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24.xml" ContentType="application/vnd.openxmlformats-officedocument.spreadsheetml.pivotTable+xml"/>
  <Override PartName="/xl/comments2.xml" ContentType="application/vnd.openxmlformats-officedocument.spreadsheetml.comments+xml"/>
  <Override PartName="/xl/pivotTables/pivotTable25.xml" ContentType="application/vnd.openxmlformats-officedocument.spreadsheetml.pivot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3.xml" ContentType="application/vnd.openxmlformats-officedocument.spreadsheetml.table+xml"/>
  <Override PartName="/xl/pivotTables/pivotTable28.xml" ContentType="application/vnd.openxmlformats-officedocument.spreadsheetml.pivotTable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i unidad\AIML\Proyectos\Termonorte\Proyecto AI TN\03_oper_optim\Dashboard Excel\"/>
    </mc:Choice>
  </mc:AlternateContent>
  <xr:revisionPtr revIDLastSave="0" documentId="13_ncr:1_{F6C63ADD-626D-481F-B19B-715260FED443}" xr6:coauthVersionLast="47" xr6:coauthVersionMax="47" xr10:uidLastSave="{00000000-0000-0000-0000-000000000000}"/>
  <bookViews>
    <workbookView xWindow="-120" yWindow="-120" windowWidth="20730" windowHeight="11040" tabRatio="732" xr2:uid="{00000000-000D-0000-FFFF-FFFF00000000}"/>
  </bookViews>
  <sheets>
    <sheet name="Dashboard" sheetId="26" r:id="rId1"/>
    <sheet name="T. Dina" sheetId="20" r:id="rId2"/>
    <sheet name="Datos" sheetId="19" r:id="rId3"/>
    <sheet name="Gas" sheetId="4" r:id="rId4"/>
    <sheet name="G. Un GE" sheetId="13" r:id="rId5"/>
    <sheet name="REP. GE" sheetId="22" r:id="rId6"/>
    <sheet name="Cal. Arr" sheetId="24" r:id="rId7"/>
    <sheet name="C. ENER. TN" sheetId="31" r:id="rId8"/>
    <sheet name="Ar-Pa" sheetId="6" r:id="rId9"/>
    <sheet name="DO Pilot" sheetId="8" r:id="rId10"/>
    <sheet name="Tank" sheetId="15" r:id="rId11"/>
    <sheet name="Comb" sheetId="14" r:id="rId12"/>
    <sheet name="Horo. M" sheetId="28" r:id="rId13"/>
    <sheet name="Comp." sheetId="17" r:id="rId14"/>
    <sheet name="AUT DESP" sheetId="63" state="hidden" r:id="rId15"/>
    <sheet name="Nomen." sheetId="18" r:id="rId16"/>
    <sheet name="TDina BR" sheetId="37" r:id="rId17"/>
    <sheet name="2023Q1" sheetId="57" r:id="rId18"/>
    <sheet name="2023Q2" sheetId="60" r:id="rId19"/>
    <sheet name="2023Q2 (2)" sheetId="62" r:id="rId20"/>
    <sheet name="D. Mto." sheetId="53" r:id="rId21"/>
    <sheet name="Hoja2" sheetId="58" r:id="rId22"/>
    <sheet name="Dispo. Planta" sheetId="59" r:id="rId23"/>
  </sheets>
  <definedNames>
    <definedName name="_xlnm._FilterDatabase" localSheetId="8" hidden="1">'Ar-Pa'!$A$1:$AY$366</definedName>
    <definedName name="_xlnm._FilterDatabase" localSheetId="14" hidden="1">'AUT DESP'!$A$1:$Y$62</definedName>
    <definedName name="_xlnm._FilterDatabase" localSheetId="13" hidden="1">'Comp.'!$A$1:$M$366</definedName>
    <definedName name="_xlnm._FilterDatabase" localSheetId="9" hidden="1">'DO Pilot'!$A$1:$CJ$366</definedName>
    <definedName name="_xlnm._FilterDatabase" localSheetId="4" hidden="1">'G. Un GE'!$A$1:$AX$366</definedName>
    <definedName name="_xlnm._FilterDatabase" localSheetId="12" hidden="1">'Horo. M'!$A$1:$U$367</definedName>
    <definedName name="_xlnm._FilterDatabase" localSheetId="15" hidden="1">Nomen.!$A$1:$B$1</definedName>
    <definedName name="_xlnm._FilterDatabase" localSheetId="5" hidden="1">'REP. GE'!$A$1:$D$8761</definedName>
    <definedName name="_xlnm._FilterDatabase" localSheetId="10" hidden="1">Tank!$A$1:$AV$367</definedName>
    <definedName name="NativeTimeline_Fecha">#N/A</definedName>
    <definedName name="_xlnm.Print_Area" localSheetId="0">Dashboard!$A$1:$Y$43</definedName>
    <definedName name="_xlnm.Print_Area" localSheetId="15">Nomen.!$A$1:$B$34</definedName>
  </definedNames>
  <calcPr calcId="191028"/>
  <pivotCaches>
    <pivotCache cacheId="0" r:id="rId24"/>
    <pivotCache cacheId="1" r:id="rId25"/>
    <pivotCache cacheId="2" r:id="rId26"/>
    <pivotCache cacheId="3" r:id="rId27"/>
    <pivotCache cacheId="4" r:id="rId2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78" i="15" l="1"/>
  <c r="S214" i="28" l="1"/>
  <c r="E210" i="15"/>
  <c r="E209" i="15"/>
  <c r="F209" i="15"/>
  <c r="E208" i="15"/>
  <c r="E207" i="15"/>
  <c r="E206" i="15"/>
  <c r="E205" i="15"/>
  <c r="E204" i="15"/>
  <c r="BG191" i="19" l="1"/>
  <c r="BG192" i="19"/>
  <c r="BG193" i="19"/>
  <c r="BG194" i="19"/>
  <c r="BG195" i="19"/>
  <c r="BG196" i="19"/>
  <c r="BG197" i="19"/>
  <c r="BG198" i="19"/>
  <c r="BG199" i="19"/>
  <c r="BG200" i="19"/>
  <c r="BG201" i="19"/>
  <c r="BG202" i="19"/>
  <c r="BG203" i="19"/>
  <c r="BG204" i="19"/>
  <c r="BG205" i="19"/>
  <c r="BG206" i="19"/>
  <c r="BG207" i="19"/>
  <c r="BG208" i="19"/>
  <c r="BG209" i="19"/>
  <c r="BG210" i="19"/>
  <c r="BG211" i="19"/>
  <c r="BG212" i="19"/>
  <c r="BG213" i="19"/>
  <c r="BG214" i="19"/>
  <c r="BG215" i="19"/>
  <c r="BG216" i="19"/>
  <c r="BG217" i="19"/>
  <c r="BG218" i="19"/>
  <c r="BG219" i="19"/>
  <c r="BG220" i="19"/>
  <c r="BG221" i="19"/>
  <c r="BG222" i="19"/>
  <c r="BG223" i="19"/>
  <c r="BG224" i="19"/>
  <c r="BG225" i="19"/>
  <c r="BG226" i="19"/>
  <c r="BG227" i="19"/>
  <c r="BG228" i="19"/>
  <c r="BG229" i="19"/>
  <c r="BG230" i="19"/>
  <c r="BG231" i="19"/>
  <c r="BG232" i="19"/>
  <c r="BG233" i="19"/>
  <c r="BG234" i="19"/>
  <c r="BG235" i="19"/>
  <c r="BG236" i="19"/>
  <c r="BG237" i="19"/>
  <c r="BG238" i="19"/>
  <c r="BG239" i="19"/>
  <c r="BG240" i="19"/>
  <c r="BG241" i="19"/>
  <c r="BG242" i="19"/>
  <c r="BG243" i="19"/>
  <c r="BG244" i="19"/>
  <c r="BG245" i="19"/>
  <c r="BG246" i="19"/>
  <c r="BG247" i="19"/>
  <c r="BG248" i="19"/>
  <c r="BG249" i="19"/>
  <c r="BG250" i="19"/>
  <c r="BG251" i="19"/>
  <c r="BG252" i="19"/>
  <c r="BG253" i="19"/>
  <c r="BG254" i="19"/>
  <c r="BG255" i="19"/>
  <c r="BG256" i="19"/>
  <c r="BG257" i="19"/>
  <c r="BG258" i="19"/>
  <c r="BG259" i="19"/>
  <c r="BG260" i="19"/>
  <c r="BG261" i="19"/>
  <c r="BG262" i="19"/>
  <c r="BG263" i="19"/>
  <c r="BG264" i="19"/>
  <c r="BG265" i="19"/>
  <c r="BG266" i="19"/>
  <c r="BG267" i="19"/>
  <c r="BG268" i="19"/>
  <c r="BG269" i="19"/>
  <c r="BG270" i="19"/>
  <c r="BG271" i="19"/>
  <c r="BG272" i="19"/>
  <c r="BG273" i="19"/>
  <c r="BG274" i="19"/>
  <c r="BG275" i="19"/>
  <c r="BG276" i="19"/>
  <c r="BG277" i="19"/>
  <c r="BG278" i="19"/>
  <c r="BG279" i="19"/>
  <c r="BG280" i="19"/>
  <c r="BG281" i="19"/>
  <c r="BG282" i="19"/>
  <c r="BG283" i="19"/>
  <c r="BG284" i="19"/>
  <c r="BG285" i="19"/>
  <c r="BG286" i="19"/>
  <c r="BG287" i="19"/>
  <c r="BG288" i="19"/>
  <c r="BG289" i="19"/>
  <c r="BG290" i="19"/>
  <c r="BG291" i="19"/>
  <c r="BG292" i="19"/>
  <c r="BG293" i="19"/>
  <c r="BG294" i="19"/>
  <c r="BG295" i="19"/>
  <c r="BG296" i="19"/>
  <c r="BG297" i="19"/>
  <c r="BG298" i="19"/>
  <c r="BG299" i="19"/>
  <c r="BG300" i="19"/>
  <c r="BG301" i="19"/>
  <c r="BG302" i="19"/>
  <c r="BG303" i="19"/>
  <c r="BG304" i="19"/>
  <c r="BG305" i="19"/>
  <c r="BG306" i="19"/>
  <c r="BG307" i="19"/>
  <c r="BG308" i="19"/>
  <c r="BG309" i="19"/>
  <c r="BG310" i="19"/>
  <c r="BG311" i="19"/>
  <c r="BG312" i="19"/>
  <c r="BG313" i="19"/>
  <c r="BG314" i="19"/>
  <c r="BG315" i="19"/>
  <c r="BG316" i="19"/>
  <c r="BG317" i="19"/>
  <c r="BG318" i="19"/>
  <c r="BG319" i="19"/>
  <c r="BG320" i="19"/>
  <c r="BG321" i="19"/>
  <c r="BG322" i="19"/>
  <c r="BG323" i="19"/>
  <c r="BG324" i="19"/>
  <c r="BG325" i="19"/>
  <c r="BG326" i="19"/>
  <c r="BG327" i="19"/>
  <c r="BG328" i="19"/>
  <c r="BG329" i="19"/>
  <c r="BG330" i="19"/>
  <c r="BG331" i="19"/>
  <c r="BG332" i="19"/>
  <c r="BG333" i="19"/>
  <c r="BG334" i="19"/>
  <c r="BG335" i="19"/>
  <c r="BG336" i="19"/>
  <c r="BG337" i="19"/>
  <c r="BG338" i="19"/>
  <c r="BG339" i="19"/>
  <c r="BG340" i="19"/>
  <c r="BG341" i="19"/>
  <c r="BG342" i="19"/>
  <c r="BG343" i="19"/>
  <c r="BG344" i="19"/>
  <c r="BG345" i="19"/>
  <c r="BG346" i="19"/>
  <c r="BG347" i="19"/>
  <c r="BG348" i="19"/>
  <c r="BG349" i="19"/>
  <c r="BG350" i="19"/>
  <c r="BG351" i="19"/>
  <c r="BG352" i="19"/>
  <c r="BG353" i="19"/>
  <c r="BG354" i="19"/>
  <c r="BG355" i="19"/>
  <c r="BG356" i="19"/>
  <c r="BG357" i="19"/>
  <c r="BG358" i="19"/>
  <c r="BG359" i="19"/>
  <c r="BG360" i="19"/>
  <c r="BG361" i="19"/>
  <c r="BG362" i="19"/>
  <c r="BG363" i="19"/>
  <c r="BG364" i="19"/>
  <c r="BG365" i="19"/>
  <c r="BG366" i="19"/>
  <c r="B92" i="19"/>
  <c r="AT23" i="19" l="1"/>
  <c r="N91" i="19"/>
  <c r="BG94" i="19" l="1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08" i="19"/>
  <c r="BG109" i="19"/>
  <c r="BG110" i="19"/>
  <c r="BG111" i="19"/>
  <c r="BG112" i="19"/>
  <c r="BG113" i="19"/>
  <c r="BG114" i="19"/>
  <c r="BG115" i="19"/>
  <c r="BG116" i="19"/>
  <c r="BG117" i="19"/>
  <c r="BG118" i="19"/>
  <c r="BG119" i="19"/>
  <c r="BG120" i="19"/>
  <c r="BG121" i="19"/>
  <c r="BG122" i="19"/>
  <c r="BG123" i="19"/>
  <c r="BG124" i="19"/>
  <c r="BG125" i="19"/>
  <c r="BG126" i="19"/>
  <c r="BG127" i="19"/>
  <c r="BG128" i="19"/>
  <c r="BG129" i="19"/>
  <c r="BG130" i="19"/>
  <c r="BG131" i="19"/>
  <c r="BG132" i="19"/>
  <c r="BG133" i="19"/>
  <c r="BG134" i="19"/>
  <c r="BG135" i="19"/>
  <c r="BG136" i="19"/>
  <c r="BG137" i="19"/>
  <c r="BG138" i="19"/>
  <c r="BG139" i="19"/>
  <c r="BG140" i="19"/>
  <c r="BG141" i="19"/>
  <c r="BG142" i="19"/>
  <c r="BG143" i="19"/>
  <c r="BG144" i="19"/>
  <c r="BG145" i="19"/>
  <c r="BG146" i="19"/>
  <c r="BG147" i="19"/>
  <c r="BG148" i="19"/>
  <c r="BG149" i="19"/>
  <c r="BG150" i="19"/>
  <c r="BG151" i="19"/>
  <c r="BG152" i="19"/>
  <c r="BG153" i="19"/>
  <c r="BG154" i="19"/>
  <c r="BG155" i="19"/>
  <c r="BG156" i="19"/>
  <c r="BG157" i="19"/>
  <c r="BG158" i="19"/>
  <c r="BG159" i="19"/>
  <c r="BG160" i="19"/>
  <c r="BG161" i="19"/>
  <c r="BG162" i="19"/>
  <c r="BG163" i="19"/>
  <c r="BG164" i="19"/>
  <c r="BG165" i="19"/>
  <c r="BG166" i="19"/>
  <c r="BG167" i="19"/>
  <c r="BG168" i="19"/>
  <c r="BG169" i="19"/>
  <c r="BG170" i="19"/>
  <c r="BG171" i="19"/>
  <c r="BG172" i="19"/>
  <c r="BG173" i="19"/>
  <c r="BG174" i="19"/>
  <c r="BG175" i="19"/>
  <c r="BG176" i="19"/>
  <c r="BG177" i="19"/>
  <c r="BG178" i="19"/>
  <c r="BG179" i="19"/>
  <c r="BG180" i="19"/>
  <c r="BG181" i="19"/>
  <c r="BG182" i="19"/>
  <c r="BG183" i="19"/>
  <c r="BG184" i="19"/>
  <c r="BG185" i="19"/>
  <c r="BG186" i="19"/>
  <c r="BG187" i="19"/>
  <c r="BG188" i="19"/>
  <c r="BG189" i="19"/>
  <c r="BG190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91" i="19"/>
  <c r="BG92" i="19"/>
  <c r="BG93" i="19"/>
  <c r="BG70" i="19"/>
  <c r="BG71" i="19"/>
  <c r="BG72" i="19"/>
  <c r="BG73" i="19"/>
  <c r="BG74" i="19"/>
  <c r="BG75" i="19"/>
  <c r="AN53" i="19" l="1"/>
  <c r="T115" i="15" l="1"/>
  <c r="T71" i="15"/>
  <c r="T43" i="15"/>
  <c r="T29" i="15"/>
  <c r="R173" i="15"/>
  <c r="L170" i="15"/>
  <c r="L169" i="15"/>
  <c r="R115" i="15" l="1"/>
  <c r="B58" i="57" l="1"/>
  <c r="BG167" i="53" l="1"/>
  <c r="R60" i="15"/>
  <c r="R67" i="15"/>
  <c r="R71" i="15"/>
  <c r="R70" i="15"/>
  <c r="R366" i="15"/>
  <c r="R365" i="15"/>
  <c r="AO3" i="15" l="1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V156" i="15"/>
  <c r="V157" i="15"/>
  <c r="V158" i="15"/>
  <c r="V159" i="15"/>
  <c r="V160" i="15"/>
  <c r="V161" i="15"/>
  <c r="V162" i="15"/>
  <c r="V163" i="15"/>
  <c r="V164" i="15"/>
  <c r="V165" i="15"/>
  <c r="V166" i="15"/>
  <c r="V167" i="15"/>
  <c r="V168" i="15"/>
  <c r="V169" i="15"/>
  <c r="V170" i="15"/>
  <c r="V171" i="15"/>
  <c r="V172" i="15"/>
  <c r="V173" i="15"/>
  <c r="V174" i="15"/>
  <c r="V175" i="15"/>
  <c r="V176" i="15"/>
  <c r="V177" i="15"/>
  <c r="V178" i="15"/>
  <c r="V179" i="15"/>
  <c r="V180" i="15"/>
  <c r="V181" i="15"/>
  <c r="V182" i="15"/>
  <c r="V183" i="15"/>
  <c r="V184" i="15"/>
  <c r="V185" i="15"/>
  <c r="V186" i="15"/>
  <c r="V187" i="15"/>
  <c r="V188" i="15"/>
  <c r="V189" i="15"/>
  <c r="V190" i="15"/>
  <c r="V191" i="15"/>
  <c r="V192" i="15"/>
  <c r="V193" i="15"/>
  <c r="V194" i="15"/>
  <c r="V195" i="15"/>
  <c r="V196" i="15"/>
  <c r="V197" i="15"/>
  <c r="V198" i="15"/>
  <c r="V199" i="15"/>
  <c r="V200" i="15"/>
  <c r="V201" i="15"/>
  <c r="V202" i="15"/>
  <c r="V203" i="15"/>
  <c r="V204" i="15"/>
  <c r="V205" i="15"/>
  <c r="V206" i="15"/>
  <c r="V207" i="15"/>
  <c r="V208" i="15"/>
  <c r="V209" i="15"/>
  <c r="V210" i="15"/>
  <c r="V211" i="15"/>
  <c r="V212" i="15"/>
  <c r="V213" i="15"/>
  <c r="V214" i="15"/>
  <c r="V215" i="15"/>
  <c r="V216" i="15"/>
  <c r="V217" i="15"/>
  <c r="V218" i="15"/>
  <c r="V219" i="15"/>
  <c r="V220" i="15"/>
  <c r="V221" i="15"/>
  <c r="V222" i="15"/>
  <c r="V223" i="15"/>
  <c r="V224" i="15"/>
  <c r="V225" i="15"/>
  <c r="V226" i="15"/>
  <c r="V227" i="15"/>
  <c r="V228" i="15"/>
  <c r="V229" i="15"/>
  <c r="V230" i="15"/>
  <c r="V231" i="15"/>
  <c r="V232" i="15"/>
  <c r="V233" i="15"/>
  <c r="V234" i="15"/>
  <c r="V235" i="15"/>
  <c r="V236" i="15"/>
  <c r="V237" i="15"/>
  <c r="V238" i="15"/>
  <c r="V239" i="15"/>
  <c r="V240" i="15"/>
  <c r="V241" i="15"/>
  <c r="V242" i="15"/>
  <c r="V243" i="15"/>
  <c r="V244" i="15"/>
  <c r="V245" i="15"/>
  <c r="V246" i="15"/>
  <c r="V247" i="15"/>
  <c r="V248" i="15"/>
  <c r="V249" i="15"/>
  <c r="V250" i="15"/>
  <c r="V251" i="15"/>
  <c r="V252" i="15"/>
  <c r="V253" i="15"/>
  <c r="V254" i="15"/>
  <c r="V255" i="15"/>
  <c r="V256" i="15"/>
  <c r="V257" i="15"/>
  <c r="V258" i="15"/>
  <c r="V259" i="15"/>
  <c r="V260" i="15"/>
  <c r="V261" i="15"/>
  <c r="V262" i="15"/>
  <c r="V263" i="15"/>
  <c r="V264" i="15"/>
  <c r="V265" i="15"/>
  <c r="V266" i="15"/>
  <c r="V267" i="15"/>
  <c r="V268" i="15"/>
  <c r="V269" i="15"/>
  <c r="V270" i="15"/>
  <c r="V271" i="15"/>
  <c r="V272" i="15"/>
  <c r="V273" i="15"/>
  <c r="V274" i="15"/>
  <c r="V275" i="15"/>
  <c r="V276" i="15"/>
  <c r="V277" i="15"/>
  <c r="V278" i="15"/>
  <c r="V279" i="15"/>
  <c r="V280" i="15"/>
  <c r="V281" i="15"/>
  <c r="V282" i="15"/>
  <c r="V283" i="15"/>
  <c r="V284" i="15"/>
  <c r="V285" i="15"/>
  <c r="V286" i="15"/>
  <c r="V287" i="15"/>
  <c r="V288" i="15"/>
  <c r="V289" i="15"/>
  <c r="V290" i="15"/>
  <c r="V291" i="15"/>
  <c r="V292" i="15"/>
  <c r="V293" i="15"/>
  <c r="V294" i="15"/>
  <c r="V295" i="15"/>
  <c r="V296" i="15"/>
  <c r="V297" i="15"/>
  <c r="V298" i="15"/>
  <c r="V299" i="15"/>
  <c r="V300" i="15"/>
  <c r="V301" i="15"/>
  <c r="V302" i="15"/>
  <c r="V303" i="15"/>
  <c r="V304" i="15"/>
  <c r="V305" i="15"/>
  <c r="V306" i="15"/>
  <c r="V307" i="15"/>
  <c r="V308" i="15"/>
  <c r="V309" i="15"/>
  <c r="V310" i="15"/>
  <c r="V311" i="15"/>
  <c r="V312" i="15"/>
  <c r="V313" i="15"/>
  <c r="V314" i="15"/>
  <c r="V315" i="15"/>
  <c r="V316" i="15"/>
  <c r="V317" i="15"/>
  <c r="V318" i="15"/>
  <c r="V319" i="15"/>
  <c r="V320" i="15"/>
  <c r="V321" i="15"/>
  <c r="V322" i="15"/>
  <c r="V323" i="15"/>
  <c r="V324" i="15"/>
  <c r="V325" i="15"/>
  <c r="V326" i="15"/>
  <c r="V327" i="15"/>
  <c r="V328" i="15"/>
  <c r="V329" i="15"/>
  <c r="V330" i="15"/>
  <c r="V331" i="15"/>
  <c r="V332" i="15"/>
  <c r="V333" i="15"/>
  <c r="V334" i="15"/>
  <c r="V335" i="15"/>
  <c r="V336" i="15"/>
  <c r="V337" i="15"/>
  <c r="V338" i="15"/>
  <c r="V339" i="15"/>
  <c r="V340" i="15"/>
  <c r="V341" i="15"/>
  <c r="V342" i="15"/>
  <c r="V343" i="15"/>
  <c r="V344" i="15"/>
  <c r="V345" i="15"/>
  <c r="V346" i="15"/>
  <c r="V347" i="15"/>
  <c r="V348" i="15"/>
  <c r="V349" i="15"/>
  <c r="V350" i="15"/>
  <c r="V351" i="15"/>
  <c r="V352" i="15"/>
  <c r="V353" i="15"/>
  <c r="V354" i="15"/>
  <c r="V355" i="15"/>
  <c r="V356" i="15"/>
  <c r="V357" i="15"/>
  <c r="V358" i="15"/>
  <c r="V359" i="15"/>
  <c r="V360" i="15"/>
  <c r="V361" i="15"/>
  <c r="V362" i="15"/>
  <c r="V363" i="15"/>
  <c r="V364" i="15"/>
  <c r="V365" i="15"/>
  <c r="V366" i="15"/>
  <c r="V367" i="15"/>
  <c r="V58" i="15"/>
  <c r="V59" i="15"/>
  <c r="V60" i="15"/>
  <c r="V61" i="15"/>
  <c r="V62" i="15"/>
  <c r="V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BZ2" i="19"/>
  <c r="AT30" i="19" l="1"/>
  <c r="AM32" i="19"/>
  <c r="AL4" i="19"/>
  <c r="AX2" i="13" l="1"/>
  <c r="W32" i="19" l="1"/>
  <c r="W28" i="19"/>
  <c r="W27" i="19"/>
  <c r="W26" i="19"/>
  <c r="W20" i="19"/>
  <c r="W17" i="19"/>
  <c r="W8" i="19"/>
  <c r="W5" i="19"/>
  <c r="W4" i="19"/>
  <c r="U3" i="19" l="1"/>
  <c r="U2" i="19"/>
  <c r="Y2" i="19" s="1"/>
  <c r="M2" i="19"/>
  <c r="N2" i="19" l="1"/>
  <c r="C2" i="53"/>
  <c r="B2" i="53" s="1"/>
  <c r="P2" i="19" l="1"/>
  <c r="K136" i="28" l="1"/>
  <c r="K135" i="28" l="1"/>
  <c r="G135" i="28"/>
  <c r="E135" i="28"/>
  <c r="C135" i="28"/>
  <c r="C134" i="28"/>
  <c r="M134" i="28"/>
  <c r="K134" i="28"/>
  <c r="G134" i="28"/>
  <c r="E134" i="28"/>
  <c r="O133" i="28"/>
  <c r="K133" i="28"/>
  <c r="G133" i="28"/>
  <c r="E133" i="28"/>
  <c r="C133" i="28"/>
  <c r="Q132" i="28"/>
  <c r="I132" i="28"/>
  <c r="G132" i="28"/>
  <c r="E132" i="28"/>
  <c r="C132" i="28"/>
  <c r="E131" i="28"/>
  <c r="C131" i="28"/>
  <c r="C130" i="28"/>
  <c r="G129" i="28"/>
  <c r="E129" i="28"/>
  <c r="C129" i="28"/>
  <c r="C128" i="28"/>
  <c r="C126" i="28"/>
  <c r="E125" i="28"/>
  <c r="C125" i="28"/>
  <c r="K124" i="28"/>
  <c r="U124" i="28"/>
  <c r="S124" i="28"/>
  <c r="Q124" i="28"/>
  <c r="O124" i="28"/>
  <c r="M124" i="28"/>
  <c r="I124" i="28"/>
  <c r="G124" i="28"/>
  <c r="E124" i="28"/>
  <c r="C124" i="28"/>
  <c r="E123" i="28"/>
  <c r="C123" i="28"/>
  <c r="AE134" i="8" l="1"/>
  <c r="AC134" i="8"/>
  <c r="AU331" i="15" l="1"/>
  <c r="AA3" i="15" l="1"/>
  <c r="L4" i="15"/>
  <c r="F3" i="15"/>
  <c r="C3" i="15"/>
  <c r="U93" i="28" l="1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5" i="28"/>
  <c r="S126" i="28"/>
  <c r="S127" i="28"/>
  <c r="S128" i="28"/>
  <c r="S129" i="28"/>
  <c r="S130" i="28"/>
  <c r="S131" i="28"/>
  <c r="S132" i="28"/>
  <c r="S133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5" i="28"/>
  <c r="O126" i="28"/>
  <c r="O127" i="28"/>
  <c r="O128" i="28"/>
  <c r="O129" i="28"/>
  <c r="O130" i="28"/>
  <c r="O131" i="28"/>
  <c r="O13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5" i="28"/>
  <c r="K126" i="28"/>
  <c r="K127" i="28"/>
  <c r="K128" i="28"/>
  <c r="K129" i="28"/>
  <c r="K130" i="28"/>
  <c r="K131" i="28"/>
  <c r="K13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C122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93" i="28"/>
  <c r="G91" i="28" l="1"/>
  <c r="I91" i="28"/>
  <c r="K91" i="28"/>
  <c r="M91" i="28"/>
  <c r="O91" i="28"/>
  <c r="Q91" i="28"/>
  <c r="S91" i="28"/>
  <c r="I44" i="28" l="1"/>
  <c r="M12" i="28" l="1"/>
  <c r="I12" i="28"/>
  <c r="G6" i="28"/>
  <c r="E3" i="28"/>
  <c r="L3" i="15" l="1"/>
  <c r="J3" i="15"/>
  <c r="I3" i="15"/>
  <c r="F361" i="15"/>
  <c r="F4" i="15"/>
  <c r="E358" i="28" l="1"/>
  <c r="BV336" i="19" l="1"/>
  <c r="BW336" i="19"/>
  <c r="BX336" i="19"/>
  <c r="BV337" i="19"/>
  <c r="BW337" i="19"/>
  <c r="BX337" i="19"/>
  <c r="BV338" i="19"/>
  <c r="BW338" i="19"/>
  <c r="BX338" i="19"/>
  <c r="BV339" i="19"/>
  <c r="BW339" i="19"/>
  <c r="BX339" i="19"/>
  <c r="BV340" i="19"/>
  <c r="BW340" i="19"/>
  <c r="BX340" i="19"/>
  <c r="BV341" i="19"/>
  <c r="BW341" i="19"/>
  <c r="BX341" i="19"/>
  <c r="BV342" i="19"/>
  <c r="BW342" i="19"/>
  <c r="BX342" i="19"/>
  <c r="BV343" i="19"/>
  <c r="BW343" i="19"/>
  <c r="BX343" i="19"/>
  <c r="BV344" i="19"/>
  <c r="BW344" i="19"/>
  <c r="BX344" i="19"/>
  <c r="BV345" i="19"/>
  <c r="BW345" i="19"/>
  <c r="BX345" i="19"/>
  <c r="BV346" i="19"/>
  <c r="BW346" i="19"/>
  <c r="BX346" i="19"/>
  <c r="BV347" i="19"/>
  <c r="BW347" i="19"/>
  <c r="BX347" i="19"/>
  <c r="BV348" i="19"/>
  <c r="BW348" i="19"/>
  <c r="BX348" i="19"/>
  <c r="BV349" i="19"/>
  <c r="BW349" i="19"/>
  <c r="BX349" i="19"/>
  <c r="BV350" i="19"/>
  <c r="BW350" i="19"/>
  <c r="BX350" i="19"/>
  <c r="BV351" i="19"/>
  <c r="BW351" i="19"/>
  <c r="BX351" i="19"/>
  <c r="BV352" i="19"/>
  <c r="BW352" i="19"/>
  <c r="BX352" i="19"/>
  <c r="BV353" i="19"/>
  <c r="BW353" i="19"/>
  <c r="BX353" i="19"/>
  <c r="BV354" i="19"/>
  <c r="BW354" i="19"/>
  <c r="BX354" i="19"/>
  <c r="BV355" i="19"/>
  <c r="BW355" i="19"/>
  <c r="BX355" i="19"/>
  <c r="BV356" i="19"/>
  <c r="BW356" i="19"/>
  <c r="BX356" i="19"/>
  <c r="BV357" i="19"/>
  <c r="BW357" i="19"/>
  <c r="BX357" i="19"/>
  <c r="BV358" i="19"/>
  <c r="BW358" i="19"/>
  <c r="BX358" i="19"/>
  <c r="BV359" i="19"/>
  <c r="BW359" i="19"/>
  <c r="BX359" i="19"/>
  <c r="BV360" i="19"/>
  <c r="BW360" i="19"/>
  <c r="BX360" i="19"/>
  <c r="BV361" i="19"/>
  <c r="BW361" i="19"/>
  <c r="BX361" i="19"/>
  <c r="BV362" i="19"/>
  <c r="BW362" i="19"/>
  <c r="BX362" i="19"/>
  <c r="BV363" i="19"/>
  <c r="BW363" i="19"/>
  <c r="BX363" i="19"/>
  <c r="BV364" i="19"/>
  <c r="BW364" i="19"/>
  <c r="BX364" i="19"/>
  <c r="BV365" i="19"/>
  <c r="BW365" i="19"/>
  <c r="BX365" i="19"/>
  <c r="BV366" i="19"/>
  <c r="BW366" i="19"/>
  <c r="BX366" i="19"/>
  <c r="I367" i="19" l="1"/>
  <c r="AV327" i="24" l="1"/>
  <c r="BV325" i="19"/>
  <c r="BW325" i="19"/>
  <c r="BX325" i="19"/>
  <c r="BV326" i="19"/>
  <c r="BW326" i="19"/>
  <c r="BX326" i="19"/>
  <c r="BV327" i="19"/>
  <c r="BW327" i="19"/>
  <c r="BX327" i="19"/>
  <c r="BV328" i="19"/>
  <c r="BW328" i="19"/>
  <c r="BX328" i="19"/>
  <c r="BV329" i="19"/>
  <c r="BW329" i="19"/>
  <c r="BX329" i="19"/>
  <c r="BV330" i="19"/>
  <c r="BW330" i="19"/>
  <c r="BX330" i="19"/>
  <c r="BV331" i="19"/>
  <c r="BW331" i="19"/>
  <c r="BX331" i="19"/>
  <c r="BV332" i="19"/>
  <c r="BW332" i="19"/>
  <c r="BX332" i="19"/>
  <c r="BV333" i="19"/>
  <c r="BW333" i="19"/>
  <c r="BX333" i="19"/>
  <c r="BV334" i="19"/>
  <c r="BW334" i="19"/>
  <c r="BX334" i="19"/>
  <c r="BV335" i="19"/>
  <c r="BW335" i="19"/>
  <c r="BX335" i="19"/>
  <c r="BV322" i="19" l="1"/>
  <c r="BW322" i="19"/>
  <c r="BX322" i="19"/>
  <c r="BV323" i="19"/>
  <c r="BW323" i="19"/>
  <c r="BX323" i="19"/>
  <c r="BV324" i="19"/>
  <c r="BW324" i="19"/>
  <c r="BX324" i="19"/>
  <c r="BV316" i="19" l="1"/>
  <c r="BW316" i="19"/>
  <c r="BX316" i="19"/>
  <c r="BV317" i="19"/>
  <c r="BW317" i="19"/>
  <c r="BX317" i="19"/>
  <c r="BV318" i="19"/>
  <c r="BW318" i="19"/>
  <c r="BX318" i="19"/>
  <c r="BV319" i="19"/>
  <c r="BW319" i="19"/>
  <c r="BX319" i="19"/>
  <c r="BV320" i="19"/>
  <c r="BW320" i="19"/>
  <c r="BX320" i="19"/>
  <c r="BV321" i="19"/>
  <c r="BW321" i="19"/>
  <c r="BX321" i="19"/>
  <c r="AR367" i="19" l="1"/>
  <c r="E367" i="19" l="1"/>
  <c r="BV306" i="19" l="1"/>
  <c r="BW306" i="19"/>
  <c r="BX306" i="19"/>
  <c r="BV307" i="19"/>
  <c r="BW307" i="19"/>
  <c r="BX307" i="19"/>
  <c r="BV308" i="19"/>
  <c r="BW308" i="19"/>
  <c r="BX308" i="19"/>
  <c r="BV309" i="19"/>
  <c r="BW309" i="19"/>
  <c r="BX309" i="19"/>
  <c r="BV310" i="19"/>
  <c r="BW310" i="19"/>
  <c r="BX310" i="19"/>
  <c r="BV311" i="19"/>
  <c r="BW311" i="19"/>
  <c r="BX311" i="19"/>
  <c r="BV312" i="19"/>
  <c r="BW312" i="19"/>
  <c r="BX312" i="19"/>
  <c r="BV313" i="19"/>
  <c r="BW313" i="19"/>
  <c r="BX313" i="19"/>
  <c r="BV314" i="19"/>
  <c r="BW314" i="19"/>
  <c r="BX314" i="19"/>
  <c r="BV315" i="19"/>
  <c r="BW315" i="19"/>
  <c r="BX315" i="19"/>
  <c r="BV305" i="19" l="1"/>
  <c r="BW305" i="19"/>
  <c r="BX305" i="19"/>
  <c r="D58" i="62" l="1"/>
  <c r="C58" i="62"/>
  <c r="B58" i="62"/>
  <c r="B58" i="60"/>
  <c r="B49" i="62"/>
  <c r="C49" i="62"/>
  <c r="D132" i="62" l="1"/>
  <c r="C132" i="62"/>
  <c r="B132" i="62"/>
  <c r="D126" i="62"/>
  <c r="D134" i="62" s="1"/>
  <c r="C126" i="62"/>
  <c r="C134" i="62" s="1"/>
  <c r="B126" i="62"/>
  <c r="B134" i="62" s="1"/>
  <c r="D106" i="62"/>
  <c r="C106" i="62"/>
  <c r="B106" i="62"/>
  <c r="D89" i="62"/>
  <c r="C89" i="62"/>
  <c r="B89" i="62"/>
  <c r="D88" i="62"/>
  <c r="C88" i="62"/>
  <c r="B88" i="62"/>
  <c r="D78" i="62"/>
  <c r="C78" i="62"/>
  <c r="B78" i="62"/>
  <c r="D57" i="62"/>
  <c r="D70" i="62" s="1"/>
  <c r="C57" i="62"/>
  <c r="C70" i="62" s="1"/>
  <c r="B57" i="62"/>
  <c r="B70" i="62" s="1"/>
  <c r="B73" i="62" s="1"/>
  <c r="D49" i="62"/>
  <c r="E26" i="62"/>
  <c r="D35" i="62"/>
  <c r="C35" i="62"/>
  <c r="B35" i="62"/>
  <c r="D19" i="62"/>
  <c r="D59" i="62" s="1"/>
  <c r="C19" i="62"/>
  <c r="C59" i="62" s="1"/>
  <c r="B19" i="62"/>
  <c r="B59" i="62" s="1"/>
  <c r="B135" i="62" l="1"/>
  <c r="B133" i="62"/>
  <c r="B87" i="62"/>
  <c r="E49" i="62"/>
  <c r="D135" i="62"/>
  <c r="C73" i="62"/>
  <c r="C87" i="62"/>
  <c r="C75" i="62"/>
  <c r="C74" i="62"/>
  <c r="C133" i="62"/>
  <c r="D75" i="62"/>
  <c r="D73" i="62"/>
  <c r="D87" i="62"/>
  <c r="D127" i="62"/>
  <c r="D74" i="62"/>
  <c r="D133" i="62"/>
  <c r="C135" i="62"/>
  <c r="C127" i="62"/>
  <c r="E19" i="62"/>
  <c r="B75" i="62"/>
  <c r="E25" i="62"/>
  <c r="B74" i="62"/>
  <c r="B127" i="62"/>
  <c r="BV294" i="19" l="1"/>
  <c r="BW294" i="19"/>
  <c r="BX294" i="19"/>
  <c r="BV295" i="19"/>
  <c r="BW295" i="19"/>
  <c r="BX295" i="19"/>
  <c r="BV296" i="19"/>
  <c r="BW296" i="19"/>
  <c r="BX296" i="19"/>
  <c r="BV297" i="19"/>
  <c r="BW297" i="19"/>
  <c r="BX297" i="19"/>
  <c r="BV298" i="19"/>
  <c r="BW298" i="19"/>
  <c r="BX298" i="19"/>
  <c r="BV299" i="19"/>
  <c r="BW299" i="19"/>
  <c r="BX299" i="19"/>
  <c r="BV300" i="19"/>
  <c r="BW300" i="19"/>
  <c r="BX300" i="19"/>
  <c r="BV301" i="19"/>
  <c r="BW301" i="19"/>
  <c r="BX301" i="19"/>
  <c r="BV302" i="19"/>
  <c r="BW302" i="19"/>
  <c r="BX302" i="19"/>
  <c r="BV303" i="19"/>
  <c r="BW303" i="19"/>
  <c r="BX303" i="19"/>
  <c r="BV304" i="19"/>
  <c r="BW304" i="19"/>
  <c r="BX304" i="19"/>
  <c r="BV290" i="19" l="1"/>
  <c r="BW290" i="19"/>
  <c r="BX290" i="19"/>
  <c r="BV291" i="19"/>
  <c r="BW291" i="19"/>
  <c r="BX291" i="19"/>
  <c r="BV292" i="19"/>
  <c r="BW292" i="19"/>
  <c r="BX292" i="19"/>
  <c r="BV293" i="19"/>
  <c r="BW293" i="19"/>
  <c r="BX293" i="19"/>
  <c r="BV284" i="19" l="1"/>
  <c r="BW284" i="19"/>
  <c r="BX284" i="19"/>
  <c r="BV285" i="19"/>
  <c r="BW285" i="19"/>
  <c r="BX285" i="19"/>
  <c r="BV286" i="19"/>
  <c r="BW286" i="19"/>
  <c r="BX286" i="19"/>
  <c r="BV287" i="19"/>
  <c r="BW287" i="19"/>
  <c r="BX287" i="19"/>
  <c r="BV288" i="19"/>
  <c r="BW288" i="19"/>
  <c r="BX288" i="19"/>
  <c r="BV289" i="19"/>
  <c r="BW289" i="19"/>
  <c r="BX289" i="19"/>
  <c r="FJ286" i="20" l="1"/>
  <c r="BV275" i="19" l="1"/>
  <c r="BW275" i="19"/>
  <c r="BX275" i="19"/>
  <c r="BV276" i="19"/>
  <c r="BW276" i="19"/>
  <c r="BX276" i="19"/>
  <c r="BV277" i="19"/>
  <c r="BW277" i="19"/>
  <c r="BX277" i="19"/>
  <c r="BV278" i="19"/>
  <c r="BW278" i="19"/>
  <c r="BX278" i="19"/>
  <c r="BV279" i="19"/>
  <c r="BW279" i="19"/>
  <c r="BX279" i="19"/>
  <c r="BV280" i="19"/>
  <c r="BW280" i="19"/>
  <c r="BX280" i="19"/>
  <c r="BV281" i="19"/>
  <c r="BW281" i="19"/>
  <c r="BX281" i="19"/>
  <c r="BV282" i="19"/>
  <c r="BW282" i="19"/>
  <c r="BX282" i="19"/>
  <c r="BV283" i="19"/>
  <c r="BW283" i="19"/>
  <c r="BX283" i="19"/>
  <c r="BV271" i="19" l="1"/>
  <c r="BW271" i="19"/>
  <c r="BX271" i="19"/>
  <c r="BV272" i="19"/>
  <c r="BW272" i="19"/>
  <c r="BX272" i="19"/>
  <c r="BV273" i="19"/>
  <c r="BW273" i="19"/>
  <c r="BX273" i="19"/>
  <c r="BV274" i="19"/>
  <c r="BW274" i="19"/>
  <c r="BX274" i="19"/>
  <c r="BV269" i="19" l="1"/>
  <c r="BW269" i="19"/>
  <c r="BX269" i="19"/>
  <c r="BV270" i="19"/>
  <c r="BW270" i="19"/>
  <c r="BX270" i="19"/>
  <c r="BV260" i="19" l="1"/>
  <c r="BW260" i="19"/>
  <c r="BX260" i="19"/>
  <c r="BV261" i="19"/>
  <c r="BW261" i="19"/>
  <c r="BX261" i="19"/>
  <c r="BV262" i="19"/>
  <c r="BW262" i="19"/>
  <c r="BX262" i="19"/>
  <c r="BV263" i="19"/>
  <c r="BW263" i="19"/>
  <c r="BX263" i="19"/>
  <c r="BV264" i="19"/>
  <c r="BW264" i="19"/>
  <c r="BX264" i="19"/>
  <c r="BV265" i="19"/>
  <c r="BW265" i="19"/>
  <c r="BX265" i="19"/>
  <c r="BV266" i="19"/>
  <c r="BW266" i="19"/>
  <c r="BX266" i="19"/>
  <c r="BV267" i="19"/>
  <c r="BW267" i="19"/>
  <c r="BX267" i="19"/>
  <c r="BV268" i="19"/>
  <c r="BW268" i="19"/>
  <c r="BX268" i="19"/>
  <c r="BV256" i="19" l="1"/>
  <c r="BW256" i="19"/>
  <c r="BX256" i="19"/>
  <c r="BV257" i="19"/>
  <c r="BW257" i="19"/>
  <c r="BX257" i="19"/>
  <c r="BV258" i="19"/>
  <c r="BW258" i="19"/>
  <c r="BX258" i="19"/>
  <c r="BV259" i="19"/>
  <c r="BW259" i="19"/>
  <c r="BX259" i="19"/>
  <c r="CL367" i="19" l="1"/>
  <c r="BV250" i="19" l="1"/>
  <c r="BW250" i="19"/>
  <c r="BX250" i="19"/>
  <c r="BV251" i="19"/>
  <c r="BW251" i="19"/>
  <c r="BX251" i="19"/>
  <c r="BV252" i="19"/>
  <c r="BW252" i="19"/>
  <c r="BX252" i="19"/>
  <c r="BV253" i="19"/>
  <c r="BW253" i="19"/>
  <c r="BX253" i="19"/>
  <c r="BV254" i="19"/>
  <c r="BW254" i="19"/>
  <c r="BX254" i="19"/>
  <c r="BV255" i="19"/>
  <c r="BW255" i="19"/>
  <c r="BX255" i="19"/>
  <c r="AM252" i="15"/>
  <c r="BV245" i="19" l="1"/>
  <c r="BW245" i="19"/>
  <c r="BX245" i="19"/>
  <c r="BV246" i="19"/>
  <c r="BW246" i="19"/>
  <c r="BX246" i="19"/>
  <c r="BV247" i="19"/>
  <c r="BW247" i="19"/>
  <c r="BX247" i="19"/>
  <c r="BV248" i="19"/>
  <c r="BW248" i="19"/>
  <c r="BX248" i="19"/>
  <c r="BV249" i="19"/>
  <c r="BW249" i="19"/>
  <c r="BX249" i="19"/>
  <c r="M16" i="26" l="1"/>
  <c r="N16" i="26"/>
  <c r="O16" i="26"/>
  <c r="C17" i="26"/>
  <c r="X17" i="26"/>
  <c r="Y17" i="26"/>
  <c r="BV235" i="19" l="1"/>
  <c r="BW235" i="19"/>
  <c r="BX235" i="19"/>
  <c r="BV236" i="19"/>
  <c r="BW236" i="19"/>
  <c r="BX236" i="19"/>
  <c r="BV237" i="19"/>
  <c r="BW237" i="19"/>
  <c r="BX237" i="19"/>
  <c r="BV238" i="19"/>
  <c r="BW238" i="19"/>
  <c r="BX238" i="19"/>
  <c r="BV239" i="19"/>
  <c r="BW239" i="19"/>
  <c r="BX239" i="19"/>
  <c r="BV240" i="19"/>
  <c r="BW240" i="19"/>
  <c r="BX240" i="19"/>
  <c r="BV241" i="19"/>
  <c r="BW241" i="19"/>
  <c r="BX241" i="19"/>
  <c r="BV242" i="19"/>
  <c r="BW242" i="19"/>
  <c r="BX242" i="19"/>
  <c r="BV243" i="19"/>
  <c r="BW243" i="19"/>
  <c r="BX243" i="19"/>
  <c r="BV244" i="19"/>
  <c r="BW244" i="19"/>
  <c r="BX244" i="19"/>
  <c r="BV232" i="19" l="1"/>
  <c r="BW232" i="19"/>
  <c r="BX232" i="19"/>
  <c r="BV233" i="19"/>
  <c r="BW233" i="19"/>
  <c r="BX233" i="19"/>
  <c r="BV234" i="19"/>
  <c r="BW234" i="19"/>
  <c r="BX234" i="19"/>
  <c r="BV227" i="19" l="1"/>
  <c r="BW227" i="19"/>
  <c r="BX227" i="19"/>
  <c r="BV228" i="19"/>
  <c r="BW228" i="19"/>
  <c r="BX228" i="19"/>
  <c r="BV229" i="19"/>
  <c r="BW229" i="19"/>
  <c r="BX229" i="19"/>
  <c r="AD211" i="8" l="1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BV223" i="19" l="1"/>
  <c r="BW223" i="19"/>
  <c r="BX223" i="19"/>
  <c r="BV224" i="19"/>
  <c r="BW224" i="19"/>
  <c r="BX224" i="19"/>
  <c r="BV225" i="19"/>
  <c r="BW225" i="19"/>
  <c r="BX225" i="19"/>
  <c r="BV226" i="19"/>
  <c r="BW226" i="19"/>
  <c r="BX226" i="19"/>
  <c r="AT215" i="19" l="1"/>
  <c r="BV214" i="19" l="1"/>
  <c r="BW214" i="19"/>
  <c r="BX214" i="19"/>
  <c r="BV215" i="19"/>
  <c r="BW215" i="19"/>
  <c r="BX215" i="19"/>
  <c r="BV216" i="19"/>
  <c r="BW216" i="19"/>
  <c r="BX216" i="19"/>
  <c r="BV217" i="19"/>
  <c r="BW217" i="19"/>
  <c r="BX217" i="19"/>
  <c r="BV218" i="19"/>
  <c r="BW218" i="19"/>
  <c r="BX218" i="19"/>
  <c r="BV219" i="19"/>
  <c r="BW219" i="19"/>
  <c r="BX219" i="19"/>
  <c r="BV220" i="19"/>
  <c r="BW220" i="19"/>
  <c r="BX220" i="19"/>
  <c r="BV221" i="19"/>
  <c r="BW221" i="19"/>
  <c r="BX221" i="19"/>
  <c r="BV222" i="19"/>
  <c r="BW222" i="19"/>
  <c r="BX222" i="19"/>
  <c r="B4" i="4"/>
  <c r="M41" i="20" l="1"/>
  <c r="L41" i="20"/>
  <c r="K41" i="20"/>
  <c r="J41" i="20"/>
  <c r="I41" i="20"/>
  <c r="H41" i="20"/>
  <c r="G41" i="20"/>
  <c r="F41" i="20"/>
  <c r="E41" i="20"/>
  <c r="D41" i="20"/>
  <c r="C41" i="20"/>
  <c r="B41" i="20"/>
  <c r="CK367" i="19" l="1"/>
  <c r="M15" i="26"/>
  <c r="Z211" i="13" l="1"/>
  <c r="BV210" i="19"/>
  <c r="BW210" i="19"/>
  <c r="BV211" i="19"/>
  <c r="BW211" i="19"/>
  <c r="BV212" i="19"/>
  <c r="BW212" i="19"/>
  <c r="BV213" i="19"/>
  <c r="BW213" i="19"/>
  <c r="BV209" i="19" l="1"/>
  <c r="BW209" i="19"/>
  <c r="BX209" i="19"/>
  <c r="C58" i="60" l="1"/>
  <c r="D58" i="60"/>
  <c r="BV205" i="19" l="1"/>
  <c r="BW205" i="19"/>
  <c r="BX205" i="19"/>
  <c r="BV206" i="19"/>
  <c r="BW206" i="19"/>
  <c r="BX206" i="19"/>
  <c r="BV207" i="19"/>
  <c r="BW207" i="19"/>
  <c r="BX207" i="19"/>
  <c r="BV208" i="19"/>
  <c r="BW208" i="19"/>
  <c r="BX208" i="19"/>
  <c r="BV201" i="19" l="1"/>
  <c r="BW201" i="19"/>
  <c r="BX201" i="19"/>
  <c r="BV202" i="19"/>
  <c r="BW202" i="19"/>
  <c r="BX202" i="19"/>
  <c r="BV203" i="19"/>
  <c r="BW203" i="19"/>
  <c r="BX203" i="19"/>
  <c r="BV204" i="19"/>
  <c r="BW204" i="19"/>
  <c r="BX204" i="19"/>
  <c r="BV199" i="19" l="1"/>
  <c r="BW199" i="19"/>
  <c r="BX199" i="19"/>
  <c r="BV200" i="19"/>
  <c r="BW200" i="19"/>
  <c r="BX200" i="19"/>
  <c r="BV195" i="19" l="1"/>
  <c r="BW195" i="19"/>
  <c r="BX195" i="19"/>
  <c r="BV196" i="19"/>
  <c r="BW196" i="19"/>
  <c r="BX196" i="19"/>
  <c r="BV183" i="19" l="1"/>
  <c r="BW183" i="19"/>
  <c r="BX183" i="19"/>
  <c r="BV184" i="19"/>
  <c r="BW184" i="19"/>
  <c r="BX184" i="19"/>
  <c r="BV185" i="19"/>
  <c r="BW185" i="19"/>
  <c r="BX185" i="19"/>
  <c r="BV186" i="19"/>
  <c r="BW186" i="19"/>
  <c r="BX186" i="19"/>
  <c r="BV187" i="19"/>
  <c r="BW187" i="19"/>
  <c r="BX187" i="19"/>
  <c r="BV188" i="19"/>
  <c r="BW188" i="19"/>
  <c r="BX188" i="19"/>
  <c r="BV189" i="19"/>
  <c r="BW189" i="19"/>
  <c r="BX189" i="19"/>
  <c r="BV190" i="19"/>
  <c r="BW190" i="19"/>
  <c r="BX190" i="19"/>
  <c r="BV191" i="19"/>
  <c r="BW191" i="19"/>
  <c r="BX191" i="19"/>
  <c r="BV192" i="19"/>
  <c r="BW192" i="19"/>
  <c r="BX192" i="19"/>
  <c r="BV193" i="19"/>
  <c r="BW193" i="19"/>
  <c r="BX193" i="19"/>
  <c r="BV194" i="19"/>
  <c r="BW194" i="19"/>
  <c r="BX194" i="19"/>
  <c r="BV182" i="19" l="1"/>
  <c r="BW182" i="19"/>
  <c r="BX182" i="19"/>
  <c r="BV179" i="19" l="1"/>
  <c r="BW179" i="19"/>
  <c r="BX179" i="19"/>
  <c r="BV180" i="19"/>
  <c r="BW180" i="19"/>
  <c r="BX180" i="19"/>
  <c r="BV181" i="19"/>
  <c r="BW181" i="19"/>
  <c r="BX181" i="19"/>
  <c r="BV176" i="19" l="1"/>
  <c r="BW176" i="19"/>
  <c r="BX176" i="19"/>
  <c r="BV177" i="19"/>
  <c r="BW177" i="19"/>
  <c r="BX177" i="19"/>
  <c r="BV178" i="19"/>
  <c r="BW178" i="19"/>
  <c r="BX178" i="19"/>
  <c r="BV175" i="19" l="1"/>
  <c r="BW175" i="19"/>
  <c r="BX175" i="19"/>
  <c r="BV174" i="19" l="1"/>
  <c r="BW174" i="19"/>
  <c r="BX174" i="19"/>
  <c r="BV171" i="19" l="1"/>
  <c r="BW171" i="19"/>
  <c r="BX171" i="19"/>
  <c r="BV172" i="19"/>
  <c r="BW172" i="19"/>
  <c r="BX172" i="19"/>
  <c r="BV173" i="19"/>
  <c r="BW173" i="19"/>
  <c r="BX173" i="19"/>
  <c r="BV170" i="19" l="1"/>
  <c r="BW170" i="19"/>
  <c r="BX170" i="19"/>
  <c r="Z170" i="8"/>
  <c r="AA170" i="8"/>
  <c r="AB170" i="8"/>
  <c r="AC170" i="8"/>
  <c r="AD170" i="8"/>
  <c r="AE170" i="8"/>
  <c r="AF170" i="8"/>
  <c r="BV169" i="19" l="1"/>
  <c r="BW169" i="19"/>
  <c r="BX169" i="19"/>
  <c r="E170" i="28"/>
  <c r="AO171" i="24" l="1"/>
  <c r="BV153" i="19" l="1"/>
  <c r="BW153" i="19"/>
  <c r="BX153" i="19"/>
  <c r="BV154" i="19"/>
  <c r="BW154" i="19"/>
  <c r="BX154" i="19"/>
  <c r="BV155" i="19"/>
  <c r="BW155" i="19"/>
  <c r="BX155" i="19"/>
  <c r="BV156" i="19"/>
  <c r="BW156" i="19"/>
  <c r="BX156" i="19"/>
  <c r="BV157" i="19"/>
  <c r="BW157" i="19"/>
  <c r="BX157" i="19"/>
  <c r="BV158" i="19"/>
  <c r="BW158" i="19"/>
  <c r="BX158" i="19"/>
  <c r="BV159" i="19"/>
  <c r="BW159" i="19"/>
  <c r="BX159" i="19"/>
  <c r="BV160" i="19"/>
  <c r="BW160" i="19"/>
  <c r="BX160" i="19"/>
  <c r="BV161" i="19"/>
  <c r="BW161" i="19"/>
  <c r="BX161" i="19"/>
  <c r="BV162" i="19"/>
  <c r="BW162" i="19"/>
  <c r="BX162" i="19"/>
  <c r="BV163" i="19"/>
  <c r="BW163" i="19"/>
  <c r="BX163" i="19"/>
  <c r="BV164" i="19"/>
  <c r="BW164" i="19"/>
  <c r="BX164" i="19"/>
  <c r="BV165" i="19"/>
  <c r="BW165" i="19"/>
  <c r="BX165" i="19"/>
  <c r="BV166" i="19"/>
  <c r="BW166" i="19"/>
  <c r="BX166" i="19"/>
  <c r="BV167" i="19"/>
  <c r="BW167" i="19"/>
  <c r="BX167" i="19"/>
  <c r="FJ165" i="20"/>
  <c r="Z163" i="6" l="1"/>
  <c r="AT158" i="19" l="1"/>
  <c r="AT153" i="19" l="1"/>
  <c r="U152" i="28" l="1"/>
  <c r="S152" i="28"/>
  <c r="Q152" i="28"/>
  <c r="O152" i="28"/>
  <c r="M152" i="28"/>
  <c r="K152" i="28"/>
  <c r="I152" i="28"/>
  <c r="G152" i="28"/>
  <c r="E152" i="28"/>
  <c r="C152" i="28"/>
  <c r="R152" i="15"/>
  <c r="S152" i="15" s="1"/>
  <c r="O152" i="15"/>
  <c r="P152" i="15" s="1"/>
  <c r="L152" i="15"/>
  <c r="M152" i="15" s="1"/>
  <c r="I152" i="15"/>
  <c r="J152" i="15" s="1"/>
  <c r="F152" i="15"/>
  <c r="G152" i="15" s="1"/>
  <c r="C152" i="15"/>
  <c r="D152" i="15" s="1"/>
  <c r="R151" i="15" l="1"/>
  <c r="S151" i="15" s="1"/>
  <c r="O151" i="15"/>
  <c r="P151" i="15" s="1"/>
  <c r="L151" i="15"/>
  <c r="M151" i="15" s="1"/>
  <c r="I151" i="15"/>
  <c r="J151" i="15" s="1"/>
  <c r="F151" i="15"/>
  <c r="G151" i="15" s="1"/>
  <c r="C151" i="15"/>
  <c r="D151" i="15" s="1"/>
  <c r="R150" i="15"/>
  <c r="S150" i="15" s="1"/>
  <c r="O150" i="15"/>
  <c r="P150" i="15" s="1"/>
  <c r="L150" i="15"/>
  <c r="M150" i="15" s="1"/>
  <c r="I150" i="15"/>
  <c r="J150" i="15" s="1"/>
  <c r="F150" i="15"/>
  <c r="G150" i="15" s="1"/>
  <c r="C150" i="15"/>
  <c r="D150" i="15" s="1"/>
  <c r="U150" i="28"/>
  <c r="S150" i="28"/>
  <c r="Q150" i="28"/>
  <c r="O150" i="28"/>
  <c r="M150" i="28"/>
  <c r="K150" i="28"/>
  <c r="I150" i="28"/>
  <c r="G150" i="28"/>
  <c r="E150" i="28"/>
  <c r="C150" i="28"/>
  <c r="Q367" i="19"/>
  <c r="AJ367" i="19"/>
  <c r="U149" i="28"/>
  <c r="S149" i="28"/>
  <c r="Q149" i="28"/>
  <c r="O149" i="28"/>
  <c r="M149" i="28"/>
  <c r="K149" i="28"/>
  <c r="I149" i="28"/>
  <c r="G149" i="28"/>
  <c r="E149" i="28"/>
  <c r="C149" i="28"/>
  <c r="R149" i="15"/>
  <c r="S149" i="15" s="1"/>
  <c r="O149" i="15"/>
  <c r="P149" i="15" s="1"/>
  <c r="L149" i="15"/>
  <c r="M149" i="15" s="1"/>
  <c r="I149" i="15"/>
  <c r="J149" i="15" s="1"/>
  <c r="F149" i="15"/>
  <c r="G149" i="15" s="1"/>
  <c r="C149" i="15"/>
  <c r="D149" i="15" s="1"/>
  <c r="F123" i="53" l="1"/>
  <c r="H123" i="53" s="1"/>
  <c r="AM96" i="19" l="1"/>
  <c r="N96" i="19"/>
  <c r="FZ8" i="20"/>
  <c r="C11" i="15" l="1"/>
  <c r="BA5" i="24"/>
  <c r="Z2" i="13"/>
  <c r="B3" i="4"/>
  <c r="U147" i="28" l="1"/>
  <c r="S147" i="28"/>
  <c r="Q147" i="28"/>
  <c r="O147" i="28"/>
  <c r="M147" i="28"/>
  <c r="K147" i="28"/>
  <c r="I147" i="28"/>
  <c r="G147" i="28"/>
  <c r="E147" i="28"/>
  <c r="C147" i="28"/>
  <c r="R147" i="15"/>
  <c r="S147" i="15" s="1"/>
  <c r="O147" i="15"/>
  <c r="P147" i="15" s="1"/>
  <c r="L147" i="15"/>
  <c r="M147" i="15" s="1"/>
  <c r="I147" i="15"/>
  <c r="J147" i="15" s="1"/>
  <c r="F147" i="15"/>
  <c r="G147" i="15" s="1"/>
  <c r="C147" i="15"/>
  <c r="D147" i="15" s="1"/>
  <c r="U146" i="28" l="1"/>
  <c r="S146" i="28"/>
  <c r="Q146" i="28"/>
  <c r="O146" i="28"/>
  <c r="M146" i="28"/>
  <c r="K146" i="28"/>
  <c r="I146" i="28"/>
  <c r="G146" i="28"/>
  <c r="E146" i="28"/>
  <c r="C146" i="28"/>
  <c r="R146" i="15"/>
  <c r="S146" i="15" s="1"/>
  <c r="O146" i="15"/>
  <c r="P146" i="15" s="1"/>
  <c r="L146" i="15"/>
  <c r="M146" i="15" s="1"/>
  <c r="I146" i="15"/>
  <c r="J146" i="15" s="1"/>
  <c r="F146" i="15"/>
  <c r="G146" i="15" s="1"/>
  <c r="C146" i="15"/>
  <c r="D146" i="15" s="1"/>
  <c r="U144" i="28" l="1"/>
  <c r="S144" i="28"/>
  <c r="Q144" i="28"/>
  <c r="O144" i="28"/>
  <c r="M144" i="28"/>
  <c r="K144" i="28"/>
  <c r="I144" i="28"/>
  <c r="G144" i="28"/>
  <c r="E144" i="28"/>
  <c r="C144" i="28"/>
  <c r="U143" i="28"/>
  <c r="S143" i="28"/>
  <c r="Q143" i="28"/>
  <c r="O143" i="28"/>
  <c r="M143" i="28"/>
  <c r="K143" i="28"/>
  <c r="I143" i="28"/>
  <c r="G143" i="28"/>
  <c r="E143" i="28"/>
  <c r="C143" i="28"/>
  <c r="R145" i="15"/>
  <c r="S145" i="15" s="1"/>
  <c r="O145" i="15"/>
  <c r="P145" i="15" s="1"/>
  <c r="L145" i="15"/>
  <c r="M145" i="15" s="1"/>
  <c r="I145" i="15"/>
  <c r="J145" i="15" s="1"/>
  <c r="F145" i="15"/>
  <c r="G145" i="15" s="1"/>
  <c r="C145" i="15"/>
  <c r="D145" i="15" s="1"/>
  <c r="U145" i="28" l="1"/>
  <c r="S145" i="28"/>
  <c r="Q145" i="28"/>
  <c r="O145" i="28"/>
  <c r="M145" i="28"/>
  <c r="K145" i="28"/>
  <c r="I145" i="28"/>
  <c r="G145" i="28"/>
  <c r="E145" i="28"/>
  <c r="C145" i="28"/>
  <c r="R144" i="15"/>
  <c r="S144" i="15" s="1"/>
  <c r="O144" i="15"/>
  <c r="P144" i="15" s="1"/>
  <c r="L144" i="15"/>
  <c r="M144" i="15" s="1"/>
  <c r="I144" i="15"/>
  <c r="J144" i="15" s="1"/>
  <c r="F144" i="15"/>
  <c r="G144" i="15" s="1"/>
  <c r="C144" i="15"/>
  <c r="D144" i="15" s="1"/>
  <c r="R143" i="15" l="1"/>
  <c r="S143" i="15" s="1"/>
  <c r="O143" i="15"/>
  <c r="P143" i="15" s="1"/>
  <c r="L143" i="15"/>
  <c r="M143" i="15" s="1"/>
  <c r="I143" i="15"/>
  <c r="J143" i="15" s="1"/>
  <c r="F143" i="15"/>
  <c r="G143" i="15" s="1"/>
  <c r="C143" i="15"/>
  <c r="D143" i="15" s="1"/>
  <c r="AM2" i="19" l="1"/>
  <c r="AM3" i="19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U142" i="28" l="1"/>
  <c r="S142" i="28"/>
  <c r="Q142" i="28"/>
  <c r="O142" i="28"/>
  <c r="M142" i="28"/>
  <c r="K142" i="28"/>
  <c r="I142" i="28"/>
  <c r="G142" i="28"/>
  <c r="E142" i="28"/>
  <c r="C142" i="28"/>
  <c r="R142" i="15"/>
  <c r="S142" i="15" s="1"/>
  <c r="O142" i="15"/>
  <c r="P142" i="15" s="1"/>
  <c r="L142" i="15"/>
  <c r="M142" i="15" s="1"/>
  <c r="I142" i="15"/>
  <c r="J142" i="15" s="1"/>
  <c r="F142" i="15"/>
  <c r="G142" i="15" s="1"/>
  <c r="C142" i="15"/>
  <c r="D142" i="15" s="1"/>
  <c r="D132" i="60" l="1"/>
  <c r="C132" i="60"/>
  <c r="B132" i="60"/>
  <c r="D126" i="60"/>
  <c r="D134" i="60" s="1"/>
  <c r="C126" i="60"/>
  <c r="C134" i="60" s="1"/>
  <c r="B126" i="60"/>
  <c r="D106" i="60"/>
  <c r="C106" i="60"/>
  <c r="B106" i="60"/>
  <c r="D89" i="60"/>
  <c r="C89" i="60"/>
  <c r="B89" i="60"/>
  <c r="D88" i="60"/>
  <c r="C88" i="60"/>
  <c r="B88" i="60"/>
  <c r="D78" i="60"/>
  <c r="C78" i="60"/>
  <c r="B78" i="60"/>
  <c r="D57" i="60"/>
  <c r="D70" i="60" s="1"/>
  <c r="D75" i="60" s="1"/>
  <c r="C57" i="60"/>
  <c r="C70" i="60" s="1"/>
  <c r="B57" i="60"/>
  <c r="B70" i="60" s="1"/>
  <c r="D19" i="60"/>
  <c r="D59" i="60" s="1"/>
  <c r="C19" i="60"/>
  <c r="C59" i="60" s="1"/>
  <c r="B19" i="60"/>
  <c r="B59" i="60" s="1"/>
  <c r="B134" i="60" l="1"/>
  <c r="D73" i="60"/>
  <c r="D87" i="60"/>
  <c r="D135" i="60"/>
  <c r="D133" i="60"/>
  <c r="E19" i="60"/>
  <c r="B133" i="60"/>
  <c r="B73" i="60"/>
  <c r="B75" i="60"/>
  <c r="B74" i="60"/>
  <c r="B87" i="60"/>
  <c r="C87" i="60"/>
  <c r="C73" i="60"/>
  <c r="C75" i="60"/>
  <c r="C74" i="60"/>
  <c r="C133" i="60"/>
  <c r="B135" i="60"/>
  <c r="C135" i="60"/>
  <c r="B127" i="60"/>
  <c r="C127" i="60"/>
  <c r="D74" i="60"/>
  <c r="D127" i="60"/>
  <c r="U141" i="28"/>
  <c r="S141" i="28"/>
  <c r="Q141" i="28"/>
  <c r="O141" i="28"/>
  <c r="M141" i="28"/>
  <c r="K141" i="28"/>
  <c r="I141" i="28"/>
  <c r="G141" i="28"/>
  <c r="E141" i="28"/>
  <c r="C141" i="28"/>
  <c r="R141" i="15"/>
  <c r="S141" i="15" s="1"/>
  <c r="O141" i="15"/>
  <c r="P141" i="15" s="1"/>
  <c r="L141" i="15"/>
  <c r="M141" i="15" s="1"/>
  <c r="I141" i="15"/>
  <c r="J141" i="15" s="1"/>
  <c r="F141" i="15"/>
  <c r="G141" i="15" s="1"/>
  <c r="C141" i="15"/>
  <c r="D141" i="15" s="1"/>
  <c r="U140" i="28" l="1"/>
  <c r="S140" i="28"/>
  <c r="Q140" i="28"/>
  <c r="O140" i="28"/>
  <c r="M140" i="28"/>
  <c r="K140" i="28"/>
  <c r="I140" i="28"/>
  <c r="G140" i="28"/>
  <c r="E140" i="28"/>
  <c r="C140" i="28"/>
  <c r="R140" i="15"/>
  <c r="S140" i="15" s="1"/>
  <c r="O140" i="15"/>
  <c r="P140" i="15" s="1"/>
  <c r="L140" i="15"/>
  <c r="M140" i="15" s="1"/>
  <c r="I140" i="15"/>
  <c r="J140" i="15" s="1"/>
  <c r="F140" i="15"/>
  <c r="G140" i="15" s="1"/>
  <c r="C140" i="15"/>
  <c r="D140" i="15" s="1"/>
  <c r="U139" i="28" l="1"/>
  <c r="S139" i="28"/>
  <c r="Q139" i="28"/>
  <c r="O139" i="28"/>
  <c r="M139" i="28"/>
  <c r="K139" i="28"/>
  <c r="I139" i="28"/>
  <c r="G139" i="28"/>
  <c r="E139" i="28"/>
  <c r="C139" i="28"/>
  <c r="U138" i="28"/>
  <c r="S138" i="28"/>
  <c r="Q138" i="28"/>
  <c r="O138" i="28"/>
  <c r="M138" i="28"/>
  <c r="K138" i="28"/>
  <c r="I138" i="28"/>
  <c r="G138" i="28"/>
  <c r="E138" i="28"/>
  <c r="C138" i="28"/>
  <c r="U137" i="28"/>
  <c r="S137" i="28"/>
  <c r="Q137" i="28"/>
  <c r="O137" i="28"/>
  <c r="M137" i="28"/>
  <c r="K137" i="28"/>
  <c r="I137" i="28"/>
  <c r="G137" i="28"/>
  <c r="E137" i="28"/>
  <c r="C137" i="28"/>
  <c r="R139" i="15"/>
  <c r="S139" i="15" s="1"/>
  <c r="O139" i="15"/>
  <c r="P139" i="15" s="1"/>
  <c r="L139" i="15"/>
  <c r="M139" i="15" s="1"/>
  <c r="I139" i="15"/>
  <c r="J139" i="15" s="1"/>
  <c r="F139" i="15"/>
  <c r="G139" i="15" s="1"/>
  <c r="C139" i="15"/>
  <c r="D139" i="15" s="1"/>
  <c r="R138" i="15"/>
  <c r="S138" i="15" s="1"/>
  <c r="O138" i="15"/>
  <c r="P138" i="15" s="1"/>
  <c r="L138" i="15"/>
  <c r="M138" i="15" s="1"/>
  <c r="I138" i="15"/>
  <c r="J138" i="15" s="1"/>
  <c r="F138" i="15"/>
  <c r="G138" i="15" s="1"/>
  <c r="C138" i="15"/>
  <c r="D138" i="15" s="1"/>
  <c r="R137" i="15"/>
  <c r="S137" i="15" s="1"/>
  <c r="O137" i="15"/>
  <c r="P137" i="15" s="1"/>
  <c r="L137" i="15"/>
  <c r="M137" i="15" s="1"/>
  <c r="I137" i="15"/>
  <c r="J137" i="15" s="1"/>
  <c r="F137" i="15"/>
  <c r="G137" i="15" s="1"/>
  <c r="C137" i="15"/>
  <c r="D137" i="15" s="1"/>
  <c r="R136" i="15"/>
  <c r="S136" i="15" s="1"/>
  <c r="O136" i="15"/>
  <c r="P136" i="15" s="1"/>
  <c r="L136" i="15"/>
  <c r="M136" i="15" s="1"/>
  <c r="I136" i="15"/>
  <c r="J136" i="15" s="1"/>
  <c r="F136" i="15"/>
  <c r="G136" i="15" s="1"/>
  <c r="C136" i="15"/>
  <c r="D136" i="15" s="1"/>
  <c r="U136" i="28" l="1"/>
  <c r="S136" i="28"/>
  <c r="Q136" i="28"/>
  <c r="O136" i="28"/>
  <c r="M136" i="28"/>
  <c r="I136" i="28"/>
  <c r="G136" i="28"/>
  <c r="E136" i="28"/>
  <c r="C136" i="28"/>
  <c r="R135" i="15"/>
  <c r="S135" i="15" s="1"/>
  <c r="O135" i="15"/>
  <c r="P135" i="15" s="1"/>
  <c r="L135" i="15"/>
  <c r="M135" i="15" s="1"/>
  <c r="I135" i="15"/>
  <c r="J135" i="15" s="1"/>
  <c r="F135" i="15"/>
  <c r="G135" i="15" s="1"/>
  <c r="C135" i="15"/>
  <c r="D135" i="15" s="1"/>
  <c r="U135" i="28" l="1"/>
  <c r="S135" i="28"/>
  <c r="Q135" i="28"/>
  <c r="O135" i="28"/>
  <c r="M135" i="28"/>
  <c r="I135" i="28"/>
  <c r="R134" i="15"/>
  <c r="S134" i="15" s="1"/>
  <c r="O134" i="15"/>
  <c r="P134" i="15" s="1"/>
  <c r="L134" i="15"/>
  <c r="M134" i="15" s="1"/>
  <c r="I134" i="15"/>
  <c r="J134" i="15" s="1"/>
  <c r="F134" i="15"/>
  <c r="G134" i="15" s="1"/>
  <c r="C134" i="15"/>
  <c r="D134" i="15" s="1"/>
  <c r="R133" i="15" l="1"/>
  <c r="S133" i="15" s="1"/>
  <c r="O133" i="15"/>
  <c r="P133" i="15" s="1"/>
  <c r="L133" i="15"/>
  <c r="M133" i="15" s="1"/>
  <c r="I133" i="15"/>
  <c r="J133" i="15" s="1"/>
  <c r="F133" i="15"/>
  <c r="G133" i="15" s="1"/>
  <c r="C133" i="15"/>
  <c r="D133" i="15" s="1"/>
  <c r="U134" i="28" l="1"/>
  <c r="S134" i="28"/>
  <c r="Q134" i="28"/>
  <c r="O134" i="28"/>
  <c r="I134" i="28"/>
  <c r="U133" i="28"/>
  <c r="Q133" i="28"/>
  <c r="M133" i="28"/>
  <c r="I133" i="28"/>
  <c r="R132" i="15"/>
  <c r="S132" i="15" s="1"/>
  <c r="O132" i="15"/>
  <c r="P132" i="15" s="1"/>
  <c r="L132" i="15"/>
  <c r="M132" i="15" s="1"/>
  <c r="I132" i="15"/>
  <c r="J132" i="15" s="1"/>
  <c r="F132" i="15"/>
  <c r="G132" i="15" s="1"/>
  <c r="C132" i="15"/>
  <c r="D132" i="15" s="1"/>
  <c r="U132" i="28" l="1"/>
  <c r="M132" i="28"/>
  <c r="U131" i="28"/>
  <c r="Q131" i="28"/>
  <c r="M131" i="28"/>
  <c r="I131" i="28"/>
  <c r="G131" i="28"/>
  <c r="U130" i="28"/>
  <c r="Q130" i="28"/>
  <c r="M130" i="28"/>
  <c r="I130" i="28"/>
  <c r="G130" i="28"/>
  <c r="E130" i="28"/>
  <c r="U129" i="28"/>
  <c r="Q129" i="28"/>
  <c r="M129" i="28"/>
  <c r="I129" i="28"/>
  <c r="R131" i="15"/>
  <c r="S131" i="15" s="1"/>
  <c r="O131" i="15"/>
  <c r="P131" i="15" s="1"/>
  <c r="L131" i="15"/>
  <c r="M131" i="15" s="1"/>
  <c r="I131" i="15"/>
  <c r="J131" i="15" s="1"/>
  <c r="F131" i="15"/>
  <c r="G131" i="15" s="1"/>
  <c r="C131" i="15"/>
  <c r="D131" i="15" s="1"/>
  <c r="R130" i="15"/>
  <c r="S130" i="15" s="1"/>
  <c r="O130" i="15"/>
  <c r="P130" i="15" s="1"/>
  <c r="L130" i="15"/>
  <c r="M130" i="15" s="1"/>
  <c r="I130" i="15"/>
  <c r="J130" i="15" s="1"/>
  <c r="F130" i="15"/>
  <c r="G130" i="15" s="1"/>
  <c r="C130" i="15"/>
  <c r="D130" i="15" s="1"/>
  <c r="R129" i="15" l="1"/>
  <c r="S129" i="15" s="1"/>
  <c r="O129" i="15"/>
  <c r="P129" i="15" s="1"/>
  <c r="L129" i="15"/>
  <c r="M129" i="15" s="1"/>
  <c r="I129" i="15"/>
  <c r="J129" i="15" s="1"/>
  <c r="F129" i="15"/>
  <c r="G129" i="15" s="1"/>
  <c r="C129" i="15"/>
  <c r="D129" i="15" s="1"/>
  <c r="U128" i="28" l="1"/>
  <c r="Q128" i="28"/>
  <c r="M128" i="28"/>
  <c r="I128" i="28"/>
  <c r="G128" i="28"/>
  <c r="E128" i="28"/>
  <c r="R128" i="15" l="1"/>
  <c r="S128" i="15" s="1"/>
  <c r="O128" i="15"/>
  <c r="P128" i="15" s="1"/>
  <c r="L128" i="15"/>
  <c r="M128" i="15" s="1"/>
  <c r="I128" i="15"/>
  <c r="J128" i="15" s="1"/>
  <c r="F128" i="15"/>
  <c r="G128" i="15" s="1"/>
  <c r="C128" i="15"/>
  <c r="D128" i="15" s="1"/>
  <c r="U127" i="28" l="1"/>
  <c r="Q127" i="28"/>
  <c r="M127" i="28"/>
  <c r="I127" i="28"/>
  <c r="G127" i="28"/>
  <c r="E127" i="28"/>
  <c r="C127" i="28"/>
  <c r="R127" i="15" l="1"/>
  <c r="S127" i="15" s="1"/>
  <c r="O127" i="15"/>
  <c r="P127" i="15" s="1"/>
  <c r="L127" i="15"/>
  <c r="M127" i="15" s="1"/>
  <c r="I127" i="15"/>
  <c r="J127" i="15" s="1"/>
  <c r="F127" i="15"/>
  <c r="G127" i="15" s="1"/>
  <c r="C127" i="15"/>
  <c r="D127" i="15" s="1"/>
  <c r="U126" i="28" l="1"/>
  <c r="Q126" i="28"/>
  <c r="M126" i="28"/>
  <c r="I126" i="28"/>
  <c r="G126" i="28"/>
  <c r="E126" i="28"/>
  <c r="U125" i="28" l="1"/>
  <c r="Q125" i="28"/>
  <c r="M125" i="28"/>
  <c r="I125" i="28"/>
  <c r="G125" i="28"/>
  <c r="R125" i="15"/>
  <c r="S125" i="15" s="1"/>
  <c r="O125" i="15"/>
  <c r="P125" i="15" s="1"/>
  <c r="L125" i="15"/>
  <c r="M125" i="15" s="1"/>
  <c r="I125" i="15"/>
  <c r="J125" i="15" s="1"/>
  <c r="F125" i="15"/>
  <c r="G125" i="15" s="1"/>
  <c r="C125" i="15"/>
  <c r="D125" i="15" s="1"/>
  <c r="R124" i="15" l="1"/>
  <c r="S124" i="15" s="1"/>
  <c r="O124" i="15"/>
  <c r="P124" i="15" s="1"/>
  <c r="L124" i="15"/>
  <c r="M124" i="15" s="1"/>
  <c r="I124" i="15"/>
  <c r="J124" i="15" s="1"/>
  <c r="F124" i="15"/>
  <c r="G124" i="15" s="1"/>
  <c r="C124" i="15"/>
  <c r="D124" i="15" s="1"/>
  <c r="U123" i="28" l="1"/>
  <c r="Q123" i="28"/>
  <c r="M123" i="28"/>
  <c r="I123" i="28"/>
  <c r="G123" i="28"/>
  <c r="AA123" i="15"/>
  <c r="R123" i="15"/>
  <c r="S123" i="15" s="1"/>
  <c r="O123" i="15"/>
  <c r="P123" i="15" s="1"/>
  <c r="L123" i="15"/>
  <c r="M123" i="15" s="1"/>
  <c r="I123" i="15"/>
  <c r="J123" i="15" s="1"/>
  <c r="F123" i="15"/>
  <c r="G123" i="15" s="1"/>
  <c r="C123" i="15"/>
  <c r="D123" i="15" s="1"/>
  <c r="GO23" i="20" l="1"/>
  <c r="R122" i="15" l="1"/>
  <c r="S122" i="15" s="1"/>
  <c r="O122" i="15"/>
  <c r="P122" i="15" s="1"/>
  <c r="L122" i="15"/>
  <c r="M122" i="15" s="1"/>
  <c r="I122" i="15"/>
  <c r="J122" i="15" s="1"/>
  <c r="F122" i="15"/>
  <c r="G122" i="15" s="1"/>
  <c r="C122" i="15"/>
  <c r="D122" i="15" s="1"/>
  <c r="AB120" i="24"/>
  <c r="AC120" i="24"/>
  <c r="AD120" i="24"/>
  <c r="AE120" i="24"/>
  <c r="AF120" i="24"/>
  <c r="AG120" i="24"/>
  <c r="AH120" i="24"/>
  <c r="AI120" i="24"/>
  <c r="AJ120" i="24"/>
  <c r="AK120" i="24"/>
  <c r="AL120" i="24"/>
  <c r="AM120" i="24"/>
  <c r="AN120" i="24"/>
  <c r="AO120" i="24"/>
  <c r="AP120" i="24"/>
  <c r="AQ120" i="24"/>
  <c r="AR120" i="24"/>
  <c r="AS120" i="24"/>
  <c r="AT120" i="24"/>
  <c r="AU120" i="24"/>
  <c r="AV120" i="24"/>
  <c r="AW120" i="24"/>
  <c r="AX120" i="24"/>
  <c r="AY120" i="24"/>
  <c r="AB121" i="24"/>
  <c r="AC121" i="24"/>
  <c r="AD121" i="24"/>
  <c r="AE121" i="24"/>
  <c r="AF121" i="24"/>
  <c r="AG121" i="24"/>
  <c r="AH121" i="24"/>
  <c r="AI121" i="24"/>
  <c r="AJ121" i="24"/>
  <c r="AK121" i="24"/>
  <c r="AL121" i="24"/>
  <c r="AM121" i="24"/>
  <c r="AN121" i="24"/>
  <c r="AO121" i="24"/>
  <c r="AP121" i="24"/>
  <c r="AQ121" i="24"/>
  <c r="AR121" i="24"/>
  <c r="AS121" i="24"/>
  <c r="AT121" i="24"/>
  <c r="AU121" i="24"/>
  <c r="AV121" i="24"/>
  <c r="AW121" i="24"/>
  <c r="AX121" i="24"/>
  <c r="AY121" i="24"/>
  <c r="AB122" i="24"/>
  <c r="AC122" i="24"/>
  <c r="AD122" i="24"/>
  <c r="AE122" i="24"/>
  <c r="AF122" i="24"/>
  <c r="AG122" i="24"/>
  <c r="AH122" i="24"/>
  <c r="AI122" i="24"/>
  <c r="AJ122" i="24"/>
  <c r="AK122" i="24"/>
  <c r="AL122" i="24"/>
  <c r="AM122" i="24"/>
  <c r="AN122" i="24"/>
  <c r="AO122" i="24"/>
  <c r="AP122" i="24"/>
  <c r="AQ122" i="24"/>
  <c r="AR122" i="24"/>
  <c r="AS122" i="24"/>
  <c r="AT122" i="24"/>
  <c r="AU122" i="24"/>
  <c r="AV122" i="24"/>
  <c r="AW122" i="24"/>
  <c r="AX122" i="24"/>
  <c r="AY122" i="24"/>
  <c r="AB123" i="24"/>
  <c r="AC123" i="24"/>
  <c r="AD123" i="24"/>
  <c r="AE123" i="24"/>
  <c r="AF123" i="24"/>
  <c r="AG123" i="24"/>
  <c r="AH123" i="24"/>
  <c r="AI123" i="24"/>
  <c r="AJ123" i="24"/>
  <c r="AK123" i="24"/>
  <c r="AL123" i="24"/>
  <c r="AM123" i="24"/>
  <c r="AN123" i="24"/>
  <c r="AO123" i="24"/>
  <c r="AP123" i="24"/>
  <c r="AQ123" i="24"/>
  <c r="AR123" i="24"/>
  <c r="AS123" i="24"/>
  <c r="AT123" i="24"/>
  <c r="AU123" i="24"/>
  <c r="AV123" i="24"/>
  <c r="AW123" i="24"/>
  <c r="AX123" i="24"/>
  <c r="AY123" i="24"/>
  <c r="AB124" i="24"/>
  <c r="AC124" i="24"/>
  <c r="AD124" i="24"/>
  <c r="AE124" i="24"/>
  <c r="AF124" i="24"/>
  <c r="AG124" i="24"/>
  <c r="AH124" i="24"/>
  <c r="AI124" i="24"/>
  <c r="AJ124" i="24"/>
  <c r="AK124" i="24"/>
  <c r="AL124" i="24"/>
  <c r="AM124" i="24"/>
  <c r="AN124" i="24"/>
  <c r="AO124" i="24"/>
  <c r="AP124" i="24"/>
  <c r="AQ124" i="24"/>
  <c r="AR124" i="24"/>
  <c r="AS124" i="24"/>
  <c r="AT124" i="24"/>
  <c r="AU124" i="24"/>
  <c r="AV124" i="24"/>
  <c r="AW124" i="24"/>
  <c r="AX124" i="24"/>
  <c r="AY124" i="24"/>
  <c r="AB125" i="24"/>
  <c r="AC125" i="24"/>
  <c r="AD125" i="24"/>
  <c r="AE125" i="24"/>
  <c r="AF125" i="24"/>
  <c r="AG125" i="24"/>
  <c r="AH125" i="24"/>
  <c r="AI125" i="24"/>
  <c r="AJ125" i="24"/>
  <c r="AK125" i="24"/>
  <c r="AL125" i="24"/>
  <c r="AM125" i="24"/>
  <c r="AN125" i="24"/>
  <c r="AO125" i="24"/>
  <c r="AP125" i="24"/>
  <c r="AQ125" i="24"/>
  <c r="AR125" i="24"/>
  <c r="AS125" i="24"/>
  <c r="AT125" i="24"/>
  <c r="AU125" i="24"/>
  <c r="AV125" i="24"/>
  <c r="AW125" i="24"/>
  <c r="AX125" i="24"/>
  <c r="AY125" i="24"/>
  <c r="AB126" i="24"/>
  <c r="AC126" i="24"/>
  <c r="AD126" i="24"/>
  <c r="AE126" i="24"/>
  <c r="AF126" i="24"/>
  <c r="AG126" i="24"/>
  <c r="AH126" i="24"/>
  <c r="AI126" i="24"/>
  <c r="AJ126" i="24"/>
  <c r="AK126" i="24"/>
  <c r="AL126" i="24"/>
  <c r="AM126" i="24"/>
  <c r="AN126" i="24"/>
  <c r="AO126" i="24"/>
  <c r="AP126" i="24"/>
  <c r="AQ126" i="24"/>
  <c r="AR126" i="24"/>
  <c r="AS126" i="24"/>
  <c r="AT126" i="24"/>
  <c r="AU126" i="24"/>
  <c r="AV126" i="24"/>
  <c r="AW126" i="24"/>
  <c r="AX126" i="24"/>
  <c r="AY126" i="24"/>
  <c r="AB127" i="24"/>
  <c r="AC127" i="24"/>
  <c r="AD127" i="24"/>
  <c r="AE127" i="24"/>
  <c r="AF127" i="24"/>
  <c r="AG127" i="24"/>
  <c r="AH127" i="24"/>
  <c r="AI127" i="24"/>
  <c r="AJ127" i="24"/>
  <c r="AK127" i="24"/>
  <c r="AL127" i="24"/>
  <c r="AM127" i="24"/>
  <c r="AN127" i="24"/>
  <c r="AO127" i="24"/>
  <c r="AP127" i="24"/>
  <c r="AQ127" i="24"/>
  <c r="AR127" i="24"/>
  <c r="AS127" i="24"/>
  <c r="AT127" i="24"/>
  <c r="AU127" i="24"/>
  <c r="AV127" i="24"/>
  <c r="AW127" i="24"/>
  <c r="AX127" i="24"/>
  <c r="AY127" i="24"/>
  <c r="AY119" i="24"/>
  <c r="AX119" i="24"/>
  <c r="AW119" i="24"/>
  <c r="AV119" i="24"/>
  <c r="AU119" i="24"/>
  <c r="AT119" i="24"/>
  <c r="AS119" i="24"/>
  <c r="AR119" i="24"/>
  <c r="AQ119" i="24"/>
  <c r="AP119" i="24"/>
  <c r="AO119" i="24"/>
  <c r="AN119" i="24"/>
  <c r="AM119" i="24"/>
  <c r="AL119" i="24"/>
  <c r="AK119" i="24"/>
  <c r="AJ119" i="24"/>
  <c r="AI119" i="24"/>
  <c r="AH119" i="24"/>
  <c r="AG119" i="24"/>
  <c r="AF119" i="24"/>
  <c r="AE119" i="24"/>
  <c r="AD119" i="24"/>
  <c r="AC119" i="24"/>
  <c r="AB119" i="24"/>
  <c r="AY118" i="24"/>
  <c r="AX118" i="24"/>
  <c r="AW118" i="24"/>
  <c r="AV118" i="24"/>
  <c r="AU118" i="24"/>
  <c r="AT118" i="24"/>
  <c r="AS118" i="24"/>
  <c r="AR118" i="24"/>
  <c r="AQ118" i="24"/>
  <c r="AP118" i="24"/>
  <c r="AO118" i="24"/>
  <c r="AN118" i="24"/>
  <c r="AM118" i="24"/>
  <c r="AL118" i="24"/>
  <c r="AK118" i="24"/>
  <c r="AJ118" i="24"/>
  <c r="AI118" i="24"/>
  <c r="AH118" i="24"/>
  <c r="AG118" i="24"/>
  <c r="AF118" i="24"/>
  <c r="AE118" i="24"/>
  <c r="AD118" i="24"/>
  <c r="AC118" i="24"/>
  <c r="AB118" i="24"/>
  <c r="AY117" i="24"/>
  <c r="AX117" i="24"/>
  <c r="AW117" i="24"/>
  <c r="AV117" i="24"/>
  <c r="AU117" i="24"/>
  <c r="AT117" i="24"/>
  <c r="AS117" i="24"/>
  <c r="AR117" i="24"/>
  <c r="AQ117" i="24"/>
  <c r="AP117" i="24"/>
  <c r="AO117" i="24"/>
  <c r="AN117" i="24"/>
  <c r="AM117" i="24"/>
  <c r="AL117" i="24"/>
  <c r="AK117" i="24"/>
  <c r="AJ117" i="24"/>
  <c r="AI117" i="24"/>
  <c r="AH117" i="24"/>
  <c r="AG117" i="24"/>
  <c r="AF117" i="24"/>
  <c r="AE117" i="24"/>
  <c r="AD117" i="24"/>
  <c r="AC117" i="24"/>
  <c r="AB117" i="24"/>
  <c r="AY116" i="24"/>
  <c r="AX116" i="24"/>
  <c r="AW116" i="24"/>
  <c r="AV116" i="24"/>
  <c r="AU116" i="24"/>
  <c r="AT116" i="24"/>
  <c r="AS116" i="24"/>
  <c r="AR116" i="24"/>
  <c r="AQ116" i="24"/>
  <c r="AP116" i="24"/>
  <c r="AO116" i="24"/>
  <c r="AN116" i="24"/>
  <c r="AM116" i="24"/>
  <c r="AL116" i="24"/>
  <c r="AK116" i="24"/>
  <c r="AJ116" i="24"/>
  <c r="AI116" i="24"/>
  <c r="AH116" i="24"/>
  <c r="AG116" i="24"/>
  <c r="AF116" i="24"/>
  <c r="AE116" i="24"/>
  <c r="AD116" i="24"/>
  <c r="AC116" i="24"/>
  <c r="AB116" i="24"/>
  <c r="AY115" i="24"/>
  <c r="AX115" i="24"/>
  <c r="AW115" i="24"/>
  <c r="AV115" i="24"/>
  <c r="AU115" i="24"/>
  <c r="AT115" i="24"/>
  <c r="AS115" i="24"/>
  <c r="AR115" i="24"/>
  <c r="AQ115" i="24"/>
  <c r="AP115" i="24"/>
  <c r="AO115" i="24"/>
  <c r="AN115" i="24"/>
  <c r="AM115" i="24"/>
  <c r="AL115" i="24"/>
  <c r="AK115" i="24"/>
  <c r="AJ115" i="24"/>
  <c r="AI115" i="24"/>
  <c r="AH115" i="24"/>
  <c r="AG115" i="24"/>
  <c r="AF115" i="24"/>
  <c r="AE115" i="24"/>
  <c r="AD115" i="24"/>
  <c r="AC115" i="24"/>
  <c r="AB115" i="24"/>
  <c r="AY114" i="24"/>
  <c r="AX114" i="24"/>
  <c r="AW114" i="24"/>
  <c r="AV114" i="24"/>
  <c r="AU114" i="24"/>
  <c r="AT114" i="24"/>
  <c r="AS114" i="24"/>
  <c r="AR114" i="24"/>
  <c r="AQ114" i="24"/>
  <c r="AP114" i="24"/>
  <c r="AO114" i="24"/>
  <c r="AN114" i="24"/>
  <c r="AM114" i="24"/>
  <c r="AL114" i="24"/>
  <c r="AK114" i="24"/>
  <c r="AJ114" i="24"/>
  <c r="AI114" i="24"/>
  <c r="AH114" i="24"/>
  <c r="AG114" i="24"/>
  <c r="AF114" i="24"/>
  <c r="AE114" i="24"/>
  <c r="AD114" i="24"/>
  <c r="AC114" i="24"/>
  <c r="AB114" i="24"/>
  <c r="AY113" i="24"/>
  <c r="AX113" i="24"/>
  <c r="AW113" i="24"/>
  <c r="AV113" i="24"/>
  <c r="AU113" i="24"/>
  <c r="AT113" i="24"/>
  <c r="AS113" i="24"/>
  <c r="AR113" i="24"/>
  <c r="AQ113" i="24"/>
  <c r="AP113" i="24"/>
  <c r="AO113" i="24"/>
  <c r="AN113" i="24"/>
  <c r="AM113" i="24"/>
  <c r="AL113" i="24"/>
  <c r="AK113" i="24"/>
  <c r="AJ113" i="24"/>
  <c r="AI113" i="24"/>
  <c r="AH113" i="24"/>
  <c r="AG113" i="24"/>
  <c r="AF113" i="24"/>
  <c r="AE113" i="24"/>
  <c r="AD113" i="24"/>
  <c r="AC113" i="24"/>
  <c r="AB113" i="24"/>
  <c r="AY112" i="24"/>
  <c r="AX112" i="24"/>
  <c r="AW112" i="24"/>
  <c r="AV112" i="24"/>
  <c r="AU112" i="24"/>
  <c r="AT112" i="24"/>
  <c r="AS112" i="24"/>
  <c r="AR112" i="24"/>
  <c r="AQ112" i="24"/>
  <c r="AP112" i="24"/>
  <c r="AO112" i="24"/>
  <c r="AN112" i="24"/>
  <c r="AM112" i="24"/>
  <c r="AL112" i="24"/>
  <c r="AK112" i="24"/>
  <c r="AJ112" i="24"/>
  <c r="AI112" i="24"/>
  <c r="AH112" i="24"/>
  <c r="AG112" i="24"/>
  <c r="AF112" i="24"/>
  <c r="AE112" i="24"/>
  <c r="AD112" i="24"/>
  <c r="AC112" i="24"/>
  <c r="AB112" i="24"/>
  <c r="AY111" i="24"/>
  <c r="AX111" i="24"/>
  <c r="AW111" i="24"/>
  <c r="AV111" i="24"/>
  <c r="AU111" i="24"/>
  <c r="AT111" i="24"/>
  <c r="AS111" i="24"/>
  <c r="AR111" i="24"/>
  <c r="AQ111" i="24"/>
  <c r="AP111" i="24"/>
  <c r="AO111" i="24"/>
  <c r="AN111" i="24"/>
  <c r="AM111" i="24"/>
  <c r="AL111" i="24"/>
  <c r="AK111" i="24"/>
  <c r="AJ111" i="24"/>
  <c r="AI111" i="24"/>
  <c r="AH111" i="24"/>
  <c r="AG111" i="24"/>
  <c r="AF111" i="24"/>
  <c r="AE111" i="24"/>
  <c r="AD111" i="24"/>
  <c r="AC111" i="24"/>
  <c r="AB111" i="24"/>
  <c r="AY110" i="24"/>
  <c r="AX110" i="24"/>
  <c r="AW110" i="24"/>
  <c r="AV110" i="24"/>
  <c r="AU110" i="24"/>
  <c r="AT110" i="24"/>
  <c r="AS110" i="24"/>
  <c r="AR110" i="24"/>
  <c r="AQ110" i="24"/>
  <c r="AP110" i="24"/>
  <c r="AO110" i="24"/>
  <c r="AN110" i="24"/>
  <c r="AM110" i="24"/>
  <c r="AL110" i="24"/>
  <c r="AK110" i="24"/>
  <c r="AJ110" i="24"/>
  <c r="AI110" i="24"/>
  <c r="AH110" i="24"/>
  <c r="AG110" i="24"/>
  <c r="AF110" i="24"/>
  <c r="AE110" i="24"/>
  <c r="AD110" i="24"/>
  <c r="AC110" i="24"/>
  <c r="AB110" i="24"/>
  <c r="AY109" i="24"/>
  <c r="AX109" i="24"/>
  <c r="AW109" i="24"/>
  <c r="AV109" i="24"/>
  <c r="AU109" i="24"/>
  <c r="AT109" i="24"/>
  <c r="AS109" i="24"/>
  <c r="AR109" i="24"/>
  <c r="AQ109" i="24"/>
  <c r="AP109" i="24"/>
  <c r="AO109" i="24"/>
  <c r="AN109" i="24"/>
  <c r="AM109" i="24"/>
  <c r="AL109" i="24"/>
  <c r="AK109" i="24"/>
  <c r="AJ109" i="24"/>
  <c r="AI109" i="24"/>
  <c r="AH109" i="24"/>
  <c r="AG109" i="24"/>
  <c r="AF109" i="24"/>
  <c r="AE109" i="24"/>
  <c r="AD109" i="24"/>
  <c r="AC109" i="24"/>
  <c r="AB109" i="24"/>
  <c r="AY108" i="24"/>
  <c r="AX108" i="24"/>
  <c r="AW108" i="24"/>
  <c r="AV108" i="24"/>
  <c r="AU108" i="24"/>
  <c r="AT108" i="24"/>
  <c r="AS108" i="24"/>
  <c r="AR108" i="24"/>
  <c r="AQ108" i="24"/>
  <c r="AP108" i="24"/>
  <c r="AO108" i="24"/>
  <c r="AN108" i="24"/>
  <c r="AM108" i="24"/>
  <c r="AL108" i="24"/>
  <c r="AK108" i="24"/>
  <c r="AJ108" i="24"/>
  <c r="AI108" i="24"/>
  <c r="AH108" i="24"/>
  <c r="AG108" i="24"/>
  <c r="AF108" i="24"/>
  <c r="AE108" i="24"/>
  <c r="AD108" i="24"/>
  <c r="AC108" i="24"/>
  <c r="AB108" i="24"/>
  <c r="AY107" i="24"/>
  <c r="AX107" i="24"/>
  <c r="AW107" i="24"/>
  <c r="AV107" i="24"/>
  <c r="AU107" i="24"/>
  <c r="AT107" i="24"/>
  <c r="AS107" i="24"/>
  <c r="AR107" i="24"/>
  <c r="AQ107" i="24"/>
  <c r="AP107" i="24"/>
  <c r="AO107" i="24"/>
  <c r="AN107" i="24"/>
  <c r="AM107" i="24"/>
  <c r="AL107" i="24"/>
  <c r="AK107" i="24"/>
  <c r="AJ107" i="24"/>
  <c r="AI107" i="24"/>
  <c r="AH107" i="24"/>
  <c r="AG107" i="24"/>
  <c r="AF107" i="24"/>
  <c r="AE107" i="24"/>
  <c r="AD107" i="24"/>
  <c r="AC107" i="24"/>
  <c r="AB107" i="24"/>
  <c r="AY106" i="24"/>
  <c r="AX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AL106" i="24"/>
  <c r="AK106" i="24"/>
  <c r="AJ106" i="24"/>
  <c r="AI106" i="24"/>
  <c r="AH106" i="24"/>
  <c r="AG106" i="24"/>
  <c r="AF106" i="24"/>
  <c r="AE106" i="24"/>
  <c r="AD106" i="24"/>
  <c r="AC106" i="24"/>
  <c r="AB106" i="24"/>
  <c r="AY105" i="24"/>
  <c r="AX105" i="24"/>
  <c r="AW105" i="24"/>
  <c r="AV105" i="24"/>
  <c r="AU105" i="24"/>
  <c r="AT105" i="24"/>
  <c r="AS105" i="24"/>
  <c r="AR105" i="24"/>
  <c r="AQ105" i="24"/>
  <c r="AP105" i="24"/>
  <c r="AO105" i="24"/>
  <c r="AN105" i="24"/>
  <c r="AM105" i="24"/>
  <c r="AL105" i="24"/>
  <c r="AK105" i="24"/>
  <c r="AJ105" i="24"/>
  <c r="AI105" i="24"/>
  <c r="AH105" i="24"/>
  <c r="AG105" i="24"/>
  <c r="AF105" i="24"/>
  <c r="AE105" i="24"/>
  <c r="AD105" i="24"/>
  <c r="AC105" i="24"/>
  <c r="AB105" i="24"/>
  <c r="AY104" i="24"/>
  <c r="AX104" i="24"/>
  <c r="AW104" i="24"/>
  <c r="AV104" i="24"/>
  <c r="AU104" i="24"/>
  <c r="AT104" i="24"/>
  <c r="AS104" i="24"/>
  <c r="AR104" i="24"/>
  <c r="AQ104" i="24"/>
  <c r="AP104" i="24"/>
  <c r="AO104" i="24"/>
  <c r="AN104" i="24"/>
  <c r="AM104" i="24"/>
  <c r="AL104" i="24"/>
  <c r="AK104" i="24"/>
  <c r="AJ104" i="24"/>
  <c r="AI104" i="24"/>
  <c r="AH104" i="24"/>
  <c r="AG104" i="24"/>
  <c r="AF104" i="24"/>
  <c r="AE104" i="24"/>
  <c r="AD104" i="24"/>
  <c r="AC104" i="24"/>
  <c r="AB104" i="24"/>
  <c r="R121" i="15" l="1"/>
  <c r="S121" i="15" s="1"/>
  <c r="O121" i="15"/>
  <c r="P121" i="15" s="1"/>
  <c r="L121" i="15"/>
  <c r="M121" i="15" s="1"/>
  <c r="I121" i="15"/>
  <c r="J121" i="15" s="1"/>
  <c r="F121" i="15"/>
  <c r="G121" i="15" s="1"/>
  <c r="C121" i="15"/>
  <c r="D121" i="15" s="1"/>
  <c r="R120" i="15" l="1"/>
  <c r="S120" i="15" s="1"/>
  <c r="O120" i="15"/>
  <c r="P120" i="15" s="1"/>
  <c r="L120" i="15"/>
  <c r="M120" i="15" s="1"/>
  <c r="I120" i="15"/>
  <c r="J120" i="15" s="1"/>
  <c r="F120" i="15"/>
  <c r="G120" i="15" s="1"/>
  <c r="C120" i="15"/>
  <c r="D120" i="15" s="1"/>
  <c r="D70" i="57" l="1"/>
  <c r="D87" i="57" s="1"/>
  <c r="D89" i="57"/>
  <c r="C78" i="57"/>
  <c r="C87" i="57" s="1"/>
  <c r="D78" i="57"/>
  <c r="B78" i="57"/>
  <c r="C57" i="57"/>
  <c r="C70" i="57" s="1"/>
  <c r="D57" i="57"/>
  <c r="B57" i="57"/>
  <c r="B70" i="57" s="1"/>
  <c r="B87" i="57" l="1"/>
  <c r="B73" i="57"/>
  <c r="R119" i="15" l="1"/>
  <c r="S119" i="15" s="1"/>
  <c r="O119" i="15"/>
  <c r="P119" i="15" s="1"/>
  <c r="L119" i="15"/>
  <c r="M119" i="15" s="1"/>
  <c r="I119" i="15"/>
  <c r="J119" i="15" s="1"/>
  <c r="F119" i="15"/>
  <c r="G119" i="15" s="1"/>
  <c r="C119" i="15"/>
  <c r="D119" i="15" s="1"/>
  <c r="R118" i="15" l="1"/>
  <c r="S118" i="15" s="1"/>
  <c r="R116" i="15"/>
  <c r="R117" i="15"/>
  <c r="R114" i="15"/>
  <c r="O118" i="15"/>
  <c r="P118" i="15" s="1"/>
  <c r="L118" i="15"/>
  <c r="M118" i="15" s="1"/>
  <c r="I118" i="15"/>
  <c r="J118" i="15" s="1"/>
  <c r="F118" i="15"/>
  <c r="G118" i="15" s="1"/>
  <c r="C118" i="15"/>
  <c r="D118" i="15" s="1"/>
  <c r="S117" i="15" l="1"/>
  <c r="O117" i="15"/>
  <c r="P117" i="15" s="1"/>
  <c r="L117" i="15"/>
  <c r="M117" i="15" s="1"/>
  <c r="I117" i="15"/>
  <c r="J117" i="15" s="1"/>
  <c r="F117" i="15"/>
  <c r="G117" i="15" s="1"/>
  <c r="C117" i="15"/>
  <c r="D117" i="15" s="1"/>
  <c r="S116" i="15" l="1"/>
  <c r="U116" i="15" s="1"/>
  <c r="O116" i="15"/>
  <c r="P116" i="15" s="1"/>
  <c r="L116" i="15"/>
  <c r="M116" i="15" s="1"/>
  <c r="I116" i="15"/>
  <c r="J116" i="15" s="1"/>
  <c r="F116" i="15"/>
  <c r="G116" i="15" s="1"/>
  <c r="C116" i="15"/>
  <c r="D116" i="15" s="1"/>
  <c r="S115" i="15" l="1"/>
  <c r="O115" i="15"/>
  <c r="P115" i="15" s="1"/>
  <c r="L115" i="15"/>
  <c r="M115" i="15" s="1"/>
  <c r="I115" i="15"/>
  <c r="J115" i="15" s="1"/>
  <c r="F115" i="15"/>
  <c r="G115" i="15" s="1"/>
  <c r="C115" i="15"/>
  <c r="D115" i="15" s="1"/>
  <c r="S114" i="15" l="1"/>
  <c r="O114" i="15"/>
  <c r="P114" i="15" s="1"/>
  <c r="L114" i="15"/>
  <c r="M114" i="15" s="1"/>
  <c r="I114" i="15"/>
  <c r="J114" i="15" s="1"/>
  <c r="F114" i="15"/>
  <c r="G114" i="15" s="1"/>
  <c r="C114" i="15"/>
  <c r="D114" i="15" s="1"/>
  <c r="O113" i="15" l="1"/>
  <c r="P113" i="15" s="1"/>
  <c r="R113" i="15"/>
  <c r="S113" i="15" s="1"/>
  <c r="L113" i="15"/>
  <c r="M113" i="15" s="1"/>
  <c r="I113" i="15"/>
  <c r="J113" i="15" s="1"/>
  <c r="F113" i="15"/>
  <c r="G113" i="15" s="1"/>
  <c r="C113" i="15"/>
  <c r="D113" i="15" s="1"/>
  <c r="R112" i="15" l="1"/>
  <c r="S112" i="15" s="1"/>
  <c r="O112" i="15"/>
  <c r="P112" i="15" s="1"/>
  <c r="L112" i="15"/>
  <c r="M112" i="15" s="1"/>
  <c r="I112" i="15"/>
  <c r="J112" i="15" s="1"/>
  <c r="F112" i="15"/>
  <c r="G112" i="15" s="1"/>
  <c r="C112" i="15"/>
  <c r="D112" i="15" s="1"/>
  <c r="R111" i="15" l="1"/>
  <c r="S111" i="15" s="1"/>
  <c r="O111" i="15"/>
  <c r="P111" i="15" s="1"/>
  <c r="L111" i="15"/>
  <c r="M111" i="15" s="1"/>
  <c r="I111" i="15"/>
  <c r="J111" i="15" s="1"/>
  <c r="F111" i="15"/>
  <c r="G111" i="15" s="1"/>
  <c r="C111" i="15"/>
  <c r="D111" i="15" s="1"/>
  <c r="R110" i="15" l="1"/>
  <c r="S110" i="15" s="1"/>
  <c r="O110" i="15"/>
  <c r="P110" i="15" s="1"/>
  <c r="L110" i="15"/>
  <c r="M110" i="15" s="1"/>
  <c r="I110" i="15"/>
  <c r="J110" i="15" s="1"/>
  <c r="F110" i="15"/>
  <c r="G110" i="15" s="1"/>
  <c r="C110" i="15"/>
  <c r="D110" i="15" s="1"/>
  <c r="R109" i="15" l="1"/>
  <c r="S109" i="15" s="1"/>
  <c r="O109" i="15"/>
  <c r="P109" i="15" s="1"/>
  <c r="L109" i="15"/>
  <c r="M109" i="15" s="1"/>
  <c r="I109" i="15"/>
  <c r="J109" i="15" s="1"/>
  <c r="F109" i="15"/>
  <c r="G109" i="15" s="1"/>
  <c r="C109" i="15"/>
  <c r="D109" i="15" s="1"/>
  <c r="R108" i="15" l="1"/>
  <c r="S108" i="15" s="1"/>
  <c r="O108" i="15"/>
  <c r="P108" i="15" s="1"/>
  <c r="L108" i="15"/>
  <c r="M108" i="15" s="1"/>
  <c r="I108" i="15"/>
  <c r="J108" i="15" s="1"/>
  <c r="F108" i="15"/>
  <c r="G108" i="15" s="1"/>
  <c r="C108" i="15"/>
  <c r="D108" i="15" s="1"/>
  <c r="R107" i="15" l="1"/>
  <c r="S107" i="15" s="1"/>
  <c r="O107" i="15"/>
  <c r="P107" i="15" s="1"/>
  <c r="L107" i="15"/>
  <c r="M107" i="15" s="1"/>
  <c r="I107" i="15"/>
  <c r="J107" i="15" s="1"/>
  <c r="F107" i="15"/>
  <c r="G107" i="15" s="1"/>
  <c r="C107" i="15"/>
  <c r="D107" i="15" s="1"/>
  <c r="R106" i="15" l="1"/>
  <c r="S106" i="15" s="1"/>
  <c r="O106" i="15"/>
  <c r="P106" i="15" s="1"/>
  <c r="L106" i="15"/>
  <c r="M106" i="15" s="1"/>
  <c r="I106" i="15"/>
  <c r="J106" i="15" s="1"/>
  <c r="F106" i="15"/>
  <c r="G106" i="15" s="1"/>
  <c r="C106" i="15"/>
  <c r="D106" i="15" s="1"/>
  <c r="R105" i="15" l="1"/>
  <c r="S105" i="15" s="1"/>
  <c r="O105" i="15"/>
  <c r="P105" i="15" s="1"/>
  <c r="L105" i="15"/>
  <c r="M105" i="15" s="1"/>
  <c r="I105" i="15"/>
  <c r="J105" i="15" s="1"/>
  <c r="F105" i="15"/>
  <c r="G105" i="15" s="1"/>
  <c r="C105" i="15"/>
  <c r="D105" i="15" s="1"/>
  <c r="R104" i="15" l="1"/>
  <c r="S104" i="15" s="1"/>
  <c r="O104" i="15"/>
  <c r="P104" i="15" s="1"/>
  <c r="L104" i="15"/>
  <c r="M104" i="15" s="1"/>
  <c r="I104" i="15"/>
  <c r="J104" i="15" s="1"/>
  <c r="F104" i="15"/>
  <c r="G104" i="15" s="1"/>
  <c r="C104" i="15"/>
  <c r="D104" i="15" s="1"/>
  <c r="R103" i="15" l="1"/>
  <c r="S103" i="15" s="1"/>
  <c r="O103" i="15"/>
  <c r="P103" i="15" s="1"/>
  <c r="L103" i="15"/>
  <c r="M103" i="15" s="1"/>
  <c r="I103" i="15"/>
  <c r="J103" i="15" s="1"/>
  <c r="F103" i="15"/>
  <c r="G103" i="15" s="1"/>
  <c r="C103" i="15"/>
  <c r="D103" i="15" s="1"/>
  <c r="R102" i="15" l="1"/>
  <c r="S102" i="15" s="1"/>
  <c r="O102" i="15"/>
  <c r="P102" i="15" s="1"/>
  <c r="L102" i="15"/>
  <c r="M102" i="15" s="1"/>
  <c r="I102" i="15"/>
  <c r="J102" i="15" s="1"/>
  <c r="F102" i="15"/>
  <c r="G102" i="15" s="1"/>
  <c r="C102" i="15"/>
  <c r="D102" i="15" s="1"/>
  <c r="R101" i="15" l="1"/>
  <c r="S101" i="15" s="1"/>
  <c r="O101" i="15"/>
  <c r="P101" i="15" s="1"/>
  <c r="L101" i="15"/>
  <c r="M101" i="15" s="1"/>
  <c r="I101" i="15"/>
  <c r="J101" i="15" s="1"/>
  <c r="F101" i="15"/>
  <c r="G101" i="15" s="1"/>
  <c r="C101" i="15"/>
  <c r="D101" i="15" s="1"/>
  <c r="R100" i="15" l="1"/>
  <c r="S100" i="15" s="1"/>
  <c r="O100" i="15"/>
  <c r="P100" i="15" s="1"/>
  <c r="L100" i="15"/>
  <c r="M100" i="15" s="1"/>
  <c r="I100" i="15"/>
  <c r="J100" i="15" s="1"/>
  <c r="F100" i="15"/>
  <c r="G100" i="15" s="1"/>
  <c r="C100" i="15"/>
  <c r="D100" i="15" s="1"/>
  <c r="R99" i="15" l="1"/>
  <c r="S99" i="15" s="1"/>
  <c r="O99" i="15"/>
  <c r="P99" i="15" s="1"/>
  <c r="L99" i="15"/>
  <c r="M99" i="15" s="1"/>
  <c r="I99" i="15"/>
  <c r="J99" i="15" s="1"/>
  <c r="F99" i="15"/>
  <c r="G99" i="15" s="1"/>
  <c r="C99" i="15"/>
  <c r="D99" i="15" s="1"/>
  <c r="R98" i="15" l="1"/>
  <c r="S98" i="15" s="1"/>
  <c r="O98" i="15"/>
  <c r="P98" i="15" s="1"/>
  <c r="L98" i="15"/>
  <c r="M98" i="15" s="1"/>
  <c r="I98" i="15"/>
  <c r="J98" i="15" s="1"/>
  <c r="F98" i="15"/>
  <c r="G98" i="15" s="1"/>
  <c r="C98" i="15"/>
  <c r="D98" i="15" s="1"/>
  <c r="P96" i="19" l="1"/>
  <c r="BK96" i="19" s="1"/>
  <c r="R97" i="15"/>
  <c r="S97" i="15" s="1"/>
  <c r="O97" i="15"/>
  <c r="P97" i="15" s="1"/>
  <c r="L97" i="15"/>
  <c r="M97" i="15" s="1"/>
  <c r="I97" i="15"/>
  <c r="J97" i="15" s="1"/>
  <c r="F97" i="15"/>
  <c r="G97" i="15" s="1"/>
  <c r="C97" i="15"/>
  <c r="D97" i="15" s="1"/>
  <c r="S71" i="15" l="1"/>
  <c r="Y73" i="15" l="1"/>
  <c r="H96" i="17" l="1"/>
  <c r="C96" i="17"/>
  <c r="K3" i="14"/>
  <c r="L3" i="14" s="1"/>
  <c r="K4" i="14"/>
  <c r="L4" i="14" s="1"/>
  <c r="K5" i="14"/>
  <c r="L5" i="14" s="1"/>
  <c r="K6" i="14"/>
  <c r="L6" i="14" s="1"/>
  <c r="K7" i="14"/>
  <c r="L7" i="14" s="1"/>
  <c r="K8" i="14"/>
  <c r="L8" i="14" s="1"/>
  <c r="K9" i="14"/>
  <c r="L9" i="14" s="1"/>
  <c r="K10" i="14"/>
  <c r="L10" i="14" s="1"/>
  <c r="K11" i="14"/>
  <c r="L11" i="14" s="1"/>
  <c r="K12" i="14"/>
  <c r="L12" i="14" s="1"/>
  <c r="K13" i="14"/>
  <c r="L13" i="14" s="1"/>
  <c r="K14" i="14"/>
  <c r="L14" i="14" s="1"/>
  <c r="K15" i="14"/>
  <c r="L15" i="14" s="1"/>
  <c r="K16" i="14"/>
  <c r="L16" i="14" s="1"/>
  <c r="K17" i="14"/>
  <c r="L17" i="14" s="1"/>
  <c r="K18" i="14"/>
  <c r="L18" i="14" s="1"/>
  <c r="K19" i="14"/>
  <c r="L19" i="14" s="1"/>
  <c r="K20" i="14"/>
  <c r="L20" i="14" s="1"/>
  <c r="K21" i="14"/>
  <c r="L21" i="14" s="1"/>
  <c r="K22" i="14"/>
  <c r="L22" i="14" s="1"/>
  <c r="K23" i="14"/>
  <c r="L23" i="14" s="1"/>
  <c r="K24" i="14"/>
  <c r="L24" i="14" s="1"/>
  <c r="K25" i="14"/>
  <c r="L25" i="14" s="1"/>
  <c r="K26" i="14"/>
  <c r="L26" i="14" s="1"/>
  <c r="K27" i="14"/>
  <c r="L27" i="14" s="1"/>
  <c r="K28" i="14"/>
  <c r="L28" i="14" s="1"/>
  <c r="K29" i="14"/>
  <c r="L29" i="14" s="1"/>
  <c r="K30" i="14"/>
  <c r="L30" i="14" s="1"/>
  <c r="K31" i="14"/>
  <c r="L31" i="14" s="1"/>
  <c r="K32" i="14"/>
  <c r="L32" i="14" s="1"/>
  <c r="K33" i="14"/>
  <c r="L33" i="14" s="1"/>
  <c r="K34" i="14"/>
  <c r="L34" i="14" s="1"/>
  <c r="K35" i="14"/>
  <c r="L35" i="14" s="1"/>
  <c r="K36" i="14"/>
  <c r="L36" i="14" s="1"/>
  <c r="K37" i="14"/>
  <c r="L37" i="14" s="1"/>
  <c r="K38" i="14"/>
  <c r="L38" i="14" s="1"/>
  <c r="K39" i="14"/>
  <c r="L39" i="14" s="1"/>
  <c r="K40" i="14"/>
  <c r="L40" i="14" s="1"/>
  <c r="K41" i="14"/>
  <c r="L41" i="14" s="1"/>
  <c r="K42" i="14"/>
  <c r="L42" i="14" s="1"/>
  <c r="K43" i="14"/>
  <c r="L43" i="14" s="1"/>
  <c r="K44" i="14"/>
  <c r="L44" i="14" s="1"/>
  <c r="K45" i="14"/>
  <c r="L45" i="14" s="1"/>
  <c r="K46" i="14"/>
  <c r="L46" i="14" s="1"/>
  <c r="K47" i="14"/>
  <c r="L47" i="14" s="1"/>
  <c r="K48" i="14"/>
  <c r="L48" i="14" s="1"/>
  <c r="K49" i="14"/>
  <c r="L49" i="14" s="1"/>
  <c r="K50" i="14"/>
  <c r="L50" i="14" s="1"/>
  <c r="K51" i="14"/>
  <c r="L51" i="14" s="1"/>
  <c r="K52" i="14"/>
  <c r="L52" i="14" s="1"/>
  <c r="K53" i="14"/>
  <c r="L53" i="14" s="1"/>
  <c r="K54" i="14"/>
  <c r="L54" i="14" s="1"/>
  <c r="K55" i="14"/>
  <c r="L55" i="14" s="1"/>
  <c r="K56" i="14"/>
  <c r="L56" i="14" s="1"/>
  <c r="K57" i="14"/>
  <c r="L57" i="14" s="1"/>
  <c r="K58" i="14"/>
  <c r="L58" i="14" s="1"/>
  <c r="K59" i="14"/>
  <c r="L59" i="14" s="1"/>
  <c r="K60" i="14"/>
  <c r="L60" i="14" s="1"/>
  <c r="K61" i="14"/>
  <c r="L61" i="14" s="1"/>
  <c r="K62" i="14"/>
  <c r="L62" i="14" s="1"/>
  <c r="K63" i="14"/>
  <c r="L63" i="14" s="1"/>
  <c r="K64" i="14"/>
  <c r="L64" i="14" s="1"/>
  <c r="K65" i="14"/>
  <c r="L65" i="14" s="1"/>
  <c r="K66" i="14"/>
  <c r="L66" i="14" s="1"/>
  <c r="K67" i="14"/>
  <c r="L67" i="14" s="1"/>
  <c r="K68" i="14"/>
  <c r="L68" i="14" s="1"/>
  <c r="K69" i="14"/>
  <c r="L69" i="14" s="1"/>
  <c r="K70" i="14"/>
  <c r="L70" i="14" s="1"/>
  <c r="K71" i="14"/>
  <c r="L71" i="14" s="1"/>
  <c r="K72" i="14"/>
  <c r="L72" i="14" s="1"/>
  <c r="K73" i="14"/>
  <c r="L73" i="14" s="1"/>
  <c r="K74" i="14"/>
  <c r="L74" i="14" s="1"/>
  <c r="K75" i="14"/>
  <c r="L75" i="14" s="1"/>
  <c r="K76" i="14"/>
  <c r="L76" i="14" s="1"/>
  <c r="K77" i="14"/>
  <c r="L77" i="14" s="1"/>
  <c r="K78" i="14"/>
  <c r="L78" i="14" s="1"/>
  <c r="K79" i="14"/>
  <c r="L79" i="14" s="1"/>
  <c r="K80" i="14"/>
  <c r="L80" i="14" s="1"/>
  <c r="K81" i="14"/>
  <c r="L81" i="14" s="1"/>
  <c r="K82" i="14"/>
  <c r="L82" i="14" s="1"/>
  <c r="K83" i="14"/>
  <c r="L83" i="14" s="1"/>
  <c r="K84" i="14"/>
  <c r="L84" i="14" s="1"/>
  <c r="K85" i="14"/>
  <c r="L85" i="14" s="1"/>
  <c r="K86" i="14"/>
  <c r="L86" i="14" s="1"/>
  <c r="K87" i="14"/>
  <c r="L87" i="14" s="1"/>
  <c r="K88" i="14"/>
  <c r="L88" i="14" s="1"/>
  <c r="K89" i="14"/>
  <c r="L89" i="14" s="1"/>
  <c r="K90" i="14"/>
  <c r="L90" i="14" s="1"/>
  <c r="K91" i="14"/>
  <c r="L91" i="14" s="1"/>
  <c r="K92" i="14"/>
  <c r="L92" i="14" s="1"/>
  <c r="K93" i="14"/>
  <c r="L93" i="14" s="1"/>
  <c r="K94" i="14"/>
  <c r="L94" i="14" s="1"/>
  <c r="K95" i="14"/>
  <c r="L95" i="14" s="1"/>
  <c r="K96" i="14"/>
  <c r="L96" i="14" s="1"/>
  <c r="K97" i="14"/>
  <c r="L97" i="14" s="1"/>
  <c r="K98" i="14"/>
  <c r="L98" i="14" s="1"/>
  <c r="K99" i="14"/>
  <c r="L99" i="14" s="1"/>
  <c r="K100" i="14"/>
  <c r="L100" i="14" s="1"/>
  <c r="K101" i="14"/>
  <c r="L101" i="14" s="1"/>
  <c r="K102" i="14"/>
  <c r="L102" i="14" s="1"/>
  <c r="K103" i="14"/>
  <c r="L103" i="14" s="1"/>
  <c r="K104" i="14"/>
  <c r="L104" i="14" s="1"/>
  <c r="K105" i="14"/>
  <c r="L105" i="14" s="1"/>
  <c r="K106" i="14"/>
  <c r="L106" i="14" s="1"/>
  <c r="K107" i="14"/>
  <c r="L107" i="14" s="1"/>
  <c r="K108" i="14"/>
  <c r="L108" i="14" s="1"/>
  <c r="K109" i="14"/>
  <c r="L109" i="14" s="1"/>
  <c r="K110" i="14"/>
  <c r="L110" i="14" s="1"/>
  <c r="K111" i="14"/>
  <c r="L111" i="14" s="1"/>
  <c r="K112" i="14"/>
  <c r="L112" i="14" s="1"/>
  <c r="K113" i="14"/>
  <c r="L113" i="14" s="1"/>
  <c r="K114" i="14"/>
  <c r="L114" i="14" s="1"/>
  <c r="K115" i="14"/>
  <c r="L115" i="14" s="1"/>
  <c r="K116" i="14"/>
  <c r="L116" i="14" s="1"/>
  <c r="K117" i="14"/>
  <c r="L117" i="14" s="1"/>
  <c r="K118" i="14"/>
  <c r="L118" i="14" s="1"/>
  <c r="K119" i="14"/>
  <c r="L119" i="14" s="1"/>
  <c r="K120" i="14"/>
  <c r="L120" i="14" s="1"/>
  <c r="K121" i="14"/>
  <c r="L121" i="14" s="1"/>
  <c r="K122" i="14"/>
  <c r="L122" i="14" s="1"/>
  <c r="K123" i="14"/>
  <c r="L123" i="14" s="1"/>
  <c r="K124" i="14"/>
  <c r="L124" i="14" s="1"/>
  <c r="K125" i="14"/>
  <c r="L125" i="14" s="1"/>
  <c r="K126" i="14"/>
  <c r="L126" i="14" s="1"/>
  <c r="K127" i="14"/>
  <c r="L127" i="14" s="1"/>
  <c r="K128" i="14"/>
  <c r="L128" i="14" s="1"/>
  <c r="K129" i="14"/>
  <c r="L129" i="14" s="1"/>
  <c r="K130" i="14"/>
  <c r="L130" i="14" s="1"/>
  <c r="K131" i="14"/>
  <c r="L131" i="14" s="1"/>
  <c r="K132" i="14"/>
  <c r="L132" i="14" s="1"/>
  <c r="K133" i="14"/>
  <c r="L133" i="14" s="1"/>
  <c r="K134" i="14"/>
  <c r="L134" i="14" s="1"/>
  <c r="K135" i="14"/>
  <c r="L135" i="14" s="1"/>
  <c r="K136" i="14"/>
  <c r="L136" i="14" s="1"/>
  <c r="K137" i="14"/>
  <c r="L137" i="14" s="1"/>
  <c r="K138" i="14"/>
  <c r="L138" i="14" s="1"/>
  <c r="K139" i="14"/>
  <c r="L139" i="14" s="1"/>
  <c r="K140" i="14"/>
  <c r="L140" i="14" s="1"/>
  <c r="K141" i="14"/>
  <c r="L141" i="14" s="1"/>
  <c r="K142" i="14"/>
  <c r="L142" i="14" s="1"/>
  <c r="K143" i="14"/>
  <c r="L143" i="14" s="1"/>
  <c r="K144" i="14"/>
  <c r="L144" i="14" s="1"/>
  <c r="K145" i="14"/>
  <c r="L145" i="14" s="1"/>
  <c r="K146" i="14"/>
  <c r="L146" i="14" s="1"/>
  <c r="K147" i="14"/>
  <c r="L147" i="14" s="1"/>
  <c r="K148" i="14"/>
  <c r="L148" i="14" s="1"/>
  <c r="K149" i="14"/>
  <c r="L149" i="14" s="1"/>
  <c r="K150" i="14"/>
  <c r="L150" i="14" s="1"/>
  <c r="K151" i="14"/>
  <c r="L151" i="14" s="1"/>
  <c r="K152" i="14"/>
  <c r="L152" i="14" s="1"/>
  <c r="K153" i="14"/>
  <c r="L153" i="14" s="1"/>
  <c r="K154" i="14"/>
  <c r="L154" i="14" s="1"/>
  <c r="K155" i="14"/>
  <c r="L155" i="14" s="1"/>
  <c r="K156" i="14"/>
  <c r="L156" i="14" s="1"/>
  <c r="K157" i="14"/>
  <c r="L157" i="14" s="1"/>
  <c r="K158" i="14"/>
  <c r="L158" i="14" s="1"/>
  <c r="K159" i="14"/>
  <c r="L159" i="14" s="1"/>
  <c r="K160" i="14"/>
  <c r="L160" i="14" s="1"/>
  <c r="K161" i="14"/>
  <c r="L161" i="14" s="1"/>
  <c r="K162" i="14"/>
  <c r="L162" i="14" s="1"/>
  <c r="K163" i="14"/>
  <c r="L163" i="14" s="1"/>
  <c r="K164" i="14"/>
  <c r="L164" i="14" s="1"/>
  <c r="K165" i="14"/>
  <c r="L165" i="14" s="1"/>
  <c r="K166" i="14"/>
  <c r="L166" i="14" s="1"/>
  <c r="K167" i="14"/>
  <c r="L167" i="14" s="1"/>
  <c r="K168" i="14"/>
  <c r="L168" i="14" s="1"/>
  <c r="K169" i="14"/>
  <c r="L169" i="14" s="1"/>
  <c r="K170" i="14"/>
  <c r="L170" i="14" s="1"/>
  <c r="K171" i="14"/>
  <c r="L171" i="14" s="1"/>
  <c r="K172" i="14"/>
  <c r="L172" i="14" s="1"/>
  <c r="K173" i="14"/>
  <c r="L173" i="14" s="1"/>
  <c r="K174" i="14"/>
  <c r="L174" i="14" s="1"/>
  <c r="K175" i="14"/>
  <c r="L175" i="14" s="1"/>
  <c r="K176" i="14"/>
  <c r="L176" i="14" s="1"/>
  <c r="K177" i="14"/>
  <c r="L177" i="14" s="1"/>
  <c r="K178" i="14"/>
  <c r="L178" i="14" s="1"/>
  <c r="K179" i="14"/>
  <c r="L179" i="14" s="1"/>
  <c r="K180" i="14"/>
  <c r="L180" i="14" s="1"/>
  <c r="K181" i="14"/>
  <c r="L181" i="14" s="1"/>
  <c r="K182" i="14"/>
  <c r="L182" i="14" s="1"/>
  <c r="K183" i="14"/>
  <c r="L183" i="14" s="1"/>
  <c r="K184" i="14"/>
  <c r="L184" i="14" s="1"/>
  <c r="K185" i="14"/>
  <c r="L185" i="14" s="1"/>
  <c r="K186" i="14"/>
  <c r="L186" i="14" s="1"/>
  <c r="K187" i="14"/>
  <c r="L187" i="14" s="1"/>
  <c r="K188" i="14"/>
  <c r="L188" i="14" s="1"/>
  <c r="K189" i="14"/>
  <c r="L189" i="14" s="1"/>
  <c r="K190" i="14"/>
  <c r="L190" i="14" s="1"/>
  <c r="K191" i="14"/>
  <c r="L191" i="14" s="1"/>
  <c r="K192" i="14"/>
  <c r="L192" i="14" s="1"/>
  <c r="K193" i="14"/>
  <c r="L193" i="14" s="1"/>
  <c r="K194" i="14"/>
  <c r="L194" i="14" s="1"/>
  <c r="K195" i="14"/>
  <c r="L195" i="14" s="1"/>
  <c r="K196" i="14"/>
  <c r="L196" i="14" s="1"/>
  <c r="K197" i="14"/>
  <c r="L197" i="14" s="1"/>
  <c r="K198" i="14"/>
  <c r="L198" i="14" s="1"/>
  <c r="K199" i="14"/>
  <c r="L199" i="14" s="1"/>
  <c r="K200" i="14"/>
  <c r="L200" i="14" s="1"/>
  <c r="K201" i="14"/>
  <c r="L201" i="14" s="1"/>
  <c r="K202" i="14"/>
  <c r="L202" i="14" s="1"/>
  <c r="K203" i="14"/>
  <c r="L203" i="14" s="1"/>
  <c r="K204" i="14"/>
  <c r="L204" i="14" s="1"/>
  <c r="K205" i="14"/>
  <c r="L205" i="14" s="1"/>
  <c r="K206" i="14"/>
  <c r="L206" i="14" s="1"/>
  <c r="K207" i="14"/>
  <c r="L207" i="14" s="1"/>
  <c r="K208" i="14"/>
  <c r="L208" i="14" s="1"/>
  <c r="K209" i="14"/>
  <c r="L209" i="14" s="1"/>
  <c r="K210" i="14"/>
  <c r="L210" i="14" s="1"/>
  <c r="K211" i="14"/>
  <c r="L211" i="14" s="1"/>
  <c r="K212" i="14"/>
  <c r="L212" i="14" s="1"/>
  <c r="K213" i="14"/>
  <c r="L213" i="14" s="1"/>
  <c r="K214" i="14"/>
  <c r="L214" i="14" s="1"/>
  <c r="K215" i="14"/>
  <c r="L215" i="14" s="1"/>
  <c r="K216" i="14"/>
  <c r="L216" i="14" s="1"/>
  <c r="K217" i="14"/>
  <c r="L217" i="14" s="1"/>
  <c r="K218" i="14"/>
  <c r="L218" i="14" s="1"/>
  <c r="K219" i="14"/>
  <c r="L219" i="14" s="1"/>
  <c r="K220" i="14"/>
  <c r="L220" i="14" s="1"/>
  <c r="K221" i="14"/>
  <c r="L221" i="14" s="1"/>
  <c r="K222" i="14"/>
  <c r="L222" i="14" s="1"/>
  <c r="K223" i="14"/>
  <c r="L223" i="14" s="1"/>
  <c r="K224" i="14"/>
  <c r="L224" i="14" s="1"/>
  <c r="K225" i="14"/>
  <c r="L225" i="14" s="1"/>
  <c r="K226" i="14"/>
  <c r="L226" i="14" s="1"/>
  <c r="K227" i="14"/>
  <c r="L227" i="14" s="1"/>
  <c r="K228" i="14"/>
  <c r="L228" i="14" s="1"/>
  <c r="K229" i="14"/>
  <c r="L229" i="14" s="1"/>
  <c r="K230" i="14"/>
  <c r="L230" i="14" s="1"/>
  <c r="K231" i="14"/>
  <c r="L231" i="14" s="1"/>
  <c r="K232" i="14"/>
  <c r="L232" i="14" s="1"/>
  <c r="K233" i="14"/>
  <c r="L233" i="14" s="1"/>
  <c r="K234" i="14"/>
  <c r="L234" i="14" s="1"/>
  <c r="K235" i="14"/>
  <c r="L235" i="14" s="1"/>
  <c r="K236" i="14"/>
  <c r="L236" i="14" s="1"/>
  <c r="K237" i="14"/>
  <c r="L237" i="14" s="1"/>
  <c r="K238" i="14"/>
  <c r="L238" i="14" s="1"/>
  <c r="K239" i="14"/>
  <c r="L239" i="14" s="1"/>
  <c r="K240" i="14"/>
  <c r="L240" i="14" s="1"/>
  <c r="K241" i="14"/>
  <c r="L241" i="14" s="1"/>
  <c r="K242" i="14"/>
  <c r="L242" i="14" s="1"/>
  <c r="K243" i="14"/>
  <c r="L243" i="14" s="1"/>
  <c r="K244" i="14"/>
  <c r="L244" i="14" s="1"/>
  <c r="K245" i="14"/>
  <c r="L245" i="14" s="1"/>
  <c r="K246" i="14"/>
  <c r="L246" i="14" s="1"/>
  <c r="K247" i="14"/>
  <c r="L247" i="14" s="1"/>
  <c r="K248" i="14"/>
  <c r="L248" i="14" s="1"/>
  <c r="K249" i="14"/>
  <c r="L249" i="14" s="1"/>
  <c r="K250" i="14"/>
  <c r="L250" i="14" s="1"/>
  <c r="K251" i="14"/>
  <c r="L251" i="14" s="1"/>
  <c r="K252" i="14"/>
  <c r="L252" i="14" s="1"/>
  <c r="K253" i="14"/>
  <c r="L253" i="14" s="1"/>
  <c r="K254" i="14"/>
  <c r="L254" i="14" s="1"/>
  <c r="K255" i="14"/>
  <c r="L255" i="14" s="1"/>
  <c r="K256" i="14"/>
  <c r="L256" i="14" s="1"/>
  <c r="K257" i="14"/>
  <c r="L257" i="14" s="1"/>
  <c r="K258" i="14"/>
  <c r="L258" i="14" s="1"/>
  <c r="K259" i="14"/>
  <c r="L259" i="14" s="1"/>
  <c r="K260" i="14"/>
  <c r="L260" i="14" s="1"/>
  <c r="K261" i="14"/>
  <c r="L261" i="14" s="1"/>
  <c r="K262" i="14"/>
  <c r="L262" i="14" s="1"/>
  <c r="K263" i="14"/>
  <c r="L263" i="14" s="1"/>
  <c r="K264" i="14"/>
  <c r="L264" i="14" s="1"/>
  <c r="K265" i="14"/>
  <c r="L265" i="14" s="1"/>
  <c r="K266" i="14"/>
  <c r="L266" i="14" s="1"/>
  <c r="K267" i="14"/>
  <c r="L267" i="14" s="1"/>
  <c r="K268" i="14"/>
  <c r="L268" i="14" s="1"/>
  <c r="K269" i="14"/>
  <c r="L269" i="14" s="1"/>
  <c r="K270" i="14"/>
  <c r="L270" i="14" s="1"/>
  <c r="K271" i="14"/>
  <c r="L271" i="14" s="1"/>
  <c r="K272" i="14"/>
  <c r="L272" i="14" s="1"/>
  <c r="K273" i="14"/>
  <c r="L273" i="14" s="1"/>
  <c r="K274" i="14"/>
  <c r="L274" i="14" s="1"/>
  <c r="K275" i="14"/>
  <c r="L275" i="14" s="1"/>
  <c r="K276" i="14"/>
  <c r="L276" i="14" s="1"/>
  <c r="K277" i="14"/>
  <c r="L277" i="14" s="1"/>
  <c r="K278" i="14"/>
  <c r="L278" i="14" s="1"/>
  <c r="K279" i="14"/>
  <c r="L279" i="14" s="1"/>
  <c r="K280" i="14"/>
  <c r="L280" i="14" s="1"/>
  <c r="K281" i="14"/>
  <c r="L281" i="14" s="1"/>
  <c r="K282" i="14"/>
  <c r="L282" i="14" s="1"/>
  <c r="K283" i="14"/>
  <c r="L283" i="14" s="1"/>
  <c r="K284" i="14"/>
  <c r="L284" i="14" s="1"/>
  <c r="K285" i="14"/>
  <c r="L285" i="14" s="1"/>
  <c r="K286" i="14"/>
  <c r="L286" i="14" s="1"/>
  <c r="K287" i="14"/>
  <c r="L287" i="14" s="1"/>
  <c r="K288" i="14"/>
  <c r="L288" i="14" s="1"/>
  <c r="K289" i="14"/>
  <c r="L289" i="14" s="1"/>
  <c r="K290" i="14"/>
  <c r="L290" i="14" s="1"/>
  <c r="K291" i="14"/>
  <c r="L291" i="14" s="1"/>
  <c r="K292" i="14"/>
  <c r="L292" i="14" s="1"/>
  <c r="K293" i="14"/>
  <c r="L293" i="14" s="1"/>
  <c r="K294" i="14"/>
  <c r="L294" i="14" s="1"/>
  <c r="K295" i="14"/>
  <c r="L295" i="14" s="1"/>
  <c r="K296" i="14"/>
  <c r="L296" i="14" s="1"/>
  <c r="K297" i="14"/>
  <c r="L297" i="14" s="1"/>
  <c r="K298" i="14"/>
  <c r="L298" i="14" s="1"/>
  <c r="K299" i="14"/>
  <c r="L299" i="14" s="1"/>
  <c r="K300" i="14"/>
  <c r="L300" i="14" s="1"/>
  <c r="K301" i="14"/>
  <c r="L301" i="14" s="1"/>
  <c r="K302" i="14"/>
  <c r="L302" i="14" s="1"/>
  <c r="K303" i="14"/>
  <c r="L303" i="14" s="1"/>
  <c r="K304" i="14"/>
  <c r="L304" i="14" s="1"/>
  <c r="K305" i="14"/>
  <c r="L305" i="14" s="1"/>
  <c r="K306" i="14"/>
  <c r="L306" i="14" s="1"/>
  <c r="K307" i="14"/>
  <c r="L307" i="14" s="1"/>
  <c r="K308" i="14"/>
  <c r="L308" i="14" s="1"/>
  <c r="K309" i="14"/>
  <c r="L309" i="14" s="1"/>
  <c r="K310" i="14"/>
  <c r="L310" i="14" s="1"/>
  <c r="K311" i="14"/>
  <c r="L311" i="14" s="1"/>
  <c r="K312" i="14"/>
  <c r="L312" i="14" s="1"/>
  <c r="K313" i="14"/>
  <c r="L313" i="14" s="1"/>
  <c r="K314" i="14"/>
  <c r="L314" i="14" s="1"/>
  <c r="K315" i="14"/>
  <c r="L315" i="14" s="1"/>
  <c r="K316" i="14"/>
  <c r="L316" i="14" s="1"/>
  <c r="K317" i="14"/>
  <c r="L317" i="14" s="1"/>
  <c r="K318" i="14"/>
  <c r="L318" i="14" s="1"/>
  <c r="K319" i="14"/>
  <c r="L319" i="14" s="1"/>
  <c r="K320" i="14"/>
  <c r="L320" i="14" s="1"/>
  <c r="K321" i="14"/>
  <c r="L321" i="14" s="1"/>
  <c r="K322" i="14"/>
  <c r="L322" i="14" s="1"/>
  <c r="K323" i="14"/>
  <c r="L323" i="14" s="1"/>
  <c r="K324" i="14"/>
  <c r="L324" i="14" s="1"/>
  <c r="K325" i="14"/>
  <c r="L325" i="14" s="1"/>
  <c r="K326" i="14"/>
  <c r="L326" i="14" s="1"/>
  <c r="K327" i="14"/>
  <c r="L327" i="14" s="1"/>
  <c r="K328" i="14"/>
  <c r="L328" i="14" s="1"/>
  <c r="K329" i="14"/>
  <c r="L329" i="14" s="1"/>
  <c r="K330" i="14"/>
  <c r="L330" i="14" s="1"/>
  <c r="K331" i="14"/>
  <c r="L331" i="14" s="1"/>
  <c r="K332" i="14"/>
  <c r="L332" i="14" s="1"/>
  <c r="K333" i="14"/>
  <c r="L333" i="14" s="1"/>
  <c r="K334" i="14"/>
  <c r="L334" i="14" s="1"/>
  <c r="K335" i="14"/>
  <c r="L335" i="14" s="1"/>
  <c r="K336" i="14"/>
  <c r="L336" i="14" s="1"/>
  <c r="K337" i="14"/>
  <c r="L337" i="14" s="1"/>
  <c r="K338" i="14"/>
  <c r="L338" i="14" s="1"/>
  <c r="K339" i="14"/>
  <c r="L339" i="14" s="1"/>
  <c r="K340" i="14"/>
  <c r="L340" i="14" s="1"/>
  <c r="K341" i="14"/>
  <c r="L341" i="14" s="1"/>
  <c r="K342" i="14"/>
  <c r="L342" i="14" s="1"/>
  <c r="K343" i="14"/>
  <c r="L343" i="14" s="1"/>
  <c r="K344" i="14"/>
  <c r="L344" i="14" s="1"/>
  <c r="K345" i="14"/>
  <c r="L345" i="14" s="1"/>
  <c r="K346" i="14"/>
  <c r="L346" i="14" s="1"/>
  <c r="K347" i="14"/>
  <c r="L347" i="14" s="1"/>
  <c r="K348" i="14"/>
  <c r="L348" i="14" s="1"/>
  <c r="K349" i="14"/>
  <c r="L349" i="14" s="1"/>
  <c r="K350" i="14"/>
  <c r="L350" i="14" s="1"/>
  <c r="K351" i="14"/>
  <c r="L351" i="14" s="1"/>
  <c r="K352" i="14"/>
  <c r="L352" i="14" s="1"/>
  <c r="K353" i="14"/>
  <c r="L353" i="14" s="1"/>
  <c r="K354" i="14"/>
  <c r="L354" i="14" s="1"/>
  <c r="K355" i="14"/>
  <c r="L355" i="14" s="1"/>
  <c r="K356" i="14"/>
  <c r="L356" i="14" s="1"/>
  <c r="K357" i="14"/>
  <c r="L357" i="14" s="1"/>
  <c r="K358" i="14"/>
  <c r="L358" i="14" s="1"/>
  <c r="K359" i="14"/>
  <c r="L359" i="14" s="1"/>
  <c r="K360" i="14"/>
  <c r="L360" i="14" s="1"/>
  <c r="K361" i="14"/>
  <c r="L361" i="14" s="1"/>
  <c r="K362" i="14"/>
  <c r="L362" i="14" s="1"/>
  <c r="K363" i="14"/>
  <c r="L363" i="14" s="1"/>
  <c r="K364" i="14"/>
  <c r="L364" i="14" s="1"/>
  <c r="K365" i="14"/>
  <c r="L365" i="14" s="1"/>
  <c r="K366" i="14"/>
  <c r="L366" i="14" s="1"/>
  <c r="K2" i="14"/>
  <c r="L2" i="14" s="1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2" i="14"/>
  <c r="E53" i="14"/>
  <c r="G53" i="17" s="1"/>
  <c r="C3" i="14"/>
  <c r="B3" i="17" s="1"/>
  <c r="C4" i="14"/>
  <c r="C5" i="14"/>
  <c r="C6" i="14"/>
  <c r="B6" i="17" s="1"/>
  <c r="C7" i="14"/>
  <c r="B7" i="17" s="1"/>
  <c r="C8" i="14"/>
  <c r="C9" i="14"/>
  <c r="C10" i="14"/>
  <c r="B10" i="17" s="1"/>
  <c r="C11" i="14"/>
  <c r="B11" i="17" s="1"/>
  <c r="C12" i="14"/>
  <c r="C13" i="14"/>
  <c r="C14" i="14"/>
  <c r="B14" i="17" s="1"/>
  <c r="C15" i="14"/>
  <c r="B15" i="17" s="1"/>
  <c r="C16" i="14"/>
  <c r="C17" i="14"/>
  <c r="B17" i="17" s="1"/>
  <c r="C18" i="14"/>
  <c r="C19" i="14"/>
  <c r="B19" i="17" s="1"/>
  <c r="C20" i="14"/>
  <c r="C21" i="14"/>
  <c r="C22" i="14"/>
  <c r="B22" i="17" s="1"/>
  <c r="C23" i="14"/>
  <c r="B23" i="17" s="1"/>
  <c r="C24" i="14"/>
  <c r="C25" i="14"/>
  <c r="B25" i="17" s="1"/>
  <c r="C26" i="14"/>
  <c r="B26" i="17" s="1"/>
  <c r="C27" i="14"/>
  <c r="B27" i="17" s="1"/>
  <c r="C28" i="14"/>
  <c r="C29" i="14"/>
  <c r="C30" i="14"/>
  <c r="C31" i="14"/>
  <c r="B31" i="17" s="1"/>
  <c r="C32" i="14"/>
  <c r="C33" i="14"/>
  <c r="B33" i="17" s="1"/>
  <c r="C34" i="14"/>
  <c r="B34" i="17" s="1"/>
  <c r="C35" i="14"/>
  <c r="B35" i="17" s="1"/>
  <c r="C36" i="14"/>
  <c r="C37" i="14"/>
  <c r="C38" i="14"/>
  <c r="B38" i="17" s="1"/>
  <c r="C39" i="14"/>
  <c r="C40" i="14"/>
  <c r="C41" i="14"/>
  <c r="B41" i="17" s="1"/>
  <c r="C42" i="14"/>
  <c r="B42" i="17" s="1"/>
  <c r="C43" i="14"/>
  <c r="B43" i="17" s="1"/>
  <c r="C44" i="14"/>
  <c r="C45" i="14"/>
  <c r="C46" i="14"/>
  <c r="B46" i="17" s="1"/>
  <c r="C47" i="14"/>
  <c r="B47" i="17" s="1"/>
  <c r="C48" i="14"/>
  <c r="C49" i="14"/>
  <c r="C50" i="14"/>
  <c r="B50" i="17" s="1"/>
  <c r="C51" i="14"/>
  <c r="B51" i="17" s="1"/>
  <c r="C52" i="14"/>
  <c r="C53" i="14"/>
  <c r="C54" i="14"/>
  <c r="C55" i="14"/>
  <c r="B55" i="17" s="1"/>
  <c r="C56" i="14"/>
  <c r="C57" i="14"/>
  <c r="B57" i="17" s="1"/>
  <c r="C58" i="14"/>
  <c r="C59" i="14"/>
  <c r="B59" i="17" s="1"/>
  <c r="C60" i="14"/>
  <c r="C61" i="14"/>
  <c r="C62" i="14"/>
  <c r="B62" i="17" s="1"/>
  <c r="C63" i="14"/>
  <c r="C64" i="14"/>
  <c r="C65" i="14"/>
  <c r="B65" i="17" s="1"/>
  <c r="C66" i="14"/>
  <c r="B66" i="17" s="1"/>
  <c r="C67" i="14"/>
  <c r="B67" i="17" s="1"/>
  <c r="C68" i="14"/>
  <c r="B68" i="17" s="1"/>
  <c r="C69" i="14"/>
  <c r="B69" i="17" s="1"/>
  <c r="C70" i="14"/>
  <c r="B70" i="17" s="1"/>
  <c r="C71" i="14"/>
  <c r="B71" i="17" s="1"/>
  <c r="C72" i="14"/>
  <c r="C73" i="14"/>
  <c r="C74" i="14"/>
  <c r="B74" i="17" s="1"/>
  <c r="C75" i="14"/>
  <c r="B75" i="17" s="1"/>
  <c r="C76" i="14"/>
  <c r="C78" i="14"/>
  <c r="B78" i="17" s="1"/>
  <c r="C79" i="14"/>
  <c r="B79" i="17" s="1"/>
  <c r="C80" i="14"/>
  <c r="C81" i="14"/>
  <c r="B81" i="17" s="1"/>
  <c r="C82" i="14"/>
  <c r="C83" i="14"/>
  <c r="B83" i="17" s="1"/>
  <c r="C84" i="14"/>
  <c r="C85" i="14"/>
  <c r="C86" i="14"/>
  <c r="B86" i="17" s="1"/>
  <c r="C87" i="14"/>
  <c r="B87" i="17" s="1"/>
  <c r="C88" i="14"/>
  <c r="C89" i="14"/>
  <c r="B89" i="17" s="1"/>
  <c r="C90" i="14"/>
  <c r="B90" i="17" s="1"/>
  <c r="C91" i="14"/>
  <c r="B91" i="17" s="1"/>
  <c r="C92" i="14"/>
  <c r="B92" i="17" s="1"/>
  <c r="C93" i="14"/>
  <c r="C94" i="14"/>
  <c r="C95" i="14"/>
  <c r="B95" i="17" s="1"/>
  <c r="C96" i="14"/>
  <c r="C97" i="14"/>
  <c r="B97" i="17" s="1"/>
  <c r="C98" i="14"/>
  <c r="B98" i="17" s="1"/>
  <c r="C99" i="14"/>
  <c r="B99" i="17" s="1"/>
  <c r="C100" i="14"/>
  <c r="C101" i="14"/>
  <c r="C102" i="14"/>
  <c r="B102" i="17" s="1"/>
  <c r="C103" i="14"/>
  <c r="C104" i="14"/>
  <c r="C105" i="14"/>
  <c r="B105" i="17" s="1"/>
  <c r="C106" i="14"/>
  <c r="B106" i="17" s="1"/>
  <c r="C107" i="14"/>
  <c r="B107" i="17" s="1"/>
  <c r="C108" i="14"/>
  <c r="C109" i="14"/>
  <c r="C110" i="14"/>
  <c r="B110" i="17" s="1"/>
  <c r="C111" i="14"/>
  <c r="B111" i="17" s="1"/>
  <c r="C112" i="14"/>
  <c r="C113" i="14"/>
  <c r="C114" i="14"/>
  <c r="B114" i="17" s="1"/>
  <c r="C115" i="14"/>
  <c r="B115" i="17" s="1"/>
  <c r="C116" i="14"/>
  <c r="B116" i="17" s="1"/>
  <c r="C117" i="14"/>
  <c r="C118" i="14"/>
  <c r="C119" i="14"/>
  <c r="B119" i="17" s="1"/>
  <c r="C120" i="14"/>
  <c r="C121" i="14"/>
  <c r="B121" i="17" s="1"/>
  <c r="C122" i="14"/>
  <c r="C123" i="14"/>
  <c r="B123" i="17" s="1"/>
  <c r="C124" i="14"/>
  <c r="C125" i="14"/>
  <c r="C126" i="14"/>
  <c r="B126" i="17" s="1"/>
  <c r="C127" i="14"/>
  <c r="C128" i="14"/>
  <c r="C129" i="14"/>
  <c r="B129" i="17" s="1"/>
  <c r="C130" i="14"/>
  <c r="B130" i="17" s="1"/>
  <c r="C131" i="14"/>
  <c r="B131" i="17" s="1"/>
  <c r="C132" i="14"/>
  <c r="C133" i="14"/>
  <c r="C134" i="14"/>
  <c r="B134" i="17" s="1"/>
  <c r="C135" i="14"/>
  <c r="B135" i="17" s="1"/>
  <c r="C136" i="14"/>
  <c r="C137" i="14"/>
  <c r="C138" i="14"/>
  <c r="B138" i="17" s="1"/>
  <c r="C139" i="14"/>
  <c r="B139" i="17" s="1"/>
  <c r="C140" i="14"/>
  <c r="C141" i="14"/>
  <c r="C142" i="14"/>
  <c r="B142" i="17" s="1"/>
  <c r="C143" i="14"/>
  <c r="B143" i="17" s="1"/>
  <c r="C144" i="14"/>
  <c r="C145" i="14"/>
  <c r="B145" i="17" s="1"/>
  <c r="C146" i="14"/>
  <c r="C147" i="14"/>
  <c r="B147" i="17" s="1"/>
  <c r="C148" i="14"/>
  <c r="C149" i="14"/>
  <c r="C150" i="14"/>
  <c r="B150" i="17" s="1"/>
  <c r="C151" i="14"/>
  <c r="B151" i="17" s="1"/>
  <c r="C152" i="14"/>
  <c r="C153" i="14"/>
  <c r="B153" i="17" s="1"/>
  <c r="C154" i="14"/>
  <c r="B154" i="17" s="1"/>
  <c r="C155" i="14"/>
  <c r="B155" i="17" s="1"/>
  <c r="C156" i="14"/>
  <c r="C157" i="14"/>
  <c r="C158" i="14"/>
  <c r="C159" i="14"/>
  <c r="B159" i="17" s="1"/>
  <c r="C160" i="14"/>
  <c r="C161" i="14"/>
  <c r="B161" i="17" s="1"/>
  <c r="C162" i="14"/>
  <c r="B162" i="17" s="1"/>
  <c r="C163" i="14"/>
  <c r="B163" i="17" s="1"/>
  <c r="C164" i="14"/>
  <c r="C165" i="14"/>
  <c r="C166" i="14"/>
  <c r="B166" i="17" s="1"/>
  <c r="C167" i="14"/>
  <c r="C168" i="14"/>
  <c r="C169" i="14"/>
  <c r="B169" i="17" s="1"/>
  <c r="C170" i="14"/>
  <c r="B170" i="17" s="1"/>
  <c r="C171" i="14"/>
  <c r="B171" i="17" s="1"/>
  <c r="C172" i="14"/>
  <c r="B172" i="17" s="1"/>
  <c r="C173" i="14"/>
  <c r="C174" i="14"/>
  <c r="B174" i="17" s="1"/>
  <c r="C175" i="14"/>
  <c r="B175" i="17" s="1"/>
  <c r="C176" i="14"/>
  <c r="C177" i="14"/>
  <c r="C178" i="14"/>
  <c r="B178" i="17" s="1"/>
  <c r="C179" i="14"/>
  <c r="B179" i="17" s="1"/>
  <c r="C180" i="14"/>
  <c r="C181" i="14"/>
  <c r="C182" i="14"/>
  <c r="C183" i="14"/>
  <c r="B183" i="17" s="1"/>
  <c r="C184" i="14"/>
  <c r="C185" i="14"/>
  <c r="B185" i="17" s="1"/>
  <c r="C186" i="14"/>
  <c r="C187" i="14"/>
  <c r="B187" i="17" s="1"/>
  <c r="C188" i="14"/>
  <c r="C189" i="14"/>
  <c r="C190" i="14"/>
  <c r="B190" i="17" s="1"/>
  <c r="C191" i="14"/>
  <c r="C192" i="14"/>
  <c r="C193" i="14"/>
  <c r="B193" i="17" s="1"/>
  <c r="C194" i="14"/>
  <c r="B194" i="17" s="1"/>
  <c r="C195" i="14"/>
  <c r="B195" i="17" s="1"/>
  <c r="C196" i="14"/>
  <c r="B196" i="17" s="1"/>
  <c r="C197" i="14"/>
  <c r="B197" i="17" s="1"/>
  <c r="C198" i="14"/>
  <c r="B198" i="17" s="1"/>
  <c r="C199" i="14"/>
  <c r="B199" i="17" s="1"/>
  <c r="C200" i="14"/>
  <c r="C201" i="14"/>
  <c r="C202" i="14"/>
  <c r="B202" i="17" s="1"/>
  <c r="C203" i="14"/>
  <c r="B203" i="17" s="1"/>
  <c r="C204" i="14"/>
  <c r="C205" i="14"/>
  <c r="C206" i="14"/>
  <c r="B206" i="17" s="1"/>
  <c r="C207" i="14"/>
  <c r="B207" i="17" s="1"/>
  <c r="C208" i="14"/>
  <c r="C209" i="14"/>
  <c r="B209" i="17" s="1"/>
  <c r="C210" i="14"/>
  <c r="C211" i="14"/>
  <c r="B211" i="17" s="1"/>
  <c r="C212" i="14"/>
  <c r="C213" i="14"/>
  <c r="C214" i="14"/>
  <c r="B214" i="17" s="1"/>
  <c r="C215" i="14"/>
  <c r="B215" i="17" s="1"/>
  <c r="C216" i="14"/>
  <c r="C217" i="14"/>
  <c r="B217" i="17" s="1"/>
  <c r="C218" i="14"/>
  <c r="B218" i="17" s="1"/>
  <c r="C219" i="14"/>
  <c r="B219" i="17" s="1"/>
  <c r="C220" i="14"/>
  <c r="C221" i="14"/>
  <c r="C222" i="14"/>
  <c r="B222" i="17" s="1"/>
  <c r="C223" i="14"/>
  <c r="B223" i="17" s="1"/>
  <c r="C224" i="14"/>
  <c r="C225" i="14"/>
  <c r="B225" i="17" s="1"/>
  <c r="C226" i="14"/>
  <c r="B226" i="17" s="1"/>
  <c r="C227" i="14"/>
  <c r="B227" i="17" s="1"/>
  <c r="C228" i="14"/>
  <c r="C229" i="14"/>
  <c r="C230" i="14"/>
  <c r="B230" i="17" s="1"/>
  <c r="C231" i="14"/>
  <c r="B231" i="17" s="1"/>
  <c r="C232" i="14"/>
  <c r="C233" i="14"/>
  <c r="B233" i="17" s="1"/>
  <c r="C234" i="14"/>
  <c r="B234" i="17" s="1"/>
  <c r="C235" i="14"/>
  <c r="B235" i="17" s="1"/>
  <c r="C236" i="14"/>
  <c r="B236" i="17" s="1"/>
  <c r="C237" i="14"/>
  <c r="C238" i="14"/>
  <c r="B238" i="17" s="1"/>
  <c r="C239" i="14"/>
  <c r="B239" i="17" s="1"/>
  <c r="C240" i="14"/>
  <c r="C241" i="14"/>
  <c r="B241" i="17" s="1"/>
  <c r="C242" i="14"/>
  <c r="B242" i="17" s="1"/>
  <c r="C243" i="14"/>
  <c r="B243" i="17" s="1"/>
  <c r="C244" i="14"/>
  <c r="C245" i="14"/>
  <c r="C246" i="14"/>
  <c r="C247" i="14"/>
  <c r="B247" i="17" s="1"/>
  <c r="C248" i="14"/>
  <c r="C249" i="14"/>
  <c r="B249" i="17" s="1"/>
  <c r="C250" i="14"/>
  <c r="B250" i="17" s="1"/>
  <c r="C251" i="14"/>
  <c r="B251" i="17" s="1"/>
  <c r="C252" i="14"/>
  <c r="C253" i="14"/>
  <c r="C254" i="14"/>
  <c r="B254" i="17" s="1"/>
  <c r="C255" i="14"/>
  <c r="C256" i="14"/>
  <c r="C257" i="14"/>
  <c r="B257" i="17" s="1"/>
  <c r="C258" i="14"/>
  <c r="B258" i="17" s="1"/>
  <c r="C259" i="14"/>
  <c r="B259" i="17" s="1"/>
  <c r="C260" i="14"/>
  <c r="C261" i="14"/>
  <c r="C262" i="14"/>
  <c r="B262" i="17" s="1"/>
  <c r="C263" i="14"/>
  <c r="B263" i="17" s="1"/>
  <c r="C264" i="14"/>
  <c r="C265" i="14"/>
  <c r="C266" i="14"/>
  <c r="B266" i="17" s="1"/>
  <c r="C267" i="14"/>
  <c r="B267" i="17" s="1"/>
  <c r="C268" i="14"/>
  <c r="B268" i="17" s="1"/>
  <c r="C269" i="14"/>
  <c r="B269" i="17" s="1"/>
  <c r="C270" i="14"/>
  <c r="B270" i="17" s="1"/>
  <c r="C271" i="14"/>
  <c r="B271" i="17" s="1"/>
  <c r="C272" i="14"/>
  <c r="C273" i="14"/>
  <c r="B273" i="17" s="1"/>
  <c r="C274" i="14"/>
  <c r="C275" i="14"/>
  <c r="B275" i="17" s="1"/>
  <c r="C276" i="14"/>
  <c r="C277" i="14"/>
  <c r="C278" i="14"/>
  <c r="B278" i="17" s="1"/>
  <c r="C279" i="14"/>
  <c r="B279" i="17" s="1"/>
  <c r="C280" i="14"/>
  <c r="C281" i="14"/>
  <c r="B281" i="17" s="1"/>
  <c r="C282" i="14"/>
  <c r="B282" i="17" s="1"/>
  <c r="C283" i="14"/>
  <c r="B283" i="17" s="1"/>
  <c r="C284" i="14"/>
  <c r="C285" i="14"/>
  <c r="C286" i="14"/>
  <c r="B286" i="17" s="1"/>
  <c r="C287" i="14"/>
  <c r="B287" i="17" s="1"/>
  <c r="C288" i="14"/>
  <c r="C289" i="14"/>
  <c r="B289" i="17" s="1"/>
  <c r="C290" i="14"/>
  <c r="B290" i="17" s="1"/>
  <c r="C291" i="14"/>
  <c r="B291" i="17" s="1"/>
  <c r="C292" i="14"/>
  <c r="C293" i="14"/>
  <c r="C294" i="14"/>
  <c r="B294" i="17" s="1"/>
  <c r="C295" i="14"/>
  <c r="B295" i="17" s="1"/>
  <c r="C296" i="14"/>
  <c r="C297" i="14"/>
  <c r="B297" i="17" s="1"/>
  <c r="C298" i="14"/>
  <c r="B298" i="17" s="1"/>
  <c r="C299" i="14"/>
  <c r="B299" i="17" s="1"/>
  <c r="C300" i="14"/>
  <c r="C301" i="14"/>
  <c r="C302" i="14"/>
  <c r="B302" i="17" s="1"/>
  <c r="C303" i="14"/>
  <c r="B303" i="17" s="1"/>
  <c r="C304" i="14"/>
  <c r="C305" i="14"/>
  <c r="B305" i="17" s="1"/>
  <c r="C306" i="14"/>
  <c r="B306" i="17" s="1"/>
  <c r="C307" i="14"/>
  <c r="B307" i="17" s="1"/>
  <c r="C308" i="14"/>
  <c r="B308" i="17" s="1"/>
  <c r="C309" i="14"/>
  <c r="B309" i="17" s="1"/>
  <c r="C310" i="14"/>
  <c r="C311" i="14"/>
  <c r="B311" i="17" s="1"/>
  <c r="C312" i="14"/>
  <c r="C313" i="14"/>
  <c r="B313" i="17" s="1"/>
  <c r="C314" i="14"/>
  <c r="B314" i="17" s="1"/>
  <c r="C315" i="14"/>
  <c r="B315" i="17" s="1"/>
  <c r="C316" i="14"/>
  <c r="C317" i="14"/>
  <c r="C318" i="14"/>
  <c r="B318" i="17" s="1"/>
  <c r="C319" i="14"/>
  <c r="C320" i="14"/>
  <c r="C321" i="14"/>
  <c r="B321" i="17" s="1"/>
  <c r="C322" i="14"/>
  <c r="B322" i="17" s="1"/>
  <c r="C323" i="14"/>
  <c r="B323" i="17" s="1"/>
  <c r="C324" i="14"/>
  <c r="C325" i="14"/>
  <c r="C326" i="14"/>
  <c r="B326" i="17" s="1"/>
  <c r="C327" i="14"/>
  <c r="B327" i="17" s="1"/>
  <c r="C328" i="14"/>
  <c r="C329" i="14"/>
  <c r="C330" i="14"/>
  <c r="B330" i="17" s="1"/>
  <c r="C331" i="14"/>
  <c r="B331" i="17" s="1"/>
  <c r="C332" i="14"/>
  <c r="C333" i="14"/>
  <c r="C334" i="14"/>
  <c r="B334" i="17" s="1"/>
  <c r="C335" i="14"/>
  <c r="B335" i="17" s="1"/>
  <c r="C336" i="14"/>
  <c r="C337" i="14"/>
  <c r="B337" i="17" s="1"/>
  <c r="C338" i="14"/>
  <c r="C339" i="14"/>
  <c r="B339" i="17" s="1"/>
  <c r="C340" i="14"/>
  <c r="B340" i="17" s="1"/>
  <c r="C341" i="14"/>
  <c r="B341" i="17" s="1"/>
  <c r="C342" i="14"/>
  <c r="B342" i="17" s="1"/>
  <c r="C343" i="14"/>
  <c r="B343" i="17" s="1"/>
  <c r="C344" i="14"/>
  <c r="C345" i="14"/>
  <c r="B345" i="17" s="1"/>
  <c r="C346" i="14"/>
  <c r="B346" i="17" s="1"/>
  <c r="C347" i="14"/>
  <c r="B347" i="17" s="1"/>
  <c r="C348" i="14"/>
  <c r="C349" i="14"/>
  <c r="B349" i="17" s="1"/>
  <c r="C350" i="14"/>
  <c r="B350" i="17" s="1"/>
  <c r="C351" i="14"/>
  <c r="B351" i="17" s="1"/>
  <c r="C352" i="14"/>
  <c r="C353" i="14"/>
  <c r="B353" i="17" s="1"/>
  <c r="C354" i="14"/>
  <c r="B354" i="17" s="1"/>
  <c r="C355" i="14"/>
  <c r="B355" i="17" s="1"/>
  <c r="C356" i="14"/>
  <c r="C357" i="14"/>
  <c r="C358" i="14"/>
  <c r="B358" i="17" s="1"/>
  <c r="C359" i="14"/>
  <c r="B359" i="17" s="1"/>
  <c r="C360" i="14"/>
  <c r="C361" i="14"/>
  <c r="B361" i="17" s="1"/>
  <c r="C362" i="14"/>
  <c r="B362" i="17" s="1"/>
  <c r="C363" i="14"/>
  <c r="B363" i="17" s="1"/>
  <c r="C364" i="14"/>
  <c r="B364" i="17" s="1"/>
  <c r="C365" i="14"/>
  <c r="C366" i="14"/>
  <c r="B366" i="17" s="1"/>
  <c r="C2" i="14"/>
  <c r="B2" i="17" s="1"/>
  <c r="D150" i="14" l="1"/>
  <c r="D142" i="14"/>
  <c r="D34" i="14"/>
  <c r="D307" i="14"/>
  <c r="D363" i="14"/>
  <c r="D83" i="14"/>
  <c r="D349" i="14"/>
  <c r="D282" i="14"/>
  <c r="D227" i="14"/>
  <c r="D33" i="14"/>
  <c r="D27" i="14"/>
  <c r="D206" i="14"/>
  <c r="D323" i="14"/>
  <c r="D166" i="14"/>
  <c r="D99" i="14"/>
  <c r="D10" i="14"/>
  <c r="D364" i="14"/>
  <c r="D308" i="14"/>
  <c r="D238" i="14"/>
  <c r="D163" i="14"/>
  <c r="D86" i="14"/>
  <c r="D35" i="14"/>
  <c r="D3" i="14"/>
  <c r="D350" i="14"/>
  <c r="D302" i="14"/>
  <c r="D214" i="14"/>
  <c r="D147" i="14"/>
  <c r="D74" i="14"/>
  <c r="F53" i="14"/>
  <c r="D62" i="14"/>
  <c r="D347" i="14"/>
  <c r="D195" i="14"/>
  <c r="D22" i="14"/>
  <c r="D139" i="14"/>
  <c r="D59" i="14"/>
  <c r="D334" i="14"/>
  <c r="D279" i="14"/>
  <c r="D190" i="14"/>
  <c r="D115" i="14"/>
  <c r="D57" i="14"/>
  <c r="D14" i="14"/>
  <c r="D326" i="14"/>
  <c r="D262" i="14"/>
  <c r="D187" i="14"/>
  <c r="D107" i="14"/>
  <c r="D51" i="14"/>
  <c r="D11" i="14"/>
  <c r="D287" i="14"/>
  <c r="D366" i="14"/>
  <c r="D259" i="14"/>
  <c r="D43" i="14"/>
  <c r="D241" i="14"/>
  <c r="D217" i="14"/>
  <c r="D283" i="14"/>
  <c r="D242" i="14"/>
  <c r="D218" i="14"/>
  <c r="D121" i="14"/>
  <c r="D361" i="14"/>
  <c r="D162" i="14"/>
  <c r="D81" i="14"/>
  <c r="D359" i="14"/>
  <c r="D340" i="14"/>
  <c r="D318" i="14"/>
  <c r="D299" i="14"/>
  <c r="D278" i="14"/>
  <c r="D254" i="14"/>
  <c r="D235" i="14"/>
  <c r="D211" i="14"/>
  <c r="D185" i="14"/>
  <c r="D161" i="14"/>
  <c r="D138" i="14"/>
  <c r="D105" i="14"/>
  <c r="D79" i="14"/>
  <c r="D50" i="14"/>
  <c r="D26" i="14"/>
  <c r="D345" i="14"/>
  <c r="D321" i="14"/>
  <c r="D258" i="14"/>
  <c r="D355" i="14"/>
  <c r="D339" i="14"/>
  <c r="D315" i="14"/>
  <c r="D298" i="14"/>
  <c r="D275" i="14"/>
  <c r="D251" i="14"/>
  <c r="D230" i="14"/>
  <c r="D207" i="14"/>
  <c r="D179" i="14"/>
  <c r="D155" i="14"/>
  <c r="D131" i="14"/>
  <c r="D102" i="14"/>
  <c r="D75" i="14"/>
  <c r="D46" i="14"/>
  <c r="D23" i="14"/>
  <c r="D249" i="14"/>
  <c r="D354" i="14"/>
  <c r="D314" i="14"/>
  <c r="D291" i="14"/>
  <c r="D273" i="14"/>
  <c r="D178" i="14"/>
  <c r="D154" i="14"/>
  <c r="D129" i="14"/>
  <c r="D353" i="14"/>
  <c r="D331" i="14"/>
  <c r="D313" i="14"/>
  <c r="D289" i="14"/>
  <c r="D268" i="14"/>
  <c r="D247" i="14"/>
  <c r="D226" i="14"/>
  <c r="D203" i="14"/>
  <c r="D174" i="14"/>
  <c r="D151" i="14"/>
  <c r="D126" i="14"/>
  <c r="D97" i="14"/>
  <c r="D67" i="14"/>
  <c r="D38" i="14"/>
  <c r="D19" i="14"/>
  <c r="D330" i="14"/>
  <c r="D309" i="14"/>
  <c r="D267" i="14"/>
  <c r="D243" i="14"/>
  <c r="D219" i="14"/>
  <c r="D202" i="14"/>
  <c r="D171" i="14"/>
  <c r="D123" i="14"/>
  <c r="D91" i="14"/>
  <c r="D269" i="14"/>
  <c r="D116" i="14"/>
  <c r="D68" i="14"/>
  <c r="D341" i="14"/>
  <c r="D197" i="14"/>
  <c r="B325" i="17"/>
  <c r="D325" i="14"/>
  <c r="B237" i="17"/>
  <c r="D237" i="14"/>
  <c r="B213" i="17"/>
  <c r="D213" i="14"/>
  <c r="B173" i="17"/>
  <c r="D173" i="14"/>
  <c r="B141" i="17"/>
  <c r="D141" i="14"/>
  <c r="B117" i="17"/>
  <c r="D117" i="14"/>
  <c r="B101" i="17"/>
  <c r="D101" i="14"/>
  <c r="B61" i="17"/>
  <c r="D61" i="14"/>
  <c r="B53" i="17"/>
  <c r="D53" i="14"/>
  <c r="B37" i="17"/>
  <c r="D37" i="14"/>
  <c r="B29" i="17"/>
  <c r="D29" i="14"/>
  <c r="B21" i="17"/>
  <c r="D21" i="14"/>
  <c r="B13" i="17"/>
  <c r="D13" i="14"/>
  <c r="B5" i="17"/>
  <c r="D5" i="14"/>
  <c r="D196" i="14"/>
  <c r="D172" i="14"/>
  <c r="B357" i="17"/>
  <c r="D357" i="14"/>
  <c r="B333" i="17"/>
  <c r="D333" i="14"/>
  <c r="B293" i="17"/>
  <c r="D293" i="14"/>
  <c r="B277" i="17"/>
  <c r="D277" i="14"/>
  <c r="B253" i="17"/>
  <c r="D253" i="14"/>
  <c r="B229" i="17"/>
  <c r="D229" i="14"/>
  <c r="B181" i="17"/>
  <c r="D181" i="14"/>
  <c r="B157" i="17"/>
  <c r="D157" i="14"/>
  <c r="B125" i="17"/>
  <c r="D125" i="14"/>
  <c r="B85" i="17"/>
  <c r="D85" i="14"/>
  <c r="B356" i="17"/>
  <c r="D356" i="14"/>
  <c r="B348" i="17"/>
  <c r="D348" i="14"/>
  <c r="B332" i="17"/>
  <c r="D332" i="14"/>
  <c r="B316" i="17"/>
  <c r="D316" i="14"/>
  <c r="B300" i="17"/>
  <c r="D300" i="14"/>
  <c r="B284" i="17"/>
  <c r="D284" i="14"/>
  <c r="B252" i="17"/>
  <c r="D252" i="14"/>
  <c r="B244" i="17"/>
  <c r="D244" i="14"/>
  <c r="B228" i="17"/>
  <c r="D228" i="14"/>
  <c r="B212" i="17"/>
  <c r="D212" i="14"/>
  <c r="B164" i="17"/>
  <c r="D164" i="14"/>
  <c r="B148" i="17"/>
  <c r="D148" i="14"/>
  <c r="B140" i="17"/>
  <c r="D140" i="14"/>
  <c r="B132" i="17"/>
  <c r="D132" i="14"/>
  <c r="B124" i="17"/>
  <c r="D124" i="14"/>
  <c r="B100" i="17"/>
  <c r="D100" i="14"/>
  <c r="B84" i="17"/>
  <c r="D84" i="14"/>
  <c r="B76" i="17"/>
  <c r="D76" i="14"/>
  <c r="B60" i="17"/>
  <c r="D60" i="14"/>
  <c r="B52" i="17"/>
  <c r="D52" i="14"/>
  <c r="B44" i="17"/>
  <c r="D44" i="14"/>
  <c r="B36" i="17"/>
  <c r="D36" i="14"/>
  <c r="B28" i="17"/>
  <c r="D28" i="14"/>
  <c r="B20" i="17"/>
  <c r="D20" i="14"/>
  <c r="B12" i="17"/>
  <c r="D12" i="14"/>
  <c r="B4" i="17"/>
  <c r="D4" i="14"/>
  <c r="D236" i="14"/>
  <c r="B365" i="17"/>
  <c r="D365" i="14"/>
  <c r="B317" i="17"/>
  <c r="D317" i="14"/>
  <c r="B301" i="17"/>
  <c r="D301" i="14"/>
  <c r="B285" i="17"/>
  <c r="D285" i="14"/>
  <c r="B261" i="17"/>
  <c r="D261" i="14"/>
  <c r="B245" i="17"/>
  <c r="D245" i="14"/>
  <c r="B221" i="17"/>
  <c r="D221" i="14"/>
  <c r="B205" i="17"/>
  <c r="D205" i="14"/>
  <c r="B189" i="17"/>
  <c r="D189" i="14"/>
  <c r="B165" i="17"/>
  <c r="D165" i="14"/>
  <c r="B149" i="17"/>
  <c r="D149" i="14"/>
  <c r="B133" i="17"/>
  <c r="D133" i="14"/>
  <c r="B109" i="17"/>
  <c r="D109" i="14"/>
  <c r="B93" i="17"/>
  <c r="D93" i="14"/>
  <c r="B45" i="17"/>
  <c r="D45" i="14"/>
  <c r="B324" i="17"/>
  <c r="D324" i="14"/>
  <c r="B292" i="17"/>
  <c r="D292" i="14"/>
  <c r="B276" i="17"/>
  <c r="D276" i="14"/>
  <c r="B260" i="17"/>
  <c r="D260" i="14"/>
  <c r="B220" i="17"/>
  <c r="D220" i="14"/>
  <c r="B204" i="17"/>
  <c r="D204" i="14"/>
  <c r="B188" i="17"/>
  <c r="D188" i="14"/>
  <c r="B180" i="17"/>
  <c r="D180" i="14"/>
  <c r="B156" i="17"/>
  <c r="D156" i="14"/>
  <c r="B108" i="17"/>
  <c r="D108" i="14"/>
  <c r="D92" i="14"/>
  <c r="D69" i="14"/>
  <c r="B319" i="17"/>
  <c r="D319" i="14"/>
  <c r="B167" i="17"/>
  <c r="D167" i="14"/>
  <c r="B39" i="17"/>
  <c r="D39" i="14"/>
  <c r="D119" i="14"/>
  <c r="B310" i="17"/>
  <c r="D310" i="14"/>
  <c r="B246" i="17"/>
  <c r="D246" i="14"/>
  <c r="B182" i="17"/>
  <c r="D182" i="14"/>
  <c r="B158" i="17"/>
  <c r="D158" i="14"/>
  <c r="B118" i="17"/>
  <c r="D118" i="14"/>
  <c r="B94" i="17"/>
  <c r="D94" i="14"/>
  <c r="B54" i="17"/>
  <c r="D54" i="14"/>
  <c r="B30" i="17"/>
  <c r="D30" i="14"/>
  <c r="D362" i="14"/>
  <c r="D351" i="14"/>
  <c r="D342" i="14"/>
  <c r="D322" i="14"/>
  <c r="D311" i="14"/>
  <c r="D290" i="14"/>
  <c r="D281" i="14"/>
  <c r="D270" i="14"/>
  <c r="D250" i="14"/>
  <c r="D239" i="14"/>
  <c r="D209" i="14"/>
  <c r="D198" i="14"/>
  <c r="D175" i="14"/>
  <c r="D153" i="14"/>
  <c r="D130" i="14"/>
  <c r="D106" i="14"/>
  <c r="D70" i="14"/>
  <c r="D47" i="14"/>
  <c r="D25" i="14"/>
  <c r="D358" i="14"/>
  <c r="D327" i="14"/>
  <c r="D297" i="14"/>
  <c r="D286" i="14"/>
  <c r="D257" i="14"/>
  <c r="D225" i="14"/>
  <c r="D215" i="14"/>
  <c r="D183" i="14"/>
  <c r="D159" i="14"/>
  <c r="D135" i="14"/>
  <c r="D114" i="14"/>
  <c r="D90" i="14"/>
  <c r="D78" i="14"/>
  <c r="D55" i="14"/>
  <c r="D31" i="14"/>
  <c r="D7" i="14"/>
  <c r="B338" i="17"/>
  <c r="D338" i="14"/>
  <c r="B274" i="17"/>
  <c r="D274" i="14"/>
  <c r="B210" i="17"/>
  <c r="D210" i="14"/>
  <c r="B186" i="17"/>
  <c r="D186" i="14"/>
  <c r="B146" i="17"/>
  <c r="D146" i="14"/>
  <c r="B122" i="17"/>
  <c r="D122" i="14"/>
  <c r="B82" i="17"/>
  <c r="D82" i="14"/>
  <c r="B58" i="17"/>
  <c r="D58" i="14"/>
  <c r="B18" i="17"/>
  <c r="D18" i="14"/>
  <c r="D2" i="14"/>
  <c r="D337" i="14"/>
  <c r="D306" i="14"/>
  <c r="D295" i="14"/>
  <c r="D266" i="14"/>
  <c r="D234" i="14"/>
  <c r="D223" i="14"/>
  <c r="D194" i="14"/>
  <c r="D170" i="14"/>
  <c r="D134" i="14"/>
  <c r="D111" i="14"/>
  <c r="D89" i="14"/>
  <c r="D66" i="14"/>
  <c r="D42" i="14"/>
  <c r="D6" i="14"/>
  <c r="B329" i="17"/>
  <c r="D329" i="14"/>
  <c r="B265" i="17"/>
  <c r="D265" i="14"/>
  <c r="B201" i="17"/>
  <c r="D201" i="14"/>
  <c r="B177" i="17"/>
  <c r="D177" i="14"/>
  <c r="B137" i="17"/>
  <c r="D137" i="14"/>
  <c r="B113" i="17"/>
  <c r="D113" i="14"/>
  <c r="B73" i="17"/>
  <c r="D73" i="14"/>
  <c r="B49" i="17"/>
  <c r="D49" i="14"/>
  <c r="B9" i="17"/>
  <c r="D9" i="14"/>
  <c r="D346" i="14"/>
  <c r="D335" i="14"/>
  <c r="D305" i="14"/>
  <c r="D294" i="14"/>
  <c r="D263" i="14"/>
  <c r="D233" i="14"/>
  <c r="D222" i="14"/>
  <c r="D193" i="14"/>
  <c r="D169" i="14"/>
  <c r="D145" i="14"/>
  <c r="D110" i="14"/>
  <c r="D98" i="14"/>
  <c r="D87" i="14"/>
  <c r="D65" i="14"/>
  <c r="D41" i="14"/>
  <c r="D17" i="14"/>
  <c r="D303" i="14"/>
  <c r="D231" i="14"/>
  <c r="D143" i="14"/>
  <c r="D15" i="14"/>
  <c r="B255" i="17"/>
  <c r="D255" i="14"/>
  <c r="B191" i="17"/>
  <c r="D191" i="14"/>
  <c r="B127" i="17"/>
  <c r="D127" i="14"/>
  <c r="B103" i="17"/>
  <c r="D103" i="14"/>
  <c r="B63" i="17"/>
  <c r="D63" i="14"/>
  <c r="D343" i="14"/>
  <c r="D271" i="14"/>
  <c r="D199" i="14"/>
  <c r="D95" i="14"/>
  <c r="D71" i="14"/>
  <c r="B360" i="17"/>
  <c r="D360" i="14"/>
  <c r="B352" i="17"/>
  <c r="D352" i="14"/>
  <c r="B344" i="17"/>
  <c r="D344" i="14"/>
  <c r="B336" i="17"/>
  <c r="D336" i="14"/>
  <c r="B328" i="17"/>
  <c r="D328" i="14"/>
  <c r="B320" i="17"/>
  <c r="D320" i="14"/>
  <c r="B312" i="17"/>
  <c r="D312" i="14"/>
  <c r="B304" i="17"/>
  <c r="D304" i="14"/>
  <c r="B296" i="17"/>
  <c r="D296" i="14"/>
  <c r="B288" i="17"/>
  <c r="D288" i="14"/>
  <c r="B280" i="17"/>
  <c r="D280" i="14"/>
  <c r="B272" i="17"/>
  <c r="D272" i="14"/>
  <c r="B264" i="17"/>
  <c r="D264" i="14"/>
  <c r="B256" i="17"/>
  <c r="D256" i="14"/>
  <c r="B248" i="17"/>
  <c r="D248" i="14"/>
  <c r="B240" i="17"/>
  <c r="D240" i="14"/>
  <c r="B232" i="17"/>
  <c r="D232" i="14"/>
  <c r="B224" i="17"/>
  <c r="D224" i="14"/>
  <c r="B216" i="17"/>
  <c r="D216" i="14"/>
  <c r="B208" i="17"/>
  <c r="D208" i="14"/>
  <c r="B200" i="17"/>
  <c r="D200" i="14"/>
  <c r="B192" i="17"/>
  <c r="D192" i="14"/>
  <c r="B184" i="17"/>
  <c r="D184" i="14"/>
  <c r="B176" i="17"/>
  <c r="D176" i="14"/>
  <c r="B168" i="17"/>
  <c r="D168" i="14"/>
  <c r="B160" i="17"/>
  <c r="D160" i="14"/>
  <c r="B152" i="17"/>
  <c r="D152" i="14"/>
  <c r="B144" i="17"/>
  <c r="D144" i="14"/>
  <c r="B136" i="17"/>
  <c r="D136" i="14"/>
  <c r="B128" i="17"/>
  <c r="D128" i="14"/>
  <c r="B120" i="17"/>
  <c r="D120" i="14"/>
  <c r="B112" i="17"/>
  <c r="D112" i="14"/>
  <c r="B104" i="17"/>
  <c r="D104" i="14"/>
  <c r="B96" i="17"/>
  <c r="D96" i="14"/>
  <c r="B88" i="17"/>
  <c r="D88" i="14"/>
  <c r="B80" i="17"/>
  <c r="D80" i="14"/>
  <c r="B72" i="17"/>
  <c r="D72" i="14"/>
  <c r="B64" i="17"/>
  <c r="D64" i="14"/>
  <c r="B56" i="17"/>
  <c r="D56" i="14"/>
  <c r="B48" i="17"/>
  <c r="D48" i="14"/>
  <c r="B40" i="17"/>
  <c r="D40" i="14"/>
  <c r="B32" i="17"/>
  <c r="D32" i="14"/>
  <c r="B24" i="17"/>
  <c r="D24" i="14"/>
  <c r="B16" i="17"/>
  <c r="D16" i="14"/>
  <c r="B8" i="17"/>
  <c r="D8" i="14"/>
  <c r="R96" i="15" l="1"/>
  <c r="S96" i="15" s="1"/>
  <c r="O96" i="15"/>
  <c r="L96" i="15"/>
  <c r="I96" i="15"/>
  <c r="J96" i="15" s="1"/>
  <c r="F96" i="15"/>
  <c r="G96" i="15" s="1"/>
  <c r="C96" i="15"/>
  <c r="D96" i="15" s="1"/>
  <c r="M96" i="15" l="1"/>
  <c r="C95" i="17"/>
  <c r="P96" i="15"/>
  <c r="H95" i="17"/>
  <c r="R95" i="15"/>
  <c r="S95" i="15" s="1"/>
  <c r="O95" i="15"/>
  <c r="L95" i="15"/>
  <c r="C94" i="17" s="1"/>
  <c r="I95" i="15"/>
  <c r="J95" i="15" s="1"/>
  <c r="F95" i="15"/>
  <c r="G95" i="15" s="1"/>
  <c r="C95" i="15"/>
  <c r="D95" i="15" s="1"/>
  <c r="M95" i="15" l="1"/>
  <c r="P95" i="15"/>
  <c r="H94" i="17"/>
  <c r="R94" i="15"/>
  <c r="S94" i="15" s="1"/>
  <c r="O94" i="15"/>
  <c r="H93" i="17" s="1"/>
  <c r="L94" i="15"/>
  <c r="I94" i="15"/>
  <c r="J94" i="15" s="1"/>
  <c r="F94" i="15"/>
  <c r="G94" i="15" s="1"/>
  <c r="C94" i="15"/>
  <c r="D94" i="15" s="1"/>
  <c r="M94" i="15" l="1"/>
  <c r="C93" i="17"/>
  <c r="P94" i="15"/>
  <c r="BF367" i="19"/>
  <c r="R93" i="15"/>
  <c r="S93" i="15" s="1"/>
  <c r="O93" i="15"/>
  <c r="L93" i="15"/>
  <c r="I93" i="15"/>
  <c r="J93" i="15" s="1"/>
  <c r="F93" i="15"/>
  <c r="G93" i="15" s="1"/>
  <c r="C93" i="15"/>
  <c r="D93" i="15" s="1"/>
  <c r="M93" i="15" l="1"/>
  <c r="C92" i="17"/>
  <c r="P93" i="15"/>
  <c r="H92" i="17"/>
  <c r="GL18" i="20"/>
  <c r="R92" i="15" l="1"/>
  <c r="S92" i="15" s="1"/>
  <c r="O92" i="15"/>
  <c r="H91" i="17" s="1"/>
  <c r="L92" i="15"/>
  <c r="I92" i="15"/>
  <c r="J92" i="15" s="1"/>
  <c r="F92" i="15"/>
  <c r="G92" i="15" s="1"/>
  <c r="C92" i="15"/>
  <c r="D92" i="15" s="1"/>
  <c r="M92" i="15" l="1"/>
  <c r="C91" i="17"/>
  <c r="P92" i="15"/>
  <c r="R91" i="15"/>
  <c r="S91" i="15" s="1"/>
  <c r="O91" i="15"/>
  <c r="L91" i="15"/>
  <c r="I91" i="15"/>
  <c r="J91" i="15" s="1"/>
  <c r="F91" i="15"/>
  <c r="G91" i="15" s="1"/>
  <c r="C91" i="15"/>
  <c r="D91" i="15" s="1"/>
  <c r="P91" i="15" l="1"/>
  <c r="H90" i="17"/>
  <c r="M91" i="15"/>
  <c r="C90" i="17"/>
  <c r="B126" i="57"/>
  <c r="B127" i="57" s="1"/>
  <c r="D126" i="57"/>
  <c r="C126" i="57"/>
  <c r="B132" i="57"/>
  <c r="B133" i="57" s="1"/>
  <c r="C132" i="57"/>
  <c r="C133" i="57" s="1"/>
  <c r="D132" i="57"/>
  <c r="B106" i="57"/>
  <c r="C106" i="57"/>
  <c r="D106" i="57"/>
  <c r="C58" i="57"/>
  <c r="D58" i="57"/>
  <c r="D133" i="57" l="1"/>
  <c r="C127" i="57"/>
  <c r="D127" i="57"/>
  <c r="D134" i="57"/>
  <c r="D135" i="57" s="1"/>
  <c r="B134" i="57"/>
  <c r="B135" i="57" s="1"/>
  <c r="C134" i="57"/>
  <c r="C135" i="57" s="1"/>
  <c r="C89" i="57"/>
  <c r="B89" i="57"/>
  <c r="C88" i="57"/>
  <c r="D88" i="57"/>
  <c r="B88" i="57"/>
  <c r="R90" i="15"/>
  <c r="S90" i="15" s="1"/>
  <c r="O90" i="15"/>
  <c r="L90" i="15"/>
  <c r="I90" i="15"/>
  <c r="J90" i="15" s="1"/>
  <c r="F90" i="15"/>
  <c r="G90" i="15" s="1"/>
  <c r="C90" i="15"/>
  <c r="D90" i="15" s="1"/>
  <c r="M90" i="15" l="1"/>
  <c r="C89" i="17"/>
  <c r="P90" i="15"/>
  <c r="H89" i="17"/>
  <c r="U92" i="28"/>
  <c r="S92" i="28"/>
  <c r="Q92" i="28"/>
  <c r="O92" i="28"/>
  <c r="M92" i="28"/>
  <c r="K92" i="28"/>
  <c r="I92" i="28"/>
  <c r="G92" i="28"/>
  <c r="E92" i="28"/>
  <c r="C92" i="28"/>
  <c r="U91" i="28"/>
  <c r="E91" i="28"/>
  <c r="C91" i="28"/>
  <c r="U90" i="28"/>
  <c r="S90" i="28"/>
  <c r="Q90" i="28"/>
  <c r="O90" i="28"/>
  <c r="M90" i="28"/>
  <c r="K90" i="28"/>
  <c r="I90" i="28"/>
  <c r="G90" i="28"/>
  <c r="E90" i="28"/>
  <c r="C90" i="28"/>
  <c r="U89" i="28"/>
  <c r="S89" i="28"/>
  <c r="Q89" i="28"/>
  <c r="O89" i="28"/>
  <c r="M89" i="28"/>
  <c r="K89" i="28"/>
  <c r="I89" i="28"/>
  <c r="G89" i="28"/>
  <c r="E89" i="28"/>
  <c r="C89" i="28"/>
  <c r="U88" i="28"/>
  <c r="S88" i="28"/>
  <c r="Q88" i="28"/>
  <c r="O88" i="28"/>
  <c r="M88" i="28"/>
  <c r="K88" i="28"/>
  <c r="I88" i="28"/>
  <c r="G88" i="28"/>
  <c r="E88" i="28"/>
  <c r="C88" i="28"/>
  <c r="Z92" i="8"/>
  <c r="AA92" i="8"/>
  <c r="AB92" i="8"/>
  <c r="AC92" i="8"/>
  <c r="R89" i="15"/>
  <c r="S89" i="15" s="1"/>
  <c r="O89" i="15"/>
  <c r="H88" i="17" s="1"/>
  <c r="L89" i="15"/>
  <c r="I89" i="15"/>
  <c r="J89" i="15" s="1"/>
  <c r="F89" i="15"/>
  <c r="G89" i="15" s="1"/>
  <c r="C89" i="15"/>
  <c r="D89" i="15" s="1"/>
  <c r="M89" i="15" l="1"/>
  <c r="C88" i="17"/>
  <c r="P89" i="15"/>
  <c r="R88" i="15"/>
  <c r="S88" i="15" s="1"/>
  <c r="O88" i="15"/>
  <c r="L88" i="15"/>
  <c r="I88" i="15"/>
  <c r="J88" i="15" s="1"/>
  <c r="F88" i="15"/>
  <c r="G88" i="15" s="1"/>
  <c r="C88" i="15"/>
  <c r="D88" i="15" s="1"/>
  <c r="P88" i="15" l="1"/>
  <c r="H87" i="17"/>
  <c r="M88" i="15"/>
  <c r="C87" i="17"/>
  <c r="R87" i="15"/>
  <c r="S87" i="15" s="1"/>
  <c r="O87" i="15"/>
  <c r="L87" i="15"/>
  <c r="I87" i="15"/>
  <c r="J87" i="15" s="1"/>
  <c r="F87" i="15"/>
  <c r="G87" i="15" s="1"/>
  <c r="C87" i="15"/>
  <c r="D87" i="15" s="1"/>
  <c r="M87" i="15" l="1"/>
  <c r="C86" i="17"/>
  <c r="P87" i="15"/>
  <c r="H86" i="17"/>
  <c r="U87" i="28"/>
  <c r="S87" i="28"/>
  <c r="Q87" i="28"/>
  <c r="O87" i="28"/>
  <c r="M87" i="28"/>
  <c r="K87" i="28"/>
  <c r="I87" i="28"/>
  <c r="G87" i="28"/>
  <c r="E87" i="28"/>
  <c r="C87" i="28"/>
  <c r="U86" i="28"/>
  <c r="S86" i="28"/>
  <c r="Q86" i="28"/>
  <c r="O86" i="28"/>
  <c r="M86" i="28"/>
  <c r="K86" i="28"/>
  <c r="I86" i="28"/>
  <c r="G86" i="28"/>
  <c r="E86" i="28"/>
  <c r="C86" i="28"/>
  <c r="R86" i="15" l="1"/>
  <c r="S86" i="15" s="1"/>
  <c r="O86" i="15"/>
  <c r="L86" i="15"/>
  <c r="I86" i="15"/>
  <c r="J86" i="15" s="1"/>
  <c r="F86" i="15"/>
  <c r="G86" i="15" s="1"/>
  <c r="C86" i="15"/>
  <c r="D86" i="15" s="1"/>
  <c r="M86" i="15" l="1"/>
  <c r="C85" i="17"/>
  <c r="P86" i="15"/>
  <c r="H85" i="17"/>
  <c r="R85" i="15"/>
  <c r="S85" i="15" s="1"/>
  <c r="O85" i="15"/>
  <c r="L85" i="15"/>
  <c r="I85" i="15"/>
  <c r="J85" i="15" s="1"/>
  <c r="F85" i="15"/>
  <c r="G85" i="15" s="1"/>
  <c r="C85" i="15"/>
  <c r="D85" i="15" s="1"/>
  <c r="M85" i="15" l="1"/>
  <c r="C84" i="17"/>
  <c r="P85" i="15"/>
  <c r="H84" i="17"/>
  <c r="U85" i="28"/>
  <c r="S85" i="28"/>
  <c r="Q85" i="28"/>
  <c r="O85" i="28"/>
  <c r="M85" i="28"/>
  <c r="K85" i="28"/>
  <c r="I85" i="28"/>
  <c r="G85" i="28"/>
  <c r="E85" i="28"/>
  <c r="C85" i="28"/>
  <c r="U84" i="28"/>
  <c r="S84" i="28"/>
  <c r="Q84" i="28"/>
  <c r="O84" i="28"/>
  <c r="M84" i="28"/>
  <c r="K84" i="28"/>
  <c r="I84" i="28"/>
  <c r="G84" i="28"/>
  <c r="E84" i="28"/>
  <c r="C84" i="28"/>
  <c r="R84" i="15"/>
  <c r="S84" i="15" s="1"/>
  <c r="O84" i="15"/>
  <c r="L84" i="15"/>
  <c r="I84" i="15"/>
  <c r="J84" i="15" s="1"/>
  <c r="F84" i="15"/>
  <c r="G84" i="15" s="1"/>
  <c r="C84" i="15"/>
  <c r="D84" i="15" s="1"/>
  <c r="M84" i="15" l="1"/>
  <c r="C83" i="17"/>
  <c r="P84" i="15"/>
  <c r="H83" i="17"/>
  <c r="R83" i="15"/>
  <c r="S83" i="15" s="1"/>
  <c r="O83" i="15"/>
  <c r="L83" i="15"/>
  <c r="I83" i="15"/>
  <c r="J83" i="15" s="1"/>
  <c r="F83" i="15"/>
  <c r="G83" i="15" s="1"/>
  <c r="C83" i="15"/>
  <c r="D83" i="15" s="1"/>
  <c r="M83" i="15" l="1"/>
  <c r="C82" i="17"/>
  <c r="P83" i="15"/>
  <c r="H82" i="17"/>
  <c r="U83" i="28"/>
  <c r="S83" i="28"/>
  <c r="Q83" i="28"/>
  <c r="O83" i="28"/>
  <c r="M83" i="28"/>
  <c r="K83" i="28"/>
  <c r="I83" i="28"/>
  <c r="G83" i="28"/>
  <c r="E83" i="28"/>
  <c r="C83" i="28"/>
  <c r="U82" i="28"/>
  <c r="S82" i="28"/>
  <c r="Q82" i="28"/>
  <c r="O82" i="28"/>
  <c r="M82" i="28"/>
  <c r="K82" i="28"/>
  <c r="I82" i="28"/>
  <c r="G82" i="28"/>
  <c r="E82" i="28"/>
  <c r="C82" i="28"/>
  <c r="R82" i="15" l="1"/>
  <c r="S82" i="15" s="1"/>
  <c r="O82" i="15"/>
  <c r="L82" i="15"/>
  <c r="I82" i="15"/>
  <c r="J82" i="15" s="1"/>
  <c r="F82" i="15"/>
  <c r="G82" i="15" s="1"/>
  <c r="C82" i="15"/>
  <c r="D82" i="15" s="1"/>
  <c r="R81" i="15"/>
  <c r="S81" i="15" s="1"/>
  <c r="O81" i="15"/>
  <c r="L81" i="15"/>
  <c r="I81" i="15"/>
  <c r="J81" i="15" s="1"/>
  <c r="F81" i="15"/>
  <c r="G81" i="15" s="1"/>
  <c r="C81" i="15"/>
  <c r="D81" i="15" s="1"/>
  <c r="U81" i="28"/>
  <c r="S81" i="28"/>
  <c r="Q81" i="28"/>
  <c r="O81" i="28"/>
  <c r="M81" i="28"/>
  <c r="K81" i="28"/>
  <c r="I81" i="28"/>
  <c r="G81" i="28"/>
  <c r="E81" i="28"/>
  <c r="C81" i="28"/>
  <c r="M82" i="15" l="1"/>
  <c r="C81" i="17"/>
  <c r="P81" i="15"/>
  <c r="H80" i="17"/>
  <c r="P82" i="15"/>
  <c r="H81" i="17"/>
  <c r="M81" i="15"/>
  <c r="C80" i="17"/>
  <c r="U80" i="28"/>
  <c r="S80" i="28"/>
  <c r="Q80" i="28"/>
  <c r="O80" i="28"/>
  <c r="M80" i="28"/>
  <c r="K80" i="28"/>
  <c r="I80" i="28"/>
  <c r="G80" i="28"/>
  <c r="E80" i="28"/>
  <c r="C80" i="28"/>
  <c r="R80" i="15"/>
  <c r="S80" i="15" s="1"/>
  <c r="O80" i="15"/>
  <c r="L80" i="15"/>
  <c r="I80" i="15"/>
  <c r="J80" i="15" s="1"/>
  <c r="F80" i="15"/>
  <c r="G80" i="15" s="1"/>
  <c r="C80" i="15"/>
  <c r="D80" i="15" s="1"/>
  <c r="M80" i="15" l="1"/>
  <c r="C79" i="17"/>
  <c r="P80" i="15"/>
  <c r="H79" i="17"/>
  <c r="BH70" i="19"/>
  <c r="BH71" i="19"/>
  <c r="BH72" i="19"/>
  <c r="BH73" i="19"/>
  <c r="BH74" i="19"/>
  <c r="BH75" i="19"/>
  <c r="BH76" i="19"/>
  <c r="U79" i="28"/>
  <c r="S79" i="28"/>
  <c r="Q79" i="28"/>
  <c r="O79" i="28"/>
  <c r="M79" i="28"/>
  <c r="K79" i="28"/>
  <c r="I79" i="28"/>
  <c r="G79" i="28"/>
  <c r="E79" i="28"/>
  <c r="C79" i="28"/>
  <c r="R79" i="15" l="1"/>
  <c r="S79" i="15" s="1"/>
  <c r="O79" i="15"/>
  <c r="L79" i="15"/>
  <c r="I79" i="15"/>
  <c r="J79" i="15" s="1"/>
  <c r="F79" i="15"/>
  <c r="G79" i="15" s="1"/>
  <c r="C79" i="15"/>
  <c r="D79" i="15" s="1"/>
  <c r="M79" i="15" l="1"/>
  <c r="C78" i="17"/>
  <c r="P79" i="15"/>
  <c r="H78" i="17"/>
  <c r="AK367" i="19"/>
  <c r="P77" i="19"/>
  <c r="S77" i="19" s="1"/>
  <c r="S78" i="28"/>
  <c r="Q78" i="28"/>
  <c r="O78" i="28"/>
  <c r="M78" i="28"/>
  <c r="K78" i="28"/>
  <c r="I78" i="28"/>
  <c r="G78" i="28"/>
  <c r="E78" i="28"/>
  <c r="C78" i="28"/>
  <c r="R78" i="15"/>
  <c r="S78" i="15" s="1"/>
  <c r="O78" i="15"/>
  <c r="L78" i="15"/>
  <c r="I78" i="15"/>
  <c r="J78" i="15" s="1"/>
  <c r="F78" i="15"/>
  <c r="G78" i="15" s="1"/>
  <c r="C78" i="15"/>
  <c r="D78" i="15" s="1"/>
  <c r="M78" i="15" l="1"/>
  <c r="C77" i="17"/>
  <c r="P78" i="15"/>
  <c r="H77" i="17"/>
  <c r="C77" i="14"/>
  <c r="B77" i="17" s="1"/>
  <c r="AM77" i="19"/>
  <c r="BG2" i="19"/>
  <c r="BH2" i="19" s="1"/>
  <c r="BG3" i="19"/>
  <c r="BG4" i="19"/>
  <c r="BG5" i="19"/>
  <c r="BG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H33" i="19" s="1"/>
  <c r="BG34" i="19"/>
  <c r="BH34" i="19" s="1"/>
  <c r="BG35" i="19"/>
  <c r="BH35" i="19" s="1"/>
  <c r="BG36" i="19"/>
  <c r="BH36" i="19" s="1"/>
  <c r="BG37" i="19"/>
  <c r="BH37" i="19" s="1"/>
  <c r="BG38" i="19"/>
  <c r="BH38" i="19" s="1"/>
  <c r="BG39" i="19"/>
  <c r="BH39" i="19" s="1"/>
  <c r="BG40" i="19"/>
  <c r="BH40" i="19" s="1"/>
  <c r="BG41" i="19"/>
  <c r="BH41" i="19" s="1"/>
  <c r="BG42" i="19"/>
  <c r="BH42" i="19" s="1"/>
  <c r="BG43" i="19"/>
  <c r="BH43" i="19" s="1"/>
  <c r="BG44" i="19"/>
  <c r="BH44" i="19" s="1"/>
  <c r="BG45" i="19"/>
  <c r="BH45" i="19" s="1"/>
  <c r="BG46" i="19"/>
  <c r="BH46" i="19" s="1"/>
  <c r="BG47" i="19"/>
  <c r="BH47" i="19" s="1"/>
  <c r="BG48" i="19"/>
  <c r="BH48" i="19" s="1"/>
  <c r="BG49" i="19"/>
  <c r="BH49" i="19" s="1"/>
  <c r="BG50" i="19"/>
  <c r="BH50" i="19" s="1"/>
  <c r="BG51" i="19"/>
  <c r="BH51" i="19" s="1"/>
  <c r="BG52" i="19"/>
  <c r="BH52" i="19" s="1"/>
  <c r="BG53" i="19"/>
  <c r="BH53" i="19" s="1"/>
  <c r="BG54" i="19"/>
  <c r="BH54" i="19" s="1"/>
  <c r="BG55" i="19"/>
  <c r="BH55" i="19" s="1"/>
  <c r="BG56" i="19"/>
  <c r="BH56" i="19" s="1"/>
  <c r="BG57" i="19"/>
  <c r="BH57" i="19" s="1"/>
  <c r="BG58" i="19"/>
  <c r="BH58" i="19" s="1"/>
  <c r="BG59" i="19"/>
  <c r="BH59" i="19" s="1"/>
  <c r="BG60" i="19"/>
  <c r="BH60" i="19" s="1"/>
  <c r="BG61" i="19"/>
  <c r="BH61" i="19" s="1"/>
  <c r="BG62" i="19"/>
  <c r="BH62" i="19" s="1"/>
  <c r="BG63" i="19"/>
  <c r="BH63" i="19" s="1"/>
  <c r="BG64" i="19"/>
  <c r="BH64" i="19" s="1"/>
  <c r="BG65" i="19"/>
  <c r="BH65" i="19" s="1"/>
  <c r="BG66" i="19"/>
  <c r="BH66" i="19" s="1"/>
  <c r="BG67" i="19"/>
  <c r="BH67" i="19" s="1"/>
  <c r="BG68" i="19"/>
  <c r="BH68" i="19" s="1"/>
  <c r="BG69" i="19"/>
  <c r="BH69" i="19" s="1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I142" i="19" s="1"/>
  <c r="BH143" i="19"/>
  <c r="BI143" i="19" s="1"/>
  <c r="BJ143" i="19" s="1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H211" i="19"/>
  <c r="BH212" i="19"/>
  <c r="BH213" i="19"/>
  <c r="BH214" i="19"/>
  <c r="BH215" i="19"/>
  <c r="BH216" i="19"/>
  <c r="BH217" i="19"/>
  <c r="BH218" i="19"/>
  <c r="BH219" i="19"/>
  <c r="BH220" i="19"/>
  <c r="BH221" i="19"/>
  <c r="BH222" i="19"/>
  <c r="BH223" i="19"/>
  <c r="BH224" i="19"/>
  <c r="BH225" i="19"/>
  <c r="BH226" i="19"/>
  <c r="BH227" i="19"/>
  <c r="BH228" i="19"/>
  <c r="BH229" i="19"/>
  <c r="BH230" i="19"/>
  <c r="BH231" i="19"/>
  <c r="BH232" i="19"/>
  <c r="BH233" i="19"/>
  <c r="BH234" i="19"/>
  <c r="BH235" i="19"/>
  <c r="BH236" i="19"/>
  <c r="BH237" i="19"/>
  <c r="BH238" i="19"/>
  <c r="BH239" i="19"/>
  <c r="BH240" i="19"/>
  <c r="BH241" i="19"/>
  <c r="BH242" i="19"/>
  <c r="BH243" i="19"/>
  <c r="BH244" i="19"/>
  <c r="BH245" i="19"/>
  <c r="BH246" i="19"/>
  <c r="BH247" i="19"/>
  <c r="BH248" i="19"/>
  <c r="BH249" i="19"/>
  <c r="BH250" i="19"/>
  <c r="BH251" i="19"/>
  <c r="BH252" i="19"/>
  <c r="BH253" i="19"/>
  <c r="BH254" i="19"/>
  <c r="BH255" i="19"/>
  <c r="BH256" i="19"/>
  <c r="BH257" i="19"/>
  <c r="BH258" i="19"/>
  <c r="BH259" i="19"/>
  <c r="BH260" i="19"/>
  <c r="BH261" i="19"/>
  <c r="BH262" i="19"/>
  <c r="BH263" i="19"/>
  <c r="BH264" i="19"/>
  <c r="BH265" i="19"/>
  <c r="BH266" i="19"/>
  <c r="BH267" i="19"/>
  <c r="BH268" i="19"/>
  <c r="BH269" i="19"/>
  <c r="BH270" i="19"/>
  <c r="BH271" i="19"/>
  <c r="BH272" i="19"/>
  <c r="BH273" i="19"/>
  <c r="BH274" i="19"/>
  <c r="BH275" i="19"/>
  <c r="BH276" i="19"/>
  <c r="BH277" i="19"/>
  <c r="BH278" i="19"/>
  <c r="BH279" i="19"/>
  <c r="BH280" i="19"/>
  <c r="BH281" i="19"/>
  <c r="BH282" i="19"/>
  <c r="BH283" i="19"/>
  <c r="BH284" i="19"/>
  <c r="BH285" i="19"/>
  <c r="BH286" i="19"/>
  <c r="BH287" i="19"/>
  <c r="BH288" i="19"/>
  <c r="BH289" i="19"/>
  <c r="BH290" i="19"/>
  <c r="BH291" i="19"/>
  <c r="BH292" i="19"/>
  <c r="BH293" i="19"/>
  <c r="BH294" i="19"/>
  <c r="BH295" i="19"/>
  <c r="BH296" i="19"/>
  <c r="BH297" i="19"/>
  <c r="BH298" i="19"/>
  <c r="BH299" i="19"/>
  <c r="BH300" i="19"/>
  <c r="BH301" i="19"/>
  <c r="BH302" i="19"/>
  <c r="BH303" i="19"/>
  <c r="BH304" i="19"/>
  <c r="BH305" i="19"/>
  <c r="BH306" i="19"/>
  <c r="BH307" i="19"/>
  <c r="BH308" i="19"/>
  <c r="BH309" i="19"/>
  <c r="BH310" i="19"/>
  <c r="BH311" i="19"/>
  <c r="BH312" i="19"/>
  <c r="BH313" i="19"/>
  <c r="BH314" i="19"/>
  <c r="BH315" i="19"/>
  <c r="BH316" i="19"/>
  <c r="BH317" i="19"/>
  <c r="BH318" i="19"/>
  <c r="BH319" i="19"/>
  <c r="BH320" i="19"/>
  <c r="BH321" i="19"/>
  <c r="BH322" i="19"/>
  <c r="BH323" i="19"/>
  <c r="BH324" i="19"/>
  <c r="BH325" i="19"/>
  <c r="BH326" i="19"/>
  <c r="BH327" i="19"/>
  <c r="BH328" i="19"/>
  <c r="BH329" i="19"/>
  <c r="BH330" i="19"/>
  <c r="BH331" i="19"/>
  <c r="BH332" i="19"/>
  <c r="BH333" i="19"/>
  <c r="BH334" i="19"/>
  <c r="BH335" i="19"/>
  <c r="BH336" i="19"/>
  <c r="BH337" i="19"/>
  <c r="BH338" i="19"/>
  <c r="BH339" i="19"/>
  <c r="BH340" i="19"/>
  <c r="BH341" i="19"/>
  <c r="BH342" i="19"/>
  <c r="BH343" i="19"/>
  <c r="BH344" i="19"/>
  <c r="BH345" i="19"/>
  <c r="BH346" i="19"/>
  <c r="BH347" i="19"/>
  <c r="BH348" i="19"/>
  <c r="BH349" i="19"/>
  <c r="BH350" i="19"/>
  <c r="BH351" i="19"/>
  <c r="BH352" i="19"/>
  <c r="BH353" i="19"/>
  <c r="BH354" i="19"/>
  <c r="BH355" i="19"/>
  <c r="BH356" i="19"/>
  <c r="BH357" i="19"/>
  <c r="BH358" i="19"/>
  <c r="BH359" i="19"/>
  <c r="BH360" i="19"/>
  <c r="BH361" i="19"/>
  <c r="BH362" i="19"/>
  <c r="BH363" i="19"/>
  <c r="BH364" i="19"/>
  <c r="BH365" i="19"/>
  <c r="BH366" i="19"/>
  <c r="U77" i="28"/>
  <c r="S77" i="28"/>
  <c r="Q77" i="28"/>
  <c r="O77" i="28"/>
  <c r="M77" i="28"/>
  <c r="K77" i="28"/>
  <c r="I77" i="28"/>
  <c r="G77" i="28"/>
  <c r="E77" i="28"/>
  <c r="C77" i="28"/>
  <c r="AO77" i="15"/>
  <c r="AM77" i="15"/>
  <c r="AN77" i="15" s="1"/>
  <c r="AJ77" i="15"/>
  <c r="AK77" i="15" s="1"/>
  <c r="AG77" i="15"/>
  <c r="AH77" i="15" s="1"/>
  <c r="AD77" i="15"/>
  <c r="AE77" i="15" s="1"/>
  <c r="AA77" i="15"/>
  <c r="AB77" i="15" s="1"/>
  <c r="Y77" i="15"/>
  <c r="U77" i="15"/>
  <c r="R77" i="15"/>
  <c r="S77" i="15" s="1"/>
  <c r="O77" i="15"/>
  <c r="L77" i="15"/>
  <c r="I77" i="15"/>
  <c r="J77" i="15" s="1"/>
  <c r="F77" i="15"/>
  <c r="G77" i="15" s="1"/>
  <c r="C77" i="15"/>
  <c r="D77" i="15" s="1"/>
  <c r="D77" i="14" l="1"/>
  <c r="M77" i="15"/>
  <c r="C76" i="17"/>
  <c r="P77" i="15"/>
  <c r="H76" i="17"/>
  <c r="BH92" i="19"/>
  <c r="BG367" i="19"/>
  <c r="AJ76" i="15"/>
  <c r="AK76" i="15" s="1"/>
  <c r="AG76" i="15"/>
  <c r="AH76" i="15" s="1"/>
  <c r="AD76" i="15"/>
  <c r="AE76" i="15" s="1"/>
  <c r="AA76" i="15"/>
  <c r="AB76" i="15" s="1"/>
  <c r="Y76" i="15"/>
  <c r="U76" i="15"/>
  <c r="R76" i="15"/>
  <c r="S76" i="15" s="1"/>
  <c r="O76" i="15"/>
  <c r="L76" i="15"/>
  <c r="I76" i="15"/>
  <c r="J76" i="15" s="1"/>
  <c r="F76" i="15"/>
  <c r="G76" i="15" s="1"/>
  <c r="C76" i="15"/>
  <c r="D76" i="15" s="1"/>
  <c r="M76" i="15" l="1"/>
  <c r="C75" i="17"/>
  <c r="P76" i="15"/>
  <c r="H75" i="17"/>
  <c r="AJ75" i="15"/>
  <c r="AK75" i="15" s="1"/>
  <c r="AG75" i="15"/>
  <c r="AH75" i="15" s="1"/>
  <c r="AD75" i="15"/>
  <c r="AE75" i="15" s="1"/>
  <c r="AA75" i="15"/>
  <c r="AB75" i="15" s="1"/>
  <c r="Y75" i="15"/>
  <c r="BP74" i="19" s="1"/>
  <c r="U75" i="15"/>
  <c r="R75" i="15"/>
  <c r="S75" i="15" s="1"/>
  <c r="O75" i="15"/>
  <c r="H74" i="17" s="1"/>
  <c r="L75" i="15"/>
  <c r="I75" i="15"/>
  <c r="J75" i="15" s="1"/>
  <c r="F75" i="15"/>
  <c r="G75" i="15" s="1"/>
  <c r="C75" i="15"/>
  <c r="D75" i="15" s="1"/>
  <c r="M75" i="15" l="1"/>
  <c r="C74" i="17"/>
  <c r="P75" i="15"/>
  <c r="R74" i="15"/>
  <c r="R72" i="15"/>
  <c r="R73" i="15"/>
  <c r="U76" i="28" l="1"/>
  <c r="S76" i="28"/>
  <c r="Q76" i="28"/>
  <c r="O76" i="28"/>
  <c r="M76" i="28"/>
  <c r="K76" i="28"/>
  <c r="I76" i="28"/>
  <c r="G76" i="28"/>
  <c r="E76" i="28"/>
  <c r="C76" i="28"/>
  <c r="U75" i="28"/>
  <c r="S75" i="28"/>
  <c r="Q75" i="28"/>
  <c r="O75" i="28"/>
  <c r="M75" i="28"/>
  <c r="K75" i="28"/>
  <c r="I75" i="28"/>
  <c r="G75" i="28"/>
  <c r="E75" i="28"/>
  <c r="C75" i="28"/>
  <c r="U74" i="28"/>
  <c r="S74" i="28"/>
  <c r="Q74" i="28"/>
  <c r="O74" i="28"/>
  <c r="M74" i="28"/>
  <c r="K74" i="28"/>
  <c r="I74" i="28"/>
  <c r="G74" i="28"/>
  <c r="E74" i="28"/>
  <c r="C74" i="28"/>
  <c r="U73" i="28"/>
  <c r="S73" i="28"/>
  <c r="Q73" i="28"/>
  <c r="O73" i="28"/>
  <c r="M73" i="28"/>
  <c r="K73" i="28"/>
  <c r="I73" i="28"/>
  <c r="G73" i="28"/>
  <c r="E73" i="28"/>
  <c r="C73" i="28"/>
  <c r="AO74" i="15"/>
  <c r="AM74" i="15"/>
  <c r="AN74" i="15" s="1"/>
  <c r="AJ74" i="15"/>
  <c r="AK74" i="15" s="1"/>
  <c r="AG74" i="15"/>
  <c r="AH74" i="15" s="1"/>
  <c r="AD74" i="15"/>
  <c r="AE74" i="15" s="1"/>
  <c r="AA74" i="15"/>
  <c r="AB74" i="15" s="1"/>
  <c r="Y74" i="15"/>
  <c r="U74" i="15"/>
  <c r="S74" i="15"/>
  <c r="O74" i="15"/>
  <c r="L74" i="15"/>
  <c r="I74" i="15"/>
  <c r="J74" i="15" s="1"/>
  <c r="F74" i="15"/>
  <c r="G74" i="15" s="1"/>
  <c r="C74" i="15"/>
  <c r="D74" i="15" s="1"/>
  <c r="M74" i="15" l="1"/>
  <c r="C73" i="17"/>
  <c r="P74" i="15"/>
  <c r="H73" i="17"/>
  <c r="S73" i="15"/>
  <c r="O73" i="15"/>
  <c r="L73" i="15"/>
  <c r="I73" i="15"/>
  <c r="J73" i="15" s="1"/>
  <c r="F73" i="15"/>
  <c r="G73" i="15" s="1"/>
  <c r="C73" i="15"/>
  <c r="D73" i="15" s="1"/>
  <c r="M73" i="15" l="1"/>
  <c r="C72" i="17"/>
  <c r="P73" i="15"/>
  <c r="H72" i="17"/>
  <c r="U72" i="28"/>
  <c r="S72" i="28"/>
  <c r="Q72" i="28"/>
  <c r="O72" i="28"/>
  <c r="M72" i="28"/>
  <c r="K72" i="28"/>
  <c r="I72" i="28"/>
  <c r="G72" i="28"/>
  <c r="E72" i="28"/>
  <c r="C72" i="28"/>
  <c r="AO72" i="15"/>
  <c r="AM72" i="15"/>
  <c r="AN72" i="15" s="1"/>
  <c r="AJ72" i="15"/>
  <c r="AK72" i="15" s="1"/>
  <c r="AG72" i="15"/>
  <c r="AH72" i="15" s="1"/>
  <c r="AD72" i="15"/>
  <c r="AE72" i="15" s="1"/>
  <c r="AA72" i="15"/>
  <c r="AB72" i="15" s="1"/>
  <c r="Y72" i="15"/>
  <c r="S72" i="15"/>
  <c r="U72" i="15" s="1"/>
  <c r="O72" i="15"/>
  <c r="L72" i="15"/>
  <c r="I72" i="15"/>
  <c r="J72" i="15" s="1"/>
  <c r="F72" i="15"/>
  <c r="G72" i="15" s="1"/>
  <c r="C72" i="15"/>
  <c r="D72" i="15" s="1"/>
  <c r="P72" i="15" l="1"/>
  <c r="H71" i="17"/>
  <c r="M72" i="15"/>
  <c r="C71" i="17"/>
  <c r="B74" i="57"/>
  <c r="D19" i="57"/>
  <c r="D59" i="57" s="1"/>
  <c r="C19" i="57"/>
  <c r="C59" i="57" s="1"/>
  <c r="B19" i="57"/>
  <c r="B59" i="57" s="1"/>
  <c r="E19" i="57" l="1"/>
  <c r="D75" i="57"/>
  <c r="D74" i="57"/>
  <c r="D73" i="57"/>
  <c r="C75" i="57"/>
  <c r="C74" i="57"/>
  <c r="C73" i="57"/>
  <c r="B75" i="57"/>
  <c r="K2" i="20" l="1"/>
  <c r="L2" i="20" s="1"/>
  <c r="R57" i="15" l="1"/>
  <c r="S71" i="28"/>
  <c r="Q71" i="28"/>
  <c r="O71" i="28"/>
  <c r="M71" i="28"/>
  <c r="K71" i="28"/>
  <c r="I71" i="28"/>
  <c r="G71" i="28"/>
  <c r="E71" i="28"/>
  <c r="C71" i="28"/>
  <c r="AO71" i="15"/>
  <c r="AM71" i="15"/>
  <c r="AN71" i="15" s="1"/>
  <c r="AJ71" i="15"/>
  <c r="AK71" i="15" s="1"/>
  <c r="AG71" i="15"/>
  <c r="AH71" i="15" s="1"/>
  <c r="AD71" i="15"/>
  <c r="AE71" i="15" s="1"/>
  <c r="AA71" i="15"/>
  <c r="AB71" i="15" s="1"/>
  <c r="Y71" i="15"/>
  <c r="O71" i="15"/>
  <c r="L71" i="15"/>
  <c r="I71" i="15"/>
  <c r="J71" i="15" s="1"/>
  <c r="F71" i="15"/>
  <c r="G71" i="15" s="1"/>
  <c r="C71" i="15"/>
  <c r="D71" i="15" s="1"/>
  <c r="U71" i="15" l="1"/>
  <c r="P71" i="15"/>
  <c r="H70" i="17"/>
  <c r="M71" i="15"/>
  <c r="C70" i="17"/>
  <c r="S70" i="28"/>
  <c r="Q70" i="28"/>
  <c r="O70" i="28"/>
  <c r="M70" i="28"/>
  <c r="K70" i="28"/>
  <c r="I70" i="28"/>
  <c r="G70" i="28"/>
  <c r="E70" i="28"/>
  <c r="C70" i="28"/>
  <c r="AG70" i="15" l="1"/>
  <c r="AH70" i="15" s="1"/>
  <c r="AJ70" i="15" l="1"/>
  <c r="AK70" i="15" s="1"/>
  <c r="AD70" i="15"/>
  <c r="AE70" i="15" s="1"/>
  <c r="AA70" i="15"/>
  <c r="AB70" i="15" s="1"/>
  <c r="Y70" i="15"/>
  <c r="U70" i="15"/>
  <c r="S70" i="15"/>
  <c r="O70" i="15"/>
  <c r="L70" i="15"/>
  <c r="I70" i="15"/>
  <c r="J70" i="15" s="1"/>
  <c r="F70" i="15"/>
  <c r="G70" i="15" s="1"/>
  <c r="C70" i="15"/>
  <c r="D70" i="15" s="1"/>
  <c r="M70" i="15" l="1"/>
  <c r="C69" i="17"/>
  <c r="P70" i="15"/>
  <c r="H69" i="17"/>
  <c r="S69" i="28"/>
  <c r="Q69" i="28"/>
  <c r="O69" i="28"/>
  <c r="M69" i="28"/>
  <c r="K69" i="28"/>
  <c r="I69" i="28"/>
  <c r="G69" i="28"/>
  <c r="E69" i="28"/>
  <c r="C69" i="28"/>
  <c r="AM69" i="15"/>
  <c r="AN69" i="15" s="1"/>
  <c r="AJ69" i="15"/>
  <c r="AK69" i="15" s="1"/>
  <c r="AG69" i="15"/>
  <c r="AH69" i="15" s="1"/>
  <c r="AD69" i="15"/>
  <c r="AE69" i="15" s="1"/>
  <c r="AA69" i="15"/>
  <c r="AB69" i="15" s="1"/>
  <c r="Y69" i="15"/>
  <c r="U69" i="15"/>
  <c r="R69" i="15"/>
  <c r="S69" i="15" s="1"/>
  <c r="O69" i="15"/>
  <c r="L69" i="15"/>
  <c r="I69" i="15"/>
  <c r="J69" i="15" s="1"/>
  <c r="F69" i="15"/>
  <c r="G69" i="15" s="1"/>
  <c r="C69" i="15"/>
  <c r="D69" i="15" s="1"/>
  <c r="P69" i="15" l="1"/>
  <c r="H68" i="17"/>
  <c r="M69" i="15"/>
  <c r="C68" i="17"/>
  <c r="AM68" i="15"/>
  <c r="AJ68" i="15"/>
  <c r="AK68" i="15" s="1"/>
  <c r="AG68" i="15"/>
  <c r="AH68" i="15" s="1"/>
  <c r="AD68" i="15"/>
  <c r="AE68" i="15" s="1"/>
  <c r="AA68" i="15"/>
  <c r="AB68" i="15" s="1"/>
  <c r="Y68" i="15"/>
  <c r="U68" i="15"/>
  <c r="R68" i="15"/>
  <c r="S68" i="15" s="1"/>
  <c r="O68" i="15"/>
  <c r="L68" i="15"/>
  <c r="I68" i="15"/>
  <c r="J68" i="15" s="1"/>
  <c r="F68" i="15"/>
  <c r="G68" i="15" s="1"/>
  <c r="C68" i="15"/>
  <c r="D68" i="15" s="1"/>
  <c r="S68" i="28"/>
  <c r="Q68" i="28"/>
  <c r="O68" i="28"/>
  <c r="M68" i="28"/>
  <c r="K68" i="28"/>
  <c r="I68" i="28"/>
  <c r="G68" i="28"/>
  <c r="E68" i="28"/>
  <c r="C68" i="28"/>
  <c r="M68" i="15" l="1"/>
  <c r="C67" i="17"/>
  <c r="P68" i="15"/>
  <c r="H67" i="17"/>
  <c r="S67" i="28"/>
  <c r="Q67" i="28"/>
  <c r="O67" i="28"/>
  <c r="M67" i="28"/>
  <c r="K67" i="28"/>
  <c r="I67" i="28"/>
  <c r="G67" i="28"/>
  <c r="E67" i="28"/>
  <c r="C67" i="28"/>
  <c r="AJ67" i="15"/>
  <c r="AK67" i="15" s="1"/>
  <c r="AG67" i="15"/>
  <c r="AH67" i="15" s="1"/>
  <c r="AD67" i="15"/>
  <c r="AE67" i="15" s="1"/>
  <c r="AA67" i="15"/>
  <c r="AB67" i="15" s="1"/>
  <c r="Y67" i="15"/>
  <c r="U67" i="15"/>
  <c r="S67" i="15"/>
  <c r="O67" i="15"/>
  <c r="L67" i="15"/>
  <c r="I67" i="15"/>
  <c r="J67" i="15" s="1"/>
  <c r="F67" i="15"/>
  <c r="G67" i="15" s="1"/>
  <c r="C67" i="15"/>
  <c r="D67" i="15" s="1"/>
  <c r="M67" i="15" l="1"/>
  <c r="C66" i="17"/>
  <c r="P67" i="15"/>
  <c r="H66" i="17"/>
  <c r="AJ66" i="15"/>
  <c r="AK66" i="15" s="1"/>
  <c r="AG66" i="15"/>
  <c r="AH66" i="15" s="1"/>
  <c r="AD66" i="15"/>
  <c r="AE66" i="15" s="1"/>
  <c r="AA66" i="15"/>
  <c r="AB66" i="15" s="1"/>
  <c r="Y66" i="15"/>
  <c r="U66" i="15"/>
  <c r="R66" i="15"/>
  <c r="S66" i="15" s="1"/>
  <c r="O66" i="15"/>
  <c r="L66" i="15"/>
  <c r="I66" i="15"/>
  <c r="J66" i="15" s="1"/>
  <c r="F66" i="15"/>
  <c r="G66" i="15" s="1"/>
  <c r="C66" i="15"/>
  <c r="D66" i="15" s="1"/>
  <c r="S66" i="28"/>
  <c r="Q66" i="28"/>
  <c r="O66" i="28"/>
  <c r="M66" i="28"/>
  <c r="K66" i="28"/>
  <c r="I66" i="28"/>
  <c r="G66" i="28"/>
  <c r="E66" i="28"/>
  <c r="C66" i="28"/>
  <c r="M66" i="15" l="1"/>
  <c r="C65" i="17"/>
  <c r="P66" i="15"/>
  <c r="H65" i="17"/>
  <c r="U65" i="28"/>
  <c r="S65" i="28"/>
  <c r="Q65" i="28"/>
  <c r="O65" i="28"/>
  <c r="M65" i="28"/>
  <c r="K65" i="28"/>
  <c r="I65" i="28"/>
  <c r="G65" i="28"/>
  <c r="E65" i="28"/>
  <c r="C65" i="28"/>
  <c r="AJ65" i="15"/>
  <c r="AK65" i="15" s="1"/>
  <c r="AG65" i="15"/>
  <c r="AH65" i="15" s="1"/>
  <c r="AD65" i="15"/>
  <c r="AE65" i="15" s="1"/>
  <c r="AA65" i="15"/>
  <c r="AB65" i="15" s="1"/>
  <c r="Y65" i="15"/>
  <c r="U65" i="15"/>
  <c r="R65" i="15"/>
  <c r="S65" i="15" s="1"/>
  <c r="O65" i="15"/>
  <c r="L65" i="15"/>
  <c r="I65" i="15"/>
  <c r="J65" i="15" s="1"/>
  <c r="F65" i="15"/>
  <c r="G65" i="15" s="1"/>
  <c r="C65" i="15"/>
  <c r="D65" i="15" s="1"/>
  <c r="P65" i="15" l="1"/>
  <c r="H64" i="17"/>
  <c r="M65" i="15"/>
  <c r="C64" i="17"/>
  <c r="U64" i="28"/>
  <c r="S64" i="28"/>
  <c r="Q64" i="28"/>
  <c r="O64" i="28"/>
  <c r="M64" i="28"/>
  <c r="K64" i="28"/>
  <c r="I64" i="28"/>
  <c r="G64" i="28"/>
  <c r="E64" i="28"/>
  <c r="C64" i="28"/>
  <c r="AO64" i="15" l="1"/>
  <c r="AM64" i="15"/>
  <c r="AN64" i="15" s="1"/>
  <c r="AJ64" i="15"/>
  <c r="AK64" i="15" s="1"/>
  <c r="AG64" i="15"/>
  <c r="AH64" i="15" s="1"/>
  <c r="AD64" i="15"/>
  <c r="AE64" i="15" s="1"/>
  <c r="AA64" i="15"/>
  <c r="AB64" i="15" s="1"/>
  <c r="Y64" i="15"/>
  <c r="U64" i="15"/>
  <c r="R64" i="15"/>
  <c r="S64" i="15" s="1"/>
  <c r="O64" i="15"/>
  <c r="L64" i="15"/>
  <c r="I64" i="15"/>
  <c r="J64" i="15" s="1"/>
  <c r="F64" i="15"/>
  <c r="G64" i="15" s="1"/>
  <c r="C64" i="15"/>
  <c r="D64" i="15" s="1"/>
  <c r="BS6" i="20"/>
  <c r="M64" i="15" l="1"/>
  <c r="C63" i="17"/>
  <c r="P64" i="15"/>
  <c r="H63" i="17"/>
  <c r="S63" i="28"/>
  <c r="Q63" i="28"/>
  <c r="O63" i="28"/>
  <c r="M63" i="28"/>
  <c r="K63" i="28"/>
  <c r="I63" i="28"/>
  <c r="G63" i="28"/>
  <c r="E63" i="28"/>
  <c r="C63" i="28"/>
  <c r="AJ63" i="15" l="1"/>
  <c r="AK63" i="15" s="1"/>
  <c r="AG63" i="15"/>
  <c r="AH63" i="15" s="1"/>
  <c r="AD63" i="15"/>
  <c r="AE63" i="15" s="1"/>
  <c r="AA63" i="15"/>
  <c r="AB63" i="15" s="1"/>
  <c r="Y63" i="15"/>
  <c r="U63" i="15"/>
  <c r="R63" i="15"/>
  <c r="S63" i="15" s="1"/>
  <c r="O63" i="15"/>
  <c r="L63" i="15"/>
  <c r="I63" i="15"/>
  <c r="J63" i="15" s="1"/>
  <c r="F63" i="15"/>
  <c r="G63" i="15" s="1"/>
  <c r="C63" i="15"/>
  <c r="D63" i="15" s="1"/>
  <c r="P63" i="15" l="1"/>
  <c r="H62" i="17"/>
  <c r="M63" i="15"/>
  <c r="C62" i="17"/>
  <c r="U62" i="28"/>
  <c r="S62" i="28"/>
  <c r="Q62" i="28"/>
  <c r="O62" i="28"/>
  <c r="M62" i="28"/>
  <c r="K62" i="28"/>
  <c r="I62" i="28"/>
  <c r="G62" i="28"/>
  <c r="E62" i="28"/>
  <c r="C62" i="28"/>
  <c r="AO62" i="15"/>
  <c r="AM62" i="15"/>
  <c r="AN62" i="15" s="1"/>
  <c r="AJ62" i="15"/>
  <c r="AK62" i="15" s="1"/>
  <c r="AG62" i="15"/>
  <c r="AH62" i="15" s="1"/>
  <c r="AD62" i="15"/>
  <c r="AE62" i="15" s="1"/>
  <c r="AA62" i="15"/>
  <c r="AB62" i="15" s="1"/>
  <c r="Y62" i="15"/>
  <c r="U62" i="15"/>
  <c r="R62" i="15"/>
  <c r="S62" i="15" s="1"/>
  <c r="O62" i="15"/>
  <c r="L62" i="15"/>
  <c r="I62" i="15"/>
  <c r="J62" i="15" s="1"/>
  <c r="F62" i="15"/>
  <c r="G62" i="15" s="1"/>
  <c r="C62" i="15"/>
  <c r="D62" i="15" s="1"/>
  <c r="P62" i="15" l="1"/>
  <c r="H61" i="17"/>
  <c r="M62" i="15"/>
  <c r="C61" i="17"/>
  <c r="V57" i="15"/>
  <c r="S61" i="28" l="1"/>
  <c r="Q61" i="28"/>
  <c r="O61" i="28"/>
  <c r="M61" i="28"/>
  <c r="K61" i="28"/>
  <c r="I61" i="28"/>
  <c r="G61" i="28"/>
  <c r="E61" i="28"/>
  <c r="C61" i="28"/>
  <c r="AJ61" i="15"/>
  <c r="AK61" i="15" s="1"/>
  <c r="AG61" i="15"/>
  <c r="AH61" i="15" s="1"/>
  <c r="AD61" i="15"/>
  <c r="AE61" i="15" s="1"/>
  <c r="AA61" i="15"/>
  <c r="AB61" i="15" s="1"/>
  <c r="Y61" i="15"/>
  <c r="U61" i="15"/>
  <c r="R61" i="15"/>
  <c r="S61" i="15" s="1"/>
  <c r="O61" i="15"/>
  <c r="L61" i="15"/>
  <c r="I61" i="15"/>
  <c r="J61" i="15" s="1"/>
  <c r="F61" i="15"/>
  <c r="G61" i="15" s="1"/>
  <c r="C61" i="15"/>
  <c r="D61" i="15" s="1"/>
  <c r="M61" i="15" l="1"/>
  <c r="C60" i="17"/>
  <c r="P61" i="15"/>
  <c r="H60" i="17"/>
  <c r="S60" i="28"/>
  <c r="Q60" i="28"/>
  <c r="O60" i="28"/>
  <c r="M60" i="28"/>
  <c r="K60" i="28"/>
  <c r="I60" i="28"/>
  <c r="G60" i="28"/>
  <c r="E60" i="28"/>
  <c r="C60" i="28"/>
  <c r="AJ60" i="15"/>
  <c r="AK60" i="15" s="1"/>
  <c r="AG60" i="15"/>
  <c r="AH60" i="15" s="1"/>
  <c r="AD60" i="15"/>
  <c r="AE60" i="15" s="1"/>
  <c r="AA60" i="15"/>
  <c r="AB60" i="15" s="1"/>
  <c r="Y60" i="15"/>
  <c r="U60" i="15"/>
  <c r="S60" i="15"/>
  <c r="O60" i="15"/>
  <c r="L60" i="15"/>
  <c r="I60" i="15"/>
  <c r="J60" i="15" s="1"/>
  <c r="F60" i="15"/>
  <c r="G60" i="15" s="1"/>
  <c r="C60" i="15"/>
  <c r="D60" i="15" s="1"/>
  <c r="P60" i="15" l="1"/>
  <c r="H59" i="17"/>
  <c r="M60" i="15"/>
  <c r="C59" i="17"/>
  <c r="N58" i="53"/>
  <c r="U59" i="28"/>
  <c r="S59" i="28"/>
  <c r="Q59" i="28"/>
  <c r="O59" i="28"/>
  <c r="M59" i="28"/>
  <c r="K59" i="28"/>
  <c r="I59" i="28"/>
  <c r="G59" i="28"/>
  <c r="E59" i="28"/>
  <c r="C59" i="28"/>
  <c r="AO59" i="15"/>
  <c r="AM59" i="15"/>
  <c r="AN59" i="15" s="1"/>
  <c r="AJ59" i="15"/>
  <c r="AK59" i="15" s="1"/>
  <c r="AG59" i="15"/>
  <c r="AH59" i="15" s="1"/>
  <c r="AD59" i="15"/>
  <c r="AE59" i="15" s="1"/>
  <c r="AA59" i="15"/>
  <c r="AB59" i="15" s="1"/>
  <c r="Y59" i="15"/>
  <c r="U59" i="15"/>
  <c r="R59" i="15"/>
  <c r="S59" i="15" s="1"/>
  <c r="O59" i="15"/>
  <c r="L59" i="15"/>
  <c r="I59" i="15"/>
  <c r="J59" i="15" s="1"/>
  <c r="F59" i="15"/>
  <c r="G59" i="15" s="1"/>
  <c r="C59" i="15"/>
  <c r="D59" i="15" s="1"/>
  <c r="M59" i="15" l="1"/>
  <c r="C58" i="17"/>
  <c r="P59" i="15"/>
  <c r="H58" i="17"/>
  <c r="BB57" i="53"/>
  <c r="AY58" i="53"/>
  <c r="U58" i="28" l="1"/>
  <c r="S58" i="28"/>
  <c r="Q58" i="28"/>
  <c r="O58" i="28"/>
  <c r="AY57" i="53" s="1"/>
  <c r="M58" i="28"/>
  <c r="K58" i="28"/>
  <c r="I58" i="28"/>
  <c r="G58" i="28"/>
  <c r="E58" i="28"/>
  <c r="C58" i="28"/>
  <c r="AO58" i="15"/>
  <c r="AM58" i="15"/>
  <c r="AN58" i="15" s="1"/>
  <c r="AJ58" i="15"/>
  <c r="AK58" i="15" s="1"/>
  <c r="AG58" i="15"/>
  <c r="AH58" i="15" s="1"/>
  <c r="AD58" i="15"/>
  <c r="AE58" i="15" s="1"/>
  <c r="AA58" i="15"/>
  <c r="AB58" i="15" s="1"/>
  <c r="Y58" i="15"/>
  <c r="U58" i="15"/>
  <c r="R58" i="15"/>
  <c r="S58" i="15" s="1"/>
  <c r="O58" i="15"/>
  <c r="L58" i="15"/>
  <c r="I58" i="15"/>
  <c r="J58" i="15" s="1"/>
  <c r="F58" i="15"/>
  <c r="G58" i="15" s="1"/>
  <c r="C58" i="15"/>
  <c r="D58" i="15" s="1"/>
  <c r="M58" i="15" l="1"/>
  <c r="C57" i="17"/>
  <c r="P58" i="15"/>
  <c r="H57" i="17"/>
  <c r="U57" i="28"/>
  <c r="S57" i="28"/>
  <c r="Q57" i="28"/>
  <c r="O57" i="28"/>
  <c r="AY56" i="53" s="1"/>
  <c r="M57" i="28"/>
  <c r="K57" i="28"/>
  <c r="I57" i="28"/>
  <c r="G57" i="28"/>
  <c r="E57" i="28"/>
  <c r="C57" i="28"/>
  <c r="AO57" i="15"/>
  <c r="AM57" i="15"/>
  <c r="AN57" i="15" s="1"/>
  <c r="AJ57" i="15"/>
  <c r="AK57" i="15" s="1"/>
  <c r="AG57" i="15"/>
  <c r="AH57" i="15" s="1"/>
  <c r="AD57" i="15"/>
  <c r="AE57" i="15" s="1"/>
  <c r="AA57" i="15"/>
  <c r="AB57" i="15" s="1"/>
  <c r="Y57" i="15"/>
  <c r="U57" i="15"/>
  <c r="S57" i="15"/>
  <c r="O57" i="15"/>
  <c r="L57" i="15"/>
  <c r="I57" i="15"/>
  <c r="J57" i="15" s="1"/>
  <c r="F57" i="15"/>
  <c r="G57" i="15" s="1"/>
  <c r="C57" i="15"/>
  <c r="D57" i="15" s="1"/>
  <c r="P57" i="15" l="1"/>
  <c r="H56" i="17"/>
  <c r="M57" i="15"/>
  <c r="C56" i="17"/>
  <c r="U56" i="28"/>
  <c r="S56" i="28"/>
  <c r="Q56" i="28"/>
  <c r="O56" i="28"/>
  <c r="M56" i="28"/>
  <c r="K56" i="28"/>
  <c r="I56" i="28"/>
  <c r="G56" i="28"/>
  <c r="E56" i="28"/>
  <c r="C56" i="28"/>
  <c r="AO56" i="15"/>
  <c r="AM56" i="15"/>
  <c r="AN56" i="15" s="1"/>
  <c r="AJ56" i="15"/>
  <c r="AK56" i="15" s="1"/>
  <c r="AG56" i="15"/>
  <c r="AH56" i="15" s="1"/>
  <c r="AD56" i="15"/>
  <c r="AE56" i="15" s="1"/>
  <c r="AA56" i="15"/>
  <c r="AB56" i="15" s="1"/>
  <c r="Y56" i="15"/>
  <c r="U56" i="15"/>
  <c r="R56" i="15"/>
  <c r="S56" i="15" s="1"/>
  <c r="O56" i="15"/>
  <c r="L56" i="15"/>
  <c r="I56" i="15"/>
  <c r="J56" i="15" s="1"/>
  <c r="F56" i="15"/>
  <c r="G56" i="15" s="1"/>
  <c r="C56" i="15"/>
  <c r="D56" i="15" s="1"/>
  <c r="P56" i="15" l="1"/>
  <c r="H55" i="17"/>
  <c r="M56" i="15"/>
  <c r="C55" i="17"/>
  <c r="U55" i="28"/>
  <c r="S55" i="28"/>
  <c r="Q55" i="28"/>
  <c r="O55" i="28"/>
  <c r="M55" i="28"/>
  <c r="K55" i="28"/>
  <c r="I55" i="28"/>
  <c r="G55" i="28"/>
  <c r="E55" i="28"/>
  <c r="C55" i="28"/>
  <c r="R55" i="15"/>
  <c r="S55" i="15" s="1"/>
  <c r="O55" i="15"/>
  <c r="L55" i="15"/>
  <c r="I55" i="15"/>
  <c r="J55" i="15" s="1"/>
  <c r="F55" i="15"/>
  <c r="G55" i="15" s="1"/>
  <c r="C55" i="15"/>
  <c r="D55" i="15" s="1"/>
  <c r="P55" i="15" l="1"/>
  <c r="H54" i="17"/>
  <c r="M55" i="15"/>
  <c r="C54" i="17"/>
  <c r="U54" i="28"/>
  <c r="S54" i="28"/>
  <c r="Q54" i="28"/>
  <c r="O54" i="28"/>
  <c r="M54" i="28"/>
  <c r="K54" i="28"/>
  <c r="I54" i="28"/>
  <c r="G54" i="28"/>
  <c r="E54" i="28"/>
  <c r="C54" i="28"/>
  <c r="AO54" i="15"/>
  <c r="AM54" i="15"/>
  <c r="AN54" i="15" s="1"/>
  <c r="AJ54" i="15"/>
  <c r="AK54" i="15" s="1"/>
  <c r="AG54" i="15"/>
  <c r="AH54" i="15" s="1"/>
  <c r="AD54" i="15"/>
  <c r="AE54" i="15" s="1"/>
  <c r="AA54" i="15"/>
  <c r="AB54" i="15" s="1"/>
  <c r="Y54" i="15"/>
  <c r="U54" i="15"/>
  <c r="R54" i="15"/>
  <c r="S54" i="15" s="1"/>
  <c r="O54" i="15"/>
  <c r="L54" i="15"/>
  <c r="I54" i="15"/>
  <c r="J54" i="15" s="1"/>
  <c r="F54" i="15"/>
  <c r="G54" i="15" s="1"/>
  <c r="C54" i="15"/>
  <c r="D54" i="15" s="1"/>
  <c r="P54" i="15" l="1"/>
  <c r="H53" i="17"/>
  <c r="M54" i="15"/>
  <c r="C53" i="17"/>
  <c r="U53" i="28"/>
  <c r="S53" i="28"/>
  <c r="Q53" i="28"/>
  <c r="O53" i="28"/>
  <c r="M53" i="28"/>
  <c r="K53" i="28"/>
  <c r="I53" i="28"/>
  <c r="G53" i="28"/>
  <c r="E53" i="28"/>
  <c r="C53" i="28"/>
  <c r="AO53" i="15" l="1"/>
  <c r="AM53" i="15"/>
  <c r="AN53" i="15" s="1"/>
  <c r="AJ53" i="15"/>
  <c r="AK53" i="15" s="1"/>
  <c r="AG53" i="15"/>
  <c r="AH53" i="15" s="1"/>
  <c r="AD53" i="15"/>
  <c r="AE53" i="15" s="1"/>
  <c r="AA53" i="15"/>
  <c r="AB53" i="15" s="1"/>
  <c r="Y53" i="15"/>
  <c r="U53" i="15"/>
  <c r="R53" i="15"/>
  <c r="S53" i="15" s="1"/>
  <c r="O53" i="15"/>
  <c r="L53" i="15"/>
  <c r="I53" i="15"/>
  <c r="J53" i="15" s="1"/>
  <c r="F53" i="15"/>
  <c r="G53" i="15" s="1"/>
  <c r="C53" i="15"/>
  <c r="D53" i="15" s="1"/>
  <c r="M53" i="15" l="1"/>
  <c r="C52" i="17"/>
  <c r="P53" i="15"/>
  <c r="H52" i="17"/>
  <c r="U52" i="28"/>
  <c r="S52" i="28"/>
  <c r="Q52" i="28"/>
  <c r="O52" i="28"/>
  <c r="M52" i="28"/>
  <c r="K52" i="28"/>
  <c r="I52" i="28"/>
  <c r="G52" i="28"/>
  <c r="E52" i="28"/>
  <c r="C52" i="28"/>
  <c r="AO52" i="15"/>
  <c r="AM52" i="15"/>
  <c r="AN52" i="15" s="1"/>
  <c r="AJ52" i="15"/>
  <c r="AK52" i="15" s="1"/>
  <c r="AG52" i="15"/>
  <c r="AH52" i="15" s="1"/>
  <c r="AD52" i="15"/>
  <c r="AE52" i="15" s="1"/>
  <c r="AA52" i="15"/>
  <c r="AB52" i="15" s="1"/>
  <c r="Y52" i="15"/>
  <c r="U52" i="15"/>
  <c r="R52" i="15"/>
  <c r="S52" i="15" s="1"/>
  <c r="O52" i="15"/>
  <c r="L52" i="15"/>
  <c r="I52" i="15"/>
  <c r="J52" i="15" s="1"/>
  <c r="F52" i="15"/>
  <c r="G52" i="15" s="1"/>
  <c r="C52" i="15"/>
  <c r="D52" i="15" s="1"/>
  <c r="E26" i="20"/>
  <c r="P52" i="15" l="1"/>
  <c r="H51" i="17"/>
  <c r="M52" i="15"/>
  <c r="C51" i="17"/>
  <c r="AL2" i="19"/>
  <c r="CJ2" i="19" s="1"/>
  <c r="DR4" i="20"/>
  <c r="DR6" i="20"/>
  <c r="AY2" i="19" l="1"/>
  <c r="J50" i="14" l="1"/>
  <c r="AS367" i="19"/>
  <c r="S51" i="28"/>
  <c r="Q51" i="28"/>
  <c r="O51" i="28"/>
  <c r="M51" i="28"/>
  <c r="K51" i="28"/>
  <c r="I51" i="28"/>
  <c r="G51" i="28"/>
  <c r="E51" i="28"/>
  <c r="C51" i="28"/>
  <c r="AO51" i="15"/>
  <c r="AM51" i="15"/>
  <c r="AN51" i="15" s="1"/>
  <c r="AJ51" i="15"/>
  <c r="AK51" i="15" s="1"/>
  <c r="AG51" i="15"/>
  <c r="AH51" i="15" s="1"/>
  <c r="AD51" i="15"/>
  <c r="AE51" i="15" s="1"/>
  <c r="AA51" i="15"/>
  <c r="AB51" i="15" s="1"/>
  <c r="Y51" i="15"/>
  <c r="U51" i="15"/>
  <c r="R51" i="15"/>
  <c r="S51" i="15" s="1"/>
  <c r="O51" i="15"/>
  <c r="L51" i="15"/>
  <c r="I51" i="15"/>
  <c r="J51" i="15" s="1"/>
  <c r="F51" i="15"/>
  <c r="G51" i="15" s="1"/>
  <c r="C51" i="15"/>
  <c r="D51" i="15" s="1"/>
  <c r="M51" i="15" l="1"/>
  <c r="C50" i="17"/>
  <c r="P51" i="15"/>
  <c r="H50" i="17"/>
  <c r="N49" i="17"/>
  <c r="U50" i="28" l="1"/>
  <c r="S50" i="28"/>
  <c r="Q50" i="28"/>
  <c r="O50" i="28"/>
  <c r="M50" i="28"/>
  <c r="K50" i="28"/>
  <c r="I50" i="28"/>
  <c r="G50" i="28"/>
  <c r="E50" i="28"/>
  <c r="C50" i="28"/>
  <c r="AO50" i="15"/>
  <c r="AM50" i="15"/>
  <c r="AN50" i="15" s="1"/>
  <c r="AJ50" i="15"/>
  <c r="AK50" i="15" s="1"/>
  <c r="AG50" i="15"/>
  <c r="AH50" i="15" s="1"/>
  <c r="AD50" i="15"/>
  <c r="AE50" i="15" s="1"/>
  <c r="AA50" i="15"/>
  <c r="AB50" i="15" s="1"/>
  <c r="Y50" i="15"/>
  <c r="U50" i="15"/>
  <c r="R50" i="15"/>
  <c r="S50" i="15" s="1"/>
  <c r="O50" i="15"/>
  <c r="L50" i="15"/>
  <c r="I50" i="15"/>
  <c r="J50" i="15" s="1"/>
  <c r="F50" i="15"/>
  <c r="G50" i="15" s="1"/>
  <c r="C50" i="15"/>
  <c r="D50" i="15" s="1"/>
  <c r="M50" i="15" l="1"/>
  <c r="C49" i="17"/>
  <c r="P50" i="15"/>
  <c r="H49" i="17"/>
  <c r="S49" i="28"/>
  <c r="Q49" i="28"/>
  <c r="O49" i="28"/>
  <c r="M49" i="28"/>
  <c r="K49" i="28"/>
  <c r="I49" i="28"/>
  <c r="G49" i="28"/>
  <c r="E49" i="28"/>
  <c r="C49" i="28"/>
  <c r="AJ49" i="15"/>
  <c r="AK49" i="15" s="1"/>
  <c r="AG49" i="15"/>
  <c r="AH49" i="15" s="1"/>
  <c r="AD49" i="15"/>
  <c r="AE49" i="15" s="1"/>
  <c r="AA49" i="15"/>
  <c r="AB49" i="15" s="1"/>
  <c r="Y49" i="15"/>
  <c r="U49" i="15"/>
  <c r="R49" i="15"/>
  <c r="S49" i="15" s="1"/>
  <c r="O49" i="15"/>
  <c r="L49" i="15"/>
  <c r="I49" i="15"/>
  <c r="J49" i="15" s="1"/>
  <c r="F49" i="15"/>
  <c r="G49" i="15" s="1"/>
  <c r="C49" i="15"/>
  <c r="D49" i="15" s="1"/>
  <c r="M49" i="15" l="1"/>
  <c r="C48" i="17"/>
  <c r="P49" i="15"/>
  <c r="H48" i="17"/>
  <c r="U48" i="28"/>
  <c r="S48" i="28"/>
  <c r="Q48" i="28"/>
  <c r="O48" i="28"/>
  <c r="M48" i="28"/>
  <c r="K48" i="28"/>
  <c r="I48" i="28"/>
  <c r="G48" i="28"/>
  <c r="E48" i="28"/>
  <c r="C48" i="28"/>
  <c r="AO48" i="15"/>
  <c r="AM48" i="15"/>
  <c r="AN48" i="15" s="1"/>
  <c r="AJ48" i="15"/>
  <c r="AK48" i="15" s="1"/>
  <c r="AG48" i="15"/>
  <c r="AH48" i="15" s="1"/>
  <c r="AD48" i="15"/>
  <c r="AE48" i="15" s="1"/>
  <c r="AA48" i="15"/>
  <c r="AB48" i="15" s="1"/>
  <c r="Y48" i="15"/>
  <c r="U48" i="15"/>
  <c r="R48" i="15"/>
  <c r="S48" i="15" s="1"/>
  <c r="O48" i="15"/>
  <c r="L48" i="15"/>
  <c r="I48" i="15"/>
  <c r="J48" i="15" s="1"/>
  <c r="F48" i="15"/>
  <c r="G48" i="15" s="1"/>
  <c r="C48" i="15"/>
  <c r="D48" i="15" s="1"/>
  <c r="P48" i="15" l="1"/>
  <c r="H47" i="17"/>
  <c r="M48" i="15"/>
  <c r="C47" i="17"/>
  <c r="C45" i="20"/>
  <c r="U47" i="28" l="1"/>
  <c r="S47" i="28"/>
  <c r="Q47" i="28"/>
  <c r="O47" i="28"/>
  <c r="M47" i="28"/>
  <c r="K47" i="28"/>
  <c r="I47" i="28"/>
  <c r="G47" i="28"/>
  <c r="E47" i="28"/>
  <c r="C47" i="28"/>
  <c r="C46" i="53" s="1"/>
  <c r="AO47" i="15"/>
  <c r="AM47" i="15"/>
  <c r="AN47" i="15" s="1"/>
  <c r="AJ47" i="15"/>
  <c r="AK47" i="15" s="1"/>
  <c r="AG47" i="15"/>
  <c r="AH47" i="15" s="1"/>
  <c r="AD47" i="15"/>
  <c r="AE47" i="15" s="1"/>
  <c r="AA47" i="15"/>
  <c r="AB47" i="15" s="1"/>
  <c r="Y47" i="15"/>
  <c r="U47" i="15"/>
  <c r="R47" i="15"/>
  <c r="S47" i="15" s="1"/>
  <c r="O47" i="15"/>
  <c r="L47" i="15"/>
  <c r="I47" i="15"/>
  <c r="J47" i="15" s="1"/>
  <c r="F47" i="15"/>
  <c r="G47" i="15" s="1"/>
  <c r="C47" i="15"/>
  <c r="D47" i="15" s="1"/>
  <c r="M47" i="15" l="1"/>
  <c r="C46" i="17"/>
  <c r="P47" i="15"/>
  <c r="H46" i="17"/>
  <c r="U46" i="28"/>
  <c r="S46" i="28"/>
  <c r="Q46" i="28"/>
  <c r="O46" i="28"/>
  <c r="M46" i="28"/>
  <c r="K46" i="28"/>
  <c r="I46" i="28"/>
  <c r="G46" i="28"/>
  <c r="E46" i="28"/>
  <c r="C46" i="28"/>
  <c r="AJ46" i="15"/>
  <c r="AK46" i="15" s="1"/>
  <c r="AG46" i="15"/>
  <c r="AH46" i="15" s="1"/>
  <c r="AD46" i="15"/>
  <c r="AE46" i="15" s="1"/>
  <c r="AA46" i="15"/>
  <c r="AB46" i="15" s="1"/>
  <c r="Y46" i="15"/>
  <c r="U46" i="15"/>
  <c r="R46" i="15"/>
  <c r="S46" i="15" s="1"/>
  <c r="O46" i="15"/>
  <c r="L46" i="15"/>
  <c r="I46" i="15"/>
  <c r="J46" i="15" s="1"/>
  <c r="F46" i="15"/>
  <c r="G46" i="15" s="1"/>
  <c r="C46" i="15"/>
  <c r="D46" i="15" s="1"/>
  <c r="P46" i="15" l="1"/>
  <c r="H45" i="17"/>
  <c r="M46" i="15"/>
  <c r="C45" i="17"/>
  <c r="U45" i="28"/>
  <c r="S45" i="28"/>
  <c r="Q45" i="28"/>
  <c r="O45" i="28"/>
  <c r="M45" i="28"/>
  <c r="K45" i="28"/>
  <c r="I45" i="28"/>
  <c r="G45" i="28"/>
  <c r="E45" i="28"/>
  <c r="C45" i="28"/>
  <c r="AO45" i="15"/>
  <c r="AM45" i="15"/>
  <c r="AN45" i="15" s="1"/>
  <c r="AJ45" i="15"/>
  <c r="AK45" i="15" s="1"/>
  <c r="AG45" i="15"/>
  <c r="AH45" i="15" s="1"/>
  <c r="AD45" i="15"/>
  <c r="AE45" i="15" s="1"/>
  <c r="AA45" i="15"/>
  <c r="AB45" i="15" s="1"/>
  <c r="Y45" i="15"/>
  <c r="U45" i="15"/>
  <c r="R45" i="15"/>
  <c r="S45" i="15" s="1"/>
  <c r="O45" i="15"/>
  <c r="L45" i="15"/>
  <c r="I45" i="15"/>
  <c r="J45" i="15" s="1"/>
  <c r="F45" i="15"/>
  <c r="G45" i="15" s="1"/>
  <c r="C45" i="15"/>
  <c r="D45" i="15" s="1"/>
  <c r="P45" i="15" l="1"/>
  <c r="H44" i="17"/>
  <c r="M45" i="15"/>
  <c r="C44" i="17"/>
  <c r="R9" i="15"/>
  <c r="S44" i="28" l="1"/>
  <c r="Q44" i="28"/>
  <c r="O44" i="28"/>
  <c r="M44" i="28"/>
  <c r="K44" i="28"/>
  <c r="G44" i="28"/>
  <c r="E44" i="28"/>
  <c r="C44" i="28"/>
  <c r="AJ44" i="15"/>
  <c r="AK44" i="15" s="1"/>
  <c r="AG44" i="15"/>
  <c r="AH44" i="15" s="1"/>
  <c r="AD44" i="15"/>
  <c r="AE44" i="15" s="1"/>
  <c r="AA44" i="15"/>
  <c r="AB44" i="15" s="1"/>
  <c r="Y44" i="15"/>
  <c r="U44" i="15"/>
  <c r="R44" i="15"/>
  <c r="S44" i="15" s="1"/>
  <c r="O44" i="15"/>
  <c r="L44" i="15"/>
  <c r="I44" i="15"/>
  <c r="J44" i="15" s="1"/>
  <c r="F44" i="15"/>
  <c r="G44" i="15" s="1"/>
  <c r="C44" i="15"/>
  <c r="D44" i="15" s="1"/>
  <c r="M44" i="15" l="1"/>
  <c r="C43" i="17"/>
  <c r="P44" i="15"/>
  <c r="H43" i="17"/>
  <c r="U43" i="28"/>
  <c r="S43" i="28"/>
  <c r="Q43" i="28"/>
  <c r="O43" i="28"/>
  <c r="M43" i="28"/>
  <c r="K43" i="28"/>
  <c r="I43" i="28"/>
  <c r="G43" i="28"/>
  <c r="E43" i="28"/>
  <c r="C43" i="28"/>
  <c r="AJ43" i="15"/>
  <c r="AK43" i="15" s="1"/>
  <c r="AG43" i="15"/>
  <c r="AH43" i="15" s="1"/>
  <c r="AD43" i="15"/>
  <c r="AE43" i="15" s="1"/>
  <c r="AA43" i="15"/>
  <c r="AB43" i="15" s="1"/>
  <c r="Y43" i="15"/>
  <c r="R43" i="15"/>
  <c r="S43" i="15" s="1"/>
  <c r="U43" i="15" s="1"/>
  <c r="O43" i="15"/>
  <c r="L43" i="15"/>
  <c r="I43" i="15"/>
  <c r="J43" i="15" s="1"/>
  <c r="F43" i="15"/>
  <c r="G43" i="15" s="1"/>
  <c r="C43" i="15"/>
  <c r="D43" i="15" s="1"/>
  <c r="M43" i="15" l="1"/>
  <c r="C42" i="17"/>
  <c r="P43" i="15"/>
  <c r="H42" i="17"/>
  <c r="AN7" i="20"/>
  <c r="AN6" i="20"/>
  <c r="AN5" i="20"/>
  <c r="N5" i="37" s="1"/>
  <c r="B25" i="57" l="1"/>
  <c r="S42" i="28"/>
  <c r="Q42" i="28"/>
  <c r="O42" i="28"/>
  <c r="M42" i="28"/>
  <c r="K42" i="28"/>
  <c r="I42" i="28"/>
  <c r="G42" i="28"/>
  <c r="E42" i="28"/>
  <c r="C42" i="28"/>
  <c r="AJ42" i="15"/>
  <c r="AK42" i="15" s="1"/>
  <c r="AG42" i="15"/>
  <c r="AH42" i="15" s="1"/>
  <c r="AD42" i="15"/>
  <c r="AE42" i="15" s="1"/>
  <c r="AA42" i="15"/>
  <c r="AB42" i="15" s="1"/>
  <c r="Y42" i="15"/>
  <c r="U42" i="15"/>
  <c r="R42" i="15"/>
  <c r="S42" i="15" s="1"/>
  <c r="O42" i="15"/>
  <c r="L42" i="15"/>
  <c r="I42" i="15"/>
  <c r="J42" i="15" s="1"/>
  <c r="F42" i="15"/>
  <c r="G42" i="15" s="1"/>
  <c r="C42" i="15"/>
  <c r="D42" i="15" s="1"/>
  <c r="M42" i="15" l="1"/>
  <c r="C41" i="17"/>
  <c r="P42" i="15"/>
  <c r="H41" i="17"/>
  <c r="S41" i="28"/>
  <c r="Q41" i="28"/>
  <c r="O41" i="28"/>
  <c r="M41" i="28"/>
  <c r="K41" i="28"/>
  <c r="I41" i="28"/>
  <c r="G41" i="28"/>
  <c r="E41" i="28"/>
  <c r="C41" i="28"/>
  <c r="AO41" i="15"/>
  <c r="AM41" i="15"/>
  <c r="AN41" i="15" s="1"/>
  <c r="AJ41" i="15"/>
  <c r="AK41" i="15" s="1"/>
  <c r="AG41" i="15"/>
  <c r="AH41" i="15" s="1"/>
  <c r="AD41" i="15"/>
  <c r="AE41" i="15" s="1"/>
  <c r="AA41" i="15"/>
  <c r="AB41" i="15" s="1"/>
  <c r="Y41" i="15"/>
  <c r="U41" i="15"/>
  <c r="R41" i="15"/>
  <c r="S41" i="15" s="1"/>
  <c r="O41" i="15"/>
  <c r="L41" i="15"/>
  <c r="I41" i="15"/>
  <c r="J41" i="15" s="1"/>
  <c r="F41" i="15"/>
  <c r="G41" i="15" s="1"/>
  <c r="C41" i="15"/>
  <c r="D41" i="15" s="1"/>
  <c r="P41" i="15" l="1"/>
  <c r="H40" i="17"/>
  <c r="M41" i="15"/>
  <c r="C40" i="17"/>
  <c r="S40" i="28"/>
  <c r="Q40" i="28"/>
  <c r="O40" i="28"/>
  <c r="M40" i="28"/>
  <c r="K40" i="28"/>
  <c r="I40" i="28"/>
  <c r="G40" i="28"/>
  <c r="E40" i="28"/>
  <c r="C40" i="28"/>
  <c r="AO40" i="15"/>
  <c r="AM40" i="15"/>
  <c r="AN40" i="15" s="1"/>
  <c r="AJ40" i="15"/>
  <c r="AK40" i="15" s="1"/>
  <c r="AG40" i="15"/>
  <c r="AH40" i="15" s="1"/>
  <c r="AD40" i="15"/>
  <c r="AE40" i="15" s="1"/>
  <c r="AA40" i="15"/>
  <c r="AB40" i="15" s="1"/>
  <c r="Y40" i="15"/>
  <c r="U40" i="15"/>
  <c r="R40" i="15"/>
  <c r="S40" i="15" s="1"/>
  <c r="O40" i="15"/>
  <c r="L40" i="15"/>
  <c r="I40" i="15"/>
  <c r="J40" i="15" s="1"/>
  <c r="F40" i="15"/>
  <c r="G40" i="15" s="1"/>
  <c r="C40" i="15"/>
  <c r="D40" i="15" s="1"/>
  <c r="M40" i="15" l="1"/>
  <c r="C39" i="17"/>
  <c r="P40" i="15"/>
  <c r="H39" i="17"/>
  <c r="U39" i="28"/>
  <c r="S39" i="28"/>
  <c r="Q39" i="28"/>
  <c r="O39" i="28"/>
  <c r="M39" i="28"/>
  <c r="K39" i="28"/>
  <c r="I39" i="28"/>
  <c r="G39" i="28"/>
  <c r="E39" i="28"/>
  <c r="C39" i="28"/>
  <c r="AO39" i="15"/>
  <c r="AM39" i="15"/>
  <c r="AN39" i="15" s="1"/>
  <c r="AJ39" i="15"/>
  <c r="AK39" i="15" s="1"/>
  <c r="AG39" i="15"/>
  <c r="AH39" i="15" s="1"/>
  <c r="AD39" i="15"/>
  <c r="AE39" i="15" s="1"/>
  <c r="AA39" i="15"/>
  <c r="AB39" i="15" s="1"/>
  <c r="Y39" i="15"/>
  <c r="U39" i="15"/>
  <c r="R39" i="15"/>
  <c r="S39" i="15" s="1"/>
  <c r="O39" i="15"/>
  <c r="L39" i="15"/>
  <c r="I39" i="15"/>
  <c r="J39" i="15" s="1"/>
  <c r="F39" i="15"/>
  <c r="G39" i="15" s="1"/>
  <c r="C39" i="15"/>
  <c r="D39" i="15" s="1"/>
  <c r="P39" i="15" l="1"/>
  <c r="H38" i="17"/>
  <c r="M39" i="15"/>
  <c r="C38" i="17"/>
  <c r="U38" i="28"/>
  <c r="S38" i="28"/>
  <c r="Q38" i="28"/>
  <c r="O38" i="28"/>
  <c r="M38" i="28"/>
  <c r="K38" i="28"/>
  <c r="I38" i="28"/>
  <c r="G38" i="28"/>
  <c r="E38" i="28"/>
  <c r="C38" i="28"/>
  <c r="AJ38" i="15"/>
  <c r="AK38" i="15" s="1"/>
  <c r="AG38" i="15"/>
  <c r="AH38" i="15" s="1"/>
  <c r="AD38" i="15"/>
  <c r="AE38" i="15" s="1"/>
  <c r="AA38" i="15"/>
  <c r="AB38" i="15" s="1"/>
  <c r="Y38" i="15"/>
  <c r="U38" i="15"/>
  <c r="R38" i="15"/>
  <c r="S38" i="15" s="1"/>
  <c r="O38" i="15"/>
  <c r="L38" i="15"/>
  <c r="I38" i="15"/>
  <c r="J38" i="15" s="1"/>
  <c r="F38" i="15"/>
  <c r="G38" i="15" s="1"/>
  <c r="C38" i="15"/>
  <c r="D38" i="15" s="1"/>
  <c r="P38" i="15" l="1"/>
  <c r="H37" i="17"/>
  <c r="M38" i="15"/>
  <c r="C37" i="17"/>
  <c r="BZ2" i="53"/>
  <c r="CB2" i="53" s="1"/>
  <c r="U37" i="28" l="1"/>
  <c r="S37" i="28"/>
  <c r="Q37" i="28"/>
  <c r="O37" i="28"/>
  <c r="M37" i="28"/>
  <c r="K37" i="28"/>
  <c r="I37" i="28"/>
  <c r="G37" i="28"/>
  <c r="E37" i="28"/>
  <c r="C37" i="28"/>
  <c r="AO37" i="15"/>
  <c r="AM37" i="15"/>
  <c r="AN37" i="15" s="1"/>
  <c r="AJ37" i="15"/>
  <c r="AK37" i="15" s="1"/>
  <c r="AG37" i="15"/>
  <c r="AH37" i="15" s="1"/>
  <c r="AD37" i="15"/>
  <c r="AE37" i="15" s="1"/>
  <c r="AA37" i="15"/>
  <c r="AB37" i="15" s="1"/>
  <c r="Y37" i="15"/>
  <c r="U37" i="15"/>
  <c r="R37" i="15"/>
  <c r="S37" i="15" s="1"/>
  <c r="O37" i="15"/>
  <c r="L37" i="15"/>
  <c r="I37" i="15"/>
  <c r="J37" i="15" s="1"/>
  <c r="F37" i="15"/>
  <c r="G37" i="15" s="1"/>
  <c r="C37" i="15"/>
  <c r="D37" i="15" s="1"/>
  <c r="M37" i="15" l="1"/>
  <c r="C36" i="17"/>
  <c r="P37" i="15"/>
  <c r="H36" i="17"/>
  <c r="U36" i="28"/>
  <c r="S36" i="28"/>
  <c r="Q36" i="28"/>
  <c r="O36" i="28"/>
  <c r="M36" i="28"/>
  <c r="K36" i="28"/>
  <c r="I36" i="28"/>
  <c r="G36" i="28"/>
  <c r="E36" i="28"/>
  <c r="C36" i="28"/>
  <c r="AO36" i="15"/>
  <c r="AM36" i="15"/>
  <c r="AN36" i="15" s="1"/>
  <c r="AJ36" i="15"/>
  <c r="AK36" i="15" s="1"/>
  <c r="AG36" i="15"/>
  <c r="AH36" i="15" s="1"/>
  <c r="AD36" i="15"/>
  <c r="AE36" i="15" s="1"/>
  <c r="AA36" i="15"/>
  <c r="AB36" i="15" s="1"/>
  <c r="Y36" i="15"/>
  <c r="U36" i="15"/>
  <c r="R36" i="15"/>
  <c r="S36" i="15" s="1"/>
  <c r="O36" i="15"/>
  <c r="L36" i="15"/>
  <c r="I36" i="15"/>
  <c r="J36" i="15" s="1"/>
  <c r="F36" i="15"/>
  <c r="G36" i="15" s="1"/>
  <c r="C36" i="15"/>
  <c r="D36" i="15" s="1"/>
  <c r="P36" i="15" l="1"/>
  <c r="H35" i="17"/>
  <c r="M36" i="15"/>
  <c r="C35" i="17"/>
  <c r="U35" i="28"/>
  <c r="S35" i="28"/>
  <c r="Q35" i="28"/>
  <c r="O35" i="28"/>
  <c r="M35" i="28"/>
  <c r="K35" i="28"/>
  <c r="I35" i="28"/>
  <c r="G35" i="28"/>
  <c r="E35" i="28"/>
  <c r="C35" i="28"/>
  <c r="AO35" i="15"/>
  <c r="AM35" i="15"/>
  <c r="AN35" i="15" s="1"/>
  <c r="AJ35" i="15"/>
  <c r="AK35" i="15" s="1"/>
  <c r="AG35" i="15"/>
  <c r="AH35" i="15" s="1"/>
  <c r="AD35" i="15"/>
  <c r="AE35" i="15" s="1"/>
  <c r="AA35" i="15"/>
  <c r="AB35" i="15" s="1"/>
  <c r="Y35" i="15"/>
  <c r="BP34" i="19" s="1"/>
  <c r="U35" i="15"/>
  <c r="R35" i="15"/>
  <c r="S35" i="15" s="1"/>
  <c r="O35" i="15"/>
  <c r="L35" i="15"/>
  <c r="I35" i="15"/>
  <c r="J35" i="15" s="1"/>
  <c r="F35" i="15"/>
  <c r="G35" i="15" s="1"/>
  <c r="C35" i="15"/>
  <c r="D35" i="15" s="1"/>
  <c r="AA34" i="8"/>
  <c r="Z34" i="8"/>
  <c r="P35" i="15" l="1"/>
  <c r="H34" i="17"/>
  <c r="M35" i="15"/>
  <c r="C34" i="17"/>
  <c r="U34" i="28"/>
  <c r="S34" i="28"/>
  <c r="Q34" i="28"/>
  <c r="O34" i="28"/>
  <c r="M34" i="28"/>
  <c r="K34" i="28"/>
  <c r="I34" i="28"/>
  <c r="G34" i="28"/>
  <c r="E34" i="28"/>
  <c r="C34" i="28"/>
  <c r="AO34" i="15"/>
  <c r="AM34" i="15"/>
  <c r="AN34" i="15" s="1"/>
  <c r="AJ34" i="15"/>
  <c r="AK34" i="15" s="1"/>
  <c r="AG34" i="15"/>
  <c r="AH34" i="15" s="1"/>
  <c r="AD34" i="15"/>
  <c r="AE34" i="15" s="1"/>
  <c r="AA34" i="15"/>
  <c r="AB34" i="15" s="1"/>
  <c r="Y34" i="15"/>
  <c r="U34" i="15"/>
  <c r="R34" i="15"/>
  <c r="S34" i="15" s="1"/>
  <c r="O34" i="15"/>
  <c r="L34" i="15"/>
  <c r="I34" i="15"/>
  <c r="J34" i="15" s="1"/>
  <c r="F34" i="15"/>
  <c r="G34" i="15" s="1"/>
  <c r="C34" i="15"/>
  <c r="D34" i="15" s="1"/>
  <c r="P34" i="15" l="1"/>
  <c r="H33" i="17"/>
  <c r="M34" i="15"/>
  <c r="C33" i="17"/>
  <c r="R29" i="15"/>
  <c r="R17" i="15"/>
  <c r="F126" i="15"/>
  <c r="F148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2" i="15"/>
  <c r="F363" i="15"/>
  <c r="F364" i="15"/>
  <c r="F365" i="15"/>
  <c r="F366" i="15"/>
  <c r="F367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B67" i="20" l="1"/>
  <c r="B59" i="20"/>
  <c r="D3" i="15"/>
  <c r="G3" i="15"/>
  <c r="B70" i="20"/>
  <c r="S33" i="28" l="1"/>
  <c r="Q33" i="28"/>
  <c r="O33" i="28"/>
  <c r="M33" i="28"/>
  <c r="K33" i="28"/>
  <c r="I33" i="28"/>
  <c r="G33" i="28"/>
  <c r="E33" i="28"/>
  <c r="C33" i="28"/>
  <c r="AJ33" i="15"/>
  <c r="AK33" i="15" s="1"/>
  <c r="AG33" i="15"/>
  <c r="AH33" i="15" s="1"/>
  <c r="AD33" i="15"/>
  <c r="AE33" i="15" s="1"/>
  <c r="AA33" i="15"/>
  <c r="AB33" i="15" s="1"/>
  <c r="Y33" i="15"/>
  <c r="U33" i="15"/>
  <c r="R33" i="15"/>
  <c r="S33" i="15" s="1"/>
  <c r="O33" i="15"/>
  <c r="L33" i="15"/>
  <c r="I33" i="15"/>
  <c r="J33" i="15" s="1"/>
  <c r="G33" i="15"/>
  <c r="C33" i="15"/>
  <c r="D33" i="15" s="1"/>
  <c r="M33" i="15" l="1"/>
  <c r="C32" i="17"/>
  <c r="P33" i="15"/>
  <c r="H32" i="17"/>
  <c r="AY32" i="53"/>
  <c r="U32" i="28" l="1"/>
  <c r="S32" i="28"/>
  <c r="Q32" i="28"/>
  <c r="O32" i="28"/>
  <c r="AY31" i="53" s="1"/>
  <c r="M32" i="28"/>
  <c r="K32" i="28"/>
  <c r="I32" i="28"/>
  <c r="G32" i="28"/>
  <c r="E32" i="28"/>
  <c r="C32" i="28"/>
  <c r="AO32" i="15"/>
  <c r="AM32" i="15"/>
  <c r="AN32" i="15" s="1"/>
  <c r="AJ32" i="15"/>
  <c r="AK32" i="15" s="1"/>
  <c r="AG32" i="15"/>
  <c r="AH32" i="15" s="1"/>
  <c r="AD32" i="15"/>
  <c r="AE32" i="15" s="1"/>
  <c r="AA32" i="15"/>
  <c r="AB32" i="15" s="1"/>
  <c r="Y32" i="15"/>
  <c r="U32" i="15"/>
  <c r="R32" i="15"/>
  <c r="S32" i="15" s="1"/>
  <c r="O32" i="15"/>
  <c r="L32" i="15"/>
  <c r="I32" i="15"/>
  <c r="J32" i="15" s="1"/>
  <c r="G32" i="15"/>
  <c r="C32" i="15"/>
  <c r="D32" i="15" s="1"/>
  <c r="M32" i="15" l="1"/>
  <c r="C31" i="17"/>
  <c r="P32" i="15"/>
  <c r="H31" i="17"/>
  <c r="U31" i="28"/>
  <c r="S31" i="28"/>
  <c r="Q31" i="28"/>
  <c r="O31" i="28"/>
  <c r="M31" i="28"/>
  <c r="K31" i="28"/>
  <c r="I31" i="28"/>
  <c r="G31" i="28"/>
  <c r="E31" i="28"/>
  <c r="C31" i="28"/>
  <c r="AJ31" i="15"/>
  <c r="AK31" i="15" s="1"/>
  <c r="AG31" i="15"/>
  <c r="AH31" i="15" s="1"/>
  <c r="AD31" i="15"/>
  <c r="AE31" i="15" s="1"/>
  <c r="AA31" i="15"/>
  <c r="AB31" i="15" s="1"/>
  <c r="Y31" i="15"/>
  <c r="U31" i="15"/>
  <c r="R31" i="15"/>
  <c r="S31" i="15" s="1"/>
  <c r="O31" i="15"/>
  <c r="L31" i="15"/>
  <c r="I31" i="15"/>
  <c r="J31" i="15" s="1"/>
  <c r="G31" i="15"/>
  <c r="C31" i="15"/>
  <c r="D31" i="15" s="1"/>
  <c r="M31" i="15" l="1"/>
  <c r="C30" i="17"/>
  <c r="P31" i="15"/>
  <c r="H30" i="17"/>
  <c r="U30" i="28"/>
  <c r="S30" i="28"/>
  <c r="Q30" i="28"/>
  <c r="O30" i="28"/>
  <c r="M30" i="28"/>
  <c r="K30" i="28"/>
  <c r="I30" i="28"/>
  <c r="G30" i="28"/>
  <c r="E30" i="28"/>
  <c r="C30" i="28"/>
  <c r="AJ21" i="15"/>
  <c r="AG30" i="15"/>
  <c r="AH30" i="15" s="1"/>
  <c r="AA55" i="15"/>
  <c r="AA73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55" i="15"/>
  <c r="AD73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147" i="15"/>
  <c r="AD148" i="15"/>
  <c r="AD149" i="15"/>
  <c r="AD150" i="15"/>
  <c r="AD151" i="15"/>
  <c r="AD152" i="15"/>
  <c r="AD153" i="15"/>
  <c r="AD154" i="15"/>
  <c r="AD155" i="15"/>
  <c r="AD156" i="15"/>
  <c r="AD157" i="15"/>
  <c r="AD158" i="15"/>
  <c r="AD159" i="15"/>
  <c r="AD160" i="15"/>
  <c r="AD161" i="15"/>
  <c r="AD162" i="15"/>
  <c r="AD163" i="15"/>
  <c r="AD164" i="15"/>
  <c r="AD165" i="15"/>
  <c r="AD166" i="15"/>
  <c r="AD167" i="15"/>
  <c r="AD168" i="15"/>
  <c r="AD169" i="15"/>
  <c r="AD170" i="15"/>
  <c r="AD171" i="15"/>
  <c r="AD172" i="15"/>
  <c r="AD173" i="15"/>
  <c r="AD174" i="15"/>
  <c r="AD175" i="15"/>
  <c r="AD176" i="15"/>
  <c r="AD177" i="15"/>
  <c r="AD178" i="15"/>
  <c r="AD179" i="15"/>
  <c r="AD180" i="15"/>
  <c r="AD181" i="15"/>
  <c r="AD182" i="15"/>
  <c r="AD183" i="15"/>
  <c r="AD184" i="15"/>
  <c r="AD185" i="15"/>
  <c r="AD186" i="15"/>
  <c r="AD187" i="15"/>
  <c r="AD188" i="15"/>
  <c r="AD189" i="15"/>
  <c r="AD190" i="15"/>
  <c r="AD191" i="15"/>
  <c r="AD192" i="15"/>
  <c r="AD193" i="15"/>
  <c r="AD194" i="15"/>
  <c r="AD195" i="15"/>
  <c r="AD196" i="15"/>
  <c r="AD197" i="15"/>
  <c r="AD198" i="15"/>
  <c r="AD199" i="15"/>
  <c r="AD200" i="15"/>
  <c r="AD201" i="15"/>
  <c r="AD202" i="15"/>
  <c r="AD203" i="15"/>
  <c r="AD204" i="15"/>
  <c r="AD205" i="15"/>
  <c r="AD206" i="15"/>
  <c r="AD207" i="15"/>
  <c r="AD208" i="15"/>
  <c r="AD209" i="15"/>
  <c r="AD210" i="15"/>
  <c r="AD211" i="15"/>
  <c r="AD212" i="15"/>
  <c r="AD213" i="15"/>
  <c r="AD214" i="15"/>
  <c r="AD215" i="15"/>
  <c r="AD216" i="15"/>
  <c r="AD217" i="15"/>
  <c r="AD218" i="15"/>
  <c r="AD219" i="15"/>
  <c r="AD220" i="15"/>
  <c r="AD221" i="15"/>
  <c r="AD222" i="15"/>
  <c r="AD223" i="15"/>
  <c r="AD224" i="15"/>
  <c r="AD225" i="15"/>
  <c r="AD226" i="15"/>
  <c r="AD227" i="15"/>
  <c r="AD228" i="15"/>
  <c r="AD229" i="15"/>
  <c r="AD230" i="15"/>
  <c r="AD231" i="15"/>
  <c r="AD232" i="15"/>
  <c r="AD233" i="15"/>
  <c r="AD234" i="15"/>
  <c r="AD235" i="15"/>
  <c r="AD236" i="15"/>
  <c r="AD237" i="15"/>
  <c r="AD238" i="15"/>
  <c r="AD239" i="15"/>
  <c r="AD240" i="15"/>
  <c r="AD241" i="15"/>
  <c r="AD242" i="15"/>
  <c r="AD243" i="15"/>
  <c r="AD244" i="15"/>
  <c r="AD245" i="15"/>
  <c r="AD246" i="15"/>
  <c r="AD247" i="15"/>
  <c r="AD248" i="15"/>
  <c r="AD249" i="15"/>
  <c r="AD250" i="15"/>
  <c r="AD251" i="15"/>
  <c r="AD252" i="15"/>
  <c r="AD253" i="15"/>
  <c r="AD254" i="15"/>
  <c r="AD255" i="15"/>
  <c r="AD256" i="15"/>
  <c r="AD257" i="15"/>
  <c r="AD258" i="15"/>
  <c r="AD259" i="15"/>
  <c r="AD260" i="15"/>
  <c r="AD261" i="15"/>
  <c r="AD262" i="15"/>
  <c r="AD263" i="15"/>
  <c r="AD264" i="15"/>
  <c r="AD265" i="15"/>
  <c r="AD266" i="15"/>
  <c r="AD267" i="15"/>
  <c r="AD268" i="15"/>
  <c r="AD269" i="15"/>
  <c r="AD270" i="15"/>
  <c r="AD271" i="15"/>
  <c r="AD272" i="15"/>
  <c r="AD273" i="15"/>
  <c r="AD274" i="15"/>
  <c r="AD275" i="15"/>
  <c r="AD276" i="15"/>
  <c r="AD277" i="15"/>
  <c r="AD278" i="15"/>
  <c r="AD279" i="15"/>
  <c r="AD280" i="15"/>
  <c r="AD281" i="15"/>
  <c r="AD282" i="15"/>
  <c r="AD283" i="15"/>
  <c r="AD284" i="15"/>
  <c r="AD285" i="15"/>
  <c r="AD286" i="15"/>
  <c r="AD287" i="15"/>
  <c r="AD288" i="15"/>
  <c r="AD289" i="15"/>
  <c r="AD290" i="15"/>
  <c r="AD291" i="15"/>
  <c r="AD292" i="15"/>
  <c r="AD293" i="15"/>
  <c r="AD294" i="15"/>
  <c r="AD295" i="15"/>
  <c r="AD296" i="15"/>
  <c r="AD297" i="15"/>
  <c r="AD298" i="15"/>
  <c r="AD299" i="15"/>
  <c r="AD300" i="15"/>
  <c r="AD301" i="15"/>
  <c r="AD302" i="15"/>
  <c r="AD303" i="15"/>
  <c r="AD304" i="15"/>
  <c r="AD305" i="15"/>
  <c r="AD306" i="15"/>
  <c r="AD307" i="15"/>
  <c r="AD308" i="15"/>
  <c r="AD309" i="15"/>
  <c r="AD310" i="15"/>
  <c r="AD311" i="15"/>
  <c r="AD312" i="15"/>
  <c r="AD313" i="15"/>
  <c r="AD314" i="15"/>
  <c r="AD315" i="15"/>
  <c r="AD316" i="15"/>
  <c r="AD317" i="15"/>
  <c r="AD318" i="15"/>
  <c r="AD319" i="15"/>
  <c r="AD320" i="15"/>
  <c r="AD321" i="15"/>
  <c r="AD322" i="15"/>
  <c r="AD323" i="15"/>
  <c r="AD324" i="15"/>
  <c r="AD325" i="15"/>
  <c r="AD326" i="15"/>
  <c r="AD327" i="15"/>
  <c r="AD328" i="15"/>
  <c r="AD329" i="15"/>
  <c r="AD330" i="15"/>
  <c r="AD331" i="15"/>
  <c r="AD332" i="15"/>
  <c r="AD333" i="15"/>
  <c r="AD334" i="15"/>
  <c r="AD335" i="15"/>
  <c r="AD336" i="15"/>
  <c r="AD337" i="15"/>
  <c r="AD338" i="15"/>
  <c r="AD339" i="15"/>
  <c r="AD340" i="15"/>
  <c r="AD341" i="15"/>
  <c r="AD342" i="15"/>
  <c r="AD343" i="15"/>
  <c r="AD344" i="15"/>
  <c r="AD345" i="15"/>
  <c r="AD346" i="15"/>
  <c r="AD347" i="15"/>
  <c r="AD348" i="15"/>
  <c r="AD349" i="15"/>
  <c r="AD350" i="15"/>
  <c r="AD351" i="15"/>
  <c r="AD352" i="15"/>
  <c r="AD353" i="15"/>
  <c r="AD354" i="15"/>
  <c r="AD355" i="15"/>
  <c r="AD356" i="15"/>
  <c r="AD357" i="15"/>
  <c r="AD358" i="15"/>
  <c r="AD359" i="15"/>
  <c r="AD360" i="15"/>
  <c r="AD361" i="15"/>
  <c r="AD362" i="15"/>
  <c r="AD363" i="15"/>
  <c r="AD364" i="15"/>
  <c r="AD365" i="15"/>
  <c r="AD366" i="15"/>
  <c r="AD367" i="15"/>
  <c r="AD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O30" i="15" l="1"/>
  <c r="AM30" i="15"/>
  <c r="AN30" i="15" s="1"/>
  <c r="AJ30" i="15"/>
  <c r="AK30" i="15" s="1"/>
  <c r="AE30" i="15"/>
  <c r="AB30" i="15"/>
  <c r="Y30" i="15"/>
  <c r="BP29" i="19" s="1"/>
  <c r="R30" i="15"/>
  <c r="S30" i="15" s="1"/>
  <c r="U30" i="15" s="1"/>
  <c r="O30" i="15"/>
  <c r="L30" i="15"/>
  <c r="I30" i="15"/>
  <c r="J30" i="15" s="1"/>
  <c r="G30" i="15"/>
  <c r="C30" i="15"/>
  <c r="D30" i="15" s="1"/>
  <c r="M30" i="15" l="1"/>
  <c r="C29" i="17"/>
  <c r="P30" i="15"/>
  <c r="H29" i="17"/>
  <c r="BW29" i="53"/>
  <c r="BV29" i="53" s="1"/>
  <c r="BO29" i="53"/>
  <c r="BG29" i="53"/>
  <c r="BK29" i="53" s="1"/>
  <c r="AY29" i="53"/>
  <c r="AX29" i="53" s="1"/>
  <c r="BB3" i="53"/>
  <c r="BD3" i="53" s="1"/>
  <c r="BB4" i="53"/>
  <c r="BD4" i="53" s="1"/>
  <c r="BB5" i="53"/>
  <c r="BD5" i="53" s="1"/>
  <c r="BB6" i="53"/>
  <c r="BD6" i="53" s="1"/>
  <c r="BB7" i="53"/>
  <c r="BD7" i="53" s="1"/>
  <c r="BB8" i="53"/>
  <c r="BD8" i="53" s="1"/>
  <c r="BB9" i="53"/>
  <c r="BD9" i="53" s="1"/>
  <c r="BB10" i="53"/>
  <c r="BD10" i="53" s="1"/>
  <c r="BB11" i="53"/>
  <c r="BD11" i="53" s="1"/>
  <c r="BB12" i="53"/>
  <c r="BD12" i="53" s="1"/>
  <c r="BB13" i="53"/>
  <c r="BD13" i="53" s="1"/>
  <c r="BB14" i="53"/>
  <c r="BD14" i="53" s="1"/>
  <c r="BB15" i="53"/>
  <c r="BD15" i="53" s="1"/>
  <c r="BB16" i="53"/>
  <c r="BD16" i="53" s="1"/>
  <c r="BB17" i="53"/>
  <c r="BD17" i="53" s="1"/>
  <c r="BB18" i="53"/>
  <c r="BD18" i="53" s="1"/>
  <c r="BB19" i="53"/>
  <c r="BD19" i="53" s="1"/>
  <c r="BB20" i="53"/>
  <c r="BD20" i="53" s="1"/>
  <c r="BB21" i="53"/>
  <c r="BD21" i="53" s="1"/>
  <c r="BB22" i="53"/>
  <c r="BD22" i="53" s="1"/>
  <c r="BB23" i="53"/>
  <c r="BD23" i="53" s="1"/>
  <c r="BB24" i="53"/>
  <c r="BD24" i="53" s="1"/>
  <c r="BB25" i="53"/>
  <c r="BD25" i="53" s="1"/>
  <c r="BB26" i="53"/>
  <c r="BD26" i="53" s="1"/>
  <c r="BB27" i="53"/>
  <c r="BD27" i="53" s="1"/>
  <c r="BB28" i="53"/>
  <c r="BD28" i="53" s="1"/>
  <c r="BB29" i="53"/>
  <c r="BD29" i="53" s="1"/>
  <c r="BB30" i="53"/>
  <c r="BD30" i="53" s="1"/>
  <c r="BB31" i="53"/>
  <c r="BD31" i="53" s="1"/>
  <c r="BB32" i="53"/>
  <c r="BD32" i="53" s="1"/>
  <c r="BB33" i="53"/>
  <c r="BD33" i="53" s="1"/>
  <c r="BB34" i="53"/>
  <c r="BD34" i="53" s="1"/>
  <c r="BB35" i="53"/>
  <c r="BD35" i="53" s="1"/>
  <c r="BB36" i="53"/>
  <c r="BD36" i="53" s="1"/>
  <c r="BB37" i="53"/>
  <c r="BD37" i="53" s="1"/>
  <c r="BB38" i="53"/>
  <c r="BD38" i="53" s="1"/>
  <c r="BB39" i="53"/>
  <c r="BD39" i="53" s="1"/>
  <c r="BB40" i="53"/>
  <c r="BD40" i="53" s="1"/>
  <c r="BB41" i="53"/>
  <c r="BD41" i="53" s="1"/>
  <c r="BB42" i="53"/>
  <c r="BD42" i="53" s="1"/>
  <c r="BB43" i="53"/>
  <c r="BD43" i="53" s="1"/>
  <c r="BB44" i="53"/>
  <c r="BD44" i="53" s="1"/>
  <c r="BB45" i="53"/>
  <c r="BD45" i="53" s="1"/>
  <c r="BB46" i="53"/>
  <c r="BD46" i="53" s="1"/>
  <c r="BB47" i="53"/>
  <c r="BD47" i="53" s="1"/>
  <c r="BB48" i="53"/>
  <c r="BD48" i="53" s="1"/>
  <c r="BB49" i="53"/>
  <c r="BD49" i="53" s="1"/>
  <c r="BB50" i="53"/>
  <c r="BD50" i="53" s="1"/>
  <c r="BB51" i="53"/>
  <c r="BD51" i="53" s="1"/>
  <c r="BB52" i="53"/>
  <c r="BD52" i="53" s="1"/>
  <c r="BB53" i="53"/>
  <c r="BD53" i="53" s="1"/>
  <c r="BB54" i="53"/>
  <c r="BD54" i="53" s="1"/>
  <c r="BB55" i="53"/>
  <c r="BD55" i="53" s="1"/>
  <c r="BB56" i="53"/>
  <c r="BD56" i="53" s="1"/>
  <c r="BD57" i="53"/>
  <c r="BB58" i="53"/>
  <c r="BD58" i="53" s="1"/>
  <c r="BB59" i="53"/>
  <c r="BD59" i="53" s="1"/>
  <c r="BB60" i="53"/>
  <c r="BD60" i="53" s="1"/>
  <c r="BB61" i="53"/>
  <c r="BD61" i="53" s="1"/>
  <c r="BB62" i="53"/>
  <c r="BD62" i="53" s="1"/>
  <c r="BB63" i="53"/>
  <c r="BD63" i="53" s="1"/>
  <c r="BB64" i="53"/>
  <c r="BD64" i="53" s="1"/>
  <c r="BB65" i="53"/>
  <c r="BD65" i="53" s="1"/>
  <c r="BB66" i="53"/>
  <c r="BD66" i="53" s="1"/>
  <c r="BB67" i="53"/>
  <c r="BD67" i="53" s="1"/>
  <c r="BB68" i="53"/>
  <c r="BD68" i="53" s="1"/>
  <c r="BB69" i="53"/>
  <c r="BD69" i="53" s="1"/>
  <c r="BB70" i="53"/>
  <c r="BD70" i="53" s="1"/>
  <c r="BB71" i="53"/>
  <c r="BD71" i="53" s="1"/>
  <c r="BB72" i="53"/>
  <c r="BD72" i="53" s="1"/>
  <c r="BB73" i="53"/>
  <c r="BD73" i="53" s="1"/>
  <c r="BB74" i="53"/>
  <c r="BD74" i="53" s="1"/>
  <c r="BB75" i="53"/>
  <c r="BD75" i="53" s="1"/>
  <c r="BB76" i="53"/>
  <c r="BD76" i="53" s="1"/>
  <c r="BB77" i="53"/>
  <c r="BD77" i="53" s="1"/>
  <c r="BB78" i="53"/>
  <c r="BD78" i="53" s="1"/>
  <c r="BB79" i="53"/>
  <c r="BD79" i="53" s="1"/>
  <c r="BB80" i="53"/>
  <c r="BD80" i="53" s="1"/>
  <c r="BB81" i="53"/>
  <c r="BD81" i="53" s="1"/>
  <c r="BB82" i="53"/>
  <c r="BD82" i="53" s="1"/>
  <c r="BB83" i="53"/>
  <c r="BD83" i="53" s="1"/>
  <c r="BB84" i="53"/>
  <c r="BD84" i="53" s="1"/>
  <c r="BB85" i="53"/>
  <c r="BD85" i="53" s="1"/>
  <c r="BB86" i="53"/>
  <c r="BD86" i="53" s="1"/>
  <c r="BB87" i="53"/>
  <c r="BD87" i="53" s="1"/>
  <c r="BB88" i="53"/>
  <c r="BD88" i="53" s="1"/>
  <c r="BB89" i="53"/>
  <c r="BD89" i="53" s="1"/>
  <c r="BB90" i="53"/>
  <c r="BD90" i="53" s="1"/>
  <c r="BB91" i="53"/>
  <c r="BD91" i="53" s="1"/>
  <c r="BB92" i="53"/>
  <c r="BD92" i="53" s="1"/>
  <c r="BB93" i="53"/>
  <c r="BD93" i="53" s="1"/>
  <c r="BB94" i="53"/>
  <c r="BD94" i="53" s="1"/>
  <c r="BB95" i="53"/>
  <c r="BD95" i="53" s="1"/>
  <c r="BB96" i="53"/>
  <c r="BD96" i="53" s="1"/>
  <c r="BB97" i="53"/>
  <c r="BD97" i="53" s="1"/>
  <c r="BB98" i="53"/>
  <c r="BD98" i="53" s="1"/>
  <c r="BB99" i="53"/>
  <c r="BD99" i="53" s="1"/>
  <c r="BB100" i="53"/>
  <c r="BD100" i="53" s="1"/>
  <c r="BB101" i="53"/>
  <c r="BD101" i="53" s="1"/>
  <c r="BB102" i="53"/>
  <c r="BD102" i="53" s="1"/>
  <c r="BB103" i="53"/>
  <c r="BD103" i="53" s="1"/>
  <c r="BB104" i="53"/>
  <c r="BD104" i="53" s="1"/>
  <c r="BB105" i="53"/>
  <c r="BD105" i="53" s="1"/>
  <c r="BB106" i="53"/>
  <c r="BD106" i="53" s="1"/>
  <c r="BB107" i="53"/>
  <c r="BD107" i="53" s="1"/>
  <c r="BB108" i="53"/>
  <c r="BD108" i="53" s="1"/>
  <c r="BB109" i="53"/>
  <c r="BD109" i="53" s="1"/>
  <c r="BB110" i="53"/>
  <c r="BD110" i="53" s="1"/>
  <c r="BB111" i="53"/>
  <c r="BD111" i="53" s="1"/>
  <c r="BB112" i="53"/>
  <c r="BD112" i="53" s="1"/>
  <c r="BB113" i="53"/>
  <c r="BD113" i="53" s="1"/>
  <c r="BB114" i="53"/>
  <c r="BD114" i="53" s="1"/>
  <c r="BB115" i="53"/>
  <c r="BD115" i="53" s="1"/>
  <c r="BB116" i="53"/>
  <c r="BD116" i="53" s="1"/>
  <c r="BB117" i="53"/>
  <c r="BD117" i="53" s="1"/>
  <c r="BB118" i="53"/>
  <c r="BD118" i="53" s="1"/>
  <c r="BB119" i="53"/>
  <c r="BD119" i="53" s="1"/>
  <c r="BB120" i="53"/>
  <c r="BD120" i="53" s="1"/>
  <c r="BB121" i="53"/>
  <c r="BD121" i="53" s="1"/>
  <c r="BB122" i="53"/>
  <c r="BD122" i="53" s="1"/>
  <c r="BB123" i="53"/>
  <c r="BD123" i="53" s="1"/>
  <c r="BB124" i="53"/>
  <c r="BD124" i="53" s="1"/>
  <c r="BB125" i="53"/>
  <c r="BD125" i="53" s="1"/>
  <c r="BB126" i="53"/>
  <c r="BD126" i="53" s="1"/>
  <c r="BB127" i="53"/>
  <c r="BD127" i="53" s="1"/>
  <c r="BB128" i="53"/>
  <c r="BD128" i="53" s="1"/>
  <c r="BB129" i="53"/>
  <c r="BD129" i="53" s="1"/>
  <c r="BB130" i="53"/>
  <c r="BD130" i="53" s="1"/>
  <c r="BB131" i="53"/>
  <c r="BD131" i="53" s="1"/>
  <c r="BB132" i="53"/>
  <c r="BD132" i="53" s="1"/>
  <c r="BB133" i="53"/>
  <c r="BD133" i="53" s="1"/>
  <c r="BB134" i="53"/>
  <c r="BD134" i="53" s="1"/>
  <c r="BB135" i="53"/>
  <c r="BD135" i="53" s="1"/>
  <c r="BB136" i="53"/>
  <c r="BD136" i="53" s="1"/>
  <c r="BB137" i="53"/>
  <c r="BD137" i="53" s="1"/>
  <c r="BB138" i="53"/>
  <c r="BD138" i="53" s="1"/>
  <c r="BB139" i="53"/>
  <c r="BD139" i="53" s="1"/>
  <c r="BB140" i="53"/>
  <c r="BD140" i="53" s="1"/>
  <c r="BB141" i="53"/>
  <c r="BD141" i="53" s="1"/>
  <c r="BB142" i="53"/>
  <c r="BD142" i="53" s="1"/>
  <c r="BB143" i="53"/>
  <c r="BD143" i="53" s="1"/>
  <c r="BB144" i="53"/>
  <c r="BD144" i="53" s="1"/>
  <c r="BB145" i="53"/>
  <c r="BD145" i="53" s="1"/>
  <c r="BB146" i="53"/>
  <c r="BD146" i="53" s="1"/>
  <c r="BB147" i="53"/>
  <c r="BD147" i="53" s="1"/>
  <c r="BB148" i="53"/>
  <c r="BD148" i="53" s="1"/>
  <c r="BB149" i="53"/>
  <c r="BD149" i="53" s="1"/>
  <c r="BB150" i="53"/>
  <c r="BD150" i="53" s="1"/>
  <c r="BB151" i="53"/>
  <c r="BD151" i="53" s="1"/>
  <c r="BB152" i="53"/>
  <c r="BD152" i="53" s="1"/>
  <c r="BB153" i="53"/>
  <c r="BD153" i="53" s="1"/>
  <c r="BB154" i="53"/>
  <c r="BD154" i="53" s="1"/>
  <c r="BB155" i="53"/>
  <c r="BD155" i="53" s="1"/>
  <c r="BB156" i="53"/>
  <c r="BD156" i="53" s="1"/>
  <c r="BB157" i="53"/>
  <c r="BD157" i="53" s="1"/>
  <c r="BB158" i="53"/>
  <c r="BD158" i="53" s="1"/>
  <c r="BB159" i="53"/>
  <c r="BD159" i="53" s="1"/>
  <c r="BB160" i="53"/>
  <c r="BD160" i="53" s="1"/>
  <c r="BB161" i="53"/>
  <c r="BD161" i="53" s="1"/>
  <c r="BB162" i="53"/>
  <c r="BD162" i="53" s="1"/>
  <c r="BB163" i="53"/>
  <c r="BD163" i="53" s="1"/>
  <c r="BB164" i="53"/>
  <c r="BD164" i="53" s="1"/>
  <c r="BB165" i="53"/>
  <c r="BD165" i="53" s="1"/>
  <c r="BB166" i="53"/>
  <c r="BD166" i="53" s="1"/>
  <c r="BB167" i="53"/>
  <c r="BD167" i="53" s="1"/>
  <c r="BB168" i="53"/>
  <c r="BD168" i="53" s="1"/>
  <c r="BB169" i="53"/>
  <c r="BD169" i="53" s="1"/>
  <c r="BB170" i="53"/>
  <c r="BD170" i="53" s="1"/>
  <c r="BB171" i="53"/>
  <c r="BD171" i="53" s="1"/>
  <c r="BB172" i="53"/>
  <c r="BD172" i="53" s="1"/>
  <c r="BB173" i="53"/>
  <c r="BD173" i="53" s="1"/>
  <c r="BB174" i="53"/>
  <c r="BD174" i="53" s="1"/>
  <c r="BB175" i="53"/>
  <c r="BD175" i="53" s="1"/>
  <c r="BB176" i="53"/>
  <c r="BD176" i="53" s="1"/>
  <c r="BB177" i="53"/>
  <c r="BD177" i="53" s="1"/>
  <c r="BB178" i="53"/>
  <c r="BD178" i="53" s="1"/>
  <c r="BB179" i="53"/>
  <c r="BD179" i="53" s="1"/>
  <c r="BB180" i="53"/>
  <c r="BD180" i="53" s="1"/>
  <c r="BB181" i="53"/>
  <c r="BD181" i="53" s="1"/>
  <c r="BB182" i="53"/>
  <c r="BD182" i="53" s="1"/>
  <c r="BB183" i="53"/>
  <c r="BD183" i="53" s="1"/>
  <c r="BB184" i="53"/>
  <c r="BD184" i="53" s="1"/>
  <c r="BB185" i="53"/>
  <c r="BD185" i="53" s="1"/>
  <c r="BB186" i="53"/>
  <c r="BD186" i="53" s="1"/>
  <c r="BB187" i="53"/>
  <c r="BD187" i="53" s="1"/>
  <c r="BB188" i="53"/>
  <c r="BD188" i="53" s="1"/>
  <c r="BB189" i="53"/>
  <c r="BD189" i="53" s="1"/>
  <c r="BB190" i="53"/>
  <c r="BD190" i="53" s="1"/>
  <c r="BB191" i="53"/>
  <c r="BD191" i="53" s="1"/>
  <c r="BB192" i="53"/>
  <c r="BD192" i="53" s="1"/>
  <c r="BB193" i="53"/>
  <c r="BD193" i="53" s="1"/>
  <c r="BB194" i="53"/>
  <c r="BD194" i="53" s="1"/>
  <c r="BB195" i="53"/>
  <c r="BD195" i="53" s="1"/>
  <c r="BB196" i="53"/>
  <c r="BD196" i="53" s="1"/>
  <c r="BB197" i="53"/>
  <c r="BD197" i="53" s="1"/>
  <c r="BB198" i="53"/>
  <c r="BD198" i="53" s="1"/>
  <c r="BB199" i="53"/>
  <c r="BD199" i="53" s="1"/>
  <c r="BB200" i="53"/>
  <c r="BD200" i="53" s="1"/>
  <c r="BB201" i="53"/>
  <c r="BD201" i="53" s="1"/>
  <c r="BB202" i="53"/>
  <c r="BD202" i="53" s="1"/>
  <c r="BB203" i="53"/>
  <c r="BD203" i="53" s="1"/>
  <c r="BB204" i="53"/>
  <c r="BD204" i="53" s="1"/>
  <c r="BB205" i="53"/>
  <c r="BD205" i="53" s="1"/>
  <c r="BB206" i="53"/>
  <c r="BD206" i="53" s="1"/>
  <c r="BB207" i="53"/>
  <c r="BD207" i="53" s="1"/>
  <c r="BB208" i="53"/>
  <c r="BD208" i="53" s="1"/>
  <c r="BB209" i="53"/>
  <c r="BD209" i="53" s="1"/>
  <c r="BB210" i="53"/>
  <c r="BD210" i="53" s="1"/>
  <c r="BB211" i="53"/>
  <c r="BD211" i="53" s="1"/>
  <c r="BB212" i="53"/>
  <c r="BD212" i="53" s="1"/>
  <c r="BB213" i="53"/>
  <c r="BD213" i="53" s="1"/>
  <c r="BB214" i="53"/>
  <c r="BD214" i="53" s="1"/>
  <c r="BB215" i="53"/>
  <c r="BD215" i="53" s="1"/>
  <c r="BB216" i="53"/>
  <c r="BD216" i="53" s="1"/>
  <c r="BB217" i="53"/>
  <c r="BD217" i="53" s="1"/>
  <c r="BB218" i="53"/>
  <c r="BD218" i="53" s="1"/>
  <c r="BB219" i="53"/>
  <c r="BD219" i="53" s="1"/>
  <c r="BB220" i="53"/>
  <c r="BD220" i="53" s="1"/>
  <c r="BB221" i="53"/>
  <c r="BD221" i="53" s="1"/>
  <c r="BB222" i="53"/>
  <c r="BD222" i="53" s="1"/>
  <c r="BB223" i="53"/>
  <c r="BD223" i="53" s="1"/>
  <c r="BB224" i="53"/>
  <c r="BD224" i="53" s="1"/>
  <c r="BB225" i="53"/>
  <c r="BD225" i="53" s="1"/>
  <c r="BB226" i="53"/>
  <c r="BD226" i="53" s="1"/>
  <c r="BB227" i="53"/>
  <c r="BD227" i="53" s="1"/>
  <c r="BB228" i="53"/>
  <c r="BD228" i="53" s="1"/>
  <c r="BB229" i="53"/>
  <c r="BD229" i="53" s="1"/>
  <c r="BB230" i="53"/>
  <c r="BD230" i="53" s="1"/>
  <c r="BB231" i="53"/>
  <c r="BD231" i="53" s="1"/>
  <c r="BB232" i="53"/>
  <c r="BD232" i="53" s="1"/>
  <c r="BB233" i="53"/>
  <c r="BD233" i="53" s="1"/>
  <c r="BB234" i="53"/>
  <c r="BD234" i="53" s="1"/>
  <c r="BB235" i="53"/>
  <c r="BD235" i="53" s="1"/>
  <c r="BB236" i="53"/>
  <c r="BD236" i="53" s="1"/>
  <c r="BB237" i="53"/>
  <c r="BD237" i="53" s="1"/>
  <c r="BB238" i="53"/>
  <c r="BD238" i="53" s="1"/>
  <c r="BB239" i="53"/>
  <c r="BD239" i="53" s="1"/>
  <c r="BB240" i="53"/>
  <c r="BD240" i="53" s="1"/>
  <c r="BB241" i="53"/>
  <c r="BD241" i="53" s="1"/>
  <c r="BB242" i="53"/>
  <c r="BD242" i="53" s="1"/>
  <c r="BB243" i="53"/>
  <c r="BD243" i="53" s="1"/>
  <c r="BB244" i="53"/>
  <c r="BD244" i="53" s="1"/>
  <c r="BB245" i="53"/>
  <c r="BD245" i="53" s="1"/>
  <c r="BB246" i="53"/>
  <c r="BD246" i="53" s="1"/>
  <c r="BB247" i="53"/>
  <c r="BD247" i="53" s="1"/>
  <c r="BB248" i="53"/>
  <c r="BD248" i="53" s="1"/>
  <c r="BB249" i="53"/>
  <c r="BD249" i="53" s="1"/>
  <c r="BB250" i="53"/>
  <c r="BD250" i="53" s="1"/>
  <c r="BB251" i="53"/>
  <c r="BD251" i="53" s="1"/>
  <c r="BB252" i="53"/>
  <c r="BD252" i="53" s="1"/>
  <c r="BB253" i="53"/>
  <c r="BD253" i="53" s="1"/>
  <c r="BB254" i="53"/>
  <c r="BD254" i="53" s="1"/>
  <c r="BB255" i="53"/>
  <c r="BD255" i="53" s="1"/>
  <c r="BB256" i="53"/>
  <c r="BD256" i="53" s="1"/>
  <c r="BB257" i="53"/>
  <c r="BD257" i="53" s="1"/>
  <c r="BB258" i="53"/>
  <c r="BD258" i="53" s="1"/>
  <c r="BB259" i="53"/>
  <c r="BD259" i="53" s="1"/>
  <c r="BB260" i="53"/>
  <c r="BD260" i="53" s="1"/>
  <c r="BB261" i="53"/>
  <c r="BD261" i="53" s="1"/>
  <c r="BB262" i="53"/>
  <c r="BD262" i="53" s="1"/>
  <c r="BB263" i="53"/>
  <c r="BD263" i="53" s="1"/>
  <c r="BB264" i="53"/>
  <c r="BD264" i="53" s="1"/>
  <c r="BB265" i="53"/>
  <c r="BD265" i="53" s="1"/>
  <c r="BB266" i="53"/>
  <c r="BD266" i="53" s="1"/>
  <c r="BB267" i="53"/>
  <c r="BD267" i="53" s="1"/>
  <c r="BB268" i="53"/>
  <c r="BD268" i="53" s="1"/>
  <c r="BB269" i="53"/>
  <c r="BD269" i="53" s="1"/>
  <c r="BB270" i="53"/>
  <c r="BD270" i="53" s="1"/>
  <c r="BB271" i="53"/>
  <c r="BD271" i="53" s="1"/>
  <c r="BB272" i="53"/>
  <c r="BD272" i="53" s="1"/>
  <c r="BB273" i="53"/>
  <c r="BD273" i="53" s="1"/>
  <c r="BB274" i="53"/>
  <c r="BD274" i="53" s="1"/>
  <c r="BB275" i="53"/>
  <c r="BD275" i="53" s="1"/>
  <c r="BB276" i="53"/>
  <c r="BD276" i="53" s="1"/>
  <c r="BB277" i="53"/>
  <c r="BD277" i="53" s="1"/>
  <c r="BB278" i="53"/>
  <c r="BD278" i="53" s="1"/>
  <c r="BB279" i="53"/>
  <c r="BD279" i="53" s="1"/>
  <c r="BB280" i="53"/>
  <c r="BD280" i="53" s="1"/>
  <c r="BB281" i="53"/>
  <c r="BD281" i="53" s="1"/>
  <c r="BB282" i="53"/>
  <c r="BD282" i="53" s="1"/>
  <c r="BB283" i="53"/>
  <c r="BD283" i="53" s="1"/>
  <c r="BB284" i="53"/>
  <c r="BD284" i="53" s="1"/>
  <c r="BB285" i="53"/>
  <c r="BD285" i="53" s="1"/>
  <c r="BB286" i="53"/>
  <c r="BD286" i="53" s="1"/>
  <c r="BB287" i="53"/>
  <c r="BD287" i="53" s="1"/>
  <c r="BB288" i="53"/>
  <c r="BD288" i="53" s="1"/>
  <c r="BB289" i="53"/>
  <c r="BD289" i="53" s="1"/>
  <c r="BB290" i="53"/>
  <c r="BD290" i="53" s="1"/>
  <c r="BB291" i="53"/>
  <c r="BD291" i="53" s="1"/>
  <c r="BB292" i="53"/>
  <c r="BD292" i="53" s="1"/>
  <c r="BB293" i="53"/>
  <c r="BD293" i="53" s="1"/>
  <c r="BB294" i="53"/>
  <c r="BD294" i="53" s="1"/>
  <c r="BB295" i="53"/>
  <c r="BD295" i="53" s="1"/>
  <c r="BB296" i="53"/>
  <c r="BD296" i="53" s="1"/>
  <c r="BB297" i="53"/>
  <c r="BD297" i="53" s="1"/>
  <c r="BB298" i="53"/>
  <c r="BD298" i="53" s="1"/>
  <c r="BB299" i="53"/>
  <c r="BD299" i="53" s="1"/>
  <c r="BB300" i="53"/>
  <c r="BD300" i="53" s="1"/>
  <c r="BB301" i="53"/>
  <c r="BD301" i="53" s="1"/>
  <c r="BB302" i="53"/>
  <c r="BD302" i="53" s="1"/>
  <c r="BB303" i="53"/>
  <c r="BD303" i="53" s="1"/>
  <c r="BB304" i="53"/>
  <c r="BD304" i="53" s="1"/>
  <c r="BB305" i="53"/>
  <c r="BD305" i="53" s="1"/>
  <c r="BB306" i="53"/>
  <c r="BD306" i="53" s="1"/>
  <c r="BB307" i="53"/>
  <c r="BD307" i="53" s="1"/>
  <c r="BB308" i="53"/>
  <c r="BD308" i="53" s="1"/>
  <c r="BB309" i="53"/>
  <c r="BD309" i="53" s="1"/>
  <c r="BB310" i="53"/>
  <c r="BD310" i="53" s="1"/>
  <c r="BB311" i="53"/>
  <c r="BD311" i="53" s="1"/>
  <c r="BB312" i="53"/>
  <c r="BD312" i="53" s="1"/>
  <c r="BB313" i="53"/>
  <c r="BD313" i="53" s="1"/>
  <c r="BB314" i="53"/>
  <c r="BD314" i="53" s="1"/>
  <c r="BB315" i="53"/>
  <c r="BD315" i="53" s="1"/>
  <c r="BB316" i="53"/>
  <c r="BD316" i="53" s="1"/>
  <c r="BB317" i="53"/>
  <c r="BD317" i="53" s="1"/>
  <c r="BB318" i="53"/>
  <c r="BD318" i="53" s="1"/>
  <c r="BB319" i="53"/>
  <c r="BD319" i="53" s="1"/>
  <c r="BB320" i="53"/>
  <c r="BD320" i="53" s="1"/>
  <c r="BB321" i="53"/>
  <c r="BD321" i="53" s="1"/>
  <c r="BB322" i="53"/>
  <c r="BD322" i="53" s="1"/>
  <c r="BB323" i="53"/>
  <c r="BD323" i="53" s="1"/>
  <c r="BB324" i="53"/>
  <c r="BD324" i="53" s="1"/>
  <c r="BB325" i="53"/>
  <c r="BD325" i="53" s="1"/>
  <c r="BB326" i="53"/>
  <c r="BD326" i="53" s="1"/>
  <c r="BB327" i="53"/>
  <c r="BD327" i="53" s="1"/>
  <c r="BB328" i="53"/>
  <c r="BD328" i="53" s="1"/>
  <c r="BB329" i="53"/>
  <c r="BD329" i="53" s="1"/>
  <c r="BB330" i="53"/>
  <c r="BD330" i="53" s="1"/>
  <c r="BB331" i="53"/>
  <c r="BD331" i="53" s="1"/>
  <c r="BB332" i="53"/>
  <c r="BD332" i="53" s="1"/>
  <c r="BB333" i="53"/>
  <c r="BD333" i="53" s="1"/>
  <c r="BB334" i="53"/>
  <c r="BD334" i="53" s="1"/>
  <c r="BB335" i="53"/>
  <c r="BD335" i="53" s="1"/>
  <c r="BB336" i="53"/>
  <c r="BD336" i="53" s="1"/>
  <c r="BB337" i="53"/>
  <c r="BD337" i="53" s="1"/>
  <c r="BB338" i="53"/>
  <c r="BD338" i="53" s="1"/>
  <c r="BB339" i="53"/>
  <c r="BD339" i="53" s="1"/>
  <c r="BB340" i="53"/>
  <c r="BD340" i="53" s="1"/>
  <c r="BB341" i="53"/>
  <c r="BD341" i="53" s="1"/>
  <c r="BB342" i="53"/>
  <c r="BD342" i="53" s="1"/>
  <c r="BB343" i="53"/>
  <c r="BD343" i="53" s="1"/>
  <c r="BB344" i="53"/>
  <c r="BD344" i="53" s="1"/>
  <c r="BB345" i="53"/>
  <c r="BD345" i="53" s="1"/>
  <c r="BB346" i="53"/>
  <c r="BD346" i="53" s="1"/>
  <c r="BB347" i="53"/>
  <c r="BD347" i="53" s="1"/>
  <c r="BB348" i="53"/>
  <c r="BD348" i="53" s="1"/>
  <c r="BB349" i="53"/>
  <c r="BD349" i="53" s="1"/>
  <c r="BB350" i="53"/>
  <c r="BD350" i="53" s="1"/>
  <c r="BB351" i="53"/>
  <c r="BD351" i="53" s="1"/>
  <c r="BB352" i="53"/>
  <c r="BD352" i="53" s="1"/>
  <c r="BB353" i="53"/>
  <c r="BD353" i="53" s="1"/>
  <c r="BB354" i="53"/>
  <c r="BD354" i="53" s="1"/>
  <c r="BB355" i="53"/>
  <c r="BD355" i="53" s="1"/>
  <c r="BB356" i="53"/>
  <c r="BD356" i="53" s="1"/>
  <c r="BB357" i="53"/>
  <c r="BD357" i="53" s="1"/>
  <c r="BB358" i="53"/>
  <c r="BD358" i="53" s="1"/>
  <c r="BB359" i="53"/>
  <c r="BD359" i="53" s="1"/>
  <c r="BB360" i="53"/>
  <c r="BD360" i="53" s="1"/>
  <c r="BB361" i="53"/>
  <c r="BD361" i="53" s="1"/>
  <c r="BB362" i="53"/>
  <c r="BD362" i="53" s="1"/>
  <c r="BB363" i="53"/>
  <c r="BD363" i="53" s="1"/>
  <c r="BB364" i="53"/>
  <c r="BD364" i="53" s="1"/>
  <c r="BB365" i="53"/>
  <c r="BD365" i="53" s="1"/>
  <c r="BB366" i="53"/>
  <c r="BD366" i="53" s="1"/>
  <c r="BJ3" i="53"/>
  <c r="BL3" i="53" s="1"/>
  <c r="BJ4" i="53"/>
  <c r="BL4" i="53" s="1"/>
  <c r="BJ5" i="53"/>
  <c r="BL5" i="53" s="1"/>
  <c r="BJ6" i="53"/>
  <c r="BL6" i="53" s="1"/>
  <c r="BJ7" i="53"/>
  <c r="BL7" i="53" s="1"/>
  <c r="BJ8" i="53"/>
  <c r="BL8" i="53" s="1"/>
  <c r="BJ9" i="53"/>
  <c r="BL9" i="53" s="1"/>
  <c r="BJ10" i="53"/>
  <c r="BL10" i="53" s="1"/>
  <c r="BJ11" i="53"/>
  <c r="BL11" i="53" s="1"/>
  <c r="BJ12" i="53"/>
  <c r="BL12" i="53" s="1"/>
  <c r="BJ13" i="53"/>
  <c r="BL13" i="53" s="1"/>
  <c r="BJ14" i="53"/>
  <c r="BL14" i="53" s="1"/>
  <c r="BJ15" i="53"/>
  <c r="BL15" i="53" s="1"/>
  <c r="BJ16" i="53"/>
  <c r="BL16" i="53" s="1"/>
  <c r="BJ17" i="53"/>
  <c r="BL17" i="53" s="1"/>
  <c r="BJ18" i="53"/>
  <c r="BL18" i="53" s="1"/>
  <c r="BJ19" i="53"/>
  <c r="BL19" i="53" s="1"/>
  <c r="BJ20" i="53"/>
  <c r="BL20" i="53" s="1"/>
  <c r="BJ21" i="53"/>
  <c r="BL21" i="53" s="1"/>
  <c r="BJ22" i="53"/>
  <c r="BL22" i="53" s="1"/>
  <c r="BJ23" i="53"/>
  <c r="BL23" i="53" s="1"/>
  <c r="BJ24" i="53"/>
  <c r="BL24" i="53" s="1"/>
  <c r="BJ25" i="53"/>
  <c r="BL25" i="53" s="1"/>
  <c r="BJ26" i="53"/>
  <c r="BL26" i="53" s="1"/>
  <c r="BJ27" i="53"/>
  <c r="BL27" i="53" s="1"/>
  <c r="BJ28" i="53"/>
  <c r="BL28" i="53" s="1"/>
  <c r="BJ29" i="53"/>
  <c r="BL29" i="53" s="1"/>
  <c r="BJ30" i="53"/>
  <c r="BL30" i="53" s="1"/>
  <c r="BJ31" i="53"/>
  <c r="BL31" i="53" s="1"/>
  <c r="BJ32" i="53"/>
  <c r="BL32" i="53" s="1"/>
  <c r="BJ33" i="53"/>
  <c r="BL33" i="53" s="1"/>
  <c r="BJ34" i="53"/>
  <c r="BL34" i="53" s="1"/>
  <c r="BJ35" i="53"/>
  <c r="BL35" i="53" s="1"/>
  <c r="BJ36" i="53"/>
  <c r="BL36" i="53" s="1"/>
  <c r="BJ37" i="53"/>
  <c r="BL37" i="53" s="1"/>
  <c r="BJ38" i="53"/>
  <c r="BL38" i="53" s="1"/>
  <c r="BJ39" i="53"/>
  <c r="BL39" i="53" s="1"/>
  <c r="BJ40" i="53"/>
  <c r="BL40" i="53" s="1"/>
  <c r="BJ41" i="53"/>
  <c r="BL41" i="53" s="1"/>
  <c r="BJ42" i="53"/>
  <c r="BL42" i="53" s="1"/>
  <c r="BJ43" i="53"/>
  <c r="BL43" i="53" s="1"/>
  <c r="BJ44" i="53"/>
  <c r="BL44" i="53" s="1"/>
  <c r="BJ45" i="53"/>
  <c r="BL45" i="53" s="1"/>
  <c r="BJ46" i="53"/>
  <c r="BL46" i="53" s="1"/>
  <c r="BJ47" i="53"/>
  <c r="BL47" i="53" s="1"/>
  <c r="BJ48" i="53"/>
  <c r="BL48" i="53" s="1"/>
  <c r="BJ49" i="53"/>
  <c r="BL49" i="53" s="1"/>
  <c r="BJ50" i="53"/>
  <c r="BL50" i="53" s="1"/>
  <c r="BJ51" i="53"/>
  <c r="BL51" i="53" s="1"/>
  <c r="BJ52" i="53"/>
  <c r="BL52" i="53" s="1"/>
  <c r="BJ53" i="53"/>
  <c r="BL53" i="53" s="1"/>
  <c r="BJ54" i="53"/>
  <c r="BL54" i="53" s="1"/>
  <c r="BJ55" i="53"/>
  <c r="BL55" i="53" s="1"/>
  <c r="BJ56" i="53"/>
  <c r="BL56" i="53" s="1"/>
  <c r="BJ57" i="53"/>
  <c r="BL57" i="53" s="1"/>
  <c r="BJ58" i="53"/>
  <c r="BL58" i="53" s="1"/>
  <c r="BJ59" i="53"/>
  <c r="BL59" i="53" s="1"/>
  <c r="BJ60" i="53"/>
  <c r="BL60" i="53" s="1"/>
  <c r="BJ61" i="53"/>
  <c r="BL61" i="53" s="1"/>
  <c r="BJ62" i="53"/>
  <c r="BL62" i="53" s="1"/>
  <c r="BJ63" i="53"/>
  <c r="BL63" i="53" s="1"/>
  <c r="BJ64" i="53"/>
  <c r="BL64" i="53" s="1"/>
  <c r="BJ65" i="53"/>
  <c r="BL65" i="53" s="1"/>
  <c r="BJ66" i="53"/>
  <c r="BL66" i="53" s="1"/>
  <c r="BJ67" i="53"/>
  <c r="BL67" i="53" s="1"/>
  <c r="BJ68" i="53"/>
  <c r="BL68" i="53" s="1"/>
  <c r="BJ69" i="53"/>
  <c r="BL69" i="53" s="1"/>
  <c r="BJ70" i="53"/>
  <c r="BL70" i="53" s="1"/>
  <c r="BJ71" i="53"/>
  <c r="BL71" i="53" s="1"/>
  <c r="BJ72" i="53"/>
  <c r="BL72" i="53" s="1"/>
  <c r="BJ73" i="53"/>
  <c r="BL73" i="53" s="1"/>
  <c r="BJ74" i="53"/>
  <c r="BL74" i="53" s="1"/>
  <c r="BJ75" i="53"/>
  <c r="BL75" i="53" s="1"/>
  <c r="BJ76" i="53"/>
  <c r="BL76" i="53" s="1"/>
  <c r="BJ77" i="53"/>
  <c r="BL77" i="53" s="1"/>
  <c r="BJ78" i="53"/>
  <c r="BL78" i="53" s="1"/>
  <c r="BJ79" i="53"/>
  <c r="BL79" i="53" s="1"/>
  <c r="BJ80" i="53"/>
  <c r="BL80" i="53" s="1"/>
  <c r="BJ81" i="53"/>
  <c r="BL81" i="53" s="1"/>
  <c r="BJ82" i="53"/>
  <c r="BL82" i="53" s="1"/>
  <c r="BJ83" i="53"/>
  <c r="BL83" i="53" s="1"/>
  <c r="BJ84" i="53"/>
  <c r="BL84" i="53" s="1"/>
  <c r="BJ85" i="53"/>
  <c r="BL85" i="53" s="1"/>
  <c r="BJ86" i="53"/>
  <c r="BL86" i="53" s="1"/>
  <c r="BJ87" i="53"/>
  <c r="BL87" i="53" s="1"/>
  <c r="BJ88" i="53"/>
  <c r="BL88" i="53" s="1"/>
  <c r="BJ89" i="53"/>
  <c r="BL89" i="53" s="1"/>
  <c r="BJ90" i="53"/>
  <c r="BL90" i="53" s="1"/>
  <c r="BJ91" i="53"/>
  <c r="BL91" i="53" s="1"/>
  <c r="BJ92" i="53"/>
  <c r="BL92" i="53" s="1"/>
  <c r="BJ93" i="53"/>
  <c r="BL93" i="53" s="1"/>
  <c r="BJ94" i="53"/>
  <c r="BL94" i="53" s="1"/>
  <c r="BJ95" i="53"/>
  <c r="BL95" i="53" s="1"/>
  <c r="BJ96" i="53"/>
  <c r="BL96" i="53" s="1"/>
  <c r="BJ97" i="53"/>
  <c r="BL97" i="53" s="1"/>
  <c r="BJ98" i="53"/>
  <c r="BL98" i="53" s="1"/>
  <c r="BJ99" i="53"/>
  <c r="BL99" i="53" s="1"/>
  <c r="BJ100" i="53"/>
  <c r="BL100" i="53" s="1"/>
  <c r="BJ101" i="53"/>
  <c r="BL101" i="53" s="1"/>
  <c r="BJ102" i="53"/>
  <c r="BL102" i="53" s="1"/>
  <c r="BJ103" i="53"/>
  <c r="BL103" i="53" s="1"/>
  <c r="BJ104" i="53"/>
  <c r="BL104" i="53" s="1"/>
  <c r="BJ105" i="53"/>
  <c r="BL105" i="53" s="1"/>
  <c r="BJ106" i="53"/>
  <c r="BL106" i="53" s="1"/>
  <c r="BJ107" i="53"/>
  <c r="BL107" i="53" s="1"/>
  <c r="BJ108" i="53"/>
  <c r="BL108" i="53" s="1"/>
  <c r="BJ109" i="53"/>
  <c r="BL109" i="53" s="1"/>
  <c r="BJ110" i="53"/>
  <c r="BL110" i="53" s="1"/>
  <c r="BJ111" i="53"/>
  <c r="BL111" i="53" s="1"/>
  <c r="BJ112" i="53"/>
  <c r="BL112" i="53" s="1"/>
  <c r="BJ113" i="53"/>
  <c r="BL113" i="53" s="1"/>
  <c r="BJ114" i="53"/>
  <c r="BL114" i="53" s="1"/>
  <c r="BJ115" i="53"/>
  <c r="BL115" i="53" s="1"/>
  <c r="BJ116" i="53"/>
  <c r="BL116" i="53" s="1"/>
  <c r="BJ117" i="53"/>
  <c r="BL117" i="53" s="1"/>
  <c r="BJ118" i="53"/>
  <c r="BL118" i="53" s="1"/>
  <c r="BJ119" i="53"/>
  <c r="BL119" i="53" s="1"/>
  <c r="BJ120" i="53"/>
  <c r="BL120" i="53" s="1"/>
  <c r="BJ121" i="53"/>
  <c r="BL121" i="53" s="1"/>
  <c r="BJ122" i="53"/>
  <c r="BL122" i="53" s="1"/>
  <c r="BJ123" i="53"/>
  <c r="BL123" i="53" s="1"/>
  <c r="BJ124" i="53"/>
  <c r="BL124" i="53" s="1"/>
  <c r="BJ125" i="53"/>
  <c r="BL125" i="53" s="1"/>
  <c r="BJ126" i="53"/>
  <c r="BL126" i="53" s="1"/>
  <c r="BJ127" i="53"/>
  <c r="BL127" i="53" s="1"/>
  <c r="BJ128" i="53"/>
  <c r="BL128" i="53" s="1"/>
  <c r="BJ129" i="53"/>
  <c r="BL129" i="53" s="1"/>
  <c r="BJ130" i="53"/>
  <c r="BL130" i="53" s="1"/>
  <c r="BJ131" i="53"/>
  <c r="BL131" i="53" s="1"/>
  <c r="BJ132" i="53"/>
  <c r="BL132" i="53" s="1"/>
  <c r="BJ133" i="53"/>
  <c r="BL133" i="53" s="1"/>
  <c r="BJ134" i="53"/>
  <c r="BL134" i="53" s="1"/>
  <c r="BJ135" i="53"/>
  <c r="BL135" i="53" s="1"/>
  <c r="BJ136" i="53"/>
  <c r="BL136" i="53" s="1"/>
  <c r="BJ137" i="53"/>
  <c r="BL137" i="53" s="1"/>
  <c r="BJ138" i="53"/>
  <c r="BL138" i="53" s="1"/>
  <c r="BJ139" i="53"/>
  <c r="BL139" i="53" s="1"/>
  <c r="BJ140" i="53"/>
  <c r="BL140" i="53" s="1"/>
  <c r="BJ141" i="53"/>
  <c r="BL141" i="53" s="1"/>
  <c r="BJ142" i="53"/>
  <c r="BL142" i="53" s="1"/>
  <c r="BJ143" i="53"/>
  <c r="BL143" i="53" s="1"/>
  <c r="BJ144" i="53"/>
  <c r="BL144" i="53" s="1"/>
  <c r="BJ145" i="53"/>
  <c r="BL145" i="53" s="1"/>
  <c r="BJ146" i="53"/>
  <c r="BL146" i="53" s="1"/>
  <c r="BJ147" i="53"/>
  <c r="BL147" i="53" s="1"/>
  <c r="BJ148" i="53"/>
  <c r="BL148" i="53" s="1"/>
  <c r="BJ149" i="53"/>
  <c r="BL149" i="53" s="1"/>
  <c r="BJ150" i="53"/>
  <c r="BL150" i="53" s="1"/>
  <c r="BJ151" i="53"/>
  <c r="BL151" i="53" s="1"/>
  <c r="BJ152" i="53"/>
  <c r="BL152" i="53" s="1"/>
  <c r="BJ153" i="53"/>
  <c r="BL153" i="53" s="1"/>
  <c r="BJ154" i="53"/>
  <c r="BL154" i="53" s="1"/>
  <c r="BJ155" i="53"/>
  <c r="BL155" i="53" s="1"/>
  <c r="BJ156" i="53"/>
  <c r="BL156" i="53" s="1"/>
  <c r="BJ157" i="53"/>
  <c r="BL157" i="53" s="1"/>
  <c r="BJ158" i="53"/>
  <c r="BL158" i="53" s="1"/>
  <c r="BJ159" i="53"/>
  <c r="BL159" i="53" s="1"/>
  <c r="BJ160" i="53"/>
  <c r="BL160" i="53" s="1"/>
  <c r="BJ161" i="53"/>
  <c r="BL161" i="53" s="1"/>
  <c r="BJ162" i="53"/>
  <c r="BL162" i="53" s="1"/>
  <c r="BJ163" i="53"/>
  <c r="BL163" i="53" s="1"/>
  <c r="BJ164" i="53"/>
  <c r="BL164" i="53" s="1"/>
  <c r="BJ165" i="53"/>
  <c r="BL165" i="53" s="1"/>
  <c r="BJ166" i="53"/>
  <c r="BL166" i="53" s="1"/>
  <c r="BJ167" i="53"/>
  <c r="BL167" i="53" s="1"/>
  <c r="BJ168" i="53"/>
  <c r="BL168" i="53" s="1"/>
  <c r="BJ169" i="53"/>
  <c r="BL169" i="53" s="1"/>
  <c r="BJ170" i="53"/>
  <c r="BL170" i="53" s="1"/>
  <c r="BJ171" i="53"/>
  <c r="BL171" i="53" s="1"/>
  <c r="BJ172" i="53"/>
  <c r="BL172" i="53" s="1"/>
  <c r="BJ173" i="53"/>
  <c r="BL173" i="53" s="1"/>
  <c r="BJ174" i="53"/>
  <c r="BL174" i="53" s="1"/>
  <c r="BJ175" i="53"/>
  <c r="BL175" i="53" s="1"/>
  <c r="BJ176" i="53"/>
  <c r="BL176" i="53" s="1"/>
  <c r="BJ177" i="53"/>
  <c r="BL177" i="53" s="1"/>
  <c r="BJ178" i="53"/>
  <c r="BL178" i="53" s="1"/>
  <c r="BJ179" i="53"/>
  <c r="BL179" i="53" s="1"/>
  <c r="BJ180" i="53"/>
  <c r="BL180" i="53" s="1"/>
  <c r="BJ181" i="53"/>
  <c r="BL181" i="53" s="1"/>
  <c r="BJ182" i="53"/>
  <c r="BL182" i="53" s="1"/>
  <c r="BJ183" i="53"/>
  <c r="BL183" i="53" s="1"/>
  <c r="BJ184" i="53"/>
  <c r="BL184" i="53" s="1"/>
  <c r="BJ185" i="53"/>
  <c r="BL185" i="53" s="1"/>
  <c r="BJ186" i="53"/>
  <c r="BL186" i="53" s="1"/>
  <c r="BJ187" i="53"/>
  <c r="BL187" i="53" s="1"/>
  <c r="BJ188" i="53"/>
  <c r="BL188" i="53" s="1"/>
  <c r="BJ189" i="53"/>
  <c r="BL189" i="53" s="1"/>
  <c r="BJ190" i="53"/>
  <c r="BL190" i="53" s="1"/>
  <c r="BJ191" i="53"/>
  <c r="BL191" i="53" s="1"/>
  <c r="BJ192" i="53"/>
  <c r="BL192" i="53" s="1"/>
  <c r="BJ193" i="53"/>
  <c r="BL193" i="53" s="1"/>
  <c r="BJ194" i="53"/>
  <c r="BL194" i="53" s="1"/>
  <c r="BJ195" i="53"/>
  <c r="BL195" i="53" s="1"/>
  <c r="BJ196" i="53"/>
  <c r="BL196" i="53" s="1"/>
  <c r="BJ197" i="53"/>
  <c r="BL197" i="53" s="1"/>
  <c r="BJ198" i="53"/>
  <c r="BL198" i="53" s="1"/>
  <c r="BJ199" i="53"/>
  <c r="BL199" i="53" s="1"/>
  <c r="BJ200" i="53"/>
  <c r="BL200" i="53" s="1"/>
  <c r="BJ201" i="53"/>
  <c r="BL201" i="53" s="1"/>
  <c r="BJ202" i="53"/>
  <c r="BL202" i="53" s="1"/>
  <c r="BJ203" i="53"/>
  <c r="BL203" i="53" s="1"/>
  <c r="BJ204" i="53"/>
  <c r="BL204" i="53" s="1"/>
  <c r="BJ205" i="53"/>
  <c r="BL205" i="53" s="1"/>
  <c r="BJ206" i="53"/>
  <c r="BL206" i="53" s="1"/>
  <c r="BJ207" i="53"/>
  <c r="BL207" i="53" s="1"/>
  <c r="BJ208" i="53"/>
  <c r="BL208" i="53" s="1"/>
  <c r="BJ209" i="53"/>
  <c r="BL209" i="53" s="1"/>
  <c r="BJ210" i="53"/>
  <c r="BL210" i="53" s="1"/>
  <c r="BJ211" i="53"/>
  <c r="BL211" i="53" s="1"/>
  <c r="BJ212" i="53"/>
  <c r="BL212" i="53" s="1"/>
  <c r="BJ213" i="53"/>
  <c r="BL213" i="53" s="1"/>
  <c r="BJ214" i="53"/>
  <c r="BL214" i="53" s="1"/>
  <c r="BJ215" i="53"/>
  <c r="BL215" i="53" s="1"/>
  <c r="BJ216" i="53"/>
  <c r="BL216" i="53" s="1"/>
  <c r="BJ217" i="53"/>
  <c r="BL217" i="53" s="1"/>
  <c r="BJ218" i="53"/>
  <c r="BL218" i="53" s="1"/>
  <c r="BJ219" i="53"/>
  <c r="BL219" i="53" s="1"/>
  <c r="BJ220" i="53"/>
  <c r="BL220" i="53" s="1"/>
  <c r="BJ221" i="53"/>
  <c r="BL221" i="53" s="1"/>
  <c r="BJ222" i="53"/>
  <c r="BL222" i="53" s="1"/>
  <c r="BJ223" i="53"/>
  <c r="BL223" i="53" s="1"/>
  <c r="BJ224" i="53"/>
  <c r="BL224" i="53" s="1"/>
  <c r="BJ225" i="53"/>
  <c r="BL225" i="53" s="1"/>
  <c r="BJ226" i="53"/>
  <c r="BL226" i="53" s="1"/>
  <c r="BJ227" i="53"/>
  <c r="BL227" i="53" s="1"/>
  <c r="BJ228" i="53"/>
  <c r="BL228" i="53" s="1"/>
  <c r="BJ229" i="53"/>
  <c r="BL229" i="53" s="1"/>
  <c r="BJ230" i="53"/>
  <c r="BL230" i="53" s="1"/>
  <c r="BJ231" i="53"/>
  <c r="BL231" i="53" s="1"/>
  <c r="BJ232" i="53"/>
  <c r="BL232" i="53" s="1"/>
  <c r="BJ233" i="53"/>
  <c r="BL233" i="53" s="1"/>
  <c r="BJ234" i="53"/>
  <c r="BL234" i="53" s="1"/>
  <c r="BJ235" i="53"/>
  <c r="BL235" i="53" s="1"/>
  <c r="BJ236" i="53"/>
  <c r="BL236" i="53" s="1"/>
  <c r="BJ237" i="53"/>
  <c r="BL237" i="53" s="1"/>
  <c r="BJ238" i="53"/>
  <c r="BL238" i="53" s="1"/>
  <c r="BJ239" i="53"/>
  <c r="BL239" i="53" s="1"/>
  <c r="BJ240" i="53"/>
  <c r="BL240" i="53" s="1"/>
  <c r="BJ241" i="53"/>
  <c r="BL241" i="53" s="1"/>
  <c r="BJ242" i="53"/>
  <c r="BL242" i="53" s="1"/>
  <c r="BJ243" i="53"/>
  <c r="BL243" i="53" s="1"/>
  <c r="BJ244" i="53"/>
  <c r="BL244" i="53" s="1"/>
  <c r="BJ245" i="53"/>
  <c r="BL245" i="53" s="1"/>
  <c r="BJ246" i="53"/>
  <c r="BL246" i="53" s="1"/>
  <c r="BJ247" i="53"/>
  <c r="BL247" i="53" s="1"/>
  <c r="BJ248" i="53"/>
  <c r="BL248" i="53" s="1"/>
  <c r="BJ249" i="53"/>
  <c r="BL249" i="53" s="1"/>
  <c r="BJ250" i="53"/>
  <c r="BL250" i="53" s="1"/>
  <c r="BJ251" i="53"/>
  <c r="BL251" i="53" s="1"/>
  <c r="BJ252" i="53"/>
  <c r="BL252" i="53" s="1"/>
  <c r="BJ253" i="53"/>
  <c r="BL253" i="53" s="1"/>
  <c r="BJ254" i="53"/>
  <c r="BL254" i="53" s="1"/>
  <c r="BJ255" i="53"/>
  <c r="BL255" i="53" s="1"/>
  <c r="BJ256" i="53"/>
  <c r="BL256" i="53" s="1"/>
  <c r="BJ257" i="53"/>
  <c r="BL257" i="53" s="1"/>
  <c r="BJ258" i="53"/>
  <c r="BL258" i="53" s="1"/>
  <c r="BJ259" i="53"/>
  <c r="BL259" i="53" s="1"/>
  <c r="BJ260" i="53"/>
  <c r="BL260" i="53" s="1"/>
  <c r="BJ261" i="53"/>
  <c r="BL261" i="53" s="1"/>
  <c r="BJ262" i="53"/>
  <c r="BL262" i="53" s="1"/>
  <c r="BJ263" i="53"/>
  <c r="BL263" i="53" s="1"/>
  <c r="BJ264" i="53"/>
  <c r="BL264" i="53" s="1"/>
  <c r="BJ265" i="53"/>
  <c r="BL265" i="53" s="1"/>
  <c r="BJ266" i="53"/>
  <c r="BL266" i="53" s="1"/>
  <c r="BJ267" i="53"/>
  <c r="BL267" i="53" s="1"/>
  <c r="BJ268" i="53"/>
  <c r="BL268" i="53" s="1"/>
  <c r="BJ269" i="53"/>
  <c r="BL269" i="53" s="1"/>
  <c r="BJ270" i="53"/>
  <c r="BL270" i="53" s="1"/>
  <c r="BJ271" i="53"/>
  <c r="BL271" i="53" s="1"/>
  <c r="BJ272" i="53"/>
  <c r="BL272" i="53" s="1"/>
  <c r="BJ273" i="53"/>
  <c r="BL273" i="53" s="1"/>
  <c r="BJ274" i="53"/>
  <c r="BL274" i="53" s="1"/>
  <c r="BJ275" i="53"/>
  <c r="BL275" i="53" s="1"/>
  <c r="BJ276" i="53"/>
  <c r="BL276" i="53" s="1"/>
  <c r="BJ277" i="53"/>
  <c r="BL277" i="53" s="1"/>
  <c r="BJ278" i="53"/>
  <c r="BL278" i="53" s="1"/>
  <c r="BJ279" i="53"/>
  <c r="BL279" i="53" s="1"/>
  <c r="BJ280" i="53"/>
  <c r="BL280" i="53" s="1"/>
  <c r="BJ281" i="53"/>
  <c r="BL281" i="53" s="1"/>
  <c r="BJ282" i="53"/>
  <c r="BL282" i="53" s="1"/>
  <c r="BJ283" i="53"/>
  <c r="BL283" i="53" s="1"/>
  <c r="BJ284" i="53"/>
  <c r="BL284" i="53" s="1"/>
  <c r="BJ285" i="53"/>
  <c r="BL285" i="53" s="1"/>
  <c r="BJ286" i="53"/>
  <c r="BL286" i="53" s="1"/>
  <c r="BJ287" i="53"/>
  <c r="BL287" i="53" s="1"/>
  <c r="BJ288" i="53"/>
  <c r="BL288" i="53" s="1"/>
  <c r="BJ289" i="53"/>
  <c r="BL289" i="53" s="1"/>
  <c r="BJ290" i="53"/>
  <c r="BL290" i="53" s="1"/>
  <c r="BJ291" i="53"/>
  <c r="BL291" i="53" s="1"/>
  <c r="BJ292" i="53"/>
  <c r="BL292" i="53" s="1"/>
  <c r="BJ293" i="53"/>
  <c r="BL293" i="53" s="1"/>
  <c r="BJ294" i="53"/>
  <c r="BL294" i="53" s="1"/>
  <c r="BJ295" i="53"/>
  <c r="BL295" i="53" s="1"/>
  <c r="BJ296" i="53"/>
  <c r="BL296" i="53" s="1"/>
  <c r="BJ297" i="53"/>
  <c r="BL297" i="53" s="1"/>
  <c r="BJ298" i="53"/>
  <c r="BL298" i="53" s="1"/>
  <c r="BJ299" i="53"/>
  <c r="BL299" i="53" s="1"/>
  <c r="BJ300" i="53"/>
  <c r="BL300" i="53" s="1"/>
  <c r="BJ301" i="53"/>
  <c r="BL301" i="53" s="1"/>
  <c r="BJ302" i="53"/>
  <c r="BL302" i="53" s="1"/>
  <c r="BJ303" i="53"/>
  <c r="BL303" i="53" s="1"/>
  <c r="BJ304" i="53"/>
  <c r="BL304" i="53" s="1"/>
  <c r="BJ305" i="53"/>
  <c r="BL305" i="53" s="1"/>
  <c r="BJ306" i="53"/>
  <c r="BL306" i="53" s="1"/>
  <c r="BJ307" i="53"/>
  <c r="BL307" i="53" s="1"/>
  <c r="BJ308" i="53"/>
  <c r="BL308" i="53" s="1"/>
  <c r="BJ309" i="53"/>
  <c r="BL309" i="53" s="1"/>
  <c r="BJ310" i="53"/>
  <c r="BL310" i="53" s="1"/>
  <c r="BJ311" i="53"/>
  <c r="BL311" i="53" s="1"/>
  <c r="BJ312" i="53"/>
  <c r="BL312" i="53" s="1"/>
  <c r="BJ313" i="53"/>
  <c r="BL313" i="53" s="1"/>
  <c r="BJ314" i="53"/>
  <c r="BL314" i="53" s="1"/>
  <c r="BJ315" i="53"/>
  <c r="BL315" i="53" s="1"/>
  <c r="BJ316" i="53"/>
  <c r="BL316" i="53" s="1"/>
  <c r="BJ317" i="53"/>
  <c r="BL317" i="53" s="1"/>
  <c r="BJ318" i="53"/>
  <c r="BL318" i="53" s="1"/>
  <c r="BJ319" i="53"/>
  <c r="BL319" i="53" s="1"/>
  <c r="BJ320" i="53"/>
  <c r="BL320" i="53" s="1"/>
  <c r="BJ321" i="53"/>
  <c r="BL321" i="53" s="1"/>
  <c r="BJ322" i="53"/>
  <c r="BL322" i="53" s="1"/>
  <c r="BJ323" i="53"/>
  <c r="BL323" i="53" s="1"/>
  <c r="BJ324" i="53"/>
  <c r="BL324" i="53" s="1"/>
  <c r="BJ325" i="53"/>
  <c r="BL325" i="53" s="1"/>
  <c r="BJ326" i="53"/>
  <c r="BL326" i="53" s="1"/>
  <c r="BJ327" i="53"/>
  <c r="BL327" i="53" s="1"/>
  <c r="BJ328" i="53"/>
  <c r="BL328" i="53" s="1"/>
  <c r="BJ329" i="53"/>
  <c r="BL329" i="53" s="1"/>
  <c r="BJ330" i="53"/>
  <c r="BL330" i="53" s="1"/>
  <c r="BJ331" i="53"/>
  <c r="BL331" i="53" s="1"/>
  <c r="BJ332" i="53"/>
  <c r="BL332" i="53" s="1"/>
  <c r="BJ333" i="53"/>
  <c r="BL333" i="53" s="1"/>
  <c r="BJ334" i="53"/>
  <c r="BL334" i="53" s="1"/>
  <c r="BJ335" i="53"/>
  <c r="BL335" i="53" s="1"/>
  <c r="BJ336" i="53"/>
  <c r="BL336" i="53" s="1"/>
  <c r="BJ337" i="53"/>
  <c r="BL337" i="53" s="1"/>
  <c r="BJ338" i="53"/>
  <c r="BL338" i="53" s="1"/>
  <c r="BJ339" i="53"/>
  <c r="BL339" i="53" s="1"/>
  <c r="BJ340" i="53"/>
  <c r="BL340" i="53" s="1"/>
  <c r="BJ341" i="53"/>
  <c r="BL341" i="53" s="1"/>
  <c r="BJ342" i="53"/>
  <c r="BL342" i="53" s="1"/>
  <c r="BJ343" i="53"/>
  <c r="BL343" i="53" s="1"/>
  <c r="BJ344" i="53"/>
  <c r="BL344" i="53" s="1"/>
  <c r="BJ345" i="53"/>
  <c r="BL345" i="53" s="1"/>
  <c r="BJ346" i="53"/>
  <c r="BL346" i="53" s="1"/>
  <c r="BJ347" i="53"/>
  <c r="BL347" i="53" s="1"/>
  <c r="BJ348" i="53"/>
  <c r="BL348" i="53" s="1"/>
  <c r="BJ349" i="53"/>
  <c r="BL349" i="53" s="1"/>
  <c r="BJ350" i="53"/>
  <c r="BL350" i="53" s="1"/>
  <c r="BJ351" i="53"/>
  <c r="BL351" i="53" s="1"/>
  <c r="BJ352" i="53"/>
  <c r="BL352" i="53" s="1"/>
  <c r="BJ353" i="53"/>
  <c r="BL353" i="53" s="1"/>
  <c r="BJ354" i="53"/>
  <c r="BL354" i="53" s="1"/>
  <c r="BJ355" i="53"/>
  <c r="BL355" i="53" s="1"/>
  <c r="BJ356" i="53"/>
  <c r="BL356" i="53" s="1"/>
  <c r="BJ357" i="53"/>
  <c r="BL357" i="53" s="1"/>
  <c r="BJ358" i="53"/>
  <c r="BL358" i="53" s="1"/>
  <c r="BJ359" i="53"/>
  <c r="BL359" i="53" s="1"/>
  <c r="BJ360" i="53"/>
  <c r="BL360" i="53" s="1"/>
  <c r="BJ361" i="53"/>
  <c r="BL361" i="53" s="1"/>
  <c r="BJ362" i="53"/>
  <c r="BL362" i="53" s="1"/>
  <c r="BJ363" i="53"/>
  <c r="BL363" i="53" s="1"/>
  <c r="BJ364" i="53"/>
  <c r="BL364" i="53" s="1"/>
  <c r="BJ365" i="53"/>
  <c r="BL365" i="53" s="1"/>
  <c r="BJ366" i="53"/>
  <c r="BL366" i="53" s="1"/>
  <c r="BR3" i="53"/>
  <c r="BT3" i="53" s="1"/>
  <c r="BR4" i="53"/>
  <c r="BT4" i="53" s="1"/>
  <c r="BR5" i="53"/>
  <c r="BT5" i="53" s="1"/>
  <c r="BR6" i="53"/>
  <c r="BT6" i="53" s="1"/>
  <c r="BR7" i="53"/>
  <c r="BT7" i="53" s="1"/>
  <c r="BR8" i="53"/>
  <c r="BT8" i="53" s="1"/>
  <c r="BR9" i="53"/>
  <c r="BT9" i="53" s="1"/>
  <c r="BR10" i="53"/>
  <c r="BT10" i="53" s="1"/>
  <c r="BR11" i="53"/>
  <c r="BT11" i="53" s="1"/>
  <c r="BR12" i="53"/>
  <c r="BT12" i="53" s="1"/>
  <c r="BR13" i="53"/>
  <c r="BT13" i="53" s="1"/>
  <c r="BR14" i="53"/>
  <c r="BT14" i="53" s="1"/>
  <c r="BR15" i="53"/>
  <c r="BT15" i="53" s="1"/>
  <c r="BR16" i="53"/>
  <c r="BT16" i="53" s="1"/>
  <c r="BR17" i="53"/>
  <c r="BT17" i="53" s="1"/>
  <c r="BR18" i="53"/>
  <c r="BT18" i="53" s="1"/>
  <c r="BR19" i="53"/>
  <c r="BT19" i="53" s="1"/>
  <c r="BR20" i="53"/>
  <c r="BT20" i="53" s="1"/>
  <c r="BR21" i="53"/>
  <c r="BT21" i="53" s="1"/>
  <c r="BR22" i="53"/>
  <c r="BT22" i="53" s="1"/>
  <c r="BR23" i="53"/>
  <c r="BT23" i="53" s="1"/>
  <c r="BR24" i="53"/>
  <c r="BT24" i="53" s="1"/>
  <c r="BR25" i="53"/>
  <c r="BT25" i="53" s="1"/>
  <c r="BR26" i="53"/>
  <c r="BT26" i="53" s="1"/>
  <c r="BR27" i="53"/>
  <c r="BT27" i="53" s="1"/>
  <c r="BR28" i="53"/>
  <c r="BT28" i="53" s="1"/>
  <c r="BR29" i="53"/>
  <c r="BT29" i="53" s="1"/>
  <c r="BR30" i="53"/>
  <c r="BT30" i="53" s="1"/>
  <c r="BR31" i="53"/>
  <c r="BT31" i="53" s="1"/>
  <c r="BR32" i="53"/>
  <c r="BT32" i="53" s="1"/>
  <c r="BR33" i="53"/>
  <c r="BT33" i="53" s="1"/>
  <c r="BR34" i="53"/>
  <c r="BT34" i="53" s="1"/>
  <c r="BR35" i="53"/>
  <c r="BT35" i="53" s="1"/>
  <c r="BR36" i="53"/>
  <c r="BT36" i="53" s="1"/>
  <c r="BR37" i="53"/>
  <c r="BT37" i="53" s="1"/>
  <c r="BR38" i="53"/>
  <c r="BT38" i="53" s="1"/>
  <c r="BR39" i="53"/>
  <c r="BT39" i="53" s="1"/>
  <c r="BR40" i="53"/>
  <c r="BT40" i="53" s="1"/>
  <c r="BR41" i="53"/>
  <c r="BT41" i="53" s="1"/>
  <c r="BR42" i="53"/>
  <c r="BT42" i="53" s="1"/>
  <c r="BR43" i="53"/>
  <c r="BT43" i="53" s="1"/>
  <c r="BR44" i="53"/>
  <c r="BT44" i="53" s="1"/>
  <c r="BR45" i="53"/>
  <c r="BT45" i="53" s="1"/>
  <c r="BR46" i="53"/>
  <c r="BT46" i="53" s="1"/>
  <c r="BR47" i="53"/>
  <c r="BT47" i="53" s="1"/>
  <c r="BR48" i="53"/>
  <c r="BT48" i="53" s="1"/>
  <c r="BR49" i="53"/>
  <c r="BT49" i="53" s="1"/>
  <c r="BR50" i="53"/>
  <c r="BT50" i="53" s="1"/>
  <c r="BR51" i="53"/>
  <c r="BT51" i="53" s="1"/>
  <c r="BR52" i="53"/>
  <c r="BT52" i="53" s="1"/>
  <c r="BR53" i="53"/>
  <c r="BT53" i="53" s="1"/>
  <c r="BR54" i="53"/>
  <c r="BT54" i="53" s="1"/>
  <c r="BR55" i="53"/>
  <c r="BT55" i="53" s="1"/>
  <c r="BR56" i="53"/>
  <c r="BT56" i="53" s="1"/>
  <c r="BR57" i="53"/>
  <c r="BT57" i="53" s="1"/>
  <c r="BR58" i="53"/>
  <c r="BT58" i="53" s="1"/>
  <c r="BR59" i="53"/>
  <c r="BT59" i="53" s="1"/>
  <c r="BR60" i="53"/>
  <c r="BT60" i="53" s="1"/>
  <c r="BR61" i="53"/>
  <c r="BT61" i="53" s="1"/>
  <c r="BR62" i="53"/>
  <c r="BT62" i="53" s="1"/>
  <c r="BR63" i="53"/>
  <c r="BT63" i="53" s="1"/>
  <c r="BR64" i="53"/>
  <c r="BT64" i="53" s="1"/>
  <c r="BR65" i="53"/>
  <c r="BT65" i="53" s="1"/>
  <c r="BR66" i="53"/>
  <c r="BT66" i="53" s="1"/>
  <c r="BR67" i="53"/>
  <c r="BT67" i="53" s="1"/>
  <c r="BR68" i="53"/>
  <c r="BT68" i="53" s="1"/>
  <c r="BR69" i="53"/>
  <c r="BT69" i="53" s="1"/>
  <c r="BR70" i="53"/>
  <c r="BT70" i="53" s="1"/>
  <c r="BR71" i="53"/>
  <c r="BT71" i="53" s="1"/>
  <c r="BR72" i="53"/>
  <c r="BT72" i="53" s="1"/>
  <c r="BR73" i="53"/>
  <c r="BT73" i="53" s="1"/>
  <c r="BR74" i="53"/>
  <c r="BT74" i="53" s="1"/>
  <c r="BR75" i="53"/>
  <c r="BT75" i="53" s="1"/>
  <c r="BR76" i="53"/>
  <c r="BT76" i="53" s="1"/>
  <c r="BR77" i="53"/>
  <c r="BT77" i="53" s="1"/>
  <c r="BR78" i="53"/>
  <c r="BT78" i="53" s="1"/>
  <c r="BR79" i="53"/>
  <c r="BT79" i="53" s="1"/>
  <c r="BR80" i="53"/>
  <c r="BT80" i="53" s="1"/>
  <c r="BR81" i="53"/>
  <c r="BT81" i="53" s="1"/>
  <c r="BR82" i="53"/>
  <c r="BT82" i="53" s="1"/>
  <c r="BR83" i="53"/>
  <c r="BT83" i="53" s="1"/>
  <c r="BR84" i="53"/>
  <c r="BT84" i="53" s="1"/>
  <c r="BR85" i="53"/>
  <c r="BT85" i="53" s="1"/>
  <c r="BR86" i="53"/>
  <c r="BT86" i="53" s="1"/>
  <c r="BR87" i="53"/>
  <c r="BT87" i="53" s="1"/>
  <c r="BR88" i="53"/>
  <c r="BT88" i="53" s="1"/>
  <c r="BR89" i="53"/>
  <c r="BT89" i="53" s="1"/>
  <c r="BR90" i="53"/>
  <c r="BT90" i="53" s="1"/>
  <c r="BR91" i="53"/>
  <c r="BT91" i="53" s="1"/>
  <c r="BR92" i="53"/>
  <c r="BT92" i="53" s="1"/>
  <c r="BR93" i="53"/>
  <c r="BT93" i="53" s="1"/>
  <c r="BR94" i="53"/>
  <c r="BT94" i="53" s="1"/>
  <c r="BR95" i="53"/>
  <c r="BT95" i="53" s="1"/>
  <c r="BR96" i="53"/>
  <c r="BT96" i="53" s="1"/>
  <c r="BR97" i="53"/>
  <c r="BT97" i="53" s="1"/>
  <c r="BR98" i="53"/>
  <c r="BT98" i="53" s="1"/>
  <c r="BR99" i="53"/>
  <c r="BT99" i="53" s="1"/>
  <c r="BR100" i="53"/>
  <c r="BT100" i="53" s="1"/>
  <c r="BR101" i="53"/>
  <c r="BT101" i="53" s="1"/>
  <c r="BR102" i="53"/>
  <c r="BT102" i="53" s="1"/>
  <c r="BR103" i="53"/>
  <c r="BT103" i="53" s="1"/>
  <c r="BR104" i="53"/>
  <c r="BT104" i="53" s="1"/>
  <c r="BR105" i="53"/>
  <c r="BT105" i="53" s="1"/>
  <c r="BR106" i="53"/>
  <c r="BT106" i="53" s="1"/>
  <c r="BR107" i="53"/>
  <c r="BT107" i="53" s="1"/>
  <c r="BR108" i="53"/>
  <c r="BT108" i="53" s="1"/>
  <c r="BR109" i="53"/>
  <c r="BT109" i="53" s="1"/>
  <c r="BR110" i="53"/>
  <c r="BT110" i="53" s="1"/>
  <c r="BR111" i="53"/>
  <c r="BT111" i="53" s="1"/>
  <c r="BR112" i="53"/>
  <c r="BT112" i="53" s="1"/>
  <c r="BR113" i="53"/>
  <c r="BT113" i="53" s="1"/>
  <c r="BR114" i="53"/>
  <c r="BT114" i="53" s="1"/>
  <c r="BR115" i="53"/>
  <c r="BT115" i="53" s="1"/>
  <c r="BR116" i="53"/>
  <c r="BT116" i="53" s="1"/>
  <c r="BR117" i="53"/>
  <c r="BT117" i="53" s="1"/>
  <c r="BR118" i="53"/>
  <c r="BT118" i="53" s="1"/>
  <c r="BR119" i="53"/>
  <c r="BT119" i="53" s="1"/>
  <c r="BR120" i="53"/>
  <c r="BT120" i="53" s="1"/>
  <c r="BR121" i="53"/>
  <c r="BT121" i="53" s="1"/>
  <c r="BR122" i="53"/>
  <c r="BT122" i="53" s="1"/>
  <c r="BR123" i="53"/>
  <c r="BT123" i="53" s="1"/>
  <c r="BR124" i="53"/>
  <c r="BT124" i="53" s="1"/>
  <c r="BR125" i="53"/>
  <c r="BT125" i="53" s="1"/>
  <c r="BR126" i="53"/>
  <c r="BT126" i="53" s="1"/>
  <c r="BR127" i="53"/>
  <c r="BT127" i="53" s="1"/>
  <c r="BR128" i="53"/>
  <c r="BT128" i="53" s="1"/>
  <c r="BR129" i="53"/>
  <c r="BT129" i="53" s="1"/>
  <c r="BR130" i="53"/>
  <c r="BT130" i="53" s="1"/>
  <c r="BR131" i="53"/>
  <c r="BT131" i="53" s="1"/>
  <c r="BR132" i="53"/>
  <c r="BT132" i="53" s="1"/>
  <c r="BR133" i="53"/>
  <c r="BT133" i="53" s="1"/>
  <c r="BR134" i="53"/>
  <c r="BT134" i="53" s="1"/>
  <c r="BR135" i="53"/>
  <c r="BT135" i="53" s="1"/>
  <c r="BR136" i="53"/>
  <c r="BT136" i="53" s="1"/>
  <c r="BR137" i="53"/>
  <c r="BT137" i="53" s="1"/>
  <c r="BR138" i="53"/>
  <c r="BT138" i="53" s="1"/>
  <c r="BR139" i="53"/>
  <c r="BT139" i="53" s="1"/>
  <c r="BR140" i="53"/>
  <c r="BT140" i="53" s="1"/>
  <c r="BR141" i="53"/>
  <c r="BT141" i="53" s="1"/>
  <c r="BR142" i="53"/>
  <c r="BT142" i="53" s="1"/>
  <c r="BR143" i="53"/>
  <c r="BT143" i="53" s="1"/>
  <c r="BR144" i="53"/>
  <c r="BT144" i="53" s="1"/>
  <c r="BR145" i="53"/>
  <c r="BT145" i="53" s="1"/>
  <c r="BR146" i="53"/>
  <c r="BT146" i="53" s="1"/>
  <c r="BR147" i="53"/>
  <c r="BT147" i="53" s="1"/>
  <c r="BR148" i="53"/>
  <c r="BT148" i="53" s="1"/>
  <c r="BR149" i="53"/>
  <c r="BT149" i="53" s="1"/>
  <c r="BR150" i="53"/>
  <c r="BT150" i="53" s="1"/>
  <c r="BR151" i="53"/>
  <c r="BT151" i="53" s="1"/>
  <c r="BR152" i="53"/>
  <c r="BT152" i="53" s="1"/>
  <c r="BR153" i="53"/>
  <c r="BT153" i="53" s="1"/>
  <c r="BR154" i="53"/>
  <c r="BT154" i="53" s="1"/>
  <c r="BR155" i="53"/>
  <c r="BT155" i="53" s="1"/>
  <c r="BR156" i="53"/>
  <c r="BT156" i="53" s="1"/>
  <c r="BR157" i="53"/>
  <c r="BT157" i="53" s="1"/>
  <c r="BR158" i="53"/>
  <c r="BT158" i="53" s="1"/>
  <c r="BR159" i="53"/>
  <c r="BT159" i="53" s="1"/>
  <c r="BR160" i="53"/>
  <c r="BT160" i="53" s="1"/>
  <c r="BR161" i="53"/>
  <c r="BT161" i="53" s="1"/>
  <c r="BR162" i="53"/>
  <c r="BT162" i="53" s="1"/>
  <c r="BR163" i="53"/>
  <c r="BT163" i="53" s="1"/>
  <c r="BR164" i="53"/>
  <c r="BT164" i="53" s="1"/>
  <c r="BR165" i="53"/>
  <c r="BT165" i="53" s="1"/>
  <c r="BR166" i="53"/>
  <c r="BT166" i="53" s="1"/>
  <c r="BR167" i="53"/>
  <c r="BT167" i="53" s="1"/>
  <c r="BR168" i="53"/>
  <c r="BT168" i="53" s="1"/>
  <c r="BR169" i="53"/>
  <c r="BT169" i="53" s="1"/>
  <c r="BR170" i="53"/>
  <c r="BT170" i="53" s="1"/>
  <c r="BR171" i="53"/>
  <c r="BT171" i="53" s="1"/>
  <c r="BR172" i="53"/>
  <c r="BT172" i="53" s="1"/>
  <c r="BR173" i="53"/>
  <c r="BT173" i="53" s="1"/>
  <c r="BR174" i="53"/>
  <c r="BT174" i="53" s="1"/>
  <c r="BR175" i="53"/>
  <c r="BT175" i="53" s="1"/>
  <c r="BR176" i="53"/>
  <c r="BT176" i="53" s="1"/>
  <c r="BR177" i="53"/>
  <c r="BT177" i="53" s="1"/>
  <c r="BR178" i="53"/>
  <c r="BT178" i="53" s="1"/>
  <c r="BR179" i="53"/>
  <c r="BT179" i="53" s="1"/>
  <c r="BR180" i="53"/>
  <c r="BT180" i="53" s="1"/>
  <c r="BR181" i="53"/>
  <c r="BT181" i="53" s="1"/>
  <c r="BR182" i="53"/>
  <c r="BT182" i="53" s="1"/>
  <c r="BR183" i="53"/>
  <c r="BT183" i="53" s="1"/>
  <c r="BR184" i="53"/>
  <c r="BT184" i="53" s="1"/>
  <c r="BR185" i="53"/>
  <c r="BT185" i="53" s="1"/>
  <c r="BR186" i="53"/>
  <c r="BT186" i="53" s="1"/>
  <c r="BR187" i="53"/>
  <c r="BT187" i="53" s="1"/>
  <c r="BR188" i="53"/>
  <c r="BT188" i="53" s="1"/>
  <c r="BR189" i="53"/>
  <c r="BT189" i="53" s="1"/>
  <c r="BR190" i="53"/>
  <c r="BT190" i="53" s="1"/>
  <c r="BR191" i="53"/>
  <c r="BT191" i="53" s="1"/>
  <c r="BR192" i="53"/>
  <c r="BT192" i="53" s="1"/>
  <c r="BR193" i="53"/>
  <c r="BT193" i="53" s="1"/>
  <c r="BR194" i="53"/>
  <c r="BT194" i="53" s="1"/>
  <c r="BR195" i="53"/>
  <c r="BT195" i="53" s="1"/>
  <c r="BR196" i="53"/>
  <c r="BT196" i="53" s="1"/>
  <c r="BR197" i="53"/>
  <c r="BT197" i="53" s="1"/>
  <c r="BR198" i="53"/>
  <c r="BT198" i="53" s="1"/>
  <c r="BR199" i="53"/>
  <c r="BT199" i="53" s="1"/>
  <c r="BR200" i="53"/>
  <c r="BT200" i="53" s="1"/>
  <c r="BR201" i="53"/>
  <c r="BT201" i="53" s="1"/>
  <c r="BR202" i="53"/>
  <c r="BT202" i="53" s="1"/>
  <c r="BR203" i="53"/>
  <c r="BT203" i="53" s="1"/>
  <c r="BR204" i="53"/>
  <c r="BT204" i="53" s="1"/>
  <c r="BR205" i="53"/>
  <c r="BT205" i="53" s="1"/>
  <c r="BR206" i="53"/>
  <c r="BT206" i="53" s="1"/>
  <c r="BR207" i="53"/>
  <c r="BT207" i="53" s="1"/>
  <c r="BR208" i="53"/>
  <c r="BT208" i="53" s="1"/>
  <c r="BR209" i="53"/>
  <c r="BT209" i="53" s="1"/>
  <c r="BR210" i="53"/>
  <c r="BT210" i="53" s="1"/>
  <c r="BR211" i="53"/>
  <c r="BT211" i="53" s="1"/>
  <c r="BR212" i="53"/>
  <c r="BT212" i="53" s="1"/>
  <c r="BR213" i="53"/>
  <c r="BT213" i="53" s="1"/>
  <c r="BR214" i="53"/>
  <c r="BT214" i="53" s="1"/>
  <c r="BR215" i="53"/>
  <c r="BT215" i="53" s="1"/>
  <c r="BR216" i="53"/>
  <c r="BT216" i="53" s="1"/>
  <c r="BR217" i="53"/>
  <c r="BT217" i="53" s="1"/>
  <c r="BR218" i="53"/>
  <c r="BT218" i="53" s="1"/>
  <c r="BR219" i="53"/>
  <c r="BT219" i="53" s="1"/>
  <c r="BR220" i="53"/>
  <c r="BT220" i="53" s="1"/>
  <c r="BR221" i="53"/>
  <c r="BT221" i="53" s="1"/>
  <c r="BR222" i="53"/>
  <c r="BT222" i="53" s="1"/>
  <c r="BR223" i="53"/>
  <c r="BT223" i="53" s="1"/>
  <c r="BR224" i="53"/>
  <c r="BT224" i="53" s="1"/>
  <c r="BR225" i="53"/>
  <c r="BT225" i="53" s="1"/>
  <c r="BR226" i="53"/>
  <c r="BT226" i="53" s="1"/>
  <c r="BR227" i="53"/>
  <c r="BT227" i="53" s="1"/>
  <c r="BR228" i="53"/>
  <c r="BT228" i="53" s="1"/>
  <c r="BR229" i="53"/>
  <c r="BT229" i="53" s="1"/>
  <c r="BR230" i="53"/>
  <c r="BT230" i="53" s="1"/>
  <c r="BR231" i="53"/>
  <c r="BT231" i="53" s="1"/>
  <c r="BR232" i="53"/>
  <c r="BT232" i="53" s="1"/>
  <c r="BR233" i="53"/>
  <c r="BT233" i="53" s="1"/>
  <c r="BR234" i="53"/>
  <c r="BT234" i="53" s="1"/>
  <c r="BR235" i="53"/>
  <c r="BT235" i="53" s="1"/>
  <c r="BR236" i="53"/>
  <c r="BT236" i="53" s="1"/>
  <c r="BR237" i="53"/>
  <c r="BT237" i="53" s="1"/>
  <c r="BR238" i="53"/>
  <c r="BT238" i="53" s="1"/>
  <c r="BR239" i="53"/>
  <c r="BT239" i="53" s="1"/>
  <c r="BR240" i="53"/>
  <c r="BT240" i="53" s="1"/>
  <c r="BR241" i="53"/>
  <c r="BT241" i="53" s="1"/>
  <c r="BR242" i="53"/>
  <c r="BT242" i="53" s="1"/>
  <c r="BR243" i="53"/>
  <c r="BT243" i="53" s="1"/>
  <c r="BR244" i="53"/>
  <c r="BT244" i="53" s="1"/>
  <c r="BR245" i="53"/>
  <c r="BT245" i="53" s="1"/>
  <c r="BR246" i="53"/>
  <c r="BT246" i="53" s="1"/>
  <c r="BR247" i="53"/>
  <c r="BT247" i="53" s="1"/>
  <c r="BR248" i="53"/>
  <c r="BT248" i="53" s="1"/>
  <c r="BR249" i="53"/>
  <c r="BT249" i="53" s="1"/>
  <c r="BR250" i="53"/>
  <c r="BT250" i="53" s="1"/>
  <c r="BR251" i="53"/>
  <c r="BT251" i="53" s="1"/>
  <c r="BR252" i="53"/>
  <c r="BT252" i="53" s="1"/>
  <c r="BR253" i="53"/>
  <c r="BT253" i="53" s="1"/>
  <c r="BR254" i="53"/>
  <c r="BT254" i="53" s="1"/>
  <c r="BR255" i="53"/>
  <c r="BT255" i="53" s="1"/>
  <c r="BR256" i="53"/>
  <c r="BT256" i="53" s="1"/>
  <c r="BR257" i="53"/>
  <c r="BT257" i="53" s="1"/>
  <c r="BR258" i="53"/>
  <c r="BT258" i="53" s="1"/>
  <c r="BR259" i="53"/>
  <c r="BT259" i="53" s="1"/>
  <c r="BR260" i="53"/>
  <c r="BT260" i="53" s="1"/>
  <c r="BR261" i="53"/>
  <c r="BT261" i="53" s="1"/>
  <c r="BR262" i="53"/>
  <c r="BT262" i="53" s="1"/>
  <c r="BR263" i="53"/>
  <c r="BT263" i="53" s="1"/>
  <c r="BR264" i="53"/>
  <c r="BT264" i="53" s="1"/>
  <c r="BR265" i="53"/>
  <c r="BT265" i="53" s="1"/>
  <c r="BR266" i="53"/>
  <c r="BT266" i="53" s="1"/>
  <c r="BR267" i="53"/>
  <c r="BT267" i="53" s="1"/>
  <c r="BR268" i="53"/>
  <c r="BT268" i="53" s="1"/>
  <c r="BR269" i="53"/>
  <c r="BT269" i="53" s="1"/>
  <c r="BR270" i="53"/>
  <c r="BT270" i="53" s="1"/>
  <c r="BR271" i="53"/>
  <c r="BT271" i="53" s="1"/>
  <c r="BR272" i="53"/>
  <c r="BT272" i="53" s="1"/>
  <c r="BR273" i="53"/>
  <c r="BT273" i="53" s="1"/>
  <c r="BR274" i="53"/>
  <c r="BT274" i="53" s="1"/>
  <c r="BR275" i="53"/>
  <c r="BT275" i="53" s="1"/>
  <c r="BR276" i="53"/>
  <c r="BT276" i="53" s="1"/>
  <c r="BR277" i="53"/>
  <c r="BT277" i="53" s="1"/>
  <c r="BR278" i="53"/>
  <c r="BT278" i="53" s="1"/>
  <c r="BR279" i="53"/>
  <c r="BT279" i="53" s="1"/>
  <c r="BR280" i="53"/>
  <c r="BT280" i="53" s="1"/>
  <c r="BR281" i="53"/>
  <c r="BT281" i="53" s="1"/>
  <c r="BR282" i="53"/>
  <c r="BT282" i="53" s="1"/>
  <c r="BR283" i="53"/>
  <c r="BT283" i="53" s="1"/>
  <c r="BR284" i="53"/>
  <c r="BT284" i="53" s="1"/>
  <c r="BR285" i="53"/>
  <c r="BT285" i="53" s="1"/>
  <c r="BR286" i="53"/>
  <c r="BT286" i="53" s="1"/>
  <c r="BR287" i="53"/>
  <c r="BT287" i="53" s="1"/>
  <c r="BR288" i="53"/>
  <c r="BT288" i="53" s="1"/>
  <c r="BR289" i="53"/>
  <c r="BT289" i="53" s="1"/>
  <c r="BR290" i="53"/>
  <c r="BT290" i="53" s="1"/>
  <c r="BR291" i="53"/>
  <c r="BT291" i="53" s="1"/>
  <c r="BR292" i="53"/>
  <c r="BT292" i="53" s="1"/>
  <c r="BR293" i="53"/>
  <c r="BT293" i="53" s="1"/>
  <c r="BR294" i="53"/>
  <c r="BT294" i="53" s="1"/>
  <c r="BR295" i="53"/>
  <c r="BT295" i="53" s="1"/>
  <c r="BR296" i="53"/>
  <c r="BT296" i="53" s="1"/>
  <c r="BR297" i="53"/>
  <c r="BT297" i="53" s="1"/>
  <c r="BR298" i="53"/>
  <c r="BT298" i="53" s="1"/>
  <c r="BR299" i="53"/>
  <c r="BT299" i="53" s="1"/>
  <c r="BR300" i="53"/>
  <c r="BT300" i="53" s="1"/>
  <c r="BR301" i="53"/>
  <c r="BT301" i="53" s="1"/>
  <c r="BR302" i="53"/>
  <c r="BT302" i="53" s="1"/>
  <c r="BR303" i="53"/>
  <c r="BT303" i="53" s="1"/>
  <c r="BR304" i="53"/>
  <c r="BT304" i="53" s="1"/>
  <c r="BR305" i="53"/>
  <c r="BT305" i="53" s="1"/>
  <c r="BR306" i="53"/>
  <c r="BT306" i="53" s="1"/>
  <c r="BR307" i="53"/>
  <c r="BT307" i="53" s="1"/>
  <c r="BR308" i="53"/>
  <c r="BT308" i="53" s="1"/>
  <c r="BR309" i="53"/>
  <c r="BT309" i="53" s="1"/>
  <c r="BR310" i="53"/>
  <c r="BT310" i="53" s="1"/>
  <c r="BR311" i="53"/>
  <c r="BT311" i="53" s="1"/>
  <c r="BR312" i="53"/>
  <c r="BT312" i="53" s="1"/>
  <c r="BR313" i="53"/>
  <c r="BT313" i="53" s="1"/>
  <c r="BR314" i="53"/>
  <c r="BT314" i="53" s="1"/>
  <c r="BR315" i="53"/>
  <c r="BT315" i="53" s="1"/>
  <c r="BR316" i="53"/>
  <c r="BT316" i="53" s="1"/>
  <c r="BR317" i="53"/>
  <c r="BT317" i="53" s="1"/>
  <c r="BR318" i="53"/>
  <c r="BT318" i="53" s="1"/>
  <c r="BR319" i="53"/>
  <c r="BT319" i="53" s="1"/>
  <c r="BR320" i="53"/>
  <c r="BT320" i="53" s="1"/>
  <c r="BR321" i="53"/>
  <c r="BT321" i="53" s="1"/>
  <c r="BR322" i="53"/>
  <c r="BT322" i="53" s="1"/>
  <c r="BR323" i="53"/>
  <c r="BT323" i="53" s="1"/>
  <c r="BR324" i="53"/>
  <c r="BT324" i="53" s="1"/>
  <c r="BR325" i="53"/>
  <c r="BT325" i="53" s="1"/>
  <c r="BR326" i="53"/>
  <c r="BT326" i="53" s="1"/>
  <c r="BR327" i="53"/>
  <c r="BT327" i="53" s="1"/>
  <c r="BR328" i="53"/>
  <c r="BT328" i="53" s="1"/>
  <c r="BR329" i="53"/>
  <c r="BT329" i="53" s="1"/>
  <c r="BR330" i="53"/>
  <c r="BT330" i="53" s="1"/>
  <c r="BR331" i="53"/>
  <c r="BT331" i="53" s="1"/>
  <c r="BR332" i="53"/>
  <c r="BT332" i="53" s="1"/>
  <c r="BR333" i="53"/>
  <c r="BT333" i="53" s="1"/>
  <c r="BR334" i="53"/>
  <c r="BT334" i="53" s="1"/>
  <c r="BR335" i="53"/>
  <c r="BT335" i="53" s="1"/>
  <c r="BR336" i="53"/>
  <c r="BT336" i="53" s="1"/>
  <c r="BR337" i="53"/>
  <c r="BT337" i="53" s="1"/>
  <c r="BR338" i="53"/>
  <c r="BT338" i="53" s="1"/>
  <c r="BR339" i="53"/>
  <c r="BT339" i="53" s="1"/>
  <c r="BR340" i="53"/>
  <c r="BT340" i="53" s="1"/>
  <c r="BR341" i="53"/>
  <c r="BT341" i="53" s="1"/>
  <c r="BR342" i="53"/>
  <c r="BT342" i="53" s="1"/>
  <c r="BR343" i="53"/>
  <c r="BT343" i="53" s="1"/>
  <c r="BR344" i="53"/>
  <c r="BT344" i="53" s="1"/>
  <c r="BR345" i="53"/>
  <c r="BT345" i="53" s="1"/>
  <c r="BR346" i="53"/>
  <c r="BT346" i="53" s="1"/>
  <c r="BR347" i="53"/>
  <c r="BT347" i="53" s="1"/>
  <c r="BR348" i="53"/>
  <c r="BT348" i="53" s="1"/>
  <c r="BR349" i="53"/>
  <c r="BT349" i="53" s="1"/>
  <c r="BR350" i="53"/>
  <c r="BT350" i="53" s="1"/>
  <c r="BR351" i="53"/>
  <c r="BT351" i="53" s="1"/>
  <c r="BR352" i="53"/>
  <c r="BT352" i="53" s="1"/>
  <c r="BR353" i="53"/>
  <c r="BT353" i="53" s="1"/>
  <c r="BR354" i="53"/>
  <c r="BT354" i="53" s="1"/>
  <c r="BR355" i="53"/>
  <c r="BT355" i="53" s="1"/>
  <c r="BR356" i="53"/>
  <c r="BT356" i="53" s="1"/>
  <c r="BR357" i="53"/>
  <c r="BT357" i="53" s="1"/>
  <c r="BR358" i="53"/>
  <c r="BT358" i="53" s="1"/>
  <c r="BR359" i="53"/>
  <c r="BT359" i="53" s="1"/>
  <c r="BR360" i="53"/>
  <c r="BT360" i="53" s="1"/>
  <c r="BR361" i="53"/>
  <c r="BT361" i="53" s="1"/>
  <c r="BR362" i="53"/>
  <c r="BT362" i="53" s="1"/>
  <c r="BR363" i="53"/>
  <c r="BT363" i="53" s="1"/>
  <c r="BR364" i="53"/>
  <c r="BT364" i="53" s="1"/>
  <c r="BR365" i="53"/>
  <c r="BT365" i="53" s="1"/>
  <c r="BR366" i="53"/>
  <c r="BT366" i="53" s="1"/>
  <c r="BZ3" i="53"/>
  <c r="CB3" i="53" s="1"/>
  <c r="BZ4" i="53"/>
  <c r="CB4" i="53" s="1"/>
  <c r="BZ5" i="53"/>
  <c r="CB5" i="53" s="1"/>
  <c r="BZ6" i="53"/>
  <c r="CB6" i="53" s="1"/>
  <c r="BZ7" i="53"/>
  <c r="CB7" i="53" s="1"/>
  <c r="BZ8" i="53"/>
  <c r="CB8" i="53" s="1"/>
  <c r="BZ9" i="53"/>
  <c r="CB9" i="53" s="1"/>
  <c r="BZ10" i="53"/>
  <c r="CB10" i="53" s="1"/>
  <c r="BZ11" i="53"/>
  <c r="CB11" i="53" s="1"/>
  <c r="BZ12" i="53"/>
  <c r="CB12" i="53" s="1"/>
  <c r="BZ13" i="53"/>
  <c r="CB13" i="53" s="1"/>
  <c r="BZ14" i="53"/>
  <c r="CB14" i="53" s="1"/>
  <c r="BZ15" i="53"/>
  <c r="CB15" i="53" s="1"/>
  <c r="BZ16" i="53"/>
  <c r="CB16" i="53" s="1"/>
  <c r="BZ17" i="53"/>
  <c r="CB17" i="53" s="1"/>
  <c r="BZ18" i="53"/>
  <c r="CB18" i="53" s="1"/>
  <c r="BZ19" i="53"/>
  <c r="CB19" i="53" s="1"/>
  <c r="BZ20" i="53"/>
  <c r="CB20" i="53" s="1"/>
  <c r="BZ21" i="53"/>
  <c r="CB21" i="53" s="1"/>
  <c r="BZ22" i="53"/>
  <c r="CB22" i="53" s="1"/>
  <c r="BZ23" i="53"/>
  <c r="CB23" i="53" s="1"/>
  <c r="BZ24" i="53"/>
  <c r="CB24" i="53" s="1"/>
  <c r="BZ25" i="53"/>
  <c r="CB25" i="53" s="1"/>
  <c r="BZ26" i="53"/>
  <c r="CB26" i="53" s="1"/>
  <c r="BZ27" i="53"/>
  <c r="CB27" i="53" s="1"/>
  <c r="BZ28" i="53"/>
  <c r="CB28" i="53" s="1"/>
  <c r="BZ29" i="53"/>
  <c r="CB29" i="53" s="1"/>
  <c r="BZ30" i="53"/>
  <c r="CB30" i="53" s="1"/>
  <c r="BZ31" i="53"/>
  <c r="CB31" i="53" s="1"/>
  <c r="BZ32" i="53"/>
  <c r="CB32" i="53" s="1"/>
  <c r="BZ33" i="53"/>
  <c r="CB33" i="53" s="1"/>
  <c r="BZ34" i="53"/>
  <c r="CB34" i="53" s="1"/>
  <c r="BZ35" i="53"/>
  <c r="CB35" i="53" s="1"/>
  <c r="BZ36" i="53"/>
  <c r="CB36" i="53" s="1"/>
  <c r="BZ37" i="53"/>
  <c r="CB37" i="53" s="1"/>
  <c r="BZ38" i="53"/>
  <c r="CB38" i="53" s="1"/>
  <c r="BZ39" i="53"/>
  <c r="CB39" i="53" s="1"/>
  <c r="BZ40" i="53"/>
  <c r="CB40" i="53" s="1"/>
  <c r="BZ41" i="53"/>
  <c r="CB41" i="53" s="1"/>
  <c r="BZ42" i="53"/>
  <c r="CB42" i="53" s="1"/>
  <c r="BZ43" i="53"/>
  <c r="CB43" i="53" s="1"/>
  <c r="BZ44" i="53"/>
  <c r="CB44" i="53" s="1"/>
  <c r="BZ45" i="53"/>
  <c r="CB45" i="53" s="1"/>
  <c r="BZ46" i="53"/>
  <c r="CB46" i="53" s="1"/>
  <c r="BZ47" i="53"/>
  <c r="CB47" i="53" s="1"/>
  <c r="BZ48" i="53"/>
  <c r="CB48" i="53" s="1"/>
  <c r="BZ49" i="53"/>
  <c r="CB49" i="53" s="1"/>
  <c r="BZ50" i="53"/>
  <c r="CB50" i="53" s="1"/>
  <c r="BZ51" i="53"/>
  <c r="CB51" i="53" s="1"/>
  <c r="BZ52" i="53"/>
  <c r="CB52" i="53" s="1"/>
  <c r="BZ53" i="53"/>
  <c r="CB53" i="53" s="1"/>
  <c r="BZ54" i="53"/>
  <c r="CB54" i="53" s="1"/>
  <c r="BZ55" i="53"/>
  <c r="CB55" i="53" s="1"/>
  <c r="BZ56" i="53"/>
  <c r="CB56" i="53" s="1"/>
  <c r="BZ57" i="53"/>
  <c r="CB57" i="53" s="1"/>
  <c r="BZ58" i="53"/>
  <c r="CB58" i="53" s="1"/>
  <c r="BZ59" i="53"/>
  <c r="CB59" i="53" s="1"/>
  <c r="BZ60" i="53"/>
  <c r="CB60" i="53" s="1"/>
  <c r="BZ61" i="53"/>
  <c r="CB61" i="53" s="1"/>
  <c r="BZ62" i="53"/>
  <c r="CB62" i="53" s="1"/>
  <c r="BZ63" i="53"/>
  <c r="CB63" i="53" s="1"/>
  <c r="BZ64" i="53"/>
  <c r="CB64" i="53" s="1"/>
  <c r="BZ65" i="53"/>
  <c r="CB65" i="53" s="1"/>
  <c r="BZ66" i="53"/>
  <c r="CB66" i="53" s="1"/>
  <c r="BZ67" i="53"/>
  <c r="CB67" i="53" s="1"/>
  <c r="BZ68" i="53"/>
  <c r="CB68" i="53" s="1"/>
  <c r="BZ69" i="53"/>
  <c r="CB69" i="53" s="1"/>
  <c r="BZ70" i="53"/>
  <c r="CB70" i="53" s="1"/>
  <c r="BZ71" i="53"/>
  <c r="CB71" i="53" s="1"/>
  <c r="BZ72" i="53"/>
  <c r="CB72" i="53" s="1"/>
  <c r="BZ73" i="53"/>
  <c r="CB73" i="53" s="1"/>
  <c r="BZ74" i="53"/>
  <c r="CB74" i="53" s="1"/>
  <c r="BZ75" i="53"/>
  <c r="CB75" i="53" s="1"/>
  <c r="BZ76" i="53"/>
  <c r="CB76" i="53" s="1"/>
  <c r="BZ77" i="53"/>
  <c r="CB77" i="53" s="1"/>
  <c r="BZ78" i="53"/>
  <c r="CB78" i="53" s="1"/>
  <c r="BZ79" i="53"/>
  <c r="CB79" i="53" s="1"/>
  <c r="BZ80" i="53"/>
  <c r="CB80" i="53" s="1"/>
  <c r="BZ81" i="53"/>
  <c r="CB81" i="53" s="1"/>
  <c r="BZ82" i="53"/>
  <c r="CB82" i="53" s="1"/>
  <c r="BZ83" i="53"/>
  <c r="CB83" i="53" s="1"/>
  <c r="BZ84" i="53"/>
  <c r="CB84" i="53" s="1"/>
  <c r="BZ85" i="53"/>
  <c r="CB85" i="53" s="1"/>
  <c r="BZ86" i="53"/>
  <c r="CB86" i="53" s="1"/>
  <c r="BZ87" i="53"/>
  <c r="CB87" i="53" s="1"/>
  <c r="BZ88" i="53"/>
  <c r="CB88" i="53" s="1"/>
  <c r="BZ89" i="53"/>
  <c r="CB89" i="53" s="1"/>
  <c r="BZ90" i="53"/>
  <c r="CB90" i="53" s="1"/>
  <c r="BZ91" i="53"/>
  <c r="CB91" i="53" s="1"/>
  <c r="BZ92" i="53"/>
  <c r="CB92" i="53" s="1"/>
  <c r="BZ93" i="53"/>
  <c r="CB93" i="53" s="1"/>
  <c r="BZ94" i="53"/>
  <c r="CB94" i="53" s="1"/>
  <c r="BZ95" i="53"/>
  <c r="CB95" i="53" s="1"/>
  <c r="BZ96" i="53"/>
  <c r="CB96" i="53" s="1"/>
  <c r="BZ97" i="53"/>
  <c r="CB97" i="53" s="1"/>
  <c r="BZ98" i="53"/>
  <c r="CB98" i="53" s="1"/>
  <c r="BZ99" i="53"/>
  <c r="CB99" i="53" s="1"/>
  <c r="BZ100" i="53"/>
  <c r="CB100" i="53" s="1"/>
  <c r="BZ101" i="53"/>
  <c r="CB101" i="53" s="1"/>
  <c r="BZ102" i="53"/>
  <c r="CB102" i="53" s="1"/>
  <c r="BZ103" i="53"/>
  <c r="CB103" i="53" s="1"/>
  <c r="BZ104" i="53"/>
  <c r="CB104" i="53" s="1"/>
  <c r="BZ105" i="53"/>
  <c r="CB105" i="53" s="1"/>
  <c r="BZ106" i="53"/>
  <c r="CB106" i="53" s="1"/>
  <c r="BZ107" i="53"/>
  <c r="CB107" i="53" s="1"/>
  <c r="BZ108" i="53"/>
  <c r="CB108" i="53" s="1"/>
  <c r="BZ109" i="53"/>
  <c r="CB109" i="53" s="1"/>
  <c r="BZ110" i="53"/>
  <c r="CB110" i="53" s="1"/>
  <c r="BZ111" i="53"/>
  <c r="CB111" i="53" s="1"/>
  <c r="BZ112" i="53"/>
  <c r="CB112" i="53" s="1"/>
  <c r="BZ113" i="53"/>
  <c r="CB113" i="53" s="1"/>
  <c r="BZ114" i="53"/>
  <c r="CB114" i="53" s="1"/>
  <c r="BZ115" i="53"/>
  <c r="CB115" i="53" s="1"/>
  <c r="BZ116" i="53"/>
  <c r="CB116" i="53" s="1"/>
  <c r="BZ117" i="53"/>
  <c r="CB117" i="53" s="1"/>
  <c r="BZ118" i="53"/>
  <c r="CB118" i="53" s="1"/>
  <c r="BZ119" i="53"/>
  <c r="CB119" i="53" s="1"/>
  <c r="BZ120" i="53"/>
  <c r="CB120" i="53" s="1"/>
  <c r="BZ121" i="53"/>
  <c r="CB121" i="53" s="1"/>
  <c r="BZ122" i="53"/>
  <c r="CB122" i="53" s="1"/>
  <c r="BZ123" i="53"/>
  <c r="CB123" i="53" s="1"/>
  <c r="BZ124" i="53"/>
  <c r="CB124" i="53" s="1"/>
  <c r="BZ125" i="53"/>
  <c r="CB125" i="53" s="1"/>
  <c r="BZ126" i="53"/>
  <c r="CB126" i="53" s="1"/>
  <c r="BZ127" i="53"/>
  <c r="CB127" i="53" s="1"/>
  <c r="BZ128" i="53"/>
  <c r="CB128" i="53" s="1"/>
  <c r="BZ129" i="53"/>
  <c r="CB129" i="53" s="1"/>
  <c r="BZ130" i="53"/>
  <c r="CB130" i="53" s="1"/>
  <c r="BZ131" i="53"/>
  <c r="CB131" i="53" s="1"/>
  <c r="BZ132" i="53"/>
  <c r="CB132" i="53" s="1"/>
  <c r="BZ133" i="53"/>
  <c r="CB133" i="53" s="1"/>
  <c r="BZ134" i="53"/>
  <c r="CB134" i="53" s="1"/>
  <c r="BZ135" i="53"/>
  <c r="CB135" i="53" s="1"/>
  <c r="BZ136" i="53"/>
  <c r="CB136" i="53" s="1"/>
  <c r="BZ137" i="53"/>
  <c r="CB137" i="53" s="1"/>
  <c r="BZ138" i="53"/>
  <c r="CB138" i="53" s="1"/>
  <c r="BZ139" i="53"/>
  <c r="CB139" i="53" s="1"/>
  <c r="BZ140" i="53"/>
  <c r="CB140" i="53" s="1"/>
  <c r="BZ141" i="53"/>
  <c r="CB141" i="53" s="1"/>
  <c r="BZ142" i="53"/>
  <c r="CB142" i="53" s="1"/>
  <c r="BZ143" i="53"/>
  <c r="CB143" i="53" s="1"/>
  <c r="BZ144" i="53"/>
  <c r="CB144" i="53" s="1"/>
  <c r="BZ145" i="53"/>
  <c r="CB145" i="53" s="1"/>
  <c r="BZ146" i="53"/>
  <c r="CB146" i="53" s="1"/>
  <c r="BZ147" i="53"/>
  <c r="CB147" i="53" s="1"/>
  <c r="BZ148" i="53"/>
  <c r="CB148" i="53" s="1"/>
  <c r="BZ149" i="53"/>
  <c r="CB149" i="53" s="1"/>
  <c r="BZ150" i="53"/>
  <c r="CB150" i="53" s="1"/>
  <c r="BZ151" i="53"/>
  <c r="CB151" i="53" s="1"/>
  <c r="BZ152" i="53"/>
  <c r="CB152" i="53" s="1"/>
  <c r="BZ153" i="53"/>
  <c r="CB153" i="53" s="1"/>
  <c r="BZ154" i="53"/>
  <c r="CB154" i="53" s="1"/>
  <c r="BZ155" i="53"/>
  <c r="CB155" i="53" s="1"/>
  <c r="BZ156" i="53"/>
  <c r="CB156" i="53" s="1"/>
  <c r="BZ157" i="53"/>
  <c r="CB157" i="53" s="1"/>
  <c r="BZ158" i="53"/>
  <c r="CB158" i="53" s="1"/>
  <c r="BZ159" i="53"/>
  <c r="CB159" i="53" s="1"/>
  <c r="BZ160" i="53"/>
  <c r="CB160" i="53" s="1"/>
  <c r="BZ161" i="53"/>
  <c r="CB161" i="53" s="1"/>
  <c r="BZ162" i="53"/>
  <c r="CB162" i="53" s="1"/>
  <c r="BZ163" i="53"/>
  <c r="CB163" i="53" s="1"/>
  <c r="BZ164" i="53"/>
  <c r="CB164" i="53" s="1"/>
  <c r="BZ165" i="53"/>
  <c r="CB165" i="53" s="1"/>
  <c r="BZ166" i="53"/>
  <c r="CB166" i="53" s="1"/>
  <c r="BZ167" i="53"/>
  <c r="CB167" i="53" s="1"/>
  <c r="BZ168" i="53"/>
  <c r="CB168" i="53" s="1"/>
  <c r="BZ169" i="53"/>
  <c r="CB169" i="53" s="1"/>
  <c r="BZ170" i="53"/>
  <c r="CB170" i="53" s="1"/>
  <c r="BZ171" i="53"/>
  <c r="CB171" i="53" s="1"/>
  <c r="BZ172" i="53"/>
  <c r="CB172" i="53" s="1"/>
  <c r="BZ173" i="53"/>
  <c r="CB173" i="53" s="1"/>
  <c r="BZ174" i="53"/>
  <c r="CB174" i="53" s="1"/>
  <c r="BZ175" i="53"/>
  <c r="CB175" i="53" s="1"/>
  <c r="BZ176" i="53"/>
  <c r="CB176" i="53" s="1"/>
  <c r="BZ177" i="53"/>
  <c r="CB177" i="53" s="1"/>
  <c r="BZ178" i="53"/>
  <c r="CB178" i="53" s="1"/>
  <c r="BZ179" i="53"/>
  <c r="CB179" i="53" s="1"/>
  <c r="BZ180" i="53"/>
  <c r="CB180" i="53" s="1"/>
  <c r="BZ181" i="53"/>
  <c r="CB181" i="53" s="1"/>
  <c r="BZ182" i="53"/>
  <c r="CB182" i="53" s="1"/>
  <c r="BZ183" i="53"/>
  <c r="CB183" i="53" s="1"/>
  <c r="BZ184" i="53"/>
  <c r="CB184" i="53" s="1"/>
  <c r="BZ185" i="53"/>
  <c r="CB185" i="53" s="1"/>
  <c r="BZ186" i="53"/>
  <c r="CB186" i="53" s="1"/>
  <c r="BZ187" i="53"/>
  <c r="CB187" i="53" s="1"/>
  <c r="BZ188" i="53"/>
  <c r="CB188" i="53" s="1"/>
  <c r="BZ189" i="53"/>
  <c r="CB189" i="53" s="1"/>
  <c r="BZ190" i="53"/>
  <c r="CB190" i="53" s="1"/>
  <c r="BZ191" i="53"/>
  <c r="CB191" i="53" s="1"/>
  <c r="BZ192" i="53"/>
  <c r="CB192" i="53" s="1"/>
  <c r="BZ193" i="53"/>
  <c r="CB193" i="53" s="1"/>
  <c r="BZ194" i="53"/>
  <c r="CB194" i="53" s="1"/>
  <c r="BZ195" i="53"/>
  <c r="CB195" i="53" s="1"/>
  <c r="BZ196" i="53"/>
  <c r="CB196" i="53" s="1"/>
  <c r="BZ197" i="53"/>
  <c r="CB197" i="53" s="1"/>
  <c r="BZ198" i="53"/>
  <c r="CB198" i="53" s="1"/>
  <c r="BZ199" i="53"/>
  <c r="CB199" i="53" s="1"/>
  <c r="BZ200" i="53"/>
  <c r="CB200" i="53" s="1"/>
  <c r="BZ201" i="53"/>
  <c r="CB201" i="53" s="1"/>
  <c r="BZ202" i="53"/>
  <c r="CB202" i="53" s="1"/>
  <c r="BZ203" i="53"/>
  <c r="CB203" i="53" s="1"/>
  <c r="BZ204" i="53"/>
  <c r="CB204" i="53" s="1"/>
  <c r="BZ205" i="53"/>
  <c r="CB205" i="53" s="1"/>
  <c r="BZ206" i="53"/>
  <c r="CB206" i="53" s="1"/>
  <c r="BZ207" i="53"/>
  <c r="CB207" i="53" s="1"/>
  <c r="BZ208" i="53"/>
  <c r="CB208" i="53" s="1"/>
  <c r="BZ209" i="53"/>
  <c r="CB209" i="53" s="1"/>
  <c r="BZ210" i="53"/>
  <c r="CB210" i="53" s="1"/>
  <c r="BZ211" i="53"/>
  <c r="CB211" i="53" s="1"/>
  <c r="BZ212" i="53"/>
  <c r="CB212" i="53" s="1"/>
  <c r="BZ213" i="53"/>
  <c r="CB213" i="53" s="1"/>
  <c r="BZ214" i="53"/>
  <c r="CB214" i="53" s="1"/>
  <c r="BZ215" i="53"/>
  <c r="CB215" i="53" s="1"/>
  <c r="BZ216" i="53"/>
  <c r="CB216" i="53" s="1"/>
  <c r="BZ217" i="53"/>
  <c r="CB217" i="53" s="1"/>
  <c r="BZ218" i="53"/>
  <c r="CB218" i="53" s="1"/>
  <c r="BZ219" i="53"/>
  <c r="CB219" i="53" s="1"/>
  <c r="BZ220" i="53"/>
  <c r="CB220" i="53" s="1"/>
  <c r="BZ221" i="53"/>
  <c r="CB221" i="53" s="1"/>
  <c r="BZ222" i="53"/>
  <c r="CB222" i="53" s="1"/>
  <c r="BZ223" i="53"/>
  <c r="CB223" i="53" s="1"/>
  <c r="BZ224" i="53"/>
  <c r="CB224" i="53" s="1"/>
  <c r="BZ225" i="53"/>
  <c r="CB225" i="53" s="1"/>
  <c r="BZ226" i="53"/>
  <c r="CB226" i="53" s="1"/>
  <c r="BZ227" i="53"/>
  <c r="CB227" i="53" s="1"/>
  <c r="BZ228" i="53"/>
  <c r="CB228" i="53" s="1"/>
  <c r="BZ229" i="53"/>
  <c r="CB229" i="53" s="1"/>
  <c r="BZ230" i="53"/>
  <c r="CB230" i="53" s="1"/>
  <c r="BZ231" i="53"/>
  <c r="CB231" i="53" s="1"/>
  <c r="BZ232" i="53"/>
  <c r="CB232" i="53" s="1"/>
  <c r="BZ233" i="53"/>
  <c r="CB233" i="53" s="1"/>
  <c r="BZ234" i="53"/>
  <c r="CB234" i="53" s="1"/>
  <c r="BZ235" i="53"/>
  <c r="CB235" i="53" s="1"/>
  <c r="BZ236" i="53"/>
  <c r="CB236" i="53" s="1"/>
  <c r="BZ237" i="53"/>
  <c r="CB237" i="53" s="1"/>
  <c r="BZ238" i="53"/>
  <c r="CB238" i="53" s="1"/>
  <c r="BZ239" i="53"/>
  <c r="CB239" i="53" s="1"/>
  <c r="BZ240" i="53"/>
  <c r="CB240" i="53" s="1"/>
  <c r="BZ241" i="53"/>
  <c r="CB241" i="53" s="1"/>
  <c r="BZ242" i="53"/>
  <c r="CB242" i="53" s="1"/>
  <c r="BZ243" i="53"/>
  <c r="CB243" i="53" s="1"/>
  <c r="BZ244" i="53"/>
  <c r="CB244" i="53" s="1"/>
  <c r="BZ245" i="53"/>
  <c r="CB245" i="53" s="1"/>
  <c r="BZ246" i="53"/>
  <c r="CB246" i="53" s="1"/>
  <c r="BZ247" i="53"/>
  <c r="CB247" i="53" s="1"/>
  <c r="BZ248" i="53"/>
  <c r="CB248" i="53" s="1"/>
  <c r="BZ249" i="53"/>
  <c r="CB249" i="53" s="1"/>
  <c r="BZ250" i="53"/>
  <c r="CB250" i="53" s="1"/>
  <c r="BZ251" i="53"/>
  <c r="CB251" i="53" s="1"/>
  <c r="BZ252" i="53"/>
  <c r="CB252" i="53" s="1"/>
  <c r="BZ253" i="53"/>
  <c r="CB253" i="53" s="1"/>
  <c r="BZ254" i="53"/>
  <c r="CB254" i="53" s="1"/>
  <c r="BZ255" i="53"/>
  <c r="CB255" i="53" s="1"/>
  <c r="BZ256" i="53"/>
  <c r="CB256" i="53" s="1"/>
  <c r="BZ257" i="53"/>
  <c r="CB257" i="53" s="1"/>
  <c r="BZ258" i="53"/>
  <c r="CB258" i="53" s="1"/>
  <c r="BZ259" i="53"/>
  <c r="CB259" i="53" s="1"/>
  <c r="BZ260" i="53"/>
  <c r="CB260" i="53" s="1"/>
  <c r="BZ261" i="53"/>
  <c r="CB261" i="53" s="1"/>
  <c r="BZ262" i="53"/>
  <c r="CB262" i="53" s="1"/>
  <c r="BZ263" i="53"/>
  <c r="CB263" i="53" s="1"/>
  <c r="BZ264" i="53"/>
  <c r="CB264" i="53" s="1"/>
  <c r="BZ265" i="53"/>
  <c r="CB265" i="53" s="1"/>
  <c r="BZ266" i="53"/>
  <c r="CB266" i="53" s="1"/>
  <c r="BZ267" i="53"/>
  <c r="CB267" i="53" s="1"/>
  <c r="BZ268" i="53"/>
  <c r="CB268" i="53" s="1"/>
  <c r="BZ269" i="53"/>
  <c r="CB269" i="53" s="1"/>
  <c r="BZ270" i="53"/>
  <c r="CB270" i="53" s="1"/>
  <c r="BZ271" i="53"/>
  <c r="CB271" i="53" s="1"/>
  <c r="BZ272" i="53"/>
  <c r="CB272" i="53" s="1"/>
  <c r="BZ273" i="53"/>
  <c r="CB273" i="53" s="1"/>
  <c r="BZ274" i="53"/>
  <c r="CB274" i="53" s="1"/>
  <c r="BZ275" i="53"/>
  <c r="CB275" i="53" s="1"/>
  <c r="BZ276" i="53"/>
  <c r="CB276" i="53" s="1"/>
  <c r="BZ277" i="53"/>
  <c r="CB277" i="53" s="1"/>
  <c r="BZ278" i="53"/>
  <c r="CB278" i="53" s="1"/>
  <c r="BZ279" i="53"/>
  <c r="CB279" i="53" s="1"/>
  <c r="BZ280" i="53"/>
  <c r="CB280" i="53" s="1"/>
  <c r="BZ281" i="53"/>
  <c r="CB281" i="53" s="1"/>
  <c r="BZ282" i="53"/>
  <c r="CB282" i="53" s="1"/>
  <c r="BZ283" i="53"/>
  <c r="CB283" i="53" s="1"/>
  <c r="BZ284" i="53"/>
  <c r="CB284" i="53" s="1"/>
  <c r="BZ285" i="53"/>
  <c r="CB285" i="53" s="1"/>
  <c r="BZ286" i="53"/>
  <c r="CB286" i="53" s="1"/>
  <c r="BZ287" i="53"/>
  <c r="CB287" i="53" s="1"/>
  <c r="BZ288" i="53"/>
  <c r="CB288" i="53" s="1"/>
  <c r="BZ289" i="53"/>
  <c r="CB289" i="53" s="1"/>
  <c r="BZ290" i="53"/>
  <c r="CB290" i="53" s="1"/>
  <c r="BZ291" i="53"/>
  <c r="CB291" i="53" s="1"/>
  <c r="BZ292" i="53"/>
  <c r="CB292" i="53" s="1"/>
  <c r="BZ293" i="53"/>
  <c r="CB293" i="53" s="1"/>
  <c r="BZ294" i="53"/>
  <c r="CB294" i="53" s="1"/>
  <c r="BZ295" i="53"/>
  <c r="CB295" i="53" s="1"/>
  <c r="BZ296" i="53"/>
  <c r="CB296" i="53" s="1"/>
  <c r="BZ297" i="53"/>
  <c r="CB297" i="53" s="1"/>
  <c r="BZ298" i="53"/>
  <c r="CB298" i="53" s="1"/>
  <c r="BZ299" i="53"/>
  <c r="CB299" i="53" s="1"/>
  <c r="BZ300" i="53"/>
  <c r="CB300" i="53" s="1"/>
  <c r="BZ301" i="53"/>
  <c r="CB301" i="53" s="1"/>
  <c r="BZ302" i="53"/>
  <c r="CB302" i="53" s="1"/>
  <c r="BZ303" i="53"/>
  <c r="CB303" i="53" s="1"/>
  <c r="BZ304" i="53"/>
  <c r="CB304" i="53" s="1"/>
  <c r="BZ305" i="53"/>
  <c r="CB305" i="53" s="1"/>
  <c r="BZ306" i="53"/>
  <c r="CB306" i="53" s="1"/>
  <c r="BZ307" i="53"/>
  <c r="CB307" i="53" s="1"/>
  <c r="BZ308" i="53"/>
  <c r="CB308" i="53" s="1"/>
  <c r="BZ309" i="53"/>
  <c r="CB309" i="53" s="1"/>
  <c r="BZ310" i="53"/>
  <c r="CB310" i="53" s="1"/>
  <c r="BZ311" i="53"/>
  <c r="CB311" i="53" s="1"/>
  <c r="BZ312" i="53"/>
  <c r="CB312" i="53" s="1"/>
  <c r="BZ313" i="53"/>
  <c r="CB313" i="53" s="1"/>
  <c r="BZ314" i="53"/>
  <c r="CB314" i="53" s="1"/>
  <c r="BZ315" i="53"/>
  <c r="CB315" i="53" s="1"/>
  <c r="BZ316" i="53"/>
  <c r="CB316" i="53" s="1"/>
  <c r="BZ317" i="53"/>
  <c r="CB317" i="53" s="1"/>
  <c r="BZ318" i="53"/>
  <c r="CB318" i="53" s="1"/>
  <c r="BZ319" i="53"/>
  <c r="CB319" i="53" s="1"/>
  <c r="BZ320" i="53"/>
  <c r="CB320" i="53" s="1"/>
  <c r="BZ321" i="53"/>
  <c r="CB321" i="53" s="1"/>
  <c r="BZ322" i="53"/>
  <c r="CB322" i="53" s="1"/>
  <c r="BZ323" i="53"/>
  <c r="CB323" i="53" s="1"/>
  <c r="BZ324" i="53"/>
  <c r="CB324" i="53" s="1"/>
  <c r="BZ325" i="53"/>
  <c r="CB325" i="53" s="1"/>
  <c r="BZ326" i="53"/>
  <c r="CB326" i="53" s="1"/>
  <c r="BZ327" i="53"/>
  <c r="CB327" i="53" s="1"/>
  <c r="BZ328" i="53"/>
  <c r="CB328" i="53" s="1"/>
  <c r="BZ329" i="53"/>
  <c r="CB329" i="53" s="1"/>
  <c r="BZ330" i="53"/>
  <c r="CB330" i="53" s="1"/>
  <c r="BZ331" i="53"/>
  <c r="CB331" i="53" s="1"/>
  <c r="BZ332" i="53"/>
  <c r="CB332" i="53" s="1"/>
  <c r="BZ333" i="53"/>
  <c r="CB333" i="53" s="1"/>
  <c r="BZ334" i="53"/>
  <c r="CB334" i="53" s="1"/>
  <c r="BZ335" i="53"/>
  <c r="CB335" i="53" s="1"/>
  <c r="BZ336" i="53"/>
  <c r="CB336" i="53" s="1"/>
  <c r="BZ337" i="53"/>
  <c r="CB337" i="53" s="1"/>
  <c r="BZ338" i="53"/>
  <c r="CB338" i="53" s="1"/>
  <c r="BZ339" i="53"/>
  <c r="CB339" i="53" s="1"/>
  <c r="BZ340" i="53"/>
  <c r="CB340" i="53" s="1"/>
  <c r="BZ341" i="53"/>
  <c r="CB341" i="53" s="1"/>
  <c r="BZ342" i="53"/>
  <c r="CB342" i="53" s="1"/>
  <c r="BZ343" i="53"/>
  <c r="CB343" i="53" s="1"/>
  <c r="BZ344" i="53"/>
  <c r="CB344" i="53" s="1"/>
  <c r="BZ345" i="53"/>
  <c r="CB345" i="53" s="1"/>
  <c r="BZ346" i="53"/>
  <c r="CB346" i="53" s="1"/>
  <c r="BZ347" i="53"/>
  <c r="CB347" i="53" s="1"/>
  <c r="BZ348" i="53"/>
  <c r="CB348" i="53" s="1"/>
  <c r="BZ349" i="53"/>
  <c r="CB349" i="53" s="1"/>
  <c r="BZ350" i="53"/>
  <c r="CB350" i="53" s="1"/>
  <c r="BZ351" i="53"/>
  <c r="CB351" i="53" s="1"/>
  <c r="BZ352" i="53"/>
  <c r="CB352" i="53" s="1"/>
  <c r="BZ353" i="53"/>
  <c r="CB353" i="53" s="1"/>
  <c r="BZ354" i="53"/>
  <c r="CB354" i="53" s="1"/>
  <c r="BZ355" i="53"/>
  <c r="CB355" i="53" s="1"/>
  <c r="BZ356" i="53"/>
  <c r="CB356" i="53" s="1"/>
  <c r="BZ357" i="53"/>
  <c r="CB357" i="53" s="1"/>
  <c r="BZ358" i="53"/>
  <c r="CB358" i="53" s="1"/>
  <c r="BZ359" i="53"/>
  <c r="CB359" i="53" s="1"/>
  <c r="BZ360" i="53"/>
  <c r="CB360" i="53" s="1"/>
  <c r="BZ361" i="53"/>
  <c r="CB361" i="53" s="1"/>
  <c r="BZ362" i="53"/>
  <c r="CB362" i="53" s="1"/>
  <c r="BZ363" i="53"/>
  <c r="CB363" i="53" s="1"/>
  <c r="BZ364" i="53"/>
  <c r="CB364" i="53" s="1"/>
  <c r="BZ365" i="53"/>
  <c r="CB365" i="53" s="1"/>
  <c r="BZ366" i="53"/>
  <c r="CB366" i="53" s="1"/>
  <c r="BR2" i="53"/>
  <c r="BT2" i="53" s="1"/>
  <c r="BJ2" i="53"/>
  <c r="BL2" i="53" s="1"/>
  <c r="BB2" i="53"/>
  <c r="BD2" i="53" s="1"/>
  <c r="AT3" i="53"/>
  <c r="AV3" i="53" s="1"/>
  <c r="AT4" i="53"/>
  <c r="AV4" i="53" s="1"/>
  <c r="AT5" i="53"/>
  <c r="AV5" i="53" s="1"/>
  <c r="AT6" i="53"/>
  <c r="AV6" i="53" s="1"/>
  <c r="AT7" i="53"/>
  <c r="AV7" i="53" s="1"/>
  <c r="AT8" i="53"/>
  <c r="AV8" i="53" s="1"/>
  <c r="AT9" i="53"/>
  <c r="AV9" i="53" s="1"/>
  <c r="AT10" i="53"/>
  <c r="AV10" i="53" s="1"/>
  <c r="AT11" i="53"/>
  <c r="AV11" i="53" s="1"/>
  <c r="AT12" i="53"/>
  <c r="AV12" i="53" s="1"/>
  <c r="AT13" i="53"/>
  <c r="AV13" i="53" s="1"/>
  <c r="AT14" i="53"/>
  <c r="AV14" i="53" s="1"/>
  <c r="AT15" i="53"/>
  <c r="AV15" i="53" s="1"/>
  <c r="AT16" i="53"/>
  <c r="AV16" i="53" s="1"/>
  <c r="AT17" i="53"/>
  <c r="AV17" i="53" s="1"/>
  <c r="AT18" i="53"/>
  <c r="AV18" i="53" s="1"/>
  <c r="AT19" i="53"/>
  <c r="AV19" i="53" s="1"/>
  <c r="AT20" i="53"/>
  <c r="AV20" i="53" s="1"/>
  <c r="AT21" i="53"/>
  <c r="AV21" i="53" s="1"/>
  <c r="AT22" i="53"/>
  <c r="AV22" i="53" s="1"/>
  <c r="AT23" i="53"/>
  <c r="AV23" i="53" s="1"/>
  <c r="AT24" i="53"/>
  <c r="AV24" i="53" s="1"/>
  <c r="AT25" i="53"/>
  <c r="AV25" i="53" s="1"/>
  <c r="AT26" i="53"/>
  <c r="AV26" i="53" s="1"/>
  <c r="AT27" i="53"/>
  <c r="AV27" i="53" s="1"/>
  <c r="AT28" i="53"/>
  <c r="AV28" i="53" s="1"/>
  <c r="AT29" i="53"/>
  <c r="AV29" i="53" s="1"/>
  <c r="AT30" i="53"/>
  <c r="AV30" i="53" s="1"/>
  <c r="AT31" i="53"/>
  <c r="AV31" i="53" s="1"/>
  <c r="AT32" i="53"/>
  <c r="AV32" i="53" s="1"/>
  <c r="AT33" i="53"/>
  <c r="AV33" i="53" s="1"/>
  <c r="AT34" i="53"/>
  <c r="AV34" i="53" s="1"/>
  <c r="AT35" i="53"/>
  <c r="AV35" i="53" s="1"/>
  <c r="AT36" i="53"/>
  <c r="AV36" i="53" s="1"/>
  <c r="AT37" i="53"/>
  <c r="AV37" i="53" s="1"/>
  <c r="AT38" i="53"/>
  <c r="AV38" i="53" s="1"/>
  <c r="AT39" i="53"/>
  <c r="AV39" i="53" s="1"/>
  <c r="AT40" i="53"/>
  <c r="AV40" i="53" s="1"/>
  <c r="AT41" i="53"/>
  <c r="AV41" i="53" s="1"/>
  <c r="AT42" i="53"/>
  <c r="AV42" i="53" s="1"/>
  <c r="AT43" i="53"/>
  <c r="AV43" i="53" s="1"/>
  <c r="AT44" i="53"/>
  <c r="AV44" i="53" s="1"/>
  <c r="AT45" i="53"/>
  <c r="AV45" i="53" s="1"/>
  <c r="AT46" i="53"/>
  <c r="AV46" i="53" s="1"/>
  <c r="AT47" i="53"/>
  <c r="AV47" i="53" s="1"/>
  <c r="AT48" i="53"/>
  <c r="AV48" i="53" s="1"/>
  <c r="AT49" i="53"/>
  <c r="AV49" i="53" s="1"/>
  <c r="AT50" i="53"/>
  <c r="AV50" i="53" s="1"/>
  <c r="AT51" i="53"/>
  <c r="AV51" i="53" s="1"/>
  <c r="AT52" i="53"/>
  <c r="AV52" i="53" s="1"/>
  <c r="AT53" i="53"/>
  <c r="AV53" i="53" s="1"/>
  <c r="AT54" i="53"/>
  <c r="AV54" i="53" s="1"/>
  <c r="AT55" i="53"/>
  <c r="AV55" i="53" s="1"/>
  <c r="AT56" i="53"/>
  <c r="AV56" i="53" s="1"/>
  <c r="AT57" i="53"/>
  <c r="AV57" i="53" s="1"/>
  <c r="AT58" i="53"/>
  <c r="AV58" i="53" s="1"/>
  <c r="AT59" i="53"/>
  <c r="AV59" i="53" s="1"/>
  <c r="AT60" i="53"/>
  <c r="AV60" i="53" s="1"/>
  <c r="AT61" i="53"/>
  <c r="AV61" i="53" s="1"/>
  <c r="AT62" i="53"/>
  <c r="AV62" i="53" s="1"/>
  <c r="AT63" i="53"/>
  <c r="AV63" i="53" s="1"/>
  <c r="AT64" i="53"/>
  <c r="AV64" i="53" s="1"/>
  <c r="AT65" i="53"/>
  <c r="AV65" i="53" s="1"/>
  <c r="AT66" i="53"/>
  <c r="AV66" i="53" s="1"/>
  <c r="AT67" i="53"/>
  <c r="AV67" i="53" s="1"/>
  <c r="AT68" i="53"/>
  <c r="AV68" i="53" s="1"/>
  <c r="AT69" i="53"/>
  <c r="AV69" i="53" s="1"/>
  <c r="AT70" i="53"/>
  <c r="AV70" i="53" s="1"/>
  <c r="AT71" i="53"/>
  <c r="AV71" i="53" s="1"/>
  <c r="AT72" i="53"/>
  <c r="AV72" i="53" s="1"/>
  <c r="AT73" i="53"/>
  <c r="AV73" i="53" s="1"/>
  <c r="AT74" i="53"/>
  <c r="AV74" i="53" s="1"/>
  <c r="AT75" i="53"/>
  <c r="AV75" i="53" s="1"/>
  <c r="AT76" i="53"/>
  <c r="AV76" i="53" s="1"/>
  <c r="AT77" i="53"/>
  <c r="AV77" i="53" s="1"/>
  <c r="AT78" i="53"/>
  <c r="AV78" i="53" s="1"/>
  <c r="AT79" i="53"/>
  <c r="AV79" i="53" s="1"/>
  <c r="AT80" i="53"/>
  <c r="AV80" i="53" s="1"/>
  <c r="AT81" i="53"/>
  <c r="AV81" i="53" s="1"/>
  <c r="AT82" i="53"/>
  <c r="AV82" i="53" s="1"/>
  <c r="AT83" i="53"/>
  <c r="AV83" i="53" s="1"/>
  <c r="AT84" i="53"/>
  <c r="AV84" i="53" s="1"/>
  <c r="AT85" i="53"/>
  <c r="AV85" i="53" s="1"/>
  <c r="AT86" i="53"/>
  <c r="AV86" i="53" s="1"/>
  <c r="AT87" i="53"/>
  <c r="AV87" i="53" s="1"/>
  <c r="AT88" i="53"/>
  <c r="AV88" i="53" s="1"/>
  <c r="AT89" i="53"/>
  <c r="AV89" i="53" s="1"/>
  <c r="AT90" i="53"/>
  <c r="AV90" i="53" s="1"/>
  <c r="AT91" i="53"/>
  <c r="AV91" i="53" s="1"/>
  <c r="AT92" i="53"/>
  <c r="AV92" i="53" s="1"/>
  <c r="AT93" i="53"/>
  <c r="AV93" i="53" s="1"/>
  <c r="AT94" i="53"/>
  <c r="AV94" i="53" s="1"/>
  <c r="AT95" i="53"/>
  <c r="AV95" i="53" s="1"/>
  <c r="AT96" i="53"/>
  <c r="AV96" i="53" s="1"/>
  <c r="AT97" i="53"/>
  <c r="AV97" i="53" s="1"/>
  <c r="AT98" i="53"/>
  <c r="AV98" i="53" s="1"/>
  <c r="AT99" i="53"/>
  <c r="AV99" i="53" s="1"/>
  <c r="AT100" i="53"/>
  <c r="AV100" i="53" s="1"/>
  <c r="AT101" i="53"/>
  <c r="AV101" i="53" s="1"/>
  <c r="AT102" i="53"/>
  <c r="AV102" i="53" s="1"/>
  <c r="AT103" i="53"/>
  <c r="AV103" i="53" s="1"/>
  <c r="AT104" i="53"/>
  <c r="AV104" i="53" s="1"/>
  <c r="AT105" i="53"/>
  <c r="AV105" i="53" s="1"/>
  <c r="AT106" i="53"/>
  <c r="AV106" i="53" s="1"/>
  <c r="AT107" i="53"/>
  <c r="AV107" i="53" s="1"/>
  <c r="AT108" i="53"/>
  <c r="AV108" i="53" s="1"/>
  <c r="AT109" i="53"/>
  <c r="AV109" i="53" s="1"/>
  <c r="AT110" i="53"/>
  <c r="AV110" i="53" s="1"/>
  <c r="AT111" i="53"/>
  <c r="AV111" i="53" s="1"/>
  <c r="AT112" i="53"/>
  <c r="AV112" i="53" s="1"/>
  <c r="AT113" i="53"/>
  <c r="AV113" i="53" s="1"/>
  <c r="AT114" i="53"/>
  <c r="AV114" i="53" s="1"/>
  <c r="AT115" i="53"/>
  <c r="AV115" i="53" s="1"/>
  <c r="AT116" i="53"/>
  <c r="AV116" i="53" s="1"/>
  <c r="AT117" i="53"/>
  <c r="AV117" i="53" s="1"/>
  <c r="AT118" i="53"/>
  <c r="AV118" i="53" s="1"/>
  <c r="AT119" i="53"/>
  <c r="AV119" i="53" s="1"/>
  <c r="AT120" i="53"/>
  <c r="AV120" i="53" s="1"/>
  <c r="AT121" i="53"/>
  <c r="AV121" i="53" s="1"/>
  <c r="AT122" i="53"/>
  <c r="AV122" i="53" s="1"/>
  <c r="AT123" i="53"/>
  <c r="AV123" i="53" s="1"/>
  <c r="AT124" i="53"/>
  <c r="AV124" i="53" s="1"/>
  <c r="AT125" i="53"/>
  <c r="AV125" i="53" s="1"/>
  <c r="AT126" i="53"/>
  <c r="AV126" i="53" s="1"/>
  <c r="AT127" i="53"/>
  <c r="AV127" i="53" s="1"/>
  <c r="AT128" i="53"/>
  <c r="AV128" i="53" s="1"/>
  <c r="AT129" i="53"/>
  <c r="AV129" i="53" s="1"/>
  <c r="AT130" i="53"/>
  <c r="AV130" i="53" s="1"/>
  <c r="AT131" i="53"/>
  <c r="AV131" i="53" s="1"/>
  <c r="AT132" i="53"/>
  <c r="AV132" i="53" s="1"/>
  <c r="AT133" i="53"/>
  <c r="AV133" i="53" s="1"/>
  <c r="AT134" i="53"/>
  <c r="AV134" i="53" s="1"/>
  <c r="AT135" i="53"/>
  <c r="AV135" i="53" s="1"/>
  <c r="AT136" i="53"/>
  <c r="AV136" i="53" s="1"/>
  <c r="AT137" i="53"/>
  <c r="AV137" i="53" s="1"/>
  <c r="AT138" i="53"/>
  <c r="AV138" i="53" s="1"/>
  <c r="AT139" i="53"/>
  <c r="AV139" i="53" s="1"/>
  <c r="AT140" i="53"/>
  <c r="AV140" i="53" s="1"/>
  <c r="AT141" i="53"/>
  <c r="AV141" i="53" s="1"/>
  <c r="AT142" i="53"/>
  <c r="AV142" i="53" s="1"/>
  <c r="AT143" i="53"/>
  <c r="AV143" i="53" s="1"/>
  <c r="AT144" i="53"/>
  <c r="AV144" i="53" s="1"/>
  <c r="AT145" i="53"/>
  <c r="AV145" i="53" s="1"/>
  <c r="AT146" i="53"/>
  <c r="AV146" i="53" s="1"/>
  <c r="AT147" i="53"/>
  <c r="AV147" i="53" s="1"/>
  <c r="AT148" i="53"/>
  <c r="AV148" i="53" s="1"/>
  <c r="AT149" i="53"/>
  <c r="AV149" i="53" s="1"/>
  <c r="AT150" i="53"/>
  <c r="AV150" i="53" s="1"/>
  <c r="AT151" i="53"/>
  <c r="AV151" i="53" s="1"/>
  <c r="AT152" i="53"/>
  <c r="AV152" i="53" s="1"/>
  <c r="AT153" i="53"/>
  <c r="AV153" i="53" s="1"/>
  <c r="AT154" i="53"/>
  <c r="AV154" i="53" s="1"/>
  <c r="AT155" i="53"/>
  <c r="AV155" i="53" s="1"/>
  <c r="AT156" i="53"/>
  <c r="AV156" i="53" s="1"/>
  <c r="AT157" i="53"/>
  <c r="AV157" i="53" s="1"/>
  <c r="AT158" i="53"/>
  <c r="AV158" i="53" s="1"/>
  <c r="AT159" i="53"/>
  <c r="AV159" i="53" s="1"/>
  <c r="AT160" i="53"/>
  <c r="AV160" i="53" s="1"/>
  <c r="AT161" i="53"/>
  <c r="AV161" i="53" s="1"/>
  <c r="AT162" i="53"/>
  <c r="AV162" i="53" s="1"/>
  <c r="AT163" i="53"/>
  <c r="AV163" i="53" s="1"/>
  <c r="AT164" i="53"/>
  <c r="AV164" i="53" s="1"/>
  <c r="AT165" i="53"/>
  <c r="AV165" i="53" s="1"/>
  <c r="AT166" i="53"/>
  <c r="AV166" i="53" s="1"/>
  <c r="AT167" i="53"/>
  <c r="AV167" i="53" s="1"/>
  <c r="AT168" i="53"/>
  <c r="AV168" i="53" s="1"/>
  <c r="AT169" i="53"/>
  <c r="AV169" i="53" s="1"/>
  <c r="AT170" i="53"/>
  <c r="AV170" i="53" s="1"/>
  <c r="AT171" i="53"/>
  <c r="AV171" i="53" s="1"/>
  <c r="AT172" i="53"/>
  <c r="AV172" i="53" s="1"/>
  <c r="AT173" i="53"/>
  <c r="AV173" i="53" s="1"/>
  <c r="AT174" i="53"/>
  <c r="AV174" i="53" s="1"/>
  <c r="AT175" i="53"/>
  <c r="AV175" i="53" s="1"/>
  <c r="AT176" i="53"/>
  <c r="AV176" i="53" s="1"/>
  <c r="AT177" i="53"/>
  <c r="AV177" i="53" s="1"/>
  <c r="AT178" i="53"/>
  <c r="AV178" i="53" s="1"/>
  <c r="AT179" i="53"/>
  <c r="AV179" i="53" s="1"/>
  <c r="AT180" i="53"/>
  <c r="AV180" i="53" s="1"/>
  <c r="AT181" i="53"/>
  <c r="AV181" i="53" s="1"/>
  <c r="AT182" i="53"/>
  <c r="AV182" i="53" s="1"/>
  <c r="AT183" i="53"/>
  <c r="AV183" i="53" s="1"/>
  <c r="AT184" i="53"/>
  <c r="AV184" i="53" s="1"/>
  <c r="AT185" i="53"/>
  <c r="AV185" i="53" s="1"/>
  <c r="AT186" i="53"/>
  <c r="AV186" i="53" s="1"/>
  <c r="AT187" i="53"/>
  <c r="AV187" i="53" s="1"/>
  <c r="AT188" i="53"/>
  <c r="AV188" i="53" s="1"/>
  <c r="AT189" i="53"/>
  <c r="AV189" i="53" s="1"/>
  <c r="AT190" i="53"/>
  <c r="AV190" i="53" s="1"/>
  <c r="AT191" i="53"/>
  <c r="AV191" i="53" s="1"/>
  <c r="AT192" i="53"/>
  <c r="AV192" i="53" s="1"/>
  <c r="AT193" i="53"/>
  <c r="AV193" i="53" s="1"/>
  <c r="AT194" i="53"/>
  <c r="AV194" i="53" s="1"/>
  <c r="AT195" i="53"/>
  <c r="AV195" i="53" s="1"/>
  <c r="AT196" i="53"/>
  <c r="AV196" i="53" s="1"/>
  <c r="AT197" i="53"/>
  <c r="AV197" i="53" s="1"/>
  <c r="AT198" i="53"/>
  <c r="AV198" i="53" s="1"/>
  <c r="AT199" i="53"/>
  <c r="AV199" i="53" s="1"/>
  <c r="AT200" i="53"/>
  <c r="AV200" i="53" s="1"/>
  <c r="AT201" i="53"/>
  <c r="AV201" i="53" s="1"/>
  <c r="AT202" i="53"/>
  <c r="AV202" i="53" s="1"/>
  <c r="AT203" i="53"/>
  <c r="AV203" i="53" s="1"/>
  <c r="AT204" i="53"/>
  <c r="AV204" i="53" s="1"/>
  <c r="AT205" i="53"/>
  <c r="AV205" i="53" s="1"/>
  <c r="AT206" i="53"/>
  <c r="AV206" i="53" s="1"/>
  <c r="AT207" i="53"/>
  <c r="AV207" i="53" s="1"/>
  <c r="AT208" i="53"/>
  <c r="AV208" i="53" s="1"/>
  <c r="AT209" i="53"/>
  <c r="AV209" i="53" s="1"/>
  <c r="AT210" i="53"/>
  <c r="AV210" i="53" s="1"/>
  <c r="AT211" i="53"/>
  <c r="AV211" i="53" s="1"/>
  <c r="AT212" i="53"/>
  <c r="AV212" i="53" s="1"/>
  <c r="AT213" i="53"/>
  <c r="AV213" i="53" s="1"/>
  <c r="AT214" i="53"/>
  <c r="AV214" i="53" s="1"/>
  <c r="AT215" i="53"/>
  <c r="AV215" i="53" s="1"/>
  <c r="AT216" i="53"/>
  <c r="AV216" i="53" s="1"/>
  <c r="AT217" i="53"/>
  <c r="AV217" i="53" s="1"/>
  <c r="AT218" i="53"/>
  <c r="AV218" i="53" s="1"/>
  <c r="AT219" i="53"/>
  <c r="AV219" i="53" s="1"/>
  <c r="AT220" i="53"/>
  <c r="AV220" i="53" s="1"/>
  <c r="AT221" i="53"/>
  <c r="AV221" i="53" s="1"/>
  <c r="AT222" i="53"/>
  <c r="AV222" i="53" s="1"/>
  <c r="AT223" i="53"/>
  <c r="AV223" i="53" s="1"/>
  <c r="AT224" i="53"/>
  <c r="AV224" i="53" s="1"/>
  <c r="AT225" i="53"/>
  <c r="AV225" i="53" s="1"/>
  <c r="AT226" i="53"/>
  <c r="AV226" i="53" s="1"/>
  <c r="AT227" i="53"/>
  <c r="AV227" i="53" s="1"/>
  <c r="AT228" i="53"/>
  <c r="AV228" i="53" s="1"/>
  <c r="AT229" i="53"/>
  <c r="AV229" i="53" s="1"/>
  <c r="AT230" i="53"/>
  <c r="AV230" i="53" s="1"/>
  <c r="AT231" i="53"/>
  <c r="AV231" i="53" s="1"/>
  <c r="AT232" i="53"/>
  <c r="AV232" i="53" s="1"/>
  <c r="AT233" i="53"/>
  <c r="AV233" i="53" s="1"/>
  <c r="AT234" i="53"/>
  <c r="AV234" i="53" s="1"/>
  <c r="AT235" i="53"/>
  <c r="AV235" i="53" s="1"/>
  <c r="AT236" i="53"/>
  <c r="AV236" i="53" s="1"/>
  <c r="AT237" i="53"/>
  <c r="AV237" i="53" s="1"/>
  <c r="AT238" i="53"/>
  <c r="AV238" i="53" s="1"/>
  <c r="AT239" i="53"/>
  <c r="AV239" i="53" s="1"/>
  <c r="AT240" i="53"/>
  <c r="AV240" i="53" s="1"/>
  <c r="AT241" i="53"/>
  <c r="AV241" i="53" s="1"/>
  <c r="AT242" i="53"/>
  <c r="AV242" i="53" s="1"/>
  <c r="AT243" i="53"/>
  <c r="AV243" i="53" s="1"/>
  <c r="AT244" i="53"/>
  <c r="AV244" i="53" s="1"/>
  <c r="AT245" i="53"/>
  <c r="AV245" i="53" s="1"/>
  <c r="AT246" i="53"/>
  <c r="AV246" i="53" s="1"/>
  <c r="AT247" i="53"/>
  <c r="AV247" i="53" s="1"/>
  <c r="AT248" i="53"/>
  <c r="AV248" i="53" s="1"/>
  <c r="AT249" i="53"/>
  <c r="AV249" i="53" s="1"/>
  <c r="AT250" i="53"/>
  <c r="AV250" i="53" s="1"/>
  <c r="AT251" i="53"/>
  <c r="AV251" i="53" s="1"/>
  <c r="AT252" i="53"/>
  <c r="AV252" i="53" s="1"/>
  <c r="AT253" i="53"/>
  <c r="AV253" i="53" s="1"/>
  <c r="AT254" i="53"/>
  <c r="AV254" i="53" s="1"/>
  <c r="AT255" i="53"/>
  <c r="AV255" i="53" s="1"/>
  <c r="AT256" i="53"/>
  <c r="AV256" i="53" s="1"/>
  <c r="AT257" i="53"/>
  <c r="AV257" i="53" s="1"/>
  <c r="AT258" i="53"/>
  <c r="AV258" i="53" s="1"/>
  <c r="AT259" i="53"/>
  <c r="AV259" i="53" s="1"/>
  <c r="AT260" i="53"/>
  <c r="AV260" i="53" s="1"/>
  <c r="AT261" i="53"/>
  <c r="AV261" i="53" s="1"/>
  <c r="AT262" i="53"/>
  <c r="AV262" i="53" s="1"/>
  <c r="AT263" i="53"/>
  <c r="AV263" i="53" s="1"/>
  <c r="AT264" i="53"/>
  <c r="AV264" i="53" s="1"/>
  <c r="AT265" i="53"/>
  <c r="AV265" i="53" s="1"/>
  <c r="AT266" i="53"/>
  <c r="AV266" i="53" s="1"/>
  <c r="AT267" i="53"/>
  <c r="AV267" i="53" s="1"/>
  <c r="AT268" i="53"/>
  <c r="AV268" i="53" s="1"/>
  <c r="AT269" i="53"/>
  <c r="AV269" i="53" s="1"/>
  <c r="AT270" i="53"/>
  <c r="AV270" i="53" s="1"/>
  <c r="AT271" i="53"/>
  <c r="AV271" i="53" s="1"/>
  <c r="AT272" i="53"/>
  <c r="AV272" i="53" s="1"/>
  <c r="AT273" i="53"/>
  <c r="AV273" i="53" s="1"/>
  <c r="AT274" i="53"/>
  <c r="AV274" i="53" s="1"/>
  <c r="AT275" i="53"/>
  <c r="AV275" i="53" s="1"/>
  <c r="AT276" i="53"/>
  <c r="AV276" i="53" s="1"/>
  <c r="AT277" i="53"/>
  <c r="AV277" i="53" s="1"/>
  <c r="AT278" i="53"/>
  <c r="AV278" i="53" s="1"/>
  <c r="AT279" i="53"/>
  <c r="AV279" i="53" s="1"/>
  <c r="AT280" i="53"/>
  <c r="AV280" i="53" s="1"/>
  <c r="AT281" i="53"/>
  <c r="AV281" i="53" s="1"/>
  <c r="AT282" i="53"/>
  <c r="AV282" i="53" s="1"/>
  <c r="AT283" i="53"/>
  <c r="AV283" i="53" s="1"/>
  <c r="AT284" i="53"/>
  <c r="AV284" i="53" s="1"/>
  <c r="AT285" i="53"/>
  <c r="AV285" i="53" s="1"/>
  <c r="AT286" i="53"/>
  <c r="AV286" i="53" s="1"/>
  <c r="AT287" i="53"/>
  <c r="AV287" i="53" s="1"/>
  <c r="AT288" i="53"/>
  <c r="AV288" i="53" s="1"/>
  <c r="AT289" i="53"/>
  <c r="AV289" i="53" s="1"/>
  <c r="AT290" i="53"/>
  <c r="AV290" i="53" s="1"/>
  <c r="AT291" i="53"/>
  <c r="AV291" i="53" s="1"/>
  <c r="AT292" i="53"/>
  <c r="AV292" i="53" s="1"/>
  <c r="AT293" i="53"/>
  <c r="AV293" i="53" s="1"/>
  <c r="AT294" i="53"/>
  <c r="AV294" i="53" s="1"/>
  <c r="AT295" i="53"/>
  <c r="AV295" i="53" s="1"/>
  <c r="AT296" i="53"/>
  <c r="AV296" i="53" s="1"/>
  <c r="AT297" i="53"/>
  <c r="AV297" i="53" s="1"/>
  <c r="AT298" i="53"/>
  <c r="AV298" i="53" s="1"/>
  <c r="AT299" i="53"/>
  <c r="AV299" i="53" s="1"/>
  <c r="AT300" i="53"/>
  <c r="AV300" i="53" s="1"/>
  <c r="AT301" i="53"/>
  <c r="AV301" i="53" s="1"/>
  <c r="AT302" i="53"/>
  <c r="AV302" i="53" s="1"/>
  <c r="AT303" i="53"/>
  <c r="AV303" i="53" s="1"/>
  <c r="AT304" i="53"/>
  <c r="AV304" i="53" s="1"/>
  <c r="AT305" i="53"/>
  <c r="AV305" i="53" s="1"/>
  <c r="AT306" i="53"/>
  <c r="AV306" i="53" s="1"/>
  <c r="AT307" i="53"/>
  <c r="AV307" i="53" s="1"/>
  <c r="AT308" i="53"/>
  <c r="AV308" i="53" s="1"/>
  <c r="AT309" i="53"/>
  <c r="AV309" i="53" s="1"/>
  <c r="AT310" i="53"/>
  <c r="AV310" i="53" s="1"/>
  <c r="AT311" i="53"/>
  <c r="AV311" i="53" s="1"/>
  <c r="AT312" i="53"/>
  <c r="AV312" i="53" s="1"/>
  <c r="AT313" i="53"/>
  <c r="AV313" i="53" s="1"/>
  <c r="AT314" i="53"/>
  <c r="AV314" i="53" s="1"/>
  <c r="AT315" i="53"/>
  <c r="AV315" i="53" s="1"/>
  <c r="AT316" i="53"/>
  <c r="AV316" i="53" s="1"/>
  <c r="AT317" i="53"/>
  <c r="AV317" i="53" s="1"/>
  <c r="AT318" i="53"/>
  <c r="AV318" i="53" s="1"/>
  <c r="AT319" i="53"/>
  <c r="AV319" i="53" s="1"/>
  <c r="AT320" i="53"/>
  <c r="AV320" i="53" s="1"/>
  <c r="AT321" i="53"/>
  <c r="AV321" i="53" s="1"/>
  <c r="AT322" i="53"/>
  <c r="AV322" i="53" s="1"/>
  <c r="AT323" i="53"/>
  <c r="AV323" i="53" s="1"/>
  <c r="AT324" i="53"/>
  <c r="AV324" i="53" s="1"/>
  <c r="AT325" i="53"/>
  <c r="AV325" i="53" s="1"/>
  <c r="AT326" i="53"/>
  <c r="AV326" i="53" s="1"/>
  <c r="AT327" i="53"/>
  <c r="AV327" i="53" s="1"/>
  <c r="AT328" i="53"/>
  <c r="AV328" i="53" s="1"/>
  <c r="AT329" i="53"/>
  <c r="AV329" i="53" s="1"/>
  <c r="AT330" i="53"/>
  <c r="AV330" i="53" s="1"/>
  <c r="AT331" i="53"/>
  <c r="AV331" i="53" s="1"/>
  <c r="AT332" i="53"/>
  <c r="AV332" i="53" s="1"/>
  <c r="AT333" i="53"/>
  <c r="AV333" i="53" s="1"/>
  <c r="AT334" i="53"/>
  <c r="AV334" i="53" s="1"/>
  <c r="AT335" i="53"/>
  <c r="AV335" i="53" s="1"/>
  <c r="AT336" i="53"/>
  <c r="AV336" i="53" s="1"/>
  <c r="AT337" i="53"/>
  <c r="AV337" i="53" s="1"/>
  <c r="AT338" i="53"/>
  <c r="AV338" i="53" s="1"/>
  <c r="AT339" i="53"/>
  <c r="AV339" i="53" s="1"/>
  <c r="AT340" i="53"/>
  <c r="AV340" i="53" s="1"/>
  <c r="AT341" i="53"/>
  <c r="AV341" i="53" s="1"/>
  <c r="AT342" i="53"/>
  <c r="AV342" i="53" s="1"/>
  <c r="AT343" i="53"/>
  <c r="AV343" i="53" s="1"/>
  <c r="AT344" i="53"/>
  <c r="AV344" i="53" s="1"/>
  <c r="AT345" i="53"/>
  <c r="AV345" i="53" s="1"/>
  <c r="AT346" i="53"/>
  <c r="AV346" i="53" s="1"/>
  <c r="AT347" i="53"/>
  <c r="AV347" i="53" s="1"/>
  <c r="AT348" i="53"/>
  <c r="AV348" i="53" s="1"/>
  <c r="AT349" i="53"/>
  <c r="AV349" i="53" s="1"/>
  <c r="AT350" i="53"/>
  <c r="AV350" i="53" s="1"/>
  <c r="AT351" i="53"/>
  <c r="AV351" i="53" s="1"/>
  <c r="AT352" i="53"/>
  <c r="AV352" i="53" s="1"/>
  <c r="AT353" i="53"/>
  <c r="AV353" i="53" s="1"/>
  <c r="AT354" i="53"/>
  <c r="AV354" i="53" s="1"/>
  <c r="AT355" i="53"/>
  <c r="AV355" i="53" s="1"/>
  <c r="AT356" i="53"/>
  <c r="AV356" i="53" s="1"/>
  <c r="AT357" i="53"/>
  <c r="AV357" i="53" s="1"/>
  <c r="AT358" i="53"/>
  <c r="AV358" i="53" s="1"/>
  <c r="AT359" i="53"/>
  <c r="AV359" i="53" s="1"/>
  <c r="AT360" i="53"/>
  <c r="AV360" i="53" s="1"/>
  <c r="AT361" i="53"/>
  <c r="AV361" i="53" s="1"/>
  <c r="AT362" i="53"/>
  <c r="AV362" i="53" s="1"/>
  <c r="AT363" i="53"/>
  <c r="AV363" i="53" s="1"/>
  <c r="AT364" i="53"/>
  <c r="AV364" i="53" s="1"/>
  <c r="AT365" i="53"/>
  <c r="AV365" i="53" s="1"/>
  <c r="AT366" i="53"/>
  <c r="AV366" i="53" s="1"/>
  <c r="AT2" i="53"/>
  <c r="AV2" i="53" s="1"/>
  <c r="AQ29" i="53"/>
  <c r="AL3" i="53"/>
  <c r="AN3" i="53" s="1"/>
  <c r="AL4" i="53"/>
  <c r="AN4" i="53" s="1"/>
  <c r="AL5" i="53"/>
  <c r="AN5" i="53" s="1"/>
  <c r="AL6" i="53"/>
  <c r="AN6" i="53" s="1"/>
  <c r="AL7" i="53"/>
  <c r="AN7" i="53" s="1"/>
  <c r="AL8" i="53"/>
  <c r="AN8" i="53" s="1"/>
  <c r="AL9" i="53"/>
  <c r="AN9" i="53" s="1"/>
  <c r="AL10" i="53"/>
  <c r="AN10" i="53" s="1"/>
  <c r="AL11" i="53"/>
  <c r="AN11" i="53" s="1"/>
  <c r="AL12" i="53"/>
  <c r="AN12" i="53" s="1"/>
  <c r="AL13" i="53"/>
  <c r="AN13" i="53" s="1"/>
  <c r="AL14" i="53"/>
  <c r="AN14" i="53" s="1"/>
  <c r="AL15" i="53"/>
  <c r="AN15" i="53" s="1"/>
  <c r="AL16" i="53"/>
  <c r="AN16" i="53" s="1"/>
  <c r="AL17" i="53"/>
  <c r="AN17" i="53" s="1"/>
  <c r="AL18" i="53"/>
  <c r="AN18" i="53" s="1"/>
  <c r="AL19" i="53"/>
  <c r="AN19" i="53" s="1"/>
  <c r="AL20" i="53"/>
  <c r="AN20" i="53" s="1"/>
  <c r="AL21" i="53"/>
  <c r="AN21" i="53" s="1"/>
  <c r="AL22" i="53"/>
  <c r="AN22" i="53" s="1"/>
  <c r="AL23" i="53"/>
  <c r="AN23" i="53" s="1"/>
  <c r="AL24" i="53"/>
  <c r="AN24" i="53" s="1"/>
  <c r="AL25" i="53"/>
  <c r="AN25" i="53" s="1"/>
  <c r="AL26" i="53"/>
  <c r="AN26" i="53" s="1"/>
  <c r="AL27" i="53"/>
  <c r="AN27" i="53" s="1"/>
  <c r="AL28" i="53"/>
  <c r="AN28" i="53" s="1"/>
  <c r="AL29" i="53"/>
  <c r="AN29" i="53" s="1"/>
  <c r="AL30" i="53"/>
  <c r="AN30" i="53" s="1"/>
  <c r="AL31" i="53"/>
  <c r="AN31" i="53" s="1"/>
  <c r="AL32" i="53"/>
  <c r="AN32" i="53" s="1"/>
  <c r="AL33" i="53"/>
  <c r="AN33" i="53" s="1"/>
  <c r="AL34" i="53"/>
  <c r="AN34" i="53" s="1"/>
  <c r="AL35" i="53"/>
  <c r="AN35" i="53" s="1"/>
  <c r="AL36" i="53"/>
  <c r="AN36" i="53" s="1"/>
  <c r="AL37" i="53"/>
  <c r="AN37" i="53" s="1"/>
  <c r="AL38" i="53"/>
  <c r="AN38" i="53" s="1"/>
  <c r="AL39" i="53"/>
  <c r="AN39" i="53" s="1"/>
  <c r="AL40" i="53"/>
  <c r="AN40" i="53" s="1"/>
  <c r="AL41" i="53"/>
  <c r="AN41" i="53" s="1"/>
  <c r="AL42" i="53"/>
  <c r="AN42" i="53" s="1"/>
  <c r="AL43" i="53"/>
  <c r="AN43" i="53" s="1"/>
  <c r="AL44" i="53"/>
  <c r="AN44" i="53" s="1"/>
  <c r="AL45" i="53"/>
  <c r="AN45" i="53" s="1"/>
  <c r="AL46" i="53"/>
  <c r="AN46" i="53" s="1"/>
  <c r="AL47" i="53"/>
  <c r="AN47" i="53" s="1"/>
  <c r="AL48" i="53"/>
  <c r="AN48" i="53" s="1"/>
  <c r="AL49" i="53"/>
  <c r="AN49" i="53" s="1"/>
  <c r="AL50" i="53"/>
  <c r="AN50" i="53" s="1"/>
  <c r="AL51" i="53"/>
  <c r="AN51" i="53" s="1"/>
  <c r="AL52" i="53"/>
  <c r="AN52" i="53" s="1"/>
  <c r="AL53" i="53"/>
  <c r="AN53" i="53" s="1"/>
  <c r="AL54" i="53"/>
  <c r="AN54" i="53" s="1"/>
  <c r="AL55" i="53"/>
  <c r="AN55" i="53" s="1"/>
  <c r="AL56" i="53"/>
  <c r="AN56" i="53" s="1"/>
  <c r="AL57" i="53"/>
  <c r="AN57" i="53" s="1"/>
  <c r="AL58" i="53"/>
  <c r="AN58" i="53" s="1"/>
  <c r="AL59" i="53"/>
  <c r="AN59" i="53" s="1"/>
  <c r="AL60" i="53"/>
  <c r="AN60" i="53" s="1"/>
  <c r="AL61" i="53"/>
  <c r="AN61" i="53" s="1"/>
  <c r="AL62" i="53"/>
  <c r="AN62" i="53" s="1"/>
  <c r="AL63" i="53"/>
  <c r="AN63" i="53" s="1"/>
  <c r="AL64" i="53"/>
  <c r="AN64" i="53" s="1"/>
  <c r="AL65" i="53"/>
  <c r="AN65" i="53" s="1"/>
  <c r="AL66" i="53"/>
  <c r="AN66" i="53" s="1"/>
  <c r="AL67" i="53"/>
  <c r="AN67" i="53" s="1"/>
  <c r="AL68" i="53"/>
  <c r="AN68" i="53" s="1"/>
  <c r="AL69" i="53"/>
  <c r="AN69" i="53" s="1"/>
  <c r="AL70" i="53"/>
  <c r="AN70" i="53" s="1"/>
  <c r="AL71" i="53"/>
  <c r="AN71" i="53" s="1"/>
  <c r="AL72" i="53"/>
  <c r="AN72" i="53" s="1"/>
  <c r="AL73" i="53"/>
  <c r="AN73" i="53" s="1"/>
  <c r="AL74" i="53"/>
  <c r="AN74" i="53" s="1"/>
  <c r="AL75" i="53"/>
  <c r="AN75" i="53" s="1"/>
  <c r="AL76" i="53"/>
  <c r="AN76" i="53" s="1"/>
  <c r="AL77" i="53"/>
  <c r="AN77" i="53" s="1"/>
  <c r="AL78" i="53"/>
  <c r="AN78" i="53" s="1"/>
  <c r="AL79" i="53"/>
  <c r="AN79" i="53" s="1"/>
  <c r="AL80" i="53"/>
  <c r="AN80" i="53" s="1"/>
  <c r="AL81" i="53"/>
  <c r="AN81" i="53" s="1"/>
  <c r="AL82" i="53"/>
  <c r="AN82" i="53" s="1"/>
  <c r="AL83" i="53"/>
  <c r="AN83" i="53" s="1"/>
  <c r="AL84" i="53"/>
  <c r="AN84" i="53" s="1"/>
  <c r="AL85" i="53"/>
  <c r="AN85" i="53" s="1"/>
  <c r="AL86" i="53"/>
  <c r="AN86" i="53" s="1"/>
  <c r="AL87" i="53"/>
  <c r="AN87" i="53" s="1"/>
  <c r="AL88" i="53"/>
  <c r="AN88" i="53" s="1"/>
  <c r="AL89" i="53"/>
  <c r="AN89" i="53" s="1"/>
  <c r="AL90" i="53"/>
  <c r="AN90" i="53" s="1"/>
  <c r="AL91" i="53"/>
  <c r="AN91" i="53" s="1"/>
  <c r="AL92" i="53"/>
  <c r="AN92" i="53" s="1"/>
  <c r="AL93" i="53"/>
  <c r="AN93" i="53" s="1"/>
  <c r="AL94" i="53"/>
  <c r="AN94" i="53" s="1"/>
  <c r="AL95" i="53"/>
  <c r="AN95" i="53" s="1"/>
  <c r="AL96" i="53"/>
  <c r="AN96" i="53" s="1"/>
  <c r="AL97" i="53"/>
  <c r="AN97" i="53" s="1"/>
  <c r="AL98" i="53"/>
  <c r="AN98" i="53" s="1"/>
  <c r="AL99" i="53"/>
  <c r="AN99" i="53" s="1"/>
  <c r="AL100" i="53"/>
  <c r="AN100" i="53" s="1"/>
  <c r="AL101" i="53"/>
  <c r="AN101" i="53" s="1"/>
  <c r="AL102" i="53"/>
  <c r="AN102" i="53" s="1"/>
  <c r="AL103" i="53"/>
  <c r="AN103" i="53" s="1"/>
  <c r="AL104" i="53"/>
  <c r="AN104" i="53" s="1"/>
  <c r="AL105" i="53"/>
  <c r="AN105" i="53" s="1"/>
  <c r="AL106" i="53"/>
  <c r="AN106" i="53" s="1"/>
  <c r="AL107" i="53"/>
  <c r="AN107" i="53" s="1"/>
  <c r="AL108" i="53"/>
  <c r="AN108" i="53" s="1"/>
  <c r="AL109" i="53"/>
  <c r="AN109" i="53" s="1"/>
  <c r="AL110" i="53"/>
  <c r="AN110" i="53" s="1"/>
  <c r="AL111" i="53"/>
  <c r="AN111" i="53" s="1"/>
  <c r="AL112" i="53"/>
  <c r="AN112" i="53" s="1"/>
  <c r="AL113" i="53"/>
  <c r="AN113" i="53" s="1"/>
  <c r="AL114" i="53"/>
  <c r="AN114" i="53" s="1"/>
  <c r="AL115" i="53"/>
  <c r="AN115" i="53" s="1"/>
  <c r="AL116" i="53"/>
  <c r="AN116" i="53" s="1"/>
  <c r="AL117" i="53"/>
  <c r="AN117" i="53" s="1"/>
  <c r="AL118" i="53"/>
  <c r="AN118" i="53" s="1"/>
  <c r="AL119" i="53"/>
  <c r="AN119" i="53" s="1"/>
  <c r="AL120" i="53"/>
  <c r="AN120" i="53" s="1"/>
  <c r="AL121" i="53"/>
  <c r="AN121" i="53" s="1"/>
  <c r="AL122" i="53"/>
  <c r="AN122" i="53" s="1"/>
  <c r="AL123" i="53"/>
  <c r="AN123" i="53" s="1"/>
  <c r="AL124" i="53"/>
  <c r="AN124" i="53" s="1"/>
  <c r="AL125" i="53"/>
  <c r="AN125" i="53" s="1"/>
  <c r="AL126" i="53"/>
  <c r="AN126" i="53" s="1"/>
  <c r="AL127" i="53"/>
  <c r="AN127" i="53" s="1"/>
  <c r="AL128" i="53"/>
  <c r="AN128" i="53" s="1"/>
  <c r="AL129" i="53"/>
  <c r="AN129" i="53" s="1"/>
  <c r="AL130" i="53"/>
  <c r="AN130" i="53" s="1"/>
  <c r="AL131" i="53"/>
  <c r="AN131" i="53" s="1"/>
  <c r="AL132" i="53"/>
  <c r="AN132" i="53" s="1"/>
  <c r="AL133" i="53"/>
  <c r="AN133" i="53" s="1"/>
  <c r="AL134" i="53"/>
  <c r="AN134" i="53" s="1"/>
  <c r="AL135" i="53"/>
  <c r="AN135" i="53" s="1"/>
  <c r="AL136" i="53"/>
  <c r="AN136" i="53" s="1"/>
  <c r="AL137" i="53"/>
  <c r="AN137" i="53" s="1"/>
  <c r="AL138" i="53"/>
  <c r="AN138" i="53" s="1"/>
  <c r="AL139" i="53"/>
  <c r="AN139" i="53" s="1"/>
  <c r="AL140" i="53"/>
  <c r="AN140" i="53" s="1"/>
  <c r="AL141" i="53"/>
  <c r="AN141" i="53" s="1"/>
  <c r="AL142" i="53"/>
  <c r="AN142" i="53" s="1"/>
  <c r="AL143" i="53"/>
  <c r="AN143" i="53" s="1"/>
  <c r="AL144" i="53"/>
  <c r="AN144" i="53" s="1"/>
  <c r="AL145" i="53"/>
  <c r="AN145" i="53" s="1"/>
  <c r="AL146" i="53"/>
  <c r="AN146" i="53" s="1"/>
  <c r="AL147" i="53"/>
  <c r="AN147" i="53" s="1"/>
  <c r="AL148" i="53"/>
  <c r="AN148" i="53" s="1"/>
  <c r="AL149" i="53"/>
  <c r="AN149" i="53" s="1"/>
  <c r="AL150" i="53"/>
  <c r="AN150" i="53" s="1"/>
  <c r="AL151" i="53"/>
  <c r="AN151" i="53" s="1"/>
  <c r="AL152" i="53"/>
  <c r="AN152" i="53" s="1"/>
  <c r="AL153" i="53"/>
  <c r="AN153" i="53" s="1"/>
  <c r="AL154" i="53"/>
  <c r="AN154" i="53" s="1"/>
  <c r="AL155" i="53"/>
  <c r="AN155" i="53" s="1"/>
  <c r="AL156" i="53"/>
  <c r="AN156" i="53" s="1"/>
  <c r="AL157" i="53"/>
  <c r="AN157" i="53" s="1"/>
  <c r="AL158" i="53"/>
  <c r="AN158" i="53" s="1"/>
  <c r="AL159" i="53"/>
  <c r="AN159" i="53" s="1"/>
  <c r="AL160" i="53"/>
  <c r="AN160" i="53" s="1"/>
  <c r="AL161" i="53"/>
  <c r="AN161" i="53" s="1"/>
  <c r="AL162" i="53"/>
  <c r="AN162" i="53" s="1"/>
  <c r="AL163" i="53"/>
  <c r="AN163" i="53" s="1"/>
  <c r="AL164" i="53"/>
  <c r="AN164" i="53" s="1"/>
  <c r="AL165" i="53"/>
  <c r="AN165" i="53" s="1"/>
  <c r="AL166" i="53"/>
  <c r="AN166" i="53" s="1"/>
  <c r="AL167" i="53"/>
  <c r="AN167" i="53" s="1"/>
  <c r="AL168" i="53"/>
  <c r="AN168" i="53" s="1"/>
  <c r="AL169" i="53"/>
  <c r="AN169" i="53" s="1"/>
  <c r="AL170" i="53"/>
  <c r="AN170" i="53" s="1"/>
  <c r="AL171" i="53"/>
  <c r="AN171" i="53" s="1"/>
  <c r="AL172" i="53"/>
  <c r="AN172" i="53" s="1"/>
  <c r="AL173" i="53"/>
  <c r="AN173" i="53" s="1"/>
  <c r="AL174" i="53"/>
  <c r="AN174" i="53" s="1"/>
  <c r="AL175" i="53"/>
  <c r="AN175" i="53" s="1"/>
  <c r="AL176" i="53"/>
  <c r="AN176" i="53" s="1"/>
  <c r="AL177" i="53"/>
  <c r="AN177" i="53" s="1"/>
  <c r="AL178" i="53"/>
  <c r="AN178" i="53" s="1"/>
  <c r="AL179" i="53"/>
  <c r="AN179" i="53" s="1"/>
  <c r="AL180" i="53"/>
  <c r="AN180" i="53" s="1"/>
  <c r="AL181" i="53"/>
  <c r="AN181" i="53" s="1"/>
  <c r="AL182" i="53"/>
  <c r="AN182" i="53" s="1"/>
  <c r="AL183" i="53"/>
  <c r="AN183" i="53" s="1"/>
  <c r="AL184" i="53"/>
  <c r="AN184" i="53" s="1"/>
  <c r="AL185" i="53"/>
  <c r="AN185" i="53" s="1"/>
  <c r="AL186" i="53"/>
  <c r="AN186" i="53" s="1"/>
  <c r="AL187" i="53"/>
  <c r="AN187" i="53" s="1"/>
  <c r="AL188" i="53"/>
  <c r="AN188" i="53" s="1"/>
  <c r="AL189" i="53"/>
  <c r="AN189" i="53" s="1"/>
  <c r="AL190" i="53"/>
  <c r="AN190" i="53" s="1"/>
  <c r="AL191" i="53"/>
  <c r="AN191" i="53" s="1"/>
  <c r="AL192" i="53"/>
  <c r="AN192" i="53" s="1"/>
  <c r="AL193" i="53"/>
  <c r="AN193" i="53" s="1"/>
  <c r="AL194" i="53"/>
  <c r="AN194" i="53" s="1"/>
  <c r="AL195" i="53"/>
  <c r="AN195" i="53" s="1"/>
  <c r="AL196" i="53"/>
  <c r="AN196" i="53" s="1"/>
  <c r="AL197" i="53"/>
  <c r="AN197" i="53" s="1"/>
  <c r="AL198" i="53"/>
  <c r="AN198" i="53" s="1"/>
  <c r="AL199" i="53"/>
  <c r="AN199" i="53" s="1"/>
  <c r="AL200" i="53"/>
  <c r="AN200" i="53" s="1"/>
  <c r="AL201" i="53"/>
  <c r="AN201" i="53" s="1"/>
  <c r="AL202" i="53"/>
  <c r="AN202" i="53" s="1"/>
  <c r="AL203" i="53"/>
  <c r="AN203" i="53" s="1"/>
  <c r="AL204" i="53"/>
  <c r="AN204" i="53" s="1"/>
  <c r="AL205" i="53"/>
  <c r="AN205" i="53" s="1"/>
  <c r="AL206" i="53"/>
  <c r="AN206" i="53" s="1"/>
  <c r="AL207" i="53"/>
  <c r="AN207" i="53" s="1"/>
  <c r="AL208" i="53"/>
  <c r="AN208" i="53" s="1"/>
  <c r="AL209" i="53"/>
  <c r="AN209" i="53" s="1"/>
  <c r="AL210" i="53"/>
  <c r="AN210" i="53" s="1"/>
  <c r="AL211" i="53"/>
  <c r="AN211" i="53" s="1"/>
  <c r="AL212" i="53"/>
  <c r="AN212" i="53" s="1"/>
  <c r="AL213" i="53"/>
  <c r="AN213" i="53" s="1"/>
  <c r="AL214" i="53"/>
  <c r="AN214" i="53" s="1"/>
  <c r="AL215" i="53"/>
  <c r="AN215" i="53" s="1"/>
  <c r="AL216" i="53"/>
  <c r="AN216" i="53" s="1"/>
  <c r="AL217" i="53"/>
  <c r="AN217" i="53" s="1"/>
  <c r="AL218" i="53"/>
  <c r="AN218" i="53" s="1"/>
  <c r="AL219" i="53"/>
  <c r="AN219" i="53" s="1"/>
  <c r="AL220" i="53"/>
  <c r="AN220" i="53" s="1"/>
  <c r="AL221" i="53"/>
  <c r="AN221" i="53" s="1"/>
  <c r="AL222" i="53"/>
  <c r="AN222" i="53" s="1"/>
  <c r="AL223" i="53"/>
  <c r="AN223" i="53" s="1"/>
  <c r="AL224" i="53"/>
  <c r="AN224" i="53" s="1"/>
  <c r="AL225" i="53"/>
  <c r="AN225" i="53" s="1"/>
  <c r="AL226" i="53"/>
  <c r="AN226" i="53" s="1"/>
  <c r="AL227" i="53"/>
  <c r="AN227" i="53" s="1"/>
  <c r="AL228" i="53"/>
  <c r="AN228" i="53" s="1"/>
  <c r="AL229" i="53"/>
  <c r="AN229" i="53" s="1"/>
  <c r="AL230" i="53"/>
  <c r="AN230" i="53" s="1"/>
  <c r="AL231" i="53"/>
  <c r="AN231" i="53" s="1"/>
  <c r="AL232" i="53"/>
  <c r="AN232" i="53" s="1"/>
  <c r="AL233" i="53"/>
  <c r="AN233" i="53" s="1"/>
  <c r="AL234" i="53"/>
  <c r="AN234" i="53" s="1"/>
  <c r="AL235" i="53"/>
  <c r="AN235" i="53" s="1"/>
  <c r="AL236" i="53"/>
  <c r="AN236" i="53" s="1"/>
  <c r="AL237" i="53"/>
  <c r="AN237" i="53" s="1"/>
  <c r="AL238" i="53"/>
  <c r="AN238" i="53" s="1"/>
  <c r="AL239" i="53"/>
  <c r="AN239" i="53" s="1"/>
  <c r="AL240" i="53"/>
  <c r="AN240" i="53" s="1"/>
  <c r="AL241" i="53"/>
  <c r="AN241" i="53" s="1"/>
  <c r="AL242" i="53"/>
  <c r="AN242" i="53" s="1"/>
  <c r="AL243" i="53"/>
  <c r="AN243" i="53" s="1"/>
  <c r="AL244" i="53"/>
  <c r="AN244" i="53" s="1"/>
  <c r="AL245" i="53"/>
  <c r="AN245" i="53" s="1"/>
  <c r="AL246" i="53"/>
  <c r="AN246" i="53" s="1"/>
  <c r="AL247" i="53"/>
  <c r="AN247" i="53" s="1"/>
  <c r="AL248" i="53"/>
  <c r="AN248" i="53" s="1"/>
  <c r="AL249" i="53"/>
  <c r="AN249" i="53" s="1"/>
  <c r="AL250" i="53"/>
  <c r="AN250" i="53" s="1"/>
  <c r="AL251" i="53"/>
  <c r="AN251" i="53" s="1"/>
  <c r="AL252" i="53"/>
  <c r="AN252" i="53" s="1"/>
  <c r="AL253" i="53"/>
  <c r="AN253" i="53" s="1"/>
  <c r="AL254" i="53"/>
  <c r="AN254" i="53" s="1"/>
  <c r="AL255" i="53"/>
  <c r="AN255" i="53" s="1"/>
  <c r="AL256" i="53"/>
  <c r="AN256" i="53" s="1"/>
  <c r="AL257" i="53"/>
  <c r="AN257" i="53" s="1"/>
  <c r="AL258" i="53"/>
  <c r="AN258" i="53" s="1"/>
  <c r="AL259" i="53"/>
  <c r="AN259" i="53" s="1"/>
  <c r="AL260" i="53"/>
  <c r="AN260" i="53" s="1"/>
  <c r="AL261" i="53"/>
  <c r="AN261" i="53" s="1"/>
  <c r="AL262" i="53"/>
  <c r="AN262" i="53" s="1"/>
  <c r="AL263" i="53"/>
  <c r="AN263" i="53" s="1"/>
  <c r="AL264" i="53"/>
  <c r="AN264" i="53" s="1"/>
  <c r="AL265" i="53"/>
  <c r="AN265" i="53" s="1"/>
  <c r="AL266" i="53"/>
  <c r="AN266" i="53" s="1"/>
  <c r="AL267" i="53"/>
  <c r="AN267" i="53" s="1"/>
  <c r="AL268" i="53"/>
  <c r="AN268" i="53" s="1"/>
  <c r="AL269" i="53"/>
  <c r="AN269" i="53" s="1"/>
  <c r="AL270" i="53"/>
  <c r="AN270" i="53" s="1"/>
  <c r="AL271" i="53"/>
  <c r="AN271" i="53" s="1"/>
  <c r="AL272" i="53"/>
  <c r="AN272" i="53" s="1"/>
  <c r="AL273" i="53"/>
  <c r="AN273" i="53" s="1"/>
  <c r="AL274" i="53"/>
  <c r="AN274" i="53" s="1"/>
  <c r="AL275" i="53"/>
  <c r="AN275" i="53" s="1"/>
  <c r="AL276" i="53"/>
  <c r="AN276" i="53" s="1"/>
  <c r="AL277" i="53"/>
  <c r="AN277" i="53" s="1"/>
  <c r="AL278" i="53"/>
  <c r="AN278" i="53" s="1"/>
  <c r="AL279" i="53"/>
  <c r="AN279" i="53" s="1"/>
  <c r="AL280" i="53"/>
  <c r="AN280" i="53" s="1"/>
  <c r="AL281" i="53"/>
  <c r="AN281" i="53" s="1"/>
  <c r="AL282" i="53"/>
  <c r="AN282" i="53" s="1"/>
  <c r="AL283" i="53"/>
  <c r="AN283" i="53" s="1"/>
  <c r="AL284" i="53"/>
  <c r="AN284" i="53" s="1"/>
  <c r="AL285" i="53"/>
  <c r="AN285" i="53" s="1"/>
  <c r="AL286" i="53"/>
  <c r="AN286" i="53" s="1"/>
  <c r="AL287" i="53"/>
  <c r="AN287" i="53" s="1"/>
  <c r="AL288" i="53"/>
  <c r="AN288" i="53" s="1"/>
  <c r="AL289" i="53"/>
  <c r="AN289" i="53" s="1"/>
  <c r="AL290" i="53"/>
  <c r="AN290" i="53" s="1"/>
  <c r="AL291" i="53"/>
  <c r="AN291" i="53" s="1"/>
  <c r="AL292" i="53"/>
  <c r="AN292" i="53" s="1"/>
  <c r="AL293" i="53"/>
  <c r="AN293" i="53" s="1"/>
  <c r="AL294" i="53"/>
  <c r="AN294" i="53" s="1"/>
  <c r="AL295" i="53"/>
  <c r="AN295" i="53" s="1"/>
  <c r="AL296" i="53"/>
  <c r="AN296" i="53" s="1"/>
  <c r="AL297" i="53"/>
  <c r="AN297" i="53" s="1"/>
  <c r="AL298" i="53"/>
  <c r="AN298" i="53" s="1"/>
  <c r="AL299" i="53"/>
  <c r="AN299" i="53" s="1"/>
  <c r="AL300" i="53"/>
  <c r="AN300" i="53" s="1"/>
  <c r="AL301" i="53"/>
  <c r="AN301" i="53" s="1"/>
  <c r="AL302" i="53"/>
  <c r="AN302" i="53" s="1"/>
  <c r="AL303" i="53"/>
  <c r="AN303" i="53" s="1"/>
  <c r="AL304" i="53"/>
  <c r="AN304" i="53" s="1"/>
  <c r="AL305" i="53"/>
  <c r="AN305" i="53" s="1"/>
  <c r="AL306" i="53"/>
  <c r="AN306" i="53" s="1"/>
  <c r="AL307" i="53"/>
  <c r="AN307" i="53" s="1"/>
  <c r="AL308" i="53"/>
  <c r="AN308" i="53" s="1"/>
  <c r="AL309" i="53"/>
  <c r="AN309" i="53" s="1"/>
  <c r="AL310" i="53"/>
  <c r="AN310" i="53" s="1"/>
  <c r="AL311" i="53"/>
  <c r="AN311" i="53" s="1"/>
  <c r="AL312" i="53"/>
  <c r="AN312" i="53" s="1"/>
  <c r="AL313" i="53"/>
  <c r="AN313" i="53" s="1"/>
  <c r="AL314" i="53"/>
  <c r="AN314" i="53" s="1"/>
  <c r="AL315" i="53"/>
  <c r="AN315" i="53" s="1"/>
  <c r="AL316" i="53"/>
  <c r="AN316" i="53" s="1"/>
  <c r="AL317" i="53"/>
  <c r="AN317" i="53" s="1"/>
  <c r="AL318" i="53"/>
  <c r="AN318" i="53" s="1"/>
  <c r="AL319" i="53"/>
  <c r="AN319" i="53" s="1"/>
  <c r="AL320" i="53"/>
  <c r="AN320" i="53" s="1"/>
  <c r="AL321" i="53"/>
  <c r="AN321" i="53" s="1"/>
  <c r="AL322" i="53"/>
  <c r="AN322" i="53" s="1"/>
  <c r="AL323" i="53"/>
  <c r="AN323" i="53" s="1"/>
  <c r="AL324" i="53"/>
  <c r="AN324" i="53" s="1"/>
  <c r="AL325" i="53"/>
  <c r="AN325" i="53" s="1"/>
  <c r="AL326" i="53"/>
  <c r="AN326" i="53" s="1"/>
  <c r="AL327" i="53"/>
  <c r="AN327" i="53" s="1"/>
  <c r="AL328" i="53"/>
  <c r="AN328" i="53" s="1"/>
  <c r="AL329" i="53"/>
  <c r="AN329" i="53" s="1"/>
  <c r="AL330" i="53"/>
  <c r="AN330" i="53" s="1"/>
  <c r="AL331" i="53"/>
  <c r="AN331" i="53" s="1"/>
  <c r="AL332" i="53"/>
  <c r="AN332" i="53" s="1"/>
  <c r="AL333" i="53"/>
  <c r="AN333" i="53" s="1"/>
  <c r="AL334" i="53"/>
  <c r="AN334" i="53" s="1"/>
  <c r="AL335" i="53"/>
  <c r="AN335" i="53" s="1"/>
  <c r="AL336" i="53"/>
  <c r="AN336" i="53" s="1"/>
  <c r="AL337" i="53"/>
  <c r="AN337" i="53" s="1"/>
  <c r="AL338" i="53"/>
  <c r="AN338" i="53" s="1"/>
  <c r="AL339" i="53"/>
  <c r="AN339" i="53" s="1"/>
  <c r="AL340" i="53"/>
  <c r="AN340" i="53" s="1"/>
  <c r="AL341" i="53"/>
  <c r="AN341" i="53" s="1"/>
  <c r="AL342" i="53"/>
  <c r="AN342" i="53" s="1"/>
  <c r="AL343" i="53"/>
  <c r="AN343" i="53" s="1"/>
  <c r="AL344" i="53"/>
  <c r="AN344" i="53" s="1"/>
  <c r="AL345" i="53"/>
  <c r="AN345" i="53" s="1"/>
  <c r="AL346" i="53"/>
  <c r="AN346" i="53" s="1"/>
  <c r="AL347" i="53"/>
  <c r="AN347" i="53" s="1"/>
  <c r="AL348" i="53"/>
  <c r="AN348" i="53" s="1"/>
  <c r="AL349" i="53"/>
  <c r="AN349" i="53" s="1"/>
  <c r="AL350" i="53"/>
  <c r="AN350" i="53" s="1"/>
  <c r="AL351" i="53"/>
  <c r="AN351" i="53" s="1"/>
  <c r="AL352" i="53"/>
  <c r="AN352" i="53" s="1"/>
  <c r="AL353" i="53"/>
  <c r="AN353" i="53" s="1"/>
  <c r="AL354" i="53"/>
  <c r="AN354" i="53" s="1"/>
  <c r="AL355" i="53"/>
  <c r="AN355" i="53" s="1"/>
  <c r="AL356" i="53"/>
  <c r="AN356" i="53" s="1"/>
  <c r="AL357" i="53"/>
  <c r="AN357" i="53" s="1"/>
  <c r="AL358" i="53"/>
  <c r="AN358" i="53" s="1"/>
  <c r="AL359" i="53"/>
  <c r="AN359" i="53" s="1"/>
  <c r="AL360" i="53"/>
  <c r="AN360" i="53" s="1"/>
  <c r="AL361" i="53"/>
  <c r="AN361" i="53" s="1"/>
  <c r="AL362" i="53"/>
  <c r="AN362" i="53" s="1"/>
  <c r="AL363" i="53"/>
  <c r="AN363" i="53" s="1"/>
  <c r="AL364" i="53"/>
  <c r="AN364" i="53" s="1"/>
  <c r="AL365" i="53"/>
  <c r="AN365" i="53" s="1"/>
  <c r="AL366" i="53"/>
  <c r="AN366" i="53" s="1"/>
  <c r="AL2" i="53"/>
  <c r="AN2" i="53" s="1"/>
  <c r="AI29" i="53"/>
  <c r="AM29" i="53" s="1"/>
  <c r="AD3" i="53"/>
  <c r="AF3" i="53" s="1"/>
  <c r="AD4" i="53"/>
  <c r="AF4" i="53" s="1"/>
  <c r="AD5" i="53"/>
  <c r="AF5" i="53" s="1"/>
  <c r="AD6" i="53"/>
  <c r="AF6" i="53" s="1"/>
  <c r="AD7" i="53"/>
  <c r="AF7" i="53" s="1"/>
  <c r="AD8" i="53"/>
  <c r="AF8" i="53" s="1"/>
  <c r="AD9" i="53"/>
  <c r="AF9" i="53" s="1"/>
  <c r="AD10" i="53"/>
  <c r="AF10" i="53" s="1"/>
  <c r="AD11" i="53"/>
  <c r="AF11" i="53" s="1"/>
  <c r="AD12" i="53"/>
  <c r="AF12" i="53" s="1"/>
  <c r="AD13" i="53"/>
  <c r="AF13" i="53" s="1"/>
  <c r="AD14" i="53"/>
  <c r="AF14" i="53" s="1"/>
  <c r="AD15" i="53"/>
  <c r="AF15" i="53" s="1"/>
  <c r="AD16" i="53"/>
  <c r="AF16" i="53" s="1"/>
  <c r="AD17" i="53"/>
  <c r="AF17" i="53" s="1"/>
  <c r="AD18" i="53"/>
  <c r="AF18" i="53" s="1"/>
  <c r="AD19" i="53"/>
  <c r="AF19" i="53" s="1"/>
  <c r="AD20" i="53"/>
  <c r="AF20" i="53" s="1"/>
  <c r="AD21" i="53"/>
  <c r="AF21" i="53" s="1"/>
  <c r="AD22" i="53"/>
  <c r="AF22" i="53" s="1"/>
  <c r="AD23" i="53"/>
  <c r="AF23" i="53" s="1"/>
  <c r="AD24" i="53"/>
  <c r="AF24" i="53" s="1"/>
  <c r="AD25" i="53"/>
  <c r="AF25" i="53" s="1"/>
  <c r="AD26" i="53"/>
  <c r="AF26" i="53" s="1"/>
  <c r="AD27" i="53"/>
  <c r="AF27" i="53" s="1"/>
  <c r="AD28" i="53"/>
  <c r="AF28" i="53" s="1"/>
  <c r="AD29" i="53"/>
  <c r="AF29" i="53" s="1"/>
  <c r="AD30" i="53"/>
  <c r="AF30" i="53" s="1"/>
  <c r="AD31" i="53"/>
  <c r="AF31" i="53" s="1"/>
  <c r="AD32" i="53"/>
  <c r="AF32" i="53" s="1"/>
  <c r="AD33" i="53"/>
  <c r="AF33" i="53" s="1"/>
  <c r="AD34" i="53"/>
  <c r="AF34" i="53" s="1"/>
  <c r="AD35" i="53"/>
  <c r="AF35" i="53" s="1"/>
  <c r="AD36" i="53"/>
  <c r="AF36" i="53" s="1"/>
  <c r="AD37" i="53"/>
  <c r="AF37" i="53" s="1"/>
  <c r="AD38" i="53"/>
  <c r="AF38" i="53" s="1"/>
  <c r="AD39" i="53"/>
  <c r="AF39" i="53" s="1"/>
  <c r="AD40" i="53"/>
  <c r="AF40" i="53" s="1"/>
  <c r="AD41" i="53"/>
  <c r="AF41" i="53" s="1"/>
  <c r="AD42" i="53"/>
  <c r="AF42" i="53" s="1"/>
  <c r="AD43" i="53"/>
  <c r="AF43" i="53" s="1"/>
  <c r="AD44" i="53"/>
  <c r="AF44" i="53" s="1"/>
  <c r="AD45" i="53"/>
  <c r="AF45" i="53" s="1"/>
  <c r="AD46" i="53"/>
  <c r="AF46" i="53" s="1"/>
  <c r="AD47" i="53"/>
  <c r="AF47" i="53" s="1"/>
  <c r="AD48" i="53"/>
  <c r="AF48" i="53" s="1"/>
  <c r="AD49" i="53"/>
  <c r="AF49" i="53" s="1"/>
  <c r="AD50" i="53"/>
  <c r="AF50" i="53" s="1"/>
  <c r="AD51" i="53"/>
  <c r="AF51" i="53" s="1"/>
  <c r="AD52" i="53"/>
  <c r="AF52" i="53" s="1"/>
  <c r="AD53" i="53"/>
  <c r="AF53" i="53" s="1"/>
  <c r="AD54" i="53"/>
  <c r="AF54" i="53" s="1"/>
  <c r="AD55" i="53"/>
  <c r="AF55" i="53" s="1"/>
  <c r="AD56" i="53"/>
  <c r="AF56" i="53" s="1"/>
  <c r="AD57" i="53"/>
  <c r="AF57" i="53" s="1"/>
  <c r="AD58" i="53"/>
  <c r="AF58" i="53" s="1"/>
  <c r="AD59" i="53"/>
  <c r="AF59" i="53" s="1"/>
  <c r="AD60" i="53"/>
  <c r="AF60" i="53" s="1"/>
  <c r="AD61" i="53"/>
  <c r="AF61" i="53" s="1"/>
  <c r="AD62" i="53"/>
  <c r="AF62" i="53" s="1"/>
  <c r="AD63" i="53"/>
  <c r="AF63" i="53" s="1"/>
  <c r="AD64" i="53"/>
  <c r="AF64" i="53" s="1"/>
  <c r="AD65" i="53"/>
  <c r="AF65" i="53" s="1"/>
  <c r="AD66" i="53"/>
  <c r="AF66" i="53" s="1"/>
  <c r="AD67" i="53"/>
  <c r="AF67" i="53" s="1"/>
  <c r="AD68" i="53"/>
  <c r="AF68" i="53" s="1"/>
  <c r="AD69" i="53"/>
  <c r="AF69" i="53" s="1"/>
  <c r="AD70" i="53"/>
  <c r="AF70" i="53" s="1"/>
  <c r="AD71" i="53"/>
  <c r="AF71" i="53" s="1"/>
  <c r="AD72" i="53"/>
  <c r="AF72" i="53" s="1"/>
  <c r="AD73" i="53"/>
  <c r="AF73" i="53" s="1"/>
  <c r="AD74" i="53"/>
  <c r="AF74" i="53" s="1"/>
  <c r="AD75" i="53"/>
  <c r="AF75" i="53" s="1"/>
  <c r="AD76" i="53"/>
  <c r="AF76" i="53" s="1"/>
  <c r="AD77" i="53"/>
  <c r="AF77" i="53" s="1"/>
  <c r="AD78" i="53"/>
  <c r="AF78" i="53" s="1"/>
  <c r="AD79" i="53"/>
  <c r="AF79" i="53" s="1"/>
  <c r="AD80" i="53"/>
  <c r="AF80" i="53" s="1"/>
  <c r="AD81" i="53"/>
  <c r="AF81" i="53" s="1"/>
  <c r="AD82" i="53"/>
  <c r="AF82" i="53" s="1"/>
  <c r="AD83" i="53"/>
  <c r="AF83" i="53" s="1"/>
  <c r="AD84" i="53"/>
  <c r="AF84" i="53" s="1"/>
  <c r="AD85" i="53"/>
  <c r="AF85" i="53" s="1"/>
  <c r="AD86" i="53"/>
  <c r="AF86" i="53" s="1"/>
  <c r="AD87" i="53"/>
  <c r="AF87" i="53" s="1"/>
  <c r="AD88" i="53"/>
  <c r="AF88" i="53" s="1"/>
  <c r="AD89" i="53"/>
  <c r="AF89" i="53" s="1"/>
  <c r="AD90" i="53"/>
  <c r="AF90" i="53" s="1"/>
  <c r="AD91" i="53"/>
  <c r="AF91" i="53" s="1"/>
  <c r="AD92" i="53"/>
  <c r="AF92" i="53" s="1"/>
  <c r="AD93" i="53"/>
  <c r="AF93" i="53" s="1"/>
  <c r="AD94" i="53"/>
  <c r="AF94" i="53" s="1"/>
  <c r="AD95" i="53"/>
  <c r="AF95" i="53" s="1"/>
  <c r="AD96" i="53"/>
  <c r="AF96" i="53" s="1"/>
  <c r="AD97" i="53"/>
  <c r="AF97" i="53" s="1"/>
  <c r="AD98" i="53"/>
  <c r="AF98" i="53" s="1"/>
  <c r="AD99" i="53"/>
  <c r="AF99" i="53" s="1"/>
  <c r="AD100" i="53"/>
  <c r="AF100" i="53" s="1"/>
  <c r="AD101" i="53"/>
  <c r="AF101" i="53" s="1"/>
  <c r="AD102" i="53"/>
  <c r="AF102" i="53" s="1"/>
  <c r="AD103" i="53"/>
  <c r="AF103" i="53" s="1"/>
  <c r="AD104" i="53"/>
  <c r="AF104" i="53" s="1"/>
  <c r="AD105" i="53"/>
  <c r="AF105" i="53" s="1"/>
  <c r="AD106" i="53"/>
  <c r="AF106" i="53" s="1"/>
  <c r="AD107" i="53"/>
  <c r="AF107" i="53" s="1"/>
  <c r="AD108" i="53"/>
  <c r="AF108" i="53" s="1"/>
  <c r="AD109" i="53"/>
  <c r="AF109" i="53" s="1"/>
  <c r="AD110" i="53"/>
  <c r="AF110" i="53" s="1"/>
  <c r="AD111" i="53"/>
  <c r="AF111" i="53" s="1"/>
  <c r="AD112" i="53"/>
  <c r="AF112" i="53" s="1"/>
  <c r="AD113" i="53"/>
  <c r="AF113" i="53" s="1"/>
  <c r="AD114" i="53"/>
  <c r="AF114" i="53" s="1"/>
  <c r="AD115" i="53"/>
  <c r="AF115" i="53" s="1"/>
  <c r="AD116" i="53"/>
  <c r="AF116" i="53" s="1"/>
  <c r="AD117" i="53"/>
  <c r="AF117" i="53" s="1"/>
  <c r="AD118" i="53"/>
  <c r="AF118" i="53" s="1"/>
  <c r="AD119" i="53"/>
  <c r="AF119" i="53" s="1"/>
  <c r="AD120" i="53"/>
  <c r="AF120" i="53" s="1"/>
  <c r="AD121" i="53"/>
  <c r="AF121" i="53" s="1"/>
  <c r="AD122" i="53"/>
  <c r="AF122" i="53" s="1"/>
  <c r="AD123" i="53"/>
  <c r="AF123" i="53" s="1"/>
  <c r="AD124" i="53"/>
  <c r="AF124" i="53" s="1"/>
  <c r="AD125" i="53"/>
  <c r="AF125" i="53" s="1"/>
  <c r="AD126" i="53"/>
  <c r="AF126" i="53" s="1"/>
  <c r="AD127" i="53"/>
  <c r="AF127" i="53" s="1"/>
  <c r="AD128" i="53"/>
  <c r="AF128" i="53" s="1"/>
  <c r="AD129" i="53"/>
  <c r="AF129" i="53" s="1"/>
  <c r="AD130" i="53"/>
  <c r="AF130" i="53" s="1"/>
  <c r="AD131" i="53"/>
  <c r="AF131" i="53" s="1"/>
  <c r="AD132" i="53"/>
  <c r="AF132" i="53" s="1"/>
  <c r="AD133" i="53"/>
  <c r="AF133" i="53" s="1"/>
  <c r="AD134" i="53"/>
  <c r="AF134" i="53" s="1"/>
  <c r="AD135" i="53"/>
  <c r="AF135" i="53" s="1"/>
  <c r="AD136" i="53"/>
  <c r="AF136" i="53" s="1"/>
  <c r="AD137" i="53"/>
  <c r="AF137" i="53" s="1"/>
  <c r="AD138" i="53"/>
  <c r="AF138" i="53" s="1"/>
  <c r="AD139" i="53"/>
  <c r="AF139" i="53" s="1"/>
  <c r="AD140" i="53"/>
  <c r="AF140" i="53" s="1"/>
  <c r="AD141" i="53"/>
  <c r="AF141" i="53" s="1"/>
  <c r="AD142" i="53"/>
  <c r="AF142" i="53" s="1"/>
  <c r="AD143" i="53"/>
  <c r="AF143" i="53" s="1"/>
  <c r="AD144" i="53"/>
  <c r="AF144" i="53" s="1"/>
  <c r="AD145" i="53"/>
  <c r="AF145" i="53" s="1"/>
  <c r="AD146" i="53"/>
  <c r="AF146" i="53" s="1"/>
  <c r="AD147" i="53"/>
  <c r="AF147" i="53" s="1"/>
  <c r="AD148" i="53"/>
  <c r="AF148" i="53" s="1"/>
  <c r="AD149" i="53"/>
  <c r="AF149" i="53" s="1"/>
  <c r="AD150" i="53"/>
  <c r="AF150" i="53" s="1"/>
  <c r="AD151" i="53"/>
  <c r="AF151" i="53" s="1"/>
  <c r="AD152" i="53"/>
  <c r="AF152" i="53" s="1"/>
  <c r="AD153" i="53"/>
  <c r="AF153" i="53" s="1"/>
  <c r="AD154" i="53"/>
  <c r="AF154" i="53" s="1"/>
  <c r="AD155" i="53"/>
  <c r="AF155" i="53" s="1"/>
  <c r="AD156" i="53"/>
  <c r="AF156" i="53" s="1"/>
  <c r="AD157" i="53"/>
  <c r="AF157" i="53" s="1"/>
  <c r="AD158" i="53"/>
  <c r="AF158" i="53" s="1"/>
  <c r="AD159" i="53"/>
  <c r="AF159" i="53" s="1"/>
  <c r="AD160" i="53"/>
  <c r="AF160" i="53" s="1"/>
  <c r="AD161" i="53"/>
  <c r="AF161" i="53" s="1"/>
  <c r="AD162" i="53"/>
  <c r="AF162" i="53" s="1"/>
  <c r="AD163" i="53"/>
  <c r="AF163" i="53" s="1"/>
  <c r="AD164" i="53"/>
  <c r="AF164" i="53" s="1"/>
  <c r="AD165" i="53"/>
  <c r="AF165" i="53" s="1"/>
  <c r="AD166" i="53"/>
  <c r="AF166" i="53" s="1"/>
  <c r="AD167" i="53"/>
  <c r="AF167" i="53" s="1"/>
  <c r="AD168" i="53"/>
  <c r="AF168" i="53" s="1"/>
  <c r="AD169" i="53"/>
  <c r="AF169" i="53" s="1"/>
  <c r="AD170" i="53"/>
  <c r="AF170" i="53" s="1"/>
  <c r="AD171" i="53"/>
  <c r="AF171" i="53" s="1"/>
  <c r="AD172" i="53"/>
  <c r="AF172" i="53" s="1"/>
  <c r="AD173" i="53"/>
  <c r="AF173" i="53" s="1"/>
  <c r="AD174" i="53"/>
  <c r="AF174" i="53" s="1"/>
  <c r="AD175" i="53"/>
  <c r="AF175" i="53" s="1"/>
  <c r="AD176" i="53"/>
  <c r="AF176" i="53" s="1"/>
  <c r="AD177" i="53"/>
  <c r="AF177" i="53" s="1"/>
  <c r="AD178" i="53"/>
  <c r="AF178" i="53" s="1"/>
  <c r="AD179" i="53"/>
  <c r="AF179" i="53" s="1"/>
  <c r="AD180" i="53"/>
  <c r="AF180" i="53" s="1"/>
  <c r="AD181" i="53"/>
  <c r="AF181" i="53" s="1"/>
  <c r="AD182" i="53"/>
  <c r="AF182" i="53" s="1"/>
  <c r="AD183" i="53"/>
  <c r="AF183" i="53" s="1"/>
  <c r="AD184" i="53"/>
  <c r="AF184" i="53" s="1"/>
  <c r="AD185" i="53"/>
  <c r="AF185" i="53" s="1"/>
  <c r="AD186" i="53"/>
  <c r="AF186" i="53" s="1"/>
  <c r="AD187" i="53"/>
  <c r="AF187" i="53" s="1"/>
  <c r="AD188" i="53"/>
  <c r="AF188" i="53" s="1"/>
  <c r="AD189" i="53"/>
  <c r="AF189" i="53" s="1"/>
  <c r="AD190" i="53"/>
  <c r="AF190" i="53" s="1"/>
  <c r="AD191" i="53"/>
  <c r="AF191" i="53" s="1"/>
  <c r="AD192" i="53"/>
  <c r="AF192" i="53" s="1"/>
  <c r="AD193" i="53"/>
  <c r="AF193" i="53" s="1"/>
  <c r="AD194" i="53"/>
  <c r="AF194" i="53" s="1"/>
  <c r="AD195" i="53"/>
  <c r="AF195" i="53" s="1"/>
  <c r="AD196" i="53"/>
  <c r="AF196" i="53" s="1"/>
  <c r="AD197" i="53"/>
  <c r="AF197" i="53" s="1"/>
  <c r="AD198" i="53"/>
  <c r="AF198" i="53" s="1"/>
  <c r="AD199" i="53"/>
  <c r="AF199" i="53" s="1"/>
  <c r="AD200" i="53"/>
  <c r="AF200" i="53" s="1"/>
  <c r="AD201" i="53"/>
  <c r="AF201" i="53" s="1"/>
  <c r="AD202" i="53"/>
  <c r="AF202" i="53" s="1"/>
  <c r="AD203" i="53"/>
  <c r="AF203" i="53" s="1"/>
  <c r="AD204" i="53"/>
  <c r="AF204" i="53" s="1"/>
  <c r="AD205" i="53"/>
  <c r="AF205" i="53" s="1"/>
  <c r="AD206" i="53"/>
  <c r="AF206" i="53" s="1"/>
  <c r="AD207" i="53"/>
  <c r="AF207" i="53" s="1"/>
  <c r="AD208" i="53"/>
  <c r="AF208" i="53" s="1"/>
  <c r="AD209" i="53"/>
  <c r="AF209" i="53" s="1"/>
  <c r="AD210" i="53"/>
  <c r="AF210" i="53" s="1"/>
  <c r="AD211" i="53"/>
  <c r="AF211" i="53" s="1"/>
  <c r="AD212" i="53"/>
  <c r="AF212" i="53" s="1"/>
  <c r="AD213" i="53"/>
  <c r="AF213" i="53" s="1"/>
  <c r="AD214" i="53"/>
  <c r="AF214" i="53" s="1"/>
  <c r="AD215" i="53"/>
  <c r="AF215" i="53" s="1"/>
  <c r="AD216" i="53"/>
  <c r="AF216" i="53" s="1"/>
  <c r="AD217" i="53"/>
  <c r="AF217" i="53" s="1"/>
  <c r="AD218" i="53"/>
  <c r="AF218" i="53" s="1"/>
  <c r="AD219" i="53"/>
  <c r="AF219" i="53" s="1"/>
  <c r="AD220" i="53"/>
  <c r="AF220" i="53" s="1"/>
  <c r="AD221" i="53"/>
  <c r="AF221" i="53" s="1"/>
  <c r="AD222" i="53"/>
  <c r="AF222" i="53" s="1"/>
  <c r="AD223" i="53"/>
  <c r="AF223" i="53" s="1"/>
  <c r="AD224" i="53"/>
  <c r="AF224" i="53" s="1"/>
  <c r="AD225" i="53"/>
  <c r="AF225" i="53" s="1"/>
  <c r="AD226" i="53"/>
  <c r="AF226" i="53" s="1"/>
  <c r="AD227" i="53"/>
  <c r="AF227" i="53" s="1"/>
  <c r="AD228" i="53"/>
  <c r="AF228" i="53" s="1"/>
  <c r="AD229" i="53"/>
  <c r="AF229" i="53" s="1"/>
  <c r="AD230" i="53"/>
  <c r="AF230" i="53" s="1"/>
  <c r="AD231" i="53"/>
  <c r="AF231" i="53" s="1"/>
  <c r="AD232" i="53"/>
  <c r="AF232" i="53" s="1"/>
  <c r="AD233" i="53"/>
  <c r="AF233" i="53" s="1"/>
  <c r="AD234" i="53"/>
  <c r="AF234" i="53" s="1"/>
  <c r="AD235" i="53"/>
  <c r="AF235" i="53" s="1"/>
  <c r="AD236" i="53"/>
  <c r="AF236" i="53" s="1"/>
  <c r="AD237" i="53"/>
  <c r="AF237" i="53" s="1"/>
  <c r="AD238" i="53"/>
  <c r="AF238" i="53" s="1"/>
  <c r="AD239" i="53"/>
  <c r="AF239" i="53" s="1"/>
  <c r="AD240" i="53"/>
  <c r="AF240" i="53" s="1"/>
  <c r="AD241" i="53"/>
  <c r="AF241" i="53" s="1"/>
  <c r="AD242" i="53"/>
  <c r="AF242" i="53" s="1"/>
  <c r="AD243" i="53"/>
  <c r="AF243" i="53" s="1"/>
  <c r="AD244" i="53"/>
  <c r="AF244" i="53" s="1"/>
  <c r="AD245" i="53"/>
  <c r="AF245" i="53" s="1"/>
  <c r="AD246" i="53"/>
  <c r="AF246" i="53" s="1"/>
  <c r="AD247" i="53"/>
  <c r="AF247" i="53" s="1"/>
  <c r="AD248" i="53"/>
  <c r="AF248" i="53" s="1"/>
  <c r="AD249" i="53"/>
  <c r="AF249" i="53" s="1"/>
  <c r="AD250" i="53"/>
  <c r="AF250" i="53" s="1"/>
  <c r="AD251" i="53"/>
  <c r="AF251" i="53" s="1"/>
  <c r="AD252" i="53"/>
  <c r="AF252" i="53" s="1"/>
  <c r="AD253" i="53"/>
  <c r="AF253" i="53" s="1"/>
  <c r="AD254" i="53"/>
  <c r="AF254" i="53" s="1"/>
  <c r="AD255" i="53"/>
  <c r="AF255" i="53" s="1"/>
  <c r="AD256" i="53"/>
  <c r="AF256" i="53" s="1"/>
  <c r="AD257" i="53"/>
  <c r="AF257" i="53" s="1"/>
  <c r="AD258" i="53"/>
  <c r="AF258" i="53" s="1"/>
  <c r="AD259" i="53"/>
  <c r="AF259" i="53" s="1"/>
  <c r="AD260" i="53"/>
  <c r="AF260" i="53" s="1"/>
  <c r="AD261" i="53"/>
  <c r="AF261" i="53" s="1"/>
  <c r="AD262" i="53"/>
  <c r="AF262" i="53" s="1"/>
  <c r="AD263" i="53"/>
  <c r="AF263" i="53" s="1"/>
  <c r="AD264" i="53"/>
  <c r="AF264" i="53" s="1"/>
  <c r="AD265" i="53"/>
  <c r="AF265" i="53" s="1"/>
  <c r="AD266" i="53"/>
  <c r="AF266" i="53" s="1"/>
  <c r="AD267" i="53"/>
  <c r="AF267" i="53" s="1"/>
  <c r="AD268" i="53"/>
  <c r="AF268" i="53" s="1"/>
  <c r="AD269" i="53"/>
  <c r="AF269" i="53" s="1"/>
  <c r="AD270" i="53"/>
  <c r="AF270" i="53" s="1"/>
  <c r="AD271" i="53"/>
  <c r="AF271" i="53" s="1"/>
  <c r="AD272" i="53"/>
  <c r="AF272" i="53" s="1"/>
  <c r="AD273" i="53"/>
  <c r="AF273" i="53" s="1"/>
  <c r="AD274" i="53"/>
  <c r="AF274" i="53" s="1"/>
  <c r="AD275" i="53"/>
  <c r="AF275" i="53" s="1"/>
  <c r="AD276" i="53"/>
  <c r="AF276" i="53" s="1"/>
  <c r="AD277" i="53"/>
  <c r="AF277" i="53" s="1"/>
  <c r="AD278" i="53"/>
  <c r="AF278" i="53" s="1"/>
  <c r="AD279" i="53"/>
  <c r="AF279" i="53" s="1"/>
  <c r="AD280" i="53"/>
  <c r="AF280" i="53" s="1"/>
  <c r="AD281" i="53"/>
  <c r="AF281" i="53" s="1"/>
  <c r="AD282" i="53"/>
  <c r="AF282" i="53" s="1"/>
  <c r="AD283" i="53"/>
  <c r="AF283" i="53" s="1"/>
  <c r="AD284" i="53"/>
  <c r="AF284" i="53" s="1"/>
  <c r="AD285" i="53"/>
  <c r="AF285" i="53" s="1"/>
  <c r="AD286" i="53"/>
  <c r="AF286" i="53" s="1"/>
  <c r="AD287" i="53"/>
  <c r="AF287" i="53" s="1"/>
  <c r="AD288" i="53"/>
  <c r="AF288" i="53" s="1"/>
  <c r="AD289" i="53"/>
  <c r="AF289" i="53" s="1"/>
  <c r="AD290" i="53"/>
  <c r="AF290" i="53" s="1"/>
  <c r="AD291" i="53"/>
  <c r="AF291" i="53" s="1"/>
  <c r="AD292" i="53"/>
  <c r="AF292" i="53" s="1"/>
  <c r="AD293" i="53"/>
  <c r="AF293" i="53" s="1"/>
  <c r="AD294" i="53"/>
  <c r="AF294" i="53" s="1"/>
  <c r="AD295" i="53"/>
  <c r="AF295" i="53" s="1"/>
  <c r="AD296" i="53"/>
  <c r="AF296" i="53" s="1"/>
  <c r="AD297" i="53"/>
  <c r="AF297" i="53" s="1"/>
  <c r="AD298" i="53"/>
  <c r="AF298" i="53" s="1"/>
  <c r="AD299" i="53"/>
  <c r="AF299" i="53" s="1"/>
  <c r="AD300" i="53"/>
  <c r="AF300" i="53" s="1"/>
  <c r="AD301" i="53"/>
  <c r="AF301" i="53" s="1"/>
  <c r="AD302" i="53"/>
  <c r="AF302" i="53" s="1"/>
  <c r="AD303" i="53"/>
  <c r="AF303" i="53" s="1"/>
  <c r="AD304" i="53"/>
  <c r="AF304" i="53" s="1"/>
  <c r="AD305" i="53"/>
  <c r="AF305" i="53" s="1"/>
  <c r="AD306" i="53"/>
  <c r="AF306" i="53" s="1"/>
  <c r="AD307" i="53"/>
  <c r="AF307" i="53" s="1"/>
  <c r="AD308" i="53"/>
  <c r="AF308" i="53" s="1"/>
  <c r="AD309" i="53"/>
  <c r="AF309" i="53" s="1"/>
  <c r="AD310" i="53"/>
  <c r="AF310" i="53" s="1"/>
  <c r="AD311" i="53"/>
  <c r="AF311" i="53" s="1"/>
  <c r="AD312" i="53"/>
  <c r="AF312" i="53" s="1"/>
  <c r="AD313" i="53"/>
  <c r="AF313" i="53" s="1"/>
  <c r="AD314" i="53"/>
  <c r="AF314" i="53" s="1"/>
  <c r="AD315" i="53"/>
  <c r="AF315" i="53" s="1"/>
  <c r="AD316" i="53"/>
  <c r="AF316" i="53" s="1"/>
  <c r="AD317" i="53"/>
  <c r="AF317" i="53" s="1"/>
  <c r="AD318" i="53"/>
  <c r="AF318" i="53" s="1"/>
  <c r="AD319" i="53"/>
  <c r="AF319" i="53" s="1"/>
  <c r="AD320" i="53"/>
  <c r="AF320" i="53" s="1"/>
  <c r="AD321" i="53"/>
  <c r="AF321" i="53" s="1"/>
  <c r="AD322" i="53"/>
  <c r="AF322" i="53" s="1"/>
  <c r="AD323" i="53"/>
  <c r="AF323" i="53" s="1"/>
  <c r="AD324" i="53"/>
  <c r="AF324" i="53" s="1"/>
  <c r="AD325" i="53"/>
  <c r="AF325" i="53" s="1"/>
  <c r="AD326" i="53"/>
  <c r="AF326" i="53" s="1"/>
  <c r="AD327" i="53"/>
  <c r="AF327" i="53" s="1"/>
  <c r="AD328" i="53"/>
  <c r="AF328" i="53" s="1"/>
  <c r="AD329" i="53"/>
  <c r="AF329" i="53" s="1"/>
  <c r="AD330" i="53"/>
  <c r="AF330" i="53" s="1"/>
  <c r="AD331" i="53"/>
  <c r="AF331" i="53" s="1"/>
  <c r="AD332" i="53"/>
  <c r="AF332" i="53" s="1"/>
  <c r="AD333" i="53"/>
  <c r="AF333" i="53" s="1"/>
  <c r="AD334" i="53"/>
  <c r="AF334" i="53" s="1"/>
  <c r="AD335" i="53"/>
  <c r="AF335" i="53" s="1"/>
  <c r="AD336" i="53"/>
  <c r="AF336" i="53" s="1"/>
  <c r="AD337" i="53"/>
  <c r="AF337" i="53" s="1"/>
  <c r="AD338" i="53"/>
  <c r="AF338" i="53" s="1"/>
  <c r="AD339" i="53"/>
  <c r="AF339" i="53" s="1"/>
  <c r="AD340" i="53"/>
  <c r="AF340" i="53" s="1"/>
  <c r="AD341" i="53"/>
  <c r="AF341" i="53" s="1"/>
  <c r="AD342" i="53"/>
  <c r="AF342" i="53" s="1"/>
  <c r="AD343" i="53"/>
  <c r="AF343" i="53" s="1"/>
  <c r="AD344" i="53"/>
  <c r="AF344" i="53" s="1"/>
  <c r="AD345" i="53"/>
  <c r="AF345" i="53" s="1"/>
  <c r="AD346" i="53"/>
  <c r="AF346" i="53" s="1"/>
  <c r="AD347" i="53"/>
  <c r="AF347" i="53" s="1"/>
  <c r="AD348" i="53"/>
  <c r="AF348" i="53" s="1"/>
  <c r="AD349" i="53"/>
  <c r="AF349" i="53" s="1"/>
  <c r="AD350" i="53"/>
  <c r="AF350" i="53" s="1"/>
  <c r="AD351" i="53"/>
  <c r="AF351" i="53" s="1"/>
  <c r="AD352" i="53"/>
  <c r="AF352" i="53" s="1"/>
  <c r="AD353" i="53"/>
  <c r="AF353" i="53" s="1"/>
  <c r="AD354" i="53"/>
  <c r="AF354" i="53" s="1"/>
  <c r="AD355" i="53"/>
  <c r="AF355" i="53" s="1"/>
  <c r="AD356" i="53"/>
  <c r="AF356" i="53" s="1"/>
  <c r="AD357" i="53"/>
  <c r="AF357" i="53" s="1"/>
  <c r="AD358" i="53"/>
  <c r="AF358" i="53" s="1"/>
  <c r="AD359" i="53"/>
  <c r="AF359" i="53" s="1"/>
  <c r="AD360" i="53"/>
  <c r="AF360" i="53" s="1"/>
  <c r="AD361" i="53"/>
  <c r="AF361" i="53" s="1"/>
  <c r="AD362" i="53"/>
  <c r="AF362" i="53" s="1"/>
  <c r="AD363" i="53"/>
  <c r="AF363" i="53" s="1"/>
  <c r="AD364" i="53"/>
  <c r="AF364" i="53" s="1"/>
  <c r="AD365" i="53"/>
  <c r="AF365" i="53" s="1"/>
  <c r="AD366" i="53"/>
  <c r="AF366" i="53" s="1"/>
  <c r="AD2" i="53"/>
  <c r="AF2" i="53" s="1"/>
  <c r="AA29" i="53"/>
  <c r="AE29" i="53" s="1"/>
  <c r="BS29" i="53" l="1"/>
  <c r="BN29" i="53"/>
  <c r="CA29" i="53"/>
  <c r="AH29" i="53"/>
  <c r="BC29" i="53"/>
  <c r="BF29" i="53"/>
  <c r="Z29" i="53"/>
  <c r="AU29" i="53"/>
  <c r="AP29" i="53"/>
  <c r="C29" i="53"/>
  <c r="V3" i="53" l="1"/>
  <c r="X3" i="53" s="1"/>
  <c r="V4" i="53"/>
  <c r="X4" i="53" s="1"/>
  <c r="V5" i="53"/>
  <c r="X5" i="53" s="1"/>
  <c r="V6" i="53"/>
  <c r="X6" i="53" s="1"/>
  <c r="V7" i="53"/>
  <c r="X7" i="53" s="1"/>
  <c r="V8" i="53"/>
  <c r="X8" i="53" s="1"/>
  <c r="V9" i="53"/>
  <c r="X9" i="53" s="1"/>
  <c r="V10" i="53"/>
  <c r="X10" i="53" s="1"/>
  <c r="V11" i="53"/>
  <c r="X11" i="53" s="1"/>
  <c r="V12" i="53"/>
  <c r="X12" i="53" s="1"/>
  <c r="V13" i="53"/>
  <c r="X13" i="53" s="1"/>
  <c r="V14" i="53"/>
  <c r="X14" i="53" s="1"/>
  <c r="V15" i="53"/>
  <c r="X15" i="53" s="1"/>
  <c r="V16" i="53"/>
  <c r="X16" i="53" s="1"/>
  <c r="V17" i="53"/>
  <c r="X17" i="53" s="1"/>
  <c r="V18" i="53"/>
  <c r="X18" i="53" s="1"/>
  <c r="V19" i="53"/>
  <c r="X19" i="53" s="1"/>
  <c r="V20" i="53"/>
  <c r="X20" i="53" s="1"/>
  <c r="V21" i="53"/>
  <c r="X21" i="53" s="1"/>
  <c r="V22" i="53"/>
  <c r="X22" i="53" s="1"/>
  <c r="V23" i="53"/>
  <c r="X23" i="53" s="1"/>
  <c r="V24" i="53"/>
  <c r="X24" i="53" s="1"/>
  <c r="V25" i="53"/>
  <c r="X25" i="53" s="1"/>
  <c r="V26" i="53"/>
  <c r="X26" i="53" s="1"/>
  <c r="V27" i="53"/>
  <c r="X27" i="53" s="1"/>
  <c r="V28" i="53"/>
  <c r="X28" i="53" s="1"/>
  <c r="V29" i="53"/>
  <c r="X29" i="53" s="1"/>
  <c r="V30" i="53"/>
  <c r="X30" i="53" s="1"/>
  <c r="V31" i="53"/>
  <c r="X31" i="53" s="1"/>
  <c r="V32" i="53"/>
  <c r="X32" i="53" s="1"/>
  <c r="V33" i="53"/>
  <c r="X33" i="53" s="1"/>
  <c r="V34" i="53"/>
  <c r="X34" i="53" s="1"/>
  <c r="V35" i="53"/>
  <c r="X35" i="53" s="1"/>
  <c r="V36" i="53"/>
  <c r="X36" i="53" s="1"/>
  <c r="V37" i="53"/>
  <c r="X37" i="53" s="1"/>
  <c r="V38" i="53"/>
  <c r="X38" i="53" s="1"/>
  <c r="V39" i="53"/>
  <c r="X39" i="53" s="1"/>
  <c r="V40" i="53"/>
  <c r="X40" i="53" s="1"/>
  <c r="V41" i="53"/>
  <c r="X41" i="53" s="1"/>
  <c r="V42" i="53"/>
  <c r="X42" i="53" s="1"/>
  <c r="V43" i="53"/>
  <c r="X43" i="53" s="1"/>
  <c r="V44" i="53"/>
  <c r="X44" i="53" s="1"/>
  <c r="V45" i="53"/>
  <c r="X45" i="53" s="1"/>
  <c r="V46" i="53"/>
  <c r="X46" i="53" s="1"/>
  <c r="V47" i="53"/>
  <c r="X47" i="53" s="1"/>
  <c r="V48" i="53"/>
  <c r="X48" i="53" s="1"/>
  <c r="V49" i="53"/>
  <c r="X49" i="53" s="1"/>
  <c r="V50" i="53"/>
  <c r="X50" i="53" s="1"/>
  <c r="V51" i="53"/>
  <c r="X51" i="53" s="1"/>
  <c r="V52" i="53"/>
  <c r="X52" i="53" s="1"/>
  <c r="V53" i="53"/>
  <c r="X53" i="53" s="1"/>
  <c r="V54" i="53"/>
  <c r="X54" i="53" s="1"/>
  <c r="V55" i="53"/>
  <c r="X55" i="53" s="1"/>
  <c r="V56" i="53"/>
  <c r="X56" i="53" s="1"/>
  <c r="V57" i="53"/>
  <c r="X57" i="53" s="1"/>
  <c r="V58" i="53"/>
  <c r="X58" i="53" s="1"/>
  <c r="V59" i="53"/>
  <c r="X59" i="53" s="1"/>
  <c r="V60" i="53"/>
  <c r="X60" i="53" s="1"/>
  <c r="V61" i="53"/>
  <c r="X61" i="53" s="1"/>
  <c r="V62" i="53"/>
  <c r="X62" i="53" s="1"/>
  <c r="V63" i="53"/>
  <c r="X63" i="53" s="1"/>
  <c r="V64" i="53"/>
  <c r="X64" i="53" s="1"/>
  <c r="V65" i="53"/>
  <c r="X65" i="53" s="1"/>
  <c r="V66" i="53"/>
  <c r="X66" i="53" s="1"/>
  <c r="V67" i="53"/>
  <c r="X67" i="53" s="1"/>
  <c r="V68" i="53"/>
  <c r="X68" i="53" s="1"/>
  <c r="V69" i="53"/>
  <c r="X69" i="53" s="1"/>
  <c r="V70" i="53"/>
  <c r="X70" i="53" s="1"/>
  <c r="V71" i="53"/>
  <c r="X71" i="53" s="1"/>
  <c r="V72" i="53"/>
  <c r="X72" i="53" s="1"/>
  <c r="V73" i="53"/>
  <c r="X73" i="53" s="1"/>
  <c r="V74" i="53"/>
  <c r="X74" i="53" s="1"/>
  <c r="V75" i="53"/>
  <c r="X75" i="53" s="1"/>
  <c r="V76" i="53"/>
  <c r="X76" i="53" s="1"/>
  <c r="V77" i="53"/>
  <c r="X77" i="53" s="1"/>
  <c r="V78" i="53"/>
  <c r="X78" i="53" s="1"/>
  <c r="V79" i="53"/>
  <c r="X79" i="53" s="1"/>
  <c r="V80" i="53"/>
  <c r="X80" i="53" s="1"/>
  <c r="V81" i="53"/>
  <c r="X81" i="53" s="1"/>
  <c r="V82" i="53"/>
  <c r="X82" i="53" s="1"/>
  <c r="V83" i="53"/>
  <c r="X83" i="53" s="1"/>
  <c r="V84" i="53"/>
  <c r="X84" i="53" s="1"/>
  <c r="V85" i="53"/>
  <c r="X85" i="53" s="1"/>
  <c r="V86" i="53"/>
  <c r="X86" i="53" s="1"/>
  <c r="V87" i="53"/>
  <c r="X87" i="53" s="1"/>
  <c r="V88" i="53"/>
  <c r="X88" i="53" s="1"/>
  <c r="V89" i="53"/>
  <c r="X89" i="53" s="1"/>
  <c r="V90" i="53"/>
  <c r="X90" i="53" s="1"/>
  <c r="V91" i="53"/>
  <c r="X91" i="53" s="1"/>
  <c r="V92" i="53"/>
  <c r="X92" i="53" s="1"/>
  <c r="V93" i="53"/>
  <c r="X93" i="53" s="1"/>
  <c r="V94" i="53"/>
  <c r="X94" i="53" s="1"/>
  <c r="V95" i="53"/>
  <c r="X95" i="53" s="1"/>
  <c r="V96" i="53"/>
  <c r="X96" i="53" s="1"/>
  <c r="V97" i="53"/>
  <c r="X97" i="53" s="1"/>
  <c r="V98" i="53"/>
  <c r="X98" i="53" s="1"/>
  <c r="V99" i="53"/>
  <c r="X99" i="53" s="1"/>
  <c r="V100" i="53"/>
  <c r="X100" i="53" s="1"/>
  <c r="V101" i="53"/>
  <c r="X101" i="53" s="1"/>
  <c r="V102" i="53"/>
  <c r="X102" i="53" s="1"/>
  <c r="V103" i="53"/>
  <c r="X103" i="53" s="1"/>
  <c r="V104" i="53"/>
  <c r="X104" i="53" s="1"/>
  <c r="V105" i="53"/>
  <c r="X105" i="53" s="1"/>
  <c r="V106" i="53"/>
  <c r="X106" i="53" s="1"/>
  <c r="V107" i="53"/>
  <c r="X107" i="53" s="1"/>
  <c r="V108" i="53"/>
  <c r="X108" i="53" s="1"/>
  <c r="V109" i="53"/>
  <c r="X109" i="53" s="1"/>
  <c r="V110" i="53"/>
  <c r="X110" i="53" s="1"/>
  <c r="V111" i="53"/>
  <c r="X111" i="53" s="1"/>
  <c r="V112" i="53"/>
  <c r="X112" i="53" s="1"/>
  <c r="V113" i="53"/>
  <c r="X113" i="53" s="1"/>
  <c r="V114" i="53"/>
  <c r="X114" i="53" s="1"/>
  <c r="V115" i="53"/>
  <c r="X115" i="53" s="1"/>
  <c r="V116" i="53"/>
  <c r="X116" i="53" s="1"/>
  <c r="V117" i="53"/>
  <c r="X117" i="53" s="1"/>
  <c r="V118" i="53"/>
  <c r="X118" i="53" s="1"/>
  <c r="V119" i="53"/>
  <c r="X119" i="53" s="1"/>
  <c r="V120" i="53"/>
  <c r="X120" i="53" s="1"/>
  <c r="V121" i="53"/>
  <c r="X121" i="53" s="1"/>
  <c r="V122" i="53"/>
  <c r="X122" i="53" s="1"/>
  <c r="V123" i="53"/>
  <c r="X123" i="53" s="1"/>
  <c r="V124" i="53"/>
  <c r="X124" i="53" s="1"/>
  <c r="V125" i="53"/>
  <c r="X125" i="53" s="1"/>
  <c r="V126" i="53"/>
  <c r="X126" i="53" s="1"/>
  <c r="V127" i="53"/>
  <c r="X127" i="53" s="1"/>
  <c r="V128" i="53"/>
  <c r="X128" i="53" s="1"/>
  <c r="V129" i="53"/>
  <c r="X129" i="53" s="1"/>
  <c r="V130" i="53"/>
  <c r="X130" i="53" s="1"/>
  <c r="V131" i="53"/>
  <c r="X131" i="53" s="1"/>
  <c r="V132" i="53"/>
  <c r="X132" i="53" s="1"/>
  <c r="V133" i="53"/>
  <c r="X133" i="53" s="1"/>
  <c r="V134" i="53"/>
  <c r="X134" i="53" s="1"/>
  <c r="V135" i="53"/>
  <c r="X135" i="53" s="1"/>
  <c r="V136" i="53"/>
  <c r="X136" i="53" s="1"/>
  <c r="V137" i="53"/>
  <c r="X137" i="53" s="1"/>
  <c r="V138" i="53"/>
  <c r="X138" i="53" s="1"/>
  <c r="V139" i="53"/>
  <c r="X139" i="53" s="1"/>
  <c r="V140" i="53"/>
  <c r="X140" i="53" s="1"/>
  <c r="V141" i="53"/>
  <c r="X141" i="53" s="1"/>
  <c r="V142" i="53"/>
  <c r="X142" i="53" s="1"/>
  <c r="V143" i="53"/>
  <c r="X143" i="53" s="1"/>
  <c r="V144" i="53"/>
  <c r="X144" i="53" s="1"/>
  <c r="V145" i="53"/>
  <c r="X145" i="53" s="1"/>
  <c r="V146" i="53"/>
  <c r="X146" i="53" s="1"/>
  <c r="V147" i="53"/>
  <c r="X147" i="53" s="1"/>
  <c r="V148" i="53"/>
  <c r="X148" i="53" s="1"/>
  <c r="V149" i="53"/>
  <c r="X149" i="53" s="1"/>
  <c r="V150" i="53"/>
  <c r="X150" i="53" s="1"/>
  <c r="V151" i="53"/>
  <c r="X151" i="53" s="1"/>
  <c r="V152" i="53"/>
  <c r="X152" i="53" s="1"/>
  <c r="V153" i="53"/>
  <c r="X153" i="53" s="1"/>
  <c r="V154" i="53"/>
  <c r="X154" i="53" s="1"/>
  <c r="V155" i="53"/>
  <c r="X155" i="53" s="1"/>
  <c r="V156" i="53"/>
  <c r="X156" i="53" s="1"/>
  <c r="V157" i="53"/>
  <c r="X157" i="53" s="1"/>
  <c r="V158" i="53"/>
  <c r="X158" i="53" s="1"/>
  <c r="V159" i="53"/>
  <c r="X159" i="53" s="1"/>
  <c r="V160" i="53"/>
  <c r="X160" i="53" s="1"/>
  <c r="V161" i="53"/>
  <c r="X161" i="53" s="1"/>
  <c r="V162" i="53"/>
  <c r="X162" i="53" s="1"/>
  <c r="V163" i="53"/>
  <c r="X163" i="53" s="1"/>
  <c r="V164" i="53"/>
  <c r="X164" i="53" s="1"/>
  <c r="V165" i="53"/>
  <c r="X165" i="53" s="1"/>
  <c r="V166" i="53"/>
  <c r="X166" i="53" s="1"/>
  <c r="V167" i="53"/>
  <c r="X167" i="53" s="1"/>
  <c r="V168" i="53"/>
  <c r="X168" i="53" s="1"/>
  <c r="V169" i="53"/>
  <c r="X169" i="53" s="1"/>
  <c r="V170" i="53"/>
  <c r="X170" i="53" s="1"/>
  <c r="V171" i="53"/>
  <c r="X171" i="53" s="1"/>
  <c r="V172" i="53"/>
  <c r="X172" i="53" s="1"/>
  <c r="V173" i="53"/>
  <c r="X173" i="53" s="1"/>
  <c r="V174" i="53"/>
  <c r="X174" i="53" s="1"/>
  <c r="V175" i="53"/>
  <c r="X175" i="53" s="1"/>
  <c r="V176" i="53"/>
  <c r="X176" i="53" s="1"/>
  <c r="V177" i="53"/>
  <c r="X177" i="53" s="1"/>
  <c r="V178" i="53"/>
  <c r="X178" i="53" s="1"/>
  <c r="V179" i="53"/>
  <c r="X179" i="53" s="1"/>
  <c r="V180" i="53"/>
  <c r="X180" i="53" s="1"/>
  <c r="V181" i="53"/>
  <c r="X181" i="53" s="1"/>
  <c r="V182" i="53"/>
  <c r="X182" i="53" s="1"/>
  <c r="V183" i="53"/>
  <c r="X183" i="53" s="1"/>
  <c r="V184" i="53"/>
  <c r="X184" i="53" s="1"/>
  <c r="V185" i="53"/>
  <c r="X185" i="53" s="1"/>
  <c r="V186" i="53"/>
  <c r="X186" i="53" s="1"/>
  <c r="V187" i="53"/>
  <c r="X187" i="53" s="1"/>
  <c r="V188" i="53"/>
  <c r="X188" i="53" s="1"/>
  <c r="V189" i="53"/>
  <c r="X189" i="53" s="1"/>
  <c r="V190" i="53"/>
  <c r="X190" i="53" s="1"/>
  <c r="V191" i="53"/>
  <c r="X191" i="53" s="1"/>
  <c r="V192" i="53"/>
  <c r="X192" i="53" s="1"/>
  <c r="V193" i="53"/>
  <c r="X193" i="53" s="1"/>
  <c r="V194" i="53"/>
  <c r="X194" i="53" s="1"/>
  <c r="V195" i="53"/>
  <c r="X195" i="53" s="1"/>
  <c r="V196" i="53"/>
  <c r="X196" i="53" s="1"/>
  <c r="V197" i="53"/>
  <c r="X197" i="53" s="1"/>
  <c r="V198" i="53"/>
  <c r="X198" i="53" s="1"/>
  <c r="V199" i="53"/>
  <c r="X199" i="53" s="1"/>
  <c r="V200" i="53"/>
  <c r="X200" i="53" s="1"/>
  <c r="V201" i="53"/>
  <c r="X201" i="53" s="1"/>
  <c r="V202" i="53"/>
  <c r="X202" i="53" s="1"/>
  <c r="V203" i="53"/>
  <c r="X203" i="53" s="1"/>
  <c r="V204" i="53"/>
  <c r="X204" i="53" s="1"/>
  <c r="V205" i="53"/>
  <c r="X205" i="53" s="1"/>
  <c r="V206" i="53"/>
  <c r="X206" i="53" s="1"/>
  <c r="V207" i="53"/>
  <c r="X207" i="53" s="1"/>
  <c r="V208" i="53"/>
  <c r="X208" i="53" s="1"/>
  <c r="V209" i="53"/>
  <c r="X209" i="53" s="1"/>
  <c r="V210" i="53"/>
  <c r="X210" i="53" s="1"/>
  <c r="V211" i="53"/>
  <c r="X211" i="53" s="1"/>
  <c r="V212" i="53"/>
  <c r="X212" i="53" s="1"/>
  <c r="V213" i="53"/>
  <c r="X213" i="53" s="1"/>
  <c r="V214" i="53"/>
  <c r="X214" i="53" s="1"/>
  <c r="V215" i="53"/>
  <c r="X215" i="53" s="1"/>
  <c r="V216" i="53"/>
  <c r="X216" i="53" s="1"/>
  <c r="V217" i="53"/>
  <c r="X217" i="53" s="1"/>
  <c r="V218" i="53"/>
  <c r="X218" i="53" s="1"/>
  <c r="V219" i="53"/>
  <c r="X219" i="53" s="1"/>
  <c r="V220" i="53"/>
  <c r="X220" i="53" s="1"/>
  <c r="V221" i="53"/>
  <c r="X221" i="53" s="1"/>
  <c r="V222" i="53"/>
  <c r="X222" i="53" s="1"/>
  <c r="V223" i="53"/>
  <c r="X223" i="53" s="1"/>
  <c r="V224" i="53"/>
  <c r="X224" i="53" s="1"/>
  <c r="V225" i="53"/>
  <c r="X225" i="53" s="1"/>
  <c r="V226" i="53"/>
  <c r="X226" i="53" s="1"/>
  <c r="V227" i="53"/>
  <c r="X227" i="53" s="1"/>
  <c r="V228" i="53"/>
  <c r="X228" i="53" s="1"/>
  <c r="V229" i="53"/>
  <c r="X229" i="53" s="1"/>
  <c r="V230" i="53"/>
  <c r="X230" i="53" s="1"/>
  <c r="V231" i="53"/>
  <c r="X231" i="53" s="1"/>
  <c r="V232" i="53"/>
  <c r="X232" i="53" s="1"/>
  <c r="V233" i="53"/>
  <c r="X233" i="53" s="1"/>
  <c r="V234" i="53"/>
  <c r="X234" i="53" s="1"/>
  <c r="V235" i="53"/>
  <c r="X235" i="53" s="1"/>
  <c r="V236" i="53"/>
  <c r="X236" i="53" s="1"/>
  <c r="V237" i="53"/>
  <c r="X237" i="53" s="1"/>
  <c r="V238" i="53"/>
  <c r="X238" i="53" s="1"/>
  <c r="V239" i="53"/>
  <c r="X239" i="53" s="1"/>
  <c r="V240" i="53"/>
  <c r="X240" i="53" s="1"/>
  <c r="V241" i="53"/>
  <c r="X241" i="53" s="1"/>
  <c r="V242" i="53"/>
  <c r="X242" i="53" s="1"/>
  <c r="V243" i="53"/>
  <c r="X243" i="53" s="1"/>
  <c r="V244" i="53"/>
  <c r="X244" i="53" s="1"/>
  <c r="V245" i="53"/>
  <c r="X245" i="53" s="1"/>
  <c r="V246" i="53"/>
  <c r="X246" i="53" s="1"/>
  <c r="V247" i="53"/>
  <c r="X247" i="53" s="1"/>
  <c r="V248" i="53"/>
  <c r="X248" i="53" s="1"/>
  <c r="V249" i="53"/>
  <c r="X249" i="53" s="1"/>
  <c r="V250" i="53"/>
  <c r="X250" i="53" s="1"/>
  <c r="V251" i="53"/>
  <c r="X251" i="53" s="1"/>
  <c r="V252" i="53"/>
  <c r="X252" i="53" s="1"/>
  <c r="V253" i="53"/>
  <c r="X253" i="53" s="1"/>
  <c r="V254" i="53"/>
  <c r="X254" i="53" s="1"/>
  <c r="V255" i="53"/>
  <c r="X255" i="53" s="1"/>
  <c r="V256" i="53"/>
  <c r="X256" i="53" s="1"/>
  <c r="V257" i="53"/>
  <c r="X257" i="53" s="1"/>
  <c r="V258" i="53"/>
  <c r="X258" i="53" s="1"/>
  <c r="V259" i="53"/>
  <c r="X259" i="53" s="1"/>
  <c r="V260" i="53"/>
  <c r="X260" i="53" s="1"/>
  <c r="V261" i="53"/>
  <c r="X261" i="53" s="1"/>
  <c r="V262" i="53"/>
  <c r="X262" i="53" s="1"/>
  <c r="V263" i="53"/>
  <c r="X263" i="53" s="1"/>
  <c r="V264" i="53"/>
  <c r="X264" i="53" s="1"/>
  <c r="V265" i="53"/>
  <c r="X265" i="53" s="1"/>
  <c r="V266" i="53"/>
  <c r="X266" i="53" s="1"/>
  <c r="V267" i="53"/>
  <c r="X267" i="53" s="1"/>
  <c r="V268" i="53"/>
  <c r="X268" i="53" s="1"/>
  <c r="V269" i="53"/>
  <c r="X269" i="53" s="1"/>
  <c r="V270" i="53"/>
  <c r="X270" i="53" s="1"/>
  <c r="V271" i="53"/>
  <c r="X271" i="53" s="1"/>
  <c r="V272" i="53"/>
  <c r="X272" i="53" s="1"/>
  <c r="V273" i="53"/>
  <c r="X273" i="53" s="1"/>
  <c r="V274" i="53"/>
  <c r="X274" i="53" s="1"/>
  <c r="V275" i="53"/>
  <c r="X275" i="53" s="1"/>
  <c r="V276" i="53"/>
  <c r="X276" i="53" s="1"/>
  <c r="V277" i="53"/>
  <c r="X277" i="53" s="1"/>
  <c r="V278" i="53"/>
  <c r="X278" i="53" s="1"/>
  <c r="V279" i="53"/>
  <c r="X279" i="53" s="1"/>
  <c r="V280" i="53"/>
  <c r="X280" i="53" s="1"/>
  <c r="V281" i="53"/>
  <c r="X281" i="53" s="1"/>
  <c r="V282" i="53"/>
  <c r="X282" i="53" s="1"/>
  <c r="V283" i="53"/>
  <c r="X283" i="53" s="1"/>
  <c r="V284" i="53"/>
  <c r="X284" i="53" s="1"/>
  <c r="V285" i="53"/>
  <c r="X285" i="53" s="1"/>
  <c r="V286" i="53"/>
  <c r="X286" i="53" s="1"/>
  <c r="V287" i="53"/>
  <c r="X287" i="53" s="1"/>
  <c r="V288" i="53"/>
  <c r="X288" i="53" s="1"/>
  <c r="V289" i="53"/>
  <c r="X289" i="53" s="1"/>
  <c r="V290" i="53"/>
  <c r="X290" i="53" s="1"/>
  <c r="V291" i="53"/>
  <c r="X291" i="53" s="1"/>
  <c r="V292" i="53"/>
  <c r="X292" i="53" s="1"/>
  <c r="V293" i="53"/>
  <c r="X293" i="53" s="1"/>
  <c r="V294" i="53"/>
  <c r="X294" i="53" s="1"/>
  <c r="V295" i="53"/>
  <c r="X295" i="53" s="1"/>
  <c r="V296" i="53"/>
  <c r="X296" i="53" s="1"/>
  <c r="V297" i="53"/>
  <c r="X297" i="53" s="1"/>
  <c r="V298" i="53"/>
  <c r="X298" i="53" s="1"/>
  <c r="V299" i="53"/>
  <c r="X299" i="53" s="1"/>
  <c r="V300" i="53"/>
  <c r="X300" i="53" s="1"/>
  <c r="V301" i="53"/>
  <c r="X301" i="53" s="1"/>
  <c r="V302" i="53"/>
  <c r="X302" i="53" s="1"/>
  <c r="V303" i="53"/>
  <c r="X303" i="53" s="1"/>
  <c r="V304" i="53"/>
  <c r="X304" i="53" s="1"/>
  <c r="V305" i="53"/>
  <c r="X305" i="53" s="1"/>
  <c r="V306" i="53"/>
  <c r="X306" i="53" s="1"/>
  <c r="V307" i="53"/>
  <c r="X307" i="53" s="1"/>
  <c r="V308" i="53"/>
  <c r="X308" i="53" s="1"/>
  <c r="V309" i="53"/>
  <c r="X309" i="53" s="1"/>
  <c r="V310" i="53"/>
  <c r="X310" i="53" s="1"/>
  <c r="V311" i="53"/>
  <c r="X311" i="53" s="1"/>
  <c r="V312" i="53"/>
  <c r="X312" i="53" s="1"/>
  <c r="V313" i="53"/>
  <c r="X313" i="53" s="1"/>
  <c r="V314" i="53"/>
  <c r="X314" i="53" s="1"/>
  <c r="V315" i="53"/>
  <c r="X315" i="53" s="1"/>
  <c r="V316" i="53"/>
  <c r="X316" i="53" s="1"/>
  <c r="V317" i="53"/>
  <c r="X317" i="53" s="1"/>
  <c r="V318" i="53"/>
  <c r="X318" i="53" s="1"/>
  <c r="V319" i="53"/>
  <c r="X319" i="53" s="1"/>
  <c r="V320" i="53"/>
  <c r="X320" i="53" s="1"/>
  <c r="V321" i="53"/>
  <c r="X321" i="53" s="1"/>
  <c r="V322" i="53"/>
  <c r="X322" i="53" s="1"/>
  <c r="V323" i="53"/>
  <c r="X323" i="53" s="1"/>
  <c r="V324" i="53"/>
  <c r="X324" i="53" s="1"/>
  <c r="V325" i="53"/>
  <c r="X325" i="53" s="1"/>
  <c r="V326" i="53"/>
  <c r="X326" i="53" s="1"/>
  <c r="V327" i="53"/>
  <c r="X327" i="53" s="1"/>
  <c r="V328" i="53"/>
  <c r="X328" i="53" s="1"/>
  <c r="V329" i="53"/>
  <c r="X329" i="53" s="1"/>
  <c r="V330" i="53"/>
  <c r="X330" i="53" s="1"/>
  <c r="V331" i="53"/>
  <c r="X331" i="53" s="1"/>
  <c r="V332" i="53"/>
  <c r="X332" i="53" s="1"/>
  <c r="V333" i="53"/>
  <c r="X333" i="53" s="1"/>
  <c r="V334" i="53"/>
  <c r="X334" i="53" s="1"/>
  <c r="V335" i="53"/>
  <c r="X335" i="53" s="1"/>
  <c r="V336" i="53"/>
  <c r="X336" i="53" s="1"/>
  <c r="V337" i="53"/>
  <c r="X337" i="53" s="1"/>
  <c r="V338" i="53"/>
  <c r="X338" i="53" s="1"/>
  <c r="V339" i="53"/>
  <c r="X339" i="53" s="1"/>
  <c r="V340" i="53"/>
  <c r="X340" i="53" s="1"/>
  <c r="V341" i="53"/>
  <c r="X341" i="53" s="1"/>
  <c r="V342" i="53"/>
  <c r="X342" i="53" s="1"/>
  <c r="V343" i="53"/>
  <c r="X343" i="53" s="1"/>
  <c r="V344" i="53"/>
  <c r="X344" i="53" s="1"/>
  <c r="V345" i="53"/>
  <c r="X345" i="53" s="1"/>
  <c r="V346" i="53"/>
  <c r="X346" i="53" s="1"/>
  <c r="V347" i="53"/>
  <c r="X347" i="53" s="1"/>
  <c r="V348" i="53"/>
  <c r="X348" i="53" s="1"/>
  <c r="V349" i="53"/>
  <c r="X349" i="53" s="1"/>
  <c r="V350" i="53"/>
  <c r="X350" i="53" s="1"/>
  <c r="V351" i="53"/>
  <c r="X351" i="53" s="1"/>
  <c r="V352" i="53"/>
  <c r="X352" i="53" s="1"/>
  <c r="V353" i="53"/>
  <c r="X353" i="53" s="1"/>
  <c r="V354" i="53"/>
  <c r="X354" i="53" s="1"/>
  <c r="V355" i="53"/>
  <c r="X355" i="53" s="1"/>
  <c r="V356" i="53"/>
  <c r="X356" i="53" s="1"/>
  <c r="V357" i="53"/>
  <c r="X357" i="53" s="1"/>
  <c r="V358" i="53"/>
  <c r="X358" i="53" s="1"/>
  <c r="V359" i="53"/>
  <c r="X359" i="53" s="1"/>
  <c r="V360" i="53"/>
  <c r="X360" i="53" s="1"/>
  <c r="V361" i="53"/>
  <c r="X361" i="53" s="1"/>
  <c r="V362" i="53"/>
  <c r="X362" i="53" s="1"/>
  <c r="V363" i="53"/>
  <c r="X363" i="53" s="1"/>
  <c r="V364" i="53"/>
  <c r="X364" i="53" s="1"/>
  <c r="V365" i="53"/>
  <c r="X365" i="53" s="1"/>
  <c r="V366" i="53"/>
  <c r="X366" i="53" s="1"/>
  <c r="V2" i="53"/>
  <c r="X2" i="53" s="1"/>
  <c r="S29" i="53"/>
  <c r="W29" i="53" s="1"/>
  <c r="N3" i="53"/>
  <c r="P3" i="53" s="1"/>
  <c r="N4" i="53"/>
  <c r="P4" i="53" s="1"/>
  <c r="N5" i="53"/>
  <c r="P5" i="53" s="1"/>
  <c r="N6" i="53"/>
  <c r="P6" i="53" s="1"/>
  <c r="N7" i="53"/>
  <c r="P7" i="53" s="1"/>
  <c r="N8" i="53"/>
  <c r="P8" i="53" s="1"/>
  <c r="N9" i="53"/>
  <c r="P9" i="53" s="1"/>
  <c r="N10" i="53"/>
  <c r="P10" i="53" s="1"/>
  <c r="N11" i="53"/>
  <c r="P11" i="53" s="1"/>
  <c r="N12" i="53"/>
  <c r="P12" i="53" s="1"/>
  <c r="N13" i="53"/>
  <c r="P13" i="53" s="1"/>
  <c r="N14" i="53"/>
  <c r="P14" i="53" s="1"/>
  <c r="N15" i="53"/>
  <c r="P15" i="53" s="1"/>
  <c r="N16" i="53"/>
  <c r="P16" i="53" s="1"/>
  <c r="N17" i="53"/>
  <c r="P17" i="53" s="1"/>
  <c r="N18" i="53"/>
  <c r="P18" i="53" s="1"/>
  <c r="N19" i="53"/>
  <c r="P19" i="53" s="1"/>
  <c r="N20" i="53"/>
  <c r="P20" i="53" s="1"/>
  <c r="N21" i="53"/>
  <c r="P21" i="53" s="1"/>
  <c r="N22" i="53"/>
  <c r="P22" i="53" s="1"/>
  <c r="N23" i="53"/>
  <c r="P23" i="53" s="1"/>
  <c r="N24" i="53"/>
  <c r="P24" i="53" s="1"/>
  <c r="N25" i="53"/>
  <c r="P25" i="53" s="1"/>
  <c r="N26" i="53"/>
  <c r="P26" i="53" s="1"/>
  <c r="N27" i="53"/>
  <c r="P27" i="53" s="1"/>
  <c r="N28" i="53"/>
  <c r="P28" i="53" s="1"/>
  <c r="N29" i="53"/>
  <c r="P29" i="53" s="1"/>
  <c r="N30" i="53"/>
  <c r="P30" i="53" s="1"/>
  <c r="N31" i="53"/>
  <c r="P31" i="53" s="1"/>
  <c r="N32" i="53"/>
  <c r="P32" i="53" s="1"/>
  <c r="N33" i="53"/>
  <c r="P33" i="53" s="1"/>
  <c r="N34" i="53"/>
  <c r="P34" i="53" s="1"/>
  <c r="N35" i="53"/>
  <c r="P35" i="53" s="1"/>
  <c r="N36" i="53"/>
  <c r="P36" i="53" s="1"/>
  <c r="N37" i="53"/>
  <c r="P37" i="53" s="1"/>
  <c r="N38" i="53"/>
  <c r="P38" i="53" s="1"/>
  <c r="N39" i="53"/>
  <c r="P39" i="53" s="1"/>
  <c r="N40" i="53"/>
  <c r="P40" i="53" s="1"/>
  <c r="N41" i="53"/>
  <c r="P41" i="53" s="1"/>
  <c r="N42" i="53"/>
  <c r="P42" i="53" s="1"/>
  <c r="N43" i="53"/>
  <c r="P43" i="53" s="1"/>
  <c r="N44" i="53"/>
  <c r="P44" i="53" s="1"/>
  <c r="N45" i="53"/>
  <c r="P45" i="53" s="1"/>
  <c r="N46" i="53"/>
  <c r="P46" i="53" s="1"/>
  <c r="N47" i="53"/>
  <c r="P47" i="53" s="1"/>
  <c r="N48" i="53"/>
  <c r="P48" i="53" s="1"/>
  <c r="N49" i="53"/>
  <c r="P49" i="53" s="1"/>
  <c r="N50" i="53"/>
  <c r="P50" i="53" s="1"/>
  <c r="N51" i="53"/>
  <c r="P51" i="53" s="1"/>
  <c r="N52" i="53"/>
  <c r="P52" i="53" s="1"/>
  <c r="N53" i="53"/>
  <c r="P53" i="53" s="1"/>
  <c r="N54" i="53"/>
  <c r="P54" i="53" s="1"/>
  <c r="N55" i="53"/>
  <c r="P55" i="53" s="1"/>
  <c r="N56" i="53"/>
  <c r="P56" i="53" s="1"/>
  <c r="N57" i="53"/>
  <c r="P57" i="53" s="1"/>
  <c r="P58" i="53"/>
  <c r="N59" i="53"/>
  <c r="P59" i="53" s="1"/>
  <c r="N60" i="53"/>
  <c r="P60" i="53" s="1"/>
  <c r="N61" i="53"/>
  <c r="P61" i="53" s="1"/>
  <c r="N62" i="53"/>
  <c r="P62" i="53" s="1"/>
  <c r="N63" i="53"/>
  <c r="P63" i="53" s="1"/>
  <c r="N64" i="53"/>
  <c r="P64" i="53" s="1"/>
  <c r="N65" i="53"/>
  <c r="P65" i="53" s="1"/>
  <c r="N66" i="53"/>
  <c r="P66" i="53" s="1"/>
  <c r="N67" i="53"/>
  <c r="P67" i="53" s="1"/>
  <c r="N68" i="53"/>
  <c r="P68" i="53" s="1"/>
  <c r="N69" i="53"/>
  <c r="P69" i="53" s="1"/>
  <c r="N70" i="53"/>
  <c r="P70" i="53" s="1"/>
  <c r="N71" i="53"/>
  <c r="P71" i="53" s="1"/>
  <c r="N72" i="53"/>
  <c r="P72" i="53" s="1"/>
  <c r="N73" i="53"/>
  <c r="P73" i="53" s="1"/>
  <c r="N74" i="53"/>
  <c r="P74" i="53" s="1"/>
  <c r="N75" i="53"/>
  <c r="P75" i="53" s="1"/>
  <c r="N76" i="53"/>
  <c r="P76" i="53" s="1"/>
  <c r="N77" i="53"/>
  <c r="P77" i="53" s="1"/>
  <c r="N78" i="53"/>
  <c r="P78" i="53" s="1"/>
  <c r="N79" i="53"/>
  <c r="P79" i="53" s="1"/>
  <c r="N80" i="53"/>
  <c r="P80" i="53" s="1"/>
  <c r="N81" i="53"/>
  <c r="P81" i="53" s="1"/>
  <c r="N82" i="53"/>
  <c r="P82" i="53" s="1"/>
  <c r="N83" i="53"/>
  <c r="P83" i="53" s="1"/>
  <c r="N84" i="53"/>
  <c r="P84" i="53" s="1"/>
  <c r="N85" i="53"/>
  <c r="P85" i="53" s="1"/>
  <c r="N86" i="53"/>
  <c r="P86" i="53" s="1"/>
  <c r="N87" i="53"/>
  <c r="P87" i="53" s="1"/>
  <c r="N88" i="53"/>
  <c r="P88" i="53" s="1"/>
  <c r="N89" i="53"/>
  <c r="P89" i="53" s="1"/>
  <c r="N90" i="53"/>
  <c r="P90" i="53" s="1"/>
  <c r="N91" i="53"/>
  <c r="P91" i="53" s="1"/>
  <c r="N92" i="53"/>
  <c r="P92" i="53" s="1"/>
  <c r="N93" i="53"/>
  <c r="P93" i="53" s="1"/>
  <c r="N94" i="53"/>
  <c r="P94" i="53" s="1"/>
  <c r="N95" i="53"/>
  <c r="P95" i="53" s="1"/>
  <c r="N96" i="53"/>
  <c r="P96" i="53" s="1"/>
  <c r="N97" i="53"/>
  <c r="P97" i="53" s="1"/>
  <c r="N98" i="53"/>
  <c r="P98" i="53" s="1"/>
  <c r="N99" i="53"/>
  <c r="P99" i="53" s="1"/>
  <c r="N100" i="53"/>
  <c r="P100" i="53" s="1"/>
  <c r="N101" i="53"/>
  <c r="P101" i="53" s="1"/>
  <c r="N102" i="53"/>
  <c r="P102" i="53" s="1"/>
  <c r="N103" i="53"/>
  <c r="P103" i="53" s="1"/>
  <c r="N104" i="53"/>
  <c r="P104" i="53" s="1"/>
  <c r="N105" i="53"/>
  <c r="P105" i="53" s="1"/>
  <c r="N106" i="53"/>
  <c r="P106" i="53" s="1"/>
  <c r="N107" i="53"/>
  <c r="P107" i="53" s="1"/>
  <c r="N108" i="53"/>
  <c r="P108" i="53" s="1"/>
  <c r="N109" i="53"/>
  <c r="P109" i="53" s="1"/>
  <c r="N110" i="53"/>
  <c r="P110" i="53" s="1"/>
  <c r="N111" i="53"/>
  <c r="P111" i="53" s="1"/>
  <c r="N112" i="53"/>
  <c r="P112" i="53" s="1"/>
  <c r="N113" i="53"/>
  <c r="P113" i="53" s="1"/>
  <c r="N114" i="53"/>
  <c r="P114" i="53" s="1"/>
  <c r="N115" i="53"/>
  <c r="P115" i="53" s="1"/>
  <c r="N116" i="53"/>
  <c r="P116" i="53" s="1"/>
  <c r="N117" i="53"/>
  <c r="P117" i="53" s="1"/>
  <c r="N118" i="53"/>
  <c r="P118" i="53" s="1"/>
  <c r="N119" i="53"/>
  <c r="P119" i="53" s="1"/>
  <c r="N120" i="53"/>
  <c r="P120" i="53" s="1"/>
  <c r="N121" i="53"/>
  <c r="P121" i="53" s="1"/>
  <c r="N122" i="53"/>
  <c r="P122" i="53" s="1"/>
  <c r="N123" i="53"/>
  <c r="P123" i="53" s="1"/>
  <c r="N124" i="53"/>
  <c r="P124" i="53" s="1"/>
  <c r="N125" i="53"/>
  <c r="P125" i="53" s="1"/>
  <c r="N126" i="53"/>
  <c r="P126" i="53" s="1"/>
  <c r="N127" i="53"/>
  <c r="P127" i="53" s="1"/>
  <c r="N128" i="53"/>
  <c r="P128" i="53" s="1"/>
  <c r="N129" i="53"/>
  <c r="P129" i="53" s="1"/>
  <c r="N130" i="53"/>
  <c r="P130" i="53" s="1"/>
  <c r="N131" i="53"/>
  <c r="P131" i="53" s="1"/>
  <c r="N132" i="53"/>
  <c r="P132" i="53" s="1"/>
  <c r="N133" i="53"/>
  <c r="P133" i="53" s="1"/>
  <c r="N134" i="53"/>
  <c r="P134" i="53" s="1"/>
  <c r="N135" i="53"/>
  <c r="P135" i="53" s="1"/>
  <c r="N136" i="53"/>
  <c r="P136" i="53" s="1"/>
  <c r="N137" i="53"/>
  <c r="P137" i="53" s="1"/>
  <c r="N138" i="53"/>
  <c r="P138" i="53" s="1"/>
  <c r="N139" i="53"/>
  <c r="P139" i="53" s="1"/>
  <c r="N140" i="53"/>
  <c r="P140" i="53" s="1"/>
  <c r="N141" i="53"/>
  <c r="P141" i="53" s="1"/>
  <c r="N142" i="53"/>
  <c r="P142" i="53" s="1"/>
  <c r="N143" i="53"/>
  <c r="P143" i="53" s="1"/>
  <c r="N144" i="53"/>
  <c r="P144" i="53" s="1"/>
  <c r="N145" i="53"/>
  <c r="P145" i="53" s="1"/>
  <c r="N146" i="53"/>
  <c r="P146" i="53" s="1"/>
  <c r="N147" i="53"/>
  <c r="P147" i="53" s="1"/>
  <c r="N148" i="53"/>
  <c r="P148" i="53" s="1"/>
  <c r="N149" i="53"/>
  <c r="P149" i="53" s="1"/>
  <c r="N150" i="53"/>
  <c r="P150" i="53" s="1"/>
  <c r="N151" i="53"/>
  <c r="P151" i="53" s="1"/>
  <c r="N152" i="53"/>
  <c r="P152" i="53" s="1"/>
  <c r="N153" i="53"/>
  <c r="P153" i="53" s="1"/>
  <c r="N154" i="53"/>
  <c r="P154" i="53" s="1"/>
  <c r="N155" i="53"/>
  <c r="P155" i="53" s="1"/>
  <c r="N156" i="53"/>
  <c r="P156" i="53" s="1"/>
  <c r="N157" i="53"/>
  <c r="P157" i="53" s="1"/>
  <c r="N158" i="53"/>
  <c r="P158" i="53" s="1"/>
  <c r="N159" i="53"/>
  <c r="P159" i="53" s="1"/>
  <c r="N160" i="53"/>
  <c r="P160" i="53" s="1"/>
  <c r="N161" i="53"/>
  <c r="P161" i="53" s="1"/>
  <c r="N162" i="53"/>
  <c r="P162" i="53" s="1"/>
  <c r="N163" i="53"/>
  <c r="P163" i="53" s="1"/>
  <c r="N164" i="53"/>
  <c r="P164" i="53" s="1"/>
  <c r="N165" i="53"/>
  <c r="P165" i="53" s="1"/>
  <c r="N166" i="53"/>
  <c r="P166" i="53" s="1"/>
  <c r="N167" i="53"/>
  <c r="P167" i="53" s="1"/>
  <c r="N168" i="53"/>
  <c r="P168" i="53" s="1"/>
  <c r="N169" i="53"/>
  <c r="P169" i="53" s="1"/>
  <c r="N170" i="53"/>
  <c r="P170" i="53" s="1"/>
  <c r="N171" i="53"/>
  <c r="P171" i="53" s="1"/>
  <c r="N172" i="53"/>
  <c r="P172" i="53" s="1"/>
  <c r="N173" i="53"/>
  <c r="P173" i="53" s="1"/>
  <c r="N174" i="53"/>
  <c r="P174" i="53" s="1"/>
  <c r="N175" i="53"/>
  <c r="P175" i="53" s="1"/>
  <c r="N176" i="53"/>
  <c r="P176" i="53" s="1"/>
  <c r="N177" i="53"/>
  <c r="P177" i="53" s="1"/>
  <c r="N178" i="53"/>
  <c r="P178" i="53" s="1"/>
  <c r="N179" i="53"/>
  <c r="P179" i="53" s="1"/>
  <c r="N180" i="53"/>
  <c r="P180" i="53" s="1"/>
  <c r="N181" i="53"/>
  <c r="P181" i="53" s="1"/>
  <c r="N182" i="53"/>
  <c r="P182" i="53" s="1"/>
  <c r="N183" i="53"/>
  <c r="P183" i="53" s="1"/>
  <c r="N184" i="53"/>
  <c r="P184" i="53" s="1"/>
  <c r="N185" i="53"/>
  <c r="P185" i="53" s="1"/>
  <c r="N186" i="53"/>
  <c r="P186" i="53" s="1"/>
  <c r="N187" i="53"/>
  <c r="P187" i="53" s="1"/>
  <c r="N188" i="53"/>
  <c r="P188" i="53" s="1"/>
  <c r="N189" i="53"/>
  <c r="P189" i="53" s="1"/>
  <c r="N190" i="53"/>
  <c r="P190" i="53" s="1"/>
  <c r="N191" i="53"/>
  <c r="P191" i="53" s="1"/>
  <c r="N192" i="53"/>
  <c r="P192" i="53" s="1"/>
  <c r="N193" i="53"/>
  <c r="P193" i="53" s="1"/>
  <c r="N194" i="53"/>
  <c r="P194" i="53" s="1"/>
  <c r="N195" i="53"/>
  <c r="P195" i="53" s="1"/>
  <c r="N196" i="53"/>
  <c r="P196" i="53" s="1"/>
  <c r="N197" i="53"/>
  <c r="P197" i="53" s="1"/>
  <c r="N198" i="53"/>
  <c r="P198" i="53" s="1"/>
  <c r="N199" i="53"/>
  <c r="P199" i="53" s="1"/>
  <c r="N200" i="53"/>
  <c r="P200" i="53" s="1"/>
  <c r="N201" i="53"/>
  <c r="P201" i="53" s="1"/>
  <c r="N202" i="53"/>
  <c r="P202" i="53" s="1"/>
  <c r="N203" i="53"/>
  <c r="P203" i="53" s="1"/>
  <c r="N204" i="53"/>
  <c r="P204" i="53" s="1"/>
  <c r="N205" i="53"/>
  <c r="P205" i="53" s="1"/>
  <c r="N206" i="53"/>
  <c r="P206" i="53" s="1"/>
  <c r="N207" i="53"/>
  <c r="P207" i="53" s="1"/>
  <c r="N208" i="53"/>
  <c r="P208" i="53" s="1"/>
  <c r="N209" i="53"/>
  <c r="P209" i="53" s="1"/>
  <c r="N210" i="53"/>
  <c r="P210" i="53" s="1"/>
  <c r="N211" i="53"/>
  <c r="P211" i="53" s="1"/>
  <c r="N212" i="53"/>
  <c r="P212" i="53" s="1"/>
  <c r="N213" i="53"/>
  <c r="P213" i="53" s="1"/>
  <c r="N214" i="53"/>
  <c r="P214" i="53" s="1"/>
  <c r="N215" i="53"/>
  <c r="P215" i="53" s="1"/>
  <c r="N216" i="53"/>
  <c r="P216" i="53" s="1"/>
  <c r="N217" i="53"/>
  <c r="P217" i="53" s="1"/>
  <c r="N218" i="53"/>
  <c r="P218" i="53" s="1"/>
  <c r="N219" i="53"/>
  <c r="P219" i="53" s="1"/>
  <c r="N220" i="53"/>
  <c r="P220" i="53" s="1"/>
  <c r="N221" i="53"/>
  <c r="P221" i="53" s="1"/>
  <c r="N222" i="53"/>
  <c r="P222" i="53" s="1"/>
  <c r="N223" i="53"/>
  <c r="P223" i="53" s="1"/>
  <c r="N224" i="53"/>
  <c r="P224" i="53" s="1"/>
  <c r="N225" i="53"/>
  <c r="P225" i="53" s="1"/>
  <c r="N226" i="53"/>
  <c r="P226" i="53" s="1"/>
  <c r="N227" i="53"/>
  <c r="P227" i="53" s="1"/>
  <c r="N228" i="53"/>
  <c r="P228" i="53" s="1"/>
  <c r="N229" i="53"/>
  <c r="P229" i="53" s="1"/>
  <c r="N230" i="53"/>
  <c r="P230" i="53" s="1"/>
  <c r="N231" i="53"/>
  <c r="P231" i="53" s="1"/>
  <c r="N232" i="53"/>
  <c r="P232" i="53" s="1"/>
  <c r="N233" i="53"/>
  <c r="P233" i="53" s="1"/>
  <c r="N234" i="53"/>
  <c r="P234" i="53" s="1"/>
  <c r="N235" i="53"/>
  <c r="P235" i="53" s="1"/>
  <c r="N236" i="53"/>
  <c r="P236" i="53" s="1"/>
  <c r="N237" i="53"/>
  <c r="P237" i="53" s="1"/>
  <c r="N238" i="53"/>
  <c r="P238" i="53" s="1"/>
  <c r="N239" i="53"/>
  <c r="P239" i="53" s="1"/>
  <c r="N240" i="53"/>
  <c r="P240" i="53" s="1"/>
  <c r="N241" i="53"/>
  <c r="P241" i="53" s="1"/>
  <c r="N242" i="53"/>
  <c r="P242" i="53" s="1"/>
  <c r="N243" i="53"/>
  <c r="P243" i="53" s="1"/>
  <c r="N244" i="53"/>
  <c r="P244" i="53" s="1"/>
  <c r="N245" i="53"/>
  <c r="P245" i="53" s="1"/>
  <c r="N246" i="53"/>
  <c r="P246" i="53" s="1"/>
  <c r="N247" i="53"/>
  <c r="P247" i="53" s="1"/>
  <c r="N248" i="53"/>
  <c r="P248" i="53" s="1"/>
  <c r="N249" i="53"/>
  <c r="P249" i="53" s="1"/>
  <c r="N250" i="53"/>
  <c r="P250" i="53" s="1"/>
  <c r="N251" i="53"/>
  <c r="P251" i="53" s="1"/>
  <c r="N252" i="53"/>
  <c r="P252" i="53" s="1"/>
  <c r="N253" i="53"/>
  <c r="P253" i="53" s="1"/>
  <c r="N254" i="53"/>
  <c r="P254" i="53" s="1"/>
  <c r="N255" i="53"/>
  <c r="P255" i="53" s="1"/>
  <c r="N256" i="53"/>
  <c r="P256" i="53" s="1"/>
  <c r="N257" i="53"/>
  <c r="P257" i="53" s="1"/>
  <c r="N258" i="53"/>
  <c r="P258" i="53" s="1"/>
  <c r="N259" i="53"/>
  <c r="P259" i="53" s="1"/>
  <c r="N260" i="53"/>
  <c r="P260" i="53" s="1"/>
  <c r="N261" i="53"/>
  <c r="P261" i="53" s="1"/>
  <c r="N262" i="53"/>
  <c r="P262" i="53" s="1"/>
  <c r="N263" i="53"/>
  <c r="P263" i="53" s="1"/>
  <c r="N264" i="53"/>
  <c r="P264" i="53" s="1"/>
  <c r="N265" i="53"/>
  <c r="P265" i="53" s="1"/>
  <c r="N266" i="53"/>
  <c r="P266" i="53" s="1"/>
  <c r="N267" i="53"/>
  <c r="P267" i="53" s="1"/>
  <c r="N268" i="53"/>
  <c r="P268" i="53" s="1"/>
  <c r="N269" i="53"/>
  <c r="P269" i="53" s="1"/>
  <c r="N270" i="53"/>
  <c r="P270" i="53" s="1"/>
  <c r="N271" i="53"/>
  <c r="P271" i="53" s="1"/>
  <c r="N272" i="53"/>
  <c r="P272" i="53" s="1"/>
  <c r="N273" i="53"/>
  <c r="P273" i="53" s="1"/>
  <c r="N274" i="53"/>
  <c r="P274" i="53" s="1"/>
  <c r="N275" i="53"/>
  <c r="P275" i="53" s="1"/>
  <c r="N276" i="53"/>
  <c r="P276" i="53" s="1"/>
  <c r="N277" i="53"/>
  <c r="P277" i="53" s="1"/>
  <c r="N278" i="53"/>
  <c r="P278" i="53" s="1"/>
  <c r="N279" i="53"/>
  <c r="P279" i="53" s="1"/>
  <c r="N280" i="53"/>
  <c r="P280" i="53" s="1"/>
  <c r="N281" i="53"/>
  <c r="P281" i="53" s="1"/>
  <c r="N282" i="53"/>
  <c r="P282" i="53" s="1"/>
  <c r="N283" i="53"/>
  <c r="P283" i="53" s="1"/>
  <c r="N284" i="53"/>
  <c r="P284" i="53" s="1"/>
  <c r="N285" i="53"/>
  <c r="P285" i="53" s="1"/>
  <c r="N286" i="53"/>
  <c r="P286" i="53" s="1"/>
  <c r="N287" i="53"/>
  <c r="P287" i="53" s="1"/>
  <c r="N288" i="53"/>
  <c r="P288" i="53" s="1"/>
  <c r="N289" i="53"/>
  <c r="P289" i="53" s="1"/>
  <c r="N290" i="53"/>
  <c r="P290" i="53" s="1"/>
  <c r="N291" i="53"/>
  <c r="P291" i="53" s="1"/>
  <c r="N292" i="53"/>
  <c r="P292" i="53" s="1"/>
  <c r="N293" i="53"/>
  <c r="P293" i="53" s="1"/>
  <c r="N294" i="53"/>
  <c r="P294" i="53" s="1"/>
  <c r="N295" i="53"/>
  <c r="P295" i="53" s="1"/>
  <c r="N296" i="53"/>
  <c r="P296" i="53" s="1"/>
  <c r="N297" i="53"/>
  <c r="P297" i="53" s="1"/>
  <c r="N298" i="53"/>
  <c r="P298" i="53" s="1"/>
  <c r="N299" i="53"/>
  <c r="P299" i="53" s="1"/>
  <c r="N300" i="53"/>
  <c r="P300" i="53" s="1"/>
  <c r="N301" i="53"/>
  <c r="P301" i="53" s="1"/>
  <c r="N302" i="53"/>
  <c r="P302" i="53" s="1"/>
  <c r="N303" i="53"/>
  <c r="P303" i="53" s="1"/>
  <c r="N304" i="53"/>
  <c r="P304" i="53" s="1"/>
  <c r="N305" i="53"/>
  <c r="P305" i="53" s="1"/>
  <c r="N306" i="53"/>
  <c r="P306" i="53" s="1"/>
  <c r="N307" i="53"/>
  <c r="P307" i="53" s="1"/>
  <c r="N308" i="53"/>
  <c r="P308" i="53" s="1"/>
  <c r="N309" i="53"/>
  <c r="P309" i="53" s="1"/>
  <c r="N310" i="53"/>
  <c r="P310" i="53" s="1"/>
  <c r="N311" i="53"/>
  <c r="P311" i="53" s="1"/>
  <c r="N312" i="53"/>
  <c r="P312" i="53" s="1"/>
  <c r="N313" i="53"/>
  <c r="P313" i="53" s="1"/>
  <c r="N314" i="53"/>
  <c r="P314" i="53" s="1"/>
  <c r="N315" i="53"/>
  <c r="P315" i="53" s="1"/>
  <c r="N316" i="53"/>
  <c r="P316" i="53" s="1"/>
  <c r="N317" i="53"/>
  <c r="P317" i="53" s="1"/>
  <c r="N318" i="53"/>
  <c r="P318" i="53" s="1"/>
  <c r="N319" i="53"/>
  <c r="P319" i="53" s="1"/>
  <c r="N320" i="53"/>
  <c r="P320" i="53" s="1"/>
  <c r="N321" i="53"/>
  <c r="P321" i="53" s="1"/>
  <c r="N322" i="53"/>
  <c r="P322" i="53" s="1"/>
  <c r="N323" i="53"/>
  <c r="P323" i="53" s="1"/>
  <c r="N324" i="53"/>
  <c r="P324" i="53" s="1"/>
  <c r="N325" i="53"/>
  <c r="P325" i="53" s="1"/>
  <c r="N326" i="53"/>
  <c r="P326" i="53" s="1"/>
  <c r="N327" i="53"/>
  <c r="P327" i="53" s="1"/>
  <c r="N328" i="53"/>
  <c r="P328" i="53" s="1"/>
  <c r="N329" i="53"/>
  <c r="P329" i="53" s="1"/>
  <c r="N330" i="53"/>
  <c r="P330" i="53" s="1"/>
  <c r="N331" i="53"/>
  <c r="P331" i="53" s="1"/>
  <c r="N332" i="53"/>
  <c r="P332" i="53" s="1"/>
  <c r="N333" i="53"/>
  <c r="P333" i="53" s="1"/>
  <c r="N334" i="53"/>
  <c r="P334" i="53" s="1"/>
  <c r="N335" i="53"/>
  <c r="P335" i="53" s="1"/>
  <c r="N336" i="53"/>
  <c r="P336" i="53" s="1"/>
  <c r="N337" i="53"/>
  <c r="P337" i="53" s="1"/>
  <c r="N338" i="53"/>
  <c r="P338" i="53" s="1"/>
  <c r="N339" i="53"/>
  <c r="P339" i="53" s="1"/>
  <c r="N340" i="53"/>
  <c r="P340" i="53" s="1"/>
  <c r="N341" i="53"/>
  <c r="P341" i="53" s="1"/>
  <c r="N342" i="53"/>
  <c r="P342" i="53" s="1"/>
  <c r="N343" i="53"/>
  <c r="P343" i="53" s="1"/>
  <c r="N344" i="53"/>
  <c r="P344" i="53" s="1"/>
  <c r="N345" i="53"/>
  <c r="P345" i="53" s="1"/>
  <c r="N346" i="53"/>
  <c r="P346" i="53" s="1"/>
  <c r="N347" i="53"/>
  <c r="P347" i="53" s="1"/>
  <c r="N348" i="53"/>
  <c r="P348" i="53" s="1"/>
  <c r="N349" i="53"/>
  <c r="P349" i="53" s="1"/>
  <c r="N350" i="53"/>
  <c r="P350" i="53" s="1"/>
  <c r="N351" i="53"/>
  <c r="P351" i="53" s="1"/>
  <c r="N352" i="53"/>
  <c r="P352" i="53" s="1"/>
  <c r="N353" i="53"/>
  <c r="P353" i="53" s="1"/>
  <c r="N354" i="53"/>
  <c r="P354" i="53" s="1"/>
  <c r="N355" i="53"/>
  <c r="P355" i="53" s="1"/>
  <c r="N356" i="53"/>
  <c r="P356" i="53" s="1"/>
  <c r="N357" i="53"/>
  <c r="P357" i="53" s="1"/>
  <c r="N358" i="53"/>
  <c r="P358" i="53" s="1"/>
  <c r="N359" i="53"/>
  <c r="P359" i="53" s="1"/>
  <c r="N360" i="53"/>
  <c r="P360" i="53" s="1"/>
  <c r="N361" i="53"/>
  <c r="P361" i="53" s="1"/>
  <c r="N362" i="53"/>
  <c r="P362" i="53" s="1"/>
  <c r="N363" i="53"/>
  <c r="P363" i="53" s="1"/>
  <c r="N364" i="53"/>
  <c r="P364" i="53" s="1"/>
  <c r="N365" i="53"/>
  <c r="P365" i="53" s="1"/>
  <c r="N366" i="53"/>
  <c r="P366" i="53" s="1"/>
  <c r="N2" i="53"/>
  <c r="P2" i="53" s="1"/>
  <c r="K29" i="53"/>
  <c r="O29" i="53" s="1"/>
  <c r="G29" i="53"/>
  <c r="F3" i="53"/>
  <c r="H3" i="53" s="1"/>
  <c r="F4" i="53"/>
  <c r="H4" i="53" s="1"/>
  <c r="F5" i="53"/>
  <c r="H5" i="53" s="1"/>
  <c r="F6" i="53"/>
  <c r="H6" i="53" s="1"/>
  <c r="F7" i="53"/>
  <c r="H7" i="53" s="1"/>
  <c r="F8" i="53"/>
  <c r="H8" i="53" s="1"/>
  <c r="F9" i="53"/>
  <c r="H9" i="53" s="1"/>
  <c r="F10" i="53"/>
  <c r="H10" i="53" s="1"/>
  <c r="F11" i="53"/>
  <c r="H11" i="53" s="1"/>
  <c r="F12" i="53"/>
  <c r="H12" i="53" s="1"/>
  <c r="F13" i="53"/>
  <c r="H13" i="53" s="1"/>
  <c r="F14" i="53"/>
  <c r="H14" i="53" s="1"/>
  <c r="F15" i="53"/>
  <c r="H15" i="53" s="1"/>
  <c r="F16" i="53"/>
  <c r="H16" i="53" s="1"/>
  <c r="F17" i="53"/>
  <c r="H17" i="53" s="1"/>
  <c r="F18" i="53"/>
  <c r="H18" i="53" s="1"/>
  <c r="F19" i="53"/>
  <c r="H19" i="53" s="1"/>
  <c r="F20" i="53"/>
  <c r="H20" i="53" s="1"/>
  <c r="F21" i="53"/>
  <c r="H21" i="53" s="1"/>
  <c r="F22" i="53"/>
  <c r="H22" i="53" s="1"/>
  <c r="F23" i="53"/>
  <c r="H23" i="53" s="1"/>
  <c r="F24" i="53"/>
  <c r="H24" i="53" s="1"/>
  <c r="F25" i="53"/>
  <c r="H25" i="53" s="1"/>
  <c r="F26" i="53"/>
  <c r="H26" i="53" s="1"/>
  <c r="F27" i="53"/>
  <c r="H27" i="53" s="1"/>
  <c r="F28" i="53"/>
  <c r="H28" i="53" s="1"/>
  <c r="F29" i="53"/>
  <c r="H29" i="53" s="1"/>
  <c r="F30" i="53"/>
  <c r="H30" i="53" s="1"/>
  <c r="F31" i="53"/>
  <c r="H31" i="53" s="1"/>
  <c r="F32" i="53"/>
  <c r="H32" i="53" s="1"/>
  <c r="F33" i="53"/>
  <c r="H33" i="53" s="1"/>
  <c r="F34" i="53"/>
  <c r="H34" i="53" s="1"/>
  <c r="F35" i="53"/>
  <c r="H35" i="53" s="1"/>
  <c r="F36" i="53"/>
  <c r="H36" i="53" s="1"/>
  <c r="F37" i="53"/>
  <c r="H37" i="53" s="1"/>
  <c r="F38" i="53"/>
  <c r="H38" i="53" s="1"/>
  <c r="F39" i="53"/>
  <c r="H39" i="53" s="1"/>
  <c r="F40" i="53"/>
  <c r="H40" i="53" s="1"/>
  <c r="F41" i="53"/>
  <c r="H41" i="53" s="1"/>
  <c r="F42" i="53"/>
  <c r="H42" i="53" s="1"/>
  <c r="F43" i="53"/>
  <c r="H43" i="53" s="1"/>
  <c r="F44" i="53"/>
  <c r="H44" i="53" s="1"/>
  <c r="F45" i="53"/>
  <c r="H45" i="53" s="1"/>
  <c r="F46" i="53"/>
  <c r="H46" i="53" s="1"/>
  <c r="F47" i="53"/>
  <c r="H47" i="53" s="1"/>
  <c r="F48" i="53"/>
  <c r="H48" i="53" s="1"/>
  <c r="F49" i="53"/>
  <c r="H49" i="53" s="1"/>
  <c r="F50" i="53"/>
  <c r="H50" i="53" s="1"/>
  <c r="F51" i="53"/>
  <c r="H51" i="53" s="1"/>
  <c r="F52" i="53"/>
  <c r="H52" i="53" s="1"/>
  <c r="F53" i="53"/>
  <c r="H53" i="53" s="1"/>
  <c r="F54" i="53"/>
  <c r="H54" i="53" s="1"/>
  <c r="F55" i="53"/>
  <c r="H55" i="53" s="1"/>
  <c r="F56" i="53"/>
  <c r="H56" i="53" s="1"/>
  <c r="F57" i="53"/>
  <c r="H57" i="53" s="1"/>
  <c r="F58" i="53"/>
  <c r="H58" i="53" s="1"/>
  <c r="F59" i="53"/>
  <c r="H59" i="53" s="1"/>
  <c r="F60" i="53"/>
  <c r="H60" i="53" s="1"/>
  <c r="F61" i="53"/>
  <c r="H61" i="53" s="1"/>
  <c r="F62" i="53"/>
  <c r="H62" i="53" s="1"/>
  <c r="F63" i="53"/>
  <c r="H63" i="53" s="1"/>
  <c r="F64" i="53"/>
  <c r="H64" i="53" s="1"/>
  <c r="F65" i="53"/>
  <c r="H65" i="53" s="1"/>
  <c r="F66" i="53"/>
  <c r="H66" i="53" s="1"/>
  <c r="F67" i="53"/>
  <c r="H67" i="53" s="1"/>
  <c r="F68" i="53"/>
  <c r="H68" i="53" s="1"/>
  <c r="F69" i="53"/>
  <c r="H69" i="53" s="1"/>
  <c r="F70" i="53"/>
  <c r="H70" i="53" s="1"/>
  <c r="F71" i="53"/>
  <c r="H71" i="53" s="1"/>
  <c r="F72" i="53"/>
  <c r="H72" i="53" s="1"/>
  <c r="F73" i="53"/>
  <c r="H73" i="53" s="1"/>
  <c r="F74" i="53"/>
  <c r="H74" i="53" s="1"/>
  <c r="F75" i="53"/>
  <c r="H75" i="53" s="1"/>
  <c r="F76" i="53"/>
  <c r="H76" i="53" s="1"/>
  <c r="F77" i="53"/>
  <c r="H77" i="53" s="1"/>
  <c r="F78" i="53"/>
  <c r="H78" i="53" s="1"/>
  <c r="F79" i="53"/>
  <c r="H79" i="53" s="1"/>
  <c r="F80" i="53"/>
  <c r="H80" i="53" s="1"/>
  <c r="F81" i="53"/>
  <c r="H81" i="53" s="1"/>
  <c r="F82" i="53"/>
  <c r="H82" i="53" s="1"/>
  <c r="F83" i="53"/>
  <c r="H83" i="53" s="1"/>
  <c r="F84" i="53"/>
  <c r="H84" i="53" s="1"/>
  <c r="F85" i="53"/>
  <c r="H85" i="53" s="1"/>
  <c r="F86" i="53"/>
  <c r="H86" i="53" s="1"/>
  <c r="F87" i="53"/>
  <c r="H87" i="53" s="1"/>
  <c r="F88" i="53"/>
  <c r="H88" i="53" s="1"/>
  <c r="F89" i="53"/>
  <c r="H89" i="53" s="1"/>
  <c r="F90" i="53"/>
  <c r="H90" i="53" s="1"/>
  <c r="F91" i="53"/>
  <c r="H91" i="53" s="1"/>
  <c r="F92" i="53"/>
  <c r="H92" i="53" s="1"/>
  <c r="F93" i="53"/>
  <c r="H93" i="53" s="1"/>
  <c r="F94" i="53"/>
  <c r="H94" i="53" s="1"/>
  <c r="F95" i="53"/>
  <c r="H95" i="53" s="1"/>
  <c r="F96" i="53"/>
  <c r="H96" i="53" s="1"/>
  <c r="F97" i="53"/>
  <c r="H97" i="53" s="1"/>
  <c r="F98" i="53"/>
  <c r="H98" i="53" s="1"/>
  <c r="F99" i="53"/>
  <c r="H99" i="53" s="1"/>
  <c r="F100" i="53"/>
  <c r="H100" i="53" s="1"/>
  <c r="F101" i="53"/>
  <c r="H101" i="53" s="1"/>
  <c r="F102" i="53"/>
  <c r="H102" i="53" s="1"/>
  <c r="F103" i="53"/>
  <c r="H103" i="53" s="1"/>
  <c r="F104" i="53"/>
  <c r="H104" i="53" s="1"/>
  <c r="F105" i="53"/>
  <c r="H105" i="53" s="1"/>
  <c r="F106" i="53"/>
  <c r="H106" i="53" s="1"/>
  <c r="F107" i="53"/>
  <c r="H107" i="53" s="1"/>
  <c r="F108" i="53"/>
  <c r="H108" i="53" s="1"/>
  <c r="F109" i="53"/>
  <c r="H109" i="53" s="1"/>
  <c r="F110" i="53"/>
  <c r="H110" i="53" s="1"/>
  <c r="F111" i="53"/>
  <c r="H111" i="53" s="1"/>
  <c r="F112" i="53"/>
  <c r="H112" i="53" s="1"/>
  <c r="F113" i="53"/>
  <c r="H113" i="53" s="1"/>
  <c r="F114" i="53"/>
  <c r="H114" i="53" s="1"/>
  <c r="F115" i="53"/>
  <c r="H115" i="53" s="1"/>
  <c r="F116" i="53"/>
  <c r="H116" i="53" s="1"/>
  <c r="F117" i="53"/>
  <c r="H117" i="53" s="1"/>
  <c r="F118" i="53"/>
  <c r="H118" i="53" s="1"/>
  <c r="F119" i="53"/>
  <c r="H119" i="53" s="1"/>
  <c r="F120" i="53"/>
  <c r="H120" i="53" s="1"/>
  <c r="F121" i="53"/>
  <c r="H121" i="53" s="1"/>
  <c r="F122" i="53"/>
  <c r="H122" i="53" s="1"/>
  <c r="F124" i="53"/>
  <c r="H124" i="53" s="1"/>
  <c r="F125" i="53"/>
  <c r="H125" i="53" s="1"/>
  <c r="F126" i="53"/>
  <c r="H126" i="53" s="1"/>
  <c r="F127" i="53"/>
  <c r="H127" i="53" s="1"/>
  <c r="F128" i="53"/>
  <c r="H128" i="53" s="1"/>
  <c r="F129" i="53"/>
  <c r="H129" i="53" s="1"/>
  <c r="F130" i="53"/>
  <c r="H130" i="53" s="1"/>
  <c r="F131" i="53"/>
  <c r="H131" i="53" s="1"/>
  <c r="F132" i="53"/>
  <c r="H132" i="53" s="1"/>
  <c r="F133" i="53"/>
  <c r="H133" i="53" s="1"/>
  <c r="F134" i="53"/>
  <c r="H134" i="53" s="1"/>
  <c r="F135" i="53"/>
  <c r="H135" i="53" s="1"/>
  <c r="F136" i="53"/>
  <c r="H136" i="53" s="1"/>
  <c r="F137" i="53"/>
  <c r="H137" i="53" s="1"/>
  <c r="F138" i="53"/>
  <c r="H138" i="53" s="1"/>
  <c r="F139" i="53"/>
  <c r="H139" i="53" s="1"/>
  <c r="F140" i="53"/>
  <c r="H140" i="53" s="1"/>
  <c r="F141" i="53"/>
  <c r="H141" i="53" s="1"/>
  <c r="F142" i="53"/>
  <c r="H142" i="53" s="1"/>
  <c r="F143" i="53"/>
  <c r="H143" i="53" s="1"/>
  <c r="F144" i="53"/>
  <c r="H144" i="53" s="1"/>
  <c r="F145" i="53"/>
  <c r="H145" i="53" s="1"/>
  <c r="F146" i="53"/>
  <c r="H146" i="53" s="1"/>
  <c r="F147" i="53"/>
  <c r="H147" i="53" s="1"/>
  <c r="F148" i="53"/>
  <c r="H148" i="53" s="1"/>
  <c r="F149" i="53"/>
  <c r="H149" i="53" s="1"/>
  <c r="F150" i="53"/>
  <c r="H150" i="53" s="1"/>
  <c r="F151" i="53"/>
  <c r="H151" i="53" s="1"/>
  <c r="F152" i="53"/>
  <c r="H152" i="53" s="1"/>
  <c r="F153" i="53"/>
  <c r="H153" i="53" s="1"/>
  <c r="F154" i="53"/>
  <c r="H154" i="53" s="1"/>
  <c r="F155" i="53"/>
  <c r="H155" i="53" s="1"/>
  <c r="F156" i="53"/>
  <c r="H156" i="53" s="1"/>
  <c r="F157" i="53"/>
  <c r="H157" i="53" s="1"/>
  <c r="F158" i="53"/>
  <c r="H158" i="53" s="1"/>
  <c r="F159" i="53"/>
  <c r="H159" i="53" s="1"/>
  <c r="F160" i="53"/>
  <c r="H160" i="53" s="1"/>
  <c r="F161" i="53"/>
  <c r="H161" i="53" s="1"/>
  <c r="F162" i="53"/>
  <c r="H162" i="53" s="1"/>
  <c r="F163" i="53"/>
  <c r="H163" i="53" s="1"/>
  <c r="F164" i="53"/>
  <c r="H164" i="53" s="1"/>
  <c r="F165" i="53"/>
  <c r="H165" i="53" s="1"/>
  <c r="F166" i="53"/>
  <c r="H166" i="53" s="1"/>
  <c r="F167" i="53"/>
  <c r="H167" i="53" s="1"/>
  <c r="F168" i="53"/>
  <c r="H168" i="53" s="1"/>
  <c r="F169" i="53"/>
  <c r="H169" i="53" s="1"/>
  <c r="F170" i="53"/>
  <c r="H170" i="53" s="1"/>
  <c r="F171" i="53"/>
  <c r="H171" i="53" s="1"/>
  <c r="F172" i="53"/>
  <c r="H172" i="53" s="1"/>
  <c r="F173" i="53"/>
  <c r="H173" i="53" s="1"/>
  <c r="F174" i="53"/>
  <c r="H174" i="53" s="1"/>
  <c r="F175" i="53"/>
  <c r="H175" i="53" s="1"/>
  <c r="F176" i="53"/>
  <c r="H176" i="53" s="1"/>
  <c r="F177" i="53"/>
  <c r="H177" i="53" s="1"/>
  <c r="F178" i="53"/>
  <c r="H178" i="53" s="1"/>
  <c r="F179" i="53"/>
  <c r="H179" i="53" s="1"/>
  <c r="F180" i="53"/>
  <c r="H180" i="53" s="1"/>
  <c r="F181" i="53"/>
  <c r="H181" i="53" s="1"/>
  <c r="F182" i="53"/>
  <c r="H182" i="53" s="1"/>
  <c r="F183" i="53"/>
  <c r="H183" i="53" s="1"/>
  <c r="F184" i="53"/>
  <c r="H184" i="53" s="1"/>
  <c r="F185" i="53"/>
  <c r="H185" i="53" s="1"/>
  <c r="F186" i="53"/>
  <c r="H186" i="53" s="1"/>
  <c r="F187" i="53"/>
  <c r="H187" i="53" s="1"/>
  <c r="F188" i="53"/>
  <c r="H188" i="53" s="1"/>
  <c r="F189" i="53"/>
  <c r="H189" i="53" s="1"/>
  <c r="F190" i="53"/>
  <c r="H190" i="53" s="1"/>
  <c r="F191" i="53"/>
  <c r="H191" i="53" s="1"/>
  <c r="F192" i="53"/>
  <c r="H192" i="53" s="1"/>
  <c r="F193" i="53"/>
  <c r="H193" i="53" s="1"/>
  <c r="F194" i="53"/>
  <c r="H194" i="53" s="1"/>
  <c r="F195" i="53"/>
  <c r="H195" i="53" s="1"/>
  <c r="F196" i="53"/>
  <c r="H196" i="53" s="1"/>
  <c r="F197" i="53"/>
  <c r="H197" i="53" s="1"/>
  <c r="F198" i="53"/>
  <c r="H198" i="53" s="1"/>
  <c r="F199" i="53"/>
  <c r="H199" i="53" s="1"/>
  <c r="F200" i="53"/>
  <c r="H200" i="53" s="1"/>
  <c r="F201" i="53"/>
  <c r="H201" i="53" s="1"/>
  <c r="F202" i="53"/>
  <c r="H202" i="53" s="1"/>
  <c r="F203" i="53"/>
  <c r="H203" i="53" s="1"/>
  <c r="F204" i="53"/>
  <c r="H204" i="53" s="1"/>
  <c r="F205" i="53"/>
  <c r="H205" i="53" s="1"/>
  <c r="F206" i="53"/>
  <c r="H206" i="53" s="1"/>
  <c r="F207" i="53"/>
  <c r="H207" i="53" s="1"/>
  <c r="F208" i="53"/>
  <c r="H208" i="53" s="1"/>
  <c r="F209" i="53"/>
  <c r="H209" i="53" s="1"/>
  <c r="F210" i="53"/>
  <c r="H210" i="53" s="1"/>
  <c r="F211" i="53"/>
  <c r="H211" i="53" s="1"/>
  <c r="F212" i="53"/>
  <c r="H212" i="53" s="1"/>
  <c r="F213" i="53"/>
  <c r="H213" i="53" s="1"/>
  <c r="F214" i="53"/>
  <c r="H214" i="53" s="1"/>
  <c r="F215" i="53"/>
  <c r="H215" i="53" s="1"/>
  <c r="F216" i="53"/>
  <c r="H216" i="53" s="1"/>
  <c r="F217" i="53"/>
  <c r="H217" i="53" s="1"/>
  <c r="F218" i="53"/>
  <c r="H218" i="53" s="1"/>
  <c r="F219" i="53"/>
  <c r="H219" i="53" s="1"/>
  <c r="F220" i="53"/>
  <c r="H220" i="53" s="1"/>
  <c r="F221" i="53"/>
  <c r="H221" i="53" s="1"/>
  <c r="F222" i="53"/>
  <c r="H222" i="53" s="1"/>
  <c r="F223" i="53"/>
  <c r="H223" i="53" s="1"/>
  <c r="F224" i="53"/>
  <c r="H224" i="53" s="1"/>
  <c r="F225" i="53"/>
  <c r="H225" i="53" s="1"/>
  <c r="F226" i="53"/>
  <c r="H226" i="53" s="1"/>
  <c r="F227" i="53"/>
  <c r="H227" i="53" s="1"/>
  <c r="F228" i="53"/>
  <c r="H228" i="53" s="1"/>
  <c r="F229" i="53"/>
  <c r="H229" i="53" s="1"/>
  <c r="F230" i="53"/>
  <c r="H230" i="53" s="1"/>
  <c r="F231" i="53"/>
  <c r="H231" i="53" s="1"/>
  <c r="F232" i="53"/>
  <c r="H232" i="53" s="1"/>
  <c r="F233" i="53"/>
  <c r="H233" i="53" s="1"/>
  <c r="F234" i="53"/>
  <c r="H234" i="53" s="1"/>
  <c r="F235" i="53"/>
  <c r="H235" i="53" s="1"/>
  <c r="F236" i="53"/>
  <c r="H236" i="53" s="1"/>
  <c r="F237" i="53"/>
  <c r="H237" i="53" s="1"/>
  <c r="F238" i="53"/>
  <c r="H238" i="53" s="1"/>
  <c r="F239" i="53"/>
  <c r="H239" i="53" s="1"/>
  <c r="F240" i="53"/>
  <c r="H240" i="53" s="1"/>
  <c r="F241" i="53"/>
  <c r="H241" i="53" s="1"/>
  <c r="F242" i="53"/>
  <c r="H242" i="53" s="1"/>
  <c r="F243" i="53"/>
  <c r="H243" i="53" s="1"/>
  <c r="F244" i="53"/>
  <c r="H244" i="53" s="1"/>
  <c r="F245" i="53"/>
  <c r="H245" i="53" s="1"/>
  <c r="F246" i="53"/>
  <c r="H246" i="53" s="1"/>
  <c r="F247" i="53"/>
  <c r="H247" i="53" s="1"/>
  <c r="F248" i="53"/>
  <c r="H248" i="53" s="1"/>
  <c r="F249" i="53"/>
  <c r="H249" i="53" s="1"/>
  <c r="F250" i="53"/>
  <c r="H250" i="53" s="1"/>
  <c r="F251" i="53"/>
  <c r="H251" i="53" s="1"/>
  <c r="F252" i="53"/>
  <c r="H252" i="53" s="1"/>
  <c r="F253" i="53"/>
  <c r="H253" i="53" s="1"/>
  <c r="F254" i="53"/>
  <c r="H254" i="53" s="1"/>
  <c r="F255" i="53"/>
  <c r="H255" i="53" s="1"/>
  <c r="F256" i="53"/>
  <c r="H256" i="53" s="1"/>
  <c r="F257" i="53"/>
  <c r="H257" i="53" s="1"/>
  <c r="F258" i="53"/>
  <c r="H258" i="53" s="1"/>
  <c r="F259" i="53"/>
  <c r="H259" i="53" s="1"/>
  <c r="F260" i="53"/>
  <c r="H260" i="53" s="1"/>
  <c r="F261" i="53"/>
  <c r="H261" i="53" s="1"/>
  <c r="F262" i="53"/>
  <c r="H262" i="53" s="1"/>
  <c r="F263" i="53"/>
  <c r="H263" i="53" s="1"/>
  <c r="F264" i="53"/>
  <c r="H264" i="53" s="1"/>
  <c r="F265" i="53"/>
  <c r="H265" i="53" s="1"/>
  <c r="F266" i="53"/>
  <c r="H266" i="53" s="1"/>
  <c r="F267" i="53"/>
  <c r="H267" i="53" s="1"/>
  <c r="F268" i="53"/>
  <c r="H268" i="53" s="1"/>
  <c r="F269" i="53"/>
  <c r="H269" i="53" s="1"/>
  <c r="F270" i="53"/>
  <c r="H270" i="53" s="1"/>
  <c r="F271" i="53"/>
  <c r="H271" i="53" s="1"/>
  <c r="F272" i="53"/>
  <c r="H272" i="53" s="1"/>
  <c r="F273" i="53"/>
  <c r="H273" i="53" s="1"/>
  <c r="F274" i="53"/>
  <c r="H274" i="53" s="1"/>
  <c r="F275" i="53"/>
  <c r="H275" i="53" s="1"/>
  <c r="F276" i="53"/>
  <c r="H276" i="53" s="1"/>
  <c r="F277" i="53"/>
  <c r="H277" i="53" s="1"/>
  <c r="F278" i="53"/>
  <c r="H278" i="53" s="1"/>
  <c r="F279" i="53"/>
  <c r="H279" i="53" s="1"/>
  <c r="F280" i="53"/>
  <c r="H280" i="53" s="1"/>
  <c r="F281" i="53"/>
  <c r="H281" i="53" s="1"/>
  <c r="F282" i="53"/>
  <c r="H282" i="53" s="1"/>
  <c r="F283" i="53"/>
  <c r="H283" i="53" s="1"/>
  <c r="F284" i="53"/>
  <c r="H284" i="53" s="1"/>
  <c r="F285" i="53"/>
  <c r="H285" i="53" s="1"/>
  <c r="F286" i="53"/>
  <c r="H286" i="53" s="1"/>
  <c r="F287" i="53"/>
  <c r="H287" i="53" s="1"/>
  <c r="F288" i="53"/>
  <c r="H288" i="53" s="1"/>
  <c r="F289" i="53"/>
  <c r="H289" i="53" s="1"/>
  <c r="F290" i="53"/>
  <c r="H290" i="53" s="1"/>
  <c r="F291" i="53"/>
  <c r="H291" i="53" s="1"/>
  <c r="F292" i="53"/>
  <c r="H292" i="53" s="1"/>
  <c r="F293" i="53"/>
  <c r="H293" i="53" s="1"/>
  <c r="F294" i="53"/>
  <c r="H294" i="53" s="1"/>
  <c r="F295" i="53"/>
  <c r="H295" i="53" s="1"/>
  <c r="F296" i="53"/>
  <c r="H296" i="53" s="1"/>
  <c r="F297" i="53"/>
  <c r="H297" i="53" s="1"/>
  <c r="F298" i="53"/>
  <c r="H298" i="53" s="1"/>
  <c r="F299" i="53"/>
  <c r="H299" i="53" s="1"/>
  <c r="F300" i="53"/>
  <c r="H300" i="53" s="1"/>
  <c r="F301" i="53"/>
  <c r="H301" i="53" s="1"/>
  <c r="F302" i="53"/>
  <c r="H302" i="53" s="1"/>
  <c r="F303" i="53"/>
  <c r="H303" i="53" s="1"/>
  <c r="F304" i="53"/>
  <c r="H304" i="53" s="1"/>
  <c r="F305" i="53"/>
  <c r="H305" i="53" s="1"/>
  <c r="F306" i="53"/>
  <c r="H306" i="53" s="1"/>
  <c r="F307" i="53"/>
  <c r="H307" i="53" s="1"/>
  <c r="F308" i="53"/>
  <c r="H308" i="53" s="1"/>
  <c r="F309" i="53"/>
  <c r="H309" i="53" s="1"/>
  <c r="F310" i="53"/>
  <c r="H310" i="53" s="1"/>
  <c r="F311" i="53"/>
  <c r="H311" i="53" s="1"/>
  <c r="F312" i="53"/>
  <c r="H312" i="53" s="1"/>
  <c r="F313" i="53"/>
  <c r="H313" i="53" s="1"/>
  <c r="F314" i="53"/>
  <c r="H314" i="53" s="1"/>
  <c r="F315" i="53"/>
  <c r="H315" i="53" s="1"/>
  <c r="F316" i="53"/>
  <c r="H316" i="53" s="1"/>
  <c r="F317" i="53"/>
  <c r="H317" i="53" s="1"/>
  <c r="F318" i="53"/>
  <c r="H318" i="53" s="1"/>
  <c r="F319" i="53"/>
  <c r="H319" i="53" s="1"/>
  <c r="F320" i="53"/>
  <c r="H320" i="53" s="1"/>
  <c r="F321" i="53"/>
  <c r="H321" i="53" s="1"/>
  <c r="F322" i="53"/>
  <c r="H322" i="53" s="1"/>
  <c r="F323" i="53"/>
  <c r="H323" i="53" s="1"/>
  <c r="F324" i="53"/>
  <c r="H324" i="53" s="1"/>
  <c r="F325" i="53"/>
  <c r="H325" i="53" s="1"/>
  <c r="F326" i="53"/>
  <c r="H326" i="53" s="1"/>
  <c r="F327" i="53"/>
  <c r="H327" i="53" s="1"/>
  <c r="F328" i="53"/>
  <c r="H328" i="53" s="1"/>
  <c r="F329" i="53"/>
  <c r="H329" i="53" s="1"/>
  <c r="F330" i="53"/>
  <c r="H330" i="53" s="1"/>
  <c r="F331" i="53"/>
  <c r="H331" i="53" s="1"/>
  <c r="F332" i="53"/>
  <c r="H332" i="53" s="1"/>
  <c r="F333" i="53"/>
  <c r="H333" i="53" s="1"/>
  <c r="F334" i="53"/>
  <c r="H334" i="53" s="1"/>
  <c r="F335" i="53"/>
  <c r="H335" i="53" s="1"/>
  <c r="F336" i="53"/>
  <c r="H336" i="53" s="1"/>
  <c r="F337" i="53"/>
  <c r="H337" i="53" s="1"/>
  <c r="F338" i="53"/>
  <c r="H338" i="53" s="1"/>
  <c r="F339" i="53"/>
  <c r="H339" i="53" s="1"/>
  <c r="F340" i="53"/>
  <c r="H340" i="53" s="1"/>
  <c r="F341" i="53"/>
  <c r="H341" i="53" s="1"/>
  <c r="F342" i="53"/>
  <c r="H342" i="53" s="1"/>
  <c r="F343" i="53"/>
  <c r="H343" i="53" s="1"/>
  <c r="F344" i="53"/>
  <c r="H344" i="53" s="1"/>
  <c r="F345" i="53"/>
  <c r="H345" i="53" s="1"/>
  <c r="F346" i="53"/>
  <c r="H346" i="53" s="1"/>
  <c r="F347" i="53"/>
  <c r="H347" i="53" s="1"/>
  <c r="F348" i="53"/>
  <c r="H348" i="53" s="1"/>
  <c r="F349" i="53"/>
  <c r="H349" i="53" s="1"/>
  <c r="F350" i="53"/>
  <c r="H350" i="53" s="1"/>
  <c r="F351" i="53"/>
  <c r="H351" i="53" s="1"/>
  <c r="F352" i="53"/>
  <c r="H352" i="53" s="1"/>
  <c r="F353" i="53"/>
  <c r="H353" i="53" s="1"/>
  <c r="F354" i="53"/>
  <c r="H354" i="53" s="1"/>
  <c r="F355" i="53"/>
  <c r="H355" i="53" s="1"/>
  <c r="F356" i="53"/>
  <c r="H356" i="53" s="1"/>
  <c r="F357" i="53"/>
  <c r="H357" i="53" s="1"/>
  <c r="F358" i="53"/>
  <c r="H358" i="53" s="1"/>
  <c r="F359" i="53"/>
  <c r="H359" i="53" s="1"/>
  <c r="F360" i="53"/>
  <c r="H360" i="53" s="1"/>
  <c r="F361" i="53"/>
  <c r="H361" i="53" s="1"/>
  <c r="F362" i="53"/>
  <c r="H362" i="53" s="1"/>
  <c r="F363" i="53"/>
  <c r="H363" i="53" s="1"/>
  <c r="F364" i="53"/>
  <c r="H364" i="53" s="1"/>
  <c r="F365" i="53"/>
  <c r="H365" i="53" s="1"/>
  <c r="F366" i="53"/>
  <c r="H366" i="53" s="1"/>
  <c r="F2" i="53"/>
  <c r="H2" i="53" s="1"/>
  <c r="B29" i="53"/>
  <c r="C59" i="20"/>
  <c r="J29" i="53" l="1"/>
  <c r="R29" i="53"/>
  <c r="U29" i="28"/>
  <c r="BW28" i="53" s="1"/>
  <c r="S29" i="28"/>
  <c r="BO28" i="53" s="1"/>
  <c r="BN28" i="53" s="1"/>
  <c r="Q29" i="28"/>
  <c r="BG28" i="53" s="1"/>
  <c r="O29" i="28"/>
  <c r="AY28" i="53" s="1"/>
  <c r="M29" i="28"/>
  <c r="AQ28" i="53" s="1"/>
  <c r="K29" i="28"/>
  <c r="AI28" i="53" s="1"/>
  <c r="I29" i="28"/>
  <c r="AA28" i="53" s="1"/>
  <c r="G29" i="28"/>
  <c r="S28" i="53" s="1"/>
  <c r="W28" i="53" s="1"/>
  <c r="E29" i="28"/>
  <c r="K28" i="53" s="1"/>
  <c r="O28" i="53" s="1"/>
  <c r="C29" i="28"/>
  <c r="C28" i="53" s="1"/>
  <c r="B28" i="53" s="1"/>
  <c r="S29" i="15"/>
  <c r="U29" i="15" s="1"/>
  <c r="AO29" i="15"/>
  <c r="AM29" i="15"/>
  <c r="AN29" i="15" s="1"/>
  <c r="AJ29" i="15"/>
  <c r="AK29" i="15" s="1"/>
  <c r="AG29" i="15"/>
  <c r="AH29" i="15" s="1"/>
  <c r="AE29" i="15"/>
  <c r="AB29" i="15"/>
  <c r="Y29" i="15"/>
  <c r="O29" i="15"/>
  <c r="L29" i="15"/>
  <c r="I29" i="15"/>
  <c r="J29" i="15" s="1"/>
  <c r="G29" i="15"/>
  <c r="C29" i="15"/>
  <c r="D29" i="15" s="1"/>
  <c r="P29" i="15" l="1"/>
  <c r="H28" i="17"/>
  <c r="M29" i="15"/>
  <c r="C28" i="17"/>
  <c r="BS28" i="53"/>
  <c r="G28" i="53"/>
  <c r="CA28" i="53"/>
  <c r="BV28" i="53"/>
  <c r="R28" i="53"/>
  <c r="AE28" i="53"/>
  <c r="Z28" i="53"/>
  <c r="AM28" i="53"/>
  <c r="AH28" i="53"/>
  <c r="AU28" i="53"/>
  <c r="AP28" i="53"/>
  <c r="BC28" i="53"/>
  <c r="AX28" i="53"/>
  <c r="BK28" i="53"/>
  <c r="BF28" i="53"/>
  <c r="J28" i="53"/>
  <c r="U28" i="28"/>
  <c r="BW27" i="53" s="1"/>
  <c r="S28" i="28"/>
  <c r="BO27" i="53" s="1"/>
  <c r="BN27" i="53" s="1"/>
  <c r="Q28" i="28"/>
  <c r="BG27" i="53" s="1"/>
  <c r="O28" i="28"/>
  <c r="AY27" i="53" s="1"/>
  <c r="M28" i="28"/>
  <c r="AQ27" i="53" s="1"/>
  <c r="K28" i="28"/>
  <c r="AI27" i="53" s="1"/>
  <c r="I28" i="28"/>
  <c r="AA27" i="53" s="1"/>
  <c r="G28" i="28"/>
  <c r="S27" i="53" s="1"/>
  <c r="E28" i="28"/>
  <c r="K27" i="53" s="1"/>
  <c r="C28" i="28"/>
  <c r="C27" i="53" s="1"/>
  <c r="AO28" i="15"/>
  <c r="AM28" i="15"/>
  <c r="AN28" i="15" s="1"/>
  <c r="AJ28" i="15"/>
  <c r="AK28" i="15" s="1"/>
  <c r="AG28" i="15"/>
  <c r="AH28" i="15" s="1"/>
  <c r="AE28" i="15"/>
  <c r="AB28" i="15"/>
  <c r="Y28" i="15"/>
  <c r="U28" i="15"/>
  <c r="R28" i="15"/>
  <c r="S28" i="15" s="1"/>
  <c r="O28" i="15"/>
  <c r="L28" i="15"/>
  <c r="I28" i="15"/>
  <c r="J28" i="15" s="1"/>
  <c r="G28" i="15"/>
  <c r="C28" i="15"/>
  <c r="D28" i="15" s="1"/>
  <c r="DZ7" i="20"/>
  <c r="EA7" i="20"/>
  <c r="EA9" i="20"/>
  <c r="DZ9" i="20"/>
  <c r="DW10" i="20"/>
  <c r="DU9" i="20"/>
  <c r="EC7" i="20"/>
  <c r="EC10" i="20"/>
  <c r="DU7" i="20"/>
  <c r="DS9" i="20"/>
  <c r="DS10" i="20"/>
  <c r="EB7" i="20"/>
  <c r="DV10" i="20"/>
  <c r="DZ8" i="20"/>
  <c r="EA8" i="20"/>
  <c r="DW9" i="20"/>
  <c r="DV7" i="20"/>
  <c r="DT8" i="20"/>
  <c r="DX10" i="20"/>
  <c r="DV8" i="20"/>
  <c r="EC8" i="20"/>
  <c r="EB8" i="20"/>
  <c r="DT7" i="20"/>
  <c r="EB9" i="20"/>
  <c r="DY10" i="20"/>
  <c r="DY9" i="20"/>
  <c r="DU10" i="20"/>
  <c r="DW8" i="20"/>
  <c r="DY7" i="20"/>
  <c r="EB10" i="20"/>
  <c r="DY8" i="20"/>
  <c r="DT9" i="20"/>
  <c r="DX7" i="20"/>
  <c r="EA10" i="20"/>
  <c r="DX9" i="20"/>
  <c r="EC9" i="20"/>
  <c r="DU8" i="20"/>
  <c r="DX8" i="20"/>
  <c r="DS8" i="20"/>
  <c r="DZ10" i="20"/>
  <c r="DW7" i="20"/>
  <c r="DS7" i="20"/>
  <c r="DT10" i="20"/>
  <c r="DV9" i="20"/>
  <c r="M28" i="15" l="1"/>
  <c r="C27" i="17"/>
  <c r="P28" i="15"/>
  <c r="H27" i="17"/>
  <c r="AE27" i="53"/>
  <c r="Z27" i="53"/>
  <c r="AM27" i="53"/>
  <c r="AH27" i="53"/>
  <c r="AU27" i="53"/>
  <c r="AP27" i="53"/>
  <c r="AX27" i="53"/>
  <c r="BC27" i="53"/>
  <c r="BK27" i="53"/>
  <c r="BF27" i="53"/>
  <c r="B27" i="53"/>
  <c r="G27" i="53"/>
  <c r="BS27" i="53"/>
  <c r="O27" i="53"/>
  <c r="J27" i="53"/>
  <c r="CA27" i="53"/>
  <c r="BV27" i="53"/>
  <c r="W27" i="53"/>
  <c r="R27" i="53"/>
  <c r="V10" i="26"/>
  <c r="W10" i="26"/>
  <c r="U27" i="28"/>
  <c r="BW26" i="53" s="1"/>
  <c r="S27" i="28"/>
  <c r="BO26" i="53" s="1"/>
  <c r="BN26" i="53" s="1"/>
  <c r="Q27" i="28"/>
  <c r="BG26" i="53" s="1"/>
  <c r="O27" i="28"/>
  <c r="AY26" i="53" s="1"/>
  <c r="M27" i="28"/>
  <c r="AQ26" i="53" s="1"/>
  <c r="K27" i="28"/>
  <c r="AI26" i="53" s="1"/>
  <c r="I27" i="28"/>
  <c r="AA26" i="53" s="1"/>
  <c r="G27" i="28"/>
  <c r="S26" i="53" s="1"/>
  <c r="E27" i="28"/>
  <c r="K26" i="53" s="1"/>
  <c r="C27" i="28"/>
  <c r="C26" i="53" s="1"/>
  <c r="AJ27" i="15"/>
  <c r="AK27" i="15" s="1"/>
  <c r="AG27" i="15"/>
  <c r="AH27" i="15" s="1"/>
  <c r="AE27" i="15"/>
  <c r="AB27" i="15"/>
  <c r="Y27" i="15"/>
  <c r="U27" i="15"/>
  <c r="R27" i="15"/>
  <c r="S27" i="15" s="1"/>
  <c r="O27" i="15"/>
  <c r="L27" i="15"/>
  <c r="I27" i="15"/>
  <c r="J27" i="15" s="1"/>
  <c r="G27" i="15"/>
  <c r="C27" i="15"/>
  <c r="D27" i="15" s="1"/>
  <c r="M27" i="15" l="1"/>
  <c r="C26" i="17"/>
  <c r="P27" i="15"/>
  <c r="H26" i="17"/>
  <c r="G26" i="53"/>
  <c r="B26" i="53"/>
  <c r="BS26" i="53"/>
  <c r="J26" i="53"/>
  <c r="O26" i="53"/>
  <c r="BV26" i="53"/>
  <c r="CA26" i="53"/>
  <c r="R26" i="53"/>
  <c r="W26" i="53"/>
  <c r="Z26" i="53"/>
  <c r="AE26" i="53"/>
  <c r="AH26" i="53"/>
  <c r="AM26" i="53"/>
  <c r="AP26" i="53"/>
  <c r="AU26" i="53"/>
  <c r="AX26" i="53"/>
  <c r="BC26" i="53"/>
  <c r="BF26" i="53"/>
  <c r="BK26" i="53"/>
  <c r="DY6" i="20"/>
  <c r="EB6" i="20"/>
  <c r="EA6" i="20"/>
  <c r="DX6" i="20"/>
  <c r="DV6" i="20"/>
  <c r="DS6" i="20"/>
  <c r="DU6" i="20"/>
  <c r="DZ6" i="20"/>
  <c r="EC6" i="20"/>
  <c r="DT6" i="20"/>
  <c r="DW6" i="20"/>
  <c r="ED6" i="20" l="1"/>
  <c r="S26" i="28"/>
  <c r="BO25" i="53" s="1"/>
  <c r="BN25" i="53" s="1"/>
  <c r="Q26" i="28"/>
  <c r="BG25" i="53" s="1"/>
  <c r="O26" i="28"/>
  <c r="AY25" i="53" s="1"/>
  <c r="M26" i="28"/>
  <c r="AQ25" i="53" s="1"/>
  <c r="K26" i="28"/>
  <c r="AI25" i="53" s="1"/>
  <c r="I26" i="28"/>
  <c r="AA25" i="53" s="1"/>
  <c r="G26" i="28"/>
  <c r="S25" i="53" s="1"/>
  <c r="E26" i="28"/>
  <c r="K25" i="53" s="1"/>
  <c r="C26" i="28"/>
  <c r="C25" i="53" s="1"/>
  <c r="AM27" i="15"/>
  <c r="AM31" i="15"/>
  <c r="AM33" i="15"/>
  <c r="AM38" i="15"/>
  <c r="AM42" i="15"/>
  <c r="AM43" i="15"/>
  <c r="AM44" i="15"/>
  <c r="AM46" i="15"/>
  <c r="AM49" i="15"/>
  <c r="AM55" i="15"/>
  <c r="AM60" i="15"/>
  <c r="AM61" i="15"/>
  <c r="AM63" i="15"/>
  <c r="AM65" i="15"/>
  <c r="AM66" i="15"/>
  <c r="AM67" i="15"/>
  <c r="AM70" i="15"/>
  <c r="AM73" i="15"/>
  <c r="AM75" i="15"/>
  <c r="AM76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26" i="15"/>
  <c r="AJ55" i="15"/>
  <c r="AJ73" i="15"/>
  <c r="AJ78" i="15"/>
  <c r="AJ79" i="15"/>
  <c r="AJ80" i="15"/>
  <c r="AJ81" i="15"/>
  <c r="AJ82" i="15"/>
  <c r="AJ83" i="15"/>
  <c r="AJ84" i="15"/>
  <c r="AJ85" i="15"/>
  <c r="AJ86" i="15"/>
  <c r="AJ87" i="15"/>
  <c r="AJ88" i="15"/>
  <c r="AJ89" i="15"/>
  <c r="AJ90" i="15"/>
  <c r="AJ91" i="15"/>
  <c r="AJ92" i="15"/>
  <c r="AJ93" i="15"/>
  <c r="AJ94" i="15"/>
  <c r="AJ95" i="15"/>
  <c r="AJ96" i="15"/>
  <c r="AJ97" i="15"/>
  <c r="AJ98" i="15"/>
  <c r="AJ99" i="15"/>
  <c r="AJ100" i="15"/>
  <c r="AJ101" i="15"/>
  <c r="AJ102" i="15"/>
  <c r="AJ103" i="15"/>
  <c r="AJ104" i="15"/>
  <c r="AJ105" i="15"/>
  <c r="AJ106" i="15"/>
  <c r="AJ107" i="15"/>
  <c r="AJ108" i="15"/>
  <c r="AJ109" i="15"/>
  <c r="AJ110" i="15"/>
  <c r="AJ111" i="15"/>
  <c r="AJ112" i="15"/>
  <c r="AJ113" i="15"/>
  <c r="AJ114" i="15"/>
  <c r="AJ115" i="15"/>
  <c r="AJ116" i="15"/>
  <c r="AJ117" i="15"/>
  <c r="AJ118" i="15"/>
  <c r="AJ119" i="15"/>
  <c r="AJ120" i="15"/>
  <c r="AJ121" i="15"/>
  <c r="AJ122" i="15"/>
  <c r="AJ123" i="15"/>
  <c r="AJ124" i="15"/>
  <c r="AJ125" i="15"/>
  <c r="AJ126" i="15"/>
  <c r="AJ127" i="15"/>
  <c r="AJ128" i="15"/>
  <c r="AJ129" i="15"/>
  <c r="AJ130" i="15"/>
  <c r="AJ131" i="15"/>
  <c r="AJ132" i="15"/>
  <c r="AJ133" i="15"/>
  <c r="AJ134" i="15"/>
  <c r="AJ135" i="15"/>
  <c r="AJ136" i="15"/>
  <c r="AJ137" i="15"/>
  <c r="AJ138" i="15"/>
  <c r="AJ139" i="15"/>
  <c r="AJ140" i="15"/>
  <c r="AJ141" i="15"/>
  <c r="AJ142" i="15"/>
  <c r="AJ143" i="15"/>
  <c r="AJ144" i="15"/>
  <c r="AJ145" i="15"/>
  <c r="AJ146" i="15"/>
  <c r="AJ147" i="15"/>
  <c r="AJ148" i="15"/>
  <c r="AJ149" i="15"/>
  <c r="AJ150" i="15"/>
  <c r="AJ151" i="15"/>
  <c r="AJ152" i="15"/>
  <c r="AJ153" i="15"/>
  <c r="AJ154" i="15"/>
  <c r="AJ155" i="15"/>
  <c r="AJ156" i="15"/>
  <c r="AJ157" i="15"/>
  <c r="AJ158" i="15"/>
  <c r="AJ159" i="15"/>
  <c r="AJ160" i="15"/>
  <c r="AJ161" i="15"/>
  <c r="AJ162" i="15"/>
  <c r="AJ163" i="15"/>
  <c r="AJ164" i="15"/>
  <c r="AJ165" i="15"/>
  <c r="AJ166" i="15"/>
  <c r="AJ167" i="15"/>
  <c r="AJ168" i="15"/>
  <c r="AJ169" i="15"/>
  <c r="AJ170" i="15"/>
  <c r="AJ171" i="15"/>
  <c r="AJ172" i="15"/>
  <c r="AJ173" i="15"/>
  <c r="AJ174" i="15"/>
  <c r="AJ175" i="15"/>
  <c r="AJ176" i="15"/>
  <c r="AJ177" i="15"/>
  <c r="AJ178" i="15"/>
  <c r="AJ179" i="15"/>
  <c r="AJ180" i="15"/>
  <c r="AJ181" i="15"/>
  <c r="AJ182" i="15"/>
  <c r="AJ183" i="15"/>
  <c r="AJ184" i="15"/>
  <c r="AJ185" i="15"/>
  <c r="AJ186" i="15"/>
  <c r="AJ187" i="15"/>
  <c r="AJ188" i="15"/>
  <c r="AJ189" i="15"/>
  <c r="AJ190" i="15"/>
  <c r="AJ191" i="15"/>
  <c r="AJ192" i="15"/>
  <c r="AJ193" i="15"/>
  <c r="AJ194" i="15"/>
  <c r="AJ195" i="15"/>
  <c r="AJ196" i="15"/>
  <c r="AJ197" i="15"/>
  <c r="AJ198" i="15"/>
  <c r="AJ199" i="15"/>
  <c r="AJ200" i="15"/>
  <c r="AJ201" i="15"/>
  <c r="AJ202" i="15"/>
  <c r="AJ203" i="15"/>
  <c r="AJ204" i="15"/>
  <c r="AJ205" i="15"/>
  <c r="AJ206" i="15"/>
  <c r="AJ207" i="15"/>
  <c r="AJ208" i="15"/>
  <c r="AJ209" i="15"/>
  <c r="AJ210" i="15"/>
  <c r="AJ211" i="15"/>
  <c r="AJ212" i="15"/>
  <c r="AJ213" i="15"/>
  <c r="AJ214" i="15"/>
  <c r="AJ215" i="15"/>
  <c r="AJ216" i="15"/>
  <c r="AJ217" i="15"/>
  <c r="AJ218" i="15"/>
  <c r="AJ219" i="15"/>
  <c r="AJ220" i="15"/>
  <c r="AJ221" i="15"/>
  <c r="AJ222" i="15"/>
  <c r="AJ223" i="15"/>
  <c r="AJ224" i="15"/>
  <c r="AJ225" i="15"/>
  <c r="AJ226" i="15"/>
  <c r="AJ227" i="15"/>
  <c r="AJ228" i="15"/>
  <c r="AJ229" i="15"/>
  <c r="AJ230" i="15"/>
  <c r="AJ231" i="15"/>
  <c r="AJ232" i="15"/>
  <c r="AJ233" i="15"/>
  <c r="AJ234" i="15"/>
  <c r="AJ235" i="15"/>
  <c r="AJ236" i="15"/>
  <c r="AJ237" i="15"/>
  <c r="AJ238" i="15"/>
  <c r="AJ239" i="15"/>
  <c r="AJ240" i="15"/>
  <c r="AJ241" i="15"/>
  <c r="AJ242" i="15"/>
  <c r="AJ243" i="15"/>
  <c r="AJ244" i="15"/>
  <c r="AJ245" i="15"/>
  <c r="AJ246" i="15"/>
  <c r="AJ247" i="15"/>
  <c r="AJ248" i="15"/>
  <c r="AJ249" i="15"/>
  <c r="AJ250" i="15"/>
  <c r="AJ251" i="15"/>
  <c r="AJ252" i="15"/>
  <c r="AJ253" i="15"/>
  <c r="AJ254" i="15"/>
  <c r="AJ255" i="15"/>
  <c r="AJ256" i="15"/>
  <c r="AJ257" i="15"/>
  <c r="AJ258" i="15"/>
  <c r="AJ259" i="15"/>
  <c r="AJ260" i="15"/>
  <c r="AJ261" i="15"/>
  <c r="AJ262" i="15"/>
  <c r="AJ263" i="15"/>
  <c r="AJ264" i="15"/>
  <c r="AJ265" i="15"/>
  <c r="AJ266" i="15"/>
  <c r="AJ267" i="15"/>
  <c r="AJ268" i="15"/>
  <c r="AJ269" i="15"/>
  <c r="AJ270" i="15"/>
  <c r="AJ271" i="15"/>
  <c r="AJ272" i="15"/>
  <c r="AJ273" i="15"/>
  <c r="AJ274" i="15"/>
  <c r="AJ275" i="15"/>
  <c r="AJ276" i="15"/>
  <c r="AJ277" i="15"/>
  <c r="AJ278" i="15"/>
  <c r="AJ279" i="15"/>
  <c r="AJ280" i="15"/>
  <c r="AJ281" i="15"/>
  <c r="AJ282" i="15"/>
  <c r="AJ283" i="15"/>
  <c r="AJ284" i="15"/>
  <c r="AJ285" i="15"/>
  <c r="AJ286" i="15"/>
  <c r="AJ287" i="15"/>
  <c r="AJ288" i="15"/>
  <c r="AJ289" i="15"/>
  <c r="AJ290" i="15"/>
  <c r="AJ291" i="15"/>
  <c r="AJ292" i="15"/>
  <c r="AJ293" i="15"/>
  <c r="AJ294" i="15"/>
  <c r="AJ295" i="15"/>
  <c r="AJ296" i="15"/>
  <c r="AJ297" i="15"/>
  <c r="AJ298" i="15"/>
  <c r="AJ299" i="15"/>
  <c r="AJ300" i="15"/>
  <c r="AJ301" i="15"/>
  <c r="AJ302" i="15"/>
  <c r="AJ303" i="15"/>
  <c r="AJ304" i="15"/>
  <c r="AJ305" i="15"/>
  <c r="AJ306" i="15"/>
  <c r="AJ307" i="15"/>
  <c r="AJ308" i="15"/>
  <c r="AJ309" i="15"/>
  <c r="AJ310" i="15"/>
  <c r="AJ311" i="15"/>
  <c r="AJ312" i="15"/>
  <c r="AJ313" i="15"/>
  <c r="AJ314" i="15"/>
  <c r="AJ315" i="15"/>
  <c r="AJ316" i="15"/>
  <c r="AJ317" i="15"/>
  <c r="AJ318" i="15"/>
  <c r="AJ319" i="15"/>
  <c r="AJ320" i="15"/>
  <c r="AJ321" i="15"/>
  <c r="AJ322" i="15"/>
  <c r="AJ323" i="15"/>
  <c r="AJ324" i="15"/>
  <c r="AJ325" i="15"/>
  <c r="AJ326" i="15"/>
  <c r="AJ327" i="15"/>
  <c r="AJ328" i="15"/>
  <c r="AJ329" i="15"/>
  <c r="AJ330" i="15"/>
  <c r="AJ331" i="15"/>
  <c r="AJ332" i="15"/>
  <c r="AJ333" i="15"/>
  <c r="AJ334" i="15"/>
  <c r="AJ335" i="15"/>
  <c r="AJ336" i="15"/>
  <c r="AJ337" i="15"/>
  <c r="AJ338" i="15"/>
  <c r="AJ339" i="15"/>
  <c r="AJ340" i="15"/>
  <c r="AJ341" i="15"/>
  <c r="AJ342" i="15"/>
  <c r="AJ343" i="15"/>
  <c r="AJ344" i="15"/>
  <c r="AJ345" i="15"/>
  <c r="AJ346" i="15"/>
  <c r="AJ347" i="15"/>
  <c r="AJ348" i="15"/>
  <c r="AJ349" i="15"/>
  <c r="AJ350" i="15"/>
  <c r="AJ351" i="15"/>
  <c r="AJ352" i="15"/>
  <c r="AJ353" i="15"/>
  <c r="AJ354" i="15"/>
  <c r="AJ355" i="15"/>
  <c r="AJ356" i="15"/>
  <c r="AJ357" i="15"/>
  <c r="AJ358" i="15"/>
  <c r="AJ359" i="15"/>
  <c r="AJ360" i="15"/>
  <c r="AJ361" i="15"/>
  <c r="AJ362" i="15"/>
  <c r="AJ363" i="15"/>
  <c r="AJ364" i="15"/>
  <c r="AJ365" i="15"/>
  <c r="AJ366" i="15"/>
  <c r="AJ367" i="15"/>
  <c r="AJ26" i="15"/>
  <c r="AK26" i="15" s="1"/>
  <c r="AG55" i="15"/>
  <c r="AH55" i="15" s="1"/>
  <c r="AG73" i="15"/>
  <c r="AH73" i="15" s="1"/>
  <c r="AG78" i="15"/>
  <c r="AH78" i="15" s="1"/>
  <c r="AG79" i="15"/>
  <c r="AH79" i="15" s="1"/>
  <c r="AG80" i="15"/>
  <c r="AH80" i="15" s="1"/>
  <c r="AG81" i="15"/>
  <c r="AH81" i="15" s="1"/>
  <c r="AG82" i="15"/>
  <c r="AH82" i="15" s="1"/>
  <c r="AG83" i="15"/>
  <c r="AH83" i="15" s="1"/>
  <c r="AG84" i="15"/>
  <c r="AH84" i="15" s="1"/>
  <c r="AG85" i="15"/>
  <c r="AH85" i="15" s="1"/>
  <c r="AG86" i="15"/>
  <c r="AH86" i="15" s="1"/>
  <c r="AG87" i="15"/>
  <c r="AH87" i="15" s="1"/>
  <c r="AG88" i="15"/>
  <c r="AH88" i="15" s="1"/>
  <c r="AG89" i="15"/>
  <c r="AH89" i="15" s="1"/>
  <c r="AG90" i="15"/>
  <c r="AH90" i="15" s="1"/>
  <c r="AG91" i="15"/>
  <c r="AH91" i="15" s="1"/>
  <c r="AG92" i="15"/>
  <c r="AH92" i="15" s="1"/>
  <c r="AG93" i="15"/>
  <c r="AH93" i="15" s="1"/>
  <c r="AG94" i="15"/>
  <c r="AH94" i="15" s="1"/>
  <c r="AG95" i="15"/>
  <c r="AH95" i="15" s="1"/>
  <c r="AG96" i="15"/>
  <c r="AH96" i="15" s="1"/>
  <c r="AG97" i="15"/>
  <c r="AH97" i="15" s="1"/>
  <c r="AG98" i="15"/>
  <c r="AH98" i="15" s="1"/>
  <c r="AG99" i="15"/>
  <c r="AH99" i="15" s="1"/>
  <c r="AG100" i="15"/>
  <c r="AH100" i="15" s="1"/>
  <c r="AG101" i="15"/>
  <c r="AH101" i="15" s="1"/>
  <c r="AG102" i="15"/>
  <c r="AH102" i="15" s="1"/>
  <c r="AG103" i="15"/>
  <c r="AH103" i="15" s="1"/>
  <c r="AG104" i="15"/>
  <c r="AH104" i="15" s="1"/>
  <c r="AG105" i="15"/>
  <c r="AH105" i="15" s="1"/>
  <c r="AG106" i="15"/>
  <c r="AH106" i="15" s="1"/>
  <c r="AG107" i="15"/>
  <c r="AH107" i="15" s="1"/>
  <c r="AG108" i="15"/>
  <c r="AH108" i="15" s="1"/>
  <c r="AG109" i="15"/>
  <c r="AH109" i="15" s="1"/>
  <c r="AG110" i="15"/>
  <c r="AH110" i="15" s="1"/>
  <c r="AG111" i="15"/>
  <c r="AH111" i="15" s="1"/>
  <c r="AG112" i="15"/>
  <c r="AH112" i="15" s="1"/>
  <c r="AG113" i="15"/>
  <c r="AH113" i="15" s="1"/>
  <c r="AG114" i="15"/>
  <c r="AH114" i="15" s="1"/>
  <c r="AG115" i="15"/>
  <c r="AH115" i="15" s="1"/>
  <c r="AG116" i="15"/>
  <c r="AH116" i="15" s="1"/>
  <c r="AG117" i="15"/>
  <c r="AH117" i="15" s="1"/>
  <c r="AG118" i="15"/>
  <c r="AH118" i="15" s="1"/>
  <c r="AG119" i="15"/>
  <c r="AH119" i="15" s="1"/>
  <c r="AG120" i="15"/>
  <c r="AH120" i="15" s="1"/>
  <c r="AG121" i="15"/>
  <c r="AH121" i="15" s="1"/>
  <c r="AG122" i="15"/>
  <c r="AH122" i="15" s="1"/>
  <c r="AG123" i="15"/>
  <c r="AH123" i="15" s="1"/>
  <c r="AG124" i="15"/>
  <c r="AH124" i="15" s="1"/>
  <c r="AG125" i="15"/>
  <c r="AH125" i="15" s="1"/>
  <c r="AG126" i="15"/>
  <c r="AH126" i="15" s="1"/>
  <c r="AG127" i="15"/>
  <c r="AH127" i="15" s="1"/>
  <c r="AG128" i="15"/>
  <c r="AH128" i="15" s="1"/>
  <c r="AG129" i="15"/>
  <c r="AH129" i="15" s="1"/>
  <c r="AG130" i="15"/>
  <c r="AH130" i="15" s="1"/>
  <c r="AG131" i="15"/>
  <c r="AH131" i="15" s="1"/>
  <c r="AG132" i="15"/>
  <c r="AH132" i="15" s="1"/>
  <c r="AG133" i="15"/>
  <c r="AH133" i="15" s="1"/>
  <c r="AG134" i="15"/>
  <c r="AH134" i="15" s="1"/>
  <c r="AG135" i="15"/>
  <c r="AH135" i="15" s="1"/>
  <c r="AG136" i="15"/>
  <c r="AH136" i="15" s="1"/>
  <c r="AG137" i="15"/>
  <c r="AH137" i="15" s="1"/>
  <c r="AG138" i="15"/>
  <c r="AH138" i="15" s="1"/>
  <c r="AG139" i="15"/>
  <c r="AH139" i="15" s="1"/>
  <c r="AG140" i="15"/>
  <c r="AH140" i="15" s="1"/>
  <c r="AG141" i="15"/>
  <c r="AH141" i="15" s="1"/>
  <c r="AG142" i="15"/>
  <c r="AH142" i="15" s="1"/>
  <c r="AG143" i="15"/>
  <c r="AH143" i="15" s="1"/>
  <c r="AG144" i="15"/>
  <c r="AH144" i="15" s="1"/>
  <c r="AG145" i="15"/>
  <c r="AH145" i="15" s="1"/>
  <c r="AG146" i="15"/>
  <c r="AH146" i="15" s="1"/>
  <c r="AG147" i="15"/>
  <c r="AH147" i="15" s="1"/>
  <c r="AG148" i="15"/>
  <c r="AH148" i="15" s="1"/>
  <c r="AG149" i="15"/>
  <c r="AH149" i="15" s="1"/>
  <c r="AG150" i="15"/>
  <c r="AH150" i="15" s="1"/>
  <c r="AG151" i="15"/>
  <c r="AH151" i="15" s="1"/>
  <c r="AG152" i="15"/>
  <c r="AH152" i="15" s="1"/>
  <c r="AG153" i="15"/>
  <c r="AH153" i="15" s="1"/>
  <c r="AG154" i="15"/>
  <c r="AH154" i="15" s="1"/>
  <c r="AG155" i="15"/>
  <c r="AH155" i="15" s="1"/>
  <c r="AG156" i="15"/>
  <c r="AH156" i="15" s="1"/>
  <c r="AG157" i="15"/>
  <c r="AH157" i="15" s="1"/>
  <c r="AG158" i="15"/>
  <c r="AH158" i="15" s="1"/>
  <c r="AG159" i="15"/>
  <c r="AH159" i="15" s="1"/>
  <c r="AG160" i="15"/>
  <c r="AH160" i="15" s="1"/>
  <c r="AG161" i="15"/>
  <c r="AH161" i="15" s="1"/>
  <c r="AG162" i="15"/>
  <c r="AH162" i="15" s="1"/>
  <c r="AG163" i="15"/>
  <c r="AH163" i="15" s="1"/>
  <c r="AG164" i="15"/>
  <c r="AH164" i="15" s="1"/>
  <c r="AG165" i="15"/>
  <c r="AH165" i="15" s="1"/>
  <c r="AG166" i="15"/>
  <c r="AH166" i="15" s="1"/>
  <c r="AG167" i="15"/>
  <c r="AH167" i="15" s="1"/>
  <c r="AG168" i="15"/>
  <c r="AH168" i="15" s="1"/>
  <c r="AG169" i="15"/>
  <c r="AH169" i="15" s="1"/>
  <c r="AG170" i="15"/>
  <c r="AH170" i="15" s="1"/>
  <c r="AG171" i="15"/>
  <c r="AH171" i="15" s="1"/>
  <c r="AG172" i="15"/>
  <c r="AH172" i="15" s="1"/>
  <c r="AG173" i="15"/>
  <c r="AH173" i="15" s="1"/>
  <c r="AG174" i="15"/>
  <c r="AH174" i="15" s="1"/>
  <c r="AG175" i="15"/>
  <c r="AH175" i="15" s="1"/>
  <c r="AG176" i="15"/>
  <c r="AH176" i="15" s="1"/>
  <c r="AG177" i="15"/>
  <c r="AH177" i="15" s="1"/>
  <c r="AG178" i="15"/>
  <c r="AH178" i="15" s="1"/>
  <c r="AG179" i="15"/>
  <c r="AH179" i="15" s="1"/>
  <c r="AG180" i="15"/>
  <c r="AH180" i="15" s="1"/>
  <c r="AG181" i="15"/>
  <c r="AH181" i="15" s="1"/>
  <c r="AG182" i="15"/>
  <c r="AH182" i="15" s="1"/>
  <c r="AG183" i="15"/>
  <c r="AH183" i="15" s="1"/>
  <c r="AG184" i="15"/>
  <c r="AH184" i="15" s="1"/>
  <c r="AG185" i="15"/>
  <c r="AH185" i="15" s="1"/>
  <c r="AG186" i="15"/>
  <c r="AH186" i="15" s="1"/>
  <c r="AG187" i="15"/>
  <c r="AH187" i="15" s="1"/>
  <c r="AG188" i="15"/>
  <c r="AH188" i="15" s="1"/>
  <c r="AG189" i="15"/>
  <c r="AH189" i="15" s="1"/>
  <c r="AG190" i="15"/>
  <c r="AH190" i="15" s="1"/>
  <c r="AG191" i="15"/>
  <c r="AH191" i="15" s="1"/>
  <c r="AG192" i="15"/>
  <c r="AH192" i="15" s="1"/>
  <c r="AG193" i="15"/>
  <c r="AH193" i="15" s="1"/>
  <c r="AG194" i="15"/>
  <c r="AH194" i="15" s="1"/>
  <c r="AG195" i="15"/>
  <c r="AH195" i="15" s="1"/>
  <c r="AG196" i="15"/>
  <c r="AH196" i="15" s="1"/>
  <c r="AG197" i="15"/>
  <c r="AH197" i="15" s="1"/>
  <c r="AG198" i="15"/>
  <c r="AH198" i="15" s="1"/>
  <c r="AG199" i="15"/>
  <c r="AH199" i="15" s="1"/>
  <c r="AG200" i="15"/>
  <c r="AH200" i="15" s="1"/>
  <c r="AG201" i="15"/>
  <c r="AH201" i="15" s="1"/>
  <c r="AG202" i="15"/>
  <c r="AH202" i="15" s="1"/>
  <c r="AG203" i="15"/>
  <c r="AH203" i="15" s="1"/>
  <c r="AG204" i="15"/>
  <c r="AH204" i="15" s="1"/>
  <c r="AG205" i="15"/>
  <c r="AH205" i="15" s="1"/>
  <c r="AG206" i="15"/>
  <c r="AH206" i="15" s="1"/>
  <c r="AG207" i="15"/>
  <c r="AH207" i="15" s="1"/>
  <c r="AG208" i="15"/>
  <c r="AH208" i="15" s="1"/>
  <c r="AG209" i="15"/>
  <c r="AH209" i="15" s="1"/>
  <c r="AG210" i="15"/>
  <c r="AH210" i="15" s="1"/>
  <c r="AG211" i="15"/>
  <c r="AH211" i="15" s="1"/>
  <c r="AG212" i="15"/>
  <c r="AH212" i="15" s="1"/>
  <c r="AG213" i="15"/>
  <c r="AH213" i="15" s="1"/>
  <c r="AG214" i="15"/>
  <c r="AH214" i="15" s="1"/>
  <c r="AG215" i="15"/>
  <c r="AH215" i="15" s="1"/>
  <c r="AG216" i="15"/>
  <c r="AH216" i="15" s="1"/>
  <c r="AG217" i="15"/>
  <c r="AH217" i="15" s="1"/>
  <c r="AG218" i="15"/>
  <c r="AH218" i="15" s="1"/>
  <c r="AG219" i="15"/>
  <c r="AH219" i="15" s="1"/>
  <c r="AG220" i="15"/>
  <c r="AH220" i="15" s="1"/>
  <c r="AG221" i="15"/>
  <c r="AH221" i="15" s="1"/>
  <c r="AG222" i="15"/>
  <c r="AH222" i="15" s="1"/>
  <c r="AG223" i="15"/>
  <c r="AH223" i="15" s="1"/>
  <c r="AG224" i="15"/>
  <c r="AH224" i="15" s="1"/>
  <c r="AG225" i="15"/>
  <c r="AH225" i="15" s="1"/>
  <c r="AG226" i="15"/>
  <c r="AH226" i="15" s="1"/>
  <c r="AG227" i="15"/>
  <c r="AH227" i="15" s="1"/>
  <c r="AG228" i="15"/>
  <c r="AH228" i="15" s="1"/>
  <c r="AG229" i="15"/>
  <c r="AH229" i="15" s="1"/>
  <c r="AG230" i="15"/>
  <c r="AH230" i="15" s="1"/>
  <c r="AG231" i="15"/>
  <c r="AH231" i="15" s="1"/>
  <c r="AG232" i="15"/>
  <c r="AH232" i="15" s="1"/>
  <c r="AG233" i="15"/>
  <c r="AH233" i="15" s="1"/>
  <c r="AG234" i="15"/>
  <c r="AH234" i="15" s="1"/>
  <c r="AG235" i="15"/>
  <c r="AH235" i="15" s="1"/>
  <c r="AG236" i="15"/>
  <c r="AH236" i="15" s="1"/>
  <c r="AG237" i="15"/>
  <c r="AH237" i="15" s="1"/>
  <c r="AG238" i="15"/>
  <c r="AH238" i="15" s="1"/>
  <c r="AG239" i="15"/>
  <c r="AH239" i="15" s="1"/>
  <c r="AG240" i="15"/>
  <c r="AH240" i="15" s="1"/>
  <c r="AG241" i="15"/>
  <c r="AH241" i="15" s="1"/>
  <c r="AG242" i="15"/>
  <c r="AH242" i="15" s="1"/>
  <c r="AG243" i="15"/>
  <c r="AH243" i="15" s="1"/>
  <c r="AG244" i="15"/>
  <c r="AH244" i="15" s="1"/>
  <c r="AG245" i="15"/>
  <c r="AH245" i="15" s="1"/>
  <c r="AG246" i="15"/>
  <c r="AH246" i="15" s="1"/>
  <c r="AG247" i="15"/>
  <c r="AH247" i="15" s="1"/>
  <c r="AG248" i="15"/>
  <c r="AH248" i="15" s="1"/>
  <c r="AG249" i="15"/>
  <c r="AH249" i="15" s="1"/>
  <c r="AG250" i="15"/>
  <c r="AH250" i="15" s="1"/>
  <c r="AG251" i="15"/>
  <c r="AH251" i="15" s="1"/>
  <c r="AG252" i="15"/>
  <c r="AH252" i="15" s="1"/>
  <c r="AG253" i="15"/>
  <c r="AH253" i="15" s="1"/>
  <c r="AG254" i="15"/>
  <c r="AH254" i="15" s="1"/>
  <c r="AG255" i="15"/>
  <c r="AH255" i="15" s="1"/>
  <c r="AG256" i="15"/>
  <c r="AH256" i="15" s="1"/>
  <c r="AG257" i="15"/>
  <c r="AH257" i="15" s="1"/>
  <c r="AG258" i="15"/>
  <c r="AH258" i="15" s="1"/>
  <c r="AG259" i="15"/>
  <c r="AH259" i="15" s="1"/>
  <c r="AG260" i="15"/>
  <c r="AH260" i="15" s="1"/>
  <c r="AG261" i="15"/>
  <c r="AH261" i="15" s="1"/>
  <c r="AG262" i="15"/>
  <c r="AH262" i="15" s="1"/>
  <c r="AG263" i="15"/>
  <c r="AH263" i="15" s="1"/>
  <c r="AG264" i="15"/>
  <c r="AH264" i="15" s="1"/>
  <c r="AG265" i="15"/>
  <c r="AH265" i="15" s="1"/>
  <c r="AG266" i="15"/>
  <c r="AH266" i="15" s="1"/>
  <c r="AG267" i="15"/>
  <c r="AH267" i="15" s="1"/>
  <c r="AG268" i="15"/>
  <c r="AH268" i="15" s="1"/>
  <c r="AG269" i="15"/>
  <c r="AH269" i="15" s="1"/>
  <c r="AG270" i="15"/>
  <c r="AH270" i="15" s="1"/>
  <c r="AG271" i="15"/>
  <c r="AH271" i="15" s="1"/>
  <c r="AG272" i="15"/>
  <c r="AH272" i="15" s="1"/>
  <c r="AG273" i="15"/>
  <c r="AH273" i="15" s="1"/>
  <c r="AG274" i="15"/>
  <c r="AH274" i="15" s="1"/>
  <c r="AG275" i="15"/>
  <c r="AH275" i="15" s="1"/>
  <c r="AG276" i="15"/>
  <c r="AH276" i="15" s="1"/>
  <c r="AG277" i="15"/>
  <c r="AH277" i="15" s="1"/>
  <c r="AG278" i="15"/>
  <c r="AH278" i="15" s="1"/>
  <c r="AG279" i="15"/>
  <c r="AH279" i="15" s="1"/>
  <c r="AG280" i="15"/>
  <c r="AH280" i="15" s="1"/>
  <c r="AG281" i="15"/>
  <c r="AH281" i="15" s="1"/>
  <c r="AG282" i="15"/>
  <c r="AH282" i="15" s="1"/>
  <c r="AG283" i="15"/>
  <c r="AH283" i="15" s="1"/>
  <c r="AG284" i="15"/>
  <c r="AH284" i="15" s="1"/>
  <c r="AG285" i="15"/>
  <c r="AH285" i="15" s="1"/>
  <c r="AG286" i="15"/>
  <c r="AH286" i="15" s="1"/>
  <c r="AG287" i="15"/>
  <c r="AH287" i="15" s="1"/>
  <c r="AG288" i="15"/>
  <c r="AH288" i="15" s="1"/>
  <c r="AG289" i="15"/>
  <c r="AH289" i="15" s="1"/>
  <c r="AG290" i="15"/>
  <c r="AH290" i="15" s="1"/>
  <c r="AG291" i="15"/>
  <c r="AH291" i="15" s="1"/>
  <c r="AG292" i="15"/>
  <c r="AH292" i="15" s="1"/>
  <c r="AG293" i="15"/>
  <c r="AH293" i="15" s="1"/>
  <c r="AG294" i="15"/>
  <c r="AH294" i="15" s="1"/>
  <c r="AG295" i="15"/>
  <c r="AH295" i="15" s="1"/>
  <c r="AG296" i="15"/>
  <c r="AH296" i="15" s="1"/>
  <c r="AG297" i="15"/>
  <c r="AH297" i="15" s="1"/>
  <c r="AG298" i="15"/>
  <c r="AH298" i="15" s="1"/>
  <c r="AG299" i="15"/>
  <c r="AH299" i="15" s="1"/>
  <c r="AG300" i="15"/>
  <c r="AH300" i="15" s="1"/>
  <c r="AG301" i="15"/>
  <c r="AH301" i="15" s="1"/>
  <c r="AG302" i="15"/>
  <c r="AH302" i="15" s="1"/>
  <c r="AG303" i="15"/>
  <c r="AH303" i="15" s="1"/>
  <c r="AG304" i="15"/>
  <c r="AH304" i="15" s="1"/>
  <c r="AG305" i="15"/>
  <c r="AH305" i="15" s="1"/>
  <c r="AG306" i="15"/>
  <c r="AH306" i="15" s="1"/>
  <c r="AG307" i="15"/>
  <c r="AH307" i="15" s="1"/>
  <c r="AG308" i="15"/>
  <c r="AH308" i="15" s="1"/>
  <c r="AG309" i="15"/>
  <c r="AH309" i="15" s="1"/>
  <c r="AG310" i="15"/>
  <c r="AH310" i="15" s="1"/>
  <c r="AG311" i="15"/>
  <c r="AH311" i="15" s="1"/>
  <c r="AG312" i="15"/>
  <c r="AH312" i="15" s="1"/>
  <c r="AG313" i="15"/>
  <c r="AH313" i="15" s="1"/>
  <c r="AG314" i="15"/>
  <c r="AH314" i="15" s="1"/>
  <c r="AG315" i="15"/>
  <c r="AH315" i="15" s="1"/>
  <c r="AG316" i="15"/>
  <c r="AH316" i="15" s="1"/>
  <c r="AG317" i="15"/>
  <c r="AH317" i="15" s="1"/>
  <c r="AG318" i="15"/>
  <c r="AH318" i="15" s="1"/>
  <c r="AG319" i="15"/>
  <c r="AH319" i="15" s="1"/>
  <c r="AG320" i="15"/>
  <c r="AH320" i="15" s="1"/>
  <c r="AG321" i="15"/>
  <c r="AH321" i="15" s="1"/>
  <c r="AG322" i="15"/>
  <c r="AH322" i="15" s="1"/>
  <c r="AG323" i="15"/>
  <c r="AH323" i="15" s="1"/>
  <c r="AG324" i="15"/>
  <c r="AH324" i="15" s="1"/>
  <c r="AG325" i="15"/>
  <c r="AH325" i="15" s="1"/>
  <c r="AG326" i="15"/>
  <c r="AH326" i="15" s="1"/>
  <c r="AG327" i="15"/>
  <c r="AH327" i="15" s="1"/>
  <c r="AG328" i="15"/>
  <c r="AH328" i="15" s="1"/>
  <c r="AG329" i="15"/>
  <c r="AH329" i="15" s="1"/>
  <c r="AG330" i="15"/>
  <c r="AH330" i="15" s="1"/>
  <c r="AG331" i="15"/>
  <c r="AH331" i="15" s="1"/>
  <c r="AG332" i="15"/>
  <c r="AH332" i="15" s="1"/>
  <c r="AG333" i="15"/>
  <c r="AH333" i="15" s="1"/>
  <c r="AG334" i="15"/>
  <c r="AH334" i="15" s="1"/>
  <c r="AG335" i="15"/>
  <c r="AH335" i="15" s="1"/>
  <c r="AG336" i="15"/>
  <c r="AH336" i="15" s="1"/>
  <c r="AG337" i="15"/>
  <c r="AH337" i="15" s="1"/>
  <c r="AG338" i="15"/>
  <c r="AH338" i="15" s="1"/>
  <c r="AG339" i="15"/>
  <c r="AH339" i="15" s="1"/>
  <c r="AG340" i="15"/>
  <c r="AH340" i="15" s="1"/>
  <c r="AG341" i="15"/>
  <c r="AH341" i="15" s="1"/>
  <c r="AG342" i="15"/>
  <c r="AH342" i="15" s="1"/>
  <c r="AG343" i="15"/>
  <c r="AH343" i="15" s="1"/>
  <c r="AG344" i="15"/>
  <c r="AH344" i="15" s="1"/>
  <c r="AG345" i="15"/>
  <c r="AH345" i="15" s="1"/>
  <c r="AG346" i="15"/>
  <c r="AH346" i="15" s="1"/>
  <c r="AG347" i="15"/>
  <c r="AH347" i="15" s="1"/>
  <c r="AG348" i="15"/>
  <c r="AH348" i="15" s="1"/>
  <c r="AG349" i="15"/>
  <c r="AH349" i="15" s="1"/>
  <c r="AG350" i="15"/>
  <c r="AH350" i="15" s="1"/>
  <c r="AG351" i="15"/>
  <c r="AH351" i="15" s="1"/>
  <c r="AG352" i="15"/>
  <c r="AH352" i="15" s="1"/>
  <c r="AG353" i="15"/>
  <c r="AH353" i="15" s="1"/>
  <c r="AG354" i="15"/>
  <c r="AH354" i="15" s="1"/>
  <c r="AG355" i="15"/>
  <c r="AH355" i="15" s="1"/>
  <c r="AG356" i="15"/>
  <c r="AH356" i="15" s="1"/>
  <c r="AG357" i="15"/>
  <c r="AH357" i="15" s="1"/>
  <c r="AG358" i="15"/>
  <c r="AH358" i="15" s="1"/>
  <c r="AG359" i="15"/>
  <c r="AH359" i="15" s="1"/>
  <c r="AG360" i="15"/>
  <c r="AH360" i="15" s="1"/>
  <c r="AG361" i="15"/>
  <c r="AH361" i="15" s="1"/>
  <c r="AG362" i="15"/>
  <c r="AH362" i="15" s="1"/>
  <c r="AG363" i="15"/>
  <c r="AH363" i="15" s="1"/>
  <c r="AG364" i="15"/>
  <c r="AH364" i="15" s="1"/>
  <c r="AG365" i="15"/>
  <c r="AH365" i="15" s="1"/>
  <c r="AG366" i="15"/>
  <c r="AH366" i="15" s="1"/>
  <c r="AG367" i="15"/>
  <c r="AH367" i="15" s="1"/>
  <c r="AG26" i="15"/>
  <c r="AH26" i="15" s="1"/>
  <c r="R126" i="15"/>
  <c r="R148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7" i="15"/>
  <c r="R26" i="15"/>
  <c r="S26" i="15" s="1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O126" i="15"/>
  <c r="H125" i="17" s="1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O148" i="15"/>
  <c r="H147" i="17" s="1"/>
  <c r="H148" i="17"/>
  <c r="H149" i="17"/>
  <c r="H150" i="17"/>
  <c r="H151" i="17"/>
  <c r="O153" i="15"/>
  <c r="H152" i="17" s="1"/>
  <c r="O154" i="15"/>
  <c r="H153" i="17" s="1"/>
  <c r="O155" i="15"/>
  <c r="H154" i="17" s="1"/>
  <c r="O156" i="15"/>
  <c r="H155" i="17" s="1"/>
  <c r="O157" i="15"/>
  <c r="H156" i="17" s="1"/>
  <c r="O158" i="15"/>
  <c r="H157" i="17" s="1"/>
  <c r="O159" i="15"/>
  <c r="H158" i="17" s="1"/>
  <c r="O160" i="15"/>
  <c r="H159" i="17" s="1"/>
  <c r="O161" i="15"/>
  <c r="H160" i="17" s="1"/>
  <c r="O162" i="15"/>
  <c r="H161" i="17" s="1"/>
  <c r="O163" i="15"/>
  <c r="H162" i="17" s="1"/>
  <c r="O164" i="15"/>
  <c r="H163" i="17" s="1"/>
  <c r="O165" i="15"/>
  <c r="H164" i="17" s="1"/>
  <c r="O166" i="15"/>
  <c r="H165" i="17" s="1"/>
  <c r="O167" i="15"/>
  <c r="H166" i="17" s="1"/>
  <c r="O168" i="15"/>
  <c r="H167" i="17" s="1"/>
  <c r="O169" i="15"/>
  <c r="H168" i="17" s="1"/>
  <c r="O170" i="15"/>
  <c r="H169" i="17" s="1"/>
  <c r="O171" i="15"/>
  <c r="H170" i="17" s="1"/>
  <c r="O172" i="15"/>
  <c r="H171" i="17" s="1"/>
  <c r="O173" i="15"/>
  <c r="H172" i="17" s="1"/>
  <c r="O174" i="15"/>
  <c r="H173" i="17" s="1"/>
  <c r="O175" i="15"/>
  <c r="H174" i="17" s="1"/>
  <c r="O176" i="15"/>
  <c r="H175" i="17" s="1"/>
  <c r="O177" i="15"/>
  <c r="H176" i="17" s="1"/>
  <c r="O178" i="15"/>
  <c r="H177" i="17" s="1"/>
  <c r="O179" i="15"/>
  <c r="H178" i="17" s="1"/>
  <c r="O180" i="15"/>
  <c r="H179" i="17" s="1"/>
  <c r="O181" i="15"/>
  <c r="H180" i="17" s="1"/>
  <c r="O182" i="15"/>
  <c r="H181" i="17" s="1"/>
  <c r="O183" i="15"/>
  <c r="H182" i="17" s="1"/>
  <c r="O184" i="15"/>
  <c r="H183" i="17" s="1"/>
  <c r="O185" i="15"/>
  <c r="H184" i="17" s="1"/>
  <c r="O186" i="15"/>
  <c r="H185" i="17" s="1"/>
  <c r="O187" i="15"/>
  <c r="H186" i="17" s="1"/>
  <c r="O188" i="15"/>
  <c r="H187" i="17" s="1"/>
  <c r="O189" i="15"/>
  <c r="H188" i="17" s="1"/>
  <c r="O190" i="15"/>
  <c r="H189" i="17" s="1"/>
  <c r="O191" i="15"/>
  <c r="H190" i="17" s="1"/>
  <c r="O192" i="15"/>
  <c r="H191" i="17" s="1"/>
  <c r="O193" i="15"/>
  <c r="H192" i="17" s="1"/>
  <c r="O194" i="15"/>
  <c r="H193" i="17" s="1"/>
  <c r="O195" i="15"/>
  <c r="H194" i="17" s="1"/>
  <c r="O196" i="15"/>
  <c r="H195" i="17" s="1"/>
  <c r="O197" i="15"/>
  <c r="H196" i="17" s="1"/>
  <c r="O198" i="15"/>
  <c r="H197" i="17" s="1"/>
  <c r="O199" i="15"/>
  <c r="H198" i="17" s="1"/>
  <c r="O200" i="15"/>
  <c r="H199" i="17" s="1"/>
  <c r="O201" i="15"/>
  <c r="H200" i="17" s="1"/>
  <c r="O202" i="15"/>
  <c r="H201" i="17" s="1"/>
  <c r="O203" i="15"/>
  <c r="H202" i="17" s="1"/>
  <c r="O204" i="15"/>
  <c r="H203" i="17" s="1"/>
  <c r="O205" i="15"/>
  <c r="H204" i="17" s="1"/>
  <c r="O206" i="15"/>
  <c r="H205" i="17" s="1"/>
  <c r="O207" i="15"/>
  <c r="H206" i="17" s="1"/>
  <c r="O208" i="15"/>
  <c r="H207" i="17" s="1"/>
  <c r="O209" i="15"/>
  <c r="H208" i="17" s="1"/>
  <c r="O210" i="15"/>
  <c r="H209" i="17" s="1"/>
  <c r="O211" i="15"/>
  <c r="H210" i="17" s="1"/>
  <c r="O212" i="15"/>
  <c r="H211" i="17" s="1"/>
  <c r="O213" i="15"/>
  <c r="H212" i="17" s="1"/>
  <c r="O214" i="15"/>
  <c r="H213" i="17" s="1"/>
  <c r="O215" i="15"/>
  <c r="H214" i="17" s="1"/>
  <c r="O216" i="15"/>
  <c r="H215" i="17" s="1"/>
  <c r="O217" i="15"/>
  <c r="H216" i="17" s="1"/>
  <c r="O218" i="15"/>
  <c r="H217" i="17" s="1"/>
  <c r="O219" i="15"/>
  <c r="H218" i="17" s="1"/>
  <c r="O220" i="15"/>
  <c r="H219" i="17" s="1"/>
  <c r="O221" i="15"/>
  <c r="H220" i="17" s="1"/>
  <c r="O222" i="15"/>
  <c r="H221" i="17" s="1"/>
  <c r="O223" i="15"/>
  <c r="H222" i="17" s="1"/>
  <c r="O224" i="15"/>
  <c r="H223" i="17" s="1"/>
  <c r="O225" i="15"/>
  <c r="H224" i="17" s="1"/>
  <c r="O226" i="15"/>
  <c r="H225" i="17" s="1"/>
  <c r="O227" i="15"/>
  <c r="H226" i="17" s="1"/>
  <c r="O228" i="15"/>
  <c r="H227" i="17" s="1"/>
  <c r="O229" i="15"/>
  <c r="H228" i="17" s="1"/>
  <c r="O230" i="15"/>
  <c r="H229" i="17" s="1"/>
  <c r="O231" i="15"/>
  <c r="H230" i="17" s="1"/>
  <c r="O232" i="15"/>
  <c r="H231" i="17" s="1"/>
  <c r="O233" i="15"/>
  <c r="H232" i="17" s="1"/>
  <c r="O234" i="15"/>
  <c r="H233" i="17" s="1"/>
  <c r="O235" i="15"/>
  <c r="H234" i="17" s="1"/>
  <c r="O236" i="15"/>
  <c r="H235" i="17" s="1"/>
  <c r="O237" i="15"/>
  <c r="H236" i="17" s="1"/>
  <c r="O238" i="15"/>
  <c r="H237" i="17" s="1"/>
  <c r="O239" i="15"/>
  <c r="H238" i="17" s="1"/>
  <c r="O240" i="15"/>
  <c r="H239" i="17" s="1"/>
  <c r="O241" i="15"/>
  <c r="H240" i="17" s="1"/>
  <c r="O242" i="15"/>
  <c r="H241" i="17" s="1"/>
  <c r="O243" i="15"/>
  <c r="H242" i="17" s="1"/>
  <c r="O244" i="15"/>
  <c r="H243" i="17" s="1"/>
  <c r="O245" i="15"/>
  <c r="H244" i="17" s="1"/>
  <c r="O246" i="15"/>
  <c r="H245" i="17" s="1"/>
  <c r="O247" i="15"/>
  <c r="H246" i="17" s="1"/>
  <c r="O248" i="15"/>
  <c r="H247" i="17" s="1"/>
  <c r="O249" i="15"/>
  <c r="H248" i="17" s="1"/>
  <c r="O250" i="15"/>
  <c r="H249" i="17" s="1"/>
  <c r="O251" i="15"/>
  <c r="H250" i="17" s="1"/>
  <c r="O252" i="15"/>
  <c r="H251" i="17" s="1"/>
  <c r="O253" i="15"/>
  <c r="H252" i="17" s="1"/>
  <c r="O254" i="15"/>
  <c r="H253" i="17" s="1"/>
  <c r="O255" i="15"/>
  <c r="H254" i="17" s="1"/>
  <c r="O256" i="15"/>
  <c r="H255" i="17" s="1"/>
  <c r="O257" i="15"/>
  <c r="H256" i="17" s="1"/>
  <c r="O258" i="15"/>
  <c r="H257" i="17" s="1"/>
  <c r="O259" i="15"/>
  <c r="H258" i="17" s="1"/>
  <c r="O260" i="15"/>
  <c r="H259" i="17" s="1"/>
  <c r="O261" i="15"/>
  <c r="H260" i="17" s="1"/>
  <c r="O262" i="15"/>
  <c r="H261" i="17" s="1"/>
  <c r="O263" i="15"/>
  <c r="H262" i="17" s="1"/>
  <c r="O264" i="15"/>
  <c r="H263" i="17" s="1"/>
  <c r="O265" i="15"/>
  <c r="H264" i="17" s="1"/>
  <c r="O266" i="15"/>
  <c r="H265" i="17" s="1"/>
  <c r="O267" i="15"/>
  <c r="H266" i="17" s="1"/>
  <c r="O268" i="15"/>
  <c r="H267" i="17" s="1"/>
  <c r="O269" i="15"/>
  <c r="H268" i="17" s="1"/>
  <c r="O270" i="15"/>
  <c r="H269" i="17" s="1"/>
  <c r="O271" i="15"/>
  <c r="H270" i="17" s="1"/>
  <c r="O272" i="15"/>
  <c r="H271" i="17" s="1"/>
  <c r="O273" i="15"/>
  <c r="H272" i="17" s="1"/>
  <c r="O274" i="15"/>
  <c r="H273" i="17" s="1"/>
  <c r="O275" i="15"/>
  <c r="H274" i="17" s="1"/>
  <c r="O276" i="15"/>
  <c r="H275" i="17" s="1"/>
  <c r="O277" i="15"/>
  <c r="H276" i="17" s="1"/>
  <c r="O278" i="15"/>
  <c r="H277" i="17" s="1"/>
  <c r="O279" i="15"/>
  <c r="H278" i="17" s="1"/>
  <c r="O280" i="15"/>
  <c r="H279" i="17" s="1"/>
  <c r="O281" i="15"/>
  <c r="H280" i="17" s="1"/>
  <c r="O282" i="15"/>
  <c r="H281" i="17" s="1"/>
  <c r="O283" i="15"/>
  <c r="H282" i="17" s="1"/>
  <c r="O284" i="15"/>
  <c r="H283" i="17" s="1"/>
  <c r="O285" i="15"/>
  <c r="H284" i="17" s="1"/>
  <c r="O286" i="15"/>
  <c r="H285" i="17" s="1"/>
  <c r="O287" i="15"/>
  <c r="H286" i="17" s="1"/>
  <c r="O288" i="15"/>
  <c r="H287" i="17" s="1"/>
  <c r="O289" i="15"/>
  <c r="H288" i="17" s="1"/>
  <c r="O290" i="15"/>
  <c r="H289" i="17" s="1"/>
  <c r="O291" i="15"/>
  <c r="H290" i="17" s="1"/>
  <c r="O292" i="15"/>
  <c r="H291" i="17" s="1"/>
  <c r="O293" i="15"/>
  <c r="H292" i="17" s="1"/>
  <c r="O294" i="15"/>
  <c r="H293" i="17" s="1"/>
  <c r="O295" i="15"/>
  <c r="H294" i="17" s="1"/>
  <c r="O296" i="15"/>
  <c r="H295" i="17" s="1"/>
  <c r="O297" i="15"/>
  <c r="H296" i="17" s="1"/>
  <c r="O298" i="15"/>
  <c r="H297" i="17" s="1"/>
  <c r="O299" i="15"/>
  <c r="H298" i="17" s="1"/>
  <c r="O300" i="15"/>
  <c r="H299" i="17" s="1"/>
  <c r="O301" i="15"/>
  <c r="H300" i="17" s="1"/>
  <c r="O302" i="15"/>
  <c r="H301" i="17" s="1"/>
  <c r="O303" i="15"/>
  <c r="H302" i="17" s="1"/>
  <c r="O304" i="15"/>
  <c r="H303" i="17" s="1"/>
  <c r="O305" i="15"/>
  <c r="H304" i="17" s="1"/>
  <c r="O306" i="15"/>
  <c r="H305" i="17" s="1"/>
  <c r="O307" i="15"/>
  <c r="H306" i="17" s="1"/>
  <c r="O308" i="15"/>
  <c r="H307" i="17" s="1"/>
  <c r="O309" i="15"/>
  <c r="H308" i="17" s="1"/>
  <c r="O310" i="15"/>
  <c r="H309" i="17" s="1"/>
  <c r="O311" i="15"/>
  <c r="H310" i="17" s="1"/>
  <c r="O312" i="15"/>
  <c r="H311" i="17" s="1"/>
  <c r="O313" i="15"/>
  <c r="H312" i="17" s="1"/>
  <c r="O314" i="15"/>
  <c r="H313" i="17" s="1"/>
  <c r="O315" i="15"/>
  <c r="H314" i="17" s="1"/>
  <c r="O316" i="15"/>
  <c r="H315" i="17" s="1"/>
  <c r="O317" i="15"/>
  <c r="H316" i="17" s="1"/>
  <c r="O318" i="15"/>
  <c r="H317" i="17" s="1"/>
  <c r="O319" i="15"/>
  <c r="H318" i="17" s="1"/>
  <c r="O320" i="15"/>
  <c r="H319" i="17" s="1"/>
  <c r="O321" i="15"/>
  <c r="H320" i="17" s="1"/>
  <c r="O322" i="15"/>
  <c r="H321" i="17" s="1"/>
  <c r="O323" i="15"/>
  <c r="H322" i="17" s="1"/>
  <c r="O324" i="15"/>
  <c r="H323" i="17" s="1"/>
  <c r="O325" i="15"/>
  <c r="H324" i="17" s="1"/>
  <c r="O326" i="15"/>
  <c r="H325" i="17" s="1"/>
  <c r="O327" i="15"/>
  <c r="H326" i="17" s="1"/>
  <c r="O328" i="15"/>
  <c r="H327" i="17" s="1"/>
  <c r="O329" i="15"/>
  <c r="H328" i="17" s="1"/>
  <c r="O330" i="15"/>
  <c r="H329" i="17" s="1"/>
  <c r="O331" i="15"/>
  <c r="H330" i="17" s="1"/>
  <c r="O332" i="15"/>
  <c r="H331" i="17" s="1"/>
  <c r="O333" i="15"/>
  <c r="H332" i="17" s="1"/>
  <c r="O334" i="15"/>
  <c r="H333" i="17" s="1"/>
  <c r="O335" i="15"/>
  <c r="H334" i="17" s="1"/>
  <c r="O336" i="15"/>
  <c r="H335" i="17" s="1"/>
  <c r="O337" i="15"/>
  <c r="H336" i="17" s="1"/>
  <c r="O338" i="15"/>
  <c r="H337" i="17" s="1"/>
  <c r="O339" i="15"/>
  <c r="H338" i="17" s="1"/>
  <c r="O340" i="15"/>
  <c r="H339" i="17" s="1"/>
  <c r="O341" i="15"/>
  <c r="H340" i="17" s="1"/>
  <c r="O342" i="15"/>
  <c r="H341" i="17" s="1"/>
  <c r="O343" i="15"/>
  <c r="H342" i="17" s="1"/>
  <c r="O344" i="15"/>
  <c r="H343" i="17" s="1"/>
  <c r="O345" i="15"/>
  <c r="H344" i="17" s="1"/>
  <c r="O346" i="15"/>
  <c r="H345" i="17" s="1"/>
  <c r="O347" i="15"/>
  <c r="H346" i="17" s="1"/>
  <c r="O348" i="15"/>
  <c r="H347" i="17" s="1"/>
  <c r="O349" i="15"/>
  <c r="H348" i="17" s="1"/>
  <c r="O350" i="15"/>
  <c r="H349" i="17" s="1"/>
  <c r="O351" i="15"/>
  <c r="H350" i="17" s="1"/>
  <c r="O352" i="15"/>
  <c r="H351" i="17" s="1"/>
  <c r="O353" i="15"/>
  <c r="H352" i="17" s="1"/>
  <c r="O354" i="15"/>
  <c r="H353" i="17" s="1"/>
  <c r="O355" i="15"/>
  <c r="H354" i="17" s="1"/>
  <c r="O356" i="15"/>
  <c r="H355" i="17" s="1"/>
  <c r="O357" i="15"/>
  <c r="H356" i="17" s="1"/>
  <c r="O358" i="15"/>
  <c r="H357" i="17" s="1"/>
  <c r="O359" i="15"/>
  <c r="H358" i="17" s="1"/>
  <c r="O360" i="15"/>
  <c r="H359" i="17" s="1"/>
  <c r="O361" i="15"/>
  <c r="H360" i="17" s="1"/>
  <c r="O362" i="15"/>
  <c r="H361" i="17" s="1"/>
  <c r="O363" i="15"/>
  <c r="H362" i="17" s="1"/>
  <c r="O364" i="15"/>
  <c r="H363" i="17" s="1"/>
  <c r="O365" i="15"/>
  <c r="H364" i="17" s="1"/>
  <c r="O366" i="15"/>
  <c r="H365" i="17" s="1"/>
  <c r="O367" i="15"/>
  <c r="H366" i="17" s="1"/>
  <c r="O26" i="15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L126" i="15"/>
  <c r="C125" i="17" s="1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L148" i="15"/>
  <c r="C147" i="17" s="1"/>
  <c r="C148" i="17"/>
  <c r="C149" i="17"/>
  <c r="C150" i="17"/>
  <c r="C151" i="17"/>
  <c r="L153" i="15"/>
  <c r="C152" i="17" s="1"/>
  <c r="L154" i="15"/>
  <c r="C153" i="17" s="1"/>
  <c r="L155" i="15"/>
  <c r="C154" i="17" s="1"/>
  <c r="L156" i="15"/>
  <c r="C155" i="17" s="1"/>
  <c r="L157" i="15"/>
  <c r="C156" i="17" s="1"/>
  <c r="L158" i="15"/>
  <c r="C157" i="17" s="1"/>
  <c r="L159" i="15"/>
  <c r="C158" i="17" s="1"/>
  <c r="L160" i="15"/>
  <c r="C159" i="17" s="1"/>
  <c r="L161" i="15"/>
  <c r="C160" i="17" s="1"/>
  <c r="L162" i="15"/>
  <c r="C161" i="17" s="1"/>
  <c r="L163" i="15"/>
  <c r="C162" i="17" s="1"/>
  <c r="L164" i="15"/>
  <c r="C163" i="17" s="1"/>
  <c r="L165" i="15"/>
  <c r="C164" i="17" s="1"/>
  <c r="L166" i="15"/>
  <c r="C165" i="17" s="1"/>
  <c r="L167" i="15"/>
  <c r="C166" i="17" s="1"/>
  <c r="L168" i="15"/>
  <c r="C167" i="17" s="1"/>
  <c r="C168" i="17"/>
  <c r="C169" i="17"/>
  <c r="L171" i="15"/>
  <c r="C170" i="17" s="1"/>
  <c r="L172" i="15"/>
  <c r="C171" i="17" s="1"/>
  <c r="L173" i="15"/>
  <c r="C172" i="17" s="1"/>
  <c r="L174" i="15"/>
  <c r="C173" i="17" s="1"/>
  <c r="L175" i="15"/>
  <c r="C174" i="17" s="1"/>
  <c r="L176" i="15"/>
  <c r="C175" i="17" s="1"/>
  <c r="L177" i="15"/>
  <c r="C176" i="17" s="1"/>
  <c r="L178" i="15"/>
  <c r="C177" i="17" s="1"/>
  <c r="L179" i="15"/>
  <c r="C178" i="17" s="1"/>
  <c r="L180" i="15"/>
  <c r="C179" i="17" s="1"/>
  <c r="L181" i="15"/>
  <c r="C180" i="17" s="1"/>
  <c r="L182" i="15"/>
  <c r="C181" i="17" s="1"/>
  <c r="L183" i="15"/>
  <c r="C182" i="17" s="1"/>
  <c r="L184" i="15"/>
  <c r="C183" i="17" s="1"/>
  <c r="L185" i="15"/>
  <c r="C184" i="17" s="1"/>
  <c r="L186" i="15"/>
  <c r="C185" i="17" s="1"/>
  <c r="L187" i="15"/>
  <c r="C186" i="17" s="1"/>
  <c r="L188" i="15"/>
  <c r="C187" i="17" s="1"/>
  <c r="L189" i="15"/>
  <c r="C188" i="17" s="1"/>
  <c r="L190" i="15"/>
  <c r="C189" i="17" s="1"/>
  <c r="L191" i="15"/>
  <c r="C190" i="17" s="1"/>
  <c r="L192" i="15"/>
  <c r="C191" i="17" s="1"/>
  <c r="L193" i="15"/>
  <c r="C192" i="17" s="1"/>
  <c r="L194" i="15"/>
  <c r="C193" i="17" s="1"/>
  <c r="L195" i="15"/>
  <c r="C194" i="17" s="1"/>
  <c r="L196" i="15"/>
  <c r="C195" i="17" s="1"/>
  <c r="L197" i="15"/>
  <c r="C196" i="17" s="1"/>
  <c r="L198" i="15"/>
  <c r="C197" i="17" s="1"/>
  <c r="L199" i="15"/>
  <c r="C198" i="17" s="1"/>
  <c r="L200" i="15"/>
  <c r="C199" i="17" s="1"/>
  <c r="L201" i="15"/>
  <c r="C200" i="17" s="1"/>
  <c r="L202" i="15"/>
  <c r="C201" i="17" s="1"/>
  <c r="L203" i="15"/>
  <c r="C202" i="17" s="1"/>
  <c r="L204" i="15"/>
  <c r="C203" i="17" s="1"/>
  <c r="L205" i="15"/>
  <c r="C204" i="17" s="1"/>
  <c r="L206" i="15"/>
  <c r="C205" i="17" s="1"/>
  <c r="L207" i="15"/>
  <c r="C206" i="17" s="1"/>
  <c r="L208" i="15"/>
  <c r="C207" i="17" s="1"/>
  <c r="L209" i="15"/>
  <c r="C208" i="17" s="1"/>
  <c r="L210" i="15"/>
  <c r="C209" i="17" s="1"/>
  <c r="L211" i="15"/>
  <c r="C210" i="17" s="1"/>
  <c r="L212" i="15"/>
  <c r="C211" i="17" s="1"/>
  <c r="L213" i="15"/>
  <c r="C212" i="17" s="1"/>
  <c r="L214" i="15"/>
  <c r="C213" i="17" s="1"/>
  <c r="L215" i="15"/>
  <c r="C214" i="17" s="1"/>
  <c r="L216" i="15"/>
  <c r="C215" i="17" s="1"/>
  <c r="L217" i="15"/>
  <c r="C216" i="17" s="1"/>
  <c r="L218" i="15"/>
  <c r="C217" i="17" s="1"/>
  <c r="L219" i="15"/>
  <c r="C218" i="17" s="1"/>
  <c r="L220" i="15"/>
  <c r="C219" i="17" s="1"/>
  <c r="L221" i="15"/>
  <c r="C220" i="17" s="1"/>
  <c r="L222" i="15"/>
  <c r="C221" i="17" s="1"/>
  <c r="L223" i="15"/>
  <c r="C222" i="17" s="1"/>
  <c r="L224" i="15"/>
  <c r="C223" i="17" s="1"/>
  <c r="L225" i="15"/>
  <c r="C224" i="17" s="1"/>
  <c r="L226" i="15"/>
  <c r="C225" i="17" s="1"/>
  <c r="L227" i="15"/>
  <c r="C226" i="17" s="1"/>
  <c r="L228" i="15"/>
  <c r="C227" i="17" s="1"/>
  <c r="L229" i="15"/>
  <c r="C228" i="17" s="1"/>
  <c r="L230" i="15"/>
  <c r="C229" i="17" s="1"/>
  <c r="L231" i="15"/>
  <c r="C230" i="17" s="1"/>
  <c r="L232" i="15"/>
  <c r="C231" i="17" s="1"/>
  <c r="L233" i="15"/>
  <c r="C232" i="17" s="1"/>
  <c r="L234" i="15"/>
  <c r="C233" i="17" s="1"/>
  <c r="L235" i="15"/>
  <c r="C234" i="17" s="1"/>
  <c r="L236" i="15"/>
  <c r="C235" i="17" s="1"/>
  <c r="L237" i="15"/>
  <c r="C236" i="17" s="1"/>
  <c r="L238" i="15"/>
  <c r="C237" i="17" s="1"/>
  <c r="L239" i="15"/>
  <c r="C238" i="17" s="1"/>
  <c r="L240" i="15"/>
  <c r="C239" i="17" s="1"/>
  <c r="L241" i="15"/>
  <c r="C240" i="17" s="1"/>
  <c r="L242" i="15"/>
  <c r="C241" i="17" s="1"/>
  <c r="L243" i="15"/>
  <c r="C242" i="17" s="1"/>
  <c r="L244" i="15"/>
  <c r="C243" i="17" s="1"/>
  <c r="L245" i="15"/>
  <c r="C244" i="17" s="1"/>
  <c r="L246" i="15"/>
  <c r="C245" i="17" s="1"/>
  <c r="L247" i="15"/>
  <c r="C246" i="17" s="1"/>
  <c r="L248" i="15"/>
  <c r="C247" i="17" s="1"/>
  <c r="L249" i="15"/>
  <c r="C248" i="17" s="1"/>
  <c r="L250" i="15"/>
  <c r="C249" i="17" s="1"/>
  <c r="L251" i="15"/>
  <c r="C250" i="17" s="1"/>
  <c r="L252" i="15"/>
  <c r="C251" i="17" s="1"/>
  <c r="L253" i="15"/>
  <c r="C252" i="17" s="1"/>
  <c r="L254" i="15"/>
  <c r="C253" i="17" s="1"/>
  <c r="L255" i="15"/>
  <c r="C254" i="17" s="1"/>
  <c r="L256" i="15"/>
  <c r="C255" i="17" s="1"/>
  <c r="L257" i="15"/>
  <c r="C256" i="17" s="1"/>
  <c r="L258" i="15"/>
  <c r="C257" i="17" s="1"/>
  <c r="L259" i="15"/>
  <c r="C258" i="17" s="1"/>
  <c r="L260" i="15"/>
  <c r="C259" i="17" s="1"/>
  <c r="L261" i="15"/>
  <c r="C260" i="17" s="1"/>
  <c r="L262" i="15"/>
  <c r="C261" i="17" s="1"/>
  <c r="L263" i="15"/>
  <c r="C262" i="17" s="1"/>
  <c r="L264" i="15"/>
  <c r="C263" i="17" s="1"/>
  <c r="L265" i="15"/>
  <c r="C264" i="17" s="1"/>
  <c r="L266" i="15"/>
  <c r="C265" i="17" s="1"/>
  <c r="L267" i="15"/>
  <c r="C266" i="17" s="1"/>
  <c r="L268" i="15"/>
  <c r="C267" i="17" s="1"/>
  <c r="L269" i="15"/>
  <c r="C268" i="17" s="1"/>
  <c r="L270" i="15"/>
  <c r="C269" i="17" s="1"/>
  <c r="L271" i="15"/>
  <c r="C270" i="17" s="1"/>
  <c r="L272" i="15"/>
  <c r="C271" i="17" s="1"/>
  <c r="L273" i="15"/>
  <c r="C272" i="17" s="1"/>
  <c r="L274" i="15"/>
  <c r="C273" i="17" s="1"/>
  <c r="L275" i="15"/>
  <c r="C274" i="17" s="1"/>
  <c r="L276" i="15"/>
  <c r="C275" i="17" s="1"/>
  <c r="L277" i="15"/>
  <c r="C276" i="17" s="1"/>
  <c r="L278" i="15"/>
  <c r="C277" i="17" s="1"/>
  <c r="L279" i="15"/>
  <c r="C278" i="17" s="1"/>
  <c r="L280" i="15"/>
  <c r="C279" i="17" s="1"/>
  <c r="L281" i="15"/>
  <c r="C280" i="17" s="1"/>
  <c r="L282" i="15"/>
  <c r="C281" i="17" s="1"/>
  <c r="L283" i="15"/>
  <c r="C282" i="17" s="1"/>
  <c r="L284" i="15"/>
  <c r="C283" i="17" s="1"/>
  <c r="L285" i="15"/>
  <c r="C284" i="17" s="1"/>
  <c r="L286" i="15"/>
  <c r="C285" i="17" s="1"/>
  <c r="L287" i="15"/>
  <c r="C286" i="17" s="1"/>
  <c r="L288" i="15"/>
  <c r="C287" i="17" s="1"/>
  <c r="L289" i="15"/>
  <c r="C288" i="17" s="1"/>
  <c r="L290" i="15"/>
  <c r="C289" i="17" s="1"/>
  <c r="L291" i="15"/>
  <c r="C290" i="17" s="1"/>
  <c r="L292" i="15"/>
  <c r="C291" i="17" s="1"/>
  <c r="L293" i="15"/>
  <c r="C292" i="17" s="1"/>
  <c r="L294" i="15"/>
  <c r="C293" i="17" s="1"/>
  <c r="L295" i="15"/>
  <c r="C294" i="17" s="1"/>
  <c r="L296" i="15"/>
  <c r="C295" i="17" s="1"/>
  <c r="L297" i="15"/>
  <c r="C296" i="17" s="1"/>
  <c r="L298" i="15"/>
  <c r="C297" i="17" s="1"/>
  <c r="L299" i="15"/>
  <c r="C298" i="17" s="1"/>
  <c r="L300" i="15"/>
  <c r="C299" i="17" s="1"/>
  <c r="L301" i="15"/>
  <c r="C300" i="17" s="1"/>
  <c r="L302" i="15"/>
  <c r="C301" i="17" s="1"/>
  <c r="L303" i="15"/>
  <c r="C302" i="17" s="1"/>
  <c r="L304" i="15"/>
  <c r="C303" i="17" s="1"/>
  <c r="L305" i="15"/>
  <c r="C304" i="17" s="1"/>
  <c r="L306" i="15"/>
  <c r="C305" i="17" s="1"/>
  <c r="L307" i="15"/>
  <c r="C306" i="17" s="1"/>
  <c r="L308" i="15"/>
  <c r="C307" i="17" s="1"/>
  <c r="L309" i="15"/>
  <c r="C308" i="17" s="1"/>
  <c r="L310" i="15"/>
  <c r="C309" i="17" s="1"/>
  <c r="L311" i="15"/>
  <c r="C310" i="17" s="1"/>
  <c r="L312" i="15"/>
  <c r="C311" i="17" s="1"/>
  <c r="L313" i="15"/>
  <c r="C312" i="17" s="1"/>
  <c r="L314" i="15"/>
  <c r="C313" i="17" s="1"/>
  <c r="L315" i="15"/>
  <c r="C314" i="17" s="1"/>
  <c r="L316" i="15"/>
  <c r="C315" i="17" s="1"/>
  <c r="L317" i="15"/>
  <c r="C316" i="17" s="1"/>
  <c r="L318" i="15"/>
  <c r="C317" i="17" s="1"/>
  <c r="L319" i="15"/>
  <c r="C318" i="17" s="1"/>
  <c r="L320" i="15"/>
  <c r="C319" i="17" s="1"/>
  <c r="L321" i="15"/>
  <c r="C320" i="17" s="1"/>
  <c r="L322" i="15"/>
  <c r="C321" i="17" s="1"/>
  <c r="L323" i="15"/>
  <c r="C322" i="17" s="1"/>
  <c r="L324" i="15"/>
  <c r="C323" i="17" s="1"/>
  <c r="L325" i="15"/>
  <c r="C324" i="17" s="1"/>
  <c r="L326" i="15"/>
  <c r="C325" i="17" s="1"/>
  <c r="L327" i="15"/>
  <c r="C326" i="17" s="1"/>
  <c r="L328" i="15"/>
  <c r="C327" i="17" s="1"/>
  <c r="L329" i="15"/>
  <c r="C328" i="17" s="1"/>
  <c r="L330" i="15"/>
  <c r="C329" i="17" s="1"/>
  <c r="L331" i="15"/>
  <c r="C330" i="17" s="1"/>
  <c r="L332" i="15"/>
  <c r="C331" i="17" s="1"/>
  <c r="L333" i="15"/>
  <c r="C332" i="17" s="1"/>
  <c r="L334" i="15"/>
  <c r="C333" i="17" s="1"/>
  <c r="L335" i="15"/>
  <c r="C334" i="17" s="1"/>
  <c r="L336" i="15"/>
  <c r="C335" i="17" s="1"/>
  <c r="L337" i="15"/>
  <c r="C336" i="17" s="1"/>
  <c r="L338" i="15"/>
  <c r="C337" i="17" s="1"/>
  <c r="L339" i="15"/>
  <c r="C338" i="17" s="1"/>
  <c r="L340" i="15"/>
  <c r="C339" i="17" s="1"/>
  <c r="L341" i="15"/>
  <c r="C340" i="17" s="1"/>
  <c r="L342" i="15"/>
  <c r="C341" i="17" s="1"/>
  <c r="L343" i="15"/>
  <c r="C342" i="17" s="1"/>
  <c r="L344" i="15"/>
  <c r="C343" i="17" s="1"/>
  <c r="L345" i="15"/>
  <c r="C344" i="17" s="1"/>
  <c r="L346" i="15"/>
  <c r="C345" i="17" s="1"/>
  <c r="L347" i="15"/>
  <c r="C346" i="17" s="1"/>
  <c r="L348" i="15"/>
  <c r="C347" i="17" s="1"/>
  <c r="L349" i="15"/>
  <c r="C348" i="17" s="1"/>
  <c r="L350" i="15"/>
  <c r="C349" i="17" s="1"/>
  <c r="L351" i="15"/>
  <c r="C350" i="17" s="1"/>
  <c r="L352" i="15"/>
  <c r="C351" i="17" s="1"/>
  <c r="L353" i="15"/>
  <c r="C352" i="17" s="1"/>
  <c r="L354" i="15"/>
  <c r="C353" i="17" s="1"/>
  <c r="L355" i="15"/>
  <c r="C354" i="17" s="1"/>
  <c r="L356" i="15"/>
  <c r="C355" i="17" s="1"/>
  <c r="L357" i="15"/>
  <c r="C356" i="17" s="1"/>
  <c r="L358" i="15"/>
  <c r="C357" i="17" s="1"/>
  <c r="L359" i="15"/>
  <c r="C358" i="17" s="1"/>
  <c r="L360" i="15"/>
  <c r="C359" i="17" s="1"/>
  <c r="L361" i="15"/>
  <c r="C360" i="17" s="1"/>
  <c r="L362" i="15"/>
  <c r="C361" i="17" s="1"/>
  <c r="L363" i="15"/>
  <c r="C362" i="17" s="1"/>
  <c r="L364" i="15"/>
  <c r="C363" i="17" s="1"/>
  <c r="L365" i="15"/>
  <c r="C364" i="17" s="1"/>
  <c r="L366" i="15"/>
  <c r="C365" i="17" s="1"/>
  <c r="L367" i="15"/>
  <c r="C366" i="17" s="1"/>
  <c r="L26" i="15"/>
  <c r="C25" i="17" s="1"/>
  <c r="I126" i="15"/>
  <c r="I148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6" i="15"/>
  <c r="J26" i="15" s="1"/>
  <c r="C126" i="15"/>
  <c r="C148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26" i="15"/>
  <c r="D26" i="15" s="1"/>
  <c r="AE26" i="15"/>
  <c r="AB26" i="15"/>
  <c r="Y26" i="15"/>
  <c r="U26" i="15"/>
  <c r="G26" i="15"/>
  <c r="M26" i="15" l="1"/>
  <c r="P26" i="15"/>
  <c r="H25" i="17"/>
  <c r="O25" i="53"/>
  <c r="J25" i="53"/>
  <c r="R25" i="53"/>
  <c r="W25" i="53"/>
  <c r="Z25" i="53"/>
  <c r="AE25" i="53"/>
  <c r="AM25" i="53"/>
  <c r="AH25" i="53"/>
  <c r="AU25" i="53"/>
  <c r="AP25" i="53"/>
  <c r="BC25" i="53"/>
  <c r="AX25" i="53"/>
  <c r="BF25" i="53"/>
  <c r="BK25" i="53"/>
  <c r="G25" i="53"/>
  <c r="B25" i="53"/>
  <c r="BS25" i="53"/>
  <c r="S25" i="28"/>
  <c r="BO24" i="53" s="1"/>
  <c r="BN24" i="53" s="1"/>
  <c r="Q25" i="28"/>
  <c r="BG24" i="53" s="1"/>
  <c r="O25" i="28"/>
  <c r="AY24" i="53" s="1"/>
  <c r="M25" i="28"/>
  <c r="AQ24" i="53" s="1"/>
  <c r="K25" i="28"/>
  <c r="AI24" i="53" s="1"/>
  <c r="I25" i="28"/>
  <c r="AA24" i="53" s="1"/>
  <c r="G25" i="28"/>
  <c r="S24" i="53" s="1"/>
  <c r="E25" i="28"/>
  <c r="K24" i="53" s="1"/>
  <c r="C25" i="28"/>
  <c r="C24" i="53" s="1"/>
  <c r="AJ25" i="15"/>
  <c r="AK25" i="15" s="1"/>
  <c r="AG25" i="15"/>
  <c r="AH25" i="15" s="1"/>
  <c r="AE25" i="15"/>
  <c r="AB25" i="15"/>
  <c r="Y25" i="15"/>
  <c r="U25" i="15"/>
  <c r="R25" i="15"/>
  <c r="S25" i="15" s="1"/>
  <c r="O25" i="15"/>
  <c r="L25" i="15"/>
  <c r="I25" i="15"/>
  <c r="J25" i="15" s="1"/>
  <c r="G25" i="15"/>
  <c r="C25" i="15"/>
  <c r="D25" i="15" s="1"/>
  <c r="M25" i="15" l="1"/>
  <c r="C24" i="17"/>
  <c r="P25" i="15"/>
  <c r="H24" i="17"/>
  <c r="AE24" i="53"/>
  <c r="Z24" i="53"/>
  <c r="AM24" i="53"/>
  <c r="AH24" i="53"/>
  <c r="AU24" i="53"/>
  <c r="AP24" i="53"/>
  <c r="BC24" i="53"/>
  <c r="AX24" i="53"/>
  <c r="O24" i="53"/>
  <c r="J24" i="53"/>
  <c r="BF24" i="53"/>
  <c r="BK24" i="53"/>
  <c r="G24" i="53"/>
  <c r="B24" i="53"/>
  <c r="BS24" i="53"/>
  <c r="W24" i="53"/>
  <c r="R24" i="53"/>
  <c r="U24" i="28"/>
  <c r="BW23" i="53" s="1"/>
  <c r="S24" i="28"/>
  <c r="BO23" i="53" s="1"/>
  <c r="BN23" i="53" s="1"/>
  <c r="Q24" i="28"/>
  <c r="BG23" i="53" s="1"/>
  <c r="O24" i="28"/>
  <c r="AY23" i="53" s="1"/>
  <c r="M24" i="28"/>
  <c r="AQ23" i="53" s="1"/>
  <c r="K24" i="28"/>
  <c r="AI23" i="53" s="1"/>
  <c r="I24" i="28"/>
  <c r="AA23" i="53" s="1"/>
  <c r="G24" i="28"/>
  <c r="S23" i="53" s="1"/>
  <c r="E24" i="28"/>
  <c r="K23" i="53" s="1"/>
  <c r="C24" i="28"/>
  <c r="C23" i="53" s="1"/>
  <c r="AJ24" i="15"/>
  <c r="AK24" i="15" s="1"/>
  <c r="AG24" i="15"/>
  <c r="AH24" i="15" s="1"/>
  <c r="AE24" i="15"/>
  <c r="AB24" i="15"/>
  <c r="Y24" i="15"/>
  <c r="U24" i="15"/>
  <c r="R24" i="15"/>
  <c r="S24" i="15" s="1"/>
  <c r="O24" i="15"/>
  <c r="L24" i="15"/>
  <c r="I24" i="15"/>
  <c r="J24" i="15" s="1"/>
  <c r="G24" i="15"/>
  <c r="C24" i="15"/>
  <c r="D24" i="15" s="1"/>
  <c r="M24" i="15" l="1"/>
  <c r="C23" i="17"/>
  <c r="P24" i="15"/>
  <c r="H23" i="17"/>
  <c r="AM23" i="53"/>
  <c r="AH23" i="53"/>
  <c r="AP23" i="53"/>
  <c r="AU23" i="53"/>
  <c r="BC23" i="53"/>
  <c r="AX23" i="53"/>
  <c r="BF23" i="53"/>
  <c r="BK23" i="53"/>
  <c r="G23" i="53"/>
  <c r="B23" i="53"/>
  <c r="BS23" i="53"/>
  <c r="O23" i="53"/>
  <c r="J23" i="53"/>
  <c r="W23" i="53"/>
  <c r="R23" i="53"/>
  <c r="BV23" i="53"/>
  <c r="CA23" i="53"/>
  <c r="AE23" i="53"/>
  <c r="Z23" i="53"/>
  <c r="U23" i="28"/>
  <c r="BW22" i="53" s="1"/>
  <c r="S23" i="28"/>
  <c r="BO22" i="53" s="1"/>
  <c r="BN22" i="53" s="1"/>
  <c r="Q23" i="28"/>
  <c r="BG22" i="53" s="1"/>
  <c r="O23" i="28"/>
  <c r="AY22" i="53" s="1"/>
  <c r="M23" i="28"/>
  <c r="AQ22" i="53" s="1"/>
  <c r="K23" i="28"/>
  <c r="AI22" i="53" s="1"/>
  <c r="I23" i="28"/>
  <c r="AA22" i="53" s="1"/>
  <c r="G23" i="28"/>
  <c r="S22" i="53" s="1"/>
  <c r="E23" i="28"/>
  <c r="K22" i="53" s="1"/>
  <c r="C23" i="28"/>
  <c r="C22" i="53" s="1"/>
  <c r="AO23" i="15"/>
  <c r="AM23" i="15"/>
  <c r="AN23" i="15" s="1"/>
  <c r="AJ23" i="15"/>
  <c r="AK23" i="15" s="1"/>
  <c r="AG23" i="15"/>
  <c r="AH23" i="15" s="1"/>
  <c r="AE23" i="15"/>
  <c r="AB23" i="15"/>
  <c r="Y23" i="15"/>
  <c r="U23" i="15"/>
  <c r="R23" i="15"/>
  <c r="S23" i="15" s="1"/>
  <c r="O23" i="15"/>
  <c r="L23" i="15"/>
  <c r="I23" i="15"/>
  <c r="J23" i="15" s="1"/>
  <c r="G23" i="15"/>
  <c r="C23" i="15"/>
  <c r="D23" i="15" s="1"/>
  <c r="M23" i="15" l="1"/>
  <c r="C22" i="17"/>
  <c r="P23" i="15"/>
  <c r="H22" i="17"/>
  <c r="BC22" i="53"/>
  <c r="AX22" i="53"/>
  <c r="BF22" i="53"/>
  <c r="BK22" i="53"/>
  <c r="G22" i="53"/>
  <c r="B22" i="53"/>
  <c r="BS22" i="53"/>
  <c r="O22" i="53"/>
  <c r="J22" i="53"/>
  <c r="CA22" i="53"/>
  <c r="BV22" i="53"/>
  <c r="W22" i="53"/>
  <c r="R22" i="53"/>
  <c r="AE22" i="53"/>
  <c r="Z22" i="53"/>
  <c r="AM22" i="53"/>
  <c r="AH22" i="53"/>
  <c r="AU22" i="53"/>
  <c r="AP22" i="53"/>
  <c r="U22" i="28"/>
  <c r="BW21" i="53" s="1"/>
  <c r="S22" i="28"/>
  <c r="BO21" i="53" s="1"/>
  <c r="BN21" i="53" s="1"/>
  <c r="Q22" i="28"/>
  <c r="BG21" i="53" s="1"/>
  <c r="O22" i="28"/>
  <c r="AY21" i="53" s="1"/>
  <c r="M22" i="28"/>
  <c r="AQ21" i="53" s="1"/>
  <c r="K22" i="28"/>
  <c r="AI21" i="53" s="1"/>
  <c r="I22" i="28"/>
  <c r="AA21" i="53" s="1"/>
  <c r="G22" i="28"/>
  <c r="S21" i="53" s="1"/>
  <c r="E22" i="28"/>
  <c r="K21" i="53" s="1"/>
  <c r="C22" i="28"/>
  <c r="C21" i="53" s="1"/>
  <c r="AM22" i="15"/>
  <c r="AJ22" i="15"/>
  <c r="AK22" i="15" s="1"/>
  <c r="AG22" i="15"/>
  <c r="AH22" i="15" s="1"/>
  <c r="AE22" i="15"/>
  <c r="AB22" i="15"/>
  <c r="Y22" i="15"/>
  <c r="U22" i="15"/>
  <c r="R22" i="15"/>
  <c r="S22" i="15" s="1"/>
  <c r="O22" i="15"/>
  <c r="L22" i="15"/>
  <c r="I22" i="15"/>
  <c r="J22" i="15" s="1"/>
  <c r="G22" i="15"/>
  <c r="C22" i="15"/>
  <c r="D22" i="15" s="1"/>
  <c r="M22" i="15" l="1"/>
  <c r="C21" i="17"/>
  <c r="P22" i="15"/>
  <c r="H21" i="17"/>
  <c r="BC21" i="53"/>
  <c r="AX21" i="53"/>
  <c r="BK21" i="53"/>
  <c r="BF21" i="53"/>
  <c r="G21" i="53"/>
  <c r="B21" i="53"/>
  <c r="BS21" i="53"/>
  <c r="W21" i="53"/>
  <c r="R21" i="53"/>
  <c r="O21" i="53"/>
  <c r="J21" i="53"/>
  <c r="CA21" i="53"/>
  <c r="BV21" i="53"/>
  <c r="AE21" i="53"/>
  <c r="Z21" i="53"/>
  <c r="AH21" i="53"/>
  <c r="AM21" i="53"/>
  <c r="AU21" i="53"/>
  <c r="AP21" i="53"/>
  <c r="U21" i="28"/>
  <c r="BW20" i="53" s="1"/>
  <c r="S21" i="28"/>
  <c r="BO20" i="53" s="1"/>
  <c r="BN20" i="53" s="1"/>
  <c r="Q21" i="28"/>
  <c r="BG20" i="53" s="1"/>
  <c r="O21" i="28"/>
  <c r="AY20" i="53" s="1"/>
  <c r="M21" i="28"/>
  <c r="AQ20" i="53" s="1"/>
  <c r="K21" i="28"/>
  <c r="AI20" i="53" s="1"/>
  <c r="I21" i="28"/>
  <c r="AA20" i="53" s="1"/>
  <c r="G21" i="28"/>
  <c r="S20" i="53" s="1"/>
  <c r="E21" i="28"/>
  <c r="K20" i="53" s="1"/>
  <c r="C21" i="28"/>
  <c r="C20" i="53" s="1"/>
  <c r="AM21" i="15"/>
  <c r="AK21" i="15"/>
  <c r="AG21" i="15"/>
  <c r="AH21" i="15" s="1"/>
  <c r="AE21" i="15"/>
  <c r="AB21" i="15"/>
  <c r="Y21" i="15"/>
  <c r="U21" i="15"/>
  <c r="R21" i="15"/>
  <c r="S21" i="15" s="1"/>
  <c r="O21" i="15"/>
  <c r="L21" i="15"/>
  <c r="I21" i="15"/>
  <c r="J21" i="15" s="1"/>
  <c r="G21" i="15"/>
  <c r="C21" i="15"/>
  <c r="D21" i="15" s="1"/>
  <c r="M21" i="15" l="1"/>
  <c r="C20" i="17"/>
  <c r="P21" i="15"/>
  <c r="H20" i="17"/>
  <c r="BC20" i="53"/>
  <c r="AX20" i="53"/>
  <c r="W20" i="53"/>
  <c r="R20" i="53"/>
  <c r="BK20" i="53"/>
  <c r="BF20" i="53"/>
  <c r="G20" i="53"/>
  <c r="B20" i="53"/>
  <c r="BS20" i="53"/>
  <c r="O20" i="53"/>
  <c r="J20" i="53"/>
  <c r="BV20" i="53"/>
  <c r="CA20" i="53"/>
  <c r="AM20" i="53"/>
  <c r="AH20" i="53"/>
  <c r="AE20" i="53"/>
  <c r="Z20" i="53"/>
  <c r="AU20" i="53"/>
  <c r="AP20" i="53"/>
  <c r="U20" i="28"/>
  <c r="BW19" i="53" s="1"/>
  <c r="S20" i="28"/>
  <c r="BO19" i="53" s="1"/>
  <c r="BN19" i="53" s="1"/>
  <c r="Q20" i="28"/>
  <c r="BG19" i="53" s="1"/>
  <c r="O20" i="28"/>
  <c r="AY19" i="53" s="1"/>
  <c r="M20" i="28"/>
  <c r="AQ19" i="53" s="1"/>
  <c r="K20" i="28"/>
  <c r="AI19" i="53" s="1"/>
  <c r="I20" i="28"/>
  <c r="AA19" i="53" s="1"/>
  <c r="G20" i="28"/>
  <c r="S19" i="53" s="1"/>
  <c r="E20" i="28"/>
  <c r="K19" i="53" s="1"/>
  <c r="C20" i="28"/>
  <c r="C19" i="53" s="1"/>
  <c r="AM20" i="15"/>
  <c r="AN20" i="15" s="1"/>
  <c r="AJ20" i="15"/>
  <c r="AK20" i="15" s="1"/>
  <c r="AG20" i="15"/>
  <c r="AH20" i="15" s="1"/>
  <c r="AE20" i="15"/>
  <c r="AB20" i="15"/>
  <c r="Y20" i="15"/>
  <c r="U20" i="15"/>
  <c r="R20" i="15"/>
  <c r="S20" i="15" s="1"/>
  <c r="O20" i="15"/>
  <c r="L20" i="15"/>
  <c r="I20" i="15"/>
  <c r="J20" i="15" s="1"/>
  <c r="G20" i="15"/>
  <c r="C20" i="15"/>
  <c r="D20" i="15" s="1"/>
  <c r="M20" i="15" l="1"/>
  <c r="C19" i="17"/>
  <c r="P20" i="15"/>
  <c r="H19" i="17"/>
  <c r="AX19" i="53"/>
  <c r="BC19" i="53"/>
  <c r="BK19" i="53"/>
  <c r="BF19" i="53"/>
  <c r="W19" i="53"/>
  <c r="R19" i="53"/>
  <c r="G19" i="53"/>
  <c r="B19" i="53"/>
  <c r="BS19" i="53"/>
  <c r="O19" i="53"/>
  <c r="J19" i="53"/>
  <c r="BV19" i="53"/>
  <c r="CA19" i="53"/>
  <c r="AE19" i="53"/>
  <c r="Z19" i="53"/>
  <c r="AH19" i="53"/>
  <c r="AM19" i="53"/>
  <c r="AP19" i="53"/>
  <c r="AU19" i="53"/>
  <c r="U19" i="28"/>
  <c r="BW18" i="53" s="1"/>
  <c r="S19" i="28"/>
  <c r="BO18" i="53" s="1"/>
  <c r="BN18" i="53" s="1"/>
  <c r="Q19" i="28"/>
  <c r="BG18" i="53" s="1"/>
  <c r="O19" i="28"/>
  <c r="AY18" i="53" s="1"/>
  <c r="M19" i="28"/>
  <c r="AQ18" i="53" s="1"/>
  <c r="K19" i="28"/>
  <c r="AI18" i="53" s="1"/>
  <c r="I19" i="28"/>
  <c r="AA18" i="53" s="1"/>
  <c r="G19" i="28"/>
  <c r="S18" i="53" s="1"/>
  <c r="E19" i="28"/>
  <c r="K18" i="53" s="1"/>
  <c r="C19" i="28"/>
  <c r="C18" i="53" s="1"/>
  <c r="AO19" i="15"/>
  <c r="AM19" i="15"/>
  <c r="AN19" i="15" s="1"/>
  <c r="AJ19" i="15"/>
  <c r="AK19" i="15" s="1"/>
  <c r="AG19" i="15"/>
  <c r="AH19" i="15" s="1"/>
  <c r="AE19" i="15"/>
  <c r="AB19" i="15"/>
  <c r="Y19" i="15"/>
  <c r="U19" i="15"/>
  <c r="R19" i="15"/>
  <c r="S19" i="15" s="1"/>
  <c r="O19" i="15"/>
  <c r="L19" i="15"/>
  <c r="I19" i="15"/>
  <c r="J19" i="15" s="1"/>
  <c r="G19" i="15"/>
  <c r="C19" i="15"/>
  <c r="D19" i="15" s="1"/>
  <c r="P19" i="15" l="1"/>
  <c r="H18" i="17"/>
  <c r="M19" i="15"/>
  <c r="C18" i="17"/>
  <c r="BC18" i="53"/>
  <c r="AX18" i="53"/>
  <c r="BF18" i="53"/>
  <c r="BK18" i="53"/>
  <c r="G18" i="53"/>
  <c r="B18" i="53"/>
  <c r="BS18" i="53"/>
  <c r="J18" i="53"/>
  <c r="O18" i="53"/>
  <c r="CA18" i="53"/>
  <c r="BV18" i="53"/>
  <c r="R18" i="53"/>
  <c r="W18" i="53"/>
  <c r="Z18" i="53"/>
  <c r="AE18" i="53"/>
  <c r="AH18" i="53"/>
  <c r="AM18" i="53"/>
  <c r="AU18" i="53"/>
  <c r="AP18" i="53"/>
  <c r="U18" i="28"/>
  <c r="BW17" i="53" s="1"/>
  <c r="S18" i="28"/>
  <c r="BO17" i="53" s="1"/>
  <c r="BN17" i="53" s="1"/>
  <c r="Q18" i="28"/>
  <c r="BG17" i="53" s="1"/>
  <c r="O18" i="28"/>
  <c r="AY17" i="53" s="1"/>
  <c r="M18" i="28"/>
  <c r="AQ17" i="53" s="1"/>
  <c r="K18" i="28"/>
  <c r="AI17" i="53" s="1"/>
  <c r="I18" i="28"/>
  <c r="AA17" i="53" s="1"/>
  <c r="G18" i="28"/>
  <c r="S17" i="53" s="1"/>
  <c r="E18" i="28"/>
  <c r="K17" i="53" s="1"/>
  <c r="C18" i="28"/>
  <c r="C17" i="53" s="1"/>
  <c r="AO18" i="15"/>
  <c r="AM18" i="15"/>
  <c r="AN18" i="15" s="1"/>
  <c r="AJ18" i="15"/>
  <c r="AK18" i="15" s="1"/>
  <c r="AG18" i="15"/>
  <c r="AH18" i="15" s="1"/>
  <c r="AE18" i="15"/>
  <c r="AB18" i="15"/>
  <c r="Y18" i="15"/>
  <c r="BP17" i="19" s="1"/>
  <c r="R18" i="15"/>
  <c r="S18" i="15" s="1"/>
  <c r="U18" i="15" s="1"/>
  <c r="O18" i="15"/>
  <c r="L18" i="15"/>
  <c r="I18" i="15"/>
  <c r="J18" i="15" s="1"/>
  <c r="G18" i="15"/>
  <c r="C18" i="15"/>
  <c r="D18" i="15" s="1"/>
  <c r="P18" i="15" l="1"/>
  <c r="H17" i="17"/>
  <c r="M18" i="15"/>
  <c r="C17" i="17"/>
  <c r="AX17" i="53"/>
  <c r="BC17" i="53"/>
  <c r="BK17" i="53"/>
  <c r="BF17" i="53"/>
  <c r="O17" i="53"/>
  <c r="J17" i="53"/>
  <c r="BV17" i="53"/>
  <c r="CA17" i="53"/>
  <c r="BS17" i="53"/>
  <c r="R17" i="53"/>
  <c r="W17" i="53"/>
  <c r="G17" i="53"/>
  <c r="B17" i="53"/>
  <c r="Z17" i="53"/>
  <c r="AE17" i="53"/>
  <c r="AH17" i="53"/>
  <c r="AM17" i="53"/>
  <c r="AU17" i="53"/>
  <c r="AP17" i="53"/>
  <c r="U17" i="28"/>
  <c r="BW16" i="53" s="1"/>
  <c r="S17" i="28"/>
  <c r="BO16" i="53" s="1"/>
  <c r="BN16" i="53" s="1"/>
  <c r="Q17" i="28"/>
  <c r="BG16" i="53" s="1"/>
  <c r="O17" i="28"/>
  <c r="AY16" i="53" s="1"/>
  <c r="M17" i="28"/>
  <c r="AQ16" i="53" s="1"/>
  <c r="K17" i="28"/>
  <c r="AI16" i="53" s="1"/>
  <c r="I17" i="28"/>
  <c r="AA16" i="53" s="1"/>
  <c r="G17" i="28"/>
  <c r="S16" i="53" s="1"/>
  <c r="E17" i="28"/>
  <c r="K16" i="53" s="1"/>
  <c r="C17" i="28"/>
  <c r="C16" i="53" s="1"/>
  <c r="AO17" i="15"/>
  <c r="AM17" i="15"/>
  <c r="AN17" i="15" s="1"/>
  <c r="AJ17" i="15"/>
  <c r="AK17" i="15" s="1"/>
  <c r="AG17" i="15"/>
  <c r="AH17" i="15" s="1"/>
  <c r="AE17" i="15"/>
  <c r="AB17" i="15"/>
  <c r="Y17" i="15"/>
  <c r="S17" i="15"/>
  <c r="T17" i="15" s="1"/>
  <c r="U17" i="15" s="1"/>
  <c r="O17" i="15"/>
  <c r="L17" i="15"/>
  <c r="I17" i="15"/>
  <c r="J17" i="15" s="1"/>
  <c r="G17" i="15"/>
  <c r="C17" i="15"/>
  <c r="D17" i="15" s="1"/>
  <c r="M17" i="15" l="1"/>
  <c r="C16" i="17"/>
  <c r="P17" i="15"/>
  <c r="H16" i="17"/>
  <c r="BK16" i="53"/>
  <c r="BF16" i="53"/>
  <c r="G16" i="53"/>
  <c r="B16" i="53"/>
  <c r="BS16" i="53"/>
  <c r="O16" i="53"/>
  <c r="J16" i="53"/>
  <c r="BV16" i="53"/>
  <c r="CA16" i="53"/>
  <c r="W16" i="53"/>
  <c r="R16" i="53"/>
  <c r="AE16" i="53"/>
  <c r="Z16" i="53"/>
  <c r="AM16" i="53"/>
  <c r="AH16" i="53"/>
  <c r="AX16" i="53"/>
  <c r="BC16" i="53"/>
  <c r="AP16" i="53"/>
  <c r="AU16" i="53"/>
  <c r="U16" i="28"/>
  <c r="BW15" i="53" s="1"/>
  <c r="S16" i="28"/>
  <c r="BO15" i="53" s="1"/>
  <c r="BN15" i="53" s="1"/>
  <c r="Q16" i="28"/>
  <c r="BG15" i="53" s="1"/>
  <c r="O16" i="28"/>
  <c r="AY15" i="53" s="1"/>
  <c r="M16" i="28"/>
  <c r="AQ15" i="53" s="1"/>
  <c r="K16" i="28"/>
  <c r="AI15" i="53" s="1"/>
  <c r="I16" i="28"/>
  <c r="AA15" i="53" s="1"/>
  <c r="G16" i="28"/>
  <c r="S15" i="53" s="1"/>
  <c r="E16" i="28"/>
  <c r="K15" i="53" s="1"/>
  <c r="C16" i="28"/>
  <c r="C15" i="53" s="1"/>
  <c r="AJ16" i="15"/>
  <c r="AK16" i="15" s="1"/>
  <c r="AG16" i="15"/>
  <c r="AH16" i="15" s="1"/>
  <c r="AE16" i="15"/>
  <c r="AB16" i="15"/>
  <c r="Y16" i="15"/>
  <c r="U16" i="15"/>
  <c r="R16" i="15"/>
  <c r="S16" i="15" s="1"/>
  <c r="O16" i="15"/>
  <c r="L16" i="15"/>
  <c r="I16" i="15"/>
  <c r="J16" i="15" s="1"/>
  <c r="G16" i="15"/>
  <c r="C16" i="15"/>
  <c r="D16" i="15" s="1"/>
  <c r="M16" i="15" l="1"/>
  <c r="C15" i="17"/>
  <c r="P16" i="15"/>
  <c r="H15" i="17"/>
  <c r="BF15" i="53"/>
  <c r="BK15" i="53"/>
  <c r="G15" i="53"/>
  <c r="B15" i="53"/>
  <c r="BS15" i="53"/>
  <c r="O15" i="53"/>
  <c r="J15" i="53"/>
  <c r="CA15" i="53"/>
  <c r="BV15" i="53"/>
  <c r="BC15" i="53"/>
  <c r="AX15" i="53"/>
  <c r="W15" i="53"/>
  <c r="R15" i="53"/>
  <c r="AE15" i="53"/>
  <c r="Z15" i="53"/>
  <c r="AM15" i="53"/>
  <c r="AH15" i="53"/>
  <c r="AU15" i="53"/>
  <c r="AP15" i="53"/>
  <c r="U15" i="28"/>
  <c r="BW14" i="53" s="1"/>
  <c r="S15" i="28"/>
  <c r="BO14" i="53" s="1"/>
  <c r="BN14" i="53" s="1"/>
  <c r="Q15" i="28"/>
  <c r="BG14" i="53" s="1"/>
  <c r="O15" i="28"/>
  <c r="AY14" i="53" s="1"/>
  <c r="M15" i="28"/>
  <c r="AQ14" i="53" s="1"/>
  <c r="K15" i="28"/>
  <c r="AI14" i="53" s="1"/>
  <c r="I15" i="28"/>
  <c r="AA14" i="53" s="1"/>
  <c r="G15" i="28"/>
  <c r="S14" i="53" s="1"/>
  <c r="E15" i="28"/>
  <c r="K14" i="53" s="1"/>
  <c r="C15" i="28"/>
  <c r="C14" i="53" s="1"/>
  <c r="AJ15" i="15"/>
  <c r="AK15" i="15" s="1"/>
  <c r="AG15" i="15"/>
  <c r="AH15" i="15" s="1"/>
  <c r="AE15" i="15"/>
  <c r="AB15" i="15"/>
  <c r="Y15" i="15"/>
  <c r="U15" i="15"/>
  <c r="R15" i="15"/>
  <c r="S15" i="15" s="1"/>
  <c r="O15" i="15"/>
  <c r="L15" i="15"/>
  <c r="I15" i="15"/>
  <c r="J15" i="15" s="1"/>
  <c r="G15" i="15"/>
  <c r="C15" i="15"/>
  <c r="D15" i="15" s="1"/>
  <c r="M15" i="15" l="1"/>
  <c r="C14" i="17"/>
  <c r="P15" i="15"/>
  <c r="H14" i="17"/>
  <c r="BF14" i="53"/>
  <c r="BK14" i="53"/>
  <c r="G14" i="53"/>
  <c r="B14" i="53"/>
  <c r="BS14" i="53"/>
  <c r="O14" i="53"/>
  <c r="J14" i="53"/>
  <c r="BV14" i="53"/>
  <c r="CA14" i="53"/>
  <c r="W14" i="53"/>
  <c r="R14" i="53"/>
  <c r="BC14" i="53"/>
  <c r="AX14" i="53"/>
  <c r="AE14" i="53"/>
  <c r="Z14" i="53"/>
  <c r="AM14" i="53"/>
  <c r="AH14" i="53"/>
  <c r="AP14" i="53"/>
  <c r="AU14" i="53"/>
  <c r="DY4" i="20"/>
  <c r="DT4" i="20"/>
  <c r="EC4" i="20"/>
  <c r="DW4" i="20"/>
  <c r="DZ4" i="20"/>
  <c r="DV4" i="20"/>
  <c r="DU4" i="20"/>
  <c r="DS4" i="20"/>
  <c r="EB4" i="20"/>
  <c r="DX4" i="20"/>
  <c r="EA4" i="20"/>
  <c r="ED4" i="20" l="1"/>
  <c r="U14" i="28"/>
  <c r="BW13" i="53" s="1"/>
  <c r="S14" i="28"/>
  <c r="BO13" i="53" s="1"/>
  <c r="BN13" i="53" s="1"/>
  <c r="Q14" i="28"/>
  <c r="BG13" i="53" s="1"/>
  <c r="O14" i="28"/>
  <c r="AY13" i="53" s="1"/>
  <c r="M14" i="28"/>
  <c r="AQ13" i="53" s="1"/>
  <c r="K14" i="28"/>
  <c r="AI13" i="53" s="1"/>
  <c r="I14" i="28"/>
  <c r="AA13" i="53" s="1"/>
  <c r="G14" i="28"/>
  <c r="S13" i="53" s="1"/>
  <c r="E14" i="28"/>
  <c r="K13" i="53" s="1"/>
  <c r="C14" i="28"/>
  <c r="C13" i="53" s="1"/>
  <c r="AJ14" i="15"/>
  <c r="AK14" i="15" s="1"/>
  <c r="AG14" i="15"/>
  <c r="AH14" i="15" s="1"/>
  <c r="AE14" i="15"/>
  <c r="AB14" i="15"/>
  <c r="Y14" i="15"/>
  <c r="U14" i="15"/>
  <c r="R14" i="15"/>
  <c r="S14" i="15" s="1"/>
  <c r="O14" i="15"/>
  <c r="L14" i="15"/>
  <c r="I14" i="15"/>
  <c r="J14" i="15" s="1"/>
  <c r="G14" i="15"/>
  <c r="C14" i="15"/>
  <c r="D14" i="15" s="1"/>
  <c r="AR13" i="6"/>
  <c r="M14" i="15" l="1"/>
  <c r="C13" i="17"/>
  <c r="P14" i="15"/>
  <c r="H13" i="17"/>
  <c r="AM13" i="53"/>
  <c r="AH13" i="53"/>
  <c r="AE13" i="53"/>
  <c r="Z13" i="53"/>
  <c r="AP13" i="53"/>
  <c r="AU13" i="53"/>
  <c r="AX13" i="53"/>
  <c r="BC13" i="53"/>
  <c r="BK13" i="53"/>
  <c r="BF13" i="53"/>
  <c r="B13" i="53"/>
  <c r="G13" i="53"/>
  <c r="BS13" i="53"/>
  <c r="O13" i="53"/>
  <c r="J13" i="53"/>
  <c r="CA13" i="53"/>
  <c r="BV13" i="53"/>
  <c r="W13" i="53"/>
  <c r="R13" i="53"/>
  <c r="U13" i="28"/>
  <c r="BW12" i="53" s="1"/>
  <c r="S13" i="28"/>
  <c r="BO12" i="53" s="1"/>
  <c r="BN12" i="53" s="1"/>
  <c r="Q13" i="28"/>
  <c r="BG12" i="53" s="1"/>
  <c r="O13" i="28"/>
  <c r="AY12" i="53" s="1"/>
  <c r="M13" i="28"/>
  <c r="AQ12" i="53" s="1"/>
  <c r="K13" i="28"/>
  <c r="AI12" i="53" s="1"/>
  <c r="I13" i="28"/>
  <c r="AA12" i="53" s="1"/>
  <c r="G13" i="28"/>
  <c r="S12" i="53" s="1"/>
  <c r="E13" i="28"/>
  <c r="K12" i="53" s="1"/>
  <c r="C13" i="28"/>
  <c r="C12" i="53" s="1"/>
  <c r="AM13" i="15"/>
  <c r="AJ13" i="15"/>
  <c r="AK13" i="15" s="1"/>
  <c r="AG13" i="15"/>
  <c r="AH13" i="15" s="1"/>
  <c r="AE13" i="15"/>
  <c r="AB13" i="15"/>
  <c r="Y13" i="15"/>
  <c r="U13" i="15"/>
  <c r="R13" i="15"/>
  <c r="S13" i="15" s="1"/>
  <c r="O13" i="15"/>
  <c r="L13" i="15"/>
  <c r="I13" i="15"/>
  <c r="J13" i="15" s="1"/>
  <c r="G13" i="15"/>
  <c r="C13" i="15"/>
  <c r="D13" i="15" s="1"/>
  <c r="U12" i="28"/>
  <c r="BW11" i="53" s="1"/>
  <c r="S12" i="28"/>
  <c r="BO11" i="53" s="1"/>
  <c r="BN11" i="53" s="1"/>
  <c r="Q12" i="28"/>
  <c r="BG11" i="53" s="1"/>
  <c r="O12" i="28"/>
  <c r="AY11" i="53" s="1"/>
  <c r="AQ11" i="53"/>
  <c r="K12" i="28"/>
  <c r="AI11" i="53" s="1"/>
  <c r="AA11" i="53"/>
  <c r="G12" i="28"/>
  <c r="S11" i="53" s="1"/>
  <c r="E12" i="28"/>
  <c r="K11" i="53" s="1"/>
  <c r="C12" i="28"/>
  <c r="C11" i="53" s="1"/>
  <c r="AJ12" i="15"/>
  <c r="AK12" i="15" s="1"/>
  <c r="AG12" i="15"/>
  <c r="AH12" i="15" s="1"/>
  <c r="AE12" i="15"/>
  <c r="AB12" i="15"/>
  <c r="Y12" i="15"/>
  <c r="U12" i="15"/>
  <c r="R12" i="15"/>
  <c r="S12" i="15" s="1"/>
  <c r="O12" i="15"/>
  <c r="L12" i="15"/>
  <c r="I12" i="15"/>
  <c r="J12" i="15" s="1"/>
  <c r="G12" i="15"/>
  <c r="C12" i="15"/>
  <c r="D12" i="15" s="1"/>
  <c r="T10" i="19"/>
  <c r="P10" i="19"/>
  <c r="AL10" i="19"/>
  <c r="CJ10" i="19" s="1"/>
  <c r="U11" i="28"/>
  <c r="BW10" i="53" s="1"/>
  <c r="S11" i="28"/>
  <c r="BO10" i="53" s="1"/>
  <c r="BN10" i="53" s="1"/>
  <c r="Q11" i="28"/>
  <c r="BG10" i="53" s="1"/>
  <c r="O11" i="28"/>
  <c r="AY10" i="53" s="1"/>
  <c r="M11" i="28"/>
  <c r="AQ10" i="53" s="1"/>
  <c r="K11" i="28"/>
  <c r="AI10" i="53" s="1"/>
  <c r="I11" i="28"/>
  <c r="AA10" i="53" s="1"/>
  <c r="G11" i="28"/>
  <c r="S10" i="53" s="1"/>
  <c r="E11" i="28"/>
  <c r="K10" i="53" s="1"/>
  <c r="C11" i="28"/>
  <c r="C10" i="53" s="1"/>
  <c r="AM11" i="15"/>
  <c r="AN11" i="15" s="1"/>
  <c r="AJ11" i="15"/>
  <c r="AK11" i="15" s="1"/>
  <c r="AG11" i="15"/>
  <c r="AH11" i="15" s="1"/>
  <c r="AE11" i="15"/>
  <c r="AB11" i="15"/>
  <c r="Y11" i="15"/>
  <c r="U11" i="15"/>
  <c r="R11" i="15"/>
  <c r="S11" i="15" s="1"/>
  <c r="O11" i="15"/>
  <c r="L11" i="15"/>
  <c r="I11" i="15"/>
  <c r="J11" i="15" s="1"/>
  <c r="G11" i="15"/>
  <c r="D11" i="15"/>
  <c r="M13" i="15" l="1"/>
  <c r="C12" i="17"/>
  <c r="M11" i="15"/>
  <c r="C10" i="17"/>
  <c r="P11" i="15"/>
  <c r="H10" i="17"/>
  <c r="P13" i="15"/>
  <c r="H12" i="17"/>
  <c r="M12" i="15"/>
  <c r="C11" i="17"/>
  <c r="P12" i="15"/>
  <c r="H11" i="17"/>
  <c r="O10" i="53"/>
  <c r="J10" i="53"/>
  <c r="R10" i="53"/>
  <c r="W10" i="53"/>
  <c r="AX11" i="53"/>
  <c r="BC11" i="53"/>
  <c r="BK12" i="53"/>
  <c r="BF12" i="53"/>
  <c r="Z10" i="53"/>
  <c r="AE10" i="53"/>
  <c r="BK11" i="53"/>
  <c r="BF11" i="53"/>
  <c r="G12" i="53"/>
  <c r="B12" i="53"/>
  <c r="BS12" i="53"/>
  <c r="CA10" i="53"/>
  <c r="BV10" i="53"/>
  <c r="AU11" i="53"/>
  <c r="AP11" i="53"/>
  <c r="AH10" i="53"/>
  <c r="AM10" i="53"/>
  <c r="B11" i="53"/>
  <c r="G11" i="53"/>
  <c r="BS11" i="53"/>
  <c r="O12" i="53"/>
  <c r="J12" i="53"/>
  <c r="BV12" i="53"/>
  <c r="CA12" i="53"/>
  <c r="AU10" i="53"/>
  <c r="AP10" i="53"/>
  <c r="O11" i="53"/>
  <c r="J11" i="53"/>
  <c r="CA11" i="53"/>
  <c r="BV11" i="53"/>
  <c r="W12" i="53"/>
  <c r="R12" i="53"/>
  <c r="BC12" i="53"/>
  <c r="AX12" i="53"/>
  <c r="BC10" i="53"/>
  <c r="AX10" i="53"/>
  <c r="W11" i="53"/>
  <c r="R11" i="53"/>
  <c r="AE12" i="53"/>
  <c r="Z12" i="53"/>
  <c r="BK10" i="53"/>
  <c r="BF10" i="53"/>
  <c r="AE11" i="53"/>
  <c r="Z11" i="53"/>
  <c r="AM12" i="53"/>
  <c r="AH12" i="53"/>
  <c r="B10" i="53"/>
  <c r="G10" i="53"/>
  <c r="BS10" i="53"/>
  <c r="AM11" i="53"/>
  <c r="AH11" i="53"/>
  <c r="AU12" i="53"/>
  <c r="AP12" i="53"/>
  <c r="AT364" i="24"/>
  <c r="AB40" i="24"/>
  <c r="U10" i="28" l="1"/>
  <c r="BW9" i="53" s="1"/>
  <c r="S10" i="28"/>
  <c r="BO9" i="53" s="1"/>
  <c r="BN9" i="53" s="1"/>
  <c r="Q10" i="28"/>
  <c r="BG9" i="53" s="1"/>
  <c r="O10" i="28"/>
  <c r="AY9" i="53" s="1"/>
  <c r="M10" i="28"/>
  <c r="AQ9" i="53" s="1"/>
  <c r="K10" i="28"/>
  <c r="AI9" i="53" s="1"/>
  <c r="I10" i="28"/>
  <c r="AA9" i="53" s="1"/>
  <c r="G10" i="28"/>
  <c r="S9" i="53" s="1"/>
  <c r="E10" i="28"/>
  <c r="K9" i="53" s="1"/>
  <c r="C10" i="28"/>
  <c r="C9" i="53" s="1"/>
  <c r="AO10" i="15"/>
  <c r="AM10" i="15"/>
  <c r="AN10" i="15" s="1"/>
  <c r="AJ10" i="15"/>
  <c r="AK10" i="15" s="1"/>
  <c r="AG10" i="15"/>
  <c r="AH10" i="15" s="1"/>
  <c r="AE10" i="15"/>
  <c r="AB10" i="15"/>
  <c r="O10" i="15"/>
  <c r="L10" i="15"/>
  <c r="I10" i="15"/>
  <c r="J10" i="15" s="1"/>
  <c r="G10" i="15"/>
  <c r="C10" i="15"/>
  <c r="D10" i="15" s="1"/>
  <c r="M10" i="15" l="1"/>
  <c r="C9" i="17"/>
  <c r="P10" i="15"/>
  <c r="H9" i="17"/>
  <c r="R9" i="53"/>
  <c r="W9" i="53"/>
  <c r="Z9" i="53"/>
  <c r="AE9" i="53"/>
  <c r="AP9" i="53"/>
  <c r="AU9" i="53"/>
  <c r="O9" i="53"/>
  <c r="J9" i="53"/>
  <c r="BC9" i="53"/>
  <c r="AX9" i="53"/>
  <c r="CA9" i="53"/>
  <c r="BV9" i="53"/>
  <c r="BF9" i="53"/>
  <c r="BK9" i="53"/>
  <c r="AH9" i="53"/>
  <c r="AM9" i="53"/>
  <c r="G9" i="53"/>
  <c r="B9" i="53"/>
  <c r="BS9" i="53"/>
  <c r="U9" i="28"/>
  <c r="BW8" i="53" s="1"/>
  <c r="S9" i="28"/>
  <c r="BO8" i="53" s="1"/>
  <c r="BN8" i="53" s="1"/>
  <c r="Q9" i="28"/>
  <c r="BG8" i="53" s="1"/>
  <c r="O9" i="28"/>
  <c r="AY8" i="53" s="1"/>
  <c r="M9" i="28"/>
  <c r="AQ8" i="53" s="1"/>
  <c r="K9" i="28"/>
  <c r="AI8" i="53" s="1"/>
  <c r="I9" i="28"/>
  <c r="AA8" i="53" s="1"/>
  <c r="G9" i="28"/>
  <c r="S8" i="53" s="1"/>
  <c r="E9" i="28"/>
  <c r="K8" i="53" s="1"/>
  <c r="C9" i="28"/>
  <c r="C8" i="53" s="1"/>
  <c r="S9" i="15"/>
  <c r="T9" i="15" s="1"/>
  <c r="U9" i="15" s="1"/>
  <c r="S126" i="15"/>
  <c r="S148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M126" i="15"/>
  <c r="M148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O4" i="15"/>
  <c r="H3" i="17" s="1"/>
  <c r="O5" i="15"/>
  <c r="H4" i="17" s="1"/>
  <c r="O6" i="15"/>
  <c r="H5" i="17" s="1"/>
  <c r="O7" i="15"/>
  <c r="H6" i="17" s="1"/>
  <c r="O8" i="15"/>
  <c r="H7" i="17" s="1"/>
  <c r="O9" i="15"/>
  <c r="H8" i="17" s="1"/>
  <c r="O3" i="15"/>
  <c r="R4" i="15"/>
  <c r="S4" i="15" s="1"/>
  <c r="R5" i="15"/>
  <c r="S5" i="15" s="1"/>
  <c r="R6" i="15"/>
  <c r="S6" i="15" s="1"/>
  <c r="R7" i="15"/>
  <c r="S7" i="15" s="1"/>
  <c r="R8" i="15"/>
  <c r="S8" i="15" s="1"/>
  <c r="R10" i="15"/>
  <c r="S10" i="15" s="1"/>
  <c r="R3" i="15"/>
  <c r="U3" i="15"/>
  <c r="U4" i="15"/>
  <c r="U5" i="15"/>
  <c r="U6" i="15"/>
  <c r="U7" i="15"/>
  <c r="U8" i="15"/>
  <c r="U10" i="15"/>
  <c r="U55" i="15"/>
  <c r="U73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AO9" i="15"/>
  <c r="AM9" i="15"/>
  <c r="AN9" i="15" s="1"/>
  <c r="AJ9" i="15"/>
  <c r="AK9" i="15" s="1"/>
  <c r="AG9" i="15"/>
  <c r="AH9" i="15" s="1"/>
  <c r="AE9" i="15"/>
  <c r="AB9" i="15"/>
  <c r="Y9" i="15"/>
  <c r="L9" i="15"/>
  <c r="I9" i="15"/>
  <c r="J9" i="15" s="1"/>
  <c r="G9" i="15"/>
  <c r="C9" i="15"/>
  <c r="D9" i="15" s="1"/>
  <c r="S3" i="15" l="1"/>
  <c r="P9" i="15"/>
  <c r="M9" i="15"/>
  <c r="C8" i="17"/>
  <c r="BK8" i="53"/>
  <c r="BF8" i="53"/>
  <c r="AX8" i="53"/>
  <c r="BC8" i="53"/>
  <c r="G8" i="53"/>
  <c r="B8" i="53"/>
  <c r="BS8" i="53"/>
  <c r="O8" i="53"/>
  <c r="J8" i="53"/>
  <c r="CA8" i="53"/>
  <c r="BV8" i="53"/>
  <c r="W8" i="53"/>
  <c r="R8" i="53"/>
  <c r="Z8" i="53"/>
  <c r="AE8" i="53"/>
  <c r="AM8" i="53"/>
  <c r="AH8" i="53"/>
  <c r="AU8" i="53"/>
  <c r="AP8" i="53"/>
  <c r="U8" i="28"/>
  <c r="BW7" i="53" s="1"/>
  <c r="S8" i="28"/>
  <c r="BO7" i="53" s="1"/>
  <c r="BN7" i="53" s="1"/>
  <c r="Q8" i="28"/>
  <c r="BG7" i="53" s="1"/>
  <c r="O8" i="28"/>
  <c r="AY7" i="53" s="1"/>
  <c r="M8" i="28"/>
  <c r="AQ7" i="53" s="1"/>
  <c r="K8" i="28"/>
  <c r="AI7" i="53" s="1"/>
  <c r="I8" i="28"/>
  <c r="AA7" i="53" s="1"/>
  <c r="G8" i="28"/>
  <c r="S7" i="53" s="1"/>
  <c r="E8" i="28"/>
  <c r="K7" i="53" s="1"/>
  <c r="C8" i="28"/>
  <c r="C7" i="53" s="1"/>
  <c r="AO8" i="15"/>
  <c r="AM8" i="15"/>
  <c r="AN8" i="15" s="1"/>
  <c r="AJ8" i="15"/>
  <c r="AK8" i="15" s="1"/>
  <c r="AG8" i="15"/>
  <c r="AH8" i="15" s="1"/>
  <c r="AE8" i="15"/>
  <c r="AB8" i="15"/>
  <c r="Y8" i="15"/>
  <c r="P8" i="15"/>
  <c r="L8" i="15"/>
  <c r="I8" i="15"/>
  <c r="J8" i="15" s="1"/>
  <c r="G8" i="15"/>
  <c r="C8" i="15"/>
  <c r="D8" i="15" s="1"/>
  <c r="M8" i="15" l="1"/>
  <c r="C7" i="17"/>
  <c r="BC7" i="53"/>
  <c r="AX7" i="53"/>
  <c r="B7" i="53"/>
  <c r="G7" i="53"/>
  <c r="BS7" i="53"/>
  <c r="BK7" i="53"/>
  <c r="BF7" i="53"/>
  <c r="O7" i="53"/>
  <c r="J7" i="53"/>
  <c r="BV7" i="53"/>
  <c r="CA7" i="53"/>
  <c r="W7" i="53"/>
  <c r="R7" i="53"/>
  <c r="AE7" i="53"/>
  <c r="Z7" i="53"/>
  <c r="AM7" i="53"/>
  <c r="AH7" i="53"/>
  <c r="AU7" i="53"/>
  <c r="AP7" i="53"/>
  <c r="U7" i="28"/>
  <c r="BW6" i="53" s="1"/>
  <c r="S7" i="28"/>
  <c r="BO6" i="53" s="1"/>
  <c r="BN6" i="53" s="1"/>
  <c r="Q7" i="28"/>
  <c r="BG6" i="53" s="1"/>
  <c r="O7" i="28"/>
  <c r="AY6" i="53" s="1"/>
  <c r="M7" i="28"/>
  <c r="AQ6" i="53" s="1"/>
  <c r="K7" i="28"/>
  <c r="AI6" i="53" s="1"/>
  <c r="I7" i="28"/>
  <c r="AA6" i="53" s="1"/>
  <c r="G7" i="28"/>
  <c r="S6" i="53" s="1"/>
  <c r="E7" i="28"/>
  <c r="K6" i="53" s="1"/>
  <c r="C7" i="28"/>
  <c r="C6" i="53" s="1"/>
  <c r="AO7" i="15"/>
  <c r="AM7" i="15"/>
  <c r="AN7" i="15" s="1"/>
  <c r="AJ7" i="15"/>
  <c r="AK7" i="15" s="1"/>
  <c r="AG7" i="15"/>
  <c r="AH7" i="15" s="1"/>
  <c r="AE7" i="15"/>
  <c r="AB7" i="15"/>
  <c r="Y7" i="15"/>
  <c r="P7" i="15"/>
  <c r="L7" i="15"/>
  <c r="I7" i="15"/>
  <c r="J7" i="15" s="1"/>
  <c r="G7" i="15"/>
  <c r="C7" i="15"/>
  <c r="D7" i="15" s="1"/>
  <c r="M7" i="15" l="1"/>
  <c r="C6" i="17"/>
  <c r="BF6" i="53"/>
  <c r="BK6" i="53"/>
  <c r="G6" i="53"/>
  <c r="B6" i="53"/>
  <c r="BS6" i="53"/>
  <c r="O6" i="53"/>
  <c r="J6" i="53"/>
  <c r="CA6" i="53"/>
  <c r="BV6" i="53"/>
  <c r="BC6" i="53"/>
  <c r="AX6" i="53"/>
  <c r="W6" i="53"/>
  <c r="R6" i="53"/>
  <c r="AE6" i="53"/>
  <c r="Z6" i="53"/>
  <c r="AH6" i="53"/>
  <c r="AM6" i="53"/>
  <c r="AU6" i="53"/>
  <c r="AP6" i="53"/>
  <c r="Y4" i="15"/>
  <c r="BP3" i="19" s="1"/>
  <c r="Y5" i="15"/>
  <c r="BP4" i="19" s="1"/>
  <c r="Y6" i="15"/>
  <c r="BP5" i="19" s="1"/>
  <c r="Y10" i="15"/>
  <c r="BP9" i="19" s="1"/>
  <c r="BP10" i="19"/>
  <c r="BP18" i="19"/>
  <c r="BP26" i="19"/>
  <c r="BP42" i="19"/>
  <c r="BP50" i="19"/>
  <c r="Y55" i="15"/>
  <c r="BP54" i="19" s="1"/>
  <c r="BP58" i="19"/>
  <c r="BP66" i="19"/>
  <c r="BP72" i="19"/>
  <c r="BP75" i="19"/>
  <c r="BP76" i="19"/>
  <c r="Y78" i="15"/>
  <c r="BP77" i="19" s="1"/>
  <c r="Y79" i="15"/>
  <c r="Y80" i="15"/>
  <c r="BP79" i="19" s="1"/>
  <c r="Y81" i="15"/>
  <c r="BP80" i="19" s="1"/>
  <c r="Y82" i="15"/>
  <c r="BP81" i="19" s="1"/>
  <c r="Y83" i="15"/>
  <c r="BP82" i="19" s="1"/>
  <c r="Y84" i="15"/>
  <c r="BP83" i="19" s="1"/>
  <c r="Y85" i="15"/>
  <c r="BP84" i="19" s="1"/>
  <c r="Y86" i="15"/>
  <c r="BP85" i="19" s="1"/>
  <c r="Y87" i="15"/>
  <c r="Y88" i="15"/>
  <c r="BP87" i="19" s="1"/>
  <c r="Y89" i="15"/>
  <c r="BP88" i="19" s="1"/>
  <c r="Y90" i="15"/>
  <c r="Y91" i="15"/>
  <c r="BP90" i="19" s="1"/>
  <c r="Y92" i="15"/>
  <c r="BP91" i="19" s="1"/>
  <c r="Y93" i="15"/>
  <c r="BP92" i="19" s="1"/>
  <c r="Y94" i="15"/>
  <c r="BP93" i="19" s="1"/>
  <c r="Y95" i="15"/>
  <c r="BP94" i="19" s="1"/>
  <c r="Y96" i="15"/>
  <c r="BP95" i="19" s="1"/>
  <c r="Y97" i="15"/>
  <c r="BP96" i="19" s="1"/>
  <c r="Y98" i="15"/>
  <c r="BP97" i="19" s="1"/>
  <c r="Y99" i="15"/>
  <c r="BP98" i="19" s="1"/>
  <c r="Y100" i="15"/>
  <c r="BP99" i="19" s="1"/>
  <c r="Y101" i="15"/>
  <c r="BP100" i="19" s="1"/>
  <c r="Y102" i="15"/>
  <c r="BP101" i="19" s="1"/>
  <c r="Y103" i="15"/>
  <c r="Y104" i="15"/>
  <c r="BP103" i="19" s="1"/>
  <c r="Y105" i="15"/>
  <c r="BP104" i="19" s="1"/>
  <c r="Y106" i="15"/>
  <c r="BP105" i="19" s="1"/>
  <c r="Y107" i="15"/>
  <c r="BP106" i="19" s="1"/>
  <c r="Y108" i="15"/>
  <c r="BP107" i="19" s="1"/>
  <c r="Y109" i="15"/>
  <c r="BP108" i="19" s="1"/>
  <c r="Y110" i="15"/>
  <c r="BP109" i="19" s="1"/>
  <c r="Y111" i="15"/>
  <c r="Y112" i="15"/>
  <c r="BP111" i="19" s="1"/>
  <c r="Y113" i="15"/>
  <c r="BP112" i="19" s="1"/>
  <c r="Y114" i="15"/>
  <c r="BP113" i="19" s="1"/>
  <c r="Y115" i="15"/>
  <c r="BP114" i="19" s="1"/>
  <c r="Y116" i="15"/>
  <c r="BP115" i="19" s="1"/>
  <c r="Y117" i="15"/>
  <c r="BP116" i="19" s="1"/>
  <c r="Y118" i="15"/>
  <c r="BP117" i="19" s="1"/>
  <c r="Y119" i="15"/>
  <c r="Y120" i="15"/>
  <c r="BP119" i="19" s="1"/>
  <c r="Y121" i="15"/>
  <c r="BP120" i="19" s="1"/>
  <c r="Y122" i="15"/>
  <c r="BP121" i="19" s="1"/>
  <c r="Y123" i="15"/>
  <c r="BP122" i="19" s="1"/>
  <c r="Y124" i="15"/>
  <c r="BP123" i="19" s="1"/>
  <c r="Y125" i="15"/>
  <c r="BP124" i="19" s="1"/>
  <c r="Y126" i="15"/>
  <c r="BP125" i="19" s="1"/>
  <c r="Y127" i="15"/>
  <c r="Y128" i="15"/>
  <c r="BP127" i="19" s="1"/>
  <c r="Y129" i="15"/>
  <c r="BP128" i="19" s="1"/>
  <c r="Y130" i="15"/>
  <c r="BP129" i="19" s="1"/>
  <c r="Y131" i="15"/>
  <c r="BP130" i="19" s="1"/>
  <c r="Y132" i="15"/>
  <c r="BP131" i="19" s="1"/>
  <c r="Y133" i="15"/>
  <c r="BP132" i="19" s="1"/>
  <c r="Y134" i="15"/>
  <c r="BP133" i="19" s="1"/>
  <c r="Y135" i="15"/>
  <c r="BP134" i="19" s="1"/>
  <c r="Y136" i="15"/>
  <c r="BP135" i="19" s="1"/>
  <c r="Y137" i="15"/>
  <c r="BP136" i="19" s="1"/>
  <c r="Y138" i="15"/>
  <c r="BP137" i="19" s="1"/>
  <c r="Y139" i="15"/>
  <c r="BP138" i="19" s="1"/>
  <c r="Y140" i="15"/>
  <c r="BP139" i="19" s="1"/>
  <c r="Y141" i="15"/>
  <c r="BP140" i="19" s="1"/>
  <c r="Y142" i="15"/>
  <c r="BP141" i="19" s="1"/>
  <c r="Y143" i="15"/>
  <c r="BP142" i="19" s="1"/>
  <c r="Y144" i="15"/>
  <c r="BP143" i="19" s="1"/>
  <c r="Y145" i="15"/>
  <c r="BP144" i="19" s="1"/>
  <c r="Y146" i="15"/>
  <c r="BP145" i="19" s="1"/>
  <c r="Y147" i="15"/>
  <c r="BP146" i="19" s="1"/>
  <c r="Y148" i="15"/>
  <c r="BP147" i="19" s="1"/>
  <c r="Y149" i="15"/>
  <c r="BP148" i="19" s="1"/>
  <c r="Y150" i="15"/>
  <c r="BP149" i="19" s="1"/>
  <c r="Y151" i="15"/>
  <c r="BP150" i="19" s="1"/>
  <c r="Y152" i="15"/>
  <c r="BP151" i="19" s="1"/>
  <c r="Y153" i="15"/>
  <c r="BP152" i="19" s="1"/>
  <c r="Y154" i="15"/>
  <c r="BP153" i="19" s="1"/>
  <c r="Y155" i="15"/>
  <c r="BP154" i="19" s="1"/>
  <c r="Y156" i="15"/>
  <c r="BP155" i="19" s="1"/>
  <c r="Y157" i="15"/>
  <c r="BP156" i="19" s="1"/>
  <c r="Y158" i="15"/>
  <c r="BP157" i="19" s="1"/>
  <c r="Y159" i="15"/>
  <c r="BP158" i="19" s="1"/>
  <c r="Y160" i="15"/>
  <c r="BP159" i="19" s="1"/>
  <c r="Y161" i="15"/>
  <c r="BP160" i="19" s="1"/>
  <c r="Y162" i="15"/>
  <c r="BP161" i="19" s="1"/>
  <c r="Y163" i="15"/>
  <c r="BP162" i="19" s="1"/>
  <c r="Y164" i="15"/>
  <c r="BP163" i="19" s="1"/>
  <c r="Y165" i="15"/>
  <c r="BP164" i="19" s="1"/>
  <c r="Y166" i="15"/>
  <c r="BP165" i="19" s="1"/>
  <c r="Y167" i="15"/>
  <c r="BP166" i="19" s="1"/>
  <c r="Y168" i="15"/>
  <c r="BP167" i="19" s="1"/>
  <c r="Y169" i="15"/>
  <c r="BP168" i="19" s="1"/>
  <c r="Y170" i="15"/>
  <c r="BP169" i="19" s="1"/>
  <c r="Y171" i="15"/>
  <c r="BP170" i="19" s="1"/>
  <c r="Y172" i="15"/>
  <c r="BP171" i="19" s="1"/>
  <c r="Y173" i="15"/>
  <c r="BP172" i="19" s="1"/>
  <c r="Y174" i="15"/>
  <c r="BP173" i="19" s="1"/>
  <c r="Y175" i="15"/>
  <c r="BP174" i="19" s="1"/>
  <c r="Y176" i="15"/>
  <c r="BP175" i="19" s="1"/>
  <c r="Y177" i="15"/>
  <c r="BP176" i="19" s="1"/>
  <c r="Y178" i="15"/>
  <c r="BP177" i="19" s="1"/>
  <c r="Y179" i="15"/>
  <c r="BP178" i="19" s="1"/>
  <c r="Y180" i="15"/>
  <c r="BP179" i="19" s="1"/>
  <c r="Y181" i="15"/>
  <c r="BP180" i="19" s="1"/>
  <c r="Y182" i="15"/>
  <c r="BP181" i="19" s="1"/>
  <c r="Y183" i="15"/>
  <c r="BP182" i="19" s="1"/>
  <c r="Y184" i="15"/>
  <c r="BP183" i="19" s="1"/>
  <c r="Y185" i="15"/>
  <c r="BP184" i="19" s="1"/>
  <c r="Y186" i="15"/>
  <c r="BP185" i="19" s="1"/>
  <c r="Y187" i="15"/>
  <c r="BP186" i="19" s="1"/>
  <c r="Y188" i="15"/>
  <c r="BP187" i="19" s="1"/>
  <c r="Y189" i="15"/>
  <c r="BP188" i="19" s="1"/>
  <c r="Y190" i="15"/>
  <c r="BP189" i="19" s="1"/>
  <c r="Y191" i="15"/>
  <c r="BP190" i="19" s="1"/>
  <c r="Y192" i="15"/>
  <c r="BP191" i="19" s="1"/>
  <c r="Y193" i="15"/>
  <c r="BP192" i="19" s="1"/>
  <c r="Y194" i="15"/>
  <c r="BP193" i="19" s="1"/>
  <c r="Y195" i="15"/>
  <c r="BP194" i="19" s="1"/>
  <c r="Y196" i="15"/>
  <c r="BP195" i="19" s="1"/>
  <c r="Y197" i="15"/>
  <c r="BP196" i="19" s="1"/>
  <c r="Y198" i="15"/>
  <c r="BP197" i="19" s="1"/>
  <c r="Y199" i="15"/>
  <c r="BP198" i="19" s="1"/>
  <c r="Y200" i="15"/>
  <c r="BP199" i="19" s="1"/>
  <c r="Y201" i="15"/>
  <c r="BP200" i="19" s="1"/>
  <c r="Y202" i="15"/>
  <c r="BP201" i="19" s="1"/>
  <c r="Y203" i="15"/>
  <c r="BP202" i="19" s="1"/>
  <c r="Y204" i="15"/>
  <c r="BP203" i="19" s="1"/>
  <c r="Y205" i="15"/>
  <c r="BP204" i="19" s="1"/>
  <c r="Y206" i="15"/>
  <c r="BP205" i="19" s="1"/>
  <c r="Y207" i="15"/>
  <c r="BP206" i="19" s="1"/>
  <c r="Y208" i="15"/>
  <c r="BP207" i="19" s="1"/>
  <c r="Y209" i="15"/>
  <c r="BP208" i="19" s="1"/>
  <c r="Y210" i="15"/>
  <c r="BP209" i="19" s="1"/>
  <c r="Y211" i="15"/>
  <c r="BP210" i="19" s="1"/>
  <c r="Y212" i="15"/>
  <c r="BP211" i="19" s="1"/>
  <c r="Y213" i="15"/>
  <c r="BP212" i="19" s="1"/>
  <c r="Y214" i="15"/>
  <c r="BP213" i="19" s="1"/>
  <c r="Y215" i="15"/>
  <c r="BP214" i="19" s="1"/>
  <c r="Y216" i="15"/>
  <c r="BP215" i="19" s="1"/>
  <c r="Y217" i="15"/>
  <c r="BP216" i="19" s="1"/>
  <c r="Y218" i="15"/>
  <c r="BP217" i="19" s="1"/>
  <c r="Y219" i="15"/>
  <c r="BP218" i="19" s="1"/>
  <c r="Y220" i="15"/>
  <c r="BP219" i="19" s="1"/>
  <c r="Y221" i="15"/>
  <c r="BP220" i="19" s="1"/>
  <c r="Y222" i="15"/>
  <c r="BP221" i="19" s="1"/>
  <c r="Y223" i="15"/>
  <c r="BP222" i="19" s="1"/>
  <c r="Y224" i="15"/>
  <c r="BP223" i="19" s="1"/>
  <c r="Y225" i="15"/>
  <c r="BP224" i="19" s="1"/>
  <c r="Y226" i="15"/>
  <c r="BP225" i="19" s="1"/>
  <c r="Y227" i="15"/>
  <c r="BP226" i="19" s="1"/>
  <c r="Y228" i="15"/>
  <c r="BP227" i="19" s="1"/>
  <c r="Y229" i="15"/>
  <c r="BP228" i="19" s="1"/>
  <c r="Y230" i="15"/>
  <c r="BP229" i="19" s="1"/>
  <c r="Y231" i="15"/>
  <c r="BP230" i="19" s="1"/>
  <c r="Y232" i="15"/>
  <c r="BP231" i="19" s="1"/>
  <c r="Y233" i="15"/>
  <c r="BP232" i="19" s="1"/>
  <c r="Y234" i="15"/>
  <c r="BP233" i="19" s="1"/>
  <c r="Y235" i="15"/>
  <c r="BP234" i="19" s="1"/>
  <c r="Y236" i="15"/>
  <c r="BP235" i="19" s="1"/>
  <c r="Y237" i="15"/>
  <c r="BP236" i="19" s="1"/>
  <c r="Y238" i="15"/>
  <c r="BP237" i="19" s="1"/>
  <c r="Y239" i="15"/>
  <c r="BP238" i="19" s="1"/>
  <c r="Y240" i="15"/>
  <c r="BP239" i="19" s="1"/>
  <c r="Y241" i="15"/>
  <c r="BP240" i="19" s="1"/>
  <c r="Y242" i="15"/>
  <c r="BP241" i="19" s="1"/>
  <c r="Y243" i="15"/>
  <c r="BP242" i="19" s="1"/>
  <c r="Y244" i="15"/>
  <c r="BP243" i="19" s="1"/>
  <c r="Y245" i="15"/>
  <c r="BP244" i="19" s="1"/>
  <c r="Y246" i="15"/>
  <c r="BP245" i="19" s="1"/>
  <c r="Y247" i="15"/>
  <c r="BP246" i="19" s="1"/>
  <c r="Y248" i="15"/>
  <c r="BP247" i="19" s="1"/>
  <c r="Y249" i="15"/>
  <c r="BP248" i="19" s="1"/>
  <c r="Y250" i="15"/>
  <c r="BP249" i="19" s="1"/>
  <c r="Y251" i="15"/>
  <c r="BP250" i="19" s="1"/>
  <c r="Y252" i="15"/>
  <c r="BP251" i="19" s="1"/>
  <c r="Y253" i="15"/>
  <c r="BP252" i="19" s="1"/>
  <c r="Y254" i="15"/>
  <c r="BP253" i="19" s="1"/>
  <c r="Y255" i="15"/>
  <c r="BP254" i="19" s="1"/>
  <c r="Y256" i="15"/>
  <c r="BP255" i="19" s="1"/>
  <c r="Y257" i="15"/>
  <c r="BP256" i="19" s="1"/>
  <c r="Y258" i="15"/>
  <c r="BP257" i="19" s="1"/>
  <c r="Y259" i="15"/>
  <c r="BP258" i="19" s="1"/>
  <c r="Y260" i="15"/>
  <c r="BP259" i="19" s="1"/>
  <c r="Y261" i="15"/>
  <c r="BP260" i="19" s="1"/>
  <c r="Y262" i="15"/>
  <c r="BP261" i="19" s="1"/>
  <c r="Y263" i="15"/>
  <c r="BP262" i="19" s="1"/>
  <c r="Y264" i="15"/>
  <c r="BP263" i="19" s="1"/>
  <c r="Y265" i="15"/>
  <c r="BP264" i="19" s="1"/>
  <c r="Y266" i="15"/>
  <c r="BP265" i="19" s="1"/>
  <c r="Y267" i="15"/>
  <c r="BP266" i="19" s="1"/>
  <c r="Y268" i="15"/>
  <c r="BP267" i="19" s="1"/>
  <c r="Y269" i="15"/>
  <c r="BP268" i="19" s="1"/>
  <c r="Y270" i="15"/>
  <c r="BP269" i="19" s="1"/>
  <c r="Y271" i="15"/>
  <c r="BP270" i="19" s="1"/>
  <c r="Y272" i="15"/>
  <c r="BP271" i="19" s="1"/>
  <c r="Y273" i="15"/>
  <c r="BP272" i="19" s="1"/>
  <c r="Y274" i="15"/>
  <c r="BP273" i="19" s="1"/>
  <c r="Y275" i="15"/>
  <c r="BP274" i="19" s="1"/>
  <c r="Y276" i="15"/>
  <c r="BP275" i="19" s="1"/>
  <c r="Y277" i="15"/>
  <c r="BP276" i="19" s="1"/>
  <c r="Y278" i="15"/>
  <c r="BP277" i="19" s="1"/>
  <c r="Y279" i="15"/>
  <c r="BP278" i="19" s="1"/>
  <c r="Y280" i="15"/>
  <c r="BP279" i="19" s="1"/>
  <c r="Y281" i="15"/>
  <c r="BP280" i="19" s="1"/>
  <c r="Y282" i="15"/>
  <c r="BP281" i="19" s="1"/>
  <c r="Y283" i="15"/>
  <c r="BP282" i="19" s="1"/>
  <c r="Y284" i="15"/>
  <c r="BP283" i="19" s="1"/>
  <c r="Y285" i="15"/>
  <c r="BP284" i="19" s="1"/>
  <c r="Y286" i="15"/>
  <c r="BP285" i="19" s="1"/>
  <c r="Y287" i="15"/>
  <c r="BP286" i="19" s="1"/>
  <c r="Y288" i="15"/>
  <c r="BP287" i="19" s="1"/>
  <c r="Y289" i="15"/>
  <c r="BP288" i="19" s="1"/>
  <c r="Y290" i="15"/>
  <c r="BP289" i="19" s="1"/>
  <c r="Y291" i="15"/>
  <c r="BP290" i="19" s="1"/>
  <c r="Y292" i="15"/>
  <c r="BP291" i="19" s="1"/>
  <c r="Y293" i="15"/>
  <c r="BP292" i="19" s="1"/>
  <c r="Y294" i="15"/>
  <c r="BP293" i="19" s="1"/>
  <c r="Y295" i="15"/>
  <c r="BP294" i="19" s="1"/>
  <c r="Y296" i="15"/>
  <c r="BP295" i="19" s="1"/>
  <c r="Y297" i="15"/>
  <c r="BP296" i="19" s="1"/>
  <c r="Y298" i="15"/>
  <c r="BP297" i="19" s="1"/>
  <c r="Y299" i="15"/>
  <c r="BP298" i="19" s="1"/>
  <c r="Y300" i="15"/>
  <c r="BP299" i="19" s="1"/>
  <c r="Y301" i="15"/>
  <c r="BP300" i="19" s="1"/>
  <c r="Y302" i="15"/>
  <c r="BP301" i="19" s="1"/>
  <c r="Y303" i="15"/>
  <c r="BP302" i="19" s="1"/>
  <c r="Y304" i="15"/>
  <c r="BP303" i="19" s="1"/>
  <c r="Y305" i="15"/>
  <c r="BP304" i="19" s="1"/>
  <c r="Y306" i="15"/>
  <c r="BP305" i="19" s="1"/>
  <c r="Y307" i="15"/>
  <c r="BP306" i="19" s="1"/>
  <c r="Y308" i="15"/>
  <c r="BP307" i="19" s="1"/>
  <c r="Y309" i="15"/>
  <c r="BP308" i="19" s="1"/>
  <c r="Y310" i="15"/>
  <c r="BP309" i="19" s="1"/>
  <c r="Y311" i="15"/>
  <c r="BP310" i="19" s="1"/>
  <c r="Y312" i="15"/>
  <c r="BP311" i="19" s="1"/>
  <c r="Y313" i="15"/>
  <c r="BP312" i="19" s="1"/>
  <c r="Y314" i="15"/>
  <c r="BP313" i="19" s="1"/>
  <c r="Y315" i="15"/>
  <c r="BP314" i="19" s="1"/>
  <c r="Y316" i="15"/>
  <c r="BP315" i="19" s="1"/>
  <c r="Y317" i="15"/>
  <c r="BP316" i="19" s="1"/>
  <c r="Y318" i="15"/>
  <c r="BP317" i="19" s="1"/>
  <c r="Y319" i="15"/>
  <c r="BP318" i="19" s="1"/>
  <c r="Y320" i="15"/>
  <c r="BP319" i="19" s="1"/>
  <c r="Y321" i="15"/>
  <c r="BP320" i="19" s="1"/>
  <c r="Y322" i="15"/>
  <c r="BP321" i="19" s="1"/>
  <c r="Y323" i="15"/>
  <c r="BP322" i="19" s="1"/>
  <c r="Y324" i="15"/>
  <c r="BP323" i="19" s="1"/>
  <c r="Y325" i="15"/>
  <c r="BP324" i="19" s="1"/>
  <c r="Y326" i="15"/>
  <c r="BP325" i="19" s="1"/>
  <c r="Y327" i="15"/>
  <c r="BP326" i="19" s="1"/>
  <c r="Y328" i="15"/>
  <c r="BP327" i="19" s="1"/>
  <c r="Y329" i="15"/>
  <c r="BP328" i="19" s="1"/>
  <c r="Y330" i="15"/>
  <c r="BP329" i="19" s="1"/>
  <c r="Y331" i="15"/>
  <c r="BP330" i="19" s="1"/>
  <c r="Y332" i="15"/>
  <c r="BP331" i="19" s="1"/>
  <c r="Y333" i="15"/>
  <c r="BP332" i="19" s="1"/>
  <c r="Y334" i="15"/>
  <c r="BP333" i="19" s="1"/>
  <c r="Y335" i="15"/>
  <c r="BP334" i="19" s="1"/>
  <c r="Y336" i="15"/>
  <c r="BP335" i="19" s="1"/>
  <c r="Y337" i="15"/>
  <c r="BP336" i="19" s="1"/>
  <c r="Y338" i="15"/>
  <c r="BP337" i="19" s="1"/>
  <c r="Y339" i="15"/>
  <c r="BP338" i="19" s="1"/>
  <c r="Y340" i="15"/>
  <c r="BP339" i="19" s="1"/>
  <c r="Y341" i="15"/>
  <c r="BP340" i="19" s="1"/>
  <c r="Y342" i="15"/>
  <c r="BP341" i="19" s="1"/>
  <c r="Y343" i="15"/>
  <c r="BP342" i="19" s="1"/>
  <c r="Y344" i="15"/>
  <c r="BP343" i="19" s="1"/>
  <c r="Y345" i="15"/>
  <c r="BP344" i="19" s="1"/>
  <c r="Y346" i="15"/>
  <c r="BP345" i="19" s="1"/>
  <c r="Y347" i="15"/>
  <c r="BP346" i="19" s="1"/>
  <c r="Y348" i="15"/>
  <c r="BP347" i="19" s="1"/>
  <c r="Y349" i="15"/>
  <c r="BP348" i="19" s="1"/>
  <c r="Y350" i="15"/>
  <c r="BP349" i="19" s="1"/>
  <c r="Y351" i="15"/>
  <c r="BP350" i="19" s="1"/>
  <c r="Y352" i="15"/>
  <c r="BP351" i="19" s="1"/>
  <c r="Y353" i="15"/>
  <c r="BP352" i="19" s="1"/>
  <c r="Y354" i="15"/>
  <c r="BP353" i="19" s="1"/>
  <c r="Y355" i="15"/>
  <c r="BP354" i="19" s="1"/>
  <c r="Y356" i="15"/>
  <c r="BP355" i="19" s="1"/>
  <c r="Y357" i="15"/>
  <c r="BP356" i="19" s="1"/>
  <c r="Y358" i="15"/>
  <c r="BP357" i="19" s="1"/>
  <c r="Y359" i="15"/>
  <c r="BP358" i="19" s="1"/>
  <c r="Y360" i="15"/>
  <c r="BP359" i="19" s="1"/>
  <c r="Y361" i="15"/>
  <c r="BP360" i="19" s="1"/>
  <c r="Y362" i="15"/>
  <c r="BP361" i="19" s="1"/>
  <c r="Y363" i="15"/>
  <c r="BP362" i="19" s="1"/>
  <c r="Y364" i="15"/>
  <c r="BP363" i="19" s="1"/>
  <c r="Y365" i="15"/>
  <c r="BP364" i="19" s="1"/>
  <c r="Y366" i="15"/>
  <c r="BP365" i="19" s="1"/>
  <c r="Y367" i="15"/>
  <c r="BP366" i="19" s="1"/>
  <c r="Y3" i="15"/>
  <c r="BP6" i="19"/>
  <c r="BP7" i="19"/>
  <c r="BP8" i="19"/>
  <c r="BP11" i="19"/>
  <c r="BP12" i="19"/>
  <c r="BP13" i="19"/>
  <c r="BP14" i="19"/>
  <c r="BP15" i="19"/>
  <c r="BP16" i="19"/>
  <c r="BP19" i="19"/>
  <c r="BP20" i="19"/>
  <c r="BP21" i="19"/>
  <c r="BP22" i="19"/>
  <c r="BP23" i="19"/>
  <c r="BP24" i="19"/>
  <c r="BP25" i="19"/>
  <c r="BP27" i="19"/>
  <c r="BP28" i="19"/>
  <c r="BP30" i="19"/>
  <c r="BP31" i="19"/>
  <c r="BP32" i="19"/>
  <c r="BP33" i="19"/>
  <c r="BP35" i="19"/>
  <c r="BP36" i="19"/>
  <c r="BP37" i="19"/>
  <c r="BP38" i="19"/>
  <c r="BP39" i="19"/>
  <c r="BP40" i="19"/>
  <c r="BP41" i="19"/>
  <c r="BP43" i="19"/>
  <c r="BP44" i="19"/>
  <c r="BP45" i="19"/>
  <c r="BP46" i="19"/>
  <c r="BP47" i="19"/>
  <c r="BP48" i="19"/>
  <c r="BP49" i="19"/>
  <c r="BP51" i="19"/>
  <c r="BP52" i="19"/>
  <c r="BP53" i="19"/>
  <c r="BP55" i="19"/>
  <c r="BP56" i="19"/>
  <c r="BP57" i="19"/>
  <c r="BP59" i="19"/>
  <c r="BP60" i="19"/>
  <c r="BP61" i="19"/>
  <c r="BP62" i="19"/>
  <c r="BP63" i="19"/>
  <c r="BP64" i="19"/>
  <c r="BP65" i="19"/>
  <c r="BP67" i="19"/>
  <c r="BP68" i="19"/>
  <c r="BP69" i="19"/>
  <c r="BP70" i="19"/>
  <c r="BP71" i="19"/>
  <c r="BP73" i="19"/>
  <c r="BP78" i="19"/>
  <c r="BP86" i="19"/>
  <c r="BP89" i="19"/>
  <c r="BP102" i="19"/>
  <c r="BP110" i="19"/>
  <c r="BP118" i="19"/>
  <c r="BP126" i="19"/>
  <c r="U4" i="28"/>
  <c r="BW3" i="53" s="1"/>
  <c r="U5" i="28"/>
  <c r="BW4" i="53" s="1"/>
  <c r="U6" i="28"/>
  <c r="BW5" i="53" s="1"/>
  <c r="U25" i="28"/>
  <c r="BW24" i="53" s="1"/>
  <c r="U26" i="28"/>
  <c r="BW25" i="53" s="1"/>
  <c r="BW30" i="53"/>
  <c r="U33" i="28"/>
  <c r="BW33" i="53"/>
  <c r="BW34" i="53"/>
  <c r="BW35" i="53"/>
  <c r="BW36" i="53"/>
  <c r="BW37" i="53"/>
  <c r="BW38" i="53"/>
  <c r="U40" i="28"/>
  <c r="U41" i="28"/>
  <c r="U42" i="28"/>
  <c r="U44" i="28"/>
  <c r="BW44" i="53"/>
  <c r="BW45" i="53"/>
  <c r="BW46" i="53"/>
  <c r="BW47" i="53"/>
  <c r="U49" i="28"/>
  <c r="BW48" i="53" s="1"/>
  <c r="BW49" i="53"/>
  <c r="U51" i="28"/>
  <c r="BW50" i="53" s="1"/>
  <c r="BW51" i="53"/>
  <c r="BW52" i="53"/>
  <c r="BW53" i="53"/>
  <c r="BW54" i="53"/>
  <c r="BW55" i="53"/>
  <c r="BW56" i="53"/>
  <c r="BW57" i="53"/>
  <c r="BW58" i="53"/>
  <c r="U60" i="28"/>
  <c r="U61" i="28"/>
  <c r="BW61" i="53"/>
  <c r="U63" i="28"/>
  <c r="BW62" i="53" s="1"/>
  <c r="BW63" i="53"/>
  <c r="BW64" i="53"/>
  <c r="U66" i="28"/>
  <c r="BW65" i="53" s="1"/>
  <c r="U67" i="28"/>
  <c r="BW66" i="53" s="1"/>
  <c r="U68" i="28"/>
  <c r="BW67" i="53" s="1"/>
  <c r="U69" i="28"/>
  <c r="BW68" i="53" s="1"/>
  <c r="U70" i="28"/>
  <c r="BW69" i="53" s="1"/>
  <c r="U71" i="28"/>
  <c r="BW70" i="53" s="1"/>
  <c r="BW71" i="53"/>
  <c r="BW72" i="53"/>
  <c r="U78" i="28"/>
  <c r="BW79" i="53"/>
  <c r="BW80" i="53"/>
  <c r="BW81" i="53"/>
  <c r="BW82" i="53"/>
  <c r="BW83" i="53"/>
  <c r="BW86" i="53"/>
  <c r="BW87" i="53"/>
  <c r="BW88" i="53"/>
  <c r="BW89" i="53"/>
  <c r="BW90" i="53"/>
  <c r="BW91" i="53"/>
  <c r="BW92" i="53"/>
  <c r="BW93" i="53"/>
  <c r="BW94" i="53"/>
  <c r="BW95" i="53"/>
  <c r="BW96" i="53"/>
  <c r="BW97" i="53"/>
  <c r="BW98" i="53"/>
  <c r="BW99" i="53"/>
  <c r="BW100" i="53"/>
  <c r="BW101" i="53"/>
  <c r="BW103" i="53"/>
  <c r="BW104" i="53"/>
  <c r="BW105" i="53"/>
  <c r="BW106" i="53"/>
  <c r="BW108" i="53"/>
  <c r="BW109" i="53"/>
  <c r="BW110" i="53"/>
  <c r="BW112" i="53"/>
  <c r="BW113" i="53"/>
  <c r="BW122" i="53"/>
  <c r="BW123" i="53"/>
  <c r="BW124" i="53"/>
  <c r="BW125" i="53"/>
  <c r="BW126" i="53"/>
  <c r="BW127" i="53"/>
  <c r="BW140" i="53"/>
  <c r="BW142" i="53"/>
  <c r="BW143" i="53"/>
  <c r="BW144" i="53"/>
  <c r="BW145" i="53"/>
  <c r="BW146" i="53"/>
  <c r="U148" i="28"/>
  <c r="BW147" i="53" s="1"/>
  <c r="BW148" i="53"/>
  <c r="U151" i="28"/>
  <c r="U153" i="28"/>
  <c r="U154" i="28"/>
  <c r="BW153" i="53" s="1"/>
  <c r="U155" i="28"/>
  <c r="BW154" i="53" s="1"/>
  <c r="U156" i="28"/>
  <c r="BW155" i="53" s="1"/>
  <c r="U157" i="28"/>
  <c r="BW156" i="53" s="1"/>
  <c r="U158" i="28"/>
  <c r="BW157" i="53" s="1"/>
  <c r="U159" i="28"/>
  <c r="BW158" i="53" s="1"/>
  <c r="U160" i="28"/>
  <c r="BW159" i="53" s="1"/>
  <c r="U161" i="28"/>
  <c r="BW160" i="53" s="1"/>
  <c r="U162" i="28"/>
  <c r="BW161" i="53" s="1"/>
  <c r="U163" i="28"/>
  <c r="BW162" i="53" s="1"/>
  <c r="U164" i="28"/>
  <c r="BW163" i="53" s="1"/>
  <c r="U165" i="28"/>
  <c r="BW164" i="53" s="1"/>
  <c r="U166" i="28"/>
  <c r="BW165" i="53" s="1"/>
  <c r="U167" i="28"/>
  <c r="BW166" i="53" s="1"/>
  <c r="U168" i="28"/>
  <c r="BW167" i="53" s="1"/>
  <c r="U169" i="28"/>
  <c r="BW168" i="53" s="1"/>
  <c r="U170" i="28"/>
  <c r="BW169" i="53" s="1"/>
  <c r="U171" i="28"/>
  <c r="BW170" i="53" s="1"/>
  <c r="U172" i="28"/>
  <c r="BW171" i="53" s="1"/>
  <c r="U173" i="28"/>
  <c r="BW172" i="53" s="1"/>
  <c r="U174" i="28"/>
  <c r="BW173" i="53" s="1"/>
  <c r="U175" i="28"/>
  <c r="BW174" i="53" s="1"/>
  <c r="U176" i="28"/>
  <c r="BW175" i="53" s="1"/>
  <c r="U177" i="28"/>
  <c r="BW176" i="53" s="1"/>
  <c r="U178" i="28"/>
  <c r="BW177" i="53" s="1"/>
  <c r="U179" i="28"/>
  <c r="BW178" i="53" s="1"/>
  <c r="U180" i="28"/>
  <c r="BW179" i="53" s="1"/>
  <c r="U181" i="28"/>
  <c r="BW180" i="53" s="1"/>
  <c r="U182" i="28"/>
  <c r="BW181" i="53" s="1"/>
  <c r="U183" i="28"/>
  <c r="BW182" i="53" s="1"/>
  <c r="U184" i="28"/>
  <c r="BW183" i="53" s="1"/>
  <c r="U185" i="28"/>
  <c r="BW184" i="53" s="1"/>
  <c r="U186" i="28"/>
  <c r="BW185" i="53" s="1"/>
  <c r="U187" i="28"/>
  <c r="BW186" i="53" s="1"/>
  <c r="U188" i="28"/>
  <c r="BW187" i="53" s="1"/>
  <c r="U189" i="28"/>
  <c r="BW188" i="53" s="1"/>
  <c r="U190" i="28"/>
  <c r="BW189" i="53" s="1"/>
  <c r="U191" i="28"/>
  <c r="BW190" i="53" s="1"/>
  <c r="U192" i="28"/>
  <c r="BW191" i="53" s="1"/>
  <c r="U193" i="28"/>
  <c r="BW192" i="53" s="1"/>
  <c r="U194" i="28"/>
  <c r="BW193" i="53" s="1"/>
  <c r="U195" i="28"/>
  <c r="BW194" i="53" s="1"/>
  <c r="U196" i="28"/>
  <c r="BW195" i="53" s="1"/>
  <c r="U197" i="28"/>
  <c r="BW196" i="53" s="1"/>
  <c r="U198" i="28"/>
  <c r="BW197" i="53" s="1"/>
  <c r="U199" i="28"/>
  <c r="BW198" i="53" s="1"/>
  <c r="U200" i="28"/>
  <c r="BW199" i="53" s="1"/>
  <c r="U201" i="28"/>
  <c r="BW200" i="53" s="1"/>
  <c r="U202" i="28"/>
  <c r="BW201" i="53" s="1"/>
  <c r="U203" i="28"/>
  <c r="BW202" i="53" s="1"/>
  <c r="U204" i="28"/>
  <c r="BW203" i="53" s="1"/>
  <c r="U205" i="28"/>
  <c r="BW204" i="53" s="1"/>
  <c r="U206" i="28"/>
  <c r="BW205" i="53" s="1"/>
  <c r="U207" i="28"/>
  <c r="BW206" i="53" s="1"/>
  <c r="U208" i="28"/>
  <c r="BW207" i="53" s="1"/>
  <c r="U209" i="28"/>
  <c r="BW208" i="53" s="1"/>
  <c r="U210" i="28"/>
  <c r="BW209" i="53" s="1"/>
  <c r="U211" i="28"/>
  <c r="BW210" i="53" s="1"/>
  <c r="U212" i="28"/>
  <c r="BW211" i="53" s="1"/>
  <c r="U213" i="28"/>
  <c r="BW212" i="53" s="1"/>
  <c r="U214" i="28"/>
  <c r="BW213" i="53" s="1"/>
  <c r="U215" i="28"/>
  <c r="BW214" i="53" s="1"/>
  <c r="U216" i="28"/>
  <c r="BW215" i="53" s="1"/>
  <c r="U217" i="28"/>
  <c r="BW216" i="53" s="1"/>
  <c r="U218" i="28"/>
  <c r="BW217" i="53" s="1"/>
  <c r="U219" i="28"/>
  <c r="BW218" i="53" s="1"/>
  <c r="U220" i="28"/>
  <c r="BW219" i="53" s="1"/>
  <c r="U221" i="28"/>
  <c r="BW220" i="53" s="1"/>
  <c r="U222" i="28"/>
  <c r="BW221" i="53" s="1"/>
  <c r="U223" i="28"/>
  <c r="BW222" i="53" s="1"/>
  <c r="U224" i="28"/>
  <c r="BW223" i="53" s="1"/>
  <c r="U225" i="28"/>
  <c r="BW224" i="53" s="1"/>
  <c r="U226" i="28"/>
  <c r="BW225" i="53" s="1"/>
  <c r="U227" i="28"/>
  <c r="BW226" i="53" s="1"/>
  <c r="U228" i="28"/>
  <c r="BW227" i="53" s="1"/>
  <c r="U229" i="28"/>
  <c r="BW228" i="53" s="1"/>
  <c r="U230" i="28"/>
  <c r="BW229" i="53" s="1"/>
  <c r="U231" i="28"/>
  <c r="BW230" i="53" s="1"/>
  <c r="U232" i="28"/>
  <c r="BW231" i="53" s="1"/>
  <c r="U233" i="28"/>
  <c r="BW232" i="53" s="1"/>
  <c r="U234" i="28"/>
  <c r="BW233" i="53" s="1"/>
  <c r="U235" i="28"/>
  <c r="BW234" i="53" s="1"/>
  <c r="U236" i="28"/>
  <c r="BW235" i="53" s="1"/>
  <c r="U237" i="28"/>
  <c r="BW236" i="53" s="1"/>
  <c r="U238" i="28"/>
  <c r="BW237" i="53" s="1"/>
  <c r="U239" i="28"/>
  <c r="BW238" i="53" s="1"/>
  <c r="U240" i="28"/>
  <c r="BW239" i="53" s="1"/>
  <c r="U241" i="28"/>
  <c r="BW240" i="53" s="1"/>
  <c r="U242" i="28"/>
  <c r="BW241" i="53" s="1"/>
  <c r="U243" i="28"/>
  <c r="BW242" i="53" s="1"/>
  <c r="U244" i="28"/>
  <c r="BW243" i="53" s="1"/>
  <c r="U245" i="28"/>
  <c r="BW244" i="53" s="1"/>
  <c r="U246" i="28"/>
  <c r="BW245" i="53" s="1"/>
  <c r="U247" i="28"/>
  <c r="BW246" i="53" s="1"/>
  <c r="U248" i="28"/>
  <c r="BW247" i="53" s="1"/>
  <c r="U249" i="28"/>
  <c r="BW248" i="53" s="1"/>
  <c r="U250" i="28"/>
  <c r="BW249" i="53" s="1"/>
  <c r="U251" i="28"/>
  <c r="BW250" i="53" s="1"/>
  <c r="U252" i="28"/>
  <c r="BW251" i="53" s="1"/>
  <c r="U253" i="28"/>
  <c r="BW252" i="53" s="1"/>
  <c r="U254" i="28"/>
  <c r="BW253" i="53" s="1"/>
  <c r="U255" i="28"/>
  <c r="BW254" i="53" s="1"/>
  <c r="U256" i="28"/>
  <c r="BW255" i="53" s="1"/>
  <c r="U257" i="28"/>
  <c r="BW256" i="53" s="1"/>
  <c r="U258" i="28"/>
  <c r="BW257" i="53" s="1"/>
  <c r="U259" i="28"/>
  <c r="BW258" i="53" s="1"/>
  <c r="U260" i="28"/>
  <c r="BW259" i="53" s="1"/>
  <c r="U261" i="28"/>
  <c r="BW260" i="53" s="1"/>
  <c r="U262" i="28"/>
  <c r="BW261" i="53" s="1"/>
  <c r="U263" i="28"/>
  <c r="BW262" i="53" s="1"/>
  <c r="U264" i="28"/>
  <c r="BW263" i="53" s="1"/>
  <c r="U265" i="28"/>
  <c r="BW264" i="53" s="1"/>
  <c r="U266" i="28"/>
  <c r="BW265" i="53" s="1"/>
  <c r="U267" i="28"/>
  <c r="BW266" i="53" s="1"/>
  <c r="U268" i="28"/>
  <c r="BW267" i="53" s="1"/>
  <c r="U269" i="28"/>
  <c r="BW268" i="53" s="1"/>
  <c r="U270" i="28"/>
  <c r="BW269" i="53" s="1"/>
  <c r="U271" i="28"/>
  <c r="BW270" i="53" s="1"/>
  <c r="U272" i="28"/>
  <c r="BW271" i="53" s="1"/>
  <c r="U273" i="28"/>
  <c r="BW272" i="53" s="1"/>
  <c r="U274" i="28"/>
  <c r="BW273" i="53" s="1"/>
  <c r="U275" i="28"/>
  <c r="BW274" i="53" s="1"/>
  <c r="U276" i="28"/>
  <c r="BW275" i="53" s="1"/>
  <c r="U277" i="28"/>
  <c r="BW276" i="53" s="1"/>
  <c r="U278" i="28"/>
  <c r="BW277" i="53" s="1"/>
  <c r="U279" i="28"/>
  <c r="BW278" i="53" s="1"/>
  <c r="U280" i="28"/>
  <c r="BW279" i="53" s="1"/>
  <c r="U281" i="28"/>
  <c r="BW280" i="53" s="1"/>
  <c r="U282" i="28"/>
  <c r="BW281" i="53" s="1"/>
  <c r="U283" i="28"/>
  <c r="BW282" i="53" s="1"/>
  <c r="U284" i="28"/>
  <c r="BW283" i="53" s="1"/>
  <c r="U285" i="28"/>
  <c r="BW284" i="53" s="1"/>
  <c r="U286" i="28"/>
  <c r="BW285" i="53" s="1"/>
  <c r="U287" i="28"/>
  <c r="BW286" i="53" s="1"/>
  <c r="U288" i="28"/>
  <c r="BW287" i="53" s="1"/>
  <c r="U289" i="28"/>
  <c r="BW288" i="53" s="1"/>
  <c r="U290" i="28"/>
  <c r="BW289" i="53" s="1"/>
  <c r="U291" i="28"/>
  <c r="BW290" i="53" s="1"/>
  <c r="U292" i="28"/>
  <c r="BW291" i="53" s="1"/>
  <c r="U293" i="28"/>
  <c r="BW292" i="53" s="1"/>
  <c r="U294" i="28"/>
  <c r="BW293" i="53" s="1"/>
  <c r="U295" i="28"/>
  <c r="BW294" i="53" s="1"/>
  <c r="U296" i="28"/>
  <c r="BW295" i="53" s="1"/>
  <c r="U297" i="28"/>
  <c r="BW296" i="53" s="1"/>
  <c r="U298" i="28"/>
  <c r="BW297" i="53" s="1"/>
  <c r="U299" i="28"/>
  <c r="BW298" i="53" s="1"/>
  <c r="U300" i="28"/>
  <c r="BW299" i="53" s="1"/>
  <c r="U301" i="28"/>
  <c r="BW300" i="53" s="1"/>
  <c r="U302" i="28"/>
  <c r="BW301" i="53" s="1"/>
  <c r="U303" i="28"/>
  <c r="BW302" i="53" s="1"/>
  <c r="U304" i="28"/>
  <c r="BW303" i="53" s="1"/>
  <c r="U305" i="28"/>
  <c r="BW304" i="53" s="1"/>
  <c r="U306" i="28"/>
  <c r="BW305" i="53" s="1"/>
  <c r="U307" i="28"/>
  <c r="BW306" i="53" s="1"/>
  <c r="U308" i="28"/>
  <c r="BW307" i="53" s="1"/>
  <c r="U309" i="28"/>
  <c r="BW308" i="53" s="1"/>
  <c r="U310" i="28"/>
  <c r="BW309" i="53" s="1"/>
  <c r="U311" i="28"/>
  <c r="BW310" i="53" s="1"/>
  <c r="U312" i="28"/>
  <c r="BW311" i="53" s="1"/>
  <c r="U313" i="28"/>
  <c r="BW312" i="53" s="1"/>
  <c r="U314" i="28"/>
  <c r="BW313" i="53" s="1"/>
  <c r="U315" i="28"/>
  <c r="BW314" i="53" s="1"/>
  <c r="U316" i="28"/>
  <c r="BW315" i="53" s="1"/>
  <c r="U317" i="28"/>
  <c r="BW316" i="53" s="1"/>
  <c r="U318" i="28"/>
  <c r="BW317" i="53" s="1"/>
  <c r="U319" i="28"/>
  <c r="BW318" i="53" s="1"/>
  <c r="U320" i="28"/>
  <c r="BW319" i="53" s="1"/>
  <c r="U321" i="28"/>
  <c r="BW320" i="53" s="1"/>
  <c r="U322" i="28"/>
  <c r="BW321" i="53" s="1"/>
  <c r="U323" i="28"/>
  <c r="BW322" i="53" s="1"/>
  <c r="U324" i="28"/>
  <c r="BW323" i="53" s="1"/>
  <c r="U325" i="28"/>
  <c r="BW324" i="53" s="1"/>
  <c r="U326" i="28"/>
  <c r="BW325" i="53" s="1"/>
  <c r="U327" i="28"/>
  <c r="BW326" i="53" s="1"/>
  <c r="U328" i="28"/>
  <c r="BW327" i="53" s="1"/>
  <c r="U329" i="28"/>
  <c r="BW328" i="53" s="1"/>
  <c r="U330" i="28"/>
  <c r="BW329" i="53" s="1"/>
  <c r="U331" i="28"/>
  <c r="BW330" i="53" s="1"/>
  <c r="U332" i="28"/>
  <c r="BW331" i="53" s="1"/>
  <c r="U333" i="28"/>
  <c r="BW332" i="53" s="1"/>
  <c r="U334" i="28"/>
  <c r="BW333" i="53" s="1"/>
  <c r="U335" i="28"/>
  <c r="BW334" i="53" s="1"/>
  <c r="U336" i="28"/>
  <c r="BW335" i="53" s="1"/>
  <c r="U337" i="28"/>
  <c r="BW336" i="53" s="1"/>
  <c r="U338" i="28"/>
  <c r="BW337" i="53" s="1"/>
  <c r="U339" i="28"/>
  <c r="BW338" i="53" s="1"/>
  <c r="U340" i="28"/>
  <c r="BW339" i="53" s="1"/>
  <c r="U341" i="28"/>
  <c r="BW340" i="53" s="1"/>
  <c r="U342" i="28"/>
  <c r="BW341" i="53" s="1"/>
  <c r="U343" i="28"/>
  <c r="BW342" i="53" s="1"/>
  <c r="U344" i="28"/>
  <c r="BW343" i="53" s="1"/>
  <c r="U345" i="28"/>
  <c r="BW344" i="53" s="1"/>
  <c r="U346" i="28"/>
  <c r="BW345" i="53" s="1"/>
  <c r="U347" i="28"/>
  <c r="BW346" i="53" s="1"/>
  <c r="U348" i="28"/>
  <c r="BW347" i="53" s="1"/>
  <c r="U349" i="28"/>
  <c r="BW348" i="53" s="1"/>
  <c r="U350" i="28"/>
  <c r="BW349" i="53" s="1"/>
  <c r="U351" i="28"/>
  <c r="BW350" i="53" s="1"/>
  <c r="U352" i="28"/>
  <c r="BW351" i="53" s="1"/>
  <c r="U353" i="28"/>
  <c r="BW352" i="53" s="1"/>
  <c r="U354" i="28"/>
  <c r="BW353" i="53" s="1"/>
  <c r="U355" i="28"/>
  <c r="BW354" i="53" s="1"/>
  <c r="U356" i="28"/>
  <c r="BW355" i="53" s="1"/>
  <c r="U357" i="28"/>
  <c r="BW356" i="53" s="1"/>
  <c r="U358" i="28"/>
  <c r="BW357" i="53" s="1"/>
  <c r="U359" i="28"/>
  <c r="BW358" i="53" s="1"/>
  <c r="U360" i="28"/>
  <c r="BW359" i="53" s="1"/>
  <c r="U361" i="28"/>
  <c r="BW360" i="53" s="1"/>
  <c r="U362" i="28"/>
  <c r="BW361" i="53" s="1"/>
  <c r="U363" i="28"/>
  <c r="BW362" i="53" s="1"/>
  <c r="U364" i="28"/>
  <c r="BW363" i="53" s="1"/>
  <c r="U365" i="28"/>
  <c r="BW364" i="53" s="1"/>
  <c r="U366" i="28"/>
  <c r="BW365" i="53" s="1"/>
  <c r="U367" i="28"/>
  <c r="BW366" i="53" s="1"/>
  <c r="U3" i="28"/>
  <c r="BW2" i="53" s="1"/>
  <c r="S4" i="28"/>
  <c r="BO3" i="53" s="1"/>
  <c r="BN3" i="53" s="1"/>
  <c r="S5" i="28"/>
  <c r="BO4" i="53" s="1"/>
  <c r="BN4" i="53" s="1"/>
  <c r="S6" i="28"/>
  <c r="BO5" i="53" s="1"/>
  <c r="BN5" i="53" s="1"/>
  <c r="BO30" i="53"/>
  <c r="BN30" i="53" s="1"/>
  <c r="BO32" i="53"/>
  <c r="BN32" i="53" s="1"/>
  <c r="BO33" i="53"/>
  <c r="BN33" i="53" s="1"/>
  <c r="BO34" i="53"/>
  <c r="BN34" i="53" s="1"/>
  <c r="BO35" i="53"/>
  <c r="BN35" i="53" s="1"/>
  <c r="BO36" i="53"/>
  <c r="BN36" i="53" s="1"/>
  <c r="BO37" i="53"/>
  <c r="BN37" i="53" s="1"/>
  <c r="BO38" i="53"/>
  <c r="BN38" i="53" s="1"/>
  <c r="BO39" i="53"/>
  <c r="BN39" i="53" s="1"/>
  <c r="BO44" i="53"/>
  <c r="BN44" i="53" s="1"/>
  <c r="BO45" i="53"/>
  <c r="BN45" i="53" s="1"/>
  <c r="BO46" i="53"/>
  <c r="BN46" i="53" s="1"/>
  <c r="BO47" i="53"/>
  <c r="BN47" i="53" s="1"/>
  <c r="BO48" i="53"/>
  <c r="BN48" i="53" s="1"/>
  <c r="BO49" i="53"/>
  <c r="BN49" i="53" s="1"/>
  <c r="BO50" i="53"/>
  <c r="BN50" i="53" s="1"/>
  <c r="BO51" i="53"/>
  <c r="BN51" i="53" s="1"/>
  <c r="BO52" i="53"/>
  <c r="BN52" i="53" s="1"/>
  <c r="BO53" i="53"/>
  <c r="BN53" i="53" s="1"/>
  <c r="BO54" i="53"/>
  <c r="BN54" i="53" s="1"/>
  <c r="BO55" i="53"/>
  <c r="BO56" i="53"/>
  <c r="BN56" i="53" s="1"/>
  <c r="BO57" i="53"/>
  <c r="BN57" i="53" s="1"/>
  <c r="BO58" i="53"/>
  <c r="BN58" i="53" s="1"/>
  <c r="BO61" i="53"/>
  <c r="BN61" i="53" s="1"/>
  <c r="BO62" i="53"/>
  <c r="BN62" i="53" s="1"/>
  <c r="BO63" i="53"/>
  <c r="BN63" i="53" s="1"/>
  <c r="BO64" i="53"/>
  <c r="BN64" i="53" s="1"/>
  <c r="BO65" i="53"/>
  <c r="BN65" i="53" s="1"/>
  <c r="BO66" i="53"/>
  <c r="BN66" i="53" s="1"/>
  <c r="BO67" i="53"/>
  <c r="BN67" i="53" s="1"/>
  <c r="BO68" i="53"/>
  <c r="BN68" i="53" s="1"/>
  <c r="BO69" i="53"/>
  <c r="BN69" i="53" s="1"/>
  <c r="BO70" i="53"/>
  <c r="BN70" i="53" s="1"/>
  <c r="BO71" i="53"/>
  <c r="BN71" i="53" s="1"/>
  <c r="BO72" i="53"/>
  <c r="BN72" i="53" s="1"/>
  <c r="BO77" i="53"/>
  <c r="BN77" i="53" s="1"/>
  <c r="BO79" i="53"/>
  <c r="BN79" i="53" s="1"/>
  <c r="BO80" i="53"/>
  <c r="BN80" i="53" s="1"/>
  <c r="BO81" i="53"/>
  <c r="BN81" i="53" s="1"/>
  <c r="BO82" i="53"/>
  <c r="BN82" i="53" s="1"/>
  <c r="BO83" i="53"/>
  <c r="BN83" i="53" s="1"/>
  <c r="BO86" i="53"/>
  <c r="BN86" i="53" s="1"/>
  <c r="BO87" i="53"/>
  <c r="BN87" i="53" s="1"/>
  <c r="BO88" i="53"/>
  <c r="BN88" i="53" s="1"/>
  <c r="BO89" i="53"/>
  <c r="BN89" i="53" s="1"/>
  <c r="BO90" i="53"/>
  <c r="BN90" i="53" s="1"/>
  <c r="BO91" i="53"/>
  <c r="BN91" i="53" s="1"/>
  <c r="BO92" i="53"/>
  <c r="BN92" i="53" s="1"/>
  <c r="BO93" i="53"/>
  <c r="BN93" i="53" s="1"/>
  <c r="BO94" i="53"/>
  <c r="BN94" i="53" s="1"/>
  <c r="BO95" i="53"/>
  <c r="BN95" i="53" s="1"/>
  <c r="BO96" i="53"/>
  <c r="BN96" i="53" s="1"/>
  <c r="BO97" i="53"/>
  <c r="BN97" i="53" s="1"/>
  <c r="BO98" i="53"/>
  <c r="BN98" i="53" s="1"/>
  <c r="BO99" i="53"/>
  <c r="BN99" i="53" s="1"/>
  <c r="BO100" i="53"/>
  <c r="BN100" i="53" s="1"/>
  <c r="BO101" i="53"/>
  <c r="BN101" i="53" s="1"/>
  <c r="BO103" i="53"/>
  <c r="BN103" i="53" s="1"/>
  <c r="BO104" i="53"/>
  <c r="BN104" i="53" s="1"/>
  <c r="BO105" i="53"/>
  <c r="BN105" i="53" s="1"/>
  <c r="BO106" i="53"/>
  <c r="BN106" i="53" s="1"/>
  <c r="BO108" i="53"/>
  <c r="BN108" i="53" s="1"/>
  <c r="BO109" i="53"/>
  <c r="BN109" i="53" s="1"/>
  <c r="BO110" i="53"/>
  <c r="BN110" i="53" s="1"/>
  <c r="BO112" i="53"/>
  <c r="BN112" i="53" s="1"/>
  <c r="BO113" i="53"/>
  <c r="BN113" i="53" s="1"/>
  <c r="BO122" i="53"/>
  <c r="BN122" i="53" s="1"/>
  <c r="BO123" i="53"/>
  <c r="BN123" i="53" s="1"/>
  <c r="BO124" i="53"/>
  <c r="BN124" i="53" s="1"/>
  <c r="BO125" i="53"/>
  <c r="BN125" i="53" s="1"/>
  <c r="BO126" i="53"/>
  <c r="BN126" i="53" s="1"/>
  <c r="BO127" i="53"/>
  <c r="BN127" i="53" s="1"/>
  <c r="BO140" i="53"/>
  <c r="BN140" i="53" s="1"/>
  <c r="BO142" i="53"/>
  <c r="BN142" i="53" s="1"/>
  <c r="BO143" i="53"/>
  <c r="BN143" i="53" s="1"/>
  <c r="BO144" i="53"/>
  <c r="BN144" i="53" s="1"/>
  <c r="BO145" i="53"/>
  <c r="BN145" i="53" s="1"/>
  <c r="BO146" i="53"/>
  <c r="BN146" i="53" s="1"/>
  <c r="S148" i="28"/>
  <c r="BO147" i="53" s="1"/>
  <c r="BN147" i="53" s="1"/>
  <c r="BO148" i="53"/>
  <c r="BN148" i="53" s="1"/>
  <c r="S151" i="28"/>
  <c r="S153" i="28"/>
  <c r="S154" i="28"/>
  <c r="BO153" i="53" s="1"/>
  <c r="S155" i="28"/>
  <c r="BO154" i="53" s="1"/>
  <c r="S156" i="28"/>
  <c r="BO155" i="53" s="1"/>
  <c r="S157" i="28"/>
  <c r="BO156" i="53" s="1"/>
  <c r="S158" i="28"/>
  <c r="BO157" i="53" s="1"/>
  <c r="S159" i="28"/>
  <c r="BO158" i="53" s="1"/>
  <c r="S160" i="28"/>
  <c r="BO159" i="53" s="1"/>
  <c r="S161" i="28"/>
  <c r="BO160" i="53" s="1"/>
  <c r="S162" i="28"/>
  <c r="BO161" i="53" s="1"/>
  <c r="S163" i="28"/>
  <c r="BO162" i="53" s="1"/>
  <c r="S164" i="28"/>
  <c r="BO163" i="53" s="1"/>
  <c r="S165" i="28"/>
  <c r="BO164" i="53" s="1"/>
  <c r="S166" i="28"/>
  <c r="BO165" i="53" s="1"/>
  <c r="S167" i="28"/>
  <c r="BO166" i="53" s="1"/>
  <c r="S168" i="28"/>
  <c r="BO167" i="53" s="1"/>
  <c r="S169" i="28"/>
  <c r="BO168" i="53" s="1"/>
  <c r="S170" i="28"/>
  <c r="BO169" i="53" s="1"/>
  <c r="S171" i="28"/>
  <c r="BO170" i="53" s="1"/>
  <c r="S172" i="28"/>
  <c r="BO171" i="53" s="1"/>
  <c r="S173" i="28"/>
  <c r="BO172" i="53" s="1"/>
  <c r="S174" i="28"/>
  <c r="BO173" i="53" s="1"/>
  <c r="S175" i="28"/>
  <c r="BO174" i="53" s="1"/>
  <c r="S176" i="28"/>
  <c r="BO175" i="53" s="1"/>
  <c r="S177" i="28"/>
  <c r="BO176" i="53" s="1"/>
  <c r="S178" i="28"/>
  <c r="BO177" i="53" s="1"/>
  <c r="S179" i="28"/>
  <c r="BO178" i="53" s="1"/>
  <c r="S180" i="28"/>
  <c r="BO179" i="53" s="1"/>
  <c r="S181" i="28"/>
  <c r="BO180" i="53" s="1"/>
  <c r="S182" i="28"/>
  <c r="BO181" i="53" s="1"/>
  <c r="S183" i="28"/>
  <c r="BO182" i="53" s="1"/>
  <c r="S184" i="28"/>
  <c r="BO183" i="53" s="1"/>
  <c r="S185" i="28"/>
  <c r="BO184" i="53" s="1"/>
  <c r="S186" i="28"/>
  <c r="BO185" i="53" s="1"/>
  <c r="S187" i="28"/>
  <c r="BO186" i="53" s="1"/>
  <c r="S188" i="28"/>
  <c r="BO187" i="53" s="1"/>
  <c r="S189" i="28"/>
  <c r="BO188" i="53" s="1"/>
  <c r="S190" i="28"/>
  <c r="BO189" i="53" s="1"/>
  <c r="S191" i="28"/>
  <c r="BO190" i="53" s="1"/>
  <c r="S192" i="28"/>
  <c r="BO191" i="53" s="1"/>
  <c r="S193" i="28"/>
  <c r="BO192" i="53" s="1"/>
  <c r="S194" i="28"/>
  <c r="BO193" i="53" s="1"/>
  <c r="S195" i="28"/>
  <c r="BO194" i="53" s="1"/>
  <c r="S196" i="28"/>
  <c r="BO195" i="53" s="1"/>
  <c r="S197" i="28"/>
  <c r="BO196" i="53" s="1"/>
  <c r="S198" i="28"/>
  <c r="BO197" i="53" s="1"/>
  <c r="S199" i="28"/>
  <c r="BO198" i="53" s="1"/>
  <c r="S200" i="28"/>
  <c r="BO199" i="53" s="1"/>
  <c r="S201" i="28"/>
  <c r="BO200" i="53" s="1"/>
  <c r="S202" i="28"/>
  <c r="BO201" i="53" s="1"/>
  <c r="S203" i="28"/>
  <c r="BO202" i="53" s="1"/>
  <c r="S204" i="28"/>
  <c r="BO203" i="53" s="1"/>
  <c r="S205" i="28"/>
  <c r="BO204" i="53" s="1"/>
  <c r="S206" i="28"/>
  <c r="BO205" i="53" s="1"/>
  <c r="S207" i="28"/>
  <c r="BO206" i="53" s="1"/>
  <c r="S208" i="28"/>
  <c r="BO207" i="53" s="1"/>
  <c r="S209" i="28"/>
  <c r="BO208" i="53" s="1"/>
  <c r="S210" i="28"/>
  <c r="BO209" i="53" s="1"/>
  <c r="S211" i="28"/>
  <c r="BO210" i="53" s="1"/>
  <c r="S212" i="28"/>
  <c r="BO211" i="53" s="1"/>
  <c r="S213" i="28"/>
  <c r="BO212" i="53" s="1"/>
  <c r="BO213" i="53"/>
  <c r="S215" i="28"/>
  <c r="BO214" i="53" s="1"/>
  <c r="S216" i="28"/>
  <c r="BO215" i="53" s="1"/>
  <c r="S217" i="28"/>
  <c r="BO216" i="53" s="1"/>
  <c r="S218" i="28"/>
  <c r="BO217" i="53" s="1"/>
  <c r="S219" i="28"/>
  <c r="BO218" i="53" s="1"/>
  <c r="S220" i="28"/>
  <c r="BO219" i="53" s="1"/>
  <c r="S221" i="28"/>
  <c r="BO220" i="53" s="1"/>
  <c r="S222" i="28"/>
  <c r="BO221" i="53" s="1"/>
  <c r="S223" i="28"/>
  <c r="BO222" i="53" s="1"/>
  <c r="S224" i="28"/>
  <c r="BO223" i="53" s="1"/>
  <c r="S225" i="28"/>
  <c r="BO224" i="53" s="1"/>
  <c r="S226" i="28"/>
  <c r="BO225" i="53" s="1"/>
  <c r="S227" i="28"/>
  <c r="BO226" i="53" s="1"/>
  <c r="S228" i="28"/>
  <c r="BO227" i="53" s="1"/>
  <c r="S229" i="28"/>
  <c r="BO228" i="53" s="1"/>
  <c r="S230" i="28"/>
  <c r="BO229" i="53" s="1"/>
  <c r="S231" i="28"/>
  <c r="BO230" i="53" s="1"/>
  <c r="S232" i="28"/>
  <c r="BO231" i="53" s="1"/>
  <c r="S233" i="28"/>
  <c r="BO232" i="53" s="1"/>
  <c r="S234" i="28"/>
  <c r="BO233" i="53" s="1"/>
  <c r="S235" i="28"/>
  <c r="BO234" i="53" s="1"/>
  <c r="S236" i="28"/>
  <c r="BO235" i="53" s="1"/>
  <c r="S237" i="28"/>
  <c r="BO236" i="53" s="1"/>
  <c r="S238" i="28"/>
  <c r="BO237" i="53" s="1"/>
  <c r="S239" i="28"/>
  <c r="BO238" i="53" s="1"/>
  <c r="S240" i="28"/>
  <c r="BO239" i="53" s="1"/>
  <c r="S241" i="28"/>
  <c r="BO240" i="53" s="1"/>
  <c r="S242" i="28"/>
  <c r="BO241" i="53" s="1"/>
  <c r="S243" i="28"/>
  <c r="BO242" i="53" s="1"/>
  <c r="S244" i="28"/>
  <c r="BO243" i="53" s="1"/>
  <c r="S245" i="28"/>
  <c r="BO244" i="53" s="1"/>
  <c r="S246" i="28"/>
  <c r="BO245" i="53" s="1"/>
  <c r="S247" i="28"/>
  <c r="BO246" i="53" s="1"/>
  <c r="S248" i="28"/>
  <c r="BO247" i="53" s="1"/>
  <c r="S249" i="28"/>
  <c r="BO248" i="53" s="1"/>
  <c r="S250" i="28"/>
  <c r="BO249" i="53" s="1"/>
  <c r="S251" i="28"/>
  <c r="BO250" i="53" s="1"/>
  <c r="S252" i="28"/>
  <c r="BO251" i="53" s="1"/>
  <c r="S253" i="28"/>
  <c r="BO252" i="53" s="1"/>
  <c r="S254" i="28"/>
  <c r="BO253" i="53" s="1"/>
  <c r="S255" i="28"/>
  <c r="BO254" i="53" s="1"/>
  <c r="S256" i="28"/>
  <c r="BO255" i="53" s="1"/>
  <c r="S257" i="28"/>
  <c r="BO256" i="53" s="1"/>
  <c r="S258" i="28"/>
  <c r="BO257" i="53" s="1"/>
  <c r="S259" i="28"/>
  <c r="BO258" i="53" s="1"/>
  <c r="S260" i="28"/>
  <c r="BO259" i="53" s="1"/>
  <c r="S261" i="28"/>
  <c r="BO260" i="53" s="1"/>
  <c r="S262" i="28"/>
  <c r="BO261" i="53" s="1"/>
  <c r="S263" i="28"/>
  <c r="BO262" i="53" s="1"/>
  <c r="S264" i="28"/>
  <c r="BO263" i="53" s="1"/>
  <c r="S265" i="28"/>
  <c r="BO264" i="53" s="1"/>
  <c r="S266" i="28"/>
  <c r="BO265" i="53" s="1"/>
  <c r="S267" i="28"/>
  <c r="BO266" i="53" s="1"/>
  <c r="S268" i="28"/>
  <c r="BO267" i="53" s="1"/>
  <c r="S269" i="28"/>
  <c r="BO268" i="53" s="1"/>
  <c r="S270" i="28"/>
  <c r="BO269" i="53" s="1"/>
  <c r="S271" i="28"/>
  <c r="BO270" i="53" s="1"/>
  <c r="S272" i="28"/>
  <c r="BO271" i="53" s="1"/>
  <c r="S273" i="28"/>
  <c r="BO272" i="53" s="1"/>
  <c r="S274" i="28"/>
  <c r="BO273" i="53" s="1"/>
  <c r="S275" i="28"/>
  <c r="BO274" i="53" s="1"/>
  <c r="S276" i="28"/>
  <c r="BO275" i="53" s="1"/>
  <c r="S277" i="28"/>
  <c r="BO276" i="53" s="1"/>
  <c r="S278" i="28"/>
  <c r="BO277" i="53" s="1"/>
  <c r="S279" i="28"/>
  <c r="BO278" i="53" s="1"/>
  <c r="S280" i="28"/>
  <c r="BO279" i="53" s="1"/>
  <c r="S281" i="28"/>
  <c r="BO280" i="53" s="1"/>
  <c r="S282" i="28"/>
  <c r="BO281" i="53" s="1"/>
  <c r="S283" i="28"/>
  <c r="BO282" i="53" s="1"/>
  <c r="S284" i="28"/>
  <c r="BO283" i="53" s="1"/>
  <c r="S285" i="28"/>
  <c r="BO284" i="53" s="1"/>
  <c r="S286" i="28"/>
  <c r="BO285" i="53" s="1"/>
  <c r="S287" i="28"/>
  <c r="BO286" i="53" s="1"/>
  <c r="S288" i="28"/>
  <c r="BO287" i="53" s="1"/>
  <c r="S289" i="28"/>
  <c r="BO288" i="53" s="1"/>
  <c r="S290" i="28"/>
  <c r="BO289" i="53" s="1"/>
  <c r="S291" i="28"/>
  <c r="BO290" i="53" s="1"/>
  <c r="S292" i="28"/>
  <c r="BO291" i="53" s="1"/>
  <c r="S293" i="28"/>
  <c r="BO292" i="53" s="1"/>
  <c r="S294" i="28"/>
  <c r="BO293" i="53" s="1"/>
  <c r="S295" i="28"/>
  <c r="BO294" i="53" s="1"/>
  <c r="S296" i="28"/>
  <c r="BO295" i="53" s="1"/>
  <c r="S297" i="28"/>
  <c r="BO296" i="53" s="1"/>
  <c r="S298" i="28"/>
  <c r="BO297" i="53" s="1"/>
  <c r="S299" i="28"/>
  <c r="BO298" i="53" s="1"/>
  <c r="S300" i="28"/>
  <c r="BO299" i="53" s="1"/>
  <c r="S301" i="28"/>
  <c r="BO300" i="53" s="1"/>
  <c r="S302" i="28"/>
  <c r="BO301" i="53" s="1"/>
  <c r="S303" i="28"/>
  <c r="BO302" i="53" s="1"/>
  <c r="S304" i="28"/>
  <c r="BO303" i="53" s="1"/>
  <c r="S305" i="28"/>
  <c r="BO304" i="53" s="1"/>
  <c r="S306" i="28"/>
  <c r="BO305" i="53" s="1"/>
  <c r="S307" i="28"/>
  <c r="BO306" i="53" s="1"/>
  <c r="S308" i="28"/>
  <c r="BO307" i="53" s="1"/>
  <c r="S309" i="28"/>
  <c r="BO308" i="53" s="1"/>
  <c r="S310" i="28"/>
  <c r="BO309" i="53" s="1"/>
  <c r="S311" i="28"/>
  <c r="BO310" i="53" s="1"/>
  <c r="S312" i="28"/>
  <c r="BO311" i="53" s="1"/>
  <c r="S313" i="28"/>
  <c r="BO312" i="53" s="1"/>
  <c r="S314" i="28"/>
  <c r="BO313" i="53" s="1"/>
  <c r="S315" i="28"/>
  <c r="BO314" i="53" s="1"/>
  <c r="S316" i="28"/>
  <c r="BO315" i="53" s="1"/>
  <c r="S317" i="28"/>
  <c r="BO316" i="53" s="1"/>
  <c r="S318" i="28"/>
  <c r="BO317" i="53" s="1"/>
  <c r="S319" i="28"/>
  <c r="BO318" i="53" s="1"/>
  <c r="S320" i="28"/>
  <c r="BO319" i="53" s="1"/>
  <c r="S321" i="28"/>
  <c r="BO320" i="53" s="1"/>
  <c r="S322" i="28"/>
  <c r="BO321" i="53" s="1"/>
  <c r="S323" i="28"/>
  <c r="BO322" i="53" s="1"/>
  <c r="S324" i="28"/>
  <c r="BO323" i="53" s="1"/>
  <c r="S325" i="28"/>
  <c r="BO324" i="53" s="1"/>
  <c r="S326" i="28"/>
  <c r="BO325" i="53" s="1"/>
  <c r="S327" i="28"/>
  <c r="BO326" i="53" s="1"/>
  <c r="S328" i="28"/>
  <c r="BO327" i="53" s="1"/>
  <c r="S329" i="28"/>
  <c r="BO328" i="53" s="1"/>
  <c r="S330" i="28"/>
  <c r="BO329" i="53" s="1"/>
  <c r="S331" i="28"/>
  <c r="BO330" i="53" s="1"/>
  <c r="S332" i="28"/>
  <c r="BO331" i="53" s="1"/>
  <c r="S333" i="28"/>
  <c r="BO332" i="53" s="1"/>
  <c r="S334" i="28"/>
  <c r="BO333" i="53" s="1"/>
  <c r="S335" i="28"/>
  <c r="BO334" i="53" s="1"/>
  <c r="S336" i="28"/>
  <c r="BO335" i="53" s="1"/>
  <c r="S337" i="28"/>
  <c r="BO336" i="53" s="1"/>
  <c r="S338" i="28"/>
  <c r="BO337" i="53" s="1"/>
  <c r="S339" i="28"/>
  <c r="BO338" i="53" s="1"/>
  <c r="S340" i="28"/>
  <c r="BO339" i="53" s="1"/>
  <c r="S341" i="28"/>
  <c r="BO340" i="53" s="1"/>
  <c r="S342" i="28"/>
  <c r="BO341" i="53" s="1"/>
  <c r="S343" i="28"/>
  <c r="BO342" i="53" s="1"/>
  <c r="S344" i="28"/>
  <c r="BO343" i="53" s="1"/>
  <c r="S345" i="28"/>
  <c r="BO344" i="53" s="1"/>
  <c r="S346" i="28"/>
  <c r="BO345" i="53" s="1"/>
  <c r="S347" i="28"/>
  <c r="BO346" i="53" s="1"/>
  <c r="S348" i="28"/>
  <c r="BO347" i="53" s="1"/>
  <c r="S349" i="28"/>
  <c r="BO348" i="53" s="1"/>
  <c r="S350" i="28"/>
  <c r="BO349" i="53" s="1"/>
  <c r="S351" i="28"/>
  <c r="BO350" i="53" s="1"/>
  <c r="S352" i="28"/>
  <c r="BO351" i="53" s="1"/>
  <c r="S353" i="28"/>
  <c r="BO352" i="53" s="1"/>
  <c r="S354" i="28"/>
  <c r="BO353" i="53" s="1"/>
  <c r="S355" i="28"/>
  <c r="BO354" i="53" s="1"/>
  <c r="S356" i="28"/>
  <c r="BO355" i="53" s="1"/>
  <c r="S357" i="28"/>
  <c r="BO356" i="53" s="1"/>
  <c r="S358" i="28"/>
  <c r="BO357" i="53" s="1"/>
  <c r="S359" i="28"/>
  <c r="BO358" i="53" s="1"/>
  <c r="S360" i="28"/>
  <c r="BO359" i="53" s="1"/>
  <c r="S361" i="28"/>
  <c r="BO360" i="53" s="1"/>
  <c r="S362" i="28"/>
  <c r="BO361" i="53" s="1"/>
  <c r="S363" i="28"/>
  <c r="BO362" i="53" s="1"/>
  <c r="S364" i="28"/>
  <c r="BO363" i="53" s="1"/>
  <c r="S365" i="28"/>
  <c r="BO364" i="53" s="1"/>
  <c r="S366" i="28"/>
  <c r="BO365" i="53" s="1"/>
  <c r="S367" i="28"/>
  <c r="BO366" i="53" s="1"/>
  <c r="S3" i="28"/>
  <c r="BO2" i="53" s="1"/>
  <c r="BN2" i="53" s="1"/>
  <c r="Q4" i="28"/>
  <c r="BG3" i="53" s="1"/>
  <c r="Q5" i="28"/>
  <c r="BG4" i="53" s="1"/>
  <c r="Q6" i="28"/>
  <c r="BG5" i="53" s="1"/>
  <c r="BG30" i="53"/>
  <c r="BG32" i="53"/>
  <c r="BG33" i="53"/>
  <c r="BG34" i="53"/>
  <c r="BG35" i="53"/>
  <c r="BG36" i="53"/>
  <c r="BG37" i="53"/>
  <c r="BG38" i="53"/>
  <c r="BG39" i="53"/>
  <c r="BG44" i="53"/>
  <c r="BG45" i="53"/>
  <c r="BG46" i="53"/>
  <c r="BG47" i="53"/>
  <c r="BG48" i="53"/>
  <c r="BG49" i="53"/>
  <c r="BG50" i="53"/>
  <c r="BG51" i="53"/>
  <c r="BG52" i="53"/>
  <c r="BG53" i="53"/>
  <c r="BG54" i="53"/>
  <c r="BG55" i="53"/>
  <c r="BG56" i="53"/>
  <c r="BG57" i="53"/>
  <c r="BG58" i="53"/>
  <c r="BG61" i="53"/>
  <c r="BG62" i="53"/>
  <c r="BG63" i="53"/>
  <c r="BG64" i="53"/>
  <c r="BG65" i="53"/>
  <c r="BG66" i="53"/>
  <c r="BG67" i="53"/>
  <c r="BG68" i="53"/>
  <c r="BG69" i="53"/>
  <c r="BG70" i="53"/>
  <c r="BG71" i="53"/>
  <c r="BG72" i="53"/>
  <c r="BG77" i="53"/>
  <c r="BG79" i="53"/>
  <c r="BG80" i="53"/>
  <c r="BG81" i="53"/>
  <c r="BG82" i="53"/>
  <c r="BG83" i="53"/>
  <c r="BG86" i="53"/>
  <c r="BG87" i="53"/>
  <c r="BG88" i="53"/>
  <c r="BG89" i="53"/>
  <c r="BG90" i="53"/>
  <c r="BG91" i="53"/>
  <c r="BG92" i="53"/>
  <c r="BG93" i="53"/>
  <c r="BG94" i="53"/>
  <c r="BG95" i="53"/>
  <c r="BG96" i="53"/>
  <c r="BG97" i="53"/>
  <c r="BG98" i="53"/>
  <c r="BG99" i="53"/>
  <c r="BG100" i="53"/>
  <c r="BG101" i="53"/>
  <c r="BG103" i="53"/>
  <c r="BG104" i="53"/>
  <c r="BG105" i="53"/>
  <c r="BG106" i="53"/>
  <c r="BG108" i="53"/>
  <c r="BG109" i="53"/>
  <c r="BG110" i="53"/>
  <c r="BG112" i="53"/>
  <c r="BG113" i="53"/>
  <c r="BG122" i="53"/>
  <c r="BG123" i="53"/>
  <c r="BG124" i="53"/>
  <c r="BG125" i="53"/>
  <c r="BG126" i="53"/>
  <c r="BG127" i="53"/>
  <c r="BG140" i="53"/>
  <c r="BG142" i="53"/>
  <c r="BG143" i="53"/>
  <c r="BG144" i="53"/>
  <c r="BG145" i="53"/>
  <c r="BG146" i="53"/>
  <c r="Q148" i="28"/>
  <c r="BG147" i="53" s="1"/>
  <c r="BG148" i="53"/>
  <c r="Q151" i="28"/>
  <c r="Q153" i="28"/>
  <c r="Q154" i="28"/>
  <c r="BG153" i="53" s="1"/>
  <c r="Q155" i="28"/>
  <c r="BG154" i="53" s="1"/>
  <c r="Q156" i="28"/>
  <c r="BG155" i="53" s="1"/>
  <c r="Q157" i="28"/>
  <c r="BG156" i="53" s="1"/>
  <c r="Q158" i="28"/>
  <c r="BG157" i="53" s="1"/>
  <c r="Q159" i="28"/>
  <c r="BG158" i="53" s="1"/>
  <c r="Q160" i="28"/>
  <c r="BG159" i="53" s="1"/>
  <c r="Q161" i="28"/>
  <c r="BG160" i="53" s="1"/>
  <c r="Q162" i="28"/>
  <c r="BG161" i="53" s="1"/>
  <c r="Q163" i="28"/>
  <c r="BG162" i="53" s="1"/>
  <c r="Q164" i="28"/>
  <c r="BG163" i="53" s="1"/>
  <c r="Q165" i="28"/>
  <c r="BG164" i="53" s="1"/>
  <c r="Q166" i="28"/>
  <c r="BG165" i="53" s="1"/>
  <c r="Q167" i="28"/>
  <c r="BG166" i="53" s="1"/>
  <c r="Q168" i="28"/>
  <c r="Q169" i="28"/>
  <c r="BG168" i="53" s="1"/>
  <c r="Q170" i="28"/>
  <c r="BG169" i="53" s="1"/>
  <c r="Q171" i="28"/>
  <c r="BG170" i="53" s="1"/>
  <c r="Q172" i="28"/>
  <c r="BG171" i="53" s="1"/>
  <c r="Q173" i="28"/>
  <c r="BG172" i="53" s="1"/>
  <c r="Q174" i="28"/>
  <c r="BG173" i="53" s="1"/>
  <c r="Q175" i="28"/>
  <c r="BG174" i="53" s="1"/>
  <c r="Q176" i="28"/>
  <c r="BG175" i="53" s="1"/>
  <c r="Q177" i="28"/>
  <c r="BG176" i="53" s="1"/>
  <c r="Q178" i="28"/>
  <c r="BG177" i="53" s="1"/>
  <c r="Q179" i="28"/>
  <c r="BG178" i="53" s="1"/>
  <c r="Q180" i="28"/>
  <c r="BG179" i="53" s="1"/>
  <c r="Q181" i="28"/>
  <c r="BG180" i="53" s="1"/>
  <c r="Q182" i="28"/>
  <c r="BG181" i="53" s="1"/>
  <c r="Q183" i="28"/>
  <c r="BG182" i="53" s="1"/>
  <c r="Q184" i="28"/>
  <c r="BG183" i="53" s="1"/>
  <c r="Q185" i="28"/>
  <c r="BG184" i="53" s="1"/>
  <c r="Q186" i="28"/>
  <c r="BG185" i="53" s="1"/>
  <c r="Q187" i="28"/>
  <c r="BG186" i="53" s="1"/>
  <c r="Q188" i="28"/>
  <c r="BG187" i="53" s="1"/>
  <c r="Q189" i="28"/>
  <c r="BG188" i="53" s="1"/>
  <c r="Q190" i="28"/>
  <c r="BG189" i="53" s="1"/>
  <c r="Q191" i="28"/>
  <c r="BG190" i="53" s="1"/>
  <c r="Q192" i="28"/>
  <c r="BG191" i="53" s="1"/>
  <c r="Q193" i="28"/>
  <c r="BG192" i="53" s="1"/>
  <c r="Q194" i="28"/>
  <c r="BG193" i="53" s="1"/>
  <c r="Q195" i="28"/>
  <c r="BG194" i="53" s="1"/>
  <c r="Q196" i="28"/>
  <c r="BG195" i="53" s="1"/>
  <c r="Q197" i="28"/>
  <c r="BG196" i="53" s="1"/>
  <c r="Q198" i="28"/>
  <c r="BG197" i="53" s="1"/>
  <c r="Q199" i="28"/>
  <c r="BG198" i="53" s="1"/>
  <c r="Q200" i="28"/>
  <c r="BG199" i="53" s="1"/>
  <c r="Q201" i="28"/>
  <c r="BG200" i="53" s="1"/>
  <c r="Q202" i="28"/>
  <c r="BG201" i="53" s="1"/>
  <c r="Q203" i="28"/>
  <c r="BG202" i="53" s="1"/>
  <c r="Q204" i="28"/>
  <c r="BG203" i="53" s="1"/>
  <c r="Q205" i="28"/>
  <c r="BG204" i="53" s="1"/>
  <c r="Q206" i="28"/>
  <c r="BG205" i="53" s="1"/>
  <c r="Q207" i="28"/>
  <c r="BG206" i="53" s="1"/>
  <c r="Q208" i="28"/>
  <c r="BG207" i="53" s="1"/>
  <c r="Q209" i="28"/>
  <c r="BG208" i="53" s="1"/>
  <c r="Q210" i="28"/>
  <c r="BG209" i="53" s="1"/>
  <c r="Q211" i="28"/>
  <c r="BG210" i="53" s="1"/>
  <c r="Q212" i="28"/>
  <c r="BG211" i="53" s="1"/>
  <c r="Q213" i="28"/>
  <c r="BG212" i="53" s="1"/>
  <c r="Q214" i="28"/>
  <c r="BG213" i="53" s="1"/>
  <c r="Q215" i="28"/>
  <c r="BG214" i="53" s="1"/>
  <c r="Q216" i="28"/>
  <c r="BG215" i="53" s="1"/>
  <c r="Q217" i="28"/>
  <c r="BG216" i="53" s="1"/>
  <c r="Q218" i="28"/>
  <c r="BG217" i="53" s="1"/>
  <c r="Q219" i="28"/>
  <c r="BG218" i="53" s="1"/>
  <c r="Q220" i="28"/>
  <c r="BG219" i="53" s="1"/>
  <c r="Q221" i="28"/>
  <c r="BG220" i="53" s="1"/>
  <c r="Q222" i="28"/>
  <c r="BG221" i="53" s="1"/>
  <c r="Q223" i="28"/>
  <c r="BG222" i="53" s="1"/>
  <c r="Q224" i="28"/>
  <c r="BG223" i="53" s="1"/>
  <c r="Q225" i="28"/>
  <c r="BG224" i="53" s="1"/>
  <c r="Q226" i="28"/>
  <c r="BG225" i="53" s="1"/>
  <c r="Q227" i="28"/>
  <c r="BG226" i="53" s="1"/>
  <c r="Q228" i="28"/>
  <c r="BG227" i="53" s="1"/>
  <c r="Q229" i="28"/>
  <c r="BG228" i="53" s="1"/>
  <c r="Q230" i="28"/>
  <c r="BG229" i="53" s="1"/>
  <c r="Q231" i="28"/>
  <c r="BG230" i="53" s="1"/>
  <c r="Q232" i="28"/>
  <c r="BG231" i="53" s="1"/>
  <c r="Q233" i="28"/>
  <c r="BG232" i="53" s="1"/>
  <c r="Q234" i="28"/>
  <c r="BG233" i="53" s="1"/>
  <c r="Q235" i="28"/>
  <c r="BG234" i="53" s="1"/>
  <c r="Q236" i="28"/>
  <c r="BG235" i="53" s="1"/>
  <c r="Q237" i="28"/>
  <c r="BG236" i="53" s="1"/>
  <c r="Q238" i="28"/>
  <c r="BG237" i="53" s="1"/>
  <c r="Q239" i="28"/>
  <c r="BG238" i="53" s="1"/>
  <c r="Q240" i="28"/>
  <c r="BG239" i="53" s="1"/>
  <c r="Q241" i="28"/>
  <c r="BG240" i="53" s="1"/>
  <c r="Q242" i="28"/>
  <c r="BG241" i="53" s="1"/>
  <c r="Q243" i="28"/>
  <c r="BG242" i="53" s="1"/>
  <c r="Q244" i="28"/>
  <c r="BG243" i="53" s="1"/>
  <c r="Q245" i="28"/>
  <c r="BG244" i="53" s="1"/>
  <c r="Q246" i="28"/>
  <c r="BG245" i="53" s="1"/>
  <c r="Q247" i="28"/>
  <c r="BG246" i="53" s="1"/>
  <c r="Q248" i="28"/>
  <c r="BG247" i="53" s="1"/>
  <c r="Q249" i="28"/>
  <c r="BG248" i="53" s="1"/>
  <c r="Q250" i="28"/>
  <c r="BG249" i="53" s="1"/>
  <c r="Q251" i="28"/>
  <c r="BG250" i="53" s="1"/>
  <c r="Q252" i="28"/>
  <c r="BG251" i="53" s="1"/>
  <c r="Q253" i="28"/>
  <c r="BG252" i="53" s="1"/>
  <c r="Q254" i="28"/>
  <c r="BG253" i="53" s="1"/>
  <c r="Q255" i="28"/>
  <c r="BG254" i="53" s="1"/>
  <c r="Q256" i="28"/>
  <c r="BG255" i="53" s="1"/>
  <c r="Q257" i="28"/>
  <c r="BG256" i="53" s="1"/>
  <c r="Q258" i="28"/>
  <c r="BG257" i="53" s="1"/>
  <c r="Q259" i="28"/>
  <c r="BG258" i="53" s="1"/>
  <c r="Q260" i="28"/>
  <c r="BG259" i="53" s="1"/>
  <c r="Q261" i="28"/>
  <c r="BG260" i="53" s="1"/>
  <c r="Q262" i="28"/>
  <c r="BG261" i="53" s="1"/>
  <c r="Q263" i="28"/>
  <c r="BG262" i="53" s="1"/>
  <c r="Q264" i="28"/>
  <c r="BG263" i="53" s="1"/>
  <c r="Q265" i="28"/>
  <c r="BG264" i="53" s="1"/>
  <c r="Q266" i="28"/>
  <c r="BG265" i="53" s="1"/>
  <c r="Q267" i="28"/>
  <c r="BG266" i="53" s="1"/>
  <c r="Q268" i="28"/>
  <c r="BG267" i="53" s="1"/>
  <c r="Q269" i="28"/>
  <c r="BG268" i="53" s="1"/>
  <c r="Q270" i="28"/>
  <c r="BG269" i="53" s="1"/>
  <c r="Q271" i="28"/>
  <c r="BG270" i="53" s="1"/>
  <c r="Q272" i="28"/>
  <c r="BG271" i="53" s="1"/>
  <c r="Q273" i="28"/>
  <c r="BG272" i="53" s="1"/>
  <c r="Q274" i="28"/>
  <c r="BG273" i="53" s="1"/>
  <c r="Q275" i="28"/>
  <c r="BG274" i="53" s="1"/>
  <c r="Q276" i="28"/>
  <c r="BG275" i="53" s="1"/>
  <c r="Q277" i="28"/>
  <c r="BG276" i="53" s="1"/>
  <c r="Q278" i="28"/>
  <c r="BG277" i="53" s="1"/>
  <c r="Q279" i="28"/>
  <c r="BG278" i="53" s="1"/>
  <c r="Q280" i="28"/>
  <c r="BG279" i="53" s="1"/>
  <c r="Q281" i="28"/>
  <c r="BG280" i="53" s="1"/>
  <c r="Q282" i="28"/>
  <c r="BG281" i="53" s="1"/>
  <c r="Q283" i="28"/>
  <c r="BG282" i="53" s="1"/>
  <c r="Q284" i="28"/>
  <c r="BG283" i="53" s="1"/>
  <c r="Q285" i="28"/>
  <c r="BG284" i="53" s="1"/>
  <c r="Q286" i="28"/>
  <c r="BG285" i="53" s="1"/>
  <c r="Q287" i="28"/>
  <c r="BG286" i="53" s="1"/>
  <c r="Q288" i="28"/>
  <c r="BG287" i="53" s="1"/>
  <c r="Q289" i="28"/>
  <c r="BG288" i="53" s="1"/>
  <c r="Q290" i="28"/>
  <c r="BG289" i="53" s="1"/>
  <c r="Q291" i="28"/>
  <c r="BG290" i="53" s="1"/>
  <c r="Q292" i="28"/>
  <c r="BG291" i="53" s="1"/>
  <c r="Q293" i="28"/>
  <c r="BG292" i="53" s="1"/>
  <c r="Q294" i="28"/>
  <c r="BG293" i="53" s="1"/>
  <c r="Q295" i="28"/>
  <c r="BG294" i="53" s="1"/>
  <c r="Q296" i="28"/>
  <c r="BG295" i="53" s="1"/>
  <c r="Q297" i="28"/>
  <c r="BG296" i="53" s="1"/>
  <c r="Q298" i="28"/>
  <c r="BG297" i="53" s="1"/>
  <c r="Q299" i="28"/>
  <c r="BG298" i="53" s="1"/>
  <c r="Q300" i="28"/>
  <c r="BG299" i="53" s="1"/>
  <c r="Q301" i="28"/>
  <c r="BG300" i="53" s="1"/>
  <c r="Q302" i="28"/>
  <c r="BG301" i="53" s="1"/>
  <c r="Q303" i="28"/>
  <c r="BG302" i="53" s="1"/>
  <c r="Q304" i="28"/>
  <c r="BG303" i="53" s="1"/>
  <c r="Q305" i="28"/>
  <c r="BG304" i="53" s="1"/>
  <c r="Q306" i="28"/>
  <c r="BG305" i="53" s="1"/>
  <c r="Q307" i="28"/>
  <c r="BG306" i="53" s="1"/>
  <c r="Q308" i="28"/>
  <c r="BG307" i="53" s="1"/>
  <c r="Q309" i="28"/>
  <c r="BG308" i="53" s="1"/>
  <c r="Q310" i="28"/>
  <c r="BG309" i="53" s="1"/>
  <c r="Q311" i="28"/>
  <c r="BG310" i="53" s="1"/>
  <c r="Q312" i="28"/>
  <c r="BG311" i="53" s="1"/>
  <c r="Q313" i="28"/>
  <c r="BG312" i="53" s="1"/>
  <c r="Q314" i="28"/>
  <c r="BG313" i="53" s="1"/>
  <c r="Q315" i="28"/>
  <c r="BG314" i="53" s="1"/>
  <c r="Q316" i="28"/>
  <c r="BG315" i="53" s="1"/>
  <c r="Q317" i="28"/>
  <c r="BG316" i="53" s="1"/>
  <c r="Q318" i="28"/>
  <c r="BG317" i="53" s="1"/>
  <c r="Q319" i="28"/>
  <c r="BG318" i="53" s="1"/>
  <c r="Q320" i="28"/>
  <c r="BG319" i="53" s="1"/>
  <c r="Q321" i="28"/>
  <c r="BG320" i="53" s="1"/>
  <c r="Q322" i="28"/>
  <c r="BG321" i="53" s="1"/>
  <c r="Q323" i="28"/>
  <c r="BG322" i="53" s="1"/>
  <c r="Q324" i="28"/>
  <c r="BG323" i="53" s="1"/>
  <c r="Q325" i="28"/>
  <c r="BG324" i="53" s="1"/>
  <c r="Q326" i="28"/>
  <c r="BG325" i="53" s="1"/>
  <c r="Q327" i="28"/>
  <c r="BG326" i="53" s="1"/>
  <c r="Q328" i="28"/>
  <c r="BG327" i="53" s="1"/>
  <c r="Q329" i="28"/>
  <c r="BG328" i="53" s="1"/>
  <c r="Q330" i="28"/>
  <c r="BG329" i="53" s="1"/>
  <c r="Q331" i="28"/>
  <c r="BG330" i="53" s="1"/>
  <c r="Q332" i="28"/>
  <c r="BG331" i="53" s="1"/>
  <c r="Q333" i="28"/>
  <c r="BG332" i="53" s="1"/>
  <c r="Q334" i="28"/>
  <c r="BG333" i="53" s="1"/>
  <c r="Q335" i="28"/>
  <c r="BG334" i="53" s="1"/>
  <c r="Q336" i="28"/>
  <c r="BG335" i="53" s="1"/>
  <c r="Q337" i="28"/>
  <c r="BG336" i="53" s="1"/>
  <c r="Q338" i="28"/>
  <c r="BG337" i="53" s="1"/>
  <c r="Q339" i="28"/>
  <c r="BG338" i="53" s="1"/>
  <c r="Q340" i="28"/>
  <c r="BG339" i="53" s="1"/>
  <c r="Q341" i="28"/>
  <c r="BG340" i="53" s="1"/>
  <c r="Q342" i="28"/>
  <c r="BG341" i="53" s="1"/>
  <c r="Q343" i="28"/>
  <c r="BG342" i="53" s="1"/>
  <c r="Q344" i="28"/>
  <c r="BG343" i="53" s="1"/>
  <c r="Q345" i="28"/>
  <c r="BG344" i="53" s="1"/>
  <c r="Q346" i="28"/>
  <c r="BG345" i="53" s="1"/>
  <c r="Q347" i="28"/>
  <c r="BG346" i="53" s="1"/>
  <c r="Q348" i="28"/>
  <c r="BG347" i="53" s="1"/>
  <c r="Q349" i="28"/>
  <c r="BG348" i="53" s="1"/>
  <c r="Q350" i="28"/>
  <c r="BG349" i="53" s="1"/>
  <c r="Q351" i="28"/>
  <c r="BG350" i="53" s="1"/>
  <c r="Q352" i="28"/>
  <c r="BG351" i="53" s="1"/>
  <c r="Q353" i="28"/>
  <c r="BG352" i="53" s="1"/>
  <c r="Q354" i="28"/>
  <c r="BG353" i="53" s="1"/>
  <c r="Q355" i="28"/>
  <c r="BG354" i="53" s="1"/>
  <c r="Q356" i="28"/>
  <c r="BG355" i="53" s="1"/>
  <c r="Q357" i="28"/>
  <c r="BG356" i="53" s="1"/>
  <c r="Q358" i="28"/>
  <c r="BG357" i="53" s="1"/>
  <c r="Q359" i="28"/>
  <c r="BG358" i="53" s="1"/>
  <c r="Q360" i="28"/>
  <c r="BG359" i="53" s="1"/>
  <c r="Q361" i="28"/>
  <c r="BG360" i="53" s="1"/>
  <c r="Q362" i="28"/>
  <c r="BG361" i="53" s="1"/>
  <c r="Q363" i="28"/>
  <c r="BG362" i="53" s="1"/>
  <c r="Q364" i="28"/>
  <c r="BG363" i="53" s="1"/>
  <c r="Q365" i="28"/>
  <c r="BG364" i="53" s="1"/>
  <c r="Q366" i="28"/>
  <c r="BG365" i="53" s="1"/>
  <c r="Q367" i="28"/>
  <c r="BG366" i="53" s="1"/>
  <c r="Q3" i="28"/>
  <c r="BG2" i="53" s="1"/>
  <c r="O4" i="28"/>
  <c r="AY3" i="53" s="1"/>
  <c r="O5" i="28"/>
  <c r="AY4" i="53" s="1"/>
  <c r="O6" i="28"/>
  <c r="AY5" i="53" s="1"/>
  <c r="AY30" i="53"/>
  <c r="AY33" i="53"/>
  <c r="AY34" i="53"/>
  <c r="AY35" i="53"/>
  <c r="AY36" i="53"/>
  <c r="AY37" i="53"/>
  <c r="AY38" i="53"/>
  <c r="AY39" i="53"/>
  <c r="AY44" i="53"/>
  <c r="AY45" i="53"/>
  <c r="AY46" i="53"/>
  <c r="AY47" i="53"/>
  <c r="AY48" i="53"/>
  <c r="AY49" i="53"/>
  <c r="AX49" i="53" s="1"/>
  <c r="AY50" i="53"/>
  <c r="AX50" i="53" s="1"/>
  <c r="AY51" i="53"/>
  <c r="AY52" i="53"/>
  <c r="AY53" i="53"/>
  <c r="AY54" i="53"/>
  <c r="AY55" i="53"/>
  <c r="AY61" i="53"/>
  <c r="AY62" i="53"/>
  <c r="AY63" i="53"/>
  <c r="AY64" i="53"/>
  <c r="AY65" i="53"/>
  <c r="AY66" i="53"/>
  <c r="AY67" i="53"/>
  <c r="AY68" i="53"/>
  <c r="AY69" i="53"/>
  <c r="AY70" i="53"/>
  <c r="AY71" i="53"/>
  <c r="AY72" i="53"/>
  <c r="AY77" i="53"/>
  <c r="AY79" i="53"/>
  <c r="AY80" i="53"/>
  <c r="AY81" i="53"/>
  <c r="AY82" i="53"/>
  <c r="AY83" i="53"/>
  <c r="AY86" i="53"/>
  <c r="AY87" i="53"/>
  <c r="AY88" i="53"/>
  <c r="AY89" i="53"/>
  <c r="AY90" i="53"/>
  <c r="AY91" i="53"/>
  <c r="AY92" i="53"/>
  <c r="AY93" i="53"/>
  <c r="AY94" i="53"/>
  <c r="AY95" i="53"/>
  <c r="AY96" i="53"/>
  <c r="AY97" i="53"/>
  <c r="AY98" i="53"/>
  <c r="AY99" i="53"/>
  <c r="AY100" i="53"/>
  <c r="AY101" i="53"/>
  <c r="AY103" i="53"/>
  <c r="AY104" i="53"/>
  <c r="AY105" i="53"/>
  <c r="AY106" i="53"/>
  <c r="AY108" i="53"/>
  <c r="AY109" i="53"/>
  <c r="AY110" i="53"/>
  <c r="AY112" i="53"/>
  <c r="AY113" i="53"/>
  <c r="AY122" i="53"/>
  <c r="AY123" i="53"/>
  <c r="AY124" i="53"/>
  <c r="AY125" i="53"/>
  <c r="AY126" i="53"/>
  <c r="AY127" i="53"/>
  <c r="AY140" i="53"/>
  <c r="AY142" i="53"/>
  <c r="AY143" i="53"/>
  <c r="AY144" i="53"/>
  <c r="AY145" i="53"/>
  <c r="AY146" i="53"/>
  <c r="O148" i="28"/>
  <c r="AY147" i="53" s="1"/>
  <c r="AY148" i="53"/>
  <c r="O151" i="28"/>
  <c r="O153" i="28"/>
  <c r="O154" i="28"/>
  <c r="AY153" i="53" s="1"/>
  <c r="O155" i="28"/>
  <c r="AY154" i="53" s="1"/>
  <c r="O156" i="28"/>
  <c r="AY155" i="53" s="1"/>
  <c r="O157" i="28"/>
  <c r="AY156" i="53" s="1"/>
  <c r="O158" i="28"/>
  <c r="AY157" i="53" s="1"/>
  <c r="O159" i="28"/>
  <c r="AY158" i="53" s="1"/>
  <c r="O160" i="28"/>
  <c r="AY159" i="53" s="1"/>
  <c r="O161" i="28"/>
  <c r="AY160" i="53" s="1"/>
  <c r="O162" i="28"/>
  <c r="AY161" i="53" s="1"/>
  <c r="O163" i="28"/>
  <c r="AY162" i="53" s="1"/>
  <c r="O164" i="28"/>
  <c r="AY163" i="53" s="1"/>
  <c r="O165" i="28"/>
  <c r="AY164" i="53" s="1"/>
  <c r="O166" i="28"/>
  <c r="AY165" i="53" s="1"/>
  <c r="O167" i="28"/>
  <c r="AY166" i="53" s="1"/>
  <c r="O168" i="28"/>
  <c r="AY167" i="53" s="1"/>
  <c r="O169" i="28"/>
  <c r="AY168" i="53" s="1"/>
  <c r="O170" i="28"/>
  <c r="AY169" i="53" s="1"/>
  <c r="O171" i="28"/>
  <c r="AY170" i="53" s="1"/>
  <c r="O172" i="28"/>
  <c r="AY171" i="53" s="1"/>
  <c r="O173" i="28"/>
  <c r="AY172" i="53" s="1"/>
  <c r="O174" i="28"/>
  <c r="AY173" i="53" s="1"/>
  <c r="O175" i="28"/>
  <c r="AY174" i="53" s="1"/>
  <c r="O176" i="28"/>
  <c r="AY175" i="53" s="1"/>
  <c r="O177" i="28"/>
  <c r="AY176" i="53" s="1"/>
  <c r="O178" i="28"/>
  <c r="AY177" i="53" s="1"/>
  <c r="O179" i="28"/>
  <c r="AY178" i="53" s="1"/>
  <c r="O180" i="28"/>
  <c r="AY179" i="53" s="1"/>
  <c r="O181" i="28"/>
  <c r="AY180" i="53" s="1"/>
  <c r="O182" i="28"/>
  <c r="AY181" i="53" s="1"/>
  <c r="O183" i="28"/>
  <c r="AY182" i="53" s="1"/>
  <c r="O184" i="28"/>
  <c r="AY183" i="53" s="1"/>
  <c r="O185" i="28"/>
  <c r="AY184" i="53" s="1"/>
  <c r="O186" i="28"/>
  <c r="AY185" i="53" s="1"/>
  <c r="O187" i="28"/>
  <c r="AY186" i="53" s="1"/>
  <c r="O188" i="28"/>
  <c r="AY187" i="53" s="1"/>
  <c r="O189" i="28"/>
  <c r="AY188" i="53" s="1"/>
  <c r="O190" i="28"/>
  <c r="AY189" i="53" s="1"/>
  <c r="O191" i="28"/>
  <c r="AY190" i="53" s="1"/>
  <c r="O192" i="28"/>
  <c r="AY191" i="53" s="1"/>
  <c r="O193" i="28"/>
  <c r="AY192" i="53" s="1"/>
  <c r="O194" i="28"/>
  <c r="AY193" i="53" s="1"/>
  <c r="O195" i="28"/>
  <c r="AY194" i="53" s="1"/>
  <c r="O196" i="28"/>
  <c r="AY195" i="53" s="1"/>
  <c r="O197" i="28"/>
  <c r="AY196" i="53" s="1"/>
  <c r="O198" i="28"/>
  <c r="AY197" i="53" s="1"/>
  <c r="O199" i="28"/>
  <c r="AY198" i="53" s="1"/>
  <c r="O200" i="28"/>
  <c r="AY199" i="53" s="1"/>
  <c r="O201" i="28"/>
  <c r="AY200" i="53" s="1"/>
  <c r="O202" i="28"/>
  <c r="AY201" i="53" s="1"/>
  <c r="O203" i="28"/>
  <c r="AY202" i="53" s="1"/>
  <c r="O204" i="28"/>
  <c r="AY203" i="53" s="1"/>
  <c r="O205" i="28"/>
  <c r="AY204" i="53" s="1"/>
  <c r="O206" i="28"/>
  <c r="AY205" i="53" s="1"/>
  <c r="O207" i="28"/>
  <c r="AY206" i="53" s="1"/>
  <c r="O208" i="28"/>
  <c r="AY207" i="53" s="1"/>
  <c r="O209" i="28"/>
  <c r="AY208" i="53" s="1"/>
  <c r="O210" i="28"/>
  <c r="AY209" i="53" s="1"/>
  <c r="O211" i="28"/>
  <c r="AY210" i="53" s="1"/>
  <c r="O212" i="28"/>
  <c r="AY211" i="53" s="1"/>
  <c r="O213" i="28"/>
  <c r="AY212" i="53" s="1"/>
  <c r="O214" i="28"/>
  <c r="AY213" i="53" s="1"/>
  <c r="O215" i="28"/>
  <c r="AY214" i="53" s="1"/>
  <c r="O216" i="28"/>
  <c r="AY215" i="53" s="1"/>
  <c r="O217" i="28"/>
  <c r="AY216" i="53" s="1"/>
  <c r="O218" i="28"/>
  <c r="AY217" i="53" s="1"/>
  <c r="O219" i="28"/>
  <c r="AY218" i="53" s="1"/>
  <c r="O220" i="28"/>
  <c r="AY219" i="53" s="1"/>
  <c r="O221" i="28"/>
  <c r="AY220" i="53" s="1"/>
  <c r="O222" i="28"/>
  <c r="AY221" i="53" s="1"/>
  <c r="O223" i="28"/>
  <c r="AY222" i="53" s="1"/>
  <c r="O224" i="28"/>
  <c r="AY223" i="53" s="1"/>
  <c r="O225" i="28"/>
  <c r="AY224" i="53" s="1"/>
  <c r="O226" i="28"/>
  <c r="AY225" i="53" s="1"/>
  <c r="O227" i="28"/>
  <c r="AY226" i="53" s="1"/>
  <c r="O228" i="28"/>
  <c r="AY227" i="53" s="1"/>
  <c r="O229" i="28"/>
  <c r="AY228" i="53" s="1"/>
  <c r="O230" i="28"/>
  <c r="AY229" i="53" s="1"/>
  <c r="O231" i="28"/>
  <c r="AY230" i="53" s="1"/>
  <c r="O232" i="28"/>
  <c r="AY231" i="53" s="1"/>
  <c r="O233" i="28"/>
  <c r="AY232" i="53" s="1"/>
  <c r="O234" i="28"/>
  <c r="AY233" i="53" s="1"/>
  <c r="O235" i="28"/>
  <c r="AY234" i="53" s="1"/>
  <c r="O236" i="28"/>
  <c r="AY235" i="53" s="1"/>
  <c r="O237" i="28"/>
  <c r="AY236" i="53" s="1"/>
  <c r="O238" i="28"/>
  <c r="AY237" i="53" s="1"/>
  <c r="O239" i="28"/>
  <c r="AY238" i="53" s="1"/>
  <c r="O240" i="28"/>
  <c r="AY239" i="53" s="1"/>
  <c r="O241" i="28"/>
  <c r="AY240" i="53" s="1"/>
  <c r="O242" i="28"/>
  <c r="AY241" i="53" s="1"/>
  <c r="O243" i="28"/>
  <c r="AY242" i="53" s="1"/>
  <c r="O244" i="28"/>
  <c r="AY243" i="53" s="1"/>
  <c r="O245" i="28"/>
  <c r="AY244" i="53" s="1"/>
  <c r="O246" i="28"/>
  <c r="AY245" i="53" s="1"/>
  <c r="O247" i="28"/>
  <c r="AY246" i="53" s="1"/>
  <c r="O248" i="28"/>
  <c r="AY247" i="53" s="1"/>
  <c r="O249" i="28"/>
  <c r="AY248" i="53" s="1"/>
  <c r="O250" i="28"/>
  <c r="AY249" i="53" s="1"/>
  <c r="O251" i="28"/>
  <c r="AY250" i="53" s="1"/>
  <c r="O252" i="28"/>
  <c r="AY251" i="53" s="1"/>
  <c r="O253" i="28"/>
  <c r="AY252" i="53" s="1"/>
  <c r="O254" i="28"/>
  <c r="AY253" i="53" s="1"/>
  <c r="O255" i="28"/>
  <c r="AY254" i="53" s="1"/>
  <c r="O256" i="28"/>
  <c r="AY255" i="53" s="1"/>
  <c r="O257" i="28"/>
  <c r="AY256" i="53" s="1"/>
  <c r="O258" i="28"/>
  <c r="AY257" i="53" s="1"/>
  <c r="O259" i="28"/>
  <c r="AY258" i="53" s="1"/>
  <c r="O260" i="28"/>
  <c r="AY259" i="53" s="1"/>
  <c r="O261" i="28"/>
  <c r="AY260" i="53" s="1"/>
  <c r="O262" i="28"/>
  <c r="AY261" i="53" s="1"/>
  <c r="O263" i="28"/>
  <c r="AY262" i="53" s="1"/>
  <c r="O264" i="28"/>
  <c r="AY263" i="53" s="1"/>
  <c r="O265" i="28"/>
  <c r="AY264" i="53" s="1"/>
  <c r="O266" i="28"/>
  <c r="AY265" i="53" s="1"/>
  <c r="O267" i="28"/>
  <c r="AY266" i="53" s="1"/>
  <c r="O268" i="28"/>
  <c r="AY267" i="53" s="1"/>
  <c r="O269" i="28"/>
  <c r="AY268" i="53" s="1"/>
  <c r="O270" i="28"/>
  <c r="AY269" i="53" s="1"/>
  <c r="O271" i="28"/>
  <c r="AY270" i="53" s="1"/>
  <c r="O272" i="28"/>
  <c r="AY271" i="53" s="1"/>
  <c r="O273" i="28"/>
  <c r="AY272" i="53" s="1"/>
  <c r="O274" i="28"/>
  <c r="AY273" i="53" s="1"/>
  <c r="O275" i="28"/>
  <c r="AY274" i="53" s="1"/>
  <c r="O276" i="28"/>
  <c r="AY275" i="53" s="1"/>
  <c r="O277" i="28"/>
  <c r="AY276" i="53" s="1"/>
  <c r="O278" i="28"/>
  <c r="AY277" i="53" s="1"/>
  <c r="O279" i="28"/>
  <c r="AY278" i="53" s="1"/>
  <c r="O280" i="28"/>
  <c r="AY279" i="53" s="1"/>
  <c r="O281" i="28"/>
  <c r="AY280" i="53" s="1"/>
  <c r="O282" i="28"/>
  <c r="AY281" i="53" s="1"/>
  <c r="O283" i="28"/>
  <c r="AY282" i="53" s="1"/>
  <c r="O284" i="28"/>
  <c r="AY283" i="53" s="1"/>
  <c r="O285" i="28"/>
  <c r="AY284" i="53" s="1"/>
  <c r="O286" i="28"/>
  <c r="AY285" i="53" s="1"/>
  <c r="O287" i="28"/>
  <c r="AY286" i="53" s="1"/>
  <c r="O288" i="28"/>
  <c r="AY287" i="53" s="1"/>
  <c r="O289" i="28"/>
  <c r="AY288" i="53" s="1"/>
  <c r="O290" i="28"/>
  <c r="AY289" i="53" s="1"/>
  <c r="O291" i="28"/>
  <c r="AY290" i="53" s="1"/>
  <c r="O292" i="28"/>
  <c r="AY291" i="53" s="1"/>
  <c r="O293" i="28"/>
  <c r="AY292" i="53" s="1"/>
  <c r="O294" i="28"/>
  <c r="AY293" i="53" s="1"/>
  <c r="O295" i="28"/>
  <c r="AY294" i="53" s="1"/>
  <c r="O296" i="28"/>
  <c r="AY295" i="53" s="1"/>
  <c r="O297" i="28"/>
  <c r="AY296" i="53" s="1"/>
  <c r="O298" i="28"/>
  <c r="AY297" i="53" s="1"/>
  <c r="O299" i="28"/>
  <c r="AY298" i="53" s="1"/>
  <c r="O300" i="28"/>
  <c r="AY299" i="53" s="1"/>
  <c r="O301" i="28"/>
  <c r="AY300" i="53" s="1"/>
  <c r="O302" i="28"/>
  <c r="AY301" i="53" s="1"/>
  <c r="O303" i="28"/>
  <c r="AY302" i="53" s="1"/>
  <c r="O304" i="28"/>
  <c r="AY303" i="53" s="1"/>
  <c r="O305" i="28"/>
  <c r="AY304" i="53" s="1"/>
  <c r="O306" i="28"/>
  <c r="AY305" i="53" s="1"/>
  <c r="O307" i="28"/>
  <c r="AY306" i="53" s="1"/>
  <c r="O308" i="28"/>
  <c r="AY307" i="53" s="1"/>
  <c r="O309" i="28"/>
  <c r="AY308" i="53" s="1"/>
  <c r="O310" i="28"/>
  <c r="AY309" i="53" s="1"/>
  <c r="O311" i="28"/>
  <c r="AY310" i="53" s="1"/>
  <c r="O312" i="28"/>
  <c r="AY311" i="53" s="1"/>
  <c r="O313" i="28"/>
  <c r="AY312" i="53" s="1"/>
  <c r="O314" i="28"/>
  <c r="AY313" i="53" s="1"/>
  <c r="O315" i="28"/>
  <c r="AY314" i="53" s="1"/>
  <c r="O316" i="28"/>
  <c r="AY315" i="53" s="1"/>
  <c r="O317" i="28"/>
  <c r="AY316" i="53" s="1"/>
  <c r="O318" i="28"/>
  <c r="AY317" i="53" s="1"/>
  <c r="O319" i="28"/>
  <c r="AY318" i="53" s="1"/>
  <c r="O320" i="28"/>
  <c r="AY319" i="53" s="1"/>
  <c r="O321" i="28"/>
  <c r="AY320" i="53" s="1"/>
  <c r="O322" i="28"/>
  <c r="AY321" i="53" s="1"/>
  <c r="O323" i="28"/>
  <c r="AY322" i="53" s="1"/>
  <c r="O324" i="28"/>
  <c r="AY323" i="53" s="1"/>
  <c r="O325" i="28"/>
  <c r="AY324" i="53" s="1"/>
  <c r="O326" i="28"/>
  <c r="AY325" i="53" s="1"/>
  <c r="O327" i="28"/>
  <c r="AY326" i="53" s="1"/>
  <c r="O328" i="28"/>
  <c r="AY327" i="53" s="1"/>
  <c r="O329" i="28"/>
  <c r="AY328" i="53" s="1"/>
  <c r="O330" i="28"/>
  <c r="AY329" i="53" s="1"/>
  <c r="O331" i="28"/>
  <c r="AY330" i="53" s="1"/>
  <c r="O332" i="28"/>
  <c r="AY331" i="53" s="1"/>
  <c r="O333" i="28"/>
  <c r="AY332" i="53" s="1"/>
  <c r="O334" i="28"/>
  <c r="AY333" i="53" s="1"/>
  <c r="O335" i="28"/>
  <c r="AY334" i="53" s="1"/>
  <c r="O336" i="28"/>
  <c r="AY335" i="53" s="1"/>
  <c r="O337" i="28"/>
  <c r="AY336" i="53" s="1"/>
  <c r="O338" i="28"/>
  <c r="AY337" i="53" s="1"/>
  <c r="O339" i="28"/>
  <c r="AY338" i="53" s="1"/>
  <c r="O340" i="28"/>
  <c r="AY339" i="53" s="1"/>
  <c r="O341" i="28"/>
  <c r="AY340" i="53" s="1"/>
  <c r="O342" i="28"/>
  <c r="AY341" i="53" s="1"/>
  <c r="O343" i="28"/>
  <c r="AY342" i="53" s="1"/>
  <c r="O344" i="28"/>
  <c r="AY343" i="53" s="1"/>
  <c r="O345" i="28"/>
  <c r="AY344" i="53" s="1"/>
  <c r="O346" i="28"/>
  <c r="AY345" i="53" s="1"/>
  <c r="O347" i="28"/>
  <c r="AY346" i="53" s="1"/>
  <c r="O348" i="28"/>
  <c r="AY347" i="53" s="1"/>
  <c r="O349" i="28"/>
  <c r="AY348" i="53" s="1"/>
  <c r="O350" i="28"/>
  <c r="AY349" i="53" s="1"/>
  <c r="O351" i="28"/>
  <c r="AY350" i="53" s="1"/>
  <c r="O352" i="28"/>
  <c r="AY351" i="53" s="1"/>
  <c r="O353" i="28"/>
  <c r="AY352" i="53" s="1"/>
  <c r="O354" i="28"/>
  <c r="AY353" i="53" s="1"/>
  <c r="O355" i="28"/>
  <c r="AY354" i="53" s="1"/>
  <c r="O356" i="28"/>
  <c r="AY355" i="53" s="1"/>
  <c r="O357" i="28"/>
  <c r="AY356" i="53" s="1"/>
  <c r="O358" i="28"/>
  <c r="AY357" i="53" s="1"/>
  <c r="O359" i="28"/>
  <c r="AY358" i="53" s="1"/>
  <c r="O360" i="28"/>
  <c r="AY359" i="53" s="1"/>
  <c r="O361" i="28"/>
  <c r="AY360" i="53" s="1"/>
  <c r="O362" i="28"/>
  <c r="AY361" i="53" s="1"/>
  <c r="O363" i="28"/>
  <c r="AY362" i="53" s="1"/>
  <c r="O364" i="28"/>
  <c r="AY363" i="53" s="1"/>
  <c r="O365" i="28"/>
  <c r="AY364" i="53" s="1"/>
  <c r="O366" i="28"/>
  <c r="AY365" i="53" s="1"/>
  <c r="O367" i="28"/>
  <c r="AY366" i="53" s="1"/>
  <c r="O3" i="28"/>
  <c r="AY2" i="53" s="1"/>
  <c r="M4" i="28"/>
  <c r="AQ3" i="53" s="1"/>
  <c r="M5" i="28"/>
  <c r="AQ4" i="53" s="1"/>
  <c r="M6" i="28"/>
  <c r="AQ5" i="53" s="1"/>
  <c r="AQ30" i="53"/>
  <c r="AQ32" i="53"/>
  <c r="AQ33" i="53"/>
  <c r="AQ34" i="53"/>
  <c r="AQ35" i="53"/>
  <c r="AQ36" i="53"/>
  <c r="AQ37" i="53"/>
  <c r="AQ38" i="53"/>
  <c r="AQ39" i="53"/>
  <c r="AQ44" i="53"/>
  <c r="AQ45" i="53"/>
  <c r="AQ46" i="53"/>
  <c r="AQ47" i="53"/>
  <c r="AQ48" i="53"/>
  <c r="AQ49" i="53"/>
  <c r="AQ50" i="53"/>
  <c r="AQ51" i="53"/>
  <c r="AQ52" i="53"/>
  <c r="AQ53" i="53"/>
  <c r="AQ54" i="53"/>
  <c r="AQ55" i="53"/>
  <c r="AQ56" i="53"/>
  <c r="AQ57" i="53"/>
  <c r="AQ58" i="53"/>
  <c r="AQ61" i="53"/>
  <c r="AQ62" i="53"/>
  <c r="AQ63" i="53"/>
  <c r="AQ64" i="53"/>
  <c r="AQ65" i="53"/>
  <c r="AQ66" i="53"/>
  <c r="AQ67" i="53"/>
  <c r="AQ68" i="53"/>
  <c r="AQ69" i="53"/>
  <c r="AQ70" i="53"/>
  <c r="AQ71" i="53"/>
  <c r="AQ72" i="53"/>
  <c r="AQ77" i="53"/>
  <c r="AQ79" i="53"/>
  <c r="AQ80" i="53"/>
  <c r="AQ81" i="53"/>
  <c r="AQ82" i="53"/>
  <c r="AQ83" i="53"/>
  <c r="AQ86" i="53"/>
  <c r="AQ87" i="53"/>
  <c r="AQ88" i="53"/>
  <c r="AQ89" i="53"/>
  <c r="AQ90" i="53"/>
  <c r="AQ91" i="53"/>
  <c r="AQ92" i="53"/>
  <c r="AQ93" i="53"/>
  <c r="AQ94" i="53"/>
  <c r="AQ95" i="53"/>
  <c r="AQ96" i="53"/>
  <c r="AQ97" i="53"/>
  <c r="AQ98" i="53"/>
  <c r="AQ99" i="53"/>
  <c r="AQ100" i="53"/>
  <c r="AQ101" i="53"/>
  <c r="AQ103" i="53"/>
  <c r="AQ104" i="53"/>
  <c r="AQ105" i="53"/>
  <c r="AQ106" i="53"/>
  <c r="AQ108" i="53"/>
  <c r="AQ109" i="53"/>
  <c r="AQ110" i="53"/>
  <c r="AQ112" i="53"/>
  <c r="AQ113" i="53"/>
  <c r="AQ122" i="53"/>
  <c r="AQ123" i="53"/>
  <c r="AQ124" i="53"/>
  <c r="AQ125" i="53"/>
  <c r="AQ126" i="53"/>
  <c r="AQ127" i="53"/>
  <c r="AQ140" i="53"/>
  <c r="AQ142" i="53"/>
  <c r="AQ143" i="53"/>
  <c r="AQ144" i="53"/>
  <c r="AQ145" i="53"/>
  <c r="AQ146" i="53"/>
  <c r="M148" i="28"/>
  <c r="AQ147" i="53" s="1"/>
  <c r="AQ148" i="53"/>
  <c r="M151" i="28"/>
  <c r="M153" i="28"/>
  <c r="M154" i="28"/>
  <c r="AQ153" i="53" s="1"/>
  <c r="M155" i="28"/>
  <c r="AQ154" i="53" s="1"/>
  <c r="M156" i="28"/>
  <c r="AQ155" i="53" s="1"/>
  <c r="M157" i="28"/>
  <c r="AQ156" i="53" s="1"/>
  <c r="M158" i="28"/>
  <c r="AQ157" i="53" s="1"/>
  <c r="M159" i="28"/>
  <c r="AQ158" i="53" s="1"/>
  <c r="M160" i="28"/>
  <c r="AQ159" i="53" s="1"/>
  <c r="M161" i="28"/>
  <c r="AQ160" i="53" s="1"/>
  <c r="M162" i="28"/>
  <c r="AQ161" i="53" s="1"/>
  <c r="M163" i="28"/>
  <c r="AQ162" i="53" s="1"/>
  <c r="M164" i="28"/>
  <c r="AQ163" i="53" s="1"/>
  <c r="M165" i="28"/>
  <c r="AQ164" i="53" s="1"/>
  <c r="M166" i="28"/>
  <c r="AQ165" i="53" s="1"/>
  <c r="M167" i="28"/>
  <c r="AQ166" i="53" s="1"/>
  <c r="M168" i="28"/>
  <c r="AQ167" i="53" s="1"/>
  <c r="M169" i="28"/>
  <c r="AQ168" i="53" s="1"/>
  <c r="M170" i="28"/>
  <c r="AQ169" i="53" s="1"/>
  <c r="M171" i="28"/>
  <c r="AQ170" i="53" s="1"/>
  <c r="M172" i="28"/>
  <c r="AQ171" i="53" s="1"/>
  <c r="M173" i="28"/>
  <c r="AQ172" i="53" s="1"/>
  <c r="M174" i="28"/>
  <c r="AQ173" i="53" s="1"/>
  <c r="M175" i="28"/>
  <c r="AQ174" i="53" s="1"/>
  <c r="M176" i="28"/>
  <c r="AQ175" i="53" s="1"/>
  <c r="M177" i="28"/>
  <c r="AQ176" i="53" s="1"/>
  <c r="M178" i="28"/>
  <c r="AQ177" i="53" s="1"/>
  <c r="M179" i="28"/>
  <c r="AQ178" i="53" s="1"/>
  <c r="M180" i="28"/>
  <c r="AQ179" i="53" s="1"/>
  <c r="M181" i="28"/>
  <c r="AQ180" i="53" s="1"/>
  <c r="M182" i="28"/>
  <c r="AQ181" i="53" s="1"/>
  <c r="M183" i="28"/>
  <c r="AQ182" i="53" s="1"/>
  <c r="M184" i="28"/>
  <c r="AQ183" i="53" s="1"/>
  <c r="M185" i="28"/>
  <c r="AQ184" i="53" s="1"/>
  <c r="M186" i="28"/>
  <c r="AQ185" i="53" s="1"/>
  <c r="M187" i="28"/>
  <c r="AQ186" i="53" s="1"/>
  <c r="M188" i="28"/>
  <c r="AQ187" i="53" s="1"/>
  <c r="M189" i="28"/>
  <c r="AQ188" i="53" s="1"/>
  <c r="M190" i="28"/>
  <c r="AQ189" i="53" s="1"/>
  <c r="M191" i="28"/>
  <c r="AQ190" i="53" s="1"/>
  <c r="M192" i="28"/>
  <c r="AQ191" i="53" s="1"/>
  <c r="M193" i="28"/>
  <c r="AQ192" i="53" s="1"/>
  <c r="M194" i="28"/>
  <c r="AQ193" i="53" s="1"/>
  <c r="M195" i="28"/>
  <c r="AQ194" i="53" s="1"/>
  <c r="M196" i="28"/>
  <c r="AQ195" i="53" s="1"/>
  <c r="M197" i="28"/>
  <c r="AQ196" i="53" s="1"/>
  <c r="M198" i="28"/>
  <c r="AQ197" i="53" s="1"/>
  <c r="M199" i="28"/>
  <c r="AQ198" i="53" s="1"/>
  <c r="M200" i="28"/>
  <c r="AQ199" i="53" s="1"/>
  <c r="M201" i="28"/>
  <c r="AQ200" i="53" s="1"/>
  <c r="M202" i="28"/>
  <c r="AQ201" i="53" s="1"/>
  <c r="M203" i="28"/>
  <c r="AQ202" i="53" s="1"/>
  <c r="M204" i="28"/>
  <c r="AQ203" i="53" s="1"/>
  <c r="M205" i="28"/>
  <c r="AQ204" i="53" s="1"/>
  <c r="M206" i="28"/>
  <c r="AQ205" i="53" s="1"/>
  <c r="M207" i="28"/>
  <c r="AQ206" i="53" s="1"/>
  <c r="M208" i="28"/>
  <c r="AQ207" i="53" s="1"/>
  <c r="M209" i="28"/>
  <c r="AQ208" i="53" s="1"/>
  <c r="M210" i="28"/>
  <c r="AQ209" i="53" s="1"/>
  <c r="M211" i="28"/>
  <c r="AQ210" i="53" s="1"/>
  <c r="M212" i="28"/>
  <c r="AQ211" i="53" s="1"/>
  <c r="M213" i="28"/>
  <c r="AQ212" i="53" s="1"/>
  <c r="M214" i="28"/>
  <c r="AQ213" i="53" s="1"/>
  <c r="M215" i="28"/>
  <c r="AQ214" i="53" s="1"/>
  <c r="M216" i="28"/>
  <c r="AQ215" i="53" s="1"/>
  <c r="M217" i="28"/>
  <c r="AQ216" i="53" s="1"/>
  <c r="M218" i="28"/>
  <c r="AQ217" i="53" s="1"/>
  <c r="M219" i="28"/>
  <c r="AQ218" i="53" s="1"/>
  <c r="M220" i="28"/>
  <c r="AQ219" i="53" s="1"/>
  <c r="M221" i="28"/>
  <c r="AQ220" i="53" s="1"/>
  <c r="M222" i="28"/>
  <c r="AQ221" i="53" s="1"/>
  <c r="M223" i="28"/>
  <c r="AQ222" i="53" s="1"/>
  <c r="M224" i="28"/>
  <c r="AQ223" i="53" s="1"/>
  <c r="M225" i="28"/>
  <c r="AQ224" i="53" s="1"/>
  <c r="M226" i="28"/>
  <c r="AQ225" i="53" s="1"/>
  <c r="M227" i="28"/>
  <c r="AQ226" i="53" s="1"/>
  <c r="M228" i="28"/>
  <c r="AQ227" i="53" s="1"/>
  <c r="M229" i="28"/>
  <c r="AQ228" i="53" s="1"/>
  <c r="M230" i="28"/>
  <c r="AQ229" i="53" s="1"/>
  <c r="M231" i="28"/>
  <c r="AQ230" i="53" s="1"/>
  <c r="M232" i="28"/>
  <c r="AQ231" i="53" s="1"/>
  <c r="M233" i="28"/>
  <c r="AQ232" i="53" s="1"/>
  <c r="M234" i="28"/>
  <c r="AQ233" i="53" s="1"/>
  <c r="M235" i="28"/>
  <c r="AQ234" i="53" s="1"/>
  <c r="M236" i="28"/>
  <c r="AQ235" i="53" s="1"/>
  <c r="M237" i="28"/>
  <c r="AQ236" i="53" s="1"/>
  <c r="M238" i="28"/>
  <c r="AQ237" i="53" s="1"/>
  <c r="M239" i="28"/>
  <c r="AQ238" i="53" s="1"/>
  <c r="M240" i="28"/>
  <c r="AQ239" i="53" s="1"/>
  <c r="M241" i="28"/>
  <c r="AQ240" i="53" s="1"/>
  <c r="M242" i="28"/>
  <c r="AQ241" i="53" s="1"/>
  <c r="M243" i="28"/>
  <c r="AQ242" i="53" s="1"/>
  <c r="M244" i="28"/>
  <c r="AQ243" i="53" s="1"/>
  <c r="M245" i="28"/>
  <c r="AQ244" i="53" s="1"/>
  <c r="M246" i="28"/>
  <c r="AQ245" i="53" s="1"/>
  <c r="M247" i="28"/>
  <c r="AQ246" i="53" s="1"/>
  <c r="M248" i="28"/>
  <c r="AQ247" i="53" s="1"/>
  <c r="M249" i="28"/>
  <c r="AQ248" i="53" s="1"/>
  <c r="M250" i="28"/>
  <c r="AQ249" i="53" s="1"/>
  <c r="M251" i="28"/>
  <c r="AQ250" i="53" s="1"/>
  <c r="M252" i="28"/>
  <c r="AQ251" i="53" s="1"/>
  <c r="M253" i="28"/>
  <c r="AQ252" i="53" s="1"/>
  <c r="M254" i="28"/>
  <c r="AQ253" i="53" s="1"/>
  <c r="M255" i="28"/>
  <c r="AQ254" i="53" s="1"/>
  <c r="M256" i="28"/>
  <c r="AQ255" i="53" s="1"/>
  <c r="M257" i="28"/>
  <c r="AQ256" i="53" s="1"/>
  <c r="M258" i="28"/>
  <c r="AQ257" i="53" s="1"/>
  <c r="M259" i="28"/>
  <c r="AQ258" i="53" s="1"/>
  <c r="M260" i="28"/>
  <c r="AQ259" i="53" s="1"/>
  <c r="M261" i="28"/>
  <c r="AQ260" i="53" s="1"/>
  <c r="M262" i="28"/>
  <c r="AQ261" i="53" s="1"/>
  <c r="M263" i="28"/>
  <c r="AQ262" i="53" s="1"/>
  <c r="M264" i="28"/>
  <c r="AQ263" i="53" s="1"/>
  <c r="M265" i="28"/>
  <c r="AQ264" i="53" s="1"/>
  <c r="M266" i="28"/>
  <c r="AQ265" i="53" s="1"/>
  <c r="M267" i="28"/>
  <c r="AQ266" i="53" s="1"/>
  <c r="M268" i="28"/>
  <c r="AQ267" i="53" s="1"/>
  <c r="M269" i="28"/>
  <c r="AQ268" i="53" s="1"/>
  <c r="M270" i="28"/>
  <c r="AQ269" i="53" s="1"/>
  <c r="M271" i="28"/>
  <c r="AQ270" i="53" s="1"/>
  <c r="M272" i="28"/>
  <c r="AQ271" i="53" s="1"/>
  <c r="M273" i="28"/>
  <c r="AQ272" i="53" s="1"/>
  <c r="M274" i="28"/>
  <c r="AQ273" i="53" s="1"/>
  <c r="M275" i="28"/>
  <c r="AQ274" i="53" s="1"/>
  <c r="M276" i="28"/>
  <c r="AQ275" i="53" s="1"/>
  <c r="M277" i="28"/>
  <c r="AQ276" i="53" s="1"/>
  <c r="M278" i="28"/>
  <c r="AQ277" i="53" s="1"/>
  <c r="M279" i="28"/>
  <c r="AQ278" i="53" s="1"/>
  <c r="M280" i="28"/>
  <c r="AQ279" i="53" s="1"/>
  <c r="M281" i="28"/>
  <c r="AQ280" i="53" s="1"/>
  <c r="M282" i="28"/>
  <c r="AQ281" i="53" s="1"/>
  <c r="M283" i="28"/>
  <c r="AQ282" i="53" s="1"/>
  <c r="M284" i="28"/>
  <c r="AQ283" i="53" s="1"/>
  <c r="M285" i="28"/>
  <c r="AQ284" i="53" s="1"/>
  <c r="M286" i="28"/>
  <c r="AQ285" i="53" s="1"/>
  <c r="M287" i="28"/>
  <c r="AQ286" i="53" s="1"/>
  <c r="M288" i="28"/>
  <c r="AQ287" i="53" s="1"/>
  <c r="M289" i="28"/>
  <c r="AQ288" i="53" s="1"/>
  <c r="M290" i="28"/>
  <c r="AQ289" i="53" s="1"/>
  <c r="M291" i="28"/>
  <c r="AQ290" i="53" s="1"/>
  <c r="M292" i="28"/>
  <c r="AQ291" i="53" s="1"/>
  <c r="M293" i="28"/>
  <c r="AQ292" i="53" s="1"/>
  <c r="M294" i="28"/>
  <c r="AQ293" i="53" s="1"/>
  <c r="M295" i="28"/>
  <c r="AQ294" i="53" s="1"/>
  <c r="M296" i="28"/>
  <c r="AQ295" i="53" s="1"/>
  <c r="M297" i="28"/>
  <c r="AQ296" i="53" s="1"/>
  <c r="M298" i="28"/>
  <c r="AQ297" i="53" s="1"/>
  <c r="M299" i="28"/>
  <c r="AQ298" i="53" s="1"/>
  <c r="M300" i="28"/>
  <c r="AQ299" i="53" s="1"/>
  <c r="M301" i="28"/>
  <c r="AQ300" i="53" s="1"/>
  <c r="M302" i="28"/>
  <c r="AQ301" i="53" s="1"/>
  <c r="M303" i="28"/>
  <c r="AQ302" i="53" s="1"/>
  <c r="M304" i="28"/>
  <c r="AQ303" i="53" s="1"/>
  <c r="M305" i="28"/>
  <c r="AQ304" i="53" s="1"/>
  <c r="M306" i="28"/>
  <c r="AQ305" i="53" s="1"/>
  <c r="M307" i="28"/>
  <c r="AQ306" i="53" s="1"/>
  <c r="M308" i="28"/>
  <c r="AQ307" i="53" s="1"/>
  <c r="M309" i="28"/>
  <c r="AQ308" i="53" s="1"/>
  <c r="M310" i="28"/>
  <c r="AQ309" i="53" s="1"/>
  <c r="M311" i="28"/>
  <c r="AQ310" i="53" s="1"/>
  <c r="M312" i="28"/>
  <c r="AQ311" i="53" s="1"/>
  <c r="M313" i="28"/>
  <c r="AQ312" i="53" s="1"/>
  <c r="M314" i="28"/>
  <c r="AQ313" i="53" s="1"/>
  <c r="M315" i="28"/>
  <c r="AQ314" i="53" s="1"/>
  <c r="M316" i="28"/>
  <c r="AQ315" i="53" s="1"/>
  <c r="M317" i="28"/>
  <c r="AQ316" i="53" s="1"/>
  <c r="M318" i="28"/>
  <c r="AQ317" i="53" s="1"/>
  <c r="M319" i="28"/>
  <c r="AQ318" i="53" s="1"/>
  <c r="M320" i="28"/>
  <c r="AQ319" i="53" s="1"/>
  <c r="M321" i="28"/>
  <c r="AQ320" i="53" s="1"/>
  <c r="M322" i="28"/>
  <c r="AQ321" i="53" s="1"/>
  <c r="M323" i="28"/>
  <c r="AQ322" i="53" s="1"/>
  <c r="M324" i="28"/>
  <c r="AQ323" i="53" s="1"/>
  <c r="M325" i="28"/>
  <c r="AQ324" i="53" s="1"/>
  <c r="M326" i="28"/>
  <c r="AQ325" i="53" s="1"/>
  <c r="M327" i="28"/>
  <c r="AQ326" i="53" s="1"/>
  <c r="M328" i="28"/>
  <c r="AQ327" i="53" s="1"/>
  <c r="M329" i="28"/>
  <c r="AQ328" i="53" s="1"/>
  <c r="M330" i="28"/>
  <c r="AQ329" i="53" s="1"/>
  <c r="M331" i="28"/>
  <c r="AQ330" i="53" s="1"/>
  <c r="M332" i="28"/>
  <c r="AQ331" i="53" s="1"/>
  <c r="M333" i="28"/>
  <c r="AQ332" i="53" s="1"/>
  <c r="M334" i="28"/>
  <c r="AQ333" i="53" s="1"/>
  <c r="M335" i="28"/>
  <c r="AQ334" i="53" s="1"/>
  <c r="M336" i="28"/>
  <c r="AQ335" i="53" s="1"/>
  <c r="M337" i="28"/>
  <c r="AQ336" i="53" s="1"/>
  <c r="M338" i="28"/>
  <c r="AQ337" i="53" s="1"/>
  <c r="M339" i="28"/>
  <c r="AQ338" i="53" s="1"/>
  <c r="M340" i="28"/>
  <c r="AQ339" i="53" s="1"/>
  <c r="M341" i="28"/>
  <c r="AQ340" i="53" s="1"/>
  <c r="M342" i="28"/>
  <c r="AQ341" i="53" s="1"/>
  <c r="M343" i="28"/>
  <c r="AQ342" i="53" s="1"/>
  <c r="M344" i="28"/>
  <c r="AQ343" i="53" s="1"/>
  <c r="M345" i="28"/>
  <c r="AQ344" i="53" s="1"/>
  <c r="M346" i="28"/>
  <c r="AQ345" i="53" s="1"/>
  <c r="M347" i="28"/>
  <c r="AQ346" i="53" s="1"/>
  <c r="M348" i="28"/>
  <c r="AQ347" i="53" s="1"/>
  <c r="M349" i="28"/>
  <c r="AQ348" i="53" s="1"/>
  <c r="M350" i="28"/>
  <c r="AQ349" i="53" s="1"/>
  <c r="M351" i="28"/>
  <c r="AQ350" i="53" s="1"/>
  <c r="M352" i="28"/>
  <c r="AQ351" i="53" s="1"/>
  <c r="M353" i="28"/>
  <c r="AQ352" i="53" s="1"/>
  <c r="M354" i="28"/>
  <c r="AQ353" i="53" s="1"/>
  <c r="M355" i="28"/>
  <c r="AQ354" i="53" s="1"/>
  <c r="M356" i="28"/>
  <c r="AQ355" i="53" s="1"/>
  <c r="M357" i="28"/>
  <c r="AQ356" i="53" s="1"/>
  <c r="M358" i="28"/>
  <c r="AQ357" i="53" s="1"/>
  <c r="M359" i="28"/>
  <c r="AQ358" i="53" s="1"/>
  <c r="M360" i="28"/>
  <c r="AQ359" i="53" s="1"/>
  <c r="M361" i="28"/>
  <c r="AQ360" i="53" s="1"/>
  <c r="M362" i="28"/>
  <c r="AQ361" i="53" s="1"/>
  <c r="M363" i="28"/>
  <c r="AQ362" i="53" s="1"/>
  <c r="M364" i="28"/>
  <c r="AQ363" i="53" s="1"/>
  <c r="M365" i="28"/>
  <c r="AQ364" i="53" s="1"/>
  <c r="M366" i="28"/>
  <c r="AQ365" i="53" s="1"/>
  <c r="M367" i="28"/>
  <c r="AQ366" i="53" s="1"/>
  <c r="M3" i="28"/>
  <c r="AQ2" i="53" s="1"/>
  <c r="K4" i="28"/>
  <c r="AI3" i="53" s="1"/>
  <c r="K5" i="28"/>
  <c r="AI4" i="53" s="1"/>
  <c r="K6" i="28"/>
  <c r="AI5" i="53" s="1"/>
  <c r="AI30" i="53"/>
  <c r="AI32" i="53"/>
  <c r="AI33" i="53"/>
  <c r="AI34" i="53"/>
  <c r="AI35" i="53"/>
  <c r="AI36" i="53"/>
  <c r="AI37" i="53"/>
  <c r="AI38" i="53"/>
  <c r="AI39" i="53"/>
  <c r="AI44" i="53"/>
  <c r="AI45" i="53"/>
  <c r="AI46" i="53"/>
  <c r="AI47" i="53"/>
  <c r="AI48" i="53"/>
  <c r="AI49" i="53"/>
  <c r="AI50" i="53"/>
  <c r="AI51" i="53"/>
  <c r="AI52" i="53"/>
  <c r="AI53" i="53"/>
  <c r="AI54" i="53"/>
  <c r="AI55" i="53"/>
  <c r="AI56" i="53"/>
  <c r="AI57" i="53"/>
  <c r="AI58" i="53"/>
  <c r="AI61" i="53"/>
  <c r="AI62" i="53"/>
  <c r="AI63" i="53"/>
  <c r="AI64" i="53"/>
  <c r="AI65" i="53"/>
  <c r="AI66" i="53"/>
  <c r="AI67" i="53"/>
  <c r="AI68" i="53"/>
  <c r="AI69" i="53"/>
  <c r="AI70" i="53"/>
  <c r="AI71" i="53"/>
  <c r="AI72" i="53"/>
  <c r="AI77" i="53"/>
  <c r="AI79" i="53"/>
  <c r="AI80" i="53"/>
  <c r="AI81" i="53"/>
  <c r="AI82" i="53"/>
  <c r="AI83" i="53"/>
  <c r="AI86" i="53"/>
  <c r="AI87" i="53"/>
  <c r="AI88" i="53"/>
  <c r="AI89" i="53"/>
  <c r="AI90" i="53"/>
  <c r="AI91" i="53"/>
  <c r="AI92" i="53"/>
  <c r="AI93" i="53"/>
  <c r="AI94" i="53"/>
  <c r="AI95" i="53"/>
  <c r="AI96" i="53"/>
  <c r="AI97" i="53"/>
  <c r="AI98" i="53"/>
  <c r="AI99" i="53"/>
  <c r="AI100" i="53"/>
  <c r="AI101" i="53"/>
  <c r="AI103" i="53"/>
  <c r="AI104" i="53"/>
  <c r="AI105" i="53"/>
  <c r="AI106" i="53"/>
  <c r="AI108" i="53"/>
  <c r="AI109" i="53"/>
  <c r="AI110" i="53"/>
  <c r="AI112" i="53"/>
  <c r="AI113" i="53"/>
  <c r="AI122" i="53"/>
  <c r="AI123" i="53"/>
  <c r="AI124" i="53"/>
  <c r="AI127" i="53"/>
  <c r="AI140" i="53"/>
  <c r="AI142" i="53"/>
  <c r="AI143" i="53"/>
  <c r="AI144" i="53"/>
  <c r="AI145" i="53"/>
  <c r="AI146" i="53"/>
  <c r="K148" i="28"/>
  <c r="AI147" i="53" s="1"/>
  <c r="AI148" i="53"/>
  <c r="K151" i="28"/>
  <c r="K153" i="28"/>
  <c r="K154" i="28"/>
  <c r="AI153" i="53" s="1"/>
  <c r="K155" i="28"/>
  <c r="AI154" i="53" s="1"/>
  <c r="K156" i="28"/>
  <c r="AI155" i="53" s="1"/>
  <c r="K157" i="28"/>
  <c r="AI156" i="53" s="1"/>
  <c r="K158" i="28"/>
  <c r="AI157" i="53" s="1"/>
  <c r="K159" i="28"/>
  <c r="AI158" i="53" s="1"/>
  <c r="K160" i="28"/>
  <c r="AI159" i="53" s="1"/>
  <c r="K161" i="28"/>
  <c r="AI160" i="53" s="1"/>
  <c r="K162" i="28"/>
  <c r="AI161" i="53" s="1"/>
  <c r="K163" i="28"/>
  <c r="AI162" i="53" s="1"/>
  <c r="K164" i="28"/>
  <c r="AI163" i="53" s="1"/>
  <c r="K165" i="28"/>
  <c r="AI164" i="53" s="1"/>
  <c r="K166" i="28"/>
  <c r="AI165" i="53" s="1"/>
  <c r="K167" i="28"/>
  <c r="AI166" i="53" s="1"/>
  <c r="K168" i="28"/>
  <c r="AI167" i="53" s="1"/>
  <c r="K169" i="28"/>
  <c r="AI168" i="53" s="1"/>
  <c r="K170" i="28"/>
  <c r="AI169" i="53" s="1"/>
  <c r="K171" i="28"/>
  <c r="AI170" i="53" s="1"/>
  <c r="K172" i="28"/>
  <c r="AI171" i="53" s="1"/>
  <c r="K173" i="28"/>
  <c r="AI172" i="53" s="1"/>
  <c r="K174" i="28"/>
  <c r="AI173" i="53" s="1"/>
  <c r="K175" i="28"/>
  <c r="AI174" i="53" s="1"/>
  <c r="K176" i="28"/>
  <c r="AI175" i="53" s="1"/>
  <c r="K177" i="28"/>
  <c r="AI176" i="53" s="1"/>
  <c r="K178" i="28"/>
  <c r="AI177" i="53" s="1"/>
  <c r="K179" i="28"/>
  <c r="AI178" i="53" s="1"/>
  <c r="K180" i="28"/>
  <c r="AI179" i="53" s="1"/>
  <c r="K181" i="28"/>
  <c r="AI180" i="53" s="1"/>
  <c r="K182" i="28"/>
  <c r="AI181" i="53" s="1"/>
  <c r="K183" i="28"/>
  <c r="AI182" i="53" s="1"/>
  <c r="K184" i="28"/>
  <c r="AI183" i="53" s="1"/>
  <c r="K185" i="28"/>
  <c r="AI184" i="53" s="1"/>
  <c r="K186" i="28"/>
  <c r="AI185" i="53" s="1"/>
  <c r="K187" i="28"/>
  <c r="AI186" i="53" s="1"/>
  <c r="K188" i="28"/>
  <c r="AI187" i="53" s="1"/>
  <c r="K189" i="28"/>
  <c r="AI188" i="53" s="1"/>
  <c r="K190" i="28"/>
  <c r="AI189" i="53" s="1"/>
  <c r="K191" i="28"/>
  <c r="AI190" i="53" s="1"/>
  <c r="K192" i="28"/>
  <c r="AI191" i="53" s="1"/>
  <c r="K193" i="28"/>
  <c r="AI192" i="53" s="1"/>
  <c r="K194" i="28"/>
  <c r="AI193" i="53" s="1"/>
  <c r="K195" i="28"/>
  <c r="AI194" i="53" s="1"/>
  <c r="K196" i="28"/>
  <c r="AI195" i="53" s="1"/>
  <c r="K197" i="28"/>
  <c r="AI196" i="53" s="1"/>
  <c r="K198" i="28"/>
  <c r="AI197" i="53" s="1"/>
  <c r="K199" i="28"/>
  <c r="AI198" i="53" s="1"/>
  <c r="K200" i="28"/>
  <c r="AI199" i="53" s="1"/>
  <c r="K201" i="28"/>
  <c r="AI200" i="53" s="1"/>
  <c r="K202" i="28"/>
  <c r="AI201" i="53" s="1"/>
  <c r="K203" i="28"/>
  <c r="AI202" i="53" s="1"/>
  <c r="K204" i="28"/>
  <c r="AI203" i="53" s="1"/>
  <c r="K205" i="28"/>
  <c r="AI204" i="53" s="1"/>
  <c r="K206" i="28"/>
  <c r="AI205" i="53" s="1"/>
  <c r="K207" i="28"/>
  <c r="AI206" i="53" s="1"/>
  <c r="K208" i="28"/>
  <c r="AI207" i="53" s="1"/>
  <c r="K209" i="28"/>
  <c r="AI208" i="53" s="1"/>
  <c r="K210" i="28"/>
  <c r="AI209" i="53" s="1"/>
  <c r="K211" i="28"/>
  <c r="AI210" i="53" s="1"/>
  <c r="K212" i="28"/>
  <c r="AI211" i="53" s="1"/>
  <c r="K213" i="28"/>
  <c r="AI212" i="53" s="1"/>
  <c r="K214" i="28"/>
  <c r="AI213" i="53" s="1"/>
  <c r="K215" i="28"/>
  <c r="AI214" i="53" s="1"/>
  <c r="K216" i="28"/>
  <c r="AI215" i="53" s="1"/>
  <c r="K217" i="28"/>
  <c r="AI216" i="53" s="1"/>
  <c r="K218" i="28"/>
  <c r="AI217" i="53" s="1"/>
  <c r="K219" i="28"/>
  <c r="AI218" i="53" s="1"/>
  <c r="K220" i="28"/>
  <c r="AI219" i="53" s="1"/>
  <c r="K221" i="28"/>
  <c r="AI220" i="53" s="1"/>
  <c r="K222" i="28"/>
  <c r="AI221" i="53" s="1"/>
  <c r="K223" i="28"/>
  <c r="AI222" i="53" s="1"/>
  <c r="K224" i="28"/>
  <c r="AI223" i="53" s="1"/>
  <c r="K225" i="28"/>
  <c r="AI224" i="53" s="1"/>
  <c r="K226" i="28"/>
  <c r="AI225" i="53" s="1"/>
  <c r="K227" i="28"/>
  <c r="AI226" i="53" s="1"/>
  <c r="K228" i="28"/>
  <c r="AI227" i="53" s="1"/>
  <c r="K229" i="28"/>
  <c r="AI228" i="53" s="1"/>
  <c r="K230" i="28"/>
  <c r="AI229" i="53" s="1"/>
  <c r="K231" i="28"/>
  <c r="AI230" i="53" s="1"/>
  <c r="K232" i="28"/>
  <c r="AI231" i="53" s="1"/>
  <c r="K233" i="28"/>
  <c r="AI232" i="53" s="1"/>
  <c r="K234" i="28"/>
  <c r="AI233" i="53" s="1"/>
  <c r="K235" i="28"/>
  <c r="AI234" i="53" s="1"/>
  <c r="K236" i="28"/>
  <c r="AI235" i="53" s="1"/>
  <c r="K237" i="28"/>
  <c r="AI236" i="53" s="1"/>
  <c r="K238" i="28"/>
  <c r="AI237" i="53" s="1"/>
  <c r="K239" i="28"/>
  <c r="AI238" i="53" s="1"/>
  <c r="K240" i="28"/>
  <c r="AI239" i="53" s="1"/>
  <c r="K241" i="28"/>
  <c r="AI240" i="53" s="1"/>
  <c r="K242" i="28"/>
  <c r="AI241" i="53" s="1"/>
  <c r="K243" i="28"/>
  <c r="AI242" i="53" s="1"/>
  <c r="K244" i="28"/>
  <c r="AI243" i="53" s="1"/>
  <c r="K245" i="28"/>
  <c r="AI244" i="53" s="1"/>
  <c r="K246" i="28"/>
  <c r="AI245" i="53" s="1"/>
  <c r="K247" i="28"/>
  <c r="AI246" i="53" s="1"/>
  <c r="K248" i="28"/>
  <c r="AI247" i="53" s="1"/>
  <c r="K249" i="28"/>
  <c r="AI248" i="53" s="1"/>
  <c r="K250" i="28"/>
  <c r="AI249" i="53" s="1"/>
  <c r="K251" i="28"/>
  <c r="AI250" i="53" s="1"/>
  <c r="K252" i="28"/>
  <c r="AI251" i="53" s="1"/>
  <c r="K253" i="28"/>
  <c r="AI252" i="53" s="1"/>
  <c r="K254" i="28"/>
  <c r="AI253" i="53" s="1"/>
  <c r="K255" i="28"/>
  <c r="AI254" i="53" s="1"/>
  <c r="K256" i="28"/>
  <c r="AI255" i="53" s="1"/>
  <c r="K257" i="28"/>
  <c r="AI256" i="53" s="1"/>
  <c r="K258" i="28"/>
  <c r="AI257" i="53" s="1"/>
  <c r="K259" i="28"/>
  <c r="AI258" i="53" s="1"/>
  <c r="K260" i="28"/>
  <c r="AI259" i="53" s="1"/>
  <c r="K261" i="28"/>
  <c r="AI260" i="53" s="1"/>
  <c r="K262" i="28"/>
  <c r="AI261" i="53" s="1"/>
  <c r="K263" i="28"/>
  <c r="AI262" i="53" s="1"/>
  <c r="K264" i="28"/>
  <c r="AI263" i="53" s="1"/>
  <c r="K265" i="28"/>
  <c r="AI264" i="53" s="1"/>
  <c r="K266" i="28"/>
  <c r="AI265" i="53" s="1"/>
  <c r="K267" i="28"/>
  <c r="AI266" i="53" s="1"/>
  <c r="K268" i="28"/>
  <c r="AI267" i="53" s="1"/>
  <c r="K269" i="28"/>
  <c r="AI268" i="53" s="1"/>
  <c r="K270" i="28"/>
  <c r="AI269" i="53" s="1"/>
  <c r="K271" i="28"/>
  <c r="AI270" i="53" s="1"/>
  <c r="K272" i="28"/>
  <c r="AI271" i="53" s="1"/>
  <c r="K273" i="28"/>
  <c r="AI272" i="53" s="1"/>
  <c r="K274" i="28"/>
  <c r="AI273" i="53" s="1"/>
  <c r="K275" i="28"/>
  <c r="AI274" i="53" s="1"/>
  <c r="K276" i="28"/>
  <c r="AI275" i="53" s="1"/>
  <c r="K277" i="28"/>
  <c r="AI276" i="53" s="1"/>
  <c r="K278" i="28"/>
  <c r="AI277" i="53" s="1"/>
  <c r="K279" i="28"/>
  <c r="AI278" i="53" s="1"/>
  <c r="K280" i="28"/>
  <c r="AI279" i="53" s="1"/>
  <c r="K281" i="28"/>
  <c r="AI280" i="53" s="1"/>
  <c r="K282" i="28"/>
  <c r="AI281" i="53" s="1"/>
  <c r="K283" i="28"/>
  <c r="AI282" i="53" s="1"/>
  <c r="K284" i="28"/>
  <c r="AI283" i="53" s="1"/>
  <c r="K285" i="28"/>
  <c r="AI284" i="53" s="1"/>
  <c r="K286" i="28"/>
  <c r="AI285" i="53" s="1"/>
  <c r="K287" i="28"/>
  <c r="AI286" i="53" s="1"/>
  <c r="K288" i="28"/>
  <c r="AI287" i="53" s="1"/>
  <c r="K289" i="28"/>
  <c r="AI288" i="53" s="1"/>
  <c r="K290" i="28"/>
  <c r="AI289" i="53" s="1"/>
  <c r="K291" i="28"/>
  <c r="AI290" i="53" s="1"/>
  <c r="K292" i="28"/>
  <c r="AI291" i="53" s="1"/>
  <c r="K293" i="28"/>
  <c r="AI292" i="53" s="1"/>
  <c r="K294" i="28"/>
  <c r="AI293" i="53" s="1"/>
  <c r="K295" i="28"/>
  <c r="AI294" i="53" s="1"/>
  <c r="K296" i="28"/>
  <c r="AI295" i="53" s="1"/>
  <c r="K297" i="28"/>
  <c r="AI296" i="53" s="1"/>
  <c r="K298" i="28"/>
  <c r="AI297" i="53" s="1"/>
  <c r="K299" i="28"/>
  <c r="AI298" i="53" s="1"/>
  <c r="K300" i="28"/>
  <c r="AI299" i="53" s="1"/>
  <c r="K301" i="28"/>
  <c r="AI300" i="53" s="1"/>
  <c r="K302" i="28"/>
  <c r="AI301" i="53" s="1"/>
  <c r="K303" i="28"/>
  <c r="AI302" i="53" s="1"/>
  <c r="K304" i="28"/>
  <c r="AI303" i="53" s="1"/>
  <c r="K305" i="28"/>
  <c r="AI304" i="53" s="1"/>
  <c r="K306" i="28"/>
  <c r="AI305" i="53" s="1"/>
  <c r="K307" i="28"/>
  <c r="AI306" i="53" s="1"/>
  <c r="K308" i="28"/>
  <c r="AI307" i="53" s="1"/>
  <c r="K309" i="28"/>
  <c r="AI308" i="53" s="1"/>
  <c r="K310" i="28"/>
  <c r="AI309" i="53" s="1"/>
  <c r="K311" i="28"/>
  <c r="AI310" i="53" s="1"/>
  <c r="K312" i="28"/>
  <c r="AI311" i="53" s="1"/>
  <c r="K313" i="28"/>
  <c r="AI312" i="53" s="1"/>
  <c r="K314" i="28"/>
  <c r="AI313" i="53" s="1"/>
  <c r="K315" i="28"/>
  <c r="AI314" i="53" s="1"/>
  <c r="K316" i="28"/>
  <c r="AI315" i="53" s="1"/>
  <c r="K317" i="28"/>
  <c r="AI316" i="53" s="1"/>
  <c r="K318" i="28"/>
  <c r="AI317" i="53" s="1"/>
  <c r="K319" i="28"/>
  <c r="AI318" i="53" s="1"/>
  <c r="K320" i="28"/>
  <c r="AI319" i="53" s="1"/>
  <c r="K321" i="28"/>
  <c r="AI320" i="53" s="1"/>
  <c r="K322" i="28"/>
  <c r="AI321" i="53" s="1"/>
  <c r="K323" i="28"/>
  <c r="AI322" i="53" s="1"/>
  <c r="K324" i="28"/>
  <c r="AI323" i="53" s="1"/>
  <c r="K325" i="28"/>
  <c r="AI324" i="53" s="1"/>
  <c r="K326" i="28"/>
  <c r="AI325" i="53" s="1"/>
  <c r="K327" i="28"/>
  <c r="AI326" i="53" s="1"/>
  <c r="K328" i="28"/>
  <c r="AI327" i="53" s="1"/>
  <c r="K329" i="28"/>
  <c r="AI328" i="53" s="1"/>
  <c r="K330" i="28"/>
  <c r="AI329" i="53" s="1"/>
  <c r="K331" i="28"/>
  <c r="AI330" i="53" s="1"/>
  <c r="K332" i="28"/>
  <c r="AI331" i="53" s="1"/>
  <c r="K333" i="28"/>
  <c r="AI332" i="53" s="1"/>
  <c r="K334" i="28"/>
  <c r="AI333" i="53" s="1"/>
  <c r="K335" i="28"/>
  <c r="AI334" i="53" s="1"/>
  <c r="K336" i="28"/>
  <c r="AI335" i="53" s="1"/>
  <c r="K337" i="28"/>
  <c r="AI336" i="53" s="1"/>
  <c r="K338" i="28"/>
  <c r="AI337" i="53" s="1"/>
  <c r="K339" i="28"/>
  <c r="AI338" i="53" s="1"/>
  <c r="K340" i="28"/>
  <c r="AI339" i="53" s="1"/>
  <c r="K341" i="28"/>
  <c r="AI340" i="53" s="1"/>
  <c r="K342" i="28"/>
  <c r="AI341" i="53" s="1"/>
  <c r="K343" i="28"/>
  <c r="AI342" i="53" s="1"/>
  <c r="K344" i="28"/>
  <c r="AI343" i="53" s="1"/>
  <c r="K345" i="28"/>
  <c r="AI344" i="53" s="1"/>
  <c r="K346" i="28"/>
  <c r="AI345" i="53" s="1"/>
  <c r="K347" i="28"/>
  <c r="AI346" i="53" s="1"/>
  <c r="K348" i="28"/>
  <c r="AI347" i="53" s="1"/>
  <c r="K349" i="28"/>
  <c r="AI348" i="53" s="1"/>
  <c r="K350" i="28"/>
  <c r="AI349" i="53" s="1"/>
  <c r="K351" i="28"/>
  <c r="AI350" i="53" s="1"/>
  <c r="K352" i="28"/>
  <c r="AI351" i="53" s="1"/>
  <c r="K353" i="28"/>
  <c r="AI352" i="53" s="1"/>
  <c r="K354" i="28"/>
  <c r="AI353" i="53" s="1"/>
  <c r="K355" i="28"/>
  <c r="AI354" i="53" s="1"/>
  <c r="K356" i="28"/>
  <c r="AI355" i="53" s="1"/>
  <c r="K357" i="28"/>
  <c r="AI356" i="53" s="1"/>
  <c r="K358" i="28"/>
  <c r="AI357" i="53" s="1"/>
  <c r="K359" i="28"/>
  <c r="AI358" i="53" s="1"/>
  <c r="K360" i="28"/>
  <c r="AI359" i="53" s="1"/>
  <c r="K361" i="28"/>
  <c r="AI360" i="53" s="1"/>
  <c r="K362" i="28"/>
  <c r="AI361" i="53" s="1"/>
  <c r="K363" i="28"/>
  <c r="AI362" i="53" s="1"/>
  <c r="K364" i="28"/>
  <c r="AI363" i="53" s="1"/>
  <c r="K365" i="28"/>
  <c r="AI364" i="53" s="1"/>
  <c r="K366" i="28"/>
  <c r="AI365" i="53" s="1"/>
  <c r="K367" i="28"/>
  <c r="AI366" i="53" s="1"/>
  <c r="K3" i="28"/>
  <c r="AI2" i="53" s="1"/>
  <c r="I4" i="28"/>
  <c r="AA3" i="53" s="1"/>
  <c r="I5" i="28"/>
  <c r="AA4" i="53" s="1"/>
  <c r="I6" i="28"/>
  <c r="AA5" i="53" s="1"/>
  <c r="AA30" i="53"/>
  <c r="AA32" i="53"/>
  <c r="AA33" i="53"/>
  <c r="AA34" i="53"/>
  <c r="AA35" i="53"/>
  <c r="AA36" i="53"/>
  <c r="AA37" i="53"/>
  <c r="AA38" i="53"/>
  <c r="AA39" i="53"/>
  <c r="AA44" i="53"/>
  <c r="AA45" i="53"/>
  <c r="AA46" i="53"/>
  <c r="AA47" i="53"/>
  <c r="AA48" i="53"/>
  <c r="AA49" i="53"/>
  <c r="AA50" i="53"/>
  <c r="AA51" i="53"/>
  <c r="AA52" i="53"/>
  <c r="AA53" i="53"/>
  <c r="AA54" i="53"/>
  <c r="AA55" i="53"/>
  <c r="AA56" i="53"/>
  <c r="AA57" i="53"/>
  <c r="AA58" i="53"/>
  <c r="AA61" i="53"/>
  <c r="AA62" i="53"/>
  <c r="AA63" i="53"/>
  <c r="AA64" i="53"/>
  <c r="AA65" i="53"/>
  <c r="AA66" i="53"/>
  <c r="AA67" i="53"/>
  <c r="AA68" i="53"/>
  <c r="AA69" i="53"/>
  <c r="AA70" i="53"/>
  <c r="AA71" i="53"/>
  <c r="AA72" i="53"/>
  <c r="AA77" i="53"/>
  <c r="AA79" i="53"/>
  <c r="AA80" i="53"/>
  <c r="AA81" i="53"/>
  <c r="AA82" i="53"/>
  <c r="AA83" i="53"/>
  <c r="AA86" i="53"/>
  <c r="AA87" i="53"/>
  <c r="AA88" i="53"/>
  <c r="AA89" i="53"/>
  <c r="AA90" i="53"/>
  <c r="AA91" i="53"/>
  <c r="AA92" i="53"/>
  <c r="AA93" i="53"/>
  <c r="AA94" i="53"/>
  <c r="AA95" i="53"/>
  <c r="AA96" i="53"/>
  <c r="AA97" i="53"/>
  <c r="AA98" i="53"/>
  <c r="AA99" i="53"/>
  <c r="AA100" i="53"/>
  <c r="AA101" i="53"/>
  <c r="AA103" i="53"/>
  <c r="AA104" i="53"/>
  <c r="AA105" i="53"/>
  <c r="AA106" i="53"/>
  <c r="AA108" i="53"/>
  <c r="AA109" i="53"/>
  <c r="AA110" i="53"/>
  <c r="AA112" i="53"/>
  <c r="AA113" i="53"/>
  <c r="AA122" i="53"/>
  <c r="AA123" i="53"/>
  <c r="AA124" i="53"/>
  <c r="AA127" i="53"/>
  <c r="AA140" i="53"/>
  <c r="AA142" i="53"/>
  <c r="AA143" i="53"/>
  <c r="AA144" i="53"/>
  <c r="AA145" i="53"/>
  <c r="AA146" i="53"/>
  <c r="I148" i="28"/>
  <c r="AA147" i="53" s="1"/>
  <c r="AA148" i="53"/>
  <c r="I151" i="28"/>
  <c r="I153" i="28"/>
  <c r="I154" i="28"/>
  <c r="AA153" i="53" s="1"/>
  <c r="I155" i="28"/>
  <c r="AA154" i="53" s="1"/>
  <c r="I156" i="28"/>
  <c r="AA155" i="53" s="1"/>
  <c r="I157" i="28"/>
  <c r="AA156" i="53" s="1"/>
  <c r="I158" i="28"/>
  <c r="AA157" i="53" s="1"/>
  <c r="I159" i="28"/>
  <c r="AA158" i="53" s="1"/>
  <c r="I160" i="28"/>
  <c r="AA159" i="53" s="1"/>
  <c r="I161" i="28"/>
  <c r="AA160" i="53" s="1"/>
  <c r="I162" i="28"/>
  <c r="AA161" i="53" s="1"/>
  <c r="I163" i="28"/>
  <c r="AA162" i="53" s="1"/>
  <c r="I164" i="28"/>
  <c r="AA163" i="53" s="1"/>
  <c r="I165" i="28"/>
  <c r="AA164" i="53" s="1"/>
  <c r="I166" i="28"/>
  <c r="AA165" i="53" s="1"/>
  <c r="I167" i="28"/>
  <c r="AA166" i="53" s="1"/>
  <c r="I168" i="28"/>
  <c r="AA167" i="53" s="1"/>
  <c r="I169" i="28"/>
  <c r="AA168" i="53" s="1"/>
  <c r="I170" i="28"/>
  <c r="AA169" i="53" s="1"/>
  <c r="I171" i="28"/>
  <c r="AA170" i="53" s="1"/>
  <c r="I172" i="28"/>
  <c r="AA171" i="53" s="1"/>
  <c r="I173" i="28"/>
  <c r="AA172" i="53" s="1"/>
  <c r="I174" i="28"/>
  <c r="AA173" i="53" s="1"/>
  <c r="I175" i="28"/>
  <c r="AA174" i="53" s="1"/>
  <c r="I176" i="28"/>
  <c r="AA175" i="53" s="1"/>
  <c r="I177" i="28"/>
  <c r="AA176" i="53" s="1"/>
  <c r="I178" i="28"/>
  <c r="AA177" i="53" s="1"/>
  <c r="I179" i="28"/>
  <c r="AA178" i="53" s="1"/>
  <c r="I180" i="28"/>
  <c r="AA179" i="53" s="1"/>
  <c r="I181" i="28"/>
  <c r="AA180" i="53" s="1"/>
  <c r="I182" i="28"/>
  <c r="AA181" i="53" s="1"/>
  <c r="I183" i="28"/>
  <c r="AA182" i="53" s="1"/>
  <c r="I184" i="28"/>
  <c r="AA183" i="53" s="1"/>
  <c r="I185" i="28"/>
  <c r="AA184" i="53" s="1"/>
  <c r="I186" i="28"/>
  <c r="AA185" i="53" s="1"/>
  <c r="I187" i="28"/>
  <c r="AA186" i="53" s="1"/>
  <c r="I188" i="28"/>
  <c r="AA187" i="53" s="1"/>
  <c r="I189" i="28"/>
  <c r="AA188" i="53" s="1"/>
  <c r="I190" i="28"/>
  <c r="AA189" i="53" s="1"/>
  <c r="I191" i="28"/>
  <c r="AA190" i="53" s="1"/>
  <c r="I192" i="28"/>
  <c r="AA191" i="53" s="1"/>
  <c r="I193" i="28"/>
  <c r="AA192" i="53" s="1"/>
  <c r="I194" i="28"/>
  <c r="AA193" i="53" s="1"/>
  <c r="I195" i="28"/>
  <c r="AA194" i="53" s="1"/>
  <c r="I196" i="28"/>
  <c r="AA195" i="53" s="1"/>
  <c r="I197" i="28"/>
  <c r="AA196" i="53" s="1"/>
  <c r="I198" i="28"/>
  <c r="AA197" i="53" s="1"/>
  <c r="I199" i="28"/>
  <c r="AA198" i="53" s="1"/>
  <c r="I200" i="28"/>
  <c r="AA199" i="53" s="1"/>
  <c r="I201" i="28"/>
  <c r="AA200" i="53" s="1"/>
  <c r="I202" i="28"/>
  <c r="AA201" i="53" s="1"/>
  <c r="I203" i="28"/>
  <c r="AA202" i="53" s="1"/>
  <c r="I204" i="28"/>
  <c r="AA203" i="53" s="1"/>
  <c r="I205" i="28"/>
  <c r="AA204" i="53" s="1"/>
  <c r="I206" i="28"/>
  <c r="AA205" i="53" s="1"/>
  <c r="I207" i="28"/>
  <c r="AA206" i="53" s="1"/>
  <c r="I208" i="28"/>
  <c r="AA207" i="53" s="1"/>
  <c r="I209" i="28"/>
  <c r="AA208" i="53" s="1"/>
  <c r="I210" i="28"/>
  <c r="AA209" i="53" s="1"/>
  <c r="I211" i="28"/>
  <c r="AA210" i="53" s="1"/>
  <c r="I212" i="28"/>
  <c r="AA211" i="53" s="1"/>
  <c r="I213" i="28"/>
  <c r="AA212" i="53" s="1"/>
  <c r="I214" i="28"/>
  <c r="AA213" i="53" s="1"/>
  <c r="I215" i="28"/>
  <c r="AA214" i="53" s="1"/>
  <c r="I216" i="28"/>
  <c r="AA215" i="53" s="1"/>
  <c r="I217" i="28"/>
  <c r="AA216" i="53" s="1"/>
  <c r="I218" i="28"/>
  <c r="AA217" i="53" s="1"/>
  <c r="I219" i="28"/>
  <c r="AA218" i="53" s="1"/>
  <c r="I220" i="28"/>
  <c r="AA219" i="53" s="1"/>
  <c r="I221" i="28"/>
  <c r="AA220" i="53" s="1"/>
  <c r="I222" i="28"/>
  <c r="AA221" i="53" s="1"/>
  <c r="I223" i="28"/>
  <c r="AA222" i="53" s="1"/>
  <c r="I224" i="28"/>
  <c r="AA223" i="53" s="1"/>
  <c r="I225" i="28"/>
  <c r="AA224" i="53" s="1"/>
  <c r="I226" i="28"/>
  <c r="AA225" i="53" s="1"/>
  <c r="I227" i="28"/>
  <c r="AA226" i="53" s="1"/>
  <c r="I228" i="28"/>
  <c r="AA227" i="53" s="1"/>
  <c r="I229" i="28"/>
  <c r="AA228" i="53" s="1"/>
  <c r="I230" i="28"/>
  <c r="AA229" i="53" s="1"/>
  <c r="I231" i="28"/>
  <c r="AA230" i="53" s="1"/>
  <c r="I232" i="28"/>
  <c r="AA231" i="53" s="1"/>
  <c r="I233" i="28"/>
  <c r="AA232" i="53" s="1"/>
  <c r="I234" i="28"/>
  <c r="AA233" i="53" s="1"/>
  <c r="I235" i="28"/>
  <c r="AA234" i="53" s="1"/>
  <c r="I236" i="28"/>
  <c r="AA235" i="53" s="1"/>
  <c r="I237" i="28"/>
  <c r="AA236" i="53" s="1"/>
  <c r="I238" i="28"/>
  <c r="AA237" i="53" s="1"/>
  <c r="I239" i="28"/>
  <c r="AA238" i="53" s="1"/>
  <c r="I240" i="28"/>
  <c r="AA239" i="53" s="1"/>
  <c r="I241" i="28"/>
  <c r="AA240" i="53" s="1"/>
  <c r="I242" i="28"/>
  <c r="AA241" i="53" s="1"/>
  <c r="I243" i="28"/>
  <c r="AA242" i="53" s="1"/>
  <c r="I244" i="28"/>
  <c r="AA243" i="53" s="1"/>
  <c r="I245" i="28"/>
  <c r="AA244" i="53" s="1"/>
  <c r="I246" i="28"/>
  <c r="AA245" i="53" s="1"/>
  <c r="I247" i="28"/>
  <c r="AA246" i="53" s="1"/>
  <c r="I248" i="28"/>
  <c r="AA247" i="53" s="1"/>
  <c r="I249" i="28"/>
  <c r="AA248" i="53" s="1"/>
  <c r="I250" i="28"/>
  <c r="AA249" i="53" s="1"/>
  <c r="I251" i="28"/>
  <c r="AA250" i="53" s="1"/>
  <c r="I252" i="28"/>
  <c r="AA251" i="53" s="1"/>
  <c r="I253" i="28"/>
  <c r="AA252" i="53" s="1"/>
  <c r="I254" i="28"/>
  <c r="AA253" i="53" s="1"/>
  <c r="I255" i="28"/>
  <c r="AA254" i="53" s="1"/>
  <c r="I256" i="28"/>
  <c r="AA255" i="53" s="1"/>
  <c r="I257" i="28"/>
  <c r="AA256" i="53" s="1"/>
  <c r="I258" i="28"/>
  <c r="AA257" i="53" s="1"/>
  <c r="I259" i="28"/>
  <c r="AA258" i="53" s="1"/>
  <c r="I260" i="28"/>
  <c r="AA259" i="53" s="1"/>
  <c r="I261" i="28"/>
  <c r="AA260" i="53" s="1"/>
  <c r="I262" i="28"/>
  <c r="AA261" i="53" s="1"/>
  <c r="I263" i="28"/>
  <c r="AA262" i="53" s="1"/>
  <c r="I264" i="28"/>
  <c r="AA263" i="53" s="1"/>
  <c r="I265" i="28"/>
  <c r="AA264" i="53" s="1"/>
  <c r="I266" i="28"/>
  <c r="AA265" i="53" s="1"/>
  <c r="I267" i="28"/>
  <c r="AA266" i="53" s="1"/>
  <c r="I268" i="28"/>
  <c r="AA267" i="53" s="1"/>
  <c r="I269" i="28"/>
  <c r="AA268" i="53" s="1"/>
  <c r="I270" i="28"/>
  <c r="AA269" i="53" s="1"/>
  <c r="I271" i="28"/>
  <c r="AA270" i="53" s="1"/>
  <c r="I272" i="28"/>
  <c r="AA271" i="53" s="1"/>
  <c r="I273" i="28"/>
  <c r="AA272" i="53" s="1"/>
  <c r="I274" i="28"/>
  <c r="AA273" i="53" s="1"/>
  <c r="I275" i="28"/>
  <c r="AA274" i="53" s="1"/>
  <c r="I276" i="28"/>
  <c r="AA275" i="53" s="1"/>
  <c r="I277" i="28"/>
  <c r="AA276" i="53" s="1"/>
  <c r="I278" i="28"/>
  <c r="AA277" i="53" s="1"/>
  <c r="I279" i="28"/>
  <c r="AA278" i="53" s="1"/>
  <c r="I280" i="28"/>
  <c r="AA279" i="53" s="1"/>
  <c r="I281" i="28"/>
  <c r="AA280" i="53" s="1"/>
  <c r="I282" i="28"/>
  <c r="AA281" i="53" s="1"/>
  <c r="I283" i="28"/>
  <c r="AA282" i="53" s="1"/>
  <c r="I284" i="28"/>
  <c r="AA283" i="53" s="1"/>
  <c r="I285" i="28"/>
  <c r="AA284" i="53" s="1"/>
  <c r="I286" i="28"/>
  <c r="AA285" i="53" s="1"/>
  <c r="I287" i="28"/>
  <c r="AA286" i="53" s="1"/>
  <c r="I288" i="28"/>
  <c r="AA287" i="53" s="1"/>
  <c r="I289" i="28"/>
  <c r="AA288" i="53" s="1"/>
  <c r="I290" i="28"/>
  <c r="AA289" i="53" s="1"/>
  <c r="I291" i="28"/>
  <c r="AA290" i="53" s="1"/>
  <c r="I292" i="28"/>
  <c r="AA291" i="53" s="1"/>
  <c r="I293" i="28"/>
  <c r="AA292" i="53" s="1"/>
  <c r="I294" i="28"/>
  <c r="AA293" i="53" s="1"/>
  <c r="I295" i="28"/>
  <c r="AA294" i="53" s="1"/>
  <c r="I296" i="28"/>
  <c r="AA295" i="53" s="1"/>
  <c r="I297" i="28"/>
  <c r="AA296" i="53" s="1"/>
  <c r="I298" i="28"/>
  <c r="AA297" i="53" s="1"/>
  <c r="I299" i="28"/>
  <c r="AA298" i="53" s="1"/>
  <c r="I300" i="28"/>
  <c r="AA299" i="53" s="1"/>
  <c r="I301" i="28"/>
  <c r="AA300" i="53" s="1"/>
  <c r="I302" i="28"/>
  <c r="AA301" i="53" s="1"/>
  <c r="I303" i="28"/>
  <c r="AA302" i="53" s="1"/>
  <c r="I304" i="28"/>
  <c r="AA303" i="53" s="1"/>
  <c r="I305" i="28"/>
  <c r="AA304" i="53" s="1"/>
  <c r="I306" i="28"/>
  <c r="AA305" i="53" s="1"/>
  <c r="I307" i="28"/>
  <c r="AA306" i="53" s="1"/>
  <c r="I308" i="28"/>
  <c r="AA307" i="53" s="1"/>
  <c r="I309" i="28"/>
  <c r="AA308" i="53" s="1"/>
  <c r="I310" i="28"/>
  <c r="AA309" i="53" s="1"/>
  <c r="I311" i="28"/>
  <c r="AA310" i="53" s="1"/>
  <c r="I312" i="28"/>
  <c r="AA311" i="53" s="1"/>
  <c r="I313" i="28"/>
  <c r="AA312" i="53" s="1"/>
  <c r="I314" i="28"/>
  <c r="AA313" i="53" s="1"/>
  <c r="I315" i="28"/>
  <c r="AA314" i="53" s="1"/>
  <c r="I316" i="28"/>
  <c r="AA315" i="53" s="1"/>
  <c r="I317" i="28"/>
  <c r="AA316" i="53" s="1"/>
  <c r="I318" i="28"/>
  <c r="AA317" i="53" s="1"/>
  <c r="I319" i="28"/>
  <c r="AA318" i="53" s="1"/>
  <c r="I320" i="28"/>
  <c r="AA319" i="53" s="1"/>
  <c r="I321" i="28"/>
  <c r="AA320" i="53" s="1"/>
  <c r="I322" i="28"/>
  <c r="AA321" i="53" s="1"/>
  <c r="I323" i="28"/>
  <c r="AA322" i="53" s="1"/>
  <c r="I324" i="28"/>
  <c r="AA323" i="53" s="1"/>
  <c r="I325" i="28"/>
  <c r="AA324" i="53" s="1"/>
  <c r="I326" i="28"/>
  <c r="AA325" i="53" s="1"/>
  <c r="I327" i="28"/>
  <c r="AA326" i="53" s="1"/>
  <c r="I328" i="28"/>
  <c r="AA327" i="53" s="1"/>
  <c r="I329" i="28"/>
  <c r="AA328" i="53" s="1"/>
  <c r="I330" i="28"/>
  <c r="AA329" i="53" s="1"/>
  <c r="I331" i="28"/>
  <c r="AA330" i="53" s="1"/>
  <c r="I332" i="28"/>
  <c r="AA331" i="53" s="1"/>
  <c r="I333" i="28"/>
  <c r="AA332" i="53" s="1"/>
  <c r="I334" i="28"/>
  <c r="AA333" i="53" s="1"/>
  <c r="I335" i="28"/>
  <c r="AA334" i="53" s="1"/>
  <c r="I336" i="28"/>
  <c r="AA335" i="53" s="1"/>
  <c r="I337" i="28"/>
  <c r="AA336" i="53" s="1"/>
  <c r="I338" i="28"/>
  <c r="AA337" i="53" s="1"/>
  <c r="I339" i="28"/>
  <c r="AA338" i="53" s="1"/>
  <c r="I340" i="28"/>
  <c r="AA339" i="53" s="1"/>
  <c r="I341" i="28"/>
  <c r="AA340" i="53" s="1"/>
  <c r="I342" i="28"/>
  <c r="AA341" i="53" s="1"/>
  <c r="I343" i="28"/>
  <c r="AA342" i="53" s="1"/>
  <c r="I344" i="28"/>
  <c r="AA343" i="53" s="1"/>
  <c r="I345" i="28"/>
  <c r="AA344" i="53" s="1"/>
  <c r="I346" i="28"/>
  <c r="AA345" i="53" s="1"/>
  <c r="I347" i="28"/>
  <c r="AA346" i="53" s="1"/>
  <c r="I348" i="28"/>
  <c r="AA347" i="53" s="1"/>
  <c r="I349" i="28"/>
  <c r="AA348" i="53" s="1"/>
  <c r="I350" i="28"/>
  <c r="AA349" i="53" s="1"/>
  <c r="I351" i="28"/>
  <c r="AA350" i="53" s="1"/>
  <c r="I352" i="28"/>
  <c r="AA351" i="53" s="1"/>
  <c r="I353" i="28"/>
  <c r="AA352" i="53" s="1"/>
  <c r="I354" i="28"/>
  <c r="AA353" i="53" s="1"/>
  <c r="I355" i="28"/>
  <c r="AA354" i="53" s="1"/>
  <c r="I356" i="28"/>
  <c r="AA355" i="53" s="1"/>
  <c r="I357" i="28"/>
  <c r="AA356" i="53" s="1"/>
  <c r="I358" i="28"/>
  <c r="AA357" i="53" s="1"/>
  <c r="I359" i="28"/>
  <c r="AA358" i="53" s="1"/>
  <c r="I360" i="28"/>
  <c r="AA359" i="53" s="1"/>
  <c r="I361" i="28"/>
  <c r="AA360" i="53" s="1"/>
  <c r="I362" i="28"/>
  <c r="AA361" i="53" s="1"/>
  <c r="I363" i="28"/>
  <c r="AA362" i="53" s="1"/>
  <c r="I364" i="28"/>
  <c r="AA363" i="53" s="1"/>
  <c r="I365" i="28"/>
  <c r="AA364" i="53" s="1"/>
  <c r="I366" i="28"/>
  <c r="AA365" i="53" s="1"/>
  <c r="I367" i="28"/>
  <c r="AA366" i="53" s="1"/>
  <c r="I3" i="28"/>
  <c r="AA2" i="53" s="1"/>
  <c r="G4" i="28"/>
  <c r="S3" i="53" s="1"/>
  <c r="G5" i="28"/>
  <c r="S4" i="53" s="1"/>
  <c r="S5" i="53"/>
  <c r="S30" i="53"/>
  <c r="S32" i="53"/>
  <c r="S33" i="53"/>
  <c r="S34" i="53"/>
  <c r="S35" i="53"/>
  <c r="S36" i="53"/>
  <c r="S37" i="53"/>
  <c r="S38" i="53"/>
  <c r="S39" i="53"/>
  <c r="S44" i="53"/>
  <c r="S45" i="53"/>
  <c r="S46" i="53"/>
  <c r="S47" i="53"/>
  <c r="S48" i="53"/>
  <c r="S49" i="53"/>
  <c r="S50" i="53"/>
  <c r="S51" i="53"/>
  <c r="S52" i="53"/>
  <c r="S53" i="53"/>
  <c r="S54" i="53"/>
  <c r="S55" i="53"/>
  <c r="S56" i="53"/>
  <c r="S57" i="53"/>
  <c r="S58" i="53"/>
  <c r="S61" i="53"/>
  <c r="S62" i="53"/>
  <c r="S63" i="53"/>
  <c r="S64" i="53"/>
  <c r="S65" i="53"/>
  <c r="S66" i="53"/>
  <c r="S67" i="53"/>
  <c r="S68" i="53"/>
  <c r="S69" i="53"/>
  <c r="S70" i="53"/>
  <c r="S71" i="53"/>
  <c r="S72" i="53"/>
  <c r="S77" i="53"/>
  <c r="S79" i="53"/>
  <c r="S80" i="53"/>
  <c r="S81" i="53"/>
  <c r="S82" i="53"/>
  <c r="S83" i="53"/>
  <c r="S86" i="53"/>
  <c r="S87" i="53"/>
  <c r="S88" i="53"/>
  <c r="S89" i="53"/>
  <c r="S90" i="53"/>
  <c r="S91" i="53"/>
  <c r="S92" i="53"/>
  <c r="S93" i="53"/>
  <c r="S94" i="53"/>
  <c r="S95" i="53"/>
  <c r="S96" i="53"/>
  <c r="S97" i="53"/>
  <c r="S98" i="53"/>
  <c r="R98" i="53" s="1"/>
  <c r="S99" i="53"/>
  <c r="S100" i="53"/>
  <c r="S101" i="53"/>
  <c r="S103" i="53"/>
  <c r="S104" i="53"/>
  <c r="S105" i="53"/>
  <c r="S106" i="53"/>
  <c r="S108" i="53"/>
  <c r="S109" i="53"/>
  <c r="S110" i="53"/>
  <c r="S112" i="53"/>
  <c r="S113" i="53"/>
  <c r="S122" i="53"/>
  <c r="S123" i="53"/>
  <c r="S124" i="53"/>
  <c r="S127" i="53"/>
  <c r="S140" i="53"/>
  <c r="S142" i="53"/>
  <c r="S143" i="53"/>
  <c r="S144" i="53"/>
  <c r="S145" i="53"/>
  <c r="S146" i="53"/>
  <c r="G148" i="28"/>
  <c r="S147" i="53" s="1"/>
  <c r="S148" i="53"/>
  <c r="G151" i="28"/>
  <c r="G153" i="28"/>
  <c r="G154" i="28"/>
  <c r="S153" i="53" s="1"/>
  <c r="G155" i="28"/>
  <c r="S154" i="53" s="1"/>
  <c r="G156" i="28"/>
  <c r="S155" i="53" s="1"/>
  <c r="G157" i="28"/>
  <c r="S156" i="53" s="1"/>
  <c r="G158" i="28"/>
  <c r="S157" i="53" s="1"/>
  <c r="G159" i="28"/>
  <c r="S158" i="53" s="1"/>
  <c r="G160" i="28"/>
  <c r="S159" i="53" s="1"/>
  <c r="G161" i="28"/>
  <c r="S160" i="53" s="1"/>
  <c r="G162" i="28"/>
  <c r="S161" i="53" s="1"/>
  <c r="G163" i="28"/>
  <c r="S162" i="53" s="1"/>
  <c r="G164" i="28"/>
  <c r="S163" i="53" s="1"/>
  <c r="G165" i="28"/>
  <c r="S164" i="53" s="1"/>
  <c r="G166" i="28"/>
  <c r="S165" i="53" s="1"/>
  <c r="G167" i="28"/>
  <c r="S166" i="53" s="1"/>
  <c r="G168" i="28"/>
  <c r="S167" i="53" s="1"/>
  <c r="G169" i="28"/>
  <c r="S168" i="53" s="1"/>
  <c r="G170" i="28"/>
  <c r="S169" i="53" s="1"/>
  <c r="G171" i="28"/>
  <c r="S170" i="53" s="1"/>
  <c r="G172" i="28"/>
  <c r="S171" i="53" s="1"/>
  <c r="G173" i="28"/>
  <c r="S172" i="53" s="1"/>
  <c r="G174" i="28"/>
  <c r="S173" i="53" s="1"/>
  <c r="G175" i="28"/>
  <c r="S174" i="53" s="1"/>
  <c r="G176" i="28"/>
  <c r="S175" i="53" s="1"/>
  <c r="G177" i="28"/>
  <c r="S176" i="53" s="1"/>
  <c r="G178" i="28"/>
  <c r="S177" i="53" s="1"/>
  <c r="G179" i="28"/>
  <c r="S178" i="53" s="1"/>
  <c r="G180" i="28"/>
  <c r="S179" i="53" s="1"/>
  <c r="G181" i="28"/>
  <c r="S180" i="53" s="1"/>
  <c r="G182" i="28"/>
  <c r="S181" i="53" s="1"/>
  <c r="G183" i="28"/>
  <c r="S182" i="53" s="1"/>
  <c r="G184" i="28"/>
  <c r="S183" i="53" s="1"/>
  <c r="G185" i="28"/>
  <c r="S184" i="53" s="1"/>
  <c r="G186" i="28"/>
  <c r="S185" i="53" s="1"/>
  <c r="G187" i="28"/>
  <c r="S186" i="53" s="1"/>
  <c r="G188" i="28"/>
  <c r="S187" i="53" s="1"/>
  <c r="G189" i="28"/>
  <c r="S188" i="53" s="1"/>
  <c r="G190" i="28"/>
  <c r="S189" i="53" s="1"/>
  <c r="G191" i="28"/>
  <c r="S190" i="53" s="1"/>
  <c r="G192" i="28"/>
  <c r="S191" i="53" s="1"/>
  <c r="G193" i="28"/>
  <c r="S192" i="53" s="1"/>
  <c r="G194" i="28"/>
  <c r="S193" i="53" s="1"/>
  <c r="G195" i="28"/>
  <c r="S194" i="53" s="1"/>
  <c r="G196" i="28"/>
  <c r="S195" i="53" s="1"/>
  <c r="G197" i="28"/>
  <c r="S196" i="53" s="1"/>
  <c r="G198" i="28"/>
  <c r="S197" i="53" s="1"/>
  <c r="G199" i="28"/>
  <c r="S198" i="53" s="1"/>
  <c r="G200" i="28"/>
  <c r="S199" i="53" s="1"/>
  <c r="G201" i="28"/>
  <c r="S200" i="53" s="1"/>
  <c r="G202" i="28"/>
  <c r="S201" i="53" s="1"/>
  <c r="G203" i="28"/>
  <c r="S202" i="53" s="1"/>
  <c r="G204" i="28"/>
  <c r="S203" i="53" s="1"/>
  <c r="G205" i="28"/>
  <c r="S204" i="53" s="1"/>
  <c r="G206" i="28"/>
  <c r="S205" i="53" s="1"/>
  <c r="G207" i="28"/>
  <c r="S206" i="53" s="1"/>
  <c r="G208" i="28"/>
  <c r="S207" i="53" s="1"/>
  <c r="G209" i="28"/>
  <c r="S208" i="53" s="1"/>
  <c r="G210" i="28"/>
  <c r="S209" i="53" s="1"/>
  <c r="G211" i="28"/>
  <c r="S210" i="53" s="1"/>
  <c r="G212" i="28"/>
  <c r="S211" i="53" s="1"/>
  <c r="G213" i="28"/>
  <c r="S212" i="53" s="1"/>
  <c r="G214" i="28"/>
  <c r="S213" i="53" s="1"/>
  <c r="G215" i="28"/>
  <c r="S214" i="53" s="1"/>
  <c r="G216" i="28"/>
  <c r="S215" i="53" s="1"/>
  <c r="G217" i="28"/>
  <c r="S216" i="53" s="1"/>
  <c r="G218" i="28"/>
  <c r="S217" i="53" s="1"/>
  <c r="G219" i="28"/>
  <c r="S218" i="53" s="1"/>
  <c r="G220" i="28"/>
  <c r="S219" i="53" s="1"/>
  <c r="G221" i="28"/>
  <c r="S220" i="53" s="1"/>
  <c r="G222" i="28"/>
  <c r="S221" i="53" s="1"/>
  <c r="G223" i="28"/>
  <c r="S222" i="53" s="1"/>
  <c r="G224" i="28"/>
  <c r="S223" i="53" s="1"/>
  <c r="G225" i="28"/>
  <c r="S224" i="53" s="1"/>
  <c r="G226" i="28"/>
  <c r="S225" i="53" s="1"/>
  <c r="G227" i="28"/>
  <c r="S226" i="53" s="1"/>
  <c r="G228" i="28"/>
  <c r="S227" i="53" s="1"/>
  <c r="G229" i="28"/>
  <c r="S228" i="53" s="1"/>
  <c r="G230" i="28"/>
  <c r="S229" i="53" s="1"/>
  <c r="G231" i="28"/>
  <c r="S230" i="53" s="1"/>
  <c r="G232" i="28"/>
  <c r="S231" i="53" s="1"/>
  <c r="G233" i="28"/>
  <c r="S232" i="53" s="1"/>
  <c r="G234" i="28"/>
  <c r="S233" i="53" s="1"/>
  <c r="G235" i="28"/>
  <c r="S234" i="53" s="1"/>
  <c r="G236" i="28"/>
  <c r="S235" i="53" s="1"/>
  <c r="G237" i="28"/>
  <c r="S236" i="53" s="1"/>
  <c r="G238" i="28"/>
  <c r="S237" i="53" s="1"/>
  <c r="G239" i="28"/>
  <c r="S238" i="53" s="1"/>
  <c r="G240" i="28"/>
  <c r="S239" i="53" s="1"/>
  <c r="G241" i="28"/>
  <c r="S240" i="53" s="1"/>
  <c r="G242" i="28"/>
  <c r="S241" i="53" s="1"/>
  <c r="G243" i="28"/>
  <c r="S242" i="53" s="1"/>
  <c r="G244" i="28"/>
  <c r="S243" i="53" s="1"/>
  <c r="G245" i="28"/>
  <c r="S244" i="53" s="1"/>
  <c r="G246" i="28"/>
  <c r="S245" i="53" s="1"/>
  <c r="G247" i="28"/>
  <c r="S246" i="53" s="1"/>
  <c r="G248" i="28"/>
  <c r="S247" i="53" s="1"/>
  <c r="G249" i="28"/>
  <c r="S248" i="53" s="1"/>
  <c r="G250" i="28"/>
  <c r="S249" i="53" s="1"/>
  <c r="G251" i="28"/>
  <c r="S250" i="53" s="1"/>
  <c r="G252" i="28"/>
  <c r="S251" i="53" s="1"/>
  <c r="G253" i="28"/>
  <c r="S252" i="53" s="1"/>
  <c r="G254" i="28"/>
  <c r="S253" i="53" s="1"/>
  <c r="G255" i="28"/>
  <c r="S254" i="53" s="1"/>
  <c r="G256" i="28"/>
  <c r="S255" i="53" s="1"/>
  <c r="G257" i="28"/>
  <c r="S256" i="53" s="1"/>
  <c r="G258" i="28"/>
  <c r="S257" i="53" s="1"/>
  <c r="G259" i="28"/>
  <c r="S258" i="53" s="1"/>
  <c r="G260" i="28"/>
  <c r="S259" i="53" s="1"/>
  <c r="G261" i="28"/>
  <c r="S260" i="53" s="1"/>
  <c r="G262" i="28"/>
  <c r="S261" i="53" s="1"/>
  <c r="G263" i="28"/>
  <c r="S262" i="53" s="1"/>
  <c r="G264" i="28"/>
  <c r="S263" i="53" s="1"/>
  <c r="G265" i="28"/>
  <c r="S264" i="53" s="1"/>
  <c r="G266" i="28"/>
  <c r="S265" i="53" s="1"/>
  <c r="G267" i="28"/>
  <c r="S266" i="53" s="1"/>
  <c r="G268" i="28"/>
  <c r="S267" i="53" s="1"/>
  <c r="G269" i="28"/>
  <c r="S268" i="53" s="1"/>
  <c r="G270" i="28"/>
  <c r="S269" i="53" s="1"/>
  <c r="G271" i="28"/>
  <c r="S270" i="53" s="1"/>
  <c r="G272" i="28"/>
  <c r="S271" i="53" s="1"/>
  <c r="G273" i="28"/>
  <c r="S272" i="53" s="1"/>
  <c r="G274" i="28"/>
  <c r="S273" i="53" s="1"/>
  <c r="G275" i="28"/>
  <c r="S274" i="53" s="1"/>
  <c r="G276" i="28"/>
  <c r="S275" i="53" s="1"/>
  <c r="G277" i="28"/>
  <c r="S276" i="53" s="1"/>
  <c r="G278" i="28"/>
  <c r="S277" i="53" s="1"/>
  <c r="G279" i="28"/>
  <c r="S278" i="53" s="1"/>
  <c r="G280" i="28"/>
  <c r="S279" i="53" s="1"/>
  <c r="G281" i="28"/>
  <c r="S280" i="53" s="1"/>
  <c r="G282" i="28"/>
  <c r="S281" i="53" s="1"/>
  <c r="G283" i="28"/>
  <c r="S282" i="53" s="1"/>
  <c r="G284" i="28"/>
  <c r="S283" i="53" s="1"/>
  <c r="G285" i="28"/>
  <c r="S284" i="53" s="1"/>
  <c r="G286" i="28"/>
  <c r="S285" i="53" s="1"/>
  <c r="G287" i="28"/>
  <c r="S286" i="53" s="1"/>
  <c r="G288" i="28"/>
  <c r="S287" i="53" s="1"/>
  <c r="G289" i="28"/>
  <c r="S288" i="53" s="1"/>
  <c r="G290" i="28"/>
  <c r="S289" i="53" s="1"/>
  <c r="G291" i="28"/>
  <c r="S290" i="53" s="1"/>
  <c r="G292" i="28"/>
  <c r="S291" i="53" s="1"/>
  <c r="G293" i="28"/>
  <c r="S292" i="53" s="1"/>
  <c r="G294" i="28"/>
  <c r="S293" i="53" s="1"/>
  <c r="G295" i="28"/>
  <c r="S294" i="53" s="1"/>
  <c r="G296" i="28"/>
  <c r="S295" i="53" s="1"/>
  <c r="G297" i="28"/>
  <c r="S296" i="53" s="1"/>
  <c r="G298" i="28"/>
  <c r="S297" i="53" s="1"/>
  <c r="G299" i="28"/>
  <c r="S298" i="53" s="1"/>
  <c r="G300" i="28"/>
  <c r="S299" i="53" s="1"/>
  <c r="G301" i="28"/>
  <c r="S300" i="53" s="1"/>
  <c r="G302" i="28"/>
  <c r="S301" i="53" s="1"/>
  <c r="G303" i="28"/>
  <c r="S302" i="53" s="1"/>
  <c r="G304" i="28"/>
  <c r="S303" i="53" s="1"/>
  <c r="G305" i="28"/>
  <c r="S304" i="53" s="1"/>
  <c r="G306" i="28"/>
  <c r="S305" i="53" s="1"/>
  <c r="G307" i="28"/>
  <c r="S306" i="53" s="1"/>
  <c r="G308" i="28"/>
  <c r="S307" i="53" s="1"/>
  <c r="G309" i="28"/>
  <c r="S308" i="53" s="1"/>
  <c r="G310" i="28"/>
  <c r="S309" i="53" s="1"/>
  <c r="G311" i="28"/>
  <c r="S310" i="53" s="1"/>
  <c r="G312" i="28"/>
  <c r="S311" i="53" s="1"/>
  <c r="G313" i="28"/>
  <c r="S312" i="53" s="1"/>
  <c r="G314" i="28"/>
  <c r="S313" i="53" s="1"/>
  <c r="G315" i="28"/>
  <c r="S314" i="53" s="1"/>
  <c r="G316" i="28"/>
  <c r="S315" i="53" s="1"/>
  <c r="G317" i="28"/>
  <c r="S316" i="53" s="1"/>
  <c r="G318" i="28"/>
  <c r="S317" i="53" s="1"/>
  <c r="G319" i="28"/>
  <c r="S318" i="53" s="1"/>
  <c r="G320" i="28"/>
  <c r="S319" i="53" s="1"/>
  <c r="G321" i="28"/>
  <c r="S320" i="53" s="1"/>
  <c r="G322" i="28"/>
  <c r="S321" i="53" s="1"/>
  <c r="G323" i="28"/>
  <c r="S322" i="53" s="1"/>
  <c r="G324" i="28"/>
  <c r="S323" i="53" s="1"/>
  <c r="G325" i="28"/>
  <c r="S324" i="53" s="1"/>
  <c r="G326" i="28"/>
  <c r="S325" i="53" s="1"/>
  <c r="G327" i="28"/>
  <c r="S326" i="53" s="1"/>
  <c r="G328" i="28"/>
  <c r="S327" i="53" s="1"/>
  <c r="G329" i="28"/>
  <c r="S328" i="53" s="1"/>
  <c r="G330" i="28"/>
  <c r="S329" i="53" s="1"/>
  <c r="G331" i="28"/>
  <c r="S330" i="53" s="1"/>
  <c r="G332" i="28"/>
  <c r="S331" i="53" s="1"/>
  <c r="G333" i="28"/>
  <c r="S332" i="53" s="1"/>
  <c r="G334" i="28"/>
  <c r="S333" i="53" s="1"/>
  <c r="G335" i="28"/>
  <c r="S334" i="53" s="1"/>
  <c r="G336" i="28"/>
  <c r="S335" i="53" s="1"/>
  <c r="G337" i="28"/>
  <c r="S336" i="53" s="1"/>
  <c r="G338" i="28"/>
  <c r="S337" i="53" s="1"/>
  <c r="G339" i="28"/>
  <c r="S338" i="53" s="1"/>
  <c r="G340" i="28"/>
  <c r="S339" i="53" s="1"/>
  <c r="G341" i="28"/>
  <c r="S340" i="53" s="1"/>
  <c r="G342" i="28"/>
  <c r="S341" i="53" s="1"/>
  <c r="G343" i="28"/>
  <c r="S342" i="53" s="1"/>
  <c r="G344" i="28"/>
  <c r="S343" i="53" s="1"/>
  <c r="G345" i="28"/>
  <c r="S344" i="53" s="1"/>
  <c r="G346" i="28"/>
  <c r="S345" i="53" s="1"/>
  <c r="G347" i="28"/>
  <c r="S346" i="53" s="1"/>
  <c r="G348" i="28"/>
  <c r="S347" i="53" s="1"/>
  <c r="G349" i="28"/>
  <c r="S348" i="53" s="1"/>
  <c r="G350" i="28"/>
  <c r="S349" i="53" s="1"/>
  <c r="G351" i="28"/>
  <c r="S350" i="53" s="1"/>
  <c r="G352" i="28"/>
  <c r="S351" i="53" s="1"/>
  <c r="G353" i="28"/>
  <c r="S352" i="53" s="1"/>
  <c r="G354" i="28"/>
  <c r="S353" i="53" s="1"/>
  <c r="G355" i="28"/>
  <c r="S354" i="53" s="1"/>
  <c r="G356" i="28"/>
  <c r="S355" i="53" s="1"/>
  <c r="G357" i="28"/>
  <c r="S356" i="53" s="1"/>
  <c r="G358" i="28"/>
  <c r="S357" i="53" s="1"/>
  <c r="G359" i="28"/>
  <c r="S358" i="53" s="1"/>
  <c r="G360" i="28"/>
  <c r="S359" i="53" s="1"/>
  <c r="G361" i="28"/>
  <c r="S360" i="53" s="1"/>
  <c r="G362" i="28"/>
  <c r="S361" i="53" s="1"/>
  <c r="G363" i="28"/>
  <c r="S362" i="53" s="1"/>
  <c r="G364" i="28"/>
  <c r="S363" i="53" s="1"/>
  <c r="G365" i="28"/>
  <c r="S364" i="53" s="1"/>
  <c r="G366" i="28"/>
  <c r="S365" i="53" s="1"/>
  <c r="G367" i="28"/>
  <c r="S366" i="53" s="1"/>
  <c r="G3" i="28"/>
  <c r="S2" i="53" s="1"/>
  <c r="E4" i="28"/>
  <c r="K3" i="53" s="1"/>
  <c r="E5" i="28"/>
  <c r="K4" i="53" s="1"/>
  <c r="E6" i="28"/>
  <c r="K5" i="53" s="1"/>
  <c r="K30" i="53"/>
  <c r="K32" i="53"/>
  <c r="K33" i="53"/>
  <c r="K34" i="53"/>
  <c r="K35" i="53"/>
  <c r="K36" i="53"/>
  <c r="K37" i="53"/>
  <c r="K38" i="53"/>
  <c r="K39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7" i="53"/>
  <c r="K79" i="53"/>
  <c r="K80" i="53"/>
  <c r="K81" i="53"/>
  <c r="K82" i="53"/>
  <c r="K83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K103" i="53"/>
  <c r="K104" i="53"/>
  <c r="K105" i="53"/>
  <c r="K106" i="53"/>
  <c r="K108" i="53"/>
  <c r="K109" i="53"/>
  <c r="K110" i="53"/>
  <c r="K112" i="53"/>
  <c r="K113" i="53"/>
  <c r="K122" i="53"/>
  <c r="K123" i="53"/>
  <c r="K124" i="53"/>
  <c r="K127" i="53"/>
  <c r="K140" i="53"/>
  <c r="K142" i="53"/>
  <c r="K143" i="53"/>
  <c r="K144" i="53"/>
  <c r="K145" i="53"/>
  <c r="K146" i="53"/>
  <c r="E148" i="28"/>
  <c r="K147" i="53" s="1"/>
  <c r="K148" i="53"/>
  <c r="E151" i="28"/>
  <c r="E153" i="28"/>
  <c r="E154" i="28"/>
  <c r="K153" i="53" s="1"/>
  <c r="E155" i="28"/>
  <c r="K154" i="53" s="1"/>
  <c r="E156" i="28"/>
  <c r="K155" i="53" s="1"/>
  <c r="E157" i="28"/>
  <c r="K156" i="53" s="1"/>
  <c r="E158" i="28"/>
  <c r="K157" i="53" s="1"/>
  <c r="E159" i="28"/>
  <c r="K158" i="53" s="1"/>
  <c r="E160" i="28"/>
  <c r="K159" i="53" s="1"/>
  <c r="E161" i="28"/>
  <c r="K160" i="53" s="1"/>
  <c r="E162" i="28"/>
  <c r="K161" i="53" s="1"/>
  <c r="E163" i="28"/>
  <c r="K162" i="53" s="1"/>
  <c r="E164" i="28"/>
  <c r="K163" i="53" s="1"/>
  <c r="E165" i="28"/>
  <c r="K164" i="53" s="1"/>
  <c r="E166" i="28"/>
  <c r="K165" i="53" s="1"/>
  <c r="E167" i="28"/>
  <c r="K166" i="53" s="1"/>
  <c r="E168" i="28"/>
  <c r="K167" i="53" s="1"/>
  <c r="E169" i="28"/>
  <c r="K168" i="53" s="1"/>
  <c r="K169" i="53"/>
  <c r="E171" i="28"/>
  <c r="K170" i="53" s="1"/>
  <c r="E172" i="28"/>
  <c r="K171" i="53" s="1"/>
  <c r="E173" i="28"/>
  <c r="K172" i="53" s="1"/>
  <c r="E174" i="28"/>
  <c r="K173" i="53" s="1"/>
  <c r="E175" i="28"/>
  <c r="K174" i="53" s="1"/>
  <c r="E176" i="28"/>
  <c r="K175" i="53" s="1"/>
  <c r="E177" i="28"/>
  <c r="K176" i="53" s="1"/>
  <c r="E178" i="28"/>
  <c r="K177" i="53" s="1"/>
  <c r="E179" i="28"/>
  <c r="K178" i="53" s="1"/>
  <c r="E180" i="28"/>
  <c r="K179" i="53" s="1"/>
  <c r="E181" i="28"/>
  <c r="K180" i="53" s="1"/>
  <c r="E182" i="28"/>
  <c r="K181" i="53" s="1"/>
  <c r="E183" i="28"/>
  <c r="K182" i="53" s="1"/>
  <c r="E184" i="28"/>
  <c r="K183" i="53" s="1"/>
  <c r="E185" i="28"/>
  <c r="K184" i="53" s="1"/>
  <c r="E186" i="28"/>
  <c r="K185" i="53" s="1"/>
  <c r="E187" i="28"/>
  <c r="K186" i="53" s="1"/>
  <c r="E188" i="28"/>
  <c r="K187" i="53" s="1"/>
  <c r="E189" i="28"/>
  <c r="K188" i="53" s="1"/>
  <c r="E190" i="28"/>
  <c r="K189" i="53" s="1"/>
  <c r="E191" i="28"/>
  <c r="K190" i="53" s="1"/>
  <c r="E192" i="28"/>
  <c r="K191" i="53" s="1"/>
  <c r="E193" i="28"/>
  <c r="K192" i="53" s="1"/>
  <c r="E194" i="28"/>
  <c r="K193" i="53" s="1"/>
  <c r="E195" i="28"/>
  <c r="K194" i="53" s="1"/>
  <c r="E196" i="28"/>
  <c r="K195" i="53" s="1"/>
  <c r="E197" i="28"/>
  <c r="K196" i="53" s="1"/>
  <c r="E198" i="28"/>
  <c r="K197" i="53" s="1"/>
  <c r="E199" i="28"/>
  <c r="K198" i="53" s="1"/>
  <c r="E200" i="28"/>
  <c r="K199" i="53" s="1"/>
  <c r="E201" i="28"/>
  <c r="K200" i="53" s="1"/>
  <c r="E202" i="28"/>
  <c r="K201" i="53" s="1"/>
  <c r="E203" i="28"/>
  <c r="K202" i="53" s="1"/>
  <c r="E204" i="28"/>
  <c r="K203" i="53" s="1"/>
  <c r="E205" i="28"/>
  <c r="K204" i="53" s="1"/>
  <c r="E206" i="28"/>
  <c r="K205" i="53" s="1"/>
  <c r="E207" i="28"/>
  <c r="K206" i="53" s="1"/>
  <c r="E208" i="28"/>
  <c r="K207" i="53" s="1"/>
  <c r="E209" i="28"/>
  <c r="K208" i="53" s="1"/>
  <c r="E210" i="28"/>
  <c r="K209" i="53" s="1"/>
  <c r="E211" i="28"/>
  <c r="K210" i="53" s="1"/>
  <c r="E212" i="28"/>
  <c r="K211" i="53" s="1"/>
  <c r="E213" i="28"/>
  <c r="K212" i="53" s="1"/>
  <c r="E214" i="28"/>
  <c r="K213" i="53" s="1"/>
  <c r="E215" i="28"/>
  <c r="K214" i="53" s="1"/>
  <c r="E216" i="28"/>
  <c r="K215" i="53" s="1"/>
  <c r="E217" i="28"/>
  <c r="K216" i="53" s="1"/>
  <c r="E218" i="28"/>
  <c r="K217" i="53" s="1"/>
  <c r="E219" i="28"/>
  <c r="K218" i="53" s="1"/>
  <c r="E220" i="28"/>
  <c r="K219" i="53" s="1"/>
  <c r="E221" i="28"/>
  <c r="K220" i="53" s="1"/>
  <c r="E222" i="28"/>
  <c r="K221" i="53" s="1"/>
  <c r="E223" i="28"/>
  <c r="K222" i="53" s="1"/>
  <c r="E224" i="28"/>
  <c r="K223" i="53" s="1"/>
  <c r="E225" i="28"/>
  <c r="K224" i="53" s="1"/>
  <c r="E226" i="28"/>
  <c r="K225" i="53" s="1"/>
  <c r="E227" i="28"/>
  <c r="K226" i="53" s="1"/>
  <c r="E228" i="28"/>
  <c r="K227" i="53" s="1"/>
  <c r="E229" i="28"/>
  <c r="K228" i="53" s="1"/>
  <c r="E230" i="28"/>
  <c r="K229" i="53" s="1"/>
  <c r="E231" i="28"/>
  <c r="K230" i="53" s="1"/>
  <c r="E232" i="28"/>
  <c r="K231" i="53" s="1"/>
  <c r="E233" i="28"/>
  <c r="K232" i="53" s="1"/>
  <c r="E234" i="28"/>
  <c r="K233" i="53" s="1"/>
  <c r="E235" i="28"/>
  <c r="K234" i="53" s="1"/>
  <c r="E236" i="28"/>
  <c r="K235" i="53" s="1"/>
  <c r="E237" i="28"/>
  <c r="K236" i="53" s="1"/>
  <c r="E238" i="28"/>
  <c r="K237" i="53" s="1"/>
  <c r="E239" i="28"/>
  <c r="K238" i="53" s="1"/>
  <c r="E240" i="28"/>
  <c r="K239" i="53" s="1"/>
  <c r="E241" i="28"/>
  <c r="K240" i="53" s="1"/>
  <c r="E242" i="28"/>
  <c r="K241" i="53" s="1"/>
  <c r="E243" i="28"/>
  <c r="K242" i="53" s="1"/>
  <c r="E244" i="28"/>
  <c r="K243" i="53" s="1"/>
  <c r="E245" i="28"/>
  <c r="K244" i="53" s="1"/>
  <c r="E246" i="28"/>
  <c r="K245" i="53" s="1"/>
  <c r="E247" i="28"/>
  <c r="K246" i="53" s="1"/>
  <c r="E248" i="28"/>
  <c r="K247" i="53" s="1"/>
  <c r="E249" i="28"/>
  <c r="K248" i="53" s="1"/>
  <c r="E250" i="28"/>
  <c r="K249" i="53" s="1"/>
  <c r="E251" i="28"/>
  <c r="K250" i="53" s="1"/>
  <c r="E252" i="28"/>
  <c r="K251" i="53" s="1"/>
  <c r="E253" i="28"/>
  <c r="K252" i="53" s="1"/>
  <c r="E254" i="28"/>
  <c r="K253" i="53" s="1"/>
  <c r="E255" i="28"/>
  <c r="K254" i="53" s="1"/>
  <c r="E256" i="28"/>
  <c r="K255" i="53" s="1"/>
  <c r="E257" i="28"/>
  <c r="K256" i="53" s="1"/>
  <c r="E258" i="28"/>
  <c r="K257" i="53" s="1"/>
  <c r="E259" i="28"/>
  <c r="K258" i="53" s="1"/>
  <c r="E260" i="28"/>
  <c r="K259" i="53" s="1"/>
  <c r="E261" i="28"/>
  <c r="K260" i="53" s="1"/>
  <c r="E262" i="28"/>
  <c r="K261" i="53" s="1"/>
  <c r="E263" i="28"/>
  <c r="K262" i="53" s="1"/>
  <c r="E264" i="28"/>
  <c r="K263" i="53" s="1"/>
  <c r="E265" i="28"/>
  <c r="K264" i="53" s="1"/>
  <c r="E266" i="28"/>
  <c r="K265" i="53" s="1"/>
  <c r="E267" i="28"/>
  <c r="K266" i="53" s="1"/>
  <c r="E268" i="28"/>
  <c r="K267" i="53" s="1"/>
  <c r="E269" i="28"/>
  <c r="K268" i="53" s="1"/>
  <c r="E270" i="28"/>
  <c r="K269" i="53" s="1"/>
  <c r="E271" i="28"/>
  <c r="K270" i="53" s="1"/>
  <c r="E272" i="28"/>
  <c r="K271" i="53" s="1"/>
  <c r="E273" i="28"/>
  <c r="K272" i="53" s="1"/>
  <c r="E274" i="28"/>
  <c r="K273" i="53" s="1"/>
  <c r="E275" i="28"/>
  <c r="K274" i="53" s="1"/>
  <c r="E276" i="28"/>
  <c r="K275" i="53" s="1"/>
  <c r="E277" i="28"/>
  <c r="K276" i="53" s="1"/>
  <c r="E278" i="28"/>
  <c r="K277" i="53" s="1"/>
  <c r="E279" i="28"/>
  <c r="K278" i="53" s="1"/>
  <c r="E280" i="28"/>
  <c r="K279" i="53" s="1"/>
  <c r="E281" i="28"/>
  <c r="K280" i="53" s="1"/>
  <c r="E282" i="28"/>
  <c r="K281" i="53" s="1"/>
  <c r="E283" i="28"/>
  <c r="K282" i="53" s="1"/>
  <c r="E284" i="28"/>
  <c r="K283" i="53" s="1"/>
  <c r="E285" i="28"/>
  <c r="K284" i="53" s="1"/>
  <c r="E286" i="28"/>
  <c r="K285" i="53" s="1"/>
  <c r="E287" i="28"/>
  <c r="K286" i="53" s="1"/>
  <c r="E288" i="28"/>
  <c r="K287" i="53" s="1"/>
  <c r="E289" i="28"/>
  <c r="K288" i="53" s="1"/>
  <c r="E290" i="28"/>
  <c r="K289" i="53" s="1"/>
  <c r="E291" i="28"/>
  <c r="K290" i="53" s="1"/>
  <c r="E292" i="28"/>
  <c r="K291" i="53" s="1"/>
  <c r="E293" i="28"/>
  <c r="K292" i="53" s="1"/>
  <c r="E294" i="28"/>
  <c r="K293" i="53" s="1"/>
  <c r="E295" i="28"/>
  <c r="K294" i="53" s="1"/>
  <c r="E296" i="28"/>
  <c r="K295" i="53" s="1"/>
  <c r="E297" i="28"/>
  <c r="K296" i="53" s="1"/>
  <c r="E298" i="28"/>
  <c r="K297" i="53" s="1"/>
  <c r="E299" i="28"/>
  <c r="K298" i="53" s="1"/>
  <c r="E300" i="28"/>
  <c r="K299" i="53" s="1"/>
  <c r="E301" i="28"/>
  <c r="K300" i="53" s="1"/>
  <c r="E302" i="28"/>
  <c r="K301" i="53" s="1"/>
  <c r="E303" i="28"/>
  <c r="K302" i="53" s="1"/>
  <c r="E304" i="28"/>
  <c r="K303" i="53" s="1"/>
  <c r="E305" i="28"/>
  <c r="K304" i="53" s="1"/>
  <c r="E306" i="28"/>
  <c r="K305" i="53" s="1"/>
  <c r="E307" i="28"/>
  <c r="K306" i="53" s="1"/>
  <c r="E308" i="28"/>
  <c r="K307" i="53" s="1"/>
  <c r="E309" i="28"/>
  <c r="K308" i="53" s="1"/>
  <c r="E310" i="28"/>
  <c r="K309" i="53" s="1"/>
  <c r="E311" i="28"/>
  <c r="K310" i="53" s="1"/>
  <c r="E312" i="28"/>
  <c r="K311" i="53" s="1"/>
  <c r="E313" i="28"/>
  <c r="K312" i="53" s="1"/>
  <c r="E314" i="28"/>
  <c r="K313" i="53" s="1"/>
  <c r="E315" i="28"/>
  <c r="K314" i="53" s="1"/>
  <c r="E316" i="28"/>
  <c r="K315" i="53" s="1"/>
  <c r="E317" i="28"/>
  <c r="K316" i="53" s="1"/>
  <c r="E318" i="28"/>
  <c r="K317" i="53" s="1"/>
  <c r="E319" i="28"/>
  <c r="K318" i="53" s="1"/>
  <c r="E320" i="28"/>
  <c r="K319" i="53" s="1"/>
  <c r="E321" i="28"/>
  <c r="K320" i="53" s="1"/>
  <c r="E322" i="28"/>
  <c r="K321" i="53" s="1"/>
  <c r="E323" i="28"/>
  <c r="K322" i="53" s="1"/>
  <c r="E324" i="28"/>
  <c r="K323" i="53" s="1"/>
  <c r="E325" i="28"/>
  <c r="K324" i="53" s="1"/>
  <c r="E326" i="28"/>
  <c r="K325" i="53" s="1"/>
  <c r="E327" i="28"/>
  <c r="K326" i="53" s="1"/>
  <c r="E328" i="28"/>
  <c r="K327" i="53" s="1"/>
  <c r="E329" i="28"/>
  <c r="K328" i="53" s="1"/>
  <c r="E330" i="28"/>
  <c r="K329" i="53" s="1"/>
  <c r="E331" i="28"/>
  <c r="K330" i="53" s="1"/>
  <c r="E332" i="28"/>
  <c r="K331" i="53" s="1"/>
  <c r="E333" i="28"/>
  <c r="K332" i="53" s="1"/>
  <c r="E334" i="28"/>
  <c r="K333" i="53" s="1"/>
  <c r="E335" i="28"/>
  <c r="K334" i="53" s="1"/>
  <c r="E336" i="28"/>
  <c r="K335" i="53" s="1"/>
  <c r="E337" i="28"/>
  <c r="K336" i="53" s="1"/>
  <c r="E338" i="28"/>
  <c r="K337" i="53" s="1"/>
  <c r="E339" i="28"/>
  <c r="K338" i="53" s="1"/>
  <c r="E340" i="28"/>
  <c r="K339" i="53" s="1"/>
  <c r="E341" i="28"/>
  <c r="K340" i="53" s="1"/>
  <c r="E342" i="28"/>
  <c r="K341" i="53" s="1"/>
  <c r="E343" i="28"/>
  <c r="K342" i="53" s="1"/>
  <c r="E344" i="28"/>
  <c r="K343" i="53" s="1"/>
  <c r="E345" i="28"/>
  <c r="K344" i="53" s="1"/>
  <c r="E346" i="28"/>
  <c r="K345" i="53" s="1"/>
  <c r="E347" i="28"/>
  <c r="K346" i="53" s="1"/>
  <c r="E348" i="28"/>
  <c r="K347" i="53" s="1"/>
  <c r="E349" i="28"/>
  <c r="K348" i="53" s="1"/>
  <c r="E350" i="28"/>
  <c r="K349" i="53" s="1"/>
  <c r="E351" i="28"/>
  <c r="K350" i="53" s="1"/>
  <c r="E352" i="28"/>
  <c r="K351" i="53" s="1"/>
  <c r="E353" i="28"/>
  <c r="K352" i="53" s="1"/>
  <c r="E354" i="28"/>
  <c r="K353" i="53" s="1"/>
  <c r="E355" i="28"/>
  <c r="K354" i="53" s="1"/>
  <c r="E356" i="28"/>
  <c r="K355" i="53" s="1"/>
  <c r="E357" i="28"/>
  <c r="K356" i="53" s="1"/>
  <c r="K357" i="53"/>
  <c r="E359" i="28"/>
  <c r="K358" i="53" s="1"/>
  <c r="E360" i="28"/>
  <c r="K359" i="53" s="1"/>
  <c r="E361" i="28"/>
  <c r="K360" i="53" s="1"/>
  <c r="E362" i="28"/>
  <c r="K361" i="53" s="1"/>
  <c r="E363" i="28"/>
  <c r="K362" i="53" s="1"/>
  <c r="E364" i="28"/>
  <c r="K363" i="53" s="1"/>
  <c r="E365" i="28"/>
  <c r="K364" i="53" s="1"/>
  <c r="E366" i="28"/>
  <c r="K365" i="53" s="1"/>
  <c r="E367" i="28"/>
  <c r="K366" i="53" s="1"/>
  <c r="K2" i="53"/>
  <c r="C4" i="28"/>
  <c r="C3" i="53" s="1"/>
  <c r="C5" i="28"/>
  <c r="C4" i="53" s="1"/>
  <c r="C6" i="28"/>
  <c r="C5" i="53" s="1"/>
  <c r="C30" i="53"/>
  <c r="C32" i="53"/>
  <c r="C33" i="53"/>
  <c r="C34" i="53"/>
  <c r="C35" i="53"/>
  <c r="C36" i="53"/>
  <c r="C37" i="53"/>
  <c r="C38" i="53"/>
  <c r="C39" i="53"/>
  <c r="C44" i="53"/>
  <c r="C45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7" i="53"/>
  <c r="C79" i="53"/>
  <c r="C80" i="53"/>
  <c r="C81" i="53"/>
  <c r="C82" i="53"/>
  <c r="C83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1" i="53"/>
  <c r="C103" i="53"/>
  <c r="C104" i="53"/>
  <c r="C105" i="53"/>
  <c r="C106" i="53"/>
  <c r="C108" i="53"/>
  <c r="C109" i="53"/>
  <c r="C110" i="53"/>
  <c r="C112" i="53"/>
  <c r="C113" i="53"/>
  <c r="C122" i="53"/>
  <c r="B122" i="53" s="1"/>
  <c r="C123" i="53"/>
  <c r="C124" i="53"/>
  <c r="C127" i="53"/>
  <c r="C140" i="53"/>
  <c r="C142" i="53"/>
  <c r="C143" i="53"/>
  <c r="C144" i="53"/>
  <c r="C145" i="53"/>
  <c r="C146" i="53"/>
  <c r="C148" i="28"/>
  <c r="C147" i="53" s="1"/>
  <c r="C148" i="53"/>
  <c r="C151" i="28"/>
  <c r="C153" i="28"/>
  <c r="C154" i="28"/>
  <c r="C153" i="53" s="1"/>
  <c r="C155" i="28"/>
  <c r="C154" i="53" s="1"/>
  <c r="C156" i="28"/>
  <c r="C155" i="53" s="1"/>
  <c r="C157" i="28"/>
  <c r="C156" i="53" s="1"/>
  <c r="C158" i="28"/>
  <c r="C157" i="53" s="1"/>
  <c r="C159" i="28"/>
  <c r="C158" i="53" s="1"/>
  <c r="C160" i="28"/>
  <c r="C159" i="53" s="1"/>
  <c r="C161" i="28"/>
  <c r="C160" i="53" s="1"/>
  <c r="C162" i="28"/>
  <c r="C161" i="53" s="1"/>
  <c r="C163" i="28"/>
  <c r="C162" i="53" s="1"/>
  <c r="C164" i="28"/>
  <c r="C163" i="53" s="1"/>
  <c r="C165" i="28"/>
  <c r="C164" i="53" s="1"/>
  <c r="C166" i="28"/>
  <c r="C165" i="53" s="1"/>
  <c r="C167" i="28"/>
  <c r="C166" i="53" s="1"/>
  <c r="C168" i="28"/>
  <c r="C167" i="53" s="1"/>
  <c r="C169" i="28"/>
  <c r="C168" i="53" s="1"/>
  <c r="C170" i="28"/>
  <c r="C169" i="53" s="1"/>
  <c r="C171" i="28"/>
  <c r="C170" i="53" s="1"/>
  <c r="C172" i="28"/>
  <c r="C171" i="53" s="1"/>
  <c r="C173" i="28"/>
  <c r="C172" i="53" s="1"/>
  <c r="C174" i="28"/>
  <c r="C173" i="53" s="1"/>
  <c r="C175" i="28"/>
  <c r="C174" i="53" s="1"/>
  <c r="C176" i="28"/>
  <c r="C175" i="53" s="1"/>
  <c r="C177" i="28"/>
  <c r="C176" i="53" s="1"/>
  <c r="C178" i="28"/>
  <c r="C177" i="53" s="1"/>
  <c r="C179" i="28"/>
  <c r="C178" i="53" s="1"/>
  <c r="C180" i="28"/>
  <c r="C179" i="53" s="1"/>
  <c r="C181" i="28"/>
  <c r="C180" i="53" s="1"/>
  <c r="C182" i="28"/>
  <c r="C181" i="53" s="1"/>
  <c r="C183" i="28"/>
  <c r="C182" i="53" s="1"/>
  <c r="C184" i="28"/>
  <c r="C183" i="53" s="1"/>
  <c r="C185" i="28"/>
  <c r="C184" i="53" s="1"/>
  <c r="C186" i="28"/>
  <c r="C185" i="53" s="1"/>
  <c r="C187" i="28"/>
  <c r="C186" i="53" s="1"/>
  <c r="C188" i="28"/>
  <c r="C187" i="53" s="1"/>
  <c r="C189" i="28"/>
  <c r="C188" i="53" s="1"/>
  <c r="C190" i="28"/>
  <c r="C189" i="53" s="1"/>
  <c r="C191" i="28"/>
  <c r="C190" i="53" s="1"/>
  <c r="C192" i="28"/>
  <c r="C191" i="53" s="1"/>
  <c r="C193" i="28"/>
  <c r="C192" i="53" s="1"/>
  <c r="C194" i="28"/>
  <c r="C193" i="53" s="1"/>
  <c r="C195" i="28"/>
  <c r="C194" i="53" s="1"/>
  <c r="C196" i="28"/>
  <c r="C195" i="53" s="1"/>
  <c r="C197" i="28"/>
  <c r="C196" i="53" s="1"/>
  <c r="C198" i="28"/>
  <c r="C197" i="53" s="1"/>
  <c r="C199" i="28"/>
  <c r="C198" i="53" s="1"/>
  <c r="C200" i="28"/>
  <c r="C199" i="53" s="1"/>
  <c r="C201" i="28"/>
  <c r="C200" i="53" s="1"/>
  <c r="C202" i="28"/>
  <c r="C201" i="53" s="1"/>
  <c r="C203" i="28"/>
  <c r="C202" i="53" s="1"/>
  <c r="C204" i="28"/>
  <c r="C203" i="53" s="1"/>
  <c r="C205" i="28"/>
  <c r="C204" i="53" s="1"/>
  <c r="C206" i="28"/>
  <c r="C205" i="53" s="1"/>
  <c r="C207" i="28"/>
  <c r="C206" i="53" s="1"/>
  <c r="C208" i="28"/>
  <c r="C207" i="53" s="1"/>
  <c r="C209" i="28"/>
  <c r="C208" i="53" s="1"/>
  <c r="C210" i="28"/>
  <c r="C209" i="53" s="1"/>
  <c r="C211" i="28"/>
  <c r="C210" i="53" s="1"/>
  <c r="C212" i="28"/>
  <c r="C211" i="53" s="1"/>
  <c r="C213" i="28"/>
  <c r="C212" i="53" s="1"/>
  <c r="C214" i="28"/>
  <c r="C213" i="53" s="1"/>
  <c r="C215" i="28"/>
  <c r="C214" i="53" s="1"/>
  <c r="C216" i="28"/>
  <c r="C215" i="53" s="1"/>
  <c r="C217" i="28"/>
  <c r="C216" i="53" s="1"/>
  <c r="C218" i="28"/>
  <c r="C217" i="53" s="1"/>
  <c r="C219" i="28"/>
  <c r="C218" i="53" s="1"/>
  <c r="C220" i="28"/>
  <c r="C219" i="53" s="1"/>
  <c r="C221" i="28"/>
  <c r="C220" i="53" s="1"/>
  <c r="C222" i="28"/>
  <c r="C221" i="53" s="1"/>
  <c r="C223" i="28"/>
  <c r="C222" i="53" s="1"/>
  <c r="C224" i="28"/>
  <c r="C223" i="53" s="1"/>
  <c r="C225" i="28"/>
  <c r="C224" i="53" s="1"/>
  <c r="C226" i="28"/>
  <c r="C225" i="53" s="1"/>
  <c r="C227" i="28"/>
  <c r="C226" i="53" s="1"/>
  <c r="C228" i="28"/>
  <c r="C227" i="53" s="1"/>
  <c r="C229" i="28"/>
  <c r="C228" i="53" s="1"/>
  <c r="C230" i="28"/>
  <c r="C229" i="53" s="1"/>
  <c r="C231" i="28"/>
  <c r="C230" i="53" s="1"/>
  <c r="C232" i="28"/>
  <c r="C231" i="53" s="1"/>
  <c r="C233" i="28"/>
  <c r="C232" i="53" s="1"/>
  <c r="C234" i="28"/>
  <c r="C233" i="53" s="1"/>
  <c r="C235" i="28"/>
  <c r="C234" i="53" s="1"/>
  <c r="C236" i="28"/>
  <c r="C235" i="53" s="1"/>
  <c r="C237" i="28"/>
  <c r="C236" i="53" s="1"/>
  <c r="C238" i="28"/>
  <c r="C237" i="53" s="1"/>
  <c r="C239" i="28"/>
  <c r="C238" i="53" s="1"/>
  <c r="C240" i="28"/>
  <c r="C239" i="53" s="1"/>
  <c r="C241" i="28"/>
  <c r="C240" i="53" s="1"/>
  <c r="C242" i="28"/>
  <c r="C241" i="53" s="1"/>
  <c r="C243" i="28"/>
  <c r="C242" i="53" s="1"/>
  <c r="C244" i="28"/>
  <c r="C243" i="53" s="1"/>
  <c r="C245" i="28"/>
  <c r="C244" i="53" s="1"/>
  <c r="C246" i="28"/>
  <c r="C245" i="53" s="1"/>
  <c r="C247" i="28"/>
  <c r="C246" i="53" s="1"/>
  <c r="C248" i="28"/>
  <c r="C247" i="53" s="1"/>
  <c r="C249" i="28"/>
  <c r="C248" i="53" s="1"/>
  <c r="C250" i="28"/>
  <c r="C249" i="53" s="1"/>
  <c r="C251" i="28"/>
  <c r="C250" i="53" s="1"/>
  <c r="C252" i="28"/>
  <c r="C251" i="53" s="1"/>
  <c r="C253" i="28"/>
  <c r="C252" i="53" s="1"/>
  <c r="C254" i="28"/>
  <c r="C253" i="53" s="1"/>
  <c r="C255" i="28"/>
  <c r="C254" i="53" s="1"/>
  <c r="C256" i="28"/>
  <c r="C255" i="53" s="1"/>
  <c r="C257" i="28"/>
  <c r="C256" i="53" s="1"/>
  <c r="C258" i="28"/>
  <c r="C257" i="53" s="1"/>
  <c r="C259" i="28"/>
  <c r="C258" i="53" s="1"/>
  <c r="C260" i="28"/>
  <c r="C259" i="53" s="1"/>
  <c r="C261" i="28"/>
  <c r="C260" i="53" s="1"/>
  <c r="C262" i="28"/>
  <c r="C261" i="53" s="1"/>
  <c r="C263" i="28"/>
  <c r="C262" i="53" s="1"/>
  <c r="C264" i="28"/>
  <c r="C263" i="53" s="1"/>
  <c r="C265" i="28"/>
  <c r="C264" i="53" s="1"/>
  <c r="C266" i="28"/>
  <c r="C265" i="53" s="1"/>
  <c r="C267" i="28"/>
  <c r="C266" i="53" s="1"/>
  <c r="C268" i="28"/>
  <c r="C267" i="53" s="1"/>
  <c r="C269" i="28"/>
  <c r="C268" i="53" s="1"/>
  <c r="C270" i="28"/>
  <c r="C269" i="53" s="1"/>
  <c r="C271" i="28"/>
  <c r="C270" i="53" s="1"/>
  <c r="C272" i="28"/>
  <c r="C271" i="53" s="1"/>
  <c r="C273" i="28"/>
  <c r="C272" i="53" s="1"/>
  <c r="C274" i="28"/>
  <c r="C273" i="53" s="1"/>
  <c r="C275" i="28"/>
  <c r="C274" i="53" s="1"/>
  <c r="C276" i="28"/>
  <c r="C275" i="53" s="1"/>
  <c r="C277" i="28"/>
  <c r="C276" i="53" s="1"/>
  <c r="C278" i="28"/>
  <c r="C277" i="53" s="1"/>
  <c r="C279" i="28"/>
  <c r="C278" i="53" s="1"/>
  <c r="C280" i="28"/>
  <c r="C279" i="53" s="1"/>
  <c r="C281" i="28"/>
  <c r="C280" i="53" s="1"/>
  <c r="C282" i="28"/>
  <c r="C281" i="53" s="1"/>
  <c r="C283" i="28"/>
  <c r="C282" i="53" s="1"/>
  <c r="C284" i="28"/>
  <c r="C283" i="53" s="1"/>
  <c r="C285" i="28"/>
  <c r="C284" i="53" s="1"/>
  <c r="C286" i="28"/>
  <c r="C285" i="53" s="1"/>
  <c r="C287" i="28"/>
  <c r="C286" i="53" s="1"/>
  <c r="C288" i="28"/>
  <c r="C287" i="53" s="1"/>
  <c r="C289" i="28"/>
  <c r="C288" i="53" s="1"/>
  <c r="C290" i="28"/>
  <c r="C289" i="53" s="1"/>
  <c r="C291" i="28"/>
  <c r="C290" i="53" s="1"/>
  <c r="C292" i="28"/>
  <c r="C291" i="53" s="1"/>
  <c r="C293" i="28"/>
  <c r="C292" i="53" s="1"/>
  <c r="C294" i="28"/>
  <c r="C293" i="53" s="1"/>
  <c r="C295" i="28"/>
  <c r="C294" i="53" s="1"/>
  <c r="C296" i="28"/>
  <c r="C295" i="53" s="1"/>
  <c r="C297" i="28"/>
  <c r="C296" i="53" s="1"/>
  <c r="C298" i="28"/>
  <c r="C297" i="53" s="1"/>
  <c r="C299" i="28"/>
  <c r="C298" i="53" s="1"/>
  <c r="C300" i="28"/>
  <c r="C299" i="53" s="1"/>
  <c r="C301" i="28"/>
  <c r="C300" i="53" s="1"/>
  <c r="C302" i="28"/>
  <c r="C301" i="53" s="1"/>
  <c r="C303" i="28"/>
  <c r="C302" i="53" s="1"/>
  <c r="C304" i="28"/>
  <c r="C303" i="53" s="1"/>
  <c r="C305" i="28"/>
  <c r="C304" i="53" s="1"/>
  <c r="C306" i="28"/>
  <c r="C305" i="53" s="1"/>
  <c r="C307" i="28"/>
  <c r="C306" i="53" s="1"/>
  <c r="C308" i="28"/>
  <c r="C307" i="53" s="1"/>
  <c r="C309" i="28"/>
  <c r="C308" i="53" s="1"/>
  <c r="C310" i="28"/>
  <c r="C309" i="53" s="1"/>
  <c r="C311" i="28"/>
  <c r="C310" i="53" s="1"/>
  <c r="C312" i="28"/>
  <c r="C311" i="53" s="1"/>
  <c r="C313" i="28"/>
  <c r="C312" i="53" s="1"/>
  <c r="C314" i="28"/>
  <c r="C313" i="53" s="1"/>
  <c r="C315" i="28"/>
  <c r="C314" i="53" s="1"/>
  <c r="C316" i="28"/>
  <c r="C315" i="53" s="1"/>
  <c r="C317" i="28"/>
  <c r="C316" i="53" s="1"/>
  <c r="C318" i="28"/>
  <c r="C317" i="53" s="1"/>
  <c r="C319" i="28"/>
  <c r="C318" i="53" s="1"/>
  <c r="C320" i="28"/>
  <c r="C319" i="53" s="1"/>
  <c r="C321" i="28"/>
  <c r="C320" i="53" s="1"/>
  <c r="C322" i="28"/>
  <c r="C321" i="53" s="1"/>
  <c r="C323" i="28"/>
  <c r="C322" i="53" s="1"/>
  <c r="C324" i="28"/>
  <c r="C323" i="53" s="1"/>
  <c r="C325" i="28"/>
  <c r="C324" i="53" s="1"/>
  <c r="C326" i="28"/>
  <c r="C325" i="53" s="1"/>
  <c r="C327" i="28"/>
  <c r="C326" i="53" s="1"/>
  <c r="C328" i="28"/>
  <c r="C327" i="53" s="1"/>
  <c r="C329" i="28"/>
  <c r="C328" i="53" s="1"/>
  <c r="C330" i="28"/>
  <c r="C329" i="53" s="1"/>
  <c r="C331" i="28"/>
  <c r="C330" i="53" s="1"/>
  <c r="C332" i="28"/>
  <c r="C331" i="53" s="1"/>
  <c r="C333" i="28"/>
  <c r="C332" i="53" s="1"/>
  <c r="C334" i="28"/>
  <c r="C333" i="53" s="1"/>
  <c r="C335" i="28"/>
  <c r="C334" i="53" s="1"/>
  <c r="C336" i="28"/>
  <c r="C335" i="53" s="1"/>
  <c r="C337" i="28"/>
  <c r="C336" i="53" s="1"/>
  <c r="C338" i="28"/>
  <c r="C337" i="53" s="1"/>
  <c r="C339" i="28"/>
  <c r="C338" i="53" s="1"/>
  <c r="C340" i="28"/>
  <c r="C339" i="53" s="1"/>
  <c r="C341" i="28"/>
  <c r="C340" i="53" s="1"/>
  <c r="C342" i="28"/>
  <c r="C341" i="53" s="1"/>
  <c r="C343" i="28"/>
  <c r="C342" i="53" s="1"/>
  <c r="C344" i="28"/>
  <c r="C343" i="53" s="1"/>
  <c r="C345" i="28"/>
  <c r="C344" i="53" s="1"/>
  <c r="C346" i="28"/>
  <c r="C345" i="53" s="1"/>
  <c r="C347" i="28"/>
  <c r="C346" i="53" s="1"/>
  <c r="C348" i="28"/>
  <c r="C347" i="53" s="1"/>
  <c r="C349" i="28"/>
  <c r="C348" i="53" s="1"/>
  <c r="C350" i="28"/>
  <c r="C349" i="53" s="1"/>
  <c r="C351" i="28"/>
  <c r="C350" i="53" s="1"/>
  <c r="C352" i="28"/>
  <c r="C351" i="53" s="1"/>
  <c r="C353" i="28"/>
  <c r="C352" i="53" s="1"/>
  <c r="C354" i="28"/>
  <c r="C353" i="53" s="1"/>
  <c r="C355" i="28"/>
  <c r="C354" i="53" s="1"/>
  <c r="C356" i="28"/>
  <c r="C355" i="53" s="1"/>
  <c r="C357" i="28"/>
  <c r="C356" i="53" s="1"/>
  <c r="C358" i="28"/>
  <c r="C357" i="53" s="1"/>
  <c r="C359" i="28"/>
  <c r="C358" i="53" s="1"/>
  <c r="C360" i="28"/>
  <c r="C359" i="53" s="1"/>
  <c r="C361" i="28"/>
  <c r="C360" i="53" s="1"/>
  <c r="C362" i="28"/>
  <c r="C361" i="53" s="1"/>
  <c r="C363" i="28"/>
  <c r="C362" i="53" s="1"/>
  <c r="C364" i="28"/>
  <c r="C363" i="53" s="1"/>
  <c r="C365" i="28"/>
  <c r="C364" i="53" s="1"/>
  <c r="C366" i="28"/>
  <c r="C365" i="53" s="1"/>
  <c r="C367" i="28"/>
  <c r="C366" i="53" s="1"/>
  <c r="C3" i="28"/>
  <c r="BS55" i="53" l="1"/>
  <c r="BN55" i="53"/>
  <c r="AA152" i="53"/>
  <c r="AE152" i="53" s="1"/>
  <c r="BO152" i="53"/>
  <c r="BN152" i="53" s="1"/>
  <c r="K152" i="53"/>
  <c r="O152" i="53" s="1"/>
  <c r="AQ152" i="53"/>
  <c r="AU152" i="53" s="1"/>
  <c r="AI152" i="53"/>
  <c r="AM152" i="53" s="1"/>
  <c r="AY152" i="53"/>
  <c r="AX152" i="53" s="1"/>
  <c r="C152" i="53"/>
  <c r="B152" i="53" s="1"/>
  <c r="BG152" i="53"/>
  <c r="BF152" i="53" s="1"/>
  <c r="S152" i="53"/>
  <c r="W152" i="53" s="1"/>
  <c r="BW152" i="53"/>
  <c r="BW151" i="53"/>
  <c r="CA151" i="53" s="1"/>
  <c r="BO151" i="53"/>
  <c r="BN151" i="53" s="1"/>
  <c r="BG151" i="53"/>
  <c r="BK151" i="53" s="1"/>
  <c r="AY151" i="53"/>
  <c r="AX151" i="53" s="1"/>
  <c r="AQ151" i="53"/>
  <c r="AP151" i="53" s="1"/>
  <c r="AI151" i="53"/>
  <c r="AM151" i="53" s="1"/>
  <c r="AA151" i="53"/>
  <c r="AE151" i="53" s="1"/>
  <c r="S151" i="53"/>
  <c r="R151" i="53" s="1"/>
  <c r="K151" i="53"/>
  <c r="J151" i="53" s="1"/>
  <c r="C151" i="53"/>
  <c r="G151" i="53" s="1"/>
  <c r="S150" i="53"/>
  <c r="W150" i="53" s="1"/>
  <c r="AI150" i="53"/>
  <c r="AM150" i="53" s="1"/>
  <c r="BW150" i="53"/>
  <c r="BV150" i="53" s="1"/>
  <c r="C150" i="53"/>
  <c r="G150" i="53" s="1"/>
  <c r="AY150" i="53"/>
  <c r="AX150" i="53" s="1"/>
  <c r="BO150" i="53"/>
  <c r="K150" i="53"/>
  <c r="O150" i="53" s="1"/>
  <c r="AA150" i="53"/>
  <c r="Z150" i="53" s="1"/>
  <c r="AQ150" i="53"/>
  <c r="AP150" i="53" s="1"/>
  <c r="BG150" i="53"/>
  <c r="BK150" i="53" s="1"/>
  <c r="S149" i="53"/>
  <c r="W149" i="53" s="1"/>
  <c r="BO149" i="53"/>
  <c r="BN149" i="53" s="1"/>
  <c r="BG149" i="53"/>
  <c r="BK149" i="53" s="1"/>
  <c r="AI149" i="53"/>
  <c r="AM149" i="53" s="1"/>
  <c r="BW149" i="53"/>
  <c r="BV149" i="53" s="1"/>
  <c r="K149" i="53"/>
  <c r="O149" i="53" s="1"/>
  <c r="AQ149" i="53"/>
  <c r="AP149" i="53" s="1"/>
  <c r="C149" i="53"/>
  <c r="G149" i="53" s="1"/>
  <c r="AA149" i="53"/>
  <c r="Z149" i="53" s="1"/>
  <c r="AY149" i="53"/>
  <c r="AX149" i="53" s="1"/>
  <c r="S141" i="53"/>
  <c r="W141" i="53" s="1"/>
  <c r="K141" i="53"/>
  <c r="J141" i="53" s="1"/>
  <c r="AQ141" i="53"/>
  <c r="AU141" i="53" s="1"/>
  <c r="AY141" i="53"/>
  <c r="AX141" i="53" s="1"/>
  <c r="AI141" i="53"/>
  <c r="AH141" i="53" s="1"/>
  <c r="C141" i="53"/>
  <c r="G141" i="53" s="1"/>
  <c r="AA141" i="53"/>
  <c r="AE141" i="53" s="1"/>
  <c r="BG141" i="53"/>
  <c r="BF141" i="53" s="1"/>
  <c r="BO141" i="53"/>
  <c r="BW141" i="53"/>
  <c r="BV141" i="53" s="1"/>
  <c r="AQ139" i="53"/>
  <c r="AP139" i="53" s="1"/>
  <c r="BW139" i="53"/>
  <c r="CA139" i="53" s="1"/>
  <c r="AI139" i="53"/>
  <c r="AM139" i="53" s="1"/>
  <c r="AY139" i="53"/>
  <c r="AX139" i="53" s="1"/>
  <c r="AA139" i="53"/>
  <c r="Z139" i="53" s="1"/>
  <c r="S139" i="53"/>
  <c r="W139" i="53" s="1"/>
  <c r="K139" i="53"/>
  <c r="O139" i="53" s="1"/>
  <c r="BG139" i="53"/>
  <c r="BK139" i="53" s="1"/>
  <c r="C139" i="53"/>
  <c r="B139" i="53" s="1"/>
  <c r="BO139" i="53"/>
  <c r="BN139" i="53" s="1"/>
  <c r="BW138" i="53"/>
  <c r="BV138" i="53" s="1"/>
  <c r="K138" i="53"/>
  <c r="J138" i="53" s="1"/>
  <c r="S138" i="53"/>
  <c r="W138" i="53" s="1"/>
  <c r="AA138" i="53"/>
  <c r="Z138" i="53" s="1"/>
  <c r="AI138" i="53"/>
  <c r="AH138" i="53" s="1"/>
  <c r="AQ138" i="53"/>
  <c r="AP138" i="53" s="1"/>
  <c r="BG138" i="53"/>
  <c r="BF138" i="53" s="1"/>
  <c r="C138" i="53"/>
  <c r="B138" i="53" s="1"/>
  <c r="AY138" i="53"/>
  <c r="BC138" i="53" s="1"/>
  <c r="BO138" i="53"/>
  <c r="BN138" i="53" s="1"/>
  <c r="AQ137" i="53"/>
  <c r="AU137" i="53" s="1"/>
  <c r="BW137" i="53"/>
  <c r="CA137" i="53" s="1"/>
  <c r="AY137" i="53"/>
  <c r="BC137" i="53" s="1"/>
  <c r="S137" i="53"/>
  <c r="R137" i="53" s="1"/>
  <c r="BO137" i="53"/>
  <c r="K137" i="53"/>
  <c r="O137" i="53" s="1"/>
  <c r="AA137" i="53"/>
  <c r="Z137" i="53" s="1"/>
  <c r="BG137" i="53"/>
  <c r="BF137" i="53" s="1"/>
  <c r="C137" i="53"/>
  <c r="B137" i="53" s="1"/>
  <c r="AI137" i="53"/>
  <c r="AM137" i="53" s="1"/>
  <c r="AY136" i="53"/>
  <c r="BC136" i="53" s="1"/>
  <c r="BG136" i="53"/>
  <c r="BK136" i="53" s="1"/>
  <c r="BW136" i="53"/>
  <c r="BV136" i="53" s="1"/>
  <c r="AA136" i="53"/>
  <c r="AE136" i="53" s="1"/>
  <c r="AI136" i="53"/>
  <c r="AM136" i="53" s="1"/>
  <c r="C136" i="53"/>
  <c r="G136" i="53" s="1"/>
  <c r="K136" i="53"/>
  <c r="J136" i="53" s="1"/>
  <c r="AQ136" i="53"/>
  <c r="AP136" i="53" s="1"/>
  <c r="BO136" i="53"/>
  <c r="BN136" i="53" s="1"/>
  <c r="S136" i="53"/>
  <c r="W136" i="53" s="1"/>
  <c r="BW135" i="53"/>
  <c r="CA135" i="53" s="1"/>
  <c r="C135" i="53"/>
  <c r="G135" i="53" s="1"/>
  <c r="AA135" i="53"/>
  <c r="AE135" i="53" s="1"/>
  <c r="BO135" i="53"/>
  <c r="K135" i="53"/>
  <c r="O135" i="53" s="1"/>
  <c r="AI135" i="53"/>
  <c r="AM135" i="53" s="1"/>
  <c r="AY135" i="53"/>
  <c r="BC135" i="53" s="1"/>
  <c r="BG135" i="53"/>
  <c r="BF135" i="53" s="1"/>
  <c r="AQ135" i="53"/>
  <c r="AU135" i="53" s="1"/>
  <c r="S135" i="53"/>
  <c r="R135" i="53" s="1"/>
  <c r="S134" i="53"/>
  <c r="W134" i="53" s="1"/>
  <c r="AI134" i="53"/>
  <c r="AM134" i="53" s="1"/>
  <c r="BW134" i="53"/>
  <c r="CA134" i="53" s="1"/>
  <c r="C134" i="53"/>
  <c r="G134" i="53" s="1"/>
  <c r="AY134" i="53"/>
  <c r="BC134" i="53" s="1"/>
  <c r="BO134" i="53"/>
  <c r="K134" i="53"/>
  <c r="O134" i="53" s="1"/>
  <c r="AA134" i="53"/>
  <c r="AE134" i="53" s="1"/>
  <c r="AQ134" i="53"/>
  <c r="AP134" i="53" s="1"/>
  <c r="BG134" i="53"/>
  <c r="BF134" i="53" s="1"/>
  <c r="AQ133" i="53"/>
  <c r="AU133" i="53" s="1"/>
  <c r="BW133" i="53"/>
  <c r="BV133" i="53" s="1"/>
  <c r="BG133" i="53"/>
  <c r="AI133" i="53"/>
  <c r="AM133" i="53" s="1"/>
  <c r="S133" i="53"/>
  <c r="W133" i="53" s="1"/>
  <c r="BO133" i="53"/>
  <c r="BN133" i="53" s="1"/>
  <c r="K133" i="53"/>
  <c r="O133" i="53" s="1"/>
  <c r="C133" i="53"/>
  <c r="G133" i="53" s="1"/>
  <c r="AA133" i="53"/>
  <c r="Z133" i="53" s="1"/>
  <c r="AY133" i="53"/>
  <c r="BC133" i="53" s="1"/>
  <c r="AA132" i="53"/>
  <c r="Z132" i="53" s="1"/>
  <c r="BG132" i="53"/>
  <c r="BF132" i="53" s="1"/>
  <c r="BO132" i="53"/>
  <c r="BN132" i="53" s="1"/>
  <c r="BW132" i="53"/>
  <c r="BV132" i="53" s="1"/>
  <c r="S132" i="53"/>
  <c r="W132" i="53" s="1"/>
  <c r="K132" i="53"/>
  <c r="O132" i="53" s="1"/>
  <c r="AQ132" i="53"/>
  <c r="AP132" i="53" s="1"/>
  <c r="AY132" i="53"/>
  <c r="BC132" i="53" s="1"/>
  <c r="AI132" i="53"/>
  <c r="AH132" i="53" s="1"/>
  <c r="C132" i="53"/>
  <c r="G132" i="53" s="1"/>
  <c r="AQ131" i="53"/>
  <c r="AP131" i="53" s="1"/>
  <c r="BW131" i="53"/>
  <c r="CA131" i="53" s="1"/>
  <c r="AI131" i="53"/>
  <c r="AM131" i="53" s="1"/>
  <c r="AY131" i="53"/>
  <c r="AX131" i="53" s="1"/>
  <c r="S131" i="53"/>
  <c r="W131" i="53" s="1"/>
  <c r="AA131" i="53"/>
  <c r="AE131" i="53" s="1"/>
  <c r="K131" i="53"/>
  <c r="O131" i="53" s="1"/>
  <c r="C131" i="53"/>
  <c r="B131" i="53" s="1"/>
  <c r="BG131" i="53"/>
  <c r="BK131" i="53" s="1"/>
  <c r="BO131" i="53"/>
  <c r="BW130" i="53"/>
  <c r="BV130" i="53" s="1"/>
  <c r="K130" i="53"/>
  <c r="O130" i="53" s="1"/>
  <c r="S130" i="53"/>
  <c r="R130" i="53" s="1"/>
  <c r="AA130" i="53"/>
  <c r="Z130" i="53" s="1"/>
  <c r="AI130" i="53"/>
  <c r="AH130" i="53" s="1"/>
  <c r="AQ130" i="53"/>
  <c r="AU130" i="53" s="1"/>
  <c r="BG130" i="53"/>
  <c r="BK130" i="53" s="1"/>
  <c r="C130" i="53"/>
  <c r="B130" i="53" s="1"/>
  <c r="AY130" i="53"/>
  <c r="BC130" i="53" s="1"/>
  <c r="BO130" i="53"/>
  <c r="AQ129" i="53"/>
  <c r="AP129" i="53" s="1"/>
  <c r="BW129" i="53"/>
  <c r="BV129" i="53" s="1"/>
  <c r="BG129" i="53"/>
  <c r="AY129" i="53"/>
  <c r="AX129" i="53" s="1"/>
  <c r="C129" i="53"/>
  <c r="G129" i="53" s="1"/>
  <c r="K129" i="53"/>
  <c r="J129" i="53" s="1"/>
  <c r="S129" i="53"/>
  <c r="R129" i="53" s="1"/>
  <c r="BO129" i="53"/>
  <c r="BN129" i="53" s="1"/>
  <c r="AA129" i="53"/>
  <c r="AE129" i="53" s="1"/>
  <c r="AI129" i="53"/>
  <c r="AH129" i="53" s="1"/>
  <c r="BW128" i="53"/>
  <c r="CA128" i="53" s="1"/>
  <c r="AI128" i="53"/>
  <c r="AM128" i="53" s="1"/>
  <c r="C128" i="53"/>
  <c r="B128" i="53" s="1"/>
  <c r="AA128" i="53"/>
  <c r="Z128" i="53" s="1"/>
  <c r="K128" i="53"/>
  <c r="O128" i="53" s="1"/>
  <c r="AQ128" i="53"/>
  <c r="AU128" i="53" s="1"/>
  <c r="BO128" i="53"/>
  <c r="BN128" i="53" s="1"/>
  <c r="BG128" i="53"/>
  <c r="BF128" i="53" s="1"/>
  <c r="AY128" i="53"/>
  <c r="BC128" i="53" s="1"/>
  <c r="S128" i="53"/>
  <c r="W128" i="53" s="1"/>
  <c r="AA126" i="53"/>
  <c r="Z126" i="53" s="1"/>
  <c r="C126" i="53"/>
  <c r="G126" i="53" s="1"/>
  <c r="AI126" i="53"/>
  <c r="AM126" i="53" s="1"/>
  <c r="S126" i="53"/>
  <c r="W126" i="53" s="1"/>
  <c r="K126" i="53"/>
  <c r="O126" i="53" s="1"/>
  <c r="S125" i="53"/>
  <c r="W125" i="53" s="1"/>
  <c r="AI125" i="53"/>
  <c r="AH125" i="53" s="1"/>
  <c r="C125" i="53"/>
  <c r="G125" i="53" s="1"/>
  <c r="K125" i="53"/>
  <c r="O125" i="53" s="1"/>
  <c r="AA125" i="53"/>
  <c r="AE125" i="53" s="1"/>
  <c r="AA121" i="53"/>
  <c r="AE121" i="53" s="1"/>
  <c r="C121" i="53"/>
  <c r="G121" i="53" s="1"/>
  <c r="AI121" i="53"/>
  <c r="AH121" i="53" s="1"/>
  <c r="BO121" i="53"/>
  <c r="AY121" i="53"/>
  <c r="BC121" i="53" s="1"/>
  <c r="K121" i="53"/>
  <c r="O121" i="53" s="1"/>
  <c r="BG121" i="53"/>
  <c r="BF121" i="53" s="1"/>
  <c r="AQ121" i="53"/>
  <c r="AP121" i="53" s="1"/>
  <c r="BW121" i="53"/>
  <c r="BV121" i="53" s="1"/>
  <c r="S121" i="53"/>
  <c r="R121" i="53" s="1"/>
  <c r="S120" i="53"/>
  <c r="W120" i="53" s="1"/>
  <c r="AY120" i="53"/>
  <c r="BC120" i="53" s="1"/>
  <c r="BO120" i="53"/>
  <c r="BN120" i="53" s="1"/>
  <c r="K120" i="53"/>
  <c r="O120" i="53" s="1"/>
  <c r="AQ120" i="53"/>
  <c r="AU120" i="53" s="1"/>
  <c r="BG120" i="53"/>
  <c r="BK120" i="53" s="1"/>
  <c r="AI120" i="53"/>
  <c r="AM120" i="53" s="1"/>
  <c r="C120" i="53"/>
  <c r="B120" i="53" s="1"/>
  <c r="AA120" i="53"/>
  <c r="AE120" i="53" s="1"/>
  <c r="BW120" i="53"/>
  <c r="BV120" i="53" s="1"/>
  <c r="AA119" i="53"/>
  <c r="AE119" i="53" s="1"/>
  <c r="BG119" i="53"/>
  <c r="BF119" i="53" s="1"/>
  <c r="S119" i="53"/>
  <c r="W119" i="53" s="1"/>
  <c r="K119" i="53"/>
  <c r="O119" i="53" s="1"/>
  <c r="C119" i="53"/>
  <c r="G119" i="53" s="1"/>
  <c r="AY119" i="53"/>
  <c r="BC119" i="53" s="1"/>
  <c r="AQ119" i="53"/>
  <c r="AU119" i="53" s="1"/>
  <c r="BW119" i="53"/>
  <c r="BV119" i="53" s="1"/>
  <c r="AI119" i="53"/>
  <c r="AM119" i="53" s="1"/>
  <c r="BO119" i="53"/>
  <c r="K118" i="53"/>
  <c r="J118" i="53" s="1"/>
  <c r="S118" i="53"/>
  <c r="W118" i="53" s="1"/>
  <c r="AA118" i="53"/>
  <c r="Z118" i="53" s="1"/>
  <c r="AI118" i="53"/>
  <c r="AH118" i="53" s="1"/>
  <c r="AQ118" i="53"/>
  <c r="AU118" i="53" s="1"/>
  <c r="AY118" i="53"/>
  <c r="BC118" i="53" s="1"/>
  <c r="C118" i="53"/>
  <c r="G118" i="53" s="1"/>
  <c r="BG118" i="53"/>
  <c r="BK118" i="53" s="1"/>
  <c r="BO118" i="53"/>
  <c r="BN118" i="53" s="1"/>
  <c r="BW118" i="53"/>
  <c r="BV118" i="53" s="1"/>
  <c r="S117" i="53"/>
  <c r="W117" i="53" s="1"/>
  <c r="K117" i="53"/>
  <c r="O117" i="53" s="1"/>
  <c r="AA117" i="53"/>
  <c r="Z117" i="53" s="1"/>
  <c r="BG117" i="53"/>
  <c r="BK117" i="53" s="1"/>
  <c r="C117" i="53"/>
  <c r="G117" i="53" s="1"/>
  <c r="AI117" i="53"/>
  <c r="AM117" i="53" s="1"/>
  <c r="BO117" i="53"/>
  <c r="AQ117" i="53"/>
  <c r="AU117" i="53" s="1"/>
  <c r="BW117" i="53"/>
  <c r="BV117" i="53" s="1"/>
  <c r="AY117" i="53"/>
  <c r="BC117" i="53" s="1"/>
  <c r="C116" i="53"/>
  <c r="B116" i="53" s="1"/>
  <c r="AQ116" i="53"/>
  <c r="AU116" i="53" s="1"/>
  <c r="BG116" i="53"/>
  <c r="BK116" i="53" s="1"/>
  <c r="K116" i="53"/>
  <c r="J116" i="53" s="1"/>
  <c r="S116" i="53"/>
  <c r="W116" i="53" s="1"/>
  <c r="AY116" i="53"/>
  <c r="BC116" i="53" s="1"/>
  <c r="BO116" i="53"/>
  <c r="BN116" i="53" s="1"/>
  <c r="AI116" i="53"/>
  <c r="AH116" i="53" s="1"/>
  <c r="AA116" i="53"/>
  <c r="Z116" i="53" s="1"/>
  <c r="BW116" i="53"/>
  <c r="CA116" i="53" s="1"/>
  <c r="AA115" i="53"/>
  <c r="Z115" i="53" s="1"/>
  <c r="BG115" i="53"/>
  <c r="BF115" i="53" s="1"/>
  <c r="AY115" i="53"/>
  <c r="AX115" i="53" s="1"/>
  <c r="C115" i="53"/>
  <c r="G115" i="53" s="1"/>
  <c r="K115" i="53"/>
  <c r="O115" i="53" s="1"/>
  <c r="AI115" i="53"/>
  <c r="AM115" i="53" s="1"/>
  <c r="BO115" i="53"/>
  <c r="S115" i="53"/>
  <c r="W115" i="53" s="1"/>
  <c r="AQ115" i="53"/>
  <c r="AU115" i="53" s="1"/>
  <c r="BW115" i="53"/>
  <c r="CA115" i="53" s="1"/>
  <c r="K114" i="53"/>
  <c r="J114" i="53" s="1"/>
  <c r="BO114" i="53"/>
  <c r="AQ114" i="53"/>
  <c r="AU114" i="53" s="1"/>
  <c r="AA114" i="53"/>
  <c r="Z114" i="53" s="1"/>
  <c r="S114" i="53"/>
  <c r="R114" i="53" s="1"/>
  <c r="AI114" i="53"/>
  <c r="AH114" i="53" s="1"/>
  <c r="AY114" i="53"/>
  <c r="BC114" i="53" s="1"/>
  <c r="BG114" i="53"/>
  <c r="BK114" i="53" s="1"/>
  <c r="BW114" i="53"/>
  <c r="CA114" i="53" s="1"/>
  <c r="C114" i="53"/>
  <c r="G114" i="53" s="1"/>
  <c r="S111" i="53"/>
  <c r="W111" i="53" s="1"/>
  <c r="AI111" i="53"/>
  <c r="AH111" i="53" s="1"/>
  <c r="BO111" i="53"/>
  <c r="K111" i="53"/>
  <c r="O111" i="53" s="1"/>
  <c r="AY111" i="53"/>
  <c r="BC111" i="53" s="1"/>
  <c r="AA111" i="53"/>
  <c r="Z111" i="53" s="1"/>
  <c r="BG111" i="53"/>
  <c r="BF111" i="53" s="1"/>
  <c r="C111" i="53"/>
  <c r="G111" i="53" s="1"/>
  <c r="AQ111" i="53"/>
  <c r="AU111" i="53" s="1"/>
  <c r="BW111" i="53"/>
  <c r="CA111" i="53" s="1"/>
  <c r="AI107" i="53"/>
  <c r="AM107" i="53" s="1"/>
  <c r="C107" i="53"/>
  <c r="B107" i="53" s="1"/>
  <c r="AA107" i="53"/>
  <c r="AE107" i="53" s="1"/>
  <c r="BW107" i="53"/>
  <c r="CA107" i="53" s="1"/>
  <c r="S107" i="53"/>
  <c r="R107" i="53" s="1"/>
  <c r="AY107" i="53"/>
  <c r="AX107" i="53" s="1"/>
  <c r="BO107" i="53"/>
  <c r="K107" i="53"/>
  <c r="O107" i="53" s="1"/>
  <c r="AQ107" i="53"/>
  <c r="AU107" i="53" s="1"/>
  <c r="BG107" i="53"/>
  <c r="BK107" i="53" s="1"/>
  <c r="AA102" i="53"/>
  <c r="AE102" i="53" s="1"/>
  <c r="BG102" i="53"/>
  <c r="BF102" i="53" s="1"/>
  <c r="K102" i="53"/>
  <c r="J102" i="53" s="1"/>
  <c r="S102" i="53"/>
  <c r="R102" i="53" s="1"/>
  <c r="C102" i="53"/>
  <c r="G102" i="53" s="1"/>
  <c r="AY102" i="53"/>
  <c r="AX102" i="53" s="1"/>
  <c r="AQ102" i="53"/>
  <c r="AU102" i="53" s="1"/>
  <c r="BW102" i="53"/>
  <c r="BV102" i="53" s="1"/>
  <c r="AI102" i="53"/>
  <c r="AH102" i="53" s="1"/>
  <c r="BO102" i="53"/>
  <c r="C85" i="53"/>
  <c r="G85" i="53" s="1"/>
  <c r="BG85" i="53"/>
  <c r="BK85" i="53" s="1"/>
  <c r="BO85" i="53"/>
  <c r="BN85" i="53" s="1"/>
  <c r="BW85" i="53"/>
  <c r="CA85" i="53" s="1"/>
  <c r="K85" i="53"/>
  <c r="O85" i="53" s="1"/>
  <c r="S85" i="53"/>
  <c r="W85" i="53" s="1"/>
  <c r="AA85" i="53"/>
  <c r="AE85" i="53" s="1"/>
  <c r="AI85" i="53"/>
  <c r="AH85" i="53" s="1"/>
  <c r="AQ85" i="53"/>
  <c r="AU85" i="53" s="1"/>
  <c r="AY85" i="53"/>
  <c r="BC85" i="53" s="1"/>
  <c r="S84" i="53"/>
  <c r="W84" i="53" s="1"/>
  <c r="AA84" i="53"/>
  <c r="Z84" i="53" s="1"/>
  <c r="BG84" i="53"/>
  <c r="BK84" i="53" s="1"/>
  <c r="AI84" i="53"/>
  <c r="AH84" i="53" s="1"/>
  <c r="BO84" i="53"/>
  <c r="AQ84" i="53"/>
  <c r="AU84" i="53" s="1"/>
  <c r="BW84" i="53"/>
  <c r="BV84" i="53" s="1"/>
  <c r="AY84" i="53"/>
  <c r="BC84" i="53" s="1"/>
  <c r="C84" i="53"/>
  <c r="G84" i="53" s="1"/>
  <c r="K84" i="53"/>
  <c r="J84" i="53" s="1"/>
  <c r="BW77" i="53"/>
  <c r="BV77" i="53" s="1"/>
  <c r="AI78" i="53"/>
  <c r="AH78" i="53" s="1"/>
  <c r="AA78" i="53"/>
  <c r="AE78" i="53" s="1"/>
  <c r="C78" i="53"/>
  <c r="G78" i="53" s="1"/>
  <c r="BW78" i="53"/>
  <c r="CA78" i="53" s="1"/>
  <c r="K78" i="53"/>
  <c r="O78" i="53" s="1"/>
  <c r="AQ78" i="53"/>
  <c r="AP78" i="53" s="1"/>
  <c r="BG78" i="53"/>
  <c r="BK78" i="53" s="1"/>
  <c r="S78" i="53"/>
  <c r="W78" i="53" s="1"/>
  <c r="AY78" i="53"/>
  <c r="BC78" i="53" s="1"/>
  <c r="BO78" i="53"/>
  <c r="BN78" i="53" s="1"/>
  <c r="AQ76" i="53"/>
  <c r="AU76" i="53" s="1"/>
  <c r="BW76" i="53"/>
  <c r="CA76" i="53" s="1"/>
  <c r="C76" i="53"/>
  <c r="G76" i="53" s="1"/>
  <c r="AA76" i="53"/>
  <c r="Z76" i="53" s="1"/>
  <c r="BG76" i="53"/>
  <c r="BK76" i="53" s="1"/>
  <c r="AY76" i="53"/>
  <c r="AX76" i="53" s="1"/>
  <c r="K76" i="53"/>
  <c r="O76" i="53" s="1"/>
  <c r="S76" i="53"/>
  <c r="W76" i="53" s="1"/>
  <c r="AI76" i="53"/>
  <c r="AH76" i="53" s="1"/>
  <c r="BO76" i="53"/>
  <c r="BN76" i="53" s="1"/>
  <c r="S75" i="53"/>
  <c r="W75" i="53" s="1"/>
  <c r="AI75" i="53"/>
  <c r="AH75" i="53" s="1"/>
  <c r="AY75" i="53"/>
  <c r="AX75" i="53" s="1"/>
  <c r="BG75" i="53"/>
  <c r="BF75" i="53" s="1"/>
  <c r="BW75" i="53"/>
  <c r="CA75" i="53" s="1"/>
  <c r="C75" i="53"/>
  <c r="G75" i="53" s="1"/>
  <c r="K75" i="53"/>
  <c r="O75" i="53" s="1"/>
  <c r="AA75" i="53"/>
  <c r="AE75" i="53" s="1"/>
  <c r="AQ75" i="53"/>
  <c r="AU75" i="53" s="1"/>
  <c r="BO75" i="53"/>
  <c r="C74" i="53"/>
  <c r="G74" i="53" s="1"/>
  <c r="AQ74" i="53"/>
  <c r="AU74" i="53" s="1"/>
  <c r="BW74" i="53"/>
  <c r="BV74" i="53" s="1"/>
  <c r="S74" i="53"/>
  <c r="R74" i="53" s="1"/>
  <c r="AI74" i="53"/>
  <c r="AM74" i="53" s="1"/>
  <c r="BO74" i="53"/>
  <c r="K74" i="53"/>
  <c r="J74" i="53" s="1"/>
  <c r="AY74" i="53"/>
  <c r="BC74" i="53" s="1"/>
  <c r="AA74" i="53"/>
  <c r="Z74" i="53" s="1"/>
  <c r="BG74" i="53"/>
  <c r="BK74" i="53" s="1"/>
  <c r="C73" i="53"/>
  <c r="G73" i="53" s="1"/>
  <c r="AA73" i="53"/>
  <c r="AE73" i="53" s="1"/>
  <c r="BW73" i="53"/>
  <c r="BV73" i="53" s="1"/>
  <c r="S73" i="53"/>
  <c r="R73" i="53" s="1"/>
  <c r="AY73" i="53"/>
  <c r="BC73" i="53" s="1"/>
  <c r="BO73" i="53"/>
  <c r="BN73" i="53" s="1"/>
  <c r="K73" i="53"/>
  <c r="O73" i="53" s="1"/>
  <c r="AQ73" i="53"/>
  <c r="AU73" i="53" s="1"/>
  <c r="BG73" i="53"/>
  <c r="BK73" i="53" s="1"/>
  <c r="AI73" i="53"/>
  <c r="AM73" i="53" s="1"/>
  <c r="G340" i="53"/>
  <c r="B340" i="53"/>
  <c r="G276" i="53"/>
  <c r="B276" i="53"/>
  <c r="G220" i="53"/>
  <c r="B220" i="53"/>
  <c r="B156" i="53"/>
  <c r="G156" i="53"/>
  <c r="G4" i="53"/>
  <c r="B4" i="53"/>
  <c r="O305" i="53"/>
  <c r="J305" i="53"/>
  <c r="J241" i="53"/>
  <c r="O241" i="53"/>
  <c r="O177" i="53"/>
  <c r="J177" i="53"/>
  <c r="O113" i="53"/>
  <c r="J113" i="53"/>
  <c r="W319" i="53"/>
  <c r="R319" i="53"/>
  <c r="W255" i="53"/>
  <c r="R255" i="53"/>
  <c r="W207" i="53"/>
  <c r="R207" i="53"/>
  <c r="W143" i="53"/>
  <c r="R143" i="53"/>
  <c r="W103" i="53"/>
  <c r="R103" i="53"/>
  <c r="AE317" i="53"/>
  <c r="Z317" i="53"/>
  <c r="AE253" i="53"/>
  <c r="Z253" i="53"/>
  <c r="Z181" i="53"/>
  <c r="AE181" i="53"/>
  <c r="AE101" i="53"/>
  <c r="Z101" i="53"/>
  <c r="AH355" i="53"/>
  <c r="AM355" i="53"/>
  <c r="AM299" i="53"/>
  <c r="AH299" i="53"/>
  <c r="AM235" i="53"/>
  <c r="AH235" i="53"/>
  <c r="AM171" i="53"/>
  <c r="AH171" i="53"/>
  <c r="AU305" i="53"/>
  <c r="AP305" i="53"/>
  <c r="AU241" i="53"/>
  <c r="AP241" i="53"/>
  <c r="AU185" i="53"/>
  <c r="AP185" i="53"/>
  <c r="BC327" i="53"/>
  <c r="AX327" i="53"/>
  <c r="BC263" i="53"/>
  <c r="AX263" i="53"/>
  <c r="BC199" i="53"/>
  <c r="AX199" i="53"/>
  <c r="BF353" i="53"/>
  <c r="BK353" i="53"/>
  <c r="BK281" i="53"/>
  <c r="BF281" i="53"/>
  <c r="BF217" i="53"/>
  <c r="BK217" i="53"/>
  <c r="BK153" i="53"/>
  <c r="BF153" i="53"/>
  <c r="BN327" i="53"/>
  <c r="BS327" i="53"/>
  <c r="BS263" i="53"/>
  <c r="BN263" i="53"/>
  <c r="BS207" i="53"/>
  <c r="BN207" i="53"/>
  <c r="BN199" i="53"/>
  <c r="BS199" i="53"/>
  <c r="BN191" i="53"/>
  <c r="BS191" i="53"/>
  <c r="BS183" i="53"/>
  <c r="BN183" i="53"/>
  <c r="BS103" i="53"/>
  <c r="BS95" i="53"/>
  <c r="BS87" i="53"/>
  <c r="BS79" i="53"/>
  <c r="BS71" i="53"/>
  <c r="CA365" i="53"/>
  <c r="BV365" i="53"/>
  <c r="BV357" i="53"/>
  <c r="CA357" i="53"/>
  <c r="BV349" i="53"/>
  <c r="CA349" i="53"/>
  <c r="CA341" i="53"/>
  <c r="BV341" i="53"/>
  <c r="CA333" i="53"/>
  <c r="BV333" i="53"/>
  <c r="CA325" i="53"/>
  <c r="BV325" i="53"/>
  <c r="BV317" i="53"/>
  <c r="CA317" i="53"/>
  <c r="CA309" i="53"/>
  <c r="BV309" i="53"/>
  <c r="CA301" i="53"/>
  <c r="BV301" i="53"/>
  <c r="CA293" i="53"/>
  <c r="BV293" i="53"/>
  <c r="BV285" i="53"/>
  <c r="CA285" i="53"/>
  <c r="BV277" i="53"/>
  <c r="CA277" i="53"/>
  <c r="CA269" i="53"/>
  <c r="BV269" i="53"/>
  <c r="CA261" i="53"/>
  <c r="BV261" i="53"/>
  <c r="BV253" i="53"/>
  <c r="CA253" i="53"/>
  <c r="CA245" i="53"/>
  <c r="BV245" i="53"/>
  <c r="CA237" i="53"/>
  <c r="BV237" i="53"/>
  <c r="BV229" i="53"/>
  <c r="CA229" i="53"/>
  <c r="CA221" i="53"/>
  <c r="BV221" i="53"/>
  <c r="BV213" i="53"/>
  <c r="CA213" i="53"/>
  <c r="BV205" i="53"/>
  <c r="CA205" i="53"/>
  <c r="CA197" i="53"/>
  <c r="BV197" i="53"/>
  <c r="CA189" i="53"/>
  <c r="BV189" i="53"/>
  <c r="CA181" i="53"/>
  <c r="BV181" i="53"/>
  <c r="CA173" i="53"/>
  <c r="BV173" i="53"/>
  <c r="CA165" i="53"/>
  <c r="BV165" i="53"/>
  <c r="CA157" i="53"/>
  <c r="BV157" i="53"/>
  <c r="CA125" i="53"/>
  <c r="BV125" i="53"/>
  <c r="CA109" i="53"/>
  <c r="BV109" i="53"/>
  <c r="CA101" i="53"/>
  <c r="BV101" i="53"/>
  <c r="CA93" i="53"/>
  <c r="BV93" i="53"/>
  <c r="CA5" i="53"/>
  <c r="BV5" i="53"/>
  <c r="G348" i="53"/>
  <c r="B348" i="53"/>
  <c r="G284" i="53"/>
  <c r="B284" i="53"/>
  <c r="G164" i="53"/>
  <c r="B164" i="53"/>
  <c r="B100" i="53"/>
  <c r="G100" i="53"/>
  <c r="J321" i="53"/>
  <c r="O321" i="53"/>
  <c r="O257" i="53"/>
  <c r="J257" i="53"/>
  <c r="J193" i="53"/>
  <c r="O193" i="53"/>
  <c r="W351" i="53"/>
  <c r="R351" i="53"/>
  <c r="W287" i="53"/>
  <c r="R287" i="53"/>
  <c r="W231" i="53"/>
  <c r="R231" i="53"/>
  <c r="W159" i="53"/>
  <c r="R159" i="53"/>
  <c r="AE365" i="53"/>
  <c r="Z365" i="53"/>
  <c r="AE301" i="53"/>
  <c r="Z301" i="53"/>
  <c r="Z237" i="53"/>
  <c r="AE237" i="53"/>
  <c r="Z173" i="53"/>
  <c r="AE173" i="53"/>
  <c r="Z109" i="53"/>
  <c r="AE109" i="53"/>
  <c r="AM323" i="53"/>
  <c r="AH323" i="53"/>
  <c r="AM259" i="53"/>
  <c r="AH259" i="53"/>
  <c r="AM195" i="53"/>
  <c r="AH195" i="53"/>
  <c r="AU353" i="53"/>
  <c r="AP353" i="53"/>
  <c r="AU289" i="53"/>
  <c r="AP289" i="53"/>
  <c r="AU225" i="53"/>
  <c r="AP225" i="53"/>
  <c r="AU161" i="53"/>
  <c r="AP161" i="53"/>
  <c r="AU97" i="53"/>
  <c r="AP97" i="53"/>
  <c r="AX335" i="53"/>
  <c r="BC335" i="53"/>
  <c r="BC271" i="53"/>
  <c r="AX271" i="53"/>
  <c r="AX207" i="53"/>
  <c r="BC207" i="53"/>
  <c r="AX143" i="53"/>
  <c r="BC143" i="53"/>
  <c r="BC79" i="53"/>
  <c r="AX79" i="53"/>
  <c r="BK329" i="53"/>
  <c r="BF329" i="53"/>
  <c r="BK265" i="53"/>
  <c r="BF265" i="53"/>
  <c r="BK201" i="53"/>
  <c r="BF201" i="53"/>
  <c r="BK89" i="53"/>
  <c r="BF89" i="53"/>
  <c r="BS311" i="53"/>
  <c r="BN311" i="53"/>
  <c r="BN247" i="53"/>
  <c r="BS247" i="53"/>
  <c r="BS167" i="53"/>
  <c r="BN167" i="53"/>
  <c r="G355" i="53"/>
  <c r="B355" i="53"/>
  <c r="G299" i="53"/>
  <c r="B299" i="53"/>
  <c r="G243" i="53"/>
  <c r="B243" i="53"/>
  <c r="G187" i="53"/>
  <c r="B187" i="53"/>
  <c r="O360" i="53"/>
  <c r="J360" i="53"/>
  <c r="O304" i="53"/>
  <c r="J304" i="53"/>
  <c r="O248" i="53"/>
  <c r="J248" i="53"/>
  <c r="O192" i="53"/>
  <c r="J192" i="53"/>
  <c r="W366" i="53"/>
  <c r="R366" i="53"/>
  <c r="W310" i="53"/>
  <c r="R310" i="53"/>
  <c r="W254" i="53"/>
  <c r="R254" i="53"/>
  <c r="W206" i="53"/>
  <c r="R206" i="53"/>
  <c r="Z364" i="53"/>
  <c r="AE364" i="53"/>
  <c r="AE308" i="53"/>
  <c r="Z308" i="53"/>
  <c r="AE252" i="53"/>
  <c r="Z252" i="53"/>
  <c r="AE196" i="53"/>
  <c r="Z196" i="53"/>
  <c r="Z140" i="53"/>
  <c r="AE140" i="53"/>
  <c r="AH362" i="53"/>
  <c r="AM362" i="53"/>
  <c r="AH314" i="53"/>
  <c r="AM314" i="53"/>
  <c r="AH258" i="53"/>
  <c r="AM258" i="53"/>
  <c r="AH202" i="53"/>
  <c r="AM202" i="53"/>
  <c r="AH146" i="53"/>
  <c r="AM146" i="53"/>
  <c r="AH90" i="53"/>
  <c r="AM90" i="53"/>
  <c r="AP336" i="53"/>
  <c r="AU336" i="53"/>
  <c r="AU280" i="53"/>
  <c r="AP280" i="53"/>
  <c r="AP272" i="53"/>
  <c r="AU272" i="53"/>
  <c r="AU256" i="53"/>
  <c r="AP256" i="53"/>
  <c r="AP208" i="53"/>
  <c r="AU208" i="53"/>
  <c r="AU200" i="53"/>
  <c r="AP200" i="53"/>
  <c r="AU192" i="53"/>
  <c r="AP192" i="53"/>
  <c r="AP184" i="53"/>
  <c r="AU184" i="53"/>
  <c r="AU176" i="53"/>
  <c r="AP176" i="53"/>
  <c r="AU168" i="53"/>
  <c r="AP168" i="53"/>
  <c r="AU160" i="53"/>
  <c r="AP160" i="53"/>
  <c r="AU144" i="53"/>
  <c r="AP144" i="53"/>
  <c r="AU112" i="53"/>
  <c r="AP112" i="53"/>
  <c r="AU104" i="53"/>
  <c r="AP104" i="53"/>
  <c r="AP96" i="53"/>
  <c r="AU96" i="53"/>
  <c r="AP88" i="53"/>
  <c r="AU88" i="53"/>
  <c r="AU80" i="53"/>
  <c r="AP80" i="53"/>
  <c r="AU72" i="53"/>
  <c r="AP72" i="53"/>
  <c r="BC366" i="53"/>
  <c r="AX366" i="53"/>
  <c r="BC358" i="53"/>
  <c r="AX358" i="53"/>
  <c r="BC350" i="53"/>
  <c r="AX350" i="53"/>
  <c r="BC342" i="53"/>
  <c r="AX342" i="53"/>
  <c r="BC334" i="53"/>
  <c r="AX334" i="53"/>
  <c r="BC326" i="53"/>
  <c r="AX326" i="53"/>
  <c r="BC318" i="53"/>
  <c r="AX318" i="53"/>
  <c r="BC310" i="53"/>
  <c r="AX310" i="53"/>
  <c r="BC302" i="53"/>
  <c r="AX302" i="53"/>
  <c r="BC294" i="53"/>
  <c r="AX294" i="53"/>
  <c r="BC286" i="53"/>
  <c r="AX286" i="53"/>
  <c r="BC278" i="53"/>
  <c r="AX278" i="53"/>
  <c r="BC270" i="53"/>
  <c r="AX270" i="53"/>
  <c r="BC262" i="53"/>
  <c r="AX262" i="53"/>
  <c r="BC254" i="53"/>
  <c r="AX254" i="53"/>
  <c r="BC246" i="53"/>
  <c r="AX246" i="53"/>
  <c r="BC238" i="53"/>
  <c r="AX238" i="53"/>
  <c r="BC230" i="53"/>
  <c r="AX230" i="53"/>
  <c r="BC222" i="53"/>
  <c r="AX222" i="53"/>
  <c r="BC214" i="53"/>
  <c r="AX214" i="53"/>
  <c r="BC206" i="53"/>
  <c r="AX206" i="53"/>
  <c r="BC198" i="53"/>
  <c r="AX198" i="53"/>
  <c r="BC190" i="53"/>
  <c r="AX190" i="53"/>
  <c r="BC182" i="53"/>
  <c r="AX182" i="53"/>
  <c r="AX174" i="53"/>
  <c r="BC174" i="53"/>
  <c r="BC166" i="53"/>
  <c r="AX166" i="53"/>
  <c r="BC158" i="53"/>
  <c r="AX158" i="53"/>
  <c r="BC142" i="53"/>
  <c r="AX142" i="53"/>
  <c r="AX126" i="53"/>
  <c r="BC126" i="53"/>
  <c r="BC110" i="53"/>
  <c r="AX110" i="53"/>
  <c r="BC94" i="53"/>
  <c r="AX94" i="53"/>
  <c r="BC86" i="53"/>
  <c r="AX86" i="53"/>
  <c r="AX3" i="53"/>
  <c r="BC3" i="53"/>
  <c r="BF360" i="53"/>
  <c r="BK360" i="53"/>
  <c r="BK352" i="53"/>
  <c r="BF352" i="53"/>
  <c r="BK344" i="53"/>
  <c r="BF344" i="53"/>
  <c r="BF336" i="53"/>
  <c r="BK336" i="53"/>
  <c r="BK328" i="53"/>
  <c r="BF328" i="53"/>
  <c r="BK320" i="53"/>
  <c r="BF320" i="53"/>
  <c r="BF312" i="53"/>
  <c r="BK312" i="53"/>
  <c r="BK304" i="53"/>
  <c r="BF304" i="53"/>
  <c r="BK296" i="53"/>
  <c r="BF296" i="53"/>
  <c r="BK288" i="53"/>
  <c r="BF288" i="53"/>
  <c r="BF280" i="53"/>
  <c r="BK280" i="53"/>
  <c r="BK272" i="53"/>
  <c r="BF272" i="53"/>
  <c r="BK264" i="53"/>
  <c r="BF264" i="53"/>
  <c r="BK256" i="53"/>
  <c r="BF256" i="53"/>
  <c r="BF248" i="53"/>
  <c r="BK248" i="53"/>
  <c r="BK240" i="53"/>
  <c r="BF240" i="53"/>
  <c r="BK232" i="53"/>
  <c r="BF232" i="53"/>
  <c r="BK224" i="53"/>
  <c r="BF224" i="53"/>
  <c r="BK216" i="53"/>
  <c r="BF216" i="53"/>
  <c r="BK208" i="53"/>
  <c r="BF208" i="53"/>
  <c r="BK200" i="53"/>
  <c r="BF200" i="53"/>
  <c r="BF192" i="53"/>
  <c r="BK192" i="53"/>
  <c r="BF184" i="53"/>
  <c r="BK184" i="53"/>
  <c r="BK176" i="53"/>
  <c r="BF176" i="53"/>
  <c r="BK168" i="53"/>
  <c r="BF168" i="53"/>
  <c r="BK160" i="53"/>
  <c r="BF160" i="53"/>
  <c r="BK144" i="53"/>
  <c r="BF144" i="53"/>
  <c r="BF112" i="53"/>
  <c r="BK112" i="53"/>
  <c r="BK104" i="53"/>
  <c r="BF104" i="53"/>
  <c r="BK96" i="53"/>
  <c r="BF96" i="53"/>
  <c r="BF88" i="53"/>
  <c r="BK88" i="53"/>
  <c r="BK80" i="53"/>
  <c r="BF80" i="53"/>
  <c r="BK72" i="53"/>
  <c r="BF72" i="53"/>
  <c r="BS366" i="53"/>
  <c r="BN366" i="53"/>
  <c r="BN358" i="53"/>
  <c r="BS358" i="53"/>
  <c r="BN350" i="53"/>
  <c r="BS350" i="53"/>
  <c r="BS342" i="53"/>
  <c r="BN342" i="53"/>
  <c r="BN334" i="53"/>
  <c r="BS334" i="53"/>
  <c r="BS326" i="53"/>
  <c r="BN326" i="53"/>
  <c r="BS318" i="53"/>
  <c r="BN318" i="53"/>
  <c r="BS310" i="53"/>
  <c r="BN310" i="53"/>
  <c r="BS302" i="53"/>
  <c r="BN302" i="53"/>
  <c r="BN294" i="53"/>
  <c r="BS294" i="53"/>
  <c r="BS286" i="53"/>
  <c r="BN286" i="53"/>
  <c r="BS278" i="53"/>
  <c r="BN278" i="53"/>
  <c r="BN270" i="53"/>
  <c r="BS270" i="53"/>
  <c r="BS262" i="53"/>
  <c r="BN262" i="53"/>
  <c r="BS254" i="53"/>
  <c r="BN254" i="53"/>
  <c r="BS246" i="53"/>
  <c r="BN246" i="53"/>
  <c r="BS238" i="53"/>
  <c r="BN238" i="53"/>
  <c r="BS230" i="53"/>
  <c r="BN230" i="53"/>
  <c r="BS222" i="53"/>
  <c r="BN222" i="53"/>
  <c r="BN214" i="53"/>
  <c r="BS214" i="53"/>
  <c r="BN206" i="53"/>
  <c r="BS206" i="53"/>
  <c r="BS198" i="53"/>
  <c r="BN198" i="53"/>
  <c r="BS190" i="53"/>
  <c r="BN190" i="53"/>
  <c r="BS182" i="53"/>
  <c r="BN182" i="53"/>
  <c r="BS174" i="53"/>
  <c r="BN174" i="53"/>
  <c r="BS166" i="53"/>
  <c r="BN166" i="53"/>
  <c r="BS158" i="53"/>
  <c r="BN158" i="53"/>
  <c r="BS142" i="53"/>
  <c r="BS126" i="53"/>
  <c r="BS110" i="53"/>
  <c r="BS94" i="53"/>
  <c r="BS86" i="53"/>
  <c r="CA364" i="53"/>
  <c r="BV364" i="53"/>
  <c r="CA356" i="53"/>
  <c r="BV356" i="53"/>
  <c r="CA348" i="53"/>
  <c r="BV348" i="53"/>
  <c r="BV340" i="53"/>
  <c r="CA340" i="53"/>
  <c r="CA332" i="53"/>
  <c r="BV332" i="53"/>
  <c r="CA324" i="53"/>
  <c r="BV324" i="53"/>
  <c r="BV316" i="53"/>
  <c r="CA316" i="53"/>
  <c r="CA308" i="53"/>
  <c r="BV308" i="53"/>
  <c r="BV300" i="53"/>
  <c r="CA300" i="53"/>
  <c r="BV292" i="53"/>
  <c r="CA292" i="53"/>
  <c r="CA284" i="53"/>
  <c r="BV284" i="53"/>
  <c r="BV276" i="53"/>
  <c r="CA276" i="53"/>
  <c r="CA268" i="53"/>
  <c r="BV268" i="53"/>
  <c r="CA260" i="53"/>
  <c r="BV260" i="53"/>
  <c r="CA252" i="53"/>
  <c r="BV252" i="53"/>
  <c r="BV244" i="53"/>
  <c r="CA244" i="53"/>
  <c r="CA236" i="53"/>
  <c r="BV236" i="53"/>
  <c r="BV228" i="53"/>
  <c r="CA228" i="53"/>
  <c r="BV220" i="53"/>
  <c r="CA220" i="53"/>
  <c r="CA212" i="53"/>
  <c r="BV212" i="53"/>
  <c r="CA204" i="53"/>
  <c r="BV204" i="53"/>
  <c r="BV196" i="53"/>
  <c r="CA196" i="53"/>
  <c r="BV188" i="53"/>
  <c r="CA188" i="53"/>
  <c r="CA180" i="53"/>
  <c r="BV180" i="53"/>
  <c r="BV172" i="53"/>
  <c r="CA172" i="53"/>
  <c r="CA164" i="53"/>
  <c r="BV164" i="53"/>
  <c r="CA156" i="53"/>
  <c r="BV156" i="53"/>
  <c r="BV148" i="53"/>
  <c r="CA148" i="53"/>
  <c r="CA140" i="53"/>
  <c r="BV140" i="53"/>
  <c r="BV124" i="53"/>
  <c r="CA124" i="53"/>
  <c r="BV108" i="53"/>
  <c r="CA108" i="53"/>
  <c r="CA100" i="53"/>
  <c r="BV100" i="53"/>
  <c r="CA92" i="53"/>
  <c r="BV92" i="53"/>
  <c r="BV4" i="53"/>
  <c r="CA4" i="53"/>
  <c r="G356" i="53"/>
  <c r="B356" i="53"/>
  <c r="G292" i="53"/>
  <c r="B292" i="53"/>
  <c r="G228" i="53"/>
  <c r="B228" i="53"/>
  <c r="G180" i="53"/>
  <c r="B180" i="53"/>
  <c r="B124" i="53"/>
  <c r="G124" i="53"/>
  <c r="J353" i="53"/>
  <c r="O353" i="53"/>
  <c r="J289" i="53"/>
  <c r="O289" i="53"/>
  <c r="O225" i="53"/>
  <c r="J225" i="53"/>
  <c r="J161" i="53"/>
  <c r="O161" i="53"/>
  <c r="O97" i="53"/>
  <c r="J97" i="53"/>
  <c r="W311" i="53"/>
  <c r="R311" i="53"/>
  <c r="W247" i="53"/>
  <c r="R247" i="53"/>
  <c r="W199" i="53"/>
  <c r="R199" i="53"/>
  <c r="W79" i="53"/>
  <c r="R79" i="53"/>
  <c r="AE325" i="53"/>
  <c r="Z325" i="53"/>
  <c r="AE261" i="53"/>
  <c r="Z261" i="53"/>
  <c r="AE197" i="53"/>
  <c r="Z197" i="53"/>
  <c r="AH363" i="53"/>
  <c r="AM363" i="53"/>
  <c r="AM291" i="53"/>
  <c r="AH291" i="53"/>
  <c r="AM227" i="53"/>
  <c r="AH227" i="53"/>
  <c r="AM163" i="53"/>
  <c r="AH163" i="53"/>
  <c r="AM99" i="53"/>
  <c r="AH99" i="53"/>
  <c r="AH4" i="53"/>
  <c r="AM4" i="53"/>
  <c r="AU313" i="53"/>
  <c r="AP313" i="53"/>
  <c r="AP249" i="53"/>
  <c r="AU249" i="53"/>
  <c r="AU177" i="53"/>
  <c r="AP177" i="53"/>
  <c r="AU113" i="53"/>
  <c r="AP113" i="53"/>
  <c r="BC319" i="53"/>
  <c r="AX319" i="53"/>
  <c r="BC255" i="53"/>
  <c r="AX255" i="53"/>
  <c r="BC191" i="53"/>
  <c r="AX191" i="53"/>
  <c r="BK345" i="53"/>
  <c r="BF345" i="53"/>
  <c r="BK289" i="53"/>
  <c r="BF289" i="53"/>
  <c r="BK225" i="53"/>
  <c r="BF225" i="53"/>
  <c r="BK161" i="53"/>
  <c r="BF161" i="53"/>
  <c r="BK81" i="53"/>
  <c r="BF81" i="53"/>
  <c r="BS335" i="53"/>
  <c r="BN335" i="53"/>
  <c r="BN271" i="53"/>
  <c r="BS271" i="53"/>
  <c r="BN159" i="53"/>
  <c r="BS159" i="53"/>
  <c r="G347" i="53"/>
  <c r="B347" i="53"/>
  <c r="G291" i="53"/>
  <c r="B291" i="53"/>
  <c r="G235" i="53"/>
  <c r="B235" i="53"/>
  <c r="G179" i="53"/>
  <c r="B179" i="53"/>
  <c r="O352" i="53"/>
  <c r="J352" i="53"/>
  <c r="O296" i="53"/>
  <c r="J296" i="53"/>
  <c r="O240" i="53"/>
  <c r="J240" i="53"/>
  <c r="O184" i="53"/>
  <c r="J184" i="53"/>
  <c r="O80" i="53"/>
  <c r="J80" i="53"/>
  <c r="W318" i="53"/>
  <c r="R318" i="53"/>
  <c r="W262" i="53"/>
  <c r="R262" i="53"/>
  <c r="W198" i="53"/>
  <c r="R198" i="53"/>
  <c r="Z340" i="53"/>
  <c r="AE340" i="53"/>
  <c r="Z284" i="53"/>
  <c r="AE284" i="53"/>
  <c r="AE228" i="53"/>
  <c r="Z228" i="53"/>
  <c r="AE172" i="53"/>
  <c r="Z172" i="53"/>
  <c r="Z108" i="53"/>
  <c r="AE108" i="53"/>
  <c r="AE5" i="53"/>
  <c r="Z5" i="53"/>
  <c r="AH306" i="53"/>
  <c r="AM306" i="53"/>
  <c r="AH250" i="53"/>
  <c r="AM250" i="53"/>
  <c r="AH194" i="53"/>
  <c r="AM194" i="53"/>
  <c r="AM3" i="53"/>
  <c r="AH3" i="53"/>
  <c r="AU312" i="53"/>
  <c r="AP312" i="53"/>
  <c r="AP232" i="53"/>
  <c r="AU232" i="53"/>
  <c r="G338" i="53"/>
  <c r="B338" i="53"/>
  <c r="G314" i="53"/>
  <c r="B314" i="53"/>
  <c r="G306" i="53"/>
  <c r="B306" i="53"/>
  <c r="G298" i="53"/>
  <c r="B298" i="53"/>
  <c r="G290" i="53"/>
  <c r="B290" i="53"/>
  <c r="G282" i="53"/>
  <c r="B282" i="53"/>
  <c r="G274" i="53"/>
  <c r="B274" i="53"/>
  <c r="G266" i="53"/>
  <c r="B266" i="53"/>
  <c r="G258" i="53"/>
  <c r="B258" i="53"/>
  <c r="G250" i="53"/>
  <c r="B250" i="53"/>
  <c r="G242" i="53"/>
  <c r="B242" i="53"/>
  <c r="G234" i="53"/>
  <c r="B234" i="53"/>
  <c r="G226" i="53"/>
  <c r="B226" i="53"/>
  <c r="G218" i="53"/>
  <c r="B218" i="53"/>
  <c r="G210" i="53"/>
  <c r="B210" i="53"/>
  <c r="G202" i="53"/>
  <c r="B202" i="53"/>
  <c r="G194" i="53"/>
  <c r="B194" i="53"/>
  <c r="G186" i="53"/>
  <c r="B186" i="53"/>
  <c r="G178" i="53"/>
  <c r="B178" i="53"/>
  <c r="G170" i="53"/>
  <c r="B170" i="53"/>
  <c r="G162" i="53"/>
  <c r="B162" i="53"/>
  <c r="G154" i="53"/>
  <c r="B154" i="53"/>
  <c r="G146" i="53"/>
  <c r="B146" i="53"/>
  <c r="G122" i="53"/>
  <c r="G106" i="53"/>
  <c r="B106" i="53"/>
  <c r="G98" i="53"/>
  <c r="B98" i="53"/>
  <c r="G90" i="53"/>
  <c r="B90" i="53"/>
  <c r="G82" i="53"/>
  <c r="B82" i="53"/>
  <c r="J2" i="53"/>
  <c r="O2" i="53"/>
  <c r="J359" i="53"/>
  <c r="O359" i="53"/>
  <c r="J351" i="53"/>
  <c r="O351" i="53"/>
  <c r="J343" i="53"/>
  <c r="O343" i="53"/>
  <c r="J335" i="53"/>
  <c r="O335" i="53"/>
  <c r="J327" i="53"/>
  <c r="O327" i="53"/>
  <c r="J319" i="53"/>
  <c r="O319" i="53"/>
  <c r="J311" i="53"/>
  <c r="O311" i="53"/>
  <c r="J303" i="53"/>
  <c r="O303" i="53"/>
  <c r="J295" i="53"/>
  <c r="O295" i="53"/>
  <c r="J287" i="53"/>
  <c r="O287" i="53"/>
  <c r="J279" i="53"/>
  <c r="O279" i="53"/>
  <c r="O271" i="53"/>
  <c r="J271" i="53"/>
  <c r="O263" i="53"/>
  <c r="J263" i="53"/>
  <c r="O255" i="53"/>
  <c r="J255" i="53"/>
  <c r="O247" i="53"/>
  <c r="J247" i="53"/>
  <c r="O239" i="53"/>
  <c r="J239" i="53"/>
  <c r="O231" i="53"/>
  <c r="J231" i="53"/>
  <c r="O223" i="53"/>
  <c r="J223" i="53"/>
  <c r="O215" i="53"/>
  <c r="J215" i="53"/>
  <c r="O207" i="53"/>
  <c r="J207" i="53"/>
  <c r="O199" i="53"/>
  <c r="J199" i="53"/>
  <c r="O191" i="53"/>
  <c r="J191" i="53"/>
  <c r="O183" i="53"/>
  <c r="J183" i="53"/>
  <c r="O175" i="53"/>
  <c r="J175" i="53"/>
  <c r="O167" i="53"/>
  <c r="J167" i="53"/>
  <c r="O159" i="53"/>
  <c r="J159" i="53"/>
  <c r="O143" i="53"/>
  <c r="J143" i="53"/>
  <c r="O127" i="53"/>
  <c r="J127" i="53"/>
  <c r="O103" i="53"/>
  <c r="J103" i="53"/>
  <c r="O95" i="53"/>
  <c r="J95" i="53"/>
  <c r="O87" i="53"/>
  <c r="J87" i="53"/>
  <c r="O79" i="53"/>
  <c r="J79" i="53"/>
  <c r="O71" i="53"/>
  <c r="J71" i="53"/>
  <c r="W365" i="53"/>
  <c r="R365" i="53"/>
  <c r="W357" i="53"/>
  <c r="R357" i="53"/>
  <c r="W349" i="53"/>
  <c r="R349" i="53"/>
  <c r="W341" i="53"/>
  <c r="R341" i="53"/>
  <c r="W333" i="53"/>
  <c r="R333" i="53"/>
  <c r="W325" i="53"/>
  <c r="R325" i="53"/>
  <c r="W317" i="53"/>
  <c r="R317" i="53"/>
  <c r="W309" i="53"/>
  <c r="R309" i="53"/>
  <c r="W301" i="53"/>
  <c r="R301" i="53"/>
  <c r="W293" i="53"/>
  <c r="R293" i="53"/>
  <c r="W285" i="53"/>
  <c r="R285" i="53"/>
  <c r="W277" i="53"/>
  <c r="R277" i="53"/>
  <c r="W269" i="53"/>
  <c r="R269" i="53"/>
  <c r="W261" i="53"/>
  <c r="R261" i="53"/>
  <c r="W253" i="53"/>
  <c r="R253" i="53"/>
  <c r="W245" i="53"/>
  <c r="R245" i="53"/>
  <c r="W237" i="53"/>
  <c r="R237" i="53"/>
  <c r="W229" i="53"/>
  <c r="R229" i="53"/>
  <c r="W221" i="53"/>
  <c r="R221" i="53"/>
  <c r="W213" i="53"/>
  <c r="R213" i="53"/>
  <c r="W205" i="53"/>
  <c r="R205" i="53"/>
  <c r="W197" i="53"/>
  <c r="R197" i="53"/>
  <c r="W189" i="53"/>
  <c r="R189" i="53"/>
  <c r="W181" i="53"/>
  <c r="R181" i="53"/>
  <c r="W173" i="53"/>
  <c r="R173" i="53"/>
  <c r="W165" i="53"/>
  <c r="R165" i="53"/>
  <c r="W157" i="53"/>
  <c r="R157" i="53"/>
  <c r="W109" i="53"/>
  <c r="R109" i="53"/>
  <c r="W101" i="53"/>
  <c r="R101" i="53"/>
  <c r="W93" i="53"/>
  <c r="R93" i="53"/>
  <c r="W77" i="53"/>
  <c r="R77" i="53"/>
  <c r="Z363" i="53"/>
  <c r="AE363" i="53"/>
  <c r="AE355" i="53"/>
  <c r="Z355" i="53"/>
  <c r="AE347" i="53"/>
  <c r="Z347" i="53"/>
  <c r="Z339" i="53"/>
  <c r="AE339" i="53"/>
  <c r="AE331" i="53"/>
  <c r="Z331" i="53"/>
  <c r="AE323" i="53"/>
  <c r="Z323" i="53"/>
  <c r="AE315" i="53"/>
  <c r="Z315" i="53"/>
  <c r="AE307" i="53"/>
  <c r="Z307" i="53"/>
  <c r="AE299" i="53"/>
  <c r="Z299" i="53"/>
  <c r="AE291" i="53"/>
  <c r="Z291" i="53"/>
  <c r="AE283" i="53"/>
  <c r="Z283" i="53"/>
  <c r="AE275" i="53"/>
  <c r="Z275" i="53"/>
  <c r="AE267" i="53"/>
  <c r="Z267" i="53"/>
  <c r="AE259" i="53"/>
  <c r="Z259" i="53"/>
  <c r="AE251" i="53"/>
  <c r="Z251" i="53"/>
  <c r="AE243" i="53"/>
  <c r="Z243" i="53"/>
  <c r="AE235" i="53"/>
  <c r="Z235" i="53"/>
  <c r="AE227" i="53"/>
  <c r="Z227" i="53"/>
  <c r="AE219" i="53"/>
  <c r="Z219" i="53"/>
  <c r="AE211" i="53"/>
  <c r="Z211" i="53"/>
  <c r="AE203" i="53"/>
  <c r="Z203" i="53"/>
  <c r="AE195" i="53"/>
  <c r="Z195" i="53"/>
  <c r="AE187" i="53"/>
  <c r="Z187" i="53"/>
  <c r="AE179" i="53"/>
  <c r="Z179" i="53"/>
  <c r="AE171" i="53"/>
  <c r="Z171" i="53"/>
  <c r="AE163" i="53"/>
  <c r="Z163" i="53"/>
  <c r="AE155" i="53"/>
  <c r="Z155" i="53"/>
  <c r="AE147" i="53"/>
  <c r="Z147" i="53"/>
  <c r="Z123" i="53"/>
  <c r="AE123" i="53"/>
  <c r="AE99" i="53"/>
  <c r="Z99" i="53"/>
  <c r="AE91" i="53"/>
  <c r="Z91" i="53"/>
  <c r="Z83" i="53"/>
  <c r="AE83" i="53"/>
  <c r="AE4" i="53"/>
  <c r="Z4" i="53"/>
  <c r="AM361" i="53"/>
  <c r="AH361" i="53"/>
  <c r="AM353" i="53"/>
  <c r="AH353" i="53"/>
  <c r="AH345" i="53"/>
  <c r="AM345" i="53"/>
  <c r="AM337" i="53"/>
  <c r="AH337" i="53"/>
  <c r="AM329" i="53"/>
  <c r="AH329" i="53"/>
  <c r="AM321" i="53"/>
  <c r="AH321" i="53"/>
  <c r="AH313" i="53"/>
  <c r="AM313" i="53"/>
  <c r="AM305" i="53"/>
  <c r="AH305" i="53"/>
  <c r="AM297" i="53"/>
  <c r="AH297" i="53"/>
  <c r="AH289" i="53"/>
  <c r="AM289" i="53"/>
  <c r="AH281" i="53"/>
  <c r="AM281" i="53"/>
  <c r="AM273" i="53"/>
  <c r="AH273" i="53"/>
  <c r="AM265" i="53"/>
  <c r="AH265" i="53"/>
  <c r="AH257" i="53"/>
  <c r="AM257" i="53"/>
  <c r="AM249" i="53"/>
  <c r="AH249" i="53"/>
  <c r="AM241" i="53"/>
  <c r="AH241" i="53"/>
  <c r="AM233" i="53"/>
  <c r="AH233" i="53"/>
  <c r="AM225" i="53"/>
  <c r="AH225" i="53"/>
  <c r="AM217" i="53"/>
  <c r="AH217" i="53"/>
  <c r="AM209" i="53"/>
  <c r="AH209" i="53"/>
  <c r="AM201" i="53"/>
  <c r="AH201" i="53"/>
  <c r="AH193" i="53"/>
  <c r="AM193" i="53"/>
  <c r="AM185" i="53"/>
  <c r="AH185" i="53"/>
  <c r="AM177" i="53"/>
  <c r="AH177" i="53"/>
  <c r="AM169" i="53"/>
  <c r="AH169" i="53"/>
  <c r="AM161" i="53"/>
  <c r="AH161" i="53"/>
  <c r="AH153" i="53"/>
  <c r="AM153" i="53"/>
  <c r="AH145" i="53"/>
  <c r="AM145" i="53"/>
  <c r="AM113" i="53"/>
  <c r="AH113" i="53"/>
  <c r="AM105" i="53"/>
  <c r="AH105" i="53"/>
  <c r="AH97" i="53"/>
  <c r="AM97" i="53"/>
  <c r="AH89" i="53"/>
  <c r="AM89" i="53"/>
  <c r="AH81" i="53"/>
  <c r="AM81" i="53"/>
  <c r="AU2" i="53"/>
  <c r="AP2" i="53"/>
  <c r="AU359" i="53"/>
  <c r="AP359" i="53"/>
  <c r="AU351" i="53"/>
  <c r="AP351" i="53"/>
  <c r="AP343" i="53"/>
  <c r="AU343" i="53"/>
  <c r="AP335" i="53"/>
  <c r="AU335" i="53"/>
  <c r="AP327" i="53"/>
  <c r="AU327" i="53"/>
  <c r="AU319" i="53"/>
  <c r="AP319" i="53"/>
  <c r="AP311" i="53"/>
  <c r="AU311" i="53"/>
  <c r="AU303" i="53"/>
  <c r="AP303" i="53"/>
  <c r="AU295" i="53"/>
  <c r="AP295" i="53"/>
  <c r="AU287" i="53"/>
  <c r="AP287" i="53"/>
  <c r="AP279" i="53"/>
  <c r="AU279" i="53"/>
  <c r="AU271" i="53"/>
  <c r="AP271" i="53"/>
  <c r="AP263" i="53"/>
  <c r="AU263" i="53"/>
  <c r="AU255" i="53"/>
  <c r="AP255" i="53"/>
  <c r="AP247" i="53"/>
  <c r="AU247" i="53"/>
  <c r="AU239" i="53"/>
  <c r="AP239" i="53"/>
  <c r="AU231" i="53"/>
  <c r="AP231" i="53"/>
  <c r="AU223" i="53"/>
  <c r="AP223" i="53"/>
  <c r="AP215" i="53"/>
  <c r="AU215" i="53"/>
  <c r="AP207" i="53"/>
  <c r="AU207" i="53"/>
  <c r="AP199" i="53"/>
  <c r="AU199" i="53"/>
  <c r="AU191" i="53"/>
  <c r="AP191" i="53"/>
  <c r="AU183" i="53"/>
  <c r="AP183" i="53"/>
  <c r="AP175" i="53"/>
  <c r="AU175" i="53"/>
  <c r="AU167" i="53"/>
  <c r="AP167" i="53"/>
  <c r="AU159" i="53"/>
  <c r="AP159" i="53"/>
  <c r="AU143" i="53"/>
  <c r="AP143" i="53"/>
  <c r="AU127" i="53"/>
  <c r="AP127" i="53"/>
  <c r="AU103" i="53"/>
  <c r="AP103" i="53"/>
  <c r="AU95" i="53"/>
  <c r="AP95" i="53"/>
  <c r="AU87" i="53"/>
  <c r="AP87" i="53"/>
  <c r="AU79" i="53"/>
  <c r="AP79" i="53"/>
  <c r="AU71" i="53"/>
  <c r="AP71" i="53"/>
  <c r="AX365" i="53"/>
  <c r="BC365" i="53"/>
  <c r="BC357" i="53"/>
  <c r="AX357" i="53"/>
  <c r="BC349" i="53"/>
  <c r="AX349" i="53"/>
  <c r="BC341" i="53"/>
  <c r="AX341" i="53"/>
  <c r="AX333" i="53"/>
  <c r="BC333" i="53"/>
  <c r="AX325" i="53"/>
  <c r="BC325" i="53"/>
  <c r="BC317" i="53"/>
  <c r="AX317" i="53"/>
  <c r="AX309" i="53"/>
  <c r="BC309" i="53"/>
  <c r="BC301" i="53"/>
  <c r="AX301" i="53"/>
  <c r="BC293" i="53"/>
  <c r="AX293" i="53"/>
  <c r="BC285" i="53"/>
  <c r="AX285" i="53"/>
  <c r="AX277" i="53"/>
  <c r="BC277" i="53"/>
  <c r="BC269" i="53"/>
  <c r="AX269" i="53"/>
  <c r="AX261" i="53"/>
  <c r="BC261" i="53"/>
  <c r="BC253" i="53"/>
  <c r="AX253" i="53"/>
  <c r="AX245" i="53"/>
  <c r="BC245" i="53"/>
  <c r="BC237" i="53"/>
  <c r="AX237" i="53"/>
  <c r="BC229" i="53"/>
  <c r="AX229" i="53"/>
  <c r="BC221" i="53"/>
  <c r="AX221" i="53"/>
  <c r="BC213" i="53"/>
  <c r="AX213" i="53"/>
  <c r="AX205" i="53"/>
  <c r="BC205" i="53"/>
  <c r="BC197" i="53"/>
  <c r="AX197" i="53"/>
  <c r="AX189" i="53"/>
  <c r="BC189" i="53"/>
  <c r="BC181" i="53"/>
  <c r="AX181" i="53"/>
  <c r="AX173" i="53"/>
  <c r="BC173" i="53"/>
  <c r="AX165" i="53"/>
  <c r="BC165" i="53"/>
  <c r="BC157" i="53"/>
  <c r="AX157" i="53"/>
  <c r="AX125" i="53"/>
  <c r="BC125" i="53"/>
  <c r="AX109" i="53"/>
  <c r="BC109" i="53"/>
  <c r="BC101" i="53"/>
  <c r="AX101" i="53"/>
  <c r="AX93" i="53"/>
  <c r="BC93" i="53"/>
  <c r="AX77" i="53"/>
  <c r="BC77" i="53"/>
  <c r="BF2" i="53"/>
  <c r="BK2" i="53"/>
  <c r="BK359" i="53"/>
  <c r="BF359" i="53"/>
  <c r="BF351" i="53"/>
  <c r="BK351" i="53"/>
  <c r="BK343" i="53"/>
  <c r="BF343" i="53"/>
  <c r="BF335" i="53"/>
  <c r="BK335" i="53"/>
  <c r="BF327" i="53"/>
  <c r="BK327" i="53"/>
  <c r="BK319" i="53"/>
  <c r="BF319" i="53"/>
  <c r="BF311" i="53"/>
  <c r="BK311" i="53"/>
  <c r="BF303" i="53"/>
  <c r="BK303" i="53"/>
  <c r="BK295" i="53"/>
  <c r="BF295" i="53"/>
  <c r="BF287" i="53"/>
  <c r="BK287" i="53"/>
  <c r="BK279" i="53"/>
  <c r="BF279" i="53"/>
  <c r="BF271" i="53"/>
  <c r="BK271" i="53"/>
  <c r="BF263" i="53"/>
  <c r="BK263" i="53"/>
  <c r="BK255" i="53"/>
  <c r="BF255" i="53"/>
  <c r="BF247" i="53"/>
  <c r="BK247" i="53"/>
  <c r="BF239" i="53"/>
  <c r="BK239" i="53"/>
  <c r="BK231" i="53"/>
  <c r="BF231" i="53"/>
  <c r="BF223" i="53"/>
  <c r="BK223" i="53"/>
  <c r="BF215" i="53"/>
  <c r="BK215" i="53"/>
  <c r="BK207" i="53"/>
  <c r="BF207" i="53"/>
  <c r="BF199" i="53"/>
  <c r="BK199" i="53"/>
  <c r="BK191" i="53"/>
  <c r="BF191" i="53"/>
  <c r="BF183" i="53"/>
  <c r="BK183" i="53"/>
  <c r="BK175" i="53"/>
  <c r="BF175" i="53"/>
  <c r="BF167" i="53"/>
  <c r="BK167" i="53"/>
  <c r="BK159" i="53"/>
  <c r="BF159" i="53"/>
  <c r="BK143" i="53"/>
  <c r="BF143" i="53"/>
  <c r="BK127" i="53"/>
  <c r="BF127" i="53"/>
  <c r="BF103" i="53"/>
  <c r="BK103" i="53"/>
  <c r="BF95" i="53"/>
  <c r="BK95" i="53"/>
  <c r="BK87" i="53"/>
  <c r="BF87" i="53"/>
  <c r="BF79" i="53"/>
  <c r="BK79" i="53"/>
  <c r="BK71" i="53"/>
  <c r="BF71" i="53"/>
  <c r="BS365" i="53"/>
  <c r="BN365" i="53"/>
  <c r="BS357" i="53"/>
  <c r="BN357" i="53"/>
  <c r="BS349" i="53"/>
  <c r="BN349" i="53"/>
  <c r="BN341" i="53"/>
  <c r="BS341" i="53"/>
  <c r="BS333" i="53"/>
  <c r="BN333" i="53"/>
  <c r="BN325" i="53"/>
  <c r="BS325" i="53"/>
  <c r="BS317" i="53"/>
  <c r="BN317" i="53"/>
  <c r="BS309" i="53"/>
  <c r="BN309" i="53"/>
  <c r="BS301" i="53"/>
  <c r="BN301" i="53"/>
  <c r="BS293" i="53"/>
  <c r="BN293" i="53"/>
  <c r="BS285" i="53"/>
  <c r="BN285" i="53"/>
  <c r="BN277" i="53"/>
  <c r="BS277" i="53"/>
  <c r="BS269" i="53"/>
  <c r="BN269" i="53"/>
  <c r="BS261" i="53"/>
  <c r="BN261" i="53"/>
  <c r="BN253" i="53"/>
  <c r="BS253" i="53"/>
  <c r="BS245" i="53"/>
  <c r="BN245" i="53"/>
  <c r="BN237" i="53"/>
  <c r="BS237" i="53"/>
  <c r="BN229" i="53"/>
  <c r="BS229" i="53"/>
  <c r="BN221" i="53"/>
  <c r="BS221" i="53"/>
  <c r="BS213" i="53"/>
  <c r="BN213" i="53"/>
  <c r="BS205" i="53"/>
  <c r="BN205" i="53"/>
  <c r="BS197" i="53"/>
  <c r="BN197" i="53"/>
  <c r="BS189" i="53"/>
  <c r="BN189" i="53"/>
  <c r="BN181" i="53"/>
  <c r="BS181" i="53"/>
  <c r="BN173" i="53"/>
  <c r="BS173" i="53"/>
  <c r="BN165" i="53"/>
  <c r="BS165" i="53"/>
  <c r="BS157" i="53"/>
  <c r="BN157" i="53"/>
  <c r="BS125" i="53"/>
  <c r="BS109" i="53"/>
  <c r="BS101" i="53"/>
  <c r="BS93" i="53"/>
  <c r="BS77" i="53"/>
  <c r="CA363" i="53"/>
  <c r="BV363" i="53"/>
  <c r="CA355" i="53"/>
  <c r="BV355" i="53"/>
  <c r="BV347" i="53"/>
  <c r="CA347" i="53"/>
  <c r="CA339" i="53"/>
  <c r="BV339" i="53"/>
  <c r="CA331" i="53"/>
  <c r="BV331" i="53"/>
  <c r="BV323" i="53"/>
  <c r="CA323" i="53"/>
  <c r="CA315" i="53"/>
  <c r="BV315" i="53"/>
  <c r="CA307" i="53"/>
  <c r="BV307" i="53"/>
  <c r="BV299" i="53"/>
  <c r="CA299" i="53"/>
  <c r="BV291" i="53"/>
  <c r="CA291" i="53"/>
  <c r="CA283" i="53"/>
  <c r="BV283" i="53"/>
  <c r="CA275" i="53"/>
  <c r="BV275" i="53"/>
  <c r="CA267" i="53"/>
  <c r="BV267" i="53"/>
  <c r="BV259" i="53"/>
  <c r="CA259" i="53"/>
  <c r="CA251" i="53"/>
  <c r="BV251" i="53"/>
  <c r="CA243" i="53"/>
  <c r="BV243" i="53"/>
  <c r="CA235" i="53"/>
  <c r="BV235" i="53"/>
  <c r="CA227" i="53"/>
  <c r="BV227" i="53"/>
  <c r="CA219" i="53"/>
  <c r="BV219" i="53"/>
  <c r="CA211" i="53"/>
  <c r="BV211" i="53"/>
  <c r="BV203" i="53"/>
  <c r="CA203" i="53"/>
  <c r="CA195" i="53"/>
  <c r="BV195" i="53"/>
  <c r="CA187" i="53"/>
  <c r="BV187" i="53"/>
  <c r="BV179" i="53"/>
  <c r="CA179" i="53"/>
  <c r="CA171" i="53"/>
  <c r="BV171" i="53"/>
  <c r="CA163" i="53"/>
  <c r="BV163" i="53"/>
  <c r="CA155" i="53"/>
  <c r="BV155" i="53"/>
  <c r="BV147" i="53"/>
  <c r="CA147" i="53"/>
  <c r="CA123" i="53"/>
  <c r="BV123" i="53"/>
  <c r="CA99" i="53"/>
  <c r="BV99" i="53"/>
  <c r="CA91" i="53"/>
  <c r="BV91" i="53"/>
  <c r="BV83" i="53"/>
  <c r="CA83" i="53"/>
  <c r="CA3" i="53"/>
  <c r="BV3" i="53"/>
  <c r="G364" i="53"/>
  <c r="B364" i="53"/>
  <c r="G300" i="53"/>
  <c r="B300" i="53"/>
  <c r="G236" i="53"/>
  <c r="B236" i="53"/>
  <c r="G172" i="53"/>
  <c r="B172" i="53"/>
  <c r="G108" i="53"/>
  <c r="B108" i="53"/>
  <c r="J329" i="53"/>
  <c r="O329" i="53"/>
  <c r="J265" i="53"/>
  <c r="O265" i="53"/>
  <c r="J201" i="53"/>
  <c r="O201" i="53"/>
  <c r="W359" i="53"/>
  <c r="R359" i="53"/>
  <c r="W295" i="53"/>
  <c r="R295" i="53"/>
  <c r="W239" i="53"/>
  <c r="R239" i="53"/>
  <c r="W175" i="53"/>
  <c r="R175" i="53"/>
  <c r="Z309" i="53"/>
  <c r="AE309" i="53"/>
  <c r="AE245" i="53"/>
  <c r="Z245" i="53"/>
  <c r="AE189" i="53"/>
  <c r="Z189" i="53"/>
  <c r="AM331" i="53"/>
  <c r="AH331" i="53"/>
  <c r="AM267" i="53"/>
  <c r="AH267" i="53"/>
  <c r="AM203" i="53"/>
  <c r="AH203" i="53"/>
  <c r="AU361" i="53"/>
  <c r="AP361" i="53"/>
  <c r="AP297" i="53"/>
  <c r="AU297" i="53"/>
  <c r="AU233" i="53"/>
  <c r="AP233" i="53"/>
  <c r="AU169" i="53"/>
  <c r="AP169" i="53"/>
  <c r="AU105" i="53"/>
  <c r="AP105" i="53"/>
  <c r="AX343" i="53"/>
  <c r="BC343" i="53"/>
  <c r="BC279" i="53"/>
  <c r="AX279" i="53"/>
  <c r="BC215" i="53"/>
  <c r="AX215" i="53"/>
  <c r="BC87" i="53"/>
  <c r="AX87" i="53"/>
  <c r="BK337" i="53"/>
  <c r="BF337" i="53"/>
  <c r="BK273" i="53"/>
  <c r="BF273" i="53"/>
  <c r="BK209" i="53"/>
  <c r="BF209" i="53"/>
  <c r="BK145" i="53"/>
  <c r="BF145" i="53"/>
  <c r="BF97" i="53"/>
  <c r="BK97" i="53"/>
  <c r="BS319" i="53"/>
  <c r="BN319" i="53"/>
  <c r="BS255" i="53"/>
  <c r="BN255" i="53"/>
  <c r="BS175" i="53"/>
  <c r="BN175" i="53"/>
  <c r="G363" i="53"/>
  <c r="B363" i="53"/>
  <c r="G307" i="53"/>
  <c r="B307" i="53"/>
  <c r="G251" i="53"/>
  <c r="B251" i="53"/>
  <c r="G211" i="53"/>
  <c r="B211" i="53"/>
  <c r="B155" i="53"/>
  <c r="G155" i="53"/>
  <c r="B99" i="53"/>
  <c r="G99" i="53"/>
  <c r="O344" i="53"/>
  <c r="J344" i="53"/>
  <c r="O288" i="53"/>
  <c r="J288" i="53"/>
  <c r="O232" i="53"/>
  <c r="J232" i="53"/>
  <c r="O176" i="53"/>
  <c r="J176" i="53"/>
  <c r="O72" i="53"/>
  <c r="J72" i="53"/>
  <c r="W326" i="53"/>
  <c r="R326" i="53"/>
  <c r="W270" i="53"/>
  <c r="R270" i="53"/>
  <c r="W222" i="53"/>
  <c r="R222" i="53"/>
  <c r="W174" i="53"/>
  <c r="R174" i="53"/>
  <c r="W94" i="53"/>
  <c r="R94" i="53"/>
  <c r="Z332" i="53"/>
  <c r="AE332" i="53"/>
  <c r="Z276" i="53"/>
  <c r="AE276" i="53"/>
  <c r="Z220" i="53"/>
  <c r="AE220" i="53"/>
  <c r="Z164" i="53"/>
  <c r="AE164" i="53"/>
  <c r="AH330" i="53"/>
  <c r="AM330" i="53"/>
  <c r="AM274" i="53"/>
  <c r="AH274" i="53"/>
  <c r="AH218" i="53"/>
  <c r="AM218" i="53"/>
  <c r="AH170" i="53"/>
  <c r="AM170" i="53"/>
  <c r="AH122" i="53"/>
  <c r="AM122" i="53"/>
  <c r="AU360" i="53"/>
  <c r="AP360" i="53"/>
  <c r="AU304" i="53"/>
  <c r="AP304" i="53"/>
  <c r="AU240" i="53"/>
  <c r="AP240" i="53"/>
  <c r="G346" i="53"/>
  <c r="B346" i="53"/>
  <c r="G345" i="53"/>
  <c r="B345" i="53"/>
  <c r="G305" i="53"/>
  <c r="B305" i="53"/>
  <c r="G281" i="53"/>
  <c r="B281" i="53"/>
  <c r="G273" i="53"/>
  <c r="B273" i="53"/>
  <c r="G265" i="53"/>
  <c r="B265" i="53"/>
  <c r="B257" i="53"/>
  <c r="G257" i="53"/>
  <c r="G249" i="53"/>
  <c r="B249" i="53"/>
  <c r="G241" i="53"/>
  <c r="B241" i="53"/>
  <c r="G233" i="53"/>
  <c r="B233" i="53"/>
  <c r="B225" i="53"/>
  <c r="G225" i="53"/>
  <c r="G217" i="53"/>
  <c r="B217" i="53"/>
  <c r="G209" i="53"/>
  <c r="B209" i="53"/>
  <c r="G201" i="53"/>
  <c r="B201" i="53"/>
  <c r="B193" i="53"/>
  <c r="G193" i="53"/>
  <c r="G185" i="53"/>
  <c r="B185" i="53"/>
  <c r="G177" i="53"/>
  <c r="B177" i="53"/>
  <c r="G169" i="53"/>
  <c r="B169" i="53"/>
  <c r="B161" i="53"/>
  <c r="G161" i="53"/>
  <c r="G153" i="53"/>
  <c r="B153" i="53"/>
  <c r="G145" i="53"/>
  <c r="B145" i="53"/>
  <c r="G113" i="53"/>
  <c r="B113" i="53"/>
  <c r="G105" i="53"/>
  <c r="B105" i="53"/>
  <c r="G97" i="53"/>
  <c r="B97" i="53"/>
  <c r="G89" i="53"/>
  <c r="B89" i="53"/>
  <c r="G81" i="53"/>
  <c r="B81" i="53"/>
  <c r="J366" i="53"/>
  <c r="O366" i="53"/>
  <c r="J358" i="53"/>
  <c r="O358" i="53"/>
  <c r="J350" i="53"/>
  <c r="O350" i="53"/>
  <c r="J342" i="53"/>
  <c r="O342" i="53"/>
  <c r="J334" i="53"/>
  <c r="O334" i="53"/>
  <c r="J326" i="53"/>
  <c r="O326" i="53"/>
  <c r="J318" i="53"/>
  <c r="O318" i="53"/>
  <c r="J310" i="53"/>
  <c r="O310" i="53"/>
  <c r="J302" i="53"/>
  <c r="O302" i="53"/>
  <c r="J294" i="53"/>
  <c r="O294" i="53"/>
  <c r="O286" i="53"/>
  <c r="J286" i="53"/>
  <c r="O278" i="53"/>
  <c r="J278" i="53"/>
  <c r="O270" i="53"/>
  <c r="J270" i="53"/>
  <c r="O262" i="53"/>
  <c r="J262" i="53"/>
  <c r="O254" i="53"/>
  <c r="J254" i="53"/>
  <c r="O246" i="53"/>
  <c r="J246" i="53"/>
  <c r="O238" i="53"/>
  <c r="J238" i="53"/>
  <c r="O230" i="53"/>
  <c r="J230" i="53"/>
  <c r="O222" i="53"/>
  <c r="J222" i="53"/>
  <c r="O214" i="53"/>
  <c r="J214" i="53"/>
  <c r="O206" i="53"/>
  <c r="J206" i="53"/>
  <c r="O198" i="53"/>
  <c r="J198" i="53"/>
  <c r="O190" i="53"/>
  <c r="J190" i="53"/>
  <c r="O182" i="53"/>
  <c r="J182" i="53"/>
  <c r="O174" i="53"/>
  <c r="J174" i="53"/>
  <c r="O166" i="53"/>
  <c r="J166" i="53"/>
  <c r="O158" i="53"/>
  <c r="J158" i="53"/>
  <c r="O142" i="53"/>
  <c r="J142" i="53"/>
  <c r="O110" i="53"/>
  <c r="J110" i="53"/>
  <c r="O94" i="53"/>
  <c r="J94" i="53"/>
  <c r="O86" i="53"/>
  <c r="J86" i="53"/>
  <c r="W364" i="53"/>
  <c r="R364" i="53"/>
  <c r="W356" i="53"/>
  <c r="R356" i="53"/>
  <c r="W348" i="53"/>
  <c r="R348" i="53"/>
  <c r="W340" i="53"/>
  <c r="R340" i="53"/>
  <c r="W332" i="53"/>
  <c r="R332" i="53"/>
  <c r="W324" i="53"/>
  <c r="R324" i="53"/>
  <c r="W316" i="53"/>
  <c r="R316" i="53"/>
  <c r="W308" i="53"/>
  <c r="R308" i="53"/>
  <c r="W300" i="53"/>
  <c r="R300" i="53"/>
  <c r="W292" i="53"/>
  <c r="R292" i="53"/>
  <c r="W284" i="53"/>
  <c r="R284" i="53"/>
  <c r="W276" i="53"/>
  <c r="R276" i="53"/>
  <c r="W268" i="53"/>
  <c r="R268" i="53"/>
  <c r="W260" i="53"/>
  <c r="R260" i="53"/>
  <c r="W252" i="53"/>
  <c r="R252" i="53"/>
  <c r="W244" i="53"/>
  <c r="R244" i="53"/>
  <c r="W236" i="53"/>
  <c r="R236" i="53"/>
  <c r="W228" i="53"/>
  <c r="R228" i="53"/>
  <c r="W220" i="53"/>
  <c r="R220" i="53"/>
  <c r="W212" i="53"/>
  <c r="R212" i="53"/>
  <c r="W204" i="53"/>
  <c r="R204" i="53"/>
  <c r="W196" i="53"/>
  <c r="R196" i="53"/>
  <c r="W188" i="53"/>
  <c r="R188" i="53"/>
  <c r="W180" i="53"/>
  <c r="R180" i="53"/>
  <c r="W172" i="53"/>
  <c r="R172" i="53"/>
  <c r="W164" i="53"/>
  <c r="R164" i="53"/>
  <c r="W156" i="53"/>
  <c r="R156" i="53"/>
  <c r="W148" i="53"/>
  <c r="R148" i="53"/>
  <c r="W140" i="53"/>
  <c r="R140" i="53"/>
  <c r="W124" i="53"/>
  <c r="R124" i="53"/>
  <c r="W108" i="53"/>
  <c r="R108" i="53"/>
  <c r="W100" i="53"/>
  <c r="R100" i="53"/>
  <c r="W92" i="53"/>
  <c r="R92" i="53"/>
  <c r="W5" i="53"/>
  <c r="R5" i="53"/>
  <c r="Z362" i="53"/>
  <c r="AE362" i="53"/>
  <c r="Z354" i="53"/>
  <c r="AE354" i="53"/>
  <c r="AE346" i="53"/>
  <c r="Z346" i="53"/>
  <c r="Z338" i="53"/>
  <c r="AE338" i="53"/>
  <c r="Z330" i="53"/>
  <c r="AE330" i="53"/>
  <c r="Z322" i="53"/>
  <c r="AE322" i="53"/>
  <c r="AE314" i="53"/>
  <c r="Z314" i="53"/>
  <c r="Z306" i="53"/>
  <c r="AE306" i="53"/>
  <c r="Z298" i="53"/>
  <c r="AE298" i="53"/>
  <c r="Z290" i="53"/>
  <c r="AE290" i="53"/>
  <c r="AE282" i="53"/>
  <c r="Z282" i="53"/>
  <c r="Z274" i="53"/>
  <c r="AE274" i="53"/>
  <c r="Z266" i="53"/>
  <c r="AE266" i="53"/>
  <c r="Z258" i="53"/>
  <c r="AE258" i="53"/>
  <c r="Z250" i="53"/>
  <c r="AE250" i="53"/>
  <c r="Z242" i="53"/>
  <c r="AE242" i="53"/>
  <c r="Z234" i="53"/>
  <c r="AE234" i="53"/>
  <c r="Z226" i="53"/>
  <c r="AE226" i="53"/>
  <c r="Z218" i="53"/>
  <c r="AE218" i="53"/>
  <c r="Z210" i="53"/>
  <c r="AE210" i="53"/>
  <c r="AE202" i="53"/>
  <c r="Z202" i="53"/>
  <c r="Z194" i="53"/>
  <c r="AE194" i="53"/>
  <c r="Z186" i="53"/>
  <c r="AE186" i="53"/>
  <c r="Z178" i="53"/>
  <c r="AE178" i="53"/>
  <c r="Z170" i="53"/>
  <c r="AE170" i="53"/>
  <c r="Z162" i="53"/>
  <c r="AE162" i="53"/>
  <c r="Z154" i="53"/>
  <c r="AE154" i="53"/>
  <c r="Z146" i="53"/>
  <c r="AE146" i="53"/>
  <c r="Z122" i="53"/>
  <c r="AE122" i="53"/>
  <c r="AE106" i="53"/>
  <c r="Z106" i="53"/>
  <c r="Z98" i="53"/>
  <c r="AE98" i="53"/>
  <c r="Z90" i="53"/>
  <c r="AE90" i="53"/>
  <c r="Z82" i="53"/>
  <c r="AE82" i="53"/>
  <c r="AE3" i="53"/>
  <c r="Z3" i="53"/>
  <c r="AM360" i="53"/>
  <c r="AH360" i="53"/>
  <c r="AM352" i="53"/>
  <c r="AH352" i="53"/>
  <c r="AH344" i="53"/>
  <c r="AM344" i="53"/>
  <c r="AH336" i="53"/>
  <c r="AM336" i="53"/>
  <c r="AH328" i="53"/>
  <c r="AM328" i="53"/>
  <c r="AM320" i="53"/>
  <c r="AH320" i="53"/>
  <c r="AM312" i="53"/>
  <c r="AH312" i="53"/>
  <c r="AM304" i="53"/>
  <c r="AH304" i="53"/>
  <c r="AM296" i="53"/>
  <c r="AH296" i="53"/>
  <c r="AM288" i="53"/>
  <c r="AH288" i="53"/>
  <c r="AH280" i="53"/>
  <c r="AM280" i="53"/>
  <c r="AM272" i="53"/>
  <c r="AH272" i="53"/>
  <c r="AH264" i="53"/>
  <c r="AM264" i="53"/>
  <c r="AM256" i="53"/>
  <c r="AH256" i="53"/>
  <c r="AM248" i="53"/>
  <c r="AH248" i="53"/>
  <c r="AM240" i="53"/>
  <c r="AH240" i="53"/>
  <c r="AM232" i="53"/>
  <c r="AH232" i="53"/>
  <c r="AM224" i="53"/>
  <c r="AH224" i="53"/>
  <c r="AH216" i="53"/>
  <c r="AM216" i="53"/>
  <c r="AM208" i="53"/>
  <c r="AH208" i="53"/>
  <c r="AM200" i="53"/>
  <c r="AH200" i="53"/>
  <c r="AM192" i="53"/>
  <c r="AH192" i="53"/>
  <c r="AM184" i="53"/>
  <c r="AH184" i="53"/>
  <c r="AM176" i="53"/>
  <c r="AH176" i="53"/>
  <c r="AM168" i="53"/>
  <c r="AH168" i="53"/>
  <c r="AM160" i="53"/>
  <c r="AH160" i="53"/>
  <c r="AM144" i="53"/>
  <c r="AH144" i="53"/>
  <c r="AH112" i="53"/>
  <c r="AM112" i="53"/>
  <c r="AM104" i="53"/>
  <c r="AH104" i="53"/>
  <c r="AM96" i="53"/>
  <c r="AH96" i="53"/>
  <c r="AM88" i="53"/>
  <c r="AH88" i="53"/>
  <c r="AM80" i="53"/>
  <c r="AH80" i="53"/>
  <c r="AM72" i="53"/>
  <c r="AH72" i="53"/>
  <c r="AU366" i="53"/>
  <c r="AP366" i="53"/>
  <c r="AP358" i="53"/>
  <c r="AU358" i="53"/>
  <c r="AU350" i="53"/>
  <c r="AP350" i="53"/>
  <c r="AP342" i="53"/>
  <c r="AU342" i="53"/>
  <c r="AP334" i="53"/>
  <c r="AU334" i="53"/>
  <c r="AU326" i="53"/>
  <c r="AP326" i="53"/>
  <c r="AP318" i="53"/>
  <c r="AU318" i="53"/>
  <c r="AP310" i="53"/>
  <c r="AU310" i="53"/>
  <c r="AP302" i="53"/>
  <c r="AU302" i="53"/>
  <c r="AP294" i="53"/>
  <c r="AU294" i="53"/>
  <c r="AU286" i="53"/>
  <c r="AP286" i="53"/>
  <c r="AP278" i="53"/>
  <c r="AU278" i="53"/>
  <c r="AP270" i="53"/>
  <c r="AU270" i="53"/>
  <c r="AP262" i="53"/>
  <c r="AU262" i="53"/>
  <c r="AP254" i="53"/>
  <c r="AU254" i="53"/>
  <c r="AP246" i="53"/>
  <c r="AU246" i="53"/>
  <c r="AP238" i="53"/>
  <c r="AU238" i="53"/>
  <c r="AP230" i="53"/>
  <c r="AU230" i="53"/>
  <c r="AU222" i="53"/>
  <c r="AP222" i="53"/>
  <c r="AP214" i="53"/>
  <c r="AU214" i="53"/>
  <c r="AU206" i="53"/>
  <c r="AP206" i="53"/>
  <c r="AP198" i="53"/>
  <c r="AU198" i="53"/>
  <c r="AP190" i="53"/>
  <c r="AU190" i="53"/>
  <c r="AP182" i="53"/>
  <c r="AU182" i="53"/>
  <c r="AU174" i="53"/>
  <c r="AP174" i="53"/>
  <c r="AU166" i="53"/>
  <c r="AP166" i="53"/>
  <c r="AP158" i="53"/>
  <c r="AU158" i="53"/>
  <c r="AP142" i="53"/>
  <c r="AU142" i="53"/>
  <c r="AP126" i="53"/>
  <c r="AU126" i="53"/>
  <c r="AP110" i="53"/>
  <c r="AU110" i="53"/>
  <c r="AP94" i="53"/>
  <c r="AU94" i="53"/>
  <c r="AP86" i="53"/>
  <c r="AU86" i="53"/>
  <c r="AX364" i="53"/>
  <c r="BC364" i="53"/>
  <c r="AX356" i="53"/>
  <c r="BC356" i="53"/>
  <c r="AX348" i="53"/>
  <c r="BC348" i="53"/>
  <c r="BC340" i="53"/>
  <c r="AX340" i="53"/>
  <c r="BC332" i="53"/>
  <c r="AX332" i="53"/>
  <c r="BC324" i="53"/>
  <c r="AX324" i="53"/>
  <c r="BC316" i="53"/>
  <c r="AX316" i="53"/>
  <c r="BC308" i="53"/>
  <c r="AX308" i="53"/>
  <c r="BC300" i="53"/>
  <c r="AX300" i="53"/>
  <c r="BC292" i="53"/>
  <c r="AX292" i="53"/>
  <c r="BC284" i="53"/>
  <c r="AX284" i="53"/>
  <c r="BC276" i="53"/>
  <c r="AX276" i="53"/>
  <c r="BC268" i="53"/>
  <c r="AX268" i="53"/>
  <c r="BC260" i="53"/>
  <c r="AX260" i="53"/>
  <c r="BC252" i="53"/>
  <c r="AX252" i="53"/>
  <c r="BC244" i="53"/>
  <c r="AX244" i="53"/>
  <c r="BC236" i="53"/>
  <c r="AX236" i="53"/>
  <c r="BC228" i="53"/>
  <c r="AX228" i="53"/>
  <c r="BC220" i="53"/>
  <c r="AX220" i="53"/>
  <c r="AX212" i="53"/>
  <c r="BC212" i="53"/>
  <c r="BC204" i="53"/>
  <c r="AX204" i="53"/>
  <c r="BC196" i="53"/>
  <c r="AX196" i="53"/>
  <c r="BC188" i="53"/>
  <c r="AX188" i="53"/>
  <c r="BC180" i="53"/>
  <c r="AX180" i="53"/>
  <c r="BC172" i="53"/>
  <c r="AX172" i="53"/>
  <c r="AX164" i="53"/>
  <c r="BC164" i="53"/>
  <c r="BC156" i="53"/>
  <c r="AX156" i="53"/>
  <c r="BC148" i="53"/>
  <c r="AX148" i="53"/>
  <c r="BC140" i="53"/>
  <c r="AX140" i="53"/>
  <c r="AX124" i="53"/>
  <c r="BC124" i="53"/>
  <c r="BC108" i="53"/>
  <c r="AX108" i="53"/>
  <c r="AX100" i="53"/>
  <c r="BC100" i="53"/>
  <c r="AX92" i="53"/>
  <c r="BC92" i="53"/>
  <c r="BF366" i="53"/>
  <c r="BK366" i="53"/>
  <c r="BF358" i="53"/>
  <c r="BK358" i="53"/>
  <c r="BF350" i="53"/>
  <c r="BK350" i="53"/>
  <c r="BF342" i="53"/>
  <c r="BK342" i="53"/>
  <c r="BF334" i="53"/>
  <c r="BK334" i="53"/>
  <c r="BK326" i="53"/>
  <c r="BF326" i="53"/>
  <c r="BK318" i="53"/>
  <c r="BF318" i="53"/>
  <c r="BK310" i="53"/>
  <c r="BF310" i="53"/>
  <c r="BF302" i="53"/>
  <c r="BK302" i="53"/>
  <c r="BF294" i="53"/>
  <c r="BK294" i="53"/>
  <c r="BK286" i="53"/>
  <c r="BF286" i="53"/>
  <c r="BF278" i="53"/>
  <c r="BK278" i="53"/>
  <c r="BK270" i="53"/>
  <c r="BF270" i="53"/>
  <c r="BF262" i="53"/>
  <c r="BK262" i="53"/>
  <c r="BK254" i="53"/>
  <c r="BF254" i="53"/>
  <c r="BK246" i="53"/>
  <c r="BF246" i="53"/>
  <c r="BK238" i="53"/>
  <c r="BF238" i="53"/>
  <c r="BK230" i="53"/>
  <c r="BF230" i="53"/>
  <c r="BK222" i="53"/>
  <c r="BF222" i="53"/>
  <c r="BK214" i="53"/>
  <c r="BF214" i="53"/>
  <c r="BF206" i="53"/>
  <c r="BK206" i="53"/>
  <c r="BK198" i="53"/>
  <c r="BF198" i="53"/>
  <c r="BK190" i="53"/>
  <c r="BF190" i="53"/>
  <c r="BK182" i="53"/>
  <c r="BF182" i="53"/>
  <c r="BF174" i="53"/>
  <c r="BK174" i="53"/>
  <c r="BF166" i="53"/>
  <c r="BK166" i="53"/>
  <c r="BF158" i="53"/>
  <c r="BK158" i="53"/>
  <c r="BK142" i="53"/>
  <c r="BF142" i="53"/>
  <c r="BK126" i="53"/>
  <c r="BF126" i="53"/>
  <c r="BF110" i="53"/>
  <c r="BK110" i="53"/>
  <c r="BF94" i="53"/>
  <c r="BK94" i="53"/>
  <c r="BK86" i="53"/>
  <c r="BF86" i="53"/>
  <c r="BS364" i="53"/>
  <c r="BN364" i="53"/>
  <c r="BN356" i="53"/>
  <c r="BS356" i="53"/>
  <c r="BN348" i="53"/>
  <c r="BS348" i="53"/>
  <c r="BS340" i="53"/>
  <c r="BN340" i="53"/>
  <c r="BS332" i="53"/>
  <c r="BN332" i="53"/>
  <c r="BN324" i="53"/>
  <c r="BS324" i="53"/>
  <c r="BN316" i="53"/>
  <c r="BS316" i="53"/>
  <c r="BS308" i="53"/>
  <c r="BN308" i="53"/>
  <c r="BN300" i="53"/>
  <c r="BS300" i="53"/>
  <c r="BS292" i="53"/>
  <c r="BN292" i="53"/>
  <c r="BS284" i="53"/>
  <c r="BN284" i="53"/>
  <c r="BN276" i="53"/>
  <c r="BS276" i="53"/>
  <c r="BN268" i="53"/>
  <c r="BS268" i="53"/>
  <c r="BN260" i="53"/>
  <c r="BS260" i="53"/>
  <c r="BN252" i="53"/>
  <c r="BS252" i="53"/>
  <c r="BN244" i="53"/>
  <c r="BS244" i="53"/>
  <c r="BN236" i="53"/>
  <c r="BS236" i="53"/>
  <c r="BN228" i="53"/>
  <c r="BS228" i="53"/>
  <c r="BN220" i="53"/>
  <c r="BS220" i="53"/>
  <c r="BS212" i="53"/>
  <c r="BN212" i="53"/>
  <c r="BN204" i="53"/>
  <c r="BS204" i="53"/>
  <c r="BN196" i="53"/>
  <c r="BS196" i="53"/>
  <c r="BN188" i="53"/>
  <c r="BS188" i="53"/>
  <c r="BN180" i="53"/>
  <c r="BS180" i="53"/>
  <c r="BN172" i="53"/>
  <c r="BS172" i="53"/>
  <c r="BN164" i="53"/>
  <c r="BS164" i="53"/>
  <c r="BN156" i="53"/>
  <c r="BS156" i="53"/>
  <c r="BS148" i="53"/>
  <c r="BS140" i="53"/>
  <c r="BS124" i="53"/>
  <c r="BS108" i="53"/>
  <c r="BS100" i="53"/>
  <c r="BS92" i="53"/>
  <c r="BS5" i="53"/>
  <c r="CA362" i="53"/>
  <c r="BV362" i="53"/>
  <c r="BV354" i="53"/>
  <c r="CA354" i="53"/>
  <c r="CA346" i="53"/>
  <c r="BV346" i="53"/>
  <c r="BV338" i="53"/>
  <c r="CA338" i="53"/>
  <c r="BV330" i="53"/>
  <c r="CA330" i="53"/>
  <c r="CA322" i="53"/>
  <c r="BV322" i="53"/>
  <c r="BV314" i="53"/>
  <c r="CA314" i="53"/>
  <c r="BV306" i="53"/>
  <c r="CA306" i="53"/>
  <c r="CA298" i="53"/>
  <c r="BV298" i="53"/>
  <c r="BV290" i="53"/>
  <c r="CA290" i="53"/>
  <c r="CA282" i="53"/>
  <c r="BV282" i="53"/>
  <c r="CA274" i="53"/>
  <c r="BV274" i="53"/>
  <c r="CA266" i="53"/>
  <c r="BV266" i="53"/>
  <c r="CA258" i="53"/>
  <c r="BV258" i="53"/>
  <c r="CA250" i="53"/>
  <c r="BV250" i="53"/>
  <c r="CA242" i="53"/>
  <c r="BV242" i="53"/>
  <c r="CA234" i="53"/>
  <c r="BV234" i="53"/>
  <c r="CA226" i="53"/>
  <c r="BV226" i="53"/>
  <c r="BV218" i="53"/>
  <c r="CA218" i="53"/>
  <c r="CA210" i="53"/>
  <c r="BV210" i="53"/>
  <c r="BV202" i="53"/>
  <c r="CA202" i="53"/>
  <c r="CA194" i="53"/>
  <c r="BV194" i="53"/>
  <c r="BV186" i="53"/>
  <c r="CA186" i="53"/>
  <c r="CA178" i="53"/>
  <c r="BV178" i="53"/>
  <c r="CA170" i="53"/>
  <c r="BV170" i="53"/>
  <c r="CA162" i="53"/>
  <c r="BV162" i="53"/>
  <c r="CA154" i="53"/>
  <c r="BV154" i="53"/>
  <c r="BV146" i="53"/>
  <c r="CA146" i="53"/>
  <c r="BV122" i="53"/>
  <c r="CA122" i="53"/>
  <c r="CA106" i="53"/>
  <c r="BV106" i="53"/>
  <c r="CA98" i="53"/>
  <c r="BV98" i="53"/>
  <c r="BV90" i="53"/>
  <c r="CA90" i="53"/>
  <c r="CA82" i="53"/>
  <c r="BV82" i="53"/>
  <c r="G316" i="53"/>
  <c r="B316" i="53"/>
  <c r="G252" i="53"/>
  <c r="B252" i="53"/>
  <c r="G196" i="53"/>
  <c r="B196" i="53"/>
  <c r="J361" i="53"/>
  <c r="O361" i="53"/>
  <c r="J297" i="53"/>
  <c r="O297" i="53"/>
  <c r="J233" i="53"/>
  <c r="O233" i="53"/>
  <c r="J169" i="53"/>
  <c r="O169" i="53"/>
  <c r="O89" i="53"/>
  <c r="J89" i="53"/>
  <c r="W335" i="53"/>
  <c r="R335" i="53"/>
  <c r="W271" i="53"/>
  <c r="R271" i="53"/>
  <c r="W215" i="53"/>
  <c r="R215" i="53"/>
  <c r="W87" i="53"/>
  <c r="R87" i="53"/>
  <c r="AE349" i="53"/>
  <c r="Z349" i="53"/>
  <c r="AE285" i="53"/>
  <c r="Z285" i="53"/>
  <c r="Z221" i="53"/>
  <c r="AE221" i="53"/>
  <c r="AE157" i="53"/>
  <c r="Z157" i="53"/>
  <c r="AM347" i="53"/>
  <c r="AH347" i="53"/>
  <c r="AH283" i="53"/>
  <c r="AM283" i="53"/>
  <c r="AH219" i="53"/>
  <c r="AM219" i="53"/>
  <c r="AH155" i="53"/>
  <c r="AM155" i="53"/>
  <c r="AM91" i="53"/>
  <c r="AH91" i="53"/>
  <c r="AP345" i="53"/>
  <c r="AU345" i="53"/>
  <c r="AP281" i="53"/>
  <c r="AU281" i="53"/>
  <c r="AP217" i="53"/>
  <c r="AU217" i="53"/>
  <c r="AU153" i="53"/>
  <c r="AP153" i="53"/>
  <c r="AU89" i="53"/>
  <c r="AP89" i="53"/>
  <c r="BC2" i="53"/>
  <c r="AX2" i="53"/>
  <c r="BC303" i="53"/>
  <c r="AX303" i="53"/>
  <c r="BC231" i="53"/>
  <c r="AX231" i="53"/>
  <c r="BC167" i="53"/>
  <c r="AX167" i="53"/>
  <c r="AX103" i="53"/>
  <c r="BC103" i="53"/>
  <c r="BK321" i="53"/>
  <c r="BF321" i="53"/>
  <c r="BK257" i="53"/>
  <c r="BF257" i="53"/>
  <c r="BK193" i="53"/>
  <c r="BF193" i="53"/>
  <c r="BK129" i="53"/>
  <c r="BF129" i="53"/>
  <c r="BS359" i="53"/>
  <c r="BN359" i="53"/>
  <c r="BN303" i="53"/>
  <c r="BS303" i="53"/>
  <c r="BS239" i="53"/>
  <c r="BN239" i="53"/>
  <c r="BS151" i="53"/>
  <c r="G339" i="53"/>
  <c r="B339" i="53"/>
  <c r="G283" i="53"/>
  <c r="B283" i="53"/>
  <c r="G227" i="53"/>
  <c r="B227" i="53"/>
  <c r="G171" i="53"/>
  <c r="B171" i="53"/>
  <c r="B123" i="53"/>
  <c r="G123" i="53"/>
  <c r="O336" i="53"/>
  <c r="J336" i="53"/>
  <c r="O280" i="53"/>
  <c r="J280" i="53"/>
  <c r="O224" i="53"/>
  <c r="J224" i="53"/>
  <c r="O168" i="53"/>
  <c r="J168" i="53"/>
  <c r="O112" i="53"/>
  <c r="J112" i="53"/>
  <c r="W342" i="53"/>
  <c r="R342" i="53"/>
  <c r="W286" i="53"/>
  <c r="R286" i="53"/>
  <c r="W230" i="53"/>
  <c r="R230" i="53"/>
  <c r="W166" i="53"/>
  <c r="R166" i="53"/>
  <c r="AE324" i="53"/>
  <c r="Z324" i="53"/>
  <c r="Z268" i="53"/>
  <c r="AE268" i="53"/>
  <c r="Z212" i="53"/>
  <c r="AE212" i="53"/>
  <c r="Z156" i="53"/>
  <c r="AE156" i="53"/>
  <c r="AE100" i="53"/>
  <c r="Z100" i="53"/>
  <c r="AH346" i="53"/>
  <c r="AM346" i="53"/>
  <c r="AH290" i="53"/>
  <c r="AM290" i="53"/>
  <c r="AH226" i="53"/>
  <c r="AM226" i="53"/>
  <c r="AH162" i="53"/>
  <c r="AM162" i="53"/>
  <c r="AH106" i="53"/>
  <c r="AM106" i="53"/>
  <c r="AP344" i="53"/>
  <c r="AU344" i="53"/>
  <c r="AU288" i="53"/>
  <c r="AP288" i="53"/>
  <c r="AU216" i="53"/>
  <c r="AP216" i="53"/>
  <c r="G322" i="53"/>
  <c r="B322" i="53"/>
  <c r="G329" i="53"/>
  <c r="B329" i="53"/>
  <c r="G297" i="53"/>
  <c r="B297" i="53"/>
  <c r="G360" i="53"/>
  <c r="B360" i="53"/>
  <c r="B352" i="53"/>
  <c r="G352" i="53"/>
  <c r="G344" i="53"/>
  <c r="B344" i="53"/>
  <c r="G336" i="53"/>
  <c r="B336" i="53"/>
  <c r="G328" i="53"/>
  <c r="B328" i="53"/>
  <c r="G320" i="53"/>
  <c r="B320" i="53"/>
  <c r="B312" i="53"/>
  <c r="G312" i="53"/>
  <c r="G304" i="53"/>
  <c r="B304" i="53"/>
  <c r="G296" i="53"/>
  <c r="B296" i="53"/>
  <c r="G288" i="53"/>
  <c r="B288" i="53"/>
  <c r="G280" i="53"/>
  <c r="B280" i="53"/>
  <c r="B272" i="53"/>
  <c r="G272" i="53"/>
  <c r="G264" i="53"/>
  <c r="B264" i="53"/>
  <c r="G256" i="53"/>
  <c r="B256" i="53"/>
  <c r="G248" i="53"/>
  <c r="B248" i="53"/>
  <c r="B240" i="53"/>
  <c r="G240" i="53"/>
  <c r="G232" i="53"/>
  <c r="B232" i="53"/>
  <c r="G224" i="53"/>
  <c r="B224" i="53"/>
  <c r="G216" i="53"/>
  <c r="B216" i="53"/>
  <c r="B208" i="53"/>
  <c r="G208" i="53"/>
  <c r="G200" i="53"/>
  <c r="B200" i="53"/>
  <c r="G192" i="53"/>
  <c r="B192" i="53"/>
  <c r="G184" i="53"/>
  <c r="B184" i="53"/>
  <c r="B176" i="53"/>
  <c r="G176" i="53"/>
  <c r="G168" i="53"/>
  <c r="B168" i="53"/>
  <c r="G160" i="53"/>
  <c r="B160" i="53"/>
  <c r="B144" i="53"/>
  <c r="G144" i="53"/>
  <c r="B112" i="53"/>
  <c r="G112" i="53"/>
  <c r="G104" i="53"/>
  <c r="B104" i="53"/>
  <c r="G96" i="53"/>
  <c r="B96" i="53"/>
  <c r="G88" i="53"/>
  <c r="B88" i="53"/>
  <c r="B80" i="53"/>
  <c r="G80" i="53"/>
  <c r="G72" i="53"/>
  <c r="B72" i="53"/>
  <c r="O365" i="53"/>
  <c r="J365" i="53"/>
  <c r="J357" i="53"/>
  <c r="O357" i="53"/>
  <c r="O349" i="53"/>
  <c r="J349" i="53"/>
  <c r="J341" i="53"/>
  <c r="O341" i="53"/>
  <c r="O333" i="53"/>
  <c r="J333" i="53"/>
  <c r="O325" i="53"/>
  <c r="J325" i="53"/>
  <c r="O317" i="53"/>
  <c r="J317" i="53"/>
  <c r="O309" i="53"/>
  <c r="J309" i="53"/>
  <c r="O301" i="53"/>
  <c r="J301" i="53"/>
  <c r="O293" i="53"/>
  <c r="J293" i="53"/>
  <c r="O285" i="53"/>
  <c r="J285" i="53"/>
  <c r="O277" i="53"/>
  <c r="J277" i="53"/>
  <c r="O269" i="53"/>
  <c r="J269" i="53"/>
  <c r="O261" i="53"/>
  <c r="J261" i="53"/>
  <c r="O253" i="53"/>
  <c r="J253" i="53"/>
  <c r="O245" i="53"/>
  <c r="J245" i="53"/>
  <c r="O237" i="53"/>
  <c r="J237" i="53"/>
  <c r="O229" i="53"/>
  <c r="J229" i="53"/>
  <c r="O221" i="53"/>
  <c r="J221" i="53"/>
  <c r="O213" i="53"/>
  <c r="J213" i="53"/>
  <c r="O205" i="53"/>
  <c r="J205" i="53"/>
  <c r="O197" i="53"/>
  <c r="J197" i="53"/>
  <c r="O189" i="53"/>
  <c r="J189" i="53"/>
  <c r="O181" i="53"/>
  <c r="J181" i="53"/>
  <c r="O173" i="53"/>
  <c r="J173" i="53"/>
  <c r="O165" i="53"/>
  <c r="J165" i="53"/>
  <c r="O157" i="53"/>
  <c r="J157" i="53"/>
  <c r="O109" i="53"/>
  <c r="J109" i="53"/>
  <c r="O101" i="53"/>
  <c r="J101" i="53"/>
  <c r="O93" i="53"/>
  <c r="J93" i="53"/>
  <c r="O77" i="53"/>
  <c r="J77" i="53"/>
  <c r="W363" i="53"/>
  <c r="R363" i="53"/>
  <c r="W355" i="53"/>
  <c r="R355" i="53"/>
  <c r="W347" i="53"/>
  <c r="R347" i="53"/>
  <c r="W339" i="53"/>
  <c r="R339" i="53"/>
  <c r="W331" i="53"/>
  <c r="R331" i="53"/>
  <c r="W323" i="53"/>
  <c r="R323" i="53"/>
  <c r="W315" i="53"/>
  <c r="R315" i="53"/>
  <c r="W307" i="53"/>
  <c r="R307" i="53"/>
  <c r="W299" i="53"/>
  <c r="R299" i="53"/>
  <c r="W291" i="53"/>
  <c r="R291" i="53"/>
  <c r="W283" i="53"/>
  <c r="R283" i="53"/>
  <c r="W275" i="53"/>
  <c r="R275" i="53"/>
  <c r="W267" i="53"/>
  <c r="R267" i="53"/>
  <c r="W259" i="53"/>
  <c r="R259" i="53"/>
  <c r="W251" i="53"/>
  <c r="R251" i="53"/>
  <c r="W243" i="53"/>
  <c r="R243" i="53"/>
  <c r="W235" i="53"/>
  <c r="R235" i="53"/>
  <c r="W227" i="53"/>
  <c r="R227" i="53"/>
  <c r="W219" i="53"/>
  <c r="R219" i="53"/>
  <c r="W211" i="53"/>
  <c r="R211" i="53"/>
  <c r="W203" i="53"/>
  <c r="R203" i="53"/>
  <c r="W195" i="53"/>
  <c r="R195" i="53"/>
  <c r="W187" i="53"/>
  <c r="R187" i="53"/>
  <c r="W179" i="53"/>
  <c r="R179" i="53"/>
  <c r="W171" i="53"/>
  <c r="R171" i="53"/>
  <c r="W163" i="53"/>
  <c r="R163" i="53"/>
  <c r="W155" i="53"/>
  <c r="R155" i="53"/>
  <c r="W147" i="53"/>
  <c r="R147" i="53"/>
  <c r="W123" i="53"/>
  <c r="R123" i="53"/>
  <c r="W99" i="53"/>
  <c r="R99" i="53"/>
  <c r="W91" i="53"/>
  <c r="R91" i="53"/>
  <c r="W83" i="53"/>
  <c r="R83" i="53"/>
  <c r="W4" i="53"/>
  <c r="R4" i="53"/>
  <c r="Z361" i="53"/>
  <c r="AE361" i="53"/>
  <c r="Z353" i="53"/>
  <c r="AE353" i="53"/>
  <c r="Z345" i="53"/>
  <c r="AE345" i="53"/>
  <c r="Z337" i="53"/>
  <c r="AE337" i="53"/>
  <c r="Z329" i="53"/>
  <c r="AE329" i="53"/>
  <c r="Z321" i="53"/>
  <c r="AE321" i="53"/>
  <c r="AE313" i="53"/>
  <c r="Z313" i="53"/>
  <c r="Z305" i="53"/>
  <c r="AE305" i="53"/>
  <c r="Z297" i="53"/>
  <c r="AE297" i="53"/>
  <c r="Z289" i="53"/>
  <c r="AE289" i="53"/>
  <c r="Z281" i="53"/>
  <c r="AE281" i="53"/>
  <c r="Z273" i="53"/>
  <c r="AE273" i="53"/>
  <c r="Z265" i="53"/>
  <c r="AE265" i="53"/>
  <c r="Z257" i="53"/>
  <c r="AE257" i="53"/>
  <c r="Z249" i="53"/>
  <c r="AE249" i="53"/>
  <c r="Z241" i="53"/>
  <c r="AE241" i="53"/>
  <c r="Z233" i="53"/>
  <c r="AE233" i="53"/>
  <c r="Z225" i="53"/>
  <c r="AE225" i="53"/>
  <c r="AE217" i="53"/>
  <c r="Z217" i="53"/>
  <c r="AE209" i="53"/>
  <c r="Z209" i="53"/>
  <c r="Z201" i="53"/>
  <c r="AE201" i="53"/>
  <c r="AE193" i="53"/>
  <c r="Z193" i="53"/>
  <c r="Z185" i="53"/>
  <c r="AE185" i="53"/>
  <c r="Z177" i="53"/>
  <c r="AE177" i="53"/>
  <c r="Z169" i="53"/>
  <c r="AE169" i="53"/>
  <c r="Z161" i="53"/>
  <c r="AE161" i="53"/>
  <c r="Z153" i="53"/>
  <c r="AE153" i="53"/>
  <c r="Z145" i="53"/>
  <c r="AE145" i="53"/>
  <c r="Z113" i="53"/>
  <c r="AE113" i="53"/>
  <c r="Z105" i="53"/>
  <c r="AE105" i="53"/>
  <c r="Z97" i="53"/>
  <c r="AE97" i="53"/>
  <c r="Z89" i="53"/>
  <c r="AE89" i="53"/>
  <c r="Z81" i="53"/>
  <c r="AE81" i="53"/>
  <c r="AM2" i="53"/>
  <c r="AH2" i="53"/>
  <c r="AM359" i="53"/>
  <c r="AH359" i="53"/>
  <c r="AM351" i="53"/>
  <c r="AH351" i="53"/>
  <c r="AM343" i="53"/>
  <c r="AH343" i="53"/>
  <c r="AM335" i="53"/>
  <c r="AH335" i="53"/>
  <c r="AM327" i="53"/>
  <c r="AH327" i="53"/>
  <c r="AM319" i="53"/>
  <c r="AH319" i="53"/>
  <c r="AM311" i="53"/>
  <c r="AH311" i="53"/>
  <c r="AM303" i="53"/>
  <c r="AH303" i="53"/>
  <c r="AM295" i="53"/>
  <c r="AH295" i="53"/>
  <c r="AM287" i="53"/>
  <c r="AH287" i="53"/>
  <c r="AM279" i="53"/>
  <c r="AH279" i="53"/>
  <c r="AM271" i="53"/>
  <c r="AH271" i="53"/>
  <c r="AM263" i="53"/>
  <c r="AH263" i="53"/>
  <c r="AM255" i="53"/>
  <c r="AH255" i="53"/>
  <c r="AM247" i="53"/>
  <c r="AH247" i="53"/>
  <c r="AM239" i="53"/>
  <c r="AH239" i="53"/>
  <c r="AM231" i="53"/>
  <c r="AH231" i="53"/>
  <c r="AH223" i="53"/>
  <c r="AM223" i="53"/>
  <c r="AM215" i="53"/>
  <c r="AH215" i="53"/>
  <c r="AM207" i="53"/>
  <c r="AH207" i="53"/>
  <c r="AM199" i="53"/>
  <c r="AH199" i="53"/>
  <c r="AH191" i="53"/>
  <c r="AM191" i="53"/>
  <c r="AM183" i="53"/>
  <c r="AH183" i="53"/>
  <c r="AM175" i="53"/>
  <c r="AH175" i="53"/>
  <c r="AM167" i="53"/>
  <c r="AH167" i="53"/>
  <c r="AM159" i="53"/>
  <c r="AH159" i="53"/>
  <c r="AH143" i="53"/>
  <c r="AM143" i="53"/>
  <c r="AM127" i="53"/>
  <c r="AH127" i="53"/>
  <c r="AM103" i="53"/>
  <c r="AH103" i="53"/>
  <c r="AM95" i="53"/>
  <c r="AH95" i="53"/>
  <c r="AM87" i="53"/>
  <c r="AH87" i="53"/>
  <c r="AM79" i="53"/>
  <c r="AH79" i="53"/>
  <c r="AM71" i="53"/>
  <c r="AH71" i="53"/>
  <c r="AP365" i="53"/>
  <c r="AU365" i="53"/>
  <c r="AU357" i="53"/>
  <c r="AP357" i="53"/>
  <c r="AU349" i="53"/>
  <c r="AP349" i="53"/>
  <c r="AU341" i="53"/>
  <c r="AP341" i="53"/>
  <c r="AP333" i="53"/>
  <c r="AU333" i="53"/>
  <c r="AP325" i="53"/>
  <c r="AU325" i="53"/>
  <c r="AU317" i="53"/>
  <c r="AP317" i="53"/>
  <c r="AU309" i="53"/>
  <c r="AP309" i="53"/>
  <c r="AP301" i="53"/>
  <c r="AU301" i="53"/>
  <c r="AU293" i="53"/>
  <c r="AP293" i="53"/>
  <c r="AU285" i="53"/>
  <c r="AP285" i="53"/>
  <c r="AU277" i="53"/>
  <c r="AP277" i="53"/>
  <c r="AP269" i="53"/>
  <c r="AU269" i="53"/>
  <c r="AU261" i="53"/>
  <c r="AP261" i="53"/>
  <c r="AU253" i="53"/>
  <c r="AP253" i="53"/>
  <c r="AU245" i="53"/>
  <c r="AP245" i="53"/>
  <c r="AP237" i="53"/>
  <c r="AU237" i="53"/>
  <c r="AU229" i="53"/>
  <c r="AP229" i="53"/>
  <c r="AU221" i="53"/>
  <c r="AP221" i="53"/>
  <c r="AU213" i="53"/>
  <c r="AP213" i="53"/>
  <c r="AP205" i="53"/>
  <c r="AU205" i="53"/>
  <c r="AU197" i="53"/>
  <c r="AP197" i="53"/>
  <c r="AU189" i="53"/>
  <c r="AP189" i="53"/>
  <c r="AU181" i="53"/>
  <c r="AP181" i="53"/>
  <c r="AU173" i="53"/>
  <c r="AP173" i="53"/>
  <c r="AU165" i="53"/>
  <c r="AP165" i="53"/>
  <c r="AU157" i="53"/>
  <c r="AP157" i="53"/>
  <c r="AU125" i="53"/>
  <c r="AP125" i="53"/>
  <c r="AU109" i="53"/>
  <c r="AP109" i="53"/>
  <c r="AU101" i="53"/>
  <c r="AP101" i="53"/>
  <c r="AU93" i="53"/>
  <c r="AP93" i="53"/>
  <c r="AU77" i="53"/>
  <c r="AP77" i="53"/>
  <c r="BC363" i="53"/>
  <c r="AX363" i="53"/>
  <c r="BC355" i="53"/>
  <c r="AX355" i="53"/>
  <c r="BC347" i="53"/>
  <c r="AX347" i="53"/>
  <c r="BC339" i="53"/>
  <c r="AX339" i="53"/>
  <c r="AX331" i="53"/>
  <c r="BC331" i="53"/>
  <c r="AX323" i="53"/>
  <c r="BC323" i="53"/>
  <c r="BC315" i="53"/>
  <c r="AX315" i="53"/>
  <c r="BC307" i="53"/>
  <c r="AX307" i="53"/>
  <c r="AX299" i="53"/>
  <c r="BC299" i="53"/>
  <c r="BC291" i="53"/>
  <c r="AX291" i="53"/>
  <c r="BC283" i="53"/>
  <c r="AX283" i="53"/>
  <c r="AX275" i="53"/>
  <c r="BC275" i="53"/>
  <c r="AX267" i="53"/>
  <c r="BC267" i="53"/>
  <c r="AX259" i="53"/>
  <c r="BC259" i="53"/>
  <c r="AX251" i="53"/>
  <c r="BC251" i="53"/>
  <c r="AX243" i="53"/>
  <c r="BC243" i="53"/>
  <c r="BC235" i="53"/>
  <c r="AX235" i="53"/>
  <c r="BC227" i="53"/>
  <c r="AX227" i="53"/>
  <c r="BC219" i="53"/>
  <c r="AX219" i="53"/>
  <c r="AX211" i="53"/>
  <c r="BC211" i="53"/>
  <c r="AX203" i="53"/>
  <c r="BC203" i="53"/>
  <c r="AX195" i="53"/>
  <c r="BC195" i="53"/>
  <c r="AX187" i="53"/>
  <c r="BC187" i="53"/>
  <c r="AX179" i="53"/>
  <c r="BC179" i="53"/>
  <c r="AX171" i="53"/>
  <c r="BC171" i="53"/>
  <c r="AX163" i="53"/>
  <c r="BC163" i="53"/>
  <c r="AX155" i="53"/>
  <c r="BC155" i="53"/>
  <c r="BC147" i="53"/>
  <c r="AX147" i="53"/>
  <c r="AX123" i="53"/>
  <c r="BC123" i="53"/>
  <c r="BC115" i="53"/>
  <c r="BC99" i="53"/>
  <c r="AX99" i="53"/>
  <c r="AX91" i="53"/>
  <c r="BC91" i="53"/>
  <c r="AX83" i="53"/>
  <c r="BC83" i="53"/>
  <c r="BF365" i="53"/>
  <c r="BK365" i="53"/>
  <c r="BK357" i="53"/>
  <c r="BF357" i="53"/>
  <c r="BK349" i="53"/>
  <c r="BF349" i="53"/>
  <c r="BF341" i="53"/>
  <c r="BK341" i="53"/>
  <c r="BF333" i="53"/>
  <c r="BK333" i="53"/>
  <c r="BF325" i="53"/>
  <c r="BK325" i="53"/>
  <c r="BK317" i="53"/>
  <c r="BF317" i="53"/>
  <c r="BK309" i="53"/>
  <c r="BF309" i="53"/>
  <c r="BK301" i="53"/>
  <c r="BF301" i="53"/>
  <c r="BK293" i="53"/>
  <c r="BF293" i="53"/>
  <c r="BK285" i="53"/>
  <c r="BF285" i="53"/>
  <c r="BF277" i="53"/>
  <c r="BK277" i="53"/>
  <c r="BF269" i="53"/>
  <c r="BK269" i="53"/>
  <c r="BK261" i="53"/>
  <c r="BF261" i="53"/>
  <c r="BK253" i="53"/>
  <c r="BF253" i="53"/>
  <c r="BK245" i="53"/>
  <c r="BF245" i="53"/>
  <c r="BF237" i="53"/>
  <c r="BK237" i="53"/>
  <c r="BK229" i="53"/>
  <c r="BF229" i="53"/>
  <c r="BK221" i="53"/>
  <c r="BF221" i="53"/>
  <c r="BK213" i="53"/>
  <c r="BF213" i="53"/>
  <c r="BF205" i="53"/>
  <c r="BK205" i="53"/>
  <c r="BK197" i="53"/>
  <c r="BF197" i="53"/>
  <c r="BK189" i="53"/>
  <c r="BF189" i="53"/>
  <c r="BF181" i="53"/>
  <c r="BK181" i="53"/>
  <c r="BF173" i="53"/>
  <c r="BK173" i="53"/>
  <c r="BK165" i="53"/>
  <c r="BF165" i="53"/>
  <c r="BK157" i="53"/>
  <c r="BF157" i="53"/>
  <c r="BF149" i="53"/>
  <c r="BK133" i="53"/>
  <c r="BF133" i="53"/>
  <c r="BK125" i="53"/>
  <c r="BF125" i="53"/>
  <c r="BF109" i="53"/>
  <c r="BK109" i="53"/>
  <c r="BK101" i="53"/>
  <c r="BF101" i="53"/>
  <c r="BF93" i="53"/>
  <c r="BK93" i="53"/>
  <c r="BF77" i="53"/>
  <c r="BK77" i="53"/>
  <c r="BS363" i="53"/>
  <c r="BN363" i="53"/>
  <c r="BN355" i="53"/>
  <c r="BS355" i="53"/>
  <c r="BN347" i="53"/>
  <c r="BS347" i="53"/>
  <c r="BS339" i="53"/>
  <c r="BN339" i="53"/>
  <c r="BS331" i="53"/>
  <c r="BN331" i="53"/>
  <c r="BS323" i="53"/>
  <c r="BN323" i="53"/>
  <c r="BN315" i="53"/>
  <c r="BS315" i="53"/>
  <c r="BN307" i="53"/>
  <c r="BS307" i="53"/>
  <c r="BN299" i="53"/>
  <c r="BS299" i="53"/>
  <c r="BN291" i="53"/>
  <c r="BS291" i="53"/>
  <c r="BS283" i="53"/>
  <c r="BN283" i="53"/>
  <c r="BS275" i="53"/>
  <c r="BN275" i="53"/>
  <c r="BS267" i="53"/>
  <c r="BN267" i="53"/>
  <c r="BN259" i="53"/>
  <c r="BS259" i="53"/>
  <c r="BN251" i="53"/>
  <c r="BS251" i="53"/>
  <c r="BN243" i="53"/>
  <c r="BS243" i="53"/>
  <c r="BS235" i="53"/>
  <c r="BN235" i="53"/>
  <c r="BS227" i="53"/>
  <c r="BN227" i="53"/>
  <c r="BN219" i="53"/>
  <c r="BS219" i="53"/>
  <c r="BS211" i="53"/>
  <c r="BN211" i="53"/>
  <c r="BS203" i="53"/>
  <c r="BN203" i="53"/>
  <c r="BS195" i="53"/>
  <c r="BN195" i="53"/>
  <c r="BN187" i="53"/>
  <c r="BS187" i="53"/>
  <c r="BN179" i="53"/>
  <c r="BS179" i="53"/>
  <c r="BS171" i="53"/>
  <c r="BN171" i="53"/>
  <c r="BS163" i="53"/>
  <c r="BN163" i="53"/>
  <c r="BN155" i="53"/>
  <c r="BS155" i="53"/>
  <c r="BS147" i="53"/>
  <c r="BS123" i="53"/>
  <c r="BS99" i="53"/>
  <c r="BS91" i="53"/>
  <c r="BS83" i="53"/>
  <c r="BS4" i="53"/>
  <c r="CA361" i="53"/>
  <c r="BV361" i="53"/>
  <c r="BV353" i="53"/>
  <c r="CA353" i="53"/>
  <c r="BV345" i="53"/>
  <c r="CA345" i="53"/>
  <c r="CA337" i="53"/>
  <c r="BV337" i="53"/>
  <c r="BV329" i="53"/>
  <c r="CA329" i="53"/>
  <c r="BV321" i="53"/>
  <c r="CA321" i="53"/>
  <c r="CA313" i="53"/>
  <c r="BV313" i="53"/>
  <c r="BV305" i="53"/>
  <c r="CA305" i="53"/>
  <c r="BV297" i="53"/>
  <c r="CA297" i="53"/>
  <c r="CA289" i="53"/>
  <c r="BV289" i="53"/>
  <c r="BV281" i="53"/>
  <c r="CA281" i="53"/>
  <c r="CA273" i="53"/>
  <c r="BV273" i="53"/>
  <c r="BV265" i="53"/>
  <c r="CA265" i="53"/>
  <c r="BV257" i="53"/>
  <c r="CA257" i="53"/>
  <c r="CA249" i="53"/>
  <c r="BV249" i="53"/>
  <c r="BV241" i="53"/>
  <c r="CA241" i="53"/>
  <c r="BV233" i="53"/>
  <c r="CA233" i="53"/>
  <c r="BV225" i="53"/>
  <c r="CA225" i="53"/>
  <c r="BV217" i="53"/>
  <c r="CA217" i="53"/>
  <c r="CA209" i="53"/>
  <c r="BV209" i="53"/>
  <c r="BV201" i="53"/>
  <c r="CA201" i="53"/>
  <c r="BV193" i="53"/>
  <c r="CA193" i="53"/>
  <c r="CA185" i="53"/>
  <c r="BV185" i="53"/>
  <c r="BV177" i="53"/>
  <c r="CA177" i="53"/>
  <c r="BV169" i="53"/>
  <c r="CA169" i="53"/>
  <c r="BV161" i="53"/>
  <c r="CA161" i="53"/>
  <c r="BV153" i="53"/>
  <c r="CA153" i="53"/>
  <c r="CA145" i="53"/>
  <c r="BV145" i="53"/>
  <c r="BV113" i="53"/>
  <c r="CA113" i="53"/>
  <c r="BV105" i="53"/>
  <c r="CA105" i="53"/>
  <c r="CA97" i="53"/>
  <c r="BV97" i="53"/>
  <c r="BV89" i="53"/>
  <c r="CA89" i="53"/>
  <c r="BV81" i="53"/>
  <c r="CA81" i="53"/>
  <c r="G332" i="53"/>
  <c r="B332" i="53"/>
  <c r="G268" i="53"/>
  <c r="B268" i="53"/>
  <c r="G212" i="53"/>
  <c r="B212" i="53"/>
  <c r="G140" i="53"/>
  <c r="B140" i="53"/>
  <c r="J313" i="53"/>
  <c r="O313" i="53"/>
  <c r="J249" i="53"/>
  <c r="O249" i="53"/>
  <c r="J185" i="53"/>
  <c r="O185" i="53"/>
  <c r="W327" i="53"/>
  <c r="R327" i="53"/>
  <c r="W263" i="53"/>
  <c r="R263" i="53"/>
  <c r="W191" i="53"/>
  <c r="R191" i="53"/>
  <c r="W127" i="53"/>
  <c r="R127" i="53"/>
  <c r="W71" i="53"/>
  <c r="R71" i="53"/>
  <c r="AE333" i="53"/>
  <c r="Z333" i="53"/>
  <c r="Z269" i="53"/>
  <c r="AE269" i="53"/>
  <c r="AE205" i="53"/>
  <c r="Z205" i="53"/>
  <c r="AE93" i="53"/>
  <c r="Z93" i="53"/>
  <c r="AM315" i="53"/>
  <c r="AH315" i="53"/>
  <c r="AM251" i="53"/>
  <c r="AH251" i="53"/>
  <c r="AH187" i="53"/>
  <c r="AM187" i="53"/>
  <c r="AM123" i="53"/>
  <c r="AH123" i="53"/>
  <c r="AU329" i="53"/>
  <c r="AP329" i="53"/>
  <c r="AU265" i="53"/>
  <c r="AP265" i="53"/>
  <c r="AU201" i="53"/>
  <c r="AP201" i="53"/>
  <c r="BC359" i="53"/>
  <c r="AX359" i="53"/>
  <c r="BC295" i="53"/>
  <c r="AX295" i="53"/>
  <c r="AX239" i="53"/>
  <c r="BC239" i="53"/>
  <c r="BC175" i="53"/>
  <c r="AX175" i="53"/>
  <c r="BC71" i="53"/>
  <c r="AX71" i="53"/>
  <c r="BK313" i="53"/>
  <c r="BF313" i="53"/>
  <c r="BK249" i="53"/>
  <c r="BF249" i="53"/>
  <c r="BK185" i="53"/>
  <c r="BF185" i="53"/>
  <c r="BS351" i="53"/>
  <c r="BN351" i="53"/>
  <c r="BN287" i="53"/>
  <c r="BS287" i="53"/>
  <c r="BS223" i="53"/>
  <c r="BN223" i="53"/>
  <c r="BS127" i="53"/>
  <c r="G315" i="53"/>
  <c r="B315" i="53"/>
  <c r="G259" i="53"/>
  <c r="B259" i="53"/>
  <c r="G195" i="53"/>
  <c r="B195" i="53"/>
  <c r="G83" i="53"/>
  <c r="B83" i="53"/>
  <c r="O312" i="53"/>
  <c r="J312" i="53"/>
  <c r="O256" i="53"/>
  <c r="J256" i="53"/>
  <c r="O200" i="53"/>
  <c r="J200" i="53"/>
  <c r="O144" i="53"/>
  <c r="J144" i="53"/>
  <c r="O88" i="53"/>
  <c r="J88" i="53"/>
  <c r="W350" i="53"/>
  <c r="R350" i="53"/>
  <c r="W294" i="53"/>
  <c r="R294" i="53"/>
  <c r="W238" i="53"/>
  <c r="R238" i="53"/>
  <c r="W182" i="53"/>
  <c r="R182" i="53"/>
  <c r="AE348" i="53"/>
  <c r="Z348" i="53"/>
  <c r="AE292" i="53"/>
  <c r="Z292" i="53"/>
  <c r="AE236" i="53"/>
  <c r="Z236" i="53"/>
  <c r="AE180" i="53"/>
  <c r="Z180" i="53"/>
  <c r="AE124" i="53"/>
  <c r="Z124" i="53"/>
  <c r="AH338" i="53"/>
  <c r="AM338" i="53"/>
  <c r="AM282" i="53"/>
  <c r="AH282" i="53"/>
  <c r="AH234" i="53"/>
  <c r="AM234" i="53"/>
  <c r="AH186" i="53"/>
  <c r="AM186" i="53"/>
  <c r="AH82" i="53"/>
  <c r="AM82" i="53"/>
  <c r="AP328" i="53"/>
  <c r="AU328" i="53"/>
  <c r="AU264" i="53"/>
  <c r="AP264" i="53"/>
  <c r="G362" i="53"/>
  <c r="B362" i="53"/>
  <c r="G361" i="53"/>
  <c r="B361" i="53"/>
  <c r="B321" i="53"/>
  <c r="G321" i="53"/>
  <c r="B289" i="53"/>
  <c r="G289" i="53"/>
  <c r="G2" i="53"/>
  <c r="G359" i="53"/>
  <c r="B359" i="53"/>
  <c r="G351" i="53"/>
  <c r="B351" i="53"/>
  <c r="G343" i="53"/>
  <c r="B343" i="53"/>
  <c r="G335" i="53"/>
  <c r="B335" i="53"/>
  <c r="G327" i="53"/>
  <c r="B327" i="53"/>
  <c r="G319" i="53"/>
  <c r="B319" i="53"/>
  <c r="G311" i="53"/>
  <c r="B311" i="53"/>
  <c r="G303" i="53"/>
  <c r="B303" i="53"/>
  <c r="G295" i="53"/>
  <c r="B295" i="53"/>
  <c r="G287" i="53"/>
  <c r="B287" i="53"/>
  <c r="G279" i="53"/>
  <c r="B279" i="53"/>
  <c r="G271" i="53"/>
  <c r="B271" i="53"/>
  <c r="G263" i="53"/>
  <c r="B263" i="53"/>
  <c r="G255" i="53"/>
  <c r="B255" i="53"/>
  <c r="G247" i="53"/>
  <c r="B247" i="53"/>
  <c r="G239" i="53"/>
  <c r="B239" i="53"/>
  <c r="G231" i="53"/>
  <c r="B231" i="53"/>
  <c r="G223" i="53"/>
  <c r="B223" i="53"/>
  <c r="G215" i="53"/>
  <c r="B215" i="53"/>
  <c r="G207" i="53"/>
  <c r="B207" i="53"/>
  <c r="G199" i="53"/>
  <c r="B199" i="53"/>
  <c r="G191" i="53"/>
  <c r="B191" i="53"/>
  <c r="G183" i="53"/>
  <c r="B183" i="53"/>
  <c r="G175" i="53"/>
  <c r="B175" i="53"/>
  <c r="G167" i="53"/>
  <c r="B167" i="53"/>
  <c r="G159" i="53"/>
  <c r="B159" i="53"/>
  <c r="G143" i="53"/>
  <c r="B143" i="53"/>
  <c r="G127" i="53"/>
  <c r="B127" i="53"/>
  <c r="G103" i="53"/>
  <c r="B103" i="53"/>
  <c r="G95" i="53"/>
  <c r="B95" i="53"/>
  <c r="G87" i="53"/>
  <c r="B87" i="53"/>
  <c r="G79" i="53"/>
  <c r="B79" i="53"/>
  <c r="G71" i="53"/>
  <c r="B71" i="53"/>
  <c r="O364" i="53"/>
  <c r="J364" i="53"/>
  <c r="O356" i="53"/>
  <c r="J356" i="53"/>
  <c r="O348" i="53"/>
  <c r="J348" i="53"/>
  <c r="O340" i="53"/>
  <c r="J340" i="53"/>
  <c r="O332" i="53"/>
  <c r="J332" i="53"/>
  <c r="O324" i="53"/>
  <c r="J324" i="53"/>
  <c r="O316" i="53"/>
  <c r="J316" i="53"/>
  <c r="O308" i="53"/>
  <c r="J308" i="53"/>
  <c r="O300" i="53"/>
  <c r="J300" i="53"/>
  <c r="O292" i="53"/>
  <c r="J292" i="53"/>
  <c r="O284" i="53"/>
  <c r="J284" i="53"/>
  <c r="O276" i="53"/>
  <c r="J276" i="53"/>
  <c r="O268" i="53"/>
  <c r="J268" i="53"/>
  <c r="O260" i="53"/>
  <c r="J260" i="53"/>
  <c r="O252" i="53"/>
  <c r="J252" i="53"/>
  <c r="O244" i="53"/>
  <c r="J244" i="53"/>
  <c r="O236" i="53"/>
  <c r="J236" i="53"/>
  <c r="O228" i="53"/>
  <c r="J228" i="53"/>
  <c r="O220" i="53"/>
  <c r="J220" i="53"/>
  <c r="O212" i="53"/>
  <c r="J212" i="53"/>
  <c r="O204" i="53"/>
  <c r="J204" i="53"/>
  <c r="O196" i="53"/>
  <c r="J196" i="53"/>
  <c r="O188" i="53"/>
  <c r="J188" i="53"/>
  <c r="O180" i="53"/>
  <c r="J180" i="53"/>
  <c r="O172" i="53"/>
  <c r="J172" i="53"/>
  <c r="O164" i="53"/>
  <c r="J164" i="53"/>
  <c r="O156" i="53"/>
  <c r="J156" i="53"/>
  <c r="O148" i="53"/>
  <c r="J148" i="53"/>
  <c r="O140" i="53"/>
  <c r="J140" i="53"/>
  <c r="O124" i="53"/>
  <c r="J124" i="53"/>
  <c r="O108" i="53"/>
  <c r="J108" i="53"/>
  <c r="O100" i="53"/>
  <c r="J100" i="53"/>
  <c r="O92" i="53"/>
  <c r="J92" i="53"/>
  <c r="O5" i="53"/>
  <c r="J5" i="53"/>
  <c r="R362" i="53"/>
  <c r="W362" i="53"/>
  <c r="R354" i="53"/>
  <c r="W354" i="53"/>
  <c r="R346" i="53"/>
  <c r="W346" i="53"/>
  <c r="R338" i="53"/>
  <c r="W338" i="53"/>
  <c r="R330" i="53"/>
  <c r="W330" i="53"/>
  <c r="R322" i="53"/>
  <c r="W322" i="53"/>
  <c r="R314" i="53"/>
  <c r="W314" i="53"/>
  <c r="R306" i="53"/>
  <c r="W306" i="53"/>
  <c r="R298" i="53"/>
  <c r="W298" i="53"/>
  <c r="R290" i="53"/>
  <c r="W290" i="53"/>
  <c r="R282" i="53"/>
  <c r="W282" i="53"/>
  <c r="R274" i="53"/>
  <c r="W274" i="53"/>
  <c r="R266" i="53"/>
  <c r="W266" i="53"/>
  <c r="R258" i="53"/>
  <c r="W258" i="53"/>
  <c r="R250" i="53"/>
  <c r="W250" i="53"/>
  <c r="R242" i="53"/>
  <c r="W242" i="53"/>
  <c r="R234" i="53"/>
  <c r="W234" i="53"/>
  <c r="R226" i="53"/>
  <c r="W226" i="53"/>
  <c r="R218" i="53"/>
  <c r="W218" i="53"/>
  <c r="R210" i="53"/>
  <c r="W210" i="53"/>
  <c r="R202" i="53"/>
  <c r="W202" i="53"/>
  <c r="R194" i="53"/>
  <c r="W194" i="53"/>
  <c r="R186" i="53"/>
  <c r="W186" i="53"/>
  <c r="R178" i="53"/>
  <c r="W178" i="53"/>
  <c r="R170" i="53"/>
  <c r="W170" i="53"/>
  <c r="R162" i="53"/>
  <c r="W162" i="53"/>
  <c r="R154" i="53"/>
  <c r="W154" i="53"/>
  <c r="R146" i="53"/>
  <c r="W146" i="53"/>
  <c r="R122" i="53"/>
  <c r="W122" i="53"/>
  <c r="R106" i="53"/>
  <c r="W106" i="53"/>
  <c r="W98" i="53"/>
  <c r="R90" i="53"/>
  <c r="W90" i="53"/>
  <c r="R82" i="53"/>
  <c r="W82" i="53"/>
  <c r="W3" i="53"/>
  <c r="R3" i="53"/>
  <c r="AE360" i="53"/>
  <c r="Z360" i="53"/>
  <c r="AE352" i="53"/>
  <c r="Z352" i="53"/>
  <c r="AE344" i="53"/>
  <c r="Z344" i="53"/>
  <c r="AE336" i="53"/>
  <c r="Z336" i="53"/>
  <c r="AE328" i="53"/>
  <c r="Z328" i="53"/>
  <c r="AE320" i="53"/>
  <c r="Z320" i="53"/>
  <c r="Z312" i="53"/>
  <c r="AE312" i="53"/>
  <c r="AE304" i="53"/>
  <c r="Z304" i="53"/>
  <c r="Z296" i="53"/>
  <c r="AE296" i="53"/>
  <c r="AE288" i="53"/>
  <c r="Z288" i="53"/>
  <c r="AE280" i="53"/>
  <c r="Z280" i="53"/>
  <c r="AE272" i="53"/>
  <c r="Z272" i="53"/>
  <c r="AE264" i="53"/>
  <c r="Z264" i="53"/>
  <c r="AE256" i="53"/>
  <c r="Z256" i="53"/>
  <c r="AE248" i="53"/>
  <c r="Z248" i="53"/>
  <c r="AE240" i="53"/>
  <c r="Z240" i="53"/>
  <c r="AE232" i="53"/>
  <c r="Z232" i="53"/>
  <c r="AE224" i="53"/>
  <c r="Z224" i="53"/>
  <c r="Z216" i="53"/>
  <c r="AE216" i="53"/>
  <c r="AE208" i="53"/>
  <c r="Z208" i="53"/>
  <c r="AE200" i="53"/>
  <c r="Z200" i="53"/>
  <c r="AE192" i="53"/>
  <c r="Z192" i="53"/>
  <c r="AE184" i="53"/>
  <c r="Z184" i="53"/>
  <c r="AE176" i="53"/>
  <c r="Z176" i="53"/>
  <c r="AE168" i="53"/>
  <c r="Z168" i="53"/>
  <c r="AE160" i="53"/>
  <c r="Z160" i="53"/>
  <c r="AE144" i="53"/>
  <c r="Z144" i="53"/>
  <c r="AE112" i="53"/>
  <c r="Z112" i="53"/>
  <c r="AE104" i="53"/>
  <c r="Z104" i="53"/>
  <c r="AE96" i="53"/>
  <c r="Z96" i="53"/>
  <c r="Z88" i="53"/>
  <c r="AE88" i="53"/>
  <c r="Z80" i="53"/>
  <c r="AE80" i="53"/>
  <c r="AE72" i="53"/>
  <c r="Z72" i="53"/>
  <c r="AM366" i="53"/>
  <c r="AH366" i="53"/>
  <c r="AH358" i="53"/>
  <c r="AM358" i="53"/>
  <c r="AH350" i="53"/>
  <c r="AM350" i="53"/>
  <c r="AH342" i="53"/>
  <c r="AM342" i="53"/>
  <c r="AM334" i="53"/>
  <c r="AH334" i="53"/>
  <c r="AH326" i="53"/>
  <c r="AM326" i="53"/>
  <c r="AM318" i="53"/>
  <c r="AH318" i="53"/>
  <c r="AH310" i="53"/>
  <c r="AM310" i="53"/>
  <c r="AH302" i="53"/>
  <c r="AM302" i="53"/>
  <c r="AM294" i="53"/>
  <c r="AH294" i="53"/>
  <c r="AM286" i="53"/>
  <c r="AH286" i="53"/>
  <c r="AM278" i="53"/>
  <c r="AH278" i="53"/>
  <c r="AM270" i="53"/>
  <c r="AH270" i="53"/>
  <c r="AH262" i="53"/>
  <c r="AM262" i="53"/>
  <c r="AM254" i="53"/>
  <c r="AH254" i="53"/>
  <c r="AM246" i="53"/>
  <c r="AH246" i="53"/>
  <c r="AM238" i="53"/>
  <c r="AH238" i="53"/>
  <c r="AM230" i="53"/>
  <c r="AH230" i="53"/>
  <c r="AM222" i="53"/>
  <c r="AH222" i="53"/>
  <c r="AH214" i="53"/>
  <c r="AM214" i="53"/>
  <c r="AM206" i="53"/>
  <c r="AH206" i="53"/>
  <c r="AH198" i="53"/>
  <c r="AM198" i="53"/>
  <c r="AM190" i="53"/>
  <c r="AH190" i="53"/>
  <c r="AH182" i="53"/>
  <c r="AM182" i="53"/>
  <c r="AM174" i="53"/>
  <c r="AH174" i="53"/>
  <c r="AM166" i="53"/>
  <c r="AH166" i="53"/>
  <c r="AM158" i="53"/>
  <c r="AH158" i="53"/>
  <c r="AM142" i="53"/>
  <c r="AH142" i="53"/>
  <c r="AM110" i="53"/>
  <c r="AH110" i="53"/>
  <c r="AM94" i="53"/>
  <c r="AH94" i="53"/>
  <c r="AM86" i="53"/>
  <c r="AH86" i="53"/>
  <c r="AU364" i="53"/>
  <c r="AP364" i="53"/>
  <c r="AU356" i="53"/>
  <c r="AP356" i="53"/>
  <c r="AU348" i="53"/>
  <c r="AP348" i="53"/>
  <c r="AU340" i="53"/>
  <c r="AP340" i="53"/>
  <c r="AP332" i="53"/>
  <c r="AU332" i="53"/>
  <c r="AU324" i="53"/>
  <c r="AP324" i="53"/>
  <c r="AU316" i="53"/>
  <c r="AP316" i="53"/>
  <c r="AU308" i="53"/>
  <c r="AP308" i="53"/>
  <c r="AP300" i="53"/>
  <c r="AU300" i="53"/>
  <c r="AU292" i="53"/>
  <c r="AP292" i="53"/>
  <c r="AP284" i="53"/>
  <c r="AU284" i="53"/>
  <c r="AU276" i="53"/>
  <c r="AP276" i="53"/>
  <c r="AU268" i="53"/>
  <c r="AP268" i="53"/>
  <c r="AU260" i="53"/>
  <c r="AP260" i="53"/>
  <c r="AU252" i="53"/>
  <c r="AP252" i="53"/>
  <c r="AP244" i="53"/>
  <c r="AU244" i="53"/>
  <c r="AU236" i="53"/>
  <c r="AP236" i="53"/>
  <c r="AU228" i="53"/>
  <c r="AP228" i="53"/>
  <c r="AU220" i="53"/>
  <c r="AP220" i="53"/>
  <c r="AU212" i="53"/>
  <c r="AP212" i="53"/>
  <c r="AU204" i="53"/>
  <c r="AP204" i="53"/>
  <c r="AU196" i="53"/>
  <c r="AP196" i="53"/>
  <c r="AU188" i="53"/>
  <c r="AP188" i="53"/>
  <c r="AP180" i="53"/>
  <c r="AU180" i="53"/>
  <c r="AU172" i="53"/>
  <c r="AP172" i="53"/>
  <c r="AU164" i="53"/>
  <c r="AP164" i="53"/>
  <c r="AU156" i="53"/>
  <c r="AP156" i="53"/>
  <c r="AU148" i="53"/>
  <c r="AP148" i="53"/>
  <c r="AU140" i="53"/>
  <c r="AP140" i="53"/>
  <c r="AU124" i="53"/>
  <c r="AP124" i="53"/>
  <c r="AU108" i="53"/>
  <c r="AP108" i="53"/>
  <c r="AU100" i="53"/>
  <c r="AP100" i="53"/>
  <c r="AU92" i="53"/>
  <c r="AP92" i="53"/>
  <c r="AU5" i="53"/>
  <c r="AP5" i="53"/>
  <c r="BC362" i="53"/>
  <c r="AX362" i="53"/>
  <c r="BC354" i="53"/>
  <c r="AX354" i="53"/>
  <c r="BC346" i="53"/>
  <c r="AX346" i="53"/>
  <c r="BC338" i="53"/>
  <c r="AX338" i="53"/>
  <c r="BC330" i="53"/>
  <c r="AX330" i="53"/>
  <c r="BC322" i="53"/>
  <c r="AX322" i="53"/>
  <c r="BC314" i="53"/>
  <c r="AX314" i="53"/>
  <c r="BC306" i="53"/>
  <c r="AX306" i="53"/>
  <c r="BC298" i="53"/>
  <c r="AX298" i="53"/>
  <c r="BC290" i="53"/>
  <c r="AX290" i="53"/>
  <c r="BC282" i="53"/>
  <c r="AX282" i="53"/>
  <c r="BC274" i="53"/>
  <c r="AX274" i="53"/>
  <c r="BC266" i="53"/>
  <c r="AX266" i="53"/>
  <c r="BC258" i="53"/>
  <c r="AX258" i="53"/>
  <c r="BC250" i="53"/>
  <c r="AX250" i="53"/>
  <c r="BC242" i="53"/>
  <c r="AX242" i="53"/>
  <c r="BC234" i="53"/>
  <c r="AX234" i="53"/>
  <c r="BC226" i="53"/>
  <c r="AX226" i="53"/>
  <c r="BC218" i="53"/>
  <c r="AX218" i="53"/>
  <c r="BC210" i="53"/>
  <c r="AX210" i="53"/>
  <c r="BC202" i="53"/>
  <c r="AX202" i="53"/>
  <c r="BC194" i="53"/>
  <c r="AX194" i="53"/>
  <c r="BC186" i="53"/>
  <c r="AX186" i="53"/>
  <c r="BC178" i="53"/>
  <c r="AX178" i="53"/>
  <c r="BC170" i="53"/>
  <c r="AX170" i="53"/>
  <c r="BC162" i="53"/>
  <c r="AX162" i="53"/>
  <c r="AX154" i="53"/>
  <c r="BC154" i="53"/>
  <c r="BC146" i="53"/>
  <c r="AX146" i="53"/>
  <c r="AX122" i="53"/>
  <c r="BC122" i="53"/>
  <c r="BC106" i="53"/>
  <c r="AX106" i="53"/>
  <c r="BC98" i="53"/>
  <c r="AX98" i="53"/>
  <c r="BC90" i="53"/>
  <c r="AX90" i="53"/>
  <c r="BC82" i="53"/>
  <c r="AX82" i="53"/>
  <c r="BK364" i="53"/>
  <c r="BF364" i="53"/>
  <c r="BK356" i="53"/>
  <c r="BF356" i="53"/>
  <c r="BK348" i="53"/>
  <c r="BF348" i="53"/>
  <c r="BK340" i="53"/>
  <c r="BF340" i="53"/>
  <c r="BK332" i="53"/>
  <c r="BF332" i="53"/>
  <c r="BK324" i="53"/>
  <c r="BF324" i="53"/>
  <c r="BK316" i="53"/>
  <c r="BF316" i="53"/>
  <c r="BF308" i="53"/>
  <c r="BK308" i="53"/>
  <c r="BF300" i="53"/>
  <c r="BK300" i="53"/>
  <c r="BK292" i="53"/>
  <c r="BF292" i="53"/>
  <c r="BK284" i="53"/>
  <c r="BF284" i="53"/>
  <c r="BK276" i="53"/>
  <c r="BF276" i="53"/>
  <c r="BK268" i="53"/>
  <c r="BF268" i="53"/>
  <c r="BF260" i="53"/>
  <c r="BK260" i="53"/>
  <c r="BK252" i="53"/>
  <c r="BF252" i="53"/>
  <c r="BF244" i="53"/>
  <c r="BK244" i="53"/>
  <c r="BK236" i="53"/>
  <c r="BF236" i="53"/>
  <c r="BF228" i="53"/>
  <c r="BK228" i="53"/>
  <c r="BK220" i="53"/>
  <c r="BF220" i="53"/>
  <c r="BK212" i="53"/>
  <c r="BF212" i="53"/>
  <c r="BF204" i="53"/>
  <c r="BK204" i="53"/>
  <c r="BK196" i="53"/>
  <c r="BF196" i="53"/>
  <c r="BK188" i="53"/>
  <c r="BF188" i="53"/>
  <c r="BK180" i="53"/>
  <c r="BF180" i="53"/>
  <c r="BK172" i="53"/>
  <c r="BF172" i="53"/>
  <c r="BF164" i="53"/>
  <c r="BK164" i="53"/>
  <c r="BK156" i="53"/>
  <c r="BF156" i="53"/>
  <c r="BF148" i="53"/>
  <c r="BK148" i="53"/>
  <c r="BF140" i="53"/>
  <c r="BK140" i="53"/>
  <c r="BK124" i="53"/>
  <c r="BF124" i="53"/>
  <c r="BK108" i="53"/>
  <c r="BF108" i="53"/>
  <c r="BF100" i="53"/>
  <c r="BK100" i="53"/>
  <c r="BK92" i="53"/>
  <c r="BF92" i="53"/>
  <c r="BK5" i="53"/>
  <c r="BF5" i="53"/>
  <c r="BS362" i="53"/>
  <c r="BN362" i="53"/>
  <c r="BS354" i="53"/>
  <c r="BN354" i="53"/>
  <c r="BS346" i="53"/>
  <c r="BN346" i="53"/>
  <c r="BS338" i="53"/>
  <c r="BN338" i="53"/>
  <c r="BS330" i="53"/>
  <c r="BN330" i="53"/>
  <c r="BS322" i="53"/>
  <c r="BN322" i="53"/>
  <c r="BS314" i="53"/>
  <c r="BN314" i="53"/>
  <c r="BS306" i="53"/>
  <c r="BN306" i="53"/>
  <c r="BS298" i="53"/>
  <c r="BN298" i="53"/>
  <c r="BS290" i="53"/>
  <c r="BN290" i="53"/>
  <c r="BS282" i="53"/>
  <c r="BN282" i="53"/>
  <c r="BS274" i="53"/>
  <c r="BN274" i="53"/>
  <c r="BS266" i="53"/>
  <c r="BN266" i="53"/>
  <c r="BS258" i="53"/>
  <c r="BN258" i="53"/>
  <c r="BS250" i="53"/>
  <c r="BN250" i="53"/>
  <c r="BS242" i="53"/>
  <c r="BN242" i="53"/>
  <c r="BS234" i="53"/>
  <c r="BN234" i="53"/>
  <c r="BS226" i="53"/>
  <c r="BN226" i="53"/>
  <c r="BS218" i="53"/>
  <c r="BN218" i="53"/>
  <c r="BS210" i="53"/>
  <c r="BN210" i="53"/>
  <c r="BS202" i="53"/>
  <c r="BN202" i="53"/>
  <c r="BS194" i="53"/>
  <c r="BN194" i="53"/>
  <c r="BS186" i="53"/>
  <c r="BN186" i="53"/>
  <c r="BS178" i="53"/>
  <c r="BN178" i="53"/>
  <c r="BS170" i="53"/>
  <c r="BN170" i="53"/>
  <c r="BS162" i="53"/>
  <c r="BN162" i="53"/>
  <c r="BS154" i="53"/>
  <c r="BN154" i="53"/>
  <c r="BS146" i="53"/>
  <c r="BS122" i="53"/>
  <c r="BS106" i="53"/>
  <c r="BS98" i="53"/>
  <c r="BS90" i="53"/>
  <c r="BS82" i="53"/>
  <c r="BS3" i="53"/>
  <c r="BV360" i="53"/>
  <c r="CA360" i="53"/>
  <c r="CA352" i="53"/>
  <c r="BV352" i="53"/>
  <c r="CA344" i="53"/>
  <c r="BV344" i="53"/>
  <c r="BV336" i="53"/>
  <c r="CA336" i="53"/>
  <c r="BV328" i="53"/>
  <c r="CA328" i="53"/>
  <c r="CA320" i="53"/>
  <c r="BV320" i="53"/>
  <c r="BV312" i="53"/>
  <c r="CA312" i="53"/>
  <c r="CA304" i="53"/>
  <c r="BV304" i="53"/>
  <c r="CA296" i="53"/>
  <c r="BV296" i="53"/>
  <c r="BV288" i="53"/>
  <c r="CA288" i="53"/>
  <c r="BV280" i="53"/>
  <c r="CA280" i="53"/>
  <c r="CA272" i="53"/>
  <c r="BV272" i="53"/>
  <c r="CA264" i="53"/>
  <c r="BV264" i="53"/>
  <c r="BV256" i="53"/>
  <c r="CA256" i="53"/>
  <c r="CA248" i="53"/>
  <c r="BV248" i="53"/>
  <c r="BV240" i="53"/>
  <c r="CA240" i="53"/>
  <c r="CA232" i="53"/>
  <c r="BV232" i="53"/>
  <c r="BV224" i="53"/>
  <c r="CA224" i="53"/>
  <c r="CA216" i="53"/>
  <c r="BV216" i="53"/>
  <c r="BV208" i="53"/>
  <c r="CA208" i="53"/>
  <c r="CA200" i="53"/>
  <c r="BV200" i="53"/>
  <c r="CA192" i="53"/>
  <c r="BV192" i="53"/>
  <c r="BV184" i="53"/>
  <c r="CA184" i="53"/>
  <c r="CA176" i="53"/>
  <c r="BV176" i="53"/>
  <c r="CA168" i="53"/>
  <c r="BV168" i="53"/>
  <c r="CA160" i="53"/>
  <c r="BV160" i="53"/>
  <c r="CA152" i="53"/>
  <c r="BV152" i="53"/>
  <c r="BV144" i="53"/>
  <c r="CA144" i="53"/>
  <c r="CA112" i="53"/>
  <c r="BV112" i="53"/>
  <c r="CA104" i="53"/>
  <c r="BV104" i="53"/>
  <c r="BV96" i="53"/>
  <c r="CA96" i="53"/>
  <c r="CA88" i="53"/>
  <c r="BV88" i="53"/>
  <c r="BV80" i="53"/>
  <c r="CA80" i="53"/>
  <c r="CA72" i="53"/>
  <c r="BV72" i="53"/>
  <c r="G308" i="53"/>
  <c r="B308" i="53"/>
  <c r="G244" i="53"/>
  <c r="B244" i="53"/>
  <c r="G188" i="53"/>
  <c r="B188" i="53"/>
  <c r="J345" i="53"/>
  <c r="O345" i="53"/>
  <c r="J281" i="53"/>
  <c r="O281" i="53"/>
  <c r="J217" i="53"/>
  <c r="O217" i="53"/>
  <c r="J153" i="53"/>
  <c r="O153" i="53"/>
  <c r="O81" i="53"/>
  <c r="J81" i="53"/>
  <c r="W343" i="53"/>
  <c r="R343" i="53"/>
  <c r="W279" i="53"/>
  <c r="R279" i="53"/>
  <c r="W223" i="53"/>
  <c r="R223" i="53"/>
  <c r="W167" i="53"/>
  <c r="R167" i="53"/>
  <c r="W95" i="53"/>
  <c r="R95" i="53"/>
  <c r="AE341" i="53"/>
  <c r="Z341" i="53"/>
  <c r="AE277" i="53"/>
  <c r="Z277" i="53"/>
  <c r="Z213" i="53"/>
  <c r="AE213" i="53"/>
  <c r="Z77" i="53"/>
  <c r="AE77" i="53"/>
  <c r="AH339" i="53"/>
  <c r="AM339" i="53"/>
  <c r="AM275" i="53"/>
  <c r="AH275" i="53"/>
  <c r="AM211" i="53"/>
  <c r="AH211" i="53"/>
  <c r="AM147" i="53"/>
  <c r="AH147" i="53"/>
  <c r="AM83" i="53"/>
  <c r="AH83" i="53"/>
  <c r="AU337" i="53"/>
  <c r="AP337" i="53"/>
  <c r="AU273" i="53"/>
  <c r="AP273" i="53"/>
  <c r="AU209" i="53"/>
  <c r="AP209" i="53"/>
  <c r="AU145" i="53"/>
  <c r="AP145" i="53"/>
  <c r="AU81" i="53"/>
  <c r="AP81" i="53"/>
  <c r="BC311" i="53"/>
  <c r="AX311" i="53"/>
  <c r="AX247" i="53"/>
  <c r="BC247" i="53"/>
  <c r="BC183" i="53"/>
  <c r="AX183" i="53"/>
  <c r="BC127" i="53"/>
  <c r="AX127" i="53"/>
  <c r="BK361" i="53"/>
  <c r="BF361" i="53"/>
  <c r="BK297" i="53"/>
  <c r="BF297" i="53"/>
  <c r="BF233" i="53"/>
  <c r="BK233" i="53"/>
  <c r="BK169" i="53"/>
  <c r="BF169" i="53"/>
  <c r="BF105" i="53"/>
  <c r="BK105" i="53"/>
  <c r="BS2" i="53"/>
  <c r="BS295" i="53"/>
  <c r="BN295" i="53"/>
  <c r="BN231" i="53"/>
  <c r="BS231" i="53"/>
  <c r="BS143" i="53"/>
  <c r="G331" i="53"/>
  <c r="B331" i="53"/>
  <c r="G275" i="53"/>
  <c r="B275" i="53"/>
  <c r="G219" i="53"/>
  <c r="B219" i="53"/>
  <c r="B163" i="53"/>
  <c r="G163" i="53"/>
  <c r="B3" i="53"/>
  <c r="G3" i="53"/>
  <c r="O328" i="53"/>
  <c r="J328" i="53"/>
  <c r="O272" i="53"/>
  <c r="J272" i="53"/>
  <c r="O216" i="53"/>
  <c r="J216" i="53"/>
  <c r="O160" i="53"/>
  <c r="J160" i="53"/>
  <c r="O104" i="53"/>
  <c r="J104" i="53"/>
  <c r="W334" i="53"/>
  <c r="R334" i="53"/>
  <c r="W278" i="53"/>
  <c r="R278" i="53"/>
  <c r="W214" i="53"/>
  <c r="R214" i="53"/>
  <c r="W158" i="53"/>
  <c r="R158" i="53"/>
  <c r="W110" i="53"/>
  <c r="R110" i="53"/>
  <c r="Z316" i="53"/>
  <c r="AE316" i="53"/>
  <c r="Z260" i="53"/>
  <c r="AE260" i="53"/>
  <c r="Z204" i="53"/>
  <c r="AE204" i="53"/>
  <c r="Z148" i="53"/>
  <c r="AE148" i="53"/>
  <c r="AE92" i="53"/>
  <c r="Z92" i="53"/>
  <c r="AM354" i="53"/>
  <c r="AH354" i="53"/>
  <c r="AH298" i="53"/>
  <c r="AM298" i="53"/>
  <c r="AH242" i="53"/>
  <c r="AM242" i="53"/>
  <c r="AH178" i="53"/>
  <c r="AM178" i="53"/>
  <c r="AU352" i="53"/>
  <c r="AP352" i="53"/>
  <c r="AP296" i="53"/>
  <c r="AU296" i="53"/>
  <c r="AU224" i="53"/>
  <c r="AP224" i="53"/>
  <c r="G330" i="53"/>
  <c r="B330" i="53"/>
  <c r="G337" i="53"/>
  <c r="B337" i="53"/>
  <c r="G366" i="53"/>
  <c r="B366" i="53"/>
  <c r="G358" i="53"/>
  <c r="B358" i="53"/>
  <c r="G350" i="53"/>
  <c r="B350" i="53"/>
  <c r="G342" i="53"/>
  <c r="B342" i="53"/>
  <c r="G334" i="53"/>
  <c r="B334" i="53"/>
  <c r="G326" i="53"/>
  <c r="B326" i="53"/>
  <c r="G318" i="53"/>
  <c r="B318" i="53"/>
  <c r="G310" i="53"/>
  <c r="B310" i="53"/>
  <c r="G302" i="53"/>
  <c r="B302" i="53"/>
  <c r="G294" i="53"/>
  <c r="B294" i="53"/>
  <c r="G286" i="53"/>
  <c r="B286" i="53"/>
  <c r="G278" i="53"/>
  <c r="B278" i="53"/>
  <c r="G270" i="53"/>
  <c r="B270" i="53"/>
  <c r="G262" i="53"/>
  <c r="B262" i="53"/>
  <c r="G254" i="53"/>
  <c r="B254" i="53"/>
  <c r="G246" i="53"/>
  <c r="B246" i="53"/>
  <c r="G238" i="53"/>
  <c r="B238" i="53"/>
  <c r="G230" i="53"/>
  <c r="B230" i="53"/>
  <c r="G222" i="53"/>
  <c r="B222" i="53"/>
  <c r="G214" i="53"/>
  <c r="B214" i="53"/>
  <c r="G206" i="53"/>
  <c r="B206" i="53"/>
  <c r="G198" i="53"/>
  <c r="B198" i="53"/>
  <c r="G190" i="53"/>
  <c r="B190" i="53"/>
  <c r="G182" i="53"/>
  <c r="B182" i="53"/>
  <c r="G174" i="53"/>
  <c r="B174" i="53"/>
  <c r="G166" i="53"/>
  <c r="B166" i="53"/>
  <c r="G158" i="53"/>
  <c r="B158" i="53"/>
  <c r="G142" i="53"/>
  <c r="B142" i="53"/>
  <c r="G110" i="53"/>
  <c r="B110" i="53"/>
  <c r="B94" i="53"/>
  <c r="G94" i="53"/>
  <c r="G86" i="53"/>
  <c r="B86" i="53"/>
  <c r="O363" i="53"/>
  <c r="J363" i="53"/>
  <c r="O355" i="53"/>
  <c r="J355" i="53"/>
  <c r="O347" i="53"/>
  <c r="J347" i="53"/>
  <c r="O339" i="53"/>
  <c r="J339" i="53"/>
  <c r="O331" i="53"/>
  <c r="J331" i="53"/>
  <c r="O323" i="53"/>
  <c r="J323" i="53"/>
  <c r="O315" i="53"/>
  <c r="J315" i="53"/>
  <c r="O307" i="53"/>
  <c r="J307" i="53"/>
  <c r="O299" i="53"/>
  <c r="J299" i="53"/>
  <c r="O291" i="53"/>
  <c r="J291" i="53"/>
  <c r="O283" i="53"/>
  <c r="J283" i="53"/>
  <c r="O275" i="53"/>
  <c r="J275" i="53"/>
  <c r="O267" i="53"/>
  <c r="J267" i="53"/>
  <c r="O259" i="53"/>
  <c r="J259" i="53"/>
  <c r="O251" i="53"/>
  <c r="J251" i="53"/>
  <c r="O243" i="53"/>
  <c r="J243" i="53"/>
  <c r="O235" i="53"/>
  <c r="J235" i="53"/>
  <c r="O227" i="53"/>
  <c r="J227" i="53"/>
  <c r="O219" i="53"/>
  <c r="J219" i="53"/>
  <c r="O211" i="53"/>
  <c r="J211" i="53"/>
  <c r="O203" i="53"/>
  <c r="J203" i="53"/>
  <c r="O195" i="53"/>
  <c r="J195" i="53"/>
  <c r="O187" i="53"/>
  <c r="J187" i="53"/>
  <c r="O179" i="53"/>
  <c r="J179" i="53"/>
  <c r="O171" i="53"/>
  <c r="J171" i="53"/>
  <c r="O163" i="53"/>
  <c r="J163" i="53"/>
  <c r="O155" i="53"/>
  <c r="J155" i="53"/>
  <c r="O147" i="53"/>
  <c r="J147" i="53"/>
  <c r="O123" i="53"/>
  <c r="J123" i="53"/>
  <c r="O99" i="53"/>
  <c r="J99" i="53"/>
  <c r="O91" i="53"/>
  <c r="J91" i="53"/>
  <c r="O83" i="53"/>
  <c r="J83" i="53"/>
  <c r="O4" i="53"/>
  <c r="J4" i="53"/>
  <c r="R361" i="53"/>
  <c r="W361" i="53"/>
  <c r="R353" i="53"/>
  <c r="W353" i="53"/>
  <c r="R345" i="53"/>
  <c r="W345" i="53"/>
  <c r="R337" i="53"/>
  <c r="W337" i="53"/>
  <c r="R329" i="53"/>
  <c r="W329" i="53"/>
  <c r="R321" i="53"/>
  <c r="W321" i="53"/>
  <c r="R313" i="53"/>
  <c r="W313" i="53"/>
  <c r="R305" i="53"/>
  <c r="W305" i="53"/>
  <c r="R297" i="53"/>
  <c r="W297" i="53"/>
  <c r="R289" i="53"/>
  <c r="W289" i="53"/>
  <c r="R281" i="53"/>
  <c r="W281" i="53"/>
  <c r="R273" i="53"/>
  <c r="W273" i="53"/>
  <c r="R265" i="53"/>
  <c r="W265" i="53"/>
  <c r="R257" i="53"/>
  <c r="W257" i="53"/>
  <c r="R249" i="53"/>
  <c r="W249" i="53"/>
  <c r="R241" i="53"/>
  <c r="W241" i="53"/>
  <c r="R233" i="53"/>
  <c r="W233" i="53"/>
  <c r="R225" i="53"/>
  <c r="W225" i="53"/>
  <c r="R217" i="53"/>
  <c r="W217" i="53"/>
  <c r="R209" i="53"/>
  <c r="W209" i="53"/>
  <c r="R201" i="53"/>
  <c r="W201" i="53"/>
  <c r="R193" i="53"/>
  <c r="W193" i="53"/>
  <c r="R185" i="53"/>
  <c r="W185" i="53"/>
  <c r="R177" i="53"/>
  <c r="W177" i="53"/>
  <c r="R169" i="53"/>
  <c r="W169" i="53"/>
  <c r="R161" i="53"/>
  <c r="W161" i="53"/>
  <c r="R153" i="53"/>
  <c r="W153" i="53"/>
  <c r="R145" i="53"/>
  <c r="W145" i="53"/>
  <c r="R113" i="53"/>
  <c r="W113" i="53"/>
  <c r="R105" i="53"/>
  <c r="W105" i="53"/>
  <c r="R97" i="53"/>
  <c r="W97" i="53"/>
  <c r="R89" i="53"/>
  <c r="W89" i="53"/>
  <c r="R81" i="53"/>
  <c r="W81" i="53"/>
  <c r="Z2" i="53"/>
  <c r="AE2" i="53"/>
  <c r="Z359" i="53"/>
  <c r="AE359" i="53"/>
  <c r="Z351" i="53"/>
  <c r="AE351" i="53"/>
  <c r="AE343" i="53"/>
  <c r="Z343" i="53"/>
  <c r="AE335" i="53"/>
  <c r="Z335" i="53"/>
  <c r="AE327" i="53"/>
  <c r="Z327" i="53"/>
  <c r="Z319" i="53"/>
  <c r="AE319" i="53"/>
  <c r="AE311" i="53"/>
  <c r="Z311" i="53"/>
  <c r="AE303" i="53"/>
  <c r="Z303" i="53"/>
  <c r="AE295" i="53"/>
  <c r="Z295" i="53"/>
  <c r="AE287" i="53"/>
  <c r="Z287" i="53"/>
  <c r="AE279" i="53"/>
  <c r="Z279" i="53"/>
  <c r="AE271" i="53"/>
  <c r="Z271" i="53"/>
  <c r="AE263" i="53"/>
  <c r="Z263" i="53"/>
  <c r="Z255" i="53"/>
  <c r="AE255" i="53"/>
  <c r="AE247" i="53"/>
  <c r="Z247" i="53"/>
  <c r="AE239" i="53"/>
  <c r="Z239" i="53"/>
  <c r="AE231" i="53"/>
  <c r="Z231" i="53"/>
  <c r="AE223" i="53"/>
  <c r="Z223" i="53"/>
  <c r="AE215" i="53"/>
  <c r="Z215" i="53"/>
  <c r="Z207" i="53"/>
  <c r="AE207" i="53"/>
  <c r="Z199" i="53"/>
  <c r="AE199" i="53"/>
  <c r="Z191" i="53"/>
  <c r="AE191" i="53"/>
  <c r="Z183" i="53"/>
  <c r="AE183" i="53"/>
  <c r="Z175" i="53"/>
  <c r="AE175" i="53"/>
  <c r="Z167" i="53"/>
  <c r="AE167" i="53"/>
  <c r="AE159" i="53"/>
  <c r="Z159" i="53"/>
  <c r="AE143" i="53"/>
  <c r="Z143" i="53"/>
  <c r="AE127" i="53"/>
  <c r="Z127" i="53"/>
  <c r="AE103" i="53"/>
  <c r="Z103" i="53"/>
  <c r="AE95" i="53"/>
  <c r="Z95" i="53"/>
  <c r="AE87" i="53"/>
  <c r="Z87" i="53"/>
  <c r="Z79" i="53"/>
  <c r="AE79" i="53"/>
  <c r="Z71" i="53"/>
  <c r="AE71" i="53"/>
  <c r="AM365" i="53"/>
  <c r="AH365" i="53"/>
  <c r="AM357" i="53"/>
  <c r="AH357" i="53"/>
  <c r="AM349" i="53"/>
  <c r="AH349" i="53"/>
  <c r="AM341" i="53"/>
  <c r="AH341" i="53"/>
  <c r="AM333" i="53"/>
  <c r="AH333" i="53"/>
  <c r="AM325" i="53"/>
  <c r="AH325" i="53"/>
  <c r="AH317" i="53"/>
  <c r="AM317" i="53"/>
  <c r="AM309" i="53"/>
  <c r="AH309" i="53"/>
  <c r="AM301" i="53"/>
  <c r="AH301" i="53"/>
  <c r="AM293" i="53"/>
  <c r="AH293" i="53"/>
  <c r="AM285" i="53"/>
  <c r="AH285" i="53"/>
  <c r="AM277" i="53"/>
  <c r="AH277" i="53"/>
  <c r="AM269" i="53"/>
  <c r="AH269" i="53"/>
  <c r="AM261" i="53"/>
  <c r="AH261" i="53"/>
  <c r="AH253" i="53"/>
  <c r="AM253" i="53"/>
  <c r="AM245" i="53"/>
  <c r="AH245" i="53"/>
  <c r="AM237" i="53"/>
  <c r="AH237" i="53"/>
  <c r="AM229" i="53"/>
  <c r="AH229" i="53"/>
  <c r="AM221" i="53"/>
  <c r="AH221" i="53"/>
  <c r="AM213" i="53"/>
  <c r="AH213" i="53"/>
  <c r="AM205" i="53"/>
  <c r="AH205" i="53"/>
  <c r="AM197" i="53"/>
  <c r="AH197" i="53"/>
  <c r="AH189" i="53"/>
  <c r="AM189" i="53"/>
  <c r="AM181" i="53"/>
  <c r="AH181" i="53"/>
  <c r="AM173" i="53"/>
  <c r="AH173" i="53"/>
  <c r="AM165" i="53"/>
  <c r="AH165" i="53"/>
  <c r="AM157" i="53"/>
  <c r="AH157" i="53"/>
  <c r="AM109" i="53"/>
  <c r="AH109" i="53"/>
  <c r="AM101" i="53"/>
  <c r="AH101" i="53"/>
  <c r="AM93" i="53"/>
  <c r="AH93" i="53"/>
  <c r="AM77" i="53"/>
  <c r="AH77" i="53"/>
  <c r="AU363" i="53"/>
  <c r="AP363" i="53"/>
  <c r="AU355" i="53"/>
  <c r="AP355" i="53"/>
  <c r="AP347" i="53"/>
  <c r="AU347" i="53"/>
  <c r="AU339" i="53"/>
  <c r="AP339" i="53"/>
  <c r="AP331" i="53"/>
  <c r="AU331" i="53"/>
  <c r="AU323" i="53"/>
  <c r="AP323" i="53"/>
  <c r="AP315" i="53"/>
  <c r="AU315" i="53"/>
  <c r="AU307" i="53"/>
  <c r="AP307" i="53"/>
  <c r="AP299" i="53"/>
  <c r="AU299" i="53"/>
  <c r="AU291" i="53"/>
  <c r="AP291" i="53"/>
  <c r="AP283" i="53"/>
  <c r="AU283" i="53"/>
  <c r="AU275" i="53"/>
  <c r="AP275" i="53"/>
  <c r="AU267" i="53"/>
  <c r="AP267" i="53"/>
  <c r="AU259" i="53"/>
  <c r="AP259" i="53"/>
  <c r="AP251" i="53"/>
  <c r="AU251" i="53"/>
  <c r="AU243" i="53"/>
  <c r="AP243" i="53"/>
  <c r="AU235" i="53"/>
  <c r="AP235" i="53"/>
  <c r="AU227" i="53"/>
  <c r="AP227" i="53"/>
  <c r="AP219" i="53"/>
  <c r="AU219" i="53"/>
  <c r="AP211" i="53"/>
  <c r="AU211" i="53"/>
  <c r="AP203" i="53"/>
  <c r="AU203" i="53"/>
  <c r="AU195" i="53"/>
  <c r="AP195" i="53"/>
  <c r="AP187" i="53"/>
  <c r="AU187" i="53"/>
  <c r="AP179" i="53"/>
  <c r="AU179" i="53"/>
  <c r="AP171" i="53"/>
  <c r="AU171" i="53"/>
  <c r="AU163" i="53"/>
  <c r="AP163" i="53"/>
  <c r="AU155" i="53"/>
  <c r="AP155" i="53"/>
  <c r="AP147" i="53"/>
  <c r="AU147" i="53"/>
  <c r="AP123" i="53"/>
  <c r="AU123" i="53"/>
  <c r="AP99" i="53"/>
  <c r="AU99" i="53"/>
  <c r="AU91" i="53"/>
  <c r="AP91" i="53"/>
  <c r="AU83" i="53"/>
  <c r="AP83" i="53"/>
  <c r="AU4" i="53"/>
  <c r="AP4" i="53"/>
  <c r="BC361" i="53"/>
  <c r="AX361" i="53"/>
  <c r="AX353" i="53"/>
  <c r="BC353" i="53"/>
  <c r="BC345" i="53"/>
  <c r="AX345" i="53"/>
  <c r="BC337" i="53"/>
  <c r="AX337" i="53"/>
  <c r="BC329" i="53"/>
  <c r="AX329" i="53"/>
  <c r="BC321" i="53"/>
  <c r="AX321" i="53"/>
  <c r="BC313" i="53"/>
  <c r="AX313" i="53"/>
  <c r="BC305" i="53"/>
  <c r="AX305" i="53"/>
  <c r="BC297" i="53"/>
  <c r="AX297" i="53"/>
  <c r="AX289" i="53"/>
  <c r="BC289" i="53"/>
  <c r="BC281" i="53"/>
  <c r="AX281" i="53"/>
  <c r="AX273" i="53"/>
  <c r="BC273" i="53"/>
  <c r="BC265" i="53"/>
  <c r="AX265" i="53"/>
  <c r="BC257" i="53"/>
  <c r="AX257" i="53"/>
  <c r="AX249" i="53"/>
  <c r="BC249" i="53"/>
  <c r="AX241" i="53"/>
  <c r="BC241" i="53"/>
  <c r="AX233" i="53"/>
  <c r="BC233" i="53"/>
  <c r="BC225" i="53"/>
  <c r="AX225" i="53"/>
  <c r="BC217" i="53"/>
  <c r="AX217" i="53"/>
  <c r="BC209" i="53"/>
  <c r="AX209" i="53"/>
  <c r="BC201" i="53"/>
  <c r="AX201" i="53"/>
  <c r="AX193" i="53"/>
  <c r="BC193" i="53"/>
  <c r="BC185" i="53"/>
  <c r="AX185" i="53"/>
  <c r="AX177" i="53"/>
  <c r="BC177" i="53"/>
  <c r="BC169" i="53"/>
  <c r="AX169" i="53"/>
  <c r="BC161" i="53"/>
  <c r="AX161" i="53"/>
  <c r="BC153" i="53"/>
  <c r="AX153" i="53"/>
  <c r="AX145" i="53"/>
  <c r="BC145" i="53"/>
  <c r="BC113" i="53"/>
  <c r="AX113" i="53"/>
  <c r="AX105" i="53"/>
  <c r="BC105" i="53"/>
  <c r="AX97" i="53"/>
  <c r="BC97" i="53"/>
  <c r="BC89" i="53"/>
  <c r="AX89" i="53"/>
  <c r="BC81" i="53"/>
  <c r="AX81" i="53"/>
  <c r="BK363" i="53"/>
  <c r="BF363" i="53"/>
  <c r="BK355" i="53"/>
  <c r="BF355" i="53"/>
  <c r="BK347" i="53"/>
  <c r="BF347" i="53"/>
  <c r="BK339" i="53"/>
  <c r="BF339" i="53"/>
  <c r="BK331" i="53"/>
  <c r="BF331" i="53"/>
  <c r="BK323" i="53"/>
  <c r="BF323" i="53"/>
  <c r="BK315" i="53"/>
  <c r="BF315" i="53"/>
  <c r="BK307" i="53"/>
  <c r="BF307" i="53"/>
  <c r="BK299" i="53"/>
  <c r="BF299" i="53"/>
  <c r="BK291" i="53"/>
  <c r="BF291" i="53"/>
  <c r="BK283" i="53"/>
  <c r="BF283" i="53"/>
  <c r="BK275" i="53"/>
  <c r="BF275" i="53"/>
  <c r="BK267" i="53"/>
  <c r="BF267" i="53"/>
  <c r="BK259" i="53"/>
  <c r="BF259" i="53"/>
  <c r="BK251" i="53"/>
  <c r="BF251" i="53"/>
  <c r="BK243" i="53"/>
  <c r="BF243" i="53"/>
  <c r="BK235" i="53"/>
  <c r="BF235" i="53"/>
  <c r="BK227" i="53"/>
  <c r="BF227" i="53"/>
  <c r="BK219" i="53"/>
  <c r="BF219" i="53"/>
  <c r="BK211" i="53"/>
  <c r="BF211" i="53"/>
  <c r="BK203" i="53"/>
  <c r="BF203" i="53"/>
  <c r="BK195" i="53"/>
  <c r="BF195" i="53"/>
  <c r="BK187" i="53"/>
  <c r="BF187" i="53"/>
  <c r="BF179" i="53"/>
  <c r="BK179" i="53"/>
  <c r="BK171" i="53"/>
  <c r="BF171" i="53"/>
  <c r="BF163" i="53"/>
  <c r="BK163" i="53"/>
  <c r="BF155" i="53"/>
  <c r="BK155" i="53"/>
  <c r="BK147" i="53"/>
  <c r="BF147" i="53"/>
  <c r="BK123" i="53"/>
  <c r="BF123" i="53"/>
  <c r="BK99" i="53"/>
  <c r="BF99" i="53"/>
  <c r="BK91" i="53"/>
  <c r="BF91" i="53"/>
  <c r="BK83" i="53"/>
  <c r="BF83" i="53"/>
  <c r="BK4" i="53"/>
  <c r="BF4" i="53"/>
  <c r="BS361" i="53"/>
  <c r="BN361" i="53"/>
  <c r="BS353" i="53"/>
  <c r="BN353" i="53"/>
  <c r="BN345" i="53"/>
  <c r="BS345" i="53"/>
  <c r="BN337" i="53"/>
  <c r="BS337" i="53"/>
  <c r="BN329" i="53"/>
  <c r="BS329" i="53"/>
  <c r="BS321" i="53"/>
  <c r="BN321" i="53"/>
  <c r="BS313" i="53"/>
  <c r="BN313" i="53"/>
  <c r="BN305" i="53"/>
  <c r="BS305" i="53"/>
  <c r="BN297" i="53"/>
  <c r="BS297" i="53"/>
  <c r="BN289" i="53"/>
  <c r="BS289" i="53"/>
  <c r="BN281" i="53"/>
  <c r="BS281" i="53"/>
  <c r="BN273" i="53"/>
  <c r="BS273" i="53"/>
  <c r="BS265" i="53"/>
  <c r="BN265" i="53"/>
  <c r="BS257" i="53"/>
  <c r="BN257" i="53"/>
  <c r="BS249" i="53"/>
  <c r="BN249" i="53"/>
  <c r="BN241" i="53"/>
  <c r="BS241" i="53"/>
  <c r="BN233" i="53"/>
  <c r="BS233" i="53"/>
  <c r="BN225" i="53"/>
  <c r="BS225" i="53"/>
  <c r="BS217" i="53"/>
  <c r="BN217" i="53"/>
  <c r="BS209" i="53"/>
  <c r="BN209" i="53"/>
  <c r="BN201" i="53"/>
  <c r="BS201" i="53"/>
  <c r="BS193" i="53"/>
  <c r="BN193" i="53"/>
  <c r="BS185" i="53"/>
  <c r="BN185" i="53"/>
  <c r="BS177" i="53"/>
  <c r="BN177" i="53"/>
  <c r="BS169" i="53"/>
  <c r="BN169" i="53"/>
  <c r="BS161" i="53"/>
  <c r="BN161" i="53"/>
  <c r="BS153" i="53"/>
  <c r="BN153" i="53"/>
  <c r="BS145" i="53"/>
  <c r="BS113" i="53"/>
  <c r="BS105" i="53"/>
  <c r="BS97" i="53"/>
  <c r="BS89" i="53"/>
  <c r="BS81" i="53"/>
  <c r="BV2" i="53"/>
  <c r="CA2" i="53"/>
  <c r="BV359" i="53"/>
  <c r="CA359" i="53"/>
  <c r="BV351" i="53"/>
  <c r="CA351" i="53"/>
  <c r="CA343" i="53"/>
  <c r="BV343" i="53"/>
  <c r="BV335" i="53"/>
  <c r="CA335" i="53"/>
  <c r="CA327" i="53"/>
  <c r="BV327" i="53"/>
  <c r="BV319" i="53"/>
  <c r="CA319" i="53"/>
  <c r="CA311" i="53"/>
  <c r="BV311" i="53"/>
  <c r="BV303" i="53"/>
  <c r="CA303" i="53"/>
  <c r="CA295" i="53"/>
  <c r="BV295" i="53"/>
  <c r="BV287" i="53"/>
  <c r="CA287" i="53"/>
  <c r="BV279" i="53"/>
  <c r="CA279" i="53"/>
  <c r="BV271" i="53"/>
  <c r="CA271" i="53"/>
  <c r="BV263" i="53"/>
  <c r="CA263" i="53"/>
  <c r="CA255" i="53"/>
  <c r="BV255" i="53"/>
  <c r="BV247" i="53"/>
  <c r="CA247" i="53"/>
  <c r="CA239" i="53"/>
  <c r="BV239" i="53"/>
  <c r="CA231" i="53"/>
  <c r="BV231" i="53"/>
  <c r="BV223" i="53"/>
  <c r="CA223" i="53"/>
  <c r="CA215" i="53"/>
  <c r="BV215" i="53"/>
  <c r="BV207" i="53"/>
  <c r="CA207" i="53"/>
  <c r="CA199" i="53"/>
  <c r="BV199" i="53"/>
  <c r="BV191" i="53"/>
  <c r="CA191" i="53"/>
  <c r="CA183" i="53"/>
  <c r="BV183" i="53"/>
  <c r="CA175" i="53"/>
  <c r="BV175" i="53"/>
  <c r="BV167" i="53"/>
  <c r="CA167" i="53"/>
  <c r="BV159" i="53"/>
  <c r="CA159" i="53"/>
  <c r="CA143" i="53"/>
  <c r="BV143" i="53"/>
  <c r="CA127" i="53"/>
  <c r="BV127" i="53"/>
  <c r="CA103" i="53"/>
  <c r="BV103" i="53"/>
  <c r="BV95" i="53"/>
  <c r="CA95" i="53"/>
  <c r="CA87" i="53"/>
  <c r="BV87" i="53"/>
  <c r="CA79" i="53"/>
  <c r="BV79" i="53"/>
  <c r="BV71" i="53"/>
  <c r="CA71" i="53"/>
  <c r="BV25" i="53"/>
  <c r="CA25" i="53"/>
  <c r="G324" i="53"/>
  <c r="B324" i="53"/>
  <c r="G260" i="53"/>
  <c r="B260" i="53"/>
  <c r="G204" i="53"/>
  <c r="B204" i="53"/>
  <c r="B148" i="53"/>
  <c r="G148" i="53"/>
  <c r="B92" i="53"/>
  <c r="G92" i="53"/>
  <c r="J337" i="53"/>
  <c r="O337" i="53"/>
  <c r="J273" i="53"/>
  <c r="O273" i="53"/>
  <c r="J209" i="53"/>
  <c r="O209" i="53"/>
  <c r="O145" i="53"/>
  <c r="J145" i="53"/>
  <c r="O105" i="53"/>
  <c r="J105" i="53"/>
  <c r="R2" i="53"/>
  <c r="W2" i="53"/>
  <c r="W303" i="53"/>
  <c r="R303" i="53"/>
  <c r="W183" i="53"/>
  <c r="R183" i="53"/>
  <c r="Z357" i="53"/>
  <c r="AE357" i="53"/>
  <c r="Z293" i="53"/>
  <c r="AE293" i="53"/>
  <c r="AE229" i="53"/>
  <c r="Z229" i="53"/>
  <c r="Z165" i="53"/>
  <c r="AE165" i="53"/>
  <c r="AM307" i="53"/>
  <c r="AH307" i="53"/>
  <c r="AM243" i="53"/>
  <c r="AH243" i="53"/>
  <c r="AH179" i="53"/>
  <c r="AM179" i="53"/>
  <c r="AU321" i="53"/>
  <c r="AP321" i="53"/>
  <c r="AU257" i="53"/>
  <c r="AP257" i="53"/>
  <c r="AU193" i="53"/>
  <c r="AP193" i="53"/>
  <c r="BC351" i="53"/>
  <c r="AX351" i="53"/>
  <c r="AX287" i="53"/>
  <c r="BC287" i="53"/>
  <c r="BC223" i="53"/>
  <c r="AX223" i="53"/>
  <c r="BC159" i="53"/>
  <c r="AX159" i="53"/>
  <c r="BC95" i="53"/>
  <c r="AX95" i="53"/>
  <c r="BC4" i="53"/>
  <c r="AX4" i="53"/>
  <c r="BK305" i="53"/>
  <c r="BF305" i="53"/>
  <c r="BK241" i="53"/>
  <c r="BF241" i="53"/>
  <c r="BK177" i="53"/>
  <c r="BF177" i="53"/>
  <c r="BK113" i="53"/>
  <c r="BF113" i="53"/>
  <c r="BN343" i="53"/>
  <c r="BS343" i="53"/>
  <c r="BS279" i="53"/>
  <c r="BN279" i="53"/>
  <c r="BN215" i="53"/>
  <c r="BS215" i="53"/>
  <c r="G323" i="53"/>
  <c r="B323" i="53"/>
  <c r="G267" i="53"/>
  <c r="B267" i="53"/>
  <c r="G203" i="53"/>
  <c r="B203" i="53"/>
  <c r="G147" i="53"/>
  <c r="B147" i="53"/>
  <c r="B91" i="53"/>
  <c r="G91" i="53"/>
  <c r="O320" i="53"/>
  <c r="J320" i="53"/>
  <c r="O264" i="53"/>
  <c r="J264" i="53"/>
  <c r="O208" i="53"/>
  <c r="J208" i="53"/>
  <c r="O96" i="53"/>
  <c r="J96" i="53"/>
  <c r="W358" i="53"/>
  <c r="R358" i="53"/>
  <c r="W302" i="53"/>
  <c r="R302" i="53"/>
  <c r="W246" i="53"/>
  <c r="R246" i="53"/>
  <c r="W190" i="53"/>
  <c r="R190" i="53"/>
  <c r="W142" i="53"/>
  <c r="R142" i="53"/>
  <c r="W86" i="53"/>
  <c r="R86" i="53"/>
  <c r="AE356" i="53"/>
  <c r="Z356" i="53"/>
  <c r="AE300" i="53"/>
  <c r="Z300" i="53"/>
  <c r="AE244" i="53"/>
  <c r="Z244" i="53"/>
  <c r="AE188" i="53"/>
  <c r="Z188" i="53"/>
  <c r="AH322" i="53"/>
  <c r="AM322" i="53"/>
  <c r="AH266" i="53"/>
  <c r="AM266" i="53"/>
  <c r="AM210" i="53"/>
  <c r="AH210" i="53"/>
  <c r="AH154" i="53"/>
  <c r="AM154" i="53"/>
  <c r="AH98" i="53"/>
  <c r="AM98" i="53"/>
  <c r="AU320" i="53"/>
  <c r="AP320" i="53"/>
  <c r="AU248" i="53"/>
  <c r="AP248" i="53"/>
  <c r="G354" i="53"/>
  <c r="B354" i="53"/>
  <c r="B353" i="53"/>
  <c r="G353" i="53"/>
  <c r="G313" i="53"/>
  <c r="B313" i="53"/>
  <c r="G365" i="53"/>
  <c r="B365" i="53"/>
  <c r="G357" i="53"/>
  <c r="B357" i="53"/>
  <c r="G349" i="53"/>
  <c r="B349" i="53"/>
  <c r="G341" i="53"/>
  <c r="B341" i="53"/>
  <c r="G333" i="53"/>
  <c r="B333" i="53"/>
  <c r="G325" i="53"/>
  <c r="B325" i="53"/>
  <c r="G317" i="53"/>
  <c r="B317" i="53"/>
  <c r="G309" i="53"/>
  <c r="B309" i="53"/>
  <c r="G301" i="53"/>
  <c r="B301" i="53"/>
  <c r="G293" i="53"/>
  <c r="B293" i="53"/>
  <c r="G285" i="53"/>
  <c r="B285" i="53"/>
  <c r="G277" i="53"/>
  <c r="B277" i="53"/>
  <c r="G269" i="53"/>
  <c r="B269" i="53"/>
  <c r="G261" i="53"/>
  <c r="B261" i="53"/>
  <c r="G253" i="53"/>
  <c r="B253" i="53"/>
  <c r="G245" i="53"/>
  <c r="B245" i="53"/>
  <c r="G237" i="53"/>
  <c r="B237" i="53"/>
  <c r="G229" i="53"/>
  <c r="B229" i="53"/>
  <c r="G221" i="53"/>
  <c r="B221" i="53"/>
  <c r="G213" i="53"/>
  <c r="B213" i="53"/>
  <c r="G205" i="53"/>
  <c r="B205" i="53"/>
  <c r="G197" i="53"/>
  <c r="B197" i="53"/>
  <c r="G189" i="53"/>
  <c r="B189" i="53"/>
  <c r="G181" i="53"/>
  <c r="B181" i="53"/>
  <c r="G173" i="53"/>
  <c r="B173" i="53"/>
  <c r="G165" i="53"/>
  <c r="B165" i="53"/>
  <c r="G157" i="53"/>
  <c r="B157" i="53"/>
  <c r="B117" i="53"/>
  <c r="G109" i="53"/>
  <c r="B109" i="53"/>
  <c r="G101" i="53"/>
  <c r="B101" i="53"/>
  <c r="G93" i="53"/>
  <c r="B93" i="53"/>
  <c r="G77" i="53"/>
  <c r="B77" i="53"/>
  <c r="G5" i="53"/>
  <c r="B5" i="53"/>
  <c r="J362" i="53"/>
  <c r="O362" i="53"/>
  <c r="J354" i="53"/>
  <c r="O354" i="53"/>
  <c r="J346" i="53"/>
  <c r="O346" i="53"/>
  <c r="J338" i="53"/>
  <c r="O338" i="53"/>
  <c r="J330" i="53"/>
  <c r="O330" i="53"/>
  <c r="J322" i="53"/>
  <c r="O322" i="53"/>
  <c r="J314" i="53"/>
  <c r="O314" i="53"/>
  <c r="J306" i="53"/>
  <c r="O306" i="53"/>
  <c r="J298" i="53"/>
  <c r="O298" i="53"/>
  <c r="J290" i="53"/>
  <c r="O290" i="53"/>
  <c r="J282" i="53"/>
  <c r="O282" i="53"/>
  <c r="J274" i="53"/>
  <c r="O274" i="53"/>
  <c r="O266" i="53"/>
  <c r="J266" i="53"/>
  <c r="J258" i="53"/>
  <c r="O258" i="53"/>
  <c r="J250" i="53"/>
  <c r="O250" i="53"/>
  <c r="J242" i="53"/>
  <c r="O242" i="53"/>
  <c r="J234" i="53"/>
  <c r="O234" i="53"/>
  <c r="J226" i="53"/>
  <c r="O226" i="53"/>
  <c r="O218" i="53"/>
  <c r="J218" i="53"/>
  <c r="J210" i="53"/>
  <c r="O210" i="53"/>
  <c r="J202" i="53"/>
  <c r="O202" i="53"/>
  <c r="J194" i="53"/>
  <c r="O194" i="53"/>
  <c r="J186" i="53"/>
  <c r="O186" i="53"/>
  <c r="J178" i="53"/>
  <c r="O178" i="53"/>
  <c r="O170" i="53"/>
  <c r="J170" i="53"/>
  <c r="J162" i="53"/>
  <c r="O162" i="53"/>
  <c r="J154" i="53"/>
  <c r="O154" i="53"/>
  <c r="J146" i="53"/>
  <c r="O146" i="53"/>
  <c r="J122" i="53"/>
  <c r="O122" i="53"/>
  <c r="J106" i="53"/>
  <c r="O106" i="53"/>
  <c r="J98" i="53"/>
  <c r="O98" i="53"/>
  <c r="O90" i="53"/>
  <c r="J90" i="53"/>
  <c r="J82" i="53"/>
  <c r="O82" i="53"/>
  <c r="O3" i="53"/>
  <c r="J3" i="53"/>
  <c r="W360" i="53"/>
  <c r="R360" i="53"/>
  <c r="W352" i="53"/>
  <c r="R352" i="53"/>
  <c r="W344" i="53"/>
  <c r="R344" i="53"/>
  <c r="W336" i="53"/>
  <c r="R336" i="53"/>
  <c r="W328" i="53"/>
  <c r="R328" i="53"/>
  <c r="W320" i="53"/>
  <c r="R320" i="53"/>
  <c r="W312" i="53"/>
  <c r="R312" i="53"/>
  <c r="W304" i="53"/>
  <c r="R304" i="53"/>
  <c r="W296" i="53"/>
  <c r="R296" i="53"/>
  <c r="W288" i="53"/>
  <c r="R288" i="53"/>
  <c r="W280" i="53"/>
  <c r="R280" i="53"/>
  <c r="W272" i="53"/>
  <c r="R272" i="53"/>
  <c r="W264" i="53"/>
  <c r="R264" i="53"/>
  <c r="W256" i="53"/>
  <c r="R256" i="53"/>
  <c r="W248" i="53"/>
  <c r="R248" i="53"/>
  <c r="W240" i="53"/>
  <c r="R240" i="53"/>
  <c r="W232" i="53"/>
  <c r="R232" i="53"/>
  <c r="W224" i="53"/>
  <c r="R224" i="53"/>
  <c r="W216" i="53"/>
  <c r="R216" i="53"/>
  <c r="W208" i="53"/>
  <c r="R208" i="53"/>
  <c r="W200" i="53"/>
  <c r="R200" i="53"/>
  <c r="W192" i="53"/>
  <c r="R192" i="53"/>
  <c r="W184" i="53"/>
  <c r="R184" i="53"/>
  <c r="W176" i="53"/>
  <c r="R176" i="53"/>
  <c r="W168" i="53"/>
  <c r="R168" i="53"/>
  <c r="W160" i="53"/>
  <c r="R160" i="53"/>
  <c r="R152" i="53"/>
  <c r="W144" i="53"/>
  <c r="R144" i="53"/>
  <c r="W112" i="53"/>
  <c r="R112" i="53"/>
  <c r="W104" i="53"/>
  <c r="R104" i="53"/>
  <c r="W96" i="53"/>
  <c r="R96" i="53"/>
  <c r="W88" i="53"/>
  <c r="R88" i="53"/>
  <c r="W80" i="53"/>
  <c r="R80" i="53"/>
  <c r="W72" i="53"/>
  <c r="R72" i="53"/>
  <c r="AE366" i="53"/>
  <c r="Z366" i="53"/>
  <c r="Z358" i="53"/>
  <c r="AE358" i="53"/>
  <c r="AE350" i="53"/>
  <c r="Z350" i="53"/>
  <c r="AE342" i="53"/>
  <c r="Z342" i="53"/>
  <c r="AE334" i="53"/>
  <c r="Z334" i="53"/>
  <c r="AE326" i="53"/>
  <c r="Z326" i="53"/>
  <c r="AE318" i="53"/>
  <c r="Z318" i="53"/>
  <c r="AE310" i="53"/>
  <c r="Z310" i="53"/>
  <c r="AE302" i="53"/>
  <c r="Z302" i="53"/>
  <c r="Z294" i="53"/>
  <c r="AE294" i="53"/>
  <c r="AE286" i="53"/>
  <c r="Z286" i="53"/>
  <c r="Z278" i="53"/>
  <c r="AE278" i="53"/>
  <c r="AE270" i="53"/>
  <c r="Z270" i="53"/>
  <c r="Z262" i="53"/>
  <c r="AE262" i="53"/>
  <c r="AE254" i="53"/>
  <c r="Z254" i="53"/>
  <c r="AE246" i="53"/>
  <c r="Z246" i="53"/>
  <c r="AE238" i="53"/>
  <c r="Z238" i="53"/>
  <c r="Z230" i="53"/>
  <c r="AE230" i="53"/>
  <c r="AE222" i="53"/>
  <c r="Z222" i="53"/>
  <c r="Z214" i="53"/>
  <c r="AE214" i="53"/>
  <c r="AE206" i="53"/>
  <c r="Z206" i="53"/>
  <c r="AE198" i="53"/>
  <c r="Z198" i="53"/>
  <c r="AE190" i="53"/>
  <c r="Z190" i="53"/>
  <c r="AE182" i="53"/>
  <c r="Z182" i="53"/>
  <c r="AE174" i="53"/>
  <c r="Z174" i="53"/>
  <c r="Z166" i="53"/>
  <c r="AE166" i="53"/>
  <c r="AE158" i="53"/>
  <c r="Z158" i="53"/>
  <c r="AE142" i="53"/>
  <c r="Z142" i="53"/>
  <c r="Z110" i="53"/>
  <c r="AE110" i="53"/>
  <c r="AE94" i="53"/>
  <c r="Z94" i="53"/>
  <c r="AE86" i="53"/>
  <c r="Z86" i="53"/>
  <c r="AH364" i="53"/>
  <c r="AM364" i="53"/>
  <c r="AH356" i="53"/>
  <c r="AM356" i="53"/>
  <c r="AH348" i="53"/>
  <c r="AM348" i="53"/>
  <c r="AH340" i="53"/>
  <c r="AM340" i="53"/>
  <c r="AH332" i="53"/>
  <c r="AM332" i="53"/>
  <c r="AM324" i="53"/>
  <c r="AH324" i="53"/>
  <c r="AM316" i="53"/>
  <c r="AH316" i="53"/>
  <c r="AH308" i="53"/>
  <c r="AM308" i="53"/>
  <c r="AM300" i="53"/>
  <c r="AH300" i="53"/>
  <c r="AM292" i="53"/>
  <c r="AH292" i="53"/>
  <c r="AM284" i="53"/>
  <c r="AH284" i="53"/>
  <c r="AM276" i="53"/>
  <c r="AH276" i="53"/>
  <c r="AM268" i="53"/>
  <c r="AH268" i="53"/>
  <c r="AM260" i="53"/>
  <c r="AH260" i="53"/>
  <c r="AM252" i="53"/>
  <c r="AH252" i="53"/>
  <c r="AH244" i="53"/>
  <c r="AM244" i="53"/>
  <c r="AM236" i="53"/>
  <c r="AH236" i="53"/>
  <c r="AM228" i="53"/>
  <c r="AH228" i="53"/>
  <c r="AM220" i="53"/>
  <c r="AH220" i="53"/>
  <c r="AM212" i="53"/>
  <c r="AH212" i="53"/>
  <c r="AM204" i="53"/>
  <c r="AH204" i="53"/>
  <c r="AM196" i="53"/>
  <c r="AH196" i="53"/>
  <c r="AM188" i="53"/>
  <c r="AH188" i="53"/>
  <c r="AH180" i="53"/>
  <c r="AM180" i="53"/>
  <c r="AM172" i="53"/>
  <c r="AH172" i="53"/>
  <c r="AM164" i="53"/>
  <c r="AH164" i="53"/>
  <c r="AM156" i="53"/>
  <c r="AH156" i="53"/>
  <c r="AM148" i="53"/>
  <c r="AH148" i="53"/>
  <c r="AM140" i="53"/>
  <c r="AH140" i="53"/>
  <c r="AM124" i="53"/>
  <c r="AH124" i="53"/>
  <c r="AM108" i="53"/>
  <c r="AH108" i="53"/>
  <c r="AM100" i="53"/>
  <c r="AH100" i="53"/>
  <c r="AM92" i="53"/>
  <c r="AH92" i="53"/>
  <c r="AM5" i="53"/>
  <c r="AH5" i="53"/>
  <c r="AP362" i="53"/>
  <c r="AU362" i="53"/>
  <c r="AU354" i="53"/>
  <c r="AP354" i="53"/>
  <c r="AP346" i="53"/>
  <c r="AU346" i="53"/>
  <c r="AP338" i="53"/>
  <c r="AU338" i="53"/>
  <c r="AU330" i="53"/>
  <c r="AP330" i="53"/>
  <c r="AU322" i="53"/>
  <c r="AP322" i="53"/>
  <c r="AU314" i="53"/>
  <c r="AP314" i="53"/>
  <c r="AU306" i="53"/>
  <c r="AP306" i="53"/>
  <c r="AU298" i="53"/>
  <c r="AP298" i="53"/>
  <c r="AP290" i="53"/>
  <c r="AU290" i="53"/>
  <c r="AU282" i="53"/>
  <c r="AP282" i="53"/>
  <c r="AP274" i="53"/>
  <c r="AU274" i="53"/>
  <c r="AP266" i="53"/>
  <c r="AU266" i="53"/>
  <c r="AU258" i="53"/>
  <c r="AP258" i="53"/>
  <c r="AU250" i="53"/>
  <c r="AP250" i="53"/>
  <c r="AU242" i="53"/>
  <c r="AP242" i="53"/>
  <c r="AU234" i="53"/>
  <c r="AP234" i="53"/>
  <c r="AP226" i="53"/>
  <c r="AU226" i="53"/>
  <c r="AU218" i="53"/>
  <c r="AP218" i="53"/>
  <c r="AP210" i="53"/>
  <c r="AU210" i="53"/>
  <c r="AP202" i="53"/>
  <c r="AU202" i="53"/>
  <c r="AU194" i="53"/>
  <c r="AP194" i="53"/>
  <c r="AU186" i="53"/>
  <c r="AP186" i="53"/>
  <c r="AU178" i="53"/>
  <c r="AP178" i="53"/>
  <c r="AU170" i="53"/>
  <c r="AP170" i="53"/>
  <c r="AU162" i="53"/>
  <c r="AP162" i="53"/>
  <c r="AU154" i="53"/>
  <c r="AP154" i="53"/>
  <c r="AU146" i="53"/>
  <c r="AP146" i="53"/>
  <c r="AU122" i="53"/>
  <c r="AP122" i="53"/>
  <c r="AU106" i="53"/>
  <c r="AP106" i="53"/>
  <c r="AU98" i="53"/>
  <c r="AP98" i="53"/>
  <c r="AU90" i="53"/>
  <c r="AP90" i="53"/>
  <c r="AU82" i="53"/>
  <c r="AP82" i="53"/>
  <c r="AP3" i="53"/>
  <c r="AU3" i="53"/>
  <c r="AX360" i="53"/>
  <c r="BC360" i="53"/>
  <c r="BC352" i="53"/>
  <c r="AX352" i="53"/>
  <c r="BC344" i="53"/>
  <c r="AX344" i="53"/>
  <c r="BC336" i="53"/>
  <c r="AX336" i="53"/>
  <c r="AX328" i="53"/>
  <c r="BC328" i="53"/>
  <c r="BC320" i="53"/>
  <c r="AX320" i="53"/>
  <c r="BC312" i="53"/>
  <c r="AX312" i="53"/>
  <c r="BC304" i="53"/>
  <c r="AX304" i="53"/>
  <c r="BC296" i="53"/>
  <c r="AX296" i="53"/>
  <c r="BC288" i="53"/>
  <c r="AX288" i="53"/>
  <c r="AX280" i="53"/>
  <c r="BC280" i="53"/>
  <c r="BC272" i="53"/>
  <c r="AX272" i="53"/>
  <c r="AX264" i="53"/>
  <c r="BC264" i="53"/>
  <c r="AX256" i="53"/>
  <c r="BC256" i="53"/>
  <c r="AX248" i="53"/>
  <c r="BC248" i="53"/>
  <c r="AX240" i="53"/>
  <c r="BC240" i="53"/>
  <c r="BC232" i="53"/>
  <c r="AX232" i="53"/>
  <c r="BC224" i="53"/>
  <c r="AX224" i="53"/>
  <c r="AX216" i="53"/>
  <c r="BC216" i="53"/>
  <c r="AX208" i="53"/>
  <c r="BC208" i="53"/>
  <c r="BC200" i="53"/>
  <c r="AX200" i="53"/>
  <c r="AX192" i="53"/>
  <c r="BC192" i="53"/>
  <c r="AX184" i="53"/>
  <c r="BC184" i="53"/>
  <c r="BC176" i="53"/>
  <c r="AX176" i="53"/>
  <c r="BC168" i="53"/>
  <c r="AX168" i="53"/>
  <c r="AX160" i="53"/>
  <c r="BC160" i="53"/>
  <c r="AX144" i="53"/>
  <c r="BC144" i="53"/>
  <c r="BC112" i="53"/>
  <c r="AX112" i="53"/>
  <c r="AX104" i="53"/>
  <c r="BC104" i="53"/>
  <c r="BC96" i="53"/>
  <c r="AX96" i="53"/>
  <c r="AX88" i="53"/>
  <c r="BC88" i="53"/>
  <c r="AX80" i="53"/>
  <c r="BC80" i="53"/>
  <c r="BC72" i="53"/>
  <c r="AX72" i="53"/>
  <c r="BC5" i="53"/>
  <c r="AX5" i="53"/>
  <c r="BK362" i="53"/>
  <c r="BF362" i="53"/>
  <c r="BK354" i="53"/>
  <c r="BF354" i="53"/>
  <c r="BK346" i="53"/>
  <c r="BF346" i="53"/>
  <c r="BF338" i="53"/>
  <c r="BK338" i="53"/>
  <c r="BK330" i="53"/>
  <c r="BF330" i="53"/>
  <c r="BK322" i="53"/>
  <c r="BF322" i="53"/>
  <c r="BF314" i="53"/>
  <c r="BK314" i="53"/>
  <c r="BK306" i="53"/>
  <c r="BF306" i="53"/>
  <c r="BK298" i="53"/>
  <c r="BF298" i="53"/>
  <c r="BK290" i="53"/>
  <c r="BF290" i="53"/>
  <c r="BK282" i="53"/>
  <c r="BF282" i="53"/>
  <c r="BF274" i="53"/>
  <c r="BK274" i="53"/>
  <c r="BK266" i="53"/>
  <c r="BF266" i="53"/>
  <c r="BF258" i="53"/>
  <c r="BK258" i="53"/>
  <c r="BK250" i="53"/>
  <c r="BF250" i="53"/>
  <c r="BK242" i="53"/>
  <c r="BF242" i="53"/>
  <c r="BK234" i="53"/>
  <c r="BF234" i="53"/>
  <c r="BF226" i="53"/>
  <c r="BK226" i="53"/>
  <c r="BK218" i="53"/>
  <c r="BF218" i="53"/>
  <c r="BK210" i="53"/>
  <c r="BF210" i="53"/>
  <c r="BF202" i="53"/>
  <c r="BK202" i="53"/>
  <c r="BK194" i="53"/>
  <c r="BF194" i="53"/>
  <c r="BF186" i="53"/>
  <c r="BK186" i="53"/>
  <c r="BK178" i="53"/>
  <c r="BF178" i="53"/>
  <c r="BF170" i="53"/>
  <c r="BK170" i="53"/>
  <c r="BK162" i="53"/>
  <c r="BF162" i="53"/>
  <c r="BF154" i="53"/>
  <c r="BK154" i="53"/>
  <c r="BK146" i="53"/>
  <c r="BF146" i="53"/>
  <c r="BF122" i="53"/>
  <c r="BK122" i="53"/>
  <c r="BF106" i="53"/>
  <c r="BK106" i="53"/>
  <c r="BF98" i="53"/>
  <c r="BK98" i="53"/>
  <c r="BK90" i="53"/>
  <c r="BF90" i="53"/>
  <c r="BK82" i="53"/>
  <c r="BF82" i="53"/>
  <c r="BK3" i="53"/>
  <c r="BF3" i="53"/>
  <c r="BS360" i="53"/>
  <c r="BN360" i="53"/>
  <c r="BS352" i="53"/>
  <c r="BN352" i="53"/>
  <c r="BN344" i="53"/>
  <c r="BS344" i="53"/>
  <c r="BS336" i="53"/>
  <c r="BN336" i="53"/>
  <c r="BS328" i="53"/>
  <c r="BN328" i="53"/>
  <c r="BS320" i="53"/>
  <c r="BN320" i="53"/>
  <c r="BS312" i="53"/>
  <c r="BN312" i="53"/>
  <c r="BN304" i="53"/>
  <c r="BS304" i="53"/>
  <c r="BS296" i="53"/>
  <c r="BN296" i="53"/>
  <c r="BS288" i="53"/>
  <c r="BN288" i="53"/>
  <c r="BS280" i="53"/>
  <c r="BN280" i="53"/>
  <c r="BS272" i="53"/>
  <c r="BN272" i="53"/>
  <c r="BS264" i="53"/>
  <c r="BN264" i="53"/>
  <c r="BS256" i="53"/>
  <c r="BN256" i="53"/>
  <c r="BS248" i="53"/>
  <c r="BN248" i="53"/>
  <c r="BS240" i="53"/>
  <c r="BN240" i="53"/>
  <c r="BS232" i="53"/>
  <c r="BN232" i="53"/>
  <c r="BS224" i="53"/>
  <c r="BN224" i="53"/>
  <c r="BS216" i="53"/>
  <c r="BN216" i="53"/>
  <c r="BS208" i="53"/>
  <c r="BN208" i="53"/>
  <c r="BS200" i="53"/>
  <c r="BN200" i="53"/>
  <c r="BN192" i="53"/>
  <c r="BS192" i="53"/>
  <c r="BS184" i="53"/>
  <c r="BN184" i="53"/>
  <c r="BS176" i="53"/>
  <c r="BN176" i="53"/>
  <c r="BS168" i="53"/>
  <c r="BN168" i="53"/>
  <c r="BS160" i="53"/>
  <c r="BN160" i="53"/>
  <c r="BS144" i="53"/>
  <c r="BS136" i="53"/>
  <c r="BS112" i="53"/>
  <c r="BS104" i="53"/>
  <c r="BS96" i="53"/>
  <c r="BS88" i="53"/>
  <c r="BS80" i="53"/>
  <c r="BS72" i="53"/>
  <c r="BV366" i="53"/>
  <c r="CA366" i="53"/>
  <c r="CA358" i="53"/>
  <c r="BV358" i="53"/>
  <c r="CA350" i="53"/>
  <c r="BV350" i="53"/>
  <c r="BV342" i="53"/>
  <c r="CA342" i="53"/>
  <c r="BV334" i="53"/>
  <c r="CA334" i="53"/>
  <c r="BV326" i="53"/>
  <c r="CA326" i="53"/>
  <c r="CA318" i="53"/>
  <c r="BV318" i="53"/>
  <c r="CA310" i="53"/>
  <c r="BV310" i="53"/>
  <c r="CA302" i="53"/>
  <c r="BV302" i="53"/>
  <c r="BV294" i="53"/>
  <c r="CA294" i="53"/>
  <c r="CA286" i="53"/>
  <c r="BV286" i="53"/>
  <c r="BV278" i="53"/>
  <c r="CA278" i="53"/>
  <c r="BV270" i="53"/>
  <c r="CA270" i="53"/>
  <c r="BV262" i="53"/>
  <c r="CA262" i="53"/>
  <c r="CA254" i="53"/>
  <c r="BV254" i="53"/>
  <c r="CA246" i="53"/>
  <c r="BV246" i="53"/>
  <c r="BV238" i="53"/>
  <c r="CA238" i="53"/>
  <c r="CA230" i="53"/>
  <c r="BV230" i="53"/>
  <c r="BV222" i="53"/>
  <c r="CA222" i="53"/>
  <c r="BV214" i="53"/>
  <c r="CA214" i="53"/>
  <c r="CA206" i="53"/>
  <c r="BV206" i="53"/>
  <c r="BV198" i="53"/>
  <c r="CA198" i="53"/>
  <c r="BV190" i="53"/>
  <c r="CA190" i="53"/>
  <c r="BV182" i="53"/>
  <c r="CA182" i="53"/>
  <c r="BV174" i="53"/>
  <c r="CA166" i="53"/>
  <c r="BV166" i="53"/>
  <c r="CA158" i="53"/>
  <c r="BV158" i="53"/>
  <c r="CA142" i="53"/>
  <c r="BV142" i="53"/>
  <c r="CA126" i="53"/>
  <c r="BV126" i="53"/>
  <c r="CA110" i="53"/>
  <c r="BV110" i="53"/>
  <c r="CA94" i="53"/>
  <c r="BV94" i="53"/>
  <c r="BV86" i="53"/>
  <c r="CA86" i="53"/>
  <c r="CA24" i="53"/>
  <c r="BV24" i="53"/>
  <c r="AM70" i="53"/>
  <c r="AH70" i="53"/>
  <c r="AE70" i="53"/>
  <c r="Z70" i="53"/>
  <c r="BV70" i="53"/>
  <c r="CA70" i="53"/>
  <c r="B70" i="53"/>
  <c r="G70" i="53"/>
  <c r="W70" i="53"/>
  <c r="R70" i="53"/>
  <c r="BC70" i="53"/>
  <c r="AX70" i="53"/>
  <c r="BS70" i="53"/>
  <c r="O70" i="53"/>
  <c r="J70" i="53"/>
  <c r="AU70" i="53"/>
  <c r="AP70" i="53"/>
  <c r="BK70" i="53"/>
  <c r="BF70" i="53"/>
  <c r="AE69" i="53"/>
  <c r="Z69" i="53"/>
  <c r="CA69" i="53"/>
  <c r="BV69" i="53"/>
  <c r="W69" i="53"/>
  <c r="R69" i="53"/>
  <c r="AX69" i="53"/>
  <c r="BC69" i="53"/>
  <c r="BS69" i="53"/>
  <c r="G69" i="53"/>
  <c r="B69" i="53"/>
  <c r="O69" i="53"/>
  <c r="J69" i="53"/>
  <c r="AU69" i="53"/>
  <c r="AP69" i="53"/>
  <c r="BK69" i="53"/>
  <c r="BF69" i="53"/>
  <c r="AM69" i="53"/>
  <c r="AH69" i="53"/>
  <c r="AE68" i="53"/>
  <c r="Z68" i="53"/>
  <c r="CA68" i="53"/>
  <c r="BV68" i="53"/>
  <c r="W68" i="53"/>
  <c r="R68" i="53"/>
  <c r="BC68" i="53"/>
  <c r="AX68" i="53"/>
  <c r="BS68" i="53"/>
  <c r="O68" i="53"/>
  <c r="J68" i="53"/>
  <c r="AU68" i="53"/>
  <c r="AP68" i="53"/>
  <c r="BK68" i="53"/>
  <c r="BF68" i="53"/>
  <c r="AM68" i="53"/>
  <c r="AH68" i="53"/>
  <c r="B68" i="53"/>
  <c r="G68" i="53"/>
  <c r="AE67" i="53"/>
  <c r="Z67" i="53"/>
  <c r="BV67" i="53"/>
  <c r="CA67" i="53"/>
  <c r="B67" i="53"/>
  <c r="G67" i="53"/>
  <c r="W67" i="53"/>
  <c r="R67" i="53"/>
  <c r="AX67" i="53"/>
  <c r="BC67" i="53"/>
  <c r="BS67" i="53"/>
  <c r="O67" i="53"/>
  <c r="J67" i="53"/>
  <c r="AP67" i="53"/>
  <c r="AU67" i="53"/>
  <c r="BK67" i="53"/>
  <c r="BF67" i="53"/>
  <c r="AM67" i="53"/>
  <c r="AH67" i="53"/>
  <c r="Z66" i="53"/>
  <c r="AE66" i="53"/>
  <c r="CA66" i="53"/>
  <c r="BV66" i="53"/>
  <c r="G66" i="53"/>
  <c r="B66" i="53"/>
  <c r="BC66" i="53"/>
  <c r="AX66" i="53"/>
  <c r="BS66" i="53"/>
  <c r="R66" i="53"/>
  <c r="W66" i="53"/>
  <c r="O66" i="53"/>
  <c r="J66" i="53"/>
  <c r="AU66" i="53"/>
  <c r="AP66" i="53"/>
  <c r="BK66" i="53"/>
  <c r="BF66" i="53"/>
  <c r="AM66" i="53"/>
  <c r="AH66" i="53"/>
  <c r="AM65" i="53"/>
  <c r="AH65" i="53"/>
  <c r="G65" i="53"/>
  <c r="B65" i="53"/>
  <c r="Z65" i="53"/>
  <c r="AE65" i="53"/>
  <c r="CA65" i="53"/>
  <c r="BV65" i="53"/>
  <c r="R65" i="53"/>
  <c r="W65" i="53"/>
  <c r="BC65" i="53"/>
  <c r="AX65" i="53"/>
  <c r="BS65" i="53"/>
  <c r="O65" i="53"/>
  <c r="J65" i="53"/>
  <c r="AU65" i="53"/>
  <c r="AP65" i="53"/>
  <c r="BK65" i="53"/>
  <c r="BF65" i="53"/>
  <c r="AM64" i="53"/>
  <c r="AH64" i="53"/>
  <c r="G64" i="53"/>
  <c r="B64" i="53"/>
  <c r="AE64" i="53"/>
  <c r="Z64" i="53"/>
  <c r="BV64" i="53"/>
  <c r="CA64" i="53"/>
  <c r="W64" i="53"/>
  <c r="R64" i="53"/>
  <c r="BC64" i="53"/>
  <c r="AX64" i="53"/>
  <c r="BS64" i="53"/>
  <c r="J64" i="53"/>
  <c r="O64" i="53"/>
  <c r="AP64" i="53"/>
  <c r="AU64" i="53"/>
  <c r="BF64" i="53"/>
  <c r="BK64" i="53"/>
  <c r="G63" i="53"/>
  <c r="B63" i="53"/>
  <c r="AM63" i="53"/>
  <c r="AH63" i="53"/>
  <c r="AE63" i="53"/>
  <c r="Z63" i="53"/>
  <c r="CA63" i="53"/>
  <c r="BV63" i="53"/>
  <c r="W63" i="53"/>
  <c r="R63" i="53"/>
  <c r="BC63" i="53"/>
  <c r="AX63" i="53"/>
  <c r="BS63" i="53"/>
  <c r="O63" i="53"/>
  <c r="J63" i="53"/>
  <c r="AU63" i="53"/>
  <c r="AP63" i="53"/>
  <c r="BK63" i="53"/>
  <c r="BF63" i="53"/>
  <c r="G62" i="53"/>
  <c r="B62" i="53"/>
  <c r="AE62" i="53"/>
  <c r="Z62" i="53"/>
  <c r="BV62" i="53"/>
  <c r="CA62" i="53"/>
  <c r="BS62" i="53"/>
  <c r="BC62" i="53"/>
  <c r="AX62" i="53"/>
  <c r="AH62" i="53"/>
  <c r="AM62" i="53"/>
  <c r="W62" i="53"/>
  <c r="R62" i="53"/>
  <c r="O62" i="53"/>
  <c r="J62" i="53"/>
  <c r="AP62" i="53"/>
  <c r="AU62" i="53"/>
  <c r="BK62" i="53"/>
  <c r="BF62" i="53"/>
  <c r="G61" i="53"/>
  <c r="B61" i="53"/>
  <c r="AE61" i="53"/>
  <c r="Z61" i="53"/>
  <c r="CA61" i="53"/>
  <c r="BV61" i="53"/>
  <c r="AM61" i="53"/>
  <c r="AH61" i="53"/>
  <c r="W61" i="53"/>
  <c r="R61" i="53"/>
  <c r="BC61" i="53"/>
  <c r="AX61" i="53"/>
  <c r="BS61" i="53"/>
  <c r="O61" i="53"/>
  <c r="J61" i="53"/>
  <c r="AU61" i="53"/>
  <c r="AP61" i="53"/>
  <c r="BK61" i="53"/>
  <c r="BF61" i="53"/>
  <c r="C60" i="53"/>
  <c r="AY60" i="53"/>
  <c r="AQ60" i="53"/>
  <c r="BW60" i="53"/>
  <c r="AI60" i="53"/>
  <c r="BO60" i="53"/>
  <c r="BN60" i="53" s="1"/>
  <c r="AA60" i="53"/>
  <c r="BG60" i="53"/>
  <c r="S60" i="53"/>
  <c r="K60" i="53"/>
  <c r="BG59" i="53"/>
  <c r="BO59" i="53"/>
  <c r="BN59" i="53" s="1"/>
  <c r="BW59" i="53"/>
  <c r="K59" i="53"/>
  <c r="S59" i="53"/>
  <c r="AA59" i="53"/>
  <c r="AI59" i="53"/>
  <c r="AQ59" i="53"/>
  <c r="AY59" i="53"/>
  <c r="C59" i="53"/>
  <c r="BF58" i="53"/>
  <c r="BK58" i="53"/>
  <c r="BS58" i="53"/>
  <c r="CA58" i="53"/>
  <c r="BV58" i="53"/>
  <c r="J58" i="53"/>
  <c r="O58" i="53"/>
  <c r="R58" i="53"/>
  <c r="W58" i="53"/>
  <c r="Z58" i="53"/>
  <c r="AE58" i="53"/>
  <c r="AH58" i="53"/>
  <c r="AM58" i="53"/>
  <c r="AU58" i="53"/>
  <c r="AP58" i="53"/>
  <c r="BC58" i="53"/>
  <c r="AX58" i="53"/>
  <c r="G58" i="53"/>
  <c r="B58" i="53"/>
  <c r="BF57" i="53"/>
  <c r="BK57" i="53"/>
  <c r="BS57" i="53"/>
  <c r="BV57" i="53"/>
  <c r="CA57" i="53"/>
  <c r="AP57" i="53"/>
  <c r="AU57" i="53"/>
  <c r="BC57" i="53"/>
  <c r="AX57" i="53"/>
  <c r="O57" i="53"/>
  <c r="J57" i="53"/>
  <c r="G57" i="53"/>
  <c r="B57" i="53"/>
  <c r="R57" i="53"/>
  <c r="W57" i="53"/>
  <c r="Z57" i="53"/>
  <c r="AE57" i="53"/>
  <c r="AM57" i="53"/>
  <c r="AH57" i="53"/>
  <c r="BF56" i="53"/>
  <c r="BK56" i="53"/>
  <c r="BS56" i="53"/>
  <c r="CA56" i="53"/>
  <c r="BV56" i="53"/>
  <c r="W56" i="53"/>
  <c r="R56" i="53"/>
  <c r="AE56" i="53"/>
  <c r="Z56" i="53"/>
  <c r="AM56" i="53"/>
  <c r="AH56" i="53"/>
  <c r="AP56" i="53"/>
  <c r="AU56" i="53"/>
  <c r="BC56" i="53"/>
  <c r="AX56" i="53"/>
  <c r="B56" i="53"/>
  <c r="G56" i="53"/>
  <c r="O56" i="53"/>
  <c r="J56" i="53"/>
  <c r="BF55" i="53"/>
  <c r="BK55" i="53"/>
  <c r="BV55" i="53"/>
  <c r="CA55" i="53"/>
  <c r="O55" i="53"/>
  <c r="J55" i="53"/>
  <c r="W55" i="53"/>
  <c r="R55" i="53"/>
  <c r="AE55" i="53"/>
  <c r="Z55" i="53"/>
  <c r="AM55" i="53"/>
  <c r="AH55" i="53"/>
  <c r="AU55" i="53"/>
  <c r="AP55" i="53"/>
  <c r="AX55" i="53"/>
  <c r="BC55" i="53"/>
  <c r="B55" i="53"/>
  <c r="G55" i="53"/>
  <c r="BF54" i="53"/>
  <c r="BK54" i="53"/>
  <c r="BS54" i="53"/>
  <c r="CA54" i="53"/>
  <c r="BV54" i="53"/>
  <c r="O54" i="53"/>
  <c r="J54" i="53"/>
  <c r="W54" i="53"/>
  <c r="R54" i="53"/>
  <c r="Z54" i="53"/>
  <c r="AE54" i="53"/>
  <c r="AM54" i="53"/>
  <c r="AH54" i="53"/>
  <c r="AU54" i="53"/>
  <c r="AP54" i="53"/>
  <c r="AX54" i="53"/>
  <c r="BC54" i="53"/>
  <c r="G54" i="53"/>
  <c r="B54" i="53"/>
  <c r="BK53" i="53"/>
  <c r="BF53" i="53"/>
  <c r="BS53" i="53"/>
  <c r="CA53" i="53"/>
  <c r="BV53" i="53"/>
  <c r="O53" i="53"/>
  <c r="J53" i="53"/>
  <c r="W53" i="53"/>
  <c r="R53" i="53"/>
  <c r="Z53" i="53"/>
  <c r="AE53" i="53"/>
  <c r="AH53" i="53"/>
  <c r="AM53" i="53"/>
  <c r="AU53" i="53"/>
  <c r="AP53" i="53"/>
  <c r="BC53" i="53"/>
  <c r="AX53" i="53"/>
  <c r="G53" i="53"/>
  <c r="B53" i="53"/>
  <c r="BF52" i="53"/>
  <c r="BK52" i="53"/>
  <c r="BS52" i="53"/>
  <c r="CA52" i="53"/>
  <c r="BV52" i="53"/>
  <c r="W52" i="53"/>
  <c r="R52" i="53"/>
  <c r="Z52" i="53"/>
  <c r="AE52" i="53"/>
  <c r="AM52" i="53"/>
  <c r="AH52" i="53"/>
  <c r="AU52" i="53"/>
  <c r="AP52" i="53"/>
  <c r="BC52" i="53"/>
  <c r="AX52" i="53"/>
  <c r="O52" i="53"/>
  <c r="J52" i="53"/>
  <c r="B52" i="53"/>
  <c r="G52" i="53"/>
  <c r="BF51" i="53"/>
  <c r="BK51" i="53"/>
  <c r="BS51" i="53"/>
  <c r="CA51" i="53"/>
  <c r="BV51" i="53"/>
  <c r="O51" i="53"/>
  <c r="J51" i="53"/>
  <c r="W51" i="53"/>
  <c r="R51" i="53"/>
  <c r="Z51" i="53"/>
  <c r="AE51" i="53"/>
  <c r="AH51" i="53"/>
  <c r="AM51" i="53"/>
  <c r="AP51" i="53"/>
  <c r="AU51" i="53"/>
  <c r="BC51" i="53"/>
  <c r="AX51" i="53"/>
  <c r="G51" i="53"/>
  <c r="B51" i="53"/>
  <c r="BF50" i="53"/>
  <c r="BK50" i="53"/>
  <c r="BS50" i="53"/>
  <c r="CA50" i="53"/>
  <c r="BV50" i="53"/>
  <c r="J50" i="53"/>
  <c r="O50" i="53"/>
  <c r="R50" i="53"/>
  <c r="W50" i="53"/>
  <c r="Z50" i="53"/>
  <c r="AE50" i="53"/>
  <c r="AM50" i="53"/>
  <c r="AH50" i="53"/>
  <c r="AP50" i="53"/>
  <c r="AU50" i="53"/>
  <c r="BC50" i="53"/>
  <c r="G50" i="53"/>
  <c r="B50" i="53"/>
  <c r="BF49" i="53"/>
  <c r="BK49" i="53"/>
  <c r="BS49" i="53"/>
  <c r="BV49" i="53"/>
  <c r="CA49" i="53"/>
  <c r="O49" i="53"/>
  <c r="J49" i="53"/>
  <c r="R49" i="53"/>
  <c r="W49" i="53"/>
  <c r="Z49" i="53"/>
  <c r="AE49" i="53"/>
  <c r="AM49" i="53"/>
  <c r="AH49" i="53"/>
  <c r="AP49" i="53"/>
  <c r="AU49" i="53"/>
  <c r="BC49" i="53"/>
  <c r="G49" i="53"/>
  <c r="B49" i="53"/>
  <c r="BF48" i="53"/>
  <c r="BK48" i="53"/>
  <c r="BS48" i="53"/>
  <c r="CA48" i="53"/>
  <c r="BV48" i="53"/>
  <c r="O48" i="53"/>
  <c r="J48" i="53"/>
  <c r="W48" i="53"/>
  <c r="R48" i="53"/>
  <c r="Z48" i="53"/>
  <c r="AE48" i="53"/>
  <c r="AH48" i="53"/>
  <c r="AM48" i="53"/>
  <c r="AU48" i="53"/>
  <c r="AP48" i="53"/>
  <c r="BC48" i="53"/>
  <c r="AX48" i="53"/>
  <c r="B48" i="53"/>
  <c r="G48" i="53"/>
  <c r="BF47" i="53"/>
  <c r="BK47" i="53"/>
  <c r="BS47" i="53"/>
  <c r="CA47" i="53"/>
  <c r="BV47" i="53"/>
  <c r="B47" i="53"/>
  <c r="G47" i="53"/>
  <c r="O47" i="53"/>
  <c r="J47" i="53"/>
  <c r="W47" i="53"/>
  <c r="R47" i="53"/>
  <c r="AE47" i="53"/>
  <c r="Z47" i="53"/>
  <c r="AM47" i="53"/>
  <c r="AH47" i="53"/>
  <c r="AU47" i="53"/>
  <c r="AP47" i="53"/>
  <c r="BC47" i="53"/>
  <c r="AX47" i="53"/>
  <c r="BK46" i="53"/>
  <c r="BF46" i="53"/>
  <c r="BS46" i="53"/>
  <c r="BV46" i="53"/>
  <c r="CA46" i="53"/>
  <c r="O46" i="53"/>
  <c r="J46" i="53"/>
  <c r="W46" i="53"/>
  <c r="R46" i="53"/>
  <c r="AE46" i="53"/>
  <c r="Z46" i="53"/>
  <c r="AM46" i="53"/>
  <c r="AH46" i="53"/>
  <c r="AU46" i="53"/>
  <c r="AP46" i="53"/>
  <c r="BC46" i="53"/>
  <c r="AX46" i="53"/>
  <c r="B46" i="53"/>
  <c r="G46" i="53"/>
  <c r="BF45" i="53"/>
  <c r="BK45" i="53"/>
  <c r="BS45" i="53"/>
  <c r="CA45" i="53"/>
  <c r="BV45" i="53"/>
  <c r="G45" i="53"/>
  <c r="B45" i="53"/>
  <c r="O45" i="53"/>
  <c r="J45" i="53"/>
  <c r="W45" i="53"/>
  <c r="R45" i="53"/>
  <c r="AE45" i="53"/>
  <c r="Z45" i="53"/>
  <c r="AM45" i="53"/>
  <c r="AH45" i="53"/>
  <c r="AU45" i="53"/>
  <c r="AP45" i="53"/>
  <c r="BC45" i="53"/>
  <c r="AX45" i="53"/>
  <c r="BF44" i="53"/>
  <c r="BK44" i="53"/>
  <c r="BS44" i="53"/>
  <c r="BV44" i="53"/>
  <c r="CA44" i="53"/>
  <c r="G44" i="53"/>
  <c r="B44" i="53"/>
  <c r="W44" i="53"/>
  <c r="R44" i="53"/>
  <c r="AE44" i="53"/>
  <c r="Z44" i="53"/>
  <c r="AM44" i="53"/>
  <c r="AH44" i="53"/>
  <c r="AU44" i="53"/>
  <c r="AP44" i="53"/>
  <c r="BC44" i="53"/>
  <c r="AX44" i="53"/>
  <c r="O44" i="53"/>
  <c r="J44" i="53"/>
  <c r="AI43" i="53"/>
  <c r="AQ43" i="53"/>
  <c r="AY43" i="53"/>
  <c r="BG43" i="53"/>
  <c r="BO43" i="53"/>
  <c r="BN43" i="53" s="1"/>
  <c r="C43" i="53"/>
  <c r="BW43" i="53"/>
  <c r="K43" i="53"/>
  <c r="AA43" i="53"/>
  <c r="S43" i="53"/>
  <c r="BG42" i="53"/>
  <c r="AA42" i="53"/>
  <c r="BO42" i="53"/>
  <c r="BN42" i="53" s="1"/>
  <c r="S42" i="53"/>
  <c r="C42" i="53"/>
  <c r="AI42" i="53"/>
  <c r="BW42" i="53"/>
  <c r="AY42" i="53"/>
  <c r="K42" i="53"/>
  <c r="AQ42" i="53"/>
  <c r="S41" i="53"/>
  <c r="AQ41" i="53"/>
  <c r="BO41" i="53"/>
  <c r="BN41" i="53" s="1"/>
  <c r="C41" i="53"/>
  <c r="AA41" i="53"/>
  <c r="AY41" i="53"/>
  <c r="BW41" i="53"/>
  <c r="K41" i="53"/>
  <c r="AI41" i="53"/>
  <c r="BG41" i="53"/>
  <c r="BO40" i="53"/>
  <c r="BN40" i="53" s="1"/>
  <c r="BG40" i="53"/>
  <c r="BW40" i="53"/>
  <c r="C40" i="53"/>
  <c r="S40" i="53"/>
  <c r="AI40" i="53"/>
  <c r="AY40" i="53"/>
  <c r="K40" i="53"/>
  <c r="AA40" i="53"/>
  <c r="AQ40" i="53"/>
  <c r="BW39" i="53"/>
  <c r="CA39" i="53" s="1"/>
  <c r="BS39" i="53"/>
  <c r="G39" i="53"/>
  <c r="B39" i="53"/>
  <c r="W39" i="53"/>
  <c r="R39" i="53"/>
  <c r="AH39" i="53"/>
  <c r="AM39" i="53"/>
  <c r="BC39" i="53"/>
  <c r="AX39" i="53"/>
  <c r="BK39" i="53"/>
  <c r="BF39" i="53"/>
  <c r="O39" i="53"/>
  <c r="J39" i="53"/>
  <c r="AE39" i="53"/>
  <c r="Z39" i="53"/>
  <c r="AU39" i="53"/>
  <c r="AP39" i="53"/>
  <c r="BS38" i="53"/>
  <c r="G38" i="53"/>
  <c r="B38" i="53"/>
  <c r="W38" i="53"/>
  <c r="R38" i="53"/>
  <c r="AM38" i="53"/>
  <c r="AH38" i="53"/>
  <c r="BC38" i="53"/>
  <c r="AX38" i="53"/>
  <c r="BF38" i="53"/>
  <c r="BK38" i="53"/>
  <c r="BV38" i="53"/>
  <c r="CA38" i="53"/>
  <c r="O38" i="53"/>
  <c r="J38" i="53"/>
  <c r="AE38" i="53"/>
  <c r="Z38" i="53"/>
  <c r="AU38" i="53"/>
  <c r="AP38" i="53"/>
  <c r="O37" i="53"/>
  <c r="J37" i="53"/>
  <c r="BS37" i="53"/>
  <c r="G37" i="53"/>
  <c r="B37" i="53"/>
  <c r="W37" i="53"/>
  <c r="R37" i="53"/>
  <c r="AM37" i="53"/>
  <c r="AH37" i="53"/>
  <c r="BC37" i="53"/>
  <c r="AX37" i="53"/>
  <c r="BF37" i="53"/>
  <c r="BK37" i="53"/>
  <c r="CA37" i="53"/>
  <c r="BV37" i="53"/>
  <c r="Z37" i="53"/>
  <c r="AE37" i="53"/>
  <c r="AU37" i="53"/>
  <c r="AP37" i="53"/>
  <c r="BS36" i="53"/>
  <c r="W36" i="53"/>
  <c r="R36" i="53"/>
  <c r="AM36" i="53"/>
  <c r="AH36" i="53"/>
  <c r="BC36" i="53"/>
  <c r="AX36" i="53"/>
  <c r="B36" i="53"/>
  <c r="G36" i="53"/>
  <c r="BF36" i="53"/>
  <c r="BK36" i="53"/>
  <c r="BV36" i="53"/>
  <c r="CA36" i="53"/>
  <c r="AU36" i="53"/>
  <c r="AP36" i="53"/>
  <c r="O36" i="53"/>
  <c r="J36" i="53"/>
  <c r="AE36" i="53"/>
  <c r="Z36" i="53"/>
  <c r="B35" i="53"/>
  <c r="G35" i="53"/>
  <c r="W35" i="53"/>
  <c r="R35" i="53"/>
  <c r="BS35" i="53"/>
  <c r="AX35" i="53"/>
  <c r="BC35" i="53"/>
  <c r="AM35" i="53"/>
  <c r="AH35" i="53"/>
  <c r="BF35" i="53"/>
  <c r="BK35" i="53"/>
  <c r="CA35" i="53"/>
  <c r="BV35" i="53"/>
  <c r="AE35" i="53"/>
  <c r="Z35" i="53"/>
  <c r="AU35" i="53"/>
  <c r="AP35" i="53"/>
  <c r="O35" i="53"/>
  <c r="J35" i="53"/>
  <c r="BS34" i="53"/>
  <c r="G34" i="53"/>
  <c r="B34" i="53"/>
  <c r="R34" i="53"/>
  <c r="W34" i="53"/>
  <c r="AH34" i="53"/>
  <c r="AM34" i="53"/>
  <c r="BC34" i="53"/>
  <c r="AX34" i="53"/>
  <c r="BK34" i="53"/>
  <c r="BF34" i="53"/>
  <c r="CA34" i="53"/>
  <c r="BV34" i="53"/>
  <c r="J34" i="53"/>
  <c r="O34" i="53"/>
  <c r="Z34" i="53"/>
  <c r="AE34" i="53"/>
  <c r="AU34" i="53"/>
  <c r="AP34" i="53"/>
  <c r="BS33" i="53"/>
  <c r="G33" i="53"/>
  <c r="B33" i="53"/>
  <c r="R33" i="53"/>
  <c r="W33" i="53"/>
  <c r="AH33" i="53"/>
  <c r="AM33" i="53"/>
  <c r="BC33" i="53"/>
  <c r="AX33" i="53"/>
  <c r="BF33" i="53"/>
  <c r="BK33" i="53"/>
  <c r="BV33" i="53"/>
  <c r="CA33" i="53"/>
  <c r="O33" i="53"/>
  <c r="J33" i="53"/>
  <c r="Z33" i="53"/>
  <c r="AE33" i="53"/>
  <c r="AU33" i="53"/>
  <c r="AP33" i="53"/>
  <c r="BW32" i="53"/>
  <c r="CA32" i="53" s="1"/>
  <c r="G32" i="53"/>
  <c r="B32" i="53"/>
  <c r="W32" i="53"/>
  <c r="R32" i="53"/>
  <c r="AM32" i="53"/>
  <c r="AH32" i="53"/>
  <c r="BC32" i="53"/>
  <c r="AX32" i="53"/>
  <c r="BS32" i="53"/>
  <c r="O32" i="53"/>
  <c r="J32" i="53"/>
  <c r="AE32" i="53"/>
  <c r="Z32" i="53"/>
  <c r="AP32" i="53"/>
  <c r="AU32" i="53"/>
  <c r="BK32" i="53"/>
  <c r="BF32" i="53"/>
  <c r="C31" i="53"/>
  <c r="BO31" i="53"/>
  <c r="BN31" i="53" s="1"/>
  <c r="S31" i="53"/>
  <c r="BG31" i="53"/>
  <c r="AI31" i="53"/>
  <c r="K31" i="53"/>
  <c r="BW31" i="53"/>
  <c r="AQ31" i="53"/>
  <c r="AA31" i="53"/>
  <c r="G30" i="53"/>
  <c r="B30" i="53"/>
  <c r="BS30" i="53"/>
  <c r="AU30" i="53"/>
  <c r="AP30" i="53"/>
  <c r="W30" i="53"/>
  <c r="R30" i="53"/>
  <c r="BK30" i="53"/>
  <c r="BF30" i="53"/>
  <c r="AM30" i="53"/>
  <c r="AH30" i="53"/>
  <c r="O30" i="53"/>
  <c r="J30" i="53"/>
  <c r="BV30" i="53"/>
  <c r="CA30" i="53"/>
  <c r="BC30" i="53"/>
  <c r="AX30" i="53"/>
  <c r="Z30" i="53"/>
  <c r="AE30" i="53"/>
  <c r="AO6" i="15"/>
  <c r="AM6" i="15"/>
  <c r="AN6" i="15" s="1"/>
  <c r="AJ6" i="15"/>
  <c r="AK6" i="15" s="1"/>
  <c r="AG6" i="15"/>
  <c r="AH6" i="15" s="1"/>
  <c r="AE6" i="15"/>
  <c r="AB6" i="15"/>
  <c r="P6" i="15"/>
  <c r="L6" i="15"/>
  <c r="I6" i="15"/>
  <c r="J6" i="15" s="1"/>
  <c r="G6" i="15"/>
  <c r="C6" i="15"/>
  <c r="D6" i="15" s="1"/>
  <c r="BS152" i="53" l="1"/>
  <c r="B118" i="53"/>
  <c r="BK121" i="53"/>
  <c r="AH149" i="53"/>
  <c r="BK138" i="53"/>
  <c r="BS120" i="53"/>
  <c r="W151" i="53"/>
  <c r="BF131" i="53"/>
  <c r="BF130" i="53"/>
  <c r="BV151" i="53"/>
  <c r="CA136" i="53"/>
  <c r="O151" i="53"/>
  <c r="BS130" i="53"/>
  <c r="BN130" i="53"/>
  <c r="BS135" i="53"/>
  <c r="BN135" i="53"/>
  <c r="BS75" i="53"/>
  <c r="BN75" i="53"/>
  <c r="BS107" i="53"/>
  <c r="BN107" i="53"/>
  <c r="BS114" i="53"/>
  <c r="BN114" i="53"/>
  <c r="BS131" i="53"/>
  <c r="BN131" i="53"/>
  <c r="BS74" i="53"/>
  <c r="BN74" i="53"/>
  <c r="BS117" i="53"/>
  <c r="BN117" i="53"/>
  <c r="BS137" i="53"/>
  <c r="BN137" i="53"/>
  <c r="BS102" i="53"/>
  <c r="BN102" i="53"/>
  <c r="BS119" i="53"/>
  <c r="BN119" i="53"/>
  <c r="BS134" i="53"/>
  <c r="BN134" i="53"/>
  <c r="BS150" i="53"/>
  <c r="BN150" i="53"/>
  <c r="BS84" i="53"/>
  <c r="BN84" i="53"/>
  <c r="BS141" i="53"/>
  <c r="BN141" i="53"/>
  <c r="BS121" i="53"/>
  <c r="BN121" i="53"/>
  <c r="BS111" i="53"/>
  <c r="BN111" i="53"/>
  <c r="BS115" i="53"/>
  <c r="BN115" i="53"/>
  <c r="AU131" i="53"/>
  <c r="AU139" i="53"/>
  <c r="BS132" i="53"/>
  <c r="Z151" i="53"/>
  <c r="AM125" i="53"/>
  <c r="AE150" i="53"/>
  <c r="J125" i="53"/>
  <c r="J150" i="53"/>
  <c r="O114" i="53"/>
  <c r="J152" i="53"/>
  <c r="AX137" i="53"/>
  <c r="O102" i="53"/>
  <c r="O118" i="53"/>
  <c r="R119" i="53"/>
  <c r="CA149" i="53"/>
  <c r="BS76" i="53"/>
  <c r="O141" i="53"/>
  <c r="AM102" i="53"/>
  <c r="BC151" i="53"/>
  <c r="G139" i="53"/>
  <c r="G128" i="53"/>
  <c r="BF151" i="53"/>
  <c r="R141" i="53"/>
  <c r="CA133" i="53"/>
  <c r="AP152" i="53"/>
  <c r="AP141" i="53"/>
  <c r="BC152" i="53"/>
  <c r="AH150" i="53"/>
  <c r="AE132" i="53"/>
  <c r="Z119" i="53"/>
  <c r="Z152" i="53"/>
  <c r="Z102" i="53"/>
  <c r="BF150" i="53"/>
  <c r="B149" i="53"/>
  <c r="AU149" i="53"/>
  <c r="AU150" i="53"/>
  <c r="W137" i="53"/>
  <c r="AH152" i="53"/>
  <c r="J139" i="53"/>
  <c r="BK75" i="53"/>
  <c r="AX138" i="53"/>
  <c r="AE126" i="53"/>
  <c r="BS149" i="53"/>
  <c r="BK152" i="53"/>
  <c r="AH151" i="53"/>
  <c r="J149" i="53"/>
  <c r="J133" i="53"/>
  <c r="CA150" i="53"/>
  <c r="BF84" i="53"/>
  <c r="AM130" i="53"/>
  <c r="AH119" i="53"/>
  <c r="AM132" i="53"/>
  <c r="AM138" i="53"/>
  <c r="R149" i="53"/>
  <c r="R150" i="53"/>
  <c r="R131" i="53"/>
  <c r="G152" i="53"/>
  <c r="B151" i="53"/>
  <c r="BS128" i="53"/>
  <c r="BC149" i="53"/>
  <c r="AU151" i="53"/>
  <c r="AM121" i="53"/>
  <c r="J126" i="53"/>
  <c r="B150" i="53"/>
  <c r="G137" i="53"/>
  <c r="AX128" i="53"/>
  <c r="BC150" i="53"/>
  <c r="AX136" i="53"/>
  <c r="AX121" i="53"/>
  <c r="AE149" i="53"/>
  <c r="W107" i="53"/>
  <c r="B135" i="53"/>
  <c r="BK135" i="53"/>
  <c r="BF139" i="53"/>
  <c r="AH133" i="53"/>
  <c r="R128" i="53"/>
  <c r="R136" i="53"/>
  <c r="BF136" i="53"/>
  <c r="AP120" i="53"/>
  <c r="AP85" i="53"/>
  <c r="M6" i="15"/>
  <c r="C5" i="17"/>
  <c r="BK111" i="53"/>
  <c r="B129" i="53"/>
  <c r="BV114" i="53"/>
  <c r="AU138" i="53"/>
  <c r="Z120" i="53"/>
  <c r="Z129" i="53"/>
  <c r="W130" i="53"/>
  <c r="R78" i="53"/>
  <c r="R138" i="53"/>
  <c r="R120" i="53"/>
  <c r="W114" i="53"/>
  <c r="J85" i="53"/>
  <c r="O136" i="53"/>
  <c r="AH135" i="53"/>
  <c r="AU129" i="53"/>
  <c r="AU132" i="53"/>
  <c r="AP137" i="53"/>
  <c r="AH126" i="53"/>
  <c r="BV137" i="53"/>
  <c r="AH137" i="53"/>
  <c r="BS139" i="53"/>
  <c r="BK134" i="53"/>
  <c r="AH139" i="53"/>
  <c r="Z141" i="53"/>
  <c r="AE139" i="53"/>
  <c r="AE117" i="53"/>
  <c r="B134" i="53"/>
  <c r="CA84" i="53"/>
  <c r="CA141" i="53"/>
  <c r="BK141" i="53"/>
  <c r="BC131" i="53"/>
  <c r="AX133" i="53"/>
  <c r="AX114" i="53"/>
  <c r="AX111" i="53"/>
  <c r="AU136" i="53"/>
  <c r="AE116" i="53"/>
  <c r="R139" i="53"/>
  <c r="G116" i="53"/>
  <c r="B141" i="53"/>
  <c r="BS138" i="53"/>
  <c r="CA138" i="53"/>
  <c r="BK137" i="53"/>
  <c r="BS129" i="53"/>
  <c r="AM118" i="53"/>
  <c r="Z135" i="53"/>
  <c r="AH134" i="53"/>
  <c r="B136" i="53"/>
  <c r="R117" i="53"/>
  <c r="BS73" i="53"/>
  <c r="AM141" i="53"/>
  <c r="R134" i="53"/>
  <c r="AH136" i="53"/>
  <c r="B133" i="53"/>
  <c r="AE137" i="53"/>
  <c r="CA130" i="53"/>
  <c r="AX134" i="53"/>
  <c r="G130" i="53"/>
  <c r="O129" i="53"/>
  <c r="BC139" i="53"/>
  <c r="BC141" i="53"/>
  <c r="AU134" i="53"/>
  <c r="W135" i="53"/>
  <c r="J132" i="53"/>
  <c r="AE128" i="53"/>
  <c r="BS133" i="53"/>
  <c r="G138" i="53"/>
  <c r="Z134" i="53"/>
  <c r="CA118" i="53"/>
  <c r="B126" i="53"/>
  <c r="Z136" i="53"/>
  <c r="BV131" i="53"/>
  <c r="BV139" i="53"/>
  <c r="Z125" i="53"/>
  <c r="J137" i="53"/>
  <c r="CA132" i="53"/>
  <c r="AU121" i="53"/>
  <c r="R118" i="53"/>
  <c r="BC129" i="53"/>
  <c r="AX135" i="53"/>
  <c r="AP115" i="53"/>
  <c r="AP130" i="53"/>
  <c r="BV128" i="53"/>
  <c r="AP119" i="53"/>
  <c r="AP118" i="53"/>
  <c r="O138" i="53"/>
  <c r="J131" i="53"/>
  <c r="G131" i="53"/>
  <c r="AE138" i="53"/>
  <c r="CA129" i="53"/>
  <c r="AP128" i="53"/>
  <c r="BK128" i="53"/>
  <c r="AM129" i="53"/>
  <c r="W129" i="53"/>
  <c r="B119" i="53"/>
  <c r="AP135" i="53"/>
  <c r="AH131" i="53"/>
  <c r="CA117" i="53"/>
  <c r="AE118" i="53"/>
  <c r="B102" i="53"/>
  <c r="BV134" i="53"/>
  <c r="AP133" i="53"/>
  <c r="Z121" i="53"/>
  <c r="R132" i="53"/>
  <c r="J134" i="53"/>
  <c r="R133" i="53"/>
  <c r="J135" i="53"/>
  <c r="AE133" i="53"/>
  <c r="R111" i="53"/>
  <c r="J128" i="53"/>
  <c r="AP114" i="53"/>
  <c r="BV135" i="53"/>
  <c r="J115" i="53"/>
  <c r="AX130" i="53"/>
  <c r="CA121" i="53"/>
  <c r="BS116" i="53"/>
  <c r="AH120" i="53"/>
  <c r="AE130" i="53"/>
  <c r="R125" i="53"/>
  <c r="AX132" i="53"/>
  <c r="Z131" i="53"/>
  <c r="B132" i="53"/>
  <c r="BK132" i="53"/>
  <c r="AH128" i="53"/>
  <c r="J130" i="53"/>
  <c r="AX118" i="53"/>
  <c r="AX120" i="53"/>
  <c r="BF117" i="53"/>
  <c r="AH115" i="53"/>
  <c r="R126" i="53"/>
  <c r="J117" i="53"/>
  <c r="W121" i="53"/>
  <c r="B121" i="53"/>
  <c r="G120" i="53"/>
  <c r="AE114" i="53"/>
  <c r="B125" i="53"/>
  <c r="AH117" i="53"/>
  <c r="O116" i="53"/>
  <c r="BK115" i="53"/>
  <c r="R115" i="53"/>
  <c r="AX117" i="53"/>
  <c r="AX119" i="53"/>
  <c r="AM114" i="53"/>
  <c r="CA119" i="53"/>
  <c r="CA120" i="53"/>
  <c r="AP116" i="53"/>
  <c r="BS118" i="53"/>
  <c r="BF114" i="53"/>
  <c r="AP111" i="53"/>
  <c r="BV76" i="53"/>
  <c r="BF120" i="53"/>
  <c r="BC107" i="53"/>
  <c r="AP117" i="53"/>
  <c r="R116" i="53"/>
  <c r="J119" i="53"/>
  <c r="B114" i="53"/>
  <c r="B85" i="53"/>
  <c r="B115" i="53"/>
  <c r="J121" i="53"/>
  <c r="BV115" i="53"/>
  <c r="J120" i="53"/>
  <c r="BF118" i="53"/>
  <c r="BK119" i="53"/>
  <c r="AH107" i="53"/>
  <c r="AE111" i="53"/>
  <c r="Z107" i="53"/>
  <c r="BV107" i="53"/>
  <c r="BV116" i="53"/>
  <c r="AX116" i="53"/>
  <c r="CA102" i="53"/>
  <c r="J111" i="53"/>
  <c r="BV111" i="53"/>
  <c r="BF116" i="53"/>
  <c r="AM75" i="53"/>
  <c r="AM111" i="53"/>
  <c r="AE115" i="53"/>
  <c r="G107" i="53"/>
  <c r="AM116" i="53"/>
  <c r="AX84" i="53"/>
  <c r="BF107" i="53"/>
  <c r="AP102" i="53"/>
  <c r="AP107" i="53"/>
  <c r="AM78" i="53"/>
  <c r="AX85" i="53"/>
  <c r="B76" i="53"/>
  <c r="BK102" i="53"/>
  <c r="B111" i="53"/>
  <c r="BF85" i="53"/>
  <c r="AP75" i="53"/>
  <c r="R84" i="53"/>
  <c r="BS85" i="53"/>
  <c r="BC102" i="53"/>
  <c r="J107" i="53"/>
  <c r="AU78" i="53"/>
  <c r="W102" i="53"/>
  <c r="AE84" i="53"/>
  <c r="O84" i="53"/>
  <c r="Z75" i="53"/>
  <c r="BC76" i="53"/>
  <c r="AM84" i="53"/>
  <c r="AX78" i="53"/>
  <c r="R85" i="53"/>
  <c r="CA77" i="53"/>
  <c r="B84" i="53"/>
  <c r="AM76" i="53"/>
  <c r="AM85" i="53"/>
  <c r="Z78" i="53"/>
  <c r="AP84" i="53"/>
  <c r="Z85" i="53"/>
  <c r="BV85" i="53"/>
  <c r="R75" i="53"/>
  <c r="BS78" i="53"/>
  <c r="AX73" i="53"/>
  <c r="AX74" i="53"/>
  <c r="AE76" i="53"/>
  <c r="J78" i="53"/>
  <c r="O74" i="53"/>
  <c r="BF76" i="53"/>
  <c r="BC75" i="53"/>
  <c r="B74" i="53"/>
  <c r="AE74" i="53"/>
  <c r="BV78" i="53"/>
  <c r="BF78" i="53"/>
  <c r="J75" i="53"/>
  <c r="B78" i="53"/>
  <c r="AH74" i="53"/>
  <c r="AP76" i="53"/>
  <c r="W73" i="53"/>
  <c r="B73" i="53"/>
  <c r="CA74" i="53"/>
  <c r="J76" i="53"/>
  <c r="B75" i="53"/>
  <c r="BV75" i="53"/>
  <c r="Z73" i="53"/>
  <c r="AH73" i="53"/>
  <c r="W74" i="53"/>
  <c r="R76" i="53"/>
  <c r="AP73" i="53"/>
  <c r="BF74" i="53"/>
  <c r="AP74" i="53"/>
  <c r="BF73" i="53"/>
  <c r="CA73" i="53"/>
  <c r="J73" i="53"/>
  <c r="AE60" i="53"/>
  <c r="Z60" i="53"/>
  <c r="AM60" i="53"/>
  <c r="AH60" i="53"/>
  <c r="W60" i="53"/>
  <c r="R60" i="53"/>
  <c r="BC60" i="53"/>
  <c r="AX60" i="53"/>
  <c r="CA60" i="53"/>
  <c r="BV60" i="53"/>
  <c r="BK60" i="53"/>
  <c r="BF60" i="53"/>
  <c r="B60" i="53"/>
  <c r="G60" i="53"/>
  <c r="BS60" i="53"/>
  <c r="O60" i="53"/>
  <c r="J60" i="53"/>
  <c r="AU60" i="53"/>
  <c r="AP60" i="53"/>
  <c r="O59" i="53"/>
  <c r="J59" i="53"/>
  <c r="AM59" i="53"/>
  <c r="AH59" i="53"/>
  <c r="CA59" i="53"/>
  <c r="BV59" i="53"/>
  <c r="AU59" i="53"/>
  <c r="AP59" i="53"/>
  <c r="B59" i="53"/>
  <c r="G59" i="53"/>
  <c r="AE59" i="53"/>
  <c r="Z59" i="53"/>
  <c r="BS59" i="53"/>
  <c r="AX59" i="53"/>
  <c r="BC59" i="53"/>
  <c r="W59" i="53"/>
  <c r="R59" i="53"/>
  <c r="BK59" i="53"/>
  <c r="BF59" i="53"/>
  <c r="CA43" i="53"/>
  <c r="BV43" i="53"/>
  <c r="AX43" i="53"/>
  <c r="BC43" i="53"/>
  <c r="O43" i="53"/>
  <c r="J43" i="53"/>
  <c r="W43" i="53"/>
  <c r="R43" i="53"/>
  <c r="G43" i="53"/>
  <c r="B43" i="53"/>
  <c r="AU43" i="53"/>
  <c r="AP43" i="53"/>
  <c r="AE43" i="53"/>
  <c r="Z43" i="53"/>
  <c r="BS43" i="53"/>
  <c r="AM43" i="53"/>
  <c r="AH43" i="53"/>
  <c r="BK43" i="53"/>
  <c r="BF43" i="53"/>
  <c r="R42" i="53"/>
  <c r="W42" i="53"/>
  <c r="CA42" i="53"/>
  <c r="BV42" i="53"/>
  <c r="BS42" i="53"/>
  <c r="AX42" i="53"/>
  <c r="BC42" i="53"/>
  <c r="AU42" i="53"/>
  <c r="AP42" i="53"/>
  <c r="AH42" i="53"/>
  <c r="AM42" i="53"/>
  <c r="Z42" i="53"/>
  <c r="AE42" i="53"/>
  <c r="G42" i="53"/>
  <c r="B42" i="53"/>
  <c r="J42" i="53"/>
  <c r="O42" i="53"/>
  <c r="BK42" i="53"/>
  <c r="BF42" i="53"/>
  <c r="O41" i="53"/>
  <c r="J41" i="53"/>
  <c r="G41" i="53"/>
  <c r="B41" i="53"/>
  <c r="BV41" i="53"/>
  <c r="CA41" i="53"/>
  <c r="BS41" i="53"/>
  <c r="BK41" i="53"/>
  <c r="BF41" i="53"/>
  <c r="AX41" i="53"/>
  <c r="BC41" i="53"/>
  <c r="AU41" i="53"/>
  <c r="AP41" i="53"/>
  <c r="AM41" i="53"/>
  <c r="AH41" i="53"/>
  <c r="Z41" i="53"/>
  <c r="AE41" i="53"/>
  <c r="R41" i="53"/>
  <c r="W41" i="53"/>
  <c r="G40" i="53"/>
  <c r="B40" i="53"/>
  <c r="AX40" i="53"/>
  <c r="BC40" i="53"/>
  <c r="BV40" i="53"/>
  <c r="CA40" i="53"/>
  <c r="O40" i="53"/>
  <c r="J40" i="53"/>
  <c r="BV39" i="53"/>
  <c r="AP40" i="53"/>
  <c r="AU40" i="53"/>
  <c r="AM40" i="53"/>
  <c r="AH40" i="53"/>
  <c r="BF40" i="53"/>
  <c r="BK40" i="53"/>
  <c r="AE40" i="53"/>
  <c r="Z40" i="53"/>
  <c r="W40" i="53"/>
  <c r="R40" i="53"/>
  <c r="BS40" i="53"/>
  <c r="BV32" i="53"/>
  <c r="W31" i="53"/>
  <c r="R31" i="53"/>
  <c r="BS31" i="53"/>
  <c r="BC31" i="53"/>
  <c r="AX31" i="53"/>
  <c r="O31" i="53"/>
  <c r="J31" i="53"/>
  <c r="BK31" i="53"/>
  <c r="BF31" i="53"/>
  <c r="CA31" i="53"/>
  <c r="BV31" i="53"/>
  <c r="AE31" i="53"/>
  <c r="Z31" i="53"/>
  <c r="AU31" i="53"/>
  <c r="AP31" i="53"/>
  <c r="AM31" i="53"/>
  <c r="AH31" i="53"/>
  <c r="B31" i="53"/>
  <c r="G31" i="53"/>
  <c r="AO5" i="15"/>
  <c r="AM5" i="15"/>
  <c r="AN5" i="15" s="1"/>
  <c r="AJ5" i="15"/>
  <c r="AK5" i="15" s="1"/>
  <c r="AG5" i="15"/>
  <c r="AH5" i="15" s="1"/>
  <c r="AE5" i="15"/>
  <c r="AB5" i="15"/>
  <c r="L5" i="15"/>
  <c r="C4" i="17" s="1"/>
  <c r="I5" i="15"/>
  <c r="J5" i="15" s="1"/>
  <c r="G5" i="15"/>
  <c r="C5" i="15"/>
  <c r="D5" i="15" s="1"/>
  <c r="AM4" i="15"/>
  <c r="AN4" i="15" s="1"/>
  <c r="AJ4" i="15"/>
  <c r="AK4" i="15" s="1"/>
  <c r="AG4" i="15"/>
  <c r="AH4" i="15" s="1"/>
  <c r="AE4" i="15"/>
  <c r="AB4" i="15"/>
  <c r="M3" i="15"/>
  <c r="K12" i="17"/>
  <c r="H2" i="17"/>
  <c r="AO4" i="15"/>
  <c r="P4" i="15"/>
  <c r="I4" i="15"/>
  <c r="J4" i="15" s="1"/>
  <c r="G4" i="15"/>
  <c r="C4" i="15"/>
  <c r="D4" i="15" s="1"/>
  <c r="AO11" i="15"/>
  <c r="AO12" i="15"/>
  <c r="AO13" i="15"/>
  <c r="AO14" i="15"/>
  <c r="AO15" i="15"/>
  <c r="AO16" i="15"/>
  <c r="AO20" i="15"/>
  <c r="AO21" i="15"/>
  <c r="AO22" i="15"/>
  <c r="AO24" i="15"/>
  <c r="AO25" i="15"/>
  <c r="AO26" i="15"/>
  <c r="AO27" i="15"/>
  <c r="AO31" i="15"/>
  <c r="AO33" i="15"/>
  <c r="AO38" i="15"/>
  <c r="AO42" i="15"/>
  <c r="AO43" i="15"/>
  <c r="AO44" i="15"/>
  <c r="AO46" i="15"/>
  <c r="AO49" i="15"/>
  <c r="AO55" i="15"/>
  <c r="AO60" i="15"/>
  <c r="AO61" i="15"/>
  <c r="AO63" i="15"/>
  <c r="AO65" i="15"/>
  <c r="AO66" i="15"/>
  <c r="AO67" i="15"/>
  <c r="AO68" i="15"/>
  <c r="AO69" i="15"/>
  <c r="AO70" i="15"/>
  <c r="AO73" i="15"/>
  <c r="AO75" i="15"/>
  <c r="AO76" i="15"/>
  <c r="AO79" i="15"/>
  <c r="AO80" i="15"/>
  <c r="AO81" i="15"/>
  <c r="AO82" i="15"/>
  <c r="AO83" i="15"/>
  <c r="AO84" i="15"/>
  <c r="AO85" i="15"/>
  <c r="AO86" i="15"/>
  <c r="AO87" i="15"/>
  <c r="AO88" i="15"/>
  <c r="AO89" i="15"/>
  <c r="AO90" i="15"/>
  <c r="AO91" i="15"/>
  <c r="AO92" i="15"/>
  <c r="AO93" i="15"/>
  <c r="AO94" i="15"/>
  <c r="AO95" i="15"/>
  <c r="AO96" i="15"/>
  <c r="AO97" i="15"/>
  <c r="AO98" i="15"/>
  <c r="AO99" i="15"/>
  <c r="AO100" i="15"/>
  <c r="AO101" i="15"/>
  <c r="AO102" i="15"/>
  <c r="AO103" i="15"/>
  <c r="AO104" i="15"/>
  <c r="AO105" i="15"/>
  <c r="AO106" i="15"/>
  <c r="AO107" i="15"/>
  <c r="AO108" i="15"/>
  <c r="AO109" i="15"/>
  <c r="AO110" i="15"/>
  <c r="AO111" i="15"/>
  <c r="AO112" i="15"/>
  <c r="AO113" i="15"/>
  <c r="AO114" i="15"/>
  <c r="AO115" i="15"/>
  <c r="AO116" i="15"/>
  <c r="AO117" i="15"/>
  <c r="AO118" i="15"/>
  <c r="AO119" i="15"/>
  <c r="AO120" i="15"/>
  <c r="AO121" i="15"/>
  <c r="AO122" i="15"/>
  <c r="AO123" i="15"/>
  <c r="AO124" i="15"/>
  <c r="AO125" i="15"/>
  <c r="AO126" i="15"/>
  <c r="AO127" i="15"/>
  <c r="AO128" i="15"/>
  <c r="AO129" i="15"/>
  <c r="AO130" i="15"/>
  <c r="AO131" i="15"/>
  <c r="AO132" i="15"/>
  <c r="AO133" i="15"/>
  <c r="AO134" i="15"/>
  <c r="AO135" i="15"/>
  <c r="AO136" i="15"/>
  <c r="AO137" i="15"/>
  <c r="AO138" i="15"/>
  <c r="AO139" i="15"/>
  <c r="AO140" i="15"/>
  <c r="AO141" i="15"/>
  <c r="AO142" i="15"/>
  <c r="AO143" i="15"/>
  <c r="AO144" i="15"/>
  <c r="AO145" i="15"/>
  <c r="AO146" i="15"/>
  <c r="AO147" i="15"/>
  <c r="AO148" i="15"/>
  <c r="AO149" i="15"/>
  <c r="AO150" i="15"/>
  <c r="AO151" i="15"/>
  <c r="AO152" i="15"/>
  <c r="AO153" i="15"/>
  <c r="AO154" i="15"/>
  <c r="AO155" i="15"/>
  <c r="AO156" i="15"/>
  <c r="AO157" i="15"/>
  <c r="AO158" i="15"/>
  <c r="AO159" i="15"/>
  <c r="AO160" i="15"/>
  <c r="AO161" i="15"/>
  <c r="AO162" i="15"/>
  <c r="AO163" i="15"/>
  <c r="AO164" i="15"/>
  <c r="AO165" i="15"/>
  <c r="AO166" i="15"/>
  <c r="AO167" i="15"/>
  <c r="AO168" i="15"/>
  <c r="AO169" i="15"/>
  <c r="AO170" i="15"/>
  <c r="AO171" i="15"/>
  <c r="AO172" i="15"/>
  <c r="AO173" i="15"/>
  <c r="AO174" i="15"/>
  <c r="AO175" i="15"/>
  <c r="AO176" i="15"/>
  <c r="AO177" i="15"/>
  <c r="AO178" i="15"/>
  <c r="AO179" i="15"/>
  <c r="AO180" i="15"/>
  <c r="AO181" i="15"/>
  <c r="AO182" i="15"/>
  <c r="AO183" i="15"/>
  <c r="AO184" i="15"/>
  <c r="AO185" i="15"/>
  <c r="AO186" i="15"/>
  <c r="AO187" i="15"/>
  <c r="AO188" i="15"/>
  <c r="AO189" i="15"/>
  <c r="AO190" i="15"/>
  <c r="AO191" i="15"/>
  <c r="AO192" i="15"/>
  <c r="AO193" i="15"/>
  <c r="AO194" i="15"/>
  <c r="AO195" i="15"/>
  <c r="AO196" i="15"/>
  <c r="AO197" i="15"/>
  <c r="AO198" i="15"/>
  <c r="AO199" i="15"/>
  <c r="AO200" i="15"/>
  <c r="AO201" i="15"/>
  <c r="AO202" i="15"/>
  <c r="AO203" i="15"/>
  <c r="AO204" i="15"/>
  <c r="AO205" i="15"/>
  <c r="AO206" i="15"/>
  <c r="AO207" i="15"/>
  <c r="AO208" i="15"/>
  <c r="AO209" i="15"/>
  <c r="AO210" i="15"/>
  <c r="AO211" i="15"/>
  <c r="AO212" i="15"/>
  <c r="AO213" i="15"/>
  <c r="AO214" i="15"/>
  <c r="AO215" i="15"/>
  <c r="AO216" i="15"/>
  <c r="AO217" i="15"/>
  <c r="AO218" i="15"/>
  <c r="AO219" i="15"/>
  <c r="AO220" i="15"/>
  <c r="AO221" i="15"/>
  <c r="AO222" i="15"/>
  <c r="AO223" i="15"/>
  <c r="AO224" i="15"/>
  <c r="AO225" i="15"/>
  <c r="AO226" i="15"/>
  <c r="AO227" i="15"/>
  <c r="AO228" i="15"/>
  <c r="AO229" i="15"/>
  <c r="AO230" i="15"/>
  <c r="AO231" i="15"/>
  <c r="AO232" i="15"/>
  <c r="AO233" i="15"/>
  <c r="AO234" i="15"/>
  <c r="AO235" i="15"/>
  <c r="AO236" i="15"/>
  <c r="AO237" i="15"/>
  <c r="AO238" i="15"/>
  <c r="AO239" i="15"/>
  <c r="AO240" i="15"/>
  <c r="AO241" i="15"/>
  <c r="AO242" i="15"/>
  <c r="AO243" i="15"/>
  <c r="AO244" i="15"/>
  <c r="AO245" i="15"/>
  <c r="AO246" i="15"/>
  <c r="AO247" i="15"/>
  <c r="AO248" i="15"/>
  <c r="AO249" i="15"/>
  <c r="AO250" i="15"/>
  <c r="AO251" i="15"/>
  <c r="AO252" i="15"/>
  <c r="AO253" i="15"/>
  <c r="AO254" i="15"/>
  <c r="AO255" i="15"/>
  <c r="AO256" i="15"/>
  <c r="AO257" i="15"/>
  <c r="AO258" i="15"/>
  <c r="AO259" i="15"/>
  <c r="AO260" i="15"/>
  <c r="AO261" i="15"/>
  <c r="AO262" i="15"/>
  <c r="AO263" i="15"/>
  <c r="AO264" i="15"/>
  <c r="AO265" i="15"/>
  <c r="AO266" i="15"/>
  <c r="AO267" i="15"/>
  <c r="AO268" i="15"/>
  <c r="AO269" i="15"/>
  <c r="AO270" i="15"/>
  <c r="AO271" i="15"/>
  <c r="AO272" i="15"/>
  <c r="AO273" i="15"/>
  <c r="AO274" i="15"/>
  <c r="AO275" i="15"/>
  <c r="AO276" i="15"/>
  <c r="AO277" i="15"/>
  <c r="AO278" i="15"/>
  <c r="AO279" i="15"/>
  <c r="AO280" i="15"/>
  <c r="AO281" i="15"/>
  <c r="AO282" i="15"/>
  <c r="AO283" i="15"/>
  <c r="AO284" i="15"/>
  <c r="AO285" i="15"/>
  <c r="AO286" i="15"/>
  <c r="AO287" i="15"/>
  <c r="AO288" i="15"/>
  <c r="AO289" i="15"/>
  <c r="AO290" i="15"/>
  <c r="AO291" i="15"/>
  <c r="AO292" i="15"/>
  <c r="AO293" i="15"/>
  <c r="AO294" i="15"/>
  <c r="AO295" i="15"/>
  <c r="AO296" i="15"/>
  <c r="AO297" i="15"/>
  <c r="AO298" i="15"/>
  <c r="AO299" i="15"/>
  <c r="AO300" i="15"/>
  <c r="AO301" i="15"/>
  <c r="AO302" i="15"/>
  <c r="AO303" i="15"/>
  <c r="AO304" i="15"/>
  <c r="AO305" i="15"/>
  <c r="AO306" i="15"/>
  <c r="AO307" i="15"/>
  <c r="AO308" i="15"/>
  <c r="AO309" i="15"/>
  <c r="AO310" i="15"/>
  <c r="AO311" i="15"/>
  <c r="AO312" i="15"/>
  <c r="AO313" i="15"/>
  <c r="AO314" i="15"/>
  <c r="AO315" i="15"/>
  <c r="AO316" i="15"/>
  <c r="AO317" i="15"/>
  <c r="AO318" i="15"/>
  <c r="AO319" i="15"/>
  <c r="AO320" i="15"/>
  <c r="AO321" i="15"/>
  <c r="AO322" i="15"/>
  <c r="AO323" i="15"/>
  <c r="AO324" i="15"/>
  <c r="AO325" i="15"/>
  <c r="AO326" i="15"/>
  <c r="AO327" i="15"/>
  <c r="AO328" i="15"/>
  <c r="AO329" i="15"/>
  <c r="AO330" i="15"/>
  <c r="AO331" i="15"/>
  <c r="AO332" i="15"/>
  <c r="AO333" i="15"/>
  <c r="AO334" i="15"/>
  <c r="AO335" i="15"/>
  <c r="AO336" i="15"/>
  <c r="AO337" i="15"/>
  <c r="AO338" i="15"/>
  <c r="AO339" i="15"/>
  <c r="AO340" i="15"/>
  <c r="AO341" i="15"/>
  <c r="AO342" i="15"/>
  <c r="AO343" i="15"/>
  <c r="AO344" i="15"/>
  <c r="AO345" i="15"/>
  <c r="AO346" i="15"/>
  <c r="AO347" i="15"/>
  <c r="AO348" i="15"/>
  <c r="AO349" i="15"/>
  <c r="AO350" i="15"/>
  <c r="AO351" i="15"/>
  <c r="AO352" i="15"/>
  <c r="AO353" i="15"/>
  <c r="AO354" i="15"/>
  <c r="AO355" i="15"/>
  <c r="AO356" i="15"/>
  <c r="AO357" i="15"/>
  <c r="AO358" i="15"/>
  <c r="AO359" i="15"/>
  <c r="AO360" i="15"/>
  <c r="AO361" i="15"/>
  <c r="AO362" i="15"/>
  <c r="AO363" i="15"/>
  <c r="AO364" i="15"/>
  <c r="AO365" i="15"/>
  <c r="AO366" i="15"/>
  <c r="AO367" i="15"/>
  <c r="C2" i="17" l="1"/>
  <c r="M4" i="15"/>
  <c r="C3" i="17"/>
  <c r="M5" i="15"/>
  <c r="P5" i="15"/>
  <c r="AT3" i="19" l="1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4" i="19"/>
  <c r="AT25" i="19"/>
  <c r="AT26" i="19"/>
  <c r="AT27" i="19"/>
  <c r="AT28" i="19"/>
  <c r="AT29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4" i="19"/>
  <c r="AT155" i="19"/>
  <c r="AT156" i="19"/>
  <c r="AT157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6" i="19"/>
  <c r="AT217" i="19"/>
  <c r="AT218" i="19"/>
  <c r="AT219" i="19"/>
  <c r="AT220" i="19"/>
  <c r="AT221" i="19"/>
  <c r="AT222" i="19"/>
  <c r="AT223" i="19"/>
  <c r="AT224" i="19"/>
  <c r="AT225" i="19"/>
  <c r="AT226" i="19"/>
  <c r="AT227" i="19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T264" i="19"/>
  <c r="AT265" i="19"/>
  <c r="AT266" i="19"/>
  <c r="AT267" i="19"/>
  <c r="AT268" i="19"/>
  <c r="AT269" i="19"/>
  <c r="AT270" i="19"/>
  <c r="AT271" i="19"/>
  <c r="AT272" i="19"/>
  <c r="AT273" i="19"/>
  <c r="AT274" i="19"/>
  <c r="AT275" i="19"/>
  <c r="AT276" i="19"/>
  <c r="AT277" i="19"/>
  <c r="AT278" i="19"/>
  <c r="AT279" i="19"/>
  <c r="AT280" i="19"/>
  <c r="AT281" i="19"/>
  <c r="AT282" i="19"/>
  <c r="AT283" i="19"/>
  <c r="AT284" i="19"/>
  <c r="AT285" i="19"/>
  <c r="AT286" i="19"/>
  <c r="AT287" i="19"/>
  <c r="AT288" i="19"/>
  <c r="AT289" i="19"/>
  <c r="AT290" i="19"/>
  <c r="AT291" i="19"/>
  <c r="AT292" i="19"/>
  <c r="AT293" i="19"/>
  <c r="AT294" i="19"/>
  <c r="AT295" i="19"/>
  <c r="AT296" i="19"/>
  <c r="AT297" i="19"/>
  <c r="AT298" i="19"/>
  <c r="AT299" i="19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T352" i="19"/>
  <c r="AT353" i="19"/>
  <c r="AT354" i="19"/>
  <c r="AT355" i="19"/>
  <c r="AT356" i="19"/>
  <c r="AT357" i="19"/>
  <c r="AT358" i="19"/>
  <c r="AT359" i="19"/>
  <c r="AT360" i="19"/>
  <c r="AT361" i="19"/>
  <c r="AT362" i="19"/>
  <c r="AT363" i="19"/>
  <c r="AT364" i="19"/>
  <c r="AT365" i="19"/>
  <c r="AT366" i="19"/>
  <c r="AT2" i="19"/>
  <c r="S10" i="19"/>
  <c r="P3" i="19"/>
  <c r="S3" i="19" s="1"/>
  <c r="P4" i="19"/>
  <c r="S4" i="19" s="1"/>
  <c r="P5" i="19"/>
  <c r="S5" i="19" s="1"/>
  <c r="P6" i="19"/>
  <c r="S6" i="19" s="1"/>
  <c r="P7" i="19"/>
  <c r="S7" i="19" s="1"/>
  <c r="P8" i="19"/>
  <c r="S8" i="19" s="1"/>
  <c r="P9" i="19"/>
  <c r="S9" i="19" s="1"/>
  <c r="P11" i="19"/>
  <c r="S11" i="19" s="1"/>
  <c r="P12" i="19"/>
  <c r="S12" i="19" s="1"/>
  <c r="P13" i="19"/>
  <c r="S13" i="19" s="1"/>
  <c r="P14" i="19"/>
  <c r="S14" i="19" s="1"/>
  <c r="P15" i="19"/>
  <c r="S15" i="19" s="1"/>
  <c r="P16" i="19"/>
  <c r="S16" i="19" s="1"/>
  <c r="P17" i="19"/>
  <c r="S17" i="19" s="1"/>
  <c r="P18" i="19"/>
  <c r="S18" i="19" s="1"/>
  <c r="P19" i="19"/>
  <c r="S19" i="19" s="1"/>
  <c r="P20" i="19"/>
  <c r="S20" i="19" s="1"/>
  <c r="P21" i="19"/>
  <c r="S21" i="19" s="1"/>
  <c r="P22" i="19"/>
  <c r="S22" i="19" s="1"/>
  <c r="P23" i="19"/>
  <c r="S23" i="19" s="1"/>
  <c r="P24" i="19"/>
  <c r="S24" i="19" s="1"/>
  <c r="P25" i="19"/>
  <c r="S25" i="19" s="1"/>
  <c r="P26" i="19"/>
  <c r="S26" i="19" s="1"/>
  <c r="P27" i="19"/>
  <c r="S27" i="19" s="1"/>
  <c r="P28" i="19"/>
  <c r="S28" i="19" s="1"/>
  <c r="P29" i="19"/>
  <c r="S29" i="19" s="1"/>
  <c r="P30" i="19"/>
  <c r="S30" i="19" s="1"/>
  <c r="P31" i="19"/>
  <c r="S31" i="19" s="1"/>
  <c r="P32" i="19"/>
  <c r="S32" i="19" s="1"/>
  <c r="P33" i="19"/>
  <c r="S33" i="19" s="1"/>
  <c r="P34" i="19"/>
  <c r="S34" i="19" s="1"/>
  <c r="P35" i="19"/>
  <c r="S35" i="19" s="1"/>
  <c r="P36" i="19"/>
  <c r="S36" i="19" s="1"/>
  <c r="P37" i="19"/>
  <c r="P38" i="19"/>
  <c r="P39" i="19"/>
  <c r="P40" i="19"/>
  <c r="S40" i="19" s="1"/>
  <c r="P41" i="19"/>
  <c r="S41" i="19" s="1"/>
  <c r="P42" i="19"/>
  <c r="S42" i="19" s="1"/>
  <c r="P43" i="19"/>
  <c r="S43" i="19" s="1"/>
  <c r="P44" i="19"/>
  <c r="S44" i="19" s="1"/>
  <c r="P45" i="19"/>
  <c r="S45" i="19" s="1"/>
  <c r="P46" i="19"/>
  <c r="S46" i="19" s="1"/>
  <c r="P47" i="19"/>
  <c r="S47" i="19" s="1"/>
  <c r="P48" i="19"/>
  <c r="S48" i="19" s="1"/>
  <c r="P49" i="19"/>
  <c r="S49" i="19" s="1"/>
  <c r="P50" i="19"/>
  <c r="S50" i="19" s="1"/>
  <c r="P51" i="19"/>
  <c r="S51" i="19" s="1"/>
  <c r="P52" i="19"/>
  <c r="S52" i="19" s="1"/>
  <c r="P53" i="19"/>
  <c r="S53" i="19" s="1"/>
  <c r="P54" i="19"/>
  <c r="S54" i="19" s="1"/>
  <c r="P55" i="19"/>
  <c r="P56" i="19"/>
  <c r="S56" i="19" s="1"/>
  <c r="P57" i="19"/>
  <c r="S57" i="19" s="1"/>
  <c r="P58" i="19"/>
  <c r="S58" i="19" s="1"/>
  <c r="P59" i="19"/>
  <c r="S59" i="19" s="1"/>
  <c r="P60" i="19"/>
  <c r="S60" i="19" s="1"/>
  <c r="P61" i="19"/>
  <c r="S61" i="19" s="1"/>
  <c r="P62" i="19"/>
  <c r="S62" i="19" s="1"/>
  <c r="P63" i="19"/>
  <c r="S63" i="19" s="1"/>
  <c r="P64" i="19"/>
  <c r="S64" i="19" s="1"/>
  <c r="P65" i="19"/>
  <c r="S65" i="19" s="1"/>
  <c r="P66" i="19"/>
  <c r="S66" i="19" s="1"/>
  <c r="P67" i="19"/>
  <c r="S67" i="19" s="1"/>
  <c r="P68" i="19"/>
  <c r="S68" i="19" s="1"/>
  <c r="P69" i="19"/>
  <c r="S69" i="19" s="1"/>
  <c r="P70" i="19"/>
  <c r="S70" i="19" s="1"/>
  <c r="P71" i="19"/>
  <c r="S71" i="19" s="1"/>
  <c r="P72" i="19"/>
  <c r="S72" i="19" s="1"/>
  <c r="P73" i="19"/>
  <c r="S73" i="19" s="1"/>
  <c r="P74" i="19"/>
  <c r="S74" i="19" s="1"/>
  <c r="P75" i="19"/>
  <c r="S75" i="19" s="1"/>
  <c r="P76" i="19"/>
  <c r="S76" i="19" s="1"/>
  <c r="P78" i="19"/>
  <c r="S78" i="19" s="1"/>
  <c r="P79" i="19"/>
  <c r="BK79" i="19" s="1"/>
  <c r="P80" i="19"/>
  <c r="S80" i="19" s="1"/>
  <c r="P81" i="19"/>
  <c r="S81" i="19" s="1"/>
  <c r="P82" i="19"/>
  <c r="S82" i="19" s="1"/>
  <c r="P83" i="19"/>
  <c r="S83" i="19" s="1"/>
  <c r="P84" i="19"/>
  <c r="S84" i="19" s="1"/>
  <c r="P85" i="19"/>
  <c r="S85" i="19" s="1"/>
  <c r="P86" i="19"/>
  <c r="S86" i="19" s="1"/>
  <c r="P87" i="19"/>
  <c r="S87" i="19" s="1"/>
  <c r="P88" i="19"/>
  <c r="S88" i="19" s="1"/>
  <c r="P89" i="19"/>
  <c r="S89" i="19" s="1"/>
  <c r="P90" i="19"/>
  <c r="S90" i="19" s="1"/>
  <c r="P91" i="19"/>
  <c r="S91" i="19" s="1"/>
  <c r="P92" i="19"/>
  <c r="S92" i="19" s="1"/>
  <c r="BO92" i="19" s="1"/>
  <c r="P93" i="19"/>
  <c r="S93" i="19" s="1"/>
  <c r="P94" i="19"/>
  <c r="S94" i="19" s="1"/>
  <c r="P95" i="19"/>
  <c r="S95" i="19" s="1"/>
  <c r="S96" i="19"/>
  <c r="P97" i="19"/>
  <c r="S97" i="19" s="1"/>
  <c r="P98" i="19"/>
  <c r="S98" i="19" s="1"/>
  <c r="P99" i="19"/>
  <c r="S99" i="19" s="1"/>
  <c r="P100" i="19"/>
  <c r="S100" i="19" s="1"/>
  <c r="P101" i="19"/>
  <c r="S101" i="19" s="1"/>
  <c r="P102" i="19"/>
  <c r="S102" i="19" s="1"/>
  <c r="P103" i="19"/>
  <c r="S103" i="19" s="1"/>
  <c r="P104" i="19"/>
  <c r="S104" i="19" s="1"/>
  <c r="P105" i="19"/>
  <c r="S105" i="19" s="1"/>
  <c r="P106" i="19"/>
  <c r="S106" i="19" s="1"/>
  <c r="P107" i="19"/>
  <c r="S107" i="19" s="1"/>
  <c r="P108" i="19"/>
  <c r="S108" i="19" s="1"/>
  <c r="P109" i="19"/>
  <c r="S109" i="19" s="1"/>
  <c r="P110" i="19"/>
  <c r="S110" i="19" s="1"/>
  <c r="P111" i="19"/>
  <c r="S111" i="19" s="1"/>
  <c r="P112" i="19"/>
  <c r="S112" i="19" s="1"/>
  <c r="P113" i="19"/>
  <c r="S113" i="19" s="1"/>
  <c r="P114" i="19"/>
  <c r="S114" i="19" s="1"/>
  <c r="P115" i="19"/>
  <c r="S115" i="19" s="1"/>
  <c r="P116" i="19"/>
  <c r="S116" i="19" s="1"/>
  <c r="P117" i="19"/>
  <c r="S117" i="19" s="1"/>
  <c r="P118" i="19"/>
  <c r="S118" i="19" s="1"/>
  <c r="P119" i="19"/>
  <c r="S119" i="19" s="1"/>
  <c r="P120" i="19"/>
  <c r="S120" i="19" s="1"/>
  <c r="P121" i="19"/>
  <c r="S121" i="19" s="1"/>
  <c r="P122" i="19"/>
  <c r="S122" i="19" s="1"/>
  <c r="P123" i="19"/>
  <c r="S123" i="19" s="1"/>
  <c r="P124" i="19"/>
  <c r="S124" i="19" s="1"/>
  <c r="P125" i="19"/>
  <c r="S125" i="19" s="1"/>
  <c r="P126" i="19"/>
  <c r="S126" i="19" s="1"/>
  <c r="P127" i="19"/>
  <c r="P128" i="19"/>
  <c r="S128" i="19" s="1"/>
  <c r="P129" i="19"/>
  <c r="S129" i="19" s="1"/>
  <c r="P130" i="19"/>
  <c r="S130" i="19" s="1"/>
  <c r="P131" i="19"/>
  <c r="S131" i="19" s="1"/>
  <c r="P132" i="19"/>
  <c r="S132" i="19" s="1"/>
  <c r="P133" i="19"/>
  <c r="S133" i="19" s="1"/>
  <c r="P134" i="19"/>
  <c r="S134" i="19" s="1"/>
  <c r="P135" i="19"/>
  <c r="S135" i="19" s="1"/>
  <c r="P136" i="19"/>
  <c r="S136" i="19" s="1"/>
  <c r="P137" i="19"/>
  <c r="S137" i="19" s="1"/>
  <c r="P138" i="19"/>
  <c r="S138" i="19" s="1"/>
  <c r="P139" i="19"/>
  <c r="S139" i="19" s="1"/>
  <c r="P140" i="19"/>
  <c r="S140" i="19" s="1"/>
  <c r="P141" i="19"/>
  <c r="S141" i="19" s="1"/>
  <c r="P142" i="19"/>
  <c r="S142" i="19" s="1"/>
  <c r="P143" i="19"/>
  <c r="S143" i="19" s="1"/>
  <c r="P144" i="19"/>
  <c r="S144" i="19" s="1"/>
  <c r="P145" i="19"/>
  <c r="S145" i="19" s="1"/>
  <c r="P146" i="19"/>
  <c r="S146" i="19" s="1"/>
  <c r="P147" i="19"/>
  <c r="S147" i="19" s="1"/>
  <c r="P148" i="19"/>
  <c r="S148" i="19" s="1"/>
  <c r="P149" i="19"/>
  <c r="S149" i="19" s="1"/>
  <c r="P150" i="19"/>
  <c r="S150" i="19" s="1"/>
  <c r="P151" i="19"/>
  <c r="S151" i="19" s="1"/>
  <c r="P152" i="19"/>
  <c r="S152" i="19" s="1"/>
  <c r="P153" i="19"/>
  <c r="S153" i="19" s="1"/>
  <c r="P154" i="19"/>
  <c r="S154" i="19" s="1"/>
  <c r="P155" i="19"/>
  <c r="S155" i="19" s="1"/>
  <c r="P156" i="19"/>
  <c r="S156" i="19" s="1"/>
  <c r="P157" i="19"/>
  <c r="S157" i="19" s="1"/>
  <c r="P158" i="19"/>
  <c r="S158" i="19" s="1"/>
  <c r="P159" i="19"/>
  <c r="S159" i="19" s="1"/>
  <c r="P160" i="19"/>
  <c r="S160" i="19" s="1"/>
  <c r="P161" i="19"/>
  <c r="S161" i="19" s="1"/>
  <c r="P162" i="19"/>
  <c r="S162" i="19" s="1"/>
  <c r="P163" i="19"/>
  <c r="S163" i="19" s="1"/>
  <c r="P164" i="19"/>
  <c r="S164" i="19" s="1"/>
  <c r="P165" i="19"/>
  <c r="S165" i="19" s="1"/>
  <c r="P166" i="19"/>
  <c r="S166" i="19" s="1"/>
  <c r="P167" i="19"/>
  <c r="S167" i="19" s="1"/>
  <c r="P168" i="19"/>
  <c r="S168" i="19" s="1"/>
  <c r="P169" i="19"/>
  <c r="S169" i="19" s="1"/>
  <c r="P170" i="19"/>
  <c r="S170" i="19" s="1"/>
  <c r="P171" i="19"/>
  <c r="S171" i="19" s="1"/>
  <c r="P172" i="19"/>
  <c r="S172" i="19" s="1"/>
  <c r="P173" i="19"/>
  <c r="S173" i="19" s="1"/>
  <c r="P174" i="19"/>
  <c r="S174" i="19" s="1"/>
  <c r="P175" i="19"/>
  <c r="S175" i="19" s="1"/>
  <c r="P176" i="19"/>
  <c r="S176" i="19" s="1"/>
  <c r="P177" i="19"/>
  <c r="S177" i="19" s="1"/>
  <c r="P178" i="19"/>
  <c r="S178" i="19" s="1"/>
  <c r="P179" i="19"/>
  <c r="S179" i="19" s="1"/>
  <c r="P180" i="19"/>
  <c r="S180" i="19" s="1"/>
  <c r="P181" i="19"/>
  <c r="S181" i="19" s="1"/>
  <c r="P182" i="19"/>
  <c r="S182" i="19" s="1"/>
  <c r="P183" i="19"/>
  <c r="P184" i="19"/>
  <c r="S184" i="19" s="1"/>
  <c r="P185" i="19"/>
  <c r="S185" i="19" s="1"/>
  <c r="P186" i="19"/>
  <c r="S186" i="19" s="1"/>
  <c r="P187" i="19"/>
  <c r="S187" i="19" s="1"/>
  <c r="P188" i="19"/>
  <c r="S188" i="19" s="1"/>
  <c r="P189" i="19"/>
  <c r="S189" i="19" s="1"/>
  <c r="P190" i="19"/>
  <c r="S190" i="19" s="1"/>
  <c r="P191" i="19"/>
  <c r="S191" i="19" s="1"/>
  <c r="P192" i="19"/>
  <c r="S192" i="19" s="1"/>
  <c r="P193" i="19"/>
  <c r="S193" i="19" s="1"/>
  <c r="P194" i="19"/>
  <c r="S194" i="19" s="1"/>
  <c r="P195" i="19"/>
  <c r="S195" i="19" s="1"/>
  <c r="P196" i="19"/>
  <c r="S196" i="19" s="1"/>
  <c r="P197" i="19"/>
  <c r="S197" i="19" s="1"/>
  <c r="P198" i="19"/>
  <c r="S198" i="19" s="1"/>
  <c r="P199" i="19"/>
  <c r="S199" i="19" s="1"/>
  <c r="P200" i="19"/>
  <c r="S200" i="19" s="1"/>
  <c r="P201" i="19"/>
  <c r="S201" i="19" s="1"/>
  <c r="P202" i="19"/>
  <c r="S202" i="19" s="1"/>
  <c r="P203" i="19"/>
  <c r="S203" i="19" s="1"/>
  <c r="P204" i="19"/>
  <c r="S204" i="19" s="1"/>
  <c r="P205" i="19"/>
  <c r="S205" i="19" s="1"/>
  <c r="P206" i="19"/>
  <c r="S206" i="19" s="1"/>
  <c r="P207" i="19"/>
  <c r="S207" i="19" s="1"/>
  <c r="P208" i="19"/>
  <c r="S208" i="19" s="1"/>
  <c r="P209" i="19"/>
  <c r="S209" i="19" s="1"/>
  <c r="P210" i="19"/>
  <c r="S210" i="19" s="1"/>
  <c r="P211" i="19"/>
  <c r="S211" i="19" s="1"/>
  <c r="P212" i="19"/>
  <c r="S212" i="19" s="1"/>
  <c r="P213" i="19"/>
  <c r="S213" i="19" s="1"/>
  <c r="P214" i="19"/>
  <c r="S214" i="19" s="1"/>
  <c r="P215" i="19"/>
  <c r="S215" i="19" s="1"/>
  <c r="P216" i="19"/>
  <c r="S216" i="19" s="1"/>
  <c r="P217" i="19"/>
  <c r="S217" i="19" s="1"/>
  <c r="P218" i="19"/>
  <c r="S218" i="19" s="1"/>
  <c r="P219" i="19"/>
  <c r="S219" i="19" s="1"/>
  <c r="P220" i="19"/>
  <c r="S220" i="19" s="1"/>
  <c r="P221" i="19"/>
  <c r="S221" i="19" s="1"/>
  <c r="P222" i="19"/>
  <c r="S222" i="19" s="1"/>
  <c r="P223" i="19"/>
  <c r="S223" i="19" s="1"/>
  <c r="P224" i="19"/>
  <c r="S224" i="19" s="1"/>
  <c r="P225" i="19"/>
  <c r="S225" i="19" s="1"/>
  <c r="P226" i="19"/>
  <c r="S226" i="19" s="1"/>
  <c r="P227" i="19"/>
  <c r="S227" i="19" s="1"/>
  <c r="P228" i="19"/>
  <c r="S228" i="19" s="1"/>
  <c r="P229" i="19"/>
  <c r="S229" i="19" s="1"/>
  <c r="P230" i="19"/>
  <c r="S230" i="19" s="1"/>
  <c r="P231" i="19"/>
  <c r="S231" i="19" s="1"/>
  <c r="P232" i="19"/>
  <c r="S232" i="19" s="1"/>
  <c r="P233" i="19"/>
  <c r="S233" i="19" s="1"/>
  <c r="P234" i="19"/>
  <c r="S234" i="19" s="1"/>
  <c r="P235" i="19"/>
  <c r="S235" i="19" s="1"/>
  <c r="P236" i="19"/>
  <c r="S236" i="19" s="1"/>
  <c r="P237" i="19"/>
  <c r="S237" i="19" s="1"/>
  <c r="P238" i="19"/>
  <c r="S238" i="19" s="1"/>
  <c r="P239" i="19"/>
  <c r="S239" i="19" s="1"/>
  <c r="P240" i="19"/>
  <c r="S240" i="19" s="1"/>
  <c r="P241" i="19"/>
  <c r="S241" i="19" s="1"/>
  <c r="P242" i="19"/>
  <c r="S242" i="19" s="1"/>
  <c r="P243" i="19"/>
  <c r="S243" i="19" s="1"/>
  <c r="P244" i="19"/>
  <c r="S244" i="19" s="1"/>
  <c r="P245" i="19"/>
  <c r="S245" i="19" s="1"/>
  <c r="P246" i="19"/>
  <c r="S246" i="19" s="1"/>
  <c r="P247" i="19"/>
  <c r="S247" i="19" s="1"/>
  <c r="P248" i="19"/>
  <c r="S248" i="19" s="1"/>
  <c r="P249" i="19"/>
  <c r="S249" i="19" s="1"/>
  <c r="P250" i="19"/>
  <c r="S250" i="19" s="1"/>
  <c r="P251" i="19"/>
  <c r="S251" i="19" s="1"/>
  <c r="P252" i="19"/>
  <c r="S252" i="19" s="1"/>
  <c r="P253" i="19"/>
  <c r="S253" i="19" s="1"/>
  <c r="P254" i="19"/>
  <c r="S254" i="19" s="1"/>
  <c r="P255" i="19"/>
  <c r="S255" i="19" s="1"/>
  <c r="P256" i="19"/>
  <c r="S256" i="19" s="1"/>
  <c r="P257" i="19"/>
  <c r="S257" i="19" s="1"/>
  <c r="P258" i="19"/>
  <c r="S258" i="19" s="1"/>
  <c r="P259" i="19"/>
  <c r="S259" i="19" s="1"/>
  <c r="P260" i="19"/>
  <c r="S260" i="19" s="1"/>
  <c r="P261" i="19"/>
  <c r="S261" i="19" s="1"/>
  <c r="P262" i="19"/>
  <c r="S262" i="19" s="1"/>
  <c r="P263" i="19"/>
  <c r="S263" i="19" s="1"/>
  <c r="P264" i="19"/>
  <c r="S264" i="19" s="1"/>
  <c r="P265" i="19"/>
  <c r="S265" i="19" s="1"/>
  <c r="P266" i="19"/>
  <c r="S266" i="19" s="1"/>
  <c r="P267" i="19"/>
  <c r="S267" i="19" s="1"/>
  <c r="P268" i="19"/>
  <c r="S268" i="19" s="1"/>
  <c r="P269" i="19"/>
  <c r="S269" i="19" s="1"/>
  <c r="P270" i="19"/>
  <c r="S270" i="19" s="1"/>
  <c r="P271" i="19"/>
  <c r="S271" i="19" s="1"/>
  <c r="P272" i="19"/>
  <c r="S272" i="19" s="1"/>
  <c r="P273" i="19"/>
  <c r="S273" i="19" s="1"/>
  <c r="P274" i="19"/>
  <c r="S274" i="19" s="1"/>
  <c r="P275" i="19"/>
  <c r="S275" i="19" s="1"/>
  <c r="P276" i="19"/>
  <c r="S276" i="19" s="1"/>
  <c r="P277" i="19"/>
  <c r="S277" i="19" s="1"/>
  <c r="P278" i="19"/>
  <c r="S278" i="19" s="1"/>
  <c r="P279" i="19"/>
  <c r="S279" i="19" s="1"/>
  <c r="P280" i="19"/>
  <c r="S280" i="19" s="1"/>
  <c r="P281" i="19"/>
  <c r="S281" i="19" s="1"/>
  <c r="P282" i="19"/>
  <c r="S282" i="19" s="1"/>
  <c r="P283" i="19"/>
  <c r="S283" i="19" s="1"/>
  <c r="P284" i="19"/>
  <c r="S284" i="19" s="1"/>
  <c r="P285" i="19"/>
  <c r="S285" i="19" s="1"/>
  <c r="P286" i="19"/>
  <c r="S286" i="19" s="1"/>
  <c r="P287" i="19"/>
  <c r="S287" i="19" s="1"/>
  <c r="P288" i="19"/>
  <c r="S288" i="19" s="1"/>
  <c r="P289" i="19"/>
  <c r="S289" i="19" s="1"/>
  <c r="P290" i="19"/>
  <c r="S290" i="19" s="1"/>
  <c r="P291" i="19"/>
  <c r="S291" i="19" s="1"/>
  <c r="P292" i="19"/>
  <c r="S292" i="19" s="1"/>
  <c r="P293" i="19"/>
  <c r="S293" i="19" s="1"/>
  <c r="P294" i="19"/>
  <c r="S294" i="19" s="1"/>
  <c r="P295" i="19"/>
  <c r="S295" i="19" s="1"/>
  <c r="P296" i="19"/>
  <c r="S296" i="19" s="1"/>
  <c r="P297" i="19"/>
  <c r="S297" i="19" s="1"/>
  <c r="P298" i="19"/>
  <c r="S298" i="19" s="1"/>
  <c r="P299" i="19"/>
  <c r="S299" i="19" s="1"/>
  <c r="P300" i="19"/>
  <c r="S300" i="19" s="1"/>
  <c r="P301" i="19"/>
  <c r="S301" i="19" s="1"/>
  <c r="P302" i="19"/>
  <c r="S302" i="19" s="1"/>
  <c r="P303" i="19"/>
  <c r="S303" i="19" s="1"/>
  <c r="P304" i="19"/>
  <c r="S304" i="19" s="1"/>
  <c r="P305" i="19"/>
  <c r="S305" i="19" s="1"/>
  <c r="P306" i="19"/>
  <c r="S306" i="19" s="1"/>
  <c r="P307" i="19"/>
  <c r="S307" i="19" s="1"/>
  <c r="P308" i="19"/>
  <c r="S308" i="19" s="1"/>
  <c r="P309" i="19"/>
  <c r="S309" i="19" s="1"/>
  <c r="P310" i="19"/>
  <c r="S310" i="19" s="1"/>
  <c r="P311" i="19"/>
  <c r="S311" i="19" s="1"/>
  <c r="P312" i="19"/>
  <c r="S312" i="19" s="1"/>
  <c r="P313" i="19"/>
  <c r="S313" i="19" s="1"/>
  <c r="P314" i="19"/>
  <c r="S314" i="19" s="1"/>
  <c r="P315" i="19"/>
  <c r="S315" i="19" s="1"/>
  <c r="P316" i="19"/>
  <c r="S316" i="19" s="1"/>
  <c r="P317" i="19"/>
  <c r="S317" i="19" s="1"/>
  <c r="P318" i="19"/>
  <c r="S318" i="19" s="1"/>
  <c r="P319" i="19"/>
  <c r="S319" i="19" s="1"/>
  <c r="P320" i="19"/>
  <c r="S320" i="19" s="1"/>
  <c r="P321" i="19"/>
  <c r="S321" i="19" s="1"/>
  <c r="P322" i="19"/>
  <c r="S322" i="19" s="1"/>
  <c r="P323" i="19"/>
  <c r="S323" i="19" s="1"/>
  <c r="P324" i="19"/>
  <c r="S324" i="19" s="1"/>
  <c r="P325" i="19"/>
  <c r="S325" i="19" s="1"/>
  <c r="P326" i="19"/>
  <c r="S326" i="19" s="1"/>
  <c r="P327" i="19"/>
  <c r="S327" i="19" s="1"/>
  <c r="P328" i="19"/>
  <c r="S328" i="19" s="1"/>
  <c r="P329" i="19"/>
  <c r="S329" i="19" s="1"/>
  <c r="P330" i="19"/>
  <c r="S330" i="19" s="1"/>
  <c r="P331" i="19"/>
  <c r="S331" i="19" s="1"/>
  <c r="P332" i="19"/>
  <c r="S332" i="19" s="1"/>
  <c r="P333" i="19"/>
  <c r="S333" i="19" s="1"/>
  <c r="P334" i="19"/>
  <c r="S334" i="19" s="1"/>
  <c r="P335" i="19"/>
  <c r="S335" i="19" s="1"/>
  <c r="P336" i="19"/>
  <c r="S336" i="19" s="1"/>
  <c r="P337" i="19"/>
  <c r="S337" i="19" s="1"/>
  <c r="P338" i="19"/>
  <c r="S338" i="19" s="1"/>
  <c r="P339" i="19"/>
  <c r="S339" i="19" s="1"/>
  <c r="P340" i="19"/>
  <c r="S340" i="19" s="1"/>
  <c r="P341" i="19"/>
  <c r="S341" i="19" s="1"/>
  <c r="P342" i="19"/>
  <c r="S342" i="19" s="1"/>
  <c r="P343" i="19"/>
  <c r="S343" i="19" s="1"/>
  <c r="P344" i="19"/>
  <c r="S344" i="19" s="1"/>
  <c r="P345" i="19"/>
  <c r="S345" i="19" s="1"/>
  <c r="P346" i="19"/>
  <c r="S346" i="19" s="1"/>
  <c r="P347" i="19"/>
  <c r="S347" i="19" s="1"/>
  <c r="P348" i="19"/>
  <c r="S348" i="19" s="1"/>
  <c r="P349" i="19"/>
  <c r="S349" i="19" s="1"/>
  <c r="P350" i="19"/>
  <c r="S350" i="19" s="1"/>
  <c r="P351" i="19"/>
  <c r="S351" i="19" s="1"/>
  <c r="P352" i="19"/>
  <c r="S352" i="19" s="1"/>
  <c r="P353" i="19"/>
  <c r="S353" i="19" s="1"/>
  <c r="P354" i="19"/>
  <c r="S354" i="19" s="1"/>
  <c r="P355" i="19"/>
  <c r="S355" i="19" s="1"/>
  <c r="P356" i="19"/>
  <c r="S356" i="19" s="1"/>
  <c r="P357" i="19"/>
  <c r="S357" i="19" s="1"/>
  <c r="P358" i="19"/>
  <c r="S358" i="19" s="1"/>
  <c r="P359" i="19"/>
  <c r="S359" i="19" s="1"/>
  <c r="P360" i="19"/>
  <c r="S360" i="19" s="1"/>
  <c r="P361" i="19"/>
  <c r="S361" i="19" s="1"/>
  <c r="P362" i="19"/>
  <c r="S362" i="19" s="1"/>
  <c r="P363" i="19"/>
  <c r="S363" i="19" s="1"/>
  <c r="P364" i="19"/>
  <c r="S364" i="19" s="1"/>
  <c r="P365" i="19"/>
  <c r="S365" i="19" s="1"/>
  <c r="P366" i="19"/>
  <c r="S366" i="19" s="1"/>
  <c r="K15" i="17"/>
  <c r="K20" i="17"/>
  <c r="K23" i="17"/>
  <c r="K24" i="17"/>
  <c r="K32" i="17"/>
  <c r="K39" i="17"/>
  <c r="K44" i="17"/>
  <c r="K47" i="17"/>
  <c r="K52" i="17"/>
  <c r="K56" i="17"/>
  <c r="K60" i="17"/>
  <c r="K64" i="17"/>
  <c r="K71" i="17"/>
  <c r="K72" i="17"/>
  <c r="K76" i="17"/>
  <c r="K79" i="17"/>
  <c r="K84" i="17"/>
  <c r="K87" i="17"/>
  <c r="K88" i="17"/>
  <c r="K96" i="17"/>
  <c r="K103" i="17"/>
  <c r="K104" i="17"/>
  <c r="K108" i="17"/>
  <c r="K111" i="17"/>
  <c r="K112" i="17"/>
  <c r="K119" i="17"/>
  <c r="K120" i="17"/>
  <c r="E4" i="17"/>
  <c r="K4" i="17"/>
  <c r="K10" i="17"/>
  <c r="K11" i="17"/>
  <c r="K13" i="17"/>
  <c r="K14" i="17"/>
  <c r="K16" i="17"/>
  <c r="K17" i="17"/>
  <c r="K18" i="17"/>
  <c r="K19" i="17"/>
  <c r="K21" i="17"/>
  <c r="K22" i="17"/>
  <c r="K25" i="17"/>
  <c r="K26" i="17"/>
  <c r="E27" i="17"/>
  <c r="K27" i="17"/>
  <c r="E28" i="17"/>
  <c r="K28" i="17"/>
  <c r="E29" i="17"/>
  <c r="K29" i="17"/>
  <c r="E30" i="17"/>
  <c r="K30" i="17"/>
  <c r="E31" i="17"/>
  <c r="K31" i="17"/>
  <c r="E32" i="17"/>
  <c r="E33" i="17"/>
  <c r="K33" i="17"/>
  <c r="E34" i="17"/>
  <c r="K34" i="17"/>
  <c r="E35" i="17"/>
  <c r="K35" i="17"/>
  <c r="E36" i="17"/>
  <c r="K36" i="17"/>
  <c r="E37" i="17"/>
  <c r="K37" i="17"/>
  <c r="E38" i="17"/>
  <c r="K38" i="17"/>
  <c r="E39" i="17"/>
  <c r="E40" i="17"/>
  <c r="K40" i="17"/>
  <c r="E41" i="17"/>
  <c r="K41" i="17"/>
  <c r="E42" i="17"/>
  <c r="K42" i="17"/>
  <c r="E43" i="17"/>
  <c r="K43" i="17"/>
  <c r="E44" i="17"/>
  <c r="E45" i="17"/>
  <c r="K45" i="17"/>
  <c r="E46" i="17"/>
  <c r="K46" i="17"/>
  <c r="E47" i="17"/>
  <c r="E48" i="17"/>
  <c r="K48" i="17"/>
  <c r="E49" i="17"/>
  <c r="K49" i="17"/>
  <c r="E50" i="17"/>
  <c r="K50" i="17"/>
  <c r="E51" i="17"/>
  <c r="K51" i="17"/>
  <c r="E52" i="17"/>
  <c r="E53" i="17"/>
  <c r="K53" i="17"/>
  <c r="E54" i="17"/>
  <c r="K54" i="17"/>
  <c r="E55" i="17"/>
  <c r="K55" i="17"/>
  <c r="E56" i="17"/>
  <c r="E57" i="17"/>
  <c r="K57" i="17"/>
  <c r="E58" i="17"/>
  <c r="K58" i="17"/>
  <c r="E59" i="17"/>
  <c r="K59" i="17"/>
  <c r="E60" i="17"/>
  <c r="E61" i="17"/>
  <c r="K61" i="17"/>
  <c r="E62" i="17"/>
  <c r="K62" i="17"/>
  <c r="E63" i="17"/>
  <c r="K63" i="17"/>
  <c r="E64" i="17"/>
  <c r="E65" i="17"/>
  <c r="K65" i="17"/>
  <c r="E66" i="17"/>
  <c r="K66" i="17"/>
  <c r="E67" i="17"/>
  <c r="K67" i="17"/>
  <c r="E68" i="17"/>
  <c r="K68" i="17"/>
  <c r="E69" i="17"/>
  <c r="K69" i="17"/>
  <c r="E70" i="17"/>
  <c r="K70" i="17"/>
  <c r="E71" i="17"/>
  <c r="E72" i="17"/>
  <c r="E73" i="17"/>
  <c r="K73" i="17"/>
  <c r="E74" i="17"/>
  <c r="K74" i="17"/>
  <c r="E75" i="17"/>
  <c r="K75" i="17"/>
  <c r="E76" i="17"/>
  <c r="E77" i="17"/>
  <c r="K77" i="17"/>
  <c r="E78" i="17"/>
  <c r="K78" i="17"/>
  <c r="E79" i="17"/>
  <c r="E80" i="17"/>
  <c r="K80" i="17"/>
  <c r="E81" i="17"/>
  <c r="K81" i="17"/>
  <c r="E82" i="17"/>
  <c r="K82" i="17"/>
  <c r="E83" i="17"/>
  <c r="K83" i="17"/>
  <c r="E84" i="17"/>
  <c r="E85" i="17"/>
  <c r="K85" i="17"/>
  <c r="E86" i="17"/>
  <c r="K86" i="17"/>
  <c r="E87" i="17"/>
  <c r="E88" i="17"/>
  <c r="E89" i="17"/>
  <c r="K89" i="17"/>
  <c r="E90" i="17"/>
  <c r="K90" i="17"/>
  <c r="E91" i="17"/>
  <c r="K91" i="17"/>
  <c r="E92" i="17"/>
  <c r="K92" i="17"/>
  <c r="E93" i="17"/>
  <c r="K93" i="17"/>
  <c r="E94" i="17"/>
  <c r="K94" i="17"/>
  <c r="E95" i="17"/>
  <c r="K95" i="17"/>
  <c r="E96" i="17"/>
  <c r="E97" i="17"/>
  <c r="K97" i="17"/>
  <c r="E98" i="17"/>
  <c r="K98" i="17"/>
  <c r="E99" i="17"/>
  <c r="K99" i="17"/>
  <c r="E100" i="17"/>
  <c r="K100" i="17"/>
  <c r="E101" i="17"/>
  <c r="K101" i="17"/>
  <c r="E102" i="17"/>
  <c r="K102" i="17"/>
  <c r="E103" i="17"/>
  <c r="E104" i="17"/>
  <c r="E105" i="17"/>
  <c r="K105" i="17"/>
  <c r="E106" i="17"/>
  <c r="K106" i="17"/>
  <c r="E107" i="17"/>
  <c r="K107" i="17"/>
  <c r="E108" i="17"/>
  <c r="E109" i="17"/>
  <c r="K109" i="17"/>
  <c r="E110" i="17"/>
  <c r="K110" i="17"/>
  <c r="E111" i="17"/>
  <c r="E112" i="17"/>
  <c r="E113" i="17"/>
  <c r="K113" i="17"/>
  <c r="E114" i="17"/>
  <c r="K114" i="17"/>
  <c r="E115" i="17"/>
  <c r="K115" i="17"/>
  <c r="E116" i="17"/>
  <c r="K116" i="17"/>
  <c r="E117" i="17"/>
  <c r="K117" i="17"/>
  <c r="E118" i="17"/>
  <c r="K118" i="17"/>
  <c r="E119" i="17"/>
  <c r="E120" i="17"/>
  <c r="E121" i="17"/>
  <c r="K121" i="17"/>
  <c r="Z3" i="6"/>
  <c r="S55" i="19" l="1"/>
  <c r="BK55" i="19"/>
  <c r="AT367" i="19"/>
  <c r="S183" i="19"/>
  <c r="BK183" i="19"/>
  <c r="S127" i="19"/>
  <c r="BK127" i="19"/>
  <c r="S79" i="19"/>
  <c r="BN79" i="19"/>
  <c r="S38" i="19"/>
  <c r="BK38" i="19"/>
  <c r="S37" i="19"/>
  <c r="BK37" i="19"/>
  <c r="S39" i="19"/>
  <c r="BK39" i="19"/>
  <c r="AN367" i="15" l="1"/>
  <c r="AK367" i="15"/>
  <c r="AE367" i="15"/>
  <c r="AB367" i="15"/>
  <c r="U367" i="15"/>
  <c r="P367" i="15"/>
  <c r="J367" i="15"/>
  <c r="G367" i="15"/>
  <c r="D367" i="15"/>
  <c r="E366" i="31" l="1"/>
  <c r="G366" i="31" s="1"/>
  <c r="E367" i="31"/>
  <c r="F367" i="31" s="1"/>
  <c r="F366" i="31" l="1"/>
  <c r="G367" i="31"/>
  <c r="AN366" i="15" l="1"/>
  <c r="AK366" i="15"/>
  <c r="AE366" i="15"/>
  <c r="AB366" i="15"/>
  <c r="U366" i="15"/>
  <c r="P366" i="15"/>
  <c r="J366" i="15"/>
  <c r="G366" i="15"/>
  <c r="D366" i="15"/>
  <c r="E365" i="31"/>
  <c r="G365" i="31" s="1"/>
  <c r="F365" i="31" l="1"/>
  <c r="R6" i="20" l="1"/>
  <c r="AN365" i="15" l="1"/>
  <c r="AK365" i="15"/>
  <c r="AE365" i="15"/>
  <c r="AB365" i="15"/>
  <c r="U365" i="15"/>
  <c r="P365" i="15"/>
  <c r="J365" i="15"/>
  <c r="G365" i="15"/>
  <c r="D365" i="15"/>
  <c r="E364" i="31" l="1"/>
  <c r="F364" i="31" s="1"/>
  <c r="G364" i="31" l="1"/>
  <c r="AN364" i="15" l="1"/>
  <c r="AK364" i="15"/>
  <c r="AE364" i="15"/>
  <c r="AB364" i="15"/>
  <c r="P364" i="15"/>
  <c r="J364" i="15"/>
  <c r="G364" i="15"/>
  <c r="D364" i="15"/>
  <c r="E363" i="31" l="1"/>
  <c r="F363" i="31" s="1"/>
  <c r="AN363" i="15"/>
  <c r="AK363" i="15"/>
  <c r="AE363" i="15"/>
  <c r="AB363" i="15"/>
  <c r="P363" i="15"/>
  <c r="J363" i="15"/>
  <c r="G363" i="15"/>
  <c r="D363" i="15"/>
  <c r="G363" i="31" l="1"/>
  <c r="E362" i="31"/>
  <c r="F362" i="31" s="1"/>
  <c r="G362" i="31" l="1"/>
  <c r="AN362" i="15"/>
  <c r="AK362" i="15"/>
  <c r="AE362" i="15"/>
  <c r="AB362" i="15"/>
  <c r="P362" i="15"/>
  <c r="J362" i="15"/>
  <c r="G362" i="15"/>
  <c r="D362" i="15"/>
  <c r="E361" i="31" l="1"/>
  <c r="F361" i="31" s="1"/>
  <c r="G361" i="31" l="1"/>
  <c r="AN361" i="15"/>
  <c r="AK361" i="15"/>
  <c r="AE361" i="15"/>
  <c r="AB361" i="15"/>
  <c r="P361" i="15"/>
  <c r="J361" i="15"/>
  <c r="G361" i="15"/>
  <c r="D361" i="15"/>
  <c r="E360" i="31" l="1"/>
  <c r="F360" i="31" s="1"/>
  <c r="G360" i="31" l="1"/>
  <c r="AN360" i="15" l="1"/>
  <c r="AK360" i="15"/>
  <c r="AE360" i="15"/>
  <c r="AB360" i="15"/>
  <c r="P360" i="15"/>
  <c r="J360" i="15"/>
  <c r="G360" i="15"/>
  <c r="D360" i="15"/>
  <c r="E359" i="31"/>
  <c r="F359" i="31" s="1"/>
  <c r="G359" i="31" l="1"/>
  <c r="AN359" i="15"/>
  <c r="AK359" i="15"/>
  <c r="AE359" i="15"/>
  <c r="AB359" i="15"/>
  <c r="P359" i="15"/>
  <c r="J359" i="15"/>
  <c r="G359" i="15"/>
  <c r="D359" i="15"/>
  <c r="E358" i="31" l="1"/>
  <c r="F358" i="31" s="1"/>
  <c r="G358" i="31" l="1"/>
  <c r="AN358" i="15" l="1"/>
  <c r="AK358" i="15"/>
  <c r="AE358" i="15"/>
  <c r="AB358" i="15"/>
  <c r="P358" i="15"/>
  <c r="J358" i="15"/>
  <c r="G358" i="15"/>
  <c r="D358" i="15"/>
  <c r="E357" i="31" l="1"/>
  <c r="F357" i="31" s="1"/>
  <c r="G357" i="31" l="1"/>
  <c r="D69" i="20"/>
  <c r="AQ318" i="15"/>
  <c r="L61" i="20"/>
  <c r="M69" i="20"/>
  <c r="L69" i="20"/>
  <c r="K69" i="20"/>
  <c r="J69" i="20"/>
  <c r="I69" i="20"/>
  <c r="H69" i="20"/>
  <c r="G69" i="20"/>
  <c r="F69" i="20"/>
  <c r="E69" i="20"/>
  <c r="C69" i="20"/>
  <c r="M67" i="20"/>
  <c r="L67" i="20"/>
  <c r="K67" i="20"/>
  <c r="J67" i="20"/>
  <c r="I67" i="20"/>
  <c r="H67" i="20"/>
  <c r="G67" i="20"/>
  <c r="F67" i="20"/>
  <c r="E67" i="20"/>
  <c r="D67" i="20"/>
  <c r="C67" i="20"/>
  <c r="B69" i="20"/>
  <c r="B71" i="20" s="1"/>
  <c r="J71" i="20" l="1"/>
  <c r="D71" i="20"/>
  <c r="C71" i="20"/>
  <c r="E71" i="20"/>
  <c r="G71" i="20"/>
  <c r="M71" i="20"/>
  <c r="F71" i="20"/>
  <c r="I71" i="20"/>
  <c r="H71" i="20"/>
  <c r="L71" i="20"/>
  <c r="K71" i="20"/>
  <c r="M61" i="20"/>
  <c r="G61" i="20"/>
  <c r="H59" i="20"/>
  <c r="H61" i="20"/>
  <c r="I59" i="20"/>
  <c r="I61" i="20"/>
  <c r="J59" i="20"/>
  <c r="J61" i="20"/>
  <c r="K59" i="20"/>
  <c r="K61" i="20"/>
  <c r="L59" i="20"/>
  <c r="M59" i="20"/>
  <c r="C61" i="20"/>
  <c r="C63" i="20" s="1"/>
  <c r="D59" i="20"/>
  <c r="D61" i="20"/>
  <c r="E59" i="20"/>
  <c r="E61" i="20"/>
  <c r="F59" i="20"/>
  <c r="F61" i="20"/>
  <c r="G59" i="20"/>
  <c r="B61" i="20"/>
  <c r="B63" i="20" s="1"/>
  <c r="B48" i="20" s="1"/>
  <c r="AN9" i="20"/>
  <c r="AN8" i="20"/>
  <c r="C48" i="20" l="1"/>
  <c r="M63" i="20"/>
  <c r="G63" i="20"/>
  <c r="G48" i="20" s="1"/>
  <c r="I63" i="20"/>
  <c r="I48" i="20" s="1"/>
  <c r="F63" i="20"/>
  <c r="F48" i="20" s="1"/>
  <c r="H63" i="20"/>
  <c r="H48" i="20" s="1"/>
  <c r="D63" i="20"/>
  <c r="D48" i="20" s="1"/>
  <c r="J63" i="20"/>
  <c r="J48" i="20" s="1"/>
  <c r="K63" i="20"/>
  <c r="K48" i="20" s="1"/>
  <c r="E63" i="20"/>
  <c r="E48" i="20" s="1"/>
  <c r="L63" i="20"/>
  <c r="L48" i="20" s="1"/>
  <c r="AN357" i="15"/>
  <c r="AK357" i="15"/>
  <c r="AE357" i="15"/>
  <c r="AB357" i="15"/>
  <c r="P357" i="15"/>
  <c r="J357" i="15"/>
  <c r="G357" i="15"/>
  <c r="D357" i="15"/>
  <c r="DS11" i="20"/>
  <c r="EA11" i="20"/>
  <c r="DU11" i="20"/>
  <c r="DY11" i="20"/>
  <c r="DZ11" i="20"/>
  <c r="EB11" i="20"/>
  <c r="DV11" i="20"/>
  <c r="DX11" i="20"/>
  <c r="DW11" i="20"/>
  <c r="M11" i="26" l="1"/>
  <c r="M48" i="20"/>
  <c r="AN356" i="15"/>
  <c r="AK356" i="15"/>
  <c r="AE356" i="15"/>
  <c r="AB356" i="15"/>
  <c r="P356" i="15"/>
  <c r="J356" i="15"/>
  <c r="G356" i="15"/>
  <c r="D356" i="15"/>
  <c r="DT11" i="20"/>
  <c r="DR11" i="20"/>
  <c r="EC11" i="20"/>
  <c r="ED11" i="20" l="1"/>
  <c r="V11" i="26"/>
  <c r="W11" i="26"/>
  <c r="AN355" i="15"/>
  <c r="AK355" i="15"/>
  <c r="AE355" i="15"/>
  <c r="AB355" i="15"/>
  <c r="P355" i="15"/>
  <c r="J355" i="15"/>
  <c r="G355" i="15"/>
  <c r="D355" i="15"/>
  <c r="E354" i="31" l="1"/>
  <c r="F354" i="31" s="1"/>
  <c r="E355" i="31"/>
  <c r="G355" i="31" s="1"/>
  <c r="E356" i="31"/>
  <c r="F356" i="31" s="1"/>
  <c r="G356" i="31" l="1"/>
  <c r="F355" i="31"/>
  <c r="G354" i="31"/>
  <c r="AN354" i="15" l="1"/>
  <c r="AK354" i="15"/>
  <c r="AE354" i="15"/>
  <c r="AB354" i="15"/>
  <c r="P354" i="15"/>
  <c r="J354" i="15"/>
  <c r="G354" i="15"/>
  <c r="D354" i="15"/>
  <c r="E353" i="31" l="1"/>
  <c r="G353" i="31" s="1"/>
  <c r="F353" i="31" l="1"/>
  <c r="AN353" i="15" l="1"/>
  <c r="AK353" i="15"/>
  <c r="AE353" i="15"/>
  <c r="AB353" i="15"/>
  <c r="P353" i="15"/>
  <c r="J353" i="15"/>
  <c r="G353" i="15"/>
  <c r="D353" i="15"/>
  <c r="E352" i="31"/>
  <c r="F352" i="31" s="1"/>
  <c r="G352" i="31" l="1"/>
  <c r="AN352" i="15" l="1"/>
  <c r="AK352" i="15"/>
  <c r="AE352" i="15"/>
  <c r="AB352" i="15"/>
  <c r="P352" i="15"/>
  <c r="J352" i="15"/>
  <c r="G352" i="15"/>
  <c r="D352" i="15"/>
  <c r="E351" i="31" l="1"/>
  <c r="F351" i="31" s="1"/>
  <c r="AY6" i="37"/>
  <c r="AY7" i="37"/>
  <c r="AY8" i="37"/>
  <c r="AY9" i="37"/>
  <c r="AY10" i="37"/>
  <c r="AY11" i="37"/>
  <c r="AY12" i="37"/>
  <c r="AY13" i="37"/>
  <c r="AY14" i="37"/>
  <c r="AY5" i="37"/>
  <c r="AX6" i="37"/>
  <c r="AX5" i="37"/>
  <c r="AX7" i="37"/>
  <c r="AX8" i="37"/>
  <c r="AX9" i="37"/>
  <c r="AX10" i="37"/>
  <c r="AX11" i="37"/>
  <c r="AX12" i="37"/>
  <c r="AX13" i="37"/>
  <c r="AX14" i="37"/>
  <c r="AW6" i="37"/>
  <c r="AW7" i="37"/>
  <c r="AW8" i="37"/>
  <c r="AW9" i="37"/>
  <c r="AW10" i="37"/>
  <c r="AW11" i="37"/>
  <c r="AW12" i="37"/>
  <c r="AW13" i="37"/>
  <c r="AW14" i="37"/>
  <c r="AW5" i="37"/>
  <c r="AV5" i="37"/>
  <c r="G351" i="31" l="1"/>
  <c r="U30" i="19" l="1"/>
  <c r="V30" i="19" l="1"/>
  <c r="I127" i="20"/>
  <c r="H127" i="20"/>
  <c r="AN351" i="15" l="1"/>
  <c r="AK351" i="15"/>
  <c r="AE351" i="15"/>
  <c r="AB351" i="15"/>
  <c r="P351" i="15"/>
  <c r="J351" i="15"/>
  <c r="G351" i="15"/>
  <c r="D351" i="15"/>
  <c r="E350" i="31" l="1"/>
  <c r="F350" i="31" s="1"/>
  <c r="G350" i="31" l="1"/>
  <c r="AN350" i="15" l="1"/>
  <c r="AK350" i="15"/>
  <c r="AE350" i="15"/>
  <c r="AB350" i="15"/>
  <c r="P350" i="15"/>
  <c r="J350" i="15"/>
  <c r="G350" i="15"/>
  <c r="D350" i="15"/>
  <c r="E348" i="31" l="1"/>
  <c r="F348" i="31" s="1"/>
  <c r="E349" i="31"/>
  <c r="F349" i="31" s="1"/>
  <c r="AN349" i="15"/>
  <c r="AK349" i="15"/>
  <c r="AE349" i="15"/>
  <c r="AB349" i="15"/>
  <c r="P349" i="15"/>
  <c r="J349" i="15"/>
  <c r="G349" i="15"/>
  <c r="D349" i="15"/>
  <c r="G348" i="31" l="1"/>
  <c r="G349" i="31"/>
  <c r="AN348" i="15" l="1"/>
  <c r="AK348" i="15"/>
  <c r="AE348" i="15"/>
  <c r="AB348" i="15"/>
  <c r="P348" i="15"/>
  <c r="J348" i="15"/>
  <c r="G348" i="15"/>
  <c r="D348" i="15"/>
  <c r="E347" i="31" l="1"/>
  <c r="F347" i="31" s="1"/>
  <c r="G347" i="31" l="1"/>
  <c r="D106" i="20"/>
  <c r="D111" i="20"/>
  <c r="D101" i="20"/>
  <c r="D105" i="20"/>
  <c r="D103" i="20"/>
  <c r="D110" i="20"/>
  <c r="D104" i="20"/>
  <c r="D109" i="20"/>
  <c r="D108" i="20"/>
  <c r="D107" i="20"/>
  <c r="D102" i="20"/>
  <c r="D112" i="20" l="1"/>
  <c r="AY5" i="20"/>
  <c r="AN347" i="15" l="1"/>
  <c r="AK347" i="15"/>
  <c r="AE347" i="15"/>
  <c r="AB347" i="15"/>
  <c r="P347" i="15"/>
  <c r="J347" i="15"/>
  <c r="G347" i="15"/>
  <c r="D347" i="15"/>
  <c r="AN346" i="15" l="1"/>
  <c r="AK346" i="15"/>
  <c r="AE346" i="15"/>
  <c r="AB346" i="15"/>
  <c r="P346" i="15"/>
  <c r="J346" i="15"/>
  <c r="G346" i="15"/>
  <c r="D346" i="15"/>
  <c r="AN345" i="15" l="1"/>
  <c r="AK345" i="15"/>
  <c r="AE345" i="15"/>
  <c r="AB345" i="15"/>
  <c r="P345" i="15"/>
  <c r="J345" i="15"/>
  <c r="G345" i="15"/>
  <c r="D345" i="15"/>
  <c r="AN344" i="15" l="1"/>
  <c r="AK344" i="15"/>
  <c r="AE344" i="15"/>
  <c r="AB344" i="15"/>
  <c r="P344" i="15"/>
  <c r="J344" i="15"/>
  <c r="G344" i="15"/>
  <c r="D344" i="15"/>
  <c r="AN343" i="15" l="1"/>
  <c r="AK343" i="15"/>
  <c r="AE343" i="15"/>
  <c r="AB343" i="15"/>
  <c r="P343" i="15"/>
  <c r="J343" i="15"/>
  <c r="G343" i="15"/>
  <c r="D343" i="15"/>
  <c r="AN342" i="15" l="1"/>
  <c r="AK342" i="15"/>
  <c r="AE342" i="15"/>
  <c r="AB342" i="15"/>
  <c r="P342" i="15"/>
  <c r="J342" i="15"/>
  <c r="G342" i="15"/>
  <c r="D342" i="15"/>
  <c r="E343" i="31" l="1"/>
  <c r="G343" i="31" s="1"/>
  <c r="E344" i="31"/>
  <c r="F344" i="31" s="1"/>
  <c r="E345" i="31"/>
  <c r="F345" i="31" s="1"/>
  <c r="E346" i="31"/>
  <c r="F346" i="31" s="1"/>
  <c r="G345" i="31" l="1"/>
  <c r="G344" i="31"/>
  <c r="F343" i="31"/>
  <c r="G346" i="31"/>
  <c r="AN341" i="15"/>
  <c r="AK341" i="15"/>
  <c r="AE341" i="15"/>
  <c r="AB341" i="15"/>
  <c r="P341" i="15"/>
  <c r="J341" i="15"/>
  <c r="G341" i="15"/>
  <c r="D341" i="15"/>
  <c r="AE346" i="8" l="1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N307" i="19" l="1"/>
  <c r="E340" i="31" l="1"/>
  <c r="F340" i="31" s="1"/>
  <c r="E341" i="31"/>
  <c r="F341" i="31" s="1"/>
  <c r="E342" i="31"/>
  <c r="G342" i="31" s="1"/>
  <c r="F342" i="31" l="1"/>
  <c r="G341" i="31"/>
  <c r="G340" i="31"/>
  <c r="GW18" i="20"/>
  <c r="GW19" i="20"/>
  <c r="GW20" i="20"/>
  <c r="GW21" i="20"/>
  <c r="GW22" i="20"/>
  <c r="GW23" i="20"/>
  <c r="GW17" i="20"/>
  <c r="GV17" i="20"/>
  <c r="M42" i="20"/>
  <c r="M43" i="20"/>
  <c r="M51" i="20" s="1"/>
  <c r="M44" i="20"/>
  <c r="M45" i="20"/>
  <c r="M46" i="20"/>
  <c r="M47" i="20"/>
  <c r="M49" i="20"/>
  <c r="GF8" i="20"/>
  <c r="E37" i="20"/>
  <c r="M50" i="20" l="1"/>
  <c r="AN340" i="15"/>
  <c r="AK340" i="15"/>
  <c r="AE340" i="15"/>
  <c r="AB340" i="15"/>
  <c r="P340" i="15"/>
  <c r="J340" i="15"/>
  <c r="G340" i="15"/>
  <c r="D340" i="15"/>
  <c r="E339" i="31" l="1"/>
  <c r="F339" i="31" s="1"/>
  <c r="G339" i="31" l="1"/>
  <c r="AY37" i="24" l="1"/>
  <c r="AY38" i="24"/>
  <c r="AY40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AP39" i="24"/>
  <c r="AQ39" i="24"/>
  <c r="AR39" i="24"/>
  <c r="AS39" i="24"/>
  <c r="AT39" i="24"/>
  <c r="AU39" i="24"/>
  <c r="AV39" i="24"/>
  <c r="AW39" i="24"/>
  <c r="AX39" i="24"/>
  <c r="AB39" i="24"/>
  <c r="FO6" i="20"/>
  <c r="FO7" i="20"/>
  <c r="FO8" i="20"/>
  <c r="FO9" i="20"/>
  <c r="FO10" i="20"/>
  <c r="FO11" i="20"/>
  <c r="FO12" i="20"/>
  <c r="FO13" i="20"/>
  <c r="FO14" i="20"/>
  <c r="FO15" i="20"/>
  <c r="FO16" i="20"/>
  <c r="FO17" i="20"/>
  <c r="FO18" i="20"/>
  <c r="FO19" i="20"/>
  <c r="FO20" i="20"/>
  <c r="FO21" i="20"/>
  <c r="FO22" i="20"/>
  <c r="FO23" i="20"/>
  <c r="FO24" i="20"/>
  <c r="FO25" i="20"/>
  <c r="FO26" i="20"/>
  <c r="FO27" i="20"/>
  <c r="FO28" i="20"/>
  <c r="FO29" i="20"/>
  <c r="FO30" i="20"/>
  <c r="FO31" i="20"/>
  <c r="FO32" i="20"/>
  <c r="FO33" i="20"/>
  <c r="FO34" i="20"/>
  <c r="FO35" i="20"/>
  <c r="FO36" i="20"/>
  <c r="FO37" i="20"/>
  <c r="FO38" i="20"/>
  <c r="FP38" i="20" s="1"/>
  <c r="FO39" i="20"/>
  <c r="FO40" i="20"/>
  <c r="FO41" i="20"/>
  <c r="FO42" i="20"/>
  <c r="FO43" i="20"/>
  <c r="FO44" i="20"/>
  <c r="FO45" i="20"/>
  <c r="FO46" i="20"/>
  <c r="FO47" i="20"/>
  <c r="FO48" i="20"/>
  <c r="FO49" i="20"/>
  <c r="FO50" i="20"/>
  <c r="FO51" i="20"/>
  <c r="FO52" i="20"/>
  <c r="FO57" i="20"/>
  <c r="FO58" i="20"/>
  <c r="FO59" i="20"/>
  <c r="FO60" i="20"/>
  <c r="FO61" i="20"/>
  <c r="FO62" i="20"/>
  <c r="FO63" i="20"/>
  <c r="FO64" i="20"/>
  <c r="FO65" i="20"/>
  <c r="FO66" i="20"/>
  <c r="FO67" i="20"/>
  <c r="FO68" i="20"/>
  <c r="FO69" i="20"/>
  <c r="FO70" i="20"/>
  <c r="FO71" i="20"/>
  <c r="FO72" i="20"/>
  <c r="FO73" i="20"/>
  <c r="FO74" i="20"/>
  <c r="FO75" i="20"/>
  <c r="FO76" i="20"/>
  <c r="FO77" i="20"/>
  <c r="FO78" i="20"/>
  <c r="FO79" i="20"/>
  <c r="FO80" i="20"/>
  <c r="FO81" i="20"/>
  <c r="FO82" i="20"/>
  <c r="FO83" i="20"/>
  <c r="FO84" i="20"/>
  <c r="FO85" i="20"/>
  <c r="FO86" i="20"/>
  <c r="FO87" i="20"/>
  <c r="FO88" i="20"/>
  <c r="FO89" i="20"/>
  <c r="FO90" i="20"/>
  <c r="FO91" i="20"/>
  <c r="FO92" i="20"/>
  <c r="FO93" i="20"/>
  <c r="FO94" i="20"/>
  <c r="FO95" i="20"/>
  <c r="FO96" i="20"/>
  <c r="FO97" i="20"/>
  <c r="FO98" i="20"/>
  <c r="FO99" i="20"/>
  <c r="FO100" i="20"/>
  <c r="FO101" i="20"/>
  <c r="FO102" i="20"/>
  <c r="FO103" i="20"/>
  <c r="FO104" i="20"/>
  <c r="FO105" i="20"/>
  <c r="FO106" i="20"/>
  <c r="FO107" i="20"/>
  <c r="FO108" i="20"/>
  <c r="FO109" i="20"/>
  <c r="FO110" i="20"/>
  <c r="FO111" i="20"/>
  <c r="FO112" i="20"/>
  <c r="FO113" i="20"/>
  <c r="FO114" i="20"/>
  <c r="FO115" i="20"/>
  <c r="FO116" i="20"/>
  <c r="FO117" i="20"/>
  <c r="FO118" i="20"/>
  <c r="FO119" i="20"/>
  <c r="FO120" i="20"/>
  <c r="FO121" i="20"/>
  <c r="FO122" i="20"/>
  <c r="FO123" i="20"/>
  <c r="FO124" i="20"/>
  <c r="FO125" i="20"/>
  <c r="FO126" i="20"/>
  <c r="FO127" i="20"/>
  <c r="FO128" i="20"/>
  <c r="FO129" i="20"/>
  <c r="FO130" i="20"/>
  <c r="FO131" i="20"/>
  <c r="FO132" i="20"/>
  <c r="FO133" i="20"/>
  <c r="FO134" i="20"/>
  <c r="FO135" i="20"/>
  <c r="FO136" i="20"/>
  <c r="FO137" i="20"/>
  <c r="FO138" i="20"/>
  <c r="FO139" i="20"/>
  <c r="FO140" i="20"/>
  <c r="FO141" i="20"/>
  <c r="FO142" i="20"/>
  <c r="FO143" i="20"/>
  <c r="FO144" i="20"/>
  <c r="FO145" i="20"/>
  <c r="FO146" i="20"/>
  <c r="FO147" i="20"/>
  <c r="FO148" i="20"/>
  <c r="FO149" i="20"/>
  <c r="FO150" i="20"/>
  <c r="FO151" i="20"/>
  <c r="FO152" i="20"/>
  <c r="FO153" i="20"/>
  <c r="FO154" i="20"/>
  <c r="FO155" i="20"/>
  <c r="FO156" i="20"/>
  <c r="FO157" i="20"/>
  <c r="FO158" i="20"/>
  <c r="FO159" i="20"/>
  <c r="FO160" i="20"/>
  <c r="FO161" i="20"/>
  <c r="FO162" i="20"/>
  <c r="FO163" i="20"/>
  <c r="FO164" i="20"/>
  <c r="FO165" i="20"/>
  <c r="FO166" i="20"/>
  <c r="FO167" i="20"/>
  <c r="FO168" i="20"/>
  <c r="FO169" i="20"/>
  <c r="FO170" i="20"/>
  <c r="FO171" i="20"/>
  <c r="FO172" i="20"/>
  <c r="FO173" i="20"/>
  <c r="FO174" i="20"/>
  <c r="FO175" i="20"/>
  <c r="FO176" i="20"/>
  <c r="FO177" i="20"/>
  <c r="FO178" i="20"/>
  <c r="FO179" i="20"/>
  <c r="FO180" i="20"/>
  <c r="FO181" i="20"/>
  <c r="FO182" i="20"/>
  <c r="FO183" i="20"/>
  <c r="FO184" i="20"/>
  <c r="FO185" i="20"/>
  <c r="FO186" i="20"/>
  <c r="FO187" i="20"/>
  <c r="FO188" i="20"/>
  <c r="FO189" i="20"/>
  <c r="FO190" i="20"/>
  <c r="FO191" i="20"/>
  <c r="FO192" i="20"/>
  <c r="FO193" i="20"/>
  <c r="FO194" i="20"/>
  <c r="FO195" i="20"/>
  <c r="FO196" i="20"/>
  <c r="FO197" i="20"/>
  <c r="FO198" i="20"/>
  <c r="FO199" i="20"/>
  <c r="FO200" i="20"/>
  <c r="FO201" i="20"/>
  <c r="FO202" i="20"/>
  <c r="FO203" i="20"/>
  <c r="FO204" i="20"/>
  <c r="FO205" i="20"/>
  <c r="FO206" i="20"/>
  <c r="FO207" i="20"/>
  <c r="FO208" i="20"/>
  <c r="FO209" i="20"/>
  <c r="FO210" i="20"/>
  <c r="FO211" i="20"/>
  <c r="FO212" i="20"/>
  <c r="FO213" i="20"/>
  <c r="FO214" i="20"/>
  <c r="FO215" i="20"/>
  <c r="FO216" i="20"/>
  <c r="FO217" i="20"/>
  <c r="FO218" i="20"/>
  <c r="FO219" i="20"/>
  <c r="FO220" i="20"/>
  <c r="FO221" i="20"/>
  <c r="FO222" i="20"/>
  <c r="FO223" i="20"/>
  <c r="FO224" i="20"/>
  <c r="FO225" i="20"/>
  <c r="FO226" i="20"/>
  <c r="FO227" i="20"/>
  <c r="FO228" i="20"/>
  <c r="FO229" i="20"/>
  <c r="FO230" i="20"/>
  <c r="FO231" i="20"/>
  <c r="FO232" i="20"/>
  <c r="FO233" i="20"/>
  <c r="FO234" i="20"/>
  <c r="FO235" i="20"/>
  <c r="FO236" i="20"/>
  <c r="FO237" i="20"/>
  <c r="FO238" i="20"/>
  <c r="FO239" i="20"/>
  <c r="FO240" i="20"/>
  <c r="FO241" i="20"/>
  <c r="FO242" i="20"/>
  <c r="FO243" i="20"/>
  <c r="FO244" i="20"/>
  <c r="FO245" i="20"/>
  <c r="FO246" i="20"/>
  <c r="FO247" i="20"/>
  <c r="FO248" i="20"/>
  <c r="FO249" i="20"/>
  <c r="FO250" i="20"/>
  <c r="FO251" i="20"/>
  <c r="FO252" i="20"/>
  <c r="FO253" i="20"/>
  <c r="FO254" i="20"/>
  <c r="FO255" i="20"/>
  <c r="FO256" i="20"/>
  <c r="FO257" i="20"/>
  <c r="FO258" i="20"/>
  <c r="FO259" i="20"/>
  <c r="FO260" i="20"/>
  <c r="FO261" i="20"/>
  <c r="FO262" i="20"/>
  <c r="FO263" i="20"/>
  <c r="FO264" i="20"/>
  <c r="FO265" i="20"/>
  <c r="FO266" i="20"/>
  <c r="FO267" i="20"/>
  <c r="FO268" i="20"/>
  <c r="FO269" i="20"/>
  <c r="FO270" i="20"/>
  <c r="FO271" i="20"/>
  <c r="FO272" i="20"/>
  <c r="FO273" i="20"/>
  <c r="FO274" i="20"/>
  <c r="FO275" i="20"/>
  <c r="FO276" i="20"/>
  <c r="FO277" i="20"/>
  <c r="FO278" i="20"/>
  <c r="FO279" i="20"/>
  <c r="FO280" i="20"/>
  <c r="FO281" i="20"/>
  <c r="FO282" i="20"/>
  <c r="FO283" i="20"/>
  <c r="FO284" i="20"/>
  <c r="FO285" i="20"/>
  <c r="FO286" i="20"/>
  <c r="FO287" i="20"/>
  <c r="FO288" i="20"/>
  <c r="FO289" i="20"/>
  <c r="FO290" i="20"/>
  <c r="FO291" i="20"/>
  <c r="FO292" i="20"/>
  <c r="FO293" i="20"/>
  <c r="FO294" i="20"/>
  <c r="FO295" i="20"/>
  <c r="FO296" i="20"/>
  <c r="FO297" i="20"/>
  <c r="FO298" i="20"/>
  <c r="FO299" i="20"/>
  <c r="FO300" i="20"/>
  <c r="FO301" i="20"/>
  <c r="FO302" i="20"/>
  <c r="FO303" i="20"/>
  <c r="FO304" i="20"/>
  <c r="FO305" i="20"/>
  <c r="FO306" i="20"/>
  <c r="FO307" i="20"/>
  <c r="FO308" i="20"/>
  <c r="FO309" i="20"/>
  <c r="FO310" i="20"/>
  <c r="FO311" i="20"/>
  <c r="FO312" i="20"/>
  <c r="FO313" i="20"/>
  <c r="FO314" i="20"/>
  <c r="FO315" i="20"/>
  <c r="FO316" i="20"/>
  <c r="FO317" i="20"/>
  <c r="FO318" i="20"/>
  <c r="FO319" i="20"/>
  <c r="FO320" i="20"/>
  <c r="FO321" i="20"/>
  <c r="FO322" i="20"/>
  <c r="FO323" i="20"/>
  <c r="FQ323" i="20" s="1"/>
  <c r="FO324" i="20"/>
  <c r="FO325" i="20"/>
  <c r="FQ325" i="20" s="1"/>
  <c r="FO326" i="20"/>
  <c r="FO327" i="20"/>
  <c r="FQ327" i="20" s="1"/>
  <c r="FO328" i="20"/>
  <c r="FO329" i="20"/>
  <c r="FQ329" i="20" s="1"/>
  <c r="FO330" i="20"/>
  <c r="FO331" i="20"/>
  <c r="FQ331" i="20" s="1"/>
  <c r="FO332" i="20"/>
  <c r="FO333" i="20"/>
  <c r="FQ333" i="20" s="1"/>
  <c r="FO334" i="20"/>
  <c r="FO335" i="20"/>
  <c r="FQ335" i="20" s="1"/>
  <c r="FO336" i="20"/>
  <c r="FO337" i="20"/>
  <c r="FQ337" i="20" s="1"/>
  <c r="FO338" i="20"/>
  <c r="FO339" i="20"/>
  <c r="FP339" i="20" s="1"/>
  <c r="FO340" i="20"/>
  <c r="FO341" i="20"/>
  <c r="FQ341" i="20" s="1"/>
  <c r="FO342" i="20"/>
  <c r="FO343" i="20"/>
  <c r="FP343" i="20" s="1"/>
  <c r="FO344" i="20"/>
  <c r="FO345" i="20"/>
  <c r="FP345" i="20" s="1"/>
  <c r="FO346" i="20"/>
  <c r="FO347" i="20"/>
  <c r="FP347" i="20" s="1"/>
  <c r="FO348" i="20"/>
  <c r="FO349" i="20"/>
  <c r="FQ349" i="20" s="1"/>
  <c r="FO350" i="20"/>
  <c r="FO351" i="20"/>
  <c r="FQ351" i="20" s="1"/>
  <c r="FO352" i="20"/>
  <c r="FO353" i="20"/>
  <c r="FP353" i="20" s="1"/>
  <c r="FO354" i="20"/>
  <c r="FO355" i="20"/>
  <c r="FQ355" i="20" s="1"/>
  <c r="FO356" i="20"/>
  <c r="FO357" i="20"/>
  <c r="FQ357" i="20" s="1"/>
  <c r="FO358" i="20"/>
  <c r="FO359" i="20"/>
  <c r="FP359" i="20" s="1"/>
  <c r="FO360" i="20"/>
  <c r="FO361" i="20"/>
  <c r="FP361" i="20" s="1"/>
  <c r="FO362" i="20"/>
  <c r="FO363" i="20"/>
  <c r="FP363" i="20" s="1"/>
  <c r="FO364" i="20"/>
  <c r="FO365" i="20"/>
  <c r="FQ365" i="20" s="1"/>
  <c r="FO366" i="20"/>
  <c r="FO367" i="20"/>
  <c r="FQ367" i="20" s="1"/>
  <c r="FO368" i="20"/>
  <c r="FO369" i="20"/>
  <c r="FP369" i="20" s="1"/>
  <c r="FO370" i="20"/>
  <c r="FO371" i="20"/>
  <c r="FQ371" i="20" s="1"/>
  <c r="FO372" i="20"/>
  <c r="FO373" i="20"/>
  <c r="FP373" i="20" s="1"/>
  <c r="FO374" i="20"/>
  <c r="FO375" i="20"/>
  <c r="FP375" i="20" s="1"/>
  <c r="FO376" i="20"/>
  <c r="FO377" i="20"/>
  <c r="FP377" i="20" s="1"/>
  <c r="FO378" i="20"/>
  <c r="FO379" i="20"/>
  <c r="FP379" i="20" s="1"/>
  <c r="FO380" i="20"/>
  <c r="FP380" i="20" s="1"/>
  <c r="FO381" i="20"/>
  <c r="FP381" i="20" s="1"/>
  <c r="FO382" i="20"/>
  <c r="FP382" i="20" s="1"/>
  <c r="FO383" i="20"/>
  <c r="FP383" i="20" s="1"/>
  <c r="FO384" i="20"/>
  <c r="FP384" i="20" s="1"/>
  <c r="FO385" i="20"/>
  <c r="FP385" i="20" s="1"/>
  <c r="FO5" i="20"/>
  <c r="FE40" i="20"/>
  <c r="FE6" i="20"/>
  <c r="FE7" i="20"/>
  <c r="FE8" i="20"/>
  <c r="FE9" i="20"/>
  <c r="FE10" i="20"/>
  <c r="FE11" i="20"/>
  <c r="FE12" i="20"/>
  <c r="FE13" i="20"/>
  <c r="FE14" i="20"/>
  <c r="FE15" i="20"/>
  <c r="FE16" i="20"/>
  <c r="FE17" i="20"/>
  <c r="FE18" i="20"/>
  <c r="FE19" i="20"/>
  <c r="FE20" i="20"/>
  <c r="FE21" i="20"/>
  <c r="FE22" i="20"/>
  <c r="FE23" i="20"/>
  <c r="FE24" i="20"/>
  <c r="FE25" i="20"/>
  <c r="FE26" i="20"/>
  <c r="FE27" i="20"/>
  <c r="FE28" i="20"/>
  <c r="FE29" i="20"/>
  <c r="FE30" i="20"/>
  <c r="FE31" i="20"/>
  <c r="FE32" i="20"/>
  <c r="FE33" i="20"/>
  <c r="FE34" i="20"/>
  <c r="FE35" i="20"/>
  <c r="FE36" i="20"/>
  <c r="FE37" i="20"/>
  <c r="FE38" i="20"/>
  <c r="FE39" i="20"/>
  <c r="FE41" i="20"/>
  <c r="FE42" i="20"/>
  <c r="FE43" i="20"/>
  <c r="FE44" i="20"/>
  <c r="FE45" i="20"/>
  <c r="FE46" i="20"/>
  <c r="FE47" i="20"/>
  <c r="FE48" i="20"/>
  <c r="FE49" i="20"/>
  <c r="FE50" i="20"/>
  <c r="FE51" i="20"/>
  <c r="FE52" i="20"/>
  <c r="FE57" i="20"/>
  <c r="FE58" i="20"/>
  <c r="FE59" i="20"/>
  <c r="FE60" i="20"/>
  <c r="FE61" i="20"/>
  <c r="FE62" i="20"/>
  <c r="FE63" i="20"/>
  <c r="FE64" i="20"/>
  <c r="FE65" i="20"/>
  <c r="FE66" i="20"/>
  <c r="FE67" i="20"/>
  <c r="FE68" i="20"/>
  <c r="FE69" i="20"/>
  <c r="FE70" i="20"/>
  <c r="FE71" i="20"/>
  <c r="FE72" i="20"/>
  <c r="FE73" i="20"/>
  <c r="FE74" i="20"/>
  <c r="FE75" i="20"/>
  <c r="FE76" i="20"/>
  <c r="FE77" i="20"/>
  <c r="FE78" i="20"/>
  <c r="FE79" i="20"/>
  <c r="FE80" i="20"/>
  <c r="FE81" i="20"/>
  <c r="FE82" i="20"/>
  <c r="FE83" i="20"/>
  <c r="FE84" i="20"/>
  <c r="FE85" i="20"/>
  <c r="FE86" i="20"/>
  <c r="FE87" i="20"/>
  <c r="FE88" i="20"/>
  <c r="FE89" i="20"/>
  <c r="FE90" i="20"/>
  <c r="FE91" i="20"/>
  <c r="FE92" i="20"/>
  <c r="FE93" i="20"/>
  <c r="FE94" i="20"/>
  <c r="FE95" i="20"/>
  <c r="FE96" i="20"/>
  <c r="FE97" i="20"/>
  <c r="FE98" i="20"/>
  <c r="FE99" i="20"/>
  <c r="FE100" i="20"/>
  <c r="FE101" i="20"/>
  <c r="FE102" i="20"/>
  <c r="FE103" i="20"/>
  <c r="FE104" i="20"/>
  <c r="FE105" i="20"/>
  <c r="FE106" i="20"/>
  <c r="FE107" i="20"/>
  <c r="FE108" i="20"/>
  <c r="FE109" i="20"/>
  <c r="FE110" i="20"/>
  <c r="FE111" i="20"/>
  <c r="FE112" i="20"/>
  <c r="FE113" i="20"/>
  <c r="FE114" i="20"/>
  <c r="FE115" i="20"/>
  <c r="FE116" i="20"/>
  <c r="FE117" i="20"/>
  <c r="FE118" i="20"/>
  <c r="FE119" i="20"/>
  <c r="FE120" i="20"/>
  <c r="FE121" i="20"/>
  <c r="FE122" i="20"/>
  <c r="FE123" i="20"/>
  <c r="FE124" i="20"/>
  <c r="FE125" i="20"/>
  <c r="FE126" i="20"/>
  <c r="FE127" i="20"/>
  <c r="FE128" i="20"/>
  <c r="FE129" i="20"/>
  <c r="FE130" i="20"/>
  <c r="FE131" i="20"/>
  <c r="FE132" i="20"/>
  <c r="FE133" i="20"/>
  <c r="FE134" i="20"/>
  <c r="FE135" i="20"/>
  <c r="FE136" i="20"/>
  <c r="FE137" i="20"/>
  <c r="FE138" i="20"/>
  <c r="FE139" i="20"/>
  <c r="FE140" i="20"/>
  <c r="FE141" i="20"/>
  <c r="FE142" i="20"/>
  <c r="FE143" i="20"/>
  <c r="FE144" i="20"/>
  <c r="FE145" i="20"/>
  <c r="FE146" i="20"/>
  <c r="FE147" i="20"/>
  <c r="FE148" i="20"/>
  <c r="FE149" i="20"/>
  <c r="FE150" i="20"/>
  <c r="FE151" i="20"/>
  <c r="FE152" i="20"/>
  <c r="FE153" i="20"/>
  <c r="FE154" i="20"/>
  <c r="FE155" i="20"/>
  <c r="FE156" i="20"/>
  <c r="FE157" i="20"/>
  <c r="FE158" i="20"/>
  <c r="FE159" i="20"/>
  <c r="FE160" i="20"/>
  <c r="FE161" i="20"/>
  <c r="FE162" i="20"/>
  <c r="FE163" i="20"/>
  <c r="FE164" i="20"/>
  <c r="FE165" i="20"/>
  <c r="FE166" i="20"/>
  <c r="FE167" i="20"/>
  <c r="FE168" i="20"/>
  <c r="FE169" i="20"/>
  <c r="FE170" i="20"/>
  <c r="FE171" i="20"/>
  <c r="FE172" i="20"/>
  <c r="FE173" i="20"/>
  <c r="FE174" i="20"/>
  <c r="FE175" i="20"/>
  <c r="FE176" i="20"/>
  <c r="FE177" i="20"/>
  <c r="FE178" i="20"/>
  <c r="FE179" i="20"/>
  <c r="FE180" i="20"/>
  <c r="FE181" i="20"/>
  <c r="FE182" i="20"/>
  <c r="FE183" i="20"/>
  <c r="FE184" i="20"/>
  <c r="FE185" i="20"/>
  <c r="FE186" i="20"/>
  <c r="FE187" i="20"/>
  <c r="FE188" i="20"/>
  <c r="FE189" i="20"/>
  <c r="FE190" i="20"/>
  <c r="FE191" i="20"/>
  <c r="FE192" i="20"/>
  <c r="FE193" i="20"/>
  <c r="FE194" i="20"/>
  <c r="FE195" i="20"/>
  <c r="FE196" i="20"/>
  <c r="FE197" i="20"/>
  <c r="FE198" i="20"/>
  <c r="FE199" i="20"/>
  <c r="FE200" i="20"/>
  <c r="FE201" i="20"/>
  <c r="FE202" i="20"/>
  <c r="FE203" i="20"/>
  <c r="FE204" i="20"/>
  <c r="FE205" i="20"/>
  <c r="FE206" i="20"/>
  <c r="FE207" i="20"/>
  <c r="FE208" i="20"/>
  <c r="FE209" i="20"/>
  <c r="FE210" i="20"/>
  <c r="FE211" i="20"/>
  <c r="FE212" i="20"/>
  <c r="FE213" i="20"/>
  <c r="FE214" i="20"/>
  <c r="FE215" i="20"/>
  <c r="FE216" i="20"/>
  <c r="FE217" i="20"/>
  <c r="FE218" i="20"/>
  <c r="FE219" i="20"/>
  <c r="FE220" i="20"/>
  <c r="FE221" i="20"/>
  <c r="FE222" i="20"/>
  <c r="FE223" i="20"/>
  <c r="FE224" i="20"/>
  <c r="FE225" i="20"/>
  <c r="FE226" i="20"/>
  <c r="FE227" i="20"/>
  <c r="FE228" i="20"/>
  <c r="FE229" i="20"/>
  <c r="FE230" i="20"/>
  <c r="FE231" i="20"/>
  <c r="FE232" i="20"/>
  <c r="FE233" i="20"/>
  <c r="FE234" i="20"/>
  <c r="FE235" i="20"/>
  <c r="FE236" i="20"/>
  <c r="FE237" i="20"/>
  <c r="FE238" i="20"/>
  <c r="FE239" i="20"/>
  <c r="FE240" i="20"/>
  <c r="FE241" i="20"/>
  <c r="FE242" i="20"/>
  <c r="FE243" i="20"/>
  <c r="FE244" i="20"/>
  <c r="FE245" i="20"/>
  <c r="FE246" i="20"/>
  <c r="FE247" i="20"/>
  <c r="FE248" i="20"/>
  <c r="FE249" i="20"/>
  <c r="FE250" i="20"/>
  <c r="FE251" i="20"/>
  <c r="FE252" i="20"/>
  <c r="FE253" i="20"/>
  <c r="FE254" i="20"/>
  <c r="FE255" i="20"/>
  <c r="FE256" i="20"/>
  <c r="FE257" i="20"/>
  <c r="FE258" i="20"/>
  <c r="FE259" i="20"/>
  <c r="FE260" i="20"/>
  <c r="FE261" i="20"/>
  <c r="FE262" i="20"/>
  <c r="FE263" i="20"/>
  <c r="FE264" i="20"/>
  <c r="FE265" i="20"/>
  <c r="FE266" i="20"/>
  <c r="FE267" i="20"/>
  <c r="FE268" i="20"/>
  <c r="FE269" i="20"/>
  <c r="FE270" i="20"/>
  <c r="FE271" i="20"/>
  <c r="FE272" i="20"/>
  <c r="FE273" i="20"/>
  <c r="FE274" i="20"/>
  <c r="FE275" i="20"/>
  <c r="FE276" i="20"/>
  <c r="FE277" i="20"/>
  <c r="FE278" i="20"/>
  <c r="FE279" i="20"/>
  <c r="FE280" i="20"/>
  <c r="FE281" i="20"/>
  <c r="FE282" i="20"/>
  <c r="FE283" i="20"/>
  <c r="FE284" i="20"/>
  <c r="FE285" i="20"/>
  <c r="FE286" i="20"/>
  <c r="FE287" i="20"/>
  <c r="FE288" i="20"/>
  <c r="FE289" i="20"/>
  <c r="FE290" i="20"/>
  <c r="FE291" i="20"/>
  <c r="FE292" i="20"/>
  <c r="FE293" i="20"/>
  <c r="FE294" i="20"/>
  <c r="FE295" i="20"/>
  <c r="FE296" i="20"/>
  <c r="FE297" i="20"/>
  <c r="FE298" i="20"/>
  <c r="FE299" i="20"/>
  <c r="FE300" i="20"/>
  <c r="FE301" i="20"/>
  <c r="FE302" i="20"/>
  <c r="FE303" i="20"/>
  <c r="FE304" i="20"/>
  <c r="FE305" i="20"/>
  <c r="FE306" i="20"/>
  <c r="FE307" i="20"/>
  <c r="FE308" i="20"/>
  <c r="FE309" i="20"/>
  <c r="FE310" i="20"/>
  <c r="FE311" i="20"/>
  <c r="FE312" i="20"/>
  <c r="FE313" i="20"/>
  <c r="FE314" i="20"/>
  <c r="FE315" i="20"/>
  <c r="FE316" i="20"/>
  <c r="FE317" i="20"/>
  <c r="FE318" i="20"/>
  <c r="FE319" i="20"/>
  <c r="FE320" i="20"/>
  <c r="FE321" i="20"/>
  <c r="FE322" i="20"/>
  <c r="FE323" i="20"/>
  <c r="FG323" i="20" s="1"/>
  <c r="FE324" i="20"/>
  <c r="FE325" i="20"/>
  <c r="FG325" i="20" s="1"/>
  <c r="FE326" i="20"/>
  <c r="FE327" i="20"/>
  <c r="FG327" i="20" s="1"/>
  <c r="FE328" i="20"/>
  <c r="FE329" i="20"/>
  <c r="FG329" i="20" s="1"/>
  <c r="FE330" i="20"/>
  <c r="FE331" i="20"/>
  <c r="FG331" i="20" s="1"/>
  <c r="FE332" i="20"/>
  <c r="FE333" i="20"/>
  <c r="FG333" i="20" s="1"/>
  <c r="FE334" i="20"/>
  <c r="FE335" i="20"/>
  <c r="FG335" i="20" s="1"/>
  <c r="FE336" i="20"/>
  <c r="FE337" i="20"/>
  <c r="FG337" i="20" s="1"/>
  <c r="FE338" i="20"/>
  <c r="FE339" i="20"/>
  <c r="FG339" i="20" s="1"/>
  <c r="FE340" i="20"/>
  <c r="FE341" i="20"/>
  <c r="FF341" i="20" s="1"/>
  <c r="FE342" i="20"/>
  <c r="FE343" i="20"/>
  <c r="FF343" i="20" s="1"/>
  <c r="FE344" i="20"/>
  <c r="FE345" i="20"/>
  <c r="FG345" i="20" s="1"/>
  <c r="FE346" i="20"/>
  <c r="FE347" i="20"/>
  <c r="FG347" i="20" s="1"/>
  <c r="FE348" i="20"/>
  <c r="FE349" i="20"/>
  <c r="FF349" i="20" s="1"/>
  <c r="FE350" i="20"/>
  <c r="FE351" i="20"/>
  <c r="FF351" i="20" s="1"/>
  <c r="FE352" i="20"/>
  <c r="FE353" i="20"/>
  <c r="FF353" i="20" s="1"/>
  <c r="FE354" i="20"/>
  <c r="FE355" i="20"/>
  <c r="FG355" i="20" s="1"/>
  <c r="FE356" i="20"/>
  <c r="FE357" i="20"/>
  <c r="FG357" i="20" s="1"/>
  <c r="FE358" i="20"/>
  <c r="FE359" i="20"/>
  <c r="FF359" i="20" s="1"/>
  <c r="FE360" i="20"/>
  <c r="FE361" i="20"/>
  <c r="FG361" i="20" s="1"/>
  <c r="FE362" i="20"/>
  <c r="FE363" i="20"/>
  <c r="FG363" i="20" s="1"/>
  <c r="FE364" i="20"/>
  <c r="FE365" i="20"/>
  <c r="FG365" i="20" s="1"/>
  <c r="FE366" i="20"/>
  <c r="FE367" i="20"/>
  <c r="FF367" i="20" s="1"/>
  <c r="FE368" i="20"/>
  <c r="FE369" i="20"/>
  <c r="FF369" i="20" s="1"/>
  <c r="FE370" i="20"/>
  <c r="FE371" i="20"/>
  <c r="FG371" i="20" s="1"/>
  <c r="FE372" i="20"/>
  <c r="FE373" i="20"/>
  <c r="FF373" i="20" s="1"/>
  <c r="FE374" i="20"/>
  <c r="FE375" i="20"/>
  <c r="FF375" i="20" s="1"/>
  <c r="FE376" i="20"/>
  <c r="FE377" i="20"/>
  <c r="FG377" i="20" s="1"/>
  <c r="FE378" i="20"/>
  <c r="FE379" i="20"/>
  <c r="FG379" i="20" s="1"/>
  <c r="FE380" i="20"/>
  <c r="FF380" i="20" s="1"/>
  <c r="FE381" i="20"/>
  <c r="FF381" i="20" s="1"/>
  <c r="FE382" i="20"/>
  <c r="FG382" i="20" s="1"/>
  <c r="FE383" i="20"/>
  <c r="FF383" i="20" s="1"/>
  <c r="FE384" i="20"/>
  <c r="FF384" i="20" s="1"/>
  <c r="FE385" i="20"/>
  <c r="FF385" i="20" s="1"/>
  <c r="FE5" i="20"/>
  <c r="FJ5" i="20"/>
  <c r="FJ6" i="20"/>
  <c r="FJ7" i="20"/>
  <c r="FJ8" i="20"/>
  <c r="FJ9" i="20"/>
  <c r="FJ10" i="20"/>
  <c r="FJ11" i="20"/>
  <c r="FJ12" i="20"/>
  <c r="FJ13" i="20"/>
  <c r="FJ14" i="20"/>
  <c r="FJ15" i="20"/>
  <c r="FJ16" i="20"/>
  <c r="FJ17" i="20"/>
  <c r="FJ18" i="20"/>
  <c r="FJ19" i="20"/>
  <c r="FJ20" i="20"/>
  <c r="FJ21" i="20"/>
  <c r="FJ22" i="20"/>
  <c r="FJ23" i="20"/>
  <c r="FJ24" i="20"/>
  <c r="FJ25" i="20"/>
  <c r="FJ26" i="20"/>
  <c r="FJ27" i="20"/>
  <c r="FJ28" i="20"/>
  <c r="FJ29" i="20"/>
  <c r="FJ30" i="20"/>
  <c r="FJ31" i="20"/>
  <c r="FJ32" i="20"/>
  <c r="FJ33" i="20"/>
  <c r="FJ34" i="20"/>
  <c r="FJ35" i="20"/>
  <c r="FJ36" i="20"/>
  <c r="FJ37" i="20"/>
  <c r="FJ38" i="20"/>
  <c r="FJ39" i="20"/>
  <c r="FJ40" i="20"/>
  <c r="FJ41" i="20"/>
  <c r="FJ42" i="20"/>
  <c r="FJ43" i="20"/>
  <c r="FJ44" i="20"/>
  <c r="FJ45" i="20"/>
  <c r="FJ46" i="20"/>
  <c r="FJ47" i="20"/>
  <c r="FJ48" i="20"/>
  <c r="FJ49" i="20"/>
  <c r="FJ50" i="20"/>
  <c r="FJ51" i="20"/>
  <c r="FJ52" i="20"/>
  <c r="FJ57" i="20"/>
  <c r="FJ58" i="20"/>
  <c r="FJ59" i="20"/>
  <c r="FJ60" i="20"/>
  <c r="FJ61" i="20"/>
  <c r="FJ62" i="20"/>
  <c r="FJ63" i="20"/>
  <c r="FJ64" i="20"/>
  <c r="FJ65" i="20"/>
  <c r="FJ66" i="20"/>
  <c r="FJ67" i="20"/>
  <c r="FJ68" i="20"/>
  <c r="FJ69" i="20"/>
  <c r="FJ70" i="20"/>
  <c r="FJ71" i="20"/>
  <c r="FJ72" i="20"/>
  <c r="FJ73" i="20"/>
  <c r="FJ74" i="20"/>
  <c r="FJ75" i="20"/>
  <c r="FJ76" i="20"/>
  <c r="FJ77" i="20"/>
  <c r="FJ78" i="20"/>
  <c r="FJ79" i="20"/>
  <c r="FJ80" i="20"/>
  <c r="FJ81" i="20"/>
  <c r="FJ82" i="20"/>
  <c r="FJ83" i="20"/>
  <c r="FJ84" i="20"/>
  <c r="FJ85" i="20"/>
  <c r="FJ86" i="20"/>
  <c r="FJ87" i="20"/>
  <c r="FJ88" i="20"/>
  <c r="FJ89" i="20"/>
  <c r="FJ90" i="20"/>
  <c r="FJ91" i="20"/>
  <c r="FJ92" i="20"/>
  <c r="FJ93" i="20"/>
  <c r="FJ94" i="20"/>
  <c r="FJ95" i="20"/>
  <c r="FJ96" i="20"/>
  <c r="FJ97" i="20"/>
  <c r="FJ98" i="20"/>
  <c r="FJ99" i="20"/>
  <c r="FJ100" i="20"/>
  <c r="FJ101" i="20"/>
  <c r="FJ102" i="20"/>
  <c r="FJ103" i="20"/>
  <c r="FJ104" i="20"/>
  <c r="FJ105" i="20"/>
  <c r="FJ106" i="20"/>
  <c r="FJ107" i="20"/>
  <c r="FJ108" i="20"/>
  <c r="FJ109" i="20"/>
  <c r="FJ110" i="20"/>
  <c r="FJ111" i="20"/>
  <c r="FJ112" i="20"/>
  <c r="FJ113" i="20"/>
  <c r="FJ114" i="20"/>
  <c r="FJ115" i="20"/>
  <c r="FJ116" i="20"/>
  <c r="FJ117" i="20"/>
  <c r="FJ118" i="20"/>
  <c r="FJ119" i="20"/>
  <c r="FJ120" i="20"/>
  <c r="FJ121" i="20"/>
  <c r="FJ122" i="20"/>
  <c r="FJ123" i="20"/>
  <c r="FJ124" i="20"/>
  <c r="FJ125" i="20"/>
  <c r="FJ126" i="20"/>
  <c r="FJ127" i="20"/>
  <c r="FJ128" i="20"/>
  <c r="FJ129" i="20"/>
  <c r="FJ130" i="20"/>
  <c r="FJ131" i="20"/>
  <c r="FJ132" i="20"/>
  <c r="FJ133" i="20"/>
  <c r="FJ134" i="20"/>
  <c r="FJ135" i="20"/>
  <c r="FJ136" i="20"/>
  <c r="FJ137" i="20"/>
  <c r="FJ138" i="20"/>
  <c r="FJ139" i="20"/>
  <c r="FJ140" i="20"/>
  <c r="FJ141" i="20"/>
  <c r="FJ142" i="20"/>
  <c r="FJ143" i="20"/>
  <c r="FJ144" i="20"/>
  <c r="FJ145" i="20"/>
  <c r="FJ146" i="20"/>
  <c r="FJ147" i="20"/>
  <c r="FJ148" i="20"/>
  <c r="FJ149" i="20"/>
  <c r="FJ150" i="20"/>
  <c r="FJ151" i="20"/>
  <c r="FJ152" i="20"/>
  <c r="FJ153" i="20"/>
  <c r="FJ154" i="20"/>
  <c r="FJ155" i="20"/>
  <c r="FJ156" i="20"/>
  <c r="FJ157" i="20"/>
  <c r="FJ158" i="20"/>
  <c r="FJ159" i="20"/>
  <c r="FJ160" i="20"/>
  <c r="FJ161" i="20"/>
  <c r="FJ162" i="20"/>
  <c r="FJ163" i="20"/>
  <c r="FJ164" i="20"/>
  <c r="FJ166" i="20"/>
  <c r="FJ167" i="20"/>
  <c r="FJ168" i="20"/>
  <c r="FJ169" i="20"/>
  <c r="FJ170" i="20"/>
  <c r="FJ171" i="20"/>
  <c r="FJ172" i="20"/>
  <c r="FJ173" i="20"/>
  <c r="FJ174" i="20"/>
  <c r="FJ175" i="20"/>
  <c r="FJ176" i="20"/>
  <c r="FJ177" i="20"/>
  <c r="FJ178" i="20"/>
  <c r="FJ179" i="20"/>
  <c r="FJ180" i="20"/>
  <c r="FJ181" i="20"/>
  <c r="FJ182" i="20"/>
  <c r="FJ183" i="20"/>
  <c r="FJ184" i="20"/>
  <c r="FJ185" i="20"/>
  <c r="FJ186" i="20"/>
  <c r="FJ187" i="20"/>
  <c r="FJ188" i="20"/>
  <c r="FJ189" i="20"/>
  <c r="FJ190" i="20"/>
  <c r="FJ191" i="20"/>
  <c r="FJ192" i="20"/>
  <c r="FJ193" i="20"/>
  <c r="FJ194" i="20"/>
  <c r="FJ195" i="20"/>
  <c r="FJ196" i="20"/>
  <c r="FJ197" i="20"/>
  <c r="FJ198" i="20"/>
  <c r="FJ199" i="20"/>
  <c r="FJ200" i="20"/>
  <c r="FJ201" i="20"/>
  <c r="FJ202" i="20"/>
  <c r="FJ203" i="20"/>
  <c r="FJ204" i="20"/>
  <c r="FJ205" i="20"/>
  <c r="FJ206" i="20"/>
  <c r="FJ207" i="20"/>
  <c r="FJ208" i="20"/>
  <c r="FJ209" i="20"/>
  <c r="FJ210" i="20"/>
  <c r="FJ211" i="20"/>
  <c r="FJ212" i="20"/>
  <c r="FJ213" i="20"/>
  <c r="FJ214" i="20"/>
  <c r="FJ215" i="20"/>
  <c r="FJ216" i="20"/>
  <c r="FJ217" i="20"/>
  <c r="FJ218" i="20"/>
  <c r="FJ219" i="20"/>
  <c r="FJ220" i="20"/>
  <c r="FJ221" i="20"/>
  <c r="FJ222" i="20"/>
  <c r="FJ223" i="20"/>
  <c r="FJ224" i="20"/>
  <c r="FJ225" i="20"/>
  <c r="FJ226" i="20"/>
  <c r="FJ227" i="20"/>
  <c r="FJ228" i="20"/>
  <c r="FJ229" i="20"/>
  <c r="FJ230" i="20"/>
  <c r="FJ231" i="20"/>
  <c r="FJ232" i="20"/>
  <c r="FJ233" i="20"/>
  <c r="FJ234" i="20"/>
  <c r="FJ235" i="20"/>
  <c r="FJ236" i="20"/>
  <c r="FJ237" i="20"/>
  <c r="FJ238" i="20"/>
  <c r="FJ239" i="20"/>
  <c r="FJ240" i="20"/>
  <c r="FJ241" i="20"/>
  <c r="FJ242" i="20"/>
  <c r="FJ243" i="20"/>
  <c r="FJ244" i="20"/>
  <c r="FJ245" i="20"/>
  <c r="FJ246" i="20"/>
  <c r="FJ247" i="20"/>
  <c r="FJ248" i="20"/>
  <c r="FJ249" i="20"/>
  <c r="FJ250" i="20"/>
  <c r="FJ251" i="20"/>
  <c r="FJ252" i="20"/>
  <c r="FJ253" i="20"/>
  <c r="FJ254" i="20"/>
  <c r="FJ255" i="20"/>
  <c r="FJ256" i="20"/>
  <c r="FJ257" i="20"/>
  <c r="FJ258" i="20"/>
  <c r="FJ259" i="20"/>
  <c r="FJ260" i="20"/>
  <c r="FJ261" i="20"/>
  <c r="FJ262" i="20"/>
  <c r="FJ263" i="20"/>
  <c r="FJ264" i="20"/>
  <c r="FJ265" i="20"/>
  <c r="FJ266" i="20"/>
  <c r="FJ267" i="20"/>
  <c r="FJ268" i="20"/>
  <c r="FJ269" i="20"/>
  <c r="FJ270" i="20"/>
  <c r="FJ271" i="20"/>
  <c r="FJ272" i="20"/>
  <c r="FJ273" i="20"/>
  <c r="FJ274" i="20"/>
  <c r="FJ275" i="20"/>
  <c r="FJ276" i="20"/>
  <c r="FJ277" i="20"/>
  <c r="FJ278" i="20"/>
  <c r="FJ279" i="20"/>
  <c r="FJ280" i="20"/>
  <c r="FJ281" i="20"/>
  <c r="FJ282" i="20"/>
  <c r="FJ283" i="20"/>
  <c r="FJ284" i="20"/>
  <c r="FJ285" i="20"/>
  <c r="FJ287" i="20"/>
  <c r="FJ288" i="20"/>
  <c r="FJ289" i="20"/>
  <c r="FJ290" i="20"/>
  <c r="FJ291" i="20"/>
  <c r="FJ292" i="20"/>
  <c r="FJ293" i="20"/>
  <c r="FJ294" i="20"/>
  <c r="FJ295" i="20"/>
  <c r="FJ296" i="20"/>
  <c r="FJ297" i="20"/>
  <c r="FJ298" i="20"/>
  <c r="FJ299" i="20"/>
  <c r="FJ300" i="20"/>
  <c r="FJ301" i="20"/>
  <c r="FJ302" i="20"/>
  <c r="FJ303" i="20"/>
  <c r="FJ304" i="20"/>
  <c r="FJ305" i="20"/>
  <c r="FJ306" i="20"/>
  <c r="FJ307" i="20"/>
  <c r="FJ308" i="20"/>
  <c r="FJ309" i="20"/>
  <c r="FJ310" i="20"/>
  <c r="FJ311" i="20"/>
  <c r="FJ312" i="20"/>
  <c r="FJ313" i="20"/>
  <c r="FJ314" i="20"/>
  <c r="FJ315" i="20"/>
  <c r="FJ316" i="20"/>
  <c r="FJ317" i="20"/>
  <c r="FJ318" i="20"/>
  <c r="FJ319" i="20"/>
  <c r="FJ320" i="20"/>
  <c r="FJ321" i="20"/>
  <c r="FJ322" i="20"/>
  <c r="FJ323" i="20"/>
  <c r="FJ324" i="20"/>
  <c r="FL324" i="20" s="1"/>
  <c r="FJ325" i="20"/>
  <c r="FJ326" i="20"/>
  <c r="FL326" i="20" s="1"/>
  <c r="FJ327" i="20"/>
  <c r="FJ328" i="20"/>
  <c r="FL328" i="20" s="1"/>
  <c r="FJ329" i="20"/>
  <c r="FJ330" i="20"/>
  <c r="FL330" i="20" s="1"/>
  <c r="FJ331" i="20"/>
  <c r="FJ332" i="20"/>
  <c r="FL332" i="20" s="1"/>
  <c r="FJ333" i="20"/>
  <c r="FJ334" i="20"/>
  <c r="FL334" i="20" s="1"/>
  <c r="FJ335" i="20"/>
  <c r="FJ336" i="20"/>
  <c r="FL336" i="20" s="1"/>
  <c r="FJ337" i="20"/>
  <c r="FJ338" i="20"/>
  <c r="FL338" i="20" s="1"/>
  <c r="FJ339" i="20"/>
  <c r="FJ340" i="20"/>
  <c r="FK340" i="20" s="1"/>
  <c r="FJ342" i="20"/>
  <c r="FK342" i="20" s="1"/>
  <c r="FJ343" i="20"/>
  <c r="FK343" i="20" s="1"/>
  <c r="FJ344" i="20"/>
  <c r="FL344" i="20" s="1"/>
  <c r="FJ345" i="20"/>
  <c r="FK345" i="20" s="1"/>
  <c r="FJ346" i="20"/>
  <c r="FL346" i="20" s="1"/>
  <c r="FJ347" i="20"/>
  <c r="FK347" i="20" s="1"/>
  <c r="FJ348" i="20"/>
  <c r="FK348" i="20" s="1"/>
  <c r="FJ349" i="20"/>
  <c r="FK349" i="20" s="1"/>
  <c r="FJ350" i="20"/>
  <c r="FJ351" i="20"/>
  <c r="FK351" i="20" s="1"/>
  <c r="FJ352" i="20"/>
  <c r="FK352" i="20" s="1"/>
  <c r="FJ353" i="20"/>
  <c r="FK353" i="20" s="1"/>
  <c r="FJ354" i="20"/>
  <c r="FK354" i="20" s="1"/>
  <c r="FJ355" i="20"/>
  <c r="FJ356" i="20"/>
  <c r="FK356" i="20" s="1"/>
  <c r="FJ357" i="20"/>
  <c r="FK357" i="20" s="1"/>
  <c r="FJ358" i="20"/>
  <c r="FK358" i="20" s="1"/>
  <c r="FJ359" i="20"/>
  <c r="FK359" i="20" s="1"/>
  <c r="FJ360" i="20"/>
  <c r="FL360" i="20" s="1"/>
  <c r="FJ361" i="20"/>
  <c r="FK361" i="20" s="1"/>
  <c r="FJ362" i="20"/>
  <c r="FK362" i="20" s="1"/>
  <c r="FJ363" i="20"/>
  <c r="FK363" i="20" s="1"/>
  <c r="FJ364" i="20"/>
  <c r="FK364" i="20" s="1"/>
  <c r="FJ365" i="20"/>
  <c r="FK365" i="20" s="1"/>
  <c r="FJ366" i="20"/>
  <c r="FL366" i="20" s="1"/>
  <c r="FJ367" i="20"/>
  <c r="FK367" i="20" s="1"/>
  <c r="FJ368" i="20"/>
  <c r="FL368" i="20" s="1"/>
  <c r="FJ369" i="20"/>
  <c r="FK369" i="20" s="1"/>
  <c r="FJ370" i="20"/>
  <c r="FK370" i="20" s="1"/>
  <c r="FJ371" i="20"/>
  <c r="FK371" i="20" s="1"/>
  <c r="FJ372" i="20"/>
  <c r="FK372" i="20" s="1"/>
  <c r="FJ373" i="20"/>
  <c r="FK373" i="20" s="1"/>
  <c r="FJ374" i="20"/>
  <c r="FK374" i="20" s="1"/>
  <c r="FJ375" i="20"/>
  <c r="FK375" i="20" s="1"/>
  <c r="FJ376" i="20"/>
  <c r="FL376" i="20" s="1"/>
  <c r="FJ377" i="20"/>
  <c r="FK377" i="20" s="1"/>
  <c r="FJ378" i="20"/>
  <c r="FK378" i="20" s="1"/>
  <c r="FJ379" i="20"/>
  <c r="FK379" i="20" s="1"/>
  <c r="FJ380" i="20"/>
  <c r="FK380" i="20" s="1"/>
  <c r="FJ381" i="20"/>
  <c r="FL381" i="20" s="1"/>
  <c r="FJ382" i="20"/>
  <c r="FK382" i="20" s="1"/>
  <c r="FJ383" i="20"/>
  <c r="FK383" i="20" s="1"/>
  <c r="FJ384" i="20"/>
  <c r="FK384" i="20" s="1"/>
  <c r="FJ385" i="20"/>
  <c r="FK385" i="20" s="1"/>
  <c r="FJ341" i="20"/>
  <c r="FL341" i="20" s="1"/>
  <c r="FD323" i="20"/>
  <c r="FI323" i="20"/>
  <c r="FN323" i="20"/>
  <c r="FD324" i="20"/>
  <c r="FI324" i="20"/>
  <c r="FN324" i="20"/>
  <c r="FD325" i="20"/>
  <c r="FI325" i="20"/>
  <c r="FN325" i="20"/>
  <c r="FD326" i="20"/>
  <c r="FI326" i="20"/>
  <c r="FN326" i="20"/>
  <c r="FD327" i="20"/>
  <c r="FI327" i="20"/>
  <c r="FN327" i="20"/>
  <c r="FD328" i="20"/>
  <c r="FI328" i="20"/>
  <c r="FN328" i="20"/>
  <c r="FD329" i="20"/>
  <c r="FI329" i="20"/>
  <c r="FN329" i="20"/>
  <c r="FD330" i="20"/>
  <c r="FI330" i="20"/>
  <c r="FN330" i="20"/>
  <c r="FD331" i="20"/>
  <c r="FI331" i="20"/>
  <c r="FN331" i="20"/>
  <c r="FD332" i="20"/>
  <c r="FI332" i="20"/>
  <c r="FN332" i="20"/>
  <c r="FD333" i="20"/>
  <c r="FI333" i="20"/>
  <c r="FN333" i="20"/>
  <c r="FD334" i="20"/>
  <c r="FI334" i="20"/>
  <c r="FN334" i="20"/>
  <c r="FD335" i="20"/>
  <c r="FI335" i="20"/>
  <c r="FN335" i="20"/>
  <c r="FD336" i="20"/>
  <c r="FI336" i="20"/>
  <c r="FN336" i="20"/>
  <c r="FD337" i="20"/>
  <c r="FI337" i="20"/>
  <c r="FN337" i="20"/>
  <c r="FD338" i="20"/>
  <c r="FI338" i="20"/>
  <c r="FN338" i="20"/>
  <c r="FD339" i="20"/>
  <c r="FI339" i="20"/>
  <c r="FN339" i="20"/>
  <c r="FD340" i="20"/>
  <c r="FI340" i="20"/>
  <c r="FN340" i="20"/>
  <c r="FD341" i="20"/>
  <c r="FI341" i="20"/>
  <c r="FN341" i="20"/>
  <c r="FD342" i="20"/>
  <c r="FI342" i="20"/>
  <c r="FN342" i="20"/>
  <c r="FD343" i="20"/>
  <c r="FI343" i="20"/>
  <c r="FN343" i="20"/>
  <c r="FD344" i="20"/>
  <c r="FI344" i="20"/>
  <c r="FN344" i="20"/>
  <c r="FD345" i="20"/>
  <c r="FI345" i="20"/>
  <c r="FN345" i="20"/>
  <c r="FD346" i="20"/>
  <c r="FI346" i="20"/>
  <c r="FN346" i="20"/>
  <c r="FD347" i="20"/>
  <c r="FI347" i="20"/>
  <c r="FN347" i="20"/>
  <c r="FD348" i="20"/>
  <c r="FI348" i="20"/>
  <c r="FN348" i="20"/>
  <c r="FD349" i="20"/>
  <c r="FI349" i="20"/>
  <c r="FN349" i="20"/>
  <c r="FD350" i="20"/>
  <c r="FI350" i="20"/>
  <c r="FN350" i="20"/>
  <c r="FD351" i="20"/>
  <c r="FI351" i="20"/>
  <c r="FN351" i="20"/>
  <c r="FD352" i="20"/>
  <c r="FI352" i="20"/>
  <c r="FN352" i="20"/>
  <c r="FD353" i="20"/>
  <c r="FI353" i="20"/>
  <c r="FN353" i="20"/>
  <c r="FD354" i="20"/>
  <c r="FI354" i="20"/>
  <c r="FN354" i="20"/>
  <c r="FD355" i="20"/>
  <c r="FI355" i="20"/>
  <c r="FN355" i="20"/>
  <c r="FD356" i="20"/>
  <c r="FI356" i="20"/>
  <c r="FN356" i="20"/>
  <c r="FD357" i="20"/>
  <c r="FI357" i="20"/>
  <c r="FN357" i="20"/>
  <c r="FD358" i="20"/>
  <c r="FI358" i="20"/>
  <c r="FN358" i="20"/>
  <c r="FD359" i="20"/>
  <c r="FI359" i="20"/>
  <c r="FN359" i="20"/>
  <c r="FD360" i="20"/>
  <c r="FI360" i="20"/>
  <c r="FN360" i="20"/>
  <c r="FD361" i="20"/>
  <c r="FI361" i="20"/>
  <c r="FN361" i="20"/>
  <c r="FD362" i="20"/>
  <c r="FI362" i="20"/>
  <c r="FN362" i="20"/>
  <c r="FD363" i="20"/>
  <c r="FI363" i="20"/>
  <c r="FN363" i="20"/>
  <c r="FD364" i="20"/>
  <c r="FI364" i="20"/>
  <c r="FN364" i="20"/>
  <c r="FD365" i="20"/>
  <c r="FI365" i="20"/>
  <c r="FN365" i="20"/>
  <c r="FD366" i="20"/>
  <c r="FI366" i="20"/>
  <c r="FN366" i="20"/>
  <c r="FD367" i="20"/>
  <c r="FI367" i="20"/>
  <c r="FN367" i="20"/>
  <c r="FD368" i="20"/>
  <c r="FI368" i="20"/>
  <c r="FN368" i="20"/>
  <c r="FD369" i="20"/>
  <c r="FI369" i="20"/>
  <c r="FN369" i="20"/>
  <c r="FD370" i="20"/>
  <c r="FI370" i="20"/>
  <c r="FN370" i="20"/>
  <c r="FD371" i="20"/>
  <c r="FI371" i="20"/>
  <c r="FN371" i="20"/>
  <c r="FD372" i="20"/>
  <c r="FI372" i="20"/>
  <c r="FN372" i="20"/>
  <c r="FD373" i="20"/>
  <c r="FI373" i="20"/>
  <c r="FN373" i="20"/>
  <c r="FD374" i="20"/>
  <c r="FI374" i="20"/>
  <c r="FN374" i="20"/>
  <c r="FD375" i="20"/>
  <c r="FI375" i="20"/>
  <c r="FN375" i="20"/>
  <c r="FD376" i="20"/>
  <c r="FI376" i="20"/>
  <c r="FN376" i="20"/>
  <c r="FD377" i="20"/>
  <c r="FI377" i="20"/>
  <c r="FN377" i="20"/>
  <c r="FD378" i="20"/>
  <c r="FI378" i="20"/>
  <c r="FN378" i="20"/>
  <c r="FD379" i="20"/>
  <c r="FI379" i="20"/>
  <c r="FN379" i="20"/>
  <c r="FD380" i="20"/>
  <c r="FI380" i="20"/>
  <c r="FN380" i="20"/>
  <c r="FD381" i="20"/>
  <c r="FI381" i="20"/>
  <c r="FN381" i="20"/>
  <c r="FD382" i="20"/>
  <c r="FI382" i="20"/>
  <c r="FN382" i="20"/>
  <c r="FD383" i="20"/>
  <c r="FI383" i="20"/>
  <c r="FN383" i="20"/>
  <c r="FD384" i="20"/>
  <c r="FI384" i="20"/>
  <c r="FN384" i="20"/>
  <c r="FD385" i="20"/>
  <c r="FI385" i="20"/>
  <c r="FN385" i="20"/>
  <c r="GE8" i="20"/>
  <c r="GF6" i="20" l="1"/>
  <c r="FK350" i="20"/>
  <c r="GE6" i="20"/>
  <c r="FV6" i="20"/>
  <c r="GC6" i="20"/>
  <c r="GD6" i="20"/>
  <c r="GB6" i="20"/>
  <c r="GA6" i="20"/>
  <c r="FZ6" i="20"/>
  <c r="FZ5" i="20"/>
  <c r="FX7" i="20"/>
  <c r="FX6" i="20"/>
  <c r="FY6" i="20"/>
  <c r="FW7" i="20"/>
  <c r="FW5" i="20"/>
  <c r="FW6" i="20"/>
  <c r="FP355" i="20"/>
  <c r="FQ373" i="20"/>
  <c r="FP349" i="20"/>
  <c r="FU6" i="20"/>
  <c r="FU5" i="20"/>
  <c r="FU7" i="20"/>
  <c r="FF347" i="20"/>
  <c r="FQ380" i="20"/>
  <c r="FF329" i="20"/>
  <c r="FG380" i="20"/>
  <c r="FG384" i="20"/>
  <c r="FQ382" i="20"/>
  <c r="FK355" i="20"/>
  <c r="FF355" i="20"/>
  <c r="GF5" i="20"/>
  <c r="GF7" i="20"/>
  <c r="GE7" i="20"/>
  <c r="GD7" i="20"/>
  <c r="FV7" i="20"/>
  <c r="FF327" i="20"/>
  <c r="FL350" i="20"/>
  <c r="FK341" i="20"/>
  <c r="FF382" i="20"/>
  <c r="FP367" i="20"/>
  <c r="FP351" i="20"/>
  <c r="FK338" i="20"/>
  <c r="FQ343" i="20"/>
  <c r="FK330" i="20"/>
  <c r="FK346" i="20"/>
  <c r="FP335" i="20"/>
  <c r="FK324" i="20"/>
  <c r="FK376" i="20"/>
  <c r="FK368" i="20"/>
  <c r="FK360" i="20"/>
  <c r="FK344" i="20"/>
  <c r="FK366" i="20"/>
  <c r="FK381" i="20"/>
  <c r="FL370" i="20"/>
  <c r="FP371" i="20"/>
  <c r="FL362" i="20"/>
  <c r="FF371" i="20"/>
  <c r="FL378" i="20"/>
  <c r="FG373" i="20"/>
  <c r="FL385" i="20"/>
  <c r="FF357" i="20"/>
  <c r="FF365" i="20"/>
  <c r="FP329" i="20"/>
  <c r="FQ384" i="20"/>
  <c r="FQ347" i="20"/>
  <c r="FP337" i="20"/>
  <c r="FG369" i="20"/>
  <c r="FF377" i="20"/>
  <c r="FF361" i="20"/>
  <c r="FG349" i="20"/>
  <c r="FF345" i="20"/>
  <c r="FF325" i="20"/>
  <c r="GE5" i="20"/>
  <c r="FG353" i="20"/>
  <c r="FL383" i="20"/>
  <c r="FL374" i="20"/>
  <c r="FL352" i="20"/>
  <c r="FF379" i="20"/>
  <c r="FQ363" i="20"/>
  <c r="FQ359" i="20"/>
  <c r="FP357" i="20"/>
  <c r="FG341" i="20"/>
  <c r="FF339" i="20"/>
  <c r="FK332" i="20"/>
  <c r="FP327" i="20"/>
  <c r="FP365" i="20"/>
  <c r="FK334" i="20"/>
  <c r="FQ385" i="20"/>
  <c r="FQ383" i="20"/>
  <c r="FL382" i="20"/>
  <c r="FL380" i="20"/>
  <c r="FL358" i="20"/>
  <c r="FQ339" i="20"/>
  <c r="FG385" i="20"/>
  <c r="FL384" i="20"/>
  <c r="FG383" i="20"/>
  <c r="FQ381" i="20"/>
  <c r="FG381" i="20"/>
  <c r="FQ379" i="20"/>
  <c r="FQ375" i="20"/>
  <c r="FL354" i="20"/>
  <c r="FP341" i="20"/>
  <c r="FF333" i="20"/>
  <c r="FF335" i="20"/>
  <c r="FP323" i="20"/>
  <c r="FF363" i="20"/>
  <c r="FP333" i="20"/>
  <c r="FL342" i="20"/>
  <c r="FF378" i="20"/>
  <c r="FG378" i="20"/>
  <c r="FP372" i="20"/>
  <c r="FQ372" i="20"/>
  <c r="FP336" i="20"/>
  <c r="FQ336" i="20"/>
  <c r="FK331" i="20"/>
  <c r="FL331" i="20"/>
  <c r="FQ377" i="20"/>
  <c r="FF376" i="20"/>
  <c r="FG376" i="20"/>
  <c r="FG375" i="20"/>
  <c r="FL373" i="20"/>
  <c r="FL372" i="20"/>
  <c r="FP370" i="20"/>
  <c r="FQ370" i="20"/>
  <c r="FQ369" i="20"/>
  <c r="FF368" i="20"/>
  <c r="FG368" i="20"/>
  <c r="FG367" i="20"/>
  <c r="FL365" i="20"/>
  <c r="FL364" i="20"/>
  <c r="FP362" i="20"/>
  <c r="FQ362" i="20"/>
  <c r="FQ361" i="20"/>
  <c r="FF360" i="20"/>
  <c r="FG360" i="20"/>
  <c r="FG359" i="20"/>
  <c r="FL357" i="20"/>
  <c r="FL356" i="20"/>
  <c r="FP354" i="20"/>
  <c r="FQ354" i="20"/>
  <c r="FQ353" i="20"/>
  <c r="FF352" i="20"/>
  <c r="FG352" i="20"/>
  <c r="FG351" i="20"/>
  <c r="FL349" i="20"/>
  <c r="FL348" i="20"/>
  <c r="FP346" i="20"/>
  <c r="FQ346" i="20"/>
  <c r="FQ345" i="20"/>
  <c r="FF344" i="20"/>
  <c r="FG344" i="20"/>
  <c r="FG343" i="20"/>
  <c r="FL340" i="20"/>
  <c r="FP338" i="20"/>
  <c r="FQ338" i="20"/>
  <c r="FK333" i="20"/>
  <c r="FL333" i="20"/>
  <c r="FF328" i="20"/>
  <c r="FG328" i="20"/>
  <c r="FL367" i="20"/>
  <c r="FF362" i="20"/>
  <c r="FG362" i="20"/>
  <c r="FP378" i="20"/>
  <c r="FQ378" i="20"/>
  <c r="FK336" i="20"/>
  <c r="FK335" i="20"/>
  <c r="FL335" i="20"/>
  <c r="FF331" i="20"/>
  <c r="FF330" i="20"/>
  <c r="FG330" i="20"/>
  <c r="FP325" i="20"/>
  <c r="FP324" i="20"/>
  <c r="FQ324" i="20"/>
  <c r="FP364" i="20"/>
  <c r="FQ364" i="20"/>
  <c r="FL359" i="20"/>
  <c r="FF374" i="20"/>
  <c r="FG374" i="20"/>
  <c r="FF358" i="20"/>
  <c r="FG358" i="20"/>
  <c r="FL355" i="20"/>
  <c r="FP352" i="20"/>
  <c r="FQ352" i="20"/>
  <c r="FK339" i="20"/>
  <c r="FL339" i="20"/>
  <c r="FK337" i="20"/>
  <c r="FL337" i="20"/>
  <c r="FF332" i="20"/>
  <c r="FG332" i="20"/>
  <c r="FP326" i="20"/>
  <c r="FQ326" i="20"/>
  <c r="FL379" i="20"/>
  <c r="FP376" i="20"/>
  <c r="FQ376" i="20"/>
  <c r="FP368" i="20"/>
  <c r="FQ368" i="20"/>
  <c r="FF366" i="20"/>
  <c r="FG366" i="20"/>
  <c r="FL363" i="20"/>
  <c r="FP360" i="20"/>
  <c r="FQ360" i="20"/>
  <c r="FF350" i="20"/>
  <c r="FG350" i="20"/>
  <c r="FL347" i="20"/>
  <c r="FP344" i="20"/>
  <c r="FQ344" i="20"/>
  <c r="FF342" i="20"/>
  <c r="FG342" i="20"/>
  <c r="FF334" i="20"/>
  <c r="FG334" i="20"/>
  <c r="FP328" i="20"/>
  <c r="FQ328" i="20"/>
  <c r="FK323" i="20"/>
  <c r="FL323" i="20"/>
  <c r="FF354" i="20"/>
  <c r="FG354" i="20"/>
  <c r="FP348" i="20"/>
  <c r="FQ348" i="20"/>
  <c r="FF346" i="20"/>
  <c r="FG346" i="20"/>
  <c r="FK329" i="20"/>
  <c r="FL329" i="20"/>
  <c r="FL371" i="20"/>
  <c r="FL377" i="20"/>
  <c r="FP374" i="20"/>
  <c r="FQ374" i="20"/>
  <c r="FF372" i="20"/>
  <c r="FG372" i="20"/>
  <c r="FL369" i="20"/>
  <c r="FP366" i="20"/>
  <c r="FQ366" i="20"/>
  <c r="FF364" i="20"/>
  <c r="FG364" i="20"/>
  <c r="FL361" i="20"/>
  <c r="FP358" i="20"/>
  <c r="FQ358" i="20"/>
  <c r="FF356" i="20"/>
  <c r="FG356" i="20"/>
  <c r="FL353" i="20"/>
  <c r="FP350" i="20"/>
  <c r="FQ350" i="20"/>
  <c r="FF348" i="20"/>
  <c r="FG348" i="20"/>
  <c r="FL345" i="20"/>
  <c r="FP342" i="20"/>
  <c r="FQ342" i="20"/>
  <c r="FF340" i="20"/>
  <c r="FG340" i="20"/>
  <c r="FF337" i="20"/>
  <c r="FF336" i="20"/>
  <c r="FG336" i="20"/>
  <c r="FP331" i="20"/>
  <c r="FP330" i="20"/>
  <c r="FQ330" i="20"/>
  <c r="FK326" i="20"/>
  <c r="FK325" i="20"/>
  <c r="FL325" i="20"/>
  <c r="FF338" i="20"/>
  <c r="FG338" i="20"/>
  <c r="FP332" i="20"/>
  <c r="FQ332" i="20"/>
  <c r="FK328" i="20"/>
  <c r="FK327" i="20"/>
  <c r="FL327" i="20"/>
  <c r="FF323" i="20"/>
  <c r="FL343" i="20"/>
  <c r="FP340" i="20"/>
  <c r="FQ340" i="20"/>
  <c r="FP334" i="20"/>
  <c r="FQ334" i="20"/>
  <c r="FF324" i="20"/>
  <c r="FG324" i="20"/>
  <c r="FL375" i="20"/>
  <c r="FF370" i="20"/>
  <c r="FG370" i="20"/>
  <c r="FP356" i="20"/>
  <c r="FQ356" i="20"/>
  <c r="FL351" i="20"/>
  <c r="FF326" i="20"/>
  <c r="FG326" i="20"/>
  <c r="AN339" i="15" l="1"/>
  <c r="AK339" i="15"/>
  <c r="AE339" i="15"/>
  <c r="AB339" i="15"/>
  <c r="P339" i="15"/>
  <c r="J339" i="15"/>
  <c r="G339" i="15"/>
  <c r="D339" i="15"/>
  <c r="M337" i="19" l="1"/>
  <c r="AN338" i="15"/>
  <c r="AK338" i="15"/>
  <c r="AE338" i="15"/>
  <c r="AB338" i="15"/>
  <c r="P338" i="15"/>
  <c r="J338" i="15"/>
  <c r="G338" i="15"/>
  <c r="D338" i="15"/>
  <c r="E337" i="31" l="1"/>
  <c r="F337" i="31" s="1"/>
  <c r="E338" i="31"/>
  <c r="F338" i="31" s="1"/>
  <c r="AC338" i="19" s="1"/>
  <c r="AP338" i="13"/>
  <c r="AH338" i="13"/>
  <c r="Z338" i="13"/>
  <c r="E336" i="17"/>
  <c r="K336" i="17"/>
  <c r="E337" i="17"/>
  <c r="E338" i="17"/>
  <c r="K338" i="17"/>
  <c r="E339" i="17"/>
  <c r="E340" i="17"/>
  <c r="K340" i="17"/>
  <c r="E341" i="17"/>
  <c r="K341" i="17"/>
  <c r="E342" i="17"/>
  <c r="K342" i="17"/>
  <c r="E343" i="17"/>
  <c r="K343" i="17"/>
  <c r="E344" i="17"/>
  <c r="K344" i="17"/>
  <c r="E345" i="17"/>
  <c r="E346" i="17"/>
  <c r="K346" i="17"/>
  <c r="E347" i="17"/>
  <c r="E348" i="17"/>
  <c r="K348" i="17"/>
  <c r="E349" i="17"/>
  <c r="K349" i="17"/>
  <c r="E350" i="17"/>
  <c r="K350" i="17"/>
  <c r="E351" i="17"/>
  <c r="K351" i="17"/>
  <c r="E352" i="17"/>
  <c r="K352" i="17"/>
  <c r="E353" i="17"/>
  <c r="E354" i="17"/>
  <c r="K354" i="17"/>
  <c r="E355" i="17"/>
  <c r="E356" i="17"/>
  <c r="K356" i="17"/>
  <c r="E357" i="17"/>
  <c r="K357" i="17"/>
  <c r="E358" i="17"/>
  <c r="K358" i="17"/>
  <c r="E359" i="17"/>
  <c r="K359" i="17"/>
  <c r="E360" i="17"/>
  <c r="K360" i="17"/>
  <c r="E361" i="17"/>
  <c r="E362" i="17"/>
  <c r="K362" i="17"/>
  <c r="E363" i="17"/>
  <c r="E364" i="17"/>
  <c r="K364" i="17"/>
  <c r="E365" i="17"/>
  <c r="K365" i="17"/>
  <c r="E366" i="17"/>
  <c r="K366" i="17"/>
  <c r="BK337" i="19"/>
  <c r="BK338" i="19"/>
  <c r="BO339" i="19"/>
  <c r="BK340" i="19"/>
  <c r="BK341" i="19"/>
  <c r="BO342" i="19"/>
  <c r="BK343" i="19"/>
  <c r="BO344" i="19"/>
  <c r="BK345" i="19"/>
  <c r="BK346" i="19"/>
  <c r="BK348" i="19"/>
  <c r="BK349" i="19"/>
  <c r="BO350" i="19"/>
  <c r="BO351" i="19"/>
  <c r="BO352" i="19"/>
  <c r="BK353" i="19"/>
  <c r="BK354" i="19"/>
  <c r="BO355" i="19"/>
  <c r="BK356" i="19"/>
  <c r="BK357" i="19"/>
  <c r="BO358" i="19"/>
  <c r="BK359" i="19"/>
  <c r="BO360" i="19"/>
  <c r="BK361" i="19"/>
  <c r="BK362" i="19"/>
  <c r="BO363" i="19"/>
  <c r="BK364" i="19"/>
  <c r="BK365" i="19"/>
  <c r="BO366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BO345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D339" i="19"/>
  <c r="AD340" i="19"/>
  <c r="AD341" i="19"/>
  <c r="AD342" i="19"/>
  <c r="AD343" i="19"/>
  <c r="AD344" i="19"/>
  <c r="AD345" i="19"/>
  <c r="AD346" i="19"/>
  <c r="AD347" i="19"/>
  <c r="AD348" i="19"/>
  <c r="AD349" i="19"/>
  <c r="AD350" i="19"/>
  <c r="AD351" i="19"/>
  <c r="AD352" i="19"/>
  <c r="AD353" i="19"/>
  <c r="AD354" i="19"/>
  <c r="AD355" i="19"/>
  <c r="AD356" i="19"/>
  <c r="AD357" i="19"/>
  <c r="AD358" i="19"/>
  <c r="AD359" i="19"/>
  <c r="AD360" i="19"/>
  <c r="AD361" i="19"/>
  <c r="AD362" i="19"/>
  <c r="AD363" i="19"/>
  <c r="AD364" i="19"/>
  <c r="AD365" i="19"/>
  <c r="AD366" i="19"/>
  <c r="AL338" i="19"/>
  <c r="AL339" i="19"/>
  <c r="AL340" i="19"/>
  <c r="AL341" i="19"/>
  <c r="AL342" i="19"/>
  <c r="AL343" i="19"/>
  <c r="AL344" i="19"/>
  <c r="AL345" i="19"/>
  <c r="CJ345" i="19" s="1"/>
  <c r="AL346" i="19"/>
  <c r="AL347" i="19"/>
  <c r="AL348" i="19"/>
  <c r="AL349" i="19"/>
  <c r="AL350" i="19"/>
  <c r="AL351" i="19"/>
  <c r="AL352" i="19"/>
  <c r="AL353" i="19"/>
  <c r="CJ353" i="19" s="1"/>
  <c r="AL354" i="19"/>
  <c r="AL355" i="19"/>
  <c r="AL356" i="19"/>
  <c r="AL357" i="19"/>
  <c r="AL358" i="19"/>
  <c r="AL359" i="19"/>
  <c r="AL360" i="19"/>
  <c r="AL361" i="19"/>
  <c r="CJ361" i="19" s="1"/>
  <c r="AL362" i="19"/>
  <c r="AL363" i="19"/>
  <c r="AL364" i="19"/>
  <c r="AL365" i="19"/>
  <c r="AL366" i="19"/>
  <c r="AN338" i="19"/>
  <c r="AN339" i="19"/>
  <c r="E339" i="14" s="1"/>
  <c r="AN340" i="19"/>
  <c r="AN341" i="19"/>
  <c r="AN342" i="19"/>
  <c r="AN343" i="19"/>
  <c r="AN344" i="19"/>
  <c r="E344" i="14" s="1"/>
  <c r="AN345" i="19"/>
  <c r="AN346" i="19"/>
  <c r="AN347" i="19"/>
  <c r="E347" i="14" s="1"/>
  <c r="AN348" i="19"/>
  <c r="AN349" i="19"/>
  <c r="AN350" i="19"/>
  <c r="AN351" i="19"/>
  <c r="E351" i="14" s="1"/>
  <c r="AN352" i="19"/>
  <c r="E352" i="14" s="1"/>
  <c r="AN353" i="19"/>
  <c r="AN354" i="19"/>
  <c r="AN355" i="19"/>
  <c r="AN356" i="19"/>
  <c r="AN357" i="19"/>
  <c r="AN358" i="19"/>
  <c r="AN359" i="19"/>
  <c r="E359" i="14" s="1"/>
  <c r="AN360" i="19"/>
  <c r="E360" i="14" s="1"/>
  <c r="AN361" i="19"/>
  <c r="E361" i="14" s="1"/>
  <c r="AN362" i="19"/>
  <c r="AN363" i="19"/>
  <c r="AN364" i="19"/>
  <c r="AN365" i="19"/>
  <c r="AN366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X338" i="19"/>
  <c r="M338" i="14" s="1"/>
  <c r="AX339" i="19"/>
  <c r="M339" i="14" s="1"/>
  <c r="AX340" i="19"/>
  <c r="M340" i="14" s="1"/>
  <c r="AX341" i="19"/>
  <c r="M341" i="14" s="1"/>
  <c r="AX342" i="19"/>
  <c r="M342" i="14" s="1"/>
  <c r="AX343" i="19"/>
  <c r="M343" i="14" s="1"/>
  <c r="AX344" i="19"/>
  <c r="M344" i="14" s="1"/>
  <c r="AX345" i="19"/>
  <c r="M345" i="14" s="1"/>
  <c r="AX346" i="19"/>
  <c r="M346" i="14" s="1"/>
  <c r="AX347" i="19"/>
  <c r="M347" i="14" s="1"/>
  <c r="AX348" i="19"/>
  <c r="M348" i="14" s="1"/>
  <c r="AX349" i="19"/>
  <c r="M349" i="14" s="1"/>
  <c r="AX350" i="19"/>
  <c r="M350" i="14" s="1"/>
  <c r="AX351" i="19"/>
  <c r="M351" i="14" s="1"/>
  <c r="AX352" i="19"/>
  <c r="M352" i="14" s="1"/>
  <c r="AX353" i="19"/>
  <c r="M353" i="14" s="1"/>
  <c r="AX354" i="19"/>
  <c r="M354" i="14" s="1"/>
  <c r="AX355" i="19"/>
  <c r="M355" i="14" s="1"/>
  <c r="AX356" i="19"/>
  <c r="M356" i="14" s="1"/>
  <c r="AX357" i="19"/>
  <c r="M357" i="14" s="1"/>
  <c r="AX358" i="19"/>
  <c r="M358" i="14" s="1"/>
  <c r="AX359" i="19"/>
  <c r="M359" i="14" s="1"/>
  <c r="AX360" i="19"/>
  <c r="M360" i="14" s="1"/>
  <c r="AX361" i="19"/>
  <c r="M361" i="14" s="1"/>
  <c r="AX362" i="19"/>
  <c r="M362" i="14" s="1"/>
  <c r="AX363" i="19"/>
  <c r="M363" i="14" s="1"/>
  <c r="AX364" i="19"/>
  <c r="M364" i="14" s="1"/>
  <c r="AX365" i="19"/>
  <c r="M365" i="14" s="1"/>
  <c r="AX366" i="19"/>
  <c r="M366" i="14" s="1"/>
  <c r="BQ338" i="19"/>
  <c r="BQ339" i="19"/>
  <c r="BQ340" i="19"/>
  <c r="BQ341" i="19"/>
  <c r="BQ342" i="19"/>
  <c r="BQ343" i="19"/>
  <c r="BQ344" i="19"/>
  <c r="BQ345" i="19"/>
  <c r="BQ346" i="19"/>
  <c r="BQ347" i="19"/>
  <c r="BQ348" i="19"/>
  <c r="BQ349" i="19"/>
  <c r="BQ350" i="19"/>
  <c r="BQ351" i="19"/>
  <c r="BQ352" i="19"/>
  <c r="BQ354" i="19"/>
  <c r="BQ355" i="19"/>
  <c r="BQ356" i="19"/>
  <c r="BQ357" i="19"/>
  <c r="BQ358" i="19"/>
  <c r="BQ359" i="19"/>
  <c r="BQ360" i="19"/>
  <c r="BQ361" i="19"/>
  <c r="BQ362" i="19"/>
  <c r="BQ363" i="19"/>
  <c r="BQ364" i="19"/>
  <c r="BQ365" i="19"/>
  <c r="BQ366" i="19"/>
  <c r="BR338" i="19"/>
  <c r="BR339" i="19"/>
  <c r="BR340" i="19"/>
  <c r="BR341" i="19"/>
  <c r="BR342" i="19"/>
  <c r="BR343" i="19"/>
  <c r="BR344" i="19"/>
  <c r="BR345" i="19"/>
  <c r="BR346" i="19"/>
  <c r="BR347" i="19"/>
  <c r="BR348" i="19"/>
  <c r="BR349" i="19"/>
  <c r="BR350" i="19"/>
  <c r="BR351" i="19"/>
  <c r="BR352" i="19"/>
  <c r="BR353" i="19"/>
  <c r="BR354" i="19"/>
  <c r="BR355" i="19"/>
  <c r="BR356" i="19"/>
  <c r="BR357" i="19"/>
  <c r="BR358" i="19"/>
  <c r="BR359" i="19"/>
  <c r="BR360" i="19"/>
  <c r="BR361" i="19"/>
  <c r="BR362" i="19"/>
  <c r="BR363" i="19"/>
  <c r="BR364" i="19"/>
  <c r="BR365" i="19"/>
  <c r="BR366" i="19"/>
  <c r="BS338" i="19"/>
  <c r="BS339" i="19"/>
  <c r="BS340" i="19"/>
  <c r="BS341" i="19"/>
  <c r="BS342" i="19"/>
  <c r="BS343" i="19"/>
  <c r="BS344" i="19"/>
  <c r="BS345" i="19"/>
  <c r="BS346" i="19"/>
  <c r="BS347" i="19"/>
  <c r="BS348" i="19"/>
  <c r="BS349" i="19"/>
  <c r="BS350" i="19"/>
  <c r="BS351" i="19"/>
  <c r="BS352" i="19"/>
  <c r="BS353" i="19"/>
  <c r="BS354" i="19"/>
  <c r="BS355" i="19"/>
  <c r="BS356" i="19"/>
  <c r="BS357" i="19"/>
  <c r="BS358" i="19"/>
  <c r="BS359" i="19"/>
  <c r="BS360" i="19"/>
  <c r="BS361" i="19"/>
  <c r="BS362" i="19"/>
  <c r="BS363" i="19"/>
  <c r="BS364" i="19"/>
  <c r="BS365" i="19"/>
  <c r="BS366" i="19"/>
  <c r="BZ338" i="19"/>
  <c r="BZ339" i="19"/>
  <c r="BZ340" i="19"/>
  <c r="BZ341" i="19"/>
  <c r="BZ342" i="19"/>
  <c r="BZ343" i="19"/>
  <c r="BZ344" i="19"/>
  <c r="BZ345" i="19"/>
  <c r="BZ346" i="19"/>
  <c r="BZ347" i="19"/>
  <c r="BZ348" i="19"/>
  <c r="BZ349" i="19"/>
  <c r="BZ350" i="19"/>
  <c r="BZ351" i="19"/>
  <c r="BZ352" i="19"/>
  <c r="BZ353" i="19"/>
  <c r="BZ354" i="19"/>
  <c r="BZ355" i="19"/>
  <c r="BZ356" i="19"/>
  <c r="BZ357" i="19"/>
  <c r="BZ358" i="19"/>
  <c r="BZ359" i="19"/>
  <c r="BZ360" i="19"/>
  <c r="BZ361" i="19"/>
  <c r="BZ362" i="19"/>
  <c r="BZ363" i="19"/>
  <c r="BZ364" i="19"/>
  <c r="BZ365" i="19"/>
  <c r="BZ366" i="19"/>
  <c r="CA338" i="19"/>
  <c r="CA339" i="19"/>
  <c r="CA340" i="19"/>
  <c r="CA341" i="19"/>
  <c r="CA342" i="19"/>
  <c r="CA343" i="19"/>
  <c r="CA344" i="19"/>
  <c r="CA345" i="19"/>
  <c r="CA346" i="19"/>
  <c r="CA347" i="19"/>
  <c r="CA348" i="19"/>
  <c r="CA349" i="19"/>
  <c r="CA350" i="19"/>
  <c r="CA351" i="19"/>
  <c r="CA352" i="19"/>
  <c r="CA353" i="19"/>
  <c r="CA354" i="19"/>
  <c r="CA355" i="19"/>
  <c r="CA356" i="19"/>
  <c r="CA357" i="19"/>
  <c r="CA358" i="19"/>
  <c r="CA359" i="19"/>
  <c r="CA360" i="19"/>
  <c r="CA361" i="19"/>
  <c r="CA362" i="19"/>
  <c r="CA363" i="19"/>
  <c r="CA364" i="19"/>
  <c r="CA365" i="19"/>
  <c r="CA366" i="19"/>
  <c r="CB338" i="19"/>
  <c r="CB339" i="19"/>
  <c r="CB340" i="19"/>
  <c r="CB341" i="19"/>
  <c r="CB342" i="19"/>
  <c r="CB343" i="19"/>
  <c r="CB344" i="19"/>
  <c r="CB345" i="19"/>
  <c r="CB346" i="19"/>
  <c r="CB347" i="19"/>
  <c r="CB348" i="19"/>
  <c r="CB349" i="19"/>
  <c r="CB350" i="19"/>
  <c r="CB351" i="19"/>
  <c r="CB352" i="19"/>
  <c r="CB353" i="19"/>
  <c r="CB354" i="19"/>
  <c r="CB355" i="19"/>
  <c r="CB356" i="19"/>
  <c r="CB357" i="19"/>
  <c r="CB358" i="19"/>
  <c r="CB359" i="19"/>
  <c r="CB360" i="19"/>
  <c r="CB361" i="19"/>
  <c r="CB362" i="19"/>
  <c r="CB363" i="19"/>
  <c r="CB364" i="19"/>
  <c r="CB365" i="19"/>
  <c r="CB366" i="19"/>
  <c r="CC338" i="19"/>
  <c r="CC339" i="19"/>
  <c r="CC340" i="19"/>
  <c r="CC341" i="19"/>
  <c r="CC342" i="19"/>
  <c r="CC343" i="19"/>
  <c r="CC344" i="19"/>
  <c r="CC345" i="19"/>
  <c r="CC346" i="19"/>
  <c r="CC347" i="19"/>
  <c r="CC348" i="19"/>
  <c r="CC349" i="19"/>
  <c r="CC350" i="19"/>
  <c r="CC351" i="19"/>
  <c r="CC352" i="19"/>
  <c r="CC353" i="19"/>
  <c r="CC354" i="19"/>
  <c r="CC355" i="19"/>
  <c r="CC356" i="19"/>
  <c r="CC357" i="19"/>
  <c r="CC358" i="19"/>
  <c r="CC359" i="19"/>
  <c r="CC360" i="19"/>
  <c r="CC361" i="19"/>
  <c r="CC362" i="19"/>
  <c r="CC363" i="19"/>
  <c r="CC364" i="19"/>
  <c r="CC365" i="19"/>
  <c r="CC366" i="19"/>
  <c r="CD338" i="19"/>
  <c r="CD339" i="19"/>
  <c r="CD340" i="19"/>
  <c r="CD341" i="19"/>
  <c r="CD342" i="19"/>
  <c r="CD343" i="19"/>
  <c r="CD344" i="19"/>
  <c r="CD345" i="19"/>
  <c r="CD346" i="19"/>
  <c r="CD347" i="19"/>
  <c r="CD348" i="19"/>
  <c r="CD349" i="19"/>
  <c r="CD350" i="19"/>
  <c r="CD351" i="19"/>
  <c r="CD352" i="19"/>
  <c r="CD353" i="19"/>
  <c r="CD354" i="19"/>
  <c r="CD355" i="19"/>
  <c r="CD356" i="19"/>
  <c r="CD357" i="19"/>
  <c r="CD358" i="19"/>
  <c r="CD359" i="19"/>
  <c r="CD360" i="19"/>
  <c r="CD361" i="19"/>
  <c r="CD362" i="19"/>
  <c r="CD363" i="19"/>
  <c r="CD364" i="19"/>
  <c r="CD365" i="19"/>
  <c r="CD366" i="19"/>
  <c r="CE338" i="19"/>
  <c r="CE339" i="19"/>
  <c r="CE340" i="19"/>
  <c r="CE341" i="19"/>
  <c r="CE342" i="19"/>
  <c r="CE343" i="19"/>
  <c r="CE344" i="19"/>
  <c r="CE345" i="19"/>
  <c r="CE346" i="19"/>
  <c r="CE347" i="19"/>
  <c r="CE348" i="19"/>
  <c r="CE349" i="19"/>
  <c r="CE350" i="19"/>
  <c r="CE351" i="19"/>
  <c r="CE352" i="19"/>
  <c r="CE353" i="19"/>
  <c r="CE354" i="19"/>
  <c r="CE355" i="19"/>
  <c r="CE356" i="19"/>
  <c r="CE357" i="19"/>
  <c r="CE358" i="19"/>
  <c r="CE359" i="19"/>
  <c r="CE360" i="19"/>
  <c r="CE361" i="19"/>
  <c r="CE362" i="19"/>
  <c r="CE363" i="19"/>
  <c r="CE364" i="19"/>
  <c r="CE365" i="19"/>
  <c r="CE366" i="19"/>
  <c r="CF338" i="19"/>
  <c r="CF339" i="19"/>
  <c r="CF340" i="19"/>
  <c r="CF341" i="19"/>
  <c r="CF342" i="19"/>
  <c r="CF343" i="19"/>
  <c r="CF344" i="19"/>
  <c r="CF345" i="19"/>
  <c r="CF346" i="19"/>
  <c r="CF347" i="19"/>
  <c r="CF348" i="19"/>
  <c r="CF349" i="19"/>
  <c r="CF350" i="19"/>
  <c r="CF351" i="19"/>
  <c r="CF352" i="19"/>
  <c r="CF353" i="19"/>
  <c r="CF354" i="19"/>
  <c r="CF355" i="19"/>
  <c r="CF356" i="19"/>
  <c r="CF357" i="19"/>
  <c r="CF358" i="19"/>
  <c r="CF359" i="19"/>
  <c r="CF360" i="19"/>
  <c r="CF361" i="19"/>
  <c r="CF362" i="19"/>
  <c r="CF363" i="19"/>
  <c r="CF364" i="19"/>
  <c r="CF365" i="19"/>
  <c r="CF366" i="19"/>
  <c r="CG338" i="19"/>
  <c r="CG339" i="19"/>
  <c r="CG340" i="19"/>
  <c r="CG341" i="19"/>
  <c r="CG342" i="19"/>
  <c r="CG343" i="19"/>
  <c r="CG344" i="19"/>
  <c r="CG345" i="19"/>
  <c r="CG346" i="19"/>
  <c r="CG347" i="19"/>
  <c r="CG348" i="19"/>
  <c r="CG349" i="19"/>
  <c r="CG350" i="19"/>
  <c r="CG351" i="19"/>
  <c r="CG352" i="19"/>
  <c r="CG353" i="19"/>
  <c r="CG354" i="19"/>
  <c r="CG355" i="19"/>
  <c r="CG356" i="19"/>
  <c r="CG357" i="19"/>
  <c r="CG358" i="19"/>
  <c r="CG359" i="19"/>
  <c r="CG360" i="19"/>
  <c r="CG361" i="19"/>
  <c r="CG362" i="19"/>
  <c r="CG363" i="19"/>
  <c r="CG364" i="19"/>
  <c r="CG365" i="19"/>
  <c r="CG366" i="19"/>
  <c r="CH338" i="19"/>
  <c r="CH339" i="19"/>
  <c r="CH340" i="19"/>
  <c r="CH341" i="19"/>
  <c r="CH342" i="19"/>
  <c r="CH343" i="19"/>
  <c r="CH344" i="19"/>
  <c r="CH345" i="19"/>
  <c r="CH346" i="19"/>
  <c r="CH347" i="19"/>
  <c r="CH348" i="19"/>
  <c r="CH349" i="19"/>
  <c r="CH350" i="19"/>
  <c r="CH351" i="19"/>
  <c r="CH352" i="19"/>
  <c r="CH353" i="19"/>
  <c r="CH354" i="19"/>
  <c r="CH355" i="19"/>
  <c r="CH356" i="19"/>
  <c r="CH357" i="19"/>
  <c r="CH358" i="19"/>
  <c r="CH359" i="19"/>
  <c r="CH360" i="19"/>
  <c r="CH361" i="19"/>
  <c r="CH362" i="19"/>
  <c r="CH363" i="19"/>
  <c r="CH364" i="19"/>
  <c r="CH365" i="19"/>
  <c r="CH366" i="19"/>
  <c r="CI338" i="19"/>
  <c r="CI339" i="19"/>
  <c r="CI340" i="19"/>
  <c r="CI341" i="19"/>
  <c r="CI342" i="19"/>
  <c r="CI343" i="19"/>
  <c r="CI344" i="19"/>
  <c r="CI345" i="19"/>
  <c r="CI346" i="19"/>
  <c r="CI347" i="19"/>
  <c r="CI348" i="19"/>
  <c r="CI349" i="19"/>
  <c r="CI350" i="19"/>
  <c r="CI351" i="19"/>
  <c r="CI352" i="19"/>
  <c r="CI353" i="19"/>
  <c r="CI354" i="19"/>
  <c r="CI355" i="19"/>
  <c r="CI356" i="19"/>
  <c r="CI357" i="19"/>
  <c r="CI358" i="19"/>
  <c r="CI359" i="19"/>
  <c r="CI360" i="19"/>
  <c r="CI361" i="19"/>
  <c r="CI362" i="19"/>
  <c r="CI363" i="19"/>
  <c r="CI364" i="19"/>
  <c r="CI365" i="19"/>
  <c r="CI366" i="19"/>
  <c r="BX370" i="24"/>
  <c r="BW370" i="24"/>
  <c r="BV370" i="24"/>
  <c r="BU370" i="24"/>
  <c r="BT370" i="24"/>
  <c r="BS370" i="24"/>
  <c r="BR370" i="24"/>
  <c r="BQ370" i="24"/>
  <c r="BP370" i="24"/>
  <c r="BO370" i="24"/>
  <c r="BN370" i="24"/>
  <c r="BM370" i="24"/>
  <c r="BL370" i="24"/>
  <c r="BK370" i="24"/>
  <c r="BJ370" i="24"/>
  <c r="BI370" i="24"/>
  <c r="BH370" i="24"/>
  <c r="BG370" i="24"/>
  <c r="BF370" i="24"/>
  <c r="BE370" i="24"/>
  <c r="BD370" i="24"/>
  <c r="BC370" i="24"/>
  <c r="BB370" i="24"/>
  <c r="BA370" i="24"/>
  <c r="AY370" i="24"/>
  <c r="AX370" i="24"/>
  <c r="AW370" i="24"/>
  <c r="AV370" i="24"/>
  <c r="AU370" i="24"/>
  <c r="AT370" i="24"/>
  <c r="AS370" i="24"/>
  <c r="AR370" i="24"/>
  <c r="AQ370" i="24"/>
  <c r="AP370" i="24"/>
  <c r="AO370" i="24"/>
  <c r="AN370" i="24"/>
  <c r="AM370" i="24"/>
  <c r="AL370" i="24"/>
  <c r="AK370" i="24"/>
  <c r="AJ370" i="24"/>
  <c r="AI370" i="24"/>
  <c r="AH370" i="24"/>
  <c r="AG370" i="24"/>
  <c r="AF370" i="24"/>
  <c r="AE370" i="24"/>
  <c r="AD370" i="24"/>
  <c r="AC370" i="24"/>
  <c r="AB370" i="24"/>
  <c r="BX369" i="24"/>
  <c r="BW369" i="24"/>
  <c r="BV369" i="24"/>
  <c r="BU369" i="24"/>
  <c r="BT369" i="24"/>
  <c r="BS369" i="24"/>
  <c r="BR369" i="24"/>
  <c r="BQ369" i="24"/>
  <c r="BP369" i="24"/>
  <c r="BO369" i="24"/>
  <c r="BN369" i="24"/>
  <c r="BM369" i="24"/>
  <c r="BL369" i="24"/>
  <c r="BK369" i="24"/>
  <c r="BJ369" i="24"/>
  <c r="BI369" i="24"/>
  <c r="BH369" i="24"/>
  <c r="BG369" i="24"/>
  <c r="BF369" i="24"/>
  <c r="BE369" i="24"/>
  <c r="BD369" i="24"/>
  <c r="BC369" i="24"/>
  <c r="BB369" i="24"/>
  <c r="BA369" i="24"/>
  <c r="AY369" i="24"/>
  <c r="AX369" i="24"/>
  <c r="AW369" i="24"/>
  <c r="AV369" i="24"/>
  <c r="AU369" i="24"/>
  <c r="AT369" i="24"/>
  <c r="AS369" i="24"/>
  <c r="AR369" i="24"/>
  <c r="AQ369" i="24"/>
  <c r="AP369" i="24"/>
  <c r="AO369" i="24"/>
  <c r="AN369" i="24"/>
  <c r="AM369" i="24"/>
  <c r="AL369" i="24"/>
  <c r="AK369" i="24"/>
  <c r="AJ369" i="24"/>
  <c r="AI369" i="24"/>
  <c r="AH369" i="24"/>
  <c r="AG369" i="24"/>
  <c r="AF369" i="24"/>
  <c r="AE369" i="24"/>
  <c r="AD369" i="24"/>
  <c r="AC369" i="24"/>
  <c r="AB369" i="24"/>
  <c r="BX368" i="24"/>
  <c r="BW368" i="24"/>
  <c r="BV368" i="24"/>
  <c r="BU368" i="24"/>
  <c r="BT368" i="24"/>
  <c r="BS368" i="24"/>
  <c r="BR368" i="24"/>
  <c r="BQ368" i="24"/>
  <c r="BP368" i="24"/>
  <c r="BO368" i="24"/>
  <c r="BN368" i="24"/>
  <c r="BM368" i="24"/>
  <c r="BL368" i="24"/>
  <c r="BK368" i="24"/>
  <c r="BJ368" i="24"/>
  <c r="BI368" i="24"/>
  <c r="BH368" i="24"/>
  <c r="BG368" i="24"/>
  <c r="BF368" i="24"/>
  <c r="BE368" i="24"/>
  <c r="BD368" i="24"/>
  <c r="BC368" i="24"/>
  <c r="BB368" i="24"/>
  <c r="BA368" i="24"/>
  <c r="AY368" i="24"/>
  <c r="AX368" i="24"/>
  <c r="AW368" i="24"/>
  <c r="AV368" i="24"/>
  <c r="AU368" i="24"/>
  <c r="AT368" i="24"/>
  <c r="AS368" i="24"/>
  <c r="AR368" i="24"/>
  <c r="AQ368" i="24"/>
  <c r="AP368" i="24"/>
  <c r="AO368" i="24"/>
  <c r="AN368" i="24"/>
  <c r="AM368" i="24"/>
  <c r="AL368" i="24"/>
  <c r="AK368" i="24"/>
  <c r="AJ368" i="24"/>
  <c r="AI368" i="24"/>
  <c r="AH368" i="24"/>
  <c r="AG368" i="24"/>
  <c r="AF368" i="24"/>
  <c r="AE368" i="24"/>
  <c r="AD368" i="24"/>
  <c r="AC368" i="24"/>
  <c r="AB368" i="24"/>
  <c r="BX367" i="24"/>
  <c r="BW367" i="24"/>
  <c r="BV367" i="24"/>
  <c r="BU367" i="24"/>
  <c r="BT367" i="24"/>
  <c r="BS367" i="24"/>
  <c r="BR367" i="24"/>
  <c r="BQ367" i="24"/>
  <c r="BP367" i="24"/>
  <c r="BO367" i="24"/>
  <c r="BN367" i="24"/>
  <c r="BM367" i="24"/>
  <c r="BL367" i="24"/>
  <c r="BK367" i="24"/>
  <c r="BJ367" i="24"/>
  <c r="BI367" i="24"/>
  <c r="BH367" i="24"/>
  <c r="BG367" i="24"/>
  <c r="BF367" i="24"/>
  <c r="BE367" i="24"/>
  <c r="BD367" i="24"/>
  <c r="BC367" i="24"/>
  <c r="BB367" i="24"/>
  <c r="BA367" i="24"/>
  <c r="AY367" i="24"/>
  <c r="AX367" i="24"/>
  <c r="AW367" i="24"/>
  <c r="AV367" i="24"/>
  <c r="AU367" i="24"/>
  <c r="AT367" i="24"/>
  <c r="AS367" i="24"/>
  <c r="AR367" i="24"/>
  <c r="AQ367" i="24"/>
  <c r="AP367" i="24"/>
  <c r="AO367" i="24"/>
  <c r="AN367" i="24"/>
  <c r="AM367" i="24"/>
  <c r="AL367" i="24"/>
  <c r="AK367" i="24"/>
  <c r="AJ367" i="24"/>
  <c r="AI367" i="24"/>
  <c r="AH367" i="24"/>
  <c r="AG367" i="24"/>
  <c r="AF367" i="24"/>
  <c r="AE367" i="24"/>
  <c r="AD367" i="24"/>
  <c r="AC367" i="24"/>
  <c r="AB367" i="24"/>
  <c r="BX366" i="24"/>
  <c r="BW366" i="24"/>
  <c r="BV366" i="24"/>
  <c r="BU366" i="24"/>
  <c r="BT366" i="24"/>
  <c r="BS366" i="24"/>
  <c r="BR366" i="24"/>
  <c r="BQ366" i="24"/>
  <c r="BP366" i="24"/>
  <c r="BO366" i="24"/>
  <c r="BN366" i="24"/>
  <c r="BM366" i="24"/>
  <c r="BL366" i="24"/>
  <c r="BK366" i="24"/>
  <c r="BJ366" i="24"/>
  <c r="BI366" i="24"/>
  <c r="BH366" i="24"/>
  <c r="BG366" i="24"/>
  <c r="BF366" i="24"/>
  <c r="BE366" i="24"/>
  <c r="BD366" i="24"/>
  <c r="BC366" i="24"/>
  <c r="BB366" i="24"/>
  <c r="BA366" i="24"/>
  <c r="AY366" i="24"/>
  <c r="AX366" i="24"/>
  <c r="AW366" i="24"/>
  <c r="AV366" i="24"/>
  <c r="AU366" i="24"/>
  <c r="AT366" i="24"/>
  <c r="AS366" i="24"/>
  <c r="AR366" i="24"/>
  <c r="AQ366" i="24"/>
  <c r="AP366" i="24"/>
  <c r="AO366" i="24"/>
  <c r="AN366" i="24"/>
  <c r="AM366" i="24"/>
  <c r="AL366" i="24"/>
  <c r="AK366" i="24"/>
  <c r="AJ366" i="24"/>
  <c r="AI366" i="24"/>
  <c r="AH366" i="24"/>
  <c r="AG366" i="24"/>
  <c r="AF366" i="24"/>
  <c r="AE366" i="24"/>
  <c r="AD366" i="24"/>
  <c r="AC366" i="24"/>
  <c r="AB366" i="24"/>
  <c r="BX365" i="24"/>
  <c r="BW365" i="24"/>
  <c r="BV365" i="24"/>
  <c r="BU365" i="24"/>
  <c r="BT365" i="24"/>
  <c r="BS365" i="24"/>
  <c r="BR365" i="24"/>
  <c r="BQ365" i="24"/>
  <c r="BP365" i="24"/>
  <c r="BO365" i="24"/>
  <c r="BN365" i="24"/>
  <c r="BM365" i="24"/>
  <c r="BL365" i="24"/>
  <c r="BK365" i="24"/>
  <c r="BJ365" i="24"/>
  <c r="BI365" i="24"/>
  <c r="BH365" i="24"/>
  <c r="BG365" i="24"/>
  <c r="BF365" i="24"/>
  <c r="BE365" i="24"/>
  <c r="BD365" i="24"/>
  <c r="BC365" i="24"/>
  <c r="BB365" i="24"/>
  <c r="BA365" i="24"/>
  <c r="AY365" i="24"/>
  <c r="AX365" i="24"/>
  <c r="AW365" i="24"/>
  <c r="AV365" i="24"/>
  <c r="AU365" i="24"/>
  <c r="AT365" i="24"/>
  <c r="AS365" i="24"/>
  <c r="AR365" i="24"/>
  <c r="AQ365" i="24"/>
  <c r="AP365" i="24"/>
  <c r="AO365" i="24"/>
  <c r="AN365" i="24"/>
  <c r="AM365" i="24"/>
  <c r="AL365" i="24"/>
  <c r="AK365" i="24"/>
  <c r="AJ365" i="24"/>
  <c r="AI365" i="24"/>
  <c r="AH365" i="24"/>
  <c r="AG365" i="24"/>
  <c r="AF365" i="24"/>
  <c r="AE365" i="24"/>
  <c r="AD365" i="24"/>
  <c r="AC365" i="24"/>
  <c r="AB365" i="24"/>
  <c r="BX364" i="24"/>
  <c r="BW364" i="24"/>
  <c r="BV364" i="24"/>
  <c r="BU364" i="24"/>
  <c r="BT364" i="24"/>
  <c r="BS364" i="24"/>
  <c r="BR364" i="24"/>
  <c r="BQ364" i="24"/>
  <c r="BP364" i="24"/>
  <c r="BO364" i="24"/>
  <c r="BN364" i="24"/>
  <c r="BM364" i="24"/>
  <c r="BL364" i="24"/>
  <c r="BK364" i="24"/>
  <c r="BJ364" i="24"/>
  <c r="BI364" i="24"/>
  <c r="BH364" i="24"/>
  <c r="BG364" i="24"/>
  <c r="BF364" i="24"/>
  <c r="BE364" i="24"/>
  <c r="BD364" i="24"/>
  <c r="BC364" i="24"/>
  <c r="BB364" i="24"/>
  <c r="BA364" i="24"/>
  <c r="AY364" i="24"/>
  <c r="AX364" i="24"/>
  <c r="AW364" i="24"/>
  <c r="AV364" i="24"/>
  <c r="AU364" i="24"/>
  <c r="AS364" i="24"/>
  <c r="AR364" i="24"/>
  <c r="AQ364" i="24"/>
  <c r="AP364" i="24"/>
  <c r="AO364" i="24"/>
  <c r="AN364" i="24"/>
  <c r="AM364" i="24"/>
  <c r="AL364" i="24"/>
  <c r="AK364" i="24"/>
  <c r="AJ364" i="24"/>
  <c r="AI364" i="24"/>
  <c r="AH364" i="24"/>
  <c r="AG364" i="24"/>
  <c r="AF364" i="24"/>
  <c r="AE364" i="24"/>
  <c r="AD364" i="24"/>
  <c r="AC364" i="24"/>
  <c r="AB364" i="24"/>
  <c r="BX363" i="24"/>
  <c r="BW363" i="24"/>
  <c r="BV363" i="24"/>
  <c r="BU363" i="24"/>
  <c r="BT363" i="24"/>
  <c r="BS363" i="24"/>
  <c r="BR363" i="24"/>
  <c r="BQ363" i="24"/>
  <c r="BP363" i="24"/>
  <c r="BO363" i="24"/>
  <c r="BN363" i="24"/>
  <c r="BM363" i="24"/>
  <c r="BL363" i="24"/>
  <c r="BK363" i="24"/>
  <c r="BJ363" i="24"/>
  <c r="BI363" i="24"/>
  <c r="BH363" i="24"/>
  <c r="BG363" i="24"/>
  <c r="BF363" i="24"/>
  <c r="BE363" i="24"/>
  <c r="BD363" i="24"/>
  <c r="BC363" i="24"/>
  <c r="BB363" i="24"/>
  <c r="BA363" i="24"/>
  <c r="AY363" i="24"/>
  <c r="AX363" i="24"/>
  <c r="AW363" i="24"/>
  <c r="AV363" i="24"/>
  <c r="AU363" i="24"/>
  <c r="AT363" i="24"/>
  <c r="AS363" i="24"/>
  <c r="AR363" i="24"/>
  <c r="AQ363" i="24"/>
  <c r="AP363" i="24"/>
  <c r="AO363" i="24"/>
  <c r="AN363" i="24"/>
  <c r="AM363" i="24"/>
  <c r="AL363" i="24"/>
  <c r="AK363" i="24"/>
  <c r="AJ363" i="24"/>
  <c r="AI363" i="24"/>
  <c r="AH363" i="24"/>
  <c r="AG363" i="24"/>
  <c r="AF363" i="24"/>
  <c r="AE363" i="24"/>
  <c r="AD363" i="24"/>
  <c r="AC363" i="24"/>
  <c r="AB363" i="24"/>
  <c r="BX362" i="24"/>
  <c r="BW362" i="24"/>
  <c r="BV362" i="24"/>
  <c r="BU362" i="24"/>
  <c r="BT362" i="24"/>
  <c r="BS362" i="24"/>
  <c r="BR362" i="24"/>
  <c r="BQ362" i="24"/>
  <c r="BP362" i="24"/>
  <c r="BO362" i="24"/>
  <c r="BN362" i="24"/>
  <c r="BM362" i="24"/>
  <c r="BL362" i="24"/>
  <c r="BK362" i="24"/>
  <c r="BJ362" i="24"/>
  <c r="BI362" i="24"/>
  <c r="BH362" i="24"/>
  <c r="BG362" i="24"/>
  <c r="BF362" i="24"/>
  <c r="BE362" i="24"/>
  <c r="BD362" i="24"/>
  <c r="BC362" i="24"/>
  <c r="BB362" i="24"/>
  <c r="BA362" i="24"/>
  <c r="AY362" i="24"/>
  <c r="AX362" i="24"/>
  <c r="AW362" i="24"/>
  <c r="AV362" i="24"/>
  <c r="AU362" i="24"/>
  <c r="AT362" i="24"/>
  <c r="AS362" i="24"/>
  <c r="AR362" i="24"/>
  <c r="AQ362" i="24"/>
  <c r="AP362" i="24"/>
  <c r="AO362" i="24"/>
  <c r="AN362" i="24"/>
  <c r="AM362" i="24"/>
  <c r="AL362" i="24"/>
  <c r="AK362" i="24"/>
  <c r="AJ362" i="24"/>
  <c r="AI362" i="24"/>
  <c r="AH362" i="24"/>
  <c r="AG362" i="24"/>
  <c r="AF362" i="24"/>
  <c r="AE362" i="24"/>
  <c r="AD362" i="24"/>
  <c r="AC362" i="24"/>
  <c r="AB362" i="24"/>
  <c r="BX361" i="24"/>
  <c r="BW361" i="24"/>
  <c r="BV361" i="24"/>
  <c r="BU361" i="24"/>
  <c r="BT361" i="24"/>
  <c r="BS361" i="24"/>
  <c r="BR361" i="24"/>
  <c r="BQ361" i="24"/>
  <c r="BP361" i="24"/>
  <c r="BO361" i="24"/>
  <c r="BN361" i="24"/>
  <c r="BM361" i="24"/>
  <c r="BL361" i="24"/>
  <c r="BK361" i="24"/>
  <c r="BJ361" i="24"/>
  <c r="BI361" i="24"/>
  <c r="BH361" i="24"/>
  <c r="BG361" i="24"/>
  <c r="BF361" i="24"/>
  <c r="BE361" i="24"/>
  <c r="BD361" i="24"/>
  <c r="BC361" i="24"/>
  <c r="BB361" i="24"/>
  <c r="BA361" i="24"/>
  <c r="AY361" i="24"/>
  <c r="AX361" i="24"/>
  <c r="AW361" i="24"/>
  <c r="AV361" i="24"/>
  <c r="AU361" i="24"/>
  <c r="AT361" i="24"/>
  <c r="AS361" i="24"/>
  <c r="AR361" i="24"/>
  <c r="AQ361" i="24"/>
  <c r="AP361" i="24"/>
  <c r="AO361" i="24"/>
  <c r="AN361" i="24"/>
  <c r="AM361" i="24"/>
  <c r="AL361" i="24"/>
  <c r="AK361" i="24"/>
  <c r="AJ361" i="24"/>
  <c r="AI361" i="24"/>
  <c r="AH361" i="24"/>
  <c r="AG361" i="24"/>
  <c r="AF361" i="24"/>
  <c r="AE361" i="24"/>
  <c r="AD361" i="24"/>
  <c r="AC361" i="24"/>
  <c r="AB361" i="24"/>
  <c r="BX360" i="24"/>
  <c r="BW360" i="24"/>
  <c r="BV360" i="24"/>
  <c r="BU360" i="24"/>
  <c r="BT360" i="24"/>
  <c r="BS360" i="24"/>
  <c r="BR360" i="24"/>
  <c r="BQ360" i="24"/>
  <c r="BP360" i="24"/>
  <c r="BO360" i="24"/>
  <c r="BN360" i="24"/>
  <c r="BM360" i="24"/>
  <c r="BL360" i="24"/>
  <c r="BK360" i="24"/>
  <c r="BJ360" i="24"/>
  <c r="BI360" i="24"/>
  <c r="BH360" i="24"/>
  <c r="BG360" i="24"/>
  <c r="BF360" i="24"/>
  <c r="BE360" i="24"/>
  <c r="BD360" i="24"/>
  <c r="BC360" i="24"/>
  <c r="BB360" i="24"/>
  <c r="BA360" i="24"/>
  <c r="AY360" i="24"/>
  <c r="AX360" i="24"/>
  <c r="AW360" i="24"/>
  <c r="AV360" i="24"/>
  <c r="AU360" i="24"/>
  <c r="AT360" i="24"/>
  <c r="AS360" i="24"/>
  <c r="AR360" i="24"/>
  <c r="AQ360" i="24"/>
  <c r="AP360" i="24"/>
  <c r="AO360" i="24"/>
  <c r="AN360" i="24"/>
  <c r="AM360" i="24"/>
  <c r="AL360" i="24"/>
  <c r="AK360" i="24"/>
  <c r="AJ360" i="24"/>
  <c r="AI360" i="24"/>
  <c r="AH360" i="24"/>
  <c r="AG360" i="24"/>
  <c r="AF360" i="24"/>
  <c r="AE360" i="24"/>
  <c r="AD360" i="24"/>
  <c r="AC360" i="24"/>
  <c r="AB360" i="24"/>
  <c r="BX359" i="24"/>
  <c r="BW359" i="24"/>
  <c r="BV359" i="24"/>
  <c r="BU359" i="24"/>
  <c r="BT359" i="24"/>
  <c r="BS359" i="24"/>
  <c r="BR359" i="24"/>
  <c r="BQ359" i="24"/>
  <c r="BP359" i="24"/>
  <c r="BO359" i="24"/>
  <c r="BN359" i="24"/>
  <c r="BM359" i="24"/>
  <c r="BL359" i="24"/>
  <c r="BK359" i="24"/>
  <c r="BJ359" i="24"/>
  <c r="BI359" i="24"/>
  <c r="BH359" i="24"/>
  <c r="BG359" i="24"/>
  <c r="BF359" i="24"/>
  <c r="BE359" i="24"/>
  <c r="BD359" i="24"/>
  <c r="BC359" i="24"/>
  <c r="BB359" i="24"/>
  <c r="BA359" i="24"/>
  <c r="AY359" i="24"/>
  <c r="AX359" i="24"/>
  <c r="AW359" i="24"/>
  <c r="AV359" i="24"/>
  <c r="AU359" i="24"/>
  <c r="AT359" i="24"/>
  <c r="AS359" i="24"/>
  <c r="AR359" i="24"/>
  <c r="AQ359" i="24"/>
  <c r="AP359" i="24"/>
  <c r="AO359" i="24"/>
  <c r="AN359" i="24"/>
  <c r="AM359" i="24"/>
  <c r="AL359" i="24"/>
  <c r="AK359" i="24"/>
  <c r="AJ359" i="24"/>
  <c r="AI359" i="24"/>
  <c r="AH359" i="24"/>
  <c r="AG359" i="24"/>
  <c r="AF359" i="24"/>
  <c r="AE359" i="24"/>
  <c r="AD359" i="24"/>
  <c r="AC359" i="24"/>
  <c r="AB359" i="24"/>
  <c r="BX358" i="24"/>
  <c r="BW358" i="24"/>
  <c r="BV358" i="24"/>
  <c r="BU358" i="24"/>
  <c r="BT358" i="24"/>
  <c r="BS358" i="24"/>
  <c r="BR358" i="24"/>
  <c r="BQ358" i="24"/>
  <c r="BP358" i="24"/>
  <c r="BO358" i="24"/>
  <c r="BN358" i="24"/>
  <c r="BM358" i="24"/>
  <c r="BL358" i="24"/>
  <c r="BK358" i="24"/>
  <c r="BJ358" i="24"/>
  <c r="BI358" i="24"/>
  <c r="BH358" i="24"/>
  <c r="BG358" i="24"/>
  <c r="BF358" i="24"/>
  <c r="BE358" i="24"/>
  <c r="BD358" i="24"/>
  <c r="BC358" i="24"/>
  <c r="BB358" i="24"/>
  <c r="BA358" i="24"/>
  <c r="AY358" i="24"/>
  <c r="AX358" i="24"/>
  <c r="AW358" i="24"/>
  <c r="AV358" i="24"/>
  <c r="AU358" i="24"/>
  <c r="AT358" i="24"/>
  <c r="AS358" i="24"/>
  <c r="AR358" i="24"/>
  <c r="AQ358" i="24"/>
  <c r="AP358" i="24"/>
  <c r="AO358" i="24"/>
  <c r="AN358" i="24"/>
  <c r="AM358" i="24"/>
  <c r="AL358" i="24"/>
  <c r="AK358" i="24"/>
  <c r="AJ358" i="24"/>
  <c r="AI358" i="24"/>
  <c r="AH358" i="24"/>
  <c r="AG358" i="24"/>
  <c r="AF358" i="24"/>
  <c r="AE358" i="24"/>
  <c r="AD358" i="24"/>
  <c r="AC358" i="24"/>
  <c r="AB358" i="24"/>
  <c r="BX357" i="24"/>
  <c r="BW357" i="24"/>
  <c r="BV357" i="24"/>
  <c r="BU357" i="24"/>
  <c r="BT357" i="24"/>
  <c r="BS357" i="24"/>
  <c r="BR357" i="24"/>
  <c r="BQ357" i="24"/>
  <c r="BP357" i="24"/>
  <c r="BO357" i="24"/>
  <c r="BN357" i="24"/>
  <c r="BM357" i="24"/>
  <c r="BL357" i="24"/>
  <c r="BK357" i="24"/>
  <c r="BJ357" i="24"/>
  <c r="BI357" i="24"/>
  <c r="BH357" i="24"/>
  <c r="BG357" i="24"/>
  <c r="BF357" i="24"/>
  <c r="BE357" i="24"/>
  <c r="BD357" i="24"/>
  <c r="BC357" i="24"/>
  <c r="BB357" i="24"/>
  <c r="BA357" i="24"/>
  <c r="AY357" i="24"/>
  <c r="AX357" i="24"/>
  <c r="AW357" i="24"/>
  <c r="AV357" i="24"/>
  <c r="AU357" i="24"/>
  <c r="AT357" i="24"/>
  <c r="AS357" i="24"/>
  <c r="AR357" i="24"/>
  <c r="AQ357" i="24"/>
  <c r="AP357" i="24"/>
  <c r="AO357" i="24"/>
  <c r="AN357" i="24"/>
  <c r="AM357" i="24"/>
  <c r="AL357" i="24"/>
  <c r="AK357" i="24"/>
  <c r="AJ357" i="24"/>
  <c r="AI357" i="24"/>
  <c r="AH357" i="24"/>
  <c r="AG357" i="24"/>
  <c r="AF357" i="24"/>
  <c r="AE357" i="24"/>
  <c r="AD357" i="24"/>
  <c r="AC357" i="24"/>
  <c r="AB357" i="24"/>
  <c r="BX356" i="24"/>
  <c r="BW356" i="24"/>
  <c r="BV356" i="24"/>
  <c r="BU356" i="24"/>
  <c r="BT356" i="24"/>
  <c r="BS356" i="24"/>
  <c r="BR356" i="24"/>
  <c r="BQ356" i="24"/>
  <c r="BP356" i="24"/>
  <c r="BO356" i="24"/>
  <c r="BN356" i="24"/>
  <c r="BM356" i="24"/>
  <c r="BL356" i="24"/>
  <c r="BK356" i="24"/>
  <c r="BJ356" i="24"/>
  <c r="BI356" i="24"/>
  <c r="BH356" i="24"/>
  <c r="BG356" i="24"/>
  <c r="BF356" i="24"/>
  <c r="BE356" i="24"/>
  <c r="BD356" i="24"/>
  <c r="BC356" i="24"/>
  <c r="BB356" i="24"/>
  <c r="BA356" i="24"/>
  <c r="AY356" i="24"/>
  <c r="AX356" i="24"/>
  <c r="AW356" i="24"/>
  <c r="AV356" i="24"/>
  <c r="AU356" i="24"/>
  <c r="AT356" i="24"/>
  <c r="AS356" i="24"/>
  <c r="AR356" i="24"/>
  <c r="AQ356" i="24"/>
  <c r="AP356" i="24"/>
  <c r="AO356" i="24"/>
  <c r="AN356" i="24"/>
  <c r="AM356" i="24"/>
  <c r="AL356" i="24"/>
  <c r="AK356" i="24"/>
  <c r="AJ356" i="24"/>
  <c r="AI356" i="24"/>
  <c r="AH356" i="24"/>
  <c r="AG356" i="24"/>
  <c r="AF356" i="24"/>
  <c r="AE356" i="24"/>
  <c r="AD356" i="24"/>
  <c r="AC356" i="24"/>
  <c r="AB356" i="24"/>
  <c r="BX355" i="24"/>
  <c r="BW355" i="24"/>
  <c r="BV355" i="24"/>
  <c r="BU355" i="24"/>
  <c r="BT355" i="24"/>
  <c r="BS355" i="24"/>
  <c r="BR355" i="24"/>
  <c r="BQ355" i="24"/>
  <c r="BP355" i="24"/>
  <c r="BO355" i="24"/>
  <c r="BN355" i="24"/>
  <c r="BM355" i="24"/>
  <c r="BL355" i="24"/>
  <c r="BK355" i="24"/>
  <c r="BJ355" i="24"/>
  <c r="BI355" i="24"/>
  <c r="BH355" i="24"/>
  <c r="BG355" i="24"/>
  <c r="BF355" i="24"/>
  <c r="BE355" i="24"/>
  <c r="BD355" i="24"/>
  <c r="BC355" i="24"/>
  <c r="BB355" i="24"/>
  <c r="BA355" i="24"/>
  <c r="AY355" i="24"/>
  <c r="AX355" i="24"/>
  <c r="AW355" i="24"/>
  <c r="AV355" i="24"/>
  <c r="AU355" i="24"/>
  <c r="AT355" i="24"/>
  <c r="AS355" i="24"/>
  <c r="AR355" i="24"/>
  <c r="AQ355" i="24"/>
  <c r="AP355" i="24"/>
  <c r="AO355" i="24"/>
  <c r="AN355" i="24"/>
  <c r="AM355" i="24"/>
  <c r="AL355" i="24"/>
  <c r="AK355" i="24"/>
  <c r="AJ355" i="24"/>
  <c r="AI355" i="24"/>
  <c r="AH355" i="24"/>
  <c r="AG355" i="24"/>
  <c r="AF355" i="24"/>
  <c r="AE355" i="24"/>
  <c r="AD355" i="24"/>
  <c r="AC355" i="24"/>
  <c r="AB355" i="24"/>
  <c r="BX354" i="24"/>
  <c r="BW354" i="24"/>
  <c r="BV354" i="24"/>
  <c r="BU354" i="24"/>
  <c r="BT354" i="24"/>
  <c r="BS354" i="24"/>
  <c r="BR354" i="24"/>
  <c r="BQ354" i="24"/>
  <c r="BP354" i="24"/>
  <c r="BO354" i="24"/>
  <c r="BN354" i="24"/>
  <c r="BM354" i="24"/>
  <c r="BL354" i="24"/>
  <c r="BK354" i="24"/>
  <c r="BJ354" i="24"/>
  <c r="BI354" i="24"/>
  <c r="BH354" i="24"/>
  <c r="BG354" i="24"/>
  <c r="BF354" i="24"/>
  <c r="BE354" i="24"/>
  <c r="BD354" i="24"/>
  <c r="BC354" i="24"/>
  <c r="BB354" i="24"/>
  <c r="BA354" i="24"/>
  <c r="AY354" i="24"/>
  <c r="AX354" i="24"/>
  <c r="AW354" i="24"/>
  <c r="AV354" i="24"/>
  <c r="AU354" i="24"/>
  <c r="AT354" i="24"/>
  <c r="AS354" i="24"/>
  <c r="AR354" i="24"/>
  <c r="AQ354" i="24"/>
  <c r="AP354" i="24"/>
  <c r="AO354" i="24"/>
  <c r="AN354" i="24"/>
  <c r="AM354" i="24"/>
  <c r="AL354" i="24"/>
  <c r="AK354" i="24"/>
  <c r="AJ354" i="24"/>
  <c r="AI354" i="24"/>
  <c r="AH354" i="24"/>
  <c r="AG354" i="24"/>
  <c r="AF354" i="24"/>
  <c r="AE354" i="24"/>
  <c r="AD354" i="24"/>
  <c r="AC354" i="24"/>
  <c r="AB354" i="24"/>
  <c r="BX353" i="24"/>
  <c r="BW353" i="24"/>
  <c r="BV353" i="24"/>
  <c r="BU353" i="24"/>
  <c r="BT353" i="24"/>
  <c r="BS353" i="24"/>
  <c r="BR353" i="24"/>
  <c r="BQ353" i="24"/>
  <c r="BP353" i="24"/>
  <c r="BO353" i="24"/>
  <c r="BN353" i="24"/>
  <c r="BM353" i="24"/>
  <c r="BL353" i="24"/>
  <c r="BK353" i="24"/>
  <c r="BJ353" i="24"/>
  <c r="BI353" i="24"/>
  <c r="BH353" i="24"/>
  <c r="BG353" i="24"/>
  <c r="BF353" i="24"/>
  <c r="BE353" i="24"/>
  <c r="BD353" i="24"/>
  <c r="BC353" i="24"/>
  <c r="BB353" i="24"/>
  <c r="BA353" i="24"/>
  <c r="AY353" i="24"/>
  <c r="AX353" i="24"/>
  <c r="AW353" i="24"/>
  <c r="AV353" i="24"/>
  <c r="AU353" i="24"/>
  <c r="AT353" i="24"/>
  <c r="AS353" i="24"/>
  <c r="AR353" i="24"/>
  <c r="AQ353" i="24"/>
  <c r="AP353" i="24"/>
  <c r="AO353" i="24"/>
  <c r="AN353" i="24"/>
  <c r="AM353" i="24"/>
  <c r="AL353" i="24"/>
  <c r="AK353" i="24"/>
  <c r="AJ353" i="24"/>
  <c r="AI353" i="24"/>
  <c r="AH353" i="24"/>
  <c r="AG353" i="24"/>
  <c r="AF353" i="24"/>
  <c r="AE353" i="24"/>
  <c r="AD353" i="24"/>
  <c r="AC353" i="24"/>
  <c r="AB353" i="24"/>
  <c r="BX352" i="24"/>
  <c r="BW352" i="24"/>
  <c r="BV352" i="24"/>
  <c r="BU352" i="24"/>
  <c r="BT352" i="24"/>
  <c r="BS352" i="24"/>
  <c r="BR352" i="24"/>
  <c r="BQ352" i="24"/>
  <c r="BP352" i="24"/>
  <c r="BO352" i="24"/>
  <c r="BN352" i="24"/>
  <c r="BM352" i="24"/>
  <c r="BL352" i="24"/>
  <c r="BK352" i="24"/>
  <c r="BJ352" i="24"/>
  <c r="BI352" i="24"/>
  <c r="BH352" i="24"/>
  <c r="BG352" i="24"/>
  <c r="BF352" i="24"/>
  <c r="BE352" i="24"/>
  <c r="BD352" i="24"/>
  <c r="BC352" i="24"/>
  <c r="BB352" i="24"/>
  <c r="BA352" i="24"/>
  <c r="AY352" i="24"/>
  <c r="AX352" i="24"/>
  <c r="AW352" i="24"/>
  <c r="AV352" i="24"/>
  <c r="AU352" i="24"/>
  <c r="AT352" i="24"/>
  <c r="AS352" i="24"/>
  <c r="AR352" i="24"/>
  <c r="AQ352" i="24"/>
  <c r="AP352" i="24"/>
  <c r="AO352" i="24"/>
  <c r="AN352" i="24"/>
  <c r="AM352" i="24"/>
  <c r="AL352" i="24"/>
  <c r="AK352" i="24"/>
  <c r="AJ352" i="24"/>
  <c r="AI352" i="24"/>
  <c r="AH352" i="24"/>
  <c r="AG352" i="24"/>
  <c r="AF352" i="24"/>
  <c r="AE352" i="24"/>
  <c r="AD352" i="24"/>
  <c r="AC352" i="24"/>
  <c r="AB352" i="24"/>
  <c r="BX351" i="24"/>
  <c r="BW351" i="24"/>
  <c r="BV351" i="24"/>
  <c r="BU351" i="24"/>
  <c r="BT351" i="24"/>
  <c r="BS351" i="24"/>
  <c r="BR351" i="24"/>
  <c r="BQ351" i="24"/>
  <c r="BP351" i="24"/>
  <c r="BO351" i="24"/>
  <c r="BN351" i="24"/>
  <c r="BM351" i="24"/>
  <c r="BL351" i="24"/>
  <c r="BK351" i="24"/>
  <c r="BJ351" i="24"/>
  <c r="BI351" i="24"/>
  <c r="BH351" i="24"/>
  <c r="BG351" i="24"/>
  <c r="BF351" i="24"/>
  <c r="BE351" i="24"/>
  <c r="BD351" i="24"/>
  <c r="BC351" i="24"/>
  <c r="BB351" i="24"/>
  <c r="BA351" i="24"/>
  <c r="AY351" i="24"/>
  <c r="AX351" i="24"/>
  <c r="AW351" i="24"/>
  <c r="AV351" i="24"/>
  <c r="AU351" i="24"/>
  <c r="AT351" i="24"/>
  <c r="AS351" i="24"/>
  <c r="AR351" i="24"/>
  <c r="AQ351" i="24"/>
  <c r="AP351" i="24"/>
  <c r="AO351" i="24"/>
  <c r="AN351" i="24"/>
  <c r="AM351" i="24"/>
  <c r="AL351" i="24"/>
  <c r="AK351" i="24"/>
  <c r="AJ351" i="24"/>
  <c r="AI351" i="24"/>
  <c r="AH351" i="24"/>
  <c r="AG351" i="24"/>
  <c r="AF351" i="24"/>
  <c r="AE351" i="24"/>
  <c r="AD351" i="24"/>
  <c r="AC351" i="24"/>
  <c r="AB351" i="24"/>
  <c r="BX350" i="24"/>
  <c r="BW350" i="24"/>
  <c r="BV350" i="24"/>
  <c r="BU350" i="24"/>
  <c r="BT350" i="24"/>
  <c r="BS350" i="24"/>
  <c r="BR350" i="24"/>
  <c r="BQ350" i="24"/>
  <c r="BP350" i="24"/>
  <c r="BO350" i="24"/>
  <c r="BN350" i="24"/>
  <c r="BM350" i="24"/>
  <c r="BL350" i="24"/>
  <c r="BK350" i="24"/>
  <c r="BJ350" i="24"/>
  <c r="BI350" i="24"/>
  <c r="BH350" i="24"/>
  <c r="BG350" i="24"/>
  <c r="BF350" i="24"/>
  <c r="BE350" i="24"/>
  <c r="BD350" i="24"/>
  <c r="BC350" i="24"/>
  <c r="BB350" i="24"/>
  <c r="BA350" i="24"/>
  <c r="AY350" i="24"/>
  <c r="AX350" i="24"/>
  <c r="AW350" i="24"/>
  <c r="AV350" i="24"/>
  <c r="AU350" i="24"/>
  <c r="AT350" i="24"/>
  <c r="AS350" i="24"/>
  <c r="AR350" i="24"/>
  <c r="AQ350" i="24"/>
  <c r="AP350" i="24"/>
  <c r="AO350" i="24"/>
  <c r="AN350" i="24"/>
  <c r="AM350" i="24"/>
  <c r="AL350" i="24"/>
  <c r="AK350" i="24"/>
  <c r="AJ350" i="24"/>
  <c r="AI350" i="24"/>
  <c r="AH350" i="24"/>
  <c r="AG350" i="24"/>
  <c r="AF350" i="24"/>
  <c r="AE350" i="24"/>
  <c r="AD350" i="24"/>
  <c r="AC350" i="24"/>
  <c r="AB350" i="24"/>
  <c r="BX349" i="24"/>
  <c r="BW349" i="24"/>
  <c r="BV349" i="24"/>
  <c r="BU349" i="24"/>
  <c r="BT349" i="24"/>
  <c r="BS349" i="24"/>
  <c r="BR349" i="24"/>
  <c r="BQ349" i="24"/>
  <c r="BP349" i="24"/>
  <c r="BO349" i="24"/>
  <c r="BN349" i="24"/>
  <c r="BM349" i="24"/>
  <c r="BL349" i="24"/>
  <c r="BK349" i="24"/>
  <c r="BJ349" i="24"/>
  <c r="BI349" i="24"/>
  <c r="BH349" i="24"/>
  <c r="BG349" i="24"/>
  <c r="BF349" i="24"/>
  <c r="BE349" i="24"/>
  <c r="BD349" i="24"/>
  <c r="BC349" i="24"/>
  <c r="BB349" i="24"/>
  <c r="BA349" i="24"/>
  <c r="AY349" i="24"/>
  <c r="AX349" i="24"/>
  <c r="AW349" i="24"/>
  <c r="AV349" i="24"/>
  <c r="AU349" i="24"/>
  <c r="AT349" i="24"/>
  <c r="AS349" i="24"/>
  <c r="AR349" i="24"/>
  <c r="AQ349" i="24"/>
  <c r="AP349" i="24"/>
  <c r="AO349" i="24"/>
  <c r="AN349" i="24"/>
  <c r="AM349" i="24"/>
  <c r="AL349" i="24"/>
  <c r="AK349" i="24"/>
  <c r="AJ349" i="24"/>
  <c r="AI349" i="24"/>
  <c r="AH349" i="24"/>
  <c r="AG349" i="24"/>
  <c r="AF349" i="24"/>
  <c r="AE349" i="24"/>
  <c r="AD349" i="24"/>
  <c r="AC349" i="24"/>
  <c r="AB349" i="24"/>
  <c r="BX348" i="24"/>
  <c r="BW348" i="24"/>
  <c r="BV348" i="24"/>
  <c r="BU348" i="24"/>
  <c r="BT348" i="24"/>
  <c r="BS348" i="24"/>
  <c r="BR348" i="24"/>
  <c r="BQ348" i="24"/>
  <c r="BP348" i="24"/>
  <c r="BO348" i="24"/>
  <c r="BN348" i="24"/>
  <c r="BM348" i="24"/>
  <c r="BL348" i="24"/>
  <c r="BK348" i="24"/>
  <c r="BJ348" i="24"/>
  <c r="BI348" i="24"/>
  <c r="BH348" i="24"/>
  <c r="BG348" i="24"/>
  <c r="BF348" i="24"/>
  <c r="BE348" i="24"/>
  <c r="BD348" i="24"/>
  <c r="BC348" i="24"/>
  <c r="BB348" i="24"/>
  <c r="BA348" i="24"/>
  <c r="AY348" i="24"/>
  <c r="AX348" i="24"/>
  <c r="AW348" i="24"/>
  <c r="AV348" i="24"/>
  <c r="AU348" i="24"/>
  <c r="AT348" i="24"/>
  <c r="AS348" i="24"/>
  <c r="AR348" i="24"/>
  <c r="AQ348" i="24"/>
  <c r="AP348" i="24"/>
  <c r="AO348" i="24"/>
  <c r="AN348" i="24"/>
  <c r="AM348" i="24"/>
  <c r="AL348" i="24"/>
  <c r="AK348" i="24"/>
  <c r="AJ348" i="24"/>
  <c r="AI348" i="24"/>
  <c r="AH348" i="24"/>
  <c r="AG348" i="24"/>
  <c r="AF348" i="24"/>
  <c r="AE348" i="24"/>
  <c r="AD348" i="24"/>
  <c r="AC348" i="24"/>
  <c r="AB348" i="24"/>
  <c r="BX347" i="24"/>
  <c r="BW347" i="24"/>
  <c r="BV347" i="24"/>
  <c r="BU347" i="24"/>
  <c r="BT347" i="24"/>
  <c r="BS347" i="24"/>
  <c r="BR347" i="24"/>
  <c r="BQ347" i="24"/>
  <c r="BP347" i="24"/>
  <c r="BO347" i="24"/>
  <c r="BN347" i="24"/>
  <c r="BM347" i="24"/>
  <c r="BL347" i="24"/>
  <c r="BK347" i="24"/>
  <c r="BJ347" i="24"/>
  <c r="BI347" i="24"/>
  <c r="BH347" i="24"/>
  <c r="BG347" i="24"/>
  <c r="BF347" i="24"/>
  <c r="BE347" i="24"/>
  <c r="BD347" i="24"/>
  <c r="BC347" i="24"/>
  <c r="BB347" i="24"/>
  <c r="BA347" i="24"/>
  <c r="AY347" i="24"/>
  <c r="AX347" i="24"/>
  <c r="AW347" i="24"/>
  <c r="AV347" i="24"/>
  <c r="AU347" i="24"/>
  <c r="AT347" i="24"/>
  <c r="AS347" i="24"/>
  <c r="AR347" i="24"/>
  <c r="AQ347" i="24"/>
  <c r="AP347" i="24"/>
  <c r="AO347" i="24"/>
  <c r="AN347" i="24"/>
  <c r="AM347" i="24"/>
  <c r="AL347" i="24"/>
  <c r="AK347" i="24"/>
  <c r="AJ347" i="24"/>
  <c r="AI347" i="24"/>
  <c r="AH347" i="24"/>
  <c r="AG347" i="24"/>
  <c r="AF347" i="24"/>
  <c r="AE347" i="24"/>
  <c r="AD347" i="24"/>
  <c r="AC347" i="24"/>
  <c r="AB347" i="24"/>
  <c r="BX346" i="24"/>
  <c r="BW346" i="24"/>
  <c r="BV346" i="24"/>
  <c r="BU346" i="24"/>
  <c r="BT346" i="24"/>
  <c r="BS346" i="24"/>
  <c r="BR346" i="24"/>
  <c r="BQ346" i="24"/>
  <c r="BP346" i="24"/>
  <c r="BO346" i="24"/>
  <c r="BN346" i="24"/>
  <c r="BM346" i="24"/>
  <c r="BL346" i="24"/>
  <c r="BK346" i="24"/>
  <c r="BJ346" i="24"/>
  <c r="BI346" i="24"/>
  <c r="BH346" i="24"/>
  <c r="BG346" i="24"/>
  <c r="BF346" i="24"/>
  <c r="BE346" i="24"/>
  <c r="BD346" i="24"/>
  <c r="BC346" i="24"/>
  <c r="BB346" i="24"/>
  <c r="BA346" i="24"/>
  <c r="AY346" i="24"/>
  <c r="AX346" i="24"/>
  <c r="AW346" i="24"/>
  <c r="AV346" i="24"/>
  <c r="AU346" i="24"/>
  <c r="AT346" i="24"/>
  <c r="AS346" i="24"/>
  <c r="AR346" i="24"/>
  <c r="AQ346" i="24"/>
  <c r="AP346" i="24"/>
  <c r="AO346" i="24"/>
  <c r="AN346" i="24"/>
  <c r="AM346" i="24"/>
  <c r="AL346" i="24"/>
  <c r="AK346" i="24"/>
  <c r="AJ346" i="24"/>
  <c r="AI346" i="24"/>
  <c r="AH346" i="24"/>
  <c r="AG346" i="24"/>
  <c r="AF346" i="24"/>
  <c r="AE346" i="24"/>
  <c r="AD346" i="24"/>
  <c r="AC346" i="24"/>
  <c r="AB346" i="24"/>
  <c r="BX345" i="24"/>
  <c r="BW345" i="24"/>
  <c r="BV345" i="24"/>
  <c r="BU345" i="24"/>
  <c r="BT345" i="24"/>
  <c r="BS345" i="24"/>
  <c r="BR345" i="24"/>
  <c r="BQ345" i="24"/>
  <c r="BP345" i="24"/>
  <c r="BO345" i="24"/>
  <c r="BN345" i="24"/>
  <c r="BM345" i="24"/>
  <c r="BL345" i="24"/>
  <c r="BK345" i="24"/>
  <c r="BJ345" i="24"/>
  <c r="BI345" i="24"/>
  <c r="BH345" i="24"/>
  <c r="BG345" i="24"/>
  <c r="BF345" i="24"/>
  <c r="BE345" i="24"/>
  <c r="BD345" i="24"/>
  <c r="BC345" i="24"/>
  <c r="BB345" i="24"/>
  <c r="BA345" i="24"/>
  <c r="AY345" i="24"/>
  <c r="AX345" i="24"/>
  <c r="AW345" i="24"/>
  <c r="AV345" i="24"/>
  <c r="AU345" i="24"/>
  <c r="AT345" i="24"/>
  <c r="AS345" i="24"/>
  <c r="AR345" i="24"/>
  <c r="AQ345" i="24"/>
  <c r="AP345" i="24"/>
  <c r="AO345" i="24"/>
  <c r="AN345" i="24"/>
  <c r="AM345" i="24"/>
  <c r="AL345" i="24"/>
  <c r="AK345" i="24"/>
  <c r="AJ345" i="24"/>
  <c r="AI345" i="24"/>
  <c r="AH345" i="24"/>
  <c r="AG345" i="24"/>
  <c r="AF345" i="24"/>
  <c r="AE345" i="24"/>
  <c r="AD345" i="24"/>
  <c r="AC345" i="24"/>
  <c r="AB345" i="24"/>
  <c r="BX344" i="24"/>
  <c r="BW344" i="24"/>
  <c r="BV344" i="24"/>
  <c r="BU344" i="24"/>
  <c r="BT344" i="24"/>
  <c r="BS344" i="24"/>
  <c r="BR344" i="24"/>
  <c r="BQ344" i="24"/>
  <c r="BP344" i="24"/>
  <c r="BO344" i="24"/>
  <c r="BN344" i="24"/>
  <c r="BM344" i="24"/>
  <c r="BL344" i="24"/>
  <c r="BK344" i="24"/>
  <c r="BJ344" i="24"/>
  <c r="BI344" i="24"/>
  <c r="BH344" i="24"/>
  <c r="BG344" i="24"/>
  <c r="BF344" i="24"/>
  <c r="BE344" i="24"/>
  <c r="BD344" i="24"/>
  <c r="BC344" i="24"/>
  <c r="BB344" i="24"/>
  <c r="BA344" i="24"/>
  <c r="AY344" i="24"/>
  <c r="AX344" i="24"/>
  <c r="AW344" i="24"/>
  <c r="AV344" i="24"/>
  <c r="AU344" i="24"/>
  <c r="AT344" i="24"/>
  <c r="AS344" i="24"/>
  <c r="AR344" i="24"/>
  <c r="AQ344" i="24"/>
  <c r="AP344" i="24"/>
  <c r="AO344" i="24"/>
  <c r="AN344" i="24"/>
  <c r="AM344" i="24"/>
  <c r="AL344" i="24"/>
  <c r="AK344" i="24"/>
  <c r="AJ344" i="24"/>
  <c r="AI344" i="24"/>
  <c r="AH344" i="24"/>
  <c r="AG344" i="24"/>
  <c r="AF344" i="24"/>
  <c r="AE344" i="24"/>
  <c r="AD344" i="24"/>
  <c r="AC344" i="24"/>
  <c r="AB344" i="24"/>
  <c r="BX343" i="24"/>
  <c r="BW343" i="24"/>
  <c r="BV343" i="24"/>
  <c r="BU343" i="24"/>
  <c r="BT343" i="24"/>
  <c r="BS343" i="24"/>
  <c r="BR343" i="24"/>
  <c r="BQ343" i="24"/>
  <c r="BP343" i="24"/>
  <c r="BO343" i="24"/>
  <c r="BN343" i="24"/>
  <c r="BM343" i="24"/>
  <c r="BL343" i="24"/>
  <c r="BK343" i="24"/>
  <c r="BJ343" i="24"/>
  <c r="BI343" i="24"/>
  <c r="BH343" i="24"/>
  <c r="BG343" i="24"/>
  <c r="BF343" i="24"/>
  <c r="BE343" i="24"/>
  <c r="BD343" i="24"/>
  <c r="BC343" i="24"/>
  <c r="BB343" i="24"/>
  <c r="BA343" i="24"/>
  <c r="AY343" i="24"/>
  <c r="AX343" i="24"/>
  <c r="AW343" i="24"/>
  <c r="AV343" i="24"/>
  <c r="AU343" i="24"/>
  <c r="AT343" i="24"/>
  <c r="AS343" i="24"/>
  <c r="AR343" i="24"/>
  <c r="AQ343" i="24"/>
  <c r="AP343" i="24"/>
  <c r="AO343" i="24"/>
  <c r="AN343" i="24"/>
  <c r="AM343" i="24"/>
  <c r="AL343" i="24"/>
  <c r="AK343" i="24"/>
  <c r="AJ343" i="24"/>
  <c r="AI343" i="24"/>
  <c r="AH343" i="24"/>
  <c r="AG343" i="24"/>
  <c r="AF343" i="24"/>
  <c r="AE343" i="24"/>
  <c r="AD343" i="24"/>
  <c r="AC343" i="24"/>
  <c r="AB343" i="24"/>
  <c r="BX342" i="24"/>
  <c r="BW342" i="24"/>
  <c r="BV342" i="24"/>
  <c r="BU342" i="24"/>
  <c r="BT342" i="24"/>
  <c r="BS342" i="24"/>
  <c r="BR342" i="24"/>
  <c r="BQ342" i="24"/>
  <c r="BP342" i="24"/>
  <c r="BO342" i="24"/>
  <c r="BN342" i="24"/>
  <c r="BM342" i="24"/>
  <c r="BL342" i="24"/>
  <c r="BK342" i="24"/>
  <c r="BJ342" i="24"/>
  <c r="BI342" i="24"/>
  <c r="BH342" i="24"/>
  <c r="BG342" i="24"/>
  <c r="BF342" i="24"/>
  <c r="BE342" i="24"/>
  <c r="BD342" i="24"/>
  <c r="BC342" i="24"/>
  <c r="BB342" i="24"/>
  <c r="BA342" i="24"/>
  <c r="AY342" i="24"/>
  <c r="AX342" i="24"/>
  <c r="AW342" i="24"/>
  <c r="AV342" i="24"/>
  <c r="AU342" i="24"/>
  <c r="AT342" i="24"/>
  <c r="AS342" i="24"/>
  <c r="AR342" i="24"/>
  <c r="AQ342" i="24"/>
  <c r="AP342" i="24"/>
  <c r="AO342" i="24"/>
  <c r="AN342" i="24"/>
  <c r="AM342" i="24"/>
  <c r="AL342" i="24"/>
  <c r="AK342" i="24"/>
  <c r="AJ342" i="24"/>
  <c r="AI342" i="24"/>
  <c r="AH342" i="24"/>
  <c r="AG342" i="24"/>
  <c r="AF342" i="24"/>
  <c r="AE342" i="24"/>
  <c r="AD342" i="24"/>
  <c r="AC342" i="24"/>
  <c r="AB342" i="24"/>
  <c r="BX341" i="24"/>
  <c r="BW341" i="24"/>
  <c r="BV341" i="24"/>
  <c r="BU341" i="24"/>
  <c r="BT341" i="24"/>
  <c r="BS341" i="24"/>
  <c r="BR341" i="24"/>
  <c r="BQ341" i="24"/>
  <c r="BP341" i="24"/>
  <c r="BO341" i="24"/>
  <c r="BN341" i="24"/>
  <c r="BM341" i="24"/>
  <c r="BL341" i="24"/>
  <c r="BK341" i="24"/>
  <c r="BJ341" i="24"/>
  <c r="BI341" i="24"/>
  <c r="BH341" i="24"/>
  <c r="BG341" i="24"/>
  <c r="BF341" i="24"/>
  <c r="BE341" i="24"/>
  <c r="BD341" i="24"/>
  <c r="BC341" i="24"/>
  <c r="BB341" i="24"/>
  <c r="BA341" i="24"/>
  <c r="AY341" i="24"/>
  <c r="AX341" i="24"/>
  <c r="AW341" i="24"/>
  <c r="AV341" i="24"/>
  <c r="AU341" i="24"/>
  <c r="AT341" i="24"/>
  <c r="AS341" i="24"/>
  <c r="AR341" i="24"/>
  <c r="AQ341" i="24"/>
  <c r="AP341" i="24"/>
  <c r="AO341" i="24"/>
  <c r="AN341" i="24"/>
  <c r="AM341" i="24"/>
  <c r="AL341" i="24"/>
  <c r="AK341" i="24"/>
  <c r="AJ341" i="24"/>
  <c r="AI341" i="24"/>
  <c r="AH341" i="24"/>
  <c r="AG341" i="24"/>
  <c r="AF341" i="24"/>
  <c r="AE341" i="24"/>
  <c r="AD341" i="24"/>
  <c r="AC341" i="24"/>
  <c r="AB341" i="24"/>
  <c r="BX340" i="24"/>
  <c r="BW340" i="24"/>
  <c r="BV340" i="24"/>
  <c r="BU340" i="24"/>
  <c r="BT340" i="24"/>
  <c r="BS340" i="24"/>
  <c r="BR340" i="24"/>
  <c r="BQ340" i="24"/>
  <c r="BP340" i="24"/>
  <c r="BO340" i="24"/>
  <c r="BN340" i="24"/>
  <c r="BM340" i="24"/>
  <c r="BL340" i="24"/>
  <c r="BK340" i="24"/>
  <c r="BJ340" i="24"/>
  <c r="BI340" i="24"/>
  <c r="BH340" i="24"/>
  <c r="BG340" i="24"/>
  <c r="BF340" i="24"/>
  <c r="BE340" i="24"/>
  <c r="BD340" i="24"/>
  <c r="BC340" i="24"/>
  <c r="BB340" i="24"/>
  <c r="BA340" i="24"/>
  <c r="AY340" i="24"/>
  <c r="AX340" i="24"/>
  <c r="AW340" i="24"/>
  <c r="AV340" i="24"/>
  <c r="AU340" i="24"/>
  <c r="AT340" i="24"/>
  <c r="AS340" i="24"/>
  <c r="AR340" i="24"/>
  <c r="AQ340" i="24"/>
  <c r="AP340" i="24"/>
  <c r="AO340" i="24"/>
  <c r="AN340" i="24"/>
  <c r="AM340" i="24"/>
  <c r="AL340" i="24"/>
  <c r="AK340" i="24"/>
  <c r="AJ340" i="24"/>
  <c r="AI340" i="24"/>
  <c r="AH340" i="24"/>
  <c r="AG340" i="24"/>
  <c r="AF340" i="24"/>
  <c r="AE340" i="24"/>
  <c r="AD340" i="24"/>
  <c r="AC340" i="24"/>
  <c r="AB340" i="24"/>
  <c r="Z338" i="8"/>
  <c r="AX338" i="8" s="1"/>
  <c r="AA338" i="8"/>
  <c r="AY338" i="8" s="1"/>
  <c r="AB338" i="8"/>
  <c r="AZ338" i="8" s="1"/>
  <c r="AC338" i="8"/>
  <c r="BA338" i="8" s="1"/>
  <c r="AD338" i="8"/>
  <c r="BB338" i="8" s="1"/>
  <c r="AE338" i="8"/>
  <c r="BC338" i="8" s="1"/>
  <c r="AF338" i="8"/>
  <c r="BD338" i="8" s="1"/>
  <c r="AG338" i="8"/>
  <c r="BE338" i="8" s="1"/>
  <c r="AH338" i="8"/>
  <c r="BF338" i="8" s="1"/>
  <c r="AI338" i="8"/>
  <c r="BG338" i="8" s="1"/>
  <c r="AJ338" i="8"/>
  <c r="BH338" i="8" s="1"/>
  <c r="AK338" i="8"/>
  <c r="BI338" i="8" s="1"/>
  <c r="AL338" i="8"/>
  <c r="BJ338" i="8" s="1"/>
  <c r="AM338" i="8"/>
  <c r="BK338" i="8" s="1"/>
  <c r="AN338" i="8"/>
  <c r="BL338" i="8" s="1"/>
  <c r="AO338" i="8"/>
  <c r="BM338" i="8" s="1"/>
  <c r="AP338" i="8"/>
  <c r="BN338" i="8" s="1"/>
  <c r="AQ338" i="8"/>
  <c r="BO338" i="8" s="1"/>
  <c r="AR338" i="8"/>
  <c r="BP338" i="8" s="1"/>
  <c r="AS338" i="8"/>
  <c r="BQ338" i="8" s="1"/>
  <c r="AT338" i="8"/>
  <c r="BR338" i="8" s="1"/>
  <c r="AU338" i="8"/>
  <c r="BS338" i="8" s="1"/>
  <c r="AV338" i="8"/>
  <c r="BT338" i="8" s="1"/>
  <c r="AW338" i="8"/>
  <c r="BU338" i="8" s="1"/>
  <c r="Z339" i="8"/>
  <c r="AA339" i="8"/>
  <c r="AY339" i="8" s="1"/>
  <c r="AB339" i="8"/>
  <c r="AZ339" i="8" s="1"/>
  <c r="AC339" i="8"/>
  <c r="BA339" i="8" s="1"/>
  <c r="AD339" i="8"/>
  <c r="BB339" i="8" s="1"/>
  <c r="AE339" i="8"/>
  <c r="BC339" i="8" s="1"/>
  <c r="AF339" i="8"/>
  <c r="BD339" i="8" s="1"/>
  <c r="AG339" i="8"/>
  <c r="BE339" i="8" s="1"/>
  <c r="AH339" i="8"/>
  <c r="BF339" i="8" s="1"/>
  <c r="AI339" i="8"/>
  <c r="BG339" i="8" s="1"/>
  <c r="AJ339" i="8"/>
  <c r="BH339" i="8" s="1"/>
  <c r="AK339" i="8"/>
  <c r="BI339" i="8" s="1"/>
  <c r="AL339" i="8"/>
  <c r="BJ339" i="8" s="1"/>
  <c r="AM339" i="8"/>
  <c r="BK339" i="8" s="1"/>
  <c r="AN339" i="8"/>
  <c r="BL339" i="8" s="1"/>
  <c r="AO339" i="8"/>
  <c r="BM339" i="8" s="1"/>
  <c r="AP339" i="8"/>
  <c r="BN339" i="8" s="1"/>
  <c r="AQ339" i="8"/>
  <c r="BO339" i="8" s="1"/>
  <c r="AR339" i="8"/>
  <c r="BP339" i="8" s="1"/>
  <c r="AS339" i="8"/>
  <c r="BQ339" i="8" s="1"/>
  <c r="AT339" i="8"/>
  <c r="BR339" i="8" s="1"/>
  <c r="AU339" i="8"/>
  <c r="BS339" i="8" s="1"/>
  <c r="AV339" i="8"/>
  <c r="BT339" i="8" s="1"/>
  <c r="AW339" i="8"/>
  <c r="BU339" i="8" s="1"/>
  <c r="AX339" i="8"/>
  <c r="Z340" i="8"/>
  <c r="AX340" i="8" s="1"/>
  <c r="AA340" i="8"/>
  <c r="AY340" i="8" s="1"/>
  <c r="AB340" i="8"/>
  <c r="AZ340" i="8" s="1"/>
  <c r="AC340" i="8"/>
  <c r="BA340" i="8" s="1"/>
  <c r="AD340" i="8"/>
  <c r="BB340" i="8" s="1"/>
  <c r="AE340" i="8"/>
  <c r="BC340" i="8" s="1"/>
  <c r="AF340" i="8"/>
  <c r="BD340" i="8" s="1"/>
  <c r="AG340" i="8"/>
  <c r="BE340" i="8" s="1"/>
  <c r="AH340" i="8"/>
  <c r="BF340" i="8" s="1"/>
  <c r="AI340" i="8"/>
  <c r="BG340" i="8" s="1"/>
  <c r="AJ340" i="8"/>
  <c r="BH340" i="8" s="1"/>
  <c r="AK340" i="8"/>
  <c r="BI340" i="8" s="1"/>
  <c r="AL340" i="8"/>
  <c r="BJ340" i="8" s="1"/>
  <c r="AM340" i="8"/>
  <c r="BK340" i="8" s="1"/>
  <c r="AN340" i="8"/>
  <c r="BL340" i="8" s="1"/>
  <c r="AO340" i="8"/>
  <c r="BM340" i="8" s="1"/>
  <c r="AP340" i="8"/>
  <c r="BN340" i="8" s="1"/>
  <c r="AQ340" i="8"/>
  <c r="BO340" i="8" s="1"/>
  <c r="AR340" i="8"/>
  <c r="BP340" i="8" s="1"/>
  <c r="AS340" i="8"/>
  <c r="BQ340" i="8" s="1"/>
  <c r="AT340" i="8"/>
  <c r="BR340" i="8" s="1"/>
  <c r="AU340" i="8"/>
  <c r="BS340" i="8" s="1"/>
  <c r="AV340" i="8"/>
  <c r="BT340" i="8" s="1"/>
  <c r="AW340" i="8"/>
  <c r="BU340" i="8" s="1"/>
  <c r="Z341" i="8"/>
  <c r="AX341" i="8" s="1"/>
  <c r="AA341" i="8"/>
  <c r="AY341" i="8" s="1"/>
  <c r="AB341" i="8"/>
  <c r="AZ341" i="8" s="1"/>
  <c r="AC341" i="8"/>
  <c r="BA341" i="8" s="1"/>
  <c r="AD341" i="8"/>
  <c r="BB341" i="8" s="1"/>
  <c r="AE341" i="8"/>
  <c r="BC341" i="8" s="1"/>
  <c r="AF341" i="8"/>
  <c r="BD341" i="8" s="1"/>
  <c r="AG341" i="8"/>
  <c r="BE341" i="8" s="1"/>
  <c r="AH341" i="8"/>
  <c r="BF341" i="8" s="1"/>
  <c r="AI341" i="8"/>
  <c r="BG341" i="8" s="1"/>
  <c r="AJ341" i="8"/>
  <c r="BH341" i="8" s="1"/>
  <c r="AK341" i="8"/>
  <c r="BI341" i="8" s="1"/>
  <c r="AL341" i="8"/>
  <c r="BJ341" i="8" s="1"/>
  <c r="AM341" i="8"/>
  <c r="BK341" i="8" s="1"/>
  <c r="AN341" i="8"/>
  <c r="BL341" i="8" s="1"/>
  <c r="AO341" i="8"/>
  <c r="BM341" i="8" s="1"/>
  <c r="AP341" i="8"/>
  <c r="BN341" i="8" s="1"/>
  <c r="AQ341" i="8"/>
  <c r="BO341" i="8" s="1"/>
  <c r="AR341" i="8"/>
  <c r="BP341" i="8" s="1"/>
  <c r="AS341" i="8"/>
  <c r="BQ341" i="8" s="1"/>
  <c r="AT341" i="8"/>
  <c r="BR341" i="8" s="1"/>
  <c r="AU341" i="8"/>
  <c r="BS341" i="8" s="1"/>
  <c r="AV341" i="8"/>
  <c r="BT341" i="8" s="1"/>
  <c r="AW341" i="8"/>
  <c r="BU341" i="8" s="1"/>
  <c r="Z342" i="8"/>
  <c r="AX342" i="8" s="1"/>
  <c r="AA342" i="8"/>
  <c r="AY342" i="8" s="1"/>
  <c r="AB342" i="8"/>
  <c r="AZ342" i="8" s="1"/>
  <c r="AC342" i="8"/>
  <c r="BA342" i="8" s="1"/>
  <c r="AD342" i="8"/>
  <c r="BB342" i="8" s="1"/>
  <c r="AE342" i="8"/>
  <c r="BC342" i="8" s="1"/>
  <c r="AF342" i="8"/>
  <c r="BD342" i="8" s="1"/>
  <c r="AG342" i="8"/>
  <c r="BE342" i="8" s="1"/>
  <c r="AH342" i="8"/>
  <c r="BF342" i="8" s="1"/>
  <c r="AI342" i="8"/>
  <c r="BG342" i="8" s="1"/>
  <c r="AJ342" i="8"/>
  <c r="BH342" i="8" s="1"/>
  <c r="AK342" i="8"/>
  <c r="BI342" i="8" s="1"/>
  <c r="AL342" i="8"/>
  <c r="BJ342" i="8" s="1"/>
  <c r="AM342" i="8"/>
  <c r="BK342" i="8" s="1"/>
  <c r="AN342" i="8"/>
  <c r="BL342" i="8" s="1"/>
  <c r="AO342" i="8"/>
  <c r="BM342" i="8" s="1"/>
  <c r="AP342" i="8"/>
  <c r="BN342" i="8" s="1"/>
  <c r="AQ342" i="8"/>
  <c r="BO342" i="8" s="1"/>
  <c r="AR342" i="8"/>
  <c r="BP342" i="8" s="1"/>
  <c r="AS342" i="8"/>
  <c r="BQ342" i="8" s="1"/>
  <c r="AT342" i="8"/>
  <c r="BR342" i="8" s="1"/>
  <c r="AU342" i="8"/>
  <c r="BS342" i="8" s="1"/>
  <c r="AV342" i="8"/>
  <c r="BT342" i="8" s="1"/>
  <c r="AW342" i="8"/>
  <c r="BU342" i="8" s="1"/>
  <c r="Z343" i="8"/>
  <c r="AX343" i="8" s="1"/>
  <c r="AA343" i="8"/>
  <c r="AY343" i="8" s="1"/>
  <c r="AB343" i="8"/>
  <c r="AZ343" i="8" s="1"/>
  <c r="AC343" i="8"/>
  <c r="BA343" i="8" s="1"/>
  <c r="AD343" i="8"/>
  <c r="BB343" i="8" s="1"/>
  <c r="AE343" i="8"/>
  <c r="BC343" i="8" s="1"/>
  <c r="AF343" i="8"/>
  <c r="BD343" i="8" s="1"/>
  <c r="AG343" i="8"/>
  <c r="BE343" i="8" s="1"/>
  <c r="AH343" i="8"/>
  <c r="BF343" i="8" s="1"/>
  <c r="AI343" i="8"/>
  <c r="BG343" i="8" s="1"/>
  <c r="AJ343" i="8"/>
  <c r="BH343" i="8" s="1"/>
  <c r="AK343" i="8"/>
  <c r="BI343" i="8" s="1"/>
  <c r="AL343" i="8"/>
  <c r="BJ343" i="8" s="1"/>
  <c r="AM343" i="8"/>
  <c r="BK343" i="8" s="1"/>
  <c r="AN343" i="8"/>
  <c r="BL343" i="8" s="1"/>
  <c r="AO343" i="8"/>
  <c r="BM343" i="8" s="1"/>
  <c r="AP343" i="8"/>
  <c r="BN343" i="8" s="1"/>
  <c r="AQ343" i="8"/>
  <c r="BO343" i="8" s="1"/>
  <c r="AR343" i="8"/>
  <c r="BP343" i="8" s="1"/>
  <c r="AS343" i="8"/>
  <c r="BQ343" i="8" s="1"/>
  <c r="AT343" i="8"/>
  <c r="BR343" i="8" s="1"/>
  <c r="AU343" i="8"/>
  <c r="BS343" i="8" s="1"/>
  <c r="AV343" i="8"/>
  <c r="BT343" i="8" s="1"/>
  <c r="AW343" i="8"/>
  <c r="BU343" i="8" s="1"/>
  <c r="Z344" i="8"/>
  <c r="AA344" i="8"/>
  <c r="AY344" i="8" s="1"/>
  <c r="AB344" i="8"/>
  <c r="AZ344" i="8" s="1"/>
  <c r="AC344" i="8"/>
  <c r="BA344" i="8" s="1"/>
  <c r="AD344" i="8"/>
  <c r="BB344" i="8" s="1"/>
  <c r="AE344" i="8"/>
  <c r="BC344" i="8" s="1"/>
  <c r="AF344" i="8"/>
  <c r="BD344" i="8" s="1"/>
  <c r="AG344" i="8"/>
  <c r="BE344" i="8" s="1"/>
  <c r="AH344" i="8"/>
  <c r="BF344" i="8" s="1"/>
  <c r="AI344" i="8"/>
  <c r="BG344" i="8" s="1"/>
  <c r="AJ344" i="8"/>
  <c r="BH344" i="8" s="1"/>
  <c r="AK344" i="8"/>
  <c r="BI344" i="8" s="1"/>
  <c r="AL344" i="8"/>
  <c r="BJ344" i="8" s="1"/>
  <c r="AM344" i="8"/>
  <c r="BK344" i="8" s="1"/>
  <c r="AN344" i="8"/>
  <c r="BL344" i="8" s="1"/>
  <c r="AO344" i="8"/>
  <c r="BM344" i="8" s="1"/>
  <c r="AP344" i="8"/>
  <c r="BN344" i="8" s="1"/>
  <c r="AQ344" i="8"/>
  <c r="BO344" i="8" s="1"/>
  <c r="AR344" i="8"/>
  <c r="BP344" i="8" s="1"/>
  <c r="AS344" i="8"/>
  <c r="BQ344" i="8" s="1"/>
  <c r="AT344" i="8"/>
  <c r="BR344" i="8" s="1"/>
  <c r="AU344" i="8"/>
  <c r="BS344" i="8" s="1"/>
  <c r="AV344" i="8"/>
  <c r="BT344" i="8" s="1"/>
  <c r="AW344" i="8"/>
  <c r="BU344" i="8" s="1"/>
  <c r="AX344" i="8"/>
  <c r="Z345" i="8"/>
  <c r="AX345" i="8" s="1"/>
  <c r="AA345" i="8"/>
  <c r="AY345" i="8" s="1"/>
  <c r="AB345" i="8"/>
  <c r="AZ345" i="8" s="1"/>
  <c r="AC345" i="8"/>
  <c r="BA345" i="8" s="1"/>
  <c r="AD345" i="8"/>
  <c r="BB345" i="8" s="1"/>
  <c r="AE345" i="8"/>
  <c r="BC345" i="8" s="1"/>
  <c r="AF345" i="8"/>
  <c r="BD345" i="8" s="1"/>
  <c r="AG345" i="8"/>
  <c r="BE345" i="8" s="1"/>
  <c r="AH345" i="8"/>
  <c r="BF345" i="8" s="1"/>
  <c r="AI345" i="8"/>
  <c r="BG345" i="8" s="1"/>
  <c r="AJ345" i="8"/>
  <c r="BH345" i="8" s="1"/>
  <c r="AK345" i="8"/>
  <c r="BI345" i="8" s="1"/>
  <c r="AL345" i="8"/>
  <c r="BJ345" i="8" s="1"/>
  <c r="AM345" i="8"/>
  <c r="BK345" i="8" s="1"/>
  <c r="AN345" i="8"/>
  <c r="BL345" i="8" s="1"/>
  <c r="AO345" i="8"/>
  <c r="BM345" i="8" s="1"/>
  <c r="AP345" i="8"/>
  <c r="BN345" i="8" s="1"/>
  <c r="AQ345" i="8"/>
  <c r="BO345" i="8" s="1"/>
  <c r="AR345" i="8"/>
  <c r="BP345" i="8" s="1"/>
  <c r="AS345" i="8"/>
  <c r="BQ345" i="8" s="1"/>
  <c r="AT345" i="8"/>
  <c r="BR345" i="8" s="1"/>
  <c r="AU345" i="8"/>
  <c r="BS345" i="8" s="1"/>
  <c r="AV345" i="8"/>
  <c r="BT345" i="8" s="1"/>
  <c r="AW345" i="8"/>
  <c r="BU345" i="8" s="1"/>
  <c r="Z346" i="8"/>
  <c r="AX346" i="8" s="1"/>
  <c r="AA346" i="8"/>
  <c r="AY346" i="8" s="1"/>
  <c r="AB346" i="8"/>
  <c r="AZ346" i="8" s="1"/>
  <c r="AC346" i="8"/>
  <c r="BA346" i="8" s="1"/>
  <c r="AD346" i="8"/>
  <c r="BB346" i="8" s="1"/>
  <c r="AF346" i="8"/>
  <c r="BD346" i="8" s="1"/>
  <c r="AG346" i="8"/>
  <c r="BE346" i="8" s="1"/>
  <c r="AH346" i="8"/>
  <c r="BF346" i="8" s="1"/>
  <c r="AI346" i="8"/>
  <c r="BG346" i="8" s="1"/>
  <c r="AJ346" i="8"/>
  <c r="BH346" i="8" s="1"/>
  <c r="AK346" i="8"/>
  <c r="BI346" i="8" s="1"/>
  <c r="AL346" i="8"/>
  <c r="BJ346" i="8" s="1"/>
  <c r="AM346" i="8"/>
  <c r="BK346" i="8" s="1"/>
  <c r="AN346" i="8"/>
  <c r="BL346" i="8" s="1"/>
  <c r="AO346" i="8"/>
  <c r="BM346" i="8" s="1"/>
  <c r="AP346" i="8"/>
  <c r="BN346" i="8" s="1"/>
  <c r="AQ346" i="8"/>
  <c r="BO346" i="8" s="1"/>
  <c r="AR346" i="8"/>
  <c r="BP346" i="8" s="1"/>
  <c r="AS346" i="8"/>
  <c r="BQ346" i="8" s="1"/>
  <c r="AT346" i="8"/>
  <c r="BR346" i="8" s="1"/>
  <c r="AU346" i="8"/>
  <c r="BS346" i="8" s="1"/>
  <c r="AV346" i="8"/>
  <c r="BT346" i="8" s="1"/>
  <c r="AW346" i="8"/>
  <c r="BU346" i="8" s="1"/>
  <c r="BC346" i="8"/>
  <c r="Z347" i="8"/>
  <c r="AX347" i="8" s="1"/>
  <c r="AA347" i="8"/>
  <c r="AY347" i="8" s="1"/>
  <c r="AB347" i="8"/>
  <c r="AZ347" i="8" s="1"/>
  <c r="AC347" i="8"/>
  <c r="BA347" i="8" s="1"/>
  <c r="AD347" i="8"/>
  <c r="BB347" i="8" s="1"/>
  <c r="AF347" i="8"/>
  <c r="BD347" i="8" s="1"/>
  <c r="AG347" i="8"/>
  <c r="BE347" i="8" s="1"/>
  <c r="AH347" i="8"/>
  <c r="BF347" i="8" s="1"/>
  <c r="AI347" i="8"/>
  <c r="BG347" i="8" s="1"/>
  <c r="AJ347" i="8"/>
  <c r="BH347" i="8" s="1"/>
  <c r="AK347" i="8"/>
  <c r="BI347" i="8" s="1"/>
  <c r="AL347" i="8"/>
  <c r="BJ347" i="8" s="1"/>
  <c r="AM347" i="8"/>
  <c r="BK347" i="8" s="1"/>
  <c r="AN347" i="8"/>
  <c r="BL347" i="8" s="1"/>
  <c r="AO347" i="8"/>
  <c r="BM347" i="8" s="1"/>
  <c r="AP347" i="8"/>
  <c r="BN347" i="8" s="1"/>
  <c r="AQ347" i="8"/>
  <c r="BO347" i="8" s="1"/>
  <c r="AR347" i="8"/>
  <c r="BP347" i="8" s="1"/>
  <c r="AS347" i="8"/>
  <c r="BQ347" i="8" s="1"/>
  <c r="AT347" i="8"/>
  <c r="BR347" i="8" s="1"/>
  <c r="AU347" i="8"/>
  <c r="BS347" i="8" s="1"/>
  <c r="AV347" i="8"/>
  <c r="BT347" i="8" s="1"/>
  <c r="AW347" i="8"/>
  <c r="BU347" i="8" s="1"/>
  <c r="BC347" i="8"/>
  <c r="Z348" i="8"/>
  <c r="AX348" i="8" s="1"/>
  <c r="AA348" i="8"/>
  <c r="AY348" i="8" s="1"/>
  <c r="AB348" i="8"/>
  <c r="AZ348" i="8" s="1"/>
  <c r="AC348" i="8"/>
  <c r="BA348" i="8" s="1"/>
  <c r="AD348" i="8"/>
  <c r="BB348" i="8" s="1"/>
  <c r="AF348" i="8"/>
  <c r="BD348" i="8" s="1"/>
  <c r="AG348" i="8"/>
  <c r="BE348" i="8" s="1"/>
  <c r="AH348" i="8"/>
  <c r="BF348" i="8" s="1"/>
  <c r="AI348" i="8"/>
  <c r="BG348" i="8" s="1"/>
  <c r="AJ348" i="8"/>
  <c r="BH348" i="8" s="1"/>
  <c r="AK348" i="8"/>
  <c r="BI348" i="8" s="1"/>
  <c r="AL348" i="8"/>
  <c r="BJ348" i="8" s="1"/>
  <c r="AM348" i="8"/>
  <c r="BK348" i="8" s="1"/>
  <c r="AN348" i="8"/>
  <c r="BL348" i="8" s="1"/>
  <c r="AO348" i="8"/>
  <c r="BM348" i="8" s="1"/>
  <c r="AP348" i="8"/>
  <c r="BN348" i="8" s="1"/>
  <c r="AQ348" i="8"/>
  <c r="BO348" i="8" s="1"/>
  <c r="AR348" i="8"/>
  <c r="BP348" i="8" s="1"/>
  <c r="AS348" i="8"/>
  <c r="BQ348" i="8" s="1"/>
  <c r="AT348" i="8"/>
  <c r="BR348" i="8" s="1"/>
  <c r="AU348" i="8"/>
  <c r="BS348" i="8" s="1"/>
  <c r="AV348" i="8"/>
  <c r="BT348" i="8" s="1"/>
  <c r="AW348" i="8"/>
  <c r="BU348" i="8" s="1"/>
  <c r="BC348" i="8"/>
  <c r="Z349" i="8"/>
  <c r="AX349" i="8" s="1"/>
  <c r="AA349" i="8"/>
  <c r="AY349" i="8" s="1"/>
  <c r="AB349" i="8"/>
  <c r="AZ349" i="8" s="1"/>
  <c r="AC349" i="8"/>
  <c r="BA349" i="8" s="1"/>
  <c r="AD349" i="8"/>
  <c r="BB349" i="8" s="1"/>
  <c r="AF349" i="8"/>
  <c r="BD349" i="8" s="1"/>
  <c r="AG349" i="8"/>
  <c r="BE349" i="8" s="1"/>
  <c r="AH349" i="8"/>
  <c r="BF349" i="8" s="1"/>
  <c r="AI349" i="8"/>
  <c r="BG349" i="8" s="1"/>
  <c r="AJ349" i="8"/>
  <c r="BH349" i="8" s="1"/>
  <c r="AK349" i="8"/>
  <c r="BI349" i="8" s="1"/>
  <c r="AL349" i="8"/>
  <c r="BJ349" i="8" s="1"/>
  <c r="AM349" i="8"/>
  <c r="BK349" i="8" s="1"/>
  <c r="AN349" i="8"/>
  <c r="BL349" i="8" s="1"/>
  <c r="AO349" i="8"/>
  <c r="BM349" i="8" s="1"/>
  <c r="AP349" i="8"/>
  <c r="BN349" i="8" s="1"/>
  <c r="AQ349" i="8"/>
  <c r="BO349" i="8" s="1"/>
  <c r="AR349" i="8"/>
  <c r="BP349" i="8" s="1"/>
  <c r="AS349" i="8"/>
  <c r="BQ349" i="8" s="1"/>
  <c r="AT349" i="8"/>
  <c r="BR349" i="8" s="1"/>
  <c r="AU349" i="8"/>
  <c r="BS349" i="8" s="1"/>
  <c r="AV349" i="8"/>
  <c r="BT349" i="8" s="1"/>
  <c r="AW349" i="8"/>
  <c r="BU349" i="8" s="1"/>
  <c r="BC349" i="8"/>
  <c r="Z350" i="8"/>
  <c r="AX350" i="8" s="1"/>
  <c r="AA350" i="8"/>
  <c r="AY350" i="8" s="1"/>
  <c r="AB350" i="8"/>
  <c r="AZ350" i="8" s="1"/>
  <c r="AC350" i="8"/>
  <c r="BA350" i="8" s="1"/>
  <c r="AD350" i="8"/>
  <c r="BB350" i="8" s="1"/>
  <c r="AF350" i="8"/>
  <c r="BD350" i="8" s="1"/>
  <c r="AG350" i="8"/>
  <c r="BE350" i="8" s="1"/>
  <c r="AH350" i="8"/>
  <c r="BF350" i="8" s="1"/>
  <c r="AI350" i="8"/>
  <c r="BG350" i="8" s="1"/>
  <c r="AJ350" i="8"/>
  <c r="BH350" i="8" s="1"/>
  <c r="AK350" i="8"/>
  <c r="BI350" i="8" s="1"/>
  <c r="AL350" i="8"/>
  <c r="BJ350" i="8" s="1"/>
  <c r="AM350" i="8"/>
  <c r="BK350" i="8" s="1"/>
  <c r="AN350" i="8"/>
  <c r="BL350" i="8" s="1"/>
  <c r="AO350" i="8"/>
  <c r="BM350" i="8" s="1"/>
  <c r="AP350" i="8"/>
  <c r="BN350" i="8" s="1"/>
  <c r="AQ350" i="8"/>
  <c r="BO350" i="8" s="1"/>
  <c r="AR350" i="8"/>
  <c r="BP350" i="8" s="1"/>
  <c r="AS350" i="8"/>
  <c r="BQ350" i="8" s="1"/>
  <c r="AT350" i="8"/>
  <c r="BR350" i="8" s="1"/>
  <c r="AU350" i="8"/>
  <c r="BS350" i="8" s="1"/>
  <c r="AV350" i="8"/>
  <c r="BT350" i="8" s="1"/>
  <c r="AW350" i="8"/>
  <c r="BU350" i="8" s="1"/>
  <c r="BC350" i="8"/>
  <c r="Z351" i="8"/>
  <c r="AX351" i="8" s="1"/>
  <c r="AA351" i="8"/>
  <c r="AY351" i="8" s="1"/>
  <c r="AB351" i="8"/>
  <c r="AZ351" i="8" s="1"/>
  <c r="AC351" i="8"/>
  <c r="BA351" i="8" s="1"/>
  <c r="AD351" i="8"/>
  <c r="BB351" i="8" s="1"/>
  <c r="AF351" i="8"/>
  <c r="BD351" i="8" s="1"/>
  <c r="AG351" i="8"/>
  <c r="BE351" i="8" s="1"/>
  <c r="AH351" i="8"/>
  <c r="BF351" i="8" s="1"/>
  <c r="AI351" i="8"/>
  <c r="BG351" i="8" s="1"/>
  <c r="AJ351" i="8"/>
  <c r="BH351" i="8" s="1"/>
  <c r="AK351" i="8"/>
  <c r="BI351" i="8" s="1"/>
  <c r="AL351" i="8"/>
  <c r="BJ351" i="8" s="1"/>
  <c r="AM351" i="8"/>
  <c r="BK351" i="8" s="1"/>
  <c r="AN351" i="8"/>
  <c r="BL351" i="8" s="1"/>
  <c r="AO351" i="8"/>
  <c r="BM351" i="8" s="1"/>
  <c r="AP351" i="8"/>
  <c r="BN351" i="8" s="1"/>
  <c r="AQ351" i="8"/>
  <c r="BO351" i="8" s="1"/>
  <c r="AR351" i="8"/>
  <c r="BP351" i="8" s="1"/>
  <c r="AS351" i="8"/>
  <c r="BQ351" i="8" s="1"/>
  <c r="AT351" i="8"/>
  <c r="BR351" i="8" s="1"/>
  <c r="AU351" i="8"/>
  <c r="BS351" i="8" s="1"/>
  <c r="AV351" i="8"/>
  <c r="BT351" i="8" s="1"/>
  <c r="AW351" i="8"/>
  <c r="BU351" i="8" s="1"/>
  <c r="BC351" i="8"/>
  <c r="Z352" i="8"/>
  <c r="AX352" i="8" s="1"/>
  <c r="AA352" i="8"/>
  <c r="AY352" i="8" s="1"/>
  <c r="AB352" i="8"/>
  <c r="AZ352" i="8" s="1"/>
  <c r="AC352" i="8"/>
  <c r="BA352" i="8" s="1"/>
  <c r="AD352" i="8"/>
  <c r="BB352" i="8" s="1"/>
  <c r="AF352" i="8"/>
  <c r="BD352" i="8" s="1"/>
  <c r="AG352" i="8"/>
  <c r="BE352" i="8" s="1"/>
  <c r="AH352" i="8"/>
  <c r="BF352" i="8" s="1"/>
  <c r="AI352" i="8"/>
  <c r="BG352" i="8" s="1"/>
  <c r="AJ352" i="8"/>
  <c r="BH352" i="8" s="1"/>
  <c r="AK352" i="8"/>
  <c r="BI352" i="8" s="1"/>
  <c r="AL352" i="8"/>
  <c r="BJ352" i="8" s="1"/>
  <c r="AM352" i="8"/>
  <c r="BK352" i="8" s="1"/>
  <c r="AN352" i="8"/>
  <c r="BL352" i="8" s="1"/>
  <c r="AO352" i="8"/>
  <c r="BM352" i="8" s="1"/>
  <c r="AP352" i="8"/>
  <c r="BN352" i="8" s="1"/>
  <c r="AQ352" i="8"/>
  <c r="BO352" i="8" s="1"/>
  <c r="AR352" i="8"/>
  <c r="BP352" i="8" s="1"/>
  <c r="AS352" i="8"/>
  <c r="BQ352" i="8" s="1"/>
  <c r="AT352" i="8"/>
  <c r="BR352" i="8" s="1"/>
  <c r="AU352" i="8"/>
  <c r="BS352" i="8" s="1"/>
  <c r="AV352" i="8"/>
  <c r="BT352" i="8" s="1"/>
  <c r="AW352" i="8"/>
  <c r="BU352" i="8" s="1"/>
  <c r="BC352" i="8"/>
  <c r="Z353" i="8"/>
  <c r="AX353" i="8" s="1"/>
  <c r="AA353" i="8"/>
  <c r="AY353" i="8" s="1"/>
  <c r="AB353" i="8"/>
  <c r="AZ353" i="8" s="1"/>
  <c r="AC353" i="8"/>
  <c r="BA353" i="8" s="1"/>
  <c r="AD353" i="8"/>
  <c r="BB353" i="8" s="1"/>
  <c r="AF353" i="8"/>
  <c r="BD353" i="8" s="1"/>
  <c r="AG353" i="8"/>
  <c r="BE353" i="8" s="1"/>
  <c r="AH353" i="8"/>
  <c r="BF353" i="8" s="1"/>
  <c r="AI353" i="8"/>
  <c r="BG353" i="8" s="1"/>
  <c r="AJ353" i="8"/>
  <c r="BH353" i="8" s="1"/>
  <c r="AK353" i="8"/>
  <c r="BI353" i="8" s="1"/>
  <c r="AL353" i="8"/>
  <c r="BJ353" i="8" s="1"/>
  <c r="AM353" i="8"/>
  <c r="BK353" i="8" s="1"/>
  <c r="AN353" i="8"/>
  <c r="BL353" i="8" s="1"/>
  <c r="AO353" i="8"/>
  <c r="BM353" i="8" s="1"/>
  <c r="AP353" i="8"/>
  <c r="BN353" i="8" s="1"/>
  <c r="AQ353" i="8"/>
  <c r="BO353" i="8" s="1"/>
  <c r="AR353" i="8"/>
  <c r="BP353" i="8" s="1"/>
  <c r="AS353" i="8"/>
  <c r="BQ353" i="8" s="1"/>
  <c r="AT353" i="8"/>
  <c r="BR353" i="8" s="1"/>
  <c r="AU353" i="8"/>
  <c r="BS353" i="8" s="1"/>
  <c r="AV353" i="8"/>
  <c r="BT353" i="8" s="1"/>
  <c r="AW353" i="8"/>
  <c r="BU353" i="8" s="1"/>
  <c r="BC353" i="8"/>
  <c r="Z354" i="8"/>
  <c r="AX354" i="8" s="1"/>
  <c r="AA354" i="8"/>
  <c r="AY354" i="8" s="1"/>
  <c r="AB354" i="8"/>
  <c r="AZ354" i="8" s="1"/>
  <c r="AC354" i="8"/>
  <c r="BA354" i="8" s="1"/>
  <c r="AD354" i="8"/>
  <c r="BB354" i="8" s="1"/>
  <c r="AF354" i="8"/>
  <c r="BD354" i="8" s="1"/>
  <c r="AG354" i="8"/>
  <c r="BE354" i="8" s="1"/>
  <c r="AH354" i="8"/>
  <c r="BF354" i="8" s="1"/>
  <c r="AI354" i="8"/>
  <c r="BG354" i="8" s="1"/>
  <c r="AJ354" i="8"/>
  <c r="BH354" i="8" s="1"/>
  <c r="AK354" i="8"/>
  <c r="BI354" i="8" s="1"/>
  <c r="AL354" i="8"/>
  <c r="BJ354" i="8" s="1"/>
  <c r="AM354" i="8"/>
  <c r="BK354" i="8" s="1"/>
  <c r="AN354" i="8"/>
  <c r="BL354" i="8" s="1"/>
  <c r="AO354" i="8"/>
  <c r="BM354" i="8" s="1"/>
  <c r="AP354" i="8"/>
  <c r="BN354" i="8" s="1"/>
  <c r="AQ354" i="8"/>
  <c r="BO354" i="8" s="1"/>
  <c r="AR354" i="8"/>
  <c r="BP354" i="8" s="1"/>
  <c r="AS354" i="8"/>
  <c r="BQ354" i="8" s="1"/>
  <c r="AT354" i="8"/>
  <c r="BR354" i="8" s="1"/>
  <c r="AU354" i="8"/>
  <c r="BS354" i="8" s="1"/>
  <c r="AV354" i="8"/>
  <c r="BT354" i="8" s="1"/>
  <c r="AW354" i="8"/>
  <c r="BU354" i="8" s="1"/>
  <c r="BC354" i="8"/>
  <c r="Z355" i="8"/>
  <c r="AX355" i="8" s="1"/>
  <c r="AA355" i="8"/>
  <c r="AY355" i="8" s="1"/>
  <c r="AB355" i="8"/>
  <c r="AZ355" i="8" s="1"/>
  <c r="AC355" i="8"/>
  <c r="BA355" i="8" s="1"/>
  <c r="AD355" i="8"/>
  <c r="BB355" i="8" s="1"/>
  <c r="AF355" i="8"/>
  <c r="BD355" i="8" s="1"/>
  <c r="AG355" i="8"/>
  <c r="BE355" i="8" s="1"/>
  <c r="AH355" i="8"/>
  <c r="BF355" i="8" s="1"/>
  <c r="AI355" i="8"/>
  <c r="BG355" i="8" s="1"/>
  <c r="AJ355" i="8"/>
  <c r="BH355" i="8" s="1"/>
  <c r="AK355" i="8"/>
  <c r="BI355" i="8" s="1"/>
  <c r="AL355" i="8"/>
  <c r="BJ355" i="8" s="1"/>
  <c r="AM355" i="8"/>
  <c r="BK355" i="8" s="1"/>
  <c r="AN355" i="8"/>
  <c r="BL355" i="8" s="1"/>
  <c r="AO355" i="8"/>
  <c r="BM355" i="8" s="1"/>
  <c r="AP355" i="8"/>
  <c r="BN355" i="8" s="1"/>
  <c r="AQ355" i="8"/>
  <c r="BO355" i="8" s="1"/>
  <c r="AR355" i="8"/>
  <c r="BP355" i="8" s="1"/>
  <c r="AS355" i="8"/>
  <c r="BQ355" i="8" s="1"/>
  <c r="AT355" i="8"/>
  <c r="BR355" i="8" s="1"/>
  <c r="AU355" i="8"/>
  <c r="BS355" i="8" s="1"/>
  <c r="AV355" i="8"/>
  <c r="BT355" i="8" s="1"/>
  <c r="AW355" i="8"/>
  <c r="BU355" i="8" s="1"/>
  <c r="BC355" i="8"/>
  <c r="Z356" i="8"/>
  <c r="AX356" i="8" s="1"/>
  <c r="AA356" i="8"/>
  <c r="AY356" i="8" s="1"/>
  <c r="AB356" i="8"/>
  <c r="AZ356" i="8" s="1"/>
  <c r="AC356" i="8"/>
  <c r="BA356" i="8" s="1"/>
  <c r="AD356" i="8"/>
  <c r="BB356" i="8" s="1"/>
  <c r="AF356" i="8"/>
  <c r="BD356" i="8" s="1"/>
  <c r="AG356" i="8"/>
  <c r="BE356" i="8" s="1"/>
  <c r="AH356" i="8"/>
  <c r="BF356" i="8" s="1"/>
  <c r="AI356" i="8"/>
  <c r="BG356" i="8" s="1"/>
  <c r="AJ356" i="8"/>
  <c r="BH356" i="8" s="1"/>
  <c r="AK356" i="8"/>
  <c r="BI356" i="8" s="1"/>
  <c r="AL356" i="8"/>
  <c r="BJ356" i="8" s="1"/>
  <c r="AM356" i="8"/>
  <c r="BK356" i="8" s="1"/>
  <c r="AN356" i="8"/>
  <c r="BL356" i="8" s="1"/>
  <c r="AO356" i="8"/>
  <c r="BM356" i="8" s="1"/>
  <c r="AP356" i="8"/>
  <c r="BN356" i="8" s="1"/>
  <c r="AQ356" i="8"/>
  <c r="BO356" i="8" s="1"/>
  <c r="AR356" i="8"/>
  <c r="BP356" i="8" s="1"/>
  <c r="AS356" i="8"/>
  <c r="BQ356" i="8" s="1"/>
  <c r="AT356" i="8"/>
  <c r="BR356" i="8" s="1"/>
  <c r="AU356" i="8"/>
  <c r="BS356" i="8" s="1"/>
  <c r="AV356" i="8"/>
  <c r="BT356" i="8" s="1"/>
  <c r="AW356" i="8"/>
  <c r="BU356" i="8" s="1"/>
  <c r="BC356" i="8"/>
  <c r="Z357" i="8"/>
  <c r="AX357" i="8" s="1"/>
  <c r="AA357" i="8"/>
  <c r="AY357" i="8" s="1"/>
  <c r="AB357" i="8"/>
  <c r="AZ357" i="8" s="1"/>
  <c r="AC357" i="8"/>
  <c r="BA357" i="8" s="1"/>
  <c r="AD357" i="8"/>
  <c r="BB357" i="8" s="1"/>
  <c r="AF357" i="8"/>
  <c r="BD357" i="8" s="1"/>
  <c r="AG357" i="8"/>
  <c r="BE357" i="8" s="1"/>
  <c r="AH357" i="8"/>
  <c r="BF357" i="8" s="1"/>
  <c r="AI357" i="8"/>
  <c r="BG357" i="8" s="1"/>
  <c r="AJ357" i="8"/>
  <c r="BH357" i="8" s="1"/>
  <c r="AK357" i="8"/>
  <c r="BI357" i="8" s="1"/>
  <c r="AL357" i="8"/>
  <c r="BJ357" i="8" s="1"/>
  <c r="AM357" i="8"/>
  <c r="BK357" i="8" s="1"/>
  <c r="AN357" i="8"/>
  <c r="BL357" i="8" s="1"/>
  <c r="AO357" i="8"/>
  <c r="BM357" i="8" s="1"/>
  <c r="AP357" i="8"/>
  <c r="BN357" i="8" s="1"/>
  <c r="AQ357" i="8"/>
  <c r="BO357" i="8" s="1"/>
  <c r="AR357" i="8"/>
  <c r="BP357" i="8" s="1"/>
  <c r="AS357" i="8"/>
  <c r="BQ357" i="8" s="1"/>
  <c r="AT357" i="8"/>
  <c r="BR357" i="8" s="1"/>
  <c r="AU357" i="8"/>
  <c r="BS357" i="8" s="1"/>
  <c r="AV357" i="8"/>
  <c r="BT357" i="8" s="1"/>
  <c r="AW357" i="8"/>
  <c r="BU357" i="8" s="1"/>
  <c r="BC357" i="8"/>
  <c r="Z358" i="8"/>
  <c r="AX358" i="8" s="1"/>
  <c r="AA358" i="8"/>
  <c r="AY358" i="8" s="1"/>
  <c r="AB358" i="8"/>
  <c r="AZ358" i="8" s="1"/>
  <c r="AC358" i="8"/>
  <c r="BA358" i="8" s="1"/>
  <c r="AD358" i="8"/>
  <c r="BB358" i="8" s="1"/>
  <c r="AF358" i="8"/>
  <c r="BD358" i="8" s="1"/>
  <c r="AG358" i="8"/>
  <c r="BE358" i="8" s="1"/>
  <c r="AH358" i="8"/>
  <c r="BF358" i="8" s="1"/>
  <c r="AI358" i="8"/>
  <c r="BG358" i="8" s="1"/>
  <c r="AJ358" i="8"/>
  <c r="BH358" i="8" s="1"/>
  <c r="AK358" i="8"/>
  <c r="BI358" i="8" s="1"/>
  <c r="AL358" i="8"/>
  <c r="BJ358" i="8" s="1"/>
  <c r="AM358" i="8"/>
  <c r="BK358" i="8" s="1"/>
  <c r="AN358" i="8"/>
  <c r="BL358" i="8" s="1"/>
  <c r="AO358" i="8"/>
  <c r="BM358" i="8" s="1"/>
  <c r="AP358" i="8"/>
  <c r="BN358" i="8" s="1"/>
  <c r="AQ358" i="8"/>
  <c r="BO358" i="8" s="1"/>
  <c r="AR358" i="8"/>
  <c r="BP358" i="8" s="1"/>
  <c r="AS358" i="8"/>
  <c r="BQ358" i="8" s="1"/>
  <c r="AT358" i="8"/>
  <c r="BR358" i="8" s="1"/>
  <c r="AU358" i="8"/>
  <c r="BS358" i="8" s="1"/>
  <c r="AV358" i="8"/>
  <c r="BT358" i="8" s="1"/>
  <c r="AW358" i="8"/>
  <c r="BU358" i="8" s="1"/>
  <c r="BC358" i="8"/>
  <c r="Z359" i="8"/>
  <c r="AX359" i="8" s="1"/>
  <c r="AA359" i="8"/>
  <c r="AY359" i="8" s="1"/>
  <c r="AB359" i="8"/>
  <c r="AZ359" i="8" s="1"/>
  <c r="AC359" i="8"/>
  <c r="BA359" i="8" s="1"/>
  <c r="AD359" i="8"/>
  <c r="BB359" i="8" s="1"/>
  <c r="AF359" i="8"/>
  <c r="BD359" i="8" s="1"/>
  <c r="AG359" i="8"/>
  <c r="BE359" i="8" s="1"/>
  <c r="AH359" i="8"/>
  <c r="BF359" i="8" s="1"/>
  <c r="AI359" i="8"/>
  <c r="BG359" i="8" s="1"/>
  <c r="AJ359" i="8"/>
  <c r="BH359" i="8" s="1"/>
  <c r="AK359" i="8"/>
  <c r="BI359" i="8" s="1"/>
  <c r="AL359" i="8"/>
  <c r="BJ359" i="8" s="1"/>
  <c r="AM359" i="8"/>
  <c r="BK359" i="8" s="1"/>
  <c r="AN359" i="8"/>
  <c r="BL359" i="8" s="1"/>
  <c r="AO359" i="8"/>
  <c r="BM359" i="8" s="1"/>
  <c r="AP359" i="8"/>
  <c r="BN359" i="8" s="1"/>
  <c r="AQ359" i="8"/>
  <c r="BO359" i="8" s="1"/>
  <c r="AR359" i="8"/>
  <c r="BP359" i="8" s="1"/>
  <c r="AS359" i="8"/>
  <c r="BQ359" i="8" s="1"/>
  <c r="AT359" i="8"/>
  <c r="BR359" i="8" s="1"/>
  <c r="AU359" i="8"/>
  <c r="BS359" i="8" s="1"/>
  <c r="AV359" i="8"/>
  <c r="BT359" i="8" s="1"/>
  <c r="AW359" i="8"/>
  <c r="BU359" i="8" s="1"/>
  <c r="BC359" i="8"/>
  <c r="Z360" i="8"/>
  <c r="AX360" i="8" s="1"/>
  <c r="AA360" i="8"/>
  <c r="AY360" i="8" s="1"/>
  <c r="AB360" i="8"/>
  <c r="AZ360" i="8" s="1"/>
  <c r="AC360" i="8"/>
  <c r="BA360" i="8" s="1"/>
  <c r="AD360" i="8"/>
  <c r="BB360" i="8" s="1"/>
  <c r="AF360" i="8"/>
  <c r="BD360" i="8" s="1"/>
  <c r="AG360" i="8"/>
  <c r="BE360" i="8" s="1"/>
  <c r="AH360" i="8"/>
  <c r="BF360" i="8" s="1"/>
  <c r="AI360" i="8"/>
  <c r="BG360" i="8" s="1"/>
  <c r="AJ360" i="8"/>
  <c r="BH360" i="8" s="1"/>
  <c r="AK360" i="8"/>
  <c r="BI360" i="8" s="1"/>
  <c r="AL360" i="8"/>
  <c r="BJ360" i="8" s="1"/>
  <c r="AM360" i="8"/>
  <c r="BK360" i="8" s="1"/>
  <c r="AN360" i="8"/>
  <c r="BL360" i="8" s="1"/>
  <c r="AO360" i="8"/>
  <c r="BM360" i="8" s="1"/>
  <c r="AP360" i="8"/>
  <c r="BN360" i="8" s="1"/>
  <c r="AQ360" i="8"/>
  <c r="BO360" i="8" s="1"/>
  <c r="AR360" i="8"/>
  <c r="BP360" i="8" s="1"/>
  <c r="AS360" i="8"/>
  <c r="BQ360" i="8" s="1"/>
  <c r="AT360" i="8"/>
  <c r="BR360" i="8" s="1"/>
  <c r="AU360" i="8"/>
  <c r="BS360" i="8" s="1"/>
  <c r="AV360" i="8"/>
  <c r="BT360" i="8" s="1"/>
  <c r="AW360" i="8"/>
  <c r="BU360" i="8" s="1"/>
  <c r="BC360" i="8"/>
  <c r="Z361" i="8"/>
  <c r="AX361" i="8" s="1"/>
  <c r="AA361" i="8"/>
  <c r="AY361" i="8" s="1"/>
  <c r="AB361" i="8"/>
  <c r="AZ361" i="8" s="1"/>
  <c r="AC361" i="8"/>
  <c r="BA361" i="8" s="1"/>
  <c r="AD361" i="8"/>
  <c r="BB361" i="8" s="1"/>
  <c r="AF361" i="8"/>
  <c r="BD361" i="8" s="1"/>
  <c r="AG361" i="8"/>
  <c r="BE361" i="8" s="1"/>
  <c r="AH361" i="8"/>
  <c r="BF361" i="8" s="1"/>
  <c r="AI361" i="8"/>
  <c r="BG361" i="8" s="1"/>
  <c r="AJ361" i="8"/>
  <c r="BH361" i="8" s="1"/>
  <c r="AK361" i="8"/>
  <c r="BI361" i="8" s="1"/>
  <c r="AL361" i="8"/>
  <c r="BJ361" i="8" s="1"/>
  <c r="AM361" i="8"/>
  <c r="BK361" i="8" s="1"/>
  <c r="AN361" i="8"/>
  <c r="BL361" i="8" s="1"/>
  <c r="AO361" i="8"/>
  <c r="BM361" i="8" s="1"/>
  <c r="AP361" i="8"/>
  <c r="BN361" i="8" s="1"/>
  <c r="AQ361" i="8"/>
  <c r="BO361" i="8" s="1"/>
  <c r="AR361" i="8"/>
  <c r="BP361" i="8" s="1"/>
  <c r="AS361" i="8"/>
  <c r="BQ361" i="8" s="1"/>
  <c r="AT361" i="8"/>
  <c r="BR361" i="8" s="1"/>
  <c r="AU361" i="8"/>
  <c r="BS361" i="8" s="1"/>
  <c r="AV361" i="8"/>
  <c r="BT361" i="8" s="1"/>
  <c r="AW361" i="8"/>
  <c r="BU361" i="8" s="1"/>
  <c r="BC361" i="8"/>
  <c r="Z362" i="8"/>
  <c r="AX362" i="8" s="1"/>
  <c r="AA362" i="8"/>
  <c r="AY362" i="8" s="1"/>
  <c r="AB362" i="8"/>
  <c r="AZ362" i="8" s="1"/>
  <c r="AC362" i="8"/>
  <c r="BA362" i="8" s="1"/>
  <c r="AD362" i="8"/>
  <c r="BB362" i="8" s="1"/>
  <c r="AF362" i="8"/>
  <c r="BD362" i="8" s="1"/>
  <c r="AG362" i="8"/>
  <c r="BE362" i="8" s="1"/>
  <c r="AH362" i="8"/>
  <c r="BF362" i="8" s="1"/>
  <c r="AI362" i="8"/>
  <c r="BG362" i="8" s="1"/>
  <c r="AJ362" i="8"/>
  <c r="BH362" i="8" s="1"/>
  <c r="AK362" i="8"/>
  <c r="BI362" i="8" s="1"/>
  <c r="AL362" i="8"/>
  <c r="BJ362" i="8" s="1"/>
  <c r="AM362" i="8"/>
  <c r="BK362" i="8" s="1"/>
  <c r="AN362" i="8"/>
  <c r="BL362" i="8" s="1"/>
  <c r="AO362" i="8"/>
  <c r="BM362" i="8" s="1"/>
  <c r="AP362" i="8"/>
  <c r="BN362" i="8" s="1"/>
  <c r="AQ362" i="8"/>
  <c r="BO362" i="8" s="1"/>
  <c r="AR362" i="8"/>
  <c r="BP362" i="8" s="1"/>
  <c r="AS362" i="8"/>
  <c r="BQ362" i="8" s="1"/>
  <c r="AT362" i="8"/>
  <c r="BR362" i="8" s="1"/>
  <c r="AU362" i="8"/>
  <c r="BS362" i="8" s="1"/>
  <c r="AV362" i="8"/>
  <c r="BT362" i="8" s="1"/>
  <c r="AW362" i="8"/>
  <c r="BU362" i="8" s="1"/>
  <c r="BC362" i="8"/>
  <c r="Z363" i="8"/>
  <c r="AX363" i="8" s="1"/>
  <c r="AA363" i="8"/>
  <c r="AY363" i="8" s="1"/>
  <c r="AB363" i="8"/>
  <c r="AZ363" i="8" s="1"/>
  <c r="AC363" i="8"/>
  <c r="BA363" i="8" s="1"/>
  <c r="AD363" i="8"/>
  <c r="BB363" i="8" s="1"/>
  <c r="BC363" i="8"/>
  <c r="AF363" i="8"/>
  <c r="BD363" i="8" s="1"/>
  <c r="AG363" i="8"/>
  <c r="BE363" i="8" s="1"/>
  <c r="AH363" i="8"/>
  <c r="BF363" i="8" s="1"/>
  <c r="AI363" i="8"/>
  <c r="BG363" i="8" s="1"/>
  <c r="AJ363" i="8"/>
  <c r="BH363" i="8" s="1"/>
  <c r="AK363" i="8"/>
  <c r="BI363" i="8" s="1"/>
  <c r="AL363" i="8"/>
  <c r="BJ363" i="8" s="1"/>
  <c r="AM363" i="8"/>
  <c r="BK363" i="8" s="1"/>
  <c r="AN363" i="8"/>
  <c r="BL363" i="8" s="1"/>
  <c r="AO363" i="8"/>
  <c r="BM363" i="8" s="1"/>
  <c r="AP363" i="8"/>
  <c r="BN363" i="8" s="1"/>
  <c r="AQ363" i="8"/>
  <c r="BO363" i="8" s="1"/>
  <c r="AR363" i="8"/>
  <c r="BP363" i="8" s="1"/>
  <c r="AS363" i="8"/>
  <c r="BQ363" i="8" s="1"/>
  <c r="AT363" i="8"/>
  <c r="BR363" i="8" s="1"/>
  <c r="AU363" i="8"/>
  <c r="BS363" i="8" s="1"/>
  <c r="AV363" i="8"/>
  <c r="BT363" i="8" s="1"/>
  <c r="AW363" i="8"/>
  <c r="BU363" i="8" s="1"/>
  <c r="Z364" i="8"/>
  <c r="AX364" i="8" s="1"/>
  <c r="AA364" i="8"/>
  <c r="AY364" i="8" s="1"/>
  <c r="AB364" i="8"/>
  <c r="AZ364" i="8" s="1"/>
  <c r="AC364" i="8"/>
  <c r="BA364" i="8" s="1"/>
  <c r="AD364" i="8"/>
  <c r="BB364" i="8" s="1"/>
  <c r="AF364" i="8"/>
  <c r="BD364" i="8" s="1"/>
  <c r="AG364" i="8"/>
  <c r="BE364" i="8" s="1"/>
  <c r="AH364" i="8"/>
  <c r="BF364" i="8" s="1"/>
  <c r="AI364" i="8"/>
  <c r="BG364" i="8" s="1"/>
  <c r="AJ364" i="8"/>
  <c r="BH364" i="8" s="1"/>
  <c r="AK364" i="8"/>
  <c r="BI364" i="8" s="1"/>
  <c r="AL364" i="8"/>
  <c r="BJ364" i="8" s="1"/>
  <c r="AM364" i="8"/>
  <c r="BK364" i="8" s="1"/>
  <c r="AN364" i="8"/>
  <c r="BL364" i="8" s="1"/>
  <c r="AO364" i="8"/>
  <c r="BM364" i="8" s="1"/>
  <c r="AP364" i="8"/>
  <c r="BN364" i="8" s="1"/>
  <c r="AQ364" i="8"/>
  <c r="BO364" i="8" s="1"/>
  <c r="AR364" i="8"/>
  <c r="BP364" i="8" s="1"/>
  <c r="AS364" i="8"/>
  <c r="BQ364" i="8" s="1"/>
  <c r="AT364" i="8"/>
  <c r="BR364" i="8" s="1"/>
  <c r="AU364" i="8"/>
  <c r="BS364" i="8" s="1"/>
  <c r="AV364" i="8"/>
  <c r="BT364" i="8" s="1"/>
  <c r="AW364" i="8"/>
  <c r="BU364" i="8" s="1"/>
  <c r="BC364" i="8"/>
  <c r="Z365" i="8"/>
  <c r="AX365" i="8" s="1"/>
  <c r="AA365" i="8"/>
  <c r="AY365" i="8" s="1"/>
  <c r="AB365" i="8"/>
  <c r="AZ365" i="8" s="1"/>
  <c r="AC365" i="8"/>
  <c r="BA365" i="8" s="1"/>
  <c r="AD365" i="8"/>
  <c r="BB365" i="8" s="1"/>
  <c r="AF365" i="8"/>
  <c r="BD365" i="8" s="1"/>
  <c r="AG365" i="8"/>
  <c r="BE365" i="8" s="1"/>
  <c r="AH365" i="8"/>
  <c r="BF365" i="8" s="1"/>
  <c r="AI365" i="8"/>
  <c r="BG365" i="8" s="1"/>
  <c r="AJ365" i="8"/>
  <c r="BH365" i="8" s="1"/>
  <c r="AK365" i="8"/>
  <c r="BI365" i="8" s="1"/>
  <c r="AL365" i="8"/>
  <c r="BJ365" i="8" s="1"/>
  <c r="AM365" i="8"/>
  <c r="BK365" i="8" s="1"/>
  <c r="AN365" i="8"/>
  <c r="BL365" i="8" s="1"/>
  <c r="AO365" i="8"/>
  <c r="BM365" i="8" s="1"/>
  <c r="AP365" i="8"/>
  <c r="BN365" i="8" s="1"/>
  <c r="AQ365" i="8"/>
  <c r="BO365" i="8" s="1"/>
  <c r="AR365" i="8"/>
  <c r="BP365" i="8" s="1"/>
  <c r="AS365" i="8"/>
  <c r="BQ365" i="8" s="1"/>
  <c r="AT365" i="8"/>
  <c r="BR365" i="8" s="1"/>
  <c r="AU365" i="8"/>
  <c r="BS365" i="8" s="1"/>
  <c r="AV365" i="8"/>
  <c r="BT365" i="8" s="1"/>
  <c r="AW365" i="8"/>
  <c r="BU365" i="8" s="1"/>
  <c r="BC365" i="8"/>
  <c r="Z366" i="8"/>
  <c r="AX366" i="8" s="1"/>
  <c r="AA366" i="8"/>
  <c r="AY366" i="8" s="1"/>
  <c r="AB366" i="8"/>
  <c r="AZ366" i="8" s="1"/>
  <c r="AC366" i="8"/>
  <c r="BA366" i="8" s="1"/>
  <c r="AD366" i="8"/>
  <c r="BB366" i="8" s="1"/>
  <c r="BC366" i="8"/>
  <c r="AF366" i="8"/>
  <c r="BD366" i="8" s="1"/>
  <c r="AG366" i="8"/>
  <c r="BE366" i="8" s="1"/>
  <c r="AH366" i="8"/>
  <c r="BF366" i="8" s="1"/>
  <c r="AI366" i="8"/>
  <c r="BG366" i="8" s="1"/>
  <c r="AJ366" i="8"/>
  <c r="BH366" i="8" s="1"/>
  <c r="AK366" i="8"/>
  <c r="BI366" i="8" s="1"/>
  <c r="AL366" i="8"/>
  <c r="BJ366" i="8" s="1"/>
  <c r="AM366" i="8"/>
  <c r="BK366" i="8" s="1"/>
  <c r="AN366" i="8"/>
  <c r="BL366" i="8" s="1"/>
  <c r="AO366" i="8"/>
  <c r="BM366" i="8" s="1"/>
  <c r="AP366" i="8"/>
  <c r="BN366" i="8" s="1"/>
  <c r="AQ366" i="8"/>
  <c r="BO366" i="8" s="1"/>
  <c r="AR366" i="8"/>
  <c r="BP366" i="8" s="1"/>
  <c r="AS366" i="8"/>
  <c r="BQ366" i="8" s="1"/>
  <c r="AT366" i="8"/>
  <c r="BR366" i="8" s="1"/>
  <c r="AU366" i="8"/>
  <c r="BS366" i="8" s="1"/>
  <c r="AV366" i="8"/>
  <c r="BT366" i="8" s="1"/>
  <c r="AW366" i="8"/>
  <c r="BU366" i="8" s="1"/>
  <c r="Z337" i="8"/>
  <c r="AX337" i="8" s="1"/>
  <c r="AA337" i="8"/>
  <c r="AY337" i="8" s="1"/>
  <c r="AB337" i="8"/>
  <c r="AZ337" i="8" s="1"/>
  <c r="AC337" i="8"/>
  <c r="BA337" i="8" s="1"/>
  <c r="AD337" i="8"/>
  <c r="BB337" i="8" s="1"/>
  <c r="AE337" i="8"/>
  <c r="BC337" i="8" s="1"/>
  <c r="AF337" i="8"/>
  <c r="BD337" i="8" s="1"/>
  <c r="AG337" i="8"/>
  <c r="BE337" i="8" s="1"/>
  <c r="AH337" i="8"/>
  <c r="BF337" i="8" s="1"/>
  <c r="AI337" i="8"/>
  <c r="BG337" i="8" s="1"/>
  <c r="AJ337" i="8"/>
  <c r="BH337" i="8" s="1"/>
  <c r="AK337" i="8"/>
  <c r="BI337" i="8" s="1"/>
  <c r="AL337" i="8"/>
  <c r="BJ337" i="8" s="1"/>
  <c r="AM337" i="8"/>
  <c r="BK337" i="8" s="1"/>
  <c r="AN337" i="8"/>
  <c r="BL337" i="8" s="1"/>
  <c r="AO337" i="8"/>
  <c r="BM337" i="8" s="1"/>
  <c r="AP337" i="8"/>
  <c r="BN337" i="8" s="1"/>
  <c r="AQ337" i="8"/>
  <c r="BO337" i="8" s="1"/>
  <c r="AR337" i="8"/>
  <c r="BP337" i="8" s="1"/>
  <c r="AS337" i="8"/>
  <c r="BQ337" i="8" s="1"/>
  <c r="AT337" i="8"/>
  <c r="BR337" i="8" s="1"/>
  <c r="AU337" i="8"/>
  <c r="BS337" i="8" s="1"/>
  <c r="AV337" i="8"/>
  <c r="BT337" i="8" s="1"/>
  <c r="AW337" i="8"/>
  <c r="BU337" i="8" s="1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A338" i="13"/>
  <c r="AB338" i="13"/>
  <c r="AC338" i="13"/>
  <c r="AD338" i="13"/>
  <c r="AE338" i="13"/>
  <c r="AF338" i="13"/>
  <c r="AG338" i="13"/>
  <c r="AI338" i="13"/>
  <c r="AJ338" i="13"/>
  <c r="AK338" i="13"/>
  <c r="AL338" i="13"/>
  <c r="AM338" i="13"/>
  <c r="AN338" i="13"/>
  <c r="AO338" i="13"/>
  <c r="AQ338" i="13"/>
  <c r="AR338" i="13"/>
  <c r="AS338" i="13"/>
  <c r="AT338" i="13"/>
  <c r="AU338" i="13"/>
  <c r="AV338" i="13"/>
  <c r="AW338" i="13"/>
  <c r="AY351" i="19" l="1"/>
  <c r="CJ351" i="19"/>
  <c r="AY360" i="19"/>
  <c r="CJ360" i="19"/>
  <c r="AY352" i="19"/>
  <c r="CJ352" i="19"/>
  <c r="AY344" i="19"/>
  <c r="CJ344" i="19"/>
  <c r="AY343" i="19"/>
  <c r="CJ343" i="19"/>
  <c r="AY366" i="19"/>
  <c r="CJ366" i="19"/>
  <c r="AY358" i="19"/>
  <c r="CJ358" i="19"/>
  <c r="AY350" i="19"/>
  <c r="CJ350" i="19"/>
  <c r="AY342" i="19"/>
  <c r="CJ342" i="19"/>
  <c r="AY365" i="19"/>
  <c r="CJ365" i="19"/>
  <c r="AY357" i="19"/>
  <c r="CJ357" i="19"/>
  <c r="AY349" i="19"/>
  <c r="CJ349" i="19"/>
  <c r="AY341" i="19"/>
  <c r="CJ341" i="19"/>
  <c r="AY359" i="19"/>
  <c r="CJ359" i="19"/>
  <c r="AY364" i="19"/>
  <c r="CJ364" i="19"/>
  <c r="AY356" i="19"/>
  <c r="CJ356" i="19"/>
  <c r="AY348" i="19"/>
  <c r="CJ348" i="19"/>
  <c r="AY340" i="19"/>
  <c r="CJ340" i="19"/>
  <c r="AY363" i="19"/>
  <c r="CJ363" i="19"/>
  <c r="AY355" i="19"/>
  <c r="CJ355" i="19"/>
  <c r="AY347" i="19"/>
  <c r="CJ347" i="19"/>
  <c r="AY339" i="19"/>
  <c r="CJ339" i="19"/>
  <c r="AY362" i="19"/>
  <c r="CJ362" i="19"/>
  <c r="AY354" i="19"/>
  <c r="CJ354" i="19"/>
  <c r="AY346" i="19"/>
  <c r="CJ346" i="19"/>
  <c r="AY338" i="19"/>
  <c r="CJ338" i="19"/>
  <c r="AA345" i="19"/>
  <c r="AB345" i="19" s="1"/>
  <c r="AA344" i="19"/>
  <c r="AB344" i="19" s="1"/>
  <c r="AA359" i="19"/>
  <c r="AB359" i="19" s="1"/>
  <c r="AA351" i="19"/>
  <c r="AB351" i="19" s="1"/>
  <c r="AA343" i="19"/>
  <c r="AB343" i="19" s="1"/>
  <c r="AA360" i="19"/>
  <c r="AB360" i="19" s="1"/>
  <c r="AA366" i="19"/>
  <c r="AB366" i="19" s="1"/>
  <c r="AA358" i="19"/>
  <c r="AB358" i="19" s="1"/>
  <c r="AA350" i="19"/>
  <c r="AB350" i="19" s="1"/>
  <c r="AA342" i="19"/>
  <c r="AB342" i="19" s="1"/>
  <c r="AA365" i="19"/>
  <c r="AB365" i="19" s="1"/>
  <c r="AA357" i="19"/>
  <c r="AB357" i="19" s="1"/>
  <c r="AA349" i="19"/>
  <c r="AB349" i="19" s="1"/>
  <c r="AA341" i="19"/>
  <c r="AB341" i="19" s="1"/>
  <c r="AA364" i="19"/>
  <c r="AB364" i="19" s="1"/>
  <c r="AA356" i="19"/>
  <c r="AB356" i="19" s="1"/>
  <c r="AA348" i="19"/>
  <c r="AB348" i="19" s="1"/>
  <c r="AA340" i="19"/>
  <c r="AB340" i="19" s="1"/>
  <c r="AA353" i="19"/>
  <c r="AB353" i="19" s="1"/>
  <c r="AA363" i="19"/>
  <c r="AB363" i="19" s="1"/>
  <c r="AA355" i="19"/>
  <c r="AB355" i="19" s="1"/>
  <c r="AA347" i="19"/>
  <c r="AB347" i="19" s="1"/>
  <c r="AA339" i="19"/>
  <c r="AB339" i="19" s="1"/>
  <c r="AA338" i="19"/>
  <c r="AB338" i="19" s="1"/>
  <c r="AA361" i="19"/>
  <c r="AB361" i="19" s="1"/>
  <c r="AA352" i="19"/>
  <c r="AB352" i="19" s="1"/>
  <c r="AA362" i="19"/>
  <c r="AB362" i="19" s="1"/>
  <c r="AA354" i="19"/>
  <c r="AB354" i="19" s="1"/>
  <c r="AA346" i="19"/>
  <c r="AB346" i="19" s="1"/>
  <c r="AP366" i="19"/>
  <c r="AQ366" i="19" s="1"/>
  <c r="CM366" i="19" s="1"/>
  <c r="E366" i="14"/>
  <c r="AP358" i="19"/>
  <c r="AQ358" i="19" s="1"/>
  <c r="CM358" i="19" s="1"/>
  <c r="E358" i="14"/>
  <c r="AP342" i="19"/>
  <c r="AQ342" i="19" s="1"/>
  <c r="CM342" i="19" s="1"/>
  <c r="E342" i="14"/>
  <c r="AP365" i="19"/>
  <c r="AQ365" i="19" s="1"/>
  <c r="CM365" i="19" s="1"/>
  <c r="E365" i="14"/>
  <c r="AP357" i="19"/>
  <c r="AQ357" i="19" s="1"/>
  <c r="CM357" i="19" s="1"/>
  <c r="E357" i="14"/>
  <c r="AP349" i="19"/>
  <c r="AQ349" i="19" s="1"/>
  <c r="CM349" i="19" s="1"/>
  <c r="E349" i="14"/>
  <c r="AP341" i="19"/>
  <c r="AQ341" i="19" s="1"/>
  <c r="CM341" i="19" s="1"/>
  <c r="E341" i="14"/>
  <c r="AP364" i="19"/>
  <c r="AQ364" i="19" s="1"/>
  <c r="CM364" i="19" s="1"/>
  <c r="E364" i="14"/>
  <c r="AP356" i="19"/>
  <c r="AQ356" i="19" s="1"/>
  <c r="CM356" i="19" s="1"/>
  <c r="E356" i="14"/>
  <c r="AP348" i="19"/>
  <c r="AQ348" i="19" s="1"/>
  <c r="CM348" i="19" s="1"/>
  <c r="E348" i="14"/>
  <c r="AP340" i="19"/>
  <c r="AQ340" i="19" s="1"/>
  <c r="CM340" i="19" s="1"/>
  <c r="E340" i="14"/>
  <c r="AP350" i="19"/>
  <c r="AQ350" i="19" s="1"/>
  <c r="CM350" i="19" s="1"/>
  <c r="E350" i="14"/>
  <c r="AO363" i="19"/>
  <c r="E363" i="14"/>
  <c r="G363" i="14" s="1"/>
  <c r="AO355" i="19"/>
  <c r="E355" i="14"/>
  <c r="G347" i="17"/>
  <c r="F347" i="14"/>
  <c r="G339" i="17"/>
  <c r="F339" i="14"/>
  <c r="AO362" i="19"/>
  <c r="E362" i="14"/>
  <c r="AO354" i="19"/>
  <c r="E354" i="14"/>
  <c r="AO346" i="19"/>
  <c r="E346" i="14"/>
  <c r="AO338" i="19"/>
  <c r="E338" i="14"/>
  <c r="G361" i="17"/>
  <c r="F361" i="14"/>
  <c r="AO353" i="19"/>
  <c r="E353" i="14"/>
  <c r="AO345" i="19"/>
  <c r="E345" i="14"/>
  <c r="G360" i="17"/>
  <c r="F360" i="14"/>
  <c r="G352" i="17"/>
  <c r="F352" i="14"/>
  <c r="G344" i="17"/>
  <c r="F344" i="14"/>
  <c r="G359" i="17"/>
  <c r="I359" i="17" s="1"/>
  <c r="F359" i="14"/>
  <c r="G351" i="17"/>
  <c r="J351" i="17" s="1"/>
  <c r="L351" i="17" s="1"/>
  <c r="F351" i="14"/>
  <c r="AO343" i="19"/>
  <c r="E343" i="14"/>
  <c r="V343" i="19"/>
  <c r="BN343" i="19" s="1"/>
  <c r="V342" i="19"/>
  <c r="BN342" i="19" s="1"/>
  <c r="V363" i="19"/>
  <c r="BN363" i="19" s="1"/>
  <c r="V355" i="19"/>
  <c r="BN355" i="19" s="1"/>
  <c r="V347" i="19"/>
  <c r="BN347" i="19" s="1"/>
  <c r="V339" i="19"/>
  <c r="BN339" i="19" s="1"/>
  <c r="V362" i="19"/>
  <c r="BN362" i="19" s="1"/>
  <c r="V354" i="19"/>
  <c r="BN354" i="19" s="1"/>
  <c r="V346" i="19"/>
  <c r="BN346" i="19" s="1"/>
  <c r="V338" i="19"/>
  <c r="BN338" i="19" s="1"/>
  <c r="V360" i="19"/>
  <c r="BN360" i="19" s="1"/>
  <c r="V344" i="19"/>
  <c r="BN344" i="19" s="1"/>
  <c r="D363" i="17"/>
  <c r="F363" i="17" s="1"/>
  <c r="D355" i="17"/>
  <c r="F355" i="17" s="1"/>
  <c r="D346" i="17"/>
  <c r="F346" i="17" s="1"/>
  <c r="D347" i="17"/>
  <c r="F347" i="17" s="1"/>
  <c r="D366" i="17"/>
  <c r="F366" i="17" s="1"/>
  <c r="D358" i="17"/>
  <c r="F358" i="17" s="1"/>
  <c r="D350" i="17"/>
  <c r="F350" i="17" s="1"/>
  <c r="D342" i="17"/>
  <c r="F342" i="17" s="1"/>
  <c r="D361" i="17"/>
  <c r="F361" i="17" s="1"/>
  <c r="D352" i="17"/>
  <c r="F352" i="17" s="1"/>
  <c r="D353" i="17"/>
  <c r="F353" i="17" s="1"/>
  <c r="D345" i="17"/>
  <c r="F345" i="17" s="1"/>
  <c r="D337" i="17"/>
  <c r="F337" i="17" s="1"/>
  <c r="D364" i="17"/>
  <c r="F364" i="17" s="1"/>
  <c r="D356" i="17"/>
  <c r="F356" i="17" s="1"/>
  <c r="D348" i="17"/>
  <c r="F348" i="17" s="1"/>
  <c r="D339" i="17"/>
  <c r="F339" i="17" s="1"/>
  <c r="D340" i="17"/>
  <c r="F340" i="17" s="1"/>
  <c r="D359" i="17"/>
  <c r="F359" i="17" s="1"/>
  <c r="D351" i="17"/>
  <c r="F351" i="17" s="1"/>
  <c r="D343" i="17"/>
  <c r="F343" i="17" s="1"/>
  <c r="D362" i="17"/>
  <c r="F362" i="17" s="1"/>
  <c r="D354" i="17"/>
  <c r="F354" i="17" s="1"/>
  <c r="D338" i="17"/>
  <c r="F338" i="17" s="1"/>
  <c r="Y344" i="19"/>
  <c r="B344" i="14" s="1"/>
  <c r="D365" i="17"/>
  <c r="F365" i="17" s="1"/>
  <c r="D357" i="17"/>
  <c r="F357" i="17" s="1"/>
  <c r="D349" i="17"/>
  <c r="F349" i="17" s="1"/>
  <c r="D341" i="17"/>
  <c r="F341" i="17" s="1"/>
  <c r="D360" i="17"/>
  <c r="F360" i="17" s="1"/>
  <c r="D344" i="17"/>
  <c r="F344" i="17" s="1"/>
  <c r="V357" i="19"/>
  <c r="BN357" i="19" s="1"/>
  <c r="V364" i="19"/>
  <c r="BN364" i="19" s="1"/>
  <c r="V356" i="19"/>
  <c r="BN356" i="19" s="1"/>
  <c r="V348" i="19"/>
  <c r="BN348" i="19" s="1"/>
  <c r="V340" i="19"/>
  <c r="BN340" i="19" s="1"/>
  <c r="V349" i="19"/>
  <c r="BN349" i="19" s="1"/>
  <c r="V361" i="19"/>
  <c r="BN361" i="19" s="1"/>
  <c r="V353" i="19"/>
  <c r="BN353" i="19" s="1"/>
  <c r="V345" i="19"/>
  <c r="BN345" i="19" s="1"/>
  <c r="V341" i="19"/>
  <c r="BN341" i="19" s="1"/>
  <c r="V352" i="19"/>
  <c r="BN352" i="19" s="1"/>
  <c r="V359" i="19"/>
  <c r="BN359" i="19" s="1"/>
  <c r="V351" i="19"/>
  <c r="BN351" i="19" s="1"/>
  <c r="V365" i="19"/>
  <c r="BN365" i="19" s="1"/>
  <c r="V366" i="19"/>
  <c r="BN366" i="19" s="1"/>
  <c r="V358" i="19"/>
  <c r="BN358" i="19" s="1"/>
  <c r="V350" i="19"/>
  <c r="BN350" i="19" s="1"/>
  <c r="AO344" i="19"/>
  <c r="Y360" i="19"/>
  <c r="B360" i="14" s="1"/>
  <c r="AY365" i="6"/>
  <c r="BA365" i="19" s="1"/>
  <c r="AP360" i="19"/>
  <c r="AQ360" i="19" s="1"/>
  <c r="CM360" i="19" s="1"/>
  <c r="AO360" i="19"/>
  <c r="AX359" i="6"/>
  <c r="AG359" i="19" s="1"/>
  <c r="BO357" i="19"/>
  <c r="AY353" i="6"/>
  <c r="AH353" i="19" s="1"/>
  <c r="BO353" i="19"/>
  <c r="BO354" i="19"/>
  <c r="BO349" i="19"/>
  <c r="BO341" i="19"/>
  <c r="BO365" i="19"/>
  <c r="Y345" i="19"/>
  <c r="B345" i="14" s="1"/>
  <c r="Y361" i="19"/>
  <c r="B361" i="14" s="1"/>
  <c r="Y353" i="19"/>
  <c r="B353" i="14" s="1"/>
  <c r="Y349" i="19"/>
  <c r="B349" i="14" s="1"/>
  <c r="Y348" i="19"/>
  <c r="B348" i="14" s="1"/>
  <c r="Y365" i="19"/>
  <c r="B365" i="14" s="1"/>
  <c r="Y357" i="19"/>
  <c r="B357" i="14" s="1"/>
  <c r="Y364" i="19"/>
  <c r="B364" i="14" s="1"/>
  <c r="Y359" i="19"/>
  <c r="B359" i="14" s="1"/>
  <c r="Y366" i="19"/>
  <c r="B366" i="14" s="1"/>
  <c r="Y356" i="19"/>
  <c r="B356" i="14" s="1"/>
  <c r="Y363" i="19"/>
  <c r="B363" i="14" s="1"/>
  <c r="Y355" i="19"/>
  <c r="B355" i="14" s="1"/>
  <c r="Y339" i="19"/>
  <c r="B339" i="14" s="1"/>
  <c r="Y362" i="19"/>
  <c r="B362" i="14" s="1"/>
  <c r="Y354" i="19"/>
  <c r="B354" i="14" s="1"/>
  <c r="Y338" i="19"/>
  <c r="B338" i="14" s="1"/>
  <c r="Y358" i="19"/>
  <c r="B358" i="14" s="1"/>
  <c r="AP352" i="19"/>
  <c r="AQ352" i="19" s="1"/>
  <c r="CM352" i="19" s="1"/>
  <c r="AO352" i="19"/>
  <c r="Y352" i="19"/>
  <c r="B352" i="14" s="1"/>
  <c r="AO351" i="19"/>
  <c r="AP351" i="19"/>
  <c r="AQ351" i="19" s="1"/>
  <c r="CM351" i="19" s="1"/>
  <c r="Y351" i="19"/>
  <c r="B351" i="14" s="1"/>
  <c r="BO362" i="19"/>
  <c r="BO364" i="19"/>
  <c r="BO348" i="19"/>
  <c r="BO361" i="19"/>
  <c r="BO343" i="19"/>
  <c r="BO356" i="19"/>
  <c r="BO340" i="19"/>
  <c r="BK352" i="19"/>
  <c r="AY350" i="6"/>
  <c r="AH350" i="19" s="1"/>
  <c r="Y350" i="19"/>
  <c r="B350" i="14" s="1"/>
  <c r="AY349" i="6"/>
  <c r="AH349" i="19" s="1"/>
  <c r="CB370" i="24"/>
  <c r="BO347" i="19"/>
  <c r="BK347" i="19"/>
  <c r="AP347" i="19"/>
  <c r="AQ347" i="19" s="1"/>
  <c r="CM347" i="19" s="1"/>
  <c r="AO347" i="19"/>
  <c r="AP363" i="19"/>
  <c r="AQ363" i="19" s="1"/>
  <c r="CM363" i="19" s="1"/>
  <c r="AO366" i="19"/>
  <c r="AP362" i="19"/>
  <c r="AQ362" i="19" s="1"/>
  <c r="CM362" i="19" s="1"/>
  <c r="AP355" i="19"/>
  <c r="AQ355" i="19" s="1"/>
  <c r="CM355" i="19" s="1"/>
  <c r="AY347" i="6"/>
  <c r="AH347" i="19" s="1"/>
  <c r="CB345" i="24"/>
  <c r="CJ345" i="24"/>
  <c r="CR345" i="24"/>
  <c r="CB346" i="24"/>
  <c r="CJ346" i="24"/>
  <c r="CR370" i="24"/>
  <c r="CG348" i="24"/>
  <c r="CW348" i="24"/>
  <c r="CD358" i="24"/>
  <c r="CL358" i="24"/>
  <c r="CT358" i="24"/>
  <c r="CD359" i="24"/>
  <c r="CL359" i="24"/>
  <c r="CT359" i="24"/>
  <c r="CT361" i="24"/>
  <c r="CD362" i="24"/>
  <c r="CL362" i="24"/>
  <c r="CT362" i="24"/>
  <c r="CD363" i="24"/>
  <c r="CL363" i="24"/>
  <c r="CO348" i="24"/>
  <c r="Y347" i="19"/>
  <c r="B347" i="14" s="1"/>
  <c r="BO346" i="19"/>
  <c r="AX345" i="6"/>
  <c r="AG345" i="19" s="1"/>
  <c r="AX344" i="6"/>
  <c r="AG344" i="19" s="1"/>
  <c r="AX342" i="6"/>
  <c r="AG342" i="19" s="1"/>
  <c r="CF340" i="24"/>
  <c r="CN340" i="24"/>
  <c r="CV340" i="24"/>
  <c r="CF341" i="24"/>
  <c r="CN341" i="24"/>
  <c r="CV341" i="24"/>
  <c r="CF342" i="24"/>
  <c r="CN342" i="24"/>
  <c r="CV342" i="24"/>
  <c r="CN358" i="24"/>
  <c r="CV358" i="24"/>
  <c r="CF359" i="24"/>
  <c r="CN359" i="24"/>
  <c r="CV359" i="24"/>
  <c r="CF360" i="24"/>
  <c r="CN360" i="24"/>
  <c r="CV360" i="24"/>
  <c r="CF361" i="24"/>
  <c r="CN361" i="24"/>
  <c r="CV361" i="24"/>
  <c r="CF362" i="24"/>
  <c r="CN362" i="24"/>
  <c r="CV362" i="24"/>
  <c r="CF363" i="24"/>
  <c r="CN363" i="24"/>
  <c r="CV363" i="24"/>
  <c r="CH340" i="24"/>
  <c r="CP340" i="24"/>
  <c r="CH341" i="24"/>
  <c r="CH367" i="24"/>
  <c r="CP367" i="24"/>
  <c r="CH368" i="24"/>
  <c r="CP368" i="24"/>
  <c r="CH369" i="24"/>
  <c r="CA344" i="24"/>
  <c r="CQ344" i="24"/>
  <c r="CA347" i="24"/>
  <c r="CI347" i="24"/>
  <c r="CA350" i="24"/>
  <c r="CI350" i="24"/>
  <c r="CQ350" i="24"/>
  <c r="CA351" i="24"/>
  <c r="CI351" i="24"/>
  <c r="CQ351" i="24"/>
  <c r="CR346" i="24"/>
  <c r="CU342" i="24"/>
  <c r="CE343" i="24"/>
  <c r="CU343" i="24"/>
  <c r="CT344" i="24"/>
  <c r="CL345" i="24"/>
  <c r="CD347" i="24"/>
  <c r="CL347" i="24"/>
  <c r="CT347" i="24"/>
  <c r="CE352" i="24"/>
  <c r="CM352" i="24"/>
  <c r="CU352" i="24"/>
  <c r="CE353" i="24"/>
  <c r="CM353" i="24"/>
  <c r="CU353" i="24"/>
  <c r="CE354" i="24"/>
  <c r="CD355" i="24"/>
  <c r="CL355" i="24"/>
  <c r="CT355" i="24"/>
  <c r="CD356" i="24"/>
  <c r="CL356" i="24"/>
  <c r="CT356" i="24"/>
  <c r="CD357" i="24"/>
  <c r="CL357" i="24"/>
  <c r="CT357" i="24"/>
  <c r="CT363" i="24"/>
  <c r="CD364" i="24"/>
  <c r="CL364" i="24"/>
  <c r="CT364" i="24"/>
  <c r="CD365" i="24"/>
  <c r="CL365" i="24"/>
  <c r="CT365" i="24"/>
  <c r="CD366" i="24"/>
  <c r="CL366" i="24"/>
  <c r="CT366" i="24"/>
  <c r="CD367" i="24"/>
  <c r="CL367" i="24"/>
  <c r="CT367" i="24"/>
  <c r="CD368" i="24"/>
  <c r="CL368" i="24"/>
  <c r="CT368" i="24"/>
  <c r="CD369" i="24"/>
  <c r="CL369" i="24"/>
  <c r="CD370" i="24"/>
  <c r="CL370" i="24"/>
  <c r="CT370" i="24"/>
  <c r="Y346" i="19"/>
  <c r="B346" i="14" s="1"/>
  <c r="BK344" i="19"/>
  <c r="BK363" i="19"/>
  <c r="BK351" i="19"/>
  <c r="BK342" i="19"/>
  <c r="BO359" i="19"/>
  <c r="BK366" i="19"/>
  <c r="BK350" i="19"/>
  <c r="BK360" i="19"/>
  <c r="BK355" i="19"/>
  <c r="BK358" i="19"/>
  <c r="AP344" i="19"/>
  <c r="AQ344" i="19" s="1"/>
  <c r="CM344" i="19" s="1"/>
  <c r="Y343" i="19"/>
  <c r="B343" i="14" s="1"/>
  <c r="AP343" i="19"/>
  <c r="AQ343" i="19" s="1"/>
  <c r="CM343" i="19" s="1"/>
  <c r="CK340" i="24"/>
  <c r="CS340" i="24"/>
  <c r="CC341" i="24"/>
  <c r="CK341" i="24"/>
  <c r="CS341" i="24"/>
  <c r="CC342" i="24"/>
  <c r="CK342" i="24"/>
  <c r="CC370" i="24"/>
  <c r="CK370" i="24"/>
  <c r="CT369" i="24"/>
  <c r="CM343" i="24"/>
  <c r="CM345" i="24"/>
  <c r="CM347" i="24"/>
  <c r="CF343" i="24"/>
  <c r="CN343" i="24"/>
  <c r="CV343" i="24"/>
  <c r="CF344" i="24"/>
  <c r="CN344" i="24"/>
  <c r="CV344" i="24"/>
  <c r="BZ341" i="24"/>
  <c r="CP341" i="24"/>
  <c r="CH342" i="24"/>
  <c r="CP342" i="24"/>
  <c r="CH343" i="24"/>
  <c r="CP343" i="24"/>
  <c r="CP346" i="24"/>
  <c r="BZ347" i="24"/>
  <c r="CH349" i="24"/>
  <c r="AI356" i="19"/>
  <c r="AI357" i="19"/>
  <c r="AI358" i="19"/>
  <c r="AI359" i="19"/>
  <c r="AI360" i="19"/>
  <c r="AI361" i="19"/>
  <c r="AI362" i="19"/>
  <c r="AI363" i="19"/>
  <c r="AI365" i="19"/>
  <c r="CP369" i="24"/>
  <c r="CQ347" i="24"/>
  <c r="Y342" i="19"/>
  <c r="B342" i="14" s="1"/>
  <c r="Y341" i="19"/>
  <c r="B341" i="14" s="1"/>
  <c r="Y340" i="19"/>
  <c r="B340" i="14" s="1"/>
  <c r="G347" i="14"/>
  <c r="BC355" i="19"/>
  <c r="BC364" i="19"/>
  <c r="BC362" i="19"/>
  <c r="BC365" i="19"/>
  <c r="G361" i="14"/>
  <c r="BC360" i="19"/>
  <c r="BC347" i="19"/>
  <c r="AO350" i="19"/>
  <c r="BC361" i="19"/>
  <c r="AP361" i="19"/>
  <c r="AQ361" i="19" s="1"/>
  <c r="CM361" i="19" s="1"/>
  <c r="AP346" i="19"/>
  <c r="AQ346" i="19" s="1"/>
  <c r="CM346" i="19" s="1"/>
  <c r="AO361" i="19"/>
  <c r="AP345" i="19"/>
  <c r="AQ345" i="19" s="1"/>
  <c r="CM345" i="19" s="1"/>
  <c r="G351" i="14"/>
  <c r="BC354" i="19"/>
  <c r="BC353" i="19"/>
  <c r="BC345" i="19"/>
  <c r="BC357" i="19"/>
  <c r="BC356" i="19"/>
  <c r="BC352" i="19"/>
  <c r="BC351" i="19"/>
  <c r="BC350" i="19"/>
  <c r="BC349" i="19"/>
  <c r="BC348" i="19"/>
  <c r="BC344" i="19"/>
  <c r="BC343" i="19"/>
  <c r="BC342" i="19"/>
  <c r="BC341" i="19"/>
  <c r="BC340" i="19"/>
  <c r="AO358" i="19"/>
  <c r="G352" i="14"/>
  <c r="BC363" i="19"/>
  <c r="BC346" i="19"/>
  <c r="BC366" i="19"/>
  <c r="AP354" i="19"/>
  <c r="AQ354" i="19" s="1"/>
  <c r="CM354" i="19" s="1"/>
  <c r="G360" i="14"/>
  <c r="BC358" i="19"/>
  <c r="AP353" i="19"/>
  <c r="AQ353" i="19" s="1"/>
  <c r="CM353" i="19" s="1"/>
  <c r="AP338" i="19"/>
  <c r="AQ338" i="19" s="1"/>
  <c r="CM338" i="19" s="1"/>
  <c r="AO342" i="19"/>
  <c r="G359" i="14"/>
  <c r="G344" i="14"/>
  <c r="BK339" i="19"/>
  <c r="AO339" i="19"/>
  <c r="G339" i="14"/>
  <c r="AP339" i="19"/>
  <c r="AQ339" i="19" s="1"/>
  <c r="CM339" i="19" s="1"/>
  <c r="AY364" i="6"/>
  <c r="AX355" i="6"/>
  <c r="AY346" i="6"/>
  <c r="AY345" i="6"/>
  <c r="AH345" i="19" s="1"/>
  <c r="AY343" i="6"/>
  <c r="AX341" i="6"/>
  <c r="AX366" i="13"/>
  <c r="AX364" i="13"/>
  <c r="AX346" i="13"/>
  <c r="AY342" i="6"/>
  <c r="AX365" i="6"/>
  <c r="AX364" i="6"/>
  <c r="AX362" i="6"/>
  <c r="AY356" i="6"/>
  <c r="AX347" i="6"/>
  <c r="AY363" i="6"/>
  <c r="AX361" i="6"/>
  <c r="AG361" i="19" s="1"/>
  <c r="AX358" i="6"/>
  <c r="AY352" i="6"/>
  <c r="AX343" i="6"/>
  <c r="AX362" i="13"/>
  <c r="AY360" i="6"/>
  <c r="AY341" i="6"/>
  <c r="AX360" i="6"/>
  <c r="AG360" i="19" s="1"/>
  <c r="AY362" i="6"/>
  <c r="AY361" i="6"/>
  <c r="AH361" i="19" s="1"/>
  <c r="AY359" i="6"/>
  <c r="AX357" i="6"/>
  <c r="AX356" i="6"/>
  <c r="AX354" i="6"/>
  <c r="AY348" i="6"/>
  <c r="AX366" i="6"/>
  <c r="AX351" i="6"/>
  <c r="AY366" i="6"/>
  <c r="AY358" i="6"/>
  <c r="AY357" i="6"/>
  <c r="AY355" i="6"/>
  <c r="AX353" i="6"/>
  <c r="AG353" i="19" s="1"/>
  <c r="AX352" i="6"/>
  <c r="AG352" i="19" s="1"/>
  <c r="AX350" i="6"/>
  <c r="AY344" i="6"/>
  <c r="BC359" i="19"/>
  <c r="AX363" i="6"/>
  <c r="AY354" i="6"/>
  <c r="AY351" i="6"/>
  <c r="AX349" i="6"/>
  <c r="AX348" i="6"/>
  <c r="AX346" i="6"/>
  <c r="BC339" i="19"/>
  <c r="AX339" i="6"/>
  <c r="AG339" i="19" s="1"/>
  <c r="AY340" i="6"/>
  <c r="BA340" i="19" s="1"/>
  <c r="AX340" i="6"/>
  <c r="AY339" i="6"/>
  <c r="BA339" i="19" s="1"/>
  <c r="G338" i="31"/>
  <c r="AD338" i="19" s="1"/>
  <c r="G337" i="31"/>
  <c r="CA352" i="24"/>
  <c r="CI352" i="24"/>
  <c r="CQ352" i="24"/>
  <c r="CA353" i="24"/>
  <c r="CI353" i="24"/>
  <c r="CQ353" i="24"/>
  <c r="CA354" i="24"/>
  <c r="CI354" i="24"/>
  <c r="CQ354" i="24"/>
  <c r="CA355" i="24"/>
  <c r="CI355" i="24"/>
  <c r="CQ355" i="24"/>
  <c r="CA356" i="24"/>
  <c r="CI356" i="24"/>
  <c r="CQ356" i="24"/>
  <c r="CA357" i="24"/>
  <c r="CI357" i="24"/>
  <c r="CQ357" i="24"/>
  <c r="CA358" i="24"/>
  <c r="CI358" i="24"/>
  <c r="CQ358" i="24"/>
  <c r="CA359" i="24"/>
  <c r="CI359" i="24"/>
  <c r="CQ359" i="24"/>
  <c r="CA360" i="24"/>
  <c r="CI360" i="24"/>
  <c r="CQ360" i="24"/>
  <c r="CA361" i="24"/>
  <c r="CI361" i="24"/>
  <c r="CQ361" i="24"/>
  <c r="CA362" i="24"/>
  <c r="CI362" i="24"/>
  <c r="CQ362" i="24"/>
  <c r="CA363" i="24"/>
  <c r="CI363" i="24"/>
  <c r="CQ363" i="24"/>
  <c r="CA364" i="24"/>
  <c r="CI364" i="24"/>
  <c r="CQ364" i="24"/>
  <c r="CA365" i="24"/>
  <c r="CI365" i="24"/>
  <c r="CQ365" i="24"/>
  <c r="CA366" i="24"/>
  <c r="CI366" i="24"/>
  <c r="CQ366" i="24"/>
  <c r="CA367" i="24"/>
  <c r="CE340" i="24"/>
  <c r="CM340" i="24"/>
  <c r="CB348" i="24"/>
  <c r="CJ348" i="24"/>
  <c r="CR348" i="24"/>
  <c r="CB349" i="24"/>
  <c r="CJ349" i="24"/>
  <c r="CR349" i="24"/>
  <c r="CJ370" i="24"/>
  <c r="CE344" i="24"/>
  <c r="CM344" i="24"/>
  <c r="CE350" i="24"/>
  <c r="CM350" i="24"/>
  <c r="CU350" i="24"/>
  <c r="AI348" i="19"/>
  <c r="CE351" i="24"/>
  <c r="CM351" i="24"/>
  <c r="CU351" i="24"/>
  <c r="CM354" i="24"/>
  <c r="CU354" i="24"/>
  <c r="CD360" i="24"/>
  <c r="CL360" i="24"/>
  <c r="CT360" i="24"/>
  <c r="CD361" i="24"/>
  <c r="CL361" i="24"/>
  <c r="AI364" i="19"/>
  <c r="BY370" i="24"/>
  <c r="AI338" i="19"/>
  <c r="AI339" i="19"/>
  <c r="BZ342" i="24"/>
  <c r="AI340" i="19"/>
  <c r="BZ343" i="24"/>
  <c r="CF350" i="24"/>
  <c r="CN350" i="24"/>
  <c r="CV350" i="24"/>
  <c r="CF351" i="24"/>
  <c r="CN351" i="24"/>
  <c r="CV351" i="24"/>
  <c r="CF352" i="24"/>
  <c r="CN352" i="24"/>
  <c r="CV352" i="24"/>
  <c r="CF353" i="24"/>
  <c r="CN353" i="24"/>
  <c r="CV353" i="24"/>
  <c r="CF354" i="24"/>
  <c r="CN354" i="24"/>
  <c r="CV354" i="24"/>
  <c r="CF355" i="24"/>
  <c r="CN355" i="24"/>
  <c r="CV355" i="24"/>
  <c r="CF356" i="24"/>
  <c r="CN356" i="24"/>
  <c r="CV356" i="24"/>
  <c r="CF357" i="24"/>
  <c r="CN357" i="24"/>
  <c r="CV357" i="24"/>
  <c r="CF358" i="24"/>
  <c r="CF364" i="24"/>
  <c r="CN364" i="24"/>
  <c r="CV364" i="24"/>
  <c r="CF365" i="24"/>
  <c r="CN365" i="24"/>
  <c r="CV365" i="24"/>
  <c r="CF366" i="24"/>
  <c r="CN366" i="24"/>
  <c r="CV366" i="24"/>
  <c r="CF367" i="24"/>
  <c r="CN367" i="24"/>
  <c r="CV367" i="24"/>
  <c r="CF368" i="24"/>
  <c r="CN368" i="24"/>
  <c r="CV368" i="24"/>
  <c r="CF369" i="24"/>
  <c r="CN369" i="24"/>
  <c r="CV369" i="24"/>
  <c r="CF370" i="24"/>
  <c r="CN370" i="24"/>
  <c r="CV370" i="24"/>
  <c r="CI346" i="24"/>
  <c r="CG349" i="24"/>
  <c r="CO349" i="24"/>
  <c r="CW349" i="24"/>
  <c r="AI345" i="19"/>
  <c r="AI346" i="19"/>
  <c r="AI366" i="19"/>
  <c r="BZ370" i="24"/>
  <c r="CH370" i="24"/>
  <c r="CP370" i="24"/>
  <c r="AX339" i="13"/>
  <c r="AP359" i="19"/>
  <c r="AQ359" i="19" s="1"/>
  <c r="CM359" i="19" s="1"/>
  <c r="AO359" i="19"/>
  <c r="BC338" i="19"/>
  <c r="AX338" i="6"/>
  <c r="AG338" i="19" s="1"/>
  <c r="BO338" i="19"/>
  <c r="AY338" i="6"/>
  <c r="AH338" i="19" s="1"/>
  <c r="AY337" i="6"/>
  <c r="AX337" i="6"/>
  <c r="CA340" i="24"/>
  <c r="CI340" i="24"/>
  <c r="CQ340" i="24"/>
  <c r="CA341" i="24"/>
  <c r="CI341" i="24"/>
  <c r="CQ341" i="24"/>
  <c r="CA342" i="24"/>
  <c r="CI342" i="24"/>
  <c r="CQ342" i="24"/>
  <c r="CA343" i="24"/>
  <c r="CI343" i="24"/>
  <c r="CQ343" i="24"/>
  <c r="CB340" i="24"/>
  <c r="CJ340" i="24"/>
  <c r="AI341" i="19"/>
  <c r="CU344" i="24"/>
  <c r="CC340" i="24"/>
  <c r="AI342" i="19"/>
  <c r="CH345" i="24"/>
  <c r="AI343" i="19"/>
  <c r="BZ346" i="24"/>
  <c r="CD340" i="24"/>
  <c r="CL340" i="24"/>
  <c r="CT340" i="24"/>
  <c r="CD341" i="24"/>
  <c r="CL341" i="24"/>
  <c r="CT341" i="24"/>
  <c r="CD342" i="24"/>
  <c r="CL342" i="24"/>
  <c r="CL343" i="24"/>
  <c r="CB344" i="24"/>
  <c r="CJ344" i="24"/>
  <c r="CR344" i="24"/>
  <c r="AI344" i="19"/>
  <c r="CH347" i="24"/>
  <c r="AI347" i="19"/>
  <c r="AI349" i="19"/>
  <c r="AI350" i="19"/>
  <c r="AI351" i="19"/>
  <c r="AI352" i="19"/>
  <c r="AI353" i="19"/>
  <c r="AI354" i="19"/>
  <c r="AI355" i="19"/>
  <c r="CG340" i="24"/>
  <c r="CO340" i="24"/>
  <c r="CW340" i="24"/>
  <c r="CG341" i="24"/>
  <c r="CO341" i="24"/>
  <c r="CW341" i="24"/>
  <c r="CG342" i="24"/>
  <c r="CO342" i="24"/>
  <c r="CE345" i="24"/>
  <c r="CU345" i="24"/>
  <c r="CA346" i="24"/>
  <c r="CQ346" i="24"/>
  <c r="CP347" i="24"/>
  <c r="CF348" i="24"/>
  <c r="CN348" i="24"/>
  <c r="CV348" i="24"/>
  <c r="CF349" i="24"/>
  <c r="CN349" i="24"/>
  <c r="CV349" i="24"/>
  <c r="CE356" i="24"/>
  <c r="CM356" i="24"/>
  <c r="CU356" i="24"/>
  <c r="CE357" i="24"/>
  <c r="CM357" i="24"/>
  <c r="CU357" i="24"/>
  <c r="CE358" i="24"/>
  <c r="CM358" i="24"/>
  <c r="CU358" i="24"/>
  <c r="CE359" i="24"/>
  <c r="CM359" i="24"/>
  <c r="CU359" i="24"/>
  <c r="CE360" i="24"/>
  <c r="CM360" i="24"/>
  <c r="CU360" i="24"/>
  <c r="CE361" i="24"/>
  <c r="CM361" i="24"/>
  <c r="CU361" i="24"/>
  <c r="CE362" i="24"/>
  <c r="CM362" i="24"/>
  <c r="CU362" i="24"/>
  <c r="CE363" i="24"/>
  <c r="CM363" i="24"/>
  <c r="CU363" i="24"/>
  <c r="CE364" i="24"/>
  <c r="CM364" i="24"/>
  <c r="CU364" i="24"/>
  <c r="CE365" i="24"/>
  <c r="CM365" i="24"/>
  <c r="CU365" i="24"/>
  <c r="CE366" i="24"/>
  <c r="CM366" i="24"/>
  <c r="CU366" i="24"/>
  <c r="CE367" i="24"/>
  <c r="CM367" i="24"/>
  <c r="CU367" i="24"/>
  <c r="CE368" i="24"/>
  <c r="CM368" i="24"/>
  <c r="CU368" i="24"/>
  <c r="CE369" i="24"/>
  <c r="CM369" i="24"/>
  <c r="CU369" i="24"/>
  <c r="CE370" i="24"/>
  <c r="CM370" i="24"/>
  <c r="CU370" i="24"/>
  <c r="CB347" i="24"/>
  <c r="CJ347" i="24"/>
  <c r="CR347" i="24"/>
  <c r="BZ348" i="24"/>
  <c r="CH348" i="24"/>
  <c r="CP348" i="24"/>
  <c r="BZ349" i="24"/>
  <c r="CP349" i="24"/>
  <c r="CG350" i="24"/>
  <c r="CO350" i="24"/>
  <c r="CW350" i="24"/>
  <c r="CG351" i="24"/>
  <c r="CO351" i="24"/>
  <c r="CW351" i="24"/>
  <c r="CG352" i="24"/>
  <c r="CO352" i="24"/>
  <c r="CW352" i="24"/>
  <c r="CG353" i="24"/>
  <c r="CO353" i="24"/>
  <c r="CW353" i="24"/>
  <c r="CG354" i="24"/>
  <c r="CO354" i="24"/>
  <c r="CW354" i="24"/>
  <c r="CG355" i="24"/>
  <c r="CO355" i="24"/>
  <c r="CW355" i="24"/>
  <c r="CG356" i="24"/>
  <c r="CO356" i="24"/>
  <c r="CW356" i="24"/>
  <c r="CG357" i="24"/>
  <c r="CO357" i="24"/>
  <c r="CW357" i="24"/>
  <c r="CG358" i="24"/>
  <c r="CO358" i="24"/>
  <c r="CW358" i="24"/>
  <c r="CG359" i="24"/>
  <c r="CO359" i="24"/>
  <c r="CW359" i="24"/>
  <c r="CG360" i="24"/>
  <c r="CO360" i="24"/>
  <c r="CW360" i="24"/>
  <c r="CG361" i="24"/>
  <c r="CO361" i="24"/>
  <c r="CW361" i="24"/>
  <c r="CG362" i="24"/>
  <c r="CO362" i="24"/>
  <c r="CW362" i="24"/>
  <c r="CG363" i="24"/>
  <c r="CO363" i="24"/>
  <c r="CW363" i="24"/>
  <c r="CG364" i="24"/>
  <c r="CO364" i="24"/>
  <c r="CW364" i="24"/>
  <c r="CG365" i="24"/>
  <c r="CO365" i="24"/>
  <c r="CW365" i="24"/>
  <c r="CG366" i="24"/>
  <c r="CO366" i="24"/>
  <c r="CW366" i="24"/>
  <c r="CG367" i="24"/>
  <c r="CO367" i="24"/>
  <c r="CW367" i="24"/>
  <c r="CG368" i="24"/>
  <c r="CO368" i="24"/>
  <c r="CW368" i="24"/>
  <c r="CG369" i="24"/>
  <c r="CO369" i="24"/>
  <c r="CW369" i="24"/>
  <c r="CG370" i="24"/>
  <c r="CO370" i="24"/>
  <c r="CW370" i="24"/>
  <c r="CR340" i="24"/>
  <c r="CB341" i="24"/>
  <c r="CJ341" i="24"/>
  <c r="CR341" i="24"/>
  <c r="CB342" i="24"/>
  <c r="CJ342" i="24"/>
  <c r="CR342" i="24"/>
  <c r="CB343" i="24"/>
  <c r="CJ343" i="24"/>
  <c r="CR343" i="24"/>
  <c r="BZ344" i="24"/>
  <c r="CI344" i="24"/>
  <c r="CP344" i="24"/>
  <c r="CF345" i="24"/>
  <c r="CN345" i="24"/>
  <c r="CV345" i="24"/>
  <c r="CE346" i="24"/>
  <c r="CM346" i="24"/>
  <c r="CU346" i="24"/>
  <c r="CA348" i="24"/>
  <c r="CI348" i="24"/>
  <c r="CQ348" i="24"/>
  <c r="CA349" i="24"/>
  <c r="CI349" i="24"/>
  <c r="CQ349" i="24"/>
  <c r="BZ350" i="24"/>
  <c r="CH350" i="24"/>
  <c r="CP350" i="24"/>
  <c r="BZ351" i="24"/>
  <c r="CH351" i="24"/>
  <c r="CP351" i="24"/>
  <c r="BZ352" i="24"/>
  <c r="CH352" i="24"/>
  <c r="CP352" i="24"/>
  <c r="BZ353" i="24"/>
  <c r="CH353" i="24"/>
  <c r="CP353" i="24"/>
  <c r="BZ354" i="24"/>
  <c r="CH354" i="24"/>
  <c r="CP354" i="24"/>
  <c r="BZ355" i="24"/>
  <c r="CH355" i="24"/>
  <c r="CP355" i="24"/>
  <c r="BZ356" i="24"/>
  <c r="CH356" i="24"/>
  <c r="CP356" i="24"/>
  <c r="BZ357" i="24"/>
  <c r="CH357" i="24"/>
  <c r="CP357" i="24"/>
  <c r="BZ358" i="24"/>
  <c r="CH358" i="24"/>
  <c r="CP358" i="24"/>
  <c r="BZ359" i="24"/>
  <c r="CH359" i="24"/>
  <c r="CP359" i="24"/>
  <c r="BZ360" i="24"/>
  <c r="CH360" i="24"/>
  <c r="CP360" i="24"/>
  <c r="BZ361" i="24"/>
  <c r="CH361" i="24"/>
  <c r="CP361" i="24"/>
  <c r="BZ362" i="24"/>
  <c r="CH362" i="24"/>
  <c r="CP362" i="24"/>
  <c r="BZ363" i="24"/>
  <c r="CH363" i="24"/>
  <c r="CP363" i="24"/>
  <c r="BZ364" i="24"/>
  <c r="CH364" i="24"/>
  <c r="CP364" i="24"/>
  <c r="BZ365" i="24"/>
  <c r="CH365" i="24"/>
  <c r="CP365" i="24"/>
  <c r="BZ366" i="24"/>
  <c r="CH366" i="24"/>
  <c r="CP366" i="24"/>
  <c r="BZ367" i="24"/>
  <c r="BZ368" i="24"/>
  <c r="BZ369" i="24"/>
  <c r="CI367" i="24"/>
  <c r="CQ367" i="24"/>
  <c r="CA368" i="24"/>
  <c r="CI368" i="24"/>
  <c r="CQ368" i="24"/>
  <c r="CA369" i="24"/>
  <c r="CI369" i="24"/>
  <c r="CQ369" i="24"/>
  <c r="CA370" i="24"/>
  <c r="CI370" i="24"/>
  <c r="CQ370" i="24"/>
  <c r="BZ345" i="24"/>
  <c r="CP345" i="24"/>
  <c r="CF346" i="24"/>
  <c r="CN346" i="24"/>
  <c r="CV346" i="24"/>
  <c r="CE347" i="24"/>
  <c r="CU347" i="24"/>
  <c r="CC348" i="24"/>
  <c r="CK348" i="24"/>
  <c r="CS348" i="24"/>
  <c r="CC349" i="24"/>
  <c r="CK349" i="24"/>
  <c r="CS349" i="24"/>
  <c r="CB350" i="24"/>
  <c r="CJ350" i="24"/>
  <c r="CR350" i="24"/>
  <c r="CB351" i="24"/>
  <c r="CJ351" i="24"/>
  <c r="CR351" i="24"/>
  <c r="CB352" i="24"/>
  <c r="CJ352" i="24"/>
  <c r="CR352" i="24"/>
  <c r="CB353" i="24"/>
  <c r="CJ353" i="24"/>
  <c r="CR353" i="24"/>
  <c r="CB354" i="24"/>
  <c r="CJ354" i="24"/>
  <c r="CR354" i="24"/>
  <c r="CB355" i="24"/>
  <c r="CJ355" i="24"/>
  <c r="CR355" i="24"/>
  <c r="CB356" i="24"/>
  <c r="CJ356" i="24"/>
  <c r="CR356" i="24"/>
  <c r="CB357" i="24"/>
  <c r="CJ357" i="24"/>
  <c r="CR357" i="24"/>
  <c r="CB358" i="24"/>
  <c r="CJ358" i="24"/>
  <c r="CR358" i="24"/>
  <c r="CB359" i="24"/>
  <c r="CJ359" i="24"/>
  <c r="CR359" i="24"/>
  <c r="CB360" i="24"/>
  <c r="CJ360" i="24"/>
  <c r="CR360" i="24"/>
  <c r="CB361" i="24"/>
  <c r="CJ361" i="24"/>
  <c r="CR361" i="24"/>
  <c r="CB362" i="24"/>
  <c r="CJ362" i="24"/>
  <c r="CR362" i="24"/>
  <c r="CB363" i="24"/>
  <c r="CJ363" i="24"/>
  <c r="CR363" i="24"/>
  <c r="CB364" i="24"/>
  <c r="CJ364" i="24"/>
  <c r="CR364" i="24"/>
  <c r="CB365" i="24"/>
  <c r="CJ365" i="24"/>
  <c r="CR365" i="24"/>
  <c r="CB366" i="24"/>
  <c r="CJ366" i="24"/>
  <c r="CR366" i="24"/>
  <c r="CB367" i="24"/>
  <c r="CJ367" i="24"/>
  <c r="CR367" i="24"/>
  <c r="CB368" i="24"/>
  <c r="CJ368" i="24"/>
  <c r="CR368" i="24"/>
  <c r="CB369" i="24"/>
  <c r="CJ369" i="24"/>
  <c r="CR369" i="24"/>
  <c r="CU340" i="24"/>
  <c r="CE341" i="24"/>
  <c r="CM341" i="24"/>
  <c r="CU341" i="24"/>
  <c r="CE342" i="24"/>
  <c r="CM342" i="24"/>
  <c r="CA345" i="24"/>
  <c r="CI345" i="24"/>
  <c r="CQ345" i="24"/>
  <c r="CF347" i="24"/>
  <c r="CN347" i="24"/>
  <c r="CV347" i="24"/>
  <c r="CE348" i="24"/>
  <c r="CM348" i="24"/>
  <c r="CU348" i="24"/>
  <c r="CE349" i="24"/>
  <c r="CM349" i="24"/>
  <c r="CU349" i="24"/>
  <c r="CC350" i="24"/>
  <c r="CK350" i="24"/>
  <c r="CS350" i="24"/>
  <c r="CC351" i="24"/>
  <c r="CK351" i="24"/>
  <c r="CS351" i="24"/>
  <c r="CC352" i="24"/>
  <c r="CK352" i="24"/>
  <c r="CS352" i="24"/>
  <c r="CC353" i="24"/>
  <c r="CK353" i="24"/>
  <c r="CS353" i="24"/>
  <c r="CC354" i="24"/>
  <c r="CK354" i="24"/>
  <c r="CS354" i="24"/>
  <c r="CC355" i="24"/>
  <c r="CK355" i="24"/>
  <c r="CS355" i="24"/>
  <c r="CC356" i="24"/>
  <c r="CK356" i="24"/>
  <c r="CS356" i="24"/>
  <c r="CC357" i="24"/>
  <c r="CK357" i="24"/>
  <c r="CS357" i="24"/>
  <c r="CC358" i="24"/>
  <c r="CK358" i="24"/>
  <c r="CS358" i="24"/>
  <c r="CC359" i="24"/>
  <c r="CK359" i="24"/>
  <c r="CS359" i="24"/>
  <c r="CC360" i="24"/>
  <c r="CK360" i="24"/>
  <c r="CS360" i="24"/>
  <c r="CC361" i="24"/>
  <c r="CK361" i="24"/>
  <c r="CS361" i="24"/>
  <c r="CC362" i="24"/>
  <c r="CK362" i="24"/>
  <c r="CS362" i="24"/>
  <c r="CC363" i="24"/>
  <c r="CK363" i="24"/>
  <c r="CS363" i="24"/>
  <c r="CC364" i="24"/>
  <c r="CK364" i="24"/>
  <c r="CS364" i="24"/>
  <c r="CC365" i="24"/>
  <c r="CK365" i="24"/>
  <c r="CS365" i="24"/>
  <c r="CC366" i="24"/>
  <c r="CK366" i="24"/>
  <c r="CS366" i="24"/>
  <c r="CC367" i="24"/>
  <c r="CK367" i="24"/>
  <c r="CS367" i="24"/>
  <c r="CC368" i="24"/>
  <c r="CK368" i="24"/>
  <c r="CS368" i="24"/>
  <c r="CC369" i="24"/>
  <c r="CK369" i="24"/>
  <c r="CS369" i="24"/>
  <c r="CS370" i="24"/>
  <c r="K361" i="17"/>
  <c r="K353" i="17"/>
  <c r="K345" i="17"/>
  <c r="K337" i="17"/>
  <c r="K363" i="17"/>
  <c r="K355" i="17"/>
  <c r="K347" i="17"/>
  <c r="K339" i="17"/>
  <c r="AY361" i="19"/>
  <c r="AY353" i="19"/>
  <c r="AY345" i="19"/>
  <c r="AO365" i="19"/>
  <c r="AO357" i="19"/>
  <c r="AO349" i="19"/>
  <c r="AO341" i="19"/>
  <c r="AO364" i="19"/>
  <c r="AO356" i="19"/>
  <c r="AO348" i="19"/>
  <c r="AO340" i="19"/>
  <c r="CG343" i="24"/>
  <c r="CO343" i="24"/>
  <c r="CW343" i="24"/>
  <c r="CT343" i="24"/>
  <c r="CC345" i="24"/>
  <c r="CK345" i="24"/>
  <c r="CS345" i="24"/>
  <c r="CD345" i="24"/>
  <c r="CL346" i="24"/>
  <c r="CG347" i="24"/>
  <c r="CO347" i="24"/>
  <c r="CW347" i="24"/>
  <c r="CH344" i="24"/>
  <c r="CL348" i="24"/>
  <c r="CD349" i="24"/>
  <c r="CT349" i="24"/>
  <c r="CL350" i="24"/>
  <c r="CD351" i="24"/>
  <c r="CT351" i="24"/>
  <c r="CL352" i="24"/>
  <c r="CD353" i="24"/>
  <c r="CT353" i="24"/>
  <c r="CL354" i="24"/>
  <c r="CW342" i="24"/>
  <c r="CG344" i="24"/>
  <c r="CO344" i="24"/>
  <c r="CW344" i="24"/>
  <c r="CC346" i="24"/>
  <c r="CK346" i="24"/>
  <c r="CS346" i="24"/>
  <c r="CD346" i="24"/>
  <c r="CC343" i="24"/>
  <c r="CK343" i="24"/>
  <c r="CS343" i="24"/>
  <c r="CD343" i="24"/>
  <c r="CL344" i="24"/>
  <c r="CG345" i="24"/>
  <c r="CO345" i="24"/>
  <c r="CW345" i="24"/>
  <c r="CT345" i="24"/>
  <c r="CC347" i="24"/>
  <c r="CK347" i="24"/>
  <c r="CS347" i="24"/>
  <c r="CE355" i="24"/>
  <c r="CM355" i="24"/>
  <c r="CU355" i="24"/>
  <c r="CH346" i="24"/>
  <c r="CD348" i="24"/>
  <c r="CT348" i="24"/>
  <c r="CL349" i="24"/>
  <c r="CD350" i="24"/>
  <c r="CT350" i="24"/>
  <c r="CL351" i="24"/>
  <c r="CD352" i="24"/>
  <c r="CT352" i="24"/>
  <c r="CL353" i="24"/>
  <c r="CD354" i="24"/>
  <c r="CT354" i="24"/>
  <c r="CS342" i="24"/>
  <c r="CT342" i="24"/>
  <c r="CC344" i="24"/>
  <c r="CK344" i="24"/>
  <c r="CS344" i="24"/>
  <c r="CD344" i="24"/>
  <c r="CG346" i="24"/>
  <c r="CO346" i="24"/>
  <c r="CW346" i="24"/>
  <c r="CT346" i="24"/>
  <c r="AX349" i="13"/>
  <c r="AX361" i="13"/>
  <c r="AX360" i="13"/>
  <c r="AX359" i="13"/>
  <c r="AX358" i="13"/>
  <c r="AX356" i="13"/>
  <c r="AX352" i="13"/>
  <c r="AX351" i="13"/>
  <c r="AX350" i="13"/>
  <c r="AX348" i="13"/>
  <c r="AX340" i="13"/>
  <c r="AX354" i="13"/>
  <c r="AX353" i="13"/>
  <c r="AX344" i="13"/>
  <c r="AX343" i="13"/>
  <c r="AX342" i="13"/>
  <c r="AX341" i="13"/>
  <c r="AX345" i="13"/>
  <c r="AX347" i="13"/>
  <c r="AX363" i="13"/>
  <c r="AX355" i="13"/>
  <c r="AX365" i="13"/>
  <c r="AX357" i="13"/>
  <c r="AX338" i="13"/>
  <c r="AH365" i="19" l="1"/>
  <c r="AZ345" i="19"/>
  <c r="BA353" i="19"/>
  <c r="BA349" i="19"/>
  <c r="AZ359" i="19"/>
  <c r="BB363" i="19"/>
  <c r="BB345" i="19"/>
  <c r="J359" i="17"/>
  <c r="L359" i="17" s="1"/>
  <c r="I351" i="17"/>
  <c r="BB353" i="19"/>
  <c r="BB355" i="19"/>
  <c r="H344" i="14"/>
  <c r="G338" i="17"/>
  <c r="F338" i="14"/>
  <c r="G350" i="17"/>
  <c r="I350" i="17" s="1"/>
  <c r="F350" i="14"/>
  <c r="H350" i="14" s="1"/>
  <c r="G364" i="17"/>
  <c r="J364" i="17" s="1"/>
  <c r="L364" i="17" s="1"/>
  <c r="F364" i="14"/>
  <c r="H364" i="14" s="1"/>
  <c r="G365" i="17"/>
  <c r="I365" i="17" s="1"/>
  <c r="F365" i="14"/>
  <c r="H365" i="14" s="1"/>
  <c r="BB338" i="19"/>
  <c r="G345" i="17"/>
  <c r="F345" i="14"/>
  <c r="H345" i="14" s="1"/>
  <c r="G346" i="17"/>
  <c r="I346" i="17" s="1"/>
  <c r="F346" i="14"/>
  <c r="H346" i="14" s="1"/>
  <c r="G340" i="17"/>
  <c r="F340" i="14"/>
  <c r="H340" i="14" s="1"/>
  <c r="G341" i="17"/>
  <c r="I341" i="17" s="1"/>
  <c r="F341" i="14"/>
  <c r="H341" i="14" s="1"/>
  <c r="G342" i="17"/>
  <c r="I342" i="17" s="1"/>
  <c r="F342" i="14"/>
  <c r="H342" i="14" s="1"/>
  <c r="BB346" i="19"/>
  <c r="G353" i="17"/>
  <c r="J353" i="17" s="1"/>
  <c r="L353" i="17" s="1"/>
  <c r="F353" i="14"/>
  <c r="H353" i="14" s="1"/>
  <c r="G354" i="17"/>
  <c r="I354" i="17" s="1"/>
  <c r="F354" i="14"/>
  <c r="H354" i="14" s="1"/>
  <c r="G355" i="17"/>
  <c r="J355" i="17" s="1"/>
  <c r="L355" i="17" s="1"/>
  <c r="F355" i="14"/>
  <c r="H355" i="14" s="1"/>
  <c r="G348" i="17"/>
  <c r="F348" i="14"/>
  <c r="H348" i="14" s="1"/>
  <c r="G349" i="17"/>
  <c r="J349" i="17" s="1"/>
  <c r="L349" i="17" s="1"/>
  <c r="F349" i="14"/>
  <c r="H349" i="14" s="1"/>
  <c r="G358" i="17"/>
  <c r="I358" i="17" s="1"/>
  <c r="F358" i="14"/>
  <c r="H358" i="14" s="1"/>
  <c r="BB351" i="19"/>
  <c r="BB354" i="19"/>
  <c r="BB366" i="19"/>
  <c r="G343" i="17"/>
  <c r="F343" i="14"/>
  <c r="H343" i="14" s="1"/>
  <c r="G362" i="17"/>
  <c r="I362" i="17" s="1"/>
  <c r="F362" i="14"/>
  <c r="H362" i="14" s="1"/>
  <c r="G363" i="17"/>
  <c r="J363" i="17" s="1"/>
  <c r="L363" i="17" s="1"/>
  <c r="F363" i="14"/>
  <c r="H363" i="14" s="1"/>
  <c r="G356" i="17"/>
  <c r="F356" i="14"/>
  <c r="H356" i="14" s="1"/>
  <c r="G357" i="17"/>
  <c r="I357" i="17" s="1"/>
  <c r="F357" i="14"/>
  <c r="H357" i="14" s="1"/>
  <c r="G366" i="17"/>
  <c r="I366" i="17" s="1"/>
  <c r="F366" i="14"/>
  <c r="H366" i="14" s="1"/>
  <c r="H339" i="14"/>
  <c r="BB343" i="19"/>
  <c r="BB362" i="19"/>
  <c r="H360" i="14"/>
  <c r="BB344" i="19"/>
  <c r="AZ342" i="19"/>
  <c r="I344" i="17"/>
  <c r="G346" i="14"/>
  <c r="AZ361" i="19"/>
  <c r="H351" i="14"/>
  <c r="BB360" i="19"/>
  <c r="G356" i="14"/>
  <c r="G366" i="14"/>
  <c r="H352" i="14"/>
  <c r="BB352" i="19"/>
  <c r="AZ353" i="19"/>
  <c r="G365" i="14"/>
  <c r="G364" i="14"/>
  <c r="G355" i="14"/>
  <c r="G353" i="14"/>
  <c r="BA350" i="19"/>
  <c r="G348" i="14"/>
  <c r="I352" i="17"/>
  <c r="J352" i="17"/>
  <c r="L352" i="17" s="1"/>
  <c r="I347" i="17"/>
  <c r="J347" i="17"/>
  <c r="L347" i="17" s="1"/>
  <c r="G358" i="14"/>
  <c r="G345" i="14"/>
  <c r="H347" i="14"/>
  <c r="BB347" i="19"/>
  <c r="G354" i="14"/>
  <c r="J344" i="17"/>
  <c r="L344" i="17" s="1"/>
  <c r="BA347" i="19"/>
  <c r="AZ344" i="19"/>
  <c r="AH340" i="19"/>
  <c r="G343" i="14"/>
  <c r="G342" i="14"/>
  <c r="G340" i="14"/>
  <c r="BB357" i="19"/>
  <c r="BB364" i="19"/>
  <c r="BB365" i="19"/>
  <c r="G357" i="14"/>
  <c r="BB348" i="19"/>
  <c r="BB358" i="19"/>
  <c r="I360" i="17"/>
  <c r="J360" i="17"/>
  <c r="L360" i="17" s="1"/>
  <c r="J339" i="17"/>
  <c r="L339" i="17" s="1"/>
  <c r="I339" i="17"/>
  <c r="G350" i="14"/>
  <c r="BB340" i="19"/>
  <c r="G349" i="14"/>
  <c r="BB349" i="19"/>
  <c r="BB342" i="19"/>
  <c r="BB356" i="19"/>
  <c r="J361" i="17"/>
  <c r="L361" i="17" s="1"/>
  <c r="I361" i="17"/>
  <c r="G341" i="14"/>
  <c r="BB361" i="19"/>
  <c r="H361" i="14"/>
  <c r="BB350" i="19"/>
  <c r="BB341" i="19"/>
  <c r="G362" i="14"/>
  <c r="BB339" i="19"/>
  <c r="AF343" i="19"/>
  <c r="AE343" i="19"/>
  <c r="BA344" i="19"/>
  <c r="AH344" i="19"/>
  <c r="AH366" i="19"/>
  <c r="BA366" i="19"/>
  <c r="AG357" i="19"/>
  <c r="AZ357" i="19"/>
  <c r="AE362" i="19"/>
  <c r="AF362" i="19"/>
  <c r="AG347" i="19"/>
  <c r="AZ347" i="19"/>
  <c r="BA342" i="19"/>
  <c r="AH342" i="19"/>
  <c r="AG341" i="19"/>
  <c r="AZ341" i="19"/>
  <c r="AE355" i="19"/>
  <c r="AF355" i="19"/>
  <c r="AF353" i="19"/>
  <c r="AE353" i="19"/>
  <c r="AF358" i="19"/>
  <c r="AE358" i="19"/>
  <c r="AZ346" i="19"/>
  <c r="AG346" i="19"/>
  <c r="AZ350" i="19"/>
  <c r="AG350" i="19"/>
  <c r="AH359" i="19"/>
  <c r="BA359" i="19"/>
  <c r="AH356" i="19"/>
  <c r="BA356" i="19"/>
  <c r="AE346" i="19"/>
  <c r="AF346" i="19"/>
  <c r="BA343" i="19"/>
  <c r="AH343" i="19"/>
  <c r="AF352" i="19"/>
  <c r="AE352" i="19"/>
  <c r="AE365" i="19"/>
  <c r="AF365" i="19"/>
  <c r="AF359" i="19"/>
  <c r="AE359" i="19"/>
  <c r="AG343" i="19"/>
  <c r="AZ343" i="19"/>
  <c r="AE347" i="19"/>
  <c r="AF347" i="19"/>
  <c r="AE340" i="19"/>
  <c r="AF340" i="19"/>
  <c r="AF360" i="19"/>
  <c r="AE360" i="19"/>
  <c r="AG349" i="19"/>
  <c r="AZ349" i="19"/>
  <c r="AG366" i="19"/>
  <c r="AZ366" i="19"/>
  <c r="BA362" i="19"/>
  <c r="AH362" i="19"/>
  <c r="BA352" i="19"/>
  <c r="AH352" i="19"/>
  <c r="AG364" i="19"/>
  <c r="AZ364" i="19"/>
  <c r="AE366" i="19"/>
  <c r="AF366" i="19"/>
  <c r="AH346" i="19"/>
  <c r="BA346" i="19"/>
  <c r="AE357" i="19"/>
  <c r="AF357" i="19"/>
  <c r="AE356" i="19"/>
  <c r="AF356" i="19"/>
  <c r="AE363" i="19"/>
  <c r="AF363" i="19"/>
  <c r="AG348" i="19"/>
  <c r="AZ348" i="19"/>
  <c r="AE364" i="19"/>
  <c r="AF364" i="19"/>
  <c r="AE348" i="19"/>
  <c r="AF348" i="19"/>
  <c r="AF361" i="19"/>
  <c r="AE361" i="19"/>
  <c r="BA351" i="19"/>
  <c r="AH351" i="19"/>
  <c r="AH355" i="19"/>
  <c r="BA355" i="19"/>
  <c r="AG358" i="19"/>
  <c r="AZ358" i="19"/>
  <c r="AG365" i="19"/>
  <c r="AZ365" i="19"/>
  <c r="BA345" i="19"/>
  <c r="AZ355" i="19"/>
  <c r="AG355" i="19"/>
  <c r="AZ351" i="19"/>
  <c r="AG351" i="19"/>
  <c r="AZ362" i="19"/>
  <c r="AG362" i="19"/>
  <c r="AE341" i="19"/>
  <c r="AF341" i="19"/>
  <c r="AH354" i="19"/>
  <c r="BA354" i="19"/>
  <c r="AH357" i="19"/>
  <c r="BA357" i="19"/>
  <c r="AH348" i="19"/>
  <c r="BA348" i="19"/>
  <c r="AZ360" i="19"/>
  <c r="BA364" i="19"/>
  <c r="AH364" i="19"/>
  <c r="AF344" i="19"/>
  <c r="AE344" i="19"/>
  <c r="AF354" i="19"/>
  <c r="AE354" i="19"/>
  <c r="AF345" i="19"/>
  <c r="AE345" i="19"/>
  <c r="AE350" i="19"/>
  <c r="AF350" i="19"/>
  <c r="AE342" i="19"/>
  <c r="AF342" i="19"/>
  <c r="AF351" i="19"/>
  <c r="AE351" i="19"/>
  <c r="AE349" i="19"/>
  <c r="AF349" i="19"/>
  <c r="AZ339" i="19"/>
  <c r="AZ363" i="19"/>
  <c r="AG363" i="19"/>
  <c r="AH358" i="19"/>
  <c r="BA358" i="19"/>
  <c r="AZ354" i="19"/>
  <c r="AG354" i="19"/>
  <c r="AH341" i="19"/>
  <c r="BA341" i="19"/>
  <c r="BA363" i="19"/>
  <c r="AH363" i="19"/>
  <c r="AZ352" i="19"/>
  <c r="BA361" i="19"/>
  <c r="AG356" i="19"/>
  <c r="AZ356" i="19"/>
  <c r="BA360" i="19"/>
  <c r="AH360" i="19"/>
  <c r="AH339" i="19"/>
  <c r="AG340" i="19"/>
  <c r="AZ340" i="19"/>
  <c r="AE339" i="19"/>
  <c r="AF339" i="19"/>
  <c r="BB359" i="19"/>
  <c r="H359" i="14"/>
  <c r="AZ338" i="19"/>
  <c r="BA338" i="19"/>
  <c r="AF338" i="19"/>
  <c r="AE338" i="19"/>
  <c r="J354" i="17" l="1"/>
  <c r="L354" i="17" s="1"/>
  <c r="I349" i="17"/>
  <c r="I353" i="17"/>
  <c r="J358" i="17"/>
  <c r="L358" i="17" s="1"/>
  <c r="J357" i="17"/>
  <c r="L357" i="17" s="1"/>
  <c r="I364" i="17"/>
  <c r="J341" i="17"/>
  <c r="L341" i="17" s="1"/>
  <c r="J362" i="17"/>
  <c r="L362" i="17" s="1"/>
  <c r="J350" i="17"/>
  <c r="L350" i="17" s="1"/>
  <c r="J342" i="17"/>
  <c r="L342" i="17" s="1"/>
  <c r="J366" i="17"/>
  <c r="L366" i="17" s="1"/>
  <c r="J346" i="17"/>
  <c r="L346" i="17" s="1"/>
  <c r="J365" i="17"/>
  <c r="L365" i="17" s="1"/>
  <c r="I363" i="17"/>
  <c r="I355" i="17"/>
  <c r="I343" i="17"/>
  <c r="J343" i="17"/>
  <c r="L343" i="17" s="1"/>
  <c r="J345" i="17"/>
  <c r="L345" i="17" s="1"/>
  <c r="I345" i="17"/>
  <c r="I340" i="17"/>
  <c r="J340" i="17"/>
  <c r="L340" i="17" s="1"/>
  <c r="I356" i="17"/>
  <c r="J356" i="17"/>
  <c r="L356" i="17" s="1"/>
  <c r="I348" i="17"/>
  <c r="J348" i="17"/>
  <c r="L348" i="17" s="1"/>
  <c r="B337" i="19"/>
  <c r="N337" i="19"/>
  <c r="BO337" i="19"/>
  <c r="T337" i="19"/>
  <c r="U337" i="19"/>
  <c r="AC337" i="19"/>
  <c r="AD337" i="19"/>
  <c r="AG337" i="19"/>
  <c r="AH337" i="19"/>
  <c r="AI337" i="19"/>
  <c r="AL337" i="19"/>
  <c r="AN337" i="19"/>
  <c r="E337" i="14" s="1"/>
  <c r="AV337" i="19"/>
  <c r="AX337" i="19"/>
  <c r="M337" i="14" s="1"/>
  <c r="BC337" i="19"/>
  <c r="BQ337" i="19"/>
  <c r="BR337" i="19"/>
  <c r="BS337" i="19"/>
  <c r="BZ337" i="19"/>
  <c r="CA337" i="19"/>
  <c r="CB337" i="19"/>
  <c r="CC337" i="19"/>
  <c r="CD337" i="19"/>
  <c r="CE337" i="19"/>
  <c r="CF337" i="19"/>
  <c r="CG337" i="19"/>
  <c r="CH337" i="19"/>
  <c r="CI337" i="19"/>
  <c r="AT337" i="13"/>
  <c r="AS337" i="13"/>
  <c r="AR337" i="13"/>
  <c r="AQ337" i="13"/>
  <c r="AP337" i="13"/>
  <c r="AK337" i="13"/>
  <c r="AJ337" i="13"/>
  <c r="AI337" i="13"/>
  <c r="AH337" i="13"/>
  <c r="AC337" i="13"/>
  <c r="AB337" i="13"/>
  <c r="AA337" i="13"/>
  <c r="Z337" i="13"/>
  <c r="AD337" i="13"/>
  <c r="AE337" i="13"/>
  <c r="AF337" i="13"/>
  <c r="AG337" i="13"/>
  <c r="AL337" i="13"/>
  <c r="AM337" i="13"/>
  <c r="AN337" i="13"/>
  <c r="AO337" i="13"/>
  <c r="AU337" i="13"/>
  <c r="AV337" i="13"/>
  <c r="AW337" i="13"/>
  <c r="BA337" i="19" l="1"/>
  <c r="CJ337" i="19"/>
  <c r="AA337" i="19"/>
  <c r="AB337" i="19" s="1"/>
  <c r="G337" i="17"/>
  <c r="F337" i="14"/>
  <c r="G338" i="14"/>
  <c r="V337" i="19"/>
  <c r="BN337" i="19" s="1"/>
  <c r="Y337" i="19"/>
  <c r="B337" i="14" s="1"/>
  <c r="AZ337" i="19"/>
  <c r="AO337" i="19"/>
  <c r="AY337" i="19"/>
  <c r="AP337" i="19"/>
  <c r="AQ337" i="19" s="1"/>
  <c r="CM337" i="19" s="1"/>
  <c r="AX337" i="13"/>
  <c r="H338" i="14" l="1"/>
  <c r="J338" i="17"/>
  <c r="L338" i="17" s="1"/>
  <c r="I338" i="17"/>
  <c r="BB337" i="19"/>
  <c r="AE337" i="19"/>
  <c r="AF337" i="19"/>
  <c r="AN337" i="15" l="1"/>
  <c r="AK337" i="15"/>
  <c r="AE337" i="15"/>
  <c r="AB337" i="15"/>
  <c r="P337" i="15"/>
  <c r="J337" i="15"/>
  <c r="G337" i="15"/>
  <c r="D337" i="15"/>
  <c r="AN336" i="15" l="1"/>
  <c r="AK336" i="15"/>
  <c r="AE336" i="15"/>
  <c r="AB336" i="15"/>
  <c r="P336" i="15"/>
  <c r="J336" i="15"/>
  <c r="G336" i="15"/>
  <c r="D336" i="15"/>
  <c r="AN335" i="15" l="1"/>
  <c r="AK335" i="15"/>
  <c r="AE335" i="15"/>
  <c r="AB335" i="15"/>
  <c r="P335" i="15"/>
  <c r="J335" i="15"/>
  <c r="G335" i="15"/>
  <c r="D335" i="15"/>
  <c r="AN334" i="15" l="1"/>
  <c r="AK334" i="15"/>
  <c r="AE334" i="15"/>
  <c r="AB334" i="15"/>
  <c r="P334" i="15"/>
  <c r="J334" i="15"/>
  <c r="G334" i="15"/>
  <c r="D334" i="15"/>
  <c r="AN333" i="15" l="1"/>
  <c r="AK333" i="15"/>
  <c r="AE333" i="15"/>
  <c r="AB333" i="15"/>
  <c r="P333" i="15"/>
  <c r="J333" i="15"/>
  <c r="G333" i="15"/>
  <c r="D333" i="15"/>
  <c r="AN332" i="15" l="1"/>
  <c r="AK332" i="15"/>
  <c r="AE332" i="15"/>
  <c r="AB332" i="15"/>
  <c r="P332" i="15"/>
  <c r="J332" i="15"/>
  <c r="G332" i="15"/>
  <c r="D332" i="15"/>
  <c r="AN331" i="15"/>
  <c r="AK331" i="15"/>
  <c r="AE331" i="15"/>
  <c r="AB331" i="15"/>
  <c r="P331" i="15"/>
  <c r="J331" i="15"/>
  <c r="G331" i="15"/>
  <c r="D331" i="15"/>
  <c r="AN330" i="15" l="1"/>
  <c r="AK330" i="15"/>
  <c r="AE330" i="15"/>
  <c r="AB330" i="15"/>
  <c r="P330" i="15"/>
  <c r="J330" i="15"/>
  <c r="G330" i="15"/>
  <c r="D330" i="15"/>
  <c r="AN329" i="15" l="1"/>
  <c r="AK329" i="15"/>
  <c r="AE329" i="15"/>
  <c r="AB329" i="15"/>
  <c r="P329" i="15"/>
  <c r="J329" i="15"/>
  <c r="G329" i="15"/>
  <c r="D329" i="15"/>
  <c r="AN328" i="15" l="1"/>
  <c r="AK328" i="15"/>
  <c r="AE328" i="15"/>
  <c r="AB328" i="15"/>
  <c r="P328" i="15"/>
  <c r="J328" i="15"/>
  <c r="G328" i="15"/>
  <c r="D328" i="15"/>
  <c r="AN327" i="15" l="1"/>
  <c r="AK327" i="15"/>
  <c r="AE327" i="15"/>
  <c r="AB327" i="15"/>
  <c r="P327" i="15"/>
  <c r="J327" i="15"/>
  <c r="G327" i="15"/>
  <c r="D327" i="15"/>
  <c r="AN326" i="15" l="1"/>
  <c r="AK326" i="15"/>
  <c r="AE326" i="15"/>
  <c r="AB326" i="15"/>
  <c r="P326" i="15"/>
  <c r="J326" i="15"/>
  <c r="G326" i="15"/>
  <c r="D326" i="15"/>
  <c r="AV14" i="37" l="1"/>
  <c r="AU14" i="37"/>
  <c r="AT14" i="37"/>
  <c r="AS14" i="37"/>
  <c r="D48" i="60" s="1"/>
  <c r="AR14" i="37"/>
  <c r="C48" i="60" s="1"/>
  <c r="AQ14" i="37"/>
  <c r="B48" i="60" s="1"/>
  <c r="AP14" i="37"/>
  <c r="AO14" i="37"/>
  <c r="AN14" i="37"/>
  <c r="AV13" i="37"/>
  <c r="AU13" i="37"/>
  <c r="AT13" i="37"/>
  <c r="AS13" i="37"/>
  <c r="D47" i="60" s="1"/>
  <c r="AR13" i="37"/>
  <c r="C47" i="60" s="1"/>
  <c r="AQ13" i="37"/>
  <c r="B47" i="60" s="1"/>
  <c r="AP13" i="37"/>
  <c r="AO13" i="37"/>
  <c r="AN13" i="37"/>
  <c r="AV12" i="37"/>
  <c r="AU12" i="37"/>
  <c r="AT12" i="37"/>
  <c r="AS12" i="37"/>
  <c r="D46" i="60" s="1"/>
  <c r="AR12" i="37"/>
  <c r="C46" i="60" s="1"/>
  <c r="AQ12" i="37"/>
  <c r="B46" i="60" s="1"/>
  <c r="AP12" i="37"/>
  <c r="AO12" i="37"/>
  <c r="AN12" i="37"/>
  <c r="AV11" i="37"/>
  <c r="AU11" i="37"/>
  <c r="AT11" i="37"/>
  <c r="AS11" i="37"/>
  <c r="D45" i="60" s="1"/>
  <c r="AR11" i="37"/>
  <c r="C45" i="60" s="1"/>
  <c r="AQ11" i="37"/>
  <c r="B45" i="60" s="1"/>
  <c r="AP11" i="37"/>
  <c r="AO11" i="37"/>
  <c r="AN11" i="37"/>
  <c r="AV10" i="37"/>
  <c r="AU10" i="37"/>
  <c r="AT10" i="37"/>
  <c r="AS10" i="37"/>
  <c r="D44" i="60" s="1"/>
  <c r="AR10" i="37"/>
  <c r="C44" i="60" s="1"/>
  <c r="AQ10" i="37"/>
  <c r="B44" i="60" s="1"/>
  <c r="AP10" i="37"/>
  <c r="AO10" i="37"/>
  <c r="AN10" i="37"/>
  <c r="AV9" i="37"/>
  <c r="AU9" i="37"/>
  <c r="AT9" i="37"/>
  <c r="AS9" i="37"/>
  <c r="D43" i="60" s="1"/>
  <c r="AR9" i="37"/>
  <c r="C43" i="60" s="1"/>
  <c r="AQ9" i="37"/>
  <c r="B43" i="60" s="1"/>
  <c r="AP9" i="37"/>
  <c r="AO9" i="37"/>
  <c r="AN9" i="37"/>
  <c r="AV8" i="37"/>
  <c r="AU8" i="37"/>
  <c r="AT8" i="37"/>
  <c r="AS8" i="37"/>
  <c r="D42" i="60" s="1"/>
  <c r="AR8" i="37"/>
  <c r="C42" i="60" s="1"/>
  <c r="AQ8" i="37"/>
  <c r="B42" i="60" s="1"/>
  <c r="AP8" i="37"/>
  <c r="AO8" i="37"/>
  <c r="AN8" i="37"/>
  <c r="AV7" i="37"/>
  <c r="AU7" i="37"/>
  <c r="AT7" i="37"/>
  <c r="AS7" i="37"/>
  <c r="D41" i="60" s="1"/>
  <c r="AR7" i="37"/>
  <c r="C41" i="60" s="1"/>
  <c r="AQ7" i="37"/>
  <c r="B41" i="60" s="1"/>
  <c r="AP7" i="37"/>
  <c r="AO7" i="37"/>
  <c r="AN7" i="37"/>
  <c r="AV6" i="37"/>
  <c r="AU6" i="37"/>
  <c r="AT6" i="37"/>
  <c r="AS6" i="37"/>
  <c r="D40" i="60" s="1"/>
  <c r="AR6" i="37"/>
  <c r="C40" i="60" s="1"/>
  <c r="AQ6" i="37"/>
  <c r="B40" i="60" s="1"/>
  <c r="AP6" i="37"/>
  <c r="AO6" i="37"/>
  <c r="AN6" i="37"/>
  <c r="AU5" i="37"/>
  <c r="AT5" i="37"/>
  <c r="AS5" i="37"/>
  <c r="D39" i="60" s="1"/>
  <c r="AR5" i="37"/>
  <c r="C39" i="60" s="1"/>
  <c r="AQ5" i="37"/>
  <c r="B39" i="60" s="1"/>
  <c r="AP5" i="37"/>
  <c r="AO5" i="37"/>
  <c r="AN5" i="37"/>
  <c r="U33" i="26"/>
  <c r="T33" i="26"/>
  <c r="U25" i="26"/>
  <c r="T25" i="26"/>
  <c r="C16" i="26"/>
  <c r="C15" i="26"/>
  <c r="U14" i="26"/>
  <c r="T14" i="26"/>
  <c r="C14" i="26"/>
  <c r="W3" i="26"/>
  <c r="V3" i="26"/>
  <c r="U3" i="26"/>
  <c r="O3" i="26"/>
  <c r="N3" i="26"/>
  <c r="M3" i="26"/>
  <c r="FQ322" i="20"/>
  <c r="FN322" i="20"/>
  <c r="FL322" i="20"/>
  <c r="FI322" i="20"/>
  <c r="FG322" i="20"/>
  <c r="FD322" i="20"/>
  <c r="FQ321" i="20"/>
  <c r="FN321" i="20"/>
  <c r="FL321" i="20"/>
  <c r="FI321" i="20"/>
  <c r="FD321" i="20"/>
  <c r="FQ320" i="20"/>
  <c r="FN320" i="20"/>
  <c r="FI320" i="20"/>
  <c r="FG320" i="20"/>
  <c r="FD320" i="20"/>
  <c r="FN319" i="20"/>
  <c r="FL319" i="20"/>
  <c r="FI319" i="20"/>
  <c r="FD319" i="20"/>
  <c r="FQ318" i="20"/>
  <c r="FN318" i="20"/>
  <c r="FI318" i="20"/>
  <c r="FG318" i="20"/>
  <c r="FD318" i="20"/>
  <c r="FN317" i="20"/>
  <c r="FL317" i="20"/>
  <c r="FI317" i="20"/>
  <c r="FD317" i="20"/>
  <c r="FQ316" i="20"/>
  <c r="FN316" i="20"/>
  <c r="FI316" i="20"/>
  <c r="FG316" i="20"/>
  <c r="FD316" i="20"/>
  <c r="FN315" i="20"/>
  <c r="FK315" i="20"/>
  <c r="FL315" i="20"/>
  <c r="FI315" i="20"/>
  <c r="FD315" i="20"/>
  <c r="FQ314" i="20"/>
  <c r="FN314" i="20"/>
  <c r="FI314" i="20"/>
  <c r="FG314" i="20"/>
  <c r="FD314" i="20"/>
  <c r="FN313" i="20"/>
  <c r="FL313" i="20"/>
  <c r="FI313" i="20"/>
  <c r="FD313" i="20"/>
  <c r="FQ312" i="20"/>
  <c r="FN312" i="20"/>
  <c r="FI312" i="20"/>
  <c r="FG312" i="20"/>
  <c r="FD312" i="20"/>
  <c r="FN311" i="20"/>
  <c r="FL311" i="20"/>
  <c r="FI311" i="20"/>
  <c r="FD311" i="20"/>
  <c r="FQ310" i="20"/>
  <c r="FN310" i="20"/>
  <c r="FI310" i="20"/>
  <c r="FG310" i="20"/>
  <c r="FD310" i="20"/>
  <c r="FN309" i="20"/>
  <c r="FI309" i="20"/>
  <c r="FD309" i="20"/>
  <c r="FQ308" i="20"/>
  <c r="FN308" i="20"/>
  <c r="FI308" i="20"/>
  <c r="FG308" i="20"/>
  <c r="FD308" i="20"/>
  <c r="FN307" i="20"/>
  <c r="FL307" i="20"/>
  <c r="FI307" i="20"/>
  <c r="FD307" i="20"/>
  <c r="FQ306" i="20"/>
  <c r="FN306" i="20"/>
  <c r="FI306" i="20"/>
  <c r="FG306" i="20"/>
  <c r="FD306" i="20"/>
  <c r="FN305" i="20"/>
  <c r="FL305" i="20"/>
  <c r="FI305" i="20"/>
  <c r="FD305" i="20"/>
  <c r="FQ304" i="20"/>
  <c r="FN304" i="20"/>
  <c r="FK304" i="20"/>
  <c r="FI304" i="20"/>
  <c r="FG304" i="20"/>
  <c r="FD304" i="20"/>
  <c r="FP303" i="20"/>
  <c r="FN303" i="20"/>
  <c r="FL303" i="20"/>
  <c r="FI303" i="20"/>
  <c r="FF303" i="20"/>
  <c r="FD303" i="20"/>
  <c r="FP302" i="20"/>
  <c r="FQ302" i="20"/>
  <c r="FN302" i="20"/>
  <c r="FI302" i="20"/>
  <c r="FG302" i="20"/>
  <c r="FD302" i="20"/>
  <c r="FP301" i="20"/>
  <c r="FN301" i="20"/>
  <c r="FL301" i="20"/>
  <c r="FI301" i="20"/>
  <c r="FF301" i="20"/>
  <c r="FD301" i="20"/>
  <c r="FQ300" i="20"/>
  <c r="FN300" i="20"/>
  <c r="FK300" i="20"/>
  <c r="FI300" i="20"/>
  <c r="FG300" i="20"/>
  <c r="FD300" i="20"/>
  <c r="FN299" i="20"/>
  <c r="FL299" i="20"/>
  <c r="FI299" i="20"/>
  <c r="FF299" i="20"/>
  <c r="FD299" i="20"/>
  <c r="FQ298" i="20"/>
  <c r="FN298" i="20"/>
  <c r="FK298" i="20"/>
  <c r="FI298" i="20"/>
  <c r="FG298" i="20"/>
  <c r="FD298" i="20"/>
  <c r="FP297" i="20"/>
  <c r="FN297" i="20"/>
  <c r="FL297" i="20"/>
  <c r="FI297" i="20"/>
  <c r="FD297" i="20"/>
  <c r="FN296" i="20"/>
  <c r="FK296" i="20"/>
  <c r="FI296" i="20"/>
  <c r="FG296" i="20"/>
  <c r="FD296" i="20"/>
  <c r="FP295" i="20"/>
  <c r="FN295" i="20"/>
  <c r="FL295" i="20"/>
  <c r="FI295" i="20"/>
  <c r="FF295" i="20"/>
  <c r="FD295" i="20"/>
  <c r="FQ294" i="20"/>
  <c r="FN294" i="20"/>
  <c r="FI294" i="20"/>
  <c r="FD294" i="20"/>
  <c r="FP293" i="20"/>
  <c r="FN293" i="20"/>
  <c r="FL293" i="20"/>
  <c r="FI293" i="20"/>
  <c r="FF293" i="20"/>
  <c r="FD293" i="20"/>
  <c r="FQ292" i="20"/>
  <c r="FN292" i="20"/>
  <c r="FI292" i="20"/>
  <c r="FG292" i="20"/>
  <c r="FD292" i="20"/>
  <c r="FN291" i="20"/>
  <c r="FI291" i="20"/>
  <c r="FF291" i="20"/>
  <c r="FD291" i="20"/>
  <c r="FQ290" i="20"/>
  <c r="FN290" i="20"/>
  <c r="FK290" i="20"/>
  <c r="FI290" i="20"/>
  <c r="FG290" i="20"/>
  <c r="FD290" i="20"/>
  <c r="FN289" i="20"/>
  <c r="FL289" i="20"/>
  <c r="FI289" i="20"/>
  <c r="FD289" i="20"/>
  <c r="FQ288" i="20"/>
  <c r="FN288" i="20"/>
  <c r="FK288" i="20"/>
  <c r="FI288" i="20"/>
  <c r="FG288" i="20"/>
  <c r="FD288" i="20"/>
  <c r="FP287" i="20"/>
  <c r="FN287" i="20"/>
  <c r="FL287" i="20"/>
  <c r="FI287" i="20"/>
  <c r="FD287" i="20"/>
  <c r="FQ286" i="20"/>
  <c r="FN286" i="20"/>
  <c r="FI286" i="20"/>
  <c r="FD286" i="20"/>
  <c r="FP285" i="20"/>
  <c r="FN285" i="20"/>
  <c r="FL285" i="20"/>
  <c r="FI285" i="20"/>
  <c r="FF285" i="20"/>
  <c r="FD285" i="20"/>
  <c r="FQ284" i="20"/>
  <c r="FN284" i="20"/>
  <c r="FI284" i="20"/>
  <c r="FG284" i="20"/>
  <c r="FD284" i="20"/>
  <c r="FN283" i="20"/>
  <c r="FL283" i="20"/>
  <c r="FI283" i="20"/>
  <c r="FF283" i="20"/>
  <c r="FD283" i="20"/>
  <c r="FQ282" i="20"/>
  <c r="FN282" i="20"/>
  <c r="FK282" i="20"/>
  <c r="FI282" i="20"/>
  <c r="FG282" i="20"/>
  <c r="FD282" i="20"/>
  <c r="FN281" i="20"/>
  <c r="FK281" i="20"/>
  <c r="FL281" i="20"/>
  <c r="FI281" i="20"/>
  <c r="FD281" i="20"/>
  <c r="FN280" i="20"/>
  <c r="FK280" i="20"/>
  <c r="FI280" i="20"/>
  <c r="FG280" i="20"/>
  <c r="FD280" i="20"/>
  <c r="FP279" i="20"/>
  <c r="FN279" i="20"/>
  <c r="FL279" i="20"/>
  <c r="FI279" i="20"/>
  <c r="FD279" i="20"/>
  <c r="FQ278" i="20"/>
  <c r="FN278" i="20"/>
  <c r="FI278" i="20"/>
  <c r="FG278" i="20"/>
  <c r="FD278" i="20"/>
  <c r="FQ277" i="20"/>
  <c r="FN277" i="20"/>
  <c r="FL277" i="20"/>
  <c r="FI277" i="20"/>
  <c r="FG277" i="20"/>
  <c r="FD277" i="20"/>
  <c r="FQ276" i="20"/>
  <c r="FN276" i="20"/>
  <c r="FL276" i="20"/>
  <c r="FI276" i="20"/>
  <c r="FG276" i="20"/>
  <c r="FD276" i="20"/>
  <c r="FQ275" i="20"/>
  <c r="FN275" i="20"/>
  <c r="FI275" i="20"/>
  <c r="FG275" i="20"/>
  <c r="FD275" i="20"/>
  <c r="FQ274" i="20"/>
  <c r="FN274" i="20"/>
  <c r="FL274" i="20"/>
  <c r="FI274" i="20"/>
  <c r="FG274" i="20"/>
  <c r="FD274" i="20"/>
  <c r="FQ273" i="20"/>
  <c r="FN273" i="20"/>
  <c r="FL273" i="20"/>
  <c r="FI273" i="20"/>
  <c r="FG273" i="20"/>
  <c r="FD273" i="20"/>
  <c r="FQ272" i="20"/>
  <c r="FN272" i="20"/>
  <c r="FL272" i="20"/>
  <c r="FI272" i="20"/>
  <c r="FD272" i="20"/>
  <c r="FQ271" i="20"/>
  <c r="FN271" i="20"/>
  <c r="FL271" i="20"/>
  <c r="FI271" i="20"/>
  <c r="FG271" i="20"/>
  <c r="FD271" i="20"/>
  <c r="FQ270" i="20"/>
  <c r="FN270" i="20"/>
  <c r="FL270" i="20"/>
  <c r="FI270" i="20"/>
  <c r="FD270" i="20"/>
  <c r="FQ269" i="20"/>
  <c r="FN269" i="20"/>
  <c r="FL269" i="20"/>
  <c r="FI269" i="20"/>
  <c r="FG269" i="20"/>
  <c r="FD269" i="20"/>
  <c r="FQ268" i="20"/>
  <c r="FN268" i="20"/>
  <c r="FL268" i="20"/>
  <c r="FI268" i="20"/>
  <c r="FG268" i="20"/>
  <c r="FD268" i="20"/>
  <c r="FN267" i="20"/>
  <c r="FL267" i="20"/>
  <c r="FI267" i="20"/>
  <c r="FD267" i="20"/>
  <c r="FQ266" i="20"/>
  <c r="FN266" i="20"/>
  <c r="FI266" i="20"/>
  <c r="FG266" i="20"/>
  <c r="FD266" i="20"/>
  <c r="FN265" i="20"/>
  <c r="FL265" i="20"/>
  <c r="FI265" i="20"/>
  <c r="FD265" i="20"/>
  <c r="FN264" i="20"/>
  <c r="FI264" i="20"/>
  <c r="FG264" i="20"/>
  <c r="FD264" i="20"/>
  <c r="FN263" i="20"/>
  <c r="FK263" i="20"/>
  <c r="FL263" i="20"/>
  <c r="FI263" i="20"/>
  <c r="FD263" i="20"/>
  <c r="FQ262" i="20"/>
  <c r="FN262" i="20"/>
  <c r="FI262" i="20"/>
  <c r="FG262" i="20"/>
  <c r="FD262" i="20"/>
  <c r="FN261" i="20"/>
  <c r="FL261" i="20"/>
  <c r="FI261" i="20"/>
  <c r="FD261" i="20"/>
  <c r="FQ260" i="20"/>
  <c r="FN260" i="20"/>
  <c r="FI260" i="20"/>
  <c r="FG260" i="20"/>
  <c r="FD260" i="20"/>
  <c r="FN259" i="20"/>
  <c r="FI259" i="20"/>
  <c r="FD259" i="20"/>
  <c r="FQ258" i="20"/>
  <c r="FN258" i="20"/>
  <c r="FI258" i="20"/>
  <c r="FG258" i="20"/>
  <c r="FD258" i="20"/>
  <c r="FN257" i="20"/>
  <c r="FL257" i="20"/>
  <c r="FI257" i="20"/>
  <c r="FD257" i="20"/>
  <c r="FQ256" i="20"/>
  <c r="FN256" i="20"/>
  <c r="FI256" i="20"/>
  <c r="FG256" i="20"/>
  <c r="FD256" i="20"/>
  <c r="FN255" i="20"/>
  <c r="FL255" i="20"/>
  <c r="FI255" i="20"/>
  <c r="FD255" i="20"/>
  <c r="FQ254" i="20"/>
  <c r="FN254" i="20"/>
  <c r="FI254" i="20"/>
  <c r="FD254" i="20"/>
  <c r="FN253" i="20"/>
  <c r="FL253" i="20"/>
  <c r="FI253" i="20"/>
  <c r="FD253" i="20"/>
  <c r="FQ252" i="20"/>
  <c r="FN252" i="20"/>
  <c r="FI252" i="20"/>
  <c r="FG252" i="20"/>
  <c r="FD252" i="20"/>
  <c r="FN251" i="20"/>
  <c r="FL251" i="20"/>
  <c r="FI251" i="20"/>
  <c r="FD251" i="20"/>
  <c r="FQ250" i="20"/>
  <c r="FN250" i="20"/>
  <c r="FI250" i="20"/>
  <c r="FG250" i="20"/>
  <c r="FD250" i="20"/>
  <c r="FN249" i="20"/>
  <c r="FL249" i="20"/>
  <c r="FI249" i="20"/>
  <c r="FD249" i="20"/>
  <c r="FN248" i="20"/>
  <c r="FI248" i="20"/>
  <c r="FG248" i="20"/>
  <c r="FD248" i="20"/>
  <c r="FN247" i="20"/>
  <c r="FL247" i="20"/>
  <c r="FI247" i="20"/>
  <c r="FD247" i="20"/>
  <c r="FQ246" i="20"/>
  <c r="FN246" i="20"/>
  <c r="FI246" i="20"/>
  <c r="FG246" i="20"/>
  <c r="FD246" i="20"/>
  <c r="FN245" i="20"/>
  <c r="FL245" i="20"/>
  <c r="FI245" i="20"/>
  <c r="FD245" i="20"/>
  <c r="FQ244" i="20"/>
  <c r="FN244" i="20"/>
  <c r="FI244" i="20"/>
  <c r="FG244" i="20"/>
  <c r="FD244" i="20"/>
  <c r="FQ243" i="20"/>
  <c r="FN243" i="20"/>
  <c r="FL243" i="20"/>
  <c r="FI243" i="20"/>
  <c r="FG243" i="20"/>
  <c r="FD243" i="20"/>
  <c r="FQ242" i="20"/>
  <c r="FN242" i="20"/>
  <c r="FL242" i="20"/>
  <c r="FI242" i="20"/>
  <c r="FG242" i="20"/>
  <c r="FD242" i="20"/>
  <c r="FN241" i="20"/>
  <c r="FL241" i="20"/>
  <c r="FI241" i="20"/>
  <c r="FG241" i="20"/>
  <c r="FD241" i="20"/>
  <c r="FQ240" i="20"/>
  <c r="FN240" i="20"/>
  <c r="FL240" i="20"/>
  <c r="FI240" i="20"/>
  <c r="FG240" i="20"/>
  <c r="FD240" i="20"/>
  <c r="FQ239" i="20"/>
  <c r="FN239" i="20"/>
  <c r="FL239" i="20"/>
  <c r="FI239" i="20"/>
  <c r="FD239" i="20"/>
  <c r="FQ238" i="20"/>
  <c r="FN238" i="20"/>
  <c r="FL238" i="20"/>
  <c r="FI238" i="20"/>
  <c r="FD238" i="20"/>
  <c r="FQ237" i="20"/>
  <c r="FN237" i="20"/>
  <c r="FL237" i="20"/>
  <c r="FI237" i="20"/>
  <c r="FG237" i="20"/>
  <c r="FD237" i="20"/>
  <c r="FQ236" i="20"/>
  <c r="FN236" i="20"/>
  <c r="FI236" i="20"/>
  <c r="FD236" i="20"/>
  <c r="FQ235" i="20"/>
  <c r="FN235" i="20"/>
  <c r="FL235" i="20"/>
  <c r="FI235" i="20"/>
  <c r="FG235" i="20"/>
  <c r="FD235" i="20"/>
  <c r="FQ234" i="20"/>
  <c r="FN234" i="20"/>
  <c r="FL234" i="20"/>
  <c r="FI234" i="20"/>
  <c r="FG234" i="20"/>
  <c r="FD234" i="20"/>
  <c r="FN233" i="20"/>
  <c r="FI233" i="20"/>
  <c r="FG233" i="20"/>
  <c r="FD233" i="20"/>
  <c r="FN232" i="20"/>
  <c r="FL232" i="20"/>
  <c r="FI232" i="20"/>
  <c r="FG232" i="20"/>
  <c r="FD232" i="20"/>
  <c r="FQ231" i="20"/>
  <c r="FN231" i="20"/>
  <c r="FL231" i="20"/>
  <c r="FI231" i="20"/>
  <c r="FG231" i="20"/>
  <c r="FD231" i="20"/>
  <c r="FQ230" i="20"/>
  <c r="FN230" i="20"/>
  <c r="FI230" i="20"/>
  <c r="FF230" i="20"/>
  <c r="FD230" i="20"/>
  <c r="FN229" i="20"/>
  <c r="FL229" i="20"/>
  <c r="FI229" i="20"/>
  <c r="FD229" i="20"/>
  <c r="FQ228" i="20"/>
  <c r="FN228" i="20"/>
  <c r="FI228" i="20"/>
  <c r="FG228" i="20"/>
  <c r="FD228" i="20"/>
  <c r="FN227" i="20"/>
  <c r="FL227" i="20"/>
  <c r="FI227" i="20"/>
  <c r="FD227" i="20"/>
  <c r="FQ226" i="20"/>
  <c r="FN226" i="20"/>
  <c r="FI226" i="20"/>
  <c r="FG226" i="20"/>
  <c r="FD226" i="20"/>
  <c r="FN225" i="20"/>
  <c r="FL225" i="20"/>
  <c r="FI225" i="20"/>
  <c r="FD225" i="20"/>
  <c r="FP224" i="20"/>
  <c r="FN224" i="20"/>
  <c r="FI224" i="20"/>
  <c r="FG224" i="20"/>
  <c r="FD224" i="20"/>
  <c r="FN223" i="20"/>
  <c r="FL223" i="20"/>
  <c r="FI223" i="20"/>
  <c r="FD223" i="20"/>
  <c r="FQ222" i="20"/>
  <c r="FN222" i="20"/>
  <c r="FI222" i="20"/>
  <c r="FF222" i="20"/>
  <c r="FG222" i="20"/>
  <c r="FD222" i="20"/>
  <c r="FN221" i="20"/>
  <c r="FK221" i="20"/>
  <c r="FI221" i="20"/>
  <c r="FD221" i="20"/>
  <c r="FQ220" i="20"/>
  <c r="FN220" i="20"/>
  <c r="FI220" i="20"/>
  <c r="FG220" i="20"/>
  <c r="FD220" i="20"/>
  <c r="FN219" i="20"/>
  <c r="FK219" i="20"/>
  <c r="FI219" i="20"/>
  <c r="FD219" i="20"/>
  <c r="FQ218" i="20"/>
  <c r="FN218" i="20"/>
  <c r="FI218" i="20"/>
  <c r="FG218" i="20"/>
  <c r="FD218" i="20"/>
  <c r="FN217" i="20"/>
  <c r="FL217" i="20"/>
  <c r="FI217" i="20"/>
  <c r="FD217" i="20"/>
  <c r="FQ216" i="20"/>
  <c r="FN216" i="20"/>
  <c r="FI216" i="20"/>
  <c r="FG216" i="20"/>
  <c r="FD216" i="20"/>
  <c r="FN215" i="20"/>
  <c r="FL215" i="20"/>
  <c r="FI215" i="20"/>
  <c r="FD215" i="20"/>
  <c r="FQ214" i="20"/>
  <c r="FN214" i="20"/>
  <c r="FI214" i="20"/>
  <c r="FF214" i="20"/>
  <c r="FD214" i="20"/>
  <c r="FN213" i="20"/>
  <c r="FL213" i="20"/>
  <c r="FI213" i="20"/>
  <c r="FD213" i="20"/>
  <c r="FQ212" i="20"/>
  <c r="FN212" i="20"/>
  <c r="FI212" i="20"/>
  <c r="FG212" i="20"/>
  <c r="FD212" i="20"/>
  <c r="FN211" i="20"/>
  <c r="FK211" i="20"/>
  <c r="FL211" i="20"/>
  <c r="FI211" i="20"/>
  <c r="FD211" i="20"/>
  <c r="FQ210" i="20"/>
  <c r="FP210" i="20"/>
  <c r="FN210" i="20"/>
  <c r="FI210" i="20"/>
  <c r="FG210" i="20"/>
  <c r="FD210" i="20"/>
  <c r="FN209" i="20"/>
  <c r="FL209" i="20"/>
  <c r="FI209" i="20"/>
  <c r="FD209" i="20"/>
  <c r="FP208" i="20"/>
  <c r="FN208" i="20"/>
  <c r="FI208" i="20"/>
  <c r="FG208" i="20"/>
  <c r="FD208" i="20"/>
  <c r="FN207" i="20"/>
  <c r="FL207" i="20"/>
  <c r="FI207" i="20"/>
  <c r="FD207" i="20"/>
  <c r="FQ206" i="20"/>
  <c r="FN206" i="20"/>
  <c r="FI206" i="20"/>
  <c r="FG206" i="20"/>
  <c r="FD206" i="20"/>
  <c r="FN205" i="20"/>
  <c r="FL205" i="20"/>
  <c r="FI205" i="20"/>
  <c r="FD205" i="20"/>
  <c r="FQ204" i="20"/>
  <c r="FN204" i="20"/>
  <c r="FI204" i="20"/>
  <c r="FG204" i="20"/>
  <c r="FD204" i="20"/>
  <c r="FN203" i="20"/>
  <c r="FK203" i="20"/>
  <c r="FI203" i="20"/>
  <c r="FD203" i="20"/>
  <c r="FQ202" i="20"/>
  <c r="FN202" i="20"/>
  <c r="FI202" i="20"/>
  <c r="FG202" i="20"/>
  <c r="FD202" i="20"/>
  <c r="FN201" i="20"/>
  <c r="FL201" i="20"/>
  <c r="FI201" i="20"/>
  <c r="FD201" i="20"/>
  <c r="FN200" i="20"/>
  <c r="FI200" i="20"/>
  <c r="FF200" i="20"/>
  <c r="FD200" i="20"/>
  <c r="FN199" i="20"/>
  <c r="FL199" i="20"/>
  <c r="FI199" i="20"/>
  <c r="FD199" i="20"/>
  <c r="FQ198" i="20"/>
  <c r="FN198" i="20"/>
  <c r="FI198" i="20"/>
  <c r="FG198" i="20"/>
  <c r="FD198" i="20"/>
  <c r="FN197" i="20"/>
  <c r="FK197" i="20"/>
  <c r="FI197" i="20"/>
  <c r="FD197" i="20"/>
  <c r="FQ196" i="20"/>
  <c r="FN196" i="20"/>
  <c r="FI196" i="20"/>
  <c r="FG196" i="20"/>
  <c r="FD196" i="20"/>
  <c r="FN195" i="20"/>
  <c r="FL195" i="20"/>
  <c r="FI195" i="20"/>
  <c r="FD195" i="20"/>
  <c r="FP194" i="20"/>
  <c r="FN194" i="20"/>
  <c r="FI194" i="20"/>
  <c r="FG194" i="20"/>
  <c r="FD194" i="20"/>
  <c r="FN193" i="20"/>
  <c r="FL193" i="20"/>
  <c r="FI193" i="20"/>
  <c r="FD193" i="20"/>
  <c r="FQ192" i="20"/>
  <c r="FN192" i="20"/>
  <c r="FI192" i="20"/>
  <c r="FF192" i="20"/>
  <c r="FD192" i="20"/>
  <c r="FN191" i="20"/>
  <c r="FL191" i="20"/>
  <c r="FI191" i="20"/>
  <c r="FD191" i="20"/>
  <c r="FQ190" i="20"/>
  <c r="FN190" i="20"/>
  <c r="FI190" i="20"/>
  <c r="FG190" i="20"/>
  <c r="FD190" i="20"/>
  <c r="FN189" i="20"/>
  <c r="FK189" i="20"/>
  <c r="FI189" i="20"/>
  <c r="FD189" i="20"/>
  <c r="FQ188" i="20"/>
  <c r="FN188" i="20"/>
  <c r="FL188" i="20"/>
  <c r="FI188" i="20"/>
  <c r="FF188" i="20"/>
  <c r="FD188" i="20"/>
  <c r="FQ187" i="20"/>
  <c r="FN187" i="20"/>
  <c r="FL187" i="20"/>
  <c r="FI187" i="20"/>
  <c r="FG187" i="20"/>
  <c r="FD187" i="20"/>
  <c r="FN186" i="20"/>
  <c r="FL186" i="20"/>
  <c r="FI186" i="20"/>
  <c r="FG186" i="20"/>
  <c r="FF186" i="20"/>
  <c r="FD186" i="20"/>
  <c r="FQ185" i="20"/>
  <c r="FN185" i="20"/>
  <c r="FL185" i="20"/>
  <c r="FI185" i="20"/>
  <c r="FG185" i="20"/>
  <c r="FD185" i="20"/>
  <c r="FP184" i="20"/>
  <c r="FN184" i="20"/>
  <c r="FI184" i="20"/>
  <c r="FG184" i="20"/>
  <c r="FD184" i="20"/>
  <c r="FQ183" i="20"/>
  <c r="FN183" i="20"/>
  <c r="FL183" i="20"/>
  <c r="FI183" i="20"/>
  <c r="FG183" i="20"/>
  <c r="FD183" i="20"/>
  <c r="FP182" i="20"/>
  <c r="FN182" i="20"/>
  <c r="FL182" i="20"/>
  <c r="FI182" i="20"/>
  <c r="FG182" i="20"/>
  <c r="FD182" i="20"/>
  <c r="FQ181" i="20"/>
  <c r="FN181" i="20"/>
  <c r="FI181" i="20"/>
  <c r="FG181" i="20"/>
  <c r="FD181" i="20"/>
  <c r="FQ180" i="20"/>
  <c r="FN180" i="20"/>
  <c r="FL180" i="20"/>
  <c r="FI180" i="20"/>
  <c r="FG180" i="20"/>
  <c r="FD180" i="20"/>
  <c r="FQ179" i="20"/>
  <c r="FN179" i="20"/>
  <c r="FK179" i="20"/>
  <c r="FI179" i="20"/>
  <c r="FD179" i="20"/>
  <c r="FP178" i="20"/>
  <c r="FQ178" i="20"/>
  <c r="FN178" i="20"/>
  <c r="FL178" i="20"/>
  <c r="FI178" i="20"/>
  <c r="FG178" i="20"/>
  <c r="FD178" i="20"/>
  <c r="FQ177" i="20"/>
  <c r="FN177" i="20"/>
  <c r="FK177" i="20"/>
  <c r="FI177" i="20"/>
  <c r="FG177" i="20"/>
  <c r="FD177" i="20"/>
  <c r="FP176" i="20"/>
  <c r="FQ176" i="20"/>
  <c r="FN176" i="20"/>
  <c r="FL176" i="20"/>
  <c r="FI176" i="20"/>
  <c r="FD176" i="20"/>
  <c r="FQ175" i="20"/>
  <c r="FN175" i="20"/>
  <c r="FK175" i="20"/>
  <c r="FI175" i="20"/>
  <c r="FG175" i="20"/>
  <c r="FD175" i="20"/>
  <c r="FQ174" i="20"/>
  <c r="FN174" i="20"/>
  <c r="FL174" i="20"/>
  <c r="FI174" i="20"/>
  <c r="FF174" i="20"/>
  <c r="FD174" i="20"/>
  <c r="FN173" i="20"/>
  <c r="FL173" i="20"/>
  <c r="FI173" i="20"/>
  <c r="FG173" i="20"/>
  <c r="FD173" i="20"/>
  <c r="FN172" i="20"/>
  <c r="FL172" i="20"/>
  <c r="FI172" i="20"/>
  <c r="FF172" i="20"/>
  <c r="FD172" i="20"/>
  <c r="FQ171" i="20"/>
  <c r="FN171" i="20"/>
  <c r="FL171" i="20"/>
  <c r="FI171" i="20"/>
  <c r="FG171" i="20"/>
  <c r="FD171" i="20"/>
  <c r="FN170" i="20"/>
  <c r="FI170" i="20"/>
  <c r="FG170" i="20"/>
  <c r="FD170" i="20"/>
  <c r="FQ169" i="20"/>
  <c r="FN169" i="20"/>
  <c r="FL169" i="20"/>
  <c r="FI169" i="20"/>
  <c r="FG169" i="20"/>
  <c r="FD169" i="20"/>
  <c r="FP168" i="20"/>
  <c r="FN168" i="20"/>
  <c r="FI168" i="20"/>
  <c r="FG168" i="20"/>
  <c r="FD168" i="20"/>
  <c r="FQ167" i="20"/>
  <c r="FN167" i="20"/>
  <c r="FI167" i="20"/>
  <c r="FF167" i="20"/>
  <c r="FD167" i="20"/>
  <c r="FP166" i="20"/>
  <c r="FN166" i="20"/>
  <c r="FI166" i="20"/>
  <c r="FG166" i="20"/>
  <c r="FD166" i="20"/>
  <c r="FQ165" i="20"/>
  <c r="FN165" i="20"/>
  <c r="FI165" i="20"/>
  <c r="FD165" i="20"/>
  <c r="FQ164" i="20"/>
  <c r="FN164" i="20"/>
  <c r="FL164" i="20"/>
  <c r="FI164" i="20"/>
  <c r="FF164" i="20"/>
  <c r="FD164" i="20"/>
  <c r="FQ163" i="20"/>
  <c r="FN163" i="20"/>
  <c r="FK163" i="20"/>
  <c r="FI163" i="20"/>
  <c r="FD163" i="20"/>
  <c r="FQ162" i="20"/>
  <c r="FN162" i="20"/>
  <c r="FL162" i="20"/>
  <c r="FI162" i="20"/>
  <c r="FD162" i="20"/>
  <c r="FQ161" i="20"/>
  <c r="FN161" i="20"/>
  <c r="FK161" i="20"/>
  <c r="FI161" i="20"/>
  <c r="FD161" i="20"/>
  <c r="FQ160" i="20"/>
  <c r="FN160" i="20"/>
  <c r="FL160" i="20"/>
  <c r="FI160" i="20"/>
  <c r="FD160" i="20"/>
  <c r="FN159" i="20"/>
  <c r="FL159" i="20"/>
  <c r="FI159" i="20"/>
  <c r="FD159" i="20"/>
  <c r="FQ158" i="20"/>
  <c r="FN158" i="20"/>
  <c r="FL158" i="20"/>
  <c r="FI158" i="20"/>
  <c r="FF158" i="20"/>
  <c r="FD158" i="20"/>
  <c r="FN157" i="20"/>
  <c r="FL157" i="20"/>
  <c r="FI157" i="20"/>
  <c r="FG157" i="20"/>
  <c r="FD157" i="20"/>
  <c r="FP156" i="20"/>
  <c r="FN156" i="20"/>
  <c r="FK156" i="20"/>
  <c r="FL156" i="20"/>
  <c r="FI156" i="20"/>
  <c r="FG156" i="20"/>
  <c r="FD156" i="20"/>
  <c r="FN155" i="20"/>
  <c r="FI155" i="20"/>
  <c r="FG155" i="20"/>
  <c r="FD155" i="20"/>
  <c r="FN154" i="20"/>
  <c r="FI154" i="20"/>
  <c r="FG154" i="20"/>
  <c r="FD154" i="20"/>
  <c r="FQ153" i="20"/>
  <c r="FN153" i="20"/>
  <c r="FL153" i="20"/>
  <c r="FI153" i="20"/>
  <c r="FG153" i="20"/>
  <c r="FD153" i="20"/>
  <c r="FN152" i="20"/>
  <c r="FI152" i="20"/>
  <c r="FG152" i="20"/>
  <c r="FD152" i="20"/>
  <c r="FQ151" i="20"/>
  <c r="FN151" i="20"/>
  <c r="FL151" i="20"/>
  <c r="FI151" i="20"/>
  <c r="FG151" i="20"/>
  <c r="FD151" i="20"/>
  <c r="FQ150" i="20"/>
  <c r="FN150" i="20"/>
  <c r="FI150" i="20"/>
  <c r="FG150" i="20"/>
  <c r="FD150" i="20"/>
  <c r="FQ149" i="20"/>
  <c r="FN149" i="20"/>
  <c r="FI149" i="20"/>
  <c r="FG149" i="20"/>
  <c r="FD149" i="20"/>
  <c r="FQ148" i="20"/>
  <c r="FN148" i="20"/>
  <c r="FI148" i="20"/>
  <c r="FG148" i="20"/>
  <c r="FD148" i="20"/>
  <c r="FQ147" i="20"/>
  <c r="FN147" i="20"/>
  <c r="FK147" i="20"/>
  <c r="FI147" i="20"/>
  <c r="FD147" i="20"/>
  <c r="FQ146" i="20"/>
  <c r="FN146" i="20"/>
  <c r="FL146" i="20"/>
  <c r="FI146" i="20"/>
  <c r="FG146" i="20"/>
  <c r="FD146" i="20"/>
  <c r="FQ145" i="20"/>
  <c r="FN145" i="20"/>
  <c r="FL145" i="20"/>
  <c r="FI145" i="20"/>
  <c r="FD145" i="20"/>
  <c r="FN144" i="20"/>
  <c r="FL144" i="20"/>
  <c r="FI144" i="20"/>
  <c r="FD144" i="20"/>
  <c r="FN143" i="20"/>
  <c r="FL143" i="20"/>
  <c r="FK143" i="20"/>
  <c r="FI143" i="20"/>
  <c r="FG143" i="20"/>
  <c r="FD143" i="20"/>
  <c r="FQ142" i="20"/>
  <c r="FN142" i="20"/>
  <c r="FL142" i="20"/>
  <c r="FI142" i="20"/>
  <c r="FD142" i="20"/>
  <c r="FN141" i="20"/>
  <c r="FL141" i="20"/>
  <c r="FI141" i="20"/>
  <c r="FG141" i="20"/>
  <c r="FD141" i="20"/>
  <c r="FQ140" i="20"/>
  <c r="FN140" i="20"/>
  <c r="FL140" i="20"/>
  <c r="FI140" i="20"/>
  <c r="FG140" i="20"/>
  <c r="FD140" i="20"/>
  <c r="FN139" i="20"/>
  <c r="FL139" i="20"/>
  <c r="FI139" i="20"/>
  <c r="FF139" i="20"/>
  <c r="FD139" i="20"/>
  <c r="FN138" i="20"/>
  <c r="FL138" i="20"/>
  <c r="FI138" i="20"/>
  <c r="FG138" i="20"/>
  <c r="FD138" i="20"/>
  <c r="FN137" i="20"/>
  <c r="FL137" i="20"/>
  <c r="FI137" i="20"/>
  <c r="FG137" i="20"/>
  <c r="FD137" i="20"/>
  <c r="FP136" i="20"/>
  <c r="FN136" i="20"/>
  <c r="FI136" i="20"/>
  <c r="FD136" i="20"/>
  <c r="FQ135" i="20"/>
  <c r="FN135" i="20"/>
  <c r="FL135" i="20"/>
  <c r="FI135" i="20"/>
  <c r="FG135" i="20"/>
  <c r="FD135" i="20"/>
  <c r="FN134" i="20"/>
  <c r="FL134" i="20"/>
  <c r="FI134" i="20"/>
  <c r="FD134" i="20"/>
  <c r="FQ133" i="20"/>
  <c r="FN133" i="20"/>
  <c r="FI133" i="20"/>
  <c r="FG133" i="20"/>
  <c r="FD133" i="20"/>
  <c r="FQ132" i="20"/>
  <c r="FN132" i="20"/>
  <c r="FL132" i="20"/>
  <c r="FI132" i="20"/>
  <c r="FG132" i="20"/>
  <c r="FD132" i="20"/>
  <c r="FQ131" i="20"/>
  <c r="FN131" i="20"/>
  <c r="FI131" i="20"/>
  <c r="FD131" i="20"/>
  <c r="FQ130" i="20"/>
  <c r="FN130" i="20"/>
  <c r="FL130" i="20"/>
  <c r="FI130" i="20"/>
  <c r="FG130" i="20"/>
  <c r="FD130" i="20"/>
  <c r="FQ129" i="20"/>
  <c r="FN129" i="20"/>
  <c r="FL129" i="20"/>
  <c r="FI129" i="20"/>
  <c r="FG129" i="20"/>
  <c r="FD129" i="20"/>
  <c r="FN128" i="20"/>
  <c r="FL128" i="20"/>
  <c r="FI128" i="20"/>
  <c r="FD128" i="20"/>
  <c r="FQ127" i="20"/>
  <c r="FN127" i="20"/>
  <c r="FL127" i="20"/>
  <c r="FI127" i="20"/>
  <c r="FD127" i="20"/>
  <c r="FQ126" i="20"/>
  <c r="FN126" i="20"/>
  <c r="FL126" i="20"/>
  <c r="FI126" i="20"/>
  <c r="FG126" i="20"/>
  <c r="FD126" i="20"/>
  <c r="FN125" i="20"/>
  <c r="FL125" i="20"/>
  <c r="FI125" i="20"/>
  <c r="FG125" i="20"/>
  <c r="FD125" i="20"/>
  <c r="FQ124" i="20"/>
  <c r="FN124" i="20"/>
  <c r="FL124" i="20"/>
  <c r="FI124" i="20"/>
  <c r="FF124" i="20"/>
  <c r="FD124" i="20"/>
  <c r="FQ123" i="20"/>
  <c r="FN123" i="20"/>
  <c r="FL123" i="20"/>
  <c r="FI123" i="20"/>
  <c r="FF123" i="20"/>
  <c r="FD123" i="20"/>
  <c r="FN122" i="20"/>
  <c r="FL122" i="20"/>
  <c r="FI122" i="20"/>
  <c r="FD122" i="20"/>
  <c r="FN121" i="20"/>
  <c r="FL121" i="20"/>
  <c r="FI121" i="20"/>
  <c r="FF121" i="20"/>
  <c r="FD121" i="20"/>
  <c r="FQ120" i="20"/>
  <c r="FN120" i="20"/>
  <c r="FI120" i="20"/>
  <c r="FF120" i="20"/>
  <c r="FD120" i="20"/>
  <c r="FQ119" i="20"/>
  <c r="FN119" i="20"/>
  <c r="FL119" i="20"/>
  <c r="FI119" i="20"/>
  <c r="FD119" i="20"/>
  <c r="FP118" i="20"/>
  <c r="FN118" i="20"/>
  <c r="FL118" i="20"/>
  <c r="FI118" i="20"/>
  <c r="FG118" i="20"/>
  <c r="FD118" i="20"/>
  <c r="FQ117" i="20"/>
  <c r="FN117" i="20"/>
  <c r="FI117" i="20"/>
  <c r="FG117" i="20"/>
  <c r="FD117" i="20"/>
  <c r="FQ116" i="20"/>
  <c r="FN116" i="20"/>
  <c r="FI116" i="20"/>
  <c r="FG116" i="20"/>
  <c r="FD116" i="20"/>
  <c r="FQ115" i="20"/>
  <c r="FN115" i="20"/>
  <c r="FK115" i="20"/>
  <c r="FI115" i="20"/>
  <c r="FG115" i="20"/>
  <c r="FD115" i="20"/>
  <c r="FQ114" i="20"/>
  <c r="FN114" i="20"/>
  <c r="FI114" i="20"/>
  <c r="FG114" i="20"/>
  <c r="FD114" i="20"/>
  <c r="FQ113" i="20"/>
  <c r="FN113" i="20"/>
  <c r="FK113" i="20"/>
  <c r="FI113" i="20"/>
  <c r="FG113" i="20"/>
  <c r="FD113" i="20"/>
  <c r="FQ112" i="20"/>
  <c r="FP112" i="20"/>
  <c r="FN112" i="20"/>
  <c r="FL112" i="20"/>
  <c r="FI112" i="20"/>
  <c r="FG112" i="20"/>
  <c r="FD112" i="20"/>
  <c r="FQ111" i="20"/>
  <c r="FN111" i="20"/>
  <c r="FI111" i="20"/>
  <c r="FD111" i="20"/>
  <c r="FQ110" i="20"/>
  <c r="FN110" i="20"/>
  <c r="FL110" i="20"/>
  <c r="FI110" i="20"/>
  <c r="FF110" i="20"/>
  <c r="FD110" i="20"/>
  <c r="FQ109" i="20"/>
  <c r="FN109" i="20"/>
  <c r="FL109" i="20"/>
  <c r="FI109" i="20"/>
  <c r="FD109" i="20"/>
  <c r="FQ108" i="20"/>
  <c r="FN108" i="20"/>
  <c r="FL108" i="20"/>
  <c r="FI108" i="20"/>
  <c r="FF108" i="20"/>
  <c r="FD108" i="20"/>
  <c r="FQ107" i="20"/>
  <c r="FN107" i="20"/>
  <c r="FL107" i="20"/>
  <c r="FI107" i="20"/>
  <c r="FF107" i="20"/>
  <c r="FD107" i="20"/>
  <c r="FQ106" i="20"/>
  <c r="FN106" i="20"/>
  <c r="FL106" i="20"/>
  <c r="FI106" i="20"/>
  <c r="FD106" i="20"/>
  <c r="FN105" i="20"/>
  <c r="FL105" i="20"/>
  <c r="FI105" i="20"/>
  <c r="FG105" i="20"/>
  <c r="FD105" i="20"/>
  <c r="FQ104" i="20"/>
  <c r="FN104" i="20"/>
  <c r="FL104" i="20"/>
  <c r="FI104" i="20"/>
  <c r="FG104" i="20"/>
  <c r="FD104" i="20"/>
  <c r="FN103" i="20"/>
  <c r="FL103" i="20"/>
  <c r="FI103" i="20"/>
  <c r="FG103" i="20"/>
  <c r="FD103" i="20"/>
  <c r="FP102" i="20"/>
  <c r="FN102" i="20"/>
  <c r="FL102" i="20"/>
  <c r="FI102" i="20"/>
  <c r="FF102" i="20"/>
  <c r="FD102" i="20"/>
  <c r="FQ101" i="20"/>
  <c r="FN101" i="20"/>
  <c r="FK101" i="20"/>
  <c r="FI101" i="20"/>
  <c r="FG101" i="20"/>
  <c r="FD101" i="20"/>
  <c r="FP100" i="20"/>
  <c r="FN100" i="20"/>
  <c r="FL100" i="20"/>
  <c r="FI100" i="20"/>
  <c r="FF100" i="20"/>
  <c r="FD100" i="20"/>
  <c r="FQ99" i="20"/>
  <c r="FN99" i="20"/>
  <c r="FK99" i="20"/>
  <c r="FI99" i="20"/>
  <c r="FG99" i="20"/>
  <c r="FD99" i="20"/>
  <c r="FP98" i="20"/>
  <c r="FN98" i="20"/>
  <c r="FL98" i="20"/>
  <c r="FI98" i="20"/>
  <c r="FG98" i="20"/>
  <c r="FF98" i="20"/>
  <c r="FD98" i="20"/>
  <c r="FQ97" i="20"/>
  <c r="FN97" i="20"/>
  <c r="FK97" i="20"/>
  <c r="FI97" i="20"/>
  <c r="FG97" i="20"/>
  <c r="FD97" i="20"/>
  <c r="FP96" i="20"/>
  <c r="FN96" i="20"/>
  <c r="FL96" i="20"/>
  <c r="FI96" i="20"/>
  <c r="FF96" i="20"/>
  <c r="FD96" i="20"/>
  <c r="FQ95" i="20"/>
  <c r="FN95" i="20"/>
  <c r="FK95" i="20"/>
  <c r="FI95" i="20"/>
  <c r="FG95" i="20"/>
  <c r="FD95" i="20"/>
  <c r="FP94" i="20"/>
  <c r="FN94" i="20"/>
  <c r="FL94" i="20"/>
  <c r="FI94" i="20"/>
  <c r="FF94" i="20"/>
  <c r="FD94" i="20"/>
  <c r="FQ93" i="20"/>
  <c r="FN93" i="20"/>
  <c r="FK93" i="20"/>
  <c r="FI93" i="20"/>
  <c r="FG93" i="20"/>
  <c r="FD93" i="20"/>
  <c r="FP92" i="20"/>
  <c r="FN92" i="20"/>
  <c r="FL92" i="20"/>
  <c r="FI92" i="20"/>
  <c r="FF92" i="20"/>
  <c r="FD92" i="20"/>
  <c r="FQ91" i="20"/>
  <c r="FN91" i="20"/>
  <c r="FK91" i="20"/>
  <c r="FI91" i="20"/>
  <c r="FG91" i="20"/>
  <c r="FD91" i="20"/>
  <c r="FP90" i="20"/>
  <c r="FN90" i="20"/>
  <c r="FL90" i="20"/>
  <c r="FI90" i="20"/>
  <c r="FF90" i="20"/>
  <c r="FD90" i="20"/>
  <c r="FQ89" i="20"/>
  <c r="FN89" i="20"/>
  <c r="FK89" i="20"/>
  <c r="FI89" i="20"/>
  <c r="FG89" i="20"/>
  <c r="FD89" i="20"/>
  <c r="FP88" i="20"/>
  <c r="FN88" i="20"/>
  <c r="FL88" i="20"/>
  <c r="FI88" i="20"/>
  <c r="FF88" i="20"/>
  <c r="FD88" i="20"/>
  <c r="FQ87" i="20"/>
  <c r="FN87" i="20"/>
  <c r="FL87" i="20"/>
  <c r="FK87" i="20"/>
  <c r="FI87" i="20"/>
  <c r="FG87" i="20"/>
  <c r="FD87" i="20"/>
  <c r="FP86" i="20"/>
  <c r="FN86" i="20"/>
  <c r="FL86" i="20"/>
  <c r="FI86" i="20"/>
  <c r="FF86" i="20"/>
  <c r="FD86" i="20"/>
  <c r="FQ85" i="20"/>
  <c r="FN85" i="20"/>
  <c r="FK85" i="20"/>
  <c r="FI85" i="20"/>
  <c r="FG85" i="20"/>
  <c r="FD85" i="20"/>
  <c r="FP84" i="20"/>
  <c r="FN84" i="20"/>
  <c r="FL84" i="20"/>
  <c r="FI84" i="20"/>
  <c r="FF84" i="20"/>
  <c r="FD84" i="20"/>
  <c r="FQ83" i="20"/>
  <c r="FN83" i="20"/>
  <c r="FK83" i="20"/>
  <c r="FI83" i="20"/>
  <c r="FG83" i="20"/>
  <c r="FD83" i="20"/>
  <c r="FP82" i="20"/>
  <c r="FN82" i="20"/>
  <c r="FL82" i="20"/>
  <c r="FI82" i="20"/>
  <c r="FF82" i="20"/>
  <c r="FD82" i="20"/>
  <c r="FQ81" i="20"/>
  <c r="FN81" i="20"/>
  <c r="FK81" i="20"/>
  <c r="FI81" i="20"/>
  <c r="FG81" i="20"/>
  <c r="FD81" i="20"/>
  <c r="FP80" i="20"/>
  <c r="FN80" i="20"/>
  <c r="FI80" i="20"/>
  <c r="FF80" i="20"/>
  <c r="FD80" i="20"/>
  <c r="FN79" i="20"/>
  <c r="FK79" i="20"/>
  <c r="FI79" i="20"/>
  <c r="FD79" i="20"/>
  <c r="FP78" i="20"/>
  <c r="FN78" i="20"/>
  <c r="FI78" i="20"/>
  <c r="FF78" i="20"/>
  <c r="FD78" i="20"/>
  <c r="FN77" i="20"/>
  <c r="FK77" i="20"/>
  <c r="FI77" i="20"/>
  <c r="FD77" i="20"/>
  <c r="FP76" i="20"/>
  <c r="FN76" i="20"/>
  <c r="FI76" i="20"/>
  <c r="FF76" i="20"/>
  <c r="FD76" i="20"/>
  <c r="FN75" i="20"/>
  <c r="FK75" i="20"/>
  <c r="FI75" i="20"/>
  <c r="FD75" i="20"/>
  <c r="FP74" i="20"/>
  <c r="FN74" i="20"/>
  <c r="FI74" i="20"/>
  <c r="FF74" i="20"/>
  <c r="FD74" i="20"/>
  <c r="FN73" i="20"/>
  <c r="FK73" i="20"/>
  <c r="FI73" i="20"/>
  <c r="FD73" i="20"/>
  <c r="FP72" i="20"/>
  <c r="FN72" i="20"/>
  <c r="FI72" i="20"/>
  <c r="FF72" i="20"/>
  <c r="FD72" i="20"/>
  <c r="FN71" i="20"/>
  <c r="FK71" i="20"/>
  <c r="FI71" i="20"/>
  <c r="FD71" i="20"/>
  <c r="FP70" i="20"/>
  <c r="FN70" i="20"/>
  <c r="FI70" i="20"/>
  <c r="FF70" i="20"/>
  <c r="FD70" i="20"/>
  <c r="FQ69" i="20"/>
  <c r="FN69" i="20"/>
  <c r="FL69" i="20"/>
  <c r="FI69" i="20"/>
  <c r="FG69" i="20"/>
  <c r="FD69" i="20"/>
  <c r="FQ68" i="20"/>
  <c r="FN68" i="20"/>
  <c r="FK68" i="20"/>
  <c r="FI68" i="20"/>
  <c r="FF68" i="20"/>
  <c r="FD68" i="20"/>
  <c r="FQ67" i="20"/>
  <c r="FN67" i="20"/>
  <c r="FK67" i="20"/>
  <c r="FI67" i="20"/>
  <c r="FG67" i="20"/>
  <c r="FD67" i="20"/>
  <c r="FN66" i="20"/>
  <c r="FK66" i="20"/>
  <c r="FI66" i="20"/>
  <c r="FD66" i="20"/>
  <c r="FQ65" i="20"/>
  <c r="FN65" i="20"/>
  <c r="FL65" i="20"/>
  <c r="FI65" i="20"/>
  <c r="FG65" i="20"/>
  <c r="FD65" i="20"/>
  <c r="FQ64" i="20"/>
  <c r="FN64" i="20"/>
  <c r="FL64" i="20"/>
  <c r="FI64" i="20"/>
  <c r="FG64" i="20"/>
  <c r="FD64" i="20"/>
  <c r="FP63" i="20"/>
  <c r="FN63" i="20"/>
  <c r="FL63" i="20"/>
  <c r="FI63" i="20"/>
  <c r="FF63" i="20"/>
  <c r="FD63" i="20"/>
  <c r="FP62" i="20"/>
  <c r="FN62" i="20"/>
  <c r="FI62" i="20"/>
  <c r="FF62" i="20"/>
  <c r="FD62" i="20"/>
  <c r="FQ61" i="20"/>
  <c r="FN61" i="20"/>
  <c r="FL61" i="20"/>
  <c r="FI61" i="20"/>
  <c r="FG61" i="20"/>
  <c r="FD61" i="20"/>
  <c r="FQ60" i="20"/>
  <c r="FN60" i="20"/>
  <c r="FK60" i="20"/>
  <c r="FI60" i="20"/>
  <c r="FF60" i="20"/>
  <c r="FD60" i="20"/>
  <c r="FQ59" i="20"/>
  <c r="FN59" i="20"/>
  <c r="FK59" i="20"/>
  <c r="FI59" i="20"/>
  <c r="FG59" i="20"/>
  <c r="FD59" i="20"/>
  <c r="FN58" i="20"/>
  <c r="FK58" i="20"/>
  <c r="FI58" i="20"/>
  <c r="FD58" i="20"/>
  <c r="FP57" i="20"/>
  <c r="FN57" i="20"/>
  <c r="FI57" i="20"/>
  <c r="FF57" i="20"/>
  <c r="FD57" i="20"/>
  <c r="FN52" i="20"/>
  <c r="FK52" i="20"/>
  <c r="FI52" i="20"/>
  <c r="FD52" i="20"/>
  <c r="FP51" i="20"/>
  <c r="FN51" i="20"/>
  <c r="FI51" i="20"/>
  <c r="FF51" i="20"/>
  <c r="FD51" i="20"/>
  <c r="FN50" i="20"/>
  <c r="FK50" i="20"/>
  <c r="FI50" i="20"/>
  <c r="FD50" i="20"/>
  <c r="FN49" i="20"/>
  <c r="FK49" i="20"/>
  <c r="FI49" i="20"/>
  <c r="FD49" i="20"/>
  <c r="L49" i="20"/>
  <c r="K49" i="20"/>
  <c r="J49" i="20"/>
  <c r="I49" i="20"/>
  <c r="H49" i="20"/>
  <c r="G49" i="20"/>
  <c r="F49" i="20"/>
  <c r="E49" i="20"/>
  <c r="D49" i="20"/>
  <c r="C49" i="20"/>
  <c r="B49" i="20"/>
  <c r="FN48" i="20"/>
  <c r="FL48" i="20"/>
  <c r="FI48" i="20"/>
  <c r="FD48" i="20"/>
  <c r="FN47" i="20"/>
  <c r="FK47" i="20"/>
  <c r="FI47" i="20"/>
  <c r="FD47" i="20"/>
  <c r="L47" i="20"/>
  <c r="K47" i="20"/>
  <c r="J47" i="20"/>
  <c r="I47" i="20"/>
  <c r="O11" i="26" s="1"/>
  <c r="H47" i="20"/>
  <c r="N11" i="26" s="1"/>
  <c r="G47" i="20"/>
  <c r="F47" i="20"/>
  <c r="E47" i="20"/>
  <c r="D47" i="20"/>
  <c r="C47" i="20"/>
  <c r="B47" i="20"/>
  <c r="FN46" i="20"/>
  <c r="FL46" i="20"/>
  <c r="FI46" i="20"/>
  <c r="FD46" i="20"/>
  <c r="L46" i="20"/>
  <c r="K46" i="20"/>
  <c r="J46" i="20"/>
  <c r="I46" i="20"/>
  <c r="H46" i="20"/>
  <c r="G46" i="20"/>
  <c r="F46" i="20"/>
  <c r="E46" i="20"/>
  <c r="D46" i="20"/>
  <c r="C46" i="20"/>
  <c r="B46" i="20"/>
  <c r="FN45" i="20"/>
  <c r="FK45" i="20"/>
  <c r="FI45" i="20"/>
  <c r="FD45" i="20"/>
  <c r="L45" i="20"/>
  <c r="K45" i="20"/>
  <c r="J45" i="20"/>
  <c r="I45" i="20"/>
  <c r="H45" i="20"/>
  <c r="G45" i="20"/>
  <c r="F45" i="20"/>
  <c r="E45" i="20"/>
  <c r="D45" i="20"/>
  <c r="B45" i="20"/>
  <c r="FN44" i="20"/>
  <c r="FL44" i="20"/>
  <c r="FI44" i="20"/>
  <c r="FD44" i="20"/>
  <c r="L44" i="20"/>
  <c r="K44" i="20"/>
  <c r="J44" i="20"/>
  <c r="I44" i="20"/>
  <c r="H44" i="20"/>
  <c r="G44" i="20"/>
  <c r="F44" i="20"/>
  <c r="E44" i="20"/>
  <c r="D44" i="20"/>
  <c r="C44" i="20"/>
  <c r="B44" i="20"/>
  <c r="FN43" i="20"/>
  <c r="FK43" i="20"/>
  <c r="FI43" i="20"/>
  <c r="FD43" i="20"/>
  <c r="L43" i="20"/>
  <c r="L51" i="20" s="1"/>
  <c r="K43" i="20"/>
  <c r="K51" i="20" s="1"/>
  <c r="J43" i="20"/>
  <c r="J51" i="20" s="1"/>
  <c r="I43" i="20"/>
  <c r="I51" i="20" s="1"/>
  <c r="O15" i="26" s="1"/>
  <c r="H43" i="20"/>
  <c r="H51" i="20" s="1"/>
  <c r="N15" i="26" s="1"/>
  <c r="G43" i="20"/>
  <c r="G51" i="20" s="1"/>
  <c r="F43" i="20"/>
  <c r="F51" i="20" s="1"/>
  <c r="E43" i="20"/>
  <c r="E51" i="20" s="1"/>
  <c r="D43" i="20"/>
  <c r="D51" i="20" s="1"/>
  <c r="C43" i="20"/>
  <c r="C51" i="20" s="1"/>
  <c r="B43" i="20"/>
  <c r="B51" i="20" s="1"/>
  <c r="FN42" i="20"/>
  <c r="FL42" i="20"/>
  <c r="FI42" i="20"/>
  <c r="FD42" i="20"/>
  <c r="L42" i="20"/>
  <c r="K42" i="20"/>
  <c r="J42" i="20"/>
  <c r="I42" i="20"/>
  <c r="H42" i="20"/>
  <c r="G42" i="20"/>
  <c r="F42" i="20"/>
  <c r="E42" i="20"/>
  <c r="D42" i="20"/>
  <c r="C42" i="20"/>
  <c r="B42" i="20"/>
  <c r="FN41" i="20"/>
  <c r="FK41" i="20"/>
  <c r="FI41" i="20"/>
  <c r="FD41" i="20"/>
  <c r="FN40" i="20"/>
  <c r="FL40" i="20"/>
  <c r="FI40" i="20"/>
  <c r="FD40" i="20"/>
  <c r="FP39" i="20"/>
  <c r="FN39" i="20"/>
  <c r="FI39" i="20"/>
  <c r="FF39" i="20"/>
  <c r="FD39" i="20"/>
  <c r="FN38" i="20"/>
  <c r="FL38" i="20"/>
  <c r="FI38" i="20"/>
  <c r="FD38" i="20"/>
  <c r="FQ37" i="20"/>
  <c r="FP37" i="20"/>
  <c r="FN37" i="20"/>
  <c r="FI37" i="20"/>
  <c r="FF37" i="20"/>
  <c r="FD37" i="20"/>
  <c r="FL36" i="20"/>
  <c r="FG36" i="20"/>
  <c r="FP35" i="20"/>
  <c r="FN35" i="20"/>
  <c r="FL35" i="20"/>
  <c r="FI35" i="20"/>
  <c r="FG35" i="20"/>
  <c r="FF35" i="20"/>
  <c r="FD35" i="20"/>
  <c r="FP34" i="20"/>
  <c r="FN34" i="20"/>
  <c r="FK34" i="20"/>
  <c r="FI34" i="20"/>
  <c r="FF34" i="20"/>
  <c r="FD34" i="20"/>
  <c r="FP33" i="20"/>
  <c r="FN33" i="20"/>
  <c r="FL33" i="20"/>
  <c r="FI33" i="20"/>
  <c r="FG33" i="20"/>
  <c r="FD33" i="20"/>
  <c r="FP32" i="20"/>
  <c r="FN32" i="20"/>
  <c r="FL32" i="20"/>
  <c r="FI32" i="20"/>
  <c r="FF32" i="20"/>
  <c r="FD32" i="20"/>
  <c r="FP31" i="20"/>
  <c r="FN31" i="20"/>
  <c r="FL31" i="20"/>
  <c r="FI31" i="20"/>
  <c r="FF31" i="20"/>
  <c r="FD31" i="20"/>
  <c r="FP30" i="20"/>
  <c r="FN30" i="20"/>
  <c r="FI30" i="20"/>
  <c r="FG30" i="20"/>
  <c r="FD30" i="20"/>
  <c r="FQ29" i="20"/>
  <c r="FN29" i="20"/>
  <c r="FL29" i="20"/>
  <c r="FI29" i="20"/>
  <c r="FG29" i="20"/>
  <c r="FD29" i="20"/>
  <c r="FQ28" i="20"/>
  <c r="FP28" i="20"/>
  <c r="FN28" i="20"/>
  <c r="FK28" i="20"/>
  <c r="FI28" i="20"/>
  <c r="FG28" i="20"/>
  <c r="FD28" i="20"/>
  <c r="FQ27" i="20"/>
  <c r="FN27" i="20"/>
  <c r="FK27" i="20"/>
  <c r="FI27" i="20"/>
  <c r="FG27" i="20"/>
  <c r="FD27" i="20"/>
  <c r="FQ26" i="20"/>
  <c r="FN26" i="20"/>
  <c r="FL26" i="20"/>
  <c r="FI26" i="20"/>
  <c r="FG26" i="20"/>
  <c r="FD26" i="20"/>
  <c r="FQ25" i="20"/>
  <c r="FN25" i="20"/>
  <c r="FL25" i="20"/>
  <c r="FI25" i="20"/>
  <c r="FG25" i="20"/>
  <c r="FD25" i="20"/>
  <c r="GJ24" i="20"/>
  <c r="GW24" i="20" s="1"/>
  <c r="FQ24" i="20"/>
  <c r="FN24" i="20"/>
  <c r="FL24" i="20"/>
  <c r="FI24" i="20"/>
  <c r="FG24" i="20"/>
  <c r="FD24" i="20"/>
  <c r="GV23" i="20"/>
  <c r="GU23" i="20"/>
  <c r="GT23" i="20"/>
  <c r="GS23" i="20"/>
  <c r="GR23" i="20"/>
  <c r="GQ23" i="20"/>
  <c r="GP23" i="20"/>
  <c r="GN23" i="20"/>
  <c r="GM23" i="20"/>
  <c r="GL23" i="20"/>
  <c r="FQ23" i="20"/>
  <c r="FN23" i="20"/>
  <c r="FL23" i="20"/>
  <c r="FI23" i="20"/>
  <c r="FG23" i="20"/>
  <c r="FD23" i="20"/>
  <c r="GV22" i="20"/>
  <c r="GU22" i="20"/>
  <c r="GT22" i="20"/>
  <c r="GS22" i="20"/>
  <c r="GR22" i="20"/>
  <c r="GQ22" i="20"/>
  <c r="GP22" i="20"/>
  <c r="GO22" i="20"/>
  <c r="GN22" i="20"/>
  <c r="GM22" i="20"/>
  <c r="GL22" i="20"/>
  <c r="FQ22" i="20"/>
  <c r="FN22" i="20"/>
  <c r="FK22" i="20"/>
  <c r="FI22" i="20"/>
  <c r="FG22" i="20"/>
  <c r="FD22" i="20"/>
  <c r="GV21" i="20"/>
  <c r="GU21" i="20"/>
  <c r="GT21" i="20"/>
  <c r="GS21" i="20"/>
  <c r="GR21" i="20"/>
  <c r="GQ21" i="20"/>
  <c r="GP21" i="20"/>
  <c r="GO21" i="20"/>
  <c r="GN21" i="20"/>
  <c r="GM21" i="20"/>
  <c r="GL21" i="20"/>
  <c r="FQ21" i="20"/>
  <c r="FN21" i="20"/>
  <c r="FK21" i="20"/>
  <c r="FL21" i="20"/>
  <c r="FI21" i="20"/>
  <c r="FD21" i="20"/>
  <c r="GV20" i="20"/>
  <c r="GU20" i="20"/>
  <c r="GT20" i="20"/>
  <c r="GS20" i="20"/>
  <c r="GR20" i="20"/>
  <c r="GQ20" i="20"/>
  <c r="GP20" i="20"/>
  <c r="GO20" i="20"/>
  <c r="GN20" i="20"/>
  <c r="GM20" i="20"/>
  <c r="GL20" i="20"/>
  <c r="FP20" i="20"/>
  <c r="FN20" i="20"/>
  <c r="FL20" i="20"/>
  <c r="FI20" i="20"/>
  <c r="FF20" i="20"/>
  <c r="FD20" i="20"/>
  <c r="GV19" i="20"/>
  <c r="GU19" i="20"/>
  <c r="GT19" i="20"/>
  <c r="GS19" i="20"/>
  <c r="GR19" i="20"/>
  <c r="GQ19" i="20"/>
  <c r="GP19" i="20"/>
  <c r="GO19" i="20"/>
  <c r="GN19" i="20"/>
  <c r="GM19" i="20"/>
  <c r="GL19" i="20"/>
  <c r="FP19" i="20"/>
  <c r="FN19" i="20"/>
  <c r="FL19" i="20"/>
  <c r="FI19" i="20"/>
  <c r="FF19" i="20"/>
  <c r="FD19" i="20"/>
  <c r="GV18" i="20"/>
  <c r="GU18" i="20"/>
  <c r="GT18" i="20"/>
  <c r="GS18" i="20"/>
  <c r="GR18" i="20"/>
  <c r="GQ18" i="20"/>
  <c r="GP18" i="20"/>
  <c r="GO18" i="20"/>
  <c r="GN18" i="20"/>
  <c r="GM18" i="20"/>
  <c r="FP18" i="20"/>
  <c r="FQ18" i="20"/>
  <c r="FN18" i="20"/>
  <c r="FL18" i="20"/>
  <c r="FK18" i="20"/>
  <c r="FI18" i="20"/>
  <c r="FD18" i="20"/>
  <c r="GV24" i="20"/>
  <c r="GU17" i="20"/>
  <c r="GT17" i="20"/>
  <c r="GS17" i="20"/>
  <c r="GR17" i="20"/>
  <c r="GQ17" i="20"/>
  <c r="GP17" i="20"/>
  <c r="GO17" i="20"/>
  <c r="GO24" i="20" s="1"/>
  <c r="GN17" i="20"/>
  <c r="GN24" i="20" s="1"/>
  <c r="GM17" i="20"/>
  <c r="GL17" i="20"/>
  <c r="GL24" i="20" s="1"/>
  <c r="FP17" i="20"/>
  <c r="FN17" i="20"/>
  <c r="FK17" i="20"/>
  <c r="FL17" i="20"/>
  <c r="FI17" i="20"/>
  <c r="FF17" i="20"/>
  <c r="FD17" i="20"/>
  <c r="FQ16" i="20"/>
  <c r="FN16" i="20"/>
  <c r="FK16" i="20"/>
  <c r="FL16" i="20"/>
  <c r="FI16" i="20"/>
  <c r="FG16" i="20"/>
  <c r="FD16" i="20"/>
  <c r="R16" i="20"/>
  <c r="S16" i="20" s="1"/>
  <c r="FQ15" i="20"/>
  <c r="FN15" i="20"/>
  <c r="FK15" i="20"/>
  <c r="FL15" i="20"/>
  <c r="FI15" i="20"/>
  <c r="FG15" i="20"/>
  <c r="FD15" i="20"/>
  <c r="R15" i="20"/>
  <c r="S15" i="20" s="1"/>
  <c r="FP14" i="20"/>
  <c r="FN14" i="20"/>
  <c r="FL14" i="20"/>
  <c r="FI14" i="20"/>
  <c r="FG14" i="20"/>
  <c r="FF14" i="20"/>
  <c r="FD14" i="20"/>
  <c r="AY14" i="20"/>
  <c r="Y14" i="37" s="1"/>
  <c r="AX14" i="20"/>
  <c r="X14" i="37" s="1"/>
  <c r="AW14" i="20"/>
  <c r="AV14" i="20"/>
  <c r="AU14" i="20"/>
  <c r="U14" i="37" s="1"/>
  <c r="AT14" i="20"/>
  <c r="T14" i="37" s="1"/>
  <c r="AS14" i="20"/>
  <c r="S14" i="37" s="1"/>
  <c r="D34" i="60" s="1"/>
  <c r="AR14" i="20"/>
  <c r="R14" i="37" s="1"/>
  <c r="C34" i="60" s="1"/>
  <c r="AQ14" i="20"/>
  <c r="Q14" i="37" s="1"/>
  <c r="B34" i="60" s="1"/>
  <c r="AP14" i="20"/>
  <c r="P14" i="37" s="1"/>
  <c r="D34" i="57" s="1"/>
  <c r="AO14" i="20"/>
  <c r="O14" i="37" s="1"/>
  <c r="C34" i="57" s="1"/>
  <c r="AN14" i="20"/>
  <c r="N14" i="37" s="1"/>
  <c r="B34" i="57" s="1"/>
  <c r="FQ13" i="20"/>
  <c r="FN13" i="20"/>
  <c r="FK13" i="20"/>
  <c r="FI13" i="20"/>
  <c r="FG13" i="20"/>
  <c r="FD13" i="20"/>
  <c r="DC13" i="20"/>
  <c r="DB13" i="20"/>
  <c r="DA13" i="20"/>
  <c r="CZ13" i="20"/>
  <c r="CY13" i="20"/>
  <c r="CX13" i="20"/>
  <c r="CW13" i="20"/>
  <c r="CV13" i="20"/>
  <c r="CU13" i="20"/>
  <c r="CT13" i="20"/>
  <c r="CS13" i="20"/>
  <c r="CR13" i="20"/>
  <c r="AY13" i="20"/>
  <c r="Y13" i="37" s="1"/>
  <c r="AX13" i="20"/>
  <c r="X13" i="37" s="1"/>
  <c r="AW13" i="20"/>
  <c r="W13" i="37" s="1"/>
  <c r="AV13" i="20"/>
  <c r="V13" i="37" s="1"/>
  <c r="AU13" i="20"/>
  <c r="U13" i="37" s="1"/>
  <c r="AT13" i="20"/>
  <c r="T13" i="37" s="1"/>
  <c r="AS13" i="20"/>
  <c r="S13" i="37" s="1"/>
  <c r="D33" i="60" s="1"/>
  <c r="AR13" i="20"/>
  <c r="R13" i="37" s="1"/>
  <c r="C33" i="60" s="1"/>
  <c r="AQ13" i="20"/>
  <c r="Q13" i="37" s="1"/>
  <c r="B33" i="60" s="1"/>
  <c r="AP13" i="20"/>
  <c r="P13" i="37" s="1"/>
  <c r="D33" i="57" s="1"/>
  <c r="AO13" i="20"/>
  <c r="O13" i="37" s="1"/>
  <c r="C33" i="57" s="1"/>
  <c r="AN13" i="20"/>
  <c r="N13" i="37" s="1"/>
  <c r="B33" i="57" s="1"/>
  <c r="FP12" i="20"/>
  <c r="FQ12" i="20"/>
  <c r="FN12" i="20"/>
  <c r="FL12" i="20"/>
  <c r="FK12" i="20"/>
  <c r="FI12" i="20"/>
  <c r="FG12" i="20"/>
  <c r="FD12" i="20"/>
  <c r="DC12" i="20"/>
  <c r="DB12" i="20"/>
  <c r="DA12" i="20"/>
  <c r="CZ12" i="20"/>
  <c r="CY12" i="20"/>
  <c r="CX12" i="20"/>
  <c r="CW12" i="20"/>
  <c r="CV12" i="20"/>
  <c r="CU12" i="20"/>
  <c r="CT12" i="20"/>
  <c r="CS12" i="20"/>
  <c r="CR12" i="20"/>
  <c r="AY12" i="20"/>
  <c r="Y12" i="37" s="1"/>
  <c r="AX12" i="20"/>
  <c r="X12" i="37" s="1"/>
  <c r="AW12" i="20"/>
  <c r="W12" i="37" s="1"/>
  <c r="AV12" i="20"/>
  <c r="V12" i="37" s="1"/>
  <c r="AU12" i="20"/>
  <c r="U12" i="37" s="1"/>
  <c r="AT12" i="20"/>
  <c r="T12" i="37" s="1"/>
  <c r="AS12" i="20"/>
  <c r="S12" i="37" s="1"/>
  <c r="D32" i="60" s="1"/>
  <c r="AR12" i="20"/>
  <c r="R12" i="37" s="1"/>
  <c r="C32" i="60" s="1"/>
  <c r="AQ12" i="20"/>
  <c r="Q12" i="37" s="1"/>
  <c r="B32" i="60" s="1"/>
  <c r="AP12" i="20"/>
  <c r="P12" i="37" s="1"/>
  <c r="D32" i="57" s="1"/>
  <c r="AO12" i="20"/>
  <c r="O12" i="37" s="1"/>
  <c r="C32" i="57" s="1"/>
  <c r="AN12" i="20"/>
  <c r="N12" i="37" s="1"/>
  <c r="B32" i="57" s="1"/>
  <c r="FP11" i="20"/>
  <c r="FQ11" i="20"/>
  <c r="FN11" i="20"/>
  <c r="FK11" i="20"/>
  <c r="FI11" i="20"/>
  <c r="FG11" i="20"/>
  <c r="F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AY11" i="20"/>
  <c r="Y11" i="37" s="1"/>
  <c r="AX11" i="20"/>
  <c r="X11" i="37" s="1"/>
  <c r="AW11" i="20"/>
  <c r="AV11" i="20"/>
  <c r="AU11" i="20"/>
  <c r="U11" i="37" s="1"/>
  <c r="AT11" i="20"/>
  <c r="T11" i="37" s="1"/>
  <c r="AS11" i="20"/>
  <c r="S11" i="37" s="1"/>
  <c r="D31" i="60" s="1"/>
  <c r="AR11" i="20"/>
  <c r="R11" i="37" s="1"/>
  <c r="C31" i="60" s="1"/>
  <c r="AQ11" i="20"/>
  <c r="Q11" i="37" s="1"/>
  <c r="B31" i="60" s="1"/>
  <c r="AP11" i="20"/>
  <c r="P11" i="37" s="1"/>
  <c r="D31" i="57" s="1"/>
  <c r="AO11" i="20"/>
  <c r="O11" i="37" s="1"/>
  <c r="C31" i="57" s="1"/>
  <c r="AN11" i="20"/>
  <c r="N11" i="37" s="1"/>
  <c r="B31" i="57" s="1"/>
  <c r="FP10" i="20"/>
  <c r="FN10" i="20"/>
  <c r="FL10" i="20"/>
  <c r="FI10" i="20"/>
  <c r="FG10" i="20"/>
  <c r="FF10" i="20"/>
  <c r="FD10" i="20"/>
  <c r="AY10" i="20"/>
  <c r="Y10" i="37" s="1"/>
  <c r="AX10" i="20"/>
  <c r="X10" i="37" s="1"/>
  <c r="AW10" i="20"/>
  <c r="AV10" i="20"/>
  <c r="V10" i="37" s="1"/>
  <c r="AU10" i="20"/>
  <c r="U10" i="37" s="1"/>
  <c r="AT10" i="20"/>
  <c r="T10" i="37" s="1"/>
  <c r="AS10" i="20"/>
  <c r="S10" i="37" s="1"/>
  <c r="D30" i="60" s="1"/>
  <c r="AR10" i="20"/>
  <c r="R10" i="37" s="1"/>
  <c r="C30" i="60" s="1"/>
  <c r="AQ10" i="20"/>
  <c r="Q10" i="37" s="1"/>
  <c r="B30" i="60" s="1"/>
  <c r="AP10" i="20"/>
  <c r="P10" i="37" s="1"/>
  <c r="D30" i="57" s="1"/>
  <c r="AO10" i="20"/>
  <c r="O10" i="37" s="1"/>
  <c r="C30" i="57" s="1"/>
  <c r="AN10" i="20"/>
  <c r="N10" i="37" s="1"/>
  <c r="B30" i="57" s="1"/>
  <c r="FP9" i="20"/>
  <c r="FN9" i="20"/>
  <c r="FL9" i="20"/>
  <c r="FI9" i="20"/>
  <c r="FF9" i="20"/>
  <c r="FD9" i="20"/>
  <c r="AZ9" i="20"/>
  <c r="AY9" i="20"/>
  <c r="Y9" i="37" s="1"/>
  <c r="AX9" i="20"/>
  <c r="X9" i="37" s="1"/>
  <c r="AW9" i="20"/>
  <c r="W9" i="37" s="1"/>
  <c r="AV9" i="20"/>
  <c r="V9" i="37" s="1"/>
  <c r="AU9" i="20"/>
  <c r="U9" i="37" s="1"/>
  <c r="AT9" i="20"/>
  <c r="T9" i="37" s="1"/>
  <c r="AS9" i="20"/>
  <c r="S9" i="37" s="1"/>
  <c r="D29" i="60" s="1"/>
  <c r="AR9" i="20"/>
  <c r="R9" i="37" s="1"/>
  <c r="C29" i="60" s="1"/>
  <c r="AQ9" i="20"/>
  <c r="Q9" i="37" s="1"/>
  <c r="B29" i="60" s="1"/>
  <c r="AP9" i="20"/>
  <c r="P9" i="37" s="1"/>
  <c r="D29" i="57" s="1"/>
  <c r="AO9" i="20"/>
  <c r="O9" i="37" s="1"/>
  <c r="C29" i="57" s="1"/>
  <c r="N9" i="37"/>
  <c r="B29" i="57" s="1"/>
  <c r="FQ8" i="20"/>
  <c r="FN8" i="20"/>
  <c r="FK8" i="20"/>
  <c r="FI8" i="20"/>
  <c r="FG8" i="20"/>
  <c r="FD8" i="20"/>
  <c r="AY8" i="20"/>
  <c r="Y8" i="37" s="1"/>
  <c r="AX8" i="20"/>
  <c r="X8" i="37" s="1"/>
  <c r="AW8" i="20"/>
  <c r="W8" i="37" s="1"/>
  <c r="AV8" i="20"/>
  <c r="AU8" i="20"/>
  <c r="U8" i="37" s="1"/>
  <c r="AT8" i="20"/>
  <c r="T8" i="37" s="1"/>
  <c r="AS8" i="20"/>
  <c r="S8" i="37" s="1"/>
  <c r="D28" i="60" s="1"/>
  <c r="AR8" i="20"/>
  <c r="R8" i="37" s="1"/>
  <c r="C28" i="60" s="1"/>
  <c r="AQ8" i="20"/>
  <c r="Q8" i="37" s="1"/>
  <c r="B28" i="60" s="1"/>
  <c r="AP8" i="20"/>
  <c r="P8" i="37" s="1"/>
  <c r="D28" i="57" s="1"/>
  <c r="AO8" i="20"/>
  <c r="O8" i="37" s="1"/>
  <c r="C28" i="57" s="1"/>
  <c r="N8" i="37"/>
  <c r="B28" i="57" s="1"/>
  <c r="FQ7" i="20"/>
  <c r="FN7" i="20"/>
  <c r="FL7" i="20"/>
  <c r="FI7" i="20"/>
  <c r="FG7" i="20"/>
  <c r="FD7" i="20"/>
  <c r="AY7" i="20"/>
  <c r="Y7" i="37" s="1"/>
  <c r="AX7" i="20"/>
  <c r="X7" i="37" s="1"/>
  <c r="AW7" i="20"/>
  <c r="AV7" i="20"/>
  <c r="AU7" i="20"/>
  <c r="U7" i="37" s="1"/>
  <c r="AT7" i="20"/>
  <c r="T7" i="37" s="1"/>
  <c r="AS7" i="20"/>
  <c r="S7" i="37" s="1"/>
  <c r="D27" i="60" s="1"/>
  <c r="AR7" i="20"/>
  <c r="R7" i="37" s="1"/>
  <c r="C27" i="60" s="1"/>
  <c r="AQ7" i="20"/>
  <c r="Q7" i="37" s="1"/>
  <c r="B27" i="60" s="1"/>
  <c r="AP7" i="20"/>
  <c r="P7" i="37" s="1"/>
  <c r="D27" i="57" s="1"/>
  <c r="AO7" i="20"/>
  <c r="O7" i="37" s="1"/>
  <c r="C27" i="57" s="1"/>
  <c r="N7" i="37"/>
  <c r="B27" i="57" s="1"/>
  <c r="R7" i="20"/>
  <c r="S7" i="20" s="1"/>
  <c r="FQ6" i="20"/>
  <c r="FN6" i="20"/>
  <c r="FL6" i="20"/>
  <c r="FI6" i="20"/>
  <c r="FD6" i="20"/>
  <c r="AY6" i="20"/>
  <c r="Y6" i="37" s="1"/>
  <c r="AX6" i="20"/>
  <c r="X6" i="37" s="1"/>
  <c r="AW6" i="20"/>
  <c r="AV6" i="20"/>
  <c r="AU6" i="20"/>
  <c r="U6" i="37" s="1"/>
  <c r="AT6" i="20"/>
  <c r="T6" i="37" s="1"/>
  <c r="AS6" i="20"/>
  <c r="S6" i="37" s="1"/>
  <c r="D26" i="60" s="1"/>
  <c r="AR6" i="20"/>
  <c r="R6" i="37" s="1"/>
  <c r="C26" i="60" s="1"/>
  <c r="AQ6" i="20"/>
  <c r="Q6" i="37" s="1"/>
  <c r="B26" i="60" s="1"/>
  <c r="AP6" i="20"/>
  <c r="P6" i="37" s="1"/>
  <c r="D26" i="57" s="1"/>
  <c r="AO6" i="20"/>
  <c r="O6" i="37" s="1"/>
  <c r="C26" i="57" s="1"/>
  <c r="N6" i="37"/>
  <c r="B26" i="57" s="1"/>
  <c r="S6" i="20"/>
  <c r="FP5" i="20"/>
  <c r="FN5" i="20"/>
  <c r="FL5" i="20"/>
  <c r="FI5" i="20"/>
  <c r="FF5" i="20"/>
  <c r="FD5" i="20"/>
  <c r="Y5" i="37"/>
  <c r="AX5" i="20"/>
  <c r="X5" i="37" s="1"/>
  <c r="AW5" i="20"/>
  <c r="W5" i="37" s="1"/>
  <c r="AV5" i="20"/>
  <c r="V5" i="37" s="1"/>
  <c r="AU5" i="20"/>
  <c r="U5" i="37" s="1"/>
  <c r="AT5" i="20"/>
  <c r="T5" i="37" s="1"/>
  <c r="AS5" i="20"/>
  <c r="S5" i="37" s="1"/>
  <c r="D25" i="60" s="1"/>
  <c r="AR5" i="20"/>
  <c r="R5" i="37" s="1"/>
  <c r="C25" i="60" s="1"/>
  <c r="AQ5" i="20"/>
  <c r="Q5" i="37" s="1"/>
  <c r="B25" i="60" s="1"/>
  <c r="AP5" i="20"/>
  <c r="P5" i="37" s="1"/>
  <c r="D25" i="57" s="1"/>
  <c r="AO5" i="20"/>
  <c r="O5" i="37" s="1"/>
  <c r="C25" i="57" s="1"/>
  <c r="CI336" i="19"/>
  <c r="CH336" i="19"/>
  <c r="CG336" i="19"/>
  <c r="CF336" i="19"/>
  <c r="CE336" i="19"/>
  <c r="CD336" i="19"/>
  <c r="CC336" i="19"/>
  <c r="CB336" i="19"/>
  <c r="CA336" i="19"/>
  <c r="BZ336" i="19"/>
  <c r="BS336" i="19"/>
  <c r="BR336" i="19"/>
  <c r="BQ336" i="19"/>
  <c r="AX336" i="19"/>
  <c r="M336" i="14" s="1"/>
  <c r="AV336" i="19"/>
  <c r="AN336" i="19"/>
  <c r="AL336" i="19"/>
  <c r="U336" i="19"/>
  <c r="T336" i="19"/>
  <c r="BK336" i="19"/>
  <c r="N336" i="19"/>
  <c r="M336" i="19"/>
  <c r="B336" i="19"/>
  <c r="CI335" i="19"/>
  <c r="CH335" i="19"/>
  <c r="CG335" i="19"/>
  <c r="CF335" i="19"/>
  <c r="CE335" i="19"/>
  <c r="CD335" i="19"/>
  <c r="CC335" i="19"/>
  <c r="CB335" i="19"/>
  <c r="CA335" i="19"/>
  <c r="BZ335" i="19"/>
  <c r="BS335" i="19"/>
  <c r="BR335" i="19"/>
  <c r="BQ335" i="19"/>
  <c r="AX335" i="19"/>
  <c r="M335" i="14" s="1"/>
  <c r="AV335" i="19"/>
  <c r="AN335" i="19"/>
  <c r="E335" i="14" s="1"/>
  <c r="AL335" i="19"/>
  <c r="U335" i="19"/>
  <c r="T335" i="19"/>
  <c r="BK335" i="19"/>
  <c r="N335" i="19"/>
  <c r="M335" i="19"/>
  <c r="B335" i="19"/>
  <c r="CI334" i="19"/>
  <c r="CH334" i="19"/>
  <c r="CG334" i="19"/>
  <c r="CF334" i="19"/>
  <c r="CE334" i="19"/>
  <c r="CD334" i="19"/>
  <c r="CC334" i="19"/>
  <c r="CB334" i="19"/>
  <c r="CA334" i="19"/>
  <c r="BZ334" i="19"/>
  <c r="BS334" i="19"/>
  <c r="BR334" i="19"/>
  <c r="BQ334" i="19"/>
  <c r="BK334" i="19"/>
  <c r="AX334" i="19"/>
  <c r="M334" i="14" s="1"/>
  <c r="AV334" i="19"/>
  <c r="AN334" i="19"/>
  <c r="AL334" i="19"/>
  <c r="U334" i="19"/>
  <c r="T334" i="19"/>
  <c r="BO334" i="19"/>
  <c r="N334" i="19"/>
  <c r="M334" i="19"/>
  <c r="B334" i="19"/>
  <c r="CI333" i="19"/>
  <c r="CH333" i="19"/>
  <c r="CG333" i="19"/>
  <c r="CF333" i="19"/>
  <c r="CE333" i="19"/>
  <c r="CD333" i="19"/>
  <c r="CC333" i="19"/>
  <c r="CB333" i="19"/>
  <c r="CA333" i="19"/>
  <c r="BZ333" i="19"/>
  <c r="BS333" i="19"/>
  <c r="BR333" i="19"/>
  <c r="BQ333" i="19"/>
  <c r="AX333" i="19"/>
  <c r="M333" i="14" s="1"/>
  <c r="AV333" i="19"/>
  <c r="AN333" i="19"/>
  <c r="AL333" i="19"/>
  <c r="U333" i="19"/>
  <c r="T333" i="19"/>
  <c r="BK333" i="19"/>
  <c r="N333" i="19"/>
  <c r="M333" i="19"/>
  <c r="B333" i="19"/>
  <c r="CI332" i="19"/>
  <c r="CH332" i="19"/>
  <c r="CG332" i="19"/>
  <c r="CF332" i="19"/>
  <c r="CE332" i="19"/>
  <c r="CD332" i="19"/>
  <c r="CC332" i="19"/>
  <c r="CB332" i="19"/>
  <c r="CA332" i="19"/>
  <c r="BZ332" i="19"/>
  <c r="BS332" i="19"/>
  <c r="BR332" i="19"/>
  <c r="BQ332" i="19"/>
  <c r="AX332" i="19"/>
  <c r="M332" i="14" s="1"/>
  <c r="AV332" i="19"/>
  <c r="AN332" i="19"/>
  <c r="AL332" i="19"/>
  <c r="U332" i="19"/>
  <c r="T332" i="19"/>
  <c r="BO332" i="19"/>
  <c r="N332" i="19"/>
  <c r="M332" i="19"/>
  <c r="B332" i="19"/>
  <c r="CI331" i="19"/>
  <c r="CH331" i="19"/>
  <c r="CG331" i="19"/>
  <c r="CF331" i="19"/>
  <c r="CE331" i="19"/>
  <c r="CD331" i="19"/>
  <c r="CC331" i="19"/>
  <c r="CB331" i="19"/>
  <c r="CA331" i="19"/>
  <c r="BZ331" i="19"/>
  <c r="BS331" i="19"/>
  <c r="BR331" i="19"/>
  <c r="BQ331" i="19"/>
  <c r="AX331" i="19"/>
  <c r="M331" i="14" s="1"/>
  <c r="AV331" i="19"/>
  <c r="AN331" i="19"/>
  <c r="AL331" i="19"/>
  <c r="U331" i="19"/>
  <c r="T331" i="19"/>
  <c r="BK331" i="19"/>
  <c r="N331" i="19"/>
  <c r="M331" i="19"/>
  <c r="B331" i="19"/>
  <c r="CI330" i="19"/>
  <c r="CH330" i="19"/>
  <c r="CG330" i="19"/>
  <c r="CF330" i="19"/>
  <c r="CE330" i="19"/>
  <c r="CD330" i="19"/>
  <c r="CC330" i="19"/>
  <c r="CB330" i="19"/>
  <c r="CA330" i="19"/>
  <c r="BZ330" i="19"/>
  <c r="BS330" i="19"/>
  <c r="BR330" i="19"/>
  <c r="BQ330" i="19"/>
  <c r="AX330" i="19"/>
  <c r="M330" i="14" s="1"/>
  <c r="AV330" i="19"/>
  <c r="AN330" i="19"/>
  <c r="AL330" i="19"/>
  <c r="U330" i="19"/>
  <c r="T330" i="19"/>
  <c r="BO330" i="19"/>
  <c r="N330" i="19"/>
  <c r="M330" i="19"/>
  <c r="B330" i="19"/>
  <c r="CI329" i="19"/>
  <c r="CH329" i="19"/>
  <c r="CG329" i="19"/>
  <c r="CF329" i="19"/>
  <c r="CE329" i="19"/>
  <c r="CD329" i="19"/>
  <c r="CC329" i="19"/>
  <c r="CB329" i="19"/>
  <c r="CA329" i="19"/>
  <c r="BZ329" i="19"/>
  <c r="BS329" i="19"/>
  <c r="BR329" i="19"/>
  <c r="BQ329" i="19"/>
  <c r="AX329" i="19"/>
  <c r="M329" i="14" s="1"/>
  <c r="AV329" i="19"/>
  <c r="AN329" i="19"/>
  <c r="AL329" i="19"/>
  <c r="U329" i="19"/>
  <c r="T329" i="19"/>
  <c r="BO329" i="19"/>
  <c r="N329" i="19"/>
  <c r="M329" i="19"/>
  <c r="B329" i="19"/>
  <c r="CI328" i="19"/>
  <c r="CH328" i="19"/>
  <c r="CG328" i="19"/>
  <c r="CF328" i="19"/>
  <c r="CE328" i="19"/>
  <c r="CD328" i="19"/>
  <c r="CC328" i="19"/>
  <c r="CB328" i="19"/>
  <c r="CA328" i="19"/>
  <c r="BZ328" i="19"/>
  <c r="BS328" i="19"/>
  <c r="BR328" i="19"/>
  <c r="BQ328" i="19"/>
  <c r="AX328" i="19"/>
  <c r="M328" i="14" s="1"/>
  <c r="AV328" i="19"/>
  <c r="AN328" i="19"/>
  <c r="AL328" i="19"/>
  <c r="U328" i="19"/>
  <c r="T328" i="19"/>
  <c r="BO328" i="19"/>
  <c r="N328" i="19"/>
  <c r="M328" i="19"/>
  <c r="B328" i="19"/>
  <c r="CI327" i="19"/>
  <c r="CH327" i="19"/>
  <c r="CG327" i="19"/>
  <c r="CF327" i="19"/>
  <c r="CE327" i="19"/>
  <c r="CD327" i="19"/>
  <c r="CC327" i="19"/>
  <c r="CB327" i="19"/>
  <c r="CA327" i="19"/>
  <c r="BZ327" i="19"/>
  <c r="BS327" i="19"/>
  <c r="BR327" i="19"/>
  <c r="BQ327" i="19"/>
  <c r="AX327" i="19"/>
  <c r="M327" i="14" s="1"/>
  <c r="AV327" i="19"/>
  <c r="AN327" i="19"/>
  <c r="E327" i="14" s="1"/>
  <c r="AL327" i="19"/>
  <c r="U327" i="19"/>
  <c r="T327" i="19"/>
  <c r="BK327" i="19"/>
  <c r="N327" i="19"/>
  <c r="M327" i="19"/>
  <c r="B327" i="19"/>
  <c r="CI326" i="19"/>
  <c r="CH326" i="19"/>
  <c r="CG326" i="19"/>
  <c r="CF326" i="19"/>
  <c r="CE326" i="19"/>
  <c r="CD326" i="19"/>
  <c r="CC326" i="19"/>
  <c r="CB326" i="19"/>
  <c r="CA326" i="19"/>
  <c r="BZ326" i="19"/>
  <c r="BS326" i="19"/>
  <c r="BR326" i="19"/>
  <c r="BQ326" i="19"/>
  <c r="AX326" i="19"/>
  <c r="M326" i="14" s="1"/>
  <c r="AV326" i="19"/>
  <c r="AN326" i="19"/>
  <c r="AL326" i="19"/>
  <c r="U326" i="19"/>
  <c r="T326" i="19"/>
  <c r="BK326" i="19"/>
  <c r="N326" i="19"/>
  <c r="M326" i="19"/>
  <c r="B326" i="19"/>
  <c r="CI325" i="19"/>
  <c r="CH325" i="19"/>
  <c r="CG325" i="19"/>
  <c r="CF325" i="19"/>
  <c r="CE325" i="19"/>
  <c r="CD325" i="19"/>
  <c r="CC325" i="19"/>
  <c r="CB325" i="19"/>
  <c r="CA325" i="19"/>
  <c r="BZ325" i="19"/>
  <c r="BS325" i="19"/>
  <c r="BR325" i="19"/>
  <c r="BQ325" i="19"/>
  <c r="AX325" i="19"/>
  <c r="M325" i="14" s="1"/>
  <c r="AV325" i="19"/>
  <c r="AN325" i="19"/>
  <c r="AL325" i="19"/>
  <c r="U325" i="19"/>
  <c r="T325" i="19"/>
  <c r="BK325" i="19"/>
  <c r="N325" i="19"/>
  <c r="M325" i="19"/>
  <c r="B325" i="19"/>
  <c r="BS324" i="19"/>
  <c r="BR324" i="19"/>
  <c r="BQ324" i="19"/>
  <c r="AX324" i="19"/>
  <c r="M324" i="14" s="1"/>
  <c r="AV324" i="19"/>
  <c r="AN324" i="19"/>
  <c r="E324" i="14" s="1"/>
  <c r="AL324" i="19"/>
  <c r="U324" i="19"/>
  <c r="T324" i="19"/>
  <c r="BO324" i="19"/>
  <c r="N324" i="19"/>
  <c r="M324" i="19"/>
  <c r="B324" i="19"/>
  <c r="BS323" i="19"/>
  <c r="BR323" i="19"/>
  <c r="BQ323" i="19"/>
  <c r="AX323" i="19"/>
  <c r="M323" i="14" s="1"/>
  <c r="AV323" i="19"/>
  <c r="AN323" i="19"/>
  <c r="AL323" i="19"/>
  <c r="U323" i="19"/>
  <c r="T323" i="19"/>
  <c r="BK323" i="19"/>
  <c r="N323" i="19"/>
  <c r="M323" i="19"/>
  <c r="B323" i="19"/>
  <c r="BS322" i="19"/>
  <c r="BR322" i="19"/>
  <c r="BQ322" i="19"/>
  <c r="AX322" i="19"/>
  <c r="M322" i="14" s="1"/>
  <c r="AV322" i="19"/>
  <c r="AN322" i="19"/>
  <c r="AL322" i="19"/>
  <c r="U322" i="19"/>
  <c r="T322" i="19"/>
  <c r="BK322" i="19"/>
  <c r="N322" i="19"/>
  <c r="M322" i="19"/>
  <c r="B322" i="19"/>
  <c r="BS321" i="19"/>
  <c r="BR321" i="19"/>
  <c r="BQ321" i="19"/>
  <c r="AX321" i="19"/>
  <c r="M321" i="14" s="1"/>
  <c r="AV321" i="19"/>
  <c r="AN321" i="19"/>
  <c r="AL321" i="19"/>
  <c r="U321" i="19"/>
  <c r="T321" i="19"/>
  <c r="BK321" i="19"/>
  <c r="N321" i="19"/>
  <c r="M321" i="19"/>
  <c r="B321" i="19"/>
  <c r="BS320" i="19"/>
  <c r="BR320" i="19"/>
  <c r="BQ320" i="19"/>
  <c r="AX320" i="19"/>
  <c r="M320" i="14" s="1"/>
  <c r="AV320" i="19"/>
  <c r="AN320" i="19"/>
  <c r="AL320" i="19"/>
  <c r="U320" i="19"/>
  <c r="T320" i="19"/>
  <c r="BO320" i="19"/>
  <c r="N320" i="19"/>
  <c r="M320" i="19"/>
  <c r="B320" i="19"/>
  <c r="BS319" i="19"/>
  <c r="BR319" i="19"/>
  <c r="BQ319" i="19"/>
  <c r="AX319" i="19"/>
  <c r="M319" i="14" s="1"/>
  <c r="AV319" i="19"/>
  <c r="AN319" i="19"/>
  <c r="AL319" i="19"/>
  <c r="U319" i="19"/>
  <c r="T319" i="19"/>
  <c r="BK319" i="19"/>
  <c r="N319" i="19"/>
  <c r="M319" i="19"/>
  <c r="B319" i="19"/>
  <c r="BS318" i="19"/>
  <c r="BR318" i="19"/>
  <c r="BQ318" i="19"/>
  <c r="AX318" i="19"/>
  <c r="M318" i="14" s="1"/>
  <c r="AV318" i="19"/>
  <c r="AN318" i="19"/>
  <c r="AL318" i="19"/>
  <c r="U318" i="19"/>
  <c r="T318" i="19"/>
  <c r="BO318" i="19"/>
  <c r="N318" i="19"/>
  <c r="M318" i="19"/>
  <c r="B318" i="19"/>
  <c r="BS317" i="19"/>
  <c r="BR317" i="19"/>
  <c r="BQ317" i="19"/>
  <c r="AX317" i="19"/>
  <c r="M317" i="14" s="1"/>
  <c r="AV317" i="19"/>
  <c r="AN317" i="19"/>
  <c r="E317" i="14" s="1"/>
  <c r="AL317" i="19"/>
  <c r="U317" i="19"/>
  <c r="T317" i="19"/>
  <c r="BK317" i="19"/>
  <c r="N317" i="19"/>
  <c r="M317" i="19"/>
  <c r="B317" i="19"/>
  <c r="BS316" i="19"/>
  <c r="BR316" i="19"/>
  <c r="BQ316" i="19"/>
  <c r="AX316" i="19"/>
  <c r="M316" i="14" s="1"/>
  <c r="AV316" i="19"/>
  <c r="AN316" i="19"/>
  <c r="E316" i="14" s="1"/>
  <c r="AL316" i="19"/>
  <c r="U316" i="19"/>
  <c r="T316" i="19"/>
  <c r="BK316" i="19"/>
  <c r="N316" i="19"/>
  <c r="M316" i="19"/>
  <c r="B316" i="19"/>
  <c r="BR315" i="19"/>
  <c r="BQ315" i="19"/>
  <c r="AX315" i="19"/>
  <c r="M315" i="14" s="1"/>
  <c r="AV315" i="19"/>
  <c r="AN315" i="19"/>
  <c r="E315" i="14" s="1"/>
  <c r="AL315" i="19"/>
  <c r="U315" i="19"/>
  <c r="T315" i="19"/>
  <c r="BK315" i="19"/>
  <c r="N315" i="19"/>
  <c r="M315" i="19"/>
  <c r="B315" i="19"/>
  <c r="BS314" i="19"/>
  <c r="BR314" i="19"/>
  <c r="BQ314" i="19"/>
  <c r="AX314" i="19"/>
  <c r="M314" i="14" s="1"/>
  <c r="AV314" i="19"/>
  <c r="AN314" i="19"/>
  <c r="E314" i="14" s="1"/>
  <c r="AL314" i="19"/>
  <c r="U314" i="19"/>
  <c r="T314" i="19"/>
  <c r="N314" i="19"/>
  <c r="M314" i="19"/>
  <c r="B314" i="19"/>
  <c r="BS313" i="19"/>
  <c r="BR313" i="19"/>
  <c r="BQ313" i="19"/>
  <c r="AX313" i="19"/>
  <c r="M313" i="14" s="1"/>
  <c r="AV313" i="19"/>
  <c r="AN313" i="19"/>
  <c r="E313" i="14" s="1"/>
  <c r="AL313" i="19"/>
  <c r="U313" i="19"/>
  <c r="T313" i="19"/>
  <c r="BO313" i="19"/>
  <c r="N313" i="19"/>
  <c r="M313" i="19"/>
  <c r="B313" i="19"/>
  <c r="BS312" i="19"/>
  <c r="BR312" i="19"/>
  <c r="BQ312" i="19"/>
  <c r="AX312" i="19"/>
  <c r="M312" i="14" s="1"/>
  <c r="AV312" i="19"/>
  <c r="AN312" i="19"/>
  <c r="AL312" i="19"/>
  <c r="U312" i="19"/>
  <c r="T312" i="19"/>
  <c r="BK312" i="19"/>
  <c r="N312" i="19"/>
  <c r="M312" i="19"/>
  <c r="B312" i="19"/>
  <c r="BS311" i="19"/>
  <c r="BR311" i="19"/>
  <c r="BQ311" i="19"/>
  <c r="AX311" i="19"/>
  <c r="M311" i="14" s="1"/>
  <c r="AV311" i="19"/>
  <c r="AN311" i="19"/>
  <c r="AL311" i="19"/>
  <c r="U311" i="19"/>
  <c r="T311" i="19"/>
  <c r="BK311" i="19"/>
  <c r="N311" i="19"/>
  <c r="M311" i="19"/>
  <c r="B311" i="19"/>
  <c r="BS310" i="19"/>
  <c r="BR310" i="19"/>
  <c r="BQ310" i="19"/>
  <c r="AX310" i="19"/>
  <c r="M310" i="14" s="1"/>
  <c r="AV310" i="19"/>
  <c r="AN310" i="19"/>
  <c r="AL310" i="19"/>
  <c r="U310" i="19"/>
  <c r="T310" i="19"/>
  <c r="BK310" i="19"/>
  <c r="N310" i="19"/>
  <c r="M310" i="19"/>
  <c r="B310" i="19"/>
  <c r="BS309" i="19"/>
  <c r="BR309" i="19"/>
  <c r="BQ309" i="19"/>
  <c r="AX309" i="19"/>
  <c r="M309" i="14" s="1"/>
  <c r="AV309" i="19"/>
  <c r="AN309" i="19"/>
  <c r="E309" i="14" s="1"/>
  <c r="AL309" i="19"/>
  <c r="U309" i="19"/>
  <c r="T309" i="19"/>
  <c r="BO309" i="19"/>
  <c r="N309" i="19"/>
  <c r="M309" i="19"/>
  <c r="B309" i="19"/>
  <c r="BS308" i="19"/>
  <c r="BR308" i="19"/>
  <c r="BQ308" i="19"/>
  <c r="AX308" i="19"/>
  <c r="M308" i="14" s="1"/>
  <c r="AV308" i="19"/>
  <c r="AN308" i="19"/>
  <c r="E308" i="14" s="1"/>
  <c r="AL308" i="19"/>
  <c r="U308" i="19"/>
  <c r="T308" i="19"/>
  <c r="BK308" i="19"/>
  <c r="N308" i="19"/>
  <c r="M308" i="19"/>
  <c r="B308" i="19"/>
  <c r="BS307" i="19"/>
  <c r="BR307" i="19"/>
  <c r="BQ307" i="19"/>
  <c r="AX307" i="19"/>
  <c r="M307" i="14" s="1"/>
  <c r="AV307" i="19"/>
  <c r="AN307" i="19"/>
  <c r="E307" i="14" s="1"/>
  <c r="AL307" i="19"/>
  <c r="U307" i="19"/>
  <c r="T307" i="19"/>
  <c r="BO307" i="19"/>
  <c r="M307" i="19"/>
  <c r="B307" i="19"/>
  <c r="BS306" i="19"/>
  <c r="BR306" i="19"/>
  <c r="BQ306" i="19"/>
  <c r="AX306" i="19"/>
  <c r="M306" i="14" s="1"/>
  <c r="AV306" i="19"/>
  <c r="AN306" i="19"/>
  <c r="AL306" i="19"/>
  <c r="U306" i="19"/>
  <c r="T306" i="19"/>
  <c r="BK306" i="19"/>
  <c r="N306" i="19"/>
  <c r="M306" i="19"/>
  <c r="B306" i="19"/>
  <c r="BS305" i="19"/>
  <c r="BR305" i="19"/>
  <c r="BQ305" i="19"/>
  <c r="AX305" i="19"/>
  <c r="M305" i="14" s="1"/>
  <c r="AV305" i="19"/>
  <c r="AN305" i="19"/>
  <c r="E305" i="14" s="1"/>
  <c r="AL305" i="19"/>
  <c r="U305" i="19"/>
  <c r="T305" i="19"/>
  <c r="BK305" i="19"/>
  <c r="N305" i="19"/>
  <c r="M305" i="19"/>
  <c r="B305" i="19"/>
  <c r="BS304" i="19"/>
  <c r="BR304" i="19"/>
  <c r="BQ304" i="19"/>
  <c r="AX304" i="19"/>
  <c r="M304" i="14" s="1"/>
  <c r="AV304" i="19"/>
  <c r="AN304" i="19"/>
  <c r="E304" i="14" s="1"/>
  <c r="AL304" i="19"/>
  <c r="U304" i="19"/>
  <c r="T304" i="19"/>
  <c r="BO304" i="19"/>
  <c r="N304" i="19"/>
  <c r="M304" i="19"/>
  <c r="B304" i="19"/>
  <c r="BS303" i="19"/>
  <c r="BR303" i="19"/>
  <c r="BQ303" i="19"/>
  <c r="AX303" i="19"/>
  <c r="M303" i="14" s="1"/>
  <c r="AV303" i="19"/>
  <c r="AN303" i="19"/>
  <c r="E303" i="14" s="1"/>
  <c r="AL303" i="19"/>
  <c r="U303" i="19"/>
  <c r="T303" i="19"/>
  <c r="BO303" i="19"/>
  <c r="N303" i="19"/>
  <c r="M303" i="19"/>
  <c r="B303" i="19"/>
  <c r="BS302" i="19"/>
  <c r="BR302" i="19"/>
  <c r="BQ302" i="19"/>
  <c r="AX302" i="19"/>
  <c r="M302" i="14" s="1"/>
  <c r="AV302" i="19"/>
  <c r="AN302" i="19"/>
  <c r="AL302" i="19"/>
  <c r="U302" i="19"/>
  <c r="T302" i="19"/>
  <c r="BK302" i="19"/>
  <c r="N302" i="19"/>
  <c r="M302" i="19"/>
  <c r="B302" i="19"/>
  <c r="BS301" i="19"/>
  <c r="BR301" i="19"/>
  <c r="BQ301" i="19"/>
  <c r="AX301" i="19"/>
  <c r="M301" i="14" s="1"/>
  <c r="AV301" i="19"/>
  <c r="AN301" i="19"/>
  <c r="AL301" i="19"/>
  <c r="U301" i="19"/>
  <c r="T301" i="19"/>
  <c r="BK301" i="19"/>
  <c r="N301" i="19"/>
  <c r="M301" i="19"/>
  <c r="B301" i="19"/>
  <c r="BS300" i="19"/>
  <c r="BR300" i="19"/>
  <c r="BQ300" i="19"/>
  <c r="AX300" i="19"/>
  <c r="M300" i="14" s="1"/>
  <c r="AV300" i="19"/>
  <c r="AN300" i="19"/>
  <c r="E300" i="14" s="1"/>
  <c r="AL300" i="19"/>
  <c r="U300" i="19"/>
  <c r="T300" i="19"/>
  <c r="BO300" i="19"/>
  <c r="N300" i="19"/>
  <c r="M300" i="19"/>
  <c r="B300" i="19"/>
  <c r="BS299" i="19"/>
  <c r="BR299" i="19"/>
  <c r="BQ299" i="19"/>
  <c r="AX299" i="19"/>
  <c r="M299" i="14" s="1"/>
  <c r="AV299" i="19"/>
  <c r="AN299" i="19"/>
  <c r="E299" i="14" s="1"/>
  <c r="AL299" i="19"/>
  <c r="U299" i="19"/>
  <c r="T299" i="19"/>
  <c r="BO299" i="19"/>
  <c r="N299" i="19"/>
  <c r="M299" i="19"/>
  <c r="B299" i="19"/>
  <c r="BS298" i="19"/>
  <c r="BR298" i="19"/>
  <c r="BQ298" i="19"/>
  <c r="AX298" i="19"/>
  <c r="M298" i="14" s="1"/>
  <c r="AV298" i="19"/>
  <c r="AN298" i="19"/>
  <c r="AL298" i="19"/>
  <c r="U298" i="19"/>
  <c r="T298" i="19"/>
  <c r="BK298" i="19"/>
  <c r="N298" i="19"/>
  <c r="M298" i="19"/>
  <c r="B298" i="19"/>
  <c r="BR297" i="19"/>
  <c r="BQ297" i="19"/>
  <c r="AX297" i="19"/>
  <c r="M297" i="14" s="1"/>
  <c r="AV297" i="19"/>
  <c r="AN297" i="19"/>
  <c r="AL297" i="19"/>
  <c r="U297" i="19"/>
  <c r="T297" i="19"/>
  <c r="BO297" i="19"/>
  <c r="N297" i="19"/>
  <c r="M297" i="19"/>
  <c r="B297" i="19"/>
  <c r="BS296" i="19"/>
  <c r="BR296" i="19"/>
  <c r="BQ296" i="19"/>
  <c r="AX296" i="19"/>
  <c r="M296" i="14" s="1"/>
  <c r="AV296" i="19"/>
  <c r="AN296" i="19"/>
  <c r="AL296" i="19"/>
  <c r="U296" i="19"/>
  <c r="T296" i="19"/>
  <c r="BO296" i="19"/>
  <c r="N296" i="19"/>
  <c r="M296" i="19"/>
  <c r="B296" i="19"/>
  <c r="BS295" i="19"/>
  <c r="BR295" i="19"/>
  <c r="BQ295" i="19"/>
  <c r="AX295" i="19"/>
  <c r="M295" i="14" s="1"/>
  <c r="AV295" i="19"/>
  <c r="AN295" i="19"/>
  <c r="AL295" i="19"/>
  <c r="U295" i="19"/>
  <c r="T295" i="19"/>
  <c r="BO295" i="19"/>
  <c r="N295" i="19"/>
  <c r="M295" i="19"/>
  <c r="B295" i="19"/>
  <c r="BS294" i="19"/>
  <c r="BR294" i="19"/>
  <c r="BQ294" i="19"/>
  <c r="AX294" i="19"/>
  <c r="M294" i="14" s="1"/>
  <c r="AV294" i="19"/>
  <c r="AN294" i="19"/>
  <c r="AL294" i="19"/>
  <c r="U294" i="19"/>
  <c r="T294" i="19"/>
  <c r="BK294" i="19"/>
  <c r="N294" i="19"/>
  <c r="M294" i="19"/>
  <c r="B294" i="19"/>
  <c r="BR293" i="19"/>
  <c r="BQ293" i="19"/>
  <c r="AX293" i="19"/>
  <c r="M293" i="14" s="1"/>
  <c r="AV293" i="19"/>
  <c r="AN293" i="19"/>
  <c r="E293" i="14" s="1"/>
  <c r="AL293" i="19"/>
  <c r="U293" i="19"/>
  <c r="T293" i="19"/>
  <c r="BO293" i="19"/>
  <c r="N293" i="19"/>
  <c r="M293" i="19"/>
  <c r="B293" i="19"/>
  <c r="BS292" i="19"/>
  <c r="BR292" i="19"/>
  <c r="BQ292" i="19"/>
  <c r="AX292" i="19"/>
  <c r="M292" i="14" s="1"/>
  <c r="AV292" i="19"/>
  <c r="AN292" i="19"/>
  <c r="AL292" i="19"/>
  <c r="U292" i="19"/>
  <c r="T292" i="19"/>
  <c r="BO292" i="19"/>
  <c r="N292" i="19"/>
  <c r="M292" i="19"/>
  <c r="B292" i="19"/>
  <c r="BS291" i="19"/>
  <c r="BR291" i="19"/>
  <c r="BQ291" i="19"/>
  <c r="AX291" i="19"/>
  <c r="M291" i="14" s="1"/>
  <c r="AV291" i="19"/>
  <c r="AN291" i="19"/>
  <c r="AL291" i="19"/>
  <c r="U291" i="19"/>
  <c r="T291" i="19"/>
  <c r="BO291" i="19"/>
  <c r="N291" i="19"/>
  <c r="M291" i="19"/>
  <c r="B291" i="19"/>
  <c r="BS290" i="19"/>
  <c r="BR290" i="19"/>
  <c r="BQ290" i="19"/>
  <c r="AX290" i="19"/>
  <c r="M290" i="14" s="1"/>
  <c r="AV290" i="19"/>
  <c r="AN290" i="19"/>
  <c r="AL290" i="19"/>
  <c r="U290" i="19"/>
  <c r="T290" i="19"/>
  <c r="BK290" i="19"/>
  <c r="N290" i="19"/>
  <c r="M290" i="19"/>
  <c r="B290" i="19"/>
  <c r="BS289" i="19"/>
  <c r="BR289" i="19"/>
  <c r="BQ289" i="19"/>
  <c r="AX289" i="19"/>
  <c r="M289" i="14" s="1"/>
  <c r="AV289" i="19"/>
  <c r="AN289" i="19"/>
  <c r="E289" i="14" s="1"/>
  <c r="AL289" i="19"/>
  <c r="U289" i="19"/>
  <c r="T289" i="19"/>
  <c r="BO289" i="19"/>
  <c r="N289" i="19"/>
  <c r="M289" i="19"/>
  <c r="B289" i="19"/>
  <c r="BS288" i="19"/>
  <c r="BR288" i="19"/>
  <c r="BQ288" i="19"/>
  <c r="AX288" i="19"/>
  <c r="M288" i="14" s="1"/>
  <c r="AV288" i="19"/>
  <c r="AN288" i="19"/>
  <c r="AL288" i="19"/>
  <c r="U288" i="19"/>
  <c r="T288" i="19"/>
  <c r="BO288" i="19"/>
  <c r="N288" i="19"/>
  <c r="M288" i="19"/>
  <c r="B288" i="19"/>
  <c r="BS287" i="19"/>
  <c r="BR287" i="19"/>
  <c r="BQ287" i="19"/>
  <c r="AX287" i="19"/>
  <c r="M287" i="14" s="1"/>
  <c r="AV287" i="19"/>
  <c r="AN287" i="19"/>
  <c r="AL287" i="19"/>
  <c r="U287" i="19"/>
  <c r="T287" i="19"/>
  <c r="BO287" i="19"/>
  <c r="N287" i="19"/>
  <c r="M287" i="19"/>
  <c r="B287" i="19"/>
  <c r="BS286" i="19"/>
  <c r="BR286" i="19"/>
  <c r="BQ286" i="19"/>
  <c r="AX286" i="19"/>
  <c r="M286" i="14" s="1"/>
  <c r="AV286" i="19"/>
  <c r="AN286" i="19"/>
  <c r="E286" i="14" s="1"/>
  <c r="AL286" i="19"/>
  <c r="U286" i="19"/>
  <c r="T286" i="19"/>
  <c r="BK286" i="19"/>
  <c r="N286" i="19"/>
  <c r="M286" i="19"/>
  <c r="B286" i="19"/>
  <c r="BS285" i="19"/>
  <c r="BR285" i="19"/>
  <c r="BQ285" i="19"/>
  <c r="AX285" i="19"/>
  <c r="M285" i="14" s="1"/>
  <c r="AV285" i="19"/>
  <c r="AN285" i="19"/>
  <c r="AL285" i="19"/>
  <c r="U285" i="19"/>
  <c r="T285" i="19"/>
  <c r="BO285" i="19"/>
  <c r="N285" i="19"/>
  <c r="M285" i="19"/>
  <c r="B285" i="19"/>
  <c r="BS284" i="19"/>
  <c r="BR284" i="19"/>
  <c r="BQ284" i="19"/>
  <c r="AX284" i="19"/>
  <c r="M284" i="14" s="1"/>
  <c r="AV284" i="19"/>
  <c r="AN284" i="19"/>
  <c r="E284" i="14" s="1"/>
  <c r="AL284" i="19"/>
  <c r="U284" i="19"/>
  <c r="T284" i="19"/>
  <c r="BO284" i="19"/>
  <c r="N284" i="19"/>
  <c r="M284" i="19"/>
  <c r="B284" i="19"/>
  <c r="BS283" i="19"/>
  <c r="BR283" i="19"/>
  <c r="BQ283" i="19"/>
  <c r="AX283" i="19"/>
  <c r="M283" i="14" s="1"/>
  <c r="AV283" i="19"/>
  <c r="AN283" i="19"/>
  <c r="AL283" i="19"/>
  <c r="U283" i="19"/>
  <c r="T283" i="19"/>
  <c r="BO283" i="19"/>
  <c r="N283" i="19"/>
  <c r="M283" i="19"/>
  <c r="B283" i="19"/>
  <c r="BS282" i="19"/>
  <c r="BR282" i="19"/>
  <c r="BQ282" i="19"/>
  <c r="AX282" i="19"/>
  <c r="M282" i="14" s="1"/>
  <c r="AV282" i="19"/>
  <c r="AN282" i="19"/>
  <c r="AL282" i="19"/>
  <c r="U282" i="19"/>
  <c r="T282" i="19"/>
  <c r="BK282" i="19"/>
  <c r="N282" i="19"/>
  <c r="M282" i="19"/>
  <c r="B282" i="19"/>
  <c r="BS281" i="19"/>
  <c r="BR281" i="19"/>
  <c r="BQ281" i="19"/>
  <c r="AX281" i="19"/>
  <c r="M281" i="14" s="1"/>
  <c r="AV281" i="19"/>
  <c r="AN281" i="19"/>
  <c r="AL281" i="19"/>
  <c r="U281" i="19"/>
  <c r="T281" i="19"/>
  <c r="N281" i="19"/>
  <c r="M281" i="19"/>
  <c r="B281" i="19"/>
  <c r="BS280" i="19"/>
  <c r="BR280" i="19"/>
  <c r="BQ280" i="19"/>
  <c r="AX280" i="19"/>
  <c r="M280" i="14" s="1"/>
  <c r="AV280" i="19"/>
  <c r="AN280" i="19"/>
  <c r="AL280" i="19"/>
  <c r="U280" i="19"/>
  <c r="T280" i="19"/>
  <c r="BO280" i="19"/>
  <c r="N280" i="19"/>
  <c r="M280" i="19"/>
  <c r="B280" i="19"/>
  <c r="BS279" i="19"/>
  <c r="BR279" i="19"/>
  <c r="BQ279" i="19"/>
  <c r="AX279" i="19"/>
  <c r="M279" i="14" s="1"/>
  <c r="AV279" i="19"/>
  <c r="AN279" i="19"/>
  <c r="AL279" i="19"/>
  <c r="U279" i="19"/>
  <c r="T279" i="19"/>
  <c r="BO279" i="19"/>
  <c r="N279" i="19"/>
  <c r="M279" i="19"/>
  <c r="B279" i="19"/>
  <c r="BS278" i="19"/>
  <c r="BR278" i="19"/>
  <c r="BQ278" i="19"/>
  <c r="AX278" i="19"/>
  <c r="M278" i="14" s="1"/>
  <c r="AV278" i="19"/>
  <c r="AN278" i="19"/>
  <c r="E278" i="14" s="1"/>
  <c r="AL278" i="19"/>
  <c r="U278" i="19"/>
  <c r="T278" i="19"/>
  <c r="BK278" i="19"/>
  <c r="N278" i="19"/>
  <c r="M278" i="19"/>
  <c r="B278" i="19"/>
  <c r="BS277" i="19"/>
  <c r="BR277" i="19"/>
  <c r="BQ277" i="19"/>
  <c r="AX277" i="19"/>
  <c r="M277" i="14" s="1"/>
  <c r="AV277" i="19"/>
  <c r="AN277" i="19"/>
  <c r="E277" i="14" s="1"/>
  <c r="AL277" i="19"/>
  <c r="U277" i="19"/>
  <c r="T277" i="19"/>
  <c r="BO277" i="19"/>
  <c r="N277" i="19"/>
  <c r="M277" i="19"/>
  <c r="B277" i="19"/>
  <c r="BS276" i="19"/>
  <c r="BR276" i="19"/>
  <c r="BQ276" i="19"/>
  <c r="AX276" i="19"/>
  <c r="M276" i="14" s="1"/>
  <c r="AV276" i="19"/>
  <c r="AN276" i="19"/>
  <c r="AL276" i="19"/>
  <c r="U276" i="19"/>
  <c r="T276" i="19"/>
  <c r="BK276" i="19"/>
  <c r="N276" i="19"/>
  <c r="M276" i="19"/>
  <c r="B276" i="19"/>
  <c r="BS275" i="19"/>
  <c r="BQ275" i="19"/>
  <c r="AX275" i="19"/>
  <c r="M275" i="14" s="1"/>
  <c r="AV275" i="19"/>
  <c r="AN275" i="19"/>
  <c r="AL275" i="19"/>
  <c r="U275" i="19"/>
  <c r="T275" i="19"/>
  <c r="BO275" i="19"/>
  <c r="N275" i="19"/>
  <c r="M275" i="19"/>
  <c r="B275" i="19"/>
  <c r="BS274" i="19"/>
  <c r="BR274" i="19"/>
  <c r="BQ274" i="19"/>
  <c r="AX274" i="19"/>
  <c r="M274" i="14" s="1"/>
  <c r="AV274" i="19"/>
  <c r="AN274" i="19"/>
  <c r="AL274" i="19"/>
  <c r="U274" i="19"/>
  <c r="T274" i="19"/>
  <c r="BK274" i="19"/>
  <c r="N274" i="19"/>
  <c r="M274" i="19"/>
  <c r="B274" i="19"/>
  <c r="BS273" i="19"/>
  <c r="BR273" i="19"/>
  <c r="BQ273" i="19"/>
  <c r="AX273" i="19"/>
  <c r="M273" i="14" s="1"/>
  <c r="AV273" i="19"/>
  <c r="AN273" i="19"/>
  <c r="AL273" i="19"/>
  <c r="U273" i="19"/>
  <c r="T273" i="19"/>
  <c r="BO273" i="19"/>
  <c r="N273" i="19"/>
  <c r="M273" i="19"/>
  <c r="B273" i="19"/>
  <c r="BR272" i="19"/>
  <c r="BQ272" i="19"/>
  <c r="AX272" i="19"/>
  <c r="M272" i="14" s="1"/>
  <c r="AV272" i="19"/>
  <c r="AN272" i="19"/>
  <c r="E272" i="14" s="1"/>
  <c r="AL272" i="19"/>
  <c r="U272" i="19"/>
  <c r="T272" i="19"/>
  <c r="BO272" i="19"/>
  <c r="N272" i="19"/>
  <c r="M272" i="19"/>
  <c r="B272" i="19"/>
  <c r="BS271" i="19"/>
  <c r="BR271" i="19"/>
  <c r="BQ271" i="19"/>
  <c r="AX271" i="19"/>
  <c r="M271" i="14" s="1"/>
  <c r="AV271" i="19"/>
  <c r="AN271" i="19"/>
  <c r="E271" i="14" s="1"/>
  <c r="AL271" i="19"/>
  <c r="U271" i="19"/>
  <c r="T271" i="19"/>
  <c r="BO271" i="19"/>
  <c r="N271" i="19"/>
  <c r="M271" i="19"/>
  <c r="B271" i="19"/>
  <c r="BS270" i="19"/>
  <c r="BR270" i="19"/>
  <c r="BQ270" i="19"/>
  <c r="AX270" i="19"/>
  <c r="M270" i="14" s="1"/>
  <c r="AV270" i="19"/>
  <c r="AN270" i="19"/>
  <c r="E270" i="14" s="1"/>
  <c r="AL270" i="19"/>
  <c r="U270" i="19"/>
  <c r="T270" i="19"/>
  <c r="BO270" i="19"/>
  <c r="N270" i="19"/>
  <c r="M270" i="19"/>
  <c r="B270" i="19"/>
  <c r="BR269" i="19"/>
  <c r="BQ269" i="19"/>
  <c r="AX269" i="19"/>
  <c r="M269" i="14" s="1"/>
  <c r="AV269" i="19"/>
  <c r="AN269" i="19"/>
  <c r="E269" i="14" s="1"/>
  <c r="AL269" i="19"/>
  <c r="U269" i="19"/>
  <c r="T269" i="19"/>
  <c r="BK269" i="19"/>
  <c r="N269" i="19"/>
  <c r="M269" i="19"/>
  <c r="B269" i="19"/>
  <c r="BS268" i="19"/>
  <c r="BR268" i="19"/>
  <c r="BQ268" i="19"/>
  <c r="AX268" i="19"/>
  <c r="M268" i="14" s="1"/>
  <c r="AV268" i="19"/>
  <c r="AN268" i="19"/>
  <c r="AL268" i="19"/>
  <c r="U268" i="19"/>
  <c r="T268" i="19"/>
  <c r="BO268" i="19"/>
  <c r="N268" i="19"/>
  <c r="M268" i="19"/>
  <c r="B268" i="19"/>
  <c r="BS267" i="19"/>
  <c r="BR267" i="19"/>
  <c r="BQ267" i="19"/>
  <c r="AX267" i="19"/>
  <c r="M267" i="14" s="1"/>
  <c r="AV267" i="19"/>
  <c r="AN267" i="19"/>
  <c r="E267" i="14" s="1"/>
  <c r="AL267" i="19"/>
  <c r="U267" i="19"/>
  <c r="T267" i="19"/>
  <c r="BO267" i="19"/>
  <c r="N267" i="19"/>
  <c r="M267" i="19"/>
  <c r="B267" i="19"/>
  <c r="BS266" i="19"/>
  <c r="BR266" i="19"/>
  <c r="BQ266" i="19"/>
  <c r="AX266" i="19"/>
  <c r="M266" i="14" s="1"/>
  <c r="AV266" i="19"/>
  <c r="AN266" i="19"/>
  <c r="AL266" i="19"/>
  <c r="U266" i="19"/>
  <c r="T266" i="19"/>
  <c r="N266" i="19"/>
  <c r="M266" i="19"/>
  <c r="B266" i="19"/>
  <c r="BS265" i="19"/>
  <c r="BR265" i="19"/>
  <c r="BQ265" i="19"/>
  <c r="AX265" i="19"/>
  <c r="M265" i="14" s="1"/>
  <c r="AV265" i="19"/>
  <c r="AN265" i="19"/>
  <c r="AL265" i="19"/>
  <c r="U265" i="19"/>
  <c r="T265" i="19"/>
  <c r="BK265" i="19"/>
  <c r="N265" i="19"/>
  <c r="M265" i="19"/>
  <c r="B265" i="19"/>
  <c r="BS264" i="19"/>
  <c r="BR264" i="19"/>
  <c r="BQ264" i="19"/>
  <c r="AX264" i="19"/>
  <c r="M264" i="14" s="1"/>
  <c r="AV264" i="19"/>
  <c r="AN264" i="19"/>
  <c r="E264" i="14" s="1"/>
  <c r="AL264" i="19"/>
  <c r="U264" i="19"/>
  <c r="T264" i="19"/>
  <c r="BO264" i="19"/>
  <c r="N264" i="19"/>
  <c r="M264" i="19"/>
  <c r="B264" i="19"/>
  <c r="BS263" i="19"/>
  <c r="BR263" i="19"/>
  <c r="BQ263" i="19"/>
  <c r="AX263" i="19"/>
  <c r="M263" i="14" s="1"/>
  <c r="AV263" i="19"/>
  <c r="AN263" i="19"/>
  <c r="E263" i="14" s="1"/>
  <c r="AL263" i="19"/>
  <c r="U263" i="19"/>
  <c r="T263" i="19"/>
  <c r="BO263" i="19"/>
  <c r="N263" i="19"/>
  <c r="M263" i="19"/>
  <c r="B263" i="19"/>
  <c r="BS262" i="19"/>
  <c r="BR262" i="19"/>
  <c r="BQ262" i="19"/>
  <c r="AX262" i="19"/>
  <c r="M262" i="14" s="1"/>
  <c r="AV262" i="19"/>
  <c r="AN262" i="19"/>
  <c r="AL262" i="19"/>
  <c r="U262" i="19"/>
  <c r="T262" i="19"/>
  <c r="BK262" i="19"/>
  <c r="N262" i="19"/>
  <c r="M262" i="19"/>
  <c r="B262" i="19"/>
  <c r="BR261" i="19"/>
  <c r="BQ261" i="19"/>
  <c r="AX261" i="19"/>
  <c r="M261" i="14" s="1"/>
  <c r="AV261" i="19"/>
  <c r="AN261" i="19"/>
  <c r="AL261" i="19"/>
  <c r="U261" i="19"/>
  <c r="T261" i="19"/>
  <c r="BK261" i="19"/>
  <c r="N261" i="19"/>
  <c r="M261" i="19"/>
  <c r="B261" i="19"/>
  <c r="BS260" i="19"/>
  <c r="BR260" i="19"/>
  <c r="BQ260" i="19"/>
  <c r="AX260" i="19"/>
  <c r="M260" i="14" s="1"/>
  <c r="AV260" i="19"/>
  <c r="AN260" i="19"/>
  <c r="E260" i="14" s="1"/>
  <c r="AL260" i="19"/>
  <c r="U260" i="19"/>
  <c r="T260" i="19"/>
  <c r="BK260" i="19"/>
  <c r="N260" i="19"/>
  <c r="M260" i="19"/>
  <c r="B260" i="19"/>
  <c r="BS259" i="19"/>
  <c r="BR259" i="19"/>
  <c r="BQ259" i="19"/>
  <c r="AX259" i="19"/>
  <c r="M259" i="14" s="1"/>
  <c r="AV259" i="19"/>
  <c r="AN259" i="19"/>
  <c r="AL259" i="19"/>
  <c r="U259" i="19"/>
  <c r="T259" i="19"/>
  <c r="BO259" i="19"/>
  <c r="N259" i="19"/>
  <c r="M259" i="19"/>
  <c r="B259" i="19"/>
  <c r="BS258" i="19"/>
  <c r="BR258" i="19"/>
  <c r="BQ258" i="19"/>
  <c r="AX258" i="19"/>
  <c r="M258" i="14" s="1"/>
  <c r="AV258" i="19"/>
  <c r="AN258" i="19"/>
  <c r="E258" i="14" s="1"/>
  <c r="AL258" i="19"/>
  <c r="U258" i="19"/>
  <c r="T258" i="19"/>
  <c r="BK258" i="19"/>
  <c r="N258" i="19"/>
  <c r="M258" i="19"/>
  <c r="B258" i="19"/>
  <c r="BS257" i="19"/>
  <c r="BR257" i="19"/>
  <c r="BQ257" i="19"/>
  <c r="AX257" i="19"/>
  <c r="M257" i="14" s="1"/>
  <c r="AV257" i="19"/>
  <c r="AN257" i="19"/>
  <c r="AL257" i="19"/>
  <c r="U257" i="19"/>
  <c r="T257" i="19"/>
  <c r="BO257" i="19"/>
  <c r="N257" i="19"/>
  <c r="M257" i="19"/>
  <c r="B257" i="19"/>
  <c r="BS256" i="19"/>
  <c r="BR256" i="19"/>
  <c r="BQ256" i="19"/>
  <c r="AX256" i="19"/>
  <c r="M256" i="14" s="1"/>
  <c r="AV256" i="19"/>
  <c r="AN256" i="19"/>
  <c r="AL256" i="19"/>
  <c r="U256" i="19"/>
  <c r="T256" i="19"/>
  <c r="BK256" i="19"/>
  <c r="N256" i="19"/>
  <c r="M256" i="19"/>
  <c r="B256" i="19"/>
  <c r="BS255" i="19"/>
  <c r="BR255" i="19"/>
  <c r="BQ255" i="19"/>
  <c r="AX255" i="19"/>
  <c r="M255" i="14" s="1"/>
  <c r="AV255" i="19"/>
  <c r="AN255" i="19"/>
  <c r="E255" i="14" s="1"/>
  <c r="AL255" i="19"/>
  <c r="U255" i="19"/>
  <c r="T255" i="19"/>
  <c r="BK255" i="19"/>
  <c r="N255" i="19"/>
  <c r="M255" i="19"/>
  <c r="B255" i="19"/>
  <c r="BS254" i="19"/>
  <c r="BR254" i="19"/>
  <c r="BQ254" i="19"/>
  <c r="BK254" i="19"/>
  <c r="AX254" i="19"/>
  <c r="M254" i="14" s="1"/>
  <c r="AV254" i="19"/>
  <c r="AN254" i="19"/>
  <c r="E254" i="14" s="1"/>
  <c r="AL254" i="19"/>
  <c r="U254" i="19"/>
  <c r="T254" i="19"/>
  <c r="BO254" i="19"/>
  <c r="N254" i="19"/>
  <c r="M254" i="19"/>
  <c r="B254" i="19"/>
  <c r="BS253" i="19"/>
  <c r="BR253" i="19"/>
  <c r="BQ253" i="19"/>
  <c r="BK253" i="19"/>
  <c r="AX253" i="19"/>
  <c r="M253" i="14" s="1"/>
  <c r="AV253" i="19"/>
  <c r="AN253" i="19"/>
  <c r="AL253" i="19"/>
  <c r="U253" i="19"/>
  <c r="T253" i="19"/>
  <c r="BO253" i="19"/>
  <c r="N253" i="19"/>
  <c r="M253" i="19"/>
  <c r="B253" i="19"/>
  <c r="BS252" i="19"/>
  <c r="BR252" i="19"/>
  <c r="BQ252" i="19"/>
  <c r="AX252" i="19"/>
  <c r="M252" i="14" s="1"/>
  <c r="AV252" i="19"/>
  <c r="AN252" i="19"/>
  <c r="AL252" i="19"/>
  <c r="U252" i="19"/>
  <c r="T252" i="19"/>
  <c r="BK252" i="19"/>
  <c r="N252" i="19"/>
  <c r="M252" i="19"/>
  <c r="B252" i="19"/>
  <c r="BS251" i="19"/>
  <c r="BR251" i="19"/>
  <c r="BQ251" i="19"/>
  <c r="BK251" i="19"/>
  <c r="AX251" i="19"/>
  <c r="M251" i="14" s="1"/>
  <c r="AV251" i="19"/>
  <c r="AN251" i="19"/>
  <c r="AL251" i="19"/>
  <c r="U251" i="19"/>
  <c r="T251" i="19"/>
  <c r="BO251" i="19"/>
  <c r="N251" i="19"/>
  <c r="M251" i="19"/>
  <c r="B251" i="19"/>
  <c r="BS250" i="19"/>
  <c r="BR250" i="19"/>
  <c r="BQ250" i="19"/>
  <c r="AX250" i="19"/>
  <c r="M250" i="14" s="1"/>
  <c r="AV250" i="19"/>
  <c r="AN250" i="19"/>
  <c r="E250" i="14" s="1"/>
  <c r="AL250" i="19"/>
  <c r="U250" i="19"/>
  <c r="T250" i="19"/>
  <c r="BO250" i="19"/>
  <c r="N250" i="19"/>
  <c r="M250" i="19"/>
  <c r="B250" i="19"/>
  <c r="BS249" i="19"/>
  <c r="BR249" i="19"/>
  <c r="BQ249" i="19"/>
  <c r="AX249" i="19"/>
  <c r="M249" i="14" s="1"/>
  <c r="AV249" i="19"/>
  <c r="AN249" i="19"/>
  <c r="AL249" i="19"/>
  <c r="U249" i="19"/>
  <c r="T249" i="19"/>
  <c r="BK249" i="19"/>
  <c r="N249" i="19"/>
  <c r="M249" i="19"/>
  <c r="B249" i="19"/>
  <c r="BS248" i="19"/>
  <c r="BR248" i="19"/>
  <c r="BQ248" i="19"/>
  <c r="AX248" i="19"/>
  <c r="M248" i="14" s="1"/>
  <c r="AV248" i="19"/>
  <c r="AN248" i="19"/>
  <c r="E248" i="14" s="1"/>
  <c r="AL248" i="19"/>
  <c r="U248" i="19"/>
  <c r="T248" i="19"/>
  <c r="N248" i="19"/>
  <c r="M248" i="19"/>
  <c r="B248" i="19"/>
  <c r="BS247" i="19"/>
  <c r="BR247" i="19"/>
  <c r="BQ247" i="19"/>
  <c r="AX247" i="19"/>
  <c r="M247" i="14" s="1"/>
  <c r="AV247" i="19"/>
  <c r="AN247" i="19"/>
  <c r="E247" i="14" s="1"/>
  <c r="AL247" i="19"/>
  <c r="U247" i="19"/>
  <c r="T247" i="19"/>
  <c r="BO247" i="19"/>
  <c r="N247" i="19"/>
  <c r="M247" i="19"/>
  <c r="B247" i="19"/>
  <c r="BS246" i="19"/>
  <c r="BR246" i="19"/>
  <c r="BQ246" i="19"/>
  <c r="AX246" i="19"/>
  <c r="M246" i="14" s="1"/>
  <c r="AV246" i="19"/>
  <c r="AN246" i="19"/>
  <c r="E246" i="14" s="1"/>
  <c r="AL246" i="19"/>
  <c r="U246" i="19"/>
  <c r="Y246" i="19" s="1"/>
  <c r="T246" i="19"/>
  <c r="BO246" i="19"/>
  <c r="N246" i="19"/>
  <c r="M246" i="19"/>
  <c r="B246" i="19"/>
  <c r="BS245" i="19"/>
  <c r="BR245" i="19"/>
  <c r="BQ245" i="19"/>
  <c r="AX245" i="19"/>
  <c r="M245" i="14" s="1"/>
  <c r="AV245" i="19"/>
  <c r="AN245" i="19"/>
  <c r="E245" i="14" s="1"/>
  <c r="AL245" i="19"/>
  <c r="U245" i="19"/>
  <c r="T245" i="19"/>
  <c r="BK245" i="19"/>
  <c r="N245" i="19"/>
  <c r="M245" i="19"/>
  <c r="B245" i="19"/>
  <c r="BS244" i="19"/>
  <c r="BR244" i="19"/>
  <c r="BQ244" i="19"/>
  <c r="AX244" i="19"/>
  <c r="M244" i="14" s="1"/>
  <c r="AV244" i="19"/>
  <c r="AN244" i="19"/>
  <c r="AL244" i="19"/>
  <c r="U244" i="19"/>
  <c r="T244" i="19"/>
  <c r="N244" i="19"/>
  <c r="M244" i="19"/>
  <c r="B244" i="19"/>
  <c r="BS243" i="19"/>
  <c r="BR243" i="19"/>
  <c r="BQ243" i="19"/>
  <c r="AX243" i="19"/>
  <c r="M243" i="14" s="1"/>
  <c r="AV243" i="19"/>
  <c r="AN243" i="19"/>
  <c r="AL243" i="19"/>
  <c r="U243" i="19"/>
  <c r="T243" i="19"/>
  <c r="BK243" i="19"/>
  <c r="N243" i="19"/>
  <c r="M243" i="19"/>
  <c r="B243" i="19"/>
  <c r="BR242" i="19"/>
  <c r="BQ242" i="19"/>
  <c r="AX242" i="19"/>
  <c r="M242" i="14" s="1"/>
  <c r="AV242" i="19"/>
  <c r="AN242" i="19"/>
  <c r="AL242" i="19"/>
  <c r="U242" i="19"/>
  <c r="T242" i="19"/>
  <c r="BK242" i="19"/>
  <c r="N242" i="19"/>
  <c r="M242" i="19"/>
  <c r="B242" i="19"/>
  <c r="BS241" i="19"/>
  <c r="BR241" i="19"/>
  <c r="BQ241" i="19"/>
  <c r="AX241" i="19"/>
  <c r="M241" i="14" s="1"/>
  <c r="AV241" i="19"/>
  <c r="AN241" i="19"/>
  <c r="E241" i="14" s="1"/>
  <c r="AL241" i="19"/>
  <c r="U241" i="19"/>
  <c r="T241" i="19"/>
  <c r="N241" i="19"/>
  <c r="M241" i="19"/>
  <c r="B241" i="19"/>
  <c r="BS240" i="19"/>
  <c r="BR240" i="19"/>
  <c r="BQ240" i="19"/>
  <c r="AX240" i="19"/>
  <c r="M240" i="14" s="1"/>
  <c r="AV240" i="19"/>
  <c r="AN240" i="19"/>
  <c r="AL240" i="19"/>
  <c r="U240" i="19"/>
  <c r="T240" i="19"/>
  <c r="N240" i="19"/>
  <c r="M240" i="19"/>
  <c r="B240" i="19"/>
  <c r="BS239" i="19"/>
  <c r="BR239" i="19"/>
  <c r="BQ239" i="19"/>
  <c r="AX239" i="19"/>
  <c r="M239" i="14" s="1"/>
  <c r="AV239" i="19"/>
  <c r="AN239" i="19"/>
  <c r="AL239" i="19"/>
  <c r="U239" i="19"/>
  <c r="T239" i="19"/>
  <c r="BO239" i="19"/>
  <c r="N239" i="19"/>
  <c r="M239" i="19"/>
  <c r="B239" i="19"/>
  <c r="BS238" i="19"/>
  <c r="BR238" i="19"/>
  <c r="BQ238" i="19"/>
  <c r="AX238" i="19"/>
  <c r="M238" i="14" s="1"/>
  <c r="AV238" i="19"/>
  <c r="AN238" i="19"/>
  <c r="E238" i="14" s="1"/>
  <c r="AL238" i="19"/>
  <c r="U238" i="19"/>
  <c r="T238" i="19"/>
  <c r="BK238" i="19"/>
  <c r="N238" i="19"/>
  <c r="M238" i="19"/>
  <c r="B238" i="19"/>
  <c r="BS237" i="19"/>
  <c r="BR237" i="19"/>
  <c r="BQ237" i="19"/>
  <c r="AX237" i="19"/>
  <c r="M237" i="14" s="1"/>
  <c r="AV237" i="19"/>
  <c r="AN237" i="19"/>
  <c r="AL237" i="19"/>
  <c r="U237" i="19"/>
  <c r="T237" i="19"/>
  <c r="N237" i="19"/>
  <c r="M237" i="19"/>
  <c r="B237" i="19"/>
  <c r="BS236" i="19"/>
  <c r="BR236" i="19"/>
  <c r="BQ236" i="19"/>
  <c r="BK236" i="19"/>
  <c r="AX236" i="19"/>
  <c r="M236" i="14" s="1"/>
  <c r="AV236" i="19"/>
  <c r="AN236" i="19"/>
  <c r="E236" i="14" s="1"/>
  <c r="AL236" i="19"/>
  <c r="U236" i="19"/>
  <c r="T236" i="19"/>
  <c r="BO236" i="19"/>
  <c r="N236" i="19"/>
  <c r="M236" i="19"/>
  <c r="B236" i="19"/>
  <c r="BS235" i="19"/>
  <c r="BR235" i="19"/>
  <c r="BQ235" i="19"/>
  <c r="BK235" i="19"/>
  <c r="AX235" i="19"/>
  <c r="M235" i="14" s="1"/>
  <c r="AV235" i="19"/>
  <c r="AN235" i="19"/>
  <c r="E235" i="14" s="1"/>
  <c r="AL235" i="19"/>
  <c r="U235" i="19"/>
  <c r="T235" i="19"/>
  <c r="BO235" i="19"/>
  <c r="N235" i="19"/>
  <c r="M235" i="19"/>
  <c r="B235" i="19"/>
  <c r="BS234" i="19"/>
  <c r="BR234" i="19"/>
  <c r="BQ234" i="19"/>
  <c r="AX234" i="19"/>
  <c r="M234" i="14" s="1"/>
  <c r="AV234" i="19"/>
  <c r="AN234" i="19"/>
  <c r="AL234" i="19"/>
  <c r="U234" i="19"/>
  <c r="T234" i="19"/>
  <c r="BK234" i="19"/>
  <c r="N234" i="19"/>
  <c r="M234" i="19"/>
  <c r="B234" i="19"/>
  <c r="BS233" i="19"/>
  <c r="BR233" i="19"/>
  <c r="BQ233" i="19"/>
  <c r="BK233" i="19"/>
  <c r="AX233" i="19"/>
  <c r="M233" i="14" s="1"/>
  <c r="AV233" i="19"/>
  <c r="AN233" i="19"/>
  <c r="E233" i="14" s="1"/>
  <c r="AL233" i="19"/>
  <c r="U233" i="19"/>
  <c r="T233" i="19"/>
  <c r="BO233" i="19"/>
  <c r="N233" i="19"/>
  <c r="M233" i="19"/>
  <c r="B233" i="19"/>
  <c r="BS232" i="19"/>
  <c r="BR232" i="19"/>
  <c r="BQ232" i="19"/>
  <c r="AX232" i="19"/>
  <c r="M232" i="14" s="1"/>
  <c r="AV232" i="19"/>
  <c r="AN232" i="19"/>
  <c r="E232" i="14" s="1"/>
  <c r="AL232" i="19"/>
  <c r="U232" i="19"/>
  <c r="T232" i="19"/>
  <c r="BK232" i="19"/>
  <c r="N232" i="19"/>
  <c r="M232" i="19"/>
  <c r="B232" i="19"/>
  <c r="BX231" i="19"/>
  <c r="BW231" i="19"/>
  <c r="BV231" i="19"/>
  <c r="BS231" i="19"/>
  <c r="BR231" i="19"/>
  <c r="BQ231" i="19"/>
  <c r="AX231" i="19"/>
  <c r="M231" i="14" s="1"/>
  <c r="AV231" i="19"/>
  <c r="AN231" i="19"/>
  <c r="E231" i="14" s="1"/>
  <c r="AL231" i="19"/>
  <c r="U231" i="19"/>
  <c r="T231" i="19"/>
  <c r="BO231" i="19"/>
  <c r="N231" i="19"/>
  <c r="M231" i="19"/>
  <c r="B231" i="19"/>
  <c r="BX230" i="19"/>
  <c r="BW230" i="19"/>
  <c r="BV230" i="19"/>
  <c r="BS230" i="19"/>
  <c r="BR230" i="19"/>
  <c r="BQ230" i="19"/>
  <c r="AX230" i="19"/>
  <c r="M230" i="14" s="1"/>
  <c r="AV230" i="19"/>
  <c r="AN230" i="19"/>
  <c r="E230" i="14" s="1"/>
  <c r="AL230" i="19"/>
  <c r="U230" i="19"/>
  <c r="T230" i="19"/>
  <c r="N230" i="19"/>
  <c r="M230" i="19"/>
  <c r="B230" i="19"/>
  <c r="BS229" i="19"/>
  <c r="BR229" i="19"/>
  <c r="BQ229" i="19"/>
  <c r="AX229" i="19"/>
  <c r="M229" i="14" s="1"/>
  <c r="AV229" i="19"/>
  <c r="AN229" i="19"/>
  <c r="AL229" i="19"/>
  <c r="U229" i="19"/>
  <c r="T229" i="19"/>
  <c r="BO229" i="19"/>
  <c r="N229" i="19"/>
  <c r="M229" i="19"/>
  <c r="B229" i="19"/>
  <c r="BR228" i="19"/>
  <c r="BQ228" i="19"/>
  <c r="AX228" i="19"/>
  <c r="M228" i="14" s="1"/>
  <c r="AV228" i="19"/>
  <c r="AN228" i="19"/>
  <c r="E228" i="14" s="1"/>
  <c r="AL228" i="19"/>
  <c r="U228" i="19"/>
  <c r="T228" i="19"/>
  <c r="BK228" i="19"/>
  <c r="N228" i="19"/>
  <c r="M228" i="19"/>
  <c r="B228" i="19"/>
  <c r="BS227" i="19"/>
  <c r="BR227" i="19"/>
  <c r="BQ227" i="19"/>
  <c r="AX227" i="19"/>
  <c r="M227" i="14" s="1"/>
  <c r="AV227" i="19"/>
  <c r="AN227" i="19"/>
  <c r="E227" i="14" s="1"/>
  <c r="AL227" i="19"/>
  <c r="U227" i="19"/>
  <c r="T227" i="19"/>
  <c r="BK227" i="19"/>
  <c r="N227" i="19"/>
  <c r="M227" i="19"/>
  <c r="B227" i="19"/>
  <c r="BS226" i="19"/>
  <c r="BR226" i="19"/>
  <c r="BQ226" i="19"/>
  <c r="AX226" i="19"/>
  <c r="M226" i="14" s="1"/>
  <c r="AV226" i="19"/>
  <c r="AN226" i="19"/>
  <c r="AL226" i="19"/>
  <c r="U226" i="19"/>
  <c r="T226" i="19"/>
  <c r="BO226" i="19"/>
  <c r="N226" i="19"/>
  <c r="M226" i="19"/>
  <c r="B226" i="19"/>
  <c r="BS225" i="19"/>
  <c r="BR225" i="19"/>
  <c r="BQ225" i="19"/>
  <c r="AX225" i="19"/>
  <c r="M225" i="14" s="1"/>
  <c r="AV225" i="19"/>
  <c r="AN225" i="19"/>
  <c r="E225" i="14" s="1"/>
  <c r="AL225" i="19"/>
  <c r="U225" i="19"/>
  <c r="T225" i="19"/>
  <c r="BO225" i="19"/>
  <c r="N225" i="19"/>
  <c r="M225" i="19"/>
  <c r="B225" i="19"/>
  <c r="BS224" i="19"/>
  <c r="BR224" i="19"/>
  <c r="BQ224" i="19"/>
  <c r="AX224" i="19"/>
  <c r="M224" i="14" s="1"/>
  <c r="AV224" i="19"/>
  <c r="AN224" i="19"/>
  <c r="AL224" i="19"/>
  <c r="U224" i="19"/>
  <c r="T224" i="19"/>
  <c r="BK224" i="19"/>
  <c r="N224" i="19"/>
  <c r="M224" i="19"/>
  <c r="B224" i="19"/>
  <c r="BS223" i="19"/>
  <c r="BR223" i="19"/>
  <c r="BQ223" i="19"/>
  <c r="AX223" i="19"/>
  <c r="M223" i="14" s="1"/>
  <c r="AV223" i="19"/>
  <c r="AN223" i="19"/>
  <c r="AL223" i="19"/>
  <c r="U223" i="19"/>
  <c r="T223" i="19"/>
  <c r="BK223" i="19"/>
  <c r="N223" i="19"/>
  <c r="M223" i="19"/>
  <c r="B223" i="19"/>
  <c r="BS222" i="19"/>
  <c r="BR222" i="19"/>
  <c r="BQ222" i="19"/>
  <c r="AX222" i="19"/>
  <c r="M222" i="14" s="1"/>
  <c r="AV222" i="19"/>
  <c r="AN222" i="19"/>
  <c r="E222" i="14" s="1"/>
  <c r="AL222" i="19"/>
  <c r="U222" i="19"/>
  <c r="T222" i="19"/>
  <c r="N222" i="19"/>
  <c r="M222" i="19"/>
  <c r="B222" i="19"/>
  <c r="BS221" i="19"/>
  <c r="BR221" i="19"/>
  <c r="BQ221" i="19"/>
  <c r="AX221" i="19"/>
  <c r="M221" i="14" s="1"/>
  <c r="AV221" i="19"/>
  <c r="AN221" i="19"/>
  <c r="E221" i="14" s="1"/>
  <c r="AL221" i="19"/>
  <c r="U221" i="19"/>
  <c r="T221" i="19"/>
  <c r="BK221" i="19"/>
  <c r="N221" i="19"/>
  <c r="M221" i="19"/>
  <c r="B221" i="19"/>
  <c r="BS220" i="19"/>
  <c r="BR220" i="19"/>
  <c r="BQ220" i="19"/>
  <c r="AX220" i="19"/>
  <c r="M220" i="14" s="1"/>
  <c r="AV220" i="19"/>
  <c r="AN220" i="19"/>
  <c r="E220" i="14" s="1"/>
  <c r="AL220" i="19"/>
  <c r="U220" i="19"/>
  <c r="T220" i="19"/>
  <c r="BK220" i="19"/>
  <c r="N220" i="19"/>
  <c r="M220" i="19"/>
  <c r="B220" i="19"/>
  <c r="BS219" i="19"/>
  <c r="BR219" i="19"/>
  <c r="BQ219" i="19"/>
  <c r="AX219" i="19"/>
  <c r="M219" i="14" s="1"/>
  <c r="AV219" i="19"/>
  <c r="AN219" i="19"/>
  <c r="AL219" i="19"/>
  <c r="U219" i="19"/>
  <c r="T219" i="19"/>
  <c r="BK219" i="19"/>
  <c r="N219" i="19"/>
  <c r="M219" i="19"/>
  <c r="B219" i="19"/>
  <c r="BS218" i="19"/>
  <c r="BR218" i="19"/>
  <c r="BQ218" i="19"/>
  <c r="AX218" i="19"/>
  <c r="M218" i="14" s="1"/>
  <c r="AV218" i="19"/>
  <c r="AN218" i="19"/>
  <c r="E218" i="14" s="1"/>
  <c r="AL218" i="19"/>
  <c r="U218" i="19"/>
  <c r="T218" i="19"/>
  <c r="BO218" i="19"/>
  <c r="N218" i="19"/>
  <c r="M218" i="19"/>
  <c r="B218" i="19"/>
  <c r="BS217" i="19"/>
  <c r="BR217" i="19"/>
  <c r="BQ217" i="19"/>
  <c r="AX217" i="19"/>
  <c r="M217" i="14" s="1"/>
  <c r="AV217" i="19"/>
  <c r="AN217" i="19"/>
  <c r="E217" i="14" s="1"/>
  <c r="AL217" i="19"/>
  <c r="U217" i="19"/>
  <c r="T217" i="19"/>
  <c r="BO217" i="19"/>
  <c r="N217" i="19"/>
  <c r="M217" i="19"/>
  <c r="B217" i="19"/>
  <c r="BS216" i="19"/>
  <c r="BR216" i="19"/>
  <c r="BQ216" i="19"/>
  <c r="BK216" i="19"/>
  <c r="AX216" i="19"/>
  <c r="M216" i="14" s="1"/>
  <c r="AV216" i="19"/>
  <c r="AN216" i="19"/>
  <c r="AL216" i="19"/>
  <c r="U216" i="19"/>
  <c r="T216" i="19"/>
  <c r="BO216" i="19"/>
  <c r="N216" i="19"/>
  <c r="M216" i="19"/>
  <c r="B216" i="19"/>
  <c r="BS215" i="19"/>
  <c r="BR215" i="19"/>
  <c r="BQ215" i="19"/>
  <c r="AX215" i="19"/>
  <c r="M215" i="14" s="1"/>
  <c r="AV215" i="19"/>
  <c r="AN215" i="19"/>
  <c r="AL215" i="19"/>
  <c r="U215" i="19"/>
  <c r="T215" i="19"/>
  <c r="BK215" i="19"/>
  <c r="N215" i="19"/>
  <c r="M215" i="19"/>
  <c r="B215" i="19"/>
  <c r="BS214" i="19"/>
  <c r="BR214" i="19"/>
  <c r="BQ214" i="19"/>
  <c r="AX214" i="19"/>
  <c r="M214" i="14" s="1"/>
  <c r="AV214" i="19"/>
  <c r="AN214" i="19"/>
  <c r="E214" i="14" s="1"/>
  <c r="AL214" i="19"/>
  <c r="U214" i="19"/>
  <c r="T214" i="19"/>
  <c r="BO214" i="19"/>
  <c r="N214" i="19"/>
  <c r="M214" i="19"/>
  <c r="B214" i="19"/>
  <c r="BX213" i="19"/>
  <c r="BS213" i="19"/>
  <c r="BR213" i="19"/>
  <c r="BQ213" i="19"/>
  <c r="AX213" i="19"/>
  <c r="M213" i="14" s="1"/>
  <c r="AV213" i="19"/>
  <c r="AN213" i="19"/>
  <c r="E213" i="14" s="1"/>
  <c r="AL213" i="19"/>
  <c r="U213" i="19"/>
  <c r="T213" i="19"/>
  <c r="BO213" i="19"/>
  <c r="N213" i="19"/>
  <c r="M213" i="19"/>
  <c r="B213" i="19"/>
  <c r="BX212" i="19"/>
  <c r="BS212" i="19"/>
  <c r="BR212" i="19"/>
  <c r="BQ212" i="19"/>
  <c r="AX212" i="19"/>
  <c r="M212" i="14" s="1"/>
  <c r="AV212" i="19"/>
  <c r="AN212" i="19"/>
  <c r="AL212" i="19"/>
  <c r="U212" i="19"/>
  <c r="T212" i="19"/>
  <c r="BO212" i="19"/>
  <c r="N212" i="19"/>
  <c r="M212" i="19"/>
  <c r="B212" i="19"/>
  <c r="BX211" i="19"/>
  <c r="BS211" i="19"/>
  <c r="BR211" i="19"/>
  <c r="BQ211" i="19"/>
  <c r="AX211" i="19"/>
  <c r="M211" i="14" s="1"/>
  <c r="AV211" i="19"/>
  <c r="AN211" i="19"/>
  <c r="AL211" i="19"/>
  <c r="U211" i="19"/>
  <c r="T211" i="19"/>
  <c r="BK211" i="19"/>
  <c r="N211" i="19"/>
  <c r="M211" i="19"/>
  <c r="B211" i="19"/>
  <c r="BX210" i="19"/>
  <c r="BS210" i="19"/>
  <c r="BR210" i="19"/>
  <c r="BQ210" i="19"/>
  <c r="AX210" i="19"/>
  <c r="M210" i="14" s="1"/>
  <c r="AV210" i="19"/>
  <c r="AN210" i="19"/>
  <c r="E210" i="14" s="1"/>
  <c r="AL210" i="19"/>
  <c r="U210" i="19"/>
  <c r="T210" i="19"/>
  <c r="BO210" i="19"/>
  <c r="N210" i="19"/>
  <c r="M210" i="19"/>
  <c r="B210" i="19"/>
  <c r="BS209" i="19"/>
  <c r="BR209" i="19"/>
  <c r="BQ209" i="19"/>
  <c r="BK209" i="19"/>
  <c r="AX209" i="19"/>
  <c r="M209" i="14" s="1"/>
  <c r="AV209" i="19"/>
  <c r="AN209" i="19"/>
  <c r="AL209" i="19"/>
  <c r="U209" i="19"/>
  <c r="T209" i="19"/>
  <c r="BO209" i="19"/>
  <c r="N209" i="19"/>
  <c r="M209" i="19"/>
  <c r="B209" i="19"/>
  <c r="BS208" i="19"/>
  <c r="BR208" i="19"/>
  <c r="BQ208" i="19"/>
  <c r="AX208" i="19"/>
  <c r="M208" i="14" s="1"/>
  <c r="AV208" i="19"/>
  <c r="AN208" i="19"/>
  <c r="AL208" i="19"/>
  <c r="U208" i="19"/>
  <c r="T208" i="19"/>
  <c r="N208" i="19"/>
  <c r="M208" i="19"/>
  <c r="B208" i="19"/>
  <c r="BS207" i="19"/>
  <c r="BR207" i="19"/>
  <c r="BQ207" i="19"/>
  <c r="AX207" i="19"/>
  <c r="M207" i="14" s="1"/>
  <c r="AV207" i="19"/>
  <c r="AN207" i="19"/>
  <c r="E207" i="14" s="1"/>
  <c r="AL207" i="19"/>
  <c r="U207" i="19"/>
  <c r="T207" i="19"/>
  <c r="BK207" i="19"/>
  <c r="N207" i="19"/>
  <c r="M207" i="19"/>
  <c r="B207" i="19"/>
  <c r="BS206" i="19"/>
  <c r="BR206" i="19"/>
  <c r="BQ206" i="19"/>
  <c r="AX206" i="19"/>
  <c r="M206" i="14" s="1"/>
  <c r="AV206" i="19"/>
  <c r="AN206" i="19"/>
  <c r="E206" i="14" s="1"/>
  <c r="AL206" i="19"/>
  <c r="U206" i="19"/>
  <c r="T206" i="19"/>
  <c r="BK206" i="19"/>
  <c r="N206" i="19"/>
  <c r="M206" i="19"/>
  <c r="B206" i="19"/>
  <c r="BS205" i="19"/>
  <c r="BR205" i="19"/>
  <c r="BQ205" i="19"/>
  <c r="AX205" i="19"/>
  <c r="M205" i="14" s="1"/>
  <c r="AV205" i="19"/>
  <c r="AN205" i="19"/>
  <c r="AL205" i="19"/>
  <c r="U205" i="19"/>
  <c r="T205" i="19"/>
  <c r="N205" i="19"/>
  <c r="M205" i="19"/>
  <c r="B205" i="19"/>
  <c r="BS204" i="19"/>
  <c r="BR204" i="19"/>
  <c r="BQ204" i="19"/>
  <c r="AX204" i="19"/>
  <c r="M204" i="14" s="1"/>
  <c r="AV204" i="19"/>
  <c r="AN204" i="19"/>
  <c r="E204" i="14" s="1"/>
  <c r="AL204" i="19"/>
  <c r="U204" i="19"/>
  <c r="T204" i="19"/>
  <c r="N204" i="19"/>
  <c r="M204" i="19"/>
  <c r="B204" i="19"/>
  <c r="BS203" i="19"/>
  <c r="BR203" i="19"/>
  <c r="BQ203" i="19"/>
  <c r="AX203" i="19"/>
  <c r="M203" i="14" s="1"/>
  <c r="AV203" i="19"/>
  <c r="AN203" i="19"/>
  <c r="E203" i="14" s="1"/>
  <c r="AL203" i="19"/>
  <c r="U203" i="19"/>
  <c r="T203" i="19"/>
  <c r="BO203" i="19"/>
  <c r="N203" i="19"/>
  <c r="M203" i="19"/>
  <c r="B203" i="19"/>
  <c r="BS202" i="19"/>
  <c r="BR202" i="19"/>
  <c r="BQ202" i="19"/>
  <c r="AX202" i="19"/>
  <c r="M202" i="14" s="1"/>
  <c r="AV202" i="19"/>
  <c r="AN202" i="19"/>
  <c r="E202" i="14" s="1"/>
  <c r="AL202" i="19"/>
  <c r="U202" i="19"/>
  <c r="T202" i="19"/>
  <c r="BO202" i="19"/>
  <c r="N202" i="19"/>
  <c r="M202" i="19"/>
  <c r="B202" i="19"/>
  <c r="BS201" i="19"/>
  <c r="BR201" i="19"/>
  <c r="BQ201" i="19"/>
  <c r="AX201" i="19"/>
  <c r="M201" i="14" s="1"/>
  <c r="AV201" i="19"/>
  <c r="AN201" i="19"/>
  <c r="AL201" i="19"/>
  <c r="U201" i="19"/>
  <c r="T201" i="19"/>
  <c r="BO201" i="19"/>
  <c r="N201" i="19"/>
  <c r="M201" i="19"/>
  <c r="B201" i="19"/>
  <c r="BS200" i="19"/>
  <c r="BR200" i="19"/>
  <c r="BQ200" i="19"/>
  <c r="AX200" i="19"/>
  <c r="M200" i="14" s="1"/>
  <c r="AV200" i="19"/>
  <c r="AN200" i="19"/>
  <c r="AL200" i="19"/>
  <c r="U200" i="19"/>
  <c r="T200" i="19"/>
  <c r="N200" i="19"/>
  <c r="M200" i="19"/>
  <c r="B200" i="19"/>
  <c r="BS199" i="19"/>
  <c r="BR199" i="19"/>
  <c r="BQ199" i="19"/>
  <c r="AX199" i="19"/>
  <c r="M199" i="14" s="1"/>
  <c r="AV199" i="19"/>
  <c r="AN199" i="19"/>
  <c r="E199" i="14" s="1"/>
  <c r="AL199" i="19"/>
  <c r="U199" i="19"/>
  <c r="T199" i="19"/>
  <c r="BO199" i="19"/>
  <c r="N199" i="19"/>
  <c r="M199" i="19"/>
  <c r="B199" i="19"/>
  <c r="BX198" i="19"/>
  <c r="BW198" i="19"/>
  <c r="BV198" i="19"/>
  <c r="BS198" i="19"/>
  <c r="BR198" i="19"/>
  <c r="BQ198" i="19"/>
  <c r="AX198" i="19"/>
  <c r="M198" i="14" s="1"/>
  <c r="AV198" i="19"/>
  <c r="AN198" i="19"/>
  <c r="AL198" i="19"/>
  <c r="U198" i="19"/>
  <c r="T198" i="19"/>
  <c r="BO198" i="19"/>
  <c r="N198" i="19"/>
  <c r="M198" i="19"/>
  <c r="B198" i="19"/>
  <c r="BX197" i="19"/>
  <c r="BW197" i="19"/>
  <c r="BV197" i="19"/>
  <c r="BS197" i="19"/>
  <c r="BR197" i="19"/>
  <c r="BQ197" i="19"/>
  <c r="AX197" i="19"/>
  <c r="M197" i="14" s="1"/>
  <c r="AV197" i="19"/>
  <c r="AN197" i="19"/>
  <c r="E197" i="14" s="1"/>
  <c r="AL197" i="19"/>
  <c r="U197" i="19"/>
  <c r="T197" i="19"/>
  <c r="BO197" i="19"/>
  <c r="N197" i="19"/>
  <c r="M197" i="19"/>
  <c r="B197" i="19"/>
  <c r="BS196" i="19"/>
  <c r="BR196" i="19"/>
  <c r="BQ196" i="19"/>
  <c r="AX196" i="19"/>
  <c r="M196" i="14" s="1"/>
  <c r="AV196" i="19"/>
  <c r="AN196" i="19"/>
  <c r="E196" i="14" s="1"/>
  <c r="AL196" i="19"/>
  <c r="U196" i="19"/>
  <c r="T196" i="19"/>
  <c r="BO196" i="19"/>
  <c r="N196" i="19"/>
  <c r="M196" i="19"/>
  <c r="B196" i="19"/>
  <c r="BS195" i="19"/>
  <c r="BR195" i="19"/>
  <c r="BQ195" i="19"/>
  <c r="AX195" i="19"/>
  <c r="M195" i="14" s="1"/>
  <c r="AV195" i="19"/>
  <c r="AN195" i="19"/>
  <c r="AL195" i="19"/>
  <c r="U195" i="19"/>
  <c r="T195" i="19"/>
  <c r="BO195" i="19"/>
  <c r="N195" i="19"/>
  <c r="M195" i="19"/>
  <c r="B195" i="19"/>
  <c r="BS194" i="19"/>
  <c r="BR194" i="19"/>
  <c r="BQ194" i="19"/>
  <c r="AX194" i="19"/>
  <c r="M194" i="14" s="1"/>
  <c r="AV194" i="19"/>
  <c r="AN194" i="19"/>
  <c r="E194" i="14" s="1"/>
  <c r="AL194" i="19"/>
  <c r="U194" i="19"/>
  <c r="T194" i="19"/>
  <c r="N194" i="19"/>
  <c r="M194" i="19"/>
  <c r="B194" i="19"/>
  <c r="BS193" i="19"/>
  <c r="BR193" i="19"/>
  <c r="BQ193" i="19"/>
  <c r="AX193" i="19"/>
  <c r="M193" i="14" s="1"/>
  <c r="AV193" i="19"/>
  <c r="AN193" i="19"/>
  <c r="E193" i="14" s="1"/>
  <c r="AL193" i="19"/>
  <c r="U193" i="19"/>
  <c r="T193" i="19"/>
  <c r="BK193" i="19"/>
  <c r="N193" i="19"/>
  <c r="M193" i="19"/>
  <c r="B193" i="19"/>
  <c r="BS192" i="19"/>
  <c r="BR192" i="19"/>
  <c r="BQ192" i="19"/>
  <c r="AX192" i="19"/>
  <c r="M192" i="14" s="1"/>
  <c r="AV192" i="19"/>
  <c r="AN192" i="19"/>
  <c r="E192" i="14" s="1"/>
  <c r="AL192" i="19"/>
  <c r="U192" i="19"/>
  <c r="T192" i="19"/>
  <c r="N192" i="19"/>
  <c r="M192" i="19"/>
  <c r="B192" i="19"/>
  <c r="BS191" i="19"/>
  <c r="BR191" i="19"/>
  <c r="BQ191" i="19"/>
  <c r="AX191" i="19"/>
  <c r="M191" i="14" s="1"/>
  <c r="AV191" i="19"/>
  <c r="AN191" i="19"/>
  <c r="E191" i="14" s="1"/>
  <c r="AL191" i="19"/>
  <c r="U191" i="19"/>
  <c r="T191" i="19"/>
  <c r="BO191" i="19"/>
  <c r="N191" i="19"/>
  <c r="M191" i="19"/>
  <c r="B191" i="19"/>
  <c r="BS190" i="19"/>
  <c r="BR190" i="19"/>
  <c r="BQ190" i="19"/>
  <c r="AX190" i="19"/>
  <c r="M190" i="14" s="1"/>
  <c r="AV190" i="19"/>
  <c r="AN190" i="19"/>
  <c r="AL190" i="19"/>
  <c r="U190" i="19"/>
  <c r="T190" i="19"/>
  <c r="N190" i="19"/>
  <c r="M190" i="19"/>
  <c r="B190" i="19"/>
  <c r="BS189" i="19"/>
  <c r="BR189" i="19"/>
  <c r="BQ189" i="19"/>
  <c r="AX189" i="19"/>
  <c r="M189" i="14" s="1"/>
  <c r="AV189" i="19"/>
  <c r="AN189" i="19"/>
  <c r="E189" i="14" s="1"/>
  <c r="AL189" i="19"/>
  <c r="U189" i="19"/>
  <c r="T189" i="19"/>
  <c r="BK189" i="19"/>
  <c r="N189" i="19"/>
  <c r="M189" i="19"/>
  <c r="B189" i="19"/>
  <c r="BS188" i="19"/>
  <c r="BR188" i="19"/>
  <c r="BQ188" i="19"/>
  <c r="AX188" i="19"/>
  <c r="M188" i="14" s="1"/>
  <c r="AV188" i="19"/>
  <c r="AN188" i="19"/>
  <c r="AL188" i="19"/>
  <c r="U188" i="19"/>
  <c r="T188" i="19"/>
  <c r="N188" i="19"/>
  <c r="M188" i="19"/>
  <c r="B188" i="19"/>
  <c r="BS187" i="19"/>
  <c r="BR187" i="19"/>
  <c r="BQ187" i="19"/>
  <c r="AX187" i="19"/>
  <c r="M187" i="14" s="1"/>
  <c r="AV187" i="19"/>
  <c r="AN187" i="19"/>
  <c r="E187" i="14" s="1"/>
  <c r="AL187" i="19"/>
  <c r="U187" i="19"/>
  <c r="T187" i="19"/>
  <c r="BO187" i="19"/>
  <c r="N187" i="19"/>
  <c r="M187" i="19"/>
  <c r="B187" i="19"/>
  <c r="BS186" i="19"/>
  <c r="BR186" i="19"/>
  <c r="BQ186" i="19"/>
  <c r="AX186" i="19"/>
  <c r="M186" i="14" s="1"/>
  <c r="AV186" i="19"/>
  <c r="AN186" i="19"/>
  <c r="AL186" i="19"/>
  <c r="U186" i="19"/>
  <c r="T186" i="19"/>
  <c r="BO186" i="19"/>
  <c r="N186" i="19"/>
  <c r="M186" i="19"/>
  <c r="B186" i="19"/>
  <c r="BS185" i="19"/>
  <c r="BR185" i="19"/>
  <c r="BQ185" i="19"/>
  <c r="AX185" i="19"/>
  <c r="M185" i="14" s="1"/>
  <c r="AV185" i="19"/>
  <c r="AN185" i="19"/>
  <c r="AL185" i="19"/>
  <c r="U185" i="19"/>
  <c r="T185" i="19"/>
  <c r="N185" i="19"/>
  <c r="M185" i="19"/>
  <c r="B185" i="19"/>
  <c r="BS184" i="19"/>
  <c r="BR184" i="19"/>
  <c r="BQ184" i="19"/>
  <c r="AX184" i="19"/>
  <c r="M184" i="14" s="1"/>
  <c r="AV184" i="19"/>
  <c r="AN184" i="19"/>
  <c r="AL184" i="19"/>
  <c r="U184" i="19"/>
  <c r="T184" i="19"/>
  <c r="BK184" i="19"/>
  <c r="N184" i="19"/>
  <c r="M184" i="19"/>
  <c r="B184" i="19"/>
  <c r="BR183" i="19"/>
  <c r="BQ183" i="19"/>
  <c r="AX183" i="19"/>
  <c r="M183" i="14" s="1"/>
  <c r="AV183" i="19"/>
  <c r="AN183" i="19"/>
  <c r="AL183" i="19"/>
  <c r="U183" i="19"/>
  <c r="T183" i="19"/>
  <c r="BO183" i="19"/>
  <c r="N183" i="19"/>
  <c r="M183" i="19"/>
  <c r="B183" i="19"/>
  <c r="BS182" i="19"/>
  <c r="BR182" i="19"/>
  <c r="BQ182" i="19"/>
  <c r="AX182" i="19"/>
  <c r="M182" i="14" s="1"/>
  <c r="AV182" i="19"/>
  <c r="AN182" i="19"/>
  <c r="AL182" i="19"/>
  <c r="U182" i="19"/>
  <c r="T182" i="19"/>
  <c r="BK182" i="19"/>
  <c r="N182" i="19"/>
  <c r="M182" i="19"/>
  <c r="B182" i="19"/>
  <c r="BS181" i="19"/>
  <c r="BR181" i="19"/>
  <c r="BQ181" i="19"/>
  <c r="AX181" i="19"/>
  <c r="M181" i="14" s="1"/>
  <c r="AV181" i="19"/>
  <c r="AN181" i="19"/>
  <c r="E181" i="14" s="1"/>
  <c r="AL181" i="19"/>
  <c r="U181" i="19"/>
  <c r="T181" i="19"/>
  <c r="BK181" i="19"/>
  <c r="N181" i="19"/>
  <c r="M181" i="19"/>
  <c r="B181" i="19"/>
  <c r="BS180" i="19"/>
  <c r="BR180" i="19"/>
  <c r="BQ180" i="19"/>
  <c r="AX180" i="19"/>
  <c r="M180" i="14" s="1"/>
  <c r="AV180" i="19"/>
  <c r="AN180" i="19"/>
  <c r="AL180" i="19"/>
  <c r="U180" i="19"/>
  <c r="T180" i="19"/>
  <c r="BK180" i="19"/>
  <c r="N180" i="19"/>
  <c r="M180" i="19"/>
  <c r="B180" i="19"/>
  <c r="BS179" i="19"/>
  <c r="BR179" i="19"/>
  <c r="BQ179" i="19"/>
  <c r="AX179" i="19"/>
  <c r="M179" i="14" s="1"/>
  <c r="AV179" i="19"/>
  <c r="AN179" i="19"/>
  <c r="E179" i="14" s="1"/>
  <c r="AL179" i="19"/>
  <c r="U179" i="19"/>
  <c r="T179" i="19"/>
  <c r="BK179" i="19"/>
  <c r="N179" i="19"/>
  <c r="M179" i="19"/>
  <c r="B179" i="19"/>
  <c r="BS178" i="19"/>
  <c r="BR178" i="19"/>
  <c r="BQ178" i="19"/>
  <c r="AX178" i="19"/>
  <c r="M178" i="14" s="1"/>
  <c r="AV178" i="19"/>
  <c r="AN178" i="19"/>
  <c r="E178" i="14" s="1"/>
  <c r="AL178" i="19"/>
  <c r="U178" i="19"/>
  <c r="T178" i="19"/>
  <c r="BO178" i="19"/>
  <c r="N178" i="19"/>
  <c r="M178" i="19"/>
  <c r="B178" i="19"/>
  <c r="BS177" i="19"/>
  <c r="BR177" i="19"/>
  <c r="AX177" i="19"/>
  <c r="M177" i="14" s="1"/>
  <c r="AV177" i="19"/>
  <c r="AN177" i="19"/>
  <c r="E177" i="14" s="1"/>
  <c r="AL177" i="19"/>
  <c r="U177" i="19"/>
  <c r="T177" i="19"/>
  <c r="BO177" i="19"/>
  <c r="N177" i="19"/>
  <c r="M177" i="19"/>
  <c r="B177" i="19"/>
  <c r="BS176" i="19"/>
  <c r="BR176" i="19"/>
  <c r="AX176" i="19"/>
  <c r="M176" i="14" s="1"/>
  <c r="AV176" i="19"/>
  <c r="AN176" i="19"/>
  <c r="AL176" i="19"/>
  <c r="U176" i="19"/>
  <c r="T176" i="19"/>
  <c r="BK176" i="19"/>
  <c r="N176" i="19"/>
  <c r="M176" i="19"/>
  <c r="B176" i="19"/>
  <c r="BS175" i="19"/>
  <c r="BR175" i="19"/>
  <c r="AX175" i="19"/>
  <c r="M175" i="14" s="1"/>
  <c r="AV175" i="19"/>
  <c r="AN175" i="19"/>
  <c r="E175" i="14" s="1"/>
  <c r="AL175" i="19"/>
  <c r="U175" i="19"/>
  <c r="T175" i="19"/>
  <c r="BO175" i="19"/>
  <c r="N175" i="19"/>
  <c r="M175" i="19"/>
  <c r="B175" i="19"/>
  <c r="BS174" i="19"/>
  <c r="BR174" i="19"/>
  <c r="AX174" i="19"/>
  <c r="M174" i="14" s="1"/>
  <c r="AV174" i="19"/>
  <c r="AN174" i="19"/>
  <c r="AL174" i="19"/>
  <c r="U174" i="19"/>
  <c r="T174" i="19"/>
  <c r="N174" i="19"/>
  <c r="M174" i="19"/>
  <c r="B174" i="19"/>
  <c r="BS173" i="19"/>
  <c r="BR173" i="19"/>
  <c r="AX173" i="19"/>
  <c r="M173" i="14" s="1"/>
  <c r="AV173" i="19"/>
  <c r="AN173" i="19"/>
  <c r="AL173" i="19"/>
  <c r="U173" i="19"/>
  <c r="T173" i="19"/>
  <c r="BO173" i="19"/>
  <c r="N173" i="19"/>
  <c r="M173" i="19"/>
  <c r="B173" i="19"/>
  <c r="BS172" i="19"/>
  <c r="BR172" i="19"/>
  <c r="BQ172" i="19"/>
  <c r="AX172" i="19"/>
  <c r="M172" i="14" s="1"/>
  <c r="AV172" i="19"/>
  <c r="AN172" i="19"/>
  <c r="AL172" i="19"/>
  <c r="U172" i="19"/>
  <c r="T172" i="19"/>
  <c r="BO172" i="19"/>
  <c r="N172" i="19"/>
  <c r="M172" i="19"/>
  <c r="B172" i="19"/>
  <c r="BS171" i="19"/>
  <c r="BR171" i="19"/>
  <c r="BQ171" i="19"/>
  <c r="AX171" i="19"/>
  <c r="M171" i="14" s="1"/>
  <c r="AV171" i="19"/>
  <c r="AN171" i="19"/>
  <c r="AL171" i="19"/>
  <c r="U171" i="19"/>
  <c r="T171" i="19"/>
  <c r="BK171" i="19"/>
  <c r="N171" i="19"/>
  <c r="M171" i="19"/>
  <c r="B171" i="19"/>
  <c r="BS170" i="19"/>
  <c r="BR170" i="19"/>
  <c r="AX170" i="19"/>
  <c r="M170" i="14" s="1"/>
  <c r="AV170" i="19"/>
  <c r="AN170" i="19"/>
  <c r="AL170" i="19"/>
  <c r="U170" i="19"/>
  <c r="T170" i="19"/>
  <c r="BK170" i="19"/>
  <c r="N170" i="19"/>
  <c r="M170" i="19"/>
  <c r="B170" i="19"/>
  <c r="BS169" i="19"/>
  <c r="BR169" i="19"/>
  <c r="AX169" i="19"/>
  <c r="M169" i="14" s="1"/>
  <c r="AV169" i="19"/>
  <c r="AN169" i="19"/>
  <c r="E169" i="14" s="1"/>
  <c r="AL169" i="19"/>
  <c r="U169" i="19"/>
  <c r="T169" i="19"/>
  <c r="N169" i="19"/>
  <c r="M169" i="19"/>
  <c r="B169" i="19"/>
  <c r="BX168" i="19"/>
  <c r="BW168" i="19"/>
  <c r="BV168" i="19"/>
  <c r="BS168" i="19"/>
  <c r="BR168" i="19"/>
  <c r="AX168" i="19"/>
  <c r="M168" i="14" s="1"/>
  <c r="AV168" i="19"/>
  <c r="AN168" i="19"/>
  <c r="AL168" i="19"/>
  <c r="U168" i="19"/>
  <c r="T168" i="19"/>
  <c r="BO168" i="19"/>
  <c r="N168" i="19"/>
  <c r="M168" i="19"/>
  <c r="B168" i="19"/>
  <c r="BS167" i="19"/>
  <c r="BR167" i="19"/>
  <c r="AX167" i="19"/>
  <c r="M167" i="14" s="1"/>
  <c r="AV167" i="19"/>
  <c r="AN167" i="19"/>
  <c r="E167" i="14" s="1"/>
  <c r="AL167" i="19"/>
  <c r="U167" i="19"/>
  <c r="T167" i="19"/>
  <c r="BK167" i="19"/>
  <c r="N167" i="19"/>
  <c r="M167" i="19"/>
  <c r="B167" i="19"/>
  <c r="BS166" i="19"/>
  <c r="BR166" i="19"/>
  <c r="AX166" i="19"/>
  <c r="M166" i="14" s="1"/>
  <c r="AV166" i="19"/>
  <c r="AN166" i="19"/>
  <c r="AL166" i="19"/>
  <c r="U166" i="19"/>
  <c r="T166" i="19"/>
  <c r="BO166" i="19"/>
  <c r="N166" i="19"/>
  <c r="M166" i="19"/>
  <c r="B166" i="19"/>
  <c r="BS165" i="19"/>
  <c r="BR165" i="19"/>
  <c r="AX165" i="19"/>
  <c r="M165" i="14" s="1"/>
  <c r="AV165" i="19"/>
  <c r="AN165" i="19"/>
  <c r="AL165" i="19"/>
  <c r="U165" i="19"/>
  <c r="T165" i="19"/>
  <c r="BO165" i="19"/>
  <c r="N165" i="19"/>
  <c r="M165" i="19"/>
  <c r="B165" i="19"/>
  <c r="BS164" i="19"/>
  <c r="BR164" i="19"/>
  <c r="AX164" i="19"/>
  <c r="M164" i="14" s="1"/>
  <c r="AV164" i="19"/>
  <c r="AN164" i="19"/>
  <c r="AL164" i="19"/>
  <c r="U164" i="19"/>
  <c r="T164" i="19"/>
  <c r="N164" i="19"/>
  <c r="M164" i="19"/>
  <c r="B164" i="19"/>
  <c r="BS163" i="19"/>
  <c r="BR163" i="19"/>
  <c r="AX163" i="19"/>
  <c r="M163" i="14" s="1"/>
  <c r="AV163" i="19"/>
  <c r="AN163" i="19"/>
  <c r="E163" i="14" s="1"/>
  <c r="AL163" i="19"/>
  <c r="U163" i="19"/>
  <c r="T163" i="19"/>
  <c r="BK163" i="19"/>
  <c r="N163" i="19"/>
  <c r="M163" i="19"/>
  <c r="B163" i="19"/>
  <c r="BS162" i="19"/>
  <c r="BR162" i="19"/>
  <c r="AX162" i="19"/>
  <c r="M162" i="14" s="1"/>
  <c r="AV162" i="19"/>
  <c r="AN162" i="19"/>
  <c r="E162" i="14" s="1"/>
  <c r="AL162" i="19"/>
  <c r="U162" i="19"/>
  <c r="T162" i="19"/>
  <c r="BO162" i="19"/>
  <c r="N162" i="19"/>
  <c r="M162" i="19"/>
  <c r="B162" i="19"/>
  <c r="BS161" i="19"/>
  <c r="BR161" i="19"/>
  <c r="AX161" i="19"/>
  <c r="M161" i="14" s="1"/>
  <c r="AV161" i="19"/>
  <c r="AN161" i="19"/>
  <c r="AP161" i="19" s="1"/>
  <c r="AQ161" i="19" s="1"/>
  <c r="CM161" i="19" s="1"/>
  <c r="AL161" i="19"/>
  <c r="U161" i="19"/>
  <c r="T161" i="19"/>
  <c r="BK161" i="19"/>
  <c r="N161" i="19"/>
  <c r="M161" i="19"/>
  <c r="B161" i="19"/>
  <c r="BS160" i="19"/>
  <c r="BR160" i="19"/>
  <c r="AX160" i="19"/>
  <c r="M160" i="14" s="1"/>
  <c r="AV160" i="19"/>
  <c r="AN160" i="19"/>
  <c r="E160" i="14" s="1"/>
  <c r="AL160" i="19"/>
  <c r="U160" i="19"/>
  <c r="T160" i="19"/>
  <c r="BO160" i="19"/>
  <c r="N160" i="19"/>
  <c r="M160" i="19"/>
  <c r="B160" i="19"/>
  <c r="BS159" i="19"/>
  <c r="BR159" i="19"/>
  <c r="AX159" i="19"/>
  <c r="M159" i="14" s="1"/>
  <c r="AV159" i="19"/>
  <c r="AN159" i="19"/>
  <c r="AL159" i="19"/>
  <c r="U159" i="19"/>
  <c r="T159" i="19"/>
  <c r="BK159" i="19"/>
  <c r="N159" i="19"/>
  <c r="M159" i="19"/>
  <c r="B159" i="19"/>
  <c r="BS158" i="19"/>
  <c r="BR158" i="19"/>
  <c r="AX158" i="19"/>
  <c r="M158" i="14" s="1"/>
  <c r="AV158" i="19"/>
  <c r="AN158" i="19"/>
  <c r="E158" i="14" s="1"/>
  <c r="AL158" i="19"/>
  <c r="U158" i="19"/>
  <c r="T158" i="19"/>
  <c r="BO158" i="19"/>
  <c r="N158" i="19"/>
  <c r="M158" i="19"/>
  <c r="B158" i="19"/>
  <c r="BS157" i="19"/>
  <c r="BR157" i="19"/>
  <c r="AX157" i="19"/>
  <c r="M157" i="14" s="1"/>
  <c r="AV157" i="19"/>
  <c r="AN157" i="19"/>
  <c r="AL157" i="19"/>
  <c r="U157" i="19"/>
  <c r="T157" i="19"/>
  <c r="BK157" i="19"/>
  <c r="N157" i="19"/>
  <c r="M157" i="19"/>
  <c r="B157" i="19"/>
  <c r="BS156" i="19"/>
  <c r="BR156" i="19"/>
  <c r="AX156" i="19"/>
  <c r="M156" i="14" s="1"/>
  <c r="AV156" i="19"/>
  <c r="AN156" i="19"/>
  <c r="E156" i="14" s="1"/>
  <c r="AL156" i="19"/>
  <c r="U156" i="19"/>
  <c r="T156" i="19"/>
  <c r="BO156" i="19"/>
  <c r="N156" i="19"/>
  <c r="M156" i="19"/>
  <c r="B156" i="19"/>
  <c r="BS155" i="19"/>
  <c r="BR155" i="19"/>
  <c r="AX155" i="19"/>
  <c r="M155" i="14" s="1"/>
  <c r="AV155" i="19"/>
  <c r="AN155" i="19"/>
  <c r="AL155" i="19"/>
  <c r="U155" i="19"/>
  <c r="T155" i="19"/>
  <c r="BO155" i="19"/>
  <c r="N155" i="19"/>
  <c r="M155" i="19"/>
  <c r="B155" i="19"/>
  <c r="BS154" i="19"/>
  <c r="BR154" i="19"/>
  <c r="BQ154" i="19"/>
  <c r="AX154" i="19"/>
  <c r="M154" i="14" s="1"/>
  <c r="AV154" i="19"/>
  <c r="AN154" i="19"/>
  <c r="E154" i="14" s="1"/>
  <c r="AL154" i="19"/>
  <c r="U154" i="19"/>
  <c r="T154" i="19"/>
  <c r="N154" i="19"/>
  <c r="M154" i="19"/>
  <c r="B154" i="19"/>
  <c r="BS153" i="19"/>
  <c r="BR153" i="19"/>
  <c r="AX153" i="19"/>
  <c r="M153" i="14" s="1"/>
  <c r="AV153" i="19"/>
  <c r="AN153" i="19"/>
  <c r="AL153" i="19"/>
  <c r="U153" i="19"/>
  <c r="T153" i="19"/>
  <c r="BK153" i="19"/>
  <c r="N153" i="19"/>
  <c r="M153" i="19"/>
  <c r="B153" i="19"/>
  <c r="BX152" i="19"/>
  <c r="BW152" i="19"/>
  <c r="BV152" i="19"/>
  <c r="BS152" i="19"/>
  <c r="BR152" i="19"/>
  <c r="AX152" i="19"/>
  <c r="M152" i="14" s="1"/>
  <c r="AV152" i="19"/>
  <c r="AN152" i="19"/>
  <c r="AL152" i="19"/>
  <c r="U152" i="19"/>
  <c r="T152" i="19"/>
  <c r="BO152" i="19"/>
  <c r="N152" i="19"/>
  <c r="M152" i="19"/>
  <c r="B152" i="19"/>
  <c r="BX151" i="19"/>
  <c r="BW151" i="19"/>
  <c r="BV151" i="19"/>
  <c r="BR151" i="19"/>
  <c r="AX151" i="19"/>
  <c r="M151" i="14" s="1"/>
  <c r="AV151" i="19"/>
  <c r="AN151" i="19"/>
  <c r="AL151" i="19"/>
  <c r="U151" i="19"/>
  <c r="T151" i="19"/>
  <c r="N151" i="19"/>
  <c r="M151" i="19"/>
  <c r="B151" i="19"/>
  <c r="BX150" i="19"/>
  <c r="BW150" i="19"/>
  <c r="BV150" i="19"/>
  <c r="BS150" i="19"/>
  <c r="BR150" i="19"/>
  <c r="AX150" i="19"/>
  <c r="M150" i="14" s="1"/>
  <c r="AV150" i="19"/>
  <c r="AN150" i="19"/>
  <c r="AL150" i="19"/>
  <c r="U150" i="19"/>
  <c r="T150" i="19"/>
  <c r="BO150" i="19"/>
  <c r="N150" i="19"/>
  <c r="M150" i="19"/>
  <c r="B150" i="19"/>
  <c r="BX149" i="19"/>
  <c r="BW149" i="19"/>
  <c r="BV149" i="19"/>
  <c r="BS149" i="19"/>
  <c r="BR149" i="19"/>
  <c r="AX149" i="19"/>
  <c r="M149" i="14" s="1"/>
  <c r="AV149" i="19"/>
  <c r="AN149" i="19"/>
  <c r="E149" i="14" s="1"/>
  <c r="AL149" i="19"/>
  <c r="U149" i="19"/>
  <c r="T149" i="19"/>
  <c r="BO149" i="19"/>
  <c r="N149" i="19"/>
  <c r="M149" i="19"/>
  <c r="B149" i="19"/>
  <c r="BX148" i="19"/>
  <c r="BW148" i="19"/>
  <c r="BV148" i="19"/>
  <c r="BS148" i="19"/>
  <c r="BR148" i="19"/>
  <c r="AX148" i="19"/>
  <c r="M148" i="14" s="1"/>
  <c r="AV148" i="19"/>
  <c r="AN148" i="19"/>
  <c r="E148" i="14" s="1"/>
  <c r="AL148" i="19"/>
  <c r="U148" i="19"/>
  <c r="T148" i="19"/>
  <c r="BK148" i="19"/>
  <c r="N148" i="19"/>
  <c r="M148" i="19"/>
  <c r="B148" i="19"/>
  <c r="BX147" i="19"/>
  <c r="BW147" i="19"/>
  <c r="BV147" i="19"/>
  <c r="BS147" i="19"/>
  <c r="BR147" i="19"/>
  <c r="AX147" i="19"/>
  <c r="M147" i="14" s="1"/>
  <c r="AV147" i="19"/>
  <c r="AN147" i="19"/>
  <c r="E147" i="14" s="1"/>
  <c r="AL147" i="19"/>
  <c r="U147" i="19"/>
  <c r="T147" i="19"/>
  <c r="BK147" i="19"/>
  <c r="N147" i="19"/>
  <c r="M147" i="19"/>
  <c r="B147" i="19"/>
  <c r="BX146" i="19"/>
  <c r="BW146" i="19"/>
  <c r="BV146" i="19"/>
  <c r="BS146" i="19"/>
  <c r="BR146" i="19"/>
  <c r="AX146" i="19"/>
  <c r="M146" i="14" s="1"/>
  <c r="AV146" i="19"/>
  <c r="AN146" i="19"/>
  <c r="E146" i="14" s="1"/>
  <c r="AL146" i="19"/>
  <c r="U146" i="19"/>
  <c r="T146" i="19"/>
  <c r="BK146" i="19"/>
  <c r="N146" i="19"/>
  <c r="M146" i="19"/>
  <c r="B146" i="19"/>
  <c r="BX145" i="19"/>
  <c r="BW145" i="19"/>
  <c r="BV145" i="19"/>
  <c r="BS145" i="19"/>
  <c r="BR145" i="19"/>
  <c r="BK145" i="19"/>
  <c r="AX145" i="19"/>
  <c r="M145" i="14" s="1"/>
  <c r="AV145" i="19"/>
  <c r="AN145" i="19"/>
  <c r="AL145" i="19"/>
  <c r="U145" i="19"/>
  <c r="T145" i="19"/>
  <c r="BO145" i="19"/>
  <c r="N145" i="19"/>
  <c r="M145" i="19"/>
  <c r="B145" i="19"/>
  <c r="BX144" i="19"/>
  <c r="BW144" i="19"/>
  <c r="BV144" i="19"/>
  <c r="BS144" i="19"/>
  <c r="BR144" i="19"/>
  <c r="AX144" i="19"/>
  <c r="M144" i="14" s="1"/>
  <c r="AV144" i="19"/>
  <c r="AN144" i="19"/>
  <c r="AL144" i="19"/>
  <c r="U144" i="19"/>
  <c r="T144" i="19"/>
  <c r="BO144" i="19"/>
  <c r="N144" i="19"/>
  <c r="M144" i="19"/>
  <c r="B144" i="19"/>
  <c r="BX143" i="19"/>
  <c r="BW143" i="19"/>
  <c r="BV143" i="19"/>
  <c r="BS143" i="19"/>
  <c r="BR143" i="19"/>
  <c r="AX143" i="19"/>
  <c r="M143" i="14" s="1"/>
  <c r="AV143" i="19"/>
  <c r="AN143" i="19"/>
  <c r="AL143" i="19"/>
  <c r="U143" i="19"/>
  <c r="T143" i="19"/>
  <c r="BK143" i="19"/>
  <c r="N143" i="19"/>
  <c r="M143" i="19"/>
  <c r="B143" i="19"/>
  <c r="BX142" i="19"/>
  <c r="BW142" i="19"/>
  <c r="BV142" i="19"/>
  <c r="BS142" i="19"/>
  <c r="BR142" i="19"/>
  <c r="AX142" i="19"/>
  <c r="M142" i="14" s="1"/>
  <c r="AV142" i="19"/>
  <c r="AN142" i="19"/>
  <c r="AL142" i="19"/>
  <c r="U142" i="19"/>
  <c r="T142" i="19"/>
  <c r="BK142" i="19"/>
  <c r="N142" i="19"/>
  <c r="M142" i="19"/>
  <c r="B142" i="19"/>
  <c r="BX141" i="19"/>
  <c r="BW141" i="19"/>
  <c r="BV141" i="19"/>
  <c r="BS141" i="19"/>
  <c r="BR141" i="19"/>
  <c r="AX141" i="19"/>
  <c r="M141" i="14" s="1"/>
  <c r="AV141" i="19"/>
  <c r="AN141" i="19"/>
  <c r="E141" i="14" s="1"/>
  <c r="AL141" i="19"/>
  <c r="U141" i="19"/>
  <c r="T141" i="19"/>
  <c r="BK141" i="19"/>
  <c r="N141" i="19"/>
  <c r="M141" i="19"/>
  <c r="B141" i="19"/>
  <c r="BX140" i="19"/>
  <c r="BW140" i="19"/>
  <c r="BV140" i="19"/>
  <c r="BS140" i="19"/>
  <c r="BR140" i="19"/>
  <c r="AX140" i="19"/>
  <c r="M140" i="14" s="1"/>
  <c r="AV140" i="19"/>
  <c r="AN140" i="19"/>
  <c r="AL140" i="19"/>
  <c r="U140" i="19"/>
  <c r="T140" i="19"/>
  <c r="BO140" i="19"/>
  <c r="N140" i="19"/>
  <c r="M140" i="19"/>
  <c r="B140" i="19"/>
  <c r="BX139" i="19"/>
  <c r="BW139" i="19"/>
  <c r="BV139" i="19"/>
  <c r="BS139" i="19"/>
  <c r="BR139" i="19"/>
  <c r="AX139" i="19"/>
  <c r="M139" i="14" s="1"/>
  <c r="AV139" i="19"/>
  <c r="AN139" i="19"/>
  <c r="AL139" i="19"/>
  <c r="U139" i="19"/>
  <c r="T139" i="19"/>
  <c r="BO139" i="19"/>
  <c r="N139" i="19"/>
  <c r="M139" i="19"/>
  <c r="B139" i="19"/>
  <c r="BX138" i="19"/>
  <c r="BW138" i="19"/>
  <c r="BV138" i="19"/>
  <c r="BR138" i="19"/>
  <c r="AX138" i="19"/>
  <c r="M138" i="14" s="1"/>
  <c r="AV138" i="19"/>
  <c r="AN138" i="19"/>
  <c r="AL138" i="19"/>
  <c r="U138" i="19"/>
  <c r="T138" i="19"/>
  <c r="BO138" i="19"/>
  <c r="N138" i="19"/>
  <c r="M138" i="19"/>
  <c r="B138" i="19"/>
  <c r="BX137" i="19"/>
  <c r="BW137" i="19"/>
  <c r="BV137" i="19"/>
  <c r="BS137" i="19"/>
  <c r="BR137" i="19"/>
  <c r="AX137" i="19"/>
  <c r="M137" i="14" s="1"/>
  <c r="AV137" i="19"/>
  <c r="AN137" i="19"/>
  <c r="AL137" i="19"/>
  <c r="U137" i="19"/>
  <c r="T137" i="19"/>
  <c r="N137" i="19"/>
  <c r="M137" i="19"/>
  <c r="B137" i="19"/>
  <c r="BX136" i="19"/>
  <c r="BW136" i="19"/>
  <c r="BV136" i="19"/>
  <c r="BS136" i="19"/>
  <c r="BR136" i="19"/>
  <c r="BK136" i="19"/>
  <c r="AX136" i="19"/>
  <c r="M136" i="14" s="1"/>
  <c r="AV136" i="19"/>
  <c r="AN136" i="19"/>
  <c r="AL136" i="19"/>
  <c r="U136" i="19"/>
  <c r="T136" i="19"/>
  <c r="BO136" i="19"/>
  <c r="N136" i="19"/>
  <c r="M136" i="19"/>
  <c r="B136" i="19"/>
  <c r="BX135" i="19"/>
  <c r="BW135" i="19"/>
  <c r="BV135" i="19"/>
  <c r="BS135" i="19"/>
  <c r="BR135" i="19"/>
  <c r="AX135" i="19"/>
  <c r="M135" i="14" s="1"/>
  <c r="AV135" i="19"/>
  <c r="AN135" i="19"/>
  <c r="AL135" i="19"/>
  <c r="U135" i="19"/>
  <c r="T135" i="19"/>
  <c r="BO135" i="19"/>
  <c r="N135" i="19"/>
  <c r="M135" i="19"/>
  <c r="B135" i="19"/>
  <c r="BX134" i="19"/>
  <c r="BW134" i="19"/>
  <c r="BV134" i="19"/>
  <c r="BS134" i="19"/>
  <c r="BR134" i="19"/>
  <c r="BK134" i="19"/>
  <c r="AX134" i="19"/>
  <c r="M134" i="14" s="1"/>
  <c r="AV134" i="19"/>
  <c r="AN134" i="19"/>
  <c r="AL134" i="19"/>
  <c r="U134" i="19"/>
  <c r="T134" i="19"/>
  <c r="BO134" i="19"/>
  <c r="N134" i="19"/>
  <c r="M134" i="19"/>
  <c r="B134" i="19"/>
  <c r="BX133" i="19"/>
  <c r="BW133" i="19"/>
  <c r="BV133" i="19"/>
  <c r="BS133" i="19"/>
  <c r="BR133" i="19"/>
  <c r="AX133" i="19"/>
  <c r="M133" i="14" s="1"/>
  <c r="AV133" i="19"/>
  <c r="AN133" i="19"/>
  <c r="AL133" i="19"/>
  <c r="U133" i="19"/>
  <c r="T133" i="19"/>
  <c r="BK133" i="19"/>
  <c r="N133" i="19"/>
  <c r="M133" i="19"/>
  <c r="B133" i="19"/>
  <c r="BX132" i="19"/>
  <c r="BW132" i="19"/>
  <c r="BV132" i="19"/>
  <c r="BS132" i="19"/>
  <c r="BR132" i="19"/>
  <c r="AX132" i="19"/>
  <c r="M132" i="14" s="1"/>
  <c r="AV132" i="19"/>
  <c r="AN132" i="19"/>
  <c r="E132" i="14" s="1"/>
  <c r="AL132" i="19"/>
  <c r="U132" i="19"/>
  <c r="T132" i="19"/>
  <c r="N132" i="19"/>
  <c r="M132" i="19"/>
  <c r="B132" i="19"/>
  <c r="BX131" i="19"/>
  <c r="BW131" i="19"/>
  <c r="BV131" i="19"/>
  <c r="BS131" i="19"/>
  <c r="BR131" i="19"/>
  <c r="AX131" i="19"/>
  <c r="M131" i="14" s="1"/>
  <c r="AV131" i="19"/>
  <c r="AN131" i="19"/>
  <c r="AL131" i="19"/>
  <c r="U131" i="19"/>
  <c r="T131" i="19"/>
  <c r="N131" i="19"/>
  <c r="M131" i="19"/>
  <c r="B131" i="19"/>
  <c r="BX130" i="19"/>
  <c r="BW130" i="19"/>
  <c r="BV130" i="19"/>
  <c r="BS130" i="19"/>
  <c r="BR130" i="19"/>
  <c r="AX130" i="19"/>
  <c r="M130" i="14" s="1"/>
  <c r="AV130" i="19"/>
  <c r="AN130" i="19"/>
  <c r="AL130" i="19"/>
  <c r="U130" i="19"/>
  <c r="T130" i="19"/>
  <c r="BK130" i="19"/>
  <c r="N130" i="19"/>
  <c r="M130" i="19"/>
  <c r="B130" i="19"/>
  <c r="BX129" i="19"/>
  <c r="BW129" i="19"/>
  <c r="BV129" i="19"/>
  <c r="BS129" i="19"/>
  <c r="BR129" i="19"/>
  <c r="BK129" i="19"/>
  <c r="AX129" i="19"/>
  <c r="M129" i="14" s="1"/>
  <c r="AV129" i="19"/>
  <c r="AN129" i="19"/>
  <c r="AL129" i="19"/>
  <c r="U129" i="19"/>
  <c r="T129" i="19"/>
  <c r="BO129" i="19"/>
  <c r="N129" i="19"/>
  <c r="M129" i="19"/>
  <c r="B129" i="19"/>
  <c r="BX128" i="19"/>
  <c r="BW128" i="19"/>
  <c r="BV128" i="19"/>
  <c r="BS128" i="19"/>
  <c r="BR128" i="19"/>
  <c r="BK128" i="19"/>
  <c r="AX128" i="19"/>
  <c r="M128" i="14" s="1"/>
  <c r="AV128" i="19"/>
  <c r="AN128" i="19"/>
  <c r="AL128" i="19"/>
  <c r="U128" i="19"/>
  <c r="T128" i="19"/>
  <c r="BO128" i="19"/>
  <c r="N128" i="19"/>
  <c r="M128" i="19"/>
  <c r="B128" i="19"/>
  <c r="BX127" i="19"/>
  <c r="BW127" i="19"/>
  <c r="BV127" i="19"/>
  <c r="BS127" i="19"/>
  <c r="BR127" i="19"/>
  <c r="AX127" i="19"/>
  <c r="M127" i="14" s="1"/>
  <c r="AV127" i="19"/>
  <c r="AN127" i="19"/>
  <c r="E127" i="14" s="1"/>
  <c r="AL127" i="19"/>
  <c r="U127" i="19"/>
  <c r="T127" i="19"/>
  <c r="N127" i="19"/>
  <c r="M127" i="19"/>
  <c r="B127" i="19"/>
  <c r="CE126" i="19"/>
  <c r="BX126" i="19"/>
  <c r="BW126" i="19"/>
  <c r="BV126" i="19"/>
  <c r="BR126" i="19"/>
  <c r="AX126" i="19"/>
  <c r="M126" i="14" s="1"/>
  <c r="AV126" i="19"/>
  <c r="AN126" i="19"/>
  <c r="E126" i="14" s="1"/>
  <c r="AL126" i="19"/>
  <c r="U126" i="19"/>
  <c r="T126" i="19"/>
  <c r="N126" i="19"/>
  <c r="M126" i="19"/>
  <c r="B126" i="19"/>
  <c r="BX125" i="19"/>
  <c r="BW125" i="19"/>
  <c r="BV125" i="19"/>
  <c r="BS125" i="19"/>
  <c r="BR125" i="19"/>
  <c r="AX125" i="19"/>
  <c r="M125" i="14" s="1"/>
  <c r="AV125" i="19"/>
  <c r="AN125" i="19"/>
  <c r="E125" i="14" s="1"/>
  <c r="AL125" i="19"/>
  <c r="U125" i="19"/>
  <c r="T125" i="19"/>
  <c r="BK125" i="19"/>
  <c r="N125" i="19"/>
  <c r="M125" i="19"/>
  <c r="B125" i="19"/>
  <c r="BX124" i="19"/>
  <c r="BW124" i="19"/>
  <c r="BV124" i="19"/>
  <c r="BS124" i="19"/>
  <c r="BR124" i="19"/>
  <c r="AX124" i="19"/>
  <c r="M124" i="14" s="1"/>
  <c r="AV124" i="19"/>
  <c r="AN124" i="19"/>
  <c r="E124" i="14" s="1"/>
  <c r="AL124" i="19"/>
  <c r="U124" i="19"/>
  <c r="T124" i="19"/>
  <c r="BO124" i="19"/>
  <c r="N124" i="19"/>
  <c r="M124" i="19"/>
  <c r="B124" i="19"/>
  <c r="BX123" i="19"/>
  <c r="BW123" i="19"/>
  <c r="BV123" i="19"/>
  <c r="BS123" i="19"/>
  <c r="BR123" i="19"/>
  <c r="BK123" i="19"/>
  <c r="AX123" i="19"/>
  <c r="M123" i="14" s="1"/>
  <c r="AV123" i="19"/>
  <c r="AN123" i="19"/>
  <c r="E123" i="14" s="1"/>
  <c r="AL123" i="19"/>
  <c r="U123" i="19"/>
  <c r="T123" i="19"/>
  <c r="BO123" i="19"/>
  <c r="N123" i="19"/>
  <c r="M123" i="19"/>
  <c r="B123" i="19"/>
  <c r="BX122" i="19"/>
  <c r="BW122" i="19"/>
  <c r="BV122" i="19"/>
  <c r="BS122" i="19"/>
  <c r="BR122" i="19"/>
  <c r="BQ122" i="19"/>
  <c r="AX122" i="19"/>
  <c r="M122" i="14" s="1"/>
  <c r="AV122" i="19"/>
  <c r="AN122" i="19"/>
  <c r="AL122" i="19"/>
  <c r="U122" i="19"/>
  <c r="T122" i="19"/>
  <c r="N122" i="19"/>
  <c r="M122" i="19"/>
  <c r="B122" i="19"/>
  <c r="BX121" i="19"/>
  <c r="BW121" i="19"/>
  <c r="BV121" i="19"/>
  <c r="BS121" i="19"/>
  <c r="BR121" i="19"/>
  <c r="BQ121" i="19"/>
  <c r="AX121" i="19"/>
  <c r="M121" i="14" s="1"/>
  <c r="AV121" i="19"/>
  <c r="AN121" i="19"/>
  <c r="E121" i="14" s="1"/>
  <c r="AL121" i="19"/>
  <c r="U121" i="19"/>
  <c r="T121" i="19"/>
  <c r="N121" i="19"/>
  <c r="M121" i="19"/>
  <c r="B121" i="19"/>
  <c r="BX120" i="19"/>
  <c r="BW120" i="19"/>
  <c r="BV120" i="19"/>
  <c r="BS120" i="19"/>
  <c r="BQ120" i="19"/>
  <c r="AX120" i="19"/>
  <c r="M120" i="14" s="1"/>
  <c r="AV120" i="19"/>
  <c r="AN120" i="19"/>
  <c r="E120" i="14" s="1"/>
  <c r="AL120" i="19"/>
  <c r="U120" i="19"/>
  <c r="T120" i="19"/>
  <c r="N120" i="19"/>
  <c r="M120" i="19"/>
  <c r="B120" i="19"/>
  <c r="BX119" i="19"/>
  <c r="BW119" i="19"/>
  <c r="BV119" i="19"/>
  <c r="BS119" i="19"/>
  <c r="BR119" i="19"/>
  <c r="BQ119" i="19"/>
  <c r="BK119" i="19"/>
  <c r="AX119" i="19"/>
  <c r="M119" i="14" s="1"/>
  <c r="AV119" i="19"/>
  <c r="AN119" i="19"/>
  <c r="E119" i="14" s="1"/>
  <c r="AL119" i="19"/>
  <c r="U119" i="19"/>
  <c r="T119" i="19"/>
  <c r="BO119" i="19"/>
  <c r="N119" i="19"/>
  <c r="M119" i="19"/>
  <c r="B119" i="19"/>
  <c r="BX118" i="19"/>
  <c r="BW118" i="19"/>
  <c r="BV118" i="19"/>
  <c r="BS118" i="19"/>
  <c r="BR118" i="19"/>
  <c r="BQ118" i="19"/>
  <c r="BK118" i="19"/>
  <c r="AX118" i="19"/>
  <c r="M118" i="14" s="1"/>
  <c r="AV118" i="19"/>
  <c r="AN118" i="19"/>
  <c r="E118" i="14" s="1"/>
  <c r="AL118" i="19"/>
  <c r="U118" i="19"/>
  <c r="T118" i="19"/>
  <c r="BO118" i="19"/>
  <c r="N118" i="19"/>
  <c r="M118" i="19"/>
  <c r="B118" i="19"/>
  <c r="BX117" i="19"/>
  <c r="BW117" i="19"/>
  <c r="BV117" i="19"/>
  <c r="BS117" i="19"/>
  <c r="BR117" i="19"/>
  <c r="BQ117" i="19"/>
  <c r="BK117" i="19"/>
  <c r="AX117" i="19"/>
  <c r="M117" i="14" s="1"/>
  <c r="AV117" i="19"/>
  <c r="AN117" i="19"/>
  <c r="AL117" i="19"/>
  <c r="U117" i="19"/>
  <c r="T117" i="19"/>
  <c r="BO117" i="19"/>
  <c r="N117" i="19"/>
  <c r="M117" i="19"/>
  <c r="B117" i="19"/>
  <c r="CA116" i="19"/>
  <c r="BX116" i="19"/>
  <c r="BW116" i="19"/>
  <c r="BV116" i="19"/>
  <c r="BS116" i="19"/>
  <c r="BR116" i="19"/>
  <c r="BQ116" i="19"/>
  <c r="BK116" i="19"/>
  <c r="AX116" i="19"/>
  <c r="M116" i="14" s="1"/>
  <c r="AV116" i="19"/>
  <c r="AN116" i="19"/>
  <c r="E116" i="14" s="1"/>
  <c r="AL116" i="19"/>
  <c r="U116" i="19"/>
  <c r="T116" i="19"/>
  <c r="BO116" i="19"/>
  <c r="N116" i="19"/>
  <c r="M116" i="19"/>
  <c r="B116" i="19"/>
  <c r="BX115" i="19"/>
  <c r="BW115" i="19"/>
  <c r="BV115" i="19"/>
  <c r="BS115" i="19"/>
  <c r="BR115" i="19"/>
  <c r="BQ115" i="19"/>
  <c r="AX115" i="19"/>
  <c r="M115" i="14" s="1"/>
  <c r="AV115" i="19"/>
  <c r="AN115" i="19"/>
  <c r="E115" i="14" s="1"/>
  <c r="AL115" i="19"/>
  <c r="U115" i="19"/>
  <c r="T115" i="19"/>
  <c r="N115" i="19"/>
  <c r="M115" i="19"/>
  <c r="B115" i="19"/>
  <c r="BX114" i="19"/>
  <c r="BW114" i="19"/>
  <c r="BV114" i="19"/>
  <c r="BS114" i="19"/>
  <c r="BR114" i="19"/>
  <c r="BQ114" i="19"/>
  <c r="BK114" i="19"/>
  <c r="AX114" i="19"/>
  <c r="M114" i="14" s="1"/>
  <c r="AV114" i="19"/>
  <c r="AN114" i="19"/>
  <c r="E114" i="14" s="1"/>
  <c r="AL114" i="19"/>
  <c r="U114" i="19"/>
  <c r="T114" i="19"/>
  <c r="BO114" i="19"/>
  <c r="N114" i="19"/>
  <c r="M114" i="19"/>
  <c r="B114" i="19"/>
  <c r="BX113" i="19"/>
  <c r="BW113" i="19"/>
  <c r="BV113" i="19"/>
  <c r="BS113" i="19"/>
  <c r="BR113" i="19"/>
  <c r="BQ113" i="19"/>
  <c r="BK113" i="19"/>
  <c r="AX113" i="19"/>
  <c r="M113" i="14" s="1"/>
  <c r="AV113" i="19"/>
  <c r="AN113" i="19"/>
  <c r="E113" i="14" s="1"/>
  <c r="AL113" i="19"/>
  <c r="U113" i="19"/>
  <c r="T113" i="19"/>
  <c r="BO113" i="19"/>
  <c r="N113" i="19"/>
  <c r="M113" i="19"/>
  <c r="B113" i="19"/>
  <c r="BX112" i="19"/>
  <c r="BW112" i="19"/>
  <c r="BV112" i="19"/>
  <c r="BS112" i="19"/>
  <c r="BR112" i="19"/>
  <c r="BQ112" i="19"/>
  <c r="BK112" i="19"/>
  <c r="AX112" i="19"/>
  <c r="M112" i="14" s="1"/>
  <c r="AV112" i="19"/>
  <c r="AN112" i="19"/>
  <c r="E112" i="14" s="1"/>
  <c r="AL112" i="19"/>
  <c r="U112" i="19"/>
  <c r="T112" i="19"/>
  <c r="BO112" i="19"/>
  <c r="N112" i="19"/>
  <c r="M112" i="19"/>
  <c r="B112" i="19"/>
  <c r="BX111" i="19"/>
  <c r="BW111" i="19"/>
  <c r="BV111" i="19"/>
  <c r="BS111" i="19"/>
  <c r="BR111" i="19"/>
  <c r="BQ111" i="19"/>
  <c r="BK111" i="19"/>
  <c r="AX111" i="19"/>
  <c r="M111" i="14" s="1"/>
  <c r="AV111" i="19"/>
  <c r="AN111" i="19"/>
  <c r="E111" i="14" s="1"/>
  <c r="AL111" i="19"/>
  <c r="U111" i="19"/>
  <c r="T111" i="19"/>
  <c r="BO111" i="19"/>
  <c r="N111" i="19"/>
  <c r="M111" i="19"/>
  <c r="B111" i="19"/>
  <c r="BX110" i="19"/>
  <c r="BW110" i="19"/>
  <c r="BV110" i="19"/>
  <c r="BS110" i="19"/>
  <c r="BR110" i="19"/>
  <c r="BQ110" i="19"/>
  <c r="BK110" i="19"/>
  <c r="AX110" i="19"/>
  <c r="M110" i="14" s="1"/>
  <c r="AV110" i="19"/>
  <c r="AN110" i="19"/>
  <c r="E110" i="14" s="1"/>
  <c r="AL110" i="19"/>
  <c r="U110" i="19"/>
  <c r="T110" i="19"/>
  <c r="BO110" i="19"/>
  <c r="N110" i="19"/>
  <c r="M110" i="19"/>
  <c r="B110" i="19"/>
  <c r="BX109" i="19"/>
  <c r="BW109" i="19"/>
  <c r="BV109" i="19"/>
  <c r="BS109" i="19"/>
  <c r="BR109" i="19"/>
  <c r="BQ109" i="19"/>
  <c r="BK109" i="19"/>
  <c r="AX109" i="19"/>
  <c r="M109" i="14" s="1"/>
  <c r="AV109" i="19"/>
  <c r="AN109" i="19"/>
  <c r="E109" i="14" s="1"/>
  <c r="AL109" i="19"/>
  <c r="U109" i="19"/>
  <c r="T109" i="19"/>
  <c r="BO109" i="19"/>
  <c r="N109" i="19"/>
  <c r="M109" i="19"/>
  <c r="B109" i="19"/>
  <c r="CC108" i="19"/>
  <c r="BX108" i="19"/>
  <c r="BW108" i="19"/>
  <c r="BV108" i="19"/>
  <c r="BS108" i="19"/>
  <c r="BR108" i="19"/>
  <c r="BQ108" i="19"/>
  <c r="AX108" i="19"/>
  <c r="M108" i="14" s="1"/>
  <c r="AV108" i="19"/>
  <c r="AN108" i="19"/>
  <c r="E108" i="14" s="1"/>
  <c r="AL108" i="19"/>
  <c r="U108" i="19"/>
  <c r="T108" i="19"/>
  <c r="BK108" i="19"/>
  <c r="N108" i="19"/>
  <c r="M108" i="19"/>
  <c r="B108" i="19"/>
  <c r="BX107" i="19"/>
  <c r="BW107" i="19"/>
  <c r="BV107" i="19"/>
  <c r="BS107" i="19"/>
  <c r="BR107" i="19"/>
  <c r="BQ107" i="19"/>
  <c r="AX107" i="19"/>
  <c r="M107" i="14" s="1"/>
  <c r="AV107" i="19"/>
  <c r="AN107" i="19"/>
  <c r="E107" i="14" s="1"/>
  <c r="AL107" i="19"/>
  <c r="U107" i="19"/>
  <c r="T107" i="19"/>
  <c r="N107" i="19"/>
  <c r="M107" i="19"/>
  <c r="B107" i="19"/>
  <c r="BX106" i="19"/>
  <c r="BW106" i="19"/>
  <c r="BV106" i="19"/>
  <c r="BS106" i="19"/>
  <c r="BR106" i="19"/>
  <c r="BQ106" i="19"/>
  <c r="AX106" i="19"/>
  <c r="M106" i="14" s="1"/>
  <c r="AV106" i="19"/>
  <c r="AN106" i="19"/>
  <c r="AL106" i="19"/>
  <c r="U106" i="19"/>
  <c r="T106" i="19"/>
  <c r="BK106" i="19"/>
  <c r="N106" i="19"/>
  <c r="M106" i="19"/>
  <c r="B106" i="19"/>
  <c r="BX105" i="19"/>
  <c r="BW105" i="19"/>
  <c r="BV105" i="19"/>
  <c r="BS105" i="19"/>
  <c r="BR105" i="19"/>
  <c r="BQ105" i="19"/>
  <c r="AX105" i="19"/>
  <c r="M105" i="14" s="1"/>
  <c r="AV105" i="19"/>
  <c r="AN105" i="19"/>
  <c r="AL105" i="19"/>
  <c r="U105" i="19"/>
  <c r="T105" i="19"/>
  <c r="N105" i="19"/>
  <c r="M105" i="19"/>
  <c r="B105" i="19"/>
  <c r="CA104" i="19"/>
  <c r="BX104" i="19"/>
  <c r="BW104" i="19"/>
  <c r="BV104" i="19"/>
  <c r="BS104" i="19"/>
  <c r="BR104" i="19"/>
  <c r="BQ104" i="19"/>
  <c r="AX104" i="19"/>
  <c r="M104" i="14" s="1"/>
  <c r="AV104" i="19"/>
  <c r="AN104" i="19"/>
  <c r="AL104" i="19"/>
  <c r="U104" i="19"/>
  <c r="T104" i="19"/>
  <c r="BK104" i="19"/>
  <c r="N104" i="19"/>
  <c r="M104" i="19"/>
  <c r="B104" i="19"/>
  <c r="CI103" i="19"/>
  <c r="BX103" i="19"/>
  <c r="BW103" i="19"/>
  <c r="BV103" i="19"/>
  <c r="BS103" i="19"/>
  <c r="BR103" i="19"/>
  <c r="BQ103" i="19"/>
  <c r="AX103" i="19"/>
  <c r="M103" i="14" s="1"/>
  <c r="AV103" i="19"/>
  <c r="AN103" i="19"/>
  <c r="E103" i="14" s="1"/>
  <c r="AL103" i="19"/>
  <c r="U103" i="19"/>
  <c r="T103" i="19"/>
  <c r="N103" i="19"/>
  <c r="M103" i="19"/>
  <c r="B103" i="19"/>
  <c r="BX102" i="19"/>
  <c r="BW102" i="19"/>
  <c r="BV102" i="19"/>
  <c r="BS102" i="19"/>
  <c r="BR102" i="19"/>
  <c r="BQ102" i="19"/>
  <c r="AX102" i="19"/>
  <c r="M102" i="14" s="1"/>
  <c r="AV102" i="19"/>
  <c r="AN102" i="19"/>
  <c r="E102" i="14" s="1"/>
  <c r="AL102" i="19"/>
  <c r="U102" i="19"/>
  <c r="T102" i="19"/>
  <c r="N102" i="19"/>
  <c r="M102" i="19"/>
  <c r="B102" i="19"/>
  <c r="BX101" i="19"/>
  <c r="BW101" i="19"/>
  <c r="BV101" i="19"/>
  <c r="BS101" i="19"/>
  <c r="BR101" i="19"/>
  <c r="BQ101" i="19"/>
  <c r="BK101" i="19"/>
  <c r="AX101" i="19"/>
  <c r="M101" i="14" s="1"/>
  <c r="AV101" i="19"/>
  <c r="AN101" i="19"/>
  <c r="AL101" i="19"/>
  <c r="U101" i="19"/>
  <c r="T101" i="19"/>
  <c r="BO101" i="19"/>
  <c r="N101" i="19"/>
  <c r="M101" i="19"/>
  <c r="B101" i="19"/>
  <c r="BX100" i="19"/>
  <c r="BW100" i="19"/>
  <c r="BV100" i="19"/>
  <c r="BS100" i="19"/>
  <c r="BR100" i="19"/>
  <c r="BQ100" i="19"/>
  <c r="BK100" i="19"/>
  <c r="AX100" i="19"/>
  <c r="M100" i="14" s="1"/>
  <c r="AV100" i="19"/>
  <c r="AN100" i="19"/>
  <c r="E100" i="14" s="1"/>
  <c r="AL100" i="19"/>
  <c r="U100" i="19"/>
  <c r="T100" i="19"/>
  <c r="BO100" i="19"/>
  <c r="N100" i="19"/>
  <c r="M100" i="19"/>
  <c r="B100" i="19"/>
  <c r="BX99" i="19"/>
  <c r="BW99" i="19"/>
  <c r="BV99" i="19"/>
  <c r="BS99" i="19"/>
  <c r="BR99" i="19"/>
  <c r="BQ99" i="19"/>
  <c r="AX99" i="19"/>
  <c r="M99" i="14" s="1"/>
  <c r="AV99" i="19"/>
  <c r="AN99" i="19"/>
  <c r="E99" i="14" s="1"/>
  <c r="AL99" i="19"/>
  <c r="U99" i="19"/>
  <c r="T99" i="19"/>
  <c r="N99" i="19"/>
  <c r="M99" i="19"/>
  <c r="B99" i="19"/>
  <c r="BZ98" i="19"/>
  <c r="BX98" i="19"/>
  <c r="BW98" i="19"/>
  <c r="BV98" i="19"/>
  <c r="BS98" i="19"/>
  <c r="BR98" i="19"/>
  <c r="BQ98" i="19"/>
  <c r="AX98" i="19"/>
  <c r="M98" i="14" s="1"/>
  <c r="AV98" i="19"/>
  <c r="AN98" i="19"/>
  <c r="AL98" i="19"/>
  <c r="U98" i="19"/>
  <c r="T98" i="19"/>
  <c r="BK98" i="19"/>
  <c r="N98" i="19"/>
  <c r="M98" i="19"/>
  <c r="B98" i="19"/>
  <c r="BX97" i="19"/>
  <c r="BW97" i="19"/>
  <c r="BV97" i="19"/>
  <c r="BS97" i="19"/>
  <c r="BR97" i="19"/>
  <c r="BQ97" i="19"/>
  <c r="BK97" i="19"/>
  <c r="AX97" i="19"/>
  <c r="M97" i="14" s="1"/>
  <c r="AV97" i="19"/>
  <c r="AN97" i="19"/>
  <c r="AL97" i="19"/>
  <c r="U97" i="19"/>
  <c r="T97" i="19"/>
  <c r="BO97" i="19"/>
  <c r="N97" i="19"/>
  <c r="M97" i="19"/>
  <c r="B97" i="19"/>
  <c r="BX96" i="19"/>
  <c r="BW96" i="19"/>
  <c r="BV96" i="19"/>
  <c r="BS96" i="19"/>
  <c r="BR96" i="19"/>
  <c r="BQ96" i="19"/>
  <c r="AX96" i="19"/>
  <c r="M96" i="14" s="1"/>
  <c r="AV96" i="19"/>
  <c r="AN96" i="19"/>
  <c r="AP96" i="19" s="1"/>
  <c r="AL96" i="19"/>
  <c r="U96" i="19"/>
  <c r="T96" i="19"/>
  <c r="M96" i="19"/>
  <c r="B96" i="19"/>
  <c r="BX95" i="19"/>
  <c r="BW95" i="19"/>
  <c r="BV95" i="19"/>
  <c r="BS95" i="19"/>
  <c r="BR95" i="19"/>
  <c r="BQ95" i="19"/>
  <c r="BK95" i="19"/>
  <c r="AX95" i="19"/>
  <c r="M95" i="14" s="1"/>
  <c r="AV95" i="19"/>
  <c r="AN95" i="19"/>
  <c r="AL95" i="19"/>
  <c r="U95" i="19"/>
  <c r="T95" i="19"/>
  <c r="BO95" i="19"/>
  <c r="N95" i="19"/>
  <c r="M95" i="19"/>
  <c r="B95" i="19"/>
  <c r="BX94" i="19"/>
  <c r="BW94" i="19"/>
  <c r="BV94" i="19"/>
  <c r="BS94" i="19"/>
  <c r="BR94" i="19"/>
  <c r="BQ94" i="19"/>
  <c r="BK94" i="19"/>
  <c r="AX94" i="19"/>
  <c r="M94" i="14" s="1"/>
  <c r="AV94" i="19"/>
  <c r="AN94" i="19"/>
  <c r="E94" i="14" s="1"/>
  <c r="AL94" i="19"/>
  <c r="U94" i="19"/>
  <c r="T94" i="19"/>
  <c r="BO94" i="19"/>
  <c r="N94" i="19"/>
  <c r="M94" i="19"/>
  <c r="B94" i="19"/>
  <c r="BX93" i="19"/>
  <c r="BW93" i="19"/>
  <c r="BV93" i="19"/>
  <c r="BS93" i="19"/>
  <c r="BR93" i="19"/>
  <c r="BQ93" i="19"/>
  <c r="BK93" i="19"/>
  <c r="AX93" i="19"/>
  <c r="M93" i="14" s="1"/>
  <c r="AV93" i="19"/>
  <c r="AN93" i="19"/>
  <c r="AL93" i="19"/>
  <c r="U93" i="19"/>
  <c r="T93" i="19"/>
  <c r="BO93" i="19"/>
  <c r="N93" i="19"/>
  <c r="M93" i="19"/>
  <c r="B93" i="19"/>
  <c r="BX92" i="19"/>
  <c r="BW92" i="19"/>
  <c r="BV92" i="19"/>
  <c r="BS92" i="19"/>
  <c r="BR92" i="19"/>
  <c r="BQ92" i="19"/>
  <c r="BK92" i="19"/>
  <c r="AX92" i="19"/>
  <c r="M92" i="14" s="1"/>
  <c r="AV92" i="19"/>
  <c r="AN92" i="19"/>
  <c r="AL92" i="19"/>
  <c r="U92" i="19"/>
  <c r="T92" i="19"/>
  <c r="N92" i="19"/>
  <c r="M92" i="19"/>
  <c r="BX91" i="19"/>
  <c r="BW91" i="19"/>
  <c r="BV91" i="19"/>
  <c r="BS91" i="19"/>
  <c r="BR91" i="19"/>
  <c r="BQ91" i="19"/>
  <c r="BK91" i="19"/>
  <c r="AX91" i="19"/>
  <c r="M91" i="14" s="1"/>
  <c r="AV91" i="19"/>
  <c r="AN91" i="19"/>
  <c r="E91" i="14" s="1"/>
  <c r="AL91" i="19"/>
  <c r="U91" i="19"/>
  <c r="T91" i="19"/>
  <c r="BO91" i="19"/>
  <c r="M91" i="19"/>
  <c r="B91" i="19"/>
  <c r="BX90" i="19"/>
  <c r="BW90" i="19"/>
  <c r="BV90" i="19"/>
  <c r="BS90" i="19"/>
  <c r="BR90" i="19"/>
  <c r="BQ90" i="19"/>
  <c r="BK90" i="19"/>
  <c r="AX90" i="19"/>
  <c r="M90" i="14" s="1"/>
  <c r="AV90" i="19"/>
  <c r="AN90" i="19"/>
  <c r="AL90" i="19"/>
  <c r="U90" i="19"/>
  <c r="T90" i="19"/>
  <c r="BO90" i="19"/>
  <c r="N90" i="19"/>
  <c r="M90" i="19"/>
  <c r="B90" i="19"/>
  <c r="BX89" i="19"/>
  <c r="BW89" i="19"/>
  <c r="BV89" i="19"/>
  <c r="BS89" i="19"/>
  <c r="BR89" i="19"/>
  <c r="BQ89" i="19"/>
  <c r="BK89" i="19"/>
  <c r="AX89" i="19"/>
  <c r="M89" i="14" s="1"/>
  <c r="AV89" i="19"/>
  <c r="AN89" i="19"/>
  <c r="AL89" i="19"/>
  <c r="U89" i="19"/>
  <c r="T89" i="19"/>
  <c r="BO89" i="19"/>
  <c r="N89" i="19"/>
  <c r="M89" i="19"/>
  <c r="B89" i="19"/>
  <c r="BX88" i="19"/>
  <c r="BW88" i="19"/>
  <c r="BV88" i="19"/>
  <c r="BS88" i="19"/>
  <c r="BR88" i="19"/>
  <c r="BQ88" i="19"/>
  <c r="BK88" i="19"/>
  <c r="AX88" i="19"/>
  <c r="M88" i="14" s="1"/>
  <c r="AV88" i="19"/>
  <c r="AN88" i="19"/>
  <c r="AL88" i="19"/>
  <c r="U88" i="19"/>
  <c r="T88" i="19"/>
  <c r="BO88" i="19"/>
  <c r="N88" i="19"/>
  <c r="M88" i="19"/>
  <c r="B88" i="19"/>
  <c r="BX87" i="19"/>
  <c r="BW87" i="19"/>
  <c r="BV87" i="19"/>
  <c r="BS87" i="19"/>
  <c r="BR87" i="19"/>
  <c r="BQ87" i="19"/>
  <c r="BK87" i="19"/>
  <c r="AX87" i="19"/>
  <c r="M87" i="14" s="1"/>
  <c r="AV87" i="19"/>
  <c r="AN87" i="19"/>
  <c r="AL87" i="19"/>
  <c r="U87" i="19"/>
  <c r="T87" i="19"/>
  <c r="BO87" i="19"/>
  <c r="N87" i="19"/>
  <c r="M87" i="19"/>
  <c r="B87" i="19"/>
  <c r="BX86" i="19"/>
  <c r="BW86" i="19"/>
  <c r="BV86" i="19"/>
  <c r="BS86" i="19"/>
  <c r="BR86" i="19"/>
  <c r="BQ86" i="19"/>
  <c r="BK86" i="19"/>
  <c r="AX86" i="19"/>
  <c r="M86" i="14" s="1"/>
  <c r="AV86" i="19"/>
  <c r="AN86" i="19"/>
  <c r="E86" i="14" s="1"/>
  <c r="AL86" i="19"/>
  <c r="U86" i="19"/>
  <c r="T86" i="19"/>
  <c r="BO86" i="19"/>
  <c r="N86" i="19"/>
  <c r="M86" i="19"/>
  <c r="B86" i="19"/>
  <c r="BX85" i="19"/>
  <c r="BW85" i="19"/>
  <c r="BV85" i="19"/>
  <c r="BS85" i="19"/>
  <c r="BR85" i="19"/>
  <c r="BQ85" i="19"/>
  <c r="BK85" i="19"/>
  <c r="AX85" i="19"/>
  <c r="M85" i="14" s="1"/>
  <c r="AV85" i="19"/>
  <c r="AN85" i="19"/>
  <c r="AL85" i="19"/>
  <c r="U85" i="19"/>
  <c r="T85" i="19"/>
  <c r="BO85" i="19"/>
  <c r="N85" i="19"/>
  <c r="M85" i="19"/>
  <c r="B85" i="19"/>
  <c r="BX84" i="19"/>
  <c r="BW84" i="19"/>
  <c r="BV84" i="19"/>
  <c r="BS84" i="19"/>
  <c r="BR84" i="19"/>
  <c r="BQ84" i="19"/>
  <c r="BK84" i="19"/>
  <c r="AX84" i="19"/>
  <c r="M84" i="14" s="1"/>
  <c r="AV84" i="19"/>
  <c r="AN84" i="19"/>
  <c r="E84" i="14" s="1"/>
  <c r="AL84" i="19"/>
  <c r="U84" i="19"/>
  <c r="T84" i="19"/>
  <c r="BO84" i="19"/>
  <c r="N84" i="19"/>
  <c r="M84" i="19"/>
  <c r="B84" i="19"/>
  <c r="CE83" i="19"/>
  <c r="BX83" i="19"/>
  <c r="BW83" i="19"/>
  <c r="BV83" i="19"/>
  <c r="BS83" i="19"/>
  <c r="BR83" i="19"/>
  <c r="BQ83" i="19"/>
  <c r="BK83" i="19"/>
  <c r="AX83" i="19"/>
  <c r="M83" i="14" s="1"/>
  <c r="AV83" i="19"/>
  <c r="AN83" i="19"/>
  <c r="E83" i="14" s="1"/>
  <c r="AL83" i="19"/>
  <c r="U83" i="19"/>
  <c r="T83" i="19"/>
  <c r="BO83" i="19"/>
  <c r="N83" i="19"/>
  <c r="M83" i="19"/>
  <c r="B83" i="19"/>
  <c r="BX82" i="19"/>
  <c r="BW82" i="19"/>
  <c r="BV82" i="19"/>
  <c r="BS82" i="19"/>
  <c r="BR82" i="19"/>
  <c r="BQ82" i="19"/>
  <c r="BK82" i="19"/>
  <c r="AX82" i="19"/>
  <c r="M82" i="14" s="1"/>
  <c r="AV82" i="19"/>
  <c r="AN82" i="19"/>
  <c r="AL82" i="19"/>
  <c r="U82" i="19"/>
  <c r="T82" i="19"/>
  <c r="BO82" i="19"/>
  <c r="N82" i="19"/>
  <c r="M82" i="19"/>
  <c r="B82" i="19"/>
  <c r="BX81" i="19"/>
  <c r="BW81" i="19"/>
  <c r="BV81" i="19"/>
  <c r="BS81" i="19"/>
  <c r="BR81" i="19"/>
  <c r="BQ81" i="19"/>
  <c r="BK81" i="19"/>
  <c r="AX81" i="19"/>
  <c r="M81" i="14" s="1"/>
  <c r="AV81" i="19"/>
  <c r="AN81" i="19"/>
  <c r="E81" i="14" s="1"/>
  <c r="AL81" i="19"/>
  <c r="U81" i="19"/>
  <c r="T81" i="19"/>
  <c r="BO81" i="19"/>
  <c r="N81" i="19"/>
  <c r="M81" i="19"/>
  <c r="B81" i="19"/>
  <c r="BX80" i="19"/>
  <c r="BW80" i="19"/>
  <c r="BV80" i="19"/>
  <c r="BS80" i="19"/>
  <c r="BR80" i="19"/>
  <c r="BQ80" i="19"/>
  <c r="BK80" i="19"/>
  <c r="AX80" i="19"/>
  <c r="M80" i="14" s="1"/>
  <c r="AV80" i="19"/>
  <c r="AN80" i="19"/>
  <c r="E80" i="14" s="1"/>
  <c r="AL80" i="19"/>
  <c r="U80" i="19"/>
  <c r="T80" i="19"/>
  <c r="BO80" i="19"/>
  <c r="N80" i="19"/>
  <c r="M80" i="19"/>
  <c r="B80" i="19"/>
  <c r="BX79" i="19"/>
  <c r="BW79" i="19"/>
  <c r="BV79" i="19"/>
  <c r="BS79" i="19"/>
  <c r="BR79" i="19"/>
  <c r="BQ79" i="19"/>
  <c r="AX79" i="19"/>
  <c r="M79" i="14" s="1"/>
  <c r="AV79" i="19"/>
  <c r="AN79" i="19"/>
  <c r="AL79" i="19"/>
  <c r="U79" i="19"/>
  <c r="T79" i="19"/>
  <c r="BO79" i="19"/>
  <c r="N79" i="19"/>
  <c r="M79" i="19"/>
  <c r="B79" i="19"/>
  <c r="BX78" i="19"/>
  <c r="BW78" i="19"/>
  <c r="BV78" i="19"/>
  <c r="BS78" i="19"/>
  <c r="BR78" i="19"/>
  <c r="BQ78" i="19"/>
  <c r="BK78" i="19"/>
  <c r="AX78" i="19"/>
  <c r="M78" i="14" s="1"/>
  <c r="AV78" i="19"/>
  <c r="AN78" i="19"/>
  <c r="AL78" i="19"/>
  <c r="U78" i="19"/>
  <c r="T78" i="19"/>
  <c r="BO78" i="19"/>
  <c r="N78" i="19"/>
  <c r="M78" i="19"/>
  <c r="B78" i="19"/>
  <c r="CI77" i="19"/>
  <c r="BX77" i="19"/>
  <c r="BW77" i="19"/>
  <c r="BV77" i="19"/>
  <c r="BS77" i="19"/>
  <c r="BR77" i="19"/>
  <c r="BQ77" i="19"/>
  <c r="BK77" i="19"/>
  <c r="AX77" i="19"/>
  <c r="M77" i="14" s="1"/>
  <c r="AV77" i="19"/>
  <c r="AN77" i="19"/>
  <c r="E77" i="14" s="1"/>
  <c r="AL77" i="19"/>
  <c r="U77" i="19"/>
  <c r="T77" i="19"/>
  <c r="BO77" i="19"/>
  <c r="N77" i="19"/>
  <c r="M77" i="19"/>
  <c r="B77" i="19"/>
  <c r="BX76" i="19"/>
  <c r="BW76" i="19"/>
  <c r="BV76" i="19"/>
  <c r="BS76" i="19"/>
  <c r="BR76" i="19"/>
  <c r="BQ76" i="19"/>
  <c r="BK76" i="19"/>
  <c r="AX76" i="19"/>
  <c r="M76" i="14" s="1"/>
  <c r="AV76" i="19"/>
  <c r="AN76" i="19"/>
  <c r="E76" i="14" s="1"/>
  <c r="AL76" i="19"/>
  <c r="U76" i="19"/>
  <c r="T76" i="19"/>
  <c r="BO76" i="19"/>
  <c r="N76" i="19"/>
  <c r="M76" i="19"/>
  <c r="B76" i="19"/>
  <c r="BX75" i="19"/>
  <c r="BW75" i="19"/>
  <c r="BV75" i="19"/>
  <c r="BS75" i="19"/>
  <c r="BR75" i="19"/>
  <c r="BQ75" i="19"/>
  <c r="BK75" i="19"/>
  <c r="AX75" i="19"/>
  <c r="M75" i="14" s="1"/>
  <c r="AV75" i="19"/>
  <c r="AN75" i="19"/>
  <c r="E75" i="14" s="1"/>
  <c r="AL75" i="19"/>
  <c r="U75" i="19"/>
  <c r="T75" i="19"/>
  <c r="BO75" i="19"/>
  <c r="N75" i="19"/>
  <c r="M75" i="19"/>
  <c r="B75" i="19"/>
  <c r="BX74" i="19"/>
  <c r="BW74" i="19"/>
  <c r="BV74" i="19"/>
  <c r="BS74" i="19"/>
  <c r="BR74" i="19"/>
  <c r="BQ74" i="19"/>
  <c r="BK74" i="19"/>
  <c r="AX74" i="19"/>
  <c r="M74" i="14" s="1"/>
  <c r="AV74" i="19"/>
  <c r="AN74" i="19"/>
  <c r="AL74" i="19"/>
  <c r="U74" i="19"/>
  <c r="T74" i="19"/>
  <c r="BO74" i="19"/>
  <c r="N74" i="19"/>
  <c r="M74" i="19"/>
  <c r="B74" i="19"/>
  <c r="BX73" i="19"/>
  <c r="BW73" i="19"/>
  <c r="BV73" i="19"/>
  <c r="BS73" i="19"/>
  <c r="BR73" i="19"/>
  <c r="BQ73" i="19"/>
  <c r="BK73" i="19"/>
  <c r="AX73" i="19"/>
  <c r="M73" i="14" s="1"/>
  <c r="AV73" i="19"/>
  <c r="AN73" i="19"/>
  <c r="AL73" i="19"/>
  <c r="U73" i="19"/>
  <c r="T73" i="19"/>
  <c r="BO73" i="19"/>
  <c r="N73" i="19"/>
  <c r="M73" i="19"/>
  <c r="B73" i="19"/>
  <c r="CC72" i="19"/>
  <c r="BX72" i="19"/>
  <c r="BW72" i="19"/>
  <c r="BV72" i="19"/>
  <c r="BS72" i="19"/>
  <c r="BR72" i="19"/>
  <c r="BQ72" i="19"/>
  <c r="BK72" i="19"/>
  <c r="AX72" i="19"/>
  <c r="M72" i="14" s="1"/>
  <c r="AV72" i="19"/>
  <c r="AN72" i="19"/>
  <c r="AL72" i="19"/>
  <c r="U72" i="19"/>
  <c r="T72" i="19"/>
  <c r="BO72" i="19"/>
  <c r="N72" i="19"/>
  <c r="M72" i="19"/>
  <c r="B72" i="19"/>
  <c r="BX71" i="19"/>
  <c r="BW71" i="19"/>
  <c r="BV71" i="19"/>
  <c r="BS71" i="19"/>
  <c r="BR71" i="19"/>
  <c r="BQ71" i="19"/>
  <c r="BK71" i="19"/>
  <c r="AX71" i="19"/>
  <c r="M71" i="14" s="1"/>
  <c r="AV71" i="19"/>
  <c r="AN71" i="19"/>
  <c r="AL71" i="19"/>
  <c r="U71" i="19"/>
  <c r="T71" i="19"/>
  <c r="BO71" i="19"/>
  <c r="N71" i="19"/>
  <c r="M71" i="19"/>
  <c r="B71" i="19"/>
  <c r="BX70" i="19"/>
  <c r="BW70" i="19"/>
  <c r="BV70" i="19"/>
  <c r="BS70" i="19"/>
  <c r="BR70" i="19"/>
  <c r="BQ70" i="19"/>
  <c r="BK70" i="19"/>
  <c r="AX70" i="19"/>
  <c r="M70" i="14" s="1"/>
  <c r="AV70" i="19"/>
  <c r="AN70" i="19"/>
  <c r="AL70" i="19"/>
  <c r="U70" i="19"/>
  <c r="T70" i="19"/>
  <c r="BO70" i="19"/>
  <c r="N70" i="19"/>
  <c r="M70" i="19"/>
  <c r="B70" i="19"/>
  <c r="BX69" i="19"/>
  <c r="BW69" i="19"/>
  <c r="BV69" i="19"/>
  <c r="BS69" i="19"/>
  <c r="BR69" i="19"/>
  <c r="BQ69" i="19"/>
  <c r="BK69" i="19"/>
  <c r="AX69" i="19"/>
  <c r="M69" i="14" s="1"/>
  <c r="AV69" i="19"/>
  <c r="AN69" i="19"/>
  <c r="AL69" i="19"/>
  <c r="U69" i="19"/>
  <c r="T69" i="19"/>
  <c r="BO69" i="19"/>
  <c r="N69" i="19"/>
  <c r="M69" i="19"/>
  <c r="B69" i="19"/>
  <c r="CC68" i="19"/>
  <c r="BX68" i="19"/>
  <c r="BW68" i="19"/>
  <c r="BV68" i="19"/>
  <c r="BS68" i="19"/>
  <c r="BR68" i="19"/>
  <c r="BQ68" i="19"/>
  <c r="BK68" i="19"/>
  <c r="AX68" i="19"/>
  <c r="M68" i="14" s="1"/>
  <c r="AV68" i="19"/>
  <c r="AN68" i="19"/>
  <c r="AL68" i="19"/>
  <c r="U68" i="19"/>
  <c r="T68" i="19"/>
  <c r="BO68" i="19"/>
  <c r="N68" i="19"/>
  <c r="M68" i="19"/>
  <c r="B68" i="19"/>
  <c r="BX67" i="19"/>
  <c r="BW67" i="19"/>
  <c r="BV67" i="19"/>
  <c r="BS67" i="19"/>
  <c r="BR67" i="19"/>
  <c r="BQ67" i="19"/>
  <c r="BK67" i="19"/>
  <c r="AX67" i="19"/>
  <c r="M67" i="14" s="1"/>
  <c r="AV67" i="19"/>
  <c r="AN67" i="19"/>
  <c r="E67" i="14" s="1"/>
  <c r="AL67" i="19"/>
  <c r="U67" i="19"/>
  <c r="T67" i="19"/>
  <c r="BO67" i="19"/>
  <c r="N67" i="19"/>
  <c r="M67" i="19"/>
  <c r="B67" i="19"/>
  <c r="BX66" i="19"/>
  <c r="BW66" i="19"/>
  <c r="BV66" i="19"/>
  <c r="BS66" i="19"/>
  <c r="BR66" i="19"/>
  <c r="BQ66" i="19"/>
  <c r="BK66" i="19"/>
  <c r="AX66" i="19"/>
  <c r="M66" i="14" s="1"/>
  <c r="AV66" i="19"/>
  <c r="AN66" i="19"/>
  <c r="AL66" i="19"/>
  <c r="U66" i="19"/>
  <c r="T66" i="19"/>
  <c r="BO66" i="19"/>
  <c r="N66" i="19"/>
  <c r="M66" i="19"/>
  <c r="B66" i="19"/>
  <c r="CG65" i="19"/>
  <c r="BX65" i="19"/>
  <c r="BW65" i="19"/>
  <c r="BV65" i="19"/>
  <c r="BS65" i="19"/>
  <c r="BR65" i="19"/>
  <c r="BQ65" i="19"/>
  <c r="BK65" i="19"/>
  <c r="AX65" i="19"/>
  <c r="M65" i="14" s="1"/>
  <c r="AV65" i="19"/>
  <c r="AN65" i="19"/>
  <c r="AL65" i="19"/>
  <c r="U65" i="19"/>
  <c r="T65" i="19"/>
  <c r="BO65" i="19"/>
  <c r="N65" i="19"/>
  <c r="M65" i="19"/>
  <c r="B65" i="19"/>
  <c r="BX64" i="19"/>
  <c r="BW64" i="19"/>
  <c r="BV64" i="19"/>
  <c r="BS64" i="19"/>
  <c r="BR64" i="19"/>
  <c r="BQ64" i="19"/>
  <c r="AX64" i="19"/>
  <c r="M64" i="14" s="1"/>
  <c r="AV64" i="19"/>
  <c r="AN64" i="19"/>
  <c r="AL64" i="19"/>
  <c r="U64" i="19"/>
  <c r="T64" i="19"/>
  <c r="BK64" i="19"/>
  <c r="N64" i="19"/>
  <c r="M64" i="19"/>
  <c r="B64" i="19"/>
  <c r="BX63" i="19"/>
  <c r="BW63" i="19"/>
  <c r="BV63" i="19"/>
  <c r="BS63" i="19"/>
  <c r="BR63" i="19"/>
  <c r="BQ63" i="19"/>
  <c r="AX63" i="19"/>
  <c r="M63" i="14" s="1"/>
  <c r="AV63" i="19"/>
  <c r="AN63" i="19"/>
  <c r="AL63" i="19"/>
  <c r="U63" i="19"/>
  <c r="T63" i="19"/>
  <c r="BK63" i="19"/>
  <c r="N63" i="19"/>
  <c r="M63" i="19"/>
  <c r="B63" i="19"/>
  <c r="BX62" i="19"/>
  <c r="BW62" i="19"/>
  <c r="BV62" i="19"/>
  <c r="BS62" i="19"/>
  <c r="BR62" i="19"/>
  <c r="BQ62" i="19"/>
  <c r="AX62" i="19"/>
  <c r="M62" i="14" s="1"/>
  <c r="AV62" i="19"/>
  <c r="AN62" i="19"/>
  <c r="E62" i="14" s="1"/>
  <c r="AL62" i="19"/>
  <c r="U62" i="19"/>
  <c r="T62" i="19"/>
  <c r="BK62" i="19"/>
  <c r="N62" i="19"/>
  <c r="M62" i="19"/>
  <c r="B62" i="19"/>
  <c r="BX61" i="19"/>
  <c r="BW61" i="19"/>
  <c r="BV61" i="19"/>
  <c r="BS61" i="19"/>
  <c r="BR61" i="19"/>
  <c r="BQ61" i="19"/>
  <c r="AX61" i="19"/>
  <c r="M61" i="14" s="1"/>
  <c r="AV61" i="19"/>
  <c r="AN61" i="19"/>
  <c r="AL61" i="19"/>
  <c r="U61" i="19"/>
  <c r="T61" i="19"/>
  <c r="N61" i="19"/>
  <c r="M61" i="19"/>
  <c r="B61" i="19"/>
  <c r="BX60" i="19"/>
  <c r="BW60" i="19"/>
  <c r="BV60" i="19"/>
  <c r="BR60" i="19"/>
  <c r="BQ60" i="19"/>
  <c r="AX60" i="19"/>
  <c r="M60" i="14" s="1"/>
  <c r="AV60" i="19"/>
  <c r="AN60" i="19"/>
  <c r="AL60" i="19"/>
  <c r="U60" i="19"/>
  <c r="T60" i="19"/>
  <c r="BO60" i="19"/>
  <c r="N60" i="19"/>
  <c r="M60" i="19"/>
  <c r="B60" i="19"/>
  <c r="BX59" i="19"/>
  <c r="BW59" i="19"/>
  <c r="BV59" i="19"/>
  <c r="BS59" i="19"/>
  <c r="BR59" i="19"/>
  <c r="BQ59" i="19"/>
  <c r="AX59" i="19"/>
  <c r="M59" i="14" s="1"/>
  <c r="AV59" i="19"/>
  <c r="AN59" i="19"/>
  <c r="AL59" i="19"/>
  <c r="U59" i="19"/>
  <c r="T59" i="19"/>
  <c r="BO59" i="19"/>
  <c r="N59" i="19"/>
  <c r="M59" i="19"/>
  <c r="B59" i="19"/>
  <c r="BX58" i="19"/>
  <c r="BW58" i="19"/>
  <c r="BV58" i="19"/>
  <c r="BS58" i="19"/>
  <c r="BR58" i="19"/>
  <c r="BQ58" i="19"/>
  <c r="AX58" i="19"/>
  <c r="M58" i="14" s="1"/>
  <c r="AV58" i="19"/>
  <c r="AN58" i="19"/>
  <c r="AL58" i="19"/>
  <c r="U58" i="19"/>
  <c r="T58" i="19"/>
  <c r="N58" i="19"/>
  <c r="M58" i="19"/>
  <c r="B58" i="19"/>
  <c r="BX57" i="19"/>
  <c r="BW57" i="19"/>
  <c r="BV57" i="19"/>
  <c r="BS57" i="19"/>
  <c r="BR57" i="19"/>
  <c r="BQ57" i="19"/>
  <c r="BK57" i="19"/>
  <c r="AX57" i="19"/>
  <c r="M57" i="14" s="1"/>
  <c r="AV57" i="19"/>
  <c r="AN57" i="19"/>
  <c r="E57" i="14" s="1"/>
  <c r="AL57" i="19"/>
  <c r="U57" i="19"/>
  <c r="T57" i="19"/>
  <c r="BO57" i="19"/>
  <c r="N57" i="19"/>
  <c r="M57" i="19"/>
  <c r="B57" i="19"/>
  <c r="BX56" i="19"/>
  <c r="BW56" i="19"/>
  <c r="BV56" i="19"/>
  <c r="BS56" i="19"/>
  <c r="BR56" i="19"/>
  <c r="BQ56" i="19"/>
  <c r="BK56" i="19"/>
  <c r="AX56" i="19"/>
  <c r="M56" i="14" s="1"/>
  <c r="AV56" i="19"/>
  <c r="AN56" i="19"/>
  <c r="E56" i="14" s="1"/>
  <c r="AL56" i="19"/>
  <c r="U56" i="19"/>
  <c r="T56" i="19"/>
  <c r="BO56" i="19"/>
  <c r="N56" i="19"/>
  <c r="M56" i="19"/>
  <c r="B56" i="19"/>
  <c r="BX55" i="19"/>
  <c r="BW55" i="19"/>
  <c r="BV55" i="19"/>
  <c r="BS55" i="19"/>
  <c r="BR55" i="19"/>
  <c r="BQ55" i="19"/>
  <c r="AX55" i="19"/>
  <c r="M55" i="14" s="1"/>
  <c r="AV55" i="19"/>
  <c r="AN55" i="19"/>
  <c r="E55" i="14" s="1"/>
  <c r="AL55" i="19"/>
  <c r="U55" i="19"/>
  <c r="T55" i="19"/>
  <c r="BO55" i="19"/>
  <c r="N55" i="19"/>
  <c r="M55" i="19"/>
  <c r="B55" i="19"/>
  <c r="BX54" i="19"/>
  <c r="BW54" i="19"/>
  <c r="BV54" i="19"/>
  <c r="BS54" i="19"/>
  <c r="BR54" i="19"/>
  <c r="BQ54" i="19"/>
  <c r="BK54" i="19"/>
  <c r="AX54" i="19"/>
  <c r="M54" i="14" s="1"/>
  <c r="AV54" i="19"/>
  <c r="AN54" i="19"/>
  <c r="E54" i="14" s="1"/>
  <c r="AL54" i="19"/>
  <c r="U54" i="19"/>
  <c r="T54" i="19"/>
  <c r="BO54" i="19"/>
  <c r="N54" i="19"/>
  <c r="M54" i="19"/>
  <c r="B54" i="19"/>
  <c r="BX53" i="19"/>
  <c r="BW53" i="19"/>
  <c r="BV53" i="19"/>
  <c r="BS53" i="19"/>
  <c r="BR53" i="19"/>
  <c r="BQ53" i="19"/>
  <c r="BK53" i="19"/>
  <c r="AX53" i="19"/>
  <c r="M53" i="14" s="1"/>
  <c r="AV53" i="19"/>
  <c r="AP53" i="19"/>
  <c r="AQ53" i="19" s="1"/>
  <c r="CM53" i="19" s="1"/>
  <c r="AL53" i="19"/>
  <c r="U53" i="19"/>
  <c r="T53" i="19"/>
  <c r="BO53" i="19"/>
  <c r="N53" i="19"/>
  <c r="M53" i="19"/>
  <c r="B53" i="19"/>
  <c r="BX52" i="19"/>
  <c r="BW52" i="19"/>
  <c r="BV52" i="19"/>
  <c r="BS52" i="19"/>
  <c r="BR52" i="19"/>
  <c r="BQ52" i="19"/>
  <c r="BK52" i="19"/>
  <c r="AX52" i="19"/>
  <c r="M52" i="14" s="1"/>
  <c r="AV52" i="19"/>
  <c r="AN52" i="19"/>
  <c r="E52" i="14" s="1"/>
  <c r="AL52" i="19"/>
  <c r="U52" i="19"/>
  <c r="T52" i="19"/>
  <c r="BO52" i="19"/>
  <c r="N52" i="19"/>
  <c r="M52" i="19"/>
  <c r="B52" i="19"/>
  <c r="CD51" i="19"/>
  <c r="BX51" i="19"/>
  <c r="BW51" i="19"/>
  <c r="BV51" i="19"/>
  <c r="BS51" i="19"/>
  <c r="BR51" i="19"/>
  <c r="BQ51" i="19"/>
  <c r="AX51" i="19"/>
  <c r="M51" i="14" s="1"/>
  <c r="AV51" i="19"/>
  <c r="AN51" i="19"/>
  <c r="E51" i="14" s="1"/>
  <c r="AL51" i="19"/>
  <c r="U51" i="19"/>
  <c r="T51" i="19"/>
  <c r="N51" i="19"/>
  <c r="M51" i="19"/>
  <c r="B51" i="19"/>
  <c r="BX50" i="19"/>
  <c r="BW50" i="19"/>
  <c r="BV50" i="19"/>
  <c r="BS50" i="19"/>
  <c r="BR50" i="19"/>
  <c r="BQ50" i="19"/>
  <c r="AX50" i="19"/>
  <c r="M50" i="14" s="1"/>
  <c r="AV50" i="19"/>
  <c r="AN50" i="19"/>
  <c r="E50" i="14" s="1"/>
  <c r="AL50" i="19"/>
  <c r="U50" i="19"/>
  <c r="T50" i="19"/>
  <c r="N50" i="19"/>
  <c r="M50" i="19"/>
  <c r="B50" i="19"/>
  <c r="BZ49" i="19"/>
  <c r="BX49" i="19"/>
  <c r="BW49" i="19"/>
  <c r="BV49" i="19"/>
  <c r="BS49" i="19"/>
  <c r="BR49" i="19"/>
  <c r="BQ49" i="19"/>
  <c r="AX49" i="19"/>
  <c r="M49" i="14" s="1"/>
  <c r="AV49" i="19"/>
  <c r="AN49" i="19"/>
  <c r="E49" i="14" s="1"/>
  <c r="AL49" i="19"/>
  <c r="U49" i="19"/>
  <c r="T49" i="19"/>
  <c r="BK49" i="19"/>
  <c r="N49" i="19"/>
  <c r="M49" i="19"/>
  <c r="B49" i="19"/>
  <c r="CI48" i="19"/>
  <c r="BX48" i="19"/>
  <c r="BW48" i="19"/>
  <c r="BV48" i="19"/>
  <c r="BS48" i="19"/>
  <c r="BR48" i="19"/>
  <c r="BQ48" i="19"/>
  <c r="AX48" i="19"/>
  <c r="M48" i="14" s="1"/>
  <c r="AV48" i="19"/>
  <c r="AN48" i="19"/>
  <c r="AL48" i="19"/>
  <c r="U48" i="19"/>
  <c r="T48" i="19"/>
  <c r="BO48" i="19"/>
  <c r="N48" i="19"/>
  <c r="M48" i="19"/>
  <c r="B48" i="19"/>
  <c r="BX47" i="19"/>
  <c r="BW47" i="19"/>
  <c r="BV47" i="19"/>
  <c r="BS47" i="19"/>
  <c r="BR47" i="19"/>
  <c r="BQ47" i="19"/>
  <c r="AX47" i="19"/>
  <c r="M47" i="14" s="1"/>
  <c r="AV47" i="19"/>
  <c r="AN47" i="19"/>
  <c r="AL47" i="19"/>
  <c r="U47" i="19"/>
  <c r="T47" i="19"/>
  <c r="N47" i="19"/>
  <c r="M47" i="19"/>
  <c r="B47" i="19"/>
  <c r="BX46" i="19"/>
  <c r="BW46" i="19"/>
  <c r="BV46" i="19"/>
  <c r="BS46" i="19"/>
  <c r="BR46" i="19"/>
  <c r="BQ46" i="19"/>
  <c r="AX46" i="19"/>
  <c r="M46" i="14" s="1"/>
  <c r="AV46" i="19"/>
  <c r="AN46" i="19"/>
  <c r="AL46" i="19"/>
  <c r="U46" i="19"/>
  <c r="T46" i="19"/>
  <c r="N46" i="19"/>
  <c r="M46" i="19"/>
  <c r="B46" i="19"/>
  <c r="BX45" i="19"/>
  <c r="BW45" i="19"/>
  <c r="BV45" i="19"/>
  <c r="BS45" i="19"/>
  <c r="BR45" i="19"/>
  <c r="BQ45" i="19"/>
  <c r="AX45" i="19"/>
  <c r="M45" i="14" s="1"/>
  <c r="AV45" i="19"/>
  <c r="AN45" i="19"/>
  <c r="AL45" i="19"/>
  <c r="U45" i="19"/>
  <c r="T45" i="19"/>
  <c r="BK45" i="19"/>
  <c r="N45" i="19"/>
  <c r="M45" i="19"/>
  <c r="B45" i="19"/>
  <c r="BX44" i="19"/>
  <c r="BW44" i="19"/>
  <c r="BV44" i="19"/>
  <c r="BS44" i="19"/>
  <c r="BR44" i="19"/>
  <c r="BQ44" i="19"/>
  <c r="AX44" i="19"/>
  <c r="M44" i="14" s="1"/>
  <c r="AV44" i="19"/>
  <c r="AN44" i="19"/>
  <c r="AL44" i="19"/>
  <c r="U44" i="19"/>
  <c r="T44" i="19"/>
  <c r="BO44" i="19"/>
  <c r="N44" i="19"/>
  <c r="M44" i="19"/>
  <c r="B44" i="19"/>
  <c r="BX43" i="19"/>
  <c r="BW43" i="19"/>
  <c r="BV43" i="19"/>
  <c r="BS43" i="19"/>
  <c r="BR43" i="19"/>
  <c r="BQ43" i="19"/>
  <c r="BK43" i="19"/>
  <c r="AX43" i="19"/>
  <c r="M43" i="14" s="1"/>
  <c r="AV43" i="19"/>
  <c r="AN43" i="19"/>
  <c r="E43" i="14" s="1"/>
  <c r="AL43" i="19"/>
  <c r="U43" i="19"/>
  <c r="T43" i="19"/>
  <c r="BO43" i="19"/>
  <c r="N43" i="19"/>
  <c r="M43" i="19"/>
  <c r="B43" i="19"/>
  <c r="BX42" i="19"/>
  <c r="BW42" i="19"/>
  <c r="BV42" i="19"/>
  <c r="BS42" i="19"/>
  <c r="BR42" i="19"/>
  <c r="BQ42" i="19"/>
  <c r="AX42" i="19"/>
  <c r="M42" i="14" s="1"/>
  <c r="AV42" i="19"/>
  <c r="AN42" i="19"/>
  <c r="AL42" i="19"/>
  <c r="U42" i="19"/>
  <c r="T42" i="19"/>
  <c r="N42" i="19"/>
  <c r="M42" i="19"/>
  <c r="B42" i="19"/>
  <c r="CI41" i="19"/>
  <c r="BX41" i="19"/>
  <c r="BW41" i="19"/>
  <c r="BV41" i="19"/>
  <c r="BS41" i="19"/>
  <c r="BR41" i="19"/>
  <c r="BQ41" i="19"/>
  <c r="AX41" i="19"/>
  <c r="M41" i="14" s="1"/>
  <c r="AV41" i="19"/>
  <c r="AN41" i="19"/>
  <c r="AL41" i="19"/>
  <c r="U41" i="19"/>
  <c r="T41" i="19"/>
  <c r="N41" i="19"/>
  <c r="M41" i="19"/>
  <c r="B41" i="19"/>
  <c r="BX40" i="19"/>
  <c r="BW40" i="19"/>
  <c r="BV40" i="19"/>
  <c r="BS40" i="19"/>
  <c r="BR40" i="19"/>
  <c r="BQ40" i="19"/>
  <c r="AX40" i="19"/>
  <c r="M40" i="14" s="1"/>
  <c r="AV40" i="19"/>
  <c r="AN40" i="19"/>
  <c r="AL40" i="19"/>
  <c r="U40" i="19"/>
  <c r="T40" i="19"/>
  <c r="BO40" i="19"/>
  <c r="N40" i="19"/>
  <c r="M40" i="19"/>
  <c r="B40" i="19"/>
  <c r="BX39" i="19"/>
  <c r="BW39" i="19"/>
  <c r="BV39" i="19"/>
  <c r="BR39" i="19"/>
  <c r="BQ39" i="19"/>
  <c r="AX39" i="19"/>
  <c r="M39" i="14" s="1"/>
  <c r="AV39" i="19"/>
  <c r="AN39" i="19"/>
  <c r="AL39" i="19"/>
  <c r="U39" i="19"/>
  <c r="T39" i="19"/>
  <c r="N39" i="19"/>
  <c r="M39" i="19"/>
  <c r="B39" i="19"/>
  <c r="BX38" i="19"/>
  <c r="BW38" i="19"/>
  <c r="BV38" i="19"/>
  <c r="BS38" i="19"/>
  <c r="BR38" i="19"/>
  <c r="BQ38" i="19"/>
  <c r="AX38" i="19"/>
  <c r="M38" i="14" s="1"/>
  <c r="AV38" i="19"/>
  <c r="AN38" i="19"/>
  <c r="AL38" i="19"/>
  <c r="U38" i="19"/>
  <c r="T38" i="19"/>
  <c r="N38" i="19"/>
  <c r="M38" i="19"/>
  <c r="B38" i="19"/>
  <c r="BX37" i="19"/>
  <c r="BW37" i="19"/>
  <c r="BV37" i="19"/>
  <c r="BS37" i="19"/>
  <c r="BR37" i="19"/>
  <c r="BQ37" i="19"/>
  <c r="AX37" i="19"/>
  <c r="M37" i="14" s="1"/>
  <c r="AV37" i="19"/>
  <c r="AN37" i="19"/>
  <c r="AL37" i="19"/>
  <c r="U37" i="19"/>
  <c r="T37" i="19"/>
  <c r="N37" i="19"/>
  <c r="M37" i="19"/>
  <c r="B37" i="19"/>
  <c r="CC36" i="19"/>
  <c r="BX36" i="19"/>
  <c r="BW36" i="19"/>
  <c r="BV36" i="19"/>
  <c r="BS36" i="19"/>
  <c r="BR36" i="19"/>
  <c r="BQ36" i="19"/>
  <c r="BK36" i="19"/>
  <c r="AX36" i="19"/>
  <c r="M36" i="14" s="1"/>
  <c r="AV36" i="19"/>
  <c r="AN36" i="19"/>
  <c r="AL36" i="19"/>
  <c r="U36" i="19"/>
  <c r="T36" i="19"/>
  <c r="BO36" i="19"/>
  <c r="N36" i="19"/>
  <c r="M36" i="19"/>
  <c r="B36" i="19"/>
  <c r="CD35" i="19"/>
  <c r="BX35" i="19"/>
  <c r="BW35" i="19"/>
  <c r="BV35" i="19"/>
  <c r="BS35" i="19"/>
  <c r="BR35" i="19"/>
  <c r="BQ35" i="19"/>
  <c r="AX35" i="19"/>
  <c r="M35" i="14" s="1"/>
  <c r="AV35" i="19"/>
  <c r="AN35" i="19"/>
  <c r="E35" i="14" s="1"/>
  <c r="AL35" i="19"/>
  <c r="U35" i="19"/>
  <c r="T35" i="19"/>
  <c r="BO35" i="19"/>
  <c r="N35" i="19"/>
  <c r="M35" i="19"/>
  <c r="B35" i="19"/>
  <c r="CD34" i="19"/>
  <c r="BX34" i="19"/>
  <c r="BW34" i="19"/>
  <c r="BV34" i="19"/>
  <c r="BS34" i="19"/>
  <c r="BR34" i="19"/>
  <c r="BQ34" i="19"/>
  <c r="BK34" i="19"/>
  <c r="AX34" i="19"/>
  <c r="M34" i="14" s="1"/>
  <c r="AV34" i="19"/>
  <c r="AN34" i="19"/>
  <c r="E34" i="14" s="1"/>
  <c r="AL34" i="19"/>
  <c r="U34" i="19"/>
  <c r="T34" i="19"/>
  <c r="BO34" i="19"/>
  <c r="N34" i="19"/>
  <c r="M34" i="19"/>
  <c r="B34" i="19"/>
  <c r="BX33" i="19"/>
  <c r="BW33" i="19"/>
  <c r="BV33" i="19"/>
  <c r="BS33" i="19"/>
  <c r="BR33" i="19"/>
  <c r="BQ33" i="19"/>
  <c r="AX33" i="19"/>
  <c r="M33" i="14" s="1"/>
  <c r="AV33" i="19"/>
  <c r="AN33" i="19"/>
  <c r="E33" i="14" s="1"/>
  <c r="AL33" i="19"/>
  <c r="U33" i="19"/>
  <c r="T33" i="19"/>
  <c r="BK33" i="19"/>
  <c r="N33" i="19"/>
  <c r="M33" i="19"/>
  <c r="B33" i="19"/>
  <c r="BX32" i="19"/>
  <c r="BW32" i="19"/>
  <c r="BV32" i="19"/>
  <c r="BS32" i="19"/>
  <c r="BR32" i="19"/>
  <c r="BQ32" i="19"/>
  <c r="AX32" i="19"/>
  <c r="M32" i="14" s="1"/>
  <c r="AV32" i="19"/>
  <c r="AN32" i="19"/>
  <c r="AL32" i="19"/>
  <c r="U32" i="19"/>
  <c r="T32" i="19"/>
  <c r="BO32" i="19"/>
  <c r="N32" i="19"/>
  <c r="M32" i="19"/>
  <c r="B32" i="19"/>
  <c r="BX31" i="19"/>
  <c r="BW31" i="19"/>
  <c r="BV31" i="19"/>
  <c r="BS31" i="19"/>
  <c r="BR31" i="19"/>
  <c r="BQ31" i="19"/>
  <c r="AX31" i="19"/>
  <c r="M31" i="14" s="1"/>
  <c r="AV31" i="19"/>
  <c r="AN31" i="19"/>
  <c r="E31" i="14" s="1"/>
  <c r="AL31" i="19"/>
  <c r="U31" i="19"/>
  <c r="T31" i="19"/>
  <c r="BO31" i="19"/>
  <c r="N31" i="19"/>
  <c r="M31" i="19"/>
  <c r="B31" i="19"/>
  <c r="CF30" i="19"/>
  <c r="BX30" i="19"/>
  <c r="BW30" i="19"/>
  <c r="BV30" i="19"/>
  <c r="BS30" i="19"/>
  <c r="BR30" i="19"/>
  <c r="BQ30" i="19"/>
  <c r="BK30" i="19"/>
  <c r="AX30" i="19"/>
  <c r="M30" i="14" s="1"/>
  <c r="AV30" i="19"/>
  <c r="AN30" i="19"/>
  <c r="E30" i="14" s="1"/>
  <c r="AL30" i="19"/>
  <c r="Y30" i="19"/>
  <c r="B30" i="14" s="1"/>
  <c r="T30" i="19"/>
  <c r="BO30" i="19"/>
  <c r="N30" i="19"/>
  <c r="M30" i="19"/>
  <c r="B30" i="19"/>
  <c r="CI29" i="19"/>
  <c r="BX29" i="19"/>
  <c r="BW29" i="19"/>
  <c r="BV29" i="19"/>
  <c r="BS29" i="19"/>
  <c r="BR29" i="19"/>
  <c r="BQ29" i="19"/>
  <c r="AX29" i="19"/>
  <c r="M29" i="14" s="1"/>
  <c r="AV29" i="19"/>
  <c r="AN29" i="19"/>
  <c r="AL29" i="19"/>
  <c r="U29" i="19"/>
  <c r="T29" i="19"/>
  <c r="N29" i="19"/>
  <c r="M29" i="19"/>
  <c r="B29" i="19"/>
  <c r="CB28" i="19"/>
  <c r="BX28" i="19"/>
  <c r="BW28" i="19"/>
  <c r="BV28" i="19"/>
  <c r="BS28" i="19"/>
  <c r="BR28" i="19"/>
  <c r="BQ28" i="19"/>
  <c r="AX28" i="19"/>
  <c r="M28" i="14" s="1"/>
  <c r="AV28" i="19"/>
  <c r="AN28" i="19"/>
  <c r="AL28" i="19"/>
  <c r="U28" i="19"/>
  <c r="T28" i="19"/>
  <c r="N28" i="19"/>
  <c r="M28" i="19"/>
  <c r="B28" i="19"/>
  <c r="BX27" i="19"/>
  <c r="BW27" i="19"/>
  <c r="BV27" i="19"/>
  <c r="BS27" i="19"/>
  <c r="BR27" i="19"/>
  <c r="BQ27" i="19"/>
  <c r="AX27" i="19"/>
  <c r="M27" i="14" s="1"/>
  <c r="AV27" i="19"/>
  <c r="AN27" i="19"/>
  <c r="AL27" i="19"/>
  <c r="U27" i="19"/>
  <c r="T27" i="19"/>
  <c r="BK27" i="19"/>
  <c r="N27" i="19"/>
  <c r="M27" i="19"/>
  <c r="B27" i="19"/>
  <c r="BX26" i="19"/>
  <c r="BW26" i="19"/>
  <c r="BV26" i="19"/>
  <c r="BS26" i="19"/>
  <c r="BR26" i="19"/>
  <c r="BQ26" i="19"/>
  <c r="AX26" i="19"/>
  <c r="M26" i="14" s="1"/>
  <c r="AV26" i="19"/>
  <c r="AN26" i="19"/>
  <c r="AL26" i="19"/>
  <c r="U26" i="19"/>
  <c r="T26" i="19"/>
  <c r="BK26" i="19"/>
  <c r="N26" i="19"/>
  <c r="M26" i="19"/>
  <c r="B26" i="19"/>
  <c r="BX25" i="19"/>
  <c r="BW25" i="19"/>
  <c r="BV25" i="19"/>
  <c r="BS25" i="19"/>
  <c r="BR25" i="19"/>
  <c r="BQ25" i="19"/>
  <c r="AX25" i="19"/>
  <c r="M25" i="14" s="1"/>
  <c r="AV25" i="19"/>
  <c r="AN25" i="19"/>
  <c r="AL25" i="19"/>
  <c r="U25" i="19"/>
  <c r="T25" i="19"/>
  <c r="BO25" i="19"/>
  <c r="N25" i="19"/>
  <c r="M25" i="19"/>
  <c r="B25" i="19"/>
  <c r="CC24" i="19"/>
  <c r="BX24" i="19"/>
  <c r="BW24" i="19"/>
  <c r="BV24" i="19"/>
  <c r="BS24" i="19"/>
  <c r="BR24" i="19"/>
  <c r="BQ24" i="19"/>
  <c r="AX24" i="19"/>
  <c r="M24" i="14" s="1"/>
  <c r="AV24" i="19"/>
  <c r="AN24" i="19"/>
  <c r="AL24" i="19"/>
  <c r="U24" i="19"/>
  <c r="T24" i="19"/>
  <c r="BO24" i="19"/>
  <c r="N24" i="19"/>
  <c r="M24" i="19"/>
  <c r="B24" i="19"/>
  <c r="BX23" i="19"/>
  <c r="BW23" i="19"/>
  <c r="BV23" i="19"/>
  <c r="BS23" i="19"/>
  <c r="BR23" i="19"/>
  <c r="BQ23" i="19"/>
  <c r="AX23" i="19"/>
  <c r="M23" i="14" s="1"/>
  <c r="AV23" i="19"/>
  <c r="AN23" i="19"/>
  <c r="AL23" i="19"/>
  <c r="U23" i="19"/>
  <c r="T23" i="19"/>
  <c r="N23" i="19"/>
  <c r="M23" i="19"/>
  <c r="B23" i="19"/>
  <c r="BX22" i="19"/>
  <c r="BW22" i="19"/>
  <c r="BV22" i="19"/>
  <c r="BS22" i="19"/>
  <c r="BR22" i="19"/>
  <c r="BQ22" i="19"/>
  <c r="BK22" i="19"/>
  <c r="AX22" i="19"/>
  <c r="M22" i="14" s="1"/>
  <c r="AV22" i="19"/>
  <c r="AN22" i="19"/>
  <c r="E22" i="14" s="1"/>
  <c r="AL22" i="19"/>
  <c r="U22" i="19"/>
  <c r="T22" i="19"/>
  <c r="BO22" i="19"/>
  <c r="N22" i="19"/>
  <c r="M22" i="19"/>
  <c r="B22" i="19"/>
  <c r="BX21" i="19"/>
  <c r="BW21" i="19"/>
  <c r="BV21" i="19"/>
  <c r="BR21" i="19"/>
  <c r="BQ21" i="19"/>
  <c r="AX21" i="19"/>
  <c r="M21" i="14" s="1"/>
  <c r="AV21" i="19"/>
  <c r="AN21" i="19"/>
  <c r="AL21" i="19"/>
  <c r="U21" i="19"/>
  <c r="T21" i="19"/>
  <c r="BK21" i="19"/>
  <c r="N21" i="19"/>
  <c r="M21" i="19"/>
  <c r="B21" i="19"/>
  <c r="BX20" i="19"/>
  <c r="BW20" i="19"/>
  <c r="BV20" i="19"/>
  <c r="BS20" i="19"/>
  <c r="BR20" i="19"/>
  <c r="BQ20" i="19"/>
  <c r="BK20" i="19"/>
  <c r="AX20" i="19"/>
  <c r="M20" i="14" s="1"/>
  <c r="AV20" i="19"/>
  <c r="AN20" i="19"/>
  <c r="E20" i="14" s="1"/>
  <c r="AL20" i="19"/>
  <c r="U20" i="19"/>
  <c r="T20" i="19"/>
  <c r="BO20" i="19"/>
  <c r="N20" i="19"/>
  <c r="M20" i="19"/>
  <c r="B20" i="19"/>
  <c r="BX19" i="19"/>
  <c r="BW19" i="19"/>
  <c r="BV19" i="19"/>
  <c r="BR19" i="19"/>
  <c r="BQ19" i="19"/>
  <c r="AX19" i="19"/>
  <c r="M19" i="14" s="1"/>
  <c r="AV19" i="19"/>
  <c r="AN19" i="19"/>
  <c r="AL19" i="19"/>
  <c r="U19" i="19"/>
  <c r="T19" i="19"/>
  <c r="BO19" i="19"/>
  <c r="N19" i="19"/>
  <c r="M19" i="19"/>
  <c r="B19" i="19"/>
  <c r="BX18" i="19"/>
  <c r="BW18" i="19"/>
  <c r="BV18" i="19"/>
  <c r="BS18" i="19"/>
  <c r="BR18" i="19"/>
  <c r="BQ18" i="19"/>
  <c r="AX18" i="19"/>
  <c r="M18" i="14" s="1"/>
  <c r="AV18" i="19"/>
  <c r="AN18" i="19"/>
  <c r="AL18" i="19"/>
  <c r="U18" i="19"/>
  <c r="T18" i="19"/>
  <c r="N18" i="19"/>
  <c r="M18" i="19"/>
  <c r="B18" i="19"/>
  <c r="BX17" i="19"/>
  <c r="BW17" i="19"/>
  <c r="BV17" i="19"/>
  <c r="BS17" i="19"/>
  <c r="BR17" i="19"/>
  <c r="BQ17" i="19"/>
  <c r="BK17" i="19"/>
  <c r="AX17" i="19"/>
  <c r="M17" i="14" s="1"/>
  <c r="AV17" i="19"/>
  <c r="AN17" i="19"/>
  <c r="AL17" i="19"/>
  <c r="U17" i="19"/>
  <c r="T17" i="19"/>
  <c r="BO17" i="19"/>
  <c r="N17" i="19"/>
  <c r="M17" i="19"/>
  <c r="B17" i="19"/>
  <c r="BX16" i="19"/>
  <c r="BW16" i="19"/>
  <c r="BV16" i="19"/>
  <c r="BR16" i="19"/>
  <c r="BQ16" i="19"/>
  <c r="AX16" i="19"/>
  <c r="M16" i="14" s="1"/>
  <c r="AV16" i="19"/>
  <c r="AN16" i="19"/>
  <c r="E16" i="14" s="1"/>
  <c r="AL16" i="19"/>
  <c r="U16" i="19"/>
  <c r="T16" i="19"/>
  <c r="BO16" i="19"/>
  <c r="N16" i="19"/>
  <c r="M16" i="19"/>
  <c r="B16" i="19"/>
  <c r="BX15" i="19"/>
  <c r="BW15" i="19"/>
  <c r="BV15" i="19"/>
  <c r="BS15" i="19"/>
  <c r="BR15" i="19"/>
  <c r="BQ15" i="19"/>
  <c r="AX15" i="19"/>
  <c r="M15" i="14" s="1"/>
  <c r="AV15" i="19"/>
  <c r="AN15" i="19"/>
  <c r="AL15" i="19"/>
  <c r="U15" i="19"/>
  <c r="T15" i="19"/>
  <c r="N15" i="19"/>
  <c r="M15" i="19"/>
  <c r="B15" i="19"/>
  <c r="CG14" i="19"/>
  <c r="BX14" i="19"/>
  <c r="BW14" i="19"/>
  <c r="BV14" i="19"/>
  <c r="BS14" i="19"/>
  <c r="BR14" i="19"/>
  <c r="BQ14" i="19"/>
  <c r="AX14" i="19"/>
  <c r="M14" i="14" s="1"/>
  <c r="AV14" i="19"/>
  <c r="AN14" i="19"/>
  <c r="AL14" i="19"/>
  <c r="U14" i="19"/>
  <c r="T14" i="19"/>
  <c r="N14" i="19"/>
  <c r="M14" i="19"/>
  <c r="B14" i="19"/>
  <c r="BZ13" i="19"/>
  <c r="BX13" i="19"/>
  <c r="BW13" i="19"/>
  <c r="BV13" i="19"/>
  <c r="BS13" i="19"/>
  <c r="BR13" i="19"/>
  <c r="BQ13" i="19"/>
  <c r="AX13" i="19"/>
  <c r="M13" i="14" s="1"/>
  <c r="AV13" i="19"/>
  <c r="AN13" i="19"/>
  <c r="AL13" i="19"/>
  <c r="U13" i="19"/>
  <c r="T13" i="19"/>
  <c r="BK13" i="19"/>
  <c r="N13" i="19"/>
  <c r="M13" i="19"/>
  <c r="B13" i="19"/>
  <c r="CA12" i="19"/>
  <c r="BX12" i="19"/>
  <c r="BW12" i="19"/>
  <c r="BV12" i="19"/>
  <c r="BS12" i="19"/>
  <c r="BR12" i="19"/>
  <c r="BQ12" i="19"/>
  <c r="AX12" i="19"/>
  <c r="M12" i="14" s="1"/>
  <c r="AV12" i="19"/>
  <c r="AN12" i="19"/>
  <c r="AL12" i="19"/>
  <c r="U12" i="19"/>
  <c r="T12" i="19"/>
  <c r="BK12" i="19"/>
  <c r="N12" i="19"/>
  <c r="M12" i="19"/>
  <c r="B12" i="19"/>
  <c r="CI11" i="19"/>
  <c r="BX11" i="19"/>
  <c r="BW11" i="19"/>
  <c r="BV11" i="19"/>
  <c r="BS11" i="19"/>
  <c r="BR11" i="19"/>
  <c r="BQ11" i="19"/>
  <c r="AX11" i="19"/>
  <c r="M11" i="14" s="1"/>
  <c r="AV11" i="19"/>
  <c r="AN11" i="19"/>
  <c r="E11" i="14" s="1"/>
  <c r="AL11" i="19"/>
  <c r="U11" i="19"/>
  <c r="T11" i="19"/>
  <c r="BO11" i="19"/>
  <c r="N11" i="19"/>
  <c r="M11" i="19"/>
  <c r="B11" i="19"/>
  <c r="BX10" i="19"/>
  <c r="BW10" i="19"/>
  <c r="BV10" i="19"/>
  <c r="BS10" i="19"/>
  <c r="BR10" i="19"/>
  <c r="BQ10" i="19"/>
  <c r="AX10" i="19"/>
  <c r="M10" i="14" s="1"/>
  <c r="AV10" i="19"/>
  <c r="AY10" i="19"/>
  <c r="U10" i="19"/>
  <c r="BO10" i="19"/>
  <c r="N10" i="19"/>
  <c r="M10" i="19"/>
  <c r="B10" i="19"/>
  <c r="CI9" i="19"/>
  <c r="BX9" i="19"/>
  <c r="BW9" i="19"/>
  <c r="BV9" i="19"/>
  <c r="BS9" i="19"/>
  <c r="BR9" i="19"/>
  <c r="BQ9" i="19"/>
  <c r="AX9" i="19"/>
  <c r="M9" i="14" s="1"/>
  <c r="AV9" i="19"/>
  <c r="AN9" i="19"/>
  <c r="AL9" i="19"/>
  <c r="U9" i="19"/>
  <c r="T9" i="19"/>
  <c r="BO9" i="19"/>
  <c r="N9" i="19"/>
  <c r="M9" i="19"/>
  <c r="B9" i="19"/>
  <c r="BX8" i="19"/>
  <c r="BW8" i="19"/>
  <c r="BV8" i="19"/>
  <c r="BS8" i="19"/>
  <c r="BR8" i="19"/>
  <c r="BQ8" i="19"/>
  <c r="AX8" i="19"/>
  <c r="M8" i="14" s="1"/>
  <c r="AV8" i="19"/>
  <c r="AN8" i="19"/>
  <c r="AL8" i="19"/>
  <c r="U8" i="19"/>
  <c r="T8" i="19"/>
  <c r="BO8" i="19"/>
  <c r="N8" i="19"/>
  <c r="M8" i="19"/>
  <c r="B8" i="19"/>
  <c r="CA7" i="19"/>
  <c r="BX7" i="19"/>
  <c r="BW7" i="19"/>
  <c r="BV7" i="19"/>
  <c r="BS7" i="19"/>
  <c r="BR7" i="19"/>
  <c r="BQ7" i="19"/>
  <c r="AX7" i="19"/>
  <c r="M7" i="14" s="1"/>
  <c r="AV7" i="19"/>
  <c r="AN7" i="19"/>
  <c r="AL7" i="19"/>
  <c r="U7" i="19"/>
  <c r="T7" i="19"/>
  <c r="BK7" i="19"/>
  <c r="N7" i="19"/>
  <c r="M7" i="19"/>
  <c r="B7" i="19"/>
  <c r="BX6" i="19"/>
  <c r="BW6" i="19"/>
  <c r="BV6" i="19"/>
  <c r="BS6" i="19"/>
  <c r="BR6" i="19"/>
  <c r="BQ6" i="19"/>
  <c r="AX6" i="19"/>
  <c r="M6" i="14" s="1"/>
  <c r="AV6" i="19"/>
  <c r="AN6" i="19"/>
  <c r="E6" i="14" s="1"/>
  <c r="AL6" i="19"/>
  <c r="U6" i="19"/>
  <c r="T6" i="19"/>
  <c r="N6" i="19"/>
  <c r="M6" i="19"/>
  <c r="B6" i="19"/>
  <c r="BX5" i="19"/>
  <c r="BW5" i="19"/>
  <c r="BV5" i="19"/>
  <c r="BS5" i="19"/>
  <c r="BR5" i="19"/>
  <c r="BQ5" i="19"/>
  <c r="AX5" i="19"/>
  <c r="M5" i="14" s="1"/>
  <c r="AV5" i="19"/>
  <c r="AN5" i="19"/>
  <c r="E5" i="14" s="1"/>
  <c r="AL5" i="19"/>
  <c r="U5" i="19"/>
  <c r="T5" i="19"/>
  <c r="N5" i="19"/>
  <c r="M5" i="19"/>
  <c r="B5" i="19"/>
  <c r="BX4" i="19"/>
  <c r="BW4" i="19"/>
  <c r="BV4" i="19"/>
  <c r="BS4" i="19"/>
  <c r="BR4" i="19"/>
  <c r="BQ4" i="19"/>
  <c r="AX4" i="19"/>
  <c r="M4" i="14" s="1"/>
  <c r="AV4" i="19"/>
  <c r="AN4" i="19"/>
  <c r="E4" i="14" s="1"/>
  <c r="U4" i="19"/>
  <c r="T4" i="19"/>
  <c r="BK4" i="19"/>
  <c r="N4" i="19"/>
  <c r="M4" i="19"/>
  <c r="B4" i="19"/>
  <c r="CC3" i="19"/>
  <c r="BX3" i="19"/>
  <c r="BW3" i="19"/>
  <c r="BV3" i="19"/>
  <c r="BS3" i="19"/>
  <c r="BR3" i="19"/>
  <c r="BQ3" i="19"/>
  <c r="AX3" i="19"/>
  <c r="M3" i="14" s="1"/>
  <c r="AV3" i="19"/>
  <c r="AN3" i="19"/>
  <c r="AL3" i="19"/>
  <c r="T3" i="19"/>
  <c r="BK3" i="19"/>
  <c r="N3" i="19"/>
  <c r="M3" i="19"/>
  <c r="B3" i="19"/>
  <c r="BX2" i="19"/>
  <c r="BW2" i="19"/>
  <c r="BV2" i="19"/>
  <c r="BS2" i="19"/>
  <c r="BR2" i="19"/>
  <c r="BQ2" i="19"/>
  <c r="BP2" i="19"/>
  <c r="AX2" i="19"/>
  <c r="M2" i="14" s="1"/>
  <c r="AV2" i="19"/>
  <c r="AN2" i="19"/>
  <c r="T2" i="19"/>
  <c r="B2" i="19"/>
  <c r="CI324" i="19"/>
  <c r="CH324" i="19"/>
  <c r="CG324" i="19"/>
  <c r="CF324" i="19"/>
  <c r="CE324" i="19"/>
  <c r="CD324" i="19"/>
  <c r="CC324" i="19"/>
  <c r="CB324" i="19"/>
  <c r="CA324" i="19"/>
  <c r="BZ324" i="19"/>
  <c r="CI323" i="19"/>
  <c r="CH323" i="19"/>
  <c r="CG323" i="19"/>
  <c r="CF323" i="19"/>
  <c r="CE323" i="19"/>
  <c r="CD323" i="19"/>
  <c r="CC323" i="19"/>
  <c r="CB323" i="19"/>
  <c r="CA323" i="19"/>
  <c r="BZ323" i="19"/>
  <c r="CI322" i="19"/>
  <c r="CH322" i="19"/>
  <c r="CG322" i="19"/>
  <c r="CF322" i="19"/>
  <c r="CE322" i="19"/>
  <c r="CD322" i="19"/>
  <c r="CC322" i="19"/>
  <c r="CB322" i="19"/>
  <c r="CA322" i="19"/>
  <c r="BZ322" i="19"/>
  <c r="CI321" i="19"/>
  <c r="CH321" i="19"/>
  <c r="CG321" i="19"/>
  <c r="CF321" i="19"/>
  <c r="CE321" i="19"/>
  <c r="CD321" i="19"/>
  <c r="CC321" i="19"/>
  <c r="CB321" i="19"/>
  <c r="CA321" i="19"/>
  <c r="BZ321" i="19"/>
  <c r="CI320" i="19"/>
  <c r="CH320" i="19"/>
  <c r="CG320" i="19"/>
  <c r="CF320" i="19"/>
  <c r="CE320" i="19"/>
  <c r="CD320" i="19"/>
  <c r="CC320" i="19"/>
  <c r="CB320" i="19"/>
  <c r="CA320" i="19"/>
  <c r="BZ320" i="19"/>
  <c r="CI319" i="19"/>
  <c r="CH319" i="19"/>
  <c r="CG319" i="19"/>
  <c r="CF319" i="19"/>
  <c r="CE319" i="19"/>
  <c r="CD319" i="19"/>
  <c r="CC319" i="19"/>
  <c r="CB319" i="19"/>
  <c r="CA319" i="19"/>
  <c r="BZ319" i="19"/>
  <c r="CI318" i="19"/>
  <c r="CH318" i="19"/>
  <c r="CG318" i="19"/>
  <c r="CF318" i="19"/>
  <c r="CE318" i="19"/>
  <c r="CD318" i="19"/>
  <c r="CC318" i="19"/>
  <c r="CB318" i="19"/>
  <c r="CA318" i="19"/>
  <c r="BZ318" i="19"/>
  <c r="CI317" i="19"/>
  <c r="CH317" i="19"/>
  <c r="CG317" i="19"/>
  <c r="CF317" i="19"/>
  <c r="CE317" i="19"/>
  <c r="CD317" i="19"/>
  <c r="CC317" i="19"/>
  <c r="CB317" i="19"/>
  <c r="CA317" i="19"/>
  <c r="BZ317" i="19"/>
  <c r="CI316" i="19"/>
  <c r="CH316" i="19"/>
  <c r="CG316" i="19"/>
  <c r="CF316" i="19"/>
  <c r="CE316" i="19"/>
  <c r="CD316" i="19"/>
  <c r="CC316" i="19"/>
  <c r="CB316" i="19"/>
  <c r="CA316" i="19"/>
  <c r="BZ316" i="19"/>
  <c r="CI315" i="19"/>
  <c r="CH315" i="19"/>
  <c r="CG315" i="19"/>
  <c r="CF315" i="19"/>
  <c r="CE315" i="19"/>
  <c r="CD315" i="19"/>
  <c r="CC315" i="19"/>
  <c r="CB315" i="19"/>
  <c r="CA315" i="19"/>
  <c r="BZ315" i="19"/>
  <c r="CI314" i="19"/>
  <c r="CH314" i="19"/>
  <c r="CG314" i="19"/>
  <c r="CF314" i="19"/>
  <c r="CE314" i="19"/>
  <c r="CD314" i="19"/>
  <c r="CC314" i="19"/>
  <c r="CB314" i="19"/>
  <c r="CA314" i="19"/>
  <c r="BZ314" i="19"/>
  <c r="CI313" i="19"/>
  <c r="CH313" i="19"/>
  <c r="CG313" i="19"/>
  <c r="CF313" i="19"/>
  <c r="CE313" i="19"/>
  <c r="CD313" i="19"/>
  <c r="CC313" i="19"/>
  <c r="CB313" i="19"/>
  <c r="CA313" i="19"/>
  <c r="BZ313" i="19"/>
  <c r="CI312" i="19"/>
  <c r="CH312" i="19"/>
  <c r="CG312" i="19"/>
  <c r="CF312" i="19"/>
  <c r="CE312" i="19"/>
  <c r="CD312" i="19"/>
  <c r="CC312" i="19"/>
  <c r="CB312" i="19"/>
  <c r="CA312" i="19"/>
  <c r="BZ312" i="19"/>
  <c r="CI311" i="19"/>
  <c r="CH311" i="19"/>
  <c r="CG311" i="19"/>
  <c r="CF311" i="19"/>
  <c r="CE311" i="19"/>
  <c r="CD311" i="19"/>
  <c r="CC311" i="19"/>
  <c r="CB311" i="19"/>
  <c r="CA311" i="19"/>
  <c r="BZ311" i="19"/>
  <c r="CI310" i="19"/>
  <c r="CH310" i="19"/>
  <c r="CG310" i="19"/>
  <c r="CF310" i="19"/>
  <c r="CE310" i="19"/>
  <c r="CD310" i="19"/>
  <c r="CC310" i="19"/>
  <c r="CB310" i="19"/>
  <c r="CA310" i="19"/>
  <c r="BZ310" i="19"/>
  <c r="CI309" i="19"/>
  <c r="CH309" i="19"/>
  <c r="CG309" i="19"/>
  <c r="CF309" i="19"/>
  <c r="CE309" i="19"/>
  <c r="CD309" i="19"/>
  <c r="CC309" i="19"/>
  <c r="CB309" i="19"/>
  <c r="CA309" i="19"/>
  <c r="BZ309" i="19"/>
  <c r="CI308" i="19"/>
  <c r="CH308" i="19"/>
  <c r="CG308" i="19"/>
  <c r="CF308" i="19"/>
  <c r="CE308" i="19"/>
  <c r="CD308" i="19"/>
  <c r="CC308" i="19"/>
  <c r="CB308" i="19"/>
  <c r="CA308" i="19"/>
  <c r="BZ308" i="19"/>
  <c r="CI307" i="19"/>
  <c r="CH307" i="19"/>
  <c r="CG307" i="19"/>
  <c r="CF307" i="19"/>
  <c r="CE307" i="19"/>
  <c r="CD307" i="19"/>
  <c r="CC307" i="19"/>
  <c r="CB307" i="19"/>
  <c r="CA307" i="19"/>
  <c r="BZ307" i="19"/>
  <c r="CI306" i="19"/>
  <c r="CH306" i="19"/>
  <c r="CG306" i="19"/>
  <c r="CF306" i="19"/>
  <c r="CE306" i="19"/>
  <c r="CD306" i="19"/>
  <c r="CC306" i="19"/>
  <c r="CB306" i="19"/>
  <c r="CA306" i="19"/>
  <c r="BZ306" i="19"/>
  <c r="CI305" i="19"/>
  <c r="CH305" i="19"/>
  <c r="CG305" i="19"/>
  <c r="CF305" i="19"/>
  <c r="CE305" i="19"/>
  <c r="CD305" i="19"/>
  <c r="CC305" i="19"/>
  <c r="CB305" i="19"/>
  <c r="CA305" i="19"/>
  <c r="BZ305" i="19"/>
  <c r="CI304" i="19"/>
  <c r="CH304" i="19"/>
  <c r="CG304" i="19"/>
  <c r="CF304" i="19"/>
  <c r="CE304" i="19"/>
  <c r="CD304" i="19"/>
  <c r="CC304" i="19"/>
  <c r="CB304" i="19"/>
  <c r="CA304" i="19"/>
  <c r="BZ304" i="19"/>
  <c r="CI303" i="19"/>
  <c r="CH303" i="19"/>
  <c r="CG303" i="19"/>
  <c r="CF303" i="19"/>
  <c r="CE303" i="19"/>
  <c r="CD303" i="19"/>
  <c r="CC303" i="19"/>
  <c r="CB303" i="19"/>
  <c r="CA303" i="19"/>
  <c r="BZ303" i="19"/>
  <c r="CI302" i="19"/>
  <c r="CH302" i="19"/>
  <c r="CG302" i="19"/>
  <c r="CF302" i="19"/>
  <c r="CE302" i="19"/>
  <c r="CD302" i="19"/>
  <c r="CC302" i="19"/>
  <c r="CB302" i="19"/>
  <c r="CA302" i="19"/>
  <c r="BZ302" i="19"/>
  <c r="CI301" i="19"/>
  <c r="CH301" i="19"/>
  <c r="CG301" i="19"/>
  <c r="CF301" i="19"/>
  <c r="CE301" i="19"/>
  <c r="CD301" i="19"/>
  <c r="CC301" i="19"/>
  <c r="CB301" i="19"/>
  <c r="CA301" i="19"/>
  <c r="BZ301" i="19"/>
  <c r="CI300" i="19"/>
  <c r="CH300" i="19"/>
  <c r="CG300" i="19"/>
  <c r="CF300" i="19"/>
  <c r="CE300" i="19"/>
  <c r="CD300" i="19"/>
  <c r="CC300" i="19"/>
  <c r="CB300" i="19"/>
  <c r="CA300" i="19"/>
  <c r="BZ300" i="19"/>
  <c r="CI299" i="19"/>
  <c r="CH299" i="19"/>
  <c r="CG299" i="19"/>
  <c r="CF299" i="19"/>
  <c r="CE299" i="19"/>
  <c r="CD299" i="19"/>
  <c r="CC299" i="19"/>
  <c r="CB299" i="19"/>
  <c r="CA299" i="19"/>
  <c r="BZ299" i="19"/>
  <c r="CI298" i="19"/>
  <c r="CH298" i="19"/>
  <c r="CG298" i="19"/>
  <c r="CF298" i="19"/>
  <c r="CE298" i="19"/>
  <c r="CD298" i="19"/>
  <c r="CC298" i="19"/>
  <c r="CB298" i="19"/>
  <c r="CA298" i="19"/>
  <c r="BZ298" i="19"/>
  <c r="CI297" i="19"/>
  <c r="CH297" i="19"/>
  <c r="CG297" i="19"/>
  <c r="CF297" i="19"/>
  <c r="CE297" i="19"/>
  <c r="CD297" i="19"/>
  <c r="CC297" i="19"/>
  <c r="CB297" i="19"/>
  <c r="CA297" i="19"/>
  <c r="BZ297" i="19"/>
  <c r="CI296" i="19"/>
  <c r="CH296" i="19"/>
  <c r="CG296" i="19"/>
  <c r="CF296" i="19"/>
  <c r="CE296" i="19"/>
  <c r="CD296" i="19"/>
  <c r="CC296" i="19"/>
  <c r="CB296" i="19"/>
  <c r="CA296" i="19"/>
  <c r="BZ296" i="19"/>
  <c r="CI295" i="19"/>
  <c r="CH295" i="19"/>
  <c r="CG295" i="19"/>
  <c r="CF295" i="19"/>
  <c r="CE295" i="19"/>
  <c r="CD295" i="19"/>
  <c r="CC295" i="19"/>
  <c r="CB295" i="19"/>
  <c r="CA295" i="19"/>
  <c r="BZ295" i="19"/>
  <c r="CI294" i="19"/>
  <c r="CH294" i="19"/>
  <c r="CG294" i="19"/>
  <c r="CF294" i="19"/>
  <c r="CE294" i="19"/>
  <c r="CD294" i="19"/>
  <c r="CC294" i="19"/>
  <c r="CB294" i="19"/>
  <c r="CA294" i="19"/>
  <c r="BZ294" i="19"/>
  <c r="CI293" i="19"/>
  <c r="CH293" i="19"/>
  <c r="CG293" i="19"/>
  <c r="CF293" i="19"/>
  <c r="CE293" i="19"/>
  <c r="CD293" i="19"/>
  <c r="CC293" i="19"/>
  <c r="CB293" i="19"/>
  <c r="CA293" i="19"/>
  <c r="BZ293" i="19"/>
  <c r="CI292" i="19"/>
  <c r="CH292" i="19"/>
  <c r="CG292" i="19"/>
  <c r="CF292" i="19"/>
  <c r="CE292" i="19"/>
  <c r="CD292" i="19"/>
  <c r="CC292" i="19"/>
  <c r="CB292" i="19"/>
  <c r="CA292" i="19"/>
  <c r="BZ292" i="19"/>
  <c r="CI291" i="19"/>
  <c r="CH291" i="19"/>
  <c r="CG291" i="19"/>
  <c r="CF291" i="19"/>
  <c r="CE291" i="19"/>
  <c r="CD291" i="19"/>
  <c r="CC291" i="19"/>
  <c r="CB291" i="19"/>
  <c r="CA291" i="19"/>
  <c r="BZ291" i="19"/>
  <c r="CI290" i="19"/>
  <c r="CH290" i="19"/>
  <c r="CG290" i="19"/>
  <c r="CF290" i="19"/>
  <c r="CE290" i="19"/>
  <c r="CD290" i="19"/>
  <c r="CC290" i="19"/>
  <c r="CB290" i="19"/>
  <c r="CA290" i="19"/>
  <c r="BZ290" i="19"/>
  <c r="CI289" i="19"/>
  <c r="CH289" i="19"/>
  <c r="CG289" i="19"/>
  <c r="CF289" i="19"/>
  <c r="CE289" i="19"/>
  <c r="CD289" i="19"/>
  <c r="CC289" i="19"/>
  <c r="CB289" i="19"/>
  <c r="CA289" i="19"/>
  <c r="BZ289" i="19"/>
  <c r="CI288" i="19"/>
  <c r="CH288" i="19"/>
  <c r="CG288" i="19"/>
  <c r="CF288" i="19"/>
  <c r="CE288" i="19"/>
  <c r="CD288" i="19"/>
  <c r="CC288" i="19"/>
  <c r="CB288" i="19"/>
  <c r="CA288" i="19"/>
  <c r="BZ288" i="19"/>
  <c r="CI287" i="19"/>
  <c r="CH287" i="19"/>
  <c r="CG287" i="19"/>
  <c r="CF287" i="19"/>
  <c r="CE287" i="19"/>
  <c r="CD287" i="19"/>
  <c r="CC287" i="19"/>
  <c r="CB287" i="19"/>
  <c r="CA287" i="19"/>
  <c r="BZ287" i="19"/>
  <c r="CI286" i="19"/>
  <c r="CH286" i="19"/>
  <c r="CG286" i="19"/>
  <c r="CF286" i="19"/>
  <c r="CE286" i="19"/>
  <c r="CD286" i="19"/>
  <c r="CC286" i="19"/>
  <c r="CB286" i="19"/>
  <c r="CA286" i="19"/>
  <c r="BZ286" i="19"/>
  <c r="CI285" i="19"/>
  <c r="CH285" i="19"/>
  <c r="CG285" i="19"/>
  <c r="CF285" i="19"/>
  <c r="CE285" i="19"/>
  <c r="CD285" i="19"/>
  <c r="CC285" i="19"/>
  <c r="CB285" i="19"/>
  <c r="CA285" i="19"/>
  <c r="BZ285" i="19"/>
  <c r="CI284" i="19"/>
  <c r="CH284" i="19"/>
  <c r="CG284" i="19"/>
  <c r="CF284" i="19"/>
  <c r="CE284" i="19"/>
  <c r="CD284" i="19"/>
  <c r="CC284" i="19"/>
  <c r="CB284" i="19"/>
  <c r="CA284" i="19"/>
  <c r="BZ284" i="19"/>
  <c r="CI283" i="19"/>
  <c r="CH283" i="19"/>
  <c r="CG283" i="19"/>
  <c r="CF283" i="19"/>
  <c r="CE283" i="19"/>
  <c r="CD283" i="19"/>
  <c r="CC283" i="19"/>
  <c r="CB283" i="19"/>
  <c r="CA283" i="19"/>
  <c r="BZ283" i="19"/>
  <c r="CI282" i="19"/>
  <c r="CH282" i="19"/>
  <c r="CG282" i="19"/>
  <c r="CF282" i="19"/>
  <c r="CE282" i="19"/>
  <c r="CD282" i="19"/>
  <c r="CC282" i="19"/>
  <c r="CB282" i="19"/>
  <c r="CA282" i="19"/>
  <c r="BZ282" i="19"/>
  <c r="CI281" i="19"/>
  <c r="CH281" i="19"/>
  <c r="CG281" i="19"/>
  <c r="CF281" i="19"/>
  <c r="CE281" i="19"/>
  <c r="CD281" i="19"/>
  <c r="CC281" i="19"/>
  <c r="CB281" i="19"/>
  <c r="CA281" i="19"/>
  <c r="BZ281" i="19"/>
  <c r="CI280" i="19"/>
  <c r="CH280" i="19"/>
  <c r="CG280" i="19"/>
  <c r="CF280" i="19"/>
  <c r="CE280" i="19"/>
  <c r="CD280" i="19"/>
  <c r="CC280" i="19"/>
  <c r="CB280" i="19"/>
  <c r="CA280" i="19"/>
  <c r="BZ280" i="19"/>
  <c r="CI279" i="19"/>
  <c r="CH279" i="19"/>
  <c r="CG279" i="19"/>
  <c r="CF279" i="19"/>
  <c r="CE279" i="19"/>
  <c r="CD279" i="19"/>
  <c r="CC279" i="19"/>
  <c r="CB279" i="19"/>
  <c r="CA279" i="19"/>
  <c r="BZ279" i="19"/>
  <c r="CI278" i="19"/>
  <c r="CH278" i="19"/>
  <c r="CG278" i="19"/>
  <c r="CF278" i="19"/>
  <c r="CE278" i="19"/>
  <c r="CD278" i="19"/>
  <c r="CC278" i="19"/>
  <c r="CB278" i="19"/>
  <c r="CA278" i="19"/>
  <c r="BZ278" i="19"/>
  <c r="CI277" i="19"/>
  <c r="CH277" i="19"/>
  <c r="CG277" i="19"/>
  <c r="CF277" i="19"/>
  <c r="CE277" i="19"/>
  <c r="CD277" i="19"/>
  <c r="CC277" i="19"/>
  <c r="CB277" i="19"/>
  <c r="CA277" i="19"/>
  <c r="BZ277" i="19"/>
  <c r="CI276" i="19"/>
  <c r="CH276" i="19"/>
  <c r="CG276" i="19"/>
  <c r="CF276" i="19"/>
  <c r="CE276" i="19"/>
  <c r="CD276" i="19"/>
  <c r="CC276" i="19"/>
  <c r="CB276" i="19"/>
  <c r="CA276" i="19"/>
  <c r="BZ276" i="19"/>
  <c r="CI275" i="19"/>
  <c r="CH275" i="19"/>
  <c r="CG275" i="19"/>
  <c r="CF275" i="19"/>
  <c r="CE275" i="19"/>
  <c r="CD275" i="19"/>
  <c r="CC275" i="19"/>
  <c r="CB275" i="19"/>
  <c r="CA275" i="19"/>
  <c r="BZ275" i="19"/>
  <c r="CI274" i="19"/>
  <c r="CH274" i="19"/>
  <c r="CG274" i="19"/>
  <c r="CF274" i="19"/>
  <c r="CE274" i="19"/>
  <c r="CD274" i="19"/>
  <c r="CC274" i="19"/>
  <c r="CB274" i="19"/>
  <c r="CA274" i="19"/>
  <c r="BZ274" i="19"/>
  <c r="CI273" i="19"/>
  <c r="CH273" i="19"/>
  <c r="CG273" i="19"/>
  <c r="CF273" i="19"/>
  <c r="CE273" i="19"/>
  <c r="CD273" i="19"/>
  <c r="CC273" i="19"/>
  <c r="CB273" i="19"/>
  <c r="CA273" i="19"/>
  <c r="BZ273" i="19"/>
  <c r="CI272" i="19"/>
  <c r="CH272" i="19"/>
  <c r="CG272" i="19"/>
  <c r="CF272" i="19"/>
  <c r="CE272" i="19"/>
  <c r="CD272" i="19"/>
  <c r="CC272" i="19"/>
  <c r="CB272" i="19"/>
  <c r="CA272" i="19"/>
  <c r="BZ272" i="19"/>
  <c r="CI271" i="19"/>
  <c r="CH271" i="19"/>
  <c r="CG271" i="19"/>
  <c r="CF271" i="19"/>
  <c r="CE271" i="19"/>
  <c r="CD271" i="19"/>
  <c r="CC271" i="19"/>
  <c r="CB271" i="19"/>
  <c r="CA271" i="19"/>
  <c r="BZ271" i="19"/>
  <c r="CI270" i="19"/>
  <c r="CH270" i="19"/>
  <c r="CG270" i="19"/>
  <c r="CF270" i="19"/>
  <c r="CE270" i="19"/>
  <c r="CD270" i="19"/>
  <c r="CC270" i="19"/>
  <c r="CB270" i="19"/>
  <c r="CA270" i="19"/>
  <c r="BZ270" i="19"/>
  <c r="CI269" i="19"/>
  <c r="CH269" i="19"/>
  <c r="CG269" i="19"/>
  <c r="CF269" i="19"/>
  <c r="CE269" i="19"/>
  <c r="CD269" i="19"/>
  <c r="CC269" i="19"/>
  <c r="CB269" i="19"/>
  <c r="CA269" i="19"/>
  <c r="BZ269" i="19"/>
  <c r="CI268" i="19"/>
  <c r="CH268" i="19"/>
  <c r="CG268" i="19"/>
  <c r="CF268" i="19"/>
  <c r="CE268" i="19"/>
  <c r="CD268" i="19"/>
  <c r="CC268" i="19"/>
  <c r="CB268" i="19"/>
  <c r="CA268" i="19"/>
  <c r="BZ268" i="19"/>
  <c r="CI267" i="19"/>
  <c r="CH267" i="19"/>
  <c r="CG267" i="19"/>
  <c r="CF267" i="19"/>
  <c r="CE267" i="19"/>
  <c r="CD267" i="19"/>
  <c r="CC267" i="19"/>
  <c r="CB267" i="19"/>
  <c r="CA267" i="19"/>
  <c r="BZ267" i="19"/>
  <c r="CI266" i="19"/>
  <c r="CH266" i="19"/>
  <c r="CG266" i="19"/>
  <c r="CF266" i="19"/>
  <c r="CE266" i="19"/>
  <c r="CD266" i="19"/>
  <c r="CC266" i="19"/>
  <c r="CB266" i="19"/>
  <c r="CA266" i="19"/>
  <c r="BZ266" i="19"/>
  <c r="CI265" i="19"/>
  <c r="CH265" i="19"/>
  <c r="CG265" i="19"/>
  <c r="CF265" i="19"/>
  <c r="CE265" i="19"/>
  <c r="CD265" i="19"/>
  <c r="CC265" i="19"/>
  <c r="CB265" i="19"/>
  <c r="CA265" i="19"/>
  <c r="BZ265" i="19"/>
  <c r="CI264" i="19"/>
  <c r="CH264" i="19"/>
  <c r="CG264" i="19"/>
  <c r="CF264" i="19"/>
  <c r="CE264" i="19"/>
  <c r="CD264" i="19"/>
  <c r="CC264" i="19"/>
  <c r="CB264" i="19"/>
  <c r="CA264" i="19"/>
  <c r="BZ264" i="19"/>
  <c r="CI263" i="19"/>
  <c r="CH263" i="19"/>
  <c r="CG263" i="19"/>
  <c r="CF263" i="19"/>
  <c r="CE263" i="19"/>
  <c r="CD263" i="19"/>
  <c r="CC263" i="19"/>
  <c r="CB263" i="19"/>
  <c r="CA263" i="19"/>
  <c r="BZ263" i="19"/>
  <c r="CI262" i="19"/>
  <c r="CH262" i="19"/>
  <c r="CG262" i="19"/>
  <c r="CF262" i="19"/>
  <c r="CE262" i="19"/>
  <c r="CD262" i="19"/>
  <c r="CC262" i="19"/>
  <c r="CB262" i="19"/>
  <c r="CA262" i="19"/>
  <c r="BZ262" i="19"/>
  <c r="CI261" i="19"/>
  <c r="CH261" i="19"/>
  <c r="CG261" i="19"/>
  <c r="CF261" i="19"/>
  <c r="CE261" i="19"/>
  <c r="CD261" i="19"/>
  <c r="CC261" i="19"/>
  <c r="CB261" i="19"/>
  <c r="CA261" i="19"/>
  <c r="BZ261" i="19"/>
  <c r="CI260" i="19"/>
  <c r="CH260" i="19"/>
  <c r="CG260" i="19"/>
  <c r="CF260" i="19"/>
  <c r="CE260" i="19"/>
  <c r="CD260" i="19"/>
  <c r="CC260" i="19"/>
  <c r="CB260" i="19"/>
  <c r="CA260" i="19"/>
  <c r="BZ260" i="19"/>
  <c r="CI259" i="19"/>
  <c r="CH259" i="19"/>
  <c r="CG259" i="19"/>
  <c r="CF259" i="19"/>
  <c r="CE259" i="19"/>
  <c r="CD259" i="19"/>
  <c r="CC259" i="19"/>
  <c r="CB259" i="19"/>
  <c r="CA259" i="19"/>
  <c r="BZ259" i="19"/>
  <c r="CI258" i="19"/>
  <c r="CH258" i="19"/>
  <c r="CG258" i="19"/>
  <c r="CF258" i="19"/>
  <c r="CE258" i="19"/>
  <c r="CD258" i="19"/>
  <c r="CC258" i="19"/>
  <c r="CB258" i="19"/>
  <c r="CA258" i="19"/>
  <c r="BZ258" i="19"/>
  <c r="CI257" i="19"/>
  <c r="CH257" i="19"/>
  <c r="CG257" i="19"/>
  <c r="CF257" i="19"/>
  <c r="CE257" i="19"/>
  <c r="CD257" i="19"/>
  <c r="CC257" i="19"/>
  <c r="CB257" i="19"/>
  <c r="CA257" i="19"/>
  <c r="BZ257" i="19"/>
  <c r="CI256" i="19"/>
  <c r="CH256" i="19"/>
  <c r="CG256" i="19"/>
  <c r="CF256" i="19"/>
  <c r="CE256" i="19"/>
  <c r="CD256" i="19"/>
  <c r="CC256" i="19"/>
  <c r="CB256" i="19"/>
  <c r="CA256" i="19"/>
  <c r="BZ256" i="19"/>
  <c r="CI255" i="19"/>
  <c r="CH255" i="19"/>
  <c r="CG255" i="19"/>
  <c r="CF255" i="19"/>
  <c r="CE255" i="19"/>
  <c r="CD255" i="19"/>
  <c r="CC255" i="19"/>
  <c r="CB255" i="19"/>
  <c r="CA255" i="19"/>
  <c r="BZ255" i="19"/>
  <c r="CI254" i="19"/>
  <c r="CH254" i="19"/>
  <c r="CG254" i="19"/>
  <c r="CF254" i="19"/>
  <c r="CE254" i="19"/>
  <c r="CD254" i="19"/>
  <c r="CC254" i="19"/>
  <c r="CB254" i="19"/>
  <c r="CA254" i="19"/>
  <c r="BZ254" i="19"/>
  <c r="CI253" i="19"/>
  <c r="CH253" i="19"/>
  <c r="CG253" i="19"/>
  <c r="CF253" i="19"/>
  <c r="CE253" i="19"/>
  <c r="CD253" i="19"/>
  <c r="CC253" i="19"/>
  <c r="CB253" i="19"/>
  <c r="CA253" i="19"/>
  <c r="BZ253" i="19"/>
  <c r="CI252" i="19"/>
  <c r="CH252" i="19"/>
  <c r="CG252" i="19"/>
  <c r="CF252" i="19"/>
  <c r="CE252" i="19"/>
  <c r="CD252" i="19"/>
  <c r="CC252" i="19"/>
  <c r="CB252" i="19"/>
  <c r="CA252" i="19"/>
  <c r="BZ252" i="19"/>
  <c r="CI251" i="19"/>
  <c r="CH251" i="19"/>
  <c r="CG251" i="19"/>
  <c r="CF251" i="19"/>
  <c r="CE251" i="19"/>
  <c r="CD251" i="19"/>
  <c r="CC251" i="19"/>
  <c r="CB251" i="19"/>
  <c r="CA251" i="19"/>
  <c r="BZ251" i="19"/>
  <c r="CI250" i="19"/>
  <c r="CH250" i="19"/>
  <c r="CG250" i="19"/>
  <c r="CF250" i="19"/>
  <c r="CE250" i="19"/>
  <c r="CD250" i="19"/>
  <c r="CC250" i="19"/>
  <c r="CB250" i="19"/>
  <c r="CA250" i="19"/>
  <c r="BZ250" i="19"/>
  <c r="CI249" i="19"/>
  <c r="CH249" i="19"/>
  <c r="CG249" i="19"/>
  <c r="CF249" i="19"/>
  <c r="CE249" i="19"/>
  <c r="CD249" i="19"/>
  <c r="CC249" i="19"/>
  <c r="CB249" i="19"/>
  <c r="CA249" i="19"/>
  <c r="BZ249" i="19"/>
  <c r="CI248" i="19"/>
  <c r="CH248" i="19"/>
  <c r="CG248" i="19"/>
  <c r="CF248" i="19"/>
  <c r="CE248" i="19"/>
  <c r="CD248" i="19"/>
  <c r="CC248" i="19"/>
  <c r="CB248" i="19"/>
  <c r="CA248" i="19"/>
  <c r="BZ248" i="19"/>
  <c r="CI247" i="19"/>
  <c r="CH247" i="19"/>
  <c r="CG247" i="19"/>
  <c r="CF247" i="19"/>
  <c r="CE247" i="19"/>
  <c r="CD247" i="19"/>
  <c r="CC247" i="19"/>
  <c r="CB247" i="19"/>
  <c r="CA247" i="19"/>
  <c r="BZ247" i="19"/>
  <c r="CI246" i="19"/>
  <c r="CH246" i="19"/>
  <c r="CG246" i="19"/>
  <c r="CF246" i="19"/>
  <c r="CE246" i="19"/>
  <c r="CD246" i="19"/>
  <c r="CC246" i="19"/>
  <c r="CB246" i="19"/>
  <c r="CA246" i="19"/>
  <c r="BZ246" i="19"/>
  <c r="CI245" i="19"/>
  <c r="CH245" i="19"/>
  <c r="CG245" i="19"/>
  <c r="CF245" i="19"/>
  <c r="CE245" i="19"/>
  <c r="CD245" i="19"/>
  <c r="CC245" i="19"/>
  <c r="CB245" i="19"/>
  <c r="CA245" i="19"/>
  <c r="BZ245" i="19"/>
  <c r="CI244" i="19"/>
  <c r="CH244" i="19"/>
  <c r="CG244" i="19"/>
  <c r="CF244" i="19"/>
  <c r="CE244" i="19"/>
  <c r="CD244" i="19"/>
  <c r="CC244" i="19"/>
  <c r="CB244" i="19"/>
  <c r="CA244" i="19"/>
  <c r="BZ244" i="19"/>
  <c r="CI243" i="19"/>
  <c r="CH243" i="19"/>
  <c r="CG243" i="19"/>
  <c r="CF243" i="19"/>
  <c r="CE243" i="19"/>
  <c r="CD243" i="19"/>
  <c r="CC243" i="19"/>
  <c r="CB243" i="19"/>
  <c r="CA243" i="19"/>
  <c r="BZ243" i="19"/>
  <c r="CI242" i="19"/>
  <c r="CH242" i="19"/>
  <c r="CG242" i="19"/>
  <c r="CF242" i="19"/>
  <c r="CE242" i="19"/>
  <c r="CD242" i="19"/>
  <c r="CC242" i="19"/>
  <c r="CB242" i="19"/>
  <c r="CA242" i="19"/>
  <c r="BZ242" i="19"/>
  <c r="CI241" i="19"/>
  <c r="CH241" i="19"/>
  <c r="CG241" i="19"/>
  <c r="CF241" i="19"/>
  <c r="CE241" i="19"/>
  <c r="CD241" i="19"/>
  <c r="CC241" i="19"/>
  <c r="CB241" i="19"/>
  <c r="CA241" i="19"/>
  <c r="BZ241" i="19"/>
  <c r="CI240" i="19"/>
  <c r="CH240" i="19"/>
  <c r="CG240" i="19"/>
  <c r="CF240" i="19"/>
  <c r="CE240" i="19"/>
  <c r="CD240" i="19"/>
  <c r="CC240" i="19"/>
  <c r="CB240" i="19"/>
  <c r="CA240" i="19"/>
  <c r="BZ240" i="19"/>
  <c r="CI239" i="19"/>
  <c r="CH239" i="19"/>
  <c r="CG239" i="19"/>
  <c r="CF239" i="19"/>
  <c r="CE239" i="19"/>
  <c r="CD239" i="19"/>
  <c r="CC239" i="19"/>
  <c r="CB239" i="19"/>
  <c r="CA239" i="19"/>
  <c r="BZ239" i="19"/>
  <c r="CI238" i="19"/>
  <c r="CH238" i="19"/>
  <c r="CG238" i="19"/>
  <c r="CF238" i="19"/>
  <c r="CE238" i="19"/>
  <c r="CD238" i="19"/>
  <c r="CC238" i="19"/>
  <c r="CB238" i="19"/>
  <c r="CA238" i="19"/>
  <c r="BZ238" i="19"/>
  <c r="CI237" i="19"/>
  <c r="CH237" i="19"/>
  <c r="CG237" i="19"/>
  <c r="CF237" i="19"/>
  <c r="CE237" i="19"/>
  <c r="CD237" i="19"/>
  <c r="CC237" i="19"/>
  <c r="CB237" i="19"/>
  <c r="CA237" i="19"/>
  <c r="BZ237" i="19"/>
  <c r="CI236" i="19"/>
  <c r="CH236" i="19"/>
  <c r="CG236" i="19"/>
  <c r="CF236" i="19"/>
  <c r="CE236" i="19"/>
  <c r="CD236" i="19"/>
  <c r="CC236" i="19"/>
  <c r="CB236" i="19"/>
  <c r="CA236" i="19"/>
  <c r="BZ236" i="19"/>
  <c r="CI235" i="19"/>
  <c r="CH235" i="19"/>
  <c r="CG235" i="19"/>
  <c r="CF235" i="19"/>
  <c r="CE235" i="19"/>
  <c r="CD235" i="19"/>
  <c r="CC235" i="19"/>
  <c r="CB235" i="19"/>
  <c r="CA235" i="19"/>
  <c r="BZ235" i="19"/>
  <c r="CI234" i="19"/>
  <c r="CH234" i="19"/>
  <c r="CG234" i="19"/>
  <c r="CF234" i="19"/>
  <c r="CE234" i="19"/>
  <c r="CD234" i="19"/>
  <c r="CC234" i="19"/>
  <c r="CB234" i="19"/>
  <c r="CA234" i="19"/>
  <c r="BZ234" i="19"/>
  <c r="CI233" i="19"/>
  <c r="CH233" i="19"/>
  <c r="CG233" i="19"/>
  <c r="CF233" i="19"/>
  <c r="CE233" i="19"/>
  <c r="CD233" i="19"/>
  <c r="CC233" i="19"/>
  <c r="CB233" i="19"/>
  <c r="CA233" i="19"/>
  <c r="BZ233" i="19"/>
  <c r="CI232" i="19"/>
  <c r="CH232" i="19"/>
  <c r="CG232" i="19"/>
  <c r="CF232" i="19"/>
  <c r="CE232" i="19"/>
  <c r="CD232" i="19"/>
  <c r="CC232" i="19"/>
  <c r="CB232" i="19"/>
  <c r="CA232" i="19"/>
  <c r="BZ232" i="19"/>
  <c r="CI231" i="19"/>
  <c r="CH231" i="19"/>
  <c r="CG231" i="19"/>
  <c r="CF231" i="19"/>
  <c r="CE231" i="19"/>
  <c r="CD231" i="19"/>
  <c r="CC231" i="19"/>
  <c r="CB231" i="19"/>
  <c r="CA231" i="19"/>
  <c r="BZ231" i="19"/>
  <c r="CI230" i="19"/>
  <c r="CH230" i="19"/>
  <c r="CG230" i="19"/>
  <c r="CF230" i="19"/>
  <c r="CE230" i="19"/>
  <c r="CD230" i="19"/>
  <c r="CC230" i="19"/>
  <c r="CB230" i="19"/>
  <c r="CA230" i="19"/>
  <c r="BZ230" i="19"/>
  <c r="CI229" i="19"/>
  <c r="CH229" i="19"/>
  <c r="CG229" i="19"/>
  <c r="CF229" i="19"/>
  <c r="CE229" i="19"/>
  <c r="CD229" i="19"/>
  <c r="CC229" i="19"/>
  <c r="CB229" i="19"/>
  <c r="CA229" i="19"/>
  <c r="BZ229" i="19"/>
  <c r="CI228" i="19"/>
  <c r="CH228" i="19"/>
  <c r="CG228" i="19"/>
  <c r="CF228" i="19"/>
  <c r="CE228" i="19"/>
  <c r="CD228" i="19"/>
  <c r="CC228" i="19"/>
  <c r="CB228" i="19"/>
  <c r="CA228" i="19"/>
  <c r="BZ228" i="19"/>
  <c r="CI227" i="19"/>
  <c r="CH227" i="19"/>
  <c r="CG227" i="19"/>
  <c r="CF227" i="19"/>
  <c r="CE227" i="19"/>
  <c r="CD227" i="19"/>
  <c r="CC227" i="19"/>
  <c r="CB227" i="19"/>
  <c r="CA227" i="19"/>
  <c r="BZ227" i="19"/>
  <c r="CI226" i="19"/>
  <c r="CH226" i="19"/>
  <c r="CG226" i="19"/>
  <c r="CF226" i="19"/>
  <c r="CE226" i="19"/>
  <c r="CD226" i="19"/>
  <c r="CC226" i="19"/>
  <c r="CB226" i="19"/>
  <c r="CA226" i="19"/>
  <c r="BZ226" i="19"/>
  <c r="CI225" i="19"/>
  <c r="CH225" i="19"/>
  <c r="CG225" i="19"/>
  <c r="CF225" i="19"/>
  <c r="CE225" i="19"/>
  <c r="CD225" i="19"/>
  <c r="CC225" i="19"/>
  <c r="CB225" i="19"/>
  <c r="CA225" i="19"/>
  <c r="BZ225" i="19"/>
  <c r="CI224" i="19"/>
  <c r="CH224" i="19"/>
  <c r="CG224" i="19"/>
  <c r="CF224" i="19"/>
  <c r="CE224" i="19"/>
  <c r="CD224" i="19"/>
  <c r="CC224" i="19"/>
  <c r="CB224" i="19"/>
  <c r="CA224" i="19"/>
  <c r="BZ224" i="19"/>
  <c r="CI223" i="19"/>
  <c r="CH223" i="19"/>
  <c r="CG223" i="19"/>
  <c r="CF223" i="19"/>
  <c r="CE223" i="19"/>
  <c r="CD223" i="19"/>
  <c r="CC223" i="19"/>
  <c r="CB223" i="19"/>
  <c r="CA223" i="19"/>
  <c r="BZ223" i="19"/>
  <c r="CI222" i="19"/>
  <c r="CH222" i="19"/>
  <c r="CG222" i="19"/>
  <c r="CF222" i="19"/>
  <c r="CE222" i="19"/>
  <c r="CD222" i="19"/>
  <c r="CC222" i="19"/>
  <c r="CB222" i="19"/>
  <c r="CA222" i="19"/>
  <c r="BZ222" i="19"/>
  <c r="CI221" i="19"/>
  <c r="CH221" i="19"/>
  <c r="CG221" i="19"/>
  <c r="CF221" i="19"/>
  <c r="CE221" i="19"/>
  <c r="CD221" i="19"/>
  <c r="CC221" i="19"/>
  <c r="CB221" i="19"/>
  <c r="CA221" i="19"/>
  <c r="BZ221" i="19"/>
  <c r="CI220" i="19"/>
  <c r="CH220" i="19"/>
  <c r="CG220" i="19"/>
  <c r="CF220" i="19"/>
  <c r="CE220" i="19"/>
  <c r="CD220" i="19"/>
  <c r="CC220" i="19"/>
  <c r="CB220" i="19"/>
  <c r="CA220" i="19"/>
  <c r="BZ220" i="19"/>
  <c r="CI219" i="19"/>
  <c r="CH219" i="19"/>
  <c r="CG219" i="19"/>
  <c r="CF219" i="19"/>
  <c r="CE219" i="19"/>
  <c r="CD219" i="19"/>
  <c r="CC219" i="19"/>
  <c r="CB219" i="19"/>
  <c r="CA219" i="19"/>
  <c r="BZ219" i="19"/>
  <c r="CI218" i="19"/>
  <c r="CH218" i="19"/>
  <c r="CG218" i="19"/>
  <c r="CF218" i="19"/>
  <c r="CE218" i="19"/>
  <c r="CD218" i="19"/>
  <c r="CC218" i="19"/>
  <c r="CB218" i="19"/>
  <c r="CA218" i="19"/>
  <c r="BZ218" i="19"/>
  <c r="CI217" i="19"/>
  <c r="CH217" i="19"/>
  <c r="CG217" i="19"/>
  <c r="CF217" i="19"/>
  <c r="CE217" i="19"/>
  <c r="CD217" i="19"/>
  <c r="CC217" i="19"/>
  <c r="CB217" i="19"/>
  <c r="CA217" i="19"/>
  <c r="BZ217" i="19"/>
  <c r="CI216" i="19"/>
  <c r="CH216" i="19"/>
  <c r="CG216" i="19"/>
  <c r="CF216" i="19"/>
  <c r="CE216" i="19"/>
  <c r="CD216" i="19"/>
  <c r="CC216" i="19"/>
  <c r="CB216" i="19"/>
  <c r="CA216" i="19"/>
  <c r="BZ216" i="19"/>
  <c r="CI215" i="19"/>
  <c r="CH215" i="19"/>
  <c r="CG215" i="19"/>
  <c r="CF215" i="19"/>
  <c r="CE215" i="19"/>
  <c r="CD215" i="19"/>
  <c r="CC215" i="19"/>
  <c r="CB215" i="19"/>
  <c r="CA215" i="19"/>
  <c r="BZ215" i="19"/>
  <c r="CI214" i="19"/>
  <c r="CH214" i="19"/>
  <c r="CG214" i="19"/>
  <c r="CF214" i="19"/>
  <c r="CE214" i="19"/>
  <c r="CD214" i="19"/>
  <c r="CC214" i="19"/>
  <c r="CB214" i="19"/>
  <c r="CA214" i="19"/>
  <c r="BZ214" i="19"/>
  <c r="CI213" i="19"/>
  <c r="CH213" i="19"/>
  <c r="CG213" i="19"/>
  <c r="CF213" i="19"/>
  <c r="CE213" i="19"/>
  <c r="CD213" i="19"/>
  <c r="CC213" i="19"/>
  <c r="CB213" i="19"/>
  <c r="CA213" i="19"/>
  <c r="BZ213" i="19"/>
  <c r="CI212" i="19"/>
  <c r="CH212" i="19"/>
  <c r="CG212" i="19"/>
  <c r="CF212" i="19"/>
  <c r="CE212" i="19"/>
  <c r="CD212" i="19"/>
  <c r="CC212" i="19"/>
  <c r="CB212" i="19"/>
  <c r="CA212" i="19"/>
  <c r="BZ212" i="19"/>
  <c r="CI211" i="19"/>
  <c r="CH211" i="19"/>
  <c r="CG211" i="19"/>
  <c r="CF211" i="19"/>
  <c r="CE211" i="19"/>
  <c r="CD211" i="19"/>
  <c r="CC211" i="19"/>
  <c r="CB211" i="19"/>
  <c r="CA211" i="19"/>
  <c r="BZ211" i="19"/>
  <c r="CI210" i="19"/>
  <c r="CH210" i="19"/>
  <c r="CG210" i="19"/>
  <c r="CF210" i="19"/>
  <c r="CE210" i="19"/>
  <c r="CD210" i="19"/>
  <c r="CC210" i="19"/>
  <c r="CB210" i="19"/>
  <c r="CA210" i="19"/>
  <c r="BZ210" i="19"/>
  <c r="CI209" i="19"/>
  <c r="CH209" i="19"/>
  <c r="CG209" i="19"/>
  <c r="CF209" i="19"/>
  <c r="CE209" i="19"/>
  <c r="CD209" i="19"/>
  <c r="CC209" i="19"/>
  <c r="CB209" i="19"/>
  <c r="CA209" i="19"/>
  <c r="BZ209" i="19"/>
  <c r="CI208" i="19"/>
  <c r="CH208" i="19"/>
  <c r="CG208" i="19"/>
  <c r="CF208" i="19"/>
  <c r="CE208" i="19"/>
  <c r="CD208" i="19"/>
  <c r="CC208" i="19"/>
  <c r="CB208" i="19"/>
  <c r="CA208" i="19"/>
  <c r="BZ208" i="19"/>
  <c r="CI207" i="19"/>
  <c r="CH207" i="19"/>
  <c r="CG207" i="19"/>
  <c r="CF207" i="19"/>
  <c r="CE207" i="19"/>
  <c r="CD207" i="19"/>
  <c r="CC207" i="19"/>
  <c r="CB207" i="19"/>
  <c r="CA207" i="19"/>
  <c r="BZ207" i="19"/>
  <c r="CI206" i="19"/>
  <c r="CH206" i="19"/>
  <c r="CG206" i="19"/>
  <c r="CF206" i="19"/>
  <c r="CE206" i="19"/>
  <c r="CD206" i="19"/>
  <c r="CC206" i="19"/>
  <c r="CB206" i="19"/>
  <c r="CA206" i="19"/>
  <c r="BZ206" i="19"/>
  <c r="CI205" i="19"/>
  <c r="CH205" i="19"/>
  <c r="CG205" i="19"/>
  <c r="CF205" i="19"/>
  <c r="CE205" i="19"/>
  <c r="CD205" i="19"/>
  <c r="CC205" i="19"/>
  <c r="CB205" i="19"/>
  <c r="CA205" i="19"/>
  <c r="BZ205" i="19"/>
  <c r="CI204" i="19"/>
  <c r="CH204" i="19"/>
  <c r="CG204" i="19"/>
  <c r="CF204" i="19"/>
  <c r="CE204" i="19"/>
  <c r="CD204" i="19"/>
  <c r="CC204" i="19"/>
  <c r="CB204" i="19"/>
  <c r="CA204" i="19"/>
  <c r="BZ204" i="19"/>
  <c r="CI203" i="19"/>
  <c r="CH203" i="19"/>
  <c r="CG203" i="19"/>
  <c r="CF203" i="19"/>
  <c r="CE203" i="19"/>
  <c r="CD203" i="19"/>
  <c r="CC203" i="19"/>
  <c r="CB203" i="19"/>
  <c r="CA203" i="19"/>
  <c r="BZ203" i="19"/>
  <c r="CI202" i="19"/>
  <c r="CH202" i="19"/>
  <c r="CG202" i="19"/>
  <c r="CF202" i="19"/>
  <c r="CE202" i="19"/>
  <c r="CD202" i="19"/>
  <c r="CC202" i="19"/>
  <c r="CB202" i="19"/>
  <c r="CA202" i="19"/>
  <c r="BZ202" i="19"/>
  <c r="CI201" i="19"/>
  <c r="CH201" i="19"/>
  <c r="CG201" i="19"/>
  <c r="CF201" i="19"/>
  <c r="CE201" i="19"/>
  <c r="CD201" i="19"/>
  <c r="CC201" i="19"/>
  <c r="CB201" i="19"/>
  <c r="CA201" i="19"/>
  <c r="BZ201" i="19"/>
  <c r="CI200" i="19"/>
  <c r="CH200" i="19"/>
  <c r="CG200" i="19"/>
  <c r="CF200" i="19"/>
  <c r="CE200" i="19"/>
  <c r="CD200" i="19"/>
  <c r="CC200" i="19"/>
  <c r="CB200" i="19"/>
  <c r="CA200" i="19"/>
  <c r="BZ200" i="19"/>
  <c r="CI199" i="19"/>
  <c r="CH199" i="19"/>
  <c r="CG199" i="19"/>
  <c r="CF199" i="19"/>
  <c r="CE199" i="19"/>
  <c r="CD199" i="19"/>
  <c r="CC199" i="19"/>
  <c r="CB199" i="19"/>
  <c r="CA199" i="19"/>
  <c r="BZ199" i="19"/>
  <c r="CI198" i="19"/>
  <c r="CH198" i="19"/>
  <c r="CG198" i="19"/>
  <c r="CF198" i="19"/>
  <c r="CE198" i="19"/>
  <c r="CD198" i="19"/>
  <c r="CC198" i="19"/>
  <c r="CB198" i="19"/>
  <c r="CA198" i="19"/>
  <c r="BZ198" i="19"/>
  <c r="CI197" i="19"/>
  <c r="CH197" i="19"/>
  <c r="CG197" i="19"/>
  <c r="CF197" i="19"/>
  <c r="CE197" i="19"/>
  <c r="CD197" i="19"/>
  <c r="CC197" i="19"/>
  <c r="CB197" i="19"/>
  <c r="CA197" i="19"/>
  <c r="BZ197" i="19"/>
  <c r="CI196" i="19"/>
  <c r="CH196" i="19"/>
  <c r="CG196" i="19"/>
  <c r="CF196" i="19"/>
  <c r="CE196" i="19"/>
  <c r="CD196" i="19"/>
  <c r="CC196" i="19"/>
  <c r="CB196" i="19"/>
  <c r="CA196" i="19"/>
  <c r="BZ196" i="19"/>
  <c r="CI195" i="19"/>
  <c r="CH195" i="19"/>
  <c r="CG195" i="19"/>
  <c r="CF195" i="19"/>
  <c r="CE195" i="19"/>
  <c r="CD195" i="19"/>
  <c r="CC195" i="19"/>
  <c r="CB195" i="19"/>
  <c r="CA195" i="19"/>
  <c r="BZ195" i="19"/>
  <c r="CI194" i="19"/>
  <c r="CH194" i="19"/>
  <c r="CG194" i="19"/>
  <c r="CF194" i="19"/>
  <c r="CE194" i="19"/>
  <c r="CD194" i="19"/>
  <c r="CC194" i="19"/>
  <c r="CB194" i="19"/>
  <c r="CA194" i="19"/>
  <c r="BZ194" i="19"/>
  <c r="CI193" i="19"/>
  <c r="CH193" i="19"/>
  <c r="CG193" i="19"/>
  <c r="CF193" i="19"/>
  <c r="CE193" i="19"/>
  <c r="CD193" i="19"/>
  <c r="CC193" i="19"/>
  <c r="CB193" i="19"/>
  <c r="CA193" i="19"/>
  <c r="BZ193" i="19"/>
  <c r="CI192" i="19"/>
  <c r="CH192" i="19"/>
  <c r="CG192" i="19"/>
  <c r="CF192" i="19"/>
  <c r="CE192" i="19"/>
  <c r="CD192" i="19"/>
  <c r="CC192" i="19"/>
  <c r="CB192" i="19"/>
  <c r="CA192" i="19"/>
  <c r="BZ192" i="19"/>
  <c r="CI191" i="19"/>
  <c r="CH191" i="19"/>
  <c r="CG191" i="19"/>
  <c r="CF191" i="19"/>
  <c r="CE191" i="19"/>
  <c r="CD191" i="19"/>
  <c r="CC191" i="19"/>
  <c r="CB191" i="19"/>
  <c r="CA191" i="19"/>
  <c r="BZ191" i="19"/>
  <c r="CI190" i="19"/>
  <c r="CH190" i="19"/>
  <c r="CG190" i="19"/>
  <c r="CF190" i="19"/>
  <c r="CE190" i="19"/>
  <c r="CD190" i="19"/>
  <c r="CC190" i="19"/>
  <c r="CB190" i="19"/>
  <c r="CA190" i="19"/>
  <c r="BZ190" i="19"/>
  <c r="CI189" i="19"/>
  <c r="CH189" i="19"/>
  <c r="CG189" i="19"/>
  <c r="CF189" i="19"/>
  <c r="CE189" i="19"/>
  <c r="CD189" i="19"/>
  <c r="CC189" i="19"/>
  <c r="CB189" i="19"/>
  <c r="CA189" i="19"/>
  <c r="BZ189" i="19"/>
  <c r="CI188" i="19"/>
  <c r="CH188" i="19"/>
  <c r="CG188" i="19"/>
  <c r="CF188" i="19"/>
  <c r="CE188" i="19"/>
  <c r="CD188" i="19"/>
  <c r="CC188" i="19"/>
  <c r="CB188" i="19"/>
  <c r="CA188" i="19"/>
  <c r="BZ188" i="19"/>
  <c r="CI187" i="19"/>
  <c r="CH187" i="19"/>
  <c r="CG187" i="19"/>
  <c r="CF187" i="19"/>
  <c r="CE187" i="19"/>
  <c r="CD187" i="19"/>
  <c r="CC187" i="19"/>
  <c r="CB187" i="19"/>
  <c r="CA187" i="19"/>
  <c r="BZ187" i="19"/>
  <c r="CI186" i="19"/>
  <c r="CH186" i="19"/>
  <c r="CG186" i="19"/>
  <c r="CF186" i="19"/>
  <c r="CE186" i="19"/>
  <c r="CD186" i="19"/>
  <c r="CC186" i="19"/>
  <c r="CB186" i="19"/>
  <c r="CA186" i="19"/>
  <c r="BZ186" i="19"/>
  <c r="CI185" i="19"/>
  <c r="CH185" i="19"/>
  <c r="CG185" i="19"/>
  <c r="CF185" i="19"/>
  <c r="CE185" i="19"/>
  <c r="CD185" i="19"/>
  <c r="CC185" i="19"/>
  <c r="CB185" i="19"/>
  <c r="CA185" i="19"/>
  <c r="BZ185" i="19"/>
  <c r="CI184" i="19"/>
  <c r="CH184" i="19"/>
  <c r="CG184" i="19"/>
  <c r="CF184" i="19"/>
  <c r="CE184" i="19"/>
  <c r="CD184" i="19"/>
  <c r="CC184" i="19"/>
  <c r="CB184" i="19"/>
  <c r="CA184" i="19"/>
  <c r="BZ184" i="19"/>
  <c r="CI183" i="19"/>
  <c r="CH183" i="19"/>
  <c r="CG183" i="19"/>
  <c r="CF183" i="19"/>
  <c r="CE183" i="19"/>
  <c r="CD183" i="19"/>
  <c r="CC183" i="19"/>
  <c r="CB183" i="19"/>
  <c r="CA183" i="19"/>
  <c r="BZ183" i="19"/>
  <c r="CI182" i="19"/>
  <c r="CH182" i="19"/>
  <c r="CG182" i="19"/>
  <c r="CF182" i="19"/>
  <c r="CE182" i="19"/>
  <c r="CD182" i="19"/>
  <c r="CC182" i="19"/>
  <c r="CB182" i="19"/>
  <c r="CA182" i="19"/>
  <c r="BZ182" i="19"/>
  <c r="CI181" i="19"/>
  <c r="CH181" i="19"/>
  <c r="CG181" i="19"/>
  <c r="CF181" i="19"/>
  <c r="CE181" i="19"/>
  <c r="CD181" i="19"/>
  <c r="CC181" i="19"/>
  <c r="CB181" i="19"/>
  <c r="CA181" i="19"/>
  <c r="BZ181" i="19"/>
  <c r="CI180" i="19"/>
  <c r="CH180" i="19"/>
  <c r="CG180" i="19"/>
  <c r="CF180" i="19"/>
  <c r="CE180" i="19"/>
  <c r="CD180" i="19"/>
  <c r="CC180" i="19"/>
  <c r="CB180" i="19"/>
  <c r="CA180" i="19"/>
  <c r="BZ180" i="19"/>
  <c r="CI179" i="19"/>
  <c r="CH179" i="19"/>
  <c r="CG179" i="19"/>
  <c r="CF179" i="19"/>
  <c r="CE179" i="19"/>
  <c r="CD179" i="19"/>
  <c r="CC179" i="19"/>
  <c r="CB179" i="19"/>
  <c r="CA179" i="19"/>
  <c r="BZ179" i="19"/>
  <c r="CI178" i="19"/>
  <c r="CH178" i="19"/>
  <c r="CG178" i="19"/>
  <c r="CF178" i="19"/>
  <c r="CE178" i="19"/>
  <c r="CD178" i="19"/>
  <c r="CC178" i="19"/>
  <c r="CB178" i="19"/>
  <c r="CA178" i="19"/>
  <c r="BZ178" i="19"/>
  <c r="CI177" i="19"/>
  <c r="CH177" i="19"/>
  <c r="CG177" i="19"/>
  <c r="CF177" i="19"/>
  <c r="CE177" i="19"/>
  <c r="CD177" i="19"/>
  <c r="CC177" i="19"/>
  <c r="CB177" i="19"/>
  <c r="CA177" i="19"/>
  <c r="BZ177" i="19"/>
  <c r="CI176" i="19"/>
  <c r="CH176" i="19"/>
  <c r="CG176" i="19"/>
  <c r="CF176" i="19"/>
  <c r="CE176" i="19"/>
  <c r="CD176" i="19"/>
  <c r="CC176" i="19"/>
  <c r="CB176" i="19"/>
  <c r="CA176" i="19"/>
  <c r="BZ176" i="19"/>
  <c r="CI175" i="19"/>
  <c r="CH175" i="19"/>
  <c r="CG175" i="19"/>
  <c r="CF175" i="19"/>
  <c r="CE175" i="19"/>
  <c r="CD175" i="19"/>
  <c r="CC175" i="19"/>
  <c r="CB175" i="19"/>
  <c r="CA175" i="19"/>
  <c r="BZ175" i="19"/>
  <c r="CI174" i="19"/>
  <c r="CH174" i="19"/>
  <c r="CG174" i="19"/>
  <c r="CF174" i="19"/>
  <c r="CE174" i="19"/>
  <c r="CD174" i="19"/>
  <c r="CC174" i="19"/>
  <c r="CB174" i="19"/>
  <c r="CA174" i="19"/>
  <c r="BZ174" i="19"/>
  <c r="CI173" i="19"/>
  <c r="CH173" i="19"/>
  <c r="CG173" i="19"/>
  <c r="CF173" i="19"/>
  <c r="CE173" i="19"/>
  <c r="CD173" i="19"/>
  <c r="CC173" i="19"/>
  <c r="CB173" i="19"/>
  <c r="CA173" i="19"/>
  <c r="BZ173" i="19"/>
  <c r="CI172" i="19"/>
  <c r="CH172" i="19"/>
  <c r="CG172" i="19"/>
  <c r="CF172" i="19"/>
  <c r="CE172" i="19"/>
  <c r="CD172" i="19"/>
  <c r="CC172" i="19"/>
  <c r="CB172" i="19"/>
  <c r="CA172" i="19"/>
  <c r="BZ172" i="19"/>
  <c r="CI171" i="19"/>
  <c r="CH171" i="19"/>
  <c r="CG171" i="19"/>
  <c r="CF171" i="19"/>
  <c r="CE171" i="19"/>
  <c r="CD171" i="19"/>
  <c r="CC171" i="19"/>
  <c r="CB171" i="19"/>
  <c r="CA171" i="19"/>
  <c r="BZ171" i="19"/>
  <c r="CI170" i="19"/>
  <c r="CH170" i="19"/>
  <c r="CG170" i="19"/>
  <c r="CF170" i="19"/>
  <c r="CE170" i="19"/>
  <c r="CD170" i="19"/>
  <c r="CC170" i="19"/>
  <c r="CB170" i="19"/>
  <c r="CA170" i="19"/>
  <c r="BZ170" i="19"/>
  <c r="CI169" i="19"/>
  <c r="CH169" i="19"/>
  <c r="CG169" i="19"/>
  <c r="CF169" i="19"/>
  <c r="CE169" i="19"/>
  <c r="CD169" i="19"/>
  <c r="CC169" i="19"/>
  <c r="CB169" i="19"/>
  <c r="CA169" i="19"/>
  <c r="BZ169" i="19"/>
  <c r="CI168" i="19"/>
  <c r="CH168" i="19"/>
  <c r="CG168" i="19"/>
  <c r="CF168" i="19"/>
  <c r="CE168" i="19"/>
  <c r="CD168" i="19"/>
  <c r="CC168" i="19"/>
  <c r="CB168" i="19"/>
  <c r="CA168" i="19"/>
  <c r="BZ168" i="19"/>
  <c r="CI167" i="19"/>
  <c r="CH167" i="19"/>
  <c r="CG167" i="19"/>
  <c r="CF167" i="19"/>
  <c r="CE167" i="19"/>
  <c r="CD167" i="19"/>
  <c r="CC167" i="19"/>
  <c r="CB167" i="19"/>
  <c r="CA167" i="19"/>
  <c r="BZ167" i="19"/>
  <c r="CI166" i="19"/>
  <c r="CH166" i="19"/>
  <c r="CG166" i="19"/>
  <c r="CF166" i="19"/>
  <c r="CE166" i="19"/>
  <c r="CD166" i="19"/>
  <c r="CC166" i="19"/>
  <c r="CB166" i="19"/>
  <c r="CA166" i="19"/>
  <c r="BZ166" i="19"/>
  <c r="CI165" i="19"/>
  <c r="CH165" i="19"/>
  <c r="CG165" i="19"/>
  <c r="CF165" i="19"/>
  <c r="CE165" i="19"/>
  <c r="CD165" i="19"/>
  <c r="CC165" i="19"/>
  <c r="CB165" i="19"/>
  <c r="CA165" i="19"/>
  <c r="BZ165" i="19"/>
  <c r="CI164" i="19"/>
  <c r="CH164" i="19"/>
  <c r="CG164" i="19"/>
  <c r="CF164" i="19"/>
  <c r="CE164" i="19"/>
  <c r="CD164" i="19"/>
  <c r="CC164" i="19"/>
  <c r="CB164" i="19"/>
  <c r="CA164" i="19"/>
  <c r="BZ164" i="19"/>
  <c r="CI163" i="19"/>
  <c r="CH163" i="19"/>
  <c r="CG163" i="19"/>
  <c r="CF163" i="19"/>
  <c r="CE163" i="19"/>
  <c r="CD163" i="19"/>
  <c r="CC163" i="19"/>
  <c r="CB163" i="19"/>
  <c r="CA163" i="19"/>
  <c r="BZ163" i="19"/>
  <c r="CI162" i="19"/>
  <c r="CH162" i="19"/>
  <c r="CG162" i="19"/>
  <c r="CF162" i="19"/>
  <c r="CE162" i="19"/>
  <c r="CD162" i="19"/>
  <c r="CC162" i="19"/>
  <c r="CB162" i="19"/>
  <c r="CA162" i="19"/>
  <c r="BZ162" i="19"/>
  <c r="CI161" i="19"/>
  <c r="CH161" i="19"/>
  <c r="CG161" i="19"/>
  <c r="CF161" i="19"/>
  <c r="CE161" i="19"/>
  <c r="CD161" i="19"/>
  <c r="CC161" i="19"/>
  <c r="CB161" i="19"/>
  <c r="CA161" i="19"/>
  <c r="BZ161" i="19"/>
  <c r="CI160" i="19"/>
  <c r="CH160" i="19"/>
  <c r="CG160" i="19"/>
  <c r="CF160" i="19"/>
  <c r="CE160" i="19"/>
  <c r="CD160" i="19"/>
  <c r="CC160" i="19"/>
  <c r="CB160" i="19"/>
  <c r="CA160" i="19"/>
  <c r="BZ160" i="19"/>
  <c r="CI159" i="19"/>
  <c r="CH159" i="19"/>
  <c r="CG159" i="19"/>
  <c r="CF159" i="19"/>
  <c r="CE159" i="19"/>
  <c r="CD159" i="19"/>
  <c r="CC159" i="19"/>
  <c r="CB159" i="19"/>
  <c r="CA159" i="19"/>
  <c r="BZ159" i="19"/>
  <c r="CI158" i="19"/>
  <c r="CH158" i="19"/>
  <c r="CG158" i="19"/>
  <c r="CF158" i="19"/>
  <c r="CE158" i="19"/>
  <c r="CD158" i="19"/>
  <c r="CC158" i="19"/>
  <c r="CB158" i="19"/>
  <c r="CA158" i="19"/>
  <c r="BZ158" i="19"/>
  <c r="CI157" i="19"/>
  <c r="CH157" i="19"/>
  <c r="CG157" i="19"/>
  <c r="CF157" i="19"/>
  <c r="CE157" i="19"/>
  <c r="CD157" i="19"/>
  <c r="CC157" i="19"/>
  <c r="CB157" i="19"/>
  <c r="CA157" i="19"/>
  <c r="BZ157" i="19"/>
  <c r="CI156" i="19"/>
  <c r="CH156" i="19"/>
  <c r="CG156" i="19"/>
  <c r="CF156" i="19"/>
  <c r="CE156" i="19"/>
  <c r="CD156" i="19"/>
  <c r="CC156" i="19"/>
  <c r="CB156" i="19"/>
  <c r="CA156" i="19"/>
  <c r="BZ156" i="19"/>
  <c r="CI155" i="19"/>
  <c r="CH155" i="19"/>
  <c r="CG155" i="19"/>
  <c r="CF155" i="19"/>
  <c r="CE155" i="19"/>
  <c r="CD155" i="19"/>
  <c r="CC155" i="19"/>
  <c r="CB155" i="19"/>
  <c r="CA155" i="19"/>
  <c r="BZ155" i="19"/>
  <c r="CI154" i="19"/>
  <c r="CH154" i="19"/>
  <c r="CG154" i="19"/>
  <c r="CF154" i="19"/>
  <c r="CE154" i="19"/>
  <c r="CD154" i="19"/>
  <c r="CC154" i="19"/>
  <c r="CB154" i="19"/>
  <c r="CA154" i="19"/>
  <c r="BZ154" i="19"/>
  <c r="CI153" i="19"/>
  <c r="CH153" i="19"/>
  <c r="CG153" i="19"/>
  <c r="CF153" i="19"/>
  <c r="CE153" i="19"/>
  <c r="CD153" i="19"/>
  <c r="CC153" i="19"/>
  <c r="CB153" i="19"/>
  <c r="CA153" i="19"/>
  <c r="BZ153" i="19"/>
  <c r="CI152" i="19"/>
  <c r="CH152" i="19"/>
  <c r="CG152" i="19"/>
  <c r="CF152" i="19"/>
  <c r="CE152" i="19"/>
  <c r="CD152" i="19"/>
  <c r="CC152" i="19"/>
  <c r="CB152" i="19"/>
  <c r="CA152" i="19"/>
  <c r="BZ152" i="19"/>
  <c r="CI151" i="19"/>
  <c r="CH151" i="19"/>
  <c r="CG151" i="19"/>
  <c r="CF151" i="19"/>
  <c r="CE151" i="19"/>
  <c r="CD151" i="19"/>
  <c r="CC151" i="19"/>
  <c r="CB151" i="19"/>
  <c r="CA151" i="19"/>
  <c r="BZ151" i="19"/>
  <c r="CI150" i="19"/>
  <c r="CH150" i="19"/>
  <c r="CG150" i="19"/>
  <c r="CF150" i="19"/>
  <c r="CE150" i="19"/>
  <c r="CD150" i="19"/>
  <c r="CC150" i="19"/>
  <c r="CB150" i="19"/>
  <c r="CA150" i="19"/>
  <c r="BZ150" i="19"/>
  <c r="CI149" i="19"/>
  <c r="CH149" i="19"/>
  <c r="CG149" i="19"/>
  <c r="CF149" i="19"/>
  <c r="CE149" i="19"/>
  <c r="CD149" i="19"/>
  <c r="CC149" i="19"/>
  <c r="CB149" i="19"/>
  <c r="CA149" i="19"/>
  <c r="BZ149" i="19"/>
  <c r="CI148" i="19"/>
  <c r="CH148" i="19"/>
  <c r="CG148" i="19"/>
  <c r="CF148" i="19"/>
  <c r="CE148" i="19"/>
  <c r="CD148" i="19"/>
  <c r="CC148" i="19"/>
  <c r="CB148" i="19"/>
  <c r="CA148" i="19"/>
  <c r="BZ148" i="19"/>
  <c r="CI147" i="19"/>
  <c r="CH147" i="19"/>
  <c r="CG147" i="19"/>
  <c r="CF147" i="19"/>
  <c r="CE147" i="19"/>
  <c r="CD147" i="19"/>
  <c r="CC147" i="19"/>
  <c r="CB147" i="19"/>
  <c r="CA147" i="19"/>
  <c r="BZ147" i="19"/>
  <c r="CI146" i="19"/>
  <c r="CH146" i="19"/>
  <c r="CG146" i="19"/>
  <c r="CF146" i="19"/>
  <c r="CE146" i="19"/>
  <c r="CD146" i="19"/>
  <c r="CC146" i="19"/>
  <c r="CB146" i="19"/>
  <c r="CA146" i="19"/>
  <c r="BZ146" i="19"/>
  <c r="CI145" i="19"/>
  <c r="CH145" i="19"/>
  <c r="CG145" i="19"/>
  <c r="CF145" i="19"/>
  <c r="CE145" i="19"/>
  <c r="CD145" i="19"/>
  <c r="CC145" i="19"/>
  <c r="CB145" i="19"/>
  <c r="CA145" i="19"/>
  <c r="BZ145" i="19"/>
  <c r="CI144" i="19"/>
  <c r="CH144" i="19"/>
  <c r="CG144" i="19"/>
  <c r="CF144" i="19"/>
  <c r="CE144" i="19"/>
  <c r="CD144" i="19"/>
  <c r="CC144" i="19"/>
  <c r="CB144" i="19"/>
  <c r="CA144" i="19"/>
  <c r="BZ144" i="19"/>
  <c r="CI143" i="19"/>
  <c r="CH143" i="19"/>
  <c r="CG143" i="19"/>
  <c r="CF143" i="19"/>
  <c r="CE143" i="19"/>
  <c r="CD143" i="19"/>
  <c r="CC143" i="19"/>
  <c r="CB143" i="19"/>
  <c r="CA143" i="19"/>
  <c r="BZ143" i="19"/>
  <c r="CI142" i="19"/>
  <c r="CH142" i="19"/>
  <c r="CG142" i="19"/>
  <c r="CF142" i="19"/>
  <c r="CE142" i="19"/>
  <c r="CD142" i="19"/>
  <c r="CC142" i="19"/>
  <c r="CB142" i="19"/>
  <c r="CA142" i="19"/>
  <c r="BZ142" i="19"/>
  <c r="CI141" i="19"/>
  <c r="CH141" i="19"/>
  <c r="CG141" i="19"/>
  <c r="CF141" i="19"/>
  <c r="CE141" i="19"/>
  <c r="CD141" i="19"/>
  <c r="CC141" i="19"/>
  <c r="CB141" i="19"/>
  <c r="CA141" i="19"/>
  <c r="BZ141" i="19"/>
  <c r="CI140" i="19"/>
  <c r="CH140" i="19"/>
  <c r="CG140" i="19"/>
  <c r="CF140" i="19"/>
  <c r="CE140" i="19"/>
  <c r="CD140" i="19"/>
  <c r="CC140" i="19"/>
  <c r="CB140" i="19"/>
  <c r="CA140" i="19"/>
  <c r="BZ140" i="19"/>
  <c r="CI139" i="19"/>
  <c r="CH139" i="19"/>
  <c r="CG139" i="19"/>
  <c r="CF139" i="19"/>
  <c r="CE139" i="19"/>
  <c r="CD139" i="19"/>
  <c r="CC139" i="19"/>
  <c r="CB139" i="19"/>
  <c r="CA139" i="19"/>
  <c r="BZ139" i="19"/>
  <c r="CI138" i="19"/>
  <c r="CH138" i="19"/>
  <c r="CG138" i="19"/>
  <c r="CF138" i="19"/>
  <c r="CE138" i="19"/>
  <c r="CD138" i="19"/>
  <c r="CC138" i="19"/>
  <c r="CB138" i="19"/>
  <c r="CA138" i="19"/>
  <c r="BZ138" i="19"/>
  <c r="CI137" i="19"/>
  <c r="CH137" i="19"/>
  <c r="CG137" i="19"/>
  <c r="CF137" i="19"/>
  <c r="CE137" i="19"/>
  <c r="CD137" i="19"/>
  <c r="CC137" i="19"/>
  <c r="CB137" i="19"/>
  <c r="CA137" i="19"/>
  <c r="BZ137" i="19"/>
  <c r="CI136" i="19"/>
  <c r="CH136" i="19"/>
  <c r="CG136" i="19"/>
  <c r="CF136" i="19"/>
  <c r="CE136" i="19"/>
  <c r="CD136" i="19"/>
  <c r="CC136" i="19"/>
  <c r="CB136" i="19"/>
  <c r="CA136" i="19"/>
  <c r="BZ136" i="19"/>
  <c r="CI135" i="19"/>
  <c r="CH135" i="19"/>
  <c r="CG135" i="19"/>
  <c r="CF135" i="19"/>
  <c r="CE135" i="19"/>
  <c r="CD135" i="19"/>
  <c r="CC135" i="19"/>
  <c r="CB135" i="19"/>
  <c r="CA135" i="19"/>
  <c r="BZ135" i="19"/>
  <c r="CI134" i="19"/>
  <c r="CH134" i="19"/>
  <c r="CG134" i="19"/>
  <c r="CF134" i="19"/>
  <c r="CE134" i="19"/>
  <c r="CD134" i="19"/>
  <c r="CC134" i="19"/>
  <c r="CB134" i="19"/>
  <c r="CA134" i="19"/>
  <c r="BZ134" i="19"/>
  <c r="CI133" i="19"/>
  <c r="CH133" i="19"/>
  <c r="CG133" i="19"/>
  <c r="CF133" i="19"/>
  <c r="CE133" i="19"/>
  <c r="CD133" i="19"/>
  <c r="CC133" i="19"/>
  <c r="CB133" i="19"/>
  <c r="CA133" i="19"/>
  <c r="BZ133" i="19"/>
  <c r="CI132" i="19"/>
  <c r="CH132" i="19"/>
  <c r="CG132" i="19"/>
  <c r="CF132" i="19"/>
  <c r="CE132" i="19"/>
  <c r="CD132" i="19"/>
  <c r="CC132" i="19"/>
  <c r="CB132" i="19"/>
  <c r="CA132" i="19"/>
  <c r="BZ132" i="19"/>
  <c r="CI131" i="19"/>
  <c r="CH131" i="19"/>
  <c r="CG131" i="19"/>
  <c r="CF131" i="19"/>
  <c r="CE131" i="19"/>
  <c r="CD131" i="19"/>
  <c r="CC131" i="19"/>
  <c r="CB131" i="19"/>
  <c r="CA131" i="19"/>
  <c r="BZ131" i="19"/>
  <c r="CI130" i="19"/>
  <c r="CH130" i="19"/>
  <c r="CG130" i="19"/>
  <c r="CF130" i="19"/>
  <c r="CE130" i="19"/>
  <c r="CD130" i="19"/>
  <c r="CC130" i="19"/>
  <c r="CB130" i="19"/>
  <c r="CA130" i="19"/>
  <c r="BZ130" i="19"/>
  <c r="CI129" i="19"/>
  <c r="CH129" i="19"/>
  <c r="CG129" i="19"/>
  <c r="CF129" i="19"/>
  <c r="CE129" i="19"/>
  <c r="CD129" i="19"/>
  <c r="CC129" i="19"/>
  <c r="CB129" i="19"/>
  <c r="CA129" i="19"/>
  <c r="BZ129" i="19"/>
  <c r="CI128" i="19"/>
  <c r="CH128" i="19"/>
  <c r="CG128" i="19"/>
  <c r="CF128" i="19"/>
  <c r="CE128" i="19"/>
  <c r="CD128" i="19"/>
  <c r="CC128" i="19"/>
  <c r="CB128" i="19"/>
  <c r="CA128" i="19"/>
  <c r="BZ128" i="19"/>
  <c r="CI127" i="19"/>
  <c r="CH127" i="19"/>
  <c r="CG127" i="19"/>
  <c r="CF127" i="19"/>
  <c r="CE127" i="19"/>
  <c r="CD127" i="19"/>
  <c r="CC127" i="19"/>
  <c r="CB127" i="19"/>
  <c r="CA127" i="19"/>
  <c r="BZ127" i="19"/>
  <c r="CI126" i="19"/>
  <c r="CH126" i="19"/>
  <c r="CG126" i="19"/>
  <c r="CF126" i="19"/>
  <c r="CD126" i="19"/>
  <c r="CC126" i="19"/>
  <c r="CB126" i="19"/>
  <c r="CA126" i="19"/>
  <c r="BZ126" i="19"/>
  <c r="CI125" i="19"/>
  <c r="CH125" i="19"/>
  <c r="CG125" i="19"/>
  <c r="CF125" i="19"/>
  <c r="CE125" i="19"/>
  <c r="CD125" i="19"/>
  <c r="CC125" i="19"/>
  <c r="CB125" i="19"/>
  <c r="CA125" i="19"/>
  <c r="BZ125" i="19"/>
  <c r="CI124" i="19"/>
  <c r="CH124" i="19"/>
  <c r="CG124" i="19"/>
  <c r="CF124" i="19"/>
  <c r="CE124" i="19"/>
  <c r="CD124" i="19"/>
  <c r="CC124" i="19"/>
  <c r="CB124" i="19"/>
  <c r="CA124" i="19"/>
  <c r="BZ124" i="19"/>
  <c r="CI123" i="19"/>
  <c r="CH123" i="19"/>
  <c r="CG123" i="19"/>
  <c r="CF123" i="19"/>
  <c r="CE123" i="19"/>
  <c r="CD123" i="19"/>
  <c r="CC123" i="19"/>
  <c r="CB123" i="19"/>
  <c r="CA123" i="19"/>
  <c r="BZ123" i="19"/>
  <c r="CI122" i="19"/>
  <c r="CH122" i="19"/>
  <c r="CG122" i="19"/>
  <c r="CF122" i="19"/>
  <c r="CE122" i="19"/>
  <c r="CD122" i="19"/>
  <c r="CC122" i="19"/>
  <c r="CB122" i="19"/>
  <c r="CA122" i="19"/>
  <c r="BZ122" i="19"/>
  <c r="CI121" i="19"/>
  <c r="CH121" i="19"/>
  <c r="CG121" i="19"/>
  <c r="CF121" i="19"/>
  <c r="CE121" i="19"/>
  <c r="CD121" i="19"/>
  <c r="CC121" i="19"/>
  <c r="CB121" i="19"/>
  <c r="CA121" i="19"/>
  <c r="BZ121" i="19"/>
  <c r="CI120" i="19"/>
  <c r="CH120" i="19"/>
  <c r="CG120" i="19"/>
  <c r="CF120" i="19"/>
  <c r="CE120" i="19"/>
  <c r="CD120" i="19"/>
  <c r="CC120" i="19"/>
  <c r="CB120" i="19"/>
  <c r="CA120" i="19"/>
  <c r="BZ120" i="19"/>
  <c r="CI119" i="19"/>
  <c r="CH119" i="19"/>
  <c r="CG119" i="19"/>
  <c r="CF119" i="19"/>
  <c r="CE119" i="19"/>
  <c r="CD119" i="19"/>
  <c r="CC119" i="19"/>
  <c r="CB119" i="19"/>
  <c r="CA119" i="19"/>
  <c r="BZ119" i="19"/>
  <c r="CI118" i="19"/>
  <c r="CH118" i="19"/>
  <c r="CG118" i="19"/>
  <c r="CF118" i="19"/>
  <c r="CE118" i="19"/>
  <c r="CD118" i="19"/>
  <c r="CC118" i="19"/>
  <c r="CB118" i="19"/>
  <c r="CA118" i="19"/>
  <c r="BZ118" i="19"/>
  <c r="CI117" i="19"/>
  <c r="CH117" i="19"/>
  <c r="CG117" i="19"/>
  <c r="CF117" i="19"/>
  <c r="CE117" i="19"/>
  <c r="CD117" i="19"/>
  <c r="CC117" i="19"/>
  <c r="CB117" i="19"/>
  <c r="CA117" i="19"/>
  <c r="BZ117" i="19"/>
  <c r="CI116" i="19"/>
  <c r="CH116" i="19"/>
  <c r="CG116" i="19"/>
  <c r="CF116" i="19"/>
  <c r="CE116" i="19"/>
  <c r="CD116" i="19"/>
  <c r="CC116" i="19"/>
  <c r="CB116" i="19"/>
  <c r="BZ116" i="19"/>
  <c r="CI115" i="19"/>
  <c r="CH115" i="19"/>
  <c r="CG115" i="19"/>
  <c r="CF115" i="19"/>
  <c r="CE115" i="19"/>
  <c r="CD115" i="19"/>
  <c r="CC115" i="19"/>
  <c r="CB115" i="19"/>
  <c r="CA115" i="19"/>
  <c r="BZ115" i="19"/>
  <c r="CI114" i="19"/>
  <c r="CH114" i="19"/>
  <c r="CG114" i="19"/>
  <c r="CF114" i="19"/>
  <c r="CE114" i="19"/>
  <c r="CD114" i="19"/>
  <c r="CC114" i="19"/>
  <c r="CB114" i="19"/>
  <c r="CA114" i="19"/>
  <c r="BZ114" i="19"/>
  <c r="CI113" i="19"/>
  <c r="CH113" i="19"/>
  <c r="CG113" i="19"/>
  <c r="CF113" i="19"/>
  <c r="CE113" i="19"/>
  <c r="CD113" i="19"/>
  <c r="CC113" i="19"/>
  <c r="CB113" i="19"/>
  <c r="CA113" i="19"/>
  <c r="BZ113" i="19"/>
  <c r="CI112" i="19"/>
  <c r="CH112" i="19"/>
  <c r="CG112" i="19"/>
  <c r="CF112" i="19"/>
  <c r="CE112" i="19"/>
  <c r="CD112" i="19"/>
  <c r="CC112" i="19"/>
  <c r="CB112" i="19"/>
  <c r="CA112" i="19"/>
  <c r="BZ112" i="19"/>
  <c r="CI111" i="19"/>
  <c r="CH111" i="19"/>
  <c r="CG111" i="19"/>
  <c r="CF111" i="19"/>
  <c r="CE111" i="19"/>
  <c r="CD111" i="19"/>
  <c r="CC111" i="19"/>
  <c r="CB111" i="19"/>
  <c r="CA111" i="19"/>
  <c r="BZ111" i="19"/>
  <c r="CI110" i="19"/>
  <c r="CH110" i="19"/>
  <c r="CG110" i="19"/>
  <c r="CF110" i="19"/>
  <c r="CE110" i="19"/>
  <c r="CD110" i="19"/>
  <c r="CC110" i="19"/>
  <c r="CB110" i="19"/>
  <c r="CA110" i="19"/>
  <c r="BZ110" i="19"/>
  <c r="CI109" i="19"/>
  <c r="CH109" i="19"/>
  <c r="CG109" i="19"/>
  <c r="CF109" i="19"/>
  <c r="CE109" i="19"/>
  <c r="CD109" i="19"/>
  <c r="CC109" i="19"/>
  <c r="CB109" i="19"/>
  <c r="CA109" i="19"/>
  <c r="BZ109" i="19"/>
  <c r="CI108" i="19"/>
  <c r="CH108" i="19"/>
  <c r="CG108" i="19"/>
  <c r="CF108" i="19"/>
  <c r="CE108" i="19"/>
  <c r="CD108" i="19"/>
  <c r="CB108" i="19"/>
  <c r="CA108" i="19"/>
  <c r="BZ108" i="19"/>
  <c r="CI107" i="19"/>
  <c r="CH107" i="19"/>
  <c r="CG107" i="19"/>
  <c r="CF107" i="19"/>
  <c r="CE107" i="19"/>
  <c r="CD107" i="19"/>
  <c r="CC107" i="19"/>
  <c r="CB107" i="19"/>
  <c r="CA107" i="19"/>
  <c r="BZ107" i="19"/>
  <c r="CI106" i="19"/>
  <c r="CH106" i="19"/>
  <c r="CG106" i="19"/>
  <c r="CF106" i="19"/>
  <c r="CE106" i="19"/>
  <c r="CD106" i="19"/>
  <c r="CC106" i="19"/>
  <c r="CB106" i="19"/>
  <c r="CA106" i="19"/>
  <c r="BZ106" i="19"/>
  <c r="CI105" i="19"/>
  <c r="CH105" i="19"/>
  <c r="CG105" i="19"/>
  <c r="CF105" i="19"/>
  <c r="CE105" i="19"/>
  <c r="CD105" i="19"/>
  <c r="CC105" i="19"/>
  <c r="CB105" i="19"/>
  <c r="CA105" i="19"/>
  <c r="BZ105" i="19"/>
  <c r="CI104" i="19"/>
  <c r="CH104" i="19"/>
  <c r="CG104" i="19"/>
  <c r="CF104" i="19"/>
  <c r="CE104" i="19"/>
  <c r="CD104" i="19"/>
  <c r="CC104" i="19"/>
  <c r="CB104" i="19"/>
  <c r="BZ104" i="19"/>
  <c r="CH103" i="19"/>
  <c r="CG103" i="19"/>
  <c r="CF103" i="19"/>
  <c r="CE103" i="19"/>
  <c r="CD103" i="19"/>
  <c r="CC103" i="19"/>
  <c r="CB103" i="19"/>
  <c r="CA103" i="19"/>
  <c r="BZ103" i="19"/>
  <c r="CI102" i="19"/>
  <c r="CH102" i="19"/>
  <c r="CG102" i="19"/>
  <c r="CF102" i="19"/>
  <c r="CE102" i="19"/>
  <c r="CD102" i="19"/>
  <c r="CC102" i="19"/>
  <c r="CB102" i="19"/>
  <c r="CA102" i="19"/>
  <c r="BZ102" i="19"/>
  <c r="CI101" i="19"/>
  <c r="CH101" i="19"/>
  <c r="CG101" i="19"/>
  <c r="CF101" i="19"/>
  <c r="CE101" i="19"/>
  <c r="CD101" i="19"/>
  <c r="CC101" i="19"/>
  <c r="CB101" i="19"/>
  <c r="CA101" i="19"/>
  <c r="BZ101" i="19"/>
  <c r="CI100" i="19"/>
  <c r="CH100" i="19"/>
  <c r="CG100" i="19"/>
  <c r="CF100" i="19"/>
  <c r="CE100" i="19"/>
  <c r="CD100" i="19"/>
  <c r="CC100" i="19"/>
  <c r="CB100" i="19"/>
  <c r="CA100" i="19"/>
  <c r="BZ100" i="19"/>
  <c r="CI99" i="19"/>
  <c r="CH99" i="19"/>
  <c r="CG99" i="19"/>
  <c r="CF99" i="19"/>
  <c r="CE99" i="19"/>
  <c r="CD99" i="19"/>
  <c r="CC99" i="19"/>
  <c r="CB99" i="19"/>
  <c r="CA99" i="19"/>
  <c r="BZ99" i="19"/>
  <c r="CI98" i="19"/>
  <c r="CH98" i="19"/>
  <c r="CG98" i="19"/>
  <c r="CF98" i="19"/>
  <c r="CE98" i="19"/>
  <c r="CD98" i="19"/>
  <c r="CC98" i="19"/>
  <c r="CB98" i="19"/>
  <c r="CA98" i="19"/>
  <c r="CI97" i="19"/>
  <c r="CH97" i="19"/>
  <c r="CG97" i="19"/>
  <c r="CF97" i="19"/>
  <c r="CE97" i="19"/>
  <c r="CD97" i="19"/>
  <c r="CC97" i="19"/>
  <c r="CB97" i="19"/>
  <c r="CA97" i="19"/>
  <c r="BZ97" i="19"/>
  <c r="CI96" i="19"/>
  <c r="CH96" i="19"/>
  <c r="CG96" i="19"/>
  <c r="CF96" i="19"/>
  <c r="CE96" i="19"/>
  <c r="CD96" i="19"/>
  <c r="CC96" i="19"/>
  <c r="CB96" i="19"/>
  <c r="CA96" i="19"/>
  <c r="BZ96" i="19"/>
  <c r="CI95" i="19"/>
  <c r="CH95" i="19"/>
  <c r="CG95" i="19"/>
  <c r="CF95" i="19"/>
  <c r="CE95" i="19"/>
  <c r="CD95" i="19"/>
  <c r="CC95" i="19"/>
  <c r="CB95" i="19"/>
  <c r="CA95" i="19"/>
  <c r="BZ95" i="19"/>
  <c r="CI94" i="19"/>
  <c r="CH94" i="19"/>
  <c r="CG94" i="19"/>
  <c r="CF94" i="19"/>
  <c r="CE94" i="19"/>
  <c r="CD94" i="19"/>
  <c r="CC94" i="19"/>
  <c r="CB94" i="19"/>
  <c r="CA94" i="19"/>
  <c r="BZ94" i="19"/>
  <c r="CI93" i="19"/>
  <c r="CH93" i="19"/>
  <c r="CG93" i="19"/>
  <c r="CF93" i="19"/>
  <c r="CE93" i="19"/>
  <c r="CD93" i="19"/>
  <c r="CC93" i="19"/>
  <c r="CB93" i="19"/>
  <c r="CA93" i="19"/>
  <c r="BZ93" i="19"/>
  <c r="CI92" i="19"/>
  <c r="CH92" i="19"/>
  <c r="CG92" i="19"/>
  <c r="CF92" i="19"/>
  <c r="CE92" i="19"/>
  <c r="CD92" i="19"/>
  <c r="CC92" i="19"/>
  <c r="CB92" i="19"/>
  <c r="CA92" i="19"/>
  <c r="BZ92" i="19"/>
  <c r="CI91" i="19"/>
  <c r="CH91" i="19"/>
  <c r="CG91" i="19"/>
  <c r="CF91" i="19"/>
  <c r="CE91" i="19"/>
  <c r="CD91" i="19"/>
  <c r="CC91" i="19"/>
  <c r="CB91" i="19"/>
  <c r="CA91" i="19"/>
  <c r="BZ91" i="19"/>
  <c r="CI90" i="19"/>
  <c r="CH90" i="19"/>
  <c r="CG90" i="19"/>
  <c r="CF90" i="19"/>
  <c r="CE90" i="19"/>
  <c r="CD90" i="19"/>
  <c r="CC90" i="19"/>
  <c r="CB90" i="19"/>
  <c r="CA90" i="19"/>
  <c r="BZ90" i="19"/>
  <c r="CI89" i="19"/>
  <c r="CH89" i="19"/>
  <c r="CG89" i="19"/>
  <c r="CF89" i="19"/>
  <c r="CE89" i="19"/>
  <c r="CD89" i="19"/>
  <c r="CC89" i="19"/>
  <c r="CB89" i="19"/>
  <c r="CA89" i="19"/>
  <c r="BZ89" i="19"/>
  <c r="CI88" i="19"/>
  <c r="CH88" i="19"/>
  <c r="CG88" i="19"/>
  <c r="CF88" i="19"/>
  <c r="CE88" i="19"/>
  <c r="CD88" i="19"/>
  <c r="CC88" i="19"/>
  <c r="CB88" i="19"/>
  <c r="CA88" i="19"/>
  <c r="BZ88" i="19"/>
  <c r="CI87" i="19"/>
  <c r="CH87" i="19"/>
  <c r="CG87" i="19"/>
  <c r="CF87" i="19"/>
  <c r="CE87" i="19"/>
  <c r="CD87" i="19"/>
  <c r="CC87" i="19"/>
  <c r="CB87" i="19"/>
  <c r="CA87" i="19"/>
  <c r="BZ87" i="19"/>
  <c r="CI86" i="19"/>
  <c r="CH86" i="19"/>
  <c r="CG86" i="19"/>
  <c r="CF86" i="19"/>
  <c r="CE86" i="19"/>
  <c r="CD86" i="19"/>
  <c r="CC86" i="19"/>
  <c r="CB86" i="19"/>
  <c r="CA86" i="19"/>
  <c r="BZ86" i="19"/>
  <c r="CI85" i="19"/>
  <c r="CH85" i="19"/>
  <c r="CG85" i="19"/>
  <c r="CF85" i="19"/>
  <c r="CE85" i="19"/>
  <c r="CD85" i="19"/>
  <c r="CC85" i="19"/>
  <c r="CB85" i="19"/>
  <c r="CA85" i="19"/>
  <c r="BZ85" i="19"/>
  <c r="CI84" i="19"/>
  <c r="CH84" i="19"/>
  <c r="CG84" i="19"/>
  <c r="CF84" i="19"/>
  <c r="CE84" i="19"/>
  <c r="CD84" i="19"/>
  <c r="CC84" i="19"/>
  <c r="CB84" i="19"/>
  <c r="CA84" i="19"/>
  <c r="BZ84" i="19"/>
  <c r="CI83" i="19"/>
  <c r="CH83" i="19"/>
  <c r="CG83" i="19"/>
  <c r="CF83" i="19"/>
  <c r="CD83" i="19"/>
  <c r="CC83" i="19"/>
  <c r="CB83" i="19"/>
  <c r="CA83" i="19"/>
  <c r="BZ83" i="19"/>
  <c r="CI82" i="19"/>
  <c r="CH82" i="19"/>
  <c r="CG82" i="19"/>
  <c r="CF82" i="19"/>
  <c r="CE82" i="19"/>
  <c r="CD82" i="19"/>
  <c r="CC82" i="19"/>
  <c r="CB82" i="19"/>
  <c r="CA82" i="19"/>
  <c r="BZ82" i="19"/>
  <c r="CI81" i="19"/>
  <c r="CH81" i="19"/>
  <c r="CG81" i="19"/>
  <c r="CF81" i="19"/>
  <c r="CE81" i="19"/>
  <c r="CD81" i="19"/>
  <c r="CC81" i="19"/>
  <c r="CB81" i="19"/>
  <c r="CA81" i="19"/>
  <c r="BZ81" i="19"/>
  <c r="CI80" i="19"/>
  <c r="CH80" i="19"/>
  <c r="CG80" i="19"/>
  <c r="CF80" i="19"/>
  <c r="CE80" i="19"/>
  <c r="CD80" i="19"/>
  <c r="CC80" i="19"/>
  <c r="CB80" i="19"/>
  <c r="CA80" i="19"/>
  <c r="BZ80" i="19"/>
  <c r="CI79" i="19"/>
  <c r="CH79" i="19"/>
  <c r="CG79" i="19"/>
  <c r="CF79" i="19"/>
  <c r="CE79" i="19"/>
  <c r="CD79" i="19"/>
  <c r="CC79" i="19"/>
  <c r="CB79" i="19"/>
  <c r="CA79" i="19"/>
  <c r="BZ79" i="19"/>
  <c r="CI78" i="19"/>
  <c r="CH78" i="19"/>
  <c r="CG78" i="19"/>
  <c r="CF78" i="19"/>
  <c r="CE78" i="19"/>
  <c r="CD78" i="19"/>
  <c r="CC78" i="19"/>
  <c r="CB78" i="19"/>
  <c r="CA78" i="19"/>
  <c r="BZ78" i="19"/>
  <c r="CH77" i="19"/>
  <c r="CG77" i="19"/>
  <c r="CF77" i="19"/>
  <c r="CE77" i="19"/>
  <c r="CD77" i="19"/>
  <c r="CC77" i="19"/>
  <c r="CB77" i="19"/>
  <c r="CA77" i="19"/>
  <c r="BZ77" i="19"/>
  <c r="CI76" i="19"/>
  <c r="CH76" i="19"/>
  <c r="CG76" i="19"/>
  <c r="CF76" i="19"/>
  <c r="CE76" i="19"/>
  <c r="CD76" i="19"/>
  <c r="CC76" i="19"/>
  <c r="CB76" i="19"/>
  <c r="CA76" i="19"/>
  <c r="BZ76" i="19"/>
  <c r="CI75" i="19"/>
  <c r="CH75" i="19"/>
  <c r="CG75" i="19"/>
  <c r="CF75" i="19"/>
  <c r="CE75" i="19"/>
  <c r="CD75" i="19"/>
  <c r="CC75" i="19"/>
  <c r="CB75" i="19"/>
  <c r="CA75" i="19"/>
  <c r="BZ75" i="19"/>
  <c r="CI74" i="19"/>
  <c r="CH74" i="19"/>
  <c r="CG74" i="19"/>
  <c r="CF74" i="19"/>
  <c r="CE74" i="19"/>
  <c r="CD74" i="19"/>
  <c r="CC74" i="19"/>
  <c r="CB74" i="19"/>
  <c r="CA74" i="19"/>
  <c r="BZ74" i="19"/>
  <c r="CI73" i="19"/>
  <c r="CH73" i="19"/>
  <c r="CG73" i="19"/>
  <c r="CF73" i="19"/>
  <c r="CE73" i="19"/>
  <c r="CD73" i="19"/>
  <c r="CC73" i="19"/>
  <c r="CB73" i="19"/>
  <c r="CA73" i="19"/>
  <c r="BZ73" i="19"/>
  <c r="CI72" i="19"/>
  <c r="CH72" i="19"/>
  <c r="CG72" i="19"/>
  <c r="CF72" i="19"/>
  <c r="CE72" i="19"/>
  <c r="CD72" i="19"/>
  <c r="CB72" i="19"/>
  <c r="CA72" i="19"/>
  <c r="BZ72" i="19"/>
  <c r="CI71" i="19"/>
  <c r="CH71" i="19"/>
  <c r="CG71" i="19"/>
  <c r="CF71" i="19"/>
  <c r="CE71" i="19"/>
  <c r="CD71" i="19"/>
  <c r="CC71" i="19"/>
  <c r="CB71" i="19"/>
  <c r="CA71" i="19"/>
  <c r="BZ71" i="19"/>
  <c r="CI70" i="19"/>
  <c r="CH70" i="19"/>
  <c r="CG70" i="19"/>
  <c r="CF70" i="19"/>
  <c r="CE70" i="19"/>
  <c r="CD70" i="19"/>
  <c r="CC70" i="19"/>
  <c r="CB70" i="19"/>
  <c r="CA70" i="19"/>
  <c r="BZ70" i="19"/>
  <c r="CI69" i="19"/>
  <c r="CH69" i="19"/>
  <c r="CG69" i="19"/>
  <c r="CF69" i="19"/>
  <c r="CE69" i="19"/>
  <c r="CD69" i="19"/>
  <c r="CC69" i="19"/>
  <c r="CB69" i="19"/>
  <c r="CA69" i="19"/>
  <c r="BZ69" i="19"/>
  <c r="CI68" i="19"/>
  <c r="CH68" i="19"/>
  <c r="CG68" i="19"/>
  <c r="CF68" i="19"/>
  <c r="CE68" i="19"/>
  <c r="CD68" i="19"/>
  <c r="CB68" i="19"/>
  <c r="CA68" i="19"/>
  <c r="BZ68" i="19"/>
  <c r="CI67" i="19"/>
  <c r="CH67" i="19"/>
  <c r="CG67" i="19"/>
  <c r="CF67" i="19"/>
  <c r="CE67" i="19"/>
  <c r="CD67" i="19"/>
  <c r="CC67" i="19"/>
  <c r="CB67" i="19"/>
  <c r="CA67" i="19"/>
  <c r="BZ67" i="19"/>
  <c r="CI66" i="19"/>
  <c r="CH66" i="19"/>
  <c r="CG66" i="19"/>
  <c r="CF66" i="19"/>
  <c r="CE66" i="19"/>
  <c r="CD66" i="19"/>
  <c r="CC66" i="19"/>
  <c r="CB66" i="19"/>
  <c r="CA66" i="19"/>
  <c r="BZ66" i="19"/>
  <c r="CI65" i="19"/>
  <c r="CH65" i="19"/>
  <c r="CF65" i="19"/>
  <c r="CE65" i="19"/>
  <c r="CD65" i="19"/>
  <c r="CC65" i="19"/>
  <c r="CB65" i="19"/>
  <c r="CA65" i="19"/>
  <c r="BZ65" i="19"/>
  <c r="CI64" i="19"/>
  <c r="CH64" i="19"/>
  <c r="CG64" i="19"/>
  <c r="CF64" i="19"/>
  <c r="CE64" i="19"/>
  <c r="CD64" i="19"/>
  <c r="CC64" i="19"/>
  <c r="CB64" i="19"/>
  <c r="CA64" i="19"/>
  <c r="BZ64" i="19"/>
  <c r="CI63" i="19"/>
  <c r="CH63" i="19"/>
  <c r="CG63" i="19"/>
  <c r="CF63" i="19"/>
  <c r="CE63" i="19"/>
  <c r="CD63" i="19"/>
  <c r="CC63" i="19"/>
  <c r="CB63" i="19"/>
  <c r="CA63" i="19"/>
  <c r="BZ63" i="19"/>
  <c r="CI62" i="19"/>
  <c r="CH62" i="19"/>
  <c r="CG62" i="19"/>
  <c r="CF62" i="19"/>
  <c r="CE62" i="19"/>
  <c r="CD62" i="19"/>
  <c r="CC62" i="19"/>
  <c r="CB62" i="19"/>
  <c r="CA62" i="19"/>
  <c r="BZ62" i="19"/>
  <c r="CI61" i="19"/>
  <c r="CH61" i="19"/>
  <c r="CG61" i="19"/>
  <c r="CF61" i="19"/>
  <c r="CE61" i="19"/>
  <c r="CD61" i="19"/>
  <c r="CC61" i="19"/>
  <c r="CB61" i="19"/>
  <c r="CA61" i="19"/>
  <c r="BZ61" i="19"/>
  <c r="CI60" i="19"/>
  <c r="CH60" i="19"/>
  <c r="CG60" i="19"/>
  <c r="CF60" i="19"/>
  <c r="CE60" i="19"/>
  <c r="CD60" i="19"/>
  <c r="CC60" i="19"/>
  <c r="CB60" i="19"/>
  <c r="CA60" i="19"/>
  <c r="BZ60" i="19"/>
  <c r="CI59" i="19"/>
  <c r="CH59" i="19"/>
  <c r="CG59" i="19"/>
  <c r="CF59" i="19"/>
  <c r="CE59" i="19"/>
  <c r="CD59" i="19"/>
  <c r="CC59" i="19"/>
  <c r="CB59" i="19"/>
  <c r="CA59" i="19"/>
  <c r="BZ59" i="19"/>
  <c r="CI58" i="19"/>
  <c r="CH58" i="19"/>
  <c r="CG58" i="19"/>
  <c r="CF58" i="19"/>
  <c r="CE58" i="19"/>
  <c r="CD58" i="19"/>
  <c r="CC58" i="19"/>
  <c r="CB58" i="19"/>
  <c r="CA58" i="19"/>
  <c r="BZ58" i="19"/>
  <c r="CI57" i="19"/>
  <c r="CH57" i="19"/>
  <c r="CG57" i="19"/>
  <c r="CF57" i="19"/>
  <c r="CE57" i="19"/>
  <c r="CD57" i="19"/>
  <c r="CC57" i="19"/>
  <c r="CB57" i="19"/>
  <c r="CA57" i="19"/>
  <c r="BZ57" i="19"/>
  <c r="CI56" i="19"/>
  <c r="CH56" i="19"/>
  <c r="CG56" i="19"/>
  <c r="CF56" i="19"/>
  <c r="CE56" i="19"/>
  <c r="CD56" i="19"/>
  <c r="CC56" i="19"/>
  <c r="CB56" i="19"/>
  <c r="CA56" i="19"/>
  <c r="BZ56" i="19"/>
  <c r="CI55" i="19"/>
  <c r="CH55" i="19"/>
  <c r="CG55" i="19"/>
  <c r="CF55" i="19"/>
  <c r="CE55" i="19"/>
  <c r="CD55" i="19"/>
  <c r="CC55" i="19"/>
  <c r="CB55" i="19"/>
  <c r="CA55" i="19"/>
  <c r="BZ55" i="19"/>
  <c r="CI54" i="19"/>
  <c r="CH54" i="19"/>
  <c r="CG54" i="19"/>
  <c r="CF54" i="19"/>
  <c r="CE54" i="19"/>
  <c r="CD54" i="19"/>
  <c r="CC54" i="19"/>
  <c r="CB54" i="19"/>
  <c r="CA54" i="19"/>
  <c r="BZ54" i="19"/>
  <c r="CI53" i="19"/>
  <c r="CH53" i="19"/>
  <c r="CG53" i="19"/>
  <c r="CF53" i="19"/>
  <c r="CE53" i="19"/>
  <c r="CD53" i="19"/>
  <c r="CC53" i="19"/>
  <c r="CB53" i="19"/>
  <c r="CA53" i="19"/>
  <c r="BZ53" i="19"/>
  <c r="CI52" i="19"/>
  <c r="CH52" i="19"/>
  <c r="CG52" i="19"/>
  <c r="CF52" i="19"/>
  <c r="CE52" i="19"/>
  <c r="CD52" i="19"/>
  <c r="CC52" i="19"/>
  <c r="CB52" i="19"/>
  <c r="CA52" i="19"/>
  <c r="BZ52" i="19"/>
  <c r="CI51" i="19"/>
  <c r="CH51" i="19"/>
  <c r="CG51" i="19"/>
  <c r="CF51" i="19"/>
  <c r="CE51" i="19"/>
  <c r="CC51" i="19"/>
  <c r="CB51" i="19"/>
  <c r="CA51" i="19"/>
  <c r="BZ51" i="19"/>
  <c r="CI50" i="19"/>
  <c r="CH50" i="19"/>
  <c r="CG50" i="19"/>
  <c r="CF50" i="19"/>
  <c r="CE50" i="19"/>
  <c r="CD50" i="19"/>
  <c r="CC50" i="19"/>
  <c r="CB50" i="19"/>
  <c r="CA50" i="19"/>
  <c r="BZ50" i="19"/>
  <c r="CI49" i="19"/>
  <c r="CH49" i="19"/>
  <c r="CG49" i="19"/>
  <c r="CF49" i="19"/>
  <c r="CE49" i="19"/>
  <c r="CD49" i="19"/>
  <c r="CC49" i="19"/>
  <c r="CB49" i="19"/>
  <c r="CA49" i="19"/>
  <c r="CH48" i="19"/>
  <c r="CG48" i="19"/>
  <c r="CF48" i="19"/>
  <c r="CE48" i="19"/>
  <c r="CD48" i="19"/>
  <c r="CC48" i="19"/>
  <c r="CB48" i="19"/>
  <c r="CA48" i="19"/>
  <c r="BZ48" i="19"/>
  <c r="CI47" i="19"/>
  <c r="CH47" i="19"/>
  <c r="CG47" i="19"/>
  <c r="CF47" i="19"/>
  <c r="CE47" i="19"/>
  <c r="CD47" i="19"/>
  <c r="CC47" i="19"/>
  <c r="CB47" i="19"/>
  <c r="CA47" i="19"/>
  <c r="BZ47" i="19"/>
  <c r="CI46" i="19"/>
  <c r="CH46" i="19"/>
  <c r="CG46" i="19"/>
  <c r="CF46" i="19"/>
  <c r="CE46" i="19"/>
  <c r="CD46" i="19"/>
  <c r="CC46" i="19"/>
  <c r="CB46" i="19"/>
  <c r="CA46" i="19"/>
  <c r="BZ46" i="19"/>
  <c r="CI45" i="19"/>
  <c r="CH45" i="19"/>
  <c r="CG45" i="19"/>
  <c r="CF45" i="19"/>
  <c r="CE45" i="19"/>
  <c r="CD45" i="19"/>
  <c r="CC45" i="19"/>
  <c r="CB45" i="19"/>
  <c r="CA45" i="19"/>
  <c r="BZ45" i="19"/>
  <c r="CI44" i="19"/>
  <c r="CH44" i="19"/>
  <c r="CG44" i="19"/>
  <c r="CF44" i="19"/>
  <c r="CE44" i="19"/>
  <c r="CD44" i="19"/>
  <c r="CC44" i="19"/>
  <c r="CB44" i="19"/>
  <c r="CA44" i="19"/>
  <c r="BZ44" i="19"/>
  <c r="CI43" i="19"/>
  <c r="CH43" i="19"/>
  <c r="CG43" i="19"/>
  <c r="CF43" i="19"/>
  <c r="CE43" i="19"/>
  <c r="CD43" i="19"/>
  <c r="CC43" i="19"/>
  <c r="CB43" i="19"/>
  <c r="CA43" i="19"/>
  <c r="BZ43" i="19"/>
  <c r="CI42" i="19"/>
  <c r="CH42" i="19"/>
  <c r="CG42" i="19"/>
  <c r="CF42" i="19"/>
  <c r="CE42" i="19"/>
  <c r="CD42" i="19"/>
  <c r="CC42" i="19"/>
  <c r="CB42" i="19"/>
  <c r="CA42" i="19"/>
  <c r="BZ42" i="19"/>
  <c r="CH41" i="19"/>
  <c r="CG41" i="19"/>
  <c r="CF41" i="19"/>
  <c r="CE41" i="19"/>
  <c r="CD41" i="19"/>
  <c r="CC41" i="19"/>
  <c r="CB41" i="19"/>
  <c r="CA41" i="19"/>
  <c r="BZ41" i="19"/>
  <c r="CI40" i="19"/>
  <c r="CH40" i="19"/>
  <c r="CG40" i="19"/>
  <c r="CF40" i="19"/>
  <c r="CE40" i="19"/>
  <c r="CD40" i="19"/>
  <c r="CC40" i="19"/>
  <c r="CB40" i="19"/>
  <c r="CA40" i="19"/>
  <c r="BZ40" i="19"/>
  <c r="CI39" i="19"/>
  <c r="CH39" i="19"/>
  <c r="CG39" i="19"/>
  <c r="CF39" i="19"/>
  <c r="CE39" i="19"/>
  <c r="CD39" i="19"/>
  <c r="CC39" i="19"/>
  <c r="CB39" i="19"/>
  <c r="CA39" i="19"/>
  <c r="BZ39" i="19"/>
  <c r="CI38" i="19"/>
  <c r="CH38" i="19"/>
  <c r="CG38" i="19"/>
  <c r="CF38" i="19"/>
  <c r="CE38" i="19"/>
  <c r="CD38" i="19"/>
  <c r="CC38" i="19"/>
  <c r="CB38" i="19"/>
  <c r="CA38" i="19"/>
  <c r="BZ38" i="19"/>
  <c r="CI37" i="19"/>
  <c r="CH37" i="19"/>
  <c r="CG37" i="19"/>
  <c r="CF37" i="19"/>
  <c r="CE37" i="19"/>
  <c r="CD37" i="19"/>
  <c r="CC37" i="19"/>
  <c r="CB37" i="19"/>
  <c r="CA37" i="19"/>
  <c r="BZ37" i="19"/>
  <c r="CI36" i="19"/>
  <c r="CH36" i="19"/>
  <c r="CG36" i="19"/>
  <c r="CF36" i="19"/>
  <c r="CE36" i="19"/>
  <c r="CD36" i="19"/>
  <c r="CB36" i="19"/>
  <c r="CA36" i="19"/>
  <c r="BZ36" i="19"/>
  <c r="CI35" i="19"/>
  <c r="CH35" i="19"/>
  <c r="CG35" i="19"/>
  <c r="CF35" i="19"/>
  <c r="CE35" i="19"/>
  <c r="CC35" i="19"/>
  <c r="CB35" i="19"/>
  <c r="CA35" i="19"/>
  <c r="BZ35" i="19"/>
  <c r="CI34" i="19"/>
  <c r="CH34" i="19"/>
  <c r="CG34" i="19"/>
  <c r="CF34" i="19"/>
  <c r="CE34" i="19"/>
  <c r="CC34" i="19"/>
  <c r="CB34" i="19"/>
  <c r="CA34" i="19"/>
  <c r="BZ34" i="19"/>
  <c r="CI33" i="19"/>
  <c r="CH33" i="19"/>
  <c r="CG33" i="19"/>
  <c r="CF33" i="19"/>
  <c r="CE33" i="19"/>
  <c r="CD33" i="19"/>
  <c r="CC33" i="19"/>
  <c r="CB33" i="19"/>
  <c r="CA33" i="19"/>
  <c r="BZ33" i="19"/>
  <c r="CI32" i="19"/>
  <c r="CH32" i="19"/>
  <c r="CG32" i="19"/>
  <c r="CF32" i="19"/>
  <c r="CE32" i="19"/>
  <c r="CD32" i="19"/>
  <c r="CC32" i="19"/>
  <c r="CB32" i="19"/>
  <c r="CA32" i="19"/>
  <c r="BZ32" i="19"/>
  <c r="CI31" i="19"/>
  <c r="CH31" i="19"/>
  <c r="CG31" i="19"/>
  <c r="CF31" i="19"/>
  <c r="CE31" i="19"/>
  <c r="CD31" i="19"/>
  <c r="CC31" i="19"/>
  <c r="CB31" i="19"/>
  <c r="CA31" i="19"/>
  <c r="BZ31" i="19"/>
  <c r="CI30" i="19"/>
  <c r="CH30" i="19"/>
  <c r="CG30" i="19"/>
  <c r="CE30" i="19"/>
  <c r="CD30" i="19"/>
  <c r="CC30" i="19"/>
  <c r="CB30" i="19"/>
  <c r="CA30" i="19"/>
  <c r="BZ30" i="19"/>
  <c r="CH29" i="19"/>
  <c r="CG29" i="19"/>
  <c r="CF29" i="19"/>
  <c r="CE29" i="19"/>
  <c r="CD29" i="19"/>
  <c r="CC29" i="19"/>
  <c r="CB29" i="19"/>
  <c r="CA29" i="19"/>
  <c r="BZ29" i="19"/>
  <c r="CI28" i="19"/>
  <c r="CH28" i="19"/>
  <c r="CG28" i="19"/>
  <c r="CF28" i="19"/>
  <c r="CE28" i="19"/>
  <c r="CD28" i="19"/>
  <c r="CC28" i="19"/>
  <c r="CA28" i="19"/>
  <c r="BZ28" i="19"/>
  <c r="CI27" i="19"/>
  <c r="CH27" i="19"/>
  <c r="CG27" i="19"/>
  <c r="CF27" i="19"/>
  <c r="CE27" i="19"/>
  <c r="CD27" i="19"/>
  <c r="CC27" i="19"/>
  <c r="CB27" i="19"/>
  <c r="CA27" i="19"/>
  <c r="BZ27" i="19"/>
  <c r="CI26" i="19"/>
  <c r="CH26" i="19"/>
  <c r="CG26" i="19"/>
  <c r="CF26" i="19"/>
  <c r="CE26" i="19"/>
  <c r="CD26" i="19"/>
  <c r="CC26" i="19"/>
  <c r="CB26" i="19"/>
  <c r="CA26" i="19"/>
  <c r="BZ26" i="19"/>
  <c r="CI25" i="19"/>
  <c r="CH25" i="19"/>
  <c r="CG25" i="19"/>
  <c r="CF25" i="19"/>
  <c r="CE25" i="19"/>
  <c r="CD25" i="19"/>
  <c r="CC25" i="19"/>
  <c r="CB25" i="19"/>
  <c r="CA25" i="19"/>
  <c r="BZ25" i="19"/>
  <c r="CI24" i="19"/>
  <c r="CH24" i="19"/>
  <c r="CG24" i="19"/>
  <c r="CF24" i="19"/>
  <c r="CE24" i="19"/>
  <c r="CD24" i="19"/>
  <c r="CB24" i="19"/>
  <c r="CA24" i="19"/>
  <c r="BZ24" i="19"/>
  <c r="CI23" i="19"/>
  <c r="CH23" i="19"/>
  <c r="CG23" i="19"/>
  <c r="CF23" i="19"/>
  <c r="CE23" i="19"/>
  <c r="CD23" i="19"/>
  <c r="CC23" i="19"/>
  <c r="CB23" i="19"/>
  <c r="CA23" i="19"/>
  <c r="BZ23" i="19"/>
  <c r="CI22" i="19"/>
  <c r="CH22" i="19"/>
  <c r="CG22" i="19"/>
  <c r="CF22" i="19"/>
  <c r="CE22" i="19"/>
  <c r="CD22" i="19"/>
  <c r="CC22" i="19"/>
  <c r="CB22" i="19"/>
  <c r="CA22" i="19"/>
  <c r="BZ22" i="19"/>
  <c r="CI21" i="19"/>
  <c r="CH21" i="19"/>
  <c r="CG21" i="19"/>
  <c r="CF21" i="19"/>
  <c r="CE21" i="19"/>
  <c r="CD21" i="19"/>
  <c r="CC21" i="19"/>
  <c r="CB21" i="19"/>
  <c r="CA21" i="19"/>
  <c r="BZ21" i="19"/>
  <c r="CI20" i="19"/>
  <c r="CH20" i="19"/>
  <c r="CG20" i="19"/>
  <c r="CF20" i="19"/>
  <c r="CE20" i="19"/>
  <c r="CD20" i="19"/>
  <c r="CC20" i="19"/>
  <c r="CB20" i="19"/>
  <c r="CA20" i="19"/>
  <c r="BZ20" i="19"/>
  <c r="CI19" i="19"/>
  <c r="CH19" i="19"/>
  <c r="CG19" i="19"/>
  <c r="CF19" i="19"/>
  <c r="CE19" i="19"/>
  <c r="CD19" i="19"/>
  <c r="CC19" i="19"/>
  <c r="CB19" i="19"/>
  <c r="CA19" i="19"/>
  <c r="BZ19" i="19"/>
  <c r="CI18" i="19"/>
  <c r="CH18" i="19"/>
  <c r="CG18" i="19"/>
  <c r="CF18" i="19"/>
  <c r="CE18" i="19"/>
  <c r="CD18" i="19"/>
  <c r="CC18" i="19"/>
  <c r="CB18" i="19"/>
  <c r="CA18" i="19"/>
  <c r="BZ18" i="19"/>
  <c r="CI17" i="19"/>
  <c r="CH17" i="19"/>
  <c r="CG17" i="19"/>
  <c r="CF17" i="19"/>
  <c r="CE17" i="19"/>
  <c r="CD17" i="19"/>
  <c r="CC17" i="19"/>
  <c r="CB17" i="19"/>
  <c r="CA17" i="19"/>
  <c r="BZ17" i="19"/>
  <c r="CI16" i="19"/>
  <c r="CH16" i="19"/>
  <c r="CG16" i="19"/>
  <c r="CF16" i="19"/>
  <c r="CE16" i="19"/>
  <c r="CD16" i="19"/>
  <c r="CC16" i="19"/>
  <c r="CB16" i="19"/>
  <c r="CA16" i="19"/>
  <c r="BZ16" i="19"/>
  <c r="CI15" i="19"/>
  <c r="CH15" i="19"/>
  <c r="CG15" i="19"/>
  <c r="CF15" i="19"/>
  <c r="CE15" i="19"/>
  <c r="CD15" i="19"/>
  <c r="CC15" i="19"/>
  <c r="CB15" i="19"/>
  <c r="CA15" i="19"/>
  <c r="BZ15" i="19"/>
  <c r="CI14" i="19"/>
  <c r="CH14" i="19"/>
  <c r="CF14" i="19"/>
  <c r="CE14" i="19"/>
  <c r="CD14" i="19"/>
  <c r="CC14" i="19"/>
  <c r="CB14" i="19"/>
  <c r="CA14" i="19"/>
  <c r="BZ14" i="19"/>
  <c r="CI13" i="19"/>
  <c r="CH13" i="19"/>
  <c r="CG13" i="19"/>
  <c r="CF13" i="19"/>
  <c r="CE13" i="19"/>
  <c r="CD13" i="19"/>
  <c r="CC13" i="19"/>
  <c r="CB13" i="19"/>
  <c r="CA13" i="19"/>
  <c r="CI12" i="19"/>
  <c r="CH12" i="19"/>
  <c r="CG12" i="19"/>
  <c r="CF12" i="19"/>
  <c r="CE12" i="19"/>
  <c r="CD12" i="19"/>
  <c r="CC12" i="19"/>
  <c r="CB12" i="19"/>
  <c r="BZ12" i="19"/>
  <c r="CH11" i="19"/>
  <c r="CG11" i="19"/>
  <c r="CF11" i="19"/>
  <c r="CE11" i="19"/>
  <c r="CD11" i="19"/>
  <c r="CC11" i="19"/>
  <c r="CB11" i="19"/>
  <c r="CA11" i="19"/>
  <c r="BZ11" i="19"/>
  <c r="CI10" i="19"/>
  <c r="CH10" i="19"/>
  <c r="CG10" i="19"/>
  <c r="CF10" i="19"/>
  <c r="CE10" i="19"/>
  <c r="CD10" i="19"/>
  <c r="CC10" i="19"/>
  <c r="CB10" i="19"/>
  <c r="CA10" i="19"/>
  <c r="BZ10" i="19"/>
  <c r="CH9" i="19"/>
  <c r="CG9" i="19"/>
  <c r="CF9" i="19"/>
  <c r="CE9" i="19"/>
  <c r="CD9" i="19"/>
  <c r="CC9" i="19"/>
  <c r="CB9" i="19"/>
  <c r="CA9" i="19"/>
  <c r="BZ9" i="19"/>
  <c r="CI8" i="19"/>
  <c r="CH8" i="19"/>
  <c r="CG8" i="19"/>
  <c r="CF8" i="19"/>
  <c r="CE8" i="19"/>
  <c r="CD8" i="19"/>
  <c r="CC8" i="19"/>
  <c r="CB8" i="19"/>
  <c r="CA8" i="19"/>
  <c r="BZ8" i="19"/>
  <c r="CI7" i="19"/>
  <c r="CH7" i="19"/>
  <c r="CG7" i="19"/>
  <c r="CF7" i="19"/>
  <c r="CE7" i="19"/>
  <c r="CD7" i="19"/>
  <c r="CC7" i="19"/>
  <c r="CB7" i="19"/>
  <c r="BZ7" i="19"/>
  <c r="CI6" i="19"/>
  <c r="CH6" i="19"/>
  <c r="CG6" i="19"/>
  <c r="CF6" i="19"/>
  <c r="CE6" i="19"/>
  <c r="CD6" i="19"/>
  <c r="CC6" i="19"/>
  <c r="CB6" i="19"/>
  <c r="CA6" i="19"/>
  <c r="BZ6" i="19"/>
  <c r="CI5" i="19"/>
  <c r="CH5" i="19"/>
  <c r="CG5" i="19"/>
  <c r="CF5" i="19"/>
  <c r="CE5" i="19"/>
  <c r="CD5" i="19"/>
  <c r="CC5" i="19"/>
  <c r="CB5" i="19"/>
  <c r="CA5" i="19"/>
  <c r="BZ5" i="19"/>
  <c r="CI4" i="19"/>
  <c r="CH4" i="19"/>
  <c r="CG4" i="19"/>
  <c r="CF4" i="19"/>
  <c r="CE4" i="19"/>
  <c r="CD4" i="19"/>
  <c r="CC4" i="19"/>
  <c r="CB4" i="19"/>
  <c r="CA4" i="19"/>
  <c r="BZ4" i="19"/>
  <c r="CI3" i="19"/>
  <c r="CH3" i="19"/>
  <c r="CG3" i="19"/>
  <c r="CF3" i="19"/>
  <c r="CE3" i="19"/>
  <c r="CD3" i="19"/>
  <c r="CB3" i="19"/>
  <c r="CA3" i="19"/>
  <c r="BZ3" i="19"/>
  <c r="CI2" i="19"/>
  <c r="CH2" i="19"/>
  <c r="CG2" i="19"/>
  <c r="CF2" i="19"/>
  <c r="CE2" i="19"/>
  <c r="CD2" i="19"/>
  <c r="CC2" i="19"/>
  <c r="CB2" i="19"/>
  <c r="CA2" i="19"/>
  <c r="E336" i="31"/>
  <c r="G336" i="31" s="1"/>
  <c r="AD336" i="19" s="1"/>
  <c r="E335" i="31"/>
  <c r="F335" i="31" s="1"/>
  <c r="AC335" i="19" s="1"/>
  <c r="E334" i="31"/>
  <c r="G334" i="31" s="1"/>
  <c r="AD334" i="19" s="1"/>
  <c r="E333" i="31"/>
  <c r="E332" i="31"/>
  <c r="E331" i="31"/>
  <c r="F331" i="31" s="1"/>
  <c r="AC331" i="19" s="1"/>
  <c r="E330" i="31"/>
  <c r="G330" i="31" s="1"/>
  <c r="AD330" i="19" s="1"/>
  <c r="E329" i="31"/>
  <c r="G329" i="31" s="1"/>
  <c r="AD329" i="19" s="1"/>
  <c r="E328" i="31"/>
  <c r="E327" i="31"/>
  <c r="F327" i="31" s="1"/>
  <c r="AC327" i="19" s="1"/>
  <c r="AA327" i="19" s="1"/>
  <c r="AB327" i="19" s="1"/>
  <c r="E326" i="31"/>
  <c r="G326" i="31" s="1"/>
  <c r="AD326" i="19" s="1"/>
  <c r="E325" i="31"/>
  <c r="G325" i="31" s="1"/>
  <c r="AD325" i="19" s="1"/>
  <c r="E324" i="31"/>
  <c r="E323" i="31"/>
  <c r="F323" i="31" s="1"/>
  <c r="AC323" i="19" s="1"/>
  <c r="E322" i="31"/>
  <c r="G322" i="31" s="1"/>
  <c r="AD322" i="19" s="1"/>
  <c r="E321" i="31"/>
  <c r="G321" i="31" s="1"/>
  <c r="AD321" i="19" s="1"/>
  <c r="E320" i="31"/>
  <c r="E319" i="31"/>
  <c r="F319" i="31" s="1"/>
  <c r="AC319" i="19" s="1"/>
  <c r="E318" i="31"/>
  <c r="G318" i="31" s="1"/>
  <c r="AD318" i="19" s="1"/>
  <c r="E317" i="31"/>
  <c r="G317" i="31" s="1"/>
  <c r="AD317" i="19" s="1"/>
  <c r="E316" i="31"/>
  <c r="E315" i="31"/>
  <c r="F315" i="31" s="1"/>
  <c r="AC315" i="19" s="1"/>
  <c r="E314" i="31"/>
  <c r="F314" i="31" s="1"/>
  <c r="AC314" i="19" s="1"/>
  <c r="E313" i="31"/>
  <c r="G313" i="31" s="1"/>
  <c r="AD313" i="19" s="1"/>
  <c r="E312" i="31"/>
  <c r="E311" i="31"/>
  <c r="F311" i="31" s="1"/>
  <c r="AC311" i="19" s="1"/>
  <c r="E310" i="31"/>
  <c r="G310" i="31" s="1"/>
  <c r="AD310" i="19" s="1"/>
  <c r="E309" i="31"/>
  <c r="G309" i="31" s="1"/>
  <c r="AD309" i="19" s="1"/>
  <c r="E308" i="31"/>
  <c r="E307" i="31"/>
  <c r="F307" i="31" s="1"/>
  <c r="AC307" i="19" s="1"/>
  <c r="E306" i="31"/>
  <c r="G306" i="31" s="1"/>
  <c r="AD306" i="19" s="1"/>
  <c r="E305" i="31"/>
  <c r="G305" i="31" s="1"/>
  <c r="AD305" i="19" s="1"/>
  <c r="E304" i="31"/>
  <c r="E303" i="31"/>
  <c r="F303" i="31" s="1"/>
  <c r="AC303" i="19" s="1"/>
  <c r="E302" i="31"/>
  <c r="G302" i="31" s="1"/>
  <c r="AD302" i="19" s="1"/>
  <c r="E301" i="31"/>
  <c r="G301" i="31" s="1"/>
  <c r="AD301" i="19" s="1"/>
  <c r="E300" i="31"/>
  <c r="E299" i="31"/>
  <c r="F299" i="31" s="1"/>
  <c r="AC299" i="19" s="1"/>
  <c r="E298" i="31"/>
  <c r="G298" i="31" s="1"/>
  <c r="AD298" i="19" s="1"/>
  <c r="E297" i="31"/>
  <c r="G297" i="31" s="1"/>
  <c r="AD297" i="19" s="1"/>
  <c r="E296" i="31"/>
  <c r="E295" i="31"/>
  <c r="F295" i="31" s="1"/>
  <c r="AC295" i="19" s="1"/>
  <c r="E294" i="31"/>
  <c r="G294" i="31" s="1"/>
  <c r="AD294" i="19" s="1"/>
  <c r="E293" i="31"/>
  <c r="G293" i="31" s="1"/>
  <c r="AD293" i="19" s="1"/>
  <c r="E292" i="31"/>
  <c r="F292" i="31" s="1"/>
  <c r="AC292" i="19" s="1"/>
  <c r="E291" i="31"/>
  <c r="F291" i="31" s="1"/>
  <c r="AC291" i="19" s="1"/>
  <c r="E290" i="31"/>
  <c r="F290" i="31" s="1"/>
  <c r="AC290" i="19" s="1"/>
  <c r="AA290" i="19" s="1"/>
  <c r="AB290" i="19" s="1"/>
  <c r="E289" i="31"/>
  <c r="G289" i="31" s="1"/>
  <c r="AD289" i="19" s="1"/>
  <c r="E288" i="31"/>
  <c r="E287" i="31"/>
  <c r="G287" i="31" s="1"/>
  <c r="AD287" i="19" s="1"/>
  <c r="E286" i="31"/>
  <c r="F286" i="31" s="1"/>
  <c r="AC286" i="19" s="1"/>
  <c r="AA286" i="19" s="1"/>
  <c r="AB286" i="19" s="1"/>
  <c r="E285" i="31"/>
  <c r="G285" i="31" s="1"/>
  <c r="AD285" i="19" s="1"/>
  <c r="E284" i="31"/>
  <c r="F284" i="31" s="1"/>
  <c r="AC284" i="19" s="1"/>
  <c r="AA284" i="19" s="1"/>
  <c r="AB284" i="19" s="1"/>
  <c r="E283" i="31"/>
  <c r="F283" i="31" s="1"/>
  <c r="AC283" i="19" s="1"/>
  <c r="AA283" i="19" s="1"/>
  <c r="AB283" i="19" s="1"/>
  <c r="E282" i="31"/>
  <c r="G282" i="31" s="1"/>
  <c r="AD282" i="19" s="1"/>
  <c r="E281" i="31"/>
  <c r="G281" i="31" s="1"/>
  <c r="AD281" i="19" s="1"/>
  <c r="E280" i="31"/>
  <c r="E279" i="31"/>
  <c r="F279" i="31" s="1"/>
  <c r="AC279" i="19" s="1"/>
  <c r="AA279" i="19" s="1"/>
  <c r="AB279" i="19" s="1"/>
  <c r="E278" i="31"/>
  <c r="G278" i="31" s="1"/>
  <c r="AD278" i="19" s="1"/>
  <c r="E277" i="31"/>
  <c r="G277" i="31" s="1"/>
  <c r="AD277" i="19" s="1"/>
  <c r="E276" i="31"/>
  <c r="F276" i="31" s="1"/>
  <c r="AC276" i="19" s="1"/>
  <c r="AA276" i="19" s="1"/>
  <c r="AB276" i="19" s="1"/>
  <c r="E275" i="31"/>
  <c r="F275" i="31" s="1"/>
  <c r="AC275" i="19" s="1"/>
  <c r="AA275" i="19" s="1"/>
  <c r="AB275" i="19" s="1"/>
  <c r="E274" i="31"/>
  <c r="G274" i="31" s="1"/>
  <c r="AD274" i="19" s="1"/>
  <c r="E273" i="31"/>
  <c r="G273" i="31" s="1"/>
  <c r="AD273" i="19" s="1"/>
  <c r="E272" i="31"/>
  <c r="E271" i="31"/>
  <c r="F271" i="31" s="1"/>
  <c r="AC271" i="19" s="1"/>
  <c r="AA271" i="19" s="1"/>
  <c r="AB271" i="19" s="1"/>
  <c r="E270" i="31"/>
  <c r="G270" i="31" s="1"/>
  <c r="AD270" i="19" s="1"/>
  <c r="E269" i="31"/>
  <c r="G269" i="31" s="1"/>
  <c r="AD269" i="19" s="1"/>
  <c r="E268" i="31"/>
  <c r="F268" i="31" s="1"/>
  <c r="AC268" i="19" s="1"/>
  <c r="E267" i="31"/>
  <c r="F267" i="31" s="1"/>
  <c r="AC267" i="19" s="1"/>
  <c r="E266" i="31"/>
  <c r="G266" i="31" s="1"/>
  <c r="AD266" i="19" s="1"/>
  <c r="E265" i="31"/>
  <c r="G265" i="31" s="1"/>
  <c r="AD265" i="19" s="1"/>
  <c r="E264" i="31"/>
  <c r="E263" i="31"/>
  <c r="G263" i="31" s="1"/>
  <c r="AD263" i="19" s="1"/>
  <c r="E262" i="31"/>
  <c r="G262" i="31" s="1"/>
  <c r="AD262" i="19" s="1"/>
  <c r="E261" i="31"/>
  <c r="G261" i="31" s="1"/>
  <c r="AD261" i="19" s="1"/>
  <c r="E260" i="31"/>
  <c r="F260" i="31" s="1"/>
  <c r="AC260" i="19" s="1"/>
  <c r="AA260" i="19" s="1"/>
  <c r="AB260" i="19" s="1"/>
  <c r="E259" i="31"/>
  <c r="F259" i="31" s="1"/>
  <c r="AC259" i="19" s="1"/>
  <c r="AA259" i="19" s="1"/>
  <c r="AB259" i="19" s="1"/>
  <c r="E258" i="31"/>
  <c r="F258" i="31" s="1"/>
  <c r="AC258" i="19" s="1"/>
  <c r="E257" i="31"/>
  <c r="G257" i="31" s="1"/>
  <c r="AD257" i="19" s="1"/>
  <c r="E256" i="31"/>
  <c r="E255" i="31"/>
  <c r="G255" i="31" s="1"/>
  <c r="AD255" i="19" s="1"/>
  <c r="E254" i="31"/>
  <c r="F254" i="31" s="1"/>
  <c r="AC254" i="19" s="1"/>
  <c r="E253" i="31"/>
  <c r="G253" i="31" s="1"/>
  <c r="AD253" i="19" s="1"/>
  <c r="E252" i="31"/>
  <c r="F252" i="31" s="1"/>
  <c r="AC252" i="19" s="1"/>
  <c r="E251" i="31"/>
  <c r="F251" i="31" s="1"/>
  <c r="AC251" i="19" s="1"/>
  <c r="E250" i="31"/>
  <c r="G250" i="31" s="1"/>
  <c r="AD250" i="19" s="1"/>
  <c r="E249" i="31"/>
  <c r="G249" i="31" s="1"/>
  <c r="AD249" i="19" s="1"/>
  <c r="E248" i="31"/>
  <c r="E247" i="31"/>
  <c r="G247" i="31" s="1"/>
  <c r="AD247" i="19" s="1"/>
  <c r="E246" i="31"/>
  <c r="G246" i="31" s="1"/>
  <c r="AD246" i="19" s="1"/>
  <c r="E245" i="31"/>
  <c r="G245" i="31" s="1"/>
  <c r="AD245" i="19" s="1"/>
  <c r="E244" i="31"/>
  <c r="F244" i="31" s="1"/>
  <c r="AC244" i="19" s="1"/>
  <c r="AA244" i="19" s="1"/>
  <c r="AB244" i="19" s="1"/>
  <c r="E243" i="31"/>
  <c r="F243" i="31" s="1"/>
  <c r="AC243" i="19" s="1"/>
  <c r="E242" i="31"/>
  <c r="G242" i="31" s="1"/>
  <c r="AD242" i="19" s="1"/>
  <c r="E241" i="31"/>
  <c r="G241" i="31" s="1"/>
  <c r="AD241" i="19" s="1"/>
  <c r="E240" i="31"/>
  <c r="E239" i="31"/>
  <c r="G239" i="31" s="1"/>
  <c r="AD239" i="19" s="1"/>
  <c r="E238" i="31"/>
  <c r="G238" i="31" s="1"/>
  <c r="AD238" i="19" s="1"/>
  <c r="E237" i="31"/>
  <c r="G237" i="31" s="1"/>
  <c r="AD237" i="19" s="1"/>
  <c r="E236" i="31"/>
  <c r="F236" i="31" s="1"/>
  <c r="AC236" i="19" s="1"/>
  <c r="E235" i="31"/>
  <c r="F235" i="31" s="1"/>
  <c r="AC235" i="19" s="1"/>
  <c r="E234" i="31"/>
  <c r="G234" i="31" s="1"/>
  <c r="AD234" i="19" s="1"/>
  <c r="E233" i="31"/>
  <c r="G233" i="31" s="1"/>
  <c r="AD233" i="19" s="1"/>
  <c r="E232" i="31"/>
  <c r="E231" i="31"/>
  <c r="G231" i="31" s="1"/>
  <c r="AD231" i="19" s="1"/>
  <c r="E230" i="31"/>
  <c r="G230" i="31" s="1"/>
  <c r="AD230" i="19" s="1"/>
  <c r="E229" i="31"/>
  <c r="G229" i="31" s="1"/>
  <c r="AD229" i="19" s="1"/>
  <c r="E228" i="31"/>
  <c r="F228" i="31" s="1"/>
  <c r="AC228" i="19" s="1"/>
  <c r="E227" i="31"/>
  <c r="F227" i="31" s="1"/>
  <c r="AC227" i="19" s="1"/>
  <c r="E226" i="31"/>
  <c r="F226" i="31" s="1"/>
  <c r="AC226" i="19" s="1"/>
  <c r="E225" i="31"/>
  <c r="G225" i="31" s="1"/>
  <c r="AD225" i="19" s="1"/>
  <c r="E224" i="31"/>
  <c r="G224" i="31" s="1"/>
  <c r="AD224" i="19" s="1"/>
  <c r="E223" i="31"/>
  <c r="G223" i="31" s="1"/>
  <c r="AD223" i="19" s="1"/>
  <c r="E222" i="31"/>
  <c r="G222" i="31" s="1"/>
  <c r="AD222" i="19" s="1"/>
  <c r="E221" i="31"/>
  <c r="G221" i="31" s="1"/>
  <c r="AD221" i="19" s="1"/>
  <c r="E220" i="31"/>
  <c r="F220" i="31" s="1"/>
  <c r="AC220" i="19" s="1"/>
  <c r="E219" i="31"/>
  <c r="F219" i="31" s="1"/>
  <c r="AC219" i="19" s="1"/>
  <c r="E218" i="31"/>
  <c r="G218" i="31" s="1"/>
  <c r="AD218" i="19" s="1"/>
  <c r="E217" i="31"/>
  <c r="G217" i="31" s="1"/>
  <c r="AD217" i="19" s="1"/>
  <c r="E216" i="31"/>
  <c r="G216" i="31" s="1"/>
  <c r="AD216" i="19" s="1"/>
  <c r="E215" i="31"/>
  <c r="G215" i="31" s="1"/>
  <c r="AD215" i="19" s="1"/>
  <c r="E214" i="31"/>
  <c r="G214" i="31" s="1"/>
  <c r="AD214" i="19" s="1"/>
  <c r="E213" i="31"/>
  <c r="G213" i="31" s="1"/>
  <c r="AD213" i="19" s="1"/>
  <c r="E212" i="31"/>
  <c r="F212" i="31" s="1"/>
  <c r="AC212" i="19" s="1"/>
  <c r="E211" i="31"/>
  <c r="F211" i="31" s="1"/>
  <c r="AC211" i="19" s="1"/>
  <c r="E210" i="31"/>
  <c r="F210" i="31" s="1"/>
  <c r="AC210" i="19" s="1"/>
  <c r="E209" i="31"/>
  <c r="G209" i="31" s="1"/>
  <c r="AD209" i="19" s="1"/>
  <c r="E208" i="31"/>
  <c r="G208" i="31" s="1"/>
  <c r="AD208" i="19" s="1"/>
  <c r="E207" i="31"/>
  <c r="G207" i="31" s="1"/>
  <c r="AD207" i="19" s="1"/>
  <c r="E206" i="31"/>
  <c r="G206" i="31" s="1"/>
  <c r="AD206" i="19" s="1"/>
  <c r="E205" i="31"/>
  <c r="G205" i="31" s="1"/>
  <c r="AD205" i="19" s="1"/>
  <c r="E204" i="31"/>
  <c r="F204" i="31" s="1"/>
  <c r="AC204" i="19" s="1"/>
  <c r="AA204" i="19" s="1"/>
  <c r="AB204" i="19" s="1"/>
  <c r="E203" i="31"/>
  <c r="F203" i="31" s="1"/>
  <c r="AC203" i="19" s="1"/>
  <c r="AA203" i="19" s="1"/>
  <c r="AB203" i="19" s="1"/>
  <c r="E202" i="31"/>
  <c r="G202" i="31" s="1"/>
  <c r="AD202" i="19" s="1"/>
  <c r="E201" i="31"/>
  <c r="G201" i="31" s="1"/>
  <c r="AD201" i="19" s="1"/>
  <c r="E200" i="31"/>
  <c r="G200" i="31" s="1"/>
  <c r="AD200" i="19" s="1"/>
  <c r="E199" i="31"/>
  <c r="G199" i="31" s="1"/>
  <c r="AD199" i="19" s="1"/>
  <c r="E198" i="31"/>
  <c r="G198" i="31" s="1"/>
  <c r="AD198" i="19" s="1"/>
  <c r="E197" i="31"/>
  <c r="G197" i="31" s="1"/>
  <c r="AD197" i="19" s="1"/>
  <c r="E196" i="31"/>
  <c r="F196" i="31" s="1"/>
  <c r="AC196" i="19" s="1"/>
  <c r="AA196" i="19" s="1"/>
  <c r="AB196" i="19" s="1"/>
  <c r="E195" i="31"/>
  <c r="F195" i="31" s="1"/>
  <c r="AC195" i="19" s="1"/>
  <c r="E194" i="31"/>
  <c r="F194" i="31" s="1"/>
  <c r="AC194" i="19" s="1"/>
  <c r="E193" i="31"/>
  <c r="G193" i="31" s="1"/>
  <c r="AD193" i="19" s="1"/>
  <c r="E192" i="31"/>
  <c r="G192" i="31" s="1"/>
  <c r="AD192" i="19" s="1"/>
  <c r="E191" i="31"/>
  <c r="F191" i="31" s="1"/>
  <c r="AC191" i="19" s="1"/>
  <c r="E190" i="31"/>
  <c r="G190" i="31" s="1"/>
  <c r="AD190" i="19" s="1"/>
  <c r="E189" i="31"/>
  <c r="G189" i="31" s="1"/>
  <c r="AD189" i="19" s="1"/>
  <c r="E188" i="31"/>
  <c r="F188" i="31" s="1"/>
  <c r="AC188" i="19" s="1"/>
  <c r="E187" i="31"/>
  <c r="F187" i="31" s="1"/>
  <c r="AC187" i="19" s="1"/>
  <c r="AA187" i="19" s="1"/>
  <c r="AB187" i="19" s="1"/>
  <c r="E186" i="31"/>
  <c r="G186" i="31" s="1"/>
  <c r="AD186" i="19" s="1"/>
  <c r="E185" i="31"/>
  <c r="G185" i="31" s="1"/>
  <c r="AD185" i="19" s="1"/>
  <c r="E184" i="31"/>
  <c r="G184" i="31" s="1"/>
  <c r="AD184" i="19" s="1"/>
  <c r="E183" i="31"/>
  <c r="F183" i="31" s="1"/>
  <c r="AC183" i="19" s="1"/>
  <c r="AA183" i="19" s="1"/>
  <c r="AB183" i="19" s="1"/>
  <c r="E182" i="31"/>
  <c r="G182" i="31" s="1"/>
  <c r="AD182" i="19" s="1"/>
  <c r="E181" i="31"/>
  <c r="G181" i="31" s="1"/>
  <c r="AD181" i="19" s="1"/>
  <c r="E180" i="31"/>
  <c r="G180" i="31" s="1"/>
  <c r="AD180" i="19" s="1"/>
  <c r="E179" i="31"/>
  <c r="G179" i="31" s="1"/>
  <c r="AD179" i="19" s="1"/>
  <c r="E178" i="31"/>
  <c r="F178" i="31" s="1"/>
  <c r="AC178" i="19" s="1"/>
  <c r="E177" i="31"/>
  <c r="G177" i="31" s="1"/>
  <c r="AD177" i="19" s="1"/>
  <c r="E176" i="31"/>
  <c r="F176" i="31" s="1"/>
  <c r="AC176" i="19" s="1"/>
  <c r="AA176" i="19" s="1"/>
  <c r="AB176" i="19" s="1"/>
  <c r="E175" i="31"/>
  <c r="G175" i="31" s="1"/>
  <c r="AD175" i="19" s="1"/>
  <c r="E174" i="31"/>
  <c r="G174" i="31" s="1"/>
  <c r="AD174" i="19" s="1"/>
  <c r="E173" i="31"/>
  <c r="G173" i="31" s="1"/>
  <c r="AD173" i="19" s="1"/>
  <c r="E172" i="31"/>
  <c r="G172" i="31" s="1"/>
  <c r="AD172" i="19" s="1"/>
  <c r="E171" i="31"/>
  <c r="G171" i="31" s="1"/>
  <c r="AD171" i="19" s="1"/>
  <c r="E170" i="31"/>
  <c r="F170" i="31" s="1"/>
  <c r="AC170" i="19" s="1"/>
  <c r="E169" i="31"/>
  <c r="G169" i="31" s="1"/>
  <c r="AD169" i="19" s="1"/>
  <c r="E168" i="31"/>
  <c r="F168" i="31" s="1"/>
  <c r="AC168" i="19" s="1"/>
  <c r="E167" i="31"/>
  <c r="G167" i="31" s="1"/>
  <c r="AD167" i="19" s="1"/>
  <c r="E166" i="31"/>
  <c r="G166" i="31" s="1"/>
  <c r="AD166" i="19" s="1"/>
  <c r="E165" i="31"/>
  <c r="G165" i="31" s="1"/>
  <c r="AD165" i="19" s="1"/>
  <c r="E164" i="31"/>
  <c r="G164" i="31" s="1"/>
  <c r="AD164" i="19" s="1"/>
  <c r="E163" i="31"/>
  <c r="F163" i="31" s="1"/>
  <c r="AC163" i="19" s="1"/>
  <c r="E162" i="31"/>
  <c r="F162" i="31" s="1"/>
  <c r="AC162" i="19" s="1"/>
  <c r="AA162" i="19" s="1"/>
  <c r="AB162" i="19" s="1"/>
  <c r="E161" i="31"/>
  <c r="G161" i="31" s="1"/>
  <c r="AD161" i="19" s="1"/>
  <c r="E160" i="31"/>
  <c r="F160" i="31" s="1"/>
  <c r="AC160" i="19" s="1"/>
  <c r="AA160" i="19" s="1"/>
  <c r="AB160" i="19" s="1"/>
  <c r="E159" i="31"/>
  <c r="G159" i="31" s="1"/>
  <c r="AD159" i="19" s="1"/>
  <c r="E158" i="31"/>
  <c r="G158" i="31" s="1"/>
  <c r="AD158" i="19" s="1"/>
  <c r="E157" i="31"/>
  <c r="G157" i="31" s="1"/>
  <c r="AD157" i="19" s="1"/>
  <c r="E156" i="31"/>
  <c r="F156" i="31" s="1"/>
  <c r="AC156" i="19" s="1"/>
  <c r="E155" i="31"/>
  <c r="G155" i="31" s="1"/>
  <c r="AD155" i="19" s="1"/>
  <c r="E154" i="31"/>
  <c r="F154" i="31" s="1"/>
  <c r="AC154" i="19" s="1"/>
  <c r="E153" i="31"/>
  <c r="G153" i="31" s="1"/>
  <c r="AD153" i="19" s="1"/>
  <c r="E152" i="31"/>
  <c r="F152" i="31" s="1"/>
  <c r="AC152" i="19" s="1"/>
  <c r="E151" i="31"/>
  <c r="G151" i="31" s="1"/>
  <c r="AD151" i="19" s="1"/>
  <c r="E150" i="31"/>
  <c r="G150" i="31" s="1"/>
  <c r="AD150" i="19" s="1"/>
  <c r="E149" i="31"/>
  <c r="G149" i="31" s="1"/>
  <c r="AD149" i="19" s="1"/>
  <c r="E148" i="31"/>
  <c r="G148" i="31" s="1"/>
  <c r="AD148" i="19" s="1"/>
  <c r="E147" i="31"/>
  <c r="F147" i="31" s="1"/>
  <c r="AC147" i="19" s="1"/>
  <c r="E146" i="31"/>
  <c r="E145" i="31"/>
  <c r="G145" i="31" s="1"/>
  <c r="AD145" i="19" s="1"/>
  <c r="E144" i="31"/>
  <c r="F144" i="31" s="1"/>
  <c r="AC144" i="19" s="1"/>
  <c r="E143" i="31"/>
  <c r="G143" i="31" s="1"/>
  <c r="AD143" i="19" s="1"/>
  <c r="E142" i="31"/>
  <c r="G142" i="31" s="1"/>
  <c r="AD142" i="19" s="1"/>
  <c r="E141" i="31"/>
  <c r="G141" i="31" s="1"/>
  <c r="AD141" i="19" s="1"/>
  <c r="E140" i="31"/>
  <c r="G140" i="31" s="1"/>
  <c r="AD140" i="19" s="1"/>
  <c r="E139" i="31"/>
  <c r="G139" i="31" s="1"/>
  <c r="AD139" i="19" s="1"/>
  <c r="E138" i="31"/>
  <c r="F138" i="31" s="1"/>
  <c r="AC138" i="19" s="1"/>
  <c r="E137" i="31"/>
  <c r="G137" i="31" s="1"/>
  <c r="AD137" i="19" s="1"/>
  <c r="E136" i="31"/>
  <c r="F136" i="31" s="1"/>
  <c r="AC136" i="19" s="1"/>
  <c r="E135" i="31"/>
  <c r="G135" i="31" s="1"/>
  <c r="AD135" i="19" s="1"/>
  <c r="E134" i="31"/>
  <c r="G134" i="31" s="1"/>
  <c r="AD134" i="19" s="1"/>
  <c r="E133" i="31"/>
  <c r="G133" i="31" s="1"/>
  <c r="AD133" i="19" s="1"/>
  <c r="E132" i="31"/>
  <c r="G132" i="31" s="1"/>
  <c r="AD132" i="19" s="1"/>
  <c r="E131" i="31"/>
  <c r="G131" i="31" s="1"/>
  <c r="AD131" i="19" s="1"/>
  <c r="E130" i="31"/>
  <c r="F130" i="31" s="1"/>
  <c r="AC130" i="19" s="1"/>
  <c r="E129" i="31"/>
  <c r="G129" i="31" s="1"/>
  <c r="AD129" i="19" s="1"/>
  <c r="E128" i="31"/>
  <c r="F128" i="31" s="1"/>
  <c r="AC128" i="19" s="1"/>
  <c r="E127" i="31"/>
  <c r="G127" i="31" s="1"/>
  <c r="AD127" i="19" s="1"/>
  <c r="E126" i="31"/>
  <c r="G126" i="31" s="1"/>
  <c r="AD126" i="19" s="1"/>
  <c r="E125" i="31"/>
  <c r="G125" i="31" s="1"/>
  <c r="AD125" i="19" s="1"/>
  <c r="E124" i="31"/>
  <c r="F124" i="31" s="1"/>
  <c r="AC124" i="19" s="1"/>
  <c r="E123" i="31"/>
  <c r="G123" i="31" s="1"/>
  <c r="AD123" i="19" s="1"/>
  <c r="E122" i="31"/>
  <c r="F122" i="31" s="1"/>
  <c r="AC122" i="19" s="1"/>
  <c r="AA122" i="19" s="1"/>
  <c r="AB122" i="19" s="1"/>
  <c r="E121" i="31"/>
  <c r="G121" i="31" s="1"/>
  <c r="AD121" i="19" s="1"/>
  <c r="E120" i="31"/>
  <c r="F120" i="31" s="1"/>
  <c r="AC120" i="19" s="1"/>
  <c r="AA120" i="19" s="1"/>
  <c r="AB120" i="19" s="1"/>
  <c r="E119" i="31"/>
  <c r="G119" i="31" s="1"/>
  <c r="AD119" i="19" s="1"/>
  <c r="E118" i="31"/>
  <c r="G118" i="31" s="1"/>
  <c r="AD118" i="19" s="1"/>
  <c r="E117" i="31"/>
  <c r="G117" i="31" s="1"/>
  <c r="AD117" i="19" s="1"/>
  <c r="E116" i="31"/>
  <c r="G116" i="31" s="1"/>
  <c r="AD116" i="19" s="1"/>
  <c r="E115" i="31"/>
  <c r="G115" i="31" s="1"/>
  <c r="AD115" i="19" s="1"/>
  <c r="E114" i="31"/>
  <c r="F114" i="31" s="1"/>
  <c r="AC114" i="19" s="1"/>
  <c r="E113" i="31"/>
  <c r="G113" i="31" s="1"/>
  <c r="AD113" i="19" s="1"/>
  <c r="E112" i="31"/>
  <c r="F112" i="31" s="1"/>
  <c r="AC112" i="19" s="1"/>
  <c r="E111" i="31"/>
  <c r="G111" i="31" s="1"/>
  <c r="AD111" i="19" s="1"/>
  <c r="E110" i="31"/>
  <c r="F110" i="31" s="1"/>
  <c r="AC110" i="19" s="1"/>
  <c r="E109" i="31"/>
  <c r="G109" i="31" s="1"/>
  <c r="AD109" i="19" s="1"/>
  <c r="E108" i="31"/>
  <c r="F108" i="31" s="1"/>
  <c r="AC108" i="19" s="1"/>
  <c r="E107" i="31"/>
  <c r="G107" i="31" s="1"/>
  <c r="AD107" i="19" s="1"/>
  <c r="E106" i="31"/>
  <c r="F106" i="31" s="1"/>
  <c r="AC106" i="19" s="1"/>
  <c r="E105" i="31"/>
  <c r="G105" i="31" s="1"/>
  <c r="AD105" i="19" s="1"/>
  <c r="E104" i="31"/>
  <c r="F104" i="31" s="1"/>
  <c r="AC104" i="19" s="1"/>
  <c r="E103" i="31"/>
  <c r="G103" i="31" s="1"/>
  <c r="AD103" i="19" s="1"/>
  <c r="E102" i="31"/>
  <c r="G102" i="31" s="1"/>
  <c r="AD102" i="19" s="1"/>
  <c r="E101" i="31"/>
  <c r="G101" i="31" s="1"/>
  <c r="AD101" i="19" s="1"/>
  <c r="E100" i="31"/>
  <c r="G100" i="31" s="1"/>
  <c r="AD100" i="19" s="1"/>
  <c r="E99" i="31"/>
  <c r="F99" i="31" s="1"/>
  <c r="AC99" i="19" s="1"/>
  <c r="AA99" i="19" s="1"/>
  <c r="AB99" i="19" s="1"/>
  <c r="E98" i="31"/>
  <c r="F98" i="31" s="1"/>
  <c r="AC98" i="19" s="1"/>
  <c r="E97" i="31"/>
  <c r="G97" i="31" s="1"/>
  <c r="AD97" i="19" s="1"/>
  <c r="E96" i="31"/>
  <c r="F96" i="31" s="1"/>
  <c r="AC96" i="19" s="1"/>
  <c r="E95" i="31"/>
  <c r="G95" i="31" s="1"/>
  <c r="AD95" i="19" s="1"/>
  <c r="E94" i="31"/>
  <c r="G94" i="31" s="1"/>
  <c r="AD94" i="19" s="1"/>
  <c r="E93" i="31"/>
  <c r="G93" i="31" s="1"/>
  <c r="AD93" i="19" s="1"/>
  <c r="E92" i="31"/>
  <c r="F92" i="31" s="1"/>
  <c r="AC92" i="19" s="1"/>
  <c r="AA92" i="19" s="1"/>
  <c r="AB92" i="19" s="1"/>
  <c r="E91" i="31"/>
  <c r="G91" i="31" s="1"/>
  <c r="AD91" i="19" s="1"/>
  <c r="E90" i="31"/>
  <c r="F90" i="31" s="1"/>
  <c r="AC90" i="19" s="1"/>
  <c r="AA90" i="19" s="1"/>
  <c r="AB90" i="19" s="1"/>
  <c r="E89" i="31"/>
  <c r="G89" i="31" s="1"/>
  <c r="AD89" i="19" s="1"/>
  <c r="E88" i="31"/>
  <c r="F88" i="31" s="1"/>
  <c r="AC88" i="19" s="1"/>
  <c r="AA88" i="19" s="1"/>
  <c r="AB88" i="19" s="1"/>
  <c r="E87" i="31"/>
  <c r="G87" i="31" s="1"/>
  <c r="AD87" i="19" s="1"/>
  <c r="E86" i="31"/>
  <c r="G86" i="31" s="1"/>
  <c r="AD86" i="19" s="1"/>
  <c r="E85" i="31"/>
  <c r="G85" i="31" s="1"/>
  <c r="AD85" i="19" s="1"/>
  <c r="E84" i="31"/>
  <c r="G84" i="31" s="1"/>
  <c r="AD84" i="19" s="1"/>
  <c r="E83" i="31"/>
  <c r="F83" i="31" s="1"/>
  <c r="AC83" i="19" s="1"/>
  <c r="AA83" i="19" s="1"/>
  <c r="AB83" i="19" s="1"/>
  <c r="E82" i="31"/>
  <c r="F82" i="31" s="1"/>
  <c r="AC82" i="19" s="1"/>
  <c r="AA82" i="19" s="1"/>
  <c r="AB82" i="19" s="1"/>
  <c r="E81" i="31"/>
  <c r="G81" i="31" s="1"/>
  <c r="AD81" i="19" s="1"/>
  <c r="E80" i="31"/>
  <c r="F80" i="31" s="1"/>
  <c r="AC80" i="19" s="1"/>
  <c r="AA80" i="19" s="1"/>
  <c r="AB80" i="19" s="1"/>
  <c r="E79" i="31"/>
  <c r="G79" i="31" s="1"/>
  <c r="AD79" i="19" s="1"/>
  <c r="E78" i="31"/>
  <c r="G78" i="31" s="1"/>
  <c r="AD78" i="19" s="1"/>
  <c r="E77" i="31"/>
  <c r="G77" i="31" s="1"/>
  <c r="AD77" i="19" s="1"/>
  <c r="E76" i="31"/>
  <c r="F76" i="31" s="1"/>
  <c r="AC76" i="19" s="1"/>
  <c r="E75" i="31"/>
  <c r="F75" i="31" s="1"/>
  <c r="AC75" i="19" s="1"/>
  <c r="AA75" i="19" s="1"/>
  <c r="AB75" i="19" s="1"/>
  <c r="E74" i="31"/>
  <c r="F74" i="31" s="1"/>
  <c r="AC74" i="19" s="1"/>
  <c r="AA74" i="19" s="1"/>
  <c r="AB74" i="19" s="1"/>
  <c r="E73" i="31"/>
  <c r="G73" i="31" s="1"/>
  <c r="AD73" i="19" s="1"/>
  <c r="E72" i="31"/>
  <c r="F72" i="31" s="1"/>
  <c r="AC72" i="19" s="1"/>
  <c r="AA72" i="19" s="1"/>
  <c r="AB72" i="19" s="1"/>
  <c r="E71" i="31"/>
  <c r="G71" i="31" s="1"/>
  <c r="AD71" i="19" s="1"/>
  <c r="E70" i="31"/>
  <c r="G70" i="31" s="1"/>
  <c r="AD70" i="19" s="1"/>
  <c r="E69" i="31"/>
  <c r="G69" i="31" s="1"/>
  <c r="AD69" i="19" s="1"/>
  <c r="E68" i="31"/>
  <c r="G68" i="31" s="1"/>
  <c r="AD68" i="19" s="1"/>
  <c r="E67" i="31"/>
  <c r="G67" i="31" s="1"/>
  <c r="AD67" i="19" s="1"/>
  <c r="E66" i="31"/>
  <c r="F66" i="31" s="1"/>
  <c r="AC66" i="19" s="1"/>
  <c r="E65" i="31"/>
  <c r="G65" i="31" s="1"/>
  <c r="AD65" i="19" s="1"/>
  <c r="E64" i="31"/>
  <c r="F64" i="31" s="1"/>
  <c r="AC64" i="19" s="1"/>
  <c r="E63" i="31"/>
  <c r="G63" i="31" s="1"/>
  <c r="AD63" i="19" s="1"/>
  <c r="E62" i="31"/>
  <c r="G62" i="31" s="1"/>
  <c r="AD62" i="19" s="1"/>
  <c r="E61" i="31"/>
  <c r="G61" i="31" s="1"/>
  <c r="AD61" i="19" s="1"/>
  <c r="E60" i="31"/>
  <c r="F60" i="31" s="1"/>
  <c r="AC60" i="19" s="1"/>
  <c r="E59" i="31"/>
  <c r="G59" i="31" s="1"/>
  <c r="AD59" i="19" s="1"/>
  <c r="E58" i="31"/>
  <c r="F58" i="31" s="1"/>
  <c r="AC58" i="19" s="1"/>
  <c r="E57" i="31"/>
  <c r="G57" i="31" s="1"/>
  <c r="AD57" i="19" s="1"/>
  <c r="E56" i="31"/>
  <c r="F56" i="31" s="1"/>
  <c r="AC56" i="19" s="1"/>
  <c r="E55" i="31"/>
  <c r="G55" i="31" s="1"/>
  <c r="AD55" i="19" s="1"/>
  <c r="E54" i="31"/>
  <c r="G54" i="31" s="1"/>
  <c r="AD54" i="19" s="1"/>
  <c r="E53" i="31"/>
  <c r="G53" i="31" s="1"/>
  <c r="AD53" i="19" s="1"/>
  <c r="E52" i="31"/>
  <c r="G52" i="31" s="1"/>
  <c r="AD52" i="19" s="1"/>
  <c r="E51" i="31"/>
  <c r="F51" i="31" s="1"/>
  <c r="AC51" i="19" s="1"/>
  <c r="AA51" i="19" s="1"/>
  <c r="AB51" i="19" s="1"/>
  <c r="E50" i="31"/>
  <c r="F50" i="31" s="1"/>
  <c r="AC50" i="19" s="1"/>
  <c r="AA50" i="19" s="1"/>
  <c r="AB50" i="19" s="1"/>
  <c r="E49" i="31"/>
  <c r="G49" i="31" s="1"/>
  <c r="AD49" i="19" s="1"/>
  <c r="E48" i="31"/>
  <c r="F48" i="31" s="1"/>
  <c r="AC48" i="19" s="1"/>
  <c r="E47" i="31"/>
  <c r="G47" i="31" s="1"/>
  <c r="AD47" i="19" s="1"/>
  <c r="E46" i="31"/>
  <c r="G46" i="31" s="1"/>
  <c r="AD46" i="19" s="1"/>
  <c r="E45" i="31"/>
  <c r="G45" i="31" s="1"/>
  <c r="AD45" i="19" s="1"/>
  <c r="E44" i="31"/>
  <c r="F44" i="31" s="1"/>
  <c r="AC44" i="19" s="1"/>
  <c r="E43" i="31"/>
  <c r="F43" i="31" s="1"/>
  <c r="AC43" i="19" s="1"/>
  <c r="E42" i="31"/>
  <c r="F42" i="31" s="1"/>
  <c r="AC42" i="19" s="1"/>
  <c r="E41" i="31"/>
  <c r="G41" i="31" s="1"/>
  <c r="AD41" i="19" s="1"/>
  <c r="E40" i="31"/>
  <c r="F40" i="31" s="1"/>
  <c r="AC40" i="19" s="1"/>
  <c r="E39" i="31"/>
  <c r="G39" i="31" s="1"/>
  <c r="AD39" i="19" s="1"/>
  <c r="E38" i="31"/>
  <c r="G38" i="31" s="1"/>
  <c r="AD38" i="19" s="1"/>
  <c r="E37" i="31"/>
  <c r="G37" i="31" s="1"/>
  <c r="AD37" i="19" s="1"/>
  <c r="E36" i="31"/>
  <c r="G36" i="31" s="1"/>
  <c r="AD36" i="19" s="1"/>
  <c r="E35" i="31"/>
  <c r="F35" i="31" s="1"/>
  <c r="AC35" i="19" s="1"/>
  <c r="E34" i="31"/>
  <c r="F34" i="31" s="1"/>
  <c r="AC34" i="19" s="1"/>
  <c r="E33" i="31"/>
  <c r="G33" i="31" s="1"/>
  <c r="AD33" i="19" s="1"/>
  <c r="E32" i="31"/>
  <c r="F32" i="31" s="1"/>
  <c r="AC32" i="19" s="1"/>
  <c r="E31" i="31"/>
  <c r="G31" i="31" s="1"/>
  <c r="AD31" i="19" s="1"/>
  <c r="E30" i="31"/>
  <c r="G30" i="31" s="1"/>
  <c r="AD30" i="19" s="1"/>
  <c r="E29" i="31"/>
  <c r="G29" i="31" s="1"/>
  <c r="AD29" i="19" s="1"/>
  <c r="E28" i="31"/>
  <c r="F28" i="31" s="1"/>
  <c r="AC28" i="19" s="1"/>
  <c r="E27" i="31"/>
  <c r="G27" i="31" s="1"/>
  <c r="AD27" i="19" s="1"/>
  <c r="E26" i="31"/>
  <c r="F26" i="31" s="1"/>
  <c r="AC26" i="19" s="1"/>
  <c r="E25" i="31"/>
  <c r="G25" i="31" s="1"/>
  <c r="AD25" i="19" s="1"/>
  <c r="E24" i="31"/>
  <c r="F24" i="31" s="1"/>
  <c r="AC24" i="19" s="1"/>
  <c r="E23" i="31"/>
  <c r="G23" i="31" s="1"/>
  <c r="AD23" i="19" s="1"/>
  <c r="E22" i="31"/>
  <c r="G22" i="31" s="1"/>
  <c r="AD22" i="19" s="1"/>
  <c r="E21" i="31"/>
  <c r="G21" i="31" s="1"/>
  <c r="AD21" i="19" s="1"/>
  <c r="E20" i="31"/>
  <c r="G20" i="31" s="1"/>
  <c r="AD20" i="19" s="1"/>
  <c r="E19" i="31"/>
  <c r="F19" i="31" s="1"/>
  <c r="AC19" i="19" s="1"/>
  <c r="E18" i="31"/>
  <c r="F18" i="31" s="1"/>
  <c r="AC18" i="19" s="1"/>
  <c r="E17" i="31"/>
  <c r="G17" i="31" s="1"/>
  <c r="AD17" i="19" s="1"/>
  <c r="E16" i="31"/>
  <c r="F16" i="31" s="1"/>
  <c r="AC16" i="19" s="1"/>
  <c r="E15" i="31"/>
  <c r="G15" i="31" s="1"/>
  <c r="AD15" i="19" s="1"/>
  <c r="E14" i="31"/>
  <c r="G14" i="31" s="1"/>
  <c r="AD14" i="19" s="1"/>
  <c r="E13" i="31"/>
  <c r="G13" i="31" s="1"/>
  <c r="AD13" i="19" s="1"/>
  <c r="E12" i="31"/>
  <c r="F12" i="31" s="1"/>
  <c r="AC12" i="19" s="1"/>
  <c r="E11" i="31"/>
  <c r="F11" i="31" s="1"/>
  <c r="AC11" i="19" s="1"/>
  <c r="E10" i="31"/>
  <c r="F10" i="31" s="1"/>
  <c r="AC10" i="19" s="1"/>
  <c r="E9" i="31"/>
  <c r="G9" i="31" s="1"/>
  <c r="AD9" i="19" s="1"/>
  <c r="E8" i="31"/>
  <c r="F8" i="31" s="1"/>
  <c r="AC8" i="19" s="1"/>
  <c r="E7" i="31"/>
  <c r="G7" i="31" s="1"/>
  <c r="AD7" i="19" s="1"/>
  <c r="E6" i="31"/>
  <c r="G6" i="31" s="1"/>
  <c r="AD6" i="19" s="1"/>
  <c r="E5" i="31"/>
  <c r="G5" i="31" s="1"/>
  <c r="AD5" i="19" s="1"/>
  <c r="E4" i="31"/>
  <c r="F4" i="31" s="1"/>
  <c r="AC4" i="19" s="1"/>
  <c r="E3" i="31"/>
  <c r="E2" i="31"/>
  <c r="F2" i="31" s="1"/>
  <c r="BX339" i="24"/>
  <c r="BZ340" i="24" s="1"/>
  <c r="CX370" i="24" s="1"/>
  <c r="BW339" i="24"/>
  <c r="BV339" i="24"/>
  <c r="BU339" i="24"/>
  <c r="BT339" i="24"/>
  <c r="BS339" i="24"/>
  <c r="BR339" i="24"/>
  <c r="BQ339" i="24"/>
  <c r="BP339" i="24"/>
  <c r="BO339" i="24"/>
  <c r="BN339" i="24"/>
  <c r="BM339" i="24"/>
  <c r="BL339" i="24"/>
  <c r="BK339" i="24"/>
  <c r="BJ339" i="24"/>
  <c r="BI339" i="24"/>
  <c r="BH339" i="24"/>
  <c r="BG339" i="24"/>
  <c r="BF339" i="24"/>
  <c r="BE339" i="24"/>
  <c r="BD339" i="24"/>
  <c r="BC339" i="24"/>
  <c r="BB339" i="24"/>
  <c r="BA339" i="24"/>
  <c r="AY339" i="24"/>
  <c r="AX339" i="24"/>
  <c r="AW339" i="24"/>
  <c r="AV339" i="24"/>
  <c r="AU339" i="24"/>
  <c r="AT339" i="24"/>
  <c r="AS339" i="24"/>
  <c r="AR339" i="24"/>
  <c r="AQ339" i="24"/>
  <c r="AP339" i="24"/>
  <c r="AO339" i="24"/>
  <c r="AN339" i="24"/>
  <c r="AM339" i="24"/>
  <c r="AL339" i="24"/>
  <c r="AK339" i="24"/>
  <c r="AJ339" i="24"/>
  <c r="AI339" i="24"/>
  <c r="AH339" i="24"/>
  <c r="AG339" i="24"/>
  <c r="AF339" i="24"/>
  <c r="AE339" i="24"/>
  <c r="AD339" i="24"/>
  <c r="AC339" i="24"/>
  <c r="AB339" i="24"/>
  <c r="BX338" i="24"/>
  <c r="BW338" i="24"/>
  <c r="BV338" i="24"/>
  <c r="BU338" i="24"/>
  <c r="BT338" i="24"/>
  <c r="BS338" i="24"/>
  <c r="BR338" i="24"/>
  <c r="BQ338" i="24"/>
  <c r="BP338" i="24"/>
  <c r="BO338" i="24"/>
  <c r="BN338" i="24"/>
  <c r="BM338" i="24"/>
  <c r="BL338" i="24"/>
  <c r="BK338" i="24"/>
  <c r="BJ338" i="24"/>
  <c r="BI338" i="24"/>
  <c r="BH338" i="24"/>
  <c r="BG338" i="24"/>
  <c r="BF338" i="24"/>
  <c r="BE338" i="24"/>
  <c r="BD338" i="24"/>
  <c r="BC338" i="24"/>
  <c r="BB338" i="24"/>
  <c r="BA338" i="24"/>
  <c r="AY338" i="24"/>
  <c r="AX338" i="24"/>
  <c r="AW338" i="24"/>
  <c r="AV338" i="24"/>
  <c r="AU338" i="24"/>
  <c r="AT338" i="24"/>
  <c r="AS338" i="24"/>
  <c r="AR338" i="24"/>
  <c r="AQ338" i="24"/>
  <c r="AP338" i="24"/>
  <c r="AO338" i="24"/>
  <c r="AN338" i="24"/>
  <c r="AM338" i="24"/>
  <c r="AL338" i="24"/>
  <c r="AK338" i="24"/>
  <c r="AJ338" i="24"/>
  <c r="AI338" i="24"/>
  <c r="AH338" i="24"/>
  <c r="AG338" i="24"/>
  <c r="AF338" i="24"/>
  <c r="AE338" i="24"/>
  <c r="AD338" i="24"/>
  <c r="AC338" i="24"/>
  <c r="AB338" i="24"/>
  <c r="BX337" i="24"/>
  <c r="BW337" i="24"/>
  <c r="BV337" i="24"/>
  <c r="BU337" i="24"/>
  <c r="BT337" i="24"/>
  <c r="BS337" i="24"/>
  <c r="BR337" i="24"/>
  <c r="BQ337" i="24"/>
  <c r="BP337" i="24"/>
  <c r="BO337" i="24"/>
  <c r="BN337" i="24"/>
  <c r="BM337" i="24"/>
  <c r="BL337" i="24"/>
  <c r="BK337" i="24"/>
  <c r="BJ337" i="24"/>
  <c r="BI337" i="24"/>
  <c r="BH337" i="24"/>
  <c r="BG337" i="24"/>
  <c r="BF337" i="24"/>
  <c r="BE337" i="24"/>
  <c r="BD337" i="24"/>
  <c r="BC337" i="24"/>
  <c r="BB337" i="24"/>
  <c r="BA337" i="24"/>
  <c r="AY337" i="24"/>
  <c r="AX337" i="24"/>
  <c r="AW337" i="24"/>
  <c r="AV337" i="24"/>
  <c r="AU337" i="24"/>
  <c r="AT337" i="24"/>
  <c r="AS337" i="24"/>
  <c r="AR337" i="24"/>
  <c r="AQ337" i="24"/>
  <c r="AP337" i="24"/>
  <c r="AO337" i="24"/>
  <c r="AN337" i="24"/>
  <c r="AM337" i="24"/>
  <c r="AL337" i="24"/>
  <c r="AK337" i="24"/>
  <c r="AJ337" i="24"/>
  <c r="AI337" i="24"/>
  <c r="AH337" i="24"/>
  <c r="AG337" i="24"/>
  <c r="AF337" i="24"/>
  <c r="AE337" i="24"/>
  <c r="AD337" i="24"/>
  <c r="AC337" i="24"/>
  <c r="AB337" i="24"/>
  <c r="BX336" i="24"/>
  <c r="BW336" i="24"/>
  <c r="BV336" i="24"/>
  <c r="BU336" i="24"/>
  <c r="BT336" i="24"/>
  <c r="BS336" i="24"/>
  <c r="BR336" i="24"/>
  <c r="BQ336" i="24"/>
  <c r="BP336" i="24"/>
  <c r="BO336" i="24"/>
  <c r="BN336" i="24"/>
  <c r="BM336" i="24"/>
  <c r="BL336" i="24"/>
  <c r="BK336" i="24"/>
  <c r="BJ336" i="24"/>
  <c r="BI336" i="24"/>
  <c r="BH336" i="24"/>
  <c r="BG336" i="24"/>
  <c r="BF336" i="24"/>
  <c r="BE336" i="24"/>
  <c r="BD336" i="24"/>
  <c r="BC336" i="24"/>
  <c r="BB336" i="24"/>
  <c r="BA336" i="24"/>
  <c r="AY336" i="24"/>
  <c r="AX336" i="24"/>
  <c r="AW336" i="24"/>
  <c r="AV336" i="24"/>
  <c r="AU336" i="24"/>
  <c r="AT336" i="24"/>
  <c r="AS336" i="24"/>
  <c r="AR336" i="24"/>
  <c r="AQ336" i="24"/>
  <c r="AP336" i="24"/>
  <c r="AO336" i="24"/>
  <c r="AN336" i="24"/>
  <c r="AM336" i="24"/>
  <c r="AL336" i="24"/>
  <c r="AK336" i="24"/>
  <c r="AJ336" i="24"/>
  <c r="AI336" i="24"/>
  <c r="AH336" i="24"/>
  <c r="AG336" i="24"/>
  <c r="AF336" i="24"/>
  <c r="AE336" i="24"/>
  <c r="AD336" i="24"/>
  <c r="AC336" i="24"/>
  <c r="AB336" i="24"/>
  <c r="BX335" i="24"/>
  <c r="BW335" i="24"/>
  <c r="BV335" i="24"/>
  <c r="BU335" i="24"/>
  <c r="BT335" i="24"/>
  <c r="BS335" i="24"/>
  <c r="BR335" i="24"/>
  <c r="BQ335" i="24"/>
  <c r="BP335" i="24"/>
  <c r="BO335" i="24"/>
  <c r="BN335" i="24"/>
  <c r="BM335" i="24"/>
  <c r="BL335" i="24"/>
  <c r="BK335" i="24"/>
  <c r="BJ335" i="24"/>
  <c r="BI335" i="24"/>
  <c r="BH335" i="24"/>
  <c r="BG335" i="24"/>
  <c r="BF335" i="24"/>
  <c r="BE335" i="24"/>
  <c r="BD335" i="24"/>
  <c r="BC335" i="24"/>
  <c r="BB335" i="24"/>
  <c r="BA335" i="24"/>
  <c r="AY335" i="24"/>
  <c r="AX335" i="24"/>
  <c r="AW335" i="24"/>
  <c r="AV335" i="24"/>
  <c r="AU335" i="24"/>
  <c r="AT335" i="24"/>
  <c r="AS335" i="24"/>
  <c r="AR335" i="24"/>
  <c r="AQ335" i="24"/>
  <c r="AP335" i="24"/>
  <c r="AO335" i="24"/>
  <c r="AN335" i="24"/>
  <c r="AM335" i="24"/>
  <c r="AL335" i="24"/>
  <c r="AK335" i="24"/>
  <c r="AJ335" i="24"/>
  <c r="AI335" i="24"/>
  <c r="AH335" i="24"/>
  <c r="AG335" i="24"/>
  <c r="AF335" i="24"/>
  <c r="AE335" i="24"/>
  <c r="AD335" i="24"/>
  <c r="AC335" i="24"/>
  <c r="AB335" i="24"/>
  <c r="BX334" i="24"/>
  <c r="BW334" i="24"/>
  <c r="BV334" i="24"/>
  <c r="BU334" i="24"/>
  <c r="BT334" i="24"/>
  <c r="BS334" i="24"/>
  <c r="BR334" i="24"/>
  <c r="BQ334" i="24"/>
  <c r="BP334" i="24"/>
  <c r="BO334" i="24"/>
  <c r="BN334" i="24"/>
  <c r="BM334" i="24"/>
  <c r="BL334" i="24"/>
  <c r="BK334" i="24"/>
  <c r="BJ334" i="24"/>
  <c r="BI334" i="24"/>
  <c r="BH334" i="24"/>
  <c r="BG334" i="24"/>
  <c r="BF334" i="24"/>
  <c r="BE334" i="24"/>
  <c r="BD334" i="24"/>
  <c r="BC334" i="24"/>
  <c r="BB334" i="24"/>
  <c r="BA334" i="24"/>
  <c r="AY334" i="24"/>
  <c r="AX334" i="24"/>
  <c r="AW334" i="24"/>
  <c r="AV334" i="24"/>
  <c r="AU334" i="24"/>
  <c r="AT334" i="24"/>
  <c r="AS334" i="24"/>
  <c r="AR334" i="24"/>
  <c r="AQ334" i="24"/>
  <c r="AP334" i="24"/>
  <c r="AO334" i="24"/>
  <c r="AN334" i="24"/>
  <c r="AM334" i="24"/>
  <c r="AL334" i="24"/>
  <c r="AK334" i="24"/>
  <c r="AJ334" i="24"/>
  <c r="AI334" i="24"/>
  <c r="AH334" i="24"/>
  <c r="AG334" i="24"/>
  <c r="AF334" i="24"/>
  <c r="AE334" i="24"/>
  <c r="AD334" i="24"/>
  <c r="AC334" i="24"/>
  <c r="AB334" i="24"/>
  <c r="BX333" i="24"/>
  <c r="BW333" i="24"/>
  <c r="BV333" i="24"/>
  <c r="BU333" i="24"/>
  <c r="BT333" i="24"/>
  <c r="BS333" i="24"/>
  <c r="BR333" i="24"/>
  <c r="BQ333" i="24"/>
  <c r="BP333" i="24"/>
  <c r="BO333" i="24"/>
  <c r="BN333" i="24"/>
  <c r="BM333" i="24"/>
  <c r="BL333" i="24"/>
  <c r="BK333" i="24"/>
  <c r="BJ333" i="24"/>
  <c r="BI333" i="24"/>
  <c r="BH333" i="24"/>
  <c r="BG333" i="24"/>
  <c r="BF333" i="24"/>
  <c r="BE333" i="24"/>
  <c r="BD333" i="24"/>
  <c r="BC333" i="24"/>
  <c r="BB333" i="24"/>
  <c r="BA333" i="24"/>
  <c r="AY333" i="24"/>
  <c r="AX333" i="24"/>
  <c r="AW333" i="24"/>
  <c r="AV333" i="24"/>
  <c r="AU333" i="24"/>
  <c r="AT333" i="24"/>
  <c r="AS333" i="24"/>
  <c r="AR333" i="24"/>
  <c r="AQ333" i="24"/>
  <c r="AP333" i="24"/>
  <c r="AO333" i="24"/>
  <c r="AN333" i="24"/>
  <c r="AM333" i="24"/>
  <c r="AL333" i="24"/>
  <c r="AK333" i="24"/>
  <c r="AJ333" i="24"/>
  <c r="AI333" i="24"/>
  <c r="AH333" i="24"/>
  <c r="AG333" i="24"/>
  <c r="AF333" i="24"/>
  <c r="AE333" i="24"/>
  <c r="AD333" i="24"/>
  <c r="AC333" i="24"/>
  <c r="AB333" i="24"/>
  <c r="BX332" i="24"/>
  <c r="BW332" i="24"/>
  <c r="BV332" i="24"/>
  <c r="BU332" i="24"/>
  <c r="BT332" i="24"/>
  <c r="BS332" i="24"/>
  <c r="BR332" i="24"/>
  <c r="BQ332" i="24"/>
  <c r="BP332" i="24"/>
  <c r="BO332" i="24"/>
  <c r="BN332" i="24"/>
  <c r="BM332" i="24"/>
  <c r="BL332" i="24"/>
  <c r="BK332" i="24"/>
  <c r="BJ332" i="24"/>
  <c r="BI332" i="24"/>
  <c r="BH332" i="24"/>
  <c r="BG332" i="24"/>
  <c r="BF332" i="24"/>
  <c r="BE332" i="24"/>
  <c r="BD332" i="24"/>
  <c r="BC332" i="24"/>
  <c r="BB332" i="24"/>
  <c r="BA332" i="24"/>
  <c r="AY332" i="24"/>
  <c r="AX332" i="24"/>
  <c r="AW332" i="24"/>
  <c r="AV332" i="24"/>
  <c r="AU332" i="24"/>
  <c r="AT332" i="24"/>
  <c r="AS332" i="24"/>
  <c r="AR332" i="24"/>
  <c r="AQ332" i="24"/>
  <c r="AP332" i="24"/>
  <c r="AO332" i="24"/>
  <c r="AN332" i="24"/>
  <c r="AM332" i="24"/>
  <c r="AL332" i="24"/>
  <c r="AK332" i="24"/>
  <c r="AJ332" i="24"/>
  <c r="AI332" i="24"/>
  <c r="AH332" i="24"/>
  <c r="AG332" i="24"/>
  <c r="AF332" i="24"/>
  <c r="AE332" i="24"/>
  <c r="AD332" i="24"/>
  <c r="AC332" i="24"/>
  <c r="AB332" i="24"/>
  <c r="BX331" i="24"/>
  <c r="BW331" i="24"/>
  <c r="BV331" i="24"/>
  <c r="BU331" i="24"/>
  <c r="BT331" i="24"/>
  <c r="BS331" i="24"/>
  <c r="BR331" i="24"/>
  <c r="BQ331" i="24"/>
  <c r="BP331" i="24"/>
  <c r="BO331" i="24"/>
  <c r="BN331" i="24"/>
  <c r="BM331" i="24"/>
  <c r="BL331" i="24"/>
  <c r="BK331" i="24"/>
  <c r="BJ331" i="24"/>
  <c r="BI331" i="24"/>
  <c r="BH331" i="24"/>
  <c r="BG331" i="24"/>
  <c r="BF331" i="24"/>
  <c r="BE331" i="24"/>
  <c r="BD331" i="24"/>
  <c r="BC331" i="24"/>
  <c r="BB331" i="24"/>
  <c r="BA331" i="24"/>
  <c r="AY331" i="24"/>
  <c r="AX331" i="24"/>
  <c r="AW331" i="24"/>
  <c r="AV331" i="24"/>
  <c r="AU331" i="24"/>
  <c r="AT331" i="24"/>
  <c r="AS331" i="24"/>
  <c r="AR331" i="24"/>
  <c r="AQ331" i="24"/>
  <c r="AP331" i="24"/>
  <c r="AO331" i="24"/>
  <c r="AN331" i="24"/>
  <c r="AM331" i="24"/>
  <c r="AL331" i="24"/>
  <c r="AK331" i="24"/>
  <c r="AJ331" i="24"/>
  <c r="AI331" i="24"/>
  <c r="AH331" i="24"/>
  <c r="AG331" i="24"/>
  <c r="AF331" i="24"/>
  <c r="AE331" i="24"/>
  <c r="AD331" i="24"/>
  <c r="AC331" i="24"/>
  <c r="AB331" i="24"/>
  <c r="BX330" i="24"/>
  <c r="BW330" i="24"/>
  <c r="BV330" i="24"/>
  <c r="BU330" i="24"/>
  <c r="BT330" i="24"/>
  <c r="BS330" i="24"/>
  <c r="BR330" i="24"/>
  <c r="BQ330" i="24"/>
  <c r="BP330" i="24"/>
  <c r="BO330" i="24"/>
  <c r="BN330" i="24"/>
  <c r="BM330" i="24"/>
  <c r="BL330" i="24"/>
  <c r="BK330" i="24"/>
  <c r="BJ330" i="24"/>
  <c r="BI330" i="24"/>
  <c r="BH330" i="24"/>
  <c r="BG330" i="24"/>
  <c r="BF330" i="24"/>
  <c r="BE330" i="24"/>
  <c r="BD330" i="24"/>
  <c r="BC330" i="24"/>
  <c r="BB330" i="24"/>
  <c r="BA330" i="24"/>
  <c r="AY330" i="24"/>
  <c r="AX330" i="24"/>
  <c r="AW330" i="24"/>
  <c r="AV330" i="24"/>
  <c r="AU330" i="24"/>
  <c r="AT330" i="24"/>
  <c r="AS330" i="24"/>
  <c r="AR330" i="24"/>
  <c r="AQ330" i="24"/>
  <c r="AP330" i="24"/>
  <c r="AO330" i="24"/>
  <c r="AN330" i="24"/>
  <c r="AM330" i="24"/>
  <c r="AL330" i="24"/>
  <c r="AK330" i="24"/>
  <c r="AJ330" i="24"/>
  <c r="AI330" i="24"/>
  <c r="AH330" i="24"/>
  <c r="AG330" i="24"/>
  <c r="AF330" i="24"/>
  <c r="AE330" i="24"/>
  <c r="AD330" i="24"/>
  <c r="AC330" i="24"/>
  <c r="AB330" i="24"/>
  <c r="BX329" i="24"/>
  <c r="BW329" i="24"/>
  <c r="BV329" i="24"/>
  <c r="BU329" i="24"/>
  <c r="BT329" i="24"/>
  <c r="BS329" i="24"/>
  <c r="BR329" i="24"/>
  <c r="BQ329" i="24"/>
  <c r="BP329" i="24"/>
  <c r="BO329" i="24"/>
  <c r="BN329" i="24"/>
  <c r="BM329" i="24"/>
  <c r="BL329" i="24"/>
  <c r="BK329" i="24"/>
  <c r="BJ329" i="24"/>
  <c r="BI329" i="24"/>
  <c r="BH329" i="24"/>
  <c r="BG329" i="24"/>
  <c r="BF329" i="24"/>
  <c r="BE329" i="24"/>
  <c r="BD329" i="24"/>
  <c r="BC329" i="24"/>
  <c r="BB329" i="24"/>
  <c r="BA329" i="24"/>
  <c r="AY329" i="24"/>
  <c r="AX329" i="24"/>
  <c r="AW329" i="24"/>
  <c r="AV329" i="24"/>
  <c r="AU329" i="24"/>
  <c r="AT329" i="24"/>
  <c r="AS329" i="24"/>
  <c r="AR329" i="24"/>
  <c r="AQ329" i="24"/>
  <c r="AP329" i="24"/>
  <c r="AO329" i="24"/>
  <c r="AN329" i="24"/>
  <c r="AM329" i="24"/>
  <c r="AL329" i="24"/>
  <c r="AK329" i="24"/>
  <c r="AJ329" i="24"/>
  <c r="AI329" i="24"/>
  <c r="AH329" i="24"/>
  <c r="AG329" i="24"/>
  <c r="AF329" i="24"/>
  <c r="AE329" i="24"/>
  <c r="AD329" i="24"/>
  <c r="AC329" i="24"/>
  <c r="AB329" i="24"/>
  <c r="BX328" i="24"/>
  <c r="BW328" i="24"/>
  <c r="BV328" i="24"/>
  <c r="BU328" i="24"/>
  <c r="BT328" i="24"/>
  <c r="BS328" i="24"/>
  <c r="BR328" i="24"/>
  <c r="BQ328" i="24"/>
  <c r="BP328" i="24"/>
  <c r="BO328" i="24"/>
  <c r="BN328" i="24"/>
  <c r="BM328" i="24"/>
  <c r="BL328" i="24"/>
  <c r="BK328" i="24"/>
  <c r="BJ328" i="24"/>
  <c r="BI328" i="24"/>
  <c r="BH328" i="24"/>
  <c r="BG328" i="24"/>
  <c r="BF328" i="24"/>
  <c r="BE328" i="24"/>
  <c r="BD328" i="24"/>
  <c r="BC328" i="24"/>
  <c r="BB328" i="24"/>
  <c r="BA328" i="24"/>
  <c r="AY328" i="24"/>
  <c r="AX328" i="24"/>
  <c r="AW328" i="24"/>
  <c r="AV328" i="24"/>
  <c r="AU328" i="24"/>
  <c r="AT328" i="24"/>
  <c r="AS328" i="24"/>
  <c r="AR328" i="24"/>
  <c r="AQ328" i="24"/>
  <c r="AP328" i="24"/>
  <c r="AO328" i="24"/>
  <c r="AN328" i="24"/>
  <c r="AM328" i="24"/>
  <c r="AL328" i="24"/>
  <c r="AK328" i="24"/>
  <c r="AJ328" i="24"/>
  <c r="AI328" i="24"/>
  <c r="AH328" i="24"/>
  <c r="AG328" i="24"/>
  <c r="AF328" i="24"/>
  <c r="AE328" i="24"/>
  <c r="AD328" i="24"/>
  <c r="AC328" i="24"/>
  <c r="AB328" i="24"/>
  <c r="BX327" i="24"/>
  <c r="BW327" i="24"/>
  <c r="BV327" i="24"/>
  <c r="BU327" i="24"/>
  <c r="BT327" i="24"/>
  <c r="BS327" i="24"/>
  <c r="BR327" i="24"/>
  <c r="BQ327" i="24"/>
  <c r="BP327" i="24"/>
  <c r="BO327" i="24"/>
  <c r="BN327" i="24"/>
  <c r="BM327" i="24"/>
  <c r="BL327" i="24"/>
  <c r="BK327" i="24"/>
  <c r="BJ327" i="24"/>
  <c r="BI327" i="24"/>
  <c r="BH327" i="24"/>
  <c r="BG327" i="24"/>
  <c r="BF327" i="24"/>
  <c r="BE327" i="24"/>
  <c r="BD327" i="24"/>
  <c r="BC327" i="24"/>
  <c r="BB327" i="24"/>
  <c r="BA327" i="24"/>
  <c r="AY327" i="24"/>
  <c r="AX327" i="24"/>
  <c r="AW327" i="24"/>
  <c r="AU327" i="24"/>
  <c r="AT327" i="24"/>
  <c r="AS327" i="24"/>
  <c r="AR327" i="24"/>
  <c r="AQ327" i="24"/>
  <c r="AP327" i="24"/>
  <c r="AO327" i="24"/>
  <c r="AN327" i="24"/>
  <c r="AM327" i="24"/>
  <c r="AL327" i="24"/>
  <c r="AK327" i="24"/>
  <c r="AJ327" i="24"/>
  <c r="AI327" i="24"/>
  <c r="AH327" i="24"/>
  <c r="AG327" i="24"/>
  <c r="AF327" i="24"/>
  <c r="AE327" i="24"/>
  <c r="AD327" i="24"/>
  <c r="AC327" i="24"/>
  <c r="AB327" i="24"/>
  <c r="BX326" i="24"/>
  <c r="BW326" i="24"/>
  <c r="BV326" i="24"/>
  <c r="BU326" i="24"/>
  <c r="BT326" i="24"/>
  <c r="BS326" i="24"/>
  <c r="BR326" i="24"/>
  <c r="BQ326" i="24"/>
  <c r="BP326" i="24"/>
  <c r="BO326" i="24"/>
  <c r="BN326" i="24"/>
  <c r="BM326" i="24"/>
  <c r="BL326" i="24"/>
  <c r="BK326" i="24"/>
  <c r="BJ326" i="24"/>
  <c r="BI326" i="24"/>
  <c r="BH326" i="24"/>
  <c r="BG326" i="24"/>
  <c r="BF326" i="24"/>
  <c r="BE326" i="24"/>
  <c r="BD326" i="24"/>
  <c r="BC326" i="24"/>
  <c r="BB326" i="24"/>
  <c r="BA326" i="24"/>
  <c r="AY326" i="24"/>
  <c r="AX326" i="24"/>
  <c r="AW326" i="24"/>
  <c r="AV326" i="24"/>
  <c r="AU326" i="24"/>
  <c r="AT326" i="24"/>
  <c r="AS326" i="24"/>
  <c r="AR326" i="24"/>
  <c r="AQ326" i="24"/>
  <c r="AP326" i="24"/>
  <c r="AO326" i="24"/>
  <c r="AN326" i="24"/>
  <c r="AM326" i="24"/>
  <c r="AL326" i="24"/>
  <c r="AK326" i="24"/>
  <c r="AJ326" i="24"/>
  <c r="AI326" i="24"/>
  <c r="AH326" i="24"/>
  <c r="AG326" i="24"/>
  <c r="AF326" i="24"/>
  <c r="AE326" i="24"/>
  <c r="AD326" i="24"/>
  <c r="AC326" i="24"/>
  <c r="AB326" i="24"/>
  <c r="BX325" i="24"/>
  <c r="BW325" i="24"/>
  <c r="BV325" i="24"/>
  <c r="BU325" i="24"/>
  <c r="BT325" i="24"/>
  <c r="BS325" i="24"/>
  <c r="BR325" i="24"/>
  <c r="BQ325" i="24"/>
  <c r="BP325" i="24"/>
  <c r="BO325" i="24"/>
  <c r="BN325" i="24"/>
  <c r="BM325" i="24"/>
  <c r="BL325" i="24"/>
  <c r="BK325" i="24"/>
  <c r="BJ325" i="24"/>
  <c r="BI325" i="24"/>
  <c r="BH325" i="24"/>
  <c r="BG325" i="24"/>
  <c r="BF325" i="24"/>
  <c r="BE325" i="24"/>
  <c r="BD325" i="24"/>
  <c r="BC325" i="24"/>
  <c r="BB325" i="24"/>
  <c r="BA325" i="24"/>
  <c r="AY325" i="24"/>
  <c r="AX325" i="24"/>
  <c r="AW325" i="24"/>
  <c r="AV325" i="24"/>
  <c r="AU325" i="24"/>
  <c r="AT325" i="24"/>
  <c r="AS325" i="24"/>
  <c r="AR325" i="24"/>
  <c r="AQ325" i="24"/>
  <c r="AP325" i="24"/>
  <c r="AO325" i="24"/>
  <c r="AN325" i="24"/>
  <c r="AM325" i="24"/>
  <c r="AL325" i="24"/>
  <c r="AK325" i="24"/>
  <c r="AJ325" i="24"/>
  <c r="AI325" i="24"/>
  <c r="AH325" i="24"/>
  <c r="AG325" i="24"/>
  <c r="AF325" i="24"/>
  <c r="AE325" i="24"/>
  <c r="AD325" i="24"/>
  <c r="AC325" i="24"/>
  <c r="AB325" i="24"/>
  <c r="BX324" i="24"/>
  <c r="BW324" i="24"/>
  <c r="BV324" i="24"/>
  <c r="BU324" i="24"/>
  <c r="BT324" i="24"/>
  <c r="BS324" i="24"/>
  <c r="BR324" i="24"/>
  <c r="BQ324" i="24"/>
  <c r="BP324" i="24"/>
  <c r="BO324" i="24"/>
  <c r="BN324" i="24"/>
  <c r="BM324" i="24"/>
  <c r="BL324" i="24"/>
  <c r="BK324" i="24"/>
  <c r="BJ324" i="24"/>
  <c r="BI324" i="24"/>
  <c r="BH324" i="24"/>
  <c r="BG324" i="24"/>
  <c r="BF324" i="24"/>
  <c r="BE324" i="24"/>
  <c r="BD324" i="24"/>
  <c r="BC324" i="24"/>
  <c r="BB324" i="24"/>
  <c r="BA324" i="24"/>
  <c r="AY324" i="24"/>
  <c r="AX324" i="24"/>
  <c r="AW324" i="24"/>
  <c r="AV324" i="24"/>
  <c r="AU324" i="24"/>
  <c r="AT324" i="24"/>
  <c r="AS324" i="24"/>
  <c r="AR324" i="24"/>
  <c r="AQ324" i="24"/>
  <c r="AP324" i="24"/>
  <c r="AO324" i="24"/>
  <c r="AN324" i="24"/>
  <c r="AM324" i="24"/>
  <c r="AL324" i="24"/>
  <c r="AK324" i="24"/>
  <c r="AJ324" i="24"/>
  <c r="AI324" i="24"/>
  <c r="AH324" i="24"/>
  <c r="AG324" i="24"/>
  <c r="AF324" i="24"/>
  <c r="AE324" i="24"/>
  <c r="AD324" i="24"/>
  <c r="AC324" i="24"/>
  <c r="AB324" i="24"/>
  <c r="BX323" i="24"/>
  <c r="BW323" i="24"/>
  <c r="BV323" i="24"/>
  <c r="BU323" i="24"/>
  <c r="BT323" i="24"/>
  <c r="BS323" i="24"/>
  <c r="BR323" i="24"/>
  <c r="BQ323" i="24"/>
  <c r="BP323" i="24"/>
  <c r="BO323" i="24"/>
  <c r="BN323" i="24"/>
  <c r="BM323" i="24"/>
  <c r="BL323" i="24"/>
  <c r="BK323" i="24"/>
  <c r="BJ323" i="24"/>
  <c r="BI323" i="24"/>
  <c r="BH323" i="24"/>
  <c r="BG323" i="24"/>
  <c r="BF323" i="24"/>
  <c r="BE323" i="24"/>
  <c r="BD323" i="24"/>
  <c r="BC323" i="24"/>
  <c r="BB323" i="24"/>
  <c r="BA323" i="24"/>
  <c r="AY323" i="24"/>
  <c r="AX323" i="24"/>
  <c r="AW323" i="24"/>
  <c r="AV323" i="24"/>
  <c r="AU323" i="24"/>
  <c r="AT323" i="24"/>
  <c r="AS323" i="24"/>
  <c r="AR323" i="24"/>
  <c r="AQ323" i="24"/>
  <c r="AP323" i="24"/>
  <c r="AO323" i="24"/>
  <c r="AN323" i="24"/>
  <c r="AM323" i="24"/>
  <c r="AL323" i="24"/>
  <c r="AK323" i="24"/>
  <c r="AJ323" i="24"/>
  <c r="AI323" i="24"/>
  <c r="AH323" i="24"/>
  <c r="AG323" i="24"/>
  <c r="AF323" i="24"/>
  <c r="AE323" i="24"/>
  <c r="AD323" i="24"/>
  <c r="AC323" i="24"/>
  <c r="AB323" i="24"/>
  <c r="BX322" i="24"/>
  <c r="BW322" i="24"/>
  <c r="BV322" i="24"/>
  <c r="BU322" i="24"/>
  <c r="BT322" i="24"/>
  <c r="BS322" i="24"/>
  <c r="BR322" i="24"/>
  <c r="BQ322" i="24"/>
  <c r="BP322" i="24"/>
  <c r="BO322" i="24"/>
  <c r="BN322" i="24"/>
  <c r="BM322" i="24"/>
  <c r="BL322" i="24"/>
  <c r="BK322" i="24"/>
  <c r="BJ322" i="24"/>
  <c r="BI322" i="24"/>
  <c r="BH322" i="24"/>
  <c r="BG322" i="24"/>
  <c r="BF322" i="24"/>
  <c r="BE322" i="24"/>
  <c r="BD322" i="24"/>
  <c r="BC322" i="24"/>
  <c r="BB322" i="24"/>
  <c r="BA322" i="24"/>
  <c r="AY322" i="24"/>
  <c r="AX322" i="24"/>
  <c r="AW322" i="24"/>
  <c r="AV322" i="24"/>
  <c r="AU322" i="24"/>
  <c r="AT322" i="24"/>
  <c r="AS322" i="24"/>
  <c r="AR322" i="24"/>
  <c r="AQ322" i="24"/>
  <c r="AP322" i="24"/>
  <c r="AO322" i="24"/>
  <c r="AN322" i="24"/>
  <c r="AM322" i="24"/>
  <c r="AL322" i="24"/>
  <c r="AK322" i="24"/>
  <c r="AJ322" i="24"/>
  <c r="AI322" i="24"/>
  <c r="AH322" i="24"/>
  <c r="AG322" i="24"/>
  <c r="AF322" i="24"/>
  <c r="AE322" i="24"/>
  <c r="AD322" i="24"/>
  <c r="AC322" i="24"/>
  <c r="AB322" i="24"/>
  <c r="BX321" i="24"/>
  <c r="BW321" i="24"/>
  <c r="BV321" i="24"/>
  <c r="BU321" i="24"/>
  <c r="BT321" i="24"/>
  <c r="BS321" i="24"/>
  <c r="BR321" i="24"/>
  <c r="BQ321" i="24"/>
  <c r="BP321" i="24"/>
  <c r="BO321" i="24"/>
  <c r="BN321" i="24"/>
  <c r="BM321" i="24"/>
  <c r="BL321" i="24"/>
  <c r="BK321" i="24"/>
  <c r="BJ321" i="24"/>
  <c r="BI321" i="24"/>
  <c r="BH321" i="24"/>
  <c r="BG321" i="24"/>
  <c r="BF321" i="24"/>
  <c r="BE321" i="24"/>
  <c r="BD321" i="24"/>
  <c r="BC321" i="24"/>
  <c r="BB321" i="24"/>
  <c r="BA321" i="24"/>
  <c r="AY321" i="24"/>
  <c r="AX321" i="24"/>
  <c r="AW321" i="24"/>
  <c r="AV321" i="24"/>
  <c r="AU321" i="24"/>
  <c r="AT321" i="24"/>
  <c r="AS321" i="24"/>
  <c r="AR321" i="24"/>
  <c r="AQ321" i="24"/>
  <c r="AP321" i="24"/>
  <c r="AO321" i="24"/>
  <c r="AN321" i="24"/>
  <c r="AM321" i="24"/>
  <c r="AL321" i="24"/>
  <c r="AK321" i="24"/>
  <c r="AJ321" i="24"/>
  <c r="AI321" i="24"/>
  <c r="AH321" i="24"/>
  <c r="AG321" i="24"/>
  <c r="AF321" i="24"/>
  <c r="AE321" i="24"/>
  <c r="AD321" i="24"/>
  <c r="AC321" i="24"/>
  <c r="AB321" i="24"/>
  <c r="BX320" i="24"/>
  <c r="BW320" i="24"/>
  <c r="BV320" i="24"/>
  <c r="BU320" i="24"/>
  <c r="BT320" i="24"/>
  <c r="BS320" i="24"/>
  <c r="BR320" i="24"/>
  <c r="BQ320" i="24"/>
  <c r="BP320" i="24"/>
  <c r="BO320" i="24"/>
  <c r="BN320" i="24"/>
  <c r="BM320" i="24"/>
  <c r="BL320" i="24"/>
  <c r="BK320" i="24"/>
  <c r="BJ320" i="24"/>
  <c r="BI320" i="24"/>
  <c r="BH320" i="24"/>
  <c r="BG320" i="24"/>
  <c r="BF320" i="24"/>
  <c r="BE320" i="24"/>
  <c r="BD320" i="24"/>
  <c r="BC320" i="24"/>
  <c r="BB320" i="24"/>
  <c r="BA320" i="24"/>
  <c r="AY320" i="24"/>
  <c r="AX320" i="24"/>
  <c r="AW320" i="24"/>
  <c r="AV320" i="24"/>
  <c r="AU320" i="24"/>
  <c r="AT320" i="24"/>
  <c r="AS320" i="24"/>
  <c r="AR320" i="24"/>
  <c r="AQ320" i="24"/>
  <c r="AP320" i="24"/>
  <c r="AO320" i="24"/>
  <c r="AN320" i="24"/>
  <c r="AM320" i="24"/>
  <c r="AL320" i="24"/>
  <c r="AK320" i="24"/>
  <c r="AJ320" i="24"/>
  <c r="AI320" i="24"/>
  <c r="AH320" i="24"/>
  <c r="AG320" i="24"/>
  <c r="AF320" i="24"/>
  <c r="AE320" i="24"/>
  <c r="AD320" i="24"/>
  <c r="AC320" i="24"/>
  <c r="AB320" i="24"/>
  <c r="BX319" i="24"/>
  <c r="BW319" i="24"/>
  <c r="BV319" i="24"/>
  <c r="BU319" i="24"/>
  <c r="BT319" i="24"/>
  <c r="BS319" i="24"/>
  <c r="BR319" i="24"/>
  <c r="BQ319" i="24"/>
  <c r="BP319" i="24"/>
  <c r="BO319" i="24"/>
  <c r="BN319" i="24"/>
  <c r="BM319" i="24"/>
  <c r="BL319" i="24"/>
  <c r="BK319" i="24"/>
  <c r="BJ319" i="24"/>
  <c r="BI319" i="24"/>
  <c r="BH319" i="24"/>
  <c r="BG319" i="24"/>
  <c r="BF319" i="24"/>
  <c r="BE319" i="24"/>
  <c r="BD319" i="24"/>
  <c r="BC319" i="24"/>
  <c r="BB319" i="24"/>
  <c r="BA319" i="24"/>
  <c r="AY319" i="24"/>
  <c r="AX319" i="24"/>
  <c r="AW319" i="24"/>
  <c r="AV319" i="24"/>
  <c r="AU319" i="24"/>
  <c r="AT319" i="24"/>
  <c r="AS319" i="24"/>
  <c r="AR319" i="24"/>
  <c r="AQ319" i="24"/>
  <c r="AP319" i="24"/>
  <c r="AO319" i="24"/>
  <c r="AN319" i="24"/>
  <c r="AM319" i="24"/>
  <c r="AL319" i="24"/>
  <c r="AK319" i="24"/>
  <c r="AJ319" i="24"/>
  <c r="AI319" i="24"/>
  <c r="AH319" i="24"/>
  <c r="AG319" i="24"/>
  <c r="AF319" i="24"/>
  <c r="AE319" i="24"/>
  <c r="AD319" i="24"/>
  <c r="AC319" i="24"/>
  <c r="AB319" i="24"/>
  <c r="BX318" i="24"/>
  <c r="BW318" i="24"/>
  <c r="BV318" i="24"/>
  <c r="BU318" i="24"/>
  <c r="BT318" i="24"/>
  <c r="BS318" i="24"/>
  <c r="BR318" i="24"/>
  <c r="BQ318" i="24"/>
  <c r="BP318" i="24"/>
  <c r="BO318" i="24"/>
  <c r="BN318" i="24"/>
  <c r="BM318" i="24"/>
  <c r="BL318" i="24"/>
  <c r="BK318" i="24"/>
  <c r="BJ318" i="24"/>
  <c r="BI318" i="24"/>
  <c r="BH318" i="24"/>
  <c r="BG318" i="24"/>
  <c r="BF318" i="24"/>
  <c r="BE318" i="24"/>
  <c r="BD318" i="24"/>
  <c r="BC318" i="24"/>
  <c r="BB318" i="24"/>
  <c r="BA318" i="24"/>
  <c r="AY318" i="24"/>
  <c r="AX318" i="24"/>
  <c r="AW318" i="24"/>
  <c r="AV318" i="24"/>
  <c r="AU318" i="24"/>
  <c r="AT318" i="24"/>
  <c r="AS318" i="24"/>
  <c r="AR318" i="24"/>
  <c r="AQ318" i="24"/>
  <c r="AP318" i="24"/>
  <c r="AO318" i="24"/>
  <c r="AN318" i="24"/>
  <c r="AM318" i="24"/>
  <c r="AL318" i="24"/>
  <c r="AK318" i="24"/>
  <c r="AJ318" i="24"/>
  <c r="AI318" i="24"/>
  <c r="AH318" i="24"/>
  <c r="AG318" i="24"/>
  <c r="AF318" i="24"/>
  <c r="AE318" i="24"/>
  <c r="AD318" i="24"/>
  <c r="AC318" i="24"/>
  <c r="AB318" i="24"/>
  <c r="BX317" i="24"/>
  <c r="BW317" i="24"/>
  <c r="BV317" i="24"/>
  <c r="BU317" i="24"/>
  <c r="BT317" i="24"/>
  <c r="BS317" i="24"/>
  <c r="BR317" i="24"/>
  <c r="BQ317" i="24"/>
  <c r="BP317" i="24"/>
  <c r="BO317" i="24"/>
  <c r="BN317" i="24"/>
  <c r="BM317" i="24"/>
  <c r="BL317" i="24"/>
  <c r="BK317" i="24"/>
  <c r="BJ317" i="24"/>
  <c r="BI317" i="24"/>
  <c r="BH317" i="24"/>
  <c r="BG317" i="24"/>
  <c r="BF317" i="24"/>
  <c r="BE317" i="24"/>
  <c r="BD317" i="24"/>
  <c r="BC317" i="24"/>
  <c r="BB317" i="24"/>
  <c r="BA317" i="24"/>
  <c r="AY317" i="24"/>
  <c r="AX317" i="24"/>
  <c r="AW317" i="24"/>
  <c r="AV317" i="24"/>
  <c r="AU317" i="24"/>
  <c r="AT317" i="24"/>
  <c r="AS317" i="24"/>
  <c r="AR317" i="24"/>
  <c r="AQ317" i="24"/>
  <c r="AP317" i="24"/>
  <c r="AO317" i="24"/>
  <c r="AN317" i="24"/>
  <c r="AM317" i="24"/>
  <c r="AL317" i="24"/>
  <c r="AK317" i="24"/>
  <c r="AJ317" i="24"/>
  <c r="AI317" i="24"/>
  <c r="AH317" i="24"/>
  <c r="AG317" i="24"/>
  <c r="AF317" i="24"/>
  <c r="AE317" i="24"/>
  <c r="AD317" i="24"/>
  <c r="AC317" i="24"/>
  <c r="AB317" i="24"/>
  <c r="BX316" i="24"/>
  <c r="BW316" i="24"/>
  <c r="BV316" i="24"/>
  <c r="BU316" i="24"/>
  <c r="BT316" i="24"/>
  <c r="BS316" i="24"/>
  <c r="BR316" i="24"/>
  <c r="BQ316" i="24"/>
  <c r="BP316" i="24"/>
  <c r="BO316" i="24"/>
  <c r="BN316" i="24"/>
  <c r="BM316" i="24"/>
  <c r="BL316" i="24"/>
  <c r="BK316" i="24"/>
  <c r="BJ316" i="24"/>
  <c r="BI316" i="24"/>
  <c r="BH316" i="24"/>
  <c r="BG316" i="24"/>
  <c r="BF316" i="24"/>
  <c r="BE316" i="24"/>
  <c r="BD316" i="24"/>
  <c r="BC316" i="24"/>
  <c r="BB316" i="24"/>
  <c r="BA316" i="24"/>
  <c r="AY316" i="24"/>
  <c r="AX316" i="24"/>
  <c r="AW316" i="24"/>
  <c r="AV316" i="24"/>
  <c r="AU316" i="24"/>
  <c r="AT316" i="24"/>
  <c r="AS316" i="24"/>
  <c r="AR316" i="24"/>
  <c r="AQ316" i="24"/>
  <c r="AP316" i="24"/>
  <c r="AO316" i="24"/>
  <c r="AN316" i="24"/>
  <c r="AM316" i="24"/>
  <c r="AL316" i="24"/>
  <c r="AK316" i="24"/>
  <c r="AJ316" i="24"/>
  <c r="AI316" i="24"/>
  <c r="AH316" i="24"/>
  <c r="AG316" i="24"/>
  <c r="AF316" i="24"/>
  <c r="AE316" i="24"/>
  <c r="AD316" i="24"/>
  <c r="AC316" i="24"/>
  <c r="AB316" i="24"/>
  <c r="BX315" i="24"/>
  <c r="BW315" i="24"/>
  <c r="BV315" i="24"/>
  <c r="BU315" i="24"/>
  <c r="BT315" i="24"/>
  <c r="BS315" i="24"/>
  <c r="BR315" i="24"/>
  <c r="BQ315" i="24"/>
  <c r="BP315" i="24"/>
  <c r="BO315" i="24"/>
  <c r="BN315" i="24"/>
  <c r="BM315" i="24"/>
  <c r="BL315" i="24"/>
  <c r="BK315" i="24"/>
  <c r="BJ315" i="24"/>
  <c r="BI315" i="24"/>
  <c r="BH315" i="24"/>
  <c r="BG315" i="24"/>
  <c r="BF315" i="24"/>
  <c r="BE315" i="24"/>
  <c r="BD315" i="24"/>
  <c r="BC315" i="24"/>
  <c r="BB315" i="24"/>
  <c r="BA315" i="24"/>
  <c r="AY315" i="24"/>
  <c r="AX315" i="24"/>
  <c r="AW315" i="24"/>
  <c r="AV315" i="24"/>
  <c r="AU315" i="24"/>
  <c r="AT315" i="24"/>
  <c r="AS315" i="24"/>
  <c r="AR315" i="24"/>
  <c r="AQ315" i="24"/>
  <c r="AP315" i="24"/>
  <c r="AO315" i="24"/>
  <c r="AN315" i="24"/>
  <c r="AM315" i="24"/>
  <c r="AL315" i="24"/>
  <c r="AK315" i="24"/>
  <c r="AJ315" i="24"/>
  <c r="AI315" i="24"/>
  <c r="AH315" i="24"/>
  <c r="AG315" i="24"/>
  <c r="AF315" i="24"/>
  <c r="AE315" i="24"/>
  <c r="AD315" i="24"/>
  <c r="AC315" i="24"/>
  <c r="AB315" i="24"/>
  <c r="BX314" i="24"/>
  <c r="BW314" i="24"/>
  <c r="BV314" i="24"/>
  <c r="BU314" i="24"/>
  <c r="BT314" i="24"/>
  <c r="BS314" i="24"/>
  <c r="BR314" i="24"/>
  <c r="BQ314" i="24"/>
  <c r="BP314" i="24"/>
  <c r="BO314" i="24"/>
  <c r="BN314" i="24"/>
  <c r="BM314" i="24"/>
  <c r="BL314" i="24"/>
  <c r="BK314" i="24"/>
  <c r="BJ314" i="24"/>
  <c r="BI314" i="24"/>
  <c r="BH314" i="24"/>
  <c r="BG314" i="24"/>
  <c r="BF314" i="24"/>
  <c r="BE314" i="24"/>
  <c r="BD314" i="24"/>
  <c r="BC314" i="24"/>
  <c r="BB314" i="24"/>
  <c r="BA314" i="24"/>
  <c r="AY314" i="24"/>
  <c r="AX314" i="24"/>
  <c r="AW314" i="24"/>
  <c r="AV314" i="24"/>
  <c r="AU314" i="24"/>
  <c r="AT314" i="24"/>
  <c r="AS314" i="24"/>
  <c r="AR314" i="24"/>
  <c r="AQ314" i="24"/>
  <c r="AP314" i="24"/>
  <c r="AO314" i="24"/>
  <c r="AN314" i="24"/>
  <c r="AM314" i="24"/>
  <c r="AL314" i="24"/>
  <c r="AK314" i="24"/>
  <c r="AJ314" i="24"/>
  <c r="AI314" i="24"/>
  <c r="AH314" i="24"/>
  <c r="AG314" i="24"/>
  <c r="AF314" i="24"/>
  <c r="AE314" i="24"/>
  <c r="AD314" i="24"/>
  <c r="AC314" i="24"/>
  <c r="AB314" i="24"/>
  <c r="BX313" i="24"/>
  <c r="BW313" i="24"/>
  <c r="BV313" i="24"/>
  <c r="BU313" i="24"/>
  <c r="BT313" i="24"/>
  <c r="BS313" i="24"/>
  <c r="BR313" i="24"/>
  <c r="BQ313" i="24"/>
  <c r="BP313" i="24"/>
  <c r="BO313" i="24"/>
  <c r="BN313" i="24"/>
  <c r="BM313" i="24"/>
  <c r="BL313" i="24"/>
  <c r="BK313" i="24"/>
  <c r="BJ313" i="24"/>
  <c r="BI313" i="24"/>
  <c r="BH313" i="24"/>
  <c r="BG313" i="24"/>
  <c r="BF313" i="24"/>
  <c r="BE313" i="24"/>
  <c r="BD313" i="24"/>
  <c r="BC313" i="24"/>
  <c r="BB313" i="24"/>
  <c r="BA313" i="24"/>
  <c r="AY313" i="24"/>
  <c r="AX313" i="24"/>
  <c r="AW313" i="24"/>
  <c r="AV313" i="24"/>
  <c r="AU313" i="24"/>
  <c r="AT313" i="24"/>
  <c r="AS313" i="24"/>
  <c r="AR313" i="24"/>
  <c r="AQ313" i="24"/>
  <c r="AP313" i="24"/>
  <c r="AO313" i="24"/>
  <c r="AN313" i="24"/>
  <c r="AM313" i="24"/>
  <c r="AL313" i="24"/>
  <c r="AK313" i="24"/>
  <c r="AJ313" i="24"/>
  <c r="AI313" i="24"/>
  <c r="AH313" i="24"/>
  <c r="AG313" i="24"/>
  <c r="AF313" i="24"/>
  <c r="AE313" i="24"/>
  <c r="AD313" i="24"/>
  <c r="AC313" i="24"/>
  <c r="AB313" i="24"/>
  <c r="BX312" i="24"/>
  <c r="BW312" i="24"/>
  <c r="BV312" i="24"/>
  <c r="BU312" i="24"/>
  <c r="BT312" i="24"/>
  <c r="BS312" i="24"/>
  <c r="BR312" i="24"/>
  <c r="BQ312" i="24"/>
  <c r="BP312" i="24"/>
  <c r="BO312" i="24"/>
  <c r="BN312" i="24"/>
  <c r="BM312" i="24"/>
  <c r="BL312" i="24"/>
  <c r="BK312" i="24"/>
  <c r="BJ312" i="24"/>
  <c r="BI312" i="24"/>
  <c r="BH312" i="24"/>
  <c r="BG312" i="24"/>
  <c r="BF312" i="24"/>
  <c r="BE312" i="24"/>
  <c r="BD312" i="24"/>
  <c r="BC312" i="24"/>
  <c r="BB312" i="24"/>
  <c r="BA312" i="24"/>
  <c r="AY312" i="24"/>
  <c r="AX312" i="24"/>
  <c r="AW312" i="24"/>
  <c r="AV312" i="24"/>
  <c r="AU312" i="24"/>
  <c r="AT312" i="24"/>
  <c r="AS312" i="24"/>
  <c r="AR312" i="24"/>
  <c r="AQ312" i="24"/>
  <c r="AP312" i="24"/>
  <c r="AO312" i="24"/>
  <c r="AN312" i="24"/>
  <c r="AM312" i="24"/>
  <c r="AL312" i="24"/>
  <c r="AK312" i="24"/>
  <c r="AJ312" i="24"/>
  <c r="AI312" i="24"/>
  <c r="AH312" i="24"/>
  <c r="AG312" i="24"/>
  <c r="AF312" i="24"/>
  <c r="AE312" i="24"/>
  <c r="AD312" i="24"/>
  <c r="AC312" i="24"/>
  <c r="AB312" i="24"/>
  <c r="BX311" i="24"/>
  <c r="BW311" i="24"/>
  <c r="BV311" i="24"/>
  <c r="BU311" i="24"/>
  <c r="BT311" i="24"/>
  <c r="BS311" i="24"/>
  <c r="BR311" i="24"/>
  <c r="BQ311" i="24"/>
  <c r="BP311" i="24"/>
  <c r="BO311" i="24"/>
  <c r="BN311" i="24"/>
  <c r="BM311" i="24"/>
  <c r="BL311" i="24"/>
  <c r="BK311" i="24"/>
  <c r="BJ311" i="24"/>
  <c r="BI311" i="24"/>
  <c r="BH311" i="24"/>
  <c r="BG311" i="24"/>
  <c r="BF311" i="24"/>
  <c r="BE311" i="24"/>
  <c r="BD311" i="24"/>
  <c r="BC311" i="24"/>
  <c r="BB311" i="24"/>
  <c r="BA311" i="24"/>
  <c r="AY311" i="24"/>
  <c r="AX311" i="24"/>
  <c r="AW311" i="24"/>
  <c r="AV311" i="24"/>
  <c r="AU311" i="24"/>
  <c r="AT311" i="24"/>
  <c r="AS311" i="24"/>
  <c r="AR311" i="24"/>
  <c r="AQ311" i="24"/>
  <c r="AP311" i="24"/>
  <c r="AO311" i="24"/>
  <c r="AN311" i="24"/>
  <c r="AM311" i="24"/>
  <c r="AL311" i="24"/>
  <c r="AK311" i="24"/>
  <c r="AJ311" i="24"/>
  <c r="AI311" i="24"/>
  <c r="AH311" i="24"/>
  <c r="AG311" i="24"/>
  <c r="AF311" i="24"/>
  <c r="AE311" i="24"/>
  <c r="AD311" i="24"/>
  <c r="AC311" i="24"/>
  <c r="AB311" i="24"/>
  <c r="BX310" i="24"/>
  <c r="BW310" i="24"/>
  <c r="BV310" i="24"/>
  <c r="BU310" i="24"/>
  <c r="BT310" i="24"/>
  <c r="BS310" i="24"/>
  <c r="BR310" i="24"/>
  <c r="BQ310" i="24"/>
  <c r="BP310" i="24"/>
  <c r="BO310" i="24"/>
  <c r="BN310" i="24"/>
  <c r="BM310" i="24"/>
  <c r="BL310" i="24"/>
  <c r="BK310" i="24"/>
  <c r="BJ310" i="24"/>
  <c r="BI310" i="24"/>
  <c r="BH310" i="24"/>
  <c r="BG310" i="24"/>
  <c r="BF310" i="24"/>
  <c r="BE310" i="24"/>
  <c r="BD310" i="24"/>
  <c r="BC310" i="24"/>
  <c r="BB310" i="24"/>
  <c r="BA310" i="24"/>
  <c r="AY310" i="24"/>
  <c r="AX310" i="24"/>
  <c r="AW310" i="24"/>
  <c r="AV310" i="24"/>
  <c r="AU310" i="24"/>
  <c r="AT310" i="24"/>
  <c r="AS310" i="24"/>
  <c r="AR310" i="24"/>
  <c r="AQ310" i="24"/>
  <c r="AP310" i="24"/>
  <c r="AO310" i="24"/>
  <c r="AN310" i="24"/>
  <c r="AM310" i="24"/>
  <c r="AL310" i="24"/>
  <c r="AK310" i="24"/>
  <c r="AJ310" i="24"/>
  <c r="AI310" i="24"/>
  <c r="AH310" i="24"/>
  <c r="AG310" i="24"/>
  <c r="AF310" i="24"/>
  <c r="AE310" i="24"/>
  <c r="AD310" i="24"/>
  <c r="AC310" i="24"/>
  <c r="AB310" i="24"/>
  <c r="BX309" i="24"/>
  <c r="BW309" i="24"/>
  <c r="BV309" i="24"/>
  <c r="BU309" i="24"/>
  <c r="BT309" i="24"/>
  <c r="BS309" i="24"/>
  <c r="BR309" i="24"/>
  <c r="BQ309" i="24"/>
  <c r="BP309" i="24"/>
  <c r="BO309" i="24"/>
  <c r="BN309" i="24"/>
  <c r="BM309" i="24"/>
  <c r="BL309" i="24"/>
  <c r="BK309" i="24"/>
  <c r="BJ309" i="24"/>
  <c r="BI309" i="24"/>
  <c r="BH309" i="24"/>
  <c r="BG309" i="24"/>
  <c r="BF309" i="24"/>
  <c r="BE309" i="24"/>
  <c r="BD309" i="24"/>
  <c r="BC309" i="24"/>
  <c r="BB309" i="24"/>
  <c r="BA309" i="24"/>
  <c r="AY309" i="24"/>
  <c r="AX309" i="24"/>
  <c r="AW309" i="24"/>
  <c r="AV309" i="24"/>
  <c r="AU309" i="24"/>
  <c r="AT309" i="24"/>
  <c r="AS309" i="24"/>
  <c r="AR309" i="24"/>
  <c r="AQ309" i="24"/>
  <c r="AP309" i="24"/>
  <c r="AO309" i="24"/>
  <c r="AN309" i="24"/>
  <c r="AM309" i="24"/>
  <c r="AL309" i="24"/>
  <c r="AK309" i="24"/>
  <c r="AJ309" i="24"/>
  <c r="AI309" i="24"/>
  <c r="AH309" i="24"/>
  <c r="AG309" i="24"/>
  <c r="AF309" i="24"/>
  <c r="AE309" i="24"/>
  <c r="AD309" i="24"/>
  <c r="AC309" i="24"/>
  <c r="AB309" i="24"/>
  <c r="BX308" i="24"/>
  <c r="BW308" i="24"/>
  <c r="BV308" i="24"/>
  <c r="BU308" i="24"/>
  <c r="BT308" i="24"/>
  <c r="BS308" i="24"/>
  <c r="BR308" i="24"/>
  <c r="BQ308" i="24"/>
  <c r="BP308" i="24"/>
  <c r="BO308" i="24"/>
  <c r="BN308" i="24"/>
  <c r="BM308" i="24"/>
  <c r="BL308" i="24"/>
  <c r="BK308" i="24"/>
  <c r="BJ308" i="24"/>
  <c r="BI308" i="24"/>
  <c r="BH308" i="24"/>
  <c r="BG308" i="24"/>
  <c r="BF308" i="24"/>
  <c r="BE308" i="24"/>
  <c r="BD308" i="24"/>
  <c r="BC308" i="24"/>
  <c r="BB308" i="24"/>
  <c r="BA308" i="24"/>
  <c r="AY308" i="24"/>
  <c r="AX308" i="24"/>
  <c r="AW308" i="24"/>
  <c r="AV308" i="24"/>
  <c r="AU308" i="24"/>
  <c r="AT308" i="24"/>
  <c r="AS308" i="24"/>
  <c r="AR308" i="24"/>
  <c r="AQ308" i="24"/>
  <c r="AP308" i="24"/>
  <c r="AO308" i="24"/>
  <c r="AN308" i="24"/>
  <c r="AM308" i="24"/>
  <c r="AL308" i="24"/>
  <c r="AK308" i="24"/>
  <c r="AJ308" i="24"/>
  <c r="AI308" i="24"/>
  <c r="AH308" i="24"/>
  <c r="AG308" i="24"/>
  <c r="AF308" i="24"/>
  <c r="AE308" i="24"/>
  <c r="AD308" i="24"/>
  <c r="AC308" i="24"/>
  <c r="AB308" i="24"/>
  <c r="BX307" i="24"/>
  <c r="BW307" i="24"/>
  <c r="BV307" i="24"/>
  <c r="BU307" i="24"/>
  <c r="BT307" i="24"/>
  <c r="BS307" i="24"/>
  <c r="BR307" i="24"/>
  <c r="BQ307" i="24"/>
  <c r="BP307" i="24"/>
  <c r="BO307" i="24"/>
  <c r="BN307" i="24"/>
  <c r="BM307" i="24"/>
  <c r="BL307" i="24"/>
  <c r="BK307" i="24"/>
  <c r="BJ307" i="24"/>
  <c r="BI307" i="24"/>
  <c r="BH307" i="24"/>
  <c r="BG307" i="24"/>
  <c r="BF307" i="24"/>
  <c r="BE307" i="24"/>
  <c r="BD307" i="24"/>
  <c r="BC307" i="24"/>
  <c r="BB307" i="24"/>
  <c r="BA307" i="24"/>
  <c r="AY307" i="24"/>
  <c r="AX307" i="24"/>
  <c r="AW307" i="24"/>
  <c r="AV307" i="24"/>
  <c r="AU307" i="24"/>
  <c r="AT307" i="24"/>
  <c r="AS307" i="24"/>
  <c r="AR307" i="24"/>
  <c r="AQ307" i="24"/>
  <c r="AP307" i="24"/>
  <c r="AO307" i="24"/>
  <c r="AN307" i="24"/>
  <c r="AM307" i="24"/>
  <c r="AL307" i="24"/>
  <c r="AK307" i="24"/>
  <c r="AJ307" i="24"/>
  <c r="AI307" i="24"/>
  <c r="AH307" i="24"/>
  <c r="AG307" i="24"/>
  <c r="AF307" i="24"/>
  <c r="AE307" i="24"/>
  <c r="AD307" i="24"/>
  <c r="AC307" i="24"/>
  <c r="AB307" i="24"/>
  <c r="BX306" i="24"/>
  <c r="BW306" i="24"/>
  <c r="BV306" i="24"/>
  <c r="BU306" i="24"/>
  <c r="BT306" i="24"/>
  <c r="BS306" i="24"/>
  <c r="BR306" i="24"/>
  <c r="BQ306" i="24"/>
  <c r="BP306" i="24"/>
  <c r="BO306" i="24"/>
  <c r="BN306" i="24"/>
  <c r="BM306" i="24"/>
  <c r="BL306" i="24"/>
  <c r="BK306" i="24"/>
  <c r="BJ306" i="24"/>
  <c r="BI306" i="24"/>
  <c r="BH306" i="24"/>
  <c r="BG306" i="24"/>
  <c r="BF306" i="24"/>
  <c r="BE306" i="24"/>
  <c r="BD306" i="24"/>
  <c r="BC306" i="24"/>
  <c r="BB306" i="24"/>
  <c r="BA306" i="24"/>
  <c r="AY306" i="24"/>
  <c r="AX306" i="24"/>
  <c r="AW306" i="24"/>
  <c r="AV306" i="24"/>
  <c r="AU306" i="24"/>
  <c r="AT306" i="24"/>
  <c r="AS306" i="24"/>
  <c r="AR306" i="24"/>
  <c r="AQ306" i="24"/>
  <c r="AP306" i="24"/>
  <c r="AO306" i="24"/>
  <c r="AN306" i="24"/>
  <c r="AM306" i="24"/>
  <c r="AL306" i="24"/>
  <c r="AK306" i="24"/>
  <c r="AJ306" i="24"/>
  <c r="AI306" i="24"/>
  <c r="AH306" i="24"/>
  <c r="AG306" i="24"/>
  <c r="AF306" i="24"/>
  <c r="AE306" i="24"/>
  <c r="AD306" i="24"/>
  <c r="AC306" i="24"/>
  <c r="AB306" i="24"/>
  <c r="BX305" i="24"/>
  <c r="BW305" i="24"/>
  <c r="BV305" i="24"/>
  <c r="BU305" i="24"/>
  <c r="BT305" i="24"/>
  <c r="BS305" i="24"/>
  <c r="BR305" i="24"/>
  <c r="BQ305" i="24"/>
  <c r="BP305" i="24"/>
  <c r="BO305" i="24"/>
  <c r="BN305" i="24"/>
  <c r="BM305" i="24"/>
  <c r="BL305" i="24"/>
  <c r="BK305" i="24"/>
  <c r="BJ305" i="24"/>
  <c r="BI305" i="24"/>
  <c r="BH305" i="24"/>
  <c r="BG305" i="24"/>
  <c r="BF305" i="24"/>
  <c r="BE305" i="24"/>
  <c r="BD305" i="24"/>
  <c r="BC305" i="24"/>
  <c r="BB305" i="24"/>
  <c r="BA305" i="24"/>
  <c r="AY305" i="24"/>
  <c r="AX305" i="24"/>
  <c r="AW305" i="24"/>
  <c r="AV305" i="24"/>
  <c r="AU305" i="24"/>
  <c r="AT305" i="24"/>
  <c r="AS305" i="24"/>
  <c r="AR305" i="24"/>
  <c r="AQ305" i="24"/>
  <c r="AP305" i="24"/>
  <c r="AO305" i="24"/>
  <c r="AN305" i="24"/>
  <c r="AM305" i="24"/>
  <c r="AL305" i="24"/>
  <c r="AK305" i="24"/>
  <c r="AJ305" i="24"/>
  <c r="AI305" i="24"/>
  <c r="AH305" i="24"/>
  <c r="AG305" i="24"/>
  <c r="AF305" i="24"/>
  <c r="AE305" i="24"/>
  <c r="AD305" i="24"/>
  <c r="AC305" i="24"/>
  <c r="AB305" i="24"/>
  <c r="BX304" i="24"/>
  <c r="BW304" i="24"/>
  <c r="BV304" i="24"/>
  <c r="BU304" i="24"/>
  <c r="BT304" i="24"/>
  <c r="BS304" i="24"/>
  <c r="BR304" i="24"/>
  <c r="BQ304" i="24"/>
  <c r="BP304" i="24"/>
  <c r="BO304" i="24"/>
  <c r="BN304" i="24"/>
  <c r="BM304" i="24"/>
  <c r="BL304" i="24"/>
  <c r="BK304" i="24"/>
  <c r="BJ304" i="24"/>
  <c r="BI304" i="24"/>
  <c r="BH304" i="24"/>
  <c r="BG304" i="24"/>
  <c r="BF304" i="24"/>
  <c r="BE304" i="24"/>
  <c r="BD304" i="24"/>
  <c r="BC304" i="24"/>
  <c r="BB304" i="24"/>
  <c r="BA304" i="24"/>
  <c r="AY304" i="24"/>
  <c r="AX304" i="24"/>
  <c r="AW304" i="24"/>
  <c r="AV304" i="24"/>
  <c r="AU304" i="24"/>
  <c r="AT304" i="24"/>
  <c r="AS304" i="24"/>
  <c r="AR304" i="24"/>
  <c r="AQ304" i="24"/>
  <c r="AP304" i="24"/>
  <c r="AO304" i="24"/>
  <c r="AN304" i="24"/>
  <c r="AM304" i="24"/>
  <c r="AL304" i="24"/>
  <c r="AK304" i="24"/>
  <c r="AJ304" i="24"/>
  <c r="AI304" i="24"/>
  <c r="AH304" i="24"/>
  <c r="AG304" i="24"/>
  <c r="AF304" i="24"/>
  <c r="AE304" i="24"/>
  <c r="AD304" i="24"/>
  <c r="AC304" i="24"/>
  <c r="AB304" i="24"/>
  <c r="BX303" i="24"/>
  <c r="BW303" i="24"/>
  <c r="BV303" i="24"/>
  <c r="BU303" i="24"/>
  <c r="BT303" i="24"/>
  <c r="BS303" i="24"/>
  <c r="BR303" i="24"/>
  <c r="BQ303" i="24"/>
  <c r="BP303" i="24"/>
  <c r="BO303" i="24"/>
  <c r="BN303" i="24"/>
  <c r="BM303" i="24"/>
  <c r="BL303" i="24"/>
  <c r="BK303" i="24"/>
  <c r="BJ303" i="24"/>
  <c r="BI303" i="24"/>
  <c r="BH303" i="24"/>
  <c r="BG303" i="24"/>
  <c r="BF303" i="24"/>
  <c r="BE303" i="24"/>
  <c r="BD303" i="24"/>
  <c r="BC303" i="24"/>
  <c r="BB303" i="24"/>
  <c r="BA303" i="24"/>
  <c r="AY303" i="24"/>
  <c r="AX303" i="24"/>
  <c r="AW303" i="24"/>
  <c r="AV303" i="24"/>
  <c r="AU303" i="24"/>
  <c r="AT303" i="24"/>
  <c r="AS303" i="24"/>
  <c r="AR303" i="24"/>
  <c r="AQ303" i="24"/>
  <c r="AP303" i="24"/>
  <c r="AO303" i="24"/>
  <c r="AN303" i="24"/>
  <c r="AM303" i="24"/>
  <c r="AL303" i="24"/>
  <c r="AK303" i="24"/>
  <c r="AJ303" i="24"/>
  <c r="AI303" i="24"/>
  <c r="AH303" i="24"/>
  <c r="AG303" i="24"/>
  <c r="AF303" i="24"/>
  <c r="AE303" i="24"/>
  <c r="AD303" i="24"/>
  <c r="AC303" i="24"/>
  <c r="AB303" i="24"/>
  <c r="BX302" i="24"/>
  <c r="BW302" i="24"/>
  <c r="BV302" i="24"/>
  <c r="BU302" i="24"/>
  <c r="BT302" i="24"/>
  <c r="BS302" i="24"/>
  <c r="BR302" i="24"/>
  <c r="BQ302" i="24"/>
  <c r="BP302" i="24"/>
  <c r="BO302" i="24"/>
  <c r="BN302" i="24"/>
  <c r="BM302" i="24"/>
  <c r="BL302" i="24"/>
  <c r="BK302" i="24"/>
  <c r="BJ302" i="24"/>
  <c r="BI302" i="24"/>
  <c r="BH302" i="24"/>
  <c r="BG302" i="24"/>
  <c r="BF302" i="24"/>
  <c r="BE302" i="24"/>
  <c r="BD302" i="24"/>
  <c r="BC302" i="24"/>
  <c r="BB302" i="24"/>
  <c r="BA302" i="24"/>
  <c r="AY302" i="24"/>
  <c r="AX302" i="24"/>
  <c r="AW302" i="24"/>
  <c r="AV302" i="24"/>
  <c r="AU302" i="24"/>
  <c r="AT302" i="24"/>
  <c r="AS302" i="24"/>
  <c r="AR302" i="24"/>
  <c r="AQ302" i="24"/>
  <c r="AP302" i="24"/>
  <c r="AO302" i="24"/>
  <c r="AN302" i="24"/>
  <c r="AM302" i="24"/>
  <c r="AL302" i="24"/>
  <c r="AK302" i="24"/>
  <c r="AJ302" i="24"/>
  <c r="AI302" i="24"/>
  <c r="AH302" i="24"/>
  <c r="AG302" i="24"/>
  <c r="AF302" i="24"/>
  <c r="AE302" i="24"/>
  <c r="AD302" i="24"/>
  <c r="AC302" i="24"/>
  <c r="AB302" i="24"/>
  <c r="BX301" i="24"/>
  <c r="BW301" i="24"/>
  <c r="BV301" i="24"/>
  <c r="BU301" i="24"/>
  <c r="BT301" i="24"/>
  <c r="BS301" i="24"/>
  <c r="BR301" i="24"/>
  <c r="BQ301" i="24"/>
  <c r="BP301" i="24"/>
  <c r="BO301" i="24"/>
  <c r="BN301" i="24"/>
  <c r="BM301" i="24"/>
  <c r="BL301" i="24"/>
  <c r="BK301" i="24"/>
  <c r="BJ301" i="24"/>
  <c r="BI301" i="24"/>
  <c r="BH301" i="24"/>
  <c r="BG301" i="24"/>
  <c r="BF301" i="24"/>
  <c r="BE301" i="24"/>
  <c r="BD301" i="24"/>
  <c r="BC301" i="24"/>
  <c r="BB301" i="24"/>
  <c r="BA301" i="24"/>
  <c r="AY301" i="24"/>
  <c r="AX301" i="24"/>
  <c r="AW301" i="24"/>
  <c r="AV301" i="24"/>
  <c r="AU301" i="24"/>
  <c r="AT301" i="24"/>
  <c r="AS301" i="24"/>
  <c r="AR301" i="24"/>
  <c r="AQ301" i="24"/>
  <c r="AP301" i="24"/>
  <c r="AO301" i="24"/>
  <c r="AN301" i="24"/>
  <c r="AM301" i="24"/>
  <c r="AL301" i="24"/>
  <c r="AK301" i="24"/>
  <c r="AJ301" i="24"/>
  <c r="AI301" i="24"/>
  <c r="AH301" i="24"/>
  <c r="AG301" i="24"/>
  <c r="AF301" i="24"/>
  <c r="AE301" i="24"/>
  <c r="AD301" i="24"/>
  <c r="AC301" i="24"/>
  <c r="AB301" i="24"/>
  <c r="BX300" i="24"/>
  <c r="BW300" i="24"/>
  <c r="BV300" i="24"/>
  <c r="BU300" i="24"/>
  <c r="BT300" i="24"/>
  <c r="BS300" i="24"/>
  <c r="BR300" i="24"/>
  <c r="BQ300" i="24"/>
  <c r="BP300" i="24"/>
  <c r="BO300" i="24"/>
  <c r="BN300" i="24"/>
  <c r="BM300" i="24"/>
  <c r="BL300" i="24"/>
  <c r="BK300" i="24"/>
  <c r="BJ300" i="24"/>
  <c r="BI300" i="24"/>
  <c r="BH300" i="24"/>
  <c r="BG300" i="24"/>
  <c r="BF300" i="24"/>
  <c r="BE300" i="24"/>
  <c r="BD300" i="24"/>
  <c r="BC300" i="24"/>
  <c r="BB300" i="24"/>
  <c r="BA300" i="24"/>
  <c r="AY300" i="24"/>
  <c r="AX300" i="24"/>
  <c r="AW300" i="24"/>
  <c r="AV300" i="24"/>
  <c r="AU300" i="24"/>
  <c r="AT300" i="24"/>
  <c r="AS300" i="24"/>
  <c r="AR300" i="24"/>
  <c r="AQ300" i="24"/>
  <c r="AP300" i="24"/>
  <c r="AO300" i="24"/>
  <c r="AN300" i="24"/>
  <c r="AM300" i="24"/>
  <c r="AL300" i="24"/>
  <c r="AK300" i="24"/>
  <c r="AJ300" i="24"/>
  <c r="AI300" i="24"/>
  <c r="AH300" i="24"/>
  <c r="AG300" i="24"/>
  <c r="AF300" i="24"/>
  <c r="AE300" i="24"/>
  <c r="AD300" i="24"/>
  <c r="AC300" i="24"/>
  <c r="AB300" i="24"/>
  <c r="BX299" i="24"/>
  <c r="BW299" i="24"/>
  <c r="BV299" i="24"/>
  <c r="BU299" i="24"/>
  <c r="BT299" i="24"/>
  <c r="BS299" i="24"/>
  <c r="BR299" i="24"/>
  <c r="BQ299" i="24"/>
  <c r="BP299" i="24"/>
  <c r="BO299" i="24"/>
  <c r="BN299" i="24"/>
  <c r="BM299" i="24"/>
  <c r="BL299" i="24"/>
  <c r="BK299" i="24"/>
  <c r="BJ299" i="24"/>
  <c r="BI299" i="24"/>
  <c r="BH299" i="24"/>
  <c r="BG299" i="24"/>
  <c r="BF299" i="24"/>
  <c r="BE299" i="24"/>
  <c r="BD299" i="24"/>
  <c r="BC299" i="24"/>
  <c r="BB299" i="24"/>
  <c r="BA299" i="24"/>
  <c r="AY299" i="24"/>
  <c r="AX299" i="24"/>
  <c r="AW299" i="24"/>
  <c r="AV299" i="24"/>
  <c r="AU299" i="24"/>
  <c r="AT299" i="24"/>
  <c r="AS299" i="24"/>
  <c r="AR299" i="24"/>
  <c r="AQ299" i="24"/>
  <c r="AP299" i="24"/>
  <c r="AO299" i="24"/>
  <c r="AN299" i="24"/>
  <c r="AM299" i="24"/>
  <c r="AL299" i="24"/>
  <c r="AK299" i="24"/>
  <c r="AJ299" i="24"/>
  <c r="AI299" i="24"/>
  <c r="AH299" i="24"/>
  <c r="AG299" i="24"/>
  <c r="AF299" i="24"/>
  <c r="AE299" i="24"/>
  <c r="AD299" i="24"/>
  <c r="AC299" i="24"/>
  <c r="AB299" i="24"/>
  <c r="BX298" i="24"/>
  <c r="BW298" i="24"/>
  <c r="BV298" i="24"/>
  <c r="BU298" i="24"/>
  <c r="BT298" i="24"/>
  <c r="BS298" i="24"/>
  <c r="BR298" i="24"/>
  <c r="BQ298" i="24"/>
  <c r="BP298" i="24"/>
  <c r="BO298" i="24"/>
  <c r="BN298" i="24"/>
  <c r="BM298" i="24"/>
  <c r="BL298" i="24"/>
  <c r="BK298" i="24"/>
  <c r="BJ298" i="24"/>
  <c r="BI298" i="24"/>
  <c r="BH298" i="24"/>
  <c r="BG298" i="24"/>
  <c r="BF298" i="24"/>
  <c r="BE298" i="24"/>
  <c r="BD298" i="24"/>
  <c r="BC298" i="24"/>
  <c r="BB298" i="24"/>
  <c r="BA298" i="24"/>
  <c r="AY298" i="24"/>
  <c r="AX298" i="24"/>
  <c r="AW298" i="24"/>
  <c r="AV298" i="24"/>
  <c r="AU298" i="24"/>
  <c r="AT298" i="24"/>
  <c r="AS298" i="24"/>
  <c r="AR298" i="24"/>
  <c r="AQ298" i="24"/>
  <c r="AP298" i="24"/>
  <c r="AO298" i="24"/>
  <c r="AN298" i="24"/>
  <c r="AM298" i="24"/>
  <c r="AL298" i="24"/>
  <c r="AK298" i="24"/>
  <c r="AJ298" i="24"/>
  <c r="AI298" i="24"/>
  <c r="AH298" i="24"/>
  <c r="AG298" i="24"/>
  <c r="AF298" i="24"/>
  <c r="AE298" i="24"/>
  <c r="AD298" i="24"/>
  <c r="AC298" i="24"/>
  <c r="AB298" i="24"/>
  <c r="BX297" i="24"/>
  <c r="BW297" i="24"/>
  <c r="BV297" i="24"/>
  <c r="BU297" i="24"/>
  <c r="BT297" i="24"/>
  <c r="BS297" i="24"/>
  <c r="BR297" i="24"/>
  <c r="BQ297" i="24"/>
  <c r="BP297" i="24"/>
  <c r="BO297" i="24"/>
  <c r="BN297" i="24"/>
  <c r="BM297" i="24"/>
  <c r="BL297" i="24"/>
  <c r="BK297" i="24"/>
  <c r="BJ297" i="24"/>
  <c r="BI297" i="24"/>
  <c r="BH297" i="24"/>
  <c r="BG297" i="24"/>
  <c r="BF297" i="24"/>
  <c r="BE297" i="24"/>
  <c r="BD297" i="24"/>
  <c r="BC297" i="24"/>
  <c r="BB297" i="24"/>
  <c r="BA297" i="24"/>
  <c r="AY297" i="24"/>
  <c r="AX297" i="24"/>
  <c r="AW297" i="24"/>
  <c r="AV297" i="24"/>
  <c r="AU297" i="24"/>
  <c r="AT297" i="24"/>
  <c r="AS297" i="24"/>
  <c r="AR297" i="24"/>
  <c r="AQ297" i="24"/>
  <c r="AP297" i="24"/>
  <c r="AO297" i="24"/>
  <c r="AN297" i="24"/>
  <c r="AM297" i="24"/>
  <c r="AL297" i="24"/>
  <c r="AK297" i="24"/>
  <c r="AJ297" i="24"/>
  <c r="AI297" i="24"/>
  <c r="AH297" i="24"/>
  <c r="AG297" i="24"/>
  <c r="AF297" i="24"/>
  <c r="AE297" i="24"/>
  <c r="AD297" i="24"/>
  <c r="AC297" i="24"/>
  <c r="AB297" i="24"/>
  <c r="BX296" i="24"/>
  <c r="BW296" i="24"/>
  <c r="BV296" i="24"/>
  <c r="BU296" i="24"/>
  <c r="BT296" i="24"/>
  <c r="BS296" i="24"/>
  <c r="BR296" i="24"/>
  <c r="BQ296" i="24"/>
  <c r="BP296" i="24"/>
  <c r="BO296" i="24"/>
  <c r="BN296" i="24"/>
  <c r="BM296" i="24"/>
  <c r="BL296" i="24"/>
  <c r="BK296" i="24"/>
  <c r="BJ296" i="24"/>
  <c r="BI296" i="24"/>
  <c r="BH296" i="24"/>
  <c r="BG296" i="24"/>
  <c r="BF296" i="24"/>
  <c r="BE296" i="24"/>
  <c r="BD296" i="24"/>
  <c r="BC296" i="24"/>
  <c r="BB296" i="24"/>
  <c r="BA296" i="24"/>
  <c r="AY296" i="24"/>
  <c r="AX296" i="24"/>
  <c r="AW296" i="24"/>
  <c r="AV296" i="24"/>
  <c r="AU296" i="24"/>
  <c r="AT296" i="24"/>
  <c r="AS296" i="24"/>
  <c r="AR296" i="24"/>
  <c r="AQ296" i="24"/>
  <c r="AP296" i="24"/>
  <c r="AO296" i="24"/>
  <c r="AN296" i="24"/>
  <c r="AM296" i="24"/>
  <c r="AL296" i="24"/>
  <c r="AK296" i="24"/>
  <c r="AJ296" i="24"/>
  <c r="AI296" i="24"/>
  <c r="AH296" i="24"/>
  <c r="AG296" i="24"/>
  <c r="AF296" i="24"/>
  <c r="AE296" i="24"/>
  <c r="AD296" i="24"/>
  <c r="AC296" i="24"/>
  <c r="AB296" i="24"/>
  <c r="BX295" i="24"/>
  <c r="BW295" i="24"/>
  <c r="BV295" i="24"/>
  <c r="BU295" i="24"/>
  <c r="BT295" i="24"/>
  <c r="BS295" i="24"/>
  <c r="BR295" i="24"/>
  <c r="BQ295" i="24"/>
  <c r="BP295" i="24"/>
  <c r="BO295" i="24"/>
  <c r="BN295" i="24"/>
  <c r="BM295" i="24"/>
  <c r="BL295" i="24"/>
  <c r="BK295" i="24"/>
  <c r="BJ295" i="24"/>
  <c r="BI295" i="24"/>
  <c r="BH295" i="24"/>
  <c r="BG295" i="24"/>
  <c r="BF295" i="24"/>
  <c r="BE295" i="24"/>
  <c r="BD295" i="24"/>
  <c r="BC295" i="24"/>
  <c r="BB295" i="24"/>
  <c r="BA295" i="24"/>
  <c r="AY295" i="24"/>
  <c r="AX295" i="24"/>
  <c r="AW295" i="24"/>
  <c r="AV295" i="24"/>
  <c r="AU295" i="24"/>
  <c r="AT295" i="24"/>
  <c r="AS295" i="24"/>
  <c r="AR295" i="24"/>
  <c r="AQ295" i="24"/>
  <c r="AP295" i="24"/>
  <c r="AO295" i="24"/>
  <c r="AN295" i="24"/>
  <c r="AM295" i="24"/>
  <c r="AL295" i="24"/>
  <c r="AK295" i="24"/>
  <c r="AJ295" i="24"/>
  <c r="AI295" i="24"/>
  <c r="AH295" i="24"/>
  <c r="AG295" i="24"/>
  <c r="AF295" i="24"/>
  <c r="AE295" i="24"/>
  <c r="AD295" i="24"/>
  <c r="AC295" i="24"/>
  <c r="AB295" i="24"/>
  <c r="BX294" i="24"/>
  <c r="BW294" i="24"/>
  <c r="BV294" i="24"/>
  <c r="BU294" i="24"/>
  <c r="BT294" i="24"/>
  <c r="BS294" i="24"/>
  <c r="BR294" i="24"/>
  <c r="BQ294" i="24"/>
  <c r="BP294" i="24"/>
  <c r="BO294" i="24"/>
  <c r="BN294" i="24"/>
  <c r="BM294" i="24"/>
  <c r="BL294" i="24"/>
  <c r="BK294" i="24"/>
  <c r="BJ294" i="24"/>
  <c r="BI294" i="24"/>
  <c r="BH294" i="24"/>
  <c r="BG294" i="24"/>
  <c r="BF294" i="24"/>
  <c r="BE294" i="24"/>
  <c r="BD294" i="24"/>
  <c r="BC294" i="24"/>
  <c r="BB294" i="24"/>
  <c r="BA294" i="24"/>
  <c r="AY294" i="24"/>
  <c r="AX294" i="24"/>
  <c r="AW294" i="24"/>
  <c r="AV294" i="24"/>
  <c r="AU294" i="24"/>
  <c r="AT294" i="24"/>
  <c r="AS294" i="24"/>
  <c r="AR294" i="24"/>
  <c r="AQ294" i="24"/>
  <c r="AP294" i="24"/>
  <c r="AO294" i="24"/>
  <c r="AN294" i="24"/>
  <c r="AM294" i="24"/>
  <c r="AL294" i="24"/>
  <c r="AK294" i="24"/>
  <c r="AJ294" i="24"/>
  <c r="AI294" i="24"/>
  <c r="AH294" i="24"/>
  <c r="AG294" i="24"/>
  <c r="AF294" i="24"/>
  <c r="AE294" i="24"/>
  <c r="AD294" i="24"/>
  <c r="AC294" i="24"/>
  <c r="AB294" i="24"/>
  <c r="BX293" i="24"/>
  <c r="BW293" i="24"/>
  <c r="BV293" i="24"/>
  <c r="BU293" i="24"/>
  <c r="BT293" i="24"/>
  <c r="BS293" i="24"/>
  <c r="BR293" i="24"/>
  <c r="BQ293" i="24"/>
  <c r="BP293" i="24"/>
  <c r="BO293" i="24"/>
  <c r="BN293" i="24"/>
  <c r="BM293" i="24"/>
  <c r="BL293" i="24"/>
  <c r="BK293" i="24"/>
  <c r="BJ293" i="24"/>
  <c r="BI293" i="24"/>
  <c r="BH293" i="24"/>
  <c r="BG293" i="24"/>
  <c r="BF293" i="24"/>
  <c r="BE293" i="24"/>
  <c r="BD293" i="24"/>
  <c r="BC293" i="24"/>
  <c r="BB293" i="24"/>
  <c r="BA293" i="24"/>
  <c r="AY293" i="24"/>
  <c r="AX293" i="24"/>
  <c r="AW293" i="24"/>
  <c r="AV293" i="24"/>
  <c r="AU293" i="24"/>
  <c r="AT293" i="24"/>
  <c r="AS293" i="24"/>
  <c r="AR293" i="24"/>
  <c r="AQ293" i="24"/>
  <c r="AP293" i="24"/>
  <c r="AO293" i="24"/>
  <c r="AN293" i="24"/>
  <c r="AM293" i="24"/>
  <c r="AL293" i="24"/>
  <c r="AK293" i="24"/>
  <c r="AJ293" i="24"/>
  <c r="AI293" i="24"/>
  <c r="AH293" i="24"/>
  <c r="AG293" i="24"/>
  <c r="AF293" i="24"/>
  <c r="AE293" i="24"/>
  <c r="AD293" i="24"/>
  <c r="AC293" i="24"/>
  <c r="AB293" i="24"/>
  <c r="BX292" i="24"/>
  <c r="BW292" i="24"/>
  <c r="BV292" i="24"/>
  <c r="BU292" i="24"/>
  <c r="BT292" i="24"/>
  <c r="BS292" i="24"/>
  <c r="BR292" i="24"/>
  <c r="BQ292" i="24"/>
  <c r="BP292" i="24"/>
  <c r="BO292" i="24"/>
  <c r="BN292" i="24"/>
  <c r="BM292" i="24"/>
  <c r="BL292" i="24"/>
  <c r="BK292" i="24"/>
  <c r="BJ292" i="24"/>
  <c r="BI292" i="24"/>
  <c r="BH292" i="24"/>
  <c r="BG292" i="24"/>
  <c r="BF292" i="24"/>
  <c r="BE292" i="24"/>
  <c r="BD292" i="24"/>
  <c r="BC292" i="24"/>
  <c r="BB292" i="24"/>
  <c r="BA292" i="24"/>
  <c r="AY292" i="24"/>
  <c r="AX292" i="24"/>
  <c r="AW292" i="24"/>
  <c r="AV292" i="24"/>
  <c r="AU292" i="24"/>
  <c r="AT292" i="24"/>
  <c r="AS292" i="24"/>
  <c r="AR292" i="24"/>
  <c r="AQ292" i="24"/>
  <c r="AP292" i="24"/>
  <c r="AO292" i="24"/>
  <c r="AN292" i="24"/>
  <c r="AM292" i="24"/>
  <c r="AL292" i="24"/>
  <c r="AK292" i="24"/>
  <c r="AJ292" i="24"/>
  <c r="AI292" i="24"/>
  <c r="AH292" i="24"/>
  <c r="AG292" i="24"/>
  <c r="AF292" i="24"/>
  <c r="AE292" i="24"/>
  <c r="AD292" i="24"/>
  <c r="AC292" i="24"/>
  <c r="AB292" i="24"/>
  <c r="BX291" i="24"/>
  <c r="BW291" i="24"/>
  <c r="BV291" i="24"/>
  <c r="BU291" i="24"/>
  <c r="BT291" i="24"/>
  <c r="BS291" i="24"/>
  <c r="BR291" i="24"/>
  <c r="BQ291" i="24"/>
  <c r="BP291" i="24"/>
  <c r="BO291" i="24"/>
  <c r="BN291" i="24"/>
  <c r="BM291" i="24"/>
  <c r="BL291" i="24"/>
  <c r="BK291" i="24"/>
  <c r="BJ291" i="24"/>
  <c r="BI291" i="24"/>
  <c r="BH291" i="24"/>
  <c r="BG291" i="24"/>
  <c r="BF291" i="24"/>
  <c r="BE291" i="24"/>
  <c r="BD291" i="24"/>
  <c r="BC291" i="24"/>
  <c r="BB291" i="24"/>
  <c r="BA291" i="24"/>
  <c r="AY291" i="24"/>
  <c r="AX291" i="24"/>
  <c r="AW291" i="24"/>
  <c r="AV291" i="24"/>
  <c r="AU291" i="24"/>
  <c r="AT291" i="24"/>
  <c r="AS291" i="24"/>
  <c r="AR291" i="24"/>
  <c r="AQ291" i="24"/>
  <c r="AP291" i="24"/>
  <c r="AO291" i="24"/>
  <c r="AN291" i="24"/>
  <c r="AM291" i="24"/>
  <c r="AL291" i="24"/>
  <c r="AK291" i="24"/>
  <c r="AJ291" i="24"/>
  <c r="AI291" i="24"/>
  <c r="AH291" i="24"/>
  <c r="AG291" i="24"/>
  <c r="AF291" i="24"/>
  <c r="AE291" i="24"/>
  <c r="AD291" i="24"/>
  <c r="AC291" i="24"/>
  <c r="AB291" i="24"/>
  <c r="BX290" i="24"/>
  <c r="BW290" i="24"/>
  <c r="BV290" i="24"/>
  <c r="BU290" i="24"/>
  <c r="BT290" i="24"/>
  <c r="BS290" i="24"/>
  <c r="BR290" i="24"/>
  <c r="BQ290" i="24"/>
  <c r="BP290" i="24"/>
  <c r="BO290" i="24"/>
  <c r="BN290" i="24"/>
  <c r="BM290" i="24"/>
  <c r="BL290" i="24"/>
  <c r="BK290" i="24"/>
  <c r="BJ290" i="24"/>
  <c r="BI290" i="24"/>
  <c r="BH290" i="24"/>
  <c r="BG290" i="24"/>
  <c r="BF290" i="24"/>
  <c r="BE290" i="24"/>
  <c r="BD290" i="24"/>
  <c r="BC290" i="24"/>
  <c r="BB290" i="24"/>
  <c r="BA290" i="24"/>
  <c r="AY290" i="24"/>
  <c r="AX290" i="24"/>
  <c r="AW290" i="24"/>
  <c r="AV290" i="24"/>
  <c r="AU290" i="24"/>
  <c r="AT290" i="24"/>
  <c r="AS290" i="24"/>
  <c r="AR290" i="24"/>
  <c r="AQ290" i="24"/>
  <c r="AP290" i="24"/>
  <c r="AO290" i="24"/>
  <c r="AN290" i="24"/>
  <c r="AM290" i="24"/>
  <c r="AL290" i="24"/>
  <c r="AK290" i="24"/>
  <c r="AJ290" i="24"/>
  <c r="AI290" i="24"/>
  <c r="AH290" i="24"/>
  <c r="AG290" i="24"/>
  <c r="AF290" i="24"/>
  <c r="AE290" i="24"/>
  <c r="AD290" i="24"/>
  <c r="AC290" i="24"/>
  <c r="AB290" i="24"/>
  <c r="BX289" i="24"/>
  <c r="BW289" i="24"/>
  <c r="BV289" i="24"/>
  <c r="BU289" i="24"/>
  <c r="BT289" i="24"/>
  <c r="BS289" i="24"/>
  <c r="BR289" i="24"/>
  <c r="BQ289" i="24"/>
  <c r="BP289" i="24"/>
  <c r="BO289" i="24"/>
  <c r="BN289" i="24"/>
  <c r="BM289" i="24"/>
  <c r="BL289" i="24"/>
  <c r="BK289" i="24"/>
  <c r="BJ289" i="24"/>
  <c r="BI289" i="24"/>
  <c r="BH289" i="24"/>
  <c r="BG289" i="24"/>
  <c r="BF289" i="24"/>
  <c r="BE289" i="24"/>
  <c r="BD289" i="24"/>
  <c r="BC289" i="24"/>
  <c r="BB289" i="24"/>
  <c r="BA289" i="24"/>
  <c r="AY289" i="24"/>
  <c r="AX289" i="24"/>
  <c r="AW289" i="24"/>
  <c r="AV289" i="24"/>
  <c r="AU289" i="24"/>
  <c r="AT289" i="24"/>
  <c r="AS289" i="24"/>
  <c r="AR289" i="24"/>
  <c r="AQ289" i="24"/>
  <c r="AP289" i="24"/>
  <c r="AO289" i="24"/>
  <c r="AN289" i="24"/>
  <c r="AM289" i="24"/>
  <c r="AL289" i="24"/>
  <c r="AK289" i="24"/>
  <c r="AJ289" i="24"/>
  <c r="AI289" i="24"/>
  <c r="AH289" i="24"/>
  <c r="AG289" i="24"/>
  <c r="AF289" i="24"/>
  <c r="AE289" i="24"/>
  <c r="AD289" i="24"/>
  <c r="AC289" i="24"/>
  <c r="AB289" i="24"/>
  <c r="BX288" i="24"/>
  <c r="BW288" i="24"/>
  <c r="BV288" i="24"/>
  <c r="BU288" i="24"/>
  <c r="BT288" i="24"/>
  <c r="BS288" i="24"/>
  <c r="BR288" i="24"/>
  <c r="BQ288" i="24"/>
  <c r="BP288" i="24"/>
  <c r="BO288" i="24"/>
  <c r="BN288" i="24"/>
  <c r="BM288" i="24"/>
  <c r="BL288" i="24"/>
  <c r="BK288" i="24"/>
  <c r="BJ288" i="24"/>
  <c r="BI288" i="24"/>
  <c r="BH288" i="24"/>
  <c r="BG288" i="24"/>
  <c r="BF288" i="24"/>
  <c r="BE288" i="24"/>
  <c r="BD288" i="24"/>
  <c r="BC288" i="24"/>
  <c r="BB288" i="24"/>
  <c r="BA288" i="24"/>
  <c r="AY288" i="24"/>
  <c r="AX288" i="24"/>
  <c r="AW288" i="24"/>
  <c r="AV288" i="24"/>
  <c r="AU288" i="24"/>
  <c r="AT288" i="24"/>
  <c r="AS288" i="24"/>
  <c r="AR288" i="24"/>
  <c r="AQ288" i="24"/>
  <c r="AP288" i="24"/>
  <c r="AO288" i="24"/>
  <c r="AN288" i="24"/>
  <c r="AM288" i="24"/>
  <c r="AL288" i="24"/>
  <c r="AK288" i="24"/>
  <c r="AJ288" i="24"/>
  <c r="AI288" i="24"/>
  <c r="AH288" i="24"/>
  <c r="AG288" i="24"/>
  <c r="AF288" i="24"/>
  <c r="AE288" i="24"/>
  <c r="AD288" i="24"/>
  <c r="AC288" i="24"/>
  <c r="AB288" i="24"/>
  <c r="BX287" i="24"/>
  <c r="BW287" i="24"/>
  <c r="BV287" i="24"/>
  <c r="BU287" i="24"/>
  <c r="BT287" i="24"/>
  <c r="BS287" i="24"/>
  <c r="BR287" i="24"/>
  <c r="BQ287" i="24"/>
  <c r="BP287" i="24"/>
  <c r="BO287" i="24"/>
  <c r="BN287" i="24"/>
  <c r="BM287" i="24"/>
  <c r="BL287" i="24"/>
  <c r="BK287" i="24"/>
  <c r="BJ287" i="24"/>
  <c r="BI287" i="24"/>
  <c r="BH287" i="24"/>
  <c r="BG287" i="24"/>
  <c r="BF287" i="24"/>
  <c r="BE287" i="24"/>
  <c r="BD287" i="24"/>
  <c r="BC287" i="24"/>
  <c r="BB287" i="24"/>
  <c r="BA287" i="24"/>
  <c r="AY287" i="24"/>
  <c r="AX287" i="24"/>
  <c r="AW287" i="24"/>
  <c r="AV287" i="24"/>
  <c r="AU287" i="24"/>
  <c r="AT287" i="24"/>
  <c r="AS287" i="24"/>
  <c r="AR287" i="24"/>
  <c r="AQ287" i="24"/>
  <c r="AP287" i="24"/>
  <c r="AO287" i="24"/>
  <c r="AN287" i="24"/>
  <c r="AM287" i="24"/>
  <c r="AL287" i="24"/>
  <c r="AK287" i="24"/>
  <c r="AJ287" i="24"/>
  <c r="AI287" i="24"/>
  <c r="AH287" i="24"/>
  <c r="AG287" i="24"/>
  <c r="AF287" i="24"/>
  <c r="AE287" i="24"/>
  <c r="AD287" i="24"/>
  <c r="AC287" i="24"/>
  <c r="AB287" i="24"/>
  <c r="BX286" i="24"/>
  <c r="BW286" i="24"/>
  <c r="BV286" i="24"/>
  <c r="BU286" i="24"/>
  <c r="BT286" i="24"/>
  <c r="BS286" i="24"/>
  <c r="BR286" i="24"/>
  <c r="BQ286" i="24"/>
  <c r="BP286" i="24"/>
  <c r="BO286" i="24"/>
  <c r="BN286" i="24"/>
  <c r="BM286" i="24"/>
  <c r="BL286" i="24"/>
  <c r="BK286" i="24"/>
  <c r="BJ286" i="24"/>
  <c r="BI286" i="24"/>
  <c r="BH286" i="24"/>
  <c r="BG286" i="24"/>
  <c r="BF286" i="24"/>
  <c r="BE286" i="24"/>
  <c r="BD286" i="24"/>
  <c r="BC286" i="24"/>
  <c r="BB286" i="24"/>
  <c r="BA286" i="24"/>
  <c r="AY286" i="24"/>
  <c r="AX286" i="24"/>
  <c r="AW286" i="24"/>
  <c r="AV286" i="24"/>
  <c r="AU286" i="24"/>
  <c r="AT286" i="24"/>
  <c r="AS286" i="24"/>
  <c r="AR286" i="24"/>
  <c r="AQ286" i="24"/>
  <c r="AP286" i="24"/>
  <c r="AO286" i="24"/>
  <c r="AN286" i="24"/>
  <c r="AM286" i="24"/>
  <c r="AL286" i="24"/>
  <c r="AK286" i="24"/>
  <c r="AJ286" i="24"/>
  <c r="AI286" i="24"/>
  <c r="AH286" i="24"/>
  <c r="AG286" i="24"/>
  <c r="AF286" i="24"/>
  <c r="AE286" i="24"/>
  <c r="AD286" i="24"/>
  <c r="AC286" i="24"/>
  <c r="AB286" i="24"/>
  <c r="BX285" i="24"/>
  <c r="BW285" i="24"/>
  <c r="BV285" i="24"/>
  <c r="BU285" i="24"/>
  <c r="BT285" i="24"/>
  <c r="BS285" i="24"/>
  <c r="BR285" i="24"/>
  <c r="BQ285" i="24"/>
  <c r="BP285" i="24"/>
  <c r="BO285" i="24"/>
  <c r="BN285" i="24"/>
  <c r="BM285" i="24"/>
  <c r="BL285" i="24"/>
  <c r="BK285" i="24"/>
  <c r="BJ285" i="24"/>
  <c r="BI285" i="24"/>
  <c r="BH285" i="24"/>
  <c r="BG285" i="24"/>
  <c r="BF285" i="24"/>
  <c r="BE285" i="24"/>
  <c r="BD285" i="24"/>
  <c r="BC285" i="24"/>
  <c r="BB285" i="24"/>
  <c r="BA285" i="24"/>
  <c r="AY285" i="24"/>
  <c r="AX285" i="24"/>
  <c r="AW285" i="24"/>
  <c r="AV285" i="24"/>
  <c r="AU285" i="24"/>
  <c r="AT285" i="24"/>
  <c r="AS285" i="24"/>
  <c r="AR285" i="24"/>
  <c r="AQ285" i="24"/>
  <c r="AP285" i="24"/>
  <c r="AO285" i="24"/>
  <c r="AN285" i="24"/>
  <c r="AM285" i="24"/>
  <c r="AL285" i="24"/>
  <c r="AK285" i="24"/>
  <c r="AJ285" i="24"/>
  <c r="AI285" i="24"/>
  <c r="AH285" i="24"/>
  <c r="AG285" i="24"/>
  <c r="AF285" i="24"/>
  <c r="AE285" i="24"/>
  <c r="AD285" i="24"/>
  <c r="AC285" i="24"/>
  <c r="AB285" i="24"/>
  <c r="BX284" i="24"/>
  <c r="BW284" i="24"/>
  <c r="BV284" i="24"/>
  <c r="BU284" i="24"/>
  <c r="BT284" i="24"/>
  <c r="BS284" i="24"/>
  <c r="BR284" i="24"/>
  <c r="BQ284" i="24"/>
  <c r="BP284" i="24"/>
  <c r="BO284" i="24"/>
  <c r="BN284" i="24"/>
  <c r="BM284" i="24"/>
  <c r="BL284" i="24"/>
  <c r="BK284" i="24"/>
  <c r="BJ284" i="24"/>
  <c r="BI284" i="24"/>
  <c r="BH284" i="24"/>
  <c r="BG284" i="24"/>
  <c r="BF284" i="24"/>
  <c r="BE284" i="24"/>
  <c r="BD284" i="24"/>
  <c r="BC284" i="24"/>
  <c r="BB284" i="24"/>
  <c r="BA284" i="24"/>
  <c r="AY284" i="24"/>
  <c r="AX284" i="24"/>
  <c r="AW284" i="24"/>
  <c r="AV284" i="24"/>
  <c r="AU284" i="24"/>
  <c r="AT284" i="24"/>
  <c r="AS284" i="24"/>
  <c r="AR284" i="24"/>
  <c r="AQ284" i="24"/>
  <c r="AP284" i="24"/>
  <c r="AO284" i="24"/>
  <c r="AN284" i="24"/>
  <c r="AM284" i="24"/>
  <c r="AL284" i="24"/>
  <c r="AK284" i="24"/>
  <c r="AJ284" i="24"/>
  <c r="AI284" i="24"/>
  <c r="AH284" i="24"/>
  <c r="AG284" i="24"/>
  <c r="AF284" i="24"/>
  <c r="AE284" i="24"/>
  <c r="AD284" i="24"/>
  <c r="AC284" i="24"/>
  <c r="AB284" i="24"/>
  <c r="BX283" i="24"/>
  <c r="BW283" i="24"/>
  <c r="BV283" i="24"/>
  <c r="BU283" i="24"/>
  <c r="BT283" i="24"/>
  <c r="BS283" i="24"/>
  <c r="BR283" i="24"/>
  <c r="BQ283" i="24"/>
  <c r="BP283" i="24"/>
  <c r="BO283" i="24"/>
  <c r="BN283" i="24"/>
  <c r="BM283" i="24"/>
  <c r="BL283" i="24"/>
  <c r="BK283" i="24"/>
  <c r="BJ283" i="24"/>
  <c r="BI283" i="24"/>
  <c r="BH283" i="24"/>
  <c r="BG283" i="24"/>
  <c r="BF283" i="24"/>
  <c r="BE283" i="24"/>
  <c r="BD283" i="24"/>
  <c r="BC283" i="24"/>
  <c r="BB283" i="24"/>
  <c r="BA283" i="24"/>
  <c r="AY283" i="24"/>
  <c r="AX283" i="24"/>
  <c r="AW283" i="24"/>
  <c r="AV283" i="24"/>
  <c r="AU283" i="24"/>
  <c r="AT283" i="24"/>
  <c r="AS283" i="24"/>
  <c r="AR283" i="24"/>
  <c r="AQ283" i="24"/>
  <c r="AP283" i="24"/>
  <c r="AO283" i="24"/>
  <c r="AN283" i="24"/>
  <c r="AM283" i="24"/>
  <c r="AL283" i="24"/>
  <c r="AK283" i="24"/>
  <c r="AJ283" i="24"/>
  <c r="AI283" i="24"/>
  <c r="AH283" i="24"/>
  <c r="AG283" i="24"/>
  <c r="AF283" i="24"/>
  <c r="AE283" i="24"/>
  <c r="AD283" i="24"/>
  <c r="AC283" i="24"/>
  <c r="AB283" i="24"/>
  <c r="BX282" i="24"/>
  <c r="BW282" i="24"/>
  <c r="BV282" i="24"/>
  <c r="BU282" i="24"/>
  <c r="BT282" i="24"/>
  <c r="BS282" i="24"/>
  <c r="BR282" i="24"/>
  <c r="BQ282" i="24"/>
  <c r="BP282" i="24"/>
  <c r="BO282" i="24"/>
  <c r="BN282" i="24"/>
  <c r="BM282" i="24"/>
  <c r="BL282" i="24"/>
  <c r="BK282" i="24"/>
  <c r="BJ282" i="24"/>
  <c r="BI282" i="24"/>
  <c r="BH282" i="24"/>
  <c r="BG282" i="24"/>
  <c r="BF282" i="24"/>
  <c r="BE282" i="24"/>
  <c r="BD282" i="24"/>
  <c r="BC282" i="24"/>
  <c r="BB282" i="24"/>
  <c r="BA282" i="24"/>
  <c r="AY282" i="24"/>
  <c r="AX282" i="24"/>
  <c r="AW282" i="24"/>
  <c r="AV282" i="24"/>
  <c r="AU282" i="24"/>
  <c r="AT282" i="24"/>
  <c r="AS282" i="24"/>
  <c r="AR282" i="24"/>
  <c r="AQ282" i="24"/>
  <c r="AP282" i="24"/>
  <c r="AO282" i="24"/>
  <c r="AN282" i="24"/>
  <c r="AM282" i="24"/>
  <c r="AL282" i="24"/>
  <c r="AK282" i="24"/>
  <c r="AJ282" i="24"/>
  <c r="AI282" i="24"/>
  <c r="AH282" i="24"/>
  <c r="AG282" i="24"/>
  <c r="AF282" i="24"/>
  <c r="AE282" i="24"/>
  <c r="AD282" i="24"/>
  <c r="AC282" i="24"/>
  <c r="AB282" i="24"/>
  <c r="BX281" i="24"/>
  <c r="BW281" i="24"/>
  <c r="BV281" i="24"/>
  <c r="BU281" i="24"/>
  <c r="BT281" i="24"/>
  <c r="BS281" i="24"/>
  <c r="BR281" i="24"/>
  <c r="BQ281" i="24"/>
  <c r="BP281" i="24"/>
  <c r="BO281" i="24"/>
  <c r="BN281" i="24"/>
  <c r="BM281" i="24"/>
  <c r="BL281" i="24"/>
  <c r="BK281" i="24"/>
  <c r="BJ281" i="24"/>
  <c r="BI281" i="24"/>
  <c r="BH281" i="24"/>
  <c r="BG281" i="24"/>
  <c r="BF281" i="24"/>
  <c r="BE281" i="24"/>
  <c r="BD281" i="24"/>
  <c r="BC281" i="24"/>
  <c r="BB281" i="24"/>
  <c r="BA281" i="24"/>
  <c r="AY281" i="24"/>
  <c r="AX281" i="24"/>
  <c r="AW281" i="24"/>
  <c r="AV281" i="24"/>
  <c r="AU281" i="24"/>
  <c r="AT281" i="24"/>
  <c r="AS281" i="24"/>
  <c r="AR281" i="24"/>
  <c r="AQ281" i="24"/>
  <c r="AP281" i="24"/>
  <c r="AO281" i="24"/>
  <c r="AN281" i="24"/>
  <c r="AM281" i="24"/>
  <c r="AL281" i="24"/>
  <c r="AK281" i="24"/>
  <c r="AJ281" i="24"/>
  <c r="AI281" i="24"/>
  <c r="AH281" i="24"/>
  <c r="AG281" i="24"/>
  <c r="AF281" i="24"/>
  <c r="AE281" i="24"/>
  <c r="AD281" i="24"/>
  <c r="AC281" i="24"/>
  <c r="AB281" i="24"/>
  <c r="BX280" i="24"/>
  <c r="BW280" i="24"/>
  <c r="BV280" i="24"/>
  <c r="BU280" i="24"/>
  <c r="BT280" i="24"/>
  <c r="BS280" i="24"/>
  <c r="BR280" i="24"/>
  <c r="BQ280" i="24"/>
  <c r="BP280" i="24"/>
  <c r="BO280" i="24"/>
  <c r="BN280" i="24"/>
  <c r="BM280" i="24"/>
  <c r="BL280" i="24"/>
  <c r="BK280" i="24"/>
  <c r="BJ280" i="24"/>
  <c r="BI280" i="24"/>
  <c r="BH280" i="24"/>
  <c r="BG280" i="24"/>
  <c r="BF280" i="24"/>
  <c r="BE280" i="24"/>
  <c r="BD280" i="24"/>
  <c r="BC280" i="24"/>
  <c r="BB280" i="24"/>
  <c r="BA280" i="24"/>
  <c r="AY280" i="24"/>
  <c r="AX280" i="24"/>
  <c r="AW280" i="24"/>
  <c r="AV280" i="24"/>
  <c r="AU280" i="24"/>
  <c r="AT280" i="24"/>
  <c r="AS280" i="24"/>
  <c r="AR280" i="24"/>
  <c r="AQ280" i="24"/>
  <c r="AP280" i="24"/>
  <c r="AO280" i="24"/>
  <c r="AN280" i="24"/>
  <c r="AM280" i="24"/>
  <c r="AL280" i="24"/>
  <c r="AK280" i="24"/>
  <c r="AJ280" i="24"/>
  <c r="AI280" i="24"/>
  <c r="AH280" i="24"/>
  <c r="AG280" i="24"/>
  <c r="AF280" i="24"/>
  <c r="AE280" i="24"/>
  <c r="AD280" i="24"/>
  <c r="AC280" i="24"/>
  <c r="AB280" i="24"/>
  <c r="BX279" i="24"/>
  <c r="BW279" i="24"/>
  <c r="BV279" i="24"/>
  <c r="BU279" i="24"/>
  <c r="BT279" i="24"/>
  <c r="BS279" i="24"/>
  <c r="BR279" i="24"/>
  <c r="BQ279" i="24"/>
  <c r="BP279" i="24"/>
  <c r="BO279" i="24"/>
  <c r="BN279" i="24"/>
  <c r="BM279" i="24"/>
  <c r="BL279" i="24"/>
  <c r="BK279" i="24"/>
  <c r="BJ279" i="24"/>
  <c r="BI279" i="24"/>
  <c r="BH279" i="24"/>
  <c r="BG279" i="24"/>
  <c r="BF279" i="24"/>
  <c r="BE279" i="24"/>
  <c r="BD279" i="24"/>
  <c r="BC279" i="24"/>
  <c r="BB279" i="24"/>
  <c r="BA279" i="24"/>
  <c r="AY279" i="24"/>
  <c r="AX279" i="24"/>
  <c r="AW279" i="24"/>
  <c r="AV279" i="24"/>
  <c r="AU279" i="24"/>
  <c r="AT279" i="24"/>
  <c r="AS279" i="24"/>
  <c r="AR279" i="24"/>
  <c r="AQ279" i="24"/>
  <c r="AP279" i="24"/>
  <c r="AO279" i="24"/>
  <c r="AN279" i="24"/>
  <c r="AM279" i="24"/>
  <c r="AL279" i="24"/>
  <c r="AK279" i="24"/>
  <c r="AJ279" i="24"/>
  <c r="AI279" i="24"/>
  <c r="AH279" i="24"/>
  <c r="AG279" i="24"/>
  <c r="AF279" i="24"/>
  <c r="AE279" i="24"/>
  <c r="AD279" i="24"/>
  <c r="AC279" i="24"/>
  <c r="AB279" i="24"/>
  <c r="BX278" i="24"/>
  <c r="BW278" i="24"/>
  <c r="BV278" i="24"/>
  <c r="BU278" i="24"/>
  <c r="BT278" i="24"/>
  <c r="BS278" i="24"/>
  <c r="BR278" i="24"/>
  <c r="BQ278" i="24"/>
  <c r="BP278" i="24"/>
  <c r="BO278" i="24"/>
  <c r="BN278" i="24"/>
  <c r="BM278" i="24"/>
  <c r="BL278" i="24"/>
  <c r="BK278" i="24"/>
  <c r="BJ278" i="24"/>
  <c r="BI278" i="24"/>
  <c r="BH278" i="24"/>
  <c r="BG278" i="24"/>
  <c r="BF278" i="24"/>
  <c r="BE278" i="24"/>
  <c r="BD278" i="24"/>
  <c r="BC278" i="24"/>
  <c r="BB278" i="24"/>
  <c r="BA278" i="24"/>
  <c r="AY278" i="24"/>
  <c r="AX278" i="24"/>
  <c r="AW278" i="24"/>
  <c r="AV278" i="24"/>
  <c r="AU278" i="24"/>
  <c r="AT278" i="24"/>
  <c r="AS278" i="24"/>
  <c r="AR278" i="24"/>
  <c r="AQ278" i="24"/>
  <c r="AP278" i="24"/>
  <c r="AO278" i="24"/>
  <c r="AN278" i="24"/>
  <c r="AM278" i="24"/>
  <c r="AL278" i="24"/>
  <c r="AK278" i="24"/>
  <c r="AJ278" i="24"/>
  <c r="AI278" i="24"/>
  <c r="AH278" i="24"/>
  <c r="AG278" i="24"/>
  <c r="AF278" i="24"/>
  <c r="AE278" i="24"/>
  <c r="AD278" i="24"/>
  <c r="AC278" i="24"/>
  <c r="AB278" i="24"/>
  <c r="BX277" i="24"/>
  <c r="BW277" i="24"/>
  <c r="BV277" i="24"/>
  <c r="BU277" i="24"/>
  <c r="BT277" i="24"/>
  <c r="BS277" i="24"/>
  <c r="BR277" i="24"/>
  <c r="BQ277" i="24"/>
  <c r="BP277" i="24"/>
  <c r="BO277" i="24"/>
  <c r="BN277" i="24"/>
  <c r="BM277" i="24"/>
  <c r="BL277" i="24"/>
  <c r="BK277" i="24"/>
  <c r="BJ277" i="24"/>
  <c r="BI277" i="24"/>
  <c r="BH277" i="24"/>
  <c r="BG277" i="24"/>
  <c r="BF277" i="24"/>
  <c r="BE277" i="24"/>
  <c r="BD277" i="24"/>
  <c r="BC277" i="24"/>
  <c r="BB277" i="24"/>
  <c r="BA277" i="24"/>
  <c r="AY277" i="24"/>
  <c r="AX277" i="24"/>
  <c r="AW277" i="24"/>
  <c r="AV277" i="24"/>
  <c r="AU277" i="24"/>
  <c r="AT277" i="24"/>
  <c r="AS277" i="24"/>
  <c r="AR277" i="24"/>
  <c r="AQ277" i="24"/>
  <c r="AP277" i="24"/>
  <c r="AO277" i="24"/>
  <c r="AN277" i="24"/>
  <c r="AM277" i="24"/>
  <c r="AL277" i="24"/>
  <c r="AK277" i="24"/>
  <c r="AJ277" i="24"/>
  <c r="AI277" i="24"/>
  <c r="AH277" i="24"/>
  <c r="AG277" i="24"/>
  <c r="AF277" i="24"/>
  <c r="AE277" i="24"/>
  <c r="AD277" i="24"/>
  <c r="AC277" i="24"/>
  <c r="AB277" i="24"/>
  <c r="BX276" i="24"/>
  <c r="BW276" i="24"/>
  <c r="BV276" i="24"/>
  <c r="BU276" i="24"/>
  <c r="BT276" i="24"/>
  <c r="BS276" i="24"/>
  <c r="BR276" i="24"/>
  <c r="BQ276" i="24"/>
  <c r="BP276" i="24"/>
  <c r="BO276" i="24"/>
  <c r="BN276" i="24"/>
  <c r="BM276" i="24"/>
  <c r="BL276" i="24"/>
  <c r="BK276" i="24"/>
  <c r="BJ276" i="24"/>
  <c r="BI276" i="24"/>
  <c r="BH276" i="24"/>
  <c r="BG276" i="24"/>
  <c r="BF276" i="24"/>
  <c r="BE276" i="24"/>
  <c r="BD276" i="24"/>
  <c r="BC276" i="24"/>
  <c r="BB276" i="24"/>
  <c r="BA276" i="24"/>
  <c r="AY276" i="24"/>
  <c r="AX276" i="24"/>
  <c r="AW276" i="24"/>
  <c r="AV276" i="24"/>
  <c r="AU276" i="24"/>
  <c r="AT276" i="24"/>
  <c r="AS276" i="24"/>
  <c r="AR276" i="24"/>
  <c r="AQ276" i="24"/>
  <c r="AP276" i="24"/>
  <c r="AO276" i="24"/>
  <c r="AN276" i="24"/>
  <c r="AM276" i="24"/>
  <c r="AL276" i="24"/>
  <c r="AK276" i="24"/>
  <c r="AJ276" i="24"/>
  <c r="AI276" i="24"/>
  <c r="AH276" i="24"/>
  <c r="AG276" i="24"/>
  <c r="AF276" i="24"/>
  <c r="AE276" i="24"/>
  <c r="AD276" i="24"/>
  <c r="AC276" i="24"/>
  <c r="AB276" i="24"/>
  <c r="BX275" i="24"/>
  <c r="BW275" i="24"/>
  <c r="BV275" i="24"/>
  <c r="BU275" i="24"/>
  <c r="BT275" i="24"/>
  <c r="BS275" i="24"/>
  <c r="BR275" i="24"/>
  <c r="BQ275" i="24"/>
  <c r="BP275" i="24"/>
  <c r="BO275" i="24"/>
  <c r="BN275" i="24"/>
  <c r="BM275" i="24"/>
  <c r="BL275" i="24"/>
  <c r="BK275" i="24"/>
  <c r="BJ275" i="24"/>
  <c r="BI275" i="24"/>
  <c r="BH275" i="24"/>
  <c r="BG275" i="24"/>
  <c r="BF275" i="24"/>
  <c r="BE275" i="24"/>
  <c r="BD275" i="24"/>
  <c r="BC275" i="24"/>
  <c r="BB275" i="24"/>
  <c r="BA275" i="24"/>
  <c r="AY275" i="24"/>
  <c r="AX275" i="24"/>
  <c r="AW275" i="24"/>
  <c r="AV275" i="24"/>
  <c r="AU275" i="24"/>
  <c r="AT275" i="24"/>
  <c r="AS275" i="24"/>
  <c r="AR275" i="24"/>
  <c r="AQ275" i="24"/>
  <c r="AP275" i="24"/>
  <c r="AO275" i="24"/>
  <c r="AN275" i="24"/>
  <c r="AM275" i="24"/>
  <c r="AL275" i="24"/>
  <c r="AK275" i="24"/>
  <c r="AJ275" i="24"/>
  <c r="AI275" i="24"/>
  <c r="AH275" i="24"/>
  <c r="AG275" i="24"/>
  <c r="AF275" i="24"/>
  <c r="AE275" i="24"/>
  <c r="AD275" i="24"/>
  <c r="AC275" i="24"/>
  <c r="AB275" i="24"/>
  <c r="BX274" i="24"/>
  <c r="BW274" i="24"/>
  <c r="BV274" i="24"/>
  <c r="BU274" i="24"/>
  <c r="BT274" i="24"/>
  <c r="BS274" i="24"/>
  <c r="BR274" i="24"/>
  <c r="BQ274" i="24"/>
  <c r="BP274" i="24"/>
  <c r="BO274" i="24"/>
  <c r="BN274" i="24"/>
  <c r="BM274" i="24"/>
  <c r="BL274" i="24"/>
  <c r="BK274" i="24"/>
  <c r="BJ274" i="24"/>
  <c r="BI274" i="24"/>
  <c r="BH274" i="24"/>
  <c r="BG274" i="24"/>
  <c r="BF274" i="24"/>
  <c r="BE274" i="24"/>
  <c r="BD274" i="24"/>
  <c r="BC274" i="24"/>
  <c r="BB274" i="24"/>
  <c r="BA274" i="24"/>
  <c r="AY274" i="24"/>
  <c r="AX274" i="24"/>
  <c r="AW274" i="24"/>
  <c r="AV274" i="24"/>
  <c r="AU274" i="24"/>
  <c r="AT274" i="24"/>
  <c r="AS274" i="24"/>
  <c r="AR274" i="24"/>
  <c r="AQ274" i="24"/>
  <c r="AP274" i="24"/>
  <c r="AO274" i="24"/>
  <c r="AN274" i="24"/>
  <c r="AM274" i="24"/>
  <c r="AL274" i="24"/>
  <c r="AK274" i="24"/>
  <c r="AJ274" i="24"/>
  <c r="AI274" i="24"/>
  <c r="AH274" i="24"/>
  <c r="AG274" i="24"/>
  <c r="AF274" i="24"/>
  <c r="AE274" i="24"/>
  <c r="AD274" i="24"/>
  <c r="AC274" i="24"/>
  <c r="AB274" i="24"/>
  <c r="BX273" i="24"/>
  <c r="BW273" i="24"/>
  <c r="BV273" i="24"/>
  <c r="BU273" i="24"/>
  <c r="BT273" i="24"/>
  <c r="BS273" i="24"/>
  <c r="BR273" i="24"/>
  <c r="BQ273" i="24"/>
  <c r="BP273" i="24"/>
  <c r="BO273" i="24"/>
  <c r="BN273" i="24"/>
  <c r="BM273" i="24"/>
  <c r="BL273" i="24"/>
  <c r="BK273" i="24"/>
  <c r="BJ273" i="24"/>
  <c r="BI273" i="24"/>
  <c r="BH273" i="24"/>
  <c r="BG273" i="24"/>
  <c r="BF273" i="24"/>
  <c r="BE273" i="24"/>
  <c r="BD273" i="24"/>
  <c r="BC273" i="24"/>
  <c r="BB273" i="24"/>
  <c r="BA273" i="24"/>
  <c r="AY273" i="24"/>
  <c r="AX273" i="24"/>
  <c r="AW273" i="24"/>
  <c r="AV273" i="24"/>
  <c r="AU273" i="24"/>
  <c r="AT273" i="24"/>
  <c r="AS273" i="24"/>
  <c r="AR273" i="24"/>
  <c r="AQ273" i="24"/>
  <c r="AP273" i="24"/>
  <c r="AO273" i="24"/>
  <c r="AN273" i="24"/>
  <c r="AM273" i="24"/>
  <c r="AL273" i="24"/>
  <c r="AK273" i="24"/>
  <c r="AJ273" i="24"/>
  <c r="AI273" i="24"/>
  <c r="AH273" i="24"/>
  <c r="AG273" i="24"/>
  <c r="AF273" i="24"/>
  <c r="AE273" i="24"/>
  <c r="AD273" i="24"/>
  <c r="AC273" i="24"/>
  <c r="AB273" i="24"/>
  <c r="BX272" i="24"/>
  <c r="BW272" i="24"/>
  <c r="BV272" i="24"/>
  <c r="BU272" i="24"/>
  <c r="BT272" i="24"/>
  <c r="BS272" i="24"/>
  <c r="BR272" i="24"/>
  <c r="BQ272" i="24"/>
  <c r="BP272" i="24"/>
  <c r="BO272" i="24"/>
  <c r="BN272" i="24"/>
  <c r="BM272" i="24"/>
  <c r="BL272" i="24"/>
  <c r="BK272" i="24"/>
  <c r="BJ272" i="24"/>
  <c r="BI272" i="24"/>
  <c r="BH272" i="24"/>
  <c r="BG272" i="24"/>
  <c r="BF272" i="24"/>
  <c r="BE272" i="24"/>
  <c r="BD272" i="24"/>
  <c r="BC272" i="24"/>
  <c r="BB272" i="24"/>
  <c r="BA272" i="24"/>
  <c r="AY272" i="24"/>
  <c r="AX272" i="24"/>
  <c r="AW272" i="24"/>
  <c r="AV272" i="24"/>
  <c r="AU272" i="24"/>
  <c r="AT272" i="24"/>
  <c r="AS272" i="24"/>
  <c r="AR272" i="24"/>
  <c r="AQ272" i="24"/>
  <c r="AP272" i="24"/>
  <c r="AO272" i="24"/>
  <c r="AN272" i="24"/>
  <c r="AM272" i="24"/>
  <c r="AL272" i="24"/>
  <c r="AK272" i="24"/>
  <c r="AJ272" i="24"/>
  <c r="AI272" i="24"/>
  <c r="AH272" i="24"/>
  <c r="AG272" i="24"/>
  <c r="AF272" i="24"/>
  <c r="AE272" i="24"/>
  <c r="AD272" i="24"/>
  <c r="AC272" i="24"/>
  <c r="AB272" i="24"/>
  <c r="BX271" i="24"/>
  <c r="BW271" i="24"/>
  <c r="BV271" i="24"/>
  <c r="BU271" i="24"/>
  <c r="BT271" i="24"/>
  <c r="BS271" i="24"/>
  <c r="BR271" i="24"/>
  <c r="BQ271" i="24"/>
  <c r="BP271" i="24"/>
  <c r="BO271" i="24"/>
  <c r="BN271" i="24"/>
  <c r="BM271" i="24"/>
  <c r="BL271" i="24"/>
  <c r="BK271" i="24"/>
  <c r="BJ271" i="24"/>
  <c r="BI271" i="24"/>
  <c r="BH271" i="24"/>
  <c r="BG271" i="24"/>
  <c r="BF271" i="24"/>
  <c r="BE271" i="24"/>
  <c r="BD271" i="24"/>
  <c r="BC271" i="24"/>
  <c r="BB271" i="24"/>
  <c r="BA271" i="24"/>
  <c r="AY271" i="24"/>
  <c r="AX271" i="24"/>
  <c r="AW271" i="24"/>
  <c r="AV271" i="24"/>
  <c r="AU271" i="24"/>
  <c r="AT271" i="24"/>
  <c r="AS271" i="24"/>
  <c r="AR271" i="24"/>
  <c r="AQ271" i="24"/>
  <c r="AP271" i="24"/>
  <c r="AO271" i="24"/>
  <c r="AN271" i="24"/>
  <c r="AM271" i="24"/>
  <c r="AL271" i="24"/>
  <c r="AK271" i="24"/>
  <c r="AJ271" i="24"/>
  <c r="AI271" i="24"/>
  <c r="AH271" i="24"/>
  <c r="AG271" i="24"/>
  <c r="AF271" i="24"/>
  <c r="AE271" i="24"/>
  <c r="AD271" i="24"/>
  <c r="AC271" i="24"/>
  <c r="AB271" i="24"/>
  <c r="BX270" i="24"/>
  <c r="BW270" i="24"/>
  <c r="BV270" i="24"/>
  <c r="BU270" i="24"/>
  <c r="BT270" i="24"/>
  <c r="BS270" i="24"/>
  <c r="BR270" i="24"/>
  <c r="BQ270" i="24"/>
  <c r="BP270" i="24"/>
  <c r="BO270" i="24"/>
  <c r="BN270" i="24"/>
  <c r="BM270" i="24"/>
  <c r="BL270" i="24"/>
  <c r="BK270" i="24"/>
  <c r="BJ270" i="24"/>
  <c r="BI270" i="24"/>
  <c r="BH270" i="24"/>
  <c r="BG270" i="24"/>
  <c r="BF270" i="24"/>
  <c r="BE270" i="24"/>
  <c r="BD270" i="24"/>
  <c r="BC270" i="24"/>
  <c r="BB270" i="24"/>
  <c r="BA270" i="24"/>
  <c r="AY270" i="24"/>
  <c r="AX270" i="24"/>
  <c r="AW270" i="24"/>
  <c r="AV270" i="24"/>
  <c r="AU270" i="24"/>
  <c r="AT270" i="24"/>
  <c r="AS270" i="24"/>
  <c r="AR270" i="24"/>
  <c r="AQ270" i="24"/>
  <c r="AP270" i="24"/>
  <c r="AO270" i="24"/>
  <c r="AN270" i="24"/>
  <c r="AM270" i="24"/>
  <c r="AL270" i="24"/>
  <c r="AK270" i="24"/>
  <c r="AJ270" i="24"/>
  <c r="AI270" i="24"/>
  <c r="AH270" i="24"/>
  <c r="AG270" i="24"/>
  <c r="AF270" i="24"/>
  <c r="AE270" i="24"/>
  <c r="AD270" i="24"/>
  <c r="AC270" i="24"/>
  <c r="AB270" i="24"/>
  <c r="BX269" i="24"/>
  <c r="BW269" i="24"/>
  <c r="BV269" i="24"/>
  <c r="BU269" i="24"/>
  <c r="BT269" i="24"/>
  <c r="BS269" i="24"/>
  <c r="BR269" i="24"/>
  <c r="BQ269" i="24"/>
  <c r="BP269" i="24"/>
  <c r="BO269" i="24"/>
  <c r="BN269" i="24"/>
  <c r="BM269" i="24"/>
  <c r="BL269" i="24"/>
  <c r="BK269" i="24"/>
  <c r="BJ269" i="24"/>
  <c r="BI269" i="24"/>
  <c r="BH269" i="24"/>
  <c r="BG269" i="24"/>
  <c r="BF269" i="24"/>
  <c r="BE269" i="24"/>
  <c r="BD269" i="24"/>
  <c r="BC269" i="24"/>
  <c r="BB269" i="24"/>
  <c r="BA269" i="24"/>
  <c r="AY269" i="24"/>
  <c r="AX269" i="24"/>
  <c r="AW269" i="24"/>
  <c r="AV269" i="24"/>
  <c r="AU269" i="24"/>
  <c r="AT269" i="24"/>
  <c r="AS269" i="24"/>
  <c r="AR269" i="24"/>
  <c r="AQ269" i="24"/>
  <c r="AP269" i="24"/>
  <c r="AO269" i="24"/>
  <c r="AN269" i="24"/>
  <c r="AM269" i="24"/>
  <c r="AL269" i="24"/>
  <c r="AK269" i="24"/>
  <c r="AJ269" i="24"/>
  <c r="AI269" i="24"/>
  <c r="AH269" i="24"/>
  <c r="AG269" i="24"/>
  <c r="AF269" i="24"/>
  <c r="AE269" i="24"/>
  <c r="AD269" i="24"/>
  <c r="AC269" i="24"/>
  <c r="AB269" i="24"/>
  <c r="BX268" i="24"/>
  <c r="BW268" i="24"/>
  <c r="BV268" i="24"/>
  <c r="BU268" i="24"/>
  <c r="BT268" i="24"/>
  <c r="BS268" i="24"/>
  <c r="BR268" i="24"/>
  <c r="BQ268" i="24"/>
  <c r="BP268" i="24"/>
  <c r="BO268" i="24"/>
  <c r="BN268" i="24"/>
  <c r="BM268" i="24"/>
  <c r="BL268" i="24"/>
  <c r="BK268" i="24"/>
  <c r="BJ268" i="24"/>
  <c r="BI268" i="24"/>
  <c r="BH268" i="24"/>
  <c r="BG268" i="24"/>
  <c r="BF268" i="24"/>
  <c r="BE268" i="24"/>
  <c r="BD268" i="24"/>
  <c r="BC268" i="24"/>
  <c r="BB268" i="24"/>
  <c r="BA268" i="24"/>
  <c r="AY268" i="24"/>
  <c r="AX268" i="24"/>
  <c r="AW268" i="24"/>
  <c r="AV268" i="24"/>
  <c r="AU268" i="24"/>
  <c r="AT268" i="24"/>
  <c r="AS268" i="24"/>
  <c r="AR268" i="24"/>
  <c r="AQ268" i="24"/>
  <c r="AP268" i="24"/>
  <c r="AO268" i="24"/>
  <c r="AN268" i="24"/>
  <c r="AM268" i="24"/>
  <c r="AL268" i="24"/>
  <c r="AK268" i="24"/>
  <c r="AJ268" i="24"/>
  <c r="AI268" i="24"/>
  <c r="AH268" i="24"/>
  <c r="AG268" i="24"/>
  <c r="AF268" i="24"/>
  <c r="AE268" i="24"/>
  <c r="AD268" i="24"/>
  <c r="AC268" i="24"/>
  <c r="AB268" i="24"/>
  <c r="BX267" i="24"/>
  <c r="BW267" i="24"/>
  <c r="BV267" i="24"/>
  <c r="BU267" i="24"/>
  <c r="BT267" i="24"/>
  <c r="BS267" i="24"/>
  <c r="BR267" i="24"/>
  <c r="BQ267" i="24"/>
  <c r="BP267" i="24"/>
  <c r="BO267" i="24"/>
  <c r="BN267" i="24"/>
  <c r="BM267" i="24"/>
  <c r="BL267" i="24"/>
  <c r="BK267" i="24"/>
  <c r="BJ267" i="24"/>
  <c r="BI267" i="24"/>
  <c r="BH267" i="24"/>
  <c r="BG267" i="24"/>
  <c r="BF267" i="24"/>
  <c r="BE267" i="24"/>
  <c r="BD267" i="24"/>
  <c r="BC267" i="24"/>
  <c r="BB267" i="24"/>
  <c r="BA267" i="24"/>
  <c r="AY267" i="24"/>
  <c r="AX267" i="24"/>
  <c r="AW267" i="24"/>
  <c r="AV267" i="24"/>
  <c r="AU267" i="24"/>
  <c r="AT267" i="24"/>
  <c r="AS267" i="24"/>
  <c r="AR267" i="24"/>
  <c r="AQ267" i="24"/>
  <c r="AP267" i="24"/>
  <c r="AO267" i="24"/>
  <c r="AN267" i="24"/>
  <c r="AM267" i="24"/>
  <c r="AL267" i="24"/>
  <c r="AK267" i="24"/>
  <c r="AJ267" i="24"/>
  <c r="AI267" i="24"/>
  <c r="AH267" i="24"/>
  <c r="AG267" i="24"/>
  <c r="AF267" i="24"/>
  <c r="AE267" i="24"/>
  <c r="AD267" i="24"/>
  <c r="AC267" i="24"/>
  <c r="AB267" i="24"/>
  <c r="BX266" i="24"/>
  <c r="BW266" i="24"/>
  <c r="BV266" i="24"/>
  <c r="BU266" i="24"/>
  <c r="BT266" i="24"/>
  <c r="BS266" i="24"/>
  <c r="BR266" i="24"/>
  <c r="BQ266" i="24"/>
  <c r="BP266" i="24"/>
  <c r="BO266" i="24"/>
  <c r="BN266" i="24"/>
  <c r="BM266" i="24"/>
  <c r="BL266" i="24"/>
  <c r="BK266" i="24"/>
  <c r="BJ266" i="24"/>
  <c r="BI266" i="24"/>
  <c r="BH266" i="24"/>
  <c r="BG266" i="24"/>
  <c r="BF266" i="24"/>
  <c r="BE266" i="24"/>
  <c r="BD266" i="24"/>
  <c r="BC266" i="24"/>
  <c r="BB266" i="24"/>
  <c r="BA266" i="24"/>
  <c r="AY266" i="24"/>
  <c r="AX266" i="24"/>
  <c r="AW266" i="24"/>
  <c r="AV266" i="24"/>
  <c r="AU266" i="24"/>
  <c r="AT266" i="24"/>
  <c r="AS266" i="24"/>
  <c r="AR266" i="24"/>
  <c r="AQ266" i="24"/>
  <c r="AP266" i="24"/>
  <c r="AO266" i="24"/>
  <c r="AN266" i="24"/>
  <c r="AM266" i="24"/>
  <c r="AL266" i="24"/>
  <c r="AK266" i="24"/>
  <c r="AJ266" i="24"/>
  <c r="AI266" i="24"/>
  <c r="AH266" i="24"/>
  <c r="AG266" i="24"/>
  <c r="AF266" i="24"/>
  <c r="AE266" i="24"/>
  <c r="AD266" i="24"/>
  <c r="AC266" i="24"/>
  <c r="AB266" i="24"/>
  <c r="BX265" i="24"/>
  <c r="BW265" i="24"/>
  <c r="BV265" i="24"/>
  <c r="BU265" i="24"/>
  <c r="BT265" i="24"/>
  <c r="BS265" i="24"/>
  <c r="BR265" i="24"/>
  <c r="BQ265" i="24"/>
  <c r="BP265" i="24"/>
  <c r="BO265" i="24"/>
  <c r="BN265" i="24"/>
  <c r="BM265" i="24"/>
  <c r="BL265" i="24"/>
  <c r="BK265" i="24"/>
  <c r="BJ265" i="24"/>
  <c r="BI265" i="24"/>
  <c r="BH265" i="24"/>
  <c r="BG265" i="24"/>
  <c r="BF265" i="24"/>
  <c r="BE265" i="24"/>
  <c r="BD265" i="24"/>
  <c r="BC265" i="24"/>
  <c r="BB265" i="24"/>
  <c r="BA265" i="24"/>
  <c r="AY265" i="24"/>
  <c r="AX265" i="24"/>
  <c r="AW265" i="24"/>
  <c r="AV265" i="24"/>
  <c r="AU265" i="24"/>
  <c r="AT265" i="24"/>
  <c r="AS265" i="24"/>
  <c r="AR265" i="24"/>
  <c r="AQ265" i="24"/>
  <c r="AP265" i="24"/>
  <c r="AO265" i="24"/>
  <c r="AN265" i="24"/>
  <c r="AM265" i="24"/>
  <c r="AL265" i="24"/>
  <c r="AK265" i="24"/>
  <c r="AJ265" i="24"/>
  <c r="AI265" i="24"/>
  <c r="AH265" i="24"/>
  <c r="AG265" i="24"/>
  <c r="AF265" i="24"/>
  <c r="AE265" i="24"/>
  <c r="AD265" i="24"/>
  <c r="AC265" i="24"/>
  <c r="AB265" i="24"/>
  <c r="BX264" i="24"/>
  <c r="BW264" i="24"/>
  <c r="BV264" i="24"/>
  <c r="BU264" i="24"/>
  <c r="BT264" i="24"/>
  <c r="BS264" i="24"/>
  <c r="BR264" i="24"/>
  <c r="BQ264" i="24"/>
  <c r="BP264" i="24"/>
  <c r="BO264" i="24"/>
  <c r="BN264" i="24"/>
  <c r="BM264" i="24"/>
  <c r="BL264" i="24"/>
  <c r="BK264" i="24"/>
  <c r="BJ264" i="24"/>
  <c r="BI264" i="24"/>
  <c r="BH264" i="24"/>
  <c r="BG264" i="24"/>
  <c r="BF264" i="24"/>
  <c r="BE264" i="24"/>
  <c r="BD264" i="24"/>
  <c r="BC264" i="24"/>
  <c r="BB264" i="24"/>
  <c r="BA264" i="24"/>
  <c r="AY264" i="24"/>
  <c r="AX264" i="24"/>
  <c r="AW264" i="24"/>
  <c r="AV264" i="24"/>
  <c r="AU264" i="24"/>
  <c r="AT264" i="24"/>
  <c r="AS264" i="24"/>
  <c r="AR264" i="24"/>
  <c r="AQ264" i="24"/>
  <c r="AP264" i="24"/>
  <c r="AO264" i="24"/>
  <c r="AN264" i="24"/>
  <c r="AM264" i="24"/>
  <c r="AL264" i="24"/>
  <c r="AK264" i="24"/>
  <c r="AJ264" i="24"/>
  <c r="AI264" i="24"/>
  <c r="AH264" i="24"/>
  <c r="AG264" i="24"/>
  <c r="AF264" i="24"/>
  <c r="AE264" i="24"/>
  <c r="AD264" i="24"/>
  <c r="AC264" i="24"/>
  <c r="AB264" i="24"/>
  <c r="BX263" i="24"/>
  <c r="BW263" i="24"/>
  <c r="BV263" i="24"/>
  <c r="BU263" i="24"/>
  <c r="BT263" i="24"/>
  <c r="BS263" i="24"/>
  <c r="BR263" i="24"/>
  <c r="BQ263" i="24"/>
  <c r="BP263" i="24"/>
  <c r="BO263" i="24"/>
  <c r="BN263" i="24"/>
  <c r="BM263" i="24"/>
  <c r="BL263" i="24"/>
  <c r="BK263" i="24"/>
  <c r="BJ263" i="24"/>
  <c r="BI263" i="24"/>
  <c r="BH263" i="24"/>
  <c r="BG263" i="24"/>
  <c r="BF263" i="24"/>
  <c r="BE263" i="24"/>
  <c r="BD263" i="24"/>
  <c r="BC263" i="24"/>
  <c r="BB263" i="24"/>
  <c r="BA263" i="24"/>
  <c r="AY263" i="24"/>
  <c r="AX263" i="24"/>
  <c r="AW263" i="24"/>
  <c r="AV263" i="24"/>
  <c r="AU263" i="24"/>
  <c r="AT263" i="24"/>
  <c r="AS263" i="24"/>
  <c r="AR263" i="24"/>
  <c r="AQ263" i="24"/>
  <c r="AP263" i="24"/>
  <c r="AO263" i="24"/>
  <c r="AN263" i="24"/>
  <c r="AM263" i="24"/>
  <c r="AL263" i="24"/>
  <c r="AK263" i="24"/>
  <c r="AJ263" i="24"/>
  <c r="AI263" i="24"/>
  <c r="AH263" i="24"/>
  <c r="AG263" i="24"/>
  <c r="AF263" i="24"/>
  <c r="AE263" i="24"/>
  <c r="AD263" i="24"/>
  <c r="AC263" i="24"/>
  <c r="AB263" i="24"/>
  <c r="BX262" i="24"/>
  <c r="BW262" i="24"/>
  <c r="BV262" i="24"/>
  <c r="BU262" i="24"/>
  <c r="BT262" i="24"/>
  <c r="BS262" i="24"/>
  <c r="BR262" i="24"/>
  <c r="BQ262" i="24"/>
  <c r="BP262" i="24"/>
  <c r="BO262" i="24"/>
  <c r="BN262" i="24"/>
  <c r="BM262" i="24"/>
  <c r="BL262" i="24"/>
  <c r="BK262" i="24"/>
  <c r="BJ262" i="24"/>
  <c r="BI262" i="24"/>
  <c r="BH262" i="24"/>
  <c r="BG262" i="24"/>
  <c r="BF262" i="24"/>
  <c r="BE262" i="24"/>
  <c r="BD262" i="24"/>
  <c r="BC262" i="24"/>
  <c r="BB262" i="24"/>
  <c r="BA262" i="24"/>
  <c r="AY262" i="24"/>
  <c r="AX262" i="24"/>
  <c r="AW262" i="24"/>
  <c r="AV262" i="24"/>
  <c r="AU262" i="24"/>
  <c r="AT262" i="24"/>
  <c r="AS262" i="24"/>
  <c r="AR262" i="24"/>
  <c r="AQ262" i="24"/>
  <c r="AP262" i="24"/>
  <c r="AO262" i="24"/>
  <c r="AN262" i="24"/>
  <c r="AM262" i="24"/>
  <c r="AL262" i="24"/>
  <c r="AK262" i="24"/>
  <c r="AJ262" i="24"/>
  <c r="AI262" i="24"/>
  <c r="AH262" i="24"/>
  <c r="AG262" i="24"/>
  <c r="AF262" i="24"/>
  <c r="AE262" i="24"/>
  <c r="AD262" i="24"/>
  <c r="AC262" i="24"/>
  <c r="AB262" i="24"/>
  <c r="BX261" i="24"/>
  <c r="BW261" i="24"/>
  <c r="BV261" i="24"/>
  <c r="BU261" i="24"/>
  <c r="BT261" i="24"/>
  <c r="BS261" i="24"/>
  <c r="BR261" i="24"/>
  <c r="BQ261" i="24"/>
  <c r="BP261" i="24"/>
  <c r="BO261" i="24"/>
  <c r="BN261" i="24"/>
  <c r="BM261" i="24"/>
  <c r="BL261" i="24"/>
  <c r="BK261" i="24"/>
  <c r="BJ261" i="24"/>
  <c r="BI261" i="24"/>
  <c r="BH261" i="24"/>
  <c r="BG261" i="24"/>
  <c r="BF261" i="24"/>
  <c r="BE261" i="24"/>
  <c r="BD261" i="24"/>
  <c r="BC261" i="24"/>
  <c r="BB261" i="24"/>
  <c r="BA261" i="24"/>
  <c r="AY261" i="24"/>
  <c r="AX261" i="24"/>
  <c r="AW261" i="24"/>
  <c r="AV261" i="24"/>
  <c r="AU261" i="24"/>
  <c r="AT261" i="24"/>
  <c r="AS261" i="24"/>
  <c r="AR261" i="24"/>
  <c r="AQ261" i="24"/>
  <c r="AP261" i="24"/>
  <c r="AO261" i="24"/>
  <c r="AN261" i="24"/>
  <c r="AM261" i="24"/>
  <c r="AL261" i="24"/>
  <c r="AK261" i="24"/>
  <c r="AJ261" i="24"/>
  <c r="AI261" i="24"/>
  <c r="AH261" i="24"/>
  <c r="AG261" i="24"/>
  <c r="AF261" i="24"/>
  <c r="AE261" i="24"/>
  <c r="AD261" i="24"/>
  <c r="AC261" i="24"/>
  <c r="AB261" i="24"/>
  <c r="BX260" i="24"/>
  <c r="BW260" i="24"/>
  <c r="BV260" i="24"/>
  <c r="BU260" i="24"/>
  <c r="BT260" i="24"/>
  <c r="BS260" i="24"/>
  <c r="BR260" i="24"/>
  <c r="BQ260" i="24"/>
  <c r="BP260" i="24"/>
  <c r="BO260" i="24"/>
  <c r="BN260" i="24"/>
  <c r="BM260" i="24"/>
  <c r="BL260" i="24"/>
  <c r="BK260" i="24"/>
  <c r="BJ260" i="24"/>
  <c r="BI260" i="24"/>
  <c r="BH260" i="24"/>
  <c r="BG260" i="24"/>
  <c r="BF260" i="24"/>
  <c r="BE260" i="24"/>
  <c r="BD260" i="24"/>
  <c r="BC260" i="24"/>
  <c r="BB260" i="24"/>
  <c r="BA260" i="24"/>
  <c r="AY260" i="24"/>
  <c r="AX260" i="24"/>
  <c r="AW260" i="24"/>
  <c r="AV260" i="24"/>
  <c r="AU260" i="24"/>
  <c r="AT260" i="24"/>
  <c r="AS260" i="24"/>
  <c r="AR260" i="24"/>
  <c r="AQ260" i="24"/>
  <c r="AP260" i="24"/>
  <c r="AO260" i="24"/>
  <c r="AN260" i="24"/>
  <c r="AM260" i="24"/>
  <c r="AL260" i="24"/>
  <c r="AK260" i="24"/>
  <c r="AJ260" i="24"/>
  <c r="AI260" i="24"/>
  <c r="AH260" i="24"/>
  <c r="AG260" i="24"/>
  <c r="AF260" i="24"/>
  <c r="AE260" i="24"/>
  <c r="AD260" i="24"/>
  <c r="AC260" i="24"/>
  <c r="AB260" i="24"/>
  <c r="BX259" i="24"/>
  <c r="BW259" i="24"/>
  <c r="BV259" i="24"/>
  <c r="BU259" i="24"/>
  <c r="BT259" i="24"/>
  <c r="BS259" i="24"/>
  <c r="BR259" i="24"/>
  <c r="BQ259" i="24"/>
  <c r="BP259" i="24"/>
  <c r="BO259" i="24"/>
  <c r="BN259" i="24"/>
  <c r="BM259" i="24"/>
  <c r="BL259" i="24"/>
  <c r="BK259" i="24"/>
  <c r="BJ259" i="24"/>
  <c r="BI259" i="24"/>
  <c r="BH259" i="24"/>
  <c r="BG259" i="24"/>
  <c r="BF259" i="24"/>
  <c r="BE259" i="24"/>
  <c r="BD259" i="24"/>
  <c r="BC259" i="24"/>
  <c r="BB259" i="24"/>
  <c r="BA259" i="24"/>
  <c r="AY259" i="24"/>
  <c r="AX259" i="24"/>
  <c r="AW259" i="24"/>
  <c r="AV259" i="24"/>
  <c r="AU259" i="24"/>
  <c r="AT259" i="24"/>
  <c r="AS259" i="24"/>
  <c r="AR259" i="24"/>
  <c r="AQ259" i="24"/>
  <c r="AP259" i="24"/>
  <c r="AO259" i="24"/>
  <c r="AN259" i="24"/>
  <c r="AM259" i="24"/>
  <c r="AL259" i="24"/>
  <c r="AK259" i="24"/>
  <c r="AJ259" i="24"/>
  <c r="AI259" i="24"/>
  <c r="AH259" i="24"/>
  <c r="AG259" i="24"/>
  <c r="AF259" i="24"/>
  <c r="AE259" i="24"/>
  <c r="AD259" i="24"/>
  <c r="AC259" i="24"/>
  <c r="AB259" i="24"/>
  <c r="BX258" i="24"/>
  <c r="BW258" i="24"/>
  <c r="BV258" i="24"/>
  <c r="BU258" i="24"/>
  <c r="BT258" i="24"/>
  <c r="BS258" i="24"/>
  <c r="BR258" i="24"/>
  <c r="BQ258" i="24"/>
  <c r="BP258" i="24"/>
  <c r="BO258" i="24"/>
  <c r="BN258" i="24"/>
  <c r="BM258" i="24"/>
  <c r="BL258" i="24"/>
  <c r="BK258" i="24"/>
  <c r="BJ258" i="24"/>
  <c r="BI258" i="24"/>
  <c r="BH258" i="24"/>
  <c r="BG258" i="24"/>
  <c r="BF258" i="24"/>
  <c r="BE258" i="24"/>
  <c r="BD258" i="24"/>
  <c r="BC258" i="24"/>
  <c r="BB258" i="24"/>
  <c r="BA258" i="24"/>
  <c r="AY258" i="24"/>
  <c r="AX258" i="24"/>
  <c r="AW258" i="24"/>
  <c r="AV258" i="24"/>
  <c r="AU258" i="24"/>
  <c r="AT258" i="24"/>
  <c r="AS258" i="24"/>
  <c r="AR258" i="24"/>
  <c r="AQ258" i="24"/>
  <c r="AP258" i="24"/>
  <c r="AO258" i="24"/>
  <c r="AN258" i="24"/>
  <c r="AM258" i="24"/>
  <c r="AL258" i="24"/>
  <c r="AK258" i="24"/>
  <c r="AJ258" i="24"/>
  <c r="AI258" i="24"/>
  <c r="AH258" i="24"/>
  <c r="AG258" i="24"/>
  <c r="AF258" i="24"/>
  <c r="AE258" i="24"/>
  <c r="AD258" i="24"/>
  <c r="AC258" i="24"/>
  <c r="AB258" i="24"/>
  <c r="BX257" i="24"/>
  <c r="BW257" i="24"/>
  <c r="BV257" i="24"/>
  <c r="BU257" i="24"/>
  <c r="BT257" i="24"/>
  <c r="BS257" i="24"/>
  <c r="BR257" i="24"/>
  <c r="BQ257" i="24"/>
  <c r="BP257" i="24"/>
  <c r="BO257" i="24"/>
  <c r="BN257" i="24"/>
  <c r="BM257" i="24"/>
  <c r="BL257" i="24"/>
  <c r="BK257" i="24"/>
  <c r="BJ257" i="24"/>
  <c r="BI257" i="24"/>
  <c r="BH257" i="24"/>
  <c r="BG257" i="24"/>
  <c r="BF257" i="24"/>
  <c r="BE257" i="24"/>
  <c r="BD257" i="24"/>
  <c r="BC257" i="24"/>
  <c r="BB257" i="24"/>
  <c r="BA257" i="24"/>
  <c r="AY257" i="24"/>
  <c r="AX257" i="24"/>
  <c r="AW257" i="24"/>
  <c r="AV257" i="24"/>
  <c r="AU257" i="24"/>
  <c r="AT257" i="24"/>
  <c r="AS257" i="24"/>
  <c r="AR257" i="24"/>
  <c r="AQ257" i="24"/>
  <c r="AP257" i="24"/>
  <c r="AO257" i="24"/>
  <c r="AN257" i="24"/>
  <c r="AM257" i="24"/>
  <c r="AL257" i="24"/>
  <c r="AK257" i="24"/>
  <c r="AJ257" i="24"/>
  <c r="AI257" i="24"/>
  <c r="AH257" i="24"/>
  <c r="AG257" i="24"/>
  <c r="AF257" i="24"/>
  <c r="AE257" i="24"/>
  <c r="AD257" i="24"/>
  <c r="AC257" i="24"/>
  <c r="AB257" i="24"/>
  <c r="BX256" i="24"/>
  <c r="BW256" i="24"/>
  <c r="BV256" i="24"/>
  <c r="BU256" i="24"/>
  <c r="BT256" i="24"/>
  <c r="BS256" i="24"/>
  <c r="BR256" i="24"/>
  <c r="BQ256" i="24"/>
  <c r="BP256" i="24"/>
  <c r="BO256" i="24"/>
  <c r="BN256" i="24"/>
  <c r="BM256" i="24"/>
  <c r="BL256" i="24"/>
  <c r="BK256" i="24"/>
  <c r="BJ256" i="24"/>
  <c r="BI256" i="24"/>
  <c r="BH256" i="24"/>
  <c r="BG256" i="24"/>
  <c r="BF256" i="24"/>
  <c r="BE256" i="24"/>
  <c r="BD256" i="24"/>
  <c r="BC256" i="24"/>
  <c r="BB256" i="24"/>
  <c r="BA256" i="24"/>
  <c r="AY256" i="24"/>
  <c r="AX256" i="24"/>
  <c r="AW256" i="24"/>
  <c r="AV256" i="24"/>
  <c r="AU256" i="24"/>
  <c r="AT256" i="24"/>
  <c r="AS256" i="24"/>
  <c r="AR256" i="24"/>
  <c r="AQ256" i="24"/>
  <c r="AP256" i="24"/>
  <c r="AO256" i="24"/>
  <c r="AN256" i="24"/>
  <c r="AM256" i="24"/>
  <c r="AL256" i="24"/>
  <c r="AK256" i="24"/>
  <c r="AJ256" i="24"/>
  <c r="AI256" i="24"/>
  <c r="AH256" i="24"/>
  <c r="AG256" i="24"/>
  <c r="AF256" i="24"/>
  <c r="AE256" i="24"/>
  <c r="AD256" i="24"/>
  <c r="AC256" i="24"/>
  <c r="AB256" i="24"/>
  <c r="BX255" i="24"/>
  <c r="BW255" i="24"/>
  <c r="BV255" i="24"/>
  <c r="BU255" i="24"/>
  <c r="BT255" i="24"/>
  <c r="BS255" i="24"/>
  <c r="BR255" i="24"/>
  <c r="BQ255" i="24"/>
  <c r="BP255" i="24"/>
  <c r="BO255" i="24"/>
  <c r="BN255" i="24"/>
  <c r="BM255" i="24"/>
  <c r="BL255" i="24"/>
  <c r="BK255" i="24"/>
  <c r="BJ255" i="24"/>
  <c r="BI255" i="24"/>
  <c r="BH255" i="24"/>
  <c r="BG255" i="24"/>
  <c r="BF255" i="24"/>
  <c r="BE255" i="24"/>
  <c r="BD255" i="24"/>
  <c r="BC255" i="24"/>
  <c r="BB255" i="24"/>
  <c r="BA255" i="24"/>
  <c r="AY255" i="24"/>
  <c r="AX255" i="24"/>
  <c r="AW255" i="24"/>
  <c r="AV255" i="24"/>
  <c r="AU255" i="24"/>
  <c r="AT255" i="24"/>
  <c r="AS255" i="24"/>
  <c r="AR255" i="24"/>
  <c r="AQ255" i="24"/>
  <c r="AP255" i="24"/>
  <c r="AO255" i="24"/>
  <c r="AN255" i="24"/>
  <c r="AM255" i="24"/>
  <c r="AL255" i="24"/>
  <c r="AK255" i="24"/>
  <c r="AJ255" i="24"/>
  <c r="AI255" i="24"/>
  <c r="AH255" i="24"/>
  <c r="AG255" i="24"/>
  <c r="AF255" i="24"/>
  <c r="AE255" i="24"/>
  <c r="AD255" i="24"/>
  <c r="AC255" i="24"/>
  <c r="AB255" i="24"/>
  <c r="BX254" i="24"/>
  <c r="BW254" i="24"/>
  <c r="BV254" i="24"/>
  <c r="BU254" i="24"/>
  <c r="BT254" i="24"/>
  <c r="BS254" i="24"/>
  <c r="BR254" i="24"/>
  <c r="BQ254" i="24"/>
  <c r="BP254" i="24"/>
  <c r="BO254" i="24"/>
  <c r="BN254" i="24"/>
  <c r="BM254" i="24"/>
  <c r="BL254" i="24"/>
  <c r="BK254" i="24"/>
  <c r="BJ254" i="24"/>
  <c r="BI254" i="24"/>
  <c r="BH254" i="24"/>
  <c r="BG254" i="24"/>
  <c r="BF254" i="24"/>
  <c r="BE254" i="24"/>
  <c r="BD254" i="24"/>
  <c r="BC254" i="24"/>
  <c r="BB254" i="24"/>
  <c r="BA254" i="24"/>
  <c r="AY254" i="24"/>
  <c r="AX254" i="24"/>
  <c r="AW254" i="24"/>
  <c r="AV254" i="24"/>
  <c r="AU254" i="24"/>
  <c r="AT254" i="24"/>
  <c r="AS254" i="24"/>
  <c r="AR254" i="24"/>
  <c r="AQ254" i="24"/>
  <c r="AP254" i="24"/>
  <c r="AO254" i="24"/>
  <c r="AN254" i="24"/>
  <c r="AM254" i="24"/>
  <c r="AL254" i="24"/>
  <c r="AK254" i="24"/>
  <c r="AJ254" i="24"/>
  <c r="AI254" i="24"/>
  <c r="AH254" i="24"/>
  <c r="AG254" i="24"/>
  <c r="AF254" i="24"/>
  <c r="AE254" i="24"/>
  <c r="AD254" i="24"/>
  <c r="AC254" i="24"/>
  <c r="BX253" i="24"/>
  <c r="BW253" i="24"/>
  <c r="BV253" i="24"/>
  <c r="BU253" i="24"/>
  <c r="BT253" i="24"/>
  <c r="BS253" i="24"/>
  <c r="BR253" i="24"/>
  <c r="BQ253" i="24"/>
  <c r="BP253" i="24"/>
  <c r="BO253" i="24"/>
  <c r="BN253" i="24"/>
  <c r="BM253" i="24"/>
  <c r="BL253" i="24"/>
  <c r="BK253" i="24"/>
  <c r="BJ253" i="24"/>
  <c r="BI253" i="24"/>
  <c r="BH253" i="24"/>
  <c r="BG253" i="24"/>
  <c r="BF253" i="24"/>
  <c r="BE253" i="24"/>
  <c r="BD253" i="24"/>
  <c r="BC253" i="24"/>
  <c r="BB253" i="24"/>
  <c r="BA253" i="24"/>
  <c r="AY253" i="24"/>
  <c r="AX253" i="24"/>
  <c r="AW253" i="24"/>
  <c r="AV253" i="24"/>
  <c r="AU253" i="24"/>
  <c r="AT253" i="24"/>
  <c r="AS253" i="24"/>
  <c r="AR253" i="24"/>
  <c r="AQ253" i="24"/>
  <c r="AP253" i="24"/>
  <c r="AO253" i="24"/>
  <c r="AN253" i="24"/>
  <c r="AM253" i="24"/>
  <c r="AL253" i="24"/>
  <c r="AK253" i="24"/>
  <c r="AJ253" i="24"/>
  <c r="AI253" i="24"/>
  <c r="AH253" i="24"/>
  <c r="AG253" i="24"/>
  <c r="AF253" i="24"/>
  <c r="AE253" i="24"/>
  <c r="AD253" i="24"/>
  <c r="AC253" i="24"/>
  <c r="AB253" i="24"/>
  <c r="BX252" i="24"/>
  <c r="BW252" i="24"/>
  <c r="BV252" i="24"/>
  <c r="BU252" i="24"/>
  <c r="BT252" i="24"/>
  <c r="BS252" i="24"/>
  <c r="BR252" i="24"/>
  <c r="BQ252" i="24"/>
  <c r="BP252" i="24"/>
  <c r="BO252" i="24"/>
  <c r="BN252" i="24"/>
  <c r="BM252" i="24"/>
  <c r="BL252" i="24"/>
  <c r="BK252" i="24"/>
  <c r="BJ252" i="24"/>
  <c r="BI252" i="24"/>
  <c r="BH252" i="24"/>
  <c r="BG252" i="24"/>
  <c r="BF252" i="24"/>
  <c r="BE252" i="24"/>
  <c r="BD252" i="24"/>
  <c r="BC252" i="24"/>
  <c r="BB252" i="24"/>
  <c r="BA252" i="24"/>
  <c r="AY252" i="24"/>
  <c r="AX252" i="24"/>
  <c r="AW252" i="24"/>
  <c r="AV252" i="24"/>
  <c r="AU252" i="24"/>
  <c r="AT252" i="24"/>
  <c r="AS252" i="24"/>
  <c r="AR252" i="24"/>
  <c r="AQ252" i="24"/>
  <c r="AP252" i="24"/>
  <c r="AO252" i="24"/>
  <c r="AN252" i="24"/>
  <c r="AM252" i="24"/>
  <c r="AL252" i="24"/>
  <c r="AK252" i="24"/>
  <c r="AJ252" i="24"/>
  <c r="AI252" i="24"/>
  <c r="AH252" i="24"/>
  <c r="AG252" i="24"/>
  <c r="AF252" i="24"/>
  <c r="AE252" i="24"/>
  <c r="AD252" i="24"/>
  <c r="AC252" i="24"/>
  <c r="AB252" i="24"/>
  <c r="BX251" i="24"/>
  <c r="BW251" i="24"/>
  <c r="BV251" i="24"/>
  <c r="BU251" i="24"/>
  <c r="BT251" i="24"/>
  <c r="BS251" i="24"/>
  <c r="BR251" i="24"/>
  <c r="BQ251" i="24"/>
  <c r="BP251" i="24"/>
  <c r="BO251" i="24"/>
  <c r="BN251" i="24"/>
  <c r="BM251" i="24"/>
  <c r="BL251" i="24"/>
  <c r="BK251" i="24"/>
  <c r="BJ251" i="24"/>
  <c r="BI251" i="24"/>
  <c r="BH251" i="24"/>
  <c r="BG251" i="24"/>
  <c r="BF251" i="24"/>
  <c r="BE251" i="24"/>
  <c r="BD251" i="24"/>
  <c r="BC251" i="24"/>
  <c r="BB251" i="24"/>
  <c r="BA251" i="24"/>
  <c r="AY251" i="24"/>
  <c r="AX251" i="24"/>
  <c r="AW251" i="24"/>
  <c r="AV251" i="24"/>
  <c r="AU251" i="24"/>
  <c r="AT251" i="24"/>
  <c r="AS251" i="24"/>
  <c r="AR251" i="24"/>
  <c r="AQ251" i="24"/>
  <c r="AP251" i="24"/>
  <c r="AO251" i="24"/>
  <c r="AN251" i="24"/>
  <c r="AM251" i="24"/>
  <c r="AL251" i="24"/>
  <c r="AK251" i="24"/>
  <c r="AJ251" i="24"/>
  <c r="AI251" i="24"/>
  <c r="AH251" i="24"/>
  <c r="AG251" i="24"/>
  <c r="AF251" i="24"/>
  <c r="AE251" i="24"/>
  <c r="AD251" i="24"/>
  <c r="AC251" i="24"/>
  <c r="AB251" i="24"/>
  <c r="BX250" i="24"/>
  <c r="BW250" i="24"/>
  <c r="BV250" i="24"/>
  <c r="BU250" i="24"/>
  <c r="BT250" i="24"/>
  <c r="BS250" i="24"/>
  <c r="BR250" i="24"/>
  <c r="BQ250" i="24"/>
  <c r="BP250" i="24"/>
  <c r="BO250" i="24"/>
  <c r="BN250" i="24"/>
  <c r="BM250" i="24"/>
  <c r="BL250" i="24"/>
  <c r="BK250" i="24"/>
  <c r="BJ250" i="24"/>
  <c r="BI250" i="24"/>
  <c r="BH250" i="24"/>
  <c r="BG250" i="24"/>
  <c r="BF250" i="24"/>
  <c r="BE250" i="24"/>
  <c r="BD250" i="24"/>
  <c r="BC250" i="24"/>
  <c r="BB250" i="24"/>
  <c r="BA250" i="24"/>
  <c r="AY250" i="24"/>
  <c r="AX250" i="24"/>
  <c r="AW250" i="24"/>
  <c r="AV250" i="24"/>
  <c r="AU250" i="24"/>
  <c r="AT250" i="24"/>
  <c r="AS250" i="24"/>
  <c r="AR250" i="24"/>
  <c r="AQ250" i="24"/>
  <c r="AP250" i="24"/>
  <c r="AO250" i="24"/>
  <c r="AN250" i="24"/>
  <c r="AM250" i="24"/>
  <c r="AL250" i="24"/>
  <c r="AK250" i="24"/>
  <c r="AJ250" i="24"/>
  <c r="AI250" i="24"/>
  <c r="AH250" i="24"/>
  <c r="AG250" i="24"/>
  <c r="AF250" i="24"/>
  <c r="AE250" i="24"/>
  <c r="AD250" i="24"/>
  <c r="AC250" i="24"/>
  <c r="AB250" i="24"/>
  <c r="BX249" i="24"/>
  <c r="BW249" i="24"/>
  <c r="BV249" i="24"/>
  <c r="BU249" i="24"/>
  <c r="BT249" i="24"/>
  <c r="BS249" i="24"/>
  <c r="BR249" i="24"/>
  <c r="BQ249" i="24"/>
  <c r="BP249" i="24"/>
  <c r="BO249" i="24"/>
  <c r="BN249" i="24"/>
  <c r="BM249" i="24"/>
  <c r="BL249" i="24"/>
  <c r="BK249" i="24"/>
  <c r="BJ249" i="24"/>
  <c r="BI249" i="24"/>
  <c r="BH249" i="24"/>
  <c r="BG249" i="24"/>
  <c r="BF249" i="24"/>
  <c r="BE249" i="24"/>
  <c r="BD249" i="24"/>
  <c r="BC249" i="24"/>
  <c r="BB249" i="24"/>
  <c r="BA249" i="24"/>
  <c r="AY249" i="24"/>
  <c r="AX249" i="24"/>
  <c r="AW249" i="24"/>
  <c r="AV249" i="24"/>
  <c r="AU249" i="24"/>
  <c r="AT249" i="24"/>
  <c r="AS249" i="24"/>
  <c r="AR249" i="24"/>
  <c r="AQ249" i="24"/>
  <c r="AP249" i="24"/>
  <c r="AO249" i="24"/>
  <c r="AN249" i="24"/>
  <c r="AM249" i="24"/>
  <c r="AL249" i="24"/>
  <c r="AK249" i="24"/>
  <c r="AJ249" i="24"/>
  <c r="AI249" i="24"/>
  <c r="AH249" i="24"/>
  <c r="AG249" i="24"/>
  <c r="AF249" i="24"/>
  <c r="AE249" i="24"/>
  <c r="AD249" i="24"/>
  <c r="AC249" i="24"/>
  <c r="AB249" i="24"/>
  <c r="BX248" i="24"/>
  <c r="BW248" i="24"/>
  <c r="BV248" i="24"/>
  <c r="BU248" i="24"/>
  <c r="BT248" i="24"/>
  <c r="BS248" i="24"/>
  <c r="BR248" i="24"/>
  <c r="BQ248" i="24"/>
  <c r="BP248" i="24"/>
  <c r="BO248" i="24"/>
  <c r="BN248" i="24"/>
  <c r="BM248" i="24"/>
  <c r="BL248" i="24"/>
  <c r="BK248" i="24"/>
  <c r="BJ248" i="24"/>
  <c r="BI248" i="24"/>
  <c r="BH248" i="24"/>
  <c r="BG248" i="24"/>
  <c r="BF248" i="24"/>
  <c r="BE248" i="24"/>
  <c r="BD248" i="24"/>
  <c r="BC248" i="24"/>
  <c r="BB248" i="24"/>
  <c r="BA248" i="24"/>
  <c r="AY248" i="24"/>
  <c r="AX248" i="24"/>
  <c r="AW248" i="24"/>
  <c r="AV248" i="24"/>
  <c r="AU248" i="24"/>
  <c r="AT248" i="24"/>
  <c r="AS248" i="24"/>
  <c r="AR248" i="24"/>
  <c r="AQ248" i="24"/>
  <c r="AP248" i="24"/>
  <c r="AO248" i="24"/>
  <c r="AN248" i="24"/>
  <c r="AM248" i="24"/>
  <c r="AL248" i="24"/>
  <c r="AK248" i="24"/>
  <c r="AJ248" i="24"/>
  <c r="AI248" i="24"/>
  <c r="AH248" i="24"/>
  <c r="AG248" i="24"/>
  <c r="AF248" i="24"/>
  <c r="AE248" i="24"/>
  <c r="AD248" i="24"/>
  <c r="AC248" i="24"/>
  <c r="AB248" i="24"/>
  <c r="BX247" i="24"/>
  <c r="BW247" i="24"/>
  <c r="BV247" i="24"/>
  <c r="BU247" i="24"/>
  <c r="BT247" i="24"/>
  <c r="BS247" i="24"/>
  <c r="BR247" i="24"/>
  <c r="BQ247" i="24"/>
  <c r="BP247" i="24"/>
  <c r="BO247" i="24"/>
  <c r="BN247" i="24"/>
  <c r="BM247" i="24"/>
  <c r="BL247" i="24"/>
  <c r="BK247" i="24"/>
  <c r="BJ247" i="24"/>
  <c r="BI247" i="24"/>
  <c r="BH247" i="24"/>
  <c r="BG247" i="24"/>
  <c r="BF247" i="24"/>
  <c r="BE247" i="24"/>
  <c r="BD247" i="24"/>
  <c r="BC247" i="24"/>
  <c r="BB247" i="24"/>
  <c r="BA247" i="24"/>
  <c r="AY247" i="24"/>
  <c r="AX247" i="24"/>
  <c r="AW247" i="24"/>
  <c r="AV247" i="24"/>
  <c r="AU247" i="24"/>
  <c r="AT247" i="24"/>
  <c r="AS247" i="24"/>
  <c r="AR247" i="24"/>
  <c r="AQ247" i="24"/>
  <c r="AP247" i="24"/>
  <c r="AO247" i="24"/>
  <c r="AN247" i="24"/>
  <c r="AM247" i="24"/>
  <c r="AL247" i="24"/>
  <c r="AK247" i="24"/>
  <c r="AJ247" i="24"/>
  <c r="AI247" i="24"/>
  <c r="AH247" i="24"/>
  <c r="AG247" i="24"/>
  <c r="AF247" i="24"/>
  <c r="AE247" i="24"/>
  <c r="AD247" i="24"/>
  <c r="AC247" i="24"/>
  <c r="AB247" i="24"/>
  <c r="BX246" i="24"/>
  <c r="BW246" i="24"/>
  <c r="BV246" i="24"/>
  <c r="BU246" i="24"/>
  <c r="BT246" i="24"/>
  <c r="BS246" i="24"/>
  <c r="BR246" i="24"/>
  <c r="BQ246" i="24"/>
  <c r="BP246" i="24"/>
  <c r="BO246" i="24"/>
  <c r="BN246" i="24"/>
  <c r="BM246" i="24"/>
  <c r="BL246" i="24"/>
  <c r="BK246" i="24"/>
  <c r="BJ246" i="24"/>
  <c r="BI246" i="24"/>
  <c r="BH246" i="24"/>
  <c r="BG246" i="24"/>
  <c r="BF246" i="24"/>
  <c r="BE246" i="24"/>
  <c r="BD246" i="24"/>
  <c r="BC246" i="24"/>
  <c r="BB246" i="24"/>
  <c r="BA246" i="24"/>
  <c r="AY246" i="24"/>
  <c r="AX246" i="24"/>
  <c r="AW246" i="24"/>
  <c r="AV246" i="24"/>
  <c r="AU246" i="24"/>
  <c r="AT246" i="24"/>
  <c r="AS246" i="24"/>
  <c r="AR246" i="24"/>
  <c r="AQ246" i="24"/>
  <c r="AP246" i="24"/>
  <c r="AO246" i="24"/>
  <c r="AN246" i="24"/>
  <c r="AM246" i="24"/>
  <c r="AL246" i="24"/>
  <c r="AK246" i="24"/>
  <c r="AJ246" i="24"/>
  <c r="AI246" i="24"/>
  <c r="AH246" i="24"/>
  <c r="AG246" i="24"/>
  <c r="AF246" i="24"/>
  <c r="AE246" i="24"/>
  <c r="AD246" i="24"/>
  <c r="AC246" i="24"/>
  <c r="AB246" i="24"/>
  <c r="BX245" i="24"/>
  <c r="BW245" i="24"/>
  <c r="BV245" i="24"/>
  <c r="BU245" i="24"/>
  <c r="BT245" i="24"/>
  <c r="BS245" i="24"/>
  <c r="BR245" i="24"/>
  <c r="BQ245" i="24"/>
  <c r="BP245" i="24"/>
  <c r="BO245" i="24"/>
  <c r="BN245" i="24"/>
  <c r="BM245" i="24"/>
  <c r="BL245" i="24"/>
  <c r="BK245" i="24"/>
  <c r="BJ245" i="24"/>
  <c r="BI245" i="24"/>
  <c r="BH245" i="24"/>
  <c r="BG245" i="24"/>
  <c r="BF245" i="24"/>
  <c r="BE245" i="24"/>
  <c r="BD245" i="24"/>
  <c r="BC245" i="24"/>
  <c r="BB245" i="24"/>
  <c r="BA245" i="24"/>
  <c r="AY245" i="24"/>
  <c r="AX245" i="24"/>
  <c r="AW245" i="24"/>
  <c r="AV245" i="24"/>
  <c r="AU245" i="24"/>
  <c r="AT245" i="24"/>
  <c r="AS245" i="24"/>
  <c r="AR245" i="24"/>
  <c r="AQ245" i="24"/>
  <c r="AP245" i="24"/>
  <c r="AO245" i="24"/>
  <c r="AN245" i="24"/>
  <c r="AM245" i="24"/>
  <c r="AL245" i="24"/>
  <c r="AK245" i="24"/>
  <c r="AJ245" i="24"/>
  <c r="AI245" i="24"/>
  <c r="AH245" i="24"/>
  <c r="AG245" i="24"/>
  <c r="AF245" i="24"/>
  <c r="AE245" i="24"/>
  <c r="AD245" i="24"/>
  <c r="AC245" i="24"/>
  <c r="AB245" i="24"/>
  <c r="BX244" i="24"/>
  <c r="BW244" i="24"/>
  <c r="BV244" i="24"/>
  <c r="BU244" i="24"/>
  <c r="BT244" i="24"/>
  <c r="BS244" i="24"/>
  <c r="BR244" i="24"/>
  <c r="BQ244" i="24"/>
  <c r="BP244" i="24"/>
  <c r="BO244" i="24"/>
  <c r="BN244" i="24"/>
  <c r="BM244" i="24"/>
  <c r="BL244" i="24"/>
  <c r="BK244" i="24"/>
  <c r="BJ244" i="24"/>
  <c r="BI244" i="24"/>
  <c r="BH244" i="24"/>
  <c r="BG244" i="24"/>
  <c r="BF244" i="24"/>
  <c r="BE244" i="24"/>
  <c r="BD244" i="24"/>
  <c r="BC244" i="24"/>
  <c r="BB244" i="24"/>
  <c r="BA244" i="24"/>
  <c r="AY244" i="24"/>
  <c r="AX244" i="24"/>
  <c r="AW244" i="24"/>
  <c r="AV244" i="24"/>
  <c r="AU244" i="24"/>
  <c r="AT244" i="24"/>
  <c r="AS244" i="24"/>
  <c r="AR244" i="24"/>
  <c r="AQ244" i="24"/>
  <c r="AP244" i="24"/>
  <c r="AO244" i="24"/>
  <c r="AN244" i="24"/>
  <c r="AM244" i="24"/>
  <c r="AL244" i="24"/>
  <c r="AK244" i="24"/>
  <c r="AJ244" i="24"/>
  <c r="AI244" i="24"/>
  <c r="AH244" i="24"/>
  <c r="AG244" i="24"/>
  <c r="AF244" i="24"/>
  <c r="AE244" i="24"/>
  <c r="AD244" i="24"/>
  <c r="AC244" i="24"/>
  <c r="AB244" i="24"/>
  <c r="BX243" i="24"/>
  <c r="BW243" i="24"/>
  <c r="BV243" i="24"/>
  <c r="BU243" i="24"/>
  <c r="BT243" i="24"/>
  <c r="BS243" i="24"/>
  <c r="BR243" i="24"/>
  <c r="BQ243" i="24"/>
  <c r="BP243" i="24"/>
  <c r="BO243" i="24"/>
  <c r="BN243" i="24"/>
  <c r="BM243" i="24"/>
  <c r="BL243" i="24"/>
  <c r="BK243" i="24"/>
  <c r="BJ243" i="24"/>
  <c r="BI243" i="24"/>
  <c r="BH243" i="24"/>
  <c r="BG243" i="24"/>
  <c r="BF243" i="24"/>
  <c r="BE243" i="24"/>
  <c r="BD243" i="24"/>
  <c r="BC243" i="24"/>
  <c r="BB243" i="24"/>
  <c r="BA243" i="24"/>
  <c r="AY243" i="24"/>
  <c r="AX243" i="24"/>
  <c r="AW243" i="24"/>
  <c r="AV243" i="24"/>
  <c r="AU243" i="24"/>
  <c r="AT243" i="24"/>
  <c r="AS243" i="24"/>
  <c r="AR243" i="24"/>
  <c r="AQ243" i="24"/>
  <c r="AP243" i="24"/>
  <c r="AO243" i="24"/>
  <c r="AN243" i="24"/>
  <c r="AM243" i="24"/>
  <c r="AL243" i="24"/>
  <c r="AK243" i="24"/>
  <c r="AJ243" i="24"/>
  <c r="AI243" i="24"/>
  <c r="AH243" i="24"/>
  <c r="AG243" i="24"/>
  <c r="AF243" i="24"/>
  <c r="AE243" i="24"/>
  <c r="AD243" i="24"/>
  <c r="AC243" i="24"/>
  <c r="AB243" i="24"/>
  <c r="BX242" i="24"/>
  <c r="BW242" i="24"/>
  <c r="BV242" i="24"/>
  <c r="BU242" i="24"/>
  <c r="BT242" i="24"/>
  <c r="BS242" i="24"/>
  <c r="BR242" i="24"/>
  <c r="BQ242" i="24"/>
  <c r="BP242" i="24"/>
  <c r="BO242" i="24"/>
  <c r="BN242" i="24"/>
  <c r="BM242" i="24"/>
  <c r="BL242" i="24"/>
  <c r="BK242" i="24"/>
  <c r="BJ242" i="24"/>
  <c r="BI242" i="24"/>
  <c r="BH242" i="24"/>
  <c r="BG242" i="24"/>
  <c r="BF242" i="24"/>
  <c r="BE242" i="24"/>
  <c r="BD242" i="24"/>
  <c r="BC242" i="24"/>
  <c r="BB242" i="24"/>
  <c r="BA242" i="24"/>
  <c r="AY242" i="24"/>
  <c r="AX242" i="24"/>
  <c r="AW242" i="24"/>
  <c r="AV242" i="24"/>
  <c r="AU242" i="24"/>
  <c r="AT242" i="24"/>
  <c r="AS242" i="24"/>
  <c r="AR242" i="24"/>
  <c r="AQ242" i="24"/>
  <c r="AP242" i="24"/>
  <c r="AO242" i="24"/>
  <c r="AN242" i="24"/>
  <c r="AM242" i="24"/>
  <c r="AL242" i="24"/>
  <c r="AK242" i="24"/>
  <c r="AJ242" i="24"/>
  <c r="AI242" i="24"/>
  <c r="AH242" i="24"/>
  <c r="AG242" i="24"/>
  <c r="AF242" i="24"/>
  <c r="AE242" i="24"/>
  <c r="AD242" i="24"/>
  <c r="AC242" i="24"/>
  <c r="AB242" i="24"/>
  <c r="BX241" i="24"/>
  <c r="BW241" i="24"/>
  <c r="BV241" i="24"/>
  <c r="BU241" i="24"/>
  <c r="BT241" i="24"/>
  <c r="BS241" i="24"/>
  <c r="BR241" i="24"/>
  <c r="BQ241" i="24"/>
  <c r="BP241" i="24"/>
  <c r="BO241" i="24"/>
  <c r="BN241" i="24"/>
  <c r="BM241" i="24"/>
  <c r="BL241" i="24"/>
  <c r="BK241" i="24"/>
  <c r="BJ241" i="24"/>
  <c r="BI241" i="24"/>
  <c r="BH241" i="24"/>
  <c r="BG241" i="24"/>
  <c r="BF241" i="24"/>
  <c r="BE241" i="24"/>
  <c r="BD241" i="24"/>
  <c r="BC241" i="24"/>
  <c r="BB241" i="24"/>
  <c r="BA241" i="24"/>
  <c r="AY241" i="24"/>
  <c r="AX241" i="24"/>
  <c r="AW241" i="24"/>
  <c r="AV241" i="24"/>
  <c r="AU241" i="24"/>
  <c r="AT241" i="24"/>
  <c r="AS241" i="24"/>
  <c r="AR241" i="24"/>
  <c r="AQ241" i="24"/>
  <c r="AP241" i="24"/>
  <c r="AO241" i="24"/>
  <c r="AN241" i="24"/>
  <c r="AM241" i="24"/>
  <c r="AL241" i="24"/>
  <c r="AK241" i="24"/>
  <c r="AJ241" i="24"/>
  <c r="AI241" i="24"/>
  <c r="AH241" i="24"/>
  <c r="AG241" i="24"/>
  <c r="AF241" i="24"/>
  <c r="AE241" i="24"/>
  <c r="AD241" i="24"/>
  <c r="AC241" i="24"/>
  <c r="AB241" i="24"/>
  <c r="BX240" i="24"/>
  <c r="BW240" i="24"/>
  <c r="BV240" i="24"/>
  <c r="BU240" i="24"/>
  <c r="BT240" i="24"/>
  <c r="BS240" i="24"/>
  <c r="BR240" i="24"/>
  <c r="BQ240" i="24"/>
  <c r="BP240" i="24"/>
  <c r="BO240" i="24"/>
  <c r="BN240" i="24"/>
  <c r="BM240" i="24"/>
  <c r="BL240" i="24"/>
  <c r="BK240" i="24"/>
  <c r="BJ240" i="24"/>
  <c r="BI240" i="24"/>
  <c r="BH240" i="24"/>
  <c r="BG240" i="24"/>
  <c r="BF240" i="24"/>
  <c r="BE240" i="24"/>
  <c r="BD240" i="24"/>
  <c r="BC240" i="24"/>
  <c r="BB240" i="24"/>
  <c r="BA240" i="24"/>
  <c r="AY240" i="24"/>
  <c r="AX240" i="24"/>
  <c r="AW240" i="24"/>
  <c r="AV240" i="24"/>
  <c r="AU240" i="24"/>
  <c r="AT240" i="24"/>
  <c r="AS240" i="24"/>
  <c r="AR240" i="24"/>
  <c r="AQ240" i="24"/>
  <c r="AP240" i="24"/>
  <c r="AO240" i="24"/>
  <c r="AN240" i="24"/>
  <c r="AM240" i="24"/>
  <c r="AL240" i="24"/>
  <c r="AK240" i="24"/>
  <c r="AJ240" i="24"/>
  <c r="AI240" i="24"/>
  <c r="AH240" i="24"/>
  <c r="AG240" i="24"/>
  <c r="AF240" i="24"/>
  <c r="AE240" i="24"/>
  <c r="AD240" i="24"/>
  <c r="AC240" i="24"/>
  <c r="AB240" i="24"/>
  <c r="BX239" i="24"/>
  <c r="BW239" i="24"/>
  <c r="BV239" i="24"/>
  <c r="BU239" i="24"/>
  <c r="BT239" i="24"/>
  <c r="BS239" i="24"/>
  <c r="BR239" i="24"/>
  <c r="BQ239" i="24"/>
  <c r="BP239" i="24"/>
  <c r="BO239" i="24"/>
  <c r="BN239" i="24"/>
  <c r="BM239" i="24"/>
  <c r="BL239" i="24"/>
  <c r="BK239" i="24"/>
  <c r="BJ239" i="24"/>
  <c r="BI239" i="24"/>
  <c r="BH239" i="24"/>
  <c r="BG239" i="24"/>
  <c r="BF239" i="24"/>
  <c r="BE239" i="24"/>
  <c r="BD239" i="24"/>
  <c r="BC239" i="24"/>
  <c r="BB239" i="24"/>
  <c r="BA239" i="24"/>
  <c r="AY239" i="24"/>
  <c r="AX239" i="24"/>
  <c r="AW239" i="24"/>
  <c r="AV239" i="24"/>
  <c r="AU239" i="24"/>
  <c r="AT239" i="24"/>
  <c r="AS239" i="24"/>
  <c r="AR239" i="24"/>
  <c r="AQ239" i="24"/>
  <c r="AP239" i="24"/>
  <c r="AO239" i="24"/>
  <c r="AN239" i="24"/>
  <c r="AM239" i="24"/>
  <c r="AL239" i="24"/>
  <c r="AK239" i="24"/>
  <c r="AJ239" i="24"/>
  <c r="AI239" i="24"/>
  <c r="AH239" i="24"/>
  <c r="AG239" i="24"/>
  <c r="AF239" i="24"/>
  <c r="AE239" i="24"/>
  <c r="AD239" i="24"/>
  <c r="AC239" i="24"/>
  <c r="AB239" i="24"/>
  <c r="BX238" i="24"/>
  <c r="BW238" i="24"/>
  <c r="BV238" i="24"/>
  <c r="BU238" i="24"/>
  <c r="BT238" i="24"/>
  <c r="BS238" i="24"/>
  <c r="BR238" i="24"/>
  <c r="BQ238" i="24"/>
  <c r="BP238" i="24"/>
  <c r="BO238" i="24"/>
  <c r="BN238" i="24"/>
  <c r="BM238" i="24"/>
  <c r="BL238" i="24"/>
  <c r="BK238" i="24"/>
  <c r="BJ238" i="24"/>
  <c r="BI238" i="24"/>
  <c r="BH238" i="24"/>
  <c r="BG238" i="24"/>
  <c r="BF238" i="24"/>
  <c r="BE238" i="24"/>
  <c r="BD238" i="24"/>
  <c r="BC238" i="24"/>
  <c r="BB238" i="24"/>
  <c r="BA238" i="24"/>
  <c r="AY238" i="24"/>
  <c r="AX238" i="24"/>
  <c r="AW238" i="24"/>
  <c r="AV238" i="24"/>
  <c r="AU238" i="24"/>
  <c r="AT238" i="24"/>
  <c r="AS238" i="24"/>
  <c r="AR238" i="24"/>
  <c r="AQ238" i="24"/>
  <c r="AP238" i="24"/>
  <c r="AO238" i="24"/>
  <c r="AN238" i="24"/>
  <c r="AM238" i="24"/>
  <c r="AL238" i="24"/>
  <c r="AK238" i="24"/>
  <c r="AJ238" i="24"/>
  <c r="AI238" i="24"/>
  <c r="AH238" i="24"/>
  <c r="AG238" i="24"/>
  <c r="AF238" i="24"/>
  <c r="AE238" i="24"/>
  <c r="AD238" i="24"/>
  <c r="AC238" i="24"/>
  <c r="AB238" i="24"/>
  <c r="BX237" i="24"/>
  <c r="BW237" i="24"/>
  <c r="BV237" i="24"/>
  <c r="BU237" i="24"/>
  <c r="BT237" i="24"/>
  <c r="BS237" i="24"/>
  <c r="BR237" i="24"/>
  <c r="BQ237" i="24"/>
  <c r="BP237" i="24"/>
  <c r="BO237" i="24"/>
  <c r="BN237" i="24"/>
  <c r="BM237" i="24"/>
  <c r="BL237" i="24"/>
  <c r="BK237" i="24"/>
  <c r="BJ237" i="24"/>
  <c r="BI237" i="24"/>
  <c r="BH237" i="24"/>
  <c r="BG237" i="24"/>
  <c r="BF237" i="24"/>
  <c r="BE237" i="24"/>
  <c r="BD237" i="24"/>
  <c r="BC237" i="24"/>
  <c r="BB237" i="24"/>
  <c r="BA237" i="24"/>
  <c r="AY237" i="24"/>
  <c r="AX237" i="24"/>
  <c r="AW237" i="24"/>
  <c r="AV237" i="24"/>
  <c r="AU237" i="24"/>
  <c r="AT237" i="24"/>
  <c r="AS237" i="24"/>
  <c r="AR237" i="24"/>
  <c r="AQ237" i="24"/>
  <c r="AP237" i="24"/>
  <c r="AO237" i="24"/>
  <c r="AN237" i="24"/>
  <c r="AM237" i="24"/>
  <c r="AL237" i="24"/>
  <c r="AK237" i="24"/>
  <c r="AJ237" i="24"/>
  <c r="AI237" i="24"/>
  <c r="AH237" i="24"/>
  <c r="AG237" i="24"/>
  <c r="AF237" i="24"/>
  <c r="AE237" i="24"/>
  <c r="AD237" i="24"/>
  <c r="AC237" i="24"/>
  <c r="AB237" i="24"/>
  <c r="BX236" i="24"/>
  <c r="BW236" i="24"/>
  <c r="BV236" i="24"/>
  <c r="BU236" i="24"/>
  <c r="BT236" i="24"/>
  <c r="BS236" i="24"/>
  <c r="BR236" i="24"/>
  <c r="BQ236" i="24"/>
  <c r="BP236" i="24"/>
  <c r="BO236" i="24"/>
  <c r="BN236" i="24"/>
  <c r="BM236" i="24"/>
  <c r="BL236" i="24"/>
  <c r="BK236" i="24"/>
  <c r="BJ236" i="24"/>
  <c r="BI236" i="24"/>
  <c r="BH236" i="24"/>
  <c r="BG236" i="24"/>
  <c r="BF236" i="24"/>
  <c r="BE236" i="24"/>
  <c r="BD236" i="24"/>
  <c r="BC236" i="24"/>
  <c r="BB236" i="24"/>
  <c r="BA236" i="24"/>
  <c r="AY236" i="24"/>
  <c r="AX236" i="24"/>
  <c r="AW236" i="24"/>
  <c r="AV236" i="24"/>
  <c r="AU236" i="24"/>
  <c r="AT236" i="24"/>
  <c r="AS236" i="24"/>
  <c r="AR236" i="24"/>
  <c r="AQ236" i="24"/>
  <c r="AP236" i="24"/>
  <c r="AO236" i="24"/>
  <c r="AN236" i="24"/>
  <c r="AM236" i="24"/>
  <c r="AL236" i="24"/>
  <c r="AK236" i="24"/>
  <c r="AJ236" i="24"/>
  <c r="AI236" i="24"/>
  <c r="AH236" i="24"/>
  <c r="AG236" i="24"/>
  <c r="AF236" i="24"/>
  <c r="AE236" i="24"/>
  <c r="AD236" i="24"/>
  <c r="AC236" i="24"/>
  <c r="AB236" i="24"/>
  <c r="BX235" i="24"/>
  <c r="BW235" i="24"/>
  <c r="BV235" i="24"/>
  <c r="BU235" i="24"/>
  <c r="BT235" i="24"/>
  <c r="BS235" i="24"/>
  <c r="BR235" i="24"/>
  <c r="BQ235" i="24"/>
  <c r="BP235" i="24"/>
  <c r="BO235" i="24"/>
  <c r="BN235" i="24"/>
  <c r="BM235" i="24"/>
  <c r="BL235" i="24"/>
  <c r="BK235" i="24"/>
  <c r="BJ235" i="24"/>
  <c r="BI235" i="24"/>
  <c r="BH235" i="24"/>
  <c r="BG235" i="24"/>
  <c r="BF235" i="24"/>
  <c r="BE235" i="24"/>
  <c r="BD235" i="24"/>
  <c r="BC235" i="24"/>
  <c r="BB235" i="24"/>
  <c r="BA235" i="24"/>
  <c r="AY235" i="24"/>
  <c r="AX235" i="24"/>
  <c r="AW235" i="24"/>
  <c r="AV235" i="24"/>
  <c r="AU235" i="24"/>
  <c r="AT235" i="24"/>
  <c r="AS235" i="24"/>
  <c r="AR235" i="24"/>
  <c r="AQ235" i="24"/>
  <c r="AP235" i="24"/>
  <c r="AO235" i="24"/>
  <c r="AN235" i="24"/>
  <c r="AM235" i="24"/>
  <c r="AL235" i="24"/>
  <c r="AK235" i="24"/>
  <c r="AJ235" i="24"/>
  <c r="AI235" i="24"/>
  <c r="AH235" i="24"/>
  <c r="AG235" i="24"/>
  <c r="AF235" i="24"/>
  <c r="AE235" i="24"/>
  <c r="AD235" i="24"/>
  <c r="AC235" i="24"/>
  <c r="AB235" i="24"/>
  <c r="BX234" i="24"/>
  <c r="BW234" i="24"/>
  <c r="BV234" i="24"/>
  <c r="BU234" i="24"/>
  <c r="BT234" i="24"/>
  <c r="BS234" i="24"/>
  <c r="BR234" i="24"/>
  <c r="BQ234" i="24"/>
  <c r="BP234" i="24"/>
  <c r="BO234" i="24"/>
  <c r="BN234" i="24"/>
  <c r="BM234" i="24"/>
  <c r="BL234" i="24"/>
  <c r="BK234" i="24"/>
  <c r="BJ234" i="24"/>
  <c r="BI234" i="24"/>
  <c r="BH234" i="24"/>
  <c r="BG234" i="24"/>
  <c r="BF234" i="24"/>
  <c r="BE234" i="24"/>
  <c r="BD234" i="24"/>
  <c r="BC234" i="24"/>
  <c r="BB234" i="24"/>
  <c r="BA234" i="24"/>
  <c r="AY234" i="24"/>
  <c r="AX234" i="24"/>
  <c r="AW234" i="24"/>
  <c r="AV234" i="24"/>
  <c r="AU234" i="24"/>
  <c r="AT234" i="24"/>
  <c r="AS234" i="24"/>
  <c r="AR234" i="24"/>
  <c r="AQ234" i="24"/>
  <c r="AP234" i="24"/>
  <c r="AO234" i="24"/>
  <c r="AN234" i="24"/>
  <c r="AM234" i="24"/>
  <c r="AL234" i="24"/>
  <c r="AK234" i="24"/>
  <c r="AJ234" i="24"/>
  <c r="AI234" i="24"/>
  <c r="AH234" i="24"/>
  <c r="AG234" i="24"/>
  <c r="AF234" i="24"/>
  <c r="AE234" i="24"/>
  <c r="AD234" i="24"/>
  <c r="AC234" i="24"/>
  <c r="AB234" i="24"/>
  <c r="BX233" i="24"/>
  <c r="BW233" i="24"/>
  <c r="BV233" i="24"/>
  <c r="BU233" i="24"/>
  <c r="BT233" i="24"/>
  <c r="BS233" i="24"/>
  <c r="BR233" i="24"/>
  <c r="BQ233" i="24"/>
  <c r="BP233" i="24"/>
  <c r="BO233" i="24"/>
  <c r="BN233" i="24"/>
  <c r="BM233" i="24"/>
  <c r="BL233" i="24"/>
  <c r="BK233" i="24"/>
  <c r="BJ233" i="24"/>
  <c r="BI233" i="24"/>
  <c r="BH233" i="24"/>
  <c r="BG233" i="24"/>
  <c r="BF233" i="24"/>
  <c r="BE233" i="24"/>
  <c r="BD233" i="24"/>
  <c r="BC233" i="24"/>
  <c r="BB233" i="24"/>
  <c r="BA233" i="24"/>
  <c r="AY233" i="24"/>
  <c r="AX233" i="24"/>
  <c r="AW233" i="24"/>
  <c r="AV233" i="24"/>
  <c r="AU233" i="24"/>
  <c r="AT233" i="24"/>
  <c r="AS233" i="24"/>
  <c r="AR233" i="24"/>
  <c r="AQ233" i="24"/>
  <c r="AP233" i="24"/>
  <c r="AO233" i="24"/>
  <c r="AN233" i="24"/>
  <c r="AM233" i="24"/>
  <c r="AL233" i="24"/>
  <c r="AK233" i="24"/>
  <c r="AJ233" i="24"/>
  <c r="AI233" i="24"/>
  <c r="AH233" i="24"/>
  <c r="AG233" i="24"/>
  <c r="AF233" i="24"/>
  <c r="AE233" i="24"/>
  <c r="AD233" i="24"/>
  <c r="AC233" i="24"/>
  <c r="AB233" i="24"/>
  <c r="BX232" i="24"/>
  <c r="BW232" i="24"/>
  <c r="BV232" i="24"/>
  <c r="BU232" i="24"/>
  <c r="BT232" i="24"/>
  <c r="BS232" i="24"/>
  <c r="BR232" i="24"/>
  <c r="BQ232" i="24"/>
  <c r="BP232" i="24"/>
  <c r="BO232" i="24"/>
  <c r="BN232" i="24"/>
  <c r="BM232" i="24"/>
  <c r="BL232" i="24"/>
  <c r="BK232" i="24"/>
  <c r="BJ232" i="24"/>
  <c r="BI232" i="24"/>
  <c r="BH232" i="24"/>
  <c r="BG232" i="24"/>
  <c r="BF232" i="24"/>
  <c r="BE232" i="24"/>
  <c r="BD232" i="24"/>
  <c r="BC232" i="24"/>
  <c r="BB232" i="24"/>
  <c r="BA232" i="24"/>
  <c r="AY232" i="24"/>
  <c r="AX232" i="24"/>
  <c r="AW232" i="24"/>
  <c r="AV232" i="24"/>
  <c r="AU232" i="24"/>
  <c r="AT232" i="24"/>
  <c r="AS232" i="24"/>
  <c r="AR232" i="24"/>
  <c r="AQ232" i="24"/>
  <c r="AP232" i="24"/>
  <c r="AO232" i="24"/>
  <c r="AN232" i="24"/>
  <c r="AM232" i="24"/>
  <c r="AL232" i="24"/>
  <c r="AK232" i="24"/>
  <c r="AJ232" i="24"/>
  <c r="AI232" i="24"/>
  <c r="AH232" i="24"/>
  <c r="AG232" i="24"/>
  <c r="AF232" i="24"/>
  <c r="AE232" i="24"/>
  <c r="AD232" i="24"/>
  <c r="AC232" i="24"/>
  <c r="AB232" i="24"/>
  <c r="BX231" i="24"/>
  <c r="BW231" i="24"/>
  <c r="BV231" i="24"/>
  <c r="BU231" i="24"/>
  <c r="BT231" i="24"/>
  <c r="BS231" i="24"/>
  <c r="BR231" i="24"/>
  <c r="BQ231" i="24"/>
  <c r="BP231" i="24"/>
  <c r="BO231" i="24"/>
  <c r="BN231" i="24"/>
  <c r="BM231" i="24"/>
  <c r="BL231" i="24"/>
  <c r="BK231" i="24"/>
  <c r="BJ231" i="24"/>
  <c r="BI231" i="24"/>
  <c r="BH231" i="24"/>
  <c r="BG231" i="24"/>
  <c r="BF231" i="24"/>
  <c r="BE231" i="24"/>
  <c r="BD231" i="24"/>
  <c r="BC231" i="24"/>
  <c r="BB231" i="24"/>
  <c r="BA231" i="24"/>
  <c r="AY231" i="24"/>
  <c r="AX231" i="24"/>
  <c r="AW231" i="24"/>
  <c r="AV231" i="24"/>
  <c r="AU231" i="24"/>
  <c r="AT231" i="24"/>
  <c r="AS231" i="24"/>
  <c r="AR231" i="24"/>
  <c r="AQ231" i="24"/>
  <c r="AP231" i="24"/>
  <c r="AO231" i="24"/>
  <c r="AN231" i="24"/>
  <c r="AM231" i="24"/>
  <c r="AL231" i="24"/>
  <c r="AK231" i="24"/>
  <c r="AJ231" i="24"/>
  <c r="AI231" i="24"/>
  <c r="AH231" i="24"/>
  <c r="AG231" i="24"/>
  <c r="AF231" i="24"/>
  <c r="AE231" i="24"/>
  <c r="AD231" i="24"/>
  <c r="AC231" i="24"/>
  <c r="AB231" i="24"/>
  <c r="BX230" i="24"/>
  <c r="BW230" i="24"/>
  <c r="BV230" i="24"/>
  <c r="BU230" i="24"/>
  <c r="BT230" i="24"/>
  <c r="BS230" i="24"/>
  <c r="BR230" i="24"/>
  <c r="BQ230" i="24"/>
  <c r="BP230" i="24"/>
  <c r="BO230" i="24"/>
  <c r="BN230" i="24"/>
  <c r="BM230" i="24"/>
  <c r="BL230" i="24"/>
  <c r="BK230" i="24"/>
  <c r="BJ230" i="24"/>
  <c r="BI230" i="24"/>
  <c r="BH230" i="24"/>
  <c r="BG230" i="24"/>
  <c r="BF230" i="24"/>
  <c r="BE230" i="24"/>
  <c r="BD230" i="24"/>
  <c r="BC230" i="24"/>
  <c r="BB230" i="24"/>
  <c r="BA230" i="24"/>
  <c r="AY230" i="24"/>
  <c r="AX230" i="24"/>
  <c r="AW230" i="24"/>
  <c r="AV230" i="24"/>
  <c r="AU230" i="24"/>
  <c r="AT230" i="24"/>
  <c r="AS230" i="24"/>
  <c r="AR230" i="24"/>
  <c r="AQ230" i="24"/>
  <c r="AP230" i="24"/>
  <c r="AO230" i="24"/>
  <c r="AN230" i="24"/>
  <c r="AM230" i="24"/>
  <c r="AL230" i="24"/>
  <c r="AK230" i="24"/>
  <c r="AJ230" i="24"/>
  <c r="AI230" i="24"/>
  <c r="AH230" i="24"/>
  <c r="AG230" i="24"/>
  <c r="AF230" i="24"/>
  <c r="AE230" i="24"/>
  <c r="AD230" i="24"/>
  <c r="AC230" i="24"/>
  <c r="AB230" i="24"/>
  <c r="BX229" i="24"/>
  <c r="BW229" i="24"/>
  <c r="BV229" i="24"/>
  <c r="BU229" i="24"/>
  <c r="BT229" i="24"/>
  <c r="BS229" i="24"/>
  <c r="BR229" i="24"/>
  <c r="BQ229" i="24"/>
  <c r="BP229" i="24"/>
  <c r="BO229" i="24"/>
  <c r="BN229" i="24"/>
  <c r="BM229" i="24"/>
  <c r="BL229" i="24"/>
  <c r="BK229" i="24"/>
  <c r="BJ229" i="24"/>
  <c r="BI229" i="24"/>
  <c r="BH229" i="24"/>
  <c r="BG229" i="24"/>
  <c r="BF229" i="24"/>
  <c r="BE229" i="24"/>
  <c r="BD229" i="24"/>
  <c r="BC229" i="24"/>
  <c r="BB229" i="24"/>
  <c r="BA229" i="24"/>
  <c r="AY229" i="24"/>
  <c r="AX229" i="24"/>
  <c r="AW229" i="24"/>
  <c r="AV229" i="24"/>
  <c r="AU229" i="24"/>
  <c r="AT229" i="24"/>
  <c r="AS229" i="24"/>
  <c r="AR229" i="24"/>
  <c r="AQ229" i="24"/>
  <c r="AP229" i="24"/>
  <c r="AO229" i="24"/>
  <c r="AN229" i="24"/>
  <c r="AM229" i="24"/>
  <c r="AL229" i="24"/>
  <c r="AK229" i="24"/>
  <c r="AJ229" i="24"/>
  <c r="AI229" i="24"/>
  <c r="AH229" i="24"/>
  <c r="AG229" i="24"/>
  <c r="AF229" i="24"/>
  <c r="AE229" i="24"/>
  <c r="AD229" i="24"/>
  <c r="AC229" i="24"/>
  <c r="AB229" i="24"/>
  <c r="BX228" i="24"/>
  <c r="BW228" i="24"/>
  <c r="BV228" i="24"/>
  <c r="BU228" i="24"/>
  <c r="BT228" i="24"/>
  <c r="BS228" i="24"/>
  <c r="BR228" i="24"/>
  <c r="BQ228" i="24"/>
  <c r="BP228" i="24"/>
  <c r="BO228" i="24"/>
  <c r="BN228" i="24"/>
  <c r="BM228" i="24"/>
  <c r="BL228" i="24"/>
  <c r="BK228" i="24"/>
  <c r="BJ228" i="24"/>
  <c r="BI228" i="24"/>
  <c r="BH228" i="24"/>
  <c r="BG228" i="24"/>
  <c r="BF228" i="24"/>
  <c r="BE228" i="24"/>
  <c r="BD228" i="24"/>
  <c r="BC228" i="24"/>
  <c r="BB228" i="24"/>
  <c r="BA228" i="24"/>
  <c r="AY228" i="24"/>
  <c r="AX228" i="24"/>
  <c r="AW228" i="24"/>
  <c r="AV228" i="24"/>
  <c r="AU228" i="24"/>
  <c r="AT228" i="24"/>
  <c r="AS228" i="24"/>
  <c r="AR228" i="24"/>
  <c r="AQ228" i="24"/>
  <c r="AP228" i="24"/>
  <c r="AO228" i="24"/>
  <c r="AN228" i="24"/>
  <c r="AM228" i="24"/>
  <c r="AL228" i="24"/>
  <c r="AK228" i="24"/>
  <c r="AJ228" i="24"/>
  <c r="AI228" i="24"/>
  <c r="AH228" i="24"/>
  <c r="AG228" i="24"/>
  <c r="AF228" i="24"/>
  <c r="AE228" i="24"/>
  <c r="AD228" i="24"/>
  <c r="AC228" i="24"/>
  <c r="AB228" i="24"/>
  <c r="BX227" i="24"/>
  <c r="BW227" i="24"/>
  <c r="BV227" i="24"/>
  <c r="BU227" i="24"/>
  <c r="BT227" i="24"/>
  <c r="BS227" i="24"/>
  <c r="BR227" i="24"/>
  <c r="BQ227" i="24"/>
  <c r="BP227" i="24"/>
  <c r="BO227" i="24"/>
  <c r="BN227" i="24"/>
  <c r="BM227" i="24"/>
  <c r="BL227" i="24"/>
  <c r="BK227" i="24"/>
  <c r="BJ227" i="24"/>
  <c r="BI227" i="24"/>
  <c r="BH227" i="24"/>
  <c r="BG227" i="24"/>
  <c r="BF227" i="24"/>
  <c r="BE227" i="24"/>
  <c r="BD227" i="24"/>
  <c r="BC227" i="24"/>
  <c r="BB227" i="24"/>
  <c r="BA227" i="24"/>
  <c r="AY227" i="24"/>
  <c r="AX227" i="24"/>
  <c r="AW227" i="24"/>
  <c r="AV227" i="24"/>
  <c r="AU227" i="24"/>
  <c r="AT227" i="24"/>
  <c r="AS227" i="24"/>
  <c r="AR227" i="24"/>
  <c r="AQ227" i="24"/>
  <c r="AP227" i="24"/>
  <c r="AO227" i="24"/>
  <c r="AN227" i="24"/>
  <c r="AM227" i="24"/>
  <c r="AL227" i="24"/>
  <c r="AK227" i="24"/>
  <c r="AJ227" i="24"/>
  <c r="AI227" i="24"/>
  <c r="AH227" i="24"/>
  <c r="AG227" i="24"/>
  <c r="AF227" i="24"/>
  <c r="AE227" i="24"/>
  <c r="AD227" i="24"/>
  <c r="AC227" i="24"/>
  <c r="AB227" i="24"/>
  <c r="BX226" i="24"/>
  <c r="BW226" i="24"/>
  <c r="BV226" i="24"/>
  <c r="BU226" i="24"/>
  <c r="BT226" i="24"/>
  <c r="BS226" i="24"/>
  <c r="BR226" i="24"/>
  <c r="BQ226" i="24"/>
  <c r="BP226" i="24"/>
  <c r="BO226" i="24"/>
  <c r="BN226" i="24"/>
  <c r="BM226" i="24"/>
  <c r="BL226" i="24"/>
  <c r="BK226" i="24"/>
  <c r="BJ226" i="24"/>
  <c r="BI226" i="24"/>
  <c r="BH226" i="24"/>
  <c r="BG226" i="24"/>
  <c r="BF226" i="24"/>
  <c r="BE226" i="24"/>
  <c r="BD226" i="24"/>
  <c r="BC226" i="24"/>
  <c r="BB226" i="24"/>
  <c r="BA226" i="24"/>
  <c r="AY226" i="24"/>
  <c r="AX226" i="24"/>
  <c r="AW226" i="24"/>
  <c r="AV226" i="24"/>
  <c r="AU226" i="24"/>
  <c r="AT226" i="24"/>
  <c r="AS226" i="24"/>
  <c r="AR226" i="24"/>
  <c r="AQ226" i="24"/>
  <c r="AP226" i="24"/>
  <c r="AO226" i="24"/>
  <c r="AN226" i="24"/>
  <c r="AM226" i="24"/>
  <c r="AL226" i="24"/>
  <c r="AK226" i="24"/>
  <c r="AJ226" i="24"/>
  <c r="AI226" i="24"/>
  <c r="AH226" i="24"/>
  <c r="AG226" i="24"/>
  <c r="AF226" i="24"/>
  <c r="AE226" i="24"/>
  <c r="AD226" i="24"/>
  <c r="AC226" i="24"/>
  <c r="AB226" i="24"/>
  <c r="BX225" i="24"/>
  <c r="BW225" i="24"/>
  <c r="BV225" i="24"/>
  <c r="BU225" i="24"/>
  <c r="BT225" i="24"/>
  <c r="BS225" i="24"/>
  <c r="BR225" i="24"/>
  <c r="BQ225" i="24"/>
  <c r="BP225" i="24"/>
  <c r="BO225" i="24"/>
  <c r="BN225" i="24"/>
  <c r="BM225" i="24"/>
  <c r="BL225" i="24"/>
  <c r="BK225" i="24"/>
  <c r="BJ225" i="24"/>
  <c r="BI225" i="24"/>
  <c r="BH225" i="24"/>
  <c r="BG225" i="24"/>
  <c r="BF225" i="24"/>
  <c r="BE225" i="24"/>
  <c r="BD225" i="24"/>
  <c r="BC225" i="24"/>
  <c r="BB225" i="24"/>
  <c r="BA225" i="24"/>
  <c r="AY225" i="24"/>
  <c r="AX225" i="24"/>
  <c r="AW225" i="24"/>
  <c r="AV225" i="24"/>
  <c r="AU225" i="24"/>
  <c r="AT225" i="24"/>
  <c r="AS225" i="24"/>
  <c r="AR225" i="24"/>
  <c r="AQ225" i="24"/>
  <c r="AP225" i="24"/>
  <c r="AO225" i="24"/>
  <c r="AN225" i="24"/>
  <c r="AM225" i="24"/>
  <c r="AL225" i="24"/>
  <c r="AK225" i="24"/>
  <c r="AJ225" i="24"/>
  <c r="AI225" i="24"/>
  <c r="AH225" i="24"/>
  <c r="AG225" i="24"/>
  <c r="AF225" i="24"/>
  <c r="AE225" i="24"/>
  <c r="AD225" i="24"/>
  <c r="AC225" i="24"/>
  <c r="AB225" i="24"/>
  <c r="BX224" i="24"/>
  <c r="BW224" i="24"/>
  <c r="BV224" i="24"/>
  <c r="BU224" i="24"/>
  <c r="BT224" i="24"/>
  <c r="BS224" i="24"/>
  <c r="BR224" i="24"/>
  <c r="BQ224" i="24"/>
  <c r="BP224" i="24"/>
  <c r="BO224" i="24"/>
  <c r="BN224" i="24"/>
  <c r="BM224" i="24"/>
  <c r="BL224" i="24"/>
  <c r="BK224" i="24"/>
  <c r="BJ224" i="24"/>
  <c r="BI224" i="24"/>
  <c r="BH224" i="24"/>
  <c r="BG224" i="24"/>
  <c r="BF224" i="24"/>
  <c r="BE224" i="24"/>
  <c r="BD224" i="24"/>
  <c r="BC224" i="24"/>
  <c r="BB224" i="24"/>
  <c r="BA224" i="24"/>
  <c r="AY224" i="24"/>
  <c r="AX224" i="24"/>
  <c r="AW224" i="24"/>
  <c r="AV224" i="24"/>
  <c r="AU224" i="24"/>
  <c r="AT224" i="24"/>
  <c r="AS224" i="24"/>
  <c r="AR224" i="24"/>
  <c r="AQ224" i="24"/>
  <c r="AP224" i="24"/>
  <c r="AO224" i="24"/>
  <c r="AN224" i="24"/>
  <c r="AM224" i="24"/>
  <c r="AL224" i="24"/>
  <c r="AK224" i="24"/>
  <c r="AJ224" i="24"/>
  <c r="AI224" i="24"/>
  <c r="AH224" i="24"/>
  <c r="AG224" i="24"/>
  <c r="AF224" i="24"/>
  <c r="AE224" i="24"/>
  <c r="AD224" i="24"/>
  <c r="AC224" i="24"/>
  <c r="AB224" i="24"/>
  <c r="BX223" i="24"/>
  <c r="BW223" i="24"/>
  <c r="BV223" i="24"/>
  <c r="BU223" i="24"/>
  <c r="BT223" i="24"/>
  <c r="BS223" i="24"/>
  <c r="BR223" i="24"/>
  <c r="BQ223" i="24"/>
  <c r="BP223" i="24"/>
  <c r="BO223" i="24"/>
  <c r="BN223" i="24"/>
  <c r="BM223" i="24"/>
  <c r="BL223" i="24"/>
  <c r="BK223" i="24"/>
  <c r="BJ223" i="24"/>
  <c r="BI223" i="24"/>
  <c r="BH223" i="24"/>
  <c r="BG223" i="24"/>
  <c r="BF223" i="24"/>
  <c r="BE223" i="24"/>
  <c r="BD223" i="24"/>
  <c r="BC223" i="24"/>
  <c r="BB223" i="24"/>
  <c r="BA223" i="24"/>
  <c r="AY223" i="24"/>
  <c r="AX223" i="24"/>
  <c r="AW223" i="24"/>
  <c r="AV223" i="24"/>
  <c r="AU223" i="24"/>
  <c r="AT223" i="24"/>
  <c r="AS223" i="24"/>
  <c r="AR223" i="24"/>
  <c r="AQ223" i="24"/>
  <c r="AP223" i="24"/>
  <c r="AO223" i="24"/>
  <c r="AN223" i="24"/>
  <c r="AM223" i="24"/>
  <c r="AL223" i="24"/>
  <c r="AK223" i="24"/>
  <c r="AJ223" i="24"/>
  <c r="AI223" i="24"/>
  <c r="AH223" i="24"/>
  <c r="AG223" i="24"/>
  <c r="AF223" i="24"/>
  <c r="AE223" i="24"/>
  <c r="AD223" i="24"/>
  <c r="AC223" i="24"/>
  <c r="AB223" i="24"/>
  <c r="BX222" i="24"/>
  <c r="BW222" i="24"/>
  <c r="BV222" i="24"/>
  <c r="BU222" i="24"/>
  <c r="BT222" i="24"/>
  <c r="BS222" i="24"/>
  <c r="BR222" i="24"/>
  <c r="BQ222" i="24"/>
  <c r="BP222" i="24"/>
  <c r="BO222" i="24"/>
  <c r="BN222" i="24"/>
  <c r="BM222" i="24"/>
  <c r="BL222" i="24"/>
  <c r="BK222" i="24"/>
  <c r="BJ222" i="24"/>
  <c r="BI222" i="24"/>
  <c r="BH222" i="24"/>
  <c r="BG222" i="24"/>
  <c r="BF222" i="24"/>
  <c r="BE222" i="24"/>
  <c r="BD222" i="24"/>
  <c r="BC222" i="24"/>
  <c r="BB222" i="24"/>
  <c r="BA222" i="24"/>
  <c r="AY222" i="24"/>
  <c r="AX222" i="24"/>
  <c r="AW222" i="24"/>
  <c r="AV222" i="24"/>
  <c r="AU222" i="24"/>
  <c r="AT222" i="24"/>
  <c r="AS222" i="24"/>
  <c r="AR222" i="24"/>
  <c r="AQ222" i="24"/>
  <c r="AP222" i="24"/>
  <c r="AO222" i="24"/>
  <c r="AN222" i="24"/>
  <c r="AM222" i="24"/>
  <c r="AL222" i="24"/>
  <c r="AK222" i="24"/>
  <c r="AJ222" i="24"/>
  <c r="AI222" i="24"/>
  <c r="AH222" i="24"/>
  <c r="AG222" i="24"/>
  <c r="AF222" i="24"/>
  <c r="AE222" i="24"/>
  <c r="AD222" i="24"/>
  <c r="AC222" i="24"/>
  <c r="AB222" i="24"/>
  <c r="BX221" i="24"/>
  <c r="BW221" i="24"/>
  <c r="BV221" i="24"/>
  <c r="BU221" i="24"/>
  <c r="BT221" i="24"/>
  <c r="BS221" i="24"/>
  <c r="BR221" i="24"/>
  <c r="BQ221" i="24"/>
  <c r="BP221" i="24"/>
  <c r="BO221" i="24"/>
  <c r="BN221" i="24"/>
  <c r="BM221" i="24"/>
  <c r="BL221" i="24"/>
  <c r="BK221" i="24"/>
  <c r="BJ221" i="24"/>
  <c r="BI221" i="24"/>
  <c r="BH221" i="24"/>
  <c r="BG221" i="24"/>
  <c r="BF221" i="24"/>
  <c r="BE221" i="24"/>
  <c r="BD221" i="24"/>
  <c r="BC221" i="24"/>
  <c r="BB221" i="24"/>
  <c r="BA221" i="24"/>
  <c r="AY221" i="24"/>
  <c r="AX221" i="24"/>
  <c r="AW221" i="24"/>
  <c r="AV221" i="24"/>
  <c r="AU221" i="24"/>
  <c r="AT221" i="24"/>
  <c r="AS221" i="24"/>
  <c r="AR221" i="24"/>
  <c r="AQ221" i="24"/>
  <c r="AP221" i="24"/>
  <c r="AO221" i="24"/>
  <c r="AN221" i="24"/>
  <c r="AM221" i="24"/>
  <c r="AL221" i="24"/>
  <c r="AK221" i="24"/>
  <c r="AJ221" i="24"/>
  <c r="AI221" i="24"/>
  <c r="AH221" i="24"/>
  <c r="AG221" i="24"/>
  <c r="AF221" i="24"/>
  <c r="AE221" i="24"/>
  <c r="AD221" i="24"/>
  <c r="AC221" i="24"/>
  <c r="AB221" i="24"/>
  <c r="BX220" i="24"/>
  <c r="BW220" i="24"/>
  <c r="BV220" i="24"/>
  <c r="BU220" i="24"/>
  <c r="BT220" i="24"/>
  <c r="BS220" i="24"/>
  <c r="BR220" i="24"/>
  <c r="BQ220" i="24"/>
  <c r="BP220" i="24"/>
  <c r="BO220" i="24"/>
  <c r="BN220" i="24"/>
  <c r="BM220" i="24"/>
  <c r="BL220" i="24"/>
  <c r="BK220" i="24"/>
  <c r="BJ220" i="24"/>
  <c r="BI220" i="24"/>
  <c r="BH220" i="24"/>
  <c r="BG220" i="24"/>
  <c r="BF220" i="24"/>
  <c r="BE220" i="24"/>
  <c r="BD220" i="24"/>
  <c r="BC220" i="24"/>
  <c r="BB220" i="24"/>
  <c r="BA220" i="24"/>
  <c r="AY220" i="24"/>
  <c r="AX220" i="24"/>
  <c r="AW220" i="24"/>
  <c r="AV220" i="24"/>
  <c r="AU220" i="24"/>
  <c r="AT220" i="24"/>
  <c r="AS220" i="24"/>
  <c r="AR220" i="24"/>
  <c r="AQ220" i="24"/>
  <c r="AP220" i="24"/>
  <c r="AO220" i="24"/>
  <c r="AN220" i="24"/>
  <c r="AM220" i="24"/>
  <c r="AL220" i="24"/>
  <c r="AK220" i="24"/>
  <c r="AJ220" i="24"/>
  <c r="AI220" i="24"/>
  <c r="AH220" i="24"/>
  <c r="AG220" i="24"/>
  <c r="AF220" i="24"/>
  <c r="AE220" i="24"/>
  <c r="AD220" i="24"/>
  <c r="AC220" i="24"/>
  <c r="AB220" i="24"/>
  <c r="BX219" i="24"/>
  <c r="BW219" i="24"/>
  <c r="BV219" i="24"/>
  <c r="BU219" i="24"/>
  <c r="BT219" i="24"/>
  <c r="BS219" i="24"/>
  <c r="BR219" i="24"/>
  <c r="BQ219" i="24"/>
  <c r="BP219" i="24"/>
  <c r="BO219" i="24"/>
  <c r="BN219" i="24"/>
  <c r="BM219" i="24"/>
  <c r="BL219" i="24"/>
  <c r="BK219" i="24"/>
  <c r="BJ219" i="24"/>
  <c r="BI219" i="24"/>
  <c r="BH219" i="24"/>
  <c r="BG219" i="24"/>
  <c r="BF219" i="24"/>
  <c r="BE219" i="24"/>
  <c r="BD219" i="24"/>
  <c r="BC219" i="24"/>
  <c r="BB219" i="24"/>
  <c r="BA219" i="24"/>
  <c r="AY219" i="24"/>
  <c r="AX219" i="24"/>
  <c r="AW219" i="24"/>
  <c r="AV219" i="24"/>
  <c r="AU219" i="24"/>
  <c r="AT219" i="24"/>
  <c r="AS219" i="24"/>
  <c r="AR219" i="24"/>
  <c r="AQ219" i="24"/>
  <c r="AP219" i="24"/>
  <c r="AO219" i="24"/>
  <c r="AN219" i="24"/>
  <c r="AM219" i="24"/>
  <c r="AL219" i="24"/>
  <c r="AK219" i="24"/>
  <c r="AJ219" i="24"/>
  <c r="AI219" i="24"/>
  <c r="AH219" i="24"/>
  <c r="AG219" i="24"/>
  <c r="AF219" i="24"/>
  <c r="AE219" i="24"/>
  <c r="AD219" i="24"/>
  <c r="AC219" i="24"/>
  <c r="AB219" i="24"/>
  <c r="BX218" i="24"/>
  <c r="BW218" i="24"/>
  <c r="BV218" i="24"/>
  <c r="BU218" i="24"/>
  <c r="BT218" i="24"/>
  <c r="BS218" i="24"/>
  <c r="BR218" i="24"/>
  <c r="BQ218" i="24"/>
  <c r="BP218" i="24"/>
  <c r="BO218" i="24"/>
  <c r="BN218" i="24"/>
  <c r="BM218" i="24"/>
  <c r="BL218" i="24"/>
  <c r="BK218" i="24"/>
  <c r="BJ218" i="24"/>
  <c r="BI218" i="24"/>
  <c r="BH218" i="24"/>
  <c r="BG218" i="24"/>
  <c r="BF218" i="24"/>
  <c r="BE218" i="24"/>
  <c r="BD218" i="24"/>
  <c r="BC218" i="24"/>
  <c r="BB218" i="24"/>
  <c r="BA218" i="24"/>
  <c r="AY218" i="24"/>
  <c r="AX218" i="24"/>
  <c r="AW218" i="24"/>
  <c r="AV218" i="24"/>
  <c r="AU218" i="24"/>
  <c r="AT218" i="24"/>
  <c r="AS218" i="24"/>
  <c r="AR218" i="24"/>
  <c r="AQ218" i="24"/>
  <c r="AP218" i="24"/>
  <c r="AO218" i="24"/>
  <c r="AN218" i="24"/>
  <c r="AM218" i="24"/>
  <c r="AL218" i="24"/>
  <c r="AK218" i="24"/>
  <c r="AJ218" i="24"/>
  <c r="AI218" i="24"/>
  <c r="AH218" i="24"/>
  <c r="AG218" i="24"/>
  <c r="AF218" i="24"/>
  <c r="AE218" i="24"/>
  <c r="AD218" i="24"/>
  <c r="AC218" i="24"/>
  <c r="AB218" i="24"/>
  <c r="BX217" i="24"/>
  <c r="BW217" i="24"/>
  <c r="BV217" i="24"/>
  <c r="BU217" i="24"/>
  <c r="BT217" i="24"/>
  <c r="BS217" i="24"/>
  <c r="BR217" i="24"/>
  <c r="BQ217" i="24"/>
  <c r="BP217" i="24"/>
  <c r="BO217" i="24"/>
  <c r="BN217" i="24"/>
  <c r="BM217" i="24"/>
  <c r="BL217" i="24"/>
  <c r="BK217" i="24"/>
  <c r="BJ217" i="24"/>
  <c r="BI217" i="24"/>
  <c r="BH217" i="24"/>
  <c r="BG217" i="24"/>
  <c r="BF217" i="24"/>
  <c r="BE217" i="24"/>
  <c r="BD217" i="24"/>
  <c r="BC217" i="24"/>
  <c r="BB217" i="24"/>
  <c r="BA217" i="24"/>
  <c r="AY217" i="24"/>
  <c r="AX217" i="24"/>
  <c r="AW217" i="24"/>
  <c r="AV217" i="24"/>
  <c r="AU217" i="24"/>
  <c r="AT217" i="24"/>
  <c r="AS217" i="24"/>
  <c r="AR217" i="24"/>
  <c r="AQ217" i="24"/>
  <c r="AP217" i="24"/>
  <c r="AO217" i="24"/>
  <c r="AN217" i="24"/>
  <c r="AM217" i="24"/>
  <c r="AL217" i="24"/>
  <c r="AK217" i="24"/>
  <c r="AJ217" i="24"/>
  <c r="AI217" i="24"/>
  <c r="AH217" i="24"/>
  <c r="AG217" i="24"/>
  <c r="AF217" i="24"/>
  <c r="AE217" i="24"/>
  <c r="AD217" i="24"/>
  <c r="AC217" i="24"/>
  <c r="AB217" i="24"/>
  <c r="BX216" i="24"/>
  <c r="BW216" i="24"/>
  <c r="BV216" i="24"/>
  <c r="BU216" i="24"/>
  <c r="BT216" i="24"/>
  <c r="BS216" i="24"/>
  <c r="BR216" i="24"/>
  <c r="BQ216" i="24"/>
  <c r="BP216" i="24"/>
  <c r="BO216" i="24"/>
  <c r="BN216" i="24"/>
  <c r="BM216" i="24"/>
  <c r="BL216" i="24"/>
  <c r="BK216" i="24"/>
  <c r="BJ216" i="24"/>
  <c r="BI216" i="24"/>
  <c r="BH216" i="24"/>
  <c r="BG216" i="24"/>
  <c r="BF216" i="24"/>
  <c r="BE216" i="24"/>
  <c r="BD216" i="24"/>
  <c r="BC216" i="24"/>
  <c r="BB216" i="24"/>
  <c r="BA216" i="24"/>
  <c r="AY216" i="24"/>
  <c r="AX216" i="24"/>
  <c r="AW216" i="24"/>
  <c r="AV216" i="24"/>
  <c r="AU216" i="24"/>
  <c r="AT216" i="24"/>
  <c r="AS216" i="24"/>
  <c r="AR216" i="24"/>
  <c r="AQ216" i="24"/>
  <c r="AP216" i="24"/>
  <c r="AO216" i="24"/>
  <c r="AN216" i="24"/>
  <c r="AM216" i="24"/>
  <c r="AL216" i="24"/>
  <c r="AK216" i="24"/>
  <c r="AJ216" i="24"/>
  <c r="AI216" i="24"/>
  <c r="AH216" i="24"/>
  <c r="AG216" i="24"/>
  <c r="AF216" i="24"/>
  <c r="AE216" i="24"/>
  <c r="AD216" i="24"/>
  <c r="AC216" i="24"/>
  <c r="AB216" i="24"/>
  <c r="BX215" i="24"/>
  <c r="BW215" i="24"/>
  <c r="BV215" i="24"/>
  <c r="BU215" i="24"/>
  <c r="BT215" i="24"/>
  <c r="BS215" i="24"/>
  <c r="BR215" i="24"/>
  <c r="BQ215" i="24"/>
  <c r="BP215" i="24"/>
  <c r="BO215" i="24"/>
  <c r="BN215" i="24"/>
  <c r="BM215" i="24"/>
  <c r="BL215" i="24"/>
  <c r="BK215" i="24"/>
  <c r="BJ215" i="24"/>
  <c r="BI215" i="24"/>
  <c r="BH215" i="24"/>
  <c r="BG215" i="24"/>
  <c r="BF215" i="24"/>
  <c r="BE215" i="24"/>
  <c r="BD215" i="24"/>
  <c r="BC215" i="24"/>
  <c r="BB215" i="24"/>
  <c r="BA215" i="24"/>
  <c r="AY215" i="24"/>
  <c r="AX215" i="24"/>
  <c r="AW215" i="24"/>
  <c r="AV215" i="24"/>
  <c r="AU215" i="24"/>
  <c r="AT215" i="24"/>
  <c r="AS215" i="24"/>
  <c r="AR215" i="24"/>
  <c r="AQ215" i="24"/>
  <c r="AP215" i="24"/>
  <c r="AO215" i="24"/>
  <c r="AN215" i="24"/>
  <c r="AM215" i="24"/>
  <c r="AL215" i="24"/>
  <c r="AK215" i="24"/>
  <c r="AJ215" i="24"/>
  <c r="AI215" i="24"/>
  <c r="AH215" i="24"/>
  <c r="AG215" i="24"/>
  <c r="AF215" i="24"/>
  <c r="AE215" i="24"/>
  <c r="AD215" i="24"/>
  <c r="AC215" i="24"/>
  <c r="AB215" i="24"/>
  <c r="BX214" i="24"/>
  <c r="BW214" i="24"/>
  <c r="BV214" i="24"/>
  <c r="BU214" i="24"/>
  <c r="BT214" i="24"/>
  <c r="BS214" i="24"/>
  <c r="BR214" i="24"/>
  <c r="BQ214" i="24"/>
  <c r="BP214" i="24"/>
  <c r="BO214" i="24"/>
  <c r="BN214" i="24"/>
  <c r="BM214" i="24"/>
  <c r="BL214" i="24"/>
  <c r="BK214" i="24"/>
  <c r="BJ214" i="24"/>
  <c r="BI214" i="24"/>
  <c r="BH214" i="24"/>
  <c r="BG214" i="24"/>
  <c r="BF214" i="24"/>
  <c r="BE214" i="24"/>
  <c r="BD214" i="24"/>
  <c r="BC214" i="24"/>
  <c r="BB214" i="24"/>
  <c r="BA214" i="24"/>
  <c r="AY214" i="24"/>
  <c r="AX214" i="24"/>
  <c r="AW214" i="24"/>
  <c r="AV214" i="24"/>
  <c r="AU214" i="24"/>
  <c r="AT214" i="24"/>
  <c r="AS214" i="24"/>
  <c r="AR214" i="24"/>
  <c r="AQ214" i="24"/>
  <c r="AP214" i="24"/>
  <c r="AO214" i="24"/>
  <c r="AN214" i="24"/>
  <c r="AM214" i="24"/>
  <c r="AL214" i="24"/>
  <c r="AK214" i="24"/>
  <c r="AJ214" i="24"/>
  <c r="AI214" i="24"/>
  <c r="AH214" i="24"/>
  <c r="AG214" i="24"/>
  <c r="AF214" i="24"/>
  <c r="AE214" i="24"/>
  <c r="AD214" i="24"/>
  <c r="AC214" i="24"/>
  <c r="AB214" i="24"/>
  <c r="BX213" i="24"/>
  <c r="BW213" i="24"/>
  <c r="BV213" i="24"/>
  <c r="BU213" i="24"/>
  <c r="BT213" i="24"/>
  <c r="BS213" i="24"/>
  <c r="BR213" i="24"/>
  <c r="BQ213" i="24"/>
  <c r="BP213" i="24"/>
  <c r="BO213" i="24"/>
  <c r="BN213" i="24"/>
  <c r="BM213" i="24"/>
  <c r="BL213" i="24"/>
  <c r="BK213" i="24"/>
  <c r="BJ213" i="24"/>
  <c r="BI213" i="24"/>
  <c r="BH213" i="24"/>
  <c r="BG213" i="24"/>
  <c r="BF213" i="24"/>
  <c r="BE213" i="24"/>
  <c r="BD213" i="24"/>
  <c r="BC213" i="24"/>
  <c r="BB213" i="24"/>
  <c r="BA213" i="24"/>
  <c r="AY213" i="24"/>
  <c r="AX213" i="24"/>
  <c r="AW213" i="24"/>
  <c r="AV213" i="24"/>
  <c r="AU213" i="24"/>
  <c r="AT213" i="24"/>
  <c r="AS213" i="24"/>
  <c r="AR213" i="24"/>
  <c r="AQ213" i="24"/>
  <c r="AP213" i="24"/>
  <c r="AO213" i="24"/>
  <c r="AN213" i="24"/>
  <c r="AM213" i="24"/>
  <c r="AL213" i="24"/>
  <c r="AK213" i="24"/>
  <c r="AJ213" i="24"/>
  <c r="AI213" i="24"/>
  <c r="AH213" i="24"/>
  <c r="AG213" i="24"/>
  <c r="AF213" i="24"/>
  <c r="AE213" i="24"/>
  <c r="AD213" i="24"/>
  <c r="AC213" i="24"/>
  <c r="AB213" i="24"/>
  <c r="BX212" i="24"/>
  <c r="BW212" i="24"/>
  <c r="BV212" i="24"/>
  <c r="BU212" i="24"/>
  <c r="BT212" i="24"/>
  <c r="BS212" i="24"/>
  <c r="BR212" i="24"/>
  <c r="BQ212" i="24"/>
  <c r="BP212" i="24"/>
  <c r="BO212" i="24"/>
  <c r="BN212" i="24"/>
  <c r="BM212" i="24"/>
  <c r="BL212" i="24"/>
  <c r="BK212" i="24"/>
  <c r="BJ212" i="24"/>
  <c r="BI212" i="24"/>
  <c r="BH212" i="24"/>
  <c r="BG212" i="24"/>
  <c r="BF212" i="24"/>
  <c r="BE212" i="24"/>
  <c r="BD212" i="24"/>
  <c r="BC212" i="24"/>
  <c r="BB212" i="24"/>
  <c r="BA212" i="24"/>
  <c r="AY212" i="24"/>
  <c r="AX212" i="24"/>
  <c r="AW212" i="24"/>
  <c r="AV212" i="24"/>
  <c r="AU212" i="24"/>
  <c r="AT212" i="24"/>
  <c r="AS212" i="24"/>
  <c r="AR212" i="24"/>
  <c r="AQ212" i="24"/>
  <c r="AP212" i="24"/>
  <c r="AO212" i="24"/>
  <c r="AN212" i="24"/>
  <c r="AM212" i="24"/>
  <c r="AL212" i="24"/>
  <c r="AK212" i="24"/>
  <c r="AJ212" i="24"/>
  <c r="AI212" i="24"/>
  <c r="AH212" i="24"/>
  <c r="AG212" i="24"/>
  <c r="AF212" i="24"/>
  <c r="AE212" i="24"/>
  <c r="AD212" i="24"/>
  <c r="AC212" i="24"/>
  <c r="AB212" i="24"/>
  <c r="BX211" i="24"/>
  <c r="BW211" i="24"/>
  <c r="BV211" i="24"/>
  <c r="BU211" i="24"/>
  <c r="BT211" i="24"/>
  <c r="BS211" i="24"/>
  <c r="BR211" i="24"/>
  <c r="BQ211" i="24"/>
  <c r="BP211" i="24"/>
  <c r="BO211" i="24"/>
  <c r="BN211" i="24"/>
  <c r="BM211" i="24"/>
  <c r="BL211" i="24"/>
  <c r="BK211" i="24"/>
  <c r="BJ211" i="24"/>
  <c r="BI211" i="24"/>
  <c r="BH211" i="24"/>
  <c r="BG211" i="24"/>
  <c r="BF211" i="24"/>
  <c r="BE211" i="24"/>
  <c r="BD211" i="24"/>
  <c r="BC211" i="24"/>
  <c r="BB211" i="24"/>
  <c r="BA211" i="24"/>
  <c r="AY211" i="24"/>
  <c r="AX211" i="24"/>
  <c r="AW211" i="24"/>
  <c r="AV211" i="24"/>
  <c r="AU211" i="24"/>
  <c r="AT211" i="24"/>
  <c r="AS211" i="24"/>
  <c r="AR211" i="24"/>
  <c r="AQ211" i="24"/>
  <c r="AP211" i="24"/>
  <c r="AO211" i="24"/>
  <c r="AN211" i="24"/>
  <c r="AM211" i="24"/>
  <c r="AL211" i="24"/>
  <c r="AK211" i="24"/>
  <c r="AJ211" i="24"/>
  <c r="AI211" i="24"/>
  <c r="AH211" i="24"/>
  <c r="AG211" i="24"/>
  <c r="AF211" i="24"/>
  <c r="AE211" i="24"/>
  <c r="AD211" i="24"/>
  <c r="AC211" i="24"/>
  <c r="AB211" i="24"/>
  <c r="BX210" i="24"/>
  <c r="BW210" i="24"/>
  <c r="BV210" i="24"/>
  <c r="BU210" i="24"/>
  <c r="BT210" i="24"/>
  <c r="BS210" i="24"/>
  <c r="BR210" i="24"/>
  <c r="BQ210" i="24"/>
  <c r="BP210" i="24"/>
  <c r="BO210" i="24"/>
  <c r="BN210" i="24"/>
  <c r="BM210" i="24"/>
  <c r="BL210" i="24"/>
  <c r="BK210" i="24"/>
  <c r="BJ210" i="24"/>
  <c r="BI210" i="24"/>
  <c r="BH210" i="24"/>
  <c r="BG210" i="24"/>
  <c r="BF210" i="24"/>
  <c r="BE210" i="24"/>
  <c r="BD210" i="24"/>
  <c r="BC210" i="24"/>
  <c r="BB210" i="24"/>
  <c r="BA210" i="24"/>
  <c r="AY210" i="24"/>
  <c r="AX210" i="24"/>
  <c r="AW210" i="24"/>
  <c r="AV210" i="24"/>
  <c r="AU210" i="24"/>
  <c r="AT210" i="24"/>
  <c r="AS210" i="24"/>
  <c r="AR210" i="24"/>
  <c r="AQ210" i="24"/>
  <c r="AP210" i="24"/>
  <c r="AO210" i="24"/>
  <c r="AN210" i="24"/>
  <c r="AM210" i="24"/>
  <c r="AL210" i="24"/>
  <c r="AK210" i="24"/>
  <c r="AJ210" i="24"/>
  <c r="AI210" i="24"/>
  <c r="AH210" i="24"/>
  <c r="AG210" i="24"/>
  <c r="AF210" i="24"/>
  <c r="AE210" i="24"/>
  <c r="AD210" i="24"/>
  <c r="AC210" i="24"/>
  <c r="AB210" i="24"/>
  <c r="BX209" i="24"/>
  <c r="BW209" i="24"/>
  <c r="BV209" i="24"/>
  <c r="BU209" i="24"/>
  <c r="BT209" i="24"/>
  <c r="BS209" i="24"/>
  <c r="BR209" i="24"/>
  <c r="BQ209" i="24"/>
  <c r="BP209" i="24"/>
  <c r="BO209" i="24"/>
  <c r="BN209" i="24"/>
  <c r="BM209" i="24"/>
  <c r="BL209" i="24"/>
  <c r="BK209" i="24"/>
  <c r="BJ209" i="24"/>
  <c r="BI209" i="24"/>
  <c r="BH209" i="24"/>
  <c r="BG209" i="24"/>
  <c r="BF209" i="24"/>
  <c r="BE209" i="24"/>
  <c r="BD209" i="24"/>
  <c r="BC209" i="24"/>
  <c r="BB209" i="24"/>
  <c r="BA209" i="24"/>
  <c r="AY209" i="24"/>
  <c r="AX209" i="24"/>
  <c r="AW209" i="24"/>
  <c r="AV209" i="24"/>
  <c r="AU209" i="24"/>
  <c r="AT209" i="24"/>
  <c r="AS209" i="24"/>
  <c r="AR209" i="24"/>
  <c r="AQ209" i="24"/>
  <c r="AP209" i="24"/>
  <c r="AO209" i="24"/>
  <c r="AN209" i="24"/>
  <c r="AM209" i="24"/>
  <c r="AL209" i="24"/>
  <c r="AK209" i="24"/>
  <c r="AJ209" i="24"/>
  <c r="AI209" i="24"/>
  <c r="AH209" i="24"/>
  <c r="AG209" i="24"/>
  <c r="AF209" i="24"/>
  <c r="AE209" i="24"/>
  <c r="AD209" i="24"/>
  <c r="AC209" i="24"/>
  <c r="AB209" i="24"/>
  <c r="BX208" i="24"/>
  <c r="BW208" i="24"/>
  <c r="BV208" i="24"/>
  <c r="BU208" i="24"/>
  <c r="BT208" i="24"/>
  <c r="BS208" i="24"/>
  <c r="BR208" i="24"/>
  <c r="BQ208" i="24"/>
  <c r="BP208" i="24"/>
  <c r="BO208" i="24"/>
  <c r="BN208" i="24"/>
  <c r="BM208" i="24"/>
  <c r="BL208" i="24"/>
  <c r="BK208" i="24"/>
  <c r="BJ208" i="24"/>
  <c r="BI208" i="24"/>
  <c r="BH208" i="24"/>
  <c r="BG208" i="24"/>
  <c r="BF208" i="24"/>
  <c r="BE208" i="24"/>
  <c r="BD208" i="24"/>
  <c r="BC208" i="24"/>
  <c r="BB208" i="24"/>
  <c r="BA208" i="24"/>
  <c r="AY208" i="24"/>
  <c r="AX208" i="24"/>
  <c r="AW208" i="24"/>
  <c r="AV208" i="24"/>
  <c r="AU208" i="24"/>
  <c r="AT208" i="24"/>
  <c r="AS208" i="24"/>
  <c r="AR208" i="24"/>
  <c r="AQ208" i="24"/>
  <c r="AP208" i="24"/>
  <c r="AO208" i="24"/>
  <c r="AN208" i="24"/>
  <c r="AM208" i="24"/>
  <c r="AL208" i="24"/>
  <c r="AK208" i="24"/>
  <c r="AJ208" i="24"/>
  <c r="AI208" i="24"/>
  <c r="AH208" i="24"/>
  <c r="AG208" i="24"/>
  <c r="AF208" i="24"/>
  <c r="AE208" i="24"/>
  <c r="AD208" i="24"/>
  <c r="AC208" i="24"/>
  <c r="AB208" i="24"/>
  <c r="BX207" i="24"/>
  <c r="BW207" i="24"/>
  <c r="BV207" i="24"/>
  <c r="BU207" i="24"/>
  <c r="BT207" i="24"/>
  <c r="BS207" i="24"/>
  <c r="BR207" i="24"/>
  <c r="BQ207" i="24"/>
  <c r="BP207" i="24"/>
  <c r="BO207" i="24"/>
  <c r="BN207" i="24"/>
  <c r="BM207" i="24"/>
  <c r="BL207" i="24"/>
  <c r="BK207" i="24"/>
  <c r="BJ207" i="24"/>
  <c r="BI207" i="24"/>
  <c r="BH207" i="24"/>
  <c r="BG207" i="24"/>
  <c r="BF207" i="24"/>
  <c r="BE207" i="24"/>
  <c r="BD207" i="24"/>
  <c r="BC207" i="24"/>
  <c r="BB207" i="24"/>
  <c r="BA207" i="24"/>
  <c r="AY207" i="24"/>
  <c r="AX207" i="24"/>
  <c r="AW207" i="24"/>
  <c r="AV207" i="24"/>
  <c r="AU207" i="24"/>
  <c r="AT207" i="24"/>
  <c r="AS207" i="24"/>
  <c r="AR207" i="24"/>
  <c r="AQ207" i="24"/>
  <c r="AP207" i="24"/>
  <c r="AO207" i="24"/>
  <c r="AN207" i="24"/>
  <c r="AM207" i="24"/>
  <c r="AL207" i="24"/>
  <c r="AK207" i="24"/>
  <c r="AJ207" i="24"/>
  <c r="AI207" i="24"/>
  <c r="AH207" i="24"/>
  <c r="AG207" i="24"/>
  <c r="AF207" i="24"/>
  <c r="AE207" i="24"/>
  <c r="AD207" i="24"/>
  <c r="AC207" i="24"/>
  <c r="AB207" i="24"/>
  <c r="BX206" i="24"/>
  <c r="BW206" i="24"/>
  <c r="BV206" i="24"/>
  <c r="BU206" i="24"/>
  <c r="BT206" i="24"/>
  <c r="BS206" i="24"/>
  <c r="BR206" i="24"/>
  <c r="BQ206" i="24"/>
  <c r="BP206" i="24"/>
  <c r="BO206" i="24"/>
  <c r="BN206" i="24"/>
  <c r="BM206" i="24"/>
  <c r="BL206" i="24"/>
  <c r="BK206" i="24"/>
  <c r="BJ206" i="24"/>
  <c r="BI206" i="24"/>
  <c r="BH206" i="24"/>
  <c r="BG206" i="24"/>
  <c r="BF206" i="24"/>
  <c r="BE206" i="24"/>
  <c r="BD206" i="24"/>
  <c r="BC206" i="24"/>
  <c r="BB206" i="24"/>
  <c r="BA206" i="24"/>
  <c r="AY206" i="24"/>
  <c r="AX206" i="24"/>
  <c r="AW206" i="24"/>
  <c r="AV206" i="24"/>
  <c r="AU206" i="24"/>
  <c r="AT206" i="24"/>
  <c r="AS206" i="24"/>
  <c r="AR206" i="24"/>
  <c r="AQ206" i="24"/>
  <c r="AP206" i="24"/>
  <c r="AO206" i="24"/>
  <c r="AN206" i="24"/>
  <c r="AM206" i="24"/>
  <c r="AL206" i="24"/>
  <c r="AK206" i="24"/>
  <c r="AJ206" i="24"/>
  <c r="AI206" i="24"/>
  <c r="AH206" i="24"/>
  <c r="AG206" i="24"/>
  <c r="AF206" i="24"/>
  <c r="AE206" i="24"/>
  <c r="AD206" i="24"/>
  <c r="AC206" i="24"/>
  <c r="AB206" i="24"/>
  <c r="BX205" i="24"/>
  <c r="BW205" i="24"/>
  <c r="BV205" i="24"/>
  <c r="BU205" i="24"/>
  <c r="BT205" i="24"/>
  <c r="BS205" i="24"/>
  <c r="BR205" i="24"/>
  <c r="BQ205" i="24"/>
  <c r="BP205" i="24"/>
  <c r="BO205" i="24"/>
  <c r="BN205" i="24"/>
  <c r="BM205" i="24"/>
  <c r="BL205" i="24"/>
  <c r="BK205" i="24"/>
  <c r="BJ205" i="24"/>
  <c r="BI205" i="24"/>
  <c r="BH205" i="24"/>
  <c r="BG205" i="24"/>
  <c r="BF205" i="24"/>
  <c r="BE205" i="24"/>
  <c r="BD205" i="24"/>
  <c r="BC205" i="24"/>
  <c r="BB205" i="24"/>
  <c r="BA205" i="24"/>
  <c r="AY205" i="24"/>
  <c r="AX205" i="24"/>
  <c r="AW205" i="24"/>
  <c r="AV205" i="24"/>
  <c r="AU205" i="24"/>
  <c r="AT205" i="24"/>
  <c r="AS205" i="24"/>
  <c r="AR205" i="24"/>
  <c r="AQ205" i="24"/>
  <c r="AP205" i="24"/>
  <c r="AO205" i="24"/>
  <c r="AN205" i="24"/>
  <c r="AM205" i="24"/>
  <c r="AL205" i="24"/>
  <c r="AK205" i="24"/>
  <c r="AJ205" i="24"/>
  <c r="AI205" i="24"/>
  <c r="AH205" i="24"/>
  <c r="AG205" i="24"/>
  <c r="AF205" i="24"/>
  <c r="AE205" i="24"/>
  <c r="AD205" i="24"/>
  <c r="AC205" i="24"/>
  <c r="AB205" i="24"/>
  <c r="BX204" i="24"/>
  <c r="BW204" i="24"/>
  <c r="BV204" i="24"/>
  <c r="BU204" i="24"/>
  <c r="BT204" i="24"/>
  <c r="BS204" i="24"/>
  <c r="BR204" i="24"/>
  <c r="BQ204" i="24"/>
  <c r="BP204" i="24"/>
  <c r="BO204" i="24"/>
  <c r="BN204" i="24"/>
  <c r="BM204" i="24"/>
  <c r="BL204" i="24"/>
  <c r="BK204" i="24"/>
  <c r="BJ204" i="24"/>
  <c r="BI204" i="24"/>
  <c r="BH204" i="24"/>
  <c r="BG204" i="24"/>
  <c r="BF204" i="24"/>
  <c r="BE204" i="24"/>
  <c r="BD204" i="24"/>
  <c r="BC204" i="24"/>
  <c r="BB204" i="24"/>
  <c r="BA204" i="24"/>
  <c r="AY204" i="24"/>
  <c r="AX204" i="24"/>
  <c r="AW204" i="24"/>
  <c r="AV204" i="24"/>
  <c r="AU204" i="24"/>
  <c r="AT204" i="24"/>
  <c r="AS204" i="24"/>
  <c r="AR204" i="24"/>
  <c r="AQ204" i="24"/>
  <c r="AP204" i="24"/>
  <c r="AO204" i="24"/>
  <c r="AN204" i="24"/>
  <c r="AM204" i="24"/>
  <c r="AL204" i="24"/>
  <c r="AK204" i="24"/>
  <c r="AJ204" i="24"/>
  <c r="AI204" i="24"/>
  <c r="AH204" i="24"/>
  <c r="AG204" i="24"/>
  <c r="AF204" i="24"/>
  <c r="AE204" i="24"/>
  <c r="AD204" i="24"/>
  <c r="AC204" i="24"/>
  <c r="AB204" i="24"/>
  <c r="BX203" i="24"/>
  <c r="BW203" i="24"/>
  <c r="BV203" i="24"/>
  <c r="BU203" i="24"/>
  <c r="BT203" i="24"/>
  <c r="BS203" i="24"/>
  <c r="BR203" i="24"/>
  <c r="BQ203" i="24"/>
  <c r="BP203" i="24"/>
  <c r="BO203" i="24"/>
  <c r="BN203" i="24"/>
  <c r="BM203" i="24"/>
  <c r="BL203" i="24"/>
  <c r="BK203" i="24"/>
  <c r="BJ203" i="24"/>
  <c r="BI203" i="24"/>
  <c r="BH203" i="24"/>
  <c r="BG203" i="24"/>
  <c r="BF203" i="24"/>
  <c r="BE203" i="24"/>
  <c r="BD203" i="24"/>
  <c r="BC203" i="24"/>
  <c r="BB203" i="24"/>
  <c r="BA203" i="24"/>
  <c r="AY203" i="24"/>
  <c r="AX203" i="24"/>
  <c r="AW203" i="24"/>
  <c r="AV203" i="24"/>
  <c r="AU203" i="24"/>
  <c r="AT203" i="24"/>
  <c r="AS203" i="24"/>
  <c r="AR203" i="24"/>
  <c r="AQ203" i="24"/>
  <c r="AP203" i="24"/>
  <c r="AO203" i="24"/>
  <c r="AN203" i="24"/>
  <c r="AM203" i="24"/>
  <c r="AL203" i="24"/>
  <c r="AK203" i="24"/>
  <c r="AJ203" i="24"/>
  <c r="AI203" i="24"/>
  <c r="AH203" i="24"/>
  <c r="AG203" i="24"/>
  <c r="AF203" i="24"/>
  <c r="AE203" i="24"/>
  <c r="AD203" i="24"/>
  <c r="AC203" i="24"/>
  <c r="AB203" i="24"/>
  <c r="BX202" i="24"/>
  <c r="BW202" i="24"/>
  <c r="BV202" i="24"/>
  <c r="BU202" i="24"/>
  <c r="BT202" i="24"/>
  <c r="BS202" i="24"/>
  <c r="BR202" i="24"/>
  <c r="BQ202" i="24"/>
  <c r="BP202" i="24"/>
  <c r="BO202" i="24"/>
  <c r="BN202" i="24"/>
  <c r="BM202" i="24"/>
  <c r="BL202" i="24"/>
  <c r="BK202" i="24"/>
  <c r="BJ202" i="24"/>
  <c r="BI202" i="24"/>
  <c r="BH202" i="24"/>
  <c r="BG202" i="24"/>
  <c r="BF202" i="24"/>
  <c r="BE202" i="24"/>
  <c r="BD202" i="24"/>
  <c r="BC202" i="24"/>
  <c r="BB202" i="24"/>
  <c r="BA202" i="24"/>
  <c r="AY202" i="24"/>
  <c r="AX202" i="24"/>
  <c r="AW202" i="24"/>
  <c r="AV202" i="24"/>
  <c r="AU202" i="24"/>
  <c r="AT202" i="24"/>
  <c r="AS202" i="24"/>
  <c r="AR202" i="24"/>
  <c r="AQ202" i="24"/>
  <c r="AP202" i="24"/>
  <c r="AO202" i="24"/>
  <c r="AN202" i="24"/>
  <c r="AM202" i="24"/>
  <c r="AL202" i="24"/>
  <c r="AK202" i="24"/>
  <c r="AJ202" i="24"/>
  <c r="AI202" i="24"/>
  <c r="AH202" i="24"/>
  <c r="AG202" i="24"/>
  <c r="AF202" i="24"/>
  <c r="AE202" i="24"/>
  <c r="AD202" i="24"/>
  <c r="AC202" i="24"/>
  <c r="AB202" i="24"/>
  <c r="BX201" i="24"/>
  <c r="BW201" i="24"/>
  <c r="BV201" i="24"/>
  <c r="BU201" i="24"/>
  <c r="BT201" i="24"/>
  <c r="BS201" i="24"/>
  <c r="BR201" i="24"/>
  <c r="BQ201" i="24"/>
  <c r="BP201" i="24"/>
  <c r="BO201" i="24"/>
  <c r="BN201" i="24"/>
  <c r="BM201" i="24"/>
  <c r="BL201" i="24"/>
  <c r="BK201" i="24"/>
  <c r="BJ201" i="24"/>
  <c r="BI201" i="24"/>
  <c r="BH201" i="24"/>
  <c r="BG201" i="24"/>
  <c r="BF201" i="24"/>
  <c r="BE201" i="24"/>
  <c r="BD201" i="24"/>
  <c r="BC201" i="24"/>
  <c r="BB201" i="24"/>
  <c r="BA201" i="24"/>
  <c r="AY201" i="24"/>
  <c r="AX201" i="24"/>
  <c r="AW201" i="24"/>
  <c r="AV201" i="24"/>
  <c r="AU201" i="24"/>
  <c r="AT201" i="24"/>
  <c r="AS201" i="24"/>
  <c r="AR201" i="24"/>
  <c r="AQ201" i="24"/>
  <c r="AP201" i="24"/>
  <c r="AO201" i="24"/>
  <c r="AN201" i="24"/>
  <c r="AM201" i="24"/>
  <c r="AL201" i="24"/>
  <c r="AK201" i="24"/>
  <c r="AJ201" i="24"/>
  <c r="AI201" i="24"/>
  <c r="AH201" i="24"/>
  <c r="AG201" i="24"/>
  <c r="AF201" i="24"/>
  <c r="AE201" i="24"/>
  <c r="AD201" i="24"/>
  <c r="AC201" i="24"/>
  <c r="AB201" i="24"/>
  <c r="BX200" i="24"/>
  <c r="BW200" i="24"/>
  <c r="BV200" i="24"/>
  <c r="BU200" i="24"/>
  <c r="BT200" i="24"/>
  <c r="BS200" i="24"/>
  <c r="BR200" i="24"/>
  <c r="BQ200" i="24"/>
  <c r="BP200" i="24"/>
  <c r="BO200" i="24"/>
  <c r="BN200" i="24"/>
  <c r="BM200" i="24"/>
  <c r="BL200" i="24"/>
  <c r="BK200" i="24"/>
  <c r="BJ200" i="24"/>
  <c r="BI200" i="24"/>
  <c r="BH200" i="24"/>
  <c r="BG200" i="24"/>
  <c r="BF200" i="24"/>
  <c r="BE200" i="24"/>
  <c r="BD200" i="24"/>
  <c r="BC200" i="24"/>
  <c r="BB200" i="24"/>
  <c r="BA200" i="24"/>
  <c r="AY200" i="24"/>
  <c r="AX200" i="24"/>
  <c r="AW200" i="24"/>
  <c r="AV200" i="24"/>
  <c r="AU200" i="24"/>
  <c r="AT200" i="24"/>
  <c r="AS200" i="24"/>
  <c r="AR200" i="24"/>
  <c r="AQ200" i="24"/>
  <c r="AP200" i="24"/>
  <c r="AO200" i="24"/>
  <c r="AN200" i="24"/>
  <c r="AM200" i="24"/>
  <c r="AL200" i="24"/>
  <c r="AK200" i="24"/>
  <c r="AJ200" i="24"/>
  <c r="AI200" i="24"/>
  <c r="AH200" i="24"/>
  <c r="AG200" i="24"/>
  <c r="AF200" i="24"/>
  <c r="AE200" i="24"/>
  <c r="AD200" i="24"/>
  <c r="AC200" i="24"/>
  <c r="AB200" i="24"/>
  <c r="BX199" i="24"/>
  <c r="BW199" i="24"/>
  <c r="BV199" i="24"/>
  <c r="BU199" i="24"/>
  <c r="BT199" i="24"/>
  <c r="BS199" i="24"/>
  <c r="BR199" i="24"/>
  <c r="BQ199" i="24"/>
  <c r="BP199" i="24"/>
  <c r="BO199" i="24"/>
  <c r="BN199" i="24"/>
  <c r="BM199" i="24"/>
  <c r="BL199" i="24"/>
  <c r="BK199" i="24"/>
  <c r="BJ199" i="24"/>
  <c r="BI199" i="24"/>
  <c r="BH199" i="24"/>
  <c r="BG199" i="24"/>
  <c r="BF199" i="24"/>
  <c r="BE199" i="24"/>
  <c r="BD199" i="24"/>
  <c r="BC199" i="24"/>
  <c r="BB199" i="24"/>
  <c r="BA199" i="24"/>
  <c r="AY199" i="24"/>
  <c r="AX199" i="24"/>
  <c r="AW199" i="24"/>
  <c r="AV199" i="24"/>
  <c r="AU199" i="24"/>
  <c r="AT199" i="24"/>
  <c r="AS199" i="24"/>
  <c r="AR199" i="24"/>
  <c r="AQ199" i="24"/>
  <c r="AP199" i="24"/>
  <c r="AO199" i="24"/>
  <c r="AN199" i="24"/>
  <c r="AM199" i="24"/>
  <c r="AL199" i="24"/>
  <c r="AK199" i="24"/>
  <c r="AJ199" i="24"/>
  <c r="AI199" i="24"/>
  <c r="AH199" i="24"/>
  <c r="AG199" i="24"/>
  <c r="AF199" i="24"/>
  <c r="AE199" i="24"/>
  <c r="AD199" i="24"/>
  <c r="AC199" i="24"/>
  <c r="AB199" i="24"/>
  <c r="BX198" i="24"/>
  <c r="BW198" i="24"/>
  <c r="BV198" i="24"/>
  <c r="BU198" i="24"/>
  <c r="BT198" i="24"/>
  <c r="BS198" i="24"/>
  <c r="BR198" i="24"/>
  <c r="BQ198" i="24"/>
  <c r="BP198" i="24"/>
  <c r="BO198" i="24"/>
  <c r="BN198" i="24"/>
  <c r="BM198" i="24"/>
  <c r="BL198" i="24"/>
  <c r="BK198" i="24"/>
  <c r="BJ198" i="24"/>
  <c r="BI198" i="24"/>
  <c r="BH198" i="24"/>
  <c r="BG198" i="24"/>
  <c r="BF198" i="24"/>
  <c r="BE198" i="24"/>
  <c r="BD198" i="24"/>
  <c r="BC198" i="24"/>
  <c r="BB198" i="24"/>
  <c r="BA198" i="24"/>
  <c r="AY198" i="24"/>
  <c r="AX198" i="24"/>
  <c r="AW198" i="24"/>
  <c r="AV198" i="24"/>
  <c r="AU198" i="24"/>
  <c r="AT198" i="24"/>
  <c r="AS198" i="24"/>
  <c r="AR198" i="24"/>
  <c r="AQ198" i="24"/>
  <c r="AP198" i="24"/>
  <c r="AO198" i="24"/>
  <c r="AN198" i="24"/>
  <c r="AM198" i="24"/>
  <c r="AL198" i="24"/>
  <c r="AK198" i="24"/>
  <c r="AJ198" i="24"/>
  <c r="AI198" i="24"/>
  <c r="AH198" i="24"/>
  <c r="AG198" i="24"/>
  <c r="AF198" i="24"/>
  <c r="AE198" i="24"/>
  <c r="AD198" i="24"/>
  <c r="AC198" i="24"/>
  <c r="AB198" i="24"/>
  <c r="BX197" i="24"/>
  <c r="BW197" i="24"/>
  <c r="BV197" i="24"/>
  <c r="BU197" i="24"/>
  <c r="BT197" i="24"/>
  <c r="BS197" i="24"/>
  <c r="BR197" i="24"/>
  <c r="BQ197" i="24"/>
  <c r="BP197" i="24"/>
  <c r="BO197" i="24"/>
  <c r="BN197" i="24"/>
  <c r="BM197" i="24"/>
  <c r="BL197" i="24"/>
  <c r="BK197" i="24"/>
  <c r="BJ197" i="24"/>
  <c r="BI197" i="24"/>
  <c r="BH197" i="24"/>
  <c r="BG197" i="24"/>
  <c r="BF197" i="24"/>
  <c r="BE197" i="24"/>
  <c r="BD197" i="24"/>
  <c r="BC197" i="24"/>
  <c r="BB197" i="24"/>
  <c r="BA197" i="24"/>
  <c r="AY197" i="24"/>
  <c r="AX197" i="24"/>
  <c r="AW197" i="24"/>
  <c r="AV197" i="24"/>
  <c r="AU197" i="24"/>
  <c r="AT197" i="24"/>
  <c r="AS197" i="24"/>
  <c r="AR197" i="24"/>
  <c r="AQ197" i="24"/>
  <c r="AP197" i="24"/>
  <c r="AO197" i="24"/>
  <c r="AN197" i="24"/>
  <c r="AM197" i="24"/>
  <c r="AL197" i="24"/>
  <c r="AK197" i="24"/>
  <c r="AJ197" i="24"/>
  <c r="AI197" i="24"/>
  <c r="AH197" i="24"/>
  <c r="AG197" i="24"/>
  <c r="AF197" i="24"/>
  <c r="AE197" i="24"/>
  <c r="AD197" i="24"/>
  <c r="AC197" i="24"/>
  <c r="AB197" i="24"/>
  <c r="BX196" i="24"/>
  <c r="BW196" i="24"/>
  <c r="BV196" i="24"/>
  <c r="BU196" i="24"/>
  <c r="BT196" i="24"/>
  <c r="BS196" i="24"/>
  <c r="BR196" i="24"/>
  <c r="BQ196" i="24"/>
  <c r="BP196" i="24"/>
  <c r="BO196" i="24"/>
  <c r="BN196" i="24"/>
  <c r="BM196" i="24"/>
  <c r="BL196" i="24"/>
  <c r="BK196" i="24"/>
  <c r="BJ196" i="24"/>
  <c r="BI196" i="24"/>
  <c r="BH196" i="24"/>
  <c r="BG196" i="24"/>
  <c r="BF196" i="24"/>
  <c r="BE196" i="24"/>
  <c r="BD196" i="24"/>
  <c r="BC196" i="24"/>
  <c r="BB196" i="24"/>
  <c r="BA196" i="24"/>
  <c r="AY196" i="24"/>
  <c r="AX196" i="24"/>
  <c r="AW196" i="24"/>
  <c r="AV196" i="24"/>
  <c r="AU196" i="24"/>
  <c r="AT196" i="24"/>
  <c r="AS196" i="24"/>
  <c r="AR196" i="24"/>
  <c r="AQ196" i="24"/>
  <c r="AP196" i="24"/>
  <c r="AO196" i="24"/>
  <c r="AN196" i="24"/>
  <c r="AM196" i="24"/>
  <c r="AL196" i="24"/>
  <c r="AK196" i="24"/>
  <c r="AJ196" i="24"/>
  <c r="AI196" i="24"/>
  <c r="AH196" i="24"/>
  <c r="AG196" i="24"/>
  <c r="AF196" i="24"/>
  <c r="AE196" i="24"/>
  <c r="AD196" i="24"/>
  <c r="AC196" i="24"/>
  <c r="AB196" i="24"/>
  <c r="BX195" i="24"/>
  <c r="BW195" i="24"/>
  <c r="BV195" i="24"/>
  <c r="BU195" i="24"/>
  <c r="BT195" i="24"/>
  <c r="BS195" i="24"/>
  <c r="BR195" i="24"/>
  <c r="BQ195" i="24"/>
  <c r="BP195" i="24"/>
  <c r="BO195" i="24"/>
  <c r="BN195" i="24"/>
  <c r="BM195" i="24"/>
  <c r="BL195" i="24"/>
  <c r="BK195" i="24"/>
  <c r="BJ195" i="24"/>
  <c r="BI195" i="24"/>
  <c r="BH195" i="24"/>
  <c r="BG195" i="24"/>
  <c r="BF195" i="24"/>
  <c r="BE195" i="24"/>
  <c r="BD195" i="24"/>
  <c r="BC195" i="24"/>
  <c r="BB195" i="24"/>
  <c r="BA195" i="24"/>
  <c r="AY195" i="24"/>
  <c r="AX195" i="24"/>
  <c r="AW195" i="24"/>
  <c r="AV195" i="24"/>
  <c r="AU195" i="24"/>
  <c r="AT195" i="24"/>
  <c r="AS195" i="24"/>
  <c r="AR195" i="24"/>
  <c r="AQ195" i="24"/>
  <c r="AP195" i="24"/>
  <c r="AO195" i="24"/>
  <c r="AN195" i="24"/>
  <c r="AM195" i="24"/>
  <c r="AL195" i="24"/>
  <c r="AK195" i="24"/>
  <c r="AJ195" i="24"/>
  <c r="AI195" i="24"/>
  <c r="AH195" i="24"/>
  <c r="AG195" i="24"/>
  <c r="AF195" i="24"/>
  <c r="AE195" i="24"/>
  <c r="AD195" i="24"/>
  <c r="AC195" i="24"/>
  <c r="AB195" i="24"/>
  <c r="BX194" i="24"/>
  <c r="BW194" i="24"/>
  <c r="BV194" i="24"/>
  <c r="BU194" i="24"/>
  <c r="BT194" i="24"/>
  <c r="BS194" i="24"/>
  <c r="BR194" i="24"/>
  <c r="BQ194" i="24"/>
  <c r="BP194" i="24"/>
  <c r="BO194" i="24"/>
  <c r="BN194" i="24"/>
  <c r="BM194" i="24"/>
  <c r="BL194" i="24"/>
  <c r="BK194" i="24"/>
  <c r="BJ194" i="24"/>
  <c r="BI194" i="24"/>
  <c r="BH194" i="24"/>
  <c r="BG194" i="24"/>
  <c r="BF194" i="24"/>
  <c r="BE194" i="24"/>
  <c r="BD194" i="24"/>
  <c r="BC194" i="24"/>
  <c r="BB194" i="24"/>
  <c r="BA194" i="24"/>
  <c r="AY194" i="24"/>
  <c r="AX194" i="24"/>
  <c r="AW194" i="24"/>
  <c r="AV194" i="24"/>
  <c r="AU194" i="24"/>
  <c r="AT194" i="24"/>
  <c r="AS194" i="24"/>
  <c r="AR194" i="24"/>
  <c r="AQ194" i="24"/>
  <c r="AP194" i="24"/>
  <c r="AO194" i="24"/>
  <c r="AN194" i="24"/>
  <c r="AM194" i="24"/>
  <c r="AL194" i="24"/>
  <c r="AK194" i="24"/>
  <c r="AJ194" i="24"/>
  <c r="AI194" i="24"/>
  <c r="AH194" i="24"/>
  <c r="AG194" i="24"/>
  <c r="AF194" i="24"/>
  <c r="AE194" i="24"/>
  <c r="AD194" i="24"/>
  <c r="AC194" i="24"/>
  <c r="AB194" i="24"/>
  <c r="BX193" i="24"/>
  <c r="BW193" i="24"/>
  <c r="BV193" i="24"/>
  <c r="BU193" i="24"/>
  <c r="BT193" i="24"/>
  <c r="BS193" i="24"/>
  <c r="BR193" i="24"/>
  <c r="BQ193" i="24"/>
  <c r="BP193" i="24"/>
  <c r="BO193" i="24"/>
  <c r="BN193" i="24"/>
  <c r="BM193" i="24"/>
  <c r="BL193" i="24"/>
  <c r="BK193" i="24"/>
  <c r="BJ193" i="24"/>
  <c r="BI193" i="24"/>
  <c r="BH193" i="24"/>
  <c r="BG193" i="24"/>
  <c r="BF193" i="24"/>
  <c r="BE193" i="24"/>
  <c r="BD193" i="24"/>
  <c r="BC193" i="24"/>
  <c r="BB193" i="24"/>
  <c r="BA193" i="24"/>
  <c r="AY193" i="24"/>
  <c r="AX193" i="24"/>
  <c r="AW193" i="24"/>
  <c r="AV193" i="24"/>
  <c r="AU193" i="24"/>
  <c r="AT193" i="24"/>
  <c r="AS193" i="24"/>
  <c r="AR193" i="24"/>
  <c r="AQ193" i="24"/>
  <c r="AP193" i="24"/>
  <c r="AO193" i="24"/>
  <c r="AN193" i="24"/>
  <c r="AM193" i="24"/>
  <c r="AL193" i="24"/>
  <c r="AK193" i="24"/>
  <c r="AJ193" i="24"/>
  <c r="AI193" i="24"/>
  <c r="AH193" i="24"/>
  <c r="AG193" i="24"/>
  <c r="AF193" i="24"/>
  <c r="AE193" i="24"/>
  <c r="AD193" i="24"/>
  <c r="AC193" i="24"/>
  <c r="AB193" i="24"/>
  <c r="BX192" i="24"/>
  <c r="BW192" i="24"/>
  <c r="BV192" i="24"/>
  <c r="BU192" i="24"/>
  <c r="BT192" i="24"/>
  <c r="BS192" i="24"/>
  <c r="BR192" i="24"/>
  <c r="BQ192" i="24"/>
  <c r="BP192" i="24"/>
  <c r="BO192" i="24"/>
  <c r="BN192" i="24"/>
  <c r="BM192" i="24"/>
  <c r="BL192" i="24"/>
  <c r="BK192" i="24"/>
  <c r="BJ192" i="24"/>
  <c r="BI192" i="24"/>
  <c r="BH192" i="24"/>
  <c r="BG192" i="24"/>
  <c r="BF192" i="24"/>
  <c r="BE192" i="24"/>
  <c r="BD192" i="24"/>
  <c r="BC192" i="24"/>
  <c r="BB192" i="24"/>
  <c r="BA192" i="24"/>
  <c r="AY192" i="24"/>
  <c r="AX192" i="24"/>
  <c r="AW192" i="24"/>
  <c r="AV192" i="24"/>
  <c r="AU192" i="24"/>
  <c r="AT192" i="24"/>
  <c r="AS192" i="24"/>
  <c r="AR192" i="24"/>
  <c r="AQ192" i="24"/>
  <c r="AP192" i="24"/>
  <c r="AO192" i="24"/>
  <c r="AN192" i="24"/>
  <c r="AM192" i="24"/>
  <c r="AL192" i="24"/>
  <c r="AK192" i="24"/>
  <c r="AJ192" i="24"/>
  <c r="AI192" i="24"/>
  <c r="AH192" i="24"/>
  <c r="AG192" i="24"/>
  <c r="AF192" i="24"/>
  <c r="AE192" i="24"/>
  <c r="AD192" i="24"/>
  <c r="AC192" i="24"/>
  <c r="AB192" i="24"/>
  <c r="BX191" i="24"/>
  <c r="BW191" i="24"/>
  <c r="BV191" i="24"/>
  <c r="BU191" i="24"/>
  <c r="BT191" i="24"/>
  <c r="BS191" i="24"/>
  <c r="BR191" i="24"/>
  <c r="BQ191" i="24"/>
  <c r="BP191" i="24"/>
  <c r="BO191" i="24"/>
  <c r="BN191" i="24"/>
  <c r="BM191" i="24"/>
  <c r="BL191" i="24"/>
  <c r="BK191" i="24"/>
  <c r="BJ191" i="24"/>
  <c r="BI191" i="24"/>
  <c r="BH191" i="24"/>
  <c r="BG191" i="24"/>
  <c r="BF191" i="24"/>
  <c r="BE191" i="24"/>
  <c r="BD191" i="24"/>
  <c r="BC191" i="24"/>
  <c r="BB191" i="24"/>
  <c r="BA191" i="24"/>
  <c r="AY191" i="24"/>
  <c r="AX191" i="24"/>
  <c r="AW191" i="24"/>
  <c r="AV191" i="24"/>
  <c r="AU191" i="24"/>
  <c r="AT191" i="24"/>
  <c r="AS191" i="24"/>
  <c r="AR191" i="24"/>
  <c r="AQ191" i="24"/>
  <c r="AP191" i="24"/>
  <c r="AO191" i="24"/>
  <c r="AN191" i="24"/>
  <c r="AM191" i="24"/>
  <c r="AL191" i="24"/>
  <c r="AK191" i="24"/>
  <c r="AJ191" i="24"/>
  <c r="AI191" i="24"/>
  <c r="AH191" i="24"/>
  <c r="AG191" i="24"/>
  <c r="AF191" i="24"/>
  <c r="AE191" i="24"/>
  <c r="AD191" i="24"/>
  <c r="AC191" i="24"/>
  <c r="AB191" i="24"/>
  <c r="BX190" i="24"/>
  <c r="BW190" i="24"/>
  <c r="BV190" i="24"/>
  <c r="BU190" i="24"/>
  <c r="BT190" i="24"/>
  <c r="BS190" i="24"/>
  <c r="BR190" i="24"/>
  <c r="BQ190" i="24"/>
  <c r="BP190" i="24"/>
  <c r="BO190" i="24"/>
  <c r="BN190" i="24"/>
  <c r="BM190" i="24"/>
  <c r="BL190" i="24"/>
  <c r="BK190" i="24"/>
  <c r="BJ190" i="24"/>
  <c r="BI190" i="24"/>
  <c r="BH190" i="24"/>
  <c r="BG190" i="24"/>
  <c r="BF190" i="24"/>
  <c r="BE190" i="24"/>
  <c r="BD190" i="24"/>
  <c r="BC190" i="24"/>
  <c r="BB190" i="24"/>
  <c r="BA190" i="24"/>
  <c r="AY190" i="24"/>
  <c r="AX190" i="24"/>
  <c r="AW190" i="24"/>
  <c r="AV190" i="24"/>
  <c r="AU190" i="24"/>
  <c r="AT190" i="24"/>
  <c r="AS190" i="24"/>
  <c r="AR190" i="24"/>
  <c r="AQ190" i="24"/>
  <c r="AP190" i="24"/>
  <c r="AO190" i="24"/>
  <c r="AN190" i="24"/>
  <c r="AM190" i="24"/>
  <c r="AL190" i="24"/>
  <c r="AK190" i="24"/>
  <c r="AJ190" i="24"/>
  <c r="AI190" i="24"/>
  <c r="AH190" i="24"/>
  <c r="AG190" i="24"/>
  <c r="AF190" i="24"/>
  <c r="AE190" i="24"/>
  <c r="AD190" i="24"/>
  <c r="AC190" i="24"/>
  <c r="AB190" i="24"/>
  <c r="BX189" i="24"/>
  <c r="BW189" i="24"/>
  <c r="BV189" i="24"/>
  <c r="BU189" i="24"/>
  <c r="BT189" i="24"/>
  <c r="BS189" i="24"/>
  <c r="BR189" i="24"/>
  <c r="BQ189" i="24"/>
  <c r="BP189" i="24"/>
  <c r="BO189" i="24"/>
  <c r="BN189" i="24"/>
  <c r="BM189" i="24"/>
  <c r="BL189" i="24"/>
  <c r="BK189" i="24"/>
  <c r="BJ189" i="24"/>
  <c r="BI189" i="24"/>
  <c r="BH189" i="24"/>
  <c r="BG189" i="24"/>
  <c r="BF189" i="24"/>
  <c r="BE189" i="24"/>
  <c r="BD189" i="24"/>
  <c r="BC189" i="24"/>
  <c r="BB189" i="24"/>
  <c r="BA189" i="24"/>
  <c r="AY189" i="24"/>
  <c r="AX189" i="24"/>
  <c r="AW189" i="24"/>
  <c r="AV189" i="24"/>
  <c r="AU189" i="24"/>
  <c r="AT189" i="24"/>
  <c r="AS189" i="24"/>
  <c r="AR189" i="24"/>
  <c r="AQ189" i="24"/>
  <c r="AP189" i="24"/>
  <c r="AO189" i="24"/>
  <c r="AN189" i="24"/>
  <c r="AM189" i="24"/>
  <c r="AL189" i="24"/>
  <c r="AK189" i="24"/>
  <c r="AJ189" i="24"/>
  <c r="AI189" i="24"/>
  <c r="AH189" i="24"/>
  <c r="AG189" i="24"/>
  <c r="AF189" i="24"/>
  <c r="AE189" i="24"/>
  <c r="AD189" i="24"/>
  <c r="AC189" i="24"/>
  <c r="AB189" i="24"/>
  <c r="BX188" i="24"/>
  <c r="BW188" i="24"/>
  <c r="BV188" i="24"/>
  <c r="BU188" i="24"/>
  <c r="BT188" i="24"/>
  <c r="BS188" i="24"/>
  <c r="BR188" i="24"/>
  <c r="BQ188" i="24"/>
  <c r="BP188" i="24"/>
  <c r="BO188" i="24"/>
  <c r="BN188" i="24"/>
  <c r="BM188" i="24"/>
  <c r="BL188" i="24"/>
  <c r="BK188" i="24"/>
  <c r="BJ188" i="24"/>
  <c r="BI188" i="24"/>
  <c r="BH188" i="24"/>
  <c r="BG188" i="24"/>
  <c r="BF188" i="24"/>
  <c r="BE188" i="24"/>
  <c r="BD188" i="24"/>
  <c r="BC188" i="24"/>
  <c r="BB188" i="24"/>
  <c r="BA188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AH188" i="24"/>
  <c r="AG188" i="24"/>
  <c r="AF188" i="24"/>
  <c r="AE188" i="24"/>
  <c r="AD188" i="24"/>
  <c r="AC188" i="24"/>
  <c r="AB188" i="24"/>
  <c r="BX187" i="24"/>
  <c r="BW187" i="24"/>
  <c r="BV187" i="24"/>
  <c r="BU187" i="24"/>
  <c r="BT187" i="24"/>
  <c r="BS187" i="24"/>
  <c r="BR187" i="24"/>
  <c r="BQ187" i="24"/>
  <c r="BP187" i="24"/>
  <c r="BO187" i="24"/>
  <c r="BN187" i="24"/>
  <c r="BM187" i="24"/>
  <c r="BL187" i="24"/>
  <c r="BK187" i="24"/>
  <c r="BJ187" i="24"/>
  <c r="BI187" i="24"/>
  <c r="BH187" i="24"/>
  <c r="BG187" i="24"/>
  <c r="BF187" i="24"/>
  <c r="BE187" i="24"/>
  <c r="BD187" i="24"/>
  <c r="BC187" i="24"/>
  <c r="BB187" i="24"/>
  <c r="BA187" i="24"/>
  <c r="AY187" i="24"/>
  <c r="AX187" i="24"/>
  <c r="AW187" i="24"/>
  <c r="AV187" i="24"/>
  <c r="AU187" i="24"/>
  <c r="AT187" i="24"/>
  <c r="AS187" i="24"/>
  <c r="AR187" i="24"/>
  <c r="AQ187" i="24"/>
  <c r="AP187" i="24"/>
  <c r="AO187" i="24"/>
  <c r="AN187" i="24"/>
  <c r="AM187" i="24"/>
  <c r="AL187" i="24"/>
  <c r="AK187" i="24"/>
  <c r="AJ187" i="24"/>
  <c r="AI187" i="24"/>
  <c r="AH187" i="24"/>
  <c r="AG187" i="24"/>
  <c r="AF187" i="24"/>
  <c r="AE187" i="24"/>
  <c r="AD187" i="24"/>
  <c r="AC187" i="24"/>
  <c r="AB187" i="24"/>
  <c r="BX186" i="24"/>
  <c r="BW186" i="24"/>
  <c r="BV186" i="24"/>
  <c r="BU186" i="24"/>
  <c r="BT186" i="24"/>
  <c r="BS186" i="24"/>
  <c r="BR186" i="24"/>
  <c r="BQ186" i="24"/>
  <c r="BP186" i="24"/>
  <c r="BO186" i="24"/>
  <c r="BN186" i="24"/>
  <c r="BM186" i="24"/>
  <c r="BL186" i="24"/>
  <c r="BK186" i="24"/>
  <c r="BJ186" i="24"/>
  <c r="BI186" i="24"/>
  <c r="BH186" i="24"/>
  <c r="BG186" i="24"/>
  <c r="BF186" i="24"/>
  <c r="BE186" i="24"/>
  <c r="BD186" i="24"/>
  <c r="BC186" i="24"/>
  <c r="BB186" i="24"/>
  <c r="BA186" i="24"/>
  <c r="AY186" i="24"/>
  <c r="AX186" i="24"/>
  <c r="AW186" i="24"/>
  <c r="AV186" i="24"/>
  <c r="AU186" i="24"/>
  <c r="AT186" i="24"/>
  <c r="AS186" i="24"/>
  <c r="AR186" i="24"/>
  <c r="AQ186" i="24"/>
  <c r="AP186" i="24"/>
  <c r="AO186" i="24"/>
  <c r="AN186" i="24"/>
  <c r="AM186" i="24"/>
  <c r="AL186" i="24"/>
  <c r="AK186" i="24"/>
  <c r="AJ186" i="24"/>
  <c r="AI186" i="24"/>
  <c r="AH186" i="24"/>
  <c r="AG186" i="24"/>
  <c r="AF186" i="24"/>
  <c r="AE186" i="24"/>
  <c r="AD186" i="24"/>
  <c r="AC186" i="24"/>
  <c r="AB186" i="24"/>
  <c r="BX185" i="24"/>
  <c r="BW185" i="24"/>
  <c r="BV185" i="24"/>
  <c r="BU185" i="24"/>
  <c r="BT185" i="24"/>
  <c r="BS185" i="24"/>
  <c r="BR185" i="24"/>
  <c r="BQ185" i="24"/>
  <c r="BP185" i="24"/>
  <c r="BO185" i="24"/>
  <c r="BN185" i="24"/>
  <c r="BM185" i="24"/>
  <c r="BL185" i="24"/>
  <c r="BK185" i="24"/>
  <c r="BJ185" i="24"/>
  <c r="BI185" i="24"/>
  <c r="BH185" i="24"/>
  <c r="BG185" i="24"/>
  <c r="BF185" i="24"/>
  <c r="BE185" i="24"/>
  <c r="BD185" i="24"/>
  <c r="BC185" i="24"/>
  <c r="BB185" i="24"/>
  <c r="BA185" i="24"/>
  <c r="AY185" i="24"/>
  <c r="AX185" i="24"/>
  <c r="AW185" i="24"/>
  <c r="AV185" i="24"/>
  <c r="AU185" i="24"/>
  <c r="AT185" i="24"/>
  <c r="AS185" i="24"/>
  <c r="AR185" i="24"/>
  <c r="AQ185" i="24"/>
  <c r="AP185" i="24"/>
  <c r="AO185" i="24"/>
  <c r="AN185" i="24"/>
  <c r="AM185" i="24"/>
  <c r="AL185" i="24"/>
  <c r="AK185" i="24"/>
  <c r="AJ185" i="24"/>
  <c r="AI185" i="24"/>
  <c r="AH185" i="24"/>
  <c r="AG185" i="24"/>
  <c r="AF185" i="24"/>
  <c r="AE185" i="24"/>
  <c r="AD185" i="24"/>
  <c r="AC185" i="24"/>
  <c r="AB185" i="24"/>
  <c r="BX184" i="24"/>
  <c r="BW184" i="24"/>
  <c r="BV184" i="24"/>
  <c r="BU184" i="24"/>
  <c r="BT184" i="24"/>
  <c r="BS184" i="24"/>
  <c r="BR184" i="24"/>
  <c r="BQ184" i="24"/>
  <c r="BP184" i="24"/>
  <c r="BO184" i="24"/>
  <c r="BN184" i="24"/>
  <c r="BM184" i="24"/>
  <c r="BL184" i="24"/>
  <c r="BK184" i="24"/>
  <c r="BJ184" i="24"/>
  <c r="BI184" i="24"/>
  <c r="BH184" i="24"/>
  <c r="BG184" i="24"/>
  <c r="BF184" i="24"/>
  <c r="BE184" i="24"/>
  <c r="BD184" i="24"/>
  <c r="BC184" i="24"/>
  <c r="BB184" i="24"/>
  <c r="BA184" i="24"/>
  <c r="AY184" i="24"/>
  <c r="AX184" i="24"/>
  <c r="AW184" i="24"/>
  <c r="AV184" i="24"/>
  <c r="AU184" i="24"/>
  <c r="AT184" i="24"/>
  <c r="AS184" i="24"/>
  <c r="AR184" i="24"/>
  <c r="AQ184" i="24"/>
  <c r="AP184" i="24"/>
  <c r="AO184" i="24"/>
  <c r="AN184" i="24"/>
  <c r="AM184" i="24"/>
  <c r="AL184" i="24"/>
  <c r="AK184" i="24"/>
  <c r="AJ184" i="24"/>
  <c r="AI184" i="24"/>
  <c r="AH184" i="24"/>
  <c r="AG184" i="24"/>
  <c r="AF184" i="24"/>
  <c r="AE184" i="24"/>
  <c r="AD184" i="24"/>
  <c r="AC184" i="24"/>
  <c r="AB184" i="24"/>
  <c r="BX183" i="24"/>
  <c r="BW183" i="24"/>
  <c r="BV183" i="24"/>
  <c r="BU183" i="24"/>
  <c r="BT183" i="24"/>
  <c r="BS183" i="24"/>
  <c r="BR183" i="24"/>
  <c r="BQ183" i="24"/>
  <c r="BP183" i="24"/>
  <c r="BO183" i="24"/>
  <c r="BN183" i="24"/>
  <c r="BM183" i="24"/>
  <c r="BL183" i="24"/>
  <c r="BK183" i="24"/>
  <c r="BJ183" i="24"/>
  <c r="BI183" i="24"/>
  <c r="BH183" i="24"/>
  <c r="BG183" i="24"/>
  <c r="BF183" i="24"/>
  <c r="BE183" i="24"/>
  <c r="BD183" i="24"/>
  <c r="BC183" i="24"/>
  <c r="BB183" i="24"/>
  <c r="BA183" i="24"/>
  <c r="AY183" i="24"/>
  <c r="AX183" i="24"/>
  <c r="AW183" i="24"/>
  <c r="AV183" i="24"/>
  <c r="AU183" i="24"/>
  <c r="AT183" i="24"/>
  <c r="AS183" i="24"/>
  <c r="AR183" i="24"/>
  <c r="AQ183" i="24"/>
  <c r="AP183" i="24"/>
  <c r="AO183" i="24"/>
  <c r="AN183" i="24"/>
  <c r="AM183" i="24"/>
  <c r="AL183" i="24"/>
  <c r="AK183" i="24"/>
  <c r="AJ183" i="24"/>
  <c r="AI183" i="24"/>
  <c r="AH183" i="24"/>
  <c r="AG183" i="24"/>
  <c r="AF183" i="24"/>
  <c r="AE183" i="24"/>
  <c r="AD183" i="24"/>
  <c r="AC183" i="24"/>
  <c r="AB183" i="24"/>
  <c r="BX182" i="24"/>
  <c r="BW182" i="24"/>
  <c r="BV182" i="24"/>
  <c r="BU182" i="24"/>
  <c r="BT182" i="24"/>
  <c r="BS182" i="24"/>
  <c r="BR182" i="24"/>
  <c r="BQ182" i="24"/>
  <c r="BP182" i="24"/>
  <c r="BO182" i="24"/>
  <c r="BN182" i="24"/>
  <c r="BM182" i="24"/>
  <c r="BL182" i="24"/>
  <c r="BK182" i="24"/>
  <c r="BJ182" i="24"/>
  <c r="BI182" i="24"/>
  <c r="BH182" i="24"/>
  <c r="BG182" i="24"/>
  <c r="BF182" i="24"/>
  <c r="BE182" i="24"/>
  <c r="BD182" i="24"/>
  <c r="BC182" i="24"/>
  <c r="BB182" i="24"/>
  <c r="BA182" i="24"/>
  <c r="AY182" i="24"/>
  <c r="AX182" i="24"/>
  <c r="AW182" i="24"/>
  <c r="AV182" i="24"/>
  <c r="AU182" i="24"/>
  <c r="AT182" i="24"/>
  <c r="AS182" i="24"/>
  <c r="AR182" i="24"/>
  <c r="AQ182" i="24"/>
  <c r="AP182" i="24"/>
  <c r="AO182" i="24"/>
  <c r="AN182" i="24"/>
  <c r="AM182" i="24"/>
  <c r="AL182" i="24"/>
  <c r="AK182" i="24"/>
  <c r="AJ182" i="24"/>
  <c r="AI182" i="24"/>
  <c r="AH182" i="24"/>
  <c r="AG182" i="24"/>
  <c r="AF182" i="24"/>
  <c r="AE182" i="24"/>
  <c r="AD182" i="24"/>
  <c r="AC182" i="24"/>
  <c r="AB182" i="24"/>
  <c r="BX181" i="24"/>
  <c r="BW181" i="24"/>
  <c r="BV181" i="24"/>
  <c r="BU181" i="24"/>
  <c r="BT181" i="24"/>
  <c r="BS181" i="24"/>
  <c r="BR181" i="24"/>
  <c r="BQ181" i="24"/>
  <c r="BP181" i="24"/>
  <c r="BO181" i="24"/>
  <c r="BN181" i="24"/>
  <c r="BM181" i="24"/>
  <c r="BL181" i="24"/>
  <c r="BK181" i="24"/>
  <c r="BJ181" i="24"/>
  <c r="BI181" i="24"/>
  <c r="BH181" i="24"/>
  <c r="BG181" i="24"/>
  <c r="BF181" i="24"/>
  <c r="BE181" i="24"/>
  <c r="BD181" i="24"/>
  <c r="BC181" i="24"/>
  <c r="BB181" i="24"/>
  <c r="BA181" i="24"/>
  <c r="AY181" i="24"/>
  <c r="AX181" i="24"/>
  <c r="AW181" i="24"/>
  <c r="AV181" i="24"/>
  <c r="AU181" i="24"/>
  <c r="AT181" i="24"/>
  <c r="AS181" i="24"/>
  <c r="AR181" i="24"/>
  <c r="AQ181" i="24"/>
  <c r="AP181" i="24"/>
  <c r="AO181" i="24"/>
  <c r="AN181" i="24"/>
  <c r="AM181" i="24"/>
  <c r="AL181" i="24"/>
  <c r="AK181" i="24"/>
  <c r="AJ181" i="24"/>
  <c r="AI181" i="24"/>
  <c r="AH181" i="24"/>
  <c r="AG181" i="24"/>
  <c r="AF181" i="24"/>
  <c r="AE181" i="24"/>
  <c r="AD181" i="24"/>
  <c r="AC181" i="24"/>
  <c r="AB181" i="24"/>
  <c r="BX180" i="24"/>
  <c r="BW180" i="24"/>
  <c r="BV180" i="24"/>
  <c r="BU180" i="24"/>
  <c r="BT180" i="24"/>
  <c r="BS180" i="24"/>
  <c r="BR180" i="24"/>
  <c r="BQ180" i="24"/>
  <c r="BP180" i="24"/>
  <c r="BO180" i="24"/>
  <c r="BN180" i="24"/>
  <c r="BM180" i="24"/>
  <c r="BL180" i="24"/>
  <c r="BK180" i="24"/>
  <c r="BJ180" i="24"/>
  <c r="BI180" i="24"/>
  <c r="BH180" i="24"/>
  <c r="BG180" i="24"/>
  <c r="BF180" i="24"/>
  <c r="BE180" i="24"/>
  <c r="BD180" i="24"/>
  <c r="BC180" i="24"/>
  <c r="BB180" i="24"/>
  <c r="BA180" i="24"/>
  <c r="AY180" i="24"/>
  <c r="AX180" i="24"/>
  <c r="AW180" i="24"/>
  <c r="AV180" i="24"/>
  <c r="AU180" i="24"/>
  <c r="AT180" i="24"/>
  <c r="AS180" i="24"/>
  <c r="AR180" i="24"/>
  <c r="AQ180" i="24"/>
  <c r="AP180" i="24"/>
  <c r="AO180" i="24"/>
  <c r="AN180" i="24"/>
  <c r="AM180" i="24"/>
  <c r="AL180" i="24"/>
  <c r="AK180" i="24"/>
  <c r="AJ180" i="24"/>
  <c r="AI180" i="24"/>
  <c r="AH180" i="24"/>
  <c r="AG180" i="24"/>
  <c r="AF180" i="24"/>
  <c r="AE180" i="24"/>
  <c r="AD180" i="24"/>
  <c r="AC180" i="24"/>
  <c r="AB180" i="24"/>
  <c r="BX179" i="24"/>
  <c r="BW179" i="24"/>
  <c r="BV179" i="24"/>
  <c r="BU179" i="24"/>
  <c r="BT179" i="24"/>
  <c r="BS179" i="24"/>
  <c r="BR179" i="24"/>
  <c r="BQ179" i="24"/>
  <c r="BP179" i="24"/>
  <c r="BO179" i="24"/>
  <c r="BN179" i="24"/>
  <c r="BM179" i="24"/>
  <c r="BL179" i="24"/>
  <c r="BK179" i="24"/>
  <c r="BJ179" i="24"/>
  <c r="BI179" i="24"/>
  <c r="BH179" i="24"/>
  <c r="BG179" i="24"/>
  <c r="BF179" i="24"/>
  <c r="BE179" i="24"/>
  <c r="BD179" i="24"/>
  <c r="BC179" i="24"/>
  <c r="BB179" i="24"/>
  <c r="BA179" i="24"/>
  <c r="AY179" i="24"/>
  <c r="AX179" i="24"/>
  <c r="AW179" i="24"/>
  <c r="AV179" i="24"/>
  <c r="AU179" i="24"/>
  <c r="AT179" i="24"/>
  <c r="AS179" i="24"/>
  <c r="AR179" i="24"/>
  <c r="AQ179" i="24"/>
  <c r="AP179" i="24"/>
  <c r="AO179" i="24"/>
  <c r="AN179" i="24"/>
  <c r="AM179" i="24"/>
  <c r="AL179" i="24"/>
  <c r="AK179" i="24"/>
  <c r="AJ179" i="24"/>
  <c r="AI179" i="24"/>
  <c r="AH179" i="24"/>
  <c r="AG179" i="24"/>
  <c r="AF179" i="24"/>
  <c r="AE179" i="24"/>
  <c r="AD179" i="24"/>
  <c r="AC179" i="24"/>
  <c r="AB179" i="24"/>
  <c r="BX178" i="24"/>
  <c r="BW178" i="24"/>
  <c r="BV178" i="24"/>
  <c r="BU178" i="24"/>
  <c r="BT178" i="24"/>
  <c r="BS178" i="24"/>
  <c r="BR178" i="24"/>
  <c r="BQ178" i="24"/>
  <c r="BP178" i="24"/>
  <c r="BO178" i="24"/>
  <c r="BN178" i="24"/>
  <c r="BM178" i="24"/>
  <c r="BL178" i="24"/>
  <c r="BK178" i="24"/>
  <c r="BJ178" i="24"/>
  <c r="BI178" i="24"/>
  <c r="BH178" i="24"/>
  <c r="BG178" i="24"/>
  <c r="BF178" i="24"/>
  <c r="BE178" i="24"/>
  <c r="BD178" i="24"/>
  <c r="BC178" i="24"/>
  <c r="BB178" i="24"/>
  <c r="BA178" i="24"/>
  <c r="AY178" i="24"/>
  <c r="AX178" i="24"/>
  <c r="AW178" i="24"/>
  <c r="AV178" i="24"/>
  <c r="AU178" i="24"/>
  <c r="AT178" i="24"/>
  <c r="AS178" i="24"/>
  <c r="AR178" i="24"/>
  <c r="AQ178" i="24"/>
  <c r="AP178" i="24"/>
  <c r="AO178" i="24"/>
  <c r="AN178" i="24"/>
  <c r="AM178" i="24"/>
  <c r="AL178" i="24"/>
  <c r="AK178" i="24"/>
  <c r="AJ178" i="24"/>
  <c r="AI178" i="24"/>
  <c r="AH178" i="24"/>
  <c r="AG178" i="24"/>
  <c r="AF178" i="24"/>
  <c r="AE178" i="24"/>
  <c r="AD178" i="24"/>
  <c r="AC178" i="24"/>
  <c r="AB178" i="24"/>
  <c r="BX177" i="24"/>
  <c r="BW177" i="24"/>
  <c r="BV177" i="24"/>
  <c r="BU177" i="24"/>
  <c r="BT177" i="24"/>
  <c r="BS177" i="24"/>
  <c r="BR177" i="24"/>
  <c r="BQ177" i="24"/>
  <c r="BP177" i="24"/>
  <c r="BO177" i="24"/>
  <c r="BN177" i="24"/>
  <c r="BM177" i="24"/>
  <c r="BL177" i="24"/>
  <c r="BK177" i="24"/>
  <c r="BJ177" i="24"/>
  <c r="BI177" i="24"/>
  <c r="BH177" i="24"/>
  <c r="BG177" i="24"/>
  <c r="BF177" i="24"/>
  <c r="BE177" i="24"/>
  <c r="BD177" i="24"/>
  <c r="BC177" i="24"/>
  <c r="BB177" i="24"/>
  <c r="BA177" i="24"/>
  <c r="AY177" i="24"/>
  <c r="AX177" i="24"/>
  <c r="AW177" i="24"/>
  <c r="AV177" i="24"/>
  <c r="AU177" i="24"/>
  <c r="AT177" i="24"/>
  <c r="AS177" i="24"/>
  <c r="AR177" i="24"/>
  <c r="AQ177" i="24"/>
  <c r="AP177" i="24"/>
  <c r="AO177" i="24"/>
  <c r="AN177" i="24"/>
  <c r="AM177" i="24"/>
  <c r="AL177" i="24"/>
  <c r="AK177" i="24"/>
  <c r="AJ177" i="24"/>
  <c r="AI177" i="24"/>
  <c r="AH177" i="24"/>
  <c r="AG177" i="24"/>
  <c r="AF177" i="24"/>
  <c r="AE177" i="24"/>
  <c r="AD177" i="24"/>
  <c r="AC177" i="24"/>
  <c r="AB177" i="24"/>
  <c r="BX176" i="24"/>
  <c r="BW176" i="24"/>
  <c r="BV176" i="24"/>
  <c r="BU176" i="24"/>
  <c r="BT176" i="24"/>
  <c r="BS176" i="24"/>
  <c r="BR176" i="24"/>
  <c r="BQ176" i="24"/>
  <c r="BP176" i="24"/>
  <c r="BO176" i="24"/>
  <c r="BN176" i="24"/>
  <c r="BM176" i="24"/>
  <c r="BL176" i="24"/>
  <c r="BK176" i="24"/>
  <c r="BJ176" i="24"/>
  <c r="BI176" i="24"/>
  <c r="BH176" i="24"/>
  <c r="BG176" i="24"/>
  <c r="BF176" i="24"/>
  <c r="BE176" i="24"/>
  <c r="BD176" i="24"/>
  <c r="BC176" i="24"/>
  <c r="BB176" i="24"/>
  <c r="BA176" i="24"/>
  <c r="AY176" i="24"/>
  <c r="AX176" i="24"/>
  <c r="AW176" i="24"/>
  <c r="AV176" i="24"/>
  <c r="AU176" i="24"/>
  <c r="AT176" i="24"/>
  <c r="AS176" i="24"/>
  <c r="AR176" i="24"/>
  <c r="AQ176" i="24"/>
  <c r="AP176" i="24"/>
  <c r="AO176" i="24"/>
  <c r="AN176" i="24"/>
  <c r="AM176" i="24"/>
  <c r="AL176" i="24"/>
  <c r="AK176" i="24"/>
  <c r="AJ176" i="24"/>
  <c r="AI176" i="24"/>
  <c r="AH176" i="24"/>
  <c r="AG176" i="24"/>
  <c r="AF176" i="24"/>
  <c r="AE176" i="24"/>
  <c r="AD176" i="24"/>
  <c r="AC176" i="24"/>
  <c r="AB176" i="24"/>
  <c r="BX175" i="24"/>
  <c r="BW175" i="24"/>
  <c r="BV175" i="24"/>
  <c r="BU175" i="24"/>
  <c r="BT175" i="24"/>
  <c r="BS175" i="24"/>
  <c r="BR175" i="24"/>
  <c r="BQ175" i="24"/>
  <c r="BP175" i="24"/>
  <c r="BO175" i="24"/>
  <c r="BN175" i="24"/>
  <c r="BM175" i="24"/>
  <c r="BL175" i="24"/>
  <c r="BK175" i="24"/>
  <c r="BJ175" i="24"/>
  <c r="BI175" i="24"/>
  <c r="BH175" i="24"/>
  <c r="BG175" i="24"/>
  <c r="BF175" i="24"/>
  <c r="BE175" i="24"/>
  <c r="BD175" i="24"/>
  <c r="BC175" i="24"/>
  <c r="BB175" i="24"/>
  <c r="BA175" i="24"/>
  <c r="AY175" i="24"/>
  <c r="AX175" i="24"/>
  <c r="AW175" i="24"/>
  <c r="AV175" i="24"/>
  <c r="AU175" i="24"/>
  <c r="AT175" i="24"/>
  <c r="AS175" i="24"/>
  <c r="AR175" i="24"/>
  <c r="AQ175" i="24"/>
  <c r="AP175" i="24"/>
  <c r="AO175" i="24"/>
  <c r="AN175" i="24"/>
  <c r="AM175" i="24"/>
  <c r="AL175" i="24"/>
  <c r="AK175" i="24"/>
  <c r="AJ175" i="24"/>
  <c r="AI175" i="24"/>
  <c r="AH175" i="24"/>
  <c r="AG175" i="24"/>
  <c r="AF175" i="24"/>
  <c r="AE175" i="24"/>
  <c r="AD175" i="24"/>
  <c r="AC175" i="24"/>
  <c r="AB175" i="24"/>
  <c r="BX174" i="24"/>
  <c r="BW174" i="24"/>
  <c r="BV174" i="24"/>
  <c r="BU174" i="24"/>
  <c r="BT174" i="24"/>
  <c r="BS174" i="24"/>
  <c r="BR174" i="24"/>
  <c r="BQ174" i="24"/>
  <c r="BP174" i="24"/>
  <c r="BO174" i="24"/>
  <c r="BN174" i="24"/>
  <c r="BM174" i="24"/>
  <c r="BL174" i="24"/>
  <c r="BK174" i="24"/>
  <c r="BJ174" i="24"/>
  <c r="BI174" i="24"/>
  <c r="BH174" i="24"/>
  <c r="BG174" i="24"/>
  <c r="BF174" i="24"/>
  <c r="BE174" i="24"/>
  <c r="BD174" i="24"/>
  <c r="BC174" i="24"/>
  <c r="BB174" i="24"/>
  <c r="BA174" i="24"/>
  <c r="AY174" i="24"/>
  <c r="AX174" i="24"/>
  <c r="AW174" i="24"/>
  <c r="AV174" i="24"/>
  <c r="AU174" i="24"/>
  <c r="AT174" i="24"/>
  <c r="AS174" i="24"/>
  <c r="AR174" i="24"/>
  <c r="AQ174" i="24"/>
  <c r="AP174" i="24"/>
  <c r="AO174" i="24"/>
  <c r="AN174" i="24"/>
  <c r="AM174" i="24"/>
  <c r="AL174" i="24"/>
  <c r="AK174" i="24"/>
  <c r="AJ174" i="24"/>
  <c r="AI174" i="24"/>
  <c r="AH174" i="24"/>
  <c r="AG174" i="24"/>
  <c r="AF174" i="24"/>
  <c r="AE174" i="24"/>
  <c r="AD174" i="24"/>
  <c r="AC174" i="24"/>
  <c r="AB174" i="24"/>
  <c r="BX173" i="24"/>
  <c r="BW173" i="24"/>
  <c r="BV173" i="24"/>
  <c r="BU173" i="24"/>
  <c r="BT173" i="24"/>
  <c r="BS173" i="24"/>
  <c r="BR173" i="24"/>
  <c r="BQ173" i="24"/>
  <c r="BP173" i="24"/>
  <c r="BO173" i="24"/>
  <c r="BN173" i="24"/>
  <c r="BM173" i="24"/>
  <c r="BL173" i="24"/>
  <c r="BK173" i="24"/>
  <c r="BJ173" i="24"/>
  <c r="BI173" i="24"/>
  <c r="BH173" i="24"/>
  <c r="BG173" i="24"/>
  <c r="BF173" i="24"/>
  <c r="BE173" i="24"/>
  <c r="BD173" i="24"/>
  <c r="BC173" i="24"/>
  <c r="BB173" i="24"/>
  <c r="BA173" i="24"/>
  <c r="AY173" i="24"/>
  <c r="AX173" i="24"/>
  <c r="AW173" i="24"/>
  <c r="AV173" i="24"/>
  <c r="AU173" i="24"/>
  <c r="AT173" i="24"/>
  <c r="AS173" i="24"/>
  <c r="AR173" i="24"/>
  <c r="AQ173" i="24"/>
  <c r="AP173" i="24"/>
  <c r="AO173" i="24"/>
  <c r="AN173" i="24"/>
  <c r="AM173" i="24"/>
  <c r="AL173" i="24"/>
  <c r="AK173" i="24"/>
  <c r="AJ173" i="24"/>
  <c r="AI173" i="24"/>
  <c r="AH173" i="24"/>
  <c r="AG173" i="24"/>
  <c r="AF173" i="24"/>
  <c r="AE173" i="24"/>
  <c r="AD173" i="24"/>
  <c r="AC173" i="24"/>
  <c r="AB173" i="24"/>
  <c r="BX172" i="24"/>
  <c r="BW172" i="24"/>
  <c r="BV172" i="24"/>
  <c r="BU172" i="24"/>
  <c r="BT172" i="24"/>
  <c r="BS172" i="24"/>
  <c r="BR172" i="24"/>
  <c r="BQ172" i="24"/>
  <c r="BP172" i="24"/>
  <c r="BO172" i="24"/>
  <c r="BN172" i="24"/>
  <c r="BM172" i="24"/>
  <c r="BL172" i="24"/>
  <c r="BK172" i="24"/>
  <c r="BJ172" i="24"/>
  <c r="BI172" i="24"/>
  <c r="BH172" i="24"/>
  <c r="BG172" i="24"/>
  <c r="BF172" i="24"/>
  <c r="BE172" i="24"/>
  <c r="BD172" i="24"/>
  <c r="BC172" i="24"/>
  <c r="BB172" i="24"/>
  <c r="BA172" i="24"/>
  <c r="AY172" i="24"/>
  <c r="AX172" i="24"/>
  <c r="AW172" i="24"/>
  <c r="AV172" i="24"/>
  <c r="AU172" i="24"/>
  <c r="AT172" i="24"/>
  <c r="AS172" i="24"/>
  <c r="AR172" i="24"/>
  <c r="AQ172" i="24"/>
  <c r="AP172" i="24"/>
  <c r="AO172" i="24"/>
  <c r="AN172" i="24"/>
  <c r="AM172" i="24"/>
  <c r="AL172" i="24"/>
  <c r="AK172" i="24"/>
  <c r="AJ172" i="24"/>
  <c r="AI172" i="24"/>
  <c r="AH172" i="24"/>
  <c r="AG172" i="24"/>
  <c r="AF172" i="24"/>
  <c r="AE172" i="24"/>
  <c r="AD172" i="24"/>
  <c r="AC172" i="24"/>
  <c r="AB172" i="24"/>
  <c r="BX171" i="24"/>
  <c r="BW171" i="24"/>
  <c r="BV171" i="24"/>
  <c r="BU171" i="24"/>
  <c r="BT171" i="24"/>
  <c r="BS171" i="24"/>
  <c r="BR171" i="24"/>
  <c r="BQ171" i="24"/>
  <c r="BP171" i="24"/>
  <c r="BO171" i="24"/>
  <c r="BN171" i="24"/>
  <c r="BM171" i="24"/>
  <c r="BL171" i="24"/>
  <c r="BK171" i="24"/>
  <c r="BJ171" i="24"/>
  <c r="BI171" i="24"/>
  <c r="BH171" i="24"/>
  <c r="BG171" i="24"/>
  <c r="BF171" i="24"/>
  <c r="BE171" i="24"/>
  <c r="BD171" i="24"/>
  <c r="BC171" i="24"/>
  <c r="BB171" i="24"/>
  <c r="BA171" i="24"/>
  <c r="AY171" i="24"/>
  <c r="AX171" i="24"/>
  <c r="AW171" i="24"/>
  <c r="AV171" i="24"/>
  <c r="AU171" i="24"/>
  <c r="AT171" i="24"/>
  <c r="AS171" i="24"/>
  <c r="AR171" i="24"/>
  <c r="AQ171" i="24"/>
  <c r="AP171" i="24"/>
  <c r="AN171" i="24"/>
  <c r="AM171" i="24"/>
  <c r="AL171" i="24"/>
  <c r="AK171" i="24"/>
  <c r="AJ171" i="24"/>
  <c r="AI171" i="24"/>
  <c r="AH171" i="24"/>
  <c r="AG171" i="24"/>
  <c r="AF171" i="24"/>
  <c r="AE171" i="24"/>
  <c r="AD171" i="24"/>
  <c r="AC171" i="24"/>
  <c r="AB171" i="24"/>
  <c r="BX170" i="24"/>
  <c r="BW170" i="24"/>
  <c r="BV170" i="24"/>
  <c r="BU170" i="24"/>
  <c r="BT170" i="24"/>
  <c r="BS170" i="24"/>
  <c r="BR170" i="24"/>
  <c r="BQ170" i="24"/>
  <c r="BP170" i="24"/>
  <c r="BO170" i="24"/>
  <c r="BN170" i="24"/>
  <c r="BM170" i="24"/>
  <c r="BL170" i="24"/>
  <c r="BK170" i="24"/>
  <c r="BJ170" i="24"/>
  <c r="BI170" i="24"/>
  <c r="BH170" i="24"/>
  <c r="BG170" i="24"/>
  <c r="BF170" i="24"/>
  <c r="BE170" i="24"/>
  <c r="BD170" i="24"/>
  <c r="BC170" i="24"/>
  <c r="BB170" i="24"/>
  <c r="BA170" i="24"/>
  <c r="AY170" i="24"/>
  <c r="AX170" i="24"/>
  <c r="AW170" i="24"/>
  <c r="AV170" i="24"/>
  <c r="AU170" i="24"/>
  <c r="AT170" i="24"/>
  <c r="AS170" i="24"/>
  <c r="AR170" i="24"/>
  <c r="AQ170" i="24"/>
  <c r="AP170" i="24"/>
  <c r="AO170" i="24"/>
  <c r="AN170" i="24"/>
  <c r="AM170" i="24"/>
  <c r="AL170" i="24"/>
  <c r="AK170" i="24"/>
  <c r="AJ170" i="24"/>
  <c r="AI170" i="24"/>
  <c r="AH170" i="24"/>
  <c r="AG170" i="24"/>
  <c r="AF170" i="24"/>
  <c r="AE170" i="24"/>
  <c r="AD170" i="24"/>
  <c r="AC170" i="24"/>
  <c r="AB170" i="24"/>
  <c r="BX169" i="24"/>
  <c r="BW169" i="24"/>
  <c r="BV169" i="24"/>
  <c r="BU169" i="24"/>
  <c r="BT169" i="24"/>
  <c r="BS169" i="24"/>
  <c r="BR169" i="24"/>
  <c r="BQ169" i="24"/>
  <c r="BP169" i="24"/>
  <c r="BO169" i="24"/>
  <c r="BN169" i="24"/>
  <c r="BM169" i="24"/>
  <c r="BL169" i="24"/>
  <c r="BK169" i="24"/>
  <c r="BJ169" i="24"/>
  <c r="BI169" i="24"/>
  <c r="BH169" i="24"/>
  <c r="BG169" i="24"/>
  <c r="BF169" i="24"/>
  <c r="BE169" i="24"/>
  <c r="BD169" i="24"/>
  <c r="BC169" i="24"/>
  <c r="BB169" i="24"/>
  <c r="BA169" i="24"/>
  <c r="AY169" i="24"/>
  <c r="AX169" i="24"/>
  <c r="AW169" i="24"/>
  <c r="AV169" i="24"/>
  <c r="AU169" i="24"/>
  <c r="AT169" i="24"/>
  <c r="AS169" i="24"/>
  <c r="AR169" i="24"/>
  <c r="AQ169" i="24"/>
  <c r="AP169" i="24"/>
  <c r="AO169" i="24"/>
  <c r="AN169" i="24"/>
  <c r="AM169" i="24"/>
  <c r="AL169" i="24"/>
  <c r="AK169" i="24"/>
  <c r="AJ169" i="24"/>
  <c r="AI169" i="24"/>
  <c r="AH169" i="24"/>
  <c r="AG169" i="24"/>
  <c r="AF169" i="24"/>
  <c r="AE169" i="24"/>
  <c r="AD169" i="24"/>
  <c r="AC169" i="24"/>
  <c r="AB169" i="24"/>
  <c r="BX168" i="24"/>
  <c r="BW168" i="24"/>
  <c r="BV168" i="24"/>
  <c r="BU168" i="24"/>
  <c r="BT168" i="24"/>
  <c r="BS168" i="24"/>
  <c r="BR168" i="24"/>
  <c r="BQ168" i="24"/>
  <c r="BP168" i="24"/>
  <c r="BO168" i="24"/>
  <c r="BN168" i="24"/>
  <c r="BM168" i="24"/>
  <c r="BL168" i="24"/>
  <c r="BK168" i="24"/>
  <c r="BJ168" i="24"/>
  <c r="BI168" i="24"/>
  <c r="BH168" i="24"/>
  <c r="BG168" i="24"/>
  <c r="BF168" i="24"/>
  <c r="BE168" i="24"/>
  <c r="BD168" i="24"/>
  <c r="BC168" i="24"/>
  <c r="BB168" i="24"/>
  <c r="BA168" i="24"/>
  <c r="AY168" i="24"/>
  <c r="AX168" i="24"/>
  <c r="AW168" i="24"/>
  <c r="AV168" i="24"/>
  <c r="AU168" i="24"/>
  <c r="AT168" i="24"/>
  <c r="AS168" i="24"/>
  <c r="AR168" i="24"/>
  <c r="AQ168" i="24"/>
  <c r="AP168" i="24"/>
  <c r="AO168" i="24"/>
  <c r="AN168" i="24"/>
  <c r="AM168" i="24"/>
  <c r="AL168" i="24"/>
  <c r="AK168" i="24"/>
  <c r="AJ168" i="24"/>
  <c r="AI168" i="24"/>
  <c r="AH168" i="24"/>
  <c r="AG168" i="24"/>
  <c r="AF168" i="24"/>
  <c r="AE168" i="24"/>
  <c r="AD168" i="24"/>
  <c r="AC168" i="24"/>
  <c r="AB168" i="24"/>
  <c r="BX167" i="24"/>
  <c r="BW167" i="24"/>
  <c r="BV167" i="24"/>
  <c r="BU167" i="24"/>
  <c r="BT167" i="24"/>
  <c r="BS167" i="24"/>
  <c r="BR167" i="24"/>
  <c r="BQ167" i="24"/>
  <c r="BP167" i="24"/>
  <c r="BO167" i="24"/>
  <c r="BN167" i="24"/>
  <c r="BM167" i="24"/>
  <c r="BL167" i="24"/>
  <c r="BK167" i="24"/>
  <c r="BJ167" i="24"/>
  <c r="BI167" i="24"/>
  <c r="BH167" i="24"/>
  <c r="BG167" i="24"/>
  <c r="BF167" i="24"/>
  <c r="BE167" i="24"/>
  <c r="BD167" i="24"/>
  <c r="BC167" i="24"/>
  <c r="BB167" i="24"/>
  <c r="BA167" i="24"/>
  <c r="AY167" i="24"/>
  <c r="AX167" i="24"/>
  <c r="AW167" i="24"/>
  <c r="AV167" i="24"/>
  <c r="AU167" i="24"/>
  <c r="AT167" i="24"/>
  <c r="AS167" i="24"/>
  <c r="AR167" i="24"/>
  <c r="AQ167" i="24"/>
  <c r="AP167" i="24"/>
  <c r="AO167" i="24"/>
  <c r="AN167" i="24"/>
  <c r="AM167" i="24"/>
  <c r="AL167" i="24"/>
  <c r="AK167" i="24"/>
  <c r="AJ167" i="24"/>
  <c r="AI167" i="24"/>
  <c r="AH167" i="24"/>
  <c r="AG167" i="24"/>
  <c r="AF167" i="24"/>
  <c r="AE167" i="24"/>
  <c r="AD167" i="24"/>
  <c r="AC167" i="24"/>
  <c r="AB167" i="24"/>
  <c r="BX166" i="24"/>
  <c r="BW166" i="24"/>
  <c r="BV166" i="24"/>
  <c r="BU166" i="24"/>
  <c r="BT166" i="24"/>
  <c r="BS166" i="24"/>
  <c r="BR166" i="24"/>
  <c r="BQ166" i="24"/>
  <c r="BP166" i="24"/>
  <c r="BO166" i="24"/>
  <c r="BN166" i="24"/>
  <c r="BM166" i="24"/>
  <c r="BL166" i="24"/>
  <c r="BK166" i="24"/>
  <c r="BJ166" i="24"/>
  <c r="BI166" i="24"/>
  <c r="BH166" i="24"/>
  <c r="BG166" i="24"/>
  <c r="BF166" i="24"/>
  <c r="BE166" i="24"/>
  <c r="BD166" i="24"/>
  <c r="BC166" i="24"/>
  <c r="BB166" i="24"/>
  <c r="BA166" i="24"/>
  <c r="AY166" i="24"/>
  <c r="AX166" i="24"/>
  <c r="AW166" i="24"/>
  <c r="AV166" i="24"/>
  <c r="AU166" i="24"/>
  <c r="AT166" i="24"/>
  <c r="AS166" i="24"/>
  <c r="AR166" i="24"/>
  <c r="AQ166" i="24"/>
  <c r="AP166" i="24"/>
  <c r="AO166" i="24"/>
  <c r="AN166" i="24"/>
  <c r="AM166" i="24"/>
  <c r="AL166" i="24"/>
  <c r="AK166" i="24"/>
  <c r="AJ166" i="24"/>
  <c r="AI166" i="24"/>
  <c r="AH166" i="24"/>
  <c r="AG166" i="24"/>
  <c r="AF166" i="24"/>
  <c r="AE166" i="24"/>
  <c r="AD166" i="24"/>
  <c r="AC166" i="24"/>
  <c r="AB166" i="24"/>
  <c r="BX165" i="24"/>
  <c r="BW165" i="24"/>
  <c r="BV165" i="24"/>
  <c r="BU165" i="24"/>
  <c r="BT165" i="24"/>
  <c r="BS165" i="24"/>
  <c r="BR165" i="24"/>
  <c r="BQ165" i="24"/>
  <c r="BP165" i="24"/>
  <c r="BO165" i="24"/>
  <c r="BN165" i="24"/>
  <c r="BM165" i="24"/>
  <c r="BL165" i="24"/>
  <c r="BK165" i="24"/>
  <c r="BJ165" i="24"/>
  <c r="BI165" i="24"/>
  <c r="BH165" i="24"/>
  <c r="BG165" i="24"/>
  <c r="BF165" i="24"/>
  <c r="BE165" i="24"/>
  <c r="BD165" i="24"/>
  <c r="BC165" i="24"/>
  <c r="BB165" i="24"/>
  <c r="BA165" i="24"/>
  <c r="AY165" i="24"/>
  <c r="AX165" i="24"/>
  <c r="AW165" i="24"/>
  <c r="AV165" i="24"/>
  <c r="AU165" i="24"/>
  <c r="AT165" i="24"/>
  <c r="AS165" i="24"/>
  <c r="AR165" i="24"/>
  <c r="AQ165" i="24"/>
  <c r="AP165" i="24"/>
  <c r="AO165" i="24"/>
  <c r="AN165" i="24"/>
  <c r="AM165" i="24"/>
  <c r="AL165" i="24"/>
  <c r="AK165" i="24"/>
  <c r="AJ165" i="24"/>
  <c r="AI165" i="24"/>
  <c r="AH165" i="24"/>
  <c r="AG165" i="24"/>
  <c r="AF165" i="24"/>
  <c r="AE165" i="24"/>
  <c r="AD165" i="24"/>
  <c r="AC165" i="24"/>
  <c r="AB165" i="24"/>
  <c r="BX164" i="24"/>
  <c r="BW164" i="24"/>
  <c r="BV164" i="24"/>
  <c r="BU164" i="24"/>
  <c r="BT164" i="24"/>
  <c r="BS164" i="24"/>
  <c r="BR164" i="24"/>
  <c r="BQ164" i="24"/>
  <c r="BP164" i="24"/>
  <c r="BO164" i="24"/>
  <c r="BN164" i="24"/>
  <c r="BM164" i="24"/>
  <c r="BL164" i="24"/>
  <c r="BK164" i="24"/>
  <c r="BJ164" i="24"/>
  <c r="BI164" i="24"/>
  <c r="BH164" i="24"/>
  <c r="BG164" i="24"/>
  <c r="BF164" i="24"/>
  <c r="BE164" i="24"/>
  <c r="BD164" i="24"/>
  <c r="BC164" i="24"/>
  <c r="BB164" i="24"/>
  <c r="BA164" i="24"/>
  <c r="AY164" i="24"/>
  <c r="AX164" i="24"/>
  <c r="AW164" i="24"/>
  <c r="AV164" i="24"/>
  <c r="AU164" i="24"/>
  <c r="AT164" i="24"/>
  <c r="AS164" i="24"/>
  <c r="AR164" i="24"/>
  <c r="AQ164" i="24"/>
  <c r="AP164" i="24"/>
  <c r="AO164" i="24"/>
  <c r="AN164" i="24"/>
  <c r="AM164" i="24"/>
  <c r="AL164" i="24"/>
  <c r="AK164" i="24"/>
  <c r="AJ164" i="24"/>
  <c r="AI164" i="24"/>
  <c r="AH164" i="24"/>
  <c r="AG164" i="24"/>
  <c r="AF164" i="24"/>
  <c r="AE164" i="24"/>
  <c r="AD164" i="24"/>
  <c r="AC164" i="24"/>
  <c r="AB164" i="24"/>
  <c r="BX163" i="24"/>
  <c r="BW163" i="24"/>
  <c r="BV163" i="24"/>
  <c r="BU163" i="24"/>
  <c r="BT163" i="24"/>
  <c r="BS163" i="24"/>
  <c r="BR163" i="24"/>
  <c r="BQ163" i="24"/>
  <c r="BP163" i="24"/>
  <c r="BO163" i="24"/>
  <c r="BN163" i="24"/>
  <c r="BM163" i="24"/>
  <c r="BL163" i="24"/>
  <c r="BK163" i="24"/>
  <c r="BJ163" i="24"/>
  <c r="BI163" i="24"/>
  <c r="BH163" i="24"/>
  <c r="BG163" i="24"/>
  <c r="BF163" i="24"/>
  <c r="BE163" i="24"/>
  <c r="BD163" i="24"/>
  <c r="BC163" i="24"/>
  <c r="BB163" i="24"/>
  <c r="BA163" i="24"/>
  <c r="AY163" i="24"/>
  <c r="AX163" i="24"/>
  <c r="AW163" i="24"/>
  <c r="AV163" i="24"/>
  <c r="AU163" i="24"/>
  <c r="AT163" i="24"/>
  <c r="AS163" i="24"/>
  <c r="AR163" i="24"/>
  <c r="AQ163" i="24"/>
  <c r="AP163" i="24"/>
  <c r="AO163" i="24"/>
  <c r="AN163" i="24"/>
  <c r="AM163" i="24"/>
  <c r="AL163" i="24"/>
  <c r="AK163" i="24"/>
  <c r="AJ163" i="24"/>
  <c r="AI163" i="24"/>
  <c r="AH163" i="24"/>
  <c r="AG163" i="24"/>
  <c r="AF163" i="24"/>
  <c r="AE163" i="24"/>
  <c r="AD163" i="24"/>
  <c r="AC163" i="24"/>
  <c r="AB163" i="24"/>
  <c r="BX162" i="24"/>
  <c r="BW162" i="24"/>
  <c r="BV162" i="24"/>
  <c r="BU162" i="24"/>
  <c r="BT162" i="24"/>
  <c r="BS162" i="24"/>
  <c r="BR162" i="24"/>
  <c r="BQ162" i="24"/>
  <c r="BP162" i="24"/>
  <c r="BO162" i="24"/>
  <c r="BN162" i="24"/>
  <c r="BM162" i="24"/>
  <c r="BL162" i="24"/>
  <c r="BK162" i="24"/>
  <c r="BJ162" i="24"/>
  <c r="BI162" i="24"/>
  <c r="BH162" i="24"/>
  <c r="BG162" i="24"/>
  <c r="BF162" i="24"/>
  <c r="BE162" i="24"/>
  <c r="BD162" i="24"/>
  <c r="BC162" i="24"/>
  <c r="BB162" i="24"/>
  <c r="BA162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BX161" i="24"/>
  <c r="BW161" i="24"/>
  <c r="BV161" i="24"/>
  <c r="BU161" i="24"/>
  <c r="BT161" i="24"/>
  <c r="BS161" i="24"/>
  <c r="BR161" i="24"/>
  <c r="BQ161" i="24"/>
  <c r="BP161" i="24"/>
  <c r="BO161" i="24"/>
  <c r="BN161" i="24"/>
  <c r="BM161" i="24"/>
  <c r="BL161" i="24"/>
  <c r="BK161" i="24"/>
  <c r="BJ161" i="24"/>
  <c r="BI161" i="24"/>
  <c r="BH161" i="24"/>
  <c r="BG161" i="24"/>
  <c r="BF161" i="24"/>
  <c r="BE161" i="24"/>
  <c r="BD161" i="24"/>
  <c r="BC161" i="24"/>
  <c r="BB161" i="24"/>
  <c r="BA161" i="24"/>
  <c r="AY161" i="24"/>
  <c r="AX161" i="24"/>
  <c r="AW161" i="24"/>
  <c r="AV161" i="24"/>
  <c r="AU161" i="24"/>
  <c r="AT161" i="24"/>
  <c r="AS161" i="24"/>
  <c r="AR161" i="24"/>
  <c r="AQ161" i="24"/>
  <c r="AP161" i="24"/>
  <c r="AO161" i="24"/>
  <c r="AN161" i="24"/>
  <c r="AM161" i="24"/>
  <c r="AL161" i="24"/>
  <c r="AK161" i="24"/>
  <c r="AJ161" i="24"/>
  <c r="AI161" i="24"/>
  <c r="AH161" i="24"/>
  <c r="AG161" i="24"/>
  <c r="AF161" i="24"/>
  <c r="AE161" i="24"/>
  <c r="AD161" i="24"/>
  <c r="AC161" i="24"/>
  <c r="AB161" i="24"/>
  <c r="BX160" i="24"/>
  <c r="BW160" i="24"/>
  <c r="BV160" i="24"/>
  <c r="BU160" i="24"/>
  <c r="BT160" i="24"/>
  <c r="BS160" i="24"/>
  <c r="BR160" i="24"/>
  <c r="BQ160" i="24"/>
  <c r="BP160" i="24"/>
  <c r="BO160" i="24"/>
  <c r="BN160" i="24"/>
  <c r="BM160" i="24"/>
  <c r="BL160" i="24"/>
  <c r="BK160" i="24"/>
  <c r="BJ160" i="24"/>
  <c r="BI160" i="24"/>
  <c r="BH160" i="24"/>
  <c r="BG160" i="24"/>
  <c r="BF160" i="24"/>
  <c r="BE160" i="24"/>
  <c r="BD160" i="24"/>
  <c r="BC160" i="24"/>
  <c r="BB160" i="24"/>
  <c r="BA160" i="24"/>
  <c r="AY160" i="24"/>
  <c r="AX160" i="24"/>
  <c r="AW160" i="24"/>
  <c r="AV160" i="24"/>
  <c r="AU160" i="24"/>
  <c r="AT160" i="24"/>
  <c r="AS160" i="24"/>
  <c r="AR160" i="24"/>
  <c r="AQ160" i="24"/>
  <c r="AP160" i="24"/>
  <c r="AO160" i="24"/>
  <c r="AN160" i="24"/>
  <c r="AM160" i="24"/>
  <c r="AL160" i="24"/>
  <c r="AK160" i="24"/>
  <c r="AJ160" i="24"/>
  <c r="AI160" i="24"/>
  <c r="AH160" i="24"/>
  <c r="AG160" i="24"/>
  <c r="AF160" i="24"/>
  <c r="AE160" i="24"/>
  <c r="AD160" i="24"/>
  <c r="AC160" i="24"/>
  <c r="AB160" i="24"/>
  <c r="BX159" i="24"/>
  <c r="BW159" i="24"/>
  <c r="BV159" i="24"/>
  <c r="BU159" i="24"/>
  <c r="BT159" i="24"/>
  <c r="BS159" i="24"/>
  <c r="BR159" i="24"/>
  <c r="BQ159" i="24"/>
  <c r="BP159" i="24"/>
  <c r="BO159" i="24"/>
  <c r="BN159" i="24"/>
  <c r="BM159" i="24"/>
  <c r="BL159" i="24"/>
  <c r="BK159" i="24"/>
  <c r="BJ159" i="24"/>
  <c r="BI159" i="24"/>
  <c r="BH159" i="24"/>
  <c r="BG159" i="24"/>
  <c r="BF159" i="24"/>
  <c r="BE159" i="24"/>
  <c r="BD159" i="24"/>
  <c r="BC159" i="24"/>
  <c r="BB159" i="24"/>
  <c r="BA159" i="24"/>
  <c r="AY159" i="24"/>
  <c r="AX159" i="24"/>
  <c r="AW159" i="24"/>
  <c r="AV159" i="24"/>
  <c r="AU159" i="24"/>
  <c r="AT159" i="24"/>
  <c r="AS159" i="24"/>
  <c r="AR159" i="24"/>
  <c r="AQ159" i="24"/>
  <c r="AP159" i="24"/>
  <c r="AO159" i="24"/>
  <c r="AN159" i="24"/>
  <c r="AM159" i="24"/>
  <c r="AL159" i="24"/>
  <c r="AK159" i="24"/>
  <c r="AJ159" i="24"/>
  <c r="AI159" i="24"/>
  <c r="AH159" i="24"/>
  <c r="AG159" i="24"/>
  <c r="AF159" i="24"/>
  <c r="AE159" i="24"/>
  <c r="AD159" i="24"/>
  <c r="AC159" i="24"/>
  <c r="AB159" i="24"/>
  <c r="BX158" i="24"/>
  <c r="BW158" i="24"/>
  <c r="BV158" i="24"/>
  <c r="BU158" i="24"/>
  <c r="BT158" i="24"/>
  <c r="BS158" i="24"/>
  <c r="BR158" i="24"/>
  <c r="BQ158" i="24"/>
  <c r="BP158" i="24"/>
  <c r="BO158" i="24"/>
  <c r="BN158" i="24"/>
  <c r="BM158" i="24"/>
  <c r="BL158" i="24"/>
  <c r="BK158" i="24"/>
  <c r="BJ158" i="24"/>
  <c r="BI158" i="24"/>
  <c r="BH158" i="24"/>
  <c r="BG158" i="24"/>
  <c r="BF158" i="24"/>
  <c r="BE158" i="24"/>
  <c r="BD158" i="24"/>
  <c r="BC158" i="24"/>
  <c r="BB158" i="24"/>
  <c r="BA158" i="24"/>
  <c r="AY158" i="24"/>
  <c r="AX158" i="24"/>
  <c r="AW158" i="24"/>
  <c r="AV158" i="24"/>
  <c r="AU158" i="24"/>
  <c r="AT158" i="24"/>
  <c r="AS158" i="24"/>
  <c r="AR158" i="24"/>
  <c r="AQ158" i="24"/>
  <c r="AP158" i="24"/>
  <c r="AO158" i="24"/>
  <c r="AN158" i="24"/>
  <c r="AM158" i="24"/>
  <c r="AL158" i="24"/>
  <c r="AK158" i="24"/>
  <c r="AJ158" i="24"/>
  <c r="AI158" i="24"/>
  <c r="AH158" i="24"/>
  <c r="AG158" i="24"/>
  <c r="AF158" i="24"/>
  <c r="AE158" i="24"/>
  <c r="AD158" i="24"/>
  <c r="AC158" i="24"/>
  <c r="AB158" i="24"/>
  <c r="BX157" i="24"/>
  <c r="BW157" i="24"/>
  <c r="BV157" i="24"/>
  <c r="BU157" i="24"/>
  <c r="BT157" i="24"/>
  <c r="BS157" i="24"/>
  <c r="BR157" i="24"/>
  <c r="BQ157" i="24"/>
  <c r="BP157" i="24"/>
  <c r="BO157" i="24"/>
  <c r="BN157" i="24"/>
  <c r="BM157" i="24"/>
  <c r="BL157" i="24"/>
  <c r="BK157" i="24"/>
  <c r="BJ157" i="24"/>
  <c r="BI157" i="24"/>
  <c r="BH157" i="24"/>
  <c r="BG157" i="24"/>
  <c r="BF157" i="24"/>
  <c r="BE157" i="24"/>
  <c r="BD157" i="24"/>
  <c r="BC157" i="24"/>
  <c r="BB157" i="24"/>
  <c r="BA157" i="24"/>
  <c r="AY157" i="24"/>
  <c r="AX157" i="24"/>
  <c r="AW157" i="24"/>
  <c r="AV157" i="24"/>
  <c r="AU157" i="24"/>
  <c r="AT157" i="24"/>
  <c r="AS157" i="24"/>
  <c r="AR157" i="24"/>
  <c r="AQ157" i="24"/>
  <c r="AP157" i="24"/>
  <c r="AO157" i="24"/>
  <c r="AN157" i="24"/>
  <c r="AM157" i="24"/>
  <c r="AL157" i="24"/>
  <c r="AK157" i="24"/>
  <c r="AJ157" i="24"/>
  <c r="AI157" i="24"/>
  <c r="AH157" i="24"/>
  <c r="AG157" i="24"/>
  <c r="AF157" i="24"/>
  <c r="AE157" i="24"/>
  <c r="AD157" i="24"/>
  <c r="AC157" i="24"/>
  <c r="AB157" i="24"/>
  <c r="BX156" i="24"/>
  <c r="BW156" i="24"/>
  <c r="BV156" i="24"/>
  <c r="BU156" i="24"/>
  <c r="BT156" i="24"/>
  <c r="BS156" i="24"/>
  <c r="BR156" i="24"/>
  <c r="BQ156" i="24"/>
  <c r="BP156" i="24"/>
  <c r="BO156" i="24"/>
  <c r="BN156" i="24"/>
  <c r="BM156" i="24"/>
  <c r="BL156" i="24"/>
  <c r="BK156" i="24"/>
  <c r="BJ156" i="24"/>
  <c r="BI156" i="24"/>
  <c r="BH156" i="24"/>
  <c r="BG156" i="24"/>
  <c r="BF156" i="24"/>
  <c r="BE156" i="24"/>
  <c r="BD156" i="24"/>
  <c r="BC156" i="24"/>
  <c r="BB156" i="24"/>
  <c r="BA156" i="24"/>
  <c r="AY156" i="24"/>
  <c r="AX156" i="24"/>
  <c r="AW156" i="24"/>
  <c r="AV156" i="24"/>
  <c r="AU156" i="24"/>
  <c r="AT156" i="24"/>
  <c r="AS156" i="24"/>
  <c r="AR156" i="24"/>
  <c r="AQ156" i="24"/>
  <c r="AP156" i="24"/>
  <c r="AO156" i="24"/>
  <c r="AN156" i="24"/>
  <c r="AM156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BX155" i="24"/>
  <c r="BW155" i="24"/>
  <c r="BV155" i="24"/>
  <c r="BU155" i="24"/>
  <c r="BT155" i="24"/>
  <c r="BS155" i="24"/>
  <c r="BR155" i="24"/>
  <c r="BQ155" i="24"/>
  <c r="BP155" i="24"/>
  <c r="BO155" i="24"/>
  <c r="BN155" i="24"/>
  <c r="BM155" i="24"/>
  <c r="BL155" i="24"/>
  <c r="BK155" i="24"/>
  <c r="BJ155" i="24"/>
  <c r="BI155" i="24"/>
  <c r="BH155" i="24"/>
  <c r="BG155" i="24"/>
  <c r="BF155" i="24"/>
  <c r="BE155" i="24"/>
  <c r="BD155" i="24"/>
  <c r="BC155" i="24"/>
  <c r="BB155" i="24"/>
  <c r="BA155" i="24"/>
  <c r="AY155" i="24"/>
  <c r="AX155" i="24"/>
  <c r="AW155" i="24"/>
  <c r="AV155" i="24"/>
  <c r="AU155" i="24"/>
  <c r="AT155" i="24"/>
  <c r="AS155" i="24"/>
  <c r="AR155" i="24"/>
  <c r="AQ155" i="24"/>
  <c r="AP155" i="24"/>
  <c r="AO155" i="24"/>
  <c r="AN155" i="24"/>
  <c r="AM155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BX154" i="24"/>
  <c r="BW154" i="24"/>
  <c r="BV154" i="24"/>
  <c r="BU154" i="24"/>
  <c r="BT154" i="24"/>
  <c r="BS154" i="24"/>
  <c r="BR154" i="24"/>
  <c r="BQ154" i="24"/>
  <c r="BP154" i="24"/>
  <c r="BO154" i="24"/>
  <c r="BN154" i="24"/>
  <c r="BM154" i="24"/>
  <c r="BL154" i="24"/>
  <c r="BK154" i="24"/>
  <c r="BJ154" i="24"/>
  <c r="BI154" i="24"/>
  <c r="BH154" i="24"/>
  <c r="BG154" i="24"/>
  <c r="BF154" i="24"/>
  <c r="BE154" i="24"/>
  <c r="BD154" i="24"/>
  <c r="BC154" i="24"/>
  <c r="BB154" i="24"/>
  <c r="BA154" i="24"/>
  <c r="AY154" i="24"/>
  <c r="AX154" i="24"/>
  <c r="AW154" i="24"/>
  <c r="AV154" i="24"/>
  <c r="AU154" i="24"/>
  <c r="AT154" i="24"/>
  <c r="AS154" i="24"/>
  <c r="AR154" i="24"/>
  <c r="AQ154" i="24"/>
  <c r="AP154" i="24"/>
  <c r="AO154" i="24"/>
  <c r="AN154" i="24"/>
  <c r="AM154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BX153" i="24"/>
  <c r="BW153" i="24"/>
  <c r="BV153" i="24"/>
  <c r="BU153" i="24"/>
  <c r="BT153" i="24"/>
  <c r="BS153" i="24"/>
  <c r="BR153" i="24"/>
  <c r="BQ153" i="24"/>
  <c r="BP153" i="24"/>
  <c r="BO153" i="24"/>
  <c r="BN153" i="24"/>
  <c r="BM153" i="24"/>
  <c r="BL153" i="24"/>
  <c r="BK153" i="24"/>
  <c r="BJ153" i="24"/>
  <c r="BI153" i="24"/>
  <c r="BH153" i="24"/>
  <c r="BG153" i="24"/>
  <c r="BF153" i="24"/>
  <c r="BE153" i="24"/>
  <c r="BD153" i="24"/>
  <c r="BC153" i="24"/>
  <c r="BB153" i="24"/>
  <c r="BA153" i="24"/>
  <c r="AY153" i="24"/>
  <c r="AX153" i="24"/>
  <c r="AW153" i="24"/>
  <c r="AV153" i="24"/>
  <c r="AU153" i="24"/>
  <c r="AT153" i="24"/>
  <c r="AS153" i="24"/>
  <c r="AR153" i="24"/>
  <c r="AQ153" i="24"/>
  <c r="AP153" i="24"/>
  <c r="AO153" i="24"/>
  <c r="AN153" i="24"/>
  <c r="AM153" i="24"/>
  <c r="AL153" i="24"/>
  <c r="AK153" i="24"/>
  <c r="AJ153" i="24"/>
  <c r="AI153" i="24"/>
  <c r="AH153" i="24"/>
  <c r="AG153" i="24"/>
  <c r="AF153" i="24"/>
  <c r="AE153" i="24"/>
  <c r="AD153" i="24"/>
  <c r="AC153" i="24"/>
  <c r="AB153" i="24"/>
  <c r="BX152" i="24"/>
  <c r="BW152" i="24"/>
  <c r="BV152" i="24"/>
  <c r="BU152" i="24"/>
  <c r="BT152" i="24"/>
  <c r="BS152" i="24"/>
  <c r="BR152" i="24"/>
  <c r="BQ152" i="24"/>
  <c r="BP152" i="24"/>
  <c r="BO152" i="24"/>
  <c r="BN152" i="24"/>
  <c r="BM152" i="24"/>
  <c r="BL152" i="24"/>
  <c r="BK152" i="24"/>
  <c r="BJ152" i="24"/>
  <c r="BI152" i="24"/>
  <c r="BH152" i="24"/>
  <c r="BG152" i="24"/>
  <c r="BF152" i="24"/>
  <c r="BE152" i="24"/>
  <c r="BD152" i="24"/>
  <c r="BC152" i="24"/>
  <c r="BB152" i="24"/>
  <c r="BA152" i="24"/>
  <c r="AY152" i="24"/>
  <c r="AX152" i="24"/>
  <c r="AW152" i="24"/>
  <c r="AV152" i="24"/>
  <c r="AU152" i="24"/>
  <c r="AT152" i="24"/>
  <c r="AS152" i="24"/>
  <c r="AR152" i="24"/>
  <c r="AQ152" i="24"/>
  <c r="AP152" i="24"/>
  <c r="AO152" i="24"/>
  <c r="AN152" i="24"/>
  <c r="AM152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BX151" i="24"/>
  <c r="BW151" i="24"/>
  <c r="BV151" i="24"/>
  <c r="BU151" i="24"/>
  <c r="BT151" i="24"/>
  <c r="BS151" i="24"/>
  <c r="BR151" i="24"/>
  <c r="BQ151" i="24"/>
  <c r="BP151" i="24"/>
  <c r="BO151" i="24"/>
  <c r="BN151" i="24"/>
  <c r="BM151" i="24"/>
  <c r="BL151" i="24"/>
  <c r="BK151" i="24"/>
  <c r="BJ151" i="24"/>
  <c r="BI151" i="24"/>
  <c r="BH151" i="24"/>
  <c r="BG151" i="24"/>
  <c r="BF151" i="24"/>
  <c r="BE151" i="24"/>
  <c r="BD151" i="24"/>
  <c r="BC151" i="24"/>
  <c r="BB151" i="24"/>
  <c r="BA151" i="24"/>
  <c r="AY151" i="24"/>
  <c r="AX151" i="24"/>
  <c r="AW151" i="24"/>
  <c r="AV151" i="24"/>
  <c r="AU151" i="24"/>
  <c r="AT151" i="24"/>
  <c r="AS151" i="24"/>
  <c r="AR151" i="24"/>
  <c r="AQ151" i="24"/>
  <c r="AP151" i="24"/>
  <c r="AO151" i="24"/>
  <c r="AN151" i="24"/>
  <c r="AM151" i="24"/>
  <c r="AL151" i="24"/>
  <c r="AK151" i="24"/>
  <c r="AJ151" i="24"/>
  <c r="AI151" i="24"/>
  <c r="AH151" i="24"/>
  <c r="AG151" i="24"/>
  <c r="AF151" i="24"/>
  <c r="AE151" i="24"/>
  <c r="AD151" i="24"/>
  <c r="AC151" i="24"/>
  <c r="AB151" i="24"/>
  <c r="BX150" i="24"/>
  <c r="BW150" i="24"/>
  <c r="BV150" i="24"/>
  <c r="BU150" i="24"/>
  <c r="BT150" i="24"/>
  <c r="BS150" i="24"/>
  <c r="BR150" i="24"/>
  <c r="BQ150" i="24"/>
  <c r="BP150" i="24"/>
  <c r="BO150" i="24"/>
  <c r="BN150" i="24"/>
  <c r="BM150" i="24"/>
  <c r="BL150" i="24"/>
  <c r="BK150" i="24"/>
  <c r="BJ150" i="24"/>
  <c r="BI150" i="24"/>
  <c r="BH150" i="24"/>
  <c r="BG150" i="24"/>
  <c r="BF150" i="24"/>
  <c r="BE150" i="24"/>
  <c r="BD150" i="24"/>
  <c r="BC150" i="24"/>
  <c r="BB150" i="24"/>
  <c r="BA150" i="24"/>
  <c r="AY150" i="24"/>
  <c r="AX150" i="24"/>
  <c r="AW150" i="24"/>
  <c r="AV150" i="24"/>
  <c r="AU150" i="24"/>
  <c r="AT150" i="24"/>
  <c r="AS150" i="24"/>
  <c r="AR150" i="24"/>
  <c r="AQ150" i="24"/>
  <c r="AP150" i="24"/>
  <c r="AO150" i="24"/>
  <c r="AN150" i="24"/>
  <c r="AM150" i="24"/>
  <c r="AL150" i="24"/>
  <c r="AK150" i="24"/>
  <c r="AJ150" i="24"/>
  <c r="AI150" i="24"/>
  <c r="AH150" i="24"/>
  <c r="AG150" i="24"/>
  <c r="AF150" i="24"/>
  <c r="AE150" i="24"/>
  <c r="AD150" i="24"/>
  <c r="AC150" i="24"/>
  <c r="AB150" i="24"/>
  <c r="BX149" i="24"/>
  <c r="BW149" i="24"/>
  <c r="BV149" i="24"/>
  <c r="BU149" i="24"/>
  <c r="BT149" i="24"/>
  <c r="BS149" i="24"/>
  <c r="BR149" i="24"/>
  <c r="BQ149" i="24"/>
  <c r="BP149" i="24"/>
  <c r="BO149" i="24"/>
  <c r="BN149" i="24"/>
  <c r="BM149" i="24"/>
  <c r="BL149" i="24"/>
  <c r="BK149" i="24"/>
  <c r="BJ149" i="24"/>
  <c r="BI149" i="24"/>
  <c r="BH149" i="24"/>
  <c r="BG149" i="24"/>
  <c r="BF149" i="24"/>
  <c r="BE149" i="24"/>
  <c r="BD149" i="24"/>
  <c r="BC149" i="24"/>
  <c r="BB149" i="24"/>
  <c r="BA149" i="24"/>
  <c r="AY149" i="24"/>
  <c r="AX149" i="24"/>
  <c r="AW149" i="24"/>
  <c r="AV149" i="24"/>
  <c r="AU149" i="24"/>
  <c r="AT149" i="24"/>
  <c r="AS149" i="24"/>
  <c r="AR149" i="24"/>
  <c r="AQ149" i="24"/>
  <c r="AP149" i="24"/>
  <c r="AO149" i="24"/>
  <c r="AN149" i="24"/>
  <c r="AM149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BX148" i="24"/>
  <c r="BW148" i="24"/>
  <c r="BV148" i="24"/>
  <c r="BU148" i="24"/>
  <c r="BT148" i="24"/>
  <c r="BS148" i="24"/>
  <c r="BR148" i="24"/>
  <c r="BQ148" i="24"/>
  <c r="BP148" i="24"/>
  <c r="BO148" i="24"/>
  <c r="BN148" i="24"/>
  <c r="BM148" i="24"/>
  <c r="BL148" i="24"/>
  <c r="BK148" i="24"/>
  <c r="BJ148" i="24"/>
  <c r="BI148" i="24"/>
  <c r="BH148" i="24"/>
  <c r="BG148" i="24"/>
  <c r="BF148" i="24"/>
  <c r="BE148" i="24"/>
  <c r="BD148" i="24"/>
  <c r="BC148" i="24"/>
  <c r="BB148" i="24"/>
  <c r="BA148" i="24"/>
  <c r="AY148" i="24"/>
  <c r="AX148" i="24"/>
  <c r="AW148" i="24"/>
  <c r="AV148" i="24"/>
  <c r="AU148" i="24"/>
  <c r="AT148" i="24"/>
  <c r="AS148" i="24"/>
  <c r="AR148" i="24"/>
  <c r="AQ148" i="24"/>
  <c r="AP148" i="24"/>
  <c r="AO148" i="24"/>
  <c r="AN148" i="24"/>
  <c r="AM148" i="24"/>
  <c r="AL148" i="24"/>
  <c r="AK148" i="24"/>
  <c r="AJ148" i="24"/>
  <c r="AI148" i="24"/>
  <c r="AH148" i="24"/>
  <c r="AG148" i="24"/>
  <c r="AF148" i="24"/>
  <c r="AE148" i="24"/>
  <c r="AD148" i="24"/>
  <c r="AC148" i="24"/>
  <c r="AB148" i="24"/>
  <c r="BX147" i="24"/>
  <c r="BW147" i="24"/>
  <c r="BV147" i="24"/>
  <c r="BU147" i="24"/>
  <c r="BT147" i="24"/>
  <c r="BS147" i="24"/>
  <c r="BR147" i="24"/>
  <c r="BQ147" i="24"/>
  <c r="BP147" i="24"/>
  <c r="BO147" i="24"/>
  <c r="BN147" i="24"/>
  <c r="BM147" i="24"/>
  <c r="BL147" i="24"/>
  <c r="BK147" i="24"/>
  <c r="BJ147" i="24"/>
  <c r="BI147" i="24"/>
  <c r="BH147" i="24"/>
  <c r="BG147" i="24"/>
  <c r="BF147" i="24"/>
  <c r="BE147" i="24"/>
  <c r="BD147" i="24"/>
  <c r="BC147" i="24"/>
  <c r="BB147" i="24"/>
  <c r="BA147" i="24"/>
  <c r="AY147" i="24"/>
  <c r="AX147" i="24"/>
  <c r="AW147" i="24"/>
  <c r="AV147" i="24"/>
  <c r="AU147" i="24"/>
  <c r="AT147" i="24"/>
  <c r="AS147" i="24"/>
  <c r="AR147" i="24"/>
  <c r="AQ147" i="24"/>
  <c r="AP147" i="24"/>
  <c r="AO147" i="24"/>
  <c r="AN147" i="24"/>
  <c r="AM147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BX146" i="24"/>
  <c r="BW146" i="24"/>
  <c r="BV146" i="24"/>
  <c r="BU146" i="24"/>
  <c r="BT146" i="24"/>
  <c r="BS146" i="24"/>
  <c r="BR146" i="24"/>
  <c r="BQ146" i="24"/>
  <c r="BP146" i="24"/>
  <c r="BO146" i="24"/>
  <c r="BN146" i="24"/>
  <c r="BM146" i="24"/>
  <c r="BL146" i="24"/>
  <c r="BK146" i="24"/>
  <c r="BJ146" i="24"/>
  <c r="BI146" i="24"/>
  <c r="BH146" i="24"/>
  <c r="BG146" i="24"/>
  <c r="BF146" i="24"/>
  <c r="BE146" i="24"/>
  <c r="BD146" i="24"/>
  <c r="BC146" i="24"/>
  <c r="BB146" i="24"/>
  <c r="BA146" i="24"/>
  <c r="AY146" i="24"/>
  <c r="AX146" i="24"/>
  <c r="AW146" i="24"/>
  <c r="AV146" i="24"/>
  <c r="AU146" i="24"/>
  <c r="AT146" i="24"/>
  <c r="AS146" i="24"/>
  <c r="AR146" i="24"/>
  <c r="AQ146" i="24"/>
  <c r="AP146" i="24"/>
  <c r="AO146" i="24"/>
  <c r="AN146" i="24"/>
  <c r="AM146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BX145" i="24"/>
  <c r="BW145" i="24"/>
  <c r="BV145" i="24"/>
  <c r="BU145" i="24"/>
  <c r="BT145" i="24"/>
  <c r="BS145" i="24"/>
  <c r="BR145" i="24"/>
  <c r="BQ145" i="24"/>
  <c r="BP145" i="24"/>
  <c r="BO145" i="24"/>
  <c r="BN145" i="24"/>
  <c r="BM145" i="24"/>
  <c r="BL145" i="24"/>
  <c r="BK145" i="24"/>
  <c r="BJ145" i="24"/>
  <c r="BI145" i="24"/>
  <c r="BH145" i="24"/>
  <c r="BG145" i="24"/>
  <c r="BF145" i="24"/>
  <c r="BE145" i="24"/>
  <c r="BD145" i="24"/>
  <c r="BC145" i="24"/>
  <c r="BB145" i="24"/>
  <c r="BA145" i="24"/>
  <c r="AY145" i="24"/>
  <c r="AX145" i="24"/>
  <c r="AW145" i="24"/>
  <c r="AV145" i="24"/>
  <c r="AU145" i="24"/>
  <c r="AT145" i="24"/>
  <c r="AS145" i="24"/>
  <c r="AR145" i="24"/>
  <c r="AQ145" i="24"/>
  <c r="AP145" i="24"/>
  <c r="AO145" i="24"/>
  <c r="AN145" i="24"/>
  <c r="AM145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BX144" i="24"/>
  <c r="BW144" i="24"/>
  <c r="BV144" i="24"/>
  <c r="BU144" i="24"/>
  <c r="BT144" i="24"/>
  <c r="BS144" i="24"/>
  <c r="BR144" i="24"/>
  <c r="BQ144" i="24"/>
  <c r="BP144" i="24"/>
  <c r="BO144" i="24"/>
  <c r="BN144" i="24"/>
  <c r="BM144" i="24"/>
  <c r="BL144" i="24"/>
  <c r="BK144" i="24"/>
  <c r="BJ144" i="24"/>
  <c r="BI144" i="24"/>
  <c r="BH144" i="24"/>
  <c r="BG144" i="24"/>
  <c r="BF144" i="24"/>
  <c r="BE144" i="24"/>
  <c r="BD144" i="24"/>
  <c r="BC144" i="24"/>
  <c r="BB144" i="24"/>
  <c r="BA144" i="24"/>
  <c r="AY144" i="24"/>
  <c r="AX144" i="24"/>
  <c r="AW144" i="24"/>
  <c r="AV144" i="24"/>
  <c r="AU144" i="24"/>
  <c r="AT144" i="24"/>
  <c r="AS144" i="24"/>
  <c r="AR144" i="24"/>
  <c r="AQ144" i="24"/>
  <c r="AP144" i="24"/>
  <c r="AO144" i="24"/>
  <c r="AN144" i="24"/>
  <c r="AM144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BX143" i="24"/>
  <c r="BW143" i="24"/>
  <c r="BV143" i="24"/>
  <c r="BU143" i="24"/>
  <c r="BT143" i="24"/>
  <c r="BS143" i="24"/>
  <c r="BR143" i="24"/>
  <c r="BQ143" i="24"/>
  <c r="BP143" i="24"/>
  <c r="BO143" i="24"/>
  <c r="BN143" i="24"/>
  <c r="BM143" i="24"/>
  <c r="BL143" i="24"/>
  <c r="BK143" i="24"/>
  <c r="BJ143" i="24"/>
  <c r="BI143" i="24"/>
  <c r="BH143" i="24"/>
  <c r="BG143" i="24"/>
  <c r="BF143" i="24"/>
  <c r="BE143" i="24"/>
  <c r="BD143" i="24"/>
  <c r="BC143" i="24"/>
  <c r="BB143" i="24"/>
  <c r="BA143" i="24"/>
  <c r="AY143" i="24"/>
  <c r="AX143" i="24"/>
  <c r="AW143" i="24"/>
  <c r="AV143" i="24"/>
  <c r="AU143" i="24"/>
  <c r="AT143" i="24"/>
  <c r="AS143" i="24"/>
  <c r="AR143" i="24"/>
  <c r="AQ143" i="24"/>
  <c r="AP143" i="24"/>
  <c r="AO143" i="24"/>
  <c r="AN143" i="24"/>
  <c r="AM143" i="24"/>
  <c r="AL143" i="24"/>
  <c r="AK143" i="24"/>
  <c r="AJ143" i="24"/>
  <c r="AI143" i="24"/>
  <c r="AH143" i="24"/>
  <c r="AG143" i="24"/>
  <c r="AF143" i="24"/>
  <c r="AE143" i="24"/>
  <c r="AD143" i="24"/>
  <c r="AC143" i="24"/>
  <c r="AB143" i="24"/>
  <c r="BX142" i="24"/>
  <c r="BW142" i="24"/>
  <c r="BV142" i="24"/>
  <c r="BU142" i="24"/>
  <c r="BT142" i="24"/>
  <c r="BS142" i="24"/>
  <c r="BR142" i="24"/>
  <c r="BQ142" i="24"/>
  <c r="BP142" i="24"/>
  <c r="BO142" i="24"/>
  <c r="BN142" i="24"/>
  <c r="BM142" i="24"/>
  <c r="BL142" i="24"/>
  <c r="BK142" i="24"/>
  <c r="BJ142" i="24"/>
  <c r="BI142" i="24"/>
  <c r="BH142" i="24"/>
  <c r="BG142" i="24"/>
  <c r="BF142" i="24"/>
  <c r="BE142" i="24"/>
  <c r="BD142" i="24"/>
  <c r="BC142" i="24"/>
  <c r="BB142" i="24"/>
  <c r="BA142" i="24"/>
  <c r="AY142" i="24"/>
  <c r="AX142" i="24"/>
  <c r="AW142" i="24"/>
  <c r="AV142" i="24"/>
  <c r="AU142" i="24"/>
  <c r="AT142" i="24"/>
  <c r="AS142" i="24"/>
  <c r="AR142" i="24"/>
  <c r="AQ142" i="24"/>
  <c r="AP142" i="24"/>
  <c r="AO142" i="24"/>
  <c r="AN142" i="24"/>
  <c r="AM142" i="24"/>
  <c r="AL142" i="24"/>
  <c r="AK142" i="24"/>
  <c r="AJ142" i="24"/>
  <c r="AI142" i="24"/>
  <c r="AH142" i="24"/>
  <c r="AG142" i="24"/>
  <c r="AF142" i="24"/>
  <c r="AE142" i="24"/>
  <c r="AD142" i="24"/>
  <c r="AC142" i="24"/>
  <c r="AB142" i="24"/>
  <c r="BX141" i="24"/>
  <c r="BW141" i="24"/>
  <c r="BV141" i="24"/>
  <c r="BU141" i="24"/>
  <c r="BT141" i="24"/>
  <c r="BS141" i="24"/>
  <c r="BR141" i="24"/>
  <c r="BQ141" i="24"/>
  <c r="BP141" i="24"/>
  <c r="BO141" i="24"/>
  <c r="BN141" i="24"/>
  <c r="BM141" i="24"/>
  <c r="BL141" i="24"/>
  <c r="BK141" i="24"/>
  <c r="BJ141" i="24"/>
  <c r="BI141" i="24"/>
  <c r="BH141" i="24"/>
  <c r="BG141" i="24"/>
  <c r="BF141" i="24"/>
  <c r="BE141" i="24"/>
  <c r="BD141" i="24"/>
  <c r="BC141" i="24"/>
  <c r="BB141" i="24"/>
  <c r="BA141" i="24"/>
  <c r="AY141" i="24"/>
  <c r="AX141" i="24"/>
  <c r="AW141" i="24"/>
  <c r="AV141" i="24"/>
  <c r="AU141" i="24"/>
  <c r="AT141" i="24"/>
  <c r="AS141" i="24"/>
  <c r="AR141" i="24"/>
  <c r="AQ141" i="24"/>
  <c r="AP141" i="24"/>
  <c r="AO141" i="24"/>
  <c r="AN141" i="24"/>
  <c r="AM141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BX140" i="24"/>
  <c r="BW140" i="24"/>
  <c r="BV140" i="24"/>
  <c r="BU140" i="24"/>
  <c r="BT140" i="24"/>
  <c r="BS140" i="24"/>
  <c r="BR140" i="24"/>
  <c r="BQ140" i="24"/>
  <c r="BP140" i="24"/>
  <c r="BO140" i="24"/>
  <c r="BN140" i="24"/>
  <c r="BM140" i="24"/>
  <c r="BL140" i="24"/>
  <c r="BK140" i="24"/>
  <c r="BJ140" i="24"/>
  <c r="BI140" i="24"/>
  <c r="BH140" i="24"/>
  <c r="BG140" i="24"/>
  <c r="BF140" i="24"/>
  <c r="BE140" i="24"/>
  <c r="BD140" i="24"/>
  <c r="BC140" i="24"/>
  <c r="BB140" i="24"/>
  <c r="BA140" i="24"/>
  <c r="AY140" i="24"/>
  <c r="AX140" i="24"/>
  <c r="AW140" i="24"/>
  <c r="AV140" i="24"/>
  <c r="AU140" i="24"/>
  <c r="AT140" i="24"/>
  <c r="AS140" i="24"/>
  <c r="AR140" i="24"/>
  <c r="AQ140" i="24"/>
  <c r="AP140" i="24"/>
  <c r="AO140" i="24"/>
  <c r="AN140" i="24"/>
  <c r="AM140" i="24"/>
  <c r="AL140" i="24"/>
  <c r="AK140" i="24"/>
  <c r="AJ140" i="24"/>
  <c r="AI140" i="24"/>
  <c r="AH140" i="24"/>
  <c r="AG140" i="24"/>
  <c r="AF140" i="24"/>
  <c r="AE140" i="24"/>
  <c r="AD140" i="24"/>
  <c r="AC140" i="24"/>
  <c r="AB140" i="24"/>
  <c r="BX139" i="24"/>
  <c r="BW139" i="24"/>
  <c r="BV139" i="24"/>
  <c r="BU139" i="24"/>
  <c r="BT139" i="24"/>
  <c r="BS139" i="24"/>
  <c r="BR139" i="24"/>
  <c r="BQ139" i="24"/>
  <c r="BP139" i="24"/>
  <c r="BO139" i="24"/>
  <c r="BN139" i="24"/>
  <c r="BM139" i="24"/>
  <c r="BL139" i="24"/>
  <c r="BK139" i="24"/>
  <c r="BJ139" i="24"/>
  <c r="BI139" i="24"/>
  <c r="BH139" i="24"/>
  <c r="BG139" i="24"/>
  <c r="BF139" i="24"/>
  <c r="BE139" i="24"/>
  <c r="BD139" i="24"/>
  <c r="BC139" i="24"/>
  <c r="BB139" i="24"/>
  <c r="BA139" i="24"/>
  <c r="AY139" i="24"/>
  <c r="AX139" i="24"/>
  <c r="AW139" i="24"/>
  <c r="AV139" i="24"/>
  <c r="AU139" i="24"/>
  <c r="AT139" i="24"/>
  <c r="AS139" i="24"/>
  <c r="AR139" i="24"/>
  <c r="AQ139" i="24"/>
  <c r="AP139" i="24"/>
  <c r="AO139" i="24"/>
  <c r="AN139" i="24"/>
  <c r="AM139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BX138" i="24"/>
  <c r="BW138" i="24"/>
  <c r="BV138" i="24"/>
  <c r="BU138" i="24"/>
  <c r="BT138" i="24"/>
  <c r="BS138" i="24"/>
  <c r="BR138" i="24"/>
  <c r="BQ138" i="24"/>
  <c r="BP138" i="24"/>
  <c r="BO138" i="24"/>
  <c r="BN138" i="24"/>
  <c r="BM138" i="24"/>
  <c r="BL138" i="24"/>
  <c r="BK138" i="24"/>
  <c r="BJ138" i="24"/>
  <c r="BI138" i="24"/>
  <c r="BH138" i="24"/>
  <c r="BG138" i="24"/>
  <c r="BF138" i="24"/>
  <c r="BE138" i="24"/>
  <c r="BD138" i="24"/>
  <c r="BC138" i="24"/>
  <c r="BB138" i="24"/>
  <c r="BA138" i="24"/>
  <c r="AY138" i="24"/>
  <c r="AX138" i="24"/>
  <c r="AW138" i="24"/>
  <c r="AV138" i="24"/>
  <c r="AU138" i="24"/>
  <c r="AT138" i="24"/>
  <c r="AS138" i="24"/>
  <c r="AR138" i="24"/>
  <c r="AQ138" i="24"/>
  <c r="AP138" i="24"/>
  <c r="AO138" i="24"/>
  <c r="AN138" i="24"/>
  <c r="AM138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BX137" i="24"/>
  <c r="BW137" i="24"/>
  <c r="BV137" i="24"/>
  <c r="BU137" i="24"/>
  <c r="BT137" i="24"/>
  <c r="BS137" i="24"/>
  <c r="BR137" i="24"/>
  <c r="BQ137" i="24"/>
  <c r="BP137" i="24"/>
  <c r="BO137" i="24"/>
  <c r="BN137" i="24"/>
  <c r="BM137" i="24"/>
  <c r="BL137" i="24"/>
  <c r="BK137" i="24"/>
  <c r="BJ137" i="24"/>
  <c r="BI137" i="24"/>
  <c r="BH137" i="24"/>
  <c r="BG137" i="24"/>
  <c r="BF137" i="24"/>
  <c r="BE137" i="24"/>
  <c r="BD137" i="24"/>
  <c r="BC137" i="24"/>
  <c r="BB137" i="24"/>
  <c r="BA137" i="24"/>
  <c r="AY137" i="24"/>
  <c r="AX137" i="24"/>
  <c r="AW137" i="24"/>
  <c r="AV137" i="24"/>
  <c r="AU137" i="24"/>
  <c r="AT137" i="24"/>
  <c r="AS137" i="24"/>
  <c r="AR137" i="24"/>
  <c r="AQ137" i="24"/>
  <c r="AP137" i="24"/>
  <c r="AO137" i="24"/>
  <c r="AN137" i="24"/>
  <c r="AM137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BX136" i="24"/>
  <c r="BW136" i="24"/>
  <c r="BV136" i="24"/>
  <c r="BU136" i="24"/>
  <c r="BT136" i="24"/>
  <c r="BS136" i="24"/>
  <c r="BR136" i="24"/>
  <c r="BQ136" i="24"/>
  <c r="BP136" i="24"/>
  <c r="BO136" i="24"/>
  <c r="BN136" i="24"/>
  <c r="BM136" i="24"/>
  <c r="BL136" i="24"/>
  <c r="BK136" i="24"/>
  <c r="BJ136" i="24"/>
  <c r="BI136" i="24"/>
  <c r="BH136" i="24"/>
  <c r="BG136" i="24"/>
  <c r="BF136" i="24"/>
  <c r="BE136" i="24"/>
  <c r="BD136" i="24"/>
  <c r="BC136" i="24"/>
  <c r="BB136" i="24"/>
  <c r="BA136" i="24"/>
  <c r="AY136" i="24"/>
  <c r="AX136" i="24"/>
  <c r="AW136" i="24"/>
  <c r="AV136" i="24"/>
  <c r="AU136" i="24"/>
  <c r="AT136" i="24"/>
  <c r="AS136" i="24"/>
  <c r="AR136" i="24"/>
  <c r="AQ136" i="24"/>
  <c r="AP136" i="24"/>
  <c r="AO136" i="24"/>
  <c r="AN136" i="24"/>
  <c r="AM136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BX135" i="24"/>
  <c r="BW135" i="24"/>
  <c r="BV135" i="24"/>
  <c r="BU135" i="24"/>
  <c r="BT135" i="24"/>
  <c r="BS135" i="24"/>
  <c r="BR135" i="24"/>
  <c r="BQ135" i="24"/>
  <c r="BP135" i="24"/>
  <c r="BO135" i="24"/>
  <c r="BN135" i="24"/>
  <c r="BM135" i="24"/>
  <c r="BL135" i="24"/>
  <c r="BK135" i="24"/>
  <c r="BJ135" i="24"/>
  <c r="BI135" i="24"/>
  <c r="BH135" i="24"/>
  <c r="BG135" i="24"/>
  <c r="BF135" i="24"/>
  <c r="BE135" i="24"/>
  <c r="BD135" i="24"/>
  <c r="BC135" i="24"/>
  <c r="BB135" i="24"/>
  <c r="BA135" i="24"/>
  <c r="AY135" i="24"/>
  <c r="AX135" i="24"/>
  <c r="AW135" i="24"/>
  <c r="AV135" i="24"/>
  <c r="AU135" i="24"/>
  <c r="AT135" i="24"/>
  <c r="AS135" i="24"/>
  <c r="AR135" i="24"/>
  <c r="AQ135" i="24"/>
  <c r="AP135" i="24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BX134" i="24"/>
  <c r="BW134" i="24"/>
  <c r="BV134" i="24"/>
  <c r="BU134" i="24"/>
  <c r="BT134" i="24"/>
  <c r="BS134" i="24"/>
  <c r="BR134" i="24"/>
  <c r="BQ134" i="24"/>
  <c r="BP134" i="24"/>
  <c r="BO134" i="24"/>
  <c r="BN134" i="24"/>
  <c r="BM134" i="24"/>
  <c r="BL134" i="24"/>
  <c r="BK134" i="24"/>
  <c r="BJ134" i="24"/>
  <c r="BI134" i="24"/>
  <c r="BH134" i="24"/>
  <c r="BG134" i="24"/>
  <c r="BF134" i="24"/>
  <c r="BE134" i="24"/>
  <c r="BD134" i="24"/>
  <c r="BC134" i="24"/>
  <c r="BB134" i="24"/>
  <c r="BA134" i="24"/>
  <c r="AY134" i="24"/>
  <c r="AX134" i="24"/>
  <c r="AW134" i="24"/>
  <c r="AV134" i="24"/>
  <c r="AU134" i="24"/>
  <c r="AT134" i="24"/>
  <c r="AS134" i="24"/>
  <c r="AR134" i="24"/>
  <c r="AQ134" i="24"/>
  <c r="AP134" i="24"/>
  <c r="AO134" i="24"/>
  <c r="AN134" i="24"/>
  <c r="AM134" i="24"/>
  <c r="AL134" i="24"/>
  <c r="AK134" i="24"/>
  <c r="AJ134" i="24"/>
  <c r="AI134" i="24"/>
  <c r="AH134" i="24"/>
  <c r="AG134" i="24"/>
  <c r="AF134" i="24"/>
  <c r="AE134" i="24"/>
  <c r="AD134" i="24"/>
  <c r="AC134" i="24"/>
  <c r="AB134" i="24"/>
  <c r="BX133" i="24"/>
  <c r="BW133" i="24"/>
  <c r="BV133" i="24"/>
  <c r="BU133" i="24"/>
  <c r="BT133" i="24"/>
  <c r="BS133" i="24"/>
  <c r="BR133" i="24"/>
  <c r="BQ133" i="24"/>
  <c r="BP133" i="24"/>
  <c r="BO133" i="24"/>
  <c r="BN133" i="24"/>
  <c r="BM133" i="24"/>
  <c r="BL133" i="24"/>
  <c r="BK133" i="24"/>
  <c r="BJ133" i="24"/>
  <c r="BI133" i="24"/>
  <c r="BH133" i="24"/>
  <c r="BG133" i="24"/>
  <c r="BF133" i="24"/>
  <c r="BE133" i="24"/>
  <c r="BD133" i="24"/>
  <c r="BC133" i="24"/>
  <c r="BB133" i="24"/>
  <c r="BA133" i="24"/>
  <c r="AY133" i="24"/>
  <c r="AX133" i="24"/>
  <c r="AW133" i="24"/>
  <c r="AV133" i="24"/>
  <c r="AU133" i="24"/>
  <c r="AT133" i="24"/>
  <c r="AS133" i="24"/>
  <c r="AR133" i="24"/>
  <c r="AQ133" i="24"/>
  <c r="AP133" i="24"/>
  <c r="AO133" i="24"/>
  <c r="AN133" i="24"/>
  <c r="AM133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BX132" i="24"/>
  <c r="BW132" i="24"/>
  <c r="BV132" i="24"/>
  <c r="BU132" i="24"/>
  <c r="BT132" i="24"/>
  <c r="BS132" i="24"/>
  <c r="BR132" i="24"/>
  <c r="BQ132" i="24"/>
  <c r="BP132" i="24"/>
  <c r="BO132" i="24"/>
  <c r="BN132" i="24"/>
  <c r="BM132" i="24"/>
  <c r="BL132" i="24"/>
  <c r="BK132" i="24"/>
  <c r="BJ132" i="24"/>
  <c r="BI132" i="24"/>
  <c r="BH132" i="24"/>
  <c r="BG132" i="24"/>
  <c r="BF132" i="24"/>
  <c r="BE132" i="24"/>
  <c r="BD132" i="24"/>
  <c r="BC132" i="24"/>
  <c r="BB132" i="24"/>
  <c r="BA132" i="24"/>
  <c r="AY132" i="24"/>
  <c r="AX132" i="24"/>
  <c r="AW132" i="24"/>
  <c r="AV132" i="24"/>
  <c r="AU132" i="24"/>
  <c r="AT132" i="24"/>
  <c r="AS132" i="24"/>
  <c r="AR132" i="24"/>
  <c r="AQ132" i="24"/>
  <c r="AP132" i="24"/>
  <c r="AO132" i="24"/>
  <c r="AN132" i="24"/>
  <c r="AM132" i="24"/>
  <c r="AL132" i="24"/>
  <c r="AK132" i="24"/>
  <c r="AJ132" i="24"/>
  <c r="AI132" i="24"/>
  <c r="AH132" i="24"/>
  <c r="AG132" i="24"/>
  <c r="AF132" i="24"/>
  <c r="AE132" i="24"/>
  <c r="AD132" i="24"/>
  <c r="AC132" i="24"/>
  <c r="AB132" i="24"/>
  <c r="BX131" i="24"/>
  <c r="BW131" i="24"/>
  <c r="BV131" i="24"/>
  <c r="BU131" i="24"/>
  <c r="BT131" i="24"/>
  <c r="BS131" i="24"/>
  <c r="BR131" i="24"/>
  <c r="BQ131" i="24"/>
  <c r="BP131" i="24"/>
  <c r="BO131" i="24"/>
  <c r="BN131" i="24"/>
  <c r="BM131" i="24"/>
  <c r="BL131" i="24"/>
  <c r="BK131" i="24"/>
  <c r="BJ131" i="24"/>
  <c r="BI131" i="24"/>
  <c r="BH131" i="24"/>
  <c r="BG131" i="24"/>
  <c r="BF131" i="24"/>
  <c r="BE131" i="24"/>
  <c r="BD131" i="24"/>
  <c r="BC131" i="24"/>
  <c r="BB131" i="24"/>
  <c r="BA131" i="24"/>
  <c r="AY131" i="24"/>
  <c r="AX131" i="24"/>
  <c r="AW131" i="24"/>
  <c r="AV131" i="24"/>
  <c r="AU131" i="24"/>
  <c r="AT131" i="24"/>
  <c r="AS131" i="24"/>
  <c r="AR131" i="24"/>
  <c r="AQ131" i="24"/>
  <c r="AP131" i="24"/>
  <c r="AO131" i="24"/>
  <c r="AN131" i="24"/>
  <c r="AM131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BX130" i="24"/>
  <c r="BW130" i="24"/>
  <c r="BV130" i="24"/>
  <c r="BU130" i="24"/>
  <c r="BT130" i="24"/>
  <c r="BS130" i="24"/>
  <c r="BR130" i="24"/>
  <c r="BQ130" i="24"/>
  <c r="BP130" i="24"/>
  <c r="BO130" i="24"/>
  <c r="BN130" i="24"/>
  <c r="BM130" i="24"/>
  <c r="BL130" i="24"/>
  <c r="BK130" i="24"/>
  <c r="BJ130" i="24"/>
  <c r="BI130" i="24"/>
  <c r="BH130" i="24"/>
  <c r="BG130" i="24"/>
  <c r="BF130" i="24"/>
  <c r="BE130" i="24"/>
  <c r="BD130" i="24"/>
  <c r="BC130" i="24"/>
  <c r="BB130" i="24"/>
  <c r="BA130" i="24"/>
  <c r="AY130" i="24"/>
  <c r="AX130" i="24"/>
  <c r="AW130" i="24"/>
  <c r="AV130" i="24"/>
  <c r="AU130" i="24"/>
  <c r="AT130" i="24"/>
  <c r="AS130" i="24"/>
  <c r="AR130" i="24"/>
  <c r="AQ130" i="24"/>
  <c r="AP130" i="24"/>
  <c r="AO130" i="24"/>
  <c r="AN130" i="24"/>
  <c r="AM130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BX129" i="24"/>
  <c r="BW129" i="24"/>
  <c r="BV129" i="24"/>
  <c r="BU129" i="24"/>
  <c r="BT129" i="24"/>
  <c r="BS129" i="24"/>
  <c r="BR129" i="24"/>
  <c r="BQ129" i="24"/>
  <c r="BP129" i="24"/>
  <c r="BO129" i="24"/>
  <c r="BN129" i="24"/>
  <c r="BM129" i="24"/>
  <c r="BL129" i="24"/>
  <c r="BK129" i="24"/>
  <c r="BJ129" i="24"/>
  <c r="BI129" i="24"/>
  <c r="BH129" i="24"/>
  <c r="BG129" i="24"/>
  <c r="BF129" i="24"/>
  <c r="BE129" i="24"/>
  <c r="BD129" i="24"/>
  <c r="BC129" i="24"/>
  <c r="BB129" i="24"/>
  <c r="BA129" i="24"/>
  <c r="AY129" i="24"/>
  <c r="AX129" i="24"/>
  <c r="AW129" i="24"/>
  <c r="AV129" i="24"/>
  <c r="AU129" i="24"/>
  <c r="AT129" i="24"/>
  <c r="AS129" i="24"/>
  <c r="AR129" i="24"/>
  <c r="AQ129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BX128" i="24"/>
  <c r="BW128" i="24"/>
  <c r="BV128" i="24"/>
  <c r="BU128" i="24"/>
  <c r="BT128" i="24"/>
  <c r="BS128" i="24"/>
  <c r="BR128" i="24"/>
  <c r="BQ128" i="24"/>
  <c r="BP128" i="24"/>
  <c r="BO128" i="24"/>
  <c r="BN128" i="24"/>
  <c r="BM128" i="24"/>
  <c r="BL128" i="24"/>
  <c r="BK128" i="24"/>
  <c r="BJ128" i="24"/>
  <c r="BI128" i="24"/>
  <c r="BH128" i="24"/>
  <c r="BG128" i="24"/>
  <c r="BF128" i="24"/>
  <c r="BE128" i="24"/>
  <c r="BD128" i="24"/>
  <c r="BC128" i="24"/>
  <c r="BB128" i="24"/>
  <c r="BA128" i="24"/>
  <c r="AY128" i="24"/>
  <c r="AX128" i="24"/>
  <c r="AW128" i="24"/>
  <c r="AV128" i="24"/>
  <c r="AU128" i="24"/>
  <c r="AT128" i="24"/>
  <c r="AS128" i="24"/>
  <c r="AR128" i="24"/>
  <c r="AQ128" i="24"/>
  <c r="AP128" i="24"/>
  <c r="AO128" i="24"/>
  <c r="AN128" i="24"/>
  <c r="AM128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BX127" i="24"/>
  <c r="BW127" i="24"/>
  <c r="BV127" i="24"/>
  <c r="BU127" i="24"/>
  <c r="BT127" i="24"/>
  <c r="BS127" i="24"/>
  <c r="BR127" i="24"/>
  <c r="BQ127" i="24"/>
  <c r="BP127" i="24"/>
  <c r="BO127" i="24"/>
  <c r="BN127" i="24"/>
  <c r="BM127" i="24"/>
  <c r="BL127" i="24"/>
  <c r="BK127" i="24"/>
  <c r="BJ127" i="24"/>
  <c r="BI127" i="24"/>
  <c r="BH127" i="24"/>
  <c r="BG127" i="24"/>
  <c r="BF127" i="24"/>
  <c r="BE127" i="24"/>
  <c r="BD127" i="24"/>
  <c r="BC127" i="24"/>
  <c r="BB127" i="24"/>
  <c r="BA127" i="24"/>
  <c r="BX126" i="24"/>
  <c r="BW126" i="24"/>
  <c r="BV126" i="24"/>
  <c r="BU126" i="24"/>
  <c r="BT126" i="24"/>
  <c r="BS126" i="24"/>
  <c r="BR126" i="24"/>
  <c r="BQ126" i="24"/>
  <c r="BP126" i="24"/>
  <c r="BO126" i="24"/>
  <c r="BN126" i="24"/>
  <c r="BM126" i="24"/>
  <c r="BL126" i="24"/>
  <c r="BK126" i="24"/>
  <c r="BJ126" i="24"/>
  <c r="BI126" i="24"/>
  <c r="BH126" i="24"/>
  <c r="BG126" i="24"/>
  <c r="BF126" i="24"/>
  <c r="BE126" i="24"/>
  <c r="BD126" i="24"/>
  <c r="BC126" i="24"/>
  <c r="BB126" i="24"/>
  <c r="BA126" i="24"/>
  <c r="BX125" i="24"/>
  <c r="BW125" i="24"/>
  <c r="BV125" i="24"/>
  <c r="BU125" i="24"/>
  <c r="BT125" i="24"/>
  <c r="BS125" i="24"/>
  <c r="BR125" i="24"/>
  <c r="BQ125" i="24"/>
  <c r="BP125" i="24"/>
  <c r="BO125" i="24"/>
  <c r="BN125" i="24"/>
  <c r="BM125" i="24"/>
  <c r="BL125" i="24"/>
  <c r="BK125" i="24"/>
  <c r="BJ125" i="24"/>
  <c r="BI125" i="24"/>
  <c r="BH125" i="24"/>
  <c r="BG125" i="24"/>
  <c r="BF125" i="24"/>
  <c r="BE125" i="24"/>
  <c r="BD125" i="24"/>
  <c r="BC125" i="24"/>
  <c r="BB125" i="24"/>
  <c r="BA125" i="24"/>
  <c r="BX124" i="24"/>
  <c r="BW124" i="24"/>
  <c r="BV124" i="24"/>
  <c r="BU124" i="24"/>
  <c r="BT124" i="24"/>
  <c r="BS124" i="24"/>
  <c r="BR124" i="24"/>
  <c r="BQ124" i="24"/>
  <c r="BP124" i="24"/>
  <c r="BO124" i="24"/>
  <c r="BN124" i="24"/>
  <c r="BM124" i="24"/>
  <c r="BL124" i="24"/>
  <c r="BK124" i="24"/>
  <c r="BJ124" i="24"/>
  <c r="BI124" i="24"/>
  <c r="BH124" i="24"/>
  <c r="BG124" i="24"/>
  <c r="BF124" i="24"/>
  <c r="BE124" i="24"/>
  <c r="BD124" i="24"/>
  <c r="BC124" i="24"/>
  <c r="BB124" i="24"/>
  <c r="BA124" i="24"/>
  <c r="BX123" i="24"/>
  <c r="BW123" i="24"/>
  <c r="BV123" i="24"/>
  <c r="BU123" i="24"/>
  <c r="BT123" i="24"/>
  <c r="BS123" i="24"/>
  <c r="BR123" i="24"/>
  <c r="BQ123" i="24"/>
  <c r="BP123" i="24"/>
  <c r="BO123" i="24"/>
  <c r="BN123" i="24"/>
  <c r="BM123" i="24"/>
  <c r="BL123" i="24"/>
  <c r="BK123" i="24"/>
  <c r="BJ123" i="24"/>
  <c r="BI123" i="24"/>
  <c r="BH123" i="24"/>
  <c r="BG123" i="24"/>
  <c r="BF123" i="24"/>
  <c r="BE123" i="24"/>
  <c r="BD123" i="24"/>
  <c r="BC123" i="24"/>
  <c r="BB123" i="24"/>
  <c r="BA123" i="24"/>
  <c r="BX122" i="24"/>
  <c r="BW122" i="24"/>
  <c r="BV122" i="24"/>
  <c r="BU122" i="24"/>
  <c r="BT122" i="24"/>
  <c r="BS122" i="24"/>
  <c r="BR122" i="24"/>
  <c r="BQ122" i="24"/>
  <c r="BP122" i="24"/>
  <c r="BO122" i="24"/>
  <c r="BN122" i="24"/>
  <c r="BM122" i="24"/>
  <c r="BL122" i="24"/>
  <c r="BK122" i="24"/>
  <c r="BJ122" i="24"/>
  <c r="BI122" i="24"/>
  <c r="BH122" i="24"/>
  <c r="BG122" i="24"/>
  <c r="BF122" i="24"/>
  <c r="BE122" i="24"/>
  <c r="BD122" i="24"/>
  <c r="BC122" i="24"/>
  <c r="BB122" i="24"/>
  <c r="BA122" i="24"/>
  <c r="BX121" i="24"/>
  <c r="BW121" i="24"/>
  <c r="BV121" i="24"/>
  <c r="BU121" i="24"/>
  <c r="BT121" i="24"/>
  <c r="BS121" i="24"/>
  <c r="BR121" i="24"/>
  <c r="BQ121" i="24"/>
  <c r="BP121" i="24"/>
  <c r="BO121" i="24"/>
  <c r="BN121" i="24"/>
  <c r="BM121" i="24"/>
  <c r="BL121" i="24"/>
  <c r="BK121" i="24"/>
  <c r="BJ121" i="24"/>
  <c r="BI121" i="24"/>
  <c r="BH121" i="24"/>
  <c r="BG121" i="24"/>
  <c r="BF121" i="24"/>
  <c r="BE121" i="24"/>
  <c r="BD121" i="24"/>
  <c r="BC121" i="24"/>
  <c r="BB121" i="24"/>
  <c r="BA121" i="24"/>
  <c r="BX120" i="24"/>
  <c r="BW120" i="24"/>
  <c r="BV120" i="24"/>
  <c r="BU120" i="24"/>
  <c r="BT120" i="24"/>
  <c r="BS120" i="24"/>
  <c r="BR120" i="24"/>
  <c r="BQ120" i="24"/>
  <c r="BP120" i="24"/>
  <c r="BO120" i="24"/>
  <c r="BN120" i="24"/>
  <c r="BM120" i="24"/>
  <c r="BL120" i="24"/>
  <c r="BK120" i="24"/>
  <c r="BJ120" i="24"/>
  <c r="BI120" i="24"/>
  <c r="BH120" i="24"/>
  <c r="BG120" i="24"/>
  <c r="BF120" i="24"/>
  <c r="BE120" i="24"/>
  <c r="BD120" i="24"/>
  <c r="BC120" i="24"/>
  <c r="BB120" i="24"/>
  <c r="BA120" i="24"/>
  <c r="BX119" i="24"/>
  <c r="BW119" i="24"/>
  <c r="BV119" i="24"/>
  <c r="BU119" i="24"/>
  <c r="BT119" i="24"/>
  <c r="BS119" i="24"/>
  <c r="BR119" i="24"/>
  <c r="BQ119" i="24"/>
  <c r="BP119" i="24"/>
  <c r="BO119" i="24"/>
  <c r="BN119" i="24"/>
  <c r="BM119" i="24"/>
  <c r="BL119" i="24"/>
  <c r="BK119" i="24"/>
  <c r="BJ119" i="24"/>
  <c r="BI119" i="24"/>
  <c r="BH119" i="24"/>
  <c r="BG119" i="24"/>
  <c r="BF119" i="24"/>
  <c r="BE119" i="24"/>
  <c r="BD119" i="24"/>
  <c r="BC119" i="24"/>
  <c r="BB119" i="24"/>
  <c r="BA119" i="24"/>
  <c r="BX118" i="24"/>
  <c r="BW118" i="24"/>
  <c r="BV118" i="24"/>
  <c r="BU118" i="24"/>
  <c r="BT118" i="24"/>
  <c r="BS118" i="24"/>
  <c r="BR118" i="24"/>
  <c r="BQ118" i="24"/>
  <c r="BP118" i="24"/>
  <c r="BO118" i="24"/>
  <c r="BN118" i="24"/>
  <c r="BM118" i="24"/>
  <c r="BL118" i="24"/>
  <c r="BK118" i="24"/>
  <c r="BJ118" i="24"/>
  <c r="BI118" i="24"/>
  <c r="BH118" i="24"/>
  <c r="BG118" i="24"/>
  <c r="BF118" i="24"/>
  <c r="BE118" i="24"/>
  <c r="BD118" i="24"/>
  <c r="BC118" i="24"/>
  <c r="BB118" i="24"/>
  <c r="BA118" i="24"/>
  <c r="BX117" i="24"/>
  <c r="BW117" i="24"/>
  <c r="BV117" i="24"/>
  <c r="BU117" i="24"/>
  <c r="BT117" i="24"/>
  <c r="BS117" i="24"/>
  <c r="BR117" i="24"/>
  <c r="BQ117" i="24"/>
  <c r="BP117" i="24"/>
  <c r="BO117" i="24"/>
  <c r="BN117" i="24"/>
  <c r="BM117" i="24"/>
  <c r="BL117" i="24"/>
  <c r="BK117" i="24"/>
  <c r="BJ117" i="24"/>
  <c r="BI117" i="24"/>
  <c r="BH117" i="24"/>
  <c r="BG117" i="24"/>
  <c r="BF117" i="24"/>
  <c r="BE117" i="24"/>
  <c r="BD117" i="24"/>
  <c r="BC117" i="24"/>
  <c r="BB117" i="24"/>
  <c r="BA117" i="24"/>
  <c r="BX116" i="24"/>
  <c r="BW116" i="24"/>
  <c r="BV116" i="24"/>
  <c r="BU116" i="24"/>
  <c r="BT116" i="24"/>
  <c r="BS116" i="24"/>
  <c r="BR116" i="24"/>
  <c r="BQ116" i="24"/>
  <c r="BP116" i="24"/>
  <c r="BO116" i="24"/>
  <c r="BN116" i="24"/>
  <c r="BM116" i="24"/>
  <c r="BL116" i="24"/>
  <c r="BK116" i="24"/>
  <c r="BJ116" i="24"/>
  <c r="BI116" i="24"/>
  <c r="BH116" i="24"/>
  <c r="BG116" i="24"/>
  <c r="BF116" i="24"/>
  <c r="BE116" i="24"/>
  <c r="BD116" i="24"/>
  <c r="BC116" i="24"/>
  <c r="BB116" i="24"/>
  <c r="BA116" i="24"/>
  <c r="BX115" i="24"/>
  <c r="BW115" i="24"/>
  <c r="BV115" i="24"/>
  <c r="BU115" i="24"/>
  <c r="BT115" i="24"/>
  <c r="BS115" i="24"/>
  <c r="BR115" i="24"/>
  <c r="BQ115" i="24"/>
  <c r="BP115" i="24"/>
  <c r="BO115" i="24"/>
  <c r="BN115" i="24"/>
  <c r="BM115" i="24"/>
  <c r="BL115" i="24"/>
  <c r="BK115" i="24"/>
  <c r="BJ115" i="24"/>
  <c r="BI115" i="24"/>
  <c r="BH115" i="24"/>
  <c r="BG115" i="24"/>
  <c r="BF115" i="24"/>
  <c r="BE115" i="24"/>
  <c r="BD115" i="24"/>
  <c r="BC115" i="24"/>
  <c r="BB115" i="24"/>
  <c r="BA115" i="24"/>
  <c r="BX114" i="24"/>
  <c r="BW114" i="24"/>
  <c r="BV114" i="24"/>
  <c r="BU114" i="24"/>
  <c r="BT114" i="24"/>
  <c r="BS114" i="24"/>
  <c r="BR114" i="24"/>
  <c r="BQ114" i="24"/>
  <c r="BP114" i="24"/>
  <c r="BO114" i="24"/>
  <c r="BN114" i="24"/>
  <c r="BM114" i="24"/>
  <c r="BL114" i="24"/>
  <c r="BK114" i="24"/>
  <c r="BJ114" i="24"/>
  <c r="BI114" i="24"/>
  <c r="BH114" i="24"/>
  <c r="BG114" i="24"/>
  <c r="BF114" i="24"/>
  <c r="BE114" i="24"/>
  <c r="BD114" i="24"/>
  <c r="BC114" i="24"/>
  <c r="BB114" i="24"/>
  <c r="BA114" i="24"/>
  <c r="BX113" i="24"/>
  <c r="BW113" i="24"/>
  <c r="BV113" i="24"/>
  <c r="BU113" i="24"/>
  <c r="BT113" i="24"/>
  <c r="BS113" i="24"/>
  <c r="BR113" i="24"/>
  <c r="BQ113" i="24"/>
  <c r="BP113" i="24"/>
  <c r="BO113" i="24"/>
  <c r="BN113" i="24"/>
  <c r="BM113" i="24"/>
  <c r="BL113" i="24"/>
  <c r="BK113" i="24"/>
  <c r="BJ113" i="24"/>
  <c r="BI113" i="24"/>
  <c r="BH113" i="24"/>
  <c r="BG113" i="24"/>
  <c r="BF113" i="24"/>
  <c r="BE113" i="24"/>
  <c r="BD113" i="24"/>
  <c r="BC113" i="24"/>
  <c r="BB113" i="24"/>
  <c r="BA113" i="24"/>
  <c r="BX112" i="24"/>
  <c r="BW112" i="24"/>
  <c r="BV112" i="24"/>
  <c r="BU112" i="24"/>
  <c r="BT112" i="24"/>
  <c r="BS112" i="24"/>
  <c r="BR112" i="24"/>
  <c r="BQ112" i="24"/>
  <c r="BP112" i="24"/>
  <c r="BO112" i="24"/>
  <c r="BN112" i="24"/>
  <c r="BM112" i="24"/>
  <c r="BL112" i="24"/>
  <c r="BK112" i="24"/>
  <c r="BJ112" i="24"/>
  <c r="BI112" i="24"/>
  <c r="BH112" i="24"/>
  <c r="BG112" i="24"/>
  <c r="BF112" i="24"/>
  <c r="BE112" i="24"/>
  <c r="BD112" i="24"/>
  <c r="BC112" i="24"/>
  <c r="BB112" i="24"/>
  <c r="BA112" i="24"/>
  <c r="BX111" i="24"/>
  <c r="BW111" i="24"/>
  <c r="BV111" i="24"/>
  <c r="BU111" i="24"/>
  <c r="BT111" i="24"/>
  <c r="BS111" i="24"/>
  <c r="BR111" i="24"/>
  <c r="BQ111" i="24"/>
  <c r="BP111" i="24"/>
  <c r="BO111" i="24"/>
  <c r="BN111" i="24"/>
  <c r="BM111" i="24"/>
  <c r="BL111" i="24"/>
  <c r="BK111" i="24"/>
  <c r="BJ111" i="24"/>
  <c r="BI111" i="24"/>
  <c r="BH111" i="24"/>
  <c r="BG111" i="24"/>
  <c r="BF111" i="24"/>
  <c r="BE111" i="24"/>
  <c r="BD111" i="24"/>
  <c r="BC111" i="24"/>
  <c r="BB111" i="24"/>
  <c r="BA111" i="24"/>
  <c r="BX110" i="24"/>
  <c r="BW110" i="24"/>
  <c r="BV110" i="24"/>
  <c r="BU110" i="24"/>
  <c r="BT110" i="24"/>
  <c r="BS110" i="24"/>
  <c r="BR110" i="24"/>
  <c r="BQ110" i="24"/>
  <c r="BP110" i="24"/>
  <c r="BO110" i="24"/>
  <c r="BN110" i="24"/>
  <c r="BM110" i="24"/>
  <c r="BL110" i="24"/>
  <c r="BK110" i="24"/>
  <c r="BJ110" i="24"/>
  <c r="BI110" i="24"/>
  <c r="BH110" i="24"/>
  <c r="BG110" i="24"/>
  <c r="BF110" i="24"/>
  <c r="BE110" i="24"/>
  <c r="BD110" i="24"/>
  <c r="BC110" i="24"/>
  <c r="BB110" i="24"/>
  <c r="BA110" i="24"/>
  <c r="BX109" i="24"/>
  <c r="BW109" i="24"/>
  <c r="BV109" i="24"/>
  <c r="BU109" i="24"/>
  <c r="BT109" i="24"/>
  <c r="BS109" i="24"/>
  <c r="BR109" i="24"/>
  <c r="BQ109" i="24"/>
  <c r="BP109" i="24"/>
  <c r="BO109" i="24"/>
  <c r="BN109" i="24"/>
  <c r="BM109" i="24"/>
  <c r="BL109" i="24"/>
  <c r="BK109" i="24"/>
  <c r="BJ109" i="24"/>
  <c r="BI109" i="24"/>
  <c r="BH109" i="24"/>
  <c r="BG109" i="24"/>
  <c r="BF109" i="24"/>
  <c r="BE109" i="24"/>
  <c r="BD109" i="24"/>
  <c r="BC109" i="24"/>
  <c r="BB109" i="24"/>
  <c r="BA109" i="24"/>
  <c r="BX108" i="24"/>
  <c r="BW108" i="24"/>
  <c r="BV108" i="24"/>
  <c r="BU108" i="24"/>
  <c r="BT108" i="24"/>
  <c r="BS108" i="24"/>
  <c r="BR108" i="24"/>
  <c r="BQ108" i="24"/>
  <c r="BP108" i="24"/>
  <c r="BO108" i="24"/>
  <c r="BN108" i="24"/>
  <c r="BM108" i="24"/>
  <c r="BL108" i="24"/>
  <c r="BK108" i="24"/>
  <c r="BJ108" i="24"/>
  <c r="BI108" i="24"/>
  <c r="BH108" i="24"/>
  <c r="BG108" i="24"/>
  <c r="BF108" i="24"/>
  <c r="BE108" i="24"/>
  <c r="BD108" i="24"/>
  <c r="BC108" i="24"/>
  <c r="BB108" i="24"/>
  <c r="BA108" i="24"/>
  <c r="BX107" i="24"/>
  <c r="BW107" i="24"/>
  <c r="BV107" i="24"/>
  <c r="BU107" i="24"/>
  <c r="BT107" i="24"/>
  <c r="BS107" i="24"/>
  <c r="BR107" i="24"/>
  <c r="BQ107" i="24"/>
  <c r="BP107" i="24"/>
  <c r="BO107" i="24"/>
  <c r="BN107" i="24"/>
  <c r="BM107" i="24"/>
  <c r="BL107" i="24"/>
  <c r="BK107" i="24"/>
  <c r="BJ107" i="24"/>
  <c r="BI107" i="24"/>
  <c r="BH107" i="24"/>
  <c r="BG107" i="24"/>
  <c r="BF107" i="24"/>
  <c r="BE107" i="24"/>
  <c r="BD107" i="24"/>
  <c r="BC107" i="24"/>
  <c r="BB107" i="24"/>
  <c r="BA107" i="24"/>
  <c r="BX106" i="24"/>
  <c r="BW106" i="24"/>
  <c r="BV106" i="24"/>
  <c r="BU106" i="24"/>
  <c r="BT106" i="24"/>
  <c r="BS106" i="24"/>
  <c r="BR106" i="24"/>
  <c r="BQ106" i="24"/>
  <c r="BP106" i="24"/>
  <c r="BO106" i="24"/>
  <c r="BN106" i="24"/>
  <c r="BM106" i="24"/>
  <c r="BL106" i="24"/>
  <c r="BK106" i="24"/>
  <c r="BJ106" i="24"/>
  <c r="BI106" i="24"/>
  <c r="BH106" i="24"/>
  <c r="BG106" i="24"/>
  <c r="BF106" i="24"/>
  <c r="BE106" i="24"/>
  <c r="BD106" i="24"/>
  <c r="BC106" i="24"/>
  <c r="BB106" i="24"/>
  <c r="BA106" i="24"/>
  <c r="BX105" i="24"/>
  <c r="BW105" i="24"/>
  <c r="BV105" i="24"/>
  <c r="BU105" i="24"/>
  <c r="BT105" i="24"/>
  <c r="BS105" i="24"/>
  <c r="BR105" i="24"/>
  <c r="BQ105" i="24"/>
  <c r="BP105" i="24"/>
  <c r="BO105" i="24"/>
  <c r="BN105" i="24"/>
  <c r="BM105" i="24"/>
  <c r="BL105" i="24"/>
  <c r="BK105" i="24"/>
  <c r="BJ105" i="24"/>
  <c r="BI105" i="24"/>
  <c r="BH105" i="24"/>
  <c r="BG105" i="24"/>
  <c r="BF105" i="24"/>
  <c r="BE105" i="24"/>
  <c r="BD105" i="24"/>
  <c r="BC105" i="24"/>
  <c r="BB105" i="24"/>
  <c r="BA105" i="24"/>
  <c r="BX104" i="24"/>
  <c r="BW104" i="24"/>
  <c r="BV104" i="24"/>
  <c r="BU104" i="24"/>
  <c r="BT104" i="24"/>
  <c r="BS104" i="24"/>
  <c r="BR104" i="24"/>
  <c r="BQ104" i="24"/>
  <c r="BP104" i="24"/>
  <c r="BO104" i="24"/>
  <c r="BN104" i="24"/>
  <c r="BM104" i="24"/>
  <c r="BL104" i="24"/>
  <c r="BK104" i="24"/>
  <c r="BJ104" i="24"/>
  <c r="BI104" i="24"/>
  <c r="BH104" i="24"/>
  <c r="BG104" i="24"/>
  <c r="BF104" i="24"/>
  <c r="BE104" i="24"/>
  <c r="BD104" i="24"/>
  <c r="BC104" i="24"/>
  <c r="BB104" i="24"/>
  <c r="BA104" i="24"/>
  <c r="BX103" i="24"/>
  <c r="BW103" i="24"/>
  <c r="BV103" i="24"/>
  <c r="BU103" i="24"/>
  <c r="BT103" i="24"/>
  <c r="BS103" i="24"/>
  <c r="BR103" i="24"/>
  <c r="BQ103" i="24"/>
  <c r="BP103" i="24"/>
  <c r="BO103" i="24"/>
  <c r="BN103" i="24"/>
  <c r="BM103" i="24"/>
  <c r="BL103" i="24"/>
  <c r="BK103" i="24"/>
  <c r="BJ103" i="24"/>
  <c r="BI103" i="24"/>
  <c r="BH103" i="24"/>
  <c r="BG103" i="24"/>
  <c r="BF103" i="24"/>
  <c r="BE103" i="24"/>
  <c r="BD103" i="24"/>
  <c r="BC103" i="24"/>
  <c r="BB103" i="24"/>
  <c r="BA103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AE103" i="24"/>
  <c r="AD103" i="24"/>
  <c r="AC103" i="24"/>
  <c r="AB103" i="24"/>
  <c r="BX102" i="24"/>
  <c r="BW102" i="24"/>
  <c r="BV102" i="24"/>
  <c r="BU102" i="24"/>
  <c r="BT102" i="24"/>
  <c r="BS102" i="24"/>
  <c r="BR102" i="24"/>
  <c r="BQ102" i="24"/>
  <c r="BP102" i="24"/>
  <c r="BO102" i="24"/>
  <c r="BN102" i="24"/>
  <c r="BM102" i="24"/>
  <c r="BL102" i="24"/>
  <c r="BK102" i="24"/>
  <c r="BJ102" i="24"/>
  <c r="BI102" i="24"/>
  <c r="BH102" i="24"/>
  <c r="BG102" i="24"/>
  <c r="BF102" i="24"/>
  <c r="BE102" i="24"/>
  <c r="BD102" i="24"/>
  <c r="BC102" i="24"/>
  <c r="BB102" i="24"/>
  <c r="BA102" i="24"/>
  <c r="AY102" i="24"/>
  <c r="AX102" i="24"/>
  <c r="AW102" i="24"/>
  <c r="AV102" i="24"/>
  <c r="AU102" i="24"/>
  <c r="AT102" i="24"/>
  <c r="AS102" i="24"/>
  <c r="AR102" i="24"/>
  <c r="AQ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AE102" i="24"/>
  <c r="AD102" i="24"/>
  <c r="AC102" i="24"/>
  <c r="AB102" i="24"/>
  <c r="BX101" i="24"/>
  <c r="BW101" i="24"/>
  <c r="BV101" i="24"/>
  <c r="BU101" i="24"/>
  <c r="BT101" i="24"/>
  <c r="BS101" i="24"/>
  <c r="BR101" i="24"/>
  <c r="BQ101" i="24"/>
  <c r="BP101" i="24"/>
  <c r="BO101" i="24"/>
  <c r="BN101" i="24"/>
  <c r="BM101" i="24"/>
  <c r="BL101" i="24"/>
  <c r="BK101" i="24"/>
  <c r="BJ101" i="24"/>
  <c r="BI101" i="24"/>
  <c r="BH101" i="24"/>
  <c r="BG101" i="24"/>
  <c r="BF101" i="24"/>
  <c r="BE101" i="24"/>
  <c r="BD101" i="24"/>
  <c r="BC101" i="24"/>
  <c r="BB101" i="24"/>
  <c r="BA101" i="24"/>
  <c r="AY101" i="24"/>
  <c r="AX101" i="24"/>
  <c r="AW101" i="24"/>
  <c r="AV101" i="24"/>
  <c r="AU101" i="24"/>
  <c r="AT101" i="24"/>
  <c r="AS101" i="24"/>
  <c r="AR101" i="24"/>
  <c r="AQ101" i="24"/>
  <c r="AP101" i="24"/>
  <c r="AO101" i="24"/>
  <c r="AN101" i="24"/>
  <c r="AM101" i="24"/>
  <c r="AL101" i="24"/>
  <c r="AK101" i="24"/>
  <c r="AJ101" i="24"/>
  <c r="AI101" i="24"/>
  <c r="AH101" i="24"/>
  <c r="AG101" i="24"/>
  <c r="AF101" i="24"/>
  <c r="AE101" i="24"/>
  <c r="AD101" i="24"/>
  <c r="AC101" i="24"/>
  <c r="AB101" i="24"/>
  <c r="BX100" i="24"/>
  <c r="BW100" i="24"/>
  <c r="BV100" i="24"/>
  <c r="BU100" i="24"/>
  <c r="BT100" i="24"/>
  <c r="BS100" i="24"/>
  <c r="BR100" i="24"/>
  <c r="BQ100" i="24"/>
  <c r="BP100" i="24"/>
  <c r="BO100" i="24"/>
  <c r="BN100" i="24"/>
  <c r="BM100" i="24"/>
  <c r="BL100" i="24"/>
  <c r="BK100" i="24"/>
  <c r="BJ100" i="24"/>
  <c r="BI100" i="24"/>
  <c r="BH100" i="24"/>
  <c r="BG100" i="24"/>
  <c r="BF100" i="24"/>
  <c r="BE100" i="24"/>
  <c r="BD100" i="24"/>
  <c r="BC100" i="24"/>
  <c r="BB100" i="24"/>
  <c r="BA100" i="24"/>
  <c r="AY100" i="24"/>
  <c r="AX100" i="24"/>
  <c r="AW100" i="24"/>
  <c r="AV100" i="24"/>
  <c r="AU100" i="24"/>
  <c r="AT100" i="24"/>
  <c r="AS100" i="24"/>
  <c r="AR100" i="24"/>
  <c r="AQ100" i="24"/>
  <c r="AP100" i="24"/>
  <c r="AO100" i="24"/>
  <c r="AN100" i="24"/>
  <c r="AM100" i="24"/>
  <c r="AL100" i="24"/>
  <c r="AK100" i="24"/>
  <c r="AJ100" i="24"/>
  <c r="AI100" i="24"/>
  <c r="AH100" i="24"/>
  <c r="AG100" i="24"/>
  <c r="AF100" i="24"/>
  <c r="AE100" i="24"/>
  <c r="AD100" i="24"/>
  <c r="AC100" i="24"/>
  <c r="AB100" i="24"/>
  <c r="BX99" i="24"/>
  <c r="BW99" i="24"/>
  <c r="BV99" i="24"/>
  <c r="BU99" i="24"/>
  <c r="BT99" i="24"/>
  <c r="BS99" i="24"/>
  <c r="BR99" i="24"/>
  <c r="BQ99" i="24"/>
  <c r="BP99" i="24"/>
  <c r="BO99" i="24"/>
  <c r="BN99" i="24"/>
  <c r="BM99" i="24"/>
  <c r="BL99" i="24"/>
  <c r="BK99" i="24"/>
  <c r="BJ99" i="24"/>
  <c r="BI99" i="24"/>
  <c r="BH99" i="24"/>
  <c r="BG99" i="24"/>
  <c r="BF99" i="24"/>
  <c r="BE99" i="24"/>
  <c r="BD99" i="24"/>
  <c r="BC99" i="24"/>
  <c r="BB99" i="24"/>
  <c r="BA99" i="24"/>
  <c r="AY99" i="24"/>
  <c r="AX99" i="24"/>
  <c r="AW99" i="24"/>
  <c r="AV99" i="24"/>
  <c r="AU99" i="24"/>
  <c r="AT99" i="24"/>
  <c r="AS99" i="24"/>
  <c r="AR99" i="24"/>
  <c r="AQ99" i="24"/>
  <c r="AP99" i="24"/>
  <c r="AO99" i="24"/>
  <c r="AN99" i="24"/>
  <c r="AM99" i="24"/>
  <c r="AL99" i="24"/>
  <c r="AK99" i="24"/>
  <c r="AJ99" i="24"/>
  <c r="AI99" i="24"/>
  <c r="AH99" i="24"/>
  <c r="AG99" i="24"/>
  <c r="AF99" i="24"/>
  <c r="AE99" i="24"/>
  <c r="AD99" i="24"/>
  <c r="AC99" i="24"/>
  <c r="AB99" i="24"/>
  <c r="BX98" i="24"/>
  <c r="BW98" i="24"/>
  <c r="BV98" i="24"/>
  <c r="BU98" i="24"/>
  <c r="BT98" i="24"/>
  <c r="BS98" i="24"/>
  <c r="BR98" i="24"/>
  <c r="BQ98" i="24"/>
  <c r="BP98" i="24"/>
  <c r="BO98" i="24"/>
  <c r="BN98" i="24"/>
  <c r="BM98" i="24"/>
  <c r="BL98" i="24"/>
  <c r="BK98" i="24"/>
  <c r="BJ98" i="24"/>
  <c r="BI98" i="24"/>
  <c r="BH98" i="24"/>
  <c r="BG98" i="24"/>
  <c r="BF98" i="24"/>
  <c r="BE98" i="24"/>
  <c r="BD98" i="24"/>
  <c r="BC98" i="24"/>
  <c r="BB98" i="24"/>
  <c r="BA98" i="24"/>
  <c r="AY98" i="24"/>
  <c r="AX98" i="24"/>
  <c r="AW98" i="24"/>
  <c r="AV98" i="24"/>
  <c r="AU98" i="24"/>
  <c r="AT98" i="24"/>
  <c r="AS98" i="24"/>
  <c r="AR98" i="24"/>
  <c r="AQ98" i="24"/>
  <c r="AP98" i="24"/>
  <c r="AO98" i="24"/>
  <c r="AN98" i="24"/>
  <c r="AM98" i="24"/>
  <c r="AL98" i="24"/>
  <c r="AK98" i="24"/>
  <c r="AJ98" i="24"/>
  <c r="AI98" i="24"/>
  <c r="AH98" i="24"/>
  <c r="AG98" i="24"/>
  <c r="AF98" i="24"/>
  <c r="AE98" i="24"/>
  <c r="AD98" i="24"/>
  <c r="AC98" i="24"/>
  <c r="AB98" i="24"/>
  <c r="BX97" i="24"/>
  <c r="BW97" i="24"/>
  <c r="BV97" i="24"/>
  <c r="BU97" i="24"/>
  <c r="BT97" i="24"/>
  <c r="BS97" i="24"/>
  <c r="BR97" i="24"/>
  <c r="BQ97" i="24"/>
  <c r="BP97" i="24"/>
  <c r="BO97" i="24"/>
  <c r="BN97" i="24"/>
  <c r="BM97" i="24"/>
  <c r="BL97" i="24"/>
  <c r="BK97" i="24"/>
  <c r="BJ97" i="24"/>
  <c r="BI97" i="24"/>
  <c r="BH97" i="24"/>
  <c r="BG97" i="24"/>
  <c r="BF97" i="24"/>
  <c r="BE97" i="24"/>
  <c r="BD97" i="24"/>
  <c r="BC97" i="24"/>
  <c r="BB97" i="24"/>
  <c r="BA97" i="24"/>
  <c r="AY97" i="24"/>
  <c r="AX97" i="24"/>
  <c r="AW97" i="24"/>
  <c r="AV97" i="24"/>
  <c r="AU97" i="24"/>
  <c r="AT97" i="24"/>
  <c r="AS97" i="24"/>
  <c r="AR97" i="24"/>
  <c r="AQ97" i="24"/>
  <c r="AP97" i="24"/>
  <c r="AO97" i="24"/>
  <c r="AN97" i="24"/>
  <c r="AM97" i="24"/>
  <c r="AL97" i="24"/>
  <c r="AK97" i="24"/>
  <c r="AJ97" i="24"/>
  <c r="AI97" i="24"/>
  <c r="AH97" i="24"/>
  <c r="AG97" i="24"/>
  <c r="AF97" i="24"/>
  <c r="AE97" i="24"/>
  <c r="AD97" i="24"/>
  <c r="AC97" i="24"/>
  <c r="AB97" i="24"/>
  <c r="BX96" i="24"/>
  <c r="BW96" i="24"/>
  <c r="BV96" i="24"/>
  <c r="BU96" i="24"/>
  <c r="BT96" i="24"/>
  <c r="BS96" i="24"/>
  <c r="BR96" i="24"/>
  <c r="BQ96" i="24"/>
  <c r="BP96" i="24"/>
  <c r="BO96" i="24"/>
  <c r="BN96" i="24"/>
  <c r="BM96" i="24"/>
  <c r="BL96" i="24"/>
  <c r="BK96" i="24"/>
  <c r="BJ96" i="24"/>
  <c r="BI96" i="24"/>
  <c r="BH96" i="24"/>
  <c r="BG96" i="24"/>
  <c r="BF96" i="24"/>
  <c r="BE96" i="24"/>
  <c r="BD96" i="24"/>
  <c r="BC96" i="24"/>
  <c r="BB96" i="24"/>
  <c r="BA96" i="24"/>
  <c r="AY96" i="24"/>
  <c r="AX96" i="24"/>
  <c r="AW96" i="24"/>
  <c r="AV96" i="24"/>
  <c r="AU96" i="24"/>
  <c r="AT96" i="24"/>
  <c r="AS96" i="24"/>
  <c r="AR96" i="24"/>
  <c r="AQ96" i="24"/>
  <c r="AP96" i="24"/>
  <c r="AO96" i="24"/>
  <c r="AN96" i="24"/>
  <c r="AM96" i="24"/>
  <c r="AL96" i="24"/>
  <c r="AK96" i="24"/>
  <c r="AJ96" i="24"/>
  <c r="AI96" i="24"/>
  <c r="AH96" i="24"/>
  <c r="AG96" i="24"/>
  <c r="AF96" i="24"/>
  <c r="AE96" i="24"/>
  <c r="AD96" i="24"/>
  <c r="AC96" i="24"/>
  <c r="AB96" i="24"/>
  <c r="BX95" i="24"/>
  <c r="BW95" i="24"/>
  <c r="BV95" i="24"/>
  <c r="BU95" i="24"/>
  <c r="BT95" i="24"/>
  <c r="BS95" i="24"/>
  <c r="BR95" i="24"/>
  <c r="BQ95" i="24"/>
  <c r="BP95" i="24"/>
  <c r="BO95" i="24"/>
  <c r="BN95" i="24"/>
  <c r="BM95" i="24"/>
  <c r="BL95" i="24"/>
  <c r="BK95" i="24"/>
  <c r="BJ95" i="24"/>
  <c r="BI95" i="24"/>
  <c r="BH95" i="24"/>
  <c r="BG95" i="24"/>
  <c r="BF95" i="24"/>
  <c r="BE95" i="24"/>
  <c r="BD95" i="24"/>
  <c r="BC95" i="24"/>
  <c r="BB95" i="24"/>
  <c r="BA95" i="24"/>
  <c r="AY95" i="24"/>
  <c r="AX95" i="24"/>
  <c r="AW95" i="24"/>
  <c r="AV95" i="24"/>
  <c r="AU95" i="24"/>
  <c r="AT95" i="24"/>
  <c r="AS95" i="24"/>
  <c r="AR95" i="24"/>
  <c r="AQ95" i="24"/>
  <c r="AP95" i="24"/>
  <c r="AO95" i="24"/>
  <c r="AN95" i="24"/>
  <c r="AM95" i="24"/>
  <c r="AL95" i="24"/>
  <c r="AK95" i="24"/>
  <c r="AJ95" i="24"/>
  <c r="AI95" i="24"/>
  <c r="AH95" i="24"/>
  <c r="AG95" i="24"/>
  <c r="AF95" i="24"/>
  <c r="AE95" i="24"/>
  <c r="AD95" i="24"/>
  <c r="AC95" i="24"/>
  <c r="AB95" i="24"/>
  <c r="BX94" i="24"/>
  <c r="BW94" i="24"/>
  <c r="BV94" i="24"/>
  <c r="BU94" i="24"/>
  <c r="BT94" i="24"/>
  <c r="BS94" i="24"/>
  <c r="BR94" i="24"/>
  <c r="BQ94" i="24"/>
  <c r="BP94" i="24"/>
  <c r="BO94" i="24"/>
  <c r="BN94" i="24"/>
  <c r="BM94" i="24"/>
  <c r="BL94" i="24"/>
  <c r="BK94" i="24"/>
  <c r="BJ94" i="24"/>
  <c r="BI94" i="24"/>
  <c r="BH94" i="24"/>
  <c r="BG94" i="24"/>
  <c r="BF94" i="24"/>
  <c r="BE94" i="24"/>
  <c r="BD94" i="24"/>
  <c r="BC94" i="24"/>
  <c r="BB94" i="24"/>
  <c r="BA94" i="24"/>
  <c r="AY94" i="24"/>
  <c r="AX94" i="24"/>
  <c r="AW94" i="24"/>
  <c r="AV94" i="24"/>
  <c r="AU94" i="24"/>
  <c r="AT94" i="24"/>
  <c r="AS94" i="24"/>
  <c r="AR94" i="24"/>
  <c r="AQ94" i="24"/>
  <c r="AP94" i="24"/>
  <c r="AO94" i="24"/>
  <c r="AN94" i="24"/>
  <c r="AM94" i="24"/>
  <c r="AL94" i="24"/>
  <c r="AK94" i="24"/>
  <c r="AJ94" i="24"/>
  <c r="AI94" i="24"/>
  <c r="AH94" i="24"/>
  <c r="AG94" i="24"/>
  <c r="AF94" i="24"/>
  <c r="AE94" i="24"/>
  <c r="AD94" i="24"/>
  <c r="AC94" i="24"/>
  <c r="AB94" i="24"/>
  <c r="BX93" i="24"/>
  <c r="BW93" i="24"/>
  <c r="BV93" i="24"/>
  <c r="BU93" i="24"/>
  <c r="BT93" i="24"/>
  <c r="BS93" i="24"/>
  <c r="BR93" i="24"/>
  <c r="BQ93" i="24"/>
  <c r="BP93" i="24"/>
  <c r="BO93" i="24"/>
  <c r="BN93" i="24"/>
  <c r="BM93" i="24"/>
  <c r="BL93" i="24"/>
  <c r="BK93" i="24"/>
  <c r="BJ93" i="24"/>
  <c r="BI93" i="24"/>
  <c r="BH93" i="24"/>
  <c r="BG93" i="24"/>
  <c r="BF93" i="24"/>
  <c r="BE93" i="24"/>
  <c r="BD93" i="24"/>
  <c r="BC93" i="24"/>
  <c r="BB93" i="24"/>
  <c r="BA93" i="24"/>
  <c r="AY93" i="24"/>
  <c r="AX93" i="24"/>
  <c r="AW93" i="24"/>
  <c r="AV93" i="24"/>
  <c r="AU93" i="24"/>
  <c r="AT93" i="24"/>
  <c r="AS93" i="24"/>
  <c r="AR93" i="24"/>
  <c r="AQ93" i="24"/>
  <c r="AP93" i="24"/>
  <c r="AO93" i="24"/>
  <c r="AN93" i="24"/>
  <c r="AM93" i="24"/>
  <c r="AL93" i="24"/>
  <c r="AK93" i="24"/>
  <c r="AJ93" i="24"/>
  <c r="AI93" i="24"/>
  <c r="AH93" i="24"/>
  <c r="AG93" i="24"/>
  <c r="AF93" i="24"/>
  <c r="AE93" i="24"/>
  <c r="AD93" i="24"/>
  <c r="AC93" i="24"/>
  <c r="AB93" i="24"/>
  <c r="BX92" i="24"/>
  <c r="BW92" i="24"/>
  <c r="BV92" i="24"/>
  <c r="BU92" i="24"/>
  <c r="BT92" i="24"/>
  <c r="BS92" i="24"/>
  <c r="BR92" i="24"/>
  <c r="BQ92" i="24"/>
  <c r="BP92" i="24"/>
  <c r="BO92" i="24"/>
  <c r="BN92" i="24"/>
  <c r="BM92" i="24"/>
  <c r="BL92" i="24"/>
  <c r="BK92" i="24"/>
  <c r="BJ92" i="24"/>
  <c r="BI92" i="24"/>
  <c r="BH92" i="24"/>
  <c r="BG92" i="24"/>
  <c r="BF92" i="24"/>
  <c r="BE92" i="24"/>
  <c r="BD92" i="24"/>
  <c r="BC92" i="24"/>
  <c r="BB92" i="24"/>
  <c r="BA92" i="24"/>
  <c r="AY92" i="24"/>
  <c r="AX92" i="24"/>
  <c r="AW92" i="24"/>
  <c r="AV92" i="24"/>
  <c r="AU92" i="24"/>
  <c r="AT92" i="24"/>
  <c r="AS92" i="24"/>
  <c r="AR92" i="24"/>
  <c r="AQ92" i="24"/>
  <c r="AP92" i="24"/>
  <c r="AO92" i="24"/>
  <c r="AN92" i="24"/>
  <c r="AM92" i="24"/>
  <c r="AL92" i="24"/>
  <c r="AK92" i="24"/>
  <c r="AJ92" i="24"/>
  <c r="AI92" i="24"/>
  <c r="AH92" i="24"/>
  <c r="AG92" i="24"/>
  <c r="AF92" i="24"/>
  <c r="AE92" i="24"/>
  <c r="AD92" i="24"/>
  <c r="AC92" i="24"/>
  <c r="AB92" i="24"/>
  <c r="BX91" i="24"/>
  <c r="BW91" i="24"/>
  <c r="BV91" i="24"/>
  <c r="BU91" i="24"/>
  <c r="BT91" i="24"/>
  <c r="BS91" i="24"/>
  <c r="BR91" i="24"/>
  <c r="BQ91" i="24"/>
  <c r="BP91" i="24"/>
  <c r="BO91" i="24"/>
  <c r="BN91" i="24"/>
  <c r="BM91" i="24"/>
  <c r="BL91" i="24"/>
  <c r="BK91" i="24"/>
  <c r="BJ91" i="24"/>
  <c r="BI91" i="24"/>
  <c r="BH91" i="24"/>
  <c r="BG91" i="24"/>
  <c r="BF91" i="24"/>
  <c r="BE91" i="24"/>
  <c r="BD91" i="24"/>
  <c r="BC91" i="24"/>
  <c r="BB91" i="24"/>
  <c r="BA91" i="24"/>
  <c r="AY91" i="24"/>
  <c r="AX91" i="24"/>
  <c r="AW91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AH91" i="24"/>
  <c r="AG91" i="24"/>
  <c r="AF91" i="24"/>
  <c r="AE91" i="24"/>
  <c r="AD91" i="24"/>
  <c r="AC91" i="24"/>
  <c r="AB91" i="24"/>
  <c r="BX90" i="24"/>
  <c r="BW90" i="24"/>
  <c r="BV90" i="24"/>
  <c r="BU90" i="24"/>
  <c r="BT90" i="24"/>
  <c r="BS90" i="24"/>
  <c r="BR90" i="24"/>
  <c r="BQ90" i="24"/>
  <c r="BP90" i="24"/>
  <c r="BO90" i="24"/>
  <c r="BN90" i="24"/>
  <c r="BM90" i="24"/>
  <c r="BL90" i="24"/>
  <c r="BK90" i="24"/>
  <c r="BJ90" i="24"/>
  <c r="BI90" i="24"/>
  <c r="BH90" i="24"/>
  <c r="BG90" i="24"/>
  <c r="BF90" i="24"/>
  <c r="BE90" i="24"/>
  <c r="BD90" i="24"/>
  <c r="BC90" i="24"/>
  <c r="BB90" i="24"/>
  <c r="BA90" i="24"/>
  <c r="AY90" i="24"/>
  <c r="AX90" i="24"/>
  <c r="AW90" i="24"/>
  <c r="AV90" i="24"/>
  <c r="AU90" i="24"/>
  <c r="AT90" i="24"/>
  <c r="AS90" i="24"/>
  <c r="AR90" i="24"/>
  <c r="AQ90" i="24"/>
  <c r="AP90" i="24"/>
  <c r="AO90" i="24"/>
  <c r="AN90" i="24"/>
  <c r="AM90" i="24"/>
  <c r="AL90" i="24"/>
  <c r="AK90" i="24"/>
  <c r="AJ90" i="24"/>
  <c r="AI90" i="24"/>
  <c r="AH90" i="24"/>
  <c r="AG90" i="24"/>
  <c r="AF90" i="24"/>
  <c r="AE90" i="24"/>
  <c r="AD90" i="24"/>
  <c r="AC90" i="24"/>
  <c r="AB90" i="24"/>
  <c r="BX89" i="24"/>
  <c r="BW89" i="24"/>
  <c r="BV89" i="24"/>
  <c r="BU89" i="24"/>
  <c r="BT89" i="24"/>
  <c r="BS89" i="24"/>
  <c r="BR89" i="24"/>
  <c r="BQ89" i="24"/>
  <c r="BP89" i="24"/>
  <c r="BO89" i="24"/>
  <c r="BN89" i="24"/>
  <c r="BM89" i="24"/>
  <c r="BL89" i="24"/>
  <c r="BK89" i="24"/>
  <c r="BJ89" i="24"/>
  <c r="BI89" i="24"/>
  <c r="BH89" i="24"/>
  <c r="BG89" i="24"/>
  <c r="BF89" i="24"/>
  <c r="BE89" i="24"/>
  <c r="BD89" i="24"/>
  <c r="BC89" i="24"/>
  <c r="BB89" i="24"/>
  <c r="BA89" i="24"/>
  <c r="AY89" i="24"/>
  <c r="AX89" i="24"/>
  <c r="AW89" i="24"/>
  <c r="AV89" i="24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AH89" i="24"/>
  <c r="AG89" i="24"/>
  <c r="AF89" i="24"/>
  <c r="AE89" i="24"/>
  <c r="AD89" i="24"/>
  <c r="AC89" i="24"/>
  <c r="AB89" i="24"/>
  <c r="BX88" i="24"/>
  <c r="BW88" i="24"/>
  <c r="BV88" i="24"/>
  <c r="BU88" i="24"/>
  <c r="BT88" i="24"/>
  <c r="BS88" i="24"/>
  <c r="BR88" i="24"/>
  <c r="BQ88" i="24"/>
  <c r="BP88" i="24"/>
  <c r="BO88" i="24"/>
  <c r="BN88" i="24"/>
  <c r="BM88" i="24"/>
  <c r="BL88" i="24"/>
  <c r="BK88" i="24"/>
  <c r="BJ88" i="24"/>
  <c r="BI88" i="24"/>
  <c r="BH88" i="24"/>
  <c r="BG88" i="24"/>
  <c r="BF88" i="24"/>
  <c r="BE88" i="24"/>
  <c r="BD88" i="24"/>
  <c r="BC88" i="24"/>
  <c r="BB88" i="24"/>
  <c r="BA88" i="24"/>
  <c r="AY88" i="24"/>
  <c r="AX88" i="24"/>
  <c r="AW88" i="24"/>
  <c r="AV88" i="24"/>
  <c r="AU88" i="24"/>
  <c r="AT88" i="24"/>
  <c r="AS88" i="24"/>
  <c r="AR88" i="24"/>
  <c r="AQ88" i="24"/>
  <c r="AP88" i="24"/>
  <c r="AO88" i="24"/>
  <c r="AN88" i="24"/>
  <c r="AM88" i="24"/>
  <c r="AL88" i="24"/>
  <c r="AK88" i="24"/>
  <c r="AJ88" i="24"/>
  <c r="AI88" i="24"/>
  <c r="AH88" i="24"/>
  <c r="AG88" i="24"/>
  <c r="AF88" i="24"/>
  <c r="AE88" i="24"/>
  <c r="AD88" i="24"/>
  <c r="AC88" i="24"/>
  <c r="AB88" i="24"/>
  <c r="BX87" i="24"/>
  <c r="BW87" i="24"/>
  <c r="BV87" i="24"/>
  <c r="BU87" i="24"/>
  <c r="BT87" i="24"/>
  <c r="BS87" i="24"/>
  <c r="BR87" i="24"/>
  <c r="BQ87" i="24"/>
  <c r="BP87" i="24"/>
  <c r="BO87" i="24"/>
  <c r="BN87" i="24"/>
  <c r="BM87" i="24"/>
  <c r="BL87" i="24"/>
  <c r="BK87" i="24"/>
  <c r="BJ87" i="24"/>
  <c r="BI87" i="24"/>
  <c r="BH87" i="24"/>
  <c r="BG87" i="24"/>
  <c r="BF87" i="24"/>
  <c r="BE87" i="24"/>
  <c r="BD87" i="24"/>
  <c r="BC87" i="24"/>
  <c r="BB87" i="24"/>
  <c r="BA87" i="24"/>
  <c r="AY87" i="24"/>
  <c r="AX87" i="24"/>
  <c r="AW87" i="24"/>
  <c r="AV87" i="24"/>
  <c r="AU87" i="24"/>
  <c r="AT87" i="24"/>
  <c r="AS87" i="24"/>
  <c r="AR87" i="24"/>
  <c r="AQ87" i="24"/>
  <c r="AP87" i="24"/>
  <c r="AO87" i="24"/>
  <c r="AN87" i="24"/>
  <c r="AM87" i="24"/>
  <c r="AL87" i="24"/>
  <c r="AK87" i="24"/>
  <c r="AJ87" i="24"/>
  <c r="AI87" i="24"/>
  <c r="AH87" i="24"/>
  <c r="AG87" i="24"/>
  <c r="AF87" i="24"/>
  <c r="AE87" i="24"/>
  <c r="AD87" i="24"/>
  <c r="AC87" i="24"/>
  <c r="AB87" i="24"/>
  <c r="BX86" i="24"/>
  <c r="BW86" i="24"/>
  <c r="BV86" i="24"/>
  <c r="BU86" i="24"/>
  <c r="BT86" i="24"/>
  <c r="BS86" i="24"/>
  <c r="BR86" i="24"/>
  <c r="BQ86" i="24"/>
  <c r="BP86" i="24"/>
  <c r="BO86" i="24"/>
  <c r="BN86" i="24"/>
  <c r="BM86" i="24"/>
  <c r="BL86" i="24"/>
  <c r="BK86" i="24"/>
  <c r="BJ86" i="24"/>
  <c r="BI86" i="24"/>
  <c r="BH86" i="24"/>
  <c r="BG86" i="24"/>
  <c r="BF86" i="24"/>
  <c r="BE86" i="24"/>
  <c r="BD86" i="24"/>
  <c r="BC86" i="24"/>
  <c r="BB86" i="24"/>
  <c r="BA86" i="24"/>
  <c r="AY86" i="24"/>
  <c r="AX86" i="24"/>
  <c r="AW86" i="24"/>
  <c r="AV86" i="24"/>
  <c r="AU86" i="24"/>
  <c r="AT86" i="24"/>
  <c r="AS86" i="24"/>
  <c r="AR86" i="24"/>
  <c r="AQ86" i="24"/>
  <c r="AP86" i="24"/>
  <c r="AO86" i="24"/>
  <c r="AN86" i="24"/>
  <c r="AM86" i="24"/>
  <c r="AL86" i="24"/>
  <c r="AK86" i="24"/>
  <c r="AJ86" i="24"/>
  <c r="AI86" i="24"/>
  <c r="AH86" i="24"/>
  <c r="AG86" i="24"/>
  <c r="AF86" i="24"/>
  <c r="AE86" i="24"/>
  <c r="AD86" i="24"/>
  <c r="AC86" i="24"/>
  <c r="AB86" i="24"/>
  <c r="BX85" i="24"/>
  <c r="BW85" i="24"/>
  <c r="BV85" i="24"/>
  <c r="BU85" i="24"/>
  <c r="BT85" i="24"/>
  <c r="BS85" i="24"/>
  <c r="BR85" i="24"/>
  <c r="BQ85" i="24"/>
  <c r="BP85" i="24"/>
  <c r="BO85" i="24"/>
  <c r="BN85" i="24"/>
  <c r="BM85" i="24"/>
  <c r="BL85" i="24"/>
  <c r="BK85" i="24"/>
  <c r="BJ85" i="24"/>
  <c r="BI85" i="24"/>
  <c r="BH85" i="24"/>
  <c r="BG85" i="24"/>
  <c r="BF85" i="24"/>
  <c r="BE85" i="24"/>
  <c r="BD85" i="24"/>
  <c r="BC85" i="24"/>
  <c r="BB85" i="24"/>
  <c r="BA85" i="24"/>
  <c r="AY85" i="24"/>
  <c r="AX85" i="24"/>
  <c r="AW85" i="24"/>
  <c r="AV85" i="24"/>
  <c r="AU85" i="24"/>
  <c r="AT85" i="24"/>
  <c r="AS85" i="24"/>
  <c r="AR85" i="24"/>
  <c r="AQ85" i="24"/>
  <c r="AP85" i="24"/>
  <c r="AO85" i="24"/>
  <c r="AN85" i="24"/>
  <c r="AM85" i="24"/>
  <c r="AL85" i="24"/>
  <c r="AK85" i="24"/>
  <c r="AJ85" i="24"/>
  <c r="AI85" i="24"/>
  <c r="AH85" i="24"/>
  <c r="AG85" i="24"/>
  <c r="AF85" i="24"/>
  <c r="AE85" i="24"/>
  <c r="AD85" i="24"/>
  <c r="AC85" i="24"/>
  <c r="AB85" i="24"/>
  <c r="BX84" i="24"/>
  <c r="BW84" i="24"/>
  <c r="BV84" i="24"/>
  <c r="BU84" i="24"/>
  <c r="BT84" i="24"/>
  <c r="BS84" i="24"/>
  <c r="BR84" i="24"/>
  <c r="BQ84" i="24"/>
  <c r="BP84" i="24"/>
  <c r="BO84" i="24"/>
  <c r="BN84" i="24"/>
  <c r="BM84" i="24"/>
  <c r="BL84" i="24"/>
  <c r="BK84" i="24"/>
  <c r="BJ84" i="24"/>
  <c r="BI84" i="24"/>
  <c r="BH84" i="24"/>
  <c r="BG84" i="24"/>
  <c r="BF84" i="24"/>
  <c r="BE84" i="24"/>
  <c r="BD84" i="24"/>
  <c r="BC84" i="24"/>
  <c r="BB84" i="24"/>
  <c r="BA84" i="24"/>
  <c r="AY84" i="24"/>
  <c r="AX84" i="24"/>
  <c r="AW84" i="24"/>
  <c r="AV84" i="24"/>
  <c r="AU84" i="24"/>
  <c r="AT84" i="24"/>
  <c r="AS84" i="24"/>
  <c r="AR84" i="24"/>
  <c r="AQ84" i="24"/>
  <c r="AP84" i="24"/>
  <c r="AO84" i="24"/>
  <c r="AN84" i="24"/>
  <c r="AM84" i="24"/>
  <c r="AL84" i="24"/>
  <c r="AK84" i="24"/>
  <c r="AJ84" i="24"/>
  <c r="AI84" i="24"/>
  <c r="AH84" i="24"/>
  <c r="AG84" i="24"/>
  <c r="AF84" i="24"/>
  <c r="AE84" i="24"/>
  <c r="AD84" i="24"/>
  <c r="AC84" i="24"/>
  <c r="AB84" i="24"/>
  <c r="BX83" i="24"/>
  <c r="BW83" i="24"/>
  <c r="BV83" i="24"/>
  <c r="BU83" i="24"/>
  <c r="BT83" i="24"/>
  <c r="BS83" i="24"/>
  <c r="BR83" i="24"/>
  <c r="BQ83" i="24"/>
  <c r="BP83" i="24"/>
  <c r="BO83" i="24"/>
  <c r="BN83" i="24"/>
  <c r="BM83" i="24"/>
  <c r="BL83" i="24"/>
  <c r="BK83" i="24"/>
  <c r="BJ83" i="24"/>
  <c r="BI83" i="24"/>
  <c r="BH83" i="24"/>
  <c r="BG83" i="24"/>
  <c r="BF83" i="24"/>
  <c r="BE83" i="24"/>
  <c r="BD83" i="24"/>
  <c r="BC83" i="24"/>
  <c r="BB83" i="24"/>
  <c r="BA83" i="24"/>
  <c r="AY83" i="24"/>
  <c r="AX83" i="24"/>
  <c r="AW83" i="24"/>
  <c r="AV83" i="24"/>
  <c r="AU83" i="24"/>
  <c r="AT83" i="24"/>
  <c r="AS83" i="24"/>
  <c r="AR83" i="24"/>
  <c r="AQ83" i="24"/>
  <c r="AP83" i="24"/>
  <c r="AO83" i="24"/>
  <c r="AN83" i="24"/>
  <c r="AM83" i="24"/>
  <c r="AL83" i="24"/>
  <c r="AK83" i="24"/>
  <c r="AJ83" i="24"/>
  <c r="AI83" i="24"/>
  <c r="AH83" i="24"/>
  <c r="AG83" i="24"/>
  <c r="AF83" i="24"/>
  <c r="AE83" i="24"/>
  <c r="AD83" i="24"/>
  <c r="AC83" i="24"/>
  <c r="AB83" i="24"/>
  <c r="BX82" i="24"/>
  <c r="BW82" i="24"/>
  <c r="BV82" i="24"/>
  <c r="BU82" i="24"/>
  <c r="BT82" i="24"/>
  <c r="BS82" i="24"/>
  <c r="BR82" i="24"/>
  <c r="BQ82" i="24"/>
  <c r="BP82" i="24"/>
  <c r="BO82" i="24"/>
  <c r="BN82" i="24"/>
  <c r="BM82" i="24"/>
  <c r="BL82" i="24"/>
  <c r="BK82" i="24"/>
  <c r="BJ82" i="24"/>
  <c r="BI82" i="24"/>
  <c r="BH82" i="24"/>
  <c r="BG82" i="24"/>
  <c r="BF82" i="24"/>
  <c r="BE82" i="24"/>
  <c r="BD82" i="24"/>
  <c r="BC82" i="24"/>
  <c r="BB82" i="24"/>
  <c r="BA82" i="24"/>
  <c r="AY82" i="24"/>
  <c r="AX82" i="24"/>
  <c r="AW82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D82" i="24"/>
  <c r="AC82" i="24"/>
  <c r="AB82" i="24"/>
  <c r="BX81" i="24"/>
  <c r="BW81" i="24"/>
  <c r="BV81" i="24"/>
  <c r="BU81" i="24"/>
  <c r="BT81" i="24"/>
  <c r="BS81" i="24"/>
  <c r="BR81" i="24"/>
  <c r="BQ81" i="24"/>
  <c r="BP81" i="24"/>
  <c r="BO81" i="24"/>
  <c r="BN81" i="24"/>
  <c r="BM81" i="24"/>
  <c r="BL81" i="24"/>
  <c r="BK81" i="24"/>
  <c r="BJ81" i="24"/>
  <c r="BI81" i="24"/>
  <c r="BH81" i="24"/>
  <c r="BG81" i="24"/>
  <c r="BF81" i="24"/>
  <c r="BE81" i="24"/>
  <c r="BD81" i="24"/>
  <c r="BC81" i="24"/>
  <c r="BB81" i="24"/>
  <c r="BA81" i="24"/>
  <c r="AY81" i="24"/>
  <c r="AX81" i="24"/>
  <c r="AW81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AH81" i="24"/>
  <c r="AG81" i="24"/>
  <c r="AF81" i="24"/>
  <c r="AE81" i="24"/>
  <c r="AD81" i="24"/>
  <c r="AC81" i="24"/>
  <c r="AB81" i="24"/>
  <c r="BX80" i="24"/>
  <c r="BW80" i="24"/>
  <c r="BV80" i="24"/>
  <c r="BU80" i="24"/>
  <c r="BT80" i="24"/>
  <c r="BS80" i="24"/>
  <c r="BR80" i="24"/>
  <c r="BQ80" i="24"/>
  <c r="BP80" i="24"/>
  <c r="BO80" i="24"/>
  <c r="BN80" i="24"/>
  <c r="BM80" i="24"/>
  <c r="BL80" i="24"/>
  <c r="BK80" i="24"/>
  <c r="BJ80" i="24"/>
  <c r="BI80" i="24"/>
  <c r="BH80" i="24"/>
  <c r="BG80" i="24"/>
  <c r="BF80" i="24"/>
  <c r="BE80" i="24"/>
  <c r="BD80" i="24"/>
  <c r="BC80" i="24"/>
  <c r="BB80" i="24"/>
  <c r="BA80" i="24"/>
  <c r="AY80" i="24"/>
  <c r="AX80" i="24"/>
  <c r="AW80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/>
  <c r="AC80" i="24"/>
  <c r="AB80" i="24"/>
  <c r="BX79" i="24"/>
  <c r="BW79" i="24"/>
  <c r="BV79" i="24"/>
  <c r="BU79" i="24"/>
  <c r="BT79" i="24"/>
  <c r="BS79" i="24"/>
  <c r="BR79" i="24"/>
  <c r="BQ79" i="24"/>
  <c r="BP79" i="24"/>
  <c r="BO79" i="24"/>
  <c r="BN79" i="24"/>
  <c r="BM79" i="24"/>
  <c r="BL79" i="24"/>
  <c r="BK79" i="24"/>
  <c r="BJ79" i="24"/>
  <c r="BI79" i="24"/>
  <c r="BH79" i="24"/>
  <c r="BG79" i="24"/>
  <c r="BF79" i="24"/>
  <c r="BE79" i="24"/>
  <c r="BD79" i="24"/>
  <c r="BC79" i="24"/>
  <c r="BB79" i="24"/>
  <c r="BA79" i="24"/>
  <c r="AY79" i="24"/>
  <c r="AX79" i="24"/>
  <c r="AW79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AJ79" i="24"/>
  <c r="AI79" i="24"/>
  <c r="AH79" i="24"/>
  <c r="AG79" i="24"/>
  <c r="AF79" i="24"/>
  <c r="AE79" i="24"/>
  <c r="AD79" i="24"/>
  <c r="AC79" i="24"/>
  <c r="AB79" i="24"/>
  <c r="BX78" i="24"/>
  <c r="BW78" i="24"/>
  <c r="BV78" i="24"/>
  <c r="BU78" i="24"/>
  <c r="BT78" i="24"/>
  <c r="BS78" i="24"/>
  <c r="BR78" i="24"/>
  <c r="BQ78" i="24"/>
  <c r="BP78" i="24"/>
  <c r="BO78" i="24"/>
  <c r="BN78" i="24"/>
  <c r="BM78" i="24"/>
  <c r="BL78" i="24"/>
  <c r="BK78" i="24"/>
  <c r="BJ78" i="24"/>
  <c r="BI78" i="24"/>
  <c r="BH78" i="24"/>
  <c r="BG78" i="24"/>
  <c r="BF78" i="24"/>
  <c r="BE78" i="24"/>
  <c r="BD78" i="24"/>
  <c r="BC78" i="24"/>
  <c r="BB78" i="24"/>
  <c r="BA78" i="24"/>
  <c r="AY78" i="24"/>
  <c r="AX78" i="24"/>
  <c r="AW78" i="24"/>
  <c r="AV78" i="24"/>
  <c r="AU78" i="24"/>
  <c r="AT78" i="24"/>
  <c r="AS78" i="24"/>
  <c r="AR78" i="24"/>
  <c r="AQ78" i="24"/>
  <c r="AP78" i="24"/>
  <c r="AO78" i="24"/>
  <c r="AN78" i="24"/>
  <c r="AM78" i="24"/>
  <c r="AL78" i="24"/>
  <c r="AK78" i="24"/>
  <c r="AJ78" i="24"/>
  <c r="AI78" i="24"/>
  <c r="AH78" i="24"/>
  <c r="AG78" i="24"/>
  <c r="AF78" i="24"/>
  <c r="AE78" i="24"/>
  <c r="AD78" i="24"/>
  <c r="AC78" i="24"/>
  <c r="AB78" i="24"/>
  <c r="BX77" i="24"/>
  <c r="BW77" i="24"/>
  <c r="BV77" i="24"/>
  <c r="BU77" i="24"/>
  <c r="BT77" i="24"/>
  <c r="BS77" i="24"/>
  <c r="BR77" i="24"/>
  <c r="BQ77" i="24"/>
  <c r="BP77" i="24"/>
  <c r="BO77" i="24"/>
  <c r="BN77" i="24"/>
  <c r="BM77" i="24"/>
  <c r="BL77" i="24"/>
  <c r="BK77" i="24"/>
  <c r="BJ77" i="24"/>
  <c r="BI77" i="24"/>
  <c r="BH77" i="24"/>
  <c r="BG77" i="24"/>
  <c r="BF77" i="24"/>
  <c r="BE77" i="24"/>
  <c r="BD77" i="24"/>
  <c r="BC77" i="24"/>
  <c r="BB77" i="24"/>
  <c r="BA77" i="24"/>
  <c r="AY77" i="24"/>
  <c r="AX77" i="24"/>
  <c r="AW77" i="24"/>
  <c r="AV77" i="24"/>
  <c r="AU77" i="24"/>
  <c r="AT77" i="24"/>
  <c r="AS77" i="24"/>
  <c r="AR77" i="24"/>
  <c r="AQ77" i="24"/>
  <c r="AP77" i="24"/>
  <c r="AO77" i="24"/>
  <c r="AN77" i="24"/>
  <c r="AM77" i="24"/>
  <c r="AL77" i="24"/>
  <c r="AK77" i="24"/>
  <c r="AJ77" i="24"/>
  <c r="AI77" i="24"/>
  <c r="AH77" i="24"/>
  <c r="AG77" i="24"/>
  <c r="AF77" i="24"/>
  <c r="AE77" i="24"/>
  <c r="AD77" i="24"/>
  <c r="AC77" i="24"/>
  <c r="AB77" i="24"/>
  <c r="BX76" i="24"/>
  <c r="BW76" i="24"/>
  <c r="BV76" i="24"/>
  <c r="BU76" i="24"/>
  <c r="BT76" i="24"/>
  <c r="BS76" i="24"/>
  <c r="BR76" i="24"/>
  <c r="BQ76" i="24"/>
  <c r="BP76" i="24"/>
  <c r="BO76" i="24"/>
  <c r="BN76" i="24"/>
  <c r="BM76" i="24"/>
  <c r="BL76" i="24"/>
  <c r="BK76" i="24"/>
  <c r="BJ76" i="24"/>
  <c r="BI76" i="24"/>
  <c r="BH76" i="24"/>
  <c r="BG76" i="24"/>
  <c r="BF76" i="24"/>
  <c r="BE76" i="24"/>
  <c r="BD76" i="24"/>
  <c r="BC76" i="24"/>
  <c r="BB76" i="24"/>
  <c r="BA76" i="24"/>
  <c r="AY76" i="24"/>
  <c r="AX76" i="24"/>
  <c r="AW76" i="24"/>
  <c r="AV76" i="24"/>
  <c r="AU76" i="24"/>
  <c r="AT76" i="24"/>
  <c r="AS76" i="24"/>
  <c r="AR76" i="24"/>
  <c r="AQ76" i="24"/>
  <c r="AP76" i="24"/>
  <c r="AO76" i="24"/>
  <c r="AN76" i="24"/>
  <c r="AM76" i="24"/>
  <c r="AL76" i="24"/>
  <c r="AK76" i="24"/>
  <c r="AJ76" i="24"/>
  <c r="AI76" i="24"/>
  <c r="AH76" i="24"/>
  <c r="AG76" i="24"/>
  <c r="AF76" i="24"/>
  <c r="AE76" i="24"/>
  <c r="AD76" i="24"/>
  <c r="AC76" i="24"/>
  <c r="AB76" i="24"/>
  <c r="BX75" i="24"/>
  <c r="BW75" i="24"/>
  <c r="BV75" i="24"/>
  <c r="BU75" i="24"/>
  <c r="BT75" i="24"/>
  <c r="BS75" i="24"/>
  <c r="BR75" i="24"/>
  <c r="BQ75" i="24"/>
  <c r="BP75" i="24"/>
  <c r="BO75" i="24"/>
  <c r="BN75" i="24"/>
  <c r="BM75" i="24"/>
  <c r="BL75" i="24"/>
  <c r="BK75" i="24"/>
  <c r="BJ75" i="24"/>
  <c r="BI75" i="24"/>
  <c r="BH75" i="24"/>
  <c r="BG75" i="24"/>
  <c r="BF75" i="24"/>
  <c r="BE75" i="24"/>
  <c r="BD75" i="24"/>
  <c r="BC75" i="24"/>
  <c r="BB75" i="24"/>
  <c r="BA75" i="24"/>
  <c r="AY75" i="24"/>
  <c r="AX75" i="24"/>
  <c r="AW75" i="24"/>
  <c r="AV75" i="24"/>
  <c r="AU75" i="24"/>
  <c r="AT75" i="24"/>
  <c r="AS75" i="24"/>
  <c r="AR75" i="24"/>
  <c r="AQ75" i="24"/>
  <c r="AP75" i="24"/>
  <c r="AO75" i="24"/>
  <c r="AN75" i="24"/>
  <c r="AM75" i="24"/>
  <c r="AL75" i="24"/>
  <c r="AK75" i="24"/>
  <c r="AJ75" i="24"/>
  <c r="AI75" i="24"/>
  <c r="AH75" i="24"/>
  <c r="AG75" i="24"/>
  <c r="AF75" i="24"/>
  <c r="AE75" i="24"/>
  <c r="AD75" i="24"/>
  <c r="AC75" i="24"/>
  <c r="AB75" i="24"/>
  <c r="BX74" i="24"/>
  <c r="BW74" i="24"/>
  <c r="BV74" i="24"/>
  <c r="BU74" i="24"/>
  <c r="BT74" i="24"/>
  <c r="BS74" i="24"/>
  <c r="BR74" i="24"/>
  <c r="BQ74" i="24"/>
  <c r="BP74" i="24"/>
  <c r="BO74" i="24"/>
  <c r="BN74" i="24"/>
  <c r="BM74" i="24"/>
  <c r="BL74" i="24"/>
  <c r="BK74" i="24"/>
  <c r="BJ74" i="24"/>
  <c r="BI74" i="24"/>
  <c r="BH74" i="24"/>
  <c r="BG74" i="24"/>
  <c r="BF74" i="24"/>
  <c r="BE74" i="24"/>
  <c r="BD74" i="24"/>
  <c r="BC74" i="24"/>
  <c r="BB74" i="24"/>
  <c r="BA74" i="24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BX73" i="24"/>
  <c r="BW73" i="24"/>
  <c r="BV73" i="24"/>
  <c r="BU73" i="24"/>
  <c r="BT73" i="24"/>
  <c r="BS73" i="24"/>
  <c r="BR73" i="24"/>
  <c r="BQ73" i="24"/>
  <c r="BP73" i="24"/>
  <c r="BO73" i="24"/>
  <c r="BN73" i="24"/>
  <c r="BM73" i="24"/>
  <c r="BL73" i="24"/>
  <c r="BK73" i="24"/>
  <c r="BJ73" i="24"/>
  <c r="BI73" i="24"/>
  <c r="BH73" i="24"/>
  <c r="BG73" i="24"/>
  <c r="BF73" i="24"/>
  <c r="BE73" i="24"/>
  <c r="BD73" i="24"/>
  <c r="BC73" i="24"/>
  <c r="BB73" i="24"/>
  <c r="BA73" i="24"/>
  <c r="AY73" i="24"/>
  <c r="AX73" i="24"/>
  <c r="AW73" i="24"/>
  <c r="AV73" i="24"/>
  <c r="AU73" i="24"/>
  <c r="AT73" i="24"/>
  <c r="AS73" i="24"/>
  <c r="AR73" i="24"/>
  <c r="AQ73" i="24"/>
  <c r="AP73" i="24"/>
  <c r="AO73" i="24"/>
  <c r="AN73" i="24"/>
  <c r="AM73" i="24"/>
  <c r="AL73" i="24"/>
  <c r="AK73" i="24"/>
  <c r="AJ73" i="24"/>
  <c r="AI73" i="24"/>
  <c r="AH73" i="24"/>
  <c r="AG73" i="24"/>
  <c r="AF73" i="24"/>
  <c r="AE73" i="24"/>
  <c r="AD73" i="24"/>
  <c r="AC73" i="24"/>
  <c r="AB73" i="24"/>
  <c r="BX72" i="24"/>
  <c r="BW72" i="24"/>
  <c r="BV72" i="24"/>
  <c r="BU72" i="24"/>
  <c r="BT72" i="24"/>
  <c r="BS72" i="24"/>
  <c r="BR72" i="24"/>
  <c r="BQ72" i="24"/>
  <c r="BP72" i="24"/>
  <c r="BO72" i="24"/>
  <c r="BN72" i="24"/>
  <c r="BM72" i="24"/>
  <c r="BL72" i="24"/>
  <c r="BK72" i="24"/>
  <c r="BJ72" i="24"/>
  <c r="BI72" i="24"/>
  <c r="BH72" i="24"/>
  <c r="BG72" i="24"/>
  <c r="BF72" i="24"/>
  <c r="BE72" i="24"/>
  <c r="BD72" i="24"/>
  <c r="BC72" i="24"/>
  <c r="BB72" i="24"/>
  <c r="BA72" i="24"/>
  <c r="AY72" i="24"/>
  <c r="AX72" i="24"/>
  <c r="AW72" i="24"/>
  <c r="AV72" i="24"/>
  <c r="AU72" i="24"/>
  <c r="AT72" i="24"/>
  <c r="AS72" i="24"/>
  <c r="AR72" i="24"/>
  <c r="AQ72" i="24"/>
  <c r="AP72" i="24"/>
  <c r="AO72" i="24"/>
  <c r="AN72" i="24"/>
  <c r="AM72" i="24"/>
  <c r="AL72" i="24"/>
  <c r="AK72" i="24"/>
  <c r="AJ72" i="24"/>
  <c r="AI72" i="24"/>
  <c r="AH72" i="24"/>
  <c r="AG72" i="24"/>
  <c r="AF72" i="24"/>
  <c r="AE72" i="24"/>
  <c r="AD72" i="24"/>
  <c r="AC72" i="24"/>
  <c r="AB72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BX52" i="24"/>
  <c r="BW52" i="24"/>
  <c r="BV52" i="24"/>
  <c r="BU52" i="24"/>
  <c r="BT52" i="24"/>
  <c r="BS52" i="24"/>
  <c r="BR52" i="24"/>
  <c r="BQ52" i="24"/>
  <c r="BP52" i="24"/>
  <c r="BO52" i="24"/>
  <c r="BN52" i="24"/>
  <c r="BM52" i="24"/>
  <c r="BL52" i="24"/>
  <c r="BK52" i="24"/>
  <c r="BJ52" i="24"/>
  <c r="BI52" i="24"/>
  <c r="BH52" i="24"/>
  <c r="BG52" i="24"/>
  <c r="BF52" i="24"/>
  <c r="BE52" i="24"/>
  <c r="BD52" i="24"/>
  <c r="BC52" i="24"/>
  <c r="BB52" i="24"/>
  <c r="BA52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BX51" i="24"/>
  <c r="BW51" i="24"/>
  <c r="BV51" i="24"/>
  <c r="BU51" i="24"/>
  <c r="BT51" i="24"/>
  <c r="BS51" i="24"/>
  <c r="BR51" i="24"/>
  <c r="BQ51" i="24"/>
  <c r="BP51" i="24"/>
  <c r="BO51" i="24"/>
  <c r="BN51" i="24"/>
  <c r="BM51" i="24"/>
  <c r="BL51" i="24"/>
  <c r="BK51" i="24"/>
  <c r="BJ51" i="24"/>
  <c r="BI51" i="24"/>
  <c r="BH51" i="24"/>
  <c r="BG51" i="24"/>
  <c r="BF51" i="24"/>
  <c r="BE51" i="24"/>
  <c r="BD51" i="24"/>
  <c r="BC51" i="24"/>
  <c r="BB51" i="24"/>
  <c r="BA51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BX50" i="24"/>
  <c r="BW50" i="24"/>
  <c r="BV50" i="24"/>
  <c r="BU50" i="24"/>
  <c r="BT50" i="24"/>
  <c r="BS50" i="24"/>
  <c r="BR50" i="24"/>
  <c r="BQ50" i="24"/>
  <c r="BP50" i="24"/>
  <c r="BO50" i="24"/>
  <c r="BN50" i="24"/>
  <c r="BM50" i="24"/>
  <c r="BL50" i="24"/>
  <c r="BK50" i="24"/>
  <c r="BJ50" i="24"/>
  <c r="BI50" i="24"/>
  <c r="BH50" i="24"/>
  <c r="BG50" i="24"/>
  <c r="BF50" i="24"/>
  <c r="BE50" i="24"/>
  <c r="BD50" i="24"/>
  <c r="BC50" i="24"/>
  <c r="BB50" i="24"/>
  <c r="BA50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BX49" i="24"/>
  <c r="BW49" i="24"/>
  <c r="BV49" i="24"/>
  <c r="BU49" i="24"/>
  <c r="BT49" i="24"/>
  <c r="BS49" i="24"/>
  <c r="BR49" i="24"/>
  <c r="BQ49" i="24"/>
  <c r="BP49" i="24"/>
  <c r="BO49" i="24"/>
  <c r="BN49" i="24"/>
  <c r="BM49" i="24"/>
  <c r="BL49" i="24"/>
  <c r="BK49" i="24"/>
  <c r="BJ49" i="24"/>
  <c r="BI49" i="24"/>
  <c r="BH49" i="24"/>
  <c r="BG49" i="24"/>
  <c r="BF49" i="24"/>
  <c r="BE49" i="24"/>
  <c r="BD49" i="24"/>
  <c r="BC49" i="24"/>
  <c r="BB49" i="24"/>
  <c r="BA49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BX46" i="24"/>
  <c r="BW46" i="24"/>
  <c r="BV46" i="24"/>
  <c r="BU46" i="24"/>
  <c r="BT46" i="24"/>
  <c r="BS46" i="24"/>
  <c r="BR46" i="24"/>
  <c r="BQ46" i="24"/>
  <c r="BP46" i="24"/>
  <c r="BO46" i="24"/>
  <c r="BN46" i="24"/>
  <c r="BM46" i="24"/>
  <c r="BL46" i="24"/>
  <c r="BK46" i="24"/>
  <c r="BJ46" i="24"/>
  <c r="BI46" i="24"/>
  <c r="BH46" i="24"/>
  <c r="BG46" i="24"/>
  <c r="BF46" i="24"/>
  <c r="BE46" i="24"/>
  <c r="BD46" i="24"/>
  <c r="BC46" i="24"/>
  <c r="BB46" i="24"/>
  <c r="BA46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BX45" i="24"/>
  <c r="BW45" i="24"/>
  <c r="BV45" i="24"/>
  <c r="BU45" i="24"/>
  <c r="BT45" i="24"/>
  <c r="BS45" i="24"/>
  <c r="BR45" i="24"/>
  <c r="BQ45" i="24"/>
  <c r="BP45" i="24"/>
  <c r="BO45" i="24"/>
  <c r="BN45" i="24"/>
  <c r="BM45" i="24"/>
  <c r="BL45" i="24"/>
  <c r="BK45" i="24"/>
  <c r="BJ45" i="24"/>
  <c r="BI45" i="24"/>
  <c r="BH45" i="24"/>
  <c r="BG45" i="24"/>
  <c r="BF45" i="24"/>
  <c r="BE45" i="24"/>
  <c r="BD45" i="24"/>
  <c r="BC45" i="24"/>
  <c r="BB45" i="24"/>
  <c r="BA45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BX44" i="24"/>
  <c r="BW44" i="24"/>
  <c r="BV44" i="24"/>
  <c r="BU44" i="24"/>
  <c r="BT44" i="24"/>
  <c r="BS44" i="24"/>
  <c r="BR44" i="24"/>
  <c r="BQ44" i="24"/>
  <c r="BP44" i="24"/>
  <c r="BO44" i="24"/>
  <c r="BN44" i="24"/>
  <c r="BM44" i="24"/>
  <c r="BL44" i="24"/>
  <c r="BK44" i="24"/>
  <c r="BJ44" i="24"/>
  <c r="BI44" i="24"/>
  <c r="BH44" i="24"/>
  <c r="BG44" i="24"/>
  <c r="BF44" i="24"/>
  <c r="BE44" i="24"/>
  <c r="BD44" i="24"/>
  <c r="BC44" i="24"/>
  <c r="BB44" i="24"/>
  <c r="BA44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BX42" i="24"/>
  <c r="BW42" i="24"/>
  <c r="BV42" i="24"/>
  <c r="BU42" i="24"/>
  <c r="BT42" i="24"/>
  <c r="BS42" i="24"/>
  <c r="BR42" i="24"/>
  <c r="BQ42" i="24"/>
  <c r="BP42" i="24"/>
  <c r="BO42" i="24"/>
  <c r="BN42" i="24"/>
  <c r="BM42" i="24"/>
  <c r="BL42" i="24"/>
  <c r="BK42" i="24"/>
  <c r="BJ42" i="24"/>
  <c r="BI42" i="24"/>
  <c r="BH42" i="24"/>
  <c r="BG42" i="24"/>
  <c r="BF42" i="24"/>
  <c r="BE42" i="24"/>
  <c r="BD42" i="24"/>
  <c r="BC42" i="24"/>
  <c r="BB42" i="24"/>
  <c r="BA42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BX41" i="24"/>
  <c r="BW41" i="24"/>
  <c r="BV41" i="24"/>
  <c r="BU41" i="24"/>
  <c r="BT41" i="24"/>
  <c r="BS41" i="24"/>
  <c r="BR41" i="24"/>
  <c r="BQ41" i="24"/>
  <c r="BP41" i="24"/>
  <c r="BO41" i="24"/>
  <c r="BN41" i="24"/>
  <c r="BM41" i="24"/>
  <c r="BL41" i="24"/>
  <c r="BK41" i="24"/>
  <c r="BJ41" i="24"/>
  <c r="BI41" i="24"/>
  <c r="BH41" i="24"/>
  <c r="BG41" i="24"/>
  <c r="BF41" i="24"/>
  <c r="BE41" i="24"/>
  <c r="BD41" i="24"/>
  <c r="BC41" i="24"/>
  <c r="BB41" i="24"/>
  <c r="BA41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BX40" i="24"/>
  <c r="BW40" i="24"/>
  <c r="BV40" i="24"/>
  <c r="BU40" i="24"/>
  <c r="BT40" i="24"/>
  <c r="BS40" i="24"/>
  <c r="BR40" i="24"/>
  <c r="BQ40" i="24"/>
  <c r="BP40" i="24"/>
  <c r="BO40" i="24"/>
  <c r="BN40" i="24"/>
  <c r="BM40" i="24"/>
  <c r="BL40" i="24"/>
  <c r="BK40" i="24"/>
  <c r="BJ40" i="24"/>
  <c r="BI40" i="24"/>
  <c r="BH40" i="24"/>
  <c r="BG40" i="24"/>
  <c r="BF40" i="24"/>
  <c r="BE40" i="24"/>
  <c r="BD40" i="24"/>
  <c r="BC40" i="24"/>
  <c r="BB40" i="24"/>
  <c r="BA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BX39" i="24"/>
  <c r="BW39" i="24"/>
  <c r="BV39" i="24"/>
  <c r="BU39" i="24"/>
  <c r="BT39" i="24"/>
  <c r="BS39" i="24"/>
  <c r="BR39" i="24"/>
  <c r="BQ39" i="24"/>
  <c r="BP39" i="24"/>
  <c r="BO39" i="24"/>
  <c r="BN39" i="24"/>
  <c r="BM39" i="24"/>
  <c r="BL39" i="24"/>
  <c r="BK39" i="24"/>
  <c r="BJ39" i="24"/>
  <c r="BI39" i="24"/>
  <c r="BH39" i="24"/>
  <c r="BG39" i="24"/>
  <c r="BF39" i="24"/>
  <c r="BE39" i="24"/>
  <c r="BD39" i="24"/>
  <c r="BC39" i="24"/>
  <c r="BB39" i="24"/>
  <c r="BA39" i="24"/>
  <c r="BX38" i="24"/>
  <c r="BW38" i="24"/>
  <c r="BV38" i="24"/>
  <c r="BU38" i="24"/>
  <c r="BT38" i="24"/>
  <c r="BS38" i="24"/>
  <c r="BR38" i="24"/>
  <c r="BQ38" i="24"/>
  <c r="BP38" i="24"/>
  <c r="BO38" i="24"/>
  <c r="BN38" i="24"/>
  <c r="BM38" i="24"/>
  <c r="BL38" i="24"/>
  <c r="BK38" i="24"/>
  <c r="BJ38" i="24"/>
  <c r="BI38" i="24"/>
  <c r="BH38" i="24"/>
  <c r="BG38" i="24"/>
  <c r="BF38" i="24"/>
  <c r="BE38" i="24"/>
  <c r="BD38" i="24"/>
  <c r="BC38" i="24"/>
  <c r="BB38" i="24"/>
  <c r="BA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BX37" i="24"/>
  <c r="BW37" i="24"/>
  <c r="BV37" i="24"/>
  <c r="BU37" i="24"/>
  <c r="BT37" i="24"/>
  <c r="BS37" i="24"/>
  <c r="BR37" i="24"/>
  <c r="BQ37" i="24"/>
  <c r="BP37" i="24"/>
  <c r="BO37" i="24"/>
  <c r="BN37" i="24"/>
  <c r="BM37" i="24"/>
  <c r="BL37" i="24"/>
  <c r="BK37" i="24"/>
  <c r="BJ37" i="24"/>
  <c r="BI37" i="24"/>
  <c r="BH37" i="24"/>
  <c r="BG37" i="24"/>
  <c r="BF37" i="24"/>
  <c r="BE37" i="24"/>
  <c r="BD37" i="24"/>
  <c r="BC37" i="24"/>
  <c r="BB37" i="24"/>
  <c r="BA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BX36" i="24"/>
  <c r="BW36" i="24"/>
  <c r="BV36" i="24"/>
  <c r="BU36" i="24"/>
  <c r="BT36" i="24"/>
  <c r="BS36" i="24"/>
  <c r="BR36" i="24"/>
  <c r="BQ36" i="24"/>
  <c r="BP36" i="24"/>
  <c r="BO36" i="24"/>
  <c r="BN36" i="24"/>
  <c r="BM36" i="24"/>
  <c r="BL36" i="24"/>
  <c r="BK36" i="24"/>
  <c r="BJ36" i="24"/>
  <c r="BI36" i="24"/>
  <c r="BH36" i="24"/>
  <c r="BG36" i="24"/>
  <c r="BF36" i="24"/>
  <c r="BE36" i="24"/>
  <c r="BD36" i="24"/>
  <c r="BC36" i="24"/>
  <c r="BB36" i="24"/>
  <c r="BA36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BX35" i="24"/>
  <c r="BW35" i="24"/>
  <c r="BV35" i="24"/>
  <c r="BU35" i="24"/>
  <c r="BT35" i="24"/>
  <c r="BS35" i="24"/>
  <c r="BR35" i="24"/>
  <c r="BQ35" i="24"/>
  <c r="BP35" i="24"/>
  <c r="BO35" i="24"/>
  <c r="BN35" i="24"/>
  <c r="BM35" i="24"/>
  <c r="BL35" i="24"/>
  <c r="BK35" i="24"/>
  <c r="BJ35" i="24"/>
  <c r="BI35" i="24"/>
  <c r="BH35" i="24"/>
  <c r="BG35" i="24"/>
  <c r="BF35" i="24"/>
  <c r="BE35" i="24"/>
  <c r="BD35" i="24"/>
  <c r="BC35" i="24"/>
  <c r="BB35" i="24"/>
  <c r="BA35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BX34" i="24"/>
  <c r="BW34" i="24"/>
  <c r="BV34" i="24"/>
  <c r="BU34" i="24"/>
  <c r="BT34" i="24"/>
  <c r="BS34" i="24"/>
  <c r="BR34" i="24"/>
  <c r="BQ34" i="24"/>
  <c r="BP34" i="24"/>
  <c r="BO34" i="24"/>
  <c r="BN34" i="24"/>
  <c r="BM34" i="24"/>
  <c r="BL34" i="24"/>
  <c r="BK34" i="24"/>
  <c r="BJ34" i="24"/>
  <c r="BI34" i="24"/>
  <c r="BH34" i="24"/>
  <c r="BG34" i="24"/>
  <c r="BF34" i="24"/>
  <c r="BE34" i="24"/>
  <c r="BD34" i="24"/>
  <c r="BC34" i="24"/>
  <c r="BB34" i="24"/>
  <c r="BA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BX33" i="24"/>
  <c r="BW33" i="24"/>
  <c r="BV33" i="24"/>
  <c r="BU33" i="24"/>
  <c r="BT33" i="24"/>
  <c r="BS33" i="24"/>
  <c r="BR33" i="24"/>
  <c r="BQ33" i="24"/>
  <c r="BP33" i="24"/>
  <c r="BO33" i="24"/>
  <c r="BN33" i="24"/>
  <c r="BM33" i="24"/>
  <c r="BL33" i="24"/>
  <c r="BK33" i="24"/>
  <c r="BJ33" i="24"/>
  <c r="BI33" i="24"/>
  <c r="BH33" i="24"/>
  <c r="BG33" i="24"/>
  <c r="BF33" i="24"/>
  <c r="BE33" i="24"/>
  <c r="BD33" i="24"/>
  <c r="BC33" i="24"/>
  <c r="BB33" i="24"/>
  <c r="BA33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BX32" i="24"/>
  <c r="BW32" i="24"/>
  <c r="BV32" i="24"/>
  <c r="BU32" i="24"/>
  <c r="BT32" i="24"/>
  <c r="BS32" i="24"/>
  <c r="BR32" i="24"/>
  <c r="BQ32" i="24"/>
  <c r="BP32" i="24"/>
  <c r="BO32" i="24"/>
  <c r="BN32" i="24"/>
  <c r="BM32" i="24"/>
  <c r="BL32" i="24"/>
  <c r="BK32" i="24"/>
  <c r="BJ32" i="24"/>
  <c r="BI32" i="24"/>
  <c r="BH32" i="24"/>
  <c r="BG32" i="24"/>
  <c r="BF32" i="24"/>
  <c r="BE32" i="24"/>
  <c r="BD32" i="24"/>
  <c r="BC32" i="24"/>
  <c r="BB32" i="24"/>
  <c r="BA32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BX31" i="24"/>
  <c r="BW31" i="24"/>
  <c r="BV31" i="24"/>
  <c r="BU31" i="24"/>
  <c r="BT31" i="24"/>
  <c r="BS31" i="24"/>
  <c r="BR31" i="24"/>
  <c r="BQ31" i="24"/>
  <c r="BP31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BX30" i="24"/>
  <c r="BW30" i="24"/>
  <c r="BV30" i="24"/>
  <c r="BU30" i="24"/>
  <c r="BT30" i="24"/>
  <c r="BS30" i="24"/>
  <c r="BR30" i="24"/>
  <c r="BQ30" i="24"/>
  <c r="BP30" i="24"/>
  <c r="BO30" i="24"/>
  <c r="BN30" i="24"/>
  <c r="BM30" i="24"/>
  <c r="BL30" i="24"/>
  <c r="BK30" i="24"/>
  <c r="BJ30" i="24"/>
  <c r="BI30" i="24"/>
  <c r="BH30" i="24"/>
  <c r="BG30" i="24"/>
  <c r="BF30" i="24"/>
  <c r="BE30" i="24"/>
  <c r="BD30" i="24"/>
  <c r="BC30" i="24"/>
  <c r="BB30" i="24"/>
  <c r="BA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BX29" i="24"/>
  <c r="BW29" i="24"/>
  <c r="BV29" i="24"/>
  <c r="BU29" i="24"/>
  <c r="BT29" i="24"/>
  <c r="BS29" i="24"/>
  <c r="BR29" i="24"/>
  <c r="BQ29" i="24"/>
  <c r="BP29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BX27" i="24"/>
  <c r="BW27" i="24"/>
  <c r="BV27" i="24"/>
  <c r="BU27" i="24"/>
  <c r="BT27" i="24"/>
  <c r="BS27" i="24"/>
  <c r="BR27" i="24"/>
  <c r="BQ27" i="24"/>
  <c r="BP27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BX26" i="24"/>
  <c r="BW26" i="24"/>
  <c r="BV26" i="24"/>
  <c r="BU26" i="24"/>
  <c r="BT26" i="24"/>
  <c r="BS26" i="24"/>
  <c r="BR26" i="24"/>
  <c r="BQ26" i="24"/>
  <c r="BP26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BX25" i="24"/>
  <c r="BW25" i="24"/>
  <c r="BV25" i="24"/>
  <c r="BU25" i="24"/>
  <c r="BT25" i="24"/>
  <c r="BS25" i="24"/>
  <c r="BR25" i="24"/>
  <c r="BQ25" i="24"/>
  <c r="BP25" i="24"/>
  <c r="BO25" i="24"/>
  <c r="BN25" i="24"/>
  <c r="BM25" i="24"/>
  <c r="BL25" i="24"/>
  <c r="BK25" i="24"/>
  <c r="BJ25" i="24"/>
  <c r="BI25" i="24"/>
  <c r="BH25" i="24"/>
  <c r="BG25" i="24"/>
  <c r="BF25" i="24"/>
  <c r="BE25" i="24"/>
  <c r="BD25" i="24"/>
  <c r="BC25" i="24"/>
  <c r="BB25" i="24"/>
  <c r="BA25" i="24"/>
  <c r="AY25" i="24"/>
  <c r="AX25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BX24" i="24"/>
  <c r="BW24" i="24"/>
  <c r="BV24" i="24"/>
  <c r="BU24" i="24"/>
  <c r="BT24" i="24"/>
  <c r="BS24" i="24"/>
  <c r="BR24" i="24"/>
  <c r="BQ24" i="24"/>
  <c r="BP24" i="24"/>
  <c r="BO24" i="24"/>
  <c r="BN24" i="24"/>
  <c r="BM24" i="24"/>
  <c r="BL24" i="24"/>
  <c r="BK24" i="24"/>
  <c r="BJ24" i="24"/>
  <c r="BI24" i="24"/>
  <c r="BH24" i="24"/>
  <c r="BG24" i="24"/>
  <c r="BF24" i="24"/>
  <c r="BE24" i="24"/>
  <c r="BD24" i="24"/>
  <c r="BC24" i="24"/>
  <c r="BB24" i="24"/>
  <c r="BA24" i="24"/>
  <c r="AY24" i="24"/>
  <c r="AX24" i="24"/>
  <c r="AW24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BX23" i="24"/>
  <c r="BW23" i="24"/>
  <c r="BV23" i="24"/>
  <c r="BU23" i="24"/>
  <c r="BT23" i="24"/>
  <c r="BS23" i="24"/>
  <c r="BR23" i="24"/>
  <c r="BQ23" i="24"/>
  <c r="BP23" i="24"/>
  <c r="BO23" i="24"/>
  <c r="BN23" i="24"/>
  <c r="BM23" i="24"/>
  <c r="BL23" i="24"/>
  <c r="BK23" i="24"/>
  <c r="BJ23" i="24"/>
  <c r="BI23" i="24"/>
  <c r="BH23" i="24"/>
  <c r="BG23" i="24"/>
  <c r="BF23" i="24"/>
  <c r="BE23" i="24"/>
  <c r="BD23" i="24"/>
  <c r="BC23" i="24"/>
  <c r="BB23" i="24"/>
  <c r="BA23" i="24"/>
  <c r="AY23" i="24"/>
  <c r="AX23" i="24"/>
  <c r="AW23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BX22" i="24"/>
  <c r="BW22" i="24"/>
  <c r="BV22" i="24"/>
  <c r="BU22" i="24"/>
  <c r="BT22" i="24"/>
  <c r="BS22" i="24"/>
  <c r="BR22" i="24"/>
  <c r="BQ22" i="24"/>
  <c r="BP22" i="24"/>
  <c r="BO22" i="24"/>
  <c r="BN22" i="24"/>
  <c r="BM22" i="24"/>
  <c r="BL22" i="24"/>
  <c r="BK22" i="24"/>
  <c r="BJ22" i="24"/>
  <c r="BI22" i="24"/>
  <c r="BH22" i="24"/>
  <c r="BG22" i="24"/>
  <c r="BF22" i="24"/>
  <c r="BE22" i="24"/>
  <c r="BD22" i="24"/>
  <c r="BC22" i="24"/>
  <c r="BB22" i="24"/>
  <c r="BA22" i="24"/>
  <c r="AY22" i="24"/>
  <c r="AX22" i="24"/>
  <c r="AW22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BX21" i="24"/>
  <c r="BW21" i="24"/>
  <c r="BV21" i="24"/>
  <c r="BU21" i="24"/>
  <c r="BT21" i="24"/>
  <c r="BS21" i="24"/>
  <c r="BR21" i="24"/>
  <c r="BQ21" i="24"/>
  <c r="BP21" i="24"/>
  <c r="BO21" i="24"/>
  <c r="BN21" i="24"/>
  <c r="BM21" i="24"/>
  <c r="BL21" i="24"/>
  <c r="BK21" i="24"/>
  <c r="BJ21" i="24"/>
  <c r="BI21" i="24"/>
  <c r="BH21" i="24"/>
  <c r="BG21" i="24"/>
  <c r="BF21" i="24"/>
  <c r="BE21" i="24"/>
  <c r="BD21" i="24"/>
  <c r="BC21" i="24"/>
  <c r="BB21" i="24"/>
  <c r="BA21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BX20" i="24"/>
  <c r="BW20" i="24"/>
  <c r="BV20" i="24"/>
  <c r="BU20" i="24"/>
  <c r="BT20" i="24"/>
  <c r="BS20" i="24"/>
  <c r="BR20" i="24"/>
  <c r="BQ20" i="24"/>
  <c r="BP20" i="24"/>
  <c r="BO20" i="24"/>
  <c r="BN20" i="24"/>
  <c r="BM20" i="24"/>
  <c r="BL20" i="24"/>
  <c r="BK20" i="24"/>
  <c r="BJ20" i="24"/>
  <c r="BI20" i="24"/>
  <c r="BH20" i="24"/>
  <c r="BG20" i="24"/>
  <c r="BF20" i="24"/>
  <c r="BE20" i="24"/>
  <c r="BD20" i="24"/>
  <c r="BC20" i="24"/>
  <c r="BB20" i="24"/>
  <c r="BA20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BX19" i="24"/>
  <c r="BW19" i="24"/>
  <c r="BV19" i="24"/>
  <c r="BU19" i="24"/>
  <c r="BT19" i="24"/>
  <c r="BS19" i="24"/>
  <c r="BR19" i="24"/>
  <c r="BQ19" i="24"/>
  <c r="BP19" i="24"/>
  <c r="BO19" i="24"/>
  <c r="BN19" i="24"/>
  <c r="BM19" i="24"/>
  <c r="BL19" i="24"/>
  <c r="BK19" i="24"/>
  <c r="BJ19" i="24"/>
  <c r="BI19" i="24"/>
  <c r="BH19" i="24"/>
  <c r="BG19" i="24"/>
  <c r="BF19" i="24"/>
  <c r="BE19" i="24"/>
  <c r="BD19" i="24"/>
  <c r="BC19" i="24"/>
  <c r="BB19" i="24"/>
  <c r="BA19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BX18" i="24"/>
  <c r="BW18" i="24"/>
  <c r="BV18" i="24"/>
  <c r="BU18" i="24"/>
  <c r="BT18" i="24"/>
  <c r="BS18" i="24"/>
  <c r="BR18" i="24"/>
  <c r="BQ18" i="24"/>
  <c r="BP18" i="24"/>
  <c r="BO18" i="24"/>
  <c r="BN18" i="24"/>
  <c r="BM18" i="24"/>
  <c r="BL18" i="24"/>
  <c r="BK18" i="24"/>
  <c r="BJ18" i="24"/>
  <c r="BI18" i="24"/>
  <c r="BH18" i="24"/>
  <c r="BG18" i="24"/>
  <c r="BF18" i="24"/>
  <c r="BE18" i="24"/>
  <c r="BD18" i="24"/>
  <c r="BC18" i="24"/>
  <c r="BB18" i="24"/>
  <c r="BA18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BX17" i="24"/>
  <c r="BW17" i="24"/>
  <c r="BV17" i="24"/>
  <c r="BU17" i="24"/>
  <c r="BT17" i="24"/>
  <c r="BS17" i="24"/>
  <c r="BR17" i="24"/>
  <c r="BQ17" i="24"/>
  <c r="BP17" i="24"/>
  <c r="BO17" i="24"/>
  <c r="BN17" i="24"/>
  <c r="BM17" i="24"/>
  <c r="BL17" i="24"/>
  <c r="BK17" i="24"/>
  <c r="BJ17" i="24"/>
  <c r="BI17" i="24"/>
  <c r="BH17" i="24"/>
  <c r="BG17" i="24"/>
  <c r="BF17" i="24"/>
  <c r="BE17" i="24"/>
  <c r="BD17" i="24"/>
  <c r="BC17" i="24"/>
  <c r="BB17" i="24"/>
  <c r="BA17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BX16" i="24"/>
  <c r="BW16" i="24"/>
  <c r="BV16" i="24"/>
  <c r="BU16" i="24"/>
  <c r="BT16" i="24"/>
  <c r="BS16" i="24"/>
  <c r="BR16" i="24"/>
  <c r="BQ16" i="24"/>
  <c r="BP16" i="24"/>
  <c r="BO16" i="24"/>
  <c r="BN16" i="24"/>
  <c r="BM16" i="24"/>
  <c r="BL16" i="24"/>
  <c r="BK16" i="24"/>
  <c r="BJ16" i="24"/>
  <c r="BI16" i="24"/>
  <c r="BH16" i="24"/>
  <c r="BG16" i="24"/>
  <c r="BF16" i="24"/>
  <c r="BE16" i="24"/>
  <c r="BD16" i="24"/>
  <c r="BC16" i="24"/>
  <c r="BB16" i="24"/>
  <c r="BA16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BX15" i="24"/>
  <c r="BW15" i="24"/>
  <c r="BV15" i="24"/>
  <c r="BU15" i="24"/>
  <c r="BT15" i="24"/>
  <c r="BS15" i="24"/>
  <c r="BR15" i="24"/>
  <c r="BQ15" i="24"/>
  <c r="BP15" i="24"/>
  <c r="BO15" i="24"/>
  <c r="BN15" i="24"/>
  <c r="BM15" i="24"/>
  <c r="BL15" i="24"/>
  <c r="BK15" i="24"/>
  <c r="BJ15" i="24"/>
  <c r="BI15" i="24"/>
  <c r="BH15" i="24"/>
  <c r="BG15" i="24"/>
  <c r="BF15" i="24"/>
  <c r="BE15" i="24"/>
  <c r="BD15" i="24"/>
  <c r="BC15" i="24"/>
  <c r="BB15" i="24"/>
  <c r="BA15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BX14" i="24"/>
  <c r="BW14" i="24"/>
  <c r="BV14" i="24"/>
  <c r="BU14" i="24"/>
  <c r="BT14" i="24"/>
  <c r="BS14" i="24"/>
  <c r="BR14" i="24"/>
  <c r="BQ14" i="24"/>
  <c r="BP14" i="24"/>
  <c r="BO14" i="24"/>
  <c r="BN14" i="24"/>
  <c r="BM14" i="24"/>
  <c r="BL14" i="24"/>
  <c r="BK14" i="24"/>
  <c r="BJ14" i="24"/>
  <c r="BI14" i="24"/>
  <c r="BH14" i="24"/>
  <c r="BG14" i="24"/>
  <c r="BF14" i="24"/>
  <c r="BE14" i="24"/>
  <c r="BD14" i="24"/>
  <c r="BC14" i="24"/>
  <c r="BB14" i="24"/>
  <c r="BA14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BX13" i="24"/>
  <c r="BW13" i="24"/>
  <c r="BV13" i="24"/>
  <c r="BU13" i="24"/>
  <c r="BT13" i="24"/>
  <c r="BS13" i="24"/>
  <c r="BR13" i="24"/>
  <c r="BQ13" i="24"/>
  <c r="BP13" i="24"/>
  <c r="BO13" i="24"/>
  <c r="BN13" i="24"/>
  <c r="BM13" i="24"/>
  <c r="BL13" i="24"/>
  <c r="BK13" i="24"/>
  <c r="BJ13" i="24"/>
  <c r="BI13" i="24"/>
  <c r="BH13" i="24"/>
  <c r="BG13" i="24"/>
  <c r="BF13" i="24"/>
  <c r="BE13" i="24"/>
  <c r="BD13" i="24"/>
  <c r="BC13" i="24"/>
  <c r="BB13" i="24"/>
  <c r="BA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H13" i="24"/>
  <c r="AG13" i="24"/>
  <c r="AF13" i="24"/>
  <c r="AE13" i="24"/>
  <c r="AD13" i="24"/>
  <c r="AC13" i="24"/>
  <c r="AB13" i="24"/>
  <c r="BX12" i="24"/>
  <c r="BW12" i="24"/>
  <c r="BV12" i="24"/>
  <c r="BU12" i="24"/>
  <c r="BT12" i="24"/>
  <c r="BS12" i="24"/>
  <c r="BR12" i="24"/>
  <c r="BQ12" i="24"/>
  <c r="BP12" i="24"/>
  <c r="BO12" i="24"/>
  <c r="BN12" i="24"/>
  <c r="BM12" i="24"/>
  <c r="BL12" i="24"/>
  <c r="BK12" i="24"/>
  <c r="BJ12" i="24"/>
  <c r="BI12" i="24"/>
  <c r="BH12" i="24"/>
  <c r="BG12" i="24"/>
  <c r="BF12" i="24"/>
  <c r="BE12" i="24"/>
  <c r="BD12" i="24"/>
  <c r="BC12" i="24"/>
  <c r="BB12" i="24"/>
  <c r="BA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BX11" i="24"/>
  <c r="BW11" i="24"/>
  <c r="BV11" i="24"/>
  <c r="BU11" i="24"/>
  <c r="BT11" i="24"/>
  <c r="BS11" i="24"/>
  <c r="BR11" i="24"/>
  <c r="BQ11" i="24"/>
  <c r="BP11" i="24"/>
  <c r="BO11" i="24"/>
  <c r="BN11" i="24"/>
  <c r="BM11" i="24"/>
  <c r="BL11" i="24"/>
  <c r="BK11" i="24"/>
  <c r="BJ11" i="24"/>
  <c r="BI11" i="24"/>
  <c r="BH11" i="24"/>
  <c r="BG11" i="24"/>
  <c r="BF11" i="24"/>
  <c r="BE11" i="24"/>
  <c r="BD11" i="24"/>
  <c r="BC11" i="24"/>
  <c r="BB11" i="24"/>
  <c r="BA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BX10" i="24"/>
  <c r="BW10" i="24"/>
  <c r="BV10" i="24"/>
  <c r="BU10" i="24"/>
  <c r="BT10" i="24"/>
  <c r="BS10" i="24"/>
  <c r="BR10" i="24"/>
  <c r="BQ10" i="24"/>
  <c r="BP10" i="24"/>
  <c r="BO10" i="24"/>
  <c r="BN10" i="24"/>
  <c r="BM10" i="24"/>
  <c r="BL10" i="24"/>
  <c r="BK10" i="24"/>
  <c r="BJ10" i="24"/>
  <c r="BI10" i="24"/>
  <c r="BH10" i="24"/>
  <c r="BG10" i="24"/>
  <c r="BF10" i="24"/>
  <c r="BE10" i="24"/>
  <c r="BD10" i="24"/>
  <c r="BC10" i="24"/>
  <c r="BB10" i="24"/>
  <c r="BA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BX9" i="24"/>
  <c r="BW9" i="24"/>
  <c r="BV9" i="24"/>
  <c r="BU9" i="24"/>
  <c r="BT9" i="24"/>
  <c r="BS9" i="24"/>
  <c r="BR9" i="24"/>
  <c r="BQ9" i="24"/>
  <c r="BP9" i="24"/>
  <c r="BO9" i="24"/>
  <c r="BN9" i="24"/>
  <c r="BM9" i="24"/>
  <c r="BL9" i="24"/>
  <c r="BK9" i="24"/>
  <c r="BJ9" i="24"/>
  <c r="BI9" i="24"/>
  <c r="BH9" i="24"/>
  <c r="BG9" i="24"/>
  <c r="BF9" i="24"/>
  <c r="BE9" i="24"/>
  <c r="BD9" i="24"/>
  <c r="BC9" i="24"/>
  <c r="BB9" i="24"/>
  <c r="BA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BX8" i="24"/>
  <c r="BW8" i="24"/>
  <c r="BV8" i="24"/>
  <c r="BU8" i="24"/>
  <c r="BT8" i="24"/>
  <c r="BS8" i="24"/>
  <c r="BR8" i="24"/>
  <c r="BQ8" i="24"/>
  <c r="BP8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BX6" i="24"/>
  <c r="BW6" i="24"/>
  <c r="BV6" i="24"/>
  <c r="BU6" i="24"/>
  <c r="BT6" i="24"/>
  <c r="BS6" i="24"/>
  <c r="BR6" i="24"/>
  <c r="BQ6" i="24"/>
  <c r="BP6" i="24"/>
  <c r="BO6" i="24"/>
  <c r="BN6" i="24"/>
  <c r="BM6" i="24"/>
  <c r="BL6" i="24"/>
  <c r="BK6" i="24"/>
  <c r="BJ6" i="24"/>
  <c r="BI6" i="24"/>
  <c r="BH6" i="24"/>
  <c r="BG6" i="24"/>
  <c r="BF6" i="24"/>
  <c r="BE6" i="24"/>
  <c r="BD6" i="24"/>
  <c r="BC6" i="24"/>
  <c r="BB6" i="24"/>
  <c r="BA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K335" i="17"/>
  <c r="E335" i="17"/>
  <c r="K334" i="17"/>
  <c r="E334" i="17"/>
  <c r="K333" i="17"/>
  <c r="E333" i="17"/>
  <c r="K332" i="17"/>
  <c r="E332" i="17"/>
  <c r="K331" i="17"/>
  <c r="E331" i="17"/>
  <c r="K330" i="17"/>
  <c r="E330" i="17"/>
  <c r="K329" i="17"/>
  <c r="E329" i="17"/>
  <c r="K328" i="17"/>
  <c r="E328" i="17"/>
  <c r="K327" i="17"/>
  <c r="E327" i="17"/>
  <c r="K326" i="17"/>
  <c r="E326" i="17"/>
  <c r="K325" i="17"/>
  <c r="E325" i="17"/>
  <c r="K324" i="17"/>
  <c r="E324" i="17"/>
  <c r="D336" i="17"/>
  <c r="F336" i="17" s="1"/>
  <c r="AN325" i="15"/>
  <c r="AK325" i="15"/>
  <c r="AE325" i="15"/>
  <c r="AB325" i="15"/>
  <c r="K323" i="17"/>
  <c r="J325" i="15"/>
  <c r="G325" i="15"/>
  <c r="D325" i="15"/>
  <c r="AN324" i="15"/>
  <c r="AK324" i="15"/>
  <c r="AE324" i="15"/>
  <c r="AB324" i="15"/>
  <c r="E322" i="17"/>
  <c r="J324" i="15"/>
  <c r="G324" i="15"/>
  <c r="D324" i="15"/>
  <c r="AN323" i="15"/>
  <c r="AK323" i="15"/>
  <c r="AE323" i="15"/>
  <c r="AB323" i="15"/>
  <c r="E321" i="17"/>
  <c r="J323" i="15"/>
  <c r="G323" i="15"/>
  <c r="D323" i="15"/>
  <c r="AN322" i="15"/>
  <c r="AK322" i="15"/>
  <c r="AE322" i="15"/>
  <c r="AB322" i="15"/>
  <c r="E320" i="17"/>
  <c r="J322" i="15"/>
  <c r="G322" i="15"/>
  <c r="D322" i="15"/>
  <c r="AN321" i="15"/>
  <c r="AK321" i="15"/>
  <c r="AE321" i="15"/>
  <c r="AB321" i="15"/>
  <c r="J321" i="15"/>
  <c r="G321" i="15"/>
  <c r="D321" i="15"/>
  <c r="AN320" i="15"/>
  <c r="AK320" i="15"/>
  <c r="AE320" i="15"/>
  <c r="AB320" i="15"/>
  <c r="K318" i="17"/>
  <c r="E318" i="17"/>
  <c r="J320" i="15"/>
  <c r="G320" i="15"/>
  <c r="D320" i="15"/>
  <c r="AN319" i="15"/>
  <c r="AK319" i="15"/>
  <c r="AE319" i="15"/>
  <c r="AB319" i="15"/>
  <c r="K317" i="17"/>
  <c r="E317" i="17"/>
  <c r="J319" i="15"/>
  <c r="G319" i="15"/>
  <c r="D319" i="15"/>
  <c r="AN318" i="15"/>
  <c r="AK318" i="15"/>
  <c r="AE318" i="15"/>
  <c r="AB318" i="15"/>
  <c r="K316" i="17"/>
  <c r="E316" i="17"/>
  <c r="J318" i="15"/>
  <c r="G318" i="15"/>
  <c r="D318" i="15"/>
  <c r="AN317" i="15"/>
  <c r="AK317" i="15"/>
  <c r="AE317" i="15"/>
  <c r="AB317" i="15"/>
  <c r="K315" i="17"/>
  <c r="E315" i="17"/>
  <c r="J317" i="15"/>
  <c r="G317" i="15"/>
  <c r="D317" i="15"/>
  <c r="AN316" i="15"/>
  <c r="AK316" i="15"/>
  <c r="AE316" i="15"/>
  <c r="AB316" i="15"/>
  <c r="K314" i="17"/>
  <c r="J316" i="15"/>
  <c r="G316" i="15"/>
  <c r="D316" i="15"/>
  <c r="AN315" i="15"/>
  <c r="AK315" i="15"/>
  <c r="AE315" i="15"/>
  <c r="AB315" i="15"/>
  <c r="K313" i="17"/>
  <c r="J315" i="15"/>
  <c r="G315" i="15"/>
  <c r="D315" i="15"/>
  <c r="AN314" i="15"/>
  <c r="AK314" i="15"/>
  <c r="AE314" i="15"/>
  <c r="AB314" i="15"/>
  <c r="K312" i="17"/>
  <c r="E312" i="17"/>
  <c r="J314" i="15"/>
  <c r="G314" i="15"/>
  <c r="D314" i="15"/>
  <c r="AN313" i="15"/>
  <c r="AK313" i="15"/>
  <c r="AE313" i="15"/>
  <c r="AB313" i="15"/>
  <c r="K311" i="17"/>
  <c r="E311" i="17"/>
  <c r="J313" i="15"/>
  <c r="G313" i="15"/>
  <c r="D313" i="15"/>
  <c r="AN312" i="15"/>
  <c r="AK312" i="15"/>
  <c r="AE312" i="15"/>
  <c r="AB312" i="15"/>
  <c r="K310" i="17"/>
  <c r="E310" i="17"/>
  <c r="J312" i="15"/>
  <c r="G312" i="15"/>
  <c r="D312" i="15"/>
  <c r="AN311" i="15"/>
  <c r="AK311" i="15"/>
  <c r="AE311" i="15"/>
  <c r="AB311" i="15"/>
  <c r="K309" i="17"/>
  <c r="E309" i="17"/>
  <c r="J311" i="15"/>
  <c r="G311" i="15"/>
  <c r="D311" i="15"/>
  <c r="AN310" i="15"/>
  <c r="AK310" i="15"/>
  <c r="AE310" i="15"/>
  <c r="AB310" i="15"/>
  <c r="K308" i="17"/>
  <c r="E308" i="17"/>
  <c r="J310" i="15"/>
  <c r="G310" i="15"/>
  <c r="D310" i="15"/>
  <c r="AN309" i="15"/>
  <c r="AK309" i="15"/>
  <c r="AE309" i="15"/>
  <c r="AB309" i="15"/>
  <c r="K307" i="17"/>
  <c r="E307" i="17"/>
  <c r="J309" i="15"/>
  <c r="G309" i="15"/>
  <c r="D309" i="15"/>
  <c r="AN308" i="15"/>
  <c r="AK308" i="15"/>
  <c r="AE308" i="15"/>
  <c r="AB308" i="15"/>
  <c r="K306" i="17"/>
  <c r="E306" i="17"/>
  <c r="J308" i="15"/>
  <c r="G308" i="15"/>
  <c r="D308" i="15"/>
  <c r="AN307" i="15"/>
  <c r="AK307" i="15"/>
  <c r="AE307" i="15"/>
  <c r="AB307" i="15"/>
  <c r="K305" i="17"/>
  <c r="E305" i="17"/>
  <c r="J307" i="15"/>
  <c r="G307" i="15"/>
  <c r="D307" i="15"/>
  <c r="AN306" i="15"/>
  <c r="AK306" i="15"/>
  <c r="AE306" i="15"/>
  <c r="AB306" i="15"/>
  <c r="K304" i="17"/>
  <c r="E304" i="17"/>
  <c r="J306" i="15"/>
  <c r="G306" i="15"/>
  <c r="D306" i="15"/>
  <c r="AN305" i="15"/>
  <c r="AK305" i="15"/>
  <c r="AE305" i="15"/>
  <c r="AB305" i="15"/>
  <c r="K303" i="17"/>
  <c r="E303" i="17"/>
  <c r="J305" i="15"/>
  <c r="G305" i="15"/>
  <c r="D305" i="15"/>
  <c r="AN304" i="15"/>
  <c r="AK304" i="15"/>
  <c r="AE304" i="15"/>
  <c r="AB304" i="15"/>
  <c r="K302" i="17"/>
  <c r="E302" i="17"/>
  <c r="J304" i="15"/>
  <c r="G304" i="15"/>
  <c r="D304" i="15"/>
  <c r="AN303" i="15"/>
  <c r="AK303" i="15"/>
  <c r="AE303" i="15"/>
  <c r="AB303" i="15"/>
  <c r="K301" i="17"/>
  <c r="E301" i="17"/>
  <c r="J303" i="15"/>
  <c r="G303" i="15"/>
  <c r="D303" i="15"/>
  <c r="AN302" i="15"/>
  <c r="AK302" i="15"/>
  <c r="AE302" i="15"/>
  <c r="AB302" i="15"/>
  <c r="E300" i="17"/>
  <c r="J302" i="15"/>
  <c r="G302" i="15"/>
  <c r="D302" i="15"/>
  <c r="AN301" i="15"/>
  <c r="AK301" i="15"/>
  <c r="AE301" i="15"/>
  <c r="AB301" i="15"/>
  <c r="E299" i="17"/>
  <c r="J301" i="15"/>
  <c r="G301" i="15"/>
  <c r="D301" i="15"/>
  <c r="AN300" i="15"/>
  <c r="AK300" i="15"/>
  <c r="AE300" i="15"/>
  <c r="AB300" i="15"/>
  <c r="E298" i="17"/>
  <c r="J300" i="15"/>
  <c r="G300" i="15"/>
  <c r="D300" i="15"/>
  <c r="AN299" i="15"/>
  <c r="AK299" i="15"/>
  <c r="AE299" i="15"/>
  <c r="AB299" i="15"/>
  <c r="E297" i="17"/>
  <c r="J299" i="15"/>
  <c r="G299" i="15"/>
  <c r="D299" i="15"/>
  <c r="AN298" i="15"/>
  <c r="AK298" i="15"/>
  <c r="AE298" i="15"/>
  <c r="AB298" i="15"/>
  <c r="P298" i="15"/>
  <c r="K296" i="17"/>
  <c r="J298" i="15"/>
  <c r="G298" i="15"/>
  <c r="D298" i="15"/>
  <c r="AN297" i="15"/>
  <c r="AK297" i="15"/>
  <c r="AE297" i="15"/>
  <c r="AB297" i="15"/>
  <c r="P297" i="15"/>
  <c r="K295" i="17"/>
  <c r="J297" i="15"/>
  <c r="G297" i="15"/>
  <c r="D297" i="15"/>
  <c r="AN296" i="15"/>
  <c r="AK296" i="15"/>
  <c r="AE296" i="15"/>
  <c r="AB296" i="15"/>
  <c r="P296" i="15"/>
  <c r="K294" i="17"/>
  <c r="J296" i="15"/>
  <c r="G296" i="15"/>
  <c r="D296" i="15"/>
  <c r="AN295" i="15"/>
  <c r="AK295" i="15"/>
  <c r="AE295" i="15"/>
  <c r="AB295" i="15"/>
  <c r="P295" i="15"/>
  <c r="K293" i="17"/>
  <c r="J295" i="15"/>
  <c r="G295" i="15"/>
  <c r="D295" i="15"/>
  <c r="AN294" i="15"/>
  <c r="AK294" i="15"/>
  <c r="AE294" i="15"/>
  <c r="AB294" i="15"/>
  <c r="P294" i="15"/>
  <c r="K292" i="17"/>
  <c r="E292" i="17"/>
  <c r="J294" i="15"/>
  <c r="G294" i="15"/>
  <c r="D294" i="15"/>
  <c r="AN293" i="15"/>
  <c r="AK293" i="15"/>
  <c r="AE293" i="15"/>
  <c r="AB293" i="15"/>
  <c r="E291" i="17"/>
  <c r="J293" i="15"/>
  <c r="G293" i="15"/>
  <c r="D293" i="15"/>
  <c r="AN292" i="15"/>
  <c r="AK292" i="15"/>
  <c r="AE292" i="15"/>
  <c r="AB292" i="15"/>
  <c r="P292" i="15"/>
  <c r="K290" i="17"/>
  <c r="E290" i="17"/>
  <c r="J292" i="15"/>
  <c r="G292" i="15"/>
  <c r="D292" i="15"/>
  <c r="AN291" i="15"/>
  <c r="AK291" i="15"/>
  <c r="AE291" i="15"/>
  <c r="AB291" i="15"/>
  <c r="K289" i="17"/>
  <c r="J291" i="15"/>
  <c r="G291" i="15"/>
  <c r="D291" i="15"/>
  <c r="AN290" i="15"/>
  <c r="AK290" i="15"/>
  <c r="AE290" i="15"/>
  <c r="AB290" i="15"/>
  <c r="E288" i="17"/>
  <c r="J290" i="15"/>
  <c r="G290" i="15"/>
  <c r="D290" i="15"/>
  <c r="AN289" i="15"/>
  <c r="AK289" i="15"/>
  <c r="AE289" i="15"/>
  <c r="AB289" i="15"/>
  <c r="K287" i="17"/>
  <c r="E287" i="17"/>
  <c r="J289" i="15"/>
  <c r="G289" i="15"/>
  <c r="D289" i="15"/>
  <c r="AN288" i="15"/>
  <c r="AK288" i="15"/>
  <c r="AE288" i="15"/>
  <c r="AB288" i="15"/>
  <c r="K286" i="17"/>
  <c r="J288" i="15"/>
  <c r="G288" i="15"/>
  <c r="D288" i="15"/>
  <c r="AN287" i="15"/>
  <c r="AK287" i="15"/>
  <c r="AE287" i="15"/>
  <c r="AB287" i="15"/>
  <c r="K285" i="17"/>
  <c r="E285" i="17"/>
  <c r="J287" i="15"/>
  <c r="G287" i="15"/>
  <c r="D287" i="15"/>
  <c r="AN286" i="15"/>
  <c r="AK286" i="15"/>
  <c r="AE286" i="15"/>
  <c r="AB286" i="15"/>
  <c r="K284" i="17"/>
  <c r="E284" i="17"/>
  <c r="J286" i="15"/>
  <c r="G286" i="15"/>
  <c r="D286" i="15"/>
  <c r="AN285" i="15"/>
  <c r="AK285" i="15"/>
  <c r="AE285" i="15"/>
  <c r="AB285" i="15"/>
  <c r="K283" i="17"/>
  <c r="E283" i="17"/>
  <c r="J285" i="15"/>
  <c r="G285" i="15"/>
  <c r="D285" i="15"/>
  <c r="AN284" i="15"/>
  <c r="AK284" i="15"/>
  <c r="AE284" i="15"/>
  <c r="AB284" i="15"/>
  <c r="K282" i="17"/>
  <c r="E282" i="17"/>
  <c r="J284" i="15"/>
  <c r="G284" i="15"/>
  <c r="D284" i="15"/>
  <c r="AN283" i="15"/>
  <c r="AK283" i="15"/>
  <c r="AE283" i="15"/>
  <c r="AB283" i="15"/>
  <c r="P283" i="15"/>
  <c r="K281" i="17"/>
  <c r="E281" i="17"/>
  <c r="J283" i="15"/>
  <c r="G283" i="15"/>
  <c r="D283" i="15"/>
  <c r="AN282" i="15"/>
  <c r="AK282" i="15"/>
  <c r="AE282" i="15"/>
  <c r="AB282" i="15"/>
  <c r="P282" i="15"/>
  <c r="K280" i="17"/>
  <c r="E280" i="17"/>
  <c r="J282" i="15"/>
  <c r="G282" i="15"/>
  <c r="D282" i="15"/>
  <c r="AN281" i="15"/>
  <c r="AK281" i="15"/>
  <c r="AE281" i="15"/>
  <c r="AB281" i="15"/>
  <c r="P281" i="15"/>
  <c r="K279" i="17"/>
  <c r="E279" i="17"/>
  <c r="J281" i="15"/>
  <c r="G281" i="15"/>
  <c r="D281" i="15"/>
  <c r="AN280" i="15"/>
  <c r="AK280" i="15"/>
  <c r="AE280" i="15"/>
  <c r="AB280" i="15"/>
  <c r="K278" i="17"/>
  <c r="E278" i="17"/>
  <c r="J280" i="15"/>
  <c r="G280" i="15"/>
  <c r="D280" i="15"/>
  <c r="AN279" i="15"/>
  <c r="AK279" i="15"/>
  <c r="AE279" i="15"/>
  <c r="AB279" i="15"/>
  <c r="P279" i="15"/>
  <c r="K277" i="17"/>
  <c r="E277" i="17"/>
  <c r="J279" i="15"/>
  <c r="G279" i="15"/>
  <c r="D279" i="15"/>
  <c r="AN278" i="15"/>
  <c r="AK278" i="15"/>
  <c r="AE278" i="15"/>
  <c r="AB278" i="15"/>
  <c r="P278" i="15"/>
  <c r="K276" i="17"/>
  <c r="E276" i="17"/>
  <c r="J278" i="15"/>
  <c r="G278" i="15"/>
  <c r="D278" i="15"/>
  <c r="AN277" i="15"/>
  <c r="AK277" i="15"/>
  <c r="AE277" i="15"/>
  <c r="AB277" i="15"/>
  <c r="P277" i="15"/>
  <c r="K275" i="17"/>
  <c r="E275" i="17"/>
  <c r="J277" i="15"/>
  <c r="G277" i="15"/>
  <c r="D277" i="15"/>
  <c r="AN276" i="15"/>
  <c r="AK276" i="15"/>
  <c r="AE276" i="15"/>
  <c r="AB276" i="15"/>
  <c r="BR275" i="19"/>
  <c r="K274" i="17"/>
  <c r="E274" i="17"/>
  <c r="J276" i="15"/>
  <c r="G276" i="15"/>
  <c r="D276" i="15"/>
  <c r="AN275" i="15"/>
  <c r="AK275" i="15"/>
  <c r="AE275" i="15"/>
  <c r="AB275" i="15"/>
  <c r="K273" i="17"/>
  <c r="E273" i="17"/>
  <c r="J275" i="15"/>
  <c r="G275" i="15"/>
  <c r="D275" i="15"/>
  <c r="AN274" i="15"/>
  <c r="AK274" i="15"/>
  <c r="AE274" i="15"/>
  <c r="AB274" i="15"/>
  <c r="K272" i="17"/>
  <c r="E272" i="17"/>
  <c r="J274" i="15"/>
  <c r="G274" i="15"/>
  <c r="D274" i="15"/>
  <c r="AN273" i="15"/>
  <c r="AK273" i="15"/>
  <c r="AE273" i="15"/>
  <c r="AB273" i="15"/>
  <c r="K271" i="17"/>
  <c r="J273" i="15"/>
  <c r="G273" i="15"/>
  <c r="D273" i="15"/>
  <c r="AN272" i="15"/>
  <c r="AK272" i="15"/>
  <c r="AE272" i="15"/>
  <c r="AB272" i="15"/>
  <c r="K270" i="17"/>
  <c r="J272" i="15"/>
  <c r="G272" i="15"/>
  <c r="D272" i="15"/>
  <c r="AN271" i="15"/>
  <c r="AK271" i="15"/>
  <c r="AE271" i="15"/>
  <c r="AB271" i="15"/>
  <c r="K269" i="17"/>
  <c r="J271" i="15"/>
  <c r="G271" i="15"/>
  <c r="D271" i="15"/>
  <c r="AN270" i="15"/>
  <c r="AK270" i="15"/>
  <c r="AE270" i="15"/>
  <c r="AB270" i="15"/>
  <c r="K268" i="17"/>
  <c r="E268" i="17"/>
  <c r="J270" i="15"/>
  <c r="G270" i="15"/>
  <c r="D270" i="15"/>
  <c r="AN269" i="15"/>
  <c r="AK269" i="15"/>
  <c r="AE269" i="15"/>
  <c r="AB269" i="15"/>
  <c r="K267" i="17"/>
  <c r="E267" i="17"/>
  <c r="J269" i="15"/>
  <c r="G269" i="15"/>
  <c r="D269" i="15"/>
  <c r="AN268" i="15"/>
  <c r="AK268" i="15"/>
  <c r="AE268" i="15"/>
  <c r="AB268" i="15"/>
  <c r="K266" i="17"/>
  <c r="E266" i="17"/>
  <c r="J268" i="15"/>
  <c r="G268" i="15"/>
  <c r="D268" i="15"/>
  <c r="AN267" i="15"/>
  <c r="AK267" i="15"/>
  <c r="AE267" i="15"/>
  <c r="AB267" i="15"/>
  <c r="K265" i="17"/>
  <c r="E265" i="17"/>
  <c r="J267" i="15"/>
  <c r="G267" i="15"/>
  <c r="D267" i="15"/>
  <c r="AN266" i="15"/>
  <c r="AK266" i="15"/>
  <c r="AE266" i="15"/>
  <c r="AB266" i="15"/>
  <c r="K264" i="17"/>
  <c r="E264" i="17"/>
  <c r="J266" i="15"/>
  <c r="G266" i="15"/>
  <c r="D266" i="15"/>
  <c r="AN265" i="15"/>
  <c r="AK265" i="15"/>
  <c r="AE265" i="15"/>
  <c r="AB265" i="15"/>
  <c r="K263" i="17"/>
  <c r="E263" i="17"/>
  <c r="J265" i="15"/>
  <c r="G265" i="15"/>
  <c r="D265" i="15"/>
  <c r="AN264" i="15"/>
  <c r="AK264" i="15"/>
  <c r="AE264" i="15"/>
  <c r="AB264" i="15"/>
  <c r="K262" i="17"/>
  <c r="E262" i="17"/>
  <c r="J264" i="15"/>
  <c r="G264" i="15"/>
  <c r="D264" i="15"/>
  <c r="AN263" i="15"/>
  <c r="AK263" i="15"/>
  <c r="AE263" i="15"/>
  <c r="AB263" i="15"/>
  <c r="K261" i="17"/>
  <c r="E261" i="17"/>
  <c r="J263" i="15"/>
  <c r="G263" i="15"/>
  <c r="D263" i="15"/>
  <c r="AN262" i="15"/>
  <c r="AK262" i="15"/>
  <c r="AE262" i="15"/>
  <c r="AB262" i="15"/>
  <c r="E260" i="17"/>
  <c r="J262" i="15"/>
  <c r="G262" i="15"/>
  <c r="D262" i="15"/>
  <c r="AN261" i="15"/>
  <c r="AK261" i="15"/>
  <c r="AE261" i="15"/>
  <c r="AB261" i="15"/>
  <c r="E259" i="17"/>
  <c r="J261" i="15"/>
  <c r="G261" i="15"/>
  <c r="D261" i="15"/>
  <c r="AN260" i="15"/>
  <c r="AK260" i="15"/>
  <c r="AE260" i="15"/>
  <c r="AB260" i="15"/>
  <c r="E258" i="17"/>
  <c r="J260" i="15"/>
  <c r="G260" i="15"/>
  <c r="D260" i="15"/>
  <c r="AN259" i="15"/>
  <c r="AK259" i="15"/>
  <c r="AE259" i="15"/>
  <c r="AB259" i="15"/>
  <c r="E257" i="17"/>
  <c r="J259" i="15"/>
  <c r="G259" i="15"/>
  <c r="D259" i="15"/>
  <c r="AN258" i="15"/>
  <c r="AK258" i="15"/>
  <c r="AE258" i="15"/>
  <c r="AB258" i="15"/>
  <c r="E256" i="17"/>
  <c r="J258" i="15"/>
  <c r="G258" i="15"/>
  <c r="D258" i="15"/>
  <c r="AN257" i="15"/>
  <c r="AK257" i="15"/>
  <c r="AE257" i="15"/>
  <c r="AB257" i="15"/>
  <c r="E255" i="17"/>
  <c r="J257" i="15"/>
  <c r="G257" i="15"/>
  <c r="D257" i="15"/>
  <c r="AN256" i="15"/>
  <c r="AK256" i="15"/>
  <c r="AE256" i="15"/>
  <c r="AB256" i="15"/>
  <c r="E254" i="17"/>
  <c r="J256" i="15"/>
  <c r="G256" i="15"/>
  <c r="D256" i="15"/>
  <c r="AN255" i="15"/>
  <c r="AK255" i="15"/>
  <c r="AE255" i="15"/>
  <c r="AB255" i="15"/>
  <c r="E253" i="17"/>
  <c r="J255" i="15"/>
  <c r="G255" i="15"/>
  <c r="D255" i="15"/>
  <c r="AN254" i="15"/>
  <c r="AK254" i="15"/>
  <c r="AE254" i="15"/>
  <c r="AB254" i="15"/>
  <c r="E252" i="17"/>
  <c r="J254" i="15"/>
  <c r="G254" i="15"/>
  <c r="D254" i="15"/>
  <c r="AN253" i="15"/>
  <c r="AK253" i="15"/>
  <c r="AE253" i="15"/>
  <c r="AB253" i="15"/>
  <c r="E251" i="17"/>
  <c r="J253" i="15"/>
  <c r="G253" i="15"/>
  <c r="D253" i="15"/>
  <c r="AN252" i="15"/>
  <c r="AK252" i="15"/>
  <c r="AE252" i="15"/>
  <c r="AB252" i="15"/>
  <c r="E250" i="17"/>
  <c r="J252" i="15"/>
  <c r="G252" i="15"/>
  <c r="D252" i="15"/>
  <c r="AN251" i="15"/>
  <c r="AK251" i="15"/>
  <c r="AE251" i="15"/>
  <c r="AB251" i="15"/>
  <c r="E249" i="17"/>
  <c r="J251" i="15"/>
  <c r="G251" i="15"/>
  <c r="D251" i="15"/>
  <c r="AN250" i="15"/>
  <c r="AK250" i="15"/>
  <c r="AE250" i="15"/>
  <c r="AB250" i="15"/>
  <c r="E248" i="17"/>
  <c r="J250" i="15"/>
  <c r="G250" i="15"/>
  <c r="D250" i="15"/>
  <c r="AN249" i="15"/>
  <c r="AK249" i="15"/>
  <c r="AE249" i="15"/>
  <c r="AB249" i="15"/>
  <c r="E247" i="17"/>
  <c r="J249" i="15"/>
  <c r="G249" i="15"/>
  <c r="D249" i="15"/>
  <c r="AN248" i="15"/>
  <c r="AK248" i="15"/>
  <c r="AE248" i="15"/>
  <c r="AB248" i="15"/>
  <c r="E246" i="17"/>
  <c r="J248" i="15"/>
  <c r="G248" i="15"/>
  <c r="D248" i="15"/>
  <c r="AN247" i="15"/>
  <c r="AK247" i="15"/>
  <c r="AE247" i="15"/>
  <c r="AB247" i="15"/>
  <c r="E245" i="17"/>
  <c r="J247" i="15"/>
  <c r="G247" i="15"/>
  <c r="D247" i="15"/>
  <c r="AN246" i="15"/>
  <c r="AK246" i="15"/>
  <c r="AE246" i="15"/>
  <c r="AB246" i="15"/>
  <c r="E244" i="17"/>
  <c r="J246" i="15"/>
  <c r="G246" i="15"/>
  <c r="D246" i="15"/>
  <c r="AN245" i="15"/>
  <c r="AK245" i="15"/>
  <c r="AE245" i="15"/>
  <c r="AB245" i="15"/>
  <c r="E243" i="17"/>
  <c r="J245" i="15"/>
  <c r="G245" i="15"/>
  <c r="D245" i="15"/>
  <c r="AN244" i="15"/>
  <c r="AK244" i="15"/>
  <c r="AE244" i="15"/>
  <c r="AB244" i="15"/>
  <c r="K242" i="17"/>
  <c r="E242" i="17"/>
  <c r="J244" i="15"/>
  <c r="G244" i="15"/>
  <c r="D244" i="15"/>
  <c r="AN243" i="15"/>
  <c r="AK243" i="15"/>
  <c r="AE243" i="15"/>
  <c r="AB243" i="15"/>
  <c r="J243" i="15"/>
  <c r="G243" i="15"/>
  <c r="D243" i="15"/>
  <c r="AN242" i="15"/>
  <c r="AK242" i="15"/>
  <c r="AE242" i="15"/>
  <c r="AB242" i="15"/>
  <c r="K240" i="17"/>
  <c r="J242" i="15"/>
  <c r="G242" i="15"/>
  <c r="D242" i="15"/>
  <c r="AN241" i="15"/>
  <c r="AK241" i="15"/>
  <c r="AE241" i="15"/>
  <c r="AB241" i="15"/>
  <c r="P241" i="15"/>
  <c r="K239" i="17"/>
  <c r="J241" i="15"/>
  <c r="G241" i="15"/>
  <c r="D241" i="15"/>
  <c r="AN240" i="15"/>
  <c r="AK240" i="15"/>
  <c r="AE240" i="15"/>
  <c r="AB240" i="15"/>
  <c r="P240" i="15"/>
  <c r="K238" i="17"/>
  <c r="J240" i="15"/>
  <c r="G240" i="15"/>
  <c r="D240" i="15"/>
  <c r="AN239" i="15"/>
  <c r="AK239" i="15"/>
  <c r="AE239" i="15"/>
  <c r="AB239" i="15"/>
  <c r="P239" i="15"/>
  <c r="K237" i="17"/>
  <c r="E237" i="17"/>
  <c r="J239" i="15"/>
  <c r="G239" i="15"/>
  <c r="D239" i="15"/>
  <c r="AN238" i="15"/>
  <c r="AK238" i="15"/>
  <c r="AE238" i="15"/>
  <c r="AB238" i="15"/>
  <c r="K236" i="17"/>
  <c r="E236" i="17"/>
  <c r="J238" i="15"/>
  <c r="G238" i="15"/>
  <c r="D238" i="15"/>
  <c r="AN237" i="15"/>
  <c r="AK237" i="15"/>
  <c r="AE237" i="15"/>
  <c r="AB237" i="15"/>
  <c r="K235" i="17"/>
  <c r="E235" i="17"/>
  <c r="J237" i="15"/>
  <c r="G237" i="15"/>
  <c r="D237" i="15"/>
  <c r="AN236" i="15"/>
  <c r="AK236" i="15"/>
  <c r="AE236" i="15"/>
  <c r="AB236" i="15"/>
  <c r="E234" i="17"/>
  <c r="J236" i="15"/>
  <c r="G236" i="15"/>
  <c r="D236" i="15"/>
  <c r="AN235" i="15"/>
  <c r="AK235" i="15"/>
  <c r="AE235" i="15"/>
  <c r="AB235" i="15"/>
  <c r="K233" i="17"/>
  <c r="E233" i="17"/>
  <c r="J235" i="15"/>
  <c r="G235" i="15"/>
  <c r="D235" i="15"/>
  <c r="AN234" i="15"/>
  <c r="AK234" i="15"/>
  <c r="AE234" i="15"/>
  <c r="AB234" i="15"/>
  <c r="K232" i="17"/>
  <c r="J234" i="15"/>
  <c r="G234" i="15"/>
  <c r="D234" i="15"/>
  <c r="AN233" i="15"/>
  <c r="AK233" i="15"/>
  <c r="AE233" i="15"/>
  <c r="AB233" i="15"/>
  <c r="K231" i="17"/>
  <c r="E231" i="17"/>
  <c r="J233" i="15"/>
  <c r="G233" i="15"/>
  <c r="D233" i="15"/>
  <c r="AN232" i="15"/>
  <c r="AK232" i="15"/>
  <c r="AE232" i="15"/>
  <c r="AB232" i="15"/>
  <c r="E230" i="17"/>
  <c r="J232" i="15"/>
  <c r="G232" i="15"/>
  <c r="D232" i="15"/>
  <c r="AN231" i="15"/>
  <c r="AK231" i="15"/>
  <c r="AE231" i="15"/>
  <c r="AB231" i="15"/>
  <c r="P231" i="15"/>
  <c r="K229" i="17"/>
  <c r="E229" i="17"/>
  <c r="J231" i="15"/>
  <c r="G231" i="15"/>
  <c r="D231" i="15"/>
  <c r="AN230" i="15"/>
  <c r="AK230" i="15"/>
  <c r="AE230" i="15"/>
  <c r="AB230" i="15"/>
  <c r="K228" i="17"/>
  <c r="J230" i="15"/>
  <c r="G230" i="15"/>
  <c r="D230" i="15"/>
  <c r="AN229" i="15"/>
  <c r="AK229" i="15"/>
  <c r="AE229" i="15"/>
  <c r="AB229" i="15"/>
  <c r="BS228" i="19"/>
  <c r="E227" i="17"/>
  <c r="J229" i="15"/>
  <c r="G229" i="15"/>
  <c r="D229" i="15"/>
  <c r="AN228" i="15"/>
  <c r="AK228" i="15"/>
  <c r="AE228" i="15"/>
  <c r="AB228" i="15"/>
  <c r="E226" i="17"/>
  <c r="J228" i="15"/>
  <c r="G228" i="15"/>
  <c r="D228" i="15"/>
  <c r="AN227" i="15"/>
  <c r="AK227" i="15"/>
  <c r="AE227" i="15"/>
  <c r="AB227" i="15"/>
  <c r="P227" i="15"/>
  <c r="K225" i="17"/>
  <c r="E225" i="17"/>
  <c r="J227" i="15"/>
  <c r="G227" i="15"/>
  <c r="D227" i="15"/>
  <c r="AN226" i="15"/>
  <c r="AK226" i="15"/>
  <c r="AE226" i="15"/>
  <c r="AB226" i="15"/>
  <c r="E224" i="17"/>
  <c r="J226" i="15"/>
  <c r="G226" i="15"/>
  <c r="D226" i="15"/>
  <c r="AN225" i="15"/>
  <c r="AK225" i="15"/>
  <c r="AE225" i="15"/>
  <c r="AB225" i="15"/>
  <c r="K223" i="17"/>
  <c r="E223" i="17"/>
  <c r="J225" i="15"/>
  <c r="G225" i="15"/>
  <c r="D225" i="15"/>
  <c r="AN224" i="15"/>
  <c r="AK224" i="15"/>
  <c r="AE224" i="15"/>
  <c r="AB224" i="15"/>
  <c r="J224" i="15"/>
  <c r="G224" i="15"/>
  <c r="D224" i="15"/>
  <c r="AN223" i="15"/>
  <c r="AK223" i="15"/>
  <c r="AE223" i="15"/>
  <c r="AB223" i="15"/>
  <c r="K221" i="17"/>
  <c r="E221" i="17"/>
  <c r="J223" i="15"/>
  <c r="G223" i="15"/>
  <c r="D223" i="15"/>
  <c r="AN222" i="15"/>
  <c r="AK222" i="15"/>
  <c r="AE222" i="15"/>
  <c r="AB222" i="15"/>
  <c r="J222" i="15"/>
  <c r="G222" i="15"/>
  <c r="D222" i="15"/>
  <c r="AN221" i="15"/>
  <c r="AK221" i="15"/>
  <c r="AE221" i="15"/>
  <c r="AB221" i="15"/>
  <c r="E219" i="17"/>
  <c r="J221" i="15"/>
  <c r="G221" i="15"/>
  <c r="D221" i="15"/>
  <c r="AN220" i="15"/>
  <c r="AK220" i="15"/>
  <c r="AE220" i="15"/>
  <c r="AB220" i="15"/>
  <c r="E218" i="17"/>
  <c r="J220" i="15"/>
  <c r="G220" i="15"/>
  <c r="D220" i="15"/>
  <c r="AN219" i="15"/>
  <c r="AK219" i="15"/>
  <c r="AE219" i="15"/>
  <c r="AB219" i="15"/>
  <c r="P219" i="15"/>
  <c r="K217" i="17"/>
  <c r="E217" i="17"/>
  <c r="J219" i="15"/>
  <c r="G219" i="15"/>
  <c r="D219" i="15"/>
  <c r="AN218" i="15"/>
  <c r="AK218" i="15"/>
  <c r="AE218" i="15"/>
  <c r="AB218" i="15"/>
  <c r="P218" i="15"/>
  <c r="K216" i="17"/>
  <c r="J218" i="15"/>
  <c r="G218" i="15"/>
  <c r="D218" i="15"/>
  <c r="AN217" i="15"/>
  <c r="AK217" i="15"/>
  <c r="AE217" i="15"/>
  <c r="AB217" i="15"/>
  <c r="P217" i="15"/>
  <c r="K215" i="17"/>
  <c r="E215" i="17"/>
  <c r="J217" i="15"/>
  <c r="G217" i="15"/>
  <c r="D217" i="15"/>
  <c r="AN216" i="15"/>
  <c r="AK216" i="15"/>
  <c r="AE216" i="15"/>
  <c r="AB216" i="15"/>
  <c r="K214" i="17"/>
  <c r="E214" i="17"/>
  <c r="J216" i="15"/>
  <c r="G216" i="15"/>
  <c r="D216" i="15"/>
  <c r="AN215" i="15"/>
  <c r="AK215" i="15"/>
  <c r="AE215" i="15"/>
  <c r="AB215" i="15"/>
  <c r="K213" i="17"/>
  <c r="E213" i="17"/>
  <c r="J215" i="15"/>
  <c r="G215" i="15"/>
  <c r="D215" i="15"/>
  <c r="AN214" i="15"/>
  <c r="AK214" i="15"/>
  <c r="AE214" i="15"/>
  <c r="AB214" i="15"/>
  <c r="P214" i="15"/>
  <c r="K212" i="17"/>
  <c r="J214" i="15"/>
  <c r="G214" i="15"/>
  <c r="D214" i="15"/>
  <c r="AN213" i="15"/>
  <c r="AK213" i="15"/>
  <c r="AE213" i="15"/>
  <c r="AB213" i="15"/>
  <c r="K211" i="17"/>
  <c r="E211" i="17"/>
  <c r="J213" i="15"/>
  <c r="G213" i="15"/>
  <c r="D213" i="15"/>
  <c r="AN212" i="15"/>
  <c r="AK212" i="15"/>
  <c r="AE212" i="15"/>
  <c r="AB212" i="15"/>
  <c r="J212" i="15"/>
  <c r="G212" i="15"/>
  <c r="D212" i="15"/>
  <c r="AN211" i="15"/>
  <c r="AK211" i="15"/>
  <c r="AE211" i="15"/>
  <c r="AB211" i="15"/>
  <c r="E209" i="17"/>
  <c r="J211" i="15"/>
  <c r="G211" i="15"/>
  <c r="D211" i="15"/>
  <c r="AN210" i="15"/>
  <c r="AK210" i="15"/>
  <c r="AE210" i="15"/>
  <c r="AB210" i="15"/>
  <c r="E208" i="17"/>
  <c r="J210" i="15"/>
  <c r="G210" i="15"/>
  <c r="D210" i="15"/>
  <c r="AN209" i="15"/>
  <c r="AK209" i="15"/>
  <c r="AE209" i="15"/>
  <c r="AB209" i="15"/>
  <c r="K207" i="17"/>
  <c r="E207" i="17"/>
  <c r="J209" i="15"/>
  <c r="G209" i="15"/>
  <c r="D209" i="15"/>
  <c r="AN208" i="15"/>
  <c r="AK208" i="15"/>
  <c r="AE208" i="15"/>
  <c r="AB208" i="15"/>
  <c r="E206" i="17"/>
  <c r="J208" i="15"/>
  <c r="G208" i="15"/>
  <c r="D208" i="15"/>
  <c r="AN207" i="15"/>
  <c r="AK207" i="15"/>
  <c r="AE207" i="15"/>
  <c r="AB207" i="15"/>
  <c r="P207" i="15"/>
  <c r="K205" i="17"/>
  <c r="E205" i="17"/>
  <c r="J207" i="15"/>
  <c r="G207" i="15"/>
  <c r="D207" i="15"/>
  <c r="AN206" i="15"/>
  <c r="AK206" i="15"/>
  <c r="AE206" i="15"/>
  <c r="AB206" i="15"/>
  <c r="J206" i="15"/>
  <c r="G206" i="15"/>
  <c r="D206" i="15"/>
  <c r="AN205" i="15"/>
  <c r="AK205" i="15"/>
  <c r="AE205" i="15"/>
  <c r="AB205" i="15"/>
  <c r="P205" i="15"/>
  <c r="K203" i="17"/>
  <c r="E203" i="17"/>
  <c r="J205" i="15"/>
  <c r="G205" i="15"/>
  <c r="D205" i="15"/>
  <c r="AN204" i="15"/>
  <c r="AK204" i="15"/>
  <c r="AE204" i="15"/>
  <c r="AB204" i="15"/>
  <c r="J204" i="15"/>
  <c r="G204" i="15"/>
  <c r="D204" i="15"/>
  <c r="AN203" i="15"/>
  <c r="AK203" i="15"/>
  <c r="AE203" i="15"/>
  <c r="AB203" i="15"/>
  <c r="P203" i="15"/>
  <c r="K201" i="17"/>
  <c r="E201" i="17"/>
  <c r="J203" i="15"/>
  <c r="G203" i="15"/>
  <c r="D203" i="15"/>
  <c r="AN202" i="15"/>
  <c r="AK202" i="15"/>
  <c r="AE202" i="15"/>
  <c r="AB202" i="15"/>
  <c r="K200" i="17"/>
  <c r="J202" i="15"/>
  <c r="G202" i="15"/>
  <c r="D202" i="15"/>
  <c r="AN201" i="15"/>
  <c r="AK201" i="15"/>
  <c r="AE201" i="15"/>
  <c r="AB201" i="15"/>
  <c r="J201" i="15"/>
  <c r="G201" i="15"/>
  <c r="D201" i="15"/>
  <c r="AN200" i="15"/>
  <c r="AK200" i="15"/>
  <c r="AE200" i="15"/>
  <c r="AB200" i="15"/>
  <c r="J200" i="15"/>
  <c r="G200" i="15"/>
  <c r="D200" i="15"/>
  <c r="AN199" i="15"/>
  <c r="AK199" i="15"/>
  <c r="AE199" i="15"/>
  <c r="AB199" i="15"/>
  <c r="K197" i="17"/>
  <c r="E197" i="17"/>
  <c r="J199" i="15"/>
  <c r="G199" i="15"/>
  <c r="D199" i="15"/>
  <c r="AN198" i="15"/>
  <c r="AK198" i="15"/>
  <c r="AE198" i="15"/>
  <c r="AB198" i="15"/>
  <c r="J198" i="15"/>
  <c r="G198" i="15"/>
  <c r="D198" i="15"/>
  <c r="AN197" i="15"/>
  <c r="AK197" i="15"/>
  <c r="AE197" i="15"/>
  <c r="AB197" i="15"/>
  <c r="J197" i="15"/>
  <c r="G197" i="15"/>
  <c r="D197" i="15"/>
  <c r="AN196" i="15"/>
  <c r="AK196" i="15"/>
  <c r="AE196" i="15"/>
  <c r="AB196" i="15"/>
  <c r="K194" i="17"/>
  <c r="E194" i="17"/>
  <c r="J196" i="15"/>
  <c r="G196" i="15"/>
  <c r="D196" i="15"/>
  <c r="AN195" i="15"/>
  <c r="AK195" i="15"/>
  <c r="AE195" i="15"/>
  <c r="AB195" i="15"/>
  <c r="K193" i="17"/>
  <c r="J195" i="15"/>
  <c r="G195" i="15"/>
  <c r="D195" i="15"/>
  <c r="AN194" i="15"/>
  <c r="AK194" i="15"/>
  <c r="AE194" i="15"/>
  <c r="AB194" i="15"/>
  <c r="K192" i="17"/>
  <c r="E192" i="17"/>
  <c r="J194" i="15"/>
  <c r="G194" i="15"/>
  <c r="D194" i="15"/>
  <c r="AN193" i="15"/>
  <c r="AK193" i="15"/>
  <c r="AE193" i="15"/>
  <c r="AB193" i="15"/>
  <c r="E191" i="17"/>
  <c r="J193" i="15"/>
  <c r="G193" i="15"/>
  <c r="D193" i="15"/>
  <c r="AN192" i="15"/>
  <c r="AK192" i="15"/>
  <c r="AE192" i="15"/>
  <c r="AB192" i="15"/>
  <c r="K190" i="17"/>
  <c r="E190" i="17"/>
  <c r="J192" i="15"/>
  <c r="G192" i="15"/>
  <c r="D192" i="15"/>
  <c r="AN191" i="15"/>
  <c r="AK191" i="15"/>
  <c r="AE191" i="15"/>
  <c r="AB191" i="15"/>
  <c r="J191" i="15"/>
  <c r="G191" i="15"/>
  <c r="D191" i="15"/>
  <c r="AN190" i="15"/>
  <c r="AK190" i="15"/>
  <c r="AE190" i="15"/>
  <c r="AB190" i="15"/>
  <c r="P190" i="15"/>
  <c r="K188" i="17"/>
  <c r="E188" i="17"/>
  <c r="J190" i="15"/>
  <c r="G190" i="15"/>
  <c r="D190" i="15"/>
  <c r="AN189" i="15"/>
  <c r="AK189" i="15"/>
  <c r="AE189" i="15"/>
  <c r="AB189" i="15"/>
  <c r="J189" i="15"/>
  <c r="G189" i="15"/>
  <c r="D189" i="15"/>
  <c r="AN188" i="15"/>
  <c r="AK188" i="15"/>
  <c r="AE188" i="15"/>
  <c r="AB188" i="15"/>
  <c r="E186" i="17"/>
  <c r="J188" i="15"/>
  <c r="G188" i="15"/>
  <c r="D188" i="15"/>
  <c r="AN187" i="15"/>
  <c r="AK187" i="15"/>
  <c r="AE187" i="15"/>
  <c r="AB187" i="15"/>
  <c r="K185" i="17"/>
  <c r="E185" i="17"/>
  <c r="J187" i="15"/>
  <c r="G187" i="15"/>
  <c r="D187" i="15"/>
  <c r="AN186" i="15"/>
  <c r="AK186" i="15"/>
  <c r="AE186" i="15"/>
  <c r="AB186" i="15"/>
  <c r="P186" i="15"/>
  <c r="K184" i="17"/>
  <c r="J186" i="15"/>
  <c r="G186" i="15"/>
  <c r="D186" i="15"/>
  <c r="AN185" i="15"/>
  <c r="AK185" i="15"/>
  <c r="AE185" i="15"/>
  <c r="AB185" i="15"/>
  <c r="E183" i="17"/>
  <c r="J185" i="15"/>
  <c r="G185" i="15"/>
  <c r="D185" i="15"/>
  <c r="AN184" i="15"/>
  <c r="AK184" i="15"/>
  <c r="AE184" i="15"/>
  <c r="AB184" i="15"/>
  <c r="K182" i="17"/>
  <c r="J184" i="15"/>
  <c r="G184" i="15"/>
  <c r="D184" i="15"/>
  <c r="AN183" i="15"/>
  <c r="AK183" i="15"/>
  <c r="AE183" i="15"/>
  <c r="AB183" i="15"/>
  <c r="E181" i="17"/>
  <c r="J183" i="15"/>
  <c r="G183" i="15"/>
  <c r="D183" i="15"/>
  <c r="AN182" i="15"/>
  <c r="AK182" i="15"/>
  <c r="AE182" i="15"/>
  <c r="AB182" i="15"/>
  <c r="P182" i="15"/>
  <c r="K180" i="17"/>
  <c r="E180" i="17"/>
  <c r="J182" i="15"/>
  <c r="G182" i="15"/>
  <c r="D182" i="15"/>
  <c r="AN181" i="15"/>
  <c r="AK181" i="15"/>
  <c r="AE181" i="15"/>
  <c r="AB181" i="15"/>
  <c r="K179" i="17"/>
  <c r="J181" i="15"/>
  <c r="G181" i="15"/>
  <c r="D181" i="15"/>
  <c r="AN180" i="15"/>
  <c r="AK180" i="15"/>
  <c r="AE180" i="15"/>
  <c r="AB180" i="15"/>
  <c r="P180" i="15"/>
  <c r="K178" i="17"/>
  <c r="E178" i="17"/>
  <c r="J180" i="15"/>
  <c r="G180" i="15"/>
  <c r="D180" i="15"/>
  <c r="AN179" i="15"/>
  <c r="AK179" i="15"/>
  <c r="AE179" i="15"/>
  <c r="AB179" i="15"/>
  <c r="K177" i="17"/>
  <c r="E177" i="17"/>
  <c r="J179" i="15"/>
  <c r="G179" i="15"/>
  <c r="D179" i="15"/>
  <c r="BQ177" i="19"/>
  <c r="AN178" i="15"/>
  <c r="AK178" i="15"/>
  <c r="AE178" i="15"/>
  <c r="AB178" i="15"/>
  <c r="K176" i="17"/>
  <c r="E176" i="17"/>
  <c r="J178" i="15"/>
  <c r="G178" i="15"/>
  <c r="D178" i="15"/>
  <c r="BQ176" i="19"/>
  <c r="AN177" i="15"/>
  <c r="AK177" i="15"/>
  <c r="AE177" i="15"/>
  <c r="AB177" i="15"/>
  <c r="P177" i="15"/>
  <c r="K175" i="17"/>
  <c r="E175" i="17"/>
  <c r="J177" i="15"/>
  <c r="G177" i="15"/>
  <c r="D177" i="15"/>
  <c r="BQ175" i="19"/>
  <c r="AN176" i="15"/>
  <c r="AK176" i="15"/>
  <c r="AE176" i="15"/>
  <c r="AB176" i="15"/>
  <c r="P176" i="15"/>
  <c r="K174" i="17"/>
  <c r="E174" i="17"/>
  <c r="J176" i="15"/>
  <c r="G176" i="15"/>
  <c r="D176" i="15"/>
  <c r="BQ174" i="19"/>
  <c r="AN175" i="15"/>
  <c r="AK175" i="15"/>
  <c r="AE175" i="15"/>
  <c r="AB175" i="15"/>
  <c r="P175" i="15"/>
  <c r="K173" i="17"/>
  <c r="E173" i="17"/>
  <c r="J175" i="15"/>
  <c r="G175" i="15"/>
  <c r="D175" i="15"/>
  <c r="BQ173" i="19"/>
  <c r="AN174" i="15"/>
  <c r="AK174" i="15"/>
  <c r="AE174" i="15"/>
  <c r="AB174" i="15"/>
  <c r="K172" i="17"/>
  <c r="E172" i="17"/>
  <c r="J174" i="15"/>
  <c r="G174" i="15"/>
  <c r="D174" i="15"/>
  <c r="AN173" i="15"/>
  <c r="AK173" i="15"/>
  <c r="AE173" i="15"/>
  <c r="AB173" i="15"/>
  <c r="P173" i="15"/>
  <c r="K171" i="17"/>
  <c r="E171" i="17"/>
  <c r="J173" i="15"/>
  <c r="G173" i="15"/>
  <c r="D173" i="15"/>
  <c r="AN172" i="15"/>
  <c r="AK172" i="15"/>
  <c r="AE172" i="15"/>
  <c r="AB172" i="15"/>
  <c r="K170" i="17"/>
  <c r="J172" i="15"/>
  <c r="G172" i="15"/>
  <c r="D172" i="15"/>
  <c r="BQ170" i="19"/>
  <c r="AN171" i="15"/>
  <c r="AK171" i="15"/>
  <c r="AE171" i="15"/>
  <c r="AB171" i="15"/>
  <c r="K169" i="17"/>
  <c r="J171" i="15"/>
  <c r="G171" i="15"/>
  <c r="D171" i="15"/>
  <c r="BQ169" i="19"/>
  <c r="AN170" i="15"/>
  <c r="AK170" i="15"/>
  <c r="AE170" i="15"/>
  <c r="AB170" i="15"/>
  <c r="P170" i="15"/>
  <c r="K168" i="17"/>
  <c r="E168" i="17"/>
  <c r="J170" i="15"/>
  <c r="G170" i="15"/>
  <c r="D170" i="15"/>
  <c r="BQ168" i="19"/>
  <c r="AN169" i="15"/>
  <c r="AK169" i="15"/>
  <c r="AE169" i="15"/>
  <c r="AB169" i="15"/>
  <c r="P169" i="15"/>
  <c r="K167" i="17"/>
  <c r="E167" i="17"/>
  <c r="J169" i="15"/>
  <c r="G169" i="15"/>
  <c r="D169" i="15"/>
  <c r="BQ167" i="19"/>
  <c r="AN168" i="15"/>
  <c r="AK168" i="15"/>
  <c r="AE168" i="15"/>
  <c r="AB168" i="15"/>
  <c r="P168" i="15"/>
  <c r="K166" i="17"/>
  <c r="J168" i="15"/>
  <c r="G168" i="15"/>
  <c r="D168" i="15"/>
  <c r="BQ166" i="19"/>
  <c r="AN167" i="15"/>
  <c r="AK167" i="15"/>
  <c r="AE167" i="15"/>
  <c r="AB167" i="15"/>
  <c r="P167" i="15"/>
  <c r="K165" i="17"/>
  <c r="E165" i="17"/>
  <c r="J167" i="15"/>
  <c r="G167" i="15"/>
  <c r="D167" i="15"/>
  <c r="BQ165" i="19"/>
  <c r="AN166" i="15"/>
  <c r="AK166" i="15"/>
  <c r="AE166" i="15"/>
  <c r="AB166" i="15"/>
  <c r="E164" i="17"/>
  <c r="J166" i="15"/>
  <c r="G166" i="15"/>
  <c r="D166" i="15"/>
  <c r="BQ164" i="19"/>
  <c r="AN165" i="15"/>
  <c r="AK165" i="15"/>
  <c r="AE165" i="15"/>
  <c r="AB165" i="15"/>
  <c r="K163" i="17"/>
  <c r="E163" i="17"/>
  <c r="J165" i="15"/>
  <c r="G165" i="15"/>
  <c r="D165" i="15"/>
  <c r="BQ163" i="19"/>
  <c r="AN164" i="15"/>
  <c r="AK164" i="15"/>
  <c r="AE164" i="15"/>
  <c r="AB164" i="15"/>
  <c r="P164" i="15"/>
  <c r="K162" i="17"/>
  <c r="J164" i="15"/>
  <c r="G164" i="15"/>
  <c r="D164" i="15"/>
  <c r="BQ162" i="19"/>
  <c r="AN163" i="15"/>
  <c r="AK163" i="15"/>
  <c r="AE163" i="15"/>
  <c r="AB163" i="15"/>
  <c r="P163" i="15"/>
  <c r="K161" i="17"/>
  <c r="J163" i="15"/>
  <c r="G163" i="15"/>
  <c r="D163" i="15"/>
  <c r="BQ161" i="19"/>
  <c r="AN162" i="15"/>
  <c r="AK162" i="15"/>
  <c r="AE162" i="15"/>
  <c r="AB162" i="15"/>
  <c r="J162" i="15"/>
  <c r="G162" i="15"/>
  <c r="D162" i="15"/>
  <c r="BQ160" i="19"/>
  <c r="AN161" i="15"/>
  <c r="AK161" i="15"/>
  <c r="AE161" i="15"/>
  <c r="AB161" i="15"/>
  <c r="P161" i="15"/>
  <c r="K159" i="17"/>
  <c r="J161" i="15"/>
  <c r="G161" i="15"/>
  <c r="D161" i="15"/>
  <c r="BQ159" i="19"/>
  <c r="AN160" i="15"/>
  <c r="AK160" i="15"/>
  <c r="AE160" i="15"/>
  <c r="AB160" i="15"/>
  <c r="K158" i="17"/>
  <c r="J160" i="15"/>
  <c r="G160" i="15"/>
  <c r="D160" i="15"/>
  <c r="BQ158" i="19"/>
  <c r="AN159" i="15"/>
  <c r="AK159" i="15"/>
  <c r="AE159" i="15"/>
  <c r="AB159" i="15"/>
  <c r="P159" i="15"/>
  <c r="K157" i="17"/>
  <c r="J159" i="15"/>
  <c r="G159" i="15"/>
  <c r="D159" i="15"/>
  <c r="BQ157" i="19"/>
  <c r="AN158" i="15"/>
  <c r="AK158" i="15"/>
  <c r="AE158" i="15"/>
  <c r="AB158" i="15"/>
  <c r="P158" i="15"/>
  <c r="K156" i="17"/>
  <c r="J158" i="15"/>
  <c r="G158" i="15"/>
  <c r="D158" i="15"/>
  <c r="BQ156" i="19"/>
  <c r="AN157" i="15"/>
  <c r="AK157" i="15"/>
  <c r="AE157" i="15"/>
  <c r="AB157" i="15"/>
  <c r="K155" i="17"/>
  <c r="J157" i="15"/>
  <c r="G157" i="15"/>
  <c r="D157" i="15"/>
  <c r="BQ155" i="19"/>
  <c r="AN156" i="15"/>
  <c r="AK156" i="15"/>
  <c r="AE156" i="15"/>
  <c r="AB156" i="15"/>
  <c r="K154" i="17"/>
  <c r="E154" i="17"/>
  <c r="J156" i="15"/>
  <c r="G156" i="15"/>
  <c r="D156" i="15"/>
  <c r="AN155" i="15"/>
  <c r="AK155" i="15"/>
  <c r="AE155" i="15"/>
  <c r="AB155" i="15"/>
  <c r="K153" i="17"/>
  <c r="J155" i="15"/>
  <c r="G155" i="15"/>
  <c r="D155" i="15"/>
  <c r="BQ153" i="19"/>
  <c r="AN154" i="15"/>
  <c r="AK154" i="15"/>
  <c r="AE154" i="15"/>
  <c r="AB154" i="15"/>
  <c r="E152" i="17"/>
  <c r="J154" i="15"/>
  <c r="G154" i="15"/>
  <c r="D154" i="15"/>
  <c r="BQ152" i="19"/>
  <c r="AN153" i="15"/>
  <c r="AK153" i="15"/>
  <c r="AE153" i="15"/>
  <c r="AB153" i="15"/>
  <c r="K151" i="17"/>
  <c r="E151" i="17"/>
  <c r="J153" i="15"/>
  <c r="G153" i="15"/>
  <c r="D153" i="15"/>
  <c r="BQ151" i="19"/>
  <c r="AN152" i="15"/>
  <c r="AK152" i="15"/>
  <c r="AE152" i="15"/>
  <c r="AB152" i="15"/>
  <c r="E150" i="17"/>
  <c r="BQ150" i="19"/>
  <c r="AN151" i="15"/>
  <c r="AK151" i="15"/>
  <c r="AE151" i="15"/>
  <c r="AB151" i="15"/>
  <c r="K149" i="17"/>
  <c r="E149" i="17"/>
  <c r="BQ149" i="19"/>
  <c r="AN150" i="15"/>
  <c r="AK150" i="15"/>
  <c r="AE150" i="15"/>
  <c r="AB150" i="15"/>
  <c r="K148" i="17"/>
  <c r="BQ148" i="19"/>
  <c r="AN149" i="15"/>
  <c r="AK149" i="15"/>
  <c r="AE149" i="15"/>
  <c r="AB149" i="15"/>
  <c r="E147" i="17"/>
  <c r="BQ147" i="19"/>
  <c r="AN148" i="15"/>
  <c r="AK148" i="15"/>
  <c r="AE148" i="15"/>
  <c r="AB148" i="15"/>
  <c r="K146" i="17"/>
  <c r="E146" i="17"/>
  <c r="J148" i="15"/>
  <c r="G148" i="15"/>
  <c r="D148" i="15"/>
  <c r="BQ146" i="19"/>
  <c r="AN147" i="15"/>
  <c r="AK147" i="15"/>
  <c r="AE147" i="15"/>
  <c r="AB147" i="15"/>
  <c r="BQ145" i="19"/>
  <c r="AN146" i="15"/>
  <c r="AK146" i="15"/>
  <c r="AE146" i="15"/>
  <c r="AB146" i="15"/>
  <c r="K144" i="17"/>
  <c r="E144" i="17"/>
  <c r="BQ144" i="19"/>
  <c r="AN145" i="15"/>
  <c r="AK145" i="15"/>
  <c r="AE145" i="15"/>
  <c r="AB145" i="15"/>
  <c r="K143" i="17"/>
  <c r="BQ143" i="19"/>
  <c r="AN144" i="15"/>
  <c r="AK144" i="15"/>
  <c r="AE144" i="15"/>
  <c r="AB144" i="15"/>
  <c r="E142" i="17"/>
  <c r="BQ142" i="19"/>
  <c r="AN143" i="15"/>
  <c r="AK143" i="15"/>
  <c r="AE143" i="15"/>
  <c r="AB143" i="15"/>
  <c r="K141" i="17"/>
  <c r="E141" i="17"/>
  <c r="BQ141" i="19"/>
  <c r="AN142" i="15"/>
  <c r="AK142" i="15"/>
  <c r="AE142" i="15"/>
  <c r="AB142" i="15"/>
  <c r="K140" i="17"/>
  <c r="BQ140" i="19"/>
  <c r="AN141" i="15"/>
  <c r="AK141" i="15"/>
  <c r="AE141" i="15"/>
  <c r="AB141" i="15"/>
  <c r="E139" i="17"/>
  <c r="BQ139" i="19"/>
  <c r="AN140" i="15"/>
  <c r="AK140" i="15"/>
  <c r="AE140" i="15"/>
  <c r="AB140" i="15"/>
  <c r="K138" i="17"/>
  <c r="E138" i="17"/>
  <c r="BQ138" i="19"/>
  <c r="AN139" i="15"/>
  <c r="AK139" i="15"/>
  <c r="AE139" i="15"/>
  <c r="AB139" i="15"/>
  <c r="BS138" i="19"/>
  <c r="E137" i="17"/>
  <c r="BQ137" i="19"/>
  <c r="AN138" i="15"/>
  <c r="AK138" i="15"/>
  <c r="AE138" i="15"/>
  <c r="AB138" i="15"/>
  <c r="K136" i="17"/>
  <c r="E136" i="17"/>
  <c r="BQ136" i="19"/>
  <c r="AN137" i="15"/>
  <c r="AK137" i="15"/>
  <c r="AE137" i="15"/>
  <c r="AB137" i="15"/>
  <c r="BQ135" i="19"/>
  <c r="AN136" i="15"/>
  <c r="AK136" i="15"/>
  <c r="AE136" i="15"/>
  <c r="AB136" i="15"/>
  <c r="K134" i="17"/>
  <c r="E134" i="17"/>
  <c r="BQ134" i="19"/>
  <c r="AN135" i="15"/>
  <c r="AK135" i="15"/>
  <c r="AE135" i="15"/>
  <c r="AB135" i="15"/>
  <c r="K133" i="17"/>
  <c r="BQ133" i="19"/>
  <c r="AN134" i="15"/>
  <c r="AK134" i="15"/>
  <c r="AE134" i="15"/>
  <c r="AB134" i="15"/>
  <c r="E132" i="17"/>
  <c r="BQ132" i="19"/>
  <c r="AN133" i="15"/>
  <c r="AK133" i="15"/>
  <c r="AE133" i="15"/>
  <c r="AB133" i="15"/>
  <c r="K131" i="17"/>
  <c r="E131" i="17"/>
  <c r="BQ131" i="19"/>
  <c r="AN132" i="15"/>
  <c r="AK132" i="15"/>
  <c r="AE132" i="15"/>
  <c r="AB132" i="15"/>
  <c r="K130" i="17"/>
  <c r="BQ130" i="19"/>
  <c r="AN131" i="15"/>
  <c r="AK131" i="15"/>
  <c r="AE131" i="15"/>
  <c r="AB131" i="15"/>
  <c r="E129" i="17"/>
  <c r="BQ129" i="19"/>
  <c r="AN130" i="15"/>
  <c r="AK130" i="15"/>
  <c r="AE130" i="15"/>
  <c r="AB130" i="15"/>
  <c r="K128" i="17"/>
  <c r="E128" i="17"/>
  <c r="BQ128" i="19"/>
  <c r="AN129" i="15"/>
  <c r="AK129" i="15"/>
  <c r="AE129" i="15"/>
  <c r="AB129" i="15"/>
  <c r="K127" i="17"/>
  <c r="BQ127" i="19"/>
  <c r="AN128" i="15"/>
  <c r="AK128" i="15"/>
  <c r="AE128" i="15"/>
  <c r="AB128" i="15"/>
  <c r="E126" i="17"/>
  <c r="BQ126" i="19"/>
  <c r="AN127" i="15"/>
  <c r="AK127" i="15"/>
  <c r="AE127" i="15"/>
  <c r="AB127" i="15"/>
  <c r="BS126" i="19"/>
  <c r="K125" i="17"/>
  <c r="BQ125" i="19"/>
  <c r="AN126" i="15"/>
  <c r="AK126" i="15"/>
  <c r="AE126" i="15"/>
  <c r="AB126" i="15"/>
  <c r="E124" i="17"/>
  <c r="J126" i="15"/>
  <c r="G126" i="15"/>
  <c r="D126" i="15"/>
  <c r="BQ124" i="19"/>
  <c r="AN125" i="15"/>
  <c r="AK125" i="15"/>
  <c r="AE125" i="15"/>
  <c r="AB125" i="15"/>
  <c r="K123" i="17"/>
  <c r="E123" i="17"/>
  <c r="BQ123" i="19"/>
  <c r="AN124" i="15"/>
  <c r="AK124" i="15"/>
  <c r="AE124" i="15"/>
  <c r="AB124" i="15"/>
  <c r="AN123" i="15"/>
  <c r="AK123" i="15"/>
  <c r="AE123" i="15"/>
  <c r="AB123" i="15"/>
  <c r="AN122" i="15"/>
  <c r="AK122" i="15"/>
  <c r="AE122" i="15"/>
  <c r="AB122" i="15"/>
  <c r="AN121" i="15"/>
  <c r="AK121" i="15"/>
  <c r="AE121" i="15"/>
  <c r="AB121" i="15"/>
  <c r="BR120" i="19"/>
  <c r="AN120" i="15"/>
  <c r="AK120" i="15"/>
  <c r="AE120" i="15"/>
  <c r="AB120" i="15"/>
  <c r="AN119" i="15"/>
  <c r="AK119" i="15"/>
  <c r="AE119" i="15"/>
  <c r="AB119" i="15"/>
  <c r="AN118" i="15"/>
  <c r="AK118" i="15"/>
  <c r="AE118" i="15"/>
  <c r="AB118" i="15"/>
  <c r="AN117" i="15"/>
  <c r="AK117" i="15"/>
  <c r="AE117" i="15"/>
  <c r="AB117" i="15"/>
  <c r="AN116" i="15"/>
  <c r="AK116" i="15"/>
  <c r="AE116" i="15"/>
  <c r="AB116" i="15"/>
  <c r="AN115" i="15"/>
  <c r="AK115" i="15"/>
  <c r="AE115" i="15"/>
  <c r="AB115" i="15"/>
  <c r="AN114" i="15"/>
  <c r="AK114" i="15"/>
  <c r="AE114" i="15"/>
  <c r="AB114" i="15"/>
  <c r="AN113" i="15"/>
  <c r="AK113" i="15"/>
  <c r="AE113" i="15"/>
  <c r="AB113" i="15"/>
  <c r="AN112" i="15"/>
  <c r="AK112" i="15"/>
  <c r="AE112" i="15"/>
  <c r="AB112" i="15"/>
  <c r="AN111" i="15"/>
  <c r="AK111" i="15"/>
  <c r="AE111" i="15"/>
  <c r="AB111" i="15"/>
  <c r="AN110" i="15"/>
  <c r="AK110" i="15"/>
  <c r="AE110" i="15"/>
  <c r="AB110" i="15"/>
  <c r="AN109" i="15"/>
  <c r="AK109" i="15"/>
  <c r="AE109" i="15"/>
  <c r="AB109" i="15"/>
  <c r="AN108" i="15"/>
  <c r="AK108" i="15"/>
  <c r="AE108" i="15"/>
  <c r="AB108" i="15"/>
  <c r="AN107" i="15"/>
  <c r="AK107" i="15"/>
  <c r="AE107" i="15"/>
  <c r="AB107" i="15"/>
  <c r="AN106" i="15"/>
  <c r="AK106" i="15"/>
  <c r="AE106" i="15"/>
  <c r="AB106" i="15"/>
  <c r="AN105" i="15"/>
  <c r="AK105" i="15"/>
  <c r="AE105" i="15"/>
  <c r="AB105" i="15"/>
  <c r="AN104" i="15"/>
  <c r="AK104" i="15"/>
  <c r="AE104" i="15"/>
  <c r="AB104" i="15"/>
  <c r="AN103" i="15"/>
  <c r="AK103" i="15"/>
  <c r="AE103" i="15"/>
  <c r="AB103" i="15"/>
  <c r="AN102" i="15"/>
  <c r="AK102" i="15"/>
  <c r="AE102" i="15"/>
  <c r="AB102" i="15"/>
  <c r="AN101" i="15"/>
  <c r="AK101" i="15"/>
  <c r="AE101" i="15"/>
  <c r="AB101" i="15"/>
  <c r="AN100" i="15"/>
  <c r="AK100" i="15"/>
  <c r="AE100" i="15"/>
  <c r="AB100" i="15"/>
  <c r="AN99" i="15"/>
  <c r="AK99" i="15"/>
  <c r="AE99" i="15"/>
  <c r="AB99" i="15"/>
  <c r="AN98" i="15"/>
  <c r="AK98" i="15"/>
  <c r="AE98" i="15"/>
  <c r="AB98" i="15"/>
  <c r="AN97" i="15"/>
  <c r="AK97" i="15"/>
  <c r="AE97" i="15"/>
  <c r="AB97" i="15"/>
  <c r="AN96" i="15"/>
  <c r="AK96" i="15"/>
  <c r="AE96" i="15"/>
  <c r="AB96" i="15"/>
  <c r="AN95" i="15"/>
  <c r="AK95" i="15"/>
  <c r="AE95" i="15"/>
  <c r="AB95" i="15"/>
  <c r="AN94" i="15"/>
  <c r="AK94" i="15"/>
  <c r="AE94" i="15"/>
  <c r="AB94" i="15"/>
  <c r="AN93" i="15"/>
  <c r="AK93" i="15"/>
  <c r="AE93" i="15"/>
  <c r="AB93" i="15"/>
  <c r="AN92" i="15"/>
  <c r="AK92" i="15"/>
  <c r="AE92" i="15"/>
  <c r="AB92" i="15"/>
  <c r="AN91" i="15"/>
  <c r="AK91" i="15"/>
  <c r="AE91" i="15"/>
  <c r="AB91" i="15"/>
  <c r="AN90" i="15"/>
  <c r="AK90" i="15"/>
  <c r="AE90" i="15"/>
  <c r="AB90" i="15"/>
  <c r="AN89" i="15"/>
  <c r="AK89" i="15"/>
  <c r="AE89" i="15"/>
  <c r="AB89" i="15"/>
  <c r="AN88" i="15"/>
  <c r="AK88" i="15"/>
  <c r="AE88" i="15"/>
  <c r="AB88" i="15"/>
  <c r="AN87" i="15"/>
  <c r="AK87" i="15"/>
  <c r="AE87" i="15"/>
  <c r="AB87" i="15"/>
  <c r="AN86" i="15"/>
  <c r="AK86" i="15"/>
  <c r="AE86" i="15"/>
  <c r="AB86" i="15"/>
  <c r="AN85" i="15"/>
  <c r="AK85" i="15"/>
  <c r="AE85" i="15"/>
  <c r="AB85" i="15"/>
  <c r="AN84" i="15"/>
  <c r="AK84" i="15"/>
  <c r="AE84" i="15"/>
  <c r="AB84" i="15"/>
  <c r="AN83" i="15"/>
  <c r="AK83" i="15"/>
  <c r="AE83" i="15"/>
  <c r="AB83" i="15"/>
  <c r="AN82" i="15"/>
  <c r="AK82" i="15"/>
  <c r="AE82" i="15"/>
  <c r="AB82" i="15"/>
  <c r="AN81" i="15"/>
  <c r="AK81" i="15"/>
  <c r="AE81" i="15"/>
  <c r="AB81" i="15"/>
  <c r="AN80" i="15"/>
  <c r="AK80" i="15"/>
  <c r="AE80" i="15"/>
  <c r="AB80" i="15"/>
  <c r="AN79" i="15"/>
  <c r="AK79" i="15"/>
  <c r="AE79" i="15"/>
  <c r="AB79" i="15"/>
  <c r="AN78" i="15"/>
  <c r="AK78" i="15"/>
  <c r="AE78" i="15"/>
  <c r="AB78" i="15"/>
  <c r="AN76" i="15"/>
  <c r="AN75" i="15"/>
  <c r="AN73" i="15"/>
  <c r="AK73" i="15"/>
  <c r="AE73" i="15"/>
  <c r="AB73" i="15"/>
  <c r="AN70" i="15"/>
  <c r="AN68" i="15"/>
  <c r="AN67" i="15"/>
  <c r="AN66" i="15"/>
  <c r="AN65" i="15"/>
  <c r="AN63" i="15"/>
  <c r="AN61" i="15"/>
  <c r="AN60" i="15"/>
  <c r="AN55" i="15"/>
  <c r="AK55" i="15"/>
  <c r="AE55" i="15"/>
  <c r="AB55" i="15"/>
  <c r="AN49" i="15"/>
  <c r="AN46" i="15"/>
  <c r="AN44" i="15"/>
  <c r="AN43" i="15"/>
  <c r="AN42" i="15"/>
  <c r="AN38" i="15"/>
  <c r="AN33" i="15"/>
  <c r="AN31" i="15"/>
  <c r="AN27" i="15"/>
  <c r="AN26" i="15"/>
  <c r="AM25" i="15"/>
  <c r="AN25" i="15" s="1"/>
  <c r="AM24" i="15"/>
  <c r="AN24" i="15" s="1"/>
  <c r="AN22" i="15"/>
  <c r="AN21" i="15"/>
  <c r="AM16" i="15"/>
  <c r="AN16" i="15" s="1"/>
  <c r="AM15" i="15"/>
  <c r="AN15" i="15" s="1"/>
  <c r="AM14" i="15"/>
  <c r="AN14" i="15" s="1"/>
  <c r="AN13" i="15"/>
  <c r="AM12" i="15"/>
  <c r="AN12" i="15" s="1"/>
  <c r="K8" i="17"/>
  <c r="AM3" i="15"/>
  <c r="AN3" i="15" s="1"/>
  <c r="AJ3" i="15"/>
  <c r="AK3" i="15" s="1"/>
  <c r="AG3" i="15"/>
  <c r="AH3" i="15" s="1"/>
  <c r="AE3" i="15"/>
  <c r="AB3" i="15"/>
  <c r="P3" i="15"/>
  <c r="AW336" i="8"/>
  <c r="BU336" i="8" s="1"/>
  <c r="AV336" i="8"/>
  <c r="BT336" i="8" s="1"/>
  <c r="AU336" i="8"/>
  <c r="BS336" i="8" s="1"/>
  <c r="AT336" i="8"/>
  <c r="BR336" i="8" s="1"/>
  <c r="AS336" i="8"/>
  <c r="BQ336" i="8" s="1"/>
  <c r="AR336" i="8"/>
  <c r="BP336" i="8" s="1"/>
  <c r="AQ336" i="8"/>
  <c r="BO336" i="8" s="1"/>
  <c r="AP336" i="8"/>
  <c r="BN336" i="8" s="1"/>
  <c r="AO336" i="8"/>
  <c r="BM336" i="8" s="1"/>
  <c r="AN336" i="8"/>
  <c r="BL336" i="8" s="1"/>
  <c r="AM336" i="8"/>
  <c r="BK336" i="8" s="1"/>
  <c r="AL336" i="8"/>
  <c r="BJ336" i="8" s="1"/>
  <c r="AK336" i="8"/>
  <c r="BI336" i="8" s="1"/>
  <c r="AJ336" i="8"/>
  <c r="BH336" i="8" s="1"/>
  <c r="AI336" i="8"/>
  <c r="BG336" i="8" s="1"/>
  <c r="AH336" i="8"/>
  <c r="BF336" i="8" s="1"/>
  <c r="AG336" i="8"/>
  <c r="BE336" i="8" s="1"/>
  <c r="AF336" i="8"/>
  <c r="BD336" i="8" s="1"/>
  <c r="AE336" i="8"/>
  <c r="BC336" i="8" s="1"/>
  <c r="AD336" i="8"/>
  <c r="BB336" i="8" s="1"/>
  <c r="AC336" i="8"/>
  <c r="BA336" i="8" s="1"/>
  <c r="AB336" i="8"/>
  <c r="AZ336" i="8" s="1"/>
  <c r="AA336" i="8"/>
  <c r="AY336" i="8" s="1"/>
  <c r="Z336" i="8"/>
  <c r="AX336" i="8" s="1"/>
  <c r="AW335" i="8"/>
  <c r="BU335" i="8" s="1"/>
  <c r="AV335" i="8"/>
  <c r="BT335" i="8" s="1"/>
  <c r="AU335" i="8"/>
  <c r="BS335" i="8" s="1"/>
  <c r="AT335" i="8"/>
  <c r="BR335" i="8" s="1"/>
  <c r="AS335" i="8"/>
  <c r="BQ335" i="8" s="1"/>
  <c r="AR335" i="8"/>
  <c r="BP335" i="8" s="1"/>
  <c r="AQ335" i="8"/>
  <c r="BO335" i="8" s="1"/>
  <c r="AP335" i="8"/>
  <c r="BN335" i="8" s="1"/>
  <c r="AO335" i="8"/>
  <c r="BM335" i="8" s="1"/>
  <c r="AN335" i="8"/>
  <c r="BL335" i="8" s="1"/>
  <c r="AM335" i="8"/>
  <c r="BK335" i="8" s="1"/>
  <c r="AL335" i="8"/>
  <c r="BJ335" i="8" s="1"/>
  <c r="AK335" i="8"/>
  <c r="BI335" i="8" s="1"/>
  <c r="AJ335" i="8"/>
  <c r="BH335" i="8" s="1"/>
  <c r="AI335" i="8"/>
  <c r="BG335" i="8" s="1"/>
  <c r="AH335" i="8"/>
  <c r="BF335" i="8" s="1"/>
  <c r="AG335" i="8"/>
  <c r="BE335" i="8" s="1"/>
  <c r="AF335" i="8"/>
  <c r="BD335" i="8" s="1"/>
  <c r="AE335" i="8"/>
  <c r="BC335" i="8" s="1"/>
  <c r="AD335" i="8"/>
  <c r="BB335" i="8" s="1"/>
  <c r="AC335" i="8"/>
  <c r="BA335" i="8" s="1"/>
  <c r="AB335" i="8"/>
  <c r="AZ335" i="8" s="1"/>
  <c r="AA335" i="8"/>
  <c r="AY335" i="8" s="1"/>
  <c r="Z335" i="8"/>
  <c r="AX335" i="8" s="1"/>
  <c r="AW334" i="8"/>
  <c r="BU334" i="8" s="1"/>
  <c r="AV334" i="8"/>
  <c r="BT334" i="8" s="1"/>
  <c r="AU334" i="8"/>
  <c r="BS334" i="8" s="1"/>
  <c r="AT334" i="8"/>
  <c r="BR334" i="8" s="1"/>
  <c r="AS334" i="8"/>
  <c r="BQ334" i="8" s="1"/>
  <c r="AR334" i="8"/>
  <c r="BP334" i="8" s="1"/>
  <c r="AQ334" i="8"/>
  <c r="BO334" i="8" s="1"/>
  <c r="AP334" i="8"/>
  <c r="BN334" i="8" s="1"/>
  <c r="AO334" i="8"/>
  <c r="BM334" i="8" s="1"/>
  <c r="AN334" i="8"/>
  <c r="BL334" i="8" s="1"/>
  <c r="AM334" i="8"/>
  <c r="BK334" i="8" s="1"/>
  <c r="AL334" i="8"/>
  <c r="BJ334" i="8" s="1"/>
  <c r="AK334" i="8"/>
  <c r="BI334" i="8" s="1"/>
  <c r="AJ334" i="8"/>
  <c r="BH334" i="8" s="1"/>
  <c r="AI334" i="8"/>
  <c r="BG334" i="8" s="1"/>
  <c r="AH334" i="8"/>
  <c r="BF334" i="8" s="1"/>
  <c r="AG334" i="8"/>
  <c r="BE334" i="8" s="1"/>
  <c r="AF334" i="8"/>
  <c r="BD334" i="8" s="1"/>
  <c r="AE334" i="8"/>
  <c r="BC334" i="8" s="1"/>
  <c r="AD334" i="8"/>
  <c r="BB334" i="8" s="1"/>
  <c r="AC334" i="8"/>
  <c r="BA334" i="8" s="1"/>
  <c r="AB334" i="8"/>
  <c r="AZ334" i="8" s="1"/>
  <c r="AA334" i="8"/>
  <c r="AY334" i="8" s="1"/>
  <c r="Z334" i="8"/>
  <c r="AX334" i="8" s="1"/>
  <c r="AW333" i="8"/>
  <c r="BU333" i="8" s="1"/>
  <c r="AV333" i="8"/>
  <c r="BT333" i="8" s="1"/>
  <c r="AU333" i="8"/>
  <c r="BS333" i="8" s="1"/>
  <c r="AT333" i="8"/>
  <c r="BR333" i="8" s="1"/>
  <c r="AS333" i="8"/>
  <c r="BQ333" i="8" s="1"/>
  <c r="AR333" i="8"/>
  <c r="BP333" i="8" s="1"/>
  <c r="AQ333" i="8"/>
  <c r="BO333" i="8" s="1"/>
  <c r="AP333" i="8"/>
  <c r="BN333" i="8" s="1"/>
  <c r="AO333" i="8"/>
  <c r="BM333" i="8" s="1"/>
  <c r="AN333" i="8"/>
  <c r="BL333" i="8" s="1"/>
  <c r="AM333" i="8"/>
  <c r="BK333" i="8" s="1"/>
  <c r="AL333" i="8"/>
  <c r="BJ333" i="8" s="1"/>
  <c r="AK333" i="8"/>
  <c r="BI333" i="8" s="1"/>
  <c r="AJ333" i="8"/>
  <c r="BH333" i="8" s="1"/>
  <c r="AI333" i="8"/>
  <c r="BG333" i="8" s="1"/>
  <c r="AH333" i="8"/>
  <c r="BF333" i="8" s="1"/>
  <c r="AG333" i="8"/>
  <c r="BE333" i="8" s="1"/>
  <c r="AF333" i="8"/>
  <c r="BD333" i="8" s="1"/>
  <c r="AE333" i="8"/>
  <c r="BC333" i="8" s="1"/>
  <c r="AD333" i="8"/>
  <c r="BB333" i="8" s="1"/>
  <c r="AC333" i="8"/>
  <c r="BA333" i="8" s="1"/>
  <c r="AB333" i="8"/>
  <c r="AZ333" i="8" s="1"/>
  <c r="AA333" i="8"/>
  <c r="AY333" i="8" s="1"/>
  <c r="Z333" i="8"/>
  <c r="AX333" i="8" s="1"/>
  <c r="AW332" i="8"/>
  <c r="BU332" i="8" s="1"/>
  <c r="AV332" i="8"/>
  <c r="BT332" i="8" s="1"/>
  <c r="AU332" i="8"/>
  <c r="BS332" i="8" s="1"/>
  <c r="AT332" i="8"/>
  <c r="BR332" i="8" s="1"/>
  <c r="AS332" i="8"/>
  <c r="BQ332" i="8" s="1"/>
  <c r="AR332" i="8"/>
  <c r="BP332" i="8" s="1"/>
  <c r="AQ332" i="8"/>
  <c r="BO332" i="8" s="1"/>
  <c r="AP332" i="8"/>
  <c r="BN332" i="8" s="1"/>
  <c r="AO332" i="8"/>
  <c r="BM332" i="8" s="1"/>
  <c r="AN332" i="8"/>
  <c r="BL332" i="8" s="1"/>
  <c r="AM332" i="8"/>
  <c r="BK332" i="8" s="1"/>
  <c r="AL332" i="8"/>
  <c r="BJ332" i="8" s="1"/>
  <c r="AK332" i="8"/>
  <c r="BI332" i="8" s="1"/>
  <c r="AJ332" i="8"/>
  <c r="BH332" i="8" s="1"/>
  <c r="AI332" i="8"/>
  <c r="BG332" i="8" s="1"/>
  <c r="AH332" i="8"/>
  <c r="BF332" i="8" s="1"/>
  <c r="AG332" i="8"/>
  <c r="BE332" i="8" s="1"/>
  <c r="AF332" i="8"/>
  <c r="BD332" i="8" s="1"/>
  <c r="AE332" i="8"/>
  <c r="BC332" i="8" s="1"/>
  <c r="AD332" i="8"/>
  <c r="BB332" i="8" s="1"/>
  <c r="AC332" i="8"/>
  <c r="BA332" i="8" s="1"/>
  <c r="AB332" i="8"/>
  <c r="AZ332" i="8" s="1"/>
  <c r="AA332" i="8"/>
  <c r="AY332" i="8" s="1"/>
  <c r="Z332" i="8"/>
  <c r="AX332" i="8" s="1"/>
  <c r="AW331" i="8"/>
  <c r="BU331" i="8" s="1"/>
  <c r="AV331" i="8"/>
  <c r="BT331" i="8" s="1"/>
  <c r="AU331" i="8"/>
  <c r="BS331" i="8" s="1"/>
  <c r="AT331" i="8"/>
  <c r="BR331" i="8" s="1"/>
  <c r="AS331" i="8"/>
  <c r="BQ331" i="8" s="1"/>
  <c r="AR331" i="8"/>
  <c r="BP331" i="8" s="1"/>
  <c r="AQ331" i="8"/>
  <c r="BO331" i="8" s="1"/>
  <c r="AP331" i="8"/>
  <c r="BN331" i="8" s="1"/>
  <c r="AO331" i="8"/>
  <c r="BM331" i="8" s="1"/>
  <c r="AN331" i="8"/>
  <c r="BL331" i="8" s="1"/>
  <c r="AM331" i="8"/>
  <c r="BK331" i="8" s="1"/>
  <c r="AL331" i="8"/>
  <c r="BJ331" i="8" s="1"/>
  <c r="AK331" i="8"/>
  <c r="BI331" i="8" s="1"/>
  <c r="AJ331" i="8"/>
  <c r="BH331" i="8" s="1"/>
  <c r="AI331" i="8"/>
  <c r="BG331" i="8" s="1"/>
  <c r="AH331" i="8"/>
  <c r="BF331" i="8" s="1"/>
  <c r="AG331" i="8"/>
  <c r="BE331" i="8" s="1"/>
  <c r="AF331" i="8"/>
  <c r="BD331" i="8" s="1"/>
  <c r="AE331" i="8"/>
  <c r="BC331" i="8" s="1"/>
  <c r="AD331" i="8"/>
  <c r="BB331" i="8" s="1"/>
  <c r="AC331" i="8"/>
  <c r="BA331" i="8" s="1"/>
  <c r="AB331" i="8"/>
  <c r="AZ331" i="8" s="1"/>
  <c r="AA331" i="8"/>
  <c r="AY331" i="8" s="1"/>
  <c r="Z331" i="8"/>
  <c r="AX331" i="8" s="1"/>
  <c r="AW330" i="8"/>
  <c r="BU330" i="8" s="1"/>
  <c r="AV330" i="8"/>
  <c r="BT330" i="8" s="1"/>
  <c r="AU330" i="8"/>
  <c r="BS330" i="8" s="1"/>
  <c r="AT330" i="8"/>
  <c r="BR330" i="8" s="1"/>
  <c r="AS330" i="8"/>
  <c r="BQ330" i="8" s="1"/>
  <c r="AR330" i="8"/>
  <c r="BP330" i="8" s="1"/>
  <c r="AQ330" i="8"/>
  <c r="BO330" i="8" s="1"/>
  <c r="AP330" i="8"/>
  <c r="BN330" i="8" s="1"/>
  <c r="AO330" i="8"/>
  <c r="BM330" i="8" s="1"/>
  <c r="AN330" i="8"/>
  <c r="BL330" i="8" s="1"/>
  <c r="AM330" i="8"/>
  <c r="BK330" i="8" s="1"/>
  <c r="AL330" i="8"/>
  <c r="BJ330" i="8" s="1"/>
  <c r="AK330" i="8"/>
  <c r="BI330" i="8" s="1"/>
  <c r="AJ330" i="8"/>
  <c r="BH330" i="8" s="1"/>
  <c r="AI330" i="8"/>
  <c r="BG330" i="8" s="1"/>
  <c r="AH330" i="8"/>
  <c r="BF330" i="8" s="1"/>
  <c r="AG330" i="8"/>
  <c r="BE330" i="8" s="1"/>
  <c r="AF330" i="8"/>
  <c r="BD330" i="8" s="1"/>
  <c r="AE330" i="8"/>
  <c r="BC330" i="8" s="1"/>
  <c r="AD330" i="8"/>
  <c r="BB330" i="8" s="1"/>
  <c r="AC330" i="8"/>
  <c r="BA330" i="8" s="1"/>
  <c r="AB330" i="8"/>
  <c r="AZ330" i="8" s="1"/>
  <c r="AA330" i="8"/>
  <c r="AY330" i="8" s="1"/>
  <c r="Z330" i="8"/>
  <c r="AX330" i="8" s="1"/>
  <c r="AW329" i="8"/>
  <c r="BU329" i="8" s="1"/>
  <c r="AV329" i="8"/>
  <c r="BT329" i="8" s="1"/>
  <c r="AU329" i="8"/>
  <c r="BS329" i="8" s="1"/>
  <c r="AT329" i="8"/>
  <c r="BR329" i="8" s="1"/>
  <c r="AS329" i="8"/>
  <c r="BQ329" i="8" s="1"/>
  <c r="AR329" i="8"/>
  <c r="BP329" i="8" s="1"/>
  <c r="AQ329" i="8"/>
  <c r="BO329" i="8" s="1"/>
  <c r="AP329" i="8"/>
  <c r="BN329" i="8" s="1"/>
  <c r="AO329" i="8"/>
  <c r="BM329" i="8" s="1"/>
  <c r="AN329" i="8"/>
  <c r="BL329" i="8" s="1"/>
  <c r="AM329" i="8"/>
  <c r="BK329" i="8" s="1"/>
  <c r="AL329" i="8"/>
  <c r="BJ329" i="8" s="1"/>
  <c r="AK329" i="8"/>
  <c r="BI329" i="8" s="1"/>
  <c r="AJ329" i="8"/>
  <c r="BH329" i="8" s="1"/>
  <c r="AI329" i="8"/>
  <c r="BG329" i="8" s="1"/>
  <c r="AH329" i="8"/>
  <c r="BF329" i="8" s="1"/>
  <c r="AG329" i="8"/>
  <c r="BE329" i="8" s="1"/>
  <c r="AF329" i="8"/>
  <c r="BD329" i="8" s="1"/>
  <c r="AE329" i="8"/>
  <c r="BC329" i="8" s="1"/>
  <c r="AD329" i="8"/>
  <c r="BB329" i="8" s="1"/>
  <c r="AC329" i="8"/>
  <c r="BA329" i="8" s="1"/>
  <c r="AB329" i="8"/>
  <c r="AZ329" i="8" s="1"/>
  <c r="AA329" i="8"/>
  <c r="AY329" i="8" s="1"/>
  <c r="Z329" i="8"/>
  <c r="AX329" i="8" s="1"/>
  <c r="AW328" i="8"/>
  <c r="BU328" i="8" s="1"/>
  <c r="AV328" i="8"/>
  <c r="BT328" i="8" s="1"/>
  <c r="AU328" i="8"/>
  <c r="BS328" i="8" s="1"/>
  <c r="AT328" i="8"/>
  <c r="BR328" i="8" s="1"/>
  <c r="AS328" i="8"/>
  <c r="BQ328" i="8" s="1"/>
  <c r="AR328" i="8"/>
  <c r="BP328" i="8" s="1"/>
  <c r="AQ328" i="8"/>
  <c r="BO328" i="8" s="1"/>
  <c r="AP328" i="8"/>
  <c r="BN328" i="8" s="1"/>
  <c r="AO328" i="8"/>
  <c r="BM328" i="8" s="1"/>
  <c r="AN328" i="8"/>
  <c r="BL328" i="8" s="1"/>
  <c r="AM328" i="8"/>
  <c r="BK328" i="8" s="1"/>
  <c r="AL328" i="8"/>
  <c r="BJ328" i="8" s="1"/>
  <c r="AK328" i="8"/>
  <c r="BI328" i="8" s="1"/>
  <c r="AJ328" i="8"/>
  <c r="BH328" i="8" s="1"/>
  <c r="AI328" i="8"/>
  <c r="BG328" i="8" s="1"/>
  <c r="AH328" i="8"/>
  <c r="BF328" i="8" s="1"/>
  <c r="AG328" i="8"/>
  <c r="BE328" i="8" s="1"/>
  <c r="AF328" i="8"/>
  <c r="BD328" i="8" s="1"/>
  <c r="AE328" i="8"/>
  <c r="BC328" i="8" s="1"/>
  <c r="AD328" i="8"/>
  <c r="BB328" i="8" s="1"/>
  <c r="AC328" i="8"/>
  <c r="BA328" i="8" s="1"/>
  <c r="AB328" i="8"/>
  <c r="AZ328" i="8" s="1"/>
  <c r="AA328" i="8"/>
  <c r="AY328" i="8" s="1"/>
  <c r="Z328" i="8"/>
  <c r="AX328" i="8" s="1"/>
  <c r="AW327" i="8"/>
  <c r="BU327" i="8" s="1"/>
  <c r="AV327" i="8"/>
  <c r="BT327" i="8" s="1"/>
  <c r="AU327" i="8"/>
  <c r="BS327" i="8" s="1"/>
  <c r="AT327" i="8"/>
  <c r="BR327" i="8" s="1"/>
  <c r="AS327" i="8"/>
  <c r="BQ327" i="8" s="1"/>
  <c r="AR327" i="8"/>
  <c r="BP327" i="8" s="1"/>
  <c r="AQ327" i="8"/>
  <c r="BO327" i="8" s="1"/>
  <c r="AP327" i="8"/>
  <c r="BN327" i="8" s="1"/>
  <c r="AO327" i="8"/>
  <c r="BM327" i="8" s="1"/>
  <c r="AN327" i="8"/>
  <c r="BL327" i="8" s="1"/>
  <c r="AM327" i="8"/>
  <c r="BK327" i="8" s="1"/>
  <c r="AL327" i="8"/>
  <c r="BJ327" i="8" s="1"/>
  <c r="AK327" i="8"/>
  <c r="BI327" i="8" s="1"/>
  <c r="AJ327" i="8"/>
  <c r="BH327" i="8" s="1"/>
  <c r="AI327" i="8"/>
  <c r="BG327" i="8" s="1"/>
  <c r="AH327" i="8"/>
  <c r="BF327" i="8" s="1"/>
  <c r="AG327" i="8"/>
  <c r="BE327" i="8" s="1"/>
  <c r="AF327" i="8"/>
  <c r="BD327" i="8" s="1"/>
  <c r="AE327" i="8"/>
  <c r="BC327" i="8" s="1"/>
  <c r="AD327" i="8"/>
  <c r="BB327" i="8" s="1"/>
  <c r="AC327" i="8"/>
  <c r="BA327" i="8" s="1"/>
  <c r="AB327" i="8"/>
  <c r="AZ327" i="8" s="1"/>
  <c r="AA327" i="8"/>
  <c r="AY327" i="8" s="1"/>
  <c r="Z327" i="8"/>
  <c r="AX327" i="8" s="1"/>
  <c r="AW326" i="8"/>
  <c r="BU326" i="8" s="1"/>
  <c r="AV326" i="8"/>
  <c r="BT326" i="8" s="1"/>
  <c r="AU326" i="8"/>
  <c r="BS326" i="8" s="1"/>
  <c r="AT326" i="8"/>
  <c r="BR326" i="8" s="1"/>
  <c r="AS326" i="8"/>
  <c r="BQ326" i="8" s="1"/>
  <c r="AR326" i="8"/>
  <c r="BP326" i="8" s="1"/>
  <c r="AQ326" i="8"/>
  <c r="BO326" i="8" s="1"/>
  <c r="AP326" i="8"/>
  <c r="BN326" i="8" s="1"/>
  <c r="AO326" i="8"/>
  <c r="BM326" i="8" s="1"/>
  <c r="AN326" i="8"/>
  <c r="BL326" i="8" s="1"/>
  <c r="AM326" i="8"/>
  <c r="BK326" i="8" s="1"/>
  <c r="AL326" i="8"/>
  <c r="BJ326" i="8" s="1"/>
  <c r="AK326" i="8"/>
  <c r="BI326" i="8" s="1"/>
  <c r="AJ326" i="8"/>
  <c r="BH326" i="8" s="1"/>
  <c r="AI326" i="8"/>
  <c r="BG326" i="8" s="1"/>
  <c r="AH326" i="8"/>
  <c r="BF326" i="8" s="1"/>
  <c r="AG326" i="8"/>
  <c r="BE326" i="8" s="1"/>
  <c r="AF326" i="8"/>
  <c r="BD326" i="8" s="1"/>
  <c r="AE326" i="8"/>
  <c r="BC326" i="8" s="1"/>
  <c r="AD326" i="8"/>
  <c r="BB326" i="8" s="1"/>
  <c r="AC326" i="8"/>
  <c r="BA326" i="8" s="1"/>
  <c r="AB326" i="8"/>
  <c r="AZ326" i="8" s="1"/>
  <c r="AA326" i="8"/>
  <c r="AY326" i="8" s="1"/>
  <c r="Z326" i="8"/>
  <c r="AX326" i="8" s="1"/>
  <c r="AW325" i="8"/>
  <c r="BU325" i="8" s="1"/>
  <c r="AV325" i="8"/>
  <c r="BT325" i="8" s="1"/>
  <c r="AU325" i="8"/>
  <c r="BS325" i="8" s="1"/>
  <c r="AT325" i="8"/>
  <c r="BR325" i="8" s="1"/>
  <c r="AS325" i="8"/>
  <c r="BQ325" i="8" s="1"/>
  <c r="AR325" i="8"/>
  <c r="BP325" i="8" s="1"/>
  <c r="AQ325" i="8"/>
  <c r="BO325" i="8" s="1"/>
  <c r="AP325" i="8"/>
  <c r="BN325" i="8" s="1"/>
  <c r="AO325" i="8"/>
  <c r="BM325" i="8" s="1"/>
  <c r="AN325" i="8"/>
  <c r="BL325" i="8" s="1"/>
  <c r="AM325" i="8"/>
  <c r="BK325" i="8" s="1"/>
  <c r="AL325" i="8"/>
  <c r="BJ325" i="8" s="1"/>
  <c r="AK325" i="8"/>
  <c r="BI325" i="8" s="1"/>
  <c r="AJ325" i="8"/>
  <c r="BH325" i="8" s="1"/>
  <c r="AI325" i="8"/>
  <c r="BG325" i="8" s="1"/>
  <c r="AH325" i="8"/>
  <c r="BF325" i="8" s="1"/>
  <c r="AG325" i="8"/>
  <c r="BE325" i="8" s="1"/>
  <c r="AF325" i="8"/>
  <c r="BD325" i="8" s="1"/>
  <c r="AE325" i="8"/>
  <c r="BC325" i="8" s="1"/>
  <c r="AD325" i="8"/>
  <c r="BB325" i="8" s="1"/>
  <c r="AC325" i="8"/>
  <c r="BA325" i="8" s="1"/>
  <c r="AB325" i="8"/>
  <c r="AZ325" i="8" s="1"/>
  <c r="AA325" i="8"/>
  <c r="AY325" i="8" s="1"/>
  <c r="Z325" i="8"/>
  <c r="AX325" i="8" s="1"/>
  <c r="AW324" i="8"/>
  <c r="BU324" i="8" s="1"/>
  <c r="AV324" i="8"/>
  <c r="BT324" i="8" s="1"/>
  <c r="AU324" i="8"/>
  <c r="BS324" i="8" s="1"/>
  <c r="AT324" i="8"/>
  <c r="BR324" i="8" s="1"/>
  <c r="AS324" i="8"/>
  <c r="BQ324" i="8" s="1"/>
  <c r="AR324" i="8"/>
  <c r="BP324" i="8" s="1"/>
  <c r="AQ324" i="8"/>
  <c r="BO324" i="8" s="1"/>
  <c r="AP324" i="8"/>
  <c r="BN324" i="8" s="1"/>
  <c r="AO324" i="8"/>
  <c r="BM324" i="8" s="1"/>
  <c r="AN324" i="8"/>
  <c r="BL324" i="8" s="1"/>
  <c r="AM324" i="8"/>
  <c r="BK324" i="8" s="1"/>
  <c r="AL324" i="8"/>
  <c r="BJ324" i="8" s="1"/>
  <c r="AK324" i="8"/>
  <c r="BI324" i="8" s="1"/>
  <c r="AJ324" i="8"/>
  <c r="BH324" i="8" s="1"/>
  <c r="AI324" i="8"/>
  <c r="BG324" i="8" s="1"/>
  <c r="AH324" i="8"/>
  <c r="BF324" i="8" s="1"/>
  <c r="AG324" i="8"/>
  <c r="BE324" i="8" s="1"/>
  <c r="AF324" i="8"/>
  <c r="BD324" i="8" s="1"/>
  <c r="AE324" i="8"/>
  <c r="BC324" i="8" s="1"/>
  <c r="AD324" i="8"/>
  <c r="BB324" i="8" s="1"/>
  <c r="AC324" i="8"/>
  <c r="BA324" i="8" s="1"/>
  <c r="AB324" i="8"/>
  <c r="AZ324" i="8" s="1"/>
  <c r="AA324" i="8"/>
  <c r="AY324" i="8" s="1"/>
  <c r="Z324" i="8"/>
  <c r="AX324" i="8" s="1"/>
  <c r="AW323" i="8"/>
  <c r="BU323" i="8" s="1"/>
  <c r="AV323" i="8"/>
  <c r="BT323" i="8" s="1"/>
  <c r="AU323" i="8"/>
  <c r="BS323" i="8" s="1"/>
  <c r="AT323" i="8"/>
  <c r="BR323" i="8" s="1"/>
  <c r="AS323" i="8"/>
  <c r="BQ323" i="8" s="1"/>
  <c r="AR323" i="8"/>
  <c r="BP323" i="8" s="1"/>
  <c r="AQ323" i="8"/>
  <c r="BO323" i="8" s="1"/>
  <c r="AP323" i="8"/>
  <c r="BN323" i="8" s="1"/>
  <c r="AO323" i="8"/>
  <c r="BM323" i="8" s="1"/>
  <c r="AN323" i="8"/>
  <c r="BL323" i="8" s="1"/>
  <c r="AM323" i="8"/>
  <c r="BK323" i="8" s="1"/>
  <c r="AL323" i="8"/>
  <c r="BJ323" i="8" s="1"/>
  <c r="AK323" i="8"/>
  <c r="BI323" i="8" s="1"/>
  <c r="AJ323" i="8"/>
  <c r="BH323" i="8" s="1"/>
  <c r="AI323" i="8"/>
  <c r="BG323" i="8" s="1"/>
  <c r="AH323" i="8"/>
  <c r="BF323" i="8" s="1"/>
  <c r="AG323" i="8"/>
  <c r="BE323" i="8" s="1"/>
  <c r="AF323" i="8"/>
  <c r="BD323" i="8" s="1"/>
  <c r="AE323" i="8"/>
  <c r="BC323" i="8" s="1"/>
  <c r="AD323" i="8"/>
  <c r="BB323" i="8" s="1"/>
  <c r="AC323" i="8"/>
  <c r="BA323" i="8" s="1"/>
  <c r="AB323" i="8"/>
  <c r="AZ323" i="8" s="1"/>
  <c r="AA323" i="8"/>
  <c r="AY323" i="8" s="1"/>
  <c r="Z323" i="8"/>
  <c r="AX323" i="8" s="1"/>
  <c r="AW322" i="8"/>
  <c r="BU322" i="8" s="1"/>
  <c r="AV322" i="8"/>
  <c r="BT322" i="8" s="1"/>
  <c r="AU322" i="8"/>
  <c r="BS322" i="8" s="1"/>
  <c r="AT322" i="8"/>
  <c r="BR322" i="8" s="1"/>
  <c r="AS322" i="8"/>
  <c r="BQ322" i="8" s="1"/>
  <c r="AR322" i="8"/>
  <c r="BP322" i="8" s="1"/>
  <c r="AQ322" i="8"/>
  <c r="BO322" i="8" s="1"/>
  <c r="AP322" i="8"/>
  <c r="BN322" i="8" s="1"/>
  <c r="AO322" i="8"/>
  <c r="BM322" i="8" s="1"/>
  <c r="AN322" i="8"/>
  <c r="BL322" i="8" s="1"/>
  <c r="AM322" i="8"/>
  <c r="BK322" i="8" s="1"/>
  <c r="AL322" i="8"/>
  <c r="BJ322" i="8" s="1"/>
  <c r="AK322" i="8"/>
  <c r="BI322" i="8" s="1"/>
  <c r="AJ322" i="8"/>
  <c r="BH322" i="8" s="1"/>
  <c r="AI322" i="8"/>
  <c r="BG322" i="8" s="1"/>
  <c r="AH322" i="8"/>
  <c r="BF322" i="8" s="1"/>
  <c r="AG322" i="8"/>
  <c r="BE322" i="8" s="1"/>
  <c r="AF322" i="8"/>
  <c r="BD322" i="8" s="1"/>
  <c r="AE322" i="8"/>
  <c r="BC322" i="8" s="1"/>
  <c r="AD322" i="8"/>
  <c r="BB322" i="8" s="1"/>
  <c r="AC322" i="8"/>
  <c r="BA322" i="8" s="1"/>
  <c r="AB322" i="8"/>
  <c r="AZ322" i="8" s="1"/>
  <c r="AA322" i="8"/>
  <c r="AY322" i="8" s="1"/>
  <c r="Z322" i="8"/>
  <c r="AX322" i="8" s="1"/>
  <c r="AW321" i="8"/>
  <c r="BU321" i="8" s="1"/>
  <c r="AV321" i="8"/>
  <c r="BT321" i="8" s="1"/>
  <c r="AU321" i="8"/>
  <c r="BS321" i="8" s="1"/>
  <c r="AT321" i="8"/>
  <c r="BR321" i="8" s="1"/>
  <c r="AS321" i="8"/>
  <c r="BQ321" i="8" s="1"/>
  <c r="AR321" i="8"/>
  <c r="BP321" i="8" s="1"/>
  <c r="AQ321" i="8"/>
  <c r="BO321" i="8" s="1"/>
  <c r="AP321" i="8"/>
  <c r="BN321" i="8" s="1"/>
  <c r="AO321" i="8"/>
  <c r="BM321" i="8" s="1"/>
  <c r="AN321" i="8"/>
  <c r="BL321" i="8" s="1"/>
  <c r="AM321" i="8"/>
  <c r="BK321" i="8" s="1"/>
  <c r="AL321" i="8"/>
  <c r="BJ321" i="8" s="1"/>
  <c r="AK321" i="8"/>
  <c r="BI321" i="8" s="1"/>
  <c r="AJ321" i="8"/>
  <c r="BH321" i="8" s="1"/>
  <c r="AI321" i="8"/>
  <c r="BG321" i="8" s="1"/>
  <c r="AH321" i="8"/>
  <c r="BF321" i="8" s="1"/>
  <c r="AG321" i="8"/>
  <c r="BE321" i="8" s="1"/>
  <c r="AF321" i="8"/>
  <c r="BD321" i="8" s="1"/>
  <c r="AE321" i="8"/>
  <c r="BC321" i="8" s="1"/>
  <c r="AD321" i="8"/>
  <c r="BB321" i="8" s="1"/>
  <c r="AC321" i="8"/>
  <c r="BA321" i="8" s="1"/>
  <c r="AB321" i="8"/>
  <c r="AZ321" i="8" s="1"/>
  <c r="AA321" i="8"/>
  <c r="AY321" i="8" s="1"/>
  <c r="Z321" i="8"/>
  <c r="AX321" i="8" s="1"/>
  <c r="AW320" i="8"/>
  <c r="BU320" i="8" s="1"/>
  <c r="AV320" i="8"/>
  <c r="BT320" i="8" s="1"/>
  <c r="AU320" i="8"/>
  <c r="BS320" i="8" s="1"/>
  <c r="AT320" i="8"/>
  <c r="BR320" i="8" s="1"/>
  <c r="AS320" i="8"/>
  <c r="BQ320" i="8" s="1"/>
  <c r="AR320" i="8"/>
  <c r="BP320" i="8" s="1"/>
  <c r="AQ320" i="8"/>
  <c r="BO320" i="8" s="1"/>
  <c r="AP320" i="8"/>
  <c r="BN320" i="8" s="1"/>
  <c r="AO320" i="8"/>
  <c r="BM320" i="8" s="1"/>
  <c r="AN320" i="8"/>
  <c r="BL320" i="8" s="1"/>
  <c r="AM320" i="8"/>
  <c r="BK320" i="8" s="1"/>
  <c r="AL320" i="8"/>
  <c r="BJ320" i="8" s="1"/>
  <c r="AK320" i="8"/>
  <c r="BI320" i="8" s="1"/>
  <c r="AJ320" i="8"/>
  <c r="BH320" i="8" s="1"/>
  <c r="AI320" i="8"/>
  <c r="BG320" i="8" s="1"/>
  <c r="AH320" i="8"/>
  <c r="BF320" i="8" s="1"/>
  <c r="AG320" i="8"/>
  <c r="BE320" i="8" s="1"/>
  <c r="AF320" i="8"/>
  <c r="BD320" i="8" s="1"/>
  <c r="AE320" i="8"/>
  <c r="BC320" i="8" s="1"/>
  <c r="AD320" i="8"/>
  <c r="BB320" i="8" s="1"/>
  <c r="AC320" i="8"/>
  <c r="BA320" i="8" s="1"/>
  <c r="AB320" i="8"/>
  <c r="AZ320" i="8" s="1"/>
  <c r="AA320" i="8"/>
  <c r="AY320" i="8" s="1"/>
  <c r="Z320" i="8"/>
  <c r="AX320" i="8" s="1"/>
  <c r="AW319" i="8"/>
  <c r="BU319" i="8" s="1"/>
  <c r="AV319" i="8"/>
  <c r="BT319" i="8" s="1"/>
  <c r="AU319" i="8"/>
  <c r="BS319" i="8" s="1"/>
  <c r="AT319" i="8"/>
  <c r="BR319" i="8" s="1"/>
  <c r="AS319" i="8"/>
  <c r="BQ319" i="8" s="1"/>
  <c r="AR319" i="8"/>
  <c r="BP319" i="8" s="1"/>
  <c r="AQ319" i="8"/>
  <c r="BO319" i="8" s="1"/>
  <c r="AP319" i="8"/>
  <c r="BN319" i="8" s="1"/>
  <c r="AO319" i="8"/>
  <c r="BM319" i="8" s="1"/>
  <c r="AN319" i="8"/>
  <c r="BL319" i="8" s="1"/>
  <c r="AM319" i="8"/>
  <c r="BK319" i="8" s="1"/>
  <c r="AL319" i="8"/>
  <c r="BJ319" i="8" s="1"/>
  <c r="AK319" i="8"/>
  <c r="BI319" i="8" s="1"/>
  <c r="AJ319" i="8"/>
  <c r="BH319" i="8" s="1"/>
  <c r="AI319" i="8"/>
  <c r="BG319" i="8" s="1"/>
  <c r="AH319" i="8"/>
  <c r="BF319" i="8" s="1"/>
  <c r="AG319" i="8"/>
  <c r="BE319" i="8" s="1"/>
  <c r="AF319" i="8"/>
  <c r="BD319" i="8" s="1"/>
  <c r="AE319" i="8"/>
  <c r="BC319" i="8" s="1"/>
  <c r="AD319" i="8"/>
  <c r="BB319" i="8" s="1"/>
  <c r="AC319" i="8"/>
  <c r="BA319" i="8" s="1"/>
  <c r="AB319" i="8"/>
  <c r="AZ319" i="8" s="1"/>
  <c r="AA319" i="8"/>
  <c r="AY319" i="8" s="1"/>
  <c r="Z319" i="8"/>
  <c r="AX319" i="8" s="1"/>
  <c r="AW318" i="8"/>
  <c r="BU318" i="8" s="1"/>
  <c r="AV318" i="8"/>
  <c r="BT318" i="8" s="1"/>
  <c r="AU318" i="8"/>
  <c r="BS318" i="8" s="1"/>
  <c r="AT318" i="8"/>
  <c r="BR318" i="8" s="1"/>
  <c r="AS318" i="8"/>
  <c r="BQ318" i="8" s="1"/>
  <c r="AR318" i="8"/>
  <c r="BP318" i="8" s="1"/>
  <c r="AQ318" i="8"/>
  <c r="BO318" i="8" s="1"/>
  <c r="AP318" i="8"/>
  <c r="BN318" i="8" s="1"/>
  <c r="AO318" i="8"/>
  <c r="BM318" i="8" s="1"/>
  <c r="AN318" i="8"/>
  <c r="BL318" i="8" s="1"/>
  <c r="AM318" i="8"/>
  <c r="BK318" i="8" s="1"/>
  <c r="AL318" i="8"/>
  <c r="BJ318" i="8" s="1"/>
  <c r="AK318" i="8"/>
  <c r="BI318" i="8" s="1"/>
  <c r="AJ318" i="8"/>
  <c r="BH318" i="8" s="1"/>
  <c r="AI318" i="8"/>
  <c r="BG318" i="8" s="1"/>
  <c r="AH318" i="8"/>
  <c r="BF318" i="8" s="1"/>
  <c r="AG318" i="8"/>
  <c r="BE318" i="8" s="1"/>
  <c r="AF318" i="8"/>
  <c r="BD318" i="8" s="1"/>
  <c r="AE318" i="8"/>
  <c r="BC318" i="8" s="1"/>
  <c r="AD318" i="8"/>
  <c r="BB318" i="8" s="1"/>
  <c r="AC318" i="8"/>
  <c r="BA318" i="8" s="1"/>
  <c r="AB318" i="8"/>
  <c r="AZ318" i="8" s="1"/>
  <c r="AA318" i="8"/>
  <c r="AY318" i="8" s="1"/>
  <c r="Z318" i="8"/>
  <c r="AX318" i="8" s="1"/>
  <c r="AW317" i="8"/>
  <c r="BU317" i="8" s="1"/>
  <c r="AV317" i="8"/>
  <c r="BT317" i="8" s="1"/>
  <c r="AU317" i="8"/>
  <c r="BS317" i="8" s="1"/>
  <c r="AT317" i="8"/>
  <c r="BR317" i="8" s="1"/>
  <c r="AS317" i="8"/>
  <c r="BQ317" i="8" s="1"/>
  <c r="AR317" i="8"/>
  <c r="BP317" i="8" s="1"/>
  <c r="AQ317" i="8"/>
  <c r="BO317" i="8" s="1"/>
  <c r="AP317" i="8"/>
  <c r="BN317" i="8" s="1"/>
  <c r="AO317" i="8"/>
  <c r="BM317" i="8" s="1"/>
  <c r="AN317" i="8"/>
  <c r="BL317" i="8" s="1"/>
  <c r="AM317" i="8"/>
  <c r="BK317" i="8" s="1"/>
  <c r="AL317" i="8"/>
  <c r="BJ317" i="8" s="1"/>
  <c r="AK317" i="8"/>
  <c r="BI317" i="8" s="1"/>
  <c r="AJ317" i="8"/>
  <c r="BH317" i="8" s="1"/>
  <c r="AI317" i="8"/>
  <c r="BG317" i="8" s="1"/>
  <c r="AH317" i="8"/>
  <c r="BF317" i="8" s="1"/>
  <c r="AG317" i="8"/>
  <c r="BE317" i="8" s="1"/>
  <c r="AF317" i="8"/>
  <c r="BD317" i="8" s="1"/>
  <c r="AE317" i="8"/>
  <c r="BC317" i="8" s="1"/>
  <c r="AD317" i="8"/>
  <c r="BB317" i="8" s="1"/>
  <c r="AC317" i="8"/>
  <c r="BA317" i="8" s="1"/>
  <c r="AB317" i="8"/>
  <c r="AZ317" i="8" s="1"/>
  <c r="AA317" i="8"/>
  <c r="AY317" i="8" s="1"/>
  <c r="Z317" i="8"/>
  <c r="AX317" i="8" s="1"/>
  <c r="AW316" i="8"/>
  <c r="BU316" i="8" s="1"/>
  <c r="AV316" i="8"/>
  <c r="BT316" i="8" s="1"/>
  <c r="AU316" i="8"/>
  <c r="BS316" i="8" s="1"/>
  <c r="AT316" i="8"/>
  <c r="BR316" i="8" s="1"/>
  <c r="AS316" i="8"/>
  <c r="BQ316" i="8" s="1"/>
  <c r="AR316" i="8"/>
  <c r="BP316" i="8" s="1"/>
  <c r="AQ316" i="8"/>
  <c r="BO316" i="8" s="1"/>
  <c r="AP316" i="8"/>
  <c r="BN316" i="8" s="1"/>
  <c r="AO316" i="8"/>
  <c r="BM316" i="8" s="1"/>
  <c r="AN316" i="8"/>
  <c r="BL316" i="8" s="1"/>
  <c r="AM316" i="8"/>
  <c r="BK316" i="8" s="1"/>
  <c r="AL316" i="8"/>
  <c r="BJ316" i="8" s="1"/>
  <c r="AK316" i="8"/>
  <c r="BI316" i="8" s="1"/>
  <c r="AJ316" i="8"/>
  <c r="BH316" i="8" s="1"/>
  <c r="AI316" i="8"/>
  <c r="BG316" i="8" s="1"/>
  <c r="AH316" i="8"/>
  <c r="BF316" i="8" s="1"/>
  <c r="AG316" i="8"/>
  <c r="BE316" i="8" s="1"/>
  <c r="AF316" i="8"/>
  <c r="BD316" i="8" s="1"/>
  <c r="AE316" i="8"/>
  <c r="BC316" i="8" s="1"/>
  <c r="AD316" i="8"/>
  <c r="BB316" i="8" s="1"/>
  <c r="AC316" i="8"/>
  <c r="BA316" i="8" s="1"/>
  <c r="AB316" i="8"/>
  <c r="AZ316" i="8" s="1"/>
  <c r="AA316" i="8"/>
  <c r="AY316" i="8" s="1"/>
  <c r="Z316" i="8"/>
  <c r="AX316" i="8" s="1"/>
  <c r="AW315" i="8"/>
  <c r="BU315" i="8" s="1"/>
  <c r="AV315" i="8"/>
  <c r="BT315" i="8" s="1"/>
  <c r="AU315" i="8"/>
  <c r="BS315" i="8" s="1"/>
  <c r="AT315" i="8"/>
  <c r="BR315" i="8" s="1"/>
  <c r="AS315" i="8"/>
  <c r="BQ315" i="8" s="1"/>
  <c r="AR315" i="8"/>
  <c r="BP315" i="8" s="1"/>
  <c r="AQ315" i="8"/>
  <c r="BO315" i="8" s="1"/>
  <c r="AP315" i="8"/>
  <c r="BN315" i="8" s="1"/>
  <c r="AO315" i="8"/>
  <c r="BM315" i="8" s="1"/>
  <c r="AN315" i="8"/>
  <c r="BL315" i="8" s="1"/>
  <c r="AM315" i="8"/>
  <c r="BK315" i="8" s="1"/>
  <c r="AL315" i="8"/>
  <c r="BJ315" i="8" s="1"/>
  <c r="AK315" i="8"/>
  <c r="BI315" i="8" s="1"/>
  <c r="AJ315" i="8"/>
  <c r="BH315" i="8" s="1"/>
  <c r="AI315" i="8"/>
  <c r="BG315" i="8" s="1"/>
  <c r="AH315" i="8"/>
  <c r="BF315" i="8" s="1"/>
  <c r="AG315" i="8"/>
  <c r="BE315" i="8" s="1"/>
  <c r="AF315" i="8"/>
  <c r="BD315" i="8" s="1"/>
  <c r="AE315" i="8"/>
  <c r="BC315" i="8" s="1"/>
  <c r="AD315" i="8"/>
  <c r="BB315" i="8" s="1"/>
  <c r="AC315" i="8"/>
  <c r="BA315" i="8" s="1"/>
  <c r="AB315" i="8"/>
  <c r="AZ315" i="8" s="1"/>
  <c r="AA315" i="8"/>
  <c r="AY315" i="8" s="1"/>
  <c r="Z315" i="8"/>
  <c r="AX315" i="8" s="1"/>
  <c r="AW314" i="8"/>
  <c r="BU314" i="8" s="1"/>
  <c r="AV314" i="8"/>
  <c r="BT314" i="8" s="1"/>
  <c r="AU314" i="8"/>
  <c r="BS314" i="8" s="1"/>
  <c r="AT314" i="8"/>
  <c r="BR314" i="8" s="1"/>
  <c r="AS314" i="8"/>
  <c r="BQ314" i="8" s="1"/>
  <c r="AR314" i="8"/>
  <c r="BP314" i="8" s="1"/>
  <c r="AQ314" i="8"/>
  <c r="BO314" i="8" s="1"/>
  <c r="AP314" i="8"/>
  <c r="BN314" i="8" s="1"/>
  <c r="AO314" i="8"/>
  <c r="BM314" i="8" s="1"/>
  <c r="AN314" i="8"/>
  <c r="BL314" i="8" s="1"/>
  <c r="AM314" i="8"/>
  <c r="BK314" i="8" s="1"/>
  <c r="AL314" i="8"/>
  <c r="BJ314" i="8" s="1"/>
  <c r="AK314" i="8"/>
  <c r="BI314" i="8" s="1"/>
  <c r="AJ314" i="8"/>
  <c r="BH314" i="8" s="1"/>
  <c r="AI314" i="8"/>
  <c r="BG314" i="8" s="1"/>
  <c r="AH314" i="8"/>
  <c r="BF314" i="8" s="1"/>
  <c r="AG314" i="8"/>
  <c r="BE314" i="8" s="1"/>
  <c r="AF314" i="8"/>
  <c r="BD314" i="8" s="1"/>
  <c r="AE314" i="8"/>
  <c r="BC314" i="8" s="1"/>
  <c r="AD314" i="8"/>
  <c r="BB314" i="8" s="1"/>
  <c r="AC314" i="8"/>
  <c r="BA314" i="8" s="1"/>
  <c r="AB314" i="8"/>
  <c r="AZ314" i="8" s="1"/>
  <c r="AA314" i="8"/>
  <c r="AY314" i="8" s="1"/>
  <c r="Z314" i="8"/>
  <c r="AX314" i="8" s="1"/>
  <c r="AW313" i="8"/>
  <c r="BU313" i="8" s="1"/>
  <c r="AV313" i="8"/>
  <c r="BT313" i="8" s="1"/>
  <c r="AU313" i="8"/>
  <c r="BS313" i="8" s="1"/>
  <c r="AT313" i="8"/>
  <c r="BR313" i="8" s="1"/>
  <c r="AS313" i="8"/>
  <c r="BQ313" i="8" s="1"/>
  <c r="AR313" i="8"/>
  <c r="BP313" i="8" s="1"/>
  <c r="AQ313" i="8"/>
  <c r="BO313" i="8" s="1"/>
  <c r="AP313" i="8"/>
  <c r="BN313" i="8" s="1"/>
  <c r="AO313" i="8"/>
  <c r="BM313" i="8" s="1"/>
  <c r="AN313" i="8"/>
  <c r="BL313" i="8" s="1"/>
  <c r="AM313" i="8"/>
  <c r="BK313" i="8" s="1"/>
  <c r="AL313" i="8"/>
  <c r="BJ313" i="8" s="1"/>
  <c r="AK313" i="8"/>
  <c r="BI313" i="8" s="1"/>
  <c r="AJ313" i="8"/>
  <c r="BH313" i="8" s="1"/>
  <c r="AI313" i="8"/>
  <c r="BG313" i="8" s="1"/>
  <c r="AH313" i="8"/>
  <c r="BF313" i="8" s="1"/>
  <c r="AG313" i="8"/>
  <c r="BE313" i="8" s="1"/>
  <c r="AF313" i="8"/>
  <c r="BD313" i="8" s="1"/>
  <c r="AE313" i="8"/>
  <c r="BC313" i="8" s="1"/>
  <c r="AD313" i="8"/>
  <c r="BB313" i="8" s="1"/>
  <c r="AC313" i="8"/>
  <c r="BA313" i="8" s="1"/>
  <c r="AB313" i="8"/>
  <c r="AZ313" i="8" s="1"/>
  <c r="AA313" i="8"/>
  <c r="AY313" i="8" s="1"/>
  <c r="Z313" i="8"/>
  <c r="AX313" i="8" s="1"/>
  <c r="AW312" i="8"/>
  <c r="BU312" i="8" s="1"/>
  <c r="AV312" i="8"/>
  <c r="BT312" i="8" s="1"/>
  <c r="AU312" i="8"/>
  <c r="BS312" i="8" s="1"/>
  <c r="AT312" i="8"/>
  <c r="BR312" i="8" s="1"/>
  <c r="AS312" i="8"/>
  <c r="BQ312" i="8" s="1"/>
  <c r="AR312" i="8"/>
  <c r="BP312" i="8" s="1"/>
  <c r="AQ312" i="8"/>
  <c r="BO312" i="8" s="1"/>
  <c r="AP312" i="8"/>
  <c r="BN312" i="8" s="1"/>
  <c r="AO312" i="8"/>
  <c r="BM312" i="8" s="1"/>
  <c r="AN312" i="8"/>
  <c r="BL312" i="8" s="1"/>
  <c r="AM312" i="8"/>
  <c r="BK312" i="8" s="1"/>
  <c r="AL312" i="8"/>
  <c r="BJ312" i="8" s="1"/>
  <c r="AK312" i="8"/>
  <c r="BI312" i="8" s="1"/>
  <c r="AJ312" i="8"/>
  <c r="BH312" i="8" s="1"/>
  <c r="AI312" i="8"/>
  <c r="BG312" i="8" s="1"/>
  <c r="AH312" i="8"/>
  <c r="BF312" i="8" s="1"/>
  <c r="AG312" i="8"/>
  <c r="BE312" i="8" s="1"/>
  <c r="AF312" i="8"/>
  <c r="BD312" i="8" s="1"/>
  <c r="AE312" i="8"/>
  <c r="BC312" i="8" s="1"/>
  <c r="AD312" i="8"/>
  <c r="BB312" i="8" s="1"/>
  <c r="AC312" i="8"/>
  <c r="BA312" i="8" s="1"/>
  <c r="AB312" i="8"/>
  <c r="AZ312" i="8" s="1"/>
  <c r="AA312" i="8"/>
  <c r="AY312" i="8" s="1"/>
  <c r="Z312" i="8"/>
  <c r="AX312" i="8" s="1"/>
  <c r="AW311" i="8"/>
  <c r="BU311" i="8" s="1"/>
  <c r="AV311" i="8"/>
  <c r="BT311" i="8" s="1"/>
  <c r="AU311" i="8"/>
  <c r="BS311" i="8" s="1"/>
  <c r="AT311" i="8"/>
  <c r="BR311" i="8" s="1"/>
  <c r="AS311" i="8"/>
  <c r="BQ311" i="8" s="1"/>
  <c r="AR311" i="8"/>
  <c r="BP311" i="8" s="1"/>
  <c r="AQ311" i="8"/>
  <c r="BO311" i="8" s="1"/>
  <c r="AP311" i="8"/>
  <c r="BN311" i="8" s="1"/>
  <c r="AO311" i="8"/>
  <c r="BM311" i="8" s="1"/>
  <c r="AN311" i="8"/>
  <c r="BL311" i="8" s="1"/>
  <c r="AM311" i="8"/>
  <c r="BK311" i="8" s="1"/>
  <c r="AL311" i="8"/>
  <c r="BJ311" i="8" s="1"/>
  <c r="AK311" i="8"/>
  <c r="BI311" i="8" s="1"/>
  <c r="AJ311" i="8"/>
  <c r="BH311" i="8" s="1"/>
  <c r="AI311" i="8"/>
  <c r="BG311" i="8" s="1"/>
  <c r="AH311" i="8"/>
  <c r="BF311" i="8" s="1"/>
  <c r="AG311" i="8"/>
  <c r="BE311" i="8" s="1"/>
  <c r="AF311" i="8"/>
  <c r="BD311" i="8" s="1"/>
  <c r="AE311" i="8"/>
  <c r="BC311" i="8" s="1"/>
  <c r="AD311" i="8"/>
  <c r="BB311" i="8" s="1"/>
  <c r="AC311" i="8"/>
  <c r="BA311" i="8" s="1"/>
  <c r="AB311" i="8"/>
  <c r="AZ311" i="8" s="1"/>
  <c r="AA311" i="8"/>
  <c r="AY311" i="8" s="1"/>
  <c r="Z311" i="8"/>
  <c r="AX311" i="8" s="1"/>
  <c r="AW310" i="8"/>
  <c r="BU310" i="8" s="1"/>
  <c r="AV310" i="8"/>
  <c r="BT310" i="8" s="1"/>
  <c r="AU310" i="8"/>
  <c r="BS310" i="8" s="1"/>
  <c r="AT310" i="8"/>
  <c r="BR310" i="8" s="1"/>
  <c r="AS310" i="8"/>
  <c r="BQ310" i="8" s="1"/>
  <c r="AR310" i="8"/>
  <c r="BP310" i="8" s="1"/>
  <c r="AQ310" i="8"/>
  <c r="BO310" i="8" s="1"/>
  <c r="AP310" i="8"/>
  <c r="BN310" i="8" s="1"/>
  <c r="AO310" i="8"/>
  <c r="BM310" i="8" s="1"/>
  <c r="AN310" i="8"/>
  <c r="BL310" i="8" s="1"/>
  <c r="AM310" i="8"/>
  <c r="BK310" i="8" s="1"/>
  <c r="AL310" i="8"/>
  <c r="BJ310" i="8" s="1"/>
  <c r="AK310" i="8"/>
  <c r="BI310" i="8" s="1"/>
  <c r="AJ310" i="8"/>
  <c r="BH310" i="8" s="1"/>
  <c r="AI310" i="8"/>
  <c r="BG310" i="8" s="1"/>
  <c r="AH310" i="8"/>
  <c r="BF310" i="8" s="1"/>
  <c r="AG310" i="8"/>
  <c r="BE310" i="8" s="1"/>
  <c r="AF310" i="8"/>
  <c r="BD310" i="8" s="1"/>
  <c r="AE310" i="8"/>
  <c r="BC310" i="8" s="1"/>
  <c r="AD310" i="8"/>
  <c r="BB310" i="8" s="1"/>
  <c r="AC310" i="8"/>
  <c r="BA310" i="8" s="1"/>
  <c r="AB310" i="8"/>
  <c r="AZ310" i="8" s="1"/>
  <c r="AA310" i="8"/>
  <c r="AY310" i="8" s="1"/>
  <c r="Z310" i="8"/>
  <c r="AX310" i="8" s="1"/>
  <c r="AW309" i="8"/>
  <c r="BU309" i="8" s="1"/>
  <c r="AV309" i="8"/>
  <c r="BT309" i="8" s="1"/>
  <c r="AU309" i="8"/>
  <c r="BS309" i="8" s="1"/>
  <c r="AT309" i="8"/>
  <c r="BR309" i="8" s="1"/>
  <c r="AS309" i="8"/>
  <c r="BQ309" i="8" s="1"/>
  <c r="AR309" i="8"/>
  <c r="BP309" i="8" s="1"/>
  <c r="AQ309" i="8"/>
  <c r="BO309" i="8" s="1"/>
  <c r="AP309" i="8"/>
  <c r="BN309" i="8" s="1"/>
  <c r="AO309" i="8"/>
  <c r="BM309" i="8" s="1"/>
  <c r="AN309" i="8"/>
  <c r="BL309" i="8" s="1"/>
  <c r="AM309" i="8"/>
  <c r="BK309" i="8" s="1"/>
  <c r="AL309" i="8"/>
  <c r="BJ309" i="8" s="1"/>
  <c r="AK309" i="8"/>
  <c r="BI309" i="8" s="1"/>
  <c r="AJ309" i="8"/>
  <c r="BH309" i="8" s="1"/>
  <c r="AI309" i="8"/>
  <c r="BG309" i="8" s="1"/>
  <c r="AH309" i="8"/>
  <c r="BF309" i="8" s="1"/>
  <c r="AG309" i="8"/>
  <c r="BE309" i="8" s="1"/>
  <c r="AF309" i="8"/>
  <c r="BD309" i="8" s="1"/>
  <c r="AE309" i="8"/>
  <c r="BC309" i="8" s="1"/>
  <c r="AD309" i="8"/>
  <c r="BB309" i="8" s="1"/>
  <c r="AC309" i="8"/>
  <c r="BA309" i="8" s="1"/>
  <c r="AB309" i="8"/>
  <c r="AZ309" i="8" s="1"/>
  <c r="AA309" i="8"/>
  <c r="AY309" i="8" s="1"/>
  <c r="Z309" i="8"/>
  <c r="AX309" i="8" s="1"/>
  <c r="AW308" i="8"/>
  <c r="BU308" i="8" s="1"/>
  <c r="AV308" i="8"/>
  <c r="BT308" i="8" s="1"/>
  <c r="AU308" i="8"/>
  <c r="BS308" i="8" s="1"/>
  <c r="AT308" i="8"/>
  <c r="BR308" i="8" s="1"/>
  <c r="AS308" i="8"/>
  <c r="BQ308" i="8" s="1"/>
  <c r="AR308" i="8"/>
  <c r="BP308" i="8" s="1"/>
  <c r="AQ308" i="8"/>
  <c r="BO308" i="8" s="1"/>
  <c r="AP308" i="8"/>
  <c r="BN308" i="8" s="1"/>
  <c r="AO308" i="8"/>
  <c r="BM308" i="8" s="1"/>
  <c r="AN308" i="8"/>
  <c r="BL308" i="8" s="1"/>
  <c r="AM308" i="8"/>
  <c r="BK308" i="8" s="1"/>
  <c r="AL308" i="8"/>
  <c r="BJ308" i="8" s="1"/>
  <c r="AK308" i="8"/>
  <c r="BI308" i="8" s="1"/>
  <c r="AJ308" i="8"/>
  <c r="BH308" i="8" s="1"/>
  <c r="AI308" i="8"/>
  <c r="BG308" i="8" s="1"/>
  <c r="AH308" i="8"/>
  <c r="BF308" i="8" s="1"/>
  <c r="AG308" i="8"/>
  <c r="BE308" i="8" s="1"/>
  <c r="AF308" i="8"/>
  <c r="BD308" i="8" s="1"/>
  <c r="AE308" i="8"/>
  <c r="BC308" i="8" s="1"/>
  <c r="AD308" i="8"/>
  <c r="BB308" i="8" s="1"/>
  <c r="AC308" i="8"/>
  <c r="BA308" i="8" s="1"/>
  <c r="AB308" i="8"/>
  <c r="AZ308" i="8" s="1"/>
  <c r="AA308" i="8"/>
  <c r="AY308" i="8" s="1"/>
  <c r="Z308" i="8"/>
  <c r="AX308" i="8" s="1"/>
  <c r="AW307" i="8"/>
  <c r="BU307" i="8" s="1"/>
  <c r="AV307" i="8"/>
  <c r="BT307" i="8" s="1"/>
  <c r="AU307" i="8"/>
  <c r="BS307" i="8" s="1"/>
  <c r="AT307" i="8"/>
  <c r="BR307" i="8" s="1"/>
  <c r="AS307" i="8"/>
  <c r="BQ307" i="8" s="1"/>
  <c r="AR307" i="8"/>
  <c r="BP307" i="8" s="1"/>
  <c r="AQ307" i="8"/>
  <c r="BO307" i="8" s="1"/>
  <c r="AP307" i="8"/>
  <c r="BN307" i="8" s="1"/>
  <c r="AO307" i="8"/>
  <c r="BM307" i="8" s="1"/>
  <c r="AN307" i="8"/>
  <c r="BL307" i="8" s="1"/>
  <c r="AM307" i="8"/>
  <c r="BK307" i="8" s="1"/>
  <c r="AL307" i="8"/>
  <c r="BJ307" i="8" s="1"/>
  <c r="AK307" i="8"/>
  <c r="BI307" i="8" s="1"/>
  <c r="AJ307" i="8"/>
  <c r="BH307" i="8" s="1"/>
  <c r="AI307" i="8"/>
  <c r="BG307" i="8" s="1"/>
  <c r="AH307" i="8"/>
  <c r="BF307" i="8" s="1"/>
  <c r="AG307" i="8"/>
  <c r="BE307" i="8" s="1"/>
  <c r="AF307" i="8"/>
  <c r="BD307" i="8" s="1"/>
  <c r="AE307" i="8"/>
  <c r="BC307" i="8" s="1"/>
  <c r="AD307" i="8"/>
  <c r="BB307" i="8" s="1"/>
  <c r="AC307" i="8"/>
  <c r="BA307" i="8" s="1"/>
  <c r="AB307" i="8"/>
  <c r="AZ307" i="8" s="1"/>
  <c r="AA307" i="8"/>
  <c r="AY307" i="8" s="1"/>
  <c r="Z307" i="8"/>
  <c r="AX307" i="8" s="1"/>
  <c r="AW306" i="8"/>
  <c r="BU306" i="8" s="1"/>
  <c r="AV306" i="8"/>
  <c r="BT306" i="8" s="1"/>
  <c r="AU306" i="8"/>
  <c r="BS306" i="8" s="1"/>
  <c r="AT306" i="8"/>
  <c r="BR306" i="8" s="1"/>
  <c r="AS306" i="8"/>
  <c r="BQ306" i="8" s="1"/>
  <c r="AR306" i="8"/>
  <c r="BP306" i="8" s="1"/>
  <c r="AQ306" i="8"/>
  <c r="BO306" i="8" s="1"/>
  <c r="AP306" i="8"/>
  <c r="BN306" i="8" s="1"/>
  <c r="AO306" i="8"/>
  <c r="BM306" i="8" s="1"/>
  <c r="AN306" i="8"/>
  <c r="BL306" i="8" s="1"/>
  <c r="AM306" i="8"/>
  <c r="BK306" i="8" s="1"/>
  <c r="AL306" i="8"/>
  <c r="BJ306" i="8" s="1"/>
  <c r="AK306" i="8"/>
  <c r="BI306" i="8" s="1"/>
  <c r="AJ306" i="8"/>
  <c r="BH306" i="8" s="1"/>
  <c r="AI306" i="8"/>
  <c r="BG306" i="8" s="1"/>
  <c r="AH306" i="8"/>
  <c r="BF306" i="8" s="1"/>
  <c r="AG306" i="8"/>
  <c r="BE306" i="8" s="1"/>
  <c r="AF306" i="8"/>
  <c r="BD306" i="8" s="1"/>
  <c r="AE306" i="8"/>
  <c r="BC306" i="8" s="1"/>
  <c r="AD306" i="8"/>
  <c r="BB306" i="8" s="1"/>
  <c r="AC306" i="8"/>
  <c r="BA306" i="8" s="1"/>
  <c r="AB306" i="8"/>
  <c r="AZ306" i="8" s="1"/>
  <c r="AA306" i="8"/>
  <c r="AY306" i="8" s="1"/>
  <c r="Z306" i="8"/>
  <c r="AX306" i="8" s="1"/>
  <c r="AW305" i="8"/>
  <c r="BU305" i="8" s="1"/>
  <c r="AV305" i="8"/>
  <c r="BT305" i="8" s="1"/>
  <c r="AU305" i="8"/>
  <c r="BS305" i="8" s="1"/>
  <c r="AT305" i="8"/>
  <c r="BR305" i="8" s="1"/>
  <c r="AS305" i="8"/>
  <c r="BQ305" i="8" s="1"/>
  <c r="AR305" i="8"/>
  <c r="BP305" i="8" s="1"/>
  <c r="AQ305" i="8"/>
  <c r="BO305" i="8" s="1"/>
  <c r="AP305" i="8"/>
  <c r="BN305" i="8" s="1"/>
  <c r="AO305" i="8"/>
  <c r="BM305" i="8" s="1"/>
  <c r="AN305" i="8"/>
  <c r="BL305" i="8" s="1"/>
  <c r="AM305" i="8"/>
  <c r="BK305" i="8" s="1"/>
  <c r="AL305" i="8"/>
  <c r="BJ305" i="8" s="1"/>
  <c r="AK305" i="8"/>
  <c r="BI305" i="8" s="1"/>
  <c r="AJ305" i="8"/>
  <c r="BH305" i="8" s="1"/>
  <c r="AI305" i="8"/>
  <c r="BG305" i="8" s="1"/>
  <c r="AH305" i="8"/>
  <c r="BF305" i="8" s="1"/>
  <c r="AG305" i="8"/>
  <c r="BE305" i="8" s="1"/>
  <c r="AF305" i="8"/>
  <c r="BD305" i="8" s="1"/>
  <c r="AE305" i="8"/>
  <c r="BC305" i="8" s="1"/>
  <c r="AD305" i="8"/>
  <c r="BB305" i="8" s="1"/>
  <c r="AC305" i="8"/>
  <c r="BA305" i="8" s="1"/>
  <c r="AB305" i="8"/>
  <c r="AZ305" i="8" s="1"/>
  <c r="AA305" i="8"/>
  <c r="AY305" i="8" s="1"/>
  <c r="Z305" i="8"/>
  <c r="AX305" i="8" s="1"/>
  <c r="AW304" i="8"/>
  <c r="BU304" i="8" s="1"/>
  <c r="AV304" i="8"/>
  <c r="BT304" i="8" s="1"/>
  <c r="AU304" i="8"/>
  <c r="BS304" i="8" s="1"/>
  <c r="AT304" i="8"/>
  <c r="BR304" i="8" s="1"/>
  <c r="AS304" i="8"/>
  <c r="BQ304" i="8" s="1"/>
  <c r="AR304" i="8"/>
  <c r="BP304" i="8" s="1"/>
  <c r="AQ304" i="8"/>
  <c r="BO304" i="8" s="1"/>
  <c r="AP304" i="8"/>
  <c r="BN304" i="8" s="1"/>
  <c r="AO304" i="8"/>
  <c r="BM304" i="8" s="1"/>
  <c r="AN304" i="8"/>
  <c r="BL304" i="8" s="1"/>
  <c r="AM304" i="8"/>
  <c r="BK304" i="8" s="1"/>
  <c r="AL304" i="8"/>
  <c r="BJ304" i="8" s="1"/>
  <c r="AK304" i="8"/>
  <c r="BI304" i="8" s="1"/>
  <c r="AJ304" i="8"/>
  <c r="BH304" i="8" s="1"/>
  <c r="AI304" i="8"/>
  <c r="BG304" i="8" s="1"/>
  <c r="AH304" i="8"/>
  <c r="BF304" i="8" s="1"/>
  <c r="AG304" i="8"/>
  <c r="BE304" i="8" s="1"/>
  <c r="AF304" i="8"/>
  <c r="BD304" i="8" s="1"/>
  <c r="AE304" i="8"/>
  <c r="BC304" i="8" s="1"/>
  <c r="AD304" i="8"/>
  <c r="BB304" i="8" s="1"/>
  <c r="AC304" i="8"/>
  <c r="BA304" i="8" s="1"/>
  <c r="AB304" i="8"/>
  <c r="AZ304" i="8" s="1"/>
  <c r="AA304" i="8"/>
  <c r="AY304" i="8" s="1"/>
  <c r="Z304" i="8"/>
  <c r="AX304" i="8" s="1"/>
  <c r="AW303" i="8"/>
  <c r="BU303" i="8" s="1"/>
  <c r="AV303" i="8"/>
  <c r="BT303" i="8" s="1"/>
  <c r="AU303" i="8"/>
  <c r="BS303" i="8" s="1"/>
  <c r="AT303" i="8"/>
  <c r="BR303" i="8" s="1"/>
  <c r="AS303" i="8"/>
  <c r="BQ303" i="8" s="1"/>
  <c r="AR303" i="8"/>
  <c r="BP303" i="8" s="1"/>
  <c r="AQ303" i="8"/>
  <c r="BO303" i="8" s="1"/>
  <c r="AP303" i="8"/>
  <c r="BN303" i="8" s="1"/>
  <c r="AO303" i="8"/>
  <c r="BM303" i="8" s="1"/>
  <c r="AN303" i="8"/>
  <c r="BL303" i="8" s="1"/>
  <c r="AM303" i="8"/>
  <c r="BK303" i="8" s="1"/>
  <c r="AL303" i="8"/>
  <c r="BJ303" i="8" s="1"/>
  <c r="AK303" i="8"/>
  <c r="BI303" i="8" s="1"/>
  <c r="AJ303" i="8"/>
  <c r="BH303" i="8" s="1"/>
  <c r="AI303" i="8"/>
  <c r="BG303" i="8" s="1"/>
  <c r="AH303" i="8"/>
  <c r="BF303" i="8" s="1"/>
  <c r="AG303" i="8"/>
  <c r="BE303" i="8" s="1"/>
  <c r="AF303" i="8"/>
  <c r="BD303" i="8" s="1"/>
  <c r="AE303" i="8"/>
  <c r="BC303" i="8" s="1"/>
  <c r="AD303" i="8"/>
  <c r="BB303" i="8" s="1"/>
  <c r="AC303" i="8"/>
  <c r="BA303" i="8" s="1"/>
  <c r="AB303" i="8"/>
  <c r="AZ303" i="8" s="1"/>
  <c r="AA303" i="8"/>
  <c r="AY303" i="8" s="1"/>
  <c r="Z303" i="8"/>
  <c r="AX303" i="8" s="1"/>
  <c r="AW302" i="8"/>
  <c r="BU302" i="8" s="1"/>
  <c r="AV302" i="8"/>
  <c r="BT302" i="8" s="1"/>
  <c r="AU302" i="8"/>
  <c r="BS302" i="8" s="1"/>
  <c r="AT302" i="8"/>
  <c r="BR302" i="8" s="1"/>
  <c r="AS302" i="8"/>
  <c r="BQ302" i="8" s="1"/>
  <c r="AR302" i="8"/>
  <c r="BP302" i="8" s="1"/>
  <c r="AQ302" i="8"/>
  <c r="BO302" i="8" s="1"/>
  <c r="AP302" i="8"/>
  <c r="BN302" i="8" s="1"/>
  <c r="AO302" i="8"/>
  <c r="BM302" i="8" s="1"/>
  <c r="AN302" i="8"/>
  <c r="BL302" i="8" s="1"/>
  <c r="AM302" i="8"/>
  <c r="BK302" i="8" s="1"/>
  <c r="AL302" i="8"/>
  <c r="BJ302" i="8" s="1"/>
  <c r="AK302" i="8"/>
  <c r="BI302" i="8" s="1"/>
  <c r="AJ302" i="8"/>
  <c r="BH302" i="8" s="1"/>
  <c r="AI302" i="8"/>
  <c r="BG302" i="8" s="1"/>
  <c r="AH302" i="8"/>
  <c r="BF302" i="8" s="1"/>
  <c r="AG302" i="8"/>
  <c r="BE302" i="8" s="1"/>
  <c r="AF302" i="8"/>
  <c r="BD302" i="8" s="1"/>
  <c r="AE302" i="8"/>
  <c r="BC302" i="8" s="1"/>
  <c r="AD302" i="8"/>
  <c r="BB302" i="8" s="1"/>
  <c r="AC302" i="8"/>
  <c r="BA302" i="8" s="1"/>
  <c r="AB302" i="8"/>
  <c r="AZ302" i="8" s="1"/>
  <c r="AA302" i="8"/>
  <c r="AY302" i="8" s="1"/>
  <c r="Z302" i="8"/>
  <c r="AX302" i="8" s="1"/>
  <c r="AW301" i="8"/>
  <c r="BU301" i="8" s="1"/>
  <c r="AV301" i="8"/>
  <c r="BT301" i="8" s="1"/>
  <c r="AU301" i="8"/>
  <c r="BS301" i="8" s="1"/>
  <c r="AT301" i="8"/>
  <c r="BR301" i="8" s="1"/>
  <c r="AS301" i="8"/>
  <c r="BQ301" i="8" s="1"/>
  <c r="AR301" i="8"/>
  <c r="BP301" i="8" s="1"/>
  <c r="AQ301" i="8"/>
  <c r="BO301" i="8" s="1"/>
  <c r="AP301" i="8"/>
  <c r="BN301" i="8" s="1"/>
  <c r="AO301" i="8"/>
  <c r="BM301" i="8" s="1"/>
  <c r="AN301" i="8"/>
  <c r="BL301" i="8" s="1"/>
  <c r="AM301" i="8"/>
  <c r="BK301" i="8" s="1"/>
  <c r="AL301" i="8"/>
  <c r="BJ301" i="8" s="1"/>
  <c r="AK301" i="8"/>
  <c r="BI301" i="8" s="1"/>
  <c r="AJ301" i="8"/>
  <c r="BH301" i="8" s="1"/>
  <c r="AI301" i="8"/>
  <c r="BG301" i="8" s="1"/>
  <c r="AH301" i="8"/>
  <c r="BF301" i="8" s="1"/>
  <c r="AG301" i="8"/>
  <c r="BE301" i="8" s="1"/>
  <c r="AF301" i="8"/>
  <c r="BD301" i="8" s="1"/>
  <c r="AE301" i="8"/>
  <c r="BC301" i="8" s="1"/>
  <c r="AD301" i="8"/>
  <c r="BB301" i="8" s="1"/>
  <c r="AC301" i="8"/>
  <c r="BA301" i="8" s="1"/>
  <c r="AB301" i="8"/>
  <c r="AZ301" i="8" s="1"/>
  <c r="AA301" i="8"/>
  <c r="AY301" i="8" s="1"/>
  <c r="Z301" i="8"/>
  <c r="AX301" i="8" s="1"/>
  <c r="AW300" i="8"/>
  <c r="BU300" i="8" s="1"/>
  <c r="AV300" i="8"/>
  <c r="BT300" i="8" s="1"/>
  <c r="AU300" i="8"/>
  <c r="BS300" i="8" s="1"/>
  <c r="AT300" i="8"/>
  <c r="BR300" i="8" s="1"/>
  <c r="AS300" i="8"/>
  <c r="BQ300" i="8" s="1"/>
  <c r="AR300" i="8"/>
  <c r="BP300" i="8" s="1"/>
  <c r="AQ300" i="8"/>
  <c r="BO300" i="8" s="1"/>
  <c r="AP300" i="8"/>
  <c r="BN300" i="8" s="1"/>
  <c r="AO300" i="8"/>
  <c r="BM300" i="8" s="1"/>
  <c r="AN300" i="8"/>
  <c r="BL300" i="8" s="1"/>
  <c r="AM300" i="8"/>
  <c r="BK300" i="8" s="1"/>
  <c r="AL300" i="8"/>
  <c r="BJ300" i="8" s="1"/>
  <c r="AK300" i="8"/>
  <c r="BI300" i="8" s="1"/>
  <c r="AJ300" i="8"/>
  <c r="BH300" i="8" s="1"/>
  <c r="AI300" i="8"/>
  <c r="BG300" i="8" s="1"/>
  <c r="AH300" i="8"/>
  <c r="BF300" i="8" s="1"/>
  <c r="AG300" i="8"/>
  <c r="BE300" i="8" s="1"/>
  <c r="AF300" i="8"/>
  <c r="BD300" i="8" s="1"/>
  <c r="AE300" i="8"/>
  <c r="BC300" i="8" s="1"/>
  <c r="AD300" i="8"/>
  <c r="BB300" i="8" s="1"/>
  <c r="AC300" i="8"/>
  <c r="BA300" i="8" s="1"/>
  <c r="AB300" i="8"/>
  <c r="AZ300" i="8" s="1"/>
  <c r="AA300" i="8"/>
  <c r="AY300" i="8" s="1"/>
  <c r="Z300" i="8"/>
  <c r="AX300" i="8" s="1"/>
  <c r="AW299" i="8"/>
  <c r="BU299" i="8" s="1"/>
  <c r="AV299" i="8"/>
  <c r="BT299" i="8" s="1"/>
  <c r="AU299" i="8"/>
  <c r="BS299" i="8" s="1"/>
  <c r="AT299" i="8"/>
  <c r="BR299" i="8" s="1"/>
  <c r="AS299" i="8"/>
  <c r="BQ299" i="8" s="1"/>
  <c r="AR299" i="8"/>
  <c r="BP299" i="8" s="1"/>
  <c r="AQ299" i="8"/>
  <c r="BO299" i="8" s="1"/>
  <c r="AP299" i="8"/>
  <c r="BN299" i="8" s="1"/>
  <c r="AO299" i="8"/>
  <c r="BM299" i="8" s="1"/>
  <c r="AN299" i="8"/>
  <c r="BL299" i="8" s="1"/>
  <c r="AM299" i="8"/>
  <c r="BK299" i="8" s="1"/>
  <c r="AL299" i="8"/>
  <c r="BJ299" i="8" s="1"/>
  <c r="AK299" i="8"/>
  <c r="BI299" i="8" s="1"/>
  <c r="AJ299" i="8"/>
  <c r="BH299" i="8" s="1"/>
  <c r="AI299" i="8"/>
  <c r="BG299" i="8" s="1"/>
  <c r="AH299" i="8"/>
  <c r="BF299" i="8" s="1"/>
  <c r="AG299" i="8"/>
  <c r="BE299" i="8" s="1"/>
  <c r="AF299" i="8"/>
  <c r="BD299" i="8" s="1"/>
  <c r="AE299" i="8"/>
  <c r="BC299" i="8" s="1"/>
  <c r="AD299" i="8"/>
  <c r="BB299" i="8" s="1"/>
  <c r="AC299" i="8"/>
  <c r="BA299" i="8" s="1"/>
  <c r="AB299" i="8"/>
  <c r="AZ299" i="8" s="1"/>
  <c r="AA299" i="8"/>
  <c r="AY299" i="8" s="1"/>
  <c r="Z299" i="8"/>
  <c r="AX299" i="8" s="1"/>
  <c r="AW298" i="8"/>
  <c r="BU298" i="8" s="1"/>
  <c r="AV298" i="8"/>
  <c r="BT298" i="8" s="1"/>
  <c r="AU298" i="8"/>
  <c r="BS298" i="8" s="1"/>
  <c r="AT298" i="8"/>
  <c r="BR298" i="8" s="1"/>
  <c r="AS298" i="8"/>
  <c r="BQ298" i="8" s="1"/>
  <c r="AR298" i="8"/>
  <c r="BP298" i="8" s="1"/>
  <c r="AQ298" i="8"/>
  <c r="BO298" i="8" s="1"/>
  <c r="AP298" i="8"/>
  <c r="BN298" i="8" s="1"/>
  <c r="AO298" i="8"/>
  <c r="BM298" i="8" s="1"/>
  <c r="AN298" i="8"/>
  <c r="BL298" i="8" s="1"/>
  <c r="AM298" i="8"/>
  <c r="BK298" i="8" s="1"/>
  <c r="AL298" i="8"/>
  <c r="BJ298" i="8" s="1"/>
  <c r="AK298" i="8"/>
  <c r="BI298" i="8" s="1"/>
  <c r="AJ298" i="8"/>
  <c r="BH298" i="8" s="1"/>
  <c r="AI298" i="8"/>
  <c r="BG298" i="8" s="1"/>
  <c r="AH298" i="8"/>
  <c r="BF298" i="8" s="1"/>
  <c r="AG298" i="8"/>
  <c r="BE298" i="8" s="1"/>
  <c r="AF298" i="8"/>
  <c r="BD298" i="8" s="1"/>
  <c r="AE298" i="8"/>
  <c r="BC298" i="8" s="1"/>
  <c r="AD298" i="8"/>
  <c r="BB298" i="8" s="1"/>
  <c r="AC298" i="8"/>
  <c r="BA298" i="8" s="1"/>
  <c r="AB298" i="8"/>
  <c r="AZ298" i="8" s="1"/>
  <c r="AA298" i="8"/>
  <c r="AY298" i="8" s="1"/>
  <c r="Z298" i="8"/>
  <c r="AX298" i="8" s="1"/>
  <c r="AW297" i="8"/>
  <c r="BU297" i="8" s="1"/>
  <c r="AV297" i="8"/>
  <c r="BT297" i="8" s="1"/>
  <c r="AU297" i="8"/>
  <c r="BS297" i="8" s="1"/>
  <c r="AT297" i="8"/>
  <c r="BR297" i="8" s="1"/>
  <c r="AS297" i="8"/>
  <c r="BQ297" i="8" s="1"/>
  <c r="AR297" i="8"/>
  <c r="BP297" i="8" s="1"/>
  <c r="AQ297" i="8"/>
  <c r="BO297" i="8" s="1"/>
  <c r="AP297" i="8"/>
  <c r="BN297" i="8" s="1"/>
  <c r="AO297" i="8"/>
  <c r="BM297" i="8" s="1"/>
  <c r="AN297" i="8"/>
  <c r="BL297" i="8" s="1"/>
  <c r="AM297" i="8"/>
  <c r="BK297" i="8" s="1"/>
  <c r="AL297" i="8"/>
  <c r="BJ297" i="8" s="1"/>
  <c r="AK297" i="8"/>
  <c r="BI297" i="8" s="1"/>
  <c r="AJ297" i="8"/>
  <c r="BH297" i="8" s="1"/>
  <c r="AI297" i="8"/>
  <c r="BG297" i="8" s="1"/>
  <c r="AH297" i="8"/>
  <c r="BF297" i="8" s="1"/>
  <c r="AG297" i="8"/>
  <c r="BE297" i="8" s="1"/>
  <c r="AF297" i="8"/>
  <c r="BD297" i="8" s="1"/>
  <c r="AE297" i="8"/>
  <c r="BC297" i="8" s="1"/>
  <c r="AD297" i="8"/>
  <c r="BB297" i="8" s="1"/>
  <c r="AC297" i="8"/>
  <c r="BA297" i="8" s="1"/>
  <c r="AB297" i="8"/>
  <c r="AZ297" i="8" s="1"/>
  <c r="AA297" i="8"/>
  <c r="AY297" i="8" s="1"/>
  <c r="Z297" i="8"/>
  <c r="AX297" i="8" s="1"/>
  <c r="AW296" i="8"/>
  <c r="BU296" i="8" s="1"/>
  <c r="AV296" i="8"/>
  <c r="BT296" i="8" s="1"/>
  <c r="AU296" i="8"/>
  <c r="BS296" i="8" s="1"/>
  <c r="AT296" i="8"/>
  <c r="BR296" i="8" s="1"/>
  <c r="AS296" i="8"/>
  <c r="BQ296" i="8" s="1"/>
  <c r="AR296" i="8"/>
  <c r="BP296" i="8" s="1"/>
  <c r="AQ296" i="8"/>
  <c r="BO296" i="8" s="1"/>
  <c r="AP296" i="8"/>
  <c r="BN296" i="8" s="1"/>
  <c r="AO296" i="8"/>
  <c r="BM296" i="8" s="1"/>
  <c r="AN296" i="8"/>
  <c r="BL296" i="8" s="1"/>
  <c r="AM296" i="8"/>
  <c r="BK296" i="8" s="1"/>
  <c r="AL296" i="8"/>
  <c r="BJ296" i="8" s="1"/>
  <c r="AK296" i="8"/>
  <c r="BI296" i="8" s="1"/>
  <c r="AJ296" i="8"/>
  <c r="BH296" i="8" s="1"/>
  <c r="AI296" i="8"/>
  <c r="BG296" i="8" s="1"/>
  <c r="AH296" i="8"/>
  <c r="BF296" i="8" s="1"/>
  <c r="AG296" i="8"/>
  <c r="BE296" i="8" s="1"/>
  <c r="AF296" i="8"/>
  <c r="BD296" i="8" s="1"/>
  <c r="AE296" i="8"/>
  <c r="BC296" i="8" s="1"/>
  <c r="AD296" i="8"/>
  <c r="BB296" i="8" s="1"/>
  <c r="AC296" i="8"/>
  <c r="BA296" i="8" s="1"/>
  <c r="AB296" i="8"/>
  <c r="AZ296" i="8" s="1"/>
  <c r="AA296" i="8"/>
  <c r="AY296" i="8" s="1"/>
  <c r="Z296" i="8"/>
  <c r="AX296" i="8" s="1"/>
  <c r="AW295" i="8"/>
  <c r="BU295" i="8" s="1"/>
  <c r="AV295" i="8"/>
  <c r="BT295" i="8" s="1"/>
  <c r="AU295" i="8"/>
  <c r="BS295" i="8" s="1"/>
  <c r="AT295" i="8"/>
  <c r="BR295" i="8" s="1"/>
  <c r="AS295" i="8"/>
  <c r="BQ295" i="8" s="1"/>
  <c r="AR295" i="8"/>
  <c r="BP295" i="8" s="1"/>
  <c r="AQ295" i="8"/>
  <c r="BO295" i="8" s="1"/>
  <c r="AP295" i="8"/>
  <c r="BN295" i="8" s="1"/>
  <c r="AO295" i="8"/>
  <c r="BM295" i="8" s="1"/>
  <c r="AN295" i="8"/>
  <c r="BL295" i="8" s="1"/>
  <c r="AM295" i="8"/>
  <c r="BK295" i="8" s="1"/>
  <c r="AL295" i="8"/>
  <c r="BJ295" i="8" s="1"/>
  <c r="AK295" i="8"/>
  <c r="BI295" i="8" s="1"/>
  <c r="AJ295" i="8"/>
  <c r="BH295" i="8" s="1"/>
  <c r="AI295" i="8"/>
  <c r="BG295" i="8" s="1"/>
  <c r="AH295" i="8"/>
  <c r="BF295" i="8" s="1"/>
  <c r="AG295" i="8"/>
  <c r="BE295" i="8" s="1"/>
  <c r="AF295" i="8"/>
  <c r="BD295" i="8" s="1"/>
  <c r="AE295" i="8"/>
  <c r="BC295" i="8" s="1"/>
  <c r="AD295" i="8"/>
  <c r="BB295" i="8" s="1"/>
  <c r="AC295" i="8"/>
  <c r="BA295" i="8" s="1"/>
  <c r="AB295" i="8"/>
  <c r="AZ295" i="8" s="1"/>
  <c r="AA295" i="8"/>
  <c r="AY295" i="8" s="1"/>
  <c r="Z295" i="8"/>
  <c r="AX295" i="8" s="1"/>
  <c r="AW294" i="8"/>
  <c r="BU294" i="8" s="1"/>
  <c r="AV294" i="8"/>
  <c r="BT294" i="8" s="1"/>
  <c r="AU294" i="8"/>
  <c r="BS294" i="8" s="1"/>
  <c r="AT294" i="8"/>
  <c r="BR294" i="8" s="1"/>
  <c r="AS294" i="8"/>
  <c r="BQ294" i="8" s="1"/>
  <c r="AR294" i="8"/>
  <c r="BP294" i="8" s="1"/>
  <c r="AQ294" i="8"/>
  <c r="BO294" i="8" s="1"/>
  <c r="AP294" i="8"/>
  <c r="BN294" i="8" s="1"/>
  <c r="AO294" i="8"/>
  <c r="BM294" i="8" s="1"/>
  <c r="AN294" i="8"/>
  <c r="BL294" i="8" s="1"/>
  <c r="AM294" i="8"/>
  <c r="BK294" i="8" s="1"/>
  <c r="AL294" i="8"/>
  <c r="BJ294" i="8" s="1"/>
  <c r="AK294" i="8"/>
  <c r="BI294" i="8" s="1"/>
  <c r="AJ294" i="8"/>
  <c r="BH294" i="8" s="1"/>
  <c r="AI294" i="8"/>
  <c r="BG294" i="8" s="1"/>
  <c r="AH294" i="8"/>
  <c r="BF294" i="8" s="1"/>
  <c r="AG294" i="8"/>
  <c r="BE294" i="8" s="1"/>
  <c r="AF294" i="8"/>
  <c r="BD294" i="8" s="1"/>
  <c r="AE294" i="8"/>
  <c r="BC294" i="8" s="1"/>
  <c r="AD294" i="8"/>
  <c r="BB294" i="8" s="1"/>
  <c r="AC294" i="8"/>
  <c r="BA294" i="8" s="1"/>
  <c r="AB294" i="8"/>
  <c r="AZ294" i="8" s="1"/>
  <c r="AA294" i="8"/>
  <c r="AY294" i="8" s="1"/>
  <c r="Z294" i="8"/>
  <c r="AX294" i="8" s="1"/>
  <c r="AW293" i="8"/>
  <c r="BU293" i="8" s="1"/>
  <c r="AV293" i="8"/>
  <c r="BT293" i="8" s="1"/>
  <c r="AU293" i="8"/>
  <c r="BS293" i="8" s="1"/>
  <c r="AT293" i="8"/>
  <c r="BR293" i="8" s="1"/>
  <c r="AS293" i="8"/>
  <c r="BQ293" i="8" s="1"/>
  <c r="AR293" i="8"/>
  <c r="BP293" i="8" s="1"/>
  <c r="AQ293" i="8"/>
  <c r="BO293" i="8" s="1"/>
  <c r="AP293" i="8"/>
  <c r="BN293" i="8" s="1"/>
  <c r="AO293" i="8"/>
  <c r="BM293" i="8" s="1"/>
  <c r="AN293" i="8"/>
  <c r="BL293" i="8" s="1"/>
  <c r="AM293" i="8"/>
  <c r="BK293" i="8" s="1"/>
  <c r="AL293" i="8"/>
  <c r="BJ293" i="8" s="1"/>
  <c r="AK293" i="8"/>
  <c r="BI293" i="8" s="1"/>
  <c r="AJ293" i="8"/>
  <c r="BH293" i="8" s="1"/>
  <c r="AI293" i="8"/>
  <c r="BG293" i="8" s="1"/>
  <c r="AH293" i="8"/>
  <c r="BF293" i="8" s="1"/>
  <c r="AG293" i="8"/>
  <c r="BE293" i="8" s="1"/>
  <c r="AF293" i="8"/>
  <c r="BD293" i="8" s="1"/>
  <c r="AE293" i="8"/>
  <c r="BC293" i="8" s="1"/>
  <c r="AD293" i="8"/>
  <c r="BB293" i="8" s="1"/>
  <c r="AC293" i="8"/>
  <c r="BA293" i="8" s="1"/>
  <c r="AB293" i="8"/>
  <c r="AZ293" i="8" s="1"/>
  <c r="AA293" i="8"/>
  <c r="AY293" i="8" s="1"/>
  <c r="Z293" i="8"/>
  <c r="AX293" i="8" s="1"/>
  <c r="AW292" i="8"/>
  <c r="BU292" i="8" s="1"/>
  <c r="AV292" i="8"/>
  <c r="BT292" i="8" s="1"/>
  <c r="AU292" i="8"/>
  <c r="BS292" i="8" s="1"/>
  <c r="AT292" i="8"/>
  <c r="BR292" i="8" s="1"/>
  <c r="AS292" i="8"/>
  <c r="BQ292" i="8" s="1"/>
  <c r="AR292" i="8"/>
  <c r="BP292" i="8" s="1"/>
  <c r="AQ292" i="8"/>
  <c r="BO292" i="8" s="1"/>
  <c r="AP292" i="8"/>
  <c r="BN292" i="8" s="1"/>
  <c r="AO292" i="8"/>
  <c r="BM292" i="8" s="1"/>
  <c r="AN292" i="8"/>
  <c r="BL292" i="8" s="1"/>
  <c r="AM292" i="8"/>
  <c r="BK292" i="8" s="1"/>
  <c r="AL292" i="8"/>
  <c r="BJ292" i="8" s="1"/>
  <c r="AK292" i="8"/>
  <c r="BI292" i="8" s="1"/>
  <c r="AJ292" i="8"/>
  <c r="BH292" i="8" s="1"/>
  <c r="AI292" i="8"/>
  <c r="BG292" i="8" s="1"/>
  <c r="AH292" i="8"/>
  <c r="BF292" i="8" s="1"/>
  <c r="AG292" i="8"/>
  <c r="BE292" i="8" s="1"/>
  <c r="AF292" i="8"/>
  <c r="BD292" i="8" s="1"/>
  <c r="AE292" i="8"/>
  <c r="BC292" i="8" s="1"/>
  <c r="AD292" i="8"/>
  <c r="BB292" i="8" s="1"/>
  <c r="AC292" i="8"/>
  <c r="BA292" i="8" s="1"/>
  <c r="AB292" i="8"/>
  <c r="AZ292" i="8" s="1"/>
  <c r="AA292" i="8"/>
  <c r="AY292" i="8" s="1"/>
  <c r="Z292" i="8"/>
  <c r="AX292" i="8" s="1"/>
  <c r="AW291" i="8"/>
  <c r="BU291" i="8" s="1"/>
  <c r="AV291" i="8"/>
  <c r="BT291" i="8" s="1"/>
  <c r="AU291" i="8"/>
  <c r="BS291" i="8" s="1"/>
  <c r="AT291" i="8"/>
  <c r="BR291" i="8" s="1"/>
  <c r="AS291" i="8"/>
  <c r="BQ291" i="8" s="1"/>
  <c r="AR291" i="8"/>
  <c r="BP291" i="8" s="1"/>
  <c r="AQ291" i="8"/>
  <c r="BO291" i="8" s="1"/>
  <c r="AP291" i="8"/>
  <c r="BN291" i="8" s="1"/>
  <c r="AO291" i="8"/>
  <c r="BM291" i="8" s="1"/>
  <c r="AN291" i="8"/>
  <c r="BL291" i="8" s="1"/>
  <c r="AM291" i="8"/>
  <c r="BK291" i="8" s="1"/>
  <c r="AL291" i="8"/>
  <c r="BJ291" i="8" s="1"/>
  <c r="AK291" i="8"/>
  <c r="BI291" i="8" s="1"/>
  <c r="AJ291" i="8"/>
  <c r="BH291" i="8" s="1"/>
  <c r="AI291" i="8"/>
  <c r="BG291" i="8" s="1"/>
  <c r="AH291" i="8"/>
  <c r="BF291" i="8" s="1"/>
  <c r="AG291" i="8"/>
  <c r="BE291" i="8" s="1"/>
  <c r="AF291" i="8"/>
  <c r="BD291" i="8" s="1"/>
  <c r="AE291" i="8"/>
  <c r="BC291" i="8" s="1"/>
  <c r="AD291" i="8"/>
  <c r="BB291" i="8" s="1"/>
  <c r="AC291" i="8"/>
  <c r="BA291" i="8" s="1"/>
  <c r="AB291" i="8"/>
  <c r="AZ291" i="8" s="1"/>
  <c r="AA291" i="8"/>
  <c r="AY291" i="8" s="1"/>
  <c r="Z291" i="8"/>
  <c r="AX291" i="8" s="1"/>
  <c r="AW290" i="8"/>
  <c r="BU290" i="8" s="1"/>
  <c r="AV290" i="8"/>
  <c r="BT290" i="8" s="1"/>
  <c r="AU290" i="8"/>
  <c r="BS290" i="8" s="1"/>
  <c r="AT290" i="8"/>
  <c r="BR290" i="8" s="1"/>
  <c r="AS290" i="8"/>
  <c r="BQ290" i="8" s="1"/>
  <c r="AR290" i="8"/>
  <c r="BP290" i="8" s="1"/>
  <c r="AQ290" i="8"/>
  <c r="BO290" i="8" s="1"/>
  <c r="AP290" i="8"/>
  <c r="BN290" i="8" s="1"/>
  <c r="AO290" i="8"/>
  <c r="BM290" i="8" s="1"/>
  <c r="AN290" i="8"/>
  <c r="BL290" i="8" s="1"/>
  <c r="AM290" i="8"/>
  <c r="BK290" i="8" s="1"/>
  <c r="AL290" i="8"/>
  <c r="BJ290" i="8" s="1"/>
  <c r="AK290" i="8"/>
  <c r="BI290" i="8" s="1"/>
  <c r="AJ290" i="8"/>
  <c r="BH290" i="8" s="1"/>
  <c r="AI290" i="8"/>
  <c r="BG290" i="8" s="1"/>
  <c r="AH290" i="8"/>
  <c r="BF290" i="8" s="1"/>
  <c r="AG290" i="8"/>
  <c r="BE290" i="8" s="1"/>
  <c r="AF290" i="8"/>
  <c r="BD290" i="8" s="1"/>
  <c r="AE290" i="8"/>
  <c r="BC290" i="8" s="1"/>
  <c r="AD290" i="8"/>
  <c r="BB290" i="8" s="1"/>
  <c r="AC290" i="8"/>
  <c r="BA290" i="8" s="1"/>
  <c r="AB290" i="8"/>
  <c r="AZ290" i="8" s="1"/>
  <c r="AA290" i="8"/>
  <c r="AY290" i="8" s="1"/>
  <c r="Z290" i="8"/>
  <c r="AX290" i="8" s="1"/>
  <c r="AW289" i="8"/>
  <c r="BU289" i="8" s="1"/>
  <c r="AV289" i="8"/>
  <c r="BT289" i="8" s="1"/>
  <c r="AU289" i="8"/>
  <c r="BS289" i="8" s="1"/>
  <c r="AT289" i="8"/>
  <c r="BR289" i="8" s="1"/>
  <c r="AS289" i="8"/>
  <c r="BQ289" i="8" s="1"/>
  <c r="AR289" i="8"/>
  <c r="BP289" i="8" s="1"/>
  <c r="AQ289" i="8"/>
  <c r="BO289" i="8" s="1"/>
  <c r="AP289" i="8"/>
  <c r="BN289" i="8" s="1"/>
  <c r="AO289" i="8"/>
  <c r="BM289" i="8" s="1"/>
  <c r="AN289" i="8"/>
  <c r="BL289" i="8" s="1"/>
  <c r="AM289" i="8"/>
  <c r="BK289" i="8" s="1"/>
  <c r="AL289" i="8"/>
  <c r="BJ289" i="8" s="1"/>
  <c r="AK289" i="8"/>
  <c r="BI289" i="8" s="1"/>
  <c r="AJ289" i="8"/>
  <c r="BH289" i="8" s="1"/>
  <c r="AI289" i="8"/>
  <c r="BG289" i="8" s="1"/>
  <c r="AH289" i="8"/>
  <c r="BF289" i="8" s="1"/>
  <c r="AG289" i="8"/>
  <c r="BE289" i="8" s="1"/>
  <c r="AF289" i="8"/>
  <c r="BD289" i="8" s="1"/>
  <c r="AE289" i="8"/>
  <c r="BC289" i="8" s="1"/>
  <c r="AD289" i="8"/>
  <c r="BB289" i="8" s="1"/>
  <c r="AC289" i="8"/>
  <c r="BA289" i="8" s="1"/>
  <c r="AB289" i="8"/>
  <c r="AZ289" i="8" s="1"/>
  <c r="AA289" i="8"/>
  <c r="AY289" i="8" s="1"/>
  <c r="Z289" i="8"/>
  <c r="AX289" i="8" s="1"/>
  <c r="AW288" i="8"/>
  <c r="BU288" i="8" s="1"/>
  <c r="AV288" i="8"/>
  <c r="BT288" i="8" s="1"/>
  <c r="AU288" i="8"/>
  <c r="BS288" i="8" s="1"/>
  <c r="AT288" i="8"/>
  <c r="BR288" i="8" s="1"/>
  <c r="AS288" i="8"/>
  <c r="BQ288" i="8" s="1"/>
  <c r="AR288" i="8"/>
  <c r="BP288" i="8" s="1"/>
  <c r="AQ288" i="8"/>
  <c r="BO288" i="8" s="1"/>
  <c r="AP288" i="8"/>
  <c r="BN288" i="8" s="1"/>
  <c r="AO288" i="8"/>
  <c r="BM288" i="8" s="1"/>
  <c r="AN288" i="8"/>
  <c r="BL288" i="8" s="1"/>
  <c r="AM288" i="8"/>
  <c r="BK288" i="8" s="1"/>
  <c r="AL288" i="8"/>
  <c r="BJ288" i="8" s="1"/>
  <c r="AK288" i="8"/>
  <c r="BI288" i="8" s="1"/>
  <c r="AJ288" i="8"/>
  <c r="BH288" i="8" s="1"/>
  <c r="AI288" i="8"/>
  <c r="BG288" i="8" s="1"/>
  <c r="AH288" i="8"/>
  <c r="BF288" i="8" s="1"/>
  <c r="AG288" i="8"/>
  <c r="BE288" i="8" s="1"/>
  <c r="AF288" i="8"/>
  <c r="BD288" i="8" s="1"/>
  <c r="AE288" i="8"/>
  <c r="BC288" i="8" s="1"/>
  <c r="AD288" i="8"/>
  <c r="BB288" i="8" s="1"/>
  <c r="AC288" i="8"/>
  <c r="BA288" i="8" s="1"/>
  <c r="AB288" i="8"/>
  <c r="AZ288" i="8" s="1"/>
  <c r="AA288" i="8"/>
  <c r="AY288" i="8" s="1"/>
  <c r="Z288" i="8"/>
  <c r="AX288" i="8" s="1"/>
  <c r="AW287" i="8"/>
  <c r="BU287" i="8" s="1"/>
  <c r="AV287" i="8"/>
  <c r="BT287" i="8" s="1"/>
  <c r="AU287" i="8"/>
  <c r="BS287" i="8" s="1"/>
  <c r="AT287" i="8"/>
  <c r="BR287" i="8" s="1"/>
  <c r="AS287" i="8"/>
  <c r="BQ287" i="8" s="1"/>
  <c r="AR287" i="8"/>
  <c r="BP287" i="8" s="1"/>
  <c r="AQ287" i="8"/>
  <c r="BO287" i="8" s="1"/>
  <c r="AP287" i="8"/>
  <c r="BN287" i="8" s="1"/>
  <c r="AO287" i="8"/>
  <c r="BM287" i="8" s="1"/>
  <c r="AN287" i="8"/>
  <c r="BL287" i="8" s="1"/>
  <c r="AM287" i="8"/>
  <c r="BK287" i="8" s="1"/>
  <c r="AL287" i="8"/>
  <c r="BJ287" i="8" s="1"/>
  <c r="AK287" i="8"/>
  <c r="BI287" i="8" s="1"/>
  <c r="AJ287" i="8"/>
  <c r="BH287" i="8" s="1"/>
  <c r="AI287" i="8"/>
  <c r="BG287" i="8" s="1"/>
  <c r="AH287" i="8"/>
  <c r="BF287" i="8" s="1"/>
  <c r="AG287" i="8"/>
  <c r="BE287" i="8" s="1"/>
  <c r="AF287" i="8"/>
  <c r="BD287" i="8" s="1"/>
  <c r="AE287" i="8"/>
  <c r="BC287" i="8" s="1"/>
  <c r="AD287" i="8"/>
  <c r="BB287" i="8" s="1"/>
  <c r="AC287" i="8"/>
  <c r="BA287" i="8" s="1"/>
  <c r="AB287" i="8"/>
  <c r="AZ287" i="8" s="1"/>
  <c r="AA287" i="8"/>
  <c r="AY287" i="8" s="1"/>
  <c r="Z287" i="8"/>
  <c r="AX287" i="8" s="1"/>
  <c r="AW286" i="8"/>
  <c r="BU286" i="8" s="1"/>
  <c r="AV286" i="8"/>
  <c r="BT286" i="8" s="1"/>
  <c r="AU286" i="8"/>
  <c r="BS286" i="8" s="1"/>
  <c r="AT286" i="8"/>
  <c r="BR286" i="8" s="1"/>
  <c r="AS286" i="8"/>
  <c r="BQ286" i="8" s="1"/>
  <c r="AR286" i="8"/>
  <c r="BP286" i="8" s="1"/>
  <c r="AQ286" i="8"/>
  <c r="BO286" i="8" s="1"/>
  <c r="AP286" i="8"/>
  <c r="BN286" i="8" s="1"/>
  <c r="AO286" i="8"/>
  <c r="BM286" i="8" s="1"/>
  <c r="AN286" i="8"/>
  <c r="BL286" i="8" s="1"/>
  <c r="AM286" i="8"/>
  <c r="BK286" i="8" s="1"/>
  <c r="AL286" i="8"/>
  <c r="BJ286" i="8" s="1"/>
  <c r="AK286" i="8"/>
  <c r="BI286" i="8" s="1"/>
  <c r="AJ286" i="8"/>
  <c r="BH286" i="8" s="1"/>
  <c r="AI286" i="8"/>
  <c r="BG286" i="8" s="1"/>
  <c r="AH286" i="8"/>
  <c r="BF286" i="8" s="1"/>
  <c r="AG286" i="8"/>
  <c r="BE286" i="8" s="1"/>
  <c r="AF286" i="8"/>
  <c r="BD286" i="8" s="1"/>
  <c r="AE286" i="8"/>
  <c r="BC286" i="8" s="1"/>
  <c r="AD286" i="8"/>
  <c r="BB286" i="8" s="1"/>
  <c r="AC286" i="8"/>
  <c r="BA286" i="8" s="1"/>
  <c r="AB286" i="8"/>
  <c r="AZ286" i="8" s="1"/>
  <c r="AA286" i="8"/>
  <c r="AY286" i="8" s="1"/>
  <c r="Z286" i="8"/>
  <c r="AX286" i="8" s="1"/>
  <c r="AW285" i="8"/>
  <c r="BU285" i="8" s="1"/>
  <c r="AV285" i="8"/>
  <c r="BT285" i="8" s="1"/>
  <c r="AU285" i="8"/>
  <c r="BS285" i="8" s="1"/>
  <c r="AT285" i="8"/>
  <c r="BR285" i="8" s="1"/>
  <c r="AS285" i="8"/>
  <c r="BQ285" i="8" s="1"/>
  <c r="AR285" i="8"/>
  <c r="BP285" i="8" s="1"/>
  <c r="AQ285" i="8"/>
  <c r="BO285" i="8" s="1"/>
  <c r="AP285" i="8"/>
  <c r="BN285" i="8" s="1"/>
  <c r="AO285" i="8"/>
  <c r="BM285" i="8" s="1"/>
  <c r="AN285" i="8"/>
  <c r="BL285" i="8" s="1"/>
  <c r="AM285" i="8"/>
  <c r="BK285" i="8" s="1"/>
  <c r="AL285" i="8"/>
  <c r="BJ285" i="8" s="1"/>
  <c r="AK285" i="8"/>
  <c r="BI285" i="8" s="1"/>
  <c r="AJ285" i="8"/>
  <c r="BH285" i="8" s="1"/>
  <c r="AI285" i="8"/>
  <c r="BG285" i="8" s="1"/>
  <c r="AH285" i="8"/>
  <c r="BF285" i="8" s="1"/>
  <c r="AG285" i="8"/>
  <c r="BE285" i="8" s="1"/>
  <c r="AF285" i="8"/>
  <c r="BD285" i="8" s="1"/>
  <c r="AE285" i="8"/>
  <c r="BC285" i="8" s="1"/>
  <c r="AD285" i="8"/>
  <c r="BB285" i="8" s="1"/>
  <c r="AC285" i="8"/>
  <c r="BA285" i="8" s="1"/>
  <c r="AB285" i="8"/>
  <c r="AZ285" i="8" s="1"/>
  <c r="AA285" i="8"/>
  <c r="AY285" i="8" s="1"/>
  <c r="Z285" i="8"/>
  <c r="AX285" i="8" s="1"/>
  <c r="AW284" i="8"/>
  <c r="BU284" i="8" s="1"/>
  <c r="AV284" i="8"/>
  <c r="BT284" i="8" s="1"/>
  <c r="AU284" i="8"/>
  <c r="BS284" i="8" s="1"/>
  <c r="AT284" i="8"/>
  <c r="BR284" i="8" s="1"/>
  <c r="AS284" i="8"/>
  <c r="BQ284" i="8" s="1"/>
  <c r="AR284" i="8"/>
  <c r="BP284" i="8" s="1"/>
  <c r="AQ284" i="8"/>
  <c r="BO284" i="8" s="1"/>
  <c r="AP284" i="8"/>
  <c r="BN284" i="8" s="1"/>
  <c r="AO284" i="8"/>
  <c r="BM284" i="8" s="1"/>
  <c r="AN284" i="8"/>
  <c r="BL284" i="8" s="1"/>
  <c r="AM284" i="8"/>
  <c r="BK284" i="8" s="1"/>
  <c r="AL284" i="8"/>
  <c r="BJ284" i="8" s="1"/>
  <c r="AK284" i="8"/>
  <c r="BI284" i="8" s="1"/>
  <c r="AJ284" i="8"/>
  <c r="BH284" i="8" s="1"/>
  <c r="AI284" i="8"/>
  <c r="BG284" i="8" s="1"/>
  <c r="AH284" i="8"/>
  <c r="BF284" i="8" s="1"/>
  <c r="AG284" i="8"/>
  <c r="BE284" i="8" s="1"/>
  <c r="AF284" i="8"/>
  <c r="BD284" i="8" s="1"/>
  <c r="AE284" i="8"/>
  <c r="BC284" i="8" s="1"/>
  <c r="AD284" i="8"/>
  <c r="BB284" i="8" s="1"/>
  <c r="AC284" i="8"/>
  <c r="BA284" i="8" s="1"/>
  <c r="AB284" i="8"/>
  <c r="AZ284" i="8" s="1"/>
  <c r="AA284" i="8"/>
  <c r="AY284" i="8" s="1"/>
  <c r="Z284" i="8"/>
  <c r="AX284" i="8" s="1"/>
  <c r="AW283" i="8"/>
  <c r="BU283" i="8" s="1"/>
  <c r="AV283" i="8"/>
  <c r="BT283" i="8" s="1"/>
  <c r="AU283" i="8"/>
  <c r="BS283" i="8" s="1"/>
  <c r="AT283" i="8"/>
  <c r="BR283" i="8" s="1"/>
  <c r="AS283" i="8"/>
  <c r="BQ283" i="8" s="1"/>
  <c r="AR283" i="8"/>
  <c r="BP283" i="8" s="1"/>
  <c r="AQ283" i="8"/>
  <c r="BO283" i="8" s="1"/>
  <c r="AP283" i="8"/>
  <c r="BN283" i="8" s="1"/>
  <c r="AO283" i="8"/>
  <c r="BM283" i="8" s="1"/>
  <c r="AN283" i="8"/>
  <c r="BL283" i="8" s="1"/>
  <c r="AM283" i="8"/>
  <c r="BK283" i="8" s="1"/>
  <c r="AL283" i="8"/>
  <c r="BJ283" i="8" s="1"/>
  <c r="AK283" i="8"/>
  <c r="BI283" i="8" s="1"/>
  <c r="AJ283" i="8"/>
  <c r="BH283" i="8" s="1"/>
  <c r="AI283" i="8"/>
  <c r="BG283" i="8" s="1"/>
  <c r="AH283" i="8"/>
  <c r="BF283" i="8" s="1"/>
  <c r="AG283" i="8"/>
  <c r="BE283" i="8" s="1"/>
  <c r="AF283" i="8"/>
  <c r="BD283" i="8" s="1"/>
  <c r="AE283" i="8"/>
  <c r="BC283" i="8" s="1"/>
  <c r="AD283" i="8"/>
  <c r="BB283" i="8" s="1"/>
  <c r="AC283" i="8"/>
  <c r="BA283" i="8" s="1"/>
  <c r="AB283" i="8"/>
  <c r="AZ283" i="8" s="1"/>
  <c r="AA283" i="8"/>
  <c r="AY283" i="8" s="1"/>
  <c r="Z283" i="8"/>
  <c r="AX283" i="8" s="1"/>
  <c r="AW282" i="8"/>
  <c r="BU282" i="8" s="1"/>
  <c r="AV282" i="8"/>
  <c r="BT282" i="8" s="1"/>
  <c r="AU282" i="8"/>
  <c r="BS282" i="8" s="1"/>
  <c r="AT282" i="8"/>
  <c r="BR282" i="8" s="1"/>
  <c r="AS282" i="8"/>
  <c r="BQ282" i="8" s="1"/>
  <c r="AR282" i="8"/>
  <c r="BP282" i="8" s="1"/>
  <c r="AQ282" i="8"/>
  <c r="BO282" i="8" s="1"/>
  <c r="AP282" i="8"/>
  <c r="BN282" i="8" s="1"/>
  <c r="AO282" i="8"/>
  <c r="BM282" i="8" s="1"/>
  <c r="AN282" i="8"/>
  <c r="BL282" i="8" s="1"/>
  <c r="AM282" i="8"/>
  <c r="BK282" i="8" s="1"/>
  <c r="AL282" i="8"/>
  <c r="BJ282" i="8" s="1"/>
  <c r="AK282" i="8"/>
  <c r="BI282" i="8" s="1"/>
  <c r="AJ282" i="8"/>
  <c r="BH282" i="8" s="1"/>
  <c r="AI282" i="8"/>
  <c r="BG282" i="8" s="1"/>
  <c r="AH282" i="8"/>
  <c r="BF282" i="8" s="1"/>
  <c r="AG282" i="8"/>
  <c r="BE282" i="8" s="1"/>
  <c r="AF282" i="8"/>
  <c r="BD282" i="8" s="1"/>
  <c r="AE282" i="8"/>
  <c r="BC282" i="8" s="1"/>
  <c r="AD282" i="8"/>
  <c r="BB282" i="8" s="1"/>
  <c r="AC282" i="8"/>
  <c r="BA282" i="8" s="1"/>
  <c r="AB282" i="8"/>
  <c r="AZ282" i="8" s="1"/>
  <c r="AA282" i="8"/>
  <c r="AY282" i="8" s="1"/>
  <c r="Z282" i="8"/>
  <c r="AX282" i="8" s="1"/>
  <c r="AW281" i="8"/>
  <c r="BU281" i="8" s="1"/>
  <c r="AV281" i="8"/>
  <c r="BT281" i="8" s="1"/>
  <c r="AU281" i="8"/>
  <c r="BS281" i="8" s="1"/>
  <c r="AT281" i="8"/>
  <c r="BR281" i="8" s="1"/>
  <c r="AS281" i="8"/>
  <c r="BQ281" i="8" s="1"/>
  <c r="AR281" i="8"/>
  <c r="BP281" i="8" s="1"/>
  <c r="AQ281" i="8"/>
  <c r="BO281" i="8" s="1"/>
  <c r="AP281" i="8"/>
  <c r="BN281" i="8" s="1"/>
  <c r="AO281" i="8"/>
  <c r="BM281" i="8" s="1"/>
  <c r="AN281" i="8"/>
  <c r="BL281" i="8" s="1"/>
  <c r="AM281" i="8"/>
  <c r="BK281" i="8" s="1"/>
  <c r="AL281" i="8"/>
  <c r="BJ281" i="8" s="1"/>
  <c r="AK281" i="8"/>
  <c r="BI281" i="8" s="1"/>
  <c r="AJ281" i="8"/>
  <c r="BH281" i="8" s="1"/>
  <c r="AI281" i="8"/>
  <c r="BG281" i="8" s="1"/>
  <c r="AH281" i="8"/>
  <c r="BF281" i="8" s="1"/>
  <c r="AG281" i="8"/>
  <c r="BE281" i="8" s="1"/>
  <c r="AF281" i="8"/>
  <c r="BD281" i="8" s="1"/>
  <c r="AE281" i="8"/>
  <c r="BC281" i="8" s="1"/>
  <c r="AD281" i="8"/>
  <c r="BB281" i="8" s="1"/>
  <c r="AC281" i="8"/>
  <c r="BA281" i="8" s="1"/>
  <c r="AB281" i="8"/>
  <c r="AZ281" i="8" s="1"/>
  <c r="AA281" i="8"/>
  <c r="AY281" i="8" s="1"/>
  <c r="Z281" i="8"/>
  <c r="AX281" i="8" s="1"/>
  <c r="AW280" i="8"/>
  <c r="BU280" i="8" s="1"/>
  <c r="AV280" i="8"/>
  <c r="BT280" i="8" s="1"/>
  <c r="AU280" i="8"/>
  <c r="BS280" i="8" s="1"/>
  <c r="AT280" i="8"/>
  <c r="BR280" i="8" s="1"/>
  <c r="AS280" i="8"/>
  <c r="BQ280" i="8" s="1"/>
  <c r="AR280" i="8"/>
  <c r="BP280" i="8" s="1"/>
  <c r="AQ280" i="8"/>
  <c r="BO280" i="8" s="1"/>
  <c r="AP280" i="8"/>
  <c r="BN280" i="8" s="1"/>
  <c r="AO280" i="8"/>
  <c r="BM280" i="8" s="1"/>
  <c r="AN280" i="8"/>
  <c r="BL280" i="8" s="1"/>
  <c r="AM280" i="8"/>
  <c r="BK280" i="8" s="1"/>
  <c r="AL280" i="8"/>
  <c r="BJ280" i="8" s="1"/>
  <c r="AK280" i="8"/>
  <c r="BI280" i="8" s="1"/>
  <c r="AJ280" i="8"/>
  <c r="BH280" i="8" s="1"/>
  <c r="AI280" i="8"/>
  <c r="BG280" i="8" s="1"/>
  <c r="AH280" i="8"/>
  <c r="BF280" i="8" s="1"/>
  <c r="AG280" i="8"/>
  <c r="BE280" i="8" s="1"/>
  <c r="AF280" i="8"/>
  <c r="BD280" i="8" s="1"/>
  <c r="AE280" i="8"/>
  <c r="BC280" i="8" s="1"/>
  <c r="AD280" i="8"/>
  <c r="BB280" i="8" s="1"/>
  <c r="AC280" i="8"/>
  <c r="BA280" i="8" s="1"/>
  <c r="AB280" i="8"/>
  <c r="AZ280" i="8" s="1"/>
  <c r="AA280" i="8"/>
  <c r="AY280" i="8" s="1"/>
  <c r="Z280" i="8"/>
  <c r="AX280" i="8" s="1"/>
  <c r="AW279" i="8"/>
  <c r="BU279" i="8" s="1"/>
  <c r="AV279" i="8"/>
  <c r="BT279" i="8" s="1"/>
  <c r="AU279" i="8"/>
  <c r="BS279" i="8" s="1"/>
  <c r="AT279" i="8"/>
  <c r="BR279" i="8" s="1"/>
  <c r="AS279" i="8"/>
  <c r="BQ279" i="8" s="1"/>
  <c r="AR279" i="8"/>
  <c r="BP279" i="8" s="1"/>
  <c r="AQ279" i="8"/>
  <c r="BO279" i="8" s="1"/>
  <c r="AP279" i="8"/>
  <c r="BN279" i="8" s="1"/>
  <c r="AO279" i="8"/>
  <c r="BM279" i="8" s="1"/>
  <c r="AN279" i="8"/>
  <c r="BL279" i="8" s="1"/>
  <c r="AM279" i="8"/>
  <c r="BK279" i="8" s="1"/>
  <c r="AL279" i="8"/>
  <c r="BJ279" i="8" s="1"/>
  <c r="AK279" i="8"/>
  <c r="BI279" i="8" s="1"/>
  <c r="AJ279" i="8"/>
  <c r="BH279" i="8" s="1"/>
  <c r="AI279" i="8"/>
  <c r="BG279" i="8" s="1"/>
  <c r="AH279" i="8"/>
  <c r="BF279" i="8" s="1"/>
  <c r="AG279" i="8"/>
  <c r="BE279" i="8" s="1"/>
  <c r="AF279" i="8"/>
  <c r="BD279" i="8" s="1"/>
  <c r="AE279" i="8"/>
  <c r="BC279" i="8" s="1"/>
  <c r="AD279" i="8"/>
  <c r="BB279" i="8" s="1"/>
  <c r="AC279" i="8"/>
  <c r="BA279" i="8" s="1"/>
  <c r="AB279" i="8"/>
  <c r="AZ279" i="8" s="1"/>
  <c r="AA279" i="8"/>
  <c r="AY279" i="8" s="1"/>
  <c r="Z279" i="8"/>
  <c r="AX279" i="8" s="1"/>
  <c r="AW278" i="8"/>
  <c r="BU278" i="8" s="1"/>
  <c r="AV278" i="8"/>
  <c r="BT278" i="8" s="1"/>
  <c r="AU278" i="8"/>
  <c r="BS278" i="8" s="1"/>
  <c r="AT278" i="8"/>
  <c r="BR278" i="8" s="1"/>
  <c r="AS278" i="8"/>
  <c r="BQ278" i="8" s="1"/>
  <c r="AR278" i="8"/>
  <c r="BP278" i="8" s="1"/>
  <c r="AQ278" i="8"/>
  <c r="BO278" i="8" s="1"/>
  <c r="AP278" i="8"/>
  <c r="BN278" i="8" s="1"/>
  <c r="AO278" i="8"/>
  <c r="BM278" i="8" s="1"/>
  <c r="AN278" i="8"/>
  <c r="BL278" i="8" s="1"/>
  <c r="AM278" i="8"/>
  <c r="BK278" i="8" s="1"/>
  <c r="AL278" i="8"/>
  <c r="BJ278" i="8" s="1"/>
  <c r="AK278" i="8"/>
  <c r="BI278" i="8" s="1"/>
  <c r="AJ278" i="8"/>
  <c r="BH278" i="8" s="1"/>
  <c r="AI278" i="8"/>
  <c r="BG278" i="8" s="1"/>
  <c r="AH278" i="8"/>
  <c r="BF278" i="8" s="1"/>
  <c r="AG278" i="8"/>
  <c r="BE278" i="8" s="1"/>
  <c r="AF278" i="8"/>
  <c r="BD278" i="8" s="1"/>
  <c r="AE278" i="8"/>
  <c r="BC278" i="8" s="1"/>
  <c r="AD278" i="8"/>
  <c r="BB278" i="8" s="1"/>
  <c r="AC278" i="8"/>
  <c r="BA278" i="8" s="1"/>
  <c r="AB278" i="8"/>
  <c r="AZ278" i="8" s="1"/>
  <c r="AA278" i="8"/>
  <c r="AY278" i="8" s="1"/>
  <c r="Z278" i="8"/>
  <c r="AX278" i="8" s="1"/>
  <c r="AW277" i="8"/>
  <c r="BU277" i="8" s="1"/>
  <c r="AV277" i="8"/>
  <c r="BT277" i="8" s="1"/>
  <c r="AU277" i="8"/>
  <c r="BS277" i="8" s="1"/>
  <c r="AT277" i="8"/>
  <c r="BR277" i="8" s="1"/>
  <c r="AS277" i="8"/>
  <c r="BQ277" i="8" s="1"/>
  <c r="AR277" i="8"/>
  <c r="BP277" i="8" s="1"/>
  <c r="AQ277" i="8"/>
  <c r="BO277" i="8" s="1"/>
  <c r="AP277" i="8"/>
  <c r="BN277" i="8" s="1"/>
  <c r="AO277" i="8"/>
  <c r="BM277" i="8" s="1"/>
  <c r="AN277" i="8"/>
  <c r="BL277" i="8" s="1"/>
  <c r="AM277" i="8"/>
  <c r="BK277" i="8" s="1"/>
  <c r="AL277" i="8"/>
  <c r="BJ277" i="8" s="1"/>
  <c r="AK277" i="8"/>
  <c r="BI277" i="8" s="1"/>
  <c r="AJ277" i="8"/>
  <c r="BH277" i="8" s="1"/>
  <c r="AI277" i="8"/>
  <c r="BG277" i="8" s="1"/>
  <c r="AH277" i="8"/>
  <c r="BF277" i="8" s="1"/>
  <c r="AG277" i="8"/>
  <c r="BE277" i="8" s="1"/>
  <c r="AF277" i="8"/>
  <c r="BD277" i="8" s="1"/>
  <c r="AE277" i="8"/>
  <c r="BC277" i="8" s="1"/>
  <c r="AD277" i="8"/>
  <c r="BB277" i="8" s="1"/>
  <c r="AC277" i="8"/>
  <c r="BA277" i="8" s="1"/>
  <c r="AB277" i="8"/>
  <c r="AZ277" i="8" s="1"/>
  <c r="AA277" i="8"/>
  <c r="AY277" i="8" s="1"/>
  <c r="Z277" i="8"/>
  <c r="AX277" i="8" s="1"/>
  <c r="AW276" i="8"/>
  <c r="BU276" i="8" s="1"/>
  <c r="AV276" i="8"/>
  <c r="BT276" i="8" s="1"/>
  <c r="AU276" i="8"/>
  <c r="BS276" i="8" s="1"/>
  <c r="AT276" i="8"/>
  <c r="BR276" i="8" s="1"/>
  <c r="AS276" i="8"/>
  <c r="BQ276" i="8" s="1"/>
  <c r="AR276" i="8"/>
  <c r="BP276" i="8" s="1"/>
  <c r="AQ276" i="8"/>
  <c r="BO276" i="8" s="1"/>
  <c r="AP276" i="8"/>
  <c r="BN276" i="8" s="1"/>
  <c r="AO276" i="8"/>
  <c r="BM276" i="8" s="1"/>
  <c r="AN276" i="8"/>
  <c r="BL276" i="8" s="1"/>
  <c r="AM276" i="8"/>
  <c r="BK276" i="8" s="1"/>
  <c r="AL276" i="8"/>
  <c r="BJ276" i="8" s="1"/>
  <c r="AK276" i="8"/>
  <c r="BI276" i="8" s="1"/>
  <c r="AJ276" i="8"/>
  <c r="BH276" i="8" s="1"/>
  <c r="AI276" i="8"/>
  <c r="BG276" i="8" s="1"/>
  <c r="AH276" i="8"/>
  <c r="BF276" i="8" s="1"/>
  <c r="AG276" i="8"/>
  <c r="BE276" i="8" s="1"/>
  <c r="AF276" i="8"/>
  <c r="BD276" i="8" s="1"/>
  <c r="AE276" i="8"/>
  <c r="BC276" i="8" s="1"/>
  <c r="AD276" i="8"/>
  <c r="BB276" i="8" s="1"/>
  <c r="AC276" i="8"/>
  <c r="BA276" i="8" s="1"/>
  <c r="AB276" i="8"/>
  <c r="AZ276" i="8" s="1"/>
  <c r="AA276" i="8"/>
  <c r="AY276" i="8" s="1"/>
  <c r="Z276" i="8"/>
  <c r="AX276" i="8" s="1"/>
  <c r="AW275" i="8"/>
  <c r="BU275" i="8" s="1"/>
  <c r="AV275" i="8"/>
  <c r="BT275" i="8" s="1"/>
  <c r="AU275" i="8"/>
  <c r="BS275" i="8" s="1"/>
  <c r="AT275" i="8"/>
  <c r="BR275" i="8" s="1"/>
  <c r="AS275" i="8"/>
  <c r="BQ275" i="8" s="1"/>
  <c r="AR275" i="8"/>
  <c r="BP275" i="8" s="1"/>
  <c r="AQ275" i="8"/>
  <c r="BO275" i="8" s="1"/>
  <c r="AP275" i="8"/>
  <c r="BN275" i="8" s="1"/>
  <c r="AO275" i="8"/>
  <c r="BM275" i="8" s="1"/>
  <c r="AN275" i="8"/>
  <c r="BL275" i="8" s="1"/>
  <c r="AM275" i="8"/>
  <c r="BK275" i="8" s="1"/>
  <c r="AL275" i="8"/>
  <c r="BJ275" i="8" s="1"/>
  <c r="AK275" i="8"/>
  <c r="BI275" i="8" s="1"/>
  <c r="AJ275" i="8"/>
  <c r="BH275" i="8" s="1"/>
  <c r="AI275" i="8"/>
  <c r="BG275" i="8" s="1"/>
  <c r="AH275" i="8"/>
  <c r="BF275" i="8" s="1"/>
  <c r="AG275" i="8"/>
  <c r="BE275" i="8" s="1"/>
  <c r="AF275" i="8"/>
  <c r="BD275" i="8" s="1"/>
  <c r="AE275" i="8"/>
  <c r="BC275" i="8" s="1"/>
  <c r="AD275" i="8"/>
  <c r="BB275" i="8" s="1"/>
  <c r="AC275" i="8"/>
  <c r="BA275" i="8" s="1"/>
  <c r="AB275" i="8"/>
  <c r="AZ275" i="8" s="1"/>
  <c r="AA275" i="8"/>
  <c r="AY275" i="8" s="1"/>
  <c r="Z275" i="8"/>
  <c r="AX275" i="8" s="1"/>
  <c r="AW274" i="8"/>
  <c r="BU274" i="8" s="1"/>
  <c r="AV274" i="8"/>
  <c r="BT274" i="8" s="1"/>
  <c r="AU274" i="8"/>
  <c r="BS274" i="8" s="1"/>
  <c r="AT274" i="8"/>
  <c r="BR274" i="8" s="1"/>
  <c r="AS274" i="8"/>
  <c r="BQ274" i="8" s="1"/>
  <c r="AR274" i="8"/>
  <c r="BP274" i="8" s="1"/>
  <c r="AQ274" i="8"/>
  <c r="BO274" i="8" s="1"/>
  <c r="AP274" i="8"/>
  <c r="BN274" i="8" s="1"/>
  <c r="AO274" i="8"/>
  <c r="BM274" i="8" s="1"/>
  <c r="AN274" i="8"/>
  <c r="BL274" i="8" s="1"/>
  <c r="AM274" i="8"/>
  <c r="BK274" i="8" s="1"/>
  <c r="AL274" i="8"/>
  <c r="BJ274" i="8" s="1"/>
  <c r="AK274" i="8"/>
  <c r="BI274" i="8" s="1"/>
  <c r="AJ274" i="8"/>
  <c r="BH274" i="8" s="1"/>
  <c r="AI274" i="8"/>
  <c r="BG274" i="8" s="1"/>
  <c r="AH274" i="8"/>
  <c r="BF274" i="8" s="1"/>
  <c r="AG274" i="8"/>
  <c r="BE274" i="8" s="1"/>
  <c r="AF274" i="8"/>
  <c r="BD274" i="8" s="1"/>
  <c r="AE274" i="8"/>
  <c r="BC274" i="8" s="1"/>
  <c r="AD274" i="8"/>
  <c r="BB274" i="8" s="1"/>
  <c r="AC274" i="8"/>
  <c r="BA274" i="8" s="1"/>
  <c r="AB274" i="8"/>
  <c r="AZ274" i="8" s="1"/>
  <c r="AA274" i="8"/>
  <c r="AY274" i="8" s="1"/>
  <c r="Z274" i="8"/>
  <c r="AX274" i="8" s="1"/>
  <c r="AW273" i="8"/>
  <c r="BU273" i="8" s="1"/>
  <c r="AV273" i="8"/>
  <c r="BT273" i="8" s="1"/>
  <c r="AU273" i="8"/>
  <c r="BS273" i="8" s="1"/>
  <c r="AT273" i="8"/>
  <c r="BR273" i="8" s="1"/>
  <c r="AS273" i="8"/>
  <c r="BQ273" i="8" s="1"/>
  <c r="AR273" i="8"/>
  <c r="BP273" i="8" s="1"/>
  <c r="AQ273" i="8"/>
  <c r="BO273" i="8" s="1"/>
  <c r="AP273" i="8"/>
  <c r="BN273" i="8" s="1"/>
  <c r="AO273" i="8"/>
  <c r="BM273" i="8" s="1"/>
  <c r="AN273" i="8"/>
  <c r="BL273" i="8" s="1"/>
  <c r="AM273" i="8"/>
  <c r="BK273" i="8" s="1"/>
  <c r="AL273" i="8"/>
  <c r="BJ273" i="8" s="1"/>
  <c r="AK273" i="8"/>
  <c r="BI273" i="8" s="1"/>
  <c r="AJ273" i="8"/>
  <c r="BH273" i="8" s="1"/>
  <c r="AI273" i="8"/>
  <c r="BG273" i="8" s="1"/>
  <c r="AH273" i="8"/>
  <c r="BF273" i="8" s="1"/>
  <c r="AG273" i="8"/>
  <c r="BE273" i="8" s="1"/>
  <c r="AF273" i="8"/>
  <c r="BD273" i="8" s="1"/>
  <c r="AE273" i="8"/>
  <c r="BC273" i="8" s="1"/>
  <c r="AD273" i="8"/>
  <c r="BB273" i="8" s="1"/>
  <c r="AC273" i="8"/>
  <c r="BA273" i="8" s="1"/>
  <c r="AB273" i="8"/>
  <c r="AZ273" i="8" s="1"/>
  <c r="AA273" i="8"/>
  <c r="AY273" i="8" s="1"/>
  <c r="Z273" i="8"/>
  <c r="AX273" i="8" s="1"/>
  <c r="AW272" i="8"/>
  <c r="BU272" i="8" s="1"/>
  <c r="AV272" i="8"/>
  <c r="BT272" i="8" s="1"/>
  <c r="AU272" i="8"/>
  <c r="BS272" i="8" s="1"/>
  <c r="AT272" i="8"/>
  <c r="BR272" i="8" s="1"/>
  <c r="AS272" i="8"/>
  <c r="BQ272" i="8" s="1"/>
  <c r="AR272" i="8"/>
  <c r="BP272" i="8" s="1"/>
  <c r="AQ272" i="8"/>
  <c r="BO272" i="8" s="1"/>
  <c r="AP272" i="8"/>
  <c r="BN272" i="8" s="1"/>
  <c r="AO272" i="8"/>
  <c r="BM272" i="8" s="1"/>
  <c r="AN272" i="8"/>
  <c r="BL272" i="8" s="1"/>
  <c r="AM272" i="8"/>
  <c r="BK272" i="8" s="1"/>
  <c r="AL272" i="8"/>
  <c r="BJ272" i="8" s="1"/>
  <c r="AK272" i="8"/>
  <c r="BI272" i="8" s="1"/>
  <c r="AJ272" i="8"/>
  <c r="BH272" i="8" s="1"/>
  <c r="AI272" i="8"/>
  <c r="BG272" i="8" s="1"/>
  <c r="AH272" i="8"/>
  <c r="BF272" i="8" s="1"/>
  <c r="AG272" i="8"/>
  <c r="BE272" i="8" s="1"/>
  <c r="AF272" i="8"/>
  <c r="BD272" i="8" s="1"/>
  <c r="AE272" i="8"/>
  <c r="BC272" i="8" s="1"/>
  <c r="AD272" i="8"/>
  <c r="BB272" i="8" s="1"/>
  <c r="AC272" i="8"/>
  <c r="BA272" i="8" s="1"/>
  <c r="AB272" i="8"/>
  <c r="AZ272" i="8" s="1"/>
  <c r="AA272" i="8"/>
  <c r="AY272" i="8" s="1"/>
  <c r="Z272" i="8"/>
  <c r="AX272" i="8" s="1"/>
  <c r="AW271" i="8"/>
  <c r="BU271" i="8" s="1"/>
  <c r="AV271" i="8"/>
  <c r="BT271" i="8" s="1"/>
  <c r="AU271" i="8"/>
  <c r="BS271" i="8" s="1"/>
  <c r="AT271" i="8"/>
  <c r="BR271" i="8" s="1"/>
  <c r="AS271" i="8"/>
  <c r="BQ271" i="8" s="1"/>
  <c r="AR271" i="8"/>
  <c r="BP271" i="8" s="1"/>
  <c r="AQ271" i="8"/>
  <c r="BO271" i="8" s="1"/>
  <c r="AP271" i="8"/>
  <c r="BN271" i="8" s="1"/>
  <c r="AO271" i="8"/>
  <c r="BM271" i="8" s="1"/>
  <c r="AN271" i="8"/>
  <c r="BL271" i="8" s="1"/>
  <c r="AM271" i="8"/>
  <c r="BK271" i="8" s="1"/>
  <c r="AL271" i="8"/>
  <c r="BJ271" i="8" s="1"/>
  <c r="AK271" i="8"/>
  <c r="BI271" i="8" s="1"/>
  <c r="AJ271" i="8"/>
  <c r="BH271" i="8" s="1"/>
  <c r="AI271" i="8"/>
  <c r="BG271" i="8" s="1"/>
  <c r="AH271" i="8"/>
  <c r="BF271" i="8" s="1"/>
  <c r="AG271" i="8"/>
  <c r="BE271" i="8" s="1"/>
  <c r="AF271" i="8"/>
  <c r="BD271" i="8" s="1"/>
  <c r="AE271" i="8"/>
  <c r="BC271" i="8" s="1"/>
  <c r="AD271" i="8"/>
  <c r="BB271" i="8" s="1"/>
  <c r="AC271" i="8"/>
  <c r="BA271" i="8" s="1"/>
  <c r="AB271" i="8"/>
  <c r="AZ271" i="8" s="1"/>
  <c r="AA271" i="8"/>
  <c r="AY271" i="8" s="1"/>
  <c r="Z271" i="8"/>
  <c r="AX271" i="8" s="1"/>
  <c r="AW270" i="8"/>
  <c r="BU270" i="8" s="1"/>
  <c r="AV270" i="8"/>
  <c r="BT270" i="8" s="1"/>
  <c r="AU270" i="8"/>
  <c r="BS270" i="8" s="1"/>
  <c r="AT270" i="8"/>
  <c r="BR270" i="8" s="1"/>
  <c r="AS270" i="8"/>
  <c r="BQ270" i="8" s="1"/>
  <c r="AR270" i="8"/>
  <c r="BP270" i="8" s="1"/>
  <c r="AQ270" i="8"/>
  <c r="BO270" i="8" s="1"/>
  <c r="AP270" i="8"/>
  <c r="BN270" i="8" s="1"/>
  <c r="AO270" i="8"/>
  <c r="BM270" i="8" s="1"/>
  <c r="AN270" i="8"/>
  <c r="BL270" i="8" s="1"/>
  <c r="AM270" i="8"/>
  <c r="BK270" i="8" s="1"/>
  <c r="AL270" i="8"/>
  <c r="BJ270" i="8" s="1"/>
  <c r="AK270" i="8"/>
  <c r="BI270" i="8" s="1"/>
  <c r="AJ270" i="8"/>
  <c r="BH270" i="8" s="1"/>
  <c r="AI270" i="8"/>
  <c r="BG270" i="8" s="1"/>
  <c r="AH270" i="8"/>
  <c r="BF270" i="8" s="1"/>
  <c r="AG270" i="8"/>
  <c r="BE270" i="8" s="1"/>
  <c r="AF270" i="8"/>
  <c r="BD270" i="8" s="1"/>
  <c r="AE270" i="8"/>
  <c r="BC270" i="8" s="1"/>
  <c r="AD270" i="8"/>
  <c r="BB270" i="8" s="1"/>
  <c r="AC270" i="8"/>
  <c r="BA270" i="8" s="1"/>
  <c r="AB270" i="8"/>
  <c r="AZ270" i="8" s="1"/>
  <c r="AA270" i="8"/>
  <c r="AY270" i="8" s="1"/>
  <c r="Z270" i="8"/>
  <c r="AX270" i="8" s="1"/>
  <c r="AW269" i="8"/>
  <c r="BU269" i="8" s="1"/>
  <c r="AV269" i="8"/>
  <c r="BT269" i="8" s="1"/>
  <c r="AU269" i="8"/>
  <c r="BS269" i="8" s="1"/>
  <c r="AT269" i="8"/>
  <c r="BR269" i="8" s="1"/>
  <c r="AS269" i="8"/>
  <c r="BQ269" i="8" s="1"/>
  <c r="AR269" i="8"/>
  <c r="BP269" i="8" s="1"/>
  <c r="AQ269" i="8"/>
  <c r="BO269" i="8" s="1"/>
  <c r="AP269" i="8"/>
  <c r="BN269" i="8" s="1"/>
  <c r="AO269" i="8"/>
  <c r="BM269" i="8" s="1"/>
  <c r="AN269" i="8"/>
  <c r="BL269" i="8" s="1"/>
  <c r="AM269" i="8"/>
  <c r="BK269" i="8" s="1"/>
  <c r="AL269" i="8"/>
  <c r="BJ269" i="8" s="1"/>
  <c r="AK269" i="8"/>
  <c r="BI269" i="8" s="1"/>
  <c r="AJ269" i="8"/>
  <c r="BH269" i="8" s="1"/>
  <c r="AI269" i="8"/>
  <c r="BG269" i="8" s="1"/>
  <c r="AH269" i="8"/>
  <c r="BF269" i="8" s="1"/>
  <c r="AG269" i="8"/>
  <c r="BE269" i="8" s="1"/>
  <c r="AF269" i="8"/>
  <c r="BD269" i="8" s="1"/>
  <c r="AE269" i="8"/>
  <c r="BC269" i="8" s="1"/>
  <c r="AD269" i="8"/>
  <c r="BB269" i="8" s="1"/>
  <c r="AC269" i="8"/>
  <c r="BA269" i="8" s="1"/>
  <c r="AB269" i="8"/>
  <c r="AZ269" i="8" s="1"/>
  <c r="AA269" i="8"/>
  <c r="AY269" i="8" s="1"/>
  <c r="Z269" i="8"/>
  <c r="AX269" i="8" s="1"/>
  <c r="AW268" i="8"/>
  <c r="BU268" i="8" s="1"/>
  <c r="AV268" i="8"/>
  <c r="BT268" i="8" s="1"/>
  <c r="AU268" i="8"/>
  <c r="BS268" i="8" s="1"/>
  <c r="AT268" i="8"/>
  <c r="BR268" i="8" s="1"/>
  <c r="AS268" i="8"/>
  <c r="BQ268" i="8" s="1"/>
  <c r="AR268" i="8"/>
  <c r="BP268" i="8" s="1"/>
  <c r="AQ268" i="8"/>
  <c r="BO268" i="8" s="1"/>
  <c r="AP268" i="8"/>
  <c r="BN268" i="8" s="1"/>
  <c r="AO268" i="8"/>
  <c r="BM268" i="8" s="1"/>
  <c r="AN268" i="8"/>
  <c r="BL268" i="8" s="1"/>
  <c r="AM268" i="8"/>
  <c r="BK268" i="8" s="1"/>
  <c r="AL268" i="8"/>
  <c r="BJ268" i="8" s="1"/>
  <c r="AK268" i="8"/>
  <c r="BI268" i="8" s="1"/>
  <c r="AJ268" i="8"/>
  <c r="BH268" i="8" s="1"/>
  <c r="AI268" i="8"/>
  <c r="BG268" i="8" s="1"/>
  <c r="AH268" i="8"/>
  <c r="BF268" i="8" s="1"/>
  <c r="AG268" i="8"/>
  <c r="BE268" i="8" s="1"/>
  <c r="AF268" i="8"/>
  <c r="BD268" i="8" s="1"/>
  <c r="AE268" i="8"/>
  <c r="BC268" i="8" s="1"/>
  <c r="AD268" i="8"/>
  <c r="BB268" i="8" s="1"/>
  <c r="AC268" i="8"/>
  <c r="BA268" i="8" s="1"/>
  <c r="AB268" i="8"/>
  <c r="AZ268" i="8" s="1"/>
  <c r="AA268" i="8"/>
  <c r="AY268" i="8" s="1"/>
  <c r="Z268" i="8"/>
  <c r="AX268" i="8" s="1"/>
  <c r="AW267" i="8"/>
  <c r="BU267" i="8" s="1"/>
  <c r="AV267" i="8"/>
  <c r="BT267" i="8" s="1"/>
  <c r="AU267" i="8"/>
  <c r="BS267" i="8" s="1"/>
  <c r="AT267" i="8"/>
  <c r="BR267" i="8" s="1"/>
  <c r="AS267" i="8"/>
  <c r="BQ267" i="8" s="1"/>
  <c r="AR267" i="8"/>
  <c r="BP267" i="8" s="1"/>
  <c r="AQ267" i="8"/>
  <c r="BO267" i="8" s="1"/>
  <c r="AP267" i="8"/>
  <c r="BN267" i="8" s="1"/>
  <c r="AO267" i="8"/>
  <c r="BM267" i="8" s="1"/>
  <c r="AN267" i="8"/>
  <c r="BL267" i="8" s="1"/>
  <c r="AM267" i="8"/>
  <c r="BK267" i="8" s="1"/>
  <c r="AL267" i="8"/>
  <c r="BJ267" i="8" s="1"/>
  <c r="AK267" i="8"/>
  <c r="BI267" i="8" s="1"/>
  <c r="AJ267" i="8"/>
  <c r="BH267" i="8" s="1"/>
  <c r="AI267" i="8"/>
  <c r="BG267" i="8" s="1"/>
  <c r="AH267" i="8"/>
  <c r="BF267" i="8" s="1"/>
  <c r="AG267" i="8"/>
  <c r="BE267" i="8" s="1"/>
  <c r="AF267" i="8"/>
  <c r="BD267" i="8" s="1"/>
  <c r="AE267" i="8"/>
  <c r="BC267" i="8" s="1"/>
  <c r="AD267" i="8"/>
  <c r="BB267" i="8" s="1"/>
  <c r="AC267" i="8"/>
  <c r="BA267" i="8" s="1"/>
  <c r="AB267" i="8"/>
  <c r="AZ267" i="8" s="1"/>
  <c r="AA267" i="8"/>
  <c r="AY267" i="8" s="1"/>
  <c r="Z267" i="8"/>
  <c r="AX267" i="8" s="1"/>
  <c r="AW266" i="8"/>
  <c r="BU266" i="8" s="1"/>
  <c r="AV266" i="8"/>
  <c r="BT266" i="8" s="1"/>
  <c r="AU266" i="8"/>
  <c r="BS266" i="8" s="1"/>
  <c r="AT266" i="8"/>
  <c r="BR266" i="8" s="1"/>
  <c r="AS266" i="8"/>
  <c r="BQ266" i="8" s="1"/>
  <c r="AR266" i="8"/>
  <c r="BP266" i="8" s="1"/>
  <c r="AQ266" i="8"/>
  <c r="BO266" i="8" s="1"/>
  <c r="AP266" i="8"/>
  <c r="BN266" i="8" s="1"/>
  <c r="AO266" i="8"/>
  <c r="BM266" i="8" s="1"/>
  <c r="AN266" i="8"/>
  <c r="BL266" i="8" s="1"/>
  <c r="AM266" i="8"/>
  <c r="BK266" i="8" s="1"/>
  <c r="AL266" i="8"/>
  <c r="BJ266" i="8" s="1"/>
  <c r="AK266" i="8"/>
  <c r="BI266" i="8" s="1"/>
  <c r="AJ266" i="8"/>
  <c r="BH266" i="8" s="1"/>
  <c r="AI266" i="8"/>
  <c r="BG266" i="8" s="1"/>
  <c r="AH266" i="8"/>
  <c r="BF266" i="8" s="1"/>
  <c r="AG266" i="8"/>
  <c r="BE266" i="8" s="1"/>
  <c r="AF266" i="8"/>
  <c r="BD266" i="8" s="1"/>
  <c r="AE266" i="8"/>
  <c r="BC266" i="8" s="1"/>
  <c r="AD266" i="8"/>
  <c r="BB266" i="8" s="1"/>
  <c r="AC266" i="8"/>
  <c r="BA266" i="8" s="1"/>
  <c r="AB266" i="8"/>
  <c r="AZ266" i="8" s="1"/>
  <c r="AA266" i="8"/>
  <c r="AY266" i="8" s="1"/>
  <c r="Z266" i="8"/>
  <c r="AX266" i="8" s="1"/>
  <c r="AW265" i="8"/>
  <c r="BU265" i="8" s="1"/>
  <c r="AV265" i="8"/>
  <c r="BT265" i="8" s="1"/>
  <c r="AU265" i="8"/>
  <c r="BS265" i="8" s="1"/>
  <c r="AT265" i="8"/>
  <c r="BR265" i="8" s="1"/>
  <c r="AS265" i="8"/>
  <c r="BQ265" i="8" s="1"/>
  <c r="AR265" i="8"/>
  <c r="BP265" i="8" s="1"/>
  <c r="AQ265" i="8"/>
  <c r="BO265" i="8" s="1"/>
  <c r="AP265" i="8"/>
  <c r="BN265" i="8" s="1"/>
  <c r="AO265" i="8"/>
  <c r="BM265" i="8" s="1"/>
  <c r="AN265" i="8"/>
  <c r="BL265" i="8" s="1"/>
  <c r="AM265" i="8"/>
  <c r="BK265" i="8" s="1"/>
  <c r="AL265" i="8"/>
  <c r="BJ265" i="8" s="1"/>
  <c r="AK265" i="8"/>
  <c r="BI265" i="8" s="1"/>
  <c r="AJ265" i="8"/>
  <c r="BH265" i="8" s="1"/>
  <c r="AI265" i="8"/>
  <c r="BG265" i="8" s="1"/>
  <c r="AH265" i="8"/>
  <c r="BF265" i="8" s="1"/>
  <c r="AG265" i="8"/>
  <c r="BE265" i="8" s="1"/>
  <c r="AF265" i="8"/>
  <c r="BD265" i="8" s="1"/>
  <c r="AE265" i="8"/>
  <c r="BC265" i="8" s="1"/>
  <c r="AD265" i="8"/>
  <c r="BB265" i="8" s="1"/>
  <c r="AC265" i="8"/>
  <c r="BA265" i="8" s="1"/>
  <c r="AB265" i="8"/>
  <c r="AZ265" i="8" s="1"/>
  <c r="AA265" i="8"/>
  <c r="AY265" i="8" s="1"/>
  <c r="Z265" i="8"/>
  <c r="AX265" i="8" s="1"/>
  <c r="AW264" i="8"/>
  <c r="BU264" i="8" s="1"/>
  <c r="AV264" i="8"/>
  <c r="BT264" i="8" s="1"/>
  <c r="AU264" i="8"/>
  <c r="BS264" i="8" s="1"/>
  <c r="AT264" i="8"/>
  <c r="BR264" i="8" s="1"/>
  <c r="AS264" i="8"/>
  <c r="BQ264" i="8" s="1"/>
  <c r="AR264" i="8"/>
  <c r="BP264" i="8" s="1"/>
  <c r="AQ264" i="8"/>
  <c r="BO264" i="8" s="1"/>
  <c r="AP264" i="8"/>
  <c r="BN264" i="8" s="1"/>
  <c r="AO264" i="8"/>
  <c r="BM264" i="8" s="1"/>
  <c r="AN264" i="8"/>
  <c r="BL264" i="8" s="1"/>
  <c r="AM264" i="8"/>
  <c r="BK264" i="8" s="1"/>
  <c r="AL264" i="8"/>
  <c r="BJ264" i="8" s="1"/>
  <c r="AK264" i="8"/>
  <c r="BI264" i="8" s="1"/>
  <c r="AJ264" i="8"/>
  <c r="BH264" i="8" s="1"/>
  <c r="AI264" i="8"/>
  <c r="BG264" i="8" s="1"/>
  <c r="AH264" i="8"/>
  <c r="BF264" i="8" s="1"/>
  <c r="AG264" i="8"/>
  <c r="BE264" i="8" s="1"/>
  <c r="AF264" i="8"/>
  <c r="BD264" i="8" s="1"/>
  <c r="AE264" i="8"/>
  <c r="BC264" i="8" s="1"/>
  <c r="AD264" i="8"/>
  <c r="BB264" i="8" s="1"/>
  <c r="AC264" i="8"/>
  <c r="BA264" i="8" s="1"/>
  <c r="AB264" i="8"/>
  <c r="AZ264" i="8" s="1"/>
  <c r="AA264" i="8"/>
  <c r="AY264" i="8" s="1"/>
  <c r="Z264" i="8"/>
  <c r="AX264" i="8" s="1"/>
  <c r="AW263" i="8"/>
  <c r="BU263" i="8" s="1"/>
  <c r="AV263" i="8"/>
  <c r="BT263" i="8" s="1"/>
  <c r="AU263" i="8"/>
  <c r="BS263" i="8" s="1"/>
  <c r="AT263" i="8"/>
  <c r="BR263" i="8" s="1"/>
  <c r="AS263" i="8"/>
  <c r="BQ263" i="8" s="1"/>
  <c r="AR263" i="8"/>
  <c r="BP263" i="8" s="1"/>
  <c r="AQ263" i="8"/>
  <c r="BO263" i="8" s="1"/>
  <c r="AP263" i="8"/>
  <c r="BN263" i="8" s="1"/>
  <c r="AO263" i="8"/>
  <c r="BM263" i="8" s="1"/>
  <c r="AN263" i="8"/>
  <c r="BL263" i="8" s="1"/>
  <c r="AM263" i="8"/>
  <c r="BK263" i="8" s="1"/>
  <c r="AL263" i="8"/>
  <c r="BJ263" i="8" s="1"/>
  <c r="AK263" i="8"/>
  <c r="BI263" i="8" s="1"/>
  <c r="AJ263" i="8"/>
  <c r="BH263" i="8" s="1"/>
  <c r="AI263" i="8"/>
  <c r="BG263" i="8" s="1"/>
  <c r="AH263" i="8"/>
  <c r="BF263" i="8" s="1"/>
  <c r="AG263" i="8"/>
  <c r="BE263" i="8" s="1"/>
  <c r="AF263" i="8"/>
  <c r="BD263" i="8" s="1"/>
  <c r="AE263" i="8"/>
  <c r="BC263" i="8" s="1"/>
  <c r="AD263" i="8"/>
  <c r="BB263" i="8" s="1"/>
  <c r="AC263" i="8"/>
  <c r="BA263" i="8" s="1"/>
  <c r="AB263" i="8"/>
  <c r="AZ263" i="8" s="1"/>
  <c r="AA263" i="8"/>
  <c r="AY263" i="8" s="1"/>
  <c r="Z263" i="8"/>
  <c r="AX263" i="8" s="1"/>
  <c r="AW262" i="8"/>
  <c r="BU262" i="8" s="1"/>
  <c r="AV262" i="8"/>
  <c r="BT262" i="8" s="1"/>
  <c r="AU262" i="8"/>
  <c r="BS262" i="8" s="1"/>
  <c r="AT262" i="8"/>
  <c r="BR262" i="8" s="1"/>
  <c r="AS262" i="8"/>
  <c r="BQ262" i="8" s="1"/>
  <c r="AR262" i="8"/>
  <c r="BP262" i="8" s="1"/>
  <c r="AQ262" i="8"/>
  <c r="BO262" i="8" s="1"/>
  <c r="AP262" i="8"/>
  <c r="BN262" i="8" s="1"/>
  <c r="AO262" i="8"/>
  <c r="BM262" i="8" s="1"/>
  <c r="AN262" i="8"/>
  <c r="BL262" i="8" s="1"/>
  <c r="AM262" i="8"/>
  <c r="BK262" i="8" s="1"/>
  <c r="AL262" i="8"/>
  <c r="BJ262" i="8" s="1"/>
  <c r="AK262" i="8"/>
  <c r="BI262" i="8" s="1"/>
  <c r="AJ262" i="8"/>
  <c r="BH262" i="8" s="1"/>
  <c r="AI262" i="8"/>
  <c r="BG262" i="8" s="1"/>
  <c r="AH262" i="8"/>
  <c r="BF262" i="8" s="1"/>
  <c r="AG262" i="8"/>
  <c r="BE262" i="8" s="1"/>
  <c r="AF262" i="8"/>
  <c r="BD262" i="8" s="1"/>
  <c r="AE262" i="8"/>
  <c r="BC262" i="8" s="1"/>
  <c r="AD262" i="8"/>
  <c r="BB262" i="8" s="1"/>
  <c r="AC262" i="8"/>
  <c r="BA262" i="8" s="1"/>
  <c r="AB262" i="8"/>
  <c r="AZ262" i="8" s="1"/>
  <c r="AA262" i="8"/>
  <c r="AY262" i="8" s="1"/>
  <c r="Z262" i="8"/>
  <c r="AX262" i="8" s="1"/>
  <c r="AW261" i="8"/>
  <c r="BU261" i="8" s="1"/>
  <c r="AV261" i="8"/>
  <c r="BT261" i="8" s="1"/>
  <c r="AU261" i="8"/>
  <c r="BS261" i="8" s="1"/>
  <c r="AT261" i="8"/>
  <c r="BR261" i="8" s="1"/>
  <c r="AS261" i="8"/>
  <c r="BQ261" i="8" s="1"/>
  <c r="AR261" i="8"/>
  <c r="BP261" i="8" s="1"/>
  <c r="AQ261" i="8"/>
  <c r="BO261" i="8" s="1"/>
  <c r="AP261" i="8"/>
  <c r="BN261" i="8" s="1"/>
  <c r="AO261" i="8"/>
  <c r="BM261" i="8" s="1"/>
  <c r="AN261" i="8"/>
  <c r="BL261" i="8" s="1"/>
  <c r="AM261" i="8"/>
  <c r="BK261" i="8" s="1"/>
  <c r="AL261" i="8"/>
  <c r="BJ261" i="8" s="1"/>
  <c r="AK261" i="8"/>
  <c r="BI261" i="8" s="1"/>
  <c r="AJ261" i="8"/>
  <c r="BH261" i="8" s="1"/>
  <c r="AI261" i="8"/>
  <c r="BG261" i="8" s="1"/>
  <c r="AH261" i="8"/>
  <c r="BF261" i="8" s="1"/>
  <c r="AG261" i="8"/>
  <c r="BE261" i="8" s="1"/>
  <c r="AF261" i="8"/>
  <c r="BD261" i="8" s="1"/>
  <c r="AE261" i="8"/>
  <c r="BC261" i="8" s="1"/>
  <c r="AD261" i="8"/>
  <c r="BB261" i="8" s="1"/>
  <c r="AC261" i="8"/>
  <c r="BA261" i="8" s="1"/>
  <c r="AB261" i="8"/>
  <c r="AZ261" i="8" s="1"/>
  <c r="AA261" i="8"/>
  <c r="AY261" i="8" s="1"/>
  <c r="Z261" i="8"/>
  <c r="AX261" i="8" s="1"/>
  <c r="AW260" i="8"/>
  <c r="BU260" i="8" s="1"/>
  <c r="AV260" i="8"/>
  <c r="BT260" i="8" s="1"/>
  <c r="AU260" i="8"/>
  <c r="BS260" i="8" s="1"/>
  <c r="AT260" i="8"/>
  <c r="BR260" i="8" s="1"/>
  <c r="AS260" i="8"/>
  <c r="BQ260" i="8" s="1"/>
  <c r="AR260" i="8"/>
  <c r="BP260" i="8" s="1"/>
  <c r="AQ260" i="8"/>
  <c r="BO260" i="8" s="1"/>
  <c r="AP260" i="8"/>
  <c r="BN260" i="8" s="1"/>
  <c r="AO260" i="8"/>
  <c r="BM260" i="8" s="1"/>
  <c r="AN260" i="8"/>
  <c r="BL260" i="8" s="1"/>
  <c r="AM260" i="8"/>
  <c r="BK260" i="8" s="1"/>
  <c r="AL260" i="8"/>
  <c r="BJ260" i="8" s="1"/>
  <c r="AK260" i="8"/>
  <c r="BI260" i="8" s="1"/>
  <c r="AJ260" i="8"/>
  <c r="BH260" i="8" s="1"/>
  <c r="AI260" i="8"/>
  <c r="BG260" i="8" s="1"/>
  <c r="AH260" i="8"/>
  <c r="BF260" i="8" s="1"/>
  <c r="AG260" i="8"/>
  <c r="BE260" i="8" s="1"/>
  <c r="AF260" i="8"/>
  <c r="BD260" i="8" s="1"/>
  <c r="AE260" i="8"/>
  <c r="BC260" i="8" s="1"/>
  <c r="AD260" i="8"/>
  <c r="BB260" i="8" s="1"/>
  <c r="AC260" i="8"/>
  <c r="BA260" i="8" s="1"/>
  <c r="AB260" i="8"/>
  <c r="AZ260" i="8" s="1"/>
  <c r="AA260" i="8"/>
  <c r="AY260" i="8" s="1"/>
  <c r="Z260" i="8"/>
  <c r="AX260" i="8" s="1"/>
  <c r="AW259" i="8"/>
  <c r="BU259" i="8" s="1"/>
  <c r="AV259" i="8"/>
  <c r="BT259" i="8" s="1"/>
  <c r="AU259" i="8"/>
  <c r="BS259" i="8" s="1"/>
  <c r="AT259" i="8"/>
  <c r="BR259" i="8" s="1"/>
  <c r="AS259" i="8"/>
  <c r="BQ259" i="8" s="1"/>
  <c r="AR259" i="8"/>
  <c r="BP259" i="8" s="1"/>
  <c r="AQ259" i="8"/>
  <c r="BO259" i="8" s="1"/>
  <c r="AP259" i="8"/>
  <c r="BN259" i="8" s="1"/>
  <c r="AO259" i="8"/>
  <c r="BM259" i="8" s="1"/>
  <c r="AN259" i="8"/>
  <c r="BL259" i="8" s="1"/>
  <c r="AM259" i="8"/>
  <c r="BK259" i="8" s="1"/>
  <c r="AL259" i="8"/>
  <c r="BJ259" i="8" s="1"/>
  <c r="AK259" i="8"/>
  <c r="BI259" i="8" s="1"/>
  <c r="AJ259" i="8"/>
  <c r="BH259" i="8" s="1"/>
  <c r="AI259" i="8"/>
  <c r="BG259" i="8" s="1"/>
  <c r="AH259" i="8"/>
  <c r="BF259" i="8" s="1"/>
  <c r="AG259" i="8"/>
  <c r="BE259" i="8" s="1"/>
  <c r="AF259" i="8"/>
  <c r="BD259" i="8" s="1"/>
  <c r="AE259" i="8"/>
  <c r="BC259" i="8" s="1"/>
  <c r="AD259" i="8"/>
  <c r="BB259" i="8" s="1"/>
  <c r="AC259" i="8"/>
  <c r="BA259" i="8" s="1"/>
  <c r="AB259" i="8"/>
  <c r="AZ259" i="8" s="1"/>
  <c r="AA259" i="8"/>
  <c r="AY259" i="8" s="1"/>
  <c r="Z259" i="8"/>
  <c r="AX259" i="8" s="1"/>
  <c r="AW258" i="8"/>
  <c r="BU258" i="8" s="1"/>
  <c r="AV258" i="8"/>
  <c r="BT258" i="8" s="1"/>
  <c r="AU258" i="8"/>
  <c r="BS258" i="8" s="1"/>
  <c r="AT258" i="8"/>
  <c r="BR258" i="8" s="1"/>
  <c r="AS258" i="8"/>
  <c r="BQ258" i="8" s="1"/>
  <c r="AR258" i="8"/>
  <c r="BP258" i="8" s="1"/>
  <c r="AQ258" i="8"/>
  <c r="BO258" i="8" s="1"/>
  <c r="AP258" i="8"/>
  <c r="BN258" i="8" s="1"/>
  <c r="AO258" i="8"/>
  <c r="BM258" i="8" s="1"/>
  <c r="AN258" i="8"/>
  <c r="BL258" i="8" s="1"/>
  <c r="AM258" i="8"/>
  <c r="BK258" i="8" s="1"/>
  <c r="AL258" i="8"/>
  <c r="BJ258" i="8" s="1"/>
  <c r="AK258" i="8"/>
  <c r="BI258" i="8" s="1"/>
  <c r="AJ258" i="8"/>
  <c r="BH258" i="8" s="1"/>
  <c r="AI258" i="8"/>
  <c r="BG258" i="8" s="1"/>
  <c r="AH258" i="8"/>
  <c r="BF258" i="8" s="1"/>
  <c r="AG258" i="8"/>
  <c r="BE258" i="8" s="1"/>
  <c r="AF258" i="8"/>
  <c r="BD258" i="8" s="1"/>
  <c r="AE258" i="8"/>
  <c r="BC258" i="8" s="1"/>
  <c r="AD258" i="8"/>
  <c r="BB258" i="8" s="1"/>
  <c r="AC258" i="8"/>
  <c r="BA258" i="8" s="1"/>
  <c r="AB258" i="8"/>
  <c r="AZ258" i="8" s="1"/>
  <c r="AA258" i="8"/>
  <c r="AY258" i="8" s="1"/>
  <c r="Z258" i="8"/>
  <c r="AX258" i="8" s="1"/>
  <c r="AW257" i="8"/>
  <c r="BU257" i="8" s="1"/>
  <c r="AV257" i="8"/>
  <c r="BT257" i="8" s="1"/>
  <c r="AU257" i="8"/>
  <c r="BS257" i="8" s="1"/>
  <c r="AT257" i="8"/>
  <c r="BR257" i="8" s="1"/>
  <c r="AS257" i="8"/>
  <c r="BQ257" i="8" s="1"/>
  <c r="AR257" i="8"/>
  <c r="BP257" i="8" s="1"/>
  <c r="AQ257" i="8"/>
  <c r="BO257" i="8" s="1"/>
  <c r="AP257" i="8"/>
  <c r="BN257" i="8" s="1"/>
  <c r="AO257" i="8"/>
  <c r="BM257" i="8" s="1"/>
  <c r="AN257" i="8"/>
  <c r="BL257" i="8" s="1"/>
  <c r="AM257" i="8"/>
  <c r="BK257" i="8" s="1"/>
  <c r="AL257" i="8"/>
  <c r="BJ257" i="8" s="1"/>
  <c r="AK257" i="8"/>
  <c r="BI257" i="8" s="1"/>
  <c r="AJ257" i="8"/>
  <c r="BH257" i="8" s="1"/>
  <c r="AI257" i="8"/>
  <c r="BG257" i="8" s="1"/>
  <c r="AH257" i="8"/>
  <c r="BF257" i="8" s="1"/>
  <c r="AG257" i="8"/>
  <c r="BE257" i="8" s="1"/>
  <c r="AF257" i="8"/>
  <c r="BD257" i="8" s="1"/>
  <c r="AE257" i="8"/>
  <c r="BC257" i="8" s="1"/>
  <c r="AD257" i="8"/>
  <c r="BB257" i="8" s="1"/>
  <c r="AC257" i="8"/>
  <c r="BA257" i="8" s="1"/>
  <c r="AB257" i="8"/>
  <c r="AZ257" i="8" s="1"/>
  <c r="AA257" i="8"/>
  <c r="AY257" i="8" s="1"/>
  <c r="Z257" i="8"/>
  <c r="AX257" i="8" s="1"/>
  <c r="AW256" i="8"/>
  <c r="BU256" i="8" s="1"/>
  <c r="AV256" i="8"/>
  <c r="BT256" i="8" s="1"/>
  <c r="AU256" i="8"/>
  <c r="BS256" i="8" s="1"/>
  <c r="AT256" i="8"/>
  <c r="BR256" i="8" s="1"/>
  <c r="AS256" i="8"/>
  <c r="BQ256" i="8" s="1"/>
  <c r="AR256" i="8"/>
  <c r="BP256" i="8" s="1"/>
  <c r="AQ256" i="8"/>
  <c r="BO256" i="8" s="1"/>
  <c r="AP256" i="8"/>
  <c r="BN256" i="8" s="1"/>
  <c r="AO256" i="8"/>
  <c r="BM256" i="8" s="1"/>
  <c r="AN256" i="8"/>
  <c r="BL256" i="8" s="1"/>
  <c r="AM256" i="8"/>
  <c r="BK256" i="8" s="1"/>
  <c r="AL256" i="8"/>
  <c r="BJ256" i="8" s="1"/>
  <c r="AK256" i="8"/>
  <c r="BI256" i="8" s="1"/>
  <c r="AJ256" i="8"/>
  <c r="BH256" i="8" s="1"/>
  <c r="AI256" i="8"/>
  <c r="BG256" i="8" s="1"/>
  <c r="AH256" i="8"/>
  <c r="BF256" i="8" s="1"/>
  <c r="AG256" i="8"/>
  <c r="BE256" i="8" s="1"/>
  <c r="AF256" i="8"/>
  <c r="BD256" i="8" s="1"/>
  <c r="AE256" i="8"/>
  <c r="BC256" i="8" s="1"/>
  <c r="AD256" i="8"/>
  <c r="BB256" i="8" s="1"/>
  <c r="AC256" i="8"/>
  <c r="BA256" i="8" s="1"/>
  <c r="AB256" i="8"/>
  <c r="AZ256" i="8" s="1"/>
  <c r="AA256" i="8"/>
  <c r="AY256" i="8" s="1"/>
  <c r="Z256" i="8"/>
  <c r="AX256" i="8" s="1"/>
  <c r="AW255" i="8"/>
  <c r="BU255" i="8" s="1"/>
  <c r="AV255" i="8"/>
  <c r="BT255" i="8" s="1"/>
  <c r="AU255" i="8"/>
  <c r="BS255" i="8" s="1"/>
  <c r="AT255" i="8"/>
  <c r="BR255" i="8" s="1"/>
  <c r="AS255" i="8"/>
  <c r="BQ255" i="8" s="1"/>
  <c r="AR255" i="8"/>
  <c r="BP255" i="8" s="1"/>
  <c r="AQ255" i="8"/>
  <c r="BO255" i="8" s="1"/>
  <c r="AP255" i="8"/>
  <c r="BN255" i="8" s="1"/>
  <c r="AO255" i="8"/>
  <c r="BM255" i="8" s="1"/>
  <c r="AN255" i="8"/>
  <c r="BL255" i="8" s="1"/>
  <c r="AM255" i="8"/>
  <c r="BK255" i="8" s="1"/>
  <c r="AL255" i="8"/>
  <c r="BJ255" i="8" s="1"/>
  <c r="AK255" i="8"/>
  <c r="BI255" i="8" s="1"/>
  <c r="AJ255" i="8"/>
  <c r="BH255" i="8" s="1"/>
  <c r="AI255" i="8"/>
  <c r="BG255" i="8" s="1"/>
  <c r="AH255" i="8"/>
  <c r="BF255" i="8" s="1"/>
  <c r="AG255" i="8"/>
  <c r="BE255" i="8" s="1"/>
  <c r="AF255" i="8"/>
  <c r="BD255" i="8" s="1"/>
  <c r="AE255" i="8"/>
  <c r="BC255" i="8" s="1"/>
  <c r="AD255" i="8"/>
  <c r="BB255" i="8" s="1"/>
  <c r="AC255" i="8"/>
  <c r="BA255" i="8" s="1"/>
  <c r="AB255" i="8"/>
  <c r="AZ255" i="8" s="1"/>
  <c r="AA255" i="8"/>
  <c r="AY255" i="8" s="1"/>
  <c r="Z255" i="8"/>
  <c r="AX255" i="8" s="1"/>
  <c r="AW254" i="8"/>
  <c r="BU254" i="8" s="1"/>
  <c r="AV254" i="8"/>
  <c r="BT254" i="8" s="1"/>
  <c r="AU254" i="8"/>
  <c r="BS254" i="8" s="1"/>
  <c r="AT254" i="8"/>
  <c r="BR254" i="8" s="1"/>
  <c r="AS254" i="8"/>
  <c r="BQ254" i="8" s="1"/>
  <c r="AR254" i="8"/>
  <c r="BP254" i="8" s="1"/>
  <c r="AQ254" i="8"/>
  <c r="BO254" i="8" s="1"/>
  <c r="AP254" i="8"/>
  <c r="BN254" i="8" s="1"/>
  <c r="AO254" i="8"/>
  <c r="BM254" i="8" s="1"/>
  <c r="AN254" i="8"/>
  <c r="BL254" i="8" s="1"/>
  <c r="AM254" i="8"/>
  <c r="BK254" i="8" s="1"/>
  <c r="AL254" i="8"/>
  <c r="BJ254" i="8" s="1"/>
  <c r="AK254" i="8"/>
  <c r="BI254" i="8" s="1"/>
  <c r="AJ254" i="8"/>
  <c r="BH254" i="8" s="1"/>
  <c r="AI254" i="8"/>
  <c r="BG254" i="8" s="1"/>
  <c r="AH254" i="8"/>
  <c r="BF254" i="8" s="1"/>
  <c r="AG254" i="8"/>
  <c r="BE254" i="8" s="1"/>
  <c r="AF254" i="8"/>
  <c r="BD254" i="8" s="1"/>
  <c r="AE254" i="8"/>
  <c r="BC254" i="8" s="1"/>
  <c r="AD254" i="8"/>
  <c r="BB254" i="8" s="1"/>
  <c r="AC254" i="8"/>
  <c r="BA254" i="8" s="1"/>
  <c r="AB254" i="8"/>
  <c r="AZ254" i="8" s="1"/>
  <c r="AA254" i="8"/>
  <c r="AY254" i="8" s="1"/>
  <c r="Z254" i="8"/>
  <c r="AX254" i="8" s="1"/>
  <c r="AW253" i="8"/>
  <c r="BU253" i="8" s="1"/>
  <c r="AV253" i="8"/>
  <c r="BT253" i="8" s="1"/>
  <c r="AU253" i="8"/>
  <c r="BS253" i="8" s="1"/>
  <c r="AT253" i="8"/>
  <c r="BR253" i="8" s="1"/>
  <c r="AS253" i="8"/>
  <c r="BQ253" i="8" s="1"/>
  <c r="AR253" i="8"/>
  <c r="BP253" i="8" s="1"/>
  <c r="AQ253" i="8"/>
  <c r="BO253" i="8" s="1"/>
  <c r="AP253" i="8"/>
  <c r="BN253" i="8" s="1"/>
  <c r="AO253" i="8"/>
  <c r="BM253" i="8" s="1"/>
  <c r="AN253" i="8"/>
  <c r="BL253" i="8" s="1"/>
  <c r="AM253" i="8"/>
  <c r="BK253" i="8" s="1"/>
  <c r="AL253" i="8"/>
  <c r="BJ253" i="8" s="1"/>
  <c r="AK253" i="8"/>
  <c r="BI253" i="8" s="1"/>
  <c r="AJ253" i="8"/>
  <c r="BH253" i="8" s="1"/>
  <c r="AI253" i="8"/>
  <c r="BG253" i="8" s="1"/>
  <c r="AH253" i="8"/>
  <c r="BF253" i="8" s="1"/>
  <c r="AG253" i="8"/>
  <c r="BE253" i="8" s="1"/>
  <c r="AF253" i="8"/>
  <c r="BD253" i="8" s="1"/>
  <c r="AE253" i="8"/>
  <c r="BC253" i="8" s="1"/>
  <c r="AD253" i="8"/>
  <c r="BB253" i="8" s="1"/>
  <c r="AC253" i="8"/>
  <c r="BA253" i="8" s="1"/>
  <c r="AB253" i="8"/>
  <c r="AZ253" i="8" s="1"/>
  <c r="AA253" i="8"/>
  <c r="AY253" i="8" s="1"/>
  <c r="Z253" i="8"/>
  <c r="AX253" i="8" s="1"/>
  <c r="AW252" i="8"/>
  <c r="BU252" i="8" s="1"/>
  <c r="AV252" i="8"/>
  <c r="BT252" i="8" s="1"/>
  <c r="AU252" i="8"/>
  <c r="BS252" i="8" s="1"/>
  <c r="AT252" i="8"/>
  <c r="BR252" i="8" s="1"/>
  <c r="AS252" i="8"/>
  <c r="BQ252" i="8" s="1"/>
  <c r="AR252" i="8"/>
  <c r="BP252" i="8" s="1"/>
  <c r="AQ252" i="8"/>
  <c r="BO252" i="8" s="1"/>
  <c r="AP252" i="8"/>
  <c r="BN252" i="8" s="1"/>
  <c r="AO252" i="8"/>
  <c r="BM252" i="8" s="1"/>
  <c r="AN252" i="8"/>
  <c r="BL252" i="8" s="1"/>
  <c r="AM252" i="8"/>
  <c r="BK252" i="8" s="1"/>
  <c r="AL252" i="8"/>
  <c r="BJ252" i="8" s="1"/>
  <c r="AK252" i="8"/>
  <c r="BI252" i="8" s="1"/>
  <c r="AJ252" i="8"/>
  <c r="BH252" i="8" s="1"/>
  <c r="AI252" i="8"/>
  <c r="BG252" i="8" s="1"/>
  <c r="AH252" i="8"/>
  <c r="BF252" i="8" s="1"/>
  <c r="AG252" i="8"/>
  <c r="BE252" i="8" s="1"/>
  <c r="AF252" i="8"/>
  <c r="BD252" i="8" s="1"/>
  <c r="AE252" i="8"/>
  <c r="BC252" i="8" s="1"/>
  <c r="AD252" i="8"/>
  <c r="BB252" i="8" s="1"/>
  <c r="AC252" i="8"/>
  <c r="BA252" i="8" s="1"/>
  <c r="AB252" i="8"/>
  <c r="AZ252" i="8" s="1"/>
  <c r="AA252" i="8"/>
  <c r="AY252" i="8" s="1"/>
  <c r="Z252" i="8"/>
  <c r="AX252" i="8" s="1"/>
  <c r="AW251" i="8"/>
  <c r="BU251" i="8" s="1"/>
  <c r="AV251" i="8"/>
  <c r="BT251" i="8" s="1"/>
  <c r="AU251" i="8"/>
  <c r="BS251" i="8" s="1"/>
  <c r="AT251" i="8"/>
  <c r="BR251" i="8" s="1"/>
  <c r="AS251" i="8"/>
  <c r="BQ251" i="8" s="1"/>
  <c r="AR251" i="8"/>
  <c r="BP251" i="8" s="1"/>
  <c r="AQ251" i="8"/>
  <c r="BO251" i="8" s="1"/>
  <c r="AP251" i="8"/>
  <c r="BN251" i="8" s="1"/>
  <c r="AO251" i="8"/>
  <c r="BM251" i="8" s="1"/>
  <c r="AN251" i="8"/>
  <c r="BL251" i="8" s="1"/>
  <c r="AM251" i="8"/>
  <c r="BK251" i="8" s="1"/>
  <c r="AL251" i="8"/>
  <c r="BJ251" i="8" s="1"/>
  <c r="AK251" i="8"/>
  <c r="BI251" i="8" s="1"/>
  <c r="AJ251" i="8"/>
  <c r="BH251" i="8" s="1"/>
  <c r="AI251" i="8"/>
  <c r="BG251" i="8" s="1"/>
  <c r="AH251" i="8"/>
  <c r="BF251" i="8" s="1"/>
  <c r="AG251" i="8"/>
  <c r="BE251" i="8" s="1"/>
  <c r="AF251" i="8"/>
  <c r="BD251" i="8" s="1"/>
  <c r="AE251" i="8"/>
  <c r="BC251" i="8" s="1"/>
  <c r="AD251" i="8"/>
  <c r="BB251" i="8" s="1"/>
  <c r="AC251" i="8"/>
  <c r="BA251" i="8" s="1"/>
  <c r="AB251" i="8"/>
  <c r="AZ251" i="8" s="1"/>
  <c r="AA251" i="8"/>
  <c r="AY251" i="8" s="1"/>
  <c r="Z251" i="8"/>
  <c r="AX251" i="8" s="1"/>
  <c r="AW250" i="8"/>
  <c r="BU250" i="8" s="1"/>
  <c r="AV250" i="8"/>
  <c r="BT250" i="8" s="1"/>
  <c r="AU250" i="8"/>
  <c r="BS250" i="8" s="1"/>
  <c r="AT250" i="8"/>
  <c r="BR250" i="8" s="1"/>
  <c r="AS250" i="8"/>
  <c r="BQ250" i="8" s="1"/>
  <c r="AR250" i="8"/>
  <c r="BP250" i="8" s="1"/>
  <c r="AQ250" i="8"/>
  <c r="BO250" i="8" s="1"/>
  <c r="AP250" i="8"/>
  <c r="BN250" i="8" s="1"/>
  <c r="AO250" i="8"/>
  <c r="BM250" i="8" s="1"/>
  <c r="AN250" i="8"/>
  <c r="BL250" i="8" s="1"/>
  <c r="AM250" i="8"/>
  <c r="BK250" i="8" s="1"/>
  <c r="AL250" i="8"/>
  <c r="BJ250" i="8" s="1"/>
  <c r="AK250" i="8"/>
  <c r="BI250" i="8" s="1"/>
  <c r="AJ250" i="8"/>
  <c r="BH250" i="8" s="1"/>
  <c r="AI250" i="8"/>
  <c r="BG250" i="8" s="1"/>
  <c r="AH250" i="8"/>
  <c r="BF250" i="8" s="1"/>
  <c r="AG250" i="8"/>
  <c r="BE250" i="8" s="1"/>
  <c r="AF250" i="8"/>
  <c r="BD250" i="8" s="1"/>
  <c r="AE250" i="8"/>
  <c r="BC250" i="8" s="1"/>
  <c r="AD250" i="8"/>
  <c r="BB250" i="8" s="1"/>
  <c r="AC250" i="8"/>
  <c r="BA250" i="8" s="1"/>
  <c r="AB250" i="8"/>
  <c r="AZ250" i="8" s="1"/>
  <c r="AA250" i="8"/>
  <c r="AY250" i="8" s="1"/>
  <c r="Z250" i="8"/>
  <c r="AX250" i="8" s="1"/>
  <c r="AW249" i="8"/>
  <c r="BU249" i="8" s="1"/>
  <c r="AV249" i="8"/>
  <c r="BT249" i="8" s="1"/>
  <c r="AU249" i="8"/>
  <c r="BS249" i="8" s="1"/>
  <c r="AT249" i="8"/>
  <c r="BR249" i="8" s="1"/>
  <c r="AS249" i="8"/>
  <c r="BQ249" i="8" s="1"/>
  <c r="AR249" i="8"/>
  <c r="BP249" i="8" s="1"/>
  <c r="AQ249" i="8"/>
  <c r="BO249" i="8" s="1"/>
  <c r="AP249" i="8"/>
  <c r="BN249" i="8" s="1"/>
  <c r="AO249" i="8"/>
  <c r="BM249" i="8" s="1"/>
  <c r="AN249" i="8"/>
  <c r="BL249" i="8" s="1"/>
  <c r="AM249" i="8"/>
  <c r="BK249" i="8" s="1"/>
  <c r="AL249" i="8"/>
  <c r="BJ249" i="8" s="1"/>
  <c r="AK249" i="8"/>
  <c r="BI249" i="8" s="1"/>
  <c r="AJ249" i="8"/>
  <c r="BH249" i="8" s="1"/>
  <c r="AI249" i="8"/>
  <c r="BG249" i="8" s="1"/>
  <c r="AH249" i="8"/>
  <c r="BF249" i="8" s="1"/>
  <c r="AG249" i="8"/>
  <c r="BE249" i="8" s="1"/>
  <c r="AF249" i="8"/>
  <c r="BD249" i="8" s="1"/>
  <c r="AE249" i="8"/>
  <c r="BC249" i="8" s="1"/>
  <c r="AD249" i="8"/>
  <c r="BB249" i="8" s="1"/>
  <c r="AC249" i="8"/>
  <c r="BA249" i="8" s="1"/>
  <c r="AB249" i="8"/>
  <c r="AZ249" i="8" s="1"/>
  <c r="AA249" i="8"/>
  <c r="AY249" i="8" s="1"/>
  <c r="Z249" i="8"/>
  <c r="AX249" i="8" s="1"/>
  <c r="AW248" i="8"/>
  <c r="BU248" i="8" s="1"/>
  <c r="AV248" i="8"/>
  <c r="BT248" i="8" s="1"/>
  <c r="AU248" i="8"/>
  <c r="BS248" i="8" s="1"/>
  <c r="AT248" i="8"/>
  <c r="BR248" i="8" s="1"/>
  <c r="AS248" i="8"/>
  <c r="BQ248" i="8" s="1"/>
  <c r="AR248" i="8"/>
  <c r="BP248" i="8" s="1"/>
  <c r="AQ248" i="8"/>
  <c r="BO248" i="8" s="1"/>
  <c r="AP248" i="8"/>
  <c r="BN248" i="8" s="1"/>
  <c r="AO248" i="8"/>
  <c r="BM248" i="8" s="1"/>
  <c r="AN248" i="8"/>
  <c r="BL248" i="8" s="1"/>
  <c r="AM248" i="8"/>
  <c r="BK248" i="8" s="1"/>
  <c r="AL248" i="8"/>
  <c r="BJ248" i="8" s="1"/>
  <c r="AK248" i="8"/>
  <c r="BI248" i="8" s="1"/>
  <c r="AJ248" i="8"/>
  <c r="BH248" i="8" s="1"/>
  <c r="AI248" i="8"/>
  <c r="BG248" i="8" s="1"/>
  <c r="AH248" i="8"/>
  <c r="BF248" i="8" s="1"/>
  <c r="AG248" i="8"/>
  <c r="BE248" i="8" s="1"/>
  <c r="AF248" i="8"/>
  <c r="BD248" i="8" s="1"/>
  <c r="AE248" i="8"/>
  <c r="BC248" i="8" s="1"/>
  <c r="AD248" i="8"/>
  <c r="BB248" i="8" s="1"/>
  <c r="AC248" i="8"/>
  <c r="BA248" i="8" s="1"/>
  <c r="AB248" i="8"/>
  <c r="AZ248" i="8" s="1"/>
  <c r="AA248" i="8"/>
  <c r="AY248" i="8" s="1"/>
  <c r="Z248" i="8"/>
  <c r="AX248" i="8" s="1"/>
  <c r="AW247" i="8"/>
  <c r="BU247" i="8" s="1"/>
  <c r="AV247" i="8"/>
  <c r="BT247" i="8" s="1"/>
  <c r="AU247" i="8"/>
  <c r="BS247" i="8" s="1"/>
  <c r="AT247" i="8"/>
  <c r="BR247" i="8" s="1"/>
  <c r="AS247" i="8"/>
  <c r="BQ247" i="8" s="1"/>
  <c r="AR247" i="8"/>
  <c r="BP247" i="8" s="1"/>
  <c r="AQ247" i="8"/>
  <c r="BO247" i="8" s="1"/>
  <c r="AP247" i="8"/>
  <c r="BN247" i="8" s="1"/>
  <c r="AO247" i="8"/>
  <c r="BM247" i="8" s="1"/>
  <c r="AN247" i="8"/>
  <c r="BL247" i="8" s="1"/>
  <c r="AM247" i="8"/>
  <c r="BK247" i="8" s="1"/>
  <c r="AL247" i="8"/>
  <c r="BJ247" i="8" s="1"/>
  <c r="AK247" i="8"/>
  <c r="BI247" i="8" s="1"/>
  <c r="AJ247" i="8"/>
  <c r="BH247" i="8" s="1"/>
  <c r="AI247" i="8"/>
  <c r="BG247" i="8" s="1"/>
  <c r="AH247" i="8"/>
  <c r="BF247" i="8" s="1"/>
  <c r="AG247" i="8"/>
  <c r="BE247" i="8" s="1"/>
  <c r="AF247" i="8"/>
  <c r="BD247" i="8" s="1"/>
  <c r="AE247" i="8"/>
  <c r="BC247" i="8" s="1"/>
  <c r="AD247" i="8"/>
  <c r="BB247" i="8" s="1"/>
  <c r="AC247" i="8"/>
  <c r="BA247" i="8" s="1"/>
  <c r="AB247" i="8"/>
  <c r="AZ247" i="8" s="1"/>
  <c r="AA247" i="8"/>
  <c r="AY247" i="8" s="1"/>
  <c r="Z247" i="8"/>
  <c r="AX247" i="8" s="1"/>
  <c r="AW246" i="8"/>
  <c r="BU246" i="8" s="1"/>
  <c r="AV246" i="8"/>
  <c r="BT246" i="8" s="1"/>
  <c r="AU246" i="8"/>
  <c r="BS246" i="8" s="1"/>
  <c r="AT246" i="8"/>
  <c r="BR246" i="8" s="1"/>
  <c r="AS246" i="8"/>
  <c r="BQ246" i="8" s="1"/>
  <c r="AR246" i="8"/>
  <c r="BP246" i="8" s="1"/>
  <c r="AQ246" i="8"/>
  <c r="BO246" i="8" s="1"/>
  <c r="AP246" i="8"/>
  <c r="BN246" i="8" s="1"/>
  <c r="AO246" i="8"/>
  <c r="BM246" i="8" s="1"/>
  <c r="AN246" i="8"/>
  <c r="BL246" i="8" s="1"/>
  <c r="AM246" i="8"/>
  <c r="BK246" i="8" s="1"/>
  <c r="AL246" i="8"/>
  <c r="BJ246" i="8" s="1"/>
  <c r="AK246" i="8"/>
  <c r="BI246" i="8" s="1"/>
  <c r="AJ246" i="8"/>
  <c r="BH246" i="8" s="1"/>
  <c r="AI246" i="8"/>
  <c r="BG246" i="8" s="1"/>
  <c r="AH246" i="8"/>
  <c r="BF246" i="8" s="1"/>
  <c r="AG246" i="8"/>
  <c r="BE246" i="8" s="1"/>
  <c r="AF246" i="8"/>
  <c r="BD246" i="8" s="1"/>
  <c r="AE246" i="8"/>
  <c r="BC246" i="8" s="1"/>
  <c r="AD246" i="8"/>
  <c r="BB246" i="8" s="1"/>
  <c r="AC246" i="8"/>
  <c r="BA246" i="8" s="1"/>
  <c r="AB246" i="8"/>
  <c r="AZ246" i="8" s="1"/>
  <c r="AA246" i="8"/>
  <c r="AY246" i="8" s="1"/>
  <c r="Z246" i="8"/>
  <c r="AX246" i="8" s="1"/>
  <c r="AW245" i="8"/>
  <c r="BU245" i="8" s="1"/>
  <c r="AV245" i="8"/>
  <c r="BT245" i="8" s="1"/>
  <c r="AU245" i="8"/>
  <c r="BS245" i="8" s="1"/>
  <c r="AT245" i="8"/>
  <c r="BR245" i="8" s="1"/>
  <c r="AS245" i="8"/>
  <c r="BQ245" i="8" s="1"/>
  <c r="AR245" i="8"/>
  <c r="BP245" i="8" s="1"/>
  <c r="AQ245" i="8"/>
  <c r="BO245" i="8" s="1"/>
  <c r="AP245" i="8"/>
  <c r="BN245" i="8" s="1"/>
  <c r="AO245" i="8"/>
  <c r="BM245" i="8" s="1"/>
  <c r="AN245" i="8"/>
  <c r="BL245" i="8" s="1"/>
  <c r="AM245" i="8"/>
  <c r="BK245" i="8" s="1"/>
  <c r="AL245" i="8"/>
  <c r="BJ245" i="8" s="1"/>
  <c r="AK245" i="8"/>
  <c r="BI245" i="8" s="1"/>
  <c r="AJ245" i="8"/>
  <c r="BH245" i="8" s="1"/>
  <c r="AI245" i="8"/>
  <c r="BG245" i="8" s="1"/>
  <c r="AH245" i="8"/>
  <c r="BF245" i="8" s="1"/>
  <c r="AG245" i="8"/>
  <c r="BE245" i="8" s="1"/>
  <c r="AF245" i="8"/>
  <c r="BD245" i="8" s="1"/>
  <c r="AE245" i="8"/>
  <c r="BC245" i="8" s="1"/>
  <c r="AD245" i="8"/>
  <c r="BB245" i="8" s="1"/>
  <c r="AC245" i="8"/>
  <c r="BA245" i="8" s="1"/>
  <c r="AB245" i="8"/>
  <c r="AZ245" i="8" s="1"/>
  <c r="AA245" i="8"/>
  <c r="AY245" i="8" s="1"/>
  <c r="Z245" i="8"/>
  <c r="AX245" i="8" s="1"/>
  <c r="AW244" i="8"/>
  <c r="BU244" i="8" s="1"/>
  <c r="AV244" i="8"/>
  <c r="BT244" i="8" s="1"/>
  <c r="AU244" i="8"/>
  <c r="BS244" i="8" s="1"/>
  <c r="AT244" i="8"/>
  <c r="BR244" i="8" s="1"/>
  <c r="AS244" i="8"/>
  <c r="BQ244" i="8" s="1"/>
  <c r="AR244" i="8"/>
  <c r="BP244" i="8" s="1"/>
  <c r="AQ244" i="8"/>
  <c r="BO244" i="8" s="1"/>
  <c r="AP244" i="8"/>
  <c r="BN244" i="8" s="1"/>
  <c r="AO244" i="8"/>
  <c r="BM244" i="8" s="1"/>
  <c r="AN244" i="8"/>
  <c r="BL244" i="8" s="1"/>
  <c r="AM244" i="8"/>
  <c r="BK244" i="8" s="1"/>
  <c r="AL244" i="8"/>
  <c r="BJ244" i="8" s="1"/>
  <c r="AK244" i="8"/>
  <c r="BI244" i="8" s="1"/>
  <c r="AJ244" i="8"/>
  <c r="BH244" i="8" s="1"/>
  <c r="AI244" i="8"/>
  <c r="BG244" i="8" s="1"/>
  <c r="AH244" i="8"/>
  <c r="BF244" i="8" s="1"/>
  <c r="AG244" i="8"/>
  <c r="BE244" i="8" s="1"/>
  <c r="AF244" i="8"/>
  <c r="BD244" i="8" s="1"/>
  <c r="AE244" i="8"/>
  <c r="BC244" i="8" s="1"/>
  <c r="AD244" i="8"/>
  <c r="BB244" i="8" s="1"/>
  <c r="AC244" i="8"/>
  <c r="BA244" i="8" s="1"/>
  <c r="AB244" i="8"/>
  <c r="AZ244" i="8" s="1"/>
  <c r="AA244" i="8"/>
  <c r="AY244" i="8" s="1"/>
  <c r="Z244" i="8"/>
  <c r="AX244" i="8" s="1"/>
  <c r="AW243" i="8"/>
  <c r="BU243" i="8" s="1"/>
  <c r="AV243" i="8"/>
  <c r="BT243" i="8" s="1"/>
  <c r="AU243" i="8"/>
  <c r="BS243" i="8" s="1"/>
  <c r="AT243" i="8"/>
  <c r="BR243" i="8" s="1"/>
  <c r="AS243" i="8"/>
  <c r="BQ243" i="8" s="1"/>
  <c r="AR243" i="8"/>
  <c r="BP243" i="8" s="1"/>
  <c r="AQ243" i="8"/>
  <c r="BO243" i="8" s="1"/>
  <c r="AP243" i="8"/>
  <c r="BN243" i="8" s="1"/>
  <c r="AO243" i="8"/>
  <c r="BM243" i="8" s="1"/>
  <c r="AN243" i="8"/>
  <c r="BL243" i="8" s="1"/>
  <c r="AM243" i="8"/>
  <c r="BK243" i="8" s="1"/>
  <c r="AL243" i="8"/>
  <c r="BJ243" i="8" s="1"/>
  <c r="AK243" i="8"/>
  <c r="BI243" i="8" s="1"/>
  <c r="AJ243" i="8"/>
  <c r="BH243" i="8" s="1"/>
  <c r="AI243" i="8"/>
  <c r="BG243" i="8" s="1"/>
  <c r="AH243" i="8"/>
  <c r="BF243" i="8" s="1"/>
  <c r="AG243" i="8"/>
  <c r="BE243" i="8" s="1"/>
  <c r="AF243" i="8"/>
  <c r="BD243" i="8" s="1"/>
  <c r="AE243" i="8"/>
  <c r="BC243" i="8" s="1"/>
  <c r="AD243" i="8"/>
  <c r="BB243" i="8" s="1"/>
  <c r="AC243" i="8"/>
  <c r="BA243" i="8" s="1"/>
  <c r="AB243" i="8"/>
  <c r="AZ243" i="8" s="1"/>
  <c r="AA243" i="8"/>
  <c r="AY243" i="8" s="1"/>
  <c r="Z243" i="8"/>
  <c r="AX243" i="8" s="1"/>
  <c r="AW242" i="8"/>
  <c r="BU242" i="8" s="1"/>
  <c r="AV242" i="8"/>
  <c r="BT242" i="8" s="1"/>
  <c r="AU242" i="8"/>
  <c r="BS242" i="8" s="1"/>
  <c r="AT242" i="8"/>
  <c r="BR242" i="8" s="1"/>
  <c r="AS242" i="8"/>
  <c r="BQ242" i="8" s="1"/>
  <c r="AR242" i="8"/>
  <c r="BP242" i="8" s="1"/>
  <c r="AQ242" i="8"/>
  <c r="BO242" i="8" s="1"/>
  <c r="AP242" i="8"/>
  <c r="BN242" i="8" s="1"/>
  <c r="AO242" i="8"/>
  <c r="BM242" i="8" s="1"/>
  <c r="AN242" i="8"/>
  <c r="BL242" i="8" s="1"/>
  <c r="AM242" i="8"/>
  <c r="BK242" i="8" s="1"/>
  <c r="AL242" i="8"/>
  <c r="BJ242" i="8" s="1"/>
  <c r="AK242" i="8"/>
  <c r="BI242" i="8" s="1"/>
  <c r="AJ242" i="8"/>
  <c r="BH242" i="8" s="1"/>
  <c r="AI242" i="8"/>
  <c r="BG242" i="8" s="1"/>
  <c r="AH242" i="8"/>
  <c r="BF242" i="8" s="1"/>
  <c r="AG242" i="8"/>
  <c r="BE242" i="8" s="1"/>
  <c r="AF242" i="8"/>
  <c r="BD242" i="8" s="1"/>
  <c r="AE242" i="8"/>
  <c r="BC242" i="8" s="1"/>
  <c r="AD242" i="8"/>
  <c r="BB242" i="8" s="1"/>
  <c r="AC242" i="8"/>
  <c r="BA242" i="8" s="1"/>
  <c r="AB242" i="8"/>
  <c r="AZ242" i="8" s="1"/>
  <c r="AA242" i="8"/>
  <c r="AY242" i="8" s="1"/>
  <c r="Z242" i="8"/>
  <c r="AX242" i="8" s="1"/>
  <c r="AW241" i="8"/>
  <c r="BU241" i="8" s="1"/>
  <c r="AV241" i="8"/>
  <c r="BT241" i="8" s="1"/>
  <c r="AU241" i="8"/>
  <c r="BS241" i="8" s="1"/>
  <c r="AT241" i="8"/>
  <c r="BR241" i="8" s="1"/>
  <c r="AS241" i="8"/>
  <c r="BQ241" i="8" s="1"/>
  <c r="AR241" i="8"/>
  <c r="BP241" i="8" s="1"/>
  <c r="AQ241" i="8"/>
  <c r="BO241" i="8" s="1"/>
  <c r="AP241" i="8"/>
  <c r="BN241" i="8" s="1"/>
  <c r="AO241" i="8"/>
  <c r="BM241" i="8" s="1"/>
  <c r="AN241" i="8"/>
  <c r="BL241" i="8" s="1"/>
  <c r="AM241" i="8"/>
  <c r="BK241" i="8" s="1"/>
  <c r="AL241" i="8"/>
  <c r="BJ241" i="8" s="1"/>
  <c r="AK241" i="8"/>
  <c r="BI241" i="8" s="1"/>
  <c r="AJ241" i="8"/>
  <c r="BH241" i="8" s="1"/>
  <c r="AI241" i="8"/>
  <c r="BG241" i="8" s="1"/>
  <c r="AH241" i="8"/>
  <c r="BF241" i="8" s="1"/>
  <c r="AG241" i="8"/>
  <c r="BE241" i="8" s="1"/>
  <c r="AF241" i="8"/>
  <c r="BD241" i="8" s="1"/>
  <c r="AE241" i="8"/>
  <c r="BC241" i="8" s="1"/>
  <c r="AD241" i="8"/>
  <c r="BB241" i="8" s="1"/>
  <c r="AC241" i="8"/>
  <c r="BA241" i="8" s="1"/>
  <c r="AB241" i="8"/>
  <c r="AZ241" i="8" s="1"/>
  <c r="AA241" i="8"/>
  <c r="AY241" i="8" s="1"/>
  <c r="Z241" i="8"/>
  <c r="AX241" i="8" s="1"/>
  <c r="AW240" i="8"/>
  <c r="BU240" i="8" s="1"/>
  <c r="AV240" i="8"/>
  <c r="BT240" i="8" s="1"/>
  <c r="AU240" i="8"/>
  <c r="BS240" i="8" s="1"/>
  <c r="AT240" i="8"/>
  <c r="BR240" i="8" s="1"/>
  <c r="AS240" i="8"/>
  <c r="BQ240" i="8" s="1"/>
  <c r="AR240" i="8"/>
  <c r="BP240" i="8" s="1"/>
  <c r="AQ240" i="8"/>
  <c r="BO240" i="8" s="1"/>
  <c r="AP240" i="8"/>
  <c r="BN240" i="8" s="1"/>
  <c r="AO240" i="8"/>
  <c r="BM240" i="8" s="1"/>
  <c r="AN240" i="8"/>
  <c r="BL240" i="8" s="1"/>
  <c r="AM240" i="8"/>
  <c r="BK240" i="8" s="1"/>
  <c r="AL240" i="8"/>
  <c r="BJ240" i="8" s="1"/>
  <c r="AK240" i="8"/>
  <c r="BI240" i="8" s="1"/>
  <c r="AJ240" i="8"/>
  <c r="BH240" i="8" s="1"/>
  <c r="AI240" i="8"/>
  <c r="BG240" i="8" s="1"/>
  <c r="AH240" i="8"/>
  <c r="BF240" i="8" s="1"/>
  <c r="AG240" i="8"/>
  <c r="BE240" i="8" s="1"/>
  <c r="AF240" i="8"/>
  <c r="BD240" i="8" s="1"/>
  <c r="AE240" i="8"/>
  <c r="BC240" i="8" s="1"/>
  <c r="AD240" i="8"/>
  <c r="BB240" i="8" s="1"/>
  <c r="AC240" i="8"/>
  <c r="BA240" i="8" s="1"/>
  <c r="AB240" i="8"/>
  <c r="AZ240" i="8" s="1"/>
  <c r="AA240" i="8"/>
  <c r="AY240" i="8" s="1"/>
  <c r="Z240" i="8"/>
  <c r="AX240" i="8" s="1"/>
  <c r="AW239" i="8"/>
  <c r="BU239" i="8" s="1"/>
  <c r="AV239" i="8"/>
  <c r="BT239" i="8" s="1"/>
  <c r="AU239" i="8"/>
  <c r="BS239" i="8" s="1"/>
  <c r="AT239" i="8"/>
  <c r="BR239" i="8" s="1"/>
  <c r="AS239" i="8"/>
  <c r="BQ239" i="8" s="1"/>
  <c r="AR239" i="8"/>
  <c r="BP239" i="8" s="1"/>
  <c r="AQ239" i="8"/>
  <c r="BO239" i="8" s="1"/>
  <c r="AP239" i="8"/>
  <c r="BN239" i="8" s="1"/>
  <c r="AO239" i="8"/>
  <c r="BM239" i="8" s="1"/>
  <c r="AN239" i="8"/>
  <c r="BL239" i="8" s="1"/>
  <c r="AM239" i="8"/>
  <c r="BK239" i="8" s="1"/>
  <c r="AL239" i="8"/>
  <c r="BJ239" i="8" s="1"/>
  <c r="AK239" i="8"/>
  <c r="BI239" i="8" s="1"/>
  <c r="AJ239" i="8"/>
  <c r="BH239" i="8" s="1"/>
  <c r="AI239" i="8"/>
  <c r="BG239" i="8" s="1"/>
  <c r="AH239" i="8"/>
  <c r="BF239" i="8" s="1"/>
  <c r="AG239" i="8"/>
  <c r="BE239" i="8" s="1"/>
  <c r="AF239" i="8"/>
  <c r="BD239" i="8" s="1"/>
  <c r="AE239" i="8"/>
  <c r="BC239" i="8" s="1"/>
  <c r="AD239" i="8"/>
  <c r="BB239" i="8" s="1"/>
  <c r="AC239" i="8"/>
  <c r="BA239" i="8" s="1"/>
  <c r="AB239" i="8"/>
  <c r="AZ239" i="8" s="1"/>
  <c r="AA239" i="8"/>
  <c r="AY239" i="8" s="1"/>
  <c r="Z239" i="8"/>
  <c r="AX239" i="8" s="1"/>
  <c r="AW238" i="8"/>
  <c r="BU238" i="8" s="1"/>
  <c r="AV238" i="8"/>
  <c r="BT238" i="8" s="1"/>
  <c r="AU238" i="8"/>
  <c r="BS238" i="8" s="1"/>
  <c r="AT238" i="8"/>
  <c r="BR238" i="8" s="1"/>
  <c r="AS238" i="8"/>
  <c r="BQ238" i="8" s="1"/>
  <c r="AR238" i="8"/>
  <c r="BP238" i="8" s="1"/>
  <c r="AQ238" i="8"/>
  <c r="BO238" i="8" s="1"/>
  <c r="AP238" i="8"/>
  <c r="BN238" i="8" s="1"/>
  <c r="AO238" i="8"/>
  <c r="BM238" i="8" s="1"/>
  <c r="AN238" i="8"/>
  <c r="BL238" i="8" s="1"/>
  <c r="AM238" i="8"/>
  <c r="BK238" i="8" s="1"/>
  <c r="AL238" i="8"/>
  <c r="BJ238" i="8" s="1"/>
  <c r="AK238" i="8"/>
  <c r="BI238" i="8" s="1"/>
  <c r="AJ238" i="8"/>
  <c r="BH238" i="8" s="1"/>
  <c r="AI238" i="8"/>
  <c r="BG238" i="8" s="1"/>
  <c r="AH238" i="8"/>
  <c r="BF238" i="8" s="1"/>
  <c r="AG238" i="8"/>
  <c r="BE238" i="8" s="1"/>
  <c r="AF238" i="8"/>
  <c r="BD238" i="8" s="1"/>
  <c r="AE238" i="8"/>
  <c r="BC238" i="8" s="1"/>
  <c r="AD238" i="8"/>
  <c r="BB238" i="8" s="1"/>
  <c r="AC238" i="8"/>
  <c r="BA238" i="8" s="1"/>
  <c r="AB238" i="8"/>
  <c r="AZ238" i="8" s="1"/>
  <c r="AA238" i="8"/>
  <c r="AY238" i="8" s="1"/>
  <c r="Z238" i="8"/>
  <c r="AX238" i="8" s="1"/>
  <c r="AW237" i="8"/>
  <c r="BU237" i="8" s="1"/>
  <c r="AV237" i="8"/>
  <c r="BT237" i="8" s="1"/>
  <c r="AU237" i="8"/>
  <c r="BS237" i="8" s="1"/>
  <c r="AT237" i="8"/>
  <c r="BR237" i="8" s="1"/>
  <c r="AS237" i="8"/>
  <c r="BQ237" i="8" s="1"/>
  <c r="AR237" i="8"/>
  <c r="BP237" i="8" s="1"/>
  <c r="AQ237" i="8"/>
  <c r="BO237" i="8" s="1"/>
  <c r="AP237" i="8"/>
  <c r="BN237" i="8" s="1"/>
  <c r="AO237" i="8"/>
  <c r="BM237" i="8" s="1"/>
  <c r="AN237" i="8"/>
  <c r="BL237" i="8" s="1"/>
  <c r="AM237" i="8"/>
  <c r="BK237" i="8" s="1"/>
  <c r="AL237" i="8"/>
  <c r="BJ237" i="8" s="1"/>
  <c r="AK237" i="8"/>
  <c r="BI237" i="8" s="1"/>
  <c r="AJ237" i="8"/>
  <c r="BH237" i="8" s="1"/>
  <c r="AI237" i="8"/>
  <c r="BG237" i="8" s="1"/>
  <c r="AH237" i="8"/>
  <c r="BF237" i="8" s="1"/>
  <c r="AG237" i="8"/>
  <c r="BE237" i="8" s="1"/>
  <c r="AF237" i="8"/>
  <c r="BD237" i="8" s="1"/>
  <c r="AE237" i="8"/>
  <c r="BC237" i="8" s="1"/>
  <c r="AD237" i="8"/>
  <c r="BB237" i="8" s="1"/>
  <c r="AC237" i="8"/>
  <c r="BA237" i="8" s="1"/>
  <c r="AB237" i="8"/>
  <c r="AZ237" i="8" s="1"/>
  <c r="AA237" i="8"/>
  <c r="AY237" i="8" s="1"/>
  <c r="Z237" i="8"/>
  <c r="AX237" i="8" s="1"/>
  <c r="AW236" i="8"/>
  <c r="BU236" i="8" s="1"/>
  <c r="AV236" i="8"/>
  <c r="BT236" i="8" s="1"/>
  <c r="AU236" i="8"/>
  <c r="BS236" i="8" s="1"/>
  <c r="AT236" i="8"/>
  <c r="BR236" i="8" s="1"/>
  <c r="AS236" i="8"/>
  <c r="BQ236" i="8" s="1"/>
  <c r="AR236" i="8"/>
  <c r="BP236" i="8" s="1"/>
  <c r="AQ236" i="8"/>
  <c r="BO236" i="8" s="1"/>
  <c r="AP236" i="8"/>
  <c r="BN236" i="8" s="1"/>
  <c r="AO236" i="8"/>
  <c r="BM236" i="8" s="1"/>
  <c r="AN236" i="8"/>
  <c r="BL236" i="8" s="1"/>
  <c r="AM236" i="8"/>
  <c r="BK236" i="8" s="1"/>
  <c r="AL236" i="8"/>
  <c r="BJ236" i="8" s="1"/>
  <c r="AK236" i="8"/>
  <c r="BI236" i="8" s="1"/>
  <c r="AJ236" i="8"/>
  <c r="BH236" i="8" s="1"/>
  <c r="AI236" i="8"/>
  <c r="BG236" i="8" s="1"/>
  <c r="AH236" i="8"/>
  <c r="BF236" i="8" s="1"/>
  <c r="AG236" i="8"/>
  <c r="BE236" i="8" s="1"/>
  <c r="AF236" i="8"/>
  <c r="BD236" i="8" s="1"/>
  <c r="AE236" i="8"/>
  <c r="BC236" i="8" s="1"/>
  <c r="AD236" i="8"/>
  <c r="BB236" i="8" s="1"/>
  <c r="AC236" i="8"/>
  <c r="BA236" i="8" s="1"/>
  <c r="AB236" i="8"/>
  <c r="AZ236" i="8" s="1"/>
  <c r="AA236" i="8"/>
  <c r="AY236" i="8" s="1"/>
  <c r="Z236" i="8"/>
  <c r="AX236" i="8" s="1"/>
  <c r="AW235" i="8"/>
  <c r="BU235" i="8" s="1"/>
  <c r="AV235" i="8"/>
  <c r="BT235" i="8" s="1"/>
  <c r="AU235" i="8"/>
  <c r="BS235" i="8" s="1"/>
  <c r="AT235" i="8"/>
  <c r="BR235" i="8" s="1"/>
  <c r="AS235" i="8"/>
  <c r="BQ235" i="8" s="1"/>
  <c r="AR235" i="8"/>
  <c r="BP235" i="8" s="1"/>
  <c r="AQ235" i="8"/>
  <c r="BO235" i="8" s="1"/>
  <c r="AP235" i="8"/>
  <c r="BN235" i="8" s="1"/>
  <c r="AO235" i="8"/>
  <c r="BM235" i="8" s="1"/>
  <c r="AN235" i="8"/>
  <c r="BL235" i="8" s="1"/>
  <c r="AM235" i="8"/>
  <c r="BK235" i="8" s="1"/>
  <c r="AL235" i="8"/>
  <c r="BJ235" i="8" s="1"/>
  <c r="AK235" i="8"/>
  <c r="BI235" i="8" s="1"/>
  <c r="AJ235" i="8"/>
  <c r="BH235" i="8" s="1"/>
  <c r="AI235" i="8"/>
  <c r="BG235" i="8" s="1"/>
  <c r="AH235" i="8"/>
  <c r="BF235" i="8" s="1"/>
  <c r="AG235" i="8"/>
  <c r="BE235" i="8" s="1"/>
  <c r="AF235" i="8"/>
  <c r="BD235" i="8" s="1"/>
  <c r="AE235" i="8"/>
  <c r="BC235" i="8" s="1"/>
  <c r="AD235" i="8"/>
  <c r="BB235" i="8" s="1"/>
  <c r="AC235" i="8"/>
  <c r="BA235" i="8" s="1"/>
  <c r="AB235" i="8"/>
  <c r="AZ235" i="8" s="1"/>
  <c r="AA235" i="8"/>
  <c r="AY235" i="8" s="1"/>
  <c r="Z235" i="8"/>
  <c r="AX235" i="8" s="1"/>
  <c r="AW234" i="8"/>
  <c r="BU234" i="8" s="1"/>
  <c r="AV234" i="8"/>
  <c r="BT234" i="8" s="1"/>
  <c r="AU234" i="8"/>
  <c r="BS234" i="8" s="1"/>
  <c r="AT234" i="8"/>
  <c r="BR234" i="8" s="1"/>
  <c r="AS234" i="8"/>
  <c r="BQ234" i="8" s="1"/>
  <c r="AR234" i="8"/>
  <c r="BP234" i="8" s="1"/>
  <c r="AQ234" i="8"/>
  <c r="BO234" i="8" s="1"/>
  <c r="AP234" i="8"/>
  <c r="BN234" i="8" s="1"/>
  <c r="AO234" i="8"/>
  <c r="BM234" i="8" s="1"/>
  <c r="AN234" i="8"/>
  <c r="BL234" i="8" s="1"/>
  <c r="AM234" i="8"/>
  <c r="BK234" i="8" s="1"/>
  <c r="AL234" i="8"/>
  <c r="BJ234" i="8" s="1"/>
  <c r="AK234" i="8"/>
  <c r="BI234" i="8" s="1"/>
  <c r="AJ234" i="8"/>
  <c r="BH234" i="8" s="1"/>
  <c r="AI234" i="8"/>
  <c r="BG234" i="8" s="1"/>
  <c r="AH234" i="8"/>
  <c r="BF234" i="8" s="1"/>
  <c r="AG234" i="8"/>
  <c r="BE234" i="8" s="1"/>
  <c r="AF234" i="8"/>
  <c r="BD234" i="8" s="1"/>
  <c r="AE234" i="8"/>
  <c r="BC234" i="8" s="1"/>
  <c r="AD234" i="8"/>
  <c r="BB234" i="8" s="1"/>
  <c r="AC234" i="8"/>
  <c r="BA234" i="8" s="1"/>
  <c r="AB234" i="8"/>
  <c r="AZ234" i="8" s="1"/>
  <c r="AA234" i="8"/>
  <c r="AY234" i="8" s="1"/>
  <c r="Z234" i="8"/>
  <c r="AX234" i="8" s="1"/>
  <c r="AW233" i="8"/>
  <c r="BU233" i="8" s="1"/>
  <c r="AV233" i="8"/>
  <c r="BT233" i="8" s="1"/>
  <c r="AU233" i="8"/>
  <c r="BS233" i="8" s="1"/>
  <c r="AT233" i="8"/>
  <c r="BR233" i="8" s="1"/>
  <c r="AS233" i="8"/>
  <c r="BQ233" i="8" s="1"/>
  <c r="AR233" i="8"/>
  <c r="BP233" i="8" s="1"/>
  <c r="AQ233" i="8"/>
  <c r="BO233" i="8" s="1"/>
  <c r="AP233" i="8"/>
  <c r="BN233" i="8" s="1"/>
  <c r="AO233" i="8"/>
  <c r="BM233" i="8" s="1"/>
  <c r="AN233" i="8"/>
  <c r="BL233" i="8" s="1"/>
  <c r="AM233" i="8"/>
  <c r="BK233" i="8" s="1"/>
  <c r="AL233" i="8"/>
  <c r="BJ233" i="8" s="1"/>
  <c r="AK233" i="8"/>
  <c r="BI233" i="8" s="1"/>
  <c r="AJ233" i="8"/>
  <c r="BH233" i="8" s="1"/>
  <c r="AI233" i="8"/>
  <c r="BG233" i="8" s="1"/>
  <c r="AH233" i="8"/>
  <c r="BF233" i="8" s="1"/>
  <c r="AG233" i="8"/>
  <c r="BE233" i="8" s="1"/>
  <c r="AF233" i="8"/>
  <c r="BD233" i="8" s="1"/>
  <c r="AE233" i="8"/>
  <c r="BC233" i="8" s="1"/>
  <c r="AD233" i="8"/>
  <c r="BB233" i="8" s="1"/>
  <c r="AC233" i="8"/>
  <c r="BA233" i="8" s="1"/>
  <c r="AB233" i="8"/>
  <c r="AZ233" i="8" s="1"/>
  <c r="AA233" i="8"/>
  <c r="AY233" i="8" s="1"/>
  <c r="Z233" i="8"/>
  <c r="AX233" i="8" s="1"/>
  <c r="AW232" i="8"/>
  <c r="BU232" i="8" s="1"/>
  <c r="AV232" i="8"/>
  <c r="BT232" i="8" s="1"/>
  <c r="AU232" i="8"/>
  <c r="BS232" i="8" s="1"/>
  <c r="AT232" i="8"/>
  <c r="BR232" i="8" s="1"/>
  <c r="AS232" i="8"/>
  <c r="BQ232" i="8" s="1"/>
  <c r="AR232" i="8"/>
  <c r="BP232" i="8" s="1"/>
  <c r="AQ232" i="8"/>
  <c r="BO232" i="8" s="1"/>
  <c r="AP232" i="8"/>
  <c r="BN232" i="8" s="1"/>
  <c r="AO232" i="8"/>
  <c r="BM232" i="8" s="1"/>
  <c r="AN232" i="8"/>
  <c r="BL232" i="8" s="1"/>
  <c r="AM232" i="8"/>
  <c r="BK232" i="8" s="1"/>
  <c r="AL232" i="8"/>
  <c r="BJ232" i="8" s="1"/>
  <c r="AK232" i="8"/>
  <c r="BI232" i="8" s="1"/>
  <c r="AJ232" i="8"/>
  <c r="BH232" i="8" s="1"/>
  <c r="AI232" i="8"/>
  <c r="BG232" i="8" s="1"/>
  <c r="AH232" i="8"/>
  <c r="BF232" i="8" s="1"/>
  <c r="AG232" i="8"/>
  <c r="BE232" i="8" s="1"/>
  <c r="AF232" i="8"/>
  <c r="BD232" i="8" s="1"/>
  <c r="AE232" i="8"/>
  <c r="BC232" i="8" s="1"/>
  <c r="AD232" i="8"/>
  <c r="BB232" i="8" s="1"/>
  <c r="AC232" i="8"/>
  <c r="BA232" i="8" s="1"/>
  <c r="AB232" i="8"/>
  <c r="AZ232" i="8" s="1"/>
  <c r="AA232" i="8"/>
  <c r="AY232" i="8" s="1"/>
  <c r="Z232" i="8"/>
  <c r="AX232" i="8" s="1"/>
  <c r="AW231" i="8"/>
  <c r="BU231" i="8" s="1"/>
  <c r="AV231" i="8"/>
  <c r="BT231" i="8" s="1"/>
  <c r="AU231" i="8"/>
  <c r="BS231" i="8" s="1"/>
  <c r="AT231" i="8"/>
  <c r="BR231" i="8" s="1"/>
  <c r="AS231" i="8"/>
  <c r="BQ231" i="8" s="1"/>
  <c r="AR231" i="8"/>
  <c r="BP231" i="8" s="1"/>
  <c r="AQ231" i="8"/>
  <c r="BO231" i="8" s="1"/>
  <c r="AP231" i="8"/>
  <c r="BN231" i="8" s="1"/>
  <c r="AO231" i="8"/>
  <c r="BM231" i="8" s="1"/>
  <c r="AN231" i="8"/>
  <c r="BL231" i="8" s="1"/>
  <c r="AM231" i="8"/>
  <c r="BK231" i="8" s="1"/>
  <c r="AL231" i="8"/>
  <c r="BJ231" i="8" s="1"/>
  <c r="AK231" i="8"/>
  <c r="BI231" i="8" s="1"/>
  <c r="AJ231" i="8"/>
  <c r="BH231" i="8" s="1"/>
  <c r="AI231" i="8"/>
  <c r="BG231" i="8" s="1"/>
  <c r="AH231" i="8"/>
  <c r="BF231" i="8" s="1"/>
  <c r="AG231" i="8"/>
  <c r="BE231" i="8" s="1"/>
  <c r="AF231" i="8"/>
  <c r="BD231" i="8" s="1"/>
  <c r="AE231" i="8"/>
  <c r="BC231" i="8" s="1"/>
  <c r="AD231" i="8"/>
  <c r="BB231" i="8" s="1"/>
  <c r="AC231" i="8"/>
  <c r="BA231" i="8" s="1"/>
  <c r="AB231" i="8"/>
  <c r="AZ231" i="8" s="1"/>
  <c r="AA231" i="8"/>
  <c r="AY231" i="8" s="1"/>
  <c r="Z231" i="8"/>
  <c r="AX231" i="8" s="1"/>
  <c r="AW230" i="8"/>
  <c r="BU230" i="8" s="1"/>
  <c r="AV230" i="8"/>
  <c r="BT230" i="8" s="1"/>
  <c r="AU230" i="8"/>
  <c r="BS230" i="8" s="1"/>
  <c r="AT230" i="8"/>
  <c r="BR230" i="8" s="1"/>
  <c r="AS230" i="8"/>
  <c r="BQ230" i="8" s="1"/>
  <c r="AR230" i="8"/>
  <c r="BP230" i="8" s="1"/>
  <c r="AQ230" i="8"/>
  <c r="BO230" i="8" s="1"/>
  <c r="AP230" i="8"/>
  <c r="BN230" i="8" s="1"/>
  <c r="AO230" i="8"/>
  <c r="BM230" i="8" s="1"/>
  <c r="AN230" i="8"/>
  <c r="BL230" i="8" s="1"/>
  <c r="AM230" i="8"/>
  <c r="BK230" i="8" s="1"/>
  <c r="AL230" i="8"/>
  <c r="BJ230" i="8" s="1"/>
  <c r="AK230" i="8"/>
  <c r="BI230" i="8" s="1"/>
  <c r="AJ230" i="8"/>
  <c r="BH230" i="8" s="1"/>
  <c r="AI230" i="8"/>
  <c r="BG230" i="8" s="1"/>
  <c r="AH230" i="8"/>
  <c r="BF230" i="8" s="1"/>
  <c r="AG230" i="8"/>
  <c r="BE230" i="8" s="1"/>
  <c r="AF230" i="8"/>
  <c r="BD230" i="8" s="1"/>
  <c r="AE230" i="8"/>
  <c r="BC230" i="8" s="1"/>
  <c r="AD230" i="8"/>
  <c r="BB230" i="8" s="1"/>
  <c r="AC230" i="8"/>
  <c r="BA230" i="8" s="1"/>
  <c r="AB230" i="8"/>
  <c r="AZ230" i="8" s="1"/>
  <c r="AA230" i="8"/>
  <c r="AY230" i="8" s="1"/>
  <c r="Z230" i="8"/>
  <c r="AX230" i="8" s="1"/>
  <c r="AW229" i="8"/>
  <c r="BU229" i="8" s="1"/>
  <c r="AV229" i="8"/>
  <c r="BT229" i="8" s="1"/>
  <c r="AU229" i="8"/>
  <c r="BS229" i="8" s="1"/>
  <c r="AT229" i="8"/>
  <c r="BR229" i="8" s="1"/>
  <c r="AS229" i="8"/>
  <c r="BQ229" i="8" s="1"/>
  <c r="AR229" i="8"/>
  <c r="BP229" i="8" s="1"/>
  <c r="AQ229" i="8"/>
  <c r="BO229" i="8" s="1"/>
  <c r="AP229" i="8"/>
  <c r="BN229" i="8" s="1"/>
  <c r="AO229" i="8"/>
  <c r="BM229" i="8" s="1"/>
  <c r="AN229" i="8"/>
  <c r="BL229" i="8" s="1"/>
  <c r="AM229" i="8"/>
  <c r="BK229" i="8" s="1"/>
  <c r="AL229" i="8"/>
  <c r="BJ229" i="8" s="1"/>
  <c r="AK229" i="8"/>
  <c r="BI229" i="8" s="1"/>
  <c r="AJ229" i="8"/>
  <c r="BH229" i="8" s="1"/>
  <c r="AI229" i="8"/>
  <c r="BG229" i="8" s="1"/>
  <c r="AH229" i="8"/>
  <c r="BF229" i="8" s="1"/>
  <c r="AG229" i="8"/>
  <c r="BE229" i="8" s="1"/>
  <c r="AF229" i="8"/>
  <c r="BD229" i="8" s="1"/>
  <c r="AE229" i="8"/>
  <c r="BC229" i="8" s="1"/>
  <c r="AD229" i="8"/>
  <c r="BB229" i="8" s="1"/>
  <c r="AC229" i="8"/>
  <c r="BA229" i="8" s="1"/>
  <c r="AB229" i="8"/>
  <c r="AZ229" i="8" s="1"/>
  <c r="AA229" i="8"/>
  <c r="AY229" i="8" s="1"/>
  <c r="Z229" i="8"/>
  <c r="AX229" i="8" s="1"/>
  <c r="AW228" i="8"/>
  <c r="BU228" i="8" s="1"/>
  <c r="AV228" i="8"/>
  <c r="BT228" i="8" s="1"/>
  <c r="AU228" i="8"/>
  <c r="BS228" i="8" s="1"/>
  <c r="AT228" i="8"/>
  <c r="BR228" i="8" s="1"/>
  <c r="AS228" i="8"/>
  <c r="BQ228" i="8" s="1"/>
  <c r="AR228" i="8"/>
  <c r="BP228" i="8" s="1"/>
  <c r="AQ228" i="8"/>
  <c r="BO228" i="8" s="1"/>
  <c r="AP228" i="8"/>
  <c r="BN228" i="8" s="1"/>
  <c r="AO228" i="8"/>
  <c r="BM228" i="8" s="1"/>
  <c r="AN228" i="8"/>
  <c r="BL228" i="8" s="1"/>
  <c r="AM228" i="8"/>
  <c r="BK228" i="8" s="1"/>
  <c r="AL228" i="8"/>
  <c r="BJ228" i="8" s="1"/>
  <c r="AK228" i="8"/>
  <c r="BI228" i="8" s="1"/>
  <c r="AJ228" i="8"/>
  <c r="BH228" i="8" s="1"/>
  <c r="AI228" i="8"/>
  <c r="BG228" i="8" s="1"/>
  <c r="AH228" i="8"/>
  <c r="BF228" i="8" s="1"/>
  <c r="AG228" i="8"/>
  <c r="BE228" i="8" s="1"/>
  <c r="AF228" i="8"/>
  <c r="BD228" i="8" s="1"/>
  <c r="AE228" i="8"/>
  <c r="BC228" i="8" s="1"/>
  <c r="BB228" i="8"/>
  <c r="AC228" i="8"/>
  <c r="BA228" i="8" s="1"/>
  <c r="AB228" i="8"/>
  <c r="AZ228" i="8" s="1"/>
  <c r="AA228" i="8"/>
  <c r="AY228" i="8" s="1"/>
  <c r="Z228" i="8"/>
  <c r="AX228" i="8" s="1"/>
  <c r="AW227" i="8"/>
  <c r="BU227" i="8" s="1"/>
  <c r="AV227" i="8"/>
  <c r="BT227" i="8" s="1"/>
  <c r="AU227" i="8"/>
  <c r="BS227" i="8" s="1"/>
  <c r="AT227" i="8"/>
  <c r="BR227" i="8" s="1"/>
  <c r="AS227" i="8"/>
  <c r="BQ227" i="8" s="1"/>
  <c r="AR227" i="8"/>
  <c r="BP227" i="8" s="1"/>
  <c r="AQ227" i="8"/>
  <c r="BO227" i="8" s="1"/>
  <c r="AP227" i="8"/>
  <c r="BN227" i="8" s="1"/>
  <c r="AO227" i="8"/>
  <c r="BM227" i="8" s="1"/>
  <c r="AN227" i="8"/>
  <c r="BL227" i="8" s="1"/>
  <c r="AM227" i="8"/>
  <c r="BK227" i="8" s="1"/>
  <c r="AL227" i="8"/>
  <c r="BJ227" i="8" s="1"/>
  <c r="AK227" i="8"/>
  <c r="BI227" i="8" s="1"/>
  <c r="AJ227" i="8"/>
  <c r="BH227" i="8" s="1"/>
  <c r="AI227" i="8"/>
  <c r="BG227" i="8" s="1"/>
  <c r="AH227" i="8"/>
  <c r="BF227" i="8" s="1"/>
  <c r="AG227" i="8"/>
  <c r="BE227" i="8" s="1"/>
  <c r="AF227" i="8"/>
  <c r="BD227" i="8" s="1"/>
  <c r="AE227" i="8"/>
  <c r="BC227" i="8" s="1"/>
  <c r="BB227" i="8"/>
  <c r="AC227" i="8"/>
  <c r="BA227" i="8" s="1"/>
  <c r="AB227" i="8"/>
  <c r="AZ227" i="8" s="1"/>
  <c r="AA227" i="8"/>
  <c r="AY227" i="8" s="1"/>
  <c r="Z227" i="8"/>
  <c r="AX227" i="8" s="1"/>
  <c r="AW226" i="8"/>
  <c r="BU226" i="8" s="1"/>
  <c r="AV226" i="8"/>
  <c r="BT226" i="8" s="1"/>
  <c r="AU226" i="8"/>
  <c r="BS226" i="8" s="1"/>
  <c r="AT226" i="8"/>
  <c r="BR226" i="8" s="1"/>
  <c r="AS226" i="8"/>
  <c r="BQ226" i="8" s="1"/>
  <c r="AR226" i="8"/>
  <c r="BP226" i="8" s="1"/>
  <c r="AQ226" i="8"/>
  <c r="BO226" i="8" s="1"/>
  <c r="AP226" i="8"/>
  <c r="BN226" i="8" s="1"/>
  <c r="AO226" i="8"/>
  <c r="BM226" i="8" s="1"/>
  <c r="AN226" i="8"/>
  <c r="BL226" i="8" s="1"/>
  <c r="AM226" i="8"/>
  <c r="BK226" i="8" s="1"/>
  <c r="AL226" i="8"/>
  <c r="BJ226" i="8" s="1"/>
  <c r="AK226" i="8"/>
  <c r="BI226" i="8" s="1"/>
  <c r="AJ226" i="8"/>
  <c r="BH226" i="8" s="1"/>
  <c r="AI226" i="8"/>
  <c r="BG226" i="8" s="1"/>
  <c r="AH226" i="8"/>
  <c r="BF226" i="8" s="1"/>
  <c r="AG226" i="8"/>
  <c r="BE226" i="8" s="1"/>
  <c r="AF226" i="8"/>
  <c r="BD226" i="8" s="1"/>
  <c r="AE226" i="8"/>
  <c r="BC226" i="8" s="1"/>
  <c r="BB226" i="8"/>
  <c r="BA226" i="8"/>
  <c r="AZ226" i="8"/>
  <c r="AY226" i="8"/>
  <c r="AX226" i="8"/>
  <c r="AW225" i="8"/>
  <c r="BU225" i="8" s="1"/>
  <c r="AV225" i="8"/>
  <c r="BT225" i="8" s="1"/>
  <c r="AU225" i="8"/>
  <c r="BS225" i="8" s="1"/>
  <c r="AT225" i="8"/>
  <c r="BR225" i="8" s="1"/>
  <c r="AS225" i="8"/>
  <c r="BQ225" i="8" s="1"/>
  <c r="AR225" i="8"/>
  <c r="BP225" i="8" s="1"/>
  <c r="AQ225" i="8"/>
  <c r="BO225" i="8" s="1"/>
  <c r="AP225" i="8"/>
  <c r="BN225" i="8" s="1"/>
  <c r="AO225" i="8"/>
  <c r="BM225" i="8" s="1"/>
  <c r="AN225" i="8"/>
  <c r="BL225" i="8" s="1"/>
  <c r="AM225" i="8"/>
  <c r="BK225" i="8" s="1"/>
  <c r="AL225" i="8"/>
  <c r="BJ225" i="8" s="1"/>
  <c r="AK225" i="8"/>
  <c r="BI225" i="8" s="1"/>
  <c r="AJ225" i="8"/>
  <c r="BH225" i="8" s="1"/>
  <c r="AI225" i="8"/>
  <c r="BG225" i="8" s="1"/>
  <c r="AH225" i="8"/>
  <c r="BF225" i="8" s="1"/>
  <c r="AG225" i="8"/>
  <c r="BE225" i="8" s="1"/>
  <c r="AF225" i="8"/>
  <c r="BD225" i="8" s="1"/>
  <c r="AE225" i="8"/>
  <c r="BC225" i="8" s="1"/>
  <c r="BB225" i="8"/>
  <c r="BA225" i="8"/>
  <c r="AZ225" i="8"/>
  <c r="AY225" i="8"/>
  <c r="AX225" i="8"/>
  <c r="AW224" i="8"/>
  <c r="BU224" i="8" s="1"/>
  <c r="AV224" i="8"/>
  <c r="BT224" i="8" s="1"/>
  <c r="AU224" i="8"/>
  <c r="BS224" i="8" s="1"/>
  <c r="AT224" i="8"/>
  <c r="BR224" i="8" s="1"/>
  <c r="AS224" i="8"/>
  <c r="BQ224" i="8" s="1"/>
  <c r="AR224" i="8"/>
  <c r="BP224" i="8" s="1"/>
  <c r="AQ224" i="8"/>
  <c r="BO224" i="8" s="1"/>
  <c r="AP224" i="8"/>
  <c r="BN224" i="8" s="1"/>
  <c r="AO224" i="8"/>
  <c r="BM224" i="8" s="1"/>
  <c r="AN224" i="8"/>
  <c r="BL224" i="8" s="1"/>
  <c r="AM224" i="8"/>
  <c r="BK224" i="8" s="1"/>
  <c r="AL224" i="8"/>
  <c r="BJ224" i="8" s="1"/>
  <c r="AK224" i="8"/>
  <c r="BI224" i="8" s="1"/>
  <c r="AJ224" i="8"/>
  <c r="BH224" i="8" s="1"/>
  <c r="AI224" i="8"/>
  <c r="BG224" i="8" s="1"/>
  <c r="AH224" i="8"/>
  <c r="BF224" i="8" s="1"/>
  <c r="AG224" i="8"/>
  <c r="BE224" i="8" s="1"/>
  <c r="AF224" i="8"/>
  <c r="BD224" i="8" s="1"/>
  <c r="AE224" i="8"/>
  <c r="BC224" i="8" s="1"/>
  <c r="BB224" i="8"/>
  <c r="BA224" i="8"/>
  <c r="AZ224" i="8"/>
  <c r="AY224" i="8"/>
  <c r="AX224" i="8"/>
  <c r="AW223" i="8"/>
  <c r="BU223" i="8" s="1"/>
  <c r="AV223" i="8"/>
  <c r="BT223" i="8" s="1"/>
  <c r="AU223" i="8"/>
  <c r="BS223" i="8" s="1"/>
  <c r="AT223" i="8"/>
  <c r="BR223" i="8" s="1"/>
  <c r="AS223" i="8"/>
  <c r="BQ223" i="8" s="1"/>
  <c r="AR223" i="8"/>
  <c r="BP223" i="8" s="1"/>
  <c r="AQ223" i="8"/>
  <c r="BO223" i="8" s="1"/>
  <c r="AP223" i="8"/>
  <c r="BN223" i="8" s="1"/>
  <c r="AO223" i="8"/>
  <c r="BM223" i="8" s="1"/>
  <c r="AN223" i="8"/>
  <c r="BL223" i="8" s="1"/>
  <c r="AM223" i="8"/>
  <c r="BK223" i="8" s="1"/>
  <c r="AL223" i="8"/>
  <c r="BJ223" i="8" s="1"/>
  <c r="AK223" i="8"/>
  <c r="BI223" i="8" s="1"/>
  <c r="AJ223" i="8"/>
  <c r="BH223" i="8" s="1"/>
  <c r="AI223" i="8"/>
  <c r="BG223" i="8" s="1"/>
  <c r="AH223" i="8"/>
  <c r="BF223" i="8" s="1"/>
  <c r="AG223" i="8"/>
  <c r="BE223" i="8" s="1"/>
  <c r="AF223" i="8"/>
  <c r="BD223" i="8" s="1"/>
  <c r="AE223" i="8"/>
  <c r="BC223" i="8" s="1"/>
  <c r="BB223" i="8"/>
  <c r="BA223" i="8"/>
  <c r="AZ223" i="8"/>
  <c r="AY223" i="8"/>
  <c r="AX223" i="8"/>
  <c r="AW222" i="8"/>
  <c r="BU222" i="8" s="1"/>
  <c r="AV222" i="8"/>
  <c r="BT222" i="8" s="1"/>
  <c r="AU222" i="8"/>
  <c r="BS222" i="8" s="1"/>
  <c r="AT222" i="8"/>
  <c r="BR222" i="8" s="1"/>
  <c r="AS222" i="8"/>
  <c r="BQ222" i="8" s="1"/>
  <c r="AR222" i="8"/>
  <c r="BP222" i="8" s="1"/>
  <c r="AQ222" i="8"/>
  <c r="BO222" i="8" s="1"/>
  <c r="AP222" i="8"/>
  <c r="BN222" i="8" s="1"/>
  <c r="AO222" i="8"/>
  <c r="BM222" i="8" s="1"/>
  <c r="AN222" i="8"/>
  <c r="BL222" i="8" s="1"/>
  <c r="AM222" i="8"/>
  <c r="BK222" i="8" s="1"/>
  <c r="AL222" i="8"/>
  <c r="BJ222" i="8" s="1"/>
  <c r="AK222" i="8"/>
  <c r="BI222" i="8" s="1"/>
  <c r="AJ222" i="8"/>
  <c r="BH222" i="8" s="1"/>
  <c r="AI222" i="8"/>
  <c r="BG222" i="8" s="1"/>
  <c r="AH222" i="8"/>
  <c r="BF222" i="8" s="1"/>
  <c r="AG222" i="8"/>
  <c r="BE222" i="8" s="1"/>
  <c r="AF222" i="8"/>
  <c r="BD222" i="8" s="1"/>
  <c r="AE222" i="8"/>
  <c r="BC222" i="8" s="1"/>
  <c r="BB222" i="8"/>
  <c r="BA222" i="8"/>
  <c r="AZ222" i="8"/>
  <c r="AY222" i="8"/>
  <c r="AX222" i="8"/>
  <c r="AW221" i="8"/>
  <c r="BU221" i="8" s="1"/>
  <c r="AV221" i="8"/>
  <c r="BT221" i="8" s="1"/>
  <c r="AU221" i="8"/>
  <c r="BS221" i="8" s="1"/>
  <c r="AT221" i="8"/>
  <c r="BR221" i="8" s="1"/>
  <c r="AS221" i="8"/>
  <c r="BQ221" i="8" s="1"/>
  <c r="AR221" i="8"/>
  <c r="BP221" i="8" s="1"/>
  <c r="AQ221" i="8"/>
  <c r="BO221" i="8" s="1"/>
  <c r="AP221" i="8"/>
  <c r="BN221" i="8" s="1"/>
  <c r="AO221" i="8"/>
  <c r="BM221" i="8" s="1"/>
  <c r="AN221" i="8"/>
  <c r="BL221" i="8" s="1"/>
  <c r="AM221" i="8"/>
  <c r="BK221" i="8" s="1"/>
  <c r="AL221" i="8"/>
  <c r="BJ221" i="8" s="1"/>
  <c r="AK221" i="8"/>
  <c r="BI221" i="8" s="1"/>
  <c r="AJ221" i="8"/>
  <c r="BH221" i="8" s="1"/>
  <c r="AI221" i="8"/>
  <c r="BG221" i="8" s="1"/>
  <c r="AH221" i="8"/>
  <c r="BF221" i="8" s="1"/>
  <c r="AG221" i="8"/>
  <c r="BE221" i="8" s="1"/>
  <c r="AF221" i="8"/>
  <c r="BD221" i="8" s="1"/>
  <c r="AE221" i="8"/>
  <c r="BC221" i="8" s="1"/>
  <c r="BB221" i="8"/>
  <c r="BA221" i="8"/>
  <c r="AZ221" i="8"/>
  <c r="AY221" i="8"/>
  <c r="AX221" i="8"/>
  <c r="AW220" i="8"/>
  <c r="BU220" i="8" s="1"/>
  <c r="AV220" i="8"/>
  <c r="BT220" i="8" s="1"/>
  <c r="AU220" i="8"/>
  <c r="BS220" i="8" s="1"/>
  <c r="AT220" i="8"/>
  <c r="BR220" i="8" s="1"/>
  <c r="AS220" i="8"/>
  <c r="BQ220" i="8" s="1"/>
  <c r="AR220" i="8"/>
  <c r="BP220" i="8" s="1"/>
  <c r="AQ220" i="8"/>
  <c r="BO220" i="8" s="1"/>
  <c r="AP220" i="8"/>
  <c r="BN220" i="8" s="1"/>
  <c r="AO220" i="8"/>
  <c r="BM220" i="8" s="1"/>
  <c r="AN220" i="8"/>
  <c r="BL220" i="8" s="1"/>
  <c r="AM220" i="8"/>
  <c r="BK220" i="8" s="1"/>
  <c r="AL220" i="8"/>
  <c r="BJ220" i="8" s="1"/>
  <c r="AK220" i="8"/>
  <c r="BI220" i="8" s="1"/>
  <c r="AJ220" i="8"/>
  <c r="BH220" i="8" s="1"/>
  <c r="AI220" i="8"/>
  <c r="BG220" i="8" s="1"/>
  <c r="AH220" i="8"/>
  <c r="BF220" i="8" s="1"/>
  <c r="AG220" i="8"/>
  <c r="BE220" i="8" s="1"/>
  <c r="AF220" i="8"/>
  <c r="BD220" i="8" s="1"/>
  <c r="AE220" i="8"/>
  <c r="BC220" i="8" s="1"/>
  <c r="BB220" i="8"/>
  <c r="BA220" i="8"/>
  <c r="AZ220" i="8"/>
  <c r="AY220" i="8"/>
  <c r="AX220" i="8"/>
  <c r="AW219" i="8"/>
  <c r="BU219" i="8" s="1"/>
  <c r="AV219" i="8"/>
  <c r="BT219" i="8" s="1"/>
  <c r="AU219" i="8"/>
  <c r="BS219" i="8" s="1"/>
  <c r="AT219" i="8"/>
  <c r="BR219" i="8" s="1"/>
  <c r="AS219" i="8"/>
  <c r="BQ219" i="8" s="1"/>
  <c r="AR219" i="8"/>
  <c r="BP219" i="8" s="1"/>
  <c r="AQ219" i="8"/>
  <c r="BO219" i="8" s="1"/>
  <c r="AP219" i="8"/>
  <c r="BN219" i="8" s="1"/>
  <c r="AO219" i="8"/>
  <c r="BM219" i="8" s="1"/>
  <c r="AN219" i="8"/>
  <c r="BL219" i="8" s="1"/>
  <c r="AM219" i="8"/>
  <c r="BK219" i="8" s="1"/>
  <c r="AL219" i="8"/>
  <c r="BJ219" i="8" s="1"/>
  <c r="AK219" i="8"/>
  <c r="BI219" i="8" s="1"/>
  <c r="AJ219" i="8"/>
  <c r="BH219" i="8" s="1"/>
  <c r="AI219" i="8"/>
  <c r="BG219" i="8" s="1"/>
  <c r="AH219" i="8"/>
  <c r="BF219" i="8" s="1"/>
  <c r="AG219" i="8"/>
  <c r="BE219" i="8" s="1"/>
  <c r="AF219" i="8"/>
  <c r="BD219" i="8" s="1"/>
  <c r="AE219" i="8"/>
  <c r="BC219" i="8" s="1"/>
  <c r="BB219" i="8"/>
  <c r="BA219" i="8"/>
  <c r="AZ219" i="8"/>
  <c r="AY219" i="8"/>
  <c r="AX219" i="8"/>
  <c r="AW218" i="8"/>
  <c r="BU218" i="8" s="1"/>
  <c r="AV218" i="8"/>
  <c r="BT218" i="8" s="1"/>
  <c r="AU218" i="8"/>
  <c r="BS218" i="8" s="1"/>
  <c r="AT218" i="8"/>
  <c r="BR218" i="8" s="1"/>
  <c r="AS218" i="8"/>
  <c r="BQ218" i="8" s="1"/>
  <c r="AR218" i="8"/>
  <c r="BP218" i="8" s="1"/>
  <c r="AQ218" i="8"/>
  <c r="BO218" i="8" s="1"/>
  <c r="AP218" i="8"/>
  <c r="BN218" i="8" s="1"/>
  <c r="AO218" i="8"/>
  <c r="BM218" i="8" s="1"/>
  <c r="AN218" i="8"/>
  <c r="BL218" i="8" s="1"/>
  <c r="AM218" i="8"/>
  <c r="BK218" i="8" s="1"/>
  <c r="AL218" i="8"/>
  <c r="BJ218" i="8" s="1"/>
  <c r="AK218" i="8"/>
  <c r="BI218" i="8" s="1"/>
  <c r="AJ218" i="8"/>
  <c r="BH218" i="8" s="1"/>
  <c r="AI218" i="8"/>
  <c r="BG218" i="8" s="1"/>
  <c r="AH218" i="8"/>
  <c r="BF218" i="8" s="1"/>
  <c r="AG218" i="8"/>
  <c r="BE218" i="8" s="1"/>
  <c r="AF218" i="8"/>
  <c r="BD218" i="8" s="1"/>
  <c r="AE218" i="8"/>
  <c r="BC218" i="8" s="1"/>
  <c r="BB218" i="8"/>
  <c r="BA218" i="8"/>
  <c r="AZ218" i="8"/>
  <c r="AY218" i="8"/>
  <c r="AX218" i="8"/>
  <c r="AW217" i="8"/>
  <c r="BU217" i="8" s="1"/>
  <c r="AV217" i="8"/>
  <c r="BT217" i="8" s="1"/>
  <c r="AU217" i="8"/>
  <c r="BS217" i="8" s="1"/>
  <c r="AT217" i="8"/>
  <c r="BR217" i="8" s="1"/>
  <c r="AS217" i="8"/>
  <c r="BQ217" i="8" s="1"/>
  <c r="AR217" i="8"/>
  <c r="BP217" i="8" s="1"/>
  <c r="AQ217" i="8"/>
  <c r="BO217" i="8" s="1"/>
  <c r="AP217" i="8"/>
  <c r="BN217" i="8" s="1"/>
  <c r="AO217" i="8"/>
  <c r="BM217" i="8" s="1"/>
  <c r="AN217" i="8"/>
  <c r="BL217" i="8" s="1"/>
  <c r="AM217" i="8"/>
  <c r="BK217" i="8" s="1"/>
  <c r="AL217" i="8"/>
  <c r="BJ217" i="8" s="1"/>
  <c r="AK217" i="8"/>
  <c r="BI217" i="8" s="1"/>
  <c r="AJ217" i="8"/>
  <c r="BH217" i="8" s="1"/>
  <c r="AI217" i="8"/>
  <c r="BG217" i="8" s="1"/>
  <c r="AH217" i="8"/>
  <c r="BF217" i="8" s="1"/>
  <c r="AG217" i="8"/>
  <c r="BE217" i="8" s="1"/>
  <c r="AF217" i="8"/>
  <c r="BD217" i="8" s="1"/>
  <c r="AE217" i="8"/>
  <c r="BC217" i="8" s="1"/>
  <c r="BB217" i="8"/>
  <c r="BA217" i="8"/>
  <c r="AZ217" i="8"/>
  <c r="AY217" i="8"/>
  <c r="AX217" i="8"/>
  <c r="AW216" i="8"/>
  <c r="BU216" i="8" s="1"/>
  <c r="AV216" i="8"/>
  <c r="BT216" i="8" s="1"/>
  <c r="AU216" i="8"/>
  <c r="BS216" i="8" s="1"/>
  <c r="AT216" i="8"/>
  <c r="BR216" i="8" s="1"/>
  <c r="AS216" i="8"/>
  <c r="BQ216" i="8" s="1"/>
  <c r="AR216" i="8"/>
  <c r="BP216" i="8" s="1"/>
  <c r="AQ216" i="8"/>
  <c r="BO216" i="8" s="1"/>
  <c r="AP216" i="8"/>
  <c r="BN216" i="8" s="1"/>
  <c r="AO216" i="8"/>
  <c r="BM216" i="8" s="1"/>
  <c r="AN216" i="8"/>
  <c r="BL216" i="8" s="1"/>
  <c r="AM216" i="8"/>
  <c r="BK216" i="8" s="1"/>
  <c r="AL216" i="8"/>
  <c r="BJ216" i="8" s="1"/>
  <c r="AK216" i="8"/>
  <c r="BI216" i="8" s="1"/>
  <c r="AJ216" i="8"/>
  <c r="BH216" i="8" s="1"/>
  <c r="AI216" i="8"/>
  <c r="BG216" i="8" s="1"/>
  <c r="AH216" i="8"/>
  <c r="BF216" i="8" s="1"/>
  <c r="AG216" i="8"/>
  <c r="BE216" i="8" s="1"/>
  <c r="AF216" i="8"/>
  <c r="BD216" i="8" s="1"/>
  <c r="AE216" i="8"/>
  <c r="BC216" i="8" s="1"/>
  <c r="BB216" i="8"/>
  <c r="BA216" i="8"/>
  <c r="AZ216" i="8"/>
  <c r="AY216" i="8"/>
  <c r="AX216" i="8"/>
  <c r="AW215" i="8"/>
  <c r="BU215" i="8" s="1"/>
  <c r="AV215" i="8"/>
  <c r="BT215" i="8" s="1"/>
  <c r="AU215" i="8"/>
  <c r="BS215" i="8" s="1"/>
  <c r="AT215" i="8"/>
  <c r="BR215" i="8" s="1"/>
  <c r="AS215" i="8"/>
  <c r="BQ215" i="8" s="1"/>
  <c r="AR215" i="8"/>
  <c r="BP215" i="8" s="1"/>
  <c r="AQ215" i="8"/>
  <c r="BO215" i="8" s="1"/>
  <c r="AP215" i="8"/>
  <c r="BN215" i="8" s="1"/>
  <c r="AO215" i="8"/>
  <c r="BM215" i="8" s="1"/>
  <c r="AN215" i="8"/>
  <c r="BL215" i="8" s="1"/>
  <c r="AM215" i="8"/>
  <c r="BK215" i="8" s="1"/>
  <c r="AL215" i="8"/>
  <c r="BJ215" i="8" s="1"/>
  <c r="AK215" i="8"/>
  <c r="BI215" i="8" s="1"/>
  <c r="AJ215" i="8"/>
  <c r="BH215" i="8" s="1"/>
  <c r="AI215" i="8"/>
  <c r="BG215" i="8" s="1"/>
  <c r="AH215" i="8"/>
  <c r="BF215" i="8" s="1"/>
  <c r="AG215" i="8"/>
  <c r="BE215" i="8" s="1"/>
  <c r="AF215" i="8"/>
  <c r="BD215" i="8" s="1"/>
  <c r="AE215" i="8"/>
  <c r="BC215" i="8" s="1"/>
  <c r="BB215" i="8"/>
  <c r="BA215" i="8"/>
  <c r="AZ215" i="8"/>
  <c r="AY215" i="8"/>
  <c r="AX215" i="8"/>
  <c r="AW214" i="8"/>
  <c r="BU214" i="8" s="1"/>
  <c r="AV214" i="8"/>
  <c r="BT214" i="8" s="1"/>
  <c r="AU214" i="8"/>
  <c r="BS214" i="8" s="1"/>
  <c r="AT214" i="8"/>
  <c r="BR214" i="8" s="1"/>
  <c r="AS214" i="8"/>
  <c r="BQ214" i="8" s="1"/>
  <c r="AR214" i="8"/>
  <c r="BP214" i="8" s="1"/>
  <c r="AQ214" i="8"/>
  <c r="BO214" i="8" s="1"/>
  <c r="AP214" i="8"/>
  <c r="BN214" i="8" s="1"/>
  <c r="AO214" i="8"/>
  <c r="BM214" i="8" s="1"/>
  <c r="AN214" i="8"/>
  <c r="BL214" i="8" s="1"/>
  <c r="AM214" i="8"/>
  <c r="BK214" i="8" s="1"/>
  <c r="AL214" i="8"/>
  <c r="BJ214" i="8" s="1"/>
  <c r="AK214" i="8"/>
  <c r="BI214" i="8" s="1"/>
  <c r="AJ214" i="8"/>
  <c r="BH214" i="8" s="1"/>
  <c r="AI214" i="8"/>
  <c r="BG214" i="8" s="1"/>
  <c r="AH214" i="8"/>
  <c r="BF214" i="8" s="1"/>
  <c r="AG214" i="8"/>
  <c r="BE214" i="8" s="1"/>
  <c r="AF214" i="8"/>
  <c r="BD214" i="8" s="1"/>
  <c r="AE214" i="8"/>
  <c r="BC214" i="8" s="1"/>
  <c r="BB214" i="8"/>
  <c r="BA214" i="8"/>
  <c r="AZ214" i="8"/>
  <c r="AY214" i="8"/>
  <c r="AX214" i="8"/>
  <c r="AW213" i="8"/>
  <c r="BU213" i="8" s="1"/>
  <c r="AV213" i="8"/>
  <c r="BT213" i="8" s="1"/>
  <c r="AU213" i="8"/>
  <c r="BS213" i="8" s="1"/>
  <c r="AT213" i="8"/>
  <c r="BR213" i="8" s="1"/>
  <c r="AS213" i="8"/>
  <c r="BQ213" i="8" s="1"/>
  <c r="AR213" i="8"/>
  <c r="BP213" i="8" s="1"/>
  <c r="AQ213" i="8"/>
  <c r="BO213" i="8" s="1"/>
  <c r="AP213" i="8"/>
  <c r="BN213" i="8" s="1"/>
  <c r="AO213" i="8"/>
  <c r="BM213" i="8" s="1"/>
  <c r="AN213" i="8"/>
  <c r="BL213" i="8" s="1"/>
  <c r="AM213" i="8"/>
  <c r="BK213" i="8" s="1"/>
  <c r="AL213" i="8"/>
  <c r="BJ213" i="8" s="1"/>
  <c r="AK213" i="8"/>
  <c r="BI213" i="8" s="1"/>
  <c r="AJ213" i="8"/>
  <c r="BH213" i="8" s="1"/>
  <c r="AI213" i="8"/>
  <c r="BG213" i="8" s="1"/>
  <c r="AH213" i="8"/>
  <c r="BF213" i="8" s="1"/>
  <c r="AG213" i="8"/>
  <c r="BE213" i="8" s="1"/>
  <c r="AF213" i="8"/>
  <c r="BD213" i="8" s="1"/>
  <c r="AE213" i="8"/>
  <c r="BC213" i="8" s="1"/>
  <c r="BB213" i="8"/>
  <c r="BA213" i="8"/>
  <c r="AZ213" i="8"/>
  <c r="AY213" i="8"/>
  <c r="AX213" i="8"/>
  <c r="AW212" i="8"/>
  <c r="BU212" i="8" s="1"/>
  <c r="AV212" i="8"/>
  <c r="BT212" i="8" s="1"/>
  <c r="AU212" i="8"/>
  <c r="BS212" i="8" s="1"/>
  <c r="AT212" i="8"/>
  <c r="BR212" i="8" s="1"/>
  <c r="AS212" i="8"/>
  <c r="BQ212" i="8" s="1"/>
  <c r="AR212" i="8"/>
  <c r="BP212" i="8" s="1"/>
  <c r="AQ212" i="8"/>
  <c r="BO212" i="8" s="1"/>
  <c r="AP212" i="8"/>
  <c r="BN212" i="8" s="1"/>
  <c r="AO212" i="8"/>
  <c r="BM212" i="8" s="1"/>
  <c r="AN212" i="8"/>
  <c r="BL212" i="8" s="1"/>
  <c r="AM212" i="8"/>
  <c r="BK212" i="8" s="1"/>
  <c r="AL212" i="8"/>
  <c r="BJ212" i="8" s="1"/>
  <c r="AK212" i="8"/>
  <c r="BI212" i="8" s="1"/>
  <c r="AJ212" i="8"/>
  <c r="BH212" i="8" s="1"/>
  <c r="AI212" i="8"/>
  <c r="BG212" i="8" s="1"/>
  <c r="AH212" i="8"/>
  <c r="BF212" i="8" s="1"/>
  <c r="AG212" i="8"/>
  <c r="BE212" i="8" s="1"/>
  <c r="AF212" i="8"/>
  <c r="BD212" i="8" s="1"/>
  <c r="AE212" i="8"/>
  <c r="BC212" i="8" s="1"/>
  <c r="BB212" i="8"/>
  <c r="BA212" i="8"/>
  <c r="AZ212" i="8"/>
  <c r="AY212" i="8"/>
  <c r="AX212" i="8"/>
  <c r="AW211" i="8"/>
  <c r="BU211" i="8" s="1"/>
  <c r="AV211" i="8"/>
  <c r="BT211" i="8" s="1"/>
  <c r="AU211" i="8"/>
  <c r="BS211" i="8" s="1"/>
  <c r="AT211" i="8"/>
  <c r="BR211" i="8" s="1"/>
  <c r="AS211" i="8"/>
  <c r="BQ211" i="8" s="1"/>
  <c r="AR211" i="8"/>
  <c r="BP211" i="8" s="1"/>
  <c r="AQ211" i="8"/>
  <c r="BO211" i="8" s="1"/>
  <c r="AP211" i="8"/>
  <c r="BN211" i="8" s="1"/>
  <c r="AO211" i="8"/>
  <c r="BM211" i="8" s="1"/>
  <c r="AN211" i="8"/>
  <c r="BL211" i="8" s="1"/>
  <c r="AM211" i="8"/>
  <c r="BK211" i="8" s="1"/>
  <c r="AL211" i="8"/>
  <c r="BJ211" i="8" s="1"/>
  <c r="AK211" i="8"/>
  <c r="BI211" i="8" s="1"/>
  <c r="AJ211" i="8"/>
  <c r="BH211" i="8" s="1"/>
  <c r="AI211" i="8"/>
  <c r="BG211" i="8" s="1"/>
  <c r="AH211" i="8"/>
  <c r="BF211" i="8" s="1"/>
  <c r="AG211" i="8"/>
  <c r="BE211" i="8" s="1"/>
  <c r="AF211" i="8"/>
  <c r="BD211" i="8" s="1"/>
  <c r="AE211" i="8"/>
  <c r="BC211" i="8" s="1"/>
  <c r="BB211" i="8"/>
  <c r="BA211" i="8"/>
  <c r="AZ211" i="8"/>
  <c r="AY211" i="8"/>
  <c r="AX211" i="8"/>
  <c r="AW210" i="8"/>
  <c r="BU210" i="8" s="1"/>
  <c r="AV210" i="8"/>
  <c r="BT210" i="8" s="1"/>
  <c r="AU210" i="8"/>
  <c r="BS210" i="8" s="1"/>
  <c r="AT210" i="8"/>
  <c r="BR210" i="8" s="1"/>
  <c r="AS210" i="8"/>
  <c r="BQ210" i="8" s="1"/>
  <c r="AR210" i="8"/>
  <c r="BP210" i="8" s="1"/>
  <c r="AQ210" i="8"/>
  <c r="BO210" i="8" s="1"/>
  <c r="AP210" i="8"/>
  <c r="BN210" i="8" s="1"/>
  <c r="AO210" i="8"/>
  <c r="BM210" i="8" s="1"/>
  <c r="AN210" i="8"/>
  <c r="BL210" i="8" s="1"/>
  <c r="AM210" i="8"/>
  <c r="BK210" i="8" s="1"/>
  <c r="AL210" i="8"/>
  <c r="BJ210" i="8" s="1"/>
  <c r="AK210" i="8"/>
  <c r="BI210" i="8" s="1"/>
  <c r="AJ210" i="8"/>
  <c r="BH210" i="8" s="1"/>
  <c r="AI210" i="8"/>
  <c r="BG210" i="8" s="1"/>
  <c r="AH210" i="8"/>
  <c r="BF210" i="8" s="1"/>
  <c r="AG210" i="8"/>
  <c r="BE210" i="8" s="1"/>
  <c r="AF210" i="8"/>
  <c r="BD210" i="8" s="1"/>
  <c r="AE210" i="8"/>
  <c r="BC210" i="8" s="1"/>
  <c r="AD210" i="8"/>
  <c r="BB210" i="8" s="1"/>
  <c r="AC210" i="8"/>
  <c r="BA210" i="8" s="1"/>
  <c r="AB210" i="8"/>
  <c r="AZ210" i="8" s="1"/>
  <c r="AA210" i="8"/>
  <c r="AY210" i="8" s="1"/>
  <c r="Z210" i="8"/>
  <c r="AX210" i="8" s="1"/>
  <c r="AW209" i="8"/>
  <c r="BU209" i="8" s="1"/>
  <c r="AV209" i="8"/>
  <c r="BT209" i="8" s="1"/>
  <c r="AU209" i="8"/>
  <c r="BS209" i="8" s="1"/>
  <c r="AT209" i="8"/>
  <c r="BR209" i="8" s="1"/>
  <c r="AS209" i="8"/>
  <c r="BQ209" i="8" s="1"/>
  <c r="AR209" i="8"/>
  <c r="BP209" i="8" s="1"/>
  <c r="AQ209" i="8"/>
  <c r="BO209" i="8" s="1"/>
  <c r="AP209" i="8"/>
  <c r="BN209" i="8" s="1"/>
  <c r="AO209" i="8"/>
  <c r="BM209" i="8" s="1"/>
  <c r="AN209" i="8"/>
  <c r="BL209" i="8" s="1"/>
  <c r="AM209" i="8"/>
  <c r="BK209" i="8" s="1"/>
  <c r="AL209" i="8"/>
  <c r="BJ209" i="8" s="1"/>
  <c r="AK209" i="8"/>
  <c r="BI209" i="8" s="1"/>
  <c r="AJ209" i="8"/>
  <c r="BH209" i="8" s="1"/>
  <c r="AI209" i="8"/>
  <c r="BG209" i="8" s="1"/>
  <c r="AH209" i="8"/>
  <c r="BF209" i="8" s="1"/>
  <c r="AG209" i="8"/>
  <c r="BE209" i="8" s="1"/>
  <c r="AF209" i="8"/>
  <c r="BD209" i="8" s="1"/>
  <c r="AE209" i="8"/>
  <c r="BC209" i="8" s="1"/>
  <c r="AD209" i="8"/>
  <c r="BB209" i="8" s="1"/>
  <c r="AC209" i="8"/>
  <c r="BA209" i="8" s="1"/>
  <c r="AB209" i="8"/>
  <c r="AZ209" i="8" s="1"/>
  <c r="AA209" i="8"/>
  <c r="AY209" i="8" s="1"/>
  <c r="Z209" i="8"/>
  <c r="AX209" i="8" s="1"/>
  <c r="AW208" i="8"/>
  <c r="BU208" i="8" s="1"/>
  <c r="AV208" i="8"/>
  <c r="BT208" i="8" s="1"/>
  <c r="AU208" i="8"/>
  <c r="BS208" i="8" s="1"/>
  <c r="AT208" i="8"/>
  <c r="BR208" i="8" s="1"/>
  <c r="AS208" i="8"/>
  <c r="BQ208" i="8" s="1"/>
  <c r="AR208" i="8"/>
  <c r="BP208" i="8" s="1"/>
  <c r="AQ208" i="8"/>
  <c r="BO208" i="8" s="1"/>
  <c r="AP208" i="8"/>
  <c r="BN208" i="8" s="1"/>
  <c r="AO208" i="8"/>
  <c r="BM208" i="8" s="1"/>
  <c r="AN208" i="8"/>
  <c r="BL208" i="8" s="1"/>
  <c r="AM208" i="8"/>
  <c r="BK208" i="8" s="1"/>
  <c r="AL208" i="8"/>
  <c r="BJ208" i="8" s="1"/>
  <c r="AK208" i="8"/>
  <c r="BI208" i="8" s="1"/>
  <c r="AJ208" i="8"/>
  <c r="BH208" i="8" s="1"/>
  <c r="AI208" i="8"/>
  <c r="BG208" i="8" s="1"/>
  <c r="AH208" i="8"/>
  <c r="BF208" i="8" s="1"/>
  <c r="AG208" i="8"/>
  <c r="BE208" i="8" s="1"/>
  <c r="AF208" i="8"/>
  <c r="BD208" i="8" s="1"/>
  <c r="AE208" i="8"/>
  <c r="BC208" i="8" s="1"/>
  <c r="AD208" i="8"/>
  <c r="BB208" i="8" s="1"/>
  <c r="AC208" i="8"/>
  <c r="BA208" i="8" s="1"/>
  <c r="AB208" i="8"/>
  <c r="AZ208" i="8" s="1"/>
  <c r="AA208" i="8"/>
  <c r="AY208" i="8" s="1"/>
  <c r="Z208" i="8"/>
  <c r="AX208" i="8" s="1"/>
  <c r="AW207" i="8"/>
  <c r="BU207" i="8" s="1"/>
  <c r="AV207" i="8"/>
  <c r="BT207" i="8" s="1"/>
  <c r="AU207" i="8"/>
  <c r="BS207" i="8" s="1"/>
  <c r="AT207" i="8"/>
  <c r="BR207" i="8" s="1"/>
  <c r="AS207" i="8"/>
  <c r="BQ207" i="8" s="1"/>
  <c r="AR207" i="8"/>
  <c r="BP207" i="8" s="1"/>
  <c r="AQ207" i="8"/>
  <c r="BO207" i="8" s="1"/>
  <c r="AP207" i="8"/>
  <c r="BN207" i="8" s="1"/>
  <c r="AO207" i="8"/>
  <c r="BM207" i="8" s="1"/>
  <c r="AN207" i="8"/>
  <c r="BL207" i="8" s="1"/>
  <c r="AM207" i="8"/>
  <c r="BK207" i="8" s="1"/>
  <c r="AL207" i="8"/>
  <c r="BJ207" i="8" s="1"/>
  <c r="AK207" i="8"/>
  <c r="BI207" i="8" s="1"/>
  <c r="AJ207" i="8"/>
  <c r="BH207" i="8" s="1"/>
  <c r="AI207" i="8"/>
  <c r="BG207" i="8" s="1"/>
  <c r="AH207" i="8"/>
  <c r="BF207" i="8" s="1"/>
  <c r="AG207" i="8"/>
  <c r="BE207" i="8" s="1"/>
  <c r="AF207" i="8"/>
  <c r="BD207" i="8" s="1"/>
  <c r="AE207" i="8"/>
  <c r="BC207" i="8" s="1"/>
  <c r="AD207" i="8"/>
  <c r="BB207" i="8" s="1"/>
  <c r="AC207" i="8"/>
  <c r="BA207" i="8" s="1"/>
  <c r="AB207" i="8"/>
  <c r="AZ207" i="8" s="1"/>
  <c r="AA207" i="8"/>
  <c r="AY207" i="8" s="1"/>
  <c r="Z207" i="8"/>
  <c r="AX207" i="8" s="1"/>
  <c r="AW206" i="8"/>
  <c r="BU206" i="8" s="1"/>
  <c r="AV206" i="8"/>
  <c r="BT206" i="8" s="1"/>
  <c r="AU206" i="8"/>
  <c r="BS206" i="8" s="1"/>
  <c r="AT206" i="8"/>
  <c r="BR206" i="8" s="1"/>
  <c r="AS206" i="8"/>
  <c r="BQ206" i="8" s="1"/>
  <c r="AR206" i="8"/>
  <c r="BP206" i="8" s="1"/>
  <c r="AQ206" i="8"/>
  <c r="BO206" i="8" s="1"/>
  <c r="AP206" i="8"/>
  <c r="BN206" i="8" s="1"/>
  <c r="AO206" i="8"/>
  <c r="BM206" i="8" s="1"/>
  <c r="AN206" i="8"/>
  <c r="BL206" i="8" s="1"/>
  <c r="AM206" i="8"/>
  <c r="BK206" i="8" s="1"/>
  <c r="AL206" i="8"/>
  <c r="BJ206" i="8" s="1"/>
  <c r="AK206" i="8"/>
  <c r="BI206" i="8" s="1"/>
  <c r="AJ206" i="8"/>
  <c r="BH206" i="8" s="1"/>
  <c r="AI206" i="8"/>
  <c r="BG206" i="8" s="1"/>
  <c r="AH206" i="8"/>
  <c r="BF206" i="8" s="1"/>
  <c r="AG206" i="8"/>
  <c r="BE206" i="8" s="1"/>
  <c r="AF206" i="8"/>
  <c r="BD206" i="8" s="1"/>
  <c r="AE206" i="8"/>
  <c r="BC206" i="8" s="1"/>
  <c r="AD206" i="8"/>
  <c r="BB206" i="8" s="1"/>
  <c r="AC206" i="8"/>
  <c r="BA206" i="8" s="1"/>
  <c r="AB206" i="8"/>
  <c r="AZ206" i="8" s="1"/>
  <c r="AA206" i="8"/>
  <c r="AY206" i="8" s="1"/>
  <c r="Z206" i="8"/>
  <c r="AX206" i="8" s="1"/>
  <c r="AW205" i="8"/>
  <c r="BU205" i="8" s="1"/>
  <c r="AV205" i="8"/>
  <c r="BT205" i="8" s="1"/>
  <c r="AU205" i="8"/>
  <c r="BS205" i="8" s="1"/>
  <c r="AT205" i="8"/>
  <c r="BR205" i="8" s="1"/>
  <c r="AS205" i="8"/>
  <c r="BQ205" i="8" s="1"/>
  <c r="AR205" i="8"/>
  <c r="BP205" i="8" s="1"/>
  <c r="AQ205" i="8"/>
  <c r="BO205" i="8" s="1"/>
  <c r="AP205" i="8"/>
  <c r="BN205" i="8" s="1"/>
  <c r="AO205" i="8"/>
  <c r="BM205" i="8" s="1"/>
  <c r="AN205" i="8"/>
  <c r="BL205" i="8" s="1"/>
  <c r="AM205" i="8"/>
  <c r="BK205" i="8" s="1"/>
  <c r="AL205" i="8"/>
  <c r="BJ205" i="8" s="1"/>
  <c r="AK205" i="8"/>
  <c r="BI205" i="8" s="1"/>
  <c r="AJ205" i="8"/>
  <c r="BH205" i="8" s="1"/>
  <c r="AI205" i="8"/>
  <c r="BG205" i="8" s="1"/>
  <c r="AH205" i="8"/>
  <c r="BF205" i="8" s="1"/>
  <c r="AG205" i="8"/>
  <c r="BE205" i="8" s="1"/>
  <c r="AF205" i="8"/>
  <c r="BD205" i="8" s="1"/>
  <c r="AE205" i="8"/>
  <c r="BC205" i="8" s="1"/>
  <c r="AD205" i="8"/>
  <c r="BB205" i="8" s="1"/>
  <c r="AC205" i="8"/>
  <c r="BA205" i="8" s="1"/>
  <c r="AB205" i="8"/>
  <c r="AZ205" i="8" s="1"/>
  <c r="AA205" i="8"/>
  <c r="AY205" i="8" s="1"/>
  <c r="Z205" i="8"/>
  <c r="AX205" i="8" s="1"/>
  <c r="AW204" i="8"/>
  <c r="BU204" i="8" s="1"/>
  <c r="AV204" i="8"/>
  <c r="BT204" i="8" s="1"/>
  <c r="AU204" i="8"/>
  <c r="BS204" i="8" s="1"/>
  <c r="AT204" i="8"/>
  <c r="BR204" i="8" s="1"/>
  <c r="AS204" i="8"/>
  <c r="BQ204" i="8" s="1"/>
  <c r="AR204" i="8"/>
  <c r="BP204" i="8" s="1"/>
  <c r="AQ204" i="8"/>
  <c r="BO204" i="8" s="1"/>
  <c r="AP204" i="8"/>
  <c r="BN204" i="8" s="1"/>
  <c r="AO204" i="8"/>
  <c r="BM204" i="8" s="1"/>
  <c r="AN204" i="8"/>
  <c r="BL204" i="8" s="1"/>
  <c r="AM204" i="8"/>
  <c r="BK204" i="8" s="1"/>
  <c r="AL204" i="8"/>
  <c r="BJ204" i="8" s="1"/>
  <c r="AK204" i="8"/>
  <c r="BI204" i="8" s="1"/>
  <c r="AJ204" i="8"/>
  <c r="BH204" i="8" s="1"/>
  <c r="AI204" i="8"/>
  <c r="BG204" i="8" s="1"/>
  <c r="AH204" i="8"/>
  <c r="BF204" i="8" s="1"/>
  <c r="AG204" i="8"/>
  <c r="BE204" i="8" s="1"/>
  <c r="AF204" i="8"/>
  <c r="BD204" i="8" s="1"/>
  <c r="AE204" i="8"/>
  <c r="BC204" i="8" s="1"/>
  <c r="AD204" i="8"/>
  <c r="BB204" i="8" s="1"/>
  <c r="AC204" i="8"/>
  <c r="BA204" i="8" s="1"/>
  <c r="AB204" i="8"/>
  <c r="AZ204" i="8" s="1"/>
  <c r="AA204" i="8"/>
  <c r="AY204" i="8" s="1"/>
  <c r="Z204" i="8"/>
  <c r="AX204" i="8" s="1"/>
  <c r="AW203" i="8"/>
  <c r="BU203" i="8" s="1"/>
  <c r="AV203" i="8"/>
  <c r="BT203" i="8" s="1"/>
  <c r="AU203" i="8"/>
  <c r="BS203" i="8" s="1"/>
  <c r="AT203" i="8"/>
  <c r="BR203" i="8" s="1"/>
  <c r="AS203" i="8"/>
  <c r="BQ203" i="8" s="1"/>
  <c r="AR203" i="8"/>
  <c r="BP203" i="8" s="1"/>
  <c r="AQ203" i="8"/>
  <c r="BO203" i="8" s="1"/>
  <c r="AP203" i="8"/>
  <c r="BN203" i="8" s="1"/>
  <c r="AO203" i="8"/>
  <c r="BM203" i="8" s="1"/>
  <c r="AN203" i="8"/>
  <c r="BL203" i="8" s="1"/>
  <c r="AM203" i="8"/>
  <c r="BK203" i="8" s="1"/>
  <c r="AL203" i="8"/>
  <c r="BJ203" i="8" s="1"/>
  <c r="AK203" i="8"/>
  <c r="BI203" i="8" s="1"/>
  <c r="AJ203" i="8"/>
  <c r="BH203" i="8" s="1"/>
  <c r="AI203" i="8"/>
  <c r="BG203" i="8" s="1"/>
  <c r="AH203" i="8"/>
  <c r="BF203" i="8" s="1"/>
  <c r="AG203" i="8"/>
  <c r="BE203" i="8" s="1"/>
  <c r="AF203" i="8"/>
  <c r="BD203" i="8" s="1"/>
  <c r="AE203" i="8"/>
  <c r="BC203" i="8" s="1"/>
  <c r="AD203" i="8"/>
  <c r="BB203" i="8" s="1"/>
  <c r="AC203" i="8"/>
  <c r="BA203" i="8" s="1"/>
  <c r="AB203" i="8"/>
  <c r="AZ203" i="8" s="1"/>
  <c r="AA203" i="8"/>
  <c r="AY203" i="8" s="1"/>
  <c r="Z203" i="8"/>
  <c r="AX203" i="8" s="1"/>
  <c r="AW202" i="8"/>
  <c r="BU202" i="8" s="1"/>
  <c r="AV202" i="8"/>
  <c r="BT202" i="8" s="1"/>
  <c r="AU202" i="8"/>
  <c r="BS202" i="8" s="1"/>
  <c r="AT202" i="8"/>
  <c r="BR202" i="8" s="1"/>
  <c r="AS202" i="8"/>
  <c r="BQ202" i="8" s="1"/>
  <c r="AR202" i="8"/>
  <c r="BP202" i="8" s="1"/>
  <c r="AQ202" i="8"/>
  <c r="BO202" i="8" s="1"/>
  <c r="AP202" i="8"/>
  <c r="BN202" i="8" s="1"/>
  <c r="AO202" i="8"/>
  <c r="BM202" i="8" s="1"/>
  <c r="AN202" i="8"/>
  <c r="BL202" i="8" s="1"/>
  <c r="AM202" i="8"/>
  <c r="BK202" i="8" s="1"/>
  <c r="AL202" i="8"/>
  <c r="BJ202" i="8" s="1"/>
  <c r="AK202" i="8"/>
  <c r="BI202" i="8" s="1"/>
  <c r="AJ202" i="8"/>
  <c r="BH202" i="8" s="1"/>
  <c r="AI202" i="8"/>
  <c r="BG202" i="8" s="1"/>
  <c r="AH202" i="8"/>
  <c r="BF202" i="8" s="1"/>
  <c r="AG202" i="8"/>
  <c r="BE202" i="8" s="1"/>
  <c r="AF202" i="8"/>
  <c r="BD202" i="8" s="1"/>
  <c r="AE202" i="8"/>
  <c r="BC202" i="8" s="1"/>
  <c r="AD202" i="8"/>
  <c r="BB202" i="8" s="1"/>
  <c r="AC202" i="8"/>
  <c r="BA202" i="8" s="1"/>
  <c r="AB202" i="8"/>
  <c r="AZ202" i="8" s="1"/>
  <c r="AA202" i="8"/>
  <c r="AY202" i="8" s="1"/>
  <c r="Z202" i="8"/>
  <c r="AX202" i="8" s="1"/>
  <c r="AW201" i="8"/>
  <c r="BU201" i="8" s="1"/>
  <c r="AV201" i="8"/>
  <c r="BT201" i="8" s="1"/>
  <c r="AU201" i="8"/>
  <c r="BS201" i="8" s="1"/>
  <c r="AT201" i="8"/>
  <c r="BR201" i="8" s="1"/>
  <c r="AS201" i="8"/>
  <c r="BQ201" i="8" s="1"/>
  <c r="AR201" i="8"/>
  <c r="BP201" i="8" s="1"/>
  <c r="AQ201" i="8"/>
  <c r="BO201" i="8" s="1"/>
  <c r="AP201" i="8"/>
  <c r="BN201" i="8" s="1"/>
  <c r="AO201" i="8"/>
  <c r="BM201" i="8" s="1"/>
  <c r="AN201" i="8"/>
  <c r="BL201" i="8" s="1"/>
  <c r="AM201" i="8"/>
  <c r="BK201" i="8" s="1"/>
  <c r="AL201" i="8"/>
  <c r="BJ201" i="8" s="1"/>
  <c r="AK201" i="8"/>
  <c r="BI201" i="8" s="1"/>
  <c r="AJ201" i="8"/>
  <c r="BH201" i="8" s="1"/>
  <c r="AI201" i="8"/>
  <c r="BG201" i="8" s="1"/>
  <c r="AH201" i="8"/>
  <c r="BF201" i="8" s="1"/>
  <c r="AG201" i="8"/>
  <c r="BE201" i="8" s="1"/>
  <c r="AF201" i="8"/>
  <c r="BD201" i="8" s="1"/>
  <c r="AE201" i="8"/>
  <c r="BC201" i="8" s="1"/>
  <c r="AD201" i="8"/>
  <c r="BB201" i="8" s="1"/>
  <c r="AC201" i="8"/>
  <c r="BA201" i="8" s="1"/>
  <c r="AB201" i="8"/>
  <c r="AZ201" i="8" s="1"/>
  <c r="AA201" i="8"/>
  <c r="AY201" i="8" s="1"/>
  <c r="Z201" i="8"/>
  <c r="AX201" i="8" s="1"/>
  <c r="AW200" i="8"/>
  <c r="BU200" i="8" s="1"/>
  <c r="AV200" i="8"/>
  <c r="BT200" i="8" s="1"/>
  <c r="AU200" i="8"/>
  <c r="BS200" i="8" s="1"/>
  <c r="AT200" i="8"/>
  <c r="BR200" i="8" s="1"/>
  <c r="AS200" i="8"/>
  <c r="BQ200" i="8" s="1"/>
  <c r="AR200" i="8"/>
  <c r="BP200" i="8" s="1"/>
  <c r="AQ200" i="8"/>
  <c r="BO200" i="8" s="1"/>
  <c r="AP200" i="8"/>
  <c r="BN200" i="8" s="1"/>
  <c r="AO200" i="8"/>
  <c r="BM200" i="8" s="1"/>
  <c r="AN200" i="8"/>
  <c r="BL200" i="8" s="1"/>
  <c r="AM200" i="8"/>
  <c r="BK200" i="8" s="1"/>
  <c r="AL200" i="8"/>
  <c r="BJ200" i="8" s="1"/>
  <c r="AK200" i="8"/>
  <c r="BI200" i="8" s="1"/>
  <c r="AJ200" i="8"/>
  <c r="BH200" i="8" s="1"/>
  <c r="AI200" i="8"/>
  <c r="BG200" i="8" s="1"/>
  <c r="AH200" i="8"/>
  <c r="BF200" i="8" s="1"/>
  <c r="AG200" i="8"/>
  <c r="BE200" i="8" s="1"/>
  <c r="AF200" i="8"/>
  <c r="BD200" i="8" s="1"/>
  <c r="AE200" i="8"/>
  <c r="BC200" i="8" s="1"/>
  <c r="AD200" i="8"/>
  <c r="BB200" i="8" s="1"/>
  <c r="AC200" i="8"/>
  <c r="BA200" i="8" s="1"/>
  <c r="AB200" i="8"/>
  <c r="AZ200" i="8" s="1"/>
  <c r="AA200" i="8"/>
  <c r="AY200" i="8" s="1"/>
  <c r="Z200" i="8"/>
  <c r="AX200" i="8" s="1"/>
  <c r="AW199" i="8"/>
  <c r="BU199" i="8" s="1"/>
  <c r="AV199" i="8"/>
  <c r="BT199" i="8" s="1"/>
  <c r="AU199" i="8"/>
  <c r="BS199" i="8" s="1"/>
  <c r="AT199" i="8"/>
  <c r="BR199" i="8" s="1"/>
  <c r="AS199" i="8"/>
  <c r="BQ199" i="8" s="1"/>
  <c r="AR199" i="8"/>
  <c r="BP199" i="8" s="1"/>
  <c r="AQ199" i="8"/>
  <c r="BO199" i="8" s="1"/>
  <c r="AP199" i="8"/>
  <c r="BN199" i="8" s="1"/>
  <c r="AO199" i="8"/>
  <c r="BM199" i="8" s="1"/>
  <c r="AN199" i="8"/>
  <c r="BL199" i="8" s="1"/>
  <c r="AM199" i="8"/>
  <c r="BK199" i="8" s="1"/>
  <c r="AL199" i="8"/>
  <c r="BJ199" i="8" s="1"/>
  <c r="AK199" i="8"/>
  <c r="BI199" i="8" s="1"/>
  <c r="AJ199" i="8"/>
  <c r="BH199" i="8" s="1"/>
  <c r="AI199" i="8"/>
  <c r="BG199" i="8" s="1"/>
  <c r="AH199" i="8"/>
  <c r="BF199" i="8" s="1"/>
  <c r="AG199" i="8"/>
  <c r="BE199" i="8" s="1"/>
  <c r="AF199" i="8"/>
  <c r="BD199" i="8" s="1"/>
  <c r="AE199" i="8"/>
  <c r="BC199" i="8" s="1"/>
  <c r="AD199" i="8"/>
  <c r="BB199" i="8" s="1"/>
  <c r="AC199" i="8"/>
  <c r="BA199" i="8" s="1"/>
  <c r="AB199" i="8"/>
  <c r="AZ199" i="8" s="1"/>
  <c r="AA199" i="8"/>
  <c r="AY199" i="8" s="1"/>
  <c r="Z199" i="8"/>
  <c r="AX199" i="8" s="1"/>
  <c r="AW198" i="8"/>
  <c r="BU198" i="8" s="1"/>
  <c r="AV198" i="8"/>
  <c r="BT198" i="8" s="1"/>
  <c r="AU198" i="8"/>
  <c r="BS198" i="8" s="1"/>
  <c r="AT198" i="8"/>
  <c r="BR198" i="8" s="1"/>
  <c r="AS198" i="8"/>
  <c r="BQ198" i="8" s="1"/>
  <c r="AR198" i="8"/>
  <c r="BP198" i="8" s="1"/>
  <c r="AQ198" i="8"/>
  <c r="BO198" i="8" s="1"/>
  <c r="AP198" i="8"/>
  <c r="BN198" i="8" s="1"/>
  <c r="AO198" i="8"/>
  <c r="BM198" i="8" s="1"/>
  <c r="AN198" i="8"/>
  <c r="BL198" i="8" s="1"/>
  <c r="AM198" i="8"/>
  <c r="BK198" i="8" s="1"/>
  <c r="AL198" i="8"/>
  <c r="BJ198" i="8" s="1"/>
  <c r="AK198" i="8"/>
  <c r="BI198" i="8" s="1"/>
  <c r="AJ198" i="8"/>
  <c r="BH198" i="8" s="1"/>
  <c r="AI198" i="8"/>
  <c r="BG198" i="8" s="1"/>
  <c r="AH198" i="8"/>
  <c r="BF198" i="8" s="1"/>
  <c r="AG198" i="8"/>
  <c r="BE198" i="8" s="1"/>
  <c r="AF198" i="8"/>
  <c r="BD198" i="8" s="1"/>
  <c r="AE198" i="8"/>
  <c r="BC198" i="8" s="1"/>
  <c r="AD198" i="8"/>
  <c r="BB198" i="8" s="1"/>
  <c r="AC198" i="8"/>
  <c r="BA198" i="8" s="1"/>
  <c r="AB198" i="8"/>
  <c r="AZ198" i="8" s="1"/>
  <c r="AA198" i="8"/>
  <c r="AY198" i="8" s="1"/>
  <c r="Z198" i="8"/>
  <c r="AX198" i="8" s="1"/>
  <c r="AW197" i="8"/>
  <c r="BU197" i="8" s="1"/>
  <c r="AV197" i="8"/>
  <c r="BT197" i="8" s="1"/>
  <c r="AU197" i="8"/>
  <c r="BS197" i="8" s="1"/>
  <c r="AT197" i="8"/>
  <c r="BR197" i="8" s="1"/>
  <c r="AS197" i="8"/>
  <c r="BQ197" i="8" s="1"/>
  <c r="AR197" i="8"/>
  <c r="BP197" i="8" s="1"/>
  <c r="AQ197" i="8"/>
  <c r="BO197" i="8" s="1"/>
  <c r="AP197" i="8"/>
  <c r="BN197" i="8" s="1"/>
  <c r="AO197" i="8"/>
  <c r="BM197" i="8" s="1"/>
  <c r="AN197" i="8"/>
  <c r="BL197" i="8" s="1"/>
  <c r="AM197" i="8"/>
  <c r="BK197" i="8" s="1"/>
  <c r="AL197" i="8"/>
  <c r="BJ197" i="8" s="1"/>
  <c r="AK197" i="8"/>
  <c r="BI197" i="8" s="1"/>
  <c r="AJ197" i="8"/>
  <c r="BH197" i="8" s="1"/>
  <c r="AI197" i="8"/>
  <c r="BG197" i="8" s="1"/>
  <c r="AH197" i="8"/>
  <c r="BF197" i="8" s="1"/>
  <c r="AG197" i="8"/>
  <c r="BE197" i="8" s="1"/>
  <c r="AF197" i="8"/>
  <c r="BD197" i="8" s="1"/>
  <c r="AE197" i="8"/>
  <c r="BC197" i="8" s="1"/>
  <c r="AD197" i="8"/>
  <c r="BB197" i="8" s="1"/>
  <c r="AC197" i="8"/>
  <c r="BA197" i="8" s="1"/>
  <c r="AB197" i="8"/>
  <c r="AZ197" i="8" s="1"/>
  <c r="AA197" i="8"/>
  <c r="AY197" i="8" s="1"/>
  <c r="Z197" i="8"/>
  <c r="AX197" i="8" s="1"/>
  <c r="AW196" i="8"/>
  <c r="BU196" i="8" s="1"/>
  <c r="AV196" i="8"/>
  <c r="BT196" i="8" s="1"/>
  <c r="AU196" i="8"/>
  <c r="BS196" i="8" s="1"/>
  <c r="AT196" i="8"/>
  <c r="BR196" i="8" s="1"/>
  <c r="AS196" i="8"/>
  <c r="BQ196" i="8" s="1"/>
  <c r="AR196" i="8"/>
  <c r="BP196" i="8" s="1"/>
  <c r="AQ196" i="8"/>
  <c r="BO196" i="8" s="1"/>
  <c r="AP196" i="8"/>
  <c r="BN196" i="8" s="1"/>
  <c r="AO196" i="8"/>
  <c r="BM196" i="8" s="1"/>
  <c r="AN196" i="8"/>
  <c r="BL196" i="8" s="1"/>
  <c r="AM196" i="8"/>
  <c r="BK196" i="8" s="1"/>
  <c r="AL196" i="8"/>
  <c r="BJ196" i="8" s="1"/>
  <c r="AK196" i="8"/>
  <c r="BI196" i="8" s="1"/>
  <c r="AJ196" i="8"/>
  <c r="BH196" i="8" s="1"/>
  <c r="AI196" i="8"/>
  <c r="BG196" i="8" s="1"/>
  <c r="AH196" i="8"/>
  <c r="BF196" i="8" s="1"/>
  <c r="AG196" i="8"/>
  <c r="BE196" i="8" s="1"/>
  <c r="AF196" i="8"/>
  <c r="BD196" i="8" s="1"/>
  <c r="AE196" i="8"/>
  <c r="BC196" i="8" s="1"/>
  <c r="AD196" i="8"/>
  <c r="BB196" i="8" s="1"/>
  <c r="AC196" i="8"/>
  <c r="BA196" i="8" s="1"/>
  <c r="AB196" i="8"/>
  <c r="AZ196" i="8" s="1"/>
  <c r="AA196" i="8"/>
  <c r="AY196" i="8" s="1"/>
  <c r="Z196" i="8"/>
  <c r="AX196" i="8" s="1"/>
  <c r="AW195" i="8"/>
  <c r="BU195" i="8" s="1"/>
  <c r="AV195" i="8"/>
  <c r="BT195" i="8" s="1"/>
  <c r="AU195" i="8"/>
  <c r="BS195" i="8" s="1"/>
  <c r="AT195" i="8"/>
  <c r="BR195" i="8" s="1"/>
  <c r="AS195" i="8"/>
  <c r="BQ195" i="8" s="1"/>
  <c r="AR195" i="8"/>
  <c r="BP195" i="8" s="1"/>
  <c r="AQ195" i="8"/>
  <c r="BO195" i="8" s="1"/>
  <c r="AP195" i="8"/>
  <c r="BN195" i="8" s="1"/>
  <c r="AO195" i="8"/>
  <c r="BM195" i="8" s="1"/>
  <c r="AN195" i="8"/>
  <c r="BL195" i="8" s="1"/>
  <c r="AM195" i="8"/>
  <c r="BK195" i="8" s="1"/>
  <c r="AL195" i="8"/>
  <c r="BJ195" i="8" s="1"/>
  <c r="AK195" i="8"/>
  <c r="BI195" i="8" s="1"/>
  <c r="AJ195" i="8"/>
  <c r="BH195" i="8" s="1"/>
  <c r="AI195" i="8"/>
  <c r="BG195" i="8" s="1"/>
  <c r="AH195" i="8"/>
  <c r="BF195" i="8" s="1"/>
  <c r="AG195" i="8"/>
  <c r="BE195" i="8" s="1"/>
  <c r="AF195" i="8"/>
  <c r="BD195" i="8" s="1"/>
  <c r="AE195" i="8"/>
  <c r="BC195" i="8" s="1"/>
  <c r="AD195" i="8"/>
  <c r="BB195" i="8" s="1"/>
  <c r="AC195" i="8"/>
  <c r="BA195" i="8" s="1"/>
  <c r="AB195" i="8"/>
  <c r="AZ195" i="8" s="1"/>
  <c r="AA195" i="8"/>
  <c r="AY195" i="8" s="1"/>
  <c r="Z195" i="8"/>
  <c r="AX195" i="8" s="1"/>
  <c r="AW194" i="8"/>
  <c r="BU194" i="8" s="1"/>
  <c r="AV194" i="8"/>
  <c r="BT194" i="8" s="1"/>
  <c r="AU194" i="8"/>
  <c r="BS194" i="8" s="1"/>
  <c r="AT194" i="8"/>
  <c r="BR194" i="8" s="1"/>
  <c r="AS194" i="8"/>
  <c r="BQ194" i="8" s="1"/>
  <c r="AR194" i="8"/>
  <c r="BP194" i="8" s="1"/>
  <c r="AQ194" i="8"/>
  <c r="BO194" i="8" s="1"/>
  <c r="AP194" i="8"/>
  <c r="BN194" i="8" s="1"/>
  <c r="AO194" i="8"/>
  <c r="BM194" i="8" s="1"/>
  <c r="AN194" i="8"/>
  <c r="BL194" i="8" s="1"/>
  <c r="AM194" i="8"/>
  <c r="BK194" i="8" s="1"/>
  <c r="AL194" i="8"/>
  <c r="BJ194" i="8" s="1"/>
  <c r="AK194" i="8"/>
  <c r="BI194" i="8" s="1"/>
  <c r="AJ194" i="8"/>
  <c r="BH194" i="8" s="1"/>
  <c r="AI194" i="8"/>
  <c r="BG194" i="8" s="1"/>
  <c r="AH194" i="8"/>
  <c r="BF194" i="8" s="1"/>
  <c r="AG194" i="8"/>
  <c r="BE194" i="8" s="1"/>
  <c r="AF194" i="8"/>
  <c r="BD194" i="8" s="1"/>
  <c r="AE194" i="8"/>
  <c r="BC194" i="8" s="1"/>
  <c r="AD194" i="8"/>
  <c r="BB194" i="8" s="1"/>
  <c r="AC194" i="8"/>
  <c r="BA194" i="8" s="1"/>
  <c r="AB194" i="8"/>
  <c r="AZ194" i="8" s="1"/>
  <c r="AA194" i="8"/>
  <c r="AY194" i="8" s="1"/>
  <c r="Z194" i="8"/>
  <c r="AX194" i="8" s="1"/>
  <c r="AW193" i="8"/>
  <c r="BU193" i="8" s="1"/>
  <c r="AV193" i="8"/>
  <c r="BT193" i="8" s="1"/>
  <c r="AU193" i="8"/>
  <c r="BS193" i="8" s="1"/>
  <c r="AT193" i="8"/>
  <c r="BR193" i="8" s="1"/>
  <c r="AS193" i="8"/>
  <c r="BQ193" i="8" s="1"/>
  <c r="AR193" i="8"/>
  <c r="BP193" i="8" s="1"/>
  <c r="AQ193" i="8"/>
  <c r="BO193" i="8" s="1"/>
  <c r="AP193" i="8"/>
  <c r="BN193" i="8" s="1"/>
  <c r="AO193" i="8"/>
  <c r="BM193" i="8" s="1"/>
  <c r="AN193" i="8"/>
  <c r="BL193" i="8" s="1"/>
  <c r="AM193" i="8"/>
  <c r="BK193" i="8" s="1"/>
  <c r="AL193" i="8"/>
  <c r="BJ193" i="8" s="1"/>
  <c r="AK193" i="8"/>
  <c r="BI193" i="8" s="1"/>
  <c r="AJ193" i="8"/>
  <c r="BH193" i="8" s="1"/>
  <c r="AI193" i="8"/>
  <c r="BG193" i="8" s="1"/>
  <c r="AH193" i="8"/>
  <c r="BF193" i="8" s="1"/>
  <c r="AG193" i="8"/>
  <c r="BE193" i="8" s="1"/>
  <c r="AF193" i="8"/>
  <c r="BD193" i="8" s="1"/>
  <c r="AE193" i="8"/>
  <c r="BC193" i="8" s="1"/>
  <c r="AD193" i="8"/>
  <c r="BB193" i="8" s="1"/>
  <c r="AC193" i="8"/>
  <c r="BA193" i="8" s="1"/>
  <c r="AB193" i="8"/>
  <c r="AZ193" i="8" s="1"/>
  <c r="AA193" i="8"/>
  <c r="AY193" i="8" s="1"/>
  <c r="Z193" i="8"/>
  <c r="AX193" i="8" s="1"/>
  <c r="AW192" i="8"/>
  <c r="BU192" i="8" s="1"/>
  <c r="AV192" i="8"/>
  <c r="BT192" i="8" s="1"/>
  <c r="AU192" i="8"/>
  <c r="BS192" i="8" s="1"/>
  <c r="AT192" i="8"/>
  <c r="BR192" i="8" s="1"/>
  <c r="AS192" i="8"/>
  <c r="BQ192" i="8" s="1"/>
  <c r="AR192" i="8"/>
  <c r="BP192" i="8" s="1"/>
  <c r="AQ192" i="8"/>
  <c r="BO192" i="8" s="1"/>
  <c r="AP192" i="8"/>
  <c r="BN192" i="8" s="1"/>
  <c r="AO192" i="8"/>
  <c r="BM192" i="8" s="1"/>
  <c r="AN192" i="8"/>
  <c r="BL192" i="8" s="1"/>
  <c r="AM192" i="8"/>
  <c r="BK192" i="8" s="1"/>
  <c r="AL192" i="8"/>
  <c r="BJ192" i="8" s="1"/>
  <c r="AK192" i="8"/>
  <c r="BI192" i="8" s="1"/>
  <c r="AJ192" i="8"/>
  <c r="BH192" i="8" s="1"/>
  <c r="AI192" i="8"/>
  <c r="BG192" i="8" s="1"/>
  <c r="AH192" i="8"/>
  <c r="BF192" i="8" s="1"/>
  <c r="AG192" i="8"/>
  <c r="BE192" i="8" s="1"/>
  <c r="AF192" i="8"/>
  <c r="BD192" i="8" s="1"/>
  <c r="AE192" i="8"/>
  <c r="BC192" i="8" s="1"/>
  <c r="AD192" i="8"/>
  <c r="BB192" i="8" s="1"/>
  <c r="AC192" i="8"/>
  <c r="BA192" i="8" s="1"/>
  <c r="AB192" i="8"/>
  <c r="AZ192" i="8" s="1"/>
  <c r="AA192" i="8"/>
  <c r="AY192" i="8" s="1"/>
  <c r="Z192" i="8"/>
  <c r="AX192" i="8" s="1"/>
  <c r="AW191" i="8"/>
  <c r="BU191" i="8" s="1"/>
  <c r="AV191" i="8"/>
  <c r="BT191" i="8" s="1"/>
  <c r="AU191" i="8"/>
  <c r="BS191" i="8" s="1"/>
  <c r="AT191" i="8"/>
  <c r="BR191" i="8" s="1"/>
  <c r="AS191" i="8"/>
  <c r="BQ191" i="8" s="1"/>
  <c r="AR191" i="8"/>
  <c r="BP191" i="8" s="1"/>
  <c r="AQ191" i="8"/>
  <c r="BO191" i="8" s="1"/>
  <c r="AP191" i="8"/>
  <c r="BN191" i="8" s="1"/>
  <c r="AO191" i="8"/>
  <c r="BM191" i="8" s="1"/>
  <c r="AN191" i="8"/>
  <c r="BL191" i="8" s="1"/>
  <c r="AM191" i="8"/>
  <c r="BK191" i="8" s="1"/>
  <c r="AL191" i="8"/>
  <c r="BJ191" i="8" s="1"/>
  <c r="AK191" i="8"/>
  <c r="BI191" i="8" s="1"/>
  <c r="AJ191" i="8"/>
  <c r="BH191" i="8" s="1"/>
  <c r="AI191" i="8"/>
  <c r="BG191" i="8" s="1"/>
  <c r="AH191" i="8"/>
  <c r="BF191" i="8" s="1"/>
  <c r="AG191" i="8"/>
  <c r="BE191" i="8" s="1"/>
  <c r="AF191" i="8"/>
  <c r="BD191" i="8" s="1"/>
  <c r="AE191" i="8"/>
  <c r="BC191" i="8" s="1"/>
  <c r="AD191" i="8"/>
  <c r="BB191" i="8" s="1"/>
  <c r="AC191" i="8"/>
  <c r="BA191" i="8" s="1"/>
  <c r="AB191" i="8"/>
  <c r="AZ191" i="8" s="1"/>
  <c r="AA191" i="8"/>
  <c r="AY191" i="8" s="1"/>
  <c r="Z191" i="8"/>
  <c r="AX191" i="8" s="1"/>
  <c r="AW190" i="8"/>
  <c r="BU190" i="8" s="1"/>
  <c r="AV190" i="8"/>
  <c r="BT190" i="8" s="1"/>
  <c r="AU190" i="8"/>
  <c r="BS190" i="8" s="1"/>
  <c r="AT190" i="8"/>
  <c r="BR190" i="8" s="1"/>
  <c r="AS190" i="8"/>
  <c r="BQ190" i="8" s="1"/>
  <c r="AR190" i="8"/>
  <c r="BP190" i="8" s="1"/>
  <c r="AQ190" i="8"/>
  <c r="BO190" i="8" s="1"/>
  <c r="AP190" i="8"/>
  <c r="BN190" i="8" s="1"/>
  <c r="AO190" i="8"/>
  <c r="BM190" i="8" s="1"/>
  <c r="AN190" i="8"/>
  <c r="BL190" i="8" s="1"/>
  <c r="AM190" i="8"/>
  <c r="BK190" i="8" s="1"/>
  <c r="AL190" i="8"/>
  <c r="BJ190" i="8" s="1"/>
  <c r="AK190" i="8"/>
  <c r="BI190" i="8" s="1"/>
  <c r="AJ190" i="8"/>
  <c r="BH190" i="8" s="1"/>
  <c r="AI190" i="8"/>
  <c r="BG190" i="8" s="1"/>
  <c r="AH190" i="8"/>
  <c r="BF190" i="8" s="1"/>
  <c r="AG190" i="8"/>
  <c r="BE190" i="8" s="1"/>
  <c r="AF190" i="8"/>
  <c r="BD190" i="8" s="1"/>
  <c r="AE190" i="8"/>
  <c r="BC190" i="8" s="1"/>
  <c r="AD190" i="8"/>
  <c r="BB190" i="8" s="1"/>
  <c r="AC190" i="8"/>
  <c r="BA190" i="8" s="1"/>
  <c r="AB190" i="8"/>
  <c r="AZ190" i="8" s="1"/>
  <c r="AA190" i="8"/>
  <c r="AY190" i="8" s="1"/>
  <c r="Z190" i="8"/>
  <c r="AX190" i="8" s="1"/>
  <c r="AW189" i="8"/>
  <c r="BU189" i="8" s="1"/>
  <c r="AV189" i="8"/>
  <c r="BT189" i="8" s="1"/>
  <c r="AU189" i="8"/>
  <c r="BS189" i="8" s="1"/>
  <c r="AT189" i="8"/>
  <c r="BR189" i="8" s="1"/>
  <c r="AS189" i="8"/>
  <c r="BQ189" i="8" s="1"/>
  <c r="AR189" i="8"/>
  <c r="BP189" i="8" s="1"/>
  <c r="AQ189" i="8"/>
  <c r="BO189" i="8" s="1"/>
  <c r="AP189" i="8"/>
  <c r="BN189" i="8" s="1"/>
  <c r="AO189" i="8"/>
  <c r="BM189" i="8" s="1"/>
  <c r="AN189" i="8"/>
  <c r="BL189" i="8" s="1"/>
  <c r="AM189" i="8"/>
  <c r="BK189" i="8" s="1"/>
  <c r="AL189" i="8"/>
  <c r="BJ189" i="8" s="1"/>
  <c r="AK189" i="8"/>
  <c r="BI189" i="8" s="1"/>
  <c r="AJ189" i="8"/>
  <c r="BH189" i="8" s="1"/>
  <c r="AI189" i="8"/>
  <c r="BG189" i="8" s="1"/>
  <c r="AH189" i="8"/>
  <c r="BF189" i="8" s="1"/>
  <c r="AG189" i="8"/>
  <c r="BE189" i="8" s="1"/>
  <c r="AF189" i="8"/>
  <c r="BD189" i="8" s="1"/>
  <c r="AE189" i="8"/>
  <c r="BC189" i="8" s="1"/>
  <c r="AD189" i="8"/>
  <c r="BB189" i="8" s="1"/>
  <c r="AC189" i="8"/>
  <c r="BA189" i="8" s="1"/>
  <c r="AB189" i="8"/>
  <c r="AZ189" i="8" s="1"/>
  <c r="AA189" i="8"/>
  <c r="AY189" i="8" s="1"/>
  <c r="Z189" i="8"/>
  <c r="AX189" i="8" s="1"/>
  <c r="AW188" i="8"/>
  <c r="BU188" i="8" s="1"/>
  <c r="AV188" i="8"/>
  <c r="BT188" i="8" s="1"/>
  <c r="AU188" i="8"/>
  <c r="BS188" i="8" s="1"/>
  <c r="AT188" i="8"/>
  <c r="BR188" i="8" s="1"/>
  <c r="AS188" i="8"/>
  <c r="BQ188" i="8" s="1"/>
  <c r="AR188" i="8"/>
  <c r="BP188" i="8" s="1"/>
  <c r="AQ188" i="8"/>
  <c r="BO188" i="8" s="1"/>
  <c r="AP188" i="8"/>
  <c r="BN188" i="8" s="1"/>
  <c r="AO188" i="8"/>
  <c r="BM188" i="8" s="1"/>
  <c r="AN188" i="8"/>
  <c r="BL188" i="8" s="1"/>
  <c r="AM188" i="8"/>
  <c r="BK188" i="8" s="1"/>
  <c r="AL188" i="8"/>
  <c r="BJ188" i="8" s="1"/>
  <c r="AK188" i="8"/>
  <c r="BI188" i="8" s="1"/>
  <c r="AJ188" i="8"/>
  <c r="BH188" i="8" s="1"/>
  <c r="AI188" i="8"/>
  <c r="BG188" i="8" s="1"/>
  <c r="AH188" i="8"/>
  <c r="BF188" i="8" s="1"/>
  <c r="AG188" i="8"/>
  <c r="BE188" i="8" s="1"/>
  <c r="AF188" i="8"/>
  <c r="BD188" i="8" s="1"/>
  <c r="AE188" i="8"/>
  <c r="BC188" i="8" s="1"/>
  <c r="AD188" i="8"/>
  <c r="BB188" i="8" s="1"/>
  <c r="AC188" i="8"/>
  <c r="BA188" i="8" s="1"/>
  <c r="AB188" i="8"/>
  <c r="AZ188" i="8" s="1"/>
  <c r="AA188" i="8"/>
  <c r="AY188" i="8" s="1"/>
  <c r="Z188" i="8"/>
  <c r="AX188" i="8" s="1"/>
  <c r="AW187" i="8"/>
  <c r="BU187" i="8" s="1"/>
  <c r="AV187" i="8"/>
  <c r="BT187" i="8" s="1"/>
  <c r="AU187" i="8"/>
  <c r="BS187" i="8" s="1"/>
  <c r="AT187" i="8"/>
  <c r="BR187" i="8" s="1"/>
  <c r="AS187" i="8"/>
  <c r="BQ187" i="8" s="1"/>
  <c r="AR187" i="8"/>
  <c r="BP187" i="8" s="1"/>
  <c r="AQ187" i="8"/>
  <c r="BO187" i="8" s="1"/>
  <c r="AP187" i="8"/>
  <c r="BN187" i="8" s="1"/>
  <c r="AO187" i="8"/>
  <c r="BM187" i="8" s="1"/>
  <c r="AN187" i="8"/>
  <c r="BL187" i="8" s="1"/>
  <c r="AM187" i="8"/>
  <c r="BK187" i="8" s="1"/>
  <c r="AL187" i="8"/>
  <c r="BJ187" i="8" s="1"/>
  <c r="AK187" i="8"/>
  <c r="BI187" i="8" s="1"/>
  <c r="AJ187" i="8"/>
  <c r="BH187" i="8" s="1"/>
  <c r="AI187" i="8"/>
  <c r="BG187" i="8" s="1"/>
  <c r="AH187" i="8"/>
  <c r="BF187" i="8" s="1"/>
  <c r="AG187" i="8"/>
  <c r="BE187" i="8" s="1"/>
  <c r="AF187" i="8"/>
  <c r="BD187" i="8" s="1"/>
  <c r="AE187" i="8"/>
  <c r="BC187" i="8" s="1"/>
  <c r="AD187" i="8"/>
  <c r="BB187" i="8" s="1"/>
  <c r="AC187" i="8"/>
  <c r="BA187" i="8" s="1"/>
  <c r="AB187" i="8"/>
  <c r="AZ187" i="8" s="1"/>
  <c r="AA187" i="8"/>
  <c r="AY187" i="8" s="1"/>
  <c r="Z187" i="8"/>
  <c r="AX187" i="8" s="1"/>
  <c r="AW186" i="8"/>
  <c r="BU186" i="8" s="1"/>
  <c r="AV186" i="8"/>
  <c r="BT186" i="8" s="1"/>
  <c r="AU186" i="8"/>
  <c r="BS186" i="8" s="1"/>
  <c r="AT186" i="8"/>
  <c r="BR186" i="8" s="1"/>
  <c r="AS186" i="8"/>
  <c r="BQ186" i="8" s="1"/>
  <c r="AR186" i="8"/>
  <c r="BP186" i="8" s="1"/>
  <c r="AQ186" i="8"/>
  <c r="BO186" i="8" s="1"/>
  <c r="AP186" i="8"/>
  <c r="BN186" i="8" s="1"/>
  <c r="AO186" i="8"/>
  <c r="BM186" i="8" s="1"/>
  <c r="AN186" i="8"/>
  <c r="BL186" i="8" s="1"/>
  <c r="AM186" i="8"/>
  <c r="BK186" i="8" s="1"/>
  <c r="AL186" i="8"/>
  <c r="BJ186" i="8" s="1"/>
  <c r="AK186" i="8"/>
  <c r="BI186" i="8" s="1"/>
  <c r="AJ186" i="8"/>
  <c r="BH186" i="8" s="1"/>
  <c r="AI186" i="8"/>
  <c r="BG186" i="8" s="1"/>
  <c r="AH186" i="8"/>
  <c r="BF186" i="8" s="1"/>
  <c r="AG186" i="8"/>
  <c r="BE186" i="8" s="1"/>
  <c r="AF186" i="8"/>
  <c r="BD186" i="8" s="1"/>
  <c r="AE186" i="8"/>
  <c r="BC186" i="8" s="1"/>
  <c r="AD186" i="8"/>
  <c r="BB186" i="8" s="1"/>
  <c r="AC186" i="8"/>
  <c r="BA186" i="8" s="1"/>
  <c r="AB186" i="8"/>
  <c r="AZ186" i="8" s="1"/>
  <c r="AA186" i="8"/>
  <c r="AY186" i="8" s="1"/>
  <c r="Z186" i="8"/>
  <c r="AX186" i="8" s="1"/>
  <c r="AW185" i="8"/>
  <c r="BU185" i="8" s="1"/>
  <c r="AV185" i="8"/>
  <c r="BT185" i="8" s="1"/>
  <c r="AU185" i="8"/>
  <c r="BS185" i="8" s="1"/>
  <c r="AT185" i="8"/>
  <c r="BR185" i="8" s="1"/>
  <c r="AS185" i="8"/>
  <c r="BQ185" i="8" s="1"/>
  <c r="AR185" i="8"/>
  <c r="BP185" i="8" s="1"/>
  <c r="AQ185" i="8"/>
  <c r="BO185" i="8" s="1"/>
  <c r="AP185" i="8"/>
  <c r="BN185" i="8" s="1"/>
  <c r="AO185" i="8"/>
  <c r="BM185" i="8" s="1"/>
  <c r="AN185" i="8"/>
  <c r="BL185" i="8" s="1"/>
  <c r="AM185" i="8"/>
  <c r="BK185" i="8" s="1"/>
  <c r="AL185" i="8"/>
  <c r="BJ185" i="8" s="1"/>
  <c r="AK185" i="8"/>
  <c r="BI185" i="8" s="1"/>
  <c r="AJ185" i="8"/>
  <c r="BH185" i="8" s="1"/>
  <c r="AI185" i="8"/>
  <c r="BG185" i="8" s="1"/>
  <c r="AH185" i="8"/>
  <c r="BF185" i="8" s="1"/>
  <c r="AG185" i="8"/>
  <c r="BE185" i="8" s="1"/>
  <c r="AF185" i="8"/>
  <c r="BD185" i="8" s="1"/>
  <c r="AE185" i="8"/>
  <c r="BC185" i="8" s="1"/>
  <c r="AD185" i="8"/>
  <c r="BB185" i="8" s="1"/>
  <c r="AC185" i="8"/>
  <c r="BA185" i="8" s="1"/>
  <c r="AB185" i="8"/>
  <c r="AZ185" i="8" s="1"/>
  <c r="AA185" i="8"/>
  <c r="AY185" i="8" s="1"/>
  <c r="Z185" i="8"/>
  <c r="AX185" i="8" s="1"/>
  <c r="AW184" i="8"/>
  <c r="BU184" i="8" s="1"/>
  <c r="AV184" i="8"/>
  <c r="BT184" i="8" s="1"/>
  <c r="AU184" i="8"/>
  <c r="BS184" i="8" s="1"/>
  <c r="AT184" i="8"/>
  <c r="BR184" i="8" s="1"/>
  <c r="AS184" i="8"/>
  <c r="BQ184" i="8" s="1"/>
  <c r="AR184" i="8"/>
  <c r="BP184" i="8" s="1"/>
  <c r="AQ184" i="8"/>
  <c r="BO184" i="8" s="1"/>
  <c r="AP184" i="8"/>
  <c r="BN184" i="8" s="1"/>
  <c r="AO184" i="8"/>
  <c r="BM184" i="8" s="1"/>
  <c r="AN184" i="8"/>
  <c r="BL184" i="8" s="1"/>
  <c r="AM184" i="8"/>
  <c r="BK184" i="8" s="1"/>
  <c r="AL184" i="8"/>
  <c r="BJ184" i="8" s="1"/>
  <c r="AK184" i="8"/>
  <c r="BI184" i="8" s="1"/>
  <c r="AJ184" i="8"/>
  <c r="BH184" i="8" s="1"/>
  <c r="AI184" i="8"/>
  <c r="BG184" i="8" s="1"/>
  <c r="AH184" i="8"/>
  <c r="BF184" i="8" s="1"/>
  <c r="AG184" i="8"/>
  <c r="BE184" i="8" s="1"/>
  <c r="AF184" i="8"/>
  <c r="BD184" i="8" s="1"/>
  <c r="AE184" i="8"/>
  <c r="BC184" i="8" s="1"/>
  <c r="AD184" i="8"/>
  <c r="BB184" i="8" s="1"/>
  <c r="AC184" i="8"/>
  <c r="BA184" i="8" s="1"/>
  <c r="AB184" i="8"/>
  <c r="AZ184" i="8" s="1"/>
  <c r="AA184" i="8"/>
  <c r="AY184" i="8" s="1"/>
  <c r="Z184" i="8"/>
  <c r="AX184" i="8" s="1"/>
  <c r="AW183" i="8"/>
  <c r="BU183" i="8" s="1"/>
  <c r="AV183" i="8"/>
  <c r="BT183" i="8" s="1"/>
  <c r="AU183" i="8"/>
  <c r="BS183" i="8" s="1"/>
  <c r="AT183" i="8"/>
  <c r="BR183" i="8" s="1"/>
  <c r="AS183" i="8"/>
  <c r="BQ183" i="8" s="1"/>
  <c r="AR183" i="8"/>
  <c r="BP183" i="8" s="1"/>
  <c r="AQ183" i="8"/>
  <c r="BO183" i="8" s="1"/>
  <c r="AP183" i="8"/>
  <c r="BN183" i="8" s="1"/>
  <c r="AO183" i="8"/>
  <c r="BM183" i="8" s="1"/>
  <c r="AN183" i="8"/>
  <c r="BL183" i="8" s="1"/>
  <c r="AM183" i="8"/>
  <c r="BK183" i="8" s="1"/>
  <c r="AL183" i="8"/>
  <c r="BJ183" i="8" s="1"/>
  <c r="AK183" i="8"/>
  <c r="BI183" i="8" s="1"/>
  <c r="AJ183" i="8"/>
  <c r="BH183" i="8" s="1"/>
  <c r="AI183" i="8"/>
  <c r="BG183" i="8" s="1"/>
  <c r="AH183" i="8"/>
  <c r="BF183" i="8" s="1"/>
  <c r="AG183" i="8"/>
  <c r="BE183" i="8" s="1"/>
  <c r="AF183" i="8"/>
  <c r="BD183" i="8" s="1"/>
  <c r="AE183" i="8"/>
  <c r="BC183" i="8" s="1"/>
  <c r="AD183" i="8"/>
  <c r="BB183" i="8" s="1"/>
  <c r="AC183" i="8"/>
  <c r="BA183" i="8" s="1"/>
  <c r="AB183" i="8"/>
  <c r="AZ183" i="8" s="1"/>
  <c r="AA183" i="8"/>
  <c r="AY183" i="8" s="1"/>
  <c r="Z183" i="8"/>
  <c r="AX183" i="8" s="1"/>
  <c r="AW182" i="8"/>
  <c r="BU182" i="8" s="1"/>
  <c r="AV182" i="8"/>
  <c r="BT182" i="8" s="1"/>
  <c r="AU182" i="8"/>
  <c r="BS182" i="8" s="1"/>
  <c r="AT182" i="8"/>
  <c r="BR182" i="8" s="1"/>
  <c r="AS182" i="8"/>
  <c r="BQ182" i="8" s="1"/>
  <c r="AR182" i="8"/>
  <c r="BP182" i="8" s="1"/>
  <c r="AQ182" i="8"/>
  <c r="BO182" i="8" s="1"/>
  <c r="AP182" i="8"/>
  <c r="BN182" i="8" s="1"/>
  <c r="AO182" i="8"/>
  <c r="BM182" i="8" s="1"/>
  <c r="AN182" i="8"/>
  <c r="BL182" i="8" s="1"/>
  <c r="AM182" i="8"/>
  <c r="BK182" i="8" s="1"/>
  <c r="AL182" i="8"/>
  <c r="BJ182" i="8" s="1"/>
  <c r="AK182" i="8"/>
  <c r="BI182" i="8" s="1"/>
  <c r="AJ182" i="8"/>
  <c r="BH182" i="8" s="1"/>
  <c r="AI182" i="8"/>
  <c r="BG182" i="8" s="1"/>
  <c r="AH182" i="8"/>
  <c r="BF182" i="8" s="1"/>
  <c r="AG182" i="8"/>
  <c r="BE182" i="8" s="1"/>
  <c r="AF182" i="8"/>
  <c r="BD182" i="8" s="1"/>
  <c r="AE182" i="8"/>
  <c r="BC182" i="8" s="1"/>
  <c r="AD182" i="8"/>
  <c r="BB182" i="8" s="1"/>
  <c r="AC182" i="8"/>
  <c r="BA182" i="8" s="1"/>
  <c r="AB182" i="8"/>
  <c r="AZ182" i="8" s="1"/>
  <c r="AA182" i="8"/>
  <c r="AY182" i="8" s="1"/>
  <c r="Z182" i="8"/>
  <c r="AX182" i="8" s="1"/>
  <c r="AW181" i="8"/>
  <c r="BU181" i="8" s="1"/>
  <c r="AV181" i="8"/>
  <c r="BT181" i="8" s="1"/>
  <c r="AU181" i="8"/>
  <c r="BS181" i="8" s="1"/>
  <c r="AT181" i="8"/>
  <c r="BR181" i="8" s="1"/>
  <c r="AS181" i="8"/>
  <c r="BQ181" i="8" s="1"/>
  <c r="AR181" i="8"/>
  <c r="BP181" i="8" s="1"/>
  <c r="AQ181" i="8"/>
  <c r="BO181" i="8" s="1"/>
  <c r="AP181" i="8"/>
  <c r="BN181" i="8" s="1"/>
  <c r="AO181" i="8"/>
  <c r="BM181" i="8" s="1"/>
  <c r="AN181" i="8"/>
  <c r="BL181" i="8" s="1"/>
  <c r="AM181" i="8"/>
  <c r="BK181" i="8" s="1"/>
  <c r="AL181" i="8"/>
  <c r="BJ181" i="8" s="1"/>
  <c r="AK181" i="8"/>
  <c r="BI181" i="8" s="1"/>
  <c r="AJ181" i="8"/>
  <c r="BH181" i="8" s="1"/>
  <c r="AI181" i="8"/>
  <c r="BG181" i="8" s="1"/>
  <c r="AH181" i="8"/>
  <c r="BF181" i="8" s="1"/>
  <c r="AG181" i="8"/>
  <c r="BE181" i="8" s="1"/>
  <c r="AF181" i="8"/>
  <c r="BD181" i="8" s="1"/>
  <c r="AE181" i="8"/>
  <c r="BC181" i="8" s="1"/>
  <c r="AD181" i="8"/>
  <c r="BB181" i="8" s="1"/>
  <c r="AC181" i="8"/>
  <c r="BA181" i="8" s="1"/>
  <c r="AB181" i="8"/>
  <c r="AZ181" i="8" s="1"/>
  <c r="AA181" i="8"/>
  <c r="AY181" i="8" s="1"/>
  <c r="Z181" i="8"/>
  <c r="AX181" i="8" s="1"/>
  <c r="AW180" i="8"/>
  <c r="BU180" i="8" s="1"/>
  <c r="AV180" i="8"/>
  <c r="BT180" i="8" s="1"/>
  <c r="AU180" i="8"/>
  <c r="BS180" i="8" s="1"/>
  <c r="AT180" i="8"/>
  <c r="BR180" i="8" s="1"/>
  <c r="AS180" i="8"/>
  <c r="BQ180" i="8" s="1"/>
  <c r="AR180" i="8"/>
  <c r="BP180" i="8" s="1"/>
  <c r="AQ180" i="8"/>
  <c r="BO180" i="8" s="1"/>
  <c r="AP180" i="8"/>
  <c r="BN180" i="8" s="1"/>
  <c r="AO180" i="8"/>
  <c r="BM180" i="8" s="1"/>
  <c r="AN180" i="8"/>
  <c r="BL180" i="8" s="1"/>
  <c r="AM180" i="8"/>
  <c r="BK180" i="8" s="1"/>
  <c r="AL180" i="8"/>
  <c r="BJ180" i="8" s="1"/>
  <c r="AK180" i="8"/>
  <c r="BI180" i="8" s="1"/>
  <c r="AJ180" i="8"/>
  <c r="BH180" i="8" s="1"/>
  <c r="AI180" i="8"/>
  <c r="BG180" i="8" s="1"/>
  <c r="AH180" i="8"/>
  <c r="BF180" i="8" s="1"/>
  <c r="AG180" i="8"/>
  <c r="BE180" i="8" s="1"/>
  <c r="AF180" i="8"/>
  <c r="BD180" i="8" s="1"/>
  <c r="AE180" i="8"/>
  <c r="BC180" i="8" s="1"/>
  <c r="AD180" i="8"/>
  <c r="BB180" i="8" s="1"/>
  <c r="AC180" i="8"/>
  <c r="BA180" i="8" s="1"/>
  <c r="AB180" i="8"/>
  <c r="AZ180" i="8" s="1"/>
  <c r="AA180" i="8"/>
  <c r="AY180" i="8" s="1"/>
  <c r="Z180" i="8"/>
  <c r="AX180" i="8" s="1"/>
  <c r="AW179" i="8"/>
  <c r="BU179" i="8" s="1"/>
  <c r="AV179" i="8"/>
  <c r="BT179" i="8" s="1"/>
  <c r="AU179" i="8"/>
  <c r="BS179" i="8" s="1"/>
  <c r="AT179" i="8"/>
  <c r="BR179" i="8" s="1"/>
  <c r="AS179" i="8"/>
  <c r="BQ179" i="8" s="1"/>
  <c r="AR179" i="8"/>
  <c r="BP179" i="8" s="1"/>
  <c r="AQ179" i="8"/>
  <c r="BO179" i="8" s="1"/>
  <c r="AP179" i="8"/>
  <c r="BN179" i="8" s="1"/>
  <c r="AO179" i="8"/>
  <c r="BM179" i="8" s="1"/>
  <c r="AN179" i="8"/>
  <c r="BL179" i="8" s="1"/>
  <c r="AM179" i="8"/>
  <c r="BK179" i="8" s="1"/>
  <c r="AL179" i="8"/>
  <c r="BJ179" i="8" s="1"/>
  <c r="AK179" i="8"/>
  <c r="BI179" i="8" s="1"/>
  <c r="AJ179" i="8"/>
  <c r="BH179" i="8" s="1"/>
  <c r="AI179" i="8"/>
  <c r="BG179" i="8" s="1"/>
  <c r="AH179" i="8"/>
  <c r="BF179" i="8" s="1"/>
  <c r="AG179" i="8"/>
  <c r="BE179" i="8" s="1"/>
  <c r="AF179" i="8"/>
  <c r="BD179" i="8" s="1"/>
  <c r="AE179" i="8"/>
  <c r="BC179" i="8" s="1"/>
  <c r="AD179" i="8"/>
  <c r="BB179" i="8" s="1"/>
  <c r="AC179" i="8"/>
  <c r="BA179" i="8" s="1"/>
  <c r="AB179" i="8"/>
  <c r="AZ179" i="8" s="1"/>
  <c r="AA179" i="8"/>
  <c r="AY179" i="8" s="1"/>
  <c r="Z179" i="8"/>
  <c r="AX179" i="8" s="1"/>
  <c r="AW178" i="8"/>
  <c r="BU178" i="8" s="1"/>
  <c r="AV178" i="8"/>
  <c r="BT178" i="8" s="1"/>
  <c r="AU178" i="8"/>
  <c r="BS178" i="8" s="1"/>
  <c r="AT178" i="8"/>
  <c r="BR178" i="8" s="1"/>
  <c r="AS178" i="8"/>
  <c r="BQ178" i="8" s="1"/>
  <c r="AR178" i="8"/>
  <c r="BP178" i="8" s="1"/>
  <c r="AQ178" i="8"/>
  <c r="BO178" i="8" s="1"/>
  <c r="AP178" i="8"/>
  <c r="BN178" i="8" s="1"/>
  <c r="AO178" i="8"/>
  <c r="BM178" i="8" s="1"/>
  <c r="AN178" i="8"/>
  <c r="BL178" i="8" s="1"/>
  <c r="AM178" i="8"/>
  <c r="BK178" i="8" s="1"/>
  <c r="AL178" i="8"/>
  <c r="BJ178" i="8" s="1"/>
  <c r="AK178" i="8"/>
  <c r="BI178" i="8" s="1"/>
  <c r="AJ178" i="8"/>
  <c r="BH178" i="8" s="1"/>
  <c r="AI178" i="8"/>
  <c r="BG178" i="8" s="1"/>
  <c r="AH178" i="8"/>
  <c r="BF178" i="8" s="1"/>
  <c r="AG178" i="8"/>
  <c r="BE178" i="8" s="1"/>
  <c r="AF178" i="8"/>
  <c r="BD178" i="8" s="1"/>
  <c r="AE178" i="8"/>
  <c r="BC178" i="8" s="1"/>
  <c r="AD178" i="8"/>
  <c r="BB178" i="8" s="1"/>
  <c r="AC178" i="8"/>
  <c r="BA178" i="8" s="1"/>
  <c r="AB178" i="8"/>
  <c r="AZ178" i="8" s="1"/>
  <c r="AA178" i="8"/>
  <c r="AY178" i="8" s="1"/>
  <c r="Z178" i="8"/>
  <c r="AX178" i="8" s="1"/>
  <c r="AW177" i="8"/>
  <c r="BU177" i="8" s="1"/>
  <c r="AV177" i="8"/>
  <c r="BT177" i="8" s="1"/>
  <c r="AU177" i="8"/>
  <c r="BS177" i="8" s="1"/>
  <c r="AT177" i="8"/>
  <c r="BR177" i="8" s="1"/>
  <c r="AS177" i="8"/>
  <c r="BQ177" i="8" s="1"/>
  <c r="AR177" i="8"/>
  <c r="BP177" i="8" s="1"/>
  <c r="AQ177" i="8"/>
  <c r="BO177" i="8" s="1"/>
  <c r="AP177" i="8"/>
  <c r="BN177" i="8" s="1"/>
  <c r="AO177" i="8"/>
  <c r="BM177" i="8" s="1"/>
  <c r="AN177" i="8"/>
  <c r="BL177" i="8" s="1"/>
  <c r="AM177" i="8"/>
  <c r="BK177" i="8" s="1"/>
  <c r="AL177" i="8"/>
  <c r="BJ177" i="8" s="1"/>
  <c r="AK177" i="8"/>
  <c r="BI177" i="8" s="1"/>
  <c r="AJ177" i="8"/>
  <c r="BH177" i="8" s="1"/>
  <c r="AI177" i="8"/>
  <c r="BG177" i="8" s="1"/>
  <c r="AH177" i="8"/>
  <c r="BF177" i="8" s="1"/>
  <c r="AG177" i="8"/>
  <c r="BE177" i="8" s="1"/>
  <c r="AF177" i="8"/>
  <c r="BD177" i="8" s="1"/>
  <c r="AE177" i="8"/>
  <c r="BC177" i="8" s="1"/>
  <c r="AD177" i="8"/>
  <c r="BB177" i="8" s="1"/>
  <c r="AC177" i="8"/>
  <c r="BA177" i="8" s="1"/>
  <c r="AB177" i="8"/>
  <c r="AZ177" i="8" s="1"/>
  <c r="AA177" i="8"/>
  <c r="AY177" i="8" s="1"/>
  <c r="Z177" i="8"/>
  <c r="AX177" i="8" s="1"/>
  <c r="AW176" i="8"/>
  <c r="BU176" i="8" s="1"/>
  <c r="AV176" i="8"/>
  <c r="BT176" i="8" s="1"/>
  <c r="AU176" i="8"/>
  <c r="BS176" i="8" s="1"/>
  <c r="AT176" i="8"/>
  <c r="BR176" i="8" s="1"/>
  <c r="AS176" i="8"/>
  <c r="BQ176" i="8" s="1"/>
  <c r="AR176" i="8"/>
  <c r="BP176" i="8" s="1"/>
  <c r="AQ176" i="8"/>
  <c r="BO176" i="8" s="1"/>
  <c r="AP176" i="8"/>
  <c r="BN176" i="8" s="1"/>
  <c r="AO176" i="8"/>
  <c r="BM176" i="8" s="1"/>
  <c r="AN176" i="8"/>
  <c r="BL176" i="8" s="1"/>
  <c r="AM176" i="8"/>
  <c r="BK176" i="8" s="1"/>
  <c r="AL176" i="8"/>
  <c r="BJ176" i="8" s="1"/>
  <c r="AK176" i="8"/>
  <c r="BI176" i="8" s="1"/>
  <c r="AJ176" i="8"/>
  <c r="BH176" i="8" s="1"/>
  <c r="AI176" i="8"/>
  <c r="BG176" i="8" s="1"/>
  <c r="AH176" i="8"/>
  <c r="BF176" i="8" s="1"/>
  <c r="AG176" i="8"/>
  <c r="BE176" i="8" s="1"/>
  <c r="AF176" i="8"/>
  <c r="BD176" i="8" s="1"/>
  <c r="AE176" i="8"/>
  <c r="BC176" i="8" s="1"/>
  <c r="AD176" i="8"/>
  <c r="BB176" i="8" s="1"/>
  <c r="AC176" i="8"/>
  <c r="BA176" i="8" s="1"/>
  <c r="AB176" i="8"/>
  <c r="AZ176" i="8" s="1"/>
  <c r="AA176" i="8"/>
  <c r="AY176" i="8" s="1"/>
  <c r="Z176" i="8"/>
  <c r="AX176" i="8" s="1"/>
  <c r="AW175" i="8"/>
  <c r="BU175" i="8" s="1"/>
  <c r="AV175" i="8"/>
  <c r="BT175" i="8" s="1"/>
  <c r="AU175" i="8"/>
  <c r="BS175" i="8" s="1"/>
  <c r="AT175" i="8"/>
  <c r="BR175" i="8" s="1"/>
  <c r="AS175" i="8"/>
  <c r="BQ175" i="8" s="1"/>
  <c r="AR175" i="8"/>
  <c r="BP175" i="8" s="1"/>
  <c r="AQ175" i="8"/>
  <c r="BO175" i="8" s="1"/>
  <c r="AP175" i="8"/>
  <c r="BN175" i="8" s="1"/>
  <c r="AO175" i="8"/>
  <c r="BM175" i="8" s="1"/>
  <c r="AN175" i="8"/>
  <c r="BL175" i="8" s="1"/>
  <c r="AM175" i="8"/>
  <c r="BK175" i="8" s="1"/>
  <c r="AL175" i="8"/>
  <c r="BJ175" i="8" s="1"/>
  <c r="AK175" i="8"/>
  <c r="BI175" i="8" s="1"/>
  <c r="AJ175" i="8"/>
  <c r="BH175" i="8" s="1"/>
  <c r="AI175" i="8"/>
  <c r="BG175" i="8" s="1"/>
  <c r="AH175" i="8"/>
  <c r="BF175" i="8" s="1"/>
  <c r="AG175" i="8"/>
  <c r="BE175" i="8" s="1"/>
  <c r="AF175" i="8"/>
  <c r="BD175" i="8" s="1"/>
  <c r="AE175" i="8"/>
  <c r="BC175" i="8" s="1"/>
  <c r="AD175" i="8"/>
  <c r="BB175" i="8" s="1"/>
  <c r="AC175" i="8"/>
  <c r="BA175" i="8" s="1"/>
  <c r="AB175" i="8"/>
  <c r="AZ175" i="8" s="1"/>
  <c r="AA175" i="8"/>
  <c r="AY175" i="8" s="1"/>
  <c r="Z175" i="8"/>
  <c r="AX175" i="8" s="1"/>
  <c r="AW174" i="8"/>
  <c r="BU174" i="8" s="1"/>
  <c r="AV174" i="8"/>
  <c r="BT174" i="8" s="1"/>
  <c r="AU174" i="8"/>
  <c r="BS174" i="8" s="1"/>
  <c r="AT174" i="8"/>
  <c r="BR174" i="8" s="1"/>
  <c r="AS174" i="8"/>
  <c r="BQ174" i="8" s="1"/>
  <c r="AR174" i="8"/>
  <c r="BP174" i="8" s="1"/>
  <c r="AQ174" i="8"/>
  <c r="BO174" i="8" s="1"/>
  <c r="AP174" i="8"/>
  <c r="BN174" i="8" s="1"/>
  <c r="AO174" i="8"/>
  <c r="BM174" i="8" s="1"/>
  <c r="AN174" i="8"/>
  <c r="BL174" i="8" s="1"/>
  <c r="AM174" i="8"/>
  <c r="BK174" i="8" s="1"/>
  <c r="AL174" i="8"/>
  <c r="BJ174" i="8" s="1"/>
  <c r="AK174" i="8"/>
  <c r="BI174" i="8" s="1"/>
  <c r="AJ174" i="8"/>
  <c r="BH174" i="8" s="1"/>
  <c r="AI174" i="8"/>
  <c r="BG174" i="8" s="1"/>
  <c r="AH174" i="8"/>
  <c r="BF174" i="8" s="1"/>
  <c r="AG174" i="8"/>
  <c r="BE174" i="8" s="1"/>
  <c r="AF174" i="8"/>
  <c r="BD174" i="8" s="1"/>
  <c r="AE174" i="8"/>
  <c r="BC174" i="8" s="1"/>
  <c r="AD174" i="8"/>
  <c r="BB174" i="8" s="1"/>
  <c r="AC174" i="8"/>
  <c r="BA174" i="8" s="1"/>
  <c r="AB174" i="8"/>
  <c r="AZ174" i="8" s="1"/>
  <c r="AA174" i="8"/>
  <c r="AY174" i="8" s="1"/>
  <c r="Z174" i="8"/>
  <c r="AX174" i="8" s="1"/>
  <c r="AW173" i="8"/>
  <c r="BU173" i="8" s="1"/>
  <c r="AV173" i="8"/>
  <c r="BT173" i="8" s="1"/>
  <c r="AU173" i="8"/>
  <c r="BS173" i="8" s="1"/>
  <c r="AT173" i="8"/>
  <c r="BR173" i="8" s="1"/>
  <c r="AS173" i="8"/>
  <c r="BQ173" i="8" s="1"/>
  <c r="AR173" i="8"/>
  <c r="BP173" i="8" s="1"/>
  <c r="AQ173" i="8"/>
  <c r="BO173" i="8" s="1"/>
  <c r="AP173" i="8"/>
  <c r="BN173" i="8" s="1"/>
  <c r="AO173" i="8"/>
  <c r="BM173" i="8" s="1"/>
  <c r="AN173" i="8"/>
  <c r="BL173" i="8" s="1"/>
  <c r="AM173" i="8"/>
  <c r="BK173" i="8" s="1"/>
  <c r="AL173" i="8"/>
  <c r="BJ173" i="8" s="1"/>
  <c r="AK173" i="8"/>
  <c r="BI173" i="8" s="1"/>
  <c r="AJ173" i="8"/>
  <c r="BH173" i="8" s="1"/>
  <c r="AI173" i="8"/>
  <c r="BG173" i="8" s="1"/>
  <c r="AH173" i="8"/>
  <c r="BF173" i="8" s="1"/>
  <c r="AG173" i="8"/>
  <c r="BE173" i="8" s="1"/>
  <c r="AF173" i="8"/>
  <c r="BD173" i="8" s="1"/>
  <c r="AE173" i="8"/>
  <c r="BC173" i="8" s="1"/>
  <c r="AD173" i="8"/>
  <c r="BB173" i="8" s="1"/>
  <c r="AC173" i="8"/>
  <c r="BA173" i="8" s="1"/>
  <c r="AB173" i="8"/>
  <c r="AZ173" i="8" s="1"/>
  <c r="AA173" i="8"/>
  <c r="AY173" i="8" s="1"/>
  <c r="Z173" i="8"/>
  <c r="AX173" i="8" s="1"/>
  <c r="AW172" i="8"/>
  <c r="BU172" i="8" s="1"/>
  <c r="AV172" i="8"/>
  <c r="BT172" i="8" s="1"/>
  <c r="AU172" i="8"/>
  <c r="BS172" i="8" s="1"/>
  <c r="AT172" i="8"/>
  <c r="BR172" i="8" s="1"/>
  <c r="AS172" i="8"/>
  <c r="BQ172" i="8" s="1"/>
  <c r="AR172" i="8"/>
  <c r="BP172" i="8" s="1"/>
  <c r="AQ172" i="8"/>
  <c r="BO172" i="8" s="1"/>
  <c r="AP172" i="8"/>
  <c r="BN172" i="8" s="1"/>
  <c r="AO172" i="8"/>
  <c r="BM172" i="8" s="1"/>
  <c r="AN172" i="8"/>
  <c r="BL172" i="8" s="1"/>
  <c r="AM172" i="8"/>
  <c r="BK172" i="8" s="1"/>
  <c r="AL172" i="8"/>
  <c r="BJ172" i="8" s="1"/>
  <c r="AK172" i="8"/>
  <c r="BI172" i="8" s="1"/>
  <c r="AJ172" i="8"/>
  <c r="BH172" i="8" s="1"/>
  <c r="AI172" i="8"/>
  <c r="BG172" i="8" s="1"/>
  <c r="AH172" i="8"/>
  <c r="BF172" i="8" s="1"/>
  <c r="AG172" i="8"/>
  <c r="BE172" i="8" s="1"/>
  <c r="AF172" i="8"/>
  <c r="BD172" i="8" s="1"/>
  <c r="AE172" i="8"/>
  <c r="BC172" i="8" s="1"/>
  <c r="AD172" i="8"/>
  <c r="BB172" i="8" s="1"/>
  <c r="AC172" i="8"/>
  <c r="BA172" i="8" s="1"/>
  <c r="AB172" i="8"/>
  <c r="AZ172" i="8" s="1"/>
  <c r="AA172" i="8"/>
  <c r="AY172" i="8" s="1"/>
  <c r="Z172" i="8"/>
  <c r="AX172" i="8" s="1"/>
  <c r="AW171" i="8"/>
  <c r="BU171" i="8" s="1"/>
  <c r="AV171" i="8"/>
  <c r="BT171" i="8" s="1"/>
  <c r="AU171" i="8"/>
  <c r="BS171" i="8" s="1"/>
  <c r="AT171" i="8"/>
  <c r="BR171" i="8" s="1"/>
  <c r="AS171" i="8"/>
  <c r="BQ171" i="8" s="1"/>
  <c r="AR171" i="8"/>
  <c r="BP171" i="8" s="1"/>
  <c r="AQ171" i="8"/>
  <c r="BO171" i="8" s="1"/>
  <c r="AP171" i="8"/>
  <c r="BN171" i="8" s="1"/>
  <c r="AO171" i="8"/>
  <c r="BM171" i="8" s="1"/>
  <c r="AN171" i="8"/>
  <c r="BL171" i="8" s="1"/>
  <c r="AM171" i="8"/>
  <c r="BK171" i="8" s="1"/>
  <c r="AL171" i="8"/>
  <c r="BJ171" i="8" s="1"/>
  <c r="AK171" i="8"/>
  <c r="BI171" i="8" s="1"/>
  <c r="AJ171" i="8"/>
  <c r="BH171" i="8" s="1"/>
  <c r="AI171" i="8"/>
  <c r="BG171" i="8" s="1"/>
  <c r="AH171" i="8"/>
  <c r="BF171" i="8" s="1"/>
  <c r="AG171" i="8"/>
  <c r="BE171" i="8" s="1"/>
  <c r="AF171" i="8"/>
  <c r="BD171" i="8" s="1"/>
  <c r="AE171" i="8"/>
  <c r="BC171" i="8" s="1"/>
  <c r="AD171" i="8"/>
  <c r="BB171" i="8" s="1"/>
  <c r="AC171" i="8"/>
  <c r="BA171" i="8" s="1"/>
  <c r="AB171" i="8"/>
  <c r="AZ171" i="8" s="1"/>
  <c r="AA171" i="8"/>
  <c r="AY171" i="8" s="1"/>
  <c r="Z171" i="8"/>
  <c r="AX171" i="8" s="1"/>
  <c r="AW170" i="8"/>
  <c r="BU170" i="8" s="1"/>
  <c r="AV170" i="8"/>
  <c r="BT170" i="8" s="1"/>
  <c r="AU170" i="8"/>
  <c r="BS170" i="8" s="1"/>
  <c r="AT170" i="8"/>
  <c r="BR170" i="8" s="1"/>
  <c r="AS170" i="8"/>
  <c r="BQ170" i="8" s="1"/>
  <c r="AR170" i="8"/>
  <c r="BP170" i="8" s="1"/>
  <c r="AQ170" i="8"/>
  <c r="BO170" i="8" s="1"/>
  <c r="AP170" i="8"/>
  <c r="BN170" i="8" s="1"/>
  <c r="AO170" i="8"/>
  <c r="BM170" i="8" s="1"/>
  <c r="AN170" i="8"/>
  <c r="BL170" i="8" s="1"/>
  <c r="AM170" i="8"/>
  <c r="BK170" i="8" s="1"/>
  <c r="AL170" i="8"/>
  <c r="BJ170" i="8" s="1"/>
  <c r="AK170" i="8"/>
  <c r="BI170" i="8" s="1"/>
  <c r="AJ170" i="8"/>
  <c r="BH170" i="8" s="1"/>
  <c r="AI170" i="8"/>
  <c r="BG170" i="8" s="1"/>
  <c r="AH170" i="8"/>
  <c r="BF170" i="8" s="1"/>
  <c r="AG170" i="8"/>
  <c r="BE170" i="8" s="1"/>
  <c r="BD170" i="8"/>
  <c r="BC170" i="8"/>
  <c r="BB170" i="8"/>
  <c r="BA170" i="8"/>
  <c r="AZ170" i="8"/>
  <c r="AY170" i="8"/>
  <c r="AX170" i="8"/>
  <c r="AW169" i="8"/>
  <c r="BU169" i="8" s="1"/>
  <c r="AV169" i="8"/>
  <c r="BT169" i="8" s="1"/>
  <c r="AU169" i="8"/>
  <c r="BS169" i="8" s="1"/>
  <c r="AT169" i="8"/>
  <c r="BR169" i="8" s="1"/>
  <c r="AS169" i="8"/>
  <c r="BQ169" i="8" s="1"/>
  <c r="AR169" i="8"/>
  <c r="BP169" i="8" s="1"/>
  <c r="AQ169" i="8"/>
  <c r="BO169" i="8" s="1"/>
  <c r="AP169" i="8"/>
  <c r="BN169" i="8" s="1"/>
  <c r="AO169" i="8"/>
  <c r="BM169" i="8" s="1"/>
  <c r="AN169" i="8"/>
  <c r="BL169" i="8" s="1"/>
  <c r="AM169" i="8"/>
  <c r="BK169" i="8" s="1"/>
  <c r="AL169" i="8"/>
  <c r="BJ169" i="8" s="1"/>
  <c r="AK169" i="8"/>
  <c r="BI169" i="8" s="1"/>
  <c r="AJ169" i="8"/>
  <c r="BH169" i="8" s="1"/>
  <c r="AI169" i="8"/>
  <c r="BG169" i="8" s="1"/>
  <c r="AH169" i="8"/>
  <c r="BF169" i="8" s="1"/>
  <c r="AG169" i="8"/>
  <c r="BE169" i="8" s="1"/>
  <c r="AF169" i="8"/>
  <c r="BD169" i="8" s="1"/>
  <c r="AE169" i="8"/>
  <c r="BC169" i="8" s="1"/>
  <c r="AD169" i="8"/>
  <c r="BB169" i="8" s="1"/>
  <c r="AC169" i="8"/>
  <c r="BA169" i="8" s="1"/>
  <c r="AB169" i="8"/>
  <c r="AZ169" i="8" s="1"/>
  <c r="AA169" i="8"/>
  <c r="AY169" i="8" s="1"/>
  <c r="Z169" i="8"/>
  <c r="AX169" i="8" s="1"/>
  <c r="AW168" i="8"/>
  <c r="BU168" i="8" s="1"/>
  <c r="AV168" i="8"/>
  <c r="BT168" i="8" s="1"/>
  <c r="AU168" i="8"/>
  <c r="BS168" i="8" s="1"/>
  <c r="AT168" i="8"/>
  <c r="BR168" i="8" s="1"/>
  <c r="AS168" i="8"/>
  <c r="BQ168" i="8" s="1"/>
  <c r="AR168" i="8"/>
  <c r="BP168" i="8" s="1"/>
  <c r="AQ168" i="8"/>
  <c r="BO168" i="8" s="1"/>
  <c r="AP168" i="8"/>
  <c r="BN168" i="8" s="1"/>
  <c r="AO168" i="8"/>
  <c r="BM168" i="8" s="1"/>
  <c r="AN168" i="8"/>
  <c r="BL168" i="8" s="1"/>
  <c r="AM168" i="8"/>
  <c r="BK168" i="8" s="1"/>
  <c r="AL168" i="8"/>
  <c r="BJ168" i="8" s="1"/>
  <c r="AK168" i="8"/>
  <c r="BI168" i="8" s="1"/>
  <c r="AJ168" i="8"/>
  <c r="BH168" i="8" s="1"/>
  <c r="AI168" i="8"/>
  <c r="BG168" i="8" s="1"/>
  <c r="AH168" i="8"/>
  <c r="BF168" i="8" s="1"/>
  <c r="AG168" i="8"/>
  <c r="BE168" i="8" s="1"/>
  <c r="AF168" i="8"/>
  <c r="BD168" i="8" s="1"/>
  <c r="AE168" i="8"/>
  <c r="BC168" i="8" s="1"/>
  <c r="AD168" i="8"/>
  <c r="BB168" i="8" s="1"/>
  <c r="AC168" i="8"/>
  <c r="BA168" i="8" s="1"/>
  <c r="AB168" i="8"/>
  <c r="AZ168" i="8" s="1"/>
  <c r="AA168" i="8"/>
  <c r="AY168" i="8" s="1"/>
  <c r="Z168" i="8"/>
  <c r="AX168" i="8" s="1"/>
  <c r="AW167" i="8"/>
  <c r="BU167" i="8" s="1"/>
  <c r="AV167" i="8"/>
  <c r="BT167" i="8" s="1"/>
  <c r="AU167" i="8"/>
  <c r="BS167" i="8" s="1"/>
  <c r="AT167" i="8"/>
  <c r="BR167" i="8" s="1"/>
  <c r="AS167" i="8"/>
  <c r="BQ167" i="8" s="1"/>
  <c r="AR167" i="8"/>
  <c r="BP167" i="8" s="1"/>
  <c r="AQ167" i="8"/>
  <c r="BO167" i="8" s="1"/>
  <c r="AP167" i="8"/>
  <c r="BN167" i="8" s="1"/>
  <c r="AO167" i="8"/>
  <c r="BM167" i="8" s="1"/>
  <c r="AN167" i="8"/>
  <c r="BL167" i="8" s="1"/>
  <c r="AM167" i="8"/>
  <c r="BK167" i="8" s="1"/>
  <c r="AL167" i="8"/>
  <c r="BJ167" i="8" s="1"/>
  <c r="AK167" i="8"/>
  <c r="BI167" i="8" s="1"/>
  <c r="AJ167" i="8"/>
  <c r="BH167" i="8" s="1"/>
  <c r="AI167" i="8"/>
  <c r="BG167" i="8" s="1"/>
  <c r="AH167" i="8"/>
  <c r="BF167" i="8" s="1"/>
  <c r="AG167" i="8"/>
  <c r="BE167" i="8" s="1"/>
  <c r="AF167" i="8"/>
  <c r="BD167" i="8" s="1"/>
  <c r="AE167" i="8"/>
  <c r="BC167" i="8" s="1"/>
  <c r="AD167" i="8"/>
  <c r="BB167" i="8" s="1"/>
  <c r="AC167" i="8"/>
  <c r="BA167" i="8" s="1"/>
  <c r="AB167" i="8"/>
  <c r="AZ167" i="8" s="1"/>
  <c r="AA167" i="8"/>
  <c r="AY167" i="8" s="1"/>
  <c r="Z167" i="8"/>
  <c r="AX167" i="8" s="1"/>
  <c r="AW166" i="8"/>
  <c r="BU166" i="8" s="1"/>
  <c r="AV166" i="8"/>
  <c r="BT166" i="8" s="1"/>
  <c r="AU166" i="8"/>
  <c r="BS166" i="8" s="1"/>
  <c r="AT166" i="8"/>
  <c r="BR166" i="8" s="1"/>
  <c r="AS166" i="8"/>
  <c r="BQ166" i="8" s="1"/>
  <c r="AR166" i="8"/>
  <c r="BP166" i="8" s="1"/>
  <c r="AQ166" i="8"/>
  <c r="BO166" i="8" s="1"/>
  <c r="AP166" i="8"/>
  <c r="BN166" i="8" s="1"/>
  <c r="AO166" i="8"/>
  <c r="BM166" i="8" s="1"/>
  <c r="AN166" i="8"/>
  <c r="BL166" i="8" s="1"/>
  <c r="AM166" i="8"/>
  <c r="BK166" i="8" s="1"/>
  <c r="AL166" i="8"/>
  <c r="BJ166" i="8" s="1"/>
  <c r="AK166" i="8"/>
  <c r="BI166" i="8" s="1"/>
  <c r="AJ166" i="8"/>
  <c r="BH166" i="8" s="1"/>
  <c r="AI166" i="8"/>
  <c r="BG166" i="8" s="1"/>
  <c r="AH166" i="8"/>
  <c r="BF166" i="8" s="1"/>
  <c r="AG166" i="8"/>
  <c r="BE166" i="8" s="1"/>
  <c r="AF166" i="8"/>
  <c r="BD166" i="8" s="1"/>
  <c r="AE166" i="8"/>
  <c r="BC166" i="8" s="1"/>
  <c r="AD166" i="8"/>
  <c r="BB166" i="8" s="1"/>
  <c r="AC166" i="8"/>
  <c r="BA166" i="8" s="1"/>
  <c r="AB166" i="8"/>
  <c r="AZ166" i="8" s="1"/>
  <c r="AA166" i="8"/>
  <c r="AY166" i="8" s="1"/>
  <c r="Z166" i="8"/>
  <c r="AX166" i="8" s="1"/>
  <c r="AW165" i="8"/>
  <c r="BU165" i="8" s="1"/>
  <c r="AV165" i="8"/>
  <c r="BT165" i="8" s="1"/>
  <c r="AU165" i="8"/>
  <c r="BS165" i="8" s="1"/>
  <c r="AT165" i="8"/>
  <c r="BR165" i="8" s="1"/>
  <c r="AS165" i="8"/>
  <c r="BQ165" i="8" s="1"/>
  <c r="AR165" i="8"/>
  <c r="BP165" i="8" s="1"/>
  <c r="AQ165" i="8"/>
  <c r="BO165" i="8" s="1"/>
  <c r="AP165" i="8"/>
  <c r="BN165" i="8" s="1"/>
  <c r="AO165" i="8"/>
  <c r="BM165" i="8" s="1"/>
  <c r="AN165" i="8"/>
  <c r="BL165" i="8" s="1"/>
  <c r="AM165" i="8"/>
  <c r="BK165" i="8" s="1"/>
  <c r="AL165" i="8"/>
  <c r="BJ165" i="8" s="1"/>
  <c r="AK165" i="8"/>
  <c r="BI165" i="8" s="1"/>
  <c r="AJ165" i="8"/>
  <c r="BH165" i="8" s="1"/>
  <c r="AI165" i="8"/>
  <c r="BG165" i="8" s="1"/>
  <c r="AH165" i="8"/>
  <c r="BF165" i="8" s="1"/>
  <c r="AG165" i="8"/>
  <c r="BE165" i="8" s="1"/>
  <c r="AF165" i="8"/>
  <c r="BD165" i="8" s="1"/>
  <c r="AE165" i="8"/>
  <c r="BC165" i="8" s="1"/>
  <c r="AD165" i="8"/>
  <c r="BB165" i="8" s="1"/>
  <c r="AC165" i="8"/>
  <c r="BA165" i="8" s="1"/>
  <c r="AB165" i="8"/>
  <c r="AZ165" i="8" s="1"/>
  <c r="AA165" i="8"/>
  <c r="AY165" i="8" s="1"/>
  <c r="Z165" i="8"/>
  <c r="AX165" i="8" s="1"/>
  <c r="AW164" i="8"/>
  <c r="BU164" i="8" s="1"/>
  <c r="AV164" i="8"/>
  <c r="BT164" i="8" s="1"/>
  <c r="AU164" i="8"/>
  <c r="BS164" i="8" s="1"/>
  <c r="AT164" i="8"/>
  <c r="BR164" i="8" s="1"/>
  <c r="AS164" i="8"/>
  <c r="BQ164" i="8" s="1"/>
  <c r="AR164" i="8"/>
  <c r="BP164" i="8" s="1"/>
  <c r="AQ164" i="8"/>
  <c r="BO164" i="8" s="1"/>
  <c r="AP164" i="8"/>
  <c r="BN164" i="8" s="1"/>
  <c r="AO164" i="8"/>
  <c r="BM164" i="8" s="1"/>
  <c r="AN164" i="8"/>
  <c r="BL164" i="8" s="1"/>
  <c r="AM164" i="8"/>
  <c r="BK164" i="8" s="1"/>
  <c r="AL164" i="8"/>
  <c r="BJ164" i="8" s="1"/>
  <c r="AK164" i="8"/>
  <c r="BI164" i="8" s="1"/>
  <c r="AJ164" i="8"/>
  <c r="BH164" i="8" s="1"/>
  <c r="AI164" i="8"/>
  <c r="BG164" i="8" s="1"/>
  <c r="AH164" i="8"/>
  <c r="BF164" i="8" s="1"/>
  <c r="AG164" i="8"/>
  <c r="BE164" i="8" s="1"/>
  <c r="AF164" i="8"/>
  <c r="BD164" i="8" s="1"/>
  <c r="AE164" i="8"/>
  <c r="BC164" i="8" s="1"/>
  <c r="AD164" i="8"/>
  <c r="BB164" i="8" s="1"/>
  <c r="AC164" i="8"/>
  <c r="BA164" i="8" s="1"/>
  <c r="AB164" i="8"/>
  <c r="AZ164" i="8" s="1"/>
  <c r="AA164" i="8"/>
  <c r="AY164" i="8" s="1"/>
  <c r="Z164" i="8"/>
  <c r="AX164" i="8" s="1"/>
  <c r="AW163" i="8"/>
  <c r="BU163" i="8" s="1"/>
  <c r="AV163" i="8"/>
  <c r="BT163" i="8" s="1"/>
  <c r="AU163" i="8"/>
  <c r="BS163" i="8" s="1"/>
  <c r="AT163" i="8"/>
  <c r="BR163" i="8" s="1"/>
  <c r="AS163" i="8"/>
  <c r="BQ163" i="8" s="1"/>
  <c r="AR163" i="8"/>
  <c r="BP163" i="8" s="1"/>
  <c r="AQ163" i="8"/>
  <c r="BO163" i="8" s="1"/>
  <c r="AP163" i="8"/>
  <c r="BN163" i="8" s="1"/>
  <c r="AO163" i="8"/>
  <c r="BM163" i="8" s="1"/>
  <c r="AN163" i="8"/>
  <c r="BL163" i="8" s="1"/>
  <c r="AM163" i="8"/>
  <c r="BK163" i="8" s="1"/>
  <c r="AL163" i="8"/>
  <c r="BJ163" i="8" s="1"/>
  <c r="AK163" i="8"/>
  <c r="BI163" i="8" s="1"/>
  <c r="AJ163" i="8"/>
  <c r="BH163" i="8" s="1"/>
  <c r="AI163" i="8"/>
  <c r="BG163" i="8" s="1"/>
  <c r="AH163" i="8"/>
  <c r="BF163" i="8" s="1"/>
  <c r="AG163" i="8"/>
  <c r="BE163" i="8" s="1"/>
  <c r="AF163" i="8"/>
  <c r="BD163" i="8" s="1"/>
  <c r="AE163" i="8"/>
  <c r="BC163" i="8" s="1"/>
  <c r="AD163" i="8"/>
  <c r="BB163" i="8" s="1"/>
  <c r="AC163" i="8"/>
  <c r="BA163" i="8" s="1"/>
  <c r="AB163" i="8"/>
  <c r="AZ163" i="8" s="1"/>
  <c r="AA163" i="8"/>
  <c r="AY163" i="8" s="1"/>
  <c r="Z163" i="8"/>
  <c r="AX163" i="8" s="1"/>
  <c r="AW162" i="8"/>
  <c r="BU162" i="8" s="1"/>
  <c r="AV162" i="8"/>
  <c r="BT162" i="8" s="1"/>
  <c r="AU162" i="8"/>
  <c r="BS162" i="8" s="1"/>
  <c r="AT162" i="8"/>
  <c r="BR162" i="8" s="1"/>
  <c r="AS162" i="8"/>
  <c r="BQ162" i="8" s="1"/>
  <c r="AR162" i="8"/>
  <c r="BP162" i="8" s="1"/>
  <c r="AQ162" i="8"/>
  <c r="BO162" i="8" s="1"/>
  <c r="AP162" i="8"/>
  <c r="BN162" i="8" s="1"/>
  <c r="AO162" i="8"/>
  <c r="BM162" i="8" s="1"/>
  <c r="AN162" i="8"/>
  <c r="BL162" i="8" s="1"/>
  <c r="AM162" i="8"/>
  <c r="BK162" i="8" s="1"/>
  <c r="AL162" i="8"/>
  <c r="BJ162" i="8" s="1"/>
  <c r="AK162" i="8"/>
  <c r="BI162" i="8" s="1"/>
  <c r="AJ162" i="8"/>
  <c r="BH162" i="8" s="1"/>
  <c r="AI162" i="8"/>
  <c r="BG162" i="8" s="1"/>
  <c r="AH162" i="8"/>
  <c r="BF162" i="8" s="1"/>
  <c r="AG162" i="8"/>
  <c r="BE162" i="8" s="1"/>
  <c r="AF162" i="8"/>
  <c r="BD162" i="8" s="1"/>
  <c r="AE162" i="8"/>
  <c r="BC162" i="8" s="1"/>
  <c r="AD162" i="8"/>
  <c r="BB162" i="8" s="1"/>
  <c r="AC162" i="8"/>
  <c r="BA162" i="8" s="1"/>
  <c r="AB162" i="8"/>
  <c r="AZ162" i="8" s="1"/>
  <c r="AA162" i="8"/>
  <c r="AY162" i="8" s="1"/>
  <c r="Z162" i="8"/>
  <c r="AX162" i="8" s="1"/>
  <c r="AW161" i="8"/>
  <c r="BU161" i="8" s="1"/>
  <c r="AV161" i="8"/>
  <c r="BT161" i="8" s="1"/>
  <c r="AU161" i="8"/>
  <c r="BS161" i="8" s="1"/>
  <c r="AT161" i="8"/>
  <c r="BR161" i="8" s="1"/>
  <c r="AS161" i="8"/>
  <c r="BQ161" i="8" s="1"/>
  <c r="AR161" i="8"/>
  <c r="BP161" i="8" s="1"/>
  <c r="AQ161" i="8"/>
  <c r="BO161" i="8" s="1"/>
  <c r="AP161" i="8"/>
  <c r="BN161" i="8" s="1"/>
  <c r="AO161" i="8"/>
  <c r="BM161" i="8" s="1"/>
  <c r="AN161" i="8"/>
  <c r="BL161" i="8" s="1"/>
  <c r="AM161" i="8"/>
  <c r="BK161" i="8" s="1"/>
  <c r="AL161" i="8"/>
  <c r="BJ161" i="8" s="1"/>
  <c r="AK161" i="8"/>
  <c r="BI161" i="8" s="1"/>
  <c r="AJ161" i="8"/>
  <c r="BH161" i="8" s="1"/>
  <c r="AI161" i="8"/>
  <c r="BG161" i="8" s="1"/>
  <c r="AH161" i="8"/>
  <c r="BF161" i="8" s="1"/>
  <c r="AG161" i="8"/>
  <c r="BE161" i="8" s="1"/>
  <c r="AF161" i="8"/>
  <c r="BD161" i="8" s="1"/>
  <c r="AE161" i="8"/>
  <c r="BC161" i="8" s="1"/>
  <c r="AD161" i="8"/>
  <c r="BB161" i="8" s="1"/>
  <c r="AC161" i="8"/>
  <c r="BA161" i="8" s="1"/>
  <c r="AB161" i="8"/>
  <c r="AZ161" i="8" s="1"/>
  <c r="AA161" i="8"/>
  <c r="AY161" i="8" s="1"/>
  <c r="Z161" i="8"/>
  <c r="AX161" i="8" s="1"/>
  <c r="AW160" i="8"/>
  <c r="BU160" i="8" s="1"/>
  <c r="AV160" i="8"/>
  <c r="BT160" i="8" s="1"/>
  <c r="AU160" i="8"/>
  <c r="BS160" i="8" s="1"/>
  <c r="AT160" i="8"/>
  <c r="BR160" i="8" s="1"/>
  <c r="AS160" i="8"/>
  <c r="BQ160" i="8" s="1"/>
  <c r="AR160" i="8"/>
  <c r="BP160" i="8" s="1"/>
  <c r="AQ160" i="8"/>
  <c r="BO160" i="8" s="1"/>
  <c r="AP160" i="8"/>
  <c r="BN160" i="8" s="1"/>
  <c r="AO160" i="8"/>
  <c r="BM160" i="8" s="1"/>
  <c r="AN160" i="8"/>
  <c r="BL160" i="8" s="1"/>
  <c r="AM160" i="8"/>
  <c r="BK160" i="8" s="1"/>
  <c r="AL160" i="8"/>
  <c r="BJ160" i="8" s="1"/>
  <c r="AK160" i="8"/>
  <c r="BI160" i="8" s="1"/>
  <c r="AJ160" i="8"/>
  <c r="BH160" i="8" s="1"/>
  <c r="AI160" i="8"/>
  <c r="BG160" i="8" s="1"/>
  <c r="AH160" i="8"/>
  <c r="BF160" i="8" s="1"/>
  <c r="AG160" i="8"/>
  <c r="BE160" i="8" s="1"/>
  <c r="AF160" i="8"/>
  <c r="BD160" i="8" s="1"/>
  <c r="AE160" i="8"/>
  <c r="BC160" i="8" s="1"/>
  <c r="AD160" i="8"/>
  <c r="BB160" i="8" s="1"/>
  <c r="AC160" i="8"/>
  <c r="BA160" i="8" s="1"/>
  <c r="AB160" i="8"/>
  <c r="AZ160" i="8" s="1"/>
  <c r="AA160" i="8"/>
  <c r="AY160" i="8" s="1"/>
  <c r="Z160" i="8"/>
  <c r="AX160" i="8" s="1"/>
  <c r="AW159" i="8"/>
  <c r="BU159" i="8" s="1"/>
  <c r="AV159" i="8"/>
  <c r="BT159" i="8" s="1"/>
  <c r="AU159" i="8"/>
  <c r="BS159" i="8" s="1"/>
  <c r="AT159" i="8"/>
  <c r="BR159" i="8" s="1"/>
  <c r="AS159" i="8"/>
  <c r="BQ159" i="8" s="1"/>
  <c r="AR159" i="8"/>
  <c r="BP159" i="8" s="1"/>
  <c r="AQ159" i="8"/>
  <c r="BO159" i="8" s="1"/>
  <c r="AP159" i="8"/>
  <c r="BN159" i="8" s="1"/>
  <c r="AO159" i="8"/>
  <c r="BM159" i="8" s="1"/>
  <c r="AN159" i="8"/>
  <c r="BL159" i="8" s="1"/>
  <c r="AM159" i="8"/>
  <c r="BK159" i="8" s="1"/>
  <c r="AL159" i="8"/>
  <c r="BJ159" i="8" s="1"/>
  <c r="AK159" i="8"/>
  <c r="BI159" i="8" s="1"/>
  <c r="AJ159" i="8"/>
  <c r="BH159" i="8" s="1"/>
  <c r="AI159" i="8"/>
  <c r="BG159" i="8" s="1"/>
  <c r="AH159" i="8"/>
  <c r="BF159" i="8" s="1"/>
  <c r="AG159" i="8"/>
  <c r="BE159" i="8" s="1"/>
  <c r="AF159" i="8"/>
  <c r="BD159" i="8" s="1"/>
  <c r="AE159" i="8"/>
  <c r="BC159" i="8" s="1"/>
  <c r="AD159" i="8"/>
  <c r="BB159" i="8" s="1"/>
  <c r="AC159" i="8"/>
  <c r="BA159" i="8" s="1"/>
  <c r="AB159" i="8"/>
  <c r="AZ159" i="8" s="1"/>
  <c r="AA159" i="8"/>
  <c r="AY159" i="8" s="1"/>
  <c r="Z159" i="8"/>
  <c r="AX159" i="8" s="1"/>
  <c r="AW158" i="8"/>
  <c r="BU158" i="8" s="1"/>
  <c r="AV158" i="8"/>
  <c r="BT158" i="8" s="1"/>
  <c r="AU158" i="8"/>
  <c r="BS158" i="8" s="1"/>
  <c r="AT158" i="8"/>
  <c r="BR158" i="8" s="1"/>
  <c r="AS158" i="8"/>
  <c r="BQ158" i="8" s="1"/>
  <c r="AR158" i="8"/>
  <c r="BP158" i="8" s="1"/>
  <c r="AQ158" i="8"/>
  <c r="BO158" i="8" s="1"/>
  <c r="AP158" i="8"/>
  <c r="BN158" i="8" s="1"/>
  <c r="AO158" i="8"/>
  <c r="BM158" i="8" s="1"/>
  <c r="AN158" i="8"/>
  <c r="BL158" i="8" s="1"/>
  <c r="AM158" i="8"/>
  <c r="BK158" i="8" s="1"/>
  <c r="AL158" i="8"/>
  <c r="BJ158" i="8" s="1"/>
  <c r="AK158" i="8"/>
  <c r="BI158" i="8" s="1"/>
  <c r="AJ158" i="8"/>
  <c r="BH158" i="8" s="1"/>
  <c r="AI158" i="8"/>
  <c r="BG158" i="8" s="1"/>
  <c r="AH158" i="8"/>
  <c r="BF158" i="8" s="1"/>
  <c r="AG158" i="8"/>
  <c r="BE158" i="8" s="1"/>
  <c r="AF158" i="8"/>
  <c r="BD158" i="8" s="1"/>
  <c r="AE158" i="8"/>
  <c r="BC158" i="8" s="1"/>
  <c r="AD158" i="8"/>
  <c r="BB158" i="8" s="1"/>
  <c r="AC158" i="8"/>
  <c r="BA158" i="8" s="1"/>
  <c r="AB158" i="8"/>
  <c r="AZ158" i="8" s="1"/>
  <c r="AA158" i="8"/>
  <c r="AY158" i="8" s="1"/>
  <c r="Z158" i="8"/>
  <c r="AX158" i="8" s="1"/>
  <c r="AW157" i="8"/>
  <c r="BU157" i="8" s="1"/>
  <c r="AV157" i="8"/>
  <c r="BT157" i="8" s="1"/>
  <c r="AU157" i="8"/>
  <c r="BS157" i="8" s="1"/>
  <c r="AT157" i="8"/>
  <c r="BR157" i="8" s="1"/>
  <c r="AS157" i="8"/>
  <c r="BQ157" i="8" s="1"/>
  <c r="AR157" i="8"/>
  <c r="BP157" i="8" s="1"/>
  <c r="AQ157" i="8"/>
  <c r="BO157" i="8" s="1"/>
  <c r="AP157" i="8"/>
  <c r="BN157" i="8" s="1"/>
  <c r="AO157" i="8"/>
  <c r="BM157" i="8" s="1"/>
  <c r="AN157" i="8"/>
  <c r="BL157" i="8" s="1"/>
  <c r="AM157" i="8"/>
  <c r="BK157" i="8" s="1"/>
  <c r="AL157" i="8"/>
  <c r="BJ157" i="8" s="1"/>
  <c r="AK157" i="8"/>
  <c r="BI157" i="8" s="1"/>
  <c r="AJ157" i="8"/>
  <c r="BH157" i="8" s="1"/>
  <c r="AI157" i="8"/>
  <c r="BG157" i="8" s="1"/>
  <c r="AH157" i="8"/>
  <c r="BF157" i="8" s="1"/>
  <c r="AG157" i="8"/>
  <c r="BE157" i="8" s="1"/>
  <c r="AF157" i="8"/>
  <c r="BD157" i="8" s="1"/>
  <c r="AE157" i="8"/>
  <c r="BC157" i="8" s="1"/>
  <c r="AD157" i="8"/>
  <c r="BB157" i="8" s="1"/>
  <c r="AC157" i="8"/>
  <c r="BA157" i="8" s="1"/>
  <c r="AB157" i="8"/>
  <c r="AZ157" i="8" s="1"/>
  <c r="AA157" i="8"/>
  <c r="AY157" i="8" s="1"/>
  <c r="Z157" i="8"/>
  <c r="AX157" i="8" s="1"/>
  <c r="AW156" i="8"/>
  <c r="BU156" i="8" s="1"/>
  <c r="AV156" i="8"/>
  <c r="BT156" i="8" s="1"/>
  <c r="AU156" i="8"/>
  <c r="BS156" i="8" s="1"/>
  <c r="AT156" i="8"/>
  <c r="BR156" i="8" s="1"/>
  <c r="AS156" i="8"/>
  <c r="BQ156" i="8" s="1"/>
  <c r="AR156" i="8"/>
  <c r="BP156" i="8" s="1"/>
  <c r="AQ156" i="8"/>
  <c r="BO156" i="8" s="1"/>
  <c r="AP156" i="8"/>
  <c r="BN156" i="8" s="1"/>
  <c r="AO156" i="8"/>
  <c r="BM156" i="8" s="1"/>
  <c r="AN156" i="8"/>
  <c r="BL156" i="8" s="1"/>
  <c r="AM156" i="8"/>
  <c r="BK156" i="8" s="1"/>
  <c r="AL156" i="8"/>
  <c r="BJ156" i="8" s="1"/>
  <c r="AK156" i="8"/>
  <c r="BI156" i="8" s="1"/>
  <c r="AJ156" i="8"/>
  <c r="BH156" i="8" s="1"/>
  <c r="AI156" i="8"/>
  <c r="BG156" i="8" s="1"/>
  <c r="AH156" i="8"/>
  <c r="BF156" i="8" s="1"/>
  <c r="AG156" i="8"/>
  <c r="BE156" i="8" s="1"/>
  <c r="AF156" i="8"/>
  <c r="BD156" i="8" s="1"/>
  <c r="AE156" i="8"/>
  <c r="BC156" i="8" s="1"/>
  <c r="AD156" i="8"/>
  <c r="BB156" i="8" s="1"/>
  <c r="AC156" i="8"/>
  <c r="BA156" i="8" s="1"/>
  <c r="AB156" i="8"/>
  <c r="AZ156" i="8" s="1"/>
  <c r="AA156" i="8"/>
  <c r="AY156" i="8" s="1"/>
  <c r="Z156" i="8"/>
  <c r="AX156" i="8" s="1"/>
  <c r="AW155" i="8"/>
  <c r="BU155" i="8" s="1"/>
  <c r="AV155" i="8"/>
  <c r="BT155" i="8" s="1"/>
  <c r="AU155" i="8"/>
  <c r="BS155" i="8" s="1"/>
  <c r="AT155" i="8"/>
  <c r="BR155" i="8" s="1"/>
  <c r="AS155" i="8"/>
  <c r="BQ155" i="8" s="1"/>
  <c r="AR155" i="8"/>
  <c r="BP155" i="8" s="1"/>
  <c r="AQ155" i="8"/>
  <c r="BO155" i="8" s="1"/>
  <c r="AP155" i="8"/>
  <c r="BN155" i="8" s="1"/>
  <c r="AO155" i="8"/>
  <c r="BM155" i="8" s="1"/>
  <c r="AN155" i="8"/>
  <c r="BL155" i="8" s="1"/>
  <c r="AM155" i="8"/>
  <c r="BK155" i="8" s="1"/>
  <c r="AL155" i="8"/>
  <c r="BJ155" i="8" s="1"/>
  <c r="AK155" i="8"/>
  <c r="BI155" i="8" s="1"/>
  <c r="AJ155" i="8"/>
  <c r="BH155" i="8" s="1"/>
  <c r="AI155" i="8"/>
  <c r="BG155" i="8" s="1"/>
  <c r="AH155" i="8"/>
  <c r="BF155" i="8" s="1"/>
  <c r="AG155" i="8"/>
  <c r="BE155" i="8" s="1"/>
  <c r="AF155" i="8"/>
  <c r="BD155" i="8" s="1"/>
  <c r="AE155" i="8"/>
  <c r="BC155" i="8" s="1"/>
  <c r="AD155" i="8"/>
  <c r="BB155" i="8" s="1"/>
  <c r="AC155" i="8"/>
  <c r="BA155" i="8" s="1"/>
  <c r="AB155" i="8"/>
  <c r="AZ155" i="8" s="1"/>
  <c r="AA155" i="8"/>
  <c r="AY155" i="8" s="1"/>
  <c r="Z155" i="8"/>
  <c r="AX155" i="8" s="1"/>
  <c r="AW154" i="8"/>
  <c r="BU154" i="8" s="1"/>
  <c r="AV154" i="8"/>
  <c r="BT154" i="8" s="1"/>
  <c r="AU154" i="8"/>
  <c r="BS154" i="8" s="1"/>
  <c r="AT154" i="8"/>
  <c r="BR154" i="8" s="1"/>
  <c r="AS154" i="8"/>
  <c r="BQ154" i="8" s="1"/>
  <c r="AR154" i="8"/>
  <c r="BP154" i="8" s="1"/>
  <c r="AQ154" i="8"/>
  <c r="BO154" i="8" s="1"/>
  <c r="AP154" i="8"/>
  <c r="BN154" i="8" s="1"/>
  <c r="AO154" i="8"/>
  <c r="BM154" i="8" s="1"/>
  <c r="AN154" i="8"/>
  <c r="BL154" i="8" s="1"/>
  <c r="AM154" i="8"/>
  <c r="BK154" i="8" s="1"/>
  <c r="AL154" i="8"/>
  <c r="BJ154" i="8" s="1"/>
  <c r="AK154" i="8"/>
  <c r="BI154" i="8" s="1"/>
  <c r="AJ154" i="8"/>
  <c r="BH154" i="8" s="1"/>
  <c r="AI154" i="8"/>
  <c r="BG154" i="8" s="1"/>
  <c r="AH154" i="8"/>
  <c r="BF154" i="8" s="1"/>
  <c r="AG154" i="8"/>
  <c r="BE154" i="8" s="1"/>
  <c r="AF154" i="8"/>
  <c r="BD154" i="8" s="1"/>
  <c r="AE154" i="8"/>
  <c r="BC154" i="8" s="1"/>
  <c r="AD154" i="8"/>
  <c r="BB154" i="8" s="1"/>
  <c r="AC154" i="8"/>
  <c r="BA154" i="8" s="1"/>
  <c r="AB154" i="8"/>
  <c r="AZ154" i="8" s="1"/>
  <c r="AA154" i="8"/>
  <c r="AY154" i="8" s="1"/>
  <c r="Z154" i="8"/>
  <c r="AX154" i="8" s="1"/>
  <c r="AW153" i="8"/>
  <c r="BU153" i="8" s="1"/>
  <c r="AV153" i="8"/>
  <c r="BT153" i="8" s="1"/>
  <c r="AU153" i="8"/>
  <c r="BS153" i="8" s="1"/>
  <c r="AT153" i="8"/>
  <c r="BR153" i="8" s="1"/>
  <c r="AS153" i="8"/>
  <c r="BQ153" i="8" s="1"/>
  <c r="AR153" i="8"/>
  <c r="BP153" i="8" s="1"/>
  <c r="AQ153" i="8"/>
  <c r="BO153" i="8" s="1"/>
  <c r="AP153" i="8"/>
  <c r="BN153" i="8" s="1"/>
  <c r="AO153" i="8"/>
  <c r="BM153" i="8" s="1"/>
  <c r="AN153" i="8"/>
  <c r="BL153" i="8" s="1"/>
  <c r="AM153" i="8"/>
  <c r="BK153" i="8" s="1"/>
  <c r="AL153" i="8"/>
  <c r="BJ153" i="8" s="1"/>
  <c r="AK153" i="8"/>
  <c r="BI153" i="8" s="1"/>
  <c r="AJ153" i="8"/>
  <c r="BH153" i="8" s="1"/>
  <c r="AI153" i="8"/>
  <c r="BG153" i="8" s="1"/>
  <c r="AH153" i="8"/>
  <c r="BF153" i="8" s="1"/>
  <c r="AG153" i="8"/>
  <c r="BE153" i="8" s="1"/>
  <c r="AF153" i="8"/>
  <c r="BD153" i="8" s="1"/>
  <c r="AE153" i="8"/>
  <c r="BC153" i="8" s="1"/>
  <c r="AD153" i="8"/>
  <c r="BB153" i="8" s="1"/>
  <c r="AC153" i="8"/>
  <c r="BA153" i="8" s="1"/>
  <c r="AB153" i="8"/>
  <c r="AZ153" i="8" s="1"/>
  <c r="AA153" i="8"/>
  <c r="AY153" i="8" s="1"/>
  <c r="Z153" i="8"/>
  <c r="AX153" i="8" s="1"/>
  <c r="AW152" i="8"/>
  <c r="BU152" i="8" s="1"/>
  <c r="AV152" i="8"/>
  <c r="BT152" i="8" s="1"/>
  <c r="AU152" i="8"/>
  <c r="BS152" i="8" s="1"/>
  <c r="AT152" i="8"/>
  <c r="BR152" i="8" s="1"/>
  <c r="AS152" i="8"/>
  <c r="BQ152" i="8" s="1"/>
  <c r="AR152" i="8"/>
  <c r="BP152" i="8" s="1"/>
  <c r="AQ152" i="8"/>
  <c r="BO152" i="8" s="1"/>
  <c r="AP152" i="8"/>
  <c r="BN152" i="8" s="1"/>
  <c r="AO152" i="8"/>
  <c r="BM152" i="8" s="1"/>
  <c r="AN152" i="8"/>
  <c r="BL152" i="8" s="1"/>
  <c r="AM152" i="8"/>
  <c r="BK152" i="8" s="1"/>
  <c r="AL152" i="8"/>
  <c r="BJ152" i="8" s="1"/>
  <c r="AK152" i="8"/>
  <c r="BI152" i="8" s="1"/>
  <c r="AJ152" i="8"/>
  <c r="BH152" i="8" s="1"/>
  <c r="AI152" i="8"/>
  <c r="BG152" i="8" s="1"/>
  <c r="AH152" i="8"/>
  <c r="BF152" i="8" s="1"/>
  <c r="AG152" i="8"/>
  <c r="BE152" i="8" s="1"/>
  <c r="AF152" i="8"/>
  <c r="BD152" i="8" s="1"/>
  <c r="AE152" i="8"/>
  <c r="BC152" i="8" s="1"/>
  <c r="AD152" i="8"/>
  <c r="BB152" i="8" s="1"/>
  <c r="AC152" i="8"/>
  <c r="BA152" i="8" s="1"/>
  <c r="AB152" i="8"/>
  <c r="AZ152" i="8" s="1"/>
  <c r="AA152" i="8"/>
  <c r="AY152" i="8" s="1"/>
  <c r="Z152" i="8"/>
  <c r="AX152" i="8" s="1"/>
  <c r="AW151" i="8"/>
  <c r="BU151" i="8" s="1"/>
  <c r="AV151" i="8"/>
  <c r="BT151" i="8" s="1"/>
  <c r="AU151" i="8"/>
  <c r="BS151" i="8" s="1"/>
  <c r="AT151" i="8"/>
  <c r="BR151" i="8" s="1"/>
  <c r="AS151" i="8"/>
  <c r="BQ151" i="8" s="1"/>
  <c r="AR151" i="8"/>
  <c r="BP151" i="8" s="1"/>
  <c r="AQ151" i="8"/>
  <c r="BO151" i="8" s="1"/>
  <c r="AP151" i="8"/>
  <c r="BN151" i="8" s="1"/>
  <c r="AO151" i="8"/>
  <c r="BM151" i="8" s="1"/>
  <c r="AN151" i="8"/>
  <c r="BL151" i="8" s="1"/>
  <c r="AM151" i="8"/>
  <c r="BK151" i="8" s="1"/>
  <c r="AL151" i="8"/>
  <c r="BJ151" i="8" s="1"/>
  <c r="AK151" i="8"/>
  <c r="BI151" i="8" s="1"/>
  <c r="AJ151" i="8"/>
  <c r="BH151" i="8" s="1"/>
  <c r="AI151" i="8"/>
  <c r="BG151" i="8" s="1"/>
  <c r="AH151" i="8"/>
  <c r="BF151" i="8" s="1"/>
  <c r="AG151" i="8"/>
  <c r="BE151" i="8" s="1"/>
  <c r="AF151" i="8"/>
  <c r="BD151" i="8" s="1"/>
  <c r="AE151" i="8"/>
  <c r="BC151" i="8" s="1"/>
  <c r="AD151" i="8"/>
  <c r="BB151" i="8" s="1"/>
  <c r="AC151" i="8"/>
  <c r="BA151" i="8" s="1"/>
  <c r="AB151" i="8"/>
  <c r="AZ151" i="8" s="1"/>
  <c r="AA151" i="8"/>
  <c r="AY151" i="8" s="1"/>
  <c r="Z151" i="8"/>
  <c r="AX151" i="8" s="1"/>
  <c r="AW150" i="8"/>
  <c r="BU150" i="8" s="1"/>
  <c r="AV150" i="8"/>
  <c r="BT150" i="8" s="1"/>
  <c r="AU150" i="8"/>
  <c r="BS150" i="8" s="1"/>
  <c r="AT150" i="8"/>
  <c r="BR150" i="8" s="1"/>
  <c r="AS150" i="8"/>
  <c r="BQ150" i="8" s="1"/>
  <c r="AR150" i="8"/>
  <c r="BP150" i="8" s="1"/>
  <c r="AQ150" i="8"/>
  <c r="BO150" i="8" s="1"/>
  <c r="AP150" i="8"/>
  <c r="BN150" i="8" s="1"/>
  <c r="AO150" i="8"/>
  <c r="BM150" i="8" s="1"/>
  <c r="AN150" i="8"/>
  <c r="BL150" i="8" s="1"/>
  <c r="AM150" i="8"/>
  <c r="BK150" i="8" s="1"/>
  <c r="AL150" i="8"/>
  <c r="BJ150" i="8" s="1"/>
  <c r="AK150" i="8"/>
  <c r="BI150" i="8" s="1"/>
  <c r="AJ150" i="8"/>
  <c r="BH150" i="8" s="1"/>
  <c r="AI150" i="8"/>
  <c r="BG150" i="8" s="1"/>
  <c r="AH150" i="8"/>
  <c r="BF150" i="8" s="1"/>
  <c r="AG150" i="8"/>
  <c r="BE150" i="8" s="1"/>
  <c r="AF150" i="8"/>
  <c r="BD150" i="8" s="1"/>
  <c r="AE150" i="8"/>
  <c r="BC150" i="8" s="1"/>
  <c r="AD150" i="8"/>
  <c r="BB150" i="8" s="1"/>
  <c r="AC150" i="8"/>
  <c r="BA150" i="8" s="1"/>
  <c r="AB150" i="8"/>
  <c r="AZ150" i="8" s="1"/>
  <c r="AA150" i="8"/>
  <c r="AY150" i="8" s="1"/>
  <c r="Z150" i="8"/>
  <c r="AX150" i="8" s="1"/>
  <c r="AW149" i="8"/>
  <c r="BU149" i="8" s="1"/>
  <c r="AV149" i="8"/>
  <c r="BT149" i="8" s="1"/>
  <c r="AU149" i="8"/>
  <c r="BS149" i="8" s="1"/>
  <c r="AT149" i="8"/>
  <c r="BR149" i="8" s="1"/>
  <c r="AS149" i="8"/>
  <c r="BQ149" i="8" s="1"/>
  <c r="AR149" i="8"/>
  <c r="BP149" i="8" s="1"/>
  <c r="AQ149" i="8"/>
  <c r="BO149" i="8" s="1"/>
  <c r="AP149" i="8"/>
  <c r="BN149" i="8" s="1"/>
  <c r="AO149" i="8"/>
  <c r="BM149" i="8" s="1"/>
  <c r="AN149" i="8"/>
  <c r="BL149" i="8" s="1"/>
  <c r="AM149" i="8"/>
  <c r="BK149" i="8" s="1"/>
  <c r="AL149" i="8"/>
  <c r="BJ149" i="8" s="1"/>
  <c r="AK149" i="8"/>
  <c r="BI149" i="8" s="1"/>
  <c r="AJ149" i="8"/>
  <c r="BH149" i="8" s="1"/>
  <c r="AI149" i="8"/>
  <c r="BG149" i="8" s="1"/>
  <c r="AH149" i="8"/>
  <c r="BF149" i="8" s="1"/>
  <c r="AG149" i="8"/>
  <c r="BE149" i="8" s="1"/>
  <c r="AF149" i="8"/>
  <c r="BD149" i="8" s="1"/>
  <c r="AE149" i="8"/>
  <c r="BC149" i="8" s="1"/>
  <c r="AD149" i="8"/>
  <c r="BB149" i="8" s="1"/>
  <c r="AC149" i="8"/>
  <c r="BA149" i="8" s="1"/>
  <c r="AB149" i="8"/>
  <c r="AZ149" i="8" s="1"/>
  <c r="AA149" i="8"/>
  <c r="AY149" i="8" s="1"/>
  <c r="Z149" i="8"/>
  <c r="AX149" i="8" s="1"/>
  <c r="AW148" i="8"/>
  <c r="BU148" i="8" s="1"/>
  <c r="AV148" i="8"/>
  <c r="BT148" i="8" s="1"/>
  <c r="AU148" i="8"/>
  <c r="BS148" i="8" s="1"/>
  <c r="AT148" i="8"/>
  <c r="BR148" i="8" s="1"/>
  <c r="AS148" i="8"/>
  <c r="BQ148" i="8" s="1"/>
  <c r="AR148" i="8"/>
  <c r="BP148" i="8" s="1"/>
  <c r="AQ148" i="8"/>
  <c r="BO148" i="8" s="1"/>
  <c r="AP148" i="8"/>
  <c r="BN148" i="8" s="1"/>
  <c r="AO148" i="8"/>
  <c r="BM148" i="8" s="1"/>
  <c r="AN148" i="8"/>
  <c r="BL148" i="8" s="1"/>
  <c r="AM148" i="8"/>
  <c r="BK148" i="8" s="1"/>
  <c r="AL148" i="8"/>
  <c r="BJ148" i="8" s="1"/>
  <c r="AK148" i="8"/>
  <c r="BI148" i="8" s="1"/>
  <c r="AJ148" i="8"/>
  <c r="BH148" i="8" s="1"/>
  <c r="AI148" i="8"/>
  <c r="BG148" i="8" s="1"/>
  <c r="AH148" i="8"/>
  <c r="BF148" i="8" s="1"/>
  <c r="AG148" i="8"/>
  <c r="BE148" i="8" s="1"/>
  <c r="AF148" i="8"/>
  <c r="BD148" i="8" s="1"/>
  <c r="AE148" i="8"/>
  <c r="BC148" i="8" s="1"/>
  <c r="AD148" i="8"/>
  <c r="BB148" i="8" s="1"/>
  <c r="AC148" i="8"/>
  <c r="BA148" i="8" s="1"/>
  <c r="AB148" i="8"/>
  <c r="AZ148" i="8" s="1"/>
  <c r="AA148" i="8"/>
  <c r="AY148" i="8" s="1"/>
  <c r="Z148" i="8"/>
  <c r="AX148" i="8" s="1"/>
  <c r="AW147" i="8"/>
  <c r="BU147" i="8" s="1"/>
  <c r="AV147" i="8"/>
  <c r="BT147" i="8" s="1"/>
  <c r="AU147" i="8"/>
  <c r="BS147" i="8" s="1"/>
  <c r="AT147" i="8"/>
  <c r="BR147" i="8" s="1"/>
  <c r="AS147" i="8"/>
  <c r="BQ147" i="8" s="1"/>
  <c r="AR147" i="8"/>
  <c r="BP147" i="8" s="1"/>
  <c r="AQ147" i="8"/>
  <c r="BO147" i="8" s="1"/>
  <c r="AP147" i="8"/>
  <c r="BN147" i="8" s="1"/>
  <c r="AO147" i="8"/>
  <c r="BM147" i="8" s="1"/>
  <c r="AN147" i="8"/>
  <c r="BL147" i="8" s="1"/>
  <c r="AM147" i="8"/>
  <c r="BK147" i="8" s="1"/>
  <c r="AL147" i="8"/>
  <c r="BJ147" i="8" s="1"/>
  <c r="AK147" i="8"/>
  <c r="BI147" i="8" s="1"/>
  <c r="AJ147" i="8"/>
  <c r="BH147" i="8" s="1"/>
  <c r="AI147" i="8"/>
  <c r="BG147" i="8" s="1"/>
  <c r="AH147" i="8"/>
  <c r="BF147" i="8" s="1"/>
  <c r="AG147" i="8"/>
  <c r="BE147" i="8" s="1"/>
  <c r="AF147" i="8"/>
  <c r="BD147" i="8" s="1"/>
  <c r="AE147" i="8"/>
  <c r="BC147" i="8" s="1"/>
  <c r="AD147" i="8"/>
  <c r="BB147" i="8" s="1"/>
  <c r="AC147" i="8"/>
  <c r="BA147" i="8" s="1"/>
  <c r="AB147" i="8"/>
  <c r="AZ147" i="8" s="1"/>
  <c r="AA147" i="8"/>
  <c r="AY147" i="8" s="1"/>
  <c r="Z147" i="8"/>
  <c r="AX147" i="8" s="1"/>
  <c r="AW146" i="8"/>
  <c r="BU146" i="8" s="1"/>
  <c r="AV146" i="8"/>
  <c r="BT146" i="8" s="1"/>
  <c r="AU146" i="8"/>
  <c r="BS146" i="8" s="1"/>
  <c r="AT146" i="8"/>
  <c r="BR146" i="8" s="1"/>
  <c r="AS146" i="8"/>
  <c r="BQ146" i="8" s="1"/>
  <c r="AR146" i="8"/>
  <c r="BP146" i="8" s="1"/>
  <c r="AQ146" i="8"/>
  <c r="BO146" i="8" s="1"/>
  <c r="AP146" i="8"/>
  <c r="BN146" i="8" s="1"/>
  <c r="AO146" i="8"/>
  <c r="BM146" i="8" s="1"/>
  <c r="AN146" i="8"/>
  <c r="BL146" i="8" s="1"/>
  <c r="AM146" i="8"/>
  <c r="BK146" i="8" s="1"/>
  <c r="AL146" i="8"/>
  <c r="BJ146" i="8" s="1"/>
  <c r="AK146" i="8"/>
  <c r="BI146" i="8" s="1"/>
  <c r="AJ146" i="8"/>
  <c r="BH146" i="8" s="1"/>
  <c r="AI146" i="8"/>
  <c r="BG146" i="8" s="1"/>
  <c r="AH146" i="8"/>
  <c r="BF146" i="8" s="1"/>
  <c r="AG146" i="8"/>
  <c r="BE146" i="8" s="1"/>
  <c r="AF146" i="8"/>
  <c r="BD146" i="8" s="1"/>
  <c r="AE146" i="8"/>
  <c r="BC146" i="8" s="1"/>
  <c r="AD146" i="8"/>
  <c r="BB146" i="8" s="1"/>
  <c r="AC146" i="8"/>
  <c r="BA146" i="8" s="1"/>
  <c r="AB146" i="8"/>
  <c r="AZ146" i="8" s="1"/>
  <c r="AA146" i="8"/>
  <c r="AY146" i="8" s="1"/>
  <c r="Z146" i="8"/>
  <c r="AX146" i="8" s="1"/>
  <c r="AW145" i="8"/>
  <c r="BU145" i="8" s="1"/>
  <c r="AV145" i="8"/>
  <c r="BT145" i="8" s="1"/>
  <c r="AU145" i="8"/>
  <c r="BS145" i="8" s="1"/>
  <c r="AT145" i="8"/>
  <c r="BR145" i="8" s="1"/>
  <c r="AS145" i="8"/>
  <c r="BQ145" i="8" s="1"/>
  <c r="AR145" i="8"/>
  <c r="BP145" i="8" s="1"/>
  <c r="AQ145" i="8"/>
  <c r="BO145" i="8" s="1"/>
  <c r="AP145" i="8"/>
  <c r="BN145" i="8" s="1"/>
  <c r="AO145" i="8"/>
  <c r="BM145" i="8" s="1"/>
  <c r="AN145" i="8"/>
  <c r="BL145" i="8" s="1"/>
  <c r="AM145" i="8"/>
  <c r="BK145" i="8" s="1"/>
  <c r="AL145" i="8"/>
  <c r="BJ145" i="8" s="1"/>
  <c r="AK145" i="8"/>
  <c r="BI145" i="8" s="1"/>
  <c r="AJ145" i="8"/>
  <c r="BH145" i="8" s="1"/>
  <c r="AI145" i="8"/>
  <c r="BG145" i="8" s="1"/>
  <c r="AH145" i="8"/>
  <c r="BF145" i="8" s="1"/>
  <c r="AG145" i="8"/>
  <c r="BE145" i="8" s="1"/>
  <c r="AF145" i="8"/>
  <c r="BD145" i="8" s="1"/>
  <c r="AE145" i="8"/>
  <c r="BC145" i="8" s="1"/>
  <c r="AD145" i="8"/>
  <c r="BB145" i="8" s="1"/>
  <c r="AC145" i="8"/>
  <c r="BA145" i="8" s="1"/>
  <c r="AB145" i="8"/>
  <c r="AZ145" i="8" s="1"/>
  <c r="AA145" i="8"/>
  <c r="AY145" i="8" s="1"/>
  <c r="Z145" i="8"/>
  <c r="AX145" i="8" s="1"/>
  <c r="AW144" i="8"/>
  <c r="BU144" i="8" s="1"/>
  <c r="AV144" i="8"/>
  <c r="BT144" i="8" s="1"/>
  <c r="AU144" i="8"/>
  <c r="BS144" i="8" s="1"/>
  <c r="AT144" i="8"/>
  <c r="BR144" i="8" s="1"/>
  <c r="AS144" i="8"/>
  <c r="BQ144" i="8" s="1"/>
  <c r="AR144" i="8"/>
  <c r="BP144" i="8" s="1"/>
  <c r="AQ144" i="8"/>
  <c r="BO144" i="8" s="1"/>
  <c r="AP144" i="8"/>
  <c r="BN144" i="8" s="1"/>
  <c r="AO144" i="8"/>
  <c r="BM144" i="8" s="1"/>
  <c r="AN144" i="8"/>
  <c r="BL144" i="8" s="1"/>
  <c r="AM144" i="8"/>
  <c r="BK144" i="8" s="1"/>
  <c r="AL144" i="8"/>
  <c r="BJ144" i="8" s="1"/>
  <c r="AK144" i="8"/>
  <c r="BI144" i="8" s="1"/>
  <c r="AJ144" i="8"/>
  <c r="BH144" i="8" s="1"/>
  <c r="AI144" i="8"/>
  <c r="BG144" i="8" s="1"/>
  <c r="AH144" i="8"/>
  <c r="BF144" i="8" s="1"/>
  <c r="AG144" i="8"/>
  <c r="BE144" i="8" s="1"/>
  <c r="AF144" i="8"/>
  <c r="BD144" i="8" s="1"/>
  <c r="AE144" i="8"/>
  <c r="BC144" i="8" s="1"/>
  <c r="AD144" i="8"/>
  <c r="BB144" i="8" s="1"/>
  <c r="AC144" i="8"/>
  <c r="BA144" i="8" s="1"/>
  <c r="AB144" i="8"/>
  <c r="AZ144" i="8" s="1"/>
  <c r="AA144" i="8"/>
  <c r="AY144" i="8" s="1"/>
  <c r="Z144" i="8"/>
  <c r="AX144" i="8" s="1"/>
  <c r="AW143" i="8"/>
  <c r="BU143" i="8" s="1"/>
  <c r="AV143" i="8"/>
  <c r="BT143" i="8" s="1"/>
  <c r="AU143" i="8"/>
  <c r="BS143" i="8" s="1"/>
  <c r="AT143" i="8"/>
  <c r="BR143" i="8" s="1"/>
  <c r="AS143" i="8"/>
  <c r="BQ143" i="8" s="1"/>
  <c r="AR143" i="8"/>
  <c r="BP143" i="8" s="1"/>
  <c r="AQ143" i="8"/>
  <c r="BO143" i="8" s="1"/>
  <c r="AP143" i="8"/>
  <c r="BN143" i="8" s="1"/>
  <c r="AO143" i="8"/>
  <c r="BM143" i="8" s="1"/>
  <c r="AN143" i="8"/>
  <c r="BL143" i="8" s="1"/>
  <c r="AM143" i="8"/>
  <c r="BK143" i="8" s="1"/>
  <c r="AL143" i="8"/>
  <c r="BJ143" i="8" s="1"/>
  <c r="AK143" i="8"/>
  <c r="BI143" i="8" s="1"/>
  <c r="AJ143" i="8"/>
  <c r="BH143" i="8" s="1"/>
  <c r="AI143" i="8"/>
  <c r="BG143" i="8" s="1"/>
  <c r="AH143" i="8"/>
  <c r="BF143" i="8" s="1"/>
  <c r="AG143" i="8"/>
  <c r="BE143" i="8" s="1"/>
  <c r="AF143" i="8"/>
  <c r="BD143" i="8" s="1"/>
  <c r="AE143" i="8"/>
  <c r="BC143" i="8" s="1"/>
  <c r="AD143" i="8"/>
  <c r="BB143" i="8" s="1"/>
  <c r="AC143" i="8"/>
  <c r="BA143" i="8" s="1"/>
  <c r="AB143" i="8"/>
  <c r="AZ143" i="8" s="1"/>
  <c r="AA143" i="8"/>
  <c r="AY143" i="8" s="1"/>
  <c r="Z143" i="8"/>
  <c r="AX143" i="8" s="1"/>
  <c r="AW142" i="8"/>
  <c r="BU142" i="8" s="1"/>
  <c r="AV142" i="8"/>
  <c r="BT142" i="8" s="1"/>
  <c r="AU142" i="8"/>
  <c r="BS142" i="8" s="1"/>
  <c r="AT142" i="8"/>
  <c r="BR142" i="8" s="1"/>
  <c r="AS142" i="8"/>
  <c r="BQ142" i="8" s="1"/>
  <c r="AR142" i="8"/>
  <c r="BP142" i="8" s="1"/>
  <c r="AQ142" i="8"/>
  <c r="BO142" i="8" s="1"/>
  <c r="AP142" i="8"/>
  <c r="BN142" i="8" s="1"/>
  <c r="AO142" i="8"/>
  <c r="BM142" i="8" s="1"/>
  <c r="AN142" i="8"/>
  <c r="BL142" i="8" s="1"/>
  <c r="AM142" i="8"/>
  <c r="BK142" i="8" s="1"/>
  <c r="AL142" i="8"/>
  <c r="BJ142" i="8" s="1"/>
  <c r="AK142" i="8"/>
  <c r="BI142" i="8" s="1"/>
  <c r="AJ142" i="8"/>
  <c r="BH142" i="8" s="1"/>
  <c r="AI142" i="8"/>
  <c r="BG142" i="8" s="1"/>
  <c r="AH142" i="8"/>
  <c r="BF142" i="8" s="1"/>
  <c r="AG142" i="8"/>
  <c r="BE142" i="8" s="1"/>
  <c r="AF142" i="8"/>
  <c r="BD142" i="8" s="1"/>
  <c r="AE142" i="8"/>
  <c r="BC142" i="8" s="1"/>
  <c r="AD142" i="8"/>
  <c r="BB142" i="8" s="1"/>
  <c r="AC142" i="8"/>
  <c r="BA142" i="8" s="1"/>
  <c r="AB142" i="8"/>
  <c r="AZ142" i="8" s="1"/>
  <c r="AA142" i="8"/>
  <c r="AY142" i="8" s="1"/>
  <c r="Z142" i="8"/>
  <c r="AX142" i="8" s="1"/>
  <c r="AW141" i="8"/>
  <c r="BU141" i="8" s="1"/>
  <c r="AV141" i="8"/>
  <c r="BT141" i="8" s="1"/>
  <c r="AU141" i="8"/>
  <c r="BS141" i="8" s="1"/>
  <c r="AT141" i="8"/>
  <c r="BR141" i="8" s="1"/>
  <c r="AS141" i="8"/>
  <c r="BQ141" i="8" s="1"/>
  <c r="AR141" i="8"/>
  <c r="BP141" i="8" s="1"/>
  <c r="AQ141" i="8"/>
  <c r="BO141" i="8" s="1"/>
  <c r="AP141" i="8"/>
  <c r="BN141" i="8" s="1"/>
  <c r="AO141" i="8"/>
  <c r="BM141" i="8" s="1"/>
  <c r="AN141" i="8"/>
  <c r="BL141" i="8" s="1"/>
  <c r="AM141" i="8"/>
  <c r="BK141" i="8" s="1"/>
  <c r="AL141" i="8"/>
  <c r="BJ141" i="8" s="1"/>
  <c r="AK141" i="8"/>
  <c r="BI141" i="8" s="1"/>
  <c r="AJ141" i="8"/>
  <c r="BH141" i="8" s="1"/>
  <c r="AI141" i="8"/>
  <c r="BG141" i="8" s="1"/>
  <c r="AH141" i="8"/>
  <c r="BF141" i="8" s="1"/>
  <c r="AG141" i="8"/>
  <c r="BE141" i="8" s="1"/>
  <c r="AF141" i="8"/>
  <c r="BD141" i="8" s="1"/>
  <c r="AE141" i="8"/>
  <c r="BC141" i="8" s="1"/>
  <c r="AD141" i="8"/>
  <c r="BB141" i="8" s="1"/>
  <c r="AC141" i="8"/>
  <c r="BA141" i="8" s="1"/>
  <c r="AB141" i="8"/>
  <c r="AZ141" i="8" s="1"/>
  <c r="AA141" i="8"/>
  <c r="AY141" i="8" s="1"/>
  <c r="Z141" i="8"/>
  <c r="AX141" i="8" s="1"/>
  <c r="AW140" i="8"/>
  <c r="BU140" i="8" s="1"/>
  <c r="AV140" i="8"/>
  <c r="BT140" i="8" s="1"/>
  <c r="AU140" i="8"/>
  <c r="BS140" i="8" s="1"/>
  <c r="AT140" i="8"/>
  <c r="BR140" i="8" s="1"/>
  <c r="AS140" i="8"/>
  <c r="BQ140" i="8" s="1"/>
  <c r="AR140" i="8"/>
  <c r="BP140" i="8" s="1"/>
  <c r="AQ140" i="8"/>
  <c r="BO140" i="8" s="1"/>
  <c r="AP140" i="8"/>
  <c r="BN140" i="8" s="1"/>
  <c r="AO140" i="8"/>
  <c r="BM140" i="8" s="1"/>
  <c r="AN140" i="8"/>
  <c r="BL140" i="8" s="1"/>
  <c r="AM140" i="8"/>
  <c r="BK140" i="8" s="1"/>
  <c r="AL140" i="8"/>
  <c r="BJ140" i="8" s="1"/>
  <c r="AK140" i="8"/>
  <c r="BI140" i="8" s="1"/>
  <c r="AJ140" i="8"/>
  <c r="BH140" i="8" s="1"/>
  <c r="AI140" i="8"/>
  <c r="BG140" i="8" s="1"/>
  <c r="AH140" i="8"/>
  <c r="BF140" i="8" s="1"/>
  <c r="AG140" i="8"/>
  <c r="BE140" i="8" s="1"/>
  <c r="AF140" i="8"/>
  <c r="BD140" i="8" s="1"/>
  <c r="AE140" i="8"/>
  <c r="BC140" i="8" s="1"/>
  <c r="AD140" i="8"/>
  <c r="BB140" i="8" s="1"/>
  <c r="AC140" i="8"/>
  <c r="BA140" i="8" s="1"/>
  <c r="AB140" i="8"/>
  <c r="AZ140" i="8" s="1"/>
  <c r="AA140" i="8"/>
  <c r="AY140" i="8" s="1"/>
  <c r="Z140" i="8"/>
  <c r="AX140" i="8" s="1"/>
  <c r="AW139" i="8"/>
  <c r="BU139" i="8" s="1"/>
  <c r="AV139" i="8"/>
  <c r="BT139" i="8" s="1"/>
  <c r="AU139" i="8"/>
  <c r="BS139" i="8" s="1"/>
  <c r="AT139" i="8"/>
  <c r="BR139" i="8" s="1"/>
  <c r="AS139" i="8"/>
  <c r="BQ139" i="8" s="1"/>
  <c r="AR139" i="8"/>
  <c r="BP139" i="8" s="1"/>
  <c r="AQ139" i="8"/>
  <c r="BO139" i="8" s="1"/>
  <c r="AP139" i="8"/>
  <c r="BN139" i="8" s="1"/>
  <c r="AO139" i="8"/>
  <c r="BM139" i="8" s="1"/>
  <c r="AN139" i="8"/>
  <c r="BL139" i="8" s="1"/>
  <c r="AM139" i="8"/>
  <c r="BK139" i="8" s="1"/>
  <c r="AL139" i="8"/>
  <c r="BJ139" i="8" s="1"/>
  <c r="AK139" i="8"/>
  <c r="BI139" i="8" s="1"/>
  <c r="AJ139" i="8"/>
  <c r="BH139" i="8" s="1"/>
  <c r="AI139" i="8"/>
  <c r="BG139" i="8" s="1"/>
  <c r="AH139" i="8"/>
  <c r="BF139" i="8" s="1"/>
  <c r="AG139" i="8"/>
  <c r="BE139" i="8" s="1"/>
  <c r="AF139" i="8"/>
  <c r="BD139" i="8" s="1"/>
  <c r="AE139" i="8"/>
  <c r="BC139" i="8" s="1"/>
  <c r="AD139" i="8"/>
  <c r="BB139" i="8" s="1"/>
  <c r="AC139" i="8"/>
  <c r="BA139" i="8" s="1"/>
  <c r="AB139" i="8"/>
  <c r="AZ139" i="8" s="1"/>
  <c r="AA139" i="8"/>
  <c r="AY139" i="8" s="1"/>
  <c r="Z139" i="8"/>
  <c r="AX139" i="8" s="1"/>
  <c r="AW138" i="8"/>
  <c r="BU138" i="8" s="1"/>
  <c r="AV138" i="8"/>
  <c r="BT138" i="8" s="1"/>
  <c r="AU138" i="8"/>
  <c r="BS138" i="8" s="1"/>
  <c r="AT138" i="8"/>
  <c r="BR138" i="8" s="1"/>
  <c r="AS138" i="8"/>
  <c r="BQ138" i="8" s="1"/>
  <c r="AR138" i="8"/>
  <c r="BP138" i="8" s="1"/>
  <c r="AQ138" i="8"/>
  <c r="BO138" i="8" s="1"/>
  <c r="AP138" i="8"/>
  <c r="BN138" i="8" s="1"/>
  <c r="AO138" i="8"/>
  <c r="BM138" i="8" s="1"/>
  <c r="AN138" i="8"/>
  <c r="BL138" i="8" s="1"/>
  <c r="AM138" i="8"/>
  <c r="BK138" i="8" s="1"/>
  <c r="AL138" i="8"/>
  <c r="BJ138" i="8" s="1"/>
  <c r="AK138" i="8"/>
  <c r="BI138" i="8" s="1"/>
  <c r="AJ138" i="8"/>
  <c r="BH138" i="8" s="1"/>
  <c r="AI138" i="8"/>
  <c r="BG138" i="8" s="1"/>
  <c r="AH138" i="8"/>
  <c r="BF138" i="8" s="1"/>
  <c r="AG138" i="8"/>
  <c r="BE138" i="8" s="1"/>
  <c r="AF138" i="8"/>
  <c r="BD138" i="8" s="1"/>
  <c r="AE138" i="8"/>
  <c r="BC138" i="8" s="1"/>
  <c r="AD138" i="8"/>
  <c r="BB138" i="8" s="1"/>
  <c r="AC138" i="8"/>
  <c r="BA138" i="8" s="1"/>
  <c r="AB138" i="8"/>
  <c r="AZ138" i="8" s="1"/>
  <c r="AA138" i="8"/>
  <c r="AY138" i="8" s="1"/>
  <c r="Z138" i="8"/>
  <c r="AX138" i="8" s="1"/>
  <c r="AW137" i="8"/>
  <c r="BU137" i="8" s="1"/>
  <c r="AV137" i="8"/>
  <c r="BT137" i="8" s="1"/>
  <c r="AU137" i="8"/>
  <c r="BS137" i="8" s="1"/>
  <c r="AT137" i="8"/>
  <c r="BR137" i="8" s="1"/>
  <c r="AS137" i="8"/>
  <c r="BQ137" i="8" s="1"/>
  <c r="AR137" i="8"/>
  <c r="BP137" i="8" s="1"/>
  <c r="AQ137" i="8"/>
  <c r="BO137" i="8" s="1"/>
  <c r="AP137" i="8"/>
  <c r="BN137" i="8" s="1"/>
  <c r="AO137" i="8"/>
  <c r="BM137" i="8" s="1"/>
  <c r="AN137" i="8"/>
  <c r="BL137" i="8" s="1"/>
  <c r="AM137" i="8"/>
  <c r="BK137" i="8" s="1"/>
  <c r="AL137" i="8"/>
  <c r="BJ137" i="8" s="1"/>
  <c r="AK137" i="8"/>
  <c r="BI137" i="8" s="1"/>
  <c r="AJ137" i="8"/>
  <c r="BH137" i="8" s="1"/>
  <c r="AI137" i="8"/>
  <c r="BG137" i="8" s="1"/>
  <c r="AH137" i="8"/>
  <c r="BF137" i="8" s="1"/>
  <c r="AG137" i="8"/>
  <c r="BE137" i="8" s="1"/>
  <c r="AF137" i="8"/>
  <c r="BD137" i="8" s="1"/>
  <c r="AE137" i="8"/>
  <c r="BC137" i="8" s="1"/>
  <c r="AD137" i="8"/>
  <c r="BB137" i="8" s="1"/>
  <c r="AC137" i="8"/>
  <c r="BA137" i="8" s="1"/>
  <c r="AB137" i="8"/>
  <c r="AZ137" i="8" s="1"/>
  <c r="AA137" i="8"/>
  <c r="AY137" i="8" s="1"/>
  <c r="Z137" i="8"/>
  <c r="AX137" i="8" s="1"/>
  <c r="AW136" i="8"/>
  <c r="BU136" i="8" s="1"/>
  <c r="AV136" i="8"/>
  <c r="BT136" i="8" s="1"/>
  <c r="AU136" i="8"/>
  <c r="BS136" i="8" s="1"/>
  <c r="AT136" i="8"/>
  <c r="BR136" i="8" s="1"/>
  <c r="AS136" i="8"/>
  <c r="BQ136" i="8" s="1"/>
  <c r="AR136" i="8"/>
  <c r="BP136" i="8" s="1"/>
  <c r="AQ136" i="8"/>
  <c r="BO136" i="8" s="1"/>
  <c r="AP136" i="8"/>
  <c r="BN136" i="8" s="1"/>
  <c r="AO136" i="8"/>
  <c r="BM136" i="8" s="1"/>
  <c r="AN136" i="8"/>
  <c r="BL136" i="8" s="1"/>
  <c r="AM136" i="8"/>
  <c r="BK136" i="8" s="1"/>
  <c r="AL136" i="8"/>
  <c r="BJ136" i="8" s="1"/>
  <c r="AK136" i="8"/>
  <c r="BI136" i="8" s="1"/>
  <c r="AJ136" i="8"/>
  <c r="BH136" i="8" s="1"/>
  <c r="AI136" i="8"/>
  <c r="BG136" i="8" s="1"/>
  <c r="AH136" i="8"/>
  <c r="BF136" i="8" s="1"/>
  <c r="AG136" i="8"/>
  <c r="BE136" i="8" s="1"/>
  <c r="AF136" i="8"/>
  <c r="BD136" i="8" s="1"/>
  <c r="AE136" i="8"/>
  <c r="BC136" i="8" s="1"/>
  <c r="AD136" i="8"/>
  <c r="BB136" i="8" s="1"/>
  <c r="AC136" i="8"/>
  <c r="BA136" i="8" s="1"/>
  <c r="AB136" i="8"/>
  <c r="AZ136" i="8" s="1"/>
  <c r="AA136" i="8"/>
  <c r="AY136" i="8" s="1"/>
  <c r="Z136" i="8"/>
  <c r="AX136" i="8" s="1"/>
  <c r="AW135" i="8"/>
  <c r="BU135" i="8" s="1"/>
  <c r="AV135" i="8"/>
  <c r="BT135" i="8" s="1"/>
  <c r="AU135" i="8"/>
  <c r="BS135" i="8" s="1"/>
  <c r="AT135" i="8"/>
  <c r="BR135" i="8" s="1"/>
  <c r="AS135" i="8"/>
  <c r="BQ135" i="8" s="1"/>
  <c r="AR135" i="8"/>
  <c r="BP135" i="8" s="1"/>
  <c r="AQ135" i="8"/>
  <c r="BO135" i="8" s="1"/>
  <c r="AP135" i="8"/>
  <c r="BN135" i="8" s="1"/>
  <c r="AO135" i="8"/>
  <c r="BM135" i="8" s="1"/>
  <c r="AN135" i="8"/>
  <c r="BL135" i="8" s="1"/>
  <c r="AM135" i="8"/>
  <c r="BK135" i="8" s="1"/>
  <c r="AL135" i="8"/>
  <c r="BJ135" i="8" s="1"/>
  <c r="AK135" i="8"/>
  <c r="BI135" i="8" s="1"/>
  <c r="AJ135" i="8"/>
  <c r="BH135" i="8" s="1"/>
  <c r="AI135" i="8"/>
  <c r="BG135" i="8" s="1"/>
  <c r="AH135" i="8"/>
  <c r="BF135" i="8" s="1"/>
  <c r="AG135" i="8"/>
  <c r="BE135" i="8" s="1"/>
  <c r="AF135" i="8"/>
  <c r="BD135" i="8" s="1"/>
  <c r="AE135" i="8"/>
  <c r="BC135" i="8" s="1"/>
  <c r="AD135" i="8"/>
  <c r="BB135" i="8" s="1"/>
  <c r="AC135" i="8"/>
  <c r="BA135" i="8" s="1"/>
  <c r="AB135" i="8"/>
  <c r="AZ135" i="8" s="1"/>
  <c r="AA135" i="8"/>
  <c r="AY135" i="8" s="1"/>
  <c r="Z135" i="8"/>
  <c r="AX135" i="8" s="1"/>
  <c r="AW134" i="8"/>
  <c r="BU134" i="8" s="1"/>
  <c r="AV134" i="8"/>
  <c r="BT134" i="8" s="1"/>
  <c r="AU134" i="8"/>
  <c r="BS134" i="8" s="1"/>
  <c r="AT134" i="8"/>
  <c r="BR134" i="8" s="1"/>
  <c r="AS134" i="8"/>
  <c r="BQ134" i="8" s="1"/>
  <c r="AR134" i="8"/>
  <c r="BP134" i="8" s="1"/>
  <c r="AQ134" i="8"/>
  <c r="BO134" i="8" s="1"/>
  <c r="AP134" i="8"/>
  <c r="BN134" i="8" s="1"/>
  <c r="AO134" i="8"/>
  <c r="BM134" i="8" s="1"/>
  <c r="AN134" i="8"/>
  <c r="BL134" i="8" s="1"/>
  <c r="AM134" i="8"/>
  <c r="BK134" i="8" s="1"/>
  <c r="AL134" i="8"/>
  <c r="BJ134" i="8" s="1"/>
  <c r="AK134" i="8"/>
  <c r="BI134" i="8" s="1"/>
  <c r="AJ134" i="8"/>
  <c r="BH134" i="8" s="1"/>
  <c r="AI134" i="8"/>
  <c r="BG134" i="8" s="1"/>
  <c r="AH134" i="8"/>
  <c r="BF134" i="8" s="1"/>
  <c r="AG134" i="8"/>
  <c r="BE134" i="8" s="1"/>
  <c r="AF134" i="8"/>
  <c r="BD134" i="8" s="1"/>
  <c r="BC134" i="8"/>
  <c r="AD134" i="8"/>
  <c r="BB134" i="8" s="1"/>
  <c r="BA134" i="8"/>
  <c r="AB134" i="8"/>
  <c r="AZ134" i="8" s="1"/>
  <c r="AA134" i="8"/>
  <c r="AY134" i="8" s="1"/>
  <c r="Z134" i="8"/>
  <c r="AX134" i="8" s="1"/>
  <c r="AW133" i="8"/>
  <c r="BU133" i="8" s="1"/>
  <c r="AV133" i="8"/>
  <c r="BT133" i="8" s="1"/>
  <c r="AU133" i="8"/>
  <c r="BS133" i="8" s="1"/>
  <c r="AT133" i="8"/>
  <c r="BR133" i="8" s="1"/>
  <c r="AS133" i="8"/>
  <c r="BQ133" i="8" s="1"/>
  <c r="AR133" i="8"/>
  <c r="BP133" i="8" s="1"/>
  <c r="AQ133" i="8"/>
  <c r="BO133" i="8" s="1"/>
  <c r="AP133" i="8"/>
  <c r="BN133" i="8" s="1"/>
  <c r="AO133" i="8"/>
  <c r="BM133" i="8" s="1"/>
  <c r="AN133" i="8"/>
  <c r="BL133" i="8" s="1"/>
  <c r="AM133" i="8"/>
  <c r="BK133" i="8" s="1"/>
  <c r="AL133" i="8"/>
  <c r="BJ133" i="8" s="1"/>
  <c r="AK133" i="8"/>
  <c r="BI133" i="8" s="1"/>
  <c r="AJ133" i="8"/>
  <c r="BH133" i="8" s="1"/>
  <c r="AI133" i="8"/>
  <c r="BG133" i="8" s="1"/>
  <c r="AH133" i="8"/>
  <c r="BF133" i="8" s="1"/>
  <c r="AG133" i="8"/>
  <c r="BE133" i="8" s="1"/>
  <c r="AF133" i="8"/>
  <c r="BD133" i="8" s="1"/>
  <c r="AE133" i="8"/>
  <c r="BC133" i="8" s="1"/>
  <c r="AD133" i="8"/>
  <c r="BB133" i="8" s="1"/>
  <c r="AC133" i="8"/>
  <c r="BA133" i="8" s="1"/>
  <c r="AB133" i="8"/>
  <c r="AZ133" i="8" s="1"/>
  <c r="AA133" i="8"/>
  <c r="AY133" i="8" s="1"/>
  <c r="Z133" i="8"/>
  <c r="AX133" i="8" s="1"/>
  <c r="AW132" i="8"/>
  <c r="BU132" i="8" s="1"/>
  <c r="AV132" i="8"/>
  <c r="BT132" i="8" s="1"/>
  <c r="AU132" i="8"/>
  <c r="BS132" i="8" s="1"/>
  <c r="AT132" i="8"/>
  <c r="BR132" i="8" s="1"/>
  <c r="AS132" i="8"/>
  <c r="BQ132" i="8" s="1"/>
  <c r="AR132" i="8"/>
  <c r="BP132" i="8" s="1"/>
  <c r="AQ132" i="8"/>
  <c r="BO132" i="8" s="1"/>
  <c r="AP132" i="8"/>
  <c r="BN132" i="8" s="1"/>
  <c r="AO132" i="8"/>
  <c r="BM132" i="8" s="1"/>
  <c r="AN132" i="8"/>
  <c r="BL132" i="8" s="1"/>
  <c r="AM132" i="8"/>
  <c r="BK132" i="8" s="1"/>
  <c r="AL132" i="8"/>
  <c r="BJ132" i="8" s="1"/>
  <c r="AK132" i="8"/>
  <c r="BI132" i="8" s="1"/>
  <c r="AJ132" i="8"/>
  <c r="BH132" i="8" s="1"/>
  <c r="AI132" i="8"/>
  <c r="BG132" i="8" s="1"/>
  <c r="AH132" i="8"/>
  <c r="BF132" i="8" s="1"/>
  <c r="AG132" i="8"/>
  <c r="BE132" i="8" s="1"/>
  <c r="AF132" i="8"/>
  <c r="BD132" i="8" s="1"/>
  <c r="AE132" i="8"/>
  <c r="BC132" i="8" s="1"/>
  <c r="AD132" i="8"/>
  <c r="BB132" i="8" s="1"/>
  <c r="AC132" i="8"/>
  <c r="BA132" i="8" s="1"/>
  <c r="AB132" i="8"/>
  <c r="AZ132" i="8" s="1"/>
  <c r="AA132" i="8"/>
  <c r="AY132" i="8" s="1"/>
  <c r="Z132" i="8"/>
  <c r="AX132" i="8" s="1"/>
  <c r="AW131" i="8"/>
  <c r="BU131" i="8" s="1"/>
  <c r="AV131" i="8"/>
  <c r="BT131" i="8" s="1"/>
  <c r="AU131" i="8"/>
  <c r="BS131" i="8" s="1"/>
  <c r="AT131" i="8"/>
  <c r="BR131" i="8" s="1"/>
  <c r="AS131" i="8"/>
  <c r="BQ131" i="8" s="1"/>
  <c r="AR131" i="8"/>
  <c r="BP131" i="8" s="1"/>
  <c r="AQ131" i="8"/>
  <c r="BO131" i="8" s="1"/>
  <c r="AP131" i="8"/>
  <c r="BN131" i="8" s="1"/>
  <c r="AO131" i="8"/>
  <c r="BM131" i="8" s="1"/>
  <c r="AN131" i="8"/>
  <c r="BL131" i="8" s="1"/>
  <c r="AM131" i="8"/>
  <c r="BK131" i="8" s="1"/>
  <c r="AL131" i="8"/>
  <c r="BJ131" i="8" s="1"/>
  <c r="AK131" i="8"/>
  <c r="BI131" i="8" s="1"/>
  <c r="AJ131" i="8"/>
  <c r="BH131" i="8" s="1"/>
  <c r="AI131" i="8"/>
  <c r="BG131" i="8" s="1"/>
  <c r="AH131" i="8"/>
  <c r="BF131" i="8" s="1"/>
  <c r="AG131" i="8"/>
  <c r="BE131" i="8" s="1"/>
  <c r="AF131" i="8"/>
  <c r="BD131" i="8" s="1"/>
  <c r="AE131" i="8"/>
  <c r="BC131" i="8" s="1"/>
  <c r="AD131" i="8"/>
  <c r="BB131" i="8" s="1"/>
  <c r="AC131" i="8"/>
  <c r="BA131" i="8" s="1"/>
  <c r="AB131" i="8"/>
  <c r="AZ131" i="8" s="1"/>
  <c r="AA131" i="8"/>
  <c r="AY131" i="8" s="1"/>
  <c r="Z131" i="8"/>
  <c r="AX131" i="8" s="1"/>
  <c r="AW130" i="8"/>
  <c r="BU130" i="8" s="1"/>
  <c r="AV130" i="8"/>
  <c r="BT130" i="8" s="1"/>
  <c r="AU130" i="8"/>
  <c r="BS130" i="8" s="1"/>
  <c r="AT130" i="8"/>
  <c r="BR130" i="8" s="1"/>
  <c r="AS130" i="8"/>
  <c r="BQ130" i="8" s="1"/>
  <c r="AR130" i="8"/>
  <c r="BP130" i="8" s="1"/>
  <c r="AQ130" i="8"/>
  <c r="BO130" i="8" s="1"/>
  <c r="AP130" i="8"/>
  <c r="BN130" i="8" s="1"/>
  <c r="AO130" i="8"/>
  <c r="BM130" i="8" s="1"/>
  <c r="AN130" i="8"/>
  <c r="BL130" i="8" s="1"/>
  <c r="AM130" i="8"/>
  <c r="BK130" i="8" s="1"/>
  <c r="AL130" i="8"/>
  <c r="BJ130" i="8" s="1"/>
  <c r="AK130" i="8"/>
  <c r="BI130" i="8" s="1"/>
  <c r="AJ130" i="8"/>
  <c r="BH130" i="8" s="1"/>
  <c r="AI130" i="8"/>
  <c r="BG130" i="8" s="1"/>
  <c r="AH130" i="8"/>
  <c r="BF130" i="8" s="1"/>
  <c r="AG130" i="8"/>
  <c r="BE130" i="8" s="1"/>
  <c r="AF130" i="8"/>
  <c r="BD130" i="8" s="1"/>
  <c r="AE130" i="8"/>
  <c r="BC130" i="8" s="1"/>
  <c r="AD130" i="8"/>
  <c r="BB130" i="8" s="1"/>
  <c r="AC130" i="8"/>
  <c r="BA130" i="8" s="1"/>
  <c r="AB130" i="8"/>
  <c r="AZ130" i="8" s="1"/>
  <c r="AA130" i="8"/>
  <c r="AY130" i="8" s="1"/>
  <c r="Z130" i="8"/>
  <c r="AX130" i="8" s="1"/>
  <c r="AW129" i="8"/>
  <c r="BU129" i="8" s="1"/>
  <c r="AV129" i="8"/>
  <c r="BT129" i="8" s="1"/>
  <c r="AU129" i="8"/>
  <c r="BS129" i="8" s="1"/>
  <c r="AT129" i="8"/>
  <c r="BR129" i="8" s="1"/>
  <c r="AS129" i="8"/>
  <c r="BQ129" i="8" s="1"/>
  <c r="AR129" i="8"/>
  <c r="BP129" i="8" s="1"/>
  <c r="AQ129" i="8"/>
  <c r="BO129" i="8" s="1"/>
  <c r="AP129" i="8"/>
  <c r="BN129" i="8" s="1"/>
  <c r="AO129" i="8"/>
  <c r="BM129" i="8" s="1"/>
  <c r="AN129" i="8"/>
  <c r="BL129" i="8" s="1"/>
  <c r="AM129" i="8"/>
  <c r="BK129" i="8" s="1"/>
  <c r="AL129" i="8"/>
  <c r="BJ129" i="8" s="1"/>
  <c r="AK129" i="8"/>
  <c r="BI129" i="8" s="1"/>
  <c r="AJ129" i="8"/>
  <c r="BH129" i="8" s="1"/>
  <c r="AI129" i="8"/>
  <c r="BG129" i="8" s="1"/>
  <c r="AH129" i="8"/>
  <c r="BF129" i="8" s="1"/>
  <c r="AG129" i="8"/>
  <c r="BE129" i="8" s="1"/>
  <c r="AF129" i="8"/>
  <c r="BD129" i="8" s="1"/>
  <c r="AE129" i="8"/>
  <c r="BC129" i="8" s="1"/>
  <c r="AD129" i="8"/>
  <c r="BB129" i="8" s="1"/>
  <c r="AC129" i="8"/>
  <c r="BA129" i="8" s="1"/>
  <c r="AB129" i="8"/>
  <c r="AZ129" i="8" s="1"/>
  <c r="AA129" i="8"/>
  <c r="AY129" i="8" s="1"/>
  <c r="Z129" i="8"/>
  <c r="AX129" i="8" s="1"/>
  <c r="AW128" i="8"/>
  <c r="BU128" i="8" s="1"/>
  <c r="AV128" i="8"/>
  <c r="BT128" i="8" s="1"/>
  <c r="AU128" i="8"/>
  <c r="BS128" i="8" s="1"/>
  <c r="AT128" i="8"/>
  <c r="BR128" i="8" s="1"/>
  <c r="AS128" i="8"/>
  <c r="BQ128" i="8" s="1"/>
  <c r="AR128" i="8"/>
  <c r="BP128" i="8" s="1"/>
  <c r="AQ128" i="8"/>
  <c r="BO128" i="8" s="1"/>
  <c r="AP128" i="8"/>
  <c r="BN128" i="8" s="1"/>
  <c r="AO128" i="8"/>
  <c r="BM128" i="8" s="1"/>
  <c r="AN128" i="8"/>
  <c r="BL128" i="8" s="1"/>
  <c r="AM128" i="8"/>
  <c r="BK128" i="8" s="1"/>
  <c r="AL128" i="8"/>
  <c r="BJ128" i="8" s="1"/>
  <c r="AK128" i="8"/>
  <c r="BI128" i="8" s="1"/>
  <c r="AJ128" i="8"/>
  <c r="BH128" i="8" s="1"/>
  <c r="AI128" i="8"/>
  <c r="BG128" i="8" s="1"/>
  <c r="AH128" i="8"/>
  <c r="BF128" i="8" s="1"/>
  <c r="AG128" i="8"/>
  <c r="BE128" i="8" s="1"/>
  <c r="AF128" i="8"/>
  <c r="BD128" i="8" s="1"/>
  <c r="AE128" i="8"/>
  <c r="BC128" i="8" s="1"/>
  <c r="AD128" i="8"/>
  <c r="BB128" i="8" s="1"/>
  <c r="AC128" i="8"/>
  <c r="BA128" i="8" s="1"/>
  <c r="AB128" i="8"/>
  <c r="AZ128" i="8" s="1"/>
  <c r="AA128" i="8"/>
  <c r="AY128" i="8" s="1"/>
  <c r="Z128" i="8"/>
  <c r="AX128" i="8" s="1"/>
  <c r="AW127" i="8"/>
  <c r="BU127" i="8" s="1"/>
  <c r="AV127" i="8"/>
  <c r="BT127" i="8" s="1"/>
  <c r="AU127" i="8"/>
  <c r="BS127" i="8" s="1"/>
  <c r="AT127" i="8"/>
  <c r="BR127" i="8" s="1"/>
  <c r="AS127" i="8"/>
  <c r="BQ127" i="8" s="1"/>
  <c r="AR127" i="8"/>
  <c r="BP127" i="8" s="1"/>
  <c r="AQ127" i="8"/>
  <c r="BO127" i="8" s="1"/>
  <c r="AP127" i="8"/>
  <c r="BN127" i="8" s="1"/>
  <c r="AO127" i="8"/>
  <c r="BM127" i="8" s="1"/>
  <c r="AN127" i="8"/>
  <c r="BL127" i="8" s="1"/>
  <c r="AM127" i="8"/>
  <c r="BK127" i="8" s="1"/>
  <c r="AL127" i="8"/>
  <c r="BJ127" i="8" s="1"/>
  <c r="AK127" i="8"/>
  <c r="BI127" i="8" s="1"/>
  <c r="AJ127" i="8"/>
  <c r="BH127" i="8" s="1"/>
  <c r="AI127" i="8"/>
  <c r="BG127" i="8" s="1"/>
  <c r="AH127" i="8"/>
  <c r="BF127" i="8" s="1"/>
  <c r="AG127" i="8"/>
  <c r="BE127" i="8" s="1"/>
  <c r="AF127" i="8"/>
  <c r="BD127" i="8" s="1"/>
  <c r="AE127" i="8"/>
  <c r="BC127" i="8" s="1"/>
  <c r="AD127" i="8"/>
  <c r="BB127" i="8" s="1"/>
  <c r="AC127" i="8"/>
  <c r="BA127" i="8" s="1"/>
  <c r="AB127" i="8"/>
  <c r="AZ127" i="8" s="1"/>
  <c r="AA127" i="8"/>
  <c r="AY127" i="8" s="1"/>
  <c r="Z127" i="8"/>
  <c r="AX127" i="8" s="1"/>
  <c r="AW126" i="8"/>
  <c r="BU126" i="8" s="1"/>
  <c r="AV126" i="8"/>
  <c r="BT126" i="8" s="1"/>
  <c r="AU126" i="8"/>
  <c r="BS126" i="8" s="1"/>
  <c r="AT126" i="8"/>
  <c r="BR126" i="8" s="1"/>
  <c r="AS126" i="8"/>
  <c r="BQ126" i="8" s="1"/>
  <c r="AR126" i="8"/>
  <c r="BP126" i="8" s="1"/>
  <c r="AQ126" i="8"/>
  <c r="BO126" i="8" s="1"/>
  <c r="AP126" i="8"/>
  <c r="BN126" i="8" s="1"/>
  <c r="AO126" i="8"/>
  <c r="BM126" i="8" s="1"/>
  <c r="AN126" i="8"/>
  <c r="BL126" i="8" s="1"/>
  <c r="AM126" i="8"/>
  <c r="BK126" i="8" s="1"/>
  <c r="AL126" i="8"/>
  <c r="BJ126" i="8" s="1"/>
  <c r="AK126" i="8"/>
  <c r="BI126" i="8" s="1"/>
  <c r="AJ126" i="8"/>
  <c r="BH126" i="8" s="1"/>
  <c r="AI126" i="8"/>
  <c r="BG126" i="8" s="1"/>
  <c r="AH126" i="8"/>
  <c r="BF126" i="8" s="1"/>
  <c r="AG126" i="8"/>
  <c r="BE126" i="8" s="1"/>
  <c r="AF126" i="8"/>
  <c r="BD126" i="8" s="1"/>
  <c r="AE126" i="8"/>
  <c r="BC126" i="8" s="1"/>
  <c r="AD126" i="8"/>
  <c r="BB126" i="8" s="1"/>
  <c r="AC126" i="8"/>
  <c r="BA126" i="8" s="1"/>
  <c r="AB126" i="8"/>
  <c r="AZ126" i="8" s="1"/>
  <c r="AA126" i="8"/>
  <c r="AY126" i="8" s="1"/>
  <c r="Z126" i="8"/>
  <c r="AX126" i="8" s="1"/>
  <c r="AW125" i="8"/>
  <c r="BU125" i="8" s="1"/>
  <c r="AV125" i="8"/>
  <c r="BT125" i="8" s="1"/>
  <c r="AU125" i="8"/>
  <c r="BS125" i="8" s="1"/>
  <c r="AT125" i="8"/>
  <c r="BR125" i="8" s="1"/>
  <c r="AS125" i="8"/>
  <c r="BQ125" i="8" s="1"/>
  <c r="AR125" i="8"/>
  <c r="BP125" i="8" s="1"/>
  <c r="AQ125" i="8"/>
  <c r="BO125" i="8" s="1"/>
  <c r="AP125" i="8"/>
  <c r="BN125" i="8" s="1"/>
  <c r="AO125" i="8"/>
  <c r="BM125" i="8" s="1"/>
  <c r="AN125" i="8"/>
  <c r="BL125" i="8" s="1"/>
  <c r="AM125" i="8"/>
  <c r="BK125" i="8" s="1"/>
  <c r="AL125" i="8"/>
  <c r="BJ125" i="8" s="1"/>
  <c r="AK125" i="8"/>
  <c r="BI125" i="8" s="1"/>
  <c r="AJ125" i="8"/>
  <c r="BH125" i="8" s="1"/>
  <c r="AI125" i="8"/>
  <c r="BG125" i="8" s="1"/>
  <c r="AH125" i="8"/>
  <c r="BF125" i="8" s="1"/>
  <c r="AG125" i="8"/>
  <c r="BE125" i="8" s="1"/>
  <c r="AF125" i="8"/>
  <c r="BD125" i="8" s="1"/>
  <c r="AE125" i="8"/>
  <c r="BC125" i="8" s="1"/>
  <c r="AD125" i="8"/>
  <c r="BB125" i="8" s="1"/>
  <c r="AC125" i="8"/>
  <c r="BA125" i="8" s="1"/>
  <c r="AB125" i="8"/>
  <c r="AZ125" i="8" s="1"/>
  <c r="AA125" i="8"/>
  <c r="AY125" i="8" s="1"/>
  <c r="Z125" i="8"/>
  <c r="AX125" i="8" s="1"/>
  <c r="AW124" i="8"/>
  <c r="BU124" i="8" s="1"/>
  <c r="AV124" i="8"/>
  <c r="BT124" i="8" s="1"/>
  <c r="AU124" i="8"/>
  <c r="BS124" i="8" s="1"/>
  <c r="AT124" i="8"/>
  <c r="BR124" i="8" s="1"/>
  <c r="AS124" i="8"/>
  <c r="BQ124" i="8" s="1"/>
  <c r="AR124" i="8"/>
  <c r="BP124" i="8" s="1"/>
  <c r="AQ124" i="8"/>
  <c r="BO124" i="8" s="1"/>
  <c r="AP124" i="8"/>
  <c r="BN124" i="8" s="1"/>
  <c r="AO124" i="8"/>
  <c r="BM124" i="8" s="1"/>
  <c r="AN124" i="8"/>
  <c r="BL124" i="8" s="1"/>
  <c r="AM124" i="8"/>
  <c r="BK124" i="8" s="1"/>
  <c r="AL124" i="8"/>
  <c r="BJ124" i="8" s="1"/>
  <c r="AK124" i="8"/>
  <c r="BI124" i="8" s="1"/>
  <c r="AJ124" i="8"/>
  <c r="BH124" i="8" s="1"/>
  <c r="AI124" i="8"/>
  <c r="BG124" i="8" s="1"/>
  <c r="AH124" i="8"/>
  <c r="BF124" i="8" s="1"/>
  <c r="AG124" i="8"/>
  <c r="BE124" i="8" s="1"/>
  <c r="AF124" i="8"/>
  <c r="BD124" i="8" s="1"/>
  <c r="AE124" i="8"/>
  <c r="BC124" i="8" s="1"/>
  <c r="AD124" i="8"/>
  <c r="BB124" i="8" s="1"/>
  <c r="AC124" i="8"/>
  <c r="BA124" i="8" s="1"/>
  <c r="AB124" i="8"/>
  <c r="AZ124" i="8" s="1"/>
  <c r="AA124" i="8"/>
  <c r="AY124" i="8" s="1"/>
  <c r="Z124" i="8"/>
  <c r="AX124" i="8" s="1"/>
  <c r="AW123" i="8"/>
  <c r="BU123" i="8" s="1"/>
  <c r="AV123" i="8"/>
  <c r="BT123" i="8" s="1"/>
  <c r="AU123" i="8"/>
  <c r="BS123" i="8" s="1"/>
  <c r="AT123" i="8"/>
  <c r="BR123" i="8" s="1"/>
  <c r="AS123" i="8"/>
  <c r="BQ123" i="8" s="1"/>
  <c r="AR123" i="8"/>
  <c r="BP123" i="8" s="1"/>
  <c r="AQ123" i="8"/>
  <c r="BO123" i="8" s="1"/>
  <c r="AP123" i="8"/>
  <c r="BN123" i="8" s="1"/>
  <c r="AO123" i="8"/>
  <c r="BM123" i="8" s="1"/>
  <c r="AN123" i="8"/>
  <c r="BL123" i="8" s="1"/>
  <c r="AM123" i="8"/>
  <c r="BK123" i="8" s="1"/>
  <c r="AL123" i="8"/>
  <c r="BJ123" i="8" s="1"/>
  <c r="AK123" i="8"/>
  <c r="BI123" i="8" s="1"/>
  <c r="AJ123" i="8"/>
  <c r="BH123" i="8" s="1"/>
  <c r="AI123" i="8"/>
  <c r="BG123" i="8" s="1"/>
  <c r="AH123" i="8"/>
  <c r="BF123" i="8" s="1"/>
  <c r="AG123" i="8"/>
  <c r="BE123" i="8" s="1"/>
  <c r="AF123" i="8"/>
  <c r="BD123" i="8" s="1"/>
  <c r="AE123" i="8"/>
  <c r="BC123" i="8" s="1"/>
  <c r="AD123" i="8"/>
  <c r="BB123" i="8" s="1"/>
  <c r="AC123" i="8"/>
  <c r="BA123" i="8" s="1"/>
  <c r="AB123" i="8"/>
  <c r="AZ123" i="8" s="1"/>
  <c r="AA123" i="8"/>
  <c r="AY123" i="8" s="1"/>
  <c r="Z123" i="8"/>
  <c r="AX123" i="8" s="1"/>
  <c r="AW122" i="8"/>
  <c r="BU122" i="8" s="1"/>
  <c r="AV122" i="8"/>
  <c r="BT122" i="8" s="1"/>
  <c r="AU122" i="8"/>
  <c r="BS122" i="8" s="1"/>
  <c r="AT122" i="8"/>
  <c r="BR122" i="8" s="1"/>
  <c r="AS122" i="8"/>
  <c r="BQ122" i="8" s="1"/>
  <c r="AR122" i="8"/>
  <c r="BP122" i="8" s="1"/>
  <c r="AQ122" i="8"/>
  <c r="BO122" i="8" s="1"/>
  <c r="AP122" i="8"/>
  <c r="BN122" i="8" s="1"/>
  <c r="AO122" i="8"/>
  <c r="BM122" i="8" s="1"/>
  <c r="AN122" i="8"/>
  <c r="BL122" i="8" s="1"/>
  <c r="AM122" i="8"/>
  <c r="BK122" i="8" s="1"/>
  <c r="AL122" i="8"/>
  <c r="BJ122" i="8" s="1"/>
  <c r="AK122" i="8"/>
  <c r="BI122" i="8" s="1"/>
  <c r="AJ122" i="8"/>
  <c r="BH122" i="8" s="1"/>
  <c r="AI122" i="8"/>
  <c r="BG122" i="8" s="1"/>
  <c r="AH122" i="8"/>
  <c r="BF122" i="8" s="1"/>
  <c r="AG122" i="8"/>
  <c r="BE122" i="8" s="1"/>
  <c r="AF122" i="8"/>
  <c r="BD122" i="8" s="1"/>
  <c r="AE122" i="8"/>
  <c r="BC122" i="8" s="1"/>
  <c r="AD122" i="8"/>
  <c r="BB122" i="8" s="1"/>
  <c r="AC122" i="8"/>
  <c r="BA122" i="8" s="1"/>
  <c r="AB122" i="8"/>
  <c r="AZ122" i="8" s="1"/>
  <c r="AA122" i="8"/>
  <c r="AY122" i="8" s="1"/>
  <c r="Z122" i="8"/>
  <c r="AX122" i="8" s="1"/>
  <c r="AW121" i="8"/>
  <c r="BU121" i="8" s="1"/>
  <c r="AV121" i="8"/>
  <c r="BT121" i="8" s="1"/>
  <c r="AU121" i="8"/>
  <c r="BS121" i="8" s="1"/>
  <c r="AT121" i="8"/>
  <c r="BR121" i="8" s="1"/>
  <c r="AS121" i="8"/>
  <c r="BQ121" i="8" s="1"/>
  <c r="AR121" i="8"/>
  <c r="BP121" i="8" s="1"/>
  <c r="AQ121" i="8"/>
  <c r="BO121" i="8" s="1"/>
  <c r="AP121" i="8"/>
  <c r="BN121" i="8" s="1"/>
  <c r="AO121" i="8"/>
  <c r="BM121" i="8" s="1"/>
  <c r="AN121" i="8"/>
  <c r="BL121" i="8" s="1"/>
  <c r="AM121" i="8"/>
  <c r="BK121" i="8" s="1"/>
  <c r="AL121" i="8"/>
  <c r="BJ121" i="8" s="1"/>
  <c r="AK121" i="8"/>
  <c r="BI121" i="8" s="1"/>
  <c r="AJ121" i="8"/>
  <c r="BH121" i="8" s="1"/>
  <c r="AI121" i="8"/>
  <c r="BG121" i="8" s="1"/>
  <c r="AH121" i="8"/>
  <c r="BF121" i="8" s="1"/>
  <c r="AG121" i="8"/>
  <c r="BE121" i="8" s="1"/>
  <c r="AF121" i="8"/>
  <c r="BD121" i="8" s="1"/>
  <c r="AE121" i="8"/>
  <c r="BC121" i="8" s="1"/>
  <c r="AD121" i="8"/>
  <c r="BB121" i="8" s="1"/>
  <c r="AC121" i="8"/>
  <c r="BA121" i="8" s="1"/>
  <c r="AB121" i="8"/>
  <c r="AZ121" i="8" s="1"/>
  <c r="AA121" i="8"/>
  <c r="AY121" i="8" s="1"/>
  <c r="Z121" i="8"/>
  <c r="AX121" i="8" s="1"/>
  <c r="AW120" i="8"/>
  <c r="BU120" i="8" s="1"/>
  <c r="AV120" i="8"/>
  <c r="BT120" i="8" s="1"/>
  <c r="AU120" i="8"/>
  <c r="BS120" i="8" s="1"/>
  <c r="AT120" i="8"/>
  <c r="BR120" i="8" s="1"/>
  <c r="AS120" i="8"/>
  <c r="BQ120" i="8" s="1"/>
  <c r="AR120" i="8"/>
  <c r="BP120" i="8" s="1"/>
  <c r="AQ120" i="8"/>
  <c r="BO120" i="8" s="1"/>
  <c r="AP120" i="8"/>
  <c r="BN120" i="8" s="1"/>
  <c r="AO120" i="8"/>
  <c r="BM120" i="8" s="1"/>
  <c r="AN120" i="8"/>
  <c r="BL120" i="8" s="1"/>
  <c r="AM120" i="8"/>
  <c r="BK120" i="8" s="1"/>
  <c r="AL120" i="8"/>
  <c r="BJ120" i="8" s="1"/>
  <c r="AK120" i="8"/>
  <c r="BI120" i="8" s="1"/>
  <c r="AJ120" i="8"/>
  <c r="BH120" i="8" s="1"/>
  <c r="AI120" i="8"/>
  <c r="BG120" i="8" s="1"/>
  <c r="AH120" i="8"/>
  <c r="BF120" i="8" s="1"/>
  <c r="AG120" i="8"/>
  <c r="BE120" i="8" s="1"/>
  <c r="AF120" i="8"/>
  <c r="BD120" i="8" s="1"/>
  <c r="AE120" i="8"/>
  <c r="BC120" i="8" s="1"/>
  <c r="AD120" i="8"/>
  <c r="BB120" i="8" s="1"/>
  <c r="AC120" i="8"/>
  <c r="BA120" i="8" s="1"/>
  <c r="AB120" i="8"/>
  <c r="AZ120" i="8" s="1"/>
  <c r="AA120" i="8"/>
  <c r="AY120" i="8" s="1"/>
  <c r="Z120" i="8"/>
  <c r="AX120" i="8" s="1"/>
  <c r="AW119" i="8"/>
  <c r="BU119" i="8" s="1"/>
  <c r="AV119" i="8"/>
  <c r="BT119" i="8" s="1"/>
  <c r="AU119" i="8"/>
  <c r="BS119" i="8" s="1"/>
  <c r="AT119" i="8"/>
  <c r="BR119" i="8" s="1"/>
  <c r="AS119" i="8"/>
  <c r="BQ119" i="8" s="1"/>
  <c r="AR119" i="8"/>
  <c r="BP119" i="8" s="1"/>
  <c r="AQ119" i="8"/>
  <c r="BO119" i="8" s="1"/>
  <c r="AP119" i="8"/>
  <c r="BN119" i="8" s="1"/>
  <c r="AO119" i="8"/>
  <c r="BM119" i="8" s="1"/>
  <c r="AN119" i="8"/>
  <c r="BL119" i="8" s="1"/>
  <c r="AM119" i="8"/>
  <c r="BK119" i="8" s="1"/>
  <c r="AL119" i="8"/>
  <c r="BJ119" i="8" s="1"/>
  <c r="AK119" i="8"/>
  <c r="BI119" i="8" s="1"/>
  <c r="AJ119" i="8"/>
  <c r="BH119" i="8" s="1"/>
  <c r="AI119" i="8"/>
  <c r="BG119" i="8" s="1"/>
  <c r="AH119" i="8"/>
  <c r="BF119" i="8" s="1"/>
  <c r="AG119" i="8"/>
  <c r="BE119" i="8" s="1"/>
  <c r="AF119" i="8"/>
  <c r="BD119" i="8" s="1"/>
  <c r="AE119" i="8"/>
  <c r="BC119" i="8" s="1"/>
  <c r="AD119" i="8"/>
  <c r="BB119" i="8" s="1"/>
  <c r="AC119" i="8"/>
  <c r="BA119" i="8" s="1"/>
  <c r="AB119" i="8"/>
  <c r="AZ119" i="8" s="1"/>
  <c r="AA119" i="8"/>
  <c r="AY119" i="8" s="1"/>
  <c r="Z119" i="8"/>
  <c r="AX119" i="8" s="1"/>
  <c r="AW118" i="8"/>
  <c r="BU118" i="8" s="1"/>
  <c r="AV118" i="8"/>
  <c r="BT118" i="8" s="1"/>
  <c r="AU118" i="8"/>
  <c r="BS118" i="8" s="1"/>
  <c r="AT118" i="8"/>
  <c r="BR118" i="8" s="1"/>
  <c r="AS118" i="8"/>
  <c r="BQ118" i="8" s="1"/>
  <c r="AR118" i="8"/>
  <c r="BP118" i="8" s="1"/>
  <c r="AQ118" i="8"/>
  <c r="BO118" i="8" s="1"/>
  <c r="AP118" i="8"/>
  <c r="BN118" i="8" s="1"/>
  <c r="AO118" i="8"/>
  <c r="BM118" i="8" s="1"/>
  <c r="AN118" i="8"/>
  <c r="BL118" i="8" s="1"/>
  <c r="AM118" i="8"/>
  <c r="BK118" i="8" s="1"/>
  <c r="AL118" i="8"/>
  <c r="BJ118" i="8" s="1"/>
  <c r="AK118" i="8"/>
  <c r="BI118" i="8" s="1"/>
  <c r="AJ118" i="8"/>
  <c r="BH118" i="8" s="1"/>
  <c r="AI118" i="8"/>
  <c r="BG118" i="8" s="1"/>
  <c r="AH118" i="8"/>
  <c r="BF118" i="8" s="1"/>
  <c r="AG118" i="8"/>
  <c r="BE118" i="8" s="1"/>
  <c r="AF118" i="8"/>
  <c r="BD118" i="8" s="1"/>
  <c r="AE118" i="8"/>
  <c r="BC118" i="8" s="1"/>
  <c r="AD118" i="8"/>
  <c r="BB118" i="8" s="1"/>
  <c r="AC118" i="8"/>
  <c r="BA118" i="8" s="1"/>
  <c r="AB118" i="8"/>
  <c r="AZ118" i="8" s="1"/>
  <c r="AA118" i="8"/>
  <c r="AY118" i="8" s="1"/>
  <c r="Z118" i="8"/>
  <c r="AX118" i="8" s="1"/>
  <c r="AW117" i="8"/>
  <c r="BU117" i="8" s="1"/>
  <c r="AV117" i="8"/>
  <c r="BT117" i="8" s="1"/>
  <c r="AU117" i="8"/>
  <c r="BS117" i="8" s="1"/>
  <c r="AT117" i="8"/>
  <c r="BR117" i="8" s="1"/>
  <c r="AS117" i="8"/>
  <c r="BQ117" i="8" s="1"/>
  <c r="AR117" i="8"/>
  <c r="BP117" i="8" s="1"/>
  <c r="AQ117" i="8"/>
  <c r="BO117" i="8" s="1"/>
  <c r="AP117" i="8"/>
  <c r="BN117" i="8" s="1"/>
  <c r="AO117" i="8"/>
  <c r="BM117" i="8" s="1"/>
  <c r="AN117" i="8"/>
  <c r="BL117" i="8" s="1"/>
  <c r="AM117" i="8"/>
  <c r="BK117" i="8" s="1"/>
  <c r="AL117" i="8"/>
  <c r="BJ117" i="8" s="1"/>
  <c r="AK117" i="8"/>
  <c r="BI117" i="8" s="1"/>
  <c r="AJ117" i="8"/>
  <c r="BH117" i="8" s="1"/>
  <c r="AI117" i="8"/>
  <c r="BG117" i="8" s="1"/>
  <c r="AH117" i="8"/>
  <c r="BF117" i="8" s="1"/>
  <c r="AG117" i="8"/>
  <c r="BE117" i="8" s="1"/>
  <c r="AF117" i="8"/>
  <c r="BD117" i="8" s="1"/>
  <c r="AE117" i="8"/>
  <c r="BC117" i="8" s="1"/>
  <c r="AD117" i="8"/>
  <c r="BB117" i="8" s="1"/>
  <c r="AC117" i="8"/>
  <c r="BA117" i="8" s="1"/>
  <c r="AB117" i="8"/>
  <c r="AZ117" i="8" s="1"/>
  <c r="AA117" i="8"/>
  <c r="AY117" i="8" s="1"/>
  <c r="Z117" i="8"/>
  <c r="AX117" i="8" s="1"/>
  <c r="AW116" i="8"/>
  <c r="BU116" i="8" s="1"/>
  <c r="AV116" i="8"/>
  <c r="BT116" i="8" s="1"/>
  <c r="AU116" i="8"/>
  <c r="BS116" i="8" s="1"/>
  <c r="AT116" i="8"/>
  <c r="BR116" i="8" s="1"/>
  <c r="AS116" i="8"/>
  <c r="BQ116" i="8" s="1"/>
  <c r="AR116" i="8"/>
  <c r="BP116" i="8" s="1"/>
  <c r="AQ116" i="8"/>
  <c r="BO116" i="8" s="1"/>
  <c r="AP116" i="8"/>
  <c r="BN116" i="8" s="1"/>
  <c r="AO116" i="8"/>
  <c r="BM116" i="8" s="1"/>
  <c r="AN116" i="8"/>
  <c r="BL116" i="8" s="1"/>
  <c r="AM116" i="8"/>
  <c r="BK116" i="8" s="1"/>
  <c r="AL116" i="8"/>
  <c r="BJ116" i="8" s="1"/>
  <c r="AK116" i="8"/>
  <c r="BI116" i="8" s="1"/>
  <c r="AJ116" i="8"/>
  <c r="BH116" i="8" s="1"/>
  <c r="AI116" i="8"/>
  <c r="BG116" i="8" s="1"/>
  <c r="AH116" i="8"/>
  <c r="BF116" i="8" s="1"/>
  <c r="AG116" i="8"/>
  <c r="BE116" i="8" s="1"/>
  <c r="AF116" i="8"/>
  <c r="BD116" i="8" s="1"/>
  <c r="AE116" i="8"/>
  <c r="BC116" i="8" s="1"/>
  <c r="AD116" i="8"/>
  <c r="BB116" i="8" s="1"/>
  <c r="AC116" i="8"/>
  <c r="BA116" i="8" s="1"/>
  <c r="AB116" i="8"/>
  <c r="AZ116" i="8" s="1"/>
  <c r="AA116" i="8"/>
  <c r="AY116" i="8" s="1"/>
  <c r="Z116" i="8"/>
  <c r="AX116" i="8" s="1"/>
  <c r="AW115" i="8"/>
  <c r="BU115" i="8" s="1"/>
  <c r="AV115" i="8"/>
  <c r="BT115" i="8" s="1"/>
  <c r="AU115" i="8"/>
  <c r="BS115" i="8" s="1"/>
  <c r="AT115" i="8"/>
  <c r="BR115" i="8" s="1"/>
  <c r="AS115" i="8"/>
  <c r="BQ115" i="8" s="1"/>
  <c r="AR115" i="8"/>
  <c r="BP115" i="8" s="1"/>
  <c r="AQ115" i="8"/>
  <c r="BO115" i="8" s="1"/>
  <c r="AP115" i="8"/>
  <c r="BN115" i="8" s="1"/>
  <c r="AO115" i="8"/>
  <c r="BM115" i="8" s="1"/>
  <c r="AN115" i="8"/>
  <c r="BL115" i="8" s="1"/>
  <c r="AM115" i="8"/>
  <c r="BK115" i="8" s="1"/>
  <c r="AL115" i="8"/>
  <c r="BJ115" i="8" s="1"/>
  <c r="AK115" i="8"/>
  <c r="BI115" i="8" s="1"/>
  <c r="AJ115" i="8"/>
  <c r="BH115" i="8" s="1"/>
  <c r="AI115" i="8"/>
  <c r="BG115" i="8" s="1"/>
  <c r="AH115" i="8"/>
  <c r="BF115" i="8" s="1"/>
  <c r="AG115" i="8"/>
  <c r="BE115" i="8" s="1"/>
  <c r="AF115" i="8"/>
  <c r="BD115" i="8" s="1"/>
  <c r="AE115" i="8"/>
  <c r="BC115" i="8" s="1"/>
  <c r="AD115" i="8"/>
  <c r="BB115" i="8" s="1"/>
  <c r="AC115" i="8"/>
  <c r="BA115" i="8" s="1"/>
  <c r="AB115" i="8"/>
  <c r="AZ115" i="8" s="1"/>
  <c r="AA115" i="8"/>
  <c r="AY115" i="8" s="1"/>
  <c r="Z115" i="8"/>
  <c r="AX115" i="8" s="1"/>
  <c r="AW114" i="8"/>
  <c r="BU114" i="8" s="1"/>
  <c r="AV114" i="8"/>
  <c r="BT114" i="8" s="1"/>
  <c r="AU114" i="8"/>
  <c r="BS114" i="8" s="1"/>
  <c r="AT114" i="8"/>
  <c r="BR114" i="8" s="1"/>
  <c r="AS114" i="8"/>
  <c r="BQ114" i="8" s="1"/>
  <c r="AR114" i="8"/>
  <c r="BP114" i="8" s="1"/>
  <c r="AQ114" i="8"/>
  <c r="BO114" i="8" s="1"/>
  <c r="AP114" i="8"/>
  <c r="BN114" i="8" s="1"/>
  <c r="AO114" i="8"/>
  <c r="BM114" i="8" s="1"/>
  <c r="AN114" i="8"/>
  <c r="BL114" i="8" s="1"/>
  <c r="AM114" i="8"/>
  <c r="BK114" i="8" s="1"/>
  <c r="AL114" i="8"/>
  <c r="BJ114" i="8" s="1"/>
  <c r="AK114" i="8"/>
  <c r="BI114" i="8" s="1"/>
  <c r="AJ114" i="8"/>
  <c r="BH114" i="8" s="1"/>
  <c r="AI114" i="8"/>
  <c r="BG114" i="8" s="1"/>
  <c r="AH114" i="8"/>
  <c r="BF114" i="8" s="1"/>
  <c r="AG114" i="8"/>
  <c r="BE114" i="8" s="1"/>
  <c r="AF114" i="8"/>
  <c r="BD114" i="8" s="1"/>
  <c r="AE114" i="8"/>
  <c r="BC114" i="8" s="1"/>
  <c r="AD114" i="8"/>
  <c r="BB114" i="8" s="1"/>
  <c r="AC114" i="8"/>
  <c r="BA114" i="8" s="1"/>
  <c r="AB114" i="8"/>
  <c r="AZ114" i="8" s="1"/>
  <c r="AA114" i="8"/>
  <c r="AY114" i="8" s="1"/>
  <c r="Z114" i="8"/>
  <c r="AX114" i="8" s="1"/>
  <c r="AW113" i="8"/>
  <c r="BU113" i="8" s="1"/>
  <c r="AV113" i="8"/>
  <c r="BT113" i="8" s="1"/>
  <c r="AU113" i="8"/>
  <c r="BS113" i="8" s="1"/>
  <c r="AT113" i="8"/>
  <c r="BR113" i="8" s="1"/>
  <c r="AS113" i="8"/>
  <c r="BQ113" i="8" s="1"/>
  <c r="AR113" i="8"/>
  <c r="BP113" i="8" s="1"/>
  <c r="AQ113" i="8"/>
  <c r="BO113" i="8" s="1"/>
  <c r="AP113" i="8"/>
  <c r="BN113" i="8" s="1"/>
  <c r="AO113" i="8"/>
  <c r="BM113" i="8" s="1"/>
  <c r="AN113" i="8"/>
  <c r="BL113" i="8" s="1"/>
  <c r="AM113" i="8"/>
  <c r="BK113" i="8" s="1"/>
  <c r="AL113" i="8"/>
  <c r="BJ113" i="8" s="1"/>
  <c r="AK113" i="8"/>
  <c r="BI113" i="8" s="1"/>
  <c r="AJ113" i="8"/>
  <c r="BH113" i="8" s="1"/>
  <c r="AI113" i="8"/>
  <c r="BG113" i="8" s="1"/>
  <c r="AH113" i="8"/>
  <c r="BF113" i="8" s="1"/>
  <c r="AG113" i="8"/>
  <c r="BE113" i="8" s="1"/>
  <c r="AF113" i="8"/>
  <c r="BD113" i="8" s="1"/>
  <c r="AE113" i="8"/>
  <c r="BC113" i="8" s="1"/>
  <c r="AD113" i="8"/>
  <c r="BB113" i="8" s="1"/>
  <c r="AC113" i="8"/>
  <c r="BA113" i="8" s="1"/>
  <c r="AB113" i="8"/>
  <c r="AZ113" i="8" s="1"/>
  <c r="AA113" i="8"/>
  <c r="AY113" i="8" s="1"/>
  <c r="Z113" i="8"/>
  <c r="AX113" i="8" s="1"/>
  <c r="AW112" i="8"/>
  <c r="BU112" i="8" s="1"/>
  <c r="AV112" i="8"/>
  <c r="BT112" i="8" s="1"/>
  <c r="AU112" i="8"/>
  <c r="BS112" i="8" s="1"/>
  <c r="AT112" i="8"/>
  <c r="BR112" i="8" s="1"/>
  <c r="AS112" i="8"/>
  <c r="BQ112" i="8" s="1"/>
  <c r="AR112" i="8"/>
  <c r="BP112" i="8" s="1"/>
  <c r="AQ112" i="8"/>
  <c r="BO112" i="8" s="1"/>
  <c r="AP112" i="8"/>
  <c r="BN112" i="8" s="1"/>
  <c r="AO112" i="8"/>
  <c r="BM112" i="8" s="1"/>
  <c r="AN112" i="8"/>
  <c r="BL112" i="8" s="1"/>
  <c r="AM112" i="8"/>
  <c r="BK112" i="8" s="1"/>
  <c r="AL112" i="8"/>
  <c r="BJ112" i="8" s="1"/>
  <c r="AK112" i="8"/>
  <c r="BI112" i="8" s="1"/>
  <c r="AJ112" i="8"/>
  <c r="BH112" i="8" s="1"/>
  <c r="AI112" i="8"/>
  <c r="BG112" i="8" s="1"/>
  <c r="AH112" i="8"/>
  <c r="BF112" i="8" s="1"/>
  <c r="AG112" i="8"/>
  <c r="BE112" i="8" s="1"/>
  <c r="AF112" i="8"/>
  <c r="BD112" i="8" s="1"/>
  <c r="AE112" i="8"/>
  <c r="BC112" i="8" s="1"/>
  <c r="AD112" i="8"/>
  <c r="BB112" i="8" s="1"/>
  <c r="AC112" i="8"/>
  <c r="BA112" i="8" s="1"/>
  <c r="AB112" i="8"/>
  <c r="AZ112" i="8" s="1"/>
  <c r="AA112" i="8"/>
  <c r="AY112" i="8" s="1"/>
  <c r="Z112" i="8"/>
  <c r="AX112" i="8" s="1"/>
  <c r="AW111" i="8"/>
  <c r="BU111" i="8" s="1"/>
  <c r="AV111" i="8"/>
  <c r="BT111" i="8" s="1"/>
  <c r="AU111" i="8"/>
  <c r="BS111" i="8" s="1"/>
  <c r="AT111" i="8"/>
  <c r="BR111" i="8" s="1"/>
  <c r="AS111" i="8"/>
  <c r="BQ111" i="8" s="1"/>
  <c r="AR111" i="8"/>
  <c r="BP111" i="8" s="1"/>
  <c r="AQ111" i="8"/>
  <c r="BO111" i="8" s="1"/>
  <c r="AP111" i="8"/>
  <c r="BN111" i="8" s="1"/>
  <c r="AO111" i="8"/>
  <c r="BM111" i="8" s="1"/>
  <c r="AN111" i="8"/>
  <c r="BL111" i="8" s="1"/>
  <c r="AM111" i="8"/>
  <c r="BK111" i="8" s="1"/>
  <c r="AL111" i="8"/>
  <c r="BJ111" i="8" s="1"/>
  <c r="AK111" i="8"/>
  <c r="BI111" i="8" s="1"/>
  <c r="AJ111" i="8"/>
  <c r="BH111" i="8" s="1"/>
  <c r="AI111" i="8"/>
  <c r="BG111" i="8" s="1"/>
  <c r="AH111" i="8"/>
  <c r="BF111" i="8" s="1"/>
  <c r="AG111" i="8"/>
  <c r="BE111" i="8" s="1"/>
  <c r="AF111" i="8"/>
  <c r="BD111" i="8" s="1"/>
  <c r="AE111" i="8"/>
  <c r="BC111" i="8" s="1"/>
  <c r="AD111" i="8"/>
  <c r="BB111" i="8" s="1"/>
  <c r="AC111" i="8"/>
  <c r="BA111" i="8" s="1"/>
  <c r="AB111" i="8"/>
  <c r="AZ111" i="8" s="1"/>
  <c r="AA111" i="8"/>
  <c r="AY111" i="8" s="1"/>
  <c r="Z111" i="8"/>
  <c r="AX111" i="8" s="1"/>
  <c r="AW110" i="8"/>
  <c r="BU110" i="8" s="1"/>
  <c r="AV110" i="8"/>
  <c r="BT110" i="8" s="1"/>
  <c r="AU110" i="8"/>
  <c r="BS110" i="8" s="1"/>
  <c r="AT110" i="8"/>
  <c r="BR110" i="8" s="1"/>
  <c r="AS110" i="8"/>
  <c r="BQ110" i="8" s="1"/>
  <c r="AR110" i="8"/>
  <c r="BP110" i="8" s="1"/>
  <c r="AQ110" i="8"/>
  <c r="BO110" i="8" s="1"/>
  <c r="AP110" i="8"/>
  <c r="BN110" i="8" s="1"/>
  <c r="AO110" i="8"/>
  <c r="BM110" i="8" s="1"/>
  <c r="AN110" i="8"/>
  <c r="BL110" i="8" s="1"/>
  <c r="AM110" i="8"/>
  <c r="BK110" i="8" s="1"/>
  <c r="AL110" i="8"/>
  <c r="BJ110" i="8" s="1"/>
  <c r="AK110" i="8"/>
  <c r="BI110" i="8" s="1"/>
  <c r="AJ110" i="8"/>
  <c r="BH110" i="8" s="1"/>
  <c r="AI110" i="8"/>
  <c r="BG110" i="8" s="1"/>
  <c r="AH110" i="8"/>
  <c r="BF110" i="8" s="1"/>
  <c r="AG110" i="8"/>
  <c r="BE110" i="8" s="1"/>
  <c r="AF110" i="8"/>
  <c r="BD110" i="8" s="1"/>
  <c r="AE110" i="8"/>
  <c r="BC110" i="8" s="1"/>
  <c r="AD110" i="8"/>
  <c r="BB110" i="8" s="1"/>
  <c r="AC110" i="8"/>
  <c r="BA110" i="8" s="1"/>
  <c r="AB110" i="8"/>
  <c r="AZ110" i="8" s="1"/>
  <c r="AA110" i="8"/>
  <c r="AY110" i="8" s="1"/>
  <c r="Z110" i="8"/>
  <c r="AX110" i="8" s="1"/>
  <c r="AW109" i="8"/>
  <c r="BU109" i="8" s="1"/>
  <c r="AV109" i="8"/>
  <c r="BT109" i="8" s="1"/>
  <c r="AU109" i="8"/>
  <c r="BS109" i="8" s="1"/>
  <c r="AT109" i="8"/>
  <c r="BR109" i="8" s="1"/>
  <c r="AS109" i="8"/>
  <c r="BQ109" i="8" s="1"/>
  <c r="AR109" i="8"/>
  <c r="BP109" i="8" s="1"/>
  <c r="AQ109" i="8"/>
  <c r="BO109" i="8" s="1"/>
  <c r="AP109" i="8"/>
  <c r="BN109" i="8" s="1"/>
  <c r="AO109" i="8"/>
  <c r="BM109" i="8" s="1"/>
  <c r="AN109" i="8"/>
  <c r="BL109" i="8" s="1"/>
  <c r="AM109" i="8"/>
  <c r="BK109" i="8" s="1"/>
  <c r="AL109" i="8"/>
  <c r="BJ109" i="8" s="1"/>
  <c r="AK109" i="8"/>
  <c r="BI109" i="8" s="1"/>
  <c r="AJ109" i="8"/>
  <c r="BH109" i="8" s="1"/>
  <c r="AI109" i="8"/>
  <c r="BG109" i="8" s="1"/>
  <c r="AH109" i="8"/>
  <c r="BF109" i="8" s="1"/>
  <c r="AG109" i="8"/>
  <c r="BE109" i="8" s="1"/>
  <c r="AF109" i="8"/>
  <c r="BD109" i="8" s="1"/>
  <c r="AE109" i="8"/>
  <c r="BC109" i="8" s="1"/>
  <c r="AD109" i="8"/>
  <c r="BB109" i="8" s="1"/>
  <c r="AC109" i="8"/>
  <c r="BA109" i="8" s="1"/>
  <c r="AB109" i="8"/>
  <c r="AZ109" i="8" s="1"/>
  <c r="AA109" i="8"/>
  <c r="AY109" i="8" s="1"/>
  <c r="Z109" i="8"/>
  <c r="AX109" i="8" s="1"/>
  <c r="AW108" i="8"/>
  <c r="BU108" i="8" s="1"/>
  <c r="AV108" i="8"/>
  <c r="BT108" i="8" s="1"/>
  <c r="AU108" i="8"/>
  <c r="BS108" i="8" s="1"/>
  <c r="AT108" i="8"/>
  <c r="BR108" i="8" s="1"/>
  <c r="AS108" i="8"/>
  <c r="BQ108" i="8" s="1"/>
  <c r="AR108" i="8"/>
  <c r="BP108" i="8" s="1"/>
  <c r="AQ108" i="8"/>
  <c r="BO108" i="8" s="1"/>
  <c r="AP108" i="8"/>
  <c r="BN108" i="8" s="1"/>
  <c r="AO108" i="8"/>
  <c r="BM108" i="8" s="1"/>
  <c r="AN108" i="8"/>
  <c r="BL108" i="8" s="1"/>
  <c r="AM108" i="8"/>
  <c r="BK108" i="8" s="1"/>
  <c r="AL108" i="8"/>
  <c r="BJ108" i="8" s="1"/>
  <c r="AK108" i="8"/>
  <c r="BI108" i="8" s="1"/>
  <c r="AJ108" i="8"/>
  <c r="BH108" i="8" s="1"/>
  <c r="AI108" i="8"/>
  <c r="BG108" i="8" s="1"/>
  <c r="AH108" i="8"/>
  <c r="BF108" i="8" s="1"/>
  <c r="AG108" i="8"/>
  <c r="BE108" i="8" s="1"/>
  <c r="AF108" i="8"/>
  <c r="BD108" i="8" s="1"/>
  <c r="AE108" i="8"/>
  <c r="BC108" i="8" s="1"/>
  <c r="AD108" i="8"/>
  <c r="BB108" i="8" s="1"/>
  <c r="AC108" i="8"/>
  <c r="BA108" i="8" s="1"/>
  <c r="AB108" i="8"/>
  <c r="AZ108" i="8" s="1"/>
  <c r="AA108" i="8"/>
  <c r="AY108" i="8" s="1"/>
  <c r="Z108" i="8"/>
  <c r="AX108" i="8" s="1"/>
  <c r="AW107" i="8"/>
  <c r="BU107" i="8" s="1"/>
  <c r="AV107" i="8"/>
  <c r="BT107" i="8" s="1"/>
  <c r="AU107" i="8"/>
  <c r="BS107" i="8" s="1"/>
  <c r="AT107" i="8"/>
  <c r="BR107" i="8" s="1"/>
  <c r="AS107" i="8"/>
  <c r="BQ107" i="8" s="1"/>
  <c r="AR107" i="8"/>
  <c r="BP107" i="8" s="1"/>
  <c r="AQ107" i="8"/>
  <c r="BO107" i="8" s="1"/>
  <c r="AP107" i="8"/>
  <c r="BN107" i="8" s="1"/>
  <c r="AO107" i="8"/>
  <c r="BM107" i="8" s="1"/>
  <c r="AN107" i="8"/>
  <c r="BL107" i="8" s="1"/>
  <c r="AM107" i="8"/>
  <c r="BK107" i="8" s="1"/>
  <c r="AL107" i="8"/>
  <c r="BJ107" i="8" s="1"/>
  <c r="AK107" i="8"/>
  <c r="BI107" i="8" s="1"/>
  <c r="AJ107" i="8"/>
  <c r="BH107" i="8" s="1"/>
  <c r="AI107" i="8"/>
  <c r="BG107" i="8" s="1"/>
  <c r="AH107" i="8"/>
  <c r="BF107" i="8" s="1"/>
  <c r="AG107" i="8"/>
  <c r="BE107" i="8" s="1"/>
  <c r="AF107" i="8"/>
  <c r="BD107" i="8" s="1"/>
  <c r="AE107" i="8"/>
  <c r="BC107" i="8" s="1"/>
  <c r="AD107" i="8"/>
  <c r="BB107" i="8" s="1"/>
  <c r="AC107" i="8"/>
  <c r="BA107" i="8" s="1"/>
  <c r="AB107" i="8"/>
  <c r="AZ107" i="8" s="1"/>
  <c r="AA107" i="8"/>
  <c r="AY107" i="8" s="1"/>
  <c r="Z107" i="8"/>
  <c r="AX107" i="8" s="1"/>
  <c r="AW106" i="8"/>
  <c r="BU106" i="8" s="1"/>
  <c r="AV106" i="8"/>
  <c r="BT106" i="8" s="1"/>
  <c r="AU106" i="8"/>
  <c r="BS106" i="8" s="1"/>
  <c r="AT106" i="8"/>
  <c r="BR106" i="8" s="1"/>
  <c r="AS106" i="8"/>
  <c r="BQ106" i="8" s="1"/>
  <c r="AR106" i="8"/>
  <c r="BP106" i="8" s="1"/>
  <c r="AQ106" i="8"/>
  <c r="BO106" i="8" s="1"/>
  <c r="AP106" i="8"/>
  <c r="BN106" i="8" s="1"/>
  <c r="AO106" i="8"/>
  <c r="BM106" i="8" s="1"/>
  <c r="AN106" i="8"/>
  <c r="BL106" i="8" s="1"/>
  <c r="AM106" i="8"/>
  <c r="BK106" i="8" s="1"/>
  <c r="AL106" i="8"/>
  <c r="BJ106" i="8" s="1"/>
  <c r="AK106" i="8"/>
  <c r="BI106" i="8" s="1"/>
  <c r="AJ106" i="8"/>
  <c r="BH106" i="8" s="1"/>
  <c r="AI106" i="8"/>
  <c r="BG106" i="8" s="1"/>
  <c r="AH106" i="8"/>
  <c r="BF106" i="8" s="1"/>
  <c r="AG106" i="8"/>
  <c r="BE106" i="8" s="1"/>
  <c r="AF106" i="8"/>
  <c r="BD106" i="8" s="1"/>
  <c r="AE106" i="8"/>
  <c r="BC106" i="8" s="1"/>
  <c r="AD106" i="8"/>
  <c r="BB106" i="8" s="1"/>
  <c r="AC106" i="8"/>
  <c r="BA106" i="8" s="1"/>
  <c r="AB106" i="8"/>
  <c r="AZ106" i="8" s="1"/>
  <c r="AA106" i="8"/>
  <c r="AY106" i="8" s="1"/>
  <c r="Z106" i="8"/>
  <c r="AX106" i="8" s="1"/>
  <c r="AW105" i="8"/>
  <c r="BU105" i="8" s="1"/>
  <c r="AV105" i="8"/>
  <c r="BT105" i="8" s="1"/>
  <c r="AU105" i="8"/>
  <c r="BS105" i="8" s="1"/>
  <c r="AT105" i="8"/>
  <c r="BR105" i="8" s="1"/>
  <c r="AS105" i="8"/>
  <c r="BQ105" i="8" s="1"/>
  <c r="AR105" i="8"/>
  <c r="BP105" i="8" s="1"/>
  <c r="AQ105" i="8"/>
  <c r="BO105" i="8" s="1"/>
  <c r="AP105" i="8"/>
  <c r="BN105" i="8" s="1"/>
  <c r="AO105" i="8"/>
  <c r="BM105" i="8" s="1"/>
  <c r="AN105" i="8"/>
  <c r="BL105" i="8" s="1"/>
  <c r="AM105" i="8"/>
  <c r="BK105" i="8" s="1"/>
  <c r="AL105" i="8"/>
  <c r="BJ105" i="8" s="1"/>
  <c r="AK105" i="8"/>
  <c r="BI105" i="8" s="1"/>
  <c r="AJ105" i="8"/>
  <c r="BH105" i="8" s="1"/>
  <c r="AI105" i="8"/>
  <c r="BG105" i="8" s="1"/>
  <c r="AH105" i="8"/>
  <c r="BF105" i="8" s="1"/>
  <c r="AG105" i="8"/>
  <c r="BE105" i="8" s="1"/>
  <c r="AF105" i="8"/>
  <c r="BD105" i="8" s="1"/>
  <c r="AE105" i="8"/>
  <c r="BC105" i="8" s="1"/>
  <c r="AD105" i="8"/>
  <c r="BB105" i="8" s="1"/>
  <c r="AC105" i="8"/>
  <c r="BA105" i="8" s="1"/>
  <c r="AB105" i="8"/>
  <c r="AZ105" i="8" s="1"/>
  <c r="AA105" i="8"/>
  <c r="AY105" i="8" s="1"/>
  <c r="Z105" i="8"/>
  <c r="AX105" i="8" s="1"/>
  <c r="AW104" i="8"/>
  <c r="BU104" i="8" s="1"/>
  <c r="AV104" i="8"/>
  <c r="BT104" i="8" s="1"/>
  <c r="AU104" i="8"/>
  <c r="BS104" i="8" s="1"/>
  <c r="AT104" i="8"/>
  <c r="BR104" i="8" s="1"/>
  <c r="AS104" i="8"/>
  <c r="BQ104" i="8" s="1"/>
  <c r="AR104" i="8"/>
  <c r="BP104" i="8" s="1"/>
  <c r="AQ104" i="8"/>
  <c r="BO104" i="8" s="1"/>
  <c r="AP104" i="8"/>
  <c r="BN104" i="8" s="1"/>
  <c r="AO104" i="8"/>
  <c r="BM104" i="8" s="1"/>
  <c r="AN104" i="8"/>
  <c r="BL104" i="8" s="1"/>
  <c r="AM104" i="8"/>
  <c r="BK104" i="8" s="1"/>
  <c r="AL104" i="8"/>
  <c r="BJ104" i="8" s="1"/>
  <c r="AK104" i="8"/>
  <c r="BI104" i="8" s="1"/>
  <c r="AJ104" i="8"/>
  <c r="BH104" i="8" s="1"/>
  <c r="AI104" i="8"/>
  <c r="BG104" i="8" s="1"/>
  <c r="AH104" i="8"/>
  <c r="BF104" i="8" s="1"/>
  <c r="AG104" i="8"/>
  <c r="BE104" i="8" s="1"/>
  <c r="AF104" i="8"/>
  <c r="BD104" i="8" s="1"/>
  <c r="AE104" i="8"/>
  <c r="BC104" i="8" s="1"/>
  <c r="AD104" i="8"/>
  <c r="BB104" i="8" s="1"/>
  <c r="AC104" i="8"/>
  <c r="BA104" i="8" s="1"/>
  <c r="AB104" i="8"/>
  <c r="AZ104" i="8" s="1"/>
  <c r="AA104" i="8"/>
  <c r="AY104" i="8" s="1"/>
  <c r="Z104" i="8"/>
  <c r="AX104" i="8" s="1"/>
  <c r="AW103" i="8"/>
  <c r="BU103" i="8" s="1"/>
  <c r="AV103" i="8"/>
  <c r="BT103" i="8" s="1"/>
  <c r="AU103" i="8"/>
  <c r="BS103" i="8" s="1"/>
  <c r="AT103" i="8"/>
  <c r="BR103" i="8" s="1"/>
  <c r="AS103" i="8"/>
  <c r="BQ103" i="8" s="1"/>
  <c r="AR103" i="8"/>
  <c r="BP103" i="8" s="1"/>
  <c r="AQ103" i="8"/>
  <c r="BO103" i="8" s="1"/>
  <c r="AP103" i="8"/>
  <c r="BN103" i="8" s="1"/>
  <c r="AO103" i="8"/>
  <c r="BM103" i="8" s="1"/>
  <c r="AN103" i="8"/>
  <c r="BL103" i="8" s="1"/>
  <c r="AM103" i="8"/>
  <c r="BK103" i="8" s="1"/>
  <c r="AL103" i="8"/>
  <c r="BJ103" i="8" s="1"/>
  <c r="AK103" i="8"/>
  <c r="BI103" i="8" s="1"/>
  <c r="AJ103" i="8"/>
  <c r="BH103" i="8" s="1"/>
  <c r="AI103" i="8"/>
  <c r="BG103" i="8" s="1"/>
  <c r="AH103" i="8"/>
  <c r="BF103" i="8" s="1"/>
  <c r="AG103" i="8"/>
  <c r="BE103" i="8" s="1"/>
  <c r="AF103" i="8"/>
  <c r="BD103" i="8" s="1"/>
  <c r="AE103" i="8"/>
  <c r="BC103" i="8" s="1"/>
  <c r="AD103" i="8"/>
  <c r="BB103" i="8" s="1"/>
  <c r="AC103" i="8"/>
  <c r="BA103" i="8" s="1"/>
  <c r="AB103" i="8"/>
  <c r="AZ103" i="8" s="1"/>
  <c r="AA103" i="8"/>
  <c r="AY103" i="8" s="1"/>
  <c r="Z103" i="8"/>
  <c r="AX103" i="8" s="1"/>
  <c r="AW102" i="8"/>
  <c r="BU102" i="8" s="1"/>
  <c r="AV102" i="8"/>
  <c r="BT102" i="8" s="1"/>
  <c r="AU102" i="8"/>
  <c r="BS102" i="8" s="1"/>
  <c r="AT102" i="8"/>
  <c r="BR102" i="8" s="1"/>
  <c r="AS102" i="8"/>
  <c r="BQ102" i="8" s="1"/>
  <c r="AR102" i="8"/>
  <c r="BP102" i="8" s="1"/>
  <c r="AQ102" i="8"/>
  <c r="BO102" i="8" s="1"/>
  <c r="AP102" i="8"/>
  <c r="BN102" i="8" s="1"/>
  <c r="AO102" i="8"/>
  <c r="BM102" i="8" s="1"/>
  <c r="AN102" i="8"/>
  <c r="BL102" i="8" s="1"/>
  <c r="AM102" i="8"/>
  <c r="BK102" i="8" s="1"/>
  <c r="AL102" i="8"/>
  <c r="BJ102" i="8" s="1"/>
  <c r="AK102" i="8"/>
  <c r="BI102" i="8" s="1"/>
  <c r="AJ102" i="8"/>
  <c r="BH102" i="8" s="1"/>
  <c r="AI102" i="8"/>
  <c r="BG102" i="8" s="1"/>
  <c r="AH102" i="8"/>
  <c r="BF102" i="8" s="1"/>
  <c r="AG102" i="8"/>
  <c r="BE102" i="8" s="1"/>
  <c r="AF102" i="8"/>
  <c r="BD102" i="8" s="1"/>
  <c r="AE102" i="8"/>
  <c r="BC102" i="8" s="1"/>
  <c r="AD102" i="8"/>
  <c r="BB102" i="8" s="1"/>
  <c r="AC102" i="8"/>
  <c r="BA102" i="8" s="1"/>
  <c r="AB102" i="8"/>
  <c r="AZ102" i="8" s="1"/>
  <c r="AA102" i="8"/>
  <c r="AY102" i="8" s="1"/>
  <c r="Z102" i="8"/>
  <c r="AX102" i="8" s="1"/>
  <c r="AW101" i="8"/>
  <c r="BU101" i="8" s="1"/>
  <c r="AV101" i="8"/>
  <c r="BT101" i="8" s="1"/>
  <c r="AU101" i="8"/>
  <c r="BS101" i="8" s="1"/>
  <c r="AT101" i="8"/>
  <c r="BR101" i="8" s="1"/>
  <c r="AS101" i="8"/>
  <c r="BQ101" i="8" s="1"/>
  <c r="AR101" i="8"/>
  <c r="BP101" i="8" s="1"/>
  <c r="AQ101" i="8"/>
  <c r="BO101" i="8" s="1"/>
  <c r="AP101" i="8"/>
  <c r="BN101" i="8" s="1"/>
  <c r="AO101" i="8"/>
  <c r="BM101" i="8" s="1"/>
  <c r="AN101" i="8"/>
  <c r="BL101" i="8" s="1"/>
  <c r="AM101" i="8"/>
  <c r="BK101" i="8" s="1"/>
  <c r="AL101" i="8"/>
  <c r="BJ101" i="8" s="1"/>
  <c r="AK101" i="8"/>
  <c r="BI101" i="8" s="1"/>
  <c r="AJ101" i="8"/>
  <c r="BH101" i="8" s="1"/>
  <c r="AI101" i="8"/>
  <c r="BG101" i="8" s="1"/>
  <c r="AH101" i="8"/>
  <c r="BF101" i="8" s="1"/>
  <c r="AG101" i="8"/>
  <c r="BE101" i="8" s="1"/>
  <c r="AF101" i="8"/>
  <c r="BD101" i="8" s="1"/>
  <c r="AE101" i="8"/>
  <c r="BC101" i="8" s="1"/>
  <c r="AD101" i="8"/>
  <c r="BB101" i="8" s="1"/>
  <c r="AC101" i="8"/>
  <c r="BA101" i="8" s="1"/>
  <c r="AB101" i="8"/>
  <c r="AZ101" i="8" s="1"/>
  <c r="AA101" i="8"/>
  <c r="AY101" i="8" s="1"/>
  <c r="Z101" i="8"/>
  <c r="AX101" i="8" s="1"/>
  <c r="AW100" i="8"/>
  <c r="BU100" i="8" s="1"/>
  <c r="AV100" i="8"/>
  <c r="BT100" i="8" s="1"/>
  <c r="AU100" i="8"/>
  <c r="BS100" i="8" s="1"/>
  <c r="AT100" i="8"/>
  <c r="BR100" i="8" s="1"/>
  <c r="AS100" i="8"/>
  <c r="BQ100" i="8" s="1"/>
  <c r="AR100" i="8"/>
  <c r="BP100" i="8" s="1"/>
  <c r="AQ100" i="8"/>
  <c r="BO100" i="8" s="1"/>
  <c r="AP100" i="8"/>
  <c r="BN100" i="8" s="1"/>
  <c r="AO100" i="8"/>
  <c r="BM100" i="8" s="1"/>
  <c r="AN100" i="8"/>
  <c r="BL100" i="8" s="1"/>
  <c r="AM100" i="8"/>
  <c r="BK100" i="8" s="1"/>
  <c r="AL100" i="8"/>
  <c r="BJ100" i="8" s="1"/>
  <c r="AK100" i="8"/>
  <c r="BI100" i="8" s="1"/>
  <c r="AJ100" i="8"/>
  <c r="BH100" i="8" s="1"/>
  <c r="AI100" i="8"/>
  <c r="BG100" i="8" s="1"/>
  <c r="AH100" i="8"/>
  <c r="BF100" i="8" s="1"/>
  <c r="AG100" i="8"/>
  <c r="BE100" i="8" s="1"/>
  <c r="AF100" i="8"/>
  <c r="BD100" i="8" s="1"/>
  <c r="AE100" i="8"/>
  <c r="BC100" i="8" s="1"/>
  <c r="AD100" i="8"/>
  <c r="BB100" i="8" s="1"/>
  <c r="AC100" i="8"/>
  <c r="BA100" i="8" s="1"/>
  <c r="AB100" i="8"/>
  <c r="AZ100" i="8" s="1"/>
  <c r="AA100" i="8"/>
  <c r="AY100" i="8" s="1"/>
  <c r="Z100" i="8"/>
  <c r="AX100" i="8" s="1"/>
  <c r="AW99" i="8"/>
  <c r="BU99" i="8" s="1"/>
  <c r="AV99" i="8"/>
  <c r="BT99" i="8" s="1"/>
  <c r="AU99" i="8"/>
  <c r="BS99" i="8" s="1"/>
  <c r="AT99" i="8"/>
  <c r="BR99" i="8" s="1"/>
  <c r="AS99" i="8"/>
  <c r="BQ99" i="8" s="1"/>
  <c r="AR99" i="8"/>
  <c r="BP99" i="8" s="1"/>
  <c r="AQ99" i="8"/>
  <c r="BO99" i="8" s="1"/>
  <c r="AP99" i="8"/>
  <c r="BN99" i="8" s="1"/>
  <c r="AO99" i="8"/>
  <c r="BM99" i="8" s="1"/>
  <c r="AN99" i="8"/>
  <c r="BL99" i="8" s="1"/>
  <c r="AM99" i="8"/>
  <c r="BK99" i="8" s="1"/>
  <c r="AL99" i="8"/>
  <c r="BJ99" i="8" s="1"/>
  <c r="AK99" i="8"/>
  <c r="BI99" i="8" s="1"/>
  <c r="AJ99" i="8"/>
  <c r="BH99" i="8" s="1"/>
  <c r="AI99" i="8"/>
  <c r="BG99" i="8" s="1"/>
  <c r="AH99" i="8"/>
  <c r="BF99" i="8" s="1"/>
  <c r="AG99" i="8"/>
  <c r="BE99" i="8" s="1"/>
  <c r="AF99" i="8"/>
  <c r="BD99" i="8" s="1"/>
  <c r="AE99" i="8"/>
  <c r="BC99" i="8" s="1"/>
  <c r="AD99" i="8"/>
  <c r="BB99" i="8" s="1"/>
  <c r="AC99" i="8"/>
  <c r="BA99" i="8" s="1"/>
  <c r="AB99" i="8"/>
  <c r="AZ99" i="8" s="1"/>
  <c r="AA99" i="8"/>
  <c r="AY99" i="8" s="1"/>
  <c r="Z99" i="8"/>
  <c r="AX99" i="8" s="1"/>
  <c r="AW98" i="8"/>
  <c r="BU98" i="8" s="1"/>
  <c r="AV98" i="8"/>
  <c r="BT98" i="8" s="1"/>
  <c r="AU98" i="8"/>
  <c r="BS98" i="8" s="1"/>
  <c r="AT98" i="8"/>
  <c r="BR98" i="8" s="1"/>
  <c r="AS98" i="8"/>
  <c r="BQ98" i="8" s="1"/>
  <c r="AR98" i="8"/>
  <c r="BP98" i="8" s="1"/>
  <c r="AQ98" i="8"/>
  <c r="BO98" i="8" s="1"/>
  <c r="AP98" i="8"/>
  <c r="BN98" i="8" s="1"/>
  <c r="AO98" i="8"/>
  <c r="BM98" i="8" s="1"/>
  <c r="AN98" i="8"/>
  <c r="BL98" i="8" s="1"/>
  <c r="AM98" i="8"/>
  <c r="BK98" i="8" s="1"/>
  <c r="AL98" i="8"/>
  <c r="BJ98" i="8" s="1"/>
  <c r="AK98" i="8"/>
  <c r="BI98" i="8" s="1"/>
  <c r="AJ98" i="8"/>
  <c r="BH98" i="8" s="1"/>
  <c r="AI98" i="8"/>
  <c r="BG98" i="8" s="1"/>
  <c r="AH98" i="8"/>
  <c r="BF98" i="8" s="1"/>
  <c r="AG98" i="8"/>
  <c r="BE98" i="8" s="1"/>
  <c r="AF98" i="8"/>
  <c r="BD98" i="8" s="1"/>
  <c r="AE98" i="8"/>
  <c r="BC98" i="8" s="1"/>
  <c r="AD98" i="8"/>
  <c r="BB98" i="8" s="1"/>
  <c r="AC98" i="8"/>
  <c r="BA98" i="8" s="1"/>
  <c r="AB98" i="8"/>
  <c r="AZ98" i="8" s="1"/>
  <c r="AA98" i="8"/>
  <c r="AY98" i="8" s="1"/>
  <c r="Z98" i="8"/>
  <c r="AX98" i="8" s="1"/>
  <c r="AW97" i="8"/>
  <c r="BU97" i="8" s="1"/>
  <c r="AV97" i="8"/>
  <c r="BT97" i="8" s="1"/>
  <c r="AU97" i="8"/>
  <c r="BS97" i="8" s="1"/>
  <c r="AT97" i="8"/>
  <c r="BR97" i="8" s="1"/>
  <c r="AS97" i="8"/>
  <c r="BQ97" i="8" s="1"/>
  <c r="AR97" i="8"/>
  <c r="BP97" i="8" s="1"/>
  <c r="AQ97" i="8"/>
  <c r="BO97" i="8" s="1"/>
  <c r="AP97" i="8"/>
  <c r="BN97" i="8" s="1"/>
  <c r="AO97" i="8"/>
  <c r="BM97" i="8" s="1"/>
  <c r="AN97" i="8"/>
  <c r="BL97" i="8" s="1"/>
  <c r="AM97" i="8"/>
  <c r="BK97" i="8" s="1"/>
  <c r="AL97" i="8"/>
  <c r="BJ97" i="8" s="1"/>
  <c r="AK97" i="8"/>
  <c r="BI97" i="8" s="1"/>
  <c r="AJ97" i="8"/>
  <c r="BH97" i="8" s="1"/>
  <c r="AI97" i="8"/>
  <c r="BG97" i="8" s="1"/>
  <c r="AH97" i="8"/>
  <c r="BF97" i="8" s="1"/>
  <c r="AG97" i="8"/>
  <c r="BE97" i="8" s="1"/>
  <c r="AF97" i="8"/>
  <c r="BD97" i="8" s="1"/>
  <c r="AE97" i="8"/>
  <c r="BC97" i="8" s="1"/>
  <c r="AD97" i="8"/>
  <c r="BB97" i="8" s="1"/>
  <c r="AC97" i="8"/>
  <c r="BA97" i="8" s="1"/>
  <c r="AB97" i="8"/>
  <c r="AZ97" i="8" s="1"/>
  <c r="AA97" i="8"/>
  <c r="AY97" i="8" s="1"/>
  <c r="Z97" i="8"/>
  <c r="AX97" i="8" s="1"/>
  <c r="AW96" i="8"/>
  <c r="BU96" i="8" s="1"/>
  <c r="AV96" i="8"/>
  <c r="BT96" i="8" s="1"/>
  <c r="AU96" i="8"/>
  <c r="BS96" i="8" s="1"/>
  <c r="AT96" i="8"/>
  <c r="BR96" i="8" s="1"/>
  <c r="AS96" i="8"/>
  <c r="BQ96" i="8" s="1"/>
  <c r="AR96" i="8"/>
  <c r="BP96" i="8" s="1"/>
  <c r="AQ96" i="8"/>
  <c r="BO96" i="8" s="1"/>
  <c r="AP96" i="8"/>
  <c r="BN96" i="8" s="1"/>
  <c r="AO96" i="8"/>
  <c r="BM96" i="8" s="1"/>
  <c r="AN96" i="8"/>
  <c r="BL96" i="8" s="1"/>
  <c r="AM96" i="8"/>
  <c r="BK96" i="8" s="1"/>
  <c r="AL96" i="8"/>
  <c r="BJ96" i="8" s="1"/>
  <c r="AK96" i="8"/>
  <c r="BI96" i="8" s="1"/>
  <c r="AJ96" i="8"/>
  <c r="BH96" i="8" s="1"/>
  <c r="AI96" i="8"/>
  <c r="BG96" i="8" s="1"/>
  <c r="AH96" i="8"/>
  <c r="BF96" i="8" s="1"/>
  <c r="AG96" i="8"/>
  <c r="BE96" i="8" s="1"/>
  <c r="AF96" i="8"/>
  <c r="BD96" i="8" s="1"/>
  <c r="AE96" i="8"/>
  <c r="BC96" i="8" s="1"/>
  <c r="AD96" i="8"/>
  <c r="BB96" i="8" s="1"/>
  <c r="AC96" i="8"/>
  <c r="BA96" i="8" s="1"/>
  <c r="AB96" i="8"/>
  <c r="AZ96" i="8" s="1"/>
  <c r="AA96" i="8"/>
  <c r="AY96" i="8" s="1"/>
  <c r="Z96" i="8"/>
  <c r="AX96" i="8" s="1"/>
  <c r="AW95" i="8"/>
  <c r="BU95" i="8" s="1"/>
  <c r="AV95" i="8"/>
  <c r="BT95" i="8" s="1"/>
  <c r="AU95" i="8"/>
  <c r="BS95" i="8" s="1"/>
  <c r="AT95" i="8"/>
  <c r="BR95" i="8" s="1"/>
  <c r="AS95" i="8"/>
  <c r="BQ95" i="8" s="1"/>
  <c r="AR95" i="8"/>
  <c r="BP95" i="8" s="1"/>
  <c r="AQ95" i="8"/>
  <c r="BO95" i="8" s="1"/>
  <c r="AP95" i="8"/>
  <c r="BN95" i="8" s="1"/>
  <c r="AO95" i="8"/>
  <c r="BM95" i="8" s="1"/>
  <c r="AN95" i="8"/>
  <c r="BL95" i="8" s="1"/>
  <c r="AM95" i="8"/>
  <c r="BK95" i="8" s="1"/>
  <c r="AL95" i="8"/>
  <c r="BJ95" i="8" s="1"/>
  <c r="AK95" i="8"/>
  <c r="BI95" i="8" s="1"/>
  <c r="AJ95" i="8"/>
  <c r="BH95" i="8" s="1"/>
  <c r="AI95" i="8"/>
  <c r="BG95" i="8" s="1"/>
  <c r="AH95" i="8"/>
  <c r="BF95" i="8" s="1"/>
  <c r="AG95" i="8"/>
  <c r="BE95" i="8" s="1"/>
  <c r="AF95" i="8"/>
  <c r="BD95" i="8" s="1"/>
  <c r="AE95" i="8"/>
  <c r="BC95" i="8" s="1"/>
  <c r="AD95" i="8"/>
  <c r="BB95" i="8" s="1"/>
  <c r="AC95" i="8"/>
  <c r="BA95" i="8" s="1"/>
  <c r="AB95" i="8"/>
  <c r="AZ95" i="8" s="1"/>
  <c r="AA95" i="8"/>
  <c r="AY95" i="8" s="1"/>
  <c r="Z95" i="8"/>
  <c r="AX95" i="8" s="1"/>
  <c r="AW94" i="8"/>
  <c r="BU94" i="8" s="1"/>
  <c r="AV94" i="8"/>
  <c r="BT94" i="8" s="1"/>
  <c r="AU94" i="8"/>
  <c r="BS94" i="8" s="1"/>
  <c r="AT94" i="8"/>
  <c r="BR94" i="8" s="1"/>
  <c r="AS94" i="8"/>
  <c r="BQ94" i="8" s="1"/>
  <c r="AR94" i="8"/>
  <c r="BP94" i="8" s="1"/>
  <c r="AQ94" i="8"/>
  <c r="BO94" i="8" s="1"/>
  <c r="AP94" i="8"/>
  <c r="BN94" i="8" s="1"/>
  <c r="AO94" i="8"/>
  <c r="BM94" i="8" s="1"/>
  <c r="AN94" i="8"/>
  <c r="BL94" i="8" s="1"/>
  <c r="AM94" i="8"/>
  <c r="BK94" i="8" s="1"/>
  <c r="AL94" i="8"/>
  <c r="BJ94" i="8" s="1"/>
  <c r="AK94" i="8"/>
  <c r="BI94" i="8" s="1"/>
  <c r="AJ94" i="8"/>
  <c r="BH94" i="8" s="1"/>
  <c r="AI94" i="8"/>
  <c r="BG94" i="8" s="1"/>
  <c r="AH94" i="8"/>
  <c r="BF94" i="8" s="1"/>
  <c r="AG94" i="8"/>
  <c r="BE94" i="8" s="1"/>
  <c r="AF94" i="8"/>
  <c r="BD94" i="8" s="1"/>
  <c r="AE94" i="8"/>
  <c r="BC94" i="8" s="1"/>
  <c r="AD94" i="8"/>
  <c r="BB94" i="8" s="1"/>
  <c r="AC94" i="8"/>
  <c r="BA94" i="8" s="1"/>
  <c r="AB94" i="8"/>
  <c r="AZ94" i="8" s="1"/>
  <c r="AA94" i="8"/>
  <c r="AY94" i="8" s="1"/>
  <c r="Z94" i="8"/>
  <c r="AX94" i="8" s="1"/>
  <c r="AW93" i="8"/>
  <c r="BU93" i="8" s="1"/>
  <c r="AV93" i="8"/>
  <c r="BT93" i="8" s="1"/>
  <c r="AU93" i="8"/>
  <c r="BS93" i="8" s="1"/>
  <c r="AT93" i="8"/>
  <c r="BR93" i="8" s="1"/>
  <c r="AS93" i="8"/>
  <c r="BQ93" i="8" s="1"/>
  <c r="AR93" i="8"/>
  <c r="BP93" i="8" s="1"/>
  <c r="AQ93" i="8"/>
  <c r="BO93" i="8" s="1"/>
  <c r="AP93" i="8"/>
  <c r="BN93" i="8" s="1"/>
  <c r="AO93" i="8"/>
  <c r="BM93" i="8" s="1"/>
  <c r="AN93" i="8"/>
  <c r="BL93" i="8" s="1"/>
  <c r="AM93" i="8"/>
  <c r="BK93" i="8" s="1"/>
  <c r="AL93" i="8"/>
  <c r="BJ93" i="8" s="1"/>
  <c r="AK93" i="8"/>
  <c r="BI93" i="8" s="1"/>
  <c r="AJ93" i="8"/>
  <c r="BH93" i="8" s="1"/>
  <c r="AI93" i="8"/>
  <c r="BG93" i="8" s="1"/>
  <c r="AH93" i="8"/>
  <c r="BF93" i="8" s="1"/>
  <c r="AG93" i="8"/>
  <c r="BE93" i="8" s="1"/>
  <c r="AF93" i="8"/>
  <c r="BD93" i="8" s="1"/>
  <c r="AE93" i="8"/>
  <c r="BC93" i="8" s="1"/>
  <c r="AD93" i="8"/>
  <c r="BB93" i="8" s="1"/>
  <c r="AC93" i="8"/>
  <c r="BA93" i="8" s="1"/>
  <c r="AB93" i="8"/>
  <c r="AZ93" i="8" s="1"/>
  <c r="AA93" i="8"/>
  <c r="AY93" i="8" s="1"/>
  <c r="Z93" i="8"/>
  <c r="AX93" i="8" s="1"/>
  <c r="AW92" i="8"/>
  <c r="BU92" i="8" s="1"/>
  <c r="AV92" i="8"/>
  <c r="BT92" i="8" s="1"/>
  <c r="AU92" i="8"/>
  <c r="BS92" i="8" s="1"/>
  <c r="AT92" i="8"/>
  <c r="BR92" i="8" s="1"/>
  <c r="AS92" i="8"/>
  <c r="BQ92" i="8" s="1"/>
  <c r="AR92" i="8"/>
  <c r="BP92" i="8" s="1"/>
  <c r="AQ92" i="8"/>
  <c r="BO92" i="8" s="1"/>
  <c r="AP92" i="8"/>
  <c r="BN92" i="8" s="1"/>
  <c r="AO92" i="8"/>
  <c r="BM92" i="8" s="1"/>
  <c r="AN92" i="8"/>
  <c r="BL92" i="8" s="1"/>
  <c r="AM92" i="8"/>
  <c r="BK92" i="8" s="1"/>
  <c r="AL92" i="8"/>
  <c r="BJ92" i="8" s="1"/>
  <c r="AK92" i="8"/>
  <c r="BI92" i="8" s="1"/>
  <c r="AJ92" i="8"/>
  <c r="BH92" i="8" s="1"/>
  <c r="AI92" i="8"/>
  <c r="BG92" i="8" s="1"/>
  <c r="AH92" i="8"/>
  <c r="BF92" i="8" s="1"/>
  <c r="AG92" i="8"/>
  <c r="BE92" i="8" s="1"/>
  <c r="AF92" i="8"/>
  <c r="BD92" i="8" s="1"/>
  <c r="AE92" i="8"/>
  <c r="BC92" i="8" s="1"/>
  <c r="AD92" i="8"/>
  <c r="BB92" i="8" s="1"/>
  <c r="BA92" i="8"/>
  <c r="AZ92" i="8"/>
  <c r="AY92" i="8"/>
  <c r="AX92" i="8"/>
  <c r="AW91" i="8"/>
  <c r="BU91" i="8" s="1"/>
  <c r="AV91" i="8"/>
  <c r="BT91" i="8" s="1"/>
  <c r="AU91" i="8"/>
  <c r="BS91" i="8" s="1"/>
  <c r="AT91" i="8"/>
  <c r="BR91" i="8" s="1"/>
  <c r="AS91" i="8"/>
  <c r="BQ91" i="8" s="1"/>
  <c r="AR91" i="8"/>
  <c r="BP91" i="8" s="1"/>
  <c r="AQ91" i="8"/>
  <c r="BO91" i="8" s="1"/>
  <c r="AP91" i="8"/>
  <c r="BN91" i="8" s="1"/>
  <c r="AO91" i="8"/>
  <c r="BM91" i="8" s="1"/>
  <c r="AN91" i="8"/>
  <c r="BL91" i="8" s="1"/>
  <c r="AM91" i="8"/>
  <c r="BK91" i="8" s="1"/>
  <c r="AL91" i="8"/>
  <c r="BJ91" i="8" s="1"/>
  <c r="AK91" i="8"/>
  <c r="BI91" i="8" s="1"/>
  <c r="AJ91" i="8"/>
  <c r="BH91" i="8" s="1"/>
  <c r="AI91" i="8"/>
  <c r="BG91" i="8" s="1"/>
  <c r="AH91" i="8"/>
  <c r="BF91" i="8" s="1"/>
  <c r="AG91" i="8"/>
  <c r="BE91" i="8" s="1"/>
  <c r="AF91" i="8"/>
  <c r="BD91" i="8" s="1"/>
  <c r="AE91" i="8"/>
  <c r="BC91" i="8" s="1"/>
  <c r="AD91" i="8"/>
  <c r="BB91" i="8" s="1"/>
  <c r="AC91" i="8"/>
  <c r="BA91" i="8" s="1"/>
  <c r="AB91" i="8"/>
  <c r="AZ91" i="8" s="1"/>
  <c r="AA91" i="8"/>
  <c r="AY91" i="8" s="1"/>
  <c r="Z91" i="8"/>
  <c r="AX91" i="8" s="1"/>
  <c r="AW90" i="8"/>
  <c r="BU90" i="8" s="1"/>
  <c r="AV90" i="8"/>
  <c r="BT90" i="8" s="1"/>
  <c r="AU90" i="8"/>
  <c r="BS90" i="8" s="1"/>
  <c r="AT90" i="8"/>
  <c r="BR90" i="8" s="1"/>
  <c r="AS90" i="8"/>
  <c r="BQ90" i="8" s="1"/>
  <c r="AR90" i="8"/>
  <c r="BP90" i="8" s="1"/>
  <c r="AQ90" i="8"/>
  <c r="BO90" i="8" s="1"/>
  <c r="AP90" i="8"/>
  <c r="BN90" i="8" s="1"/>
  <c r="AO90" i="8"/>
  <c r="BM90" i="8" s="1"/>
  <c r="AN90" i="8"/>
  <c r="BL90" i="8" s="1"/>
  <c r="AM90" i="8"/>
  <c r="BK90" i="8" s="1"/>
  <c r="AL90" i="8"/>
  <c r="BJ90" i="8" s="1"/>
  <c r="AK90" i="8"/>
  <c r="BI90" i="8" s="1"/>
  <c r="AJ90" i="8"/>
  <c r="BH90" i="8" s="1"/>
  <c r="AI90" i="8"/>
  <c r="BG90" i="8" s="1"/>
  <c r="AH90" i="8"/>
  <c r="BF90" i="8" s="1"/>
  <c r="AG90" i="8"/>
  <c r="BE90" i="8" s="1"/>
  <c r="AF90" i="8"/>
  <c r="BD90" i="8" s="1"/>
  <c r="AE90" i="8"/>
  <c r="BC90" i="8" s="1"/>
  <c r="AD90" i="8"/>
  <c r="BB90" i="8" s="1"/>
  <c r="AC90" i="8"/>
  <c r="BA90" i="8" s="1"/>
  <c r="AB90" i="8"/>
  <c r="AZ90" i="8" s="1"/>
  <c r="AA90" i="8"/>
  <c r="AY90" i="8" s="1"/>
  <c r="Z90" i="8"/>
  <c r="AX90" i="8" s="1"/>
  <c r="AW89" i="8"/>
  <c r="BU89" i="8" s="1"/>
  <c r="AV89" i="8"/>
  <c r="BT89" i="8" s="1"/>
  <c r="AU89" i="8"/>
  <c r="BS89" i="8" s="1"/>
  <c r="AT89" i="8"/>
  <c r="BR89" i="8" s="1"/>
  <c r="AS89" i="8"/>
  <c r="BQ89" i="8" s="1"/>
  <c r="AR89" i="8"/>
  <c r="BP89" i="8" s="1"/>
  <c r="AQ89" i="8"/>
  <c r="BO89" i="8" s="1"/>
  <c r="AP89" i="8"/>
  <c r="BN89" i="8" s="1"/>
  <c r="AO89" i="8"/>
  <c r="BM89" i="8" s="1"/>
  <c r="AN89" i="8"/>
  <c r="BL89" i="8" s="1"/>
  <c r="AM89" i="8"/>
  <c r="BK89" i="8" s="1"/>
  <c r="AL89" i="8"/>
  <c r="BJ89" i="8" s="1"/>
  <c r="AK89" i="8"/>
  <c r="BI89" i="8" s="1"/>
  <c r="AJ89" i="8"/>
  <c r="BH89" i="8" s="1"/>
  <c r="AI89" i="8"/>
  <c r="BG89" i="8" s="1"/>
  <c r="AH89" i="8"/>
  <c r="BF89" i="8" s="1"/>
  <c r="AG89" i="8"/>
  <c r="BE89" i="8" s="1"/>
  <c r="AF89" i="8"/>
  <c r="BD89" i="8" s="1"/>
  <c r="AE89" i="8"/>
  <c r="BC89" i="8" s="1"/>
  <c r="AD89" i="8"/>
  <c r="BB89" i="8" s="1"/>
  <c r="AC89" i="8"/>
  <c r="BA89" i="8" s="1"/>
  <c r="AB89" i="8"/>
  <c r="AZ89" i="8" s="1"/>
  <c r="AA89" i="8"/>
  <c r="AY89" i="8" s="1"/>
  <c r="Z89" i="8"/>
  <c r="AX89" i="8" s="1"/>
  <c r="AW88" i="8"/>
  <c r="BU88" i="8" s="1"/>
  <c r="AV88" i="8"/>
  <c r="BT88" i="8" s="1"/>
  <c r="AU88" i="8"/>
  <c r="BS88" i="8" s="1"/>
  <c r="AT88" i="8"/>
  <c r="BR88" i="8" s="1"/>
  <c r="AS88" i="8"/>
  <c r="BQ88" i="8" s="1"/>
  <c r="AR88" i="8"/>
  <c r="BP88" i="8" s="1"/>
  <c r="AQ88" i="8"/>
  <c r="BO88" i="8" s="1"/>
  <c r="AP88" i="8"/>
  <c r="BN88" i="8" s="1"/>
  <c r="AO88" i="8"/>
  <c r="BM88" i="8" s="1"/>
  <c r="AN88" i="8"/>
  <c r="BL88" i="8" s="1"/>
  <c r="AM88" i="8"/>
  <c r="BK88" i="8" s="1"/>
  <c r="AL88" i="8"/>
  <c r="BJ88" i="8" s="1"/>
  <c r="AK88" i="8"/>
  <c r="BI88" i="8" s="1"/>
  <c r="AJ88" i="8"/>
  <c r="BH88" i="8" s="1"/>
  <c r="AI88" i="8"/>
  <c r="BG88" i="8" s="1"/>
  <c r="AH88" i="8"/>
  <c r="BF88" i="8" s="1"/>
  <c r="AG88" i="8"/>
  <c r="BE88" i="8" s="1"/>
  <c r="AF88" i="8"/>
  <c r="BD88" i="8" s="1"/>
  <c r="AE88" i="8"/>
  <c r="BC88" i="8" s="1"/>
  <c r="AD88" i="8"/>
  <c r="BB88" i="8" s="1"/>
  <c r="AC88" i="8"/>
  <c r="BA88" i="8" s="1"/>
  <c r="AB88" i="8"/>
  <c r="AZ88" i="8" s="1"/>
  <c r="AA88" i="8"/>
  <c r="AY88" i="8" s="1"/>
  <c r="Z88" i="8"/>
  <c r="AX88" i="8" s="1"/>
  <c r="AW87" i="8"/>
  <c r="BU87" i="8" s="1"/>
  <c r="AV87" i="8"/>
  <c r="BT87" i="8" s="1"/>
  <c r="AU87" i="8"/>
  <c r="BS87" i="8" s="1"/>
  <c r="AT87" i="8"/>
  <c r="BR87" i="8" s="1"/>
  <c r="AS87" i="8"/>
  <c r="BQ87" i="8" s="1"/>
  <c r="AR87" i="8"/>
  <c r="BP87" i="8" s="1"/>
  <c r="AQ87" i="8"/>
  <c r="BO87" i="8" s="1"/>
  <c r="AP87" i="8"/>
  <c r="BN87" i="8" s="1"/>
  <c r="AO87" i="8"/>
  <c r="BM87" i="8" s="1"/>
  <c r="AN87" i="8"/>
  <c r="BL87" i="8" s="1"/>
  <c r="AM87" i="8"/>
  <c r="BK87" i="8" s="1"/>
  <c r="AL87" i="8"/>
  <c r="BJ87" i="8" s="1"/>
  <c r="AK87" i="8"/>
  <c r="BI87" i="8" s="1"/>
  <c r="AJ87" i="8"/>
  <c r="BH87" i="8" s="1"/>
  <c r="AI87" i="8"/>
  <c r="BG87" i="8" s="1"/>
  <c r="AH87" i="8"/>
  <c r="BF87" i="8" s="1"/>
  <c r="AG87" i="8"/>
  <c r="BE87" i="8" s="1"/>
  <c r="AF87" i="8"/>
  <c r="BD87" i="8" s="1"/>
  <c r="AE87" i="8"/>
  <c r="BC87" i="8" s="1"/>
  <c r="AD87" i="8"/>
  <c r="BB87" i="8" s="1"/>
  <c r="AC87" i="8"/>
  <c r="BA87" i="8" s="1"/>
  <c r="AB87" i="8"/>
  <c r="AZ87" i="8" s="1"/>
  <c r="AA87" i="8"/>
  <c r="AY87" i="8" s="1"/>
  <c r="Z87" i="8"/>
  <c r="AX87" i="8" s="1"/>
  <c r="AW86" i="8"/>
  <c r="BU86" i="8" s="1"/>
  <c r="AV86" i="8"/>
  <c r="BT86" i="8" s="1"/>
  <c r="AU86" i="8"/>
  <c r="BS86" i="8" s="1"/>
  <c r="AT86" i="8"/>
  <c r="BR86" i="8" s="1"/>
  <c r="AS86" i="8"/>
  <c r="BQ86" i="8" s="1"/>
  <c r="AR86" i="8"/>
  <c r="BP86" i="8" s="1"/>
  <c r="AQ86" i="8"/>
  <c r="BO86" i="8" s="1"/>
  <c r="AP86" i="8"/>
  <c r="BN86" i="8" s="1"/>
  <c r="AO86" i="8"/>
  <c r="BM86" i="8" s="1"/>
  <c r="AN86" i="8"/>
  <c r="BL86" i="8" s="1"/>
  <c r="AM86" i="8"/>
  <c r="BK86" i="8" s="1"/>
  <c r="AL86" i="8"/>
  <c r="BJ86" i="8" s="1"/>
  <c r="AK86" i="8"/>
  <c r="BI86" i="8" s="1"/>
  <c r="AJ86" i="8"/>
  <c r="BH86" i="8" s="1"/>
  <c r="AI86" i="8"/>
  <c r="BG86" i="8" s="1"/>
  <c r="AH86" i="8"/>
  <c r="BF86" i="8" s="1"/>
  <c r="AG86" i="8"/>
  <c r="BE86" i="8" s="1"/>
  <c r="AF86" i="8"/>
  <c r="BD86" i="8" s="1"/>
  <c r="AE86" i="8"/>
  <c r="BC86" i="8" s="1"/>
  <c r="AD86" i="8"/>
  <c r="BB86" i="8" s="1"/>
  <c r="AC86" i="8"/>
  <c r="BA86" i="8" s="1"/>
  <c r="AB86" i="8"/>
  <c r="AZ86" i="8" s="1"/>
  <c r="AA86" i="8"/>
  <c r="AY86" i="8" s="1"/>
  <c r="Z86" i="8"/>
  <c r="AX86" i="8" s="1"/>
  <c r="AW85" i="8"/>
  <c r="BU85" i="8" s="1"/>
  <c r="AV85" i="8"/>
  <c r="BT85" i="8" s="1"/>
  <c r="AU85" i="8"/>
  <c r="BS85" i="8" s="1"/>
  <c r="AT85" i="8"/>
  <c r="BR85" i="8" s="1"/>
  <c r="AS85" i="8"/>
  <c r="BQ85" i="8" s="1"/>
  <c r="AR85" i="8"/>
  <c r="BP85" i="8" s="1"/>
  <c r="AQ85" i="8"/>
  <c r="BO85" i="8" s="1"/>
  <c r="AP85" i="8"/>
  <c r="BN85" i="8" s="1"/>
  <c r="AO85" i="8"/>
  <c r="BM85" i="8" s="1"/>
  <c r="AN85" i="8"/>
  <c r="BL85" i="8" s="1"/>
  <c r="AM85" i="8"/>
  <c r="BK85" i="8" s="1"/>
  <c r="AL85" i="8"/>
  <c r="BJ85" i="8" s="1"/>
  <c r="AK85" i="8"/>
  <c r="BI85" i="8" s="1"/>
  <c r="AJ85" i="8"/>
  <c r="BH85" i="8" s="1"/>
  <c r="AI85" i="8"/>
  <c r="BG85" i="8" s="1"/>
  <c r="AH85" i="8"/>
  <c r="BF85" i="8" s="1"/>
  <c r="AG85" i="8"/>
  <c r="BE85" i="8" s="1"/>
  <c r="AF85" i="8"/>
  <c r="BD85" i="8" s="1"/>
  <c r="AE85" i="8"/>
  <c r="BC85" i="8" s="1"/>
  <c r="AD85" i="8"/>
  <c r="BB85" i="8" s="1"/>
  <c r="AC85" i="8"/>
  <c r="BA85" i="8" s="1"/>
  <c r="AB85" i="8"/>
  <c r="AZ85" i="8" s="1"/>
  <c r="AA85" i="8"/>
  <c r="AY85" i="8" s="1"/>
  <c r="Z85" i="8"/>
  <c r="AX85" i="8" s="1"/>
  <c r="AW84" i="8"/>
  <c r="BU84" i="8" s="1"/>
  <c r="AV84" i="8"/>
  <c r="BT84" i="8" s="1"/>
  <c r="AU84" i="8"/>
  <c r="BS84" i="8" s="1"/>
  <c r="AT84" i="8"/>
  <c r="BR84" i="8" s="1"/>
  <c r="AS84" i="8"/>
  <c r="BQ84" i="8" s="1"/>
  <c r="AR84" i="8"/>
  <c r="BP84" i="8" s="1"/>
  <c r="AQ84" i="8"/>
  <c r="BO84" i="8" s="1"/>
  <c r="AP84" i="8"/>
  <c r="BN84" i="8" s="1"/>
  <c r="AO84" i="8"/>
  <c r="BM84" i="8" s="1"/>
  <c r="AN84" i="8"/>
  <c r="BL84" i="8" s="1"/>
  <c r="AM84" i="8"/>
  <c r="BK84" i="8" s="1"/>
  <c r="AL84" i="8"/>
  <c r="BJ84" i="8" s="1"/>
  <c r="AK84" i="8"/>
  <c r="BI84" i="8" s="1"/>
  <c r="AJ84" i="8"/>
  <c r="BH84" i="8" s="1"/>
  <c r="AI84" i="8"/>
  <c r="BG84" i="8" s="1"/>
  <c r="AH84" i="8"/>
  <c r="BF84" i="8" s="1"/>
  <c r="AG84" i="8"/>
  <c r="BE84" i="8" s="1"/>
  <c r="AF84" i="8"/>
  <c r="BD84" i="8" s="1"/>
  <c r="AE84" i="8"/>
  <c r="BC84" i="8" s="1"/>
  <c r="AD84" i="8"/>
  <c r="BB84" i="8" s="1"/>
  <c r="AC84" i="8"/>
  <c r="BA84" i="8" s="1"/>
  <c r="AB84" i="8"/>
  <c r="AZ84" i="8" s="1"/>
  <c r="AA84" i="8"/>
  <c r="AY84" i="8" s="1"/>
  <c r="Z84" i="8"/>
  <c r="AX84" i="8" s="1"/>
  <c r="AW83" i="8"/>
  <c r="BU83" i="8" s="1"/>
  <c r="AV83" i="8"/>
  <c r="BT83" i="8" s="1"/>
  <c r="AU83" i="8"/>
  <c r="BS83" i="8" s="1"/>
  <c r="AT83" i="8"/>
  <c r="BR83" i="8" s="1"/>
  <c r="AS83" i="8"/>
  <c r="BQ83" i="8" s="1"/>
  <c r="AR83" i="8"/>
  <c r="BP83" i="8" s="1"/>
  <c r="AQ83" i="8"/>
  <c r="BO83" i="8" s="1"/>
  <c r="AP83" i="8"/>
  <c r="BN83" i="8" s="1"/>
  <c r="AO83" i="8"/>
  <c r="BM83" i="8" s="1"/>
  <c r="AN83" i="8"/>
  <c r="BL83" i="8" s="1"/>
  <c r="AM83" i="8"/>
  <c r="BK83" i="8" s="1"/>
  <c r="AL83" i="8"/>
  <c r="BJ83" i="8" s="1"/>
  <c r="AK83" i="8"/>
  <c r="BI83" i="8" s="1"/>
  <c r="AJ83" i="8"/>
  <c r="BH83" i="8" s="1"/>
  <c r="AI83" i="8"/>
  <c r="BG83" i="8" s="1"/>
  <c r="AH83" i="8"/>
  <c r="BF83" i="8" s="1"/>
  <c r="AG83" i="8"/>
  <c r="BE83" i="8" s="1"/>
  <c r="AF83" i="8"/>
  <c r="BD83" i="8" s="1"/>
  <c r="AE83" i="8"/>
  <c r="BC83" i="8" s="1"/>
  <c r="AD83" i="8"/>
  <c r="BB83" i="8" s="1"/>
  <c r="AC83" i="8"/>
  <c r="BA83" i="8" s="1"/>
  <c r="AB83" i="8"/>
  <c r="AZ83" i="8" s="1"/>
  <c r="AA83" i="8"/>
  <c r="AY83" i="8" s="1"/>
  <c r="Z83" i="8"/>
  <c r="AX83" i="8" s="1"/>
  <c r="AW82" i="8"/>
  <c r="BU82" i="8" s="1"/>
  <c r="AV82" i="8"/>
  <c r="BT82" i="8" s="1"/>
  <c r="AU82" i="8"/>
  <c r="BS82" i="8" s="1"/>
  <c r="AT82" i="8"/>
  <c r="BR82" i="8" s="1"/>
  <c r="AS82" i="8"/>
  <c r="BQ82" i="8" s="1"/>
  <c r="AR82" i="8"/>
  <c r="BP82" i="8" s="1"/>
  <c r="AQ82" i="8"/>
  <c r="BO82" i="8" s="1"/>
  <c r="AP82" i="8"/>
  <c r="BN82" i="8" s="1"/>
  <c r="AO82" i="8"/>
  <c r="BM82" i="8" s="1"/>
  <c r="AN82" i="8"/>
  <c r="BL82" i="8" s="1"/>
  <c r="AM82" i="8"/>
  <c r="BK82" i="8" s="1"/>
  <c r="AL82" i="8"/>
  <c r="BJ82" i="8" s="1"/>
  <c r="AK82" i="8"/>
  <c r="BI82" i="8" s="1"/>
  <c r="AJ82" i="8"/>
  <c r="BH82" i="8" s="1"/>
  <c r="AI82" i="8"/>
  <c r="BG82" i="8" s="1"/>
  <c r="AH82" i="8"/>
  <c r="BF82" i="8" s="1"/>
  <c r="AG82" i="8"/>
  <c r="BE82" i="8" s="1"/>
  <c r="AF82" i="8"/>
  <c r="BD82" i="8" s="1"/>
  <c r="AE82" i="8"/>
  <c r="BC82" i="8" s="1"/>
  <c r="AD82" i="8"/>
  <c r="BB82" i="8" s="1"/>
  <c r="AC82" i="8"/>
  <c r="BA82" i="8" s="1"/>
  <c r="AB82" i="8"/>
  <c r="AZ82" i="8" s="1"/>
  <c r="AA82" i="8"/>
  <c r="AY82" i="8" s="1"/>
  <c r="Z82" i="8"/>
  <c r="AX82" i="8" s="1"/>
  <c r="AW81" i="8"/>
  <c r="BU81" i="8" s="1"/>
  <c r="AV81" i="8"/>
  <c r="BT81" i="8" s="1"/>
  <c r="AU81" i="8"/>
  <c r="BS81" i="8" s="1"/>
  <c r="AT81" i="8"/>
  <c r="BR81" i="8" s="1"/>
  <c r="AS81" i="8"/>
  <c r="BQ81" i="8" s="1"/>
  <c r="AR81" i="8"/>
  <c r="BP81" i="8" s="1"/>
  <c r="AQ81" i="8"/>
  <c r="BO81" i="8" s="1"/>
  <c r="AP81" i="8"/>
  <c r="BN81" i="8" s="1"/>
  <c r="AO81" i="8"/>
  <c r="BM81" i="8" s="1"/>
  <c r="AN81" i="8"/>
  <c r="BL81" i="8" s="1"/>
  <c r="AM81" i="8"/>
  <c r="BK81" i="8" s="1"/>
  <c r="AL81" i="8"/>
  <c r="BJ81" i="8" s="1"/>
  <c r="AK81" i="8"/>
  <c r="BI81" i="8" s="1"/>
  <c r="AJ81" i="8"/>
  <c r="BH81" i="8" s="1"/>
  <c r="AI81" i="8"/>
  <c r="BG81" i="8" s="1"/>
  <c r="AH81" i="8"/>
  <c r="BF81" i="8" s="1"/>
  <c r="AG81" i="8"/>
  <c r="BE81" i="8" s="1"/>
  <c r="AF81" i="8"/>
  <c r="BD81" i="8" s="1"/>
  <c r="AE81" i="8"/>
  <c r="BC81" i="8" s="1"/>
  <c r="AD81" i="8"/>
  <c r="BB81" i="8" s="1"/>
  <c r="AC81" i="8"/>
  <c r="BA81" i="8" s="1"/>
  <c r="AB81" i="8"/>
  <c r="AZ81" i="8" s="1"/>
  <c r="AA81" i="8"/>
  <c r="AY81" i="8" s="1"/>
  <c r="Z81" i="8"/>
  <c r="AX81" i="8" s="1"/>
  <c r="AW80" i="8"/>
  <c r="BU80" i="8" s="1"/>
  <c r="AV80" i="8"/>
  <c r="BT80" i="8" s="1"/>
  <c r="AU80" i="8"/>
  <c r="BS80" i="8" s="1"/>
  <c r="AT80" i="8"/>
  <c r="BR80" i="8" s="1"/>
  <c r="AS80" i="8"/>
  <c r="BQ80" i="8" s="1"/>
  <c r="AR80" i="8"/>
  <c r="BP80" i="8" s="1"/>
  <c r="AQ80" i="8"/>
  <c r="BO80" i="8" s="1"/>
  <c r="AP80" i="8"/>
  <c r="BN80" i="8" s="1"/>
  <c r="AO80" i="8"/>
  <c r="BM80" i="8" s="1"/>
  <c r="AN80" i="8"/>
  <c r="BL80" i="8" s="1"/>
  <c r="AM80" i="8"/>
  <c r="BK80" i="8" s="1"/>
  <c r="AL80" i="8"/>
  <c r="BJ80" i="8" s="1"/>
  <c r="AK80" i="8"/>
  <c r="BI80" i="8" s="1"/>
  <c r="AJ80" i="8"/>
  <c r="BH80" i="8" s="1"/>
  <c r="AI80" i="8"/>
  <c r="BG80" i="8" s="1"/>
  <c r="AH80" i="8"/>
  <c r="BF80" i="8" s="1"/>
  <c r="AG80" i="8"/>
  <c r="BE80" i="8" s="1"/>
  <c r="AF80" i="8"/>
  <c r="BD80" i="8" s="1"/>
  <c r="AE80" i="8"/>
  <c r="BC80" i="8" s="1"/>
  <c r="AD80" i="8"/>
  <c r="BB80" i="8" s="1"/>
  <c r="AC80" i="8"/>
  <c r="BA80" i="8" s="1"/>
  <c r="AB80" i="8"/>
  <c r="AZ80" i="8" s="1"/>
  <c r="AA80" i="8"/>
  <c r="AY80" i="8" s="1"/>
  <c r="Z80" i="8"/>
  <c r="AX80" i="8" s="1"/>
  <c r="AW79" i="8"/>
  <c r="BU79" i="8" s="1"/>
  <c r="AV79" i="8"/>
  <c r="BT79" i="8" s="1"/>
  <c r="AU79" i="8"/>
  <c r="BS79" i="8" s="1"/>
  <c r="AT79" i="8"/>
  <c r="BR79" i="8" s="1"/>
  <c r="AS79" i="8"/>
  <c r="BQ79" i="8" s="1"/>
  <c r="AR79" i="8"/>
  <c r="BP79" i="8" s="1"/>
  <c r="AQ79" i="8"/>
  <c r="BO79" i="8" s="1"/>
  <c r="AP79" i="8"/>
  <c r="BN79" i="8" s="1"/>
  <c r="AO79" i="8"/>
  <c r="BM79" i="8" s="1"/>
  <c r="AN79" i="8"/>
  <c r="BL79" i="8" s="1"/>
  <c r="AM79" i="8"/>
  <c r="BK79" i="8" s="1"/>
  <c r="AL79" i="8"/>
  <c r="BJ79" i="8" s="1"/>
  <c r="AK79" i="8"/>
  <c r="BI79" i="8" s="1"/>
  <c r="AJ79" i="8"/>
  <c r="BH79" i="8" s="1"/>
  <c r="AI79" i="8"/>
  <c r="BG79" i="8" s="1"/>
  <c r="AH79" i="8"/>
  <c r="BF79" i="8" s="1"/>
  <c r="AG79" i="8"/>
  <c r="BE79" i="8" s="1"/>
  <c r="AF79" i="8"/>
  <c r="BD79" i="8" s="1"/>
  <c r="AE79" i="8"/>
  <c r="BC79" i="8" s="1"/>
  <c r="AD79" i="8"/>
  <c r="BB79" i="8" s="1"/>
  <c r="AC79" i="8"/>
  <c r="BA79" i="8" s="1"/>
  <c r="AB79" i="8"/>
  <c r="AZ79" i="8" s="1"/>
  <c r="AA79" i="8"/>
  <c r="AY79" i="8" s="1"/>
  <c r="Z79" i="8"/>
  <c r="AX79" i="8" s="1"/>
  <c r="AW78" i="8"/>
  <c r="BU78" i="8" s="1"/>
  <c r="AV78" i="8"/>
  <c r="BT78" i="8" s="1"/>
  <c r="AU78" i="8"/>
  <c r="BS78" i="8" s="1"/>
  <c r="AT78" i="8"/>
  <c r="BR78" i="8" s="1"/>
  <c r="AS78" i="8"/>
  <c r="BQ78" i="8" s="1"/>
  <c r="AR78" i="8"/>
  <c r="BP78" i="8" s="1"/>
  <c r="AQ78" i="8"/>
  <c r="BO78" i="8" s="1"/>
  <c r="AP78" i="8"/>
  <c r="BN78" i="8" s="1"/>
  <c r="AO78" i="8"/>
  <c r="BM78" i="8" s="1"/>
  <c r="AN78" i="8"/>
  <c r="BL78" i="8" s="1"/>
  <c r="AM78" i="8"/>
  <c r="BK78" i="8" s="1"/>
  <c r="AL78" i="8"/>
  <c r="BJ78" i="8" s="1"/>
  <c r="AK78" i="8"/>
  <c r="BI78" i="8" s="1"/>
  <c r="AJ78" i="8"/>
  <c r="BH78" i="8" s="1"/>
  <c r="AI78" i="8"/>
  <c r="BG78" i="8" s="1"/>
  <c r="AH78" i="8"/>
  <c r="BF78" i="8" s="1"/>
  <c r="AG78" i="8"/>
  <c r="BE78" i="8" s="1"/>
  <c r="AF78" i="8"/>
  <c r="BD78" i="8" s="1"/>
  <c r="AE78" i="8"/>
  <c r="BC78" i="8" s="1"/>
  <c r="AD78" i="8"/>
  <c r="BB78" i="8" s="1"/>
  <c r="AC78" i="8"/>
  <c r="BA78" i="8" s="1"/>
  <c r="AB78" i="8"/>
  <c r="AZ78" i="8" s="1"/>
  <c r="AA78" i="8"/>
  <c r="AY78" i="8" s="1"/>
  <c r="Z78" i="8"/>
  <c r="AX78" i="8" s="1"/>
  <c r="AW77" i="8"/>
  <c r="BU77" i="8" s="1"/>
  <c r="AV77" i="8"/>
  <c r="BT77" i="8" s="1"/>
  <c r="AU77" i="8"/>
  <c r="BS77" i="8" s="1"/>
  <c r="AT77" i="8"/>
  <c r="BR77" i="8" s="1"/>
  <c r="AS77" i="8"/>
  <c r="BQ77" i="8" s="1"/>
  <c r="AR77" i="8"/>
  <c r="BP77" i="8" s="1"/>
  <c r="AQ77" i="8"/>
  <c r="BO77" i="8" s="1"/>
  <c r="AP77" i="8"/>
  <c r="BN77" i="8" s="1"/>
  <c r="AO77" i="8"/>
  <c r="BM77" i="8" s="1"/>
  <c r="AN77" i="8"/>
  <c r="BL77" i="8" s="1"/>
  <c r="AM77" i="8"/>
  <c r="BK77" i="8" s="1"/>
  <c r="AL77" i="8"/>
  <c r="BJ77" i="8" s="1"/>
  <c r="AK77" i="8"/>
  <c r="BI77" i="8" s="1"/>
  <c r="AJ77" i="8"/>
  <c r="BH77" i="8" s="1"/>
  <c r="AI77" i="8"/>
  <c r="BG77" i="8" s="1"/>
  <c r="AH77" i="8"/>
  <c r="BF77" i="8" s="1"/>
  <c r="AG77" i="8"/>
  <c r="BE77" i="8" s="1"/>
  <c r="AF77" i="8"/>
  <c r="BD77" i="8" s="1"/>
  <c r="AE77" i="8"/>
  <c r="BC77" i="8" s="1"/>
  <c r="AD77" i="8"/>
  <c r="BB77" i="8" s="1"/>
  <c r="AC77" i="8"/>
  <c r="BA77" i="8" s="1"/>
  <c r="AB77" i="8"/>
  <c r="AZ77" i="8" s="1"/>
  <c r="AA77" i="8"/>
  <c r="AY77" i="8" s="1"/>
  <c r="Z77" i="8"/>
  <c r="AX77" i="8" s="1"/>
  <c r="AW76" i="8"/>
  <c r="BU76" i="8" s="1"/>
  <c r="AV76" i="8"/>
  <c r="BT76" i="8" s="1"/>
  <c r="AU76" i="8"/>
  <c r="BS76" i="8" s="1"/>
  <c r="AT76" i="8"/>
  <c r="BR76" i="8" s="1"/>
  <c r="AS76" i="8"/>
  <c r="BQ76" i="8" s="1"/>
  <c r="AR76" i="8"/>
  <c r="BP76" i="8" s="1"/>
  <c r="AQ76" i="8"/>
  <c r="BO76" i="8" s="1"/>
  <c r="AP76" i="8"/>
  <c r="BN76" i="8" s="1"/>
  <c r="AO76" i="8"/>
  <c r="BM76" i="8" s="1"/>
  <c r="AN76" i="8"/>
  <c r="BL76" i="8" s="1"/>
  <c r="AM76" i="8"/>
  <c r="BK76" i="8" s="1"/>
  <c r="AL76" i="8"/>
  <c r="BJ76" i="8" s="1"/>
  <c r="AK76" i="8"/>
  <c r="BI76" i="8" s="1"/>
  <c r="AJ76" i="8"/>
  <c r="BH76" i="8" s="1"/>
  <c r="AI76" i="8"/>
  <c r="BG76" i="8" s="1"/>
  <c r="AH76" i="8"/>
  <c r="BF76" i="8" s="1"/>
  <c r="AG76" i="8"/>
  <c r="BE76" i="8" s="1"/>
  <c r="AF76" i="8"/>
  <c r="BD76" i="8" s="1"/>
  <c r="AE76" i="8"/>
  <c r="BC76" i="8" s="1"/>
  <c r="AD76" i="8"/>
  <c r="BB76" i="8" s="1"/>
  <c r="AC76" i="8"/>
  <c r="BA76" i="8" s="1"/>
  <c r="AB76" i="8"/>
  <c r="AZ76" i="8" s="1"/>
  <c r="AA76" i="8"/>
  <c r="AY76" i="8" s="1"/>
  <c r="Z76" i="8"/>
  <c r="AX76" i="8" s="1"/>
  <c r="AW75" i="8"/>
  <c r="BU75" i="8" s="1"/>
  <c r="AV75" i="8"/>
  <c r="BT75" i="8" s="1"/>
  <c r="AU75" i="8"/>
  <c r="BS75" i="8" s="1"/>
  <c r="AT75" i="8"/>
  <c r="BR75" i="8" s="1"/>
  <c r="AS75" i="8"/>
  <c r="BQ75" i="8" s="1"/>
  <c r="AR75" i="8"/>
  <c r="BP75" i="8" s="1"/>
  <c r="AQ75" i="8"/>
  <c r="BO75" i="8" s="1"/>
  <c r="AP75" i="8"/>
  <c r="BN75" i="8" s="1"/>
  <c r="AO75" i="8"/>
  <c r="BM75" i="8" s="1"/>
  <c r="AN75" i="8"/>
  <c r="BL75" i="8" s="1"/>
  <c r="AM75" i="8"/>
  <c r="BK75" i="8" s="1"/>
  <c r="AL75" i="8"/>
  <c r="BJ75" i="8" s="1"/>
  <c r="AK75" i="8"/>
  <c r="BI75" i="8" s="1"/>
  <c r="AJ75" i="8"/>
  <c r="BH75" i="8" s="1"/>
  <c r="AI75" i="8"/>
  <c r="BG75" i="8" s="1"/>
  <c r="AH75" i="8"/>
  <c r="BF75" i="8" s="1"/>
  <c r="AG75" i="8"/>
  <c r="BE75" i="8" s="1"/>
  <c r="AF75" i="8"/>
  <c r="BD75" i="8" s="1"/>
  <c r="AE75" i="8"/>
  <c r="BC75" i="8" s="1"/>
  <c r="AD75" i="8"/>
  <c r="BB75" i="8" s="1"/>
  <c r="AC75" i="8"/>
  <c r="BA75" i="8" s="1"/>
  <c r="AB75" i="8"/>
  <c r="AZ75" i="8" s="1"/>
  <c r="AA75" i="8"/>
  <c r="AY75" i="8" s="1"/>
  <c r="Z75" i="8"/>
  <c r="AX75" i="8" s="1"/>
  <c r="AW74" i="8"/>
  <c r="BU74" i="8" s="1"/>
  <c r="AV74" i="8"/>
  <c r="BT74" i="8" s="1"/>
  <c r="AU74" i="8"/>
  <c r="BS74" i="8" s="1"/>
  <c r="AT74" i="8"/>
  <c r="BR74" i="8" s="1"/>
  <c r="AS74" i="8"/>
  <c r="BQ74" i="8" s="1"/>
  <c r="AR74" i="8"/>
  <c r="BP74" i="8" s="1"/>
  <c r="AQ74" i="8"/>
  <c r="BO74" i="8" s="1"/>
  <c r="AP74" i="8"/>
  <c r="BN74" i="8" s="1"/>
  <c r="AO74" i="8"/>
  <c r="BM74" i="8" s="1"/>
  <c r="AN74" i="8"/>
  <c r="BL74" i="8" s="1"/>
  <c r="AM74" i="8"/>
  <c r="BK74" i="8" s="1"/>
  <c r="AL74" i="8"/>
  <c r="BJ74" i="8" s="1"/>
  <c r="AK74" i="8"/>
  <c r="BI74" i="8" s="1"/>
  <c r="AJ74" i="8"/>
  <c r="BH74" i="8" s="1"/>
  <c r="AI74" i="8"/>
  <c r="BG74" i="8" s="1"/>
  <c r="AH74" i="8"/>
  <c r="BF74" i="8" s="1"/>
  <c r="AG74" i="8"/>
  <c r="BE74" i="8" s="1"/>
  <c r="AF74" i="8"/>
  <c r="BD74" i="8" s="1"/>
  <c r="AE74" i="8"/>
  <c r="BC74" i="8" s="1"/>
  <c r="AD74" i="8"/>
  <c r="BB74" i="8" s="1"/>
  <c r="AC74" i="8"/>
  <c r="BA74" i="8" s="1"/>
  <c r="AB74" i="8"/>
  <c r="AZ74" i="8" s="1"/>
  <c r="AA74" i="8"/>
  <c r="AY74" i="8" s="1"/>
  <c r="Z74" i="8"/>
  <c r="AX74" i="8" s="1"/>
  <c r="AW73" i="8"/>
  <c r="BU73" i="8" s="1"/>
  <c r="AV73" i="8"/>
  <c r="BT73" i="8" s="1"/>
  <c r="AU73" i="8"/>
  <c r="BS73" i="8" s="1"/>
  <c r="AT73" i="8"/>
  <c r="BR73" i="8" s="1"/>
  <c r="AS73" i="8"/>
  <c r="BQ73" i="8" s="1"/>
  <c r="AR73" i="8"/>
  <c r="BP73" i="8" s="1"/>
  <c r="AQ73" i="8"/>
  <c r="BO73" i="8" s="1"/>
  <c r="AP73" i="8"/>
  <c r="BN73" i="8" s="1"/>
  <c r="AO73" i="8"/>
  <c r="BM73" i="8" s="1"/>
  <c r="AN73" i="8"/>
  <c r="BL73" i="8" s="1"/>
  <c r="AM73" i="8"/>
  <c r="BK73" i="8" s="1"/>
  <c r="AL73" i="8"/>
  <c r="BJ73" i="8" s="1"/>
  <c r="AK73" i="8"/>
  <c r="BI73" i="8" s="1"/>
  <c r="AJ73" i="8"/>
  <c r="BH73" i="8" s="1"/>
  <c r="AI73" i="8"/>
  <c r="BG73" i="8" s="1"/>
  <c r="AH73" i="8"/>
  <c r="BF73" i="8" s="1"/>
  <c r="AG73" i="8"/>
  <c r="BE73" i="8" s="1"/>
  <c r="AF73" i="8"/>
  <c r="BD73" i="8" s="1"/>
  <c r="AE73" i="8"/>
  <c r="BC73" i="8" s="1"/>
  <c r="AD73" i="8"/>
  <c r="BB73" i="8" s="1"/>
  <c r="AC73" i="8"/>
  <c r="BA73" i="8" s="1"/>
  <c r="AB73" i="8"/>
  <c r="AZ73" i="8" s="1"/>
  <c r="AA73" i="8"/>
  <c r="AY73" i="8" s="1"/>
  <c r="Z73" i="8"/>
  <c r="AX73" i="8" s="1"/>
  <c r="AW72" i="8"/>
  <c r="BU72" i="8" s="1"/>
  <c r="AV72" i="8"/>
  <c r="BT72" i="8" s="1"/>
  <c r="AU72" i="8"/>
  <c r="BS72" i="8" s="1"/>
  <c r="AT72" i="8"/>
  <c r="BR72" i="8" s="1"/>
  <c r="AS72" i="8"/>
  <c r="BQ72" i="8" s="1"/>
  <c r="AR72" i="8"/>
  <c r="BP72" i="8" s="1"/>
  <c r="AQ72" i="8"/>
  <c r="BO72" i="8" s="1"/>
  <c r="AP72" i="8"/>
  <c r="BN72" i="8" s="1"/>
  <c r="AO72" i="8"/>
  <c r="BM72" i="8" s="1"/>
  <c r="AN72" i="8"/>
  <c r="BL72" i="8" s="1"/>
  <c r="AM72" i="8"/>
  <c r="BK72" i="8" s="1"/>
  <c r="AL72" i="8"/>
  <c r="BJ72" i="8" s="1"/>
  <c r="AK72" i="8"/>
  <c r="BI72" i="8" s="1"/>
  <c r="AJ72" i="8"/>
  <c r="BH72" i="8" s="1"/>
  <c r="AI72" i="8"/>
  <c r="BG72" i="8" s="1"/>
  <c r="AH72" i="8"/>
  <c r="BF72" i="8" s="1"/>
  <c r="AG72" i="8"/>
  <c r="BE72" i="8" s="1"/>
  <c r="AF72" i="8"/>
  <c r="BD72" i="8" s="1"/>
  <c r="AE72" i="8"/>
  <c r="BC72" i="8" s="1"/>
  <c r="AD72" i="8"/>
  <c r="BB72" i="8" s="1"/>
  <c r="AC72" i="8"/>
  <c r="BA72" i="8" s="1"/>
  <c r="AB72" i="8"/>
  <c r="AZ72" i="8" s="1"/>
  <c r="AA72" i="8"/>
  <c r="AY72" i="8" s="1"/>
  <c r="Z72" i="8"/>
  <c r="AX72" i="8" s="1"/>
  <c r="AW71" i="8"/>
  <c r="BU71" i="8" s="1"/>
  <c r="AV71" i="8"/>
  <c r="BT71" i="8" s="1"/>
  <c r="AU71" i="8"/>
  <c r="BS71" i="8" s="1"/>
  <c r="AT71" i="8"/>
  <c r="BR71" i="8" s="1"/>
  <c r="AS71" i="8"/>
  <c r="BQ71" i="8" s="1"/>
  <c r="AR71" i="8"/>
  <c r="BP71" i="8" s="1"/>
  <c r="AQ71" i="8"/>
  <c r="BO71" i="8" s="1"/>
  <c r="AP71" i="8"/>
  <c r="BN71" i="8" s="1"/>
  <c r="AO71" i="8"/>
  <c r="BM71" i="8" s="1"/>
  <c r="AN71" i="8"/>
  <c r="BL71" i="8" s="1"/>
  <c r="AM71" i="8"/>
  <c r="BK71" i="8" s="1"/>
  <c r="AL71" i="8"/>
  <c r="BJ71" i="8" s="1"/>
  <c r="AK71" i="8"/>
  <c r="BI71" i="8" s="1"/>
  <c r="AJ71" i="8"/>
  <c r="BH71" i="8" s="1"/>
  <c r="AI71" i="8"/>
  <c r="BG71" i="8" s="1"/>
  <c r="AH71" i="8"/>
  <c r="BF71" i="8" s="1"/>
  <c r="AG71" i="8"/>
  <c r="BE71" i="8" s="1"/>
  <c r="AF71" i="8"/>
  <c r="BD71" i="8" s="1"/>
  <c r="AE71" i="8"/>
  <c r="BC71" i="8" s="1"/>
  <c r="AD71" i="8"/>
  <c r="BB71" i="8" s="1"/>
  <c r="AC71" i="8"/>
  <c r="BA71" i="8" s="1"/>
  <c r="AB71" i="8"/>
  <c r="AZ71" i="8" s="1"/>
  <c r="AA71" i="8"/>
  <c r="AY71" i="8" s="1"/>
  <c r="Z71" i="8"/>
  <c r="AX71" i="8" s="1"/>
  <c r="AW70" i="8"/>
  <c r="BU70" i="8" s="1"/>
  <c r="AV70" i="8"/>
  <c r="BT70" i="8" s="1"/>
  <c r="AU70" i="8"/>
  <c r="BS70" i="8" s="1"/>
  <c r="AT70" i="8"/>
  <c r="BR70" i="8" s="1"/>
  <c r="AS70" i="8"/>
  <c r="BQ70" i="8" s="1"/>
  <c r="AR70" i="8"/>
  <c r="BP70" i="8" s="1"/>
  <c r="AQ70" i="8"/>
  <c r="BO70" i="8" s="1"/>
  <c r="AP70" i="8"/>
  <c r="BN70" i="8" s="1"/>
  <c r="AO70" i="8"/>
  <c r="BM70" i="8" s="1"/>
  <c r="AN70" i="8"/>
  <c r="BL70" i="8" s="1"/>
  <c r="AM70" i="8"/>
  <c r="BK70" i="8" s="1"/>
  <c r="AL70" i="8"/>
  <c r="BJ70" i="8" s="1"/>
  <c r="AK70" i="8"/>
  <c r="BI70" i="8" s="1"/>
  <c r="AJ70" i="8"/>
  <c r="BH70" i="8" s="1"/>
  <c r="AI70" i="8"/>
  <c r="BG70" i="8" s="1"/>
  <c r="AH70" i="8"/>
  <c r="BF70" i="8" s="1"/>
  <c r="AG70" i="8"/>
  <c r="BE70" i="8" s="1"/>
  <c r="AF70" i="8"/>
  <c r="BD70" i="8" s="1"/>
  <c r="AE70" i="8"/>
  <c r="BC70" i="8" s="1"/>
  <c r="AD70" i="8"/>
  <c r="BB70" i="8" s="1"/>
  <c r="AC70" i="8"/>
  <c r="BA70" i="8" s="1"/>
  <c r="AB70" i="8"/>
  <c r="AZ70" i="8" s="1"/>
  <c r="AA70" i="8"/>
  <c r="AY70" i="8" s="1"/>
  <c r="Z70" i="8"/>
  <c r="AX70" i="8" s="1"/>
  <c r="AW69" i="8"/>
  <c r="BU69" i="8" s="1"/>
  <c r="AV69" i="8"/>
  <c r="BT69" i="8" s="1"/>
  <c r="AU69" i="8"/>
  <c r="BS69" i="8" s="1"/>
  <c r="AT69" i="8"/>
  <c r="BR69" i="8" s="1"/>
  <c r="AS69" i="8"/>
  <c r="BQ69" i="8" s="1"/>
  <c r="AR69" i="8"/>
  <c r="BP69" i="8" s="1"/>
  <c r="AQ69" i="8"/>
  <c r="BO69" i="8" s="1"/>
  <c r="AP69" i="8"/>
  <c r="BN69" i="8" s="1"/>
  <c r="AO69" i="8"/>
  <c r="BM69" i="8" s="1"/>
  <c r="AN69" i="8"/>
  <c r="BL69" i="8" s="1"/>
  <c r="AM69" i="8"/>
  <c r="BK69" i="8" s="1"/>
  <c r="AL69" i="8"/>
  <c r="BJ69" i="8" s="1"/>
  <c r="AK69" i="8"/>
  <c r="BI69" i="8" s="1"/>
  <c r="AJ69" i="8"/>
  <c r="BH69" i="8" s="1"/>
  <c r="AI69" i="8"/>
  <c r="BG69" i="8" s="1"/>
  <c r="AH69" i="8"/>
  <c r="BF69" i="8" s="1"/>
  <c r="AG69" i="8"/>
  <c r="BE69" i="8" s="1"/>
  <c r="AF69" i="8"/>
  <c r="BD69" i="8" s="1"/>
  <c r="AE69" i="8"/>
  <c r="BC69" i="8" s="1"/>
  <c r="AD69" i="8"/>
  <c r="BB69" i="8" s="1"/>
  <c r="AC69" i="8"/>
  <c r="BA69" i="8" s="1"/>
  <c r="AB69" i="8"/>
  <c r="AZ69" i="8" s="1"/>
  <c r="AA69" i="8"/>
  <c r="AY69" i="8" s="1"/>
  <c r="Z69" i="8"/>
  <c r="AX69" i="8" s="1"/>
  <c r="AW68" i="8"/>
  <c r="BU68" i="8" s="1"/>
  <c r="AV68" i="8"/>
  <c r="BT68" i="8" s="1"/>
  <c r="AU68" i="8"/>
  <c r="BS68" i="8" s="1"/>
  <c r="AT68" i="8"/>
  <c r="BR68" i="8" s="1"/>
  <c r="AS68" i="8"/>
  <c r="BQ68" i="8" s="1"/>
  <c r="AR68" i="8"/>
  <c r="BP68" i="8" s="1"/>
  <c r="AQ68" i="8"/>
  <c r="BO68" i="8" s="1"/>
  <c r="AP68" i="8"/>
  <c r="BN68" i="8" s="1"/>
  <c r="AO68" i="8"/>
  <c r="BM68" i="8" s="1"/>
  <c r="AN68" i="8"/>
  <c r="BL68" i="8" s="1"/>
  <c r="AM68" i="8"/>
  <c r="BK68" i="8" s="1"/>
  <c r="AL68" i="8"/>
  <c r="BJ68" i="8" s="1"/>
  <c r="AK68" i="8"/>
  <c r="BI68" i="8" s="1"/>
  <c r="AJ68" i="8"/>
  <c r="BH68" i="8" s="1"/>
  <c r="AI68" i="8"/>
  <c r="BG68" i="8" s="1"/>
  <c r="AH68" i="8"/>
  <c r="BF68" i="8" s="1"/>
  <c r="AG68" i="8"/>
  <c r="BE68" i="8" s="1"/>
  <c r="AF68" i="8"/>
  <c r="BD68" i="8" s="1"/>
  <c r="AE68" i="8"/>
  <c r="BC68" i="8" s="1"/>
  <c r="AD68" i="8"/>
  <c r="BB68" i="8" s="1"/>
  <c r="AC68" i="8"/>
  <c r="BA68" i="8" s="1"/>
  <c r="AB68" i="8"/>
  <c r="AZ68" i="8" s="1"/>
  <c r="AA68" i="8"/>
  <c r="AY68" i="8" s="1"/>
  <c r="Z68" i="8"/>
  <c r="AX68" i="8" s="1"/>
  <c r="AW67" i="8"/>
  <c r="BU67" i="8" s="1"/>
  <c r="AV67" i="8"/>
  <c r="BT67" i="8" s="1"/>
  <c r="AU67" i="8"/>
  <c r="BS67" i="8" s="1"/>
  <c r="AT67" i="8"/>
  <c r="BR67" i="8" s="1"/>
  <c r="AS67" i="8"/>
  <c r="BQ67" i="8" s="1"/>
  <c r="AR67" i="8"/>
  <c r="BP67" i="8" s="1"/>
  <c r="AQ67" i="8"/>
  <c r="BO67" i="8" s="1"/>
  <c r="AP67" i="8"/>
  <c r="BN67" i="8" s="1"/>
  <c r="AO67" i="8"/>
  <c r="BM67" i="8" s="1"/>
  <c r="AN67" i="8"/>
  <c r="BL67" i="8" s="1"/>
  <c r="AM67" i="8"/>
  <c r="BK67" i="8" s="1"/>
  <c r="AL67" i="8"/>
  <c r="BJ67" i="8" s="1"/>
  <c r="AK67" i="8"/>
  <c r="BI67" i="8" s="1"/>
  <c r="AJ67" i="8"/>
  <c r="BH67" i="8" s="1"/>
  <c r="AI67" i="8"/>
  <c r="BG67" i="8" s="1"/>
  <c r="AH67" i="8"/>
  <c r="BF67" i="8" s="1"/>
  <c r="AG67" i="8"/>
  <c r="BE67" i="8" s="1"/>
  <c r="AF67" i="8"/>
  <c r="BD67" i="8" s="1"/>
  <c r="AE67" i="8"/>
  <c r="BC67" i="8" s="1"/>
  <c r="AD67" i="8"/>
  <c r="BB67" i="8" s="1"/>
  <c r="AC67" i="8"/>
  <c r="BA67" i="8" s="1"/>
  <c r="AB67" i="8"/>
  <c r="AZ67" i="8" s="1"/>
  <c r="AA67" i="8"/>
  <c r="AY67" i="8" s="1"/>
  <c r="Z67" i="8"/>
  <c r="AX67" i="8" s="1"/>
  <c r="AW66" i="8"/>
  <c r="BU66" i="8" s="1"/>
  <c r="AV66" i="8"/>
  <c r="BT66" i="8" s="1"/>
  <c r="AU66" i="8"/>
  <c r="BS66" i="8" s="1"/>
  <c r="AT66" i="8"/>
  <c r="BR66" i="8" s="1"/>
  <c r="AS66" i="8"/>
  <c r="BQ66" i="8" s="1"/>
  <c r="AR66" i="8"/>
  <c r="BP66" i="8" s="1"/>
  <c r="AQ66" i="8"/>
  <c r="BO66" i="8" s="1"/>
  <c r="AP66" i="8"/>
  <c r="BN66" i="8" s="1"/>
  <c r="AO66" i="8"/>
  <c r="BM66" i="8" s="1"/>
  <c r="AN66" i="8"/>
  <c r="BL66" i="8" s="1"/>
  <c r="AM66" i="8"/>
  <c r="BK66" i="8" s="1"/>
  <c r="AL66" i="8"/>
  <c r="BJ66" i="8" s="1"/>
  <c r="AK66" i="8"/>
  <c r="BI66" i="8" s="1"/>
  <c r="AJ66" i="8"/>
  <c r="BH66" i="8" s="1"/>
  <c r="AI66" i="8"/>
  <c r="BG66" i="8" s="1"/>
  <c r="AH66" i="8"/>
  <c r="BF66" i="8" s="1"/>
  <c r="AG66" i="8"/>
  <c r="BE66" i="8" s="1"/>
  <c r="AF66" i="8"/>
  <c r="BD66" i="8" s="1"/>
  <c r="AE66" i="8"/>
  <c r="BC66" i="8" s="1"/>
  <c r="AD66" i="8"/>
  <c r="BB66" i="8" s="1"/>
  <c r="AC66" i="8"/>
  <c r="BA66" i="8" s="1"/>
  <c r="AB66" i="8"/>
  <c r="AZ66" i="8" s="1"/>
  <c r="AA66" i="8"/>
  <c r="AY66" i="8" s="1"/>
  <c r="Z66" i="8"/>
  <c r="AX66" i="8" s="1"/>
  <c r="AW65" i="8"/>
  <c r="BU65" i="8" s="1"/>
  <c r="AV65" i="8"/>
  <c r="BT65" i="8" s="1"/>
  <c r="AU65" i="8"/>
  <c r="BS65" i="8" s="1"/>
  <c r="AT65" i="8"/>
  <c r="BR65" i="8" s="1"/>
  <c r="AS65" i="8"/>
  <c r="BQ65" i="8" s="1"/>
  <c r="AR65" i="8"/>
  <c r="BP65" i="8" s="1"/>
  <c r="AQ65" i="8"/>
  <c r="BO65" i="8" s="1"/>
  <c r="AP65" i="8"/>
  <c r="BN65" i="8" s="1"/>
  <c r="AO65" i="8"/>
  <c r="BM65" i="8" s="1"/>
  <c r="AN65" i="8"/>
  <c r="BL65" i="8" s="1"/>
  <c r="AM65" i="8"/>
  <c r="BK65" i="8" s="1"/>
  <c r="AL65" i="8"/>
  <c r="BJ65" i="8" s="1"/>
  <c r="AK65" i="8"/>
  <c r="BI65" i="8" s="1"/>
  <c r="AJ65" i="8"/>
  <c r="BH65" i="8" s="1"/>
  <c r="AI65" i="8"/>
  <c r="BG65" i="8" s="1"/>
  <c r="AH65" i="8"/>
  <c r="BF65" i="8" s="1"/>
  <c r="AG65" i="8"/>
  <c r="BE65" i="8" s="1"/>
  <c r="AF65" i="8"/>
  <c r="BD65" i="8" s="1"/>
  <c r="AE65" i="8"/>
  <c r="BC65" i="8" s="1"/>
  <c r="AD65" i="8"/>
  <c r="BB65" i="8" s="1"/>
  <c r="AC65" i="8"/>
  <c r="BA65" i="8" s="1"/>
  <c r="AB65" i="8"/>
  <c r="AZ65" i="8" s="1"/>
  <c r="AA65" i="8"/>
  <c r="AY65" i="8" s="1"/>
  <c r="Z65" i="8"/>
  <c r="AX65" i="8" s="1"/>
  <c r="AW64" i="8"/>
  <c r="BU64" i="8" s="1"/>
  <c r="AV64" i="8"/>
  <c r="BT64" i="8" s="1"/>
  <c r="AU64" i="8"/>
  <c r="BS64" i="8" s="1"/>
  <c r="AT64" i="8"/>
  <c r="BR64" i="8" s="1"/>
  <c r="AS64" i="8"/>
  <c r="BQ64" i="8" s="1"/>
  <c r="AR64" i="8"/>
  <c r="BP64" i="8" s="1"/>
  <c r="AQ64" i="8"/>
  <c r="BO64" i="8" s="1"/>
  <c r="AP64" i="8"/>
  <c r="BN64" i="8" s="1"/>
  <c r="AO64" i="8"/>
  <c r="BM64" i="8" s="1"/>
  <c r="AN64" i="8"/>
  <c r="BL64" i="8" s="1"/>
  <c r="AM64" i="8"/>
  <c r="BK64" i="8" s="1"/>
  <c r="AL64" i="8"/>
  <c r="BJ64" i="8" s="1"/>
  <c r="AK64" i="8"/>
  <c r="BI64" i="8" s="1"/>
  <c r="AJ64" i="8"/>
  <c r="BH64" i="8" s="1"/>
  <c r="AI64" i="8"/>
  <c r="BG64" i="8" s="1"/>
  <c r="AH64" i="8"/>
  <c r="BF64" i="8" s="1"/>
  <c r="AG64" i="8"/>
  <c r="BE64" i="8" s="1"/>
  <c r="AF64" i="8"/>
  <c r="BD64" i="8" s="1"/>
  <c r="AE64" i="8"/>
  <c r="BC64" i="8" s="1"/>
  <c r="AD64" i="8"/>
  <c r="BB64" i="8" s="1"/>
  <c r="AC64" i="8"/>
  <c r="BA64" i="8" s="1"/>
  <c r="AB64" i="8"/>
  <c r="AZ64" i="8" s="1"/>
  <c r="AA64" i="8"/>
  <c r="AY64" i="8" s="1"/>
  <c r="Z64" i="8"/>
  <c r="AX64" i="8" s="1"/>
  <c r="AW63" i="8"/>
  <c r="BU63" i="8" s="1"/>
  <c r="AV63" i="8"/>
  <c r="BT63" i="8" s="1"/>
  <c r="AU63" i="8"/>
  <c r="BS63" i="8" s="1"/>
  <c r="AT63" i="8"/>
  <c r="BR63" i="8" s="1"/>
  <c r="AS63" i="8"/>
  <c r="BQ63" i="8" s="1"/>
  <c r="AR63" i="8"/>
  <c r="BP63" i="8" s="1"/>
  <c r="AQ63" i="8"/>
  <c r="BO63" i="8" s="1"/>
  <c r="AP63" i="8"/>
  <c r="BN63" i="8" s="1"/>
  <c r="AO63" i="8"/>
  <c r="BM63" i="8" s="1"/>
  <c r="AN63" i="8"/>
  <c r="BL63" i="8" s="1"/>
  <c r="AM63" i="8"/>
  <c r="BK63" i="8" s="1"/>
  <c r="AL63" i="8"/>
  <c r="BJ63" i="8" s="1"/>
  <c r="AK63" i="8"/>
  <c r="BI63" i="8" s="1"/>
  <c r="AJ63" i="8"/>
  <c r="BH63" i="8" s="1"/>
  <c r="AI63" i="8"/>
  <c r="BG63" i="8" s="1"/>
  <c r="AH63" i="8"/>
  <c r="BF63" i="8" s="1"/>
  <c r="AG63" i="8"/>
  <c r="BE63" i="8" s="1"/>
  <c r="AF63" i="8"/>
  <c r="BD63" i="8" s="1"/>
  <c r="AE63" i="8"/>
  <c r="BC63" i="8" s="1"/>
  <c r="AD63" i="8"/>
  <c r="BB63" i="8" s="1"/>
  <c r="AC63" i="8"/>
  <c r="BA63" i="8" s="1"/>
  <c r="AB63" i="8"/>
  <c r="AZ63" i="8" s="1"/>
  <c r="AA63" i="8"/>
  <c r="AY63" i="8" s="1"/>
  <c r="Z63" i="8"/>
  <c r="AX63" i="8" s="1"/>
  <c r="AW62" i="8"/>
  <c r="BU62" i="8" s="1"/>
  <c r="AV62" i="8"/>
  <c r="BT62" i="8" s="1"/>
  <c r="AU62" i="8"/>
  <c r="BS62" i="8" s="1"/>
  <c r="AT62" i="8"/>
  <c r="BR62" i="8" s="1"/>
  <c r="AS62" i="8"/>
  <c r="BQ62" i="8" s="1"/>
  <c r="AR62" i="8"/>
  <c r="BP62" i="8" s="1"/>
  <c r="AQ62" i="8"/>
  <c r="BO62" i="8" s="1"/>
  <c r="AP62" i="8"/>
  <c r="BN62" i="8" s="1"/>
  <c r="AO62" i="8"/>
  <c r="BM62" i="8" s="1"/>
  <c r="AN62" i="8"/>
  <c r="BL62" i="8" s="1"/>
  <c r="AM62" i="8"/>
  <c r="BK62" i="8" s="1"/>
  <c r="AL62" i="8"/>
  <c r="BJ62" i="8" s="1"/>
  <c r="AK62" i="8"/>
  <c r="BI62" i="8" s="1"/>
  <c r="AJ62" i="8"/>
  <c r="BH62" i="8" s="1"/>
  <c r="AI62" i="8"/>
  <c r="BG62" i="8" s="1"/>
  <c r="AH62" i="8"/>
  <c r="BF62" i="8" s="1"/>
  <c r="AG62" i="8"/>
  <c r="BE62" i="8" s="1"/>
  <c r="AF62" i="8"/>
  <c r="BD62" i="8" s="1"/>
  <c r="AE62" i="8"/>
  <c r="BC62" i="8" s="1"/>
  <c r="AD62" i="8"/>
  <c r="BB62" i="8" s="1"/>
  <c r="AC62" i="8"/>
  <c r="BA62" i="8" s="1"/>
  <c r="AB62" i="8"/>
  <c r="AZ62" i="8" s="1"/>
  <c r="AA62" i="8"/>
  <c r="AY62" i="8" s="1"/>
  <c r="Z62" i="8"/>
  <c r="AX62" i="8" s="1"/>
  <c r="AW61" i="8"/>
  <c r="BU61" i="8" s="1"/>
  <c r="AV61" i="8"/>
  <c r="BT61" i="8" s="1"/>
  <c r="AU61" i="8"/>
  <c r="BS61" i="8" s="1"/>
  <c r="AT61" i="8"/>
  <c r="BR61" i="8" s="1"/>
  <c r="AS61" i="8"/>
  <c r="BQ61" i="8" s="1"/>
  <c r="AR61" i="8"/>
  <c r="BP61" i="8" s="1"/>
  <c r="AQ61" i="8"/>
  <c r="BO61" i="8" s="1"/>
  <c r="AP61" i="8"/>
  <c r="BN61" i="8" s="1"/>
  <c r="AO61" i="8"/>
  <c r="BM61" i="8" s="1"/>
  <c r="AN61" i="8"/>
  <c r="BL61" i="8" s="1"/>
  <c r="AM61" i="8"/>
  <c r="BK61" i="8" s="1"/>
  <c r="AL61" i="8"/>
  <c r="BJ61" i="8" s="1"/>
  <c r="AK61" i="8"/>
  <c r="BI61" i="8" s="1"/>
  <c r="AJ61" i="8"/>
  <c r="BH61" i="8" s="1"/>
  <c r="AI61" i="8"/>
  <c r="BG61" i="8" s="1"/>
  <c r="AH61" i="8"/>
  <c r="BF61" i="8" s="1"/>
  <c r="AG61" i="8"/>
  <c r="BE61" i="8" s="1"/>
  <c r="AF61" i="8"/>
  <c r="BD61" i="8" s="1"/>
  <c r="AE61" i="8"/>
  <c r="BC61" i="8" s="1"/>
  <c r="AD61" i="8"/>
  <c r="BB61" i="8" s="1"/>
  <c r="AC61" i="8"/>
  <c r="BA61" i="8" s="1"/>
  <c r="AB61" i="8"/>
  <c r="AZ61" i="8" s="1"/>
  <c r="AA61" i="8"/>
  <c r="AY61" i="8" s="1"/>
  <c r="Z61" i="8"/>
  <c r="AX61" i="8" s="1"/>
  <c r="AW60" i="8"/>
  <c r="BU60" i="8" s="1"/>
  <c r="AV60" i="8"/>
  <c r="BT60" i="8" s="1"/>
  <c r="AU60" i="8"/>
  <c r="BS60" i="8" s="1"/>
  <c r="AT60" i="8"/>
  <c r="BR60" i="8" s="1"/>
  <c r="AS60" i="8"/>
  <c r="BQ60" i="8" s="1"/>
  <c r="AR60" i="8"/>
  <c r="BP60" i="8" s="1"/>
  <c r="AQ60" i="8"/>
  <c r="BO60" i="8" s="1"/>
  <c r="AP60" i="8"/>
  <c r="BN60" i="8" s="1"/>
  <c r="AO60" i="8"/>
  <c r="BM60" i="8" s="1"/>
  <c r="AN60" i="8"/>
  <c r="BL60" i="8" s="1"/>
  <c r="AM60" i="8"/>
  <c r="BK60" i="8" s="1"/>
  <c r="AL60" i="8"/>
  <c r="BJ60" i="8" s="1"/>
  <c r="AK60" i="8"/>
  <c r="BI60" i="8" s="1"/>
  <c r="AJ60" i="8"/>
  <c r="BH60" i="8" s="1"/>
  <c r="AI60" i="8"/>
  <c r="BG60" i="8" s="1"/>
  <c r="AH60" i="8"/>
  <c r="BF60" i="8" s="1"/>
  <c r="AG60" i="8"/>
  <c r="BE60" i="8" s="1"/>
  <c r="AF60" i="8"/>
  <c r="BD60" i="8" s="1"/>
  <c r="AE60" i="8"/>
  <c r="BC60" i="8" s="1"/>
  <c r="AD60" i="8"/>
  <c r="BB60" i="8" s="1"/>
  <c r="AC60" i="8"/>
  <c r="BA60" i="8" s="1"/>
  <c r="AB60" i="8"/>
  <c r="AZ60" i="8" s="1"/>
  <c r="AA60" i="8"/>
  <c r="AY60" i="8" s="1"/>
  <c r="Z60" i="8"/>
  <c r="AX60" i="8" s="1"/>
  <c r="AW59" i="8"/>
  <c r="BU59" i="8" s="1"/>
  <c r="AV59" i="8"/>
  <c r="BT59" i="8" s="1"/>
  <c r="AU59" i="8"/>
  <c r="BS59" i="8" s="1"/>
  <c r="AT59" i="8"/>
  <c r="BR59" i="8" s="1"/>
  <c r="AS59" i="8"/>
  <c r="BQ59" i="8" s="1"/>
  <c r="AR59" i="8"/>
  <c r="BP59" i="8" s="1"/>
  <c r="AQ59" i="8"/>
  <c r="BO59" i="8" s="1"/>
  <c r="AP59" i="8"/>
  <c r="BN59" i="8" s="1"/>
  <c r="AO59" i="8"/>
  <c r="BM59" i="8" s="1"/>
  <c r="AN59" i="8"/>
  <c r="BL59" i="8" s="1"/>
  <c r="AM59" i="8"/>
  <c r="BK59" i="8" s="1"/>
  <c r="AL59" i="8"/>
  <c r="BJ59" i="8" s="1"/>
  <c r="AK59" i="8"/>
  <c r="BI59" i="8" s="1"/>
  <c r="AJ59" i="8"/>
  <c r="BH59" i="8" s="1"/>
  <c r="AI59" i="8"/>
  <c r="BG59" i="8" s="1"/>
  <c r="AH59" i="8"/>
  <c r="BF59" i="8" s="1"/>
  <c r="AG59" i="8"/>
  <c r="BE59" i="8" s="1"/>
  <c r="AF59" i="8"/>
  <c r="BD59" i="8" s="1"/>
  <c r="AE59" i="8"/>
  <c r="BC59" i="8" s="1"/>
  <c r="AD59" i="8"/>
  <c r="BB59" i="8" s="1"/>
  <c r="AC59" i="8"/>
  <c r="BA59" i="8" s="1"/>
  <c r="AB59" i="8"/>
  <c r="AZ59" i="8" s="1"/>
  <c r="AA59" i="8"/>
  <c r="AY59" i="8" s="1"/>
  <c r="Z59" i="8"/>
  <c r="AX59" i="8" s="1"/>
  <c r="AW58" i="8"/>
  <c r="BU58" i="8" s="1"/>
  <c r="AV58" i="8"/>
  <c r="BT58" i="8" s="1"/>
  <c r="AU58" i="8"/>
  <c r="BS58" i="8" s="1"/>
  <c r="AT58" i="8"/>
  <c r="BR58" i="8" s="1"/>
  <c r="AS58" i="8"/>
  <c r="BQ58" i="8" s="1"/>
  <c r="AR58" i="8"/>
  <c r="BP58" i="8" s="1"/>
  <c r="AQ58" i="8"/>
  <c r="BO58" i="8" s="1"/>
  <c r="AP58" i="8"/>
  <c r="BN58" i="8" s="1"/>
  <c r="AO58" i="8"/>
  <c r="BM58" i="8" s="1"/>
  <c r="AN58" i="8"/>
  <c r="BL58" i="8" s="1"/>
  <c r="AM58" i="8"/>
  <c r="BK58" i="8" s="1"/>
  <c r="AL58" i="8"/>
  <c r="BJ58" i="8" s="1"/>
  <c r="AK58" i="8"/>
  <c r="BI58" i="8" s="1"/>
  <c r="AJ58" i="8"/>
  <c r="BH58" i="8" s="1"/>
  <c r="AI58" i="8"/>
  <c r="BG58" i="8" s="1"/>
  <c r="AH58" i="8"/>
  <c r="BF58" i="8" s="1"/>
  <c r="AG58" i="8"/>
  <c r="BE58" i="8" s="1"/>
  <c r="AF58" i="8"/>
  <c r="BD58" i="8" s="1"/>
  <c r="AE58" i="8"/>
  <c r="BC58" i="8" s="1"/>
  <c r="AD58" i="8"/>
  <c r="BB58" i="8" s="1"/>
  <c r="AC58" i="8"/>
  <c r="BA58" i="8" s="1"/>
  <c r="AB58" i="8"/>
  <c r="AZ58" i="8" s="1"/>
  <c r="AA58" i="8"/>
  <c r="AY58" i="8" s="1"/>
  <c r="Z58" i="8"/>
  <c r="AX58" i="8" s="1"/>
  <c r="AW57" i="8"/>
  <c r="BU57" i="8" s="1"/>
  <c r="AV57" i="8"/>
  <c r="BT57" i="8" s="1"/>
  <c r="AU57" i="8"/>
  <c r="BS57" i="8" s="1"/>
  <c r="AT57" i="8"/>
  <c r="BR57" i="8" s="1"/>
  <c r="AS57" i="8"/>
  <c r="BQ57" i="8" s="1"/>
  <c r="AR57" i="8"/>
  <c r="BP57" i="8" s="1"/>
  <c r="AQ57" i="8"/>
  <c r="BO57" i="8" s="1"/>
  <c r="AP57" i="8"/>
  <c r="BN57" i="8" s="1"/>
  <c r="AO57" i="8"/>
  <c r="BM57" i="8" s="1"/>
  <c r="AN57" i="8"/>
  <c r="BL57" i="8" s="1"/>
  <c r="AM57" i="8"/>
  <c r="BK57" i="8" s="1"/>
  <c r="AL57" i="8"/>
  <c r="BJ57" i="8" s="1"/>
  <c r="AK57" i="8"/>
  <c r="BI57" i="8" s="1"/>
  <c r="AJ57" i="8"/>
  <c r="BH57" i="8" s="1"/>
  <c r="AI57" i="8"/>
  <c r="BG57" i="8" s="1"/>
  <c r="AH57" i="8"/>
  <c r="BF57" i="8" s="1"/>
  <c r="AG57" i="8"/>
  <c r="BE57" i="8" s="1"/>
  <c r="AF57" i="8"/>
  <c r="BD57" i="8" s="1"/>
  <c r="AE57" i="8"/>
  <c r="BC57" i="8" s="1"/>
  <c r="AD57" i="8"/>
  <c r="BB57" i="8" s="1"/>
  <c r="AC57" i="8"/>
  <c r="BA57" i="8" s="1"/>
  <c r="AB57" i="8"/>
  <c r="AZ57" i="8" s="1"/>
  <c r="AA57" i="8"/>
  <c r="AY57" i="8" s="1"/>
  <c r="Z57" i="8"/>
  <c r="AX57" i="8" s="1"/>
  <c r="AW56" i="8"/>
  <c r="BU56" i="8" s="1"/>
  <c r="AV56" i="8"/>
  <c r="BT56" i="8" s="1"/>
  <c r="AU56" i="8"/>
  <c r="BS56" i="8" s="1"/>
  <c r="AT56" i="8"/>
  <c r="BR56" i="8" s="1"/>
  <c r="AS56" i="8"/>
  <c r="BQ56" i="8" s="1"/>
  <c r="AR56" i="8"/>
  <c r="BP56" i="8" s="1"/>
  <c r="AQ56" i="8"/>
  <c r="BO56" i="8" s="1"/>
  <c r="AP56" i="8"/>
  <c r="BN56" i="8" s="1"/>
  <c r="AO56" i="8"/>
  <c r="BM56" i="8" s="1"/>
  <c r="AN56" i="8"/>
  <c r="BL56" i="8" s="1"/>
  <c r="AM56" i="8"/>
  <c r="BK56" i="8" s="1"/>
  <c r="AL56" i="8"/>
  <c r="BJ56" i="8" s="1"/>
  <c r="AK56" i="8"/>
  <c r="BI56" i="8" s="1"/>
  <c r="AJ56" i="8"/>
  <c r="BH56" i="8" s="1"/>
  <c r="AI56" i="8"/>
  <c r="BG56" i="8" s="1"/>
  <c r="AH56" i="8"/>
  <c r="BF56" i="8" s="1"/>
  <c r="AG56" i="8"/>
  <c r="BE56" i="8" s="1"/>
  <c r="AF56" i="8"/>
  <c r="BD56" i="8" s="1"/>
  <c r="AE56" i="8"/>
  <c r="BC56" i="8" s="1"/>
  <c r="AD56" i="8"/>
  <c r="BB56" i="8" s="1"/>
  <c r="AC56" i="8"/>
  <c r="BA56" i="8" s="1"/>
  <c r="AB56" i="8"/>
  <c r="AZ56" i="8" s="1"/>
  <c r="AA56" i="8"/>
  <c r="AY56" i="8" s="1"/>
  <c r="Z56" i="8"/>
  <c r="AX56" i="8" s="1"/>
  <c r="AW55" i="8"/>
  <c r="BU55" i="8" s="1"/>
  <c r="AV55" i="8"/>
  <c r="BT55" i="8" s="1"/>
  <c r="AU55" i="8"/>
  <c r="BS55" i="8" s="1"/>
  <c r="AT55" i="8"/>
  <c r="BR55" i="8" s="1"/>
  <c r="AS55" i="8"/>
  <c r="BQ55" i="8" s="1"/>
  <c r="AR55" i="8"/>
  <c r="BP55" i="8" s="1"/>
  <c r="AQ55" i="8"/>
  <c r="BO55" i="8" s="1"/>
  <c r="AP55" i="8"/>
  <c r="BN55" i="8" s="1"/>
  <c r="AO55" i="8"/>
  <c r="BM55" i="8" s="1"/>
  <c r="AN55" i="8"/>
  <c r="BL55" i="8" s="1"/>
  <c r="AM55" i="8"/>
  <c r="BK55" i="8" s="1"/>
  <c r="AL55" i="8"/>
  <c r="BJ55" i="8" s="1"/>
  <c r="AK55" i="8"/>
  <c r="BI55" i="8" s="1"/>
  <c r="AJ55" i="8"/>
  <c r="BH55" i="8" s="1"/>
  <c r="AI55" i="8"/>
  <c r="BG55" i="8" s="1"/>
  <c r="AH55" i="8"/>
  <c r="BF55" i="8" s="1"/>
  <c r="AG55" i="8"/>
  <c r="BE55" i="8" s="1"/>
  <c r="AF55" i="8"/>
  <c r="BD55" i="8" s="1"/>
  <c r="AE55" i="8"/>
  <c r="BC55" i="8" s="1"/>
  <c r="AD55" i="8"/>
  <c r="BB55" i="8" s="1"/>
  <c r="AC55" i="8"/>
  <c r="BA55" i="8" s="1"/>
  <c r="AB55" i="8"/>
  <c r="AZ55" i="8" s="1"/>
  <c r="AA55" i="8"/>
  <c r="AY55" i="8" s="1"/>
  <c r="Z55" i="8"/>
  <c r="AX55" i="8" s="1"/>
  <c r="AW54" i="8"/>
  <c r="BU54" i="8" s="1"/>
  <c r="AV54" i="8"/>
  <c r="BT54" i="8" s="1"/>
  <c r="AU54" i="8"/>
  <c r="BS54" i="8" s="1"/>
  <c r="AT54" i="8"/>
  <c r="BR54" i="8" s="1"/>
  <c r="AS54" i="8"/>
  <c r="BQ54" i="8" s="1"/>
  <c r="AR54" i="8"/>
  <c r="BP54" i="8" s="1"/>
  <c r="AQ54" i="8"/>
  <c r="BO54" i="8" s="1"/>
  <c r="AP54" i="8"/>
  <c r="BN54" i="8" s="1"/>
  <c r="AO54" i="8"/>
  <c r="BM54" i="8" s="1"/>
  <c r="AN54" i="8"/>
  <c r="BL54" i="8" s="1"/>
  <c r="AM54" i="8"/>
  <c r="BK54" i="8" s="1"/>
  <c r="AL54" i="8"/>
  <c r="BJ54" i="8" s="1"/>
  <c r="AK54" i="8"/>
  <c r="BI54" i="8" s="1"/>
  <c r="AJ54" i="8"/>
  <c r="BH54" i="8" s="1"/>
  <c r="AI54" i="8"/>
  <c r="BG54" i="8" s="1"/>
  <c r="AH54" i="8"/>
  <c r="BF54" i="8" s="1"/>
  <c r="AG54" i="8"/>
  <c r="BE54" i="8" s="1"/>
  <c r="AF54" i="8"/>
  <c r="BD54" i="8" s="1"/>
  <c r="AE54" i="8"/>
  <c r="BC54" i="8" s="1"/>
  <c r="AD54" i="8"/>
  <c r="BB54" i="8" s="1"/>
  <c r="AC54" i="8"/>
  <c r="BA54" i="8" s="1"/>
  <c r="AB54" i="8"/>
  <c r="AZ54" i="8" s="1"/>
  <c r="AA54" i="8"/>
  <c r="AY54" i="8" s="1"/>
  <c r="Z54" i="8"/>
  <c r="AX54" i="8" s="1"/>
  <c r="AW53" i="8"/>
  <c r="BU53" i="8" s="1"/>
  <c r="AV53" i="8"/>
  <c r="BT53" i="8" s="1"/>
  <c r="AU53" i="8"/>
  <c r="BS53" i="8" s="1"/>
  <c r="AT53" i="8"/>
  <c r="BR53" i="8" s="1"/>
  <c r="AS53" i="8"/>
  <c r="BQ53" i="8" s="1"/>
  <c r="AR53" i="8"/>
  <c r="BP53" i="8" s="1"/>
  <c r="AQ53" i="8"/>
  <c r="BO53" i="8" s="1"/>
  <c r="AP53" i="8"/>
  <c r="BN53" i="8" s="1"/>
  <c r="AO53" i="8"/>
  <c r="BM53" i="8" s="1"/>
  <c r="AN53" i="8"/>
  <c r="BL53" i="8" s="1"/>
  <c r="AM53" i="8"/>
  <c r="BK53" i="8" s="1"/>
  <c r="AL53" i="8"/>
  <c r="BJ53" i="8" s="1"/>
  <c r="AK53" i="8"/>
  <c r="BI53" i="8" s="1"/>
  <c r="AJ53" i="8"/>
  <c r="BH53" i="8" s="1"/>
  <c r="AI53" i="8"/>
  <c r="BG53" i="8" s="1"/>
  <c r="AH53" i="8"/>
  <c r="BF53" i="8" s="1"/>
  <c r="AG53" i="8"/>
  <c r="BE53" i="8" s="1"/>
  <c r="AF53" i="8"/>
  <c r="BD53" i="8" s="1"/>
  <c r="AE53" i="8"/>
  <c r="BC53" i="8" s="1"/>
  <c r="AD53" i="8"/>
  <c r="BB53" i="8" s="1"/>
  <c r="AC53" i="8"/>
  <c r="BA53" i="8" s="1"/>
  <c r="AB53" i="8"/>
  <c r="AZ53" i="8" s="1"/>
  <c r="AA53" i="8"/>
  <c r="AY53" i="8" s="1"/>
  <c r="Z53" i="8"/>
  <c r="AX53" i="8" s="1"/>
  <c r="AW52" i="8"/>
  <c r="BU52" i="8" s="1"/>
  <c r="AV52" i="8"/>
  <c r="BT52" i="8" s="1"/>
  <c r="AU52" i="8"/>
  <c r="BS52" i="8" s="1"/>
  <c r="AT52" i="8"/>
  <c r="BR52" i="8" s="1"/>
  <c r="AS52" i="8"/>
  <c r="BQ52" i="8" s="1"/>
  <c r="AR52" i="8"/>
  <c r="BP52" i="8" s="1"/>
  <c r="AQ52" i="8"/>
  <c r="BO52" i="8" s="1"/>
  <c r="AP52" i="8"/>
  <c r="BN52" i="8" s="1"/>
  <c r="AO52" i="8"/>
  <c r="BM52" i="8" s="1"/>
  <c r="AN52" i="8"/>
  <c r="BL52" i="8" s="1"/>
  <c r="AM52" i="8"/>
  <c r="BK52" i="8" s="1"/>
  <c r="AL52" i="8"/>
  <c r="BJ52" i="8" s="1"/>
  <c r="AK52" i="8"/>
  <c r="BI52" i="8" s="1"/>
  <c r="AJ52" i="8"/>
  <c r="BH52" i="8" s="1"/>
  <c r="AI52" i="8"/>
  <c r="BG52" i="8" s="1"/>
  <c r="AH52" i="8"/>
  <c r="BF52" i="8" s="1"/>
  <c r="AG52" i="8"/>
  <c r="BE52" i="8" s="1"/>
  <c r="AF52" i="8"/>
  <c r="BD52" i="8" s="1"/>
  <c r="AE52" i="8"/>
  <c r="BC52" i="8" s="1"/>
  <c r="AD52" i="8"/>
  <c r="BB52" i="8" s="1"/>
  <c r="AC52" i="8"/>
  <c r="BA52" i="8" s="1"/>
  <c r="AB52" i="8"/>
  <c r="AZ52" i="8" s="1"/>
  <c r="AA52" i="8"/>
  <c r="AY52" i="8" s="1"/>
  <c r="Z52" i="8"/>
  <c r="AX52" i="8" s="1"/>
  <c r="AW51" i="8"/>
  <c r="BU51" i="8" s="1"/>
  <c r="AV51" i="8"/>
  <c r="BT51" i="8" s="1"/>
  <c r="AU51" i="8"/>
  <c r="BS51" i="8" s="1"/>
  <c r="AT51" i="8"/>
  <c r="BR51" i="8" s="1"/>
  <c r="AS51" i="8"/>
  <c r="BQ51" i="8" s="1"/>
  <c r="AR51" i="8"/>
  <c r="BP51" i="8" s="1"/>
  <c r="AQ51" i="8"/>
  <c r="BO51" i="8" s="1"/>
  <c r="AP51" i="8"/>
  <c r="BN51" i="8" s="1"/>
  <c r="AO51" i="8"/>
  <c r="BM51" i="8" s="1"/>
  <c r="AN51" i="8"/>
  <c r="BL51" i="8" s="1"/>
  <c r="AM51" i="8"/>
  <c r="BK51" i="8" s="1"/>
  <c r="AL51" i="8"/>
  <c r="BJ51" i="8" s="1"/>
  <c r="AK51" i="8"/>
  <c r="BI51" i="8" s="1"/>
  <c r="AJ51" i="8"/>
  <c r="BH51" i="8" s="1"/>
  <c r="AI51" i="8"/>
  <c r="BG51" i="8" s="1"/>
  <c r="AH51" i="8"/>
  <c r="BF51" i="8" s="1"/>
  <c r="AG51" i="8"/>
  <c r="BE51" i="8" s="1"/>
  <c r="AF51" i="8"/>
  <c r="BD51" i="8" s="1"/>
  <c r="AE51" i="8"/>
  <c r="BC51" i="8" s="1"/>
  <c r="AD51" i="8"/>
  <c r="BB51" i="8" s="1"/>
  <c r="AC51" i="8"/>
  <c r="BA51" i="8" s="1"/>
  <c r="AB51" i="8"/>
  <c r="AZ51" i="8" s="1"/>
  <c r="AA51" i="8"/>
  <c r="AY51" i="8" s="1"/>
  <c r="Z51" i="8"/>
  <c r="AX51" i="8" s="1"/>
  <c r="AW50" i="8"/>
  <c r="BU50" i="8" s="1"/>
  <c r="AV50" i="8"/>
  <c r="BT50" i="8" s="1"/>
  <c r="AU50" i="8"/>
  <c r="BS50" i="8" s="1"/>
  <c r="AT50" i="8"/>
  <c r="BR50" i="8" s="1"/>
  <c r="AS50" i="8"/>
  <c r="BQ50" i="8" s="1"/>
  <c r="AR50" i="8"/>
  <c r="BP50" i="8" s="1"/>
  <c r="AQ50" i="8"/>
  <c r="BO50" i="8" s="1"/>
  <c r="AP50" i="8"/>
  <c r="BN50" i="8" s="1"/>
  <c r="AO50" i="8"/>
  <c r="BM50" i="8" s="1"/>
  <c r="AN50" i="8"/>
  <c r="BL50" i="8" s="1"/>
  <c r="AM50" i="8"/>
  <c r="BK50" i="8" s="1"/>
  <c r="AL50" i="8"/>
  <c r="BJ50" i="8" s="1"/>
  <c r="AK50" i="8"/>
  <c r="BI50" i="8" s="1"/>
  <c r="AJ50" i="8"/>
  <c r="BH50" i="8" s="1"/>
  <c r="AI50" i="8"/>
  <c r="BG50" i="8" s="1"/>
  <c r="AH50" i="8"/>
  <c r="BF50" i="8" s="1"/>
  <c r="AG50" i="8"/>
  <c r="BE50" i="8" s="1"/>
  <c r="AF50" i="8"/>
  <c r="BD50" i="8" s="1"/>
  <c r="AE50" i="8"/>
  <c r="BC50" i="8" s="1"/>
  <c r="AD50" i="8"/>
  <c r="BB50" i="8" s="1"/>
  <c r="AC50" i="8"/>
  <c r="BA50" i="8" s="1"/>
  <c r="AB50" i="8"/>
  <c r="AZ50" i="8" s="1"/>
  <c r="AA50" i="8"/>
  <c r="AY50" i="8" s="1"/>
  <c r="Z50" i="8"/>
  <c r="AX50" i="8" s="1"/>
  <c r="AW49" i="8"/>
  <c r="BU49" i="8" s="1"/>
  <c r="AV49" i="8"/>
  <c r="BT49" i="8" s="1"/>
  <c r="AU49" i="8"/>
  <c r="BS49" i="8" s="1"/>
  <c r="AT49" i="8"/>
  <c r="BR49" i="8" s="1"/>
  <c r="AS49" i="8"/>
  <c r="BQ49" i="8" s="1"/>
  <c r="AR49" i="8"/>
  <c r="BP49" i="8" s="1"/>
  <c r="AQ49" i="8"/>
  <c r="BO49" i="8" s="1"/>
  <c r="AP49" i="8"/>
  <c r="BN49" i="8" s="1"/>
  <c r="AO49" i="8"/>
  <c r="BM49" i="8" s="1"/>
  <c r="AN49" i="8"/>
  <c r="BL49" i="8" s="1"/>
  <c r="AM49" i="8"/>
  <c r="BK49" i="8" s="1"/>
  <c r="AL49" i="8"/>
  <c r="BJ49" i="8" s="1"/>
  <c r="AK49" i="8"/>
  <c r="BI49" i="8" s="1"/>
  <c r="AJ49" i="8"/>
  <c r="BH49" i="8" s="1"/>
  <c r="AI49" i="8"/>
  <c r="BG49" i="8" s="1"/>
  <c r="AH49" i="8"/>
  <c r="BF49" i="8" s="1"/>
  <c r="AG49" i="8"/>
  <c r="BE49" i="8" s="1"/>
  <c r="AF49" i="8"/>
  <c r="BD49" i="8" s="1"/>
  <c r="AE49" i="8"/>
  <c r="BC49" i="8" s="1"/>
  <c r="AD49" i="8"/>
  <c r="BB49" i="8" s="1"/>
  <c r="AC49" i="8"/>
  <c r="BA49" i="8" s="1"/>
  <c r="AB49" i="8"/>
  <c r="AZ49" i="8" s="1"/>
  <c r="AA49" i="8"/>
  <c r="AY49" i="8" s="1"/>
  <c r="Z49" i="8"/>
  <c r="AX49" i="8" s="1"/>
  <c r="AW48" i="8"/>
  <c r="BU48" i="8" s="1"/>
  <c r="AV48" i="8"/>
  <c r="BT48" i="8" s="1"/>
  <c r="AU48" i="8"/>
  <c r="BS48" i="8" s="1"/>
  <c r="AT48" i="8"/>
  <c r="BR48" i="8" s="1"/>
  <c r="AS48" i="8"/>
  <c r="BQ48" i="8" s="1"/>
  <c r="AR48" i="8"/>
  <c r="BP48" i="8" s="1"/>
  <c r="AQ48" i="8"/>
  <c r="BO48" i="8" s="1"/>
  <c r="AP48" i="8"/>
  <c r="BN48" i="8" s="1"/>
  <c r="AO48" i="8"/>
  <c r="BM48" i="8" s="1"/>
  <c r="AN48" i="8"/>
  <c r="BL48" i="8" s="1"/>
  <c r="AM48" i="8"/>
  <c r="BK48" i="8" s="1"/>
  <c r="AL48" i="8"/>
  <c r="BJ48" i="8" s="1"/>
  <c r="AK48" i="8"/>
  <c r="BI48" i="8" s="1"/>
  <c r="AJ48" i="8"/>
  <c r="BH48" i="8" s="1"/>
  <c r="AI48" i="8"/>
  <c r="BG48" i="8" s="1"/>
  <c r="AH48" i="8"/>
  <c r="BF48" i="8" s="1"/>
  <c r="AG48" i="8"/>
  <c r="BE48" i="8" s="1"/>
  <c r="AF48" i="8"/>
  <c r="BD48" i="8" s="1"/>
  <c r="AE48" i="8"/>
  <c r="BC48" i="8" s="1"/>
  <c r="AD48" i="8"/>
  <c r="BB48" i="8" s="1"/>
  <c r="AC48" i="8"/>
  <c r="BA48" i="8" s="1"/>
  <c r="AB48" i="8"/>
  <c r="AZ48" i="8" s="1"/>
  <c r="AA48" i="8"/>
  <c r="AY48" i="8" s="1"/>
  <c r="Z48" i="8"/>
  <c r="AX48" i="8" s="1"/>
  <c r="AW47" i="8"/>
  <c r="BU47" i="8" s="1"/>
  <c r="AV47" i="8"/>
  <c r="BT47" i="8" s="1"/>
  <c r="AU47" i="8"/>
  <c r="BS47" i="8" s="1"/>
  <c r="AT47" i="8"/>
  <c r="BR47" i="8" s="1"/>
  <c r="AS47" i="8"/>
  <c r="BQ47" i="8" s="1"/>
  <c r="AR47" i="8"/>
  <c r="BP47" i="8" s="1"/>
  <c r="AQ47" i="8"/>
  <c r="BO47" i="8" s="1"/>
  <c r="AP47" i="8"/>
  <c r="BN47" i="8" s="1"/>
  <c r="AO47" i="8"/>
  <c r="BM47" i="8" s="1"/>
  <c r="AN47" i="8"/>
  <c r="BL47" i="8" s="1"/>
  <c r="AM47" i="8"/>
  <c r="BK47" i="8" s="1"/>
  <c r="AL47" i="8"/>
  <c r="BJ47" i="8" s="1"/>
  <c r="AK47" i="8"/>
  <c r="BI47" i="8" s="1"/>
  <c r="AJ47" i="8"/>
  <c r="BH47" i="8" s="1"/>
  <c r="AI47" i="8"/>
  <c r="BG47" i="8" s="1"/>
  <c r="AH47" i="8"/>
  <c r="BF47" i="8" s="1"/>
  <c r="AG47" i="8"/>
  <c r="BE47" i="8" s="1"/>
  <c r="AF47" i="8"/>
  <c r="BD47" i="8" s="1"/>
  <c r="AE47" i="8"/>
  <c r="BC47" i="8" s="1"/>
  <c r="AD47" i="8"/>
  <c r="BB47" i="8" s="1"/>
  <c r="AC47" i="8"/>
  <c r="BA47" i="8" s="1"/>
  <c r="AB47" i="8"/>
  <c r="AZ47" i="8" s="1"/>
  <c r="AA47" i="8"/>
  <c r="AY47" i="8" s="1"/>
  <c r="Z47" i="8"/>
  <c r="AX47" i="8" s="1"/>
  <c r="AW46" i="8"/>
  <c r="BU46" i="8" s="1"/>
  <c r="AV46" i="8"/>
  <c r="BT46" i="8" s="1"/>
  <c r="AU46" i="8"/>
  <c r="BS46" i="8" s="1"/>
  <c r="AT46" i="8"/>
  <c r="BR46" i="8" s="1"/>
  <c r="AS46" i="8"/>
  <c r="BQ46" i="8" s="1"/>
  <c r="AR46" i="8"/>
  <c r="BP46" i="8" s="1"/>
  <c r="AQ46" i="8"/>
  <c r="BO46" i="8" s="1"/>
  <c r="AP46" i="8"/>
  <c r="BN46" i="8" s="1"/>
  <c r="AO46" i="8"/>
  <c r="BM46" i="8" s="1"/>
  <c r="AN46" i="8"/>
  <c r="BL46" i="8" s="1"/>
  <c r="AM46" i="8"/>
  <c r="BK46" i="8" s="1"/>
  <c r="AL46" i="8"/>
  <c r="BJ46" i="8" s="1"/>
  <c r="AK46" i="8"/>
  <c r="BI46" i="8" s="1"/>
  <c r="AJ46" i="8"/>
  <c r="BH46" i="8" s="1"/>
  <c r="AI46" i="8"/>
  <c r="BG46" i="8" s="1"/>
  <c r="AH46" i="8"/>
  <c r="BF46" i="8" s="1"/>
  <c r="AG46" i="8"/>
  <c r="BE46" i="8" s="1"/>
  <c r="AF46" i="8"/>
  <c r="BD46" i="8" s="1"/>
  <c r="AE46" i="8"/>
  <c r="BC46" i="8" s="1"/>
  <c r="AD46" i="8"/>
  <c r="BB46" i="8" s="1"/>
  <c r="AC46" i="8"/>
  <c r="BA46" i="8" s="1"/>
  <c r="AB46" i="8"/>
  <c r="AZ46" i="8" s="1"/>
  <c r="AA46" i="8"/>
  <c r="AY46" i="8" s="1"/>
  <c r="Z46" i="8"/>
  <c r="AX46" i="8" s="1"/>
  <c r="AW45" i="8"/>
  <c r="BU45" i="8" s="1"/>
  <c r="AV45" i="8"/>
  <c r="BT45" i="8" s="1"/>
  <c r="AU45" i="8"/>
  <c r="BS45" i="8" s="1"/>
  <c r="AT45" i="8"/>
  <c r="BR45" i="8" s="1"/>
  <c r="AS45" i="8"/>
  <c r="BQ45" i="8" s="1"/>
  <c r="AR45" i="8"/>
  <c r="BP45" i="8" s="1"/>
  <c r="AQ45" i="8"/>
  <c r="BO45" i="8" s="1"/>
  <c r="AP45" i="8"/>
  <c r="BN45" i="8" s="1"/>
  <c r="AO45" i="8"/>
  <c r="BM45" i="8" s="1"/>
  <c r="AN45" i="8"/>
  <c r="BL45" i="8" s="1"/>
  <c r="AM45" i="8"/>
  <c r="BK45" i="8" s="1"/>
  <c r="AL45" i="8"/>
  <c r="BJ45" i="8" s="1"/>
  <c r="AK45" i="8"/>
  <c r="BI45" i="8" s="1"/>
  <c r="AJ45" i="8"/>
  <c r="BH45" i="8" s="1"/>
  <c r="AI45" i="8"/>
  <c r="BG45" i="8" s="1"/>
  <c r="AH45" i="8"/>
  <c r="BF45" i="8" s="1"/>
  <c r="AG45" i="8"/>
  <c r="BE45" i="8" s="1"/>
  <c r="AF45" i="8"/>
  <c r="BD45" i="8" s="1"/>
  <c r="AE45" i="8"/>
  <c r="BC45" i="8" s="1"/>
  <c r="AD45" i="8"/>
  <c r="BB45" i="8" s="1"/>
  <c r="AC45" i="8"/>
  <c r="BA45" i="8" s="1"/>
  <c r="AB45" i="8"/>
  <c r="AZ45" i="8" s="1"/>
  <c r="AA45" i="8"/>
  <c r="AY45" i="8" s="1"/>
  <c r="Z45" i="8"/>
  <c r="AX45" i="8" s="1"/>
  <c r="AW44" i="8"/>
  <c r="BU44" i="8" s="1"/>
  <c r="AV44" i="8"/>
  <c r="BT44" i="8" s="1"/>
  <c r="AU44" i="8"/>
  <c r="BS44" i="8" s="1"/>
  <c r="AT44" i="8"/>
  <c r="BR44" i="8" s="1"/>
  <c r="AS44" i="8"/>
  <c r="BQ44" i="8" s="1"/>
  <c r="AR44" i="8"/>
  <c r="BP44" i="8" s="1"/>
  <c r="AQ44" i="8"/>
  <c r="BO44" i="8" s="1"/>
  <c r="AP44" i="8"/>
  <c r="BN44" i="8" s="1"/>
  <c r="AO44" i="8"/>
  <c r="BM44" i="8" s="1"/>
  <c r="AN44" i="8"/>
  <c r="BL44" i="8" s="1"/>
  <c r="AM44" i="8"/>
  <c r="BK44" i="8" s="1"/>
  <c r="AL44" i="8"/>
  <c r="BJ44" i="8" s="1"/>
  <c r="AK44" i="8"/>
  <c r="BI44" i="8" s="1"/>
  <c r="AJ44" i="8"/>
  <c r="BH44" i="8" s="1"/>
  <c r="AI44" i="8"/>
  <c r="BG44" i="8" s="1"/>
  <c r="AH44" i="8"/>
  <c r="BF44" i="8" s="1"/>
  <c r="AG44" i="8"/>
  <c r="BE44" i="8" s="1"/>
  <c r="AF44" i="8"/>
  <c r="BD44" i="8" s="1"/>
  <c r="AE44" i="8"/>
  <c r="BC44" i="8" s="1"/>
  <c r="AD44" i="8"/>
  <c r="BB44" i="8" s="1"/>
  <c r="AC44" i="8"/>
  <c r="BA44" i="8" s="1"/>
  <c r="AB44" i="8"/>
  <c r="AZ44" i="8" s="1"/>
  <c r="AA44" i="8"/>
  <c r="AY44" i="8" s="1"/>
  <c r="Z44" i="8"/>
  <c r="AX44" i="8" s="1"/>
  <c r="AW43" i="8"/>
  <c r="BU43" i="8" s="1"/>
  <c r="AV43" i="8"/>
  <c r="BT43" i="8" s="1"/>
  <c r="AU43" i="8"/>
  <c r="BS43" i="8" s="1"/>
  <c r="AT43" i="8"/>
  <c r="BR43" i="8" s="1"/>
  <c r="AS43" i="8"/>
  <c r="BQ43" i="8" s="1"/>
  <c r="AR43" i="8"/>
  <c r="BP43" i="8" s="1"/>
  <c r="AQ43" i="8"/>
  <c r="BO43" i="8" s="1"/>
  <c r="AP43" i="8"/>
  <c r="BN43" i="8" s="1"/>
  <c r="AO43" i="8"/>
  <c r="BM43" i="8" s="1"/>
  <c r="AN43" i="8"/>
  <c r="BL43" i="8" s="1"/>
  <c r="AM43" i="8"/>
  <c r="BK43" i="8" s="1"/>
  <c r="AL43" i="8"/>
  <c r="BJ43" i="8" s="1"/>
  <c r="AK43" i="8"/>
  <c r="BI43" i="8" s="1"/>
  <c r="AJ43" i="8"/>
  <c r="BH43" i="8" s="1"/>
  <c r="AI43" i="8"/>
  <c r="BG43" i="8" s="1"/>
  <c r="AH43" i="8"/>
  <c r="BF43" i="8" s="1"/>
  <c r="AG43" i="8"/>
  <c r="BE43" i="8" s="1"/>
  <c r="AF43" i="8"/>
  <c r="BD43" i="8" s="1"/>
  <c r="AE43" i="8"/>
  <c r="BC43" i="8" s="1"/>
  <c r="AD43" i="8"/>
  <c r="BB43" i="8" s="1"/>
  <c r="AC43" i="8"/>
  <c r="BA43" i="8" s="1"/>
  <c r="AB43" i="8"/>
  <c r="AZ43" i="8" s="1"/>
  <c r="AA43" i="8"/>
  <c r="AY43" i="8" s="1"/>
  <c r="Z43" i="8"/>
  <c r="AX43" i="8" s="1"/>
  <c r="AW42" i="8"/>
  <c r="BU42" i="8" s="1"/>
  <c r="AV42" i="8"/>
  <c r="BT42" i="8" s="1"/>
  <c r="AU42" i="8"/>
  <c r="BS42" i="8" s="1"/>
  <c r="AT42" i="8"/>
  <c r="BR42" i="8" s="1"/>
  <c r="AS42" i="8"/>
  <c r="BQ42" i="8" s="1"/>
  <c r="AR42" i="8"/>
  <c r="BP42" i="8" s="1"/>
  <c r="AQ42" i="8"/>
  <c r="BO42" i="8" s="1"/>
  <c r="AP42" i="8"/>
  <c r="BN42" i="8" s="1"/>
  <c r="AO42" i="8"/>
  <c r="BM42" i="8" s="1"/>
  <c r="AN42" i="8"/>
  <c r="BL42" i="8" s="1"/>
  <c r="AM42" i="8"/>
  <c r="BK42" i="8" s="1"/>
  <c r="AL42" i="8"/>
  <c r="BJ42" i="8" s="1"/>
  <c r="AK42" i="8"/>
  <c r="BI42" i="8" s="1"/>
  <c r="AJ42" i="8"/>
  <c r="BH42" i="8" s="1"/>
  <c r="AI42" i="8"/>
  <c r="BG42" i="8" s="1"/>
  <c r="AH42" i="8"/>
  <c r="BF42" i="8" s="1"/>
  <c r="AG42" i="8"/>
  <c r="BE42" i="8" s="1"/>
  <c r="AF42" i="8"/>
  <c r="BD42" i="8" s="1"/>
  <c r="AE42" i="8"/>
  <c r="BC42" i="8" s="1"/>
  <c r="AD42" i="8"/>
  <c r="BB42" i="8" s="1"/>
  <c r="AC42" i="8"/>
  <c r="BA42" i="8" s="1"/>
  <c r="AB42" i="8"/>
  <c r="AZ42" i="8" s="1"/>
  <c r="AA42" i="8"/>
  <c r="AY42" i="8" s="1"/>
  <c r="Z42" i="8"/>
  <c r="AX42" i="8" s="1"/>
  <c r="AW41" i="8"/>
  <c r="BU41" i="8" s="1"/>
  <c r="AV41" i="8"/>
  <c r="BT41" i="8" s="1"/>
  <c r="AU41" i="8"/>
  <c r="BS41" i="8" s="1"/>
  <c r="AT41" i="8"/>
  <c r="BR41" i="8" s="1"/>
  <c r="AS41" i="8"/>
  <c r="BQ41" i="8" s="1"/>
  <c r="AR41" i="8"/>
  <c r="BP41" i="8" s="1"/>
  <c r="AQ41" i="8"/>
  <c r="BO41" i="8" s="1"/>
  <c r="AP41" i="8"/>
  <c r="BN41" i="8" s="1"/>
  <c r="AO41" i="8"/>
  <c r="BM41" i="8" s="1"/>
  <c r="AN41" i="8"/>
  <c r="BL41" i="8" s="1"/>
  <c r="AM41" i="8"/>
  <c r="BK41" i="8" s="1"/>
  <c r="AL41" i="8"/>
  <c r="BJ41" i="8" s="1"/>
  <c r="AK41" i="8"/>
  <c r="BI41" i="8" s="1"/>
  <c r="AJ41" i="8"/>
  <c r="BH41" i="8" s="1"/>
  <c r="AI41" i="8"/>
  <c r="BG41" i="8" s="1"/>
  <c r="AH41" i="8"/>
  <c r="BF41" i="8" s="1"/>
  <c r="AG41" i="8"/>
  <c r="BE41" i="8" s="1"/>
  <c r="AF41" i="8"/>
  <c r="BD41" i="8" s="1"/>
  <c r="AE41" i="8"/>
  <c r="BC41" i="8" s="1"/>
  <c r="AD41" i="8"/>
  <c r="BB41" i="8" s="1"/>
  <c r="AC41" i="8"/>
  <c r="BA41" i="8" s="1"/>
  <c r="AB41" i="8"/>
  <c r="AZ41" i="8" s="1"/>
  <c r="AA41" i="8"/>
  <c r="AY41" i="8" s="1"/>
  <c r="Z41" i="8"/>
  <c r="AX41" i="8" s="1"/>
  <c r="AW40" i="8"/>
  <c r="BU40" i="8" s="1"/>
  <c r="AV40" i="8"/>
  <c r="BT40" i="8" s="1"/>
  <c r="AU40" i="8"/>
  <c r="BS40" i="8" s="1"/>
  <c r="AT40" i="8"/>
  <c r="BR40" i="8" s="1"/>
  <c r="AS40" i="8"/>
  <c r="BQ40" i="8" s="1"/>
  <c r="AR40" i="8"/>
  <c r="BP40" i="8" s="1"/>
  <c r="AQ40" i="8"/>
  <c r="BO40" i="8" s="1"/>
  <c r="AP40" i="8"/>
  <c r="BN40" i="8" s="1"/>
  <c r="AO40" i="8"/>
  <c r="BM40" i="8" s="1"/>
  <c r="AN40" i="8"/>
  <c r="BL40" i="8" s="1"/>
  <c r="AM40" i="8"/>
  <c r="BK40" i="8" s="1"/>
  <c r="AL40" i="8"/>
  <c r="BJ40" i="8" s="1"/>
  <c r="AK40" i="8"/>
  <c r="BI40" i="8" s="1"/>
  <c r="AJ40" i="8"/>
  <c r="BH40" i="8" s="1"/>
  <c r="AI40" i="8"/>
  <c r="BG40" i="8" s="1"/>
  <c r="AH40" i="8"/>
  <c r="BF40" i="8" s="1"/>
  <c r="AG40" i="8"/>
  <c r="BE40" i="8" s="1"/>
  <c r="AF40" i="8"/>
  <c r="BD40" i="8" s="1"/>
  <c r="AE40" i="8"/>
  <c r="BC40" i="8" s="1"/>
  <c r="AD40" i="8"/>
  <c r="BB40" i="8" s="1"/>
  <c r="AC40" i="8"/>
  <c r="BA40" i="8" s="1"/>
  <c r="AB40" i="8"/>
  <c r="AZ40" i="8" s="1"/>
  <c r="AA40" i="8"/>
  <c r="AY40" i="8" s="1"/>
  <c r="Z40" i="8"/>
  <c r="AX40" i="8" s="1"/>
  <c r="AW39" i="8"/>
  <c r="BU39" i="8" s="1"/>
  <c r="AV39" i="8"/>
  <c r="BT39" i="8" s="1"/>
  <c r="AU39" i="8"/>
  <c r="BS39" i="8" s="1"/>
  <c r="AT39" i="8"/>
  <c r="BR39" i="8" s="1"/>
  <c r="AS39" i="8"/>
  <c r="BQ39" i="8" s="1"/>
  <c r="AR39" i="8"/>
  <c r="BP39" i="8" s="1"/>
  <c r="AQ39" i="8"/>
  <c r="BO39" i="8" s="1"/>
  <c r="AP39" i="8"/>
  <c r="BN39" i="8" s="1"/>
  <c r="AO39" i="8"/>
  <c r="BM39" i="8" s="1"/>
  <c r="AN39" i="8"/>
  <c r="BL39" i="8" s="1"/>
  <c r="AM39" i="8"/>
  <c r="BK39" i="8" s="1"/>
  <c r="AL39" i="8"/>
  <c r="BJ39" i="8" s="1"/>
  <c r="AK39" i="8"/>
  <c r="BI39" i="8" s="1"/>
  <c r="AJ39" i="8"/>
  <c r="BH39" i="8" s="1"/>
  <c r="AI39" i="8"/>
  <c r="BG39" i="8" s="1"/>
  <c r="AH39" i="8"/>
  <c r="BF39" i="8" s="1"/>
  <c r="AG39" i="8"/>
  <c r="BE39" i="8" s="1"/>
  <c r="AF39" i="8"/>
  <c r="BD39" i="8" s="1"/>
  <c r="AE39" i="8"/>
  <c r="BC39" i="8" s="1"/>
  <c r="AD39" i="8"/>
  <c r="BB39" i="8" s="1"/>
  <c r="AC39" i="8"/>
  <c r="BA39" i="8" s="1"/>
  <c r="AB39" i="8"/>
  <c r="AZ39" i="8" s="1"/>
  <c r="AA39" i="8"/>
  <c r="AY39" i="8" s="1"/>
  <c r="Z39" i="8"/>
  <c r="AX39" i="8" s="1"/>
  <c r="AW38" i="8"/>
  <c r="BU38" i="8" s="1"/>
  <c r="AV38" i="8"/>
  <c r="BT38" i="8" s="1"/>
  <c r="AU38" i="8"/>
  <c r="BS38" i="8" s="1"/>
  <c r="AT38" i="8"/>
  <c r="BR38" i="8" s="1"/>
  <c r="AS38" i="8"/>
  <c r="BQ38" i="8" s="1"/>
  <c r="AR38" i="8"/>
  <c r="BP38" i="8" s="1"/>
  <c r="AQ38" i="8"/>
  <c r="BO38" i="8" s="1"/>
  <c r="AP38" i="8"/>
  <c r="BN38" i="8" s="1"/>
  <c r="AO38" i="8"/>
  <c r="BM38" i="8" s="1"/>
  <c r="AN38" i="8"/>
  <c r="BL38" i="8" s="1"/>
  <c r="AM38" i="8"/>
  <c r="BK38" i="8" s="1"/>
  <c r="AL38" i="8"/>
  <c r="BJ38" i="8" s="1"/>
  <c r="AK38" i="8"/>
  <c r="BI38" i="8" s="1"/>
  <c r="AJ38" i="8"/>
  <c r="BH38" i="8" s="1"/>
  <c r="AI38" i="8"/>
  <c r="BG38" i="8" s="1"/>
  <c r="AH38" i="8"/>
  <c r="BF38" i="8" s="1"/>
  <c r="AG38" i="8"/>
  <c r="BE38" i="8" s="1"/>
  <c r="AF38" i="8"/>
  <c r="BD38" i="8" s="1"/>
  <c r="AE38" i="8"/>
  <c r="BC38" i="8" s="1"/>
  <c r="AD38" i="8"/>
  <c r="BB38" i="8" s="1"/>
  <c r="AC38" i="8"/>
  <c r="BA38" i="8" s="1"/>
  <c r="AB38" i="8"/>
  <c r="AZ38" i="8" s="1"/>
  <c r="AA38" i="8"/>
  <c r="AY38" i="8" s="1"/>
  <c r="Z38" i="8"/>
  <c r="AX38" i="8" s="1"/>
  <c r="AW37" i="8"/>
  <c r="BU37" i="8" s="1"/>
  <c r="AV37" i="8"/>
  <c r="BT37" i="8" s="1"/>
  <c r="AU37" i="8"/>
  <c r="BS37" i="8" s="1"/>
  <c r="AT37" i="8"/>
  <c r="BR37" i="8" s="1"/>
  <c r="AS37" i="8"/>
  <c r="BQ37" i="8" s="1"/>
  <c r="AR37" i="8"/>
  <c r="BP37" i="8" s="1"/>
  <c r="AQ37" i="8"/>
  <c r="BO37" i="8" s="1"/>
  <c r="AP37" i="8"/>
  <c r="BN37" i="8" s="1"/>
  <c r="AO37" i="8"/>
  <c r="BM37" i="8" s="1"/>
  <c r="AN37" i="8"/>
  <c r="BL37" i="8" s="1"/>
  <c r="AM37" i="8"/>
  <c r="BK37" i="8" s="1"/>
  <c r="AL37" i="8"/>
  <c r="BJ37" i="8" s="1"/>
  <c r="AK37" i="8"/>
  <c r="BI37" i="8" s="1"/>
  <c r="AJ37" i="8"/>
  <c r="BH37" i="8" s="1"/>
  <c r="AI37" i="8"/>
  <c r="BG37" i="8" s="1"/>
  <c r="AH37" i="8"/>
  <c r="BF37" i="8" s="1"/>
  <c r="AG37" i="8"/>
  <c r="BE37" i="8" s="1"/>
  <c r="AF37" i="8"/>
  <c r="BD37" i="8" s="1"/>
  <c r="AE37" i="8"/>
  <c r="BC37" i="8" s="1"/>
  <c r="AD37" i="8"/>
  <c r="BB37" i="8" s="1"/>
  <c r="AC37" i="8"/>
  <c r="BA37" i="8" s="1"/>
  <c r="AB37" i="8"/>
  <c r="AZ37" i="8" s="1"/>
  <c r="AA37" i="8"/>
  <c r="AY37" i="8" s="1"/>
  <c r="Z37" i="8"/>
  <c r="AX37" i="8" s="1"/>
  <c r="AW36" i="8"/>
  <c r="BU36" i="8" s="1"/>
  <c r="AV36" i="8"/>
  <c r="BT36" i="8" s="1"/>
  <c r="AU36" i="8"/>
  <c r="BS36" i="8" s="1"/>
  <c r="AT36" i="8"/>
  <c r="BR36" i="8" s="1"/>
  <c r="AS36" i="8"/>
  <c r="BQ36" i="8" s="1"/>
  <c r="AR36" i="8"/>
  <c r="BP36" i="8" s="1"/>
  <c r="AQ36" i="8"/>
  <c r="BO36" i="8" s="1"/>
  <c r="AP36" i="8"/>
  <c r="BN36" i="8" s="1"/>
  <c r="AO36" i="8"/>
  <c r="BM36" i="8" s="1"/>
  <c r="AN36" i="8"/>
  <c r="BL36" i="8" s="1"/>
  <c r="AM36" i="8"/>
  <c r="BK36" i="8" s="1"/>
  <c r="AL36" i="8"/>
  <c r="BJ36" i="8" s="1"/>
  <c r="AK36" i="8"/>
  <c r="BI36" i="8" s="1"/>
  <c r="AJ36" i="8"/>
  <c r="BH36" i="8" s="1"/>
  <c r="AI36" i="8"/>
  <c r="BG36" i="8" s="1"/>
  <c r="AH36" i="8"/>
  <c r="BF36" i="8" s="1"/>
  <c r="AG36" i="8"/>
  <c r="BE36" i="8" s="1"/>
  <c r="AF36" i="8"/>
  <c r="BD36" i="8" s="1"/>
  <c r="AE36" i="8"/>
  <c r="BC36" i="8" s="1"/>
  <c r="AD36" i="8"/>
  <c r="BB36" i="8" s="1"/>
  <c r="AC36" i="8"/>
  <c r="BA36" i="8" s="1"/>
  <c r="AB36" i="8"/>
  <c r="AZ36" i="8" s="1"/>
  <c r="AA36" i="8"/>
  <c r="AY36" i="8" s="1"/>
  <c r="Z36" i="8"/>
  <c r="AX36" i="8" s="1"/>
  <c r="AW35" i="8"/>
  <c r="BU35" i="8" s="1"/>
  <c r="AV35" i="8"/>
  <c r="BT35" i="8" s="1"/>
  <c r="AU35" i="8"/>
  <c r="BS35" i="8" s="1"/>
  <c r="AT35" i="8"/>
  <c r="BR35" i="8" s="1"/>
  <c r="AS35" i="8"/>
  <c r="BQ35" i="8" s="1"/>
  <c r="AR35" i="8"/>
  <c r="BP35" i="8" s="1"/>
  <c r="AQ35" i="8"/>
  <c r="BO35" i="8" s="1"/>
  <c r="AP35" i="8"/>
  <c r="BN35" i="8" s="1"/>
  <c r="AO35" i="8"/>
  <c r="BM35" i="8" s="1"/>
  <c r="AN35" i="8"/>
  <c r="BL35" i="8" s="1"/>
  <c r="AM35" i="8"/>
  <c r="BK35" i="8" s="1"/>
  <c r="AL35" i="8"/>
  <c r="BJ35" i="8" s="1"/>
  <c r="AK35" i="8"/>
  <c r="BI35" i="8" s="1"/>
  <c r="AJ35" i="8"/>
  <c r="BH35" i="8" s="1"/>
  <c r="AI35" i="8"/>
  <c r="BG35" i="8" s="1"/>
  <c r="AH35" i="8"/>
  <c r="BF35" i="8" s="1"/>
  <c r="AG35" i="8"/>
  <c r="BE35" i="8" s="1"/>
  <c r="AF35" i="8"/>
  <c r="BD35" i="8" s="1"/>
  <c r="AE35" i="8"/>
  <c r="BC35" i="8" s="1"/>
  <c r="AD35" i="8"/>
  <c r="BB35" i="8" s="1"/>
  <c r="AC35" i="8"/>
  <c r="BA35" i="8" s="1"/>
  <c r="AB35" i="8"/>
  <c r="AZ35" i="8" s="1"/>
  <c r="AA35" i="8"/>
  <c r="AY35" i="8" s="1"/>
  <c r="Z35" i="8"/>
  <c r="AX35" i="8" s="1"/>
  <c r="AW34" i="8"/>
  <c r="BU34" i="8" s="1"/>
  <c r="AV34" i="8"/>
  <c r="BT34" i="8" s="1"/>
  <c r="AU34" i="8"/>
  <c r="BS34" i="8" s="1"/>
  <c r="AT34" i="8"/>
  <c r="BR34" i="8" s="1"/>
  <c r="AS34" i="8"/>
  <c r="BQ34" i="8" s="1"/>
  <c r="AR34" i="8"/>
  <c r="BP34" i="8" s="1"/>
  <c r="AQ34" i="8"/>
  <c r="BO34" i="8" s="1"/>
  <c r="AP34" i="8"/>
  <c r="BN34" i="8" s="1"/>
  <c r="AO34" i="8"/>
  <c r="BM34" i="8" s="1"/>
  <c r="AN34" i="8"/>
  <c r="BL34" i="8" s="1"/>
  <c r="AM34" i="8"/>
  <c r="BK34" i="8" s="1"/>
  <c r="AL34" i="8"/>
  <c r="BJ34" i="8" s="1"/>
  <c r="AK34" i="8"/>
  <c r="BI34" i="8" s="1"/>
  <c r="AJ34" i="8"/>
  <c r="BH34" i="8" s="1"/>
  <c r="AI34" i="8"/>
  <c r="BG34" i="8" s="1"/>
  <c r="AH34" i="8"/>
  <c r="BF34" i="8" s="1"/>
  <c r="AG34" i="8"/>
  <c r="BE34" i="8" s="1"/>
  <c r="AF34" i="8"/>
  <c r="BD34" i="8" s="1"/>
  <c r="AE34" i="8"/>
  <c r="BC34" i="8" s="1"/>
  <c r="AD34" i="8"/>
  <c r="BB34" i="8" s="1"/>
  <c r="AC34" i="8"/>
  <c r="BA34" i="8" s="1"/>
  <c r="AB34" i="8"/>
  <c r="AZ34" i="8" s="1"/>
  <c r="AY34" i="8"/>
  <c r="AX34" i="8"/>
  <c r="AW33" i="8"/>
  <c r="BU33" i="8" s="1"/>
  <c r="AV33" i="8"/>
  <c r="BT33" i="8" s="1"/>
  <c r="AU33" i="8"/>
  <c r="BS33" i="8" s="1"/>
  <c r="AT33" i="8"/>
  <c r="BR33" i="8" s="1"/>
  <c r="AS33" i="8"/>
  <c r="BQ33" i="8" s="1"/>
  <c r="AR33" i="8"/>
  <c r="BP33" i="8" s="1"/>
  <c r="AQ33" i="8"/>
  <c r="BO33" i="8" s="1"/>
  <c r="AP33" i="8"/>
  <c r="BN33" i="8" s="1"/>
  <c r="AO33" i="8"/>
  <c r="BM33" i="8" s="1"/>
  <c r="AN33" i="8"/>
  <c r="BL33" i="8" s="1"/>
  <c r="AM33" i="8"/>
  <c r="BK33" i="8" s="1"/>
  <c r="AL33" i="8"/>
  <c r="BJ33" i="8" s="1"/>
  <c r="AK33" i="8"/>
  <c r="BI33" i="8" s="1"/>
  <c r="AJ33" i="8"/>
  <c r="BH33" i="8" s="1"/>
  <c r="AI33" i="8"/>
  <c r="BG33" i="8" s="1"/>
  <c r="AH33" i="8"/>
  <c r="BF33" i="8" s="1"/>
  <c r="AG33" i="8"/>
  <c r="BE33" i="8" s="1"/>
  <c r="AF33" i="8"/>
  <c r="BD33" i="8" s="1"/>
  <c r="AE33" i="8"/>
  <c r="BC33" i="8" s="1"/>
  <c r="AD33" i="8"/>
  <c r="BB33" i="8" s="1"/>
  <c r="AC33" i="8"/>
  <c r="BA33" i="8" s="1"/>
  <c r="AB33" i="8"/>
  <c r="AZ33" i="8" s="1"/>
  <c r="AA33" i="8"/>
  <c r="AY33" i="8" s="1"/>
  <c r="Z33" i="8"/>
  <c r="AX33" i="8" s="1"/>
  <c r="AW32" i="8"/>
  <c r="BU32" i="8" s="1"/>
  <c r="AV32" i="8"/>
  <c r="BT32" i="8" s="1"/>
  <c r="AU32" i="8"/>
  <c r="BS32" i="8" s="1"/>
  <c r="AT32" i="8"/>
  <c r="BR32" i="8" s="1"/>
  <c r="AS32" i="8"/>
  <c r="BQ32" i="8" s="1"/>
  <c r="AR32" i="8"/>
  <c r="BP32" i="8" s="1"/>
  <c r="AQ32" i="8"/>
  <c r="BO32" i="8" s="1"/>
  <c r="AP32" i="8"/>
  <c r="BN32" i="8" s="1"/>
  <c r="AO32" i="8"/>
  <c r="BM32" i="8" s="1"/>
  <c r="AN32" i="8"/>
  <c r="BL32" i="8" s="1"/>
  <c r="AM32" i="8"/>
  <c r="BK32" i="8" s="1"/>
  <c r="AL32" i="8"/>
  <c r="BJ32" i="8" s="1"/>
  <c r="AK32" i="8"/>
  <c r="BI32" i="8" s="1"/>
  <c r="AJ32" i="8"/>
  <c r="BH32" i="8" s="1"/>
  <c r="AI32" i="8"/>
  <c r="BG32" i="8" s="1"/>
  <c r="AH32" i="8"/>
  <c r="BF32" i="8" s="1"/>
  <c r="AG32" i="8"/>
  <c r="BE32" i="8" s="1"/>
  <c r="AF32" i="8"/>
  <c r="BD32" i="8" s="1"/>
  <c r="AE32" i="8"/>
  <c r="BC32" i="8" s="1"/>
  <c r="AD32" i="8"/>
  <c r="BB32" i="8" s="1"/>
  <c r="AC32" i="8"/>
  <c r="BA32" i="8" s="1"/>
  <c r="AB32" i="8"/>
  <c r="AZ32" i="8" s="1"/>
  <c r="AA32" i="8"/>
  <c r="AY32" i="8" s="1"/>
  <c r="Z32" i="8"/>
  <c r="AX32" i="8" s="1"/>
  <c r="AW31" i="8"/>
  <c r="BU31" i="8" s="1"/>
  <c r="AV31" i="8"/>
  <c r="BT31" i="8" s="1"/>
  <c r="AU31" i="8"/>
  <c r="BS31" i="8" s="1"/>
  <c r="AT31" i="8"/>
  <c r="BR31" i="8" s="1"/>
  <c r="AS31" i="8"/>
  <c r="BQ31" i="8" s="1"/>
  <c r="AR31" i="8"/>
  <c r="BP31" i="8" s="1"/>
  <c r="AQ31" i="8"/>
  <c r="BO31" i="8" s="1"/>
  <c r="AP31" i="8"/>
  <c r="BN31" i="8" s="1"/>
  <c r="AO31" i="8"/>
  <c r="BM31" i="8" s="1"/>
  <c r="AN31" i="8"/>
  <c r="BL31" i="8" s="1"/>
  <c r="AM31" i="8"/>
  <c r="BK31" i="8" s="1"/>
  <c r="AL31" i="8"/>
  <c r="BJ31" i="8" s="1"/>
  <c r="AK31" i="8"/>
  <c r="BI31" i="8" s="1"/>
  <c r="AJ31" i="8"/>
  <c r="BH31" i="8" s="1"/>
  <c r="AI31" i="8"/>
  <c r="BG31" i="8" s="1"/>
  <c r="AH31" i="8"/>
  <c r="BF31" i="8" s="1"/>
  <c r="AG31" i="8"/>
  <c r="BE31" i="8" s="1"/>
  <c r="AF31" i="8"/>
  <c r="BD31" i="8" s="1"/>
  <c r="AE31" i="8"/>
  <c r="BC31" i="8" s="1"/>
  <c r="AD31" i="8"/>
  <c r="BB31" i="8" s="1"/>
  <c r="AC31" i="8"/>
  <c r="BA31" i="8" s="1"/>
  <c r="AB31" i="8"/>
  <c r="AZ31" i="8" s="1"/>
  <c r="AA31" i="8"/>
  <c r="AY31" i="8" s="1"/>
  <c r="Z31" i="8"/>
  <c r="AX31" i="8" s="1"/>
  <c r="AW30" i="8"/>
  <c r="BU30" i="8" s="1"/>
  <c r="AV30" i="8"/>
  <c r="BT30" i="8" s="1"/>
  <c r="AU30" i="8"/>
  <c r="BS30" i="8" s="1"/>
  <c r="AT30" i="8"/>
  <c r="BR30" i="8" s="1"/>
  <c r="AS30" i="8"/>
  <c r="BQ30" i="8" s="1"/>
  <c r="AR30" i="8"/>
  <c r="BP30" i="8" s="1"/>
  <c r="AQ30" i="8"/>
  <c r="BO30" i="8" s="1"/>
  <c r="AP30" i="8"/>
  <c r="BN30" i="8" s="1"/>
  <c r="AO30" i="8"/>
  <c r="BM30" i="8" s="1"/>
  <c r="AN30" i="8"/>
  <c r="BL30" i="8" s="1"/>
  <c r="AM30" i="8"/>
  <c r="BK30" i="8" s="1"/>
  <c r="AL30" i="8"/>
  <c r="BJ30" i="8" s="1"/>
  <c r="AK30" i="8"/>
  <c r="BI30" i="8" s="1"/>
  <c r="AJ30" i="8"/>
  <c r="BH30" i="8" s="1"/>
  <c r="AI30" i="8"/>
  <c r="BG30" i="8" s="1"/>
  <c r="AH30" i="8"/>
  <c r="BF30" i="8" s="1"/>
  <c r="AG30" i="8"/>
  <c r="BE30" i="8" s="1"/>
  <c r="AF30" i="8"/>
  <c r="BD30" i="8" s="1"/>
  <c r="AE30" i="8"/>
  <c r="BC30" i="8" s="1"/>
  <c r="AD30" i="8"/>
  <c r="BB30" i="8" s="1"/>
  <c r="AC30" i="8"/>
  <c r="BA30" i="8" s="1"/>
  <c r="AB30" i="8"/>
  <c r="AZ30" i="8" s="1"/>
  <c r="AA30" i="8"/>
  <c r="AY30" i="8" s="1"/>
  <c r="Z30" i="8"/>
  <c r="AX30" i="8" s="1"/>
  <c r="AW29" i="8"/>
  <c r="BU29" i="8" s="1"/>
  <c r="AV29" i="8"/>
  <c r="BT29" i="8" s="1"/>
  <c r="AU29" i="8"/>
  <c r="BS29" i="8" s="1"/>
  <c r="AT29" i="8"/>
  <c r="BR29" i="8" s="1"/>
  <c r="AS29" i="8"/>
  <c r="BQ29" i="8" s="1"/>
  <c r="AR29" i="8"/>
  <c r="BP29" i="8" s="1"/>
  <c r="AQ29" i="8"/>
  <c r="BO29" i="8" s="1"/>
  <c r="AP29" i="8"/>
  <c r="BN29" i="8" s="1"/>
  <c r="AO29" i="8"/>
  <c r="BM29" i="8" s="1"/>
  <c r="AN29" i="8"/>
  <c r="BL29" i="8" s="1"/>
  <c r="AM29" i="8"/>
  <c r="BK29" i="8" s="1"/>
  <c r="AL29" i="8"/>
  <c r="BJ29" i="8" s="1"/>
  <c r="AK29" i="8"/>
  <c r="BI29" i="8" s="1"/>
  <c r="AJ29" i="8"/>
  <c r="BH29" i="8" s="1"/>
  <c r="AI29" i="8"/>
  <c r="BG29" i="8" s="1"/>
  <c r="AH29" i="8"/>
  <c r="BF29" i="8" s="1"/>
  <c r="AG29" i="8"/>
  <c r="BE29" i="8" s="1"/>
  <c r="AF29" i="8"/>
  <c r="BD29" i="8" s="1"/>
  <c r="AE29" i="8"/>
  <c r="BC29" i="8" s="1"/>
  <c r="AD29" i="8"/>
  <c r="BB29" i="8" s="1"/>
  <c r="AC29" i="8"/>
  <c r="BA29" i="8" s="1"/>
  <c r="AB29" i="8"/>
  <c r="AZ29" i="8" s="1"/>
  <c r="AA29" i="8"/>
  <c r="AY29" i="8" s="1"/>
  <c r="Z29" i="8"/>
  <c r="AX29" i="8" s="1"/>
  <c r="AW28" i="8"/>
  <c r="BU28" i="8" s="1"/>
  <c r="AV28" i="8"/>
  <c r="BT28" i="8" s="1"/>
  <c r="AU28" i="8"/>
  <c r="BS28" i="8" s="1"/>
  <c r="AT28" i="8"/>
  <c r="BR28" i="8" s="1"/>
  <c r="AS28" i="8"/>
  <c r="BQ28" i="8" s="1"/>
  <c r="AR28" i="8"/>
  <c r="BP28" i="8" s="1"/>
  <c r="AQ28" i="8"/>
  <c r="BO28" i="8" s="1"/>
  <c r="AP28" i="8"/>
  <c r="BN28" i="8" s="1"/>
  <c r="AO28" i="8"/>
  <c r="BM28" i="8" s="1"/>
  <c r="AN28" i="8"/>
  <c r="BL28" i="8" s="1"/>
  <c r="AM28" i="8"/>
  <c r="BK28" i="8" s="1"/>
  <c r="AL28" i="8"/>
  <c r="BJ28" i="8" s="1"/>
  <c r="AK28" i="8"/>
  <c r="BI28" i="8" s="1"/>
  <c r="AJ28" i="8"/>
  <c r="BH28" i="8" s="1"/>
  <c r="AI28" i="8"/>
  <c r="BG28" i="8" s="1"/>
  <c r="AH28" i="8"/>
  <c r="BF28" i="8" s="1"/>
  <c r="AG28" i="8"/>
  <c r="BE28" i="8" s="1"/>
  <c r="AF28" i="8"/>
  <c r="BD28" i="8" s="1"/>
  <c r="AE28" i="8"/>
  <c r="BC28" i="8" s="1"/>
  <c r="AD28" i="8"/>
  <c r="BB28" i="8" s="1"/>
  <c r="AC28" i="8"/>
  <c r="BA28" i="8" s="1"/>
  <c r="AB28" i="8"/>
  <c r="AZ28" i="8" s="1"/>
  <c r="AA28" i="8"/>
  <c r="AY28" i="8" s="1"/>
  <c r="Z28" i="8"/>
  <c r="AX28" i="8" s="1"/>
  <c r="AW27" i="8"/>
  <c r="BU27" i="8" s="1"/>
  <c r="AV27" i="8"/>
  <c r="BT27" i="8" s="1"/>
  <c r="AU27" i="8"/>
  <c r="BS27" i="8" s="1"/>
  <c r="AT27" i="8"/>
  <c r="BR27" i="8" s="1"/>
  <c r="AS27" i="8"/>
  <c r="BQ27" i="8" s="1"/>
  <c r="AR27" i="8"/>
  <c r="BP27" i="8" s="1"/>
  <c r="AQ27" i="8"/>
  <c r="BO27" i="8" s="1"/>
  <c r="AP27" i="8"/>
  <c r="BN27" i="8" s="1"/>
  <c r="AO27" i="8"/>
  <c r="BM27" i="8" s="1"/>
  <c r="AN27" i="8"/>
  <c r="BL27" i="8" s="1"/>
  <c r="AM27" i="8"/>
  <c r="BK27" i="8" s="1"/>
  <c r="AL27" i="8"/>
  <c r="BJ27" i="8" s="1"/>
  <c r="AK27" i="8"/>
  <c r="BI27" i="8" s="1"/>
  <c r="AJ27" i="8"/>
  <c r="BH27" i="8" s="1"/>
  <c r="AI27" i="8"/>
  <c r="BG27" i="8" s="1"/>
  <c r="AH27" i="8"/>
  <c r="BF27" i="8" s="1"/>
  <c r="AG27" i="8"/>
  <c r="BE27" i="8" s="1"/>
  <c r="AF27" i="8"/>
  <c r="BD27" i="8" s="1"/>
  <c r="AE27" i="8"/>
  <c r="BC27" i="8" s="1"/>
  <c r="AD27" i="8"/>
  <c r="BB27" i="8" s="1"/>
  <c r="AC27" i="8"/>
  <c r="BA27" i="8" s="1"/>
  <c r="AB27" i="8"/>
  <c r="AZ27" i="8" s="1"/>
  <c r="AA27" i="8"/>
  <c r="AY27" i="8" s="1"/>
  <c r="Z27" i="8"/>
  <c r="AX27" i="8" s="1"/>
  <c r="AW26" i="8"/>
  <c r="BU26" i="8" s="1"/>
  <c r="AV26" i="8"/>
  <c r="BT26" i="8" s="1"/>
  <c r="AU26" i="8"/>
  <c r="BS26" i="8" s="1"/>
  <c r="AT26" i="8"/>
  <c r="BR26" i="8" s="1"/>
  <c r="AS26" i="8"/>
  <c r="BQ26" i="8" s="1"/>
  <c r="AR26" i="8"/>
  <c r="BP26" i="8" s="1"/>
  <c r="AQ26" i="8"/>
  <c r="BO26" i="8" s="1"/>
  <c r="AP26" i="8"/>
  <c r="BN26" i="8" s="1"/>
  <c r="AO26" i="8"/>
  <c r="BM26" i="8" s="1"/>
  <c r="AN26" i="8"/>
  <c r="BL26" i="8" s="1"/>
  <c r="AM26" i="8"/>
  <c r="BK26" i="8" s="1"/>
  <c r="AL26" i="8"/>
  <c r="BJ26" i="8" s="1"/>
  <c r="AK26" i="8"/>
  <c r="BI26" i="8" s="1"/>
  <c r="AJ26" i="8"/>
  <c r="BH26" i="8" s="1"/>
  <c r="AI26" i="8"/>
  <c r="BG26" i="8" s="1"/>
  <c r="AH26" i="8"/>
  <c r="BF26" i="8" s="1"/>
  <c r="AG26" i="8"/>
  <c r="BE26" i="8" s="1"/>
  <c r="AF26" i="8"/>
  <c r="BD26" i="8" s="1"/>
  <c r="AE26" i="8"/>
  <c r="BC26" i="8" s="1"/>
  <c r="AD26" i="8"/>
  <c r="BB26" i="8" s="1"/>
  <c r="AC26" i="8"/>
  <c r="BA26" i="8" s="1"/>
  <c r="AB26" i="8"/>
  <c r="AZ26" i="8" s="1"/>
  <c r="AA26" i="8"/>
  <c r="AY26" i="8" s="1"/>
  <c r="Z26" i="8"/>
  <c r="AX26" i="8" s="1"/>
  <c r="AW25" i="8"/>
  <c r="BU25" i="8" s="1"/>
  <c r="AV25" i="8"/>
  <c r="BT25" i="8" s="1"/>
  <c r="AU25" i="8"/>
  <c r="BS25" i="8" s="1"/>
  <c r="AT25" i="8"/>
  <c r="BR25" i="8" s="1"/>
  <c r="AS25" i="8"/>
  <c r="BQ25" i="8" s="1"/>
  <c r="AR25" i="8"/>
  <c r="BP25" i="8" s="1"/>
  <c r="AQ25" i="8"/>
  <c r="BO25" i="8" s="1"/>
  <c r="AP25" i="8"/>
  <c r="BN25" i="8" s="1"/>
  <c r="AO25" i="8"/>
  <c r="BM25" i="8" s="1"/>
  <c r="AN25" i="8"/>
  <c r="BL25" i="8" s="1"/>
  <c r="AM25" i="8"/>
  <c r="BK25" i="8" s="1"/>
  <c r="AL25" i="8"/>
  <c r="BJ25" i="8" s="1"/>
  <c r="AK25" i="8"/>
  <c r="BI25" i="8" s="1"/>
  <c r="AJ25" i="8"/>
  <c r="BH25" i="8" s="1"/>
  <c r="AI25" i="8"/>
  <c r="BG25" i="8" s="1"/>
  <c r="AH25" i="8"/>
  <c r="BF25" i="8" s="1"/>
  <c r="AG25" i="8"/>
  <c r="BE25" i="8" s="1"/>
  <c r="AF25" i="8"/>
  <c r="BD25" i="8" s="1"/>
  <c r="AE25" i="8"/>
  <c r="BC25" i="8" s="1"/>
  <c r="AD25" i="8"/>
  <c r="BB25" i="8" s="1"/>
  <c r="AC25" i="8"/>
  <c r="BA25" i="8" s="1"/>
  <c r="AB25" i="8"/>
  <c r="AZ25" i="8" s="1"/>
  <c r="AA25" i="8"/>
  <c r="AY25" i="8" s="1"/>
  <c r="Z25" i="8"/>
  <c r="AX25" i="8" s="1"/>
  <c r="AW24" i="8"/>
  <c r="BU24" i="8" s="1"/>
  <c r="AV24" i="8"/>
  <c r="BT24" i="8" s="1"/>
  <c r="AU24" i="8"/>
  <c r="BS24" i="8" s="1"/>
  <c r="AT24" i="8"/>
  <c r="BR24" i="8" s="1"/>
  <c r="AS24" i="8"/>
  <c r="BQ24" i="8" s="1"/>
  <c r="AR24" i="8"/>
  <c r="BP24" i="8" s="1"/>
  <c r="AQ24" i="8"/>
  <c r="BO24" i="8" s="1"/>
  <c r="AP24" i="8"/>
  <c r="BN24" i="8" s="1"/>
  <c r="AO24" i="8"/>
  <c r="BM24" i="8" s="1"/>
  <c r="AN24" i="8"/>
  <c r="BL24" i="8" s="1"/>
  <c r="AM24" i="8"/>
  <c r="BK24" i="8" s="1"/>
  <c r="AL24" i="8"/>
  <c r="BJ24" i="8" s="1"/>
  <c r="AK24" i="8"/>
  <c r="BI24" i="8" s="1"/>
  <c r="AJ24" i="8"/>
  <c r="BH24" i="8" s="1"/>
  <c r="AI24" i="8"/>
  <c r="BG24" i="8" s="1"/>
  <c r="AH24" i="8"/>
  <c r="BF24" i="8" s="1"/>
  <c r="AG24" i="8"/>
  <c r="BE24" i="8" s="1"/>
  <c r="AF24" i="8"/>
  <c r="BD24" i="8" s="1"/>
  <c r="AE24" i="8"/>
  <c r="BC24" i="8" s="1"/>
  <c r="AD24" i="8"/>
  <c r="BB24" i="8" s="1"/>
  <c r="AC24" i="8"/>
  <c r="BA24" i="8" s="1"/>
  <c r="AB24" i="8"/>
  <c r="AZ24" i="8" s="1"/>
  <c r="AA24" i="8"/>
  <c r="AY24" i="8" s="1"/>
  <c r="Z24" i="8"/>
  <c r="AX24" i="8" s="1"/>
  <c r="AW23" i="8"/>
  <c r="BU23" i="8" s="1"/>
  <c r="AV23" i="8"/>
  <c r="BT23" i="8" s="1"/>
  <c r="AU23" i="8"/>
  <c r="BS23" i="8" s="1"/>
  <c r="AT23" i="8"/>
  <c r="BR23" i="8" s="1"/>
  <c r="AS23" i="8"/>
  <c r="BQ23" i="8" s="1"/>
  <c r="AR23" i="8"/>
  <c r="BP23" i="8" s="1"/>
  <c r="AQ23" i="8"/>
  <c r="BO23" i="8" s="1"/>
  <c r="AP23" i="8"/>
  <c r="BN23" i="8" s="1"/>
  <c r="AO23" i="8"/>
  <c r="BM23" i="8" s="1"/>
  <c r="AN23" i="8"/>
  <c r="BL23" i="8" s="1"/>
  <c r="AM23" i="8"/>
  <c r="BK23" i="8" s="1"/>
  <c r="AL23" i="8"/>
  <c r="BJ23" i="8" s="1"/>
  <c r="AK23" i="8"/>
  <c r="BI23" i="8" s="1"/>
  <c r="AJ23" i="8"/>
  <c r="BH23" i="8" s="1"/>
  <c r="AI23" i="8"/>
  <c r="BG23" i="8" s="1"/>
  <c r="AH23" i="8"/>
  <c r="BF23" i="8" s="1"/>
  <c r="AG23" i="8"/>
  <c r="BE23" i="8" s="1"/>
  <c r="AF23" i="8"/>
  <c r="BD23" i="8" s="1"/>
  <c r="AE23" i="8"/>
  <c r="BC23" i="8" s="1"/>
  <c r="AD23" i="8"/>
  <c r="BB23" i="8" s="1"/>
  <c r="AC23" i="8"/>
  <c r="BA23" i="8" s="1"/>
  <c r="AB23" i="8"/>
  <c r="AZ23" i="8" s="1"/>
  <c r="AA23" i="8"/>
  <c r="AY23" i="8" s="1"/>
  <c r="Z23" i="8"/>
  <c r="AX23" i="8" s="1"/>
  <c r="AW22" i="8"/>
  <c r="BU22" i="8" s="1"/>
  <c r="AV22" i="8"/>
  <c r="BT22" i="8" s="1"/>
  <c r="AU22" i="8"/>
  <c r="BS22" i="8" s="1"/>
  <c r="AT22" i="8"/>
  <c r="BR22" i="8" s="1"/>
  <c r="AS22" i="8"/>
  <c r="BQ22" i="8" s="1"/>
  <c r="AR22" i="8"/>
  <c r="BP22" i="8" s="1"/>
  <c r="AQ22" i="8"/>
  <c r="BO22" i="8" s="1"/>
  <c r="AP22" i="8"/>
  <c r="BN22" i="8" s="1"/>
  <c r="AO22" i="8"/>
  <c r="BM22" i="8" s="1"/>
  <c r="AN22" i="8"/>
  <c r="BL22" i="8" s="1"/>
  <c r="AM22" i="8"/>
  <c r="BK22" i="8" s="1"/>
  <c r="AL22" i="8"/>
  <c r="BJ22" i="8" s="1"/>
  <c r="AK22" i="8"/>
  <c r="BI22" i="8" s="1"/>
  <c r="AJ22" i="8"/>
  <c r="BH22" i="8" s="1"/>
  <c r="AI22" i="8"/>
  <c r="BG22" i="8" s="1"/>
  <c r="AH22" i="8"/>
  <c r="BF22" i="8" s="1"/>
  <c r="AG22" i="8"/>
  <c r="BE22" i="8" s="1"/>
  <c r="AF22" i="8"/>
  <c r="BD22" i="8" s="1"/>
  <c r="AE22" i="8"/>
  <c r="BC22" i="8" s="1"/>
  <c r="AD22" i="8"/>
  <c r="BB22" i="8" s="1"/>
  <c r="AC22" i="8"/>
  <c r="BA22" i="8" s="1"/>
  <c r="AB22" i="8"/>
  <c r="AZ22" i="8" s="1"/>
  <c r="AA22" i="8"/>
  <c r="AY22" i="8" s="1"/>
  <c r="Z22" i="8"/>
  <c r="AX22" i="8" s="1"/>
  <c r="AW21" i="8"/>
  <c r="BU21" i="8" s="1"/>
  <c r="AV21" i="8"/>
  <c r="BT21" i="8" s="1"/>
  <c r="AU21" i="8"/>
  <c r="BS21" i="8" s="1"/>
  <c r="AT21" i="8"/>
  <c r="BR21" i="8" s="1"/>
  <c r="AS21" i="8"/>
  <c r="BQ21" i="8" s="1"/>
  <c r="AR21" i="8"/>
  <c r="BP21" i="8" s="1"/>
  <c r="AQ21" i="8"/>
  <c r="BO21" i="8" s="1"/>
  <c r="AP21" i="8"/>
  <c r="BN21" i="8" s="1"/>
  <c r="AO21" i="8"/>
  <c r="BM21" i="8" s="1"/>
  <c r="AN21" i="8"/>
  <c r="BL21" i="8" s="1"/>
  <c r="AM21" i="8"/>
  <c r="BK21" i="8" s="1"/>
  <c r="AL21" i="8"/>
  <c r="BJ21" i="8" s="1"/>
  <c r="AK21" i="8"/>
  <c r="BI21" i="8" s="1"/>
  <c r="AJ21" i="8"/>
  <c r="BH21" i="8" s="1"/>
  <c r="AI21" i="8"/>
  <c r="BG21" i="8" s="1"/>
  <c r="AH21" i="8"/>
  <c r="BF21" i="8" s="1"/>
  <c r="AG21" i="8"/>
  <c r="BE21" i="8" s="1"/>
  <c r="AF21" i="8"/>
  <c r="BD21" i="8" s="1"/>
  <c r="AE21" i="8"/>
  <c r="BC21" i="8" s="1"/>
  <c r="AD21" i="8"/>
  <c r="BB21" i="8" s="1"/>
  <c r="AC21" i="8"/>
  <c r="BA21" i="8" s="1"/>
  <c r="AB21" i="8"/>
  <c r="AZ21" i="8" s="1"/>
  <c r="AA21" i="8"/>
  <c r="AY21" i="8" s="1"/>
  <c r="Z21" i="8"/>
  <c r="AX21" i="8" s="1"/>
  <c r="AW20" i="8"/>
  <c r="BU20" i="8" s="1"/>
  <c r="AV20" i="8"/>
  <c r="BT20" i="8" s="1"/>
  <c r="AU20" i="8"/>
  <c r="BS20" i="8" s="1"/>
  <c r="AT20" i="8"/>
  <c r="BR20" i="8" s="1"/>
  <c r="AS20" i="8"/>
  <c r="BQ20" i="8" s="1"/>
  <c r="AR20" i="8"/>
  <c r="BP20" i="8" s="1"/>
  <c r="AQ20" i="8"/>
  <c r="BO20" i="8" s="1"/>
  <c r="AP20" i="8"/>
  <c r="BN20" i="8" s="1"/>
  <c r="AO20" i="8"/>
  <c r="BM20" i="8" s="1"/>
  <c r="AN20" i="8"/>
  <c r="BL20" i="8" s="1"/>
  <c r="AM20" i="8"/>
  <c r="BK20" i="8" s="1"/>
  <c r="AL20" i="8"/>
  <c r="BJ20" i="8" s="1"/>
  <c r="AK20" i="8"/>
  <c r="BI20" i="8" s="1"/>
  <c r="AJ20" i="8"/>
  <c r="BH20" i="8" s="1"/>
  <c r="AI20" i="8"/>
  <c r="BG20" i="8" s="1"/>
  <c r="AH20" i="8"/>
  <c r="BF20" i="8" s="1"/>
  <c r="AG20" i="8"/>
  <c r="BE20" i="8" s="1"/>
  <c r="AF20" i="8"/>
  <c r="BD20" i="8" s="1"/>
  <c r="AE20" i="8"/>
  <c r="BC20" i="8" s="1"/>
  <c r="AD20" i="8"/>
  <c r="BB20" i="8" s="1"/>
  <c r="AC20" i="8"/>
  <c r="BA20" i="8" s="1"/>
  <c r="AB20" i="8"/>
  <c r="AZ20" i="8" s="1"/>
  <c r="AA20" i="8"/>
  <c r="AY20" i="8" s="1"/>
  <c r="Z20" i="8"/>
  <c r="AX20" i="8" s="1"/>
  <c r="AW19" i="8"/>
  <c r="BU19" i="8" s="1"/>
  <c r="AV19" i="8"/>
  <c r="BT19" i="8" s="1"/>
  <c r="AU19" i="8"/>
  <c r="BS19" i="8" s="1"/>
  <c r="AT19" i="8"/>
  <c r="BR19" i="8" s="1"/>
  <c r="AS19" i="8"/>
  <c r="BQ19" i="8" s="1"/>
  <c r="AR19" i="8"/>
  <c r="BP19" i="8" s="1"/>
  <c r="AQ19" i="8"/>
  <c r="BO19" i="8" s="1"/>
  <c r="AP19" i="8"/>
  <c r="BN19" i="8" s="1"/>
  <c r="AO19" i="8"/>
  <c r="BM19" i="8" s="1"/>
  <c r="AN19" i="8"/>
  <c r="BL19" i="8" s="1"/>
  <c r="AM19" i="8"/>
  <c r="BK19" i="8" s="1"/>
  <c r="AL19" i="8"/>
  <c r="BJ19" i="8" s="1"/>
  <c r="AK19" i="8"/>
  <c r="BI19" i="8" s="1"/>
  <c r="AJ19" i="8"/>
  <c r="BH19" i="8" s="1"/>
  <c r="AI19" i="8"/>
  <c r="BG19" i="8" s="1"/>
  <c r="AH19" i="8"/>
  <c r="BF19" i="8" s="1"/>
  <c r="AG19" i="8"/>
  <c r="BE19" i="8" s="1"/>
  <c r="AF19" i="8"/>
  <c r="BD19" i="8" s="1"/>
  <c r="AE19" i="8"/>
  <c r="BC19" i="8" s="1"/>
  <c r="AD19" i="8"/>
  <c r="BB19" i="8" s="1"/>
  <c r="AC19" i="8"/>
  <c r="BA19" i="8" s="1"/>
  <c r="AB19" i="8"/>
  <c r="AZ19" i="8" s="1"/>
  <c r="AA19" i="8"/>
  <c r="AY19" i="8" s="1"/>
  <c r="Z19" i="8"/>
  <c r="AX19" i="8" s="1"/>
  <c r="AW18" i="8"/>
  <c r="BU18" i="8" s="1"/>
  <c r="AV18" i="8"/>
  <c r="BT18" i="8" s="1"/>
  <c r="AU18" i="8"/>
  <c r="BS18" i="8" s="1"/>
  <c r="AT18" i="8"/>
  <c r="BR18" i="8" s="1"/>
  <c r="AS18" i="8"/>
  <c r="BQ18" i="8" s="1"/>
  <c r="AR18" i="8"/>
  <c r="BP18" i="8" s="1"/>
  <c r="AQ18" i="8"/>
  <c r="BO18" i="8" s="1"/>
  <c r="AP18" i="8"/>
  <c r="BN18" i="8" s="1"/>
  <c r="AO18" i="8"/>
  <c r="BM18" i="8" s="1"/>
  <c r="AN18" i="8"/>
  <c r="BL18" i="8" s="1"/>
  <c r="AM18" i="8"/>
  <c r="BK18" i="8" s="1"/>
  <c r="AL18" i="8"/>
  <c r="BJ18" i="8" s="1"/>
  <c r="AK18" i="8"/>
  <c r="BI18" i="8" s="1"/>
  <c r="AJ18" i="8"/>
  <c r="BH18" i="8" s="1"/>
  <c r="AI18" i="8"/>
  <c r="BG18" i="8" s="1"/>
  <c r="AH18" i="8"/>
  <c r="BF18" i="8" s="1"/>
  <c r="AG18" i="8"/>
  <c r="BE18" i="8" s="1"/>
  <c r="AF18" i="8"/>
  <c r="BD18" i="8" s="1"/>
  <c r="AE18" i="8"/>
  <c r="BC18" i="8" s="1"/>
  <c r="AD18" i="8"/>
  <c r="BB18" i="8" s="1"/>
  <c r="AC18" i="8"/>
  <c r="BA18" i="8" s="1"/>
  <c r="AB18" i="8"/>
  <c r="AZ18" i="8" s="1"/>
  <c r="AA18" i="8"/>
  <c r="AY18" i="8" s="1"/>
  <c r="Z18" i="8"/>
  <c r="AX18" i="8" s="1"/>
  <c r="AW17" i="8"/>
  <c r="BU17" i="8" s="1"/>
  <c r="AV17" i="8"/>
  <c r="BT17" i="8" s="1"/>
  <c r="AU17" i="8"/>
  <c r="BS17" i="8" s="1"/>
  <c r="AT17" i="8"/>
  <c r="BR17" i="8" s="1"/>
  <c r="AS17" i="8"/>
  <c r="BQ17" i="8" s="1"/>
  <c r="AR17" i="8"/>
  <c r="BP17" i="8" s="1"/>
  <c r="AQ17" i="8"/>
  <c r="BO17" i="8" s="1"/>
  <c r="AP17" i="8"/>
  <c r="BN17" i="8" s="1"/>
  <c r="AO17" i="8"/>
  <c r="BM17" i="8" s="1"/>
  <c r="AN17" i="8"/>
  <c r="BL17" i="8" s="1"/>
  <c r="AM17" i="8"/>
  <c r="BK17" i="8" s="1"/>
  <c r="AL17" i="8"/>
  <c r="BJ17" i="8" s="1"/>
  <c r="AK17" i="8"/>
  <c r="BI17" i="8" s="1"/>
  <c r="AJ17" i="8"/>
  <c r="BH17" i="8" s="1"/>
  <c r="AI17" i="8"/>
  <c r="BG17" i="8" s="1"/>
  <c r="AH17" i="8"/>
  <c r="BF17" i="8" s="1"/>
  <c r="AG17" i="8"/>
  <c r="BE17" i="8" s="1"/>
  <c r="AF17" i="8"/>
  <c r="BD17" i="8" s="1"/>
  <c r="AE17" i="8"/>
  <c r="BC17" i="8" s="1"/>
  <c r="AD17" i="8"/>
  <c r="BB17" i="8" s="1"/>
  <c r="AC17" i="8"/>
  <c r="BA17" i="8" s="1"/>
  <c r="AB17" i="8"/>
  <c r="AZ17" i="8" s="1"/>
  <c r="AA17" i="8"/>
  <c r="AY17" i="8" s="1"/>
  <c r="Z17" i="8"/>
  <c r="AX17" i="8" s="1"/>
  <c r="AW16" i="8"/>
  <c r="BU16" i="8" s="1"/>
  <c r="AV16" i="8"/>
  <c r="BT16" i="8" s="1"/>
  <c r="AU16" i="8"/>
  <c r="BS16" i="8" s="1"/>
  <c r="AT16" i="8"/>
  <c r="BR16" i="8" s="1"/>
  <c r="AS16" i="8"/>
  <c r="BQ16" i="8" s="1"/>
  <c r="AR16" i="8"/>
  <c r="BP16" i="8" s="1"/>
  <c r="AQ16" i="8"/>
  <c r="BO16" i="8" s="1"/>
  <c r="AP16" i="8"/>
  <c r="BN16" i="8" s="1"/>
  <c r="AO16" i="8"/>
  <c r="BM16" i="8" s="1"/>
  <c r="AN16" i="8"/>
  <c r="BL16" i="8" s="1"/>
  <c r="AM16" i="8"/>
  <c r="BK16" i="8" s="1"/>
  <c r="AL16" i="8"/>
  <c r="BJ16" i="8" s="1"/>
  <c r="AK16" i="8"/>
  <c r="BI16" i="8" s="1"/>
  <c r="AJ16" i="8"/>
  <c r="BH16" i="8" s="1"/>
  <c r="AI16" i="8"/>
  <c r="BG16" i="8" s="1"/>
  <c r="AH16" i="8"/>
  <c r="BF16" i="8" s="1"/>
  <c r="AG16" i="8"/>
  <c r="BE16" i="8" s="1"/>
  <c r="AF16" i="8"/>
  <c r="BD16" i="8" s="1"/>
  <c r="AE16" i="8"/>
  <c r="BC16" i="8" s="1"/>
  <c r="AD16" i="8"/>
  <c r="BB16" i="8" s="1"/>
  <c r="AC16" i="8"/>
  <c r="BA16" i="8" s="1"/>
  <c r="AB16" i="8"/>
  <c r="AZ16" i="8" s="1"/>
  <c r="AA16" i="8"/>
  <c r="AY16" i="8" s="1"/>
  <c r="Z16" i="8"/>
  <c r="AX16" i="8" s="1"/>
  <c r="AW15" i="8"/>
  <c r="BU15" i="8" s="1"/>
  <c r="AV15" i="8"/>
  <c r="BT15" i="8" s="1"/>
  <c r="AU15" i="8"/>
  <c r="BS15" i="8" s="1"/>
  <c r="AT15" i="8"/>
  <c r="BR15" i="8" s="1"/>
  <c r="AS15" i="8"/>
  <c r="BQ15" i="8" s="1"/>
  <c r="AR15" i="8"/>
  <c r="BP15" i="8" s="1"/>
  <c r="AQ15" i="8"/>
  <c r="BO15" i="8" s="1"/>
  <c r="AP15" i="8"/>
  <c r="BN15" i="8" s="1"/>
  <c r="AO15" i="8"/>
  <c r="BM15" i="8" s="1"/>
  <c r="AN15" i="8"/>
  <c r="BL15" i="8" s="1"/>
  <c r="AM15" i="8"/>
  <c r="BK15" i="8" s="1"/>
  <c r="AL15" i="8"/>
  <c r="BJ15" i="8" s="1"/>
  <c r="AK15" i="8"/>
  <c r="BI15" i="8" s="1"/>
  <c r="AJ15" i="8"/>
  <c r="BH15" i="8" s="1"/>
  <c r="AI15" i="8"/>
  <c r="BG15" i="8" s="1"/>
  <c r="AH15" i="8"/>
  <c r="BF15" i="8" s="1"/>
  <c r="AG15" i="8"/>
  <c r="BE15" i="8" s="1"/>
  <c r="AF15" i="8"/>
  <c r="BD15" i="8" s="1"/>
  <c r="AE15" i="8"/>
  <c r="BC15" i="8" s="1"/>
  <c r="AD15" i="8"/>
  <c r="BB15" i="8" s="1"/>
  <c r="AC15" i="8"/>
  <c r="BA15" i="8" s="1"/>
  <c r="AB15" i="8"/>
  <c r="AZ15" i="8" s="1"/>
  <c r="AA15" i="8"/>
  <c r="AY15" i="8" s="1"/>
  <c r="Z15" i="8"/>
  <c r="AX15" i="8" s="1"/>
  <c r="AW14" i="8"/>
  <c r="BU14" i="8" s="1"/>
  <c r="AV14" i="8"/>
  <c r="BT14" i="8" s="1"/>
  <c r="AU14" i="8"/>
  <c r="BS14" i="8" s="1"/>
  <c r="AT14" i="8"/>
  <c r="BR14" i="8" s="1"/>
  <c r="AS14" i="8"/>
  <c r="BQ14" i="8" s="1"/>
  <c r="AR14" i="8"/>
  <c r="BP14" i="8" s="1"/>
  <c r="AQ14" i="8"/>
  <c r="BO14" i="8" s="1"/>
  <c r="AP14" i="8"/>
  <c r="BN14" i="8" s="1"/>
  <c r="AO14" i="8"/>
  <c r="BM14" i="8" s="1"/>
  <c r="AN14" i="8"/>
  <c r="BL14" i="8" s="1"/>
  <c r="AM14" i="8"/>
  <c r="BK14" i="8" s="1"/>
  <c r="AL14" i="8"/>
  <c r="BJ14" i="8" s="1"/>
  <c r="AK14" i="8"/>
  <c r="BI14" i="8" s="1"/>
  <c r="AJ14" i="8"/>
  <c r="BH14" i="8" s="1"/>
  <c r="AI14" i="8"/>
  <c r="BG14" i="8" s="1"/>
  <c r="AH14" i="8"/>
  <c r="BF14" i="8" s="1"/>
  <c r="AG14" i="8"/>
  <c r="BE14" i="8" s="1"/>
  <c r="AF14" i="8"/>
  <c r="BD14" i="8" s="1"/>
  <c r="AE14" i="8"/>
  <c r="BC14" i="8" s="1"/>
  <c r="AD14" i="8"/>
  <c r="BB14" i="8" s="1"/>
  <c r="AC14" i="8"/>
  <c r="BA14" i="8" s="1"/>
  <c r="AB14" i="8"/>
  <c r="AZ14" i="8" s="1"/>
  <c r="AA14" i="8"/>
  <c r="AY14" i="8" s="1"/>
  <c r="Z14" i="8"/>
  <c r="AX14" i="8" s="1"/>
  <c r="AW13" i="8"/>
  <c r="BU13" i="8" s="1"/>
  <c r="AV13" i="8"/>
  <c r="BT13" i="8" s="1"/>
  <c r="AU13" i="8"/>
  <c r="BS13" i="8" s="1"/>
  <c r="AT13" i="8"/>
  <c r="BR13" i="8" s="1"/>
  <c r="AS13" i="8"/>
  <c r="BQ13" i="8" s="1"/>
  <c r="AR13" i="8"/>
  <c r="BP13" i="8" s="1"/>
  <c r="AQ13" i="8"/>
  <c r="BO13" i="8" s="1"/>
  <c r="AP13" i="8"/>
  <c r="BN13" i="8" s="1"/>
  <c r="AO13" i="8"/>
  <c r="BM13" i="8" s="1"/>
  <c r="AN13" i="8"/>
  <c r="BL13" i="8" s="1"/>
  <c r="AM13" i="8"/>
  <c r="BK13" i="8" s="1"/>
  <c r="AL13" i="8"/>
  <c r="BJ13" i="8" s="1"/>
  <c r="AK13" i="8"/>
  <c r="BI13" i="8" s="1"/>
  <c r="AJ13" i="8"/>
  <c r="BH13" i="8" s="1"/>
  <c r="AI13" i="8"/>
  <c r="BG13" i="8" s="1"/>
  <c r="AH13" i="8"/>
  <c r="BF13" i="8" s="1"/>
  <c r="AG13" i="8"/>
  <c r="BE13" i="8" s="1"/>
  <c r="AF13" i="8"/>
  <c r="BD13" i="8" s="1"/>
  <c r="AE13" i="8"/>
  <c r="BC13" i="8" s="1"/>
  <c r="AD13" i="8"/>
  <c r="BB13" i="8" s="1"/>
  <c r="AC13" i="8"/>
  <c r="BA13" i="8" s="1"/>
  <c r="AB13" i="8"/>
  <c r="AZ13" i="8" s="1"/>
  <c r="AA13" i="8"/>
  <c r="AY13" i="8" s="1"/>
  <c r="Z13" i="8"/>
  <c r="AX13" i="8" s="1"/>
  <c r="AW12" i="8"/>
  <c r="BU12" i="8" s="1"/>
  <c r="AV12" i="8"/>
  <c r="BT12" i="8" s="1"/>
  <c r="AU12" i="8"/>
  <c r="BS12" i="8" s="1"/>
  <c r="AT12" i="8"/>
  <c r="BR12" i="8" s="1"/>
  <c r="AS12" i="8"/>
  <c r="BQ12" i="8" s="1"/>
  <c r="AR12" i="8"/>
  <c r="BP12" i="8" s="1"/>
  <c r="AQ12" i="8"/>
  <c r="BO12" i="8" s="1"/>
  <c r="AP12" i="8"/>
  <c r="BN12" i="8" s="1"/>
  <c r="AO12" i="8"/>
  <c r="BM12" i="8" s="1"/>
  <c r="AN12" i="8"/>
  <c r="BL12" i="8" s="1"/>
  <c r="AM12" i="8"/>
  <c r="BK12" i="8" s="1"/>
  <c r="AL12" i="8"/>
  <c r="BJ12" i="8" s="1"/>
  <c r="AK12" i="8"/>
  <c r="BI12" i="8" s="1"/>
  <c r="AJ12" i="8"/>
  <c r="BH12" i="8" s="1"/>
  <c r="AI12" i="8"/>
  <c r="BG12" i="8" s="1"/>
  <c r="AH12" i="8"/>
  <c r="BF12" i="8" s="1"/>
  <c r="AG12" i="8"/>
  <c r="BE12" i="8" s="1"/>
  <c r="AF12" i="8"/>
  <c r="BD12" i="8" s="1"/>
  <c r="AE12" i="8"/>
  <c r="BC12" i="8" s="1"/>
  <c r="AD12" i="8"/>
  <c r="BB12" i="8" s="1"/>
  <c r="AC12" i="8"/>
  <c r="BA12" i="8" s="1"/>
  <c r="AB12" i="8"/>
  <c r="AZ12" i="8" s="1"/>
  <c r="AA12" i="8"/>
  <c r="AY12" i="8" s="1"/>
  <c r="Z12" i="8"/>
  <c r="AX12" i="8" s="1"/>
  <c r="AW11" i="8"/>
  <c r="BU11" i="8" s="1"/>
  <c r="AV11" i="8"/>
  <c r="BT11" i="8" s="1"/>
  <c r="AU11" i="8"/>
  <c r="BS11" i="8" s="1"/>
  <c r="AT11" i="8"/>
  <c r="BR11" i="8" s="1"/>
  <c r="AS11" i="8"/>
  <c r="BQ11" i="8" s="1"/>
  <c r="AR11" i="8"/>
  <c r="BP11" i="8" s="1"/>
  <c r="AQ11" i="8"/>
  <c r="BO11" i="8" s="1"/>
  <c r="AP11" i="8"/>
  <c r="BN11" i="8" s="1"/>
  <c r="AO11" i="8"/>
  <c r="BM11" i="8" s="1"/>
  <c r="AN11" i="8"/>
  <c r="BL11" i="8" s="1"/>
  <c r="AM11" i="8"/>
  <c r="BK11" i="8" s="1"/>
  <c r="AL11" i="8"/>
  <c r="BJ11" i="8" s="1"/>
  <c r="AK11" i="8"/>
  <c r="BI11" i="8" s="1"/>
  <c r="AJ11" i="8"/>
  <c r="BH11" i="8" s="1"/>
  <c r="AI11" i="8"/>
  <c r="BG11" i="8" s="1"/>
  <c r="AH11" i="8"/>
  <c r="BF11" i="8" s="1"/>
  <c r="AG11" i="8"/>
  <c r="BE11" i="8" s="1"/>
  <c r="AF11" i="8"/>
  <c r="BD11" i="8" s="1"/>
  <c r="AE11" i="8"/>
  <c r="BC11" i="8" s="1"/>
  <c r="AD11" i="8"/>
  <c r="BB11" i="8" s="1"/>
  <c r="AC11" i="8"/>
  <c r="BA11" i="8" s="1"/>
  <c r="AB11" i="8"/>
  <c r="AZ11" i="8" s="1"/>
  <c r="AA11" i="8"/>
  <c r="AY11" i="8" s="1"/>
  <c r="Z11" i="8"/>
  <c r="AX11" i="8" s="1"/>
  <c r="AW9" i="8"/>
  <c r="BU9" i="8" s="1"/>
  <c r="AV9" i="8"/>
  <c r="BT9" i="8" s="1"/>
  <c r="AU9" i="8"/>
  <c r="BS9" i="8" s="1"/>
  <c r="AT9" i="8"/>
  <c r="BR9" i="8" s="1"/>
  <c r="AS9" i="8"/>
  <c r="BQ9" i="8" s="1"/>
  <c r="AR9" i="8"/>
  <c r="BP9" i="8" s="1"/>
  <c r="AQ9" i="8"/>
  <c r="BO9" i="8" s="1"/>
  <c r="AP9" i="8"/>
  <c r="BN9" i="8" s="1"/>
  <c r="AO9" i="8"/>
  <c r="BM9" i="8" s="1"/>
  <c r="AN9" i="8"/>
  <c r="BL9" i="8" s="1"/>
  <c r="AM9" i="8"/>
  <c r="BK9" i="8" s="1"/>
  <c r="AL9" i="8"/>
  <c r="BJ9" i="8" s="1"/>
  <c r="AK9" i="8"/>
  <c r="BI9" i="8" s="1"/>
  <c r="AJ9" i="8"/>
  <c r="BH9" i="8" s="1"/>
  <c r="AI9" i="8"/>
  <c r="BG9" i="8" s="1"/>
  <c r="AH9" i="8"/>
  <c r="BF9" i="8" s="1"/>
  <c r="AG9" i="8"/>
  <c r="BE9" i="8" s="1"/>
  <c r="AF9" i="8"/>
  <c r="BD9" i="8" s="1"/>
  <c r="AE9" i="8"/>
  <c r="BC9" i="8" s="1"/>
  <c r="AD9" i="8"/>
  <c r="BB9" i="8" s="1"/>
  <c r="AC9" i="8"/>
  <c r="BA9" i="8" s="1"/>
  <c r="AB9" i="8"/>
  <c r="AZ9" i="8" s="1"/>
  <c r="AA9" i="8"/>
  <c r="AY9" i="8" s="1"/>
  <c r="Z9" i="8"/>
  <c r="AX9" i="8" s="1"/>
  <c r="AW8" i="8"/>
  <c r="BU8" i="8" s="1"/>
  <c r="AV8" i="8"/>
  <c r="BT8" i="8" s="1"/>
  <c r="AU8" i="8"/>
  <c r="BS8" i="8" s="1"/>
  <c r="AT8" i="8"/>
  <c r="BR8" i="8" s="1"/>
  <c r="AS8" i="8"/>
  <c r="BQ8" i="8" s="1"/>
  <c r="AR8" i="8"/>
  <c r="BP8" i="8" s="1"/>
  <c r="AQ8" i="8"/>
  <c r="BO8" i="8" s="1"/>
  <c r="AP8" i="8"/>
  <c r="BN8" i="8" s="1"/>
  <c r="AO8" i="8"/>
  <c r="BM8" i="8" s="1"/>
  <c r="AN8" i="8"/>
  <c r="BL8" i="8" s="1"/>
  <c r="AM8" i="8"/>
  <c r="BK8" i="8" s="1"/>
  <c r="AL8" i="8"/>
  <c r="BJ8" i="8" s="1"/>
  <c r="AK8" i="8"/>
  <c r="BI8" i="8" s="1"/>
  <c r="AJ8" i="8"/>
  <c r="BH8" i="8" s="1"/>
  <c r="AI8" i="8"/>
  <c r="BG8" i="8" s="1"/>
  <c r="AH8" i="8"/>
  <c r="BF8" i="8" s="1"/>
  <c r="AG8" i="8"/>
  <c r="BE8" i="8" s="1"/>
  <c r="AF8" i="8"/>
  <c r="BD8" i="8" s="1"/>
  <c r="AE8" i="8"/>
  <c r="BC8" i="8" s="1"/>
  <c r="AD8" i="8"/>
  <c r="BB8" i="8" s="1"/>
  <c r="AC8" i="8"/>
  <c r="BA8" i="8" s="1"/>
  <c r="AB8" i="8"/>
  <c r="AZ8" i="8" s="1"/>
  <c r="AA8" i="8"/>
  <c r="AY8" i="8" s="1"/>
  <c r="Z8" i="8"/>
  <c r="AX8" i="8" s="1"/>
  <c r="AW7" i="8"/>
  <c r="BU7" i="8" s="1"/>
  <c r="AV7" i="8"/>
  <c r="BT7" i="8" s="1"/>
  <c r="AU7" i="8"/>
  <c r="BS7" i="8" s="1"/>
  <c r="AT7" i="8"/>
  <c r="BR7" i="8" s="1"/>
  <c r="AS7" i="8"/>
  <c r="BQ7" i="8" s="1"/>
  <c r="AR7" i="8"/>
  <c r="BP7" i="8" s="1"/>
  <c r="AQ7" i="8"/>
  <c r="BO7" i="8" s="1"/>
  <c r="AP7" i="8"/>
  <c r="BN7" i="8" s="1"/>
  <c r="AO7" i="8"/>
  <c r="BM7" i="8" s="1"/>
  <c r="AN7" i="8"/>
  <c r="BL7" i="8" s="1"/>
  <c r="AM7" i="8"/>
  <c r="BK7" i="8" s="1"/>
  <c r="AL7" i="8"/>
  <c r="BJ7" i="8" s="1"/>
  <c r="AK7" i="8"/>
  <c r="BI7" i="8" s="1"/>
  <c r="AJ7" i="8"/>
  <c r="BH7" i="8" s="1"/>
  <c r="AI7" i="8"/>
  <c r="BG7" i="8" s="1"/>
  <c r="AH7" i="8"/>
  <c r="BF7" i="8" s="1"/>
  <c r="AG7" i="8"/>
  <c r="BE7" i="8" s="1"/>
  <c r="AF7" i="8"/>
  <c r="BD7" i="8" s="1"/>
  <c r="AE7" i="8"/>
  <c r="BC7" i="8" s="1"/>
  <c r="AD7" i="8"/>
  <c r="BB7" i="8" s="1"/>
  <c r="AC7" i="8"/>
  <c r="BA7" i="8" s="1"/>
  <c r="AB7" i="8"/>
  <c r="AZ7" i="8" s="1"/>
  <c r="AA7" i="8"/>
  <c r="AY7" i="8" s="1"/>
  <c r="Z7" i="8"/>
  <c r="AX7" i="8" s="1"/>
  <c r="AW6" i="8"/>
  <c r="BU6" i="8" s="1"/>
  <c r="AV6" i="8"/>
  <c r="BT6" i="8" s="1"/>
  <c r="AU6" i="8"/>
  <c r="BS6" i="8" s="1"/>
  <c r="AT6" i="8"/>
  <c r="BR6" i="8" s="1"/>
  <c r="AS6" i="8"/>
  <c r="BQ6" i="8" s="1"/>
  <c r="AR6" i="8"/>
  <c r="BP6" i="8" s="1"/>
  <c r="AQ6" i="8"/>
  <c r="BO6" i="8" s="1"/>
  <c r="AP6" i="8"/>
  <c r="BN6" i="8" s="1"/>
  <c r="AO6" i="8"/>
  <c r="BM6" i="8" s="1"/>
  <c r="AN6" i="8"/>
  <c r="BL6" i="8" s="1"/>
  <c r="AM6" i="8"/>
  <c r="BK6" i="8" s="1"/>
  <c r="AL6" i="8"/>
  <c r="BJ6" i="8" s="1"/>
  <c r="AK6" i="8"/>
  <c r="BI6" i="8" s="1"/>
  <c r="AJ6" i="8"/>
  <c r="BH6" i="8" s="1"/>
  <c r="AI6" i="8"/>
  <c r="BG6" i="8" s="1"/>
  <c r="AH6" i="8"/>
  <c r="BF6" i="8" s="1"/>
  <c r="AG6" i="8"/>
  <c r="BE6" i="8" s="1"/>
  <c r="AF6" i="8"/>
  <c r="BD6" i="8" s="1"/>
  <c r="AE6" i="8"/>
  <c r="BC6" i="8" s="1"/>
  <c r="AD6" i="8"/>
  <c r="BB6" i="8" s="1"/>
  <c r="AC6" i="8"/>
  <c r="BA6" i="8" s="1"/>
  <c r="AB6" i="8"/>
  <c r="AZ6" i="8" s="1"/>
  <c r="AA6" i="8"/>
  <c r="AY6" i="8" s="1"/>
  <c r="Z6" i="8"/>
  <c r="AX6" i="8" s="1"/>
  <c r="AW5" i="8"/>
  <c r="BU5" i="8" s="1"/>
  <c r="AV5" i="8"/>
  <c r="BT5" i="8" s="1"/>
  <c r="AU5" i="8"/>
  <c r="BS5" i="8" s="1"/>
  <c r="AT5" i="8"/>
  <c r="BR5" i="8" s="1"/>
  <c r="AS5" i="8"/>
  <c r="BQ5" i="8" s="1"/>
  <c r="AR5" i="8"/>
  <c r="BP5" i="8" s="1"/>
  <c r="AQ5" i="8"/>
  <c r="BO5" i="8" s="1"/>
  <c r="AP5" i="8"/>
  <c r="BN5" i="8" s="1"/>
  <c r="AO5" i="8"/>
  <c r="BM5" i="8" s="1"/>
  <c r="AN5" i="8"/>
  <c r="BL5" i="8" s="1"/>
  <c r="AM5" i="8"/>
  <c r="BK5" i="8" s="1"/>
  <c r="AL5" i="8"/>
  <c r="BJ5" i="8" s="1"/>
  <c r="AK5" i="8"/>
  <c r="BI5" i="8" s="1"/>
  <c r="AJ5" i="8"/>
  <c r="BH5" i="8" s="1"/>
  <c r="AI5" i="8"/>
  <c r="BG5" i="8" s="1"/>
  <c r="AH5" i="8"/>
  <c r="BF5" i="8" s="1"/>
  <c r="AG5" i="8"/>
  <c r="BE5" i="8" s="1"/>
  <c r="AF5" i="8"/>
  <c r="BD5" i="8" s="1"/>
  <c r="AE5" i="8"/>
  <c r="BC5" i="8" s="1"/>
  <c r="AD5" i="8"/>
  <c r="BB5" i="8" s="1"/>
  <c r="AC5" i="8"/>
  <c r="BA5" i="8" s="1"/>
  <c r="AB5" i="8"/>
  <c r="AZ5" i="8" s="1"/>
  <c r="AA5" i="8"/>
  <c r="AY5" i="8" s="1"/>
  <c r="Z5" i="8"/>
  <c r="AX5" i="8" s="1"/>
  <c r="AW4" i="8"/>
  <c r="BU4" i="8" s="1"/>
  <c r="AV4" i="8"/>
  <c r="BT4" i="8" s="1"/>
  <c r="AU4" i="8"/>
  <c r="BS4" i="8" s="1"/>
  <c r="AT4" i="8"/>
  <c r="BR4" i="8" s="1"/>
  <c r="AS4" i="8"/>
  <c r="BQ4" i="8" s="1"/>
  <c r="AR4" i="8"/>
  <c r="BP4" i="8" s="1"/>
  <c r="AQ4" i="8"/>
  <c r="BO4" i="8" s="1"/>
  <c r="AP4" i="8"/>
  <c r="BN4" i="8" s="1"/>
  <c r="AO4" i="8"/>
  <c r="BM4" i="8" s="1"/>
  <c r="AN4" i="8"/>
  <c r="BL4" i="8" s="1"/>
  <c r="AM4" i="8"/>
  <c r="BK4" i="8" s="1"/>
  <c r="AL4" i="8"/>
  <c r="BJ4" i="8" s="1"/>
  <c r="AK4" i="8"/>
  <c r="BI4" i="8" s="1"/>
  <c r="AJ4" i="8"/>
  <c r="BH4" i="8" s="1"/>
  <c r="AI4" i="8"/>
  <c r="BG4" i="8" s="1"/>
  <c r="AH4" i="8"/>
  <c r="BF4" i="8" s="1"/>
  <c r="AG4" i="8"/>
  <c r="BE4" i="8" s="1"/>
  <c r="AF4" i="8"/>
  <c r="BD4" i="8" s="1"/>
  <c r="AE4" i="8"/>
  <c r="BC4" i="8" s="1"/>
  <c r="AD4" i="8"/>
  <c r="BB4" i="8" s="1"/>
  <c r="AC4" i="8"/>
  <c r="BA4" i="8" s="1"/>
  <c r="AB4" i="8"/>
  <c r="AZ4" i="8" s="1"/>
  <c r="AA4" i="8"/>
  <c r="AY4" i="8" s="1"/>
  <c r="Z4" i="8"/>
  <c r="AX4" i="8" s="1"/>
  <c r="AW3" i="8"/>
  <c r="BU3" i="8" s="1"/>
  <c r="AV3" i="8"/>
  <c r="BT3" i="8" s="1"/>
  <c r="AU3" i="8"/>
  <c r="BS3" i="8" s="1"/>
  <c r="AT3" i="8"/>
  <c r="BR3" i="8" s="1"/>
  <c r="AS3" i="8"/>
  <c r="BQ3" i="8" s="1"/>
  <c r="AR3" i="8"/>
  <c r="BP3" i="8" s="1"/>
  <c r="AQ3" i="8"/>
  <c r="BO3" i="8" s="1"/>
  <c r="AP3" i="8"/>
  <c r="BN3" i="8" s="1"/>
  <c r="AO3" i="8"/>
  <c r="BM3" i="8" s="1"/>
  <c r="AN3" i="8"/>
  <c r="BL3" i="8" s="1"/>
  <c r="AM3" i="8"/>
  <c r="BK3" i="8" s="1"/>
  <c r="AL3" i="8"/>
  <c r="BJ3" i="8" s="1"/>
  <c r="AK3" i="8"/>
  <c r="BI3" i="8" s="1"/>
  <c r="AJ3" i="8"/>
  <c r="BH3" i="8" s="1"/>
  <c r="AI3" i="8"/>
  <c r="BG3" i="8" s="1"/>
  <c r="AH3" i="8"/>
  <c r="BF3" i="8" s="1"/>
  <c r="AG3" i="8"/>
  <c r="BE3" i="8" s="1"/>
  <c r="AF3" i="8"/>
  <c r="BD3" i="8" s="1"/>
  <c r="AE3" i="8"/>
  <c r="BC3" i="8" s="1"/>
  <c r="AD3" i="8"/>
  <c r="BB3" i="8" s="1"/>
  <c r="AC3" i="8"/>
  <c r="BA3" i="8" s="1"/>
  <c r="AB3" i="8"/>
  <c r="AZ3" i="8" s="1"/>
  <c r="AA3" i="8"/>
  <c r="AY3" i="8" s="1"/>
  <c r="Z3" i="8"/>
  <c r="AX3" i="8" s="1"/>
  <c r="AW2" i="8"/>
  <c r="BU2" i="8" s="1"/>
  <c r="AV2" i="8"/>
  <c r="BT2" i="8" s="1"/>
  <c r="AU2" i="8"/>
  <c r="BS2" i="8" s="1"/>
  <c r="AT2" i="8"/>
  <c r="BR2" i="8" s="1"/>
  <c r="AS2" i="8"/>
  <c r="BQ2" i="8" s="1"/>
  <c r="AR2" i="8"/>
  <c r="BP2" i="8" s="1"/>
  <c r="AQ2" i="8"/>
  <c r="BO2" i="8" s="1"/>
  <c r="AP2" i="8"/>
  <c r="BN2" i="8" s="1"/>
  <c r="AO2" i="8"/>
  <c r="BM2" i="8" s="1"/>
  <c r="AN2" i="8"/>
  <c r="BL2" i="8" s="1"/>
  <c r="AM2" i="8"/>
  <c r="BK2" i="8" s="1"/>
  <c r="AL2" i="8"/>
  <c r="BJ2" i="8" s="1"/>
  <c r="AK2" i="8"/>
  <c r="BI2" i="8" s="1"/>
  <c r="AJ2" i="8"/>
  <c r="BH2" i="8" s="1"/>
  <c r="AI2" i="8"/>
  <c r="BG2" i="8" s="1"/>
  <c r="AH2" i="8"/>
  <c r="BF2" i="8" s="1"/>
  <c r="AG2" i="8"/>
  <c r="BE2" i="8" s="1"/>
  <c r="AF2" i="8"/>
  <c r="BD2" i="8" s="1"/>
  <c r="AE2" i="8"/>
  <c r="BC2" i="8" s="1"/>
  <c r="AD2" i="8"/>
  <c r="BB2" i="8" s="1"/>
  <c r="AC2" i="8"/>
  <c r="BA2" i="8" s="1"/>
  <c r="AB2" i="8"/>
  <c r="AZ2" i="8" s="1"/>
  <c r="AA2" i="8"/>
  <c r="AY2" i="8" s="1"/>
  <c r="Z2" i="8"/>
  <c r="AX2" i="8" s="1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AW13" i="6"/>
  <c r="AV13" i="6"/>
  <c r="AU13" i="6"/>
  <c r="AT13" i="6"/>
  <c r="AS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G309" i="13"/>
  <c r="AF309" i="13"/>
  <c r="AE309" i="13"/>
  <c r="AD309" i="13"/>
  <c r="AC309" i="13"/>
  <c r="AB309" i="13"/>
  <c r="AA309" i="13"/>
  <c r="Z309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AG308" i="13"/>
  <c r="AF308" i="13"/>
  <c r="AE308" i="13"/>
  <c r="AD308" i="13"/>
  <c r="AC308" i="13"/>
  <c r="AB308" i="13"/>
  <c r="AA308" i="13"/>
  <c r="Z308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C277" i="13"/>
  <c r="AB277" i="13"/>
  <c r="AA277" i="13"/>
  <c r="Z277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C247" i="13"/>
  <c r="AB247" i="13"/>
  <c r="AA247" i="13"/>
  <c r="Z247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C216" i="13"/>
  <c r="AB216" i="13"/>
  <c r="AA216" i="13"/>
  <c r="Z216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G2" i="13"/>
  <c r="AF2" i="13"/>
  <c r="AE2" i="13"/>
  <c r="AD2" i="13"/>
  <c r="AC2" i="13"/>
  <c r="AB2" i="13"/>
  <c r="AA2" i="13"/>
  <c r="B2" i="4"/>
  <c r="FG120" i="20"/>
  <c r="FG167" i="20"/>
  <c r="FG119" i="20"/>
  <c r="FG121" i="20"/>
  <c r="FG6" i="20"/>
  <c r="FG21" i="20"/>
  <c r="FG19" i="20"/>
  <c r="FG123" i="20"/>
  <c r="FG18" i="20"/>
  <c r="FG110" i="20"/>
  <c r="FG122" i="20"/>
  <c r="FG136" i="20"/>
  <c r="FW8" i="20"/>
  <c r="FV8" i="20"/>
  <c r="E35" i="20"/>
  <c r="DR10" i="20"/>
  <c r="GC8" i="20"/>
  <c r="FY8" i="20"/>
  <c r="Q15" i="20"/>
  <c r="DR8" i="20"/>
  <c r="E34" i="20"/>
  <c r="GA8" i="20"/>
  <c r="DR9" i="20"/>
  <c r="GD8" i="20"/>
  <c r="E31" i="20"/>
  <c r="FU8" i="20"/>
  <c r="E33" i="20"/>
  <c r="E30" i="20"/>
  <c r="FX8" i="20"/>
  <c r="GB8" i="20"/>
  <c r="E32" i="20"/>
  <c r="E28" i="20"/>
  <c r="E36" i="20"/>
  <c r="E29" i="20"/>
  <c r="DR7" i="20"/>
  <c r="E27" i="20"/>
  <c r="CB4" i="20"/>
  <c r="V6" i="20"/>
  <c r="AC19" i="20"/>
  <c r="AG14" i="20"/>
  <c r="AC14" i="20"/>
  <c r="Y6" i="20"/>
  <c r="BZ4" i="20"/>
  <c r="BT6" i="20"/>
  <c r="AG21" i="20"/>
  <c r="AG11" i="20"/>
  <c r="AC10" i="20"/>
  <c r="AC13" i="20"/>
  <c r="AG18" i="20"/>
  <c r="CA4" i="20"/>
  <c r="AG22" i="20"/>
  <c r="AG10" i="20"/>
  <c r="AC16" i="20"/>
  <c r="AC17" i="20"/>
  <c r="AC18" i="20"/>
  <c r="AG12" i="20"/>
  <c r="AG20" i="20"/>
  <c r="AG19" i="20"/>
  <c r="AC12" i="20"/>
  <c r="AC11" i="20"/>
  <c r="AG13" i="20"/>
  <c r="AC15" i="20"/>
  <c r="Q6" i="20"/>
  <c r="M14" i="26" l="1"/>
  <c r="G3" i="31"/>
  <c r="AD3" i="19" s="1"/>
  <c r="F3" i="31"/>
  <c r="E2" i="14"/>
  <c r="G2" i="17" s="1"/>
  <c r="AP2" i="19"/>
  <c r="AC2" i="19"/>
  <c r="N9" i="26"/>
  <c r="E336" i="14"/>
  <c r="BH11" i="19"/>
  <c r="BH32" i="19"/>
  <c r="BH30" i="19"/>
  <c r="BN30" i="19" s="1"/>
  <c r="BH28" i="19"/>
  <c r="BI28" i="19" s="1"/>
  <c r="BJ28" i="19" s="1"/>
  <c r="BH26" i="19"/>
  <c r="BI26" i="19" s="1"/>
  <c r="BJ26" i="19" s="1"/>
  <c r="BH16" i="19"/>
  <c r="BH14" i="19"/>
  <c r="BH12" i="19"/>
  <c r="BI12" i="19" s="1"/>
  <c r="BJ12" i="19" s="1"/>
  <c r="BH3" i="19"/>
  <c r="BH24" i="19"/>
  <c r="BH22" i="19"/>
  <c r="BH20" i="19"/>
  <c r="BH18" i="19"/>
  <c r="BH8" i="19"/>
  <c r="BH6" i="19"/>
  <c r="BH4" i="19"/>
  <c r="BI4" i="19" s="1"/>
  <c r="BJ4" i="19" s="1"/>
  <c r="BH10" i="19"/>
  <c r="BH31" i="19"/>
  <c r="BH29" i="19"/>
  <c r="BH27" i="19"/>
  <c r="BI27" i="19" s="1"/>
  <c r="BJ27" i="19" s="1"/>
  <c r="BH17" i="19"/>
  <c r="BI17" i="19" s="1"/>
  <c r="BJ17" i="19" s="1"/>
  <c r="BH15" i="19"/>
  <c r="BH13" i="19"/>
  <c r="BH19" i="19"/>
  <c r="BH9" i="19"/>
  <c r="BH7" i="19"/>
  <c r="BH5" i="19"/>
  <c r="BH25" i="19"/>
  <c r="BI25" i="19" s="1"/>
  <c r="BJ25" i="19" s="1"/>
  <c r="BH23" i="19"/>
  <c r="BI23" i="19" s="1"/>
  <c r="BJ23" i="19" s="1"/>
  <c r="BH21" i="19"/>
  <c r="ED7" i="20"/>
  <c r="X7" i="26" s="1"/>
  <c r="ED10" i="20"/>
  <c r="X10" i="26" s="1"/>
  <c r="ED9" i="20"/>
  <c r="X9" i="26" s="1"/>
  <c r="ED8" i="20"/>
  <c r="X8" i="26" s="1"/>
  <c r="AL367" i="19"/>
  <c r="T17" i="26"/>
  <c r="U17" i="26"/>
  <c r="U367" i="19"/>
  <c r="AZ278" i="24"/>
  <c r="AY40" i="19"/>
  <c r="CJ40" i="19"/>
  <c r="AY67" i="19"/>
  <c r="CJ67" i="19"/>
  <c r="AY166" i="19"/>
  <c r="CJ166" i="19"/>
  <c r="AY4" i="19"/>
  <c r="CJ4" i="19"/>
  <c r="AY13" i="19"/>
  <c r="CJ13" i="19"/>
  <c r="AY14" i="19"/>
  <c r="CJ14" i="19"/>
  <c r="AY15" i="19"/>
  <c r="CJ15" i="19"/>
  <c r="AY16" i="19"/>
  <c r="CJ16" i="19"/>
  <c r="AY47" i="19"/>
  <c r="CJ47" i="19"/>
  <c r="AY48" i="19"/>
  <c r="CJ48" i="19"/>
  <c r="AY56" i="19"/>
  <c r="CJ56" i="19"/>
  <c r="AY73" i="19"/>
  <c r="CJ73" i="19"/>
  <c r="AY78" i="19"/>
  <c r="CJ78" i="19"/>
  <c r="AY83" i="19"/>
  <c r="CJ83" i="19"/>
  <c r="AY101" i="19"/>
  <c r="CJ101" i="19"/>
  <c r="AY102" i="19"/>
  <c r="CJ102" i="19"/>
  <c r="AY104" i="19"/>
  <c r="CJ104" i="19"/>
  <c r="AY107" i="19"/>
  <c r="CJ107" i="19"/>
  <c r="AY108" i="19"/>
  <c r="CJ108" i="19"/>
  <c r="AY117" i="19"/>
  <c r="CJ117" i="19"/>
  <c r="AY125" i="19"/>
  <c r="CJ125" i="19"/>
  <c r="AY132" i="19"/>
  <c r="CJ132" i="19"/>
  <c r="AY133" i="19"/>
  <c r="CJ133" i="19"/>
  <c r="AY141" i="19"/>
  <c r="CJ141" i="19"/>
  <c r="AY150" i="19"/>
  <c r="CJ150" i="19"/>
  <c r="AY169" i="19"/>
  <c r="CJ169" i="19"/>
  <c r="AY171" i="19"/>
  <c r="CJ171" i="19"/>
  <c r="AY176" i="19"/>
  <c r="CJ176" i="19"/>
  <c r="AY178" i="19"/>
  <c r="CJ178" i="19"/>
  <c r="AY187" i="19"/>
  <c r="CJ187" i="19"/>
  <c r="AY201" i="19"/>
  <c r="CJ201" i="19"/>
  <c r="AY208" i="19"/>
  <c r="CJ208" i="19"/>
  <c r="AY247" i="19"/>
  <c r="CJ247" i="19"/>
  <c r="AY248" i="19"/>
  <c r="CJ248" i="19"/>
  <c r="AY259" i="19"/>
  <c r="CJ259" i="19"/>
  <c r="AY262" i="19"/>
  <c r="CJ262" i="19"/>
  <c r="AY263" i="19"/>
  <c r="CJ263" i="19"/>
  <c r="AY264" i="19"/>
  <c r="CJ264" i="19"/>
  <c r="AY265" i="19"/>
  <c r="CJ265" i="19"/>
  <c r="AY275" i="19"/>
  <c r="CJ275" i="19"/>
  <c r="AY276" i="19"/>
  <c r="CJ276" i="19"/>
  <c r="AY285" i="19"/>
  <c r="CJ285" i="19"/>
  <c r="AY316" i="19"/>
  <c r="CJ316" i="19"/>
  <c r="AY317" i="19"/>
  <c r="CJ317" i="19"/>
  <c r="AY318" i="19"/>
  <c r="CJ318" i="19"/>
  <c r="AY319" i="19"/>
  <c r="CJ319" i="19"/>
  <c r="AY330" i="19"/>
  <c r="CJ330" i="19"/>
  <c r="AY334" i="19"/>
  <c r="CJ334" i="19"/>
  <c r="AY31" i="19"/>
  <c r="CJ31" i="19"/>
  <c r="AY32" i="19"/>
  <c r="CJ32" i="19"/>
  <c r="AY33" i="19"/>
  <c r="CJ33" i="19"/>
  <c r="AY34" i="19"/>
  <c r="CJ34" i="19"/>
  <c r="AY41" i="19"/>
  <c r="CJ41" i="19"/>
  <c r="AY42" i="19"/>
  <c r="CJ42" i="19"/>
  <c r="AY43" i="19"/>
  <c r="CJ43" i="19"/>
  <c r="AY46" i="19"/>
  <c r="CJ46" i="19"/>
  <c r="AY57" i="19"/>
  <c r="CJ57" i="19"/>
  <c r="AY58" i="19"/>
  <c r="CJ58" i="19"/>
  <c r="AY59" i="19"/>
  <c r="CJ59" i="19"/>
  <c r="AY60" i="19"/>
  <c r="CJ60" i="19"/>
  <c r="AY66" i="19"/>
  <c r="CJ66" i="19"/>
  <c r="AY70" i="19"/>
  <c r="CJ70" i="19"/>
  <c r="AY79" i="19"/>
  <c r="CJ79" i="19"/>
  <c r="AY87" i="19"/>
  <c r="CJ87" i="19"/>
  <c r="AY91" i="19"/>
  <c r="CJ91" i="19"/>
  <c r="AY105" i="19"/>
  <c r="CJ105" i="19"/>
  <c r="AY106" i="19"/>
  <c r="CJ106" i="19"/>
  <c r="AY109" i="19"/>
  <c r="CJ109" i="19"/>
  <c r="AY118" i="19"/>
  <c r="CJ118" i="19"/>
  <c r="AY121" i="19"/>
  <c r="CJ121" i="19"/>
  <c r="AY122" i="19"/>
  <c r="CJ122" i="19"/>
  <c r="AY123" i="19"/>
  <c r="CJ123" i="19"/>
  <c r="AY124" i="19"/>
  <c r="CJ124" i="19"/>
  <c r="AY140" i="19"/>
  <c r="CJ140" i="19"/>
  <c r="AY149" i="19"/>
  <c r="CJ149" i="19"/>
  <c r="AY160" i="19"/>
  <c r="CJ160" i="19"/>
  <c r="AY181" i="19"/>
  <c r="CJ181" i="19"/>
  <c r="AY189" i="19"/>
  <c r="CJ189" i="19"/>
  <c r="AY211" i="19"/>
  <c r="CJ211" i="19"/>
  <c r="AY230" i="19"/>
  <c r="CJ230" i="19"/>
  <c r="AY231" i="19"/>
  <c r="CJ231" i="19"/>
  <c r="AY232" i="19"/>
  <c r="CJ232" i="19"/>
  <c r="AY233" i="19"/>
  <c r="CJ233" i="19"/>
  <c r="AY249" i="19"/>
  <c r="CJ249" i="19"/>
  <c r="AY260" i="19"/>
  <c r="CJ260" i="19"/>
  <c r="AY261" i="19"/>
  <c r="CJ261" i="19"/>
  <c r="AY277" i="19"/>
  <c r="CJ277" i="19"/>
  <c r="AY286" i="19"/>
  <c r="CJ286" i="19"/>
  <c r="AY314" i="19"/>
  <c r="CJ314" i="19"/>
  <c r="AY315" i="19"/>
  <c r="CJ315" i="19"/>
  <c r="AY320" i="19"/>
  <c r="CJ320" i="19"/>
  <c r="AY327" i="19"/>
  <c r="CJ327" i="19"/>
  <c r="AY44" i="19"/>
  <c r="CJ44" i="19"/>
  <c r="AY251" i="19"/>
  <c r="CJ251" i="19"/>
  <c r="AY278" i="19"/>
  <c r="CJ278" i="19"/>
  <c r="AY287" i="19"/>
  <c r="CJ287" i="19"/>
  <c r="AY307" i="19"/>
  <c r="CJ307" i="19"/>
  <c r="AY308" i="19"/>
  <c r="CJ308" i="19"/>
  <c r="AY309" i="19"/>
  <c r="CJ309" i="19"/>
  <c r="AY310" i="19"/>
  <c r="CJ310" i="19"/>
  <c r="AY311" i="19"/>
  <c r="CJ311" i="19"/>
  <c r="AY312" i="19"/>
  <c r="CJ312" i="19"/>
  <c r="AY313" i="19"/>
  <c r="CJ313" i="19"/>
  <c r="AY321" i="19"/>
  <c r="CJ321" i="19"/>
  <c r="AY331" i="19"/>
  <c r="CJ331" i="19"/>
  <c r="AY49" i="19"/>
  <c r="CJ49" i="19"/>
  <c r="AY74" i="19"/>
  <c r="CJ74" i="19"/>
  <c r="AY110" i="19"/>
  <c r="CJ110" i="19"/>
  <c r="AY119" i="19"/>
  <c r="CJ119" i="19"/>
  <c r="AY196" i="19"/>
  <c r="CJ196" i="19"/>
  <c r="AY234" i="19"/>
  <c r="CJ234" i="19"/>
  <c r="AY35" i="19"/>
  <c r="CJ35" i="19"/>
  <c r="AY39" i="19"/>
  <c r="CJ39" i="19"/>
  <c r="AY50" i="19"/>
  <c r="CJ50" i="19"/>
  <c r="AY51" i="19"/>
  <c r="CJ51" i="19"/>
  <c r="AY71" i="19"/>
  <c r="CJ71" i="19"/>
  <c r="AY84" i="19"/>
  <c r="CJ84" i="19"/>
  <c r="AY88" i="19"/>
  <c r="CJ88" i="19"/>
  <c r="AY111" i="19"/>
  <c r="CJ111" i="19"/>
  <c r="AY120" i="19"/>
  <c r="CJ120" i="19"/>
  <c r="AY147" i="19"/>
  <c r="CJ147" i="19"/>
  <c r="AY153" i="19"/>
  <c r="CJ153" i="19"/>
  <c r="AY155" i="19"/>
  <c r="CJ155" i="19"/>
  <c r="AY157" i="19"/>
  <c r="CJ157" i="19"/>
  <c r="AY162" i="19"/>
  <c r="CJ162" i="19"/>
  <c r="AY175" i="19"/>
  <c r="CJ175" i="19"/>
  <c r="AY183" i="19"/>
  <c r="CJ183" i="19"/>
  <c r="AY193" i="19"/>
  <c r="CJ193" i="19"/>
  <c r="AY200" i="19"/>
  <c r="CJ200" i="19"/>
  <c r="AY210" i="19"/>
  <c r="CJ210" i="19"/>
  <c r="AY214" i="19"/>
  <c r="CJ214" i="19"/>
  <c r="AY215" i="19"/>
  <c r="CJ215" i="19"/>
  <c r="AY216" i="19"/>
  <c r="CJ216" i="19"/>
  <c r="AY222" i="19"/>
  <c r="CJ222" i="19"/>
  <c r="AY223" i="19"/>
  <c r="CJ223" i="19"/>
  <c r="AY224" i="19"/>
  <c r="CJ224" i="19"/>
  <c r="AY225" i="19"/>
  <c r="CJ225" i="19"/>
  <c r="AY226" i="19"/>
  <c r="CJ226" i="19"/>
  <c r="AY227" i="19"/>
  <c r="CJ227" i="19"/>
  <c r="AY228" i="19"/>
  <c r="CJ228" i="19"/>
  <c r="AY236" i="19"/>
  <c r="CJ236" i="19"/>
  <c r="AY252" i="19"/>
  <c r="CJ252" i="19"/>
  <c r="AY253" i="19"/>
  <c r="CJ253" i="19"/>
  <c r="AY279" i="19"/>
  <c r="CJ279" i="19"/>
  <c r="AY288" i="19"/>
  <c r="CJ288" i="19"/>
  <c r="AY298" i="19"/>
  <c r="CJ298" i="19"/>
  <c r="AY299" i="19"/>
  <c r="CJ299" i="19"/>
  <c r="AY300" i="19"/>
  <c r="CJ300" i="19"/>
  <c r="AY301" i="19"/>
  <c r="CJ301" i="19"/>
  <c r="AY302" i="19"/>
  <c r="CJ302" i="19"/>
  <c r="AY303" i="19"/>
  <c r="CJ303" i="19"/>
  <c r="AY304" i="19"/>
  <c r="CJ304" i="19"/>
  <c r="AY305" i="19"/>
  <c r="CJ305" i="19"/>
  <c r="AY306" i="19"/>
  <c r="CJ306" i="19"/>
  <c r="AY322" i="19"/>
  <c r="CJ322" i="19"/>
  <c r="AY323" i="19"/>
  <c r="CJ323" i="19"/>
  <c r="AY324" i="19"/>
  <c r="CJ324" i="19"/>
  <c r="AY325" i="19"/>
  <c r="CJ325" i="19"/>
  <c r="AY335" i="19"/>
  <c r="CJ335" i="19"/>
  <c r="AY92" i="19"/>
  <c r="CJ92" i="19"/>
  <c r="AY205" i="19"/>
  <c r="CJ205" i="19"/>
  <c r="AY250" i="19"/>
  <c r="CJ250" i="19"/>
  <c r="AY36" i="19"/>
  <c r="CJ36" i="19"/>
  <c r="AY38" i="19"/>
  <c r="CJ38" i="19"/>
  <c r="AY52" i="19"/>
  <c r="CJ52" i="19"/>
  <c r="AY68" i="19"/>
  <c r="CJ68" i="19"/>
  <c r="AY75" i="19"/>
  <c r="CJ75" i="19"/>
  <c r="AY81" i="19"/>
  <c r="CJ81" i="19"/>
  <c r="AY93" i="19"/>
  <c r="CJ93" i="19"/>
  <c r="AY112" i="19"/>
  <c r="CJ112" i="19"/>
  <c r="AY128" i="19"/>
  <c r="CJ128" i="19"/>
  <c r="AY129" i="19"/>
  <c r="CJ129" i="19"/>
  <c r="AY130" i="19"/>
  <c r="CJ130" i="19"/>
  <c r="AY138" i="19"/>
  <c r="CJ138" i="19"/>
  <c r="AY145" i="19"/>
  <c r="CJ145" i="19"/>
  <c r="AY146" i="19"/>
  <c r="CJ146" i="19"/>
  <c r="AY152" i="19"/>
  <c r="CJ152" i="19"/>
  <c r="AY159" i="19"/>
  <c r="CJ159" i="19"/>
  <c r="AY170" i="19"/>
  <c r="CJ170" i="19"/>
  <c r="AY177" i="19"/>
  <c r="CJ177" i="19"/>
  <c r="AY180" i="19"/>
  <c r="CJ180" i="19"/>
  <c r="AY185" i="19"/>
  <c r="CJ185" i="19"/>
  <c r="AY188" i="19"/>
  <c r="CJ188" i="19"/>
  <c r="AY195" i="19"/>
  <c r="CJ195" i="19"/>
  <c r="AY207" i="19"/>
  <c r="CJ207" i="19"/>
  <c r="AY217" i="19"/>
  <c r="CJ217" i="19"/>
  <c r="AY218" i="19"/>
  <c r="CJ218" i="19"/>
  <c r="AY219" i="19"/>
  <c r="CJ219" i="19"/>
  <c r="AY220" i="19"/>
  <c r="CJ220" i="19"/>
  <c r="AY221" i="19"/>
  <c r="CJ221" i="19"/>
  <c r="AY237" i="19"/>
  <c r="CJ237" i="19"/>
  <c r="AY254" i="19"/>
  <c r="CJ254" i="19"/>
  <c r="AY280" i="19"/>
  <c r="CJ280" i="19"/>
  <c r="AY281" i="19"/>
  <c r="CJ281" i="19"/>
  <c r="AY289" i="19"/>
  <c r="CJ289" i="19"/>
  <c r="AY294" i="19"/>
  <c r="CJ294" i="19"/>
  <c r="AY295" i="19"/>
  <c r="CJ295" i="19"/>
  <c r="AY296" i="19"/>
  <c r="CJ296" i="19"/>
  <c r="AY297" i="19"/>
  <c r="CJ297" i="19"/>
  <c r="AY328" i="19"/>
  <c r="CJ328" i="19"/>
  <c r="AY332" i="19"/>
  <c r="CJ332" i="19"/>
  <c r="AY45" i="19"/>
  <c r="CJ45" i="19"/>
  <c r="AY80" i="19"/>
  <c r="CJ80" i="19"/>
  <c r="AY148" i="19"/>
  <c r="CJ148" i="19"/>
  <c r="AY168" i="19"/>
  <c r="CJ168" i="19"/>
  <c r="AY173" i="19"/>
  <c r="CJ173" i="19"/>
  <c r="AY191" i="19"/>
  <c r="CJ191" i="19"/>
  <c r="AY235" i="19"/>
  <c r="CJ235" i="19"/>
  <c r="AY37" i="19"/>
  <c r="CJ37" i="19"/>
  <c r="AY53" i="19"/>
  <c r="CJ53" i="19"/>
  <c r="AY72" i="19"/>
  <c r="CJ72" i="19"/>
  <c r="AY76" i="19"/>
  <c r="CJ76" i="19"/>
  <c r="AY85" i="19"/>
  <c r="CJ85" i="19"/>
  <c r="AY89" i="19"/>
  <c r="CJ89" i="19"/>
  <c r="AY94" i="19"/>
  <c r="CJ94" i="19"/>
  <c r="AY96" i="19"/>
  <c r="CJ96" i="19"/>
  <c r="AY97" i="19"/>
  <c r="CJ97" i="19"/>
  <c r="AY113" i="19"/>
  <c r="CJ113" i="19"/>
  <c r="AY127" i="19"/>
  <c r="CJ127" i="19"/>
  <c r="AY137" i="19"/>
  <c r="CJ137" i="19"/>
  <c r="AY144" i="19"/>
  <c r="CJ144" i="19"/>
  <c r="AY172" i="19"/>
  <c r="CJ172" i="19"/>
  <c r="AY190" i="19"/>
  <c r="CJ190" i="19"/>
  <c r="AY202" i="19"/>
  <c r="CJ202" i="19"/>
  <c r="AY209" i="19"/>
  <c r="CJ209" i="19"/>
  <c r="AY213" i="19"/>
  <c r="CJ213" i="19"/>
  <c r="AY238" i="19"/>
  <c r="CJ238" i="19"/>
  <c r="AY243" i="19"/>
  <c r="CJ243" i="19"/>
  <c r="AY244" i="19"/>
  <c r="CJ244" i="19"/>
  <c r="AY282" i="19"/>
  <c r="CJ282" i="19"/>
  <c r="AY290" i="19"/>
  <c r="CJ290" i="19"/>
  <c r="AY291" i="19"/>
  <c r="CJ291" i="19"/>
  <c r="AY292" i="19"/>
  <c r="CJ292" i="19"/>
  <c r="AY293" i="19"/>
  <c r="CJ293" i="19"/>
  <c r="AY336" i="19"/>
  <c r="CJ336" i="19"/>
  <c r="AY131" i="19"/>
  <c r="CJ131" i="19"/>
  <c r="AY139" i="19"/>
  <c r="CJ139" i="19"/>
  <c r="AY203" i="19"/>
  <c r="CJ203" i="19"/>
  <c r="AY6" i="19"/>
  <c r="CJ6" i="19"/>
  <c r="AY7" i="19"/>
  <c r="CJ7" i="19"/>
  <c r="AY11" i="19"/>
  <c r="CJ11" i="19"/>
  <c r="AY20" i="19"/>
  <c r="CJ20" i="19"/>
  <c r="AY22" i="19"/>
  <c r="CJ22" i="19"/>
  <c r="AY23" i="19"/>
  <c r="CJ23" i="19"/>
  <c r="AY24" i="19"/>
  <c r="CJ24" i="19"/>
  <c r="AY28" i="19"/>
  <c r="CJ28" i="19"/>
  <c r="AY29" i="19"/>
  <c r="CJ29" i="19"/>
  <c r="AY54" i="19"/>
  <c r="CJ54" i="19"/>
  <c r="AY77" i="19"/>
  <c r="CJ77" i="19"/>
  <c r="AY82" i="19"/>
  <c r="CJ82" i="19"/>
  <c r="AY95" i="19"/>
  <c r="CJ95" i="19"/>
  <c r="AY98" i="19"/>
  <c r="CJ98" i="19"/>
  <c r="AY114" i="19"/>
  <c r="CJ114" i="19"/>
  <c r="AY115" i="19"/>
  <c r="CJ115" i="19"/>
  <c r="AY116" i="19"/>
  <c r="CJ116" i="19"/>
  <c r="AY126" i="19"/>
  <c r="CJ126" i="19"/>
  <c r="AY136" i="19"/>
  <c r="CJ136" i="19"/>
  <c r="AY143" i="19"/>
  <c r="CJ143" i="19"/>
  <c r="AY151" i="19"/>
  <c r="CJ151" i="19"/>
  <c r="AY154" i="19"/>
  <c r="CJ154" i="19"/>
  <c r="AY161" i="19"/>
  <c r="CJ161" i="19"/>
  <c r="AY165" i="19"/>
  <c r="CJ165" i="19"/>
  <c r="AY167" i="19"/>
  <c r="CJ167" i="19"/>
  <c r="AY174" i="19"/>
  <c r="CJ174" i="19"/>
  <c r="AY179" i="19"/>
  <c r="CJ179" i="19"/>
  <c r="AY182" i="19"/>
  <c r="CJ182" i="19"/>
  <c r="AY192" i="19"/>
  <c r="CJ192" i="19"/>
  <c r="AY204" i="19"/>
  <c r="CJ204" i="19"/>
  <c r="AY239" i="19"/>
  <c r="CJ239" i="19"/>
  <c r="AY240" i="19"/>
  <c r="CJ240" i="19"/>
  <c r="AY241" i="19"/>
  <c r="CJ241" i="19"/>
  <c r="AY242" i="19"/>
  <c r="CJ242" i="19"/>
  <c r="AY245" i="19"/>
  <c r="CJ245" i="19"/>
  <c r="AY255" i="19"/>
  <c r="CJ255" i="19"/>
  <c r="AY270" i="19"/>
  <c r="CJ270" i="19"/>
  <c r="AY273" i="19"/>
  <c r="CJ273" i="19"/>
  <c r="AY283" i="19"/>
  <c r="CJ283" i="19"/>
  <c r="AY326" i="19"/>
  <c r="CJ326" i="19"/>
  <c r="AY329" i="19"/>
  <c r="CJ329" i="19"/>
  <c r="AY333" i="19"/>
  <c r="CJ333" i="19"/>
  <c r="AY164" i="19"/>
  <c r="CJ164" i="19"/>
  <c r="AY186" i="19"/>
  <c r="CJ186" i="19"/>
  <c r="AY229" i="19"/>
  <c r="CJ229" i="19"/>
  <c r="AY3" i="19"/>
  <c r="CJ3" i="19"/>
  <c r="AY5" i="19"/>
  <c r="CJ5" i="19"/>
  <c r="AY8" i="19"/>
  <c r="CJ8" i="19"/>
  <c r="AY9" i="19"/>
  <c r="CJ9" i="19"/>
  <c r="AY12" i="19"/>
  <c r="CJ12" i="19"/>
  <c r="AY17" i="19"/>
  <c r="CJ17" i="19"/>
  <c r="AY18" i="19"/>
  <c r="CJ18" i="19"/>
  <c r="AY19" i="19"/>
  <c r="CJ19" i="19"/>
  <c r="AY21" i="19"/>
  <c r="CJ21" i="19"/>
  <c r="AY25" i="19"/>
  <c r="CJ25" i="19"/>
  <c r="AY26" i="19"/>
  <c r="CJ26" i="19"/>
  <c r="AY27" i="19"/>
  <c r="CJ27" i="19"/>
  <c r="AY30" i="19"/>
  <c r="CJ30" i="19"/>
  <c r="AY55" i="19"/>
  <c r="CJ55" i="19"/>
  <c r="AY61" i="19"/>
  <c r="CJ61" i="19"/>
  <c r="AY62" i="19"/>
  <c r="CJ62" i="19"/>
  <c r="AY63" i="19"/>
  <c r="CJ63" i="19"/>
  <c r="AY64" i="19"/>
  <c r="CJ64" i="19"/>
  <c r="AY65" i="19"/>
  <c r="CJ65" i="19"/>
  <c r="AY69" i="19"/>
  <c r="CJ69" i="19"/>
  <c r="AY86" i="19"/>
  <c r="CJ86" i="19"/>
  <c r="AY90" i="19"/>
  <c r="CJ90" i="19"/>
  <c r="AY99" i="19"/>
  <c r="CJ99" i="19"/>
  <c r="AY100" i="19"/>
  <c r="CJ100" i="19"/>
  <c r="AY103" i="19"/>
  <c r="CJ103" i="19"/>
  <c r="AY134" i="19"/>
  <c r="CJ134" i="19"/>
  <c r="AY135" i="19"/>
  <c r="CJ135" i="19"/>
  <c r="AY142" i="19"/>
  <c r="CJ142" i="19"/>
  <c r="AY156" i="19"/>
  <c r="CJ156" i="19"/>
  <c r="AY158" i="19"/>
  <c r="CJ158" i="19"/>
  <c r="AY163" i="19"/>
  <c r="CJ163" i="19"/>
  <c r="AY184" i="19"/>
  <c r="CJ184" i="19"/>
  <c r="AY194" i="19"/>
  <c r="CJ194" i="19"/>
  <c r="AY197" i="19"/>
  <c r="CJ197" i="19"/>
  <c r="AY198" i="19"/>
  <c r="CJ198" i="19"/>
  <c r="AY199" i="19"/>
  <c r="CJ199" i="19"/>
  <c r="AY206" i="19"/>
  <c r="CJ206" i="19"/>
  <c r="AY212" i="19"/>
  <c r="CJ212" i="19"/>
  <c r="AY246" i="19"/>
  <c r="CJ246" i="19"/>
  <c r="AY256" i="19"/>
  <c r="CJ256" i="19"/>
  <c r="AY257" i="19"/>
  <c r="CJ257" i="19"/>
  <c r="AY258" i="19"/>
  <c r="CJ258" i="19"/>
  <c r="AY266" i="19"/>
  <c r="CJ266" i="19"/>
  <c r="AY267" i="19"/>
  <c r="CJ267" i="19"/>
  <c r="AY268" i="19"/>
  <c r="CJ268" i="19"/>
  <c r="AY269" i="19"/>
  <c r="CJ269" i="19"/>
  <c r="AY271" i="19"/>
  <c r="CJ271" i="19"/>
  <c r="AY272" i="19"/>
  <c r="CJ272" i="19"/>
  <c r="AY274" i="19"/>
  <c r="CJ274" i="19"/>
  <c r="AY284" i="19"/>
  <c r="CJ284" i="19"/>
  <c r="AX110" i="13"/>
  <c r="AX111" i="13"/>
  <c r="AE111" i="19" s="1"/>
  <c r="AA11" i="19"/>
  <c r="AB11" i="19" s="1"/>
  <c r="AA19" i="19"/>
  <c r="AB19" i="19" s="1"/>
  <c r="BM19" i="19" s="1"/>
  <c r="AA35" i="19"/>
  <c r="AB35" i="19" s="1"/>
  <c r="AA43" i="19"/>
  <c r="AB43" i="19" s="1"/>
  <c r="AA147" i="19"/>
  <c r="AB147" i="19" s="1"/>
  <c r="AA163" i="19"/>
  <c r="AB163" i="19" s="1"/>
  <c r="AA195" i="19"/>
  <c r="AB195" i="19" s="1"/>
  <c r="AA211" i="19"/>
  <c r="AB211" i="19" s="1"/>
  <c r="AA219" i="19"/>
  <c r="AB219" i="19" s="1"/>
  <c r="AA227" i="19"/>
  <c r="AB227" i="19" s="1"/>
  <c r="AA235" i="19"/>
  <c r="AB235" i="19" s="1"/>
  <c r="AA243" i="19"/>
  <c r="AB243" i="19" s="1"/>
  <c r="AA251" i="19"/>
  <c r="AB251" i="19" s="1"/>
  <c r="BM251" i="19" s="1"/>
  <c r="AA267" i="19"/>
  <c r="AB267" i="19" s="1"/>
  <c r="AA291" i="19"/>
  <c r="AA299" i="19"/>
  <c r="AB299" i="19" s="1"/>
  <c r="AA307" i="19"/>
  <c r="AB307" i="19" s="1"/>
  <c r="AA315" i="19"/>
  <c r="AB315" i="19" s="1"/>
  <c r="AA323" i="19"/>
  <c r="AA331" i="19"/>
  <c r="AB331" i="19" s="1"/>
  <c r="BM331" i="19" s="1"/>
  <c r="AA4" i="19"/>
  <c r="AB4" i="19" s="1"/>
  <c r="AA12" i="19"/>
  <c r="AB12" i="19" s="1"/>
  <c r="AA28" i="19"/>
  <c r="AB28" i="19" s="1"/>
  <c r="AA44" i="19"/>
  <c r="AB44" i="19" s="1"/>
  <c r="BM44" i="19" s="1"/>
  <c r="AA60" i="19"/>
  <c r="AB60" i="19" s="1"/>
  <c r="AA76" i="19"/>
  <c r="AB76" i="19" s="1"/>
  <c r="AA108" i="19"/>
  <c r="AB108" i="19" s="1"/>
  <c r="AA124" i="19"/>
  <c r="AB124" i="19" s="1"/>
  <c r="AA156" i="19"/>
  <c r="AB156" i="19" s="1"/>
  <c r="BM156" i="19" s="1"/>
  <c r="AA188" i="19"/>
  <c r="AB188" i="19" s="1"/>
  <c r="AA212" i="19"/>
  <c r="AB212" i="19" s="1"/>
  <c r="AA220" i="19"/>
  <c r="AB220" i="19" s="1"/>
  <c r="AA228" i="19"/>
  <c r="AB228" i="19" s="1"/>
  <c r="AA236" i="19"/>
  <c r="AB236" i="19" s="1"/>
  <c r="BM236" i="19" s="1"/>
  <c r="AA252" i="19"/>
  <c r="AB252" i="19" s="1"/>
  <c r="AA268" i="19"/>
  <c r="AB268" i="19" s="1"/>
  <c r="AA292" i="19"/>
  <c r="AA106" i="19"/>
  <c r="AB106" i="19" s="1"/>
  <c r="AA110" i="19"/>
  <c r="AB110" i="19" s="1"/>
  <c r="AA254" i="19"/>
  <c r="AB254" i="19" s="1"/>
  <c r="AA191" i="19"/>
  <c r="AB191" i="19" s="1"/>
  <c r="BM191" i="19" s="1"/>
  <c r="AA295" i="19"/>
  <c r="AA303" i="19"/>
  <c r="AA311" i="19"/>
  <c r="AA319" i="19"/>
  <c r="AB319" i="19" s="1"/>
  <c r="AA335" i="19"/>
  <c r="AB335" i="19" s="1"/>
  <c r="BM335" i="19" s="1"/>
  <c r="AA10" i="19"/>
  <c r="AB10" i="19" s="1"/>
  <c r="AA26" i="19"/>
  <c r="AB26" i="19" s="1"/>
  <c r="AA42" i="19"/>
  <c r="AB42" i="19" s="1"/>
  <c r="BM42" i="19" s="1"/>
  <c r="AA66" i="19"/>
  <c r="AB66" i="19" s="1"/>
  <c r="AA98" i="19"/>
  <c r="AB98" i="19" s="1"/>
  <c r="BM98" i="19" s="1"/>
  <c r="AA114" i="19"/>
  <c r="AB114" i="19" s="1"/>
  <c r="AA130" i="19"/>
  <c r="AB130" i="19" s="1"/>
  <c r="F146" i="31"/>
  <c r="AC146" i="19" s="1"/>
  <c r="AA178" i="19"/>
  <c r="AB178" i="19" s="1"/>
  <c r="BM178" i="19" s="1"/>
  <c r="AA194" i="19"/>
  <c r="AB194" i="19" s="1"/>
  <c r="AA210" i="19"/>
  <c r="AB210" i="19" s="1"/>
  <c r="AA8" i="19"/>
  <c r="AB8" i="19" s="1"/>
  <c r="AA16" i="19"/>
  <c r="AB16" i="19" s="1"/>
  <c r="BM16" i="19" s="1"/>
  <c r="AA24" i="19"/>
  <c r="AB24" i="19" s="1"/>
  <c r="AA32" i="19"/>
  <c r="AB32" i="19" s="1"/>
  <c r="AA40" i="19"/>
  <c r="AB40" i="19" s="1"/>
  <c r="BM40" i="19" s="1"/>
  <c r="AA48" i="19"/>
  <c r="AB48" i="19" s="1"/>
  <c r="AA56" i="19"/>
  <c r="AB56" i="19" s="1"/>
  <c r="AA64" i="19"/>
  <c r="AB64" i="19" s="1"/>
  <c r="AA96" i="19"/>
  <c r="AB96" i="19" s="1"/>
  <c r="AA104" i="19"/>
  <c r="AB104" i="19" s="1"/>
  <c r="AA112" i="19"/>
  <c r="AB112" i="19" s="1"/>
  <c r="AA128" i="19"/>
  <c r="AB128" i="19" s="1"/>
  <c r="AA136" i="19"/>
  <c r="AB136" i="19" s="1"/>
  <c r="BM136" i="19" s="1"/>
  <c r="AA144" i="19"/>
  <c r="AB144" i="19" s="1"/>
  <c r="BM144" i="19" s="1"/>
  <c r="AA152" i="19"/>
  <c r="AB152" i="19" s="1"/>
  <c r="AA168" i="19"/>
  <c r="AB168" i="19" s="1"/>
  <c r="BM168" i="19" s="1"/>
  <c r="AA18" i="19"/>
  <c r="AB18" i="19" s="1"/>
  <c r="AA34" i="19"/>
  <c r="AB34" i="19" s="1"/>
  <c r="AA58" i="19"/>
  <c r="AB58" i="19" s="1"/>
  <c r="AA138" i="19"/>
  <c r="AB138" i="19" s="1"/>
  <c r="AA154" i="19"/>
  <c r="AB154" i="19" s="1"/>
  <c r="AA170" i="19"/>
  <c r="AB170" i="19" s="1"/>
  <c r="BM170" i="19" s="1"/>
  <c r="AA226" i="19"/>
  <c r="AB226" i="19" s="1"/>
  <c r="AA258" i="19"/>
  <c r="AB258" i="19" s="1"/>
  <c r="AA314" i="19"/>
  <c r="AZ156" i="24"/>
  <c r="AZ63" i="24"/>
  <c r="AZ35" i="24"/>
  <c r="AZ186" i="24"/>
  <c r="AZ217" i="24"/>
  <c r="AZ248" i="24"/>
  <c r="AZ309" i="24"/>
  <c r="AZ339" i="24"/>
  <c r="AZ370" i="24"/>
  <c r="B35" i="60"/>
  <c r="E25" i="60"/>
  <c r="E26" i="60"/>
  <c r="D35" i="60"/>
  <c r="C35" i="60"/>
  <c r="Y10" i="19"/>
  <c r="B10" i="14" s="1"/>
  <c r="Y32" i="19"/>
  <c r="B32" i="14" s="1"/>
  <c r="D42" i="57"/>
  <c r="C43" i="57"/>
  <c r="B44" i="57"/>
  <c r="D43" i="57"/>
  <c r="C44" i="57"/>
  <c r="B45" i="57"/>
  <c r="D44" i="57"/>
  <c r="C45" i="57"/>
  <c r="B46" i="57"/>
  <c r="D45" i="57"/>
  <c r="C46" i="57"/>
  <c r="B47" i="57"/>
  <c r="B39" i="57"/>
  <c r="B40" i="57"/>
  <c r="D46" i="57"/>
  <c r="C47" i="57"/>
  <c r="B48" i="57"/>
  <c r="C39" i="57"/>
  <c r="C40" i="57"/>
  <c r="B41" i="57"/>
  <c r="B49" i="60"/>
  <c r="D47" i="57"/>
  <c r="C48" i="57"/>
  <c r="D39" i="57"/>
  <c r="D40" i="57"/>
  <c r="C41" i="57"/>
  <c r="B42" i="57"/>
  <c r="D48" i="57"/>
  <c r="D41" i="57"/>
  <c r="C42" i="57"/>
  <c r="B43" i="57"/>
  <c r="M4" i="26"/>
  <c r="M8" i="26"/>
  <c r="AZ125" i="24"/>
  <c r="V96" i="19"/>
  <c r="BN96" i="19" s="1"/>
  <c r="M9" i="26"/>
  <c r="N10" i="26"/>
  <c r="M10" i="26"/>
  <c r="AZ94" i="24"/>
  <c r="BY125" i="24"/>
  <c r="O5" i="26"/>
  <c r="M7" i="26"/>
  <c r="N12" i="26"/>
  <c r="AP3" i="19"/>
  <c r="AQ3" i="19" s="1"/>
  <c r="CM3" i="19" s="1"/>
  <c r="E3" i="14"/>
  <c r="AP19" i="19"/>
  <c r="AQ19" i="19" s="1"/>
  <c r="CM19" i="19" s="1"/>
  <c r="E19" i="14"/>
  <c r="G19" i="14" s="1"/>
  <c r="G20" i="17"/>
  <c r="J20" i="17" s="1"/>
  <c r="L20" i="17" s="1"/>
  <c r="F20" i="14"/>
  <c r="AP27" i="19"/>
  <c r="AQ27" i="19" s="1"/>
  <c r="CM27" i="19" s="1"/>
  <c r="E27" i="14"/>
  <c r="AO28" i="19"/>
  <c r="E28" i="14"/>
  <c r="G28" i="14" s="1"/>
  <c r="G33" i="17"/>
  <c r="J33" i="17" s="1"/>
  <c r="L33" i="17" s="1"/>
  <c r="F33" i="14"/>
  <c r="AP37" i="19"/>
  <c r="AQ37" i="19" s="1"/>
  <c r="CM37" i="19" s="1"/>
  <c r="E37" i="14"/>
  <c r="G37" i="14" s="1"/>
  <c r="AO38" i="19"/>
  <c r="BB38" i="19" s="1"/>
  <c r="E38" i="14"/>
  <c r="AP39" i="19"/>
  <c r="AQ39" i="19" s="1"/>
  <c r="CM39" i="19" s="1"/>
  <c r="E39" i="14"/>
  <c r="AO40" i="19"/>
  <c r="E40" i="14"/>
  <c r="G40" i="14" s="1"/>
  <c r="AO41" i="19"/>
  <c r="E41" i="14"/>
  <c r="G57" i="17"/>
  <c r="F57" i="14"/>
  <c r="AP71" i="19"/>
  <c r="AQ71" i="19" s="1"/>
  <c r="CM71" i="19" s="1"/>
  <c r="E71" i="14"/>
  <c r="G80" i="17"/>
  <c r="F80" i="14"/>
  <c r="AP85" i="19"/>
  <c r="AQ85" i="19" s="1"/>
  <c r="CM85" i="19" s="1"/>
  <c r="E85" i="14"/>
  <c r="AP93" i="19"/>
  <c r="AQ93" i="19" s="1"/>
  <c r="CM93" i="19" s="1"/>
  <c r="E93" i="14"/>
  <c r="G102" i="17"/>
  <c r="F102" i="14"/>
  <c r="AP106" i="19"/>
  <c r="AQ106" i="19" s="1"/>
  <c r="CM106" i="19" s="1"/>
  <c r="E106" i="14"/>
  <c r="G106" i="14" s="1"/>
  <c r="G115" i="17"/>
  <c r="F115" i="14"/>
  <c r="G119" i="17"/>
  <c r="F119" i="14"/>
  <c r="AP144" i="19"/>
  <c r="AQ144" i="19" s="1"/>
  <c r="CM144" i="19" s="1"/>
  <c r="E144" i="14"/>
  <c r="AO145" i="19"/>
  <c r="E145" i="14"/>
  <c r="G145" i="14" s="1"/>
  <c r="AP151" i="19"/>
  <c r="AQ151" i="19" s="1"/>
  <c r="CM151" i="19" s="1"/>
  <c r="E151" i="14"/>
  <c r="AO157" i="19"/>
  <c r="E157" i="14"/>
  <c r="G157" i="14" s="1"/>
  <c r="G175" i="17"/>
  <c r="F175" i="14"/>
  <c r="G187" i="17"/>
  <c r="I187" i="17" s="1"/>
  <c r="F187" i="14"/>
  <c r="AO188" i="19"/>
  <c r="E188" i="14"/>
  <c r="G188" i="14" s="1"/>
  <c r="G197" i="17"/>
  <c r="I197" i="17" s="1"/>
  <c r="F197" i="14"/>
  <c r="AP209" i="19"/>
  <c r="AQ209" i="19" s="1"/>
  <c r="CM209" i="19" s="1"/>
  <c r="E209" i="14"/>
  <c r="AP216" i="19"/>
  <c r="AQ216" i="19" s="1"/>
  <c r="CM216" i="19" s="1"/>
  <c r="E216" i="14"/>
  <c r="G216" i="14" s="1"/>
  <c r="AP224" i="19"/>
  <c r="AQ224" i="19" s="1"/>
  <c r="CM224" i="19" s="1"/>
  <c r="E224" i="14"/>
  <c r="G238" i="17"/>
  <c r="I238" i="17" s="1"/>
  <c r="F238" i="14"/>
  <c r="G245" i="17"/>
  <c r="F245" i="14"/>
  <c r="AP259" i="19"/>
  <c r="AQ259" i="19" s="1"/>
  <c r="CM259" i="19" s="1"/>
  <c r="E259" i="14"/>
  <c r="G259" i="14" s="1"/>
  <c r="AO268" i="19"/>
  <c r="E268" i="14"/>
  <c r="G268" i="14" s="1"/>
  <c r="AP275" i="19"/>
  <c r="AQ275" i="19" s="1"/>
  <c r="CM275" i="19" s="1"/>
  <c r="E275" i="14"/>
  <c r="G275" i="14" s="1"/>
  <c r="G284" i="17"/>
  <c r="I284" i="17" s="1"/>
  <c r="F284" i="14"/>
  <c r="AP288" i="19"/>
  <c r="AQ288" i="19" s="1"/>
  <c r="CM288" i="19" s="1"/>
  <c r="E288" i="14"/>
  <c r="G288" i="14" s="1"/>
  <c r="AO295" i="19"/>
  <c r="BB295" i="19" s="1"/>
  <c r="E295" i="14"/>
  <c r="G304" i="17"/>
  <c r="J304" i="17" s="1"/>
  <c r="L304" i="17" s="1"/>
  <c r="F304" i="14"/>
  <c r="G313" i="17"/>
  <c r="F313" i="14"/>
  <c r="G314" i="17"/>
  <c r="F314" i="14"/>
  <c r="AO330" i="19"/>
  <c r="BB330" i="19" s="1"/>
  <c r="E330" i="14"/>
  <c r="AP12" i="19"/>
  <c r="AQ12" i="19" s="1"/>
  <c r="CM12" i="19" s="1"/>
  <c r="E12" i="14"/>
  <c r="AP29" i="19"/>
  <c r="AQ29" i="19" s="1"/>
  <c r="CM29" i="19" s="1"/>
  <c r="E29" i="14"/>
  <c r="G34" i="17"/>
  <c r="F34" i="14"/>
  <c r="AO42" i="19"/>
  <c r="BB42" i="19" s="1"/>
  <c r="E42" i="14"/>
  <c r="G49" i="17"/>
  <c r="F49" i="14"/>
  <c r="AO58" i="19"/>
  <c r="E58" i="14"/>
  <c r="G58" i="14" s="1"/>
  <c r="AO66" i="19"/>
  <c r="E66" i="14"/>
  <c r="G66" i="14" s="1"/>
  <c r="G77" i="17"/>
  <c r="F77" i="14"/>
  <c r="G83" i="17"/>
  <c r="F83" i="14"/>
  <c r="AP88" i="19"/>
  <c r="AQ88" i="19" s="1"/>
  <c r="CM88" i="19" s="1"/>
  <c r="E88" i="14"/>
  <c r="AP98" i="19"/>
  <c r="AQ98" i="19" s="1"/>
  <c r="CM98" i="19" s="1"/>
  <c r="E98" i="14"/>
  <c r="G98" i="14" s="1"/>
  <c r="G103" i="17"/>
  <c r="F103" i="14"/>
  <c r="G107" i="17"/>
  <c r="F107" i="14"/>
  <c r="G111" i="17"/>
  <c r="F111" i="14"/>
  <c r="G116" i="17"/>
  <c r="F116" i="14"/>
  <c r="G146" i="17"/>
  <c r="F146" i="14"/>
  <c r="G147" i="17"/>
  <c r="F147" i="14"/>
  <c r="G148" i="17"/>
  <c r="J148" i="17" s="1"/>
  <c r="L148" i="17" s="1"/>
  <c r="F148" i="14"/>
  <c r="G149" i="17"/>
  <c r="F149" i="14"/>
  <c r="AO150" i="19"/>
  <c r="E150" i="14"/>
  <c r="G158" i="17"/>
  <c r="I158" i="17" s="1"/>
  <c r="F158" i="14"/>
  <c r="AO176" i="19"/>
  <c r="E176" i="14"/>
  <c r="G176" i="14" s="1"/>
  <c r="G177" i="17"/>
  <c r="F177" i="14"/>
  <c r="G178" i="17"/>
  <c r="I178" i="17" s="1"/>
  <c r="F178" i="14"/>
  <c r="AO182" i="19"/>
  <c r="E182" i="14"/>
  <c r="G182" i="14" s="1"/>
  <c r="G189" i="17"/>
  <c r="F189" i="14"/>
  <c r="AP190" i="19"/>
  <c r="AQ190" i="19" s="1"/>
  <c r="CM190" i="19" s="1"/>
  <c r="E190" i="14"/>
  <c r="G202" i="17"/>
  <c r="F202" i="14"/>
  <c r="G225" i="17"/>
  <c r="J225" i="17" s="1"/>
  <c r="L225" i="17" s="1"/>
  <c r="F225" i="14"/>
  <c r="AO234" i="19"/>
  <c r="E234" i="14"/>
  <c r="G250" i="17"/>
  <c r="J250" i="17" s="1"/>
  <c r="F250" i="14"/>
  <c r="G269" i="17"/>
  <c r="J269" i="17" s="1"/>
  <c r="L269" i="17" s="1"/>
  <c r="F269" i="14"/>
  <c r="G270" i="17"/>
  <c r="J270" i="17" s="1"/>
  <c r="L270" i="17" s="1"/>
  <c r="F270" i="14"/>
  <c r="AP276" i="19"/>
  <c r="AQ276" i="19" s="1"/>
  <c r="CM276" i="19" s="1"/>
  <c r="E276" i="14"/>
  <c r="G276" i="14" s="1"/>
  <c r="AP280" i="19"/>
  <c r="AQ280" i="19" s="1"/>
  <c r="CM280" i="19" s="1"/>
  <c r="E280" i="14"/>
  <c r="G280" i="14" s="1"/>
  <c r="AO296" i="19"/>
  <c r="E296" i="14"/>
  <c r="G305" i="17"/>
  <c r="F305" i="14"/>
  <c r="G315" i="17"/>
  <c r="F315" i="14"/>
  <c r="G316" i="17"/>
  <c r="J316" i="17" s="1"/>
  <c r="L316" i="17" s="1"/>
  <c r="F316" i="14"/>
  <c r="AO321" i="19"/>
  <c r="E321" i="14"/>
  <c r="AP333" i="19"/>
  <c r="AQ333" i="19" s="1"/>
  <c r="CM333" i="19" s="1"/>
  <c r="E333" i="14"/>
  <c r="G4" i="17"/>
  <c r="F4" i="14"/>
  <c r="G5" i="17"/>
  <c r="F5" i="14"/>
  <c r="G6" i="17"/>
  <c r="F6" i="14"/>
  <c r="AP21" i="19"/>
  <c r="AQ21" i="19" s="1"/>
  <c r="CM21" i="19" s="1"/>
  <c r="E21" i="14"/>
  <c r="G21" i="14" s="1"/>
  <c r="G22" i="17"/>
  <c r="I22" i="17" s="1"/>
  <c r="F22" i="14"/>
  <c r="G43" i="17"/>
  <c r="F43" i="14"/>
  <c r="G54" i="17"/>
  <c r="I54" i="17" s="1"/>
  <c r="F54" i="14"/>
  <c r="AP59" i="19"/>
  <c r="AQ59" i="19" s="1"/>
  <c r="CM59" i="19" s="1"/>
  <c r="E59" i="14"/>
  <c r="G59" i="14" s="1"/>
  <c r="AP61" i="19"/>
  <c r="AQ61" i="19" s="1"/>
  <c r="CM61" i="19" s="1"/>
  <c r="E61" i="14"/>
  <c r="AP69" i="19"/>
  <c r="AQ69" i="19" s="1"/>
  <c r="CM69" i="19" s="1"/>
  <c r="E69" i="14"/>
  <c r="AO74" i="19"/>
  <c r="BB74" i="19" s="1"/>
  <c r="E74" i="14"/>
  <c r="G91" i="17"/>
  <c r="F91" i="14"/>
  <c r="G94" i="17"/>
  <c r="F94" i="14"/>
  <c r="G120" i="17"/>
  <c r="F120" i="14"/>
  <c r="G121" i="17"/>
  <c r="J121" i="17" s="1"/>
  <c r="L121" i="17" s="1"/>
  <c r="F121" i="14"/>
  <c r="AP159" i="19"/>
  <c r="AQ159" i="19" s="1"/>
  <c r="CM159" i="19" s="1"/>
  <c r="E159" i="14"/>
  <c r="G159" i="14" s="1"/>
  <c r="G191" i="17"/>
  <c r="J191" i="17" s="1"/>
  <c r="F191" i="14"/>
  <c r="G192" i="17"/>
  <c r="I192" i="17" s="1"/>
  <c r="F192" i="14"/>
  <c r="AP198" i="19"/>
  <c r="AQ198" i="19" s="1"/>
  <c r="CM198" i="19" s="1"/>
  <c r="E198" i="14"/>
  <c r="G198" i="14" s="1"/>
  <c r="G210" i="17"/>
  <c r="J210" i="17" s="1"/>
  <c r="F210" i="14"/>
  <c r="G217" i="17"/>
  <c r="I217" i="17" s="1"/>
  <c r="F217" i="14"/>
  <c r="H217" i="14" s="1"/>
  <c r="AP226" i="19"/>
  <c r="AQ226" i="19" s="1"/>
  <c r="CM226" i="19" s="1"/>
  <c r="E226" i="14"/>
  <c r="G226" i="14" s="1"/>
  <c r="G235" i="17"/>
  <c r="F235" i="14"/>
  <c r="AP239" i="19"/>
  <c r="AQ239" i="19" s="1"/>
  <c r="CM239" i="19" s="1"/>
  <c r="E239" i="14"/>
  <c r="G239" i="14" s="1"/>
  <c r="G246" i="17"/>
  <c r="F246" i="14"/>
  <c r="AP251" i="19"/>
  <c r="AQ251" i="19" s="1"/>
  <c r="CM251" i="19" s="1"/>
  <c r="E251" i="14"/>
  <c r="G251" i="14" s="1"/>
  <c r="G255" i="17"/>
  <c r="J255" i="17" s="1"/>
  <c r="F255" i="14"/>
  <c r="G260" i="17"/>
  <c r="J260" i="17" s="1"/>
  <c r="F260" i="14"/>
  <c r="AP281" i="19"/>
  <c r="AQ281" i="19" s="1"/>
  <c r="CM281" i="19" s="1"/>
  <c r="E281" i="14"/>
  <c r="AP285" i="19"/>
  <c r="AQ285" i="19" s="1"/>
  <c r="CM285" i="19" s="1"/>
  <c r="E285" i="14"/>
  <c r="G285" i="14" s="1"/>
  <c r="G289" i="17"/>
  <c r="F289" i="14"/>
  <c r="AO297" i="19"/>
  <c r="E297" i="14"/>
  <c r="G297" i="14" s="1"/>
  <c r="AP298" i="19"/>
  <c r="AQ298" i="19" s="1"/>
  <c r="CM298" i="19" s="1"/>
  <c r="E298" i="14"/>
  <c r="G298" i="14" s="1"/>
  <c r="AP306" i="19"/>
  <c r="E306" i="14"/>
  <c r="G307" i="17"/>
  <c r="J307" i="17" s="1"/>
  <c r="L307" i="17" s="1"/>
  <c r="F307" i="14"/>
  <c r="G317" i="17"/>
  <c r="J317" i="17" s="1"/>
  <c r="L317" i="17" s="1"/>
  <c r="F317" i="14"/>
  <c r="AP326" i="19"/>
  <c r="AQ326" i="19" s="1"/>
  <c r="CM326" i="19" s="1"/>
  <c r="E326" i="14"/>
  <c r="AO328" i="19"/>
  <c r="E328" i="14"/>
  <c r="G328" i="14" s="1"/>
  <c r="G336" i="17"/>
  <c r="J336" i="17" s="1"/>
  <c r="L336" i="17" s="1"/>
  <c r="F336" i="14"/>
  <c r="AP7" i="19"/>
  <c r="AQ7" i="19" s="1"/>
  <c r="CM7" i="19" s="1"/>
  <c r="E7" i="14"/>
  <c r="G7" i="14" s="1"/>
  <c r="AP13" i="19"/>
  <c r="AQ13" i="19" s="1"/>
  <c r="CM13" i="19" s="1"/>
  <c r="E13" i="14"/>
  <c r="AP23" i="19"/>
  <c r="AQ23" i="19" s="1"/>
  <c r="CM23" i="19" s="1"/>
  <c r="E23" i="14"/>
  <c r="G23" i="14" s="1"/>
  <c r="G30" i="17"/>
  <c r="F30" i="14"/>
  <c r="G50" i="17"/>
  <c r="F50" i="14"/>
  <c r="AO60" i="19"/>
  <c r="E60" i="14"/>
  <c r="G62" i="17"/>
  <c r="F62" i="14"/>
  <c r="G67" i="17"/>
  <c r="F67" i="14"/>
  <c r="AP72" i="19"/>
  <c r="AQ72" i="19" s="1"/>
  <c r="CM72" i="19" s="1"/>
  <c r="E72" i="14"/>
  <c r="G81" i="17"/>
  <c r="I81" i="17" s="1"/>
  <c r="F81" i="14"/>
  <c r="G86" i="17"/>
  <c r="F86" i="14"/>
  <c r="G99" i="17"/>
  <c r="F99" i="14"/>
  <c r="G108" i="17"/>
  <c r="F108" i="14"/>
  <c r="G112" i="17"/>
  <c r="F112" i="14"/>
  <c r="AO122" i="19"/>
  <c r="E122" i="14"/>
  <c r="G122" i="14" s="1"/>
  <c r="G160" i="17"/>
  <c r="J160" i="17" s="1"/>
  <c r="F160" i="14"/>
  <c r="G179" i="17"/>
  <c r="F179" i="14"/>
  <c r="AP183" i="19"/>
  <c r="AQ183" i="19" s="1"/>
  <c r="CM183" i="19" s="1"/>
  <c r="E183" i="14"/>
  <c r="AP184" i="19"/>
  <c r="AQ184" i="19" s="1"/>
  <c r="CM184" i="19" s="1"/>
  <c r="E184" i="14"/>
  <c r="G184" i="14" s="1"/>
  <c r="G193" i="17"/>
  <c r="F193" i="14"/>
  <c r="G194" i="17"/>
  <c r="I194" i="17" s="1"/>
  <c r="F194" i="14"/>
  <c r="G203" i="17"/>
  <c r="I203" i="17" s="1"/>
  <c r="F203" i="14"/>
  <c r="AP211" i="19"/>
  <c r="AQ211" i="19" s="1"/>
  <c r="CM211" i="19" s="1"/>
  <c r="E211" i="14"/>
  <c r="G211" i="14" s="1"/>
  <c r="G218" i="17"/>
  <c r="J218" i="17" s="1"/>
  <c r="F218" i="14"/>
  <c r="G227" i="17"/>
  <c r="J227" i="17" s="1"/>
  <c r="F227" i="14"/>
  <c r="AO240" i="19"/>
  <c r="E240" i="14"/>
  <c r="G240" i="14" s="1"/>
  <c r="AO261" i="19"/>
  <c r="E261" i="14"/>
  <c r="G261" i="14" s="1"/>
  <c r="AP262" i="19"/>
  <c r="AQ262" i="19" s="1"/>
  <c r="CM262" i="19" s="1"/>
  <c r="E262" i="14"/>
  <c r="G262" i="14" s="1"/>
  <c r="G271" i="17"/>
  <c r="J271" i="17" s="1"/>
  <c r="L271" i="17" s="1"/>
  <c r="F271" i="14"/>
  <c r="G277" i="17"/>
  <c r="J277" i="17" s="1"/>
  <c r="L277" i="17" s="1"/>
  <c r="F277" i="14"/>
  <c r="G299" i="17"/>
  <c r="J299" i="17" s="1"/>
  <c r="F299" i="14"/>
  <c r="G308" i="17"/>
  <c r="I308" i="17" s="1"/>
  <c r="F308" i="14"/>
  <c r="AP318" i="19"/>
  <c r="AQ318" i="19" s="1"/>
  <c r="CM318" i="19" s="1"/>
  <c r="E318" i="14"/>
  <c r="G318" i="14" s="1"/>
  <c r="AO322" i="19"/>
  <c r="E322" i="14"/>
  <c r="G322" i="14" s="1"/>
  <c r="AP331" i="19"/>
  <c r="AQ331" i="19" s="1"/>
  <c r="CM331" i="19" s="1"/>
  <c r="E331" i="14"/>
  <c r="AO334" i="19"/>
  <c r="BB334" i="19" s="1"/>
  <c r="E334" i="14"/>
  <c r="G334" i="14" s="1"/>
  <c r="AP14" i="19"/>
  <c r="AQ14" i="19" s="1"/>
  <c r="CM14" i="19" s="1"/>
  <c r="E14" i="14"/>
  <c r="AO24" i="19"/>
  <c r="E24" i="14"/>
  <c r="G35" i="17"/>
  <c r="F35" i="14"/>
  <c r="AP44" i="19"/>
  <c r="AQ44" i="19" s="1"/>
  <c r="CM44" i="19" s="1"/>
  <c r="E44" i="14"/>
  <c r="G44" i="14" s="1"/>
  <c r="G51" i="17"/>
  <c r="F51" i="14"/>
  <c r="G55" i="17"/>
  <c r="F55" i="14"/>
  <c r="AO63" i="19"/>
  <c r="E63" i="14"/>
  <c r="AP78" i="19"/>
  <c r="AQ78" i="19" s="1"/>
  <c r="CM78" i="19" s="1"/>
  <c r="E78" i="14"/>
  <c r="AP89" i="19"/>
  <c r="AQ89" i="19" s="1"/>
  <c r="CM89" i="19" s="1"/>
  <c r="E89" i="14"/>
  <c r="G100" i="17"/>
  <c r="I100" i="17" s="1"/>
  <c r="F100" i="14"/>
  <c r="AO104" i="19"/>
  <c r="E104" i="14"/>
  <c r="G104" i="14" s="1"/>
  <c r="AO117" i="19"/>
  <c r="BB117" i="19" s="1"/>
  <c r="E117" i="14"/>
  <c r="G117" i="14" s="1"/>
  <c r="G123" i="17"/>
  <c r="I123" i="17" s="1"/>
  <c r="F123" i="14"/>
  <c r="G126" i="17"/>
  <c r="F126" i="14"/>
  <c r="G127" i="17"/>
  <c r="F127" i="14"/>
  <c r="AO128" i="19"/>
  <c r="BB128" i="19" s="1"/>
  <c r="E128" i="14"/>
  <c r="G132" i="17"/>
  <c r="F132" i="14"/>
  <c r="AO161" i="19"/>
  <c r="E161" i="14"/>
  <c r="G161" i="14" s="1"/>
  <c r="AO185" i="19"/>
  <c r="E185" i="14"/>
  <c r="G185" i="14" s="1"/>
  <c r="AO195" i="19"/>
  <c r="E195" i="14"/>
  <c r="G195" i="14" s="1"/>
  <c r="G199" i="17"/>
  <c r="F199" i="14"/>
  <c r="G204" i="17"/>
  <c r="F204" i="14"/>
  <c r="AO212" i="19"/>
  <c r="E212" i="14"/>
  <c r="AO219" i="19"/>
  <c r="BB219" i="19" s="1"/>
  <c r="E219" i="14"/>
  <c r="G219" i="14" s="1"/>
  <c r="G228" i="17"/>
  <c r="I228" i="17" s="1"/>
  <c r="F228" i="14"/>
  <c r="AP229" i="19"/>
  <c r="AQ229" i="19" s="1"/>
  <c r="CM229" i="19" s="1"/>
  <c r="E229" i="14"/>
  <c r="G229" i="14" s="1"/>
  <c r="G230" i="17"/>
  <c r="J230" i="17" s="1"/>
  <c r="F230" i="14"/>
  <c r="G236" i="17"/>
  <c r="F236" i="14"/>
  <c r="G241" i="17"/>
  <c r="F241" i="14"/>
  <c r="G247" i="17"/>
  <c r="F247" i="14"/>
  <c r="AP252" i="19"/>
  <c r="AQ252" i="19" s="1"/>
  <c r="CM252" i="19" s="1"/>
  <c r="E252" i="14"/>
  <c r="AO256" i="19"/>
  <c r="E256" i="14"/>
  <c r="G256" i="14" s="1"/>
  <c r="G263" i="17"/>
  <c r="F263" i="14"/>
  <c r="G272" i="17"/>
  <c r="F272" i="14"/>
  <c r="AP273" i="19"/>
  <c r="AQ273" i="19" s="1"/>
  <c r="CM273" i="19" s="1"/>
  <c r="E273" i="14"/>
  <c r="AP282" i="19"/>
  <c r="AQ282" i="19" s="1"/>
  <c r="CM282" i="19" s="1"/>
  <c r="E282" i="14"/>
  <c r="G282" i="14" s="1"/>
  <c r="G286" i="17"/>
  <c r="J286" i="17" s="1"/>
  <c r="L286" i="17" s="1"/>
  <c r="F286" i="14"/>
  <c r="AP290" i="19"/>
  <c r="AQ290" i="19" s="1"/>
  <c r="CM290" i="19" s="1"/>
  <c r="E290" i="14"/>
  <c r="G290" i="14" s="1"/>
  <c r="G300" i="17"/>
  <c r="J300" i="17" s="1"/>
  <c r="F300" i="14"/>
  <c r="G309" i="17"/>
  <c r="F309" i="14"/>
  <c r="AP319" i="19"/>
  <c r="AQ319" i="19" s="1"/>
  <c r="CM319" i="19" s="1"/>
  <c r="E319" i="14"/>
  <c r="G319" i="14" s="1"/>
  <c r="AO323" i="19"/>
  <c r="E323" i="14"/>
  <c r="AP8" i="19"/>
  <c r="AQ8" i="19" s="1"/>
  <c r="CM8" i="19" s="1"/>
  <c r="E8" i="14"/>
  <c r="G8" i="14" s="1"/>
  <c r="AP15" i="19"/>
  <c r="AQ15" i="19" s="1"/>
  <c r="CM15" i="19" s="1"/>
  <c r="E15" i="14"/>
  <c r="AO45" i="19"/>
  <c r="E45" i="14"/>
  <c r="AP46" i="19"/>
  <c r="AQ46" i="19" s="1"/>
  <c r="CM46" i="19" s="1"/>
  <c r="E46" i="14"/>
  <c r="AP47" i="19"/>
  <c r="AQ47" i="19" s="1"/>
  <c r="CM47" i="19" s="1"/>
  <c r="E47" i="14"/>
  <c r="G47" i="14" s="1"/>
  <c r="AO64" i="19"/>
  <c r="E64" i="14"/>
  <c r="G64" i="14" s="1"/>
  <c r="AP70" i="19"/>
  <c r="AQ70" i="19" s="1"/>
  <c r="CM70" i="19" s="1"/>
  <c r="E70" i="14"/>
  <c r="G70" i="14" s="1"/>
  <c r="G75" i="17"/>
  <c r="F75" i="14"/>
  <c r="G84" i="17"/>
  <c r="F84" i="14"/>
  <c r="AP92" i="19"/>
  <c r="AQ92" i="19" s="1"/>
  <c r="CM92" i="19" s="1"/>
  <c r="E92" i="14"/>
  <c r="G92" i="14" s="1"/>
  <c r="G109" i="17"/>
  <c r="F109" i="14"/>
  <c r="G113" i="17"/>
  <c r="I113" i="17" s="1"/>
  <c r="F113" i="14"/>
  <c r="G124" i="17"/>
  <c r="F124" i="14"/>
  <c r="G125" i="17"/>
  <c r="F125" i="14"/>
  <c r="AP129" i="19"/>
  <c r="AQ129" i="19" s="1"/>
  <c r="CM129" i="19" s="1"/>
  <c r="E129" i="14"/>
  <c r="G129" i="14" s="1"/>
  <c r="AP131" i="19"/>
  <c r="AQ131" i="19" s="1"/>
  <c r="CM131" i="19" s="1"/>
  <c r="E131" i="14"/>
  <c r="AP133" i="19"/>
  <c r="AQ133" i="19" s="1"/>
  <c r="CM133" i="19" s="1"/>
  <c r="E133" i="14"/>
  <c r="AO134" i="19"/>
  <c r="E134" i="14"/>
  <c r="G134" i="14" s="1"/>
  <c r="AO139" i="19"/>
  <c r="E139" i="14"/>
  <c r="G139" i="14" s="1"/>
  <c r="AP140" i="19"/>
  <c r="AQ140" i="19" s="1"/>
  <c r="CM140" i="19" s="1"/>
  <c r="E140" i="14"/>
  <c r="G140" i="14" s="1"/>
  <c r="G141" i="17"/>
  <c r="I141" i="17" s="1"/>
  <c r="F141" i="14"/>
  <c r="AO164" i="19"/>
  <c r="E164" i="14"/>
  <c r="G164" i="14" s="1"/>
  <c r="AO165" i="19"/>
  <c r="E165" i="14"/>
  <c r="AP166" i="19"/>
  <c r="AQ166" i="19" s="1"/>
  <c r="CM166" i="19" s="1"/>
  <c r="E166" i="14"/>
  <c r="G169" i="17"/>
  <c r="F169" i="14"/>
  <c r="AP170" i="19"/>
  <c r="AQ170" i="19" s="1"/>
  <c r="CM170" i="19" s="1"/>
  <c r="E170" i="14"/>
  <c r="AP171" i="19"/>
  <c r="AQ171" i="19" s="1"/>
  <c r="CM171" i="19" s="1"/>
  <c r="E171" i="14"/>
  <c r="G171" i="14" s="1"/>
  <c r="AO180" i="19"/>
  <c r="E180" i="14"/>
  <c r="AP200" i="19"/>
  <c r="AQ200" i="19" s="1"/>
  <c r="CM200" i="19" s="1"/>
  <c r="E200" i="14"/>
  <c r="AP205" i="19"/>
  <c r="AQ205" i="19" s="1"/>
  <c r="CM205" i="19" s="1"/>
  <c r="E205" i="14"/>
  <c r="G205" i="14" s="1"/>
  <c r="G213" i="17"/>
  <c r="I213" i="17" s="1"/>
  <c r="F213" i="14"/>
  <c r="H213" i="14" s="1"/>
  <c r="G220" i="17"/>
  <c r="F220" i="14"/>
  <c r="G231" i="17"/>
  <c r="F231" i="14"/>
  <c r="AP242" i="19"/>
  <c r="AQ242" i="19" s="1"/>
  <c r="CM242" i="19" s="1"/>
  <c r="E242" i="14"/>
  <c r="AP243" i="19"/>
  <c r="AQ243" i="19" s="1"/>
  <c r="CM243" i="19" s="1"/>
  <c r="E243" i="14"/>
  <c r="G248" i="17"/>
  <c r="F248" i="14"/>
  <c r="AO253" i="19"/>
  <c r="E253" i="14"/>
  <c r="AP257" i="19"/>
  <c r="AQ257" i="19" s="1"/>
  <c r="CM257" i="19" s="1"/>
  <c r="E257" i="14"/>
  <c r="G257" i="14" s="1"/>
  <c r="G264" i="17"/>
  <c r="J264" i="17" s="1"/>
  <c r="L264" i="17" s="1"/>
  <c r="F264" i="14"/>
  <c r="G278" i="17"/>
  <c r="J278" i="17" s="1"/>
  <c r="L278" i="17" s="1"/>
  <c r="F278" i="14"/>
  <c r="AO291" i="19"/>
  <c r="E291" i="14"/>
  <c r="G291" i="14" s="1"/>
  <c r="AP301" i="19"/>
  <c r="AQ301" i="19" s="1"/>
  <c r="CM301" i="19" s="1"/>
  <c r="E301" i="14"/>
  <c r="G301" i="14" s="1"/>
  <c r="AP310" i="19"/>
  <c r="AQ310" i="19" s="1"/>
  <c r="CM310" i="19" s="1"/>
  <c r="E310" i="14"/>
  <c r="G310" i="14" s="1"/>
  <c r="AO319" i="19"/>
  <c r="G324" i="17"/>
  <c r="I324" i="17" s="1"/>
  <c r="F324" i="14"/>
  <c r="AP329" i="19"/>
  <c r="AQ329" i="19" s="1"/>
  <c r="CM329" i="19" s="1"/>
  <c r="E329" i="14"/>
  <c r="G2" i="14"/>
  <c r="F2" i="14"/>
  <c r="H2" i="14" s="1"/>
  <c r="AO9" i="19"/>
  <c r="BB9" i="19" s="1"/>
  <c r="E9" i="14"/>
  <c r="G9" i="14" s="1"/>
  <c r="G16" i="17"/>
  <c r="I16" i="17" s="1"/>
  <c r="F16" i="14"/>
  <c r="AO17" i="19"/>
  <c r="E17" i="14"/>
  <c r="G17" i="14" s="1"/>
  <c r="AP25" i="19"/>
  <c r="AQ25" i="19" s="1"/>
  <c r="CM25" i="19" s="1"/>
  <c r="E25" i="14"/>
  <c r="G25" i="14" s="1"/>
  <c r="G31" i="17"/>
  <c r="I31" i="17" s="1"/>
  <c r="F31" i="14"/>
  <c r="AP36" i="19"/>
  <c r="AQ36" i="19" s="1"/>
  <c r="CM36" i="19" s="1"/>
  <c r="E36" i="14"/>
  <c r="G36" i="14" s="1"/>
  <c r="AP48" i="19"/>
  <c r="AQ48" i="19" s="1"/>
  <c r="CM48" i="19" s="1"/>
  <c r="E48" i="14"/>
  <c r="G52" i="17"/>
  <c r="F52" i="14"/>
  <c r="G56" i="17"/>
  <c r="F56" i="14"/>
  <c r="AO65" i="19"/>
  <c r="E65" i="14"/>
  <c r="AP68" i="19"/>
  <c r="AQ68" i="19" s="1"/>
  <c r="CM68" i="19" s="1"/>
  <c r="E68" i="14"/>
  <c r="G68" i="14" s="1"/>
  <c r="AP79" i="19"/>
  <c r="AQ79" i="19" s="1"/>
  <c r="CM79" i="19" s="1"/>
  <c r="E79" i="14"/>
  <c r="AO82" i="19"/>
  <c r="E82" i="14"/>
  <c r="G82" i="14" s="1"/>
  <c r="AP87" i="19"/>
  <c r="AQ87" i="19" s="1"/>
  <c r="CM87" i="19" s="1"/>
  <c r="E87" i="14"/>
  <c r="AO96" i="19"/>
  <c r="E96" i="14"/>
  <c r="G96" i="14" s="1"/>
  <c r="AO101" i="19"/>
  <c r="E101" i="14"/>
  <c r="G101" i="14" s="1"/>
  <c r="AO105" i="19"/>
  <c r="E105" i="14"/>
  <c r="G118" i="17"/>
  <c r="F118" i="14"/>
  <c r="AP130" i="19"/>
  <c r="AQ130" i="19" s="1"/>
  <c r="CM130" i="19" s="1"/>
  <c r="E130" i="14"/>
  <c r="AO135" i="19"/>
  <c r="E135" i="14"/>
  <c r="G135" i="14" s="1"/>
  <c r="AP136" i="19"/>
  <c r="AQ136" i="19" s="1"/>
  <c r="CM136" i="19" s="1"/>
  <c r="E136" i="14"/>
  <c r="G136" i="14" s="1"/>
  <c r="AP137" i="19"/>
  <c r="AQ137" i="19" s="1"/>
  <c r="CM137" i="19" s="1"/>
  <c r="E137" i="14"/>
  <c r="G137" i="14" s="1"/>
  <c r="AP138" i="19"/>
  <c r="AQ138" i="19" s="1"/>
  <c r="CM138" i="19" s="1"/>
  <c r="E138" i="14"/>
  <c r="G138" i="14" s="1"/>
  <c r="AP142" i="19"/>
  <c r="AQ142" i="19" s="1"/>
  <c r="CM142" i="19" s="1"/>
  <c r="E142" i="14"/>
  <c r="G142" i="14" s="1"/>
  <c r="G154" i="17"/>
  <c r="I154" i="17" s="1"/>
  <c r="F154" i="14"/>
  <c r="G162" i="17"/>
  <c r="J162" i="17" s="1"/>
  <c r="L162" i="17" s="1"/>
  <c r="F162" i="14"/>
  <c r="G163" i="17"/>
  <c r="F163" i="14"/>
  <c r="G167" i="17"/>
  <c r="I167" i="17" s="1"/>
  <c r="F167" i="14"/>
  <c r="AP168" i="19"/>
  <c r="AQ168" i="19" s="1"/>
  <c r="CM168" i="19" s="1"/>
  <c r="E168" i="14"/>
  <c r="G168" i="14" s="1"/>
  <c r="AP172" i="19"/>
  <c r="AQ172" i="19" s="1"/>
  <c r="CM172" i="19" s="1"/>
  <c r="E172" i="14"/>
  <c r="G172" i="14" s="1"/>
  <c r="AP186" i="19"/>
  <c r="AQ186" i="19" s="1"/>
  <c r="CM186" i="19" s="1"/>
  <c r="E186" i="14"/>
  <c r="G186" i="14" s="1"/>
  <c r="G196" i="17"/>
  <c r="J196" i="17" s="1"/>
  <c r="F196" i="14"/>
  <c r="G206" i="17"/>
  <c r="F206" i="14"/>
  <c r="G214" i="17"/>
  <c r="I214" i="17" s="1"/>
  <c r="F214" i="14"/>
  <c r="G221" i="17"/>
  <c r="F221" i="14"/>
  <c r="G222" i="17"/>
  <c r="F222" i="14"/>
  <c r="G232" i="17"/>
  <c r="F232" i="14"/>
  <c r="AP237" i="19"/>
  <c r="AQ237" i="19" s="1"/>
  <c r="CM237" i="19" s="1"/>
  <c r="E237" i="14"/>
  <c r="G237" i="14" s="1"/>
  <c r="AP244" i="19"/>
  <c r="AQ244" i="19" s="1"/>
  <c r="CM244" i="19" s="1"/>
  <c r="E244" i="14"/>
  <c r="G244" i="14" s="1"/>
  <c r="G258" i="17"/>
  <c r="F258" i="14"/>
  <c r="AO265" i="19"/>
  <c r="E265" i="14"/>
  <c r="G265" i="14" s="1"/>
  <c r="AP266" i="19"/>
  <c r="AQ266" i="19" s="1"/>
  <c r="CM266" i="19" s="1"/>
  <c r="E266" i="14"/>
  <c r="G266" i="14" s="1"/>
  <c r="AP274" i="19"/>
  <c r="AQ274" i="19" s="1"/>
  <c r="CM274" i="19" s="1"/>
  <c r="E274" i="14"/>
  <c r="AO283" i="19"/>
  <c r="BB283" i="19" s="1"/>
  <c r="E283" i="14"/>
  <c r="AP287" i="19"/>
  <c r="AQ287" i="19" s="1"/>
  <c r="CM287" i="19" s="1"/>
  <c r="E287" i="14"/>
  <c r="G287" i="14" s="1"/>
  <c r="AP292" i="19"/>
  <c r="AQ292" i="19" s="1"/>
  <c r="CM292" i="19" s="1"/>
  <c r="E292" i="14"/>
  <c r="G292" i="14" s="1"/>
  <c r="AP302" i="19"/>
  <c r="AQ302" i="19" s="1"/>
  <c r="CM302" i="19" s="1"/>
  <c r="E302" i="14"/>
  <c r="G302" i="14" s="1"/>
  <c r="AP311" i="19"/>
  <c r="AQ311" i="19" s="1"/>
  <c r="CM311" i="19" s="1"/>
  <c r="E311" i="14"/>
  <c r="G311" i="14" s="1"/>
  <c r="AP325" i="19"/>
  <c r="AQ325" i="19" s="1"/>
  <c r="CM325" i="19" s="1"/>
  <c r="E325" i="14"/>
  <c r="G325" i="14" s="1"/>
  <c r="G327" i="17"/>
  <c r="F327" i="14"/>
  <c r="AP332" i="19"/>
  <c r="AQ332" i="19" s="1"/>
  <c r="CM332" i="19" s="1"/>
  <c r="E332" i="14"/>
  <c r="G11" i="17"/>
  <c r="F11" i="14"/>
  <c r="AO18" i="19"/>
  <c r="BB18" i="19" s="1"/>
  <c r="E18" i="14"/>
  <c r="G18" i="14" s="1"/>
  <c r="AP26" i="19"/>
  <c r="AQ26" i="19" s="1"/>
  <c r="CM26" i="19" s="1"/>
  <c r="E26" i="14"/>
  <c r="AP32" i="19"/>
  <c r="AQ32" i="19" s="1"/>
  <c r="CM32" i="19" s="1"/>
  <c r="E32" i="14"/>
  <c r="G32" i="14" s="1"/>
  <c r="AP73" i="19"/>
  <c r="AQ73" i="19" s="1"/>
  <c r="CM73" i="19" s="1"/>
  <c r="E73" i="14"/>
  <c r="G73" i="14" s="1"/>
  <c r="G76" i="17"/>
  <c r="F76" i="14"/>
  <c r="AP90" i="19"/>
  <c r="AQ90" i="19" s="1"/>
  <c r="CM90" i="19" s="1"/>
  <c r="E90" i="14"/>
  <c r="AP97" i="19"/>
  <c r="AQ97" i="19" s="1"/>
  <c r="CM97" i="19" s="1"/>
  <c r="E97" i="14"/>
  <c r="G97" i="14" s="1"/>
  <c r="G110" i="17"/>
  <c r="I110" i="17" s="1"/>
  <c r="F110" i="14"/>
  <c r="G114" i="17"/>
  <c r="I114" i="17" s="1"/>
  <c r="F114" i="14"/>
  <c r="AP143" i="19"/>
  <c r="AQ143" i="19" s="1"/>
  <c r="CM143" i="19" s="1"/>
  <c r="E143" i="14"/>
  <c r="AP152" i="19"/>
  <c r="AQ152" i="19" s="1"/>
  <c r="CM152" i="19" s="1"/>
  <c r="E152" i="14"/>
  <c r="AO153" i="19"/>
  <c r="BB153" i="19" s="1"/>
  <c r="E153" i="14"/>
  <c r="G153" i="14" s="1"/>
  <c r="AP155" i="19"/>
  <c r="AQ155" i="19" s="1"/>
  <c r="CM155" i="19" s="1"/>
  <c r="E155" i="14"/>
  <c r="G155" i="14" s="1"/>
  <c r="G156" i="17"/>
  <c r="I156" i="17" s="1"/>
  <c r="F156" i="14"/>
  <c r="AP173" i="19"/>
  <c r="AQ173" i="19" s="1"/>
  <c r="CM173" i="19" s="1"/>
  <c r="E173" i="14"/>
  <c r="G173" i="14" s="1"/>
  <c r="AP174" i="19"/>
  <c r="AQ174" i="19" s="1"/>
  <c r="CM174" i="19" s="1"/>
  <c r="E174" i="14"/>
  <c r="G174" i="14" s="1"/>
  <c r="G181" i="17"/>
  <c r="F181" i="14"/>
  <c r="AO201" i="19"/>
  <c r="BB201" i="19" s="1"/>
  <c r="E201" i="14"/>
  <c r="G207" i="17"/>
  <c r="F207" i="14"/>
  <c r="AP208" i="19"/>
  <c r="AQ208" i="19" s="1"/>
  <c r="CM208" i="19" s="1"/>
  <c r="E208" i="14"/>
  <c r="AP215" i="19"/>
  <c r="AQ215" i="19" s="1"/>
  <c r="CM215" i="19" s="1"/>
  <c r="E215" i="14"/>
  <c r="G215" i="14" s="1"/>
  <c r="AO223" i="19"/>
  <c r="E223" i="14"/>
  <c r="G233" i="17"/>
  <c r="F233" i="14"/>
  <c r="AO249" i="19"/>
  <c r="E249" i="14"/>
  <c r="G254" i="17"/>
  <c r="F254" i="14"/>
  <c r="G267" i="17"/>
  <c r="F267" i="14"/>
  <c r="AP279" i="19"/>
  <c r="AQ279" i="19" s="1"/>
  <c r="CM279" i="19" s="1"/>
  <c r="E279" i="14"/>
  <c r="G279" i="14" s="1"/>
  <c r="G293" i="17"/>
  <c r="F293" i="14"/>
  <c r="AP294" i="19"/>
  <c r="AQ294" i="19" s="1"/>
  <c r="CM294" i="19" s="1"/>
  <c r="E294" i="14"/>
  <c r="G294" i="14" s="1"/>
  <c r="G303" i="17"/>
  <c r="F303" i="14"/>
  <c r="AP312" i="19"/>
  <c r="AQ312" i="19" s="1"/>
  <c r="CM312" i="19" s="1"/>
  <c r="E312" i="14"/>
  <c r="AP320" i="19"/>
  <c r="AQ320" i="19" s="1"/>
  <c r="CM320" i="19" s="1"/>
  <c r="E320" i="14"/>
  <c r="G335" i="17"/>
  <c r="I335" i="17" s="1"/>
  <c r="F335" i="14"/>
  <c r="N5" i="26"/>
  <c r="O6" i="26"/>
  <c r="O4" i="26"/>
  <c r="N4" i="26"/>
  <c r="O10" i="26"/>
  <c r="O9" i="26"/>
  <c r="M12" i="26"/>
  <c r="O8" i="26"/>
  <c r="N8" i="26"/>
  <c r="M6" i="26"/>
  <c r="N7" i="26"/>
  <c r="O12" i="26"/>
  <c r="M5" i="26"/>
  <c r="N6" i="26"/>
  <c r="O7" i="26"/>
  <c r="AP95" i="19"/>
  <c r="AQ95" i="19" s="1"/>
  <c r="CM95" i="19" s="1"/>
  <c r="E95" i="14"/>
  <c r="AO213" i="19"/>
  <c r="AO229" i="19"/>
  <c r="AP240" i="19"/>
  <c r="AQ240" i="19" s="1"/>
  <c r="CM240" i="19" s="1"/>
  <c r="V13" i="19"/>
  <c r="BN13" i="19" s="1"/>
  <c r="V23" i="19"/>
  <c r="V119" i="19"/>
  <c r="BN119" i="19" s="1"/>
  <c r="V202" i="19"/>
  <c r="BN202" i="19" s="1"/>
  <c r="V209" i="19"/>
  <c r="BN209" i="19" s="1"/>
  <c r="V215" i="19"/>
  <c r="BN215" i="19" s="1"/>
  <c r="V243" i="19"/>
  <c r="BN243" i="19" s="1"/>
  <c r="V257" i="19"/>
  <c r="BN257" i="19" s="1"/>
  <c r="V301" i="19"/>
  <c r="BN301" i="19" s="1"/>
  <c r="V24" i="19"/>
  <c r="V44" i="19"/>
  <c r="BN44" i="19" s="1"/>
  <c r="V62" i="19"/>
  <c r="BN62" i="19" s="1"/>
  <c r="V81" i="19"/>
  <c r="BN81" i="19" s="1"/>
  <c r="V94" i="19"/>
  <c r="BN94" i="19" s="1"/>
  <c r="V98" i="19"/>
  <c r="BN98" i="19" s="1"/>
  <c r="V121" i="19"/>
  <c r="BN121" i="19" s="1"/>
  <c r="V150" i="19"/>
  <c r="BN150" i="19" s="1"/>
  <c r="V159" i="19"/>
  <c r="BN159" i="19" s="1"/>
  <c r="V189" i="19"/>
  <c r="BN189" i="19" s="1"/>
  <c r="V249" i="19"/>
  <c r="BN249" i="19" s="1"/>
  <c r="V311" i="19"/>
  <c r="BN311" i="19" s="1"/>
  <c r="V332" i="19"/>
  <c r="BN332" i="19" s="1"/>
  <c r="V8" i="19"/>
  <c r="V15" i="19"/>
  <c r="BN15" i="19" s="1"/>
  <c r="V99" i="19"/>
  <c r="BN99" i="19" s="1"/>
  <c r="V108" i="19"/>
  <c r="BN108" i="19" s="1"/>
  <c r="V160" i="19"/>
  <c r="BN160" i="19" s="1"/>
  <c r="V179" i="19"/>
  <c r="BN179" i="19" s="1"/>
  <c r="V183" i="19"/>
  <c r="BN183" i="19" s="1"/>
  <c r="V191" i="19"/>
  <c r="BN191" i="19" s="1"/>
  <c r="V210" i="19"/>
  <c r="BN210" i="19" s="1"/>
  <c r="V245" i="19"/>
  <c r="BN245" i="19" s="1"/>
  <c r="V259" i="19"/>
  <c r="BN259" i="19" s="1"/>
  <c r="V284" i="19"/>
  <c r="BN284" i="19" s="1"/>
  <c r="V288" i="19"/>
  <c r="BN288" i="19" s="1"/>
  <c r="V17" i="19"/>
  <c r="V56" i="19"/>
  <c r="BN56" i="19" s="1"/>
  <c r="V64" i="19"/>
  <c r="BN64" i="19" s="1"/>
  <c r="V112" i="19"/>
  <c r="BN112" i="19" s="1"/>
  <c r="V127" i="19"/>
  <c r="BN127" i="19" s="1"/>
  <c r="V161" i="19"/>
  <c r="BN161" i="19" s="1"/>
  <c r="V184" i="19"/>
  <c r="BN184" i="19" s="1"/>
  <c r="V185" i="19"/>
  <c r="BN185" i="19" s="1"/>
  <c r="V211" i="19"/>
  <c r="BN211" i="19" s="1"/>
  <c r="V226" i="19"/>
  <c r="BN226" i="19" s="1"/>
  <c r="V234" i="19"/>
  <c r="BN234" i="19" s="1"/>
  <c r="V276" i="19"/>
  <c r="BN276" i="19" s="1"/>
  <c r="V295" i="19"/>
  <c r="BN295" i="19" s="1"/>
  <c r="V304" i="19"/>
  <c r="BN304" i="19" s="1"/>
  <c r="V314" i="19"/>
  <c r="BN314" i="19" s="1"/>
  <c r="V10" i="19"/>
  <c r="BN10" i="19" s="1"/>
  <c r="V11" i="19"/>
  <c r="BN11" i="19" s="1"/>
  <c r="V18" i="19"/>
  <c r="V79" i="19"/>
  <c r="V100" i="19"/>
  <c r="BN100" i="19" s="1"/>
  <c r="V180" i="19"/>
  <c r="BN180" i="19" s="1"/>
  <c r="V195" i="19"/>
  <c r="BN195" i="19" s="1"/>
  <c r="V269" i="19"/>
  <c r="BN269" i="19" s="1"/>
  <c r="V270" i="19"/>
  <c r="BN270" i="19" s="1"/>
  <c r="V285" i="19"/>
  <c r="BN285" i="19" s="1"/>
  <c r="V289" i="19"/>
  <c r="BN289" i="19" s="1"/>
  <c r="V296" i="19"/>
  <c r="BN296" i="19" s="1"/>
  <c r="V305" i="19"/>
  <c r="BN305" i="19" s="1"/>
  <c r="V333" i="19"/>
  <c r="BN333" i="19" s="1"/>
  <c r="B2" i="14"/>
  <c r="V20" i="19"/>
  <c r="BN20" i="19" s="1"/>
  <c r="V27" i="19"/>
  <c r="V33" i="19"/>
  <c r="BN33" i="19" s="1"/>
  <c r="V38" i="19"/>
  <c r="BN38" i="19" s="1"/>
  <c r="V40" i="19"/>
  <c r="BN40" i="19" s="1"/>
  <c r="V53" i="19"/>
  <c r="BN53" i="19" s="1"/>
  <c r="V57" i="19"/>
  <c r="BN57" i="19" s="1"/>
  <c r="V90" i="19"/>
  <c r="BN90" i="19" s="1"/>
  <c r="V105" i="19"/>
  <c r="BN105" i="19" s="1"/>
  <c r="V124" i="19"/>
  <c r="BN124" i="19" s="1"/>
  <c r="V169" i="19"/>
  <c r="BN169" i="19" s="1"/>
  <c r="V186" i="19"/>
  <c r="BN186" i="19" s="1"/>
  <c r="V277" i="19"/>
  <c r="BN277" i="19" s="1"/>
  <c r="V298" i="19"/>
  <c r="BN298" i="19" s="1"/>
  <c r="V29" i="19"/>
  <c r="BN29" i="19" s="1"/>
  <c r="V130" i="19"/>
  <c r="BN130" i="19" s="1"/>
  <c r="V138" i="19"/>
  <c r="BN138" i="19" s="1"/>
  <c r="V168" i="19"/>
  <c r="BN168" i="19" s="1"/>
  <c r="V181" i="19"/>
  <c r="BN181" i="19" s="1"/>
  <c r="V220" i="19"/>
  <c r="BN220" i="19" s="1"/>
  <c r="V247" i="19"/>
  <c r="BN247" i="19" s="1"/>
  <c r="V282" i="19"/>
  <c r="BN282" i="19" s="1"/>
  <c r="V308" i="19"/>
  <c r="BN308" i="19" s="1"/>
  <c r="V318" i="19"/>
  <c r="BN318" i="19" s="1"/>
  <c r="V336" i="19"/>
  <c r="BN336" i="19" s="1"/>
  <c r="V6" i="19"/>
  <c r="BN6" i="19" s="1"/>
  <c r="V61" i="19"/>
  <c r="BN61" i="19" s="1"/>
  <c r="V77" i="19"/>
  <c r="BN77" i="19" s="1"/>
  <c r="V102" i="19"/>
  <c r="BN102" i="19" s="1"/>
  <c r="V110" i="19"/>
  <c r="BN110" i="19" s="1"/>
  <c r="V114" i="19"/>
  <c r="BN114" i="19" s="1"/>
  <c r="V144" i="19"/>
  <c r="BN144" i="19" s="1"/>
  <c r="V152" i="19"/>
  <c r="BN152" i="19" s="1"/>
  <c r="V153" i="19"/>
  <c r="BN153" i="19" s="1"/>
  <c r="V157" i="19"/>
  <c r="BN157" i="19" s="1"/>
  <c r="V207" i="19"/>
  <c r="BN207" i="19" s="1"/>
  <c r="V221" i="19"/>
  <c r="BN221" i="19" s="1"/>
  <c r="V231" i="19"/>
  <c r="BN231" i="19" s="1"/>
  <c r="V248" i="19"/>
  <c r="BN248" i="19" s="1"/>
  <c r="V252" i="19"/>
  <c r="BN252" i="19" s="1"/>
  <c r="V272" i="19"/>
  <c r="BN272" i="19" s="1"/>
  <c r="V278" i="19"/>
  <c r="BN278" i="19" s="1"/>
  <c r="V334" i="19"/>
  <c r="BN334" i="19" s="1"/>
  <c r="AO92" i="19"/>
  <c r="BY94" i="24"/>
  <c r="W9" i="26"/>
  <c r="C35" i="57"/>
  <c r="E25" i="57"/>
  <c r="D35" i="57"/>
  <c r="B35" i="57"/>
  <c r="E26" i="57"/>
  <c r="DU5" i="20"/>
  <c r="DZ5" i="20"/>
  <c r="V37" i="19"/>
  <c r="BN37" i="19" s="1"/>
  <c r="BI32" i="19"/>
  <c r="BJ32" i="19" s="1"/>
  <c r="BI54" i="19"/>
  <c r="BJ54" i="19" s="1"/>
  <c r="BI115" i="19"/>
  <c r="BJ115" i="19" s="1"/>
  <c r="BI128" i="19"/>
  <c r="BJ128" i="19" s="1"/>
  <c r="BI152" i="19"/>
  <c r="BJ152" i="19" s="1"/>
  <c r="BI207" i="19"/>
  <c r="BJ207" i="19" s="1"/>
  <c r="BI226" i="19"/>
  <c r="BJ226" i="19" s="1"/>
  <c r="BI285" i="19"/>
  <c r="BJ285" i="19" s="1"/>
  <c r="BI45" i="19"/>
  <c r="BJ45" i="19" s="1"/>
  <c r="BI118" i="19"/>
  <c r="BJ118" i="19" s="1"/>
  <c r="BI227" i="19"/>
  <c r="BJ227" i="19" s="1"/>
  <c r="BI119" i="19"/>
  <c r="BJ119" i="19" s="1"/>
  <c r="BI13" i="19"/>
  <c r="BJ13" i="19" s="1"/>
  <c r="BI14" i="19"/>
  <c r="BJ14" i="19" s="1"/>
  <c r="BI36" i="19"/>
  <c r="BJ36" i="19" s="1"/>
  <c r="BI145" i="19"/>
  <c r="BJ145" i="19" s="1"/>
  <c r="BI255" i="19"/>
  <c r="BJ255" i="19" s="1"/>
  <c r="BI37" i="19"/>
  <c r="BJ37" i="19" s="1"/>
  <c r="BI103" i="19"/>
  <c r="BJ103" i="19" s="1"/>
  <c r="BI192" i="19"/>
  <c r="BJ192" i="19" s="1"/>
  <c r="BI238" i="19"/>
  <c r="BJ238" i="19" s="1"/>
  <c r="BI247" i="19"/>
  <c r="BJ247" i="19" s="1"/>
  <c r="BI279" i="19"/>
  <c r="BJ279" i="19" s="1"/>
  <c r="BI39" i="19"/>
  <c r="BJ39" i="19" s="1"/>
  <c r="BI125" i="19"/>
  <c r="BJ125" i="19" s="1"/>
  <c r="BM176" i="19"/>
  <c r="BI126" i="19"/>
  <c r="BJ126" i="19" s="1"/>
  <c r="BI159" i="19"/>
  <c r="BJ159" i="19" s="1"/>
  <c r="BI214" i="19"/>
  <c r="BJ214" i="19" s="1"/>
  <c r="BI38" i="19"/>
  <c r="BJ38" i="19" s="1"/>
  <c r="BI60" i="19"/>
  <c r="BJ60" i="19" s="1"/>
  <c r="BM92" i="19"/>
  <c r="BI157" i="19"/>
  <c r="BJ157" i="19" s="1"/>
  <c r="BI166" i="19"/>
  <c r="BJ166" i="19" s="1"/>
  <c r="BI184" i="19"/>
  <c r="BJ184" i="19" s="1"/>
  <c r="BI239" i="19"/>
  <c r="BJ239" i="19" s="1"/>
  <c r="BI258" i="19"/>
  <c r="BJ258" i="19" s="1"/>
  <c r="BI140" i="19"/>
  <c r="BJ140" i="19" s="1"/>
  <c r="BI167" i="19"/>
  <c r="BJ167" i="19" s="1"/>
  <c r="BM196" i="19"/>
  <c r="BI232" i="19"/>
  <c r="BJ232" i="19" s="1"/>
  <c r="BM51" i="19"/>
  <c r="BI223" i="19"/>
  <c r="BJ223" i="19" s="1"/>
  <c r="BI8" i="19"/>
  <c r="BJ8" i="19" s="1"/>
  <c r="BI40" i="19"/>
  <c r="BJ40" i="19" s="1"/>
  <c r="BI62" i="19"/>
  <c r="BJ62" i="19" s="1"/>
  <c r="BI72" i="19"/>
  <c r="BJ72" i="19" s="1"/>
  <c r="BI141" i="19"/>
  <c r="BJ141" i="19" s="1"/>
  <c r="BI43" i="19"/>
  <c r="BJ43" i="19" s="1"/>
  <c r="BI63" i="19"/>
  <c r="BJ63" i="19" s="1"/>
  <c r="BI127" i="19"/>
  <c r="BJ127" i="19" s="1"/>
  <c r="BJ142" i="19"/>
  <c r="BI206" i="19"/>
  <c r="BJ206" i="19" s="1"/>
  <c r="BI215" i="19"/>
  <c r="BJ215" i="19" s="1"/>
  <c r="BI234" i="19"/>
  <c r="BJ234" i="19" s="1"/>
  <c r="BI35" i="19"/>
  <c r="BJ35" i="19" s="1"/>
  <c r="BI67" i="19"/>
  <c r="BJ67" i="19" s="1"/>
  <c r="BI131" i="19"/>
  <c r="BJ131" i="19" s="1"/>
  <c r="BI254" i="19"/>
  <c r="BJ254" i="19" s="1"/>
  <c r="BI173" i="19"/>
  <c r="BJ173" i="19" s="1"/>
  <c r="BM74" i="19"/>
  <c r="BI41" i="19"/>
  <c r="BJ41" i="19" s="1"/>
  <c r="BI193" i="19"/>
  <c r="BJ193" i="19" s="1"/>
  <c r="BI33" i="19"/>
  <c r="BJ33" i="19" s="1"/>
  <c r="BI169" i="19"/>
  <c r="BJ169" i="19" s="1"/>
  <c r="BI81" i="19"/>
  <c r="BJ81" i="19" s="1"/>
  <c r="BI34" i="19"/>
  <c r="BJ34" i="19" s="1"/>
  <c r="BI24" i="19"/>
  <c r="BJ24" i="19" s="1"/>
  <c r="BI217" i="19"/>
  <c r="BJ217" i="19" s="1"/>
  <c r="BI3" i="19"/>
  <c r="BJ3" i="19" s="1"/>
  <c r="BI113" i="19"/>
  <c r="BJ113" i="19" s="1"/>
  <c r="BI318" i="19"/>
  <c r="BJ318" i="19" s="1"/>
  <c r="BI266" i="19"/>
  <c r="BJ266" i="19" s="1"/>
  <c r="BI15" i="19"/>
  <c r="BJ15" i="19" s="1"/>
  <c r="BI305" i="19"/>
  <c r="BJ305" i="19" s="1"/>
  <c r="BI310" i="19"/>
  <c r="BJ310" i="19" s="1"/>
  <c r="DY5" i="20"/>
  <c r="V35" i="19"/>
  <c r="BN35" i="19" s="1"/>
  <c r="BI319" i="19"/>
  <c r="BJ319" i="19" s="1"/>
  <c r="DW5" i="20"/>
  <c r="EB5" i="20"/>
  <c r="EC5" i="20"/>
  <c r="BI316" i="19"/>
  <c r="BJ316" i="19" s="1"/>
  <c r="DV5" i="20"/>
  <c r="DX5" i="20"/>
  <c r="EA5" i="20"/>
  <c r="BI273" i="19"/>
  <c r="BJ273" i="19" s="1"/>
  <c r="DT5" i="20"/>
  <c r="BY63" i="24"/>
  <c r="V60" i="19"/>
  <c r="BN60" i="19" s="1"/>
  <c r="AD10" i="20"/>
  <c r="U4" i="26"/>
  <c r="AO43" i="19"/>
  <c r="V9" i="26"/>
  <c r="DS5" i="20"/>
  <c r="D53" i="17"/>
  <c r="F53" i="17" s="1"/>
  <c r="D60" i="17"/>
  <c r="F60" i="17" s="1"/>
  <c r="D70" i="17"/>
  <c r="F70" i="17" s="1"/>
  <c r="D73" i="17"/>
  <c r="F73" i="17" s="1"/>
  <c r="D82" i="17"/>
  <c r="F82" i="17" s="1"/>
  <c r="D88" i="17"/>
  <c r="F88" i="17" s="1"/>
  <c r="D110" i="17"/>
  <c r="F110" i="17" s="1"/>
  <c r="D113" i="17"/>
  <c r="F113" i="17" s="1"/>
  <c r="D134" i="17"/>
  <c r="F134" i="17" s="1"/>
  <c r="D138" i="17"/>
  <c r="F138" i="17" s="1"/>
  <c r="D151" i="17"/>
  <c r="F151" i="17" s="1"/>
  <c r="D173" i="17"/>
  <c r="F173" i="17" s="1"/>
  <c r="D174" i="17"/>
  <c r="F174" i="17" s="1"/>
  <c r="D181" i="17"/>
  <c r="F181" i="17" s="1"/>
  <c r="D201" i="17"/>
  <c r="F201" i="17" s="1"/>
  <c r="D207" i="17"/>
  <c r="F207" i="17" s="1"/>
  <c r="D211" i="17"/>
  <c r="F211" i="17" s="1"/>
  <c r="D216" i="17"/>
  <c r="D260" i="17"/>
  <c r="F260" i="17" s="1"/>
  <c r="D261" i="17"/>
  <c r="F261" i="17" s="1"/>
  <c r="D262" i="17"/>
  <c r="F262" i="17" s="1"/>
  <c r="D275" i="17"/>
  <c r="F275" i="17" s="1"/>
  <c r="D283" i="17"/>
  <c r="F283" i="17" s="1"/>
  <c r="D291" i="17"/>
  <c r="F291" i="17" s="1"/>
  <c r="D296" i="17"/>
  <c r="D298" i="17"/>
  <c r="F298" i="17" s="1"/>
  <c r="D299" i="17"/>
  <c r="F299" i="17" s="1"/>
  <c r="D309" i="17"/>
  <c r="F309" i="17" s="1"/>
  <c r="AO179" i="19"/>
  <c r="D33" i="17"/>
  <c r="F33" i="17" s="1"/>
  <c r="D34" i="17"/>
  <c r="F34" i="17" s="1"/>
  <c r="D37" i="17"/>
  <c r="F37" i="17" s="1"/>
  <c r="D40" i="17"/>
  <c r="F40" i="17" s="1"/>
  <c r="D43" i="17"/>
  <c r="F43" i="17" s="1"/>
  <c r="D52" i="17"/>
  <c r="F52" i="17" s="1"/>
  <c r="D76" i="17"/>
  <c r="F76" i="17" s="1"/>
  <c r="D85" i="17"/>
  <c r="F85" i="17" s="1"/>
  <c r="D91" i="17"/>
  <c r="F91" i="17" s="1"/>
  <c r="D94" i="17"/>
  <c r="F94" i="17" s="1"/>
  <c r="D103" i="17"/>
  <c r="F103" i="17" s="1"/>
  <c r="D107" i="17"/>
  <c r="F107" i="17" s="1"/>
  <c r="D117" i="17"/>
  <c r="F117" i="17" s="1"/>
  <c r="D121" i="17"/>
  <c r="F121" i="17" s="1"/>
  <c r="D125" i="17"/>
  <c r="D126" i="17"/>
  <c r="F126" i="17" s="1"/>
  <c r="D130" i="17"/>
  <c r="D137" i="17"/>
  <c r="F137" i="17" s="1"/>
  <c r="D145" i="17"/>
  <c r="D148" i="17"/>
  <c r="D154" i="17"/>
  <c r="F154" i="17" s="1"/>
  <c r="D160" i="17"/>
  <c r="D165" i="17"/>
  <c r="F165" i="17" s="1"/>
  <c r="D194" i="17"/>
  <c r="F194" i="17" s="1"/>
  <c r="D206" i="17"/>
  <c r="F206" i="17" s="1"/>
  <c r="D215" i="17"/>
  <c r="F215" i="17" s="1"/>
  <c r="D271" i="17"/>
  <c r="D295" i="17"/>
  <c r="D297" i="17"/>
  <c r="F297" i="17" s="1"/>
  <c r="D308" i="17"/>
  <c r="F308" i="17" s="1"/>
  <c r="D324" i="17"/>
  <c r="F324" i="17" s="1"/>
  <c r="D330" i="17"/>
  <c r="F330" i="17" s="1"/>
  <c r="D46" i="17"/>
  <c r="F46" i="17" s="1"/>
  <c r="D49" i="17"/>
  <c r="F49" i="17" s="1"/>
  <c r="D56" i="17"/>
  <c r="F56" i="17" s="1"/>
  <c r="D59" i="17"/>
  <c r="F59" i="17" s="1"/>
  <c r="D62" i="17"/>
  <c r="F62" i="17" s="1"/>
  <c r="D90" i="17"/>
  <c r="F90" i="17" s="1"/>
  <c r="D99" i="17"/>
  <c r="F99" i="17" s="1"/>
  <c r="D106" i="17"/>
  <c r="F106" i="17" s="1"/>
  <c r="D120" i="17"/>
  <c r="F120" i="17" s="1"/>
  <c r="D129" i="17"/>
  <c r="F129" i="17" s="1"/>
  <c r="D133" i="17"/>
  <c r="D159" i="17"/>
  <c r="D164" i="17"/>
  <c r="F164" i="17" s="1"/>
  <c r="D169" i="17"/>
  <c r="D180" i="17"/>
  <c r="F180" i="17" s="1"/>
  <c r="D190" i="17"/>
  <c r="F190" i="17" s="1"/>
  <c r="D200" i="17"/>
  <c r="D205" i="17"/>
  <c r="F205" i="17" s="1"/>
  <c r="D210" i="17"/>
  <c r="D230" i="17"/>
  <c r="F230" i="17" s="1"/>
  <c r="D234" i="17"/>
  <c r="F234" i="17" s="1"/>
  <c r="D235" i="17"/>
  <c r="F235" i="17" s="1"/>
  <c r="D244" i="17"/>
  <c r="F244" i="17" s="1"/>
  <c r="D245" i="17"/>
  <c r="F245" i="17" s="1"/>
  <c r="D250" i="17"/>
  <c r="F250" i="17" s="1"/>
  <c r="D251" i="17"/>
  <c r="F251" i="17" s="1"/>
  <c r="D259" i="17"/>
  <c r="F259" i="17" s="1"/>
  <c r="D268" i="17"/>
  <c r="F268" i="17" s="1"/>
  <c r="D269" i="17"/>
  <c r="D270" i="17"/>
  <c r="D274" i="17"/>
  <c r="F274" i="17" s="1"/>
  <c r="D282" i="17"/>
  <c r="F282" i="17" s="1"/>
  <c r="D290" i="17"/>
  <c r="F290" i="17" s="1"/>
  <c r="D304" i="17"/>
  <c r="F304" i="17" s="1"/>
  <c r="D315" i="17"/>
  <c r="F315" i="17" s="1"/>
  <c r="D322" i="17"/>
  <c r="F322" i="17" s="1"/>
  <c r="D323" i="17"/>
  <c r="S2" i="19"/>
  <c r="BO2" i="19" s="1"/>
  <c r="BK2" i="19"/>
  <c r="AP295" i="19"/>
  <c r="AQ295" i="19" s="1"/>
  <c r="CM295" i="19" s="1"/>
  <c r="D36" i="17"/>
  <c r="F36" i="17" s="1"/>
  <c r="D42" i="17"/>
  <c r="F42" i="17" s="1"/>
  <c r="D69" i="17"/>
  <c r="F69" i="17" s="1"/>
  <c r="D72" i="17"/>
  <c r="F72" i="17" s="1"/>
  <c r="D81" i="17"/>
  <c r="F81" i="17" s="1"/>
  <c r="D87" i="17"/>
  <c r="F87" i="17" s="1"/>
  <c r="D109" i="17"/>
  <c r="F109" i="17" s="1"/>
  <c r="D112" i="17"/>
  <c r="F112" i="17" s="1"/>
  <c r="D116" i="17"/>
  <c r="F116" i="17" s="1"/>
  <c r="D144" i="17"/>
  <c r="F144" i="17" s="1"/>
  <c r="D150" i="17"/>
  <c r="F150" i="17" s="1"/>
  <c r="D153" i="17"/>
  <c r="D157" i="17"/>
  <c r="D158" i="17"/>
  <c r="D168" i="17"/>
  <c r="F168" i="17" s="1"/>
  <c r="D176" i="17"/>
  <c r="F176" i="17" s="1"/>
  <c r="D183" i="17"/>
  <c r="F183" i="17" s="1"/>
  <c r="D204" i="17"/>
  <c r="D214" i="17"/>
  <c r="F214" i="17" s="1"/>
  <c r="D228" i="17"/>
  <c r="D229" i="17"/>
  <c r="F229" i="17" s="1"/>
  <c r="D240" i="17"/>
  <c r="D241" i="17"/>
  <c r="D256" i="17"/>
  <c r="F256" i="17" s="1"/>
  <c r="D264" i="17"/>
  <c r="F264" i="17" s="1"/>
  <c r="D265" i="17"/>
  <c r="F265" i="17" s="1"/>
  <c r="D266" i="17"/>
  <c r="F266" i="17" s="1"/>
  <c r="D267" i="17"/>
  <c r="F267" i="17" s="1"/>
  <c r="D289" i="17"/>
  <c r="D301" i="17"/>
  <c r="F301" i="17" s="1"/>
  <c r="D328" i="17"/>
  <c r="F328" i="17" s="1"/>
  <c r="D329" i="17"/>
  <c r="F329" i="17" s="1"/>
  <c r="D39" i="17"/>
  <c r="F39" i="17" s="1"/>
  <c r="D51" i="17"/>
  <c r="F51" i="17" s="1"/>
  <c r="D58" i="17"/>
  <c r="F58" i="17" s="1"/>
  <c r="D65" i="17"/>
  <c r="F65" i="17" s="1"/>
  <c r="D75" i="17"/>
  <c r="F75" i="17" s="1"/>
  <c r="D78" i="17"/>
  <c r="F78" i="17" s="1"/>
  <c r="D84" i="17"/>
  <c r="F84" i="17" s="1"/>
  <c r="D93" i="17"/>
  <c r="F93" i="17" s="1"/>
  <c r="D98" i="17"/>
  <c r="F98" i="17" s="1"/>
  <c r="D101" i="17"/>
  <c r="F101" i="17" s="1"/>
  <c r="D102" i="17"/>
  <c r="F102" i="17" s="1"/>
  <c r="D135" i="17"/>
  <c r="D136" i="17"/>
  <c r="F136" i="17" s="1"/>
  <c r="D147" i="17"/>
  <c r="F147" i="17" s="1"/>
  <c r="D163" i="17"/>
  <c r="F163" i="17" s="1"/>
  <c r="D171" i="17"/>
  <c r="F171" i="17" s="1"/>
  <c r="D189" i="17"/>
  <c r="D192" i="17"/>
  <c r="F192" i="17" s="1"/>
  <c r="D193" i="17"/>
  <c r="D199" i="17"/>
  <c r="D226" i="17"/>
  <c r="F226" i="17" s="1"/>
  <c r="D227" i="17"/>
  <c r="F227" i="17" s="1"/>
  <c r="D238" i="17"/>
  <c r="D239" i="17"/>
  <c r="D248" i="17"/>
  <c r="F248" i="17" s="1"/>
  <c r="D249" i="17"/>
  <c r="F249" i="17" s="1"/>
  <c r="D254" i="17"/>
  <c r="F254" i="17" s="1"/>
  <c r="D255" i="17"/>
  <c r="F255" i="17" s="1"/>
  <c r="D257" i="17"/>
  <c r="F257" i="17" s="1"/>
  <c r="D258" i="17"/>
  <c r="F258" i="17" s="1"/>
  <c r="D278" i="17"/>
  <c r="F278" i="17" s="1"/>
  <c r="D279" i="17"/>
  <c r="F279" i="17" s="1"/>
  <c r="D280" i="17"/>
  <c r="F280" i="17" s="1"/>
  <c r="D281" i="17"/>
  <c r="F281" i="17" s="1"/>
  <c r="D288" i="17"/>
  <c r="F288" i="17" s="1"/>
  <c r="D294" i="17"/>
  <c r="D302" i="17"/>
  <c r="F302" i="17" s="1"/>
  <c r="D303" i="17"/>
  <c r="F303" i="17" s="1"/>
  <c r="D307" i="17"/>
  <c r="F307" i="17" s="1"/>
  <c r="D314" i="17"/>
  <c r="D321" i="17"/>
  <c r="F321" i="17" s="1"/>
  <c r="D327" i="17"/>
  <c r="F327" i="17" s="1"/>
  <c r="D44" i="17"/>
  <c r="F44" i="17" s="1"/>
  <c r="D45" i="17"/>
  <c r="F45" i="17" s="1"/>
  <c r="D48" i="17"/>
  <c r="F48" i="17" s="1"/>
  <c r="D55" i="17"/>
  <c r="F55" i="17" s="1"/>
  <c r="D68" i="17"/>
  <c r="F68" i="17" s="1"/>
  <c r="D89" i="17"/>
  <c r="F89" i="17" s="1"/>
  <c r="D96" i="17"/>
  <c r="F96" i="17" s="1"/>
  <c r="D97" i="17"/>
  <c r="F97" i="17" s="1"/>
  <c r="D105" i="17"/>
  <c r="F105" i="17" s="1"/>
  <c r="D111" i="17"/>
  <c r="F111" i="17" s="1"/>
  <c r="D114" i="17"/>
  <c r="F114" i="17" s="1"/>
  <c r="D115" i="17"/>
  <c r="F115" i="17" s="1"/>
  <c r="D119" i="17"/>
  <c r="F119" i="17" s="1"/>
  <c r="D128" i="17"/>
  <c r="F128" i="17" s="1"/>
  <c r="D132" i="17"/>
  <c r="F132" i="17" s="1"/>
  <c r="D143" i="17"/>
  <c r="D167" i="17"/>
  <c r="F167" i="17" s="1"/>
  <c r="D175" i="17"/>
  <c r="F175" i="17" s="1"/>
  <c r="D179" i="17"/>
  <c r="D182" i="17"/>
  <c r="D186" i="17"/>
  <c r="F186" i="17" s="1"/>
  <c r="D188" i="17"/>
  <c r="F188" i="17" s="1"/>
  <c r="D197" i="17"/>
  <c r="F197" i="17" s="1"/>
  <c r="D198" i="17"/>
  <c r="D208" i="17"/>
  <c r="F208" i="17" s="1"/>
  <c r="D209" i="17"/>
  <c r="F209" i="17" s="1"/>
  <c r="D213" i="17"/>
  <c r="F213" i="17" s="1"/>
  <c r="D236" i="17"/>
  <c r="F236" i="17" s="1"/>
  <c r="D237" i="17"/>
  <c r="F237" i="17" s="1"/>
  <c r="D263" i="17"/>
  <c r="F263" i="17" s="1"/>
  <c r="D272" i="17"/>
  <c r="F272" i="17" s="1"/>
  <c r="D273" i="17"/>
  <c r="F273" i="17" s="1"/>
  <c r="D276" i="17"/>
  <c r="F276" i="17" s="1"/>
  <c r="D277" i="17"/>
  <c r="F277" i="17" s="1"/>
  <c r="D287" i="17"/>
  <c r="F287" i="17" s="1"/>
  <c r="D293" i="17"/>
  <c r="D306" i="17"/>
  <c r="F306" i="17" s="1"/>
  <c r="D313" i="17"/>
  <c r="D318" i="17"/>
  <c r="F318" i="17" s="1"/>
  <c r="D319" i="17"/>
  <c r="D320" i="17"/>
  <c r="F320" i="17" s="1"/>
  <c r="D35" i="17"/>
  <c r="F35" i="17" s="1"/>
  <c r="D38" i="17"/>
  <c r="F38" i="17" s="1"/>
  <c r="D41" i="17"/>
  <c r="F41" i="17" s="1"/>
  <c r="D54" i="17"/>
  <c r="F54" i="17" s="1"/>
  <c r="D61" i="17"/>
  <c r="F61" i="17" s="1"/>
  <c r="D63" i="17"/>
  <c r="F63" i="17" s="1"/>
  <c r="D64" i="17"/>
  <c r="F64" i="17" s="1"/>
  <c r="D71" i="17"/>
  <c r="F71" i="17" s="1"/>
  <c r="D77" i="17"/>
  <c r="F77" i="17" s="1"/>
  <c r="D79" i="17"/>
  <c r="F79" i="17" s="1"/>
  <c r="D80" i="17"/>
  <c r="F80" i="17" s="1"/>
  <c r="D86" i="17"/>
  <c r="F86" i="17" s="1"/>
  <c r="D95" i="17"/>
  <c r="F95" i="17" s="1"/>
  <c r="D108" i="17"/>
  <c r="F108" i="17" s="1"/>
  <c r="D118" i="17"/>
  <c r="F118" i="17" s="1"/>
  <c r="D123" i="17"/>
  <c r="F123" i="17" s="1"/>
  <c r="D149" i="17"/>
  <c r="F149" i="17" s="1"/>
  <c r="D152" i="17"/>
  <c r="F152" i="17" s="1"/>
  <c r="D156" i="17"/>
  <c r="D187" i="17"/>
  <c r="D196" i="17"/>
  <c r="D202" i="17"/>
  <c r="D203" i="17"/>
  <c r="F203" i="17" s="1"/>
  <c r="D218" i="17"/>
  <c r="F218" i="17" s="1"/>
  <c r="D219" i="17"/>
  <c r="F219" i="17" s="1"/>
  <c r="D220" i="17"/>
  <c r="D246" i="17"/>
  <c r="F246" i="17" s="1"/>
  <c r="D247" i="17"/>
  <c r="F247" i="17" s="1"/>
  <c r="D285" i="17"/>
  <c r="F285" i="17" s="1"/>
  <c r="D286" i="17"/>
  <c r="D300" i="17"/>
  <c r="F300" i="17" s="1"/>
  <c r="D311" i="17"/>
  <c r="F311" i="17" s="1"/>
  <c r="D326" i="17"/>
  <c r="F326" i="17" s="1"/>
  <c r="D47" i="17"/>
  <c r="F47" i="17" s="1"/>
  <c r="D50" i="17"/>
  <c r="F50" i="17" s="1"/>
  <c r="D57" i="17"/>
  <c r="F57" i="17" s="1"/>
  <c r="D66" i="17"/>
  <c r="F66" i="17" s="1"/>
  <c r="D67" i="17"/>
  <c r="F67" i="17" s="1"/>
  <c r="D74" i="17"/>
  <c r="F74" i="17" s="1"/>
  <c r="D83" i="17"/>
  <c r="F83" i="17" s="1"/>
  <c r="D92" i="17"/>
  <c r="F92" i="17" s="1"/>
  <c r="D100" i="17"/>
  <c r="F100" i="17" s="1"/>
  <c r="D104" i="17"/>
  <c r="F104" i="17" s="1"/>
  <c r="D122" i="17"/>
  <c r="D127" i="17"/>
  <c r="D131" i="17"/>
  <c r="F131" i="17" s="1"/>
  <c r="D139" i="17"/>
  <c r="F139" i="17" s="1"/>
  <c r="D141" i="17"/>
  <c r="F141" i="17" s="1"/>
  <c r="D142" i="17"/>
  <c r="F142" i="17" s="1"/>
  <c r="D146" i="17"/>
  <c r="F146" i="17" s="1"/>
  <c r="D155" i="17"/>
  <c r="D161" i="17"/>
  <c r="D162" i="17"/>
  <c r="D166" i="17"/>
  <c r="D170" i="17"/>
  <c r="D177" i="17"/>
  <c r="F177" i="17" s="1"/>
  <c r="D178" i="17"/>
  <c r="F178" i="17" s="1"/>
  <c r="D184" i="17"/>
  <c r="D185" i="17"/>
  <c r="F185" i="17" s="1"/>
  <c r="D191" i="17"/>
  <c r="F191" i="17" s="1"/>
  <c r="D195" i="17"/>
  <c r="D212" i="17"/>
  <c r="D217" i="17"/>
  <c r="F217" i="17" s="1"/>
  <c r="D224" i="17"/>
  <c r="F224" i="17" s="1"/>
  <c r="D225" i="17"/>
  <c r="F225" i="17" s="1"/>
  <c r="D232" i="17"/>
  <c r="D233" i="17"/>
  <c r="F233" i="17" s="1"/>
  <c r="D242" i="17"/>
  <c r="F242" i="17" s="1"/>
  <c r="D252" i="17"/>
  <c r="F252" i="17" s="1"/>
  <c r="D253" i="17"/>
  <c r="F253" i="17" s="1"/>
  <c r="D284" i="17"/>
  <c r="F284" i="17" s="1"/>
  <c r="D292" i="17"/>
  <c r="F292" i="17" s="1"/>
  <c r="D305" i="17"/>
  <c r="F305" i="17" s="1"/>
  <c r="D310" i="17"/>
  <c r="F310" i="17" s="1"/>
  <c r="D312" i="17"/>
  <c r="F312" i="17" s="1"/>
  <c r="D316" i="17"/>
  <c r="F316" i="17" s="1"/>
  <c r="D317" i="17"/>
  <c r="F317" i="17" s="1"/>
  <c r="D325" i="17"/>
  <c r="F325" i="17" s="1"/>
  <c r="AP94" i="19"/>
  <c r="AQ94" i="19" s="1"/>
  <c r="CM94" i="19" s="1"/>
  <c r="AO98" i="19"/>
  <c r="D32" i="17"/>
  <c r="F32" i="17" s="1"/>
  <c r="D30" i="17"/>
  <c r="F30" i="17" s="1"/>
  <c r="D31" i="17"/>
  <c r="F31" i="17" s="1"/>
  <c r="D29" i="17"/>
  <c r="F29" i="17" s="1"/>
  <c r="D28" i="17"/>
  <c r="F28" i="17" s="1"/>
  <c r="GM24" i="20"/>
  <c r="U15" i="26"/>
  <c r="D27" i="17"/>
  <c r="F27" i="17" s="1"/>
  <c r="BY35" i="24"/>
  <c r="D26" i="17"/>
  <c r="Y52" i="19"/>
  <c r="B52" i="14" s="1"/>
  <c r="V52" i="19"/>
  <c r="BN52" i="19" s="1"/>
  <c r="V67" i="19"/>
  <c r="BN67" i="19" s="1"/>
  <c r="Y76" i="19"/>
  <c r="B76" i="14" s="1"/>
  <c r="V76" i="19"/>
  <c r="BN76" i="19" s="1"/>
  <c r="Y85" i="19"/>
  <c r="B85" i="14" s="1"/>
  <c r="V85" i="19"/>
  <c r="BN85" i="19" s="1"/>
  <c r="Y89" i="19"/>
  <c r="B89" i="14" s="1"/>
  <c r="V89" i="19"/>
  <c r="BN89" i="19" s="1"/>
  <c r="V111" i="19"/>
  <c r="BN111" i="19" s="1"/>
  <c r="Y122" i="19"/>
  <c r="B122" i="14" s="1"/>
  <c r="V122" i="19"/>
  <c r="BN122" i="19" s="1"/>
  <c r="Y141" i="19"/>
  <c r="B141" i="14" s="1"/>
  <c r="V141" i="19"/>
  <c r="BN141" i="19" s="1"/>
  <c r="Y158" i="19"/>
  <c r="B158" i="14" s="1"/>
  <c r="V158" i="19"/>
  <c r="BN158" i="19" s="1"/>
  <c r="Y167" i="19"/>
  <c r="B167" i="14" s="1"/>
  <c r="V167" i="19"/>
  <c r="BN167" i="19" s="1"/>
  <c r="V172" i="19"/>
  <c r="BN172" i="19" s="1"/>
  <c r="Y194" i="19"/>
  <c r="B194" i="14" s="1"/>
  <c r="V194" i="19"/>
  <c r="BN194" i="19" s="1"/>
  <c r="Y196" i="19"/>
  <c r="B196" i="14" s="1"/>
  <c r="V196" i="19"/>
  <c r="BN196" i="19" s="1"/>
  <c r="Y201" i="19"/>
  <c r="B201" i="14" s="1"/>
  <c r="V201" i="19"/>
  <c r="BN201" i="19" s="1"/>
  <c r="Y214" i="19"/>
  <c r="B214" i="14" s="1"/>
  <c r="V214" i="19"/>
  <c r="BN214" i="19" s="1"/>
  <c r="V216" i="19"/>
  <c r="BN216" i="19" s="1"/>
  <c r="Y222" i="19"/>
  <c r="B222" i="14" s="1"/>
  <c r="V222" i="19"/>
  <c r="BN222" i="19" s="1"/>
  <c r="Y224" i="19"/>
  <c r="B224" i="14" s="1"/>
  <c r="V224" i="19"/>
  <c r="BN224" i="19" s="1"/>
  <c r="Y228" i="19"/>
  <c r="B228" i="14" s="1"/>
  <c r="V228" i="19"/>
  <c r="BN228" i="19" s="1"/>
  <c r="Y241" i="19"/>
  <c r="B241" i="14" s="1"/>
  <c r="V241" i="19"/>
  <c r="BN241" i="19" s="1"/>
  <c r="Y250" i="19"/>
  <c r="B250" i="14" s="1"/>
  <c r="V250" i="19"/>
  <c r="BN250" i="19" s="1"/>
  <c r="Y255" i="19"/>
  <c r="B255" i="14" s="1"/>
  <c r="V255" i="19"/>
  <c r="BN255" i="19" s="1"/>
  <c r="Y262" i="19"/>
  <c r="B262" i="14" s="1"/>
  <c r="V262" i="19"/>
  <c r="BN262" i="19" s="1"/>
  <c r="Y267" i="19"/>
  <c r="B267" i="14" s="1"/>
  <c r="V267" i="19"/>
  <c r="BN267" i="19" s="1"/>
  <c r="Y290" i="19"/>
  <c r="B290" i="14" s="1"/>
  <c r="V290" i="19"/>
  <c r="BN290" i="19" s="1"/>
  <c r="Y303" i="19"/>
  <c r="B303" i="14" s="1"/>
  <c r="V303" i="19"/>
  <c r="BN303" i="19" s="1"/>
  <c r="Y313" i="19"/>
  <c r="B313" i="14" s="1"/>
  <c r="V313" i="19"/>
  <c r="BN313" i="19" s="1"/>
  <c r="Y321" i="19"/>
  <c r="B321" i="14" s="1"/>
  <c r="V321" i="19"/>
  <c r="BN321" i="19" s="1"/>
  <c r="Y335" i="19"/>
  <c r="B335" i="14" s="1"/>
  <c r="V335" i="19"/>
  <c r="BN335" i="19" s="1"/>
  <c r="Y36" i="19"/>
  <c r="B36" i="14" s="1"/>
  <c r="V36" i="19"/>
  <c r="BN36" i="19" s="1"/>
  <c r="Y49" i="19"/>
  <c r="B49" i="14" s="1"/>
  <c r="V49" i="19"/>
  <c r="BN49" i="19" s="1"/>
  <c r="Y71" i="19"/>
  <c r="B71" i="14" s="1"/>
  <c r="V71" i="19"/>
  <c r="BN71" i="19" s="1"/>
  <c r="Y80" i="19"/>
  <c r="B80" i="14" s="1"/>
  <c r="V80" i="19"/>
  <c r="BN80" i="19" s="1"/>
  <c r="Y93" i="19"/>
  <c r="B93" i="14" s="1"/>
  <c r="V93" i="19"/>
  <c r="BN93" i="19" s="1"/>
  <c r="Y117" i="19"/>
  <c r="B117" i="14" s="1"/>
  <c r="V117" i="19"/>
  <c r="BN117" i="19" s="1"/>
  <c r="Y120" i="19"/>
  <c r="B120" i="14" s="1"/>
  <c r="V120" i="19"/>
  <c r="BN120" i="19" s="1"/>
  <c r="Y129" i="19"/>
  <c r="B129" i="14" s="1"/>
  <c r="V129" i="19"/>
  <c r="BN129" i="19" s="1"/>
  <c r="Y132" i="19"/>
  <c r="B132" i="14" s="1"/>
  <c r="V132" i="19"/>
  <c r="BN132" i="19" s="1"/>
  <c r="Y134" i="19"/>
  <c r="B134" i="14" s="1"/>
  <c r="V134" i="19"/>
  <c r="BN134" i="19" s="1"/>
  <c r="Y136" i="19"/>
  <c r="B136" i="14" s="1"/>
  <c r="V136" i="19"/>
  <c r="BN136" i="19" s="1"/>
  <c r="Y148" i="19"/>
  <c r="B148" i="14" s="1"/>
  <c r="V148" i="19"/>
  <c r="BN148" i="19" s="1"/>
  <c r="Y151" i="19"/>
  <c r="B151" i="14" s="1"/>
  <c r="V151" i="19"/>
  <c r="BN151" i="19" s="1"/>
  <c r="Y156" i="19"/>
  <c r="B156" i="14" s="1"/>
  <c r="V156" i="19"/>
  <c r="BN156" i="19" s="1"/>
  <c r="Y162" i="19"/>
  <c r="B162" i="14" s="1"/>
  <c r="V162" i="19"/>
  <c r="BN162" i="19" s="1"/>
  <c r="Y170" i="19"/>
  <c r="B170" i="14" s="1"/>
  <c r="V170" i="19"/>
  <c r="BN170" i="19" s="1"/>
  <c r="Y182" i="19"/>
  <c r="B182" i="14" s="1"/>
  <c r="V182" i="19"/>
  <c r="BN182" i="19" s="1"/>
  <c r="Y192" i="19"/>
  <c r="B192" i="14" s="1"/>
  <c r="V192" i="19"/>
  <c r="BN192" i="19" s="1"/>
  <c r="Y218" i="19"/>
  <c r="B218" i="14" s="1"/>
  <c r="V218" i="19"/>
  <c r="BN218" i="19" s="1"/>
  <c r="Y236" i="19"/>
  <c r="B236" i="14" s="1"/>
  <c r="V236" i="19"/>
  <c r="BN236" i="19" s="1"/>
  <c r="Y287" i="19"/>
  <c r="B287" i="14" s="1"/>
  <c r="V287" i="19"/>
  <c r="BN287" i="19" s="1"/>
  <c r="Y300" i="19"/>
  <c r="B300" i="14" s="1"/>
  <c r="V300" i="19"/>
  <c r="BN300" i="19" s="1"/>
  <c r="Y310" i="19"/>
  <c r="B310" i="14" s="1"/>
  <c r="V310" i="19"/>
  <c r="BN310" i="19" s="1"/>
  <c r="Y315" i="19"/>
  <c r="B315" i="14" s="1"/>
  <c r="V315" i="19"/>
  <c r="BN315" i="19" s="1"/>
  <c r="Y324" i="19"/>
  <c r="B324" i="14" s="1"/>
  <c r="V324" i="19"/>
  <c r="BN324" i="19" s="1"/>
  <c r="Y46" i="19"/>
  <c r="B46" i="14" s="1"/>
  <c r="V46" i="19"/>
  <c r="BN46" i="19" s="1"/>
  <c r="Y51" i="19"/>
  <c r="B51" i="14" s="1"/>
  <c r="V51" i="19"/>
  <c r="BN51" i="19" s="1"/>
  <c r="Y54" i="19"/>
  <c r="B54" i="14" s="1"/>
  <c r="V54" i="19"/>
  <c r="BN54" i="19" s="1"/>
  <c r="Y59" i="19"/>
  <c r="B59" i="14" s="1"/>
  <c r="V59" i="19"/>
  <c r="BN59" i="19" s="1"/>
  <c r="V75" i="19"/>
  <c r="BN75" i="19" s="1"/>
  <c r="Y84" i="19"/>
  <c r="B84" i="14" s="1"/>
  <c r="V84" i="19"/>
  <c r="BN84" i="19" s="1"/>
  <c r="Y88" i="19"/>
  <c r="B88" i="14" s="1"/>
  <c r="V88" i="19"/>
  <c r="BN88" i="19" s="1"/>
  <c r="Y92" i="19"/>
  <c r="B92" i="14" s="1"/>
  <c r="V92" i="19"/>
  <c r="BN92" i="19" s="1"/>
  <c r="Y107" i="19"/>
  <c r="B107" i="14" s="1"/>
  <c r="V107" i="19"/>
  <c r="BN107" i="19" s="1"/>
  <c r="Y116" i="19"/>
  <c r="B116" i="14" s="1"/>
  <c r="V116" i="19"/>
  <c r="BN116" i="19" s="1"/>
  <c r="Y139" i="19"/>
  <c r="B139" i="14" s="1"/>
  <c r="V139" i="19"/>
  <c r="BN139" i="19" s="1"/>
  <c r="Y154" i="19"/>
  <c r="B154" i="14" s="1"/>
  <c r="V154" i="19"/>
  <c r="BN154" i="19" s="1"/>
  <c r="Y165" i="19"/>
  <c r="B165" i="14" s="1"/>
  <c r="V165" i="19"/>
  <c r="BN165" i="19" s="1"/>
  <c r="Y175" i="19"/>
  <c r="B175" i="14" s="1"/>
  <c r="V175" i="19"/>
  <c r="BN175" i="19" s="1"/>
  <c r="Y177" i="19"/>
  <c r="B177" i="14" s="1"/>
  <c r="V177" i="19"/>
  <c r="BN177" i="19" s="1"/>
  <c r="Y190" i="19"/>
  <c r="B190" i="14" s="1"/>
  <c r="V190" i="19"/>
  <c r="BN190" i="19" s="1"/>
  <c r="Y198" i="19"/>
  <c r="B198" i="14" s="1"/>
  <c r="V198" i="19"/>
  <c r="BN198" i="19" s="1"/>
  <c r="Y203" i="19"/>
  <c r="B203" i="14" s="1"/>
  <c r="V203" i="19"/>
  <c r="BN203" i="19" s="1"/>
  <c r="Y205" i="19"/>
  <c r="B205" i="14" s="1"/>
  <c r="V205" i="19"/>
  <c r="BN205" i="19" s="1"/>
  <c r="Y238" i="19"/>
  <c r="B238" i="14" s="1"/>
  <c r="V238" i="19"/>
  <c r="BN238" i="19" s="1"/>
  <c r="Y264" i="19"/>
  <c r="B264" i="14" s="1"/>
  <c r="V264" i="19"/>
  <c r="BN264" i="19" s="1"/>
  <c r="Y274" i="19"/>
  <c r="B274" i="14" s="1"/>
  <c r="V274" i="19"/>
  <c r="BN274" i="19" s="1"/>
  <c r="V279" i="19"/>
  <c r="BN279" i="19" s="1"/>
  <c r="Y292" i="19"/>
  <c r="B292" i="14" s="1"/>
  <c r="V292" i="19"/>
  <c r="BN292" i="19" s="1"/>
  <c r="Y317" i="19"/>
  <c r="B317" i="14" s="1"/>
  <c r="V317" i="19"/>
  <c r="BN317" i="19" s="1"/>
  <c r="Y320" i="19"/>
  <c r="B320" i="14" s="1"/>
  <c r="V320" i="19"/>
  <c r="BN320" i="19" s="1"/>
  <c r="Y26" i="19"/>
  <c r="B26" i="14" s="1"/>
  <c r="V26" i="19"/>
  <c r="V32" i="19"/>
  <c r="BN32" i="19" s="1"/>
  <c r="Y41" i="19"/>
  <c r="B41" i="14" s="1"/>
  <c r="V41" i="19"/>
  <c r="BN41" i="19" s="1"/>
  <c r="Y48" i="19"/>
  <c r="B48" i="14" s="1"/>
  <c r="V48" i="19"/>
  <c r="BN48" i="19" s="1"/>
  <c r="Y66" i="19"/>
  <c r="B66" i="14" s="1"/>
  <c r="V66" i="19"/>
  <c r="BN66" i="19" s="1"/>
  <c r="Y70" i="19"/>
  <c r="B70" i="14" s="1"/>
  <c r="V70" i="19"/>
  <c r="BN70" i="19" s="1"/>
  <c r="Y83" i="19"/>
  <c r="B83" i="14" s="1"/>
  <c r="V83" i="19"/>
  <c r="BN83" i="19" s="1"/>
  <c r="Y96" i="19"/>
  <c r="B96" i="14" s="1"/>
  <c r="V142" i="19"/>
  <c r="BN142" i="19" s="1"/>
  <c r="Y146" i="19"/>
  <c r="B146" i="14" s="1"/>
  <c r="V146" i="19"/>
  <c r="BN146" i="19" s="1"/>
  <c r="Y188" i="19"/>
  <c r="B188" i="14" s="1"/>
  <c r="V188" i="19"/>
  <c r="BN188" i="19" s="1"/>
  <c r="Y200" i="19"/>
  <c r="B200" i="14" s="1"/>
  <c r="V200" i="19"/>
  <c r="BN200" i="19" s="1"/>
  <c r="Y213" i="19"/>
  <c r="B213" i="14" s="1"/>
  <c r="V213" i="19"/>
  <c r="BN213" i="19" s="1"/>
  <c r="Y229" i="19"/>
  <c r="B229" i="14" s="1"/>
  <c r="V229" i="19"/>
  <c r="BN229" i="19" s="1"/>
  <c r="Y233" i="19"/>
  <c r="B233" i="14" s="1"/>
  <c r="V233" i="19"/>
  <c r="BN233" i="19" s="1"/>
  <c r="Y240" i="19"/>
  <c r="B240" i="14" s="1"/>
  <c r="V240" i="19"/>
  <c r="BN240" i="19" s="1"/>
  <c r="Y244" i="19"/>
  <c r="B244" i="14" s="1"/>
  <c r="V244" i="19"/>
  <c r="BN244" i="19" s="1"/>
  <c r="Y254" i="19"/>
  <c r="B254" i="14" s="1"/>
  <c r="V254" i="19"/>
  <c r="BN254" i="19" s="1"/>
  <c r="Y266" i="19"/>
  <c r="B266" i="14" s="1"/>
  <c r="V266" i="19"/>
  <c r="BN266" i="19" s="1"/>
  <c r="Y271" i="19"/>
  <c r="B271" i="14" s="1"/>
  <c r="V271" i="19"/>
  <c r="BN271" i="19" s="1"/>
  <c r="Y281" i="19"/>
  <c r="B281" i="14" s="1"/>
  <c r="V281" i="19"/>
  <c r="BN281" i="19" s="1"/>
  <c r="Y294" i="19"/>
  <c r="B294" i="14" s="1"/>
  <c r="V294" i="19"/>
  <c r="BN294" i="19" s="1"/>
  <c r="Y297" i="19"/>
  <c r="B297" i="14" s="1"/>
  <c r="V297" i="19"/>
  <c r="BN297" i="19" s="1"/>
  <c r="Y302" i="19"/>
  <c r="B302" i="14" s="1"/>
  <c r="V302" i="19"/>
  <c r="BN302" i="19" s="1"/>
  <c r="Y307" i="19"/>
  <c r="B307" i="14" s="1"/>
  <c r="V307" i="19"/>
  <c r="BN307" i="19" s="1"/>
  <c r="Y312" i="19"/>
  <c r="B312" i="14" s="1"/>
  <c r="V312" i="19"/>
  <c r="BN312" i="19" s="1"/>
  <c r="Y331" i="19"/>
  <c r="B331" i="14" s="1"/>
  <c r="V331" i="19"/>
  <c r="BN331" i="19" s="1"/>
  <c r="Y28" i="19"/>
  <c r="B28" i="14" s="1"/>
  <c r="V28" i="19"/>
  <c r="BN28" i="19" s="1"/>
  <c r="Y43" i="19"/>
  <c r="B43" i="14" s="1"/>
  <c r="V43" i="19"/>
  <c r="BN43" i="19" s="1"/>
  <c r="Y63" i="19"/>
  <c r="B63" i="14" s="1"/>
  <c r="V63" i="19"/>
  <c r="BN63" i="19" s="1"/>
  <c r="Y74" i="19"/>
  <c r="B74" i="14" s="1"/>
  <c r="V74" i="19"/>
  <c r="BN74" i="19" s="1"/>
  <c r="Y87" i="19"/>
  <c r="B87" i="14" s="1"/>
  <c r="V87" i="19"/>
  <c r="BN87" i="19" s="1"/>
  <c r="Y91" i="19"/>
  <c r="B91" i="14" s="1"/>
  <c r="V91" i="19"/>
  <c r="BN91" i="19" s="1"/>
  <c r="Y104" i="19"/>
  <c r="B104" i="14" s="1"/>
  <c r="V104" i="19"/>
  <c r="BN104" i="19" s="1"/>
  <c r="Y113" i="19"/>
  <c r="B113" i="14" s="1"/>
  <c r="V113" i="19"/>
  <c r="BN113" i="19" s="1"/>
  <c r="Y149" i="19"/>
  <c r="B149" i="14" s="1"/>
  <c r="V149" i="19"/>
  <c r="BN149" i="19" s="1"/>
  <c r="Y152" i="19"/>
  <c r="B152" i="14" s="1"/>
  <c r="Y171" i="19"/>
  <c r="B171" i="14" s="1"/>
  <c r="V171" i="19"/>
  <c r="BN171" i="19" s="1"/>
  <c r="Y173" i="19"/>
  <c r="B173" i="14" s="1"/>
  <c r="V173" i="19"/>
  <c r="BN173" i="19" s="1"/>
  <c r="Y223" i="19"/>
  <c r="B223" i="14" s="1"/>
  <c r="V223" i="19"/>
  <c r="BN223" i="19" s="1"/>
  <c r="Y225" i="19"/>
  <c r="B225" i="14" s="1"/>
  <c r="V225" i="19"/>
  <c r="BN225" i="19" s="1"/>
  <c r="Y227" i="19"/>
  <c r="B227" i="14" s="1"/>
  <c r="V227" i="19"/>
  <c r="BN227" i="19" s="1"/>
  <c r="V235" i="19"/>
  <c r="BN235" i="19" s="1"/>
  <c r="Y261" i="19"/>
  <c r="B261" i="14" s="1"/>
  <c r="V261" i="19"/>
  <c r="BN261" i="19" s="1"/>
  <c r="Y286" i="19"/>
  <c r="B286" i="14" s="1"/>
  <c r="V286" i="19"/>
  <c r="BN286" i="19" s="1"/>
  <c r="Y299" i="19"/>
  <c r="B299" i="14" s="1"/>
  <c r="V299" i="19"/>
  <c r="BN299" i="19" s="1"/>
  <c r="Y309" i="19"/>
  <c r="B309" i="14" s="1"/>
  <c r="V309" i="19"/>
  <c r="BN309" i="19" s="1"/>
  <c r="Y319" i="19"/>
  <c r="B319" i="14" s="1"/>
  <c r="V319" i="19"/>
  <c r="BN319" i="19" s="1"/>
  <c r="Y323" i="19"/>
  <c r="B323" i="14" s="1"/>
  <c r="V323" i="19"/>
  <c r="BN323" i="19" s="1"/>
  <c r="Y330" i="19"/>
  <c r="B330" i="14" s="1"/>
  <c r="V330" i="19"/>
  <c r="BN330" i="19" s="1"/>
  <c r="Y34" i="19"/>
  <c r="B34" i="14" s="1"/>
  <c r="V34" i="19"/>
  <c r="BN34" i="19" s="1"/>
  <c r="Y39" i="19"/>
  <c r="B39" i="14" s="1"/>
  <c r="V39" i="19"/>
  <c r="BN39" i="19" s="1"/>
  <c r="V58" i="19"/>
  <c r="BN58" i="19" s="1"/>
  <c r="Y65" i="19"/>
  <c r="B65" i="14" s="1"/>
  <c r="V65" i="19"/>
  <c r="BN65" i="19" s="1"/>
  <c r="Y69" i="19"/>
  <c r="B69" i="14" s="1"/>
  <c r="V69" i="19"/>
  <c r="BN69" i="19" s="1"/>
  <c r="Y78" i="19"/>
  <c r="B78" i="14" s="1"/>
  <c r="V78" i="19"/>
  <c r="BN78" i="19" s="1"/>
  <c r="Y82" i="19"/>
  <c r="B82" i="14" s="1"/>
  <c r="V82" i="19"/>
  <c r="BN82" i="19" s="1"/>
  <c r="Y101" i="19"/>
  <c r="B101" i="14" s="1"/>
  <c r="V101" i="19"/>
  <c r="BN101" i="19" s="1"/>
  <c r="Y109" i="19"/>
  <c r="B109" i="14" s="1"/>
  <c r="V109" i="19"/>
  <c r="BN109" i="19" s="1"/>
  <c r="Y119" i="19"/>
  <c r="B119" i="14" s="1"/>
  <c r="V123" i="19"/>
  <c r="BN123" i="19" s="1"/>
  <c r="Y125" i="19"/>
  <c r="B125" i="14" s="1"/>
  <c r="V125" i="19"/>
  <c r="BN125" i="19" s="1"/>
  <c r="Y128" i="19"/>
  <c r="B128" i="14" s="1"/>
  <c r="V128" i="19"/>
  <c r="BN128" i="19" s="1"/>
  <c r="Y133" i="19"/>
  <c r="B133" i="14" s="1"/>
  <c r="V133" i="19"/>
  <c r="BN133" i="19" s="1"/>
  <c r="Y137" i="19"/>
  <c r="B137" i="14" s="1"/>
  <c r="V137" i="19"/>
  <c r="BN137" i="19" s="1"/>
  <c r="Y140" i="19"/>
  <c r="B140" i="14" s="1"/>
  <c r="V140" i="19"/>
  <c r="BN140" i="19" s="1"/>
  <c r="Y163" i="19"/>
  <c r="B163" i="14" s="1"/>
  <c r="V163" i="19"/>
  <c r="BN163" i="19" s="1"/>
  <c r="Y166" i="19"/>
  <c r="B166" i="14" s="1"/>
  <c r="V166" i="19"/>
  <c r="BN166" i="19" s="1"/>
  <c r="Y178" i="19"/>
  <c r="B178" i="14" s="1"/>
  <c r="V178" i="19"/>
  <c r="BN178" i="19" s="1"/>
  <c r="Y193" i="19"/>
  <c r="B193" i="14" s="1"/>
  <c r="V193" i="19"/>
  <c r="BN193" i="19" s="1"/>
  <c r="Y197" i="19"/>
  <c r="B197" i="14" s="1"/>
  <c r="V197" i="19"/>
  <c r="BN197" i="19" s="1"/>
  <c r="Y217" i="19"/>
  <c r="B217" i="14" s="1"/>
  <c r="V217" i="19"/>
  <c r="BN217" i="19" s="1"/>
  <c r="Y219" i="19"/>
  <c r="B219" i="14" s="1"/>
  <c r="V219" i="19"/>
  <c r="BN219" i="19" s="1"/>
  <c r="Y237" i="19"/>
  <c r="B237" i="14" s="1"/>
  <c r="V237" i="19"/>
  <c r="BN237" i="19" s="1"/>
  <c r="Y242" i="19"/>
  <c r="B242" i="14" s="1"/>
  <c r="V242" i="19"/>
  <c r="BN242" i="19" s="1"/>
  <c r="B246" i="14"/>
  <c r="V246" i="19"/>
  <c r="BN246" i="19" s="1"/>
  <c r="Y251" i="19"/>
  <c r="B251" i="14" s="1"/>
  <c r="V251" i="19"/>
  <c r="BN251" i="19" s="1"/>
  <c r="Y256" i="19"/>
  <c r="B256" i="14" s="1"/>
  <c r="V256" i="19"/>
  <c r="BN256" i="19" s="1"/>
  <c r="Y263" i="19"/>
  <c r="B263" i="14" s="1"/>
  <c r="V263" i="19"/>
  <c r="BN263" i="19" s="1"/>
  <c r="Y268" i="19"/>
  <c r="B268" i="14" s="1"/>
  <c r="V268" i="19"/>
  <c r="BN268" i="19" s="1"/>
  <c r="Y273" i="19"/>
  <c r="B273" i="14" s="1"/>
  <c r="V273" i="19"/>
  <c r="BN273" i="19" s="1"/>
  <c r="Y283" i="19"/>
  <c r="B283" i="14" s="1"/>
  <c r="V283" i="19"/>
  <c r="BN283" i="19" s="1"/>
  <c r="Y291" i="19"/>
  <c r="B291" i="14" s="1"/>
  <c r="V291" i="19"/>
  <c r="BN291" i="19" s="1"/>
  <c r="Y316" i="19"/>
  <c r="B316" i="14" s="1"/>
  <c r="V316" i="19"/>
  <c r="BN316" i="19" s="1"/>
  <c r="Y326" i="19"/>
  <c r="B326" i="14" s="1"/>
  <c r="V326" i="19"/>
  <c r="BN326" i="19" s="1"/>
  <c r="Y327" i="19"/>
  <c r="B327" i="14" s="1"/>
  <c r="V327" i="19"/>
  <c r="BN327" i="19" s="1"/>
  <c r="V328" i="19"/>
  <c r="BN328" i="19" s="1"/>
  <c r="V329" i="19"/>
  <c r="BN329" i="19" s="1"/>
  <c r="V31" i="19"/>
  <c r="BN31" i="19" s="1"/>
  <c r="Y45" i="19"/>
  <c r="B45" i="14" s="1"/>
  <c r="V45" i="19"/>
  <c r="BN45" i="19" s="1"/>
  <c r="Y47" i="19"/>
  <c r="B47" i="14" s="1"/>
  <c r="V47" i="19"/>
  <c r="BN47" i="19" s="1"/>
  <c r="Y50" i="19"/>
  <c r="B50" i="14" s="1"/>
  <c r="V50" i="19"/>
  <c r="BN50" i="19" s="1"/>
  <c r="Y68" i="19"/>
  <c r="B68" i="14" s="1"/>
  <c r="V68" i="19"/>
  <c r="BN68" i="19" s="1"/>
  <c r="Y73" i="19"/>
  <c r="B73" i="14" s="1"/>
  <c r="V73" i="19"/>
  <c r="BN73" i="19" s="1"/>
  <c r="Y86" i="19"/>
  <c r="B86" i="14" s="1"/>
  <c r="V86" i="19"/>
  <c r="BN86" i="19" s="1"/>
  <c r="Y95" i="19"/>
  <c r="B95" i="14" s="1"/>
  <c r="V95" i="19"/>
  <c r="BN95" i="19" s="1"/>
  <c r="Y103" i="19"/>
  <c r="B103" i="14" s="1"/>
  <c r="V103" i="19"/>
  <c r="BN103" i="19" s="1"/>
  <c r="Y106" i="19"/>
  <c r="B106" i="14" s="1"/>
  <c r="V106" i="19"/>
  <c r="BN106" i="19" s="1"/>
  <c r="Y115" i="19"/>
  <c r="B115" i="14" s="1"/>
  <c r="V115" i="19"/>
  <c r="BN115" i="19" s="1"/>
  <c r="Y135" i="19"/>
  <c r="B135" i="14" s="1"/>
  <c r="V135" i="19"/>
  <c r="BN135" i="19" s="1"/>
  <c r="Y147" i="19"/>
  <c r="B147" i="14" s="1"/>
  <c r="V147" i="19"/>
  <c r="BN147" i="19" s="1"/>
  <c r="Y155" i="19"/>
  <c r="B155" i="14" s="1"/>
  <c r="V155" i="19"/>
  <c r="BN155" i="19" s="1"/>
  <c r="Y174" i="19"/>
  <c r="B174" i="14" s="1"/>
  <c r="V174" i="19"/>
  <c r="BN174" i="19" s="1"/>
  <c r="V176" i="19"/>
  <c r="BN176" i="19" s="1"/>
  <c r="Y204" i="19"/>
  <c r="B204" i="14" s="1"/>
  <c r="V204" i="19"/>
  <c r="BN204" i="19" s="1"/>
  <c r="Y208" i="19"/>
  <c r="B208" i="14" s="1"/>
  <c r="V208" i="19"/>
  <c r="BN208" i="19" s="1"/>
  <c r="Y253" i="19"/>
  <c r="B253" i="14" s="1"/>
  <c r="V253" i="19"/>
  <c r="BN253" i="19" s="1"/>
  <c r="Y258" i="19"/>
  <c r="B258" i="14" s="1"/>
  <c r="V258" i="19"/>
  <c r="BN258" i="19" s="1"/>
  <c r="Y322" i="19"/>
  <c r="B322" i="14" s="1"/>
  <c r="V322" i="19"/>
  <c r="BN322" i="19" s="1"/>
  <c r="Y325" i="19"/>
  <c r="B325" i="14" s="1"/>
  <c r="V325" i="19"/>
  <c r="BN325" i="19" s="1"/>
  <c r="Y42" i="19"/>
  <c r="B42" i="14" s="1"/>
  <c r="V42" i="19"/>
  <c r="BN42" i="19" s="1"/>
  <c r="Y55" i="19"/>
  <c r="B55" i="14" s="1"/>
  <c r="V55" i="19"/>
  <c r="BN55" i="19" s="1"/>
  <c r="Y72" i="19"/>
  <c r="B72" i="14" s="1"/>
  <c r="V72" i="19"/>
  <c r="BN72" i="19" s="1"/>
  <c r="Y97" i="19"/>
  <c r="B97" i="14" s="1"/>
  <c r="V97" i="19"/>
  <c r="BN97" i="19" s="1"/>
  <c r="Y118" i="19"/>
  <c r="B118" i="14" s="1"/>
  <c r="V118" i="19"/>
  <c r="BN118" i="19" s="1"/>
  <c r="V126" i="19"/>
  <c r="BN126" i="19" s="1"/>
  <c r="Y131" i="19"/>
  <c r="B131" i="14" s="1"/>
  <c r="V131" i="19"/>
  <c r="BN131" i="19" s="1"/>
  <c r="Y143" i="19"/>
  <c r="B143" i="14" s="1"/>
  <c r="V143" i="19"/>
  <c r="BN143" i="19" s="1"/>
  <c r="Y145" i="19"/>
  <c r="B145" i="14" s="1"/>
  <c r="V145" i="19"/>
  <c r="BN145" i="19" s="1"/>
  <c r="Y164" i="19"/>
  <c r="B164" i="14" s="1"/>
  <c r="V164" i="19"/>
  <c r="BN164" i="19" s="1"/>
  <c r="Y187" i="19"/>
  <c r="B187" i="14" s="1"/>
  <c r="V187" i="19"/>
  <c r="BN187" i="19" s="1"/>
  <c r="Y199" i="19"/>
  <c r="B199" i="14" s="1"/>
  <c r="V199" i="19"/>
  <c r="BN199" i="19" s="1"/>
  <c r="Y206" i="19"/>
  <c r="B206" i="14" s="1"/>
  <c r="V206" i="19"/>
  <c r="BN206" i="19" s="1"/>
  <c r="Y212" i="19"/>
  <c r="V212" i="19"/>
  <c r="BN212" i="19" s="1"/>
  <c r="Y230" i="19"/>
  <c r="B230" i="14" s="1"/>
  <c r="V230" i="19"/>
  <c r="BN230" i="19" s="1"/>
  <c r="Y232" i="19"/>
  <c r="B232" i="14" s="1"/>
  <c r="V232" i="19"/>
  <c r="BN232" i="19" s="1"/>
  <c r="Y239" i="19"/>
  <c r="B239" i="14" s="1"/>
  <c r="V239" i="19"/>
  <c r="BN239" i="19" s="1"/>
  <c r="Y260" i="19"/>
  <c r="B260" i="14" s="1"/>
  <c r="V260" i="19"/>
  <c r="BN260" i="19" s="1"/>
  <c r="Y265" i="19"/>
  <c r="B265" i="14" s="1"/>
  <c r="V265" i="19"/>
  <c r="BN265" i="19" s="1"/>
  <c r="Y275" i="19"/>
  <c r="B275" i="14" s="1"/>
  <c r="V275" i="19"/>
  <c r="BN275" i="19" s="1"/>
  <c r="Y280" i="19"/>
  <c r="B280" i="14" s="1"/>
  <c r="V280" i="19"/>
  <c r="BN280" i="19" s="1"/>
  <c r="Y293" i="19"/>
  <c r="B293" i="14" s="1"/>
  <c r="V293" i="19"/>
  <c r="BN293" i="19" s="1"/>
  <c r="Y306" i="19"/>
  <c r="B306" i="14" s="1"/>
  <c r="V306" i="19"/>
  <c r="BN306" i="19" s="1"/>
  <c r="D24" i="17"/>
  <c r="D25" i="17"/>
  <c r="E26" i="17"/>
  <c r="Y25" i="19"/>
  <c r="B25" i="14" s="1"/>
  <c r="V25" i="19"/>
  <c r="E25" i="17"/>
  <c r="D22" i="17"/>
  <c r="D23" i="17"/>
  <c r="E24" i="17"/>
  <c r="E23" i="17"/>
  <c r="Y22" i="19"/>
  <c r="B22" i="14" s="1"/>
  <c r="V22" i="19"/>
  <c r="BN22" i="19" s="1"/>
  <c r="D21" i="17"/>
  <c r="E22" i="17"/>
  <c r="Y21" i="19"/>
  <c r="B21" i="14" s="1"/>
  <c r="V21" i="19"/>
  <c r="BN21" i="19" s="1"/>
  <c r="D20" i="17"/>
  <c r="E21" i="17"/>
  <c r="D18" i="17"/>
  <c r="D19" i="17"/>
  <c r="E20" i="17"/>
  <c r="Y19" i="19"/>
  <c r="B19" i="14" s="1"/>
  <c r="V19" i="19"/>
  <c r="BN19" i="19" s="1"/>
  <c r="E19" i="17"/>
  <c r="D17" i="17"/>
  <c r="E18" i="17"/>
  <c r="Y16" i="19"/>
  <c r="B16" i="14" s="1"/>
  <c r="V16" i="19"/>
  <c r="BN16" i="19" s="1"/>
  <c r="D15" i="17"/>
  <c r="D16" i="17"/>
  <c r="E17" i="17"/>
  <c r="D50" i="20"/>
  <c r="J50" i="20"/>
  <c r="H50" i="20"/>
  <c r="N14" i="26" s="1"/>
  <c r="K50" i="20"/>
  <c r="G50" i="20"/>
  <c r="E50" i="20"/>
  <c r="C50" i="20"/>
  <c r="L50" i="20"/>
  <c r="F50" i="20"/>
  <c r="I50" i="20"/>
  <c r="O14" i="26" s="1"/>
  <c r="X6" i="26"/>
  <c r="E16" i="17"/>
  <c r="D14" i="17"/>
  <c r="E15" i="17"/>
  <c r="Y14" i="19"/>
  <c r="B14" i="14" s="1"/>
  <c r="V14" i="19"/>
  <c r="BN14" i="19" s="1"/>
  <c r="D13" i="17"/>
  <c r="E14" i="17"/>
  <c r="D11" i="17"/>
  <c r="D12" i="17"/>
  <c r="E13" i="17"/>
  <c r="E12" i="17"/>
  <c r="D10" i="17"/>
  <c r="E11" i="17"/>
  <c r="Y12" i="19"/>
  <c r="B12" i="14" s="1"/>
  <c r="V12" i="19"/>
  <c r="BN12" i="19" s="1"/>
  <c r="D9" i="17"/>
  <c r="E10" i="17"/>
  <c r="Y9" i="19"/>
  <c r="B9" i="14" s="1"/>
  <c r="V9" i="19"/>
  <c r="BN9" i="19" s="1"/>
  <c r="D8" i="17"/>
  <c r="E9" i="17"/>
  <c r="K9" i="17"/>
  <c r="D7" i="17"/>
  <c r="E8" i="17"/>
  <c r="Y7" i="19"/>
  <c r="B7" i="14" s="1"/>
  <c r="V7" i="19"/>
  <c r="BN7" i="19" s="1"/>
  <c r="D6" i="17"/>
  <c r="E7" i="17"/>
  <c r="K7" i="17"/>
  <c r="D5" i="17"/>
  <c r="E6" i="17"/>
  <c r="K6" i="17"/>
  <c r="Y5" i="19"/>
  <c r="B5" i="14" s="1"/>
  <c r="V5" i="19"/>
  <c r="BN5" i="19" s="1"/>
  <c r="Y4" i="19"/>
  <c r="B4" i="14" s="1"/>
  <c r="V4" i="19"/>
  <c r="E5" i="17"/>
  <c r="K5" i="17"/>
  <c r="D4" i="17"/>
  <c r="F4" i="17" s="1"/>
  <c r="D2" i="17"/>
  <c r="D3" i="17"/>
  <c r="E3" i="17"/>
  <c r="K3" i="17"/>
  <c r="K2" i="17"/>
  <c r="E2" i="17"/>
  <c r="AO2" i="19"/>
  <c r="AQ2" i="19"/>
  <c r="CM2" i="19" s="1"/>
  <c r="Y3" i="19"/>
  <c r="B3" i="14" s="1"/>
  <c r="V3" i="19"/>
  <c r="BN3" i="19" s="1"/>
  <c r="AP149" i="19"/>
  <c r="AQ149" i="19" s="1"/>
  <c r="CM149" i="19" s="1"/>
  <c r="AO186" i="19"/>
  <c r="AO211" i="19"/>
  <c r="AO298" i="19"/>
  <c r="AP188" i="19"/>
  <c r="AQ188" i="19" s="1"/>
  <c r="CM188" i="19" s="1"/>
  <c r="AO171" i="19"/>
  <c r="AO285" i="19"/>
  <c r="AP297" i="19"/>
  <c r="AQ297" i="19" s="1"/>
  <c r="CM297" i="19" s="1"/>
  <c r="BS272" i="19"/>
  <c r="BS183" i="19"/>
  <c r="P153" i="15"/>
  <c r="P155" i="15"/>
  <c r="P157" i="15"/>
  <c r="P174" i="15"/>
  <c r="P192" i="15"/>
  <c r="P194" i="15"/>
  <c r="P199" i="15"/>
  <c r="P209" i="15"/>
  <c r="P225" i="15"/>
  <c r="P271" i="15"/>
  <c r="P273" i="15"/>
  <c r="P291" i="15"/>
  <c r="P148" i="15"/>
  <c r="P160" i="15"/>
  <c r="P237" i="15"/>
  <c r="P284" i="15"/>
  <c r="P288" i="15"/>
  <c r="P179" i="15"/>
  <c r="P184" i="15"/>
  <c r="P223" i="15"/>
  <c r="P272" i="15"/>
  <c r="P280" i="15"/>
  <c r="P285" i="15"/>
  <c r="P213" i="15"/>
  <c r="P215" i="15"/>
  <c r="P235" i="15"/>
  <c r="P286" i="15"/>
  <c r="BS151" i="19"/>
  <c r="BS19" i="19"/>
  <c r="BS16" i="19"/>
  <c r="BS21" i="19"/>
  <c r="E170" i="17"/>
  <c r="E193" i="17"/>
  <c r="K202" i="17"/>
  <c r="P204" i="15"/>
  <c r="E216" i="17"/>
  <c r="K226" i="17"/>
  <c r="P228" i="15"/>
  <c r="K227" i="17"/>
  <c r="P229" i="15"/>
  <c r="BS269" i="19"/>
  <c r="K135" i="17"/>
  <c r="K126" i="17"/>
  <c r="E143" i="17"/>
  <c r="K187" i="17"/>
  <c r="P189" i="15"/>
  <c r="E122" i="17"/>
  <c r="E127" i="17"/>
  <c r="K129" i="17"/>
  <c r="K132" i="17"/>
  <c r="K139" i="17"/>
  <c r="E140" i="17"/>
  <c r="K147" i="17"/>
  <c r="E148" i="17"/>
  <c r="E155" i="17"/>
  <c r="E157" i="17"/>
  <c r="E159" i="17"/>
  <c r="E166" i="17"/>
  <c r="K122" i="17"/>
  <c r="K124" i="17"/>
  <c r="P126" i="15"/>
  <c r="K152" i="17"/>
  <c r="P154" i="15"/>
  <c r="E125" i="17"/>
  <c r="E130" i="17"/>
  <c r="E133" i="17"/>
  <c r="E145" i="17"/>
  <c r="E169" i="17"/>
  <c r="K137" i="17"/>
  <c r="K145" i="17"/>
  <c r="E153" i="17"/>
  <c r="E160" i="17"/>
  <c r="E161" i="17"/>
  <c r="E162" i="17"/>
  <c r="K183" i="17"/>
  <c r="P185" i="15"/>
  <c r="BS60" i="19"/>
  <c r="E156" i="17"/>
  <c r="E158" i="17"/>
  <c r="K160" i="17"/>
  <c r="P162" i="15"/>
  <c r="E135" i="17"/>
  <c r="K142" i="17"/>
  <c r="K150" i="17"/>
  <c r="E184" i="17"/>
  <c r="E195" i="17"/>
  <c r="K241" i="17"/>
  <c r="P243" i="15"/>
  <c r="E179" i="17"/>
  <c r="K181" i="17"/>
  <c r="P183" i="15"/>
  <c r="E189" i="17"/>
  <c r="K195" i="17"/>
  <c r="P197" i="15"/>
  <c r="E212" i="17"/>
  <c r="K164" i="17"/>
  <c r="P166" i="15"/>
  <c r="P171" i="15"/>
  <c r="P172" i="15"/>
  <c r="K189" i="17"/>
  <c r="P191" i="15"/>
  <c r="K196" i="17"/>
  <c r="P198" i="15"/>
  <c r="E198" i="17"/>
  <c r="K210" i="17"/>
  <c r="P212" i="15"/>
  <c r="E222" i="17"/>
  <c r="K230" i="17"/>
  <c r="P232" i="15"/>
  <c r="K234" i="17"/>
  <c r="P236" i="15"/>
  <c r="P156" i="15"/>
  <c r="P165" i="15"/>
  <c r="P181" i="15"/>
  <c r="E199" i="17"/>
  <c r="E182" i="17"/>
  <c r="K199" i="17"/>
  <c r="P201" i="15"/>
  <c r="K208" i="17"/>
  <c r="P210" i="15"/>
  <c r="K209" i="17"/>
  <c r="P211" i="15"/>
  <c r="K220" i="17"/>
  <c r="P222" i="15"/>
  <c r="E232" i="17"/>
  <c r="K250" i="17"/>
  <c r="P252" i="15"/>
  <c r="K258" i="17"/>
  <c r="P260" i="15"/>
  <c r="BS261" i="19"/>
  <c r="P178" i="15"/>
  <c r="K186" i="17"/>
  <c r="P188" i="15"/>
  <c r="E200" i="17"/>
  <c r="E204" i="17"/>
  <c r="E187" i="17"/>
  <c r="K191" i="17"/>
  <c r="P193" i="15"/>
  <c r="K218" i="17"/>
  <c r="P220" i="15"/>
  <c r="K219" i="17"/>
  <c r="P221" i="15"/>
  <c r="E228" i="17"/>
  <c r="E196" i="17"/>
  <c r="K222" i="17"/>
  <c r="P224" i="15"/>
  <c r="E239" i="17"/>
  <c r="K245" i="17"/>
  <c r="P247" i="15"/>
  <c r="K253" i="17"/>
  <c r="P255" i="15"/>
  <c r="E269" i="17"/>
  <c r="K299" i="17"/>
  <c r="P301" i="15"/>
  <c r="K248" i="17"/>
  <c r="P250" i="15"/>
  <c r="K256" i="17"/>
  <c r="P258" i="15"/>
  <c r="P202" i="15"/>
  <c r="E202" i="17"/>
  <c r="K224" i="17"/>
  <c r="P226" i="15"/>
  <c r="P234" i="15"/>
  <c r="BS242" i="19"/>
  <c r="K243" i="17"/>
  <c r="P245" i="15"/>
  <c r="K251" i="17"/>
  <c r="P253" i="15"/>
  <c r="K259" i="17"/>
  <c r="P261" i="15"/>
  <c r="E271" i="17"/>
  <c r="E293" i="17"/>
  <c r="E314" i="17"/>
  <c r="E240" i="17"/>
  <c r="K246" i="17"/>
  <c r="P248" i="15"/>
  <c r="K254" i="17"/>
  <c r="P256" i="15"/>
  <c r="K204" i="17"/>
  <c r="P206" i="15"/>
  <c r="K249" i="17"/>
  <c r="P251" i="15"/>
  <c r="K257" i="17"/>
  <c r="P259" i="15"/>
  <c r="E286" i="17"/>
  <c r="K288" i="17"/>
  <c r="P290" i="15"/>
  <c r="P196" i="15"/>
  <c r="K198" i="17"/>
  <c r="P200" i="15"/>
  <c r="P216" i="15"/>
  <c r="P233" i="15"/>
  <c r="E238" i="17"/>
  <c r="P242" i="15"/>
  <c r="P244" i="15"/>
  <c r="K244" i="17"/>
  <c r="P246" i="15"/>
  <c r="K252" i="17"/>
  <c r="P254" i="15"/>
  <c r="K260" i="17"/>
  <c r="P262" i="15"/>
  <c r="E270" i="17"/>
  <c r="E289" i="17"/>
  <c r="P187" i="15"/>
  <c r="P195" i="15"/>
  <c r="K206" i="17"/>
  <c r="P208" i="15"/>
  <c r="E210" i="17"/>
  <c r="E220" i="17"/>
  <c r="P230" i="15"/>
  <c r="P238" i="15"/>
  <c r="E241" i="17"/>
  <c r="K247" i="17"/>
  <c r="P249" i="15"/>
  <c r="K255" i="17"/>
  <c r="P257" i="15"/>
  <c r="K291" i="17"/>
  <c r="P293" i="15"/>
  <c r="E294" i="17"/>
  <c r="E296" i="17"/>
  <c r="BS315" i="19"/>
  <c r="P263" i="15"/>
  <c r="P264" i="15"/>
  <c r="P265" i="15"/>
  <c r="P266" i="15"/>
  <c r="P267" i="15"/>
  <c r="P268" i="15"/>
  <c r="P269" i="15"/>
  <c r="P270" i="15"/>
  <c r="P289" i="15"/>
  <c r="E319" i="17"/>
  <c r="E295" i="17"/>
  <c r="K298" i="17"/>
  <c r="P300" i="15"/>
  <c r="E313" i="17"/>
  <c r="P274" i="15"/>
  <c r="P275" i="15"/>
  <c r="P276" i="15"/>
  <c r="P287" i="15"/>
  <c r="K300" i="17"/>
  <c r="P302" i="15"/>
  <c r="K297" i="17"/>
  <c r="P299" i="15"/>
  <c r="K322" i="17"/>
  <c r="P324" i="15"/>
  <c r="K319" i="17"/>
  <c r="P321" i="15"/>
  <c r="P315" i="15"/>
  <c r="P316" i="15"/>
  <c r="E323" i="17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7" i="15"/>
  <c r="P318" i="15"/>
  <c r="P319" i="15"/>
  <c r="P320" i="15"/>
  <c r="K321" i="17"/>
  <c r="P323" i="15"/>
  <c r="K320" i="17"/>
  <c r="P322" i="15"/>
  <c r="P325" i="15"/>
  <c r="I53" i="17"/>
  <c r="AP104" i="19"/>
  <c r="AQ104" i="19" s="1"/>
  <c r="CM104" i="19" s="1"/>
  <c r="AO208" i="19"/>
  <c r="BB208" i="19" s="1"/>
  <c r="AO209" i="19"/>
  <c r="AO280" i="19"/>
  <c r="AO26" i="19"/>
  <c r="AP38" i="19"/>
  <c r="AQ38" i="19" s="1"/>
  <c r="CM38" i="19" s="1"/>
  <c r="AO47" i="19"/>
  <c r="AO292" i="19"/>
  <c r="AO23" i="19"/>
  <c r="AO70" i="19"/>
  <c r="AP134" i="19"/>
  <c r="AQ134" i="19" s="1"/>
  <c r="CM134" i="19" s="1"/>
  <c r="AP145" i="19"/>
  <c r="AQ145" i="19" s="1"/>
  <c r="CM145" i="19" s="1"/>
  <c r="AO174" i="19"/>
  <c r="AP219" i="19"/>
  <c r="AQ219" i="19" s="1"/>
  <c r="CM219" i="19" s="1"/>
  <c r="AO301" i="19"/>
  <c r="AP17" i="19"/>
  <c r="AQ17" i="19" s="1"/>
  <c r="CM17" i="19" s="1"/>
  <c r="AP24" i="19"/>
  <c r="AQ24" i="19" s="1"/>
  <c r="CM24" i="19" s="1"/>
  <c r="AX2" i="6"/>
  <c r="AZ2" i="19" s="1"/>
  <c r="AX3" i="6"/>
  <c r="AZ3" i="19" s="1"/>
  <c r="AX4" i="6"/>
  <c r="AZ4" i="19" s="1"/>
  <c r="AY5" i="6"/>
  <c r="AH5" i="19" s="1"/>
  <c r="AY6" i="6"/>
  <c r="BA6" i="19" s="1"/>
  <c r="AX7" i="6"/>
  <c r="AG7" i="19" s="1"/>
  <c r="AX8" i="6"/>
  <c r="AZ8" i="19" s="1"/>
  <c r="AY9" i="6"/>
  <c r="BA9" i="19" s="1"/>
  <c r="AY10" i="6"/>
  <c r="BA10" i="19" s="1"/>
  <c r="AX11" i="6"/>
  <c r="AG11" i="19" s="1"/>
  <c r="AX12" i="6"/>
  <c r="AG12" i="19" s="1"/>
  <c r="AY13" i="6"/>
  <c r="AH13" i="19" s="1"/>
  <c r="AY14" i="6"/>
  <c r="AH14" i="19" s="1"/>
  <c r="AY15" i="6"/>
  <c r="AH15" i="19" s="1"/>
  <c r="AX16" i="6"/>
  <c r="AZ16" i="19" s="1"/>
  <c r="AY17" i="6"/>
  <c r="AH17" i="19" s="1"/>
  <c r="AY18" i="6"/>
  <c r="BA18" i="19" s="1"/>
  <c r="AY19" i="6"/>
  <c r="BA19" i="19" s="1"/>
  <c r="AX20" i="6"/>
  <c r="AG20" i="19" s="1"/>
  <c r="AY21" i="6"/>
  <c r="BA21" i="19" s="1"/>
  <c r="AY22" i="6"/>
  <c r="BA22" i="19" s="1"/>
  <c r="AY23" i="6"/>
  <c r="AH23" i="19" s="1"/>
  <c r="AX24" i="6"/>
  <c r="AG24" i="19" s="1"/>
  <c r="AY25" i="6"/>
  <c r="AH25" i="19" s="1"/>
  <c r="AY26" i="6"/>
  <c r="AH26" i="19" s="1"/>
  <c r="AY27" i="6"/>
  <c r="BA27" i="19" s="1"/>
  <c r="AX28" i="6"/>
  <c r="AZ28" i="19" s="1"/>
  <c r="AY29" i="6"/>
  <c r="BA29" i="19" s="1"/>
  <c r="AY30" i="6"/>
  <c r="BA30" i="19" s="1"/>
  <c r="AY31" i="6"/>
  <c r="BA31" i="19" s="1"/>
  <c r="AX32" i="6"/>
  <c r="AZ32" i="19" s="1"/>
  <c r="AY33" i="6"/>
  <c r="BA33" i="19" s="1"/>
  <c r="AY34" i="6"/>
  <c r="AH34" i="19" s="1"/>
  <c r="AY35" i="6"/>
  <c r="AX36" i="6"/>
  <c r="AG36" i="19" s="1"/>
  <c r="AY37" i="6"/>
  <c r="BA37" i="19" s="1"/>
  <c r="AY38" i="6"/>
  <c r="BA38" i="19" s="1"/>
  <c r="AY39" i="6"/>
  <c r="BA39" i="19" s="1"/>
  <c r="AX40" i="6"/>
  <c r="AG40" i="19" s="1"/>
  <c r="AY41" i="6"/>
  <c r="BA41" i="19" s="1"/>
  <c r="AY42" i="6"/>
  <c r="BA42" i="19" s="1"/>
  <c r="AY43" i="6"/>
  <c r="AH43" i="19" s="1"/>
  <c r="AX44" i="6"/>
  <c r="AG44" i="19" s="1"/>
  <c r="AY45" i="6"/>
  <c r="AH45" i="19" s="1"/>
  <c r="AY46" i="6"/>
  <c r="AH46" i="19" s="1"/>
  <c r="AY47" i="6"/>
  <c r="BA47" i="19" s="1"/>
  <c r="AY48" i="6"/>
  <c r="AH48" i="19" s="1"/>
  <c r="AY49" i="6"/>
  <c r="BA49" i="19" s="1"/>
  <c r="AY50" i="6"/>
  <c r="BA50" i="19" s="1"/>
  <c r="AY51" i="6"/>
  <c r="AH51" i="19" s="1"/>
  <c r="AY52" i="6"/>
  <c r="AH52" i="19" s="1"/>
  <c r="AY53" i="6"/>
  <c r="AH53" i="19" s="1"/>
  <c r="AY54" i="6"/>
  <c r="AH54" i="19" s="1"/>
  <c r="AY55" i="6"/>
  <c r="BA55" i="19" s="1"/>
  <c r="AY56" i="6"/>
  <c r="AH56" i="19" s="1"/>
  <c r="AY57" i="6"/>
  <c r="BA57" i="19" s="1"/>
  <c r="AY58" i="6"/>
  <c r="BA58" i="19" s="1"/>
  <c r="AY59" i="6"/>
  <c r="BA59" i="19" s="1"/>
  <c r="AY60" i="6"/>
  <c r="AH60" i="19" s="1"/>
  <c r="AY61" i="6"/>
  <c r="BA61" i="19" s="1"/>
  <c r="AY62" i="6"/>
  <c r="AH62" i="19" s="1"/>
  <c r="AY63" i="6"/>
  <c r="AH63" i="19" s="1"/>
  <c r="AX64" i="6"/>
  <c r="AZ64" i="19" s="1"/>
  <c r="AY65" i="6"/>
  <c r="BA65" i="19" s="1"/>
  <c r="AY66" i="6"/>
  <c r="AH66" i="19" s="1"/>
  <c r="AY67" i="6"/>
  <c r="BA67" i="19" s="1"/>
  <c r="AX68" i="6"/>
  <c r="AG68" i="19" s="1"/>
  <c r="AY69" i="6"/>
  <c r="BA69" i="19" s="1"/>
  <c r="AY70" i="6"/>
  <c r="BA70" i="19" s="1"/>
  <c r="AY71" i="6"/>
  <c r="AH71" i="19" s="1"/>
  <c r="AY72" i="6"/>
  <c r="BA72" i="19" s="1"/>
  <c r="AY73" i="6"/>
  <c r="AH73" i="19" s="1"/>
  <c r="AY74" i="6"/>
  <c r="AH74" i="19" s="1"/>
  <c r="AY75" i="6"/>
  <c r="BA75" i="19" s="1"/>
  <c r="AY76" i="6"/>
  <c r="BA76" i="19" s="1"/>
  <c r="AY77" i="6"/>
  <c r="BA77" i="19" s="1"/>
  <c r="AY78" i="6"/>
  <c r="AH78" i="19" s="1"/>
  <c r="AY79" i="6"/>
  <c r="BA79" i="19" s="1"/>
  <c r="AY80" i="6"/>
  <c r="AH80" i="19" s="1"/>
  <c r="AY81" i="6"/>
  <c r="BA81" i="19" s="1"/>
  <c r="AY82" i="6"/>
  <c r="BA82" i="19" s="1"/>
  <c r="AY83" i="6"/>
  <c r="BA83" i="19" s="1"/>
  <c r="AY84" i="6"/>
  <c r="AH84" i="19" s="1"/>
  <c r="AY85" i="6"/>
  <c r="BA85" i="19" s="1"/>
  <c r="AY86" i="6"/>
  <c r="AH86" i="19" s="1"/>
  <c r="AY87" i="6"/>
  <c r="AH87" i="19" s="1"/>
  <c r="AY88" i="6"/>
  <c r="BA88" i="19" s="1"/>
  <c r="AY89" i="6"/>
  <c r="AH89" i="19" s="1"/>
  <c r="AY90" i="6"/>
  <c r="AH90" i="19" s="1"/>
  <c r="AY91" i="6"/>
  <c r="BA91" i="19" s="1"/>
  <c r="AY92" i="6"/>
  <c r="BA92" i="19" s="1"/>
  <c r="AY93" i="6"/>
  <c r="AH93" i="19" s="1"/>
  <c r="AY94" i="6"/>
  <c r="BA94" i="19" s="1"/>
  <c r="AY95" i="6"/>
  <c r="BA95" i="19" s="1"/>
  <c r="AY96" i="6"/>
  <c r="AH96" i="19" s="1"/>
  <c r="AY97" i="6"/>
  <c r="BA97" i="19" s="1"/>
  <c r="AY98" i="6"/>
  <c r="BA98" i="19" s="1"/>
  <c r="AY99" i="6"/>
  <c r="AY100" i="6"/>
  <c r="AH100" i="19" s="1"/>
  <c r="AY101" i="6"/>
  <c r="AH101" i="19" s="1"/>
  <c r="AY102" i="6"/>
  <c r="AH102" i="19" s="1"/>
  <c r="AY103" i="6"/>
  <c r="AY104" i="6"/>
  <c r="AH104" i="19" s="1"/>
  <c r="AY105" i="6"/>
  <c r="AH105" i="19" s="1"/>
  <c r="AY106" i="6"/>
  <c r="AH106" i="19" s="1"/>
  <c r="AY107" i="6"/>
  <c r="AY108" i="6"/>
  <c r="BA108" i="19" s="1"/>
  <c r="AY109" i="6"/>
  <c r="BA109" i="19" s="1"/>
  <c r="AY110" i="6"/>
  <c r="BA110" i="19" s="1"/>
  <c r="AY111" i="6"/>
  <c r="AH111" i="19" s="1"/>
  <c r="AY112" i="6"/>
  <c r="BA112" i="19" s="1"/>
  <c r="AY113" i="6"/>
  <c r="BA113" i="19" s="1"/>
  <c r="AY114" i="6"/>
  <c r="AH114" i="19" s="1"/>
  <c r="AY115" i="6"/>
  <c r="BA115" i="19" s="1"/>
  <c r="AY116" i="6"/>
  <c r="BA116" i="19" s="1"/>
  <c r="AY117" i="6"/>
  <c r="AH117" i="19" s="1"/>
  <c r="AY2" i="6"/>
  <c r="BA2" i="19" s="1"/>
  <c r="AY3" i="6"/>
  <c r="BA3" i="19" s="1"/>
  <c r="AY4" i="6"/>
  <c r="BA4" i="19" s="1"/>
  <c r="AY7" i="6"/>
  <c r="AH7" i="19" s="1"/>
  <c r="AY8" i="6"/>
  <c r="BA8" i="19" s="1"/>
  <c r="AY11" i="6"/>
  <c r="AY12" i="6"/>
  <c r="AH12" i="19" s="1"/>
  <c r="AY16" i="6"/>
  <c r="AH16" i="19" s="1"/>
  <c r="AY20" i="6"/>
  <c r="AH20" i="19" s="1"/>
  <c r="AY212" i="6"/>
  <c r="AH212" i="19" s="1"/>
  <c r="AY216" i="6"/>
  <c r="BA216" i="19" s="1"/>
  <c r="AY220" i="6"/>
  <c r="AH220" i="19" s="1"/>
  <c r="AY224" i="6"/>
  <c r="AH224" i="19" s="1"/>
  <c r="AY228" i="6"/>
  <c r="AY232" i="6"/>
  <c r="AH232" i="19" s="1"/>
  <c r="AY236" i="6"/>
  <c r="BA236" i="19" s="1"/>
  <c r="AY240" i="6"/>
  <c r="AH240" i="19" s="1"/>
  <c r="AY244" i="6"/>
  <c r="AY248" i="6"/>
  <c r="AH248" i="19" s="1"/>
  <c r="AY252" i="6"/>
  <c r="AH252" i="19" s="1"/>
  <c r="AY256" i="6"/>
  <c r="BA256" i="19" s="1"/>
  <c r="AY260" i="6"/>
  <c r="AY264" i="6"/>
  <c r="AH264" i="19" s="1"/>
  <c r="AY268" i="6"/>
  <c r="AH268" i="19" s="1"/>
  <c r="AY272" i="6"/>
  <c r="AH272" i="19" s="1"/>
  <c r="AY276" i="6"/>
  <c r="AY280" i="6"/>
  <c r="BA280" i="19" s="1"/>
  <c r="AY284" i="6"/>
  <c r="AH284" i="19" s="1"/>
  <c r="AY288" i="6"/>
  <c r="AH288" i="19" s="1"/>
  <c r="AY292" i="6"/>
  <c r="AY296" i="6"/>
  <c r="AH296" i="19" s="1"/>
  <c r="AY300" i="6"/>
  <c r="AH300" i="19" s="1"/>
  <c r="AY304" i="6"/>
  <c r="BA304" i="19" s="1"/>
  <c r="AY308" i="6"/>
  <c r="AH308" i="19" s="1"/>
  <c r="AY312" i="6"/>
  <c r="AH312" i="19" s="1"/>
  <c r="AY316" i="6"/>
  <c r="BA316" i="19" s="1"/>
  <c r="AY320" i="6"/>
  <c r="BA320" i="19" s="1"/>
  <c r="AY118" i="6"/>
  <c r="AY119" i="6"/>
  <c r="BA119" i="19" s="1"/>
  <c r="AY120" i="6"/>
  <c r="BA120" i="19" s="1"/>
  <c r="AY121" i="6"/>
  <c r="AH121" i="19" s="1"/>
  <c r="AY122" i="6"/>
  <c r="AH122" i="19" s="1"/>
  <c r="AY123" i="6"/>
  <c r="BA123" i="19" s="1"/>
  <c r="AY124" i="6"/>
  <c r="BA124" i="19" s="1"/>
  <c r="AY125" i="6"/>
  <c r="AH125" i="19" s="1"/>
  <c r="AY126" i="6"/>
  <c r="BA126" i="19" s="1"/>
  <c r="AY127" i="6"/>
  <c r="BA127" i="19" s="1"/>
  <c r="AY128" i="6"/>
  <c r="AH128" i="19" s="1"/>
  <c r="AY129" i="6"/>
  <c r="AH129" i="19" s="1"/>
  <c r="AY130" i="6"/>
  <c r="BA130" i="19" s="1"/>
  <c r="AY131" i="6"/>
  <c r="AH131" i="19" s="1"/>
  <c r="AY132" i="6"/>
  <c r="AH132" i="19" s="1"/>
  <c r="AY133" i="6"/>
  <c r="BA133" i="19" s="1"/>
  <c r="AY134" i="6"/>
  <c r="AY135" i="6"/>
  <c r="AH135" i="19" s="1"/>
  <c r="AY136" i="6"/>
  <c r="AH136" i="19" s="1"/>
  <c r="AY137" i="6"/>
  <c r="AH137" i="19" s="1"/>
  <c r="AY138" i="6"/>
  <c r="BA138" i="19" s="1"/>
  <c r="AY139" i="6"/>
  <c r="AH139" i="19" s="1"/>
  <c r="AY140" i="6"/>
  <c r="AH140" i="19" s="1"/>
  <c r="AY141" i="6"/>
  <c r="AH141" i="19" s="1"/>
  <c r="AY142" i="6"/>
  <c r="BA142" i="19" s="1"/>
  <c r="AY143" i="6"/>
  <c r="BA143" i="19" s="1"/>
  <c r="AY144" i="6"/>
  <c r="AH144" i="19" s="1"/>
  <c r="AY145" i="6"/>
  <c r="BA145" i="19" s="1"/>
  <c r="AY146" i="6"/>
  <c r="AH146" i="19" s="1"/>
  <c r="AY147" i="6"/>
  <c r="BA147" i="19" s="1"/>
  <c r="AY148" i="6"/>
  <c r="BA148" i="19" s="1"/>
  <c r="AY149" i="6"/>
  <c r="BA149" i="19" s="1"/>
  <c r="AY150" i="6"/>
  <c r="AY151" i="6"/>
  <c r="BA151" i="19" s="1"/>
  <c r="AY152" i="6"/>
  <c r="AH152" i="19" s="1"/>
  <c r="AY153" i="6"/>
  <c r="AH153" i="19" s="1"/>
  <c r="AY154" i="6"/>
  <c r="AY155" i="6"/>
  <c r="AH155" i="19" s="1"/>
  <c r="AY156" i="6"/>
  <c r="AH156" i="19" s="1"/>
  <c r="AY157" i="6"/>
  <c r="BA157" i="19" s="1"/>
  <c r="AY158" i="6"/>
  <c r="AH158" i="19" s="1"/>
  <c r="AY159" i="6"/>
  <c r="BA159" i="19" s="1"/>
  <c r="AY160" i="6"/>
  <c r="AH160" i="19" s="1"/>
  <c r="AY161" i="6"/>
  <c r="BA161" i="19" s="1"/>
  <c r="AY162" i="6"/>
  <c r="AY163" i="6"/>
  <c r="AH163" i="19" s="1"/>
  <c r="AY164" i="6"/>
  <c r="AH164" i="19" s="1"/>
  <c r="AY165" i="6"/>
  <c r="AH165" i="19" s="1"/>
  <c r="AY166" i="6"/>
  <c r="BA166" i="19" s="1"/>
  <c r="AY167" i="6"/>
  <c r="BA167" i="19" s="1"/>
  <c r="AY168" i="6"/>
  <c r="BA168" i="19" s="1"/>
  <c r="AY169" i="6"/>
  <c r="BA169" i="19" s="1"/>
  <c r="AY170" i="6"/>
  <c r="AX171" i="6"/>
  <c r="AZ171" i="19" s="1"/>
  <c r="AY172" i="6"/>
  <c r="BA172" i="19" s="1"/>
  <c r="AY173" i="6"/>
  <c r="BA173" i="19" s="1"/>
  <c r="AY174" i="6"/>
  <c r="BA174" i="19" s="1"/>
  <c r="AX175" i="6"/>
  <c r="AZ175" i="19" s="1"/>
  <c r="AY176" i="6"/>
  <c r="AH176" i="19" s="1"/>
  <c r="AY177" i="6"/>
  <c r="BA177" i="19" s="1"/>
  <c r="AY178" i="6"/>
  <c r="AY179" i="6"/>
  <c r="BA179" i="19" s="1"/>
  <c r="AY180" i="6"/>
  <c r="BA180" i="19" s="1"/>
  <c r="AY181" i="6"/>
  <c r="BA181" i="19" s="1"/>
  <c r="AY182" i="6"/>
  <c r="BA182" i="19" s="1"/>
  <c r="AY183" i="6"/>
  <c r="BA183" i="19" s="1"/>
  <c r="AX184" i="6"/>
  <c r="AZ184" i="19" s="1"/>
  <c r="AY185" i="6"/>
  <c r="BA185" i="19" s="1"/>
  <c r="AY186" i="6"/>
  <c r="AH186" i="19" s="1"/>
  <c r="AY187" i="6"/>
  <c r="BA187" i="19" s="1"/>
  <c r="AX188" i="6"/>
  <c r="AZ188" i="19" s="1"/>
  <c r="AY189" i="6"/>
  <c r="BA189" i="19" s="1"/>
  <c r="AY190" i="6"/>
  <c r="AH190" i="19" s="1"/>
  <c r="AY191" i="6"/>
  <c r="BA191" i="19" s="1"/>
  <c r="AX192" i="6"/>
  <c r="AG192" i="19" s="1"/>
  <c r="AY193" i="6"/>
  <c r="AH193" i="19" s="1"/>
  <c r="AY194" i="6"/>
  <c r="AY195" i="6"/>
  <c r="BA195" i="19" s="1"/>
  <c r="AX196" i="6"/>
  <c r="AG196" i="19" s="1"/>
  <c r="AY197" i="6"/>
  <c r="BA197" i="19" s="1"/>
  <c r="AY198" i="6"/>
  <c r="AX199" i="6"/>
  <c r="AZ199" i="19" s="1"/>
  <c r="AX202" i="6"/>
  <c r="AZ202" i="19" s="1"/>
  <c r="AX204" i="6"/>
  <c r="AG204" i="19" s="1"/>
  <c r="AY204" i="6"/>
  <c r="BA204" i="19" s="1"/>
  <c r="AY24" i="6"/>
  <c r="BA24" i="19" s="1"/>
  <c r="AY28" i="6"/>
  <c r="BA28" i="19" s="1"/>
  <c r="AY32" i="6"/>
  <c r="BA32" i="19" s="1"/>
  <c r="AY36" i="6"/>
  <c r="AY40" i="6"/>
  <c r="AH40" i="19" s="1"/>
  <c r="AY44" i="6"/>
  <c r="BA44" i="19" s="1"/>
  <c r="AY64" i="6"/>
  <c r="BA64" i="19" s="1"/>
  <c r="AY68" i="6"/>
  <c r="BA68" i="19" s="1"/>
  <c r="AY171" i="6"/>
  <c r="AH171" i="19" s="1"/>
  <c r="AY175" i="6"/>
  <c r="BA175" i="19" s="1"/>
  <c r="AY184" i="6"/>
  <c r="BA184" i="19" s="1"/>
  <c r="AY188" i="6"/>
  <c r="AY192" i="6"/>
  <c r="BA192" i="19" s="1"/>
  <c r="AY196" i="6"/>
  <c r="BA196" i="19" s="1"/>
  <c r="AY199" i="6"/>
  <c r="BA199" i="19" s="1"/>
  <c r="AY200" i="6"/>
  <c r="AH200" i="19" s="1"/>
  <c r="AY202" i="6"/>
  <c r="AH202" i="19" s="1"/>
  <c r="AY206" i="6"/>
  <c r="AH206" i="19" s="1"/>
  <c r="AY210" i="6"/>
  <c r="BA210" i="19" s="1"/>
  <c r="AY211" i="6"/>
  <c r="AX212" i="6"/>
  <c r="AG212" i="19" s="1"/>
  <c r="AY214" i="6"/>
  <c r="BA214" i="19" s="1"/>
  <c r="AY215" i="6"/>
  <c r="AH215" i="19" s="1"/>
  <c r="AX216" i="6"/>
  <c r="AG216" i="19" s="1"/>
  <c r="AY218" i="6"/>
  <c r="BA218" i="19" s="1"/>
  <c r="AY219" i="6"/>
  <c r="AH219" i="19" s="1"/>
  <c r="AX220" i="6"/>
  <c r="AG220" i="19" s="1"/>
  <c r="AY221" i="6"/>
  <c r="AY222" i="6"/>
  <c r="BA222" i="19" s="1"/>
  <c r="AY223" i="6"/>
  <c r="BA223" i="19" s="1"/>
  <c r="AX224" i="6"/>
  <c r="AZ224" i="19" s="1"/>
  <c r="AY225" i="6"/>
  <c r="AH225" i="19" s="1"/>
  <c r="AY226" i="6"/>
  <c r="BA226" i="19" s="1"/>
  <c r="AY227" i="6"/>
  <c r="AH227" i="19" s="1"/>
  <c r="AX228" i="6"/>
  <c r="AZ228" i="19" s="1"/>
  <c r="AY229" i="6"/>
  <c r="BA229" i="19" s="1"/>
  <c r="AY230" i="6"/>
  <c r="BA230" i="19" s="1"/>
  <c r="AY231" i="6"/>
  <c r="AH231" i="19" s="1"/>
  <c r="AX232" i="6"/>
  <c r="AG232" i="19" s="1"/>
  <c r="AY233" i="6"/>
  <c r="AH233" i="19" s="1"/>
  <c r="AY234" i="6"/>
  <c r="AH234" i="19" s="1"/>
  <c r="AY235" i="6"/>
  <c r="BA235" i="19" s="1"/>
  <c r="AX236" i="6"/>
  <c r="AZ236" i="19" s="1"/>
  <c r="AY237" i="6"/>
  <c r="AY238" i="6"/>
  <c r="BA238" i="19" s="1"/>
  <c r="AY239" i="6"/>
  <c r="BA239" i="19" s="1"/>
  <c r="AX240" i="6"/>
  <c r="AG240" i="19" s="1"/>
  <c r="AY241" i="6"/>
  <c r="AY242" i="6"/>
  <c r="AH242" i="19" s="1"/>
  <c r="AY243" i="6"/>
  <c r="BA243" i="19" s="1"/>
  <c r="AX244" i="6"/>
  <c r="AG244" i="19" s="1"/>
  <c r="AY245" i="6"/>
  <c r="AY246" i="6"/>
  <c r="BA246" i="19" s="1"/>
  <c r="AY247" i="6"/>
  <c r="AH247" i="19" s="1"/>
  <c r="AX248" i="6"/>
  <c r="AG248" i="19" s="1"/>
  <c r="AY249" i="6"/>
  <c r="AY250" i="6"/>
  <c r="BA250" i="19" s="1"/>
  <c r="AY251" i="6"/>
  <c r="BA251" i="19" s="1"/>
  <c r="AX252" i="6"/>
  <c r="AG252" i="19" s="1"/>
  <c r="AY253" i="6"/>
  <c r="AH253" i="19" s="1"/>
  <c r="AY254" i="6"/>
  <c r="AH254" i="19" s="1"/>
  <c r="AY255" i="6"/>
  <c r="AH255" i="19" s="1"/>
  <c r="AX256" i="6"/>
  <c r="AZ256" i="19" s="1"/>
  <c r="AY257" i="6"/>
  <c r="AY258" i="6"/>
  <c r="BA258" i="19" s="1"/>
  <c r="AY259" i="6"/>
  <c r="BA259" i="19" s="1"/>
  <c r="AX260" i="6"/>
  <c r="AZ260" i="19" s="1"/>
  <c r="AY261" i="6"/>
  <c r="AY262" i="6"/>
  <c r="AH262" i="19" s="1"/>
  <c r="AY263" i="6"/>
  <c r="AH263" i="19" s="1"/>
  <c r="AX264" i="6"/>
  <c r="AZ264" i="19" s="1"/>
  <c r="AY265" i="6"/>
  <c r="BA265" i="19" s="1"/>
  <c r="AY266" i="6"/>
  <c r="BA266" i="19" s="1"/>
  <c r="AY267" i="6"/>
  <c r="BA267" i="19" s="1"/>
  <c r="AX268" i="6"/>
  <c r="AG268" i="19" s="1"/>
  <c r="AY269" i="6"/>
  <c r="AY270" i="6"/>
  <c r="AH270" i="19" s="1"/>
  <c r="AY271" i="6"/>
  <c r="BA271" i="19" s="1"/>
  <c r="AX272" i="6"/>
  <c r="AZ272" i="19" s="1"/>
  <c r="AY273" i="6"/>
  <c r="BA273" i="19" s="1"/>
  <c r="AY274" i="6"/>
  <c r="BA274" i="19" s="1"/>
  <c r="AY275" i="6"/>
  <c r="BA275" i="19" s="1"/>
  <c r="AX276" i="6"/>
  <c r="AG276" i="19" s="1"/>
  <c r="AY277" i="6"/>
  <c r="AY278" i="6"/>
  <c r="AH278" i="19" s="1"/>
  <c r="AY279" i="6"/>
  <c r="BA279" i="19" s="1"/>
  <c r="AX280" i="6"/>
  <c r="AG280" i="19" s="1"/>
  <c r="AY281" i="6"/>
  <c r="BA281" i="19" s="1"/>
  <c r="AY282" i="6"/>
  <c r="BA282" i="19" s="1"/>
  <c r="AY283" i="6"/>
  <c r="BA283" i="19" s="1"/>
  <c r="AX284" i="6"/>
  <c r="AZ284" i="19" s="1"/>
  <c r="AY285" i="6"/>
  <c r="BA285" i="19" s="1"/>
  <c r="AY286" i="6"/>
  <c r="AH286" i="19" s="1"/>
  <c r="AY287" i="6"/>
  <c r="AH287" i="19" s="1"/>
  <c r="AX288" i="6"/>
  <c r="AG288" i="19" s="1"/>
  <c r="AY289" i="6"/>
  <c r="AY290" i="6"/>
  <c r="BA290" i="19" s="1"/>
  <c r="AY291" i="6"/>
  <c r="AH291" i="19" s="1"/>
  <c r="AX292" i="6"/>
  <c r="AG292" i="19" s="1"/>
  <c r="AY293" i="6"/>
  <c r="AY294" i="6"/>
  <c r="BA294" i="19" s="1"/>
  <c r="AY295" i="6"/>
  <c r="AH295" i="19" s="1"/>
  <c r="AX296" i="6"/>
  <c r="AG296" i="19" s="1"/>
  <c r="AY297" i="6"/>
  <c r="AY298" i="6"/>
  <c r="AH298" i="19" s="1"/>
  <c r="AY299" i="6"/>
  <c r="BA299" i="19" s="1"/>
  <c r="AX300" i="6"/>
  <c r="AZ300" i="19" s="1"/>
  <c r="AY301" i="6"/>
  <c r="AH301" i="19" s="1"/>
  <c r="AY302" i="6"/>
  <c r="BA302" i="19" s="1"/>
  <c r="AY303" i="6"/>
  <c r="AH303" i="19" s="1"/>
  <c r="AX304" i="6"/>
  <c r="AG304" i="19" s="1"/>
  <c r="AY305" i="6"/>
  <c r="BA305" i="19" s="1"/>
  <c r="AY306" i="6"/>
  <c r="AH306" i="19" s="1"/>
  <c r="AY307" i="6"/>
  <c r="BA307" i="19" s="1"/>
  <c r="AX308" i="6"/>
  <c r="AG308" i="19" s="1"/>
  <c r="AY309" i="6"/>
  <c r="BA309" i="19" s="1"/>
  <c r="AY310" i="6"/>
  <c r="AH310" i="19" s="1"/>
  <c r="AY311" i="6"/>
  <c r="AH311" i="19" s="1"/>
  <c r="AX312" i="6"/>
  <c r="AZ312" i="19" s="1"/>
  <c r="AY313" i="6"/>
  <c r="BA313" i="19" s="1"/>
  <c r="AY314" i="6"/>
  <c r="BA314" i="19" s="1"/>
  <c r="AY315" i="6"/>
  <c r="BA315" i="19" s="1"/>
  <c r="AX316" i="6"/>
  <c r="AZ316" i="19" s="1"/>
  <c r="AY317" i="6"/>
  <c r="AH317" i="19" s="1"/>
  <c r="AY318" i="6"/>
  <c r="BA318" i="19" s="1"/>
  <c r="AY319" i="6"/>
  <c r="AH319" i="19" s="1"/>
  <c r="AX320" i="6"/>
  <c r="AZ320" i="19" s="1"/>
  <c r="AY321" i="6"/>
  <c r="BA321" i="19" s="1"/>
  <c r="AY322" i="6"/>
  <c r="AH322" i="19" s="1"/>
  <c r="AY323" i="6"/>
  <c r="BA323" i="19" s="1"/>
  <c r="AY324" i="6"/>
  <c r="BA324" i="19" s="1"/>
  <c r="AX326" i="6"/>
  <c r="AY327" i="6"/>
  <c r="BA327" i="19" s="1"/>
  <c r="Y296" i="19"/>
  <c r="B296" i="14" s="1"/>
  <c r="Y8" i="19"/>
  <c r="B8" i="14" s="1"/>
  <c r="Y37" i="19"/>
  <c r="B37" i="14" s="1"/>
  <c r="Y215" i="19"/>
  <c r="B215" i="14" s="1"/>
  <c r="Y247" i="19"/>
  <c r="B247" i="14" s="1"/>
  <c r="Y295" i="19"/>
  <c r="B295" i="14" s="1"/>
  <c r="Y112" i="19"/>
  <c r="B112" i="14" s="1"/>
  <c r="Y123" i="19"/>
  <c r="B123" i="14" s="1"/>
  <c r="Y124" i="19"/>
  <c r="B124" i="14" s="1"/>
  <c r="Y186" i="19"/>
  <c r="B186" i="14" s="1"/>
  <c r="Y277" i="19"/>
  <c r="B277" i="14" s="1"/>
  <c r="BI59" i="19"/>
  <c r="BJ59" i="19" s="1"/>
  <c r="BI99" i="19"/>
  <c r="BJ99" i="19" s="1"/>
  <c r="BI123" i="19"/>
  <c r="BJ123" i="19" s="1"/>
  <c r="BI179" i="19"/>
  <c r="BJ179" i="19" s="1"/>
  <c r="BI187" i="19"/>
  <c r="BJ187" i="19" s="1"/>
  <c r="BI243" i="19"/>
  <c r="BJ243" i="19" s="1"/>
  <c r="BI315" i="19"/>
  <c r="BJ315" i="19" s="1"/>
  <c r="BI324" i="19"/>
  <c r="BJ324" i="19" s="1"/>
  <c r="BI158" i="19"/>
  <c r="BJ158" i="19" s="1"/>
  <c r="BI225" i="19"/>
  <c r="BJ225" i="19" s="1"/>
  <c r="BI68" i="19"/>
  <c r="BJ68" i="19" s="1"/>
  <c r="BI76" i="19"/>
  <c r="BJ76" i="19" s="1"/>
  <c r="BI148" i="19"/>
  <c r="BJ148" i="19" s="1"/>
  <c r="BI156" i="19"/>
  <c r="BJ156" i="19" s="1"/>
  <c r="BI172" i="19"/>
  <c r="BJ172" i="19" s="1"/>
  <c r="BI204" i="19"/>
  <c r="BJ204" i="19" s="1"/>
  <c r="BI212" i="19"/>
  <c r="BJ212" i="19" s="1"/>
  <c r="BI268" i="19"/>
  <c r="BJ268" i="19" s="1"/>
  <c r="BI201" i="19"/>
  <c r="BJ201" i="19" s="1"/>
  <c r="BI21" i="19"/>
  <c r="BJ21" i="19" s="1"/>
  <c r="BI85" i="19"/>
  <c r="BJ85" i="19" s="1"/>
  <c r="BI133" i="19"/>
  <c r="BJ133" i="19" s="1"/>
  <c r="BI189" i="19"/>
  <c r="BJ189" i="19" s="1"/>
  <c r="BI213" i="19"/>
  <c r="BJ213" i="19" s="1"/>
  <c r="BI333" i="19"/>
  <c r="BJ333" i="19" s="1"/>
  <c r="BI137" i="19"/>
  <c r="BJ137" i="19" s="1"/>
  <c r="BI42" i="19"/>
  <c r="BJ42" i="19" s="1"/>
  <c r="BI222" i="19"/>
  <c r="BJ222" i="19" s="1"/>
  <c r="BI129" i="19"/>
  <c r="BJ129" i="19" s="1"/>
  <c r="BI177" i="19"/>
  <c r="BJ177" i="19" s="1"/>
  <c r="BI31" i="19"/>
  <c r="BJ31" i="19" s="1"/>
  <c r="BI95" i="19"/>
  <c r="BJ95" i="19" s="1"/>
  <c r="BI135" i="19"/>
  <c r="BJ135" i="19" s="1"/>
  <c r="BI151" i="19"/>
  <c r="BJ151" i="19" s="1"/>
  <c r="BI104" i="19"/>
  <c r="BJ104" i="19" s="1"/>
  <c r="BI168" i="19"/>
  <c r="BJ168" i="19" s="1"/>
  <c r="BI224" i="19"/>
  <c r="BJ224" i="19" s="1"/>
  <c r="BI89" i="19"/>
  <c r="BJ89" i="19" s="1"/>
  <c r="BI330" i="19"/>
  <c r="BJ330" i="19" s="1"/>
  <c r="BI154" i="19"/>
  <c r="BJ154" i="19" s="1"/>
  <c r="BI178" i="19"/>
  <c r="BJ178" i="19" s="1"/>
  <c r="BI274" i="19"/>
  <c r="BJ274" i="19" s="1"/>
  <c r="BI170" i="19"/>
  <c r="BJ170" i="19" s="1"/>
  <c r="BI114" i="19"/>
  <c r="BJ114" i="19" s="1"/>
  <c r="BI122" i="19"/>
  <c r="BJ122" i="19" s="1"/>
  <c r="BI328" i="19"/>
  <c r="BJ328" i="19" s="1"/>
  <c r="BI299" i="19"/>
  <c r="BJ299" i="19" s="1"/>
  <c r="BI295" i="19"/>
  <c r="BJ295" i="19" s="1"/>
  <c r="BI249" i="19"/>
  <c r="BJ249" i="19" s="1"/>
  <c r="BI290" i="19"/>
  <c r="BJ290" i="19" s="1"/>
  <c r="BI283" i="19"/>
  <c r="BJ283" i="19" s="1"/>
  <c r="BI278" i="19"/>
  <c r="BJ278" i="19" s="1"/>
  <c r="BI289" i="19"/>
  <c r="BJ289" i="19" s="1"/>
  <c r="BI288" i="19"/>
  <c r="BJ288" i="19" s="1"/>
  <c r="BI5" i="19"/>
  <c r="BJ5" i="19" s="1"/>
  <c r="BI304" i="19"/>
  <c r="BJ304" i="19" s="1"/>
  <c r="Y6" i="19"/>
  <c r="B6" i="14" s="1"/>
  <c r="BK6" i="19"/>
  <c r="AO13" i="19"/>
  <c r="Y67" i="19"/>
  <c r="B67" i="14" s="1"/>
  <c r="AO72" i="19"/>
  <c r="AP74" i="19"/>
  <c r="AQ74" i="19" s="1"/>
  <c r="CM74" i="19" s="1"/>
  <c r="Y75" i="19"/>
  <c r="B75" i="14" s="1"/>
  <c r="AO86" i="19"/>
  <c r="AO170" i="19"/>
  <c r="Y195" i="19"/>
  <c r="B195" i="14" s="1"/>
  <c r="AP212" i="19"/>
  <c r="AQ212" i="19" s="1"/>
  <c r="CM212" i="19" s="1"/>
  <c r="AO262" i="19"/>
  <c r="Y282" i="19"/>
  <c r="B282" i="14" s="1"/>
  <c r="AO308" i="19"/>
  <c r="AP86" i="19"/>
  <c r="AQ86" i="19" s="1"/>
  <c r="CM86" i="19" s="1"/>
  <c r="Y111" i="19"/>
  <c r="B111" i="14" s="1"/>
  <c r="AO149" i="19"/>
  <c r="Y257" i="19"/>
  <c r="B257" i="14" s="1"/>
  <c r="Y272" i="19"/>
  <c r="B272" i="14" s="1"/>
  <c r="AP308" i="19"/>
  <c r="AQ308" i="19" s="1"/>
  <c r="CM308" i="19" s="1"/>
  <c r="AP18" i="19"/>
  <c r="AQ18" i="19" s="1"/>
  <c r="CM18" i="19" s="1"/>
  <c r="AP122" i="19"/>
  <c r="AQ122" i="19" s="1"/>
  <c r="CM122" i="19" s="1"/>
  <c r="AP150" i="19"/>
  <c r="AQ150" i="19" s="1"/>
  <c r="CM150" i="19" s="1"/>
  <c r="AO25" i="19"/>
  <c r="AO29" i="19"/>
  <c r="Y33" i="19"/>
  <c r="B33" i="14" s="1"/>
  <c r="AO36" i="19"/>
  <c r="AO39" i="19"/>
  <c r="AP40" i="19"/>
  <c r="AQ40" i="19" s="1"/>
  <c r="CM40" i="19" s="1"/>
  <c r="AP60" i="19"/>
  <c r="AQ60" i="19" s="1"/>
  <c r="CM60" i="19" s="1"/>
  <c r="Y130" i="19"/>
  <c r="B130" i="14" s="1"/>
  <c r="AO159" i="19"/>
  <c r="Y161" i="19"/>
  <c r="B161" i="14" s="1"/>
  <c r="AP164" i="19"/>
  <c r="AQ164" i="19" s="1"/>
  <c r="CM164" i="19" s="1"/>
  <c r="AP185" i="19"/>
  <c r="AQ185" i="19" s="1"/>
  <c r="CM185" i="19" s="1"/>
  <c r="AO216" i="19"/>
  <c r="AO242" i="19"/>
  <c r="AP268" i="19"/>
  <c r="AQ268" i="19" s="1"/>
  <c r="CM268" i="19" s="1"/>
  <c r="Y270" i="19"/>
  <c r="B270" i="14" s="1"/>
  <c r="Y288" i="19"/>
  <c r="B288" i="14" s="1"/>
  <c r="Y308" i="19"/>
  <c r="B308" i="14" s="1"/>
  <c r="Y284" i="19"/>
  <c r="B284" i="14" s="1"/>
  <c r="AO7" i="19"/>
  <c r="AO32" i="19"/>
  <c r="AP41" i="19"/>
  <c r="AQ41" i="19" s="1"/>
  <c r="CM41" i="19" s="1"/>
  <c r="AO61" i="19"/>
  <c r="AO94" i="19"/>
  <c r="AP101" i="19"/>
  <c r="AQ101" i="19" s="1"/>
  <c r="CM101" i="19" s="1"/>
  <c r="AO252" i="19"/>
  <c r="AP265" i="19"/>
  <c r="AQ265" i="19" s="1"/>
  <c r="CM265" i="19" s="1"/>
  <c r="AP283" i="19"/>
  <c r="AQ283" i="19" s="1"/>
  <c r="CM283" i="19" s="1"/>
  <c r="AO287" i="19"/>
  <c r="BO26" i="19"/>
  <c r="BK318" i="19"/>
  <c r="BO170" i="19"/>
  <c r="BO331" i="19"/>
  <c r="BK309" i="19"/>
  <c r="BK296" i="19"/>
  <c r="I367" i="14"/>
  <c r="J367" i="14"/>
  <c r="K367" i="14"/>
  <c r="M367" i="14"/>
  <c r="C367" i="14"/>
  <c r="Y27" i="19"/>
  <c r="B27" i="14" s="1"/>
  <c r="Y150" i="19"/>
  <c r="B150" i="14" s="1"/>
  <c r="Y172" i="19"/>
  <c r="B172" i="14" s="1"/>
  <c r="Y248" i="19"/>
  <c r="B248" i="14" s="1"/>
  <c r="Y126" i="19"/>
  <c r="B126" i="14" s="1"/>
  <c r="Y169" i="19"/>
  <c r="B169" i="14" s="1"/>
  <c r="Y176" i="19"/>
  <c r="B176" i="14" s="1"/>
  <c r="Y301" i="19"/>
  <c r="B301" i="14" s="1"/>
  <c r="Y231" i="19"/>
  <c r="B231" i="14" s="1"/>
  <c r="Y100" i="19"/>
  <c r="B100" i="14" s="1"/>
  <c r="Y102" i="19"/>
  <c r="B102" i="14" s="1"/>
  <c r="Y40" i="19"/>
  <c r="B40" i="14" s="1"/>
  <c r="Y64" i="19"/>
  <c r="B64" i="14" s="1"/>
  <c r="Y138" i="19"/>
  <c r="B138" i="14" s="1"/>
  <c r="Y15" i="19"/>
  <c r="B15" i="14" s="1"/>
  <c r="Y23" i="19"/>
  <c r="B23" i="14" s="1"/>
  <c r="Y61" i="19"/>
  <c r="Y110" i="19"/>
  <c r="B110" i="14" s="1"/>
  <c r="Y114" i="19"/>
  <c r="B114" i="14" s="1"/>
  <c r="Y160" i="19"/>
  <c r="B160" i="14" s="1"/>
  <c r="Y179" i="19"/>
  <c r="B179" i="14" s="1"/>
  <c r="Y184" i="19"/>
  <c r="B184" i="14" s="1"/>
  <c r="Y185" i="19"/>
  <c r="B185" i="14" s="1"/>
  <c r="Y189" i="19"/>
  <c r="B189" i="14" s="1"/>
  <c r="Y207" i="19"/>
  <c r="B207" i="14" s="1"/>
  <c r="Y220" i="19"/>
  <c r="B220" i="14" s="1"/>
  <c r="Y221" i="19"/>
  <c r="B221" i="14" s="1"/>
  <c r="Y243" i="19"/>
  <c r="B243" i="14" s="1"/>
  <c r="Y249" i="19"/>
  <c r="B249" i="14" s="1"/>
  <c r="Y278" i="19"/>
  <c r="B278" i="14" s="1"/>
  <c r="Y285" i="19"/>
  <c r="B285" i="14" s="1"/>
  <c r="Y289" i="19"/>
  <c r="B289" i="14" s="1"/>
  <c r="Y332" i="19"/>
  <c r="B332" i="14" s="1"/>
  <c r="Y99" i="19"/>
  <c r="B99" i="14" s="1"/>
  <c r="Y108" i="19"/>
  <c r="B108" i="14" s="1"/>
  <c r="Y142" i="19"/>
  <c r="B142" i="14" s="1"/>
  <c r="Y157" i="19"/>
  <c r="B157" i="14" s="1"/>
  <c r="Y245" i="19"/>
  <c r="B245" i="14" s="1"/>
  <c r="Y279" i="19"/>
  <c r="B279" i="14" s="1"/>
  <c r="Y298" i="19"/>
  <c r="B298" i="14" s="1"/>
  <c r="Y333" i="19"/>
  <c r="B333" i="14" s="1"/>
  <c r="Y29" i="19"/>
  <c r="B29" i="14" s="1"/>
  <c r="Y90" i="19"/>
  <c r="B90" i="14" s="1"/>
  <c r="Y127" i="19"/>
  <c r="B127" i="14" s="1"/>
  <c r="Y168" i="19"/>
  <c r="B168" i="14" s="1"/>
  <c r="Y180" i="19"/>
  <c r="B180" i="14" s="1"/>
  <c r="Y328" i="19"/>
  <c r="B328" i="14" s="1"/>
  <c r="Y13" i="19"/>
  <c r="B13" i="14" s="1"/>
  <c r="Y18" i="19"/>
  <c r="B18" i="14" s="1"/>
  <c r="Y24" i="19"/>
  <c r="B24" i="14" s="1"/>
  <c r="Y31" i="19"/>
  <c r="B31" i="14" s="1"/>
  <c r="Y57" i="19"/>
  <c r="B57" i="14" s="1"/>
  <c r="Y62" i="19"/>
  <c r="B62" i="14" s="1"/>
  <c r="Y81" i="19"/>
  <c r="B81" i="14" s="1"/>
  <c r="Y94" i="19"/>
  <c r="B94" i="14" s="1"/>
  <c r="Y105" i="19"/>
  <c r="B105" i="14" s="1"/>
  <c r="Y144" i="19"/>
  <c r="B144" i="14" s="1"/>
  <c r="Y234" i="19"/>
  <c r="B234" i="14" s="1"/>
  <c r="Y235" i="19"/>
  <c r="B235" i="14" s="1"/>
  <c r="Y269" i="19"/>
  <c r="B269" i="14" s="1"/>
  <c r="Y311" i="19"/>
  <c r="B311" i="14" s="1"/>
  <c r="Y35" i="19"/>
  <c r="B35" i="14" s="1"/>
  <c r="Y38" i="19"/>
  <c r="B38" i="14" s="1"/>
  <c r="Y216" i="19"/>
  <c r="B216" i="14" s="1"/>
  <c r="Y318" i="19"/>
  <c r="B318" i="14" s="1"/>
  <c r="Y58" i="19"/>
  <c r="B58" i="14" s="1"/>
  <c r="Y79" i="19"/>
  <c r="B79" i="14" s="1"/>
  <c r="Y121" i="19"/>
  <c r="B121" i="14" s="1"/>
  <c r="Y159" i="19"/>
  <c r="B159" i="14" s="1"/>
  <c r="Y181" i="19"/>
  <c r="B181" i="14" s="1"/>
  <c r="Y210" i="19"/>
  <c r="B210" i="14" s="1"/>
  <c r="Y211" i="19"/>
  <c r="B211" i="14" s="1"/>
  <c r="Y226" i="19"/>
  <c r="B226" i="14" s="1"/>
  <c r="Y252" i="19"/>
  <c r="B252" i="14" s="1"/>
  <c r="Y53" i="19"/>
  <c r="B53" i="14" s="1"/>
  <c r="Y77" i="19"/>
  <c r="B77" i="14" s="1"/>
  <c r="Y153" i="19"/>
  <c r="B153" i="14" s="1"/>
  <c r="Y259" i="19"/>
  <c r="B259" i="14" s="1"/>
  <c r="Y304" i="19"/>
  <c r="B304" i="14" s="1"/>
  <c r="AX36" i="13"/>
  <c r="AE36" i="19" s="1"/>
  <c r="AX188" i="13"/>
  <c r="AE188" i="19" s="1"/>
  <c r="AX189" i="13"/>
  <c r="AF189" i="19" s="1"/>
  <c r="AX190" i="13"/>
  <c r="AE190" i="19" s="1"/>
  <c r="AX191" i="13"/>
  <c r="AF191" i="19" s="1"/>
  <c r="AX192" i="13"/>
  <c r="AE192" i="19" s="1"/>
  <c r="AX193" i="13"/>
  <c r="AF193" i="19" s="1"/>
  <c r="AX194" i="13"/>
  <c r="AE194" i="19" s="1"/>
  <c r="AX195" i="13"/>
  <c r="AE195" i="19" s="1"/>
  <c r="AX196" i="13"/>
  <c r="AF196" i="19" s="1"/>
  <c r="AX197" i="13"/>
  <c r="AF197" i="19" s="1"/>
  <c r="AX198" i="13"/>
  <c r="AF198" i="19" s="1"/>
  <c r="AX199" i="13"/>
  <c r="AF199" i="19" s="1"/>
  <c r="AX200" i="13"/>
  <c r="AE200" i="19" s="1"/>
  <c r="AX201" i="13"/>
  <c r="AE201" i="19" s="1"/>
  <c r="AX202" i="13"/>
  <c r="AF202" i="19" s="1"/>
  <c r="AX203" i="13"/>
  <c r="AE203" i="19" s="1"/>
  <c r="AX204" i="13"/>
  <c r="AF204" i="19" s="1"/>
  <c r="AX205" i="13"/>
  <c r="AF205" i="19" s="1"/>
  <c r="AX206" i="13"/>
  <c r="AE206" i="19" s="1"/>
  <c r="AX207" i="13"/>
  <c r="AF207" i="19" s="1"/>
  <c r="AX208" i="13"/>
  <c r="AF208" i="19" s="1"/>
  <c r="AX209" i="13"/>
  <c r="AF209" i="19" s="1"/>
  <c r="AX210" i="13"/>
  <c r="AE210" i="19" s="1"/>
  <c r="AX211" i="13"/>
  <c r="AE211" i="19" s="1"/>
  <c r="AX212" i="13"/>
  <c r="AF212" i="19" s="1"/>
  <c r="AX213" i="13"/>
  <c r="AF213" i="19" s="1"/>
  <c r="AX214" i="13"/>
  <c r="AE214" i="19" s="1"/>
  <c r="AX215" i="13"/>
  <c r="AE215" i="19" s="1"/>
  <c r="AX216" i="13"/>
  <c r="AE216" i="19" s="1"/>
  <c r="AX217" i="13"/>
  <c r="AF217" i="19" s="1"/>
  <c r="AX218" i="13"/>
  <c r="AE218" i="19" s="1"/>
  <c r="AX219" i="13"/>
  <c r="AF219" i="19" s="1"/>
  <c r="AX220" i="13"/>
  <c r="AE220" i="19" s="1"/>
  <c r="AX221" i="13"/>
  <c r="AF221" i="19" s="1"/>
  <c r="AX222" i="13"/>
  <c r="AE222" i="19" s="1"/>
  <c r="AX223" i="13"/>
  <c r="AE223" i="19" s="1"/>
  <c r="AX224" i="13"/>
  <c r="AE224" i="19" s="1"/>
  <c r="AX225" i="13"/>
  <c r="AF225" i="19" s="1"/>
  <c r="AX226" i="13"/>
  <c r="AF226" i="19" s="1"/>
  <c r="AX227" i="13"/>
  <c r="AF227" i="19" s="1"/>
  <c r="AX228" i="13"/>
  <c r="AE228" i="19" s="1"/>
  <c r="AX229" i="13"/>
  <c r="AE229" i="19" s="1"/>
  <c r="AX230" i="13"/>
  <c r="AE230" i="19" s="1"/>
  <c r="AX231" i="13"/>
  <c r="AF231" i="19" s="1"/>
  <c r="AX232" i="13"/>
  <c r="AF232" i="19" s="1"/>
  <c r="AX233" i="13"/>
  <c r="AF233" i="19" s="1"/>
  <c r="AX234" i="13"/>
  <c r="AF234" i="19" s="1"/>
  <c r="AX235" i="13"/>
  <c r="AE235" i="19" s="1"/>
  <c r="AX236" i="13"/>
  <c r="AF236" i="19" s="1"/>
  <c r="AX237" i="13"/>
  <c r="AE237" i="19" s="1"/>
  <c r="AX238" i="13"/>
  <c r="AF238" i="19" s="1"/>
  <c r="AX239" i="13"/>
  <c r="AE239" i="19" s="1"/>
  <c r="AX240" i="13"/>
  <c r="AE240" i="19" s="1"/>
  <c r="AX241" i="13"/>
  <c r="AF241" i="19" s="1"/>
  <c r="AX242" i="13"/>
  <c r="AF242" i="19" s="1"/>
  <c r="AX243" i="13"/>
  <c r="AE243" i="19" s="1"/>
  <c r="AX244" i="13"/>
  <c r="AF244" i="19" s="1"/>
  <c r="AX245" i="13"/>
  <c r="AF245" i="19" s="1"/>
  <c r="AX246" i="13"/>
  <c r="AF246" i="19" s="1"/>
  <c r="AX247" i="13"/>
  <c r="AE247" i="19" s="1"/>
  <c r="AX248" i="13"/>
  <c r="AF248" i="19" s="1"/>
  <c r="AX249" i="13"/>
  <c r="AE249" i="19" s="1"/>
  <c r="AX250" i="13"/>
  <c r="AF250" i="19" s="1"/>
  <c r="AX251" i="13"/>
  <c r="AE251" i="19" s="1"/>
  <c r="AX252" i="13"/>
  <c r="AF252" i="19" s="1"/>
  <c r="Y44" i="19"/>
  <c r="B44" i="14" s="1"/>
  <c r="Y60" i="19"/>
  <c r="B60" i="14" s="1"/>
  <c r="Y183" i="19"/>
  <c r="B183" i="14" s="1"/>
  <c r="Y305" i="19"/>
  <c r="B305" i="14" s="1"/>
  <c r="Y314" i="19"/>
  <c r="B314" i="14" s="1"/>
  <c r="AX253" i="13"/>
  <c r="AE253" i="19" s="1"/>
  <c r="AX254" i="13"/>
  <c r="AF254" i="19" s="1"/>
  <c r="AX255" i="13"/>
  <c r="AF255" i="19" s="1"/>
  <c r="AX256" i="13"/>
  <c r="AF256" i="19" s="1"/>
  <c r="AX257" i="13"/>
  <c r="AF257" i="19" s="1"/>
  <c r="AX258" i="13"/>
  <c r="AE258" i="19" s="1"/>
  <c r="AX259" i="13"/>
  <c r="AE259" i="19" s="1"/>
  <c r="AX260" i="13"/>
  <c r="AF260" i="19" s="1"/>
  <c r="AX261" i="13"/>
  <c r="AF261" i="19" s="1"/>
  <c r="AX262" i="13"/>
  <c r="AF262" i="19" s="1"/>
  <c r="AX263" i="13"/>
  <c r="AF263" i="19" s="1"/>
  <c r="AX264" i="13"/>
  <c r="AF264" i="19" s="1"/>
  <c r="AX272" i="13"/>
  <c r="AF272" i="19" s="1"/>
  <c r="AX273" i="13"/>
  <c r="AF273" i="19" s="1"/>
  <c r="AX274" i="13"/>
  <c r="AF274" i="19" s="1"/>
  <c r="AX289" i="13"/>
  <c r="AF289" i="19" s="1"/>
  <c r="AX290" i="13"/>
  <c r="AE290" i="19" s="1"/>
  <c r="AX291" i="13"/>
  <c r="AF291" i="19" s="1"/>
  <c r="AX292" i="13"/>
  <c r="AE292" i="19" s="1"/>
  <c r="AX293" i="13"/>
  <c r="AE293" i="19" s="1"/>
  <c r="AX294" i="13"/>
  <c r="AE294" i="19" s="1"/>
  <c r="AX295" i="13"/>
  <c r="AE295" i="19" s="1"/>
  <c r="AX296" i="13"/>
  <c r="AF296" i="19" s="1"/>
  <c r="AX297" i="13"/>
  <c r="AE297" i="19" s="1"/>
  <c r="AX298" i="13"/>
  <c r="AE298" i="19" s="1"/>
  <c r="AX299" i="13"/>
  <c r="AF299" i="19" s="1"/>
  <c r="AX300" i="13"/>
  <c r="AE300" i="19" s="1"/>
  <c r="AX301" i="13"/>
  <c r="AE301" i="19" s="1"/>
  <c r="AX302" i="13"/>
  <c r="AE302" i="19" s="1"/>
  <c r="AX303" i="13"/>
  <c r="AF303" i="19" s="1"/>
  <c r="AX304" i="13"/>
  <c r="AE304" i="19" s="1"/>
  <c r="AX305" i="13"/>
  <c r="AE305" i="19" s="1"/>
  <c r="AX306" i="13"/>
  <c r="AF306" i="19" s="1"/>
  <c r="AX307" i="13"/>
  <c r="AF307" i="19" s="1"/>
  <c r="AX308" i="13"/>
  <c r="AF308" i="19" s="1"/>
  <c r="AX309" i="13"/>
  <c r="AF309" i="19" s="1"/>
  <c r="AX310" i="13"/>
  <c r="AE310" i="19" s="1"/>
  <c r="Y276" i="19"/>
  <c r="B276" i="14" s="1"/>
  <c r="Y11" i="19"/>
  <c r="B11" i="14" s="1"/>
  <c r="Y56" i="19"/>
  <c r="B56" i="14" s="1"/>
  <c r="Y98" i="19"/>
  <c r="B98" i="14" s="1"/>
  <c r="Y191" i="19"/>
  <c r="B191" i="14" s="1"/>
  <c r="Y202" i="19"/>
  <c r="B202" i="14" s="1"/>
  <c r="Y209" i="19"/>
  <c r="B209" i="14" s="1"/>
  <c r="AX39" i="13"/>
  <c r="AE39" i="19" s="1"/>
  <c r="AX40" i="13"/>
  <c r="AF40" i="19" s="1"/>
  <c r="AX41" i="13"/>
  <c r="AE41" i="19" s="1"/>
  <c r="AX42" i="13"/>
  <c r="AE42" i="19" s="1"/>
  <c r="AX43" i="13"/>
  <c r="AE43" i="19" s="1"/>
  <c r="AX44" i="13"/>
  <c r="AE44" i="19" s="1"/>
  <c r="AX45" i="13"/>
  <c r="AF45" i="19" s="1"/>
  <c r="AX46" i="13"/>
  <c r="AF46" i="19" s="1"/>
  <c r="AX47" i="13"/>
  <c r="AF47" i="19" s="1"/>
  <c r="AX48" i="13"/>
  <c r="AE48" i="19" s="1"/>
  <c r="AX49" i="13"/>
  <c r="AE49" i="19" s="1"/>
  <c r="AX50" i="13"/>
  <c r="AF50" i="19" s="1"/>
  <c r="AX51" i="13"/>
  <c r="AE51" i="19" s="1"/>
  <c r="AX37" i="13"/>
  <c r="AF37" i="19" s="1"/>
  <c r="AF2" i="19"/>
  <c r="AX3" i="13"/>
  <c r="AF3" i="19" s="1"/>
  <c r="AX4" i="13"/>
  <c r="AF4" i="19" s="1"/>
  <c r="AX5" i="13"/>
  <c r="AF5" i="19" s="1"/>
  <c r="AX6" i="13"/>
  <c r="AE6" i="19" s="1"/>
  <c r="AX7" i="13"/>
  <c r="AF7" i="19" s="1"/>
  <c r="AX8" i="13"/>
  <c r="AF8" i="19" s="1"/>
  <c r="AX9" i="13"/>
  <c r="AF9" i="19" s="1"/>
  <c r="AX10" i="13"/>
  <c r="AF10" i="19" s="1"/>
  <c r="AX11" i="13"/>
  <c r="AE11" i="19" s="1"/>
  <c r="AX12" i="13"/>
  <c r="AF12" i="19" s="1"/>
  <c r="AX13" i="13"/>
  <c r="AF13" i="19" s="1"/>
  <c r="AX14" i="13"/>
  <c r="AF14" i="19" s="1"/>
  <c r="AX15" i="13"/>
  <c r="AF15" i="19" s="1"/>
  <c r="AX16" i="13"/>
  <c r="AF16" i="19" s="1"/>
  <c r="AX17" i="13"/>
  <c r="AF17" i="19" s="1"/>
  <c r="AX18" i="13"/>
  <c r="AE18" i="19" s="1"/>
  <c r="AX19" i="13"/>
  <c r="AF19" i="19" s="1"/>
  <c r="AX20" i="13"/>
  <c r="AE20" i="19" s="1"/>
  <c r="AX21" i="13"/>
  <c r="AF21" i="19" s="1"/>
  <c r="AX22" i="13"/>
  <c r="AF22" i="19" s="1"/>
  <c r="AX23" i="13"/>
  <c r="AF23" i="19" s="1"/>
  <c r="AX24" i="13"/>
  <c r="AE24" i="19" s="1"/>
  <c r="AX25" i="13"/>
  <c r="AE25" i="19" s="1"/>
  <c r="AX26" i="13"/>
  <c r="AF26" i="19" s="1"/>
  <c r="AX27" i="13"/>
  <c r="AF27" i="19" s="1"/>
  <c r="AX28" i="13"/>
  <c r="AF28" i="19" s="1"/>
  <c r="AX29" i="13"/>
  <c r="AF29" i="19" s="1"/>
  <c r="AX30" i="13"/>
  <c r="AF30" i="19" s="1"/>
  <c r="AX31" i="13"/>
  <c r="AF31" i="19" s="1"/>
  <c r="AX32" i="13"/>
  <c r="AF32" i="19" s="1"/>
  <c r="AX33" i="13"/>
  <c r="AE33" i="19" s="1"/>
  <c r="AX34" i="13"/>
  <c r="AF34" i="19" s="1"/>
  <c r="AX35" i="13"/>
  <c r="AF35" i="19" s="1"/>
  <c r="AX38" i="13"/>
  <c r="AF38" i="19" s="1"/>
  <c r="AX52" i="13"/>
  <c r="AF52" i="19" s="1"/>
  <c r="AX53" i="13"/>
  <c r="AE53" i="19" s="1"/>
  <c r="AX54" i="13"/>
  <c r="AE54" i="19" s="1"/>
  <c r="AX55" i="13"/>
  <c r="AF55" i="19" s="1"/>
  <c r="AX56" i="13"/>
  <c r="AF56" i="19" s="1"/>
  <c r="AX57" i="13"/>
  <c r="AF57" i="19" s="1"/>
  <c r="AX58" i="13"/>
  <c r="AE58" i="19" s="1"/>
  <c r="AX59" i="13"/>
  <c r="AF59" i="19" s="1"/>
  <c r="AX60" i="13"/>
  <c r="AF60" i="19" s="1"/>
  <c r="AX61" i="13"/>
  <c r="AF61" i="19" s="1"/>
  <c r="AX62" i="13"/>
  <c r="AE62" i="19" s="1"/>
  <c r="AX63" i="13"/>
  <c r="AF63" i="19" s="1"/>
  <c r="AX64" i="13"/>
  <c r="AF64" i="19" s="1"/>
  <c r="AX65" i="13"/>
  <c r="AF65" i="19" s="1"/>
  <c r="AX66" i="13"/>
  <c r="AE66" i="19" s="1"/>
  <c r="AX67" i="13"/>
  <c r="AE67" i="19" s="1"/>
  <c r="AX68" i="13"/>
  <c r="AF68" i="19" s="1"/>
  <c r="AX69" i="13"/>
  <c r="AF69" i="19" s="1"/>
  <c r="AX70" i="13"/>
  <c r="AF70" i="19" s="1"/>
  <c r="AX71" i="13"/>
  <c r="AF71" i="19" s="1"/>
  <c r="AX72" i="13"/>
  <c r="AE72" i="19" s="1"/>
  <c r="AX73" i="13"/>
  <c r="AE73" i="19" s="1"/>
  <c r="AX74" i="13"/>
  <c r="AF74" i="19" s="1"/>
  <c r="AX75" i="13"/>
  <c r="AF75" i="19" s="1"/>
  <c r="AX76" i="13"/>
  <c r="AF76" i="19" s="1"/>
  <c r="AX77" i="13"/>
  <c r="AF77" i="19" s="1"/>
  <c r="AX79" i="13"/>
  <c r="AF79" i="19" s="1"/>
  <c r="AX80" i="13"/>
  <c r="AF80" i="19" s="1"/>
  <c r="AX81" i="13"/>
  <c r="AF81" i="19" s="1"/>
  <c r="AX82" i="13"/>
  <c r="AF82" i="19" s="1"/>
  <c r="AX83" i="13"/>
  <c r="AE83" i="19" s="1"/>
  <c r="AX90" i="13"/>
  <c r="AF90" i="19" s="1"/>
  <c r="AX91" i="13"/>
  <c r="AF91" i="19" s="1"/>
  <c r="AX92" i="13"/>
  <c r="AE92" i="19" s="1"/>
  <c r="AX93" i="13"/>
  <c r="AE93" i="19" s="1"/>
  <c r="AX98" i="13"/>
  <c r="AF98" i="19" s="1"/>
  <c r="AX99" i="13"/>
  <c r="AF99" i="19" s="1"/>
  <c r="AX106" i="13"/>
  <c r="AE106" i="19" s="1"/>
  <c r="AX107" i="13"/>
  <c r="AF107" i="19" s="1"/>
  <c r="AX108" i="13"/>
  <c r="AF108" i="19" s="1"/>
  <c r="AX109" i="13"/>
  <c r="AE109" i="19" s="1"/>
  <c r="AE110" i="19"/>
  <c r="AX112" i="13"/>
  <c r="AF112" i="19" s="1"/>
  <c r="AX113" i="13"/>
  <c r="AF113" i="19" s="1"/>
  <c r="AX114" i="13"/>
  <c r="AE114" i="19" s="1"/>
  <c r="AX116" i="13"/>
  <c r="AF116" i="19" s="1"/>
  <c r="AX117" i="13"/>
  <c r="AF117" i="19" s="1"/>
  <c r="AX118" i="13"/>
  <c r="AF118" i="19" s="1"/>
  <c r="AX119" i="13"/>
  <c r="AE119" i="19" s="1"/>
  <c r="AX120" i="13"/>
  <c r="AF120" i="19" s="1"/>
  <c r="AX121" i="13"/>
  <c r="AE121" i="19" s="1"/>
  <c r="AX122" i="13"/>
  <c r="AF122" i="19" s="1"/>
  <c r="AX130" i="13"/>
  <c r="AE130" i="19" s="1"/>
  <c r="AX131" i="13"/>
  <c r="AF131" i="19" s="1"/>
  <c r="AX138" i="13"/>
  <c r="AF138" i="19" s="1"/>
  <c r="AX139" i="13"/>
  <c r="AF139" i="19" s="1"/>
  <c r="AX140" i="13"/>
  <c r="AE140" i="19" s="1"/>
  <c r="AX146" i="13"/>
  <c r="AE146" i="19" s="1"/>
  <c r="AX147" i="13"/>
  <c r="AE147" i="19" s="1"/>
  <c r="AX148" i="13"/>
  <c r="AF148" i="19" s="1"/>
  <c r="AX149" i="13"/>
  <c r="AE149" i="19" s="1"/>
  <c r="AX154" i="13"/>
  <c r="AF154" i="19" s="1"/>
  <c r="AX155" i="13"/>
  <c r="AE155" i="19" s="1"/>
  <c r="AX156" i="13"/>
  <c r="AF156" i="19" s="1"/>
  <c r="AX157" i="13"/>
  <c r="AF157" i="19" s="1"/>
  <c r="AX158" i="13"/>
  <c r="AE158" i="19" s="1"/>
  <c r="AX162" i="13"/>
  <c r="AE162" i="19" s="1"/>
  <c r="AX163" i="13"/>
  <c r="AF163" i="19" s="1"/>
  <c r="AX164" i="13"/>
  <c r="AF164" i="19" s="1"/>
  <c r="AX165" i="13"/>
  <c r="AE165" i="19" s="1"/>
  <c r="AX166" i="13"/>
  <c r="AE166" i="19" s="1"/>
  <c r="AX167" i="13"/>
  <c r="AF167" i="19" s="1"/>
  <c r="AX170" i="13"/>
  <c r="AF170" i="19" s="1"/>
  <c r="AX171" i="13"/>
  <c r="AE171" i="19" s="1"/>
  <c r="AX172" i="13"/>
  <c r="AE172" i="19" s="1"/>
  <c r="AX173" i="13"/>
  <c r="AF173" i="19" s="1"/>
  <c r="AX174" i="13"/>
  <c r="AF174" i="19" s="1"/>
  <c r="AX175" i="13"/>
  <c r="AE175" i="19" s="1"/>
  <c r="AX176" i="13"/>
  <c r="AF176" i="19" s="1"/>
  <c r="AX177" i="13"/>
  <c r="AF177" i="19" s="1"/>
  <c r="AX178" i="13"/>
  <c r="AF178" i="19" s="1"/>
  <c r="AX180" i="13"/>
  <c r="AE180" i="19" s="1"/>
  <c r="AX181" i="13"/>
  <c r="AF181" i="19" s="1"/>
  <c r="AX182" i="13"/>
  <c r="AE182" i="19" s="1"/>
  <c r="V2" i="19"/>
  <c r="BN2" i="19" s="1"/>
  <c r="AX183" i="13"/>
  <c r="AF183" i="19" s="1"/>
  <c r="AX184" i="13"/>
  <c r="AF184" i="19" s="1"/>
  <c r="AX185" i="13"/>
  <c r="AF185" i="19" s="1"/>
  <c r="AX186" i="13"/>
  <c r="AF186" i="19" s="1"/>
  <c r="AX187" i="13"/>
  <c r="AF187" i="19" s="1"/>
  <c r="AX265" i="13"/>
  <c r="AF265" i="19" s="1"/>
  <c r="AX266" i="13"/>
  <c r="AE266" i="19" s="1"/>
  <c r="AX267" i="13"/>
  <c r="AF267" i="19" s="1"/>
  <c r="AX268" i="13"/>
  <c r="AF268" i="19" s="1"/>
  <c r="AX269" i="13"/>
  <c r="AE269" i="19" s="1"/>
  <c r="AX270" i="13"/>
  <c r="AF270" i="19" s="1"/>
  <c r="AX271" i="13"/>
  <c r="AF271" i="19" s="1"/>
  <c r="AX275" i="13"/>
  <c r="AE275" i="19" s="1"/>
  <c r="AX276" i="13"/>
  <c r="AF276" i="19" s="1"/>
  <c r="AX277" i="13"/>
  <c r="AE277" i="19" s="1"/>
  <c r="AX278" i="13"/>
  <c r="AE278" i="19" s="1"/>
  <c r="AX279" i="13"/>
  <c r="AF279" i="19" s="1"/>
  <c r="AX280" i="13"/>
  <c r="AF280" i="19" s="1"/>
  <c r="AX281" i="13"/>
  <c r="AE281" i="19" s="1"/>
  <c r="AX282" i="13"/>
  <c r="AF282" i="19" s="1"/>
  <c r="AX283" i="13"/>
  <c r="AF283" i="19" s="1"/>
  <c r="AX284" i="13"/>
  <c r="AF284" i="19" s="1"/>
  <c r="AX285" i="13"/>
  <c r="AE285" i="19" s="1"/>
  <c r="AX286" i="13"/>
  <c r="AE286" i="19" s="1"/>
  <c r="AX287" i="13"/>
  <c r="AF287" i="19" s="1"/>
  <c r="AX288" i="13"/>
  <c r="AE288" i="19" s="1"/>
  <c r="AX311" i="13"/>
  <c r="AE311" i="19" s="1"/>
  <c r="AX312" i="13"/>
  <c r="AF312" i="19" s="1"/>
  <c r="AX313" i="13"/>
  <c r="AE313" i="19" s="1"/>
  <c r="AX314" i="13"/>
  <c r="AF314" i="19" s="1"/>
  <c r="AX315" i="13"/>
  <c r="AE315" i="19" s="1"/>
  <c r="AX316" i="13"/>
  <c r="AF316" i="19" s="1"/>
  <c r="AX317" i="13"/>
  <c r="AE317" i="19" s="1"/>
  <c r="AX318" i="13"/>
  <c r="AE318" i="19" s="1"/>
  <c r="AX319" i="13"/>
  <c r="AF319" i="19" s="1"/>
  <c r="AX320" i="13"/>
  <c r="AF320" i="19" s="1"/>
  <c r="AX321" i="13"/>
  <c r="AF321" i="19" s="1"/>
  <c r="AX322" i="13"/>
  <c r="AE322" i="19" s="1"/>
  <c r="AX323" i="13"/>
  <c r="AE323" i="19" s="1"/>
  <c r="AX324" i="13"/>
  <c r="AF324" i="19" s="1"/>
  <c r="Y20" i="19"/>
  <c r="B20" i="14" s="1"/>
  <c r="Y336" i="19"/>
  <c r="B336" i="14" s="1"/>
  <c r="Y17" i="19"/>
  <c r="B17" i="14" s="1"/>
  <c r="BI66" i="19"/>
  <c r="BJ66" i="19" s="1"/>
  <c r="BI120" i="19"/>
  <c r="BJ120" i="19" s="1"/>
  <c r="BI150" i="19"/>
  <c r="BJ150" i="19" s="1"/>
  <c r="BI163" i="19"/>
  <c r="BJ163" i="19" s="1"/>
  <c r="BI175" i="19"/>
  <c r="BJ175" i="19" s="1"/>
  <c r="BI181" i="19"/>
  <c r="BJ181" i="19" s="1"/>
  <c r="BI183" i="19"/>
  <c r="BJ183" i="19" s="1"/>
  <c r="BI185" i="19"/>
  <c r="BJ185" i="19" s="1"/>
  <c r="BI191" i="19"/>
  <c r="BJ191" i="19" s="1"/>
  <c r="BI221" i="19"/>
  <c r="BJ221" i="19" s="1"/>
  <c r="BI241" i="19"/>
  <c r="BJ241" i="19" s="1"/>
  <c r="BI259" i="19"/>
  <c r="BJ259" i="19" s="1"/>
  <c r="BI275" i="19"/>
  <c r="BJ275" i="19" s="1"/>
  <c r="BI292" i="19"/>
  <c r="BJ292" i="19" s="1"/>
  <c r="BI329" i="19"/>
  <c r="BJ329" i="19" s="1"/>
  <c r="BI48" i="19"/>
  <c r="BJ48" i="19" s="1"/>
  <c r="BI61" i="19"/>
  <c r="BJ61" i="19" s="1"/>
  <c r="BI102" i="19"/>
  <c r="BJ102" i="19" s="1"/>
  <c r="BI107" i="19"/>
  <c r="BJ107" i="19" s="1"/>
  <c r="BI124" i="19"/>
  <c r="BJ124" i="19" s="1"/>
  <c r="BI146" i="19"/>
  <c r="BJ146" i="19" s="1"/>
  <c r="BI161" i="19"/>
  <c r="BJ161" i="19" s="1"/>
  <c r="BI194" i="19"/>
  <c r="BJ194" i="19" s="1"/>
  <c r="BI198" i="19"/>
  <c r="BJ198" i="19" s="1"/>
  <c r="BI202" i="19"/>
  <c r="BJ202" i="19" s="1"/>
  <c r="BI219" i="19"/>
  <c r="BJ219" i="19" s="1"/>
  <c r="BI231" i="19"/>
  <c r="BJ231" i="19" s="1"/>
  <c r="BI264" i="19"/>
  <c r="BJ264" i="19" s="1"/>
  <c r="BI281" i="19"/>
  <c r="BJ281" i="19" s="1"/>
  <c r="BI311" i="19"/>
  <c r="BJ311" i="19" s="1"/>
  <c r="BI335" i="19"/>
  <c r="BJ335" i="19" s="1"/>
  <c r="BI236" i="19"/>
  <c r="BJ236" i="19" s="1"/>
  <c r="BM271" i="19"/>
  <c r="BI9" i="19"/>
  <c r="BJ9" i="19" s="1"/>
  <c r="BI58" i="19"/>
  <c r="BJ58" i="19" s="1"/>
  <c r="BI75" i="19"/>
  <c r="BJ75" i="19" s="1"/>
  <c r="BI116" i="19"/>
  <c r="BJ116" i="19" s="1"/>
  <c r="BI209" i="19"/>
  <c r="BJ209" i="19" s="1"/>
  <c r="BI211" i="19"/>
  <c r="BJ211" i="19" s="1"/>
  <c r="BI229" i="19"/>
  <c r="BJ229" i="19" s="1"/>
  <c r="BI244" i="19"/>
  <c r="BJ244" i="19" s="1"/>
  <c r="BI246" i="19"/>
  <c r="BJ246" i="19" s="1"/>
  <c r="BI248" i="19"/>
  <c r="BJ248" i="19" s="1"/>
  <c r="BI250" i="19"/>
  <c r="BJ250" i="19" s="1"/>
  <c r="BI267" i="19"/>
  <c r="BJ267" i="19" s="1"/>
  <c r="BI336" i="19"/>
  <c r="BJ336" i="19" s="1"/>
  <c r="BI11" i="19"/>
  <c r="BJ11" i="19" s="1"/>
  <c r="BI30" i="19"/>
  <c r="BJ30" i="19" s="1"/>
  <c r="BI49" i="19"/>
  <c r="BJ49" i="19" s="1"/>
  <c r="BI64" i="19"/>
  <c r="BJ64" i="19" s="1"/>
  <c r="BI80" i="19"/>
  <c r="BJ80" i="19" s="1"/>
  <c r="BI106" i="19"/>
  <c r="BJ106" i="19" s="1"/>
  <c r="BI138" i="19"/>
  <c r="BJ138" i="19" s="1"/>
  <c r="BI147" i="19"/>
  <c r="BJ147" i="19" s="1"/>
  <c r="BI149" i="19"/>
  <c r="BJ149" i="19" s="1"/>
  <c r="BI160" i="19"/>
  <c r="BJ160" i="19" s="1"/>
  <c r="BI164" i="19"/>
  <c r="BJ164" i="19" s="1"/>
  <c r="BI180" i="19"/>
  <c r="BJ180" i="19" s="1"/>
  <c r="BI182" i="19"/>
  <c r="BJ182" i="19" s="1"/>
  <c r="BI220" i="19"/>
  <c r="BJ220" i="19" s="1"/>
  <c r="BI240" i="19"/>
  <c r="BJ240" i="19" s="1"/>
  <c r="BI242" i="19"/>
  <c r="BJ242" i="19" s="1"/>
  <c r="BI260" i="19"/>
  <c r="BJ260" i="19" s="1"/>
  <c r="BI296" i="19"/>
  <c r="BJ296" i="19" s="1"/>
  <c r="BI300" i="19"/>
  <c r="BJ300" i="19" s="1"/>
  <c r="BI312" i="19"/>
  <c r="BJ312" i="19" s="1"/>
  <c r="BI327" i="19"/>
  <c r="BJ327" i="19" s="1"/>
  <c r="BI331" i="19"/>
  <c r="BJ331" i="19" s="1"/>
  <c r="BI77" i="19"/>
  <c r="BJ77" i="19" s="1"/>
  <c r="BI96" i="19"/>
  <c r="BJ96" i="19" s="1"/>
  <c r="BI108" i="19"/>
  <c r="BJ108" i="19" s="1"/>
  <c r="BI121" i="19"/>
  <c r="BJ121" i="19" s="1"/>
  <c r="BI132" i="19"/>
  <c r="BJ132" i="19" s="1"/>
  <c r="BI162" i="19"/>
  <c r="BJ162" i="19" s="1"/>
  <c r="BI186" i="19"/>
  <c r="BJ186" i="19" s="1"/>
  <c r="BI190" i="19"/>
  <c r="BJ190" i="19" s="1"/>
  <c r="BI195" i="19"/>
  <c r="BJ195" i="19" s="1"/>
  <c r="BI197" i="19"/>
  <c r="BJ197" i="19" s="1"/>
  <c r="BI199" i="19"/>
  <c r="BJ199" i="19" s="1"/>
  <c r="BI203" i="19"/>
  <c r="BJ203" i="19" s="1"/>
  <c r="BI205" i="19"/>
  <c r="BJ205" i="19" s="1"/>
  <c r="BI218" i="19"/>
  <c r="BJ218" i="19" s="1"/>
  <c r="BI252" i="19"/>
  <c r="BJ252" i="19" s="1"/>
  <c r="BI280" i="19"/>
  <c r="BJ280" i="19" s="1"/>
  <c r="BI282" i="19"/>
  <c r="BJ282" i="19" s="1"/>
  <c r="BI332" i="19"/>
  <c r="BJ332" i="19" s="1"/>
  <c r="BI47" i="19"/>
  <c r="BJ47" i="19" s="1"/>
  <c r="BI88" i="19"/>
  <c r="BJ88" i="19" s="1"/>
  <c r="BI110" i="19"/>
  <c r="BJ110" i="19" s="1"/>
  <c r="BI188" i="19"/>
  <c r="BJ188" i="19" s="1"/>
  <c r="BI216" i="19"/>
  <c r="BJ216" i="19" s="1"/>
  <c r="BI230" i="19"/>
  <c r="BJ230" i="19" s="1"/>
  <c r="BI235" i="19"/>
  <c r="BJ235" i="19" s="1"/>
  <c r="BI256" i="19"/>
  <c r="BJ256" i="19" s="1"/>
  <c r="BI263" i="19"/>
  <c r="BJ263" i="19" s="1"/>
  <c r="BI284" i="19"/>
  <c r="BJ284" i="19" s="1"/>
  <c r="BI325" i="19"/>
  <c r="BJ325" i="19" s="1"/>
  <c r="BI10" i="19"/>
  <c r="BJ10" i="19" s="1"/>
  <c r="BI50" i="19"/>
  <c r="BJ50" i="19" s="1"/>
  <c r="BI56" i="19"/>
  <c r="BJ56" i="19" s="1"/>
  <c r="BI69" i="19"/>
  <c r="BJ69" i="19" s="1"/>
  <c r="BI79" i="19"/>
  <c r="BJ79" i="19" s="1"/>
  <c r="BI130" i="19"/>
  <c r="BJ130" i="19" s="1"/>
  <c r="BI139" i="19"/>
  <c r="BJ139" i="19" s="1"/>
  <c r="BI155" i="19"/>
  <c r="BJ155" i="19" s="1"/>
  <c r="BI165" i="19"/>
  <c r="BJ165" i="19" s="1"/>
  <c r="BI171" i="19"/>
  <c r="BJ171" i="19" s="1"/>
  <c r="BI208" i="19"/>
  <c r="BJ208" i="19" s="1"/>
  <c r="BI210" i="19"/>
  <c r="BJ210" i="19" s="1"/>
  <c r="BI228" i="19"/>
  <c r="BJ228" i="19" s="1"/>
  <c r="BI233" i="19"/>
  <c r="BJ233" i="19" s="1"/>
  <c r="BI237" i="19"/>
  <c r="BJ237" i="19" s="1"/>
  <c r="BI245" i="19"/>
  <c r="BJ245" i="19" s="1"/>
  <c r="BI286" i="19"/>
  <c r="BJ286" i="19" s="1"/>
  <c r="BO130" i="19"/>
  <c r="BM122" i="19"/>
  <c r="BK42" i="19"/>
  <c r="G86" i="14"/>
  <c r="BK259" i="19"/>
  <c r="BO147" i="19"/>
  <c r="BK152" i="19"/>
  <c r="BO227" i="19"/>
  <c r="BO261" i="19"/>
  <c r="BO333" i="19"/>
  <c r="BK16" i="19"/>
  <c r="BO46" i="19"/>
  <c r="BO171" i="19"/>
  <c r="BO274" i="19"/>
  <c r="BO58" i="19"/>
  <c r="BO157" i="19"/>
  <c r="BO302" i="19"/>
  <c r="BO327" i="19"/>
  <c r="BK140" i="19"/>
  <c r="BK165" i="19"/>
  <c r="BK246" i="19"/>
  <c r="BM286" i="19"/>
  <c r="BS39" i="19"/>
  <c r="BS297" i="19"/>
  <c r="BS293" i="19"/>
  <c r="GP24" i="20"/>
  <c r="GQ24" i="20"/>
  <c r="AH10" i="20"/>
  <c r="X18" i="26"/>
  <c r="Y19" i="26"/>
  <c r="Y20" i="26"/>
  <c r="AP81" i="19"/>
  <c r="AQ81" i="19" s="1"/>
  <c r="CM81" i="19" s="1"/>
  <c r="AP141" i="19"/>
  <c r="AQ141" i="19" s="1"/>
  <c r="CM141" i="19" s="1"/>
  <c r="AO210" i="19"/>
  <c r="AP210" i="19"/>
  <c r="AQ210" i="19" s="1"/>
  <c r="CM210" i="19" s="1"/>
  <c r="AO6" i="19"/>
  <c r="AP11" i="19"/>
  <c r="AQ11" i="19" s="1"/>
  <c r="CM11" i="19" s="1"/>
  <c r="AO11" i="19"/>
  <c r="AO31" i="19"/>
  <c r="AP148" i="19"/>
  <c r="AQ148" i="19" s="1"/>
  <c r="CM148" i="19" s="1"/>
  <c r="AO148" i="19"/>
  <c r="AP255" i="19"/>
  <c r="AQ255" i="19" s="1"/>
  <c r="CM255" i="19" s="1"/>
  <c r="AO255" i="19"/>
  <c r="AP30" i="19"/>
  <c r="AQ30" i="19" s="1"/>
  <c r="CM30" i="19" s="1"/>
  <c r="AO30" i="19"/>
  <c r="AP125" i="19"/>
  <c r="AQ125" i="19" s="1"/>
  <c r="CM125" i="19" s="1"/>
  <c r="AO125" i="19"/>
  <c r="AO55" i="19"/>
  <c r="AP55" i="19"/>
  <c r="AQ55" i="19" s="1"/>
  <c r="CM55" i="19" s="1"/>
  <c r="AP120" i="19"/>
  <c r="AQ120" i="19" s="1"/>
  <c r="CM120" i="19" s="1"/>
  <c r="AO120" i="19"/>
  <c r="AO156" i="19"/>
  <c r="AP156" i="19"/>
  <c r="AQ156" i="19" s="1"/>
  <c r="CM156" i="19" s="1"/>
  <c r="AP20" i="19"/>
  <c r="AQ20" i="19" s="1"/>
  <c r="CM20" i="19" s="1"/>
  <c r="AP76" i="19"/>
  <c r="AQ76" i="19" s="1"/>
  <c r="CM76" i="19" s="1"/>
  <c r="AO76" i="19"/>
  <c r="AP52" i="19"/>
  <c r="AQ52" i="19" s="1"/>
  <c r="CM52" i="19" s="1"/>
  <c r="AO52" i="19"/>
  <c r="AP77" i="19"/>
  <c r="AQ77" i="19" s="1"/>
  <c r="CM77" i="19" s="1"/>
  <c r="AP303" i="19"/>
  <c r="AQ303" i="19" s="1"/>
  <c r="CM303" i="19" s="1"/>
  <c r="AP181" i="19"/>
  <c r="AQ181" i="19" s="1"/>
  <c r="CM181" i="19" s="1"/>
  <c r="AO181" i="19"/>
  <c r="AO22" i="19"/>
  <c r="AP22" i="19"/>
  <c r="AQ22" i="19" s="1"/>
  <c r="CM22" i="19" s="1"/>
  <c r="AO48" i="19"/>
  <c r="AP63" i="19"/>
  <c r="AQ63" i="19" s="1"/>
  <c r="CM63" i="19" s="1"/>
  <c r="AO80" i="19"/>
  <c r="AO88" i="19"/>
  <c r="AP99" i="19"/>
  <c r="AQ99" i="19" s="1"/>
  <c r="CM99" i="19" s="1"/>
  <c r="AO143" i="19"/>
  <c r="AO177" i="19"/>
  <c r="AO190" i="19"/>
  <c r="AO217" i="19"/>
  <c r="AO243" i="19"/>
  <c r="AO276" i="19"/>
  <c r="AO306" i="19"/>
  <c r="AO320" i="19"/>
  <c r="AP80" i="19"/>
  <c r="AQ80" i="19" s="1"/>
  <c r="CM80" i="19" s="1"/>
  <c r="AP177" i="19"/>
  <c r="AQ177" i="19" s="1"/>
  <c r="CM177" i="19" s="1"/>
  <c r="AP217" i="19"/>
  <c r="AQ217" i="19" s="1"/>
  <c r="CM217" i="19" s="1"/>
  <c r="AO302" i="19"/>
  <c r="AP322" i="19"/>
  <c r="AQ322" i="19" s="1"/>
  <c r="CM322" i="19" s="1"/>
  <c r="AO288" i="19"/>
  <c r="AO311" i="19"/>
  <c r="AP328" i="19"/>
  <c r="AQ328" i="19" s="1"/>
  <c r="CM328" i="19" s="1"/>
  <c r="AO21" i="19"/>
  <c r="AO78" i="19"/>
  <c r="AP82" i="19"/>
  <c r="AQ82" i="19" s="1"/>
  <c r="CM82" i="19" s="1"/>
  <c r="AP117" i="19"/>
  <c r="AQ117" i="19" s="1"/>
  <c r="CM117" i="19" s="1"/>
  <c r="AO129" i="19"/>
  <c r="AO173" i="19"/>
  <c r="AP179" i="19"/>
  <c r="AQ179" i="19" s="1"/>
  <c r="CM179" i="19" s="1"/>
  <c r="AO184" i="19"/>
  <c r="AP195" i="19"/>
  <c r="AQ195" i="19" s="1"/>
  <c r="CM195" i="19" s="1"/>
  <c r="AO198" i="19"/>
  <c r="AO215" i="19"/>
  <c r="AP234" i="19"/>
  <c r="AQ234" i="19" s="1"/>
  <c r="CM234" i="19" s="1"/>
  <c r="AO3" i="19"/>
  <c r="AP28" i="19"/>
  <c r="AQ28" i="19" s="1"/>
  <c r="CM28" i="19" s="1"/>
  <c r="AO34" i="19"/>
  <c r="AP43" i="19"/>
  <c r="AQ43" i="19" s="1"/>
  <c r="CM43" i="19" s="1"/>
  <c r="AP58" i="19"/>
  <c r="AQ58" i="19" s="1"/>
  <c r="CM58" i="19" s="1"/>
  <c r="AP64" i="19"/>
  <c r="AQ64" i="19" s="1"/>
  <c r="CM64" i="19" s="1"/>
  <c r="AP153" i="19"/>
  <c r="AQ153" i="19" s="1"/>
  <c r="CM153" i="19" s="1"/>
  <c r="AO266" i="19"/>
  <c r="AO290" i="19"/>
  <c r="CG260" i="24"/>
  <c r="T16" i="26"/>
  <c r="X19" i="26"/>
  <c r="X20" i="26"/>
  <c r="U18" i="26"/>
  <c r="U19" i="26"/>
  <c r="T20" i="26"/>
  <c r="Y18" i="26"/>
  <c r="T21" i="26"/>
  <c r="G226" i="31"/>
  <c r="AD226" i="19" s="1"/>
  <c r="U36" i="26"/>
  <c r="BO5" i="19"/>
  <c r="BO7" i="19"/>
  <c r="BK51" i="19"/>
  <c r="BK313" i="19"/>
  <c r="BK320" i="19"/>
  <c r="BK155" i="19"/>
  <c r="BK166" i="19"/>
  <c r="BK178" i="19"/>
  <c r="BO265" i="19"/>
  <c r="BM275" i="19"/>
  <c r="BK120" i="19"/>
  <c r="BK212" i="19"/>
  <c r="BO12" i="19"/>
  <c r="BO120" i="19"/>
  <c r="BO121" i="19"/>
  <c r="BO182" i="19"/>
  <c r="BI93" i="19"/>
  <c r="BJ93" i="19" s="1"/>
  <c r="BO322" i="19"/>
  <c r="BO163" i="19"/>
  <c r="BO221" i="19"/>
  <c r="BK263" i="19"/>
  <c r="BK293" i="19"/>
  <c r="BO240" i="19"/>
  <c r="BK240" i="19"/>
  <c r="BK40" i="19"/>
  <c r="BO103" i="19"/>
  <c r="BO104" i="19"/>
  <c r="BK266" i="19"/>
  <c r="BO266" i="19"/>
  <c r="BK48" i="19"/>
  <c r="BO28" i="19"/>
  <c r="BO38" i="19"/>
  <c r="BK41" i="19"/>
  <c r="BO125" i="19"/>
  <c r="BK31" i="19"/>
  <c r="BO37" i="19"/>
  <c r="BO41" i="19"/>
  <c r="BO49" i="19"/>
  <c r="BO133" i="19"/>
  <c r="BO143" i="19"/>
  <c r="BO146" i="19"/>
  <c r="BK174" i="19"/>
  <c r="BO174" i="19"/>
  <c r="BK281" i="19"/>
  <c r="BO281" i="19"/>
  <c r="BK29" i="19"/>
  <c r="BO106" i="19"/>
  <c r="BO108" i="19"/>
  <c r="BK214" i="19"/>
  <c r="D331" i="17"/>
  <c r="F331" i="17" s="1"/>
  <c r="BK19" i="19"/>
  <c r="BO169" i="19"/>
  <c r="BK169" i="19"/>
  <c r="BK172" i="19"/>
  <c r="BK201" i="19"/>
  <c r="D335" i="17"/>
  <c r="F335" i="17" s="1"/>
  <c r="BK46" i="19"/>
  <c r="BO193" i="19"/>
  <c r="D332" i="17"/>
  <c r="F332" i="17" s="1"/>
  <c r="D333" i="17"/>
  <c r="F333" i="17" s="1"/>
  <c r="D334" i="17"/>
  <c r="F334" i="17" s="1"/>
  <c r="BK8" i="19"/>
  <c r="BK10" i="19"/>
  <c r="BK35" i="19"/>
  <c r="BO45" i="19"/>
  <c r="BM99" i="19"/>
  <c r="BK139" i="19"/>
  <c r="BK160" i="19"/>
  <c r="BK197" i="19"/>
  <c r="BO314" i="19"/>
  <c r="BK314" i="19"/>
  <c r="BK203" i="19"/>
  <c r="BO243" i="19"/>
  <c r="BO262" i="19"/>
  <c r="BK264" i="19"/>
  <c r="BO282" i="19"/>
  <c r="BK285" i="19"/>
  <c r="BK268" i="19"/>
  <c r="BO335" i="19"/>
  <c r="BO234" i="19"/>
  <c r="BO260" i="19"/>
  <c r="BK250" i="19"/>
  <c r="BO219" i="19"/>
  <c r="BK231" i="19"/>
  <c r="BO255" i="19"/>
  <c r="BK272" i="19"/>
  <c r="BM283" i="19"/>
  <c r="BO298" i="19"/>
  <c r="BO312" i="19"/>
  <c r="BO181" i="19"/>
  <c r="BO207" i="19"/>
  <c r="BO256" i="19"/>
  <c r="BO311" i="19"/>
  <c r="BK329" i="19"/>
  <c r="C13" i="26"/>
  <c r="CB283" i="24"/>
  <c r="CJ283" i="24"/>
  <c r="CR283" i="24"/>
  <c r="CB288" i="24"/>
  <c r="CJ288" i="24"/>
  <c r="CR288" i="24"/>
  <c r="CB289" i="24"/>
  <c r="CJ289" i="24"/>
  <c r="CR289" i="24"/>
  <c r="CB290" i="24"/>
  <c r="CJ290" i="24"/>
  <c r="CB292" i="24"/>
  <c r="CJ292" i="24"/>
  <c r="CB293" i="24"/>
  <c r="CJ293" i="24"/>
  <c r="CR293" i="24"/>
  <c r="CB295" i="24"/>
  <c r="CJ295" i="24"/>
  <c r="CR295" i="24"/>
  <c r="CB296" i="24"/>
  <c r="CJ296" i="24"/>
  <c r="CR296" i="24"/>
  <c r="CB305" i="24"/>
  <c r="CJ305" i="24"/>
  <c r="CR305" i="24"/>
  <c r="CB308" i="24"/>
  <c r="BC112" i="19"/>
  <c r="BC44" i="19"/>
  <c r="BC45" i="19"/>
  <c r="BC46" i="19"/>
  <c r="BC118" i="19"/>
  <c r="BC99" i="19"/>
  <c r="BC205" i="19"/>
  <c r="BC104" i="19"/>
  <c r="BC265" i="19"/>
  <c r="BC157" i="19"/>
  <c r="BC175" i="19"/>
  <c r="BC176" i="19"/>
  <c r="BC180" i="19"/>
  <c r="BC197" i="19"/>
  <c r="BC198" i="19"/>
  <c r="AO51" i="19"/>
  <c r="AP51" i="19"/>
  <c r="AQ51" i="19" s="1"/>
  <c r="CM51" i="19" s="1"/>
  <c r="AP110" i="19"/>
  <c r="AQ110" i="19" s="1"/>
  <c r="CM110" i="19" s="1"/>
  <c r="AO110" i="19"/>
  <c r="AP154" i="19"/>
  <c r="AQ154" i="19" s="1"/>
  <c r="CM154" i="19" s="1"/>
  <c r="AO169" i="19"/>
  <c r="AP169" i="19"/>
  <c r="AQ169" i="19" s="1"/>
  <c r="CM169" i="19" s="1"/>
  <c r="AP194" i="19"/>
  <c r="AQ194" i="19" s="1"/>
  <c r="CM194" i="19" s="1"/>
  <c r="AP199" i="19"/>
  <c r="AQ199" i="19" s="1"/>
  <c r="CM199" i="19" s="1"/>
  <c r="AO202" i="19"/>
  <c r="AP206" i="19"/>
  <c r="AQ206" i="19" s="1"/>
  <c r="CM206" i="19" s="1"/>
  <c r="AP254" i="19"/>
  <c r="AQ254" i="19" s="1"/>
  <c r="CM254" i="19" s="1"/>
  <c r="AO254" i="19"/>
  <c r="AO293" i="19"/>
  <c r="AP293" i="19"/>
  <c r="AQ293" i="19" s="1"/>
  <c r="CM293" i="19" s="1"/>
  <c r="AO5" i="19"/>
  <c r="AO15" i="19"/>
  <c r="AP50" i="19"/>
  <c r="AQ50" i="19" s="1"/>
  <c r="CM50" i="19" s="1"/>
  <c r="AO50" i="19"/>
  <c r="AP84" i="19"/>
  <c r="AQ84" i="19" s="1"/>
  <c r="CM84" i="19" s="1"/>
  <c r="AO84" i="19"/>
  <c r="AO109" i="19"/>
  <c r="AP109" i="19"/>
  <c r="AQ109" i="19" s="1"/>
  <c r="CM109" i="19" s="1"/>
  <c r="AO118" i="19"/>
  <c r="AP126" i="19"/>
  <c r="AQ126" i="19" s="1"/>
  <c r="CM126" i="19" s="1"/>
  <c r="AO126" i="19"/>
  <c r="AO193" i="19"/>
  <c r="AO194" i="19"/>
  <c r="AO199" i="19"/>
  <c r="AP202" i="19"/>
  <c r="AQ202" i="19" s="1"/>
  <c r="CM202" i="19" s="1"/>
  <c r="AO203" i="19"/>
  <c r="AP233" i="19"/>
  <c r="AQ233" i="19" s="1"/>
  <c r="CM233" i="19" s="1"/>
  <c r="AP236" i="19"/>
  <c r="AQ236" i="19" s="1"/>
  <c r="CM236" i="19" s="1"/>
  <c r="AO236" i="19"/>
  <c r="AP246" i="19"/>
  <c r="AQ246" i="19" s="1"/>
  <c r="CM246" i="19" s="1"/>
  <c r="G246" i="14"/>
  <c r="AP248" i="19"/>
  <c r="AQ248" i="19" s="1"/>
  <c r="CM248" i="19" s="1"/>
  <c r="AP5" i="19"/>
  <c r="AQ5" i="19" s="1"/>
  <c r="CM5" i="19" s="1"/>
  <c r="AO14" i="19"/>
  <c r="AO49" i="19"/>
  <c r="AP49" i="19"/>
  <c r="AQ49" i="19" s="1"/>
  <c r="CM49" i="19" s="1"/>
  <c r="AO106" i="19"/>
  <c r="AO107" i="19"/>
  <c r="AO108" i="19"/>
  <c r="AP108" i="19"/>
  <c r="AQ108" i="19" s="1"/>
  <c r="CM108" i="19" s="1"/>
  <c r="AP118" i="19"/>
  <c r="AQ118" i="19" s="1"/>
  <c r="CM118" i="19" s="1"/>
  <c r="AO119" i="19"/>
  <c r="AP193" i="19"/>
  <c r="AQ193" i="19" s="1"/>
  <c r="CM193" i="19" s="1"/>
  <c r="AP203" i="19"/>
  <c r="AQ203" i="19" s="1"/>
  <c r="CM203" i="19" s="1"/>
  <c r="AO205" i="19"/>
  <c r="AP232" i="19"/>
  <c r="AQ232" i="19" s="1"/>
  <c r="CM232" i="19" s="1"/>
  <c r="AO233" i="19"/>
  <c r="AO244" i="19"/>
  <c r="AO246" i="19"/>
  <c r="AO248" i="19"/>
  <c r="AO263" i="19"/>
  <c r="G263" i="14"/>
  <c r="AO267" i="19"/>
  <c r="AP267" i="19"/>
  <c r="AQ267" i="19" s="1"/>
  <c r="CM267" i="19" s="1"/>
  <c r="AP299" i="19"/>
  <c r="AQ299" i="19" s="1"/>
  <c r="CM299" i="19" s="1"/>
  <c r="AO299" i="19"/>
  <c r="AP9" i="19"/>
  <c r="AQ9" i="19" s="1"/>
  <c r="CM9" i="19" s="1"/>
  <c r="AP42" i="19"/>
  <c r="AQ42" i="19" s="1"/>
  <c r="CM42" i="19" s="1"/>
  <c r="AP65" i="19"/>
  <c r="AQ65" i="19" s="1"/>
  <c r="CM65" i="19" s="1"/>
  <c r="AO68" i="19"/>
  <c r="AO232" i="19"/>
  <c r="AP263" i="19"/>
  <c r="AQ263" i="19" s="1"/>
  <c r="CM263" i="19" s="1"/>
  <c r="AP316" i="19"/>
  <c r="AQ316" i="19" s="1"/>
  <c r="CM316" i="19" s="1"/>
  <c r="AO316" i="19"/>
  <c r="AP4" i="19"/>
  <c r="AQ4" i="19" s="1"/>
  <c r="CM4" i="19" s="1"/>
  <c r="AO4" i="19"/>
  <c r="AO90" i="19"/>
  <c r="AO133" i="19"/>
  <c r="AP178" i="19"/>
  <c r="AQ178" i="19" s="1"/>
  <c r="CM178" i="19" s="1"/>
  <c r="AP189" i="19"/>
  <c r="AQ189" i="19" s="1"/>
  <c r="CM189" i="19" s="1"/>
  <c r="AO189" i="19"/>
  <c r="AP223" i="19"/>
  <c r="AQ223" i="19" s="1"/>
  <c r="CM223" i="19" s="1"/>
  <c r="AO224" i="19"/>
  <c r="AP315" i="19"/>
  <c r="AQ315" i="19" s="1"/>
  <c r="CM315" i="19" s="1"/>
  <c r="BC233" i="19"/>
  <c r="BC249" i="19"/>
  <c r="AP33" i="19"/>
  <c r="AQ33" i="19" s="1"/>
  <c r="CM33" i="19" s="1"/>
  <c r="AP57" i="19"/>
  <c r="AQ57" i="19" s="1"/>
  <c r="CM57" i="19" s="1"/>
  <c r="AO100" i="19"/>
  <c r="AP113" i="19"/>
  <c r="AQ113" i="19" s="1"/>
  <c r="CM113" i="19" s="1"/>
  <c r="AP115" i="19"/>
  <c r="AQ115" i="19" s="1"/>
  <c r="CM115" i="19" s="1"/>
  <c r="AO115" i="19"/>
  <c r="AO175" i="19"/>
  <c r="AP180" i="19"/>
  <c r="AQ180" i="19" s="1"/>
  <c r="CM180" i="19" s="1"/>
  <c r="AP222" i="19"/>
  <c r="AQ222" i="19" s="1"/>
  <c r="CM222" i="19" s="1"/>
  <c r="AP307" i="19"/>
  <c r="AQ307" i="19" s="1"/>
  <c r="CM307" i="19" s="1"/>
  <c r="AO307" i="19"/>
  <c r="AO315" i="19"/>
  <c r="BC228" i="19"/>
  <c r="G236" i="14"/>
  <c r="AP34" i="19"/>
  <c r="AQ34" i="19" s="1"/>
  <c r="CM34" i="19" s="1"/>
  <c r="AO53" i="19"/>
  <c r="AO57" i="19"/>
  <c r="AO99" i="19"/>
  <c r="AP100" i="19"/>
  <c r="AQ100" i="19" s="1"/>
  <c r="CM100" i="19" s="1"/>
  <c r="AP103" i="19"/>
  <c r="AQ103" i="19" s="1"/>
  <c r="CM103" i="19" s="1"/>
  <c r="AO103" i="19"/>
  <c r="AO113" i="19"/>
  <c r="AP175" i="19"/>
  <c r="AQ175" i="19" s="1"/>
  <c r="CM175" i="19" s="1"/>
  <c r="AP213" i="19"/>
  <c r="AQ213" i="19" s="1"/>
  <c r="CM213" i="19" s="1"/>
  <c r="AP221" i="19"/>
  <c r="AQ221" i="19" s="1"/>
  <c r="CM221" i="19" s="1"/>
  <c r="AO222" i="19"/>
  <c r="AP258" i="19"/>
  <c r="AQ258" i="19" s="1"/>
  <c r="CM258" i="19" s="1"/>
  <c r="G258" i="14"/>
  <c r="AO258" i="19"/>
  <c r="AO294" i="19"/>
  <c r="AP314" i="19"/>
  <c r="AQ314" i="19" s="1"/>
  <c r="CM314" i="19" s="1"/>
  <c r="G314" i="14"/>
  <c r="AO314" i="19"/>
  <c r="BC296" i="19"/>
  <c r="AO27" i="19"/>
  <c r="AP112" i="19"/>
  <c r="AQ112" i="19" s="1"/>
  <c r="CM112" i="19" s="1"/>
  <c r="AO112" i="19"/>
  <c r="AP128" i="19"/>
  <c r="AQ128" i="19" s="1"/>
  <c r="CM128" i="19" s="1"/>
  <c r="AP207" i="19"/>
  <c r="AQ207" i="19" s="1"/>
  <c r="CM207" i="19" s="1"/>
  <c r="AO221" i="19"/>
  <c r="AP253" i="19"/>
  <c r="AQ253" i="19" s="1"/>
  <c r="CM253" i="19" s="1"/>
  <c r="G34" i="14"/>
  <c r="AO259" i="19"/>
  <c r="AO273" i="19"/>
  <c r="AO274" i="19"/>
  <c r="AO275" i="19"/>
  <c r="AP321" i="19"/>
  <c r="AQ321" i="19" s="1"/>
  <c r="CM321" i="19" s="1"/>
  <c r="AP323" i="19"/>
  <c r="AQ323" i="19" s="1"/>
  <c r="CM323" i="19" s="1"/>
  <c r="AO12" i="19"/>
  <c r="AO20" i="19"/>
  <c r="AP31" i="19"/>
  <c r="AQ31" i="19" s="1"/>
  <c r="CM31" i="19" s="1"/>
  <c r="AP45" i="19"/>
  <c r="AQ45" i="19" s="1"/>
  <c r="CM45" i="19" s="1"/>
  <c r="AP66" i="19"/>
  <c r="AQ66" i="19" s="1"/>
  <c r="CM66" i="19" s="1"/>
  <c r="AQ96" i="19"/>
  <c r="CM96" i="19" s="1"/>
  <c r="AO97" i="19"/>
  <c r="AP105" i="19"/>
  <c r="AQ105" i="19" s="1"/>
  <c r="CM105" i="19" s="1"/>
  <c r="AP135" i="19"/>
  <c r="AQ135" i="19" s="1"/>
  <c r="CM135" i="19" s="1"/>
  <c r="AO136" i="19"/>
  <c r="AO137" i="19"/>
  <c r="AO138" i="19"/>
  <c r="AP139" i="19"/>
  <c r="AQ139" i="19" s="1"/>
  <c r="CM139" i="19" s="1"/>
  <c r="AO140" i="19"/>
  <c r="AO141" i="19"/>
  <c r="AO142" i="19"/>
  <c r="AP165" i="19"/>
  <c r="AQ165" i="19" s="1"/>
  <c r="CM165" i="19" s="1"/>
  <c r="AP182" i="19"/>
  <c r="AQ182" i="19" s="1"/>
  <c r="CM182" i="19" s="1"/>
  <c r="AO237" i="19"/>
  <c r="AO239" i="19"/>
  <c r="AP261" i="19"/>
  <c r="AQ261" i="19" s="1"/>
  <c r="CM261" i="19" s="1"/>
  <c r="AO282" i="19"/>
  <c r="AP291" i="19"/>
  <c r="AQ291" i="19" s="1"/>
  <c r="CM291" i="19" s="1"/>
  <c r="AP296" i="19"/>
  <c r="AQ296" i="19" s="1"/>
  <c r="CM296" i="19" s="1"/>
  <c r="AO303" i="19"/>
  <c r="AO310" i="19"/>
  <c r="AO312" i="19"/>
  <c r="AO318" i="19"/>
  <c r="T19" i="26"/>
  <c r="U16" i="26"/>
  <c r="U20" i="26"/>
  <c r="U21" i="26"/>
  <c r="T18" i="26"/>
  <c r="U40" i="26"/>
  <c r="T35" i="26"/>
  <c r="T37" i="26"/>
  <c r="T40" i="26"/>
  <c r="U35" i="26"/>
  <c r="T43" i="26"/>
  <c r="T36" i="26"/>
  <c r="U39" i="26"/>
  <c r="U43" i="26"/>
  <c r="AE12" i="19"/>
  <c r="AX115" i="13"/>
  <c r="AX179" i="13"/>
  <c r="AH11" i="19"/>
  <c r="BA11" i="19"/>
  <c r="BA36" i="19"/>
  <c r="AH36" i="19"/>
  <c r="AH68" i="19"/>
  <c r="BA188" i="19"/>
  <c r="AH188" i="19"/>
  <c r="AX123" i="13"/>
  <c r="AX124" i="13"/>
  <c r="AX125" i="13"/>
  <c r="AX126" i="13"/>
  <c r="AX127" i="13"/>
  <c r="AX128" i="13"/>
  <c r="AX129" i="13"/>
  <c r="AX84" i="13"/>
  <c r="AX85" i="13"/>
  <c r="AX86" i="13"/>
  <c r="AX87" i="13"/>
  <c r="AX88" i="13"/>
  <c r="AX89" i="13"/>
  <c r="AX132" i="13"/>
  <c r="AX133" i="13"/>
  <c r="AX134" i="13"/>
  <c r="AX135" i="13"/>
  <c r="AX136" i="13"/>
  <c r="AX137" i="13"/>
  <c r="AX141" i="13"/>
  <c r="AX142" i="13"/>
  <c r="AX143" i="13"/>
  <c r="AX144" i="13"/>
  <c r="AX145" i="13"/>
  <c r="AX78" i="13"/>
  <c r="AX94" i="13"/>
  <c r="AX95" i="13"/>
  <c r="AX96" i="13"/>
  <c r="AX97" i="13"/>
  <c r="AX150" i="13"/>
  <c r="AX151" i="13"/>
  <c r="AX152" i="13"/>
  <c r="AX153" i="13"/>
  <c r="AZ11" i="19"/>
  <c r="AX159" i="13"/>
  <c r="AX160" i="13"/>
  <c r="AX161" i="13"/>
  <c r="AG3" i="19"/>
  <c r="AX100" i="13"/>
  <c r="AX101" i="13"/>
  <c r="AX102" i="13"/>
  <c r="AX103" i="13"/>
  <c r="AX104" i="13"/>
  <c r="AX105" i="13"/>
  <c r="AX168" i="13"/>
  <c r="AX169" i="13"/>
  <c r="AH19" i="19"/>
  <c r="AH21" i="19"/>
  <c r="AH27" i="19"/>
  <c r="AH29" i="19"/>
  <c r="AH31" i="19"/>
  <c r="BA35" i="19"/>
  <c r="AH35" i="19"/>
  <c r="BA48" i="19"/>
  <c r="AH59" i="19"/>
  <c r="BA87" i="19"/>
  <c r="AH99" i="19"/>
  <c r="BA99" i="19"/>
  <c r="AH103" i="19"/>
  <c r="BA103" i="19"/>
  <c r="BA107" i="19"/>
  <c r="AH107" i="19"/>
  <c r="BA111" i="19"/>
  <c r="BA118" i="19"/>
  <c r="AH118" i="19"/>
  <c r="AH126" i="19"/>
  <c r="AH134" i="19"/>
  <c r="BA134" i="19"/>
  <c r="BA150" i="19"/>
  <c r="AH150" i="19"/>
  <c r="BA154" i="19"/>
  <c r="AH154" i="19"/>
  <c r="BA158" i="19"/>
  <c r="BA160" i="19"/>
  <c r="BA162" i="19"/>
  <c r="AH162" i="19"/>
  <c r="BA170" i="19"/>
  <c r="AH170" i="19"/>
  <c r="AG175" i="19"/>
  <c r="BA178" i="19"/>
  <c r="AH178" i="19"/>
  <c r="BA194" i="19"/>
  <c r="AH194" i="19"/>
  <c r="BA198" i="19"/>
  <c r="AH198" i="19"/>
  <c r="AX5" i="6"/>
  <c r="AX9" i="6"/>
  <c r="AX13" i="6"/>
  <c r="AX17" i="6"/>
  <c r="AX21" i="6"/>
  <c r="AX25" i="6"/>
  <c r="AX29" i="6"/>
  <c r="AX33" i="6"/>
  <c r="AX37" i="6"/>
  <c r="AX41" i="6"/>
  <c r="AX45" i="6"/>
  <c r="AX49" i="6"/>
  <c r="AX53" i="6"/>
  <c r="AX57" i="6"/>
  <c r="AX61" i="6"/>
  <c r="AX65" i="6"/>
  <c r="AX69" i="6"/>
  <c r="AX73" i="6"/>
  <c r="AX77" i="6"/>
  <c r="AX81" i="6"/>
  <c r="AX85" i="6"/>
  <c r="AX89" i="6"/>
  <c r="AX93" i="6"/>
  <c r="AX97" i="6"/>
  <c r="AX101" i="6"/>
  <c r="AX105" i="6"/>
  <c r="AX109" i="6"/>
  <c r="AX113" i="6"/>
  <c r="AX117" i="6"/>
  <c r="AX121" i="6"/>
  <c r="AX125" i="6"/>
  <c r="AX129" i="6"/>
  <c r="AX133" i="6"/>
  <c r="AX137" i="6"/>
  <c r="AX141" i="6"/>
  <c r="AX145" i="6"/>
  <c r="AX149" i="6"/>
  <c r="AX153" i="6"/>
  <c r="AX157" i="6"/>
  <c r="AX161" i="6"/>
  <c r="AX165" i="6"/>
  <c r="AX169" i="6"/>
  <c r="AX173" i="6"/>
  <c r="AX177" i="6"/>
  <c r="AX181" i="6"/>
  <c r="AX185" i="6"/>
  <c r="AX189" i="6"/>
  <c r="AX193" i="6"/>
  <c r="AX197" i="6"/>
  <c r="BA221" i="19"/>
  <c r="AH221" i="19"/>
  <c r="AH223" i="19"/>
  <c r="BA237" i="19"/>
  <c r="AH237" i="19"/>
  <c r="AH238" i="19"/>
  <c r="BA241" i="19"/>
  <c r="AH241" i="19"/>
  <c r="BA242" i="19"/>
  <c r="BA245" i="19"/>
  <c r="AH245" i="19"/>
  <c r="AH246" i="19"/>
  <c r="BA247" i="19"/>
  <c r="BA249" i="19"/>
  <c r="AH249" i="19"/>
  <c r="BA255" i="19"/>
  <c r="AH257" i="19"/>
  <c r="BA257" i="19"/>
  <c r="BA261" i="19"/>
  <c r="AH261" i="19"/>
  <c r="BA263" i="19"/>
  <c r="BA269" i="19"/>
  <c r="AH269" i="19"/>
  <c r="AH273" i="19"/>
  <c r="BA277" i="19"/>
  <c r="AH277" i="19"/>
  <c r="AH285" i="19"/>
  <c r="BA287" i="19"/>
  <c r="BA289" i="19"/>
  <c r="AH289" i="19"/>
  <c r="AH293" i="19"/>
  <c r="BA293" i="19"/>
  <c r="BA297" i="19"/>
  <c r="AH297" i="19"/>
  <c r="AH302" i="19"/>
  <c r="BA303" i="19"/>
  <c r="AH305" i="19"/>
  <c r="AX198" i="6"/>
  <c r="AY203" i="6"/>
  <c r="AX203" i="6"/>
  <c r="BA228" i="19"/>
  <c r="AH228" i="19"/>
  <c r="AH236" i="19"/>
  <c r="AH244" i="19"/>
  <c r="BA244" i="19"/>
  <c r="BA260" i="19"/>
  <c r="AH260" i="19"/>
  <c r="BA276" i="19"/>
  <c r="AH276" i="19"/>
  <c r="BA292" i="19"/>
  <c r="AH292" i="19"/>
  <c r="BA296" i="19"/>
  <c r="BA308" i="19"/>
  <c r="AX6" i="6"/>
  <c r="AX10" i="6"/>
  <c r="AX14" i="6"/>
  <c r="AX18" i="6"/>
  <c r="AX22" i="6"/>
  <c r="AX26" i="6"/>
  <c r="AX30" i="6"/>
  <c r="AX34" i="6"/>
  <c r="AX38" i="6"/>
  <c r="AX42" i="6"/>
  <c r="AX46" i="6"/>
  <c r="AX50" i="6"/>
  <c r="AX54" i="6"/>
  <c r="AX58" i="6"/>
  <c r="AX62" i="6"/>
  <c r="AX66" i="6"/>
  <c r="AX70" i="6"/>
  <c r="AX74" i="6"/>
  <c r="AX78" i="6"/>
  <c r="AX82" i="6"/>
  <c r="AX86" i="6"/>
  <c r="AX90" i="6"/>
  <c r="AX94" i="6"/>
  <c r="AX98" i="6"/>
  <c r="AX102" i="6"/>
  <c r="AX106" i="6"/>
  <c r="AX110" i="6"/>
  <c r="AX114" i="6"/>
  <c r="AX118" i="6"/>
  <c r="AX122" i="6"/>
  <c r="AX126" i="6"/>
  <c r="AX130" i="6"/>
  <c r="AX134" i="6"/>
  <c r="AX138" i="6"/>
  <c r="AX142" i="6"/>
  <c r="AX146" i="6"/>
  <c r="AX150" i="6"/>
  <c r="AX154" i="6"/>
  <c r="AX158" i="6"/>
  <c r="AX162" i="6"/>
  <c r="AX166" i="6"/>
  <c r="AX170" i="6"/>
  <c r="AX174" i="6"/>
  <c r="AX178" i="6"/>
  <c r="AX182" i="6"/>
  <c r="AX186" i="6"/>
  <c r="AX190" i="6"/>
  <c r="AX194" i="6"/>
  <c r="AY205" i="6"/>
  <c r="AX205" i="6"/>
  <c r="AX206" i="6"/>
  <c r="AX15" i="6"/>
  <c r="AX19" i="6"/>
  <c r="AX23" i="6"/>
  <c r="AX27" i="6"/>
  <c r="AX31" i="6"/>
  <c r="AX35" i="6"/>
  <c r="AX39" i="6"/>
  <c r="AX43" i="6"/>
  <c r="AX47" i="6"/>
  <c r="AX51" i="6"/>
  <c r="AX55" i="6"/>
  <c r="AX59" i="6"/>
  <c r="AX63" i="6"/>
  <c r="AX67" i="6"/>
  <c r="AX71" i="6"/>
  <c r="AX75" i="6"/>
  <c r="AX79" i="6"/>
  <c r="AX83" i="6"/>
  <c r="AX87" i="6"/>
  <c r="AX91" i="6"/>
  <c r="AX95" i="6"/>
  <c r="AX99" i="6"/>
  <c r="AX103" i="6"/>
  <c r="AX107" i="6"/>
  <c r="AX111" i="6"/>
  <c r="AX115" i="6"/>
  <c r="AX119" i="6"/>
  <c r="AX123" i="6"/>
  <c r="AX127" i="6"/>
  <c r="AX131" i="6"/>
  <c r="AX135" i="6"/>
  <c r="AX139" i="6"/>
  <c r="AX143" i="6"/>
  <c r="AX147" i="6"/>
  <c r="AX151" i="6"/>
  <c r="AX155" i="6"/>
  <c r="AX159" i="6"/>
  <c r="AX163" i="6"/>
  <c r="AX167" i="6"/>
  <c r="AX179" i="6"/>
  <c r="AX183" i="6"/>
  <c r="AX187" i="6"/>
  <c r="AX191" i="6"/>
  <c r="AX195" i="6"/>
  <c r="AY207" i="6"/>
  <c r="AX208" i="6"/>
  <c r="AY209" i="6"/>
  <c r="AX210" i="6"/>
  <c r="AX200" i="6"/>
  <c r="AY208" i="6"/>
  <c r="AX48" i="6"/>
  <c r="AX52" i="6"/>
  <c r="AX56" i="6"/>
  <c r="AX60" i="6"/>
  <c r="AX72" i="6"/>
  <c r="AX76" i="6"/>
  <c r="AX80" i="6"/>
  <c r="AX84" i="6"/>
  <c r="AX88" i="6"/>
  <c r="AX92" i="6"/>
  <c r="AX96" i="6"/>
  <c r="AX100" i="6"/>
  <c r="AX104" i="6"/>
  <c r="AX108" i="6"/>
  <c r="AX112" i="6"/>
  <c r="AX116" i="6"/>
  <c r="AX120" i="6"/>
  <c r="AX124" i="6"/>
  <c r="AX128" i="6"/>
  <c r="AX132" i="6"/>
  <c r="AX136" i="6"/>
  <c r="AX140" i="6"/>
  <c r="AX144" i="6"/>
  <c r="AX148" i="6"/>
  <c r="AX152" i="6"/>
  <c r="AX156" i="6"/>
  <c r="AX160" i="6"/>
  <c r="AX164" i="6"/>
  <c r="AX168" i="6"/>
  <c r="AX172" i="6"/>
  <c r="AX176" i="6"/>
  <c r="AX180" i="6"/>
  <c r="AY201" i="6"/>
  <c r="AX201" i="6"/>
  <c r="BA211" i="19"/>
  <c r="AH211" i="19"/>
  <c r="AY213" i="6"/>
  <c r="AX214" i="6"/>
  <c r="AY217" i="6"/>
  <c r="AX218" i="6"/>
  <c r="AX222" i="6"/>
  <c r="AX226" i="6"/>
  <c r="AX230" i="6"/>
  <c r="AX234" i="6"/>
  <c r="AX238" i="6"/>
  <c r="AX242" i="6"/>
  <c r="AX246" i="6"/>
  <c r="AX250" i="6"/>
  <c r="AX254" i="6"/>
  <c r="AX258" i="6"/>
  <c r="AX262" i="6"/>
  <c r="AX266" i="6"/>
  <c r="AX270" i="6"/>
  <c r="AX274" i="6"/>
  <c r="AX278" i="6"/>
  <c r="AX282" i="6"/>
  <c r="AX286" i="6"/>
  <c r="AX290" i="6"/>
  <c r="AX294" i="6"/>
  <c r="AX298" i="6"/>
  <c r="AX302" i="6"/>
  <c r="AX306" i="6"/>
  <c r="AX310" i="6"/>
  <c r="AX314" i="6"/>
  <c r="AX318" i="6"/>
  <c r="AX322" i="6"/>
  <c r="AX324" i="6"/>
  <c r="AZ324" i="19" s="1"/>
  <c r="BC165" i="19"/>
  <c r="BC167" i="19"/>
  <c r="BC169" i="19"/>
  <c r="AX207" i="6"/>
  <c r="AX211" i="6"/>
  <c r="AX215" i="6"/>
  <c r="AX219" i="6"/>
  <c r="AX223" i="6"/>
  <c r="AX227" i="6"/>
  <c r="AX231" i="6"/>
  <c r="AX235" i="6"/>
  <c r="AX239" i="6"/>
  <c r="AX243" i="6"/>
  <c r="AX247" i="6"/>
  <c r="AX251" i="6"/>
  <c r="AX255" i="6"/>
  <c r="AX259" i="6"/>
  <c r="AX263" i="6"/>
  <c r="AX267" i="6"/>
  <c r="AX271" i="6"/>
  <c r="AX275" i="6"/>
  <c r="AX279" i="6"/>
  <c r="AX283" i="6"/>
  <c r="AX287" i="6"/>
  <c r="AX291" i="6"/>
  <c r="AX295" i="6"/>
  <c r="AX299" i="6"/>
  <c r="AX303" i="6"/>
  <c r="AX307" i="6"/>
  <c r="AX311" i="6"/>
  <c r="AX315" i="6"/>
  <c r="AX319" i="6"/>
  <c r="AX323" i="6"/>
  <c r="BC229" i="19"/>
  <c r="BC230" i="19"/>
  <c r="BC158" i="19"/>
  <c r="BC160" i="19"/>
  <c r="AX327" i="6"/>
  <c r="AZ327" i="19" s="1"/>
  <c r="BC138" i="19"/>
  <c r="BC145" i="19"/>
  <c r="BC186" i="19"/>
  <c r="BC187" i="19"/>
  <c r="BC201" i="19"/>
  <c r="BC225" i="19"/>
  <c r="BC226" i="19"/>
  <c r="BC236" i="19"/>
  <c r="BC247" i="19"/>
  <c r="AX209" i="6"/>
  <c r="AX213" i="6"/>
  <c r="AX217" i="6"/>
  <c r="AX221" i="6"/>
  <c r="AX225" i="6"/>
  <c r="AX229" i="6"/>
  <c r="AX233" i="6"/>
  <c r="AX237" i="6"/>
  <c r="AX241" i="6"/>
  <c r="AX245" i="6"/>
  <c r="AX249" i="6"/>
  <c r="AX253" i="6"/>
  <c r="AX257" i="6"/>
  <c r="AX261" i="6"/>
  <c r="AX265" i="6"/>
  <c r="AX269" i="6"/>
  <c r="AX273" i="6"/>
  <c r="AX277" i="6"/>
  <c r="AX281" i="6"/>
  <c r="AX285" i="6"/>
  <c r="AX289" i="6"/>
  <c r="AX293" i="6"/>
  <c r="AX297" i="6"/>
  <c r="AX301" i="6"/>
  <c r="AX305" i="6"/>
  <c r="AX309" i="6"/>
  <c r="AX313" i="6"/>
  <c r="AX317" i="6"/>
  <c r="AX321" i="6"/>
  <c r="AY328" i="6"/>
  <c r="AH328" i="19" s="1"/>
  <c r="BC129" i="19"/>
  <c r="BC132" i="19"/>
  <c r="BC139" i="19"/>
  <c r="BC182" i="19"/>
  <c r="BC232" i="19"/>
  <c r="BC164" i="19"/>
  <c r="BC172" i="19"/>
  <c r="CE86" i="24"/>
  <c r="CM86" i="24"/>
  <c r="CU86" i="24"/>
  <c r="CE108" i="24"/>
  <c r="CM108" i="24"/>
  <c r="CU108" i="24"/>
  <c r="CE116" i="24"/>
  <c r="CM116" i="24"/>
  <c r="CU116" i="24"/>
  <c r="CU125" i="24"/>
  <c r="CU132" i="24"/>
  <c r="CU133" i="24"/>
  <c r="CE134" i="24"/>
  <c r="CM134" i="24"/>
  <c r="CU134" i="24"/>
  <c r="FP68" i="20"/>
  <c r="FF125" i="20"/>
  <c r="FF151" i="20"/>
  <c r="FK157" i="20"/>
  <c r="FQ208" i="20"/>
  <c r="FL221" i="20"/>
  <c r="FK242" i="20"/>
  <c r="FK35" i="20"/>
  <c r="FG37" i="20"/>
  <c r="FP67" i="20"/>
  <c r="FK129" i="20"/>
  <c r="FL219" i="20"/>
  <c r="FQ5" i="20"/>
  <c r="FL47" i="20"/>
  <c r="FK110" i="20"/>
  <c r="FG17" i="20"/>
  <c r="FF135" i="20"/>
  <c r="FK44" i="20"/>
  <c r="FP123" i="20"/>
  <c r="FK127" i="20"/>
  <c r="FK128" i="20"/>
  <c r="FF141" i="20"/>
  <c r="FP174" i="20"/>
  <c r="FG230" i="20"/>
  <c r="FK63" i="20"/>
  <c r="FL68" i="20"/>
  <c r="FG76" i="20"/>
  <c r="FP274" i="20"/>
  <c r="FK132" i="20"/>
  <c r="FQ156" i="20"/>
  <c r="FF322" i="20"/>
  <c r="FL8" i="20"/>
  <c r="FK251" i="20"/>
  <c r="FF296" i="20"/>
  <c r="FQ102" i="20"/>
  <c r="FY5" i="20"/>
  <c r="FF36" i="20"/>
  <c r="FF104" i="20"/>
  <c r="FL175" i="20"/>
  <c r="FP177" i="20"/>
  <c r="FP230" i="20"/>
  <c r="CE215" i="24"/>
  <c r="G43" i="14"/>
  <c r="G16" i="14"/>
  <c r="G55" i="14"/>
  <c r="BI98" i="19"/>
  <c r="BJ98" i="19" s="1"/>
  <c r="G53" i="14"/>
  <c r="BK24" i="19"/>
  <c r="BK58" i="19"/>
  <c r="BK59" i="19"/>
  <c r="BK175" i="19"/>
  <c r="BK198" i="19"/>
  <c r="BK199" i="19"/>
  <c r="BK229" i="19"/>
  <c r="BO317" i="19"/>
  <c r="BO142" i="19"/>
  <c r="BK150" i="19"/>
  <c r="BO167" i="19"/>
  <c r="BO176" i="19"/>
  <c r="BK191" i="19"/>
  <c r="BK196" i="19"/>
  <c r="BK225" i="19"/>
  <c r="BK257" i="19"/>
  <c r="BK267" i="19"/>
  <c r="BO269" i="19"/>
  <c r="BK273" i="19"/>
  <c r="BO276" i="19"/>
  <c r="BK277" i="19"/>
  <c r="BO310" i="19"/>
  <c r="BO315" i="19"/>
  <c r="BO316" i="19"/>
  <c r="G102" i="14"/>
  <c r="G193" i="14"/>
  <c r="BO14" i="19"/>
  <c r="BK210" i="19"/>
  <c r="BK217" i="19"/>
  <c r="G181" i="14"/>
  <c r="G260" i="14"/>
  <c r="BK18" i="19"/>
  <c r="BO141" i="19"/>
  <c r="BO159" i="19"/>
  <c r="BK195" i="19"/>
  <c r="BO278" i="19"/>
  <c r="BK284" i="19"/>
  <c r="BO294" i="19"/>
  <c r="BK304" i="19"/>
  <c r="BO319" i="19"/>
  <c r="G227" i="14"/>
  <c r="G313" i="14"/>
  <c r="BO3" i="19"/>
  <c r="BK15" i="19"/>
  <c r="BO18" i="19"/>
  <c r="BO33" i="19"/>
  <c r="BO148" i="19"/>
  <c r="BO161" i="19"/>
  <c r="BK168" i="19"/>
  <c r="BO179" i="19"/>
  <c r="BO189" i="19"/>
  <c r="BK202" i="19"/>
  <c r="BK247" i="19"/>
  <c r="BO286" i="19"/>
  <c r="BK292" i="19"/>
  <c r="BO336" i="19"/>
  <c r="G91" i="14"/>
  <c r="G289" i="14"/>
  <c r="BK9" i="19"/>
  <c r="BK23" i="19"/>
  <c r="BO39" i="19"/>
  <c r="BK44" i="19"/>
  <c r="BK47" i="19"/>
  <c r="BO51" i="19"/>
  <c r="BO64" i="19"/>
  <c r="BO98" i="19"/>
  <c r="BK121" i="19"/>
  <c r="BK138" i="19"/>
  <c r="BK156" i="19"/>
  <c r="BO180" i="19"/>
  <c r="BK187" i="19"/>
  <c r="BO223" i="19"/>
  <c r="BK239" i="19"/>
  <c r="BK280" i="19"/>
  <c r="BK289" i="19"/>
  <c r="BK307" i="19"/>
  <c r="BO23" i="19"/>
  <c r="BO42" i="19"/>
  <c r="BO47" i="19"/>
  <c r="BO50" i="19"/>
  <c r="BK103" i="19"/>
  <c r="BK177" i="19"/>
  <c r="BK288" i="19"/>
  <c r="BO290" i="19"/>
  <c r="BK297" i="19"/>
  <c r="BK300" i="19"/>
  <c r="CG199" i="24"/>
  <c r="CO199" i="24"/>
  <c r="CW199" i="24"/>
  <c r="CG201" i="24"/>
  <c r="CO201" i="24"/>
  <c r="CW201" i="24"/>
  <c r="CG203" i="24"/>
  <c r="CO203" i="24"/>
  <c r="CW203" i="24"/>
  <c r="CG204" i="24"/>
  <c r="CO204" i="24"/>
  <c r="CW204" i="24"/>
  <c r="CG205" i="24"/>
  <c r="CO205" i="24"/>
  <c r="CW205" i="24"/>
  <c r="CG206" i="24"/>
  <c r="CO207" i="24"/>
  <c r="CG208" i="24"/>
  <c r="CW208" i="24"/>
  <c r="CG211" i="24"/>
  <c r="BC28" i="19"/>
  <c r="BC5" i="19"/>
  <c r="BC7" i="19"/>
  <c r="BC15" i="19"/>
  <c r="BC23" i="19"/>
  <c r="BC31" i="19"/>
  <c r="BC39" i="19"/>
  <c r="BC18" i="19"/>
  <c r="BC26" i="19"/>
  <c r="BC34" i="19"/>
  <c r="BC42" i="19"/>
  <c r="BC2" i="19"/>
  <c r="BC12" i="19"/>
  <c r="BC3" i="19"/>
  <c r="BC13" i="19"/>
  <c r="BC21" i="19"/>
  <c r="BC29" i="19"/>
  <c r="BC37" i="19"/>
  <c r="BC6" i="19"/>
  <c r="BC8" i="19"/>
  <c r="BC16" i="19"/>
  <c r="BC24" i="19"/>
  <c r="BC32" i="19"/>
  <c r="BC40" i="19"/>
  <c r="BC20" i="19"/>
  <c r="BC36" i="19"/>
  <c r="BC11" i="19"/>
  <c r="BC19" i="19"/>
  <c r="BC27" i="19"/>
  <c r="BC35" i="19"/>
  <c r="BC43" i="19"/>
  <c r="BC4" i="19"/>
  <c r="BC14" i="19"/>
  <c r="BC22" i="19"/>
  <c r="BC30" i="19"/>
  <c r="BC38" i="19"/>
  <c r="BC9" i="19"/>
  <c r="BC17" i="19"/>
  <c r="BC25" i="19"/>
  <c r="BC33" i="19"/>
  <c r="BC41" i="19"/>
  <c r="BC71" i="19"/>
  <c r="BC58" i="19"/>
  <c r="BC66" i="19"/>
  <c r="BC74" i="19"/>
  <c r="BC82" i="19"/>
  <c r="BC90" i="19"/>
  <c r="BC94" i="19"/>
  <c r="BC108" i="19"/>
  <c r="BC55" i="19"/>
  <c r="BC53" i="19"/>
  <c r="BC61" i="19"/>
  <c r="BC69" i="19"/>
  <c r="BC77" i="19"/>
  <c r="BC85" i="19"/>
  <c r="BC93" i="19"/>
  <c r="BC87" i="19"/>
  <c r="BC56" i="19"/>
  <c r="BC64" i="19"/>
  <c r="BC72" i="19"/>
  <c r="BC80" i="19"/>
  <c r="BC88" i="19"/>
  <c r="BC96" i="19"/>
  <c r="BC48" i="19"/>
  <c r="BC51" i="19"/>
  <c r="BC59" i="19"/>
  <c r="BC67" i="19"/>
  <c r="BC75" i="19"/>
  <c r="BC83" i="19"/>
  <c r="BC91" i="19"/>
  <c r="BC95" i="19"/>
  <c r="BC97" i="19"/>
  <c r="BC63" i="19"/>
  <c r="BC79" i="19"/>
  <c r="BC49" i="19"/>
  <c r="BC54" i="19"/>
  <c r="BC62" i="19"/>
  <c r="BC70" i="19"/>
  <c r="BC78" i="19"/>
  <c r="BC86" i="19"/>
  <c r="BC98" i="19"/>
  <c r="BC117" i="19"/>
  <c r="BC47" i="19"/>
  <c r="BC50" i="19"/>
  <c r="BC57" i="19"/>
  <c r="BC65" i="19"/>
  <c r="BC73" i="19"/>
  <c r="BC81" i="19"/>
  <c r="BC89" i="19"/>
  <c r="BC52" i="19"/>
  <c r="BC60" i="19"/>
  <c r="BC68" i="19"/>
  <c r="BC76" i="19"/>
  <c r="BC84" i="19"/>
  <c r="BC92" i="19"/>
  <c r="BC101" i="19"/>
  <c r="BC114" i="19"/>
  <c r="BC120" i="19"/>
  <c r="BC123" i="19"/>
  <c r="BC135" i="19"/>
  <c r="BC141" i="19"/>
  <c r="BC153" i="19"/>
  <c r="BC106" i="19"/>
  <c r="BC110" i="19"/>
  <c r="BC128" i="19"/>
  <c r="BC102" i="19"/>
  <c r="BC115" i="19"/>
  <c r="BC116" i="19"/>
  <c r="BC119" i="19"/>
  <c r="BC122" i="19"/>
  <c r="BC125" i="19"/>
  <c r="BC131" i="19"/>
  <c r="BC134" i="19"/>
  <c r="BC137" i="19"/>
  <c r="BC188" i="19"/>
  <c r="BC100" i="19"/>
  <c r="BC124" i="19"/>
  <c r="BC127" i="19"/>
  <c r="BC130" i="19"/>
  <c r="BC140" i="19"/>
  <c r="BC149" i="19"/>
  <c r="BC103" i="19"/>
  <c r="BC107" i="19"/>
  <c r="BC111" i="19"/>
  <c r="BC133" i="19"/>
  <c r="BC136" i="19"/>
  <c r="BC142" i="19"/>
  <c r="BC184" i="19"/>
  <c r="BC105" i="19"/>
  <c r="BC109" i="19"/>
  <c r="BC113" i="19"/>
  <c r="BC121" i="19"/>
  <c r="BC126" i="19"/>
  <c r="BC163" i="19"/>
  <c r="BC179" i="19"/>
  <c r="BC162" i="19"/>
  <c r="BC173" i="19"/>
  <c r="BC183" i="19"/>
  <c r="BC166" i="19"/>
  <c r="BC168" i="19"/>
  <c r="BC177" i="19"/>
  <c r="BC222" i="19"/>
  <c r="BC147" i="19"/>
  <c r="BC148" i="19"/>
  <c r="BC151" i="19"/>
  <c r="BC152" i="19"/>
  <c r="BC170" i="19"/>
  <c r="BC181" i="19"/>
  <c r="BC143" i="19"/>
  <c r="BC150" i="19"/>
  <c r="BC159" i="19"/>
  <c r="BC161" i="19"/>
  <c r="BC144" i="19"/>
  <c r="BC146" i="19"/>
  <c r="BC154" i="19"/>
  <c r="BC171" i="19"/>
  <c r="BC174" i="19"/>
  <c r="BC155" i="19"/>
  <c r="BC156" i="19"/>
  <c r="BC178" i="19"/>
  <c r="BC196" i="19"/>
  <c r="BC191" i="19"/>
  <c r="BC199" i="19"/>
  <c r="BC189" i="19"/>
  <c r="BC190" i="19"/>
  <c r="BC192" i="19"/>
  <c r="BC185" i="19"/>
  <c r="BC207" i="19"/>
  <c r="BC213" i="19"/>
  <c r="BC221" i="19"/>
  <c r="BC224" i="19"/>
  <c r="BC214" i="19"/>
  <c r="BC216" i="19"/>
  <c r="BC218" i="19"/>
  <c r="BC220" i="19"/>
  <c r="BC200" i="19"/>
  <c r="BC203" i="19"/>
  <c r="BC204" i="19"/>
  <c r="BC208" i="19"/>
  <c r="BC234" i="19"/>
  <c r="BC195" i="19"/>
  <c r="BC202" i="19"/>
  <c r="BC209" i="19"/>
  <c r="BC223" i="19"/>
  <c r="BC227" i="19"/>
  <c r="BC231" i="19"/>
  <c r="BC238" i="19"/>
  <c r="BC251" i="19"/>
  <c r="BC194" i="19"/>
  <c r="BC206" i="19"/>
  <c r="BC211" i="19"/>
  <c r="BC212" i="19"/>
  <c r="BC215" i="19"/>
  <c r="BC217" i="19"/>
  <c r="BC219" i="19"/>
  <c r="BC235" i="19"/>
  <c r="BC246" i="19"/>
  <c r="BC193" i="19"/>
  <c r="BC210" i="19"/>
  <c r="BC243" i="19"/>
  <c r="BC266" i="19"/>
  <c r="BC240" i="19"/>
  <c r="BC241" i="19"/>
  <c r="BC245" i="19"/>
  <c r="BC282" i="19"/>
  <c r="BC237" i="19"/>
  <c r="BC257" i="19"/>
  <c r="BC259" i="19"/>
  <c r="BC288" i="19"/>
  <c r="BC242" i="19"/>
  <c r="BC250" i="19"/>
  <c r="BC258" i="19"/>
  <c r="BC270" i="19"/>
  <c r="BC304" i="19"/>
  <c r="BC312" i="19"/>
  <c r="AO121" i="19"/>
  <c r="AP121" i="19"/>
  <c r="AQ121" i="19" s="1"/>
  <c r="CM121" i="19" s="1"/>
  <c r="AP241" i="19"/>
  <c r="AQ241" i="19" s="1"/>
  <c r="CM241" i="19" s="1"/>
  <c r="AO241" i="19"/>
  <c r="AO247" i="19"/>
  <c r="AP247" i="19"/>
  <c r="AQ247" i="19" s="1"/>
  <c r="CM247" i="19" s="1"/>
  <c r="BC252" i="19"/>
  <c r="BC260" i="19"/>
  <c r="BC290" i="19"/>
  <c r="BC316" i="19"/>
  <c r="BC239" i="19"/>
  <c r="BC244" i="19"/>
  <c r="BC248" i="19"/>
  <c r="BC253" i="19"/>
  <c r="BC261" i="19"/>
  <c r="BC264" i="19"/>
  <c r="BC273" i="19"/>
  <c r="BC284" i="19"/>
  <c r="BC254" i="19"/>
  <c r="BC262" i="19"/>
  <c r="BC278" i="19"/>
  <c r="BC300" i="19"/>
  <c r="BC308" i="19"/>
  <c r="BC255" i="19"/>
  <c r="BC263" i="19"/>
  <c r="BC286" i="19"/>
  <c r="BC256" i="19"/>
  <c r="BC267" i="19"/>
  <c r="BC275" i="19"/>
  <c r="BC291" i="19"/>
  <c r="BC323" i="19"/>
  <c r="BC272" i="19"/>
  <c r="BC279" i="19"/>
  <c r="BC292" i="19"/>
  <c r="BC295" i="19"/>
  <c r="BC299" i="19"/>
  <c r="BC303" i="19"/>
  <c r="BC307" i="19"/>
  <c r="BC311" i="19"/>
  <c r="BC269" i="19"/>
  <c r="BC277" i="19"/>
  <c r="BC281" i="19"/>
  <c r="BC283" i="19"/>
  <c r="BC285" i="19"/>
  <c r="BC287" i="19"/>
  <c r="BC289" i="19"/>
  <c r="BC293" i="19"/>
  <c r="BC274" i="19"/>
  <c r="BC280" i="19"/>
  <c r="BC294" i="19"/>
  <c r="BC298" i="19"/>
  <c r="BC302" i="19"/>
  <c r="BC306" i="19"/>
  <c r="BC310" i="19"/>
  <c r="BC314" i="19"/>
  <c r="BC315" i="19"/>
  <c r="BC271" i="19"/>
  <c r="BC268" i="19"/>
  <c r="BC276" i="19"/>
  <c r="BC297" i="19"/>
  <c r="BC301" i="19"/>
  <c r="BC305" i="19"/>
  <c r="BC309" i="19"/>
  <c r="BC313" i="19"/>
  <c r="BC317" i="19"/>
  <c r="AO116" i="19"/>
  <c r="AP116" i="19"/>
  <c r="AQ116" i="19" s="1"/>
  <c r="CM116" i="19" s="1"/>
  <c r="BC318" i="19"/>
  <c r="AP147" i="19"/>
  <c r="AQ147" i="19" s="1"/>
  <c r="CM147" i="19" s="1"/>
  <c r="AO147" i="19"/>
  <c r="BC319" i="19"/>
  <c r="BC320" i="19"/>
  <c r="G307" i="14"/>
  <c r="AP35" i="19"/>
  <c r="AQ35" i="19" s="1"/>
  <c r="CM35" i="19" s="1"/>
  <c r="AO35" i="19"/>
  <c r="BC321" i="19"/>
  <c r="BC324" i="19"/>
  <c r="AP62" i="19"/>
  <c r="AQ62" i="19" s="1"/>
  <c r="CM62" i="19" s="1"/>
  <c r="AO62" i="19"/>
  <c r="AO127" i="19"/>
  <c r="AP127" i="19"/>
  <c r="AQ127" i="19" s="1"/>
  <c r="CM127" i="19" s="1"/>
  <c r="BC322" i="19"/>
  <c r="G217" i="14"/>
  <c r="AP56" i="19"/>
  <c r="AQ56" i="19" s="1"/>
  <c r="CM56" i="19" s="1"/>
  <c r="AO56" i="19"/>
  <c r="AP132" i="19"/>
  <c r="AQ132" i="19" s="1"/>
  <c r="CM132" i="19" s="1"/>
  <c r="AO132" i="19"/>
  <c r="AP114" i="19"/>
  <c r="AQ114" i="19" s="1"/>
  <c r="CM114" i="19" s="1"/>
  <c r="AO114" i="19"/>
  <c r="AO146" i="19"/>
  <c r="AP146" i="19"/>
  <c r="AQ146" i="19" s="1"/>
  <c r="CM146" i="19" s="1"/>
  <c r="AP313" i="19"/>
  <c r="AQ313" i="19" s="1"/>
  <c r="CM313" i="19" s="1"/>
  <c r="AO313" i="19"/>
  <c r="AP67" i="19"/>
  <c r="AQ67" i="19" s="1"/>
  <c r="CM67" i="19" s="1"/>
  <c r="AO67" i="19"/>
  <c r="AP102" i="19"/>
  <c r="AQ102" i="19" s="1"/>
  <c r="CM102" i="19" s="1"/>
  <c r="AO102" i="19"/>
  <c r="AP162" i="19"/>
  <c r="AQ162" i="19" s="1"/>
  <c r="CM162" i="19" s="1"/>
  <c r="AO162" i="19"/>
  <c r="AP75" i="19"/>
  <c r="AQ75" i="19" s="1"/>
  <c r="CM75" i="19" s="1"/>
  <c r="AO75" i="19"/>
  <c r="AO111" i="19"/>
  <c r="AP111" i="19"/>
  <c r="AQ111" i="19" s="1"/>
  <c r="CM111" i="19" s="1"/>
  <c r="AP124" i="19"/>
  <c r="AQ124" i="19" s="1"/>
  <c r="CM124" i="19" s="1"/>
  <c r="AO124" i="19"/>
  <c r="G169" i="14"/>
  <c r="G231" i="14"/>
  <c r="G315" i="14"/>
  <c r="AP6" i="19"/>
  <c r="AQ6" i="19" s="1"/>
  <c r="CM6" i="19" s="1"/>
  <c r="AP16" i="19"/>
  <c r="AQ16" i="19" s="1"/>
  <c r="CM16" i="19" s="1"/>
  <c r="AO16" i="19"/>
  <c r="AP83" i="19"/>
  <c r="AQ83" i="19" s="1"/>
  <c r="CM83" i="19" s="1"/>
  <c r="AO83" i="19"/>
  <c r="G54" i="14"/>
  <c r="G114" i="14"/>
  <c r="G305" i="14"/>
  <c r="AP54" i="19"/>
  <c r="AQ54" i="19" s="1"/>
  <c r="CM54" i="19" s="1"/>
  <c r="AO54" i="19"/>
  <c r="AP91" i="19"/>
  <c r="AQ91" i="19" s="1"/>
  <c r="CM91" i="19" s="1"/>
  <c r="AO91" i="19"/>
  <c r="AP191" i="19"/>
  <c r="AQ191" i="19" s="1"/>
  <c r="CM191" i="19" s="1"/>
  <c r="AO191" i="19"/>
  <c r="AP197" i="19"/>
  <c r="AQ197" i="19" s="1"/>
  <c r="CM197" i="19" s="1"/>
  <c r="AO197" i="19"/>
  <c r="AO250" i="19"/>
  <c r="AP250" i="19"/>
  <c r="AQ250" i="19" s="1"/>
  <c r="CM250" i="19" s="1"/>
  <c r="G4" i="14"/>
  <c r="G111" i="14"/>
  <c r="AP123" i="19"/>
  <c r="AQ123" i="19" s="1"/>
  <c r="CM123" i="19" s="1"/>
  <c r="AO123" i="19"/>
  <c r="AO196" i="19"/>
  <c r="AP196" i="19"/>
  <c r="AQ196" i="19" s="1"/>
  <c r="CM196" i="19" s="1"/>
  <c r="AP227" i="19"/>
  <c r="AQ227" i="19" s="1"/>
  <c r="CM227" i="19" s="1"/>
  <c r="AO227" i="19"/>
  <c r="AP272" i="19"/>
  <c r="AQ272" i="19" s="1"/>
  <c r="CM272" i="19" s="1"/>
  <c r="AO272" i="19"/>
  <c r="AP160" i="19"/>
  <c r="AQ160" i="19" s="1"/>
  <c r="CM160" i="19" s="1"/>
  <c r="AO160" i="19"/>
  <c r="AP163" i="19"/>
  <c r="AQ163" i="19" s="1"/>
  <c r="CM163" i="19" s="1"/>
  <c r="AO163" i="19"/>
  <c r="AO220" i="19"/>
  <c r="AP220" i="19"/>
  <c r="AQ220" i="19" s="1"/>
  <c r="CM220" i="19" s="1"/>
  <c r="AP187" i="19"/>
  <c r="AQ187" i="19" s="1"/>
  <c r="CM187" i="19" s="1"/>
  <c r="AO187" i="19"/>
  <c r="AP270" i="19"/>
  <c r="AQ270" i="19" s="1"/>
  <c r="CM270" i="19" s="1"/>
  <c r="AO270" i="19"/>
  <c r="AP277" i="19"/>
  <c r="AQ277" i="19" s="1"/>
  <c r="CM277" i="19" s="1"/>
  <c r="AO277" i="19"/>
  <c r="AO278" i="19"/>
  <c r="AP278" i="19"/>
  <c r="AQ278" i="19" s="1"/>
  <c r="CM278" i="19" s="1"/>
  <c r="AO8" i="19"/>
  <c r="AO19" i="19"/>
  <c r="AO33" i="19"/>
  <c r="AO37" i="19"/>
  <c r="AO44" i="19"/>
  <c r="AO46" i="19"/>
  <c r="AO59" i="19"/>
  <c r="AO69" i="19"/>
  <c r="AO71" i="19"/>
  <c r="AO73" i="19"/>
  <c r="AO77" i="19"/>
  <c r="AO79" i="19"/>
  <c r="AO81" i="19"/>
  <c r="AO85" i="19"/>
  <c r="AO87" i="19"/>
  <c r="AO89" i="19"/>
  <c r="AO93" i="19"/>
  <c r="AO95" i="19"/>
  <c r="AP107" i="19"/>
  <c r="AQ107" i="19" s="1"/>
  <c r="CM107" i="19" s="1"/>
  <c r="AP119" i="19"/>
  <c r="AQ119" i="19" s="1"/>
  <c r="CM119" i="19" s="1"/>
  <c r="AO130" i="19"/>
  <c r="AP245" i="19"/>
  <c r="AQ245" i="19" s="1"/>
  <c r="CM245" i="19" s="1"/>
  <c r="AO245" i="19"/>
  <c r="AP324" i="19"/>
  <c r="AQ324" i="19" s="1"/>
  <c r="CM324" i="19" s="1"/>
  <c r="AO324" i="19"/>
  <c r="AO131" i="19"/>
  <c r="AO192" i="19"/>
  <c r="AP192" i="19"/>
  <c r="AQ192" i="19" s="1"/>
  <c r="CM192" i="19" s="1"/>
  <c r="AP158" i="19"/>
  <c r="AQ158" i="19" s="1"/>
  <c r="CM158" i="19" s="1"/>
  <c r="AO158" i="19"/>
  <c r="AP176" i="19"/>
  <c r="AQ176" i="19" s="1"/>
  <c r="CM176" i="19" s="1"/>
  <c r="AO225" i="19"/>
  <c r="AP225" i="19"/>
  <c r="AQ225" i="19" s="1"/>
  <c r="CM225" i="19" s="1"/>
  <c r="AP230" i="19"/>
  <c r="AQ230" i="19" s="1"/>
  <c r="CM230" i="19" s="1"/>
  <c r="AO230" i="19"/>
  <c r="AP157" i="19"/>
  <c r="AQ157" i="19" s="1"/>
  <c r="CM157" i="19" s="1"/>
  <c r="AO166" i="19"/>
  <c r="AP167" i="19"/>
  <c r="AQ167" i="19" s="1"/>
  <c r="CM167" i="19" s="1"/>
  <c r="AO167" i="19"/>
  <c r="AP204" i="19"/>
  <c r="AQ204" i="19" s="1"/>
  <c r="CM204" i="19" s="1"/>
  <c r="AO204" i="19"/>
  <c r="AO228" i="19"/>
  <c r="AP228" i="19"/>
  <c r="AQ228" i="19" s="1"/>
  <c r="CM228" i="19" s="1"/>
  <c r="AP218" i="19"/>
  <c r="AQ218" i="19" s="1"/>
  <c r="CM218" i="19" s="1"/>
  <c r="AO218" i="19"/>
  <c r="AP231" i="19"/>
  <c r="AQ231" i="19" s="1"/>
  <c r="CM231" i="19" s="1"/>
  <c r="AO231" i="19"/>
  <c r="AP300" i="19"/>
  <c r="AQ300" i="19" s="1"/>
  <c r="CM300" i="19" s="1"/>
  <c r="AO300" i="19"/>
  <c r="AP305" i="19"/>
  <c r="AQ305" i="19" s="1"/>
  <c r="CM305" i="19" s="1"/>
  <c r="AO305" i="19"/>
  <c r="AP235" i="19"/>
  <c r="AQ235" i="19" s="1"/>
  <c r="CM235" i="19" s="1"/>
  <c r="AO235" i="19"/>
  <c r="AP264" i="19"/>
  <c r="AQ264" i="19" s="1"/>
  <c r="CM264" i="19" s="1"/>
  <c r="AO264" i="19"/>
  <c r="AO144" i="19"/>
  <c r="AO151" i="19"/>
  <c r="AO152" i="19"/>
  <c r="AO154" i="19"/>
  <c r="AO155" i="19"/>
  <c r="AO168" i="19"/>
  <c r="AO172" i="19"/>
  <c r="AO178" i="19"/>
  <c r="AO183" i="19"/>
  <c r="AO200" i="19"/>
  <c r="AP201" i="19"/>
  <c r="AQ201" i="19" s="1"/>
  <c r="CM201" i="19" s="1"/>
  <c r="AO206" i="19"/>
  <c r="AO226" i="19"/>
  <c r="AP249" i="19"/>
  <c r="AQ249" i="19" s="1"/>
  <c r="CM249" i="19" s="1"/>
  <c r="AO251" i="19"/>
  <c r="AO279" i="19"/>
  <c r="AP309" i="19"/>
  <c r="AQ309" i="19" s="1"/>
  <c r="CM309" i="19" s="1"/>
  <c r="AO309" i="19"/>
  <c r="AP317" i="19"/>
  <c r="AQ317" i="19" s="1"/>
  <c r="CM317" i="19" s="1"/>
  <c r="AO317" i="19"/>
  <c r="AP238" i="19"/>
  <c r="AQ238" i="19" s="1"/>
  <c r="CM238" i="19" s="1"/>
  <c r="AO238" i="19"/>
  <c r="AP260" i="19"/>
  <c r="AQ260" i="19" s="1"/>
  <c r="CM260" i="19" s="1"/>
  <c r="AO260" i="19"/>
  <c r="AP269" i="19"/>
  <c r="AQ269" i="19" s="1"/>
  <c r="CM269" i="19" s="1"/>
  <c r="AO269" i="19"/>
  <c r="AP271" i="19"/>
  <c r="AQ271" i="19" s="1"/>
  <c r="CM271" i="19" s="1"/>
  <c r="AO271" i="19"/>
  <c r="AO325" i="19"/>
  <c r="AP327" i="19"/>
  <c r="AQ327" i="19" s="1"/>
  <c r="CM327" i="19" s="1"/>
  <c r="AO207" i="19"/>
  <c r="AP214" i="19"/>
  <c r="AQ214" i="19" s="1"/>
  <c r="CM214" i="19" s="1"/>
  <c r="AO214" i="19"/>
  <c r="AP256" i="19"/>
  <c r="AQ256" i="19" s="1"/>
  <c r="CM256" i="19" s="1"/>
  <c r="AO257" i="19"/>
  <c r="AO281" i="19"/>
  <c r="AP284" i="19"/>
  <c r="AQ284" i="19" s="1"/>
  <c r="CM284" i="19" s="1"/>
  <c r="AO284" i="19"/>
  <c r="AP289" i="19"/>
  <c r="AQ289" i="19" s="1"/>
  <c r="CM289" i="19" s="1"/>
  <c r="AO289" i="19"/>
  <c r="AP304" i="19"/>
  <c r="AQ304" i="19" s="1"/>
  <c r="CM304" i="19" s="1"/>
  <c r="AO304" i="19"/>
  <c r="AP286" i="19"/>
  <c r="AQ286" i="19" s="1"/>
  <c r="CM286" i="19" s="1"/>
  <c r="AO286" i="19"/>
  <c r="AP330" i="19"/>
  <c r="AQ330" i="19" s="1"/>
  <c r="CM330" i="19" s="1"/>
  <c r="G80" i="14"/>
  <c r="G123" i="14"/>
  <c r="G202" i="14"/>
  <c r="D222" i="17"/>
  <c r="G192" i="14"/>
  <c r="D124" i="17"/>
  <c r="F124" i="17" s="1"/>
  <c r="G62" i="14"/>
  <c r="G94" i="14"/>
  <c r="G115" i="14"/>
  <c r="BI2" i="19"/>
  <c r="BJ2" i="19" s="1"/>
  <c r="G108" i="14"/>
  <c r="G149" i="14"/>
  <c r="G67" i="14"/>
  <c r="G83" i="14"/>
  <c r="G99" i="14"/>
  <c r="D172" i="17"/>
  <c r="G76" i="14"/>
  <c r="D140" i="17"/>
  <c r="G167" i="14"/>
  <c r="G197" i="14"/>
  <c r="G245" i="14"/>
  <c r="G271" i="14"/>
  <c r="BK107" i="19"/>
  <c r="BO107" i="19"/>
  <c r="BK164" i="19"/>
  <c r="BO164" i="19"/>
  <c r="BK185" i="19"/>
  <c r="BO185" i="19"/>
  <c r="G277" i="14"/>
  <c r="G293" i="14"/>
  <c r="G309" i="14"/>
  <c r="G317" i="14"/>
  <c r="BK11" i="19"/>
  <c r="BK25" i="19"/>
  <c r="BK32" i="19"/>
  <c r="BO96" i="19"/>
  <c r="BK131" i="19"/>
  <c r="BO131" i="19"/>
  <c r="BK188" i="19"/>
  <c r="BO188" i="19"/>
  <c r="G264" i="14"/>
  <c r="BO6" i="19"/>
  <c r="BI7" i="19"/>
  <c r="BJ7" i="19" s="1"/>
  <c r="BO15" i="19"/>
  <c r="BI22" i="19"/>
  <c r="BJ22" i="19" s="1"/>
  <c r="BO29" i="19"/>
  <c r="BI100" i="19"/>
  <c r="BJ100" i="19" s="1"/>
  <c r="BO132" i="19"/>
  <c r="BK132" i="19"/>
  <c r="BI297" i="19"/>
  <c r="BJ297" i="19" s="1"/>
  <c r="BO63" i="19"/>
  <c r="BO208" i="19"/>
  <c r="BK208" i="19"/>
  <c r="BI294" i="19"/>
  <c r="BJ294" i="19" s="1"/>
  <c r="BO4" i="19"/>
  <c r="BO13" i="19"/>
  <c r="BO21" i="19"/>
  <c r="BO27" i="19"/>
  <c r="BK60" i="19"/>
  <c r="BO205" i="19"/>
  <c r="BK205" i="19"/>
  <c r="BK50" i="19"/>
  <c r="BO62" i="19"/>
  <c r="BK126" i="19"/>
  <c r="BO126" i="19"/>
  <c r="BI136" i="19"/>
  <c r="BJ136" i="19" s="1"/>
  <c r="BK151" i="19"/>
  <c r="BO151" i="19"/>
  <c r="BI153" i="19"/>
  <c r="BJ153" i="19" s="1"/>
  <c r="G163" i="14"/>
  <c r="G179" i="14"/>
  <c r="G225" i="14"/>
  <c r="BK5" i="19"/>
  <c r="BK14" i="19"/>
  <c r="BK28" i="19"/>
  <c r="BI109" i="19"/>
  <c r="BJ109" i="19" s="1"/>
  <c r="BK115" i="19"/>
  <c r="BO115" i="19"/>
  <c r="BO127" i="19"/>
  <c r="BK154" i="19"/>
  <c r="BO154" i="19"/>
  <c r="G120" i="14"/>
  <c r="G235" i="14"/>
  <c r="G295" i="14"/>
  <c r="BO61" i="19"/>
  <c r="BK61" i="19"/>
  <c r="BO102" i="19"/>
  <c r="BK102" i="19"/>
  <c r="BK137" i="19"/>
  <c r="BO137" i="19"/>
  <c r="BI261" i="19"/>
  <c r="BJ261" i="19" s="1"/>
  <c r="BK124" i="19"/>
  <c r="BK135" i="19"/>
  <c r="BK144" i="19"/>
  <c r="BK149" i="19"/>
  <c r="BK158" i="19"/>
  <c r="BK162" i="19"/>
  <c r="BK173" i="19"/>
  <c r="BK186" i="19"/>
  <c r="BK237" i="19"/>
  <c r="BO237" i="19"/>
  <c r="BI265" i="19"/>
  <c r="BJ265" i="19" s="1"/>
  <c r="BI322" i="19"/>
  <c r="BJ322" i="19" s="1"/>
  <c r="BO194" i="19"/>
  <c r="BK194" i="19"/>
  <c r="BK244" i="19"/>
  <c r="BO244" i="19"/>
  <c r="BI323" i="19"/>
  <c r="BJ323" i="19" s="1"/>
  <c r="BO99" i="19"/>
  <c r="BO105" i="19"/>
  <c r="BO122" i="19"/>
  <c r="BO153" i="19"/>
  <c r="BK230" i="19"/>
  <c r="BO230" i="19"/>
  <c r="BK222" i="19"/>
  <c r="BO222" i="19"/>
  <c r="BK241" i="19"/>
  <c r="BO241" i="19"/>
  <c r="BI303" i="19"/>
  <c r="BJ303" i="19" s="1"/>
  <c r="BO184" i="19"/>
  <c r="BK192" i="19"/>
  <c r="BO192" i="19"/>
  <c r="BK204" i="19"/>
  <c r="BO204" i="19"/>
  <c r="BK248" i="19"/>
  <c r="BO248" i="19"/>
  <c r="BI291" i="19"/>
  <c r="BJ291" i="19" s="1"/>
  <c r="BI302" i="19"/>
  <c r="BJ302" i="19" s="1"/>
  <c r="BK99" i="19"/>
  <c r="BK105" i="19"/>
  <c r="BK122" i="19"/>
  <c r="BK190" i="19"/>
  <c r="BO190" i="19"/>
  <c r="BK200" i="19"/>
  <c r="BO200" i="19"/>
  <c r="BI271" i="19"/>
  <c r="BJ271" i="19" s="1"/>
  <c r="BK213" i="19"/>
  <c r="BO215" i="19"/>
  <c r="BK218" i="19"/>
  <c r="BO220" i="19"/>
  <c r="BK226" i="19"/>
  <c r="BO228" i="19"/>
  <c r="BO238" i="19"/>
  <c r="BO242" i="19"/>
  <c r="BO245" i="19"/>
  <c r="BO249" i="19"/>
  <c r="BO252" i="19"/>
  <c r="BO258" i="19"/>
  <c r="BI262" i="19"/>
  <c r="BJ262" i="19" s="1"/>
  <c r="BO306" i="19"/>
  <c r="BI314" i="19"/>
  <c r="BJ314" i="19" s="1"/>
  <c r="BO323" i="19"/>
  <c r="BK271" i="19"/>
  <c r="BK275" i="19"/>
  <c r="BK279" i="19"/>
  <c r="BK283" i="19"/>
  <c r="BK287" i="19"/>
  <c r="BK291" i="19"/>
  <c r="BK295" i="19"/>
  <c r="BK299" i="19"/>
  <c r="BK303" i="19"/>
  <c r="BK328" i="19"/>
  <c r="BK270" i="19"/>
  <c r="BO301" i="19"/>
  <c r="BO305" i="19"/>
  <c r="BI309" i="19"/>
  <c r="BJ309" i="19" s="1"/>
  <c r="BI317" i="19"/>
  <c r="BJ317" i="19" s="1"/>
  <c r="BO321" i="19"/>
  <c r="BK324" i="19"/>
  <c r="BK330" i="19"/>
  <c r="BO206" i="19"/>
  <c r="BO211" i="19"/>
  <c r="BO224" i="19"/>
  <c r="BO232" i="19"/>
  <c r="BO308" i="19"/>
  <c r="G204" i="14"/>
  <c r="D231" i="17"/>
  <c r="F231" i="17" s="1"/>
  <c r="G242" i="14"/>
  <c r="G124" i="14"/>
  <c r="G146" i="14"/>
  <c r="G158" i="14"/>
  <c r="G160" i="14"/>
  <c r="G162" i="14"/>
  <c r="G191" i="14"/>
  <c r="G189" i="14"/>
  <c r="G214" i="14"/>
  <c r="G230" i="14"/>
  <c r="G196" i="14"/>
  <c r="D223" i="17"/>
  <c r="F223" i="17" s="1"/>
  <c r="G224" i="14"/>
  <c r="G210" i="14"/>
  <c r="G220" i="14"/>
  <c r="G250" i="14"/>
  <c r="G228" i="14"/>
  <c r="D243" i="17"/>
  <c r="F243" i="17" s="1"/>
  <c r="G213" i="14"/>
  <c r="G218" i="14"/>
  <c r="D221" i="17"/>
  <c r="F221" i="17" s="1"/>
  <c r="G238" i="14"/>
  <c r="G254" i="14"/>
  <c r="G269" i="14"/>
  <c r="G272" i="14"/>
  <c r="G278" i="14"/>
  <c r="G286" i="14"/>
  <c r="G296" i="14"/>
  <c r="G300" i="14"/>
  <c r="G304" i="14"/>
  <c r="G308" i="14"/>
  <c r="G316" i="14"/>
  <c r="G336" i="14"/>
  <c r="AO336" i="19"/>
  <c r="AP336" i="19"/>
  <c r="AQ336" i="19" s="1"/>
  <c r="CM336" i="19" s="1"/>
  <c r="BC336" i="19"/>
  <c r="AY336" i="6"/>
  <c r="AH336" i="19" s="1"/>
  <c r="G220" i="31"/>
  <c r="AD220" i="19" s="1"/>
  <c r="CA64" i="24"/>
  <c r="CI64" i="24"/>
  <c r="CQ64" i="24"/>
  <c r="CA73" i="24"/>
  <c r="CI73" i="24"/>
  <c r="CQ73" i="24"/>
  <c r="CA83" i="24"/>
  <c r="CI83" i="24"/>
  <c r="CQ83" i="24"/>
  <c r="CB297" i="24"/>
  <c r="CJ297" i="24"/>
  <c r="CR297" i="24"/>
  <c r="CJ308" i="24"/>
  <c r="CD193" i="24"/>
  <c r="AX336" i="13"/>
  <c r="AF336" i="19" s="1"/>
  <c r="AO335" i="19"/>
  <c r="AP335" i="19"/>
  <c r="AQ335" i="19" s="1"/>
  <c r="CM335" i="19" s="1"/>
  <c r="BC335" i="19"/>
  <c r="AY335" i="6"/>
  <c r="AH335" i="19" s="1"/>
  <c r="AX336" i="6"/>
  <c r="AP334" i="19"/>
  <c r="AQ334" i="19" s="1"/>
  <c r="CM334" i="19" s="1"/>
  <c r="BC334" i="19"/>
  <c r="AY334" i="6"/>
  <c r="BA334" i="19" s="1"/>
  <c r="AX335" i="6"/>
  <c r="AY333" i="6"/>
  <c r="BA333" i="19" s="1"/>
  <c r="AX334" i="6"/>
  <c r="CD5" i="24"/>
  <c r="CL5" i="24"/>
  <c r="CT5" i="24"/>
  <c r="CD6" i="24"/>
  <c r="CL6" i="24"/>
  <c r="CT6" i="24"/>
  <c r="CD7" i="24"/>
  <c r="CL7" i="24"/>
  <c r="CT7" i="24"/>
  <c r="CD8" i="24"/>
  <c r="CL8" i="24"/>
  <c r="CT8" i="24"/>
  <c r="CD9" i="24"/>
  <c r="CL9" i="24"/>
  <c r="CT9" i="24"/>
  <c r="CD10" i="24"/>
  <c r="CD282" i="24"/>
  <c r="CL282" i="24"/>
  <c r="CT282" i="24"/>
  <c r="CM283" i="24"/>
  <c r="CD314" i="24"/>
  <c r="CL314" i="24"/>
  <c r="CT314" i="24"/>
  <c r="CD315" i="24"/>
  <c r="CL315" i="24"/>
  <c r="CT315" i="24"/>
  <c r="CD317" i="24"/>
  <c r="CL317" i="24"/>
  <c r="CN281" i="24"/>
  <c r="CH114" i="24"/>
  <c r="CP114" i="24"/>
  <c r="CH180" i="24"/>
  <c r="CP180" i="24"/>
  <c r="CH181" i="24"/>
  <c r="CP181" i="24"/>
  <c r="BZ182" i="24"/>
  <c r="CH182" i="24"/>
  <c r="CP182" i="24"/>
  <c r="CH230" i="24"/>
  <c r="CP230" i="24"/>
  <c r="BZ231" i="24"/>
  <c r="CH231" i="24"/>
  <c r="CP231" i="24"/>
  <c r="BZ242" i="24"/>
  <c r="CP242" i="24"/>
  <c r="CH257" i="24"/>
  <c r="CP257" i="24"/>
  <c r="BZ258" i="24"/>
  <c r="CH259" i="24"/>
  <c r="CP259" i="24"/>
  <c r="BZ260" i="24"/>
  <c r="CH260" i="24"/>
  <c r="CP260" i="24"/>
  <c r="CH286" i="24"/>
  <c r="CH287" i="24"/>
  <c r="CH290" i="24"/>
  <c r="CP290" i="24"/>
  <c r="BZ291" i="24"/>
  <c r="CH291" i="24"/>
  <c r="BZ292" i="24"/>
  <c r="CH292" i="24"/>
  <c r="CP292" i="24"/>
  <c r="BZ293" i="24"/>
  <c r="CH293" i="24"/>
  <c r="CP293" i="24"/>
  <c r="BZ294" i="24"/>
  <c r="CH294" i="24"/>
  <c r="CP294" i="24"/>
  <c r="BZ295" i="24"/>
  <c r="CH297" i="24"/>
  <c r="CP297" i="24"/>
  <c r="BZ298" i="24"/>
  <c r="CH298" i="24"/>
  <c r="CP298" i="24"/>
  <c r="CH299" i="24"/>
  <c r="CP299" i="24"/>
  <c r="CH301" i="24"/>
  <c r="CH302" i="24"/>
  <c r="BZ306" i="24"/>
  <c r="CH306" i="24"/>
  <c r="CP306" i="24"/>
  <c r="BZ308" i="24"/>
  <c r="CH308" i="24"/>
  <c r="CP308" i="24"/>
  <c r="CH328" i="24"/>
  <c r="CP328" i="24"/>
  <c r="BZ329" i="24"/>
  <c r="CH329" i="24"/>
  <c r="CP329" i="24"/>
  <c r="CH330" i="24"/>
  <c r="CP330" i="24"/>
  <c r="CH331" i="24"/>
  <c r="CP331" i="24"/>
  <c r="CH332" i="24"/>
  <c r="CP332" i="24"/>
  <c r="CH334" i="24"/>
  <c r="CP334" i="24"/>
  <c r="BZ335" i="24"/>
  <c r="CH335" i="24"/>
  <c r="CP335" i="24"/>
  <c r="CH336" i="24"/>
  <c r="CP336" i="24"/>
  <c r="AI336" i="19"/>
  <c r="CH339" i="24"/>
  <c r="CA137" i="24"/>
  <c r="CI137" i="24"/>
  <c r="CQ137" i="24"/>
  <c r="CA138" i="24"/>
  <c r="CI138" i="24"/>
  <c r="CQ138" i="24"/>
  <c r="CA142" i="24"/>
  <c r="CI142" i="24"/>
  <c r="CQ142" i="24"/>
  <c r="CA146" i="24"/>
  <c r="CI146" i="24"/>
  <c r="CQ146" i="24"/>
  <c r="CA147" i="24"/>
  <c r="CI147" i="24"/>
  <c r="CQ147" i="24"/>
  <c r="CA153" i="24"/>
  <c r="CI153" i="24"/>
  <c r="CQ153" i="24"/>
  <c r="CJ192" i="24"/>
  <c r="CR192" i="24"/>
  <c r="CR196" i="24"/>
  <c r="CK17" i="24"/>
  <c r="CC300" i="24"/>
  <c r="CS300" i="24"/>
  <c r="AX335" i="13"/>
  <c r="AF335" i="19" s="1"/>
  <c r="AX334" i="13"/>
  <c r="AF334" i="19" s="1"/>
  <c r="Y334" i="19"/>
  <c r="B334" i="14" s="1"/>
  <c r="AX333" i="13"/>
  <c r="AF333" i="19" s="1"/>
  <c r="AO333" i="19"/>
  <c r="BC333" i="19"/>
  <c r="BK332" i="19"/>
  <c r="AO332" i="19"/>
  <c r="BC332" i="19"/>
  <c r="AX332" i="13"/>
  <c r="AF332" i="19" s="1"/>
  <c r="AX332" i="6"/>
  <c r="AZ332" i="19" s="1"/>
  <c r="AX333" i="6"/>
  <c r="CF30" i="24"/>
  <c r="CN30" i="24"/>
  <c r="CV30" i="24"/>
  <c r="CF35" i="24"/>
  <c r="CN35" i="24"/>
  <c r="CV35" i="24"/>
  <c r="CB23" i="24"/>
  <c r="CJ23" i="24"/>
  <c r="CR23" i="24"/>
  <c r="CB24" i="24"/>
  <c r="CJ24" i="24"/>
  <c r="CR24" i="24"/>
  <c r="CB25" i="24"/>
  <c r="CB36" i="24"/>
  <c r="CJ36" i="24"/>
  <c r="CR36" i="24"/>
  <c r="CB37" i="24"/>
  <c r="CJ37" i="24"/>
  <c r="CR37" i="24"/>
  <c r="CB38" i="24"/>
  <c r="CJ38" i="24"/>
  <c r="CR38" i="24"/>
  <c r="CB44" i="24"/>
  <c r="CJ44" i="24"/>
  <c r="CF48" i="24"/>
  <c r="CN48" i="24"/>
  <c r="CV48" i="24"/>
  <c r="CF49" i="24"/>
  <c r="CN49" i="24"/>
  <c r="CV49" i="24"/>
  <c r="CF50" i="24"/>
  <c r="CN50" i="24"/>
  <c r="CV50" i="24"/>
  <c r="CF52" i="24"/>
  <c r="CN52" i="24"/>
  <c r="CV52" i="24"/>
  <c r="CF65" i="24"/>
  <c r="CN65" i="24"/>
  <c r="CV65" i="24"/>
  <c r="CF66" i="24"/>
  <c r="CN66" i="24"/>
  <c r="CV66" i="24"/>
  <c r="CF67" i="24"/>
  <c r="CN67" i="24"/>
  <c r="CV67" i="24"/>
  <c r="CF68" i="24"/>
  <c r="CN68" i="24"/>
  <c r="CV68" i="24"/>
  <c r="CF69" i="24"/>
  <c r="CN69" i="24"/>
  <c r="CV69" i="24"/>
  <c r="CF70" i="24"/>
  <c r="CN70" i="24"/>
  <c r="CV70" i="24"/>
  <c r="CF73" i="24"/>
  <c r="CN73" i="24"/>
  <c r="CV73" i="24"/>
  <c r="CG231" i="24"/>
  <c r="CN242" i="24"/>
  <c r="CF245" i="24"/>
  <c r="CF248" i="24"/>
  <c r="CF249" i="24"/>
  <c r="CN249" i="24"/>
  <c r="CV249" i="24"/>
  <c r="CW260" i="24"/>
  <c r="CO127" i="24"/>
  <c r="CO134" i="24"/>
  <c r="CW151" i="24"/>
  <c r="BZ109" i="24"/>
  <c r="CH168" i="24"/>
  <c r="CP168" i="24"/>
  <c r="BZ172" i="24"/>
  <c r="CH172" i="24"/>
  <c r="CP172" i="24"/>
  <c r="CH173" i="24"/>
  <c r="CP173" i="24"/>
  <c r="BZ174" i="24"/>
  <c r="CH174" i="24"/>
  <c r="CP174" i="24"/>
  <c r="CB60" i="24"/>
  <c r="CJ60" i="24"/>
  <c r="CR60" i="24"/>
  <c r="CB238" i="24"/>
  <c r="CJ238" i="24"/>
  <c r="CR238" i="24"/>
  <c r="CB242" i="24"/>
  <c r="CB244" i="24"/>
  <c r="CJ244" i="24"/>
  <c r="CR244" i="24"/>
  <c r="CB251" i="24"/>
  <c r="CJ251" i="24"/>
  <c r="CR251" i="24"/>
  <c r="CA267" i="24"/>
  <c r="CI267" i="24"/>
  <c r="CQ267" i="24"/>
  <c r="CC117" i="24"/>
  <c r="CK117" i="24"/>
  <c r="CS117" i="24"/>
  <c r="CC118" i="24"/>
  <c r="CK118" i="24"/>
  <c r="CS118" i="24"/>
  <c r="CC119" i="24"/>
  <c r="CK119" i="24"/>
  <c r="CS119" i="24"/>
  <c r="CK121" i="24"/>
  <c r="CS121" i="24"/>
  <c r="CC123" i="24"/>
  <c r="CK123" i="24"/>
  <c r="CS123" i="24"/>
  <c r="CS128" i="24"/>
  <c r="CC129" i="24"/>
  <c r="CS129" i="24"/>
  <c r="CC131" i="24"/>
  <c r="CK131" i="24"/>
  <c r="CS131" i="24"/>
  <c r="CC132" i="24"/>
  <c r="CK132" i="24"/>
  <c r="CS132" i="24"/>
  <c r="CS175" i="24"/>
  <c r="CK176" i="24"/>
  <c r="CS176" i="24"/>
  <c r="CC178" i="24"/>
  <c r="CK178" i="24"/>
  <c r="CC179" i="24"/>
  <c r="CK179" i="24"/>
  <c r="CS179" i="24"/>
  <c r="CC180" i="24"/>
  <c r="CK180" i="24"/>
  <c r="CS180" i="24"/>
  <c r="CC184" i="24"/>
  <c r="CK184" i="24"/>
  <c r="CS184" i="24"/>
  <c r="CC185" i="24"/>
  <c r="CK185" i="24"/>
  <c r="CS185" i="24"/>
  <c r="CK190" i="24"/>
  <c r="CS191" i="24"/>
  <c r="CS192" i="24"/>
  <c r="CK193" i="24"/>
  <c r="CS193" i="24"/>
  <c r="CK195" i="24"/>
  <c r="CS195" i="24"/>
  <c r="CS196" i="24"/>
  <c r="CK198" i="24"/>
  <c r="CR308" i="24"/>
  <c r="CL10" i="24"/>
  <c r="CT10" i="24"/>
  <c r="CD11" i="24"/>
  <c r="CL11" i="24"/>
  <c r="CT11" i="24"/>
  <c r="CD12" i="24"/>
  <c r="CL12" i="24"/>
  <c r="CT12" i="24"/>
  <c r="CD13" i="24"/>
  <c r="CL13" i="24"/>
  <c r="CT13" i="24"/>
  <c r="CD14" i="24"/>
  <c r="CL14" i="24"/>
  <c r="CT14" i="24"/>
  <c r="CD15" i="24"/>
  <c r="CL15" i="24"/>
  <c r="CT15" i="24"/>
  <c r="CD16" i="24"/>
  <c r="CL16" i="24"/>
  <c r="CT16" i="24"/>
  <c r="CD18" i="24"/>
  <c r="CL18" i="24"/>
  <c r="CT18" i="24"/>
  <c r="CD19" i="24"/>
  <c r="CL19" i="24"/>
  <c r="CT19" i="24"/>
  <c r="CD23" i="24"/>
  <c r="CL23" i="24"/>
  <c r="CT23" i="24"/>
  <c r="CD25" i="24"/>
  <c r="CL25" i="24"/>
  <c r="CT25" i="24"/>
  <c r="CD28" i="24"/>
  <c r="CL28" i="24"/>
  <c r="CT28" i="24"/>
  <c r="CD39" i="24"/>
  <c r="CL39" i="24"/>
  <c r="CT39" i="24"/>
  <c r="CD40" i="24"/>
  <c r="CL40" i="24"/>
  <c r="CT40" i="24"/>
  <c r="CT89" i="24"/>
  <c r="CL91" i="24"/>
  <c r="CD93" i="24"/>
  <c r="CD94" i="24"/>
  <c r="CD99" i="24"/>
  <c r="CL99" i="24"/>
  <c r="CT99" i="24"/>
  <c r="CD102" i="24"/>
  <c r="CL102" i="24"/>
  <c r="CT102" i="24"/>
  <c r="CD103" i="24"/>
  <c r="CL103" i="24"/>
  <c r="CT103" i="24"/>
  <c r="CD105" i="24"/>
  <c r="CL105" i="24"/>
  <c r="CT105" i="24"/>
  <c r="CD106" i="24"/>
  <c r="CL106" i="24"/>
  <c r="CT106" i="24"/>
  <c r="CL116" i="24"/>
  <c r="CD118" i="24"/>
  <c r="CL118" i="24"/>
  <c r="CD140" i="24"/>
  <c r="CL140" i="24"/>
  <c r="CT140" i="24"/>
  <c r="CD144" i="24"/>
  <c r="CL144" i="24"/>
  <c r="CT144" i="24"/>
  <c r="CD147" i="24"/>
  <c r="CL147" i="24"/>
  <c r="CT147" i="24"/>
  <c r="CD157" i="24"/>
  <c r="CL157" i="24"/>
  <c r="CT157" i="24"/>
  <c r="CD158" i="24"/>
  <c r="CL158" i="24"/>
  <c r="CT158" i="24"/>
  <c r="CD161" i="24"/>
  <c r="CT161" i="24"/>
  <c r="CE236" i="24"/>
  <c r="CM236" i="24"/>
  <c r="CM238" i="24"/>
  <c r="CK261" i="24"/>
  <c r="CC262" i="24"/>
  <c r="F223" i="31"/>
  <c r="AC223" i="19" s="1"/>
  <c r="G315" i="31"/>
  <c r="AD315" i="19" s="1"/>
  <c r="G60" i="31"/>
  <c r="AD60" i="19" s="1"/>
  <c r="G75" i="31"/>
  <c r="AD75" i="19" s="1"/>
  <c r="G176" i="31"/>
  <c r="AD176" i="19" s="1"/>
  <c r="G236" i="31"/>
  <c r="AD236" i="19" s="1"/>
  <c r="G295" i="31"/>
  <c r="AD295" i="19" s="1"/>
  <c r="G227" i="31"/>
  <c r="AD227" i="19" s="1"/>
  <c r="F100" i="31"/>
  <c r="AC100" i="19" s="1"/>
  <c r="G286" i="31"/>
  <c r="AD286" i="19" s="1"/>
  <c r="G114" i="31"/>
  <c r="AD114" i="19" s="1"/>
  <c r="F190" i="31"/>
  <c r="AC190" i="19" s="1"/>
  <c r="G254" i="31"/>
  <c r="AD254" i="19" s="1"/>
  <c r="F261" i="31"/>
  <c r="AC261" i="19" s="1"/>
  <c r="G268" i="31"/>
  <c r="AD268" i="19" s="1"/>
  <c r="F131" i="31"/>
  <c r="AC131" i="19" s="1"/>
  <c r="G170" i="31"/>
  <c r="AD170" i="19" s="1"/>
  <c r="G191" i="31"/>
  <c r="AD191" i="19" s="1"/>
  <c r="F198" i="31"/>
  <c r="AC198" i="19" s="1"/>
  <c r="AA198" i="19" s="1"/>
  <c r="AB198" i="19" s="1"/>
  <c r="BM198" i="19" s="1"/>
  <c r="G307" i="31"/>
  <c r="AD307" i="19" s="1"/>
  <c r="CG23" i="24"/>
  <c r="CO23" i="24"/>
  <c r="CW23" i="24"/>
  <c r="CG25" i="24"/>
  <c r="CO25" i="24"/>
  <c r="CW25" i="24"/>
  <c r="CG38" i="24"/>
  <c r="CW40" i="24"/>
  <c r="CO43" i="24"/>
  <c r="CG45" i="24"/>
  <c r="CG55" i="24"/>
  <c r="CO55" i="24"/>
  <c r="CW55" i="24"/>
  <c r="CW56" i="24"/>
  <c r="CW138" i="24"/>
  <c r="CM228" i="24"/>
  <c r="CM243" i="24"/>
  <c r="CU243" i="24"/>
  <c r="CM244" i="24"/>
  <c r="CU244" i="24"/>
  <c r="CE248" i="24"/>
  <c r="CE249" i="24"/>
  <c r="CM249" i="24"/>
  <c r="CU249" i="24"/>
  <c r="CC277" i="24"/>
  <c r="CK277" i="24"/>
  <c r="CS277" i="24"/>
  <c r="CK281" i="24"/>
  <c r="CC328" i="24"/>
  <c r="CK328" i="24"/>
  <c r="CS328" i="24"/>
  <c r="CC329" i="24"/>
  <c r="CK329" i="24"/>
  <c r="CS329" i="24"/>
  <c r="CC330" i="24"/>
  <c r="CK330" i="24"/>
  <c r="CS330" i="24"/>
  <c r="CC331" i="24"/>
  <c r="CK331" i="24"/>
  <c r="CS331" i="24"/>
  <c r="CC332" i="24"/>
  <c r="CK332" i="24"/>
  <c r="CS332" i="24"/>
  <c r="CC333" i="24"/>
  <c r="CK333" i="24"/>
  <c r="CS333" i="24"/>
  <c r="CC334" i="24"/>
  <c r="CK334" i="24"/>
  <c r="CS334" i="24"/>
  <c r="CC335" i="24"/>
  <c r="CK335" i="24"/>
  <c r="CS335" i="24"/>
  <c r="CC336" i="24"/>
  <c r="CK336" i="24"/>
  <c r="CS336" i="24"/>
  <c r="CC337" i="24"/>
  <c r="CK337" i="24"/>
  <c r="CS337" i="24"/>
  <c r="CC338" i="24"/>
  <c r="CK338" i="24"/>
  <c r="CS338" i="24"/>
  <c r="CC339" i="24"/>
  <c r="CP120" i="24"/>
  <c r="BZ183" i="24"/>
  <c r="CH183" i="24"/>
  <c r="CP183" i="24"/>
  <c r="BZ184" i="24"/>
  <c r="CH186" i="24"/>
  <c r="CP186" i="24"/>
  <c r="BZ187" i="24"/>
  <c r="CH187" i="24"/>
  <c r="CP187" i="24"/>
  <c r="CH191" i="24"/>
  <c r="CP191" i="24"/>
  <c r="CP193" i="24"/>
  <c r="CH195" i="24"/>
  <c r="CP196" i="24"/>
  <c r="CP201" i="24"/>
  <c r="CH213" i="24"/>
  <c r="CP213" i="24"/>
  <c r="CF261" i="24"/>
  <c r="CN261" i="24"/>
  <c r="CV261" i="24"/>
  <c r="CE264" i="24"/>
  <c r="CT85" i="24"/>
  <c r="CD86" i="24"/>
  <c r="CL88" i="24"/>
  <c r="CC111" i="24"/>
  <c r="CK111" i="24"/>
  <c r="CS111" i="24"/>
  <c r="CC114" i="24"/>
  <c r="CK114" i="24"/>
  <c r="CS114" i="24"/>
  <c r="CB126" i="24"/>
  <c r="CJ126" i="24"/>
  <c r="CR126" i="24"/>
  <c r="CB127" i="24"/>
  <c r="CJ127" i="24"/>
  <c r="CR127" i="24"/>
  <c r="CB135" i="24"/>
  <c r="CJ135" i="24"/>
  <c r="CR135" i="24"/>
  <c r="CB202" i="24"/>
  <c r="CJ202" i="24"/>
  <c r="CR202" i="24"/>
  <c r="CB204" i="24"/>
  <c r="CJ204" i="24"/>
  <c r="CR204" i="24"/>
  <c r="CB205" i="24"/>
  <c r="CJ205" i="24"/>
  <c r="CR205" i="24"/>
  <c r="CB207" i="24"/>
  <c r="CJ207" i="24"/>
  <c r="CR207" i="24"/>
  <c r="CJ208" i="24"/>
  <c r="CR208" i="24"/>
  <c r="CJ209" i="24"/>
  <c r="CH262" i="24"/>
  <c r="CP262" i="24"/>
  <c r="CW263" i="24"/>
  <c r="CG265" i="24"/>
  <c r="CO265" i="24"/>
  <c r="CW265" i="24"/>
  <c r="CG266" i="24"/>
  <c r="CG267" i="24"/>
  <c r="CO267" i="24"/>
  <c r="CW267" i="24"/>
  <c r="CG268" i="24"/>
  <c r="CO276" i="24"/>
  <c r="CM52" i="24"/>
  <c r="CM54" i="24"/>
  <c r="CU60" i="24"/>
  <c r="CD125" i="24"/>
  <c r="CK253" i="24"/>
  <c r="CE135" i="24"/>
  <c r="CE194" i="24"/>
  <c r="CL248" i="24"/>
  <c r="CT248" i="24"/>
  <c r="FF12" i="20"/>
  <c r="FF18" i="20"/>
  <c r="FF27" i="20"/>
  <c r="FQ30" i="20"/>
  <c r="FF59" i="20"/>
  <c r="FQ63" i="20"/>
  <c r="FG102" i="20"/>
  <c r="FK126" i="20"/>
  <c r="FF198" i="20"/>
  <c r="FK205" i="20"/>
  <c r="FF216" i="20"/>
  <c r="FP226" i="20"/>
  <c r="FP237" i="20"/>
  <c r="FP8" i="20"/>
  <c r="FQ17" i="20"/>
  <c r="FK20" i="20"/>
  <c r="FL22" i="20"/>
  <c r="FL60" i="20"/>
  <c r="FL115" i="20"/>
  <c r="FF132" i="20"/>
  <c r="FK140" i="20"/>
  <c r="FK146" i="20"/>
  <c r="FP153" i="20"/>
  <c r="FP163" i="20"/>
  <c r="FK235" i="20"/>
  <c r="FK267" i="20"/>
  <c r="FP278" i="20"/>
  <c r="FK48" i="20"/>
  <c r="FK119" i="20"/>
  <c r="FK134" i="20"/>
  <c r="FK135" i="20"/>
  <c r="FK151" i="20"/>
  <c r="FP254" i="20"/>
  <c r="FF274" i="20"/>
  <c r="FF64" i="20"/>
  <c r="FL101" i="20"/>
  <c r="FP108" i="20"/>
  <c r="FP167" i="20"/>
  <c r="FK188" i="20"/>
  <c r="FL197" i="20"/>
  <c r="FL203" i="20"/>
  <c r="FG214" i="20"/>
  <c r="FQ224" i="20"/>
  <c r="FP286" i="20"/>
  <c r="FK23" i="20"/>
  <c r="FL43" i="20"/>
  <c r="FK46" i="20"/>
  <c r="FG62" i="20"/>
  <c r="FQ80" i="20"/>
  <c r="FK112" i="20"/>
  <c r="FF129" i="20"/>
  <c r="FF130" i="20"/>
  <c r="FP140" i="20"/>
  <c r="FP150" i="20"/>
  <c r="FQ166" i="20"/>
  <c r="FK174" i="20"/>
  <c r="FK176" i="20"/>
  <c r="FL177" i="20"/>
  <c r="FK178" i="20"/>
  <c r="FK243" i="20"/>
  <c r="FK265" i="20"/>
  <c r="FF278" i="20"/>
  <c r="FP290" i="20"/>
  <c r="FL298" i="20"/>
  <c r="FP308" i="20"/>
  <c r="FP322" i="20"/>
  <c r="FP192" i="20"/>
  <c r="FP198" i="20"/>
  <c r="FF206" i="20"/>
  <c r="FP216" i="20"/>
  <c r="FK227" i="20"/>
  <c r="FP320" i="20"/>
  <c r="AO331" i="19"/>
  <c r="BC331" i="19"/>
  <c r="AY332" i="6"/>
  <c r="AH332" i="19" s="1"/>
  <c r="AY331" i="6"/>
  <c r="AH331" i="19" s="1"/>
  <c r="G92" i="31"/>
  <c r="AD92" i="19" s="1"/>
  <c r="F164" i="31"/>
  <c r="AC164" i="19" s="1"/>
  <c r="F197" i="31"/>
  <c r="AC197" i="19" s="1"/>
  <c r="AA197" i="19" s="1"/>
  <c r="AB197" i="19" s="1"/>
  <c r="BM197" i="19" s="1"/>
  <c r="F310" i="31"/>
  <c r="AC310" i="19" s="1"/>
  <c r="G50" i="31"/>
  <c r="AD50" i="19" s="1"/>
  <c r="G152" i="31"/>
  <c r="AD152" i="19" s="1"/>
  <c r="F180" i="31"/>
  <c r="AC180" i="19" s="1"/>
  <c r="AA180" i="19" s="1"/>
  <c r="AB180" i="19" s="1"/>
  <c r="F318" i="31"/>
  <c r="AC318" i="19" s="1"/>
  <c r="G96" i="31"/>
  <c r="AD96" i="19" s="1"/>
  <c r="F125" i="31"/>
  <c r="AC125" i="19" s="1"/>
  <c r="F181" i="31"/>
  <c r="AC181" i="19" s="1"/>
  <c r="AA181" i="19" s="1"/>
  <c r="AB181" i="19" s="1"/>
  <c r="F208" i="31"/>
  <c r="AC208" i="19" s="1"/>
  <c r="F294" i="31"/>
  <c r="AC294" i="19" s="1"/>
  <c r="G314" i="31"/>
  <c r="AD314" i="19" s="1"/>
  <c r="CC21" i="24"/>
  <c r="CK21" i="24"/>
  <c r="CS21" i="24"/>
  <c r="CC31" i="24"/>
  <c r="CK31" i="24"/>
  <c r="CS31" i="24"/>
  <c r="CC35" i="24"/>
  <c r="CK35" i="24"/>
  <c r="CS35" i="24"/>
  <c r="CB63" i="24"/>
  <c r="CJ63" i="24"/>
  <c r="CR63" i="24"/>
  <c r="CS64" i="24"/>
  <c r="CB65" i="24"/>
  <c r="CJ65" i="24"/>
  <c r="CR65" i="24"/>
  <c r="CB68" i="24"/>
  <c r="CJ68" i="24"/>
  <c r="CR68" i="24"/>
  <c r="CB71" i="24"/>
  <c r="CJ71" i="24"/>
  <c r="CR71" i="24"/>
  <c r="CB76" i="24"/>
  <c r="CJ76" i="24"/>
  <c r="CR76" i="24"/>
  <c r="CB77" i="24"/>
  <c r="CJ77" i="24"/>
  <c r="CR77" i="24"/>
  <c r="CA96" i="24"/>
  <c r="CI96" i="24"/>
  <c r="CQ96" i="24"/>
  <c r="CI98" i="24"/>
  <c r="CA99" i="24"/>
  <c r="CI99" i="24"/>
  <c r="CQ99" i="24"/>
  <c r="CQ101" i="24"/>
  <c r="CA103" i="24"/>
  <c r="CI103" i="24"/>
  <c r="CQ103" i="24"/>
  <c r="CE21" i="24"/>
  <c r="CM21" i="24"/>
  <c r="CM22" i="24"/>
  <c r="CU22" i="24"/>
  <c r="CE31" i="24"/>
  <c r="CE36" i="24"/>
  <c r="CM36" i="24"/>
  <c r="CU36" i="24"/>
  <c r="CE37" i="24"/>
  <c r="CM37" i="24"/>
  <c r="CU37" i="24"/>
  <c r="CE57" i="24"/>
  <c r="CM57" i="24"/>
  <c r="CU57" i="24"/>
  <c r="CM58" i="24"/>
  <c r="CE59" i="24"/>
  <c r="CM59" i="24"/>
  <c r="CU59" i="24"/>
  <c r="CD62" i="24"/>
  <c r="CL62" i="24"/>
  <c r="CT62" i="24"/>
  <c r="CD65" i="24"/>
  <c r="CL65" i="24"/>
  <c r="CT65" i="24"/>
  <c r="CD68" i="24"/>
  <c r="CL68" i="24"/>
  <c r="CT68" i="24"/>
  <c r="CD69" i="24"/>
  <c r="CL69" i="24"/>
  <c r="CT69" i="24"/>
  <c r="CD70" i="24"/>
  <c r="CL70" i="24"/>
  <c r="CT70" i="24"/>
  <c r="CD72" i="24"/>
  <c r="CL72" i="24"/>
  <c r="CT72" i="24"/>
  <c r="CD76" i="24"/>
  <c r="CL76" i="24"/>
  <c r="CT76" i="24"/>
  <c r="CD77" i="24"/>
  <c r="CL77" i="24"/>
  <c r="CT77" i="24"/>
  <c r="CD78" i="24"/>
  <c r="CL78" i="24"/>
  <c r="CT78" i="24"/>
  <c r="CD79" i="24"/>
  <c r="CD87" i="24"/>
  <c r="CL87" i="24"/>
  <c r="CT87" i="24"/>
  <c r="CD88" i="24"/>
  <c r="CT88" i="24"/>
  <c r="CC89" i="24"/>
  <c r="CK89" i="24"/>
  <c r="CH5" i="24"/>
  <c r="CP5" i="24"/>
  <c r="BZ6" i="24"/>
  <c r="CH6" i="24"/>
  <c r="CP6" i="24"/>
  <c r="BZ7" i="24"/>
  <c r="CH7" i="24"/>
  <c r="CP7" i="24"/>
  <c r="BZ8" i="24"/>
  <c r="CH8" i="24"/>
  <c r="CP8" i="24"/>
  <c r="BZ9" i="24"/>
  <c r="CH9" i="24"/>
  <c r="CP9" i="24"/>
  <c r="BZ10" i="24"/>
  <c r="CH10" i="24"/>
  <c r="CP10" i="24"/>
  <c r="BZ11" i="24"/>
  <c r="CH11" i="24"/>
  <c r="CP11" i="24"/>
  <c r="CH22" i="24"/>
  <c r="BZ23" i="24"/>
  <c r="BZ52" i="24"/>
  <c r="BZ54" i="24"/>
  <c r="BZ60" i="24"/>
  <c r="CG62" i="24"/>
  <c r="CG63" i="24"/>
  <c r="CO63" i="24"/>
  <c r="CW63" i="24"/>
  <c r="CG65" i="24"/>
  <c r="CO65" i="24"/>
  <c r="CW65" i="24"/>
  <c r="CG66" i="24"/>
  <c r="CO66" i="24"/>
  <c r="CW66" i="24"/>
  <c r="CG67" i="24"/>
  <c r="CO67" i="24"/>
  <c r="CW67" i="24"/>
  <c r="CG72" i="24"/>
  <c r="CO72" i="24"/>
  <c r="CW72" i="24"/>
  <c r="CF89" i="24"/>
  <c r="CN89" i="24"/>
  <c r="CV89" i="24"/>
  <c r="CF92" i="24"/>
  <c r="CN92" i="24"/>
  <c r="CV92" i="24"/>
  <c r="CF93" i="24"/>
  <c r="CN93" i="24"/>
  <c r="CV93" i="24"/>
  <c r="CV101" i="24"/>
  <c r="CN102" i="24"/>
  <c r="CF104" i="24"/>
  <c r="CN104" i="24"/>
  <c r="CV104" i="24"/>
  <c r="CF106" i="24"/>
  <c r="CV106" i="24"/>
  <c r="CF115" i="24"/>
  <c r="CN115" i="24"/>
  <c r="CV115" i="24"/>
  <c r="CF116" i="24"/>
  <c r="CN116" i="24"/>
  <c r="CV116" i="24"/>
  <c r="CE136" i="24"/>
  <c r="CM136" i="24"/>
  <c r="CU136" i="24"/>
  <c r="CE137" i="24"/>
  <c r="CM137" i="24"/>
  <c r="CU137" i="24"/>
  <c r="CE138" i="24"/>
  <c r="CM138" i="24"/>
  <c r="CU138" i="24"/>
  <c r="CE139" i="24"/>
  <c r="CE151" i="24"/>
  <c r="CM151" i="24"/>
  <c r="CU151" i="24"/>
  <c r="CA18" i="24"/>
  <c r="CI18" i="24"/>
  <c r="CQ18" i="24"/>
  <c r="CA27" i="24"/>
  <c r="CI27" i="24"/>
  <c r="CQ27" i="24"/>
  <c r="CA39" i="24"/>
  <c r="CI39" i="24"/>
  <c r="CQ39" i="24"/>
  <c r="CA42" i="24"/>
  <c r="CI42" i="24"/>
  <c r="CQ42" i="24"/>
  <c r="CA43" i="24"/>
  <c r="CI43" i="24"/>
  <c r="CA48" i="24"/>
  <c r="CI48" i="24"/>
  <c r="CQ48" i="24"/>
  <c r="CA49" i="24"/>
  <c r="CI49" i="24"/>
  <c r="CQ49" i="24"/>
  <c r="CA52" i="24"/>
  <c r="CI52" i="24"/>
  <c r="CQ52" i="24"/>
  <c r="CG97" i="24"/>
  <c r="CO97" i="24"/>
  <c r="CW97" i="24"/>
  <c r="CG106" i="24"/>
  <c r="CO106" i="24"/>
  <c r="CW106" i="24"/>
  <c r="CF117" i="24"/>
  <c r="CN117" i="24"/>
  <c r="CV117" i="24"/>
  <c r="CF118" i="24"/>
  <c r="CN118" i="24"/>
  <c r="CV118" i="24"/>
  <c r="CF120" i="24"/>
  <c r="CO120" i="24"/>
  <c r="CV120" i="24"/>
  <c r="CN124" i="24"/>
  <c r="CV124" i="24"/>
  <c r="CD175" i="24"/>
  <c r="CL175" i="24"/>
  <c r="CT175" i="24"/>
  <c r="CL197" i="24"/>
  <c r="CT197" i="24"/>
  <c r="CD206" i="24"/>
  <c r="CC208" i="24"/>
  <c r="CK208" i="24"/>
  <c r="CS208" i="24"/>
  <c r="CC213" i="24"/>
  <c r="CK213" i="24"/>
  <c r="CS213" i="24"/>
  <c r="CC217" i="24"/>
  <c r="CK217" i="24"/>
  <c r="CS217" i="24"/>
  <c r="CB224" i="24"/>
  <c r="CJ224" i="24"/>
  <c r="CR224" i="24"/>
  <c r="CB225" i="24"/>
  <c r="CJ225" i="24"/>
  <c r="CR225" i="24"/>
  <c r="CA229" i="24"/>
  <c r="CA243" i="24"/>
  <c r="CI243" i="24"/>
  <c r="CQ243" i="24"/>
  <c r="CQ245" i="24"/>
  <c r="CA249" i="24"/>
  <c r="CI249" i="24"/>
  <c r="CQ249" i="24"/>
  <c r="CQ252" i="24"/>
  <c r="CA253" i="24"/>
  <c r="CQ253" i="24"/>
  <c r="CI254" i="24"/>
  <c r="CA255" i="24"/>
  <c r="CI255" i="24"/>
  <c r="CF272" i="24"/>
  <c r="CN272" i="24"/>
  <c r="CV272" i="24"/>
  <c r="CM286" i="24"/>
  <c r="CE290" i="24"/>
  <c r="CM290" i="24"/>
  <c r="CU290" i="24"/>
  <c r="CE292" i="24"/>
  <c r="CM292" i="24"/>
  <c r="CU292" i="24"/>
  <c r="CE293" i="24"/>
  <c r="CM293" i="24"/>
  <c r="CU293" i="24"/>
  <c r="CE295" i="24"/>
  <c r="CM295" i="24"/>
  <c r="CU295" i="24"/>
  <c r="CE296" i="24"/>
  <c r="CM296" i="24"/>
  <c r="CU296" i="24"/>
  <c r="CE297" i="24"/>
  <c r="CM297" i="24"/>
  <c r="CU297" i="24"/>
  <c r="CE298" i="24"/>
  <c r="CM298" i="24"/>
  <c r="CU298" i="24"/>
  <c r="CE305" i="24"/>
  <c r="CM305" i="24"/>
  <c r="CU305" i="24"/>
  <c r="CE306" i="24"/>
  <c r="CM306" i="24"/>
  <c r="CU306" i="24"/>
  <c r="CE308" i="24"/>
  <c r="CM308" i="24"/>
  <c r="CU308" i="24"/>
  <c r="CE321" i="24"/>
  <c r="CM321" i="24"/>
  <c r="CU321" i="24"/>
  <c r="CE323" i="24"/>
  <c r="CM323" i="24"/>
  <c r="CU323" i="24"/>
  <c r="CF142" i="24"/>
  <c r="CN142" i="24"/>
  <c r="CV142" i="24"/>
  <c r="CF148" i="24"/>
  <c r="CN148" i="24"/>
  <c r="CV148" i="24"/>
  <c r="CF149" i="24"/>
  <c r="CN149" i="24"/>
  <c r="CV149" i="24"/>
  <c r="CE173" i="24"/>
  <c r="CM173" i="24"/>
  <c r="CU173" i="24"/>
  <c r="CE174" i="24"/>
  <c r="CM174" i="24"/>
  <c r="CU174" i="24"/>
  <c r="CH125" i="24"/>
  <c r="BZ128" i="24"/>
  <c r="CG150" i="24"/>
  <c r="CO150" i="24"/>
  <c r="CW150" i="24"/>
  <c r="CF152" i="24"/>
  <c r="CN152" i="24"/>
  <c r="CN153" i="24"/>
  <c r="CF154" i="24"/>
  <c r="CN154" i="24"/>
  <c r="CV154" i="24"/>
  <c r="CF155" i="24"/>
  <c r="CN155" i="24"/>
  <c r="CF176" i="24"/>
  <c r="CN176" i="24"/>
  <c r="CV176" i="24"/>
  <c r="CF177" i="24"/>
  <c r="CN177" i="24"/>
  <c r="CV177" i="24"/>
  <c r="CF178" i="24"/>
  <c r="CN178" i="24"/>
  <c r="CV178" i="24"/>
  <c r="CM206" i="24"/>
  <c r="CU206" i="24"/>
  <c r="CE207" i="24"/>
  <c r="CM207" i="24"/>
  <c r="CU207" i="24"/>
  <c r="CE212" i="24"/>
  <c r="CD216" i="24"/>
  <c r="CL216" i="24"/>
  <c r="CT216" i="24"/>
  <c r="CD217" i="24"/>
  <c r="CL217" i="24"/>
  <c r="CT217" i="24"/>
  <c r="CC244" i="24"/>
  <c r="CK244" i="24"/>
  <c r="CS244" i="24"/>
  <c r="CC247" i="24"/>
  <c r="CK247" i="24"/>
  <c r="CS247" i="24"/>
  <c r="CC249" i="24"/>
  <c r="CS249" i="24"/>
  <c r="CC251" i="24"/>
  <c r="CK257" i="24"/>
  <c r="CA261" i="24"/>
  <c r="CA120" i="24"/>
  <c r="CI120" i="24"/>
  <c r="CQ120" i="24"/>
  <c r="CJ122" i="24"/>
  <c r="CR123" i="24"/>
  <c r="CB128" i="24"/>
  <c r="CB130" i="24"/>
  <c r="CH149" i="24"/>
  <c r="CP149" i="24"/>
  <c r="CH151" i="24"/>
  <c r="CP151" i="24"/>
  <c r="CG152" i="24"/>
  <c r="CO152" i="24"/>
  <c r="CW152" i="24"/>
  <c r="BZ156" i="24"/>
  <c r="CG157" i="24"/>
  <c r="CO157" i="24"/>
  <c r="CW157" i="24"/>
  <c r="CG158" i="24"/>
  <c r="CO158" i="24"/>
  <c r="CW158" i="24"/>
  <c r="CG169" i="24"/>
  <c r="CO169" i="24"/>
  <c r="CW169" i="24"/>
  <c r="CG171" i="24"/>
  <c r="CO171" i="24"/>
  <c r="CW171" i="24"/>
  <c r="CD230" i="24"/>
  <c r="CD231" i="24"/>
  <c r="CL231" i="24"/>
  <c r="CT231" i="24"/>
  <c r="CD232" i="24"/>
  <c r="CD234" i="24"/>
  <c r="CL234" i="24"/>
  <c r="CE240" i="24"/>
  <c r="CM240" i="24"/>
  <c r="CD253" i="24"/>
  <c r="CL253" i="24"/>
  <c r="CT253" i="24"/>
  <c r="CD254" i="24"/>
  <c r="CL254" i="24"/>
  <c r="CT254" i="24"/>
  <c r="CD257" i="24"/>
  <c r="CL257" i="24"/>
  <c r="CT257" i="24"/>
  <c r="CD258" i="24"/>
  <c r="CL258" i="24"/>
  <c r="CT258" i="24"/>
  <c r="CB264" i="24"/>
  <c r="BZ299" i="24"/>
  <c r="BZ307" i="24"/>
  <c r="CP320" i="24"/>
  <c r="BZ321" i="24"/>
  <c r="CH321" i="24"/>
  <c r="CP321" i="24"/>
  <c r="CH323" i="24"/>
  <c r="CP323" i="24"/>
  <c r="BZ330" i="24"/>
  <c r="BZ331" i="24"/>
  <c r="BZ332" i="24"/>
  <c r="BZ333" i="24"/>
  <c r="CH333" i="24"/>
  <c r="CP333" i="24"/>
  <c r="BZ334" i="24"/>
  <c r="CT115" i="24"/>
  <c r="CT116" i="24"/>
  <c r="CO211" i="24"/>
  <c r="CW211" i="24"/>
  <c r="CF219" i="24"/>
  <c r="CN219" i="24"/>
  <c r="CV219" i="24"/>
  <c r="CF228" i="24"/>
  <c r="CE229" i="24"/>
  <c r="CM229" i="24"/>
  <c r="CU229" i="24"/>
  <c r="CA336" i="24"/>
  <c r="CI336" i="24"/>
  <c r="CQ336" i="24"/>
  <c r="CA337" i="24"/>
  <c r="CI337" i="24"/>
  <c r="CQ337" i="24"/>
  <c r="CA338" i="24"/>
  <c r="CI338" i="24"/>
  <c r="CA339" i="24"/>
  <c r="CI339" i="24"/>
  <c r="CQ339" i="24"/>
  <c r="CB325" i="24"/>
  <c r="CT118" i="24"/>
  <c r="CD119" i="24"/>
  <c r="CE123" i="24"/>
  <c r="CE124" i="24"/>
  <c r="CD126" i="24"/>
  <c r="CM130" i="24"/>
  <c r="CC143" i="24"/>
  <c r="CK143" i="24"/>
  <c r="CS143" i="24"/>
  <c r="CC147" i="24"/>
  <c r="CK147" i="24"/>
  <c r="CS147" i="24"/>
  <c r="CC148" i="24"/>
  <c r="CK148" i="24"/>
  <c r="CS148" i="24"/>
  <c r="CC149" i="24"/>
  <c r="CK149" i="24"/>
  <c r="CS149" i="24"/>
  <c r="CB152" i="24"/>
  <c r="CJ152" i="24"/>
  <c r="CR152" i="24"/>
  <c r="CB156" i="24"/>
  <c r="CJ156" i="24"/>
  <c r="CR156" i="24"/>
  <c r="CB168" i="24"/>
  <c r="CJ168" i="24"/>
  <c r="CR168" i="24"/>
  <c r="CB169" i="24"/>
  <c r="CJ169" i="24"/>
  <c r="CR169" i="24"/>
  <c r="CB170" i="24"/>
  <c r="CJ170" i="24"/>
  <c r="CR170" i="24"/>
  <c r="CB171" i="24"/>
  <c r="CJ171" i="24"/>
  <c r="CR171" i="24"/>
  <c r="CB172" i="24"/>
  <c r="CJ172" i="24"/>
  <c r="CR172" i="24"/>
  <c r="CC174" i="24"/>
  <c r="CA203" i="24"/>
  <c r="CI203" i="24"/>
  <c r="CQ203" i="24"/>
  <c r="CP226" i="24"/>
  <c r="CH227" i="24"/>
  <c r="CP227" i="24"/>
  <c r="CO229" i="24"/>
  <c r="CG235" i="24"/>
  <c r="CO235" i="24"/>
  <c r="CW235" i="24"/>
  <c r="CG236" i="24"/>
  <c r="CO236" i="24"/>
  <c r="CW236" i="24"/>
  <c r="CG237" i="24"/>
  <c r="CO237" i="24"/>
  <c r="CW237" i="24"/>
  <c r="CG239" i="24"/>
  <c r="CO239" i="24"/>
  <c r="CW239" i="24"/>
  <c r="CG240" i="24"/>
  <c r="CO240" i="24"/>
  <c r="CW240" i="24"/>
  <c r="CG241" i="24"/>
  <c r="CO241" i="24"/>
  <c r="CW241" i="24"/>
  <c r="CP243" i="24"/>
  <c r="CG251" i="24"/>
  <c r="CO251" i="24"/>
  <c r="CW251" i="24"/>
  <c r="CG256" i="24"/>
  <c r="CO256" i="24"/>
  <c r="CW256" i="24"/>
  <c r="CG258" i="24"/>
  <c r="CO258" i="24"/>
  <c r="CW258" i="24"/>
  <c r="CO260" i="24"/>
  <c r="CD273" i="24"/>
  <c r="CL273" i="24"/>
  <c r="CT273" i="24"/>
  <c r="CD276" i="24"/>
  <c r="CL276" i="24"/>
  <c r="CT276" i="24"/>
  <c r="CK339" i="24"/>
  <c r="CS339" i="24"/>
  <c r="AX331" i="13"/>
  <c r="AF331" i="19" s="1"/>
  <c r="FP22" i="20"/>
  <c r="FK32" i="20"/>
  <c r="FK40" i="20"/>
  <c r="FL49" i="20"/>
  <c r="FL58" i="20"/>
  <c r="FL59" i="20"/>
  <c r="FK64" i="20"/>
  <c r="FL97" i="20"/>
  <c r="FP116" i="20"/>
  <c r="FP117" i="20"/>
  <c r="FP119" i="20"/>
  <c r="FP120" i="20"/>
  <c r="FP124" i="20"/>
  <c r="FP127" i="20"/>
  <c r="FP145" i="20"/>
  <c r="FP146" i="20"/>
  <c r="FP148" i="20"/>
  <c r="FP149" i="20"/>
  <c r="FF154" i="20"/>
  <c r="FF155" i="20"/>
  <c r="FG158" i="20"/>
  <c r="FG192" i="20"/>
  <c r="FP202" i="20"/>
  <c r="FF208" i="20"/>
  <c r="FK213" i="20"/>
  <c r="FP218" i="20"/>
  <c r="FF224" i="20"/>
  <c r="FK229" i="20"/>
  <c r="FK249" i="20"/>
  <c r="FP256" i="20"/>
  <c r="FG293" i="20"/>
  <c r="FP312" i="20"/>
  <c r="FK317" i="20"/>
  <c r="FK185" i="20"/>
  <c r="FK187" i="20"/>
  <c r="FK241" i="20"/>
  <c r="GC7" i="20"/>
  <c r="FP310" i="20"/>
  <c r="GC5" i="20"/>
  <c r="FQ295" i="20"/>
  <c r="FK321" i="20"/>
  <c r="GA5" i="20"/>
  <c r="FK7" i="20"/>
  <c r="FK26" i="20"/>
  <c r="FL28" i="20"/>
  <c r="FQ39" i="20"/>
  <c r="FP59" i="20"/>
  <c r="FP64" i="20"/>
  <c r="FF67" i="20"/>
  <c r="FG70" i="20"/>
  <c r="FL91" i="20"/>
  <c r="FP104" i="20"/>
  <c r="FF117" i="20"/>
  <c r="FF118" i="20"/>
  <c r="FF122" i="20"/>
  <c r="FF138" i="20"/>
  <c r="FF148" i="20"/>
  <c r="FK158" i="20"/>
  <c r="FK159" i="20"/>
  <c r="FK160" i="20"/>
  <c r="FL161" i="20"/>
  <c r="FK162" i="20"/>
  <c r="FP165" i="20"/>
  <c r="FL179" i="20"/>
  <c r="FK193" i="20"/>
  <c r="GA7" i="20"/>
  <c r="FK234" i="20"/>
  <c r="FP236" i="20"/>
  <c r="FK247" i="20"/>
  <c r="FF256" i="20"/>
  <c r="FK293" i="20"/>
  <c r="FF312" i="20"/>
  <c r="FP316" i="20"/>
  <c r="GB5" i="20"/>
  <c r="FK24" i="20"/>
  <c r="FK25" i="20"/>
  <c r="FL27" i="20"/>
  <c r="FP60" i="20"/>
  <c r="FG63" i="20"/>
  <c r="FG68" i="20"/>
  <c r="FL75" i="20"/>
  <c r="FQ86" i="20"/>
  <c r="FP164" i="20"/>
  <c r="FK6" i="20"/>
  <c r="FZ7" i="20"/>
  <c r="FL11" i="20"/>
  <c r="FG39" i="20"/>
  <c r="FG60" i="20"/>
  <c r="FL66" i="20"/>
  <c r="FL67" i="20"/>
  <c r="FQ76" i="20"/>
  <c r="FQ90" i="20"/>
  <c r="FK106" i="20"/>
  <c r="FK107" i="20"/>
  <c r="FP109" i="20"/>
  <c r="FK118" i="20"/>
  <c r="FK122" i="20"/>
  <c r="FK123" i="20"/>
  <c r="FK130" i="20"/>
  <c r="FL147" i="20"/>
  <c r="FP158" i="20"/>
  <c r="FP160" i="20"/>
  <c r="FP161" i="20"/>
  <c r="FP162" i="20"/>
  <c r="FF185" i="20"/>
  <c r="FF187" i="20"/>
  <c r="FG188" i="20"/>
  <c r="FF242" i="20"/>
  <c r="FF243" i="20"/>
  <c r="FF244" i="20"/>
  <c r="FF264" i="20"/>
  <c r="FP282" i="20"/>
  <c r="FL290" i="20"/>
  <c r="FK311" i="20"/>
  <c r="FF316" i="20"/>
  <c r="G330" i="14"/>
  <c r="BC330" i="19"/>
  <c r="BA331" i="19"/>
  <c r="AY330" i="6"/>
  <c r="BA330" i="19" s="1"/>
  <c r="AX331" i="6"/>
  <c r="F171" i="31"/>
  <c r="AC171" i="19" s="1"/>
  <c r="F206" i="31"/>
  <c r="AC206" i="19" s="1"/>
  <c r="G219" i="31"/>
  <c r="AD219" i="19" s="1"/>
  <c r="F298" i="31"/>
  <c r="AC298" i="19" s="1"/>
  <c r="G311" i="31"/>
  <c r="AD311" i="19" s="1"/>
  <c r="F330" i="31"/>
  <c r="AC330" i="19" s="1"/>
  <c r="G28" i="31"/>
  <c r="AD28" i="19" s="1"/>
  <c r="F93" i="31"/>
  <c r="AC93" i="19" s="1"/>
  <c r="AA93" i="19" s="1"/>
  <c r="AB93" i="19" s="1"/>
  <c r="BM93" i="19" s="1"/>
  <c r="G99" i="31"/>
  <c r="AD99" i="19" s="1"/>
  <c r="G194" i="31"/>
  <c r="AD194" i="19" s="1"/>
  <c r="G35" i="31"/>
  <c r="AD35" i="19" s="1"/>
  <c r="F61" i="31"/>
  <c r="AC61" i="19" s="1"/>
  <c r="F67" i="31"/>
  <c r="AC67" i="19" s="1"/>
  <c r="G88" i="31"/>
  <c r="AD88" i="19" s="1"/>
  <c r="G160" i="31"/>
  <c r="AD160" i="19" s="1"/>
  <c r="G183" i="31"/>
  <c r="AD183" i="19" s="1"/>
  <c r="F237" i="31"/>
  <c r="AC237" i="19" s="1"/>
  <c r="AA237" i="19" s="1"/>
  <c r="AB237" i="19" s="1"/>
  <c r="F269" i="31"/>
  <c r="AC269" i="19" s="1"/>
  <c r="F274" i="31"/>
  <c r="AC274" i="19" s="1"/>
  <c r="AA274" i="19" s="1"/>
  <c r="AB274" i="19" s="1"/>
  <c r="F281" i="31"/>
  <c r="AC281" i="19" s="1"/>
  <c r="AA281" i="19" s="1"/>
  <c r="F287" i="31"/>
  <c r="AC287" i="19" s="1"/>
  <c r="AA287" i="19" s="1"/>
  <c r="G24" i="31"/>
  <c r="AD24" i="19" s="1"/>
  <c r="F36" i="31"/>
  <c r="AC36" i="19" s="1"/>
  <c r="G43" i="31"/>
  <c r="AD43" i="19" s="1"/>
  <c r="G83" i="31"/>
  <c r="AD83" i="19" s="1"/>
  <c r="G108" i="31"/>
  <c r="AD108" i="19" s="1"/>
  <c r="G128" i="31"/>
  <c r="AD128" i="19" s="1"/>
  <c r="G156" i="31"/>
  <c r="AD156" i="19" s="1"/>
  <c r="F173" i="31"/>
  <c r="AC173" i="19" s="1"/>
  <c r="F202" i="31"/>
  <c r="AC202" i="19" s="1"/>
  <c r="AA202" i="19" s="1"/>
  <c r="AB202" i="19" s="1"/>
  <c r="F238" i="31"/>
  <c r="AC238" i="19" s="1"/>
  <c r="AA238" i="19" s="1"/>
  <c r="AB238" i="19" s="1"/>
  <c r="F270" i="31"/>
  <c r="AC270" i="19" s="1"/>
  <c r="G4" i="31"/>
  <c r="AD4" i="19" s="1"/>
  <c r="G11" i="31"/>
  <c r="AD11" i="19" s="1"/>
  <c r="G32" i="31"/>
  <c r="AD32" i="19" s="1"/>
  <c r="G44" i="31"/>
  <c r="AD44" i="19" s="1"/>
  <c r="G64" i="31"/>
  <c r="AD64" i="19" s="1"/>
  <c r="G124" i="31"/>
  <c r="AD124" i="19" s="1"/>
  <c r="F157" i="31"/>
  <c r="AC157" i="19" s="1"/>
  <c r="AA157" i="19" s="1"/>
  <c r="AB157" i="19" s="1"/>
  <c r="G163" i="31"/>
  <c r="AD163" i="19" s="1"/>
  <c r="F186" i="31"/>
  <c r="AC186" i="19" s="1"/>
  <c r="AA186" i="19" s="1"/>
  <c r="AB186" i="19" s="1"/>
  <c r="BM186" i="19" s="1"/>
  <c r="G235" i="31"/>
  <c r="AD235" i="19" s="1"/>
  <c r="F239" i="31"/>
  <c r="AC239" i="19" s="1"/>
  <c r="AA239" i="19" s="1"/>
  <c r="AB239" i="19" s="1"/>
  <c r="G267" i="31"/>
  <c r="AD267" i="19" s="1"/>
  <c r="G271" i="31"/>
  <c r="AD271" i="19" s="1"/>
  <c r="F334" i="31"/>
  <c r="AC334" i="19" s="1"/>
  <c r="CU17" i="24"/>
  <c r="CA82" i="24"/>
  <c r="CI82" i="24"/>
  <c r="CQ82" i="24"/>
  <c r="CO18" i="24"/>
  <c r="CW18" i="24"/>
  <c r="CG19" i="24"/>
  <c r="CO19" i="24"/>
  <c r="CW19" i="24"/>
  <c r="CG20" i="24"/>
  <c r="CO20" i="24"/>
  <c r="CW20" i="24"/>
  <c r="CD50" i="24"/>
  <c r="CL50" i="24"/>
  <c r="CT50" i="24"/>
  <c r="CD51" i="24"/>
  <c r="CL51" i="24"/>
  <c r="CT51" i="24"/>
  <c r="CA21" i="24"/>
  <c r="CA22" i="24"/>
  <c r="CI22" i="24"/>
  <c r="CQ22" i="24"/>
  <c r="CH23" i="24"/>
  <c r="CP23" i="24"/>
  <c r="CH24" i="24"/>
  <c r="CP24" i="24"/>
  <c r="CG29" i="24"/>
  <c r="CO29" i="24"/>
  <c r="CW29" i="24"/>
  <c r="CG30" i="24"/>
  <c r="CO30" i="24"/>
  <c r="CW30" i="24"/>
  <c r="CB5" i="24"/>
  <c r="CJ5" i="24"/>
  <c r="CR5" i="24"/>
  <c r="CB6" i="24"/>
  <c r="CJ6" i="24"/>
  <c r="CR6" i="24"/>
  <c r="CB7" i="24"/>
  <c r="CJ7" i="24"/>
  <c r="CR7" i="24"/>
  <c r="CB8" i="24"/>
  <c r="CJ8" i="24"/>
  <c r="CR8" i="24"/>
  <c r="CB9" i="24"/>
  <c r="CJ9" i="24"/>
  <c r="CR9" i="24"/>
  <c r="CB10" i="24"/>
  <c r="CJ10" i="24"/>
  <c r="CR10" i="24"/>
  <c r="CB11" i="24"/>
  <c r="CJ11" i="24"/>
  <c r="CR11" i="24"/>
  <c r="CB12" i="24"/>
  <c r="CJ12" i="24"/>
  <c r="CR12" i="24"/>
  <c r="CB13" i="24"/>
  <c r="CJ13" i="24"/>
  <c r="CR13" i="24"/>
  <c r="CB14" i="24"/>
  <c r="CJ14" i="24"/>
  <c r="CR14" i="24"/>
  <c r="CB15" i="24"/>
  <c r="CJ15" i="24"/>
  <c r="CR15" i="24"/>
  <c r="CB16" i="24"/>
  <c r="CJ16" i="24"/>
  <c r="CR16" i="24"/>
  <c r="CB17" i="24"/>
  <c r="CB19" i="24"/>
  <c r="CJ19" i="24"/>
  <c r="CR19" i="24"/>
  <c r="CP30" i="24"/>
  <c r="BZ12" i="24"/>
  <c r="CH12" i="24"/>
  <c r="CP12" i="24"/>
  <c r="BZ13" i="24"/>
  <c r="CH13" i="24"/>
  <c r="CP13" i="24"/>
  <c r="BZ14" i="24"/>
  <c r="CH14" i="24"/>
  <c r="CP14" i="24"/>
  <c r="BZ15" i="24"/>
  <c r="CH15" i="24"/>
  <c r="CP15" i="24"/>
  <c r="BZ16" i="24"/>
  <c r="CH16" i="24"/>
  <c r="CP16" i="24"/>
  <c r="BZ17" i="24"/>
  <c r="CH17" i="24"/>
  <c r="CP17" i="24"/>
  <c r="BZ19" i="24"/>
  <c r="CH19" i="24"/>
  <c r="CQ19" i="24"/>
  <c r="CG21" i="24"/>
  <c r="CO21" i="24"/>
  <c r="CW21" i="24"/>
  <c r="CF24" i="24"/>
  <c r="CN24" i="24"/>
  <c r="CV24" i="24"/>
  <c r="CF25" i="24"/>
  <c r="CN25" i="24"/>
  <c r="CV25" i="24"/>
  <c r="CE26" i="24"/>
  <c r="CM26" i="24"/>
  <c r="CU26" i="24"/>
  <c r="CD32" i="24"/>
  <c r="CL32" i="24"/>
  <c r="CT32" i="24"/>
  <c r="CD33" i="24"/>
  <c r="CL33" i="24"/>
  <c r="CT33" i="24"/>
  <c r="CD34" i="24"/>
  <c r="CL34" i="24"/>
  <c r="CT34" i="24"/>
  <c r="CE35" i="24"/>
  <c r="CM35" i="24"/>
  <c r="CU35" i="24"/>
  <c r="CC37" i="24"/>
  <c r="CK37" i="24"/>
  <c r="CS37" i="24"/>
  <c r="CC41" i="24"/>
  <c r="CK41" i="24"/>
  <c r="CS41" i="24"/>
  <c r="CC42" i="24"/>
  <c r="CK42" i="24"/>
  <c r="CS42" i="24"/>
  <c r="CC43" i="24"/>
  <c r="CK43" i="24"/>
  <c r="CS43" i="24"/>
  <c r="CA57" i="24"/>
  <c r="CI57" i="24"/>
  <c r="CQ57" i="24"/>
  <c r="CA58" i="24"/>
  <c r="CI58" i="24"/>
  <c r="CQ58" i="24"/>
  <c r="CH64" i="24"/>
  <c r="CP64" i="24"/>
  <c r="BZ79" i="24"/>
  <c r="CH79" i="24"/>
  <c r="CP79" i="24"/>
  <c r="CG80" i="24"/>
  <c r="CO80" i="24"/>
  <c r="CW80" i="24"/>
  <c r="CG81" i="24"/>
  <c r="CO81" i="24"/>
  <c r="CW81" i="24"/>
  <c r="CF95" i="24"/>
  <c r="CN96" i="24"/>
  <c r="CV96" i="24"/>
  <c r="CE105" i="24"/>
  <c r="CM105" i="24"/>
  <c r="CU105" i="24"/>
  <c r="CK125" i="24"/>
  <c r="CG149" i="24"/>
  <c r="CF107" i="24"/>
  <c r="CS18" i="24"/>
  <c r="CC19" i="24"/>
  <c r="CK19" i="24"/>
  <c r="CS19" i="24"/>
  <c r="CC20" i="24"/>
  <c r="CK20" i="24"/>
  <c r="CS20" i="24"/>
  <c r="CH28" i="24"/>
  <c r="CP28" i="24"/>
  <c r="CG31" i="24"/>
  <c r="CO31" i="24"/>
  <c r="CW31" i="24"/>
  <c r="CG32" i="24"/>
  <c r="CO32" i="24"/>
  <c r="CW32" i="24"/>
  <c r="CG34" i="24"/>
  <c r="CO34" i="24"/>
  <c r="CW34" i="24"/>
  <c r="CF44" i="24"/>
  <c r="CN44" i="24"/>
  <c r="CV44" i="24"/>
  <c r="CF45" i="24"/>
  <c r="CN45" i="24"/>
  <c r="CV45" i="24"/>
  <c r="CE46" i="24"/>
  <c r="CM46" i="24"/>
  <c r="CU46" i="24"/>
  <c r="CE53" i="24"/>
  <c r="CM53" i="24"/>
  <c r="CU53" i="24"/>
  <c r="CD55" i="24"/>
  <c r="CL55" i="24"/>
  <c r="CT55" i="24"/>
  <c r="CM56" i="24"/>
  <c r="CD59" i="24"/>
  <c r="CL59" i="24"/>
  <c r="CT59" i="24"/>
  <c r="CK61" i="24"/>
  <c r="CS61" i="24"/>
  <c r="CC62" i="24"/>
  <c r="CK62" i="24"/>
  <c r="CS62" i="24"/>
  <c r="CC74" i="24"/>
  <c r="CK74" i="24"/>
  <c r="CS74" i="24"/>
  <c r="CC75" i="24"/>
  <c r="CK75" i="24"/>
  <c r="CS75" i="24"/>
  <c r="CB81" i="24"/>
  <c r="CJ81" i="24"/>
  <c r="CR81" i="24"/>
  <c r="CB84" i="24"/>
  <c r="CJ84" i="24"/>
  <c r="CR84" i="24"/>
  <c r="CB85" i="24"/>
  <c r="CJ85" i="24"/>
  <c r="CR85" i="24"/>
  <c r="CH94" i="24"/>
  <c r="CP94" i="24"/>
  <c r="BZ95" i="24"/>
  <c r="CH98" i="24"/>
  <c r="CP98" i="24"/>
  <c r="CH100" i="24"/>
  <c r="CP100" i="24"/>
  <c r="CH103" i="24"/>
  <c r="CP103" i="24"/>
  <c r="BZ104" i="24"/>
  <c r="CH105" i="24"/>
  <c r="CP105" i="24"/>
  <c r="BZ106" i="24"/>
  <c r="CG107" i="24"/>
  <c r="CG111" i="24"/>
  <c r="CO111" i="24"/>
  <c r="CW111" i="24"/>
  <c r="CG114" i="24"/>
  <c r="CM124" i="24"/>
  <c r="CL128" i="24"/>
  <c r="CT130" i="24"/>
  <c r="CT131" i="24"/>
  <c r="CE18" i="24"/>
  <c r="CM18" i="24"/>
  <c r="CU18" i="24"/>
  <c r="CD22" i="24"/>
  <c r="CL22" i="24"/>
  <c r="CT22" i="24"/>
  <c r="CC23" i="24"/>
  <c r="CK23" i="24"/>
  <c r="CS23" i="24"/>
  <c r="CC25" i="24"/>
  <c r="CK25" i="24"/>
  <c r="CS25" i="24"/>
  <c r="CB27" i="24"/>
  <c r="CJ27" i="24"/>
  <c r="CR27" i="24"/>
  <c r="CB29" i="24"/>
  <c r="CJ29" i="24"/>
  <c r="CR29" i="24"/>
  <c r="CB30" i="24"/>
  <c r="CJ30" i="24"/>
  <c r="CB34" i="24"/>
  <c r="CP43" i="24"/>
  <c r="BZ45" i="24"/>
  <c r="CH45" i="24"/>
  <c r="CP45" i="24"/>
  <c r="CG46" i="24"/>
  <c r="CO46" i="24"/>
  <c r="CW46" i="24"/>
  <c r="CG47" i="24"/>
  <c r="CO47" i="24"/>
  <c r="CW47" i="24"/>
  <c r="CG53" i="24"/>
  <c r="CO53" i="24"/>
  <c r="CW53" i="24"/>
  <c r="CW54" i="24"/>
  <c r="CF56" i="24"/>
  <c r="CN56" i="24"/>
  <c r="CV56" i="24"/>
  <c r="CF58" i="24"/>
  <c r="CN58" i="24"/>
  <c r="CV58" i="24"/>
  <c r="CD80" i="24"/>
  <c r="CT80" i="24"/>
  <c r="CB90" i="24"/>
  <c r="CJ90" i="24"/>
  <c r="CR90" i="24"/>
  <c r="CB91" i="24"/>
  <c r="CJ91" i="24"/>
  <c r="CR91" i="24"/>
  <c r="CB95" i="24"/>
  <c r="CJ95" i="24"/>
  <c r="CB100" i="24"/>
  <c r="CJ100" i="24"/>
  <c r="CR100" i="24"/>
  <c r="CB101" i="24"/>
  <c r="CJ101" i="24"/>
  <c r="CR101" i="24"/>
  <c r="CA108" i="24"/>
  <c r="CI108" i="24"/>
  <c r="CQ108" i="24"/>
  <c r="CA116" i="24"/>
  <c r="CI116" i="24"/>
  <c r="CQ116" i="24"/>
  <c r="CG119" i="24"/>
  <c r="CO119" i="24"/>
  <c r="CW119" i="24"/>
  <c r="CG123" i="24"/>
  <c r="CO123" i="24"/>
  <c r="CO124" i="24"/>
  <c r="CW124" i="24"/>
  <c r="CS89" i="24"/>
  <c r="CC92" i="24"/>
  <c r="CK92" i="24"/>
  <c r="CS92" i="24"/>
  <c r="CC93" i="24"/>
  <c r="CK93" i="24"/>
  <c r="CS93" i="24"/>
  <c r="CC94" i="24"/>
  <c r="CK94" i="24"/>
  <c r="CS94" i="24"/>
  <c r="CC98" i="24"/>
  <c r="CK98" i="24"/>
  <c r="CS98" i="24"/>
  <c r="CC99" i="24"/>
  <c r="CS99" i="24"/>
  <c r="CS100" i="24"/>
  <c r="CO114" i="24"/>
  <c r="CW114" i="24"/>
  <c r="CG115" i="24"/>
  <c r="CO115" i="24"/>
  <c r="CW115" i="24"/>
  <c r="CE120" i="24"/>
  <c r="CU120" i="24"/>
  <c r="CE121" i="24"/>
  <c r="CM121" i="24"/>
  <c r="CU121" i="24"/>
  <c r="BZ135" i="24"/>
  <c r="CG136" i="24"/>
  <c r="CO136" i="24"/>
  <c r="CW136" i="24"/>
  <c r="CO137" i="24"/>
  <c r="CW137" i="24"/>
  <c r="CG138" i="24"/>
  <c r="CO138" i="24"/>
  <c r="CE142" i="24"/>
  <c r="CM142" i="24"/>
  <c r="CU142" i="24"/>
  <c r="CE143" i="24"/>
  <c r="CM143" i="24"/>
  <c r="CE144" i="24"/>
  <c r="CM144" i="24"/>
  <c r="CU144" i="24"/>
  <c r="CE145" i="24"/>
  <c r="CM145" i="24"/>
  <c r="CU145" i="24"/>
  <c r="CC154" i="24"/>
  <c r="CK154" i="24"/>
  <c r="CS154" i="24"/>
  <c r="CC155" i="24"/>
  <c r="CK155" i="24"/>
  <c r="CS155" i="24"/>
  <c r="CC159" i="24"/>
  <c r="CK159" i="24"/>
  <c r="CS159" i="24"/>
  <c r="CC160" i="24"/>
  <c r="CK160" i="24"/>
  <c r="CC161" i="24"/>
  <c r="CK161" i="24"/>
  <c r="CS161" i="24"/>
  <c r="CA162" i="24"/>
  <c r="CI162" i="24"/>
  <c r="CQ162" i="24"/>
  <c r="CA163" i="24"/>
  <c r="CI163" i="24"/>
  <c r="CQ163" i="24"/>
  <c r="CA165" i="24"/>
  <c r="CI165" i="24"/>
  <c r="CQ165" i="24"/>
  <c r="CA166" i="24"/>
  <c r="CI166" i="24"/>
  <c r="CQ166" i="24"/>
  <c r="CA167" i="24"/>
  <c r="CI167" i="24"/>
  <c r="CQ167" i="24"/>
  <c r="CA169" i="24"/>
  <c r="CI169" i="24"/>
  <c r="CQ169" i="24"/>
  <c r="CA170" i="24"/>
  <c r="CI170" i="24"/>
  <c r="CQ170" i="24"/>
  <c r="BZ175" i="24"/>
  <c r="CG188" i="24"/>
  <c r="CO188" i="24"/>
  <c r="CW188" i="24"/>
  <c r="CG190" i="24"/>
  <c r="CO190" i="24"/>
  <c r="CW190" i="24"/>
  <c r="CH192" i="24"/>
  <c r="CG194" i="24"/>
  <c r="CO194" i="24"/>
  <c r="CW194" i="24"/>
  <c r="CH197" i="24"/>
  <c r="CP197" i="24"/>
  <c r="CW197" i="24"/>
  <c r="CS245" i="24"/>
  <c r="CK250" i="24"/>
  <c r="CS250" i="24"/>
  <c r="CG140" i="24"/>
  <c r="CO140" i="24"/>
  <c r="CW140" i="24"/>
  <c r="CO141" i="24"/>
  <c r="CW141" i="24"/>
  <c r="CG147" i="24"/>
  <c r="CO147" i="24"/>
  <c r="CW147" i="24"/>
  <c r="CE156" i="24"/>
  <c r="CM156" i="24"/>
  <c r="CU156" i="24"/>
  <c r="CE159" i="24"/>
  <c r="CM159" i="24"/>
  <c r="CU159" i="24"/>
  <c r="CE160" i="24"/>
  <c r="CM160" i="24"/>
  <c r="CU160" i="24"/>
  <c r="CE161" i="24"/>
  <c r="CM161" i="24"/>
  <c r="CU161" i="24"/>
  <c r="CC162" i="24"/>
  <c r="CK162" i="24"/>
  <c r="CS162" i="24"/>
  <c r="CC163" i="24"/>
  <c r="CK163" i="24"/>
  <c r="CS163" i="24"/>
  <c r="CC164" i="24"/>
  <c r="CK164" i="24"/>
  <c r="CS164" i="24"/>
  <c r="CC165" i="24"/>
  <c r="CK165" i="24"/>
  <c r="CK166" i="24"/>
  <c r="CS166" i="24"/>
  <c r="CC167" i="24"/>
  <c r="CK167" i="24"/>
  <c r="CS167" i="24"/>
  <c r="CK168" i="24"/>
  <c r="CC171" i="24"/>
  <c r="CC173" i="24"/>
  <c r="CK174" i="24"/>
  <c r="CS174" i="24"/>
  <c r="CB175" i="24"/>
  <c r="CJ175" i="24"/>
  <c r="CR175" i="24"/>
  <c r="CA176" i="24"/>
  <c r="CI176" i="24"/>
  <c r="CQ176" i="24"/>
  <c r="CA177" i="24"/>
  <c r="CI177" i="24"/>
  <c r="CQ177" i="24"/>
  <c r="CP200" i="24"/>
  <c r="CO202" i="24"/>
  <c r="CW202" i="24"/>
  <c r="CL235" i="24"/>
  <c r="CT235" i="24"/>
  <c r="CT236" i="24"/>
  <c r="CD237" i="24"/>
  <c r="CL237" i="24"/>
  <c r="CT237" i="24"/>
  <c r="CD238" i="24"/>
  <c r="CD241" i="24"/>
  <c r="CD242" i="24"/>
  <c r="CP283" i="24"/>
  <c r="CC106" i="24"/>
  <c r="CK106" i="24"/>
  <c r="CS106" i="24"/>
  <c r="CJ108" i="24"/>
  <c r="CR108" i="24"/>
  <c r="CB109" i="24"/>
  <c r="CJ109" i="24"/>
  <c r="CR109" i="24"/>
  <c r="CB110" i="24"/>
  <c r="CJ110" i="24"/>
  <c r="CB112" i="24"/>
  <c r="CJ112" i="24"/>
  <c r="CR112" i="24"/>
  <c r="CB113" i="24"/>
  <c r="CJ113" i="24"/>
  <c r="CR113" i="24"/>
  <c r="CB115" i="24"/>
  <c r="CJ115" i="24"/>
  <c r="CR115" i="24"/>
  <c r="BZ124" i="24"/>
  <c r="CU129" i="24"/>
  <c r="CU131" i="24"/>
  <c r="CD133" i="24"/>
  <c r="CL133" i="24"/>
  <c r="CT133" i="24"/>
  <c r="CB137" i="24"/>
  <c r="CJ137" i="24"/>
  <c r="CR137" i="24"/>
  <c r="CV155" i="24"/>
  <c r="CF157" i="24"/>
  <c r="CN157" i="24"/>
  <c r="CV157" i="24"/>
  <c r="CF158" i="24"/>
  <c r="CN158" i="24"/>
  <c r="CV158" i="24"/>
  <c r="CF160" i="24"/>
  <c r="CN160" i="24"/>
  <c r="CV160" i="24"/>
  <c r="CD163" i="24"/>
  <c r="CL163" i="24"/>
  <c r="CT163" i="24"/>
  <c r="CD164" i="24"/>
  <c r="CL164" i="24"/>
  <c r="CT164" i="24"/>
  <c r="CD167" i="24"/>
  <c r="CL167" i="24"/>
  <c r="CT167" i="24"/>
  <c r="CD171" i="24"/>
  <c r="CL171" i="24"/>
  <c r="CT171" i="24"/>
  <c r="CD173" i="24"/>
  <c r="CB181" i="24"/>
  <c r="CJ181" i="24"/>
  <c r="CR181" i="24"/>
  <c r="CB182" i="24"/>
  <c r="CJ182" i="24"/>
  <c r="CR182" i="24"/>
  <c r="CB183" i="24"/>
  <c r="CJ183" i="24"/>
  <c r="CR183" i="24"/>
  <c r="CB184" i="24"/>
  <c r="CJ184" i="24"/>
  <c r="CR184" i="24"/>
  <c r="CB185" i="24"/>
  <c r="CJ185" i="24"/>
  <c r="CR185" i="24"/>
  <c r="CB187" i="24"/>
  <c r="CJ187" i="24"/>
  <c r="CR187" i="24"/>
  <c r="CB188" i="24"/>
  <c r="CJ188" i="24"/>
  <c r="CR188" i="24"/>
  <c r="CB189" i="24"/>
  <c r="CJ189" i="24"/>
  <c r="CR189" i="24"/>
  <c r="CC191" i="24"/>
  <c r="CJ191" i="24"/>
  <c r="CB194" i="24"/>
  <c r="CJ194" i="24"/>
  <c r="CR194" i="24"/>
  <c r="BZ202" i="24"/>
  <c r="CM234" i="24"/>
  <c r="CD107" i="24"/>
  <c r="CL107" i="24"/>
  <c r="CT107" i="24"/>
  <c r="CD110" i="24"/>
  <c r="CL110" i="24"/>
  <c r="CT110" i="24"/>
  <c r="CB117" i="24"/>
  <c r="CJ117" i="24"/>
  <c r="CR117" i="24"/>
  <c r="CB118" i="24"/>
  <c r="CJ118" i="24"/>
  <c r="CR118" i="24"/>
  <c r="CJ121" i="24"/>
  <c r="CB124" i="24"/>
  <c r="CJ124" i="24"/>
  <c r="CR124" i="24"/>
  <c r="CA125" i="24"/>
  <c r="CI125" i="24"/>
  <c r="CQ125" i="24"/>
  <c r="CH127" i="24"/>
  <c r="CG129" i="24"/>
  <c r="CO129" i="24"/>
  <c r="CW134" i="24"/>
  <c r="CB141" i="24"/>
  <c r="CJ141" i="24"/>
  <c r="CR141" i="24"/>
  <c r="CB145" i="24"/>
  <c r="CJ145" i="24"/>
  <c r="CR145" i="24"/>
  <c r="CB148" i="24"/>
  <c r="CJ148" i="24"/>
  <c r="CR148" i="24"/>
  <c r="CB149" i="24"/>
  <c r="CJ149" i="24"/>
  <c r="CR149" i="24"/>
  <c r="CA151" i="24"/>
  <c r="CI151" i="24"/>
  <c r="CQ151" i="24"/>
  <c r="BZ152" i="24"/>
  <c r="CH152" i="24"/>
  <c r="CH156" i="24"/>
  <c r="CH159" i="24"/>
  <c r="CP159" i="24"/>
  <c r="CH161" i="24"/>
  <c r="CP161" i="24"/>
  <c r="CF162" i="24"/>
  <c r="CN162" i="24"/>
  <c r="CV162" i="24"/>
  <c r="CF164" i="24"/>
  <c r="CN164" i="24"/>
  <c r="CV164" i="24"/>
  <c r="CF165" i="24"/>
  <c r="CN165" i="24"/>
  <c r="CF166" i="24"/>
  <c r="CN166" i="24"/>
  <c r="CV166" i="24"/>
  <c r="CN168" i="24"/>
  <c r="CV171" i="24"/>
  <c r="CN174" i="24"/>
  <c r="CT176" i="24"/>
  <c r="CD178" i="24"/>
  <c r="CL178" i="24"/>
  <c r="CT178" i="24"/>
  <c r="CD188" i="24"/>
  <c r="CL188" i="24"/>
  <c r="CT188" i="24"/>
  <c r="CD189" i="24"/>
  <c r="CL189" i="24"/>
  <c r="CT189" i="24"/>
  <c r="CL190" i="24"/>
  <c r="CA212" i="24"/>
  <c r="CI212" i="24"/>
  <c r="CQ212" i="24"/>
  <c r="CH221" i="24"/>
  <c r="CP221" i="24"/>
  <c r="BZ222" i="24"/>
  <c r="CH223" i="24"/>
  <c r="CP223" i="24"/>
  <c r="BZ224" i="24"/>
  <c r="CE179" i="24"/>
  <c r="CM179" i="24"/>
  <c r="CU179" i="24"/>
  <c r="CE181" i="24"/>
  <c r="CM181" i="24"/>
  <c r="CU181" i="24"/>
  <c r="CE182" i="24"/>
  <c r="CM182" i="24"/>
  <c r="CU182" i="24"/>
  <c r="CE183" i="24"/>
  <c r="CM183" i="24"/>
  <c r="CU183" i="24"/>
  <c r="CE184" i="24"/>
  <c r="CM184" i="24"/>
  <c r="CU184" i="24"/>
  <c r="CE185" i="24"/>
  <c r="CM185" i="24"/>
  <c r="CU185" i="24"/>
  <c r="CE186" i="24"/>
  <c r="CM186" i="24"/>
  <c r="CU186" i="24"/>
  <c r="CE187" i="24"/>
  <c r="CM187" i="24"/>
  <c r="CU187" i="24"/>
  <c r="CU191" i="24"/>
  <c r="CE196" i="24"/>
  <c r="CM196" i="24"/>
  <c r="CU196" i="24"/>
  <c r="CU198" i="24"/>
  <c r="CE199" i="24"/>
  <c r="CM199" i="24"/>
  <c r="CT199" i="24"/>
  <c r="CL200" i="24"/>
  <c r="CT200" i="24"/>
  <c r="CL201" i="24"/>
  <c r="CT201" i="24"/>
  <c r="CB210" i="24"/>
  <c r="CJ210" i="24"/>
  <c r="CR210" i="24"/>
  <c r="CB272" i="24"/>
  <c r="CJ272" i="24"/>
  <c r="CR272" i="24"/>
  <c r="CB274" i="24"/>
  <c r="CJ274" i="24"/>
  <c r="CR274" i="24"/>
  <c r="CB275" i="24"/>
  <c r="CJ275" i="24"/>
  <c r="CR275" i="24"/>
  <c r="CA278" i="24"/>
  <c r="CI278" i="24"/>
  <c r="CQ278" i="24"/>
  <c r="CA280" i="24"/>
  <c r="CI280" i="24"/>
  <c r="CQ280" i="24"/>
  <c r="CH283" i="24"/>
  <c r="CF285" i="24"/>
  <c r="CV285" i="24"/>
  <c r="CF302" i="24"/>
  <c r="CN302" i="24"/>
  <c r="CV302" i="24"/>
  <c r="CF310" i="24"/>
  <c r="CN310" i="24"/>
  <c r="CV310" i="24"/>
  <c r="CF311" i="24"/>
  <c r="CN311" i="24"/>
  <c r="CV311" i="24"/>
  <c r="CF312" i="24"/>
  <c r="CN312" i="24"/>
  <c r="CV312" i="24"/>
  <c r="CF314" i="24"/>
  <c r="CN314" i="24"/>
  <c r="CV314" i="24"/>
  <c r="CF324" i="24"/>
  <c r="CN324" i="24"/>
  <c r="CV324" i="24"/>
  <c r="CF325" i="24"/>
  <c r="CN325" i="24"/>
  <c r="CV325" i="24"/>
  <c r="CF326" i="24"/>
  <c r="CN326" i="24"/>
  <c r="CV326" i="24"/>
  <c r="CF327" i="24"/>
  <c r="CN327" i="24"/>
  <c r="CF328" i="24"/>
  <c r="CN328" i="24"/>
  <c r="CV328" i="24"/>
  <c r="CF329" i="24"/>
  <c r="CN329" i="24"/>
  <c r="CV329" i="24"/>
  <c r="CF330" i="24"/>
  <c r="CN330" i="24"/>
  <c r="CV330" i="24"/>
  <c r="CF331" i="24"/>
  <c r="CN331" i="24"/>
  <c r="CV331" i="24"/>
  <c r="CF332" i="24"/>
  <c r="CN332" i="24"/>
  <c r="CV332" i="24"/>
  <c r="CF333" i="24"/>
  <c r="CN333" i="24"/>
  <c r="CV333" i="24"/>
  <c r="CF334" i="24"/>
  <c r="CN334" i="24"/>
  <c r="CV334" i="24"/>
  <c r="CF335" i="24"/>
  <c r="CN335" i="24"/>
  <c r="CV335" i="24"/>
  <c r="CF336" i="24"/>
  <c r="CN336" i="24"/>
  <c r="CV336" i="24"/>
  <c r="CF337" i="24"/>
  <c r="CF339" i="24"/>
  <c r="CN339" i="24"/>
  <c r="CV339" i="24"/>
  <c r="CG200" i="24"/>
  <c r="CM202" i="24"/>
  <c r="CU202" i="24"/>
  <c r="CD203" i="24"/>
  <c r="CM203" i="24"/>
  <c r="CD204" i="24"/>
  <c r="CL204" i="24"/>
  <c r="CD205" i="24"/>
  <c r="CL205" i="24"/>
  <c r="CT205" i="24"/>
  <c r="CB217" i="24"/>
  <c r="CJ217" i="24"/>
  <c r="CR217" i="24"/>
  <c r="CA228" i="24"/>
  <c r="CI228" i="24"/>
  <c r="CQ228" i="24"/>
  <c r="CW231" i="24"/>
  <c r="CF232" i="24"/>
  <c r="CN232" i="24"/>
  <c r="CV232" i="24"/>
  <c r="CD245" i="24"/>
  <c r="CL245" i="24"/>
  <c r="CT245" i="24"/>
  <c r="CC252" i="24"/>
  <c r="CK252" i="24"/>
  <c r="CS252" i="24"/>
  <c r="CS253" i="24"/>
  <c r="CK254" i="24"/>
  <c r="CB255" i="24"/>
  <c r="CJ255" i="24"/>
  <c r="CR255" i="24"/>
  <c r="CK256" i="24"/>
  <c r="CB259" i="24"/>
  <c r="CJ259" i="24"/>
  <c r="CR259" i="24"/>
  <c r="CB260" i="24"/>
  <c r="CR260" i="24"/>
  <c r="BZ261" i="24"/>
  <c r="CG262" i="24"/>
  <c r="CO262" i="24"/>
  <c r="CW262" i="24"/>
  <c r="CD268" i="24"/>
  <c r="CL268" i="24"/>
  <c r="CT268" i="24"/>
  <c r="CC270" i="24"/>
  <c r="CK270" i="24"/>
  <c r="CS270" i="24"/>
  <c r="CC271" i="24"/>
  <c r="CK271" i="24"/>
  <c r="CS271" i="24"/>
  <c r="CJ281" i="24"/>
  <c r="CA283" i="24"/>
  <c r="CI283" i="24"/>
  <c r="CQ283" i="24"/>
  <c r="CG286" i="24"/>
  <c r="CO286" i="24"/>
  <c r="CW286" i="24"/>
  <c r="CG303" i="24"/>
  <c r="CO303" i="24"/>
  <c r="CW303" i="24"/>
  <c r="CG304" i="24"/>
  <c r="CO304" i="24"/>
  <c r="CW304" i="24"/>
  <c r="CG305" i="24"/>
  <c r="CO305" i="24"/>
  <c r="CW305" i="24"/>
  <c r="CG309" i="24"/>
  <c r="CO309" i="24"/>
  <c r="CW309" i="24"/>
  <c r="CG324" i="24"/>
  <c r="CO324" i="24"/>
  <c r="CW324" i="24"/>
  <c r="BZ230" i="24"/>
  <c r="BZ336" i="24"/>
  <c r="CE210" i="24"/>
  <c r="CM210" i="24"/>
  <c r="CU210" i="24"/>
  <c r="CC218" i="24"/>
  <c r="CK218" i="24"/>
  <c r="CS218" i="24"/>
  <c r="CC221" i="24"/>
  <c r="CK221" i="24"/>
  <c r="CS221" i="24"/>
  <c r="CC222" i="24"/>
  <c r="CK222" i="24"/>
  <c r="CS222" i="24"/>
  <c r="CL225" i="24"/>
  <c r="CS226" i="24"/>
  <c r="CD227" i="24"/>
  <c r="CE270" i="24"/>
  <c r="CM270" i="24"/>
  <c r="CU270" i="24"/>
  <c r="CA284" i="24"/>
  <c r="CI284" i="24"/>
  <c r="CQ284" i="24"/>
  <c r="CA291" i="24"/>
  <c r="CI291" i="24"/>
  <c r="CQ291" i="24"/>
  <c r="CA299" i="24"/>
  <c r="CI299" i="24"/>
  <c r="CQ299" i="24"/>
  <c r="CB302" i="24"/>
  <c r="CA309" i="24"/>
  <c r="CI309" i="24"/>
  <c r="CQ309" i="24"/>
  <c r="CA314" i="24"/>
  <c r="CI314" i="24"/>
  <c r="CQ314" i="24"/>
  <c r="CA320" i="24"/>
  <c r="CI320" i="24"/>
  <c r="CQ320" i="24"/>
  <c r="CA324" i="24"/>
  <c r="CI324" i="24"/>
  <c r="CQ324" i="24"/>
  <c r="CA328" i="24"/>
  <c r="CI328" i="24"/>
  <c r="CQ328" i="24"/>
  <c r="CA329" i="24"/>
  <c r="CI329" i="24"/>
  <c r="CQ329" i="24"/>
  <c r="CA330" i="24"/>
  <c r="CI330" i="24"/>
  <c r="CQ330" i="24"/>
  <c r="CA331" i="24"/>
  <c r="CI331" i="24"/>
  <c r="CQ331" i="24"/>
  <c r="CA332" i="24"/>
  <c r="CI332" i="24"/>
  <c r="CQ332" i="24"/>
  <c r="CA333" i="24"/>
  <c r="CI333" i="24"/>
  <c r="CQ333" i="24"/>
  <c r="CA334" i="24"/>
  <c r="CI334" i="24"/>
  <c r="CQ334" i="24"/>
  <c r="CA335" i="24"/>
  <c r="CI335" i="24"/>
  <c r="CQ335" i="24"/>
  <c r="CQ338" i="24"/>
  <c r="CE254" i="24"/>
  <c r="CM254" i="24"/>
  <c r="CU254" i="24"/>
  <c r="CE255" i="24"/>
  <c r="CM255" i="24"/>
  <c r="CU255" i="24"/>
  <c r="CE257" i="24"/>
  <c r="CM257" i="24"/>
  <c r="CU257" i="24"/>
  <c r="CE259" i="24"/>
  <c r="CM259" i="24"/>
  <c r="CU259" i="24"/>
  <c r="CE260" i="24"/>
  <c r="CM260" i="24"/>
  <c r="CU260" i="24"/>
  <c r="CB321" i="24"/>
  <c r="CJ321" i="24"/>
  <c r="CR321" i="24"/>
  <c r="CR322" i="24"/>
  <c r="CJ325" i="24"/>
  <c r="CR325" i="24"/>
  <c r="CB326" i="24"/>
  <c r="CJ326" i="24"/>
  <c r="CR326" i="24"/>
  <c r="CB327" i="24"/>
  <c r="CJ327" i="24"/>
  <c r="CR327" i="24"/>
  <c r="CD198" i="24"/>
  <c r="CS198" i="24"/>
  <c r="CC199" i="24"/>
  <c r="CJ199" i="24"/>
  <c r="CR199" i="24"/>
  <c r="BZ206" i="24"/>
  <c r="CP206" i="24"/>
  <c r="CH207" i="24"/>
  <c r="CP207" i="24"/>
  <c r="CH208" i="24"/>
  <c r="CG210" i="24"/>
  <c r="CO210" i="24"/>
  <c r="CW210" i="24"/>
  <c r="CO213" i="24"/>
  <c r="CW213" i="24"/>
  <c r="CE227" i="24"/>
  <c r="CM227" i="24"/>
  <c r="CU227" i="24"/>
  <c r="CD229" i="24"/>
  <c r="CL229" i="24"/>
  <c r="CT229" i="24"/>
  <c r="CB232" i="24"/>
  <c r="CJ232" i="24"/>
  <c r="CR232" i="24"/>
  <c r="CB234" i="24"/>
  <c r="CJ234" i="24"/>
  <c r="CR234" i="24"/>
  <c r="CH243" i="24"/>
  <c r="CH247" i="24"/>
  <c r="CP247" i="24"/>
  <c r="CP249" i="24"/>
  <c r="CH250" i="24"/>
  <c r="CP250" i="24"/>
  <c r="AI248" i="19"/>
  <c r="BZ251" i="24"/>
  <c r="CG252" i="24"/>
  <c r="CO252" i="24"/>
  <c r="CW252" i="24"/>
  <c r="CP253" i="24"/>
  <c r="BZ268" i="24"/>
  <c r="CH268" i="24"/>
  <c r="CP268" i="24"/>
  <c r="CG270" i="24"/>
  <c r="CO270" i="24"/>
  <c r="CW270" i="24"/>
  <c r="CG271" i="24"/>
  <c r="CW271" i="24"/>
  <c r="CF281" i="24"/>
  <c r="CE282" i="24"/>
  <c r="CM282" i="24"/>
  <c r="CU282" i="24"/>
  <c r="CE283" i="24"/>
  <c r="CC285" i="24"/>
  <c r="CK285" i="24"/>
  <c r="CS285" i="24"/>
  <c r="CC291" i="24"/>
  <c r="CK291" i="24"/>
  <c r="CS291" i="24"/>
  <c r="CC294" i="24"/>
  <c r="CK294" i="24"/>
  <c r="CS294" i="24"/>
  <c r="CC298" i="24"/>
  <c r="CK298" i="24"/>
  <c r="CS298" i="24"/>
  <c r="CC299" i="24"/>
  <c r="CK299" i="24"/>
  <c r="CS299" i="24"/>
  <c r="CC302" i="24"/>
  <c r="CK302" i="24"/>
  <c r="CS302" i="24"/>
  <c r="CC310" i="24"/>
  <c r="CK310" i="24"/>
  <c r="CS310" i="24"/>
  <c r="CC311" i="24"/>
  <c r="CK311" i="24"/>
  <c r="CS311" i="24"/>
  <c r="CC312" i="24"/>
  <c r="CK312" i="24"/>
  <c r="CS312" i="24"/>
  <c r="CC323" i="24"/>
  <c r="CK323" i="24"/>
  <c r="CS323" i="24"/>
  <c r="CB206" i="24"/>
  <c r="CK264" i="24"/>
  <c r="CS264" i="24"/>
  <c r="CG277" i="24"/>
  <c r="CO277" i="24"/>
  <c r="BZ278" i="24"/>
  <c r="CG279" i="24"/>
  <c r="CO279" i="24"/>
  <c r="CW279" i="24"/>
  <c r="CD284" i="24"/>
  <c r="CL284" i="24"/>
  <c r="CT284" i="24"/>
  <c r="CD285" i="24"/>
  <c r="CL285" i="24"/>
  <c r="CT285" i="24"/>
  <c r="CD309" i="24"/>
  <c r="CL309" i="24"/>
  <c r="CT309" i="24"/>
  <c r="CT317" i="24"/>
  <c r="CD318" i="24"/>
  <c r="CL318" i="24"/>
  <c r="CT318" i="24"/>
  <c r="CD319" i="24"/>
  <c r="CL319" i="24"/>
  <c r="CT319" i="24"/>
  <c r="CD320" i="24"/>
  <c r="CL320" i="24"/>
  <c r="CT320" i="24"/>
  <c r="CD324" i="24"/>
  <c r="CL324" i="24"/>
  <c r="CT324" i="24"/>
  <c r="AX330" i="13"/>
  <c r="AF330" i="19" s="1"/>
  <c r="FK5" i="20"/>
  <c r="FK9" i="20"/>
  <c r="FQ10" i="20"/>
  <c r="FL13" i="20"/>
  <c r="FQ14" i="20"/>
  <c r="FK19" i="20"/>
  <c r="FQ20" i="20"/>
  <c r="FF28" i="20"/>
  <c r="FP29" i="20"/>
  <c r="FK31" i="20"/>
  <c r="FF33" i="20"/>
  <c r="FQ35" i="20"/>
  <c r="FL41" i="20"/>
  <c r="FQ57" i="20"/>
  <c r="FP65" i="20"/>
  <c r="FQ74" i="20"/>
  <c r="FL85" i="20"/>
  <c r="FG96" i="20"/>
  <c r="FP107" i="20"/>
  <c r="FP111" i="20"/>
  <c r="FL113" i="20"/>
  <c r="FF136" i="20"/>
  <c r="FF137" i="20"/>
  <c r="FP142" i="20"/>
  <c r="FF152" i="20"/>
  <c r="FF153" i="20"/>
  <c r="FF156" i="20"/>
  <c r="FK169" i="20"/>
  <c r="FK171" i="20"/>
  <c r="FK172" i="20"/>
  <c r="FK173" i="20"/>
  <c r="FF180" i="20"/>
  <c r="FF182" i="20"/>
  <c r="FF183" i="20"/>
  <c r="FF184" i="20"/>
  <c r="FF190" i="20"/>
  <c r="FK195" i="20"/>
  <c r="FP200" i="20"/>
  <c r="FF231" i="20"/>
  <c r="FP239" i="20"/>
  <c r="FP240" i="20"/>
  <c r="FF246" i="20"/>
  <c r="FP250" i="20"/>
  <c r="FP258" i="20"/>
  <c r="FK269" i="20"/>
  <c r="FK285" i="20"/>
  <c r="FQ287" i="20"/>
  <c r="FP288" i="20"/>
  <c r="FF292" i="20"/>
  <c r="FP298" i="20"/>
  <c r="FG301" i="20"/>
  <c r="FP306" i="20"/>
  <c r="FP314" i="20"/>
  <c r="FF320" i="20"/>
  <c r="GD5" i="20"/>
  <c r="FQ200" i="20"/>
  <c r="FF260" i="20"/>
  <c r="FP270" i="20"/>
  <c r="FF280" i="20"/>
  <c r="FL282" i="20"/>
  <c r="FK283" i="20"/>
  <c r="FF300" i="20"/>
  <c r="FF318" i="20"/>
  <c r="FV5" i="20"/>
  <c r="FQ9" i="20"/>
  <c r="FF11" i="20"/>
  <c r="FP13" i="20"/>
  <c r="FQ19" i="20"/>
  <c r="FF22" i="20"/>
  <c r="FF29" i="20"/>
  <c r="FF30" i="20"/>
  <c r="FQ31" i="20"/>
  <c r="FL34" i="20"/>
  <c r="FK42" i="20"/>
  <c r="FG57" i="20"/>
  <c r="FK69" i="20"/>
  <c r="FL71" i="20"/>
  <c r="FG82" i="20"/>
  <c r="FQ92" i="20"/>
  <c r="FK103" i="20"/>
  <c r="FF105" i="20"/>
  <c r="FX5" i="20"/>
  <c r="FF112" i="20"/>
  <c r="FP114" i="20"/>
  <c r="FF126" i="20"/>
  <c r="FP129" i="20"/>
  <c r="FP131" i="20"/>
  <c r="FK137" i="20"/>
  <c r="FF143" i="20"/>
  <c r="FK153" i="20"/>
  <c r="FF157" i="20"/>
  <c r="FL189" i="20"/>
  <c r="FQ194" i="20"/>
  <c r="FG200" i="20"/>
  <c r="FF202" i="20"/>
  <c r="FP204" i="20"/>
  <c r="FK207" i="20"/>
  <c r="FF210" i="20"/>
  <c r="FP212" i="20"/>
  <c r="FK215" i="20"/>
  <c r="FF218" i="20"/>
  <c r="FP220" i="20"/>
  <c r="FK223" i="20"/>
  <c r="FF226" i="20"/>
  <c r="FP228" i="20"/>
  <c r="FK231" i="20"/>
  <c r="FK232" i="20"/>
  <c r="FK245" i="20"/>
  <c r="FK253" i="20"/>
  <c r="FF258" i="20"/>
  <c r="FP268" i="20"/>
  <c r="FF288" i="20"/>
  <c r="FP294" i="20"/>
  <c r="FK301" i="20"/>
  <c r="FQ303" i="20"/>
  <c r="FF306" i="20"/>
  <c r="FF314" i="20"/>
  <c r="FK319" i="20"/>
  <c r="GR24" i="20"/>
  <c r="FG80" i="20"/>
  <c r="FG5" i="20"/>
  <c r="GB7" i="20"/>
  <c r="FF8" i="20"/>
  <c r="FG9" i="20"/>
  <c r="FK10" i="20"/>
  <c r="FF13" i="20"/>
  <c r="FK14" i="20"/>
  <c r="GU24" i="20"/>
  <c r="FP27" i="20"/>
  <c r="FG31" i="20"/>
  <c r="FQ32" i="20"/>
  <c r="FK36" i="20"/>
  <c r="FG86" i="20"/>
  <c r="FQ96" i="20"/>
  <c r="FK109" i="20"/>
  <c r="FF113" i="20"/>
  <c r="FF114" i="20"/>
  <c r="FP115" i="20"/>
  <c r="FQ118" i="20"/>
  <c r="FK125" i="20"/>
  <c r="FP132" i="20"/>
  <c r="FP133" i="20"/>
  <c r="FP135" i="20"/>
  <c r="FQ136" i="20"/>
  <c r="FK138" i="20"/>
  <c r="FK139" i="20"/>
  <c r="FK141" i="20"/>
  <c r="FK142" i="20"/>
  <c r="FK145" i="20"/>
  <c r="FF149" i="20"/>
  <c r="FF150" i="20"/>
  <c r="FP151" i="20"/>
  <c r="FF166" i="20"/>
  <c r="FF168" i="20"/>
  <c r="FF169" i="20"/>
  <c r="FF170" i="20"/>
  <c r="FF171" i="20"/>
  <c r="FG172" i="20"/>
  <c r="FF173" i="20"/>
  <c r="FP179" i="20"/>
  <c r="FP180" i="20"/>
  <c r="FP181" i="20"/>
  <c r="FQ182" i="20"/>
  <c r="FP183" i="20"/>
  <c r="FF204" i="20"/>
  <c r="FP206" i="20"/>
  <c r="FK209" i="20"/>
  <c r="FF212" i="20"/>
  <c r="FP214" i="20"/>
  <c r="FK217" i="20"/>
  <c r="FF220" i="20"/>
  <c r="FP222" i="20"/>
  <c r="FK225" i="20"/>
  <c r="FF228" i="20"/>
  <c r="FF237" i="20"/>
  <c r="FK239" i="20"/>
  <c r="FK240" i="20"/>
  <c r="FF276" i="20"/>
  <c r="FG285" i="20"/>
  <c r="FK289" i="20"/>
  <c r="FG32" i="20"/>
  <c r="FQ33" i="20"/>
  <c r="FQ34" i="20"/>
  <c r="FL45" i="20"/>
  <c r="FL52" i="20"/>
  <c r="FP69" i="20"/>
  <c r="FQ70" i="20"/>
  <c r="FL81" i="20"/>
  <c r="FG92" i="20"/>
  <c r="FK144" i="20"/>
  <c r="FG174" i="20"/>
  <c r="FQ184" i="20"/>
  <c r="FP190" i="20"/>
  <c r="FF196" i="20"/>
  <c r="FK201" i="20"/>
  <c r="FP231" i="20"/>
  <c r="FF234" i="20"/>
  <c r="FF235" i="20"/>
  <c r="FF248" i="20"/>
  <c r="FP252" i="20"/>
  <c r="FF262" i="20"/>
  <c r="FP272" i="20"/>
  <c r="FQ279" i="20"/>
  <c r="FF284" i="20"/>
  <c r="FK297" i="20"/>
  <c r="FF304" i="20"/>
  <c r="FK313" i="20"/>
  <c r="FP318" i="20"/>
  <c r="F77" i="31"/>
  <c r="AC77" i="19" s="1"/>
  <c r="G90" i="31"/>
  <c r="AD90" i="19" s="1"/>
  <c r="F116" i="31"/>
  <c r="AC116" i="19" s="1"/>
  <c r="G122" i="31"/>
  <c r="AD122" i="19" s="1"/>
  <c r="F132" i="31"/>
  <c r="AC132" i="19" s="1"/>
  <c r="G138" i="31"/>
  <c r="AD138" i="19" s="1"/>
  <c r="F148" i="31"/>
  <c r="AC148" i="19" s="1"/>
  <c r="G154" i="31"/>
  <c r="AD154" i="19" s="1"/>
  <c r="G188" i="31"/>
  <c r="AD188" i="19" s="1"/>
  <c r="F231" i="31"/>
  <c r="AC231" i="19" s="1"/>
  <c r="F246" i="31"/>
  <c r="AC246" i="19" s="1"/>
  <c r="AA246" i="19" s="1"/>
  <c r="AB246" i="19" s="1"/>
  <c r="G251" i="31"/>
  <c r="AD251" i="19" s="1"/>
  <c r="F278" i="31"/>
  <c r="AC278" i="19" s="1"/>
  <c r="AA278" i="19" s="1"/>
  <c r="AB278" i="19" s="1"/>
  <c r="G283" i="31"/>
  <c r="AD283" i="19" s="1"/>
  <c r="F302" i="31"/>
  <c r="AC302" i="19" s="1"/>
  <c r="AC3" i="19"/>
  <c r="G19" i="31"/>
  <c r="AD19" i="19" s="1"/>
  <c r="F29" i="31"/>
  <c r="AC29" i="19" s="1"/>
  <c r="F13" i="31"/>
  <c r="AC13" i="19" s="1"/>
  <c r="G26" i="31"/>
  <c r="AD26" i="19" s="1"/>
  <c r="F52" i="31"/>
  <c r="AC52" i="19" s="1"/>
  <c r="G58" i="31"/>
  <c r="AD58" i="19" s="1"/>
  <c r="F68" i="31"/>
  <c r="AC68" i="19" s="1"/>
  <c r="AA68" i="19" s="1"/>
  <c r="AB68" i="19" s="1"/>
  <c r="BM68" i="19" s="1"/>
  <c r="G74" i="31"/>
  <c r="AD74" i="19" s="1"/>
  <c r="F91" i="31"/>
  <c r="AC91" i="19" s="1"/>
  <c r="AA91" i="19" s="1"/>
  <c r="AB91" i="19" s="1"/>
  <c r="F107" i="31"/>
  <c r="AC107" i="19" s="1"/>
  <c r="G112" i="31"/>
  <c r="AD112" i="19" s="1"/>
  <c r="F117" i="31"/>
  <c r="AC117" i="19" s="1"/>
  <c r="F139" i="31"/>
  <c r="AC139" i="19" s="1"/>
  <c r="G144" i="31"/>
  <c r="AD144" i="19" s="1"/>
  <c r="F155" i="31"/>
  <c r="AC155" i="19" s="1"/>
  <c r="F215" i="31"/>
  <c r="AC215" i="19" s="1"/>
  <c r="F242" i="31"/>
  <c r="AC242" i="19" s="1"/>
  <c r="F247" i="31"/>
  <c r="AC247" i="19" s="1"/>
  <c r="AA247" i="19" s="1"/>
  <c r="AB247" i="19" s="1"/>
  <c r="G258" i="31"/>
  <c r="AD258" i="19" s="1"/>
  <c r="F263" i="31"/>
  <c r="AC263" i="19" s="1"/>
  <c r="G279" i="31"/>
  <c r="AD279" i="19" s="1"/>
  <c r="F326" i="31"/>
  <c r="AC326" i="19" s="1"/>
  <c r="AA326" i="19" s="1"/>
  <c r="AB326" i="19" s="1"/>
  <c r="G331" i="31"/>
  <c r="AD331" i="19" s="1"/>
  <c r="G10" i="31"/>
  <c r="AD10" i="19" s="1"/>
  <c r="F27" i="31"/>
  <c r="AC27" i="19" s="1"/>
  <c r="G48" i="31"/>
  <c r="AD48" i="19" s="1"/>
  <c r="F53" i="31"/>
  <c r="AC53" i="19" s="1"/>
  <c r="G210" i="31"/>
  <c r="AD210" i="19" s="1"/>
  <c r="G243" i="31"/>
  <c r="AD243" i="19" s="1"/>
  <c r="G259" i="31"/>
  <c r="AD259" i="19" s="1"/>
  <c r="G290" i="31"/>
  <c r="AD290" i="19" s="1"/>
  <c r="G299" i="31"/>
  <c r="AD299" i="19" s="1"/>
  <c r="F141" i="31"/>
  <c r="AC141" i="19" s="1"/>
  <c r="G147" i="31"/>
  <c r="AD147" i="19" s="1"/>
  <c r="G178" i="31"/>
  <c r="AD178" i="19" s="1"/>
  <c r="G187" i="31"/>
  <c r="AD187" i="19" s="1"/>
  <c r="G323" i="31"/>
  <c r="AD323" i="19" s="1"/>
  <c r="CH29" i="24"/>
  <c r="CH30" i="24"/>
  <c r="CU31" i="24"/>
  <c r="CE33" i="24"/>
  <c r="CM33" i="24"/>
  <c r="CU33" i="24"/>
  <c r="CC5" i="24"/>
  <c r="CK5" i="24"/>
  <c r="CS5" i="24"/>
  <c r="CC6" i="24"/>
  <c r="CK6" i="24"/>
  <c r="CS6" i="24"/>
  <c r="CC7" i="24"/>
  <c r="CK7" i="24"/>
  <c r="CS7" i="24"/>
  <c r="CC8" i="24"/>
  <c r="CK8" i="24"/>
  <c r="CS8" i="24"/>
  <c r="CC9" i="24"/>
  <c r="CK9" i="24"/>
  <c r="CS9" i="24"/>
  <c r="CC10" i="24"/>
  <c r="CK10" i="24"/>
  <c r="CS10" i="24"/>
  <c r="CC11" i="24"/>
  <c r="CK11" i="24"/>
  <c r="CS11" i="24"/>
  <c r="CC12" i="24"/>
  <c r="CK12" i="24"/>
  <c r="CS12" i="24"/>
  <c r="CC13" i="24"/>
  <c r="CK13" i="24"/>
  <c r="CS13" i="24"/>
  <c r="CC14" i="24"/>
  <c r="CK14" i="24"/>
  <c r="CS14" i="24"/>
  <c r="CC15" i="24"/>
  <c r="CK15" i="24"/>
  <c r="CS15" i="24"/>
  <c r="CC16" i="24"/>
  <c r="CK16" i="24"/>
  <c r="CS16" i="24"/>
  <c r="CC17" i="24"/>
  <c r="CS17" i="24"/>
  <c r="CR18" i="24"/>
  <c r="CI19" i="24"/>
  <c r="BZ20" i="24"/>
  <c r="CH20" i="24"/>
  <c r="CP20" i="24"/>
  <c r="CF21" i="24"/>
  <c r="CN21" i="24"/>
  <c r="CV21" i="24"/>
  <c r="CE24" i="24"/>
  <c r="CM24" i="24"/>
  <c r="CU24" i="24"/>
  <c r="CC27" i="24"/>
  <c r="CK27" i="24"/>
  <c r="CS27" i="24"/>
  <c r="CB28" i="24"/>
  <c r="CJ28" i="24"/>
  <c r="CR28" i="24"/>
  <c r="CA29" i="24"/>
  <c r="CI29" i="24"/>
  <c r="CQ29" i="24"/>
  <c r="CF32" i="24"/>
  <c r="CN32" i="24"/>
  <c r="CV32" i="24"/>
  <c r="CF33" i="24"/>
  <c r="CN33" i="24"/>
  <c r="CV33" i="24"/>
  <c r="CD38" i="24"/>
  <c r="CL38" i="24"/>
  <c r="CT38" i="24"/>
  <c r="CC40" i="24"/>
  <c r="CK40" i="24"/>
  <c r="CS40" i="24"/>
  <c r="CB41" i="24"/>
  <c r="CJ41" i="24"/>
  <c r="CR41" i="24"/>
  <c r="CA44" i="24"/>
  <c r="CC30" i="24"/>
  <c r="CK30" i="24"/>
  <c r="CS30" i="24"/>
  <c r="CH32" i="24"/>
  <c r="CP32" i="24"/>
  <c r="BZ33" i="24"/>
  <c r="BZ34" i="24"/>
  <c r="CH34" i="24"/>
  <c r="CP34" i="24"/>
  <c r="CG35" i="24"/>
  <c r="CO35" i="24"/>
  <c r="CW35" i="24"/>
  <c r="CF36" i="24"/>
  <c r="CN36" i="24"/>
  <c r="CV36" i="24"/>
  <c r="CE39" i="24"/>
  <c r="CM39" i="24"/>
  <c r="CU39" i="24"/>
  <c r="CD42" i="24"/>
  <c r="CL42" i="24"/>
  <c r="CT42" i="24"/>
  <c r="CD43" i="24"/>
  <c r="CL43" i="24"/>
  <c r="CT43" i="24"/>
  <c r="CC44" i="24"/>
  <c r="CK44" i="24"/>
  <c r="CS44" i="24"/>
  <c r="CC45" i="24"/>
  <c r="CK45" i="24"/>
  <c r="CS45" i="24"/>
  <c r="CB46" i="24"/>
  <c r="CJ46" i="24"/>
  <c r="CR46" i="24"/>
  <c r="CB47" i="24"/>
  <c r="CJ47" i="24"/>
  <c r="CR47" i="24"/>
  <c r="BZ25" i="24"/>
  <c r="CH25" i="24"/>
  <c r="CP25" i="24"/>
  <c r="CF27" i="24"/>
  <c r="CN27" i="24"/>
  <c r="CV27" i="24"/>
  <c r="CE28" i="24"/>
  <c r="CM28" i="24"/>
  <c r="CU28" i="24"/>
  <c r="CD30" i="24"/>
  <c r="CL30" i="24"/>
  <c r="CT30" i="24"/>
  <c r="CA33" i="24"/>
  <c r="CI33" i="24"/>
  <c r="CQ33" i="24"/>
  <c r="BZ35" i="24"/>
  <c r="CG37" i="24"/>
  <c r="CO37" i="24"/>
  <c r="CW37" i="24"/>
  <c r="CO38" i="24"/>
  <c r="CW38" i="24"/>
  <c r="CF40" i="24"/>
  <c r="CN40" i="24"/>
  <c r="CV40" i="24"/>
  <c r="CE41" i="24"/>
  <c r="CM41" i="24"/>
  <c r="CU41" i="24"/>
  <c r="CE42" i="24"/>
  <c r="CM42" i="24"/>
  <c r="CU42" i="24"/>
  <c r="CE43" i="24"/>
  <c r="CM43" i="24"/>
  <c r="CU43" i="24"/>
  <c r="CD45" i="24"/>
  <c r="CL45" i="24"/>
  <c r="CT45" i="24"/>
  <c r="CG5" i="24"/>
  <c r="CO5" i="24"/>
  <c r="CW5" i="24"/>
  <c r="CG6" i="24"/>
  <c r="CO6" i="24"/>
  <c r="CW6" i="24"/>
  <c r="CG7" i="24"/>
  <c r="CO7" i="24"/>
  <c r="CW7" i="24"/>
  <c r="CG8" i="24"/>
  <c r="CO8" i="24"/>
  <c r="CW8" i="24"/>
  <c r="CG9" i="24"/>
  <c r="CO9" i="24"/>
  <c r="CW9" i="24"/>
  <c r="CG10" i="24"/>
  <c r="CO10" i="24"/>
  <c r="CW10" i="24"/>
  <c r="CG11" i="24"/>
  <c r="CO11" i="24"/>
  <c r="CW11" i="24"/>
  <c r="CG12" i="24"/>
  <c r="CO12" i="24"/>
  <c r="CW12" i="24"/>
  <c r="CG13" i="24"/>
  <c r="CO13" i="24"/>
  <c r="CW13" i="24"/>
  <c r="CG14" i="24"/>
  <c r="CO14" i="24"/>
  <c r="CW14" i="24"/>
  <c r="CG15" i="24"/>
  <c r="CO15" i="24"/>
  <c r="CW15" i="24"/>
  <c r="CG16" i="24"/>
  <c r="CO16" i="24"/>
  <c r="CW16" i="24"/>
  <c r="CG17" i="24"/>
  <c r="CW17" i="24"/>
  <c r="CM20" i="24"/>
  <c r="CU20" i="24"/>
  <c r="CB21" i="24"/>
  <c r="CB22" i="24"/>
  <c r="CJ22" i="24"/>
  <c r="CR22" i="24"/>
  <c r="CA24" i="24"/>
  <c r="CI24" i="24"/>
  <c r="CQ24" i="24"/>
  <c r="BZ26" i="24"/>
  <c r="CH26" i="24"/>
  <c r="CP26" i="24"/>
  <c r="CG27" i="24"/>
  <c r="CO27" i="24"/>
  <c r="CW27" i="24"/>
  <c r="CF28" i="24"/>
  <c r="CN28" i="24"/>
  <c r="CV28" i="24"/>
  <c r="CB31" i="24"/>
  <c r="CJ31" i="24"/>
  <c r="CR31" i="24"/>
  <c r="CB33" i="24"/>
  <c r="CJ33" i="24"/>
  <c r="CR33" i="24"/>
  <c r="CJ34" i="24"/>
  <c r="CR34" i="24"/>
  <c r="CA35" i="24"/>
  <c r="CI35" i="24"/>
  <c r="CQ35" i="24"/>
  <c r="CH36" i="24"/>
  <c r="CP36" i="24"/>
  <c r="BZ37" i="24"/>
  <c r="BZ38" i="24"/>
  <c r="CH38" i="24"/>
  <c r="CP38" i="24"/>
  <c r="CG39" i="24"/>
  <c r="CO39" i="24"/>
  <c r="CW39" i="24"/>
  <c r="CF41" i="24"/>
  <c r="CN41" i="24"/>
  <c r="CV41" i="24"/>
  <c r="CR26" i="24"/>
  <c r="CC34" i="24"/>
  <c r="CK34" i="24"/>
  <c r="CS34" i="24"/>
  <c r="CB35" i="24"/>
  <c r="CJ35" i="24"/>
  <c r="CR35" i="24"/>
  <c r="CI36" i="24"/>
  <c r="CG41" i="24"/>
  <c r="CO41" i="24"/>
  <c r="CW41" i="24"/>
  <c r="CW43" i="24"/>
  <c r="CU96" i="24"/>
  <c r="CH122" i="24"/>
  <c r="CP122" i="24"/>
  <c r="CQ43" i="24"/>
  <c r="CG44" i="24"/>
  <c r="CO44" i="24"/>
  <c r="CW44" i="24"/>
  <c r="CO45" i="24"/>
  <c r="CW45" i="24"/>
  <c r="CF46" i="24"/>
  <c r="CN46" i="24"/>
  <c r="CV46" i="24"/>
  <c r="CE49" i="24"/>
  <c r="CM49" i="24"/>
  <c r="CU49" i="24"/>
  <c r="CD53" i="24"/>
  <c r="CL53" i="24"/>
  <c r="CT53" i="24"/>
  <c r="CA59" i="24"/>
  <c r="CI59" i="24"/>
  <c r="CQ59" i="24"/>
  <c r="CA60" i="24"/>
  <c r="CI60" i="24"/>
  <c r="CQ60" i="24"/>
  <c r="CE64" i="24"/>
  <c r="CM64" i="24"/>
  <c r="CU64" i="24"/>
  <c r="CC66" i="24"/>
  <c r="CK66" i="24"/>
  <c r="CS66" i="24"/>
  <c r="CC67" i="24"/>
  <c r="CK67" i="24"/>
  <c r="CS67" i="24"/>
  <c r="CC70" i="24"/>
  <c r="CK70" i="24"/>
  <c r="CS70" i="24"/>
  <c r="CA78" i="24"/>
  <c r="CI78" i="24"/>
  <c r="CQ78" i="24"/>
  <c r="BZ80" i="24"/>
  <c r="CF82" i="24"/>
  <c r="CN82" i="24"/>
  <c r="CV82" i="24"/>
  <c r="CF83" i="24"/>
  <c r="CN83" i="24"/>
  <c r="CV83" i="24"/>
  <c r="CA98" i="24"/>
  <c r="CC121" i="24"/>
  <c r="CW129" i="24"/>
  <c r="CB132" i="24"/>
  <c r="CJ132" i="24"/>
  <c r="CR132" i="24"/>
  <c r="CA133" i="24"/>
  <c r="CI133" i="24"/>
  <c r="CQ133" i="24"/>
  <c r="CA134" i="24"/>
  <c r="CI134" i="24"/>
  <c r="CQ134" i="24"/>
  <c r="CG135" i="24"/>
  <c r="CO135" i="24"/>
  <c r="CW135" i="24"/>
  <c r="CF137" i="24"/>
  <c r="CN137" i="24"/>
  <c r="CV137" i="24"/>
  <c r="CC140" i="24"/>
  <c r="CK140" i="24"/>
  <c r="CS140" i="24"/>
  <c r="CB142" i="24"/>
  <c r="CJ142" i="24"/>
  <c r="CR142" i="24"/>
  <c r="CB143" i="24"/>
  <c r="CJ143" i="24"/>
  <c r="CR143" i="24"/>
  <c r="CA145" i="24"/>
  <c r="CI145" i="24"/>
  <c r="CQ145" i="24"/>
  <c r="CG148" i="24"/>
  <c r="CO148" i="24"/>
  <c r="CW148" i="24"/>
  <c r="CQ100" i="24"/>
  <c r="CR110" i="24"/>
  <c r="BZ114" i="24"/>
  <c r="CL114" i="24"/>
  <c r="CD129" i="24"/>
  <c r="CI44" i="24"/>
  <c r="CQ44" i="24"/>
  <c r="BZ46" i="24"/>
  <c r="CH47" i="24"/>
  <c r="CP47" i="24"/>
  <c r="CG48" i="24"/>
  <c r="CO48" i="24"/>
  <c r="CW48" i="24"/>
  <c r="CG50" i="24"/>
  <c r="CO50" i="24"/>
  <c r="CW50" i="24"/>
  <c r="CW52" i="24"/>
  <c r="CF54" i="24"/>
  <c r="CN54" i="24"/>
  <c r="CV54" i="24"/>
  <c r="CE55" i="24"/>
  <c r="CM55" i="24"/>
  <c r="CU55" i="24"/>
  <c r="CD57" i="24"/>
  <c r="CL57" i="24"/>
  <c r="CT57" i="24"/>
  <c r="CB61" i="24"/>
  <c r="CJ61" i="24"/>
  <c r="CR61" i="24"/>
  <c r="CH63" i="24"/>
  <c r="CP63" i="24"/>
  <c r="CE71" i="24"/>
  <c r="CM71" i="24"/>
  <c r="CU71" i="24"/>
  <c r="CD73" i="24"/>
  <c r="CL73" i="24"/>
  <c r="CT73" i="24"/>
  <c r="CC79" i="24"/>
  <c r="CK79" i="24"/>
  <c r="CS79" i="24"/>
  <c r="CB80" i="24"/>
  <c r="CJ80" i="24"/>
  <c r="CR80" i="24"/>
  <c r="BZ84" i="24"/>
  <c r="CH84" i="24"/>
  <c r="CP84" i="24"/>
  <c r="BZ85" i="24"/>
  <c r="CH85" i="24"/>
  <c r="CP85" i="24"/>
  <c r="CG86" i="24"/>
  <c r="CO86" i="24"/>
  <c r="CW86" i="24"/>
  <c r="CF87" i="24"/>
  <c r="CN87" i="24"/>
  <c r="CV87" i="24"/>
  <c r="CF88" i="24"/>
  <c r="CN88" i="24"/>
  <c r="CV88" i="24"/>
  <c r="CS97" i="24"/>
  <c r="CI100" i="24"/>
  <c r="BZ101" i="24"/>
  <c r="CG102" i="24"/>
  <c r="CO102" i="24"/>
  <c r="CW102" i="24"/>
  <c r="CG104" i="24"/>
  <c r="CO104" i="24"/>
  <c r="CW104" i="24"/>
  <c r="CF105" i="24"/>
  <c r="CC107" i="24"/>
  <c r="CK107" i="24"/>
  <c r="CS107" i="24"/>
  <c r="CC108" i="24"/>
  <c r="CS108" i="24"/>
  <c r="CA112" i="24"/>
  <c r="CI112" i="24"/>
  <c r="CQ112" i="24"/>
  <c r="CA113" i="24"/>
  <c r="CI113" i="24"/>
  <c r="CQ113" i="24"/>
  <c r="BZ115" i="24"/>
  <c r="CD121" i="24"/>
  <c r="CL121" i="24"/>
  <c r="CT121" i="24"/>
  <c r="CC122" i="24"/>
  <c r="CK122" i="24"/>
  <c r="CS122" i="24"/>
  <c r="CB123" i="24"/>
  <c r="CJ123" i="24"/>
  <c r="BZ125" i="24"/>
  <c r="CD127" i="24"/>
  <c r="CK127" i="24"/>
  <c r="CS127" i="24"/>
  <c r="CC128" i="24"/>
  <c r="CK128" i="24"/>
  <c r="CG130" i="24"/>
  <c r="CO130" i="24"/>
  <c r="CW130" i="24"/>
  <c r="CE132" i="24"/>
  <c r="CT132" i="24"/>
  <c r="CC133" i="24"/>
  <c r="CK133" i="24"/>
  <c r="CS133" i="24"/>
  <c r="CW139" i="24"/>
  <c r="CE141" i="24"/>
  <c r="CM141" i="24"/>
  <c r="CU141" i="24"/>
  <c r="CC144" i="24"/>
  <c r="CK144" i="24"/>
  <c r="CS144" i="24"/>
  <c r="CC145" i="24"/>
  <c r="CK145" i="24"/>
  <c r="CS145" i="24"/>
  <c r="CB146" i="24"/>
  <c r="CJ146" i="24"/>
  <c r="CR146" i="24"/>
  <c r="CI51" i="24"/>
  <c r="CQ51" i="24"/>
  <c r="CL80" i="24"/>
  <c r="BZ86" i="24"/>
  <c r="CL97" i="24"/>
  <c r="CT97" i="24"/>
  <c r="CE127" i="24"/>
  <c r="CM127" i="24"/>
  <c r="CC46" i="24"/>
  <c r="CK46" i="24"/>
  <c r="CS46" i="24"/>
  <c r="CC47" i="24"/>
  <c r="CK47" i="24"/>
  <c r="CS47" i="24"/>
  <c r="CB48" i="24"/>
  <c r="CJ48" i="24"/>
  <c r="CR48" i="24"/>
  <c r="CB49" i="24"/>
  <c r="CJ49" i="24"/>
  <c r="CR49" i="24"/>
  <c r="CA53" i="24"/>
  <c r="CI53" i="24"/>
  <c r="CQ53" i="24"/>
  <c r="CA54" i="24"/>
  <c r="CI54" i="24"/>
  <c r="CQ54" i="24"/>
  <c r="BZ56" i="24"/>
  <c r="CG57" i="24"/>
  <c r="CO57" i="24"/>
  <c r="CW57" i="24"/>
  <c r="CW58" i="24"/>
  <c r="CF60" i="24"/>
  <c r="CN60" i="24"/>
  <c r="CV60" i="24"/>
  <c r="CE61" i="24"/>
  <c r="CM61" i="24"/>
  <c r="CU61" i="24"/>
  <c r="CH65" i="24"/>
  <c r="CP65" i="24"/>
  <c r="CH68" i="24"/>
  <c r="CP68" i="24"/>
  <c r="BZ71" i="24"/>
  <c r="CH71" i="24"/>
  <c r="CP71" i="24"/>
  <c r="BZ72" i="24"/>
  <c r="CG73" i="24"/>
  <c r="CO73" i="24"/>
  <c r="CF79" i="24"/>
  <c r="CN79" i="24"/>
  <c r="CV79" i="24"/>
  <c r="CE80" i="24"/>
  <c r="CM80" i="24"/>
  <c r="CU80" i="24"/>
  <c r="CC82" i="24"/>
  <c r="CK82" i="24"/>
  <c r="CS82" i="24"/>
  <c r="CC83" i="24"/>
  <c r="CK83" i="24"/>
  <c r="CS83" i="24"/>
  <c r="CB86" i="24"/>
  <c r="CJ86" i="24"/>
  <c r="CR86" i="24"/>
  <c r="CA87" i="24"/>
  <c r="CI87" i="24"/>
  <c r="CQ87" i="24"/>
  <c r="CA88" i="24"/>
  <c r="CI88" i="24"/>
  <c r="CQ88" i="24"/>
  <c r="BZ90" i="24"/>
  <c r="CH90" i="24"/>
  <c r="CP90" i="24"/>
  <c r="BZ91" i="24"/>
  <c r="CH91" i="24"/>
  <c r="CP91" i="24"/>
  <c r="BZ92" i="24"/>
  <c r="CH92" i="24"/>
  <c r="CP92" i="24"/>
  <c r="BZ93" i="24"/>
  <c r="CH93" i="24"/>
  <c r="CP93" i="24"/>
  <c r="CN95" i="24"/>
  <c r="CE97" i="24"/>
  <c r="CM97" i="24"/>
  <c r="CB104" i="24"/>
  <c r="CJ104" i="24"/>
  <c r="CR104" i="24"/>
  <c r="CA106" i="24"/>
  <c r="CI106" i="24"/>
  <c r="CQ106" i="24"/>
  <c r="CF109" i="24"/>
  <c r="CN109" i="24"/>
  <c r="CV109" i="24"/>
  <c r="CF110" i="24"/>
  <c r="CN110" i="24"/>
  <c r="CV110" i="24"/>
  <c r="CD111" i="24"/>
  <c r="CL111" i="24"/>
  <c r="CT111" i="24"/>
  <c r="CD113" i="24"/>
  <c r="BZ119" i="24"/>
  <c r="CH119" i="24"/>
  <c r="CP119" i="24"/>
  <c r="CW120" i="24"/>
  <c r="CU122" i="24"/>
  <c r="CS125" i="24"/>
  <c r="CG126" i="24"/>
  <c r="CO126" i="24"/>
  <c r="CW126" i="24"/>
  <c r="CF127" i="24"/>
  <c r="CN127" i="24"/>
  <c r="CV127" i="24"/>
  <c r="CL129" i="24"/>
  <c r="CJ130" i="24"/>
  <c r="CC136" i="24"/>
  <c r="CK136" i="24"/>
  <c r="CS136" i="24"/>
  <c r="CC137" i="24"/>
  <c r="CK137" i="24"/>
  <c r="CS137" i="24"/>
  <c r="CC138" i="24"/>
  <c r="CK138" i="24"/>
  <c r="CS138" i="24"/>
  <c r="CG142" i="24"/>
  <c r="CO142" i="24"/>
  <c r="CW142" i="24"/>
  <c r="CG143" i="24"/>
  <c r="CO143" i="24"/>
  <c r="CW143" i="24"/>
  <c r="CF145" i="24"/>
  <c r="CN145" i="24"/>
  <c r="CV145" i="24"/>
  <c r="CE146" i="24"/>
  <c r="CM146" i="24"/>
  <c r="CU146" i="24"/>
  <c r="CC150" i="24"/>
  <c r="CK150" i="24"/>
  <c r="CS150" i="24"/>
  <c r="CD47" i="24"/>
  <c r="CL47" i="24"/>
  <c r="CT47" i="24"/>
  <c r="CC48" i="24"/>
  <c r="CK48" i="24"/>
  <c r="CS48" i="24"/>
  <c r="CC50" i="24"/>
  <c r="CK50" i="24"/>
  <c r="CS50" i="24"/>
  <c r="CK51" i="24"/>
  <c r="CA55" i="24"/>
  <c r="CI55" i="24"/>
  <c r="CQ55" i="24"/>
  <c r="CA56" i="24"/>
  <c r="CI56" i="24"/>
  <c r="CQ56" i="24"/>
  <c r="BZ58" i="24"/>
  <c r="CG59" i="24"/>
  <c r="CO59" i="24"/>
  <c r="CW59" i="24"/>
  <c r="CW60" i="24"/>
  <c r="CF61" i="24"/>
  <c r="CN61" i="24"/>
  <c r="CV61" i="24"/>
  <c r="CF62" i="24"/>
  <c r="CN62" i="24"/>
  <c r="CV62" i="24"/>
  <c r="CA66" i="24"/>
  <c r="CI66" i="24"/>
  <c r="CQ66" i="24"/>
  <c r="CA67" i="24"/>
  <c r="CI67" i="24"/>
  <c r="CQ67" i="24"/>
  <c r="CA69" i="24"/>
  <c r="CI69" i="24"/>
  <c r="CQ69" i="24"/>
  <c r="CA70" i="24"/>
  <c r="CI70" i="24"/>
  <c r="CQ70" i="24"/>
  <c r="CA72" i="24"/>
  <c r="CI72" i="24"/>
  <c r="CQ72" i="24"/>
  <c r="CH74" i="24"/>
  <c r="CP74" i="24"/>
  <c r="BZ75" i="24"/>
  <c r="CH75" i="24"/>
  <c r="CP75" i="24"/>
  <c r="CL75" i="24"/>
  <c r="CG76" i="24"/>
  <c r="CO76" i="24"/>
  <c r="CW76" i="24"/>
  <c r="CG77" i="24"/>
  <c r="CO77" i="24"/>
  <c r="CW77" i="24"/>
  <c r="CG78" i="24"/>
  <c r="CO78" i="24"/>
  <c r="CW78" i="24"/>
  <c r="CD81" i="24"/>
  <c r="CL81" i="24"/>
  <c r="CT81" i="24"/>
  <c r="CL83" i="24"/>
  <c r="CL85" i="24"/>
  <c r="CA89" i="24"/>
  <c r="CI89" i="24"/>
  <c r="CQ89" i="24"/>
  <c r="BZ94" i="24"/>
  <c r="CH95" i="24"/>
  <c r="CP95" i="24"/>
  <c r="CW95" i="24"/>
  <c r="CG96" i="24"/>
  <c r="CO96" i="24"/>
  <c r="CW96" i="24"/>
  <c r="CO107" i="24"/>
  <c r="CW107" i="24"/>
  <c r="CG109" i="24"/>
  <c r="CO109" i="24"/>
  <c r="CW109" i="24"/>
  <c r="CG110" i="24"/>
  <c r="CO110" i="24"/>
  <c r="CW110" i="24"/>
  <c r="CE112" i="24"/>
  <c r="CM112" i="24"/>
  <c r="CU112" i="24"/>
  <c r="CD116" i="24"/>
  <c r="BZ121" i="24"/>
  <c r="CB121" i="24"/>
  <c r="CL125" i="24"/>
  <c r="CT125" i="24"/>
  <c r="CW127" i="24"/>
  <c r="CS130" i="24"/>
  <c r="BZ132" i="24"/>
  <c r="CH132" i="24"/>
  <c r="CP132" i="24"/>
  <c r="CG133" i="24"/>
  <c r="CO133" i="24"/>
  <c r="CW133" i="24"/>
  <c r="CD136" i="24"/>
  <c r="CL136" i="24"/>
  <c r="CT136" i="24"/>
  <c r="CB139" i="24"/>
  <c r="CJ139" i="24"/>
  <c r="CR139" i="24"/>
  <c r="CA141" i="24"/>
  <c r="CI141" i="24"/>
  <c r="CQ141" i="24"/>
  <c r="CG144" i="24"/>
  <c r="CO144" i="24"/>
  <c r="CW144" i="24"/>
  <c r="CW145" i="24"/>
  <c r="CF146" i="24"/>
  <c r="CN146" i="24"/>
  <c r="CV146" i="24"/>
  <c r="BZ150" i="24"/>
  <c r="CH150" i="24"/>
  <c r="CP150" i="24"/>
  <c r="CD153" i="24"/>
  <c r="CL153" i="24"/>
  <c r="CT153" i="24"/>
  <c r="CD154" i="24"/>
  <c r="CL154" i="24"/>
  <c r="CT154" i="24"/>
  <c r="CD155" i="24"/>
  <c r="CL155" i="24"/>
  <c r="CT155" i="24"/>
  <c r="CC156" i="24"/>
  <c r="CK156" i="24"/>
  <c r="CS156" i="24"/>
  <c r="CD200" i="24"/>
  <c r="CE200" i="24"/>
  <c r="CV152" i="24"/>
  <c r="CE153" i="24"/>
  <c r="CM153" i="24"/>
  <c r="CU153" i="24"/>
  <c r="CH157" i="24"/>
  <c r="CP157" i="24"/>
  <c r="BZ158" i="24"/>
  <c r="CH158" i="24"/>
  <c r="CP158" i="24"/>
  <c r="CG159" i="24"/>
  <c r="CO159" i="24"/>
  <c r="CW159" i="24"/>
  <c r="CG160" i="24"/>
  <c r="CO160" i="24"/>
  <c r="CW160" i="24"/>
  <c r="CG161" i="24"/>
  <c r="CO161" i="24"/>
  <c r="CW161" i="24"/>
  <c r="CE162" i="24"/>
  <c r="CM162" i="24"/>
  <c r="CU162" i="24"/>
  <c r="CE166" i="24"/>
  <c r="CM166" i="24"/>
  <c r="CU166" i="24"/>
  <c r="CL168" i="24"/>
  <c r="CC169" i="24"/>
  <c r="CK169" i="24"/>
  <c r="CS169" i="24"/>
  <c r="CK171" i="24"/>
  <c r="CS171" i="24"/>
  <c r="CA173" i="24"/>
  <c r="CI173" i="24"/>
  <c r="CQ173" i="24"/>
  <c r="CG174" i="24"/>
  <c r="CO174" i="24"/>
  <c r="CW174" i="24"/>
  <c r="CF175" i="24"/>
  <c r="CN175" i="24"/>
  <c r="CV175" i="24"/>
  <c r="CE176" i="24"/>
  <c r="CM176" i="24"/>
  <c r="CU176" i="24"/>
  <c r="CU177" i="24"/>
  <c r="CD181" i="24"/>
  <c r="CL181" i="24"/>
  <c r="CK191" i="24"/>
  <c r="CF198" i="24"/>
  <c r="CN198" i="24"/>
  <c r="CV198" i="24"/>
  <c r="CU199" i="24"/>
  <c r="CD219" i="24"/>
  <c r="CT219" i="24"/>
  <c r="CD220" i="24"/>
  <c r="CL220" i="24"/>
  <c r="CT220" i="24"/>
  <c r="CD221" i="24"/>
  <c r="CL221" i="24"/>
  <c r="CT221" i="24"/>
  <c r="CD222" i="24"/>
  <c r="CT222" i="24"/>
  <c r="CL223" i="24"/>
  <c r="CP152" i="24"/>
  <c r="CG154" i="24"/>
  <c r="CO154" i="24"/>
  <c r="CW154" i="24"/>
  <c r="CG155" i="24"/>
  <c r="CO155" i="24"/>
  <c r="CF156" i="24"/>
  <c r="CN156" i="24"/>
  <c r="CV156" i="24"/>
  <c r="CB157" i="24"/>
  <c r="CJ157" i="24"/>
  <c r="CR157" i="24"/>
  <c r="CB158" i="24"/>
  <c r="CJ158" i="24"/>
  <c r="CR158" i="24"/>
  <c r="CA159" i="24"/>
  <c r="CI159" i="24"/>
  <c r="CQ159" i="24"/>
  <c r="CA160" i="24"/>
  <c r="CI160" i="24"/>
  <c r="CQ160" i="24"/>
  <c r="CA161" i="24"/>
  <c r="CI161" i="24"/>
  <c r="CQ161" i="24"/>
  <c r="CG162" i="24"/>
  <c r="CO162" i="24"/>
  <c r="CW162" i="24"/>
  <c r="CG163" i="24"/>
  <c r="CO163" i="24"/>
  <c r="CW163" i="24"/>
  <c r="CG164" i="24"/>
  <c r="CO164" i="24"/>
  <c r="CW164" i="24"/>
  <c r="CG165" i="24"/>
  <c r="CO165" i="24"/>
  <c r="CW165" i="24"/>
  <c r="CF168" i="24"/>
  <c r="CV168" i="24"/>
  <c r="CC172" i="24"/>
  <c r="CK172" i="24"/>
  <c r="CS172" i="24"/>
  <c r="CK173" i="24"/>
  <c r="CS173" i="24"/>
  <c r="CA174" i="24"/>
  <c r="CI174" i="24"/>
  <c r="CQ174" i="24"/>
  <c r="CH175" i="24"/>
  <c r="CP175" i="24"/>
  <c r="CG176" i="24"/>
  <c r="CO176" i="24"/>
  <c r="CW176" i="24"/>
  <c r="CG178" i="24"/>
  <c r="CO178" i="24"/>
  <c r="CW178" i="24"/>
  <c r="CF179" i="24"/>
  <c r="CN179" i="24"/>
  <c r="CV179" i="24"/>
  <c r="CF180" i="24"/>
  <c r="CN180" i="24"/>
  <c r="CV180" i="24"/>
  <c r="CF181" i="24"/>
  <c r="CN181" i="24"/>
  <c r="CV181" i="24"/>
  <c r="CF182" i="24"/>
  <c r="CN182" i="24"/>
  <c r="CV182" i="24"/>
  <c r="CF183" i="24"/>
  <c r="CN183" i="24"/>
  <c r="CV183" i="24"/>
  <c r="CF184" i="24"/>
  <c r="CN184" i="24"/>
  <c r="CV184" i="24"/>
  <c r="CF185" i="24"/>
  <c r="CN185" i="24"/>
  <c r="CV185" i="24"/>
  <c r="CF187" i="24"/>
  <c r="CN187" i="24"/>
  <c r="CV187" i="24"/>
  <c r="CE189" i="24"/>
  <c r="CM189" i="24"/>
  <c r="CU189" i="24"/>
  <c r="CM190" i="24"/>
  <c r="CU190" i="24"/>
  <c r="CG215" i="24"/>
  <c r="CD150" i="24"/>
  <c r="CL150" i="24"/>
  <c r="CT150" i="24"/>
  <c r="CH153" i="24"/>
  <c r="CP153" i="24"/>
  <c r="CW155" i="24"/>
  <c r="CG156" i="24"/>
  <c r="CO156" i="24"/>
  <c r="CW156" i="24"/>
  <c r="CC157" i="24"/>
  <c r="CK157" i="24"/>
  <c r="CS157" i="24"/>
  <c r="CC158" i="24"/>
  <c r="CK158" i="24"/>
  <c r="CS158" i="24"/>
  <c r="CB160" i="24"/>
  <c r="CJ160" i="24"/>
  <c r="CR160" i="24"/>
  <c r="CH163" i="24"/>
  <c r="CP163" i="24"/>
  <c r="BZ164" i="24"/>
  <c r="CH164" i="24"/>
  <c r="CP164" i="24"/>
  <c r="CH167" i="24"/>
  <c r="CP167" i="24"/>
  <c r="CF169" i="24"/>
  <c r="CN169" i="24"/>
  <c r="CV169" i="24"/>
  <c r="CF170" i="24"/>
  <c r="CN170" i="24"/>
  <c r="CV170" i="24"/>
  <c r="CF171" i="24"/>
  <c r="CN171" i="24"/>
  <c r="CD172" i="24"/>
  <c r="CL172" i="24"/>
  <c r="CT172" i="24"/>
  <c r="CL173" i="24"/>
  <c r="CT173" i="24"/>
  <c r="CH177" i="24"/>
  <c r="CP177" i="24"/>
  <c r="BZ178" i="24"/>
  <c r="CH178" i="24"/>
  <c r="CP178" i="24"/>
  <c r="CG179" i="24"/>
  <c r="CO179" i="24"/>
  <c r="CW179" i="24"/>
  <c r="CG180" i="24"/>
  <c r="CO180" i="24"/>
  <c r="CW180" i="24"/>
  <c r="CE204" i="24"/>
  <c r="CM204" i="24"/>
  <c r="CU204" i="24"/>
  <c r="CE205" i="24"/>
  <c r="CM205" i="24"/>
  <c r="CU205" i="24"/>
  <c r="BZ168" i="24"/>
  <c r="CL195" i="24"/>
  <c r="CT195" i="24"/>
  <c r="CH202" i="24"/>
  <c r="CP202" i="24"/>
  <c r="CO149" i="24"/>
  <c r="CW149" i="24"/>
  <c r="CD151" i="24"/>
  <c r="CL151" i="24"/>
  <c r="CT151" i="24"/>
  <c r="CC152" i="24"/>
  <c r="CK152" i="24"/>
  <c r="CS152" i="24"/>
  <c r="CB154" i="24"/>
  <c r="CJ154" i="24"/>
  <c r="CR154" i="24"/>
  <c r="CB155" i="24"/>
  <c r="CJ155" i="24"/>
  <c r="CR155" i="24"/>
  <c r="CA156" i="24"/>
  <c r="CI156" i="24"/>
  <c r="CQ156" i="24"/>
  <c r="CD159" i="24"/>
  <c r="CL159" i="24"/>
  <c r="CT159" i="24"/>
  <c r="CL161" i="24"/>
  <c r="CB162" i="24"/>
  <c r="CJ162" i="24"/>
  <c r="CR162" i="24"/>
  <c r="CB164" i="24"/>
  <c r="CJ164" i="24"/>
  <c r="CR164" i="24"/>
  <c r="CB165" i="24"/>
  <c r="CJ165" i="24"/>
  <c r="CR165" i="24"/>
  <c r="CB166" i="24"/>
  <c r="CJ166" i="24"/>
  <c r="CR166" i="24"/>
  <c r="CH170" i="24"/>
  <c r="CP170" i="24"/>
  <c r="BZ171" i="24"/>
  <c r="CH171" i="24"/>
  <c r="CP171" i="24"/>
  <c r="CF172" i="24"/>
  <c r="CN172" i="24"/>
  <c r="CV172" i="24"/>
  <c r="CD174" i="24"/>
  <c r="CL174" i="24"/>
  <c r="CT174" i="24"/>
  <c r="CC175" i="24"/>
  <c r="CK175" i="24"/>
  <c r="CB176" i="24"/>
  <c r="CJ176" i="24"/>
  <c r="CR176" i="24"/>
  <c r="CB177" i="24"/>
  <c r="CJ177" i="24"/>
  <c r="CR177" i="24"/>
  <c r="CB178" i="24"/>
  <c r="CJ178" i="24"/>
  <c r="CR178" i="24"/>
  <c r="CA179" i="24"/>
  <c r="CI179" i="24"/>
  <c r="CQ179" i="24"/>
  <c r="CM194" i="24"/>
  <c r="CU194" i="24"/>
  <c r="CB201" i="24"/>
  <c r="CJ201" i="24"/>
  <c r="CR201" i="24"/>
  <c r="CD166" i="24"/>
  <c r="CG172" i="24"/>
  <c r="CO172" i="24"/>
  <c r="CW172" i="24"/>
  <c r="CD176" i="24"/>
  <c r="CO192" i="24"/>
  <c r="CW192" i="24"/>
  <c r="CG184" i="24"/>
  <c r="CO184" i="24"/>
  <c r="CW184" i="24"/>
  <c r="CG185" i="24"/>
  <c r="CO185" i="24"/>
  <c r="CW185" i="24"/>
  <c r="CF188" i="24"/>
  <c r="CN188" i="24"/>
  <c r="CV188" i="24"/>
  <c r="CF189" i="24"/>
  <c r="CN189" i="24"/>
  <c r="CV189" i="24"/>
  <c r="CE191" i="24"/>
  <c r="CM191" i="24"/>
  <c r="CT191" i="24"/>
  <c r="CH193" i="24"/>
  <c r="CO193" i="24"/>
  <c r="CW193" i="24"/>
  <c r="CF194" i="24"/>
  <c r="CN194" i="24"/>
  <c r="CV194" i="24"/>
  <c r="CU195" i="24"/>
  <c r="CG198" i="24"/>
  <c r="CO198" i="24"/>
  <c r="CW198" i="24"/>
  <c r="CF203" i="24"/>
  <c r="CN203" i="24"/>
  <c r="CV203" i="24"/>
  <c r="CJ206" i="24"/>
  <c r="CR206" i="24"/>
  <c r="CG207" i="24"/>
  <c r="CW207" i="24"/>
  <c r="CD208" i="24"/>
  <c r="CL208" i="24"/>
  <c r="CT208" i="24"/>
  <c r="CO215" i="24"/>
  <c r="CW215" i="24"/>
  <c r="CE223" i="24"/>
  <c r="CM223" i="24"/>
  <c r="CU223" i="24"/>
  <c r="CT225" i="24"/>
  <c r="CD226" i="24"/>
  <c r="CL226" i="24"/>
  <c r="CT226" i="24"/>
  <c r="CT227" i="24"/>
  <c r="CB229" i="24"/>
  <c r="CJ229" i="24"/>
  <c r="CR229" i="24"/>
  <c r="CQ231" i="24"/>
  <c r="CG233" i="24"/>
  <c r="CO233" i="24"/>
  <c r="CW233" i="24"/>
  <c r="CG234" i="24"/>
  <c r="CO234" i="24"/>
  <c r="CW234" i="24"/>
  <c r="CB248" i="24"/>
  <c r="CJ248" i="24"/>
  <c r="CR248" i="24"/>
  <c r="CA250" i="24"/>
  <c r="CQ251" i="24"/>
  <c r="CH252" i="24"/>
  <c r="CP252" i="24"/>
  <c r="CE274" i="24"/>
  <c r="CM274" i="24"/>
  <c r="CU274" i="24"/>
  <c r="CE275" i="24"/>
  <c r="CM275" i="24"/>
  <c r="CU275" i="24"/>
  <c r="CD278" i="24"/>
  <c r="CL278" i="24"/>
  <c r="CT278" i="24"/>
  <c r="CD279" i="24"/>
  <c r="CL279" i="24"/>
  <c r="CT279" i="24"/>
  <c r="CD280" i="24"/>
  <c r="CL280" i="24"/>
  <c r="CT280" i="24"/>
  <c r="CS178" i="24"/>
  <c r="CB179" i="24"/>
  <c r="CJ179" i="24"/>
  <c r="CR179" i="24"/>
  <c r="CB180" i="24"/>
  <c r="CJ180" i="24"/>
  <c r="CR180" i="24"/>
  <c r="CA181" i="24"/>
  <c r="CI181" i="24"/>
  <c r="CQ181" i="24"/>
  <c r="CA182" i="24"/>
  <c r="CI182" i="24"/>
  <c r="CQ182" i="24"/>
  <c r="CA183" i="24"/>
  <c r="CI183" i="24"/>
  <c r="CQ183" i="24"/>
  <c r="CA184" i="24"/>
  <c r="CI184" i="24"/>
  <c r="CQ184" i="24"/>
  <c r="CA185" i="24"/>
  <c r="CI185" i="24"/>
  <c r="CQ185" i="24"/>
  <c r="CA186" i="24"/>
  <c r="CI186" i="24"/>
  <c r="CQ186" i="24"/>
  <c r="CA187" i="24"/>
  <c r="CI187" i="24"/>
  <c r="CQ187" i="24"/>
  <c r="AI185" i="19"/>
  <c r="CH188" i="24"/>
  <c r="CP188" i="24"/>
  <c r="CH189" i="24"/>
  <c r="CP189" i="24"/>
  <c r="BZ190" i="24"/>
  <c r="CH190" i="24"/>
  <c r="CP190" i="24"/>
  <c r="CF191" i="24"/>
  <c r="CN191" i="24"/>
  <c r="CV191" i="24"/>
  <c r="CG195" i="24"/>
  <c r="CO195" i="24"/>
  <c r="CW195" i="24"/>
  <c r="CB197" i="24"/>
  <c r="CJ197" i="24"/>
  <c r="CB198" i="24"/>
  <c r="CH199" i="24"/>
  <c r="CP199" i="24"/>
  <c r="CB199" i="24"/>
  <c r="CO200" i="24"/>
  <c r="CW200" i="24"/>
  <c r="CD202" i="24"/>
  <c r="CL202" i="24"/>
  <c r="CS202" i="24"/>
  <c r="AI202" i="19"/>
  <c r="BZ205" i="24"/>
  <c r="CH205" i="24"/>
  <c r="CP205" i="24"/>
  <c r="CE206" i="24"/>
  <c r="CL206" i="24"/>
  <c r="CT206" i="24"/>
  <c r="CD209" i="24"/>
  <c r="CL209" i="24"/>
  <c r="CT209" i="24"/>
  <c r="CC210" i="24"/>
  <c r="CK210" i="24"/>
  <c r="CS210" i="24"/>
  <c r="CB211" i="24"/>
  <c r="CJ211" i="24"/>
  <c r="CR211" i="24"/>
  <c r="CA214" i="24"/>
  <c r="CI214" i="24"/>
  <c r="CQ214" i="24"/>
  <c r="CL247" i="24"/>
  <c r="CH271" i="24"/>
  <c r="CP271" i="24"/>
  <c r="CG272" i="24"/>
  <c r="CG273" i="24"/>
  <c r="CO273" i="24"/>
  <c r="CW273" i="24"/>
  <c r="CB190" i="24"/>
  <c r="BZ200" i="24"/>
  <c r="CE246" i="24"/>
  <c r="CM247" i="24"/>
  <c r="CA220" i="24"/>
  <c r="CI220" i="24"/>
  <c r="CQ220" i="24"/>
  <c r="CA223" i="24"/>
  <c r="CI223" i="24"/>
  <c r="CQ223" i="24"/>
  <c r="CT181" i="24"/>
  <c r="CD183" i="24"/>
  <c r="CL183" i="24"/>
  <c r="CT183" i="24"/>
  <c r="CD187" i="24"/>
  <c r="CL187" i="24"/>
  <c r="CT187" i="24"/>
  <c r="CC188" i="24"/>
  <c r="CK188" i="24"/>
  <c r="CS188" i="24"/>
  <c r="CD190" i="24"/>
  <c r="CS190" i="24"/>
  <c r="CA191" i="24"/>
  <c r="CI191" i="24"/>
  <c r="CQ191" i="24"/>
  <c r="CD194" i="24"/>
  <c r="CL194" i="24"/>
  <c r="CS194" i="24"/>
  <c r="CB195" i="24"/>
  <c r="CJ195" i="24"/>
  <c r="CR195" i="24"/>
  <c r="CH196" i="24"/>
  <c r="CO196" i="24"/>
  <c r="CW196" i="24"/>
  <c r="CE197" i="24"/>
  <c r="CM197" i="24"/>
  <c r="CU197" i="24"/>
  <c r="CE198" i="24"/>
  <c r="CM198" i="24"/>
  <c r="CK199" i="24"/>
  <c r="CC200" i="24"/>
  <c r="CK200" i="24"/>
  <c r="CS200" i="24"/>
  <c r="CF202" i="24"/>
  <c r="CN202" i="24"/>
  <c r="CV202" i="24"/>
  <c r="CO206" i="24"/>
  <c r="CW206" i="24"/>
  <c r="CB208" i="24"/>
  <c r="CU211" i="24"/>
  <c r="CM212" i="24"/>
  <c r="CU212" i="24"/>
  <c r="CD213" i="24"/>
  <c r="CL213" i="24"/>
  <c r="CT213" i="24"/>
  <c r="CD215" i="24"/>
  <c r="CL215" i="24"/>
  <c r="CT215" i="24"/>
  <c r="CM232" i="24"/>
  <c r="CU232" i="24"/>
  <c r="CC235" i="24"/>
  <c r="CK235" i="24"/>
  <c r="CS235" i="24"/>
  <c r="CC236" i="24"/>
  <c r="CK236" i="24"/>
  <c r="CS236" i="24"/>
  <c r="CC237" i="24"/>
  <c r="CK237" i="24"/>
  <c r="CS237" i="24"/>
  <c r="CC238" i="24"/>
  <c r="CK238" i="24"/>
  <c r="CS238" i="24"/>
  <c r="CC239" i="24"/>
  <c r="CK239" i="24"/>
  <c r="CS239" i="24"/>
  <c r="CC240" i="24"/>
  <c r="CK240" i="24"/>
  <c r="CS240" i="24"/>
  <c r="CC241" i="24"/>
  <c r="CK241" i="24"/>
  <c r="CS241" i="24"/>
  <c r="CK242" i="24"/>
  <c r="CS242" i="24"/>
  <c r="CB243" i="24"/>
  <c r="CJ243" i="24"/>
  <c r="CR243" i="24"/>
  <c r="CF264" i="24"/>
  <c r="CN264" i="24"/>
  <c r="CV264" i="24"/>
  <c r="CJ300" i="24"/>
  <c r="CK300" i="24"/>
  <c r="CC258" i="24"/>
  <c r="CK258" i="24"/>
  <c r="CS258" i="24"/>
  <c r="CW261" i="24"/>
  <c r="CE263" i="24"/>
  <c r="CM263" i="24"/>
  <c r="CU263" i="24"/>
  <c r="CC265" i="24"/>
  <c r="CB266" i="24"/>
  <c r="CJ266" i="24"/>
  <c r="CR266" i="24"/>
  <c r="CB267" i="24"/>
  <c r="CJ267" i="24"/>
  <c r="CW268" i="24"/>
  <c r="CF269" i="24"/>
  <c r="CN269" i="24"/>
  <c r="CV269" i="24"/>
  <c r="CF270" i="24"/>
  <c r="CN270" i="24"/>
  <c r="CV270" i="24"/>
  <c r="CC276" i="24"/>
  <c r="CK276" i="24"/>
  <c r="CS276" i="24"/>
  <c r="CB277" i="24"/>
  <c r="CJ277" i="24"/>
  <c r="CR277" i="24"/>
  <c r="CC278" i="24"/>
  <c r="CK278" i="24"/>
  <c r="CS278" i="24"/>
  <c r="CE284" i="24"/>
  <c r="CM284" i="24"/>
  <c r="CU284" i="24"/>
  <c r="CN285" i="24"/>
  <c r="CD286" i="24"/>
  <c r="CL286" i="24"/>
  <c r="CT286" i="24"/>
  <c r="CC288" i="24"/>
  <c r="CK288" i="24"/>
  <c r="CS288" i="24"/>
  <c r="CC289" i="24"/>
  <c r="CK289" i="24"/>
  <c r="CC290" i="24"/>
  <c r="CK290" i="24"/>
  <c r="CS290" i="24"/>
  <c r="CB214" i="24"/>
  <c r="CJ214" i="24"/>
  <c r="CR214" i="24"/>
  <c r="CH216" i="24"/>
  <c r="CP216" i="24"/>
  <c r="CH217" i="24"/>
  <c r="CP217" i="24"/>
  <c r="CG218" i="24"/>
  <c r="CO218" i="24"/>
  <c r="CW218" i="24"/>
  <c r="CG219" i="24"/>
  <c r="CO219" i="24"/>
  <c r="CW219" i="24"/>
  <c r="CG222" i="24"/>
  <c r="CO222" i="24"/>
  <c r="CW222" i="24"/>
  <c r="CF224" i="24"/>
  <c r="CN224" i="24"/>
  <c r="CV224" i="24"/>
  <c r="CF225" i="24"/>
  <c r="CN225" i="24"/>
  <c r="CV225" i="24"/>
  <c r="CG226" i="24"/>
  <c r="CO226" i="24"/>
  <c r="CG227" i="24"/>
  <c r="CW227" i="24"/>
  <c r="CE228" i="24"/>
  <c r="CU228" i="24"/>
  <c r="CB231" i="24"/>
  <c r="CJ231" i="24"/>
  <c r="CR231" i="24"/>
  <c r="BZ233" i="24"/>
  <c r="CH233" i="24"/>
  <c r="CP233" i="24"/>
  <c r="BZ234" i="24"/>
  <c r="CC243" i="24"/>
  <c r="CL243" i="24"/>
  <c r="CS243" i="24"/>
  <c r="CA244" i="24"/>
  <c r="CQ244" i="24"/>
  <c r="BZ245" i="24"/>
  <c r="CH245" i="24"/>
  <c r="CF246" i="24"/>
  <c r="CN246" i="24"/>
  <c r="CV246" i="24"/>
  <c r="CC253" i="24"/>
  <c r="BZ254" i="24"/>
  <c r="CH254" i="24"/>
  <c r="CP254" i="24"/>
  <c r="CH255" i="24"/>
  <c r="BZ256" i="24"/>
  <c r="CH256" i="24"/>
  <c r="CP256" i="24"/>
  <c r="CG264" i="24"/>
  <c r="CO264" i="24"/>
  <c r="CW264" i="24"/>
  <c r="CE266" i="24"/>
  <c r="CM266" i="24"/>
  <c r="CU266" i="24"/>
  <c r="CE267" i="24"/>
  <c r="CM267" i="24"/>
  <c r="CU267" i="24"/>
  <c r="CA269" i="24"/>
  <c r="CI269" i="24"/>
  <c r="CQ269" i="24"/>
  <c r="BZ273" i="24"/>
  <c r="CH273" i="24"/>
  <c r="CP273" i="24"/>
  <c r="CF274" i="24"/>
  <c r="CN274" i="24"/>
  <c r="CV274" i="24"/>
  <c r="CF275" i="24"/>
  <c r="CN275" i="24"/>
  <c r="CV275" i="24"/>
  <c r="CE280" i="24"/>
  <c r="CM280" i="24"/>
  <c r="CU280" i="24"/>
  <c r="CP284" i="24"/>
  <c r="CH246" i="24"/>
  <c r="CB263" i="24"/>
  <c r="CR263" i="24"/>
  <c r="BZ264" i="24"/>
  <c r="CF266" i="24"/>
  <c r="CN266" i="24"/>
  <c r="CV266" i="24"/>
  <c r="CB269" i="24"/>
  <c r="CJ269" i="24"/>
  <c r="CR269" i="24"/>
  <c r="CB271" i="24"/>
  <c r="CJ271" i="24"/>
  <c r="CR271" i="24"/>
  <c r="CA272" i="24"/>
  <c r="CI272" i="24"/>
  <c r="CQ272" i="24"/>
  <c r="CO275" i="24"/>
  <c r="CW275" i="24"/>
  <c r="CC308" i="24"/>
  <c r="BZ210" i="24"/>
  <c r="CE214" i="24"/>
  <c r="CM215" i="24"/>
  <c r="CU215" i="24"/>
  <c r="CC216" i="24"/>
  <c r="CK216" i="24"/>
  <c r="CS216" i="24"/>
  <c r="CB218" i="24"/>
  <c r="CJ218" i="24"/>
  <c r="CR218" i="24"/>
  <c r="CB222" i="24"/>
  <c r="CJ222" i="24"/>
  <c r="CR222" i="24"/>
  <c r="CA227" i="24"/>
  <c r="CI227" i="24"/>
  <c r="CQ227" i="24"/>
  <c r="CO228" i="24"/>
  <c r="CW228" i="24"/>
  <c r="CG229" i="24"/>
  <c r="CW229" i="24"/>
  <c r="CE230" i="24"/>
  <c r="CC232" i="24"/>
  <c r="CK232" i="24"/>
  <c r="CS232" i="24"/>
  <c r="CC233" i="24"/>
  <c r="CK233" i="24"/>
  <c r="CS233" i="24"/>
  <c r="BZ239" i="24"/>
  <c r="CH239" i="24"/>
  <c r="CP239" i="24"/>
  <c r="BZ240" i="24"/>
  <c r="CH240" i="24"/>
  <c r="CP240" i="24"/>
  <c r="BZ241" i="24"/>
  <c r="CH241" i="24"/>
  <c r="CP241" i="24"/>
  <c r="CG242" i="24"/>
  <c r="CO242" i="24"/>
  <c r="CW242" i="24"/>
  <c r="CV243" i="24"/>
  <c r="CT244" i="24"/>
  <c r="CC245" i="24"/>
  <c r="CK245" i="24"/>
  <c r="CA246" i="24"/>
  <c r="CA247" i="24"/>
  <c r="CI247" i="24"/>
  <c r="CQ247" i="24"/>
  <c r="CO249" i="24"/>
  <c r="CW249" i="24"/>
  <c r="CF251" i="24"/>
  <c r="CN251" i="24"/>
  <c r="CV251" i="24"/>
  <c r="CC256" i="24"/>
  <c r="CS256" i="24"/>
  <c r="CA259" i="24"/>
  <c r="CI259" i="24"/>
  <c r="CQ259" i="24"/>
  <c r="CA260" i="24"/>
  <c r="CQ260" i="24"/>
  <c r="CE261" i="24"/>
  <c r="CM261" i="24"/>
  <c r="CU261" i="24"/>
  <c r="CD262" i="24"/>
  <c r="CL262" i="24"/>
  <c r="CT262" i="24"/>
  <c r="CH265" i="24"/>
  <c r="CP265" i="24"/>
  <c r="CH267" i="24"/>
  <c r="CP267" i="24"/>
  <c r="CD271" i="24"/>
  <c r="CL271" i="24"/>
  <c r="CT271" i="24"/>
  <c r="CH278" i="24"/>
  <c r="CP278" i="24"/>
  <c r="CH279" i="24"/>
  <c r="CP279" i="24"/>
  <c r="CG281" i="24"/>
  <c r="CH284" i="24"/>
  <c r="CG285" i="24"/>
  <c r="CO285" i="24"/>
  <c r="CW285" i="24"/>
  <c r="CF286" i="24"/>
  <c r="CN286" i="24"/>
  <c r="CV286" i="24"/>
  <c r="CD287" i="24"/>
  <c r="CL287" i="24"/>
  <c r="CT287" i="24"/>
  <c r="CT289" i="24"/>
  <c r="CC301" i="24"/>
  <c r="CJ301" i="24"/>
  <c r="CR301" i="24"/>
  <c r="CA303" i="24"/>
  <c r="CI303" i="24"/>
  <c r="CQ303" i="24"/>
  <c r="CA304" i="24"/>
  <c r="CI304" i="24"/>
  <c r="CQ304" i="24"/>
  <c r="CA307" i="24"/>
  <c r="CI307" i="24"/>
  <c r="CQ307" i="24"/>
  <c r="BZ309" i="24"/>
  <c r="CH309" i="24"/>
  <c r="CP309" i="24"/>
  <c r="CE313" i="24"/>
  <c r="CM313" i="24"/>
  <c r="CU313" i="24"/>
  <c r="CE316" i="24"/>
  <c r="CM316" i="24"/>
  <c r="CU316" i="24"/>
  <c r="CD322" i="24"/>
  <c r="CL322" i="24"/>
  <c r="CT322" i="24"/>
  <c r="CC324" i="24"/>
  <c r="CK324" i="24"/>
  <c r="CS324" i="24"/>
  <c r="CC325" i="24"/>
  <c r="CK325" i="24"/>
  <c r="CS325" i="24"/>
  <c r="CC326" i="24"/>
  <c r="CK326" i="24"/>
  <c r="CS326" i="24"/>
  <c r="CC327" i="24"/>
  <c r="CK327" i="24"/>
  <c r="CS327" i="24"/>
  <c r="CF291" i="24"/>
  <c r="CN291" i="24"/>
  <c r="CV291" i="24"/>
  <c r="CF294" i="24"/>
  <c r="CN294" i="24"/>
  <c r="CV294" i="24"/>
  <c r="CF299" i="24"/>
  <c r="CN299" i="24"/>
  <c r="CV299" i="24"/>
  <c r="CC304" i="24"/>
  <c r="CC306" i="24"/>
  <c r="CK306" i="24"/>
  <c r="CS306" i="24"/>
  <c r="CC307" i="24"/>
  <c r="CK307" i="24"/>
  <c r="CS307" i="24"/>
  <c r="CK308" i="24"/>
  <c r="CB309" i="24"/>
  <c r="CJ309" i="24"/>
  <c r="CR309" i="24"/>
  <c r="CG313" i="24"/>
  <c r="CO313" i="24"/>
  <c r="CW313" i="24"/>
  <c r="CG314" i="24"/>
  <c r="CW314" i="24"/>
  <c r="CG315" i="24"/>
  <c r="CO315" i="24"/>
  <c r="CW315" i="24"/>
  <c r="CG317" i="24"/>
  <c r="CO317" i="24"/>
  <c r="CW317" i="24"/>
  <c r="CG318" i="24"/>
  <c r="CO318" i="24"/>
  <c r="CW318" i="24"/>
  <c r="CG319" i="24"/>
  <c r="CO319" i="24"/>
  <c r="CW319" i="24"/>
  <c r="CG320" i="24"/>
  <c r="CO320" i="24"/>
  <c r="CW320" i="24"/>
  <c r="CF322" i="24"/>
  <c r="CN322" i="24"/>
  <c r="CV322" i="24"/>
  <c r="CF323" i="24"/>
  <c r="CN323" i="24"/>
  <c r="CV323" i="24"/>
  <c r="CE325" i="24"/>
  <c r="CM325" i="24"/>
  <c r="CU325" i="24"/>
  <c r="CE326" i="24"/>
  <c r="CM326" i="24"/>
  <c r="CU326" i="24"/>
  <c r="CD328" i="24"/>
  <c r="CL328" i="24"/>
  <c r="CT328" i="24"/>
  <c r="CD329" i="24"/>
  <c r="CL329" i="24"/>
  <c r="CT329" i="24"/>
  <c r="CO281" i="24"/>
  <c r="CW281" i="24"/>
  <c r="CF283" i="24"/>
  <c r="CN283" i="24"/>
  <c r="CV283" i="24"/>
  <c r="CB285" i="24"/>
  <c r="CJ285" i="24"/>
  <c r="CR285" i="24"/>
  <c r="CA286" i="24"/>
  <c r="CI286" i="24"/>
  <c r="CQ286" i="24"/>
  <c r="CG288" i="24"/>
  <c r="CO288" i="24"/>
  <c r="CW288" i="24"/>
  <c r="CG289" i="24"/>
  <c r="CO289" i="24"/>
  <c r="CW289" i="24"/>
  <c r="CG295" i="24"/>
  <c r="CO295" i="24"/>
  <c r="CW295" i="24"/>
  <c r="CG296" i="24"/>
  <c r="CO296" i="24"/>
  <c r="CW296" i="24"/>
  <c r="CG297" i="24"/>
  <c r="CO297" i="24"/>
  <c r="CW297" i="24"/>
  <c r="CE301" i="24"/>
  <c r="CM301" i="24"/>
  <c r="CU301" i="24"/>
  <c r="CD303" i="24"/>
  <c r="CL303" i="24"/>
  <c r="CT303" i="24"/>
  <c r="CD304" i="24"/>
  <c r="CL304" i="24"/>
  <c r="CT304" i="24"/>
  <c r="CH312" i="24"/>
  <c r="CP312" i="24"/>
  <c r="AI310" i="19"/>
  <c r="BZ313" i="24"/>
  <c r="CH313" i="24"/>
  <c r="CP313" i="24"/>
  <c r="CH315" i="24"/>
  <c r="CP315" i="24"/>
  <c r="BZ316" i="24"/>
  <c r="CH316" i="24"/>
  <c r="CP316" i="24"/>
  <c r="CH320" i="24"/>
  <c r="CG321" i="24"/>
  <c r="CO321" i="24"/>
  <c r="CW321" i="24"/>
  <c r="CG322" i="24"/>
  <c r="CO322" i="24"/>
  <c r="CW322" i="24"/>
  <c r="CW327" i="24"/>
  <c r="CE330" i="24"/>
  <c r="CM330" i="24"/>
  <c r="CU330" i="24"/>
  <c r="CE331" i="24"/>
  <c r="CM331" i="24"/>
  <c r="CU331" i="24"/>
  <c r="CE332" i="24"/>
  <c r="CM332" i="24"/>
  <c r="CU332" i="24"/>
  <c r="CE333" i="24"/>
  <c r="CM333" i="24"/>
  <c r="CU333" i="24"/>
  <c r="CE334" i="24"/>
  <c r="CM334" i="24"/>
  <c r="CU334" i="24"/>
  <c r="CE335" i="24"/>
  <c r="CM335" i="24"/>
  <c r="CU335" i="24"/>
  <c r="CE336" i="24"/>
  <c r="CM336" i="24"/>
  <c r="CU336" i="24"/>
  <c r="CE337" i="24"/>
  <c r="CM337" i="24"/>
  <c r="CU337" i="24"/>
  <c r="CE338" i="24"/>
  <c r="CM338" i="24"/>
  <c r="CU338" i="24"/>
  <c r="CE339" i="24"/>
  <c r="CM339" i="24"/>
  <c r="AI295" i="19"/>
  <c r="AI318" i="19"/>
  <c r="CN337" i="24"/>
  <c r="CV337" i="24"/>
  <c r="CF338" i="24"/>
  <c r="CN338" i="24"/>
  <c r="CV338" i="24"/>
  <c r="CP301" i="24"/>
  <c r="CW301" i="24"/>
  <c r="CF307" i="24"/>
  <c r="CN307" i="24"/>
  <c r="CV307" i="24"/>
  <c r="CE309" i="24"/>
  <c r="CM309" i="24"/>
  <c r="CU309" i="24"/>
  <c r="CB313" i="24"/>
  <c r="CJ313" i="24"/>
  <c r="CR313" i="24"/>
  <c r="CB315" i="24"/>
  <c r="CJ315" i="24"/>
  <c r="CR315" i="24"/>
  <c r="CB316" i="24"/>
  <c r="CJ316" i="24"/>
  <c r="CR316" i="24"/>
  <c r="CA322" i="24"/>
  <c r="CI322" i="24"/>
  <c r="CQ322" i="24"/>
  <c r="CA323" i="24"/>
  <c r="CI323" i="24"/>
  <c r="CQ323" i="24"/>
  <c r="BZ324" i="24"/>
  <c r="CH324" i="24"/>
  <c r="BZ325" i="24"/>
  <c r="CH325" i="24"/>
  <c r="CP325" i="24"/>
  <c r="BZ326" i="24"/>
  <c r="CH326" i="24"/>
  <c r="CP326" i="24"/>
  <c r="BZ327" i="24"/>
  <c r="CP327" i="24"/>
  <c r="CW331" i="24"/>
  <c r="CG332" i="24"/>
  <c r="CO332" i="24"/>
  <c r="CW332" i="24"/>
  <c r="CR292" i="24"/>
  <c r="BZ328" i="24"/>
  <c r="BZ337" i="24"/>
  <c r="CH337" i="24"/>
  <c r="CP337" i="24"/>
  <c r="BZ338" i="24"/>
  <c r="CH338" i="24"/>
  <c r="CP338" i="24"/>
  <c r="BZ339" i="24"/>
  <c r="CP339" i="24"/>
  <c r="Y329" i="19"/>
  <c r="B329" i="14" s="1"/>
  <c r="AO329" i="19"/>
  <c r="BC329" i="19"/>
  <c r="AX330" i="6"/>
  <c r="AX329" i="13"/>
  <c r="AE329" i="19" s="1"/>
  <c r="AX329" i="6"/>
  <c r="AZ329" i="19" s="1"/>
  <c r="AY329" i="6"/>
  <c r="BA329" i="19" s="1"/>
  <c r="BM327" i="19"/>
  <c r="BO326" i="19"/>
  <c r="BC326" i="19"/>
  <c r="BC327" i="19"/>
  <c r="BC328" i="19"/>
  <c r="AO327" i="19"/>
  <c r="AO326" i="19"/>
  <c r="AX328" i="6"/>
  <c r="AX326" i="13"/>
  <c r="AF326" i="19" s="1"/>
  <c r="AX327" i="13"/>
  <c r="AF327" i="19" s="1"/>
  <c r="AX328" i="13"/>
  <c r="AF328" i="19" s="1"/>
  <c r="AE324" i="19"/>
  <c r="G106" i="31"/>
  <c r="AD106" i="19" s="1"/>
  <c r="F123" i="31"/>
  <c r="AC123" i="19" s="1"/>
  <c r="G12" i="31"/>
  <c r="AD12" i="19" s="1"/>
  <c r="G51" i="31"/>
  <c r="AD51" i="19" s="1"/>
  <c r="G76" i="31"/>
  <c r="AD76" i="19" s="1"/>
  <c r="G18" i="31"/>
  <c r="AD18" i="19" s="1"/>
  <c r="F21" i="31"/>
  <c r="AC21" i="19" s="1"/>
  <c r="G56" i="31"/>
  <c r="AD56" i="19" s="1"/>
  <c r="G82" i="31"/>
  <c r="AD82" i="19" s="1"/>
  <c r="F85" i="31"/>
  <c r="AC85" i="19" s="1"/>
  <c r="AA85" i="19" s="1"/>
  <c r="AB85" i="19" s="1"/>
  <c r="G120" i="31"/>
  <c r="AD120" i="19" s="1"/>
  <c r="G146" i="31"/>
  <c r="AD146" i="19" s="1"/>
  <c r="F149" i="31"/>
  <c r="AC149" i="19" s="1"/>
  <c r="G204" i="31"/>
  <c r="AD204" i="19" s="1"/>
  <c r="F213" i="31"/>
  <c r="AC213" i="19" s="1"/>
  <c r="F224" i="31"/>
  <c r="AC224" i="19" s="1"/>
  <c r="F229" i="31"/>
  <c r="AC229" i="19" s="1"/>
  <c r="F249" i="31"/>
  <c r="AC249" i="19" s="1"/>
  <c r="AA249" i="19" s="1"/>
  <c r="AB249" i="19" s="1"/>
  <c r="G275" i="31"/>
  <c r="AD275" i="19" s="1"/>
  <c r="G292" i="31"/>
  <c r="AD292" i="19" s="1"/>
  <c r="G327" i="31"/>
  <c r="AD327" i="19" s="1"/>
  <c r="G80" i="31"/>
  <c r="AD80" i="19" s="1"/>
  <c r="F84" i="31"/>
  <c r="AC84" i="19" s="1"/>
  <c r="AA84" i="19" s="1"/>
  <c r="AB84" i="19" s="1"/>
  <c r="G42" i="31"/>
  <c r="AD42" i="19" s="1"/>
  <c r="F45" i="31"/>
  <c r="AC45" i="19" s="1"/>
  <c r="G2" i="31"/>
  <c r="AD2" i="19" s="1"/>
  <c r="F5" i="31"/>
  <c r="AC5" i="19" s="1"/>
  <c r="G40" i="31"/>
  <c r="AD40" i="19" s="1"/>
  <c r="G66" i="31"/>
  <c r="AD66" i="19" s="1"/>
  <c r="F69" i="31"/>
  <c r="AC69" i="19" s="1"/>
  <c r="AA69" i="19" s="1"/>
  <c r="AB69" i="19" s="1"/>
  <c r="G104" i="31"/>
  <c r="AD104" i="19" s="1"/>
  <c r="G130" i="31"/>
  <c r="AD130" i="19" s="1"/>
  <c r="F133" i="31"/>
  <c r="AC133" i="19" s="1"/>
  <c r="AA133" i="19" s="1"/>
  <c r="AB133" i="19" s="1"/>
  <c r="BM133" i="19" s="1"/>
  <c r="G168" i="31"/>
  <c r="AD168" i="19" s="1"/>
  <c r="F172" i="31"/>
  <c r="AC172" i="19" s="1"/>
  <c r="F192" i="31"/>
  <c r="AC192" i="19" s="1"/>
  <c r="F214" i="31"/>
  <c r="AC214" i="19" s="1"/>
  <c r="F218" i="31"/>
  <c r="AC218" i="19" s="1"/>
  <c r="F222" i="31"/>
  <c r="AC222" i="19" s="1"/>
  <c r="F230" i="31"/>
  <c r="AC230" i="19" s="1"/>
  <c r="F255" i="31"/>
  <c r="AC255" i="19" s="1"/>
  <c r="AA255" i="19" s="1"/>
  <c r="AB255" i="19" s="1"/>
  <c r="G276" i="31"/>
  <c r="AD276" i="19" s="1"/>
  <c r="F285" i="31"/>
  <c r="AC285" i="19" s="1"/>
  <c r="AA285" i="19" s="1"/>
  <c r="AB285" i="19" s="1"/>
  <c r="F293" i="31"/>
  <c r="AC293" i="19" s="1"/>
  <c r="F306" i="31"/>
  <c r="AC306" i="19" s="1"/>
  <c r="G319" i="31"/>
  <c r="AD319" i="19" s="1"/>
  <c r="F109" i="31"/>
  <c r="AC109" i="19" s="1"/>
  <c r="G16" i="31"/>
  <c r="AD16" i="19" s="1"/>
  <c r="F20" i="31"/>
  <c r="AC20" i="19" s="1"/>
  <c r="F59" i="31"/>
  <c r="AC59" i="19" s="1"/>
  <c r="G8" i="31"/>
  <c r="AD8" i="19" s="1"/>
  <c r="G34" i="31"/>
  <c r="AD34" i="19" s="1"/>
  <c r="F37" i="31"/>
  <c r="AC37" i="19" s="1"/>
  <c r="G72" i="31"/>
  <c r="AD72" i="19" s="1"/>
  <c r="G98" i="31"/>
  <c r="AD98" i="19" s="1"/>
  <c r="F101" i="31"/>
  <c r="AC101" i="19" s="1"/>
  <c r="F115" i="31"/>
  <c r="AC115" i="19" s="1"/>
  <c r="G136" i="31"/>
  <c r="AD136" i="19" s="1"/>
  <c r="F140" i="31"/>
  <c r="AC140" i="19" s="1"/>
  <c r="G162" i="31"/>
  <c r="AD162" i="19" s="1"/>
  <c r="F165" i="31"/>
  <c r="AC165" i="19" s="1"/>
  <c r="F179" i="31"/>
  <c r="AC179" i="19" s="1"/>
  <c r="AA179" i="19" s="1"/>
  <c r="AB179" i="19" s="1"/>
  <c r="F199" i="31"/>
  <c r="AC199" i="19" s="1"/>
  <c r="AA199" i="19" s="1"/>
  <c r="AB199" i="19" s="1"/>
  <c r="G203" i="31"/>
  <c r="AD203" i="19" s="1"/>
  <c r="F207" i="31"/>
  <c r="AC207" i="19" s="1"/>
  <c r="G244" i="31"/>
  <c r="AD244" i="19" s="1"/>
  <c r="F262" i="31"/>
  <c r="AC262" i="19" s="1"/>
  <c r="G291" i="31"/>
  <c r="AD291" i="19" s="1"/>
  <c r="G303" i="31"/>
  <c r="AD303" i="19" s="1"/>
  <c r="F322" i="31"/>
  <c r="AC322" i="19" s="1"/>
  <c r="AA322" i="19" s="1"/>
  <c r="AB322" i="19" s="1"/>
  <c r="G335" i="31"/>
  <c r="AD335" i="19" s="1"/>
  <c r="BZ47" i="24"/>
  <c r="CA5" i="24"/>
  <c r="CI5" i="24"/>
  <c r="CQ5" i="24"/>
  <c r="CA6" i="24"/>
  <c r="CI6" i="24"/>
  <c r="CQ6" i="24"/>
  <c r="CA7" i="24"/>
  <c r="CI7" i="24"/>
  <c r="CQ7" i="24"/>
  <c r="CA8" i="24"/>
  <c r="CI8" i="24"/>
  <c r="CQ8" i="24"/>
  <c r="CA9" i="24"/>
  <c r="CI9" i="24"/>
  <c r="CQ9" i="24"/>
  <c r="CA10" i="24"/>
  <c r="CI10" i="24"/>
  <c r="CQ10" i="24"/>
  <c r="CA11" i="24"/>
  <c r="CI11" i="24"/>
  <c r="CQ11" i="24"/>
  <c r="CA12" i="24"/>
  <c r="CI12" i="24"/>
  <c r="CQ12" i="24"/>
  <c r="CA13" i="24"/>
  <c r="CI13" i="24"/>
  <c r="CQ13" i="24"/>
  <c r="CA14" i="24"/>
  <c r="CI14" i="24"/>
  <c r="CQ14" i="24"/>
  <c r="CA15" i="24"/>
  <c r="CI15" i="24"/>
  <c r="CQ15" i="24"/>
  <c r="CA16" i="24"/>
  <c r="CI16" i="24"/>
  <c r="CQ16" i="24"/>
  <c r="CA17" i="24"/>
  <c r="CJ17" i="24"/>
  <c r="CQ17" i="24"/>
  <c r="CF18" i="24"/>
  <c r="CN18" i="24"/>
  <c r="CV18" i="24"/>
  <c r="CA19" i="24"/>
  <c r="CE20" i="24"/>
  <c r="BZ21" i="24"/>
  <c r="CH21" i="24"/>
  <c r="CP21" i="24"/>
  <c r="CA23" i="24"/>
  <c r="CQ23" i="24"/>
  <c r="CG24" i="24"/>
  <c r="CO24" i="24"/>
  <c r="CW24" i="24"/>
  <c r="CE25" i="24"/>
  <c r="CM25" i="24"/>
  <c r="CB26" i="24"/>
  <c r="CJ26" i="24"/>
  <c r="BZ27" i="24"/>
  <c r="CC28" i="24"/>
  <c r="CK28" i="24"/>
  <c r="CS28" i="24"/>
  <c r="BZ29" i="24"/>
  <c r="CM30" i="24"/>
  <c r="CU30" i="24"/>
  <c r="BZ31" i="24"/>
  <c r="CP31" i="24"/>
  <c r="CM32" i="24"/>
  <c r="CC33" i="24"/>
  <c r="CK33" i="24"/>
  <c r="CS33" i="24"/>
  <c r="CA34" i="24"/>
  <c r="CI34" i="24"/>
  <c r="CQ34" i="24"/>
  <c r="CD37" i="24"/>
  <c r="CL37" i="24"/>
  <c r="CT37" i="24"/>
  <c r="CA38" i="24"/>
  <c r="CI38" i="24"/>
  <c r="CQ38" i="24"/>
  <c r="CF39" i="24"/>
  <c r="CN39" i="24"/>
  <c r="CV39" i="24"/>
  <c r="CE40" i="24"/>
  <c r="CM40" i="24"/>
  <c r="CU40" i="24"/>
  <c r="CD41" i="24"/>
  <c r="CL41" i="24"/>
  <c r="CT41" i="24"/>
  <c r="CB42" i="24"/>
  <c r="CJ42" i="24"/>
  <c r="CR42" i="24"/>
  <c r="CB43" i="24"/>
  <c r="CJ43" i="24"/>
  <c r="CR43" i="24"/>
  <c r="BZ44" i="24"/>
  <c r="CH44" i="24"/>
  <c r="CP44" i="24"/>
  <c r="CE45" i="24"/>
  <c r="CM45" i="24"/>
  <c r="CU45" i="24"/>
  <c r="CD46" i="24"/>
  <c r="CL46" i="24"/>
  <c r="CT46" i="24"/>
  <c r="CA47" i="24"/>
  <c r="CI47" i="24"/>
  <c r="CQ47" i="24"/>
  <c r="CG49" i="24"/>
  <c r="CE50" i="24"/>
  <c r="CM50" i="24"/>
  <c r="CU50" i="24"/>
  <c r="CE51" i="24"/>
  <c r="CM51" i="24"/>
  <c r="CU51" i="24"/>
  <c r="CC52" i="24"/>
  <c r="CK52" i="24"/>
  <c r="CS52" i="24"/>
  <c r="CC54" i="24"/>
  <c r="CK54" i="24"/>
  <c r="CS54" i="24"/>
  <c r="CC56" i="24"/>
  <c r="CK56" i="24"/>
  <c r="CS56" i="24"/>
  <c r="CC58" i="24"/>
  <c r="CK58" i="24"/>
  <c r="CS58" i="24"/>
  <c r="CK60" i="24"/>
  <c r="CG61" i="24"/>
  <c r="CO61" i="24"/>
  <c r="CW61" i="24"/>
  <c r="CE62" i="24"/>
  <c r="CM62" i="24"/>
  <c r="CU62" i="24"/>
  <c r="CA63" i="24"/>
  <c r="CI63" i="24"/>
  <c r="CQ63" i="24"/>
  <c r="CA65" i="24"/>
  <c r="CI65" i="24"/>
  <c r="CQ65" i="24"/>
  <c r="BZ66" i="24"/>
  <c r="CH66" i="24"/>
  <c r="CP66" i="24"/>
  <c r="BZ67" i="24"/>
  <c r="CH67" i="24"/>
  <c r="CP67" i="24"/>
  <c r="CL67" i="24"/>
  <c r="CG68" i="24"/>
  <c r="CO68" i="24"/>
  <c r="CW68" i="24"/>
  <c r="CG69" i="24"/>
  <c r="CO69" i="24"/>
  <c r="CW69" i="24"/>
  <c r="CI23" i="24"/>
  <c r="CH18" i="24"/>
  <c r="CP19" i="24"/>
  <c r="CJ21" i="24"/>
  <c r="CR21" i="24"/>
  <c r="BZ24" i="24"/>
  <c r="CH27" i="24"/>
  <c r="CH31" i="24"/>
  <c r="CG36" i="24"/>
  <c r="CO49" i="24"/>
  <c r="BZ64" i="24"/>
  <c r="BZ68" i="24"/>
  <c r="BZ18" i="24"/>
  <c r="CE22" i="24"/>
  <c r="CD26" i="24"/>
  <c r="CL26" i="24"/>
  <c r="CT26" i="24"/>
  <c r="CP29" i="24"/>
  <c r="CA36" i="24"/>
  <c r="CQ36" i="24"/>
  <c r="CO36" i="24"/>
  <c r="CF37" i="24"/>
  <c r="CN37" i="24"/>
  <c r="CV37" i="24"/>
  <c r="CC38" i="24"/>
  <c r="CK38" i="24"/>
  <c r="CS38" i="24"/>
  <c r="BZ39" i="24"/>
  <c r="CH39" i="24"/>
  <c r="CP39" i="24"/>
  <c r="CG40" i="24"/>
  <c r="CO40" i="24"/>
  <c r="CR44" i="24"/>
  <c r="CW49" i="24"/>
  <c r="CW51" i="24"/>
  <c r="CE52" i="24"/>
  <c r="CU52" i="24"/>
  <c r="CE54" i="24"/>
  <c r="CU54" i="24"/>
  <c r="CE56" i="24"/>
  <c r="CU56" i="24"/>
  <c r="CE58" i="24"/>
  <c r="CU58" i="24"/>
  <c r="CE60" i="24"/>
  <c r="CM60" i="24"/>
  <c r="CA61" i="24"/>
  <c r="CI61" i="24"/>
  <c r="CQ61" i="24"/>
  <c r="CO62" i="24"/>
  <c r="CW62" i="24"/>
  <c r="CC63" i="24"/>
  <c r="CK63" i="24"/>
  <c r="CS63" i="24"/>
  <c r="CC65" i="24"/>
  <c r="CK65" i="24"/>
  <c r="CS65" i="24"/>
  <c r="CB66" i="24"/>
  <c r="CJ66" i="24"/>
  <c r="CR66" i="24"/>
  <c r="CB67" i="24"/>
  <c r="CJ67" i="24"/>
  <c r="CR67" i="24"/>
  <c r="CA68" i="24"/>
  <c r="CI68" i="24"/>
  <c r="CQ68" i="24"/>
  <c r="AI22" i="19"/>
  <c r="CP27" i="24"/>
  <c r="BZ30" i="24"/>
  <c r="BZ32" i="24"/>
  <c r="CE32" i="24"/>
  <c r="CH35" i="24"/>
  <c r="CW36" i="24"/>
  <c r="CE5" i="24"/>
  <c r="CM5" i="24"/>
  <c r="CU5" i="24"/>
  <c r="CE6" i="24"/>
  <c r="CM6" i="24"/>
  <c r="CU6" i="24"/>
  <c r="CE7" i="24"/>
  <c r="CM7" i="24"/>
  <c r="CU7" i="24"/>
  <c r="CE8" i="24"/>
  <c r="CM8" i="24"/>
  <c r="CU8" i="24"/>
  <c r="CE9" i="24"/>
  <c r="CM9" i="24"/>
  <c r="CU9" i="24"/>
  <c r="CE10" i="24"/>
  <c r="CM10" i="24"/>
  <c r="CU10" i="24"/>
  <c r="CE11" i="24"/>
  <c r="CM11" i="24"/>
  <c r="CU11" i="24"/>
  <c r="CE12" i="24"/>
  <c r="CM12" i="24"/>
  <c r="CU12" i="24"/>
  <c r="CE13" i="24"/>
  <c r="CM13" i="24"/>
  <c r="CU13" i="24"/>
  <c r="CE14" i="24"/>
  <c r="CM14" i="24"/>
  <c r="CU14" i="24"/>
  <c r="CE15" i="24"/>
  <c r="CM15" i="24"/>
  <c r="CU15" i="24"/>
  <c r="CE16" i="24"/>
  <c r="CM16" i="24"/>
  <c r="CU16" i="24"/>
  <c r="CE17" i="24"/>
  <c r="CM17" i="24"/>
  <c r="CB18" i="24"/>
  <c r="CJ18" i="24"/>
  <c r="CK18" i="24"/>
  <c r="CE19" i="24"/>
  <c r="CM19" i="24"/>
  <c r="CU19" i="24"/>
  <c r="CA20" i="24"/>
  <c r="CI20" i="24"/>
  <c r="CQ20" i="24"/>
  <c r="CL21" i="24"/>
  <c r="CT21" i="24"/>
  <c r="CG22" i="24"/>
  <c r="CO22" i="24"/>
  <c r="CW22" i="24"/>
  <c r="CE23" i="24"/>
  <c r="CM23" i="24"/>
  <c r="CU23" i="24"/>
  <c r="CA25" i="24"/>
  <c r="CI25" i="24"/>
  <c r="CQ25" i="24"/>
  <c r="CR25" i="24"/>
  <c r="CD27" i="24"/>
  <c r="CL27" i="24"/>
  <c r="CT27" i="24"/>
  <c r="CG28" i="24"/>
  <c r="CO28" i="24"/>
  <c r="CW28" i="24"/>
  <c r="CD29" i="24"/>
  <c r="CL29" i="24"/>
  <c r="CT29" i="24"/>
  <c r="CA30" i="24"/>
  <c r="CI30" i="24"/>
  <c r="CQ30" i="24"/>
  <c r="CE30" i="24"/>
  <c r="CD31" i="24"/>
  <c r="CL31" i="24"/>
  <c r="CT31" i="24"/>
  <c r="CA32" i="24"/>
  <c r="CI32" i="24"/>
  <c r="CQ32" i="24"/>
  <c r="CU32" i="24"/>
  <c r="CG33" i="24"/>
  <c r="CO33" i="24"/>
  <c r="CW33" i="24"/>
  <c r="CE34" i="24"/>
  <c r="CM34" i="24"/>
  <c r="CU34" i="24"/>
  <c r="CC36" i="24"/>
  <c r="CK36" i="24"/>
  <c r="CS36" i="24"/>
  <c r="CH37" i="24"/>
  <c r="CP37" i="24"/>
  <c r="CE38" i="24"/>
  <c r="CM38" i="24"/>
  <c r="CU38" i="24"/>
  <c r="CB39" i="24"/>
  <c r="CJ39" i="24"/>
  <c r="CR39" i="24"/>
  <c r="CA40" i="24"/>
  <c r="CI40" i="24"/>
  <c r="CQ40" i="24"/>
  <c r="CF42" i="24"/>
  <c r="CN42" i="24"/>
  <c r="CV42" i="24"/>
  <c r="CF43" i="24"/>
  <c r="CN43" i="24"/>
  <c r="CV43" i="24"/>
  <c r="CD44" i="24"/>
  <c r="CL44" i="24"/>
  <c r="CT44" i="24"/>
  <c r="CA45" i="24"/>
  <c r="CI45" i="24"/>
  <c r="CQ45" i="24"/>
  <c r="CH46" i="24"/>
  <c r="CP46" i="24"/>
  <c r="CE47" i="24"/>
  <c r="CM47" i="24"/>
  <c r="CU47" i="24"/>
  <c r="CD48" i="24"/>
  <c r="CL48" i="24"/>
  <c r="CT48" i="24"/>
  <c r="CC49" i="24"/>
  <c r="CK49" i="24"/>
  <c r="CS49" i="24"/>
  <c r="CA50" i="24"/>
  <c r="CI50" i="24"/>
  <c r="CQ50" i="24"/>
  <c r="CA51" i="24"/>
  <c r="CO52" i="24"/>
  <c r="CB53" i="24"/>
  <c r="CJ53" i="24"/>
  <c r="CR53" i="24"/>
  <c r="CO54" i="24"/>
  <c r="CB55" i="24"/>
  <c r="CJ55" i="24"/>
  <c r="CR55" i="24"/>
  <c r="CO56" i="24"/>
  <c r="CB57" i="24"/>
  <c r="CJ57" i="24"/>
  <c r="CR57" i="24"/>
  <c r="CO58" i="24"/>
  <c r="CB59" i="24"/>
  <c r="CJ59" i="24"/>
  <c r="CR59" i="24"/>
  <c r="CG60" i="24"/>
  <c r="CO60" i="24"/>
  <c r="CC61" i="24"/>
  <c r="CA62" i="24"/>
  <c r="CI62" i="24"/>
  <c r="CQ62" i="24"/>
  <c r="CE63" i="24"/>
  <c r="CM63" i="24"/>
  <c r="CU63" i="24"/>
  <c r="CB72" i="24"/>
  <c r="CJ72" i="24"/>
  <c r="CR72" i="24"/>
  <c r="CF5" i="24"/>
  <c r="CN5" i="24"/>
  <c r="CV5" i="24"/>
  <c r="CF6" i="24"/>
  <c r="CN6" i="24"/>
  <c r="CV6" i="24"/>
  <c r="CF7" i="24"/>
  <c r="CN7" i="24"/>
  <c r="CV7" i="24"/>
  <c r="CF8" i="24"/>
  <c r="CN8" i="24"/>
  <c r="CV8" i="24"/>
  <c r="CF9" i="24"/>
  <c r="CN9" i="24"/>
  <c r="CV9" i="24"/>
  <c r="CF10" i="24"/>
  <c r="CN10" i="24"/>
  <c r="CV10" i="24"/>
  <c r="CF11" i="24"/>
  <c r="CN11" i="24"/>
  <c r="CV11" i="24"/>
  <c r="CF12" i="24"/>
  <c r="CN12" i="24"/>
  <c r="CV12" i="24"/>
  <c r="CF13" i="24"/>
  <c r="CN13" i="24"/>
  <c r="CV13" i="24"/>
  <c r="CF14" i="24"/>
  <c r="CN14" i="24"/>
  <c r="CV14" i="24"/>
  <c r="CF15" i="24"/>
  <c r="CN15" i="24"/>
  <c r="CV15" i="24"/>
  <c r="CF16" i="24"/>
  <c r="CN16" i="24"/>
  <c r="CV16" i="24"/>
  <c r="CF17" i="24"/>
  <c r="CN17" i="24"/>
  <c r="CV17" i="24"/>
  <c r="CC18" i="24"/>
  <c r="CB20" i="24"/>
  <c r="CJ20" i="24"/>
  <c r="CR20" i="24"/>
  <c r="CU21" i="24"/>
  <c r="BZ22" i="24"/>
  <c r="CP22" i="24"/>
  <c r="CF23" i="24"/>
  <c r="CN23" i="24"/>
  <c r="CV23" i="24"/>
  <c r="CD24" i="24"/>
  <c r="CL24" i="24"/>
  <c r="CT24" i="24"/>
  <c r="CJ25" i="24"/>
  <c r="CU25" i="24"/>
  <c r="CG26" i="24"/>
  <c r="CO26" i="24"/>
  <c r="CW26" i="24"/>
  <c r="CE27" i="24"/>
  <c r="CM27" i="24"/>
  <c r="CU27" i="24"/>
  <c r="BZ28" i="24"/>
  <c r="CE29" i="24"/>
  <c r="CM29" i="24"/>
  <c r="CU29" i="24"/>
  <c r="CR30" i="24"/>
  <c r="CM31" i="24"/>
  <c r="CB32" i="24"/>
  <c r="CJ32" i="24"/>
  <c r="CR32" i="24"/>
  <c r="AI30" i="19"/>
  <c r="CH33" i="24"/>
  <c r="CP33" i="24"/>
  <c r="CF34" i="24"/>
  <c r="CN34" i="24"/>
  <c r="CV34" i="24"/>
  <c r="CD36" i="24"/>
  <c r="CL36" i="24"/>
  <c r="CT36" i="24"/>
  <c r="CA37" i="24"/>
  <c r="CI37" i="24"/>
  <c r="CQ37" i="24"/>
  <c r="CF38" i="24"/>
  <c r="CN38" i="24"/>
  <c r="CV38" i="24"/>
  <c r="CC39" i="24"/>
  <c r="CK39" i="24"/>
  <c r="CS39" i="24"/>
  <c r="CB40" i="24"/>
  <c r="CJ40" i="24"/>
  <c r="CR40" i="24"/>
  <c r="CA41" i="24"/>
  <c r="CI41" i="24"/>
  <c r="CQ41" i="24"/>
  <c r="CG42" i="24"/>
  <c r="CO42" i="24"/>
  <c r="CW42" i="24"/>
  <c r="CG43" i="24"/>
  <c r="CE44" i="24"/>
  <c r="CM44" i="24"/>
  <c r="CU44" i="24"/>
  <c r="CB45" i="24"/>
  <c r="CJ45" i="24"/>
  <c r="CR45" i="24"/>
  <c r="CA46" i="24"/>
  <c r="CI46" i="24"/>
  <c r="CQ46" i="24"/>
  <c r="CF47" i="24"/>
  <c r="CN47" i="24"/>
  <c r="CV47" i="24"/>
  <c r="CE48" i="24"/>
  <c r="CM48" i="24"/>
  <c r="CU48" i="24"/>
  <c r="CD49" i="24"/>
  <c r="CL49" i="24"/>
  <c r="CT49" i="24"/>
  <c r="CB50" i="24"/>
  <c r="CJ50" i="24"/>
  <c r="CR50" i="24"/>
  <c r="CB51" i="24"/>
  <c r="CJ51" i="24"/>
  <c r="CR51" i="24"/>
  <c r="AI49" i="19"/>
  <c r="CH52" i="24"/>
  <c r="CP52" i="24"/>
  <c r="CC53" i="24"/>
  <c r="CK53" i="24"/>
  <c r="CS53" i="24"/>
  <c r="CH54" i="24"/>
  <c r="CP54" i="24"/>
  <c r="CC55" i="24"/>
  <c r="CK55" i="24"/>
  <c r="CS55" i="24"/>
  <c r="CH56" i="24"/>
  <c r="CP56" i="24"/>
  <c r="CC57" i="24"/>
  <c r="CK57" i="24"/>
  <c r="CS57" i="24"/>
  <c r="CH58" i="24"/>
  <c r="CP58" i="24"/>
  <c r="CC59" i="24"/>
  <c r="CK59" i="24"/>
  <c r="CS59" i="24"/>
  <c r="CH60" i="24"/>
  <c r="CP60" i="24"/>
  <c r="CC60" i="24"/>
  <c r="CD61" i="24"/>
  <c r="CL61" i="24"/>
  <c r="CT61" i="24"/>
  <c r="CB62" i="24"/>
  <c r="CJ62" i="24"/>
  <c r="CR62" i="24"/>
  <c r="CF63" i="24"/>
  <c r="CN63" i="24"/>
  <c r="CV63" i="24"/>
  <c r="CD64" i="24"/>
  <c r="CL64" i="24"/>
  <c r="CT64" i="24"/>
  <c r="CC71" i="24"/>
  <c r="CD71" i="24"/>
  <c r="CK71" i="24"/>
  <c r="CS71" i="24"/>
  <c r="AI23" i="19"/>
  <c r="CP35" i="24"/>
  <c r="CG52" i="24"/>
  <c r="CG54" i="24"/>
  <c r="CG56" i="24"/>
  <c r="CG58" i="24"/>
  <c r="CS60" i="24"/>
  <c r="CW73" i="24"/>
  <c r="CF74" i="24"/>
  <c r="CN74" i="24"/>
  <c r="CV74" i="24"/>
  <c r="CF75" i="24"/>
  <c r="CN75" i="24"/>
  <c r="CV75" i="24"/>
  <c r="CB78" i="24"/>
  <c r="CJ78" i="24"/>
  <c r="CR78" i="24"/>
  <c r="CA79" i="24"/>
  <c r="CI79" i="24"/>
  <c r="CQ79" i="24"/>
  <c r="CH80" i="24"/>
  <c r="CP80" i="24"/>
  <c r="CE81" i="24"/>
  <c r="CM81" i="24"/>
  <c r="CU81" i="24"/>
  <c r="CD82" i="24"/>
  <c r="CL82" i="24"/>
  <c r="CT82" i="24"/>
  <c r="CD83" i="24"/>
  <c r="CT83" i="24"/>
  <c r="CC84" i="24"/>
  <c r="CK84" i="24"/>
  <c r="CS84" i="24"/>
  <c r="CC85" i="24"/>
  <c r="CK85" i="24"/>
  <c r="CS85" i="24"/>
  <c r="CH86" i="24"/>
  <c r="CP86" i="24"/>
  <c r="CG87" i="24"/>
  <c r="CO87" i="24"/>
  <c r="CW87" i="24"/>
  <c r="CG88" i="24"/>
  <c r="CO88" i="24"/>
  <c r="CW88" i="24"/>
  <c r="CD89" i="24"/>
  <c r="CL89" i="24"/>
  <c r="CC90" i="24"/>
  <c r="CK90" i="24"/>
  <c r="CS90" i="24"/>
  <c r="CC91" i="24"/>
  <c r="CK91" i="24"/>
  <c r="CS91" i="24"/>
  <c r="CA92" i="24"/>
  <c r="CI92" i="24"/>
  <c r="CQ92" i="24"/>
  <c r="CA93" i="24"/>
  <c r="CI93" i="24"/>
  <c r="CQ93" i="24"/>
  <c r="CL93" i="24"/>
  <c r="CF94" i="24"/>
  <c r="CN94" i="24"/>
  <c r="CV94" i="24"/>
  <c r="CM95" i="24"/>
  <c r="CU95" i="24"/>
  <c r="CF98" i="24"/>
  <c r="CN98" i="24"/>
  <c r="CV98" i="24"/>
  <c r="CB99" i="24"/>
  <c r="CJ99" i="24"/>
  <c r="CR99" i="24"/>
  <c r="CC100" i="24"/>
  <c r="CK100" i="24"/>
  <c r="CH101" i="24"/>
  <c r="CP101" i="24"/>
  <c r="CA101" i="24"/>
  <c r="CE102" i="24"/>
  <c r="CM102" i="24"/>
  <c r="CU102" i="24"/>
  <c r="CB103" i="24"/>
  <c r="CJ103" i="24"/>
  <c r="CR103" i="24"/>
  <c r="CH104" i="24"/>
  <c r="CP104" i="24"/>
  <c r="CN105" i="24"/>
  <c r="CC112" i="24"/>
  <c r="CK112" i="24"/>
  <c r="CS112" i="24"/>
  <c r="CM140" i="24"/>
  <c r="CU140" i="24"/>
  <c r="BZ69" i="24"/>
  <c r="CH69" i="24"/>
  <c r="CP69" i="24"/>
  <c r="CE70" i="24"/>
  <c r="CM70" i="24"/>
  <c r="CU70" i="24"/>
  <c r="CL71" i="24"/>
  <c r="CT71" i="24"/>
  <c r="CC72" i="24"/>
  <c r="CK72" i="24"/>
  <c r="CS72" i="24"/>
  <c r="BZ73" i="24"/>
  <c r="CH73" i="24"/>
  <c r="CP73" i="24"/>
  <c r="CG74" i="24"/>
  <c r="CO74" i="24"/>
  <c r="CW74" i="24"/>
  <c r="CG75" i="24"/>
  <c r="CO75" i="24"/>
  <c r="CW75" i="24"/>
  <c r="CF76" i="24"/>
  <c r="CN76" i="24"/>
  <c r="CV76" i="24"/>
  <c r="CF77" i="24"/>
  <c r="CN77" i="24"/>
  <c r="CV77" i="24"/>
  <c r="CC78" i="24"/>
  <c r="CK78" i="24"/>
  <c r="CS78" i="24"/>
  <c r="CB79" i="24"/>
  <c r="CJ79" i="24"/>
  <c r="CR79" i="24"/>
  <c r="CA80" i="24"/>
  <c r="CI80" i="24"/>
  <c r="CQ80" i="24"/>
  <c r="CF81" i="24"/>
  <c r="CN81" i="24"/>
  <c r="CV81" i="24"/>
  <c r="CD84" i="24"/>
  <c r="CL84" i="24"/>
  <c r="CT84" i="24"/>
  <c r="CA86" i="24"/>
  <c r="CI86" i="24"/>
  <c r="CQ86" i="24"/>
  <c r="BZ87" i="24"/>
  <c r="CH87" i="24"/>
  <c r="CP87" i="24"/>
  <c r="BZ88" i="24"/>
  <c r="CH88" i="24"/>
  <c r="CP88" i="24"/>
  <c r="CE89" i="24"/>
  <c r="CM89" i="24"/>
  <c r="CU89" i="24"/>
  <c r="CD90" i="24"/>
  <c r="CL90" i="24"/>
  <c r="CT90" i="24"/>
  <c r="CT91" i="24"/>
  <c r="CB92" i="24"/>
  <c r="CJ92" i="24"/>
  <c r="CR92" i="24"/>
  <c r="CB93" i="24"/>
  <c r="CJ93" i="24"/>
  <c r="CR93" i="24"/>
  <c r="CT93" i="24"/>
  <c r="CG94" i="24"/>
  <c r="CO94" i="24"/>
  <c r="CW94" i="24"/>
  <c r="CD96" i="24"/>
  <c r="CL96" i="24"/>
  <c r="CT96" i="24"/>
  <c r="CA97" i="24"/>
  <c r="CI97" i="24"/>
  <c r="CQ97" i="24"/>
  <c r="CK99" i="24"/>
  <c r="CD100" i="24"/>
  <c r="CL100" i="24"/>
  <c r="CT100" i="24"/>
  <c r="CI101" i="24"/>
  <c r="CF102" i="24"/>
  <c r="CV102" i="24"/>
  <c r="CC103" i="24"/>
  <c r="CK103" i="24"/>
  <c r="CS103" i="24"/>
  <c r="CA104" i="24"/>
  <c r="CI104" i="24"/>
  <c r="CQ104" i="24"/>
  <c r="CG105" i="24"/>
  <c r="BZ107" i="24"/>
  <c r="CH107" i="24"/>
  <c r="CP107" i="24"/>
  <c r="BZ74" i="24"/>
  <c r="BZ105" i="24"/>
  <c r="CT108" i="24"/>
  <c r="CB69" i="24"/>
  <c r="CJ69" i="24"/>
  <c r="CR69" i="24"/>
  <c r="CG70" i="24"/>
  <c r="CO70" i="24"/>
  <c r="CW70" i="24"/>
  <c r="CF71" i="24"/>
  <c r="CN71" i="24"/>
  <c r="CV71" i="24"/>
  <c r="CE72" i="24"/>
  <c r="CM72" i="24"/>
  <c r="CU72" i="24"/>
  <c r="CB73" i="24"/>
  <c r="CJ73" i="24"/>
  <c r="CR73" i="24"/>
  <c r="CA74" i="24"/>
  <c r="CI74" i="24"/>
  <c r="CQ74" i="24"/>
  <c r="CA75" i="24"/>
  <c r="CI75" i="24"/>
  <c r="CQ75" i="24"/>
  <c r="BZ76" i="24"/>
  <c r="CH76" i="24"/>
  <c r="CP76" i="24"/>
  <c r="BZ77" i="24"/>
  <c r="CH77" i="24"/>
  <c r="CP77" i="24"/>
  <c r="CE78" i="24"/>
  <c r="CM78" i="24"/>
  <c r="CU78" i="24"/>
  <c r="CL79" i="24"/>
  <c r="CT79" i="24"/>
  <c r="CC80" i="24"/>
  <c r="CK80" i="24"/>
  <c r="CS80" i="24"/>
  <c r="BZ81" i="24"/>
  <c r="CH81" i="24"/>
  <c r="CP81" i="24"/>
  <c r="CG82" i="24"/>
  <c r="CO82" i="24"/>
  <c r="CW82" i="24"/>
  <c r="CG83" i="24"/>
  <c r="CO83" i="24"/>
  <c r="CW83" i="24"/>
  <c r="CF84" i="24"/>
  <c r="CN84" i="24"/>
  <c r="CV84" i="24"/>
  <c r="CF85" i="24"/>
  <c r="CN85" i="24"/>
  <c r="CV85" i="24"/>
  <c r="CC86" i="24"/>
  <c r="CK86" i="24"/>
  <c r="CS86" i="24"/>
  <c r="CB87" i="24"/>
  <c r="CJ87" i="24"/>
  <c r="CR87" i="24"/>
  <c r="CB88" i="24"/>
  <c r="CJ88" i="24"/>
  <c r="CR88" i="24"/>
  <c r="CG89" i="24"/>
  <c r="CO89" i="24"/>
  <c r="CW89" i="24"/>
  <c r="CF90" i="24"/>
  <c r="CN90" i="24"/>
  <c r="CV90" i="24"/>
  <c r="CF91" i="24"/>
  <c r="CN91" i="24"/>
  <c r="CV91" i="24"/>
  <c r="CD92" i="24"/>
  <c r="CL92" i="24"/>
  <c r="CT92" i="24"/>
  <c r="CA94" i="24"/>
  <c r="CI94" i="24"/>
  <c r="CQ94" i="24"/>
  <c r="CE96" i="24"/>
  <c r="CC97" i="24"/>
  <c r="CF100" i="24"/>
  <c r="CN100" i="24"/>
  <c r="CV100" i="24"/>
  <c r="CC101" i="24"/>
  <c r="CK101" i="24"/>
  <c r="CS101" i="24"/>
  <c r="BZ102" i="24"/>
  <c r="CH102" i="24"/>
  <c r="CP102" i="24"/>
  <c r="CC104" i="24"/>
  <c r="CK104" i="24"/>
  <c r="CS104" i="24"/>
  <c r="CA105" i="24"/>
  <c r="CI105" i="24"/>
  <c r="CQ105" i="24"/>
  <c r="CE106" i="24"/>
  <c r="CM106" i="24"/>
  <c r="CN106" i="24"/>
  <c r="CH109" i="24"/>
  <c r="CP109" i="24"/>
  <c r="BZ110" i="24"/>
  <c r="CH110" i="24"/>
  <c r="CP110" i="24"/>
  <c r="CL132" i="24"/>
  <c r="CE65" i="24"/>
  <c r="CM65" i="24"/>
  <c r="CU65" i="24"/>
  <c r="CD66" i="24"/>
  <c r="CL66" i="24"/>
  <c r="CT66" i="24"/>
  <c r="CD67" i="24"/>
  <c r="CT67" i="24"/>
  <c r="CC68" i="24"/>
  <c r="CK68" i="24"/>
  <c r="CS68" i="24"/>
  <c r="CC69" i="24"/>
  <c r="CK69" i="24"/>
  <c r="CS69" i="24"/>
  <c r="BZ70" i="24"/>
  <c r="CH70" i="24"/>
  <c r="CP70" i="24"/>
  <c r="CG71" i="24"/>
  <c r="CO71" i="24"/>
  <c r="CW71" i="24"/>
  <c r="CF72" i="24"/>
  <c r="CN72" i="24"/>
  <c r="CV72" i="24"/>
  <c r="CC73" i="24"/>
  <c r="CK73" i="24"/>
  <c r="CS73" i="24"/>
  <c r="CB74" i="24"/>
  <c r="CJ74" i="24"/>
  <c r="CR74" i="24"/>
  <c r="CB75" i="24"/>
  <c r="CJ75" i="24"/>
  <c r="CR75" i="24"/>
  <c r="CA76" i="24"/>
  <c r="CI76" i="24"/>
  <c r="CQ76" i="24"/>
  <c r="CA77" i="24"/>
  <c r="CI77" i="24"/>
  <c r="CQ77" i="24"/>
  <c r="CF78" i="24"/>
  <c r="CN78" i="24"/>
  <c r="CV78" i="24"/>
  <c r="CE79" i="24"/>
  <c r="CM79" i="24"/>
  <c r="CU79" i="24"/>
  <c r="CA81" i="24"/>
  <c r="CI81" i="24"/>
  <c r="CQ81" i="24"/>
  <c r="BZ82" i="24"/>
  <c r="CH82" i="24"/>
  <c r="CP82" i="24"/>
  <c r="BZ83" i="24"/>
  <c r="CH83" i="24"/>
  <c r="CP83" i="24"/>
  <c r="CG84" i="24"/>
  <c r="CO84" i="24"/>
  <c r="CW84" i="24"/>
  <c r="CG85" i="24"/>
  <c r="CO85" i="24"/>
  <c r="CW85" i="24"/>
  <c r="CL86" i="24"/>
  <c r="CT86" i="24"/>
  <c r="CC87" i="24"/>
  <c r="CK87" i="24"/>
  <c r="CS87" i="24"/>
  <c r="CC88" i="24"/>
  <c r="CK88" i="24"/>
  <c r="CS88" i="24"/>
  <c r="BZ89" i="24"/>
  <c r="CH89" i="24"/>
  <c r="CP89" i="24"/>
  <c r="CG90" i="24"/>
  <c r="CO90" i="24"/>
  <c r="CW90" i="24"/>
  <c r="CG91" i="24"/>
  <c r="CO91" i="24"/>
  <c r="CW91" i="24"/>
  <c r="CB94" i="24"/>
  <c r="CJ94" i="24"/>
  <c r="CR94" i="24"/>
  <c r="CA95" i="24"/>
  <c r="CI95" i="24"/>
  <c r="CQ95" i="24"/>
  <c r="CF96" i="24"/>
  <c r="CD97" i="24"/>
  <c r="CB98" i="24"/>
  <c r="CJ98" i="24"/>
  <c r="CR98" i="24"/>
  <c r="CF99" i="24"/>
  <c r="CN99" i="24"/>
  <c r="CV99" i="24"/>
  <c r="CD101" i="24"/>
  <c r="CL101" i="24"/>
  <c r="CT101" i="24"/>
  <c r="CA102" i="24"/>
  <c r="CI102" i="24"/>
  <c r="CQ102" i="24"/>
  <c r="CF103" i="24"/>
  <c r="CN103" i="24"/>
  <c r="CV103" i="24"/>
  <c r="CD104" i="24"/>
  <c r="CL104" i="24"/>
  <c r="CT104" i="24"/>
  <c r="CB105" i="24"/>
  <c r="CJ105" i="24"/>
  <c r="CR105" i="24"/>
  <c r="CB108" i="24"/>
  <c r="CE130" i="24"/>
  <c r="CD85" i="24"/>
  <c r="CD91" i="24"/>
  <c r="CV95" i="24"/>
  <c r="CQ98" i="24"/>
  <c r="BZ100" i="24"/>
  <c r="CA100" i="24"/>
  <c r="CV105" i="24"/>
  <c r="CK108" i="24"/>
  <c r="CL108" i="24"/>
  <c r="CB70" i="24"/>
  <c r="CJ70" i="24"/>
  <c r="CR70" i="24"/>
  <c r="CA71" i="24"/>
  <c r="CI71" i="24"/>
  <c r="CQ71" i="24"/>
  <c r="CH72" i="24"/>
  <c r="CP72" i="24"/>
  <c r="CE73" i="24"/>
  <c r="CM73" i="24"/>
  <c r="CU73" i="24"/>
  <c r="CD74" i="24"/>
  <c r="CL74" i="24"/>
  <c r="CT74" i="24"/>
  <c r="CD75" i="24"/>
  <c r="CT75" i="24"/>
  <c r="CC76" i="24"/>
  <c r="CK76" i="24"/>
  <c r="CS76" i="24"/>
  <c r="CC77" i="24"/>
  <c r="CK77" i="24"/>
  <c r="CS77" i="24"/>
  <c r="BZ78" i="24"/>
  <c r="CH78" i="24"/>
  <c r="CP78" i="24"/>
  <c r="CG79" i="24"/>
  <c r="CO79" i="24"/>
  <c r="CW79" i="24"/>
  <c r="CF80" i="24"/>
  <c r="CN80" i="24"/>
  <c r="CV80" i="24"/>
  <c r="CC81" i="24"/>
  <c r="CK81" i="24"/>
  <c r="CS81" i="24"/>
  <c r="CB82" i="24"/>
  <c r="CJ82" i="24"/>
  <c r="CR82" i="24"/>
  <c r="CB83" i="24"/>
  <c r="CJ83" i="24"/>
  <c r="CR83" i="24"/>
  <c r="CA84" i="24"/>
  <c r="CI84" i="24"/>
  <c r="CQ84" i="24"/>
  <c r="CA85" i="24"/>
  <c r="CI85" i="24"/>
  <c r="CQ85" i="24"/>
  <c r="CF86" i="24"/>
  <c r="CN86" i="24"/>
  <c r="CV86" i="24"/>
  <c r="CE87" i="24"/>
  <c r="CM87" i="24"/>
  <c r="CU87" i="24"/>
  <c r="CE88" i="24"/>
  <c r="CM88" i="24"/>
  <c r="CU88" i="24"/>
  <c r="CB89" i="24"/>
  <c r="CJ89" i="24"/>
  <c r="CR89" i="24"/>
  <c r="CA90" i="24"/>
  <c r="CI90" i="24"/>
  <c r="CQ90" i="24"/>
  <c r="CA91" i="24"/>
  <c r="CI91" i="24"/>
  <c r="CQ91" i="24"/>
  <c r="CG92" i="24"/>
  <c r="CO92" i="24"/>
  <c r="CW92" i="24"/>
  <c r="CG93" i="24"/>
  <c r="CO93" i="24"/>
  <c r="CW93" i="24"/>
  <c r="CL94" i="24"/>
  <c r="CT94" i="24"/>
  <c r="CC95" i="24"/>
  <c r="CK96" i="24"/>
  <c r="CF97" i="24"/>
  <c r="CN97" i="24"/>
  <c r="CD98" i="24"/>
  <c r="CL98" i="24"/>
  <c r="CT98" i="24"/>
  <c r="BZ99" i="24"/>
  <c r="CH99" i="24"/>
  <c r="CP99" i="24"/>
  <c r="BZ103" i="24"/>
  <c r="CH106" i="24"/>
  <c r="CP106" i="24"/>
  <c r="CE107" i="24"/>
  <c r="CM107" i="24"/>
  <c r="CU107" i="24"/>
  <c r="CD108" i="24"/>
  <c r="CC113" i="24"/>
  <c r="CK113" i="24"/>
  <c r="CS113" i="24"/>
  <c r="CA114" i="24"/>
  <c r="CI114" i="24"/>
  <c r="CQ114" i="24"/>
  <c r="CH115" i="24"/>
  <c r="CP115" i="24"/>
  <c r="CG116" i="24"/>
  <c r="CO116" i="24"/>
  <c r="CW116" i="24"/>
  <c r="CD117" i="24"/>
  <c r="CL117" i="24"/>
  <c r="CT117" i="24"/>
  <c r="CA119" i="24"/>
  <c r="CI119" i="24"/>
  <c r="CQ119" i="24"/>
  <c r="CT119" i="24"/>
  <c r="CG120" i="24"/>
  <c r="CF121" i="24"/>
  <c r="CN121" i="24"/>
  <c r="CV121" i="24"/>
  <c r="CW122" i="24"/>
  <c r="CH124" i="24"/>
  <c r="CP124" i="24"/>
  <c r="CH126" i="24"/>
  <c r="CP126" i="24"/>
  <c r="CT127" i="24"/>
  <c r="CU127" i="24"/>
  <c r="CF128" i="24"/>
  <c r="CN128" i="24"/>
  <c r="CV128" i="24"/>
  <c r="CA129" i="24"/>
  <c r="CI129" i="24"/>
  <c r="CQ129" i="24"/>
  <c r="CJ129" i="24"/>
  <c r="CU130" i="24"/>
  <c r="CF131" i="24"/>
  <c r="CN131" i="24"/>
  <c r="CV131" i="24"/>
  <c r="CE133" i="24"/>
  <c r="CM133" i="24"/>
  <c r="CB134" i="24"/>
  <c r="CJ134" i="24"/>
  <c r="CR134" i="24"/>
  <c r="CH135" i="24"/>
  <c r="CP135" i="24"/>
  <c r="CG139" i="24"/>
  <c r="CO139" i="24"/>
  <c r="CE140" i="24"/>
  <c r="CC141" i="24"/>
  <c r="CK141" i="24"/>
  <c r="CS141" i="24"/>
  <c r="CF151" i="24"/>
  <c r="CG151" i="24"/>
  <c r="CN151" i="24"/>
  <c r="CV151" i="24"/>
  <c r="CO105" i="24"/>
  <c r="CW105" i="24"/>
  <c r="CB106" i="24"/>
  <c r="CJ106" i="24"/>
  <c r="CR106" i="24"/>
  <c r="CN107" i="24"/>
  <c r="CV107" i="24"/>
  <c r="CA109" i="24"/>
  <c r="CI109" i="24"/>
  <c r="CQ109" i="24"/>
  <c r="CA110" i="24"/>
  <c r="CI110" i="24"/>
  <c r="CQ110" i="24"/>
  <c r="CF111" i="24"/>
  <c r="CN111" i="24"/>
  <c r="CV111" i="24"/>
  <c r="CD112" i="24"/>
  <c r="CL112" i="24"/>
  <c r="CT112" i="24"/>
  <c r="CL113" i="24"/>
  <c r="CB114" i="24"/>
  <c r="CJ114" i="24"/>
  <c r="CR114" i="24"/>
  <c r="CA115" i="24"/>
  <c r="CI115" i="24"/>
  <c r="CQ115" i="24"/>
  <c r="BZ116" i="24"/>
  <c r="CH116" i="24"/>
  <c r="CP116" i="24"/>
  <c r="CE118" i="24"/>
  <c r="CM118" i="24"/>
  <c r="CU118" i="24"/>
  <c r="CB119" i="24"/>
  <c r="CJ119" i="24"/>
  <c r="CR119" i="24"/>
  <c r="BZ120" i="24"/>
  <c r="CH120" i="24"/>
  <c r="CW121" i="24"/>
  <c r="CG122" i="24"/>
  <c r="CF123" i="24"/>
  <c r="CN123" i="24"/>
  <c r="CV123" i="24"/>
  <c r="CA124" i="24"/>
  <c r="CI124" i="24"/>
  <c r="CQ124" i="24"/>
  <c r="CW128" i="24"/>
  <c r="CB129" i="24"/>
  <c r="CK129" i="24"/>
  <c r="CR129" i="24"/>
  <c r="CF130" i="24"/>
  <c r="CN130" i="24"/>
  <c r="CV130" i="24"/>
  <c r="CG131" i="24"/>
  <c r="CO131" i="24"/>
  <c r="CW131" i="24"/>
  <c r="CM132" i="24"/>
  <c r="CF133" i="24"/>
  <c r="CN133" i="24"/>
  <c r="CV133" i="24"/>
  <c r="CC134" i="24"/>
  <c r="CK134" i="24"/>
  <c r="CS134" i="24"/>
  <c r="CB138" i="24"/>
  <c r="CJ138" i="24"/>
  <c r="CR138" i="24"/>
  <c r="BZ139" i="24"/>
  <c r="CH139" i="24"/>
  <c r="CP139" i="24"/>
  <c r="BZ143" i="24"/>
  <c r="CH143" i="24"/>
  <c r="CP143" i="24"/>
  <c r="CC146" i="24"/>
  <c r="CK146" i="24"/>
  <c r="CS146" i="24"/>
  <c r="CA150" i="24"/>
  <c r="CI150" i="24"/>
  <c r="CQ150" i="24"/>
  <c r="CF153" i="24"/>
  <c r="CG153" i="24"/>
  <c r="CV153" i="24"/>
  <c r="CW153" i="24"/>
  <c r="CF108" i="24"/>
  <c r="CN108" i="24"/>
  <c r="CV108" i="24"/>
  <c r="CC109" i="24"/>
  <c r="CK109" i="24"/>
  <c r="CS109" i="24"/>
  <c r="CC110" i="24"/>
  <c r="CK110" i="24"/>
  <c r="CS110" i="24"/>
  <c r="BZ111" i="24"/>
  <c r="CH111" i="24"/>
  <c r="CP111" i="24"/>
  <c r="CF112" i="24"/>
  <c r="CN112" i="24"/>
  <c r="CV112" i="24"/>
  <c r="CF113" i="24"/>
  <c r="CN113" i="24"/>
  <c r="CV113" i="24"/>
  <c r="CD114" i="24"/>
  <c r="CT114" i="24"/>
  <c r="CC115" i="24"/>
  <c r="CK115" i="24"/>
  <c r="CS115" i="24"/>
  <c r="CB116" i="24"/>
  <c r="CJ116" i="24"/>
  <c r="CR116" i="24"/>
  <c r="CG117" i="24"/>
  <c r="CO117" i="24"/>
  <c r="CW117" i="24"/>
  <c r="CG118" i="24"/>
  <c r="CO118" i="24"/>
  <c r="CW118" i="24"/>
  <c r="CL119" i="24"/>
  <c r="CB120" i="24"/>
  <c r="CJ120" i="24"/>
  <c r="CA121" i="24"/>
  <c r="CI121" i="24"/>
  <c r="CQ121" i="24"/>
  <c r="CR122" i="24"/>
  <c r="CW123" i="24"/>
  <c r="CC124" i="24"/>
  <c r="CK124" i="24"/>
  <c r="CS124" i="24"/>
  <c r="CE125" i="24"/>
  <c r="CM125" i="24"/>
  <c r="CC126" i="24"/>
  <c r="CK126" i="24"/>
  <c r="CS126" i="24"/>
  <c r="CG127" i="24"/>
  <c r="CA128" i="24"/>
  <c r="CI128" i="24"/>
  <c r="CQ128" i="24"/>
  <c r="CJ128" i="24"/>
  <c r="CT129" i="24"/>
  <c r="CH130" i="24"/>
  <c r="CP130" i="24"/>
  <c r="CA131" i="24"/>
  <c r="CI131" i="24"/>
  <c r="CQ131" i="24"/>
  <c r="CC135" i="24"/>
  <c r="CK135" i="24"/>
  <c r="CS135" i="24"/>
  <c r="CA136" i="24"/>
  <c r="CI136" i="24"/>
  <c r="CQ136" i="24"/>
  <c r="CG137" i="24"/>
  <c r="CF141" i="24"/>
  <c r="CN141" i="24"/>
  <c r="CV141" i="24"/>
  <c r="CC142" i="24"/>
  <c r="CK142" i="24"/>
  <c r="CS142" i="24"/>
  <c r="CA144" i="24"/>
  <c r="CI144" i="24"/>
  <c r="CQ144" i="24"/>
  <c r="CG145" i="24"/>
  <c r="CO145" i="24"/>
  <c r="CE147" i="24"/>
  <c r="CM147" i="24"/>
  <c r="CU147" i="24"/>
  <c r="CD148" i="24"/>
  <c r="CL148" i="24"/>
  <c r="CT148" i="24"/>
  <c r="CD149" i="24"/>
  <c r="CL149" i="24"/>
  <c r="CT149" i="24"/>
  <c r="CU106" i="24"/>
  <c r="CA107" i="24"/>
  <c r="CI107" i="24"/>
  <c r="CQ107" i="24"/>
  <c r="CG108" i="24"/>
  <c r="CO108" i="24"/>
  <c r="CW108" i="24"/>
  <c r="CD109" i="24"/>
  <c r="CL109" i="24"/>
  <c r="CT109" i="24"/>
  <c r="CA111" i="24"/>
  <c r="CI111" i="24"/>
  <c r="CQ111" i="24"/>
  <c r="CG112" i="24"/>
  <c r="CO112" i="24"/>
  <c r="CW112" i="24"/>
  <c r="CG113" i="24"/>
  <c r="CO113" i="24"/>
  <c r="CW113" i="24"/>
  <c r="CE114" i="24"/>
  <c r="CM114" i="24"/>
  <c r="CU114" i="24"/>
  <c r="CD115" i="24"/>
  <c r="CL115" i="24"/>
  <c r="CC116" i="24"/>
  <c r="CK116" i="24"/>
  <c r="CS116" i="24"/>
  <c r="BZ117" i="24"/>
  <c r="CH117" i="24"/>
  <c r="CP117" i="24"/>
  <c r="BZ118" i="24"/>
  <c r="CH118" i="24"/>
  <c r="CP118" i="24"/>
  <c r="CC120" i="24"/>
  <c r="CK120" i="24"/>
  <c r="CS120" i="24"/>
  <c r="CR121" i="24"/>
  <c r="BZ123" i="24"/>
  <c r="CH123" i="24"/>
  <c r="CP123" i="24"/>
  <c r="CF125" i="24"/>
  <c r="CN125" i="24"/>
  <c r="CV125" i="24"/>
  <c r="CL126" i="24"/>
  <c r="CT126" i="24"/>
  <c r="BZ127" i="24"/>
  <c r="CP127" i="24"/>
  <c r="CR128" i="24"/>
  <c r="CE129" i="24"/>
  <c r="CM129" i="24"/>
  <c r="CA130" i="24"/>
  <c r="CI130" i="24"/>
  <c r="CQ130" i="24"/>
  <c r="CB131" i="24"/>
  <c r="CJ131" i="24"/>
  <c r="CF134" i="24"/>
  <c r="CN134" i="24"/>
  <c r="CV134" i="24"/>
  <c r="CD135" i="24"/>
  <c r="CL135" i="24"/>
  <c r="CT135" i="24"/>
  <c r="CC139" i="24"/>
  <c r="CK139" i="24"/>
  <c r="CS139" i="24"/>
  <c r="CA140" i="24"/>
  <c r="CI140" i="24"/>
  <c r="CQ140" i="24"/>
  <c r="CG141" i="24"/>
  <c r="CB151" i="24"/>
  <c r="CJ151" i="24"/>
  <c r="CR151" i="24"/>
  <c r="CF101" i="24"/>
  <c r="CN101" i="24"/>
  <c r="CC102" i="24"/>
  <c r="CK102" i="24"/>
  <c r="CS102" i="24"/>
  <c r="CE104" i="24"/>
  <c r="CM104" i="24"/>
  <c r="CU104" i="24"/>
  <c r="CC105" i="24"/>
  <c r="CK105" i="24"/>
  <c r="CS105" i="24"/>
  <c r="CB107" i="24"/>
  <c r="CJ107" i="24"/>
  <c r="CR107" i="24"/>
  <c r="BZ108" i="24"/>
  <c r="CH108" i="24"/>
  <c r="CP108" i="24"/>
  <c r="CE110" i="24"/>
  <c r="CM110" i="24"/>
  <c r="CU110" i="24"/>
  <c r="CB111" i="24"/>
  <c r="CJ111" i="24"/>
  <c r="CR111" i="24"/>
  <c r="BZ112" i="24"/>
  <c r="CH112" i="24"/>
  <c r="CP112" i="24"/>
  <c r="BZ113" i="24"/>
  <c r="CH113" i="24"/>
  <c r="CP113" i="24"/>
  <c r="CF114" i="24"/>
  <c r="CN114" i="24"/>
  <c r="CV114" i="24"/>
  <c r="CA117" i="24"/>
  <c r="CI117" i="24"/>
  <c r="CQ117" i="24"/>
  <c r="CA118" i="24"/>
  <c r="CI118" i="24"/>
  <c r="CQ118" i="24"/>
  <c r="CF119" i="24"/>
  <c r="CN119" i="24"/>
  <c r="CV119" i="24"/>
  <c r="CD120" i="24"/>
  <c r="CL120" i="24"/>
  <c r="CT120" i="24"/>
  <c r="CD122" i="24"/>
  <c r="CL122" i="24"/>
  <c r="CT122" i="24"/>
  <c r="CU124" i="24"/>
  <c r="CE126" i="24"/>
  <c r="CM126" i="24"/>
  <c r="CU126" i="24"/>
  <c r="CA127" i="24"/>
  <c r="CI127" i="24"/>
  <c r="CQ127" i="24"/>
  <c r="CR130" i="24"/>
  <c r="CA132" i="24"/>
  <c r="CI132" i="24"/>
  <c r="CQ132" i="24"/>
  <c r="CD132" i="24"/>
  <c r="CB133" i="24"/>
  <c r="CJ133" i="24"/>
  <c r="CR133" i="24"/>
  <c r="CG134" i="24"/>
  <c r="CM135" i="24"/>
  <c r="CF138" i="24"/>
  <c r="CN138" i="24"/>
  <c r="CV138" i="24"/>
  <c r="CD139" i="24"/>
  <c r="CL139" i="24"/>
  <c r="CM139" i="24"/>
  <c r="CT139" i="24"/>
  <c r="CD143" i="24"/>
  <c r="CL143" i="24"/>
  <c r="CT143" i="24"/>
  <c r="CG146" i="24"/>
  <c r="CO146" i="24"/>
  <c r="CW146" i="24"/>
  <c r="CE150" i="24"/>
  <c r="CM150" i="24"/>
  <c r="CU150" i="24"/>
  <c r="CS160" i="24"/>
  <c r="CT160" i="24"/>
  <c r="CT113" i="24"/>
  <c r="CG124" i="24"/>
  <c r="CL127" i="24"/>
  <c r="CE128" i="24"/>
  <c r="CM128" i="24"/>
  <c r="CU128" i="24"/>
  <c r="CT128" i="24"/>
  <c r="CD130" i="24"/>
  <c r="CL130" i="24"/>
  <c r="CK130" i="24"/>
  <c r="CE131" i="24"/>
  <c r="CM131" i="24"/>
  <c r="CL131" i="24"/>
  <c r="CD160" i="24"/>
  <c r="BZ161" i="24"/>
  <c r="BZ167" i="24"/>
  <c r="BZ173" i="24"/>
  <c r="CV174" i="24"/>
  <c r="CS177" i="24"/>
  <c r="CK183" i="24"/>
  <c r="CE190" i="24"/>
  <c r="CT190" i="24"/>
  <c r="CB212" i="24"/>
  <c r="CR212" i="24"/>
  <c r="CS183" i="24"/>
  <c r="BZ134" i="24"/>
  <c r="CH134" i="24"/>
  <c r="CP134" i="24"/>
  <c r="CU135" i="24"/>
  <c r="CB136" i="24"/>
  <c r="CJ136" i="24"/>
  <c r="CR136" i="24"/>
  <c r="CD138" i="24"/>
  <c r="CL138" i="24"/>
  <c r="CT138" i="24"/>
  <c r="CA139" i="24"/>
  <c r="CI139" i="24"/>
  <c r="CQ139" i="24"/>
  <c r="CD141" i="24"/>
  <c r="CL141" i="24"/>
  <c r="CT141" i="24"/>
  <c r="BZ142" i="24"/>
  <c r="CH142" i="24"/>
  <c r="CP142" i="24"/>
  <c r="CU143" i="24"/>
  <c r="CB144" i="24"/>
  <c r="CJ144" i="24"/>
  <c r="CR144" i="24"/>
  <c r="CD146" i="24"/>
  <c r="CL146" i="24"/>
  <c r="CT146" i="24"/>
  <c r="CB147" i="24"/>
  <c r="CJ147" i="24"/>
  <c r="CR147" i="24"/>
  <c r="CA148" i="24"/>
  <c r="CI148" i="24"/>
  <c r="CQ148" i="24"/>
  <c r="CA149" i="24"/>
  <c r="CI149" i="24"/>
  <c r="CQ149" i="24"/>
  <c r="CF150" i="24"/>
  <c r="CN150" i="24"/>
  <c r="CV150" i="24"/>
  <c r="CC151" i="24"/>
  <c r="CK151" i="24"/>
  <c r="CS151" i="24"/>
  <c r="CA152" i="24"/>
  <c r="CI152" i="24"/>
  <c r="CQ152" i="24"/>
  <c r="CO153" i="24"/>
  <c r="CE154" i="24"/>
  <c r="CM154" i="24"/>
  <c r="CU154" i="24"/>
  <c r="CE155" i="24"/>
  <c r="CM155" i="24"/>
  <c r="CU155" i="24"/>
  <c r="CD156" i="24"/>
  <c r="CL156" i="24"/>
  <c r="CT156" i="24"/>
  <c r="CA157" i="24"/>
  <c r="CI157" i="24"/>
  <c r="CQ157" i="24"/>
  <c r="CA158" i="24"/>
  <c r="CI158" i="24"/>
  <c r="CQ158" i="24"/>
  <c r="CF159" i="24"/>
  <c r="CN159" i="24"/>
  <c r="CV159" i="24"/>
  <c r="CL160" i="24"/>
  <c r="CB161" i="24"/>
  <c r="CJ161" i="24"/>
  <c r="CR161" i="24"/>
  <c r="BZ162" i="24"/>
  <c r="CH162" i="24"/>
  <c r="CP162" i="24"/>
  <c r="CL162" i="24"/>
  <c r="CF163" i="24"/>
  <c r="CN163" i="24"/>
  <c r="CV163" i="24"/>
  <c r="CD165" i="24"/>
  <c r="CL165" i="24"/>
  <c r="CL166" i="24"/>
  <c r="CT166" i="24"/>
  <c r="CB167" i="24"/>
  <c r="CJ167" i="24"/>
  <c r="CR167" i="24"/>
  <c r="CA168" i="24"/>
  <c r="CI168" i="24"/>
  <c r="CQ168" i="24"/>
  <c r="BZ169" i="24"/>
  <c r="CH169" i="24"/>
  <c r="CP169" i="24"/>
  <c r="CS170" i="24"/>
  <c r="CA171" i="24"/>
  <c r="CI171" i="24"/>
  <c r="CQ171" i="24"/>
  <c r="CE172" i="24"/>
  <c r="CM172" i="24"/>
  <c r="CU172" i="24"/>
  <c r="CB173" i="24"/>
  <c r="CJ173" i="24"/>
  <c r="CR173" i="24"/>
  <c r="CA175" i="24"/>
  <c r="CI175" i="24"/>
  <c r="CQ175" i="24"/>
  <c r="BZ176" i="24"/>
  <c r="CH176" i="24"/>
  <c r="CP176" i="24"/>
  <c r="CC176" i="24"/>
  <c r="CK177" i="24"/>
  <c r="CA178" i="24"/>
  <c r="CI178" i="24"/>
  <c r="CQ178" i="24"/>
  <c r="BZ179" i="24"/>
  <c r="CH179" i="24"/>
  <c r="CP179" i="24"/>
  <c r="CE180" i="24"/>
  <c r="CM180" i="24"/>
  <c r="CU180" i="24"/>
  <c r="CC181" i="24"/>
  <c r="CK181" i="24"/>
  <c r="CS181" i="24"/>
  <c r="CC182" i="24"/>
  <c r="CK182" i="24"/>
  <c r="CS182" i="24"/>
  <c r="CH184" i="24"/>
  <c r="CP184" i="24"/>
  <c r="BZ185" i="24"/>
  <c r="CH185" i="24"/>
  <c r="CP185" i="24"/>
  <c r="CG186" i="24"/>
  <c r="CO186" i="24"/>
  <c r="CW186" i="24"/>
  <c r="CC187" i="24"/>
  <c r="CK187" i="24"/>
  <c r="CS187" i="24"/>
  <c r="CA188" i="24"/>
  <c r="CI188" i="24"/>
  <c r="CQ188" i="24"/>
  <c r="CG189" i="24"/>
  <c r="CO189" i="24"/>
  <c r="CW189" i="24"/>
  <c r="CF190" i="24"/>
  <c r="CN190" i="24"/>
  <c r="CV190" i="24"/>
  <c r="CG191" i="24"/>
  <c r="CO191" i="24"/>
  <c r="CW191" i="24"/>
  <c r="BZ192" i="24"/>
  <c r="CP192" i="24"/>
  <c r="CG192" i="24"/>
  <c r="CL193" i="24"/>
  <c r="CM193" i="24"/>
  <c r="CT193" i="24"/>
  <c r="CK194" i="24"/>
  <c r="CD207" i="24"/>
  <c r="CT218" i="24"/>
  <c r="BZ153" i="24"/>
  <c r="CT162" i="24"/>
  <c r="CV165" i="24"/>
  <c r="CV173" i="24"/>
  <c r="AI186" i="19"/>
  <c r="BZ189" i="24"/>
  <c r="BZ191" i="24"/>
  <c r="CB191" i="24"/>
  <c r="CE195" i="24"/>
  <c r="CM195" i="24"/>
  <c r="BZ159" i="24"/>
  <c r="BZ163" i="24"/>
  <c r="CD168" i="24"/>
  <c r="CT168" i="24"/>
  <c r="BZ186" i="24"/>
  <c r="AI187" i="19"/>
  <c r="CD152" i="24"/>
  <c r="CL152" i="24"/>
  <c r="CT152" i="24"/>
  <c r="CB153" i="24"/>
  <c r="CJ153" i="24"/>
  <c r="CR153" i="24"/>
  <c r="CP156" i="24"/>
  <c r="CF174" i="24"/>
  <c r="BZ180" i="24"/>
  <c r="CR131" i="24"/>
  <c r="CG132" i="24"/>
  <c r="CO132" i="24"/>
  <c r="CW132" i="24"/>
  <c r="CD134" i="24"/>
  <c r="CL134" i="24"/>
  <c r="CT134" i="24"/>
  <c r="CA135" i="24"/>
  <c r="CI135" i="24"/>
  <c r="CQ135" i="24"/>
  <c r="CD137" i="24"/>
  <c r="CL137" i="24"/>
  <c r="CT137" i="24"/>
  <c r="BZ138" i="24"/>
  <c r="CH138" i="24"/>
  <c r="CP138" i="24"/>
  <c r="CU139" i="24"/>
  <c r="CB140" i="24"/>
  <c r="CJ140" i="24"/>
  <c r="CR140" i="24"/>
  <c r="CD142" i="24"/>
  <c r="CL142" i="24"/>
  <c r="CT142" i="24"/>
  <c r="CA143" i="24"/>
  <c r="CI143" i="24"/>
  <c r="CQ143" i="24"/>
  <c r="CD145" i="24"/>
  <c r="CL145" i="24"/>
  <c r="CT145" i="24"/>
  <c r="BZ146" i="24"/>
  <c r="CH146" i="24"/>
  <c r="CP146" i="24"/>
  <c r="CF147" i="24"/>
  <c r="CN147" i="24"/>
  <c r="CV147" i="24"/>
  <c r="CE148" i="24"/>
  <c r="CM148" i="24"/>
  <c r="CU148" i="24"/>
  <c r="CE149" i="24"/>
  <c r="CM149" i="24"/>
  <c r="CU149" i="24"/>
  <c r="CB150" i="24"/>
  <c r="CJ150" i="24"/>
  <c r="CR150" i="24"/>
  <c r="CO151" i="24"/>
  <c r="CE152" i="24"/>
  <c r="CM152" i="24"/>
  <c r="CU152" i="24"/>
  <c r="CC153" i="24"/>
  <c r="CK153" i="24"/>
  <c r="CS153" i="24"/>
  <c r="CA154" i="24"/>
  <c r="CI154" i="24"/>
  <c r="CQ154" i="24"/>
  <c r="CA155" i="24"/>
  <c r="CI155" i="24"/>
  <c r="CQ155" i="24"/>
  <c r="CE158" i="24"/>
  <c r="CM158" i="24"/>
  <c r="CU158" i="24"/>
  <c r="CB159" i="24"/>
  <c r="CJ159" i="24"/>
  <c r="CR159" i="24"/>
  <c r="BZ160" i="24"/>
  <c r="CH160" i="24"/>
  <c r="CP160" i="24"/>
  <c r="CF161" i="24"/>
  <c r="CN161" i="24"/>
  <c r="CV161" i="24"/>
  <c r="CD162" i="24"/>
  <c r="CB163" i="24"/>
  <c r="CJ163" i="24"/>
  <c r="CR163" i="24"/>
  <c r="CA164" i="24"/>
  <c r="CI164" i="24"/>
  <c r="CQ164" i="24"/>
  <c r="BZ165" i="24"/>
  <c r="CH165" i="24"/>
  <c r="CP165" i="24"/>
  <c r="CH166" i="24"/>
  <c r="CP166" i="24"/>
  <c r="CF167" i="24"/>
  <c r="CN167" i="24"/>
  <c r="CV167" i="24"/>
  <c r="CE168" i="24"/>
  <c r="CM168" i="24"/>
  <c r="CU168" i="24"/>
  <c r="CD169" i="24"/>
  <c r="CL169" i="24"/>
  <c r="CT169" i="24"/>
  <c r="CG170" i="24"/>
  <c r="CO170" i="24"/>
  <c r="CW170" i="24"/>
  <c r="CE171" i="24"/>
  <c r="CM171" i="24"/>
  <c r="CU171" i="24"/>
  <c r="CA172" i="24"/>
  <c r="CI172" i="24"/>
  <c r="CQ172" i="24"/>
  <c r="CF173" i="24"/>
  <c r="CN173" i="24"/>
  <c r="CB174" i="24"/>
  <c r="CJ174" i="24"/>
  <c r="CR174" i="24"/>
  <c r="CL176" i="24"/>
  <c r="CG177" i="24"/>
  <c r="CO177" i="24"/>
  <c r="CW177" i="24"/>
  <c r="CE178" i="24"/>
  <c r="CM178" i="24"/>
  <c r="CU178" i="24"/>
  <c r="CD179" i="24"/>
  <c r="CL179" i="24"/>
  <c r="CT179" i="24"/>
  <c r="CA180" i="24"/>
  <c r="CI180" i="24"/>
  <c r="CQ180" i="24"/>
  <c r="CG181" i="24"/>
  <c r="CO181" i="24"/>
  <c r="CW181" i="24"/>
  <c r="CG182" i="24"/>
  <c r="CO182" i="24"/>
  <c r="CW182" i="24"/>
  <c r="CG183" i="24"/>
  <c r="CO183" i="24"/>
  <c r="CW183" i="24"/>
  <c r="CB186" i="24"/>
  <c r="CJ186" i="24"/>
  <c r="CR186" i="24"/>
  <c r="CG187" i="24"/>
  <c r="CO187" i="24"/>
  <c r="CW187" i="24"/>
  <c r="CE188" i="24"/>
  <c r="CM188" i="24"/>
  <c r="CU188" i="24"/>
  <c r="CC189" i="24"/>
  <c r="CK189" i="24"/>
  <c r="CS189" i="24"/>
  <c r="CJ190" i="24"/>
  <c r="CR190" i="24"/>
  <c r="CL191" i="24"/>
  <c r="CD192" i="24"/>
  <c r="CL192" i="24"/>
  <c r="CT192" i="24"/>
  <c r="BZ193" i="24"/>
  <c r="CG193" i="24"/>
  <c r="CT194" i="24"/>
  <c r="CE208" i="24"/>
  <c r="CU216" i="24"/>
  <c r="CL218" i="24"/>
  <c r="BZ151" i="24"/>
  <c r="BZ170" i="24"/>
  <c r="CK170" i="24"/>
  <c r="BZ177" i="24"/>
  <c r="CC177" i="24"/>
  <c r="BZ181" i="24"/>
  <c r="CC183" i="24"/>
  <c r="CD186" i="24"/>
  <c r="CL186" i="24"/>
  <c r="CT186" i="24"/>
  <c r="BZ195" i="24"/>
  <c r="BZ199" i="24"/>
  <c r="CJ200" i="24"/>
  <c r="AI199" i="19"/>
  <c r="CJ203" i="24"/>
  <c r="CF208" i="24"/>
  <c r="CN208" i="24"/>
  <c r="CV208" i="24"/>
  <c r="CE211" i="24"/>
  <c r="CM211" i="24"/>
  <c r="CD214" i="24"/>
  <c r="CL214" i="24"/>
  <c r="CT214" i="24"/>
  <c r="CB215" i="24"/>
  <c r="CJ215" i="24"/>
  <c r="CR215" i="24"/>
  <c r="CF216" i="24"/>
  <c r="CN216" i="24"/>
  <c r="CV216" i="24"/>
  <c r="CE218" i="24"/>
  <c r="CM218" i="24"/>
  <c r="CU218" i="24"/>
  <c r="CA219" i="24"/>
  <c r="CI219" i="24"/>
  <c r="CQ219" i="24"/>
  <c r="CG220" i="24"/>
  <c r="CO220" i="24"/>
  <c r="CW220" i="24"/>
  <c r="CF221" i="24"/>
  <c r="CN221" i="24"/>
  <c r="CV221" i="24"/>
  <c r="CE222" i="24"/>
  <c r="CM222" i="24"/>
  <c r="CU222" i="24"/>
  <c r="CC223" i="24"/>
  <c r="CK223" i="24"/>
  <c r="CS223" i="24"/>
  <c r="CH224" i="24"/>
  <c r="CP224" i="24"/>
  <c r="BZ225" i="24"/>
  <c r="CH225" i="24"/>
  <c r="CP225" i="24"/>
  <c r="CC227" i="24"/>
  <c r="CK227" i="24"/>
  <c r="CS227" i="24"/>
  <c r="CL227" i="24"/>
  <c r="CL228" i="24"/>
  <c r="CU231" i="24"/>
  <c r="CB193" i="24"/>
  <c r="CJ193" i="24"/>
  <c r="CR193" i="24"/>
  <c r="CF195" i="24"/>
  <c r="CN195" i="24"/>
  <c r="CV195" i="24"/>
  <c r="BZ197" i="24"/>
  <c r="CG197" i="24"/>
  <c r="CJ198" i="24"/>
  <c r="CR198" i="24"/>
  <c r="CL198" i="24"/>
  <c r="CE201" i="24"/>
  <c r="CU201" i="24"/>
  <c r="CK202" i="24"/>
  <c r="CR203" i="24"/>
  <c r="CL203" i="24"/>
  <c r="CC205" i="24"/>
  <c r="CK205" i="24"/>
  <c r="CS205" i="24"/>
  <c r="CP208" i="24"/>
  <c r="CG209" i="24"/>
  <c r="CO209" i="24"/>
  <c r="CW209" i="24"/>
  <c r="CF210" i="24"/>
  <c r="CN210" i="24"/>
  <c r="CV210" i="24"/>
  <c r="CD212" i="24"/>
  <c r="CL212" i="24"/>
  <c r="CT212" i="24"/>
  <c r="CG213" i="24"/>
  <c r="CU214" i="24"/>
  <c r="CC215" i="24"/>
  <c r="CK215" i="24"/>
  <c r="CS215" i="24"/>
  <c r="BZ217" i="24"/>
  <c r="CF218" i="24"/>
  <c r="CN218" i="24"/>
  <c r="CV218" i="24"/>
  <c r="CB219" i="24"/>
  <c r="CJ219" i="24"/>
  <c r="CR219" i="24"/>
  <c r="BZ220" i="24"/>
  <c r="CH220" i="24"/>
  <c r="CP220" i="24"/>
  <c r="CG221" i="24"/>
  <c r="CO221" i="24"/>
  <c r="CW221" i="24"/>
  <c r="CF222" i="24"/>
  <c r="CN222" i="24"/>
  <c r="CV222" i="24"/>
  <c r="CA224" i="24"/>
  <c r="CI224" i="24"/>
  <c r="CQ224" i="24"/>
  <c r="CA225" i="24"/>
  <c r="CI225" i="24"/>
  <c r="CQ225" i="24"/>
  <c r="CH226" i="24"/>
  <c r="CW226" i="24"/>
  <c r="CM230" i="24"/>
  <c r="CL230" i="24"/>
  <c r="CU230" i="24"/>
  <c r="CL199" i="24"/>
  <c r="CR200" i="24"/>
  <c r="BZ208" i="24"/>
  <c r="CG216" i="24"/>
  <c r="BZ221" i="24"/>
  <c r="BZ226" i="24"/>
  <c r="CP195" i="24"/>
  <c r="BZ196" i="24"/>
  <c r="CR197" i="24"/>
  <c r="CT198" i="24"/>
  <c r="CS199" i="24"/>
  <c r="CT203" i="24"/>
  <c r="BZ204" i="24"/>
  <c r="CH204" i="24"/>
  <c r="CP204" i="24"/>
  <c r="BZ207" i="24"/>
  <c r="CA208" i="24"/>
  <c r="CI208" i="24"/>
  <c r="CQ208" i="24"/>
  <c r="CA209" i="24"/>
  <c r="CI209" i="24"/>
  <c r="CQ209" i="24"/>
  <c r="CH210" i="24"/>
  <c r="CP210" i="24"/>
  <c r="BZ211" i="24"/>
  <c r="CF212" i="24"/>
  <c r="CN212" i="24"/>
  <c r="CV212" i="24"/>
  <c r="CA213" i="24"/>
  <c r="CI213" i="24"/>
  <c r="CQ213" i="24"/>
  <c r="CG214" i="24"/>
  <c r="CO214" i="24"/>
  <c r="CW214" i="24"/>
  <c r="CA216" i="24"/>
  <c r="CI216" i="24"/>
  <c r="CQ216" i="24"/>
  <c r="CO216" i="24"/>
  <c r="BZ218" i="24"/>
  <c r="CH218" i="24"/>
  <c r="CP218" i="24"/>
  <c r="CL219" i="24"/>
  <c r="CB220" i="24"/>
  <c r="CJ220" i="24"/>
  <c r="CR220" i="24"/>
  <c r="CA221" i="24"/>
  <c r="CI221" i="24"/>
  <c r="CQ221" i="24"/>
  <c r="CH222" i="24"/>
  <c r="CP222" i="24"/>
  <c r="CF223" i="24"/>
  <c r="CN223" i="24"/>
  <c r="CV223" i="24"/>
  <c r="CC224" i="24"/>
  <c r="CK224" i="24"/>
  <c r="CS224" i="24"/>
  <c r="CC225" i="24"/>
  <c r="CK225" i="24"/>
  <c r="CS225" i="24"/>
  <c r="CA226" i="24"/>
  <c r="CI226" i="24"/>
  <c r="CQ226" i="24"/>
  <c r="CG228" i="24"/>
  <c r="CF230" i="24"/>
  <c r="CN230" i="24"/>
  <c r="CV230" i="24"/>
  <c r="CR191" i="24"/>
  <c r="CC192" i="24"/>
  <c r="CK192" i="24"/>
  <c r="CE193" i="24"/>
  <c r="CU193" i="24"/>
  <c r="AI191" i="19"/>
  <c r="BZ194" i="24"/>
  <c r="CH194" i="24"/>
  <c r="CP194" i="24"/>
  <c r="CA195" i="24"/>
  <c r="CI195" i="24"/>
  <c r="CQ195" i="24"/>
  <c r="CG196" i="24"/>
  <c r="CD197" i="24"/>
  <c r="CO197" i="24"/>
  <c r="CF199" i="24"/>
  <c r="CN199" i="24"/>
  <c r="CV199" i="24"/>
  <c r="BZ201" i="24"/>
  <c r="CH201" i="24"/>
  <c r="CE202" i="24"/>
  <c r="CT202" i="24"/>
  <c r="CE203" i="24"/>
  <c r="CU203" i="24"/>
  <c r="CF205" i="24"/>
  <c r="CN205" i="24"/>
  <c r="CV205" i="24"/>
  <c r="CB209" i="24"/>
  <c r="CR209" i="24"/>
  <c r="CA210" i="24"/>
  <c r="CI210" i="24"/>
  <c r="CQ210" i="24"/>
  <c r="CA211" i="24"/>
  <c r="CI211" i="24"/>
  <c r="CQ211" i="24"/>
  <c r="CG212" i="24"/>
  <c r="CO212" i="24"/>
  <c r="CW212" i="24"/>
  <c r="CB213" i="24"/>
  <c r="CJ213" i="24"/>
  <c r="CR213" i="24"/>
  <c r="BZ214" i="24"/>
  <c r="CB216" i="24"/>
  <c r="CJ216" i="24"/>
  <c r="CR216" i="24"/>
  <c r="CF217" i="24"/>
  <c r="CN217" i="24"/>
  <c r="CV217" i="24"/>
  <c r="CA218" i="24"/>
  <c r="CI218" i="24"/>
  <c r="CQ218" i="24"/>
  <c r="CE219" i="24"/>
  <c r="CM219" i="24"/>
  <c r="CU219" i="24"/>
  <c r="CB221" i="24"/>
  <c r="CJ221" i="24"/>
  <c r="CR221" i="24"/>
  <c r="CA222" i="24"/>
  <c r="CI222" i="24"/>
  <c r="CQ222" i="24"/>
  <c r="CG223" i="24"/>
  <c r="CO223" i="24"/>
  <c r="CW223" i="24"/>
  <c r="CD224" i="24"/>
  <c r="CL224" i="24"/>
  <c r="CT224" i="24"/>
  <c r="CD225" i="24"/>
  <c r="CB226" i="24"/>
  <c r="CJ226" i="24"/>
  <c r="CR226" i="24"/>
  <c r="CO227" i="24"/>
  <c r="CD228" i="24"/>
  <c r="CC229" i="24"/>
  <c r="CK229" i="24"/>
  <c r="CS229" i="24"/>
  <c r="CG230" i="24"/>
  <c r="CW230" i="24"/>
  <c r="CC195" i="24"/>
  <c r="CC196" i="24"/>
  <c r="CK196" i="24"/>
  <c r="CJ196" i="24"/>
  <c r="CH200" i="24"/>
  <c r="CM201" i="24"/>
  <c r="CH206" i="24"/>
  <c r="CM214" i="24"/>
  <c r="CW216" i="24"/>
  <c r="BZ223" i="24"/>
  <c r="CD223" i="24"/>
  <c r="CD196" i="24"/>
  <c r="CL196" i="24"/>
  <c r="CT196" i="24"/>
  <c r="AI195" i="19"/>
  <c r="BZ198" i="24"/>
  <c r="CH198" i="24"/>
  <c r="CP198" i="24"/>
  <c r="CA199" i="24"/>
  <c r="CI199" i="24"/>
  <c r="CQ199" i="24"/>
  <c r="CD201" i="24"/>
  <c r="CG202" i="24"/>
  <c r="BZ203" i="24"/>
  <c r="CH203" i="24"/>
  <c r="CP203" i="24"/>
  <c r="CB203" i="24"/>
  <c r="CT204" i="24"/>
  <c r="CA206" i="24"/>
  <c r="CI206" i="24"/>
  <c r="CQ206" i="24"/>
  <c r="CL207" i="24"/>
  <c r="CT207" i="24"/>
  <c r="CM208" i="24"/>
  <c r="CU208" i="24"/>
  <c r="CO208" i="24"/>
  <c r="CE209" i="24"/>
  <c r="CM209" i="24"/>
  <c r="CU209" i="24"/>
  <c r="CD210" i="24"/>
  <c r="CL210" i="24"/>
  <c r="CT210" i="24"/>
  <c r="CD211" i="24"/>
  <c r="CL211" i="24"/>
  <c r="CT211" i="24"/>
  <c r="CJ212" i="24"/>
  <c r="CE213" i="24"/>
  <c r="CM213" i="24"/>
  <c r="CU213" i="24"/>
  <c r="CC214" i="24"/>
  <c r="CK214" i="24"/>
  <c r="CS214" i="24"/>
  <c r="CA215" i="24"/>
  <c r="CI215" i="24"/>
  <c r="CQ215" i="24"/>
  <c r="CE216" i="24"/>
  <c r="CM216" i="24"/>
  <c r="CD218" i="24"/>
  <c r="BZ219" i="24"/>
  <c r="CH219" i="24"/>
  <c r="CP219" i="24"/>
  <c r="CF220" i="24"/>
  <c r="CN220" i="24"/>
  <c r="CV220" i="24"/>
  <c r="CE221" i="24"/>
  <c r="CM221" i="24"/>
  <c r="CU221" i="24"/>
  <c r="CL222" i="24"/>
  <c r="CB223" i="24"/>
  <c r="CJ223" i="24"/>
  <c r="CR223" i="24"/>
  <c r="CT223" i="24"/>
  <c r="CG224" i="24"/>
  <c r="CO224" i="24"/>
  <c r="CW224" i="24"/>
  <c r="CG225" i="24"/>
  <c r="CO225" i="24"/>
  <c r="CW225" i="24"/>
  <c r="CB227" i="24"/>
  <c r="CJ227" i="24"/>
  <c r="CR227" i="24"/>
  <c r="CC228" i="24"/>
  <c r="CK228" i="24"/>
  <c r="CS228" i="24"/>
  <c r="CT228" i="24"/>
  <c r="CA231" i="24"/>
  <c r="CI231" i="24"/>
  <c r="CE232" i="24"/>
  <c r="CO230" i="24"/>
  <c r="CC231" i="24"/>
  <c r="CK231" i="24"/>
  <c r="CS231" i="24"/>
  <c r="CB233" i="24"/>
  <c r="CJ233" i="24"/>
  <c r="CR233" i="24"/>
  <c r="CA234" i="24"/>
  <c r="CI234" i="24"/>
  <c r="CQ234" i="24"/>
  <c r="CF236" i="24"/>
  <c r="CN236" i="24"/>
  <c r="CV236" i="24"/>
  <c r="CF237" i="24"/>
  <c r="CN237" i="24"/>
  <c r="CV237" i="24"/>
  <c r="CE238" i="24"/>
  <c r="CU238" i="24"/>
  <c r="CB239" i="24"/>
  <c r="CJ239" i="24"/>
  <c r="CR239" i="24"/>
  <c r="CB240" i="24"/>
  <c r="CJ240" i="24"/>
  <c r="CR240" i="24"/>
  <c r="CB241" i="24"/>
  <c r="CJ241" i="24"/>
  <c r="CR241" i="24"/>
  <c r="CA242" i="24"/>
  <c r="CI242" i="24"/>
  <c r="CQ242" i="24"/>
  <c r="CE243" i="24"/>
  <c r="CT243" i="24"/>
  <c r="CE244" i="24"/>
  <c r="CL244" i="24"/>
  <c r="CN245" i="24"/>
  <c r="CV245" i="24"/>
  <c r="BZ246" i="24"/>
  <c r="CI246" i="24"/>
  <c r="CQ246" i="24"/>
  <c r="CE247" i="24"/>
  <c r="CT247" i="24"/>
  <c r="CH249" i="24"/>
  <c r="CC250" i="24"/>
  <c r="CA251" i="24"/>
  <c r="CF252" i="24"/>
  <c r="CN252" i="24"/>
  <c r="CV252" i="24"/>
  <c r="CG254" i="24"/>
  <c r="CO254" i="24"/>
  <c r="CW254" i="24"/>
  <c r="CB256" i="24"/>
  <c r="CJ256" i="24"/>
  <c r="CR256" i="24"/>
  <c r="CG257" i="24"/>
  <c r="CO257" i="24"/>
  <c r="CW257" i="24"/>
  <c r="CF258" i="24"/>
  <c r="CN258" i="24"/>
  <c r="CV258" i="24"/>
  <c r="CS251" i="24"/>
  <c r="BZ257" i="24"/>
  <c r="CA230" i="24"/>
  <c r="CI230" i="24"/>
  <c r="CQ230" i="24"/>
  <c r="CE231" i="24"/>
  <c r="CM231" i="24"/>
  <c r="CG232" i="24"/>
  <c r="CO232" i="24"/>
  <c r="CW232" i="24"/>
  <c r="CL233" i="24"/>
  <c r="CT233" i="24"/>
  <c r="CC234" i="24"/>
  <c r="CK234" i="24"/>
  <c r="CS234" i="24"/>
  <c r="BZ235" i="24"/>
  <c r="CH235" i="24"/>
  <c r="CP235" i="24"/>
  <c r="BZ236" i="24"/>
  <c r="CH236" i="24"/>
  <c r="CP236" i="24"/>
  <c r="BZ237" i="24"/>
  <c r="CH237" i="24"/>
  <c r="CP237" i="24"/>
  <c r="CG238" i="24"/>
  <c r="CO238" i="24"/>
  <c r="CW238" i="24"/>
  <c r="CL239" i="24"/>
  <c r="CT239" i="24"/>
  <c r="CT240" i="24"/>
  <c r="CL241" i="24"/>
  <c r="CT241" i="24"/>
  <c r="CC242" i="24"/>
  <c r="CF243" i="24"/>
  <c r="CN243" i="24"/>
  <c r="CF244" i="24"/>
  <c r="CN244" i="24"/>
  <c r="CV244" i="24"/>
  <c r="CP245" i="24"/>
  <c r="CB246" i="24"/>
  <c r="CJ246" i="24"/>
  <c r="CR246" i="24"/>
  <c r="CF247" i="24"/>
  <c r="CN247" i="24"/>
  <c r="CV247" i="24"/>
  <c r="CB249" i="24"/>
  <c r="CJ249" i="24"/>
  <c r="CR249" i="24"/>
  <c r="CK249" i="24"/>
  <c r="CE250" i="24"/>
  <c r="CM250" i="24"/>
  <c r="CU250" i="24"/>
  <c r="CK251" i="24"/>
  <c r="BZ252" i="24"/>
  <c r="CE253" i="24"/>
  <c r="CM253" i="24"/>
  <c r="CU253" i="24"/>
  <c r="CA254" i="24"/>
  <c r="CQ254" i="24"/>
  <c r="CF255" i="24"/>
  <c r="CN255" i="24"/>
  <c r="CV255" i="24"/>
  <c r="CA257" i="24"/>
  <c r="CI257" i="24"/>
  <c r="CQ257" i="24"/>
  <c r="CH258" i="24"/>
  <c r="CP258" i="24"/>
  <c r="BZ262" i="24"/>
  <c r="CH229" i="24"/>
  <c r="CP229" i="24"/>
  <c r="CB230" i="24"/>
  <c r="CJ230" i="24"/>
  <c r="CR230" i="24"/>
  <c r="CE233" i="24"/>
  <c r="CM233" i="24"/>
  <c r="CU233" i="24"/>
  <c r="CT234" i="24"/>
  <c r="CA235" i="24"/>
  <c r="CI235" i="24"/>
  <c r="CQ235" i="24"/>
  <c r="CA236" i="24"/>
  <c r="CI236" i="24"/>
  <c r="CQ236" i="24"/>
  <c r="CA237" i="24"/>
  <c r="CI237" i="24"/>
  <c r="CQ237" i="24"/>
  <c r="BZ238" i="24"/>
  <c r="CH238" i="24"/>
  <c r="CP238" i="24"/>
  <c r="CU240" i="24"/>
  <c r="CE241" i="24"/>
  <c r="CM241" i="24"/>
  <c r="CU241" i="24"/>
  <c r="CL242" i="24"/>
  <c r="CT242" i="24"/>
  <c r="CG244" i="24"/>
  <c r="CO244" i="24"/>
  <c r="CW244" i="24"/>
  <c r="CA245" i="24"/>
  <c r="CI245" i="24"/>
  <c r="CC246" i="24"/>
  <c r="CK246" i="24"/>
  <c r="CS246" i="24"/>
  <c r="CP246" i="24"/>
  <c r="CG248" i="24"/>
  <c r="CO248" i="24"/>
  <c r="CW248" i="24"/>
  <c r="CF250" i="24"/>
  <c r="CN250" i="24"/>
  <c r="CV250" i="24"/>
  <c r="CD251" i="24"/>
  <c r="CL251" i="24"/>
  <c r="CT251" i="24"/>
  <c r="CA252" i="24"/>
  <c r="CI252" i="24"/>
  <c r="CF253" i="24"/>
  <c r="CN253" i="24"/>
  <c r="CV253" i="24"/>
  <c r="CG255" i="24"/>
  <c r="CO255" i="24"/>
  <c r="CW255" i="24"/>
  <c r="CE256" i="24"/>
  <c r="CM256" i="24"/>
  <c r="CU256" i="24"/>
  <c r="CB257" i="24"/>
  <c r="CJ257" i="24"/>
  <c r="CR257" i="24"/>
  <c r="CA258" i="24"/>
  <c r="CI258" i="24"/>
  <c r="CQ258" i="24"/>
  <c r="CM262" i="24"/>
  <c r="CO263" i="24"/>
  <c r="BZ265" i="24"/>
  <c r="CN228" i="24"/>
  <c r="CV228" i="24"/>
  <c r="CI229" i="24"/>
  <c r="CQ229" i="24"/>
  <c r="CC230" i="24"/>
  <c r="CK230" i="24"/>
  <c r="CS230" i="24"/>
  <c r="CO231" i="24"/>
  <c r="CA232" i="24"/>
  <c r="CI232" i="24"/>
  <c r="CQ232" i="24"/>
  <c r="CT232" i="24"/>
  <c r="CF233" i="24"/>
  <c r="CN233" i="24"/>
  <c r="CV233" i="24"/>
  <c r="CE234" i="24"/>
  <c r="CU234" i="24"/>
  <c r="CB235" i="24"/>
  <c r="CJ235" i="24"/>
  <c r="CR235" i="24"/>
  <c r="CB236" i="24"/>
  <c r="CJ236" i="24"/>
  <c r="CR236" i="24"/>
  <c r="CB237" i="24"/>
  <c r="CJ237" i="24"/>
  <c r="CR237" i="24"/>
  <c r="CA238" i="24"/>
  <c r="CI238" i="24"/>
  <c r="CQ238" i="24"/>
  <c r="CL238" i="24"/>
  <c r="CF240" i="24"/>
  <c r="CN240" i="24"/>
  <c r="CV240" i="24"/>
  <c r="CF241" i="24"/>
  <c r="CN241" i="24"/>
  <c r="CV241" i="24"/>
  <c r="CE242" i="24"/>
  <c r="CM242" i="24"/>
  <c r="CU242" i="24"/>
  <c r="BZ243" i="24"/>
  <c r="AI241" i="19"/>
  <c r="BZ244" i="24"/>
  <c r="CH244" i="24"/>
  <c r="CP244" i="24"/>
  <c r="CB245" i="24"/>
  <c r="CJ245" i="24"/>
  <c r="CR245" i="24"/>
  <c r="BZ247" i="24"/>
  <c r="AI245" i="19"/>
  <c r="CD249" i="24"/>
  <c r="CL249" i="24"/>
  <c r="CT249" i="24"/>
  <c r="CG250" i="24"/>
  <c r="CO250" i="24"/>
  <c r="CW250" i="24"/>
  <c r="CE251" i="24"/>
  <c r="CM251" i="24"/>
  <c r="CU251" i="24"/>
  <c r="CG253" i="24"/>
  <c r="CO253" i="24"/>
  <c r="CW253" i="24"/>
  <c r="CC254" i="24"/>
  <c r="CS254" i="24"/>
  <c r="BZ255" i="24"/>
  <c r="CQ255" i="24"/>
  <c r="CF256" i="24"/>
  <c r="CN256" i="24"/>
  <c r="CV256" i="24"/>
  <c r="CC257" i="24"/>
  <c r="CS257" i="24"/>
  <c r="CB258" i="24"/>
  <c r="CJ258" i="24"/>
  <c r="BZ259" i="24"/>
  <c r="AI247" i="19"/>
  <c r="BZ250" i="24"/>
  <c r="AI250" i="19"/>
  <c r="BZ253" i="24"/>
  <c r="CI253" i="24"/>
  <c r="CJ260" i="24"/>
  <c r="CD233" i="24"/>
  <c r="CK243" i="24"/>
  <c r="CA233" i="24"/>
  <c r="CI233" i="24"/>
  <c r="CQ233" i="24"/>
  <c r="CH234" i="24"/>
  <c r="CP234" i="24"/>
  <c r="CU236" i="24"/>
  <c r="CE237" i="24"/>
  <c r="CM237" i="24"/>
  <c r="CU237" i="24"/>
  <c r="CT238" i="24"/>
  <c r="CA239" i="24"/>
  <c r="CI239" i="24"/>
  <c r="CQ239" i="24"/>
  <c r="CA240" i="24"/>
  <c r="CI240" i="24"/>
  <c r="CQ240" i="24"/>
  <c r="CA241" i="24"/>
  <c r="CI241" i="24"/>
  <c r="CQ241" i="24"/>
  <c r="CE245" i="24"/>
  <c r="CM245" i="24"/>
  <c r="CU245" i="24"/>
  <c r="CP251" i="24"/>
  <c r="CE252" i="24"/>
  <c r="CM252" i="24"/>
  <c r="CU252" i="24"/>
  <c r="CB253" i="24"/>
  <c r="CJ253" i="24"/>
  <c r="CR253" i="24"/>
  <c r="CF254" i="24"/>
  <c r="CN254" i="24"/>
  <c r="CV254" i="24"/>
  <c r="CC255" i="24"/>
  <c r="CK255" i="24"/>
  <c r="CS255" i="24"/>
  <c r="CA256" i="24"/>
  <c r="CI256" i="24"/>
  <c r="CQ256" i="24"/>
  <c r="CF257" i="24"/>
  <c r="CN257" i="24"/>
  <c r="CV257" i="24"/>
  <c r="CE258" i="24"/>
  <c r="CM258" i="24"/>
  <c r="CU258" i="24"/>
  <c r="CC259" i="24"/>
  <c r="CK259" i="24"/>
  <c r="CS259" i="24"/>
  <c r="CC260" i="24"/>
  <c r="CK260" i="24"/>
  <c r="CS260" i="24"/>
  <c r="CG261" i="24"/>
  <c r="CO261" i="24"/>
  <c r="CP264" i="24"/>
  <c r="CH261" i="24"/>
  <c r="CP261" i="24"/>
  <c r="BZ263" i="24"/>
  <c r="CH263" i="24"/>
  <c r="CP263" i="24"/>
  <c r="CC264" i="24"/>
  <c r="CJ264" i="24"/>
  <c r="CR264" i="24"/>
  <c r="CK265" i="24"/>
  <c r="CS265" i="24"/>
  <c r="CO268" i="24"/>
  <c r="CE269" i="24"/>
  <c r="CM269" i="24"/>
  <c r="CU269" i="24"/>
  <c r="CB270" i="24"/>
  <c r="CJ270" i="24"/>
  <c r="CR270" i="24"/>
  <c r="CO271" i="24"/>
  <c r="CE272" i="24"/>
  <c r="CM272" i="24"/>
  <c r="CU272" i="24"/>
  <c r="CC273" i="24"/>
  <c r="CK273" i="24"/>
  <c r="CS273" i="24"/>
  <c r="CA274" i="24"/>
  <c r="CI274" i="24"/>
  <c r="CQ274" i="24"/>
  <c r="CA275" i="24"/>
  <c r="CI275" i="24"/>
  <c r="CQ275" i="24"/>
  <c r="CG276" i="24"/>
  <c r="CW276" i="24"/>
  <c r="CF277" i="24"/>
  <c r="CN277" i="24"/>
  <c r="CV277" i="24"/>
  <c r="CC279" i="24"/>
  <c r="CK279" i="24"/>
  <c r="CS279" i="24"/>
  <c r="BZ280" i="24"/>
  <c r="CH280" i="24"/>
  <c r="CP280" i="24"/>
  <c r="BZ282" i="24"/>
  <c r="CH282" i="24"/>
  <c r="CP282" i="24"/>
  <c r="BZ284" i="24"/>
  <c r="CC286" i="24"/>
  <c r="CK286" i="24"/>
  <c r="CS286" i="24"/>
  <c r="CU286" i="24"/>
  <c r="CW287" i="24"/>
  <c r="BZ271" i="24"/>
  <c r="CM278" i="24"/>
  <c r="CM287" i="24"/>
  <c r="CF259" i="24"/>
  <c r="CN259" i="24"/>
  <c r="CV259" i="24"/>
  <c r="CE262" i="24"/>
  <c r="CU262" i="24"/>
  <c r="CJ263" i="24"/>
  <c r="CD264" i="24"/>
  <c r="CL264" i="24"/>
  <c r="CT264" i="24"/>
  <c r="CE265" i="24"/>
  <c r="CM265" i="24"/>
  <c r="CU265" i="24"/>
  <c r="CC266" i="24"/>
  <c r="CK266" i="24"/>
  <c r="CS266" i="24"/>
  <c r="CF267" i="24"/>
  <c r="CN267" i="24"/>
  <c r="CV267" i="24"/>
  <c r="CA268" i="24"/>
  <c r="CI268" i="24"/>
  <c r="CQ268" i="24"/>
  <c r="CO269" i="24"/>
  <c r="CW269" i="24"/>
  <c r="CD270" i="24"/>
  <c r="CL270" i="24"/>
  <c r="CT270" i="24"/>
  <c r="CA271" i="24"/>
  <c r="CI271" i="24"/>
  <c r="CQ271" i="24"/>
  <c r="CO272" i="24"/>
  <c r="CE273" i="24"/>
  <c r="CM273" i="24"/>
  <c r="CU273" i="24"/>
  <c r="CC274" i="24"/>
  <c r="CK274" i="24"/>
  <c r="CS274" i="24"/>
  <c r="CC275" i="24"/>
  <c r="CK275" i="24"/>
  <c r="CS275" i="24"/>
  <c r="CA276" i="24"/>
  <c r="CI276" i="24"/>
  <c r="CQ276" i="24"/>
  <c r="CH277" i="24"/>
  <c r="CP277" i="24"/>
  <c r="CE279" i="24"/>
  <c r="CM279" i="24"/>
  <c r="CU279" i="24"/>
  <c r="CB280" i="24"/>
  <c r="CJ280" i="24"/>
  <c r="CR280" i="24"/>
  <c r="BZ281" i="24"/>
  <c r="CH281" i="24"/>
  <c r="CB282" i="24"/>
  <c r="CJ282" i="24"/>
  <c r="CR282" i="24"/>
  <c r="CB284" i="24"/>
  <c r="CJ284" i="24"/>
  <c r="CR284" i="24"/>
  <c r="AI282" i="19"/>
  <c r="BZ285" i="24"/>
  <c r="CH285" i="24"/>
  <c r="CP285" i="24"/>
  <c r="CE286" i="24"/>
  <c r="AI285" i="19"/>
  <c r="BZ288" i="24"/>
  <c r="CH288" i="24"/>
  <c r="CP288" i="24"/>
  <c r="AI286" i="19"/>
  <c r="BZ289" i="24"/>
  <c r="CH289" i="24"/>
  <c r="CP289" i="24"/>
  <c r="AI287" i="19"/>
  <c r="BZ290" i="24"/>
  <c r="CR258" i="24"/>
  <c r="CG259" i="24"/>
  <c r="CO259" i="24"/>
  <c r="CW259" i="24"/>
  <c r="CC261" i="24"/>
  <c r="CS261" i="24"/>
  <c r="CC263" i="24"/>
  <c r="CK263" i="24"/>
  <c r="CS263" i="24"/>
  <c r="CM264" i="24"/>
  <c r="CU264" i="24"/>
  <c r="BZ272" i="24"/>
  <c r="CH272" i="24"/>
  <c r="CP272" i="24"/>
  <c r="CF273" i="24"/>
  <c r="CN273" i="24"/>
  <c r="CV273" i="24"/>
  <c r="CD274" i="24"/>
  <c r="CL274" i="24"/>
  <c r="CT274" i="24"/>
  <c r="CD275" i="24"/>
  <c r="CL275" i="24"/>
  <c r="CT275" i="24"/>
  <c r="CB276" i="24"/>
  <c r="CJ276" i="24"/>
  <c r="CR276" i="24"/>
  <c r="CA277" i="24"/>
  <c r="CI277" i="24"/>
  <c r="CQ277" i="24"/>
  <c r="CF278" i="24"/>
  <c r="CN278" i="24"/>
  <c r="CV278" i="24"/>
  <c r="CF279" i="24"/>
  <c r="CN279" i="24"/>
  <c r="CV279" i="24"/>
  <c r="CC280" i="24"/>
  <c r="CK280" i="24"/>
  <c r="CS280" i="24"/>
  <c r="BZ283" i="24"/>
  <c r="CC284" i="24"/>
  <c r="CK284" i="24"/>
  <c r="CS284" i="24"/>
  <c r="CM285" i="24"/>
  <c r="CB287" i="24"/>
  <c r="CJ287" i="24"/>
  <c r="CR287" i="24"/>
  <c r="AI289" i="19"/>
  <c r="AI290" i="19"/>
  <c r="BZ267" i="24"/>
  <c r="CG269" i="24"/>
  <c r="CW272" i="24"/>
  <c r="CW277" i="24"/>
  <c r="CU278" i="24"/>
  <c r="CC281" i="24"/>
  <c r="CS281" i="24"/>
  <c r="CO314" i="24"/>
  <c r="CP314" i="24"/>
  <c r="CH264" i="24"/>
  <c r="CO266" i="24"/>
  <c r="CW266" i="24"/>
  <c r="CR267" i="24"/>
  <c r="CE268" i="24"/>
  <c r="CM268" i="24"/>
  <c r="CU268" i="24"/>
  <c r="CC269" i="24"/>
  <c r="CK269" i="24"/>
  <c r="CS269" i="24"/>
  <c r="CH270" i="24"/>
  <c r="CP270" i="24"/>
  <c r="CE271" i="24"/>
  <c r="CM271" i="24"/>
  <c r="CU271" i="24"/>
  <c r="CC272" i="24"/>
  <c r="CK272" i="24"/>
  <c r="CS272" i="24"/>
  <c r="CA273" i="24"/>
  <c r="CI273" i="24"/>
  <c r="CQ273" i="24"/>
  <c r="CG274" i="24"/>
  <c r="CO274" i="24"/>
  <c r="CW274" i="24"/>
  <c r="CG275" i="24"/>
  <c r="CE276" i="24"/>
  <c r="CM276" i="24"/>
  <c r="CU276" i="24"/>
  <c r="CD277" i="24"/>
  <c r="CL277" i="24"/>
  <c r="CT277" i="24"/>
  <c r="CE278" i="24"/>
  <c r="CA279" i="24"/>
  <c r="CI279" i="24"/>
  <c r="CQ279" i="24"/>
  <c r="CF280" i="24"/>
  <c r="CN280" i="24"/>
  <c r="CV280" i="24"/>
  <c r="CD281" i="24"/>
  <c r="CL281" i="24"/>
  <c r="CT281" i="24"/>
  <c r="CP281" i="24"/>
  <c r="CF282" i="24"/>
  <c r="CN282" i="24"/>
  <c r="CV282" i="24"/>
  <c r="CE287" i="24"/>
  <c r="CU287" i="24"/>
  <c r="CD288" i="24"/>
  <c r="CL288" i="24"/>
  <c r="CT288" i="24"/>
  <c r="CD289" i="24"/>
  <c r="CL289" i="24"/>
  <c r="CB262" i="24"/>
  <c r="CG263" i="24"/>
  <c r="CA264" i="24"/>
  <c r="CI264" i="24"/>
  <c r="CQ264" i="24"/>
  <c r="CJ265" i="24"/>
  <c r="CR265" i="24"/>
  <c r="CH266" i="24"/>
  <c r="CP266" i="24"/>
  <c r="CC267" i="24"/>
  <c r="CK267" i="24"/>
  <c r="CS267" i="24"/>
  <c r="CF268" i="24"/>
  <c r="CN268" i="24"/>
  <c r="CV268" i="24"/>
  <c r="CD269" i="24"/>
  <c r="CL269" i="24"/>
  <c r="CT269" i="24"/>
  <c r="CA270" i="24"/>
  <c r="CI270" i="24"/>
  <c r="CQ270" i="24"/>
  <c r="CF271" i="24"/>
  <c r="CN271" i="24"/>
  <c r="CV271" i="24"/>
  <c r="CD272" i="24"/>
  <c r="CL272" i="24"/>
  <c r="CT272" i="24"/>
  <c r="CB273" i="24"/>
  <c r="CJ273" i="24"/>
  <c r="CR273" i="24"/>
  <c r="CF276" i="24"/>
  <c r="CN276" i="24"/>
  <c r="CV276" i="24"/>
  <c r="CE277" i="24"/>
  <c r="CM277" i="24"/>
  <c r="CU277" i="24"/>
  <c r="CB279" i="24"/>
  <c r="CJ279" i="24"/>
  <c r="CR279" i="24"/>
  <c r="CG280" i="24"/>
  <c r="CO280" i="24"/>
  <c r="CW280" i="24"/>
  <c r="CE281" i="24"/>
  <c r="CM281" i="24"/>
  <c r="CU281" i="24"/>
  <c r="CV281" i="24"/>
  <c r="CD283" i="24"/>
  <c r="CL283" i="24"/>
  <c r="CT283" i="24"/>
  <c r="CU283" i="24"/>
  <c r="CE285" i="24"/>
  <c r="CU285" i="24"/>
  <c r="CB286" i="24"/>
  <c r="CJ286" i="24"/>
  <c r="CR286" i="24"/>
  <c r="CP286" i="24"/>
  <c r="CF287" i="24"/>
  <c r="CN287" i="24"/>
  <c r="CV287" i="24"/>
  <c r="CE288" i="24"/>
  <c r="CM288" i="24"/>
  <c r="CU288" i="24"/>
  <c r="CE289" i="24"/>
  <c r="CM289" i="24"/>
  <c r="CU289" i="24"/>
  <c r="BZ287" i="24"/>
  <c r="CP287" i="24"/>
  <c r="CF288" i="24"/>
  <c r="CN288" i="24"/>
  <c r="CV288" i="24"/>
  <c r="CF289" i="24"/>
  <c r="CN289" i="24"/>
  <c r="CV289" i="24"/>
  <c r="CD290" i="24"/>
  <c r="CL290" i="24"/>
  <c r="CT290" i="24"/>
  <c r="CB291" i="24"/>
  <c r="CJ291" i="24"/>
  <c r="CR291" i="24"/>
  <c r="CA293" i="24"/>
  <c r="CI293" i="24"/>
  <c r="CQ293" i="24"/>
  <c r="CG294" i="24"/>
  <c r="CO294" i="24"/>
  <c r="CW294" i="24"/>
  <c r="CF295" i="24"/>
  <c r="CN295" i="24"/>
  <c r="CV295" i="24"/>
  <c r="CF296" i="24"/>
  <c r="CN296" i="24"/>
  <c r="CV296" i="24"/>
  <c r="CF297" i="24"/>
  <c r="CN297" i="24"/>
  <c r="CV297" i="24"/>
  <c r="CD298" i="24"/>
  <c r="CL298" i="24"/>
  <c r="CT298" i="24"/>
  <c r="CB299" i="24"/>
  <c r="CJ299" i="24"/>
  <c r="CR299" i="24"/>
  <c r="AI297" i="19"/>
  <c r="BZ300" i="24"/>
  <c r="CH300" i="24"/>
  <c r="CP300" i="24"/>
  <c r="CF301" i="24"/>
  <c r="CN301" i="24"/>
  <c r="CV301" i="24"/>
  <c r="CJ302" i="24"/>
  <c r="CR302" i="24"/>
  <c r="BZ303" i="24"/>
  <c r="CH303" i="24"/>
  <c r="CP303" i="24"/>
  <c r="BZ304" i="24"/>
  <c r="CH304" i="24"/>
  <c r="CP304" i="24"/>
  <c r="CF305" i="24"/>
  <c r="CN305" i="24"/>
  <c r="CV305" i="24"/>
  <c r="CB307" i="24"/>
  <c r="CJ307" i="24"/>
  <c r="CR307" i="24"/>
  <c r="CA308" i="24"/>
  <c r="CI308" i="24"/>
  <c r="CQ308" i="24"/>
  <c r="CF309" i="24"/>
  <c r="CN309" i="24"/>
  <c r="CV309" i="24"/>
  <c r="CB310" i="24"/>
  <c r="CH314" i="24"/>
  <c r="CF316" i="24"/>
  <c r="CN316" i="24"/>
  <c r="AI291" i="19"/>
  <c r="CR304" i="24"/>
  <c r="CS308" i="24"/>
  <c r="AI312" i="19"/>
  <c r="BZ315" i="24"/>
  <c r="CF290" i="24"/>
  <c r="CN290" i="24"/>
  <c r="CV290" i="24"/>
  <c r="CD291" i="24"/>
  <c r="CL291" i="24"/>
  <c r="CT291" i="24"/>
  <c r="CC292" i="24"/>
  <c r="CK292" i="24"/>
  <c r="CS292" i="24"/>
  <c r="CC293" i="24"/>
  <c r="CK293" i="24"/>
  <c r="CS293" i="24"/>
  <c r="AI292" i="19"/>
  <c r="CH295" i="24"/>
  <c r="CP295" i="24"/>
  <c r="AI293" i="19"/>
  <c r="BZ296" i="24"/>
  <c r="CH296" i="24"/>
  <c r="CP296" i="24"/>
  <c r="AI294" i="19"/>
  <c r="BZ297" i="24"/>
  <c r="CF298" i="24"/>
  <c r="CN298" i="24"/>
  <c r="CV298" i="24"/>
  <c r="CD299" i="24"/>
  <c r="CL299" i="24"/>
  <c r="CT299" i="24"/>
  <c r="BZ301" i="24"/>
  <c r="CB301" i="24"/>
  <c r="CJ303" i="24"/>
  <c r="CB304" i="24"/>
  <c r="CJ304" i="24"/>
  <c r="BZ305" i="24"/>
  <c r="CH305" i="24"/>
  <c r="CP305" i="24"/>
  <c r="CF306" i="24"/>
  <c r="CN306" i="24"/>
  <c r="CV306" i="24"/>
  <c r="CD310" i="24"/>
  <c r="CL310" i="24"/>
  <c r="CT310" i="24"/>
  <c r="CD311" i="24"/>
  <c r="CL311" i="24"/>
  <c r="CT311" i="24"/>
  <c r="CD312" i="24"/>
  <c r="CL312" i="24"/>
  <c r="CT312" i="24"/>
  <c r="CC313" i="24"/>
  <c r="CK313" i="24"/>
  <c r="CS313" i="24"/>
  <c r="CB314" i="24"/>
  <c r="CJ314" i="24"/>
  <c r="CR314" i="24"/>
  <c r="AI313" i="19"/>
  <c r="BZ286" i="24"/>
  <c r="CC287" i="24"/>
  <c r="CK287" i="24"/>
  <c r="CS287" i="24"/>
  <c r="CA289" i="24"/>
  <c r="CI289" i="24"/>
  <c r="CQ289" i="24"/>
  <c r="CG290" i="24"/>
  <c r="CO290" i="24"/>
  <c r="CW290" i="24"/>
  <c r="CE291" i="24"/>
  <c r="CM291" i="24"/>
  <c r="CU291" i="24"/>
  <c r="CD292" i="24"/>
  <c r="CL292" i="24"/>
  <c r="CT292" i="24"/>
  <c r="CD293" i="24"/>
  <c r="CL293" i="24"/>
  <c r="CT293" i="24"/>
  <c r="CB294" i="24"/>
  <c r="CJ294" i="24"/>
  <c r="CR294" i="24"/>
  <c r="CA297" i="24"/>
  <c r="CI297" i="24"/>
  <c r="CQ297" i="24"/>
  <c r="CG298" i="24"/>
  <c r="CO298" i="24"/>
  <c r="CW298" i="24"/>
  <c r="CE299" i="24"/>
  <c r="CM299" i="24"/>
  <c r="CU299" i="24"/>
  <c r="CA301" i="24"/>
  <c r="CI301" i="24"/>
  <c r="CQ301" i="24"/>
  <c r="CE302" i="24"/>
  <c r="CM302" i="24"/>
  <c r="CU302" i="24"/>
  <c r="CK304" i="24"/>
  <c r="CS304" i="24"/>
  <c r="CA305" i="24"/>
  <c r="CI305" i="24"/>
  <c r="CQ305" i="24"/>
  <c r="CG306" i="24"/>
  <c r="CO306" i="24"/>
  <c r="CW306" i="24"/>
  <c r="CE307" i="24"/>
  <c r="CM307" i="24"/>
  <c r="CU307" i="24"/>
  <c r="CD308" i="24"/>
  <c r="CL308" i="24"/>
  <c r="CT308" i="24"/>
  <c r="CE310" i="24"/>
  <c r="CM310" i="24"/>
  <c r="CU310" i="24"/>
  <c r="CE311" i="24"/>
  <c r="CM311" i="24"/>
  <c r="CU311" i="24"/>
  <c r="CE312" i="24"/>
  <c r="CM312" i="24"/>
  <c r="CU312" i="24"/>
  <c r="CD313" i="24"/>
  <c r="CL313" i="24"/>
  <c r="CT313" i="24"/>
  <c r="CC314" i="24"/>
  <c r="CK314" i="24"/>
  <c r="CS314" i="24"/>
  <c r="CS289" i="24"/>
  <c r="CA290" i="24"/>
  <c r="CI290" i="24"/>
  <c r="CQ290" i="24"/>
  <c r="CG291" i="24"/>
  <c r="CO291" i="24"/>
  <c r="CW291" i="24"/>
  <c r="CF292" i="24"/>
  <c r="CN292" i="24"/>
  <c r="CV292" i="24"/>
  <c r="CF293" i="24"/>
  <c r="CN293" i="24"/>
  <c r="CV293" i="24"/>
  <c r="CD294" i="24"/>
  <c r="CL294" i="24"/>
  <c r="CT294" i="24"/>
  <c r="CC295" i="24"/>
  <c r="CK295" i="24"/>
  <c r="CS295" i="24"/>
  <c r="CC296" i="24"/>
  <c r="CK296" i="24"/>
  <c r="CS296" i="24"/>
  <c r="CC297" i="24"/>
  <c r="CK297" i="24"/>
  <c r="CS297" i="24"/>
  <c r="CA298" i="24"/>
  <c r="CI298" i="24"/>
  <c r="CQ298" i="24"/>
  <c r="CG299" i="24"/>
  <c r="CO299" i="24"/>
  <c r="CW299" i="24"/>
  <c r="CE300" i="24"/>
  <c r="CM300" i="24"/>
  <c r="CU300" i="24"/>
  <c r="CK301" i="24"/>
  <c r="CS301" i="24"/>
  <c r="CG302" i="24"/>
  <c r="CO302" i="24"/>
  <c r="CW302" i="24"/>
  <c r="CE303" i="24"/>
  <c r="CM303" i="24"/>
  <c r="CU303" i="24"/>
  <c r="CE304" i="24"/>
  <c r="CM304" i="24"/>
  <c r="CU304" i="24"/>
  <c r="CC305" i="24"/>
  <c r="CK305" i="24"/>
  <c r="CS305" i="24"/>
  <c r="CA306" i="24"/>
  <c r="CI306" i="24"/>
  <c r="CQ306" i="24"/>
  <c r="CG307" i="24"/>
  <c r="CO307" i="24"/>
  <c r="CW307" i="24"/>
  <c r="CF308" i="24"/>
  <c r="CN308" i="24"/>
  <c r="CV308" i="24"/>
  <c r="CG310" i="24"/>
  <c r="CO310" i="24"/>
  <c r="CW310" i="24"/>
  <c r="CG311" i="24"/>
  <c r="CO311" i="24"/>
  <c r="CW311" i="24"/>
  <c r="CC316" i="24"/>
  <c r="CK316" i="24"/>
  <c r="CS316" i="24"/>
  <c r="CB317" i="24"/>
  <c r="CJ317" i="24"/>
  <c r="CR317" i="24"/>
  <c r="CB318" i="24"/>
  <c r="CJ318" i="24"/>
  <c r="CR318" i="24"/>
  <c r="CB319" i="24"/>
  <c r="CJ319" i="24"/>
  <c r="CR319" i="24"/>
  <c r="CB320" i="24"/>
  <c r="CJ320" i="24"/>
  <c r="CR320" i="24"/>
  <c r="CH322" i="24"/>
  <c r="CR290" i="24"/>
  <c r="AI288" i="19"/>
  <c r="CP291" i="24"/>
  <c r="CG292" i="24"/>
  <c r="CO292" i="24"/>
  <c r="CW292" i="24"/>
  <c r="CG293" i="24"/>
  <c r="CO293" i="24"/>
  <c r="CW293" i="24"/>
  <c r="CE294" i="24"/>
  <c r="CM294" i="24"/>
  <c r="CU294" i="24"/>
  <c r="CD295" i="24"/>
  <c r="CL295" i="24"/>
  <c r="CT295" i="24"/>
  <c r="CD296" i="24"/>
  <c r="CL296" i="24"/>
  <c r="CT296" i="24"/>
  <c r="CD297" i="24"/>
  <c r="CL297" i="24"/>
  <c r="CT297" i="24"/>
  <c r="CB298" i="24"/>
  <c r="CJ298" i="24"/>
  <c r="CR298" i="24"/>
  <c r="AI296" i="19"/>
  <c r="CF300" i="24"/>
  <c r="CN300" i="24"/>
  <c r="CV300" i="24"/>
  <c r="CD301" i="24"/>
  <c r="CL301" i="24"/>
  <c r="CT301" i="24"/>
  <c r="BZ302" i="24"/>
  <c r="CP302" i="24"/>
  <c r="CF303" i="24"/>
  <c r="CN303" i="24"/>
  <c r="CV303" i="24"/>
  <c r="CF304" i="24"/>
  <c r="CN304" i="24"/>
  <c r="CV304" i="24"/>
  <c r="CB306" i="24"/>
  <c r="CJ306" i="24"/>
  <c r="CR306" i="24"/>
  <c r="CH307" i="24"/>
  <c r="CP307" i="24"/>
  <c r="CG308" i="24"/>
  <c r="CO308" i="24"/>
  <c r="CW308" i="24"/>
  <c r="CH310" i="24"/>
  <c r="CP310" i="24"/>
  <c r="AI308" i="19"/>
  <c r="BZ311" i="24"/>
  <c r="CH311" i="24"/>
  <c r="CP311" i="24"/>
  <c r="AI309" i="19"/>
  <c r="BZ312" i="24"/>
  <c r="CE315" i="24"/>
  <c r="CM315" i="24"/>
  <c r="CU315" i="24"/>
  <c r="CJ310" i="24"/>
  <c r="CR310" i="24"/>
  <c r="CB311" i="24"/>
  <c r="CJ311" i="24"/>
  <c r="CR311" i="24"/>
  <c r="CB312" i="24"/>
  <c r="CJ312" i="24"/>
  <c r="CR312" i="24"/>
  <c r="AI311" i="19"/>
  <c r="BZ314" i="24"/>
  <c r="CF315" i="24"/>
  <c r="CN315" i="24"/>
  <c r="CV315" i="24"/>
  <c r="CD316" i="24"/>
  <c r="CL316" i="24"/>
  <c r="CT316" i="24"/>
  <c r="CC317" i="24"/>
  <c r="CK317" i="24"/>
  <c r="CS317" i="24"/>
  <c r="CC318" i="24"/>
  <c r="CK318" i="24"/>
  <c r="CS318" i="24"/>
  <c r="CC319" i="24"/>
  <c r="CK319" i="24"/>
  <c r="CS319" i="24"/>
  <c r="CC320" i="24"/>
  <c r="CK320" i="24"/>
  <c r="CS320" i="24"/>
  <c r="AI319" i="19"/>
  <c r="BZ322" i="24"/>
  <c r="CP322" i="24"/>
  <c r="CG323" i="24"/>
  <c r="CO323" i="24"/>
  <c r="CW323" i="24"/>
  <c r="CE324" i="24"/>
  <c r="CM324" i="24"/>
  <c r="CU324" i="24"/>
  <c r="CD325" i="24"/>
  <c r="CL325" i="24"/>
  <c r="CT325" i="24"/>
  <c r="CD326" i="24"/>
  <c r="CL326" i="24"/>
  <c r="CT326" i="24"/>
  <c r="CD327" i="24"/>
  <c r="CL327" i="24"/>
  <c r="CT327" i="24"/>
  <c r="CB328" i="24"/>
  <c r="CJ328" i="24"/>
  <c r="CR328" i="24"/>
  <c r="CB329" i="24"/>
  <c r="CJ329" i="24"/>
  <c r="CR329" i="24"/>
  <c r="CB330" i="24"/>
  <c r="CJ330" i="24"/>
  <c r="CR330" i="24"/>
  <c r="CB331" i="24"/>
  <c r="CJ331" i="24"/>
  <c r="CR331" i="24"/>
  <c r="CB332" i="24"/>
  <c r="CJ332" i="24"/>
  <c r="CR332" i="24"/>
  <c r="CB333" i="24"/>
  <c r="CJ333" i="24"/>
  <c r="CR333" i="24"/>
  <c r="CB334" i="24"/>
  <c r="CJ334" i="24"/>
  <c r="CR334" i="24"/>
  <c r="CB335" i="24"/>
  <c r="CJ335" i="24"/>
  <c r="CR335" i="24"/>
  <c r="CB336" i="24"/>
  <c r="CJ336" i="24"/>
  <c r="CR336" i="24"/>
  <c r="CB337" i="24"/>
  <c r="CJ337" i="24"/>
  <c r="CR337" i="24"/>
  <c r="CB338" i="24"/>
  <c r="CJ338" i="24"/>
  <c r="CR338" i="24"/>
  <c r="CB339" i="24"/>
  <c r="CJ339" i="24"/>
  <c r="CR339" i="24"/>
  <c r="AI320" i="19"/>
  <c r="BZ323" i="24"/>
  <c r="CV316" i="24"/>
  <c r="CE317" i="24"/>
  <c r="CM317" i="24"/>
  <c r="CU317" i="24"/>
  <c r="CE318" i="24"/>
  <c r="CM318" i="24"/>
  <c r="CU318" i="24"/>
  <c r="CE319" i="24"/>
  <c r="CM319" i="24"/>
  <c r="CU319" i="24"/>
  <c r="CE320" i="24"/>
  <c r="CM320" i="24"/>
  <c r="CU320" i="24"/>
  <c r="CC321" i="24"/>
  <c r="CK321" i="24"/>
  <c r="CS321" i="24"/>
  <c r="CB322" i="24"/>
  <c r="CJ322" i="24"/>
  <c r="CD330" i="24"/>
  <c r="CL330" i="24"/>
  <c r="CT330" i="24"/>
  <c r="CD331" i="24"/>
  <c r="CL331" i="24"/>
  <c r="CT331" i="24"/>
  <c r="CD332" i="24"/>
  <c r="CL332" i="24"/>
  <c r="CT332" i="24"/>
  <c r="CD333" i="24"/>
  <c r="CL333" i="24"/>
  <c r="CT333" i="24"/>
  <c r="CD334" i="24"/>
  <c r="CL334" i="24"/>
  <c r="CT334" i="24"/>
  <c r="CD335" i="24"/>
  <c r="CL335" i="24"/>
  <c r="CT335" i="24"/>
  <c r="CD336" i="24"/>
  <c r="CL336" i="24"/>
  <c r="CT336" i="24"/>
  <c r="CD337" i="24"/>
  <c r="CL337" i="24"/>
  <c r="CT337" i="24"/>
  <c r="CD338" i="24"/>
  <c r="CL338" i="24"/>
  <c r="CT338" i="24"/>
  <c r="CD339" i="24"/>
  <c r="CL339" i="24"/>
  <c r="CT339" i="24"/>
  <c r="CA315" i="24"/>
  <c r="CI315" i="24"/>
  <c r="CQ315" i="24"/>
  <c r="CG316" i="24"/>
  <c r="CO316" i="24"/>
  <c r="CW316" i="24"/>
  <c r="CF317" i="24"/>
  <c r="CN317" i="24"/>
  <c r="CV317" i="24"/>
  <c r="CF318" i="24"/>
  <c r="CN318" i="24"/>
  <c r="CV318" i="24"/>
  <c r="CF319" i="24"/>
  <c r="CN319" i="24"/>
  <c r="CV319" i="24"/>
  <c r="CF320" i="24"/>
  <c r="CN320" i="24"/>
  <c r="CV320" i="24"/>
  <c r="CD321" i="24"/>
  <c r="CL321" i="24"/>
  <c r="CT321" i="24"/>
  <c r="CC322" i="24"/>
  <c r="CK322" i="24"/>
  <c r="CS322" i="24"/>
  <c r="CB323" i="24"/>
  <c r="CJ323" i="24"/>
  <c r="CR323" i="24"/>
  <c r="AI321" i="19"/>
  <c r="CP324" i="24"/>
  <c r="CG325" i="24"/>
  <c r="CO325" i="24"/>
  <c r="CW325" i="24"/>
  <c r="CG326" i="24"/>
  <c r="CO326" i="24"/>
  <c r="CW326" i="24"/>
  <c r="CG327" i="24"/>
  <c r="CO327" i="24"/>
  <c r="CE328" i="24"/>
  <c r="CM328" i="24"/>
  <c r="CU328" i="24"/>
  <c r="CE329" i="24"/>
  <c r="CM329" i="24"/>
  <c r="CU329" i="24"/>
  <c r="CU339" i="24"/>
  <c r="AI322" i="19"/>
  <c r="AI323" i="19"/>
  <c r="AI324" i="19"/>
  <c r="CG312" i="24"/>
  <c r="CO312" i="24"/>
  <c r="CW312" i="24"/>
  <c r="CF313" i="24"/>
  <c r="CN313" i="24"/>
  <c r="CV313" i="24"/>
  <c r="CE314" i="24"/>
  <c r="CM314" i="24"/>
  <c r="CU314" i="24"/>
  <c r="CC315" i="24"/>
  <c r="CK315" i="24"/>
  <c r="CS315" i="24"/>
  <c r="CA316" i="24"/>
  <c r="CI316" i="24"/>
  <c r="CQ316" i="24"/>
  <c r="AI314" i="19"/>
  <c r="BZ317" i="24"/>
  <c r="CH317" i="24"/>
  <c r="CP317" i="24"/>
  <c r="AI315" i="19"/>
  <c r="BZ318" i="24"/>
  <c r="CH318" i="24"/>
  <c r="CP318" i="24"/>
  <c r="AI316" i="19"/>
  <c r="BZ319" i="24"/>
  <c r="CH319" i="24"/>
  <c r="CP319" i="24"/>
  <c r="AI317" i="19"/>
  <c r="BZ320" i="24"/>
  <c r="CF321" i="24"/>
  <c r="CN321" i="24"/>
  <c r="CV321" i="24"/>
  <c r="CE322" i="24"/>
  <c r="CM322" i="24"/>
  <c r="CU322" i="24"/>
  <c r="CD323" i="24"/>
  <c r="CL323" i="24"/>
  <c r="CT323" i="24"/>
  <c r="CB324" i="24"/>
  <c r="CJ324" i="24"/>
  <c r="CR324" i="24"/>
  <c r="CG328" i="24"/>
  <c r="CO328" i="24"/>
  <c r="CW328" i="24"/>
  <c r="CG329" i="24"/>
  <c r="CO329" i="24"/>
  <c r="CW329" i="24"/>
  <c r="CG330" i="24"/>
  <c r="CO330" i="24"/>
  <c r="CW330" i="24"/>
  <c r="CG331" i="24"/>
  <c r="CO331" i="24"/>
  <c r="CG333" i="24"/>
  <c r="CO333" i="24"/>
  <c r="CW333" i="24"/>
  <c r="CG334" i="24"/>
  <c r="CO334" i="24"/>
  <c r="CW334" i="24"/>
  <c r="CG335" i="24"/>
  <c r="CO335" i="24"/>
  <c r="CW335" i="24"/>
  <c r="CG336" i="24"/>
  <c r="CO336" i="24"/>
  <c r="CW336" i="24"/>
  <c r="CG337" i="24"/>
  <c r="CO337" i="24"/>
  <c r="CW337" i="24"/>
  <c r="CG338" i="24"/>
  <c r="CO338" i="24"/>
  <c r="CW338" i="24"/>
  <c r="CG339" i="24"/>
  <c r="CO339" i="24"/>
  <c r="CW339" i="24"/>
  <c r="AI325" i="19"/>
  <c r="AI326" i="19"/>
  <c r="AI327" i="19"/>
  <c r="AI328" i="19"/>
  <c r="AI329" i="19"/>
  <c r="AI330" i="19"/>
  <c r="AI331" i="19"/>
  <c r="AI332" i="19"/>
  <c r="AI333" i="19"/>
  <c r="AI334" i="19"/>
  <c r="AI335" i="19"/>
  <c r="U11" i="26"/>
  <c r="X11" i="26"/>
  <c r="AD12" i="20"/>
  <c r="AD16" i="20"/>
  <c r="CC4" i="20"/>
  <c r="CE4" i="20" s="1"/>
  <c r="V4" i="26"/>
  <c r="AH12" i="20"/>
  <c r="AH13" i="20"/>
  <c r="AH14" i="20"/>
  <c r="AH18" i="20"/>
  <c r="AG23" i="20"/>
  <c r="W4" i="26"/>
  <c r="R8" i="20"/>
  <c r="AH20" i="20"/>
  <c r="W7" i="26"/>
  <c r="AD13" i="20"/>
  <c r="AD14" i="20"/>
  <c r="AD18" i="20"/>
  <c r="U9" i="26"/>
  <c r="AC20" i="20"/>
  <c r="AD20" i="20" s="1"/>
  <c r="AE20" i="20" s="1"/>
  <c r="U10" i="26"/>
  <c r="AD11" i="20"/>
  <c r="AD19" i="20"/>
  <c r="U8" i="26"/>
  <c r="T29" i="26"/>
  <c r="AH21" i="20"/>
  <c r="U6" i="26"/>
  <c r="U7" i="26"/>
  <c r="V8" i="26"/>
  <c r="U29" i="26"/>
  <c r="AG15" i="20"/>
  <c r="AH11" i="20"/>
  <c r="AD17" i="20"/>
  <c r="AH19" i="20"/>
  <c r="B50" i="20"/>
  <c r="W6" i="26"/>
  <c r="V6" i="26"/>
  <c r="V7" i="26"/>
  <c r="W8" i="26"/>
  <c r="AD15" i="20"/>
  <c r="AH22" i="20"/>
  <c r="FG66" i="20"/>
  <c r="FF66" i="20"/>
  <c r="FL131" i="20"/>
  <c r="FK131" i="20"/>
  <c r="FF21" i="20"/>
  <c r="FP21" i="20"/>
  <c r="FF26" i="20"/>
  <c r="FP26" i="20"/>
  <c r="FK30" i="20"/>
  <c r="FK38" i="20"/>
  <c r="FQ50" i="20"/>
  <c r="FP50" i="20"/>
  <c r="FQ51" i="20"/>
  <c r="FG73" i="20"/>
  <c r="FF73" i="20"/>
  <c r="FG74" i="20"/>
  <c r="FL78" i="20"/>
  <c r="FK78" i="20"/>
  <c r="FL79" i="20"/>
  <c r="FQ84" i="20"/>
  <c r="FG90" i="20"/>
  <c r="FL95" i="20"/>
  <c r="FQ100" i="20"/>
  <c r="FQ128" i="20"/>
  <c r="FP128" i="20"/>
  <c r="FQ144" i="20"/>
  <c r="FP144" i="20"/>
  <c r="FL168" i="20"/>
  <c r="FK168" i="20"/>
  <c r="FG42" i="20"/>
  <c r="FF42" i="20"/>
  <c r="FG44" i="20"/>
  <c r="FF44" i="20"/>
  <c r="FQ125" i="20"/>
  <c r="FP125" i="20"/>
  <c r="FQ138" i="20"/>
  <c r="FP138" i="20"/>
  <c r="FY7" i="20"/>
  <c r="FL30" i="20"/>
  <c r="FQ36" i="20"/>
  <c r="FP36" i="20"/>
  <c r="FL39" i="20"/>
  <c r="FK39" i="20"/>
  <c r="FQ41" i="20"/>
  <c r="FP41" i="20"/>
  <c r="FQ43" i="20"/>
  <c r="FP43" i="20"/>
  <c r="FQ45" i="20"/>
  <c r="FP45" i="20"/>
  <c r="FQ47" i="20"/>
  <c r="FP47" i="20"/>
  <c r="FQ49" i="20"/>
  <c r="FP49" i="20"/>
  <c r="FG58" i="20"/>
  <c r="FF58" i="20"/>
  <c r="FP61" i="20"/>
  <c r="FQ62" i="20"/>
  <c r="FK65" i="20"/>
  <c r="FF69" i="20"/>
  <c r="FG71" i="20"/>
  <c r="FF71" i="20"/>
  <c r="FG72" i="20"/>
  <c r="FL76" i="20"/>
  <c r="FK76" i="20"/>
  <c r="FL77" i="20"/>
  <c r="FQ82" i="20"/>
  <c r="FG88" i="20"/>
  <c r="FL93" i="20"/>
  <c r="FQ98" i="20"/>
  <c r="FQ105" i="20"/>
  <c r="FP105" i="20"/>
  <c r="FP106" i="20"/>
  <c r="FL111" i="20"/>
  <c r="FK111" i="20"/>
  <c r="FL120" i="20"/>
  <c r="FK120" i="20"/>
  <c r="FQ143" i="20"/>
  <c r="FP143" i="20"/>
  <c r="FG52" i="20"/>
  <c r="FF52" i="20"/>
  <c r="FL74" i="20"/>
  <c r="FK74" i="20"/>
  <c r="FQ79" i="20"/>
  <c r="FP79" i="20"/>
  <c r="FG127" i="20"/>
  <c r="FF127" i="20"/>
  <c r="FF142" i="20"/>
  <c r="FQ159" i="20"/>
  <c r="FP159" i="20"/>
  <c r="FG40" i="20"/>
  <c r="FF40" i="20"/>
  <c r="FG46" i="20"/>
  <c r="FF46" i="20"/>
  <c r="FG75" i="20"/>
  <c r="FF75" i="20"/>
  <c r="FL80" i="20"/>
  <c r="FK80" i="20"/>
  <c r="FG179" i="20"/>
  <c r="FF179" i="20"/>
  <c r="FF6" i="20"/>
  <c r="FP6" i="20"/>
  <c r="FF7" i="20"/>
  <c r="FP7" i="20"/>
  <c r="FF15" i="20"/>
  <c r="FP15" i="20"/>
  <c r="FF16" i="20"/>
  <c r="FP16" i="20"/>
  <c r="T15" i="26"/>
  <c r="FF23" i="20"/>
  <c r="FP23" i="20"/>
  <c r="FF24" i="20"/>
  <c r="FP24" i="20"/>
  <c r="FF25" i="20"/>
  <c r="FP25" i="20"/>
  <c r="FK29" i="20"/>
  <c r="FQ38" i="20"/>
  <c r="FF41" i="20"/>
  <c r="FG43" i="20"/>
  <c r="FF43" i="20"/>
  <c r="FG45" i="20"/>
  <c r="FF45" i="20"/>
  <c r="FF47" i="20"/>
  <c r="FG49" i="20"/>
  <c r="FF49" i="20"/>
  <c r="FG50" i="20"/>
  <c r="FF50" i="20"/>
  <c r="FG51" i="20"/>
  <c r="FF61" i="20"/>
  <c r="FL72" i="20"/>
  <c r="FK72" i="20"/>
  <c r="FL73" i="20"/>
  <c r="FQ77" i="20"/>
  <c r="FP77" i="20"/>
  <c r="FQ78" i="20"/>
  <c r="FG84" i="20"/>
  <c r="FL89" i="20"/>
  <c r="FQ94" i="20"/>
  <c r="FG100" i="20"/>
  <c r="FF106" i="20"/>
  <c r="FF115" i="20"/>
  <c r="FF128" i="20"/>
  <c r="FG128" i="20"/>
  <c r="FQ134" i="20"/>
  <c r="FP134" i="20"/>
  <c r="FL155" i="20"/>
  <c r="FK155" i="20"/>
  <c r="FL37" i="20"/>
  <c r="FK37" i="20"/>
  <c r="FG48" i="20"/>
  <c r="FF48" i="20"/>
  <c r="FQ52" i="20"/>
  <c r="FP52" i="20"/>
  <c r="FG111" i="20"/>
  <c r="FF111" i="20"/>
  <c r="FQ139" i="20"/>
  <c r="FP139" i="20"/>
  <c r="FL57" i="20"/>
  <c r="FK57" i="20"/>
  <c r="FQ66" i="20"/>
  <c r="FP66" i="20"/>
  <c r="FL70" i="20"/>
  <c r="FK70" i="20"/>
  <c r="FQ75" i="20"/>
  <c r="FP75" i="20"/>
  <c r="FL114" i="20"/>
  <c r="FK114" i="20"/>
  <c r="FQ121" i="20"/>
  <c r="FP121" i="20"/>
  <c r="FQ122" i="20"/>
  <c r="FP122" i="20"/>
  <c r="FL154" i="20"/>
  <c r="FK154" i="20"/>
  <c r="GS24" i="20"/>
  <c r="FG38" i="20"/>
  <c r="FF38" i="20"/>
  <c r="FQ40" i="20"/>
  <c r="FP40" i="20"/>
  <c r="FQ42" i="20"/>
  <c r="FP42" i="20"/>
  <c r="FQ44" i="20"/>
  <c r="FP44" i="20"/>
  <c r="FQ46" i="20"/>
  <c r="FP46" i="20"/>
  <c r="FQ48" i="20"/>
  <c r="FP48" i="20"/>
  <c r="FL51" i="20"/>
  <c r="FK51" i="20"/>
  <c r="FQ73" i="20"/>
  <c r="FP73" i="20"/>
  <c r="FG79" i="20"/>
  <c r="FF79" i="20"/>
  <c r="FG131" i="20"/>
  <c r="FF131" i="20"/>
  <c r="FP152" i="20"/>
  <c r="FQ152" i="20"/>
  <c r="FQ103" i="20"/>
  <c r="FP103" i="20"/>
  <c r="GT24" i="20"/>
  <c r="FK33" i="20"/>
  <c r="FG34" i="20"/>
  <c r="FL50" i="20"/>
  <c r="FQ58" i="20"/>
  <c r="FP58" i="20"/>
  <c r="FK61" i="20"/>
  <c r="FL62" i="20"/>
  <c r="FK62" i="20"/>
  <c r="FF65" i="20"/>
  <c r="FQ71" i="20"/>
  <c r="FP71" i="20"/>
  <c r="FQ72" i="20"/>
  <c r="FG77" i="20"/>
  <c r="FF77" i="20"/>
  <c r="FG78" i="20"/>
  <c r="FL83" i="20"/>
  <c r="FQ88" i="20"/>
  <c r="FG94" i="20"/>
  <c r="FL99" i="20"/>
  <c r="FK104" i="20"/>
  <c r="FG108" i="20"/>
  <c r="FG109" i="20"/>
  <c r="FF109" i="20"/>
  <c r="FL116" i="20"/>
  <c r="FK116" i="20"/>
  <c r="FL117" i="20"/>
  <c r="FK117" i="20"/>
  <c r="FQ137" i="20"/>
  <c r="FP137" i="20"/>
  <c r="FL148" i="20"/>
  <c r="FK148" i="20"/>
  <c r="FG144" i="20"/>
  <c r="FF144" i="20"/>
  <c r="FF145" i="20"/>
  <c r="FL170" i="20"/>
  <c r="FK170" i="20"/>
  <c r="FL275" i="20"/>
  <c r="FK275" i="20"/>
  <c r="FL136" i="20"/>
  <c r="FK136" i="20"/>
  <c r="FL149" i="20"/>
  <c r="FK149" i="20"/>
  <c r="FL150" i="20"/>
  <c r="FK150" i="20"/>
  <c r="FG159" i="20"/>
  <c r="FF159" i="20"/>
  <c r="FG272" i="20"/>
  <c r="FF272" i="20"/>
  <c r="FF81" i="20"/>
  <c r="FP81" i="20"/>
  <c r="FK82" i="20"/>
  <c r="FF83" i="20"/>
  <c r="FP83" i="20"/>
  <c r="FK84" i="20"/>
  <c r="FF85" i="20"/>
  <c r="FP85" i="20"/>
  <c r="FK86" i="20"/>
  <c r="FF87" i="20"/>
  <c r="FP87" i="20"/>
  <c r="FK88" i="20"/>
  <c r="FF89" i="20"/>
  <c r="FP89" i="20"/>
  <c r="FK90" i="20"/>
  <c r="FF91" i="20"/>
  <c r="FP91" i="20"/>
  <c r="FK92" i="20"/>
  <c r="FF93" i="20"/>
  <c r="FP93" i="20"/>
  <c r="FK94" i="20"/>
  <c r="FF95" i="20"/>
  <c r="FP95" i="20"/>
  <c r="FK96" i="20"/>
  <c r="FF97" i="20"/>
  <c r="FP97" i="20"/>
  <c r="FK98" i="20"/>
  <c r="FF99" i="20"/>
  <c r="FP99" i="20"/>
  <c r="FK100" i="20"/>
  <c r="FF101" i="20"/>
  <c r="FP101" i="20"/>
  <c r="FK102" i="20"/>
  <c r="FF103" i="20"/>
  <c r="FK105" i="20"/>
  <c r="FK108" i="20"/>
  <c r="FP110" i="20"/>
  <c r="FP113" i="20"/>
  <c r="FF116" i="20"/>
  <c r="FF119" i="20"/>
  <c r="FK121" i="20"/>
  <c r="FK124" i="20"/>
  <c r="FP126" i="20"/>
  <c r="FP130" i="20"/>
  <c r="FF133" i="20"/>
  <c r="FF134" i="20"/>
  <c r="FF140" i="20"/>
  <c r="FF146" i="20"/>
  <c r="FP147" i="20"/>
  <c r="FQ154" i="20"/>
  <c r="FP154" i="20"/>
  <c r="FQ155" i="20"/>
  <c r="FP155" i="20"/>
  <c r="FG160" i="20"/>
  <c r="FF160" i="20"/>
  <c r="FG161" i="20"/>
  <c r="FF161" i="20"/>
  <c r="FG162" i="20"/>
  <c r="FF162" i="20"/>
  <c r="FQ168" i="20"/>
  <c r="FQ170" i="20"/>
  <c r="FP170" i="20"/>
  <c r="FQ172" i="20"/>
  <c r="FP172" i="20"/>
  <c r="FL181" i="20"/>
  <c r="FK181" i="20"/>
  <c r="FQ141" i="20"/>
  <c r="FP141" i="20"/>
  <c r="FG163" i="20"/>
  <c r="FF163" i="20"/>
  <c r="FQ173" i="20"/>
  <c r="FP173" i="20"/>
  <c r="FL184" i="20"/>
  <c r="FK184" i="20"/>
  <c r="FL260" i="20"/>
  <c r="FK260" i="20"/>
  <c r="FL133" i="20"/>
  <c r="FK133" i="20"/>
  <c r="FF147" i="20"/>
  <c r="FG165" i="20"/>
  <c r="FF165" i="20"/>
  <c r="FG238" i="20"/>
  <c r="FF238" i="20"/>
  <c r="FL152" i="20"/>
  <c r="FK152" i="20"/>
  <c r="FQ232" i="20"/>
  <c r="FP232" i="20"/>
  <c r="FQ157" i="20"/>
  <c r="FP157" i="20"/>
  <c r="FL163" i="20"/>
  <c r="FL165" i="20"/>
  <c r="FK165" i="20"/>
  <c r="FL166" i="20"/>
  <c r="FK166" i="20"/>
  <c r="FL167" i="20"/>
  <c r="FK167" i="20"/>
  <c r="FG176" i="20"/>
  <c r="FF176" i="20"/>
  <c r="FQ186" i="20"/>
  <c r="FP186" i="20"/>
  <c r="FG189" i="20"/>
  <c r="FF189" i="20"/>
  <c r="FQ191" i="20"/>
  <c r="FP191" i="20"/>
  <c r="FL194" i="20"/>
  <c r="FK194" i="20"/>
  <c r="FG197" i="20"/>
  <c r="FF197" i="20"/>
  <c r="FQ199" i="20"/>
  <c r="FP199" i="20"/>
  <c r="FL202" i="20"/>
  <c r="FK202" i="20"/>
  <c r="FG205" i="20"/>
  <c r="FF205" i="20"/>
  <c r="FQ207" i="20"/>
  <c r="FP207" i="20"/>
  <c r="FL210" i="20"/>
  <c r="FK210" i="20"/>
  <c r="FG213" i="20"/>
  <c r="FF213" i="20"/>
  <c r="FQ215" i="20"/>
  <c r="FP215" i="20"/>
  <c r="FL218" i="20"/>
  <c r="FK218" i="20"/>
  <c r="FG221" i="20"/>
  <c r="FF221" i="20"/>
  <c r="FQ223" i="20"/>
  <c r="FP223" i="20"/>
  <c r="FL226" i="20"/>
  <c r="FK226" i="20"/>
  <c r="FG229" i="20"/>
  <c r="FF229" i="20"/>
  <c r="FG236" i="20"/>
  <c r="FF236" i="20"/>
  <c r="FL244" i="20"/>
  <c r="FK244" i="20"/>
  <c r="FG257" i="20"/>
  <c r="FF257" i="20"/>
  <c r="FL259" i="20"/>
  <c r="FK259" i="20"/>
  <c r="FQ296" i="20"/>
  <c r="FP296" i="20"/>
  <c r="FK302" i="20"/>
  <c r="FL302" i="20"/>
  <c r="FL309" i="20"/>
  <c r="FK309" i="20"/>
  <c r="FG191" i="20"/>
  <c r="FF191" i="20"/>
  <c r="FQ193" i="20"/>
  <c r="FP193" i="20"/>
  <c r="FL196" i="20"/>
  <c r="FK196" i="20"/>
  <c r="FG199" i="20"/>
  <c r="FF199" i="20"/>
  <c r="FQ201" i="20"/>
  <c r="FP201" i="20"/>
  <c r="FL204" i="20"/>
  <c r="FK204" i="20"/>
  <c r="FG207" i="20"/>
  <c r="FF207" i="20"/>
  <c r="FQ209" i="20"/>
  <c r="FP209" i="20"/>
  <c r="FL212" i="20"/>
  <c r="FK212" i="20"/>
  <c r="FG215" i="20"/>
  <c r="FF215" i="20"/>
  <c r="FQ217" i="20"/>
  <c r="FP217" i="20"/>
  <c r="FL220" i="20"/>
  <c r="FK220" i="20"/>
  <c r="FG223" i="20"/>
  <c r="FF223" i="20"/>
  <c r="FQ225" i="20"/>
  <c r="FP225" i="20"/>
  <c r="FL228" i="20"/>
  <c r="FK228" i="20"/>
  <c r="FL236" i="20"/>
  <c r="FK236" i="20"/>
  <c r="FG255" i="20"/>
  <c r="FF255" i="20"/>
  <c r="FQ267" i="20"/>
  <c r="FP267" i="20"/>
  <c r="FG270" i="20"/>
  <c r="FF270" i="20"/>
  <c r="FF289" i="20"/>
  <c r="FG289" i="20"/>
  <c r="FK292" i="20"/>
  <c r="FL292" i="20"/>
  <c r="FP171" i="20"/>
  <c r="FF177" i="20"/>
  <c r="FK182" i="20"/>
  <c r="FP187" i="20"/>
  <c r="FQ241" i="20"/>
  <c r="FP241" i="20"/>
  <c r="FQ251" i="20"/>
  <c r="FP251" i="20"/>
  <c r="FG254" i="20"/>
  <c r="FF254" i="20"/>
  <c r="FP266" i="20"/>
  <c r="FP283" i="20"/>
  <c r="FQ283" i="20"/>
  <c r="FF287" i="20"/>
  <c r="FG287" i="20"/>
  <c r="FL291" i="20"/>
  <c r="FK291" i="20"/>
  <c r="FL190" i="20"/>
  <c r="FK190" i="20"/>
  <c r="FG193" i="20"/>
  <c r="FF193" i="20"/>
  <c r="FQ195" i="20"/>
  <c r="FP195" i="20"/>
  <c r="FL198" i="20"/>
  <c r="FK198" i="20"/>
  <c r="FG201" i="20"/>
  <c r="FF201" i="20"/>
  <c r="FQ203" i="20"/>
  <c r="FP203" i="20"/>
  <c r="FL206" i="20"/>
  <c r="FK206" i="20"/>
  <c r="FG209" i="20"/>
  <c r="FF209" i="20"/>
  <c r="FQ211" i="20"/>
  <c r="FP211" i="20"/>
  <c r="FL214" i="20"/>
  <c r="FK214" i="20"/>
  <c r="FG217" i="20"/>
  <c r="FF217" i="20"/>
  <c r="FQ219" i="20"/>
  <c r="FP219" i="20"/>
  <c r="FL222" i="20"/>
  <c r="FK222" i="20"/>
  <c r="FG225" i="20"/>
  <c r="FF225" i="20"/>
  <c r="FQ227" i="20"/>
  <c r="FP227" i="20"/>
  <c r="FL230" i="20"/>
  <c r="FK230" i="20"/>
  <c r="FL233" i="20"/>
  <c r="FK233" i="20"/>
  <c r="FQ265" i="20"/>
  <c r="FP265" i="20"/>
  <c r="FK278" i="20"/>
  <c r="FL278" i="20"/>
  <c r="FP281" i="20"/>
  <c r="FQ281" i="20"/>
  <c r="FG286" i="20"/>
  <c r="FF286" i="20"/>
  <c r="FP175" i="20"/>
  <c r="FF178" i="20"/>
  <c r="FF181" i="20"/>
  <c r="FK183" i="20"/>
  <c r="FK186" i="20"/>
  <c r="FP188" i="20"/>
  <c r="FK191" i="20"/>
  <c r="FF194" i="20"/>
  <c r="FP196" i="20"/>
  <c r="FK199" i="20"/>
  <c r="FQ249" i="20"/>
  <c r="FP249" i="20"/>
  <c r="FL262" i="20"/>
  <c r="FK262" i="20"/>
  <c r="FQ264" i="20"/>
  <c r="FP264" i="20"/>
  <c r="FK277" i="20"/>
  <c r="FQ280" i="20"/>
  <c r="FP280" i="20"/>
  <c r="FK164" i="20"/>
  <c r="FP169" i="20"/>
  <c r="FF175" i="20"/>
  <c r="FK180" i="20"/>
  <c r="FP185" i="20"/>
  <c r="FQ189" i="20"/>
  <c r="FP189" i="20"/>
  <c r="FL192" i="20"/>
  <c r="FK192" i="20"/>
  <c r="FG195" i="20"/>
  <c r="FF195" i="20"/>
  <c r="FQ197" i="20"/>
  <c r="FP197" i="20"/>
  <c r="FL200" i="20"/>
  <c r="FK200" i="20"/>
  <c r="FG203" i="20"/>
  <c r="FF203" i="20"/>
  <c r="FQ205" i="20"/>
  <c r="FP205" i="20"/>
  <c r="FL208" i="20"/>
  <c r="FK208" i="20"/>
  <c r="FG211" i="20"/>
  <c r="FF211" i="20"/>
  <c r="FQ213" i="20"/>
  <c r="FP213" i="20"/>
  <c r="FL216" i="20"/>
  <c r="FK216" i="20"/>
  <c r="FG219" i="20"/>
  <c r="FF219" i="20"/>
  <c r="FQ221" i="20"/>
  <c r="FP221" i="20"/>
  <c r="FL224" i="20"/>
  <c r="FK224" i="20"/>
  <c r="FG227" i="20"/>
  <c r="FF227" i="20"/>
  <c r="FQ229" i="20"/>
  <c r="FP229" i="20"/>
  <c r="FQ233" i="20"/>
  <c r="FP233" i="20"/>
  <c r="FG239" i="20"/>
  <c r="FF239" i="20"/>
  <c r="FL246" i="20"/>
  <c r="FK246" i="20"/>
  <c r="FQ248" i="20"/>
  <c r="FP248" i="20"/>
  <c r="FK261" i="20"/>
  <c r="FQ247" i="20"/>
  <c r="FP247" i="20"/>
  <c r="FG253" i="20"/>
  <c r="FF253" i="20"/>
  <c r="FL258" i="20"/>
  <c r="FK258" i="20"/>
  <c r="FQ263" i="20"/>
  <c r="FP263" i="20"/>
  <c r="FF297" i="20"/>
  <c r="FG297" i="20"/>
  <c r="FF232" i="20"/>
  <c r="FP234" i="20"/>
  <c r="FK237" i="20"/>
  <c r="FF240" i="20"/>
  <c r="FP242" i="20"/>
  <c r="FQ245" i="20"/>
  <c r="FP245" i="20"/>
  <c r="FP246" i="20"/>
  <c r="FG251" i="20"/>
  <c r="FF251" i="20"/>
  <c r="FF252" i="20"/>
  <c r="FL256" i="20"/>
  <c r="FK256" i="20"/>
  <c r="FK257" i="20"/>
  <c r="FQ261" i="20"/>
  <c r="FP261" i="20"/>
  <c r="FP262" i="20"/>
  <c r="FG267" i="20"/>
  <c r="FF267" i="20"/>
  <c r="FF268" i="20"/>
  <c r="FK273" i="20"/>
  <c r="FG305" i="20"/>
  <c r="FF305" i="20"/>
  <c r="FF233" i="20"/>
  <c r="FP235" i="20"/>
  <c r="FK238" i="20"/>
  <c r="FF241" i="20"/>
  <c r="FP243" i="20"/>
  <c r="FP244" i="20"/>
  <c r="FG249" i="20"/>
  <c r="FF249" i="20"/>
  <c r="FF250" i="20"/>
  <c r="FL254" i="20"/>
  <c r="FK254" i="20"/>
  <c r="FK255" i="20"/>
  <c r="FQ259" i="20"/>
  <c r="FP259" i="20"/>
  <c r="FP260" i="20"/>
  <c r="FG265" i="20"/>
  <c r="FF265" i="20"/>
  <c r="FF266" i="20"/>
  <c r="FK271" i="20"/>
  <c r="FP276" i="20"/>
  <c r="FF281" i="20"/>
  <c r="FG281" i="20"/>
  <c r="FK286" i="20"/>
  <c r="FL286" i="20"/>
  <c r="FP291" i="20"/>
  <c r="FQ291" i="20"/>
  <c r="FG247" i="20"/>
  <c r="FF247" i="20"/>
  <c r="FL252" i="20"/>
  <c r="FK252" i="20"/>
  <c r="FQ257" i="20"/>
  <c r="FP257" i="20"/>
  <c r="FG263" i="20"/>
  <c r="FF263" i="20"/>
  <c r="FF279" i="20"/>
  <c r="FG279" i="20"/>
  <c r="FK284" i="20"/>
  <c r="FL284" i="20"/>
  <c r="FP289" i="20"/>
  <c r="FQ289" i="20"/>
  <c r="FG294" i="20"/>
  <c r="FF294" i="20"/>
  <c r="FP299" i="20"/>
  <c r="FQ299" i="20"/>
  <c r="FG245" i="20"/>
  <c r="FF245" i="20"/>
  <c r="FL250" i="20"/>
  <c r="FK250" i="20"/>
  <c r="FQ255" i="20"/>
  <c r="FP255" i="20"/>
  <c r="FG261" i="20"/>
  <c r="FF261" i="20"/>
  <c r="FL266" i="20"/>
  <c r="FK266" i="20"/>
  <c r="FL310" i="20"/>
  <c r="FK310" i="20"/>
  <c r="FQ315" i="20"/>
  <c r="FP315" i="20"/>
  <c r="FG321" i="20"/>
  <c r="FF321" i="20"/>
  <c r="FP238" i="20"/>
  <c r="FL248" i="20"/>
  <c r="FK248" i="20"/>
  <c r="FQ253" i="20"/>
  <c r="FP253" i="20"/>
  <c r="FG259" i="20"/>
  <c r="FF259" i="20"/>
  <c r="FL264" i="20"/>
  <c r="FK264" i="20"/>
  <c r="FK294" i="20"/>
  <c r="FL294" i="20"/>
  <c r="FL308" i="20"/>
  <c r="FK308" i="20"/>
  <c r="FQ313" i="20"/>
  <c r="FP313" i="20"/>
  <c r="FG319" i="20"/>
  <c r="FF319" i="20"/>
  <c r="FK268" i="20"/>
  <c r="FF269" i="20"/>
  <c r="FP269" i="20"/>
  <c r="FK270" i="20"/>
  <c r="FF271" i="20"/>
  <c r="FP271" i="20"/>
  <c r="FK272" i="20"/>
  <c r="FF273" i="20"/>
  <c r="FP273" i="20"/>
  <c r="FK274" i="20"/>
  <c r="FF275" i="20"/>
  <c r="FP275" i="20"/>
  <c r="FK276" i="20"/>
  <c r="FF277" i="20"/>
  <c r="FP277" i="20"/>
  <c r="FK279" i="20"/>
  <c r="FF282" i="20"/>
  <c r="FP284" i="20"/>
  <c r="FK287" i="20"/>
  <c r="FF290" i="20"/>
  <c r="FP292" i="20"/>
  <c r="FK295" i="20"/>
  <c r="FF298" i="20"/>
  <c r="FP300" i="20"/>
  <c r="FK303" i="20"/>
  <c r="FL306" i="20"/>
  <c r="FK306" i="20"/>
  <c r="FK307" i="20"/>
  <c r="FQ311" i="20"/>
  <c r="FP311" i="20"/>
  <c r="FG317" i="20"/>
  <c r="FF317" i="20"/>
  <c r="FL280" i="20"/>
  <c r="FG283" i="20"/>
  <c r="FQ285" i="20"/>
  <c r="FL288" i="20"/>
  <c r="FG291" i="20"/>
  <c r="FQ293" i="20"/>
  <c r="FL296" i="20"/>
  <c r="FG299" i="20"/>
  <c r="FQ301" i="20"/>
  <c r="FL304" i="20"/>
  <c r="FK305" i="20"/>
  <c r="FQ309" i="20"/>
  <c r="FP309" i="20"/>
  <c r="FG315" i="20"/>
  <c r="FF315" i="20"/>
  <c r="FL320" i="20"/>
  <c r="FK320" i="20"/>
  <c r="FQ307" i="20"/>
  <c r="FP307" i="20"/>
  <c r="FG313" i="20"/>
  <c r="FF313" i="20"/>
  <c r="FL318" i="20"/>
  <c r="FK318" i="20"/>
  <c r="FQ305" i="20"/>
  <c r="FP305" i="20"/>
  <c r="FG311" i="20"/>
  <c r="FF311" i="20"/>
  <c r="FL316" i="20"/>
  <c r="FK316" i="20"/>
  <c r="FK299" i="20"/>
  <c r="FF302" i="20"/>
  <c r="FP304" i="20"/>
  <c r="FG309" i="20"/>
  <c r="FF309" i="20"/>
  <c r="FF310" i="20"/>
  <c r="FL314" i="20"/>
  <c r="FK314" i="20"/>
  <c r="FQ319" i="20"/>
  <c r="FP319" i="20"/>
  <c r="FG295" i="20"/>
  <c r="FQ297" i="20"/>
  <c r="FL300" i="20"/>
  <c r="FG303" i="20"/>
  <c r="FG307" i="20"/>
  <c r="FF307" i="20"/>
  <c r="FF308" i="20"/>
  <c r="FL312" i="20"/>
  <c r="FK312" i="20"/>
  <c r="FQ317" i="20"/>
  <c r="FP317" i="20"/>
  <c r="FP321" i="20"/>
  <c r="FK322" i="20"/>
  <c r="BO325" i="19"/>
  <c r="V7" i="37"/>
  <c r="T41" i="26"/>
  <c r="U37" i="26"/>
  <c r="U41" i="26"/>
  <c r="W7" i="37"/>
  <c r="W10" i="37"/>
  <c r="T34" i="26"/>
  <c r="T38" i="26"/>
  <c r="T42" i="26"/>
  <c r="U34" i="26"/>
  <c r="U38" i="26"/>
  <c r="U42" i="26"/>
  <c r="V6" i="37"/>
  <c r="V14" i="37"/>
  <c r="T39" i="26"/>
  <c r="W6" i="37"/>
  <c r="V11" i="37"/>
  <c r="W14" i="37"/>
  <c r="V8" i="37"/>
  <c r="W11" i="37"/>
  <c r="AX325" i="6"/>
  <c r="AZ325" i="19" s="1"/>
  <c r="AY326" i="6"/>
  <c r="AH326" i="19" s="1"/>
  <c r="BC325" i="19"/>
  <c r="AY325" i="6"/>
  <c r="BA325" i="19" s="1"/>
  <c r="AG326" i="19"/>
  <c r="AZ326" i="19"/>
  <c r="F201" i="31"/>
  <c r="AC201" i="19" s="1"/>
  <c r="AA201" i="19" s="1"/>
  <c r="AB201" i="19" s="1"/>
  <c r="G248" i="31"/>
  <c r="AD248" i="19" s="1"/>
  <c r="F248" i="31"/>
  <c r="AC248" i="19" s="1"/>
  <c r="AA248" i="19" s="1"/>
  <c r="AB248" i="19" s="1"/>
  <c r="F273" i="31"/>
  <c r="AC273" i="19" s="1"/>
  <c r="F6" i="31"/>
  <c r="AC6" i="19" s="1"/>
  <c r="F14" i="31"/>
  <c r="AC14" i="19" s="1"/>
  <c r="F22" i="31"/>
  <c r="AC22" i="19" s="1"/>
  <c r="F30" i="31"/>
  <c r="AC30" i="19" s="1"/>
  <c r="F38" i="31"/>
  <c r="AC38" i="19" s="1"/>
  <c r="F46" i="31"/>
  <c r="AC46" i="19" s="1"/>
  <c r="F54" i="31"/>
  <c r="AC54" i="19" s="1"/>
  <c r="F62" i="31"/>
  <c r="AC62" i="19" s="1"/>
  <c r="F70" i="31"/>
  <c r="AC70" i="19" s="1"/>
  <c r="AA70" i="19" s="1"/>
  <c r="AB70" i="19" s="1"/>
  <c r="F78" i="31"/>
  <c r="AC78" i="19" s="1"/>
  <c r="F86" i="31"/>
  <c r="AC86" i="19" s="1"/>
  <c r="AA86" i="19" s="1"/>
  <c r="AB86" i="19" s="1"/>
  <c r="F94" i="31"/>
  <c r="AC94" i="19" s="1"/>
  <c r="F102" i="31"/>
  <c r="AC102" i="19" s="1"/>
  <c r="F118" i="31"/>
  <c r="AC118" i="19" s="1"/>
  <c r="F126" i="31"/>
  <c r="AC126" i="19" s="1"/>
  <c r="F134" i="31"/>
  <c r="AC134" i="19" s="1"/>
  <c r="F142" i="31"/>
  <c r="AC142" i="19" s="1"/>
  <c r="F150" i="31"/>
  <c r="AC150" i="19" s="1"/>
  <c r="F158" i="31"/>
  <c r="AC158" i="19" s="1"/>
  <c r="AA158" i="19" s="1"/>
  <c r="AB158" i="19" s="1"/>
  <c r="F166" i="31"/>
  <c r="AC166" i="19" s="1"/>
  <c r="F174" i="31"/>
  <c r="AC174" i="19" s="1"/>
  <c r="AA174" i="19" s="1"/>
  <c r="AB174" i="19" s="1"/>
  <c r="BM174" i="19" s="1"/>
  <c r="F182" i="31"/>
  <c r="AC182" i="19" s="1"/>
  <c r="AA182" i="19" s="1"/>
  <c r="AB182" i="19" s="1"/>
  <c r="F185" i="31"/>
  <c r="AC185" i="19" s="1"/>
  <c r="AA185" i="19" s="1"/>
  <c r="AB185" i="19" s="1"/>
  <c r="F217" i="31"/>
  <c r="AC217" i="19" s="1"/>
  <c r="F234" i="31"/>
  <c r="AC234" i="19" s="1"/>
  <c r="F241" i="31"/>
  <c r="AC241" i="19" s="1"/>
  <c r="AA241" i="19" s="1"/>
  <c r="AB241" i="19" s="1"/>
  <c r="F266" i="31"/>
  <c r="AC266" i="19" s="1"/>
  <c r="G280" i="31"/>
  <c r="AD280" i="19" s="1"/>
  <c r="F280" i="31"/>
  <c r="AC280" i="19" s="1"/>
  <c r="AA280" i="19" s="1"/>
  <c r="AB280" i="19" s="1"/>
  <c r="F9" i="31"/>
  <c r="AC9" i="19" s="1"/>
  <c r="F17" i="31"/>
  <c r="AC17" i="19" s="1"/>
  <c r="F25" i="31"/>
  <c r="AC25" i="19" s="1"/>
  <c r="F33" i="31"/>
  <c r="AC33" i="19" s="1"/>
  <c r="F41" i="31"/>
  <c r="AC41" i="19" s="1"/>
  <c r="F49" i="31"/>
  <c r="AC49" i="19" s="1"/>
  <c r="AA49" i="19" s="1"/>
  <c r="AB49" i="19" s="1"/>
  <c r="F57" i="31"/>
  <c r="AC57" i="19" s="1"/>
  <c r="F65" i="31"/>
  <c r="AC65" i="19" s="1"/>
  <c r="F73" i="31"/>
  <c r="AC73" i="19" s="1"/>
  <c r="AA73" i="19" s="1"/>
  <c r="AB73" i="19" s="1"/>
  <c r="F81" i="31"/>
  <c r="AC81" i="19" s="1"/>
  <c r="AA81" i="19" s="1"/>
  <c r="AB81" i="19" s="1"/>
  <c r="F89" i="31"/>
  <c r="AC89" i="19" s="1"/>
  <c r="AA89" i="19" s="1"/>
  <c r="AB89" i="19" s="1"/>
  <c r="F97" i="31"/>
  <c r="AC97" i="19" s="1"/>
  <c r="F105" i="31"/>
  <c r="AC105" i="19" s="1"/>
  <c r="AA105" i="19" s="1"/>
  <c r="AB105" i="19" s="1"/>
  <c r="BM105" i="19" s="1"/>
  <c r="G110" i="31"/>
  <c r="AD110" i="19" s="1"/>
  <c r="F113" i="31"/>
  <c r="AC113" i="19" s="1"/>
  <c r="F121" i="31"/>
  <c r="AC121" i="19" s="1"/>
  <c r="F129" i="31"/>
  <c r="AC129" i="19" s="1"/>
  <c r="F137" i="31"/>
  <c r="AC137" i="19" s="1"/>
  <c r="F145" i="31"/>
  <c r="AC145" i="19" s="1"/>
  <c r="F153" i="31"/>
  <c r="AC153" i="19" s="1"/>
  <c r="F161" i="31"/>
  <c r="AC161" i="19" s="1"/>
  <c r="AA161" i="19" s="1"/>
  <c r="AB161" i="19" s="1"/>
  <c r="F169" i="31"/>
  <c r="AC169" i="19" s="1"/>
  <c r="F177" i="31"/>
  <c r="AC177" i="19" s="1"/>
  <c r="F189" i="31"/>
  <c r="AC189" i="19" s="1"/>
  <c r="G195" i="31"/>
  <c r="AD195" i="19" s="1"/>
  <c r="F205" i="31"/>
  <c r="AC205" i="19" s="1"/>
  <c r="AA205" i="19" s="1"/>
  <c r="AB205" i="19" s="1"/>
  <c r="G211" i="31"/>
  <c r="AD211" i="19" s="1"/>
  <c r="F221" i="31"/>
  <c r="AC221" i="19" s="1"/>
  <c r="F245" i="31"/>
  <c r="AC245" i="19" s="1"/>
  <c r="AA245" i="19" s="1"/>
  <c r="AB245" i="19" s="1"/>
  <c r="G252" i="31"/>
  <c r="AD252" i="19" s="1"/>
  <c r="F277" i="31"/>
  <c r="AC277" i="19" s="1"/>
  <c r="AA277" i="19" s="1"/>
  <c r="AB277" i="19" s="1"/>
  <c r="G284" i="31"/>
  <c r="AD284" i="19" s="1"/>
  <c r="G256" i="31"/>
  <c r="AD256" i="19" s="1"/>
  <c r="F256" i="31"/>
  <c r="AC256" i="19" s="1"/>
  <c r="AA256" i="19" s="1"/>
  <c r="AB256" i="19" s="1"/>
  <c r="G288" i="31"/>
  <c r="AD288" i="19" s="1"/>
  <c r="F288" i="31"/>
  <c r="AC288" i="19" s="1"/>
  <c r="AA288" i="19" s="1"/>
  <c r="AB288" i="19" s="1"/>
  <c r="F23" i="31"/>
  <c r="AC23" i="19" s="1"/>
  <c r="F31" i="31"/>
  <c r="AC31" i="19" s="1"/>
  <c r="F47" i="31"/>
  <c r="AC47" i="19" s="1"/>
  <c r="F63" i="31"/>
  <c r="AC63" i="19" s="1"/>
  <c r="F79" i="31"/>
  <c r="AC79" i="19" s="1"/>
  <c r="F103" i="31"/>
  <c r="AC103" i="19" s="1"/>
  <c r="F119" i="31"/>
  <c r="AC119" i="19" s="1"/>
  <c r="F135" i="31"/>
  <c r="AC135" i="19" s="1"/>
  <c r="F151" i="31"/>
  <c r="AC151" i="19" s="1"/>
  <c r="F167" i="31"/>
  <c r="AC167" i="19" s="1"/>
  <c r="AA167" i="19" s="1"/>
  <c r="AB167" i="19" s="1"/>
  <c r="G196" i="31"/>
  <c r="AD196" i="19" s="1"/>
  <c r="G228" i="31"/>
  <c r="AD228" i="19" s="1"/>
  <c r="F253" i="31"/>
  <c r="AC253" i="19" s="1"/>
  <c r="G260" i="31"/>
  <c r="AD260" i="19" s="1"/>
  <c r="F7" i="31"/>
  <c r="AC7" i="19" s="1"/>
  <c r="F15" i="31"/>
  <c r="AC15" i="19" s="1"/>
  <c r="F39" i="31"/>
  <c r="AC39" i="19" s="1"/>
  <c r="F55" i="31"/>
  <c r="AC55" i="19" s="1"/>
  <c r="F71" i="31"/>
  <c r="AC71" i="19" s="1"/>
  <c r="AA71" i="19" s="1"/>
  <c r="AB71" i="19" s="1"/>
  <c r="BM71" i="19" s="1"/>
  <c r="F87" i="31"/>
  <c r="AC87" i="19" s="1"/>
  <c r="AA87" i="19" s="1"/>
  <c r="AB87" i="19" s="1"/>
  <c r="F95" i="31"/>
  <c r="AC95" i="19" s="1"/>
  <c r="F111" i="31"/>
  <c r="AC111" i="19" s="1"/>
  <c r="F127" i="31"/>
  <c r="AC127" i="19" s="1"/>
  <c r="AA127" i="19" s="1"/>
  <c r="AB127" i="19" s="1"/>
  <c r="F143" i="31"/>
  <c r="AC143" i="19" s="1"/>
  <c r="F159" i="31"/>
  <c r="AC159" i="19" s="1"/>
  <c r="AA159" i="19" s="1"/>
  <c r="AB159" i="19" s="1"/>
  <c r="F175" i="31"/>
  <c r="AC175" i="19" s="1"/>
  <c r="AA175" i="19" s="1"/>
  <c r="AB175" i="19" s="1"/>
  <c r="BM175" i="19" s="1"/>
  <c r="G212" i="31"/>
  <c r="AD212" i="19" s="1"/>
  <c r="F193" i="31"/>
  <c r="AC193" i="19" s="1"/>
  <c r="F209" i="31"/>
  <c r="AC209" i="19" s="1"/>
  <c r="F225" i="31"/>
  <c r="AC225" i="19" s="1"/>
  <c r="G232" i="31"/>
  <c r="AD232" i="19" s="1"/>
  <c r="F232" i="31"/>
  <c r="AC232" i="19" s="1"/>
  <c r="F250" i="31"/>
  <c r="AC250" i="19" s="1"/>
  <c r="AA250" i="19" s="1"/>
  <c r="AB250" i="19" s="1"/>
  <c r="F257" i="31"/>
  <c r="AC257" i="19" s="1"/>
  <c r="G264" i="31"/>
  <c r="AD264" i="19" s="1"/>
  <c r="F264" i="31"/>
  <c r="AC264" i="19" s="1"/>
  <c r="F282" i="31"/>
  <c r="AC282" i="19" s="1"/>
  <c r="AA282" i="19" s="1"/>
  <c r="F289" i="31"/>
  <c r="AC289" i="19" s="1"/>
  <c r="AA289" i="19" s="1"/>
  <c r="G296" i="31"/>
  <c r="AD296" i="19" s="1"/>
  <c r="F296" i="31"/>
  <c r="AC296" i="19" s="1"/>
  <c r="G300" i="31"/>
  <c r="AD300" i="19" s="1"/>
  <c r="F300" i="31"/>
  <c r="AC300" i="19" s="1"/>
  <c r="G304" i="31"/>
  <c r="AD304" i="19" s="1"/>
  <c r="F304" i="31"/>
  <c r="AC304" i="19" s="1"/>
  <c r="G308" i="31"/>
  <c r="AD308" i="19" s="1"/>
  <c r="F308" i="31"/>
  <c r="AC308" i="19" s="1"/>
  <c r="G312" i="31"/>
  <c r="AD312" i="19" s="1"/>
  <c r="F312" i="31"/>
  <c r="AC312" i="19" s="1"/>
  <c r="G316" i="31"/>
  <c r="AD316" i="19" s="1"/>
  <c r="F316" i="31"/>
  <c r="AC316" i="19" s="1"/>
  <c r="G320" i="31"/>
  <c r="AD320" i="19" s="1"/>
  <c r="F320" i="31"/>
  <c r="AC320" i="19" s="1"/>
  <c r="AA320" i="19" s="1"/>
  <c r="G324" i="31"/>
  <c r="AD324" i="19" s="1"/>
  <c r="F324" i="31"/>
  <c r="AC324" i="19" s="1"/>
  <c r="G328" i="31"/>
  <c r="AD328" i="19" s="1"/>
  <c r="F328" i="31"/>
  <c r="AC328" i="19" s="1"/>
  <c r="AA328" i="19" s="1"/>
  <c r="AB328" i="19" s="1"/>
  <c r="G332" i="31"/>
  <c r="AD332" i="19" s="1"/>
  <c r="F332" i="31"/>
  <c r="AC332" i="19" s="1"/>
  <c r="G333" i="31"/>
  <c r="AD333" i="19" s="1"/>
  <c r="F333" i="31"/>
  <c r="AC333" i="19" s="1"/>
  <c r="F184" i="31"/>
  <c r="AC184" i="19" s="1"/>
  <c r="F200" i="31"/>
  <c r="AC200" i="19" s="1"/>
  <c r="AA200" i="19" s="1"/>
  <c r="AB200" i="19" s="1"/>
  <c r="BM200" i="19" s="1"/>
  <c r="F216" i="31"/>
  <c r="AC216" i="19" s="1"/>
  <c r="F233" i="31"/>
  <c r="AC233" i="19" s="1"/>
  <c r="G240" i="31"/>
  <c r="AD240" i="19" s="1"/>
  <c r="F240" i="31"/>
  <c r="AC240" i="19" s="1"/>
  <c r="AA240" i="19" s="1"/>
  <c r="AB240" i="19" s="1"/>
  <c r="F265" i="31"/>
  <c r="AC265" i="19" s="1"/>
  <c r="G272" i="31"/>
  <c r="AD272" i="19" s="1"/>
  <c r="F272" i="31"/>
  <c r="AC272" i="19" s="1"/>
  <c r="F297" i="31"/>
  <c r="AC297" i="19" s="1"/>
  <c r="F301" i="31"/>
  <c r="AC301" i="19" s="1"/>
  <c r="F305" i="31"/>
  <c r="AC305" i="19" s="1"/>
  <c r="F309" i="31"/>
  <c r="AC309" i="19" s="1"/>
  <c r="F313" i="31"/>
  <c r="AC313" i="19" s="1"/>
  <c r="F317" i="31"/>
  <c r="AC317" i="19" s="1"/>
  <c r="F321" i="31"/>
  <c r="AC321" i="19" s="1"/>
  <c r="AA321" i="19" s="1"/>
  <c r="F325" i="31"/>
  <c r="AC325" i="19" s="1"/>
  <c r="F329" i="31"/>
  <c r="AC329" i="19" s="1"/>
  <c r="F336" i="31"/>
  <c r="AC336" i="19" s="1"/>
  <c r="CR17" i="24"/>
  <c r="CP18" i="24"/>
  <c r="AI17" i="19"/>
  <c r="CI21" i="24"/>
  <c r="AI28" i="19"/>
  <c r="CI17" i="24"/>
  <c r="CG18" i="24"/>
  <c r="AI19" i="19"/>
  <c r="AI21" i="19"/>
  <c r="CF26" i="24"/>
  <c r="CN26" i="24"/>
  <c r="CV26" i="24"/>
  <c r="CC29" i="24"/>
  <c r="CK29" i="24"/>
  <c r="CS29" i="24"/>
  <c r="CA31" i="24"/>
  <c r="CI31" i="24"/>
  <c r="CQ31" i="24"/>
  <c r="AI29" i="19"/>
  <c r="BZ41" i="24"/>
  <c r="CH41" i="24"/>
  <c r="CP41" i="24"/>
  <c r="BZ49" i="24"/>
  <c r="CH49" i="24"/>
  <c r="CP49" i="24"/>
  <c r="AI2" i="19"/>
  <c r="BZ5" i="24"/>
  <c r="AI3" i="19"/>
  <c r="AI4" i="19"/>
  <c r="AI5" i="19"/>
  <c r="AI6" i="19"/>
  <c r="AI7" i="19"/>
  <c r="AI8" i="19"/>
  <c r="AI9" i="19"/>
  <c r="AI10" i="19"/>
  <c r="AI11" i="19"/>
  <c r="AI12" i="19"/>
  <c r="AI13" i="19"/>
  <c r="AI14" i="19"/>
  <c r="AI18" i="19"/>
  <c r="AI15" i="19"/>
  <c r="CF19" i="24"/>
  <c r="CN19" i="24"/>
  <c r="CV19" i="24"/>
  <c r="CD20" i="24"/>
  <c r="CL20" i="24"/>
  <c r="CT20" i="24"/>
  <c r="CC22" i="24"/>
  <c r="CK22" i="24"/>
  <c r="CS22" i="24"/>
  <c r="CC24" i="24"/>
  <c r="CK24" i="24"/>
  <c r="CS24" i="24"/>
  <c r="CA26" i="24"/>
  <c r="CI26" i="24"/>
  <c r="CQ26" i="24"/>
  <c r="AI24" i="19"/>
  <c r="CF29" i="24"/>
  <c r="CN29" i="24"/>
  <c r="CV29" i="24"/>
  <c r="CC32" i="24"/>
  <c r="CK32" i="24"/>
  <c r="CS32" i="24"/>
  <c r="BZ42" i="24"/>
  <c r="CH42" i="24"/>
  <c r="CP42" i="24"/>
  <c r="BZ50" i="24"/>
  <c r="CH50" i="24"/>
  <c r="CP50" i="24"/>
  <c r="CO17" i="24"/>
  <c r="CQ21" i="24"/>
  <c r="AI20" i="19"/>
  <c r="AI25" i="19"/>
  <c r="CD17" i="24"/>
  <c r="CL17" i="24"/>
  <c r="CT17" i="24"/>
  <c r="AI16" i="19"/>
  <c r="CF20" i="24"/>
  <c r="CN20" i="24"/>
  <c r="CV20" i="24"/>
  <c r="CD21" i="24"/>
  <c r="CC26" i="24"/>
  <c r="CK26" i="24"/>
  <c r="CS26" i="24"/>
  <c r="CA28" i="24"/>
  <c r="CI28" i="24"/>
  <c r="CQ28" i="24"/>
  <c r="AI26" i="19"/>
  <c r="CF31" i="24"/>
  <c r="CN31" i="24"/>
  <c r="CV31" i="24"/>
  <c r="BZ40" i="24"/>
  <c r="CH40" i="24"/>
  <c r="CP40" i="24"/>
  <c r="BZ48" i="24"/>
  <c r="CH48" i="24"/>
  <c r="CP48" i="24"/>
  <c r="CG51" i="24"/>
  <c r="CH51" i="24"/>
  <c r="CP51" i="24"/>
  <c r="CO51" i="24"/>
  <c r="CF22" i="24"/>
  <c r="CN22" i="24"/>
  <c r="CV22" i="24"/>
  <c r="AI27" i="19"/>
  <c r="BZ43" i="24"/>
  <c r="CH43" i="24"/>
  <c r="BZ51" i="24"/>
  <c r="AI31" i="19"/>
  <c r="AI32" i="19"/>
  <c r="CK95" i="24"/>
  <c r="CL95" i="24"/>
  <c r="CS95" i="24"/>
  <c r="CT95" i="24"/>
  <c r="CF51" i="24"/>
  <c r="CN51" i="24"/>
  <c r="CV51" i="24"/>
  <c r="BZ62" i="24"/>
  <c r="CH62" i="24"/>
  <c r="CP62" i="24"/>
  <c r="CE68" i="24"/>
  <c r="CM68" i="24"/>
  <c r="CU68" i="24"/>
  <c r="CE76" i="24"/>
  <c r="CM76" i="24"/>
  <c r="CU76" i="24"/>
  <c r="CE84" i="24"/>
  <c r="CM84" i="24"/>
  <c r="CU84" i="24"/>
  <c r="CE92" i="24"/>
  <c r="CM92" i="24"/>
  <c r="CU92" i="24"/>
  <c r="CU97" i="24"/>
  <c r="CV97" i="24"/>
  <c r="AI33" i="19"/>
  <c r="BZ36" i="24"/>
  <c r="AI34" i="19"/>
  <c r="AI35" i="19"/>
  <c r="AI36" i="19"/>
  <c r="AI37" i="19"/>
  <c r="AI38" i="19"/>
  <c r="AI39" i="19"/>
  <c r="AI40" i="19"/>
  <c r="AI41" i="19"/>
  <c r="AI42" i="19"/>
  <c r="AI43" i="19"/>
  <c r="AI44" i="19"/>
  <c r="AI45" i="19"/>
  <c r="AI46" i="19"/>
  <c r="AI47" i="19"/>
  <c r="AI48" i="19"/>
  <c r="BZ61" i="24"/>
  <c r="CH61" i="24"/>
  <c r="CP61" i="24"/>
  <c r="CD63" i="24"/>
  <c r="CL63" i="24"/>
  <c r="CT63" i="24"/>
  <c r="CG64" i="24"/>
  <c r="CF64" i="24"/>
  <c r="CO64" i="24"/>
  <c r="CN64" i="24"/>
  <c r="CW64" i="24"/>
  <c r="CV64" i="24"/>
  <c r="CE66" i="24"/>
  <c r="CM66" i="24"/>
  <c r="CU66" i="24"/>
  <c r="CE74" i="24"/>
  <c r="CM74" i="24"/>
  <c r="CU74" i="24"/>
  <c r="CE82" i="24"/>
  <c r="CM82" i="24"/>
  <c r="CU82" i="24"/>
  <c r="CE90" i="24"/>
  <c r="CM90" i="24"/>
  <c r="CU90" i="24"/>
  <c r="CB52" i="24"/>
  <c r="CJ52" i="24"/>
  <c r="CR52" i="24"/>
  <c r="CF53" i="24"/>
  <c r="CN53" i="24"/>
  <c r="CV53" i="24"/>
  <c r="CB54" i="24"/>
  <c r="CJ54" i="24"/>
  <c r="CR54" i="24"/>
  <c r="CF55" i="24"/>
  <c r="CN55" i="24"/>
  <c r="CV55" i="24"/>
  <c r="CB56" i="24"/>
  <c r="CJ56" i="24"/>
  <c r="CR56" i="24"/>
  <c r="CF57" i="24"/>
  <c r="CN57" i="24"/>
  <c r="CV57" i="24"/>
  <c r="CB58" i="24"/>
  <c r="CJ58" i="24"/>
  <c r="CR58" i="24"/>
  <c r="CF59" i="24"/>
  <c r="CN59" i="24"/>
  <c r="CV59" i="24"/>
  <c r="CE69" i="24"/>
  <c r="CM69" i="24"/>
  <c r="CU69" i="24"/>
  <c r="CE77" i="24"/>
  <c r="CM77" i="24"/>
  <c r="CU77" i="24"/>
  <c r="CE85" i="24"/>
  <c r="CM85" i="24"/>
  <c r="CU85" i="24"/>
  <c r="CE93" i="24"/>
  <c r="CM93" i="24"/>
  <c r="CU93" i="24"/>
  <c r="CC51" i="24"/>
  <c r="CD35" i="24"/>
  <c r="CL35" i="24"/>
  <c r="CT35" i="24"/>
  <c r="CD52" i="24"/>
  <c r="CL52" i="24"/>
  <c r="CT52" i="24"/>
  <c r="BZ53" i="24"/>
  <c r="CH53" i="24"/>
  <c r="CP53" i="24"/>
  <c r="CD54" i="24"/>
  <c r="CL54" i="24"/>
  <c r="CT54" i="24"/>
  <c r="BZ55" i="24"/>
  <c r="CH55" i="24"/>
  <c r="CP55" i="24"/>
  <c r="CD56" i="24"/>
  <c r="CL56" i="24"/>
  <c r="CT56" i="24"/>
  <c r="BZ57" i="24"/>
  <c r="CH57" i="24"/>
  <c r="CP57" i="24"/>
  <c r="CD58" i="24"/>
  <c r="CL58" i="24"/>
  <c r="CT58" i="24"/>
  <c r="BZ59" i="24"/>
  <c r="CH59" i="24"/>
  <c r="CP59" i="24"/>
  <c r="CD60" i="24"/>
  <c r="CL60" i="24"/>
  <c r="CT60" i="24"/>
  <c r="CE67" i="24"/>
  <c r="CM67" i="24"/>
  <c r="CU67" i="24"/>
  <c r="CE75" i="24"/>
  <c r="CM75" i="24"/>
  <c r="CU75" i="24"/>
  <c r="CE83" i="24"/>
  <c r="CM83" i="24"/>
  <c r="CU83" i="24"/>
  <c r="CE91" i="24"/>
  <c r="CM91" i="24"/>
  <c r="CU91" i="24"/>
  <c r="CD95" i="24"/>
  <c r="CS51" i="24"/>
  <c r="BZ63" i="24"/>
  <c r="CC64" i="24"/>
  <c r="CB64" i="24"/>
  <c r="CK64" i="24"/>
  <c r="CJ64" i="24"/>
  <c r="CE94" i="24"/>
  <c r="CM94" i="24"/>
  <c r="CU94" i="24"/>
  <c r="AI50" i="19"/>
  <c r="AI51" i="19"/>
  <c r="AI52" i="19"/>
  <c r="AI53" i="19"/>
  <c r="AI54" i="19"/>
  <c r="AI55" i="19"/>
  <c r="AI56" i="19"/>
  <c r="AI57" i="19"/>
  <c r="AI58" i="19"/>
  <c r="AI59" i="19"/>
  <c r="AI60" i="19"/>
  <c r="AI61" i="19"/>
  <c r="CE95" i="24"/>
  <c r="CO95" i="24"/>
  <c r="CH96" i="24"/>
  <c r="CP96" i="24"/>
  <c r="CE98" i="24"/>
  <c r="CM98" i="24"/>
  <c r="CU98" i="24"/>
  <c r="CE100" i="24"/>
  <c r="CM100" i="24"/>
  <c r="CU100" i="24"/>
  <c r="CG103" i="24"/>
  <c r="CO103" i="24"/>
  <c r="CW103" i="24"/>
  <c r="CE109" i="24"/>
  <c r="CM109" i="24"/>
  <c r="CU109" i="24"/>
  <c r="CE117" i="24"/>
  <c r="CM117" i="24"/>
  <c r="CU117" i="24"/>
  <c r="CC96" i="24"/>
  <c r="CM96" i="24"/>
  <c r="CK97" i="24"/>
  <c r="CG95" i="24"/>
  <c r="CR95" i="24"/>
  <c r="CB96" i="24"/>
  <c r="CJ96" i="24"/>
  <c r="CR96" i="24"/>
  <c r="BZ97" i="24"/>
  <c r="CH97" i="24"/>
  <c r="CP97" i="24"/>
  <c r="CG98" i="24"/>
  <c r="CO98" i="24"/>
  <c r="CW98" i="24"/>
  <c r="CG100" i="24"/>
  <c r="CO100" i="24"/>
  <c r="CW100" i="24"/>
  <c r="CB102" i="24"/>
  <c r="CJ102" i="24"/>
  <c r="CR102" i="24"/>
  <c r="CE115" i="24"/>
  <c r="CM115" i="24"/>
  <c r="CU115" i="24"/>
  <c r="AI62" i="19"/>
  <c r="BZ65" i="24"/>
  <c r="AI63" i="19"/>
  <c r="AI64" i="19"/>
  <c r="AI65" i="19"/>
  <c r="AI66" i="19"/>
  <c r="AI67" i="19"/>
  <c r="AI68" i="19"/>
  <c r="AI69" i="19"/>
  <c r="AI70" i="19"/>
  <c r="AI71" i="19"/>
  <c r="AI72" i="19"/>
  <c r="AI73" i="19"/>
  <c r="AI74" i="19"/>
  <c r="AI75" i="19"/>
  <c r="AI76" i="19"/>
  <c r="AI77" i="19"/>
  <c r="AI78" i="19"/>
  <c r="AI79" i="19"/>
  <c r="AI80" i="19"/>
  <c r="AI81" i="19"/>
  <c r="AI82" i="19"/>
  <c r="AI83" i="19"/>
  <c r="AI84" i="19"/>
  <c r="AI85" i="19"/>
  <c r="AI86" i="19"/>
  <c r="AI87" i="19"/>
  <c r="AI88" i="19"/>
  <c r="AI89" i="19"/>
  <c r="AI90" i="19"/>
  <c r="AI91" i="19"/>
  <c r="AI92" i="19"/>
  <c r="BZ98" i="24"/>
  <c r="CF122" i="24"/>
  <c r="CE122" i="24"/>
  <c r="CN122" i="24"/>
  <c r="CM122" i="24"/>
  <c r="CR64" i="24"/>
  <c r="CB97" i="24"/>
  <c r="CJ97" i="24"/>
  <c r="CR97" i="24"/>
  <c r="CE99" i="24"/>
  <c r="CM99" i="24"/>
  <c r="CU99" i="24"/>
  <c r="CE101" i="24"/>
  <c r="CM101" i="24"/>
  <c r="CU101" i="24"/>
  <c r="CE113" i="24"/>
  <c r="CM113" i="24"/>
  <c r="CU113" i="24"/>
  <c r="CV122" i="24"/>
  <c r="CS96" i="24"/>
  <c r="CM120" i="24"/>
  <c r="CT165" i="24"/>
  <c r="CU165" i="24"/>
  <c r="CG99" i="24"/>
  <c r="CO99" i="24"/>
  <c r="CW99" i="24"/>
  <c r="CG101" i="24"/>
  <c r="CO101" i="24"/>
  <c r="CW101" i="24"/>
  <c r="CE103" i="24"/>
  <c r="CM103" i="24"/>
  <c r="CU103" i="24"/>
  <c r="CE111" i="24"/>
  <c r="CM111" i="24"/>
  <c r="CU111" i="24"/>
  <c r="CE119" i="24"/>
  <c r="CM119" i="24"/>
  <c r="CU119" i="24"/>
  <c r="CH121" i="24"/>
  <c r="CG121" i="24"/>
  <c r="CP121" i="24"/>
  <c r="CO121" i="24"/>
  <c r="BZ122" i="24"/>
  <c r="CH128" i="24"/>
  <c r="CG128" i="24"/>
  <c r="CP128" i="24"/>
  <c r="CO128" i="24"/>
  <c r="CN120" i="24"/>
  <c r="AI118" i="19"/>
  <c r="CD123" i="24"/>
  <c r="CL123" i="24"/>
  <c r="CT123" i="24"/>
  <c r="AI122" i="19"/>
  <c r="CG125" i="24"/>
  <c r="CO125" i="24"/>
  <c r="CW125" i="24"/>
  <c r="CC127" i="24"/>
  <c r="AI125" i="19"/>
  <c r="CF129" i="24"/>
  <c r="CN129" i="24"/>
  <c r="CV129" i="24"/>
  <c r="BZ131" i="24"/>
  <c r="CH131" i="24"/>
  <c r="CP131" i="24"/>
  <c r="BZ148" i="24"/>
  <c r="CH148" i="24"/>
  <c r="CP148" i="24"/>
  <c r="CE157" i="24"/>
  <c r="CM157" i="24"/>
  <c r="CU157" i="24"/>
  <c r="CE165" i="24"/>
  <c r="CM165" i="24"/>
  <c r="BZ130" i="24"/>
  <c r="AI119" i="19"/>
  <c r="CD124" i="24"/>
  <c r="CL124" i="24"/>
  <c r="CT124" i="24"/>
  <c r="CF124" i="24"/>
  <c r="CF126" i="24"/>
  <c r="CN126" i="24"/>
  <c r="CV126" i="24"/>
  <c r="BZ129" i="24"/>
  <c r="CH129" i="24"/>
  <c r="CP129" i="24"/>
  <c r="CC130" i="24"/>
  <c r="CD131" i="24"/>
  <c r="BZ154" i="24"/>
  <c r="CH154" i="24"/>
  <c r="CP154" i="24"/>
  <c r="CE163" i="24"/>
  <c r="CM163" i="24"/>
  <c r="CU163" i="24"/>
  <c r="AI93" i="19"/>
  <c r="BZ96" i="24"/>
  <c r="AI94" i="19"/>
  <c r="AI95" i="19"/>
  <c r="AI96" i="19"/>
  <c r="AI97" i="19"/>
  <c r="AI98" i="19"/>
  <c r="AI99" i="19"/>
  <c r="AI100" i="19"/>
  <c r="AI101" i="19"/>
  <c r="AI102" i="19"/>
  <c r="AI103" i="19"/>
  <c r="AI104" i="19"/>
  <c r="AI105" i="19"/>
  <c r="AI106" i="19"/>
  <c r="AI107" i="19"/>
  <c r="AI108" i="19"/>
  <c r="AI109" i="19"/>
  <c r="AI110" i="19"/>
  <c r="AI111" i="19"/>
  <c r="AI112" i="19"/>
  <c r="AI113" i="19"/>
  <c r="AI114" i="19"/>
  <c r="AI115" i="19"/>
  <c r="AI116" i="19"/>
  <c r="AI117" i="19"/>
  <c r="CR120" i="24"/>
  <c r="CA122" i="24"/>
  <c r="CI122" i="24"/>
  <c r="CQ122" i="24"/>
  <c r="CB122" i="24"/>
  <c r="CU123" i="24"/>
  <c r="CB125" i="24"/>
  <c r="CJ125" i="24"/>
  <c r="CR125" i="24"/>
  <c r="CC125" i="24"/>
  <c r="CD128" i="24"/>
  <c r="BZ133" i="24"/>
  <c r="CH133" i="24"/>
  <c r="CP133" i="24"/>
  <c r="CF136" i="24"/>
  <c r="CN136" i="24"/>
  <c r="CV136" i="24"/>
  <c r="BZ137" i="24"/>
  <c r="CH137" i="24"/>
  <c r="CP137" i="24"/>
  <c r="CF140" i="24"/>
  <c r="CN140" i="24"/>
  <c r="CV140" i="24"/>
  <c r="BZ141" i="24"/>
  <c r="CH141" i="24"/>
  <c r="CP141" i="24"/>
  <c r="CF144" i="24"/>
  <c r="CN144" i="24"/>
  <c r="CV144" i="24"/>
  <c r="BZ145" i="24"/>
  <c r="CH145" i="24"/>
  <c r="CP145" i="24"/>
  <c r="BZ149" i="24"/>
  <c r="AI120" i="19"/>
  <c r="AI123" i="19"/>
  <c r="BY156" i="24"/>
  <c r="BZ126" i="24"/>
  <c r="CC170" i="24"/>
  <c r="CD170" i="24"/>
  <c r="CO122" i="24"/>
  <c r="CA123" i="24"/>
  <c r="CI123" i="24"/>
  <c r="CQ123" i="24"/>
  <c r="CM123" i="24"/>
  <c r="CP125" i="24"/>
  <c r="CA126" i="24"/>
  <c r="CI126" i="24"/>
  <c r="CQ126" i="24"/>
  <c r="CF132" i="24"/>
  <c r="CN132" i="24"/>
  <c r="CV132" i="24"/>
  <c r="CF135" i="24"/>
  <c r="CN135" i="24"/>
  <c r="CV135" i="24"/>
  <c r="BZ136" i="24"/>
  <c r="CH136" i="24"/>
  <c r="CP136" i="24"/>
  <c r="CF139" i="24"/>
  <c r="CN139" i="24"/>
  <c r="CV139" i="24"/>
  <c r="BZ140" i="24"/>
  <c r="CH140" i="24"/>
  <c r="CP140" i="24"/>
  <c r="CF143" i="24"/>
  <c r="CN143" i="24"/>
  <c r="CV143" i="24"/>
  <c r="BZ144" i="24"/>
  <c r="CH144" i="24"/>
  <c r="CP144" i="24"/>
  <c r="BZ147" i="24"/>
  <c r="CH147" i="24"/>
  <c r="CP147" i="24"/>
  <c r="BZ155" i="24"/>
  <c r="CH155" i="24"/>
  <c r="CP155" i="24"/>
  <c r="CE164" i="24"/>
  <c r="CM164" i="24"/>
  <c r="CU164" i="24"/>
  <c r="CL170" i="24"/>
  <c r="CT170" i="24"/>
  <c r="AI121" i="19"/>
  <c r="AI124" i="19"/>
  <c r="CS165" i="24"/>
  <c r="CE167" i="24"/>
  <c r="CM167" i="24"/>
  <c r="CU167" i="24"/>
  <c r="CG173" i="24"/>
  <c r="CO173" i="24"/>
  <c r="CW173" i="24"/>
  <c r="CE175" i="24"/>
  <c r="CM175" i="24"/>
  <c r="CU175" i="24"/>
  <c r="CD184" i="24"/>
  <c r="CL184" i="24"/>
  <c r="CT184" i="24"/>
  <c r="BY217" i="24"/>
  <c r="BZ188" i="24"/>
  <c r="CC197" i="24"/>
  <c r="CK201" i="24"/>
  <c r="CS201" i="24"/>
  <c r="AI126" i="19"/>
  <c r="AI127" i="19"/>
  <c r="AI128" i="19"/>
  <c r="AI129" i="19"/>
  <c r="AI130" i="19"/>
  <c r="AI131" i="19"/>
  <c r="AI132" i="19"/>
  <c r="AI133" i="19"/>
  <c r="AI134" i="19"/>
  <c r="AI135" i="19"/>
  <c r="AI136" i="19"/>
  <c r="AI137" i="19"/>
  <c r="AI138" i="19"/>
  <c r="AI139" i="19"/>
  <c r="AI140" i="19"/>
  <c r="AI141" i="19"/>
  <c r="AI142" i="19"/>
  <c r="AI143" i="19"/>
  <c r="AI144" i="19"/>
  <c r="AI145" i="19"/>
  <c r="AI146" i="19"/>
  <c r="AI147" i="19"/>
  <c r="AI148" i="19"/>
  <c r="AI149" i="19"/>
  <c r="AI150" i="19"/>
  <c r="AI151" i="19"/>
  <c r="AI152" i="19"/>
  <c r="AI153" i="19"/>
  <c r="CG167" i="24"/>
  <c r="CO167" i="24"/>
  <c r="CW167" i="24"/>
  <c r="CS168" i="24"/>
  <c r="CE169" i="24"/>
  <c r="CM169" i="24"/>
  <c r="CU169" i="24"/>
  <c r="CG175" i="24"/>
  <c r="CO175" i="24"/>
  <c r="CW175" i="24"/>
  <c r="CD182" i="24"/>
  <c r="CL182" i="24"/>
  <c r="CT182" i="24"/>
  <c r="CG166" i="24"/>
  <c r="CO166" i="24"/>
  <c r="CW166" i="24"/>
  <c r="CG168" i="24"/>
  <c r="CO168" i="24"/>
  <c r="CW168" i="24"/>
  <c r="CE170" i="24"/>
  <c r="CM170" i="24"/>
  <c r="CU170" i="24"/>
  <c r="CD177" i="24"/>
  <c r="CL177" i="24"/>
  <c r="CT177" i="24"/>
  <c r="CD185" i="24"/>
  <c r="CL185" i="24"/>
  <c r="CT185" i="24"/>
  <c r="CM192" i="24"/>
  <c r="CU192" i="24"/>
  <c r="CK197" i="24"/>
  <c r="CS197" i="24"/>
  <c r="AI163" i="19"/>
  <c r="BZ166" i="24"/>
  <c r="CC168" i="24"/>
  <c r="CE177" i="24"/>
  <c r="CM177" i="24"/>
  <c r="CD180" i="24"/>
  <c r="CL180" i="24"/>
  <c r="CT180" i="24"/>
  <c r="CA189" i="24"/>
  <c r="CI189" i="24"/>
  <c r="CQ189" i="24"/>
  <c r="CC193" i="24"/>
  <c r="CM200" i="24"/>
  <c r="CU200" i="24"/>
  <c r="AI154" i="19"/>
  <c r="BY186" i="24"/>
  <c r="BZ157" i="24"/>
  <c r="AI155" i="19"/>
  <c r="AI156" i="19"/>
  <c r="AI157" i="19"/>
  <c r="AI158" i="19"/>
  <c r="AI159" i="19"/>
  <c r="AI160" i="19"/>
  <c r="AI161" i="19"/>
  <c r="AI162" i="19"/>
  <c r="CC166" i="24"/>
  <c r="AI184" i="19"/>
  <c r="CC201" i="24"/>
  <c r="CE192" i="24"/>
  <c r="CA190" i="24"/>
  <c r="CI190" i="24"/>
  <c r="CQ190" i="24"/>
  <c r="CA194" i="24"/>
  <c r="CI194" i="24"/>
  <c r="CQ194" i="24"/>
  <c r="CA198" i="24"/>
  <c r="CI198" i="24"/>
  <c r="CQ198" i="24"/>
  <c r="CA202" i="24"/>
  <c r="CI202" i="24"/>
  <c r="CQ202" i="24"/>
  <c r="AI201" i="19"/>
  <c r="CA205" i="24"/>
  <c r="CI205" i="24"/>
  <c r="CQ205" i="24"/>
  <c r="CC207" i="24"/>
  <c r="CK207" i="24"/>
  <c r="CS207" i="24"/>
  <c r="CH211" i="24"/>
  <c r="CP211" i="24"/>
  <c r="CF213" i="24"/>
  <c r="CN213" i="24"/>
  <c r="CV213" i="24"/>
  <c r="CH214" i="24"/>
  <c r="CP214" i="24"/>
  <c r="CE224" i="24"/>
  <c r="CM224" i="24"/>
  <c r="CU224" i="24"/>
  <c r="CC186" i="24"/>
  <c r="CK186" i="24"/>
  <c r="CS186" i="24"/>
  <c r="CC190" i="24"/>
  <c r="AI188" i="19"/>
  <c r="CF192" i="24"/>
  <c r="CN192" i="24"/>
  <c r="CV192" i="24"/>
  <c r="CC194" i="24"/>
  <c r="AI192" i="19"/>
  <c r="CF196" i="24"/>
  <c r="CN196" i="24"/>
  <c r="CV196" i="24"/>
  <c r="CC198" i="24"/>
  <c r="AI196" i="19"/>
  <c r="CF200" i="24"/>
  <c r="CN200" i="24"/>
  <c r="CV200" i="24"/>
  <c r="CC202" i="24"/>
  <c r="AI200" i="19"/>
  <c r="CA204" i="24"/>
  <c r="CI204" i="24"/>
  <c r="CQ204" i="24"/>
  <c r="CC206" i="24"/>
  <c r="CK206" i="24"/>
  <c r="CS206" i="24"/>
  <c r="CF209" i="24"/>
  <c r="CN209" i="24"/>
  <c r="CV209" i="24"/>
  <c r="BZ212" i="24"/>
  <c r="CH212" i="24"/>
  <c r="CP212" i="24"/>
  <c r="CG217" i="24"/>
  <c r="CO217" i="24"/>
  <c r="CW217" i="24"/>
  <c r="CU217" i="24"/>
  <c r="CC220" i="24"/>
  <c r="CK220" i="24"/>
  <c r="CS220" i="24"/>
  <c r="BZ213" i="24"/>
  <c r="CE239" i="24"/>
  <c r="CD239" i="24"/>
  <c r="AI189" i="19"/>
  <c r="CF193" i="24"/>
  <c r="CN193" i="24"/>
  <c r="CV193" i="24"/>
  <c r="AI193" i="19"/>
  <c r="CF197" i="24"/>
  <c r="CN197" i="24"/>
  <c r="CV197" i="24"/>
  <c r="AI197" i="19"/>
  <c r="CF201" i="24"/>
  <c r="CN201" i="24"/>
  <c r="CV201" i="24"/>
  <c r="CC204" i="24"/>
  <c r="CK204" i="24"/>
  <c r="CS204" i="24"/>
  <c r="CF207" i="24"/>
  <c r="CN207" i="24"/>
  <c r="CV207" i="24"/>
  <c r="BZ209" i="24"/>
  <c r="CH209" i="24"/>
  <c r="CP209" i="24"/>
  <c r="CC211" i="24"/>
  <c r="CK211" i="24"/>
  <c r="CS211" i="24"/>
  <c r="CE217" i="24"/>
  <c r="CC219" i="24"/>
  <c r="CK219" i="24"/>
  <c r="CS219" i="24"/>
  <c r="CE220" i="24"/>
  <c r="CM220" i="24"/>
  <c r="CU220" i="24"/>
  <c r="CE225" i="24"/>
  <c r="CM225" i="24"/>
  <c r="CU225" i="24"/>
  <c r="CM239" i="24"/>
  <c r="CU239" i="24"/>
  <c r="AI164" i="19"/>
  <c r="AI165" i="19"/>
  <c r="AI166" i="19"/>
  <c r="AI167" i="19"/>
  <c r="AI168" i="19"/>
  <c r="AI169" i="19"/>
  <c r="AI170" i="19"/>
  <c r="AI171" i="19"/>
  <c r="AI172" i="19"/>
  <c r="AI173" i="19"/>
  <c r="AI174" i="19"/>
  <c r="AI175" i="19"/>
  <c r="AI176" i="19"/>
  <c r="AI177" i="19"/>
  <c r="AI178" i="19"/>
  <c r="AI179" i="19"/>
  <c r="AI180" i="19"/>
  <c r="AI181" i="19"/>
  <c r="AI182" i="19"/>
  <c r="AI183" i="19"/>
  <c r="CF186" i="24"/>
  <c r="CN186" i="24"/>
  <c r="CV186" i="24"/>
  <c r="CD191" i="24"/>
  <c r="CA192" i="24"/>
  <c r="CI192" i="24"/>
  <c r="CQ192" i="24"/>
  <c r="CB192" i="24"/>
  <c r="CD195" i="24"/>
  <c r="CA196" i="24"/>
  <c r="CI196" i="24"/>
  <c r="CQ196" i="24"/>
  <c r="CB196" i="24"/>
  <c r="CD199" i="24"/>
  <c r="CA200" i="24"/>
  <c r="CI200" i="24"/>
  <c r="CQ200" i="24"/>
  <c r="CB200" i="24"/>
  <c r="CC203" i="24"/>
  <c r="CK203" i="24"/>
  <c r="CS203" i="24"/>
  <c r="CF206" i="24"/>
  <c r="CN206" i="24"/>
  <c r="CV206" i="24"/>
  <c r="AI205" i="19"/>
  <c r="CC212" i="24"/>
  <c r="CK212" i="24"/>
  <c r="CS212" i="24"/>
  <c r="CF215" i="24"/>
  <c r="CN215" i="24"/>
  <c r="CV215" i="24"/>
  <c r="BZ216" i="24"/>
  <c r="AI190" i="19"/>
  <c r="AI194" i="19"/>
  <c r="AI198" i="19"/>
  <c r="AI204" i="19"/>
  <c r="CE235" i="24"/>
  <c r="CD235" i="24"/>
  <c r="CA193" i="24"/>
  <c r="CI193" i="24"/>
  <c r="CQ193" i="24"/>
  <c r="CA197" i="24"/>
  <c r="CI197" i="24"/>
  <c r="CQ197" i="24"/>
  <c r="CA201" i="24"/>
  <c r="CI201" i="24"/>
  <c r="CQ201" i="24"/>
  <c r="CF204" i="24"/>
  <c r="CN204" i="24"/>
  <c r="CV204" i="24"/>
  <c r="AI203" i="19"/>
  <c r="CA207" i="24"/>
  <c r="CI207" i="24"/>
  <c r="CQ207" i="24"/>
  <c r="CC209" i="24"/>
  <c r="CK209" i="24"/>
  <c r="CS209" i="24"/>
  <c r="CF211" i="24"/>
  <c r="CN211" i="24"/>
  <c r="CV211" i="24"/>
  <c r="CF214" i="24"/>
  <c r="CN214" i="24"/>
  <c r="CV214" i="24"/>
  <c r="BZ215" i="24"/>
  <c r="CH215" i="24"/>
  <c r="CP215" i="24"/>
  <c r="CM217" i="24"/>
  <c r="CE226" i="24"/>
  <c r="CM226" i="24"/>
  <c r="CU226" i="24"/>
  <c r="CM235" i="24"/>
  <c r="CU235" i="24"/>
  <c r="CC226" i="24"/>
  <c r="CK226" i="24"/>
  <c r="BZ228" i="24"/>
  <c r="CH228" i="24"/>
  <c r="CP228" i="24"/>
  <c r="BZ232" i="24"/>
  <c r="CH232" i="24"/>
  <c r="CP232" i="24"/>
  <c r="CI244" i="24"/>
  <c r="CM246" i="24"/>
  <c r="CL246" i="24"/>
  <c r="CU246" i="24"/>
  <c r="CT246" i="24"/>
  <c r="CI251" i="24"/>
  <c r="CH251" i="24"/>
  <c r="AI206" i="19"/>
  <c r="AI207" i="19"/>
  <c r="AI208" i="19"/>
  <c r="AI209" i="19"/>
  <c r="AI210" i="19"/>
  <c r="AI211" i="19"/>
  <c r="AI212" i="19"/>
  <c r="AI213" i="19"/>
  <c r="AI214" i="19"/>
  <c r="CF227" i="24"/>
  <c r="CN227" i="24"/>
  <c r="CV227" i="24"/>
  <c r="CB228" i="24"/>
  <c r="CJ228" i="24"/>
  <c r="CR228" i="24"/>
  <c r="CF229" i="24"/>
  <c r="CN229" i="24"/>
  <c r="CV229" i="24"/>
  <c r="BZ248" i="24"/>
  <c r="CA248" i="24"/>
  <c r="CH248" i="24"/>
  <c r="CI248" i="24"/>
  <c r="CP248" i="24"/>
  <c r="CQ248" i="24"/>
  <c r="BY248" i="24"/>
  <c r="CD255" i="24"/>
  <c r="CL255" i="24"/>
  <c r="CT255" i="24"/>
  <c r="CF226" i="24"/>
  <c r="CN226" i="24"/>
  <c r="CV226" i="24"/>
  <c r="CL232" i="24"/>
  <c r="CF235" i="24"/>
  <c r="CN235" i="24"/>
  <c r="CV235" i="24"/>
  <c r="CD236" i="24"/>
  <c r="CF239" i="24"/>
  <c r="CN239" i="24"/>
  <c r="CV239" i="24"/>
  <c r="CD240" i="24"/>
  <c r="CB247" i="24"/>
  <c r="CJ247" i="24"/>
  <c r="CR247" i="24"/>
  <c r="AI224" i="19"/>
  <c r="BZ227" i="24"/>
  <c r="BZ229" i="24"/>
  <c r="CT230" i="24"/>
  <c r="CD246" i="24"/>
  <c r="CA217" i="24"/>
  <c r="CI217" i="24"/>
  <c r="CQ217" i="24"/>
  <c r="AI215" i="19"/>
  <c r="AI216" i="19"/>
  <c r="AI217" i="19"/>
  <c r="AI218" i="19"/>
  <c r="AI219" i="19"/>
  <c r="AI220" i="19"/>
  <c r="AI221" i="19"/>
  <c r="AI222" i="19"/>
  <c r="AI223" i="19"/>
  <c r="CF231" i="24"/>
  <c r="CN231" i="24"/>
  <c r="CV231" i="24"/>
  <c r="CF234" i="24"/>
  <c r="CN234" i="24"/>
  <c r="CV234" i="24"/>
  <c r="CL236" i="24"/>
  <c r="CF238" i="24"/>
  <c r="CN238" i="24"/>
  <c r="CV238" i="24"/>
  <c r="CL240" i="24"/>
  <c r="CF242" i="24"/>
  <c r="CV242" i="24"/>
  <c r="CI250" i="24"/>
  <c r="CQ250" i="24"/>
  <c r="CD243" i="24"/>
  <c r="CG245" i="24"/>
  <c r="CO245" i="24"/>
  <c r="CW245" i="24"/>
  <c r="CD247" i="24"/>
  <c r="CB250" i="24"/>
  <c r="CJ250" i="24"/>
  <c r="CR250" i="24"/>
  <c r="AI249" i="19"/>
  <c r="CD256" i="24"/>
  <c r="CL256" i="24"/>
  <c r="CT256" i="24"/>
  <c r="CB261" i="24"/>
  <c r="CK262" i="24"/>
  <c r="CJ262" i="24"/>
  <c r="CS262" i="24"/>
  <c r="CR262" i="24"/>
  <c r="CH242" i="24"/>
  <c r="AI242" i="19"/>
  <c r="CP255" i="24"/>
  <c r="CI261" i="24"/>
  <c r="CJ261" i="24"/>
  <c r="CQ261" i="24"/>
  <c r="CR261" i="24"/>
  <c r="AI225" i="19"/>
  <c r="AI226" i="19"/>
  <c r="AI227" i="19"/>
  <c r="AI228" i="19"/>
  <c r="AI229" i="19"/>
  <c r="AI230" i="19"/>
  <c r="AI231" i="19"/>
  <c r="AI232" i="19"/>
  <c r="AI233" i="19"/>
  <c r="AI234" i="19"/>
  <c r="AI235" i="19"/>
  <c r="AI236" i="19"/>
  <c r="AI237" i="19"/>
  <c r="AI238" i="19"/>
  <c r="AI239" i="19"/>
  <c r="CD244" i="24"/>
  <c r="CG246" i="24"/>
  <c r="CO246" i="24"/>
  <c r="CW246" i="24"/>
  <c r="CU247" i="24"/>
  <c r="CC248" i="24"/>
  <c r="CK248" i="24"/>
  <c r="CS248" i="24"/>
  <c r="CD248" i="24"/>
  <c r="CD250" i="24"/>
  <c r="CL250" i="24"/>
  <c r="CT250" i="24"/>
  <c r="CB252" i="24"/>
  <c r="CJ252" i="24"/>
  <c r="CR252" i="24"/>
  <c r="AI251" i="19"/>
  <c r="AI254" i="19"/>
  <c r="AI243" i="19"/>
  <c r="AI252" i="19"/>
  <c r="CJ242" i="24"/>
  <c r="CR242" i="24"/>
  <c r="CG243" i="24"/>
  <c r="CO243" i="24"/>
  <c r="CW243" i="24"/>
  <c r="CG247" i="24"/>
  <c r="CO247" i="24"/>
  <c r="CW247" i="24"/>
  <c r="CN248" i="24"/>
  <c r="CM248" i="24"/>
  <c r="CV248" i="24"/>
  <c r="CU248" i="24"/>
  <c r="CG249" i="24"/>
  <c r="CD252" i="24"/>
  <c r="CL252" i="24"/>
  <c r="CT252" i="24"/>
  <c r="CH253" i="24"/>
  <c r="CB254" i="24"/>
  <c r="CJ254" i="24"/>
  <c r="CR254" i="24"/>
  <c r="AI253" i="19"/>
  <c r="CD259" i="24"/>
  <c r="CL259" i="24"/>
  <c r="CT259" i="24"/>
  <c r="AI240" i="19"/>
  <c r="AI244" i="19"/>
  <c r="AI246" i="19"/>
  <c r="BY278" i="24"/>
  <c r="BZ249" i="24"/>
  <c r="CC268" i="24"/>
  <c r="CB268" i="24"/>
  <c r="CK268" i="24"/>
  <c r="CJ268" i="24"/>
  <c r="CS268" i="24"/>
  <c r="CR268" i="24"/>
  <c r="CD260" i="24"/>
  <c r="CL260" i="24"/>
  <c r="CT260" i="24"/>
  <c r="CD263" i="24"/>
  <c r="CL263" i="24"/>
  <c r="CT263" i="24"/>
  <c r="CF265" i="24"/>
  <c r="CN265" i="24"/>
  <c r="CV265" i="24"/>
  <c r="CD267" i="24"/>
  <c r="CL267" i="24"/>
  <c r="CT267" i="24"/>
  <c r="BZ274" i="24"/>
  <c r="CH274" i="24"/>
  <c r="CP274" i="24"/>
  <c r="AI263" i="19"/>
  <c r="BZ266" i="24"/>
  <c r="BZ277" i="24"/>
  <c r="CN284" i="24"/>
  <c r="CF260" i="24"/>
  <c r="CN260" i="24"/>
  <c r="CV260" i="24"/>
  <c r="CD261" i="24"/>
  <c r="CL261" i="24"/>
  <c r="CT261" i="24"/>
  <c r="CF263" i="24"/>
  <c r="CN263" i="24"/>
  <c r="CV263" i="24"/>
  <c r="AI262" i="19"/>
  <c r="CA266" i="24"/>
  <c r="CI266" i="24"/>
  <c r="CQ266" i="24"/>
  <c r="CI260" i="24"/>
  <c r="CF262" i="24"/>
  <c r="CN262" i="24"/>
  <c r="CV262" i="24"/>
  <c r="AI261" i="19"/>
  <c r="CA265" i="24"/>
  <c r="CI265" i="24"/>
  <c r="CQ265" i="24"/>
  <c r="CB265" i="24"/>
  <c r="BZ275" i="24"/>
  <c r="CH275" i="24"/>
  <c r="CP275" i="24"/>
  <c r="CG278" i="24"/>
  <c r="CO278" i="24"/>
  <c r="CW278" i="24"/>
  <c r="AI255" i="19"/>
  <c r="AI256" i="19"/>
  <c r="AI257" i="19"/>
  <c r="AI260" i="19"/>
  <c r="BZ270" i="24"/>
  <c r="AI259" i="19"/>
  <c r="CA263" i="24"/>
  <c r="CI263" i="24"/>
  <c r="CQ263" i="24"/>
  <c r="CD266" i="24"/>
  <c r="CL266" i="24"/>
  <c r="CT266" i="24"/>
  <c r="AI258" i="19"/>
  <c r="CA262" i="24"/>
  <c r="CI262" i="24"/>
  <c r="CQ262" i="24"/>
  <c r="CD265" i="24"/>
  <c r="CL265" i="24"/>
  <c r="CT265" i="24"/>
  <c r="BZ269" i="24"/>
  <c r="CH269" i="24"/>
  <c r="CP269" i="24"/>
  <c r="BZ276" i="24"/>
  <c r="CH276" i="24"/>
  <c r="CP276" i="24"/>
  <c r="CF284" i="24"/>
  <c r="CV284" i="24"/>
  <c r="AI264" i="19"/>
  <c r="AI265" i="19"/>
  <c r="AI266" i="19"/>
  <c r="AI267" i="19"/>
  <c r="AI268" i="19"/>
  <c r="AI269" i="19"/>
  <c r="AI270" i="19"/>
  <c r="AI271" i="19"/>
  <c r="AI272" i="19"/>
  <c r="AI273" i="19"/>
  <c r="AI274" i="19"/>
  <c r="AI275" i="19"/>
  <c r="CR281" i="24"/>
  <c r="CC282" i="24"/>
  <c r="CK282" i="24"/>
  <c r="CS282" i="24"/>
  <c r="CG283" i="24"/>
  <c r="CO283" i="24"/>
  <c r="CW283" i="24"/>
  <c r="CA292" i="24"/>
  <c r="CI292" i="24"/>
  <c r="CQ292" i="24"/>
  <c r="CH327" i="24"/>
  <c r="CI327" i="24"/>
  <c r="AI280" i="19"/>
  <c r="CG284" i="24"/>
  <c r="CO284" i="24"/>
  <c r="CW284" i="24"/>
  <c r="CA295" i="24"/>
  <c r="CI295" i="24"/>
  <c r="CQ295" i="24"/>
  <c r="AI281" i="19"/>
  <c r="AI276" i="19"/>
  <c r="BY309" i="24"/>
  <c r="BZ279" i="24"/>
  <c r="AI277" i="19"/>
  <c r="AI278" i="19"/>
  <c r="CC303" i="24"/>
  <c r="CB303" i="24"/>
  <c r="CS303" i="24"/>
  <c r="CR303" i="24"/>
  <c r="CB278" i="24"/>
  <c r="CJ278" i="24"/>
  <c r="CR278" i="24"/>
  <c r="CA281" i="24"/>
  <c r="CI281" i="24"/>
  <c r="CQ281" i="24"/>
  <c r="CB281" i="24"/>
  <c r="CG282" i="24"/>
  <c r="CO282" i="24"/>
  <c r="CW282" i="24"/>
  <c r="CC283" i="24"/>
  <c r="CK283" i="24"/>
  <c r="CS283" i="24"/>
  <c r="CA285" i="24"/>
  <c r="CI285" i="24"/>
  <c r="CQ285" i="24"/>
  <c r="AI283" i="19"/>
  <c r="CG287" i="24"/>
  <c r="CO287" i="24"/>
  <c r="CA288" i="24"/>
  <c r="CI288" i="24"/>
  <c r="CQ288" i="24"/>
  <c r="CA296" i="24"/>
  <c r="CI296" i="24"/>
  <c r="CQ296" i="24"/>
  <c r="CK303" i="24"/>
  <c r="AI279" i="19"/>
  <c r="AI284" i="19"/>
  <c r="CA282" i="24"/>
  <c r="CI282" i="24"/>
  <c r="CQ282" i="24"/>
  <c r="CA287" i="24"/>
  <c r="CI287" i="24"/>
  <c r="CQ287" i="24"/>
  <c r="CA294" i="24"/>
  <c r="CI294" i="24"/>
  <c r="CQ294" i="24"/>
  <c r="CA300" i="24"/>
  <c r="CI300" i="24"/>
  <c r="CQ300" i="24"/>
  <c r="CB300" i="24"/>
  <c r="CR300" i="24"/>
  <c r="CD302" i="24"/>
  <c r="CL302" i="24"/>
  <c r="CT302" i="24"/>
  <c r="CA311" i="24"/>
  <c r="CI311" i="24"/>
  <c r="CQ311" i="24"/>
  <c r="CA319" i="24"/>
  <c r="CI319" i="24"/>
  <c r="CQ319" i="24"/>
  <c r="CA327" i="24"/>
  <c r="CQ327" i="24"/>
  <c r="CG301" i="24"/>
  <c r="CO301" i="24"/>
  <c r="CA317" i="24"/>
  <c r="CI317" i="24"/>
  <c r="CQ317" i="24"/>
  <c r="CA325" i="24"/>
  <c r="CI325" i="24"/>
  <c r="CQ325" i="24"/>
  <c r="CD300" i="24"/>
  <c r="CL300" i="24"/>
  <c r="CT300" i="24"/>
  <c r="AI298" i="19"/>
  <c r="CD306" i="24"/>
  <c r="CL306" i="24"/>
  <c r="CT306" i="24"/>
  <c r="CC309" i="24"/>
  <c r="CK309" i="24"/>
  <c r="CS309" i="24"/>
  <c r="CA312" i="24"/>
  <c r="CI312" i="24"/>
  <c r="CQ312" i="24"/>
  <c r="AI299" i="19"/>
  <c r="AI307" i="19"/>
  <c r="BY339" i="24"/>
  <c r="BZ310" i="24"/>
  <c r="CA302" i="24"/>
  <c r="CI302" i="24"/>
  <c r="CQ302" i="24"/>
  <c r="CD305" i="24"/>
  <c r="CL305" i="24"/>
  <c r="CT305" i="24"/>
  <c r="CA310" i="24"/>
  <c r="CI310" i="24"/>
  <c r="CQ310" i="24"/>
  <c r="CA318" i="24"/>
  <c r="CI318" i="24"/>
  <c r="CQ318" i="24"/>
  <c r="CA326" i="24"/>
  <c r="CI326" i="24"/>
  <c r="CQ326" i="24"/>
  <c r="CG300" i="24"/>
  <c r="CO300" i="24"/>
  <c r="CW300" i="24"/>
  <c r="CD307" i="24"/>
  <c r="CL307" i="24"/>
  <c r="CT307" i="24"/>
  <c r="CA313" i="24"/>
  <c r="CI313" i="24"/>
  <c r="CQ313" i="24"/>
  <c r="CA321" i="24"/>
  <c r="CI321" i="24"/>
  <c r="CQ321" i="24"/>
  <c r="CV327" i="24"/>
  <c r="AI300" i="19"/>
  <c r="AI301" i="19"/>
  <c r="AI302" i="19"/>
  <c r="AI303" i="19"/>
  <c r="AI304" i="19"/>
  <c r="AI305" i="19"/>
  <c r="AI306" i="19"/>
  <c r="CE327" i="24"/>
  <c r="CM327" i="24"/>
  <c r="CU327" i="24"/>
  <c r="AX325" i="13"/>
  <c r="AF325" i="19" s="1"/>
  <c r="FG142" i="20"/>
  <c r="FG106" i="20"/>
  <c r="FG134" i="20"/>
  <c r="FG47" i="20"/>
  <c r="FG147" i="20"/>
  <c r="FG20" i="20"/>
  <c r="FG124" i="20"/>
  <c r="FG139" i="20"/>
  <c r="FG145" i="20"/>
  <c r="FG41" i="20"/>
  <c r="FG107" i="20"/>
  <c r="FG164" i="20"/>
  <c r="BN4" i="19" l="1"/>
  <c r="BA233" i="19"/>
  <c r="AH229" i="19"/>
  <c r="BA225" i="19"/>
  <c r="AZ216" i="19"/>
  <c r="BA212" i="19"/>
  <c r="AH204" i="19"/>
  <c r="BA200" i="19"/>
  <c r="BA190" i="19"/>
  <c r="AA2" i="19"/>
  <c r="AB2" i="19" s="1"/>
  <c r="BM2" i="19" s="1"/>
  <c r="AF188" i="19"/>
  <c r="BA186" i="19"/>
  <c r="AH182" i="19"/>
  <c r="BN24" i="19"/>
  <c r="AH174" i="19"/>
  <c r="AH166" i="19"/>
  <c r="BA146" i="19"/>
  <c r="AH130" i="19"/>
  <c r="BA128" i="19"/>
  <c r="AH115" i="19"/>
  <c r="AH112" i="19"/>
  <c r="BA101" i="19"/>
  <c r="AH95" i="19"/>
  <c r="BN17" i="19"/>
  <c r="BN23" i="19"/>
  <c r="BN8" i="19"/>
  <c r="AH138" i="19"/>
  <c r="AH83" i="19"/>
  <c r="AH75" i="19"/>
  <c r="BA71" i="19"/>
  <c r="AH67" i="19"/>
  <c r="AH85" i="19"/>
  <c r="AH69" i="19"/>
  <c r="BA63" i="19"/>
  <c r="AH55" i="19"/>
  <c r="BA53" i="19"/>
  <c r="AH47" i="19"/>
  <c r="BA45" i="19"/>
  <c r="BA43" i="19"/>
  <c r="BA23" i="19"/>
  <c r="BA15" i="19"/>
  <c r="BM12" i="19"/>
  <c r="BH367" i="19"/>
  <c r="AG28" i="19"/>
  <c r="AH327" i="19"/>
  <c r="AH143" i="19"/>
  <c r="AH116" i="19"/>
  <c r="AH92" i="19"/>
  <c r="AZ68" i="19"/>
  <c r="AG4" i="19"/>
  <c r="BA270" i="19"/>
  <c r="AH183" i="19"/>
  <c r="AH127" i="19"/>
  <c r="AH76" i="19"/>
  <c r="BA40" i="19"/>
  <c r="AZ212" i="19"/>
  <c r="AH318" i="19"/>
  <c r="BA286" i="19"/>
  <c r="AH151" i="19"/>
  <c r="BA52" i="19"/>
  <c r="AZ12" i="19"/>
  <c r="AH294" i="19"/>
  <c r="AH191" i="19"/>
  <c r="BA135" i="19"/>
  <c r="AZ20" i="19"/>
  <c r="AH192" i="19"/>
  <c r="BA264" i="19"/>
  <c r="BA310" i="19"/>
  <c r="BA278" i="19"/>
  <c r="AH230" i="19"/>
  <c r="AH159" i="19"/>
  <c r="AH119" i="19"/>
  <c r="BA262" i="19"/>
  <c r="AG199" i="19"/>
  <c r="AH167" i="19"/>
  <c r="BA84" i="19"/>
  <c r="AH108" i="19"/>
  <c r="BA295" i="19"/>
  <c r="AH239" i="19"/>
  <c r="BA231" i="19"/>
  <c r="BA117" i="19"/>
  <c r="BA5" i="19"/>
  <c r="BN27" i="19"/>
  <c r="BA165" i="19"/>
  <c r="AF39" i="19"/>
  <c r="BA300" i="19"/>
  <c r="BA319" i="19"/>
  <c r="AH271" i="19"/>
  <c r="AZ244" i="19"/>
  <c r="AH197" i="19"/>
  <c r="BA144" i="19"/>
  <c r="AH133" i="19"/>
  <c r="BA93" i="19"/>
  <c r="BA74" i="19"/>
  <c r="AH37" i="19"/>
  <c r="AH44" i="19"/>
  <c r="AH8" i="19"/>
  <c r="BN25" i="19"/>
  <c r="BN26" i="19"/>
  <c r="AH214" i="19"/>
  <c r="AH279" i="19"/>
  <c r="AG202" i="19"/>
  <c r="AZ192" i="19"/>
  <c r="AG184" i="19"/>
  <c r="BA176" i="19"/>
  <c r="AH168" i="19"/>
  <c r="BA13" i="19"/>
  <c r="BA224" i="19"/>
  <c r="AZ292" i="19"/>
  <c r="AG260" i="19"/>
  <c r="BN18" i="19"/>
  <c r="BA136" i="19"/>
  <c r="AH109" i="19"/>
  <c r="AB281" i="19"/>
  <c r="BM281" i="19" s="1"/>
  <c r="AB311" i="19"/>
  <c r="BM311" i="19" s="1"/>
  <c r="AB292" i="19"/>
  <c r="BM292" i="19" s="1"/>
  <c r="AB291" i="19"/>
  <c r="BM291" i="19" s="1"/>
  <c r="AB314" i="19"/>
  <c r="BM314" i="19" s="1"/>
  <c r="AB303" i="19"/>
  <c r="BM303" i="19" s="1"/>
  <c r="AB289" i="19"/>
  <c r="BM289" i="19" s="1"/>
  <c r="AB295" i="19"/>
  <c r="BM295" i="19" s="1"/>
  <c r="AB282" i="19"/>
  <c r="BM282" i="19" s="1"/>
  <c r="AB321" i="19"/>
  <c r="BM321" i="19" s="1"/>
  <c r="AB320" i="19"/>
  <c r="BM320" i="19" s="1"/>
  <c r="AB323" i="19"/>
  <c r="BM323" i="19" s="1"/>
  <c r="AB287" i="19"/>
  <c r="BM287" i="19" s="1"/>
  <c r="AQ306" i="19"/>
  <c r="BA311" i="19"/>
  <c r="AH309" i="19"/>
  <c r="BA301" i="19"/>
  <c r="BA317" i="19"/>
  <c r="AH313" i="19"/>
  <c r="AH321" i="19"/>
  <c r="AH280" i="19"/>
  <c r="AH281" i="19"/>
  <c r="AZ276" i="19"/>
  <c r="AG332" i="19"/>
  <c r="BA268" i="19"/>
  <c r="AH265" i="19"/>
  <c r="BA254" i="19"/>
  <c r="BA253" i="19"/>
  <c r="J228" i="17"/>
  <c r="L228" i="17" s="1"/>
  <c r="J238" i="17"/>
  <c r="L238" i="17" s="1"/>
  <c r="BA232" i="19"/>
  <c r="AH222" i="19"/>
  <c r="CJ367" i="19"/>
  <c r="B212" i="14"/>
  <c r="Y367" i="19"/>
  <c r="BA328" i="19"/>
  <c r="AE236" i="19"/>
  <c r="AH65" i="19"/>
  <c r="BA89" i="19"/>
  <c r="AH41" i="19"/>
  <c r="AH97" i="19"/>
  <c r="AH81" i="19"/>
  <c r="AF266" i="19"/>
  <c r="AH113" i="19"/>
  <c r="AH57" i="19"/>
  <c r="AF243" i="19"/>
  <c r="AI367" i="19"/>
  <c r="AH196" i="19"/>
  <c r="AZ296" i="19"/>
  <c r="BA20" i="19"/>
  <c r="AF220" i="19"/>
  <c r="AZ288" i="19"/>
  <c r="AH110" i="19"/>
  <c r="AZ204" i="19"/>
  <c r="AE252" i="19"/>
  <c r="BA215" i="19"/>
  <c r="BA62" i="19"/>
  <c r="AE234" i="19"/>
  <c r="AE226" i="19"/>
  <c r="J54" i="17"/>
  <c r="L54" i="17" s="1"/>
  <c r="AG256" i="19"/>
  <c r="AH161" i="19"/>
  <c r="AH145" i="19"/>
  <c r="AE176" i="19"/>
  <c r="AF67" i="19"/>
  <c r="AZ280" i="19"/>
  <c r="AH274" i="19"/>
  <c r="AH179" i="19"/>
  <c r="AF155" i="19"/>
  <c r="AH218" i="19"/>
  <c r="BA306" i="19"/>
  <c r="BA121" i="19"/>
  <c r="AF269" i="19"/>
  <c r="AF224" i="19"/>
  <c r="AE4" i="19"/>
  <c r="AE138" i="19"/>
  <c r="BA272" i="19"/>
  <c r="AF222" i="19"/>
  <c r="AZ248" i="19"/>
  <c r="AG324" i="19"/>
  <c r="BA240" i="19"/>
  <c r="AG272" i="19"/>
  <c r="AH177" i="19"/>
  <c r="AH147" i="19"/>
  <c r="BA137" i="19"/>
  <c r="BA129" i="19"/>
  <c r="AH30" i="19"/>
  <c r="AF166" i="19"/>
  <c r="AF259" i="19"/>
  <c r="AF20" i="19"/>
  <c r="AE90" i="19"/>
  <c r="AZ304" i="19"/>
  <c r="AG264" i="19"/>
  <c r="AH169" i="19"/>
  <c r="BA86" i="19"/>
  <c r="BA78" i="19"/>
  <c r="D49" i="57"/>
  <c r="BA153" i="19"/>
  <c r="I269" i="17"/>
  <c r="I307" i="17"/>
  <c r="BA152" i="19"/>
  <c r="AH149" i="19"/>
  <c r="B49" i="57"/>
  <c r="C49" i="57"/>
  <c r="I271" i="17"/>
  <c r="I264" i="17"/>
  <c r="I286" i="17"/>
  <c r="I270" i="17"/>
  <c r="J158" i="17"/>
  <c r="L158" i="17" s="1"/>
  <c r="I317" i="17"/>
  <c r="J197" i="17"/>
  <c r="L197" i="17" s="1"/>
  <c r="J123" i="17"/>
  <c r="L123" i="17" s="1"/>
  <c r="AA313" i="19"/>
  <c r="AA332" i="19"/>
  <c r="AB332" i="19" s="1"/>
  <c r="BM332" i="19" s="1"/>
  <c r="AA316" i="19"/>
  <c r="AA300" i="19"/>
  <c r="AA257" i="19"/>
  <c r="AB257" i="19" s="1"/>
  <c r="BM257" i="19" s="1"/>
  <c r="AA55" i="19"/>
  <c r="AB55" i="19" s="1"/>
  <c r="BM55" i="19" s="1"/>
  <c r="AA31" i="19"/>
  <c r="AB31" i="19" s="1"/>
  <c r="BM31" i="19" s="1"/>
  <c r="AA169" i="19"/>
  <c r="AB169" i="19" s="1"/>
  <c r="BM169" i="19" s="1"/>
  <c r="AA266" i="19"/>
  <c r="AB266" i="19" s="1"/>
  <c r="BM266" i="19" s="1"/>
  <c r="AA22" i="19"/>
  <c r="AB22" i="19" s="1"/>
  <c r="BM22" i="19" s="1"/>
  <c r="AA293" i="19"/>
  <c r="AA192" i="19"/>
  <c r="AB192" i="19" s="1"/>
  <c r="BM192" i="19" s="1"/>
  <c r="AA155" i="19"/>
  <c r="AB155" i="19" s="1"/>
  <c r="BM155" i="19" s="1"/>
  <c r="AA302" i="19"/>
  <c r="AA148" i="19"/>
  <c r="AB148" i="19" s="1"/>
  <c r="BM148" i="19" s="1"/>
  <c r="AA190" i="19"/>
  <c r="AB190" i="19" s="1"/>
  <c r="BM190" i="19" s="1"/>
  <c r="AA309" i="19"/>
  <c r="AA39" i="19"/>
  <c r="AB39" i="19" s="1"/>
  <c r="BM39" i="19" s="1"/>
  <c r="AA151" i="19"/>
  <c r="AB151" i="19" s="1"/>
  <c r="BM151" i="19" s="1"/>
  <c r="AA23" i="19"/>
  <c r="AB23" i="19" s="1"/>
  <c r="BM23" i="19" s="1"/>
  <c r="AA41" i="19"/>
  <c r="AB41" i="19" s="1"/>
  <c r="BM41" i="19" s="1"/>
  <c r="AA150" i="19"/>
  <c r="AB150" i="19" s="1"/>
  <c r="BM150" i="19" s="1"/>
  <c r="AA78" i="19"/>
  <c r="AB78" i="19" s="1"/>
  <c r="BM78" i="19" s="1"/>
  <c r="AA14" i="19"/>
  <c r="AB14" i="19" s="1"/>
  <c r="BM14" i="19" s="1"/>
  <c r="AA262" i="19"/>
  <c r="AB262" i="19" s="1"/>
  <c r="BM262" i="19" s="1"/>
  <c r="AA140" i="19"/>
  <c r="AB140" i="19" s="1"/>
  <c r="BM140" i="19" s="1"/>
  <c r="AA172" i="19"/>
  <c r="AB172" i="19" s="1"/>
  <c r="BM172" i="19" s="1"/>
  <c r="AA5" i="19"/>
  <c r="AB5" i="19" s="1"/>
  <c r="BM5" i="19" s="1"/>
  <c r="AA269" i="19"/>
  <c r="AB269" i="19" s="1"/>
  <c r="BM269" i="19" s="1"/>
  <c r="AA206" i="19"/>
  <c r="AB206" i="19" s="1"/>
  <c r="BM206" i="19" s="1"/>
  <c r="AA305" i="19"/>
  <c r="AA233" i="19"/>
  <c r="AB233" i="19" s="1"/>
  <c r="BM233" i="19" s="1"/>
  <c r="AA312" i="19"/>
  <c r="AA296" i="19"/>
  <c r="AA232" i="19"/>
  <c r="AB232" i="19" s="1"/>
  <c r="BM232" i="19" s="1"/>
  <c r="AA143" i="19"/>
  <c r="AB143" i="19" s="1"/>
  <c r="BM143" i="19" s="1"/>
  <c r="AA15" i="19"/>
  <c r="AB15" i="19" s="1"/>
  <c r="BM15" i="19" s="1"/>
  <c r="AA135" i="19"/>
  <c r="AB135" i="19" s="1"/>
  <c r="BM135" i="19" s="1"/>
  <c r="AA221" i="19"/>
  <c r="AB221" i="19" s="1"/>
  <c r="BM221" i="19" s="1"/>
  <c r="AA153" i="19"/>
  <c r="AB153" i="19" s="1"/>
  <c r="BM153" i="19" s="1"/>
  <c r="AA97" i="19"/>
  <c r="AB97" i="19" s="1"/>
  <c r="BM97" i="19" s="1"/>
  <c r="AA33" i="19"/>
  <c r="AB33" i="19" s="1"/>
  <c r="BM33" i="19" s="1"/>
  <c r="AA234" i="19"/>
  <c r="AB234" i="19" s="1"/>
  <c r="BM234" i="19" s="1"/>
  <c r="AA142" i="19"/>
  <c r="AB142" i="19" s="1"/>
  <c r="BM142" i="19" s="1"/>
  <c r="AA6" i="19"/>
  <c r="AB6" i="19" s="1"/>
  <c r="BM6" i="19" s="1"/>
  <c r="AA59" i="19"/>
  <c r="AB59" i="19" s="1"/>
  <c r="BM59" i="19" s="1"/>
  <c r="AA123" i="19"/>
  <c r="AB123" i="19" s="1"/>
  <c r="BM123" i="19" s="1"/>
  <c r="AA139" i="19"/>
  <c r="AB139" i="19" s="1"/>
  <c r="BM139" i="19" s="1"/>
  <c r="AA52" i="19"/>
  <c r="AB52" i="19" s="1"/>
  <c r="BM52" i="19" s="1"/>
  <c r="AA132" i="19"/>
  <c r="AB132" i="19" s="1"/>
  <c r="BM132" i="19" s="1"/>
  <c r="AA171" i="19"/>
  <c r="AB171" i="19" s="1"/>
  <c r="BM171" i="19" s="1"/>
  <c r="AA294" i="19"/>
  <c r="AA336" i="19"/>
  <c r="AB336" i="19" s="1"/>
  <c r="BM336" i="19" s="1"/>
  <c r="AA301" i="19"/>
  <c r="AA216" i="19"/>
  <c r="AB216" i="19" s="1"/>
  <c r="BM216" i="19" s="1"/>
  <c r="AA7" i="19"/>
  <c r="AB7" i="19" s="1"/>
  <c r="BM7" i="19" s="1"/>
  <c r="AA119" i="19"/>
  <c r="AB119" i="19" s="1"/>
  <c r="BM119" i="19" s="1"/>
  <c r="AA145" i="19"/>
  <c r="AB145" i="19" s="1"/>
  <c r="BM145" i="19" s="1"/>
  <c r="AA25" i="19"/>
  <c r="AB25" i="19" s="1"/>
  <c r="BM25" i="19" s="1"/>
  <c r="AA217" i="19"/>
  <c r="AB217" i="19" s="1"/>
  <c r="BM217" i="19" s="1"/>
  <c r="AA134" i="19"/>
  <c r="AB134" i="19" s="1"/>
  <c r="BM134" i="19" s="1"/>
  <c r="AA62" i="19"/>
  <c r="AB62" i="19" s="1"/>
  <c r="BM62" i="19" s="1"/>
  <c r="AA273" i="19"/>
  <c r="AB273" i="19" s="1"/>
  <c r="BM273" i="19" s="1"/>
  <c r="AA207" i="19"/>
  <c r="AB207" i="19" s="1"/>
  <c r="BM207" i="19" s="1"/>
  <c r="AA115" i="19"/>
  <c r="AB115" i="19" s="1"/>
  <c r="BM115" i="19" s="1"/>
  <c r="AA20" i="19"/>
  <c r="AB20" i="19" s="1"/>
  <c r="BM20" i="19" s="1"/>
  <c r="AA45" i="19"/>
  <c r="AB45" i="19" s="1"/>
  <c r="BM45" i="19" s="1"/>
  <c r="AA229" i="19"/>
  <c r="AB229" i="19" s="1"/>
  <c r="BM229" i="19" s="1"/>
  <c r="AA263" i="19"/>
  <c r="AB263" i="19" s="1"/>
  <c r="BM263" i="19" s="1"/>
  <c r="AA117" i="19"/>
  <c r="AB117" i="19" s="1"/>
  <c r="BM117" i="19" s="1"/>
  <c r="AA270" i="19"/>
  <c r="AB270" i="19" s="1"/>
  <c r="BM270" i="19" s="1"/>
  <c r="AA208" i="19"/>
  <c r="AB208" i="19" s="1"/>
  <c r="BM208" i="19" s="1"/>
  <c r="AA310" i="19"/>
  <c r="AA100" i="19"/>
  <c r="AB100" i="19" s="1"/>
  <c r="BM100" i="19" s="1"/>
  <c r="AA223" i="19"/>
  <c r="AB223" i="19" s="1"/>
  <c r="BM223" i="19" s="1"/>
  <c r="AA329" i="19"/>
  <c r="AB329" i="19" s="1"/>
  <c r="BM329" i="19" s="1"/>
  <c r="AA297" i="19"/>
  <c r="AA324" i="19"/>
  <c r="AA308" i="19"/>
  <c r="AA225" i="19"/>
  <c r="AB225" i="19" s="1"/>
  <c r="BM225" i="19" s="1"/>
  <c r="AA111" i="19"/>
  <c r="AB111" i="19" s="1"/>
  <c r="BM111" i="19" s="1"/>
  <c r="AA103" i="19"/>
  <c r="AB103" i="19" s="1"/>
  <c r="BM103" i="19" s="1"/>
  <c r="AA137" i="19"/>
  <c r="AB137" i="19" s="1"/>
  <c r="BM137" i="19" s="1"/>
  <c r="AA17" i="19"/>
  <c r="AB17" i="19" s="1"/>
  <c r="BM17" i="19" s="1"/>
  <c r="AA126" i="19"/>
  <c r="AB126" i="19" s="1"/>
  <c r="BM126" i="19" s="1"/>
  <c r="AA54" i="19"/>
  <c r="AB54" i="19" s="1"/>
  <c r="BM54" i="19" s="1"/>
  <c r="AA101" i="19"/>
  <c r="AB101" i="19" s="1"/>
  <c r="BM101" i="19" s="1"/>
  <c r="AA230" i="19"/>
  <c r="AB230" i="19" s="1"/>
  <c r="BM230" i="19" s="1"/>
  <c r="AA224" i="19"/>
  <c r="AB224" i="19" s="1"/>
  <c r="BM224" i="19" s="1"/>
  <c r="AA53" i="19"/>
  <c r="AB53" i="19" s="1"/>
  <c r="BM53" i="19" s="1"/>
  <c r="AA13" i="19"/>
  <c r="AB13" i="19" s="1"/>
  <c r="BM13" i="19" s="1"/>
  <c r="AA116" i="19"/>
  <c r="AB116" i="19" s="1"/>
  <c r="BM116" i="19" s="1"/>
  <c r="AA36" i="19"/>
  <c r="AB36" i="19" s="1"/>
  <c r="BM36" i="19" s="1"/>
  <c r="AA131" i="19"/>
  <c r="AB131" i="19" s="1"/>
  <c r="BM131" i="19" s="1"/>
  <c r="AA325" i="19"/>
  <c r="AA272" i="19"/>
  <c r="AB272" i="19" s="1"/>
  <c r="BM272" i="19" s="1"/>
  <c r="AA184" i="19"/>
  <c r="AB184" i="19" s="1"/>
  <c r="BM184" i="19" s="1"/>
  <c r="AA209" i="19"/>
  <c r="AB209" i="19" s="1"/>
  <c r="BM209" i="19" s="1"/>
  <c r="AA95" i="19"/>
  <c r="AB95" i="19" s="1"/>
  <c r="BM95" i="19" s="1"/>
  <c r="AA253" i="19"/>
  <c r="AB253" i="19" s="1"/>
  <c r="BM253" i="19" s="1"/>
  <c r="AA79" i="19"/>
  <c r="AB79" i="19" s="1"/>
  <c r="BM79" i="19" s="1"/>
  <c r="AA129" i="19"/>
  <c r="AB129" i="19" s="1"/>
  <c r="BM129" i="19" s="1"/>
  <c r="AA9" i="19"/>
  <c r="AB9" i="19" s="1"/>
  <c r="BM9" i="19" s="1"/>
  <c r="AA118" i="19"/>
  <c r="AB118" i="19" s="1"/>
  <c r="BM118" i="19" s="1"/>
  <c r="AA46" i="19"/>
  <c r="AB46" i="19" s="1"/>
  <c r="BM46" i="19" s="1"/>
  <c r="AA109" i="19"/>
  <c r="AB109" i="19" s="1"/>
  <c r="BM109" i="19" s="1"/>
  <c r="AA222" i="19"/>
  <c r="AB222" i="19" s="1"/>
  <c r="BM222" i="19" s="1"/>
  <c r="AA213" i="19"/>
  <c r="AB213" i="19" s="1"/>
  <c r="BM213" i="19" s="1"/>
  <c r="AA21" i="19"/>
  <c r="AB21" i="19" s="1"/>
  <c r="BM21" i="19" s="1"/>
  <c r="AA107" i="19"/>
  <c r="AB107" i="19" s="1"/>
  <c r="BM107" i="19" s="1"/>
  <c r="AA29" i="19"/>
  <c r="AB29" i="19" s="1"/>
  <c r="BM29" i="19" s="1"/>
  <c r="AA231" i="19"/>
  <c r="AB231" i="19" s="1"/>
  <c r="BM231" i="19" s="1"/>
  <c r="AA334" i="19"/>
  <c r="AB334" i="19" s="1"/>
  <c r="BM334" i="19" s="1"/>
  <c r="AA330" i="19"/>
  <c r="AB330" i="19" s="1"/>
  <c r="BM330" i="19" s="1"/>
  <c r="AA125" i="19"/>
  <c r="AB125" i="19" s="1"/>
  <c r="BM125" i="19" s="1"/>
  <c r="AA164" i="19"/>
  <c r="AB164" i="19" s="1"/>
  <c r="BM164" i="19" s="1"/>
  <c r="AA146" i="19"/>
  <c r="AB146" i="19" s="1"/>
  <c r="BM146" i="19" s="1"/>
  <c r="AA333" i="19"/>
  <c r="AB333" i="19" s="1"/>
  <c r="BM333" i="19" s="1"/>
  <c r="AA304" i="19"/>
  <c r="AA264" i="19"/>
  <c r="AB264" i="19" s="1"/>
  <c r="BM264" i="19" s="1"/>
  <c r="AA193" i="19"/>
  <c r="AB193" i="19" s="1"/>
  <c r="BM193" i="19" s="1"/>
  <c r="AA63" i="19"/>
  <c r="AB63" i="19" s="1"/>
  <c r="BM63" i="19" s="1"/>
  <c r="AA189" i="19"/>
  <c r="AB189" i="19" s="1"/>
  <c r="BM189" i="19" s="1"/>
  <c r="AA121" i="19"/>
  <c r="AB121" i="19" s="1"/>
  <c r="BM121" i="19" s="1"/>
  <c r="AA65" i="19"/>
  <c r="AB65" i="19" s="1"/>
  <c r="BM65" i="19" s="1"/>
  <c r="AA102" i="19"/>
  <c r="AB102" i="19" s="1"/>
  <c r="BM102" i="19" s="1"/>
  <c r="AA38" i="19"/>
  <c r="AB38" i="19" s="1"/>
  <c r="BM38" i="19" s="1"/>
  <c r="AA218" i="19"/>
  <c r="AB218" i="19" s="1"/>
  <c r="BM218" i="19" s="1"/>
  <c r="AA141" i="19"/>
  <c r="AB141" i="19" s="1"/>
  <c r="BM141" i="19" s="1"/>
  <c r="AA27" i="19"/>
  <c r="AB27" i="19" s="1"/>
  <c r="BM27" i="19" s="1"/>
  <c r="AA242" i="19"/>
  <c r="AB242" i="19" s="1"/>
  <c r="BM242" i="19" s="1"/>
  <c r="AA77" i="19"/>
  <c r="AB77" i="19" s="1"/>
  <c r="BM77" i="19" s="1"/>
  <c r="AA173" i="19"/>
  <c r="AB173" i="19" s="1"/>
  <c r="BM173" i="19" s="1"/>
  <c r="AA67" i="19"/>
  <c r="AB67" i="19" s="1"/>
  <c r="BM67" i="19" s="1"/>
  <c r="AA261" i="19"/>
  <c r="AB261" i="19" s="1"/>
  <c r="BM261" i="19" s="1"/>
  <c r="AA317" i="19"/>
  <c r="AA265" i="19"/>
  <c r="AB265" i="19" s="1"/>
  <c r="BM265" i="19" s="1"/>
  <c r="AA47" i="19"/>
  <c r="AB47" i="19" s="1"/>
  <c r="BM47" i="19" s="1"/>
  <c r="AA177" i="19"/>
  <c r="AB177" i="19" s="1"/>
  <c r="BM177" i="19" s="1"/>
  <c r="AA113" i="19"/>
  <c r="AB113" i="19" s="1"/>
  <c r="BM113" i="19" s="1"/>
  <c r="AA57" i="19"/>
  <c r="AB57" i="19" s="1"/>
  <c r="BM57" i="19" s="1"/>
  <c r="AA166" i="19"/>
  <c r="AB166" i="19" s="1"/>
  <c r="BM166" i="19" s="1"/>
  <c r="AA94" i="19"/>
  <c r="AB94" i="19" s="1"/>
  <c r="BM94" i="19" s="1"/>
  <c r="AA30" i="19"/>
  <c r="AB30" i="19" s="1"/>
  <c r="BM30" i="19" s="1"/>
  <c r="AA165" i="19"/>
  <c r="AB165" i="19" s="1"/>
  <c r="BM165" i="19" s="1"/>
  <c r="AA37" i="19"/>
  <c r="AB37" i="19" s="1"/>
  <c r="BM37" i="19" s="1"/>
  <c r="AA306" i="19"/>
  <c r="AA214" i="19"/>
  <c r="AB214" i="19" s="1"/>
  <c r="BM214" i="19" s="1"/>
  <c r="AA149" i="19"/>
  <c r="AB149" i="19" s="1"/>
  <c r="BM149" i="19" s="1"/>
  <c r="AA215" i="19"/>
  <c r="AB215" i="19" s="1"/>
  <c r="BM215" i="19" s="1"/>
  <c r="AA3" i="19"/>
  <c r="AB3" i="19" s="1"/>
  <c r="BM3" i="19" s="1"/>
  <c r="AA61" i="19"/>
  <c r="AB61" i="19" s="1"/>
  <c r="BM61" i="19" s="1"/>
  <c r="AA298" i="19"/>
  <c r="AA318" i="19"/>
  <c r="J167" i="17"/>
  <c r="L167" i="17" s="1"/>
  <c r="J114" i="17"/>
  <c r="L114" i="17" s="1"/>
  <c r="AH142" i="19"/>
  <c r="J192" i="17"/>
  <c r="L192" i="17" s="1"/>
  <c r="I230" i="17"/>
  <c r="I316" i="17"/>
  <c r="BB66" i="19"/>
  <c r="BB63" i="19"/>
  <c r="BB253" i="19"/>
  <c r="BB145" i="19"/>
  <c r="AE248" i="19"/>
  <c r="AE208" i="19"/>
  <c r="AE296" i="19"/>
  <c r="AF171" i="19"/>
  <c r="AF54" i="19"/>
  <c r="AF146" i="19"/>
  <c r="AE31" i="19"/>
  <c r="AF111" i="19"/>
  <c r="D49" i="60"/>
  <c r="C49" i="60"/>
  <c r="BA122" i="19"/>
  <c r="BB179" i="19"/>
  <c r="B61" i="14"/>
  <c r="B367" i="14" s="1"/>
  <c r="AH120" i="19"/>
  <c r="AE117" i="19"/>
  <c r="AE108" i="19"/>
  <c r="M13" i="26"/>
  <c r="O13" i="26"/>
  <c r="BA100" i="19"/>
  <c r="BB30" i="19"/>
  <c r="BB58" i="19"/>
  <c r="CX125" i="24"/>
  <c r="J214" i="17"/>
  <c r="L214" i="17" s="1"/>
  <c r="I162" i="17"/>
  <c r="J16" i="17"/>
  <c r="L16" i="17" s="1"/>
  <c r="F125" i="17"/>
  <c r="I278" i="17"/>
  <c r="J217" i="17"/>
  <c r="L217" i="17" s="1"/>
  <c r="BB94" i="19"/>
  <c r="BB15" i="19"/>
  <c r="J284" i="17"/>
  <c r="L284" i="17" s="1"/>
  <c r="BB28" i="19"/>
  <c r="I277" i="17"/>
  <c r="BB322" i="19"/>
  <c r="BB60" i="19"/>
  <c r="H337" i="14"/>
  <c r="BB211" i="19"/>
  <c r="BB265" i="19"/>
  <c r="BB105" i="19"/>
  <c r="BB82" i="19"/>
  <c r="G310" i="17"/>
  <c r="F310" i="14"/>
  <c r="H310" i="14" s="1"/>
  <c r="G243" i="17"/>
  <c r="J243" i="17" s="1"/>
  <c r="L243" i="17" s="1"/>
  <c r="F243" i="14"/>
  <c r="H243" i="14" s="1"/>
  <c r="G171" i="17"/>
  <c r="I171" i="17" s="1"/>
  <c r="F171" i="14"/>
  <c r="H171" i="14" s="1"/>
  <c r="G165" i="17"/>
  <c r="I165" i="17" s="1"/>
  <c r="F165" i="14"/>
  <c r="H165" i="14" s="1"/>
  <c r="G139" i="17"/>
  <c r="J139" i="17" s="1"/>
  <c r="L139" i="17" s="1"/>
  <c r="F139" i="14"/>
  <c r="H139" i="14" s="1"/>
  <c r="G129" i="17"/>
  <c r="I129" i="17" s="1"/>
  <c r="F129" i="14"/>
  <c r="H129" i="14" s="1"/>
  <c r="G70" i="17"/>
  <c r="J70" i="17" s="1"/>
  <c r="L70" i="17" s="1"/>
  <c r="F70" i="14"/>
  <c r="H70" i="14" s="1"/>
  <c r="G45" i="17"/>
  <c r="I45" i="17" s="1"/>
  <c r="F45" i="14"/>
  <c r="H45" i="14" s="1"/>
  <c r="G319" i="17"/>
  <c r="I319" i="17" s="1"/>
  <c r="F319" i="14"/>
  <c r="H319" i="14" s="1"/>
  <c r="G89" i="17"/>
  <c r="I89" i="17" s="1"/>
  <c r="F89" i="14"/>
  <c r="H89" i="14" s="1"/>
  <c r="G14" i="17"/>
  <c r="I14" i="17" s="1"/>
  <c r="F14" i="14"/>
  <c r="H14" i="14" s="1"/>
  <c r="G318" i="17"/>
  <c r="F318" i="14"/>
  <c r="H318" i="14" s="1"/>
  <c r="G72" i="17"/>
  <c r="J72" i="17" s="1"/>
  <c r="L72" i="17" s="1"/>
  <c r="F72" i="14"/>
  <c r="H72" i="14" s="1"/>
  <c r="G7" i="17"/>
  <c r="J7" i="17" s="1"/>
  <c r="L7" i="17" s="1"/>
  <c r="F7" i="14"/>
  <c r="H7" i="14" s="1"/>
  <c r="G297" i="17"/>
  <c r="J297" i="17" s="1"/>
  <c r="L297" i="17" s="1"/>
  <c r="F297" i="14"/>
  <c r="H297" i="14" s="1"/>
  <c r="G239" i="17"/>
  <c r="F239" i="14"/>
  <c r="H239" i="14" s="1"/>
  <c r="G159" i="17"/>
  <c r="F159" i="14"/>
  <c r="H159" i="14" s="1"/>
  <c r="G59" i="17"/>
  <c r="J59" i="17" s="1"/>
  <c r="L59" i="17" s="1"/>
  <c r="F59" i="14"/>
  <c r="H59" i="14" s="1"/>
  <c r="G21" i="17"/>
  <c r="F21" i="14"/>
  <c r="H21" i="14" s="1"/>
  <c r="G333" i="17"/>
  <c r="I333" i="17" s="1"/>
  <c r="F333" i="14"/>
  <c r="H333" i="14" s="1"/>
  <c r="G182" i="17"/>
  <c r="I182" i="17" s="1"/>
  <c r="F182" i="14"/>
  <c r="H182" i="14" s="1"/>
  <c r="G12" i="17"/>
  <c r="F12" i="14"/>
  <c r="H12" i="14" s="1"/>
  <c r="G275" i="17"/>
  <c r="I275" i="17" s="1"/>
  <c r="F275" i="14"/>
  <c r="H275" i="14" s="1"/>
  <c r="G157" i="17"/>
  <c r="F157" i="14"/>
  <c r="H157" i="14" s="1"/>
  <c r="G93" i="17"/>
  <c r="I93" i="17" s="1"/>
  <c r="F93" i="14"/>
  <c r="H93" i="14" s="1"/>
  <c r="G38" i="17"/>
  <c r="F38" i="14"/>
  <c r="H38" i="14" s="1"/>
  <c r="G27" i="17"/>
  <c r="I27" i="17" s="1"/>
  <c r="F27" i="14"/>
  <c r="H27" i="14" s="1"/>
  <c r="BB215" i="19"/>
  <c r="BB76" i="19"/>
  <c r="BB252" i="19"/>
  <c r="BB174" i="19"/>
  <c r="BB285" i="19"/>
  <c r="BB2" i="19"/>
  <c r="G320" i="17"/>
  <c r="I320" i="17" s="1"/>
  <c r="F320" i="14"/>
  <c r="H320" i="14" s="1"/>
  <c r="G249" i="17"/>
  <c r="J249" i="17" s="1"/>
  <c r="L249" i="17" s="1"/>
  <c r="F249" i="14"/>
  <c r="H249" i="14" s="1"/>
  <c r="G208" i="17"/>
  <c r="I208" i="17" s="1"/>
  <c r="F208" i="14"/>
  <c r="H208" i="14" s="1"/>
  <c r="G174" i="17"/>
  <c r="I174" i="17" s="1"/>
  <c r="F174" i="14"/>
  <c r="H174" i="14" s="1"/>
  <c r="G153" i="17"/>
  <c r="I153" i="17" s="1"/>
  <c r="F153" i="14"/>
  <c r="H153" i="14" s="1"/>
  <c r="G73" i="17"/>
  <c r="I73" i="17" s="1"/>
  <c r="F73" i="14"/>
  <c r="H73" i="14" s="1"/>
  <c r="G311" i="17"/>
  <c r="I311" i="17" s="1"/>
  <c r="F311" i="14"/>
  <c r="H311" i="14" s="1"/>
  <c r="G283" i="17"/>
  <c r="F283" i="14"/>
  <c r="H283" i="14" s="1"/>
  <c r="G142" i="17"/>
  <c r="I142" i="17" s="1"/>
  <c r="F142" i="14"/>
  <c r="H142" i="14" s="1"/>
  <c r="G135" i="17"/>
  <c r="J135" i="17" s="1"/>
  <c r="L135" i="17" s="1"/>
  <c r="F135" i="14"/>
  <c r="H135" i="14" s="1"/>
  <c r="G101" i="17"/>
  <c r="F101" i="14"/>
  <c r="H101" i="14" s="1"/>
  <c r="G79" i="17"/>
  <c r="J79" i="17" s="1"/>
  <c r="L79" i="17" s="1"/>
  <c r="F79" i="14"/>
  <c r="H79" i="14" s="1"/>
  <c r="G25" i="17"/>
  <c r="J25" i="17" s="1"/>
  <c r="L25" i="17" s="1"/>
  <c r="F25" i="14"/>
  <c r="H25" i="14" s="1"/>
  <c r="BB165" i="19"/>
  <c r="BB139" i="19"/>
  <c r="BB45" i="19"/>
  <c r="BB297" i="19"/>
  <c r="BB182" i="19"/>
  <c r="BB157" i="19"/>
  <c r="BB308" i="19"/>
  <c r="BB186" i="19"/>
  <c r="BB92" i="19"/>
  <c r="BB249" i="19"/>
  <c r="BB135" i="19"/>
  <c r="BB101" i="19"/>
  <c r="G301" i="17"/>
  <c r="F301" i="14"/>
  <c r="H301" i="14" s="1"/>
  <c r="G257" i="17"/>
  <c r="J257" i="17" s="1"/>
  <c r="L257" i="17" s="1"/>
  <c r="F257" i="14"/>
  <c r="H257" i="14" s="1"/>
  <c r="G242" i="17"/>
  <c r="I242" i="17" s="1"/>
  <c r="F242" i="14"/>
  <c r="H242" i="14" s="1"/>
  <c r="G205" i="17"/>
  <c r="I205" i="17" s="1"/>
  <c r="F205" i="14"/>
  <c r="H205" i="14" s="1"/>
  <c r="G170" i="17"/>
  <c r="I170" i="17" s="1"/>
  <c r="F170" i="14"/>
  <c r="H170" i="14" s="1"/>
  <c r="G164" i="17"/>
  <c r="I164" i="17" s="1"/>
  <c r="F164" i="14"/>
  <c r="H164" i="14" s="1"/>
  <c r="G134" i="17"/>
  <c r="I134" i="17" s="1"/>
  <c r="F134" i="14"/>
  <c r="H134" i="14" s="1"/>
  <c r="G92" i="17"/>
  <c r="F92" i="14"/>
  <c r="H92" i="14" s="1"/>
  <c r="G64" i="17"/>
  <c r="F64" i="14"/>
  <c r="H64" i="14" s="1"/>
  <c r="G15" i="17"/>
  <c r="J15" i="17" s="1"/>
  <c r="L15" i="17" s="1"/>
  <c r="F15" i="14"/>
  <c r="H15" i="14" s="1"/>
  <c r="G282" i="17"/>
  <c r="I282" i="17" s="1"/>
  <c r="F282" i="14"/>
  <c r="H282" i="14" s="1"/>
  <c r="G256" i="17"/>
  <c r="J256" i="17" s="1"/>
  <c r="L256" i="17" s="1"/>
  <c r="F256" i="14"/>
  <c r="H256" i="14" s="1"/>
  <c r="G219" i="17"/>
  <c r="J219" i="17" s="1"/>
  <c r="L219" i="17" s="1"/>
  <c r="F219" i="14"/>
  <c r="H219" i="14" s="1"/>
  <c r="G195" i="17"/>
  <c r="F195" i="14"/>
  <c r="H195" i="14" s="1"/>
  <c r="G128" i="17"/>
  <c r="I128" i="17" s="1"/>
  <c r="F128" i="14"/>
  <c r="H128" i="14" s="1"/>
  <c r="G117" i="17"/>
  <c r="J117" i="17" s="1"/>
  <c r="L117" i="17" s="1"/>
  <c r="F117" i="14"/>
  <c r="H117" i="14" s="1"/>
  <c r="G78" i="17"/>
  <c r="F78" i="14"/>
  <c r="H78" i="14" s="1"/>
  <c r="G44" i="17"/>
  <c r="F44" i="14"/>
  <c r="H44" i="14" s="1"/>
  <c r="G334" i="17"/>
  <c r="F334" i="14"/>
  <c r="H334" i="14" s="1"/>
  <c r="G262" i="17"/>
  <c r="I262" i="17" s="1"/>
  <c r="F262" i="14"/>
  <c r="H262" i="14" s="1"/>
  <c r="G198" i="17"/>
  <c r="I198" i="17" s="1"/>
  <c r="F198" i="14"/>
  <c r="H198" i="14" s="1"/>
  <c r="G74" i="17"/>
  <c r="I74" i="17" s="1"/>
  <c r="F74" i="14"/>
  <c r="H74" i="14" s="1"/>
  <c r="G321" i="17"/>
  <c r="J321" i="17" s="1"/>
  <c r="L321" i="17" s="1"/>
  <c r="F321" i="14"/>
  <c r="H321" i="14" s="1"/>
  <c r="G296" i="17"/>
  <c r="I296" i="17" s="1"/>
  <c r="F296" i="14"/>
  <c r="H296" i="14" s="1"/>
  <c r="G150" i="17"/>
  <c r="J150" i="17" s="1"/>
  <c r="L150" i="17" s="1"/>
  <c r="F150" i="14"/>
  <c r="H150" i="14" s="1"/>
  <c r="G42" i="17"/>
  <c r="I42" i="17" s="1"/>
  <c r="F42" i="14"/>
  <c r="H42" i="14" s="1"/>
  <c r="G330" i="17"/>
  <c r="I330" i="17" s="1"/>
  <c r="F330" i="14"/>
  <c r="H330" i="14" s="1"/>
  <c r="G295" i="17"/>
  <c r="F295" i="14"/>
  <c r="H295" i="14" s="1"/>
  <c r="G268" i="17"/>
  <c r="F268" i="14"/>
  <c r="H268" i="14" s="1"/>
  <c r="G224" i="17"/>
  <c r="J224" i="17" s="1"/>
  <c r="L224" i="17" s="1"/>
  <c r="F224" i="14"/>
  <c r="H224" i="14" s="1"/>
  <c r="G188" i="17"/>
  <c r="I188" i="17" s="1"/>
  <c r="F188" i="14"/>
  <c r="H188" i="14" s="1"/>
  <c r="G151" i="17"/>
  <c r="I151" i="17" s="1"/>
  <c r="F151" i="14"/>
  <c r="H151" i="14" s="1"/>
  <c r="G85" i="17"/>
  <c r="I85" i="17" s="1"/>
  <c r="F85" i="14"/>
  <c r="H85" i="14" s="1"/>
  <c r="G41" i="17"/>
  <c r="F41" i="14"/>
  <c r="H41" i="14" s="1"/>
  <c r="G37" i="17"/>
  <c r="I37" i="17" s="1"/>
  <c r="F37" i="14"/>
  <c r="H37" i="14" s="1"/>
  <c r="BB21" i="19"/>
  <c r="BB80" i="19"/>
  <c r="BB209" i="19"/>
  <c r="BB229" i="19"/>
  <c r="G312" i="17"/>
  <c r="F312" i="14"/>
  <c r="H312" i="14" s="1"/>
  <c r="G279" i="17"/>
  <c r="F279" i="14"/>
  <c r="H279" i="14" s="1"/>
  <c r="G173" i="17"/>
  <c r="I173" i="17" s="1"/>
  <c r="F173" i="14"/>
  <c r="H173" i="14" s="1"/>
  <c r="G152" i="17"/>
  <c r="J152" i="17" s="1"/>
  <c r="L152" i="17" s="1"/>
  <c r="F152" i="14"/>
  <c r="H152" i="14" s="1"/>
  <c r="G97" i="17"/>
  <c r="I97" i="17" s="1"/>
  <c r="F97" i="14"/>
  <c r="H97" i="14" s="1"/>
  <c r="G32" i="17"/>
  <c r="F32" i="14"/>
  <c r="H32" i="14" s="1"/>
  <c r="G332" i="17"/>
  <c r="I332" i="17" s="1"/>
  <c r="F332" i="14"/>
  <c r="H332" i="14" s="1"/>
  <c r="G302" i="17"/>
  <c r="J302" i="17" s="1"/>
  <c r="L302" i="17" s="1"/>
  <c r="F302" i="14"/>
  <c r="H302" i="14" s="1"/>
  <c r="G274" i="17"/>
  <c r="I274" i="17" s="1"/>
  <c r="F274" i="14"/>
  <c r="H274" i="14" s="1"/>
  <c r="G244" i="17"/>
  <c r="J244" i="17" s="1"/>
  <c r="L244" i="17" s="1"/>
  <c r="F244" i="14"/>
  <c r="H244" i="14" s="1"/>
  <c r="G186" i="17"/>
  <c r="F186" i="14"/>
  <c r="H186" i="14" s="1"/>
  <c r="G138" i="17"/>
  <c r="F138" i="14"/>
  <c r="H138" i="14" s="1"/>
  <c r="G130" i="17"/>
  <c r="J130" i="17" s="1"/>
  <c r="L130" i="17" s="1"/>
  <c r="F130" i="14"/>
  <c r="H130" i="14" s="1"/>
  <c r="G96" i="17"/>
  <c r="F96" i="14"/>
  <c r="H96" i="14" s="1"/>
  <c r="G68" i="17"/>
  <c r="I68" i="17" s="1"/>
  <c r="F68" i="14"/>
  <c r="H68" i="14" s="1"/>
  <c r="G48" i="17"/>
  <c r="F48" i="14"/>
  <c r="H48" i="14" s="1"/>
  <c r="G17" i="17"/>
  <c r="F17" i="14"/>
  <c r="H17" i="14" s="1"/>
  <c r="G329" i="17"/>
  <c r="I329" i="17" s="1"/>
  <c r="F329" i="14"/>
  <c r="H329" i="14" s="1"/>
  <c r="BB164" i="19"/>
  <c r="BB134" i="19"/>
  <c r="BB64" i="19"/>
  <c r="BB256" i="19"/>
  <c r="BB195" i="19"/>
  <c r="BB321" i="19"/>
  <c r="BB296" i="19"/>
  <c r="BB150" i="19"/>
  <c r="BB268" i="19"/>
  <c r="BB188" i="19"/>
  <c r="BB41" i="19"/>
  <c r="BB34" i="19"/>
  <c r="BB243" i="19"/>
  <c r="BB148" i="19"/>
  <c r="BB61" i="19"/>
  <c r="BB70" i="19"/>
  <c r="BB171" i="19"/>
  <c r="BB213" i="19"/>
  <c r="BB96" i="19"/>
  <c r="BB17" i="19"/>
  <c r="G291" i="17"/>
  <c r="J291" i="17" s="1"/>
  <c r="L291" i="17" s="1"/>
  <c r="F291" i="14"/>
  <c r="H291" i="14" s="1"/>
  <c r="G253" i="17"/>
  <c r="J253" i="17" s="1"/>
  <c r="L253" i="17" s="1"/>
  <c r="F253" i="14"/>
  <c r="H253" i="14" s="1"/>
  <c r="G200" i="17"/>
  <c r="I200" i="17" s="1"/>
  <c r="F200" i="14"/>
  <c r="H200" i="14" s="1"/>
  <c r="G133" i="17"/>
  <c r="I133" i="17" s="1"/>
  <c r="F133" i="14"/>
  <c r="H133" i="14" s="1"/>
  <c r="G47" i="17"/>
  <c r="J47" i="17" s="1"/>
  <c r="L47" i="17" s="1"/>
  <c r="F47" i="14"/>
  <c r="H47" i="14" s="1"/>
  <c r="G8" i="17"/>
  <c r="I8" i="17" s="1"/>
  <c r="F8" i="14"/>
  <c r="H8" i="14" s="1"/>
  <c r="G273" i="17"/>
  <c r="I273" i="17" s="1"/>
  <c r="F273" i="14"/>
  <c r="H273" i="14" s="1"/>
  <c r="G252" i="17"/>
  <c r="F252" i="14"/>
  <c r="H252" i="14" s="1"/>
  <c r="G212" i="17"/>
  <c r="J212" i="17" s="1"/>
  <c r="L212" i="17" s="1"/>
  <c r="F212" i="14"/>
  <c r="H212" i="14" s="1"/>
  <c r="G185" i="17"/>
  <c r="I185" i="17" s="1"/>
  <c r="F185" i="14"/>
  <c r="H185" i="14" s="1"/>
  <c r="G104" i="17"/>
  <c r="F104" i="14"/>
  <c r="H104" i="14" s="1"/>
  <c r="G63" i="17"/>
  <c r="J63" i="17" s="1"/>
  <c r="L63" i="17" s="1"/>
  <c r="F63" i="14"/>
  <c r="H63" i="14" s="1"/>
  <c r="G331" i="17"/>
  <c r="I331" i="17" s="1"/>
  <c r="F331" i="14"/>
  <c r="H331" i="14" s="1"/>
  <c r="G261" i="17"/>
  <c r="J261" i="17" s="1"/>
  <c r="L261" i="17" s="1"/>
  <c r="F261" i="14"/>
  <c r="H261" i="14" s="1"/>
  <c r="G211" i="17"/>
  <c r="I211" i="17" s="1"/>
  <c r="F211" i="14"/>
  <c r="H211" i="14" s="1"/>
  <c r="G184" i="17"/>
  <c r="I184" i="17" s="1"/>
  <c r="F184" i="14"/>
  <c r="H184" i="14" s="1"/>
  <c r="G122" i="17"/>
  <c r="I122" i="17" s="1"/>
  <c r="F122" i="14"/>
  <c r="H122" i="14" s="1"/>
  <c r="G23" i="17"/>
  <c r="J23" i="17" s="1"/>
  <c r="L23" i="17" s="1"/>
  <c r="F23" i="14"/>
  <c r="H23" i="14" s="1"/>
  <c r="G328" i="17"/>
  <c r="I328" i="17" s="1"/>
  <c r="F328" i="14"/>
  <c r="H328" i="14" s="1"/>
  <c r="G306" i="17"/>
  <c r="I306" i="17" s="1"/>
  <c r="F306" i="14"/>
  <c r="H306" i="14" s="1"/>
  <c r="G285" i="17"/>
  <c r="F285" i="14"/>
  <c r="H285" i="14" s="1"/>
  <c r="G251" i="17"/>
  <c r="J251" i="17" s="1"/>
  <c r="L251" i="17" s="1"/>
  <c r="F251" i="14"/>
  <c r="H251" i="14" s="1"/>
  <c r="G226" i="17"/>
  <c r="J226" i="17" s="1"/>
  <c r="L226" i="17" s="1"/>
  <c r="F226" i="14"/>
  <c r="H226" i="14" s="1"/>
  <c r="G69" i="17"/>
  <c r="J69" i="17" s="1"/>
  <c r="L69" i="17" s="1"/>
  <c r="F69" i="14"/>
  <c r="H69" i="14" s="1"/>
  <c r="G280" i="17"/>
  <c r="J280" i="17" s="1"/>
  <c r="L280" i="17" s="1"/>
  <c r="F280" i="14"/>
  <c r="H280" i="14" s="1"/>
  <c r="G190" i="17"/>
  <c r="I190" i="17" s="1"/>
  <c r="F190" i="14"/>
  <c r="H190" i="14" s="1"/>
  <c r="G98" i="17"/>
  <c r="F98" i="14"/>
  <c r="H98" i="14" s="1"/>
  <c r="G66" i="17"/>
  <c r="I66" i="17" s="1"/>
  <c r="F66" i="14"/>
  <c r="H66" i="14" s="1"/>
  <c r="G288" i="17"/>
  <c r="J288" i="17" s="1"/>
  <c r="L288" i="17" s="1"/>
  <c r="F288" i="14"/>
  <c r="H288" i="14" s="1"/>
  <c r="G259" i="17"/>
  <c r="J259" i="17" s="1"/>
  <c r="L259" i="17" s="1"/>
  <c r="F259" i="14"/>
  <c r="H259" i="14" s="1"/>
  <c r="G216" i="17"/>
  <c r="I216" i="17" s="1"/>
  <c r="F216" i="14"/>
  <c r="H216" i="14" s="1"/>
  <c r="G145" i="17"/>
  <c r="F145" i="14"/>
  <c r="H145" i="14" s="1"/>
  <c r="G106" i="17"/>
  <c r="I106" i="17" s="1"/>
  <c r="F106" i="14"/>
  <c r="H106" i="14" s="1"/>
  <c r="G40" i="17"/>
  <c r="J40" i="17" s="1"/>
  <c r="L40" i="17" s="1"/>
  <c r="F40" i="14"/>
  <c r="H40" i="14" s="1"/>
  <c r="G19" i="17"/>
  <c r="F19" i="14"/>
  <c r="H19" i="14" s="1"/>
  <c r="H49" i="14"/>
  <c r="BB50" i="19"/>
  <c r="BB217" i="19"/>
  <c r="BB48" i="19"/>
  <c r="BB13" i="19"/>
  <c r="BB23" i="19"/>
  <c r="BB26" i="19"/>
  <c r="BB98" i="19"/>
  <c r="G223" i="17"/>
  <c r="F223" i="14"/>
  <c r="H223" i="14" s="1"/>
  <c r="G201" i="17"/>
  <c r="I201" i="17" s="1"/>
  <c r="F201" i="14"/>
  <c r="H201" i="14" s="1"/>
  <c r="G143" i="17"/>
  <c r="J143" i="17" s="1"/>
  <c r="L143" i="17" s="1"/>
  <c r="F143" i="14"/>
  <c r="H143" i="14" s="1"/>
  <c r="G90" i="17"/>
  <c r="J90" i="17" s="1"/>
  <c r="L90" i="17" s="1"/>
  <c r="F90" i="14"/>
  <c r="H90" i="14" s="1"/>
  <c r="G26" i="17"/>
  <c r="F26" i="14"/>
  <c r="H26" i="14" s="1"/>
  <c r="G292" i="17"/>
  <c r="I292" i="17" s="1"/>
  <c r="F292" i="14"/>
  <c r="H292" i="14" s="1"/>
  <c r="G266" i="17"/>
  <c r="I266" i="17" s="1"/>
  <c r="F266" i="14"/>
  <c r="H266" i="14" s="1"/>
  <c r="G237" i="17"/>
  <c r="F237" i="14"/>
  <c r="H237" i="14" s="1"/>
  <c r="G172" i="17"/>
  <c r="F172" i="14"/>
  <c r="H172" i="14" s="1"/>
  <c r="G137" i="17"/>
  <c r="J137" i="17" s="1"/>
  <c r="L137" i="17" s="1"/>
  <c r="F137" i="14"/>
  <c r="H137" i="14" s="1"/>
  <c r="G87" i="17"/>
  <c r="F87" i="14"/>
  <c r="H87" i="14" s="1"/>
  <c r="G65" i="17"/>
  <c r="I65" i="17" s="1"/>
  <c r="F65" i="14"/>
  <c r="H65" i="14" s="1"/>
  <c r="G36" i="17"/>
  <c r="I36" i="17" s="1"/>
  <c r="F36" i="14"/>
  <c r="H36" i="14" s="1"/>
  <c r="BB291" i="19"/>
  <c r="BB212" i="19"/>
  <c r="BB185" i="19"/>
  <c r="BB104" i="19"/>
  <c r="BB261" i="19"/>
  <c r="BB122" i="19"/>
  <c r="BB328" i="19"/>
  <c r="BB40" i="19"/>
  <c r="BB332" i="19"/>
  <c r="H179" i="14"/>
  <c r="BB3" i="19"/>
  <c r="BB287" i="19"/>
  <c r="BB32" i="19"/>
  <c r="BB223" i="19"/>
  <c r="BB65" i="19"/>
  <c r="G180" i="17"/>
  <c r="I180" i="17" s="1"/>
  <c r="F180" i="14"/>
  <c r="H180" i="14" s="1"/>
  <c r="G166" i="17"/>
  <c r="I166" i="17" s="1"/>
  <c r="F166" i="14"/>
  <c r="H166" i="14" s="1"/>
  <c r="G140" i="17"/>
  <c r="I140" i="17" s="1"/>
  <c r="F140" i="14"/>
  <c r="H140" i="14" s="1"/>
  <c r="G131" i="17"/>
  <c r="I131" i="17" s="1"/>
  <c r="F131" i="14"/>
  <c r="H131" i="14" s="1"/>
  <c r="G46" i="17"/>
  <c r="I46" i="17" s="1"/>
  <c r="F46" i="14"/>
  <c r="H46" i="14" s="1"/>
  <c r="G323" i="17"/>
  <c r="F323" i="14"/>
  <c r="H323" i="14" s="1"/>
  <c r="G290" i="17"/>
  <c r="I290" i="17" s="1"/>
  <c r="F290" i="14"/>
  <c r="H290" i="14" s="1"/>
  <c r="G229" i="17"/>
  <c r="F229" i="14"/>
  <c r="H229" i="14" s="1"/>
  <c r="G161" i="17"/>
  <c r="F161" i="14"/>
  <c r="H161" i="14" s="1"/>
  <c r="G24" i="17"/>
  <c r="I24" i="17" s="1"/>
  <c r="F24" i="14"/>
  <c r="H24" i="14" s="1"/>
  <c r="G322" i="17"/>
  <c r="I322" i="17" s="1"/>
  <c r="F322" i="14"/>
  <c r="H322" i="14" s="1"/>
  <c r="G240" i="17"/>
  <c r="I240" i="17" s="1"/>
  <c r="F240" i="14"/>
  <c r="H240" i="14" s="1"/>
  <c r="G183" i="17"/>
  <c r="J183" i="17" s="1"/>
  <c r="L183" i="17" s="1"/>
  <c r="F183" i="14"/>
  <c r="H183" i="14" s="1"/>
  <c r="G60" i="17"/>
  <c r="J60" i="17" s="1"/>
  <c r="L60" i="17" s="1"/>
  <c r="F60" i="14"/>
  <c r="H60" i="14" s="1"/>
  <c r="G13" i="17"/>
  <c r="F13" i="14"/>
  <c r="H13" i="14" s="1"/>
  <c r="G326" i="17"/>
  <c r="I326" i="17" s="1"/>
  <c r="F326" i="14"/>
  <c r="H326" i="14" s="1"/>
  <c r="G298" i="17"/>
  <c r="I298" i="17" s="1"/>
  <c r="F298" i="14"/>
  <c r="H298" i="14" s="1"/>
  <c r="G281" i="17"/>
  <c r="F281" i="14"/>
  <c r="H281" i="14" s="1"/>
  <c r="G61" i="17"/>
  <c r="I61" i="17" s="1"/>
  <c r="F61" i="14"/>
  <c r="H61" i="14" s="1"/>
  <c r="G276" i="17"/>
  <c r="I276" i="17" s="1"/>
  <c r="F276" i="14"/>
  <c r="G234" i="17"/>
  <c r="J234" i="17" s="1"/>
  <c r="L234" i="17" s="1"/>
  <c r="F234" i="14"/>
  <c r="H234" i="14" s="1"/>
  <c r="G176" i="17"/>
  <c r="I176" i="17" s="1"/>
  <c r="F176" i="14"/>
  <c r="H176" i="14" s="1"/>
  <c r="G88" i="17"/>
  <c r="F88" i="14"/>
  <c r="H88" i="14" s="1"/>
  <c r="G58" i="17"/>
  <c r="I58" i="17" s="1"/>
  <c r="F58" i="14"/>
  <c r="H58" i="14" s="1"/>
  <c r="G29" i="17"/>
  <c r="J29" i="17" s="1"/>
  <c r="L29" i="17" s="1"/>
  <c r="F29" i="14"/>
  <c r="H29" i="14" s="1"/>
  <c r="G209" i="17"/>
  <c r="I209" i="17" s="1"/>
  <c r="F209" i="14"/>
  <c r="H209" i="14" s="1"/>
  <c r="G144" i="17"/>
  <c r="J144" i="17" s="1"/>
  <c r="L144" i="17" s="1"/>
  <c r="F144" i="14"/>
  <c r="H144" i="14" s="1"/>
  <c r="G71" i="17"/>
  <c r="F71" i="14"/>
  <c r="H71" i="14" s="1"/>
  <c r="G39" i="17"/>
  <c r="J39" i="17" s="1"/>
  <c r="L39" i="17" s="1"/>
  <c r="F39" i="14"/>
  <c r="H39" i="14" s="1"/>
  <c r="G28" i="17"/>
  <c r="J28" i="17" s="1"/>
  <c r="L28" i="17" s="1"/>
  <c r="F28" i="14"/>
  <c r="H28" i="14" s="1"/>
  <c r="F3" i="14"/>
  <c r="H3" i="14" s="1"/>
  <c r="G3" i="17"/>
  <c r="J3" i="17" s="1"/>
  <c r="L3" i="17" s="1"/>
  <c r="H254" i="14"/>
  <c r="BB177" i="19"/>
  <c r="H30" i="14"/>
  <c r="BB7" i="19"/>
  <c r="BB36" i="19"/>
  <c r="BB301" i="19"/>
  <c r="BB280" i="19"/>
  <c r="BB298" i="19"/>
  <c r="G294" i="17"/>
  <c r="F294" i="14"/>
  <c r="H294" i="14" s="1"/>
  <c r="G215" i="17"/>
  <c r="F215" i="14"/>
  <c r="H215" i="14" s="1"/>
  <c r="G155" i="17"/>
  <c r="I155" i="17" s="1"/>
  <c r="F155" i="14"/>
  <c r="H155" i="14" s="1"/>
  <c r="G18" i="17"/>
  <c r="F18" i="14"/>
  <c r="H18" i="14" s="1"/>
  <c r="G325" i="17"/>
  <c r="I325" i="17" s="1"/>
  <c r="F325" i="14"/>
  <c r="H325" i="14" s="1"/>
  <c r="G287" i="17"/>
  <c r="F287" i="14"/>
  <c r="H287" i="14" s="1"/>
  <c r="G265" i="17"/>
  <c r="F265" i="14"/>
  <c r="H265" i="14" s="1"/>
  <c r="G168" i="17"/>
  <c r="J168" i="17" s="1"/>
  <c r="L168" i="17" s="1"/>
  <c r="F168" i="14"/>
  <c r="H168" i="14" s="1"/>
  <c r="G136" i="17"/>
  <c r="J136" i="17" s="1"/>
  <c r="L136" i="17" s="1"/>
  <c r="F136" i="14"/>
  <c r="H136" i="14" s="1"/>
  <c r="G105" i="17"/>
  <c r="I105" i="17" s="1"/>
  <c r="F105" i="14"/>
  <c r="H105" i="14" s="1"/>
  <c r="G82" i="17"/>
  <c r="F82" i="14"/>
  <c r="H82" i="14" s="1"/>
  <c r="G9" i="17"/>
  <c r="J9" i="17" s="1"/>
  <c r="L9" i="17" s="1"/>
  <c r="F9" i="14"/>
  <c r="H9" i="14" s="1"/>
  <c r="BB319" i="19"/>
  <c r="BB180" i="19"/>
  <c r="BB323" i="19"/>
  <c r="BB161" i="19"/>
  <c r="BB24" i="19"/>
  <c r="BB240" i="19"/>
  <c r="BB234" i="19"/>
  <c r="BB176" i="19"/>
  <c r="N13" i="26"/>
  <c r="G95" i="17"/>
  <c r="J95" i="17" s="1"/>
  <c r="L95" i="17" s="1"/>
  <c r="F95" i="14"/>
  <c r="H95" i="14" s="1"/>
  <c r="I336" i="17"/>
  <c r="AF311" i="19"/>
  <c r="AE185" i="19"/>
  <c r="I304" i="17"/>
  <c r="J308" i="17"/>
  <c r="L308" i="17" s="1"/>
  <c r="I225" i="17"/>
  <c r="G321" i="14"/>
  <c r="G29" i="14"/>
  <c r="L367" i="14"/>
  <c r="G12" i="14"/>
  <c r="G63" i="14"/>
  <c r="H94" i="14"/>
  <c r="F160" i="17"/>
  <c r="G130" i="14"/>
  <c r="G107" i="14"/>
  <c r="G177" i="14"/>
  <c r="G61" i="14"/>
  <c r="F238" i="17"/>
  <c r="J187" i="17"/>
  <c r="L187" i="17" s="1"/>
  <c r="G284" i="14"/>
  <c r="G324" i="14"/>
  <c r="G75" i="14"/>
  <c r="G270" i="14"/>
  <c r="H149" i="14"/>
  <c r="H86" i="14"/>
  <c r="G60" i="14"/>
  <c r="G78" i="14"/>
  <c r="G187" i="14"/>
  <c r="G335" i="14"/>
  <c r="G212" i="14"/>
  <c r="H52" i="14"/>
  <c r="G131" i="14"/>
  <c r="G90" i="14"/>
  <c r="G69" i="14"/>
  <c r="G337" i="14"/>
  <c r="G15" i="14"/>
  <c r="G207" i="14"/>
  <c r="BB49" i="19"/>
  <c r="G71" i="14"/>
  <c r="G299" i="14"/>
  <c r="G48" i="14"/>
  <c r="BB216" i="19"/>
  <c r="G180" i="14"/>
  <c r="AF288" i="19"/>
  <c r="AF206" i="19"/>
  <c r="AF230" i="19"/>
  <c r="AE198" i="19"/>
  <c r="AF318" i="19"/>
  <c r="AE184" i="19"/>
  <c r="BB136" i="19"/>
  <c r="BB52" i="19"/>
  <c r="BB262" i="19"/>
  <c r="G95" i="14"/>
  <c r="F228" i="17"/>
  <c r="F135" i="17"/>
  <c r="G150" i="14"/>
  <c r="G170" i="14"/>
  <c r="G175" i="14"/>
  <c r="BB159" i="19"/>
  <c r="G84" i="14"/>
  <c r="AE267" i="19"/>
  <c r="AE244" i="19"/>
  <c r="AF228" i="19"/>
  <c r="AE212" i="19"/>
  <c r="AE196" i="19"/>
  <c r="AF293" i="19"/>
  <c r="AE116" i="19"/>
  <c r="AF286" i="19"/>
  <c r="AF239" i="19"/>
  <c r="AE207" i="19"/>
  <c r="AF278" i="19"/>
  <c r="AF304" i="19"/>
  <c r="AE274" i="19"/>
  <c r="AE204" i="19"/>
  <c r="AF11" i="19"/>
  <c r="AH91" i="19"/>
  <c r="CX94" i="24"/>
  <c r="AH79" i="19"/>
  <c r="T22" i="26"/>
  <c r="D367" i="14"/>
  <c r="AH77" i="19"/>
  <c r="BI277" i="19"/>
  <c r="BJ277" i="19" s="1"/>
  <c r="BI174" i="19"/>
  <c r="BJ174" i="19" s="1"/>
  <c r="BI196" i="19"/>
  <c r="BJ196" i="19" s="1"/>
  <c r="BI257" i="19"/>
  <c r="BJ257" i="19" s="1"/>
  <c r="BI29" i="19"/>
  <c r="BJ29" i="19" s="1"/>
  <c r="BI334" i="19"/>
  <c r="BJ334" i="19" s="1"/>
  <c r="BI73" i="19"/>
  <c r="BJ73" i="19" s="1"/>
  <c r="BM277" i="19"/>
  <c r="AE75" i="19"/>
  <c r="G74" i="14"/>
  <c r="BB72" i="19"/>
  <c r="BI16" i="19"/>
  <c r="BJ16" i="19" s="1"/>
  <c r="G87" i="14"/>
  <c r="AH304" i="19"/>
  <c r="BA288" i="19"/>
  <c r="AG312" i="19"/>
  <c r="AZ308" i="19"/>
  <c r="AZ240" i="19"/>
  <c r="AG236" i="19"/>
  <c r="AG224" i="19"/>
  <c r="AZ220" i="19"/>
  <c r="AH185" i="19"/>
  <c r="AH181" i="19"/>
  <c r="BA114" i="19"/>
  <c r="BA105" i="19"/>
  <c r="AH94" i="19"/>
  <c r="BA90" i="19"/>
  <c r="AH70" i="19"/>
  <c r="BA54" i="19"/>
  <c r="AH42" i="19"/>
  <c r="AH6" i="19"/>
  <c r="AH199" i="19"/>
  <c r="AH184" i="19"/>
  <c r="AF310" i="19"/>
  <c r="AE289" i="19"/>
  <c r="AF216" i="19"/>
  <c r="G156" i="14"/>
  <c r="AF305" i="19"/>
  <c r="AF200" i="19"/>
  <c r="BM290" i="19"/>
  <c r="BI46" i="19"/>
  <c r="BJ46" i="19" s="1"/>
  <c r="BI51" i="19"/>
  <c r="BJ51" i="19" s="1"/>
  <c r="AZ232" i="19"/>
  <c r="AG228" i="19"/>
  <c r="BA102" i="19"/>
  <c r="AH98" i="19"/>
  <c r="BA46" i="19"/>
  <c r="BI92" i="19"/>
  <c r="BJ92" i="19" s="1"/>
  <c r="AH324" i="19"/>
  <c r="G38" i="14"/>
  <c r="G41" i="14"/>
  <c r="AH320" i="19"/>
  <c r="AG320" i="19"/>
  <c r="AG316" i="19"/>
  <c r="BA193" i="19"/>
  <c r="AH189" i="19"/>
  <c r="BA73" i="19"/>
  <c r="AH210" i="19"/>
  <c r="AH64" i="19"/>
  <c r="AH32" i="19"/>
  <c r="AH2" i="19"/>
  <c r="AF298" i="19"/>
  <c r="AE280" i="19"/>
  <c r="AE232" i="19"/>
  <c r="AF119" i="19"/>
  <c r="AF53" i="19"/>
  <c r="BM319" i="19"/>
  <c r="BI101" i="19"/>
  <c r="BJ101" i="19" s="1"/>
  <c r="G118" i="14"/>
  <c r="AH256" i="19"/>
  <c r="AG300" i="19"/>
  <c r="AG284" i="19"/>
  <c r="AH173" i="19"/>
  <c r="AH157" i="19"/>
  <c r="AH82" i="19"/>
  <c r="AH38" i="19"/>
  <c r="AF192" i="19"/>
  <c r="I6" i="17"/>
  <c r="BB78" i="19"/>
  <c r="AZ268" i="19"/>
  <c r="AZ252" i="19"/>
  <c r="BA141" i="19"/>
  <c r="BA125" i="19"/>
  <c r="BA106" i="19"/>
  <c r="AH50" i="19"/>
  <c r="AG2" i="19"/>
  <c r="G151" i="14"/>
  <c r="AF253" i="19"/>
  <c r="AF240" i="19"/>
  <c r="BA66" i="19"/>
  <c r="AF62" i="19"/>
  <c r="F239" i="17"/>
  <c r="F2" i="17"/>
  <c r="F184" i="17"/>
  <c r="L255" i="17"/>
  <c r="AH61" i="19"/>
  <c r="CX63" i="24"/>
  <c r="BA60" i="19"/>
  <c r="AE59" i="19"/>
  <c r="AH58" i="19"/>
  <c r="BA56" i="19"/>
  <c r="BA51" i="19"/>
  <c r="AH49" i="19"/>
  <c r="AE47" i="19"/>
  <c r="G46" i="14"/>
  <c r="U22" i="26"/>
  <c r="AZ44" i="19"/>
  <c r="BB43" i="19"/>
  <c r="H43" i="14"/>
  <c r="AH39" i="19"/>
  <c r="AE38" i="19"/>
  <c r="F24" i="17"/>
  <c r="F232" i="17"/>
  <c r="AE37" i="19"/>
  <c r="AZ36" i="19"/>
  <c r="BA34" i="19"/>
  <c r="J141" i="17"/>
  <c r="L141" i="17" s="1"/>
  <c r="F122" i="17"/>
  <c r="J53" i="17"/>
  <c r="L53" i="17" s="1"/>
  <c r="F130" i="17"/>
  <c r="F26" i="17"/>
  <c r="F286" i="17"/>
  <c r="F295" i="17"/>
  <c r="F8" i="17"/>
  <c r="F13" i="17"/>
  <c r="F319" i="17"/>
  <c r="F240" i="17"/>
  <c r="F198" i="17"/>
  <c r="F170" i="17"/>
  <c r="F17" i="17"/>
  <c r="F212" i="17"/>
  <c r="F220" i="17"/>
  <c r="F296" i="17"/>
  <c r="F182" i="17"/>
  <c r="F157" i="17"/>
  <c r="F143" i="17"/>
  <c r="F7" i="17"/>
  <c r="F313" i="17"/>
  <c r="F161" i="17"/>
  <c r="F155" i="17"/>
  <c r="I327" i="17"/>
  <c r="J247" i="17"/>
  <c r="L247" i="17" s="1"/>
  <c r="I248" i="17"/>
  <c r="F323" i="17"/>
  <c r="F270" i="17"/>
  <c r="F189" i="17"/>
  <c r="F145" i="17"/>
  <c r="F148" i="17"/>
  <c r="F216" i="17"/>
  <c r="I33" i="17"/>
  <c r="J178" i="17"/>
  <c r="L178" i="17" s="1"/>
  <c r="I148" i="17"/>
  <c r="I220" i="17"/>
  <c r="I221" i="17"/>
  <c r="J245" i="17"/>
  <c r="L245" i="17" s="1"/>
  <c r="I246" i="17"/>
  <c r="F153" i="17"/>
  <c r="J81" i="17"/>
  <c r="L81" i="17" s="1"/>
  <c r="J313" i="17"/>
  <c r="L313" i="17" s="1"/>
  <c r="J314" i="17"/>
  <c r="L314" i="17" s="1"/>
  <c r="I293" i="17"/>
  <c r="F210" i="17"/>
  <c r="F202" i="17"/>
  <c r="F269" i="17"/>
  <c r="F196" i="17"/>
  <c r="F187" i="17"/>
  <c r="F133" i="17"/>
  <c r="F127" i="17"/>
  <c r="J113" i="17"/>
  <c r="L113" i="17" s="1"/>
  <c r="F9" i="17"/>
  <c r="F22" i="17"/>
  <c r="F204" i="17"/>
  <c r="F179" i="17"/>
  <c r="F193" i="17"/>
  <c r="J194" i="17"/>
  <c r="L194" i="17" s="1"/>
  <c r="J110" i="17"/>
  <c r="L110" i="17" s="1"/>
  <c r="I121" i="17"/>
  <c r="F11" i="17"/>
  <c r="F20" i="17"/>
  <c r="I272" i="17"/>
  <c r="F200" i="17"/>
  <c r="F166" i="17"/>
  <c r="J203" i="17"/>
  <c r="L203" i="17" s="1"/>
  <c r="J154" i="17"/>
  <c r="L154" i="17" s="1"/>
  <c r="I309" i="17"/>
  <c r="J241" i="17"/>
  <c r="L241" i="17" s="1"/>
  <c r="I289" i="17"/>
  <c r="F314" i="17"/>
  <c r="F159" i="17"/>
  <c r="J213" i="17"/>
  <c r="L213" i="17" s="1"/>
  <c r="J100" i="17"/>
  <c r="L100" i="17" s="1"/>
  <c r="J156" i="17"/>
  <c r="L156" i="17" s="1"/>
  <c r="J258" i="17"/>
  <c r="L258" i="17" s="1"/>
  <c r="J235" i="17"/>
  <c r="L235" i="17" s="1"/>
  <c r="I233" i="17"/>
  <c r="I305" i="17"/>
  <c r="F293" i="17"/>
  <c r="F195" i="17"/>
  <c r="F162" i="17"/>
  <c r="F169" i="17"/>
  <c r="F10" i="17"/>
  <c r="F15" i="17"/>
  <c r="F18" i="17"/>
  <c r="F21" i="17"/>
  <c r="J222" i="17"/>
  <c r="L222" i="17" s="1"/>
  <c r="I231" i="17"/>
  <c r="J232" i="17"/>
  <c r="L232" i="17" s="1"/>
  <c r="F294" i="17"/>
  <c r="F289" i="17"/>
  <c r="F271" i="17"/>
  <c r="F199" i="17"/>
  <c r="F158" i="17"/>
  <c r="AG32" i="19"/>
  <c r="J31" i="17"/>
  <c r="L31" i="17" s="1"/>
  <c r="U26" i="26"/>
  <c r="AE28" i="19"/>
  <c r="CX35" i="24"/>
  <c r="AE26" i="19"/>
  <c r="AF218" i="19"/>
  <c r="AE242" i="19"/>
  <c r="AF194" i="19"/>
  <c r="AE250" i="19"/>
  <c r="AF149" i="19"/>
  <c r="AF210" i="19"/>
  <c r="AE202" i="19"/>
  <c r="AF130" i="19"/>
  <c r="AE71" i="19"/>
  <c r="AF162" i="19"/>
  <c r="AE306" i="19"/>
  <c r="AE55" i="19"/>
  <c r="AE261" i="19"/>
  <c r="AE181" i="19"/>
  <c r="AE32" i="19"/>
  <c r="AF147" i="19"/>
  <c r="AF290" i="19"/>
  <c r="AE8" i="19"/>
  <c r="AF201" i="19"/>
  <c r="AE98" i="19"/>
  <c r="AF51" i="19"/>
  <c r="AE174" i="19"/>
  <c r="AE312" i="19"/>
  <c r="AE186" i="19"/>
  <c r="AF18" i="19"/>
  <c r="AE82" i="19"/>
  <c r="AE65" i="19"/>
  <c r="AE10" i="19"/>
  <c r="AF114" i="19"/>
  <c r="AE164" i="19"/>
  <c r="AE271" i="19"/>
  <c r="AF211" i="19"/>
  <c r="AF106" i="19"/>
  <c r="AE34" i="19"/>
  <c r="AE320" i="19"/>
  <c r="AE282" i="19"/>
  <c r="AE57" i="19"/>
  <c r="AF73" i="19"/>
  <c r="AE227" i="19"/>
  <c r="AE45" i="19"/>
  <c r="F25" i="17"/>
  <c r="BA26" i="19"/>
  <c r="G24" i="14"/>
  <c r="AF24" i="19"/>
  <c r="F23" i="17"/>
  <c r="J22" i="17"/>
  <c r="L22" i="17" s="1"/>
  <c r="AH22" i="19"/>
  <c r="I20" i="17"/>
  <c r="F19" i="17"/>
  <c r="AH18" i="19"/>
  <c r="BA17" i="19"/>
  <c r="AE16" i="19"/>
  <c r="F16" i="17"/>
  <c r="BA16" i="19"/>
  <c r="F14" i="17"/>
  <c r="BA14" i="19"/>
  <c r="F12" i="17"/>
  <c r="BA12" i="19"/>
  <c r="AH10" i="19"/>
  <c r="AZ7" i="19"/>
  <c r="U27" i="26"/>
  <c r="T27" i="26"/>
  <c r="F6" i="17"/>
  <c r="J6" i="17"/>
  <c r="L6" i="17" s="1"/>
  <c r="F5" i="17"/>
  <c r="F3" i="17"/>
  <c r="L210" i="17"/>
  <c r="L196" i="17"/>
  <c r="I210" i="17"/>
  <c r="L191" i="17"/>
  <c r="L160" i="17"/>
  <c r="I191" i="17"/>
  <c r="I196" i="17"/>
  <c r="I160" i="17"/>
  <c r="AH3" i="19"/>
  <c r="AE2" i="19"/>
  <c r="G42" i="14"/>
  <c r="J202" i="17"/>
  <c r="L202" i="17" s="1"/>
  <c r="I202" i="17"/>
  <c r="I2" i="17"/>
  <c r="J2" i="17"/>
  <c r="L2" i="17" s="1"/>
  <c r="I207" i="17"/>
  <c r="J207" i="17"/>
  <c r="L207" i="17" s="1"/>
  <c r="G208" i="14"/>
  <c r="G56" i="14"/>
  <c r="I199" i="17"/>
  <c r="J199" i="17"/>
  <c r="L199" i="17" s="1"/>
  <c r="I132" i="17"/>
  <c r="J132" i="17"/>
  <c r="L132" i="17" s="1"/>
  <c r="G49" i="14"/>
  <c r="G50" i="14"/>
  <c r="J193" i="17"/>
  <c r="L193" i="17" s="1"/>
  <c r="I193" i="17"/>
  <c r="I67" i="17"/>
  <c r="J67" i="17"/>
  <c r="L67" i="17" s="1"/>
  <c r="I163" i="17"/>
  <c r="J163" i="17"/>
  <c r="L163" i="17" s="1"/>
  <c r="I127" i="17"/>
  <c r="J127" i="17"/>
  <c r="L127" i="17" s="1"/>
  <c r="I179" i="17"/>
  <c r="J179" i="17"/>
  <c r="L179" i="17" s="1"/>
  <c r="G113" i="14"/>
  <c r="G110" i="14"/>
  <c r="G93" i="14"/>
  <c r="I189" i="17"/>
  <c r="J189" i="17"/>
  <c r="L189" i="17" s="1"/>
  <c r="G52" i="14"/>
  <c r="G31" i="14"/>
  <c r="I181" i="17"/>
  <c r="J181" i="17"/>
  <c r="L181" i="17" s="1"/>
  <c r="I103" i="17"/>
  <c r="J103" i="17"/>
  <c r="L103" i="17" s="1"/>
  <c r="J116" i="17"/>
  <c r="L116" i="17" s="1"/>
  <c r="I116" i="17"/>
  <c r="I52" i="17"/>
  <c r="J52" i="17"/>
  <c r="L52" i="17" s="1"/>
  <c r="G35" i="14"/>
  <c r="G100" i="14"/>
  <c r="G65" i="14"/>
  <c r="I107" i="17"/>
  <c r="J107" i="17"/>
  <c r="L107" i="17" s="1"/>
  <c r="G88" i="14"/>
  <c r="G13" i="14"/>
  <c r="G39" i="14"/>
  <c r="G85" i="14"/>
  <c r="G234" i="14"/>
  <c r="I146" i="17"/>
  <c r="J146" i="17"/>
  <c r="L146" i="17" s="1"/>
  <c r="G116" i="14"/>
  <c r="G5" i="14"/>
  <c r="G89" i="14"/>
  <c r="J149" i="17"/>
  <c r="L149" i="17" s="1"/>
  <c r="I149" i="17"/>
  <c r="I86" i="17"/>
  <c r="J86" i="17"/>
  <c r="L86" i="17" s="1"/>
  <c r="J37" i="17"/>
  <c r="L37" i="17" s="1"/>
  <c r="I94" i="17"/>
  <c r="J94" i="17"/>
  <c r="L94" i="17" s="1"/>
  <c r="I77" i="17"/>
  <c r="J77" i="17"/>
  <c r="L77" i="17" s="1"/>
  <c r="G30" i="14"/>
  <c r="G112" i="14"/>
  <c r="G57" i="14"/>
  <c r="G14" i="14"/>
  <c r="G119" i="14"/>
  <c r="G51" i="14"/>
  <c r="G45" i="14"/>
  <c r="G105" i="14"/>
  <c r="I119" i="17"/>
  <c r="J119" i="17"/>
  <c r="L119" i="17" s="1"/>
  <c r="I124" i="17"/>
  <c r="J124" i="17"/>
  <c r="L124" i="17" s="1"/>
  <c r="I204" i="17"/>
  <c r="J204" i="17"/>
  <c r="L204" i="17" s="1"/>
  <c r="I169" i="17"/>
  <c r="J169" i="17"/>
  <c r="L169" i="17" s="1"/>
  <c r="G283" i="14"/>
  <c r="I206" i="17"/>
  <c r="J206" i="17"/>
  <c r="L206" i="17" s="1"/>
  <c r="G109" i="14"/>
  <c r="I62" i="17"/>
  <c r="J62" i="17"/>
  <c r="L62" i="17" s="1"/>
  <c r="I75" i="17"/>
  <c r="J75" i="17"/>
  <c r="L75" i="17" s="1"/>
  <c r="I57" i="17"/>
  <c r="J57" i="17"/>
  <c r="L57" i="17" s="1"/>
  <c r="I175" i="17"/>
  <c r="J175" i="17"/>
  <c r="L175" i="17" s="1"/>
  <c r="I91" i="17"/>
  <c r="J91" i="17"/>
  <c r="L91" i="17" s="1"/>
  <c r="I43" i="17"/>
  <c r="J43" i="17"/>
  <c r="L43" i="17" s="1"/>
  <c r="G166" i="14"/>
  <c r="G26" i="14"/>
  <c r="G143" i="14"/>
  <c r="G3" i="14"/>
  <c r="G121" i="14"/>
  <c r="G27" i="14"/>
  <c r="G103" i="14"/>
  <c r="G33" i="14"/>
  <c r="J177" i="17"/>
  <c r="L177" i="17" s="1"/>
  <c r="I177" i="17"/>
  <c r="G79" i="14"/>
  <c r="I125" i="17"/>
  <c r="J125" i="17"/>
  <c r="L125" i="17" s="1"/>
  <c r="I83" i="17"/>
  <c r="J83" i="17"/>
  <c r="L83" i="17" s="1"/>
  <c r="G22" i="14"/>
  <c r="G77" i="14"/>
  <c r="G20" i="14"/>
  <c r="I147" i="17"/>
  <c r="J147" i="17"/>
  <c r="L147" i="17" s="1"/>
  <c r="G6" i="14"/>
  <c r="G81" i="14"/>
  <c r="G72" i="14"/>
  <c r="I35" i="17"/>
  <c r="J35" i="17"/>
  <c r="L35" i="17" s="1"/>
  <c r="I260" i="17"/>
  <c r="I255" i="17"/>
  <c r="I299" i="17"/>
  <c r="L299" i="17"/>
  <c r="I254" i="17"/>
  <c r="F140" i="17"/>
  <c r="L300" i="17"/>
  <c r="I300" i="17"/>
  <c r="L260" i="17"/>
  <c r="L250" i="17"/>
  <c r="I250" i="17"/>
  <c r="J289" i="17"/>
  <c r="L289" i="17" s="1"/>
  <c r="G152" i="14"/>
  <c r="G165" i="14"/>
  <c r="G148" i="14"/>
  <c r="G252" i="14"/>
  <c r="L218" i="17"/>
  <c r="I227" i="17"/>
  <c r="L230" i="17"/>
  <c r="L227" i="17"/>
  <c r="I218" i="17"/>
  <c r="F241" i="17"/>
  <c r="F156" i="17"/>
  <c r="F222" i="17"/>
  <c r="I241" i="17"/>
  <c r="I245" i="17"/>
  <c r="BB292" i="19"/>
  <c r="G241" i="14"/>
  <c r="G147" i="14"/>
  <c r="BB47" i="19"/>
  <c r="G209" i="14"/>
  <c r="H50" i="14"/>
  <c r="BB149" i="19"/>
  <c r="BA248" i="19"/>
  <c r="AG171" i="19"/>
  <c r="BA139" i="19"/>
  <c r="BA104" i="19"/>
  <c r="AZ40" i="19"/>
  <c r="AZ24" i="19"/>
  <c r="AE21" i="19"/>
  <c r="AE91" i="19"/>
  <c r="AH314" i="19"/>
  <c r="AH282" i="19"/>
  <c r="AH250" i="19"/>
  <c r="AH216" i="19"/>
  <c r="AG64" i="19"/>
  <c r="AH24" i="19"/>
  <c r="BA312" i="19"/>
  <c r="AH187" i="19"/>
  <c r="BA155" i="19"/>
  <c r="AH123" i="19"/>
  <c r="AH72" i="19"/>
  <c r="BA322" i="19"/>
  <c r="AH290" i="19"/>
  <c r="AH258" i="19"/>
  <c r="AH226" i="19"/>
  <c r="BA80" i="19"/>
  <c r="BA171" i="19"/>
  <c r="AH195" i="19"/>
  <c r="BA163" i="19"/>
  <c r="BA131" i="19"/>
  <c r="AH88" i="19"/>
  <c r="AG16" i="19"/>
  <c r="AG8" i="19"/>
  <c r="AH330" i="19"/>
  <c r="BA298" i="19"/>
  <c r="AH266" i="19"/>
  <c r="BA234" i="19"/>
  <c r="BA96" i="19"/>
  <c r="BA202" i="19"/>
  <c r="AH4" i="19"/>
  <c r="AH9" i="19"/>
  <c r="BA7" i="19"/>
  <c r="AF322" i="19"/>
  <c r="AE255" i="19"/>
  <c r="AE238" i="19"/>
  <c r="AZ196" i="19"/>
  <c r="AG188" i="19"/>
  <c r="AH180" i="19"/>
  <c r="AH172" i="19"/>
  <c r="BA164" i="19"/>
  <c r="BA156" i="19"/>
  <c r="AH148" i="19"/>
  <c r="BA140" i="19"/>
  <c r="BA132" i="19"/>
  <c r="AH124" i="19"/>
  <c r="AF92" i="19"/>
  <c r="AE276" i="19"/>
  <c r="AF6" i="19"/>
  <c r="AE178" i="19"/>
  <c r="AF110" i="19"/>
  <c r="BA206" i="19"/>
  <c r="AH175" i="19"/>
  <c r="AH28" i="19"/>
  <c r="AE265" i="19"/>
  <c r="AE14" i="19"/>
  <c r="AF41" i="19"/>
  <c r="AE170" i="19"/>
  <c r="AG327" i="19"/>
  <c r="AH316" i="19"/>
  <c r="BA284" i="19"/>
  <c r="BA252" i="19"/>
  <c r="BA220" i="19"/>
  <c r="AH33" i="19"/>
  <c r="BA25" i="19"/>
  <c r="AE284" i="19"/>
  <c r="AE263" i="19"/>
  <c r="AE30" i="19"/>
  <c r="AH323" i="19"/>
  <c r="AH315" i="19"/>
  <c r="AH307" i="19"/>
  <c r="AH299" i="19"/>
  <c r="BA291" i="19"/>
  <c r="AH283" i="19"/>
  <c r="AH275" i="19"/>
  <c r="AH267" i="19"/>
  <c r="AH259" i="19"/>
  <c r="AH251" i="19"/>
  <c r="AH243" i="19"/>
  <c r="AH235" i="19"/>
  <c r="BA227" i="19"/>
  <c r="BA219" i="19"/>
  <c r="AF292" i="19"/>
  <c r="AF49" i="19"/>
  <c r="AG329" i="19"/>
  <c r="AF140" i="19"/>
  <c r="AF190" i="19"/>
  <c r="AF300" i="19"/>
  <c r="AF214" i="19"/>
  <c r="AF172" i="19"/>
  <c r="AE316" i="19"/>
  <c r="AF317" i="19"/>
  <c r="AE268" i="19"/>
  <c r="AE173" i="19"/>
  <c r="AE112" i="19"/>
  <c r="AF295" i="19"/>
  <c r="AE272" i="19"/>
  <c r="AF258" i="19"/>
  <c r="AE80" i="19"/>
  <c r="AE63" i="19"/>
  <c r="AE9" i="19"/>
  <c r="AF302" i="19"/>
  <c r="AF294" i="19"/>
  <c r="AE279" i="19"/>
  <c r="AE257" i="19"/>
  <c r="AF121" i="19"/>
  <c r="AE52" i="19"/>
  <c r="AF43" i="19"/>
  <c r="AF25" i="19"/>
  <c r="AE273" i="19"/>
  <c r="AF72" i="19"/>
  <c r="AF249" i="19"/>
  <c r="AE233" i="19"/>
  <c r="AE217" i="19"/>
  <c r="AE56" i="19"/>
  <c r="AF195" i="19"/>
  <c r="AF36" i="19"/>
  <c r="AE35" i="19"/>
  <c r="AF165" i="19"/>
  <c r="AE19" i="19"/>
  <c r="AE74" i="19"/>
  <c r="AF66" i="19"/>
  <c r="AE157" i="19"/>
  <c r="AE319" i="19"/>
  <c r="AE314" i="19"/>
  <c r="AE308" i="19"/>
  <c r="AE303" i="19"/>
  <c r="AF297" i="19"/>
  <c r="AF251" i="19"/>
  <c r="AE246" i="19"/>
  <c r="AE241" i="19"/>
  <c r="AE183" i="19"/>
  <c r="AE81" i="19"/>
  <c r="AE27" i="19"/>
  <c r="AE64" i="19"/>
  <c r="AE22" i="19"/>
  <c r="AF58" i="19"/>
  <c r="AE99" i="19"/>
  <c r="AF83" i="19"/>
  <c r="AE107" i="19"/>
  <c r="AE131" i="19"/>
  <c r="AE287" i="19"/>
  <c r="AF281" i="19"/>
  <c r="AF235" i="19"/>
  <c r="AE225" i="19"/>
  <c r="AE219" i="19"/>
  <c r="AE209" i="19"/>
  <c r="AE148" i="19"/>
  <c r="AE113" i="19"/>
  <c r="AE260" i="19"/>
  <c r="AF203" i="19"/>
  <c r="AE193" i="19"/>
  <c r="AF182" i="19"/>
  <c r="AF175" i="19"/>
  <c r="AE46" i="19"/>
  <c r="AE17" i="19"/>
  <c r="AF44" i="19"/>
  <c r="AE122" i="19"/>
  <c r="AE163" i="19"/>
  <c r="AE270" i="19"/>
  <c r="AE61" i="19"/>
  <c r="AF33" i="19"/>
  <c r="AE3" i="19"/>
  <c r="AE154" i="19"/>
  <c r="AE77" i="19"/>
  <c r="AE69" i="19"/>
  <c r="AF315" i="19"/>
  <c r="AF301" i="19"/>
  <c r="AE256" i="19"/>
  <c r="AF247" i="19"/>
  <c r="AF215" i="19"/>
  <c r="AE15" i="19"/>
  <c r="AE50" i="19"/>
  <c r="AF158" i="19"/>
  <c r="AE120" i="19"/>
  <c r="AE23" i="19"/>
  <c r="AE79" i="19"/>
  <c r="AF323" i="19"/>
  <c r="AE309" i="19"/>
  <c r="AF277" i="19"/>
  <c r="AE264" i="19"/>
  <c r="AF223" i="19"/>
  <c r="AE191" i="19"/>
  <c r="AE7" i="19"/>
  <c r="AE328" i="19"/>
  <c r="AF285" i="19"/>
  <c r="AE231" i="19"/>
  <c r="AE199" i="19"/>
  <c r="AF180" i="19"/>
  <c r="AF93" i="19"/>
  <c r="AE70" i="19"/>
  <c r="AF42" i="19"/>
  <c r="BM112" i="19"/>
  <c r="BM307" i="19"/>
  <c r="BM326" i="19"/>
  <c r="BM249" i="19"/>
  <c r="BI20" i="19"/>
  <c r="BJ20" i="19" s="1"/>
  <c r="BM114" i="19"/>
  <c r="BI269" i="19"/>
  <c r="BJ269" i="19" s="1"/>
  <c r="BI306" i="19"/>
  <c r="BJ306" i="19" s="1"/>
  <c r="BI307" i="19"/>
  <c r="BJ307" i="19" s="1"/>
  <c r="BM158" i="19"/>
  <c r="BI84" i="19"/>
  <c r="BJ84" i="19" s="1"/>
  <c r="BI326" i="19"/>
  <c r="BJ326" i="19" s="1"/>
  <c r="BI200" i="19"/>
  <c r="BJ200" i="19" s="1"/>
  <c r="BI308" i="19"/>
  <c r="BJ308" i="19" s="1"/>
  <c r="BI251" i="19"/>
  <c r="BJ251" i="19" s="1"/>
  <c r="BI298" i="19"/>
  <c r="BJ298" i="19" s="1"/>
  <c r="BI112" i="19"/>
  <c r="BJ112" i="19" s="1"/>
  <c r="BM85" i="19"/>
  <c r="BI78" i="19"/>
  <c r="BJ78" i="19" s="1"/>
  <c r="G329" i="14"/>
  <c r="BI134" i="19"/>
  <c r="BJ134" i="19" s="1"/>
  <c r="BB86" i="19"/>
  <c r="G194" i="14"/>
  <c r="BI313" i="19"/>
  <c r="BJ313" i="19" s="1"/>
  <c r="H308" i="14"/>
  <c r="BM181" i="19"/>
  <c r="G206" i="14"/>
  <c r="G248" i="14"/>
  <c r="G223" i="14"/>
  <c r="I247" i="17"/>
  <c r="BM259" i="19"/>
  <c r="BI287" i="19"/>
  <c r="BJ287" i="19" s="1"/>
  <c r="BM278" i="19"/>
  <c r="BM204" i="19"/>
  <c r="BM86" i="19"/>
  <c r="BM48" i="19"/>
  <c r="BM255" i="19"/>
  <c r="BM56" i="19"/>
  <c r="BM240" i="19"/>
  <c r="BM70" i="19"/>
  <c r="H80" i="14"/>
  <c r="BM127" i="19"/>
  <c r="BM182" i="19"/>
  <c r="BI70" i="19"/>
  <c r="BJ70" i="19" s="1"/>
  <c r="BM274" i="19"/>
  <c r="BM66" i="19"/>
  <c r="BM299" i="19"/>
  <c r="BM81" i="19"/>
  <c r="BM35" i="19"/>
  <c r="BM237" i="19"/>
  <c r="BM179" i="19"/>
  <c r="BM220" i="19"/>
  <c r="BM75" i="19"/>
  <c r="BI86" i="19"/>
  <c r="BJ86" i="19" s="1"/>
  <c r="BM244" i="19"/>
  <c r="BI52" i="19"/>
  <c r="BJ52" i="19" s="1"/>
  <c r="BM239" i="19"/>
  <c r="BM252" i="19"/>
  <c r="BI53" i="19"/>
  <c r="BJ53" i="19" s="1"/>
  <c r="BB29" i="19"/>
  <c r="BI270" i="19"/>
  <c r="BJ270" i="19" s="1"/>
  <c r="G221" i="14"/>
  <c r="BI117" i="19"/>
  <c r="BJ117" i="19" s="1"/>
  <c r="H76" i="14"/>
  <c r="BM187" i="19"/>
  <c r="BM183" i="19"/>
  <c r="BB25" i="19"/>
  <c r="BB170" i="19"/>
  <c r="G274" i="14"/>
  <c r="J272" i="17"/>
  <c r="L272" i="17" s="1"/>
  <c r="G222" i="14"/>
  <c r="G128" i="14"/>
  <c r="BI18" i="19"/>
  <c r="BJ18" i="19" s="1"/>
  <c r="BM258" i="19"/>
  <c r="BI105" i="19"/>
  <c r="BJ105" i="19" s="1"/>
  <c r="BM34" i="19"/>
  <c r="BM89" i="19"/>
  <c r="G178" i="14"/>
  <c r="G144" i="14"/>
  <c r="G249" i="14"/>
  <c r="BM11" i="19"/>
  <c r="BI301" i="19"/>
  <c r="BJ301" i="19" s="1"/>
  <c r="H148" i="14"/>
  <c r="BI176" i="19"/>
  <c r="BJ176" i="19" s="1"/>
  <c r="BI65" i="19"/>
  <c r="BJ65" i="19" s="1"/>
  <c r="BB242" i="19"/>
  <c r="G201" i="14"/>
  <c r="G141" i="14"/>
  <c r="G125" i="14"/>
  <c r="G323" i="14"/>
  <c r="BI83" i="19"/>
  <c r="BJ83" i="19" s="1"/>
  <c r="BM268" i="19"/>
  <c r="BM285" i="19"/>
  <c r="BM267" i="19"/>
  <c r="BM219" i="19"/>
  <c r="BB39" i="19"/>
  <c r="J220" i="17"/>
  <c r="L220" i="17" s="1"/>
  <c r="BM18" i="19"/>
  <c r="BM83" i="19"/>
  <c r="BM195" i="19"/>
  <c r="J309" i="17"/>
  <c r="L309" i="17" s="1"/>
  <c r="G306" i="14"/>
  <c r="G126" i="14"/>
  <c r="BM322" i="19"/>
  <c r="H177" i="14"/>
  <c r="BM159" i="19"/>
  <c r="BM82" i="19"/>
  <c r="BM162" i="19"/>
  <c r="G320" i="14"/>
  <c r="G199" i="14"/>
  <c r="G233" i="14"/>
  <c r="G281" i="14"/>
  <c r="BM276" i="19"/>
  <c r="BI321" i="19"/>
  <c r="BJ321" i="19" s="1"/>
  <c r="BI82" i="19"/>
  <c r="BJ82" i="19" s="1"/>
  <c r="BM80" i="19"/>
  <c r="BM8" i="19"/>
  <c r="BM154" i="19"/>
  <c r="J231" i="17"/>
  <c r="L231" i="17" s="1"/>
  <c r="G267" i="14"/>
  <c r="G190" i="14"/>
  <c r="G200" i="14"/>
  <c r="G255" i="14"/>
  <c r="BI6" i="19"/>
  <c r="BJ6" i="19" s="1"/>
  <c r="BM104" i="19"/>
  <c r="BI276" i="19"/>
  <c r="BJ276" i="19" s="1"/>
  <c r="BI74" i="19"/>
  <c r="BJ74" i="19" s="1"/>
  <c r="BM199" i="19"/>
  <c r="BM69" i="19"/>
  <c r="BM260" i="19"/>
  <c r="BM76" i="19"/>
  <c r="BM279" i="19"/>
  <c r="BM246" i="19"/>
  <c r="G154" i="14"/>
  <c r="BI320" i="19"/>
  <c r="BJ320" i="19" s="1"/>
  <c r="G303" i="14"/>
  <c r="BM90" i="19"/>
  <c r="BM58" i="19"/>
  <c r="BM201" i="19"/>
  <c r="BM84" i="19"/>
  <c r="BM241" i="19"/>
  <c r="BM227" i="19"/>
  <c r="G232" i="14"/>
  <c r="G203" i="14"/>
  <c r="G133" i="14"/>
  <c r="BI272" i="19"/>
  <c r="BJ272" i="19" s="1"/>
  <c r="BM202" i="19"/>
  <c r="BM248" i="19"/>
  <c r="BM73" i="19"/>
  <c r="G312" i="14"/>
  <c r="G183" i="14"/>
  <c r="BI19" i="19"/>
  <c r="BJ19" i="19" s="1"/>
  <c r="BM28" i="19"/>
  <c r="BI144" i="19"/>
  <c r="BJ144" i="19" s="1"/>
  <c r="BM88" i="19"/>
  <c r="BM288" i="19"/>
  <c r="BI253" i="19"/>
  <c r="BJ253" i="19" s="1"/>
  <c r="BI90" i="19"/>
  <c r="BJ90" i="19" s="1"/>
  <c r="BM24" i="19"/>
  <c r="BM157" i="19"/>
  <c r="BM211" i="19"/>
  <c r="BM203" i="19"/>
  <c r="BM32" i="19"/>
  <c r="BM228" i="19"/>
  <c r="BM188" i="19"/>
  <c r="BM50" i="19"/>
  <c r="BM210" i="19"/>
  <c r="BM315" i="19"/>
  <c r="BM124" i="19"/>
  <c r="BM120" i="19"/>
  <c r="BM108" i="19"/>
  <c r="BM185" i="19"/>
  <c r="BM160" i="19"/>
  <c r="BM235" i="19"/>
  <c r="BM226" i="19"/>
  <c r="BM106" i="19"/>
  <c r="BM284" i="19"/>
  <c r="BM194" i="19"/>
  <c r="AE326" i="19"/>
  <c r="AE327" i="19"/>
  <c r="AF109" i="19"/>
  <c r="AE118" i="19"/>
  <c r="AE167" i="19"/>
  <c r="AE307" i="19"/>
  <c r="AE299" i="19"/>
  <c r="AE291" i="19"/>
  <c r="AE283" i="19"/>
  <c r="AF275" i="19"/>
  <c r="AE187" i="19"/>
  <c r="AF48" i="19"/>
  <c r="AE76" i="19"/>
  <c r="AE13" i="19"/>
  <c r="AE177" i="19"/>
  <c r="AE336" i="19"/>
  <c r="AE262" i="19"/>
  <c r="AE254" i="19"/>
  <c r="AE5" i="19"/>
  <c r="AE29" i="19"/>
  <c r="AE40" i="19"/>
  <c r="AE156" i="19"/>
  <c r="AE139" i="19"/>
  <c r="AE321" i="19"/>
  <c r="AF313" i="19"/>
  <c r="AE245" i="19"/>
  <c r="AF237" i="19"/>
  <c r="AF229" i="19"/>
  <c r="AE221" i="19"/>
  <c r="AE213" i="19"/>
  <c r="AE205" i="19"/>
  <c r="AE197" i="19"/>
  <c r="AE189" i="19"/>
  <c r="AE60" i="19"/>
  <c r="AE68" i="19"/>
  <c r="I313" i="17"/>
  <c r="J305" i="17"/>
  <c r="L305" i="17" s="1"/>
  <c r="J254" i="17"/>
  <c r="L254" i="17" s="1"/>
  <c r="I235" i="17"/>
  <c r="BM341" i="19"/>
  <c r="BI341" i="19"/>
  <c r="BJ341" i="19" s="1"/>
  <c r="BM328" i="19"/>
  <c r="BM91" i="19"/>
  <c r="BI87" i="19"/>
  <c r="BJ87" i="19" s="1"/>
  <c r="BM49" i="19"/>
  <c r="BM280" i="19"/>
  <c r="BI364" i="19"/>
  <c r="BJ364" i="19" s="1"/>
  <c r="BM364" i="19"/>
  <c r="BI358" i="19"/>
  <c r="BJ358" i="19" s="1"/>
  <c r="BM358" i="19"/>
  <c r="BM363" i="19"/>
  <c r="BI363" i="19"/>
  <c r="BJ363" i="19" s="1"/>
  <c r="BI347" i="19"/>
  <c r="BJ347" i="19" s="1"/>
  <c r="BM347" i="19"/>
  <c r="BI293" i="19"/>
  <c r="BJ293" i="19" s="1"/>
  <c r="BI111" i="19"/>
  <c r="BJ111" i="19" s="1"/>
  <c r="BI57" i="19"/>
  <c r="BJ57" i="19" s="1"/>
  <c r="BM152" i="19"/>
  <c r="BM342" i="19"/>
  <c r="BI342" i="19"/>
  <c r="BJ342" i="19" s="1"/>
  <c r="BI349" i="19"/>
  <c r="BJ349" i="19" s="1"/>
  <c r="BM349" i="19"/>
  <c r="BI366" i="19"/>
  <c r="BJ366" i="19" s="1"/>
  <c r="BM366" i="19"/>
  <c r="BI348" i="19"/>
  <c r="BJ348" i="19" s="1"/>
  <c r="BM348" i="19"/>
  <c r="BM205" i="19"/>
  <c r="BM256" i="19"/>
  <c r="BM87" i="19"/>
  <c r="BI44" i="19"/>
  <c r="BJ44" i="19" s="1"/>
  <c r="BM254" i="19"/>
  <c r="BI365" i="19"/>
  <c r="BJ365" i="19" s="1"/>
  <c r="BM365" i="19"/>
  <c r="BM357" i="19"/>
  <c r="BI357" i="19"/>
  <c r="BJ357" i="19" s="1"/>
  <c r="BI362" i="19"/>
  <c r="BJ362" i="19" s="1"/>
  <c r="BM362" i="19"/>
  <c r="BI338" i="19"/>
  <c r="BJ338" i="19" s="1"/>
  <c r="BM338" i="19"/>
  <c r="BI55" i="19"/>
  <c r="BJ55" i="19" s="1"/>
  <c r="BI97" i="19"/>
  <c r="BJ97" i="19" s="1"/>
  <c r="BM167" i="19"/>
  <c r="BM247" i="19"/>
  <c r="BM128" i="19"/>
  <c r="BM110" i="19"/>
  <c r="BI356" i="19"/>
  <c r="BJ356" i="19" s="1"/>
  <c r="BM356" i="19"/>
  <c r="BM360" i="19"/>
  <c r="BI360" i="19"/>
  <c r="BJ360" i="19" s="1"/>
  <c r="BI340" i="19"/>
  <c r="BJ340" i="19" s="1"/>
  <c r="BM340" i="19"/>
  <c r="BI337" i="19"/>
  <c r="BJ337" i="19" s="1"/>
  <c r="BM337" i="19"/>
  <c r="BM245" i="19"/>
  <c r="BM10" i="19"/>
  <c r="BI355" i="19"/>
  <c r="BJ355" i="19" s="1"/>
  <c r="BM355" i="19"/>
  <c r="BM4" i="19"/>
  <c r="BM161" i="19"/>
  <c r="BM60" i="19"/>
  <c r="BM43" i="19"/>
  <c r="BM212" i="19"/>
  <c r="BM163" i="19"/>
  <c r="BM138" i="19"/>
  <c r="BM26" i="19"/>
  <c r="BI339" i="19"/>
  <c r="BJ339" i="19" s="1"/>
  <c r="BM339" i="19"/>
  <c r="BM343" i="19"/>
  <c r="BI343" i="19"/>
  <c r="BJ343" i="19" s="1"/>
  <c r="BI353" i="19"/>
  <c r="BJ353" i="19" s="1"/>
  <c r="BM353" i="19"/>
  <c r="BI345" i="19"/>
  <c r="BJ345" i="19" s="1"/>
  <c r="BM345" i="19"/>
  <c r="BI346" i="19"/>
  <c r="BJ346" i="19" s="1"/>
  <c r="BM346" i="19"/>
  <c r="BM180" i="19"/>
  <c r="BM238" i="19"/>
  <c r="BM147" i="19"/>
  <c r="BM130" i="19"/>
  <c r="BM96" i="19"/>
  <c r="BI94" i="19"/>
  <c r="BJ94" i="19" s="1"/>
  <c r="BI344" i="19"/>
  <c r="BJ344" i="19" s="1"/>
  <c r="BM344" i="19"/>
  <c r="BI351" i="19"/>
  <c r="BJ351" i="19" s="1"/>
  <c r="BM351" i="19"/>
  <c r="BI350" i="19"/>
  <c r="BJ350" i="19" s="1"/>
  <c r="BM350" i="19"/>
  <c r="BM72" i="19"/>
  <c r="BI91" i="19"/>
  <c r="BJ91" i="19" s="1"/>
  <c r="BM243" i="19"/>
  <c r="BM250" i="19"/>
  <c r="BI71" i="19"/>
  <c r="BJ71" i="19" s="1"/>
  <c r="BM64" i="19"/>
  <c r="BM352" i="19"/>
  <c r="BI352" i="19"/>
  <c r="BJ352" i="19" s="1"/>
  <c r="BI361" i="19"/>
  <c r="BJ361" i="19" s="1"/>
  <c r="BM361" i="19"/>
  <c r="BI359" i="19"/>
  <c r="BJ359" i="19" s="1"/>
  <c r="BM359" i="19"/>
  <c r="BI354" i="19"/>
  <c r="BJ354" i="19" s="1"/>
  <c r="BM354" i="19"/>
  <c r="BB198" i="19"/>
  <c r="G273" i="14"/>
  <c r="BB254" i="19"/>
  <c r="H34" i="14"/>
  <c r="G243" i="14"/>
  <c r="BB288" i="19"/>
  <c r="BB181" i="19"/>
  <c r="H181" i="14"/>
  <c r="BB290" i="19"/>
  <c r="BB184" i="19"/>
  <c r="BB190" i="19"/>
  <c r="BB255" i="19"/>
  <c r="H255" i="14"/>
  <c r="BB266" i="19"/>
  <c r="BB156" i="19"/>
  <c r="H156" i="14"/>
  <c r="BB31" i="19"/>
  <c r="H31" i="14"/>
  <c r="BB173" i="19"/>
  <c r="BB143" i="19"/>
  <c r="BB120" i="19"/>
  <c r="H120" i="14"/>
  <c r="BB125" i="19"/>
  <c r="H125" i="14"/>
  <c r="BB11" i="19"/>
  <c r="BB210" i="19"/>
  <c r="H210" i="14"/>
  <c r="BB129" i="19"/>
  <c r="BB320" i="19"/>
  <c r="BB302" i="19"/>
  <c r="BB306" i="19"/>
  <c r="BB88" i="19"/>
  <c r="BB276" i="19"/>
  <c r="BB311" i="19"/>
  <c r="BB22" i="19"/>
  <c r="H22" i="14"/>
  <c r="BB55" i="19"/>
  <c r="H55" i="14"/>
  <c r="BB6" i="19"/>
  <c r="H6" i="14"/>
  <c r="BB314" i="19"/>
  <c r="H314" i="14"/>
  <c r="BB133" i="19"/>
  <c r="BB232" i="19"/>
  <c r="H232" i="14"/>
  <c r="BB246" i="19"/>
  <c r="H246" i="14"/>
  <c r="BB199" i="19"/>
  <c r="H199" i="14"/>
  <c r="BB110" i="19"/>
  <c r="H110" i="14"/>
  <c r="BB318" i="19"/>
  <c r="BB239" i="19"/>
  <c r="BB138" i="19"/>
  <c r="BB175" i="19"/>
  <c r="H175" i="14"/>
  <c r="BB68" i="19"/>
  <c r="BB244" i="19"/>
  <c r="BB119" i="19"/>
  <c r="H119" i="14"/>
  <c r="BB107" i="19"/>
  <c r="H107" i="14"/>
  <c r="BB236" i="19"/>
  <c r="H236" i="14"/>
  <c r="BB194" i="19"/>
  <c r="H194" i="14"/>
  <c r="BB109" i="19"/>
  <c r="H109" i="14"/>
  <c r="G331" i="14"/>
  <c r="BB312" i="19"/>
  <c r="BB237" i="19"/>
  <c r="BB137" i="19"/>
  <c r="BB275" i="19"/>
  <c r="BB112" i="19"/>
  <c r="H112" i="14"/>
  <c r="BB99" i="19"/>
  <c r="H99" i="14"/>
  <c r="BB115" i="19"/>
  <c r="H115" i="14"/>
  <c r="H189" i="14"/>
  <c r="BB189" i="19"/>
  <c r="BB233" i="19"/>
  <c r="H233" i="14"/>
  <c r="BB106" i="19"/>
  <c r="BB193" i="19"/>
  <c r="H193" i="14"/>
  <c r="BB84" i="19"/>
  <c r="H84" i="14"/>
  <c r="BB5" i="19"/>
  <c r="H5" i="14"/>
  <c r="BB293" i="19"/>
  <c r="H293" i="14"/>
  <c r="BB202" i="19"/>
  <c r="H202" i="14"/>
  <c r="BB310" i="19"/>
  <c r="BB20" i="19"/>
  <c r="H20" i="14"/>
  <c r="BB274" i="19"/>
  <c r="G253" i="14"/>
  <c r="BB294" i="19"/>
  <c r="BB57" i="19"/>
  <c r="H57" i="14"/>
  <c r="BB126" i="19"/>
  <c r="H126" i="14"/>
  <c r="BB303" i="19"/>
  <c r="H303" i="14"/>
  <c r="BB12" i="19"/>
  <c r="BB273" i="19"/>
  <c r="BB258" i="19"/>
  <c r="H258" i="14"/>
  <c r="BB53" i="19"/>
  <c r="H53" i="14"/>
  <c r="BB90" i="19"/>
  <c r="BB267" i="19"/>
  <c r="H267" i="14"/>
  <c r="BB142" i="19"/>
  <c r="BB259" i="19"/>
  <c r="BB113" i="19"/>
  <c r="H113" i="14"/>
  <c r="BB315" i="19"/>
  <c r="H315" i="14"/>
  <c r="BB316" i="19"/>
  <c r="H316" i="14"/>
  <c r="BB205" i="19"/>
  <c r="BB169" i="19"/>
  <c r="H169" i="14"/>
  <c r="V5" i="26"/>
  <c r="BB141" i="19"/>
  <c r="H141" i="14"/>
  <c r="BB97" i="19"/>
  <c r="BB27" i="19"/>
  <c r="BB307" i="19"/>
  <c r="H307" i="14"/>
  <c r="BB263" i="19"/>
  <c r="H263" i="14"/>
  <c r="BB14" i="19"/>
  <c r="BB203" i="19"/>
  <c r="H203" i="14"/>
  <c r="BB51" i="19"/>
  <c r="H51" i="14"/>
  <c r="BB282" i="19"/>
  <c r="BB140" i="19"/>
  <c r="BB221" i="19"/>
  <c r="H221" i="14"/>
  <c r="BB222" i="19"/>
  <c r="H222" i="14"/>
  <c r="BB103" i="19"/>
  <c r="H103" i="14"/>
  <c r="BB100" i="19"/>
  <c r="H100" i="14"/>
  <c r="BB224" i="19"/>
  <c r="BB4" i="19"/>
  <c r="H4" i="14"/>
  <c r="BB299" i="19"/>
  <c r="H299" i="14"/>
  <c r="BB248" i="19"/>
  <c r="H248" i="14"/>
  <c r="BB108" i="19"/>
  <c r="H108" i="14"/>
  <c r="BB118" i="19"/>
  <c r="H118" i="14"/>
  <c r="T26" i="26"/>
  <c r="AZ305" i="19"/>
  <c r="AG305" i="19"/>
  <c r="AG273" i="19"/>
  <c r="AZ273" i="19"/>
  <c r="AZ241" i="19"/>
  <c r="AG241" i="19"/>
  <c r="AZ209" i="19"/>
  <c r="AG209" i="19"/>
  <c r="AG319" i="19"/>
  <c r="AZ319" i="19"/>
  <c r="AG287" i="19"/>
  <c r="AZ287" i="19"/>
  <c r="AZ255" i="19"/>
  <c r="AG255" i="19"/>
  <c r="AZ223" i="19"/>
  <c r="AG223" i="19"/>
  <c r="AZ294" i="19"/>
  <c r="AG294" i="19"/>
  <c r="AG262" i="19"/>
  <c r="AZ262" i="19"/>
  <c r="AZ230" i="19"/>
  <c r="AG230" i="19"/>
  <c r="AH213" i="19"/>
  <c r="BA213" i="19"/>
  <c r="AG176" i="19"/>
  <c r="AZ176" i="19"/>
  <c r="AG144" i="19"/>
  <c r="AZ144" i="19"/>
  <c r="AZ112" i="19"/>
  <c r="AG112" i="19"/>
  <c r="AG80" i="19"/>
  <c r="AZ80" i="19"/>
  <c r="AG200" i="19"/>
  <c r="AZ200" i="19"/>
  <c r="AG183" i="19"/>
  <c r="AZ183" i="19"/>
  <c r="AG143" i="19"/>
  <c r="AZ143" i="19"/>
  <c r="AG111" i="19"/>
  <c r="AZ111" i="19"/>
  <c r="AZ79" i="19"/>
  <c r="AG79" i="19"/>
  <c r="AZ47" i="19"/>
  <c r="AG47" i="19"/>
  <c r="AZ15" i="19"/>
  <c r="AG15" i="19"/>
  <c r="AZ178" i="19"/>
  <c r="AG178" i="19"/>
  <c r="AZ146" i="19"/>
  <c r="AG146" i="19"/>
  <c r="AZ114" i="19"/>
  <c r="AG114" i="19"/>
  <c r="AG82" i="19"/>
  <c r="AZ82" i="19"/>
  <c r="AZ50" i="19"/>
  <c r="AG50" i="19"/>
  <c r="AG18" i="19"/>
  <c r="AZ18" i="19"/>
  <c r="AZ185" i="19"/>
  <c r="AG185" i="19"/>
  <c r="AZ153" i="19"/>
  <c r="AG153" i="19"/>
  <c r="AZ121" i="19"/>
  <c r="AG121" i="19"/>
  <c r="AZ89" i="19"/>
  <c r="AG89" i="19"/>
  <c r="AZ57" i="19"/>
  <c r="AG57" i="19"/>
  <c r="AG25" i="19"/>
  <c r="AZ25" i="19"/>
  <c r="AF103" i="19"/>
  <c r="AE103" i="19"/>
  <c r="AF161" i="19"/>
  <c r="AE161" i="19"/>
  <c r="AF150" i="19"/>
  <c r="AE150" i="19"/>
  <c r="AF96" i="19"/>
  <c r="AE96" i="19"/>
  <c r="AF145" i="19"/>
  <c r="AE145" i="19"/>
  <c r="AF132" i="19"/>
  <c r="AE132" i="19"/>
  <c r="AF84" i="19"/>
  <c r="AE84" i="19"/>
  <c r="AE128" i="19"/>
  <c r="AF128" i="19"/>
  <c r="AZ301" i="19"/>
  <c r="AG301" i="19"/>
  <c r="AZ269" i="19"/>
  <c r="AG269" i="19"/>
  <c r="AZ237" i="19"/>
  <c r="AG237" i="19"/>
  <c r="AZ315" i="19"/>
  <c r="AG315" i="19"/>
  <c r="AG283" i="19"/>
  <c r="AZ283" i="19"/>
  <c r="AG251" i="19"/>
  <c r="AZ251" i="19"/>
  <c r="AZ219" i="19"/>
  <c r="AG219" i="19"/>
  <c r="AG322" i="19"/>
  <c r="AZ322" i="19"/>
  <c r="AZ290" i="19"/>
  <c r="AG290" i="19"/>
  <c r="AZ258" i="19"/>
  <c r="AG258" i="19"/>
  <c r="AG226" i="19"/>
  <c r="AZ226" i="19"/>
  <c r="AZ172" i="19"/>
  <c r="AG172" i="19"/>
  <c r="AZ140" i="19"/>
  <c r="AG140" i="19"/>
  <c r="AZ108" i="19"/>
  <c r="AG108" i="19"/>
  <c r="AG76" i="19"/>
  <c r="AZ76" i="19"/>
  <c r="AZ210" i="19"/>
  <c r="AG210" i="19"/>
  <c r="AZ179" i="19"/>
  <c r="AG179" i="19"/>
  <c r="AZ139" i="19"/>
  <c r="AG139" i="19"/>
  <c r="AZ107" i="19"/>
  <c r="AG107" i="19"/>
  <c r="AZ75" i="19"/>
  <c r="AG75" i="19"/>
  <c r="AG43" i="19"/>
  <c r="AZ43" i="19"/>
  <c r="AZ206" i="19"/>
  <c r="AG206" i="19"/>
  <c r="AZ174" i="19"/>
  <c r="AG174" i="19"/>
  <c r="AG142" i="19"/>
  <c r="AZ142" i="19"/>
  <c r="AG110" i="19"/>
  <c r="AZ110" i="19"/>
  <c r="AG78" i="19"/>
  <c r="AZ78" i="19"/>
  <c r="AZ46" i="19"/>
  <c r="AG46" i="19"/>
  <c r="AG14" i="19"/>
  <c r="AZ14" i="19"/>
  <c r="AG181" i="19"/>
  <c r="AZ181" i="19"/>
  <c r="AG149" i="19"/>
  <c r="AZ149" i="19"/>
  <c r="AG117" i="19"/>
  <c r="AZ117" i="19"/>
  <c r="AZ85" i="19"/>
  <c r="AG85" i="19"/>
  <c r="AZ53" i="19"/>
  <c r="AG53" i="19"/>
  <c r="AZ21" i="19"/>
  <c r="AG21" i="19"/>
  <c r="AF102" i="19"/>
  <c r="AE102" i="19"/>
  <c r="AF160" i="19"/>
  <c r="AE160" i="19"/>
  <c r="AF95" i="19"/>
  <c r="AE95" i="19"/>
  <c r="AF144" i="19"/>
  <c r="AE144" i="19"/>
  <c r="AF127" i="19"/>
  <c r="AE127" i="19"/>
  <c r="AF115" i="19"/>
  <c r="AE115" i="19"/>
  <c r="AH325" i="19"/>
  <c r="AZ297" i="19"/>
  <c r="AG297" i="19"/>
  <c r="AZ265" i="19"/>
  <c r="AG265" i="19"/>
  <c r="AG233" i="19"/>
  <c r="AZ233" i="19"/>
  <c r="AG311" i="19"/>
  <c r="AZ311" i="19"/>
  <c r="AZ279" i="19"/>
  <c r="AG279" i="19"/>
  <c r="AG247" i="19"/>
  <c r="AZ247" i="19"/>
  <c r="AZ215" i="19"/>
  <c r="AG215" i="19"/>
  <c r="AZ318" i="19"/>
  <c r="AG318" i="19"/>
  <c r="AZ286" i="19"/>
  <c r="AG286" i="19"/>
  <c r="AZ254" i="19"/>
  <c r="AG254" i="19"/>
  <c r="AZ222" i="19"/>
  <c r="AG222" i="19"/>
  <c r="AZ168" i="19"/>
  <c r="AG168" i="19"/>
  <c r="AZ136" i="19"/>
  <c r="AG136" i="19"/>
  <c r="AG104" i="19"/>
  <c r="AZ104" i="19"/>
  <c r="AG72" i="19"/>
  <c r="AZ72" i="19"/>
  <c r="BA209" i="19"/>
  <c r="AH209" i="19"/>
  <c r="AG167" i="19"/>
  <c r="AZ167" i="19"/>
  <c r="AZ135" i="19"/>
  <c r="AG135" i="19"/>
  <c r="AZ103" i="19"/>
  <c r="AG103" i="19"/>
  <c r="AZ71" i="19"/>
  <c r="AG71" i="19"/>
  <c r="AZ39" i="19"/>
  <c r="AG39" i="19"/>
  <c r="AG205" i="19"/>
  <c r="AZ205" i="19"/>
  <c r="AG170" i="19"/>
  <c r="AZ170" i="19"/>
  <c r="AZ138" i="19"/>
  <c r="AG138" i="19"/>
  <c r="AG106" i="19"/>
  <c r="AZ106" i="19"/>
  <c r="AZ74" i="19"/>
  <c r="AG74" i="19"/>
  <c r="AG42" i="19"/>
  <c r="AZ42" i="19"/>
  <c r="AG10" i="19"/>
  <c r="AZ10" i="19"/>
  <c r="AG177" i="19"/>
  <c r="AZ177" i="19"/>
  <c r="AG145" i="19"/>
  <c r="AZ145" i="19"/>
  <c r="AZ113" i="19"/>
  <c r="AG113" i="19"/>
  <c r="AZ81" i="19"/>
  <c r="AG81" i="19"/>
  <c r="AZ49" i="19"/>
  <c r="AG49" i="19"/>
  <c r="AG17" i="19"/>
  <c r="AZ17" i="19"/>
  <c r="AF169" i="19"/>
  <c r="AE169" i="19"/>
  <c r="AF101" i="19"/>
  <c r="AE101" i="19"/>
  <c r="AF159" i="19"/>
  <c r="AE159" i="19"/>
  <c r="AE94" i="19"/>
  <c r="AF94" i="19"/>
  <c r="AE143" i="19"/>
  <c r="AF143" i="19"/>
  <c r="AF126" i="19"/>
  <c r="AE126" i="19"/>
  <c r="AG293" i="19"/>
  <c r="AZ293" i="19"/>
  <c r="AZ261" i="19"/>
  <c r="AG261" i="19"/>
  <c r="AG229" i="19"/>
  <c r="AZ229" i="19"/>
  <c r="AZ307" i="19"/>
  <c r="AG307" i="19"/>
  <c r="AZ275" i="19"/>
  <c r="AG275" i="19"/>
  <c r="AG243" i="19"/>
  <c r="AZ243" i="19"/>
  <c r="AZ211" i="19"/>
  <c r="AG211" i="19"/>
  <c r="AZ314" i="19"/>
  <c r="AG314" i="19"/>
  <c r="AZ282" i="19"/>
  <c r="AG282" i="19"/>
  <c r="AZ250" i="19"/>
  <c r="AG250" i="19"/>
  <c r="AZ218" i="19"/>
  <c r="AG218" i="19"/>
  <c r="AG164" i="19"/>
  <c r="AZ164" i="19"/>
  <c r="AZ132" i="19"/>
  <c r="AG132" i="19"/>
  <c r="AZ100" i="19"/>
  <c r="AG100" i="19"/>
  <c r="AG60" i="19"/>
  <c r="AZ60" i="19"/>
  <c r="AG208" i="19"/>
  <c r="AZ208" i="19"/>
  <c r="AZ163" i="19"/>
  <c r="AG163" i="19"/>
  <c r="AG131" i="19"/>
  <c r="AZ131" i="19"/>
  <c r="AZ99" i="19"/>
  <c r="AG99" i="19"/>
  <c r="AZ67" i="19"/>
  <c r="AG67" i="19"/>
  <c r="AZ35" i="19"/>
  <c r="AG35" i="19"/>
  <c r="BA205" i="19"/>
  <c r="AH205" i="19"/>
  <c r="AG166" i="19"/>
  <c r="AZ166" i="19"/>
  <c r="AG134" i="19"/>
  <c r="AZ134" i="19"/>
  <c r="AG102" i="19"/>
  <c r="AZ102" i="19"/>
  <c r="AG70" i="19"/>
  <c r="AZ70" i="19"/>
  <c r="AZ38" i="19"/>
  <c r="AG38" i="19"/>
  <c r="AZ6" i="19"/>
  <c r="AG6" i="19"/>
  <c r="AZ197" i="19"/>
  <c r="AG197" i="19"/>
  <c r="AZ173" i="19"/>
  <c r="AG173" i="19"/>
  <c r="AZ141" i="19"/>
  <c r="AG141" i="19"/>
  <c r="AZ109" i="19"/>
  <c r="AG109" i="19"/>
  <c r="AZ77" i="19"/>
  <c r="AG77" i="19"/>
  <c r="AG45" i="19"/>
  <c r="AZ45" i="19"/>
  <c r="AG13" i="19"/>
  <c r="AZ13" i="19"/>
  <c r="AF168" i="19"/>
  <c r="AE168" i="19"/>
  <c r="AE100" i="19"/>
  <c r="AF100" i="19"/>
  <c r="AE142" i="19"/>
  <c r="AF142" i="19"/>
  <c r="AF137" i="19"/>
  <c r="AE137" i="19"/>
  <c r="AE89" i="19"/>
  <c r="AF89" i="19"/>
  <c r="AE125" i="19"/>
  <c r="AF125" i="19"/>
  <c r="AG321" i="19"/>
  <c r="AZ321" i="19"/>
  <c r="AZ289" i="19"/>
  <c r="AG289" i="19"/>
  <c r="AZ257" i="19"/>
  <c r="AG257" i="19"/>
  <c r="AG225" i="19"/>
  <c r="AZ225" i="19"/>
  <c r="AG303" i="19"/>
  <c r="AZ303" i="19"/>
  <c r="AZ271" i="19"/>
  <c r="AG271" i="19"/>
  <c r="AG239" i="19"/>
  <c r="AZ239" i="19"/>
  <c r="AZ207" i="19"/>
  <c r="AG207" i="19"/>
  <c r="AZ310" i="19"/>
  <c r="AG310" i="19"/>
  <c r="AZ278" i="19"/>
  <c r="AG278" i="19"/>
  <c r="AZ246" i="19"/>
  <c r="AG246" i="19"/>
  <c r="AG160" i="19"/>
  <c r="AZ160" i="19"/>
  <c r="AZ128" i="19"/>
  <c r="AG128" i="19"/>
  <c r="AZ96" i="19"/>
  <c r="AG96" i="19"/>
  <c r="AZ56" i="19"/>
  <c r="AG56" i="19"/>
  <c r="BA207" i="19"/>
  <c r="AH207" i="19"/>
  <c r="AG159" i="19"/>
  <c r="AZ159" i="19"/>
  <c r="AG127" i="19"/>
  <c r="AZ127" i="19"/>
  <c r="AG95" i="19"/>
  <c r="AZ95" i="19"/>
  <c r="AG63" i="19"/>
  <c r="AZ63" i="19"/>
  <c r="AZ31" i="19"/>
  <c r="AG31" i="19"/>
  <c r="AZ194" i="19"/>
  <c r="AG194" i="19"/>
  <c r="AZ162" i="19"/>
  <c r="AG162" i="19"/>
  <c r="AZ130" i="19"/>
  <c r="AG130" i="19"/>
  <c r="AZ98" i="19"/>
  <c r="AG98" i="19"/>
  <c r="AG66" i="19"/>
  <c r="AZ66" i="19"/>
  <c r="AZ34" i="19"/>
  <c r="AG34" i="19"/>
  <c r="AZ203" i="19"/>
  <c r="AG203" i="19"/>
  <c r="AZ169" i="19"/>
  <c r="AG169" i="19"/>
  <c r="AG137" i="19"/>
  <c r="AZ137" i="19"/>
  <c r="AG105" i="19"/>
  <c r="AZ105" i="19"/>
  <c r="AZ73" i="19"/>
  <c r="AG73" i="19"/>
  <c r="AG41" i="19"/>
  <c r="AZ41" i="19"/>
  <c r="AZ9" i="19"/>
  <c r="AG9" i="19"/>
  <c r="AF141" i="19"/>
  <c r="AE141" i="19"/>
  <c r="AF136" i="19"/>
  <c r="AE136" i="19"/>
  <c r="AF88" i="19"/>
  <c r="AE88" i="19"/>
  <c r="AF124" i="19"/>
  <c r="AE124" i="19"/>
  <c r="AF179" i="19"/>
  <c r="AE179" i="19"/>
  <c r="AZ317" i="19"/>
  <c r="AG317" i="19"/>
  <c r="AZ285" i="19"/>
  <c r="AG285" i="19"/>
  <c r="AZ253" i="19"/>
  <c r="AG253" i="19"/>
  <c r="AG221" i="19"/>
  <c r="AZ221" i="19"/>
  <c r="AZ299" i="19"/>
  <c r="AG299" i="19"/>
  <c r="AZ267" i="19"/>
  <c r="AG267" i="19"/>
  <c r="AZ235" i="19"/>
  <c r="AG235" i="19"/>
  <c r="AG306" i="19"/>
  <c r="AZ306" i="19"/>
  <c r="AZ274" i="19"/>
  <c r="AG274" i="19"/>
  <c r="AZ242" i="19"/>
  <c r="AG242" i="19"/>
  <c r="AZ214" i="19"/>
  <c r="AG214" i="19"/>
  <c r="AZ201" i="19"/>
  <c r="AG201" i="19"/>
  <c r="AG156" i="19"/>
  <c r="AZ156" i="19"/>
  <c r="AG124" i="19"/>
  <c r="AZ124" i="19"/>
  <c r="AZ92" i="19"/>
  <c r="AG92" i="19"/>
  <c r="AZ52" i="19"/>
  <c r="AG52" i="19"/>
  <c r="AG195" i="19"/>
  <c r="AZ195" i="19"/>
  <c r="AG155" i="19"/>
  <c r="AZ155" i="19"/>
  <c r="AZ123" i="19"/>
  <c r="AG123" i="19"/>
  <c r="AZ91" i="19"/>
  <c r="AG91" i="19"/>
  <c r="AZ59" i="19"/>
  <c r="AG59" i="19"/>
  <c r="AG27" i="19"/>
  <c r="AZ27" i="19"/>
  <c r="AG190" i="19"/>
  <c r="AZ190" i="19"/>
  <c r="AZ158" i="19"/>
  <c r="AG158" i="19"/>
  <c r="AG126" i="19"/>
  <c r="AZ126" i="19"/>
  <c r="AZ94" i="19"/>
  <c r="AG94" i="19"/>
  <c r="AZ62" i="19"/>
  <c r="AG62" i="19"/>
  <c r="AZ30" i="19"/>
  <c r="AG30" i="19"/>
  <c r="BA203" i="19"/>
  <c r="AH203" i="19"/>
  <c r="AZ165" i="19"/>
  <c r="AG165" i="19"/>
  <c r="AG133" i="19"/>
  <c r="AZ133" i="19"/>
  <c r="AG101" i="19"/>
  <c r="AZ101" i="19"/>
  <c r="AG69" i="19"/>
  <c r="AZ69" i="19"/>
  <c r="AG37" i="19"/>
  <c r="AZ37" i="19"/>
  <c r="AG5" i="19"/>
  <c r="AZ5" i="19"/>
  <c r="AF153" i="19"/>
  <c r="AE153" i="19"/>
  <c r="AF135" i="19"/>
  <c r="AE135" i="19"/>
  <c r="AF87" i="19"/>
  <c r="AE87" i="19"/>
  <c r="AE123" i="19"/>
  <c r="AF123" i="19"/>
  <c r="AE332" i="19"/>
  <c r="AH333" i="19"/>
  <c r="AG313" i="19"/>
  <c r="AZ313" i="19"/>
  <c r="AG281" i="19"/>
  <c r="AZ281" i="19"/>
  <c r="AG249" i="19"/>
  <c r="AZ249" i="19"/>
  <c r="AG217" i="19"/>
  <c r="AZ217" i="19"/>
  <c r="AZ295" i="19"/>
  <c r="AG295" i="19"/>
  <c r="AZ263" i="19"/>
  <c r="AG263" i="19"/>
  <c r="AZ231" i="19"/>
  <c r="AG231" i="19"/>
  <c r="AZ302" i="19"/>
  <c r="AG302" i="19"/>
  <c r="AG270" i="19"/>
  <c r="AZ270" i="19"/>
  <c r="AZ238" i="19"/>
  <c r="AG238" i="19"/>
  <c r="AH217" i="19"/>
  <c r="BA217" i="19"/>
  <c r="AH201" i="19"/>
  <c r="BA201" i="19"/>
  <c r="AZ152" i="19"/>
  <c r="AG152" i="19"/>
  <c r="AZ120" i="19"/>
  <c r="AG120" i="19"/>
  <c r="AG88" i="19"/>
  <c r="AZ88" i="19"/>
  <c r="AZ48" i="19"/>
  <c r="AG48" i="19"/>
  <c r="AZ191" i="19"/>
  <c r="AG191" i="19"/>
  <c r="AG151" i="19"/>
  <c r="AZ151" i="19"/>
  <c r="AZ119" i="19"/>
  <c r="AG119" i="19"/>
  <c r="AZ87" i="19"/>
  <c r="AG87" i="19"/>
  <c r="AZ55" i="19"/>
  <c r="AG55" i="19"/>
  <c r="AZ23" i="19"/>
  <c r="AG23" i="19"/>
  <c r="AZ186" i="19"/>
  <c r="AG186" i="19"/>
  <c r="AZ154" i="19"/>
  <c r="AG154" i="19"/>
  <c r="AG122" i="19"/>
  <c r="AZ122" i="19"/>
  <c r="AZ90" i="19"/>
  <c r="AG90" i="19"/>
  <c r="AG58" i="19"/>
  <c r="AZ58" i="19"/>
  <c r="AG26" i="19"/>
  <c r="AZ26" i="19"/>
  <c r="AZ198" i="19"/>
  <c r="AG198" i="19"/>
  <c r="AG193" i="19"/>
  <c r="AZ193" i="19"/>
  <c r="AZ161" i="19"/>
  <c r="AG161" i="19"/>
  <c r="AZ129" i="19"/>
  <c r="AG129" i="19"/>
  <c r="AG97" i="19"/>
  <c r="AZ97" i="19"/>
  <c r="AG65" i="19"/>
  <c r="AZ65" i="19"/>
  <c r="AZ33" i="19"/>
  <c r="AG33" i="19"/>
  <c r="AE105" i="19"/>
  <c r="AF105" i="19"/>
  <c r="AF152" i="19"/>
  <c r="AE152" i="19"/>
  <c r="AF134" i="19"/>
  <c r="AE134" i="19"/>
  <c r="AF86" i="19"/>
  <c r="AE86" i="19"/>
  <c r="AZ309" i="19"/>
  <c r="AG309" i="19"/>
  <c r="AZ277" i="19"/>
  <c r="AG277" i="19"/>
  <c r="AZ245" i="19"/>
  <c r="AG245" i="19"/>
  <c r="AG213" i="19"/>
  <c r="AZ213" i="19"/>
  <c r="AZ323" i="19"/>
  <c r="AG323" i="19"/>
  <c r="AG291" i="19"/>
  <c r="AZ291" i="19"/>
  <c r="AZ259" i="19"/>
  <c r="AG259" i="19"/>
  <c r="AZ227" i="19"/>
  <c r="AG227" i="19"/>
  <c r="AG298" i="19"/>
  <c r="AZ298" i="19"/>
  <c r="AG266" i="19"/>
  <c r="AZ266" i="19"/>
  <c r="AZ234" i="19"/>
  <c r="AG234" i="19"/>
  <c r="AZ180" i="19"/>
  <c r="AG180" i="19"/>
  <c r="AG148" i="19"/>
  <c r="AZ148" i="19"/>
  <c r="AZ116" i="19"/>
  <c r="AG116" i="19"/>
  <c r="AG84" i="19"/>
  <c r="AZ84" i="19"/>
  <c r="BA208" i="19"/>
  <c r="AH208" i="19"/>
  <c r="AG187" i="19"/>
  <c r="AZ187" i="19"/>
  <c r="AZ147" i="19"/>
  <c r="AG147" i="19"/>
  <c r="AZ115" i="19"/>
  <c r="AG115" i="19"/>
  <c r="AG83" i="19"/>
  <c r="AZ83" i="19"/>
  <c r="AG51" i="19"/>
  <c r="AZ51" i="19"/>
  <c r="AZ19" i="19"/>
  <c r="AG19" i="19"/>
  <c r="AG182" i="19"/>
  <c r="AZ182" i="19"/>
  <c r="AZ150" i="19"/>
  <c r="AG150" i="19"/>
  <c r="AZ118" i="19"/>
  <c r="AG118" i="19"/>
  <c r="AG86" i="19"/>
  <c r="AZ86" i="19"/>
  <c r="AZ54" i="19"/>
  <c r="AG54" i="19"/>
  <c r="AG22" i="19"/>
  <c r="AZ22" i="19"/>
  <c r="AZ189" i="19"/>
  <c r="AG189" i="19"/>
  <c r="AZ157" i="19"/>
  <c r="AG157" i="19"/>
  <c r="AZ125" i="19"/>
  <c r="AG125" i="19"/>
  <c r="AZ93" i="19"/>
  <c r="AG93" i="19"/>
  <c r="AG61" i="19"/>
  <c r="AZ61" i="19"/>
  <c r="AZ29" i="19"/>
  <c r="AG29" i="19"/>
  <c r="AE104" i="19"/>
  <c r="AF104" i="19"/>
  <c r="AE151" i="19"/>
  <c r="AF151" i="19"/>
  <c r="AE97" i="19"/>
  <c r="AF97" i="19"/>
  <c r="AF78" i="19"/>
  <c r="AE78" i="19"/>
  <c r="AF133" i="19"/>
  <c r="AE133" i="19"/>
  <c r="AF85" i="19"/>
  <c r="AE85" i="19"/>
  <c r="AF129" i="19"/>
  <c r="AE129" i="19"/>
  <c r="G327" i="14"/>
  <c r="BB264" i="19"/>
  <c r="H264" i="14"/>
  <c r="BB59" i="19"/>
  <c r="BB284" i="19"/>
  <c r="H284" i="14"/>
  <c r="BB251" i="19"/>
  <c r="BB172" i="19"/>
  <c r="BB85" i="19"/>
  <c r="BB46" i="19"/>
  <c r="BB277" i="19"/>
  <c r="H277" i="14"/>
  <c r="BB163" i="19"/>
  <c r="H163" i="14"/>
  <c r="BB54" i="19"/>
  <c r="H54" i="14"/>
  <c r="BB67" i="19"/>
  <c r="H67" i="14"/>
  <c r="H114" i="14"/>
  <c r="BB114" i="19"/>
  <c r="BB132" i="19"/>
  <c r="H132" i="14"/>
  <c r="BB207" i="19"/>
  <c r="H207" i="14"/>
  <c r="BB225" i="19"/>
  <c r="H225" i="14"/>
  <c r="BB238" i="19"/>
  <c r="H238" i="14"/>
  <c r="BB168" i="19"/>
  <c r="BB235" i="19"/>
  <c r="H235" i="14"/>
  <c r="BB218" i="19"/>
  <c r="H218" i="14"/>
  <c r="BB166" i="19"/>
  <c r="BB158" i="19"/>
  <c r="H158" i="14"/>
  <c r="BB130" i="19"/>
  <c r="BB81" i="19"/>
  <c r="H81" i="14"/>
  <c r="BB44" i="19"/>
  <c r="BB196" i="19"/>
  <c r="H196" i="14"/>
  <c r="BB250" i="19"/>
  <c r="H250" i="14"/>
  <c r="BB83" i="19"/>
  <c r="H83" i="14"/>
  <c r="BB124" i="19"/>
  <c r="H124" i="14"/>
  <c r="BB35" i="19"/>
  <c r="H35" i="14"/>
  <c r="BB241" i="19"/>
  <c r="H241" i="14"/>
  <c r="BB178" i="19"/>
  <c r="H178" i="14"/>
  <c r="BB286" i="19"/>
  <c r="H286" i="14"/>
  <c r="BB281" i="19"/>
  <c r="BB325" i="19"/>
  <c r="BB226" i="19"/>
  <c r="BB155" i="19"/>
  <c r="BB79" i="19"/>
  <c r="BB37" i="19"/>
  <c r="BB270" i="19"/>
  <c r="H270" i="14"/>
  <c r="BB160" i="19"/>
  <c r="H160" i="14"/>
  <c r="BB123" i="19"/>
  <c r="H123" i="14"/>
  <c r="BB197" i="19"/>
  <c r="H197" i="14"/>
  <c r="BB279" i="19"/>
  <c r="BB220" i="19"/>
  <c r="H220" i="14"/>
  <c r="BB257" i="19"/>
  <c r="BB271" i="19"/>
  <c r="H271" i="14"/>
  <c r="BB317" i="19"/>
  <c r="H317" i="14"/>
  <c r="BB206" i="19"/>
  <c r="H206" i="14"/>
  <c r="BB154" i="19"/>
  <c r="H154" i="14"/>
  <c r="BB305" i="19"/>
  <c r="H305" i="14"/>
  <c r="BB77" i="19"/>
  <c r="H77" i="14"/>
  <c r="BB33" i="19"/>
  <c r="H33" i="14"/>
  <c r="BB16" i="19"/>
  <c r="H16" i="14"/>
  <c r="G127" i="14"/>
  <c r="BB116" i="19"/>
  <c r="H116" i="14"/>
  <c r="BB167" i="19"/>
  <c r="H167" i="14"/>
  <c r="BB278" i="19"/>
  <c r="H278" i="14"/>
  <c r="BB247" i="19"/>
  <c r="H247" i="14"/>
  <c r="BB304" i="19"/>
  <c r="H304" i="14"/>
  <c r="BB152" i="19"/>
  <c r="BB228" i="19"/>
  <c r="H228" i="14"/>
  <c r="BB230" i="19"/>
  <c r="H230" i="14"/>
  <c r="BB192" i="19"/>
  <c r="H192" i="14"/>
  <c r="BB95" i="19"/>
  <c r="BB73" i="19"/>
  <c r="BB19" i="19"/>
  <c r="BB187" i="19"/>
  <c r="H187" i="14"/>
  <c r="BB272" i="19"/>
  <c r="H272" i="14"/>
  <c r="BB191" i="19"/>
  <c r="H191" i="14"/>
  <c r="BB111" i="19"/>
  <c r="H111" i="14"/>
  <c r="BB162" i="19"/>
  <c r="H162" i="14"/>
  <c r="BB313" i="19"/>
  <c r="H313" i="14"/>
  <c r="BB231" i="19"/>
  <c r="H231" i="14"/>
  <c r="BB87" i="19"/>
  <c r="BB146" i="19"/>
  <c r="H146" i="14"/>
  <c r="BB214" i="19"/>
  <c r="H214" i="14"/>
  <c r="BB269" i="19"/>
  <c r="H269" i="14"/>
  <c r="BB309" i="19"/>
  <c r="H309" i="14"/>
  <c r="BB200" i="19"/>
  <c r="BB151" i="19"/>
  <c r="BB300" i="19"/>
  <c r="H300" i="14"/>
  <c r="BB204" i="19"/>
  <c r="H204" i="14"/>
  <c r="BB131" i="19"/>
  <c r="BB324" i="19"/>
  <c r="H324" i="14"/>
  <c r="BB93" i="19"/>
  <c r="BB71" i="19"/>
  <c r="BB8" i="19"/>
  <c r="BB75" i="19"/>
  <c r="H75" i="14"/>
  <c r="BB56" i="19"/>
  <c r="H56" i="14"/>
  <c r="BB127" i="19"/>
  <c r="H127" i="14"/>
  <c r="G247" i="14"/>
  <c r="BB121" i="19"/>
  <c r="H121" i="14"/>
  <c r="BB260" i="19"/>
  <c r="H260" i="14"/>
  <c r="BB245" i="19"/>
  <c r="H245" i="14"/>
  <c r="G132" i="14"/>
  <c r="BB289" i="19"/>
  <c r="H289" i="14"/>
  <c r="BB183" i="19"/>
  <c r="BB144" i="19"/>
  <c r="BB89" i="19"/>
  <c r="BB69" i="19"/>
  <c r="BB227" i="19"/>
  <c r="H227" i="14"/>
  <c r="BB91" i="19"/>
  <c r="H91" i="14"/>
  <c r="BB102" i="19"/>
  <c r="H102" i="14"/>
  <c r="BB62" i="19"/>
  <c r="H62" i="14"/>
  <c r="BB147" i="19"/>
  <c r="H147" i="14"/>
  <c r="H336" i="14"/>
  <c r="BB336" i="19"/>
  <c r="J335" i="17"/>
  <c r="L335" i="17" s="1"/>
  <c r="BA336" i="19"/>
  <c r="BA335" i="19"/>
  <c r="BB335" i="19"/>
  <c r="H335" i="14"/>
  <c r="AG336" i="19"/>
  <c r="AZ336" i="19"/>
  <c r="AE334" i="19"/>
  <c r="AH334" i="19"/>
  <c r="AZ335" i="19"/>
  <c r="AG335" i="19"/>
  <c r="AE333" i="19"/>
  <c r="AZ334" i="19"/>
  <c r="AG334" i="19"/>
  <c r="AE335" i="19"/>
  <c r="G333" i="14"/>
  <c r="BB333" i="19"/>
  <c r="G332" i="14"/>
  <c r="AG333" i="19"/>
  <c r="AZ333" i="19"/>
  <c r="BB331" i="19"/>
  <c r="BA332" i="19"/>
  <c r="AE331" i="19"/>
  <c r="AG331" i="19"/>
  <c r="AZ331" i="19"/>
  <c r="AE330" i="19"/>
  <c r="CF4" i="20"/>
  <c r="BB329" i="19"/>
  <c r="AH329" i="19"/>
  <c r="AF329" i="19"/>
  <c r="AZ330" i="19"/>
  <c r="AG330" i="19"/>
  <c r="G326" i="14"/>
  <c r="BB327" i="19"/>
  <c r="H327" i="14"/>
  <c r="BB326" i="19"/>
  <c r="AZ328" i="19"/>
  <c r="AG328" i="19"/>
  <c r="BA326" i="19"/>
  <c r="CX248" i="24"/>
  <c r="CD4" i="20"/>
  <c r="U28" i="26"/>
  <c r="J324" i="17"/>
  <c r="L324" i="17" s="1"/>
  <c r="AG325" i="19"/>
  <c r="W5" i="26"/>
  <c r="CX339" i="24"/>
  <c r="CX186" i="24"/>
  <c r="CX278" i="24"/>
  <c r="CX217" i="24"/>
  <c r="CX309" i="24"/>
  <c r="CX156" i="24"/>
  <c r="AE325" i="19"/>
  <c r="AB318" i="19" l="1"/>
  <c r="BM318" i="19" s="1"/>
  <c r="AB294" i="19"/>
  <c r="BM294" i="19" s="1"/>
  <c r="AB305" i="19"/>
  <c r="BM305" i="19" s="1"/>
  <c r="AB298" i="19"/>
  <c r="BM298" i="19" s="1"/>
  <c r="AB310" i="19"/>
  <c r="BM310" i="19" s="1"/>
  <c r="AB313" i="19"/>
  <c r="BM313" i="19" s="1"/>
  <c r="AB308" i="19"/>
  <c r="BM308" i="19" s="1"/>
  <c r="AB302" i="19"/>
  <c r="BM302" i="19" s="1"/>
  <c r="AB317" i="19"/>
  <c r="BM317" i="19" s="1"/>
  <c r="AB324" i="19"/>
  <c r="BM324" i="19" s="1"/>
  <c r="AB297" i="19"/>
  <c r="BM297" i="19" s="1"/>
  <c r="AB325" i="19"/>
  <c r="BM325" i="19" s="1"/>
  <c r="AB301" i="19"/>
  <c r="BM301" i="19" s="1"/>
  <c r="AB296" i="19"/>
  <c r="BM296" i="19" s="1"/>
  <c r="AB300" i="19"/>
  <c r="BM300" i="19" s="1"/>
  <c r="AB304" i="19"/>
  <c r="BM304" i="19" s="1"/>
  <c r="AB312" i="19"/>
  <c r="BM312" i="19" s="1"/>
  <c r="AB309" i="19"/>
  <c r="BM309" i="19" s="1"/>
  <c r="AB293" i="19"/>
  <c r="BM293" i="19" s="1"/>
  <c r="AB316" i="19"/>
  <c r="BM316" i="19" s="1"/>
  <c r="AB306" i="19"/>
  <c r="BM306" i="19" s="1"/>
  <c r="CM306" i="19"/>
  <c r="AE367" i="19"/>
  <c r="E49" i="57"/>
  <c r="J188" i="17"/>
  <c r="L188" i="17" s="1"/>
  <c r="I249" i="17"/>
  <c r="I259" i="17"/>
  <c r="J73" i="17"/>
  <c r="L73" i="17" s="1"/>
  <c r="J266" i="17"/>
  <c r="L266" i="17" s="1"/>
  <c r="I23" i="17"/>
  <c r="I40" i="17"/>
  <c r="I261" i="17"/>
  <c r="I253" i="17"/>
  <c r="I321" i="17"/>
  <c r="I251" i="17"/>
  <c r="J134" i="17"/>
  <c r="L134" i="17" s="1"/>
  <c r="J45" i="17"/>
  <c r="L45" i="17" s="1"/>
  <c r="J282" i="17"/>
  <c r="L282" i="17" s="1"/>
  <c r="I135" i="17"/>
  <c r="J190" i="17"/>
  <c r="L190" i="17" s="1"/>
  <c r="I143" i="17"/>
  <c r="J165" i="17"/>
  <c r="L165" i="17" s="1"/>
  <c r="J8" i="17"/>
  <c r="L8" i="17" s="1"/>
  <c r="J128" i="17"/>
  <c r="L128" i="17" s="1"/>
  <c r="J185" i="17"/>
  <c r="L185" i="17" s="1"/>
  <c r="J201" i="17"/>
  <c r="L201" i="17" s="1"/>
  <c r="I212" i="17"/>
  <c r="I130" i="17"/>
  <c r="J122" i="17"/>
  <c r="L122" i="17" s="1"/>
  <c r="J320" i="17"/>
  <c r="L320" i="17" s="1"/>
  <c r="I70" i="17"/>
  <c r="I25" i="17"/>
  <c r="J97" i="17"/>
  <c r="L97" i="17" s="1"/>
  <c r="I79" i="17"/>
  <c r="J332" i="17"/>
  <c r="L332" i="17" s="1"/>
  <c r="J240" i="17"/>
  <c r="L240" i="17" s="1"/>
  <c r="E49" i="60"/>
  <c r="I256" i="17"/>
  <c r="J296" i="17"/>
  <c r="L296" i="17" s="1"/>
  <c r="J311" i="17"/>
  <c r="L311" i="17" s="1"/>
  <c r="J182" i="17"/>
  <c r="L182" i="17" s="1"/>
  <c r="J93" i="17"/>
  <c r="L93" i="17" s="1"/>
  <c r="J205" i="17"/>
  <c r="L205" i="17" s="1"/>
  <c r="J319" i="17"/>
  <c r="L319" i="17" s="1"/>
  <c r="J211" i="17"/>
  <c r="L211" i="17" s="1"/>
  <c r="I139" i="17"/>
  <c r="J151" i="17"/>
  <c r="L151" i="17" s="1"/>
  <c r="I117" i="17"/>
  <c r="J216" i="17"/>
  <c r="L216" i="17" s="1"/>
  <c r="I72" i="17"/>
  <c r="J27" i="17"/>
  <c r="L27" i="17" s="1"/>
  <c r="J171" i="17"/>
  <c r="L171" i="17" s="1"/>
  <c r="I288" i="17"/>
  <c r="J142" i="17"/>
  <c r="L142" i="17" s="1"/>
  <c r="J275" i="17"/>
  <c r="L275" i="17" s="1"/>
  <c r="I39" i="17"/>
  <c r="J153" i="17"/>
  <c r="L153" i="17" s="1"/>
  <c r="J106" i="17"/>
  <c r="L106" i="17" s="1"/>
  <c r="I280" i="17"/>
  <c r="I297" i="17"/>
  <c r="J14" i="17"/>
  <c r="L14" i="17" s="1"/>
  <c r="I137" i="17"/>
  <c r="I28" i="17"/>
  <c r="I224" i="17"/>
  <c r="I47" i="17"/>
  <c r="J322" i="17"/>
  <c r="L322" i="17" s="1"/>
  <c r="J209" i="17"/>
  <c r="L209" i="17" s="1"/>
  <c r="I168" i="17"/>
  <c r="J140" i="17"/>
  <c r="L140" i="17" s="1"/>
  <c r="I9" i="17"/>
  <c r="I152" i="17"/>
  <c r="J174" i="17"/>
  <c r="L174" i="17" s="1"/>
  <c r="I59" i="17"/>
  <c r="J36" i="17"/>
  <c r="L36" i="17" s="1"/>
  <c r="J66" i="17"/>
  <c r="L66" i="17" s="1"/>
  <c r="J155" i="17"/>
  <c r="L155" i="17" s="1"/>
  <c r="I60" i="17"/>
  <c r="J24" i="17"/>
  <c r="L24" i="17" s="1"/>
  <c r="J180" i="17"/>
  <c r="L180" i="17" s="1"/>
  <c r="J176" i="17"/>
  <c r="L176" i="17" s="1"/>
  <c r="J166" i="17"/>
  <c r="L166" i="17" s="1"/>
  <c r="I3" i="17"/>
  <c r="I257" i="17"/>
  <c r="J164" i="17"/>
  <c r="L164" i="17" s="1"/>
  <c r="I63" i="17"/>
  <c r="J184" i="17"/>
  <c r="L184" i="17" s="1"/>
  <c r="I15" i="17"/>
  <c r="I302" i="17"/>
  <c r="J74" i="17"/>
  <c r="L74" i="17" s="1"/>
  <c r="J133" i="17"/>
  <c r="L133" i="17" s="1"/>
  <c r="J42" i="17"/>
  <c r="L42" i="17" s="1"/>
  <c r="I69" i="17"/>
  <c r="J208" i="17"/>
  <c r="L208" i="17" s="1"/>
  <c r="I7" i="17"/>
  <c r="J89" i="17"/>
  <c r="L89" i="17" s="1"/>
  <c r="I90" i="17"/>
  <c r="J131" i="17"/>
  <c r="L131" i="17" s="1"/>
  <c r="J129" i="17"/>
  <c r="L129" i="17" s="1"/>
  <c r="J65" i="17"/>
  <c r="L65" i="17" s="1"/>
  <c r="J58" i="17"/>
  <c r="L58" i="17" s="1"/>
  <c r="J326" i="17"/>
  <c r="L326" i="17" s="1"/>
  <c r="J276" i="17"/>
  <c r="L276" i="17" s="1"/>
  <c r="J298" i="17"/>
  <c r="L298" i="17" s="1"/>
  <c r="I150" i="17"/>
  <c r="I29" i="17"/>
  <c r="I95" i="17"/>
  <c r="J173" i="17"/>
  <c r="L173" i="17" s="1"/>
  <c r="J85" i="17"/>
  <c r="L85" i="17" s="1"/>
  <c r="J198" i="17"/>
  <c r="L198" i="17" s="1"/>
  <c r="J68" i="17"/>
  <c r="L68" i="17" s="1"/>
  <c r="J328" i="17"/>
  <c r="L328" i="17" s="1"/>
  <c r="I219" i="17"/>
  <c r="J46" i="17"/>
  <c r="L46" i="17" s="1"/>
  <c r="J200" i="17"/>
  <c r="L200" i="17" s="1"/>
  <c r="I226" i="17"/>
  <c r="I183" i="17"/>
  <c r="J170" i="17"/>
  <c r="L170" i="17" s="1"/>
  <c r="J105" i="17"/>
  <c r="L105" i="17" s="1"/>
  <c r="I136" i="17"/>
  <c r="I82" i="17"/>
  <c r="J82" i="17"/>
  <c r="L82" i="17" s="1"/>
  <c r="J265" i="17"/>
  <c r="L265" i="17" s="1"/>
  <c r="I265" i="17"/>
  <c r="I161" i="17"/>
  <c r="J161" i="17"/>
  <c r="L161" i="17" s="1"/>
  <c r="J237" i="17"/>
  <c r="L237" i="17" s="1"/>
  <c r="I237" i="17"/>
  <c r="I145" i="17"/>
  <c r="J145" i="17"/>
  <c r="L145" i="17" s="1"/>
  <c r="I96" i="17"/>
  <c r="J96" i="17"/>
  <c r="L96" i="17" s="1"/>
  <c r="I279" i="17"/>
  <c r="J279" i="17"/>
  <c r="L279" i="17" s="1"/>
  <c r="I195" i="17"/>
  <c r="J195" i="17"/>
  <c r="L195" i="17" s="1"/>
  <c r="I159" i="17"/>
  <c r="J159" i="17"/>
  <c r="L159" i="17" s="1"/>
  <c r="I144" i="17"/>
  <c r="I287" i="17"/>
  <c r="J287" i="17"/>
  <c r="L287" i="17" s="1"/>
  <c r="J215" i="17"/>
  <c r="L215" i="17" s="1"/>
  <c r="I215" i="17"/>
  <c r="J229" i="17"/>
  <c r="L229" i="17" s="1"/>
  <c r="I229" i="17"/>
  <c r="J98" i="17"/>
  <c r="L98" i="17" s="1"/>
  <c r="I98" i="17"/>
  <c r="I17" i="17"/>
  <c r="J17" i="17"/>
  <c r="L17" i="17" s="1"/>
  <c r="J268" i="17"/>
  <c r="L268" i="17" s="1"/>
  <c r="I268" i="17"/>
  <c r="I301" i="17"/>
  <c r="J301" i="17"/>
  <c r="L301" i="17" s="1"/>
  <c r="I101" i="17"/>
  <c r="J101" i="17"/>
  <c r="L101" i="17" s="1"/>
  <c r="J157" i="17"/>
  <c r="L157" i="17" s="1"/>
  <c r="I157" i="17"/>
  <c r="I239" i="17"/>
  <c r="J239" i="17"/>
  <c r="L239" i="17" s="1"/>
  <c r="J318" i="17"/>
  <c r="L318" i="17" s="1"/>
  <c r="I318" i="17"/>
  <c r="I138" i="17"/>
  <c r="J138" i="17"/>
  <c r="L138" i="17" s="1"/>
  <c r="J295" i="17"/>
  <c r="L295" i="17" s="1"/>
  <c r="I295" i="17"/>
  <c r="J61" i="17"/>
  <c r="L61" i="17" s="1"/>
  <c r="I18" i="17"/>
  <c r="J18" i="17"/>
  <c r="L18" i="17" s="1"/>
  <c r="J172" i="17"/>
  <c r="L172" i="17" s="1"/>
  <c r="I172" i="17"/>
  <c r="I285" i="17"/>
  <c r="J285" i="17"/>
  <c r="L285" i="17" s="1"/>
  <c r="J186" i="17"/>
  <c r="L186" i="17" s="1"/>
  <c r="I186" i="17"/>
  <c r="I334" i="17"/>
  <c r="J334" i="17"/>
  <c r="L334" i="17" s="1"/>
  <c r="I232" i="17"/>
  <c r="I244" i="17"/>
  <c r="J290" i="17"/>
  <c r="L290" i="17" s="1"/>
  <c r="I222" i="17"/>
  <c r="J337" i="17"/>
  <c r="L337" i="17" s="1"/>
  <c r="I337" i="17"/>
  <c r="I243" i="17"/>
  <c r="J333" i="17"/>
  <c r="L333" i="17" s="1"/>
  <c r="J221" i="17"/>
  <c r="L221" i="17" s="1"/>
  <c r="I291" i="17"/>
  <c r="J329" i="17"/>
  <c r="L329" i="17" s="1"/>
  <c r="J248" i="17"/>
  <c r="L248" i="17" s="1"/>
  <c r="J292" i="17"/>
  <c r="L292" i="17" s="1"/>
  <c r="J293" i="17"/>
  <c r="L293" i="17" s="1"/>
  <c r="J262" i="17"/>
  <c r="L262" i="17" s="1"/>
  <c r="J274" i="17"/>
  <c r="L274" i="17" s="1"/>
  <c r="J327" i="17"/>
  <c r="L327" i="17" s="1"/>
  <c r="J273" i="17"/>
  <c r="L273" i="17" s="1"/>
  <c r="I258" i="17"/>
  <c r="I234" i="17"/>
  <c r="J242" i="17"/>
  <c r="L242" i="17" s="1"/>
  <c r="J233" i="17"/>
  <c r="L233" i="17" s="1"/>
  <c r="J306" i="17"/>
  <c r="L306" i="17" s="1"/>
  <c r="I314" i="17"/>
  <c r="I223" i="17"/>
  <c r="J223" i="17"/>
  <c r="L223" i="17" s="1"/>
  <c r="I281" i="17"/>
  <c r="J281" i="17"/>
  <c r="L281" i="17" s="1"/>
  <c r="J303" i="17"/>
  <c r="L303" i="17" s="1"/>
  <c r="I303" i="17"/>
  <c r="I323" i="17"/>
  <c r="J323" i="17"/>
  <c r="L323" i="17" s="1"/>
  <c r="J283" i="17"/>
  <c r="L283" i="17" s="1"/>
  <c r="I283" i="17"/>
  <c r="J310" i="17"/>
  <c r="L310" i="17" s="1"/>
  <c r="I310" i="17"/>
  <c r="I294" i="17"/>
  <c r="J294" i="17"/>
  <c r="L294" i="17" s="1"/>
  <c r="I267" i="17"/>
  <c r="J267" i="17"/>
  <c r="L267" i="17" s="1"/>
  <c r="I236" i="17"/>
  <c r="J236" i="17"/>
  <c r="L236" i="17" s="1"/>
  <c r="J312" i="17"/>
  <c r="L312" i="17" s="1"/>
  <c r="I312" i="17"/>
  <c r="I315" i="17"/>
  <c r="J315" i="17"/>
  <c r="L315" i="17" s="1"/>
  <c r="I263" i="17"/>
  <c r="J263" i="17"/>
  <c r="L263" i="17" s="1"/>
  <c r="I115" i="17"/>
  <c r="J115" i="17"/>
  <c r="L115" i="17" s="1"/>
  <c r="I30" i="17"/>
  <c r="J30" i="17"/>
  <c r="L30" i="17" s="1"/>
  <c r="I48" i="17"/>
  <c r="J48" i="17"/>
  <c r="L48" i="17" s="1"/>
  <c r="I126" i="17"/>
  <c r="J126" i="17"/>
  <c r="L126" i="17" s="1"/>
  <c r="I26" i="17"/>
  <c r="J26" i="17"/>
  <c r="L26" i="17" s="1"/>
  <c r="I104" i="17"/>
  <c r="J104" i="17"/>
  <c r="L104" i="17" s="1"/>
  <c r="I56" i="17"/>
  <c r="J56" i="17"/>
  <c r="L56" i="17" s="1"/>
  <c r="I84" i="17"/>
  <c r="J84" i="17"/>
  <c r="L84" i="17" s="1"/>
  <c r="I5" i="17"/>
  <c r="J5" i="17"/>
  <c r="L5" i="17" s="1"/>
  <c r="I78" i="17"/>
  <c r="J78" i="17"/>
  <c r="L78" i="17" s="1"/>
  <c r="I34" i="17"/>
  <c r="J34" i="17"/>
  <c r="L34" i="17" s="1"/>
  <c r="J71" i="17"/>
  <c r="L71" i="17" s="1"/>
  <c r="I71" i="17"/>
  <c r="J87" i="17"/>
  <c r="L87" i="17" s="1"/>
  <c r="I87" i="17"/>
  <c r="I51" i="17"/>
  <c r="J51" i="17"/>
  <c r="L51" i="17" s="1"/>
  <c r="I109" i="17"/>
  <c r="J109" i="17"/>
  <c r="L109" i="17" s="1"/>
  <c r="I19" i="17"/>
  <c r="J19" i="17"/>
  <c r="L19" i="17" s="1"/>
  <c r="I32" i="17"/>
  <c r="J32" i="17"/>
  <c r="L32" i="17" s="1"/>
  <c r="I41" i="17"/>
  <c r="J41" i="17"/>
  <c r="L41" i="17" s="1"/>
  <c r="I88" i="17"/>
  <c r="J88" i="17"/>
  <c r="L88" i="17" s="1"/>
  <c r="I64" i="17"/>
  <c r="J64" i="17"/>
  <c r="L64" i="17" s="1"/>
  <c r="I112" i="17"/>
  <c r="J112" i="17"/>
  <c r="L112" i="17" s="1"/>
  <c r="I49" i="17"/>
  <c r="J49" i="17"/>
  <c r="L49" i="17" s="1"/>
  <c r="I120" i="17"/>
  <c r="J120" i="17"/>
  <c r="L120" i="17" s="1"/>
  <c r="I44" i="17"/>
  <c r="J44" i="17"/>
  <c r="L44" i="17" s="1"/>
  <c r="I118" i="17"/>
  <c r="J118" i="17"/>
  <c r="L118" i="17" s="1"/>
  <c r="I111" i="17"/>
  <c r="J111" i="17"/>
  <c r="L111" i="17" s="1"/>
  <c r="I38" i="17"/>
  <c r="J38" i="17"/>
  <c r="L38" i="17" s="1"/>
  <c r="I80" i="17"/>
  <c r="J80" i="17"/>
  <c r="L80" i="17" s="1"/>
  <c r="I76" i="17"/>
  <c r="J76" i="17"/>
  <c r="L76" i="17" s="1"/>
  <c r="I102" i="17"/>
  <c r="J102" i="17"/>
  <c r="L102" i="17" s="1"/>
  <c r="I50" i="17"/>
  <c r="J50" i="17"/>
  <c r="L50" i="17" s="1"/>
  <c r="I13" i="17"/>
  <c r="J13" i="17"/>
  <c r="L13" i="17" s="1"/>
  <c r="I12" i="17"/>
  <c r="J12" i="17"/>
  <c r="L12" i="17" s="1"/>
  <c r="I21" i="17"/>
  <c r="J21" i="17"/>
  <c r="L21" i="17" s="1"/>
  <c r="J108" i="17"/>
  <c r="L108" i="17" s="1"/>
  <c r="I108" i="17"/>
  <c r="I4" i="17"/>
  <c r="J4" i="17"/>
  <c r="L4" i="17" s="1"/>
  <c r="I99" i="17"/>
  <c r="J99" i="17"/>
  <c r="L99" i="17" s="1"/>
  <c r="I92" i="17"/>
  <c r="J92" i="17"/>
  <c r="L92" i="17" s="1"/>
  <c r="J55" i="17"/>
  <c r="L55" i="17" s="1"/>
  <c r="I55" i="17"/>
  <c r="H276" i="14"/>
  <c r="J331" i="17"/>
  <c r="L331" i="17" s="1"/>
  <c r="I252" i="17"/>
  <c r="J252" i="17"/>
  <c r="L252" i="17" s="1"/>
  <c r="T28" i="26"/>
  <c r="J246" i="17"/>
  <c r="L246" i="17" s="1"/>
  <c r="J330" i="17"/>
  <c r="L330" i="17" s="1"/>
  <c r="J325" i="17"/>
  <c r="L325" i="17" s="1"/>
  <c r="N338" i="19" l="1"/>
  <c r="BQ353" i="19"/>
  <c r="AB10" i="8" l="1"/>
  <c r="AZ10" i="8" s="1"/>
  <c r="AK10" i="8"/>
  <c r="BI10" i="8" s="1"/>
  <c r="AL10" i="8"/>
  <c r="BJ10" i="8" s="1"/>
  <c r="AI10" i="8"/>
  <c r="BG10" i="8" s="1"/>
  <c r="AO10" i="8"/>
  <c r="BM10" i="8" s="1"/>
  <c r="AP10" i="8"/>
  <c r="BN10" i="8" s="1"/>
  <c r="AM10" i="8"/>
  <c r="BK10" i="8" s="1"/>
  <c r="AG10" i="8"/>
  <c r="BE10" i="8" s="1"/>
  <c r="AJ10" i="8"/>
  <c r="BH10" i="8" s="1"/>
  <c r="AH10" i="8"/>
  <c r="BF10" i="8" s="1"/>
  <c r="AV10" i="8"/>
  <c r="BT10" i="8" s="1"/>
  <c r="AF10" i="8"/>
  <c r="BD10" i="8" s="1"/>
  <c r="AU10" i="8"/>
  <c r="BS10" i="8" s="1"/>
  <c r="AE10" i="8"/>
  <c r="BC10" i="8" s="1"/>
  <c r="AS10" i="8"/>
  <c r="BQ10" i="8" s="1"/>
  <c r="AC10" i="8"/>
  <c r="BA10" i="8" s="1"/>
  <c r="Z10" i="8"/>
  <c r="AX10" i="8" s="1"/>
  <c r="AQ10" i="8"/>
  <c r="BO10" i="8" s="1"/>
  <c r="AA10" i="8"/>
  <c r="AY10" i="8" s="1"/>
  <c r="AN10" i="19"/>
  <c r="AR10" i="8"/>
  <c r="BP10" i="8" s="1"/>
  <c r="AN10" i="8"/>
  <c r="BL10" i="8" s="1"/>
  <c r="AT10" i="8"/>
  <c r="BR10" i="8" s="1"/>
  <c r="AW10" i="8"/>
  <c r="BU10" i="8" s="1"/>
  <c r="AD10" i="8"/>
  <c r="BB10" i="8" s="1"/>
  <c r="E10" i="14" l="1"/>
  <c r="G10" i="17" s="1"/>
  <c r="AN367" i="19"/>
  <c r="F367" i="14"/>
  <c r="AP10" i="19"/>
  <c r="AO10" i="19"/>
  <c r="DR5" i="20"/>
  <c r="ED5" i="20" s="1"/>
  <c r="BC10" i="19"/>
  <c r="G10" i="14" l="1"/>
  <c r="AQ10" i="19"/>
  <c r="AP367" i="19"/>
  <c r="H10" i="14"/>
  <c r="H11" i="14"/>
  <c r="G11" i="14"/>
  <c r="BB10" i="19"/>
  <c r="E367" i="14"/>
  <c r="X5" i="26"/>
  <c r="U5" i="26"/>
  <c r="G367" i="14" l="1"/>
  <c r="CM10" i="19"/>
  <c r="AQ367" i="19"/>
  <c r="H367" i="14"/>
  <c r="I11" i="17"/>
  <c r="J11" i="17"/>
  <c r="L11" i="17" s="1"/>
  <c r="J10" i="17"/>
  <c r="L10" i="17" s="1"/>
  <c r="I10" i="17"/>
  <c r="X4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TERMONORTE</author>
    <author>AXIA</author>
  </authors>
  <commentList>
    <comment ref="O163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TERMONORTE:</t>
        </r>
        <r>
          <rPr>
            <sz val="9"/>
            <color indexed="81"/>
            <rFont val="Tahoma"/>
            <family val="2"/>
          </rPr>
          <t xml:space="preserve">
revisar</t>
        </r>
      </text>
    </comment>
    <comment ref="BU29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Se modifica oferta de la planta  a oferta por unidad, cada unidad se oferta derrateada en 8 MW, Configuración 1, 10 unidades, Total 80 MW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TERMONORTE</author>
  </authors>
  <commentList>
    <comment ref="AO17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TERMONORTE:</t>
        </r>
        <r>
          <rPr>
            <sz val="9"/>
            <color indexed="81"/>
            <rFont val="Tahoma"/>
            <family val="2"/>
          </rPr>
          <t xml:space="preserve">
Se cambia formula, porque tenemos un arranque.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TERMONORTE</author>
  </authors>
  <commentList>
    <comment ref="AP211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TERMONORTE:</t>
        </r>
        <r>
          <rPr>
            <sz val="9"/>
            <color indexed="81"/>
            <rFont val="Tahoma"/>
            <family val="2"/>
          </rPr>
          <t xml:space="preserve">
Reposicion de agua desde el tanque SCI al Raw.</t>
        </r>
      </text>
    </comment>
    <comment ref="K35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TERMONORTE:</t>
        </r>
        <r>
          <rPr>
            <sz val="9"/>
            <color indexed="81"/>
            <rFont val="Tahoma"/>
            <family val="2"/>
          </rPr>
          <t xml:space="preserve">
normalizar medida de transductor presion
</t>
        </r>
      </text>
    </comment>
  </commentList>
</comments>
</file>

<file path=xl/sharedStrings.xml><?xml version="1.0" encoding="utf-8"?>
<sst xmlns="http://schemas.openxmlformats.org/spreadsheetml/2006/main" count="11741" uniqueCount="1022">
  <si>
    <t>Po. Cal. [MBTU/KPC]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</si>
  <si>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</si>
  <si>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</si>
  <si>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</si>
  <si>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</si>
  <si>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</si>
  <si>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</si>
  <si>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</si>
  <si>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</si>
  <si>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</si>
  <si>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</si>
  <si>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</si>
  <si>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</si>
  <si>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</si>
  <si>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</si>
  <si>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</si>
  <si>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</si>
  <si>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</si>
  <si>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</si>
  <si>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</si>
  <si>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</si>
  <si>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</si>
  <si>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</si>
  <si>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</si>
  <si>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</si>
  <si>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Total</t>
  </si>
  <si>
    <t>Fecha</t>
  </si>
  <si>
    <t>Hora</t>
  </si>
  <si>
    <t xml:space="preserve"> CT Termo Norte 
Activa Entregada</t>
  </si>
  <si>
    <t>CT Termo Norte 
Activa Recibida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</si>
  <si>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</si>
  <si>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</si>
  <si>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</si>
  <si>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</si>
  <si>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</si>
  <si>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</si>
  <si>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</si>
  <si>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</si>
  <si>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</si>
  <si>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</si>
  <si>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</si>
  <si>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</si>
  <si>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</si>
  <si>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</si>
  <si>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</si>
  <si>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</si>
  <si>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</si>
  <si>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</si>
  <si>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</si>
  <si>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</si>
  <si>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</si>
  <si>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</si>
  <si>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</si>
  <si>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</si>
  <si>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LD</t>
  </si>
  <si>
    <t xml:space="preserve">ARRANQUE TERMONORTE </t>
  </si>
  <si>
    <t xml:space="preserve">NUMERO ESTIMADO DE UNIDADES </t>
  </si>
  <si>
    <t xml:space="preserve">NUMERO DE ARANQUE DE ESTIMADO  </t>
  </si>
  <si>
    <t>CT TermoNorte Activa Entregada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</si>
  <si>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</si>
  <si>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</si>
  <si>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</si>
  <si>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</si>
  <si>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</si>
  <si>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</si>
  <si>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</si>
  <si>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</si>
  <si>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</si>
  <si>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</si>
  <si>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</si>
  <si>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</si>
  <si>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</si>
  <si>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</si>
  <si>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</si>
  <si>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</si>
  <si>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</si>
  <si>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</si>
  <si>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</si>
  <si>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</si>
  <si>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</si>
  <si>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</si>
  <si>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</si>
  <si>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</si>
  <si>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Total general</t>
  </si>
  <si>
    <t>Etiquetas de fila</t>
  </si>
  <si>
    <t>CT TermoNorte Activa Recibida</t>
  </si>
  <si>
    <t>Suma de  CT Termo Norte 
Activa Entregada</t>
  </si>
  <si>
    <t>Ar. [Un]</t>
  </si>
  <si>
    <t>Pa. [Un]</t>
  </si>
  <si>
    <t>Día</t>
  </si>
  <si>
    <t>Nivel de tanque m3</t>
  </si>
  <si>
    <t>HFO Storage Tank A [m3]</t>
  </si>
  <si>
    <t>HFO Storage Tank A [gal]</t>
  </si>
  <si>
    <t>HFO Settling Tank [m3]</t>
  </si>
  <si>
    <t>HFO Settling Tank [gal]</t>
  </si>
  <si>
    <t>HFO Service Tank [m3]</t>
  </si>
  <si>
    <t>HFO Service Tank [gal]</t>
  </si>
  <si>
    <t>DO Storage Tank [m3]</t>
  </si>
  <si>
    <t>DO Storage Tank [gal]</t>
  </si>
  <si>
    <t>DO Pilot Tank [m3]</t>
  </si>
  <si>
    <t>DO Pilot Tank [gal]</t>
  </si>
  <si>
    <t>LO Storage Tank [m3]</t>
  </si>
  <si>
    <t>LO Storage Tank [gal]</t>
  </si>
  <si>
    <t>Reposicion LO [l]</t>
  </si>
  <si>
    <t>Compra Aceite [m3]</t>
  </si>
  <si>
    <t>Compra Aceite [gal]</t>
  </si>
  <si>
    <t>Sludges Recogido por Carrotanque [gal]</t>
  </si>
  <si>
    <t>Sludges Recogido por Carrotanque [m3]</t>
  </si>
  <si>
    <t>Sludge Storage Tank A</t>
  </si>
  <si>
    <t>Sludge Storage Tank B</t>
  </si>
  <si>
    <t>Fire Water Storage Tank</t>
  </si>
  <si>
    <t>Raw Water Storage Tank</t>
  </si>
  <si>
    <t>Treated Water Storage Tank</t>
  </si>
  <si>
    <t>Compra Agua [gal]</t>
  </si>
  <si>
    <t>Compra Agua [m3]</t>
  </si>
  <si>
    <t>% Nivel</t>
  </si>
  <si>
    <t>m3</t>
  </si>
  <si>
    <t>R. CGM
[kWh]</t>
  </si>
  <si>
    <t>Con. DO Storage [m3]</t>
  </si>
  <si>
    <t>Con. DO Storage [gal]</t>
  </si>
  <si>
    <t>Con. DO Pilot [m3]</t>
  </si>
  <si>
    <t>Con. DO Pilot [gal]</t>
  </si>
  <si>
    <t>Con. DO Total [m3]</t>
  </si>
  <si>
    <t>Con. DO Total [gal]</t>
  </si>
  <si>
    <t>Repo. DO Storage [gal]</t>
  </si>
  <si>
    <t>Repo. DO Pilot [gal]</t>
  </si>
  <si>
    <t>Con. HFO [m3]</t>
  </si>
  <si>
    <t>Con. HFO [gal]</t>
  </si>
  <si>
    <t>Repo. HFO [gal]</t>
  </si>
  <si>
    <t>H1</t>
  </si>
  <si>
    <t>Motor 1</t>
  </si>
  <si>
    <t>H2</t>
  </si>
  <si>
    <t>Motor 2</t>
  </si>
  <si>
    <t>H3</t>
  </si>
  <si>
    <t>Motor 3</t>
  </si>
  <si>
    <t>H4</t>
  </si>
  <si>
    <t>Motor 4</t>
  </si>
  <si>
    <t>H5</t>
  </si>
  <si>
    <t>Motor 5</t>
  </si>
  <si>
    <t>H6</t>
  </si>
  <si>
    <t>Motor 6</t>
  </si>
  <si>
    <t>H7</t>
  </si>
  <si>
    <t>Motor 7</t>
  </si>
  <si>
    <t>H8</t>
  </si>
  <si>
    <t>Motor 8</t>
  </si>
  <si>
    <t>H9</t>
  </si>
  <si>
    <t>Motor 9</t>
  </si>
  <si>
    <t>H10</t>
  </si>
  <si>
    <t>Motor 10</t>
  </si>
  <si>
    <t>Consumo DO Storage [m3]</t>
  </si>
  <si>
    <t>Consumo DO Storage [gal]</t>
  </si>
  <si>
    <t>Diferencia</t>
  </si>
  <si>
    <t>gal</t>
  </si>
  <si>
    <t>Mes</t>
  </si>
  <si>
    <t>DPI [MWh]</t>
  </si>
  <si>
    <t>DN [MWh]</t>
  </si>
  <si>
    <t>DP [MWh]</t>
  </si>
  <si>
    <t>DPR [MWh]</t>
  </si>
  <si>
    <t>RDP [Un]</t>
  </si>
  <si>
    <t>RDP [MWh]</t>
  </si>
  <si>
    <t>AUT [Un]</t>
  </si>
  <si>
    <t>AUT [MWh]</t>
  </si>
  <si>
    <t>PO [h]</t>
  </si>
  <si>
    <t>Columna1</t>
  </si>
  <si>
    <t>P. NO D</t>
  </si>
  <si>
    <t>D. XM
[MWh]</t>
  </si>
  <si>
    <t>G. HGS 
[MWh]</t>
  </si>
  <si>
    <t>G. HGS 
Con Gas</t>
  </si>
  <si>
    <t>G. HGS 
Con DO</t>
  </si>
  <si>
    <t>G. HGS 
Con HFO</t>
  </si>
  <si>
    <t>G. HGS 
Con Gas [kWh]</t>
  </si>
  <si>
    <t>G. HGS 
[kWh]</t>
  </si>
  <si>
    <t>R. GE
[MWh]</t>
  </si>
  <si>
    <t>E.G. GAS</t>
  </si>
  <si>
    <t>E.G. DO</t>
  </si>
  <si>
    <t>E.G. HFO</t>
  </si>
  <si>
    <t>R. GE
[kWh]</t>
  </si>
  <si>
    <t>E. Con. Aux. [MWh]</t>
  </si>
  <si>
    <t>Con. Aux. [MWh]2</t>
  </si>
  <si>
    <t>G. Neta HGS [MWh]</t>
  </si>
  <si>
    <t>E. Con. Red [MWh]</t>
  </si>
  <si>
    <t>E. Con. TC 44kV-220kV [MWh]</t>
  </si>
  <si>
    <t>G. Un. GE [MWh]</t>
  </si>
  <si>
    <t>G. Un. GE [MWh/Un]</t>
  </si>
  <si>
    <t>Ar. HGS [Un]</t>
  </si>
  <si>
    <t>Pa. HGS [Un]</t>
  </si>
  <si>
    <t>Ar. Planta</t>
  </si>
  <si>
    <t>Con. DO Storage Gen. [m3]</t>
  </si>
  <si>
    <t>Con. DO Storage [gal]2</t>
  </si>
  <si>
    <t>Repo. DO Total [m3]</t>
  </si>
  <si>
    <t>Repo. HFO [m3]</t>
  </si>
  <si>
    <t>Con. Espe. DO Storage [gal/MWh]</t>
  </si>
  <si>
    <t>Con. Espe. DO Storage - Ar. [gal/# ar]</t>
  </si>
  <si>
    <t>Con. Espe. DO Storage - Pa. [gal/# pa]</t>
  </si>
  <si>
    <t>Con. Espe. DO Pilot [gal/MWh]</t>
  </si>
  <si>
    <t>Con. Espe. DO Pilot [gal/Un]</t>
  </si>
  <si>
    <t xml:space="preserve"> Con. Gas HGS
 [m3]</t>
  </si>
  <si>
    <t xml:space="preserve"> Con. Gas HGS
 [MBTU]</t>
  </si>
  <si>
    <t xml:space="preserve"> Re. Gas GC
 [m3]</t>
  </si>
  <si>
    <t xml:space="preserve"> Re. Gas GC
 [m3] Correg</t>
  </si>
  <si>
    <t xml:space="preserve"> Re. Gas GC
 [MBTU]</t>
  </si>
  <si>
    <t>Dif. MBTU</t>
  </si>
  <si>
    <t>%</t>
  </si>
  <si>
    <t>HR HGS [BTU/kWh]</t>
  </si>
  <si>
    <t>HR HGS [BTU/kWh]2</t>
  </si>
  <si>
    <t>HR (GC/G. neta) 
[BTU/kWh]</t>
  </si>
  <si>
    <t>HR (GC/GE) 
[BTU/kWh]</t>
  </si>
  <si>
    <t>HR HGS [m3/kWh]</t>
  </si>
  <si>
    <t>Combustible ofertado</t>
  </si>
  <si>
    <t>Disponibilidad</t>
  </si>
  <si>
    <t>G</t>
  </si>
  <si>
    <t>D</t>
  </si>
  <si>
    <t>H</t>
  </si>
  <si>
    <t>Precio oferta</t>
  </si>
  <si>
    <t>H. Motor 1</t>
  </si>
  <si>
    <t>H. Motor 2</t>
  </si>
  <si>
    <t>H. Motor 3</t>
  </si>
  <si>
    <t>H. Motor 4</t>
  </si>
  <si>
    <t>H. Motor 5</t>
  </si>
  <si>
    <t>H. Motor 6</t>
  </si>
  <si>
    <t>H. Motor 7</t>
  </si>
  <si>
    <t>H. Motor 8</t>
  </si>
  <si>
    <t>H. Motor 9</t>
  </si>
  <si>
    <t>H. Motor 10</t>
  </si>
  <si>
    <t>C. DO Storage Ar.[gal]</t>
  </si>
  <si>
    <t>C. DO Storage Ge [gal]</t>
  </si>
  <si>
    <t>GEN  DO [MWH]</t>
  </si>
  <si>
    <t>MBTU Do</t>
  </si>
  <si>
    <t>DIESEL</t>
  </si>
  <si>
    <t>93,69</t>
  </si>
  <si>
    <t>4,87</t>
  </si>
  <si>
    <t>127,97</t>
  </si>
  <si>
    <t xml:space="preserve">                                          </t>
  </si>
  <si>
    <t>A</t>
  </si>
  <si>
    <t>Despachos</t>
  </si>
  <si>
    <t>Periodos Total Despachados  - Horas por Motor</t>
  </si>
  <si>
    <t>Despacho PreOperativo Vs. Despacho Real</t>
  </si>
  <si>
    <t>Despacho Real - G. HGS - R. GE</t>
  </si>
  <si>
    <t>RDP - AUT</t>
  </si>
  <si>
    <t>Consumos x Un</t>
  </si>
  <si>
    <t>Consumos Combustibles - Reposisicones</t>
  </si>
  <si>
    <t>Promedios - Arranques</t>
  </si>
  <si>
    <t>Consumo de gas - Heat rate</t>
  </si>
  <si>
    <t>Oferta</t>
  </si>
  <si>
    <t>Arranques por Combustibles</t>
  </si>
  <si>
    <t>Indicadores Ambientales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</si>
  <si>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</si>
  <si>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</si>
  <si>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</si>
  <si>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</si>
  <si>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</si>
  <si>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</si>
  <si>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</si>
  <si>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</si>
  <si>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</si>
  <si>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</si>
  <si>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</si>
  <si>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</si>
  <si>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Anual</t>
  </si>
  <si>
    <t>Etiquetas de columna</t>
  </si>
  <si>
    <t>(Todas)</t>
  </si>
  <si>
    <t>Motores</t>
  </si>
  <si>
    <t>Preideal [MWh]</t>
  </si>
  <si>
    <t>Nacional [MWh]</t>
  </si>
  <si>
    <t>Programado [MWh]</t>
  </si>
  <si>
    <t>XM [MWh]</t>
  </si>
  <si>
    <t>G. HGS [MWh]</t>
  </si>
  <si>
    <t>REP. G.E. [MWh]</t>
  </si>
  <si>
    <t>RDP  [MWh]</t>
  </si>
  <si>
    <t>AUT  [MWh]</t>
  </si>
  <si>
    <t>DPR  [MWh]</t>
  </si>
  <si>
    <t>D. REAL</t>
  </si>
  <si>
    <t>% AUT</t>
  </si>
  <si>
    <t>% RDP</t>
  </si>
  <si>
    <t>%DPR</t>
  </si>
  <si>
    <t>G. Un.GE [MWh/Un]</t>
  </si>
  <si>
    <t>C. Espe. DO Pilot [gal/Un]</t>
  </si>
  <si>
    <t>C. DO Storage [gal]</t>
  </si>
  <si>
    <t>C. DO Pilot [gal]</t>
  </si>
  <si>
    <t>C. HFO [gal]</t>
  </si>
  <si>
    <t>G.Un.GE [MWh]</t>
  </si>
  <si>
    <t>PG [h]</t>
  </si>
  <si>
    <t>Ar. HGS  [Un]</t>
  </si>
  <si>
    <t>LO Storage [gal]</t>
  </si>
  <si>
    <t>C. Agua [m3]</t>
  </si>
  <si>
    <t>PROMEDIOS</t>
  </si>
  <si>
    <t>C. Gas HGS [MBTU]</t>
  </si>
  <si>
    <t>REP. Gas GC [MBTU]</t>
  </si>
  <si>
    <t>HR HGS  [BTU/kWh]</t>
  </si>
  <si>
    <t xml:space="preserve">HR (GC/GE)  [BTU/kWh] </t>
  </si>
  <si>
    <t>P. oferta</t>
  </si>
  <si>
    <t>GAS</t>
  </si>
  <si>
    <t>HFO</t>
  </si>
  <si>
    <t>Arranque Planta</t>
  </si>
  <si>
    <t>Reposiciones [gal]</t>
  </si>
  <si>
    <t>REP. G.E. [MWh/Un]</t>
  </si>
  <si>
    <t>Oferta GAS</t>
  </si>
  <si>
    <t>Precio Oferta</t>
  </si>
  <si>
    <t>Oferta DO</t>
  </si>
  <si>
    <t>Oferta HFO</t>
  </si>
  <si>
    <t>Parámetros</t>
  </si>
  <si>
    <t>P. D</t>
  </si>
  <si>
    <t>Cuenta de Fecha</t>
  </si>
  <si>
    <t>Horas</t>
  </si>
  <si>
    <t>H Motor 1</t>
  </si>
  <si>
    <t>H Motor 2</t>
  </si>
  <si>
    <t>H Motor 3</t>
  </si>
  <si>
    <t>H Motor 4</t>
  </si>
  <si>
    <t>H Motor 5</t>
  </si>
  <si>
    <t>H Motor 6</t>
  </si>
  <si>
    <t>H Motor 7</t>
  </si>
  <si>
    <t>H Motor 8</t>
  </si>
  <si>
    <t>H Motor 9</t>
  </si>
  <si>
    <t>H Motor 10</t>
  </si>
  <si>
    <t>1-ene</t>
  </si>
  <si>
    <t>Suma de RDP [Un]</t>
  </si>
  <si>
    <t>Suma de AUT [Un]</t>
  </si>
  <si>
    <t>RED[MWh]</t>
  </si>
  <si>
    <t>AUT[MWh]</t>
  </si>
  <si>
    <t>DPR[MWh]</t>
  </si>
  <si>
    <t>DO Storage</t>
  </si>
  <si>
    <t>C. DO Pilot [gal/Un]</t>
  </si>
  <si>
    <t>Arr. Planta GAS</t>
  </si>
  <si>
    <t>E. Generada [kWh]</t>
  </si>
  <si>
    <t>Suma de PO [h]</t>
  </si>
  <si>
    <t>2-ene</t>
  </si>
  <si>
    <t>DO Pilot</t>
  </si>
  <si>
    <t>C. DO Storage [gal/MWh]</t>
  </si>
  <si>
    <t>Arr. Planta DO</t>
  </si>
  <si>
    <t>C. Gas [m3]</t>
  </si>
  <si>
    <t>Suma de P. NO D</t>
  </si>
  <si>
    <t>3-ene</t>
  </si>
  <si>
    <t>C. DO Pilot [gal/MWh]</t>
  </si>
  <si>
    <t>Arr. Planta HFO</t>
  </si>
  <si>
    <t>C. DO Total [m3]</t>
  </si>
  <si>
    <t>4-ene</t>
  </si>
  <si>
    <t>C. DO Storage/Ar. Un. [gal/#ar]</t>
  </si>
  <si>
    <t>Arr. Unidades</t>
  </si>
  <si>
    <t>R. DO Total [m3]</t>
  </si>
  <si>
    <t>PH1</t>
  </si>
  <si>
    <t>5-ene</t>
  </si>
  <si>
    <t>C. HFO [gal/MWh]</t>
  </si>
  <si>
    <t>C. HFO [m3]</t>
  </si>
  <si>
    <t>Consumos Totales</t>
  </si>
  <si>
    <t>6-ene</t>
  </si>
  <si>
    <t>C. Aceite [gal/MWh]</t>
  </si>
  <si>
    <t>R. HFO [m3]</t>
  </si>
  <si>
    <t>7-ene</t>
  </si>
  <si>
    <t>C. Agua [m3/MWh]</t>
  </si>
  <si>
    <t>R. Aceite [m3]</t>
  </si>
  <si>
    <t>8-ene</t>
  </si>
  <si>
    <t>9-ene</t>
  </si>
  <si>
    <t>10-ene</t>
  </si>
  <si>
    <t>11-ene</t>
  </si>
  <si>
    <t>12-ene</t>
  </si>
  <si>
    <t>PH2</t>
  </si>
  <si>
    <t>13-ene</t>
  </si>
  <si>
    <t>14-ene</t>
  </si>
  <si>
    <t>C. Aceite [gal]</t>
  </si>
  <si>
    <t>15-ene</t>
  </si>
  <si>
    <t>16-ene</t>
  </si>
  <si>
    <t>G. A. Aceitosas [m3]</t>
  </si>
  <si>
    <t>17-ene</t>
  </si>
  <si>
    <t xml:space="preserve"> C. DO Storage Ge [gal]</t>
  </si>
  <si>
    <t>18-ene</t>
  </si>
  <si>
    <t>Emi. Gn. M3/mes 2019</t>
  </si>
  <si>
    <t xml:space="preserve"> C. DO Storage Ar.[gal]</t>
  </si>
  <si>
    <t>19-ene</t>
  </si>
  <si>
    <t>Generacion kWh promedio 2019</t>
  </si>
  <si>
    <t>Gen. Do. [MWh]</t>
  </si>
  <si>
    <t>20-ene</t>
  </si>
  <si>
    <t>Emi. Gn [m3]</t>
  </si>
  <si>
    <t>R. Gas GC [MBTU]</t>
  </si>
  <si>
    <t>E.G. GAS [MWh]</t>
  </si>
  <si>
    <t>21-ene</t>
  </si>
  <si>
    <t>22-ene</t>
  </si>
  <si>
    <t>23-ene</t>
  </si>
  <si>
    <t>24-ene</t>
  </si>
  <si>
    <t>25-ene</t>
  </si>
  <si>
    <t>26-ene</t>
  </si>
  <si>
    <t>27-ene</t>
  </si>
  <si>
    <t>28-ene</t>
  </si>
  <si>
    <t>29-ene</t>
  </si>
  <si>
    <t>30-ene</t>
  </si>
  <si>
    <t>31-ene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</si>
  <si>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</si>
  <si>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</si>
  <si>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</si>
  <si>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</si>
  <si>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</si>
  <si>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</si>
  <si>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</si>
  <si>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</si>
  <si>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</si>
  <si>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</si>
  <si>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</si>
  <si>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</si>
  <si>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</si>
  <si>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HR (GC/GE) [BTU/kWh]</t>
  </si>
  <si>
    <t>14-feb</t>
  </si>
  <si>
    <t>15-feb</t>
  </si>
  <si>
    <t>16-feb</t>
  </si>
  <si>
    <t>357,81</t>
  </si>
  <si>
    <t>186,3</t>
  </si>
  <si>
    <t>680,88</t>
  </si>
  <si>
    <t>433,23</t>
  </si>
  <si>
    <t>98,56</t>
  </si>
  <si>
    <t>28,84</t>
  </si>
  <si>
    <t>17-feb</t>
  </si>
  <si>
    <t>18-feb</t>
  </si>
  <si>
    <t>19-feb</t>
  </si>
  <si>
    <t>20-feb</t>
  </si>
  <si>
    <t>Tanques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</si>
  <si>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</si>
  <si>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</si>
  <si>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</si>
  <si>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</si>
  <si>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</si>
  <si>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</si>
  <si>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</si>
  <si>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</si>
  <si>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</si>
  <si>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</si>
  <si>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</si>
  <si>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</si>
  <si>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21-feb</t>
  </si>
  <si>
    <t>22-feb</t>
  </si>
  <si>
    <t>23-feb</t>
  </si>
  <si>
    <t>24-feb</t>
  </si>
  <si>
    <t>25-feb</t>
  </si>
  <si>
    <t>Reposición (m3)</t>
  </si>
  <si>
    <t>26-feb</t>
  </si>
  <si>
    <t>Consumo (m3)</t>
  </si>
  <si>
    <t>27-feb</t>
  </si>
  <si>
    <t>28-feb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</si>
  <si>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</si>
  <si>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</si>
  <si>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</si>
  <si>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</si>
  <si>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</si>
  <si>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</si>
  <si>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</si>
  <si>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</si>
  <si>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</si>
  <si>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</si>
  <si>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</si>
  <si>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</si>
  <si>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</si>
  <si>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</si>
  <si>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</si>
  <si>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</si>
  <si>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</si>
  <si>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</si>
  <si>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</si>
  <si>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</si>
  <si>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</si>
  <si>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</si>
  <si>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</si>
  <si>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</si>
  <si>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</si>
  <si>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</si>
  <si>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</si>
  <si>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</si>
  <si>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</si>
  <si>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</si>
  <si>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</si>
  <si>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1-abr</t>
  </si>
  <si>
    <t>2-abr</t>
  </si>
  <si>
    <t>HR (m3/kWh)</t>
  </si>
  <si>
    <t>3-abr</t>
  </si>
  <si>
    <t>4-abr</t>
  </si>
  <si>
    <t>5-abr</t>
  </si>
  <si>
    <t>6-abr</t>
  </si>
  <si>
    <t>7-abr</t>
  </si>
  <si>
    <t>8-abr</t>
  </si>
  <si>
    <t>9-abr</t>
  </si>
  <si>
    <t>10-abr</t>
  </si>
  <si>
    <t>11-abr</t>
  </si>
  <si>
    <t>12-abr</t>
  </si>
  <si>
    <t>13-abr</t>
  </si>
  <si>
    <t>14-abr</t>
  </si>
  <si>
    <t>15-abr</t>
  </si>
  <si>
    <t>16-abr</t>
  </si>
  <si>
    <t>17-abr</t>
  </si>
  <si>
    <t>Mes 2020</t>
  </si>
  <si>
    <t>Consumo total LO [gal]</t>
  </si>
  <si>
    <t>Energia generada HGS [MWh]</t>
  </si>
  <si>
    <t>18-abr</t>
  </si>
  <si>
    <t xml:space="preserve">Enero </t>
  </si>
  <si>
    <t>19-abr</t>
  </si>
  <si>
    <t>Febrero</t>
  </si>
  <si>
    <t>20-abr</t>
  </si>
  <si>
    <t>Marzo</t>
  </si>
  <si>
    <t>21-abr</t>
  </si>
  <si>
    <t>Abril</t>
  </si>
  <si>
    <t>22-abr</t>
  </si>
  <si>
    <t>Mayo</t>
  </si>
  <si>
    <t>23-abr</t>
  </si>
  <si>
    <t>Junio</t>
  </si>
  <si>
    <t>24-abr</t>
  </si>
  <si>
    <t>Julio</t>
  </si>
  <si>
    <t>25-abr</t>
  </si>
  <si>
    <t xml:space="preserve">Agosto </t>
  </si>
  <si>
    <t>26-abr</t>
  </si>
  <si>
    <t>Septiembre</t>
  </si>
  <si>
    <t>27-abr</t>
  </si>
  <si>
    <t>Octubre</t>
  </si>
  <si>
    <t>28-abr</t>
  </si>
  <si>
    <t>Noviembre</t>
  </si>
  <si>
    <t>29-abr</t>
  </si>
  <si>
    <t>Diciembre</t>
  </si>
  <si>
    <t>30-abr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</si>
  <si>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</si>
  <si>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</si>
  <si>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</si>
  <si>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</si>
  <si>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</si>
  <si>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</si>
  <si>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</si>
  <si>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</si>
  <si>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</si>
  <si>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</si>
  <si>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</si>
  <si>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</si>
  <si>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</si>
  <si>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</si>
  <si>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</si>
  <si>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</si>
  <si>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</si>
  <si>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</si>
  <si>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</si>
  <si>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</si>
  <si>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</si>
  <si>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</si>
  <si>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</si>
  <si>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</si>
  <si>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</si>
  <si>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</si>
  <si>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</si>
  <si>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</si>
  <si>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</si>
  <si>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</si>
  <si>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</si>
  <si>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</si>
  <si>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</si>
  <si>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</si>
  <si>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</si>
  <si>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</si>
  <si>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</si>
  <si>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</si>
  <si>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</si>
  <si>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</si>
  <si>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</si>
  <si>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</si>
  <si>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</si>
  <si>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</si>
  <si>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</si>
  <si>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</si>
  <si>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</si>
  <si>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</si>
  <si>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</si>
  <si>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</si>
  <si>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</si>
  <si>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</si>
  <si>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</si>
  <si>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</si>
  <si>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</si>
  <si>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</si>
  <si>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</si>
  <si>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</si>
  <si>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</si>
  <si>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</si>
  <si>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</si>
  <si>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</si>
  <si>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</si>
  <si>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</si>
  <si>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</si>
  <si>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</si>
  <si>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</si>
  <si>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</si>
  <si>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</si>
  <si>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</si>
  <si>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</si>
  <si>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</si>
  <si>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</si>
  <si>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</si>
  <si>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</si>
  <si>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</si>
  <si>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</si>
  <si>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</si>
  <si>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</si>
  <si>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</si>
  <si>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</si>
  <si>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</si>
  <si>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</si>
  <si>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</si>
  <si>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</si>
  <si>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</si>
  <si>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</si>
  <si>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</si>
  <si>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</si>
  <si>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</si>
  <si>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</si>
  <si>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</si>
  <si>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1-ago</t>
  </si>
  <si>
    <t>2-ago</t>
  </si>
  <si>
    <t>3-ago</t>
  </si>
  <si>
    <t>4-ago</t>
  </si>
  <si>
    <t>5-ago</t>
  </si>
  <si>
    <t>6-ago</t>
  </si>
  <si>
    <t>7-ago</t>
  </si>
  <si>
    <t>8-ago</t>
  </si>
  <si>
    <t>9-ago</t>
  </si>
  <si>
    <t>10-ago</t>
  </si>
  <si>
    <t>11-ago</t>
  </si>
  <si>
    <t>12-ago</t>
  </si>
  <si>
    <t>13-ago</t>
  </si>
  <si>
    <t>14-ago</t>
  </si>
  <si>
    <t>15-ago</t>
  </si>
  <si>
    <t>16-ago</t>
  </si>
  <si>
    <t>17-ago</t>
  </si>
  <si>
    <t>18-ago</t>
  </si>
  <si>
    <t>19-ago</t>
  </si>
  <si>
    <t>20-ago</t>
  </si>
  <si>
    <t>21-ago</t>
  </si>
  <si>
    <t>22-ago</t>
  </si>
  <si>
    <t>23-ago</t>
  </si>
  <si>
    <t>24-ago</t>
  </si>
  <si>
    <t>25-ago</t>
  </si>
  <si>
    <t>26-ago</t>
  </si>
  <si>
    <t>27-ago</t>
  </si>
  <si>
    <t>28-ago</t>
  </si>
  <si>
    <t>29-ago</t>
  </si>
  <si>
    <t>30-ago</t>
  </si>
  <si>
    <t>31-ago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</si>
  <si>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</si>
  <si>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</si>
  <si>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</si>
  <si>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</si>
  <si>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</si>
  <si>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</si>
  <si>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</si>
  <si>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</si>
  <si>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</si>
  <si>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</si>
  <si>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</si>
  <si>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</si>
  <si>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</si>
  <si>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</si>
  <si>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</si>
  <si>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</si>
  <si>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</si>
  <si>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</si>
  <si>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</si>
  <si>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</si>
  <si>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</si>
  <si>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</si>
  <si>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</si>
  <si>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</si>
  <si>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</si>
  <si>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</si>
  <si>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</si>
  <si>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</si>
  <si>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</si>
  <si>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</si>
  <si>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</si>
  <si>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</si>
  <si>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</si>
  <si>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</si>
  <si>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</si>
  <si>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</si>
  <si>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</si>
  <si>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</si>
  <si>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</si>
  <si>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</si>
  <si>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</si>
  <si>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</si>
  <si>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</si>
  <si>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</si>
  <si>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</si>
  <si>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</si>
  <si>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</si>
  <si>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</si>
  <si>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</si>
  <si>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</si>
  <si>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</si>
  <si>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</si>
  <si>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</si>
  <si>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</si>
  <si>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</si>
  <si>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</si>
  <si>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</si>
  <si>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</si>
  <si>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</si>
  <si>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</si>
  <si>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</si>
  <si>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</si>
  <si>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</si>
  <si>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</si>
  <si>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</si>
  <si>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</si>
  <si>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</si>
  <si>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</si>
  <si>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</si>
  <si>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</si>
  <si>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</si>
  <si>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</si>
  <si>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</si>
  <si>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</si>
  <si>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</si>
  <si>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</si>
  <si>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</si>
  <si>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</si>
  <si>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</si>
  <si>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</si>
  <si>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</si>
  <si>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</si>
  <si>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</si>
  <si>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</si>
  <si>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</si>
  <si>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</si>
  <si>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</si>
  <si>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</si>
  <si>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</si>
  <si>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</si>
  <si>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</si>
  <si>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1-dic</t>
  </si>
  <si>
    <t>2-dic</t>
  </si>
  <si>
    <t>3-dic</t>
  </si>
  <si>
    <t>4-dic</t>
  </si>
  <si>
    <t>5-dic</t>
  </si>
  <si>
    <t>6-dic</t>
  </si>
  <si>
    <t>7-dic</t>
  </si>
  <si>
    <t>8-dic</t>
  </si>
  <si>
    <t>9-dic</t>
  </si>
  <si>
    <t>10-dic</t>
  </si>
  <si>
    <t>11-dic</t>
  </si>
  <si>
    <t>12-dic</t>
  </si>
  <si>
    <t>13-dic</t>
  </si>
  <si>
    <t>14-dic</t>
  </si>
  <si>
    <t>15-dic</t>
  </si>
  <si>
    <t>16-dic</t>
  </si>
  <si>
    <t>17-dic</t>
  </si>
  <si>
    <t>18-dic</t>
  </si>
  <si>
    <t>19-dic</t>
  </si>
  <si>
    <t>20-dic</t>
  </si>
  <si>
    <t>21-dic</t>
  </si>
  <si>
    <t>22-dic</t>
  </si>
  <si>
    <t>23-dic</t>
  </si>
  <si>
    <t>24-dic</t>
  </si>
  <si>
    <t>25-dic</t>
  </si>
  <si>
    <t>26-dic</t>
  </si>
  <si>
    <t>27-dic</t>
  </si>
  <si>
    <t>28-dic</t>
  </si>
  <si>
    <t>29-dic</t>
  </si>
  <si>
    <t>30-dic</t>
  </si>
  <si>
    <t>31-dic</t>
  </si>
  <si>
    <t>Promedios</t>
  </si>
  <si>
    <t>Acumulado Año</t>
  </si>
  <si>
    <t>REP. G.E.  [MWh/Un]</t>
  </si>
  <si>
    <t>C. DO Storage/Ar. Un. [gal/ar]</t>
  </si>
  <si>
    <t>Indi. Ambientales</t>
  </si>
  <si>
    <t>Gen. DO [MWh]</t>
  </si>
  <si>
    <t>Arranques</t>
  </si>
  <si>
    <t>Planta - GAS</t>
  </si>
  <si>
    <t>Planta - DO</t>
  </si>
  <si>
    <t>Planta - HFO</t>
  </si>
  <si>
    <t>Unidades</t>
  </si>
  <si>
    <t>Horometro Motores</t>
  </si>
  <si>
    <t>Nomenclatura</t>
  </si>
  <si>
    <t xml:space="preserve">Definición </t>
  </si>
  <si>
    <t>Ar.</t>
  </si>
  <si>
    <t>AUT</t>
  </si>
  <si>
    <t xml:space="preserve">Autorizaciones </t>
  </si>
  <si>
    <t>C. Aceite</t>
  </si>
  <si>
    <t>Consumo de Aceite</t>
  </si>
  <si>
    <t>C. Agua</t>
  </si>
  <si>
    <t>Consumo de agua</t>
  </si>
  <si>
    <t>C. DO Pilot</t>
  </si>
  <si>
    <t>Consumo DO Pilot</t>
  </si>
  <si>
    <t>C. DO Storage</t>
  </si>
  <si>
    <t xml:space="preserve">Consumo DO Storage </t>
  </si>
  <si>
    <t>C. DO Total</t>
  </si>
  <si>
    <t>Consumo Diésel Total</t>
  </si>
  <si>
    <t>C. Espe. DO Pilot</t>
  </si>
  <si>
    <t>Consumo promedio de DO Pilot por cada unidad</t>
  </si>
  <si>
    <t>C. Gas HGS</t>
  </si>
  <si>
    <t>Consumo de gas reportado por HGS</t>
  </si>
  <si>
    <t>C. HFO</t>
  </si>
  <si>
    <t>Consumo HFO</t>
  </si>
  <si>
    <t>DP</t>
  </si>
  <si>
    <t>Despacho Programado</t>
  </si>
  <si>
    <t>DPR</t>
  </si>
  <si>
    <t>Generación del despacho programado (DPR=DP-RDP-AUT)</t>
  </si>
  <si>
    <t>E. Generada</t>
  </si>
  <si>
    <t>Generación de Energía reportada por HGS</t>
  </si>
  <si>
    <t>G. A. Aceitosas</t>
  </si>
  <si>
    <t>Generación de aguas aceitosas (Recolectado por carrotanques en el mes)</t>
  </si>
  <si>
    <t>G. Un. RGE</t>
  </si>
  <si>
    <r>
      <t>Generación por unidad de acuerdo a la generación reportada por CGM. 
(</t>
    </r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scheme val="minor"/>
      </rPr>
      <t>[Generación horaria/Unidades generando por hora]/Periodos Despachados)</t>
    </r>
  </si>
  <si>
    <t>GC</t>
  </si>
  <si>
    <t>Gases del Caribe</t>
  </si>
  <si>
    <t>GE</t>
  </si>
  <si>
    <t>Gestión Energía Consultores</t>
  </si>
  <si>
    <t>HGS</t>
  </si>
  <si>
    <t>Hyundai Global Service Colombia</t>
  </si>
  <si>
    <t>HR (GC/GE)</t>
  </si>
  <si>
    <t xml:space="preserve">Heat Rate calculado con el reporte de consumo de gas por GC y generación de energía por CGM </t>
  </si>
  <si>
    <t>HR HGS</t>
  </si>
  <si>
    <t>Heat Rate reportado por HGS</t>
  </si>
  <si>
    <t>R. Aceite</t>
  </si>
  <si>
    <t>Reposición o compra de Aceite</t>
  </si>
  <si>
    <t>R. DO Total</t>
  </si>
  <si>
    <t xml:space="preserve">Reposición o compra de Diésel </t>
  </si>
  <si>
    <t>R. HFO</t>
  </si>
  <si>
    <t>Reposición o compra de HFO</t>
  </si>
  <si>
    <t>RED</t>
  </si>
  <si>
    <t xml:space="preserve">Redespachos </t>
  </si>
  <si>
    <t>REP. G.E.</t>
  </si>
  <si>
    <t>Generación de Energía reportada por CGM</t>
  </si>
  <si>
    <t>REP. Gas GC - C. Gas</t>
  </si>
  <si>
    <t>Consumo de gas reportado por GC</t>
  </si>
  <si>
    <t>Consumo de Diésel Arranque</t>
  </si>
  <si>
    <t>Consumo de Diésel Generación</t>
  </si>
  <si>
    <t>Generación con combustible diésel</t>
  </si>
  <si>
    <t>XM</t>
  </si>
  <si>
    <t>Despacho Real por XM</t>
  </si>
  <si>
    <t>Total Running Hours (h)</t>
  </si>
  <si>
    <t>Monthly Running Hours (h)</t>
  </si>
  <si>
    <t xml:space="preserve">H1 </t>
  </si>
  <si>
    <t xml:space="preserve">H2 </t>
  </si>
  <si>
    <t xml:space="preserve">H3 </t>
  </si>
  <si>
    <t xml:space="preserve">H4 </t>
  </si>
  <si>
    <t xml:space="preserve">H5 </t>
  </si>
  <si>
    <t xml:space="preserve">H6 </t>
  </si>
  <si>
    <t xml:space="preserve">H7 </t>
  </si>
  <si>
    <t xml:space="preserve">H8 </t>
  </si>
  <si>
    <t xml:space="preserve">H9 </t>
  </si>
  <si>
    <t xml:space="preserve">H10 </t>
  </si>
  <si>
    <t>Motor1</t>
  </si>
  <si>
    <t>Motor2</t>
  </si>
  <si>
    <t>Motor3</t>
  </si>
  <si>
    <t>Motor4</t>
  </si>
  <si>
    <t>Motor5</t>
  </si>
  <si>
    <t>Motor6</t>
  </si>
  <si>
    <t>Motor7</t>
  </si>
  <si>
    <t>Motor8</t>
  </si>
  <si>
    <t>Motor9</t>
  </si>
  <si>
    <t>Motor10</t>
  </si>
  <si>
    <t>QUATERLY REPORT TERMONORTE POWER PLANT - Q1</t>
  </si>
  <si>
    <t>AVAILABILITY</t>
  </si>
  <si>
    <t>Engine #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</si>
  <si>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</si>
  <si>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</si>
  <si>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</si>
  <si>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</si>
  <si>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</si>
  <si>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</si>
  <si>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</si>
  <si>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</si>
  <si>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</si>
  <si>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#10</t>
  </si>
  <si>
    <t>Mean</t>
  </si>
  <si>
    <t>TRH</t>
  </si>
  <si>
    <t>Mean Running Hours (h)</t>
  </si>
  <si>
    <t>MRH</t>
  </si>
  <si>
    <t>MeanMonthly Running Hours (h)</t>
  </si>
  <si>
    <t>POWER GENERATION</t>
  </si>
  <si>
    <t>Power Generation (kWh)</t>
  </si>
  <si>
    <t>Restrictions Power Generation</t>
  </si>
  <si>
    <t>Merit Power Generation</t>
  </si>
  <si>
    <t>Total Power Generation</t>
  </si>
  <si>
    <t>Plant Load Factor</t>
  </si>
  <si>
    <t>Availability</t>
  </si>
  <si>
    <t>Power Generation (last year)</t>
  </si>
  <si>
    <t>kWh</t>
  </si>
  <si>
    <t>FUEL</t>
  </si>
  <si>
    <t>Power Generation by Fuel (kWh)</t>
  </si>
  <si>
    <t>Nat Gas</t>
  </si>
  <si>
    <t>Diesel</t>
  </si>
  <si>
    <t>Fuel Purchases</t>
  </si>
  <si>
    <t>Nat Gas Purchases (MBTU)</t>
  </si>
  <si>
    <t>Petromil Gas</t>
  </si>
  <si>
    <t>Sierra Energy</t>
  </si>
  <si>
    <t>Energy Transitions</t>
  </si>
  <si>
    <t>Diesel Consumption (m3)</t>
  </si>
  <si>
    <t>HFO Consumption (m3)</t>
  </si>
  <si>
    <t>Heat Rate (HHV)</t>
  </si>
  <si>
    <t>Nat Gas (BTU/kWh)*</t>
  </si>
  <si>
    <t>HFO (g/kWh)</t>
  </si>
  <si>
    <t>Diesel (g/kWh)</t>
  </si>
  <si>
    <t>* Calorific value 996.18 BTU/cft</t>
  </si>
  <si>
    <t>REVENUES</t>
  </si>
  <si>
    <t>Revenue (COP)</t>
  </si>
  <si>
    <t>Reliability Charge Revenues</t>
  </si>
  <si>
    <t>CERE</t>
  </si>
  <si>
    <t>Restrictions Revenues</t>
  </si>
  <si>
    <t>Start Stop Revenues</t>
  </si>
  <si>
    <t>Ideal Generation</t>
  </si>
  <si>
    <t>Total Revenues</t>
  </si>
  <si>
    <t>COST</t>
  </si>
  <si>
    <t>Variable Cost (COP)</t>
  </si>
  <si>
    <t>Natural Gas</t>
  </si>
  <si>
    <t>Fuel Oil</t>
  </si>
  <si>
    <t>O&amp;M yariable</t>
  </si>
  <si>
    <t>Lub Oil and Pilot Fuel</t>
  </si>
  <si>
    <t>Fazni, AGC, CND Regulatory cost</t>
  </si>
  <si>
    <t>Total Variable Cost</t>
  </si>
  <si>
    <t>Fix Costs (COP)</t>
  </si>
  <si>
    <t>Fuel Storage Contract</t>
  </si>
  <si>
    <t>Fix O&amp;M</t>
  </si>
  <si>
    <t>Other fix costs</t>
  </si>
  <si>
    <t>Total Fix Costs</t>
  </si>
  <si>
    <t>Total Cost</t>
  </si>
  <si>
    <t>Unit Cost (COP/kWh)</t>
  </si>
  <si>
    <t>QUATERLY REPORT TERMONORTE POWER PLANT - Q2</t>
  </si>
  <si>
    <t xml:space="preserve">#1 Stand-by </t>
  </si>
  <si>
    <t>#1 Run</t>
  </si>
  <si>
    <t>#1 Preventivo</t>
  </si>
  <si>
    <t>#1 Correctivo</t>
  </si>
  <si>
    <t xml:space="preserve">#1 Horas T. disponible </t>
  </si>
  <si>
    <t>#1 (%) Operativo</t>
  </si>
  <si>
    <t>#1 Disponibilidad Diaria (%)</t>
  </si>
  <si>
    <t>#1 Ene. G. (MWh)</t>
  </si>
  <si>
    <t xml:space="preserve">#2 Stand-by </t>
  </si>
  <si>
    <t>#2 Run</t>
  </si>
  <si>
    <t>#2 Preventivo</t>
  </si>
  <si>
    <t>#2 Correctivo</t>
  </si>
  <si>
    <t xml:space="preserve">#2 Horas T. disponible </t>
  </si>
  <si>
    <t>#2 (%) Operativo</t>
  </si>
  <si>
    <t>#2 Disponibilidad Diaria (%)</t>
  </si>
  <si>
    <t>#2 Ene. G. (MWh)</t>
  </si>
  <si>
    <t xml:space="preserve">#3 Stand-by </t>
  </si>
  <si>
    <t>#3 Run</t>
  </si>
  <si>
    <t>#3 Preventivo</t>
  </si>
  <si>
    <t>#3 Correctivo</t>
  </si>
  <si>
    <t xml:space="preserve">#3 Horas T. disponible </t>
  </si>
  <si>
    <t>#3 (%) Operativo</t>
  </si>
  <si>
    <t>#3 Disponibilidad Diaria (%)</t>
  </si>
  <si>
    <t>#3 Ene. G. (MWh)</t>
  </si>
  <si>
    <t xml:space="preserve">#4 Stand-by </t>
  </si>
  <si>
    <t>#4 Run</t>
  </si>
  <si>
    <t>#4 Preventivo</t>
  </si>
  <si>
    <t>#4 Correctivo</t>
  </si>
  <si>
    <t xml:space="preserve">#4 Horas T. disponible </t>
  </si>
  <si>
    <t>#4 (%) Operativo</t>
  </si>
  <si>
    <t>#4 Disponibilidad Diaria (%)</t>
  </si>
  <si>
    <t>#4 Ene. G. (MWh)</t>
  </si>
  <si>
    <t xml:space="preserve">#5 Stand-by </t>
  </si>
  <si>
    <t>#5 Run</t>
  </si>
  <si>
    <t>#5 Preventivo</t>
  </si>
  <si>
    <t>#5 Correctivo</t>
  </si>
  <si>
    <t xml:space="preserve">#5 Horas T. disponible </t>
  </si>
  <si>
    <t>#5 (%) Operativo</t>
  </si>
  <si>
    <t>#5 Disponibilidad Diaria (%)</t>
  </si>
  <si>
    <t>#5 Ene. G. (MWh)</t>
  </si>
  <si>
    <t xml:space="preserve">#6 Stand-by </t>
  </si>
  <si>
    <t>#6 Run</t>
  </si>
  <si>
    <t>#6 Preventivo</t>
  </si>
  <si>
    <t>#6 Correctivo</t>
  </si>
  <si>
    <t xml:space="preserve">#6 Horas T. disponible </t>
  </si>
  <si>
    <t>#6 (%) Operativo</t>
  </si>
  <si>
    <t>#6 Disponibilidad Diaria (%)</t>
  </si>
  <si>
    <t>#6 Ene. G. (MWh)</t>
  </si>
  <si>
    <t xml:space="preserve">#7 Stand-by </t>
  </si>
  <si>
    <t>#7 Run</t>
  </si>
  <si>
    <t>#7 Preventivo</t>
  </si>
  <si>
    <t>#7 Correctivo</t>
  </si>
  <si>
    <t xml:space="preserve">#7 Horas T. disponible </t>
  </si>
  <si>
    <t>#7 (%) Operativo</t>
  </si>
  <si>
    <t>#7 Disponibilidad Diaria (%)</t>
  </si>
  <si>
    <t>#7 Ene. G. (MWh)</t>
  </si>
  <si>
    <t xml:space="preserve">#8 Stand-by </t>
  </si>
  <si>
    <t>#8 Run</t>
  </si>
  <si>
    <t>#8 Preventivo</t>
  </si>
  <si>
    <t>#8 Correctivo</t>
  </si>
  <si>
    <t xml:space="preserve">#8 Horas T. disponible </t>
  </si>
  <si>
    <t>#8 (%) Operativo</t>
  </si>
  <si>
    <t>#8 Disponibilidad Diaria (%)</t>
  </si>
  <si>
    <t>#8 Ene. G. (MWh)</t>
  </si>
  <si>
    <t xml:space="preserve">#9 Stand-by </t>
  </si>
  <si>
    <t>#9 Run</t>
  </si>
  <si>
    <t>#9 Preventivo</t>
  </si>
  <si>
    <t>#9 Correctivo</t>
  </si>
  <si>
    <t xml:space="preserve">#9 Horas T. disponible </t>
  </si>
  <si>
    <t>#9 (%) Operativo</t>
  </si>
  <si>
    <t>#9 Disponibilidad Diaria (%)</t>
  </si>
  <si>
    <t>#9 Ene. G. (MWh)</t>
  </si>
  <si>
    <t xml:space="preserve">#10 Stand-by </t>
  </si>
  <si>
    <t>#10 Run</t>
  </si>
  <si>
    <t>#10 Preventivo</t>
  </si>
  <si>
    <t>#10 Correctivo</t>
  </si>
  <si>
    <t xml:space="preserve">#10 Horas T. disponible </t>
  </si>
  <si>
    <t>#10 (%) Operativo</t>
  </si>
  <si>
    <t>#10 Disponibilidad Diaria (%)</t>
  </si>
  <si>
    <t>#10 Ene. G. (MWh)</t>
  </si>
  <si>
    <t>Suma de #1 Ene. G. (MWh)</t>
  </si>
  <si>
    <t>Suma de #2 Ene. G. (MWh)</t>
  </si>
  <si>
    <t>Suma de #3 Ene. G. (MWh)</t>
  </si>
  <si>
    <t>Suma de #4 Ene. G. (MWh)</t>
  </si>
  <si>
    <t>Suma de #5 Ene. G. (MWh)</t>
  </si>
  <si>
    <t>Suma de #6 Ene. G. (MWh)</t>
  </si>
  <si>
    <t>Suma de #7 Ene. G. (MWh)</t>
  </si>
  <si>
    <t>Suma de #8 Ene. G. (MWh)</t>
  </si>
  <si>
    <t>Suma de #9 Ene. G. (MWh)</t>
  </si>
  <si>
    <t>Suma de #10 Ene. G. (MWh)</t>
  </si>
  <si>
    <t xml:space="preserve">Disponibilidad Unidades </t>
  </si>
  <si>
    <t>Disponibilidad (%)</t>
  </si>
  <si>
    <t xml:space="preserve">Disponibilidad SE %   </t>
  </si>
  <si>
    <t>Termocol 220 kV</t>
  </si>
  <si>
    <t>Termocol 44 kV</t>
  </si>
  <si>
    <t>Termonorte 44 kV</t>
  </si>
  <si>
    <t>Termonorte Generación 13,8 kV</t>
  </si>
  <si>
    <t>Línea de Transmisión 44 kV</t>
  </si>
  <si>
    <t>&lt;1/01/2023</t>
  </si>
  <si>
    <t>PO[h]</t>
  </si>
  <si>
    <t>Periodos operativos (despacho programado)</t>
  </si>
  <si>
    <t>P. NO. D.</t>
  </si>
  <si>
    <t>Periodos No Despachados</t>
  </si>
  <si>
    <t>Row Labels</t>
  </si>
  <si>
    <t>(All)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</si>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</sst>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-* #,##0\ _€_-;\-* #,##0\ _€_-;_-* &quot;-&quot;\ _€_-;_-@_-"/>
    <numFmt numFmtId="167" formatCode="_-* #,##0.00\ _€_-;\-* #,##0.00\ _€_-;_-* &quot;-&quot;??\ _€_-;_-@_-"/>
    <numFmt numFmtId="168" formatCode="0.0"/>
    <numFmt numFmtId="169" formatCode="#,##0.000"/>
    <numFmt numFmtId="170" formatCode="#,##0.00000"/>
    <numFmt numFmtId="171" formatCode="_-* #,##0\ _€_-;\-* #,##0\ _€_-;_-* &quot;-&quot;??\ _€_-;_-@_-"/>
    <numFmt numFmtId="172" formatCode="0,000\ &quot;MWh&quot;"/>
    <numFmt numFmtId="173" formatCode="mm/dd/yyyy"/>
    <numFmt numFmtId="174" formatCode="#.#0###"/>
    <numFmt numFmtId="175" formatCode="dd\-mm\-yy;@"/>
    <numFmt numFmtId="176" formatCode="[$-F800]dddd\,\ mmmm\ dd\,\ yyyy"/>
    <numFmt numFmtId="177" formatCode="[$-C0A]mmmmm;@"/>
    <numFmt numFmtId="178" formatCode="#,##0_ ;\-#,##0\ "/>
    <numFmt numFmtId="179" formatCode="##,#00"/>
    <numFmt numFmtId="180" formatCode="0\ &quot;h&quot;"/>
    <numFmt numFmtId="181" formatCode="0.000"/>
    <numFmt numFmtId="182" formatCode="_-* #,##0.00&quot; m3&quot;_-;\-* #,##0.00&quot; m3&quot;_-;_-* &quot;-&quot;_-;_-@_-"/>
    <numFmt numFmtId="183" formatCode="#,##0.0000000"/>
    <numFmt numFmtId="184" formatCode="[$-C0A]d\-mmm;@"/>
    <numFmt numFmtId="185" formatCode="#,##0.0"/>
    <numFmt numFmtId="186" formatCode="_-* #,##0_-;\-* #,##0_-;_-* &quot;-&quot;??_-;_-@_-"/>
    <numFmt numFmtId="187" formatCode="000\ &quot;Horas&quot;"/>
    <numFmt numFmtId="188" formatCode="0.0E+00"/>
    <numFmt numFmtId="189" formatCode="#,##0.000000"/>
    <numFmt numFmtId="190" formatCode="0.000000"/>
    <numFmt numFmtId="191" formatCode="[$-C0A]d\-mmm\-yy;@"/>
    <numFmt numFmtId="192" formatCode="dd/mm/yyyy"/>
    <numFmt numFmtId="193" formatCode="_(&quot;$&quot;* #,##0_);_(&quot;$&quot;* \(#,##0\);_(&quot;$&quot;* &quot;-&quot;??_);_(@_)"/>
    <numFmt numFmtId="194" formatCode="_-&quot;$&quot;* #,##0_-;\-&quot;$&quot;* #,##0_-;_-&quot;$&quot;* &quot;-&quot;_-;_-@_-"/>
    <numFmt numFmtId="195" formatCode="#,##0;\(#,##0\);&quot;--&quot;"/>
    <numFmt numFmtId="196" formatCode="_-* #,##0&quot; m3&quot;_-;\-* #,##0&quot; m3&quot;_-;_-* &quot;-&quot;_-;_-@_-"/>
    <numFmt numFmtId="197" formatCode="_-* #,##0.0\ _€_-;\-* #,##0.0\ _€_-;_-* &quot;-&quot;\ _€_-;_-@_-"/>
  </numFmts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b/>
      <sz val="10"/>
      <color theme="0"/>
      <name val="Calibri"/>
      <family val="2"/>
      <scheme val="minor"/>
    </font>
    <font>
      <sz val="8.25"/>
      <color rgb="FF000000"/>
      <name val="Tahoma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color rgb="FF2C2C2C"/>
      <name val="Helvetica"/>
      <family val="2"/>
    </font>
    <font>
      <sz val="10"/>
      <color indexed="8"/>
      <name val="Arial"/>
      <family val="2"/>
    </font>
    <font>
      <b/>
      <sz val="11"/>
      <color theme="1"/>
      <name val="Helvetica"/>
      <family val="2"/>
    </font>
    <font>
      <b/>
      <sz val="10"/>
      <color theme="0"/>
      <name val="Helvetica"/>
      <family val="2"/>
    </font>
    <font>
      <sz val="11"/>
      <color theme="1"/>
      <name val="Helvetica"/>
      <family val="2"/>
    </font>
    <font>
      <sz val="10"/>
      <color theme="1"/>
      <name val="Helvetica"/>
      <family val="2"/>
    </font>
    <font>
      <sz val="9"/>
      <color theme="1"/>
      <name val="Helvetica"/>
      <family val="2"/>
    </font>
    <font>
      <sz val="11"/>
      <color theme="1"/>
      <name val="Helvetica"/>
      <family val="2"/>
    </font>
    <font>
      <b/>
      <sz val="10"/>
      <color theme="1"/>
      <name val="Helvetica"/>
      <family val="2"/>
    </font>
    <font>
      <b/>
      <sz val="10"/>
      <color rgb="FF2C2C2C"/>
      <name val="Helvetic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0"/>
      <name val="Helvetica"/>
      <family val="2"/>
    </font>
    <font>
      <sz val="9"/>
      <color rgb="FF000000"/>
      <name val="Calibri"/>
      <family val="2"/>
      <scheme val="minor"/>
    </font>
    <font>
      <sz val="11"/>
      <color rgb="FF000000"/>
      <name val="Calibri"/>
      <family val="2"/>
      <charset val="204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Helvetica"/>
      <family val="2"/>
    </font>
    <font>
      <sz val="10"/>
      <color rgb="FF000000"/>
      <name val="Helvetica"/>
      <family val="2"/>
    </font>
    <font>
      <b/>
      <sz val="9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9"/>
      <color rgb="FF000000"/>
      <name val="Arial"/>
      <family val="2"/>
    </font>
    <font>
      <sz val="8"/>
      <name val="Arial Narrow"/>
      <family val="2"/>
    </font>
    <font>
      <b/>
      <sz val="10"/>
      <color rgb="FF000000"/>
      <name val="Helvetica"/>
      <family val="2"/>
    </font>
    <font>
      <b/>
      <sz val="9"/>
      <color theme="1"/>
      <name val="Helvetica"/>
      <family val="2"/>
    </font>
    <font>
      <b/>
      <sz val="11"/>
      <color theme="1"/>
      <name val="Helvetica"/>
      <family val="2"/>
    </font>
    <font>
      <b/>
      <sz val="11"/>
      <color rgb="FF00206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b/>
      <sz val="11"/>
      <color theme="0"/>
      <name val="Helvetica"/>
      <family val="2"/>
    </font>
    <font>
      <b/>
      <sz val="8.5"/>
      <color theme="1"/>
      <name val="Helvetica"/>
      <family val="2"/>
    </font>
    <font>
      <sz val="12"/>
      <color rgb="FF202124"/>
      <name val="Arial"/>
      <family val="2"/>
    </font>
    <font>
      <b/>
      <sz val="11"/>
      <color rgb="FF000000"/>
      <name val="Calibri"/>
      <family val="2"/>
      <scheme val="minor"/>
    </font>
  </fonts>
  <fills count="7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theme="4" tint="0.79998168889431442"/>
      </patternFill>
    </fill>
    <fill>
      <patternFill patternType="solid">
        <fgColor theme="8"/>
        <bgColor theme="8"/>
      </patternFill>
    </fill>
    <fill>
      <patternFill patternType="solid">
        <fgColor rgb="FFF0F0F0"/>
      </patternFill>
    </fill>
    <fill>
      <patternFill patternType="solid">
        <fgColor rgb="FFFFFFFF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FF99"/>
        <bgColor indexed="64"/>
      </patternFill>
    </fill>
    <fill>
      <patternFill patternType="solid">
        <fgColor rgb="FF00FF99"/>
        <bgColor theme="0" tint="-0.14999847407452621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8" tint="-0.49998474074526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BE6FE"/>
        <bgColor indexed="64"/>
      </patternFill>
    </fill>
    <fill>
      <patternFill patternType="solid">
        <fgColor rgb="FFDEFECE"/>
        <bgColor indexed="64"/>
      </patternFill>
    </fill>
    <fill>
      <patternFill patternType="solid">
        <fgColor rgb="FFFEE2F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8"/>
      </left>
      <right/>
      <top/>
      <bottom style="thin">
        <color theme="8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/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/>
      <top style="thin">
        <color theme="4" tint="-0.249977111117893"/>
      </top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4" tint="-0.249977111117893"/>
      </left>
      <right/>
      <top/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77111117893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-0.249977111117893"/>
      </bottom>
      <diagonal/>
    </border>
    <border>
      <left/>
      <right/>
      <top style="thin">
        <color theme="4"/>
      </top>
      <bottom style="thin">
        <color theme="4" tint="-0.24997711111789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58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1" fontId="14" fillId="0" borderId="0" applyFont="0" applyFill="0" applyBorder="0" applyAlignment="0" applyProtection="0">
      <alignment vertical="center"/>
    </xf>
    <xf numFmtId="0" fontId="25" fillId="0" borderId="0">
      <alignment vertical="top"/>
    </xf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0" borderId="61" applyNumberFormat="0" applyFill="0" applyAlignment="0" applyProtection="0"/>
    <xf numFmtId="0" fontId="35" fillId="0" borderId="62" applyNumberFormat="0" applyFill="0" applyAlignment="0" applyProtection="0"/>
    <xf numFmtId="0" fontId="36" fillId="0" borderId="63" applyNumberFormat="0" applyFill="0" applyAlignment="0" applyProtection="0"/>
    <xf numFmtId="0" fontId="36" fillId="0" borderId="0" applyNumberFormat="0" applyFill="0" applyBorder="0" applyAlignment="0" applyProtection="0"/>
    <xf numFmtId="0" fontId="37" fillId="30" borderId="0" applyNumberFormat="0" applyBorder="0" applyAlignment="0" applyProtection="0"/>
    <xf numFmtId="0" fontId="38" fillId="31" borderId="0" applyNumberFormat="0" applyBorder="0" applyAlignment="0" applyProtection="0"/>
    <xf numFmtId="0" fontId="39" fillId="32" borderId="0" applyNumberFormat="0" applyBorder="0" applyAlignment="0" applyProtection="0"/>
    <xf numFmtId="0" fontId="40" fillId="33" borderId="64" applyNumberFormat="0" applyAlignment="0" applyProtection="0"/>
    <xf numFmtId="0" fontId="41" fillId="34" borderId="65" applyNumberFormat="0" applyAlignment="0" applyProtection="0"/>
    <xf numFmtId="0" fontId="42" fillId="34" borderId="64" applyNumberFormat="0" applyAlignment="0" applyProtection="0"/>
    <xf numFmtId="0" fontId="43" fillId="0" borderId="66" applyNumberFormat="0" applyFill="0" applyAlignment="0" applyProtection="0"/>
    <xf numFmtId="0" fontId="13" fillId="35" borderId="67" applyNumberFormat="0" applyAlignment="0" applyProtection="0"/>
    <xf numFmtId="0" fontId="17" fillId="0" borderId="0" applyNumberFormat="0" applyFill="0" applyBorder="0" applyAlignment="0" applyProtection="0"/>
    <xf numFmtId="0" fontId="1" fillId="36" borderId="68" applyNumberFormat="0" applyFont="0" applyAlignment="0" applyProtection="0"/>
    <xf numFmtId="0" fontId="44" fillId="0" borderId="0" applyNumberFormat="0" applyFill="0" applyBorder="0" applyAlignment="0" applyProtection="0"/>
    <xf numFmtId="0" fontId="2" fillId="0" borderId="69" applyNumberFormat="0" applyFill="0" applyAlignment="0" applyProtection="0"/>
    <xf numFmtId="0" fontId="2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1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22" fillId="60" borderId="0" applyNumberFormat="0" applyBorder="0" applyAlignment="0" applyProtection="0"/>
    <xf numFmtId="0" fontId="45" fillId="0" borderId="0" applyNumberFormat="0" applyFill="0" applyBorder="0" applyAlignment="0" applyProtection="0"/>
    <xf numFmtId="41" fontId="1" fillId="0" borderId="0" applyFont="0" applyFill="0" applyBorder="0" applyAlignment="0" applyProtection="0"/>
    <xf numFmtId="0" fontId="48" fillId="0" borderId="0"/>
    <xf numFmtId="0" fontId="1" fillId="0" borderId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42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5" fontId="57" fillId="0" borderId="56" applyFill="0" applyBorder="0" applyProtection="0"/>
    <xf numFmtId="44" fontId="1" fillId="0" borderId="0" applyFont="0" applyFill="0" applyBorder="0" applyAlignment="0" applyProtection="0"/>
  </cellStyleXfs>
  <cellXfs count="502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166" fontId="3" fillId="0" borderId="0" xfId="1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4" fontId="3" fillId="0" borderId="1" xfId="1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170" fontId="3" fillId="0" borderId="1" xfId="0" applyNumberFormat="1" applyFont="1" applyBorder="1" applyAlignment="1">
      <alignment horizontal="center"/>
    </xf>
    <xf numFmtId="0" fontId="0" fillId="0" borderId="1" xfId="0" applyBorder="1"/>
    <xf numFmtId="0" fontId="12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2" fontId="12" fillId="0" borderId="1" xfId="0" applyNumberFormat="1" applyFont="1" applyBorder="1" applyAlignment="1">
      <alignment horizontal="center" vertical="center" wrapText="1"/>
    </xf>
    <xf numFmtId="4" fontId="0" fillId="0" borderId="0" xfId="0" applyNumberFormat="1"/>
    <xf numFmtId="0" fontId="4" fillId="0" borderId="4" xfId="0" applyFont="1" applyBorder="1" applyAlignment="1">
      <alignment horizontal="center" vertical="center" wrapText="1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  <xf numFmtId="0" fontId="0" fillId="0" borderId="0" xfId="0" pivotButton="1" applyAlignment="1">
      <alignment wrapText="1"/>
    </xf>
    <xf numFmtId="9" fontId="0" fillId="0" borderId="1" xfId="2" applyFont="1" applyBorder="1" applyAlignment="1">
      <alignment horizontal="center" vertical="center"/>
    </xf>
    <xf numFmtId="0" fontId="13" fillId="0" borderId="0" xfId="0" applyFont="1"/>
    <xf numFmtId="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 indent="1"/>
    </xf>
    <xf numFmtId="172" fontId="2" fillId="6" borderId="12" xfId="0" applyNumberFormat="1" applyFont="1" applyFill="1" applyBorder="1"/>
    <xf numFmtId="9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49" fontId="16" fillId="9" borderId="13" xfId="0" applyNumberFormat="1" applyFont="1" applyFill="1" applyBorder="1" applyAlignment="1">
      <alignment horizontal="left" vertical="center" readingOrder="1"/>
    </xf>
    <xf numFmtId="173" fontId="16" fillId="9" borderId="13" xfId="0" applyNumberFormat="1" applyFont="1" applyFill="1" applyBorder="1" applyAlignment="1">
      <alignment horizontal="left" vertical="center" readingOrder="1"/>
    </xf>
    <xf numFmtId="174" fontId="16" fillId="10" borderId="13" xfId="0" applyNumberFormat="1" applyFont="1" applyFill="1" applyBorder="1" applyAlignment="1">
      <alignment horizontal="right" vertical="center" readingOrder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73" fontId="0" fillId="0" borderId="14" xfId="0" applyNumberFormat="1" applyBorder="1"/>
    <xf numFmtId="173" fontId="0" fillId="0" borderId="18" xfId="0" applyNumberFormat="1" applyBorder="1"/>
    <xf numFmtId="3" fontId="0" fillId="0" borderId="0" xfId="0" applyNumberFormat="1"/>
    <xf numFmtId="173" fontId="0" fillId="0" borderId="19" xfId="0" applyNumberFormat="1" applyBorder="1"/>
    <xf numFmtId="0" fontId="0" fillId="12" borderId="0" xfId="0" applyFill="1" applyAlignment="1">
      <alignment horizontal="left"/>
    </xf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/>
    <xf numFmtId="0" fontId="0" fillId="0" borderId="14" xfId="0" pivotButton="1" applyBorder="1"/>
    <xf numFmtId="4" fontId="0" fillId="0" borderId="21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/>
    </xf>
    <xf numFmtId="0" fontId="0" fillId="15" borderId="22" xfId="0" applyFill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4" fontId="17" fillId="0" borderId="22" xfId="0" applyNumberFormat="1" applyFont="1" applyBorder="1" applyAlignment="1">
      <alignment horizontal="center" vertical="center"/>
    </xf>
    <xf numFmtId="10" fontId="17" fillId="0" borderId="22" xfId="0" applyNumberFormat="1" applyFont="1" applyBorder="1" applyAlignment="1">
      <alignment horizontal="center" vertical="center"/>
    </xf>
    <xf numFmtId="0" fontId="0" fillId="0" borderId="24" xfId="0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0" fontId="4" fillId="0" borderId="27" xfId="0" applyFont="1" applyBorder="1" applyAlignment="1">
      <alignment horizontal="center" vertical="center" wrapText="1"/>
    </xf>
    <xf numFmtId="4" fontId="3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2" fillId="0" borderId="28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center" vertical="center" wrapText="1"/>
    </xf>
    <xf numFmtId="0" fontId="20" fillId="7" borderId="6" xfId="0" applyFont="1" applyFill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/>
    </xf>
    <xf numFmtId="171" fontId="19" fillId="0" borderId="8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171" fontId="19" fillId="0" borderId="11" xfId="0" applyNumberFormat="1" applyFont="1" applyBorder="1" applyAlignment="1">
      <alignment horizontal="center" vertical="center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3" fontId="0" fillId="0" borderId="0" xfId="0" applyNumberFormat="1" applyAlignment="1">
      <alignment vertical="center" wrapText="1"/>
    </xf>
    <xf numFmtId="14" fontId="4" fillId="0" borderId="9" xfId="0" applyNumberFormat="1" applyFont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2" applyNumberFormat="1" applyFont="1"/>
    <xf numFmtId="10" fontId="0" fillId="0" borderId="0" xfId="0" applyNumberFormat="1"/>
    <xf numFmtId="9" fontId="0" fillId="0" borderId="0" xfId="2" applyFont="1"/>
    <xf numFmtId="176" fontId="0" fillId="0" borderId="0" xfId="0" applyNumberFormat="1"/>
    <xf numFmtId="177" fontId="20" fillId="7" borderId="8" xfId="0" applyNumberFormat="1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/>
    </xf>
    <xf numFmtId="4" fontId="0" fillId="0" borderId="0" xfId="0" applyNumberFormat="1" applyAlignment="1">
      <alignment horizontal="left"/>
    </xf>
    <xf numFmtId="4" fontId="0" fillId="0" borderId="0" xfId="0" applyNumberFormat="1" applyAlignment="1">
      <alignment horizontal="left" wrapText="1"/>
    </xf>
    <xf numFmtId="178" fontId="3" fillId="0" borderId="32" xfId="0" applyNumberFormat="1" applyFont="1" applyBorder="1" applyAlignment="1">
      <alignment horizontal="center" vertical="center"/>
    </xf>
    <xf numFmtId="0" fontId="4" fillId="15" borderId="10" xfId="0" applyFont="1" applyFill="1" applyBorder="1" applyAlignment="1">
      <alignment horizontal="center" vertical="center" wrapText="1"/>
    </xf>
    <xf numFmtId="3" fontId="6" fillId="0" borderId="0" xfId="0" applyNumberFormat="1" applyFont="1" applyAlignment="1">
      <alignment horizontal="center" vertical="center"/>
    </xf>
    <xf numFmtId="179" fontId="20" fillId="21" borderId="0" xfId="0" applyNumberFormat="1" applyFont="1" applyFill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3" fontId="3" fillId="0" borderId="0" xfId="1" applyNumberFormat="1" applyFon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0" fontId="20" fillId="8" borderId="34" xfId="0" applyFont="1" applyFill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179" fontId="20" fillId="21" borderId="31" xfId="0" applyNumberFormat="1" applyFont="1" applyFill="1" applyBorder="1" applyAlignment="1">
      <alignment horizontal="center" vertical="center" wrapText="1"/>
    </xf>
    <xf numFmtId="4" fontId="6" fillId="0" borderId="31" xfId="0" applyNumberFormat="1" applyFont="1" applyBorder="1" applyAlignment="1">
      <alignment horizontal="center" vertical="center"/>
    </xf>
    <xf numFmtId="179" fontId="20" fillId="21" borderId="36" xfId="0" applyNumberFormat="1" applyFont="1" applyFill="1" applyBorder="1" applyAlignment="1">
      <alignment horizontal="center" vertical="center" wrapText="1"/>
    </xf>
    <xf numFmtId="3" fontId="6" fillId="0" borderId="36" xfId="0" applyNumberFormat="1" applyFont="1" applyBorder="1" applyAlignment="1">
      <alignment horizontal="center" vertical="center"/>
    </xf>
    <xf numFmtId="179" fontId="20" fillId="21" borderId="37" xfId="0" applyNumberFormat="1" applyFont="1" applyFill="1" applyBorder="1" applyAlignment="1">
      <alignment horizontal="center" vertical="center" wrapText="1"/>
    </xf>
    <xf numFmtId="3" fontId="6" fillId="0" borderId="37" xfId="0" applyNumberFormat="1" applyFont="1" applyBorder="1" applyAlignment="1">
      <alignment horizontal="center" vertical="center"/>
    </xf>
    <xf numFmtId="0" fontId="22" fillId="0" borderId="0" xfId="0" applyFont="1"/>
    <xf numFmtId="0" fontId="19" fillId="0" borderId="38" xfId="0" applyFont="1" applyBorder="1" applyAlignment="1">
      <alignment horizontal="center" vertical="center"/>
    </xf>
    <xf numFmtId="3" fontId="20" fillId="21" borderId="1" xfId="0" applyNumberFormat="1" applyFont="1" applyFill="1" applyBorder="1" applyAlignment="1">
      <alignment horizontal="center" vertical="center"/>
    </xf>
    <xf numFmtId="0" fontId="20" fillId="21" borderId="1" xfId="0" applyFont="1" applyFill="1" applyBorder="1" applyAlignment="1">
      <alignment horizontal="center" vertical="center" wrapText="1"/>
    </xf>
    <xf numFmtId="179" fontId="20" fillId="21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178" fontId="6" fillId="0" borderId="1" xfId="0" applyNumberFormat="1" applyFont="1" applyBorder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 wrapText="1"/>
    </xf>
    <xf numFmtId="178" fontId="3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 wrapText="1"/>
    </xf>
    <xf numFmtId="4" fontId="3" fillId="0" borderId="0" xfId="1" applyNumberFormat="1" applyFont="1" applyBorder="1" applyAlignment="1">
      <alignment horizontal="center" vertical="center"/>
    </xf>
    <xf numFmtId="0" fontId="13" fillId="2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4" fontId="6" fillId="0" borderId="41" xfId="0" applyNumberFormat="1" applyFont="1" applyBorder="1" applyAlignment="1">
      <alignment horizontal="center" vertical="center"/>
    </xf>
    <xf numFmtId="169" fontId="6" fillId="0" borderId="31" xfId="0" applyNumberFormat="1" applyFont="1" applyBorder="1" applyAlignment="1">
      <alignment horizontal="center" vertical="center"/>
    </xf>
    <xf numFmtId="0" fontId="23" fillId="0" borderId="0" xfId="0" applyFont="1"/>
    <xf numFmtId="0" fontId="3" fillId="0" borderId="0" xfId="0" applyFont="1"/>
    <xf numFmtId="3" fontId="0" fillId="0" borderId="22" xfId="0" applyNumberFormat="1" applyBorder="1" applyAlignment="1">
      <alignment horizontal="center" vertical="center" wrapText="1"/>
    </xf>
    <xf numFmtId="4" fontId="17" fillId="0" borderId="22" xfId="0" applyNumberFormat="1" applyFont="1" applyBorder="1" applyAlignment="1">
      <alignment horizontal="center" vertical="center" wrapText="1"/>
    </xf>
    <xf numFmtId="0" fontId="2" fillId="6" borderId="30" xfId="0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vertical="center"/>
    </xf>
    <xf numFmtId="4" fontId="3" fillId="0" borderId="4" xfId="1" applyNumberFormat="1" applyFont="1" applyFill="1" applyBorder="1" applyAlignment="1">
      <alignment horizontal="center" vertical="center"/>
    </xf>
    <xf numFmtId="3" fontId="3" fillId="0" borderId="0" xfId="3" applyNumberFormat="1" applyFont="1" applyAlignment="1">
      <alignment horizontal="center"/>
    </xf>
    <xf numFmtId="41" fontId="24" fillId="0" borderId="0" xfId="0" applyNumberFormat="1" applyFont="1"/>
    <xf numFmtId="171" fontId="3" fillId="0" borderId="0" xfId="0" applyNumberFormat="1" applyFont="1" applyAlignment="1">
      <alignment horizontal="center"/>
    </xf>
    <xf numFmtId="182" fontId="24" fillId="0" borderId="0" xfId="0" applyNumberFormat="1" applyFont="1"/>
    <xf numFmtId="0" fontId="3" fillId="0" borderId="0" xfId="0" applyFont="1" applyAlignment="1">
      <alignment horizontal="right"/>
    </xf>
    <xf numFmtId="169" fontId="3" fillId="0" borderId="0" xfId="3" applyNumberFormat="1" applyFont="1" applyAlignment="1">
      <alignment horizontal="center"/>
    </xf>
    <xf numFmtId="169" fontId="0" fillId="0" borderId="0" xfId="0" applyNumberFormat="1"/>
    <xf numFmtId="183" fontId="0" fillId="0" borderId="0" xfId="0" applyNumberFormat="1"/>
    <xf numFmtId="171" fontId="0" fillId="0" borderId="0" xfId="3" applyNumberFormat="1" applyFont="1"/>
    <xf numFmtId="174" fontId="16" fillId="10" borderId="0" xfId="0" applyNumberFormat="1" applyFont="1" applyFill="1" applyAlignment="1">
      <alignment horizontal="right" vertical="center" readingOrder="1"/>
    </xf>
    <xf numFmtId="0" fontId="4" fillId="15" borderId="27" xfId="0" applyFont="1" applyFill="1" applyBorder="1" applyAlignment="1">
      <alignment horizontal="center" vertical="center" wrapText="1"/>
    </xf>
    <xf numFmtId="4" fontId="3" fillId="0" borderId="32" xfId="0" applyNumberFormat="1" applyFont="1" applyBorder="1" applyAlignment="1">
      <alignment horizontal="center" vertical="center"/>
    </xf>
    <xf numFmtId="0" fontId="15" fillId="22" borderId="0" xfId="0" applyFont="1" applyFill="1" applyAlignment="1">
      <alignment horizontal="center" vertical="center"/>
    </xf>
    <xf numFmtId="184" fontId="0" fillId="0" borderId="0" xfId="0" applyNumberFormat="1" applyAlignment="1">
      <alignment horizontal="left"/>
    </xf>
    <xf numFmtId="0" fontId="4" fillId="20" borderId="1" xfId="0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25" borderId="1" xfId="0" applyFill="1" applyBorder="1" applyAlignment="1">
      <alignment horizontal="center" vertical="center" wrapText="1"/>
    </xf>
    <xf numFmtId="0" fontId="4" fillId="24" borderId="1" xfId="0" applyFont="1" applyFill="1" applyBorder="1" applyAlignment="1">
      <alignment horizontal="center" vertical="center" wrapText="1"/>
    </xf>
    <xf numFmtId="4" fontId="0" fillId="0" borderId="1" xfId="0" applyNumberFormat="1" applyBorder="1" applyAlignment="1">
      <alignment horizontal="left"/>
    </xf>
    <xf numFmtId="178" fontId="3" fillId="0" borderId="1" xfId="0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left" wrapText="1"/>
    </xf>
    <xf numFmtId="3" fontId="20" fillId="21" borderId="0" xfId="0" applyNumberFormat="1" applyFont="1" applyFill="1" applyAlignment="1">
      <alignment vertical="center"/>
    </xf>
    <xf numFmtId="179" fontId="20" fillId="27" borderId="50" xfId="0" applyNumberFormat="1" applyFont="1" applyFill="1" applyBorder="1" applyAlignment="1">
      <alignment horizontal="center" vertical="center" wrapText="1"/>
    </xf>
    <xf numFmtId="179" fontId="20" fillId="27" borderId="51" xfId="0" applyNumberFormat="1" applyFont="1" applyFill="1" applyBorder="1" applyAlignment="1">
      <alignment horizontal="center" vertical="center" wrapText="1"/>
    </xf>
    <xf numFmtId="3" fontId="6" fillId="0" borderId="50" xfId="0" applyNumberFormat="1" applyFont="1" applyBorder="1" applyAlignment="1">
      <alignment horizontal="center" vertical="center"/>
    </xf>
    <xf numFmtId="3" fontId="6" fillId="0" borderId="5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/>
    </xf>
    <xf numFmtId="167" fontId="3" fillId="0" borderId="0" xfId="0" applyNumberFormat="1" applyFont="1"/>
    <xf numFmtId="4" fontId="3" fillId="0" borderId="0" xfId="0" applyNumberFormat="1" applyFont="1"/>
    <xf numFmtId="4" fontId="3" fillId="0" borderId="4" xfId="1" applyNumberFormat="1" applyFont="1" applyBorder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37" fontId="19" fillId="0" borderId="8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3" fillId="0" borderId="0" xfId="0" applyFont="1" applyAlignment="1">
      <alignment vertical="center"/>
    </xf>
    <xf numFmtId="0" fontId="28" fillId="0" borderId="0" xfId="0" applyFont="1"/>
    <xf numFmtId="0" fontId="28" fillId="0" borderId="56" xfId="0" applyFont="1" applyBorder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56" xfId="0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horizontal="center" vertical="center"/>
    </xf>
    <xf numFmtId="0" fontId="32" fillId="0" borderId="29" xfId="0" applyFont="1" applyBorder="1" applyAlignment="1">
      <alignment horizontal="center" vertical="center" wrapText="1"/>
    </xf>
    <xf numFmtId="1" fontId="33" fillId="0" borderId="0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/>
    <xf numFmtId="0" fontId="32" fillId="0" borderId="56" xfId="0" applyFont="1" applyBorder="1" applyAlignment="1">
      <alignment wrapText="1"/>
    </xf>
    <xf numFmtId="0" fontId="32" fillId="0" borderId="29" xfId="0" applyFont="1" applyBorder="1" applyAlignment="1">
      <alignment wrapText="1"/>
    </xf>
    <xf numFmtId="17" fontId="27" fillId="14" borderId="22" xfId="0" applyNumberFormat="1" applyFont="1" applyFill="1" applyBorder="1" applyAlignment="1">
      <alignment horizontal="center" vertical="center"/>
    </xf>
    <xf numFmtId="1" fontId="33" fillId="0" borderId="58" xfId="2" applyNumberFormat="1" applyFont="1" applyFill="1" applyBorder="1" applyAlignment="1">
      <alignment horizontal="center" vertical="center"/>
    </xf>
    <xf numFmtId="0" fontId="2" fillId="0" borderId="30" xfId="0" applyFont="1" applyBorder="1"/>
    <xf numFmtId="187" fontId="0" fillId="0" borderId="0" xfId="0" applyNumberFormat="1" applyAlignment="1">
      <alignment horizontal="center" vertical="center"/>
    </xf>
    <xf numFmtId="10" fontId="33" fillId="0" borderId="29" xfId="2" applyNumberFormat="1" applyFont="1" applyFill="1" applyBorder="1" applyAlignment="1">
      <alignment horizontal="center" vertical="center"/>
    </xf>
    <xf numFmtId="188" fontId="0" fillId="0" borderId="0" xfId="0" applyNumberFormat="1"/>
    <xf numFmtId="4" fontId="3" fillId="28" borderId="1" xfId="1" applyNumberFormat="1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/>
    </xf>
    <xf numFmtId="0" fontId="13" fillId="25" borderId="1" xfId="0" applyFont="1" applyFill="1" applyBorder="1" applyAlignment="1">
      <alignment horizontal="center" vertical="center" wrapText="1"/>
    </xf>
    <xf numFmtId="2" fontId="0" fillId="0" borderId="0" xfId="0" applyNumberFormat="1"/>
    <xf numFmtId="0" fontId="12" fillId="28" borderId="1" xfId="0" applyFont="1" applyFill="1" applyBorder="1" applyAlignment="1">
      <alignment horizontal="center"/>
    </xf>
    <xf numFmtId="0" fontId="13" fillId="25" borderId="0" xfId="0" applyFont="1" applyFill="1" applyAlignment="1">
      <alignment horizontal="center" vertical="center" wrapText="1"/>
    </xf>
    <xf numFmtId="2" fontId="3" fillId="0" borderId="4" xfId="1" applyNumberFormat="1" applyFont="1" applyBorder="1" applyAlignment="1">
      <alignment horizontal="center" vertical="center"/>
    </xf>
    <xf numFmtId="0" fontId="0" fillId="29" borderId="22" xfId="0" applyFill="1" applyBorder="1" applyAlignment="1">
      <alignment horizontal="center" vertical="center" wrapText="1"/>
    </xf>
    <xf numFmtId="3" fontId="0" fillId="28" borderId="22" xfId="0" applyNumberFormat="1" applyFill="1" applyBorder="1" applyAlignment="1">
      <alignment horizontal="center" vertical="center" wrapText="1"/>
    </xf>
    <xf numFmtId="171" fontId="3" fillId="0" borderId="1" xfId="0" applyNumberFormat="1" applyFont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190" fontId="0" fillId="0" borderId="0" xfId="0" applyNumberFormat="1" applyAlignment="1">
      <alignment horizontal="center" vertical="center"/>
    </xf>
    <xf numFmtId="189" fontId="2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0" fontId="3" fillId="0" borderId="1" xfId="2" applyNumberFormat="1" applyFont="1" applyBorder="1" applyAlignment="1">
      <alignment horizontal="center"/>
    </xf>
    <xf numFmtId="9" fontId="3" fillId="0" borderId="0" xfId="2" applyFont="1" applyBorder="1" applyAlignment="1">
      <alignment horizontal="center" vertical="center"/>
    </xf>
    <xf numFmtId="4" fontId="3" fillId="28" borderId="0" xfId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3" fillId="0" borderId="1" xfId="1" applyNumberFormat="1" applyFont="1" applyFill="1" applyBorder="1" applyAlignment="1">
      <alignment horizontal="center" vertical="center"/>
    </xf>
    <xf numFmtId="2" fontId="3" fillId="0" borderId="1" xfId="1" applyNumberFormat="1" applyFont="1" applyFill="1" applyBorder="1" applyAlignment="1">
      <alignment horizontal="center" vertical="center"/>
    </xf>
    <xf numFmtId="3" fontId="0" fillId="0" borderId="1" xfId="0" applyNumberFormat="1" applyBorder="1"/>
    <xf numFmtId="1" fontId="0" fillId="0" borderId="0" xfId="0" applyNumberFormat="1"/>
    <xf numFmtId="1" fontId="0" fillId="0" borderId="1" xfId="0" applyNumberFormat="1" applyBorder="1"/>
    <xf numFmtId="3" fontId="3" fillId="0" borderId="0" xfId="3" applyNumberFormat="1" applyFont="1" applyFill="1" applyAlignment="1">
      <alignment horizontal="center"/>
    </xf>
    <xf numFmtId="3" fontId="3" fillId="0" borderId="0" xfId="3" applyNumberFormat="1" applyFont="1" applyBorder="1" applyAlignment="1">
      <alignment horizontal="center"/>
    </xf>
    <xf numFmtId="191" fontId="3" fillId="0" borderId="0" xfId="0" applyNumberFormat="1" applyFont="1" applyAlignment="1">
      <alignment horizontal="center"/>
    </xf>
    <xf numFmtId="167" fontId="0" fillId="0" borderId="0" xfId="3" applyFont="1" applyAlignment="1">
      <alignment horizontal="center" vertical="center"/>
    </xf>
    <xf numFmtId="171" fontId="0" fillId="0" borderId="0" xfId="3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47" fillId="0" borderId="0" xfId="0" applyFont="1" applyAlignment="1">
      <alignment horizontal="left" vertical="center"/>
    </xf>
    <xf numFmtId="0" fontId="47" fillId="0" borderId="0" xfId="0" applyFont="1" applyAlignment="1">
      <alignment horizontal="center"/>
    </xf>
    <xf numFmtId="0" fontId="19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vertical="center" wrapText="1"/>
    </xf>
    <xf numFmtId="0" fontId="19" fillId="0" borderId="0" xfId="0" applyFont="1" applyAlignment="1">
      <alignment vertical="center" wrapText="1"/>
    </xf>
    <xf numFmtId="0" fontId="19" fillId="28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/>
    </xf>
    <xf numFmtId="171" fontId="3" fillId="0" borderId="0" xfId="0" applyNumberFormat="1" applyFont="1"/>
    <xf numFmtId="4" fontId="3" fillId="0" borderId="0" xfId="0" applyNumberFormat="1" applyFont="1" applyAlignment="1">
      <alignment horizontal="center"/>
    </xf>
    <xf numFmtId="4" fontId="12" fillId="0" borderId="1" xfId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4" fontId="12" fillId="0" borderId="1" xfId="0" applyNumberFormat="1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4" fontId="3" fillId="0" borderId="2" xfId="1" applyNumberFormat="1" applyFont="1" applyFill="1" applyBorder="1" applyAlignment="1">
      <alignment horizontal="center" vertical="center"/>
    </xf>
    <xf numFmtId="182" fontId="32" fillId="0" borderId="0" xfId="0" applyNumberFormat="1" applyFont="1"/>
    <xf numFmtId="41" fontId="32" fillId="0" borderId="0" xfId="0" applyNumberFormat="1" applyFont="1"/>
    <xf numFmtId="4" fontId="0" fillId="0" borderId="22" xfId="0" applyNumberFormat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4" fontId="3" fillId="4" borderId="1" xfId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 wrapText="1"/>
    </xf>
    <xf numFmtId="4" fontId="3" fillId="2" borderId="1" xfId="1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50" fillId="0" borderId="1" xfId="50" applyNumberFormat="1" applyFont="1" applyBorder="1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9" fontId="50" fillId="0" borderId="1" xfId="50" applyNumberFormat="1" applyFont="1" applyBorder="1" applyAlignment="1">
      <alignment horizontal="center" vertical="center"/>
    </xf>
    <xf numFmtId="168" fontId="50" fillId="0" borderId="1" xfId="50" applyNumberFormat="1" applyFont="1" applyBorder="1" applyAlignment="1">
      <alignment horizontal="center" vertical="center"/>
    </xf>
    <xf numFmtId="2" fontId="50" fillId="0" borderId="1" xfId="5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 wrapText="1"/>
    </xf>
    <xf numFmtId="0" fontId="49" fillId="28" borderId="2" xfId="50" applyFont="1" applyFill="1" applyBorder="1" applyAlignment="1">
      <alignment horizontal="center" vertical="center" wrapText="1"/>
    </xf>
    <xf numFmtId="0" fontId="49" fillId="3" borderId="2" xfId="50" applyFont="1" applyFill="1" applyBorder="1" applyAlignment="1">
      <alignment horizontal="center" vertical="center" wrapText="1"/>
    </xf>
    <xf numFmtId="0" fontId="49" fillId="61" borderId="2" xfId="50" applyFont="1" applyFill="1" applyBorder="1" applyAlignment="1">
      <alignment horizontal="center" vertical="center" wrapText="1"/>
    </xf>
    <xf numFmtId="0" fontId="49" fillId="62" borderId="2" xfId="50" applyFont="1" applyFill="1" applyBorder="1" applyAlignment="1">
      <alignment horizontal="center" vertical="center" wrapText="1"/>
    </xf>
    <xf numFmtId="0" fontId="49" fillId="63" borderId="2" xfId="50" applyFont="1" applyFill="1" applyBorder="1" applyAlignment="1">
      <alignment horizontal="center" vertical="center" wrapText="1"/>
    </xf>
    <xf numFmtId="0" fontId="49" fillId="65" borderId="2" xfId="50" applyFont="1" applyFill="1" applyBorder="1" applyAlignment="1">
      <alignment horizontal="center" vertical="center" wrapText="1"/>
    </xf>
    <xf numFmtId="0" fontId="49" fillId="64" borderId="2" xfId="50" applyFont="1" applyFill="1" applyBorder="1" applyAlignment="1">
      <alignment horizontal="center" vertical="center" wrapText="1"/>
    </xf>
    <xf numFmtId="0" fontId="49" fillId="0" borderId="2" xfId="50" applyFont="1" applyBorder="1" applyAlignment="1">
      <alignment horizontal="center" vertical="center" wrapText="1"/>
    </xf>
    <xf numFmtId="0" fontId="49" fillId="67" borderId="2" xfId="50" applyFont="1" applyFill="1" applyBorder="1" applyAlignment="1">
      <alignment horizontal="center" vertical="center" wrapText="1"/>
    </xf>
    <xf numFmtId="0" fontId="49" fillId="66" borderId="2" xfId="50" applyFont="1" applyFill="1" applyBorder="1" applyAlignment="1">
      <alignment horizontal="center" vertical="center" wrapText="1"/>
    </xf>
    <xf numFmtId="0" fontId="49" fillId="66" borderId="70" xfId="5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9" fontId="3" fillId="0" borderId="4" xfId="2" applyFont="1" applyBorder="1" applyAlignment="1">
      <alignment horizontal="center" vertical="center"/>
    </xf>
    <xf numFmtId="9" fontId="50" fillId="0" borderId="4" xfId="50" applyNumberFormat="1" applyFont="1" applyBorder="1" applyAlignment="1">
      <alignment horizontal="center" vertical="center"/>
    </xf>
    <xf numFmtId="168" fontId="50" fillId="0" borderId="4" xfId="50" applyNumberFormat="1" applyFont="1" applyBorder="1" applyAlignment="1">
      <alignment horizontal="center" vertical="center"/>
    </xf>
    <xf numFmtId="1" fontId="50" fillId="0" borderId="4" xfId="5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9" fontId="3" fillId="0" borderId="1" xfId="2" applyFont="1" applyFill="1" applyBorder="1" applyAlignment="1">
      <alignment horizontal="center" vertical="center"/>
    </xf>
    <xf numFmtId="1" fontId="51" fillId="0" borderId="0" xfId="0" applyNumberFormat="1" applyFont="1" applyAlignment="1">
      <alignment horizontal="center"/>
    </xf>
    <xf numFmtId="167" fontId="3" fillId="28" borderId="1" xfId="0" applyNumberFormat="1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 wrapText="1"/>
    </xf>
    <xf numFmtId="192" fontId="0" fillId="0" borderId="0" xfId="0" pivotButton="1" applyNumberFormat="1"/>
    <xf numFmtId="0" fontId="52" fillId="0" borderId="0" xfId="0" applyFont="1" applyAlignment="1">
      <alignment vertical="center"/>
    </xf>
    <xf numFmtId="41" fontId="58" fillId="68" borderId="72" xfId="0" applyNumberFormat="1" applyFont="1" applyFill="1" applyBorder="1" applyAlignment="1">
      <alignment vertical="center"/>
    </xf>
    <xf numFmtId="41" fontId="58" fillId="0" borderId="1" xfId="0" applyNumberFormat="1" applyFont="1" applyBorder="1" applyAlignment="1">
      <alignment vertical="center"/>
    </xf>
    <xf numFmtId="0" fontId="28" fillId="0" borderId="1" xfId="0" applyFont="1" applyBorder="1"/>
    <xf numFmtId="41" fontId="58" fillId="68" borderId="1" xfId="0" applyNumberFormat="1" applyFont="1" applyFill="1" applyBorder="1" applyAlignment="1">
      <alignment vertical="center"/>
    </xf>
    <xf numFmtId="0" fontId="26" fillId="0" borderId="1" xfId="0" applyFont="1" applyBorder="1"/>
    <xf numFmtId="0" fontId="60" fillId="0" borderId="1" xfId="0" applyFont="1" applyBorder="1"/>
    <xf numFmtId="0" fontId="26" fillId="0" borderId="0" xfId="0" applyFont="1"/>
    <xf numFmtId="0" fontId="28" fillId="0" borderId="1" xfId="0" applyFont="1" applyBorder="1" applyAlignment="1">
      <alignment horizontal="left" indent="1"/>
    </xf>
    <xf numFmtId="0" fontId="28" fillId="0" borderId="1" xfId="0" applyFont="1" applyBorder="1" applyAlignment="1">
      <alignment horizontal="left"/>
    </xf>
    <xf numFmtId="171" fontId="46" fillId="0" borderId="56" xfId="3" applyNumberFormat="1" applyFont="1" applyBorder="1" applyAlignment="1"/>
    <xf numFmtId="10" fontId="32" fillId="0" borderId="1" xfId="2" applyNumberFormat="1" applyFont="1" applyFill="1" applyBorder="1" applyAlignment="1"/>
    <xf numFmtId="185" fontId="28" fillId="0" borderId="0" xfId="0" applyNumberFormat="1" applyFont="1"/>
    <xf numFmtId="41" fontId="24" fillId="0" borderId="1" xfId="0" applyNumberFormat="1" applyFont="1" applyBorder="1"/>
    <xf numFmtId="9" fontId="24" fillId="0" borderId="1" xfId="2" applyFont="1" applyFill="1" applyBorder="1" applyAlignment="1"/>
    <xf numFmtId="41" fontId="59" fillId="0" borderId="1" xfId="0" applyNumberFormat="1" applyFont="1" applyBorder="1"/>
    <xf numFmtId="196" fontId="59" fillId="0" borderId="1" xfId="0" applyNumberFormat="1" applyFont="1" applyBorder="1"/>
    <xf numFmtId="182" fontId="59" fillId="0" borderId="1" xfId="0" applyNumberFormat="1" applyFont="1" applyBorder="1"/>
    <xf numFmtId="186" fontId="24" fillId="0" borderId="1" xfId="0" applyNumberFormat="1" applyFont="1" applyBorder="1"/>
    <xf numFmtId="42" fontId="32" fillId="0" borderId="0" xfId="0" applyNumberFormat="1" applyFont="1"/>
    <xf numFmtId="193" fontId="24" fillId="0" borderId="1" xfId="6" applyNumberFormat="1" applyFont="1" applyFill="1" applyBorder="1" applyAlignment="1"/>
    <xf numFmtId="193" fontId="24" fillId="0" borderId="0" xfId="6" applyNumberFormat="1" applyFont="1" applyFill="1" applyBorder="1" applyAlignment="1"/>
    <xf numFmtId="0" fontId="32" fillId="0" borderId="0" xfId="0" applyFont="1" applyAlignment="1">
      <alignment wrapText="1"/>
    </xf>
    <xf numFmtId="0" fontId="28" fillId="0" borderId="73" xfId="0" applyFont="1" applyBorder="1"/>
    <xf numFmtId="0" fontId="12" fillId="2" borderId="1" xfId="0" applyFont="1" applyFill="1" applyBorder="1" applyAlignment="1">
      <alignment horizontal="center" vertical="center" wrapText="1"/>
    </xf>
    <xf numFmtId="0" fontId="55" fillId="0" borderId="1" xfId="0" applyFont="1" applyBorder="1"/>
    <xf numFmtId="41" fontId="53" fillId="0" borderId="1" xfId="0" applyNumberFormat="1" applyFont="1" applyBorder="1"/>
    <xf numFmtId="0" fontId="54" fillId="0" borderId="1" xfId="0" applyFont="1" applyBorder="1"/>
    <xf numFmtId="9" fontId="33" fillId="0" borderId="0" xfId="2" applyFont="1" applyFill="1" applyBorder="1" applyAlignment="1">
      <alignment horizontal="center" vertical="center"/>
    </xf>
    <xf numFmtId="9" fontId="33" fillId="0" borderId="56" xfId="2" applyFont="1" applyFill="1" applyBorder="1" applyAlignment="1">
      <alignment horizontal="center" vertical="center"/>
    </xf>
    <xf numFmtId="17" fontId="63" fillId="0" borderId="1" xfId="51" applyNumberFormat="1" applyFont="1" applyBorder="1" applyAlignment="1">
      <alignment horizontal="center" vertical="center"/>
    </xf>
    <xf numFmtId="0" fontId="62" fillId="0" borderId="1" xfId="51" applyFont="1" applyBorder="1" applyAlignment="1">
      <alignment horizontal="center" vertical="center" wrapText="1"/>
    </xf>
    <xf numFmtId="9" fontId="56" fillId="0" borderId="1" xfId="0" applyNumberFormat="1" applyFont="1" applyBorder="1" applyAlignment="1">
      <alignment horizontal="center" vertical="center"/>
    </xf>
    <xf numFmtId="0" fontId="65" fillId="0" borderId="1" xfId="51" applyFont="1" applyBorder="1" applyAlignment="1">
      <alignment horizontal="center" vertical="center"/>
    </xf>
    <xf numFmtId="0" fontId="65" fillId="0" borderId="1" xfId="51" applyFont="1" applyBorder="1" applyAlignment="1">
      <alignment horizontal="center" vertical="center" wrapText="1"/>
    </xf>
    <xf numFmtId="2" fontId="12" fillId="28" borderId="1" xfId="0" applyNumberFormat="1" applyFont="1" applyFill="1" applyBorder="1" applyAlignment="1">
      <alignment horizontal="center" vertical="center" wrapText="1"/>
    </xf>
    <xf numFmtId="44" fontId="33" fillId="0" borderId="0" xfId="57" applyFont="1" applyFill="1" applyBorder="1" applyAlignment="1">
      <alignment horizontal="center" vertical="center"/>
    </xf>
    <xf numFmtId="0" fontId="66" fillId="0" borderId="0" xfId="0" applyFont="1"/>
    <xf numFmtId="44" fontId="0" fillId="0" borderId="0" xfId="57" applyFont="1" applyAlignment="1">
      <alignment horizontal="center" vertical="center"/>
    </xf>
    <xf numFmtId="2" fontId="12" fillId="28" borderId="1" xfId="0" applyNumberFormat="1" applyFont="1" applyFill="1" applyBorder="1" applyAlignment="1">
      <alignment horizontal="center"/>
    </xf>
    <xf numFmtId="4" fontId="12" fillId="28" borderId="1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3" fontId="0" fillId="0" borderId="76" xfId="0" applyNumberFormat="1" applyBorder="1" applyAlignment="1">
      <alignment horizontal="center" vertical="center"/>
    </xf>
    <xf numFmtId="170" fontId="0" fillId="0" borderId="76" xfId="0" applyNumberFormat="1" applyBorder="1" applyAlignment="1">
      <alignment horizontal="center" vertical="center"/>
    </xf>
    <xf numFmtId="14" fontId="4" fillId="0" borderId="22" xfId="0" applyNumberFormat="1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15" borderId="22" xfId="0" applyFont="1" applyFill="1" applyBorder="1" applyAlignment="1">
      <alignment horizontal="center" vertical="center" wrapText="1"/>
    </xf>
    <xf numFmtId="0" fontId="5" fillId="15" borderId="22" xfId="0" applyFont="1" applyFill="1" applyBorder="1" applyAlignment="1">
      <alignment horizontal="center" vertical="center" wrapText="1"/>
    </xf>
    <xf numFmtId="0" fontId="7" fillId="15" borderId="22" xfId="0" applyFont="1" applyFill="1" applyBorder="1" applyAlignment="1">
      <alignment horizontal="center" vertical="center" wrapText="1"/>
    </xf>
    <xf numFmtId="41" fontId="4" fillId="15" borderId="22" xfId="0" applyNumberFormat="1" applyFont="1" applyFill="1" applyBorder="1" applyAlignment="1">
      <alignment horizontal="center" vertical="center" wrapText="1"/>
    </xf>
    <xf numFmtId="41" fontId="4" fillId="0" borderId="22" xfId="0" applyNumberFormat="1" applyFont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 wrapText="1"/>
    </xf>
    <xf numFmtId="0" fontId="4" fillId="16" borderId="22" xfId="0" applyFont="1" applyFill="1" applyBorder="1" applyAlignment="1">
      <alignment horizontal="center" vertical="center" wrapText="1"/>
    </xf>
    <xf numFmtId="0" fontId="0" fillId="17" borderId="22" xfId="0" applyFill="1" applyBorder="1" applyAlignment="1">
      <alignment horizontal="center" vertical="center" wrapText="1"/>
    </xf>
    <xf numFmtId="0" fontId="0" fillId="18" borderId="22" xfId="0" applyFill="1" applyBorder="1" applyAlignment="1">
      <alignment horizontal="center" vertical="center" wrapText="1"/>
    </xf>
    <xf numFmtId="0" fontId="0" fillId="26" borderId="22" xfId="0" applyFill="1" applyBorder="1" applyAlignment="1">
      <alignment horizontal="center" vertical="center" wrapText="1"/>
    </xf>
    <xf numFmtId="0" fontId="4" fillId="19" borderId="22" xfId="0" applyFont="1" applyFill="1" applyBorder="1" applyAlignment="1">
      <alignment horizontal="center" vertical="center" wrapText="1"/>
    </xf>
    <xf numFmtId="14" fontId="4" fillId="0" borderId="22" xfId="0" applyNumberFormat="1" applyFont="1" applyBorder="1" applyAlignment="1">
      <alignment horizontal="center" vertical="center"/>
    </xf>
    <xf numFmtId="14" fontId="3" fillId="0" borderId="22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3" fontId="3" fillId="0" borderId="22" xfId="1" applyNumberFormat="1" applyFont="1" applyFill="1" applyBorder="1" applyAlignment="1">
      <alignment horizontal="center" vertical="center"/>
    </xf>
    <xf numFmtId="3" fontId="3" fillId="0" borderId="22" xfId="1" applyNumberFormat="1" applyFont="1" applyBorder="1" applyAlignment="1">
      <alignment horizontal="center" vertical="center"/>
    </xf>
    <xf numFmtId="3" fontId="3" fillId="28" borderId="22" xfId="1" applyNumberFormat="1" applyFont="1" applyFill="1" applyBorder="1" applyAlignment="1">
      <alignment horizontal="center" vertical="center"/>
    </xf>
    <xf numFmtId="4" fontId="3" fillId="0" borderId="22" xfId="1" applyNumberFormat="1" applyFont="1" applyFill="1" applyBorder="1" applyAlignment="1">
      <alignment horizontal="center" vertical="center"/>
    </xf>
    <xf numFmtId="4" fontId="3" fillId="28" borderId="22" xfId="1" applyNumberFormat="1" applyFont="1" applyFill="1" applyBorder="1" applyAlignment="1">
      <alignment horizontal="center" vertical="center"/>
    </xf>
    <xf numFmtId="169" fontId="3" fillId="0" borderId="22" xfId="1" applyNumberFormat="1" applyFont="1" applyFill="1" applyBorder="1" applyAlignment="1">
      <alignment horizontal="center" vertical="center"/>
    </xf>
    <xf numFmtId="4" fontId="3" fillId="0" borderId="22" xfId="1" applyNumberFormat="1" applyFont="1" applyBorder="1" applyAlignment="1">
      <alignment horizontal="center" vertical="center"/>
    </xf>
    <xf numFmtId="4" fontId="0" fillId="0" borderId="22" xfId="0" applyNumberFormat="1" applyBorder="1" applyAlignment="1">
      <alignment horizontal="center" vertical="center"/>
    </xf>
    <xf numFmtId="169" fontId="0" fillId="0" borderId="22" xfId="0" applyNumberFormat="1" applyBorder="1" applyAlignment="1">
      <alignment horizontal="center" vertical="center" wrapText="1"/>
    </xf>
    <xf numFmtId="1" fontId="0" fillId="0" borderId="22" xfId="0" applyNumberFormat="1" applyBorder="1" applyAlignment="1">
      <alignment horizontal="center" vertical="center"/>
    </xf>
    <xf numFmtId="0" fontId="21" fillId="23" borderId="22" xfId="0" applyFont="1" applyFill="1" applyBorder="1" applyAlignment="1">
      <alignment horizontal="center" wrapText="1"/>
    </xf>
    <xf numFmtId="0" fontId="0" fillId="0" borderId="22" xfId="0" applyBorder="1" applyAlignment="1">
      <alignment horizontal="center" vertical="center"/>
    </xf>
    <xf numFmtId="3" fontId="8" fillId="0" borderId="22" xfId="1" applyNumberFormat="1" applyFont="1" applyBorder="1" applyAlignment="1">
      <alignment horizontal="center" vertical="center"/>
    </xf>
    <xf numFmtId="3" fontId="9" fillId="0" borderId="22" xfId="1" applyNumberFormat="1" applyFont="1" applyBorder="1" applyAlignment="1">
      <alignment horizontal="center" vertical="center"/>
    </xf>
    <xf numFmtId="192" fontId="4" fillId="0" borderId="46" xfId="0" applyNumberFormat="1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" wrapText="1"/>
    </xf>
    <xf numFmtId="9" fontId="3" fillId="0" borderId="4" xfId="0" applyNumberFormat="1" applyFont="1" applyBorder="1" applyAlignment="1">
      <alignment horizontal="center" vertical="center"/>
    </xf>
    <xf numFmtId="9" fontId="50" fillId="0" borderId="4" xfId="0" applyNumberFormat="1" applyFont="1" applyBorder="1" applyAlignment="1">
      <alignment horizontal="center" vertical="center"/>
    </xf>
    <xf numFmtId="168" fontId="50" fillId="0" borderId="4" xfId="0" applyNumberFormat="1" applyFont="1" applyBorder="1" applyAlignment="1">
      <alignment horizontal="center" vertical="center"/>
    </xf>
    <xf numFmtId="1" fontId="50" fillId="0" borderId="4" xfId="0" applyNumberFormat="1" applyFont="1" applyBorder="1" applyAlignment="1">
      <alignment horizontal="center" vertical="center"/>
    </xf>
    <xf numFmtId="3" fontId="0" fillId="0" borderId="77" xfId="0" applyNumberFormat="1" applyBorder="1" applyAlignment="1">
      <alignment horizontal="center" vertical="center"/>
    </xf>
    <xf numFmtId="3" fontId="0" fillId="0" borderId="78" xfId="0" applyNumberFormat="1" applyBorder="1" applyAlignment="1">
      <alignment horizontal="center" vertical="center"/>
    </xf>
    <xf numFmtId="3" fontId="0" fillId="0" borderId="79" xfId="0" applyNumberFormat="1" applyBorder="1" applyAlignment="1">
      <alignment horizontal="center" vertical="center"/>
    </xf>
    <xf numFmtId="3" fontId="0" fillId="0" borderId="80" xfId="0" applyNumberFormat="1" applyBorder="1" applyAlignment="1">
      <alignment horizontal="center" vertical="center"/>
    </xf>
    <xf numFmtId="3" fontId="0" fillId="0" borderId="81" xfId="0" applyNumberFormat="1" applyBorder="1" applyAlignment="1">
      <alignment horizontal="center" vertical="center"/>
    </xf>
    <xf numFmtId="3" fontId="0" fillId="0" borderId="82" xfId="0" applyNumberFormat="1" applyBorder="1" applyAlignment="1">
      <alignment horizontal="center" vertical="center"/>
    </xf>
    <xf numFmtId="197" fontId="0" fillId="0" borderId="1" xfId="1" applyNumberFormat="1" applyFont="1" applyBorder="1"/>
    <xf numFmtId="3" fontId="0" fillId="0" borderId="83" xfId="0" applyNumberForma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0" fontId="4" fillId="16" borderId="76" xfId="0" applyFont="1" applyFill="1" applyBorder="1" applyAlignment="1">
      <alignment horizontal="center" vertical="center" wrapText="1"/>
    </xf>
    <xf numFmtId="4" fontId="0" fillId="0" borderId="83" xfId="0" applyNumberFormat="1" applyBorder="1" applyAlignment="1">
      <alignment horizontal="center" vertical="center"/>
    </xf>
    <xf numFmtId="169" fontId="0" fillId="0" borderId="22" xfId="0" applyNumberFormat="1" applyBorder="1" applyAlignment="1">
      <alignment horizontal="center" vertical="center"/>
    </xf>
    <xf numFmtId="171" fontId="55" fillId="0" borderId="56" xfId="3" applyNumberFormat="1" applyFont="1" applyBorder="1" applyAlignment="1"/>
    <xf numFmtId="14" fontId="4" fillId="0" borderId="46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29" fillId="0" borderId="57" xfId="0" applyFont="1" applyBorder="1"/>
    <xf numFmtId="0" fontId="28" fillId="0" borderId="0" xfId="0" applyFont="1" applyAlignment="1">
      <alignment horizontal="center" vertical="center"/>
    </xf>
    <xf numFmtId="17" fontId="27" fillId="14" borderId="1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10" fontId="28" fillId="0" borderId="0" xfId="0" applyNumberFormat="1" applyFont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3" fillId="0" borderId="27" xfId="0" applyNumberFormat="1" applyFont="1" applyBorder="1" applyAlignment="1">
      <alignment horizontal="center" vertical="center"/>
    </xf>
    <xf numFmtId="3" fontId="8" fillId="0" borderId="10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3" fillId="0" borderId="75" xfId="0" applyNumberFormat="1" applyFont="1" applyBorder="1" applyAlignment="1">
      <alignment horizontal="center" vertical="center"/>
    </xf>
    <xf numFmtId="4" fontId="3" fillId="0" borderId="27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4" fontId="17" fillId="0" borderId="76" xfId="0" applyNumberFormat="1" applyFont="1" applyBorder="1" applyAlignment="1">
      <alignment horizontal="center" vertical="center"/>
    </xf>
    <xf numFmtId="10" fontId="17" fillId="0" borderId="76" xfId="0" applyNumberFormat="1" applyFont="1" applyBorder="1" applyAlignment="1">
      <alignment horizontal="center" vertical="center"/>
    </xf>
    <xf numFmtId="175" fontId="0" fillId="0" borderId="0" xfId="0" applyNumberFormat="1" applyAlignment="1">
      <alignment horizontal="left" indent="1"/>
    </xf>
    <xf numFmtId="0" fontId="50" fillId="0" borderId="1" xfId="0" applyFont="1" applyBorder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 wrapText="1"/>
    </xf>
    <xf numFmtId="0" fontId="0" fillId="0" borderId="2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3" fontId="3" fillId="70" borderId="22" xfId="0" applyNumberFormat="1" applyFont="1" applyFill="1" applyBorder="1" applyAlignment="1">
      <alignment horizontal="center" vertical="center"/>
    </xf>
    <xf numFmtId="3" fontId="3" fillId="70" borderId="22" xfId="1" applyNumberFormat="1" applyFont="1" applyFill="1" applyBorder="1" applyAlignment="1">
      <alignment horizontal="center" vertical="center"/>
    </xf>
    <xf numFmtId="3" fontId="8" fillId="70" borderId="22" xfId="1" applyNumberFormat="1" applyFont="1" applyFill="1" applyBorder="1" applyAlignment="1">
      <alignment horizontal="center" vertical="center"/>
    </xf>
    <xf numFmtId="3" fontId="9" fillId="70" borderId="22" xfId="1" applyNumberFormat="1" applyFont="1" applyFill="1" applyBorder="1" applyAlignment="1">
      <alignment horizontal="center" vertical="center"/>
    </xf>
    <xf numFmtId="0" fontId="0" fillId="70" borderId="22" xfId="0" applyFill="1" applyBorder="1" applyAlignment="1">
      <alignment horizontal="center" vertical="center"/>
    </xf>
    <xf numFmtId="4" fontId="3" fillId="70" borderId="22" xfId="1" applyNumberFormat="1" applyFont="1" applyFill="1" applyBorder="1" applyAlignment="1">
      <alignment horizontal="center" vertical="center"/>
    </xf>
    <xf numFmtId="3" fontId="3" fillId="70" borderId="27" xfId="0" applyNumberFormat="1" applyFont="1" applyFill="1" applyBorder="1" applyAlignment="1">
      <alignment horizontal="center" vertical="center"/>
    </xf>
    <xf numFmtId="0" fontId="0" fillId="70" borderId="1" xfId="0" applyFill="1" applyBorder="1" applyAlignment="1">
      <alignment horizontal="center" vertical="center"/>
    </xf>
    <xf numFmtId="1" fontId="0" fillId="70" borderId="1" xfId="0" applyNumberFormat="1" applyFill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169" fontId="3" fillId="0" borderId="27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2" fontId="3" fillId="70" borderId="1" xfId="0" applyNumberFormat="1" applyFont="1" applyFill="1" applyBorder="1" applyAlignment="1">
      <alignment horizontal="center" vertical="center"/>
    </xf>
    <xf numFmtId="4" fontId="0" fillId="20" borderId="22" xfId="0" applyNumberFormat="1" applyFill="1" applyBorder="1" applyAlignment="1">
      <alignment horizontal="center" vertical="center" wrapText="1"/>
    </xf>
    <xf numFmtId="4" fontId="0" fillId="20" borderId="22" xfId="0" applyNumberFormat="1" applyFill="1" applyBorder="1" applyAlignment="1">
      <alignment horizontal="center" vertical="center"/>
    </xf>
    <xf numFmtId="4" fontId="0" fillId="20" borderId="21" xfId="0" applyNumberFormat="1" applyFill="1" applyBorder="1" applyAlignment="1">
      <alignment horizontal="center" vertical="center"/>
    </xf>
    <xf numFmtId="3" fontId="0" fillId="20" borderId="22" xfId="0" applyNumberFormat="1" applyFill="1" applyBorder="1" applyAlignment="1">
      <alignment horizontal="center" vertical="center" wrapText="1"/>
    </xf>
    <xf numFmtId="3" fontId="0" fillId="20" borderId="22" xfId="0" applyNumberFormat="1" applyFill="1" applyBorder="1" applyAlignment="1">
      <alignment horizontal="center" vertical="center"/>
    </xf>
    <xf numFmtId="3" fontId="0" fillId="20" borderId="76" xfId="0" applyNumberFormat="1" applyFill="1" applyBorder="1" applyAlignment="1">
      <alignment horizontal="center" vertical="center"/>
    </xf>
    <xf numFmtId="4" fontId="0" fillId="20" borderId="76" xfId="0" applyNumberFormat="1" applyFill="1" applyBorder="1" applyAlignment="1">
      <alignment horizontal="center" vertical="center"/>
    </xf>
    <xf numFmtId="0" fontId="21" fillId="70" borderId="1" xfId="0" applyFont="1" applyFill="1" applyBorder="1" applyAlignment="1">
      <alignment horizontal="center"/>
    </xf>
    <xf numFmtId="0" fontId="21" fillId="70" borderId="9" xfId="0" applyFont="1" applyFill="1" applyBorder="1" applyAlignment="1">
      <alignment horizontal="center"/>
    </xf>
    <xf numFmtId="0" fontId="21" fillId="70" borderId="71" xfId="0" applyFont="1" applyFill="1" applyBorder="1" applyAlignment="1">
      <alignment horizontal="center"/>
    </xf>
    <xf numFmtId="0" fontId="0" fillId="70" borderId="22" xfId="0" applyFill="1" applyBorder="1" applyAlignment="1">
      <alignment horizontal="center"/>
    </xf>
    <xf numFmtId="0" fontId="0" fillId="70" borderId="0" xfId="0" applyFill="1" applyAlignment="1">
      <alignment horizontal="center" vertical="center"/>
    </xf>
    <xf numFmtId="0" fontId="67" fillId="70" borderId="1" xfId="0" applyFont="1" applyFill="1" applyBorder="1" applyAlignment="1">
      <alignment horizontal="center" vertical="center"/>
    </xf>
    <xf numFmtId="0" fontId="67" fillId="70" borderId="9" xfId="0" applyFont="1" applyFill="1" applyBorder="1" applyAlignment="1">
      <alignment horizontal="center" vertical="center"/>
    </xf>
    <xf numFmtId="0" fontId="67" fillId="70" borderId="71" xfId="0" applyFont="1" applyFill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19" fillId="0" borderId="50" xfId="0" applyFont="1" applyBorder="1" applyAlignment="1">
      <alignment horizontal="center" vertical="center"/>
    </xf>
    <xf numFmtId="0" fontId="15" fillId="22" borderId="0" xfId="0" applyFont="1" applyFill="1" applyAlignment="1">
      <alignment horizontal="center" vertical="center" wrapText="1"/>
    </xf>
    <xf numFmtId="0" fontId="20" fillId="21" borderId="47" xfId="0" applyFont="1" applyFill="1" applyBorder="1" applyAlignment="1">
      <alignment horizontal="center" vertical="center" wrapText="1"/>
    </xf>
    <xf numFmtId="0" fontId="20" fillId="21" borderId="48" xfId="0" applyFont="1" applyFill="1" applyBorder="1" applyAlignment="1">
      <alignment horizontal="center" vertical="center" wrapText="1"/>
    </xf>
    <xf numFmtId="0" fontId="20" fillId="21" borderId="6" xfId="0" applyFont="1" applyFill="1" applyBorder="1" applyAlignment="1">
      <alignment horizontal="center" vertical="center" wrapText="1"/>
    </xf>
    <xf numFmtId="0" fontId="20" fillId="21" borderId="23" xfId="0" applyFont="1" applyFill="1" applyBorder="1" applyAlignment="1">
      <alignment horizontal="center" vertical="center" wrapText="1"/>
    </xf>
    <xf numFmtId="3" fontId="20" fillId="21" borderId="44" xfId="0" applyNumberFormat="1" applyFont="1" applyFill="1" applyBorder="1" applyAlignment="1">
      <alignment horizontal="center" vertical="center"/>
    </xf>
    <xf numFmtId="3" fontId="20" fillId="21" borderId="45" xfId="0" applyNumberFormat="1" applyFont="1" applyFill="1" applyBorder="1" applyAlignment="1">
      <alignment horizontal="center" vertical="center"/>
    </xf>
    <xf numFmtId="3" fontId="20" fillId="21" borderId="39" xfId="0" applyNumberFormat="1" applyFont="1" applyFill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36" xfId="0" applyFont="1" applyBorder="1" applyAlignment="1">
      <alignment horizontal="center" vertical="center"/>
    </xf>
    <xf numFmtId="0" fontId="20" fillId="21" borderId="0" xfId="0" applyFont="1" applyFill="1" applyAlignment="1">
      <alignment horizontal="center" vertical="center" wrapText="1"/>
    </xf>
    <xf numFmtId="3" fontId="20" fillId="21" borderId="42" xfId="0" applyNumberFormat="1" applyFont="1" applyFill="1" applyBorder="1" applyAlignment="1">
      <alignment horizontal="center" vertical="center"/>
    </xf>
    <xf numFmtId="3" fontId="20" fillId="21" borderId="43" xfId="0" applyNumberFormat="1" applyFont="1" applyFill="1" applyBorder="1" applyAlignment="1">
      <alignment horizontal="center" vertical="center"/>
    </xf>
    <xf numFmtId="0" fontId="20" fillId="22" borderId="0" xfId="0" applyFont="1" applyFill="1" applyAlignment="1">
      <alignment horizontal="center" vertical="center" wrapText="1"/>
    </xf>
    <xf numFmtId="0" fontId="15" fillId="22" borderId="0" xfId="0" applyFont="1" applyFill="1" applyAlignment="1">
      <alignment horizontal="center" vertical="center"/>
    </xf>
    <xf numFmtId="3" fontId="20" fillId="27" borderId="49" xfId="0" applyNumberFormat="1" applyFont="1" applyFill="1" applyBorder="1" applyAlignment="1">
      <alignment horizontal="center" vertical="center"/>
    </xf>
    <xf numFmtId="3" fontId="20" fillId="27" borderId="51" xfId="0" applyNumberFormat="1" applyFont="1" applyFill="1" applyBorder="1" applyAlignment="1">
      <alignment horizontal="center" vertical="center"/>
    </xf>
    <xf numFmtId="0" fontId="20" fillId="27" borderId="52" xfId="0" applyFont="1" applyFill="1" applyBorder="1" applyAlignment="1">
      <alignment horizontal="center" vertical="center" wrapText="1"/>
    </xf>
    <xf numFmtId="0" fontId="20" fillId="27" borderId="54" xfId="0" applyFont="1" applyFill="1" applyBorder="1" applyAlignment="1">
      <alignment horizontal="center" vertical="center" wrapText="1"/>
    </xf>
    <xf numFmtId="0" fontId="20" fillId="27" borderId="53" xfId="0" applyFont="1" applyFill="1" applyBorder="1" applyAlignment="1">
      <alignment horizontal="center" vertical="center" wrapText="1"/>
    </xf>
    <xf numFmtId="0" fontId="20" fillId="27" borderId="55" xfId="0" applyFont="1" applyFill="1" applyBorder="1" applyAlignment="1">
      <alignment horizontal="center" vertical="center" wrapText="1"/>
    </xf>
    <xf numFmtId="178" fontId="3" fillId="0" borderId="32" xfId="0" applyNumberFormat="1" applyFont="1" applyBorder="1" applyAlignment="1">
      <alignment horizontal="center" vertical="center"/>
    </xf>
    <xf numFmtId="178" fontId="3" fillId="0" borderId="33" xfId="0" applyNumberFormat="1" applyFont="1" applyBorder="1" applyAlignment="1">
      <alignment horizontal="center" vertical="center"/>
    </xf>
    <xf numFmtId="3" fontId="6" fillId="0" borderId="34" xfId="0" applyNumberFormat="1" applyFont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0" xfId="0" applyFont="1" applyFill="1" applyAlignment="1">
      <alignment horizontal="center" vertical="center" wrapText="1"/>
    </xf>
    <xf numFmtId="3" fontId="6" fillId="0" borderId="35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20" fillId="8" borderId="59" xfId="0" applyFont="1" applyFill="1" applyBorder="1" applyAlignment="1">
      <alignment horizontal="center" vertical="center"/>
    </xf>
    <xf numFmtId="0" fontId="20" fillId="8" borderId="60" xfId="0" applyFont="1" applyFill="1" applyBorder="1" applyAlignment="1">
      <alignment horizontal="center" vertical="center"/>
    </xf>
    <xf numFmtId="0" fontId="20" fillId="8" borderId="3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61" fillId="0" borderId="0" xfId="0" applyFont="1" applyAlignment="1">
      <alignment horizontal="right" vertical="center"/>
    </xf>
    <xf numFmtId="0" fontId="61" fillId="0" borderId="74" xfId="0" applyFont="1" applyBorder="1" applyAlignment="1">
      <alignment horizontal="right" vertical="center"/>
    </xf>
    <xf numFmtId="0" fontId="64" fillId="69" borderId="3" xfId="50" applyFont="1" applyFill="1" applyBorder="1" applyAlignment="1">
      <alignment horizontal="center" vertical="center"/>
    </xf>
    <xf numFmtId="0" fontId="64" fillId="69" borderId="9" xfId="50" applyFont="1" applyFill="1" applyBorder="1" applyAlignment="1">
      <alignment horizontal="center" vertical="center"/>
    </xf>
    <xf numFmtId="0" fontId="64" fillId="69" borderId="70" xfId="50" applyFont="1" applyFill="1" applyBorder="1" applyAlignment="1">
      <alignment horizontal="center" vertical="center"/>
    </xf>
    <xf numFmtId="0" fontId="64" fillId="69" borderId="56" xfId="50" applyFont="1" applyFill="1" applyBorder="1" applyAlignment="1">
      <alignment horizontal="center" vertical="center"/>
    </xf>
  </cellXfs>
  <cellStyles count="5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3" builtinId="3"/>
    <cellStyle name="Comma [0]" xfId="1" builtinId="6"/>
    <cellStyle name="Currency" xfId="57" builtinId="4"/>
    <cellStyle name="Explanatory Text" xfId="22" builtinId="53" customBuiltin="1"/>
    <cellStyle name="Formula" xfId="56" xr:uid="{00000000-0005-0000-0000-00001F000000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Millares [0] 2" xfId="4" xr:uid="{00000000-0005-0000-0000-000023000000}"/>
    <cellStyle name="Millares [0] 3" xfId="7" xr:uid="{00000000-0005-0000-0000-000024000000}"/>
    <cellStyle name="Millares [0] 4" xfId="49" xr:uid="{00000000-0005-0000-0000-000025000000}"/>
    <cellStyle name="Moneda [0] 2" xfId="54" xr:uid="{00000000-0005-0000-0000-000027000000}"/>
    <cellStyle name="Moneda [0] 3" xfId="55" xr:uid="{00000000-0005-0000-0000-000028000000}"/>
    <cellStyle name="Moneda 2" xfId="6" xr:uid="{00000000-0005-0000-0000-000029000000}"/>
    <cellStyle name="Neutral" xfId="14" builtinId="28" customBuiltin="1"/>
    <cellStyle name="Normal" xfId="0" builtinId="0"/>
    <cellStyle name="Normal 2" xfId="5" xr:uid="{00000000-0005-0000-0000-00002C000000}"/>
    <cellStyle name="Normal 2 2" xfId="50" xr:uid="{00000000-0005-0000-0000-00002D000000}"/>
    <cellStyle name="Normal 3" xfId="51" xr:uid="{00000000-0005-0000-0000-00002E000000}"/>
    <cellStyle name="Note" xfId="21" builtinId="10" customBuiltin="1"/>
    <cellStyle name="Output" xfId="16" builtinId="21" customBuiltin="1"/>
    <cellStyle name="Percent" xfId="2" builtinId="5"/>
    <cellStyle name="Porcentaje 2" xfId="52" xr:uid="{00000000-0005-0000-0000-000031000000}"/>
    <cellStyle name="Porcentaje 3" xfId="53" xr:uid="{00000000-0005-0000-0000-000032000000}"/>
    <cellStyle name="Título 4" xfId="48" xr:uid="{00000000-0005-0000-0000-000038000000}"/>
    <cellStyle name="Total" xfId="23" builtinId="25" customBuiltin="1"/>
    <cellStyle name="Warning Text" xfId="20" builtinId="11" customBuiltin="1"/>
  </cellStyles>
  <dxfs count="538">
    <dxf>
      <font>
        <b val="0"/>
        <i val="0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b val="0"/>
        <i val="0"/>
      </font>
      <fill>
        <patternFill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8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8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2" formatCode="dd/mm/yyyy"/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dd/mm/yyyy"/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fill>
        <patternFill patternType="solid">
          <fgColor indexed="64"/>
          <bgColor rgb="FFFEE2F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/mm/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dd/mm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84" formatCode="[$-C0A]d\-mmm;@"/>
    </dxf>
    <dxf>
      <alignment vertical="center" readingOrder="0"/>
    </dxf>
    <dxf>
      <alignment horizontal="center" readingOrder="0"/>
    </dxf>
    <dxf>
      <alignment wrapText="1" readingOrder="0"/>
    </dxf>
    <dxf>
      <numFmt numFmtId="192" formatCode="dd/mm/yyyy"/>
    </dxf>
    <dxf>
      <alignment vertic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185" formatCode="#,##0.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170" formatCode="#,##0.0000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169" formatCode="#,##0.000"/>
      <alignment horizontal="center" vertical="center" textRotation="0" wrapText="1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4" formatCode="#,##0.00"/>
      <fill>
        <patternFill patternType="solid"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14" formatCode="0.00%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3" formatCode="#,##0"/>
      <fill>
        <patternFill patternType="solid"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 patternType="solid"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 patternType="solid"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alignment horizontal="center" vertical="center" textRotation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4" formatCode="#,##0.00"/>
      <fill>
        <patternFill>
          <fgColor indexed="64"/>
          <bgColor theme="9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9" formatCode="#,##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9" formatCode="#,##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#,##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dd/mm/yyyy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2" formatCode="dd/mm/yyyy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>
        <left style="thin">
          <color theme="1"/>
        </left>
        <right style="thin">
          <color theme="1"/>
        </right>
        <top/>
        <bottom/>
        <vertical style="thin">
          <color theme="1"/>
        </vertical>
        <horizontal style="thin">
          <color theme="1"/>
        </horizontal>
      </border>
    </dxf>
    <dxf>
      <numFmt numFmtId="3" formatCode="#,##0"/>
    </dxf>
    <dxf>
      <numFmt numFmtId="2" formatCode="0.0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numFmt numFmtId="3" formatCode="#,##0"/>
    </dxf>
    <dxf>
      <numFmt numFmtId="2" formatCode="0.0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2" formatCode="0.00"/>
    </dxf>
    <dxf>
      <numFmt numFmtId="167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vertical="center" readingOrder="0"/>
    </dxf>
    <dxf>
      <alignment horizontal="center" readingOrder="0"/>
    </dxf>
    <dxf>
      <numFmt numFmtId="3" formatCode="#,##0"/>
    </dxf>
    <dxf>
      <numFmt numFmtId="185" formatCode="#,##0.0"/>
    </dxf>
    <dxf>
      <numFmt numFmtId="4" formatCode="#,##0.00"/>
    </dxf>
    <dxf>
      <numFmt numFmtId="169" formatCode="#,##0.00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1" readingOrder="0"/>
    </dxf>
    <dxf>
      <alignment wrapText="0" readingOrder="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92" formatCode="dd/mm/yyyy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numFmt numFmtId="3" formatCode="#,##0"/>
    </dxf>
    <dxf>
      <numFmt numFmtId="3" formatCode="#,##0"/>
    </dxf>
    <dxf>
      <alignment wrapText="1" readingOrder="0"/>
    </dxf>
    <dxf>
      <alignment vertic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horizontal="center" readingOrder="0"/>
    </dxf>
    <dxf>
      <numFmt numFmtId="4" formatCode="#,##0.00"/>
    </dxf>
    <dxf>
      <numFmt numFmtId="2" formatCode="0.00"/>
    </dxf>
    <dxf>
      <numFmt numFmtId="167" formatCode="_-* #,##0.00\ _€_-;\-* #,##0.00\ _€_-;_-* &quot;-&quot;??\ _€_-;_-@_-"/>
    </dxf>
    <dxf>
      <alignment wrapText="1" readingOrder="0"/>
    </dxf>
    <dxf>
      <alignment wrapText="1" readingOrder="0"/>
    </dxf>
    <dxf>
      <numFmt numFmtId="3" formatCode="#,##0"/>
    </dxf>
    <dxf>
      <numFmt numFmtId="185" formatCode="#,##0.0"/>
    </dxf>
    <dxf>
      <numFmt numFmtId="4" formatCode="#,##0.00"/>
    </dxf>
    <dxf>
      <numFmt numFmtId="169" formatCode="#,##0.000"/>
    </dxf>
    <dxf>
      <alignment vertical="center" readingOrder="0"/>
    </dxf>
    <dxf>
      <alignment horizontal="center" readingOrder="0"/>
    </dxf>
    <dxf>
      <numFmt numFmtId="4" formatCode="#,##0.00"/>
    </dxf>
    <dxf>
      <numFmt numFmtId="2" formatCode="0.00"/>
    </dxf>
    <dxf>
      <numFmt numFmtId="167" formatCode="_-* #,##0.00\ _€_-;\-* #,##0.00\ _€_-;_-* &quot;-&quot;??\ _€_-;_-@_-"/>
    </dxf>
    <dxf>
      <alignment wrapText="1" readingOrder="0"/>
    </dxf>
    <dxf>
      <alignment wrapText="1" readingOrder="0"/>
    </dxf>
    <dxf>
      <numFmt numFmtId="4" formatCode="#,##0.00"/>
    </dxf>
    <dxf>
      <alignment wrapText="1" readingOrder="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EE2F1"/>
      <color rgb="FFFFFFCC"/>
      <color rgb="FFECE3FD"/>
      <color rgb="FFDEFECE"/>
      <color rgb="FFFBE6FE"/>
      <color rgb="FFF5C3FD"/>
      <color rgb="FFBBFC9A"/>
      <color rgb="FFFFCCFF"/>
      <color rgb="FFFF6699"/>
      <color rgb="FFA323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41808596918086"/>
          <c:y val="0.17915363657900971"/>
          <c:w val="0.49505961070559612"/>
          <c:h val="0.72306147832267231"/>
        </c:manualLayout>
      </c:layout>
      <c:doughnutChart>
        <c:varyColors val="1"/>
        <c:ser>
          <c:idx val="0"/>
          <c:order val="0"/>
          <c:tx>
            <c:strRef>
              <c:f>'T. Dina'!$AF$18:$AF$22</c:f>
              <c:strCache>
                <c:ptCount val="5"/>
                <c:pt idx="0">
                  <c:v>Motor 6</c:v>
                </c:pt>
                <c:pt idx="1">
                  <c:v>Motor 7</c:v>
                </c:pt>
                <c:pt idx="2">
                  <c:v>Motor 8</c:v>
                </c:pt>
                <c:pt idx="3">
                  <c:v>Motor 9</c:v>
                </c:pt>
                <c:pt idx="4">
                  <c:v>Motor 10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6D-4E30-BC49-8A0A7A144E9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6D-4E30-BC49-8A0A7A144E96}"/>
              </c:ext>
            </c:extLst>
          </c:dPt>
          <c:dPt>
            <c:idx val="2"/>
            <c:bubble3D val="0"/>
            <c:spPr>
              <a:pattFill prst="ltDnDiag">
                <a:fgClr>
                  <a:schemeClr val="accent3">
                    <a:lumMod val="75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6D-4E30-BC49-8A0A7A144E96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6D-4E30-BC49-8A0A7A144E96}"/>
              </c:ext>
            </c:extLst>
          </c:dPt>
          <c:dPt>
            <c:idx val="4"/>
            <c:bubble3D val="0"/>
            <c:spPr>
              <a:pattFill prst="pct50">
                <a:fgClr>
                  <a:schemeClr val="accent1">
                    <a:lumMod val="75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6D-4E30-BC49-8A0A7A144E96}"/>
              </c:ext>
            </c:extLst>
          </c:dPt>
          <c:dLbls>
            <c:dLbl>
              <c:idx val="2"/>
              <c:layout>
                <c:manualLayout>
                  <c:x val="4.694835680751173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6D-4E30-BC49-8A0A7A144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'T. Dina'!$AF$18:$AF$22</c:f>
              <c:strCache>
                <c:ptCount val="5"/>
                <c:pt idx="0">
                  <c:v>Motor 6</c:v>
                </c:pt>
                <c:pt idx="1">
                  <c:v>Motor 7</c:v>
                </c:pt>
                <c:pt idx="2">
                  <c:v>Motor 8</c:v>
                </c:pt>
                <c:pt idx="3">
                  <c:v>Motor 9</c:v>
                </c:pt>
                <c:pt idx="4">
                  <c:v>Motor 10</c:v>
                </c:pt>
              </c:strCache>
            </c:strRef>
          </c:cat>
          <c:val>
            <c:numRef>
              <c:f>'T. Dina'!$AG$18:$AG$22</c:f>
              <c:numCache>
                <c:formatCode>0\ "h"</c:formatCode>
                <c:ptCount val="5"/>
                <c:pt idx="0">
                  <c:v>1669</c:v>
                </c:pt>
                <c:pt idx="1">
                  <c:v>1725</c:v>
                </c:pt>
                <c:pt idx="2">
                  <c:v>1972</c:v>
                </c:pt>
                <c:pt idx="3">
                  <c:v>1809</c:v>
                </c:pt>
                <c:pt idx="4">
                  <c:v>1976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6D-4E30-BC49-8A0A7A144E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4084507042253521E-2"/>
          <c:y val="0.26338551798672222"/>
          <c:w val="0.21342057594913311"/>
          <c:h val="0.6144048170449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756499791832496"/>
          <c:y val="0.17915377841613447"/>
          <c:w val="0.59108710403531861"/>
          <c:h val="0.71554558220052267"/>
        </c:manualLayout>
      </c:layout>
      <c:doughnutChart>
        <c:varyColors val="1"/>
        <c:ser>
          <c:idx val="0"/>
          <c:order val="0"/>
          <c:tx>
            <c:strRef>
              <c:f>'T. Dina'!$AF$10:$AF$14</c:f>
              <c:strCache>
                <c:ptCount val="5"/>
                <c:pt idx="0">
                  <c:v>Motor 1</c:v>
                </c:pt>
                <c:pt idx="1">
                  <c:v>Motor 2</c:v>
                </c:pt>
                <c:pt idx="2">
                  <c:v>Motor 3</c:v>
                </c:pt>
                <c:pt idx="3">
                  <c:v>Motor 4</c:v>
                </c:pt>
                <c:pt idx="4">
                  <c:v>Motor 5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97-4894-923E-9F2CE1AFE493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97-4894-923E-9F2CE1AFE493}"/>
              </c:ext>
            </c:extLst>
          </c:dPt>
          <c:dPt>
            <c:idx val="2"/>
            <c:bubble3D val="0"/>
            <c:spPr>
              <a:pattFill prst="ltDnDiag">
                <a:fgClr>
                  <a:schemeClr val="accent3">
                    <a:lumMod val="75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97-4894-923E-9F2CE1AFE493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97-4894-923E-9F2CE1AFE493}"/>
              </c:ext>
            </c:extLst>
          </c:dPt>
          <c:dPt>
            <c:idx val="4"/>
            <c:bubble3D val="0"/>
            <c:spPr>
              <a:pattFill prst="pct50">
                <a:fgClr>
                  <a:schemeClr val="accent1">
                    <a:lumMod val="75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497-4894-923E-9F2CE1AFE4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'T. Dina'!$AF$10:$AF$14</c:f>
              <c:strCache>
                <c:ptCount val="5"/>
                <c:pt idx="0">
                  <c:v>Motor 1</c:v>
                </c:pt>
                <c:pt idx="1">
                  <c:v>Motor 2</c:v>
                </c:pt>
                <c:pt idx="2">
                  <c:v>Motor 3</c:v>
                </c:pt>
                <c:pt idx="3">
                  <c:v>Motor 4</c:v>
                </c:pt>
                <c:pt idx="4">
                  <c:v>Motor 5</c:v>
                </c:pt>
              </c:strCache>
            </c:strRef>
          </c:cat>
          <c:val>
            <c:numRef>
              <c:f>'T. Dina'!$AG$10:$AG$14</c:f>
              <c:numCache>
                <c:formatCode>0\ "h"</c:formatCode>
                <c:ptCount val="5"/>
                <c:pt idx="0">
                  <c:v>1835</c:v>
                </c:pt>
                <c:pt idx="1">
                  <c:v>1907</c:v>
                </c:pt>
                <c:pt idx="2">
                  <c:v>1925</c:v>
                </c:pt>
                <c:pt idx="3">
                  <c:v>1777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97-4894-923E-9F2CE1AFE4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696969696969697E-3"/>
          <c:y val="0.24754670372085844"/>
          <c:w val="0.22216597470770699"/>
          <c:h val="0.6617693376563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 b="1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Parámetros Termonorte  año 2023.xlsx]T. Dina!PreOp. Vs. Real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>
              <a:alpha val="54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>
              <a:alpha val="54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>
              <a:alpha val="38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>
              <a:lumMod val="60000"/>
              <a:lumOff val="40000"/>
              <a:alpha val="66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68112011833462"/>
          <c:y val="0.18772596510042028"/>
          <c:w val="0.83853262700507447"/>
          <c:h val="0.44945501389442022"/>
        </c:manualLayout>
      </c:layout>
      <c:areaChart>
        <c:grouping val="standard"/>
        <c:varyColors val="0"/>
        <c:ser>
          <c:idx val="0"/>
          <c:order val="0"/>
          <c:tx>
            <c:strRef>
              <c:f>'T. Dina'!$BC$3</c:f>
              <c:strCache>
                <c:ptCount val="1"/>
                <c:pt idx="0">
                  <c:v>Preideal [MWh]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'T. Dina'!$BB$4:$BB$96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Dina'!$BC$4:$BC$96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0-44E3-828F-1C12008B1265}"/>
            </c:ext>
          </c:extLst>
        </c:ser>
        <c:ser>
          <c:idx val="1"/>
          <c:order val="1"/>
          <c:tx>
            <c:strRef>
              <c:f>'T. Dina'!$BD$3</c:f>
              <c:strCache>
                <c:ptCount val="1"/>
                <c:pt idx="0">
                  <c:v>Nacional [MWh]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multiLvlStrRef>
              <c:f>'T. Dina'!$BB$4:$BB$96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Dina'!$BD$4:$BD$96</c:f>
              <c:numCache>
                <c:formatCode>#,##0</c:formatCode>
                <c:ptCount val="90"/>
                <c:pt idx="0">
                  <c:v>431</c:v>
                </c:pt>
                <c:pt idx="1">
                  <c:v>872</c:v>
                </c:pt>
                <c:pt idx="2">
                  <c:v>1272</c:v>
                </c:pt>
                <c:pt idx="3">
                  <c:v>1272</c:v>
                </c:pt>
                <c:pt idx="4">
                  <c:v>1272</c:v>
                </c:pt>
                <c:pt idx="5">
                  <c:v>1272</c:v>
                </c:pt>
                <c:pt idx="6">
                  <c:v>1264</c:v>
                </c:pt>
                <c:pt idx="7">
                  <c:v>978</c:v>
                </c:pt>
                <c:pt idx="8">
                  <c:v>1264</c:v>
                </c:pt>
                <c:pt idx="9">
                  <c:v>1488</c:v>
                </c:pt>
                <c:pt idx="10">
                  <c:v>1272</c:v>
                </c:pt>
                <c:pt idx="11">
                  <c:v>1272</c:v>
                </c:pt>
                <c:pt idx="12">
                  <c:v>1272</c:v>
                </c:pt>
                <c:pt idx="13">
                  <c:v>1272</c:v>
                </c:pt>
                <c:pt idx="14">
                  <c:v>1272</c:v>
                </c:pt>
                <c:pt idx="15">
                  <c:v>1488</c:v>
                </c:pt>
                <c:pt idx="16">
                  <c:v>1488</c:v>
                </c:pt>
                <c:pt idx="17">
                  <c:v>1084</c:v>
                </c:pt>
                <c:pt idx="18">
                  <c:v>1084</c:v>
                </c:pt>
                <c:pt idx="19">
                  <c:v>1084</c:v>
                </c:pt>
                <c:pt idx="20">
                  <c:v>1272</c:v>
                </c:pt>
                <c:pt idx="21">
                  <c:v>1272</c:v>
                </c:pt>
                <c:pt idx="22">
                  <c:v>1272</c:v>
                </c:pt>
                <c:pt idx="23">
                  <c:v>1272</c:v>
                </c:pt>
                <c:pt idx="24">
                  <c:v>1326</c:v>
                </c:pt>
                <c:pt idx="25">
                  <c:v>1488</c:v>
                </c:pt>
                <c:pt idx="26">
                  <c:v>1488</c:v>
                </c:pt>
                <c:pt idx="27">
                  <c:v>1137</c:v>
                </c:pt>
                <c:pt idx="28">
                  <c:v>978</c:v>
                </c:pt>
                <c:pt idx="29">
                  <c:v>1264</c:v>
                </c:pt>
                <c:pt idx="30">
                  <c:v>1488</c:v>
                </c:pt>
                <c:pt idx="31">
                  <c:v>1488</c:v>
                </c:pt>
                <c:pt idx="32">
                  <c:v>1264</c:v>
                </c:pt>
                <c:pt idx="33">
                  <c:v>1326</c:v>
                </c:pt>
                <c:pt idx="34">
                  <c:v>1202</c:v>
                </c:pt>
                <c:pt idx="35">
                  <c:v>1016</c:v>
                </c:pt>
                <c:pt idx="36">
                  <c:v>1488</c:v>
                </c:pt>
                <c:pt idx="37">
                  <c:v>1488</c:v>
                </c:pt>
                <c:pt idx="38">
                  <c:v>1488</c:v>
                </c:pt>
                <c:pt idx="39">
                  <c:v>1488</c:v>
                </c:pt>
                <c:pt idx="40">
                  <c:v>1488</c:v>
                </c:pt>
                <c:pt idx="41">
                  <c:v>1488</c:v>
                </c:pt>
                <c:pt idx="42">
                  <c:v>1488</c:v>
                </c:pt>
                <c:pt idx="43">
                  <c:v>1488</c:v>
                </c:pt>
                <c:pt idx="44">
                  <c:v>1488</c:v>
                </c:pt>
                <c:pt idx="45">
                  <c:v>1488</c:v>
                </c:pt>
                <c:pt idx="46">
                  <c:v>1272</c:v>
                </c:pt>
                <c:pt idx="47">
                  <c:v>1272</c:v>
                </c:pt>
                <c:pt idx="48">
                  <c:v>1488</c:v>
                </c:pt>
                <c:pt idx="49">
                  <c:v>1488</c:v>
                </c:pt>
                <c:pt idx="50">
                  <c:v>1272</c:v>
                </c:pt>
                <c:pt idx="51">
                  <c:v>1272</c:v>
                </c:pt>
                <c:pt idx="52">
                  <c:v>1488</c:v>
                </c:pt>
                <c:pt idx="53">
                  <c:v>1488</c:v>
                </c:pt>
                <c:pt idx="54">
                  <c:v>1488</c:v>
                </c:pt>
                <c:pt idx="55">
                  <c:v>1272</c:v>
                </c:pt>
                <c:pt idx="56">
                  <c:v>1103</c:v>
                </c:pt>
                <c:pt idx="57">
                  <c:v>1272</c:v>
                </c:pt>
                <c:pt idx="58">
                  <c:v>1272</c:v>
                </c:pt>
                <c:pt idx="59">
                  <c:v>978</c:v>
                </c:pt>
                <c:pt idx="60">
                  <c:v>1272</c:v>
                </c:pt>
                <c:pt idx="61">
                  <c:v>1272</c:v>
                </c:pt>
                <c:pt idx="62">
                  <c:v>1272</c:v>
                </c:pt>
                <c:pt idx="63">
                  <c:v>1272</c:v>
                </c:pt>
                <c:pt idx="64">
                  <c:v>1272</c:v>
                </c:pt>
                <c:pt idx="65">
                  <c:v>1272</c:v>
                </c:pt>
                <c:pt idx="66">
                  <c:v>1272</c:v>
                </c:pt>
                <c:pt idx="67">
                  <c:v>1280</c:v>
                </c:pt>
                <c:pt idx="68">
                  <c:v>1272</c:v>
                </c:pt>
                <c:pt idx="69">
                  <c:v>1272</c:v>
                </c:pt>
                <c:pt idx="70">
                  <c:v>1272</c:v>
                </c:pt>
                <c:pt idx="71">
                  <c:v>1272</c:v>
                </c:pt>
                <c:pt idx="72">
                  <c:v>1272</c:v>
                </c:pt>
                <c:pt idx="73">
                  <c:v>1272</c:v>
                </c:pt>
                <c:pt idx="74">
                  <c:v>1137</c:v>
                </c:pt>
                <c:pt idx="75">
                  <c:v>1137</c:v>
                </c:pt>
                <c:pt idx="76">
                  <c:v>1272</c:v>
                </c:pt>
                <c:pt idx="77">
                  <c:v>1272</c:v>
                </c:pt>
                <c:pt idx="78">
                  <c:v>1272</c:v>
                </c:pt>
                <c:pt idx="79">
                  <c:v>1272</c:v>
                </c:pt>
                <c:pt idx="80">
                  <c:v>1272</c:v>
                </c:pt>
                <c:pt idx="81">
                  <c:v>1272</c:v>
                </c:pt>
                <c:pt idx="82">
                  <c:v>1272</c:v>
                </c:pt>
                <c:pt idx="83">
                  <c:v>1272</c:v>
                </c:pt>
                <c:pt idx="84">
                  <c:v>1137</c:v>
                </c:pt>
                <c:pt idx="85">
                  <c:v>1272</c:v>
                </c:pt>
                <c:pt idx="86">
                  <c:v>1272</c:v>
                </c:pt>
                <c:pt idx="87">
                  <c:v>1272</c:v>
                </c:pt>
                <c:pt idx="88">
                  <c:v>1272</c:v>
                </c:pt>
                <c:pt idx="89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0-44E3-828F-1C12008B1265}"/>
            </c:ext>
          </c:extLst>
        </c:ser>
        <c:ser>
          <c:idx val="2"/>
          <c:order val="2"/>
          <c:tx>
            <c:strRef>
              <c:f>'T. Dina'!$BE$3</c:f>
              <c:strCache>
                <c:ptCount val="1"/>
                <c:pt idx="0">
                  <c:v>Programado [MWh]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multiLvlStrRef>
              <c:f>'T. Dina'!$BB$4:$BB$96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Dina'!$BE$4:$BE$96</c:f>
              <c:numCache>
                <c:formatCode>#,##0</c:formatCode>
                <c:ptCount val="90"/>
                <c:pt idx="0">
                  <c:v>431</c:v>
                </c:pt>
                <c:pt idx="1">
                  <c:v>872</c:v>
                </c:pt>
                <c:pt idx="2">
                  <c:v>1272</c:v>
                </c:pt>
                <c:pt idx="3">
                  <c:v>1272</c:v>
                </c:pt>
                <c:pt idx="4">
                  <c:v>1272</c:v>
                </c:pt>
                <c:pt idx="5">
                  <c:v>1272</c:v>
                </c:pt>
                <c:pt idx="6">
                  <c:v>1264</c:v>
                </c:pt>
                <c:pt idx="7">
                  <c:v>978</c:v>
                </c:pt>
                <c:pt idx="8">
                  <c:v>1264</c:v>
                </c:pt>
                <c:pt idx="9">
                  <c:v>1488</c:v>
                </c:pt>
                <c:pt idx="10">
                  <c:v>1272</c:v>
                </c:pt>
                <c:pt idx="11">
                  <c:v>1272</c:v>
                </c:pt>
                <c:pt idx="12">
                  <c:v>1272</c:v>
                </c:pt>
                <c:pt idx="13">
                  <c:v>1272</c:v>
                </c:pt>
                <c:pt idx="14">
                  <c:v>1272</c:v>
                </c:pt>
                <c:pt idx="15">
                  <c:v>1488</c:v>
                </c:pt>
                <c:pt idx="16">
                  <c:v>1488</c:v>
                </c:pt>
                <c:pt idx="17">
                  <c:v>1084</c:v>
                </c:pt>
                <c:pt idx="18">
                  <c:v>1084</c:v>
                </c:pt>
                <c:pt idx="19">
                  <c:v>1084</c:v>
                </c:pt>
                <c:pt idx="20">
                  <c:v>1272</c:v>
                </c:pt>
                <c:pt idx="21">
                  <c:v>1272</c:v>
                </c:pt>
                <c:pt idx="22">
                  <c:v>1272</c:v>
                </c:pt>
                <c:pt idx="23">
                  <c:v>1272</c:v>
                </c:pt>
                <c:pt idx="24">
                  <c:v>1326</c:v>
                </c:pt>
                <c:pt idx="25">
                  <c:v>1488</c:v>
                </c:pt>
                <c:pt idx="26">
                  <c:v>1488</c:v>
                </c:pt>
                <c:pt idx="27">
                  <c:v>1137</c:v>
                </c:pt>
                <c:pt idx="28">
                  <c:v>981</c:v>
                </c:pt>
                <c:pt idx="29">
                  <c:v>1264</c:v>
                </c:pt>
                <c:pt idx="30">
                  <c:v>1488</c:v>
                </c:pt>
                <c:pt idx="31">
                  <c:v>1434</c:v>
                </c:pt>
                <c:pt idx="32">
                  <c:v>1123</c:v>
                </c:pt>
                <c:pt idx="33">
                  <c:v>1264</c:v>
                </c:pt>
                <c:pt idx="34">
                  <c:v>1202</c:v>
                </c:pt>
                <c:pt idx="35">
                  <c:v>1016</c:v>
                </c:pt>
                <c:pt idx="36">
                  <c:v>1488</c:v>
                </c:pt>
                <c:pt idx="37">
                  <c:v>1488</c:v>
                </c:pt>
                <c:pt idx="38">
                  <c:v>1488</c:v>
                </c:pt>
                <c:pt idx="39">
                  <c:v>1488</c:v>
                </c:pt>
                <c:pt idx="40">
                  <c:v>1488</c:v>
                </c:pt>
                <c:pt idx="41">
                  <c:v>1488</c:v>
                </c:pt>
                <c:pt idx="42">
                  <c:v>1488</c:v>
                </c:pt>
                <c:pt idx="43">
                  <c:v>1488</c:v>
                </c:pt>
                <c:pt idx="44">
                  <c:v>1488</c:v>
                </c:pt>
                <c:pt idx="45">
                  <c:v>1488</c:v>
                </c:pt>
                <c:pt idx="46">
                  <c:v>1272</c:v>
                </c:pt>
                <c:pt idx="47">
                  <c:v>1272</c:v>
                </c:pt>
                <c:pt idx="48">
                  <c:v>1488</c:v>
                </c:pt>
                <c:pt idx="49">
                  <c:v>1488</c:v>
                </c:pt>
                <c:pt idx="50">
                  <c:v>1272</c:v>
                </c:pt>
                <c:pt idx="51">
                  <c:v>1272</c:v>
                </c:pt>
                <c:pt idx="52">
                  <c:v>1488</c:v>
                </c:pt>
                <c:pt idx="53">
                  <c:v>1488</c:v>
                </c:pt>
                <c:pt idx="54">
                  <c:v>1488</c:v>
                </c:pt>
                <c:pt idx="55">
                  <c:v>1272</c:v>
                </c:pt>
                <c:pt idx="56">
                  <c:v>1084</c:v>
                </c:pt>
                <c:pt idx="57">
                  <c:v>1272</c:v>
                </c:pt>
                <c:pt idx="58">
                  <c:v>1272</c:v>
                </c:pt>
                <c:pt idx="59">
                  <c:v>978</c:v>
                </c:pt>
                <c:pt idx="60">
                  <c:v>1272</c:v>
                </c:pt>
                <c:pt idx="61">
                  <c:v>1272</c:v>
                </c:pt>
                <c:pt idx="62">
                  <c:v>1272</c:v>
                </c:pt>
                <c:pt idx="63">
                  <c:v>1272</c:v>
                </c:pt>
                <c:pt idx="64">
                  <c:v>1272</c:v>
                </c:pt>
                <c:pt idx="65">
                  <c:v>1272</c:v>
                </c:pt>
                <c:pt idx="66">
                  <c:v>1280</c:v>
                </c:pt>
                <c:pt idx="67">
                  <c:v>1277</c:v>
                </c:pt>
                <c:pt idx="68">
                  <c:v>1272</c:v>
                </c:pt>
                <c:pt idx="69">
                  <c:v>1272</c:v>
                </c:pt>
                <c:pt idx="70">
                  <c:v>1272</c:v>
                </c:pt>
                <c:pt idx="71">
                  <c:v>1272</c:v>
                </c:pt>
                <c:pt idx="72">
                  <c:v>1272</c:v>
                </c:pt>
                <c:pt idx="73">
                  <c:v>1272</c:v>
                </c:pt>
                <c:pt idx="74">
                  <c:v>1137</c:v>
                </c:pt>
                <c:pt idx="75">
                  <c:v>1137</c:v>
                </c:pt>
                <c:pt idx="76">
                  <c:v>1272</c:v>
                </c:pt>
                <c:pt idx="77">
                  <c:v>1272</c:v>
                </c:pt>
                <c:pt idx="78">
                  <c:v>1272</c:v>
                </c:pt>
                <c:pt idx="79">
                  <c:v>1272</c:v>
                </c:pt>
                <c:pt idx="80">
                  <c:v>1272</c:v>
                </c:pt>
                <c:pt idx="81">
                  <c:v>1272</c:v>
                </c:pt>
                <c:pt idx="82">
                  <c:v>1272</c:v>
                </c:pt>
                <c:pt idx="83">
                  <c:v>1272</c:v>
                </c:pt>
                <c:pt idx="84">
                  <c:v>1137</c:v>
                </c:pt>
                <c:pt idx="85">
                  <c:v>1272</c:v>
                </c:pt>
                <c:pt idx="86">
                  <c:v>1272</c:v>
                </c:pt>
                <c:pt idx="87">
                  <c:v>1272</c:v>
                </c:pt>
                <c:pt idx="88">
                  <c:v>1272</c:v>
                </c:pt>
                <c:pt idx="89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0-44E3-828F-1C12008B1265}"/>
            </c:ext>
          </c:extLst>
        </c:ser>
        <c:ser>
          <c:idx val="3"/>
          <c:order val="3"/>
          <c:tx>
            <c:strRef>
              <c:f>'T. Dina'!$BF$3</c:f>
              <c:strCache>
                <c:ptCount val="1"/>
                <c:pt idx="0">
                  <c:v>XM [MWh]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multiLvlStrRef>
              <c:f>'T. Dina'!$BB$4:$BB$96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Dina'!$BF$4:$BF$96</c:f>
              <c:numCache>
                <c:formatCode>#,##0</c:formatCode>
                <c:ptCount val="90"/>
                <c:pt idx="0">
                  <c:v>446</c:v>
                </c:pt>
                <c:pt idx="1">
                  <c:v>888</c:v>
                </c:pt>
                <c:pt idx="2">
                  <c:v>1282</c:v>
                </c:pt>
                <c:pt idx="3">
                  <c:v>1287</c:v>
                </c:pt>
                <c:pt idx="4">
                  <c:v>1272</c:v>
                </c:pt>
                <c:pt idx="5">
                  <c:v>1278</c:v>
                </c:pt>
                <c:pt idx="6">
                  <c:v>1288</c:v>
                </c:pt>
                <c:pt idx="7">
                  <c:v>997</c:v>
                </c:pt>
                <c:pt idx="8">
                  <c:v>1293</c:v>
                </c:pt>
                <c:pt idx="9">
                  <c:v>1513</c:v>
                </c:pt>
                <c:pt idx="10">
                  <c:v>1282</c:v>
                </c:pt>
                <c:pt idx="11">
                  <c:v>1288</c:v>
                </c:pt>
                <c:pt idx="12">
                  <c:v>1296</c:v>
                </c:pt>
                <c:pt idx="13">
                  <c:v>1287</c:v>
                </c:pt>
                <c:pt idx="14">
                  <c:v>1290</c:v>
                </c:pt>
                <c:pt idx="15">
                  <c:v>1483</c:v>
                </c:pt>
                <c:pt idx="16">
                  <c:v>1482</c:v>
                </c:pt>
                <c:pt idx="17">
                  <c:v>1122</c:v>
                </c:pt>
                <c:pt idx="18">
                  <c:v>1088</c:v>
                </c:pt>
                <c:pt idx="19">
                  <c:v>1121</c:v>
                </c:pt>
                <c:pt idx="20">
                  <c:v>1308</c:v>
                </c:pt>
                <c:pt idx="21">
                  <c:v>1302</c:v>
                </c:pt>
                <c:pt idx="22">
                  <c:v>1312</c:v>
                </c:pt>
                <c:pt idx="23">
                  <c:v>1314</c:v>
                </c:pt>
                <c:pt idx="24">
                  <c:v>1325</c:v>
                </c:pt>
                <c:pt idx="25">
                  <c:v>1514</c:v>
                </c:pt>
                <c:pt idx="26">
                  <c:v>1520</c:v>
                </c:pt>
                <c:pt idx="27">
                  <c:v>1522</c:v>
                </c:pt>
                <c:pt idx="28">
                  <c:v>1164</c:v>
                </c:pt>
                <c:pt idx="29">
                  <c:v>1307</c:v>
                </c:pt>
                <c:pt idx="30">
                  <c:v>1508</c:v>
                </c:pt>
                <c:pt idx="31">
                  <c:v>2017</c:v>
                </c:pt>
                <c:pt idx="32">
                  <c:v>2147</c:v>
                </c:pt>
                <c:pt idx="33">
                  <c:v>1301</c:v>
                </c:pt>
                <c:pt idx="34">
                  <c:v>1248</c:v>
                </c:pt>
                <c:pt idx="35">
                  <c:v>1053</c:v>
                </c:pt>
                <c:pt idx="36">
                  <c:v>1337</c:v>
                </c:pt>
                <c:pt idx="37">
                  <c:v>1539</c:v>
                </c:pt>
                <c:pt idx="38">
                  <c:v>1541</c:v>
                </c:pt>
                <c:pt idx="39">
                  <c:v>1548</c:v>
                </c:pt>
                <c:pt idx="40">
                  <c:v>1545</c:v>
                </c:pt>
                <c:pt idx="41">
                  <c:v>1532</c:v>
                </c:pt>
                <c:pt idx="42">
                  <c:v>1547</c:v>
                </c:pt>
                <c:pt idx="43">
                  <c:v>1515</c:v>
                </c:pt>
                <c:pt idx="44">
                  <c:v>1519</c:v>
                </c:pt>
                <c:pt idx="45">
                  <c:v>1526</c:v>
                </c:pt>
                <c:pt idx="46">
                  <c:v>1314</c:v>
                </c:pt>
                <c:pt idx="47">
                  <c:v>1303</c:v>
                </c:pt>
                <c:pt idx="48">
                  <c:v>1534</c:v>
                </c:pt>
                <c:pt idx="49">
                  <c:v>1543</c:v>
                </c:pt>
                <c:pt idx="50">
                  <c:v>1308</c:v>
                </c:pt>
                <c:pt idx="51">
                  <c:v>1302</c:v>
                </c:pt>
                <c:pt idx="52">
                  <c:v>2043</c:v>
                </c:pt>
                <c:pt idx="53">
                  <c:v>1516</c:v>
                </c:pt>
                <c:pt idx="54">
                  <c:v>1514</c:v>
                </c:pt>
                <c:pt idx="55">
                  <c:v>1302</c:v>
                </c:pt>
                <c:pt idx="56">
                  <c:v>1112</c:v>
                </c:pt>
                <c:pt idx="57">
                  <c:v>1297</c:v>
                </c:pt>
                <c:pt idx="58">
                  <c:v>1301</c:v>
                </c:pt>
                <c:pt idx="59">
                  <c:v>2307</c:v>
                </c:pt>
                <c:pt idx="60">
                  <c:v>1542</c:v>
                </c:pt>
                <c:pt idx="61">
                  <c:v>1295</c:v>
                </c:pt>
                <c:pt idx="62">
                  <c:v>1301</c:v>
                </c:pt>
                <c:pt idx="63">
                  <c:v>1469</c:v>
                </c:pt>
                <c:pt idx="64">
                  <c:v>1472</c:v>
                </c:pt>
                <c:pt idx="65">
                  <c:v>1394</c:v>
                </c:pt>
                <c:pt idx="66">
                  <c:v>1311</c:v>
                </c:pt>
                <c:pt idx="67">
                  <c:v>1322</c:v>
                </c:pt>
                <c:pt idx="68">
                  <c:v>1308</c:v>
                </c:pt>
                <c:pt idx="69">
                  <c:v>1292</c:v>
                </c:pt>
                <c:pt idx="70">
                  <c:v>1285</c:v>
                </c:pt>
                <c:pt idx="71">
                  <c:v>1287</c:v>
                </c:pt>
                <c:pt idx="72">
                  <c:v>1293</c:v>
                </c:pt>
                <c:pt idx="73">
                  <c:v>1298</c:v>
                </c:pt>
                <c:pt idx="74">
                  <c:v>1154</c:v>
                </c:pt>
                <c:pt idx="75">
                  <c:v>1404</c:v>
                </c:pt>
                <c:pt idx="76">
                  <c:v>1309</c:v>
                </c:pt>
                <c:pt idx="77">
                  <c:v>1322</c:v>
                </c:pt>
                <c:pt idx="78">
                  <c:v>1292</c:v>
                </c:pt>
                <c:pt idx="79">
                  <c:v>1291</c:v>
                </c:pt>
                <c:pt idx="80">
                  <c:v>1299</c:v>
                </c:pt>
                <c:pt idx="81">
                  <c:v>1319</c:v>
                </c:pt>
                <c:pt idx="82">
                  <c:v>1548</c:v>
                </c:pt>
                <c:pt idx="83">
                  <c:v>1306</c:v>
                </c:pt>
                <c:pt idx="84">
                  <c:v>1162</c:v>
                </c:pt>
                <c:pt idx="85">
                  <c:v>1567</c:v>
                </c:pt>
                <c:pt idx="86">
                  <c:v>1716</c:v>
                </c:pt>
                <c:pt idx="87">
                  <c:v>1632</c:v>
                </c:pt>
                <c:pt idx="88">
                  <c:v>1720</c:v>
                </c:pt>
                <c:pt idx="89">
                  <c:v>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0-44E3-828F-1C12008B1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948472"/>
        <c:axId val="479950440"/>
      </c:areaChart>
      <c:catAx>
        <c:axId val="47994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0440"/>
        <c:crosses val="autoZero"/>
        <c:auto val="1"/>
        <c:lblAlgn val="ctr"/>
        <c:lblOffset val="100"/>
        <c:noMultiLvlLbl val="0"/>
      </c:catAx>
      <c:valAx>
        <c:axId val="47995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4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898106167927545E-2"/>
          <c:y val="2.1798331779620478E-3"/>
          <c:w val="0.83218560181701307"/>
          <c:h val="0.12257335762144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Parámetros Termonorte  año 2023.xlsx]T. Dina!Despacho Real-G HGS-R GE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>
              <a:lumMod val="60000"/>
              <a:lumOff val="40000"/>
              <a:alpha val="3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>
              <a:lumMod val="40000"/>
              <a:lumOff val="60000"/>
              <a:alpha val="33000"/>
            </a:schemeClr>
          </a:soli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>
              <a:lumMod val="40000"/>
              <a:lumOff val="60000"/>
              <a:alpha val="28000"/>
            </a:schemeClr>
          </a:soli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1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716074494977414E-2"/>
          <c:y val="0.14615334411658212"/>
          <c:w val="0.9100476212087184"/>
          <c:h val="0.679051111111111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Dina'!$BJ$3</c:f>
              <c:strCache>
                <c:ptCount val="1"/>
                <c:pt idx="0">
                  <c:v>G. HGS [MWh]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'T. Dina'!$BI$4:$BI$96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Dina'!$BJ$4:$BJ$96</c:f>
              <c:numCache>
                <c:formatCode>#,##0</c:formatCode>
                <c:ptCount val="90"/>
                <c:pt idx="0">
                  <c:v>446</c:v>
                </c:pt>
                <c:pt idx="1">
                  <c:v>888</c:v>
                </c:pt>
                <c:pt idx="2">
                  <c:v>1282</c:v>
                </c:pt>
                <c:pt idx="3">
                  <c:v>1287</c:v>
                </c:pt>
                <c:pt idx="4">
                  <c:v>1272</c:v>
                </c:pt>
                <c:pt idx="5">
                  <c:v>1278</c:v>
                </c:pt>
                <c:pt idx="6">
                  <c:v>1288</c:v>
                </c:pt>
                <c:pt idx="7">
                  <c:v>997</c:v>
                </c:pt>
                <c:pt idx="8">
                  <c:v>1293</c:v>
                </c:pt>
                <c:pt idx="9">
                  <c:v>1513</c:v>
                </c:pt>
                <c:pt idx="10">
                  <c:v>1282</c:v>
                </c:pt>
                <c:pt idx="11">
                  <c:v>1288</c:v>
                </c:pt>
                <c:pt idx="12">
                  <c:v>1296</c:v>
                </c:pt>
                <c:pt idx="13">
                  <c:v>1287</c:v>
                </c:pt>
                <c:pt idx="14">
                  <c:v>1290</c:v>
                </c:pt>
                <c:pt idx="15">
                  <c:v>1483</c:v>
                </c:pt>
                <c:pt idx="16">
                  <c:v>1482</c:v>
                </c:pt>
                <c:pt idx="17">
                  <c:v>1122</c:v>
                </c:pt>
                <c:pt idx="18">
                  <c:v>1088</c:v>
                </c:pt>
                <c:pt idx="19">
                  <c:v>1121</c:v>
                </c:pt>
                <c:pt idx="20">
                  <c:v>1308</c:v>
                </c:pt>
                <c:pt idx="21">
                  <c:v>1302</c:v>
                </c:pt>
                <c:pt idx="22">
                  <c:v>1312</c:v>
                </c:pt>
                <c:pt idx="23">
                  <c:v>1314</c:v>
                </c:pt>
                <c:pt idx="24">
                  <c:v>1325</c:v>
                </c:pt>
                <c:pt idx="25">
                  <c:v>1514</c:v>
                </c:pt>
                <c:pt idx="26">
                  <c:v>1520</c:v>
                </c:pt>
                <c:pt idx="27">
                  <c:v>1310</c:v>
                </c:pt>
                <c:pt idx="28">
                  <c:v>1022</c:v>
                </c:pt>
                <c:pt idx="29">
                  <c:v>1307</c:v>
                </c:pt>
                <c:pt idx="30">
                  <c:v>1508</c:v>
                </c:pt>
                <c:pt idx="31">
                  <c:v>1434</c:v>
                </c:pt>
                <c:pt idx="32">
                  <c:v>1123</c:v>
                </c:pt>
                <c:pt idx="33">
                  <c:v>1301</c:v>
                </c:pt>
                <c:pt idx="34">
                  <c:v>1248</c:v>
                </c:pt>
                <c:pt idx="35">
                  <c:v>1053</c:v>
                </c:pt>
                <c:pt idx="36">
                  <c:v>1251</c:v>
                </c:pt>
                <c:pt idx="37">
                  <c:v>1539</c:v>
                </c:pt>
                <c:pt idx="38">
                  <c:v>1541</c:v>
                </c:pt>
                <c:pt idx="39">
                  <c:v>1548</c:v>
                </c:pt>
                <c:pt idx="40">
                  <c:v>1545</c:v>
                </c:pt>
                <c:pt idx="41">
                  <c:v>1532</c:v>
                </c:pt>
                <c:pt idx="42">
                  <c:v>1547</c:v>
                </c:pt>
                <c:pt idx="43">
                  <c:v>1515</c:v>
                </c:pt>
                <c:pt idx="44">
                  <c:v>1519</c:v>
                </c:pt>
                <c:pt idx="45">
                  <c:v>1526</c:v>
                </c:pt>
                <c:pt idx="46">
                  <c:v>1314</c:v>
                </c:pt>
                <c:pt idx="47">
                  <c:v>1303</c:v>
                </c:pt>
                <c:pt idx="48">
                  <c:v>1534</c:v>
                </c:pt>
                <c:pt idx="49">
                  <c:v>1543</c:v>
                </c:pt>
                <c:pt idx="50">
                  <c:v>1308</c:v>
                </c:pt>
                <c:pt idx="51">
                  <c:v>1302</c:v>
                </c:pt>
                <c:pt idx="52">
                  <c:v>1407</c:v>
                </c:pt>
                <c:pt idx="53">
                  <c:v>1516</c:v>
                </c:pt>
                <c:pt idx="54">
                  <c:v>1514</c:v>
                </c:pt>
                <c:pt idx="55">
                  <c:v>1302</c:v>
                </c:pt>
                <c:pt idx="56">
                  <c:v>1112</c:v>
                </c:pt>
                <c:pt idx="57">
                  <c:v>1297</c:v>
                </c:pt>
                <c:pt idx="58">
                  <c:v>1301</c:v>
                </c:pt>
                <c:pt idx="59">
                  <c:v>1352</c:v>
                </c:pt>
                <c:pt idx="60">
                  <c:v>1329</c:v>
                </c:pt>
                <c:pt idx="61">
                  <c:v>1295</c:v>
                </c:pt>
                <c:pt idx="62">
                  <c:v>1301</c:v>
                </c:pt>
                <c:pt idx="63">
                  <c:v>1327</c:v>
                </c:pt>
                <c:pt idx="64">
                  <c:v>1330</c:v>
                </c:pt>
                <c:pt idx="65">
                  <c:v>1323</c:v>
                </c:pt>
                <c:pt idx="66">
                  <c:v>1311</c:v>
                </c:pt>
                <c:pt idx="67">
                  <c:v>1322</c:v>
                </c:pt>
                <c:pt idx="68">
                  <c:v>1308</c:v>
                </c:pt>
                <c:pt idx="69">
                  <c:v>1292</c:v>
                </c:pt>
                <c:pt idx="70">
                  <c:v>1285</c:v>
                </c:pt>
                <c:pt idx="71">
                  <c:v>1287</c:v>
                </c:pt>
                <c:pt idx="72">
                  <c:v>1293</c:v>
                </c:pt>
                <c:pt idx="73">
                  <c:v>1298</c:v>
                </c:pt>
                <c:pt idx="74">
                  <c:v>1154</c:v>
                </c:pt>
                <c:pt idx="75">
                  <c:v>1191</c:v>
                </c:pt>
                <c:pt idx="76">
                  <c:v>1309</c:v>
                </c:pt>
                <c:pt idx="77">
                  <c:v>1322</c:v>
                </c:pt>
                <c:pt idx="78">
                  <c:v>1292</c:v>
                </c:pt>
                <c:pt idx="79">
                  <c:v>1291</c:v>
                </c:pt>
                <c:pt idx="80">
                  <c:v>1319</c:v>
                </c:pt>
                <c:pt idx="81">
                  <c:v>1319</c:v>
                </c:pt>
                <c:pt idx="82">
                  <c:v>1335</c:v>
                </c:pt>
                <c:pt idx="83">
                  <c:v>1306</c:v>
                </c:pt>
                <c:pt idx="84">
                  <c:v>1162</c:v>
                </c:pt>
                <c:pt idx="85">
                  <c:v>1354</c:v>
                </c:pt>
                <c:pt idx="86">
                  <c:v>1361</c:v>
                </c:pt>
                <c:pt idx="87">
                  <c:v>1348</c:v>
                </c:pt>
                <c:pt idx="88">
                  <c:v>1365</c:v>
                </c:pt>
                <c:pt idx="89">
                  <c:v>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4-40A0-9541-3AFCF92C3AE7}"/>
            </c:ext>
          </c:extLst>
        </c:ser>
        <c:ser>
          <c:idx val="1"/>
          <c:order val="1"/>
          <c:tx>
            <c:strRef>
              <c:f>'T. Dina'!$BK$3</c:f>
              <c:strCache>
                <c:ptCount val="1"/>
                <c:pt idx="0">
                  <c:v>REP. G.E. [MWh]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'T. Dina'!$BI$4:$BI$96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Dina'!$BK$4:$BK$96</c:f>
              <c:numCache>
                <c:formatCode>#,##0</c:formatCode>
                <c:ptCount val="90"/>
                <c:pt idx="0">
                  <c:v>433.01429999999999</c:v>
                </c:pt>
                <c:pt idx="1">
                  <c:v>878.12479999999982</c:v>
                </c:pt>
                <c:pt idx="2">
                  <c:v>1282.1465000000001</c:v>
                </c:pt>
                <c:pt idx="3">
                  <c:v>1276.4812999999999</c:v>
                </c:pt>
                <c:pt idx="4">
                  <c:v>1261.8854999999999</c:v>
                </c:pt>
                <c:pt idx="5">
                  <c:v>1267.991</c:v>
                </c:pt>
                <c:pt idx="6">
                  <c:v>1277.5884000000001</c:v>
                </c:pt>
                <c:pt idx="7">
                  <c:v>986.96830000000011</c:v>
                </c:pt>
                <c:pt idx="8">
                  <c:v>1281.6406999999999</c:v>
                </c:pt>
                <c:pt idx="9">
                  <c:v>1500.8139000000003</c:v>
                </c:pt>
                <c:pt idx="10">
                  <c:v>1270.4966999999997</c:v>
                </c:pt>
                <c:pt idx="11">
                  <c:v>1277.5336</c:v>
                </c:pt>
                <c:pt idx="12">
                  <c:v>1285.124</c:v>
                </c:pt>
                <c:pt idx="13">
                  <c:v>1276.5210999999999</c:v>
                </c:pt>
                <c:pt idx="14">
                  <c:v>1279.1669000000002</c:v>
                </c:pt>
                <c:pt idx="15">
                  <c:v>1279.1669000000002</c:v>
                </c:pt>
                <c:pt idx="16">
                  <c:v>1471.0787999999998</c:v>
                </c:pt>
                <c:pt idx="17">
                  <c:v>1469.0334999999998</c:v>
                </c:pt>
                <c:pt idx="18">
                  <c:v>1112.6261999999999</c:v>
                </c:pt>
                <c:pt idx="19">
                  <c:v>1078.2340000000002</c:v>
                </c:pt>
                <c:pt idx="20">
                  <c:v>1111.0108</c:v>
                </c:pt>
                <c:pt idx="21">
                  <c:v>1296.9073000000001</c:v>
                </c:pt>
                <c:pt idx="22">
                  <c:v>1291.0401000000002</c:v>
                </c:pt>
                <c:pt idx="23">
                  <c:v>1300.6960999999997</c:v>
                </c:pt>
                <c:pt idx="24">
                  <c:v>1302.8917999999999</c:v>
                </c:pt>
                <c:pt idx="25">
                  <c:v>1344.9563000000001</c:v>
                </c:pt>
                <c:pt idx="26">
                  <c:v>1500.9693000000002</c:v>
                </c:pt>
                <c:pt idx="27">
                  <c:v>1505.8325999999997</c:v>
                </c:pt>
                <c:pt idx="28">
                  <c:v>1299.0276000000001</c:v>
                </c:pt>
                <c:pt idx="29">
                  <c:v>1013.6326999999999</c:v>
                </c:pt>
                <c:pt idx="30">
                  <c:v>1294.7348</c:v>
                </c:pt>
                <c:pt idx="31">
                  <c:v>1421.8445000000002</c:v>
                </c:pt>
                <c:pt idx="32">
                  <c:v>1111.9875999999997</c:v>
                </c:pt>
                <c:pt idx="33">
                  <c:v>1289.2734999999998</c:v>
                </c:pt>
                <c:pt idx="34">
                  <c:v>1237.1931</c:v>
                </c:pt>
                <c:pt idx="35">
                  <c:v>1043.2576999999999</c:v>
                </c:pt>
                <c:pt idx="36">
                  <c:v>1240.7678999999998</c:v>
                </c:pt>
                <c:pt idx="37">
                  <c:v>1524.6209000000001</c:v>
                </c:pt>
                <c:pt idx="38">
                  <c:v>1526.6874999999998</c:v>
                </c:pt>
                <c:pt idx="39">
                  <c:v>1534.8798000000002</c:v>
                </c:pt>
                <c:pt idx="40">
                  <c:v>1530.3915000000002</c:v>
                </c:pt>
                <c:pt idx="41">
                  <c:v>1518.7914000000001</c:v>
                </c:pt>
                <c:pt idx="42">
                  <c:v>1533.1939</c:v>
                </c:pt>
                <c:pt idx="43">
                  <c:v>1502.0784000000001</c:v>
                </c:pt>
                <c:pt idx="44">
                  <c:v>1504.2514999999999</c:v>
                </c:pt>
                <c:pt idx="45">
                  <c:v>1513.3906999999999</c:v>
                </c:pt>
                <c:pt idx="46">
                  <c:v>1303.9017000000001</c:v>
                </c:pt>
                <c:pt idx="47">
                  <c:v>1291.3788999999999</c:v>
                </c:pt>
                <c:pt idx="48">
                  <c:v>1520.7452999999996</c:v>
                </c:pt>
                <c:pt idx="49">
                  <c:v>1529.2641000000001</c:v>
                </c:pt>
                <c:pt idx="50">
                  <c:v>1297.0879</c:v>
                </c:pt>
                <c:pt idx="51">
                  <c:v>1289.8014000000001</c:v>
                </c:pt>
                <c:pt idx="52">
                  <c:v>1395.0833000000002</c:v>
                </c:pt>
                <c:pt idx="53">
                  <c:v>1502.3188999999995</c:v>
                </c:pt>
                <c:pt idx="54">
                  <c:v>1501.5897999999997</c:v>
                </c:pt>
                <c:pt idx="55">
                  <c:v>1291.3181</c:v>
                </c:pt>
                <c:pt idx="56">
                  <c:v>1101.6325999999999</c:v>
                </c:pt>
                <c:pt idx="57">
                  <c:v>1286.3764000000001</c:v>
                </c:pt>
                <c:pt idx="58">
                  <c:v>1289.8073999999997</c:v>
                </c:pt>
                <c:pt idx="59">
                  <c:v>1341.0007000000001</c:v>
                </c:pt>
                <c:pt idx="60">
                  <c:v>1317.2660000000003</c:v>
                </c:pt>
                <c:pt idx="61">
                  <c:v>1283.8994999999998</c:v>
                </c:pt>
                <c:pt idx="62">
                  <c:v>1290.1676999999997</c:v>
                </c:pt>
                <c:pt idx="63">
                  <c:v>1315.4151000000002</c:v>
                </c:pt>
                <c:pt idx="64">
                  <c:v>1319.0060000000001</c:v>
                </c:pt>
                <c:pt idx="65">
                  <c:v>1311.1144000000002</c:v>
                </c:pt>
                <c:pt idx="66">
                  <c:v>1299.5696</c:v>
                </c:pt>
                <c:pt idx="67">
                  <c:v>1310.1997000000001</c:v>
                </c:pt>
                <c:pt idx="68">
                  <c:v>1297.0120000000004</c:v>
                </c:pt>
                <c:pt idx="69">
                  <c:v>1281.1267</c:v>
                </c:pt>
                <c:pt idx="70">
                  <c:v>1274.3511000000001</c:v>
                </c:pt>
                <c:pt idx="71">
                  <c:v>1275.2791000000002</c:v>
                </c:pt>
                <c:pt idx="72">
                  <c:v>1283.1853000000003</c:v>
                </c:pt>
                <c:pt idx="73">
                  <c:v>1287.0416000000002</c:v>
                </c:pt>
                <c:pt idx="74">
                  <c:v>1143.0885000000001</c:v>
                </c:pt>
                <c:pt idx="75">
                  <c:v>1179.6959000000002</c:v>
                </c:pt>
                <c:pt idx="76">
                  <c:v>1297.9580000000001</c:v>
                </c:pt>
                <c:pt idx="77">
                  <c:v>1310.9650000000001</c:v>
                </c:pt>
                <c:pt idx="78">
                  <c:v>1280.3627999999999</c:v>
                </c:pt>
                <c:pt idx="79">
                  <c:v>1280.0310000000002</c:v>
                </c:pt>
                <c:pt idx="80">
                  <c:v>1287.7526</c:v>
                </c:pt>
                <c:pt idx="81">
                  <c:v>1307.5301999999997</c:v>
                </c:pt>
                <c:pt idx="82">
                  <c:v>1323.4137999999998</c:v>
                </c:pt>
                <c:pt idx="83">
                  <c:v>1294.2051000000001</c:v>
                </c:pt>
                <c:pt idx="84">
                  <c:v>1151.9914000000001</c:v>
                </c:pt>
                <c:pt idx="85">
                  <c:v>1341.8279000000002</c:v>
                </c:pt>
                <c:pt idx="86">
                  <c:v>1349.3969999999997</c:v>
                </c:pt>
                <c:pt idx="87">
                  <c:v>1336.5957000000001</c:v>
                </c:pt>
                <c:pt idx="88">
                  <c:v>1352.5559999999998</c:v>
                </c:pt>
                <c:pt idx="89">
                  <c:v>1318.7128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4-40A0-9541-3AFCF92C3AE7}"/>
            </c:ext>
          </c:extLst>
        </c:ser>
        <c:ser>
          <c:idx val="2"/>
          <c:order val="2"/>
          <c:tx>
            <c:strRef>
              <c:f>'T. Dina'!$BL$3</c:f>
              <c:strCache>
                <c:ptCount val="1"/>
                <c:pt idx="0">
                  <c:v>XM [MWh]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'T. Dina'!$BI$4:$BI$96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Dina'!$BL$4:$BL$96</c:f>
              <c:numCache>
                <c:formatCode>#,##0</c:formatCode>
                <c:ptCount val="90"/>
                <c:pt idx="0">
                  <c:v>446</c:v>
                </c:pt>
                <c:pt idx="1">
                  <c:v>888</c:v>
                </c:pt>
                <c:pt idx="2">
                  <c:v>1282</c:v>
                </c:pt>
                <c:pt idx="3">
                  <c:v>1287</c:v>
                </c:pt>
                <c:pt idx="4">
                  <c:v>1272</c:v>
                </c:pt>
                <c:pt idx="5">
                  <c:v>1278</c:v>
                </c:pt>
                <c:pt idx="6">
                  <c:v>1288</c:v>
                </c:pt>
                <c:pt idx="7">
                  <c:v>997</c:v>
                </c:pt>
                <c:pt idx="8">
                  <c:v>1293</c:v>
                </c:pt>
                <c:pt idx="9">
                  <c:v>1513</c:v>
                </c:pt>
                <c:pt idx="10">
                  <c:v>1282</c:v>
                </c:pt>
                <c:pt idx="11">
                  <c:v>1288</c:v>
                </c:pt>
                <c:pt idx="12">
                  <c:v>1296</c:v>
                </c:pt>
                <c:pt idx="13">
                  <c:v>1287</c:v>
                </c:pt>
                <c:pt idx="14">
                  <c:v>1290</c:v>
                </c:pt>
                <c:pt idx="15">
                  <c:v>1483</c:v>
                </c:pt>
                <c:pt idx="16">
                  <c:v>1482</c:v>
                </c:pt>
                <c:pt idx="17">
                  <c:v>1122</c:v>
                </c:pt>
                <c:pt idx="18">
                  <c:v>1088</c:v>
                </c:pt>
                <c:pt idx="19">
                  <c:v>1121</c:v>
                </c:pt>
                <c:pt idx="20">
                  <c:v>1308</c:v>
                </c:pt>
                <c:pt idx="21">
                  <c:v>1302</c:v>
                </c:pt>
                <c:pt idx="22">
                  <c:v>1312</c:v>
                </c:pt>
                <c:pt idx="23">
                  <c:v>1314</c:v>
                </c:pt>
                <c:pt idx="24">
                  <c:v>1325</c:v>
                </c:pt>
                <c:pt idx="25">
                  <c:v>1514</c:v>
                </c:pt>
                <c:pt idx="26">
                  <c:v>1520</c:v>
                </c:pt>
                <c:pt idx="27">
                  <c:v>1522</c:v>
                </c:pt>
                <c:pt idx="28">
                  <c:v>1164</c:v>
                </c:pt>
                <c:pt idx="29">
                  <c:v>1307</c:v>
                </c:pt>
                <c:pt idx="30">
                  <c:v>1508</c:v>
                </c:pt>
                <c:pt idx="31">
                  <c:v>2017</c:v>
                </c:pt>
                <c:pt idx="32">
                  <c:v>2147</c:v>
                </c:pt>
                <c:pt idx="33">
                  <c:v>1301</c:v>
                </c:pt>
                <c:pt idx="34">
                  <c:v>1248</c:v>
                </c:pt>
                <c:pt idx="35">
                  <c:v>1053</c:v>
                </c:pt>
                <c:pt idx="36">
                  <c:v>1337</c:v>
                </c:pt>
                <c:pt idx="37">
                  <c:v>1539</c:v>
                </c:pt>
                <c:pt idx="38">
                  <c:v>1541</c:v>
                </c:pt>
                <c:pt idx="39">
                  <c:v>1548</c:v>
                </c:pt>
                <c:pt idx="40">
                  <c:v>1545</c:v>
                </c:pt>
                <c:pt idx="41">
                  <c:v>1532</c:v>
                </c:pt>
                <c:pt idx="42">
                  <c:v>1547</c:v>
                </c:pt>
                <c:pt idx="43">
                  <c:v>1515</c:v>
                </c:pt>
                <c:pt idx="44">
                  <c:v>1519</c:v>
                </c:pt>
                <c:pt idx="45">
                  <c:v>1526</c:v>
                </c:pt>
                <c:pt idx="46">
                  <c:v>1314</c:v>
                </c:pt>
                <c:pt idx="47">
                  <c:v>1303</c:v>
                </c:pt>
                <c:pt idx="48">
                  <c:v>1534</c:v>
                </c:pt>
                <c:pt idx="49">
                  <c:v>1543</c:v>
                </c:pt>
                <c:pt idx="50">
                  <c:v>1308</c:v>
                </c:pt>
                <c:pt idx="51">
                  <c:v>1302</c:v>
                </c:pt>
                <c:pt idx="52">
                  <c:v>2043</c:v>
                </c:pt>
                <c:pt idx="53">
                  <c:v>1516</c:v>
                </c:pt>
                <c:pt idx="54">
                  <c:v>1514</c:v>
                </c:pt>
                <c:pt idx="55">
                  <c:v>1302</c:v>
                </c:pt>
                <c:pt idx="56">
                  <c:v>1112</c:v>
                </c:pt>
                <c:pt idx="57">
                  <c:v>1297</c:v>
                </c:pt>
                <c:pt idx="58">
                  <c:v>1301</c:v>
                </c:pt>
                <c:pt idx="59">
                  <c:v>2307</c:v>
                </c:pt>
                <c:pt idx="60">
                  <c:v>1542</c:v>
                </c:pt>
                <c:pt idx="61">
                  <c:v>1295</c:v>
                </c:pt>
                <c:pt idx="62">
                  <c:v>1301</c:v>
                </c:pt>
                <c:pt idx="63">
                  <c:v>1469</c:v>
                </c:pt>
                <c:pt idx="64">
                  <c:v>1472</c:v>
                </c:pt>
                <c:pt idx="65">
                  <c:v>1394</c:v>
                </c:pt>
                <c:pt idx="66">
                  <c:v>1311</c:v>
                </c:pt>
                <c:pt idx="67">
                  <c:v>1322</c:v>
                </c:pt>
                <c:pt idx="68">
                  <c:v>1308</c:v>
                </c:pt>
                <c:pt idx="69">
                  <c:v>1292</c:v>
                </c:pt>
                <c:pt idx="70">
                  <c:v>1285</c:v>
                </c:pt>
                <c:pt idx="71">
                  <c:v>1287</c:v>
                </c:pt>
                <c:pt idx="72">
                  <c:v>1293</c:v>
                </c:pt>
                <c:pt idx="73">
                  <c:v>1298</c:v>
                </c:pt>
                <c:pt idx="74">
                  <c:v>1154</c:v>
                </c:pt>
                <c:pt idx="75">
                  <c:v>1404</c:v>
                </c:pt>
                <c:pt idx="76">
                  <c:v>1309</c:v>
                </c:pt>
                <c:pt idx="77">
                  <c:v>1322</c:v>
                </c:pt>
                <c:pt idx="78">
                  <c:v>1292</c:v>
                </c:pt>
                <c:pt idx="79">
                  <c:v>1291</c:v>
                </c:pt>
                <c:pt idx="80">
                  <c:v>1299</c:v>
                </c:pt>
                <c:pt idx="81">
                  <c:v>1319</c:v>
                </c:pt>
                <c:pt idx="82">
                  <c:v>1548</c:v>
                </c:pt>
                <c:pt idx="83">
                  <c:v>1306</c:v>
                </c:pt>
                <c:pt idx="84">
                  <c:v>1162</c:v>
                </c:pt>
                <c:pt idx="85">
                  <c:v>1567</c:v>
                </c:pt>
                <c:pt idx="86">
                  <c:v>1716</c:v>
                </c:pt>
                <c:pt idx="87">
                  <c:v>1632</c:v>
                </c:pt>
                <c:pt idx="88">
                  <c:v>1720</c:v>
                </c:pt>
                <c:pt idx="89">
                  <c:v>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4-40A0-9541-3AFCF92C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1"/>
        <c:overlap val="-10"/>
        <c:axId val="513630504"/>
        <c:axId val="513633784"/>
      </c:barChart>
      <c:catAx>
        <c:axId val="51363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33784"/>
        <c:crosses val="autoZero"/>
        <c:auto val="1"/>
        <c:lblAlgn val="ctr"/>
        <c:lblOffset val="100"/>
        <c:noMultiLvlLbl val="0"/>
      </c:catAx>
      <c:valAx>
        <c:axId val="5136337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669289188391396"/>
          <c:y val="4.6376806889897482E-2"/>
          <c:w val="0.59227954251953452"/>
          <c:h val="0.125509280813795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Parámetros Termonorte  año 2023.xlsx]T. Dina!Consumo Epecifico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>
              <a:lumMod val="60000"/>
              <a:lumOff val="40000"/>
              <a:alpha val="62000"/>
            </a:schemeClr>
          </a:solidFill>
          <a:ln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2">
              <a:lumMod val="60000"/>
              <a:lumOff val="40000"/>
              <a:alpha val="62000"/>
            </a:schemeClr>
          </a:solidFill>
          <a:ln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5">
              <a:lumMod val="50000"/>
              <a:alpha val="94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tx2">
              <a:lumMod val="60000"/>
              <a:lumOff val="40000"/>
              <a:alpha val="62000"/>
            </a:schemeClr>
          </a:solidFill>
          <a:ln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spPr>
          <a:solidFill>
            <a:schemeClr val="accent5">
              <a:lumMod val="5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>
              <a:lumMod val="60000"/>
              <a:lumOff val="40000"/>
              <a:alpha val="55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>
              <a:lumMod val="5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5">
              <a:lumMod val="60000"/>
              <a:lumOff val="40000"/>
              <a:alpha val="55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5">
              <a:lumMod val="5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5">
              <a:lumMod val="60000"/>
              <a:lumOff val="40000"/>
              <a:alpha val="55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>
              <a:lumMod val="40000"/>
              <a:lumOff val="60000"/>
              <a:alpha val="39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</c:spPr>
      </c:pivotFmt>
      <c:pivotFmt>
        <c:idx val="20"/>
        <c:spPr>
          <a:solidFill>
            <a:schemeClr val="tx2">
              <a:lumMod val="50000"/>
              <a:alpha val="4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tx2">
              <a:lumMod val="50000"/>
              <a:alpha val="4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lumMod val="40000"/>
              <a:lumOff val="60000"/>
              <a:alpha val="54000"/>
            </a:schemeClr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2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5">
              <a:lumMod val="50000"/>
            </a:schemeClr>
          </a:solidFill>
          <a:ln>
            <a:solidFill>
              <a:schemeClr val="accent5">
                <a:lumMod val="50000"/>
              </a:schemeClr>
            </a:solidFill>
          </a:ln>
          <a:effectLst/>
        </c:spPr>
      </c:pivotFmt>
      <c:pivotFmt>
        <c:idx val="26"/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03134209399223E-2"/>
          <c:y val="0.15233031907578048"/>
          <c:w val="0.79541923241651802"/>
          <c:h val="0.54663147513232591"/>
        </c:manualLayout>
      </c:layout>
      <c:areaChart>
        <c:grouping val="standard"/>
        <c:varyColors val="0"/>
        <c:ser>
          <c:idx val="0"/>
          <c:order val="0"/>
          <c:tx>
            <c:strRef>
              <c:f>'T. Dina'!$CI$3</c:f>
              <c:strCache>
                <c:ptCount val="1"/>
                <c:pt idx="0">
                  <c:v>G. Un.GE [MWh/Un]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'T. Dina'!$CH$4:$CH$96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Dina'!$CI$4:$CI$96</c:f>
              <c:numCache>
                <c:formatCode>#,##0.00</c:formatCode>
                <c:ptCount val="90"/>
                <c:pt idx="0">
                  <c:v>6.6592779629629639</c:v>
                </c:pt>
                <c:pt idx="1">
                  <c:v>6.6970725</c:v>
                </c:pt>
                <c:pt idx="2">
                  <c:v>7.3802749255952387</c:v>
                </c:pt>
                <c:pt idx="3">
                  <c:v>7.162539136904762</c:v>
                </c:pt>
                <c:pt idx="4">
                  <c:v>7.1087659722222201</c:v>
                </c:pt>
                <c:pt idx="5">
                  <c:v>7.0435220486111119</c:v>
                </c:pt>
                <c:pt idx="6">
                  <c:v>7.5502346230158714</c:v>
                </c:pt>
                <c:pt idx="7">
                  <c:v>6.9479789583333327</c:v>
                </c:pt>
                <c:pt idx="8">
                  <c:v>7.1982469426406936</c:v>
                </c:pt>
                <c:pt idx="9">
                  <c:v>7.2639311507936526</c:v>
                </c:pt>
                <c:pt idx="10">
                  <c:v>6.9722390624999981</c:v>
                </c:pt>
                <c:pt idx="11">
                  <c:v>6.9185159722222211</c:v>
                </c:pt>
                <c:pt idx="12">
                  <c:v>6.9581029513888888</c:v>
                </c:pt>
                <c:pt idx="13">
                  <c:v>6.6876043898809518</c:v>
                </c:pt>
                <c:pt idx="14">
                  <c:v>7.0574094990079361</c:v>
                </c:pt>
                <c:pt idx="15">
                  <c:v>6.5117880539021185</c:v>
                </c:pt>
                <c:pt idx="16">
                  <c:v>6.8105500000000001</c:v>
                </c:pt>
                <c:pt idx="17">
                  <c:v>11.234365016233765</c:v>
                </c:pt>
                <c:pt idx="18">
                  <c:v>8.2662208712121199</c:v>
                </c:pt>
                <c:pt idx="19">
                  <c:v>6.9745471861471877</c:v>
                </c:pt>
                <c:pt idx="20">
                  <c:v>6.3661161525974022</c:v>
                </c:pt>
                <c:pt idx="21">
                  <c:v>6.9567375744047615</c:v>
                </c:pt>
                <c:pt idx="22">
                  <c:v>7.0427497767857146</c:v>
                </c:pt>
                <c:pt idx="23">
                  <c:v>7.0158732142857128</c:v>
                </c:pt>
                <c:pt idx="24">
                  <c:v>6.5148574516908209</c:v>
                </c:pt>
                <c:pt idx="25">
                  <c:v>6.7043127149470898</c:v>
                </c:pt>
                <c:pt idx="26">
                  <c:v>7.7640260499338609</c:v>
                </c:pt>
                <c:pt idx="27">
                  <c:v>8.4260081521739103</c:v>
                </c:pt>
                <c:pt idx="28">
                  <c:v>10.368786666666669</c:v>
                </c:pt>
                <c:pt idx="29">
                  <c:v>5.6452934343434338</c:v>
                </c:pt>
                <c:pt idx="30">
                  <c:v>6.1699271990740732</c:v>
                </c:pt>
                <c:pt idx="31">
                  <c:v>7.2201270254629621</c:v>
                </c:pt>
                <c:pt idx="32">
                  <c:v>6.7034079996392482</c:v>
                </c:pt>
                <c:pt idx="33">
                  <c:v>7.1192190710678211</c:v>
                </c:pt>
                <c:pt idx="34">
                  <c:v>7.146428656462585</c:v>
                </c:pt>
                <c:pt idx="35">
                  <c:v>7.4190681657848323</c:v>
                </c:pt>
                <c:pt idx="36">
                  <c:v>6.554173346560848</c:v>
                </c:pt>
                <c:pt idx="37">
                  <c:v>7.3156628472222218</c:v>
                </c:pt>
                <c:pt idx="38">
                  <c:v>7.2520946180555548</c:v>
                </c:pt>
                <c:pt idx="39">
                  <c:v>7.2539958912037044</c:v>
                </c:pt>
                <c:pt idx="40">
                  <c:v>7.1583727430555575</c:v>
                </c:pt>
                <c:pt idx="41">
                  <c:v>7.2512810763888895</c:v>
                </c:pt>
                <c:pt idx="42">
                  <c:v>7.2467513888888888</c:v>
                </c:pt>
                <c:pt idx="43">
                  <c:v>7.101288368055557</c:v>
                </c:pt>
                <c:pt idx="44">
                  <c:v>7.3620773148148153</c:v>
                </c:pt>
                <c:pt idx="45">
                  <c:v>7.3587273809523817</c:v>
                </c:pt>
                <c:pt idx="46">
                  <c:v>6.9118462053571434</c:v>
                </c:pt>
                <c:pt idx="47">
                  <c:v>6.8042625744047633</c:v>
                </c:pt>
                <c:pt idx="48">
                  <c:v>7.2248140376984109</c:v>
                </c:pt>
                <c:pt idx="49">
                  <c:v>7.2249445601851834</c:v>
                </c:pt>
                <c:pt idx="50">
                  <c:v>6.9131669642857148</c:v>
                </c:pt>
                <c:pt idx="51">
                  <c:v>6.8776429315476184</c:v>
                </c:pt>
                <c:pt idx="52">
                  <c:v>6.9112075396825405</c:v>
                </c:pt>
                <c:pt idx="53">
                  <c:v>7.2283339947089971</c:v>
                </c:pt>
                <c:pt idx="54">
                  <c:v>7.3341610449735439</c:v>
                </c:pt>
                <c:pt idx="55">
                  <c:v>6.893605009920635</c:v>
                </c:pt>
                <c:pt idx="56">
                  <c:v>6.8716251136363642</c:v>
                </c:pt>
                <c:pt idx="57">
                  <c:v>6.8173889136904764</c:v>
                </c:pt>
                <c:pt idx="58">
                  <c:v>6.8372276785714279</c:v>
                </c:pt>
                <c:pt idx="59">
                  <c:v>8.7664216071428562</c:v>
                </c:pt>
                <c:pt idx="60">
                  <c:v>7.0591191964285729</c:v>
                </c:pt>
                <c:pt idx="61">
                  <c:v>6.93547757936508</c:v>
                </c:pt>
                <c:pt idx="62">
                  <c:v>6.8803773809523809</c:v>
                </c:pt>
                <c:pt idx="63">
                  <c:v>7.052626116071429</c:v>
                </c:pt>
                <c:pt idx="64">
                  <c:v>7.0305887648809522</c:v>
                </c:pt>
                <c:pt idx="65">
                  <c:v>6.8689041666666668</c:v>
                </c:pt>
                <c:pt idx="66">
                  <c:v>6.8869596726190485</c:v>
                </c:pt>
                <c:pt idx="67">
                  <c:v>6.9445380952380953</c:v>
                </c:pt>
                <c:pt idx="68">
                  <c:v>6.8746963541666686</c:v>
                </c:pt>
                <c:pt idx="69">
                  <c:v>7.2620048363095222</c:v>
                </c:pt>
                <c:pt idx="70">
                  <c:v>7.3830514136904766</c:v>
                </c:pt>
                <c:pt idx="71">
                  <c:v>6.7586353422619041</c:v>
                </c:pt>
                <c:pt idx="72">
                  <c:v>6.841457142857144</c:v>
                </c:pt>
                <c:pt idx="73">
                  <c:v>6.9026796875000009</c:v>
                </c:pt>
                <c:pt idx="74">
                  <c:v>7.133327096273292</c:v>
                </c:pt>
                <c:pt idx="75">
                  <c:v>6.9148449016563163</c:v>
                </c:pt>
                <c:pt idx="76">
                  <c:v>6.9602006696428589</c:v>
                </c:pt>
                <c:pt idx="77">
                  <c:v>7.1119697916666667</c:v>
                </c:pt>
                <c:pt idx="78">
                  <c:v>6.9054406249999998</c:v>
                </c:pt>
                <c:pt idx="79">
                  <c:v>6.8664376488095238</c:v>
                </c:pt>
                <c:pt idx="80">
                  <c:v>7.5463727678571439</c:v>
                </c:pt>
                <c:pt idx="81">
                  <c:v>7.2149739583333323</c:v>
                </c:pt>
                <c:pt idx="82">
                  <c:v>7.0506061011904748</c:v>
                </c:pt>
                <c:pt idx="83">
                  <c:v>6.9788375</c:v>
                </c:pt>
                <c:pt idx="84">
                  <c:v>6.8517267598343707</c:v>
                </c:pt>
                <c:pt idx="85">
                  <c:v>7.2699832589285691</c:v>
                </c:pt>
                <c:pt idx="86">
                  <c:v>7.1893590029761896</c:v>
                </c:pt>
                <c:pt idx="87">
                  <c:v>7.0815331845238099</c:v>
                </c:pt>
                <c:pt idx="88">
                  <c:v>7.1636046874999986</c:v>
                </c:pt>
                <c:pt idx="89">
                  <c:v>7.0287296875000003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4-47E9-BC09-6EC3E9C7F994}"/>
            </c:ext>
          </c:extLst>
        </c:ser>
        <c:ser>
          <c:idx val="1"/>
          <c:order val="1"/>
          <c:tx>
            <c:strRef>
              <c:f>'T. Dina'!$CJ$3</c:f>
              <c:strCache>
                <c:ptCount val="1"/>
                <c:pt idx="0">
                  <c:v>C. Espe. DO Pilot [gal/Un]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multiLvlStrRef>
              <c:f>'T. Dina'!$CH$4:$CH$96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Dina'!$CJ$4:$CJ$96</c:f>
              <c:numCache>
                <c:formatCode>#,##0.00</c:formatCode>
                <c:ptCount val="90"/>
                <c:pt idx="0">
                  <c:v>9.0148712867218155</c:v>
                </c:pt>
                <c:pt idx="1">
                  <c:v>8.839335909825941</c:v>
                </c:pt>
                <c:pt idx="2">
                  <c:v>8.8267011145063865</c:v>
                </c:pt>
                <c:pt idx="3">
                  <c:v>8.5954195309686252</c:v>
                </c:pt>
                <c:pt idx="4">
                  <c:v>10.030282612973451</c:v>
                </c:pt>
                <c:pt idx="5">
                  <c:v>10.378842959834891</c:v>
                </c:pt>
                <c:pt idx="6">
                  <c:v>9.1774454234408989</c:v>
                </c:pt>
                <c:pt idx="7">
                  <c:v>8.7106731658245558</c:v>
                </c:pt>
                <c:pt idx="8">
                  <c:v>9.2879539043380728</c:v>
                </c:pt>
                <c:pt idx="9">
                  <c:v>9.361335029993116</c:v>
                </c:pt>
                <c:pt idx="10">
                  <c:v>10.122009020042249</c:v>
                </c:pt>
                <c:pt idx="11">
                  <c:v>8.2828945583127798</c:v>
                </c:pt>
                <c:pt idx="12">
                  <c:v>10.342152397007373</c:v>
                </c:pt>
                <c:pt idx="13">
                  <c:v>10.089249588946249</c:v>
                </c:pt>
                <c:pt idx="14">
                  <c:v>10.20194203191649</c:v>
                </c:pt>
                <c:pt idx="15">
                  <c:v>9.9459816769530729</c:v>
                </c:pt>
                <c:pt idx="16">
                  <c:v>9.0503388307884194</c:v>
                </c:pt>
                <c:pt idx="17">
                  <c:v>9.7095535393126919</c:v>
                </c:pt>
                <c:pt idx="18">
                  <c:v>10.589853577139694</c:v>
                </c:pt>
                <c:pt idx="19">
                  <c:v>9.8955131620906815</c:v>
                </c:pt>
                <c:pt idx="20">
                  <c:v>9.8730373437126442</c:v>
                </c:pt>
                <c:pt idx="21">
                  <c:v>9.5782024638486423</c:v>
                </c:pt>
                <c:pt idx="22">
                  <c:v>9.6705840595393635</c:v>
                </c:pt>
                <c:pt idx="23">
                  <c:v>9.8710717778468844</c:v>
                </c:pt>
                <c:pt idx="24">
                  <c:v>9.0689499858458529</c:v>
                </c:pt>
                <c:pt idx="25">
                  <c:v>9.5358335996311485</c:v>
                </c:pt>
                <c:pt idx="26">
                  <c:v>9.8319788567389921</c:v>
                </c:pt>
                <c:pt idx="27">
                  <c:v>9.8042425384110459</c:v>
                </c:pt>
                <c:pt idx="28">
                  <c:v>9.5657538800321635</c:v>
                </c:pt>
                <c:pt idx="29">
                  <c:v>8.44494454413433</c:v>
                </c:pt>
                <c:pt idx="30">
                  <c:v>9.6435029298333319</c:v>
                </c:pt>
                <c:pt idx="31">
                  <c:v>8.8531270555904911</c:v>
                </c:pt>
                <c:pt idx="32">
                  <c:v>8.6559152803925734</c:v>
                </c:pt>
                <c:pt idx="33">
                  <c:v>8.6439471682321649</c:v>
                </c:pt>
                <c:pt idx="34">
                  <c:v>7.9454439315621528</c:v>
                </c:pt>
                <c:pt idx="35">
                  <c:v>9.0231197666356699</c:v>
                </c:pt>
                <c:pt idx="36">
                  <c:v>8.851313417521121</c:v>
                </c:pt>
                <c:pt idx="37">
                  <c:v>9.4050142714544513</c:v>
                </c:pt>
                <c:pt idx="38">
                  <c:v>8.2339738078760831</c:v>
                </c:pt>
                <c:pt idx="39">
                  <c:v>9.2643671139489552</c:v>
                </c:pt>
                <c:pt idx="40">
                  <c:v>9.00906194760746</c:v>
                </c:pt>
                <c:pt idx="41">
                  <c:v>9.4218307794170642</c:v>
                </c:pt>
                <c:pt idx="42">
                  <c:v>9.5395463351553573</c:v>
                </c:pt>
                <c:pt idx="43">
                  <c:v>9.1772270272335952</c:v>
                </c:pt>
                <c:pt idx="44">
                  <c:v>9.6199161394442143</c:v>
                </c:pt>
                <c:pt idx="45">
                  <c:v>9.6710208519539744</c:v>
                </c:pt>
                <c:pt idx="46">
                  <c:v>9.6469972691502424</c:v>
                </c:pt>
                <c:pt idx="47">
                  <c:v>9.4936831316209602</c:v>
                </c:pt>
                <c:pt idx="48">
                  <c:v>9.4253251187339693</c:v>
                </c:pt>
                <c:pt idx="49">
                  <c:v>9.5227298271927427</c:v>
                </c:pt>
                <c:pt idx="50">
                  <c:v>8.7565959319609501</c:v>
                </c:pt>
                <c:pt idx="51">
                  <c:v>9.0573275094222296</c:v>
                </c:pt>
                <c:pt idx="52">
                  <c:v>8.7011232953050559</c:v>
                </c:pt>
                <c:pt idx="53">
                  <c:v>9.7861156532045879</c:v>
                </c:pt>
                <c:pt idx="54">
                  <c:v>9.6258128370414919</c:v>
                </c:pt>
                <c:pt idx="55">
                  <c:v>9.5369255806676829</c:v>
                </c:pt>
                <c:pt idx="56">
                  <c:v>8.8001004564564358</c:v>
                </c:pt>
                <c:pt idx="57">
                  <c:v>9.2696086229243182</c:v>
                </c:pt>
                <c:pt idx="58">
                  <c:v>9.4681307753660811</c:v>
                </c:pt>
                <c:pt idx="59">
                  <c:v>9.2401251349379141</c:v>
                </c:pt>
                <c:pt idx="60">
                  <c:v>9.2302973056091151</c:v>
                </c:pt>
                <c:pt idx="61">
                  <c:v>9.4569925687934386</c:v>
                </c:pt>
                <c:pt idx="62">
                  <c:v>9.4366817215139207</c:v>
                </c:pt>
                <c:pt idx="63">
                  <c:v>9.5899958590432028</c:v>
                </c:pt>
                <c:pt idx="64">
                  <c:v>9.3934392724671998</c:v>
                </c:pt>
                <c:pt idx="65">
                  <c:v>9.0927076950059131</c:v>
                </c:pt>
                <c:pt idx="66">
                  <c:v>9.5487189758622417</c:v>
                </c:pt>
                <c:pt idx="67">
                  <c:v>9.4936831316209602</c:v>
                </c:pt>
                <c:pt idx="68">
                  <c:v>9.0887765632743935</c:v>
                </c:pt>
                <c:pt idx="69">
                  <c:v>9.4491303053303977</c:v>
                </c:pt>
                <c:pt idx="70">
                  <c:v>9.643066137418721</c:v>
                </c:pt>
                <c:pt idx="71">
                  <c:v>9.0278440214358309</c:v>
                </c:pt>
                <c:pt idx="72">
                  <c:v>9.4484751167084795</c:v>
                </c:pt>
                <c:pt idx="73">
                  <c:v>9.0828798656771124</c:v>
                </c:pt>
                <c:pt idx="74">
                  <c:v>9.5709042323296849</c:v>
                </c:pt>
                <c:pt idx="75">
                  <c:v>9.5208592161997299</c:v>
                </c:pt>
                <c:pt idx="76">
                  <c:v>8.3025502169703795</c:v>
                </c:pt>
                <c:pt idx="77">
                  <c:v>9.1732958955020738</c:v>
                </c:pt>
                <c:pt idx="78">
                  <c:v>9.4445439849769581</c:v>
                </c:pt>
                <c:pt idx="79">
                  <c:v>9.5506845417280015</c:v>
                </c:pt>
                <c:pt idx="80">
                  <c:v>9.6764807571366429</c:v>
                </c:pt>
                <c:pt idx="81">
                  <c:v>8.8332530007255841</c:v>
                </c:pt>
                <c:pt idx="82">
                  <c:v>8.9511869526711934</c:v>
                </c:pt>
                <c:pt idx="83">
                  <c:v>8.3615171929431824</c:v>
                </c:pt>
                <c:pt idx="84">
                  <c:v>7.9237942205769665</c:v>
                </c:pt>
                <c:pt idx="85">
                  <c:v>7.9015747803553325</c:v>
                </c:pt>
                <c:pt idx="86">
                  <c:v>9.1634680661732748</c:v>
                </c:pt>
                <c:pt idx="87">
                  <c:v>8.6622487704044655</c:v>
                </c:pt>
                <c:pt idx="88">
                  <c:v>8.6740421655990279</c:v>
                </c:pt>
                <c:pt idx="89">
                  <c:v>9.0101539286439891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4-47E9-BC09-6EC3E9C7F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89240"/>
        <c:axId val="632789568"/>
      </c:areaChart>
      <c:catAx>
        <c:axId val="63278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9568"/>
        <c:crosses val="autoZero"/>
        <c:auto val="1"/>
        <c:lblAlgn val="ctr"/>
        <c:lblOffset val="100"/>
        <c:noMultiLvlLbl val="0"/>
      </c:catAx>
      <c:valAx>
        <c:axId val="632789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/>
                  <a:t>MWh/Un</a:t>
                </a:r>
              </a:p>
            </c:rich>
          </c:tx>
          <c:layout>
            <c:manualLayout>
              <c:xMode val="edge"/>
              <c:yMode val="edge"/>
              <c:x val="2.8629847630598317E-3"/>
              <c:y val="0.292357672794510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9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111799704282247"/>
          <c:y val="2.9494107744107743E-2"/>
          <c:w val="0.7758021101546948"/>
          <c:h val="0.10319210148085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Parámetros Termonorte  año 2023.xlsx]T. Dina!Consumo combustibles</c:name>
    <c:fmtId val="1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157894041105222E-2"/>
          <c:y val="0.20544610247711609"/>
          <c:w val="0.87652949610217823"/>
          <c:h val="0.48305578477666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Dina'!$CM$3</c:f>
              <c:strCache>
                <c:ptCount val="1"/>
                <c:pt idx="0">
                  <c:v>C. DO Storage [gal]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'T. Dina'!$CL$4:$CL$96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Dina'!$CM$4:$CM$96</c:f>
              <c:numCache>
                <c:formatCode>#,##0.00</c:formatCode>
                <c:ptCount val="90"/>
                <c:pt idx="0">
                  <c:v>369.84087330140778</c:v>
                </c:pt>
                <c:pt idx="1">
                  <c:v>501.92689948048201</c:v>
                </c:pt>
                <c:pt idx="2">
                  <c:v>1109.5226199042233</c:v>
                </c:pt>
                <c:pt idx="3">
                  <c:v>1585.0323141488905</c:v>
                </c:pt>
                <c:pt idx="4">
                  <c:v>422.67528377303745</c:v>
                </c:pt>
                <c:pt idx="5">
                  <c:v>290.58925759396328</c:v>
                </c:pt>
                <c:pt idx="6">
                  <c:v>1928.4559822144838</c:v>
                </c:pt>
                <c:pt idx="7">
                  <c:v>501.92689948048201</c:v>
                </c:pt>
                <c:pt idx="8">
                  <c:v>528.3441047162969</c:v>
                </c:pt>
                <c:pt idx="9">
                  <c:v>317.00646282977812</c:v>
                </c:pt>
                <c:pt idx="10">
                  <c:v>264.17205235814845</c:v>
                </c:pt>
                <c:pt idx="11">
                  <c:v>317.00646282977812</c:v>
                </c:pt>
                <c:pt idx="12">
                  <c:v>264.17205235814845</c:v>
                </c:pt>
                <c:pt idx="13">
                  <c:v>343.42366806559295</c:v>
                </c:pt>
                <c:pt idx="14">
                  <c:v>264.17205235814845</c:v>
                </c:pt>
                <c:pt idx="15">
                  <c:v>4173.9184272587445</c:v>
                </c:pt>
                <c:pt idx="16">
                  <c:v>264.17205235814845</c:v>
                </c:pt>
                <c:pt idx="17">
                  <c:v>396.25807853722262</c:v>
                </c:pt>
                <c:pt idx="18">
                  <c:v>4306.0044534378194</c:v>
                </c:pt>
                <c:pt idx="19">
                  <c:v>739.68174660281556</c:v>
                </c:pt>
                <c:pt idx="20">
                  <c:v>343.42366806559295</c:v>
                </c:pt>
                <c:pt idx="21">
                  <c:v>211.33764188651872</c:v>
                </c:pt>
                <c:pt idx="22">
                  <c:v>211.33764188651872</c:v>
                </c:pt>
                <c:pt idx="23">
                  <c:v>713.26454136700079</c:v>
                </c:pt>
                <c:pt idx="24">
                  <c:v>2219.0452398084467</c:v>
                </c:pt>
                <c:pt idx="25">
                  <c:v>5098.5206105122643</c:v>
                </c:pt>
                <c:pt idx="26">
                  <c:v>6842.0561560760443</c:v>
                </c:pt>
                <c:pt idx="27">
                  <c:v>211.33764188651872</c:v>
                </c:pt>
                <c:pt idx="28">
                  <c:v>2219.0452398084467</c:v>
                </c:pt>
                <c:pt idx="29">
                  <c:v>554.76130995211167</c:v>
                </c:pt>
                <c:pt idx="30">
                  <c:v>2034.1248031577429</c:v>
                </c:pt>
                <c:pt idx="31">
                  <c:v>1664.2839298563351</c:v>
                </c:pt>
                <c:pt idx="32">
                  <c:v>871.76777278188979</c:v>
                </c:pt>
                <c:pt idx="33">
                  <c:v>12944.430565549274</c:v>
                </c:pt>
                <c:pt idx="34">
                  <c:v>9246.0218325351943</c:v>
                </c:pt>
                <c:pt idx="35">
                  <c:v>1030.2710041967789</c:v>
                </c:pt>
                <c:pt idx="36">
                  <c:v>607.59572042374134</c:v>
                </c:pt>
                <c:pt idx="37">
                  <c:v>369.84087330140778</c:v>
                </c:pt>
                <c:pt idx="38">
                  <c:v>211.33764188651872</c:v>
                </c:pt>
                <c:pt idx="39">
                  <c:v>264.17205235814845</c:v>
                </c:pt>
                <c:pt idx="40">
                  <c:v>369.84087330140778</c:v>
                </c:pt>
                <c:pt idx="41">
                  <c:v>264.17205235814845</c:v>
                </c:pt>
                <c:pt idx="42">
                  <c:v>317.00646282977812</c:v>
                </c:pt>
                <c:pt idx="43">
                  <c:v>211.33764188651872</c:v>
                </c:pt>
                <c:pt idx="44">
                  <c:v>396.25807853722262</c:v>
                </c:pt>
                <c:pt idx="45">
                  <c:v>237.75484712233359</c:v>
                </c:pt>
                <c:pt idx="46">
                  <c:v>105.66882094325936</c:v>
                </c:pt>
                <c:pt idx="47">
                  <c:v>264.17205235814845</c:v>
                </c:pt>
                <c:pt idx="48">
                  <c:v>369.84087330140778</c:v>
                </c:pt>
                <c:pt idx="49">
                  <c:v>396.25807853722262</c:v>
                </c:pt>
                <c:pt idx="50">
                  <c:v>369.84087330140778</c:v>
                </c:pt>
                <c:pt idx="51">
                  <c:v>396.25807853722262</c:v>
                </c:pt>
                <c:pt idx="52">
                  <c:v>422.67528377303745</c:v>
                </c:pt>
                <c:pt idx="53">
                  <c:v>686.8473361311859</c:v>
                </c:pt>
                <c:pt idx="54">
                  <c:v>528.3441047162969</c:v>
                </c:pt>
                <c:pt idx="55">
                  <c:v>264.17205235814845</c:v>
                </c:pt>
                <c:pt idx="56">
                  <c:v>792.51615707444523</c:v>
                </c:pt>
                <c:pt idx="57">
                  <c:v>396.25807853722262</c:v>
                </c:pt>
                <c:pt idx="58">
                  <c:v>475.50969424466717</c:v>
                </c:pt>
                <c:pt idx="59">
                  <c:v>501.92689948048201</c:v>
                </c:pt>
                <c:pt idx="60">
                  <c:v>951.01938848933435</c:v>
                </c:pt>
                <c:pt idx="61">
                  <c:v>581.17851518792656</c:v>
                </c:pt>
                <c:pt idx="62">
                  <c:v>343.42366806559295</c:v>
                </c:pt>
                <c:pt idx="63">
                  <c:v>317.00646282977812</c:v>
                </c:pt>
                <c:pt idx="64">
                  <c:v>184.92043665070389</c:v>
                </c:pt>
                <c:pt idx="65">
                  <c:v>184.92043665070389</c:v>
                </c:pt>
                <c:pt idx="66">
                  <c:v>369.84087330140778</c:v>
                </c:pt>
                <c:pt idx="67">
                  <c:v>607.59572042374134</c:v>
                </c:pt>
                <c:pt idx="68">
                  <c:v>343.42366806559295</c:v>
                </c:pt>
                <c:pt idx="69">
                  <c:v>475.50969424466717</c:v>
                </c:pt>
                <c:pt idx="70">
                  <c:v>554.76130995211167</c:v>
                </c:pt>
                <c:pt idx="71">
                  <c:v>264.17205235814845</c:v>
                </c:pt>
                <c:pt idx="72">
                  <c:v>475.50969424466717</c:v>
                </c:pt>
                <c:pt idx="73">
                  <c:v>264.17205235814845</c:v>
                </c:pt>
                <c:pt idx="74">
                  <c:v>607.59572042374134</c:v>
                </c:pt>
                <c:pt idx="75">
                  <c:v>739.68174660281556</c:v>
                </c:pt>
                <c:pt idx="76">
                  <c:v>264.17205235814845</c:v>
                </c:pt>
                <c:pt idx="77">
                  <c:v>634.01292565955623</c:v>
                </c:pt>
                <c:pt idx="78">
                  <c:v>475.50969424466717</c:v>
                </c:pt>
                <c:pt idx="79">
                  <c:v>317.00646282977812</c:v>
                </c:pt>
                <c:pt idx="80">
                  <c:v>818.93336231026001</c:v>
                </c:pt>
                <c:pt idx="81">
                  <c:v>554.76130995211167</c:v>
                </c:pt>
                <c:pt idx="82">
                  <c:v>343.42366806559295</c:v>
                </c:pt>
                <c:pt idx="83">
                  <c:v>317.00646282977812</c:v>
                </c:pt>
                <c:pt idx="84">
                  <c:v>634.01292565955623</c:v>
                </c:pt>
                <c:pt idx="85">
                  <c:v>554.76130995211167</c:v>
                </c:pt>
                <c:pt idx="86">
                  <c:v>2139.793624101002</c:v>
                </c:pt>
                <c:pt idx="87">
                  <c:v>396.25807853722262</c:v>
                </c:pt>
                <c:pt idx="88">
                  <c:v>766.09895183863057</c:v>
                </c:pt>
                <c:pt idx="89">
                  <c:v>1241.6086460832973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8-469B-9952-460A41C4DDFE}"/>
            </c:ext>
          </c:extLst>
        </c:ser>
        <c:ser>
          <c:idx val="1"/>
          <c:order val="1"/>
          <c:tx>
            <c:strRef>
              <c:f>'T. Dina'!$CN$3</c:f>
              <c:strCache>
                <c:ptCount val="1"/>
                <c:pt idx="0">
                  <c:v>C. DO Pilot [gal]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'T. Dina'!$CL$4:$CL$96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Dina'!$CN$4:$CN$96</c:f>
              <c:numCache>
                <c:formatCode>#,##0.00</c:formatCode>
                <c:ptCount val="90"/>
                <c:pt idx="0">
                  <c:v>634.01292565955623</c:v>
                </c:pt>
                <c:pt idx="1">
                  <c:v>1241.6086460832978</c:v>
                </c:pt>
                <c:pt idx="2">
                  <c:v>1532.1979036772611</c:v>
                </c:pt>
                <c:pt idx="3">
                  <c:v>1532.1979036772614</c:v>
                </c:pt>
                <c:pt idx="4">
                  <c:v>1780.5196328939212</c:v>
                </c:pt>
                <c:pt idx="5">
                  <c:v>1867.6964101721087</c:v>
                </c:pt>
                <c:pt idx="6">
                  <c:v>1693.3428556157312</c:v>
                </c:pt>
                <c:pt idx="7">
                  <c:v>1363.1277901680462</c:v>
                </c:pt>
                <c:pt idx="8">
                  <c:v>1722.4017813751279</c:v>
                </c:pt>
                <c:pt idx="9">
                  <c:v>1933.7394232616457</c:v>
                </c:pt>
                <c:pt idx="10">
                  <c:v>1843.9209254598757</c:v>
                </c:pt>
                <c:pt idx="11">
                  <c:v>1529.5561831536797</c:v>
                </c:pt>
                <c:pt idx="12">
                  <c:v>1909.9639385494124</c:v>
                </c:pt>
                <c:pt idx="13">
                  <c:v>1925.814261690901</c:v>
                </c:pt>
                <c:pt idx="14">
                  <c:v>1849.2043665070389</c:v>
                </c:pt>
                <c:pt idx="15">
                  <c:v>1954.8731874502976</c:v>
                </c:pt>
                <c:pt idx="16">
                  <c:v>1954.8731874502973</c:v>
                </c:pt>
                <c:pt idx="17">
                  <c:v>1585.0323141488905</c:v>
                </c:pt>
                <c:pt idx="18">
                  <c:v>1492.572095823539</c:v>
                </c:pt>
                <c:pt idx="19">
                  <c:v>1603.5243578139607</c:v>
                </c:pt>
                <c:pt idx="20">
                  <c:v>1862.4129691249461</c:v>
                </c:pt>
                <c:pt idx="21">
                  <c:v>1785.8030739410842</c:v>
                </c:pt>
                <c:pt idx="22">
                  <c:v>1772.5944713231768</c:v>
                </c:pt>
                <c:pt idx="23">
                  <c:v>1830.7123228419689</c:v>
                </c:pt>
                <c:pt idx="24">
                  <c:v>1806.936838129735</c:v>
                </c:pt>
                <c:pt idx="25">
                  <c:v>1875.6215717428536</c:v>
                </c:pt>
                <c:pt idx="26">
                  <c:v>1902.038776978668</c:v>
                </c:pt>
                <c:pt idx="27">
                  <c:v>1828.0706023183873</c:v>
                </c:pt>
                <c:pt idx="28">
                  <c:v>1397.4701569746057</c:v>
                </c:pt>
                <c:pt idx="29">
                  <c:v>1648.4336067148454</c:v>
                </c:pt>
                <c:pt idx="30">
                  <c:v>2020.9162005398359</c:v>
                </c:pt>
                <c:pt idx="31">
                  <c:v>1743.5355455637796</c:v>
                </c:pt>
                <c:pt idx="32">
                  <c:v>1566.5402704838207</c:v>
                </c:pt>
                <c:pt idx="33">
                  <c:v>1709.1931787572203</c:v>
                </c:pt>
                <c:pt idx="34">
                  <c:v>1505.7806984414458</c:v>
                </c:pt>
                <c:pt idx="35">
                  <c:v>1341.9940259793934</c:v>
                </c:pt>
                <c:pt idx="36">
                  <c:v>1608.8077988611235</c:v>
                </c:pt>
                <c:pt idx="37">
                  <c:v>1960.1566284974608</c:v>
                </c:pt>
                <c:pt idx="38">
                  <c:v>1732.9686634694538</c:v>
                </c:pt>
                <c:pt idx="39">
                  <c:v>1960.1566284974604</c:v>
                </c:pt>
                <c:pt idx="40">
                  <c:v>1925.814261690901</c:v>
                </c:pt>
                <c:pt idx="41">
                  <c:v>1973.3652311153678</c:v>
                </c:pt>
                <c:pt idx="42">
                  <c:v>2018.2744800162545</c:v>
                </c:pt>
                <c:pt idx="43">
                  <c:v>1941.6645848323901</c:v>
                </c:pt>
                <c:pt idx="44">
                  <c:v>1965.4400695446238</c:v>
                </c:pt>
                <c:pt idx="45">
                  <c:v>1989.2155542568576</c:v>
                </c:pt>
                <c:pt idx="46">
                  <c:v>1820.1454407476431</c:v>
                </c:pt>
                <c:pt idx="47">
                  <c:v>1801.6533970825724</c:v>
                </c:pt>
                <c:pt idx="48">
                  <c:v>1983.932113209695</c:v>
                </c:pt>
                <c:pt idx="49">
                  <c:v>2015.6327594926729</c:v>
                </c:pt>
                <c:pt idx="50">
                  <c:v>1643.150165667683</c:v>
                </c:pt>
                <c:pt idx="51">
                  <c:v>1698.626296662894</c:v>
                </c:pt>
                <c:pt idx="52">
                  <c:v>1756.7441481816863</c:v>
                </c:pt>
                <c:pt idx="53">
                  <c:v>2034.1248031577436</c:v>
                </c:pt>
                <c:pt idx="54">
                  <c:v>1970.7235105917878</c:v>
                </c:pt>
                <c:pt idx="55">
                  <c:v>1785.8030739410842</c:v>
                </c:pt>
                <c:pt idx="56">
                  <c:v>1542.7647857715872</c:v>
                </c:pt>
                <c:pt idx="57">
                  <c:v>1748.8189866109431</c:v>
                </c:pt>
                <c:pt idx="58">
                  <c:v>1785.803073941084</c:v>
                </c:pt>
                <c:pt idx="59">
                  <c:v>1695.9845761393126</c:v>
                </c:pt>
                <c:pt idx="60">
                  <c:v>1722.4017813751273</c:v>
                </c:pt>
                <c:pt idx="61">
                  <c:v>1751.4607071345245</c:v>
                </c:pt>
                <c:pt idx="62">
                  <c:v>1769.9527507995949</c:v>
                </c:pt>
                <c:pt idx="63">
                  <c:v>1788.4447944646654</c:v>
                </c:pt>
                <c:pt idx="64">
                  <c:v>1762.0275892288503</c:v>
                </c:pt>
                <c:pt idx="65">
                  <c:v>1735.6103839930352</c:v>
                </c:pt>
                <c:pt idx="66">
                  <c:v>1801.6533970825728</c:v>
                </c:pt>
                <c:pt idx="67">
                  <c:v>1791.0865149882468</c:v>
                </c:pt>
                <c:pt idx="68">
                  <c:v>1714.4766198043833</c:v>
                </c:pt>
                <c:pt idx="69">
                  <c:v>1666.9256503799163</c:v>
                </c:pt>
                <c:pt idx="70">
                  <c:v>1664.2839298563345</c:v>
                </c:pt>
                <c:pt idx="71">
                  <c:v>1703.9097377100566</c:v>
                </c:pt>
                <c:pt idx="72">
                  <c:v>1772.5944713231763</c:v>
                </c:pt>
                <c:pt idx="73">
                  <c:v>1693.342855615731</c:v>
                </c:pt>
                <c:pt idx="74">
                  <c:v>1532.1979036772607</c:v>
                </c:pt>
                <c:pt idx="75">
                  <c:v>1622.0164014790321</c:v>
                </c:pt>
                <c:pt idx="76">
                  <c:v>1548.04822681875</c:v>
                </c:pt>
                <c:pt idx="77">
                  <c:v>1690.7011350921489</c:v>
                </c:pt>
                <c:pt idx="78">
                  <c:v>1751.4607071345245</c:v>
                </c:pt>
                <c:pt idx="79">
                  <c:v>1780.5196328939214</c:v>
                </c:pt>
                <c:pt idx="80">
                  <c:v>1651.0753272384272</c:v>
                </c:pt>
                <c:pt idx="81">
                  <c:v>1600.8826372903795</c:v>
                </c:pt>
                <c:pt idx="82">
                  <c:v>1680.1342529978231</c:v>
                </c:pt>
                <c:pt idx="83">
                  <c:v>1550.6899473423314</c:v>
                </c:pt>
                <c:pt idx="84">
                  <c:v>1331.4271438850687</c:v>
                </c:pt>
                <c:pt idx="85">
                  <c:v>1458.2297290169795</c:v>
                </c:pt>
                <c:pt idx="86">
                  <c:v>1719.7600608515463</c:v>
                </c:pt>
                <c:pt idx="87">
                  <c:v>1635.2250040969388</c:v>
                </c:pt>
                <c:pt idx="88">
                  <c:v>1637.8667246205202</c:v>
                </c:pt>
                <c:pt idx="89">
                  <c:v>1690.7011350921493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8-469B-9952-460A41C4DDFE}"/>
            </c:ext>
          </c:extLst>
        </c:ser>
        <c:ser>
          <c:idx val="2"/>
          <c:order val="2"/>
          <c:tx>
            <c:strRef>
              <c:f>'T. Dina'!$CO$3</c:f>
              <c:strCache>
                <c:ptCount val="1"/>
                <c:pt idx="0">
                  <c:v>C. HFO [gal]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'T. Dina'!$CL$4:$CL$96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Dina'!$CO$4:$CO$96</c:f>
              <c:numCache>
                <c:formatCode>#,##0.00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F8-469B-9952-460A41C4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32855496"/>
        <c:axId val="632853856"/>
      </c:barChart>
      <c:catAx>
        <c:axId val="632855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53856"/>
        <c:crosses val="autoZero"/>
        <c:auto val="1"/>
        <c:lblAlgn val="ctr"/>
        <c:lblOffset val="100"/>
        <c:noMultiLvlLbl val="0"/>
      </c:catAx>
      <c:valAx>
        <c:axId val="63285385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5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685979676465769"/>
          <c:y val="3.2259735294154802E-2"/>
          <c:w val="0.81314020670135356"/>
          <c:h val="0.10325240697773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80955818022747"/>
          <c:y val="0.16647856517935258"/>
          <c:w val="0.40047572178477692"/>
          <c:h val="0.66745953630796151"/>
        </c:manualLayout>
      </c:layout>
      <c:doughnutChart>
        <c:varyColors val="1"/>
        <c:ser>
          <c:idx val="0"/>
          <c:order val="0"/>
          <c:spPr>
            <a:solidFill>
              <a:schemeClr val="accent5">
                <a:lumMod val="50000"/>
              </a:schemeClr>
            </a:solidFill>
          </c:spPr>
          <c:explosion val="10"/>
          <c:dPt>
            <c:idx val="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16-4AE1-9BB6-0CC191D32136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16-4AE1-9BB6-0CC191D3213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16-4AE1-9BB6-0CC191D32136}"/>
              </c:ext>
            </c:extLst>
          </c:dPt>
          <c:dPt>
            <c:idx val="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16-4AE1-9BB6-0CC191D32136}"/>
              </c:ext>
            </c:extLst>
          </c:dPt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16-4AE1-9BB6-0CC191D32136}"/>
              </c:ext>
            </c:extLst>
          </c:dPt>
          <c:dPt>
            <c:idx val="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16-4AE1-9BB6-0CC191D32136}"/>
              </c:ext>
            </c:extLst>
          </c:dPt>
          <c:dPt>
            <c:idx val="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16-4AE1-9BB6-0CC191D32136}"/>
              </c:ext>
            </c:extLst>
          </c:dPt>
          <c:dPt>
            <c:idx val="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616-4AE1-9BB6-0CC191D32136}"/>
              </c:ext>
            </c:extLst>
          </c:dPt>
          <c:dPt>
            <c:idx val="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616-4AE1-9BB6-0CC191D32136}"/>
              </c:ext>
            </c:extLst>
          </c:dPt>
          <c:dPt>
            <c:idx val="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616-4AE1-9BB6-0CC191D3213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616-4AE1-9BB6-0CC191D32136}"/>
              </c:ext>
            </c:extLst>
          </c:dPt>
          <c:dPt>
            <c:idx val="1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616-4AE1-9BB6-0CC191D32136}"/>
              </c:ext>
            </c:extLst>
          </c:dPt>
          <c:dPt>
            <c:idx val="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616-4AE1-9BB6-0CC191D32136}"/>
              </c:ext>
            </c:extLst>
          </c:dPt>
          <c:dPt>
            <c:idx val="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616-4AE1-9BB6-0CC191D32136}"/>
              </c:ext>
            </c:extLst>
          </c:dPt>
          <c:dPt>
            <c:idx val="1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616-4AE1-9BB6-0CC191D32136}"/>
              </c:ext>
            </c:extLst>
          </c:dPt>
          <c:dPt>
            <c:idx val="1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616-4AE1-9BB6-0CC191D3213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616-4AE1-9BB6-0CC191D32136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616-4AE1-9BB6-0CC191D32136}"/>
              </c:ext>
            </c:extLst>
          </c:dPt>
          <c:dPt>
            <c:idx val="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616-4AE1-9BB6-0CC191D32136}"/>
              </c:ext>
            </c:extLst>
          </c:dPt>
          <c:dPt>
            <c:idx val="1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616-4AE1-9BB6-0CC191D32136}"/>
              </c:ext>
            </c:extLst>
          </c:dPt>
          <c:dPt>
            <c:idx val="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616-4AE1-9BB6-0CC191D32136}"/>
              </c:ext>
            </c:extLst>
          </c:dPt>
          <c:dPt>
            <c:idx val="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616-4AE1-9BB6-0CC191D3213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616-4AE1-9BB6-0CC191D32136}"/>
              </c:ext>
            </c:extLst>
          </c:dPt>
          <c:dPt>
            <c:idx val="2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616-4AE1-9BB6-0CC191D32136}"/>
              </c:ext>
            </c:extLst>
          </c:dPt>
          <c:val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30-2616-4AE1-9BB6-0CC191D3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Horas de Generación Mensual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616-4AE1-9BB6-0CC191D32136}"/>
              </c:ext>
            </c:extLst>
          </c:dPt>
          <c:dPt>
            <c:idx val="1"/>
            <c:bubble3D val="0"/>
            <c:spPr>
              <a:solidFill>
                <a:schemeClr val="bg1">
                  <a:alpha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2616-4AE1-9BB6-0CC191D32136}"/>
              </c:ext>
            </c:extLst>
          </c:dPt>
          <c:val>
            <c:numRef>
              <c:f>'T. Dina'!$R$6:$S$6</c:f>
              <c:numCache>
                <c:formatCode>0%</c:formatCode>
                <c:ptCount val="2"/>
                <c:pt idx="0">
                  <c:v>0.97129629629629632</c:v>
                </c:pt>
                <c:pt idx="1">
                  <c:v>2.8703703703703676E-2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616-4AE1-9BB6-0CC191D3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[Copia de Parámetros Termonorte  año 2023.xlsx]T. Dina!Consumo de gas</c:name>
    <c:fmtId val="17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02503105775746E-2"/>
          <c:y val="0.20739871563533915"/>
          <c:w val="0.89883145823312705"/>
          <c:h val="0.44888019426003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Dina'!$EG$3</c:f>
              <c:strCache>
                <c:ptCount val="1"/>
                <c:pt idx="0">
                  <c:v>C. Gas HGS [MBTU]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'T. Dina'!$EF$4:$EF$96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Dina'!$EG$4:$EG$96</c:f>
              <c:numCache>
                <c:formatCode>#,##0.00</c:formatCode>
                <c:ptCount val="90"/>
                <c:pt idx="0">
                  <c:v>4173</c:v>
                </c:pt>
                <c:pt idx="1">
                  <c:v>8470</c:v>
                </c:pt>
                <c:pt idx="2">
                  <c:v>12058</c:v>
                </c:pt>
                <c:pt idx="3">
                  <c:v>12441</c:v>
                </c:pt>
                <c:pt idx="4">
                  <c:v>12168</c:v>
                </c:pt>
                <c:pt idx="5">
                  <c:v>12223</c:v>
                </c:pt>
                <c:pt idx="6">
                  <c:v>11981</c:v>
                </c:pt>
                <c:pt idx="7">
                  <c:v>9581</c:v>
                </c:pt>
                <c:pt idx="8">
                  <c:v>12335</c:v>
                </c:pt>
                <c:pt idx="9">
                  <c:v>14317</c:v>
                </c:pt>
                <c:pt idx="10">
                  <c:v>12259</c:v>
                </c:pt>
                <c:pt idx="11">
                  <c:v>12293</c:v>
                </c:pt>
                <c:pt idx="12">
                  <c:v>12366</c:v>
                </c:pt>
                <c:pt idx="13">
                  <c:v>12470</c:v>
                </c:pt>
                <c:pt idx="14">
                  <c:v>12426</c:v>
                </c:pt>
                <c:pt idx="15">
                  <c:v>13569</c:v>
                </c:pt>
                <c:pt idx="16">
                  <c:v>14313</c:v>
                </c:pt>
                <c:pt idx="17">
                  <c:v>10801</c:v>
                </c:pt>
                <c:pt idx="18">
                  <c:v>9522</c:v>
                </c:pt>
                <c:pt idx="19">
                  <c:v>10682</c:v>
                </c:pt>
                <c:pt idx="20">
                  <c:v>12549</c:v>
                </c:pt>
                <c:pt idx="21">
                  <c:v>12457</c:v>
                </c:pt>
                <c:pt idx="22">
                  <c:v>12472</c:v>
                </c:pt>
                <c:pt idx="23">
                  <c:v>12484</c:v>
                </c:pt>
                <c:pt idx="24">
                  <c:v>12915</c:v>
                </c:pt>
                <c:pt idx="25">
                  <c:v>13609</c:v>
                </c:pt>
                <c:pt idx="26">
                  <c:v>13420</c:v>
                </c:pt>
                <c:pt idx="27">
                  <c:v>12603</c:v>
                </c:pt>
                <c:pt idx="28">
                  <c:v>9552</c:v>
                </c:pt>
                <c:pt idx="29">
                  <c:v>12411</c:v>
                </c:pt>
                <c:pt idx="30">
                  <c:v>14050</c:v>
                </c:pt>
                <c:pt idx="31">
                  <c:v>13448</c:v>
                </c:pt>
                <c:pt idx="32">
                  <c:v>10647</c:v>
                </c:pt>
                <c:pt idx="33">
                  <c:v>10566</c:v>
                </c:pt>
                <c:pt idx="34">
                  <c:v>10532</c:v>
                </c:pt>
                <c:pt idx="35">
                  <c:v>9926</c:v>
                </c:pt>
                <c:pt idx="36">
                  <c:v>11819</c:v>
                </c:pt>
                <c:pt idx="37">
                  <c:v>14466</c:v>
                </c:pt>
                <c:pt idx="38">
                  <c:v>14589</c:v>
                </c:pt>
                <c:pt idx="39">
                  <c:v>14696</c:v>
                </c:pt>
                <c:pt idx="40">
                  <c:v>14685</c:v>
                </c:pt>
                <c:pt idx="41">
                  <c:v>14554</c:v>
                </c:pt>
                <c:pt idx="42">
                  <c:v>14710</c:v>
                </c:pt>
                <c:pt idx="43">
                  <c:v>14546</c:v>
                </c:pt>
                <c:pt idx="44">
                  <c:v>14506</c:v>
                </c:pt>
                <c:pt idx="45">
                  <c:v>14437</c:v>
                </c:pt>
                <c:pt idx="46">
                  <c:v>12636</c:v>
                </c:pt>
                <c:pt idx="47">
                  <c:v>12461</c:v>
                </c:pt>
                <c:pt idx="48">
                  <c:v>14550</c:v>
                </c:pt>
                <c:pt idx="49">
                  <c:v>14609</c:v>
                </c:pt>
                <c:pt idx="50">
                  <c:v>12508</c:v>
                </c:pt>
                <c:pt idx="51">
                  <c:v>12503</c:v>
                </c:pt>
                <c:pt idx="52">
                  <c:v>13463</c:v>
                </c:pt>
                <c:pt idx="53">
                  <c:v>14518</c:v>
                </c:pt>
                <c:pt idx="54">
                  <c:v>14310</c:v>
                </c:pt>
                <c:pt idx="55">
                  <c:v>12535</c:v>
                </c:pt>
                <c:pt idx="56">
                  <c:v>10699</c:v>
                </c:pt>
                <c:pt idx="57">
                  <c:v>12463</c:v>
                </c:pt>
                <c:pt idx="58">
                  <c:v>12427</c:v>
                </c:pt>
                <c:pt idx="59">
                  <c:v>12795</c:v>
                </c:pt>
                <c:pt idx="60">
                  <c:v>12682</c:v>
                </c:pt>
                <c:pt idx="61">
                  <c:v>12498</c:v>
                </c:pt>
                <c:pt idx="62">
                  <c:v>12602</c:v>
                </c:pt>
                <c:pt idx="63">
                  <c:v>12744</c:v>
                </c:pt>
                <c:pt idx="64">
                  <c:v>12724</c:v>
                </c:pt>
                <c:pt idx="65">
                  <c:v>12743</c:v>
                </c:pt>
                <c:pt idx="66">
                  <c:v>12555</c:v>
                </c:pt>
                <c:pt idx="67">
                  <c:v>12716</c:v>
                </c:pt>
                <c:pt idx="68">
                  <c:v>12633</c:v>
                </c:pt>
                <c:pt idx="69">
                  <c:v>12432</c:v>
                </c:pt>
                <c:pt idx="70">
                  <c:v>12281</c:v>
                </c:pt>
                <c:pt idx="71">
                  <c:v>12538</c:v>
                </c:pt>
                <c:pt idx="72">
                  <c:v>12522</c:v>
                </c:pt>
                <c:pt idx="73">
                  <c:v>12517</c:v>
                </c:pt>
                <c:pt idx="74">
                  <c:v>11099</c:v>
                </c:pt>
                <c:pt idx="75">
                  <c:v>11393</c:v>
                </c:pt>
                <c:pt idx="76">
                  <c:v>12595</c:v>
                </c:pt>
                <c:pt idx="77">
                  <c:v>12641</c:v>
                </c:pt>
                <c:pt idx="78">
                  <c:v>12421</c:v>
                </c:pt>
                <c:pt idx="79">
                  <c:v>12571</c:v>
                </c:pt>
                <c:pt idx="80">
                  <c:v>12328</c:v>
                </c:pt>
                <c:pt idx="81">
                  <c:v>12568</c:v>
                </c:pt>
                <c:pt idx="82">
                  <c:v>12797</c:v>
                </c:pt>
                <c:pt idx="83">
                  <c:v>12567</c:v>
                </c:pt>
                <c:pt idx="84">
                  <c:v>11090</c:v>
                </c:pt>
                <c:pt idx="85">
                  <c:v>12860</c:v>
                </c:pt>
                <c:pt idx="86">
                  <c:v>10574</c:v>
                </c:pt>
                <c:pt idx="87">
                  <c:v>12990</c:v>
                </c:pt>
                <c:pt idx="88">
                  <c:v>13104</c:v>
                </c:pt>
                <c:pt idx="89">
                  <c:v>12773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F-4427-828E-85E752FFA008}"/>
            </c:ext>
          </c:extLst>
        </c:ser>
        <c:ser>
          <c:idx val="1"/>
          <c:order val="1"/>
          <c:tx>
            <c:strRef>
              <c:f>'T. Dina'!$EH$3</c:f>
              <c:strCache>
                <c:ptCount val="1"/>
                <c:pt idx="0">
                  <c:v>REP. Gas GC [MBTU]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'T. Dina'!$EF$4:$EF$96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Dina'!$EH$4:$EH$96</c:f>
              <c:numCache>
                <c:formatCode>#,##0.00</c:formatCode>
                <c:ptCount val="90"/>
                <c:pt idx="0">
                  <c:v>4131.8313707209663</c:v>
                </c:pt>
                <c:pt idx="1">
                  <c:v>8440.5728769266352</c:v>
                </c:pt>
                <c:pt idx="2">
                  <c:v>11870.743964812469</c:v>
                </c:pt>
                <c:pt idx="3">
                  <c:v>11929.35050402852</c:v>
                </c:pt>
                <c:pt idx="4">
                  <c:v>12053.07151148521</c:v>
                </c:pt>
                <c:pt idx="5">
                  <c:v>12125.362290650266</c:v>
                </c:pt>
                <c:pt idx="6">
                  <c:v>11876.689045921421</c:v>
                </c:pt>
                <c:pt idx="7">
                  <c:v>9451.9402253428616</c:v>
                </c:pt>
                <c:pt idx="8">
                  <c:v>12153.962000363741</c:v>
                </c:pt>
                <c:pt idx="9">
                  <c:v>14222.709514299791</c:v>
                </c:pt>
                <c:pt idx="10">
                  <c:v>12177.671968810091</c:v>
                </c:pt>
                <c:pt idx="11">
                  <c:v>12215.769737099996</c:v>
                </c:pt>
                <c:pt idx="12">
                  <c:v>12284.190936845023</c:v>
                </c:pt>
                <c:pt idx="13">
                  <c:v>12292.63365557963</c:v>
                </c:pt>
                <c:pt idx="14">
                  <c:v>12226.956339423346</c:v>
                </c:pt>
                <c:pt idx="15">
                  <c:v>13354.059290493116</c:v>
                </c:pt>
                <c:pt idx="16">
                  <c:v>14100.184558663834</c:v>
                </c:pt>
                <c:pt idx="17">
                  <c:v>10627.799877104973</c:v>
                </c:pt>
                <c:pt idx="18">
                  <c:v>9456.1967627048907</c:v>
                </c:pt>
                <c:pt idx="19">
                  <c:v>10581.153856096282</c:v>
                </c:pt>
                <c:pt idx="20">
                  <c:v>12424.128999871102</c:v>
                </c:pt>
                <c:pt idx="21">
                  <c:v>12381.915406198075</c:v>
                </c:pt>
                <c:pt idx="22">
                  <c:v>12388.528869206852</c:v>
                </c:pt>
                <c:pt idx="23">
                  <c:v>12369.462396064535</c:v>
                </c:pt>
                <c:pt idx="24">
                  <c:v>12426.41556952839</c:v>
                </c:pt>
                <c:pt idx="25">
                  <c:v>13507.857483441838</c:v>
                </c:pt>
                <c:pt idx="26">
                  <c:v>13300.166602570554</c:v>
                </c:pt>
                <c:pt idx="27">
                  <c:v>12501.133630329645</c:v>
                </c:pt>
                <c:pt idx="28">
                  <c:v>9439.9797071355042</c:v>
                </c:pt>
                <c:pt idx="29">
                  <c:v>12302.202070145515</c:v>
                </c:pt>
                <c:pt idx="30">
                  <c:v>13959.683647722115</c:v>
                </c:pt>
                <c:pt idx="31">
                  <c:v>13354.835126788468</c:v>
                </c:pt>
                <c:pt idx="32">
                  <c:v>10576.267286085846</c:v>
                </c:pt>
                <c:pt idx="33">
                  <c:v>10476.321586617156</c:v>
                </c:pt>
                <c:pt idx="34">
                  <c:v>10464.290108539615</c:v>
                </c:pt>
                <c:pt idx="35">
                  <c:v>9837.2108783286276</c:v>
                </c:pt>
                <c:pt idx="36">
                  <c:v>11745.818422599972</c:v>
                </c:pt>
                <c:pt idx="37">
                  <c:v>14376.771988409728</c:v>
                </c:pt>
                <c:pt idx="38">
                  <c:v>14498.986476250007</c:v>
                </c:pt>
                <c:pt idx="39">
                  <c:v>14604.947914757468</c:v>
                </c:pt>
                <c:pt idx="40">
                  <c:v>14593.866290212365</c:v>
                </c:pt>
                <c:pt idx="41">
                  <c:v>14464.193693154428</c:v>
                </c:pt>
                <c:pt idx="42">
                  <c:v>14580.568340758242</c:v>
                </c:pt>
                <c:pt idx="43">
                  <c:v>14370.158193443125</c:v>
                </c:pt>
                <c:pt idx="44">
                  <c:v>14297.898965456961</c:v>
                </c:pt>
                <c:pt idx="45">
                  <c:v>14316.966395626632</c:v>
                </c:pt>
                <c:pt idx="46">
                  <c:v>12528.49773332839</c:v>
                </c:pt>
                <c:pt idx="47">
                  <c:v>12375.747213408273</c:v>
                </c:pt>
                <c:pt idx="48">
                  <c:v>14440.658433406259</c:v>
                </c:pt>
                <c:pt idx="49">
                  <c:v>14518.792681389348</c:v>
                </c:pt>
                <c:pt idx="50">
                  <c:v>12425.139597095014</c:v>
                </c:pt>
                <c:pt idx="51">
                  <c:v>12369.977732692725</c:v>
                </c:pt>
                <c:pt idx="52">
                  <c:v>13357.755046906701</c:v>
                </c:pt>
                <c:pt idx="53">
                  <c:v>14285.902667139882</c:v>
                </c:pt>
                <c:pt idx="54">
                  <c:v>14194.646368504971</c:v>
                </c:pt>
                <c:pt idx="55">
                  <c:v>12423.028811467377</c:v>
                </c:pt>
                <c:pt idx="56">
                  <c:v>10592.238897334979</c:v>
                </c:pt>
                <c:pt idx="57">
                  <c:v>12373.49570873879</c:v>
                </c:pt>
                <c:pt idx="58">
                  <c:v>12349.186494260484</c:v>
                </c:pt>
                <c:pt idx="59">
                  <c:v>12715.231901853491</c:v>
                </c:pt>
                <c:pt idx="60">
                  <c:v>12490.855389635501</c:v>
                </c:pt>
                <c:pt idx="61">
                  <c:v>12333.848118699643</c:v>
                </c:pt>
                <c:pt idx="62">
                  <c:v>12401.745056388687</c:v>
                </c:pt>
                <c:pt idx="63">
                  <c:v>12629.920982736428</c:v>
                </c:pt>
                <c:pt idx="64">
                  <c:v>12643.007853627785</c:v>
                </c:pt>
                <c:pt idx="65">
                  <c:v>12647.968199852739</c:v>
                </c:pt>
                <c:pt idx="66">
                  <c:v>12539.403459071191</c:v>
                </c:pt>
                <c:pt idx="67">
                  <c:v>12595.268918682692</c:v>
                </c:pt>
                <c:pt idx="68">
                  <c:v>12499.861408313423</c:v>
                </c:pt>
                <c:pt idx="69">
                  <c:v>12248.888997187189</c:v>
                </c:pt>
                <c:pt idx="70">
                  <c:v>12133.253124553048</c:v>
                </c:pt>
                <c:pt idx="71">
                  <c:v>12133.253124553048</c:v>
                </c:pt>
                <c:pt idx="72">
                  <c:v>12341.622845761447</c:v>
                </c:pt>
                <c:pt idx="73">
                  <c:v>12415.992859375248</c:v>
                </c:pt>
                <c:pt idx="74">
                  <c:v>12424.89333877179</c:v>
                </c:pt>
                <c:pt idx="75">
                  <c:v>11012.425956276917</c:v>
                </c:pt>
                <c:pt idx="76">
                  <c:v>11314.162761747864</c:v>
                </c:pt>
                <c:pt idx="77">
                  <c:v>12497.152566757955</c:v>
                </c:pt>
                <c:pt idx="78">
                  <c:v>12548.831634874643</c:v>
                </c:pt>
                <c:pt idx="79">
                  <c:v>12307.815095958767</c:v>
                </c:pt>
                <c:pt idx="80">
                  <c:v>12379.441088256639</c:v>
                </c:pt>
                <c:pt idx="81">
                  <c:v>12137.545055329248</c:v>
                </c:pt>
                <c:pt idx="82">
                  <c:v>12470.873285693855</c:v>
                </c:pt>
                <c:pt idx="83">
                  <c:v>12654.863432903025</c:v>
                </c:pt>
                <c:pt idx="84">
                  <c:v>12458.103032646639</c:v>
                </c:pt>
                <c:pt idx="85">
                  <c:v>11017.59738106463</c:v>
                </c:pt>
                <c:pt idx="86">
                  <c:v>12774.333899427373</c:v>
                </c:pt>
                <c:pt idx="87">
                  <c:v>12817.569825033504</c:v>
                </c:pt>
                <c:pt idx="88">
                  <c:v>12922.053713601619</c:v>
                </c:pt>
                <c:pt idx="89">
                  <c:v>12568.989637618592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F-4427-828E-85E752FFA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2818720"/>
        <c:axId val="732820360"/>
      </c:barChart>
      <c:catAx>
        <c:axId val="73281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20360"/>
        <c:crosses val="autoZero"/>
        <c:auto val="1"/>
        <c:lblAlgn val="ctr"/>
        <c:lblOffset val="100"/>
        <c:noMultiLvlLbl val="0"/>
      </c:catAx>
      <c:valAx>
        <c:axId val="732820360"/>
        <c:scaling>
          <c:orientation val="minMax"/>
          <c:min val="0"/>
        </c:scaling>
        <c:delete val="0"/>
        <c:axPos val="l"/>
        <c:numFmt formatCode="#,##0" sourceLinked="0"/>
        <c:majorTickMark val="cross"/>
        <c:minorTickMark val="none"/>
        <c:tickLblPos val="nextTo"/>
        <c:spPr>
          <a:noFill/>
          <a:ln>
            <a:solidFill>
              <a:schemeClr val="accent1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1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783437418683319"/>
          <c:y val="0"/>
          <c:w val="0.51786784110432793"/>
          <c:h val="0.14324557357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[Copia de Parámetros Termonorte  año 2023.xlsx]T. Dina!HR</c:name>
    <c:fmtId val="20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10"/>
        <c:marker>
          <c:symbol val="diamond"/>
          <c:size val="5"/>
        </c:marker>
      </c:pivotFmt>
      <c:pivotFmt>
        <c:idx val="1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tx2">
                <a:lumMod val="50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tx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tx2">
                <a:lumMod val="50000"/>
              </a:schemeClr>
            </a:solidFill>
            <a:ln w="9525" cap="flat" cmpd="sng" algn="ctr">
              <a:solidFill>
                <a:schemeClr val="tx2">
                  <a:lumMod val="50000"/>
                </a:schemeClr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x"/>
          <c:size val="4"/>
          <c:spPr>
            <a:solidFill>
              <a:schemeClr val="accent5">
                <a:lumMod val="60000"/>
                <a:lumOff val="40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19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2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2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2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23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24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25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26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27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28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29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</c:pivotFmt>
      <c:pivotFmt>
        <c:idx val="3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</c:pivotFmt>
      <c:pivotFmt>
        <c:idx val="31"/>
        <c:spPr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shade val="76000"/>
              </a:schemeClr>
            </a:solidFill>
            <a:ln w="9525" cap="flat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tint val="77000"/>
              </a:schemeClr>
            </a:solidFill>
            <a:ln w="9525" cap="flat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673708920187799E-2"/>
          <c:y val="0.20735673113859818"/>
          <c:w val="0.89646400625978095"/>
          <c:h val="0.44164678879847385"/>
        </c:manualLayout>
      </c:layout>
      <c:lineChart>
        <c:grouping val="standard"/>
        <c:varyColors val="0"/>
        <c:ser>
          <c:idx val="0"/>
          <c:order val="0"/>
          <c:tx>
            <c:strRef>
              <c:f>'T. Dina'!$EL$3</c:f>
              <c:strCache>
                <c:ptCount val="1"/>
                <c:pt idx="0">
                  <c:v>HR HGS  [BTU/kWh]</c:v>
                </c:pt>
              </c:strCache>
            </c:strRef>
          </c:tx>
          <c:spPr>
            <a:ln w="22225" cap="rnd" cmpd="sng" algn="ctr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tint val="77000"/>
                </a:schemeClr>
              </a:solidFill>
              <a:ln w="9525" cap="flat" cmpd="sng" algn="ctr">
                <a:solidFill>
                  <a:schemeClr val="accent5">
                    <a:tint val="77000"/>
                  </a:schemeClr>
                </a:solidFill>
                <a:round/>
              </a:ln>
              <a:effectLst/>
            </c:spPr>
          </c:marker>
          <c:cat>
            <c:multiLvlStrRef>
              <c:f>'T. Dina'!$EK$4:$EK$96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Dina'!$EL$4:$EL$96</c:f>
              <c:numCache>
                <c:formatCode>#,##0.00</c:formatCode>
                <c:ptCount val="90"/>
                <c:pt idx="0">
                  <c:v>9356.5022421524664</c:v>
                </c:pt>
                <c:pt idx="1">
                  <c:v>9538.2882882882896</c:v>
                </c:pt>
                <c:pt idx="2">
                  <c:v>9405.6162246489857</c:v>
                </c:pt>
                <c:pt idx="3">
                  <c:v>9666.6666666666661</c:v>
                </c:pt>
                <c:pt idx="4">
                  <c:v>9566.0377358490568</c:v>
                </c:pt>
                <c:pt idx="5">
                  <c:v>9564.1627543035993</c:v>
                </c:pt>
                <c:pt idx="6">
                  <c:v>9302.0186335403723</c:v>
                </c:pt>
                <c:pt idx="7">
                  <c:v>9609.8294884653951</c:v>
                </c:pt>
                <c:pt idx="8">
                  <c:v>9539.8298530549109</c:v>
                </c:pt>
                <c:pt idx="9">
                  <c:v>9462.6569729015209</c:v>
                </c:pt>
                <c:pt idx="10">
                  <c:v>9562.4024960998449</c:v>
                </c:pt>
                <c:pt idx="11">
                  <c:v>9544.2546583850926</c:v>
                </c:pt>
                <c:pt idx="12">
                  <c:v>9541.6666666666661</c:v>
                </c:pt>
                <c:pt idx="13">
                  <c:v>9689.1996891996896</c:v>
                </c:pt>
                <c:pt idx="14">
                  <c:v>9632.5581395348836</c:v>
                </c:pt>
                <c:pt idx="15">
                  <c:v>9149.6965610249499</c:v>
                </c:pt>
                <c:pt idx="16">
                  <c:v>9657.894736842105</c:v>
                </c:pt>
                <c:pt idx="17">
                  <c:v>9626.5597147950084</c:v>
                </c:pt>
                <c:pt idx="18">
                  <c:v>8751.8382352941171</c:v>
                </c:pt>
                <c:pt idx="19">
                  <c:v>9528.9919714540574</c:v>
                </c:pt>
                <c:pt idx="20">
                  <c:v>9594.0366972477059</c:v>
                </c:pt>
                <c:pt idx="21">
                  <c:v>9567.5883256528414</c:v>
                </c:pt>
                <c:pt idx="22">
                  <c:v>9506.0975609756097</c:v>
                </c:pt>
                <c:pt idx="23">
                  <c:v>9500.7610350076102</c:v>
                </c:pt>
                <c:pt idx="24">
                  <c:v>9747.1698113207549</c:v>
                </c:pt>
                <c:pt idx="25">
                  <c:v>8988.7714663143979</c:v>
                </c:pt>
                <c:pt idx="26">
                  <c:v>8828.9473684210534</c:v>
                </c:pt>
                <c:pt idx="27">
                  <c:v>9620.6106870228996</c:v>
                </c:pt>
                <c:pt idx="28">
                  <c:v>9346.3796477495107</c:v>
                </c:pt>
                <c:pt idx="29">
                  <c:v>9495.7918898240241</c:v>
                </c:pt>
                <c:pt idx="30">
                  <c:v>9316.9761273209533</c:v>
                </c:pt>
                <c:pt idx="31">
                  <c:v>9377.9637377963736</c:v>
                </c:pt>
                <c:pt idx="32">
                  <c:v>9480.8548530721273</c:v>
                </c:pt>
                <c:pt idx="33">
                  <c:v>8121.4450422751734</c:v>
                </c:pt>
                <c:pt idx="34">
                  <c:v>8439.1025641025644</c:v>
                </c:pt>
                <c:pt idx="35">
                  <c:v>9426.4007597340933</c:v>
                </c:pt>
                <c:pt idx="36">
                  <c:v>9447.6418864908064</c:v>
                </c:pt>
                <c:pt idx="37">
                  <c:v>9399.6101364522419</c:v>
                </c:pt>
                <c:pt idx="38">
                  <c:v>9467.2290720311485</c:v>
                </c:pt>
                <c:pt idx="39">
                  <c:v>9493.5400516795871</c:v>
                </c:pt>
                <c:pt idx="40">
                  <c:v>9504.8543689320395</c:v>
                </c:pt>
                <c:pt idx="41">
                  <c:v>9500</c:v>
                </c:pt>
                <c:pt idx="42">
                  <c:v>9508.7265675500967</c:v>
                </c:pt>
                <c:pt idx="43">
                  <c:v>9601.3201320132011</c:v>
                </c:pt>
                <c:pt idx="44">
                  <c:v>9549.7037524687294</c:v>
                </c:pt>
                <c:pt idx="45">
                  <c:v>9460.6815203145488</c:v>
                </c:pt>
                <c:pt idx="46">
                  <c:v>9616.4383561643845</c:v>
                </c:pt>
                <c:pt idx="47">
                  <c:v>9563.3154259401381</c:v>
                </c:pt>
                <c:pt idx="48">
                  <c:v>9485.0065189048237</c:v>
                </c:pt>
                <c:pt idx="49">
                  <c:v>9467.9196370706413</c:v>
                </c:pt>
                <c:pt idx="50">
                  <c:v>9562.6911314984718</c:v>
                </c:pt>
                <c:pt idx="51">
                  <c:v>9602.918586789554</c:v>
                </c:pt>
                <c:pt idx="52">
                  <c:v>9568.5856432125092</c:v>
                </c:pt>
                <c:pt idx="53">
                  <c:v>9576.517150395779</c:v>
                </c:pt>
                <c:pt idx="54">
                  <c:v>9451.7833553500659</c:v>
                </c:pt>
                <c:pt idx="55">
                  <c:v>9627.4961597542242</c:v>
                </c:pt>
                <c:pt idx="56">
                  <c:v>9621.4028776978412</c:v>
                </c:pt>
                <c:pt idx="57">
                  <c:v>9609.097918272937</c:v>
                </c:pt>
                <c:pt idx="58">
                  <c:v>9551.8831667947743</c:v>
                </c:pt>
                <c:pt idx="59">
                  <c:v>9463.7573964497042</c:v>
                </c:pt>
                <c:pt idx="60">
                  <c:v>9542.5131677953341</c:v>
                </c:pt>
                <c:pt idx="61">
                  <c:v>9650.9652509652515</c:v>
                </c:pt>
                <c:pt idx="62">
                  <c:v>9686.3950807071487</c:v>
                </c:pt>
                <c:pt idx="63">
                  <c:v>9603.6171816126607</c:v>
                </c:pt>
                <c:pt idx="64">
                  <c:v>9566.9172932330821</c:v>
                </c:pt>
                <c:pt idx="65">
                  <c:v>9631.8972033257742</c:v>
                </c:pt>
                <c:pt idx="66">
                  <c:v>9576.6590389016019</c:v>
                </c:pt>
                <c:pt idx="67">
                  <c:v>9618.7594553706513</c:v>
                </c:pt>
                <c:pt idx="68">
                  <c:v>9658.2568807339449</c:v>
                </c:pt>
                <c:pt idx="69">
                  <c:v>9622.2910216718265</c:v>
                </c:pt>
                <c:pt idx="70">
                  <c:v>9557.1984435797658</c:v>
                </c:pt>
                <c:pt idx="71">
                  <c:v>9742.0357420357432</c:v>
                </c:pt>
                <c:pt idx="72">
                  <c:v>9684.4547563805099</c:v>
                </c:pt>
                <c:pt idx="73">
                  <c:v>9643.2973805855163</c:v>
                </c:pt>
                <c:pt idx="74">
                  <c:v>9617.8509532062399</c:v>
                </c:pt>
                <c:pt idx="75">
                  <c:v>10667.602996254682</c:v>
                </c:pt>
                <c:pt idx="76">
                  <c:v>9621.8487394957974</c:v>
                </c:pt>
                <c:pt idx="77">
                  <c:v>9562.027231467473</c:v>
                </c:pt>
                <c:pt idx="78">
                  <c:v>9613.7770897832816</c:v>
                </c:pt>
                <c:pt idx="79">
                  <c:v>9737.4128582494195</c:v>
                </c:pt>
                <c:pt idx="80">
                  <c:v>9346.4746019711893</c:v>
                </c:pt>
                <c:pt idx="81">
                  <c:v>9528.4306292645942</c:v>
                </c:pt>
                <c:pt idx="82">
                  <c:v>9585.7677902621726</c:v>
                </c:pt>
                <c:pt idx="83">
                  <c:v>9622.5114854517615</c:v>
                </c:pt>
                <c:pt idx="84">
                  <c:v>9543.8898450946654</c:v>
                </c:pt>
                <c:pt idx="85">
                  <c:v>9497.7843426883301</c:v>
                </c:pt>
                <c:pt idx="86">
                  <c:v>7769.2872887582653</c:v>
                </c:pt>
                <c:pt idx="87">
                  <c:v>9636.4985163204747</c:v>
                </c:pt>
                <c:pt idx="88">
                  <c:v>9600</c:v>
                </c:pt>
                <c:pt idx="89">
                  <c:v>9596.5439519158535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1-434F-804F-76FEBA7D5487}"/>
            </c:ext>
          </c:extLst>
        </c:ser>
        <c:ser>
          <c:idx val="1"/>
          <c:order val="1"/>
          <c:tx>
            <c:strRef>
              <c:f>'T. Dina'!$EM$3</c:f>
              <c:strCache>
                <c:ptCount val="1"/>
                <c:pt idx="0">
                  <c:v>HR (GC/GE)  [BTU/kWh] </c:v>
                </c:pt>
              </c:strCache>
            </c:strRef>
          </c:tx>
          <c:spPr>
            <a:ln w="22225" cap="rnd" cmpd="sng" algn="ctr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shade val="76000"/>
                </a:schemeClr>
              </a:solidFill>
              <a:ln w="9525" cap="flat" cmpd="sng" algn="ctr">
                <a:solidFill>
                  <a:schemeClr val="accent5">
                    <a:shade val="76000"/>
                  </a:schemeClr>
                </a:solidFill>
                <a:round/>
              </a:ln>
              <a:effectLst/>
            </c:spPr>
          </c:marker>
          <c:cat>
            <c:multiLvlStrRef>
              <c:f>'T. Dina'!$EK$4:$EK$96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Dina'!$EM$4:$EM$96</c:f>
              <c:numCache>
                <c:formatCode>#,##0.00</c:formatCode>
                <c:ptCount val="90"/>
                <c:pt idx="0">
                  <c:v>9542.020600060936</c:v>
                </c:pt>
                <c:pt idx="1">
                  <c:v>9612.0424761111826</c:v>
                </c:pt>
                <c:pt idx="2">
                  <c:v>9258.4926643035469</c:v>
                </c:pt>
                <c:pt idx="3">
                  <c:v>9345.4957029362831</c:v>
                </c:pt>
                <c:pt idx="4">
                  <c:v>9551.6364293632123</c:v>
                </c:pt>
                <c:pt idx="5">
                  <c:v>9562.6564310395479</c:v>
                </c:pt>
                <c:pt idx="6">
                  <c:v>9296.1778972957327</c:v>
                </c:pt>
                <c:pt idx="7">
                  <c:v>9576.7414468558527</c:v>
                </c:pt>
                <c:pt idx="8">
                  <c:v>9483.127369756392</c:v>
                </c:pt>
                <c:pt idx="9">
                  <c:v>9476.6643048147325</c:v>
                </c:pt>
                <c:pt idx="10">
                  <c:v>9584.9693815104711</c:v>
                </c:pt>
                <c:pt idx="11">
                  <c:v>9561.9948759860381</c:v>
                </c:pt>
                <c:pt idx="12">
                  <c:v>9558.7592612425124</c:v>
                </c:pt>
                <c:pt idx="13">
                  <c:v>9629.7927669034452</c:v>
                </c:pt>
                <c:pt idx="14">
                  <c:v>9558.5308996217354</c:v>
                </c:pt>
                <c:pt idx="15">
                  <c:v>10439.653567093641</c:v>
                </c:pt>
                <c:pt idx="16">
                  <c:v>9584.9281212290152</c:v>
                </c:pt>
                <c:pt idx="17">
                  <c:v>7234.5524299513763</c:v>
                </c:pt>
                <c:pt idx="18">
                  <c:v>8498.9880363278262</c:v>
                </c:pt>
                <c:pt idx="19">
                  <c:v>9813.4114265514545</c:v>
                </c:pt>
                <c:pt idx="20">
                  <c:v>11182.725676358054</c:v>
                </c:pt>
                <c:pt idx="21">
                  <c:v>9547.263251735938</c:v>
                </c:pt>
                <c:pt idx="22">
                  <c:v>9595.7738796857284</c:v>
                </c:pt>
                <c:pt idx="23">
                  <c:v>9509.8788995096857</c:v>
                </c:pt>
                <c:pt idx="24">
                  <c:v>9537.5652602375649</c:v>
                </c:pt>
                <c:pt idx="25">
                  <c:v>10043.343031622542</c:v>
                </c:pt>
                <c:pt idx="26">
                  <c:v>8861.0517234233575</c:v>
                </c:pt>
                <c:pt idx="27">
                  <c:v>8301.8083353552356</c:v>
                </c:pt>
                <c:pt idx="28">
                  <c:v>7266.9585366280926</c:v>
                </c:pt>
                <c:pt idx="29">
                  <c:v>12136.745460308764</c:v>
                </c:pt>
                <c:pt idx="30">
                  <c:v>10781.886489590081</c:v>
                </c:pt>
                <c:pt idx="31">
                  <c:v>9392.6129944508466</c:v>
                </c:pt>
                <c:pt idx="32">
                  <c:v>9511.1377915417834</c:v>
                </c:pt>
                <c:pt idx="33">
                  <c:v>8125.755773788228</c:v>
                </c:pt>
                <c:pt idx="34">
                  <c:v>8458.0896131247537</c:v>
                </c:pt>
                <c:pt idx="35">
                  <c:v>9429.3201749947566</c:v>
                </c:pt>
                <c:pt idx="36">
                  <c:v>9466.5718081520117</c:v>
                </c:pt>
                <c:pt idx="37">
                  <c:v>9429.7356073301416</c:v>
                </c:pt>
                <c:pt idx="38">
                  <c:v>9497.0231145863254</c:v>
                </c:pt>
                <c:pt idx="39">
                  <c:v>9515.3691609971465</c:v>
                </c:pt>
                <c:pt idx="40">
                  <c:v>9536.0345965149208</c:v>
                </c:pt>
                <c:pt idx="41">
                  <c:v>9523.4893304995185</c:v>
                </c:pt>
                <c:pt idx="42">
                  <c:v>9509.9310927066981</c:v>
                </c:pt>
                <c:pt idx="43">
                  <c:v>9566.8496354405488</c:v>
                </c:pt>
                <c:pt idx="44">
                  <c:v>9504.9923270523341</c:v>
                </c:pt>
                <c:pt idx="45">
                  <c:v>9460.1918695724999</c:v>
                </c:pt>
                <c:pt idx="46">
                  <c:v>9608.467979854915</c:v>
                </c:pt>
                <c:pt idx="47">
                  <c:v>9583.3586977518935</c:v>
                </c:pt>
                <c:pt idx="48">
                  <c:v>9495.7771254701638</c:v>
                </c:pt>
                <c:pt idx="49">
                  <c:v>9493.9733963475301</c:v>
                </c:pt>
                <c:pt idx="50">
                  <c:v>9579.257964780194</c:v>
                </c:pt>
                <c:pt idx="51">
                  <c:v>9590.6065326745065</c:v>
                </c:pt>
                <c:pt idx="52">
                  <c:v>9574.8798992194224</c:v>
                </c:pt>
                <c:pt idx="53">
                  <c:v>9509.234468886656</c:v>
                </c:pt>
                <c:pt idx="54">
                  <c:v>9453.0785761231018</c:v>
                </c:pt>
                <c:pt idx="55">
                  <c:v>9620.4249065101594</c:v>
                </c:pt>
                <c:pt idx="56">
                  <c:v>9615.0376244629842</c:v>
                </c:pt>
                <c:pt idx="57">
                  <c:v>9618.8764880471917</c:v>
                </c:pt>
                <c:pt idx="58">
                  <c:v>9574.4422727459059</c:v>
                </c:pt>
                <c:pt idx="59">
                  <c:v>9481.8980346941571</c:v>
                </c:pt>
                <c:pt idx="60">
                  <c:v>9482.4093156852887</c:v>
                </c:pt>
                <c:pt idx="61">
                  <c:v>9606.5526302484323</c:v>
                </c:pt>
                <c:pt idx="62">
                  <c:v>9612.5062318555083</c:v>
                </c:pt>
                <c:pt idx="63">
                  <c:v>9601.4717960409816</c:v>
                </c:pt>
                <c:pt idx="64">
                  <c:v>9585.2542396530298</c:v>
                </c:pt>
                <c:pt idx="65">
                  <c:v>9646.7312080873635</c:v>
                </c:pt>
                <c:pt idx="66">
                  <c:v>9648.8894931608047</c:v>
                </c:pt>
                <c:pt idx="67">
                  <c:v>9613.2436289541893</c:v>
                </c:pt>
                <c:pt idx="68">
                  <c:v>9637.42926689454</c:v>
                </c:pt>
                <c:pt idx="69">
                  <c:v>9561.0285830333487</c:v>
                </c:pt>
                <c:pt idx="70">
                  <c:v>9521.1226517974883</c:v>
                </c:pt>
                <c:pt idx="71">
                  <c:v>9514.1942846495695</c:v>
                </c:pt>
                <c:pt idx="72">
                  <c:v>9617.9584084710477</c:v>
                </c:pt>
                <c:pt idx="73">
                  <c:v>9646.9242791959841</c:v>
                </c:pt>
                <c:pt idx="74">
                  <c:v>10869.581260568879</c:v>
                </c:pt>
                <c:pt idx="75">
                  <c:v>10405.457907267555</c:v>
                </c:pt>
                <c:pt idx="76">
                  <c:v>8716.8943538603435</c:v>
                </c:pt>
                <c:pt idx="77">
                  <c:v>9453.2167675930068</c:v>
                </c:pt>
                <c:pt idx="78">
                  <c:v>9800.9967447309809</c:v>
                </c:pt>
                <c:pt idx="79">
                  <c:v>9615.2476744381711</c:v>
                </c:pt>
                <c:pt idx="80">
                  <c:v>9613.2138178223358</c:v>
                </c:pt>
                <c:pt idx="81">
                  <c:v>9282.8028410580901</c:v>
                </c:pt>
                <c:pt idx="82">
                  <c:v>9423.2607259300585</c:v>
                </c:pt>
                <c:pt idx="83">
                  <c:v>9778.0973300932164</c:v>
                </c:pt>
                <c:pt idx="84">
                  <c:v>10814.406281719323</c:v>
                </c:pt>
                <c:pt idx="85">
                  <c:v>8210.8870899648373</c:v>
                </c:pt>
                <c:pt idx="86">
                  <c:v>9466.6980135774538</c:v>
                </c:pt>
                <c:pt idx="87">
                  <c:v>9589.7134975322042</c:v>
                </c:pt>
                <c:pt idx="88">
                  <c:v>9553.8031058245433</c:v>
                </c:pt>
                <c:pt idx="89">
                  <c:v>9531.2562656695154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1-434F-804F-76FEBA7D5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786288"/>
        <c:axId val="632786616"/>
      </c:lineChart>
      <c:catAx>
        <c:axId val="632786288"/>
        <c:scaling>
          <c:orientation val="minMax"/>
        </c:scaling>
        <c:delete val="0"/>
        <c:axPos val="b"/>
        <c:numFmt formatCode="[$-C0A]mmm\-\y\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6616"/>
        <c:crosses val="autoZero"/>
        <c:auto val="1"/>
        <c:lblAlgn val="ctr"/>
        <c:lblOffset val="100"/>
        <c:noMultiLvlLbl val="0"/>
      </c:catAx>
      <c:valAx>
        <c:axId val="632786616"/>
        <c:scaling>
          <c:orientation val="minMax"/>
          <c:min val="8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62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05720414679344"/>
          <c:y val="4.8000257779064325E-2"/>
          <c:w val="0.66009555578118251"/>
          <c:h val="0.13488106004678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Parámetros Termonorte  año 2023.xlsx]T. Dina!P. Oferta - Disponi</c:name>
    <c:fmtId val="2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pPr>
            <a:solidFill>
              <a:schemeClr val="tx2">
                <a:lumMod val="50000"/>
              </a:schemeClr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863778947085666E-2"/>
          <c:y val="0.16770291325869277"/>
          <c:w val="0.79377446589154654"/>
          <c:h val="0.49696864207763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Dina'!$ER$3</c:f>
              <c:strCache>
                <c:ptCount val="1"/>
                <c:pt idx="0">
                  <c:v>P. oferta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'T. Dina'!$EQ$4:$EQ$96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Dina'!$ER$4:$ER$96</c:f>
              <c:numCache>
                <c:formatCode>#,##0</c:formatCode>
                <c:ptCount val="90"/>
                <c:pt idx="0">
                  <c:v>1495</c:v>
                </c:pt>
                <c:pt idx="1">
                  <c:v>1495</c:v>
                </c:pt>
                <c:pt idx="2">
                  <c:v>1495</c:v>
                </c:pt>
                <c:pt idx="3">
                  <c:v>1495</c:v>
                </c:pt>
                <c:pt idx="4">
                  <c:v>1495</c:v>
                </c:pt>
                <c:pt idx="5">
                  <c:v>1495</c:v>
                </c:pt>
                <c:pt idx="6">
                  <c:v>1505</c:v>
                </c:pt>
                <c:pt idx="7">
                  <c:v>1505</c:v>
                </c:pt>
                <c:pt idx="8">
                  <c:v>1505</c:v>
                </c:pt>
                <c:pt idx="9">
                  <c:v>1505</c:v>
                </c:pt>
                <c:pt idx="10">
                  <c:v>1505</c:v>
                </c:pt>
                <c:pt idx="11">
                  <c:v>1505</c:v>
                </c:pt>
                <c:pt idx="12">
                  <c:v>1505</c:v>
                </c:pt>
                <c:pt idx="13">
                  <c:v>1505</c:v>
                </c:pt>
                <c:pt idx="14">
                  <c:v>1505</c:v>
                </c:pt>
                <c:pt idx="15">
                  <c:v>1505</c:v>
                </c:pt>
                <c:pt idx="16">
                  <c:v>1505</c:v>
                </c:pt>
                <c:pt idx="17">
                  <c:v>1505</c:v>
                </c:pt>
                <c:pt idx="18">
                  <c:v>1505</c:v>
                </c:pt>
                <c:pt idx="19">
                  <c:v>1505</c:v>
                </c:pt>
                <c:pt idx="20">
                  <c:v>1505</c:v>
                </c:pt>
                <c:pt idx="21">
                  <c:v>1505</c:v>
                </c:pt>
                <c:pt idx="22">
                  <c:v>1505</c:v>
                </c:pt>
                <c:pt idx="23">
                  <c:v>1505</c:v>
                </c:pt>
                <c:pt idx="24">
                  <c:v>1505</c:v>
                </c:pt>
                <c:pt idx="25">
                  <c:v>1505</c:v>
                </c:pt>
                <c:pt idx="26">
                  <c:v>1505</c:v>
                </c:pt>
                <c:pt idx="27">
                  <c:v>1505</c:v>
                </c:pt>
                <c:pt idx="28">
                  <c:v>1505</c:v>
                </c:pt>
                <c:pt idx="29">
                  <c:v>1505</c:v>
                </c:pt>
                <c:pt idx="30">
                  <c:v>1505</c:v>
                </c:pt>
                <c:pt idx="31">
                  <c:v>1505</c:v>
                </c:pt>
                <c:pt idx="32">
                  <c:v>1505</c:v>
                </c:pt>
                <c:pt idx="33">
                  <c:v>1505</c:v>
                </c:pt>
                <c:pt idx="34">
                  <c:v>1505</c:v>
                </c:pt>
                <c:pt idx="35">
                  <c:v>1505</c:v>
                </c:pt>
                <c:pt idx="36">
                  <c:v>1505</c:v>
                </c:pt>
                <c:pt idx="37">
                  <c:v>1505</c:v>
                </c:pt>
                <c:pt idx="38">
                  <c:v>1505</c:v>
                </c:pt>
                <c:pt idx="39">
                  <c:v>1505</c:v>
                </c:pt>
                <c:pt idx="40">
                  <c:v>1505</c:v>
                </c:pt>
                <c:pt idx="41">
                  <c:v>1505</c:v>
                </c:pt>
                <c:pt idx="42">
                  <c:v>1505</c:v>
                </c:pt>
                <c:pt idx="43">
                  <c:v>1505</c:v>
                </c:pt>
                <c:pt idx="44">
                  <c:v>1505</c:v>
                </c:pt>
                <c:pt idx="45">
                  <c:v>1505</c:v>
                </c:pt>
                <c:pt idx="46">
                  <c:v>1505</c:v>
                </c:pt>
                <c:pt idx="47">
                  <c:v>1505</c:v>
                </c:pt>
                <c:pt idx="48">
                  <c:v>1505</c:v>
                </c:pt>
                <c:pt idx="49">
                  <c:v>1505</c:v>
                </c:pt>
                <c:pt idx="50">
                  <c:v>1505</c:v>
                </c:pt>
                <c:pt idx="51">
                  <c:v>1505</c:v>
                </c:pt>
                <c:pt idx="52">
                  <c:v>1505</c:v>
                </c:pt>
                <c:pt idx="53">
                  <c:v>1505</c:v>
                </c:pt>
                <c:pt idx="54">
                  <c:v>1505</c:v>
                </c:pt>
                <c:pt idx="55">
                  <c:v>1440</c:v>
                </c:pt>
                <c:pt idx="56">
                  <c:v>1440</c:v>
                </c:pt>
                <c:pt idx="57">
                  <c:v>1440</c:v>
                </c:pt>
                <c:pt idx="58">
                  <c:v>1440</c:v>
                </c:pt>
                <c:pt idx="59">
                  <c:v>1440</c:v>
                </c:pt>
                <c:pt idx="60">
                  <c:v>1440</c:v>
                </c:pt>
                <c:pt idx="61">
                  <c:v>1440</c:v>
                </c:pt>
                <c:pt idx="62">
                  <c:v>1440</c:v>
                </c:pt>
                <c:pt idx="63">
                  <c:v>1440</c:v>
                </c:pt>
                <c:pt idx="64">
                  <c:v>1440</c:v>
                </c:pt>
                <c:pt idx="65">
                  <c:v>1440</c:v>
                </c:pt>
                <c:pt idx="66">
                  <c:v>1440</c:v>
                </c:pt>
                <c:pt idx="67">
                  <c:v>1440</c:v>
                </c:pt>
                <c:pt idx="68">
                  <c:v>1440</c:v>
                </c:pt>
                <c:pt idx="69">
                  <c:v>1440</c:v>
                </c:pt>
                <c:pt idx="70">
                  <c:v>1440</c:v>
                </c:pt>
                <c:pt idx="71">
                  <c:v>1440</c:v>
                </c:pt>
                <c:pt idx="72">
                  <c:v>1440</c:v>
                </c:pt>
                <c:pt idx="73">
                  <c:v>1440</c:v>
                </c:pt>
                <c:pt idx="74">
                  <c:v>1440</c:v>
                </c:pt>
                <c:pt idx="75">
                  <c:v>1440</c:v>
                </c:pt>
                <c:pt idx="76">
                  <c:v>1440</c:v>
                </c:pt>
                <c:pt idx="77">
                  <c:v>1440</c:v>
                </c:pt>
                <c:pt idx="78">
                  <c:v>1440</c:v>
                </c:pt>
                <c:pt idx="79">
                  <c:v>1440</c:v>
                </c:pt>
                <c:pt idx="80">
                  <c:v>1440</c:v>
                </c:pt>
                <c:pt idx="81">
                  <c:v>1440</c:v>
                </c:pt>
                <c:pt idx="82">
                  <c:v>1440</c:v>
                </c:pt>
                <c:pt idx="83">
                  <c:v>1440</c:v>
                </c:pt>
                <c:pt idx="84">
                  <c:v>1440</c:v>
                </c:pt>
                <c:pt idx="85">
                  <c:v>1440</c:v>
                </c:pt>
                <c:pt idx="86">
                  <c:v>1440</c:v>
                </c:pt>
                <c:pt idx="87">
                  <c:v>1440</c:v>
                </c:pt>
                <c:pt idx="88">
                  <c:v>1440</c:v>
                </c:pt>
                <c:pt idx="89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D-47BA-8CB5-A0BE2E95403B}"/>
            </c:ext>
          </c:extLst>
        </c:ser>
        <c:ser>
          <c:idx val="1"/>
          <c:order val="1"/>
          <c:tx>
            <c:strRef>
              <c:f>'T. Dina'!$ES$3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'T. Dina'!$EQ$4:$EQ$96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Dina'!$ES$4:$ES$96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D-47BA-8CB5-A0BE2E95403B}"/>
            </c:ext>
          </c:extLst>
        </c:ser>
        <c:ser>
          <c:idx val="2"/>
          <c:order val="2"/>
          <c:tx>
            <c:strRef>
              <c:f>'T. Dina'!$ET$3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'T. Dina'!$EQ$4:$EQ$96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Dina'!$ET$4:$ET$96</c:f>
              <c:numCache>
                <c:formatCode>#,##0</c:formatCode>
                <c:ptCount val="90"/>
                <c:pt idx="0">
                  <c:v>71</c:v>
                </c:pt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80</c:v>
                </c:pt>
                <c:pt idx="7">
                  <c:v>71</c:v>
                </c:pt>
                <c:pt idx="8">
                  <c:v>80</c:v>
                </c:pt>
                <c:pt idx="9">
                  <c:v>80</c:v>
                </c:pt>
                <c:pt idx="10">
                  <c:v>71</c:v>
                </c:pt>
                <c:pt idx="11">
                  <c:v>71</c:v>
                </c:pt>
                <c:pt idx="12">
                  <c:v>71</c:v>
                </c:pt>
                <c:pt idx="13">
                  <c:v>71</c:v>
                </c:pt>
                <c:pt idx="14">
                  <c:v>71</c:v>
                </c:pt>
                <c:pt idx="15">
                  <c:v>80</c:v>
                </c:pt>
                <c:pt idx="16">
                  <c:v>80</c:v>
                </c:pt>
                <c:pt idx="17">
                  <c:v>71</c:v>
                </c:pt>
                <c:pt idx="18">
                  <c:v>71</c:v>
                </c:pt>
                <c:pt idx="19">
                  <c:v>71</c:v>
                </c:pt>
                <c:pt idx="20">
                  <c:v>71</c:v>
                </c:pt>
                <c:pt idx="21">
                  <c:v>71</c:v>
                </c:pt>
                <c:pt idx="22">
                  <c:v>71</c:v>
                </c:pt>
                <c:pt idx="23">
                  <c:v>71</c:v>
                </c:pt>
                <c:pt idx="24">
                  <c:v>71</c:v>
                </c:pt>
                <c:pt idx="25">
                  <c:v>80</c:v>
                </c:pt>
                <c:pt idx="26">
                  <c:v>80</c:v>
                </c:pt>
                <c:pt idx="27">
                  <c:v>71</c:v>
                </c:pt>
                <c:pt idx="28">
                  <c:v>71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71</c:v>
                </c:pt>
                <c:pt idx="47">
                  <c:v>71</c:v>
                </c:pt>
                <c:pt idx="48">
                  <c:v>80</c:v>
                </c:pt>
                <c:pt idx="49">
                  <c:v>80</c:v>
                </c:pt>
                <c:pt idx="50">
                  <c:v>71</c:v>
                </c:pt>
                <c:pt idx="51">
                  <c:v>71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71</c:v>
                </c:pt>
                <c:pt idx="56">
                  <c:v>71</c:v>
                </c:pt>
                <c:pt idx="57">
                  <c:v>71</c:v>
                </c:pt>
                <c:pt idx="58">
                  <c:v>71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71</c:v>
                </c:pt>
                <c:pt idx="72">
                  <c:v>71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71</c:v>
                </c:pt>
                <c:pt idx="78">
                  <c:v>71</c:v>
                </c:pt>
                <c:pt idx="79">
                  <c:v>71</c:v>
                </c:pt>
                <c:pt idx="80">
                  <c:v>71</c:v>
                </c:pt>
                <c:pt idx="81">
                  <c:v>71</c:v>
                </c:pt>
                <c:pt idx="82">
                  <c:v>71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71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D-47BA-8CB5-A0BE2E95403B}"/>
            </c:ext>
          </c:extLst>
        </c:ser>
        <c:ser>
          <c:idx val="3"/>
          <c:order val="3"/>
          <c:tx>
            <c:strRef>
              <c:f>'T. Dina'!$EU$3</c:f>
              <c:strCache>
                <c:ptCount val="1"/>
                <c:pt idx="0">
                  <c:v>HFO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'T. Dina'!$EQ$4:$EQ$96</c:f>
              <c:multiLvlStrCache>
                <c:ptCount val="90"/>
                <c:lvl>
                  <c:pt idx="0">
                    <c:v>1-ene</c:v>
                  </c:pt>
                  <c:pt idx="1">
                    <c:v>2-ene</c:v>
                  </c:pt>
                  <c:pt idx="2">
                    <c:v>3-ene</c:v>
                  </c:pt>
                  <c:pt idx="3">
                    <c:v>4-ene</c:v>
                  </c:pt>
                  <c:pt idx="4">
                    <c:v>5-ene</c:v>
                  </c:pt>
                  <c:pt idx="5">
                    <c:v>6-ene</c:v>
                  </c:pt>
                  <c:pt idx="6">
                    <c:v>7-ene</c:v>
                  </c:pt>
                  <c:pt idx="7">
                    <c:v>8-ene</c:v>
                  </c:pt>
                  <c:pt idx="8">
                    <c:v>9-ene</c:v>
                  </c:pt>
                  <c:pt idx="9">
                    <c:v>10-ene</c:v>
                  </c:pt>
                  <c:pt idx="10">
                    <c:v>11-ene</c:v>
                  </c:pt>
                  <c:pt idx="11">
                    <c:v>12-ene</c:v>
                  </c:pt>
                  <c:pt idx="12">
                    <c:v>13-ene</c:v>
                  </c:pt>
                  <c:pt idx="13">
                    <c:v>14-ene</c:v>
                  </c:pt>
                  <c:pt idx="14">
                    <c:v>15-ene</c:v>
                  </c:pt>
                  <c:pt idx="15">
                    <c:v>16-ene</c:v>
                  </c:pt>
                  <c:pt idx="16">
                    <c:v>17-ene</c:v>
                  </c:pt>
                  <c:pt idx="17">
                    <c:v>18-ene</c:v>
                  </c:pt>
                  <c:pt idx="18">
                    <c:v>19-ene</c:v>
                  </c:pt>
                  <c:pt idx="19">
                    <c:v>20-ene</c:v>
                  </c:pt>
                  <c:pt idx="20">
                    <c:v>21-ene</c:v>
                  </c:pt>
                  <c:pt idx="21">
                    <c:v>22-ene</c:v>
                  </c:pt>
                  <c:pt idx="22">
                    <c:v>23-ene</c:v>
                  </c:pt>
                  <c:pt idx="23">
                    <c:v>24-ene</c:v>
                  </c:pt>
                  <c:pt idx="24">
                    <c:v>25-ene</c:v>
                  </c:pt>
                  <c:pt idx="25">
                    <c:v>26-ene</c:v>
                  </c:pt>
                  <c:pt idx="26">
                    <c:v>27-ene</c:v>
                  </c:pt>
                  <c:pt idx="27">
                    <c:v>28-ene</c:v>
                  </c:pt>
                  <c:pt idx="28">
                    <c:v>29-ene</c:v>
                  </c:pt>
                  <c:pt idx="29">
                    <c:v>30-ene</c:v>
                  </c:pt>
                  <c:pt idx="30">
                    <c:v>31-ene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1-mar</c:v>
                  </c:pt>
                  <c:pt idx="60">
                    <c:v>2-mar</c:v>
                  </c:pt>
                  <c:pt idx="61">
                    <c:v>3-mar</c:v>
                  </c:pt>
                  <c:pt idx="62">
                    <c:v>4-mar</c:v>
                  </c:pt>
                  <c:pt idx="63">
                    <c:v>5-mar</c:v>
                  </c:pt>
                  <c:pt idx="64">
                    <c:v>6-mar</c:v>
                  </c:pt>
                  <c:pt idx="65">
                    <c:v>7-mar</c:v>
                  </c:pt>
                  <c:pt idx="66">
                    <c:v>8-mar</c:v>
                  </c:pt>
                  <c:pt idx="67">
                    <c:v>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  <c:pt idx="89">
                    <c:v>31-mar</c:v>
                  </c:pt>
                </c:lvl>
                <c:lvl>
                  <c:pt idx="0">
                    <c:v>ene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'T. Dina'!$EU$4:$EU$96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D-47BA-8CB5-A0BE2E95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2372040"/>
        <c:axId val="742377944"/>
      </c:barChart>
      <c:valAx>
        <c:axId val="742377944"/>
        <c:scaling>
          <c:orientation val="minMax"/>
          <c:max val="99"/>
          <c:min val="6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Disponibilidad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72040"/>
        <c:crosses val="autoZero"/>
        <c:crossBetween val="between"/>
        <c:majorUnit val="9"/>
      </c:valAx>
      <c:catAx>
        <c:axId val="74237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77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289876574386817"/>
          <c:y val="2.1739139737735252E-2"/>
          <c:w val="0.39033426234732671"/>
          <c:h val="0.136606664796920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05798622998212"/>
          <c:y val="0.17915377841613447"/>
          <c:w val="0.73043447829890829"/>
          <c:h val="0.82084622158386555"/>
        </c:manualLayout>
      </c:layout>
      <c:doughnutChart>
        <c:varyColors val="1"/>
        <c:ser>
          <c:idx val="0"/>
          <c:order val="0"/>
          <c:tx>
            <c:strRef>
              <c:f>'T. Dina'!$BV$5:$BX$5</c:f>
              <c:strCache>
                <c:ptCount val="3"/>
                <c:pt idx="0">
                  <c:v>RED[MWh]</c:v>
                </c:pt>
                <c:pt idx="1">
                  <c:v>AUT[MWh]</c:v>
                </c:pt>
                <c:pt idx="2">
                  <c:v>DPR[MWh]</c:v>
                </c:pt>
              </c:strCache>
            </c:strRef>
          </c:tx>
          <c:dPt>
            <c:idx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FD-45A3-82CE-6A40B020A93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FD-45A3-82CE-6A40B020A937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FD-45A3-82CE-6A40B020A937}"/>
              </c:ext>
            </c:extLst>
          </c:dPt>
          <c:dLbls>
            <c:dLbl>
              <c:idx val="1"/>
              <c:layout>
                <c:manualLayout>
                  <c:x val="9.173737587764498E-2"/>
                  <c:y val="-2.34085341082069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FD-45A3-82CE-6A40B020A9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'T. Dina'!$BV$5:$BX$5</c:f>
              <c:strCache>
                <c:ptCount val="3"/>
                <c:pt idx="0">
                  <c:v>RED[MWh]</c:v>
                </c:pt>
                <c:pt idx="1">
                  <c:v>AUT[MWh]</c:v>
                </c:pt>
                <c:pt idx="2">
                  <c:v>DPR[MWh]</c:v>
                </c:pt>
              </c:strCache>
            </c:strRef>
          </c:cat>
          <c:val>
            <c:numRef>
              <c:f>'T. Dina'!$BV$6:$BX$6</c:f>
              <c:numCache>
                <c:formatCode>#,##0</c:formatCode>
                <c:ptCount val="3"/>
                <c:pt idx="0">
                  <c:v>3301</c:v>
                </c:pt>
                <c:pt idx="1">
                  <c:v>2609</c:v>
                </c:pt>
                <c:pt idx="2">
                  <c:v>118392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FD-45A3-82CE-6A40B020A9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4.9922070468736791E-2"/>
          <c:w val="1"/>
          <c:h val="0.15506582812622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2023-Q1 Termonorte Power Generation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'2023Q1'!$A$57</c:f>
              <c:strCache>
                <c:ptCount val="1"/>
                <c:pt idx="0">
                  <c:v>Total Power Generation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'2023Q1'!$B$54:$D$54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'2023Q1'!$B$57:$D$57</c:f>
              <c:numCache>
                <c:formatCode>_(* #,##0_);_(* \(#,##0\);_(* "-"_);_(@_)</c:formatCode>
                <c:ptCount val="3"/>
                <c:pt idx="0">
                  <c:v>34358768</c:v>
                </c:pt>
                <c:pt idx="1">
                  <c:v>16725901</c:v>
                </c:pt>
                <c:pt idx="2">
                  <c:v>8294281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3-4CCA-85A2-BF94F75F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489600"/>
        <c:axId val="116495488"/>
      </c:barChart>
      <c:lineChart>
        <c:grouping val="stacked"/>
        <c:varyColors val="0"/>
        <c:ser>
          <c:idx val="1"/>
          <c:order val="1"/>
          <c:tx>
            <c:strRef>
              <c:f>'2023Q1'!$A$58</c:f>
              <c:strCache>
                <c:ptCount val="1"/>
                <c:pt idx="0">
                  <c:v>Plant Load Factor</c:v>
                </c:pt>
              </c:strCache>
            </c:strRef>
          </c:tx>
          <c:cat>
            <c:numRef>
              <c:f>'2023Q1'!$B$54:$D$54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'2023Q1'!$B$58:$D$58</c:f>
              <c:numCache>
                <c:formatCode>0.00%</c:formatCode>
                <c:ptCount val="3"/>
                <c:pt idx="0">
                  <c:v>0.5881496792521993</c:v>
                </c:pt>
                <c:pt idx="1">
                  <c:v>0.65328929416937198</c:v>
                </c:pt>
                <c:pt idx="2">
                  <c:v>0.61158538306451604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3-4CCA-85A2-BF94F75F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98816"/>
        <c:axId val="116497024"/>
      </c:lineChart>
      <c:dateAx>
        <c:axId val="1164896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5488"/>
        <c:crosses val="autoZero"/>
        <c:auto val="1"/>
        <c:lblOffset val="100"/>
        <c:baseTimeUnit val="months"/>
      </c:dateAx>
      <c:valAx>
        <c:axId val="116495488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89600"/>
        <c:crosses val="autoZero"/>
        <c:crossBetween val="between"/>
      </c:valAx>
      <c:valAx>
        <c:axId val="1164970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8816"/>
        <c:crosses val="max"/>
        <c:crossBetween val="between"/>
      </c:valAx>
      <c:dateAx>
        <c:axId val="11649881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6497024"/>
        <c:crosses val="autoZero"/>
        <c:auto val="1"/>
        <c:lblOffset val="100"/>
        <c:baseTimeUnit val="months"/>
      </c:dateAx>
    </c:plotArea>
    <c:legend>
      <c:legendPos val="b"/>
      <c:overlay val="0"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 in COP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'2023Q1'!$A$101</c:f>
              <c:strCache>
                <c:ptCount val="1"/>
                <c:pt idx="0">
                  <c:v>Reliability Charge Revenues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'2023Q1'!$B$100:$D$100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'2023Q1'!$B$101:$D$101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72F9-4759-842D-D3D635842D75}"/>
            </c:ext>
          </c:extLst>
        </c:ser>
        <c:ser>
          <c:idx val="1"/>
          <c:order val="1"/>
          <c:tx>
            <c:strRef>
              <c:f>'2023Q1'!$A$102</c:f>
              <c:strCache>
                <c:ptCount val="1"/>
                <c:pt idx="0">
                  <c:v>CERE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'2023Q1'!$B$100:$D$100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'2023Q1'!$B$102:$D$102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72F9-4759-842D-D3D635842D75}"/>
            </c:ext>
          </c:extLst>
        </c:ser>
        <c:ser>
          <c:idx val="2"/>
          <c:order val="2"/>
          <c:tx>
            <c:strRef>
              <c:f>'2023Q1'!$A$103</c:f>
              <c:strCache>
                <c:ptCount val="1"/>
                <c:pt idx="0">
                  <c:v>Restrictions Revenues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'2023Q1'!$B$100:$D$100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'2023Q1'!$B$103:$D$103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72F9-4759-842D-D3D635842D75}"/>
            </c:ext>
          </c:extLst>
        </c:ser>
        <c:ser>
          <c:idx val="4"/>
          <c:order val="3"/>
          <c:tx>
            <c:strRef>
              <c:f>'2023Q1'!$A$105</c:f>
              <c:strCache>
                <c:ptCount val="1"/>
                <c:pt idx="0">
                  <c:v>Ideal Generation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'2023Q1'!$B$100:$D$100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'2023Q1'!$B$105:$D$105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3-72F9-4759-842D-D3D635842D75}"/>
            </c:ext>
          </c:extLst>
        </c:ser>
        <c:ser>
          <c:idx val="3"/>
          <c:order val="4"/>
          <c:tx>
            <c:strRef>
              <c:f>'2023Q1'!$A$104</c:f>
              <c:strCache>
                <c:ptCount val="1"/>
                <c:pt idx="0">
                  <c:v>Start Stop Revenues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'2023Q1'!$B$100:$D$100</c:f>
              <c:numCache>
                <c:formatCode>mmm\-yy</c:formatCode>
                <c:ptCount val="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</c:numCache>
            </c:numRef>
          </c:cat>
          <c:val>
            <c:numRef>
              <c:f>'2023Q1'!$B$104:$D$104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72F9-4759-842D-D3D63584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539648"/>
        <c:axId val="128553728"/>
      </c:barChart>
      <c:dateAx>
        <c:axId val="1285396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53728"/>
        <c:crosses val="autoZero"/>
        <c:auto val="1"/>
        <c:lblOffset val="100"/>
        <c:baseTimeUnit val="months"/>
      </c:dateAx>
      <c:valAx>
        <c:axId val="1285537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96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 Termonorte Plant </a:t>
            </a:r>
          </a:p>
          <a:p>
            <a:pPr>
              <a:defRPr>
                <a:solidFill>
                  <a:schemeClr val="tx1"/>
                </a:solidFill>
              </a:defRPr>
            </a:pPr>
            <a:r>
              <a:rPr lang="en-US">
                <a:solidFill>
                  <a:schemeClr val="tx1"/>
                </a:solidFill>
              </a:rPr>
              <a:t>Availability</a:t>
            </a:r>
          </a:p>
        </c:rich>
      </c:tx>
      <c:layout>
        <c:manualLayout>
          <c:xMode val="edge"/>
          <c:yMode val="edge"/>
          <c:x val="0.22689289126066475"/>
          <c:y val="3.1198311773915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23800112000527E-2"/>
          <c:y val="0.12305919583455782"/>
          <c:w val="0.88495239977599893"/>
          <c:h val="0.682638069099717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'2023Q1'!$B$8</c:f>
              <c:strCache>
                <c:ptCount val="1"/>
                <c:pt idx="0">
                  <c:v>ene-23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'2023Q1'!$A$6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'2023Q1'!$B$19</c:f>
              <c:numCache>
                <c:formatCode>0.00%</c:formatCode>
                <c:ptCount val="1"/>
                <c:pt idx="0">
                  <c:v>0.89180779569892477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9-483E-A5AD-25BC8847E9DF}"/>
            </c:ext>
          </c:extLst>
        </c:ser>
        <c:ser>
          <c:idx val="1"/>
          <c:order val="1"/>
          <c:tx>
            <c:strRef>
              <c:f>'2023Q1'!$C$8</c:f>
              <c:strCache>
                <c:ptCount val="1"/>
                <c:pt idx="0">
                  <c:v>feb-23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'2023Q1'!$A$6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'2023Q1'!$C$19</c:f>
              <c:numCache>
                <c:formatCode>0.00%</c:formatCode>
                <c:ptCount val="1"/>
                <c:pt idx="0">
                  <c:v>0.90563690476190462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49-483E-A5AD-25BC8847E9DF}"/>
            </c:ext>
          </c:extLst>
        </c:ser>
        <c:ser>
          <c:idx val="2"/>
          <c:order val="2"/>
          <c:tx>
            <c:strRef>
              <c:f>'2023Q1'!$D$8</c:f>
              <c:strCache>
                <c:ptCount val="1"/>
                <c:pt idx="0">
                  <c:v>mar-23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'2023Q1'!$A$6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'2023Q1'!$D$19</c:f>
              <c:numCache>
                <c:formatCode>0.00%</c:formatCode>
                <c:ptCount val="1"/>
                <c:pt idx="0">
                  <c:v>0.90900000000000003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49-483E-A5AD-25BC8847E9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4792624"/>
        <c:axId val="464790960"/>
      </c:barChart>
      <c:catAx>
        <c:axId val="4647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90960"/>
        <c:crosses val="autoZero"/>
        <c:auto val="1"/>
        <c:lblAlgn val="ctr"/>
        <c:lblOffset val="100"/>
        <c:noMultiLvlLbl val="0"/>
      </c:catAx>
      <c:valAx>
        <c:axId val="464790960"/>
        <c:scaling>
          <c:orientation val="minMax"/>
          <c:min val="0.5"/>
        </c:scaling>
        <c:delete val="1"/>
        <c:axPos val="l"/>
        <c:numFmt formatCode="0%" sourceLinked="0"/>
        <c:majorTickMark val="none"/>
        <c:minorTickMark val="none"/>
        <c:tickLblPos val="nextTo"/>
        <c:crossAx val="4647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>
                <a:solidFill>
                  <a:schemeClr val="tx1"/>
                </a:solidFill>
              </a:rPr>
              <a:t>Monthly Running Hours (MRU) and </a:t>
            </a:r>
            <a:r>
              <a:rPr lang="en-US" sz="1200" b="0" i="0" u="none" strike="noStrike" baseline="0">
                <a:solidFill>
                  <a:schemeClr val="tx1"/>
                </a:solidFill>
                <a:effectLst/>
              </a:rPr>
              <a:t>Total Running Hour (TRH) 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'2023Q1'!$B$37:$B$38</c:f>
              <c:strCache>
                <c:ptCount val="2"/>
                <c:pt idx="0">
                  <c:v>MRH</c:v>
                </c:pt>
                <c:pt idx="1">
                  <c:v>ene-21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'2021Q1'!#REF!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'2023Q1'!$B$39:$B$48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D-4278-80FE-CD10DAA00303}"/>
            </c:ext>
          </c:extLst>
        </c:ser>
        <c:ser>
          <c:idx val="4"/>
          <c:order val="1"/>
          <c:tx>
            <c:strRef>
              <c:f>'2023Q1'!$C$37:$C$38</c:f>
              <c:strCache>
                <c:ptCount val="2"/>
                <c:pt idx="0">
                  <c:v>MRH</c:v>
                </c:pt>
                <c:pt idx="1">
                  <c:v>feb-23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'2021Q1'!#REF!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'2023Q1'!$C$39:$C$48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D-4278-80FE-CD10DAA00303}"/>
            </c:ext>
          </c:extLst>
        </c:ser>
        <c:ser>
          <c:idx val="5"/>
          <c:order val="2"/>
          <c:tx>
            <c:strRef>
              <c:f>'2023Q1'!$D$37:$D$38</c:f>
              <c:strCache>
                <c:ptCount val="2"/>
                <c:pt idx="0">
                  <c:v>MRH</c:v>
                </c:pt>
                <c:pt idx="1">
                  <c:v>mar-23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'2021Q1'!#REF!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'2023Q1'!$D$39:$D$48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FD-4278-80FE-CD10DAA0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8100848"/>
        <c:axId val="578101176"/>
      </c:barChart>
      <c:lineChart>
        <c:grouping val="standard"/>
        <c:varyColors val="0"/>
        <c:ser>
          <c:idx val="0"/>
          <c:order val="3"/>
          <c:tx>
            <c:strRef>
              <c:f>'2023Q1'!$B$23:$B$24</c:f>
              <c:strCache>
                <c:ptCount val="2"/>
                <c:pt idx="0">
                  <c:v>TRH</c:v>
                </c:pt>
                <c:pt idx="1">
                  <c:v>ene-23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'2023Q1'!$A$39:$A$48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'2023Q1'!$B$25:$B$34</c:f>
              <c:numCache>
                <c:formatCode>0</c:formatCode>
                <c:ptCount val="10"/>
                <c:pt idx="0">
                  <c:v>9445</c:v>
                </c:pt>
                <c:pt idx="1">
                  <c:v>15774</c:v>
                </c:pt>
                <c:pt idx="2">
                  <c:v>14492</c:v>
                </c:pt>
                <c:pt idx="3">
                  <c:v>15523</c:v>
                </c:pt>
                <c:pt idx="4">
                  <c:v>11967</c:v>
                </c:pt>
                <c:pt idx="5">
                  <c:v>15336</c:v>
                </c:pt>
                <c:pt idx="6">
                  <c:v>15780</c:v>
                </c:pt>
                <c:pt idx="7">
                  <c:v>15568</c:v>
                </c:pt>
                <c:pt idx="8">
                  <c:v>14755</c:v>
                </c:pt>
                <c:pt idx="9">
                  <c:v>12494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D-4278-80FE-CD10DAA00303}"/>
            </c:ext>
          </c:extLst>
        </c:ser>
        <c:ser>
          <c:idx val="1"/>
          <c:order val="4"/>
          <c:tx>
            <c:strRef>
              <c:f>'2023Q1'!$C$23:$C$24</c:f>
              <c:strCache>
                <c:ptCount val="2"/>
                <c:pt idx="0">
                  <c:v>TRH</c:v>
                </c:pt>
                <c:pt idx="1">
                  <c:v>feb-23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'2023Q1'!$A$39:$A$48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'2023Q1'!$C$25:$C$34</c:f>
              <c:numCache>
                <c:formatCode>0</c:formatCode>
                <c:ptCount val="10"/>
                <c:pt idx="0">
                  <c:v>10055</c:v>
                </c:pt>
                <c:pt idx="1">
                  <c:v>16371</c:v>
                </c:pt>
                <c:pt idx="2">
                  <c:v>15114</c:v>
                </c:pt>
                <c:pt idx="3">
                  <c:v>16131</c:v>
                </c:pt>
                <c:pt idx="4">
                  <c:v>11967</c:v>
                </c:pt>
                <c:pt idx="5">
                  <c:v>15897</c:v>
                </c:pt>
                <c:pt idx="6">
                  <c:v>16381</c:v>
                </c:pt>
                <c:pt idx="7">
                  <c:v>16155</c:v>
                </c:pt>
                <c:pt idx="8">
                  <c:v>15357</c:v>
                </c:pt>
                <c:pt idx="9">
                  <c:v>13132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FD-4278-80FE-CD10DAA00303}"/>
            </c:ext>
          </c:extLst>
        </c:ser>
        <c:ser>
          <c:idx val="2"/>
          <c:order val="5"/>
          <c:tx>
            <c:strRef>
              <c:f>'2023Q1'!$D$23:$D$24</c:f>
              <c:strCache>
                <c:ptCount val="2"/>
                <c:pt idx="0">
                  <c:v>TRH</c:v>
                </c:pt>
                <c:pt idx="1">
                  <c:v>mar-23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50000"/>
                </a:schemeClr>
              </a:solidFill>
              <a:ln w="9525" cap="rnd">
                <a:solidFill>
                  <a:schemeClr val="accent5">
                    <a:lumMod val="50000"/>
                    <a:alpha val="99000"/>
                  </a:schemeClr>
                </a:solidFill>
              </a:ln>
              <a:effectLst/>
            </c:spPr>
          </c:marker>
          <c:cat>
            <c:strRef>
              <c:f>'2023Q1'!$A$39:$A$48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'2023Q1'!$D$25:$D$34</c:f>
              <c:numCache>
                <c:formatCode>0</c:formatCode>
                <c:ptCount val="10"/>
                <c:pt idx="0">
                  <c:v>10639</c:v>
                </c:pt>
                <c:pt idx="1">
                  <c:v>17049</c:v>
                </c:pt>
                <c:pt idx="2">
                  <c:v>15801</c:v>
                </c:pt>
                <c:pt idx="3">
                  <c:v>16758</c:v>
                </c:pt>
                <c:pt idx="4">
                  <c:v>11978</c:v>
                </c:pt>
                <c:pt idx="5">
                  <c:v>16478</c:v>
                </c:pt>
                <c:pt idx="6">
                  <c:v>16881</c:v>
                </c:pt>
                <c:pt idx="7">
                  <c:v>16877</c:v>
                </c:pt>
                <c:pt idx="8">
                  <c:v>15953</c:v>
                </c:pt>
                <c:pt idx="9">
                  <c:v>13832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FD-4278-80FE-CD10DAA0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115608"/>
        <c:axId val="578119872"/>
      </c:lineChart>
      <c:catAx>
        <c:axId val="57810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1176"/>
        <c:crosses val="autoZero"/>
        <c:auto val="1"/>
        <c:lblAlgn val="ctr"/>
        <c:lblOffset val="100"/>
        <c:noMultiLvlLbl val="0"/>
      </c:catAx>
      <c:valAx>
        <c:axId val="57810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0848"/>
        <c:crosses val="autoZero"/>
        <c:crossBetween val="between"/>
      </c:valAx>
      <c:valAx>
        <c:axId val="57811987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15608"/>
        <c:crosses val="max"/>
        <c:crossBetween val="between"/>
      </c:valAx>
      <c:catAx>
        <c:axId val="578115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811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Quarter Availabilty per Genset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'2023Q1'!$B$8</c:f>
              <c:strCache>
                <c:ptCount val="1"/>
                <c:pt idx="0">
                  <c:v>ene-23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'2023Q1'!$A$9:$A$18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'2023Q1'!$B$9:$B$18</c:f>
              <c:numCache>
                <c:formatCode>0%</c:formatCode>
                <c:ptCount val="10"/>
                <c:pt idx="0">
                  <c:v>0.95497311827956988</c:v>
                </c:pt>
                <c:pt idx="1">
                  <c:v>0.96411290322580634</c:v>
                </c:pt>
                <c:pt idx="2">
                  <c:v>0.6626344086021505</c:v>
                </c:pt>
                <c:pt idx="3">
                  <c:v>0.98521505376344087</c:v>
                </c:pt>
                <c:pt idx="4">
                  <c:v>0.54838709677419351</c:v>
                </c:pt>
                <c:pt idx="5">
                  <c:v>0.97983870967741904</c:v>
                </c:pt>
                <c:pt idx="6">
                  <c:v>0.97083333333333333</c:v>
                </c:pt>
                <c:pt idx="7">
                  <c:v>0.95026881720430112</c:v>
                </c:pt>
                <c:pt idx="8">
                  <c:v>0.96572580645161288</c:v>
                </c:pt>
                <c:pt idx="9">
                  <c:v>0.93608870967741942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2-43A8-A539-1A455880CD4F}"/>
            </c:ext>
          </c:extLst>
        </c:ser>
        <c:ser>
          <c:idx val="1"/>
          <c:order val="1"/>
          <c:tx>
            <c:strRef>
              <c:f>'2023Q1'!$C$8</c:f>
              <c:strCache>
                <c:ptCount val="1"/>
                <c:pt idx="0">
                  <c:v>feb-23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'2023Q1'!$A$9:$A$18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'2023Q1'!$C$9:$C$18</c:f>
              <c:numCache>
                <c:formatCode>0%</c:formatCode>
                <c:ptCount val="10"/>
                <c:pt idx="0">
                  <c:v>0.94940476190476186</c:v>
                </c:pt>
                <c:pt idx="1">
                  <c:v>0.79</c:v>
                </c:pt>
                <c:pt idx="2">
                  <c:v>0.76041666666666663</c:v>
                </c:pt>
                <c:pt idx="3">
                  <c:v>0.82738095238095233</c:v>
                </c:pt>
                <c:pt idx="4">
                  <c:v>0.9107142857142857</c:v>
                </c:pt>
                <c:pt idx="5">
                  <c:v>0.98363095238095233</c:v>
                </c:pt>
                <c:pt idx="6">
                  <c:v>0.98363095238095233</c:v>
                </c:pt>
                <c:pt idx="7">
                  <c:v>0.99255952380952384</c:v>
                </c:pt>
                <c:pt idx="8">
                  <c:v>0.88244047619047616</c:v>
                </c:pt>
                <c:pt idx="9">
                  <c:v>0.97619047619047616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2-43A8-A539-1A455880CD4F}"/>
            </c:ext>
          </c:extLst>
        </c:ser>
        <c:ser>
          <c:idx val="2"/>
          <c:order val="2"/>
          <c:tx>
            <c:strRef>
              <c:f>'2023Q1'!$D$8</c:f>
              <c:strCache>
                <c:ptCount val="1"/>
                <c:pt idx="0">
                  <c:v>mar-23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'2023Q1'!$A$9:$A$18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'2023Q1'!$D$9:$D$18</c:f>
              <c:numCache>
                <c:formatCode>0%</c:formatCode>
                <c:ptCount val="10"/>
                <c:pt idx="0">
                  <c:v>0.78</c:v>
                </c:pt>
                <c:pt idx="1">
                  <c:v>0.97</c:v>
                </c:pt>
                <c:pt idx="2">
                  <c:v>0.68</c:v>
                </c:pt>
                <c:pt idx="3">
                  <c:v>0.94</c:v>
                </c:pt>
                <c:pt idx="4">
                  <c:v>0.98</c:v>
                </c:pt>
                <c:pt idx="5">
                  <c:v>0.87</c:v>
                </c:pt>
                <c:pt idx="6">
                  <c:v>0.98</c:v>
                </c:pt>
                <c:pt idx="7">
                  <c:v>0.99</c:v>
                </c:pt>
                <c:pt idx="8">
                  <c:v>0.99</c:v>
                </c:pt>
                <c:pt idx="9">
                  <c:v>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2-43A8-A539-1A455880C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138216"/>
        <c:axId val="738144120"/>
      </c:barChart>
      <c:catAx>
        <c:axId val="73813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44120"/>
        <c:crosses val="autoZero"/>
        <c:auto val="1"/>
        <c:lblAlgn val="ctr"/>
        <c:lblOffset val="100"/>
        <c:noMultiLvlLbl val="0"/>
      </c:catAx>
      <c:valAx>
        <c:axId val="738144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382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2023-Q2 Termonorte Power Generation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'2023Q2'!$A$57</c:f>
              <c:strCache>
                <c:ptCount val="1"/>
                <c:pt idx="0">
                  <c:v>Total Power Generation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'2023Q2'!$B$54:$D$54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'2023Q2'!$B$57:$D$57</c:f>
              <c:numCache>
                <c:formatCode>_(* #,##0_);_(* \(#,##0\);_(* "-"_);_(@_)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2-47FF-82A8-2A73CFD4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489600"/>
        <c:axId val="116495488"/>
      </c:barChart>
      <c:lineChart>
        <c:grouping val="stacked"/>
        <c:varyColors val="0"/>
        <c:ser>
          <c:idx val="1"/>
          <c:order val="1"/>
          <c:tx>
            <c:strRef>
              <c:f>'2023Q2'!$A$58</c:f>
              <c:strCache>
                <c:ptCount val="1"/>
                <c:pt idx="0">
                  <c:v>Plant Load Factor</c:v>
                </c:pt>
              </c:strCache>
            </c:strRef>
          </c:tx>
          <c:cat>
            <c:numRef>
              <c:f>'2023Q2'!$B$54:$D$54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'2023Q2'!$B$58:$D$58</c:f>
              <c:numCache>
                <c:formatCode>0.00%</c:formatCode>
                <c:ptCount val="3"/>
                <c:pt idx="0">
                  <c:v>0.61724163510100949</c:v>
                </c:pt>
                <c:pt idx="1">
                  <c:v>0.66743680810117367</c:v>
                </c:pt>
                <c:pt idx="2">
                  <c:v>0.64998734059343422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2-47FF-82A8-2A73CFD4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98816"/>
        <c:axId val="116497024"/>
      </c:lineChart>
      <c:dateAx>
        <c:axId val="1164896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5488"/>
        <c:crosses val="autoZero"/>
        <c:auto val="1"/>
        <c:lblOffset val="100"/>
        <c:baseTimeUnit val="months"/>
      </c:dateAx>
      <c:valAx>
        <c:axId val="116495488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89600"/>
        <c:crosses val="autoZero"/>
        <c:crossBetween val="between"/>
      </c:valAx>
      <c:valAx>
        <c:axId val="1164970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8816"/>
        <c:crosses val="max"/>
        <c:crossBetween val="between"/>
      </c:valAx>
      <c:dateAx>
        <c:axId val="11649881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6497024"/>
        <c:crosses val="autoZero"/>
        <c:auto val="1"/>
        <c:lblOffset val="100"/>
        <c:baseTimeUnit val="months"/>
      </c:dateAx>
    </c:plotArea>
    <c:legend>
      <c:legendPos val="b"/>
      <c:overlay val="0"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 in COP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'2023Q2'!$A$101</c:f>
              <c:strCache>
                <c:ptCount val="1"/>
                <c:pt idx="0">
                  <c:v>Reliability Charge Revenues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'2023Q2'!$B$101:$D$101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FDFB-4F79-89C9-A1CA575936D1}"/>
            </c:ext>
          </c:extLst>
        </c:ser>
        <c:ser>
          <c:idx val="1"/>
          <c:order val="1"/>
          <c:tx>
            <c:strRef>
              <c:f>'2023Q2'!$A$102</c:f>
              <c:strCache>
                <c:ptCount val="1"/>
                <c:pt idx="0">
                  <c:v>CERE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'2023Q2'!$B$100:$D$100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'2023Q2'!$B$102:$D$102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FDFB-4F79-89C9-A1CA575936D1}"/>
            </c:ext>
          </c:extLst>
        </c:ser>
        <c:ser>
          <c:idx val="2"/>
          <c:order val="2"/>
          <c:tx>
            <c:strRef>
              <c:f>'2023Q2'!$A$103</c:f>
              <c:strCache>
                <c:ptCount val="1"/>
                <c:pt idx="0">
                  <c:v>Restrictions Revenues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'2023Q2'!$B$100:$D$100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'2023Q2'!$B$103:$D$103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FDFB-4F79-89C9-A1CA575936D1}"/>
            </c:ext>
          </c:extLst>
        </c:ser>
        <c:ser>
          <c:idx val="4"/>
          <c:order val="3"/>
          <c:tx>
            <c:strRef>
              <c:f>'2023Q2'!$A$105</c:f>
              <c:strCache>
                <c:ptCount val="1"/>
                <c:pt idx="0">
                  <c:v>Ideal Generation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'2023Q2'!$B$105:$D$105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3-FDFB-4F79-89C9-A1CA575936D1}"/>
            </c:ext>
          </c:extLst>
        </c:ser>
        <c:ser>
          <c:idx val="3"/>
          <c:order val="4"/>
          <c:tx>
            <c:strRef>
              <c:f>'2023Q2'!$A$104</c:f>
              <c:strCache>
                <c:ptCount val="1"/>
                <c:pt idx="0">
                  <c:v>Start Stop Revenues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'2023Q2'!$B$104:$D$104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FDFB-4F79-89C9-A1CA575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539648"/>
        <c:axId val="128553728"/>
      </c:barChart>
      <c:dateAx>
        <c:axId val="1285396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53728"/>
        <c:crosses val="autoZero"/>
        <c:auto val="1"/>
        <c:lblOffset val="100"/>
        <c:baseTimeUnit val="months"/>
      </c:dateAx>
      <c:valAx>
        <c:axId val="1285537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96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 Termonorte Plant </a:t>
            </a:r>
          </a:p>
          <a:p>
            <a:pPr>
              <a:defRPr>
                <a:solidFill>
                  <a:schemeClr val="tx1"/>
                </a:solidFill>
              </a:defRPr>
            </a:pPr>
            <a:r>
              <a:rPr lang="en-US">
                <a:solidFill>
                  <a:schemeClr val="tx1"/>
                </a:solidFill>
              </a:rPr>
              <a:t>Availability</a:t>
            </a:r>
          </a:p>
        </c:rich>
      </c:tx>
      <c:layout>
        <c:manualLayout>
          <c:xMode val="edge"/>
          <c:yMode val="edge"/>
          <c:x val="0.22689289126066475"/>
          <c:y val="3.1198311773915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23800112000527E-2"/>
          <c:y val="0.12305919583455782"/>
          <c:w val="0.88495239977599893"/>
          <c:h val="0.682638069099717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'2023Q2'!$B$8</c:f>
              <c:strCache>
                <c:ptCount val="1"/>
                <c:pt idx="0">
                  <c:v>abr-23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'2023Q2'!$B$19</c:f>
              <c:numCache>
                <c:formatCode>0.00%</c:formatCode>
                <c:ptCount val="1"/>
                <c:pt idx="0">
                  <c:v>0.87999999999999989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D-45F4-94BA-5BA92D74B035}"/>
            </c:ext>
          </c:extLst>
        </c:ser>
        <c:ser>
          <c:idx val="1"/>
          <c:order val="1"/>
          <c:tx>
            <c:strRef>
              <c:f>'2023Q2'!$C$8</c:f>
              <c:strCache>
                <c:ptCount val="1"/>
                <c:pt idx="0">
                  <c:v>may-23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'2023Q2'!$C$19</c:f>
              <c:numCache>
                <c:formatCode>0.00%</c:formatCode>
                <c:ptCount val="1"/>
                <c:pt idx="0">
                  <c:v>0.88500000000000012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D-45F4-94BA-5BA92D74B035}"/>
            </c:ext>
          </c:extLst>
        </c:ser>
        <c:ser>
          <c:idx val="2"/>
          <c:order val="2"/>
          <c:tx>
            <c:strRef>
              <c:f>'2023Q2'!$D$8</c:f>
              <c:strCache>
                <c:ptCount val="1"/>
                <c:pt idx="0">
                  <c:v>jun-23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'2023Q2'!$D$19</c:f>
              <c:numCache>
                <c:formatCode>0.00%</c:formatCode>
                <c:ptCount val="1"/>
                <c:pt idx="0">
                  <c:v>0.876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D-45F4-94BA-5BA92D74B0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4792624"/>
        <c:axId val="464790960"/>
      </c:barChart>
      <c:catAx>
        <c:axId val="4647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90960"/>
        <c:crosses val="autoZero"/>
        <c:auto val="1"/>
        <c:lblAlgn val="ctr"/>
        <c:lblOffset val="100"/>
        <c:noMultiLvlLbl val="0"/>
      </c:catAx>
      <c:valAx>
        <c:axId val="464790960"/>
        <c:scaling>
          <c:orientation val="minMax"/>
          <c:min val="0.5"/>
        </c:scaling>
        <c:delete val="1"/>
        <c:axPos val="l"/>
        <c:numFmt formatCode="0%" sourceLinked="0"/>
        <c:majorTickMark val="none"/>
        <c:minorTickMark val="none"/>
        <c:tickLblPos val="nextTo"/>
        <c:crossAx val="4647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>
                <a:solidFill>
                  <a:schemeClr val="tx1"/>
                </a:solidFill>
              </a:rPr>
              <a:t>Monthly Running Hours (MRU) and </a:t>
            </a:r>
            <a:r>
              <a:rPr lang="en-US" sz="1200" b="0" i="0" u="none" strike="noStrike" baseline="0">
                <a:solidFill>
                  <a:schemeClr val="tx1"/>
                </a:solidFill>
                <a:effectLst/>
              </a:rPr>
              <a:t>Total Running Hour (TRH) 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'2023Q2'!$B$37:$B$38</c:f>
              <c:strCache>
                <c:ptCount val="2"/>
                <c:pt idx="0">
                  <c:v>MRH</c:v>
                </c:pt>
                <c:pt idx="1">
                  <c:v>abr-23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'2021Q2'!#REF!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'2023Q2'!$B$39:$B$48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5-4A4F-9563-871AEF757C16}"/>
            </c:ext>
          </c:extLst>
        </c:ser>
        <c:ser>
          <c:idx val="4"/>
          <c:order val="1"/>
          <c:tx>
            <c:strRef>
              <c:f>'2023Q2'!$C$37:$C$38</c:f>
              <c:strCache>
                <c:ptCount val="2"/>
                <c:pt idx="0">
                  <c:v>MRH</c:v>
                </c:pt>
                <c:pt idx="1">
                  <c:v>may-23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'2021Q2'!#REF!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'2023Q2'!$C$39:$C$48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5-4A4F-9563-871AEF757C16}"/>
            </c:ext>
          </c:extLst>
        </c:ser>
        <c:ser>
          <c:idx val="5"/>
          <c:order val="2"/>
          <c:tx>
            <c:strRef>
              <c:f>'2023Q2'!$D$37:$D$38</c:f>
              <c:strCache>
                <c:ptCount val="2"/>
                <c:pt idx="0">
                  <c:v>MRH</c:v>
                </c:pt>
                <c:pt idx="1">
                  <c:v>jun-23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'2021Q2'!#REF!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'2023Q2'!$D$39:$D$48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5-4A4F-9563-871AEF75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8100848"/>
        <c:axId val="578101176"/>
      </c:barChart>
      <c:lineChart>
        <c:grouping val="standard"/>
        <c:varyColors val="0"/>
        <c:ser>
          <c:idx val="0"/>
          <c:order val="3"/>
          <c:tx>
            <c:strRef>
              <c:f>'2023Q2'!$B$23:$B$24</c:f>
              <c:strCache>
                <c:ptCount val="2"/>
                <c:pt idx="0">
                  <c:v>TRH</c:v>
                </c:pt>
                <c:pt idx="1">
                  <c:v>abr-23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'2023Q2'!$A$39:$A$48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'2023Q2'!$B$25:$B$34</c:f>
              <c:numCache>
                <c:formatCode>0</c:formatCode>
                <c:ptCount val="10"/>
                <c:pt idx="0">
                  <c:v>11340</c:v>
                </c:pt>
                <c:pt idx="1">
                  <c:v>17108</c:v>
                </c:pt>
                <c:pt idx="2">
                  <c:v>16499</c:v>
                </c:pt>
                <c:pt idx="3">
                  <c:v>17458</c:v>
                </c:pt>
                <c:pt idx="4">
                  <c:v>12604</c:v>
                </c:pt>
                <c:pt idx="5">
                  <c:v>17150</c:v>
                </c:pt>
                <c:pt idx="6">
                  <c:v>16890</c:v>
                </c:pt>
                <c:pt idx="7">
                  <c:v>17583</c:v>
                </c:pt>
                <c:pt idx="8">
                  <c:v>16635</c:v>
                </c:pt>
                <c:pt idx="9">
                  <c:v>14505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5-4A4F-9563-871AEF757C16}"/>
            </c:ext>
          </c:extLst>
        </c:ser>
        <c:ser>
          <c:idx val="1"/>
          <c:order val="4"/>
          <c:tx>
            <c:strRef>
              <c:f>'2023Q2'!$C$23:$C$24</c:f>
              <c:strCache>
                <c:ptCount val="2"/>
                <c:pt idx="0">
                  <c:v>TRH</c:v>
                </c:pt>
                <c:pt idx="1">
                  <c:v>may-23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'2023Q2'!$A$39:$A$48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'2023Q2'!$C$25:$C$34</c:f>
              <c:numCache>
                <c:formatCode>0</c:formatCode>
                <c:ptCount val="10"/>
                <c:pt idx="0">
                  <c:v>12052</c:v>
                </c:pt>
                <c:pt idx="1">
                  <c:v>17668</c:v>
                </c:pt>
                <c:pt idx="2">
                  <c:v>17215</c:v>
                </c:pt>
                <c:pt idx="3">
                  <c:v>17696</c:v>
                </c:pt>
                <c:pt idx="4">
                  <c:v>12983</c:v>
                </c:pt>
                <c:pt idx="5">
                  <c:v>17852</c:v>
                </c:pt>
                <c:pt idx="6">
                  <c:v>17591</c:v>
                </c:pt>
                <c:pt idx="7">
                  <c:v>18039</c:v>
                </c:pt>
                <c:pt idx="8">
                  <c:v>17358</c:v>
                </c:pt>
                <c:pt idx="9">
                  <c:v>15209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F5-4A4F-9563-871AEF757C16}"/>
            </c:ext>
          </c:extLst>
        </c:ser>
        <c:ser>
          <c:idx val="2"/>
          <c:order val="5"/>
          <c:tx>
            <c:strRef>
              <c:f>'2023Q2'!$D$23:$D$24</c:f>
              <c:strCache>
                <c:ptCount val="2"/>
                <c:pt idx="0">
                  <c:v>TRH</c:v>
                </c:pt>
                <c:pt idx="1">
                  <c:v>jun-23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50000"/>
                </a:schemeClr>
              </a:solidFill>
              <a:ln w="9525" cap="rnd">
                <a:solidFill>
                  <a:schemeClr val="accent5">
                    <a:lumMod val="50000"/>
                    <a:alpha val="99000"/>
                  </a:schemeClr>
                </a:solidFill>
              </a:ln>
              <a:effectLst/>
            </c:spPr>
          </c:marker>
          <c:cat>
            <c:strRef>
              <c:f>'2023Q2'!$A$39:$A$48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'2023Q2'!$D$25:$D$34</c:f>
              <c:numCache>
                <c:formatCode>0</c:formatCode>
                <c:ptCount val="10"/>
                <c:pt idx="0">
                  <c:v>12732</c:v>
                </c:pt>
                <c:pt idx="1">
                  <c:v>18345</c:v>
                </c:pt>
                <c:pt idx="2">
                  <c:v>17890</c:v>
                </c:pt>
                <c:pt idx="3">
                  <c:v>18182</c:v>
                </c:pt>
                <c:pt idx="4">
                  <c:v>13698</c:v>
                </c:pt>
                <c:pt idx="5">
                  <c:v>18302</c:v>
                </c:pt>
                <c:pt idx="6">
                  <c:v>18288</c:v>
                </c:pt>
                <c:pt idx="7">
                  <c:v>18356</c:v>
                </c:pt>
                <c:pt idx="8">
                  <c:v>17620</c:v>
                </c:pt>
                <c:pt idx="9">
                  <c:v>15890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F5-4A4F-9563-871AEF75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115608"/>
        <c:axId val="578119872"/>
      </c:lineChart>
      <c:catAx>
        <c:axId val="57810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1176"/>
        <c:crosses val="autoZero"/>
        <c:auto val="1"/>
        <c:lblAlgn val="ctr"/>
        <c:lblOffset val="100"/>
        <c:noMultiLvlLbl val="0"/>
      </c:catAx>
      <c:valAx>
        <c:axId val="57810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0848"/>
        <c:crosses val="autoZero"/>
        <c:crossBetween val="between"/>
      </c:valAx>
      <c:valAx>
        <c:axId val="57811987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15608"/>
        <c:crosses val="max"/>
        <c:crossBetween val="between"/>
      </c:valAx>
      <c:catAx>
        <c:axId val="578115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811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Quarter Availabilty per Genset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'2023Q2'!$B$8</c:f>
              <c:strCache>
                <c:ptCount val="1"/>
                <c:pt idx="0">
                  <c:v>abr-23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'2023Q2'!$A$9:$A$18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'2023Q2'!$B$9:$B$18</c:f>
              <c:numCache>
                <c:formatCode>0%</c:formatCode>
                <c:ptCount val="10"/>
                <c:pt idx="0">
                  <c:v>0.7</c:v>
                </c:pt>
                <c:pt idx="1">
                  <c:v>0.99</c:v>
                </c:pt>
                <c:pt idx="2">
                  <c:v>0.88</c:v>
                </c:pt>
                <c:pt idx="3">
                  <c:v>0.98</c:v>
                </c:pt>
                <c:pt idx="4">
                  <c:v>0.96</c:v>
                </c:pt>
                <c:pt idx="5">
                  <c:v>0.94</c:v>
                </c:pt>
                <c:pt idx="6">
                  <c:v>0.61</c:v>
                </c:pt>
                <c:pt idx="7">
                  <c:v>0.98</c:v>
                </c:pt>
                <c:pt idx="8">
                  <c:v>0.89</c:v>
                </c:pt>
                <c:pt idx="9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1-4BDD-8766-90DDE2C1A0FA}"/>
            </c:ext>
          </c:extLst>
        </c:ser>
        <c:ser>
          <c:idx val="1"/>
          <c:order val="1"/>
          <c:tx>
            <c:strRef>
              <c:f>'2023Q2'!$C$8</c:f>
              <c:strCache>
                <c:ptCount val="1"/>
                <c:pt idx="0">
                  <c:v>may-23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'2023Q2'!$A$9:$A$18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'2023Q2'!$C$9:$C$18</c:f>
              <c:numCache>
                <c:formatCode>0%</c:formatCode>
                <c:ptCount val="10"/>
                <c:pt idx="0">
                  <c:v>0.95</c:v>
                </c:pt>
                <c:pt idx="1">
                  <c:v>0.99</c:v>
                </c:pt>
                <c:pt idx="2">
                  <c:v>0.86</c:v>
                </c:pt>
                <c:pt idx="3">
                  <c:v>0.98</c:v>
                </c:pt>
                <c:pt idx="4">
                  <c:v>0.42</c:v>
                </c:pt>
                <c:pt idx="5">
                  <c:v>0.84</c:v>
                </c:pt>
                <c:pt idx="6">
                  <c:v>0.82</c:v>
                </c:pt>
                <c:pt idx="7">
                  <c:v>0.99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1-4BDD-8766-90DDE2C1A0FA}"/>
            </c:ext>
          </c:extLst>
        </c:ser>
        <c:ser>
          <c:idx val="2"/>
          <c:order val="2"/>
          <c:tx>
            <c:strRef>
              <c:f>'2023Q2'!$D$8</c:f>
              <c:strCache>
                <c:ptCount val="1"/>
                <c:pt idx="0">
                  <c:v>jun-23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'2023Q2'!$A$9:$A$18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'2023Q2'!$D$9:$D$18</c:f>
              <c:numCache>
                <c:formatCode>0%</c:formatCode>
                <c:ptCount val="10"/>
                <c:pt idx="0">
                  <c:v>0.8</c:v>
                </c:pt>
                <c:pt idx="1">
                  <c:v>1</c:v>
                </c:pt>
                <c:pt idx="2">
                  <c:v>0.91</c:v>
                </c:pt>
                <c:pt idx="3">
                  <c:v>0.99</c:v>
                </c:pt>
                <c:pt idx="4">
                  <c:v>0.94</c:v>
                </c:pt>
                <c:pt idx="5">
                  <c:v>0.95</c:v>
                </c:pt>
                <c:pt idx="6">
                  <c:v>0.98</c:v>
                </c:pt>
                <c:pt idx="7">
                  <c:v>0.93</c:v>
                </c:pt>
                <c:pt idx="8">
                  <c:v>0.41</c:v>
                </c:pt>
                <c:pt idx="9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F1-4BDD-8766-90DDE2C1A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138216"/>
        <c:axId val="738144120"/>
      </c:barChart>
      <c:catAx>
        <c:axId val="73813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44120"/>
        <c:crosses val="autoZero"/>
        <c:auto val="1"/>
        <c:lblAlgn val="ctr"/>
        <c:lblOffset val="100"/>
        <c:noMultiLvlLbl val="0"/>
      </c:catAx>
      <c:valAx>
        <c:axId val="738144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382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2023-Q2 Termonorte Power Generation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'2023Q2 (2)'!$A$57</c:f>
              <c:strCache>
                <c:ptCount val="1"/>
                <c:pt idx="0">
                  <c:v>Total Power Generation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'2023Q2 (2)'!$B$54:$D$54</c:f>
              <c:numCache>
                <c:formatCode>mmm\-yy</c:formatCode>
                <c:ptCount val="3"/>
                <c:pt idx="0">
                  <c:v>45108</c:v>
                </c:pt>
                <c:pt idx="1">
                  <c:v>45139</c:v>
                </c:pt>
                <c:pt idx="2">
                  <c:v>45170</c:v>
                </c:pt>
              </c:numCache>
            </c:numRef>
          </c:cat>
          <c:val>
            <c:numRef>
              <c:f>'2023Q2 (2)'!$B$57:$D$57</c:f>
              <c:numCache>
                <c:formatCode>_(* #,##0_);_(* \(#,##0\);_(* "-"_);_(@_)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A-4545-86EF-07C3D60D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489600"/>
        <c:axId val="116495488"/>
      </c:barChart>
      <c:lineChart>
        <c:grouping val="stacked"/>
        <c:varyColors val="0"/>
        <c:ser>
          <c:idx val="1"/>
          <c:order val="1"/>
          <c:tx>
            <c:strRef>
              <c:f>'2023Q2 (2)'!$A$58</c:f>
              <c:strCache>
                <c:ptCount val="1"/>
                <c:pt idx="0">
                  <c:v>Plant Load Factor</c:v>
                </c:pt>
              </c:strCache>
            </c:strRef>
          </c:tx>
          <c:cat>
            <c:numRef>
              <c:f>'2023Q2 (2)'!$B$54:$D$54</c:f>
              <c:numCache>
                <c:formatCode>mmm\-yy</c:formatCode>
                <c:ptCount val="3"/>
                <c:pt idx="0">
                  <c:v>45108</c:v>
                </c:pt>
                <c:pt idx="1">
                  <c:v>45139</c:v>
                </c:pt>
                <c:pt idx="2">
                  <c:v>45170</c:v>
                </c:pt>
              </c:numCache>
            </c:numRef>
          </c:cat>
          <c:val>
            <c:numRef>
              <c:f>'2023Q2 (2)'!$B$58:$D$58</c:f>
              <c:numCache>
                <c:formatCode>0.00%</c:formatCode>
                <c:ptCount val="3"/>
                <c:pt idx="0">
                  <c:v>0.60798635752688124</c:v>
                </c:pt>
                <c:pt idx="1">
                  <c:v>0.65427683080808074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A-4545-86EF-07C3D60D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98816"/>
        <c:axId val="116497024"/>
      </c:lineChart>
      <c:dateAx>
        <c:axId val="1164896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5488"/>
        <c:crosses val="autoZero"/>
        <c:auto val="1"/>
        <c:lblOffset val="100"/>
        <c:baseTimeUnit val="months"/>
      </c:dateAx>
      <c:valAx>
        <c:axId val="116495488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89600"/>
        <c:crosses val="autoZero"/>
        <c:crossBetween val="between"/>
      </c:valAx>
      <c:valAx>
        <c:axId val="1164970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16498816"/>
        <c:crosses val="max"/>
        <c:crossBetween val="between"/>
      </c:valAx>
      <c:dateAx>
        <c:axId val="11649881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6497024"/>
        <c:crosses val="autoZero"/>
        <c:auto val="1"/>
        <c:lblOffset val="100"/>
        <c:baseTimeUnit val="months"/>
      </c:dateAx>
    </c:plotArea>
    <c:legend>
      <c:legendPos val="b"/>
      <c:overlay val="0"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 in COP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'2023Q2 (2)'!$A$101</c:f>
              <c:strCache>
                <c:ptCount val="1"/>
                <c:pt idx="0">
                  <c:v>Reliability Charge Revenues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 (2)'!$B$100:$D$100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 (2)'!$B$101:$D$101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B6D7-4258-885B-B88A61F702BA}"/>
            </c:ext>
          </c:extLst>
        </c:ser>
        <c:ser>
          <c:idx val="1"/>
          <c:order val="1"/>
          <c:tx>
            <c:strRef>
              <c:f>'2023Q2 (2)'!$A$102</c:f>
              <c:strCache>
                <c:ptCount val="1"/>
                <c:pt idx="0">
                  <c:v>CERE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'2023Q2 (2)'!$B$100:$D$100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 (2)'!$B$102:$D$102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B6D7-4258-885B-B88A61F702BA}"/>
            </c:ext>
          </c:extLst>
        </c:ser>
        <c:ser>
          <c:idx val="2"/>
          <c:order val="2"/>
          <c:tx>
            <c:strRef>
              <c:f>'2023Q2 (2)'!$A$103</c:f>
              <c:strCache>
                <c:ptCount val="1"/>
                <c:pt idx="0">
                  <c:v>Restrictions Revenues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'2023Q2 (2)'!$B$100:$D$100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 (2)'!$B$103:$D$103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B6D7-4258-885B-B88A61F702BA}"/>
            </c:ext>
          </c:extLst>
        </c:ser>
        <c:ser>
          <c:idx val="4"/>
          <c:order val="3"/>
          <c:tx>
            <c:strRef>
              <c:f>'2023Q2 (2)'!$A$105</c:f>
              <c:strCache>
                <c:ptCount val="1"/>
                <c:pt idx="0">
                  <c:v>Ideal Generation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 (2)'!$B$100:$D$100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 (2)'!$B$105:$D$105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3-B6D7-4258-885B-B88A61F702BA}"/>
            </c:ext>
          </c:extLst>
        </c:ser>
        <c:ser>
          <c:idx val="3"/>
          <c:order val="4"/>
          <c:tx>
            <c:strRef>
              <c:f>'2023Q2 (2)'!$A$104</c:f>
              <c:strCache>
                <c:ptCount val="1"/>
                <c:pt idx="0">
                  <c:v>Start Stop Revenues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'2023Q2 (2)'!$B$100:$D$100</c:f>
              <c:numCache>
                <c:formatCode>mmm\-yy</c:formatCode>
                <c:ptCount val="3"/>
                <c:pt idx="0">
                  <c:v>45017</c:v>
                </c:pt>
                <c:pt idx="1">
                  <c:v>45047</c:v>
                </c:pt>
                <c:pt idx="2">
                  <c:v>45078</c:v>
                </c:pt>
              </c:numCache>
            </c:numRef>
          </c:cat>
          <c:val>
            <c:numRef>
              <c:f>'2023Q2 (2)'!$B$104:$D$104</c:f>
              <c:numCache>
                <c:formatCode>_(* #,##0_);_(* \(#,##0\);_(* "-"_);_(@_)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B6D7-4258-885B-B88A61F70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539648"/>
        <c:axId val="128553728"/>
      </c:barChart>
      <c:dateAx>
        <c:axId val="1285396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53728"/>
        <c:crosses val="autoZero"/>
        <c:auto val="1"/>
        <c:lblOffset val="100"/>
        <c:baseTimeUnit val="months"/>
      </c:dateAx>
      <c:valAx>
        <c:axId val="1285537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96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 Termonorte Plant </a:t>
            </a:r>
          </a:p>
          <a:p>
            <a:pPr>
              <a:defRPr>
                <a:solidFill>
                  <a:schemeClr val="tx1"/>
                </a:solidFill>
              </a:defRPr>
            </a:pPr>
            <a:r>
              <a:rPr lang="en-US">
                <a:solidFill>
                  <a:schemeClr val="tx1"/>
                </a:solidFill>
              </a:rPr>
              <a:t>Availability</a:t>
            </a:r>
          </a:p>
        </c:rich>
      </c:tx>
      <c:layout>
        <c:manualLayout>
          <c:xMode val="edge"/>
          <c:yMode val="edge"/>
          <c:x val="0.22689289126066475"/>
          <c:y val="3.1198311773915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23800112000527E-2"/>
          <c:y val="0.12305919583455782"/>
          <c:w val="0.88495239977599893"/>
          <c:h val="0.682638069099717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'2023Q2 (2)'!$B$8</c:f>
              <c:strCache>
                <c:ptCount val="1"/>
                <c:pt idx="0">
                  <c:v>jul-23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 (2)'!$A$6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 (2)'!$B$19</c:f>
              <c:numCache>
                <c:formatCode>0.00%</c:formatCode>
                <c:ptCount val="1"/>
                <c:pt idx="0">
                  <c:v>0.90161290322580645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3-4A2A-98DB-1AC19528453A}"/>
            </c:ext>
          </c:extLst>
        </c:ser>
        <c:ser>
          <c:idx val="1"/>
          <c:order val="1"/>
          <c:tx>
            <c:strRef>
              <c:f>'2023Q2 (2)'!$C$8</c:f>
              <c:strCache>
                <c:ptCount val="1"/>
                <c:pt idx="0">
                  <c:v>ago-23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 (2)'!$A$6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 (2)'!$C$19</c:f>
              <c:numCache>
                <c:formatCode>0.00%</c:formatCode>
                <c:ptCount val="1"/>
                <c:pt idx="0">
                  <c:v>0.83834005376344078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3-4A2A-98DB-1AC19528453A}"/>
            </c:ext>
          </c:extLst>
        </c:ser>
        <c:ser>
          <c:idx val="2"/>
          <c:order val="2"/>
          <c:tx>
            <c:strRef>
              <c:f>'2023Q2 (2)'!$D$8</c:f>
              <c:strCache>
                <c:ptCount val="1"/>
                <c:pt idx="0">
                  <c:v>sep-23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'2023Q2 (2)'!$A$6</c:f>
              <c:strCache>
                <c:ptCount val="1"/>
                <c:pt idx="0">
                  <c:v>AVAILABILITY</c:v>
                </c:pt>
              </c:strCache>
            </c:strRef>
          </c:cat>
          <c:val>
            <c:numRef>
              <c:f>'2023Q2 (2)'!$D$19</c:f>
              <c:numCache>
                <c:formatCode>0.00%</c:formatCode>
                <c:ptCount val="1"/>
                <c:pt idx="0">
                  <c:v>0.85423611111111097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63-4A2A-98DB-1AC1952845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4792624"/>
        <c:axId val="464790960"/>
      </c:barChart>
      <c:catAx>
        <c:axId val="4647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90960"/>
        <c:crosses val="autoZero"/>
        <c:auto val="1"/>
        <c:lblAlgn val="ctr"/>
        <c:lblOffset val="100"/>
        <c:noMultiLvlLbl val="0"/>
      </c:catAx>
      <c:valAx>
        <c:axId val="464790960"/>
        <c:scaling>
          <c:orientation val="minMax"/>
          <c:min val="0.5"/>
        </c:scaling>
        <c:delete val="1"/>
        <c:axPos val="l"/>
        <c:numFmt formatCode="0%" sourceLinked="0"/>
        <c:majorTickMark val="none"/>
        <c:minorTickMark val="none"/>
        <c:tickLblPos val="nextTo"/>
        <c:crossAx val="4647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>
                <a:solidFill>
                  <a:schemeClr val="tx1"/>
                </a:solidFill>
              </a:rPr>
              <a:t>Monthly Running Hours (MRU) and </a:t>
            </a:r>
            <a:r>
              <a:rPr lang="en-US" sz="1200" b="0" i="0" u="none" strike="noStrike" baseline="0">
                <a:solidFill>
                  <a:schemeClr val="tx1"/>
                </a:solidFill>
                <a:effectLst/>
              </a:rPr>
              <a:t>Total Running Hour (TRH) 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'2023Q2 (2)'!$B$37:$B$38</c:f>
              <c:strCache>
                <c:ptCount val="2"/>
                <c:pt idx="0">
                  <c:v>MRH</c:v>
                </c:pt>
                <c:pt idx="1">
                  <c:v>jul-23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'2021Q2 (2)'!#REF!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 (2)'!$B$39:$B$48</c:f>
              <c:numCache>
                <c:formatCode>0</c:formatCode>
                <c:ptCount val="10"/>
                <c:pt idx="0">
                  <c:v>286</c:v>
                </c:pt>
                <c:pt idx="1">
                  <c:v>311</c:v>
                </c:pt>
                <c:pt idx="2">
                  <c:v>234</c:v>
                </c:pt>
                <c:pt idx="3">
                  <c:v>265</c:v>
                </c:pt>
                <c:pt idx="4">
                  <c:v>246</c:v>
                </c:pt>
                <c:pt idx="5">
                  <c:v>71</c:v>
                </c:pt>
                <c:pt idx="6">
                  <c:v>295</c:v>
                </c:pt>
                <c:pt idx="7">
                  <c:v>304</c:v>
                </c:pt>
                <c:pt idx="8">
                  <c:v>120</c:v>
                </c:pt>
                <c:pt idx="9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A-496B-8111-0957DBD224AD}"/>
            </c:ext>
          </c:extLst>
        </c:ser>
        <c:ser>
          <c:idx val="4"/>
          <c:order val="1"/>
          <c:tx>
            <c:strRef>
              <c:f>'2023Q2 (2)'!$C$37:$C$38</c:f>
              <c:strCache>
                <c:ptCount val="2"/>
                <c:pt idx="0">
                  <c:v>MRH</c:v>
                </c:pt>
                <c:pt idx="1">
                  <c:v>ago-23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'2021Q2 (2)'!#REF!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 (2)'!$C$39:$C$48</c:f>
              <c:numCache>
                <c:formatCode>0</c:formatCode>
                <c:ptCount val="10"/>
                <c:pt idx="0">
                  <c:v>509</c:v>
                </c:pt>
                <c:pt idx="1">
                  <c:v>507</c:v>
                </c:pt>
                <c:pt idx="2">
                  <c:v>409</c:v>
                </c:pt>
                <c:pt idx="3">
                  <c:v>113</c:v>
                </c:pt>
                <c:pt idx="4">
                  <c:v>476</c:v>
                </c:pt>
                <c:pt idx="5">
                  <c:v>102</c:v>
                </c:pt>
                <c:pt idx="6">
                  <c:v>539</c:v>
                </c:pt>
                <c:pt idx="7">
                  <c:v>459</c:v>
                </c:pt>
                <c:pt idx="8">
                  <c:v>449</c:v>
                </c:pt>
                <c:pt idx="9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A-496B-8111-0957DBD224AD}"/>
            </c:ext>
          </c:extLst>
        </c:ser>
        <c:ser>
          <c:idx val="5"/>
          <c:order val="2"/>
          <c:tx>
            <c:strRef>
              <c:f>'2023Q2 (2)'!$D$37:$D$38</c:f>
              <c:strCache>
                <c:ptCount val="2"/>
                <c:pt idx="0">
                  <c:v>MRH</c:v>
                </c:pt>
                <c:pt idx="1">
                  <c:v>sep-23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'2021Q2 (2)'!#REF!</c:f>
              <c:strCache>
                <c:ptCount val="1"/>
                <c:pt idx="0">
                  <c:v>#¡REF!</c:v>
                </c:pt>
              </c:strCache>
            </c:strRef>
          </c:cat>
          <c:val>
            <c:numRef>
              <c:f>'2023Q2 (2)'!$D$39:$D$48</c:f>
              <c:numCache>
                <c:formatCode>0</c:formatCode>
                <c:ptCount val="10"/>
                <c:pt idx="0">
                  <c:v>485</c:v>
                </c:pt>
                <c:pt idx="1">
                  <c:v>402</c:v>
                </c:pt>
                <c:pt idx="2">
                  <c:v>410</c:v>
                </c:pt>
                <c:pt idx="3">
                  <c:v>0</c:v>
                </c:pt>
                <c:pt idx="4">
                  <c:v>400</c:v>
                </c:pt>
                <c:pt idx="5">
                  <c:v>423</c:v>
                </c:pt>
                <c:pt idx="6">
                  <c:v>407</c:v>
                </c:pt>
                <c:pt idx="7">
                  <c:v>447</c:v>
                </c:pt>
                <c:pt idx="8">
                  <c:v>223</c:v>
                </c:pt>
                <c:pt idx="9">
                  <c:v>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A-496B-8111-0957DBD2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8100848"/>
        <c:axId val="578101176"/>
      </c:barChart>
      <c:lineChart>
        <c:grouping val="standard"/>
        <c:varyColors val="0"/>
        <c:ser>
          <c:idx val="0"/>
          <c:order val="3"/>
          <c:tx>
            <c:strRef>
              <c:f>'2023Q2 (2)'!$B$23:$B$24</c:f>
              <c:strCache>
                <c:ptCount val="2"/>
                <c:pt idx="0">
                  <c:v>TRH</c:v>
                </c:pt>
                <c:pt idx="1">
                  <c:v>jul-23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'2023Q2 (2)'!$A$39:$A$48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(2)'!$B$25:$B$34</c:f>
              <c:numCache>
                <c:formatCode>0</c:formatCode>
                <c:ptCount val="10"/>
                <c:pt idx="0">
                  <c:v>6489</c:v>
                </c:pt>
                <c:pt idx="1">
                  <c:v>7756</c:v>
                </c:pt>
                <c:pt idx="2">
                  <c:v>7790</c:v>
                </c:pt>
                <c:pt idx="3">
                  <c:v>8227</c:v>
                </c:pt>
                <c:pt idx="4">
                  <c:v>7124</c:v>
                </c:pt>
                <c:pt idx="5">
                  <c:v>7642</c:v>
                </c:pt>
                <c:pt idx="6">
                  <c:v>7331</c:v>
                </c:pt>
                <c:pt idx="7">
                  <c:v>7187</c:v>
                </c:pt>
                <c:pt idx="8">
                  <c:v>7117</c:v>
                </c:pt>
                <c:pt idx="9">
                  <c:v>7262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4A-496B-8111-0957DBD224AD}"/>
            </c:ext>
          </c:extLst>
        </c:ser>
        <c:ser>
          <c:idx val="1"/>
          <c:order val="4"/>
          <c:tx>
            <c:strRef>
              <c:f>'2023Q2 (2)'!$C$23:$C$24</c:f>
              <c:strCache>
                <c:ptCount val="2"/>
                <c:pt idx="0">
                  <c:v>TRH</c:v>
                </c:pt>
                <c:pt idx="1">
                  <c:v>ago-23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'2023Q2 (2)'!$A$39:$A$48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(2)'!$C$25:$C$34</c:f>
              <c:numCache>
                <c:formatCode>0</c:formatCode>
                <c:ptCount val="10"/>
                <c:pt idx="0">
                  <c:v>6998</c:v>
                </c:pt>
                <c:pt idx="1">
                  <c:v>8263</c:v>
                </c:pt>
                <c:pt idx="2">
                  <c:v>8199</c:v>
                </c:pt>
                <c:pt idx="3">
                  <c:v>8340</c:v>
                </c:pt>
                <c:pt idx="4">
                  <c:v>7600</c:v>
                </c:pt>
                <c:pt idx="5">
                  <c:v>7744</c:v>
                </c:pt>
                <c:pt idx="6">
                  <c:v>7870</c:v>
                </c:pt>
                <c:pt idx="7">
                  <c:v>7646</c:v>
                </c:pt>
                <c:pt idx="8">
                  <c:v>7566</c:v>
                </c:pt>
                <c:pt idx="9">
                  <c:v>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4A-496B-8111-0957DBD224AD}"/>
            </c:ext>
          </c:extLst>
        </c:ser>
        <c:ser>
          <c:idx val="2"/>
          <c:order val="5"/>
          <c:tx>
            <c:strRef>
              <c:f>'2023Q2 (2)'!$D$23:$D$24</c:f>
              <c:strCache>
                <c:ptCount val="2"/>
                <c:pt idx="0">
                  <c:v>TRH</c:v>
                </c:pt>
                <c:pt idx="1">
                  <c:v>sep-23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50000"/>
                </a:schemeClr>
              </a:solidFill>
              <a:ln w="9525" cap="rnd">
                <a:solidFill>
                  <a:schemeClr val="accent5">
                    <a:lumMod val="50000"/>
                    <a:alpha val="99000"/>
                  </a:schemeClr>
                </a:solidFill>
              </a:ln>
              <a:effectLst/>
            </c:spPr>
          </c:marker>
          <c:cat>
            <c:strRef>
              <c:f>'2023Q2 (2)'!$A$39:$A$48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(2)'!$D$25:$D$34</c:f>
              <c:numCache>
                <c:formatCode>0</c:formatCode>
                <c:ptCount val="10"/>
                <c:pt idx="0">
                  <c:v>7483</c:v>
                </c:pt>
                <c:pt idx="1">
                  <c:v>8665</c:v>
                </c:pt>
                <c:pt idx="2">
                  <c:v>8609</c:v>
                </c:pt>
                <c:pt idx="3">
                  <c:v>8340</c:v>
                </c:pt>
                <c:pt idx="4">
                  <c:v>8000</c:v>
                </c:pt>
                <c:pt idx="5">
                  <c:v>8167</c:v>
                </c:pt>
                <c:pt idx="6">
                  <c:v>8277</c:v>
                </c:pt>
                <c:pt idx="7">
                  <c:v>8093</c:v>
                </c:pt>
                <c:pt idx="8">
                  <c:v>7789</c:v>
                </c:pt>
                <c:pt idx="9">
                  <c:v>8090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4A-496B-8111-0957DBD2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115608"/>
        <c:axId val="578119872"/>
      </c:lineChart>
      <c:catAx>
        <c:axId val="57810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1176"/>
        <c:crosses val="autoZero"/>
        <c:auto val="1"/>
        <c:lblAlgn val="ctr"/>
        <c:lblOffset val="100"/>
        <c:noMultiLvlLbl val="0"/>
      </c:catAx>
      <c:valAx>
        <c:axId val="57810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00848"/>
        <c:crosses val="autoZero"/>
        <c:crossBetween val="between"/>
      </c:valAx>
      <c:valAx>
        <c:axId val="57811987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15608"/>
        <c:crosses val="max"/>
        <c:crossBetween val="between"/>
      </c:valAx>
      <c:catAx>
        <c:axId val="578115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811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Quarter Availabilty per Genset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'2023Q2 (2)'!$B$8</c:f>
              <c:strCache>
                <c:ptCount val="1"/>
                <c:pt idx="0">
                  <c:v>jul-23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'2023Q2 (2)'!$A$9:$A$18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(2)'!$B$9:$B$18</c:f>
              <c:numCache>
                <c:formatCode>0%</c:formatCode>
                <c:ptCount val="10"/>
                <c:pt idx="0">
                  <c:v>0.97244623655913975</c:v>
                </c:pt>
                <c:pt idx="1">
                  <c:v>0.99059139784946237</c:v>
                </c:pt>
                <c:pt idx="2">
                  <c:v>0.99260752688172038</c:v>
                </c:pt>
                <c:pt idx="3">
                  <c:v>0.9751344086021505</c:v>
                </c:pt>
                <c:pt idx="4">
                  <c:v>0.98991935483870963</c:v>
                </c:pt>
                <c:pt idx="5">
                  <c:v>0.84946236559139787</c:v>
                </c:pt>
                <c:pt idx="6">
                  <c:v>0.99798387096774188</c:v>
                </c:pt>
                <c:pt idx="7">
                  <c:v>0.97647849462365588</c:v>
                </c:pt>
                <c:pt idx="8">
                  <c:v>0.89247311827956988</c:v>
                </c:pt>
                <c:pt idx="9">
                  <c:v>0.37903225806451613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B-45E6-8295-7D8E886F86ED}"/>
            </c:ext>
          </c:extLst>
        </c:ser>
        <c:ser>
          <c:idx val="1"/>
          <c:order val="1"/>
          <c:tx>
            <c:strRef>
              <c:f>'2023Q2 (2)'!$C$8</c:f>
              <c:strCache>
                <c:ptCount val="1"/>
                <c:pt idx="0">
                  <c:v>ago-23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'2023Q2 (2)'!$A$9:$A$18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(2)'!$C$9:$C$18</c:f>
              <c:numCache>
                <c:formatCode>0%</c:formatCode>
                <c:ptCount val="10"/>
                <c:pt idx="0">
                  <c:v>0.96169354838709675</c:v>
                </c:pt>
                <c:pt idx="1">
                  <c:v>1</c:v>
                </c:pt>
                <c:pt idx="2">
                  <c:v>1</c:v>
                </c:pt>
                <c:pt idx="3">
                  <c:v>0.24327956989247312</c:v>
                </c:pt>
                <c:pt idx="4">
                  <c:v>0.99663978494623651</c:v>
                </c:pt>
                <c:pt idx="5">
                  <c:v>0.32594086021505375</c:v>
                </c:pt>
                <c:pt idx="6">
                  <c:v>1</c:v>
                </c:pt>
                <c:pt idx="7">
                  <c:v>0.989247311827957</c:v>
                </c:pt>
                <c:pt idx="8">
                  <c:v>0.99059139784946237</c:v>
                </c:pt>
                <c:pt idx="9">
                  <c:v>0.876008064516129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CB-45E6-8295-7D8E886F86ED}"/>
            </c:ext>
          </c:extLst>
        </c:ser>
        <c:ser>
          <c:idx val="2"/>
          <c:order val="2"/>
          <c:tx>
            <c:strRef>
              <c:f>'2023Q2 (2)'!$D$8</c:f>
              <c:strCache>
                <c:ptCount val="1"/>
                <c:pt idx="0">
                  <c:v>sep-23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'2023Q2 (2)'!$A$9:$A$18</c:f>
              <c:strCache>
                <c:ptCount val="10"/>
                <c:pt idx="0">
                  <c:v>#01</c:v>
                </c:pt>
                <c:pt idx="1">
                  <c:v>#02</c:v>
                </c:pt>
                <c:pt idx="2">
                  <c:v>#03</c:v>
                </c:pt>
                <c:pt idx="3">
                  <c:v>#04</c:v>
                </c:pt>
                <c:pt idx="4">
                  <c:v>#05</c:v>
                </c:pt>
                <c:pt idx="5">
                  <c:v>#06</c:v>
                </c:pt>
                <c:pt idx="6">
                  <c:v>#07</c:v>
                </c:pt>
                <c:pt idx="7">
                  <c:v>#08</c:v>
                </c:pt>
                <c:pt idx="8">
                  <c:v>#09</c:v>
                </c:pt>
                <c:pt idx="9">
                  <c:v>#10</c:v>
                </c:pt>
              </c:strCache>
            </c:strRef>
          </c:cat>
          <c:val>
            <c:numRef>
              <c:f>'2023Q2 (2)'!$D$9:$D$18</c:f>
              <c:numCache>
                <c:formatCode>0%</c:formatCode>
                <c:ptCount val="10"/>
                <c:pt idx="0">
                  <c:v>0.99861111111111112</c:v>
                </c:pt>
                <c:pt idx="1">
                  <c:v>0.96111111111111114</c:v>
                </c:pt>
                <c:pt idx="2">
                  <c:v>0.90833333333333333</c:v>
                </c:pt>
                <c:pt idx="3">
                  <c:v>0</c:v>
                </c:pt>
                <c:pt idx="4">
                  <c:v>0.96805555555555556</c:v>
                </c:pt>
                <c:pt idx="5">
                  <c:v>0.97986111111111107</c:v>
                </c:pt>
                <c:pt idx="6">
                  <c:v>0.875</c:v>
                </c:pt>
                <c:pt idx="7">
                  <c:v>0.9819444444444444</c:v>
                </c:pt>
                <c:pt idx="8">
                  <c:v>0.89583333333333337</c:v>
                </c:pt>
                <c:pt idx="9">
                  <c:v>0.97361111111111109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CB-45E6-8295-7D8E886F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138216"/>
        <c:axId val="738144120"/>
      </c:barChart>
      <c:catAx>
        <c:axId val="73813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44120"/>
        <c:crosses val="autoZero"/>
        <c:auto val="1"/>
        <c:lblAlgn val="ctr"/>
        <c:lblOffset val="100"/>
        <c:noMultiLvlLbl val="0"/>
      </c:catAx>
      <c:valAx>
        <c:axId val="738144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382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95000"/>
                    <a:lumOff val="5000"/>
                  </a:schemeClr>
                </a:solidFill>
              </a:rPr>
              <a:t>Disponibilidad unidades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'Dispo. Planta'!$C$3</c:f>
              <c:strCache>
                <c:ptCount val="1"/>
                <c:pt idx="0">
                  <c:v>Disponibilidad (%)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'Dispo. Planta'!$B$4:$B$8</c:f>
              <c:numCache>
                <c:formatCode>mmm\-yy</c:formatCode>
                <c:ptCount val="5"/>
                <c:pt idx="0">
                  <c:v>44866</c:v>
                </c:pt>
                <c:pt idx="1">
                  <c:v>44896</c:v>
                </c:pt>
                <c:pt idx="2">
                  <c:v>44927</c:v>
                </c:pt>
                <c:pt idx="3">
                  <c:v>44958</c:v>
                </c:pt>
                <c:pt idx="4">
                  <c:v>44986</c:v>
                </c:pt>
              </c:numCache>
            </c:numRef>
          </c:cat>
          <c:val>
            <c:numRef>
              <c:f>'Dispo. Planta'!$C$4:$C$8</c:f>
              <c:numCache>
                <c:formatCode>0%</c:formatCode>
                <c:ptCount val="5"/>
                <c:pt idx="0">
                  <c:v>0.9</c:v>
                </c:pt>
                <c:pt idx="1">
                  <c:v>0.87</c:v>
                </c:pt>
                <c:pt idx="2">
                  <c:v>1</c:v>
                </c:pt>
                <c:pt idx="3">
                  <c:v>1</c:v>
                </c:pt>
                <c:pt idx="4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3-46FE-8F33-BB270B581F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0886472"/>
        <c:axId val="960885816"/>
      </c:lineChart>
      <c:dateAx>
        <c:axId val="96088647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85816"/>
        <c:crosses val="autoZero"/>
        <c:auto val="1"/>
        <c:lblOffset val="100"/>
        <c:baseTimeUnit val="months"/>
      </c:dateAx>
      <c:valAx>
        <c:axId val="960885816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960886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Disponibilidad Subestaciones</a:t>
            </a:r>
            <a:r>
              <a:rPr lang="en-US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</a:t>
            </a: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Eléctricas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'Dispo. Planta'!$B$21</c:f>
              <c:strCache>
                <c:ptCount val="1"/>
                <c:pt idx="0">
                  <c:v>nov-22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'Dispo. Planta'!$C$19:$G$20</c:f>
              <c:strCache>
                <c:ptCount val="5"/>
                <c:pt idx="0">
                  <c:v>Termocol 220 kV</c:v>
                </c:pt>
                <c:pt idx="1">
                  <c:v>Termocol 44 kV</c:v>
                </c:pt>
                <c:pt idx="2">
                  <c:v>Termonorte 44 kV</c:v>
                </c:pt>
                <c:pt idx="3">
                  <c:v>Termonorte Generación 13,8 kV</c:v>
                </c:pt>
                <c:pt idx="4">
                  <c:v>Línea de Transmisión 44 kV</c:v>
                </c:pt>
              </c:strCache>
            </c:strRef>
          </c:cat>
          <c:val>
            <c:numRef>
              <c:f>'Dispo. Planta'!$C$21:$G$21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5-491E-96EE-DA92E03FC0E5}"/>
            </c:ext>
          </c:extLst>
        </c:ser>
        <c:ser>
          <c:idx val="1"/>
          <c:order val="1"/>
          <c:tx>
            <c:strRef>
              <c:f>'Dispo. Planta'!$B$22</c:f>
              <c:strCache>
                <c:ptCount val="1"/>
                <c:pt idx="0">
                  <c:v>dic-22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'Dispo. Planta'!$C$19:$G$20</c:f>
              <c:strCache>
                <c:ptCount val="5"/>
                <c:pt idx="0">
                  <c:v>Termocol 220 kV</c:v>
                </c:pt>
                <c:pt idx="1">
                  <c:v>Termocol 44 kV</c:v>
                </c:pt>
                <c:pt idx="2">
                  <c:v>Termonorte 44 kV</c:v>
                </c:pt>
                <c:pt idx="3">
                  <c:v>Termonorte Generación 13,8 kV</c:v>
                </c:pt>
                <c:pt idx="4">
                  <c:v>Línea de Transmisión 44 kV</c:v>
                </c:pt>
              </c:strCache>
            </c:strRef>
          </c:cat>
          <c:val>
            <c:numRef>
              <c:f>'Dispo. Planta'!$C$22:$G$22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5-491E-96EE-DA92E03FC0E5}"/>
            </c:ext>
          </c:extLst>
        </c:ser>
        <c:ser>
          <c:idx val="2"/>
          <c:order val="2"/>
          <c:tx>
            <c:strRef>
              <c:f>'Dispo. Planta'!$B$23</c:f>
              <c:strCache>
                <c:ptCount val="1"/>
                <c:pt idx="0">
                  <c:v>ene-23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'Dispo. Planta'!$C$19:$G$20</c:f>
              <c:strCache>
                <c:ptCount val="5"/>
                <c:pt idx="0">
                  <c:v>Termocol 220 kV</c:v>
                </c:pt>
                <c:pt idx="1">
                  <c:v>Termocol 44 kV</c:v>
                </c:pt>
                <c:pt idx="2">
                  <c:v>Termonorte 44 kV</c:v>
                </c:pt>
                <c:pt idx="3">
                  <c:v>Termonorte Generación 13,8 kV</c:v>
                </c:pt>
                <c:pt idx="4">
                  <c:v>Línea de Transmisión 44 kV</c:v>
                </c:pt>
              </c:strCache>
            </c:strRef>
          </c:cat>
          <c:val>
            <c:numRef>
              <c:f>'Dispo. Planta'!$C$23:$G$23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5-491E-96EE-DA92E03FC0E5}"/>
            </c:ext>
          </c:extLst>
        </c:ser>
        <c:ser>
          <c:idx val="3"/>
          <c:order val="3"/>
          <c:tx>
            <c:strRef>
              <c:f>'Dispo. Planta'!$B$24</c:f>
              <c:strCache>
                <c:ptCount val="1"/>
                <c:pt idx="0">
                  <c:v>feb-23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'Dispo. Planta'!$C$19:$G$20</c:f>
              <c:strCache>
                <c:ptCount val="5"/>
                <c:pt idx="0">
                  <c:v>Termocol 220 kV</c:v>
                </c:pt>
                <c:pt idx="1">
                  <c:v>Termocol 44 kV</c:v>
                </c:pt>
                <c:pt idx="2">
                  <c:v>Termonorte 44 kV</c:v>
                </c:pt>
                <c:pt idx="3">
                  <c:v>Termonorte Generación 13,8 kV</c:v>
                </c:pt>
                <c:pt idx="4">
                  <c:v>Línea de Transmisión 44 kV</c:v>
                </c:pt>
              </c:strCache>
            </c:strRef>
          </c:cat>
          <c:val>
            <c:numRef>
              <c:f>'Dispo. Planta'!$C$24:$G$24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5-491E-96EE-DA92E03FC0E5}"/>
            </c:ext>
          </c:extLst>
        </c:ser>
        <c:ser>
          <c:idx val="4"/>
          <c:order val="4"/>
          <c:tx>
            <c:strRef>
              <c:f>'Dispo. Planta'!$B$25</c:f>
              <c:strCache>
                <c:ptCount val="1"/>
                <c:pt idx="0">
                  <c:v>mar-23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'Dispo. Planta'!$C$19:$G$20</c:f>
              <c:strCache>
                <c:ptCount val="5"/>
                <c:pt idx="0">
                  <c:v>Termocol 220 kV</c:v>
                </c:pt>
                <c:pt idx="1">
                  <c:v>Termocol 44 kV</c:v>
                </c:pt>
                <c:pt idx="2">
                  <c:v>Termonorte 44 kV</c:v>
                </c:pt>
                <c:pt idx="3">
                  <c:v>Termonorte Generación 13,8 kV</c:v>
                </c:pt>
                <c:pt idx="4">
                  <c:v>Línea de Transmisión 44 kV</c:v>
                </c:pt>
              </c:strCache>
            </c:strRef>
          </c:cat>
          <c:val>
            <c:numRef>
              <c:f>'Dispo. Planta'!$C$25:$G$25</c:f>
              <c:numCache>
                <c:formatCode>0%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7355-491E-96EE-DA92E03F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1625376"/>
        <c:axId val="591625704"/>
      </c:barChart>
      <c:catAx>
        <c:axId val="59162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25704"/>
        <c:crosses val="autoZero"/>
        <c:auto val="1"/>
        <c:lblAlgn val="ctr"/>
        <c:lblOffset val="100"/>
        <c:noMultiLvlLbl val="0"/>
      </c:catAx>
      <c:valAx>
        <c:axId val="5916257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25376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7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7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107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7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595312</xdr:colOff>
      <xdr:row>17</xdr:row>
      <xdr:rowOff>163441</xdr:rowOff>
    </xdr:from>
    <xdr:to>
      <xdr:col>16</xdr:col>
      <xdr:colOff>235032</xdr:colOff>
      <xdr:row>32</xdr:row>
      <xdr:rowOff>1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199062" y="3423108"/>
          <a:ext cx="6846970" cy="2694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435856</xdr:colOff>
      <xdr:row>31</xdr:row>
      <xdr:rowOff>82056</xdr:rowOff>
    </xdr:from>
    <xdr:to>
      <xdr:col>25</xdr:col>
      <xdr:colOff>165106</xdr:colOff>
      <xdr:row>40</xdr:row>
      <xdr:rowOff>59556</xdr:rowOff>
    </xdr:to>
    <xdr:graphicFrame macro="">
      <xdr:nvGraphicFramePr>
        <xdr:cNvPr id="61" name="Chart 49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435429</xdr:colOff>
      <xdr:row>23</xdr:row>
      <xdr:rowOff>78163</xdr:rowOff>
    </xdr:from>
    <xdr:to>
      <xdr:col>25</xdr:col>
      <xdr:colOff>166241</xdr:colOff>
      <xdr:row>32</xdr:row>
      <xdr:rowOff>54430</xdr:rowOff>
    </xdr:to>
    <xdr:graphicFrame macro="">
      <xdr:nvGraphicFramePr>
        <xdr:cNvPr id="63" name="Chart 49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45358</xdr:colOff>
      <xdr:row>19</xdr:row>
      <xdr:rowOff>106018</xdr:rowOff>
    </xdr:from>
    <xdr:to>
      <xdr:col>10</xdr:col>
      <xdr:colOff>277258</xdr:colOff>
      <xdr:row>30</xdr:row>
      <xdr:rowOff>68868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5358" y="3609101"/>
          <a:ext cx="7492067" cy="1952517"/>
        </a:xfrm>
        <a:prstGeom prst="rect">
          <a:avLst/>
        </a:prstGeom>
        <a:noFill/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62444</xdr:colOff>
      <xdr:row>9</xdr:row>
      <xdr:rowOff>119062</xdr:rowOff>
    </xdr:from>
    <xdr:to>
      <xdr:col>10</xdr:col>
      <xdr:colOff>238126</xdr:colOff>
      <xdr:row>19</xdr:row>
      <xdr:rowOff>11906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42183</xdr:colOff>
      <xdr:row>9</xdr:row>
      <xdr:rowOff>98424</xdr:rowOff>
    </xdr:from>
    <xdr:to>
      <xdr:col>10</xdr:col>
      <xdr:colOff>274083</xdr:colOff>
      <xdr:row>19</xdr:row>
      <xdr:rowOff>29424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2183" y="1841499"/>
          <a:ext cx="7128000" cy="1969350"/>
        </a:xfrm>
        <a:prstGeom prst="rect">
          <a:avLst/>
        </a:prstGeom>
        <a:noFill/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</xdr:colOff>
      <xdr:row>8</xdr:row>
      <xdr:rowOff>149225</xdr:rowOff>
    </xdr:from>
    <xdr:to>
      <xdr:col>2</xdr:col>
      <xdr:colOff>483300</xdr:colOff>
      <xdr:row>9</xdr:row>
      <xdr:rowOff>162537</xdr:rowOff>
    </xdr:to>
    <xdr:sp macro="" textlink="">
      <xdr:nvSpPr>
        <xdr:cNvPr id="13" name="TextBox 16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76200" y="1730375"/>
          <a:ext cx="1816800" cy="175237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Despacho</a:t>
          </a:r>
          <a:r>
            <a:rPr lang="en-US" sz="900" b="1" baseline="0">
              <a:solidFill>
                <a:schemeClr val="bg1"/>
              </a:solidFill>
            </a:rPr>
            <a:t>s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80840</xdr:colOff>
      <xdr:row>21</xdr:row>
      <xdr:rowOff>16669</xdr:rowOff>
    </xdr:from>
    <xdr:to>
      <xdr:col>7</xdr:col>
      <xdr:colOff>51858</xdr:colOff>
      <xdr:row>30</xdr:row>
      <xdr:rowOff>66169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13607</xdr:colOff>
      <xdr:row>19</xdr:row>
      <xdr:rowOff>57184</xdr:rowOff>
    </xdr:from>
    <xdr:to>
      <xdr:col>2</xdr:col>
      <xdr:colOff>786681</xdr:colOff>
      <xdr:row>20</xdr:row>
      <xdr:rowOff>43084</xdr:rowOff>
    </xdr:to>
    <xdr:sp macro="" textlink="">
      <xdr:nvSpPr>
        <xdr:cNvPr id="15" name="TextBox 16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68036" y="3703898"/>
          <a:ext cx="2120181" cy="176400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Despacho</a:t>
          </a:r>
          <a:r>
            <a:rPr lang="en-US" sz="900" b="1" baseline="0">
              <a:solidFill>
                <a:schemeClr val="bg1"/>
              </a:solidFill>
            </a:rPr>
            <a:t> XM - G. HGS - REP. G.E.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9525</xdr:colOff>
      <xdr:row>31</xdr:row>
      <xdr:rowOff>25513</xdr:rowOff>
    </xdr:from>
    <xdr:to>
      <xdr:col>5</xdr:col>
      <xdr:colOff>514350</xdr:colOff>
      <xdr:row>42</xdr:row>
      <xdr:rowOff>77413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562806</xdr:colOff>
      <xdr:row>31</xdr:row>
      <xdr:rowOff>25513</xdr:rowOff>
    </xdr:from>
    <xdr:to>
      <xdr:col>10</xdr:col>
      <xdr:colOff>238125</xdr:colOff>
      <xdr:row>42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42183</xdr:colOff>
      <xdr:row>31</xdr:row>
      <xdr:rowOff>13535</xdr:rowOff>
    </xdr:from>
    <xdr:to>
      <xdr:col>10</xdr:col>
      <xdr:colOff>274083</xdr:colOff>
      <xdr:row>42</xdr:row>
      <xdr:rowOff>101285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42183" y="5942848"/>
          <a:ext cx="7121650" cy="2183250"/>
        </a:xfrm>
        <a:prstGeom prst="rect">
          <a:avLst/>
        </a:prstGeom>
        <a:noFill/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32289</xdr:colOff>
      <xdr:row>30</xdr:row>
      <xdr:rowOff>126738</xdr:rowOff>
    </xdr:from>
    <xdr:to>
      <xdr:col>2</xdr:col>
      <xdr:colOff>83739</xdr:colOff>
      <xdr:row>31</xdr:row>
      <xdr:rowOff>112638</xdr:rowOff>
    </xdr:to>
    <xdr:sp macro="" textlink="">
      <xdr:nvSpPr>
        <xdr:cNvPr id="36" name="TextBox 1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89439" y="6003663"/>
          <a:ext cx="1404000" cy="176400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Consumos Combustibles</a:t>
          </a:r>
        </a:p>
      </xdr:txBody>
    </xdr:sp>
    <xdr:clientData/>
  </xdr:twoCellAnchor>
  <xdr:twoCellAnchor>
    <xdr:from>
      <xdr:col>20</xdr:col>
      <xdr:colOff>381525</xdr:colOff>
      <xdr:row>33</xdr:row>
      <xdr:rowOff>13607</xdr:rowOff>
    </xdr:from>
    <xdr:to>
      <xdr:col>20</xdr:col>
      <xdr:colOff>606043</xdr:colOff>
      <xdr:row>33</xdr:row>
      <xdr:rowOff>184973</xdr:rowOff>
    </xdr:to>
    <xdr:sp macro="" textlink="">
      <xdr:nvSpPr>
        <xdr:cNvPr id="39" name="CuadroTexto 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059300" y="966107"/>
          <a:ext cx="224518" cy="171366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s-CO" sz="10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430950</xdr:colOff>
      <xdr:row>30</xdr:row>
      <xdr:rowOff>20410</xdr:rowOff>
    </xdr:from>
    <xdr:to>
      <xdr:col>21</xdr:col>
      <xdr:colOff>73795</xdr:colOff>
      <xdr:row>31</xdr:row>
      <xdr:rowOff>1276</xdr:rowOff>
    </xdr:to>
    <xdr:sp macro="" textlink="'T. Dina'!#REF!">
      <xdr:nvSpPr>
        <xdr:cNvPr id="41" name="CuadroTexto 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108725" y="972910"/>
          <a:ext cx="404845" cy="171366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fld id="{CF614C95-4147-41A9-A0D8-E228B6FD7793}" type="TxLink">
            <a:rPr lang="en-US" sz="10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cs typeface="Calibri"/>
            </a:rPr>
            <a:pPr algn="ctr"/>
            <a:t> </a:t>
          </a:fld>
          <a:endParaRPr lang="es-CO" sz="10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56093</xdr:colOff>
      <xdr:row>2</xdr:row>
      <xdr:rowOff>74085</xdr:rowOff>
    </xdr:from>
    <xdr:to>
      <xdr:col>8</xdr:col>
      <xdr:colOff>212613</xdr:colOff>
      <xdr:row>8</xdr:row>
      <xdr:rowOff>112185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3" name="Fecha 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10" y="508002"/>
              <a:ext cx="5469353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Escala de tiempo: funciona en Excel o versiones posteriores. No la mueva ni cambie su tamaño.</a:t>
              </a:r>
            </a:p>
          </xdr:txBody>
        </xdr:sp>
      </mc:Fallback>
    </mc:AlternateContent>
    <xdr:clientData/>
  </xdr:twoCellAnchor>
  <xdr:twoCellAnchor>
    <xdr:from>
      <xdr:col>1</xdr:col>
      <xdr:colOff>63500</xdr:colOff>
      <xdr:row>0</xdr:row>
      <xdr:rowOff>0</xdr:rowOff>
    </xdr:from>
    <xdr:to>
      <xdr:col>8</xdr:col>
      <xdr:colOff>226219</xdr:colOff>
      <xdr:row>2</xdr:row>
      <xdr:rowOff>55355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pSpPr/>
      </xdr:nvGrpSpPr>
      <xdr:grpSpPr>
        <a:xfrm>
          <a:off x="116417" y="0"/>
          <a:ext cx="5475552" cy="489272"/>
          <a:chOff x="95248" y="69639"/>
          <a:chExt cx="4296835" cy="558586"/>
        </a:xfrm>
      </xdr:grpSpPr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 txBox="1"/>
        </xdr:nvSpPr>
        <xdr:spPr>
          <a:xfrm>
            <a:off x="1447891" y="69639"/>
            <a:ext cx="2724115" cy="55858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>
                <a:latin typeface="Bahnschrift" panose="020B0502040204020203" pitchFamily="34" charset="0"/>
              </a:rPr>
              <a:t>Informe</a:t>
            </a:r>
            <a:r>
              <a:rPr lang="en-US" sz="1800" baseline="0">
                <a:latin typeface="Bahnschrift" panose="020B0502040204020203" pitchFamily="34" charset="0"/>
              </a:rPr>
              <a:t> de Parámetros - 2023</a:t>
            </a:r>
            <a:endParaRPr lang="en-US" sz="1800">
              <a:latin typeface="Bahnschrift" panose="020B0502040204020203" pitchFamily="34" charset="0"/>
            </a:endParaRPr>
          </a:p>
        </xdr:txBody>
      </xdr:sp>
      <xdr:sp macro="" textlink="">
        <xdr:nvSpPr>
          <xdr:cNvPr id="10" name="Rectángulo redondeado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95248" y="104194"/>
            <a:ext cx="4296835" cy="509639"/>
          </a:xfrm>
          <a:prstGeom prst="roundRect">
            <a:avLst/>
          </a:prstGeom>
          <a:noFill/>
          <a:ln w="19050">
            <a:prstDash val="sysDash"/>
          </a:ln>
          <a:effectLst/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726020</xdr:colOff>
      <xdr:row>0</xdr:row>
      <xdr:rowOff>175419</xdr:rowOff>
    </xdr:from>
    <xdr:to>
      <xdr:col>11</xdr:col>
      <xdr:colOff>179916</xdr:colOff>
      <xdr:row>9</xdr:row>
      <xdr:rowOff>266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5329770" y="175419"/>
          <a:ext cx="2523063" cy="1560514"/>
          <a:chOff x="10020300" y="2809875"/>
          <a:chExt cx="1993295" cy="988257"/>
        </a:xfrm>
      </xdr:grpSpPr>
      <xdr:graphicFrame macro="">
        <xdr:nvGraphicFramePr>
          <xdr:cNvPr id="48" name="Gráfico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GraphicFramePr>
            <a:graphicFrameLocks/>
          </xdr:cNvGraphicFramePr>
        </xdr:nvGraphicFramePr>
        <xdr:xfrm>
          <a:off x="10020300" y="2809875"/>
          <a:ext cx="1993295" cy="9882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49" name="CuadroTexto 1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 txBox="1"/>
        </xdr:nvSpPr>
        <xdr:spPr>
          <a:xfrm>
            <a:off x="10788893" y="3565951"/>
            <a:ext cx="383570" cy="196850"/>
          </a:xfrm>
          <a:prstGeom prst="rect">
            <a:avLst/>
          </a:prstGeom>
        </xdr:spPr>
        <xdr:txBody>
          <a:bodyPr wrap="square" rtlCol="0" anchor="ctr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b="0" i="0" u="none" strike="noStrike" cap="none" spc="0">
                <a:ln w="0"/>
                <a:solidFill>
                  <a:srgbClr val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cs typeface="Calibri"/>
              </a:rPr>
              <a:t>/</a:t>
            </a:r>
            <a:endParaRPr lang="es-CO" sz="1050" b="1" cap="none" spc="0">
              <a:ln w="0"/>
              <a:solidFill>
                <a:schemeClr val="accent5">
                  <a:lumMod val="5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'T. Dina'!V6">
        <xdr:nvSpPr>
          <xdr:cNvPr id="50" name="CuadroTexto 1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 txBox="1"/>
        </xdr:nvSpPr>
        <xdr:spPr>
          <a:xfrm>
            <a:off x="10888578" y="3573392"/>
            <a:ext cx="447675" cy="180975"/>
          </a:xfrm>
          <a:prstGeom prst="rect">
            <a:avLst/>
          </a:prstGeom>
        </xdr:spPr>
        <xdr:txBody>
          <a:bodyPr wrap="square" rtlCol="0" anchor="ctr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/>
            <a:fld id="{C01E91C0-D357-4AFE-9A63-75DA5E61834A}" type="TxLink">
              <a:rPr lang="en-US" sz="1000" b="0" i="0" u="none" strike="noStrike" cap="none" spc="0">
                <a:ln w="0"/>
                <a:solidFill>
                  <a:srgbClr val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cs typeface="Calibri"/>
              </a:rPr>
              <a:pPr algn="ctr"/>
              <a:t>2160</a:t>
            </a:fld>
            <a:endParaRPr lang="es-CO" sz="600" b="1" cap="none" spc="0">
              <a:ln w="0"/>
              <a:solidFill>
                <a:schemeClr val="accent5">
                  <a:lumMod val="5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10</xdr:col>
      <xdr:colOff>422859</xdr:colOff>
      <xdr:row>18</xdr:row>
      <xdr:rowOff>85725</xdr:rowOff>
    </xdr:from>
    <xdr:to>
      <xdr:col>16</xdr:col>
      <xdr:colOff>119559</xdr:colOff>
      <xdr:row>26</xdr:row>
      <xdr:rowOff>114300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422859</xdr:colOff>
      <xdr:row>24</xdr:row>
      <xdr:rowOff>133351</xdr:rowOff>
    </xdr:from>
    <xdr:to>
      <xdr:col>16</xdr:col>
      <xdr:colOff>118059</xdr:colOff>
      <xdr:row>33</xdr:row>
      <xdr:rowOff>57151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389507</xdr:colOff>
      <xdr:row>17</xdr:row>
      <xdr:rowOff>152401</xdr:rowOff>
    </xdr:from>
    <xdr:to>
      <xdr:col>16</xdr:col>
      <xdr:colOff>165881</xdr:colOff>
      <xdr:row>33</xdr:row>
      <xdr:rowOff>57151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7279257" y="3412068"/>
          <a:ext cx="4697624" cy="2952750"/>
        </a:xfrm>
        <a:prstGeom prst="rect">
          <a:avLst/>
        </a:prstGeom>
        <a:noFill/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389507</xdr:colOff>
      <xdr:row>34</xdr:row>
      <xdr:rowOff>1</xdr:rowOff>
    </xdr:from>
    <xdr:to>
      <xdr:col>16</xdr:col>
      <xdr:colOff>165321</xdr:colOff>
      <xdr:row>42</xdr:row>
      <xdr:rowOff>101285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426583</xdr:colOff>
      <xdr:row>16</xdr:row>
      <xdr:rowOff>160865</xdr:rowOff>
    </xdr:from>
    <xdr:to>
      <xdr:col>11</xdr:col>
      <xdr:colOff>783924</xdr:colOff>
      <xdr:row>17</xdr:row>
      <xdr:rowOff>150365</xdr:rowOff>
    </xdr:to>
    <xdr:sp macro="" textlink="">
      <xdr:nvSpPr>
        <xdr:cNvPr id="37" name="TextBox 1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7322683" y="3237440"/>
          <a:ext cx="1138391" cy="180000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Consumo</a:t>
          </a:r>
          <a:r>
            <a:rPr lang="en-US" sz="900" b="1" baseline="0">
              <a:solidFill>
                <a:schemeClr val="bg1"/>
              </a:solidFill>
            </a:rPr>
            <a:t> Gas - HR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1743075</xdr:colOff>
          <xdr:row>0</xdr:row>
          <xdr:rowOff>38100</xdr:rowOff>
        </xdr:from>
        <xdr:to>
          <xdr:col>14</xdr:col>
          <xdr:colOff>342900</xdr:colOff>
          <xdr:row>0</xdr:row>
          <xdr:rowOff>219075</xdr:rowOff>
        </xdr:to>
        <xdr:sp macro="" textlink="">
          <xdr:nvSpPr>
            <xdr:cNvPr id="9220" name="ScrollBar1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666750</xdr:colOff>
          <xdr:row>0</xdr:row>
          <xdr:rowOff>95250</xdr:rowOff>
        </xdr:from>
        <xdr:to>
          <xdr:col>22</xdr:col>
          <xdr:colOff>876300</xdr:colOff>
          <xdr:row>1</xdr:row>
          <xdr:rowOff>9525</xdr:rowOff>
        </xdr:to>
        <xdr:sp macro="" textlink="">
          <xdr:nvSpPr>
            <xdr:cNvPr id="9221" name="ScrollBar2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161925</xdr:colOff>
          <xdr:row>30</xdr:row>
          <xdr:rowOff>57150</xdr:rowOff>
        </xdr:from>
        <xdr:to>
          <xdr:col>21</xdr:col>
          <xdr:colOff>9525</xdr:colOff>
          <xdr:row>31</xdr:row>
          <xdr:rowOff>0</xdr:rowOff>
        </xdr:to>
        <xdr:sp macro="" textlink="">
          <xdr:nvSpPr>
            <xdr:cNvPr id="9222" name="ScrollBar3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171450</xdr:colOff>
          <xdr:row>14</xdr:row>
          <xdr:rowOff>57150</xdr:rowOff>
        </xdr:from>
        <xdr:to>
          <xdr:col>25</xdr:col>
          <xdr:colOff>9525</xdr:colOff>
          <xdr:row>15</xdr:row>
          <xdr:rowOff>0</xdr:rowOff>
        </xdr:to>
        <xdr:sp macro="" textlink="">
          <xdr:nvSpPr>
            <xdr:cNvPr id="9223" name="ScrollBar4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161925</xdr:colOff>
          <xdr:row>22</xdr:row>
          <xdr:rowOff>57150</xdr:rowOff>
        </xdr:from>
        <xdr:to>
          <xdr:col>20</xdr:col>
          <xdr:colOff>514350</xdr:colOff>
          <xdr:row>22</xdr:row>
          <xdr:rowOff>161925</xdr:rowOff>
        </xdr:to>
        <xdr:sp macro="" textlink="">
          <xdr:nvSpPr>
            <xdr:cNvPr id="9224" name="ScrollBar5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295275</xdr:colOff>
      <xdr:row>19</xdr:row>
      <xdr:rowOff>114300</xdr:rowOff>
    </xdr:from>
    <xdr:to>
      <xdr:col>10</xdr:col>
      <xdr:colOff>171450</xdr:colOff>
      <xdr:row>29</xdr:row>
      <xdr:rowOff>171450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4899025" y="3754967"/>
          <a:ext cx="2162175" cy="1962150"/>
          <a:chOff x="4945063" y="4318000"/>
          <a:chExt cx="2305843" cy="2134360"/>
        </a:xfrm>
      </xdr:grpSpPr>
      <xdr:graphicFrame macro="">
        <xdr:nvGraphicFramePr>
          <xdr:cNvPr id="53" name="Chart 49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GraphicFramePr>
            <a:graphicFrameLocks/>
          </xdr:cNvGraphicFramePr>
        </xdr:nvGraphicFramePr>
        <xdr:xfrm>
          <a:off x="5036345" y="4962529"/>
          <a:ext cx="2214561" cy="148983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">
        <xdr:nvSpPr>
          <xdr:cNvPr id="54" name="CuadroTexto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 txBox="1"/>
        </xdr:nvSpPr>
        <xdr:spPr>
          <a:xfrm>
            <a:off x="4945500" y="4677761"/>
            <a:ext cx="1446819" cy="278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900">
                <a:solidFill>
                  <a:schemeClr val="tx1"/>
                </a:solidFill>
              </a:rPr>
              <a:t>AUT [P]:</a:t>
            </a:r>
          </a:p>
        </xdr:txBody>
      </xdr:sp>
      <xdr:sp macro="" textlink="'T. Dina'!BS6">
        <xdr:nvSpPr>
          <xdr:cNvPr id="56" name="CuadroTexto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 txBox="1"/>
        </xdr:nvSpPr>
        <xdr:spPr>
          <a:xfrm>
            <a:off x="5998056" y="4358979"/>
            <a:ext cx="671109" cy="189142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8831FA9-5D51-4828-A6DC-E6F54350F82C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60</a:t>
            </a:fld>
            <a:endParaRPr lang="en-US" sz="900"/>
          </a:p>
        </xdr:txBody>
      </xdr:sp>
      <xdr:sp macro="" textlink="'T. Dina'!BT6">
        <xdr:nvSpPr>
          <xdr:cNvPr id="57" name="CuadroTexto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 txBox="1"/>
        </xdr:nvSpPr>
        <xdr:spPr>
          <a:xfrm>
            <a:off x="5989075" y="4714680"/>
            <a:ext cx="672259" cy="188337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B0F63F2-B167-4867-B268-FA4D4129C0C8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37</a:t>
            </a:fld>
            <a:endParaRPr lang="en-US" sz="900"/>
          </a:p>
        </xdr:txBody>
      </xdr:sp>
      <xdr:sp macro="" textlink="">
        <xdr:nvSpPr>
          <xdr:cNvPr id="42" name="CuadroTexto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 txBox="1"/>
        </xdr:nvSpPr>
        <xdr:spPr>
          <a:xfrm>
            <a:off x="4945063" y="4318000"/>
            <a:ext cx="1446819" cy="278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900">
                <a:solidFill>
                  <a:schemeClr val="tx1"/>
                </a:solidFill>
              </a:rPr>
              <a:t>RED [P]:</a:t>
            </a:r>
          </a:p>
        </xdr:txBody>
      </xdr:sp>
    </xdr:grpSp>
    <xdr:clientData/>
  </xdr:twoCellAnchor>
  <xdr:twoCellAnchor editAs="oneCell">
    <xdr:from>
      <xdr:col>1</xdr:col>
      <xdr:colOff>312208</xdr:colOff>
      <xdr:row>0</xdr:row>
      <xdr:rowOff>29894</xdr:rowOff>
    </xdr:from>
    <xdr:to>
      <xdr:col>1</xdr:col>
      <xdr:colOff>1336146</xdr:colOff>
      <xdr:row>2</xdr:row>
      <xdr:rowOff>21107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9815" t="25853" r="13210" b="32788"/>
        <a:stretch/>
      </xdr:blipFill>
      <xdr:spPr>
        <a:xfrm>
          <a:off x="365125" y="29894"/>
          <a:ext cx="1023938" cy="425130"/>
        </a:xfrm>
        <a:prstGeom prst="rect">
          <a:avLst/>
        </a:prstGeom>
      </xdr:spPr>
    </xdr:pic>
    <xdr:clientData/>
  </xdr:twoCellAnchor>
  <xdr:twoCellAnchor>
    <xdr:from>
      <xdr:col>21</xdr:col>
      <xdr:colOff>528976</xdr:colOff>
      <xdr:row>22</xdr:row>
      <xdr:rowOff>125299</xdr:rowOff>
    </xdr:from>
    <xdr:to>
      <xdr:col>24</xdr:col>
      <xdr:colOff>310298</xdr:colOff>
      <xdr:row>23</xdr:row>
      <xdr:rowOff>150799</xdr:rowOff>
    </xdr:to>
    <xdr:sp macro="" textlink="">
      <xdr:nvSpPr>
        <xdr:cNvPr id="45" name="TextBox 16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5428797" y="4343513"/>
          <a:ext cx="2053715" cy="216000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 b="1">
              <a:solidFill>
                <a:schemeClr val="bg1"/>
              </a:solidFill>
            </a:rPr>
            <a:t>Horas Generando por Motor</a:t>
          </a:r>
        </a:p>
      </xdr:txBody>
    </xdr:sp>
    <xdr:clientData/>
  </xdr:twoCellAnchor>
  <xdr:twoCellAnchor>
    <xdr:from>
      <xdr:col>10</xdr:col>
      <xdr:colOff>382361</xdr:colOff>
      <xdr:row>33</xdr:row>
      <xdr:rowOff>89468</xdr:rowOff>
    </xdr:from>
    <xdr:to>
      <xdr:col>11</xdr:col>
      <xdr:colOff>681311</xdr:colOff>
      <xdr:row>34</xdr:row>
      <xdr:rowOff>8693</xdr:rowOff>
    </xdr:to>
    <xdr:sp macro="" textlink="">
      <xdr:nvSpPr>
        <xdr:cNvPr id="46" name="TextBox 1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7278461" y="6404543"/>
          <a:ext cx="1080000" cy="109725"/>
        </a:xfrm>
        <a:prstGeom prst="round2DiagRect">
          <a:avLst>
            <a:gd name="adj1" fmla="val 32639"/>
            <a:gd name="adj2" fmla="val 0"/>
          </a:avLst>
        </a:prstGeom>
        <a:solidFill>
          <a:srgbClr val="00003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Oferta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161925</xdr:colOff>
          <xdr:row>11</xdr:row>
          <xdr:rowOff>57150</xdr:rowOff>
        </xdr:from>
        <xdr:to>
          <xdr:col>21</xdr:col>
          <xdr:colOff>9525</xdr:colOff>
          <xdr:row>12</xdr:row>
          <xdr:rowOff>0</xdr:rowOff>
        </xdr:to>
        <xdr:sp macro="" textlink="">
          <xdr:nvSpPr>
            <xdr:cNvPr id="9225" name="ScrollBar6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0.40693</cdr:x>
      <cdr:y>0.33923</cdr:y>
    </cdr:from>
    <cdr:to>
      <cdr:x>0.70611</cdr:x>
      <cdr:y>0.751</cdr:y>
    </cdr:to>
    <cdr:grpSp>
      <cdr:nvGrpSpPr>
        <cdr:cNvPr id="3" name="Grupo 2">
          <a:extLst xmlns:a="http://schemas.openxmlformats.org/drawingml/2006/main">
            <a:ext uri="{FF2B5EF4-FFF2-40B4-BE49-F238E27FC236}">
              <a16:creationId xmlns:a16="http://schemas.microsoft.com/office/drawing/2014/main" id="{4B325DEA-C726-4489-B918-FB25D5735813}"/>
            </a:ext>
          </a:extLst>
        </cdr:cNvPr>
        <cdr:cNvGrpSpPr/>
      </cdr:nvGrpSpPr>
      <cdr:grpSpPr>
        <a:xfrm xmlns:a="http://schemas.openxmlformats.org/drawingml/2006/main">
          <a:off x="1112920" y="573977"/>
          <a:ext cx="818232" cy="696715"/>
          <a:chOff x="1085854" y="666750"/>
          <a:chExt cx="809335" cy="666759"/>
        </a:xfrm>
      </cdr:grpSpPr>
      <cdr:sp macro="" textlink="'T. Dina'!$AG$23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BA81E2E0-42EB-4E55-AB7B-4DD705CB07A2}"/>
              </a:ext>
            </a:extLst>
          </cdr:cNvPr>
          <cdr:cNvSpPr txBox="1"/>
        </cdr:nvSpPr>
        <cdr:spPr>
          <a:xfrm xmlns:a="http://schemas.openxmlformats.org/drawingml/2006/main">
            <a:off x="1085854" y="844981"/>
            <a:ext cx="577755" cy="488528"/>
          </a:xfrm>
          <a:prstGeom xmlns:a="http://schemas.openxmlformats.org/drawingml/2006/main" prst="rect">
            <a:avLst/>
          </a:prstGeom>
          <a:ln xmlns:a="http://schemas.openxmlformats.org/drawingml/2006/main">
            <a:noFill/>
          </a:ln>
        </cdr:spPr>
        <cdr:txBody>
          <a:bodyPr xmlns:a="http://schemas.openxmlformats.org/drawingml/2006/main" vertOverflow="clip" wrap="square" rtlCol="0" anchor="ctr"/>
          <a:lstStyle xmlns:a="http://schemas.openxmlformats.org/drawingml/2006/main"/>
          <a:p xmlns:a="http://schemas.openxmlformats.org/drawingml/2006/main">
            <a:pPr algn="ctr"/>
            <a:fld id="{360F485C-96CD-4523-9D9B-F5113050BC50}" type="TxLink">
              <a:rPr lang="en-US" sz="9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9151 Horas</a:t>
            </a:fld>
            <a:endParaRPr lang="en-US" sz="2400" b="1">
              <a:latin typeface="Bahnschrift" panose="020B0502040204020203" pitchFamily="34" charset="0"/>
            </a:endParaRPr>
          </a:p>
        </cdr:txBody>
      </cdr:sp>
      <cdr:sp macro="" textlink="">
        <cdr:nvSpPr>
          <cdr:cNvPr id="4" name="CuadroTexto 3"/>
          <cdr:cNvSpPr txBox="1"/>
        </cdr:nvSpPr>
        <cdr:spPr>
          <a:xfrm xmlns:a="http://schemas.openxmlformats.org/drawingml/2006/main">
            <a:off x="1146514" y="666750"/>
            <a:ext cx="748675" cy="27782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1100" b="1"/>
              <a:t>PH2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0.41245</cdr:x>
      <cdr:y>0.34359</cdr:y>
    </cdr:from>
    <cdr:to>
      <cdr:x>0.62603</cdr:x>
      <cdr:y>0.75536</cdr:y>
    </cdr:to>
    <cdr:grpSp>
      <cdr:nvGrpSpPr>
        <cdr:cNvPr id="3" name="Grupo 2">
          <a:extLst xmlns:a="http://schemas.openxmlformats.org/drawingml/2006/main">
            <a:ext uri="{FF2B5EF4-FFF2-40B4-BE49-F238E27FC236}">
              <a16:creationId xmlns:a16="http://schemas.microsoft.com/office/drawing/2014/main" id="{44C22B98-F62F-4381-8801-D0C13C0C69AC}"/>
            </a:ext>
          </a:extLst>
        </cdr:cNvPr>
        <cdr:cNvGrpSpPr/>
      </cdr:nvGrpSpPr>
      <cdr:grpSpPr>
        <a:xfrm xmlns:a="http://schemas.openxmlformats.org/drawingml/2006/main">
          <a:off x="1128661" y="580931"/>
          <a:ext cx="584457" cy="696207"/>
          <a:chOff x="1085854" y="647700"/>
          <a:chExt cx="577755" cy="666759"/>
        </a:xfrm>
      </cdr:grpSpPr>
      <cdr:sp macro="" textlink="'T. Dina'!$AG$15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BA81E2E0-42EB-4E55-AB7B-4DD705CB07A2}"/>
              </a:ext>
            </a:extLst>
          </cdr:cNvPr>
          <cdr:cNvSpPr txBox="1"/>
        </cdr:nvSpPr>
        <cdr:spPr>
          <a:xfrm xmlns:a="http://schemas.openxmlformats.org/drawingml/2006/main">
            <a:off x="1085854" y="825931"/>
            <a:ext cx="577755" cy="488528"/>
          </a:xfrm>
          <a:prstGeom xmlns:a="http://schemas.openxmlformats.org/drawingml/2006/main" prst="rect">
            <a:avLst/>
          </a:prstGeom>
          <a:ln xmlns:a="http://schemas.openxmlformats.org/drawingml/2006/main">
            <a:noFill/>
          </a:ln>
        </cdr:spPr>
        <cdr:txBody>
          <a:bodyPr xmlns:a="http://schemas.openxmlformats.org/drawingml/2006/main" vertOverflow="clip" wrap="square" rtlCol="0" anchor="ctr"/>
          <a:lstStyle xmlns:a="http://schemas.openxmlformats.org/drawingml/2006/main"/>
          <a:p xmlns:a="http://schemas.openxmlformats.org/drawingml/2006/main">
            <a:pPr algn="ctr"/>
            <a:fld id="{AAA49A0A-BA61-4EED-AF92-4010D21240AA}" type="TxLink">
              <a:rPr lang="en-US" sz="9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7455 Horas</a:t>
            </a:fld>
            <a:endParaRPr lang="en-US" sz="3600" b="1">
              <a:latin typeface="Bahnschrift" panose="020B0502040204020203" pitchFamily="34" charset="0"/>
            </a:endParaRPr>
          </a:p>
        </cdr:txBody>
      </cdr:sp>
      <cdr:sp macro="" textlink="">
        <cdr:nvSpPr>
          <cdr:cNvPr id="4" name="CuadroTexto 3"/>
          <cdr:cNvSpPr txBox="1"/>
        </cdr:nvSpPr>
        <cdr:spPr>
          <a:xfrm xmlns:a="http://schemas.openxmlformats.org/drawingml/2006/main">
            <a:off x="1176367" y="647700"/>
            <a:ext cx="461923" cy="28574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1100" b="1"/>
              <a:t>PH1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0.37991</cdr:x>
      <cdr:y>0.91239</cdr:y>
    </cdr:from>
    <cdr:to>
      <cdr:x>0.59881</cdr:x>
      <cdr:y>0.99239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798177" y="1428446"/>
          <a:ext cx="459905" cy="125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CO" sz="900" b="1" cap="none" spc="0">
              <a:ln w="0"/>
              <a:solidFill>
                <a:schemeClr val="accent5">
                  <a:lumMod val="5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Horas</a:t>
          </a:r>
          <a:endParaRPr lang="es-CO" sz="1200" b="1" cap="none" spc="0">
            <a:ln w="0"/>
            <a:solidFill>
              <a:schemeClr val="accent5">
                <a:lumMod val="5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0.14835</cdr:x>
      <cdr:y>0.04044</cdr:y>
    </cdr:from>
    <cdr:to>
      <cdr:x>0.92028</cdr:x>
      <cdr:y>0.15387</cdr:y>
    </cdr:to>
    <cdr:sp macro="" textlink="">
      <cdr:nvSpPr>
        <cdr:cNvPr id="5" name="CuadroTexto 1"/>
        <cdr:cNvSpPr txBox="1"/>
      </cdr:nvSpPr>
      <cdr:spPr>
        <a:xfrm xmlns:a="http://schemas.openxmlformats.org/drawingml/2006/main">
          <a:off x="310198" y="54689"/>
          <a:ext cx="1614078" cy="153407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CO" sz="1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</a:rPr>
            <a:t>Periodos Despachados</a:t>
          </a:r>
        </a:p>
      </cdr:txBody>
    </cdr:sp>
  </cdr:relSizeAnchor>
  <cdr:relSizeAnchor xmlns:cdr="http://schemas.openxmlformats.org/drawingml/2006/chartDrawing">
    <cdr:from>
      <cdr:x>0.42074</cdr:x>
      <cdr:y>0.38617</cdr:y>
    </cdr:from>
    <cdr:to>
      <cdr:x>0.62015</cdr:x>
      <cdr:y>0.61315</cdr:y>
    </cdr:to>
    <cdr:sp macro="" textlink="'T. Dina'!$R$8">
      <cdr:nvSpPr>
        <cdr:cNvPr id="6" name="CuadroTexto 1"/>
        <cdr:cNvSpPr txBox="1"/>
      </cdr:nvSpPr>
      <cdr:spPr>
        <a:xfrm xmlns:a="http://schemas.openxmlformats.org/drawingml/2006/main">
          <a:off x="1058377" y="601890"/>
          <a:ext cx="501604" cy="353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E10AA6F8-C974-4E7D-B779-D0B25FE8AE17}" type="TxLink">
            <a:rPr lang="en-US" sz="1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cs typeface="Calibri"/>
            </a:rPr>
            <a:pPr algn="ctr"/>
            <a:t>97%</a:t>
          </a:fld>
          <a:endParaRPr lang="es-CO" sz="1200" b="1" cap="none" spc="0">
            <a:ln w="0"/>
            <a:solidFill>
              <a:schemeClr val="accent5">
                <a:lumMod val="5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0.32542</cdr:x>
      <cdr:y>0.77586</cdr:y>
    </cdr:from>
    <cdr:to>
      <cdr:x>0.51785</cdr:x>
      <cdr:y>0.95393</cdr:y>
    </cdr:to>
    <cdr:sp macro="" textlink="'T. Dina'!$Q$6">
      <cdr:nvSpPr>
        <cdr:cNvPr id="7" name="CuadroTexto 1"/>
        <cdr:cNvSpPr txBox="1"/>
      </cdr:nvSpPr>
      <cdr:spPr>
        <a:xfrm xmlns:a="http://schemas.openxmlformats.org/drawingml/2006/main">
          <a:off x="683709" y="1214680"/>
          <a:ext cx="404293" cy="278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2C7FC9D6-6C68-4D9D-80A3-98FBADF57C8A}" type="TxLink">
            <a:rPr lang="en-US" sz="10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cs typeface="Calibri"/>
            </a:rPr>
            <a:pPr algn="ctr"/>
            <a:t>2093</a:t>
          </a:fld>
          <a:endParaRPr lang="es-CO" sz="900" b="1" cap="none" spc="0">
            <a:ln w="0"/>
            <a:solidFill>
              <a:schemeClr val="accent5">
                <a:lumMod val="5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0.36813</cdr:x>
      <cdr:y>0.38859</cdr:y>
    </cdr:from>
    <cdr:to>
      <cdr:x>0.64722</cdr:x>
      <cdr:y>0.78915</cdr:y>
    </cdr:to>
    <cdr:sp macro="" textlink="'T. Dina'!$CC$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A81E2E0-42EB-4E55-AB7B-4DD705CB07A2}"/>
            </a:ext>
          </a:extLst>
        </cdr:cNvPr>
        <cdr:cNvSpPr txBox="1"/>
      </cdr:nvSpPr>
      <cdr:spPr>
        <a:xfrm xmlns:a="http://schemas.openxmlformats.org/drawingml/2006/main">
          <a:off x="611198" y="333530"/>
          <a:ext cx="463368" cy="343806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3B407454-BBDC-4AC5-B403-47D91A42440B}" type="TxLink">
            <a:rPr lang="en-US" sz="1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124,302 MWh</a:t>
          </a:fld>
          <a:endParaRPr lang="en-US" sz="4800">
            <a:latin typeface="Bahnschrift" panose="020B0502040204020203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381525</xdr:colOff>
      <xdr:row>12</xdr:row>
      <xdr:rowOff>13607</xdr:rowOff>
    </xdr:from>
    <xdr:to>
      <xdr:col>123</xdr:col>
      <xdr:colOff>606043</xdr:colOff>
      <xdr:row>12</xdr:row>
      <xdr:rowOff>184973</xdr:rowOff>
    </xdr:to>
    <xdr:sp macro="" textlink="">
      <xdr:nvSpPr>
        <xdr:cNvPr id="19" name="CuadroTexto 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2783075" y="727982"/>
          <a:ext cx="176893" cy="171366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s-CO" sz="10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327024</xdr:colOff>
      <xdr:row>51</xdr:row>
      <xdr:rowOff>76200</xdr:rowOff>
    </xdr:from>
    <xdr:to>
      <xdr:col>11</xdr:col>
      <xdr:colOff>761999</xdr:colOff>
      <xdr:row>66</xdr:row>
      <xdr:rowOff>12700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285136</xdr:colOff>
      <xdr:row>98</xdr:row>
      <xdr:rowOff>69236</xdr:rowOff>
    </xdr:from>
    <xdr:to>
      <xdr:col>12</xdr:col>
      <xdr:colOff>28882</xdr:colOff>
      <xdr:row>117</xdr:row>
      <xdr:rowOff>101701</xdr:rowOff>
    </xdr:to>
    <xdr:graphicFrame macro="">
      <xdr:nvGraphicFramePr>
        <xdr:cNvPr id="3" name="Gráfico 8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</xdr:colOff>
      <xdr:row>0</xdr:row>
      <xdr:rowOff>38100</xdr:rowOff>
    </xdr:from>
    <xdr:to>
      <xdr:col>0</xdr:col>
      <xdr:colOff>1247775</xdr:colOff>
      <xdr:row>2</xdr:row>
      <xdr:rowOff>142875</xdr:rowOff>
    </xdr:to>
    <xdr:pic>
      <xdr:nvPicPr>
        <xdr:cNvPr id="4" name="8 Imagen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6" b="25001"/>
        <a:stretch/>
      </xdr:blipFill>
      <xdr:spPr>
        <a:xfrm>
          <a:off x="82550" y="38100"/>
          <a:ext cx="1165225" cy="476250"/>
        </a:xfrm>
        <a:prstGeom prst="rect">
          <a:avLst/>
        </a:prstGeom>
      </xdr:spPr>
    </xdr:pic>
    <xdr:clientData/>
  </xdr:twoCellAnchor>
  <xdr:twoCellAnchor>
    <xdr:from>
      <xdr:col>5</xdr:col>
      <xdr:colOff>234804</xdr:colOff>
      <xdr:row>5</xdr:row>
      <xdr:rowOff>60411</xdr:rowOff>
    </xdr:from>
    <xdr:to>
      <xdr:col>8</xdr:col>
      <xdr:colOff>523875</xdr:colOff>
      <xdr:row>21</xdr:row>
      <xdr:rowOff>6711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234805</xdr:colOff>
      <xdr:row>22</xdr:row>
      <xdr:rowOff>90488</xdr:rowOff>
    </xdr:from>
    <xdr:to>
      <xdr:col>12</xdr:col>
      <xdr:colOff>460780</xdr:colOff>
      <xdr:row>38</xdr:row>
      <xdr:rowOff>74888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466725</xdr:colOff>
      <xdr:row>5</xdr:row>
      <xdr:rowOff>50886</xdr:rowOff>
    </xdr:from>
    <xdr:to>
      <xdr:col>15</xdr:col>
      <xdr:colOff>295275</xdr:colOff>
      <xdr:row>20</xdr:row>
      <xdr:rowOff>178161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327024</xdr:colOff>
      <xdr:row>51</xdr:row>
      <xdr:rowOff>76200</xdr:rowOff>
    </xdr:from>
    <xdr:to>
      <xdr:col>11</xdr:col>
      <xdr:colOff>761999</xdr:colOff>
      <xdr:row>66</xdr:row>
      <xdr:rowOff>12700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285136</xdr:colOff>
      <xdr:row>98</xdr:row>
      <xdr:rowOff>69236</xdr:rowOff>
    </xdr:from>
    <xdr:to>
      <xdr:col>12</xdr:col>
      <xdr:colOff>28882</xdr:colOff>
      <xdr:row>117</xdr:row>
      <xdr:rowOff>101701</xdr:rowOff>
    </xdr:to>
    <xdr:graphicFrame macro="">
      <xdr:nvGraphicFramePr>
        <xdr:cNvPr id="3" name="Gráfico 8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</xdr:colOff>
      <xdr:row>0</xdr:row>
      <xdr:rowOff>38100</xdr:rowOff>
    </xdr:from>
    <xdr:to>
      <xdr:col>0</xdr:col>
      <xdr:colOff>1247775</xdr:colOff>
      <xdr:row>2</xdr:row>
      <xdr:rowOff>142875</xdr:rowOff>
    </xdr:to>
    <xdr:pic>
      <xdr:nvPicPr>
        <xdr:cNvPr id="4" name="8 Imagen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6" b="25001"/>
        <a:stretch/>
      </xdr:blipFill>
      <xdr:spPr>
        <a:xfrm>
          <a:off x="82550" y="38100"/>
          <a:ext cx="1165225" cy="476250"/>
        </a:xfrm>
        <a:prstGeom prst="rect">
          <a:avLst/>
        </a:prstGeom>
      </xdr:spPr>
    </xdr:pic>
    <xdr:clientData/>
  </xdr:twoCellAnchor>
  <xdr:twoCellAnchor>
    <xdr:from>
      <xdr:col>5</xdr:col>
      <xdr:colOff>234804</xdr:colOff>
      <xdr:row>5</xdr:row>
      <xdr:rowOff>60411</xdr:rowOff>
    </xdr:from>
    <xdr:to>
      <xdr:col>8</xdr:col>
      <xdr:colOff>523875</xdr:colOff>
      <xdr:row>21</xdr:row>
      <xdr:rowOff>6711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234805</xdr:colOff>
      <xdr:row>22</xdr:row>
      <xdr:rowOff>90488</xdr:rowOff>
    </xdr:from>
    <xdr:to>
      <xdr:col>12</xdr:col>
      <xdr:colOff>460780</xdr:colOff>
      <xdr:row>38</xdr:row>
      <xdr:rowOff>74888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466725</xdr:colOff>
      <xdr:row>5</xdr:row>
      <xdr:rowOff>50886</xdr:rowOff>
    </xdr:from>
    <xdr:to>
      <xdr:col>15</xdr:col>
      <xdr:colOff>295275</xdr:colOff>
      <xdr:row>20</xdr:row>
      <xdr:rowOff>178161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327024</xdr:colOff>
      <xdr:row>51</xdr:row>
      <xdr:rowOff>76200</xdr:rowOff>
    </xdr:from>
    <xdr:to>
      <xdr:col>11</xdr:col>
      <xdr:colOff>761999</xdr:colOff>
      <xdr:row>66</xdr:row>
      <xdr:rowOff>12700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285136</xdr:colOff>
      <xdr:row>98</xdr:row>
      <xdr:rowOff>69236</xdr:rowOff>
    </xdr:from>
    <xdr:to>
      <xdr:col>12</xdr:col>
      <xdr:colOff>28882</xdr:colOff>
      <xdr:row>117</xdr:row>
      <xdr:rowOff>101701</xdr:rowOff>
    </xdr:to>
    <xdr:graphicFrame macro="">
      <xdr:nvGraphicFramePr>
        <xdr:cNvPr id="3" name="Gráfico 8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</xdr:colOff>
      <xdr:row>0</xdr:row>
      <xdr:rowOff>38100</xdr:rowOff>
    </xdr:from>
    <xdr:to>
      <xdr:col>0</xdr:col>
      <xdr:colOff>1247775</xdr:colOff>
      <xdr:row>2</xdr:row>
      <xdr:rowOff>142875</xdr:rowOff>
    </xdr:to>
    <xdr:pic>
      <xdr:nvPicPr>
        <xdr:cNvPr id="4" name="8 Imagen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6" b="25001"/>
        <a:stretch/>
      </xdr:blipFill>
      <xdr:spPr>
        <a:xfrm>
          <a:off x="82550" y="38100"/>
          <a:ext cx="1165225" cy="476250"/>
        </a:xfrm>
        <a:prstGeom prst="rect">
          <a:avLst/>
        </a:prstGeom>
      </xdr:spPr>
    </xdr:pic>
    <xdr:clientData/>
  </xdr:twoCellAnchor>
  <xdr:twoCellAnchor>
    <xdr:from>
      <xdr:col>5</xdr:col>
      <xdr:colOff>234804</xdr:colOff>
      <xdr:row>5</xdr:row>
      <xdr:rowOff>60411</xdr:rowOff>
    </xdr:from>
    <xdr:to>
      <xdr:col>8</xdr:col>
      <xdr:colOff>523875</xdr:colOff>
      <xdr:row>21</xdr:row>
      <xdr:rowOff>6711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234805</xdr:colOff>
      <xdr:row>22</xdr:row>
      <xdr:rowOff>90488</xdr:rowOff>
    </xdr:from>
    <xdr:to>
      <xdr:col>12</xdr:col>
      <xdr:colOff>460780</xdr:colOff>
      <xdr:row>38</xdr:row>
      <xdr:rowOff>74888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466725</xdr:colOff>
      <xdr:row>5</xdr:row>
      <xdr:rowOff>50886</xdr:rowOff>
    </xdr:from>
    <xdr:to>
      <xdr:col>15</xdr:col>
      <xdr:colOff>295275</xdr:colOff>
      <xdr:row>20</xdr:row>
      <xdr:rowOff>178161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0</xdr:row>
      <xdr:rowOff>76200</xdr:rowOff>
    </xdr:from>
    <xdr:to>
      <xdr:col>14</xdr:col>
      <xdr:colOff>104774</xdr:colOff>
      <xdr:row>9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133350</xdr:colOff>
      <xdr:row>11</xdr:row>
      <xdr:rowOff>9525</xdr:rowOff>
    </xdr:from>
    <xdr:to>
      <xdr:col>14</xdr:col>
      <xdr:colOff>133350</xdr:colOff>
      <xdr:row>24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de Operación" refreshedDate="45161.677247453707" createdVersion="6" refreshedVersion="8" minRefreshableVersion="3" recordCount="365" xr:uid="{00000000-000A-0000-FFFF-FFFF1E010000}">
  <cacheSource type="worksheet">
    <worksheetSource name="Tabla1"/>
  </cacheSource>
  <cacheFields count="92">
    <cacheField name="Fecha" numFmtId="14">
      <sharedItems containsSemiMixedTypes="0" containsNonDate="0" containsDate="1" containsString="0" minDate="2023-01-01T00:00:00" maxDate="2024-01-01T00:00:00" count="365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1" base="0">
        <rangePr groupBy="days" startDate="2023-01-01T00:00:00" endDate="2024-01-01T00:00:00"/>
        <groupItems count="368">
          <s v="&lt;1/01/2023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/01/2024"/>
        </groupItems>
      </fieldGroup>
    </cacheField>
    <cacheField name="Mes" numFmtId="0">
      <sharedItems count="24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May" u="1"/>
        <s v="July" u="1"/>
      </sharedItems>
    </cacheField>
    <cacheField name="DPI [MWh]" numFmtId="3">
      <sharedItems containsString="0" containsBlank="1" containsNumber="1" containsInteger="1" minValue="0" maxValue="0"/>
    </cacheField>
    <cacheField name="DN [MWh]" numFmtId="3">
      <sharedItems containsString="0" containsBlank="1" containsNumber="1" containsInteger="1" minValue="386" maxValue="2838"/>
    </cacheField>
    <cacheField name="DP [MWh]" numFmtId="3">
      <sharedItems containsString="0" containsBlank="1" containsNumber="1" containsInteger="1" minValue="386" maxValue="1652"/>
    </cacheField>
    <cacheField name="DPR [MWh]" numFmtId="3">
      <sharedItems containsString="0" containsBlank="1" containsNumber="1" containsInteger="1" minValue="446" maxValue="1612"/>
    </cacheField>
    <cacheField name="RDP [Un]" numFmtId="3">
      <sharedItems containsString="0" containsBlank="1" containsNumber="1" containsInteger="1" minValue="0" maxValue="20"/>
    </cacheField>
    <cacheField name="RDP [MWh]" numFmtId="3">
      <sharedItems containsString="0" containsBlank="1" containsNumber="1" containsInteger="1" minValue="0" maxValue="1129"/>
    </cacheField>
    <cacheField name="AUT [Un]" numFmtId="3">
      <sharedItems containsString="0" containsBlank="1" containsNumber="1" containsInteger="1" minValue="0" maxValue="15"/>
    </cacheField>
    <cacheField name="AUT [MWh]" numFmtId="3">
      <sharedItems containsString="0" containsBlank="1" containsNumber="1" containsInteger="1" minValue="0" maxValue="1047"/>
    </cacheField>
    <cacheField name="PO [h]" numFmtId="3">
      <sharedItems containsString="0" containsBlank="1" containsNumber="1" containsInteger="1" minValue="9" maxValue="24"/>
    </cacheField>
    <cacheField name="Columna1" numFmtId="3">
      <sharedItems containsString="0" containsBlank="1" containsNumber="1" containsInteger="1" minValue="21" maxValue="24"/>
    </cacheField>
    <cacheField name="P. NO D" numFmtId="3">
      <sharedItems containsSemiMixedTypes="0" containsString="0" containsNumber="1" containsInteger="1" minValue="-3" maxValue="15"/>
    </cacheField>
    <cacheField name="D. XM_x000a_[MWh]" numFmtId="3">
      <sharedItems containsSemiMixedTypes="0" containsString="0" containsNumber="1" containsInteger="1" minValue="0" maxValue="2706"/>
    </cacheField>
    <cacheField name="G. HGS _x000a_[MWh]" numFmtId="0">
      <sharedItems containsString="0" containsBlank="1" containsNumber="1" containsInteger="1" minValue="446" maxValue="12117"/>
    </cacheField>
    <cacheField name="G. HGS _x000a_Con Gas" numFmtId="3">
      <sharedItems containsSemiMixedTypes="0" containsString="0" containsNumber="1" containsInteger="1" minValue="0" maxValue="11936"/>
    </cacheField>
    <cacheField name="G. HGS _x000a_Con DO" numFmtId="0">
      <sharedItems containsSemiMixedTypes="0" containsString="0" containsNumber="1" minValue="0" maxValue="875.48629999999991"/>
    </cacheField>
    <cacheField name="G. HGS _x000a_Con HFO" numFmtId="3">
      <sharedItems containsSemiMixedTypes="0" containsString="0" containsNumber="1" containsInteger="1" minValue="0" maxValue="0"/>
    </cacheField>
    <cacheField name="G. HGS _x000a_Con Gas [kWh]" numFmtId="3">
      <sharedItems containsSemiMixedTypes="0" containsString="0" containsNumber="1" containsInteger="1" minValue="0" maxValue="11936000"/>
    </cacheField>
    <cacheField name="G. HGS _x000a_[kWh]" numFmtId="3">
      <sharedItems containsSemiMixedTypes="0" containsString="0" containsNumber="1" containsInteger="1" minValue="0" maxValue="12117000"/>
    </cacheField>
    <cacheField name="R. GE_x000a_[MWh]" numFmtId="4">
      <sharedItems containsSemiMixedTypes="0" containsString="0" containsNumber="1" minValue="0" maxValue="1663.7432000000003"/>
    </cacheField>
    <cacheField name="E.G. GAS" numFmtId="4">
      <sharedItems containsSemiMixedTypes="0" containsString="0" containsNumber="1" minValue="0" maxValue="1663.7432000000003"/>
    </cacheField>
    <cacheField name="E.G. DO" numFmtId="4">
      <sharedItems containsSemiMixedTypes="0" containsString="0" containsNumber="1" minValue="0" maxValue="875.48629999999991"/>
    </cacheField>
    <cacheField name="E.G. HFO" numFmtId="4">
      <sharedItems containsSemiMixedTypes="0" containsString="0" containsNumber="1" containsInteger="1" minValue="0" maxValue="0"/>
    </cacheField>
    <cacheField name="R. GE_x000a_[kWh]" numFmtId="3">
      <sharedItems containsSemiMixedTypes="0" containsString="0" containsNumber="1" minValue="0" maxValue="1663743.2000000004"/>
    </cacheField>
    <cacheField name="E. Con. Aux. [MWh]" numFmtId="4">
      <sharedItems containsString="0" containsBlank="1" containsNumber="1" minValue="15.82" maxValue="41.34"/>
    </cacheField>
    <cacheField name="Con. Aux. [MWh]2" numFmtId="4">
      <sharedItems containsSemiMixedTypes="0" containsString="0" containsNumber="1" minValue="0" maxValue="41.34"/>
    </cacheField>
    <cacheField name="G. Neta HGS [MWh]" numFmtId="4">
      <sharedItems containsSemiMixedTypes="0" containsString="0" containsNumber="1" minValue="0" maxValue="12154.04"/>
    </cacheField>
    <cacheField name="E. Con. Red [MWh]" numFmtId="0">
      <sharedItems containsSemiMixedTypes="0" containsString="0" containsNumber="1" minValue="0" maxValue="5.1372999999999998"/>
    </cacheField>
    <cacheField name="E. Con. TC 44kV-220kV [MWh]" numFmtId="169">
      <sharedItems containsSemiMixedTypes="0" containsString="0" containsNumber="1" minValue="0" maxValue="1663.7431999999997"/>
    </cacheField>
    <cacheField name="G. Un. GE [MWh]" numFmtId="169">
      <sharedItems containsSemiMixedTypes="0" containsString="0" containsNumber="1" minValue="0" maxValue="247.15603035714284"/>
    </cacheField>
    <cacheField name="G. Un. GE [MWh/Un]" numFmtId="4">
      <sharedItems containsSemiMixedTypes="0" containsString="0" containsNumber="1" minValue="0" maxValue="16.588827499999997"/>
    </cacheField>
    <cacheField name="Ar. HGS [Un]" numFmtId="3">
      <sharedItems containsSemiMixedTypes="0" containsString="0" containsNumber="1" containsInteger="1" minValue="0" maxValue="11"/>
    </cacheField>
    <cacheField name="Pa. HGS [Un]" numFmtId="3">
      <sharedItems containsSemiMixedTypes="0" containsString="0" containsNumber="1" containsInteger="1" minValue="0" maxValue="10"/>
    </cacheField>
    <cacheField name="Ar. Planta" numFmtId="3">
      <sharedItems containsSemiMixedTypes="0" containsString="0" containsNumber="1" containsInteger="1" minValue="0" maxValue="1"/>
    </cacheField>
    <cacheField name="Con. DO Storage Gen. [m3]" numFmtId="4">
      <sharedItems containsString="0" containsBlank="1" containsNumber="1" minValue="0" maxValue="188.88"/>
    </cacheField>
    <cacheField name="Con. DO Storage [m3]" numFmtId="4">
      <sharedItems containsString="0" containsBlank="1" containsNumber="1" minValue="0" maxValue="2.8"/>
    </cacheField>
    <cacheField name="Con. DO Storage [gal]" numFmtId="4">
      <sharedItems containsSemiMixedTypes="0" containsString="0" containsNumber="1" minValue="0" maxValue="739.68174660281556"/>
    </cacheField>
    <cacheField name="Con. DO Storage [gal]2" numFmtId="4">
      <sharedItems containsSemiMixedTypes="0" containsString="0" containsNumber="1" minValue="0" maxValue="50179.481345430293"/>
    </cacheField>
    <cacheField name="Con. DO Pilot [m3]" numFmtId="4">
      <sharedItems containsSemiMixedTypes="0" containsString="0" containsNumber="1" minValue="0" maxValue="10.89"/>
    </cacheField>
    <cacheField name="Con. DO Pilot [gal]" numFmtId="4">
      <sharedItems containsSemiMixedTypes="0" containsString="0" containsNumber="1" minValue="0" maxValue="2876.8336501802364"/>
    </cacheField>
    <cacheField name="Con. DO Total [m3]" numFmtId="4">
      <sharedItems containsSemiMixedTypes="0" containsString="0" containsNumber="1" minValue="0" maxValue="193.73"/>
    </cacheField>
    <cacheField name="Con. DO Total [gal]" numFmtId="4">
      <sharedItems containsSemiMixedTypes="0" containsString="0" containsNumber="1" minValue="0" maxValue="51178.051703344092"/>
    </cacheField>
    <cacheField name="Repo. DO Storage [gal]" numFmtId="4">
      <sharedItems containsString="0" containsBlank="1" containsNumber="1" containsInteger="1" minValue="0" maxValue="33189"/>
    </cacheField>
    <cacheField name="Repo. DO Pilot [gal]" numFmtId="4">
      <sharedItems containsString="0" containsBlank="1" containsNumber="1" containsInteger="1" minValue="0" maxValue="11203"/>
    </cacheField>
    <cacheField name="Repo. DO Total [m3]" numFmtId="4">
      <sharedItems containsSemiMixedTypes="0" containsString="0" containsNumber="1" minValue="0" maxValue="125.63403169917599"/>
    </cacheField>
    <cacheField name="Con. HFO [m3]" numFmtId="4">
      <sharedItems containsSemiMixedTypes="0" containsString="0" containsNumber="1" containsInteger="1" minValue="0" maxValue="0"/>
    </cacheField>
    <cacheField name="Con. HFO [gal]" numFmtId="4">
      <sharedItems containsSemiMixedTypes="0" containsString="0" containsNumber="1" containsInteger="1" minValue="0" maxValue="0"/>
    </cacheField>
    <cacheField name="Repo. HFO [gal]" numFmtId="4">
      <sharedItems containsSemiMixedTypes="0" containsString="0" containsNumber="1" containsInteger="1" minValue="0" maxValue="0"/>
    </cacheField>
    <cacheField name="Repo. HFO [m3]" numFmtId="4">
      <sharedItems containsSemiMixedTypes="0" containsString="0" containsNumber="1" containsInteger="1" minValue="0" maxValue="0"/>
    </cacheField>
    <cacheField name="Con. Espe. DO Storage [gal/MWh]" numFmtId="4">
      <sharedItems containsSemiMixedTypes="0" containsString="0" containsNumber="1" minValue="0" maxValue="0.82923962623634029"/>
    </cacheField>
    <cacheField name="Con. Espe. DO Storage - Ar. [gal/# ar]" numFmtId="4">
      <sharedItems containsSemiMixedTypes="0" containsString="0" containsNumber="1" minValue="0" maxValue="634.01292565955623"/>
    </cacheField>
    <cacheField name="Con. Espe. DO Storage - Pa. [gal/# pa]" numFmtId="4">
      <sharedItems containsSemiMixedTypes="0" containsString="0" containsNumber="1" minValue="0" maxValue="634.01292565955623"/>
    </cacheField>
    <cacheField name="Con. Espe. DO Pilot [gal/MWh]" numFmtId="4">
      <sharedItems containsSemiMixedTypes="0" containsString="0" containsNumber="1" minValue="0" maxValue="2.5870806206656805"/>
    </cacheField>
    <cacheField name="Con. Espe. DO Pilot [gal/Un]" numFmtId="4">
      <sharedItems containsSemiMixedTypes="0" containsString="0" containsNumber="1" minValue="0" maxValue="17.12400982250141"/>
    </cacheField>
    <cacheField name=" Con. Gas HGS_x000a_ [m3]" numFmtId="3">
      <sharedItems containsString="0" containsBlank="1" containsNumber="1" containsInteger="1" minValue="117892" maxValue="415561"/>
    </cacheField>
    <cacheField name=" Con. Gas HGS_x000a_ [MBTU]" numFmtId="3">
      <sharedItems containsString="0" containsBlank="1" containsNumber="1" containsInteger="1" minValue="4173" maxValue="14710"/>
    </cacheField>
    <cacheField name=" Re. Gas GC_x000a_ [m3]" numFmtId="3">
      <sharedItems containsString="0" containsBlank="1" containsNumber="1" containsInteger="1" minValue="117455" maxValue="415152"/>
    </cacheField>
    <cacheField name=" Re. Gas GC_x000a_ [m3] Correg" numFmtId="3">
      <sharedItems containsSemiMixedTypes="0" containsString="0" containsNumber="1" containsInteger="1" minValue="0" maxValue="415152"/>
    </cacheField>
    <cacheField name=" Re. Gas GC_x000a_ [MBTU]" numFmtId="3">
      <sharedItems containsSemiMixedTypes="0" containsString="0" containsNumber="1" minValue="0" maxValue="14604.947914757468"/>
    </cacheField>
    <cacheField name="Dif. MBTU" numFmtId="4">
      <sharedItems containsSemiMixedTypes="0" containsString="0" containsNumber="1" minValue="-1842.4026189353699" maxValue="2200.3338994273727"/>
    </cacheField>
    <cacheField name="%" numFmtId="10">
      <sharedItems containsSemiMixedTypes="0" containsString="0" containsNumber="1" minValue="-0.16722362918269379" maxValue="0.17224646832865437"/>
    </cacheField>
    <cacheField name="HR HGS [BTU/kWh]" numFmtId="3">
      <sharedItems containsSemiMixedTypes="0" containsString="0" containsNumber="1" minValue="0" maxValue="10667.602996254682"/>
    </cacheField>
    <cacheField name="HR HGS [BTU/kWh]2" numFmtId="4">
      <sharedItems containsSemiMixedTypes="0" containsString="0" containsNumber="1" minValue="0" maxValue="10411.57"/>
    </cacheField>
    <cacheField name="HR (GC/G. neta) _x000a_[BTU/kWh]" numFmtId="3">
      <sharedItems containsSemiMixedTypes="0" containsString="0" containsNumber="1" minValue="0" maxValue="10456.366314416748"/>
    </cacheField>
    <cacheField name="HR (GC/GE) _x000a_[BTU/kWh]" numFmtId="3">
      <sharedItems containsSemiMixedTypes="0" containsString="0" containsNumber="1" minValue="0" maxValue="12136.745460308764"/>
    </cacheField>
    <cacheField name="HR HGS [m3/kWh]" numFmtId="169">
      <sharedItems containsSemiMixedTypes="0" containsString="0" containsNumber="1" minValue="0" maxValue="0.30605112651646449"/>
    </cacheField>
    <cacheField name="Sludges Recogido por Carrotanque [m3]" numFmtId="1">
      <sharedItems containsSemiMixedTypes="0" containsString="0" containsNumber="1" minValue="0" maxValue="36.801773364048003"/>
    </cacheField>
    <cacheField name="Compra Agua [m3]" numFmtId="3">
      <sharedItems containsSemiMixedTypes="0" containsString="0" containsNumber="1" minValue="0" maxValue="73.98"/>
    </cacheField>
    <cacheField name="Compra Aceite [m3]" numFmtId="3">
      <sharedItems containsSemiMixedTypes="0" containsString="0" containsNumber="1" minValue="0" maxValue="22.712470704000001"/>
    </cacheField>
    <cacheField name="LO Storage Tank [gal]" numFmtId="4">
      <sharedItems containsSemiMixedTypes="0" containsString="0" containsNumber="1" minValue="-10.566882094325711" maxValue="2858.3416065151659"/>
    </cacheField>
    <cacheField name="Combustible ofertado" numFmtId="0">
      <sharedItems/>
    </cacheField>
    <cacheField name="Disponibilidad" numFmtId="0">
      <sharedItems containsString="0" containsBlank="1" containsNumber="1" containsInteger="1" minValue="62" maxValue="80"/>
    </cacheField>
    <cacheField name="G" numFmtId="0">
      <sharedItems containsSemiMixedTypes="0" containsString="0" containsNumber="1" containsInteger="1" minValue="0" maxValue="0"/>
    </cacheField>
    <cacheField name="D" numFmtId="0">
      <sharedItems containsSemiMixedTypes="0" containsString="0" containsNumber="1" containsInteger="1" minValue="0" maxValue="80"/>
    </cacheField>
    <cacheField name="H" numFmtId="0">
      <sharedItems containsSemiMixedTypes="0" containsString="0" containsNumber="1" containsInteger="1" minValue="0" maxValue="0"/>
    </cacheField>
    <cacheField name="Precio oferta" numFmtId="0">
      <sharedItems containsString="0" containsBlank="1" containsNumber="1" containsInteger="1" minValue="1150" maxValue="1505"/>
    </cacheField>
    <cacheField name="H. Motor 1" numFmtId="3">
      <sharedItems containsSemiMixedTypes="0" containsString="0" containsNumber="1" containsInteger="1" minValue="0" maxValue="24"/>
    </cacheField>
    <cacheField name="H. Motor 2" numFmtId="3">
      <sharedItems containsSemiMixedTypes="0" containsString="0" containsNumber="1" containsInteger="1" minValue="0" maxValue="24"/>
    </cacheField>
    <cacheField name="H. Motor 3" numFmtId="3">
      <sharedItems containsSemiMixedTypes="0" containsString="0" containsNumber="1" containsInteger="1" minValue="0" maxValue="316"/>
    </cacheField>
    <cacheField name="H. Motor 4" numFmtId="3">
      <sharedItems containsSemiMixedTypes="0" containsString="0" containsNumber="1" containsInteger="1" minValue="0" maxValue="72"/>
    </cacheField>
    <cacheField name="H. Motor 5" numFmtId="3">
      <sharedItems containsSemiMixedTypes="0" containsString="0" containsNumber="1" containsInteger="1" minValue="0" maxValue="24"/>
    </cacheField>
    <cacheField name="H. Motor 6" numFmtId="3">
      <sharedItems containsSemiMixedTypes="0" containsString="0" containsNumber="1" containsInteger="1" minValue="0" maxValue="25"/>
    </cacheField>
    <cacheField name="H. Motor 7" numFmtId="3">
      <sharedItems containsSemiMixedTypes="0" containsString="0" containsNumber="1" containsInteger="1" minValue="0" maxValue="24"/>
    </cacheField>
    <cacheField name="H. Motor 8" numFmtId="3">
      <sharedItems containsSemiMixedTypes="0" containsString="0" containsNumber="1" containsInteger="1" minValue="0" maxValue="24"/>
    </cacheField>
    <cacheField name="H. Motor 9" numFmtId="3">
      <sharedItems containsSemiMixedTypes="0" containsString="0" containsNumber="1" containsInteger="1" minValue="0" maxValue="24"/>
    </cacheField>
    <cacheField name="H. Motor 10" numFmtId="3">
      <sharedItems containsSemiMixedTypes="0" containsString="0" containsNumber="1" containsInteger="1" minValue="0" maxValue="24"/>
    </cacheField>
    <cacheField name="C. DO Storage Ar.[gal]" numFmtId="3">
      <sharedItems containsSemiMixedTypes="0" containsString="0" containsNumber="1" minValue="-41506.703973820928" maxValue="739.68174660281556"/>
    </cacheField>
    <cacheField name="C. DO Storage Ge [gal]" numFmtId="0">
      <sharedItems containsString="0" containsBlank="1" containsNumber="1" minValue="599.66999999999996" maxValue="41638.79"/>
    </cacheField>
    <cacheField name="GEN  DO [MWH]" numFmtId="0">
      <sharedItems containsBlank="1" containsMixedTypes="1" containsNumber="1" minValue="0" maxValue="628010"/>
    </cacheField>
    <cacheField name="MBTU Do" numFmtId="0">
      <sharedItems containsSemiMixedTypes="0" containsString="0" containsNumber="1" minValue="0" maxValue="6729.1717172400495"/>
    </cacheField>
    <cacheField name="Meses" numFmtId="0" databaseField="0">
      <fieldGroup base="0">
        <rangePr groupBy="months" startDate="2023-01-01T00:00:00" endDate="2024-01-01T00:00:00"/>
        <groupItems count="14">
          <s v="&lt;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01/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de Operación" refreshedDate="45161.677255787035" createdVersion="6" refreshedVersion="8" minRefreshableVersion="3" recordCount="8760" xr:uid="{00000000-000A-0000-FFFF-FFFF21010000}">
  <cacheSource type="worksheet">
    <worksheetSource ref="A1:D8761" sheet="REP. GE"/>
  </cacheSource>
  <cacheFields count="4">
    <cacheField name="Fecha" numFmtId="173">
      <sharedItems containsSemiMixedTypes="0" containsNonDate="0" containsDate="1" containsString="0" minDate="2021-01-01T00:00:00" maxDate="2024-01-01T00:00:00" count="1095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1-09-29T00:00:00" u="1"/>
        <d v="2022-09-29T00:00:00" u="1"/>
        <d v="2021-10-25T00:00:00" u="1"/>
        <d v="2022-10-25T00:00:00" u="1"/>
        <d v="2021-11-21T00:00:00" u="1"/>
        <d v="2022-11-21T00:00:00" u="1"/>
        <d v="2021-12-17T00:00:00" u="1"/>
        <d v="2022-12-17T00:00:00" u="1"/>
        <d v="2021-10-27T00:00:00" u="1"/>
        <d v="2022-10-27T00:00:00" u="1"/>
        <d v="2021-11-23T00:00:00" u="1"/>
        <d v="2022-11-23T00:00:00" u="1"/>
        <d v="2021-12-19T00:00:00" u="1"/>
        <d v="2022-12-19T00:00:00" u="1"/>
        <d v="2021-10-29T00:00:00" u="1"/>
        <d v="2022-10-29T00:00:00" u="1"/>
        <d v="2021-11-25T00:00:00" u="1"/>
        <d v="2022-11-25T00:00:00" u="1"/>
        <d v="2021-12-21T00:00:00" u="1"/>
        <d v="2022-12-21T00:00:00" u="1"/>
        <d v="2021-01-02T00:00:00" u="1"/>
        <d v="2022-01-02T00:00:00" u="1"/>
        <d v="2021-10-31T00:00:00" u="1"/>
        <d v="2022-10-31T00:00:00" u="1"/>
        <d v="2021-11-27T00:00:00" u="1"/>
        <d v="2022-11-27T00:00:00" u="1"/>
        <d v="2021-12-23T00:00:00" u="1"/>
        <d v="2022-12-23T00:00:00" u="1"/>
        <d v="2021-01-04T00:00:00" u="1"/>
        <d v="2022-01-04T00:00:00" u="1"/>
        <d v="2021-11-29T00:00:00" u="1"/>
        <d v="2022-11-29T00:00:00" u="1"/>
        <d v="2021-12-25T00:00:00" u="1"/>
        <d v="2022-12-25T00:00:00" u="1"/>
        <d v="2021-01-06T00:00:00" u="1"/>
        <d v="2022-01-06T00:00:00" u="1"/>
        <d v="2021-02-02T00:00:00" u="1"/>
        <d v="2022-02-02T00:00:00" u="1"/>
        <d v="2021-12-27T00:00:00" u="1"/>
        <d v="2022-12-27T00:00:00" u="1"/>
        <d v="2021-01-08T00:00:00" u="1"/>
        <d v="2022-01-08T00:00:00" u="1"/>
        <d v="2021-02-04T00:00:00" u="1"/>
        <d v="2022-02-04T00:00:00" u="1"/>
        <d v="2021-12-29T00:00:00" u="1"/>
        <d v="2022-12-29T00:00:00" u="1"/>
        <d v="2021-01-10T00:00:00" u="1"/>
        <d v="2022-01-10T00:00:00" u="1"/>
        <d v="2021-02-06T00:00:00" u="1"/>
        <d v="2022-02-06T00:00:00" u="1"/>
        <d v="2021-03-02T00:00:00" u="1"/>
        <d v="2022-03-02T00:00:00" u="1"/>
        <d v="2021-12-31T00:00:00" u="1"/>
        <d v="2022-12-31T00:00:00" u="1"/>
        <d v="2021-01-12T00:00:00" u="1"/>
        <d v="2022-01-12T00:00:00" u="1"/>
        <d v="2021-02-08T00:00:00" u="1"/>
        <d v="2022-02-08T00:00:00" u="1"/>
        <d v="2021-03-04T00:00:00" u="1"/>
        <d v="2022-03-04T00:00:00" u="1"/>
        <d v="2021-01-14T00:00:00" u="1"/>
        <d v="2022-01-14T00:00:00" u="1"/>
        <d v="2021-02-10T00:00:00" u="1"/>
        <d v="2022-02-10T00:00:00" u="1"/>
        <d v="2021-03-06T00:00:00" u="1"/>
        <d v="2022-03-06T00:00:00" u="1"/>
        <d v="2021-04-02T00:00:00" u="1"/>
        <d v="2022-04-02T00:00:00" u="1"/>
        <d v="2021-01-16T00:00:00" u="1"/>
        <d v="2022-01-16T00:00:00" u="1"/>
        <d v="2021-02-12T00:00:00" u="1"/>
        <d v="2022-02-12T00:00:00" u="1"/>
        <d v="2021-03-08T00:00:00" u="1"/>
        <d v="2022-03-08T00:00:00" u="1"/>
        <d v="2021-04-04T00:00:00" u="1"/>
        <d v="2022-04-04T00:00:00" u="1"/>
        <d v="2021-01-18T00:00:00" u="1"/>
        <d v="2022-01-18T00:00:00" u="1"/>
        <d v="2021-02-14T00:00:00" u="1"/>
        <d v="2022-02-14T00:00:00" u="1"/>
        <d v="2021-03-10T00:00:00" u="1"/>
        <d v="2022-03-10T00:00:00" u="1"/>
        <d v="2021-04-06T00:00:00" u="1"/>
        <d v="2022-04-06T00:00:00" u="1"/>
        <d v="2021-05-02T00:00:00" u="1"/>
        <d v="2022-05-02T00:00:00" u="1"/>
        <d v="2021-01-20T00:00:00" u="1"/>
        <d v="2022-01-20T00:00:00" u="1"/>
        <d v="2021-02-16T00:00:00" u="1"/>
        <d v="2022-02-16T00:00:00" u="1"/>
        <d v="2021-03-12T00:00:00" u="1"/>
        <d v="2022-03-12T00:00:00" u="1"/>
        <d v="2021-04-08T00:00:00" u="1"/>
        <d v="2022-04-08T00:00:00" u="1"/>
        <d v="2021-05-04T00:00:00" u="1"/>
        <d v="2022-05-04T00:00:00" u="1"/>
        <d v="2021-01-22T00:00:00" u="1"/>
        <d v="2022-01-22T00:00:00" u="1"/>
        <d v="2021-02-18T00:00:00" u="1"/>
        <d v="2022-02-18T00:00:00" u="1"/>
        <d v="2021-03-14T00:00:00" u="1"/>
        <d v="2022-03-14T00:00:00" u="1"/>
        <d v="2021-04-10T00:00:00" u="1"/>
        <d v="2022-04-10T00:00:00" u="1"/>
        <d v="2021-05-06T00:00:00" u="1"/>
        <d v="2022-05-06T00:00:00" u="1"/>
        <d v="2021-06-02T00:00:00" u="1"/>
        <d v="2022-06-02T00:00:00" u="1"/>
        <d v="2021-01-24T00:00:00" u="1"/>
        <d v="2022-01-24T00:00:00" u="1"/>
        <d v="2021-02-20T00:00:00" u="1"/>
        <d v="2022-02-20T00:00:00" u="1"/>
        <d v="2021-03-16T00:00:00" u="1"/>
        <d v="2022-03-16T00:00:00" u="1"/>
        <d v="2021-04-12T00:00:00" u="1"/>
        <d v="2022-04-12T00:00:00" u="1"/>
        <d v="2021-05-08T00:00:00" u="1"/>
        <d v="2022-05-08T00:00:00" u="1"/>
        <d v="2021-06-04T00:00:00" u="1"/>
        <d v="2022-06-04T00:00:00" u="1"/>
        <d v="2021-01-26T00:00:00" u="1"/>
        <d v="2022-01-26T00:00:00" u="1"/>
        <d v="2021-02-22T00:00:00" u="1"/>
        <d v="2022-02-22T00:00:00" u="1"/>
        <d v="2021-03-18T00:00:00" u="1"/>
        <d v="2022-03-18T00:00:00" u="1"/>
        <d v="2021-04-14T00:00:00" u="1"/>
        <d v="2022-04-14T00:00:00" u="1"/>
        <d v="2021-05-10T00:00:00" u="1"/>
        <d v="2022-05-10T00:00:00" u="1"/>
        <d v="2021-06-06T00:00:00" u="1"/>
        <d v="2022-06-06T00:00:00" u="1"/>
        <d v="2021-07-02T00:00:00" u="1"/>
        <d v="2022-07-02T00:00:00" u="1"/>
        <d v="2021-01-28T00:00:00" u="1"/>
        <d v="2022-01-28T00:00:00" u="1"/>
        <d v="2021-02-24T00:00:00" u="1"/>
        <d v="2022-02-24T00:00:00" u="1"/>
        <d v="2021-03-20T00:00:00" u="1"/>
        <d v="2022-03-20T00:00:00" u="1"/>
        <d v="2021-04-16T00:00:00" u="1"/>
        <d v="2022-04-16T00:00:00" u="1"/>
        <d v="2021-05-12T00:00:00" u="1"/>
        <d v="2022-05-12T00:00:00" u="1"/>
        <d v="2021-06-08T00:00:00" u="1"/>
        <d v="2022-06-08T00:00:00" u="1"/>
        <d v="2021-07-04T00:00:00" u="1"/>
        <d v="2022-07-04T00:00:00" u="1"/>
        <d v="2021-01-30T00:00:00" u="1"/>
        <d v="2022-01-30T00:00:00" u="1"/>
        <d v="2021-02-26T00:00:00" u="1"/>
        <d v="2022-02-26T00:00:00" u="1"/>
        <d v="2021-03-22T00:00:00" u="1"/>
        <d v="2022-03-22T00:00:00" u="1"/>
        <d v="2021-04-18T00:00:00" u="1"/>
        <d v="2022-04-18T00:00:00" u="1"/>
        <d v="2021-05-14T00:00:00" u="1"/>
        <d v="2022-05-14T00:00:00" u="1"/>
        <d v="2021-06-10T00:00:00" u="1"/>
        <d v="2022-06-10T00:00:00" u="1"/>
        <d v="2021-07-06T00:00:00" u="1"/>
        <d v="2022-07-06T00:00:00" u="1"/>
        <d v="2021-08-02T00:00:00" u="1"/>
        <d v="2022-08-02T00:00:00" u="1"/>
        <d v="2021-02-28T00:00:00" u="1"/>
        <d v="2022-02-28T00:00:00" u="1"/>
        <d v="2021-03-24T00:00:00" u="1"/>
        <d v="2022-03-24T00:00:00" u="1"/>
        <d v="2021-04-20T00:00:00" u="1"/>
        <d v="2022-04-20T00:00:00" u="1"/>
        <d v="2021-05-16T00:00:00" u="1"/>
        <d v="2022-05-16T00:00:00" u="1"/>
        <d v="2021-06-12T00:00:00" u="1"/>
        <d v="2022-06-12T00:00:00" u="1"/>
        <d v="2021-07-08T00:00:00" u="1"/>
        <d v="2022-07-08T00:00:00" u="1"/>
        <d v="2021-08-04T00:00:00" u="1"/>
        <d v="2022-08-04T00:00:00" u="1"/>
        <d v="2021-03-26T00:00:00" u="1"/>
        <d v="2022-03-26T00:00:00" u="1"/>
        <d v="2021-04-22T00:00:00" u="1"/>
        <d v="2022-04-22T00:00:00" u="1"/>
        <d v="2021-05-18T00:00:00" u="1"/>
        <d v="2022-05-18T00:00:00" u="1"/>
        <d v="2021-06-14T00:00:00" u="1"/>
        <d v="2022-06-14T00:00:00" u="1"/>
        <d v="2021-07-10T00:00:00" u="1"/>
        <d v="2022-07-10T00:00:00" u="1"/>
        <d v="2021-08-06T00:00:00" u="1"/>
        <d v="2022-08-06T00:00:00" u="1"/>
        <d v="2021-09-02T00:00:00" u="1"/>
        <d v="2022-09-02T00:00:00" u="1"/>
        <d v="2021-03-28T00:00:00" u="1"/>
        <d v="2022-03-28T00:00:00" u="1"/>
        <d v="2021-04-24T00:00:00" u="1"/>
        <d v="2022-04-24T00:00:00" u="1"/>
        <d v="2021-05-20T00:00:00" u="1"/>
        <d v="2022-05-20T00:00:00" u="1"/>
        <d v="2021-06-16T00:00:00" u="1"/>
        <d v="2022-06-16T00:00:00" u="1"/>
        <d v="2021-07-12T00:00:00" u="1"/>
        <d v="2022-07-12T00:00:00" u="1"/>
        <d v="2021-08-08T00:00:00" u="1"/>
        <d v="2022-08-08T00:00:00" u="1"/>
        <d v="2021-09-04T00:00:00" u="1"/>
        <d v="2022-09-04T00:00:00" u="1"/>
        <d v="2021-03-30T00:00:00" u="1"/>
        <d v="2022-03-30T00:00:00" u="1"/>
        <d v="2021-04-26T00:00:00" u="1"/>
        <d v="2022-04-26T00:00:00" u="1"/>
        <d v="2021-05-22T00:00:00" u="1"/>
        <d v="2022-05-22T00:00:00" u="1"/>
        <d v="2021-06-18T00:00:00" u="1"/>
        <d v="2022-06-18T00:00:00" u="1"/>
        <d v="2021-07-14T00:00:00" u="1"/>
        <d v="2022-07-14T00:00:00" u="1"/>
        <d v="2021-08-10T00:00:00" u="1"/>
        <d v="2022-08-10T00:00:00" u="1"/>
        <d v="2021-09-06T00:00:00" u="1"/>
        <d v="2022-09-06T00:00:00" u="1"/>
        <d v="2021-10-02T00:00:00" u="1"/>
        <d v="2022-10-02T00:00:00" u="1"/>
        <d v="2021-04-28T00:00:00" u="1"/>
        <d v="2022-04-28T00:00:00" u="1"/>
        <d v="2021-05-24T00:00:00" u="1"/>
        <d v="2022-05-24T00:00:00" u="1"/>
        <d v="2021-06-20T00:00:00" u="1"/>
        <d v="2022-06-20T00:00:00" u="1"/>
        <d v="2021-07-16T00:00:00" u="1"/>
        <d v="2022-07-16T00:00:00" u="1"/>
        <d v="2021-08-12T00:00:00" u="1"/>
        <d v="2022-08-12T00:00:00" u="1"/>
        <d v="2021-09-08T00:00:00" u="1"/>
        <d v="2022-09-08T00:00:00" u="1"/>
        <d v="2021-10-04T00:00:00" u="1"/>
        <d v="2022-10-04T00:00:00" u="1"/>
        <d v="2021-04-30T00:00:00" u="1"/>
        <d v="2022-04-30T00:00:00" u="1"/>
        <d v="2021-05-26T00:00:00" u="1"/>
        <d v="2022-05-26T00:00:00" u="1"/>
        <d v="2021-06-22T00:00:00" u="1"/>
        <d v="2022-06-22T00:00:00" u="1"/>
        <d v="2021-07-18T00:00:00" u="1"/>
        <d v="2022-07-18T00:00:00" u="1"/>
        <d v="2021-08-14T00:00:00" u="1"/>
        <d v="2022-08-14T00:00:00" u="1"/>
        <d v="2021-09-10T00:00:00" u="1"/>
        <d v="2022-09-10T00:00:00" u="1"/>
        <d v="2021-10-06T00:00:00" u="1"/>
        <d v="2022-10-06T00:00:00" u="1"/>
        <d v="2021-11-02T00:00:00" u="1"/>
        <d v="2022-11-02T00:00:00" u="1"/>
        <d v="2021-05-28T00:00:00" u="1"/>
        <d v="2022-05-28T00:00:00" u="1"/>
        <d v="2021-06-24T00:00:00" u="1"/>
        <d v="2022-06-24T00:00:00" u="1"/>
        <d v="2021-07-20T00:00:00" u="1"/>
        <d v="2022-07-20T00:00:00" u="1"/>
        <d v="2021-08-16T00:00:00" u="1"/>
        <d v="2022-08-16T00:00:00" u="1"/>
        <d v="2021-09-12T00:00:00" u="1"/>
        <d v="2022-09-12T00:00:00" u="1"/>
        <d v="2021-10-08T00:00:00" u="1"/>
        <d v="2022-10-08T00:00:00" u="1"/>
        <d v="2021-11-04T00:00:00" u="1"/>
        <d v="2022-11-04T00:00:00" u="1"/>
        <d v="2021-05-30T00:00:00" u="1"/>
        <d v="2022-05-30T00:00:00" u="1"/>
        <d v="2021-06-26T00:00:00" u="1"/>
        <d v="2022-06-26T00:00:00" u="1"/>
        <d v="2021-07-22T00:00:00" u="1"/>
        <d v="2022-07-22T00:00:00" u="1"/>
        <d v="2021-08-18T00:00:00" u="1"/>
        <d v="2022-08-18T00:00:00" u="1"/>
        <d v="2021-09-14T00:00:00" u="1"/>
        <d v="2022-09-14T00:00:00" u="1"/>
        <d v="2021-10-10T00:00:00" u="1"/>
        <d v="2022-10-10T00:00:00" u="1"/>
        <d v="2021-11-06T00:00:00" u="1"/>
        <d v="2022-11-06T00:00:00" u="1"/>
        <d v="2021-12-02T00:00:00" u="1"/>
        <d v="2022-12-02T00:00:00" u="1"/>
        <d v="2021-06-28T00:00:00" u="1"/>
        <d v="2022-06-28T00:00:00" u="1"/>
        <d v="2021-07-24T00:00:00" u="1"/>
        <d v="2022-07-24T00:00:00" u="1"/>
        <d v="2021-08-20T00:00:00" u="1"/>
        <d v="2022-08-20T00:00:00" u="1"/>
        <d v="2021-09-16T00:00:00" u="1"/>
        <d v="2022-09-16T00:00:00" u="1"/>
        <d v="2021-10-12T00:00:00" u="1"/>
        <d v="2022-10-12T00:00:00" u="1"/>
        <d v="2021-11-08T00:00:00" u="1"/>
        <d v="2022-11-08T00:00:00" u="1"/>
        <d v="2021-12-04T00:00:00" u="1"/>
        <d v="2022-12-04T00:00:00" u="1"/>
        <d v="2021-06-30T00:00:00" u="1"/>
        <d v="2022-06-30T00:00:00" u="1"/>
        <d v="2021-07-26T00:00:00" u="1"/>
        <d v="2022-07-26T00:00:00" u="1"/>
        <d v="2021-08-22T00:00:00" u="1"/>
        <d v="2022-08-22T00:00:00" u="1"/>
        <d v="2021-09-18T00:00:00" u="1"/>
        <d v="2022-09-18T00:00:00" u="1"/>
        <d v="2021-10-14T00:00:00" u="1"/>
        <d v="2022-10-14T00:00:00" u="1"/>
        <d v="2021-11-10T00:00:00" u="1"/>
        <d v="2022-11-10T00:00:00" u="1"/>
        <d v="2021-12-06T00:00:00" u="1"/>
        <d v="2022-12-06T00:00:00" u="1"/>
        <d v="2021-07-28T00:00:00" u="1"/>
        <d v="2022-07-28T00:00:00" u="1"/>
        <d v="2021-08-24T00:00:00" u="1"/>
        <d v="2022-08-24T00:00:00" u="1"/>
        <d v="2021-09-20T00:00:00" u="1"/>
        <d v="2022-09-20T00:00:00" u="1"/>
        <d v="2021-10-16T00:00:00" u="1"/>
        <d v="2022-10-16T00:00:00" u="1"/>
        <d v="2021-11-12T00:00:00" u="1"/>
        <d v="2022-11-12T00:00:00" u="1"/>
        <d v="2021-12-08T00:00:00" u="1"/>
        <d v="2022-12-08T00:00:00" u="1"/>
        <d v="2021-07-30T00:00:00" u="1"/>
        <d v="2022-07-30T00:00:00" u="1"/>
        <d v="2021-08-26T00:00:00" u="1"/>
        <d v="2022-08-26T00:00:00" u="1"/>
        <d v="2021-09-22T00:00:00" u="1"/>
        <d v="2022-09-22T00:00:00" u="1"/>
        <d v="2021-10-18T00:00:00" u="1"/>
        <d v="2022-10-18T00:00:00" u="1"/>
        <d v="2021-11-14T00:00:00" u="1"/>
        <d v="2022-11-14T00:00:00" u="1"/>
        <d v="2021-12-10T00:00:00" u="1"/>
        <d v="2022-12-10T00:00:00" u="1"/>
        <d v="2021-08-28T00:00:00" u="1"/>
        <d v="2022-08-28T00:00:00" u="1"/>
        <d v="2021-09-24T00:00:00" u="1"/>
        <d v="2022-09-24T00:00:00" u="1"/>
        <d v="2021-10-20T00:00:00" u="1"/>
        <d v="2022-10-20T00:00:00" u="1"/>
        <d v="2021-11-16T00:00:00" u="1"/>
        <d v="2022-11-16T00:00:00" u="1"/>
        <d v="2021-12-12T00:00:00" u="1"/>
        <d v="2022-12-12T00:00:00" u="1"/>
        <d v="2021-08-30T00:00:00" u="1"/>
        <d v="2022-08-30T00:00:00" u="1"/>
        <d v="2021-09-26T00:00:00" u="1"/>
        <d v="2022-09-26T00:00:00" u="1"/>
        <d v="2021-10-22T00:00:00" u="1"/>
        <d v="2022-10-22T00:00:00" u="1"/>
        <d v="2021-11-18T00:00:00" u="1"/>
        <d v="2022-11-18T00:00:00" u="1"/>
        <d v="2021-12-14T00:00:00" u="1"/>
        <d v="2022-12-14T00:00:00" u="1"/>
        <d v="2021-09-28T00:00:00" u="1"/>
        <d v="2022-09-28T00:00:00" u="1"/>
        <d v="2021-10-24T00:00:00" u="1"/>
        <d v="2022-10-24T00:00:00" u="1"/>
        <d v="2021-11-20T00:00:00" u="1"/>
        <d v="2022-11-20T00:00:00" u="1"/>
        <d v="2021-12-16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2-11-22T00:00:00" u="1"/>
        <d v="2021-12-18T00:00:00" u="1"/>
        <d v="2022-12-18T00:00:00" u="1"/>
        <d v="2021-10-28T00:00:00" u="1"/>
        <d v="2022-10-28T00:00:00" u="1"/>
        <d v="2021-11-24T00:00:00" u="1"/>
        <d v="2022-11-24T00:00:00" u="1"/>
        <d v="2021-12-20T00:00:00" u="1"/>
        <d v="2022-12-20T00:00:00" u="1"/>
        <d v="2021-01-01T00:00:00" u="1"/>
        <d v="2022-01-01T00:00:00" u="1"/>
        <d v="2021-10-30T00:00:00" u="1"/>
        <d v="2022-10-30T00:00:00" u="1"/>
        <d v="2021-11-26T00:00:00" u="1"/>
        <d v="2022-11-26T00:00:00" u="1"/>
        <d v="2021-12-22T00:00:00" u="1"/>
        <d v="2022-12-22T00:00:00" u="1"/>
        <d v="2021-01-03T00:00:00" u="1"/>
        <d v="2022-01-03T00:00:00" u="1"/>
        <d v="2021-11-28T00:00:00" u="1"/>
        <d v="2022-11-28T00:00:00" u="1"/>
        <d v="2021-12-24T00:00:00" u="1"/>
        <d v="2022-12-24T00:00:00" u="1"/>
        <d v="2021-01-05T00:00:00" u="1"/>
        <d v="2022-01-05T00:00:00" u="1"/>
        <d v="2021-02-01T00:00:00" u="1"/>
        <d v="2022-02-01T00:00:00" u="1"/>
        <d v="2021-11-30T00:00:00" u="1"/>
        <d v="2022-11-30T00:00:00" u="1"/>
        <d v="2021-12-26T00:00:00" u="1"/>
        <d v="2022-12-26T00:00:00" u="1"/>
        <d v="2021-01-07T00:00:00" u="1"/>
        <d v="2022-01-07T00:00:00" u="1"/>
        <d v="2021-02-03T00:00:00" u="1"/>
        <d v="2022-02-03T00:00:00" u="1"/>
        <d v="2021-12-28T00:00:00" u="1"/>
        <d v="2022-12-28T00:00:00" u="1"/>
        <d v="2021-01-09T00:00:00" u="1"/>
        <d v="2022-01-09T00:00:00" u="1"/>
        <d v="2021-02-05T00:00:00" u="1"/>
        <d v="2022-02-05T00:00:00" u="1"/>
        <d v="2021-03-01T00:00:00" u="1"/>
        <d v="2022-03-01T00:00:00" u="1"/>
        <d v="2021-12-30T00:00:00" u="1"/>
        <d v="2022-12-30T00:00:00" u="1"/>
        <d v="2021-01-11T00:00:00" u="1"/>
        <d v="2022-01-11T00:00:00" u="1"/>
        <d v="2021-02-07T00:00:00" u="1"/>
        <d v="2022-02-07T00:00:00" u="1"/>
        <d v="2021-03-03T00:00:00" u="1"/>
        <d v="2022-03-03T00:00:00" u="1"/>
        <d v="2021-01-13T00:00:00" u="1"/>
        <d v="2022-01-13T00:00:00" u="1"/>
        <d v="2021-02-09T00:00:00" u="1"/>
        <d v="2022-02-09T00:00:00" u="1"/>
        <d v="2021-03-05T00:00:00" u="1"/>
        <d v="2022-03-05T00:00:00" u="1"/>
        <d v="2021-04-01T00:00:00" u="1"/>
        <d v="2022-04-01T00:00:00" u="1"/>
        <d v="2021-01-15T00:00:00" u="1"/>
        <d v="2022-01-15T00:00:00" u="1"/>
        <d v="2021-02-11T00:00:00" u="1"/>
        <d v="2022-02-11T00:00:00" u="1"/>
        <d v="2021-03-07T00:00:00" u="1"/>
        <d v="2022-03-07T00:00:00" u="1"/>
        <d v="2021-04-03T00:00:00" u="1"/>
        <d v="2022-04-03T00:00:00" u="1"/>
        <d v="2021-01-17T00:00:00" u="1"/>
        <d v="2022-01-17T00:00:00" u="1"/>
        <d v="2021-02-13T00:00:00" u="1"/>
        <d v="2022-02-13T00:00:00" u="1"/>
        <d v="2021-03-09T00:00:00" u="1"/>
        <d v="2022-03-09T00:00:00" u="1"/>
        <d v="2021-04-05T00:00:00" u="1"/>
        <d v="2022-04-05T00:00:00" u="1"/>
        <d v="2021-05-01T00:00:00" u="1"/>
        <d v="2022-05-01T00:00:00" u="1"/>
        <d v="2021-01-19T00:00:00" u="1"/>
        <d v="2022-01-19T00:00:00" u="1"/>
        <d v="2021-02-15T00:00:00" u="1"/>
        <d v="2022-02-15T00:00:00" u="1"/>
        <d v="2021-03-11T00:00:00" u="1"/>
        <d v="2022-03-11T00:00:00" u="1"/>
        <d v="2021-04-07T00:00:00" u="1"/>
        <d v="2022-04-07T00:00:00" u="1"/>
        <d v="2021-05-03T00:00:00" u="1"/>
        <d v="2022-05-03T00:00:00" u="1"/>
        <d v="2021-01-21T00:00:00" u="1"/>
        <d v="2022-01-21T00:00:00" u="1"/>
        <d v="2021-02-17T00:00:00" u="1"/>
        <d v="2022-02-17T00:00:00" u="1"/>
        <d v="2021-03-13T00:00:00" u="1"/>
        <d v="2022-03-13T00:00:00" u="1"/>
        <d v="2021-04-09T00:00:00" u="1"/>
        <d v="2022-04-09T00:00:00" u="1"/>
        <d v="2021-05-05T00:00:00" u="1"/>
        <d v="2022-05-05T00:00:00" u="1"/>
        <d v="2021-06-01T00:00:00" u="1"/>
        <d v="2022-06-01T00:00:00" u="1"/>
        <d v="2021-01-23T00:00:00" u="1"/>
        <d v="2022-01-23T00:00:00" u="1"/>
        <d v="2021-02-19T00:00:00" u="1"/>
        <d v="2022-02-19T00:00:00" u="1"/>
        <d v="2021-03-15T00:00:00" u="1"/>
        <d v="2022-03-15T00:00:00" u="1"/>
        <d v="2021-04-11T00:00:00" u="1"/>
        <d v="2022-04-11T00:00:00" u="1"/>
        <d v="2021-05-07T00:00:00" u="1"/>
        <d v="2022-05-07T00:00:00" u="1"/>
        <d v="2021-06-03T00:00:00" u="1"/>
        <d v="2022-06-03T00:00:00" u="1"/>
        <d v="2021-01-25T00:00:00" u="1"/>
        <d v="2022-01-25T00:00:00" u="1"/>
        <d v="2021-02-21T00:00:00" u="1"/>
        <d v="2022-02-21T00:00:00" u="1"/>
        <d v="2021-03-17T00:00:00" u="1"/>
        <d v="2022-03-17T00:00:00" u="1"/>
        <d v="2021-04-13T00:00:00" u="1"/>
        <d v="2022-04-13T00:00:00" u="1"/>
        <d v="2021-05-09T00:00:00" u="1"/>
        <d v="2022-05-09T00:00:00" u="1"/>
        <d v="2021-06-05T00:00:00" u="1"/>
        <d v="2022-06-05T00:00:00" u="1"/>
        <d v="2021-07-01T00:00:00" u="1"/>
        <d v="2022-07-01T00:00:00" u="1"/>
        <d v="2021-01-27T00:00:00" u="1"/>
        <d v="2022-01-27T00:00:00" u="1"/>
        <d v="2021-02-23T00:00:00" u="1"/>
        <d v="2022-02-23T00:00:00" u="1"/>
        <d v="2021-03-19T00:00:00" u="1"/>
        <d v="2022-03-19T00:00:00" u="1"/>
        <d v="2021-04-15T00:00:00" u="1"/>
        <d v="2022-04-15T00:00:00" u="1"/>
        <d v="2021-05-11T00:00:00" u="1"/>
        <d v="2022-05-11T00:00:00" u="1"/>
        <d v="2021-06-07T00:00:00" u="1"/>
        <d v="2022-06-07T00:00:00" u="1"/>
        <d v="2021-07-03T00:00:00" u="1"/>
        <d v="2022-07-03T00:00:00" u="1"/>
        <d v="2021-01-29T00:00:00" u="1"/>
        <d v="2022-01-29T00:00:00" u="1"/>
        <d v="2021-02-25T00:00:00" u="1"/>
        <d v="2022-02-25T00:00:00" u="1"/>
        <d v="2021-03-21T00:00:00" u="1"/>
        <d v="2022-03-21T00:00:00" u="1"/>
        <d v="2021-04-17T00:00:00" u="1"/>
        <d v="2022-04-17T00:00:00" u="1"/>
        <d v="2021-05-13T00:00:00" u="1"/>
        <d v="2022-05-13T00:00:00" u="1"/>
        <d v="2021-06-09T00:00:00" u="1"/>
        <d v="2022-06-09T00:00:00" u="1"/>
        <d v="2021-07-05T00:00:00" u="1"/>
        <d v="2022-07-05T00:00:00" u="1"/>
        <d v="2021-08-01T00:00:00" u="1"/>
        <d v="2022-08-01T00:00:00" u="1"/>
        <d v="2021-01-31T00:00:00" u="1"/>
        <d v="2022-01-31T00:00:00" u="1"/>
        <d v="2021-02-27T00:00:00" u="1"/>
        <d v="2022-02-27T00:00:00" u="1"/>
        <d v="2021-03-23T00:00:00" u="1"/>
        <d v="2022-03-23T00:00:00" u="1"/>
        <d v="2021-04-19T00:00:00" u="1"/>
        <d v="2022-04-19T00:00:00" u="1"/>
        <d v="2021-05-15T00:00:00" u="1"/>
        <d v="2022-05-15T00:00:00" u="1"/>
        <d v="2021-06-11T00:00:00" u="1"/>
        <d v="2022-06-11T00:00:00" u="1"/>
        <d v="2021-07-07T00:00:00" u="1"/>
        <d v="2022-07-07T00:00:00" u="1"/>
        <d v="2021-08-03T00:00:00" u="1"/>
        <d v="2022-08-03T00:00:00" u="1"/>
        <d v="2021-03-25T00:00:00" u="1"/>
        <d v="2022-03-25T00:00:00" u="1"/>
        <d v="2021-04-21T00:00:00" u="1"/>
        <d v="2022-04-21T00:00:00" u="1"/>
        <d v="2021-05-17T00:00:00" u="1"/>
        <d v="2022-05-17T00:00:00" u="1"/>
        <d v="2021-06-13T00:00:00" u="1"/>
        <d v="2022-06-13T00:00:00" u="1"/>
        <d v="2021-07-09T00:00:00" u="1"/>
        <d v="2022-07-09T00:00:00" u="1"/>
        <d v="2021-08-05T00:00:00" u="1"/>
        <d v="2022-08-05T00:00:00" u="1"/>
        <d v="2021-09-01T00:00:00" u="1"/>
        <d v="2022-09-01T00:00:00" u="1"/>
        <d v="2021-03-27T00:00:00" u="1"/>
        <d v="2022-03-27T00:00:00" u="1"/>
        <d v="2021-04-23T00:00:00" u="1"/>
        <d v="2022-04-23T00:00:00" u="1"/>
        <d v="2021-05-19T00:00:00" u="1"/>
        <d v="2022-05-19T00:00:00" u="1"/>
        <d v="2021-06-15T00:00:00" u="1"/>
        <d v="2022-06-15T00:00:00" u="1"/>
        <d v="2021-07-11T00:00:00" u="1"/>
        <d v="2022-07-11T00:00:00" u="1"/>
        <d v="2021-08-07T00:00:00" u="1"/>
        <d v="2022-08-07T00:00:00" u="1"/>
        <d v="2021-09-03T00:00:00" u="1"/>
        <d v="2022-09-03T00:00:00" u="1"/>
        <d v="2021-03-29T00:00:00" u="1"/>
        <d v="2022-03-29T00:00:00" u="1"/>
        <d v="2021-04-25T00:00:00" u="1"/>
        <d v="2022-04-25T00:00:00" u="1"/>
        <d v="2021-05-21T00:00:00" u="1"/>
        <d v="2022-05-21T00:00:00" u="1"/>
        <d v="2021-06-17T00:00:00" u="1"/>
        <d v="2022-06-17T00:00:00" u="1"/>
        <d v="2021-07-13T00:00:00" u="1"/>
        <d v="2022-07-13T00:00:00" u="1"/>
        <d v="2021-08-09T00:00:00" u="1"/>
        <d v="2022-08-09T00:00:00" u="1"/>
        <d v="2021-09-05T00:00:00" u="1"/>
        <d v="2022-09-05T00:00:00" u="1"/>
        <d v="2021-10-01T00:00:00" u="1"/>
        <d v="2022-10-01T00:00:00" u="1"/>
        <d v="2021-03-31T00:00:00" u="1"/>
        <d v="2022-03-31T00:00:00" u="1"/>
        <d v="2021-04-27T00:00:00" u="1"/>
        <d v="2022-04-27T00:00:00" u="1"/>
        <d v="2021-05-23T00:00:00" u="1"/>
        <d v="2022-05-23T00:00:00" u="1"/>
        <d v="2021-06-19T00:00:00" u="1"/>
        <d v="2022-06-19T00:00:00" u="1"/>
        <d v="2021-07-15T00:00:00" u="1"/>
        <d v="2022-07-15T00:00:00" u="1"/>
        <d v="2021-08-11T00:00:00" u="1"/>
        <d v="2022-08-11T00:00:00" u="1"/>
        <d v="2021-09-07T00:00:00" u="1"/>
        <d v="2022-09-07T00:00:00" u="1"/>
        <d v="2021-10-03T00:00:00" u="1"/>
        <d v="2022-10-03T00:00:00" u="1"/>
        <d v="2021-04-29T00:00:00" u="1"/>
        <d v="2022-04-29T00:00:00" u="1"/>
        <d v="2021-05-25T00:00:00" u="1"/>
        <d v="2022-05-25T00:00:00" u="1"/>
        <d v="2021-06-21T00:00:00" u="1"/>
        <d v="2022-06-21T00:00:00" u="1"/>
        <d v="2021-07-17T00:00:00" u="1"/>
        <d v="2022-07-17T00:00:00" u="1"/>
        <d v="2021-08-13T00:00:00" u="1"/>
        <d v="2022-08-13T00:00:00" u="1"/>
        <d v="2021-09-09T00:00:00" u="1"/>
        <d v="2022-09-09T00:00:00" u="1"/>
        <d v="2021-10-05T00:00:00" u="1"/>
        <d v="2022-10-05T00:00:00" u="1"/>
        <d v="2021-11-01T00:00:00" u="1"/>
        <d v="2022-11-01T00:00:00" u="1"/>
        <d v="2021-05-27T00:00:00" u="1"/>
        <d v="2022-05-27T00:00:00" u="1"/>
        <d v="2021-06-23T00:00:00" u="1"/>
        <d v="2022-06-23T00:00:00" u="1"/>
        <d v="2021-07-19T00:00:00" u="1"/>
        <d v="2022-07-19T00:00:00" u="1"/>
        <d v="2021-08-15T00:00:00" u="1"/>
        <d v="2022-08-15T00:00:00" u="1"/>
        <d v="2021-09-11T00:00:00" u="1"/>
        <d v="2022-09-11T00:00:00" u="1"/>
        <d v="2021-10-07T00:00:00" u="1"/>
        <d v="2022-10-07T00:00:00" u="1"/>
        <d v="2021-11-03T00:00:00" u="1"/>
        <d v="2022-11-03T00:00:00" u="1"/>
        <d v="2021-05-29T00:00:00" u="1"/>
        <d v="2022-05-29T00:00:00" u="1"/>
        <d v="2021-06-25T00:00:00" u="1"/>
        <d v="2022-06-25T00:00:00" u="1"/>
        <d v="2021-07-21T00:00:00" u="1"/>
        <d v="2022-07-21T00:00:00" u="1"/>
        <d v="2021-08-17T00:00:00" u="1"/>
        <d v="2022-08-17T00:00:00" u="1"/>
        <d v="2021-09-13T00:00:00" u="1"/>
        <d v="2022-09-13T00:00:00" u="1"/>
        <d v="2021-10-09T00:00:00" u="1"/>
        <d v="2022-10-09T00:00:00" u="1"/>
        <d v="2021-11-05T00:00:00" u="1"/>
        <d v="2022-11-05T00:00:00" u="1"/>
        <d v="2021-12-01T00:00:00" u="1"/>
        <d v="2022-12-01T00:00:00" u="1"/>
        <d v="2021-05-31T00:00:00" u="1"/>
        <d v="2022-05-31T00:00:00" u="1"/>
        <d v="2021-06-27T00:00:00" u="1"/>
        <d v="2022-06-27T00:00:00" u="1"/>
        <d v="2021-07-23T00:00:00" u="1"/>
        <d v="2022-07-23T00:00:00" u="1"/>
        <d v="2021-08-19T00:00:00" u="1"/>
        <d v="2022-08-19T00:00:00" u="1"/>
        <d v="2021-09-15T00:00:00" u="1"/>
        <d v="2022-09-15T00:00:00" u="1"/>
        <d v="2021-10-11T00:00:00" u="1"/>
        <d v="2022-10-11T00:00:00" u="1"/>
        <d v="2021-11-07T00:00:00" u="1"/>
        <d v="2022-11-07T00:00:00" u="1"/>
        <d v="2021-12-03T00:00:00" u="1"/>
        <d v="2022-12-03T00:00:00" u="1"/>
        <d v="2021-06-29T00:00:00" u="1"/>
        <d v="2022-06-29T00:00:00" u="1"/>
        <d v="2021-07-25T00:00:00" u="1"/>
        <d v="2022-07-25T00:00:00" u="1"/>
        <d v="2021-08-21T00:00:00" u="1"/>
        <d v="2022-08-21T00:00:00" u="1"/>
        <d v="2021-09-17T00:00:00" u="1"/>
        <d v="2022-09-17T00:00:00" u="1"/>
        <d v="2021-10-13T00:00:00" u="1"/>
        <d v="2022-10-13T00:00:00" u="1"/>
        <d v="2021-11-09T00:00:00" u="1"/>
        <d v="2022-11-09T00:00:00" u="1"/>
        <d v="2021-12-05T00:00:00" u="1"/>
        <d v="2022-12-05T00:00:00" u="1"/>
        <d v="2021-07-27T00:00:00" u="1"/>
        <d v="2022-07-27T00:00:00" u="1"/>
        <d v="2021-08-23T00:00:00" u="1"/>
        <d v="2022-08-23T00:00:00" u="1"/>
        <d v="2021-09-19T00:00:00" u="1"/>
        <d v="2022-09-19T00:00:00" u="1"/>
        <d v="2021-10-15T00:00:00" u="1"/>
        <d v="2022-10-15T00:00:00" u="1"/>
        <d v="2021-11-11T00:00:00" u="1"/>
        <d v="2022-11-11T00:00:00" u="1"/>
        <d v="2021-12-07T00:00:00" u="1"/>
        <d v="2022-12-07T00:00:00" u="1"/>
        <d v="2021-07-29T00:00:00" u="1"/>
        <d v="2022-07-29T00:00:00" u="1"/>
        <d v="2021-08-25T00:00:00" u="1"/>
        <d v="2022-08-25T00:00:00" u="1"/>
        <d v="2021-09-21T00:00:00" u="1"/>
        <d v="2022-09-21T00:00:00" u="1"/>
        <d v="2021-10-17T00:00:00" u="1"/>
        <d v="2022-10-17T00:00:00" u="1"/>
        <d v="2021-11-13T00:00:00" u="1"/>
        <d v="2022-11-13T00:00:00" u="1"/>
        <d v="2021-12-09T00:00:00" u="1"/>
        <d v="2022-12-09T00:00:00" u="1"/>
        <d v="2021-07-31T00:00:00" u="1"/>
        <d v="2022-07-31T00:00:00" u="1"/>
        <d v="2021-08-27T00:00:00" u="1"/>
        <d v="2022-08-27T00:00:00" u="1"/>
        <d v="2021-09-23T00:00:00" u="1"/>
        <d v="2022-09-23T00:00:00" u="1"/>
        <d v="2021-10-19T00:00:00" u="1"/>
        <d v="2022-10-19T00:00:00" u="1"/>
        <d v="2021-11-15T00:00:00" u="1"/>
        <d v="2022-11-15T00:00:00" u="1"/>
        <d v="2021-12-11T00:00:00" u="1"/>
        <d v="2022-12-11T00:00:00" u="1"/>
        <d v="2021-08-29T00:00:00" u="1"/>
        <d v="2022-08-29T00:00:00" u="1"/>
        <d v="2021-09-25T00:00:00" u="1"/>
        <d v="2022-09-25T00:00:00" u="1"/>
        <d v="2021-10-21T00:00:00" u="1"/>
        <d v="2022-10-21T00:00:00" u="1"/>
        <d v="2021-11-17T00:00:00" u="1"/>
        <d v="2022-11-17T00:00:00" u="1"/>
        <d v="2021-12-13T00:00:00" u="1"/>
        <d v="2022-12-13T00:00:00" u="1"/>
        <d v="2021-08-31T00:00:00" u="1"/>
        <d v="2022-08-31T00:00:00" u="1"/>
        <d v="2021-09-27T00:00:00" u="1"/>
        <d v="2022-09-27T00:00:00" u="1"/>
        <d v="2021-10-23T00:00:00" u="1"/>
        <d v="2022-10-23T00:00:00" u="1"/>
        <d v="2021-11-19T00:00:00" u="1"/>
        <d v="2022-11-19T00:00:00" u="1"/>
        <d v="2021-12-15T00:00:00" u="1"/>
        <d v="2022-12-15T00:00:00" u="1"/>
      </sharedItems>
    </cacheField>
    <cacheField name="Hora" numFmtId="49">
      <sharedItems/>
    </cacheField>
    <cacheField name=" CT Termo Norte _x000a_Activa Entregada" numFmtId="0">
      <sharedItems containsString="0" containsBlank="1" containsNumber="1" minValue="0" maxValue="76972.800000000003"/>
    </cacheField>
    <cacheField name="CT Termo Norte _x000a_Activa Recibida" numFmtId="174">
      <sharedItems containsString="0" containsBlank="1" containsNumber="1" minValue="0" maxValue="803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de Operación" refreshedDate="45161.677256481482" createdVersion="6" refreshedVersion="8" minRefreshableVersion="3" recordCount="8761" xr:uid="{00000000-000A-0000-FFFF-FFFF20010000}">
  <cacheSource type="worksheet">
    <worksheetSource ref="A1:C9956" sheet="REP. GE"/>
  </cacheSource>
  <cacheFields count="3">
    <cacheField name="Fecha" numFmtId="0">
      <sharedItems containsNonDate="0" containsDate="1" containsString="0" containsBlank="1" minDate="2020-01-01T00:00:00" maxDate="2024-01-01T00:00:00" count="1462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m/>
        <d v="2020-09-29T00:00:00" u="1"/>
        <d v="2021-09-29T00:00:00" u="1"/>
        <d v="2020-10-25T00:00:00" u="1"/>
        <d v="2022-09-29T00:00:00" u="1"/>
        <d v="2021-10-25T00:00:00" u="1"/>
        <d v="2020-11-21T00:00:00" u="1"/>
        <d v="2022-10-25T00:00:00" u="1"/>
        <d v="2021-11-21T00:00:00" u="1"/>
        <d v="2020-12-17T00:00:00" u="1"/>
        <d v="2022-11-21T00:00:00" u="1"/>
        <d v="2021-12-17T00:00:00" u="1"/>
        <d v="2022-12-17T00:00:00" u="1"/>
        <d v="2020-10-27T00:00:00" u="1"/>
        <d v="2021-10-27T00:00:00" u="1"/>
        <d v="2020-11-23T00:00:00" u="1"/>
        <d v="2022-10-27T00:00:00" u="1"/>
        <d v="2021-11-23T00:00:00" u="1"/>
        <d v="2020-12-19T00:00:00" u="1"/>
        <d v="2022-11-23T00:00:00" u="1"/>
        <d v="2021-12-19T00:00:00" u="1"/>
        <d v="2022-12-19T00:00:00" u="1"/>
        <d v="2020-10-29T00:00:00" u="1"/>
        <d v="2021-10-29T00:00:00" u="1"/>
        <d v="2020-11-25T00:00:00" u="1"/>
        <d v="2022-10-29T00:00:00" u="1"/>
        <d v="2021-11-25T00:00:00" u="1"/>
        <d v="2020-12-21T00:00:00" u="1"/>
        <d v="2022-11-25T00:00:00" u="1"/>
        <d v="2021-12-21T00:00:00" u="1"/>
        <d v="2022-12-21T00:00:00" u="1"/>
        <d v="2020-01-02T00:00:00" u="1"/>
        <d v="2021-01-02T00:00:00" u="1"/>
        <d v="2022-01-02T00:00:00" u="1"/>
        <d v="2020-10-31T00:00:00" u="1"/>
        <d v="2021-10-31T00:00:00" u="1"/>
        <d v="2020-11-27T00:00:00" u="1"/>
        <d v="2022-10-31T00:00:00" u="1"/>
        <d v="2021-11-27T00:00:00" u="1"/>
        <d v="2020-12-23T00:00:00" u="1"/>
        <d v="2022-11-27T00:00:00" u="1"/>
        <d v="2021-12-23T00:00:00" u="1"/>
        <d v="2022-12-23T00:00:00" u="1"/>
        <d v="2020-01-04T00:00:00" u="1"/>
        <d v="2021-01-04T00:00:00" u="1"/>
        <d v="2022-01-04T00:00:00" u="1"/>
        <d v="2020-11-29T00:00:00" u="1"/>
        <d v="2021-11-29T00:00:00" u="1"/>
        <d v="2020-12-25T00:00:00" u="1"/>
        <d v="2022-11-29T00:00:00" u="1"/>
        <d v="2021-12-25T00:00:00" u="1"/>
        <d v="2022-12-25T00:00:00" u="1"/>
        <d v="2020-01-06T00:00:00" u="1"/>
        <d v="2021-01-06T00:00:00" u="1"/>
        <d v="2020-02-02T00:00:00" u="1"/>
        <d v="2022-01-06T00:00:00" u="1"/>
        <d v="2021-02-02T00:00:00" u="1"/>
        <d v="2022-02-02T00:00:00" u="1"/>
        <d v="2020-12-27T00:00:00" u="1"/>
        <d v="2021-12-27T00:00:00" u="1"/>
        <d v="2022-12-27T00:00:00" u="1"/>
        <d v="2020-01-08T00:00:00" u="1"/>
        <d v="2021-01-08T00:00:00" u="1"/>
        <d v="2020-02-04T00:00:00" u="1"/>
        <d v="2022-01-08T00:00:00" u="1"/>
        <d v="2021-02-04T00:00:00" u="1"/>
        <d v="2022-02-04T00:00:00" u="1"/>
        <d v="2020-12-29T00:00:00" u="1"/>
        <d v="2021-12-29T00:00:00" u="1"/>
        <d v="2022-12-29T00:00:00" u="1"/>
        <d v="2020-01-10T00:00:00" u="1"/>
        <d v="2021-01-10T00:00:00" u="1"/>
        <d v="2020-02-06T00:00:00" u="1"/>
        <d v="2022-01-10T00:00:00" u="1"/>
        <d v="2021-02-06T00:00:00" u="1"/>
        <d v="2020-03-02T00:00:00" u="1"/>
        <d v="2022-02-06T00:00:00" u="1"/>
        <d v="2021-03-02T00:00:00" u="1"/>
        <d v="2022-03-02T00:00:00" u="1"/>
        <d v="2020-12-31T00:00:00" u="1"/>
        <d v="2021-12-31T00:00:00" u="1"/>
        <d v="2022-12-31T00:00:00" u="1"/>
        <d v="2020-01-12T00:00:00" u="1"/>
        <d v="2021-01-12T00:00:00" u="1"/>
        <d v="2020-02-08T00:00:00" u="1"/>
        <d v="2022-01-12T00:00:00" u="1"/>
        <d v="2021-02-08T00:00:00" u="1"/>
        <d v="2020-03-04T00:00:00" u="1"/>
        <d v="2022-02-08T00:00:00" u="1"/>
        <d v="2021-03-04T00:00:00" u="1"/>
        <d v="2022-03-04T00:00:00" u="1"/>
        <d v="2020-01-14T00:00:00" u="1"/>
        <d v="2021-01-14T00:00:00" u="1"/>
        <d v="2020-02-10T00:00:00" u="1"/>
        <d v="2022-01-14T00:00:00" u="1"/>
        <d v="2021-02-10T00:00:00" u="1"/>
        <d v="2020-03-06T00:00:00" u="1"/>
        <d v="2022-02-10T00:00:00" u="1"/>
        <d v="2021-03-06T00:00:00" u="1"/>
        <d v="2020-04-02T00:00:00" u="1"/>
        <d v="2022-03-06T00:00:00" u="1"/>
        <d v="2021-04-02T00:00:00" u="1"/>
        <d v="2022-04-02T00:00:00" u="1"/>
        <d v="2020-01-16T00:00:00" u="1"/>
        <d v="2021-01-16T00:00:00" u="1"/>
        <d v="2020-02-12T00:00:00" u="1"/>
        <d v="2022-01-16T00:00:00" u="1"/>
        <d v="2021-02-12T00:00:00" u="1"/>
        <d v="2020-03-08T00:00:00" u="1"/>
        <d v="2022-02-12T00:00:00" u="1"/>
        <d v="2021-03-08T00:00:00" u="1"/>
        <d v="2020-04-04T00:00:00" u="1"/>
        <d v="2022-03-08T00:00:00" u="1"/>
        <d v="2021-04-04T00:00:00" u="1"/>
        <d v="2022-04-04T00:00:00" u="1"/>
        <d v="2020-01-18T00:00:00" u="1"/>
        <d v="2021-01-18T00:00:00" u="1"/>
        <d v="2020-02-14T00:00:00" u="1"/>
        <d v="2022-01-18T00:00:00" u="1"/>
        <d v="2021-02-14T00:00:00" u="1"/>
        <d v="2020-03-10T00:00:00" u="1"/>
        <d v="2022-02-14T00:00:00" u="1"/>
        <d v="2021-03-10T00:00:00" u="1"/>
        <d v="2020-04-06T00:00:00" u="1"/>
        <d v="2022-03-10T00:00:00" u="1"/>
        <d v="2021-04-06T00:00:00" u="1"/>
        <d v="2020-05-02T00:00:00" u="1"/>
        <d v="2022-04-06T00:00:00" u="1"/>
        <d v="2021-05-02T00:00:00" u="1"/>
        <d v="2022-05-02T00:00:00" u="1"/>
        <d v="2020-01-20T00:00:00" u="1"/>
        <d v="2021-01-20T00:00:00" u="1"/>
        <d v="2020-02-16T00:00:00" u="1"/>
        <d v="2022-01-20T00:00:00" u="1"/>
        <d v="2021-02-16T00:00:00" u="1"/>
        <d v="2020-03-12T00:00:00" u="1"/>
        <d v="2022-02-16T00:00:00" u="1"/>
        <d v="2021-03-12T00:00:00" u="1"/>
        <d v="2020-04-08T00:00:00" u="1"/>
        <d v="2022-03-12T00:00:00" u="1"/>
        <d v="2021-04-08T00:00:00" u="1"/>
        <d v="2020-05-04T00:00:00" u="1"/>
        <d v="2022-04-08T00:00:00" u="1"/>
        <d v="2021-05-04T00:00:00" u="1"/>
        <d v="2022-05-04T00:00:00" u="1"/>
        <d v="2020-01-22T00:00:00" u="1"/>
        <d v="2021-01-22T00:00:00" u="1"/>
        <d v="2020-02-18T00:00:00" u="1"/>
        <d v="2022-01-22T00:00:00" u="1"/>
        <d v="2021-02-18T00:00:00" u="1"/>
        <d v="2020-03-14T00:00:00" u="1"/>
        <d v="2022-02-18T00:00:00" u="1"/>
        <d v="2021-03-14T00:00:00" u="1"/>
        <d v="2020-04-10T00:00:00" u="1"/>
        <d v="2022-03-14T00:00:00" u="1"/>
        <d v="2021-04-10T00:00:00" u="1"/>
        <d v="2020-05-06T00:00:00" u="1"/>
        <d v="2022-04-10T00:00:00" u="1"/>
        <d v="2021-05-06T00:00:00" u="1"/>
        <d v="2020-06-02T00:00:00" u="1"/>
        <d v="2022-05-06T00:00:00" u="1"/>
        <d v="2021-06-02T00:00:00" u="1"/>
        <d v="2022-06-02T00:00:00" u="1"/>
        <d v="2020-01-24T00:00:00" u="1"/>
        <d v="2021-01-24T00:00:00" u="1"/>
        <d v="2020-02-20T00:00:00" u="1"/>
        <d v="2022-01-24T00:00:00" u="1"/>
        <d v="2021-02-20T00:00:00" u="1"/>
        <d v="2020-03-16T00:00:00" u="1"/>
        <d v="2022-02-20T00:00:00" u="1"/>
        <d v="2021-03-16T00:00:00" u="1"/>
        <d v="2020-04-12T00:00:00" u="1"/>
        <d v="2022-03-16T00:00:00" u="1"/>
        <d v="2021-04-12T00:00:00" u="1"/>
        <d v="2020-05-08T00:00:00" u="1"/>
        <d v="2022-04-12T00:00:00" u="1"/>
        <d v="2021-05-08T00:00:00" u="1"/>
        <d v="2020-06-04T00:00:00" u="1"/>
        <d v="2022-05-08T00:00:00" u="1"/>
        <d v="2021-06-04T00:00:00" u="1"/>
        <d v="2022-06-04T00:00:00" u="1"/>
        <d v="2020-01-26T00:00:00" u="1"/>
        <d v="2021-01-26T00:00:00" u="1"/>
        <d v="2020-02-22T00:00:00" u="1"/>
        <d v="2022-01-26T00:00:00" u="1"/>
        <d v="2021-02-22T00:00:00" u="1"/>
        <d v="2020-03-18T00:00:00" u="1"/>
        <d v="2022-02-22T00:00:00" u="1"/>
        <d v="2021-03-18T00:00:00" u="1"/>
        <d v="2020-04-14T00:00:00" u="1"/>
        <d v="2022-03-18T00:00:00" u="1"/>
        <d v="2021-04-14T00:00:00" u="1"/>
        <d v="2020-05-10T00:00:00" u="1"/>
        <d v="2022-04-14T00:00:00" u="1"/>
        <d v="2021-05-10T00:00:00" u="1"/>
        <d v="2020-06-06T00:00:00" u="1"/>
        <d v="2022-05-10T00:00:00" u="1"/>
        <d v="2021-06-06T00:00:00" u="1"/>
        <d v="2020-07-02T00:00:00" u="1"/>
        <d v="2022-06-06T00:00:00" u="1"/>
        <d v="2021-07-02T00:00:00" u="1"/>
        <d v="2022-07-02T00:00:00" u="1"/>
        <d v="2020-01-28T00:00:00" u="1"/>
        <d v="2021-01-28T00:00:00" u="1"/>
        <d v="2020-02-24T00:00:00" u="1"/>
        <d v="2022-01-28T00:00:00" u="1"/>
        <d v="2021-02-24T00:00:00" u="1"/>
        <d v="2020-03-20T00:00:00" u="1"/>
        <d v="2022-02-24T00:00:00" u="1"/>
        <d v="2021-03-20T00:00:00" u="1"/>
        <d v="2020-04-16T00:00:00" u="1"/>
        <d v="2022-03-20T00:00:00" u="1"/>
        <d v="2021-04-16T00:00:00" u="1"/>
        <d v="2020-05-12T00:00:00" u="1"/>
        <d v="2022-04-16T00:00:00" u="1"/>
        <d v="2021-05-12T00:00:00" u="1"/>
        <d v="2020-06-08T00:00:00" u="1"/>
        <d v="2022-05-12T00:00:00" u="1"/>
        <d v="2021-06-08T00:00:00" u="1"/>
        <d v="2020-07-04T00:00:00" u="1"/>
        <d v="2022-06-08T00:00:00" u="1"/>
        <d v="2021-07-04T00:00:00" u="1"/>
        <d v="2022-07-04T00:00:00" u="1"/>
        <d v="2020-01-30T00:00:00" u="1"/>
        <d v="2021-01-30T00:00:00" u="1"/>
        <d v="2020-02-26T00:00:00" u="1"/>
        <d v="2022-01-30T00:00:00" u="1"/>
        <d v="2021-02-26T00:00:00" u="1"/>
        <d v="2020-03-22T00:00:00" u="1"/>
        <d v="2022-02-26T00:00:00" u="1"/>
        <d v="2021-03-22T00:00:00" u="1"/>
        <d v="2020-04-18T00:00:00" u="1"/>
        <d v="2022-03-22T00:00:00" u="1"/>
        <d v="2021-04-18T00:00:00" u="1"/>
        <d v="2020-05-14T00:00:00" u="1"/>
        <d v="2022-04-18T00:00:00" u="1"/>
        <d v="2021-05-14T00:00:00" u="1"/>
        <d v="2020-06-10T00:00:00" u="1"/>
        <d v="2022-05-14T00:00:00" u="1"/>
        <d v="2021-06-10T00:00:00" u="1"/>
        <d v="2020-07-06T00:00:00" u="1"/>
        <d v="2022-06-10T00:00:00" u="1"/>
        <d v="2021-07-06T00:00:00" u="1"/>
        <d v="2020-08-02T00:00:00" u="1"/>
        <d v="2022-07-06T00:00:00" u="1"/>
        <d v="2021-08-02T00:00:00" u="1"/>
        <d v="2022-08-02T00:00:00" u="1"/>
        <d v="2020-02-28T00:00:00" u="1"/>
        <d v="2021-02-28T00:00:00" u="1"/>
        <d v="2020-03-24T00:00:00" u="1"/>
        <d v="2022-02-28T00:00:00" u="1"/>
        <d v="2021-03-24T00:00:00" u="1"/>
        <d v="2020-04-20T00:00:00" u="1"/>
        <d v="2022-03-24T00:00:00" u="1"/>
        <d v="2021-04-20T00:00:00" u="1"/>
        <d v="2020-05-16T00:00:00" u="1"/>
        <d v="2022-04-20T00:00:00" u="1"/>
        <d v="2021-05-16T00:00:00" u="1"/>
        <d v="2020-06-12T00:00:00" u="1"/>
        <d v="2022-05-16T00:00:00" u="1"/>
        <d v="2021-06-12T00:00:00" u="1"/>
        <d v="2020-07-08T00:00:00" u="1"/>
        <d v="2022-06-12T00:00:00" u="1"/>
        <d v="2021-07-08T00:00:00" u="1"/>
        <d v="2020-08-04T00:00:00" u="1"/>
        <d v="2022-07-08T00:00:00" u="1"/>
        <d v="2021-08-04T00:00:00" u="1"/>
        <d v="2022-08-04T00:00:00" u="1"/>
        <d v="2020-03-26T00:00:00" u="1"/>
        <d v="2021-03-26T00:00:00" u="1"/>
        <d v="2020-04-22T00:00:00" u="1"/>
        <d v="2022-03-26T00:00:00" u="1"/>
        <d v="2021-04-22T00:00:00" u="1"/>
        <d v="2020-05-18T00:00:00" u="1"/>
        <d v="2022-04-22T00:00:00" u="1"/>
        <d v="2021-05-18T00:00:00" u="1"/>
        <d v="2020-06-14T00:00:00" u="1"/>
        <d v="2022-05-18T00:00:00" u="1"/>
        <d v="2021-06-14T00:00:00" u="1"/>
        <d v="2020-07-10T00:00:00" u="1"/>
        <d v="2022-06-14T00:00:00" u="1"/>
        <d v="2021-07-10T00:00:00" u="1"/>
        <d v="2020-08-06T00:00:00" u="1"/>
        <d v="2022-07-10T00:00:00" u="1"/>
        <d v="2021-08-06T00:00:00" u="1"/>
        <d v="2020-09-02T00:00:00" u="1"/>
        <d v="2022-08-06T00:00:00" u="1"/>
        <d v="2021-09-02T00:00:00" u="1"/>
        <d v="2022-09-02T00:00:00" u="1"/>
        <d v="2020-03-28T00:00:00" u="1"/>
        <d v="2021-03-28T00:00:00" u="1"/>
        <d v="2020-04-24T00:00:00" u="1"/>
        <d v="2022-03-28T00:00:00" u="1"/>
        <d v="2021-04-24T00:00:00" u="1"/>
        <d v="2020-05-20T00:00:00" u="1"/>
        <d v="2022-04-24T00:00:00" u="1"/>
        <d v="2021-05-20T00:00:00" u="1"/>
        <d v="2020-06-16T00:00:00" u="1"/>
        <d v="2022-05-20T00:00:00" u="1"/>
        <d v="2021-06-16T00:00:00" u="1"/>
        <d v="2020-07-12T00:00:00" u="1"/>
        <d v="2022-06-16T00:00:00" u="1"/>
        <d v="2021-07-12T00:00:00" u="1"/>
        <d v="2020-08-08T00:00:00" u="1"/>
        <d v="2022-07-12T00:00:00" u="1"/>
        <d v="2021-08-08T00:00:00" u="1"/>
        <d v="2020-09-04T00:00:00" u="1"/>
        <d v="2022-08-08T00:00:00" u="1"/>
        <d v="2021-09-04T00:00:00" u="1"/>
        <d v="2022-09-04T00:00:00" u="1"/>
        <d v="2020-03-30T00:00:00" u="1"/>
        <d v="2021-03-30T00:00:00" u="1"/>
        <d v="2020-04-26T00:00:00" u="1"/>
        <d v="2022-03-30T00:00:00" u="1"/>
        <d v="2021-04-26T00:00:00" u="1"/>
        <d v="2020-05-22T00:00:00" u="1"/>
        <d v="2022-04-26T00:00:00" u="1"/>
        <d v="2021-05-22T00:00:00" u="1"/>
        <d v="2020-06-18T00:00:00" u="1"/>
        <d v="2022-05-22T00:00:00" u="1"/>
        <d v="2021-06-18T00:00:00" u="1"/>
        <d v="2020-07-14T00:00:00" u="1"/>
        <d v="2022-06-18T00:00:00" u="1"/>
        <d v="2021-07-14T00:00:00" u="1"/>
        <d v="2020-08-10T00:00:00" u="1"/>
        <d v="2022-07-14T00:00:00" u="1"/>
        <d v="2021-08-10T00:00:00" u="1"/>
        <d v="2020-09-06T00:00:00" u="1"/>
        <d v="2022-08-10T00:00:00" u="1"/>
        <d v="2021-09-06T00:00:00" u="1"/>
        <d v="2020-10-02T00:00:00" u="1"/>
        <d v="2022-09-06T00:00:00" u="1"/>
        <d v="2021-10-02T00:00:00" u="1"/>
        <d v="2022-10-02T00:00:00" u="1"/>
        <d v="2020-04-28T00:00:00" u="1"/>
        <d v="2021-04-28T00:00:00" u="1"/>
        <d v="2020-05-24T00:00:00" u="1"/>
        <d v="2022-04-28T00:00:00" u="1"/>
        <d v="2021-05-24T00:00:00" u="1"/>
        <d v="2020-06-20T00:00:00" u="1"/>
        <d v="2022-05-24T00:00:00" u="1"/>
        <d v="2021-06-20T00:00:00" u="1"/>
        <d v="2020-07-16T00:00:00" u="1"/>
        <d v="2022-06-20T00:00:00" u="1"/>
        <d v="2021-07-16T00:00:00" u="1"/>
        <d v="2020-08-12T00:00:00" u="1"/>
        <d v="2022-07-16T00:00:00" u="1"/>
        <d v="2021-08-12T00:00:00" u="1"/>
        <d v="2020-09-08T00:00:00" u="1"/>
        <d v="2022-08-12T00:00:00" u="1"/>
        <d v="2021-09-08T00:00:00" u="1"/>
        <d v="2020-10-04T00:00:00" u="1"/>
        <d v="2022-09-08T00:00:00" u="1"/>
        <d v="2021-10-04T00:00:00" u="1"/>
        <d v="2022-10-04T00:00:00" u="1"/>
        <d v="2020-04-30T00:00:00" u="1"/>
        <d v="2021-04-30T00:00:00" u="1"/>
        <d v="2020-05-26T00:00:00" u="1"/>
        <d v="2022-04-30T00:00:00" u="1"/>
        <d v="2021-05-26T00:00:00" u="1"/>
        <d v="2020-06-22T00:00:00" u="1"/>
        <d v="2022-05-26T00:00:00" u="1"/>
        <d v="2021-06-22T00:00:00" u="1"/>
        <d v="2020-07-18T00:00:00" u="1"/>
        <d v="2022-06-22T00:00:00" u="1"/>
        <d v="2021-07-18T00:00:00" u="1"/>
        <d v="2020-08-14T00:00:00" u="1"/>
        <d v="2022-07-18T00:00:00" u="1"/>
        <d v="2021-08-14T00:00:00" u="1"/>
        <d v="2020-09-10T00:00:00" u="1"/>
        <d v="2022-08-14T00:00:00" u="1"/>
        <d v="2021-09-10T00:00:00" u="1"/>
        <d v="2020-10-06T00:00:00" u="1"/>
        <d v="2022-09-10T00:00:00" u="1"/>
        <d v="2021-10-06T00:00:00" u="1"/>
        <d v="2020-11-02T00:00:00" u="1"/>
        <d v="2022-10-06T00:00:00" u="1"/>
        <d v="2021-11-02T00:00:00" u="1"/>
        <d v="2022-11-02T00:00:00" u="1"/>
        <d v="2020-05-28T00:00:00" u="1"/>
        <d v="2021-05-28T00:00:00" u="1"/>
        <d v="2020-06-24T00:00:00" u="1"/>
        <d v="2022-05-28T00:00:00" u="1"/>
        <d v="2021-06-24T00:00:00" u="1"/>
        <d v="2020-07-20T00:00:00" u="1"/>
        <d v="2022-06-24T00:00:00" u="1"/>
        <d v="2021-07-20T00:00:00" u="1"/>
        <d v="2020-08-16T00:00:00" u="1"/>
        <d v="2022-07-20T00:00:00" u="1"/>
        <d v="2021-08-16T00:00:00" u="1"/>
        <d v="2020-09-12T00:00:00" u="1"/>
        <d v="2022-08-16T00:00:00" u="1"/>
        <d v="2021-09-12T00:00:00" u="1"/>
        <d v="2020-10-08T00:00:00" u="1"/>
        <d v="2022-09-12T00:00:00" u="1"/>
        <d v="2021-10-08T00:00:00" u="1"/>
        <d v="2020-11-04T00:00:00" u="1"/>
        <d v="2022-10-08T00:00:00" u="1"/>
        <d v="2021-11-04T00:00:00" u="1"/>
        <d v="2022-11-04T00:00:00" u="1"/>
        <d v="2020-05-30T00:00:00" u="1"/>
        <d v="2021-05-30T00:00:00" u="1"/>
        <d v="2020-06-26T00:00:00" u="1"/>
        <d v="2022-05-30T00:00:00" u="1"/>
        <d v="2021-06-26T00:00:00" u="1"/>
        <d v="2020-07-22T00:00:00" u="1"/>
        <d v="2022-06-26T00:00:00" u="1"/>
        <d v="2021-07-22T00:00:00" u="1"/>
        <d v="2020-08-18T00:00:00" u="1"/>
        <d v="2022-07-22T00:00:00" u="1"/>
        <d v="2021-08-18T00:00:00" u="1"/>
        <d v="2020-09-14T00:00:00" u="1"/>
        <d v="2022-08-18T00:00:00" u="1"/>
        <d v="2021-09-14T00:00:00" u="1"/>
        <d v="2020-10-10T00:00:00" u="1"/>
        <d v="2022-09-14T00:00:00" u="1"/>
        <d v="2021-10-10T00:00:00" u="1"/>
        <d v="2020-11-06T00:00:00" u="1"/>
        <d v="2022-10-10T00:00:00" u="1"/>
        <d v="2021-11-06T00:00:00" u="1"/>
        <d v="2020-12-02T00:00:00" u="1"/>
        <d v="2022-11-06T00:00:00" u="1"/>
        <d v="2021-12-02T00:00:00" u="1"/>
        <d v="2022-12-02T00:00:00" u="1"/>
        <d v="2020-06-28T00:00:00" u="1"/>
        <d v="2021-06-28T00:00:00" u="1"/>
        <d v="2020-07-24T00:00:00" u="1"/>
        <d v="2022-06-28T00:00:00" u="1"/>
        <d v="2021-07-24T00:00:00" u="1"/>
        <d v="2020-08-20T00:00:00" u="1"/>
        <d v="2022-07-24T00:00:00" u="1"/>
        <d v="2021-08-20T00:00:00" u="1"/>
        <d v="2020-09-16T00:00:00" u="1"/>
        <d v="2022-08-20T00:00:00" u="1"/>
        <d v="2021-09-16T00:00:00" u="1"/>
        <d v="2020-10-12T00:00:00" u="1"/>
        <d v="2022-09-16T00:00:00" u="1"/>
        <d v="2021-10-12T00:00:00" u="1"/>
        <d v="2020-11-08T00:00:00" u="1"/>
        <d v="2022-10-12T00:00:00" u="1"/>
        <d v="2021-11-08T00:00:00" u="1"/>
        <d v="2020-12-04T00:00:00" u="1"/>
        <d v="2022-11-08T00:00:00" u="1"/>
        <d v="2021-12-04T00:00:00" u="1"/>
        <d v="2022-12-04T00:00:00" u="1"/>
        <d v="2020-06-30T00:00:00" u="1"/>
        <d v="2021-06-30T00:00:00" u="1"/>
        <d v="2020-07-26T00:00:00" u="1"/>
        <d v="2022-06-30T00:00:00" u="1"/>
        <d v="2021-07-26T00:00:00" u="1"/>
        <d v="2020-08-22T00:00:00" u="1"/>
        <d v="2022-07-26T00:00:00" u="1"/>
        <d v="2021-08-22T00:00:00" u="1"/>
        <d v="2020-09-18T00:00:00" u="1"/>
        <d v="2022-08-22T00:00:00" u="1"/>
        <d v="2021-09-18T00:00:00" u="1"/>
        <d v="2020-10-14T00:00:00" u="1"/>
        <d v="2022-09-18T00:00:00" u="1"/>
        <d v="2021-10-14T00:00:00" u="1"/>
        <d v="2020-11-10T00:00:00" u="1"/>
        <d v="2022-10-14T00:00:00" u="1"/>
        <d v="2021-11-10T00:00:00" u="1"/>
        <d v="2020-12-06T00:00:00" u="1"/>
        <d v="2022-11-10T00:00:00" u="1"/>
        <d v="2021-12-06T00:00:00" u="1"/>
        <d v="2022-12-06T00:00:00" u="1"/>
        <d v="2020-07-28T00:00:00" u="1"/>
        <d v="2021-07-28T00:00:00" u="1"/>
        <d v="2020-08-24T00:00:00" u="1"/>
        <d v="2022-07-28T00:00:00" u="1"/>
        <d v="2021-08-24T00:00:00" u="1"/>
        <d v="2020-09-20T00:00:00" u="1"/>
        <d v="2022-08-24T00:00:00" u="1"/>
        <d v="2021-09-20T00:00:00" u="1"/>
        <d v="2020-10-16T00:00:00" u="1"/>
        <d v="2022-09-20T00:00:00" u="1"/>
        <d v="2021-10-16T00:00:00" u="1"/>
        <d v="2020-11-12T00:00:00" u="1"/>
        <d v="2022-10-16T00:00:00" u="1"/>
        <d v="2021-11-12T00:00:00" u="1"/>
        <d v="2020-12-08T00:00:00" u="1"/>
        <d v="2022-11-12T00:00:00" u="1"/>
        <d v="2021-12-08T00:00:00" u="1"/>
        <d v="2022-12-08T00:00:00" u="1"/>
        <d v="2020-07-30T00:00:00" u="1"/>
        <d v="2021-07-30T00:00:00" u="1"/>
        <d v="2020-08-26T00:00:00" u="1"/>
        <d v="2022-07-30T00:00:00" u="1"/>
        <d v="2021-08-26T00:00:00" u="1"/>
        <d v="2020-09-22T00:00:00" u="1"/>
        <d v="2022-08-26T00:00:00" u="1"/>
        <d v="2021-09-22T00:00:00" u="1"/>
        <d v="2020-10-18T00:00:00" u="1"/>
        <d v="2022-09-22T00:00:00" u="1"/>
        <d v="2021-10-18T00:00:00" u="1"/>
        <d v="2020-11-14T00:00:00" u="1"/>
        <d v="2022-10-18T00:00:00" u="1"/>
        <d v="2021-11-14T00:00:00" u="1"/>
        <d v="2020-12-10T00:00:00" u="1"/>
        <d v="2022-11-14T00:00:00" u="1"/>
        <d v="2021-12-10T00:00:00" u="1"/>
        <d v="2022-12-10T00:00:00" u="1"/>
        <d v="2020-08-28T00:00:00" u="1"/>
        <d v="2021-08-28T00:00:00" u="1"/>
        <d v="2020-09-24T00:00:00" u="1"/>
        <d v="2022-08-28T00:00:00" u="1"/>
        <d v="2021-09-24T00:00:00" u="1"/>
        <d v="2020-10-20T00:00:00" u="1"/>
        <d v="2022-09-24T00:00:00" u="1"/>
        <d v="2021-10-20T00:00:00" u="1"/>
        <d v="2020-11-16T00:00:00" u="1"/>
        <d v="2022-10-20T00:00:00" u="1"/>
        <d v="2021-11-16T00:00:00" u="1"/>
        <d v="2020-12-12T00:00:00" u="1"/>
        <d v="2022-11-16T00:00:00" u="1"/>
        <d v="2021-12-12T00:00:00" u="1"/>
        <d v="2022-12-12T00:00:00" u="1"/>
        <d v="2020-08-30T00:00:00" u="1"/>
        <d v="2021-08-30T00:00:00" u="1"/>
        <d v="2020-09-26T00:00:00" u="1"/>
        <d v="2022-08-30T00:00:00" u="1"/>
        <d v="2021-09-26T00:00:00" u="1"/>
        <d v="2020-10-22T00:00:00" u="1"/>
        <d v="2022-09-26T00:00:00" u="1"/>
        <d v="2021-10-22T00:00:00" u="1"/>
        <d v="2020-11-18T00:00:00" u="1"/>
        <d v="2022-10-22T00:00:00" u="1"/>
        <d v="2021-11-18T00:00:00" u="1"/>
        <d v="2020-12-14T00:00:00" u="1"/>
        <d v="2022-11-18T00:00:00" u="1"/>
        <d v="2021-12-14T00:00:00" u="1"/>
        <d v="2022-12-14T00:00:00" u="1"/>
        <d v="2020-09-28T00:00:00" u="1"/>
        <d v="2021-09-28T00:00:00" u="1"/>
        <d v="2020-10-24T00:00:00" u="1"/>
        <d v="2022-09-28T00:00:00" u="1"/>
        <d v="2021-10-24T00:00:00" u="1"/>
        <d v="2020-11-20T00:00:00" u="1"/>
        <d v="2022-10-24T00:00:00" u="1"/>
        <d v="2021-11-20T00:00:00" u="1"/>
        <d v="2020-12-16T00:00:00" u="1"/>
        <d v="2022-11-20T00:00:00" u="1"/>
        <d v="2021-12-16T00:00:00" u="1"/>
        <d v="2022-12-16T00:00:00" u="1"/>
        <d v="2020-09-30T00:00:00" u="1"/>
        <d v="2021-09-30T00:00:00" u="1"/>
        <d v="2020-10-26T00:00:00" u="1"/>
        <d v="2022-09-30T00:00:00" u="1"/>
        <d v="2021-10-26T00:00:00" u="1"/>
        <d v="2020-11-22T00:00:00" u="1"/>
        <d v="2022-10-26T00:00:00" u="1"/>
        <d v="2021-11-22T00:00:00" u="1"/>
        <d v="2020-12-18T00:00:00" u="1"/>
        <d v="2022-11-22T00:00:00" u="1"/>
        <d v="2021-12-18T00:00:00" u="1"/>
        <d v="2022-12-18T00:00:00" u="1"/>
        <d v="2020-10-28T00:00:00" u="1"/>
        <d v="2021-10-28T00:00:00" u="1"/>
        <d v="2020-11-24T00:00:00" u="1"/>
        <d v="2022-10-28T00:00:00" u="1"/>
        <d v="2021-11-24T00:00:00" u="1"/>
        <d v="2020-12-20T00:00:00" u="1"/>
        <d v="2022-11-24T00:00:00" u="1"/>
        <d v="2021-12-20T00:00:00" u="1"/>
        <d v="2022-12-20T00:00:00" u="1"/>
        <d v="2020-01-01T00:00:00" u="1"/>
        <d v="2021-01-01T00:00:00" u="1"/>
        <d v="2022-01-01T00:00:00" u="1"/>
        <d v="2020-10-30T00:00:00" u="1"/>
        <d v="2021-10-30T00:00:00" u="1"/>
        <d v="2020-11-26T00:00:00" u="1"/>
        <d v="2022-10-30T00:00:00" u="1"/>
        <d v="2021-11-26T00:00:00" u="1"/>
        <d v="2020-12-22T00:00:00" u="1"/>
        <d v="2022-11-26T00:00:00" u="1"/>
        <d v="2021-12-22T00:00:00" u="1"/>
        <d v="2022-12-22T00:00:00" u="1"/>
        <d v="2020-01-03T00:00:00" u="1"/>
        <d v="2021-01-03T00:00:00" u="1"/>
        <d v="2022-01-03T00:00:00" u="1"/>
        <d v="2020-11-28T00:00:00" u="1"/>
        <d v="2021-11-28T00:00:00" u="1"/>
        <d v="2020-12-24T00:00:00" u="1"/>
        <d v="2022-11-28T00:00:00" u="1"/>
        <d v="2021-12-24T00:00:00" u="1"/>
        <d v="2022-12-24T00:00:00" u="1"/>
        <d v="2020-01-05T00:00:00" u="1"/>
        <d v="2021-01-05T00:00:00" u="1"/>
        <d v="2020-02-01T00:00:00" u="1"/>
        <d v="2022-01-05T00:00:00" u="1"/>
        <d v="2021-02-01T00:00:00" u="1"/>
        <d v="2022-02-01T00:00:00" u="1"/>
        <d v="2020-11-30T00:00:00" u="1"/>
        <d v="2021-11-30T00:00:00" u="1"/>
        <d v="2020-12-26T00:00:00" u="1"/>
        <d v="2022-11-30T00:00:00" u="1"/>
        <d v="2021-12-26T00:00:00" u="1"/>
        <d v="2022-12-26T00:00:00" u="1"/>
        <d v="2020-01-07T00:00:00" u="1"/>
        <d v="2021-01-07T00:00:00" u="1"/>
        <d v="2020-02-03T00:00:00" u="1"/>
        <d v="2022-01-07T00:00:00" u="1"/>
        <d v="2021-02-03T00:00:00" u="1"/>
        <d v="2022-02-03T00:00:00" u="1"/>
        <d v="2020-12-28T00:00:00" u="1"/>
        <d v="2021-12-28T00:00:00" u="1"/>
        <d v="2022-12-28T00:00:00" u="1"/>
        <d v="2020-01-09T00:00:00" u="1"/>
        <d v="2021-01-09T00:00:00" u="1"/>
        <d v="2020-02-05T00:00:00" u="1"/>
        <d v="2022-01-09T00:00:00" u="1"/>
        <d v="2021-02-05T00:00:00" u="1"/>
        <d v="2020-03-01T00:00:00" u="1"/>
        <d v="2022-02-05T00:00:00" u="1"/>
        <d v="2021-03-01T00:00:00" u="1"/>
        <d v="2022-03-01T00:00:00" u="1"/>
        <d v="2020-12-30T00:00:00" u="1"/>
        <d v="2021-12-30T00:00:00" u="1"/>
        <d v="2022-12-30T00:00:00" u="1"/>
        <d v="2020-01-11T00:00:00" u="1"/>
        <d v="2021-01-11T00:00:00" u="1"/>
        <d v="2020-02-07T00:00:00" u="1"/>
        <d v="2022-01-11T00:00:00" u="1"/>
        <d v="2021-02-07T00:00:00" u="1"/>
        <d v="2020-03-03T00:00:00" u="1"/>
        <d v="2022-02-07T00:00:00" u="1"/>
        <d v="2021-03-03T00:00:00" u="1"/>
        <d v="2022-03-03T00:00:00" u="1"/>
        <d v="2020-01-13T00:00:00" u="1"/>
        <d v="2021-01-13T00:00:00" u="1"/>
        <d v="2020-02-09T00:00:00" u="1"/>
        <d v="2022-01-13T00:00:00" u="1"/>
        <d v="2021-02-09T00:00:00" u="1"/>
        <d v="2020-03-05T00:00:00" u="1"/>
        <d v="2022-02-09T00:00:00" u="1"/>
        <d v="2021-03-05T00:00:00" u="1"/>
        <d v="2020-04-01T00:00:00" u="1"/>
        <d v="2022-03-05T00:00:00" u="1"/>
        <d v="2021-04-01T00:00:00" u="1"/>
        <d v="2022-04-01T00:00:00" u="1"/>
        <d v="2020-01-15T00:00:00" u="1"/>
        <d v="2021-01-15T00:00:00" u="1"/>
        <d v="2020-02-11T00:00:00" u="1"/>
        <d v="2022-01-15T00:00:00" u="1"/>
        <d v="2021-02-11T00:00:00" u="1"/>
        <d v="2020-03-07T00:00:00" u="1"/>
        <d v="2022-02-11T00:00:00" u="1"/>
        <d v="2021-03-07T00:00:00" u="1"/>
        <d v="2020-04-03T00:00:00" u="1"/>
        <d v="2022-03-07T00:00:00" u="1"/>
        <d v="2021-04-03T00:00:00" u="1"/>
        <d v="2022-04-03T00:00:00" u="1"/>
        <d v="2020-01-17T00:00:00" u="1"/>
        <d v="2021-01-17T00:00:00" u="1"/>
        <d v="2020-02-13T00:00:00" u="1"/>
        <d v="2022-01-17T00:00:00" u="1"/>
        <d v="2021-02-13T00:00:00" u="1"/>
        <d v="2020-03-09T00:00:00" u="1"/>
        <d v="2022-02-13T00:00:00" u="1"/>
        <d v="2021-03-09T00:00:00" u="1"/>
        <d v="2020-04-05T00:00:00" u="1"/>
        <d v="2022-03-09T00:00:00" u="1"/>
        <d v="2021-04-05T00:00:00" u="1"/>
        <d v="2020-05-01T00:00:00" u="1"/>
        <d v="2022-04-05T00:00:00" u="1"/>
        <d v="2021-05-01T00:00:00" u="1"/>
        <d v="2022-05-01T00:00:00" u="1"/>
        <d v="2020-01-19T00:00:00" u="1"/>
        <d v="2021-01-19T00:00:00" u="1"/>
        <d v="2020-02-15T00:00:00" u="1"/>
        <d v="2022-01-19T00:00:00" u="1"/>
        <d v="2021-02-15T00:00:00" u="1"/>
        <d v="2020-03-11T00:00:00" u="1"/>
        <d v="2022-02-15T00:00:00" u="1"/>
        <d v="2021-03-11T00:00:00" u="1"/>
        <d v="2020-04-07T00:00:00" u="1"/>
        <d v="2022-03-11T00:00:00" u="1"/>
        <d v="2021-04-07T00:00:00" u="1"/>
        <d v="2020-05-03T00:00:00" u="1"/>
        <d v="2022-04-07T00:00:00" u="1"/>
        <d v="2021-05-03T00:00:00" u="1"/>
        <d v="2022-05-03T00:00:00" u="1"/>
        <d v="2020-01-21T00:00:00" u="1"/>
        <d v="2021-01-21T00:00:00" u="1"/>
        <d v="2020-02-17T00:00:00" u="1"/>
        <d v="2022-01-21T00:00:00" u="1"/>
        <d v="2021-02-17T00:00:00" u="1"/>
        <d v="2020-03-13T00:00:00" u="1"/>
        <d v="2022-02-17T00:00:00" u="1"/>
        <d v="2021-03-13T00:00:00" u="1"/>
        <d v="2020-04-09T00:00:00" u="1"/>
        <d v="2022-03-13T00:00:00" u="1"/>
        <d v="2021-04-09T00:00:00" u="1"/>
        <d v="2020-05-05T00:00:00" u="1"/>
        <d v="2022-04-09T00:00:00" u="1"/>
        <d v="2021-05-05T00:00:00" u="1"/>
        <d v="2020-06-01T00:00:00" u="1"/>
        <d v="2022-05-05T00:00:00" u="1"/>
        <d v="2021-06-01T00:00:00" u="1"/>
        <d v="2022-06-01T00:00:00" u="1"/>
        <d v="2020-01-23T00:00:00" u="1"/>
        <d v="2021-01-23T00:00:00" u="1"/>
        <d v="2020-02-19T00:00:00" u="1"/>
        <d v="2022-01-23T00:00:00" u="1"/>
        <d v="2021-02-19T00:00:00" u="1"/>
        <d v="2020-03-15T00:00:00" u="1"/>
        <d v="2022-02-19T00:00:00" u="1"/>
        <d v="2021-03-15T00:00:00" u="1"/>
        <d v="2020-04-11T00:00:00" u="1"/>
        <d v="2022-03-15T00:00:00" u="1"/>
        <d v="2021-04-11T00:00:00" u="1"/>
        <d v="2020-05-07T00:00:00" u="1"/>
        <d v="2022-04-11T00:00:00" u="1"/>
        <d v="2021-05-07T00:00:00" u="1"/>
        <d v="2020-06-03T00:00:00" u="1"/>
        <d v="2022-05-07T00:00:00" u="1"/>
        <d v="2021-06-03T00:00:00" u="1"/>
        <d v="2022-06-03T00:00:00" u="1"/>
        <d v="2020-01-25T00:00:00" u="1"/>
        <d v="2021-01-25T00:00:00" u="1"/>
        <d v="2020-02-21T00:00:00" u="1"/>
        <d v="2022-01-25T00:00:00" u="1"/>
        <d v="2021-02-21T00:00:00" u="1"/>
        <d v="2020-03-17T00:00:00" u="1"/>
        <d v="2022-02-21T00:00:00" u="1"/>
        <d v="2021-03-17T00:00:00" u="1"/>
        <d v="2020-04-13T00:00:00" u="1"/>
        <d v="2022-03-17T00:00:00" u="1"/>
        <d v="2021-04-13T00:00:00" u="1"/>
        <d v="2020-05-09T00:00:00" u="1"/>
        <d v="2022-04-13T00:00:00" u="1"/>
        <d v="2021-05-09T00:00:00" u="1"/>
        <d v="2020-06-05T00:00:00" u="1"/>
        <d v="2022-05-09T00:00:00" u="1"/>
        <d v="2021-06-05T00:00:00" u="1"/>
        <d v="2020-07-01T00:00:00" u="1"/>
        <d v="2022-06-05T00:00:00" u="1"/>
        <d v="2021-07-01T00:00:00" u="1"/>
        <d v="2022-07-01T00:00:00" u="1"/>
        <d v="2020-01-27T00:00:00" u="1"/>
        <d v="2021-01-27T00:00:00" u="1"/>
        <d v="2020-02-23T00:00:00" u="1"/>
        <d v="2022-01-27T00:00:00" u="1"/>
        <d v="2021-02-23T00:00:00" u="1"/>
        <d v="2020-03-19T00:00:00" u="1"/>
        <d v="2022-02-23T00:00:00" u="1"/>
        <d v="2021-03-19T00:00:00" u="1"/>
        <d v="2020-04-15T00:00:00" u="1"/>
        <d v="2022-03-19T00:00:00" u="1"/>
        <d v="2021-04-15T00:00:00" u="1"/>
        <d v="2020-05-11T00:00:00" u="1"/>
        <d v="2022-04-15T00:00:00" u="1"/>
        <d v="2021-05-11T00:00:00" u="1"/>
        <d v="2020-06-07T00:00:00" u="1"/>
        <d v="2022-05-11T00:00:00" u="1"/>
        <d v="2021-06-07T00:00:00" u="1"/>
        <d v="2020-07-03T00:00:00" u="1"/>
        <d v="2022-06-07T00:00:00" u="1"/>
        <d v="2021-07-03T00:00:00" u="1"/>
        <d v="2022-07-03T00:00:00" u="1"/>
        <d v="2020-01-29T00:00:00" u="1"/>
        <d v="2021-01-29T00:00:00" u="1"/>
        <d v="2020-02-25T00:00:00" u="1"/>
        <d v="2022-01-29T00:00:00" u="1"/>
        <d v="2021-02-25T00:00:00" u="1"/>
        <d v="2020-03-21T00:00:00" u="1"/>
        <d v="2022-02-25T00:00:00" u="1"/>
        <d v="2021-03-21T00:00:00" u="1"/>
        <d v="2020-04-17T00:00:00" u="1"/>
        <d v="2022-03-21T00:00:00" u="1"/>
        <d v="2021-04-17T00:00:00" u="1"/>
        <d v="2020-05-13T00:00:00" u="1"/>
        <d v="2022-04-17T00:00:00" u="1"/>
        <d v="2021-05-13T00:00:00" u="1"/>
        <d v="2020-06-09T00:00:00" u="1"/>
        <d v="2022-05-13T00:00:00" u="1"/>
        <d v="2021-06-09T00:00:00" u="1"/>
        <d v="2020-07-05T00:00:00" u="1"/>
        <d v="2022-06-09T00:00:00" u="1"/>
        <d v="2021-07-05T00:00:00" u="1"/>
        <d v="2020-08-01T00:00:00" u="1"/>
        <d v="2022-07-05T00:00:00" u="1"/>
        <d v="2021-08-01T00:00:00" u="1"/>
        <d v="2022-08-01T00:00:00" u="1"/>
        <d v="2020-01-31T00:00:00" u="1"/>
        <d v="2021-01-31T00:00:00" u="1"/>
        <d v="2020-02-27T00:00:00" u="1"/>
        <d v="2022-01-31T00:00:00" u="1"/>
        <d v="2021-02-27T00:00:00" u="1"/>
        <d v="2020-03-23T00:00:00" u="1"/>
        <d v="2022-02-27T00:00:00" u="1"/>
        <d v="2021-03-23T00:00:00" u="1"/>
        <d v="2020-04-19T00:00:00" u="1"/>
        <d v="2022-03-23T00:00:00" u="1"/>
        <d v="2021-04-19T00:00:00" u="1"/>
        <d v="2020-05-15T00:00:00" u="1"/>
        <d v="2022-04-19T00:00:00" u="1"/>
        <d v="2021-05-15T00:00:00" u="1"/>
        <d v="2020-06-11T00:00:00" u="1"/>
        <d v="2022-05-15T00:00:00" u="1"/>
        <d v="2021-06-11T00:00:00" u="1"/>
        <d v="2020-07-07T00:00:00" u="1"/>
        <d v="2022-06-11T00:00:00" u="1"/>
        <d v="2021-07-07T00:00:00" u="1"/>
        <d v="2020-08-03T00:00:00" u="1"/>
        <d v="2022-07-07T00:00:00" u="1"/>
        <d v="2021-08-03T00:00:00" u="1"/>
        <d v="2022-08-03T00:00:00" u="1"/>
        <d v="2020-02-29T00:00:00" u="1"/>
        <d v="2020-03-25T00:00:00" u="1"/>
        <d v="2021-03-25T00:00:00" u="1"/>
        <d v="2020-04-21T00:00:00" u="1"/>
        <d v="2022-03-25T00:00:00" u="1"/>
        <d v="2021-04-21T00:00:00" u="1"/>
        <d v="2020-05-17T00:00:00" u="1"/>
        <d v="2022-04-21T00:00:00" u="1"/>
        <d v="2021-05-17T00:00:00" u="1"/>
        <d v="2020-06-13T00:00:00" u="1"/>
        <d v="2022-05-17T00:00:00" u="1"/>
        <d v="2021-06-13T00:00:00" u="1"/>
        <d v="2020-07-09T00:00:00" u="1"/>
        <d v="2022-06-13T00:00:00" u="1"/>
        <d v="2021-07-09T00:00:00" u="1"/>
        <d v="2020-08-05T00:00:00" u="1"/>
        <d v="2022-07-09T00:00:00" u="1"/>
        <d v="2021-08-05T00:00:00" u="1"/>
        <d v="2020-09-01T00:00:00" u="1"/>
        <d v="2022-08-05T00:00:00" u="1"/>
        <d v="2021-09-01T00:00:00" u="1"/>
        <d v="2022-09-01T00:00:00" u="1"/>
        <d v="2020-03-27T00:00:00" u="1"/>
        <d v="2021-03-27T00:00:00" u="1"/>
        <d v="2020-04-23T00:00:00" u="1"/>
        <d v="2022-03-27T00:00:00" u="1"/>
        <d v="2021-04-23T00:00:00" u="1"/>
        <d v="2020-05-19T00:00:00" u="1"/>
        <d v="2022-04-23T00:00:00" u="1"/>
        <d v="2021-05-19T00:00:00" u="1"/>
        <d v="2020-06-15T00:00:00" u="1"/>
        <d v="2022-05-19T00:00:00" u="1"/>
        <d v="2021-06-15T00:00:00" u="1"/>
        <d v="2020-07-11T00:00:00" u="1"/>
        <d v="2022-06-15T00:00:00" u="1"/>
        <d v="2021-07-11T00:00:00" u="1"/>
        <d v="2020-08-07T00:00:00" u="1"/>
        <d v="2022-07-11T00:00:00" u="1"/>
        <d v="2021-08-07T00:00:00" u="1"/>
        <d v="2020-09-03T00:00:00" u="1"/>
        <d v="2022-08-07T00:00:00" u="1"/>
        <d v="2021-09-03T00:00:00" u="1"/>
        <d v="2022-09-03T00:00:00" u="1"/>
        <d v="2020-03-29T00:00:00" u="1"/>
        <d v="2021-03-29T00:00:00" u="1"/>
        <d v="2020-04-25T00:00:00" u="1"/>
        <d v="2022-03-29T00:00:00" u="1"/>
        <d v="2021-04-25T00:00:00" u="1"/>
        <d v="2020-05-21T00:00:00" u="1"/>
        <d v="2022-04-25T00:00:00" u="1"/>
        <d v="2021-05-21T00:00:00" u="1"/>
        <d v="2020-06-17T00:00:00" u="1"/>
        <d v="2022-05-21T00:00:00" u="1"/>
        <d v="2021-06-17T00:00:00" u="1"/>
        <d v="2020-07-13T00:00:00" u="1"/>
        <d v="2022-06-17T00:00:00" u="1"/>
        <d v="2021-07-13T00:00:00" u="1"/>
        <d v="2020-08-09T00:00:00" u="1"/>
        <d v="2022-07-13T00:00:00" u="1"/>
        <d v="2021-08-09T00:00:00" u="1"/>
        <d v="2020-09-05T00:00:00" u="1"/>
        <d v="2022-08-09T00:00:00" u="1"/>
        <d v="2021-09-05T00:00:00" u="1"/>
        <d v="2020-10-01T00:00:00" u="1"/>
        <d v="2022-09-05T00:00:00" u="1"/>
        <d v="2021-10-01T00:00:00" u="1"/>
        <d v="2022-10-01T00:00:00" u="1"/>
        <d v="2020-03-31T00:00:00" u="1"/>
        <d v="2021-03-31T00:00:00" u="1"/>
        <d v="2020-04-27T00:00:00" u="1"/>
        <d v="2022-03-31T00:00:00" u="1"/>
        <d v="2021-04-27T00:00:00" u="1"/>
        <d v="2020-05-23T00:00:00" u="1"/>
        <d v="2022-04-27T00:00:00" u="1"/>
        <d v="2021-05-23T00:00:00" u="1"/>
        <d v="2020-06-19T00:00:00" u="1"/>
        <d v="2022-05-23T00:00:00" u="1"/>
        <d v="2021-06-19T00:00:00" u="1"/>
        <d v="2020-07-15T00:00:00" u="1"/>
        <d v="2022-06-19T00:00:00" u="1"/>
        <d v="2021-07-15T00:00:00" u="1"/>
        <d v="2020-08-11T00:00:00" u="1"/>
        <d v="2022-07-15T00:00:00" u="1"/>
        <d v="2021-08-11T00:00:00" u="1"/>
        <d v="2020-09-07T00:00:00" u="1"/>
        <d v="2022-08-11T00:00:00" u="1"/>
        <d v="2021-09-07T00:00:00" u="1"/>
        <d v="2020-10-03T00:00:00" u="1"/>
        <d v="2022-09-07T00:00:00" u="1"/>
        <d v="2021-10-03T00:00:00" u="1"/>
        <d v="2022-10-03T00:00:00" u="1"/>
        <d v="2020-04-29T00:00:00" u="1"/>
        <d v="2021-04-29T00:00:00" u="1"/>
        <d v="2020-05-25T00:00:00" u="1"/>
        <d v="2022-04-29T00:00:00" u="1"/>
        <d v="2021-05-25T00:00:00" u="1"/>
        <d v="2020-06-21T00:00:00" u="1"/>
        <d v="2022-05-25T00:00:00" u="1"/>
        <d v="2021-06-21T00:00:00" u="1"/>
        <d v="2020-07-17T00:00:00" u="1"/>
        <d v="2022-06-21T00:00:00" u="1"/>
        <d v="2021-07-17T00:00:00" u="1"/>
        <d v="2020-08-13T00:00:00" u="1"/>
        <d v="2022-07-17T00:00:00" u="1"/>
        <d v="2021-08-13T00:00:00" u="1"/>
        <d v="2020-09-09T00:00:00" u="1"/>
        <d v="2022-08-13T00:00:00" u="1"/>
        <d v="2021-09-09T00:00:00" u="1"/>
        <d v="2020-10-05T00:00:00" u="1"/>
        <d v="2022-09-09T00:00:00" u="1"/>
        <d v="2021-10-05T00:00:00" u="1"/>
        <d v="2020-11-01T00:00:00" u="1"/>
        <d v="2022-10-05T00:00:00" u="1"/>
        <d v="2021-11-01T00:00:00" u="1"/>
        <d v="2022-11-01T00:00:00" u="1"/>
        <d v="2020-05-27T00:00:00" u="1"/>
        <d v="2021-05-27T00:00:00" u="1"/>
        <d v="2020-06-23T00:00:00" u="1"/>
        <d v="2022-05-27T00:00:00" u="1"/>
        <d v="2021-06-23T00:00:00" u="1"/>
        <d v="2020-07-19T00:00:00" u="1"/>
        <d v="2022-06-23T00:00:00" u="1"/>
        <d v="2021-07-19T00:00:00" u="1"/>
        <d v="2020-08-15T00:00:00" u="1"/>
        <d v="2022-07-19T00:00:00" u="1"/>
        <d v="2021-08-15T00:00:00" u="1"/>
        <d v="2020-09-11T00:00:00" u="1"/>
        <d v="2022-08-15T00:00:00" u="1"/>
        <d v="2021-09-11T00:00:00" u="1"/>
        <d v="2020-10-07T00:00:00" u="1"/>
        <d v="2022-09-11T00:00:00" u="1"/>
        <d v="2021-10-07T00:00:00" u="1"/>
        <d v="2020-11-03T00:00:00" u="1"/>
        <d v="2022-10-07T00:00:00" u="1"/>
        <d v="2021-11-03T00:00:00" u="1"/>
        <d v="2022-11-03T00:00:00" u="1"/>
        <d v="2020-05-29T00:00:00" u="1"/>
        <d v="2021-05-29T00:00:00" u="1"/>
        <d v="2020-06-25T00:00:00" u="1"/>
        <d v="2022-05-29T00:00:00" u="1"/>
        <d v="2021-06-25T00:00:00" u="1"/>
        <d v="2020-07-21T00:00:00" u="1"/>
        <d v="2022-06-25T00:00:00" u="1"/>
        <d v="2021-07-21T00:00:00" u="1"/>
        <d v="2020-08-17T00:00:00" u="1"/>
        <d v="2022-07-21T00:00:00" u="1"/>
        <d v="2021-08-17T00:00:00" u="1"/>
        <d v="2020-09-13T00:00:00" u="1"/>
        <d v="2022-08-17T00:00:00" u="1"/>
        <d v="2021-09-13T00:00:00" u="1"/>
        <d v="2020-10-09T00:00:00" u="1"/>
        <d v="2022-09-13T00:00:00" u="1"/>
        <d v="2021-10-09T00:00:00" u="1"/>
        <d v="2020-11-05T00:00:00" u="1"/>
        <d v="2022-10-09T00:00:00" u="1"/>
        <d v="2021-11-05T00:00:00" u="1"/>
        <d v="2020-12-01T00:00:00" u="1"/>
        <d v="2022-11-05T00:00:00" u="1"/>
        <d v="2021-12-01T00:00:00" u="1"/>
        <d v="2022-12-01T00:00:00" u="1"/>
        <d v="2020-05-31T00:00:00" u="1"/>
        <d v="2021-05-31T00:00:00" u="1"/>
        <d v="2020-06-27T00:00:00" u="1"/>
        <d v="2022-05-31T00:00:00" u="1"/>
        <d v="2021-06-27T00:00:00" u="1"/>
        <d v="2020-07-23T00:00:00" u="1"/>
        <d v="2022-06-27T00:00:00" u="1"/>
        <d v="2021-07-23T00:00:00" u="1"/>
        <d v="2020-08-19T00:00:00" u="1"/>
        <d v="2022-07-23T00:00:00" u="1"/>
        <d v="2021-08-19T00:00:00" u="1"/>
        <d v="2020-09-15T00:00:00" u="1"/>
        <d v="2022-08-19T00:00:00" u="1"/>
        <d v="2021-09-15T00:00:00" u="1"/>
        <d v="2020-10-11T00:00:00" u="1"/>
        <d v="2022-09-15T00:00:00" u="1"/>
        <d v="2021-10-11T00:00:00" u="1"/>
        <d v="2020-11-07T00:00:00" u="1"/>
        <d v="2022-10-11T00:00:00" u="1"/>
        <d v="2021-11-07T00:00:00" u="1"/>
        <d v="2020-12-03T00:00:00" u="1"/>
        <d v="2022-11-07T00:00:00" u="1"/>
        <d v="2021-12-03T00:00:00" u="1"/>
        <d v="2022-12-03T00:00:00" u="1"/>
        <d v="2020-06-29T00:00:00" u="1"/>
        <d v="2021-06-29T00:00:00" u="1"/>
        <d v="2020-07-25T00:00:00" u="1"/>
        <d v="2022-06-29T00:00:00" u="1"/>
        <d v="2021-07-25T00:00:00" u="1"/>
        <d v="2020-08-21T00:00:00" u="1"/>
        <d v="2022-07-25T00:00:00" u="1"/>
        <d v="2021-08-21T00:00:00" u="1"/>
        <d v="2020-09-17T00:00:00" u="1"/>
        <d v="2022-08-21T00:00:00" u="1"/>
        <d v="2021-09-17T00:00:00" u="1"/>
        <d v="2020-10-13T00:00:00" u="1"/>
        <d v="2022-09-17T00:00:00" u="1"/>
        <d v="2021-10-13T00:00:00" u="1"/>
        <d v="2020-11-09T00:00:00" u="1"/>
        <d v="2022-10-13T00:00:00" u="1"/>
        <d v="2021-11-09T00:00:00" u="1"/>
        <d v="2020-12-05T00:00:00" u="1"/>
        <d v="2022-11-09T00:00:00" u="1"/>
        <d v="2021-12-05T00:00:00" u="1"/>
        <d v="2022-12-05T00:00:00" u="1"/>
        <d v="2020-07-27T00:00:00" u="1"/>
        <d v="2021-07-27T00:00:00" u="1"/>
        <d v="2020-08-23T00:00:00" u="1"/>
        <d v="2022-07-27T00:00:00" u="1"/>
        <d v="2021-08-23T00:00:00" u="1"/>
        <d v="2020-09-19T00:00:00" u="1"/>
        <d v="2022-08-23T00:00:00" u="1"/>
        <d v="2021-09-19T00:00:00" u="1"/>
        <d v="2020-10-15T00:00:00" u="1"/>
        <d v="2022-09-19T00:00:00" u="1"/>
        <d v="2021-10-15T00:00:00" u="1"/>
        <d v="2020-11-11T00:00:00" u="1"/>
        <d v="2022-10-15T00:00:00" u="1"/>
        <d v="2021-11-11T00:00:00" u="1"/>
        <d v="2020-12-07T00:00:00" u="1"/>
        <d v="2022-11-11T00:00:00" u="1"/>
        <d v="2021-12-07T00:00:00" u="1"/>
        <d v="2022-12-07T00:00:00" u="1"/>
        <d v="2020-07-29T00:00:00" u="1"/>
        <d v="2021-07-29T00:00:00" u="1"/>
        <d v="2020-08-25T00:00:00" u="1"/>
        <d v="2022-07-29T00:00:00" u="1"/>
        <d v="2021-08-25T00:00:00" u="1"/>
        <d v="2020-09-21T00:00:00" u="1"/>
        <d v="2022-08-25T00:00:00" u="1"/>
        <d v="2021-09-21T00:00:00" u="1"/>
        <d v="2020-10-17T00:00:00" u="1"/>
        <d v="2022-09-21T00:00:00" u="1"/>
        <d v="2021-10-17T00:00:00" u="1"/>
        <d v="2020-11-13T00:00:00" u="1"/>
        <d v="2022-10-17T00:00:00" u="1"/>
        <d v="2021-11-13T00:00:00" u="1"/>
        <d v="2020-12-09T00:00:00" u="1"/>
        <d v="2022-11-13T00:00:00" u="1"/>
        <d v="2021-12-09T00:00:00" u="1"/>
        <d v="2022-12-09T00:00:00" u="1"/>
        <d v="2020-07-31T00:00:00" u="1"/>
        <d v="2021-07-31T00:00:00" u="1"/>
        <d v="2020-08-27T00:00:00" u="1"/>
        <d v="2022-07-31T00:00:00" u="1"/>
        <d v="2021-08-27T00:00:00" u="1"/>
        <d v="2020-09-23T00:00:00" u="1"/>
        <d v="2022-08-27T00:00:00" u="1"/>
        <d v="2021-09-23T00:00:00" u="1"/>
        <d v="2020-10-19T00:00:00" u="1"/>
        <d v="2022-09-23T00:00:00" u="1"/>
        <d v="2021-10-19T00:00:00" u="1"/>
        <d v="2020-11-15T00:00:00" u="1"/>
        <d v="2022-10-19T00:00:00" u="1"/>
        <d v="2021-11-15T00:00:00" u="1"/>
        <d v="2020-12-11T00:00:00" u="1"/>
        <d v="2022-11-15T00:00:00" u="1"/>
        <d v="2021-12-11T00:00:00" u="1"/>
        <d v="2022-12-11T00:00:00" u="1"/>
        <d v="2020-08-29T00:00:00" u="1"/>
        <d v="2021-08-29T00:00:00" u="1"/>
        <d v="2020-09-25T00:00:00" u="1"/>
        <d v="2022-08-29T00:00:00" u="1"/>
        <d v="2021-09-25T00:00:00" u="1"/>
        <d v="2020-10-21T00:00:00" u="1"/>
        <d v="2022-09-25T00:00:00" u="1"/>
        <d v="2021-10-21T00:00:00" u="1"/>
        <d v="2020-11-17T00:00:00" u="1"/>
        <d v="2022-10-21T00:00:00" u="1"/>
        <d v="2021-11-17T00:00:00" u="1"/>
        <d v="2020-12-13T00:00:00" u="1"/>
        <d v="2022-11-17T00:00:00" u="1"/>
        <d v="2021-12-13T00:00:00" u="1"/>
        <d v="2022-12-13T00:00:00" u="1"/>
        <d v="2020-08-31T00:00:00" u="1"/>
        <d v="2021-08-31T00:00:00" u="1"/>
        <d v="2020-09-27T00:00:00" u="1"/>
        <d v="2022-08-31T00:00:00" u="1"/>
        <d v="2021-09-27T00:00:00" u="1"/>
        <d v="2020-10-23T00:00:00" u="1"/>
        <d v="2022-09-27T00:00:00" u="1"/>
        <d v="2021-10-23T00:00:00" u="1"/>
        <d v="2020-11-19T00:00:00" u="1"/>
        <d v="2022-10-23T00:00:00" u="1"/>
        <d v="2021-11-19T00:00:00" u="1"/>
        <d v="2020-12-15T00:00:00" u="1"/>
        <d v="2022-11-19T00:00:00" u="1"/>
        <d v="2021-12-15T00:00:00" u="1"/>
        <d v="2022-12-15T00:00:00" u="1"/>
      </sharedItems>
    </cacheField>
    <cacheField name="Hora" numFmtId="0">
      <sharedItems containsBlank="1" count="25">
        <s v="0"/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m/>
      </sharedItems>
    </cacheField>
    <cacheField name=" CT Termo Norte _x000a_Activa Entregada" numFmtId="0">
      <sharedItems containsString="0" containsBlank="1" containsNumber="1" minValue="0" maxValue="76972.8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de Operación" refreshedDate="45161.677257754629" createdVersion="6" refreshedVersion="8" minRefreshableVersion="3" recordCount="367" xr:uid="{00000000-000A-0000-FFFF-FFFF1F010000}">
  <cacheSource type="worksheet">
    <worksheetSource ref="A1:CC1048576" sheet="D. Mto."/>
  </cacheSource>
  <cacheFields count="82">
    <cacheField name="Fecha" numFmtId="0">
      <sharedItems containsNonDate="0" containsDate="1" containsString="0" containsBlank="1" minDate="2023-01-01T00:00:00" maxDate="2024-01-01T00:00:00" count="366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m/>
      </sharedItems>
      <fieldGroup par="81" base="0">
        <rangePr groupBy="days" startDate="2023-01-01T00:00:00" endDate="2024-01-01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/01/2024"/>
        </groupItems>
      </fieldGroup>
    </cacheField>
    <cacheField name="#1 Stand-by " numFmtId="0">
      <sharedItems containsString="0" containsBlank="1" containsNumber="1" containsInteger="1" minValue="0" maxValue="24"/>
    </cacheField>
    <cacheField name="#1 Run" numFmtId="0">
      <sharedItems containsString="0" containsBlank="1" containsNumber="1" containsInteger="1" minValue="0" maxValue="24"/>
    </cacheField>
    <cacheField name="#1 Preventivo" numFmtId="0">
      <sharedItems containsString="0" containsBlank="1" containsNumber="1" containsInteger="1" minValue="0" maxValue="14"/>
    </cacheField>
    <cacheField name="#1 Correctivo" numFmtId="0">
      <sharedItems containsString="0" containsBlank="1" containsNumber="1" containsInteger="1" minValue="0" maxValue="16"/>
    </cacheField>
    <cacheField name="#1 Horas T. disponible " numFmtId="0">
      <sharedItems containsString="0" containsBlank="1" containsNumber="1" containsInteger="1" minValue="0" maxValue="24"/>
    </cacheField>
    <cacheField name="#1 (%) Operativo" numFmtId="0">
      <sharedItems containsString="0" containsBlank="1" containsNumber="1" minValue="0" maxValue="1"/>
    </cacheField>
    <cacheField name="#1 Disponibilidad Diaria (%)" numFmtId="0">
      <sharedItems containsString="0" containsBlank="1" containsNumber="1" minValue="0" maxValue="1"/>
    </cacheField>
    <cacheField name="#1 Ene. G. (MWh)" numFmtId="0">
      <sharedItems containsString="0" containsBlank="1" containsNumber="1" minValue="0" maxValue="208"/>
    </cacheField>
    <cacheField name="#2 Stand-by " numFmtId="0">
      <sharedItems containsString="0" containsBlank="1" containsNumber="1" containsInteger="1" minValue="0" maxValue="24"/>
    </cacheField>
    <cacheField name="#2 Run" numFmtId="0">
      <sharedItems containsString="0" containsBlank="1" containsNumber="1" containsInteger="1" minValue="0" maxValue="24"/>
    </cacheField>
    <cacheField name="#2 Preventivo" numFmtId="0">
      <sharedItems containsString="0" containsBlank="1" containsNumber="1" containsInteger="1" minValue="0" maxValue="24"/>
    </cacheField>
    <cacheField name="#2 Correctivo" numFmtId="0">
      <sharedItems containsString="0" containsBlank="1" containsNumber="1" containsInteger="1" minValue="0" maxValue="24"/>
    </cacheField>
    <cacheField name="#2 Horas T. disponible " numFmtId="0">
      <sharedItems containsString="0" containsBlank="1" containsNumber="1" containsInteger="1" minValue="0" maxValue="24"/>
    </cacheField>
    <cacheField name="#2 (%) Operativo" numFmtId="0">
      <sharedItems containsString="0" containsBlank="1" containsNumber="1" minValue="0" maxValue="1"/>
    </cacheField>
    <cacheField name="#2 Disponibilidad Diaria (%)" numFmtId="0">
      <sharedItems containsString="0" containsBlank="1" containsNumber="1" minValue="0" maxValue="1"/>
    </cacheField>
    <cacheField name="#2 Ene. G. (MWh)" numFmtId="0">
      <sharedItems containsString="0" containsBlank="1" containsNumber="1" minValue="0" maxValue="214.9"/>
    </cacheField>
    <cacheField name="#3 Stand-by " numFmtId="0">
      <sharedItems containsString="0" containsBlank="1" containsNumber="1" containsInteger="1" minValue="-292" maxValue="24"/>
    </cacheField>
    <cacheField name="#3 Run" numFmtId="0">
      <sharedItems containsString="0" containsBlank="1" containsNumber="1" containsInteger="1" minValue="0" maxValue="316"/>
    </cacheField>
    <cacheField name="#3 Preventivo" numFmtId="0">
      <sharedItems containsString="0" containsBlank="1" containsNumber="1" containsInteger="1" minValue="0" maxValue="12"/>
    </cacheField>
    <cacheField name="#3 Correctivo" numFmtId="0">
      <sharedItems containsString="0" containsBlank="1" containsNumber="1" containsInteger="1" minValue="0" maxValue="20"/>
    </cacheField>
    <cacheField name="#3 Horas T. disponible " numFmtId="0">
      <sharedItems containsString="0" containsBlank="1" containsNumber="1" containsInteger="1" minValue="4" maxValue="24"/>
    </cacheField>
    <cacheField name="#3 (%) Operativo" numFmtId="0">
      <sharedItems containsString="0" containsBlank="1" containsNumber="1" minValue="0" maxValue="13.166666666666666"/>
    </cacheField>
    <cacheField name="#3 Disponibilidad Diaria (%)" numFmtId="0">
      <sharedItems containsString="0" containsBlank="1" containsNumber="1" minValue="0.16666666666666666" maxValue="1"/>
    </cacheField>
    <cacheField name="#3 Ene. G. (MWh)" numFmtId="0">
      <sharedItems containsString="0" containsBlank="1" containsNumber="1" minValue="0" maxValue="211.56"/>
    </cacheField>
    <cacheField name="#4 Stand-by " numFmtId="0">
      <sharedItems containsString="0" containsBlank="1" containsNumber="1" containsInteger="1" minValue="-48" maxValue="24"/>
    </cacheField>
    <cacheField name="#4 Run" numFmtId="0">
      <sharedItems containsString="0" containsBlank="1" containsNumber="1" containsInteger="1" minValue="0" maxValue="72"/>
    </cacheField>
    <cacheField name="#4 Preventivo" numFmtId="0">
      <sharedItems containsString="0" containsBlank="1" containsNumber="1" containsInteger="1" minValue="0" maxValue="24"/>
    </cacheField>
    <cacheField name="#4 Correctivo" numFmtId="0">
      <sharedItems containsString="0" containsBlank="1" containsNumber="1" containsInteger="1" minValue="0" maxValue="10"/>
    </cacheField>
    <cacheField name="#4 Horas T. disponible " numFmtId="0">
      <sharedItems containsString="0" containsBlank="1" containsNumber="1" containsInteger="1" minValue="0" maxValue="24"/>
    </cacheField>
    <cacheField name="#4 (%) Operativo" numFmtId="0">
      <sharedItems containsString="0" containsBlank="1" containsNumber="1" minValue="0" maxValue="3"/>
    </cacheField>
    <cacheField name="#4 Disponibilidad Diaria (%)" numFmtId="0">
      <sharedItems containsString="0" containsBlank="1" containsNumber="1" minValue="0" maxValue="1"/>
    </cacheField>
    <cacheField name="#4 Ene. G. (MWh)" numFmtId="0">
      <sharedItems containsString="0" containsBlank="1" containsNumber="1" minValue="0" maxValue="210.5"/>
    </cacheField>
    <cacheField name="#5 Stand-by " numFmtId="0">
      <sharedItems containsString="0" containsBlank="1" containsNumber="1" containsInteger="1" minValue="0" maxValue="24"/>
    </cacheField>
    <cacheField name="#5 Run" numFmtId="0">
      <sharedItems containsString="0" containsBlank="1" containsNumber="1" containsInteger="1" minValue="0" maxValue="24"/>
    </cacheField>
    <cacheField name="#5 Preventivo" numFmtId="0">
      <sharedItems containsString="0" containsBlank="1" containsNumber="1" containsInteger="1" minValue="0" maxValue="24"/>
    </cacheField>
    <cacheField name="#5 Correctivo" numFmtId="0">
      <sharedItems containsString="0" containsBlank="1" containsNumber="1" containsInteger="1" minValue="0" maxValue="24"/>
    </cacheField>
    <cacheField name="#5 Horas T. disponible " numFmtId="0">
      <sharedItems containsString="0" containsBlank="1" containsNumber="1" containsInteger="1" minValue="0" maxValue="24"/>
    </cacheField>
    <cacheField name="#5 (%) Operativo" numFmtId="0">
      <sharedItems containsString="0" containsBlank="1" containsNumber="1" minValue="0" maxValue="1"/>
    </cacheField>
    <cacheField name="#5 Disponibilidad Diaria (%)" numFmtId="0">
      <sharedItems containsString="0" containsBlank="1" containsNumber="1" minValue="0" maxValue="1"/>
    </cacheField>
    <cacheField name="#5 Ene. G. (MWh)" numFmtId="0">
      <sharedItems containsString="0" containsBlank="1" containsNumber="1" minValue="0" maxValue="210.46"/>
    </cacheField>
    <cacheField name="#6 Stand-by " numFmtId="0">
      <sharedItems containsString="0" containsBlank="1" containsNumber="1" containsInteger="1" minValue="-1" maxValue="24"/>
    </cacheField>
    <cacheField name="#6 Run" numFmtId="0">
      <sharedItems containsString="0" containsBlank="1" containsNumber="1" containsInteger="1" minValue="0" maxValue="25"/>
    </cacheField>
    <cacheField name="#6 Preventivo" numFmtId="0">
      <sharedItems containsString="0" containsBlank="1" containsNumber="1" containsInteger="1" minValue="0" maxValue="24"/>
    </cacheField>
    <cacheField name="#6 Correctivo" numFmtId="0">
      <sharedItems containsString="0" containsBlank="1" containsNumber="1" containsInteger="1" minValue="0" maxValue="20"/>
    </cacheField>
    <cacheField name="#6 Horas T. disponible " numFmtId="0">
      <sharedItems containsString="0" containsBlank="1" containsNumber="1" containsInteger="1" minValue="0" maxValue="24"/>
    </cacheField>
    <cacheField name="#6 (%) Operativo" numFmtId="0">
      <sharedItems containsString="0" containsBlank="1" containsNumber="1" minValue="0" maxValue="1.0416666666666667"/>
    </cacheField>
    <cacheField name="#6 Disponibilidad Diaria (%)" numFmtId="0">
      <sharedItems containsString="0" containsBlank="1" containsNumber="1" minValue="0" maxValue="1"/>
    </cacheField>
    <cacheField name="#6 Ene. G. (MWh)" numFmtId="0">
      <sharedItems containsString="0" containsBlank="1" containsNumber="1" minValue="0" maxValue="208.51"/>
    </cacheField>
    <cacheField name="#7 Stand-by " numFmtId="0">
      <sharedItems containsString="0" containsBlank="1" containsNumber="1" minValue="0" maxValue="24"/>
    </cacheField>
    <cacheField name="#7 Run" numFmtId="0">
      <sharedItems containsString="0" containsBlank="1" containsNumber="1" containsInteger="1" minValue="0" maxValue="24"/>
    </cacheField>
    <cacheField name="#7 Preventivo" numFmtId="0">
      <sharedItems containsString="0" containsBlank="1" containsNumber="1" containsInteger="1" minValue="0" maxValue="24"/>
    </cacheField>
    <cacheField name="#7 Correctivo" numFmtId="0">
      <sharedItems containsString="0" containsBlank="1" containsNumber="1" minValue="0" maxValue="8"/>
    </cacheField>
    <cacheField name="#7 Horas T. disponible " numFmtId="0">
      <sharedItems containsString="0" containsBlank="1" containsNumber="1" minValue="0" maxValue="24"/>
    </cacheField>
    <cacheField name="#7 (%) Operativo" numFmtId="0">
      <sharedItems containsString="0" containsBlank="1" containsNumber="1" minValue="0" maxValue="1"/>
    </cacheField>
    <cacheField name="#7 Disponibilidad Diaria (%)" numFmtId="0">
      <sharedItems containsString="0" containsBlank="1" containsNumber="1" minValue="0" maxValue="1"/>
    </cacheField>
    <cacheField name="#7 Ene. G. (MWh)" numFmtId="0">
      <sharedItems containsString="0" containsBlank="1" containsNumber="1" minValue="0" maxValue="212.53"/>
    </cacheField>
    <cacheField name="#8 Stand-by " numFmtId="0">
      <sharedItems containsString="0" containsBlank="1" containsNumber="1" minValue="-4" maxValue="24"/>
    </cacheField>
    <cacheField name="#8 Run" numFmtId="0">
      <sharedItems containsString="0" containsBlank="1" containsNumber="1" containsInteger="1" minValue="0" maxValue="24"/>
    </cacheField>
    <cacheField name="#8 Preventivo" numFmtId="0">
      <sharedItems containsString="0" containsBlank="1" containsNumber="1" minValue="0" maxValue="24"/>
    </cacheField>
    <cacheField name="#8 Correctivo" numFmtId="0">
      <sharedItems containsString="0" containsBlank="1" containsNumber="1" containsInteger="1" minValue="0" maxValue="16"/>
    </cacheField>
    <cacheField name="#8 Horas T. disponible " numFmtId="0">
      <sharedItems containsString="0" containsBlank="1" containsNumber="1" minValue="0" maxValue="24"/>
    </cacheField>
    <cacheField name="#8 (%) Operativo" numFmtId="0">
      <sharedItems containsString="0" containsBlank="1" containsNumber="1" minValue="0" maxValue="1"/>
    </cacheField>
    <cacheField name="#8 Disponibilidad Diaria (%)" numFmtId="0">
      <sharedItems containsString="0" containsBlank="1" containsNumber="1" minValue="0" maxValue="1"/>
    </cacheField>
    <cacheField name="#8 Ene. G. (MWh)" numFmtId="0">
      <sharedItems containsString="0" containsBlank="1" containsNumber="1" minValue="0" maxValue="215.3"/>
    </cacheField>
    <cacheField name="#9 Stand-by " numFmtId="0">
      <sharedItems containsString="0" containsBlank="1" containsNumber="1" containsInteger="1" minValue="0" maxValue="24"/>
    </cacheField>
    <cacheField name="#9 Run" numFmtId="0">
      <sharedItems containsString="0" containsBlank="1" containsNumber="1" containsInteger="1" minValue="0" maxValue="24"/>
    </cacheField>
    <cacheField name="#9 Preventivo" numFmtId="0">
      <sharedItems containsString="0" containsBlank="1" containsNumber="1" containsInteger="1" minValue="0" maxValue="24"/>
    </cacheField>
    <cacheField name="#9 Correctivo" numFmtId="0">
      <sharedItems containsString="0" containsBlank="1" containsNumber="1" containsInteger="1" minValue="0" maxValue="24"/>
    </cacheField>
    <cacheField name="#9 Horas T. disponible " numFmtId="0">
      <sharedItems containsString="0" containsBlank="1" containsNumber="1" containsInteger="1" minValue="0" maxValue="24"/>
    </cacheField>
    <cacheField name="#9 (%) Operativo" numFmtId="0">
      <sharedItems containsString="0" containsBlank="1" containsNumber="1" minValue="0" maxValue="1"/>
    </cacheField>
    <cacheField name="#9 Disponibilidad Diaria (%)" numFmtId="0">
      <sharedItems containsString="0" containsBlank="1" containsNumber="1" minValue="0" maxValue="1"/>
    </cacheField>
    <cacheField name="#9 Ene. G. (MWh)" numFmtId="0">
      <sharedItems containsString="0" containsBlank="1" containsNumber="1" minValue="0" maxValue="213.93"/>
    </cacheField>
    <cacheField name="#10 Stand-by " numFmtId="0">
      <sharedItems containsString="0" containsBlank="1" containsNumber="1" minValue="0" maxValue="24"/>
    </cacheField>
    <cacheField name="#10 Run" numFmtId="0">
      <sharedItems containsString="0" containsBlank="1" containsNumber="1" containsInteger="1" minValue="0" maxValue="24"/>
    </cacheField>
    <cacheField name="#10 Preventivo" numFmtId="0">
      <sharedItems containsString="0" containsBlank="1" containsNumber="1" minValue="0" maxValue="9"/>
    </cacheField>
    <cacheField name="#10 Correctivo" numFmtId="0">
      <sharedItems containsString="0" containsBlank="1" containsNumber="1" containsInteger="1" minValue="0" maxValue="18"/>
    </cacheField>
    <cacheField name="#10 Horas T. disponible " numFmtId="0">
      <sharedItems containsString="0" containsBlank="1" containsNumber="1" minValue="1" maxValue="24"/>
    </cacheField>
    <cacheField name="#10 (%) Operativo" numFmtId="0">
      <sharedItems containsString="0" containsBlank="1" containsNumber="1" minValue="0" maxValue="1"/>
    </cacheField>
    <cacheField name="#10 Disponibilidad Diaria (%)" numFmtId="0">
      <sharedItems containsString="0" containsBlank="1" containsNumber="1" minValue="4.1666666666666664E-2" maxValue="1"/>
    </cacheField>
    <cacheField name="#10 Ene. G. (MWh)" numFmtId="0">
      <sharedItems containsString="0" containsBlank="1" containsNumber="1" minValue="0" maxValue="212.64"/>
    </cacheField>
    <cacheField name="Meses" numFmtId="0" databaseField="0">
      <fieldGroup base="0">
        <rangePr groupBy="months" startDate="2023-01-01T00:00:00" endDate="2024-01-01T00:00:00"/>
        <groupItems count="14">
          <s v="&lt;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de Operación" refreshedDate="45161.677258333337" createdVersion="6" refreshedVersion="8" minRefreshableVersion="3" recordCount="366" xr:uid="{00000000-000A-0000-FFFF-FFFF22010000}">
  <cacheSource type="worksheet">
    <worksheetSource ref="A1:U367" sheet="Horo. M"/>
  </cacheSource>
  <cacheFields count="21">
    <cacheField name="Fecha" numFmtId="14">
      <sharedItems containsSemiMixedTypes="0" containsNonDate="0" containsDate="1" containsString="0" minDate="2022-12-31T00:00:00" maxDate="2024-01-01T00:00:00" count="366"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H1" numFmtId="3">
      <sharedItems containsString="0" containsBlank="1" containsNumber="1" containsInteger="1" minValue="8804" maxValue="13831"/>
    </cacheField>
    <cacheField name="Motor 1" numFmtId="3">
      <sharedItems containsString="0" containsBlank="1" containsNumber="1" containsInteger="1" minValue="0" maxValue="24"/>
    </cacheField>
    <cacheField name="H2" numFmtId="3">
      <sharedItems containsString="0" containsBlank="1" containsNumber="1" containsInteger="1" minValue="15142" maxValue="19605"/>
    </cacheField>
    <cacheField name="Motor 2" numFmtId="3">
      <sharedItems containsString="0" containsBlank="1" containsNumber="1" containsInteger="1" minValue="0" maxValue="24"/>
    </cacheField>
    <cacheField name="H3" numFmtId="3">
      <sharedItems containsString="0" containsBlank="1" containsNumber="1" containsInteger="1" minValue="13876" maxValue="18636"/>
    </cacheField>
    <cacheField name="Motor 3" numFmtId="3">
      <sharedItems containsString="0" containsBlank="1" containsNumber="1" containsInteger="1" minValue="0" maxValue="316"/>
    </cacheField>
    <cacheField name="H4" numFmtId="3">
      <sharedItems containsString="0" containsBlank="1" containsNumber="1" containsInteger="1" minValue="14981" maxValue="19415"/>
    </cacheField>
    <cacheField name="Motor 4" numFmtId="3">
      <sharedItems containsString="0" containsBlank="1" containsNumber="1" containsInteger="1" minValue="0" maxValue="72"/>
    </cacheField>
    <cacheField name="H5" numFmtId="3">
      <sharedItems containsString="0" containsBlank="1" containsNumber="1" containsInteger="1" minValue="11967" maxValue="14956"/>
    </cacheField>
    <cacheField name="Motor 5" numFmtId="3">
      <sharedItems containsString="0" containsBlank="1" containsNumber="1" containsInteger="1" minValue="0" maxValue="24"/>
    </cacheField>
    <cacheField name="H6" numFmtId="3">
      <sharedItems containsString="0" containsBlank="1" containsNumber="1" containsInteger="1" minValue="14809" maxValue="18972"/>
    </cacheField>
    <cacheField name="Motor 6" numFmtId="3">
      <sharedItems containsString="0" containsBlank="1" containsNumber="1" containsInteger="1" minValue="0" maxValue="25"/>
    </cacheField>
    <cacheField name="H7" numFmtId="3">
      <sharedItems containsString="0" containsBlank="1" containsNumber="1" containsInteger="1" minValue="15156" maxValue="19524"/>
    </cacheField>
    <cacheField name="Motor 7" numFmtId="3">
      <sharedItems containsString="0" containsBlank="1" containsNumber="1" containsInteger="1" minValue="0" maxValue="24"/>
    </cacheField>
    <cacheField name="H8" numFmtId="3">
      <sharedItems containsString="0" containsBlank="1" containsNumber="1" containsInteger="1" minValue="14905" maxValue="19573"/>
    </cacheField>
    <cacheField name="Motor 8" numFmtId="3">
      <sharedItems containsString="0" containsBlank="1" containsNumber="1" containsInteger="1" minValue="0" maxValue="24"/>
    </cacheField>
    <cacheField name="H9" numFmtId="3">
      <sharedItems containsString="0" containsBlank="1" containsNumber="1" containsInteger="1" minValue="14144" maxValue="18546"/>
    </cacheField>
    <cacheField name="Motor 9" numFmtId="3">
      <sharedItems containsString="0" containsBlank="1" containsNumber="1" containsInteger="1" minValue="0" maxValue="24"/>
    </cacheField>
    <cacheField name="H10" numFmtId="3">
      <sharedItems containsString="0" containsBlank="1" containsNumber="1" containsInteger="1" minValue="11856" maxValue="16428"/>
    </cacheField>
    <cacheField name="Motor 10" numFmtId="3">
      <sharedItems containsString="0" containsBlank="1" containsNumber="1" containsInteger="1" minValue="0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x v="0"/>
    <x v="0"/>
    <n v="0"/>
    <n v="431"/>
    <n v="431"/>
    <n v="446"/>
    <n v="0"/>
    <n v="0"/>
    <n v="0"/>
    <n v="0"/>
    <n v="9"/>
    <n v="24"/>
    <n v="15"/>
    <n v="446"/>
    <n v="446"/>
    <n v="446"/>
    <n v="0"/>
    <n v="0"/>
    <n v="446000"/>
    <n v="446000"/>
    <n v="433.01429999999999"/>
    <n v="433.01429999999999"/>
    <n v="0"/>
    <n v="0"/>
    <n v="433014.3"/>
    <n v="15.82"/>
    <n v="10.682700000000001"/>
    <n v="456.68270000000001"/>
    <n v="5.1372999999999998"/>
    <n v="433.01429999999999"/>
    <n v="59.933501666666672"/>
    <n v="6.6592779629629639"/>
    <n v="8"/>
    <n v="2"/>
    <n v="1"/>
    <n v="0"/>
    <n v="1.4"/>
    <n v="369.84087330140778"/>
    <n v="369.84087330140778"/>
    <n v="2.4"/>
    <n v="634.01292565955623"/>
    <n v="3.8"/>
    <n v="1003.853798960964"/>
    <n v="0"/>
    <n v="0"/>
    <n v="0"/>
    <n v="0"/>
    <n v="0"/>
    <n v="0"/>
    <n v="0"/>
    <n v="0.82923962623634029"/>
    <n v="46.230109162675973"/>
    <n v="184.92043665070389"/>
    <n v="1.4215536449765835"/>
    <n v="9.0148712867218155"/>
    <n v="117892"/>
    <n v="4173"/>
    <n v="117455"/>
    <n v="117455"/>
    <n v="4131.8313707209663"/>
    <n v="-41.168629279033667"/>
    <n v="-9.9637728612942209E-3"/>
    <n v="9356.5022421524664"/>
    <n v="8957.59"/>
    <n v="9047.4882685964822"/>
    <n v="9542.020600060936"/>
    <n v="0.26335201793721974"/>
    <n v="0"/>
    <n v="0"/>
    <n v="0"/>
    <n v="0"/>
    <s v="DIESEL"/>
    <n v="71"/>
    <n v="0"/>
    <n v="71"/>
    <n v="0"/>
    <n v="1495"/>
    <n v="10"/>
    <n v="6"/>
    <n v="8"/>
    <n v="7"/>
    <n v="0"/>
    <n v="8"/>
    <n v="6"/>
    <n v="8"/>
    <n v="0"/>
    <n v="9"/>
    <n v="369.84087330140778"/>
    <m/>
    <n v="0"/>
    <n v="131.99221868328183"/>
  </r>
  <r>
    <x v="1"/>
    <x v="0"/>
    <n v="0"/>
    <n v="872"/>
    <n v="872"/>
    <n v="888"/>
    <n v="0"/>
    <n v="0"/>
    <n v="0"/>
    <n v="0"/>
    <n v="18"/>
    <n v="24"/>
    <n v="6"/>
    <n v="888"/>
    <n v="888"/>
    <n v="888"/>
    <n v="0"/>
    <n v="0"/>
    <n v="888000"/>
    <n v="888000"/>
    <n v="878.12479999999982"/>
    <n v="878.12479999999982"/>
    <n v="0"/>
    <n v="0"/>
    <n v="878124.79999999981"/>
    <n v="30.54"/>
    <n v="26.730499999999999"/>
    <n v="914.73050000000001"/>
    <n v="3.8094999999999999"/>
    <n v="878.12479999999982"/>
    <n v="120.54730499999999"/>
    <n v="6.6970725"/>
    <n v="8"/>
    <n v="6"/>
    <n v="1"/>
    <n v="0"/>
    <n v="1.9"/>
    <n v="501.92689948048201"/>
    <n v="501.92689948048201"/>
    <n v="4.7000000000000011"/>
    <n v="1241.6086460832978"/>
    <n v="6.6000000000000014"/>
    <n v="1743.53554556378"/>
    <n v="0"/>
    <n v="0"/>
    <n v="0"/>
    <n v="0"/>
    <n v="0"/>
    <n v="0"/>
    <n v="0"/>
    <n v="0.56523299491045276"/>
    <n v="62.740862435060251"/>
    <n v="83.654483246747006"/>
    <n v="1.3982079347784886"/>
    <n v="8.839335909825941"/>
    <n v="239280"/>
    <n v="8470"/>
    <n v="239939"/>
    <n v="239939"/>
    <n v="8440.5728769266352"/>
    <n v="-29.427123073364783"/>
    <n v="-3.4863893129585453E-3"/>
    <n v="9538.2882882882896"/>
    <n v="8913.2800000000007"/>
    <n v="9227.3876042469728"/>
    <n v="9612.0424761111826"/>
    <n v="0.27020157657657656"/>
    <n v="0"/>
    <n v="0"/>
    <n v="0"/>
    <n v="0"/>
    <s v="DIESEL"/>
    <n v="71"/>
    <n v="0"/>
    <n v="71"/>
    <n v="0"/>
    <n v="1495"/>
    <n v="18"/>
    <n v="15"/>
    <n v="16"/>
    <n v="0"/>
    <n v="0"/>
    <n v="16"/>
    <n v="14"/>
    <n v="17"/>
    <n v="15"/>
    <n v="18"/>
    <n v="501.92689948048201"/>
    <m/>
    <n v="0"/>
    <n v="229.2496429762264"/>
  </r>
  <r>
    <x v="2"/>
    <x v="0"/>
    <n v="0"/>
    <n v="1272"/>
    <n v="1272"/>
    <n v="1282"/>
    <n v="0"/>
    <n v="0"/>
    <n v="0"/>
    <n v="0"/>
    <n v="24"/>
    <n v="24"/>
    <n v="0"/>
    <n v="1282"/>
    <n v="1282"/>
    <n v="1282"/>
    <n v="161.95759999999999"/>
    <n v="0"/>
    <n v="1282000"/>
    <n v="1282000"/>
    <n v="1282.1465000000001"/>
    <n v="1282.1465000000001"/>
    <n v="161.95759999999999"/>
    <n v="0"/>
    <n v="1282146.5"/>
    <n v="38.07"/>
    <n v="38.07"/>
    <n v="1320.07"/>
    <n v="0"/>
    <n v="1282.1465000000001"/>
    <n v="177.12659821428574"/>
    <n v="7.3802749255952387"/>
    <n v="2"/>
    <n v="2"/>
    <n v="0"/>
    <n v="3.6"/>
    <n v="0.6"/>
    <n v="158.50323141488906"/>
    <n v="1109.5226199042233"/>
    <n v="5.8000000000000007"/>
    <n v="1532.1979036772611"/>
    <n v="10"/>
    <n v="2641.720523581484"/>
    <n v="0"/>
    <n v="0"/>
    <n v="0"/>
    <n v="0"/>
    <n v="0"/>
    <n v="0"/>
    <n v="0"/>
    <n v="0.12363746600225356"/>
    <n v="79.251615707444529"/>
    <n v="79.251615707444529"/>
    <n v="1.1951621713551179"/>
    <n v="8.8267011145063865"/>
    <n v="340627"/>
    <n v="12058"/>
    <n v="337448"/>
    <n v="337448"/>
    <n v="11870.743964812469"/>
    <n v="-187.25603518753087"/>
    <n v="-1.5774582936216929E-2"/>
    <n v="9405.6162246489857"/>
    <n v="8857.2199999999993"/>
    <n v="8992.5109765485686"/>
    <n v="9258.4926643035469"/>
    <n v="0.26321996879875192"/>
    <n v="0"/>
    <n v="0"/>
    <n v="0"/>
    <n v="0"/>
    <s v="DIESEL"/>
    <n v="71"/>
    <n v="0"/>
    <n v="71"/>
    <n v="0"/>
    <n v="1495"/>
    <n v="24"/>
    <n v="16"/>
    <n v="24"/>
    <n v="14"/>
    <n v="0"/>
    <n v="24"/>
    <n v="0"/>
    <n v="24"/>
    <n v="24"/>
    <n v="24"/>
    <n v="158.50323141488906"/>
    <m/>
    <n v="0"/>
    <n v="347.34794390337322"/>
  </r>
  <r>
    <x v="3"/>
    <x v="0"/>
    <n v="0"/>
    <n v="1272"/>
    <n v="1272"/>
    <n v="1287"/>
    <n v="0"/>
    <n v="0"/>
    <n v="0"/>
    <n v="0"/>
    <n v="24"/>
    <n v="24"/>
    <n v="0"/>
    <n v="1287"/>
    <n v="1287"/>
    <n v="1287"/>
    <n v="215.26999999999998"/>
    <n v="0"/>
    <n v="1287000"/>
    <n v="1287000"/>
    <n v="1276.4812999999999"/>
    <n v="1276.4812999999999"/>
    <n v="215.26999999999998"/>
    <n v="0"/>
    <n v="1276481.2999999998"/>
    <n v="39.85"/>
    <n v="39.85"/>
    <n v="1326.85"/>
    <n v="0"/>
    <n v="1276.4813000000001"/>
    <n v="171.90093928571429"/>
    <n v="7.162539136904762"/>
    <n v="1"/>
    <n v="1"/>
    <n v="0"/>
    <n v="4.4000000000000004"/>
    <n v="1.6"/>
    <n v="422.67528377303745"/>
    <n v="1585.0323141488905"/>
    <n v="5.8000000000000016"/>
    <n v="1532.1979036772614"/>
    <n v="11.800000000000002"/>
    <n v="3117.2302178261521"/>
    <n v="0"/>
    <n v="0"/>
    <n v="0"/>
    <n v="0"/>
    <n v="0"/>
    <n v="0"/>
    <n v="0"/>
    <n v="0.32841902391067401"/>
    <n v="422.67528377303745"/>
    <n v="422.67528377303745"/>
    <n v="1.1905189616761938"/>
    <n v="8.5954195309686252"/>
    <n v="340441"/>
    <n v="12441"/>
    <n v="339114"/>
    <n v="339114"/>
    <n v="11929.35050402852"/>
    <n v="-511.64949597148006"/>
    <n v="-4.2889970899815291E-2"/>
    <n v="9666.6666666666661"/>
    <n v="8967.11"/>
    <n v="8990.730304125198"/>
    <n v="9345.4957029362831"/>
    <n v="0.26349184149184152"/>
    <n v="0"/>
    <n v="35.1"/>
    <n v="0"/>
    <n v="0"/>
    <s v="DIESEL"/>
    <n v="71"/>
    <n v="0"/>
    <n v="71"/>
    <n v="0"/>
    <n v="1495"/>
    <n v="24"/>
    <n v="23"/>
    <n v="24"/>
    <n v="14"/>
    <n v="0"/>
    <n v="0"/>
    <n v="21"/>
    <n v="24"/>
    <n v="24"/>
    <n v="24"/>
    <n v="422.67528377303745"/>
    <m/>
    <n v="0"/>
    <n v="409.87057380598048"/>
  </r>
  <r>
    <x v="4"/>
    <x v="0"/>
    <n v="0"/>
    <n v="1272"/>
    <n v="1272"/>
    <n v="1272"/>
    <n v="0"/>
    <n v="0"/>
    <n v="0"/>
    <n v="0"/>
    <n v="24"/>
    <n v="24"/>
    <n v="0"/>
    <n v="1272"/>
    <n v="1272"/>
    <n v="1272"/>
    <n v="0"/>
    <n v="0"/>
    <n v="1272000"/>
    <n v="1272000"/>
    <n v="1261.8854999999999"/>
    <n v="1261.8854999999999"/>
    <n v="0"/>
    <n v="0"/>
    <n v="1261885.4999999998"/>
    <n v="40.14"/>
    <n v="40.14"/>
    <n v="1312.14"/>
    <n v="0"/>
    <n v="1261.8855000000001"/>
    <n v="170.61038333333329"/>
    <n v="7.1087659722222201"/>
    <n v="2"/>
    <n v="2"/>
    <n v="0"/>
    <n v="0"/>
    <n v="1.6"/>
    <n v="422.67528377303745"/>
    <n v="422.67528377303745"/>
    <n v="6.7400000000000029"/>
    <n v="1780.5196328939212"/>
    <n v="8.3400000000000034"/>
    <n v="2203.1949166669588"/>
    <n v="0"/>
    <n v="0"/>
    <n v="0"/>
    <n v="0"/>
    <n v="0"/>
    <n v="0"/>
    <n v="0"/>
    <n v="0.33229188975867724"/>
    <n v="211.33764188651872"/>
    <n v="211.33764188651872"/>
    <n v="1.3997795856084285"/>
    <n v="10.030282612973451"/>
    <n v="343751"/>
    <n v="12168"/>
    <n v="342631"/>
    <n v="342631"/>
    <n v="12053.07151148521"/>
    <n v="-114.92848851478993"/>
    <n v="-9.5352034048147901E-3"/>
    <n v="9566.0377358490568"/>
    <n v="8945.73"/>
    <n v="9185.8121172170722"/>
    <n v="9551.6364293632123"/>
    <n v="0.26936399371069181"/>
    <n v="0"/>
    <n v="25.8"/>
    <n v="0"/>
    <n v="0"/>
    <s v="DIESEL"/>
    <n v="71"/>
    <n v="0"/>
    <n v="71"/>
    <n v="0"/>
    <n v="1495"/>
    <n v="24"/>
    <n v="24"/>
    <n v="24"/>
    <n v="18"/>
    <n v="0"/>
    <n v="18"/>
    <n v="24"/>
    <n v="24"/>
    <n v="0"/>
    <n v="24"/>
    <n v="422.67528377303745"/>
    <m/>
    <n v="0"/>
    <n v="289.6881852154134"/>
  </r>
  <r>
    <x v="5"/>
    <x v="0"/>
    <n v="0"/>
    <n v="1272"/>
    <n v="1272"/>
    <n v="1278"/>
    <n v="0"/>
    <n v="0"/>
    <n v="0"/>
    <n v="0"/>
    <n v="24"/>
    <n v="24"/>
    <n v="0"/>
    <n v="1278"/>
    <n v="1278"/>
    <n v="1278"/>
    <n v="0"/>
    <n v="0"/>
    <n v="1278000"/>
    <n v="1278000"/>
    <n v="1267.991"/>
    <n v="1267.991"/>
    <n v="0"/>
    <n v="0"/>
    <n v="1267991"/>
    <n v="38.89"/>
    <n v="38.89"/>
    <n v="1316.89"/>
    <n v="0"/>
    <n v="1267.9910000000002"/>
    <n v="169.04452916666668"/>
    <n v="7.0435220486111119"/>
    <n v="2"/>
    <n v="2"/>
    <n v="0"/>
    <n v="0"/>
    <n v="1.1000000000000001"/>
    <n v="290.58925759396328"/>
    <n v="290.58925759396328"/>
    <n v="7.0699999999999976"/>
    <n v="1867.6964101721087"/>
    <n v="8.1699999999999982"/>
    <n v="2158.285667766072"/>
    <n v="0"/>
    <n v="10634"/>
    <n v="40.254068911055995"/>
    <n v="0"/>
    <n v="0"/>
    <n v="0"/>
    <n v="0"/>
    <n v="0.22737813583252214"/>
    <n v="145.29462879698164"/>
    <n v="145.29462879698164"/>
    <n v="1.4614212912144826"/>
    <n v="10.378842959834891"/>
    <n v="345297"/>
    <n v="12223"/>
    <n v="344686"/>
    <n v="344686"/>
    <n v="12125.362290650266"/>
    <n v="-97.637709349733996"/>
    <n v="-8.0523539840967363E-3"/>
    <n v="9564.1627543035993"/>
    <n v="8953.2900000000009"/>
    <n v="9207.5741258953021"/>
    <n v="9562.6564310395479"/>
    <n v="0.2697073552425665"/>
    <n v="0"/>
    <n v="0"/>
    <n v="0"/>
    <n v="0"/>
    <s v="DIESEL"/>
    <n v="71"/>
    <n v="0"/>
    <n v="71"/>
    <n v="0"/>
    <n v="1495"/>
    <n v="24"/>
    <n v="24"/>
    <n v="24"/>
    <n v="18"/>
    <n v="0"/>
    <n v="18"/>
    <n v="24"/>
    <n v="24"/>
    <n v="0"/>
    <n v="24"/>
    <n v="290.58925759396328"/>
    <m/>
    <n v="0"/>
    <n v="283.78327016905587"/>
  </r>
  <r>
    <x v="6"/>
    <x v="0"/>
    <n v="0"/>
    <n v="1264"/>
    <n v="1264"/>
    <n v="1288"/>
    <n v="0"/>
    <n v="0"/>
    <n v="0"/>
    <n v="0"/>
    <n v="22"/>
    <n v="24"/>
    <n v="2"/>
    <n v="1288"/>
    <n v="1288"/>
    <n v="1288"/>
    <n v="212.84289999999999"/>
    <n v="0"/>
    <n v="1288000"/>
    <n v="1288000"/>
    <n v="1277.5884000000001"/>
    <n v="1277.5884000000001"/>
    <n v="212.84289999999999"/>
    <n v="0"/>
    <n v="1277588.4000000001"/>
    <n v="36.4"/>
    <n v="35.403700000000001"/>
    <n v="1323.4037000000001"/>
    <n v="0.99629999999999996"/>
    <n v="1277.5884000000003"/>
    <n v="166.10516170634918"/>
    <n v="7.5502346230158714"/>
    <n v="9"/>
    <n v="8"/>
    <n v="0"/>
    <n v="5.9"/>
    <n v="1.4"/>
    <n v="369.84087330140778"/>
    <n v="1928.4559822144838"/>
    <n v="6.4099999999999993"/>
    <n v="1693.3428556157312"/>
    <n v="13.709999999999999"/>
    <n v="3621.7988378302143"/>
    <n v="0"/>
    <n v="0"/>
    <n v="0"/>
    <n v="0"/>
    <n v="0"/>
    <n v="0"/>
    <n v="0"/>
    <n v="0.28714353517190044"/>
    <n v="41.093430366823085"/>
    <n v="46.230109162675973"/>
    <n v="1.3147071860370583"/>
    <n v="9.1774454234408989"/>
    <n v="338468"/>
    <n v="11981"/>
    <n v="337617"/>
    <n v="337617"/>
    <n v="11876.689045921421"/>
    <n v="-104.31095407857902"/>
    <n v="-8.7828311135585788E-3"/>
    <n v="9302.0186335403723"/>
    <n v="8962.2000000000007"/>
    <n v="8974.3507940331583"/>
    <n v="9296.1778972957327"/>
    <n v="0.262125"/>
    <n v="0"/>
    <n v="0"/>
    <n v="0"/>
    <n v="-10.566882094325711"/>
    <s v="DIESEL"/>
    <n v="80"/>
    <n v="0"/>
    <n v="80"/>
    <n v="0"/>
    <n v="1505"/>
    <n v="22"/>
    <n v="17"/>
    <n v="21"/>
    <n v="16"/>
    <n v="0"/>
    <n v="18"/>
    <n v="20"/>
    <n v="20"/>
    <n v="20"/>
    <n v="22"/>
    <n v="369.84087330140778"/>
    <m/>
    <n v="0"/>
    <n v="476.21403109152465"/>
  </r>
  <r>
    <x v="7"/>
    <x v="0"/>
    <n v="0"/>
    <n v="978"/>
    <n v="978"/>
    <n v="997"/>
    <n v="0"/>
    <n v="0"/>
    <n v="0"/>
    <n v="0"/>
    <n v="20"/>
    <n v="24"/>
    <n v="4"/>
    <n v="997"/>
    <n v="997"/>
    <n v="997"/>
    <n v="0"/>
    <n v="0"/>
    <n v="997000"/>
    <n v="997000"/>
    <n v="986.96830000000011"/>
    <n v="986.96830000000011"/>
    <n v="0"/>
    <n v="0"/>
    <n v="986968.30000000016"/>
    <n v="34.76"/>
    <n v="32.119599999999998"/>
    <n v="1029.1196"/>
    <n v="2.6404000000000001"/>
    <n v="986.9683"/>
    <n v="138.95957916666666"/>
    <n v="6.9479789583333327"/>
    <n v="8"/>
    <n v="9"/>
    <n v="1"/>
    <n v="0"/>
    <n v="1.9"/>
    <n v="501.92689948048201"/>
    <n v="501.92689948048201"/>
    <n v="5.160000000000001"/>
    <n v="1363.1277901680462"/>
    <n v="7.0600000000000005"/>
    <n v="1865.0546896485282"/>
    <n v="0"/>
    <n v="0"/>
    <n v="0"/>
    <n v="0"/>
    <n v="0"/>
    <n v="0"/>
    <n v="0"/>
    <n v="0.50343721111382345"/>
    <n v="62.740862435060251"/>
    <n v="55.769655497831337"/>
    <n v="1.3672294786038577"/>
    <n v="8.7106731658245558"/>
    <n v="270655"/>
    <n v="9581"/>
    <n v="268689"/>
    <n v="268689"/>
    <n v="9451.9402253428616"/>
    <n v="-129.05977465713841"/>
    <n v="-1.3654315577567765E-2"/>
    <n v="9609.8294884653951"/>
    <n v="8961.1200000000008"/>
    <n v="9184.4915064710276"/>
    <n v="9576.7414468558527"/>
    <n v="0.26949749247743232"/>
    <n v="0"/>
    <n v="0"/>
    <n v="0"/>
    <n v="0"/>
    <s v="DIESEL"/>
    <n v="71"/>
    <n v="0"/>
    <n v="71"/>
    <n v="0"/>
    <n v="1505"/>
    <n v="21"/>
    <n v="18"/>
    <n v="0"/>
    <n v="14"/>
    <n v="0"/>
    <n v="13"/>
    <n v="17"/>
    <n v="18"/>
    <n v="19"/>
    <n v="21"/>
    <n v="501.92689948048201"/>
    <m/>
    <m/>
    <n v="245.22764839578156"/>
  </r>
  <r>
    <x v="8"/>
    <x v="0"/>
    <n v="0"/>
    <n v="1264"/>
    <n v="1264"/>
    <n v="1293"/>
    <n v="0"/>
    <n v="0"/>
    <n v="0"/>
    <n v="0"/>
    <n v="22"/>
    <n v="24"/>
    <n v="2"/>
    <n v="1293"/>
    <n v="1293"/>
    <n v="1293"/>
    <n v="0"/>
    <n v="0"/>
    <n v="1293000"/>
    <n v="1293000"/>
    <n v="1281.6406999999999"/>
    <n v="1281.6406999999999"/>
    <n v="0"/>
    <n v="0"/>
    <n v="1281640.7"/>
    <n v="36.56"/>
    <n v="35.7241"/>
    <n v="1328.7240999999999"/>
    <n v="0.83590000000000009"/>
    <n v="1281.6406999999999"/>
    <n v="158.36143273809526"/>
    <n v="7.1982469426406936"/>
    <n v="10"/>
    <n v="9"/>
    <n v="1"/>
    <n v="0"/>
    <n v="2"/>
    <n v="528.3441047162969"/>
    <n v="528.3441047162969"/>
    <n v="6.5200000000000014"/>
    <n v="1722.4017813751279"/>
    <n v="8.5200000000000014"/>
    <n v="2250.7458860914248"/>
    <n v="0"/>
    <n v="0"/>
    <n v="0"/>
    <n v="0"/>
    <n v="0"/>
    <n v="0"/>
    <n v="0"/>
    <n v="0.40861879715104166"/>
    <n v="52.834410471629688"/>
    <n v="58.704900524032986"/>
    <n v="1.3320972787123959"/>
    <n v="9.2879539043380728"/>
    <n v="348471"/>
    <n v="12335"/>
    <n v="345499"/>
    <n v="345499"/>
    <n v="12153.962000363741"/>
    <n v="-181.03799963625897"/>
    <n v="-1.4895389637621125E-2"/>
    <n v="9539.8298530549109"/>
    <n v="8763.15"/>
    <n v="9147.0923123647281"/>
    <n v="9483.127369756392"/>
    <n v="0.26720726991492655"/>
    <n v="0"/>
    <n v="0"/>
    <n v="0"/>
    <n v="0"/>
    <s v="DIESEL"/>
    <n v="80"/>
    <n v="0"/>
    <n v="80"/>
    <n v="0"/>
    <n v="1505"/>
    <n v="23"/>
    <n v="20"/>
    <n v="22"/>
    <n v="17"/>
    <n v="0"/>
    <n v="17"/>
    <n v="19"/>
    <n v="20"/>
    <n v="20"/>
    <n v="22"/>
    <n v="528.3441047162969"/>
    <m/>
    <m/>
    <n v="295.94044820567404"/>
  </r>
  <r>
    <x v="9"/>
    <x v="0"/>
    <n v="0"/>
    <n v="1488"/>
    <n v="1488"/>
    <n v="1513"/>
    <n v="0"/>
    <n v="0"/>
    <n v="0"/>
    <n v="0"/>
    <n v="24"/>
    <n v="24"/>
    <n v="0"/>
    <n v="1513"/>
    <n v="1513"/>
    <n v="1513"/>
    <n v="0"/>
    <n v="0"/>
    <n v="1513000"/>
    <n v="1513000"/>
    <n v="1500.8139000000003"/>
    <n v="1500.8139000000003"/>
    <n v="0"/>
    <n v="0"/>
    <n v="1500813.9000000004"/>
    <n v="39.97"/>
    <n v="39.97"/>
    <n v="1552.97"/>
    <n v="0"/>
    <n v="1500.8138999999999"/>
    <n v="174.33434761904766"/>
    <n v="7.2639311507936526"/>
    <n v="2"/>
    <n v="2"/>
    <n v="0"/>
    <n v="0"/>
    <n v="1.2"/>
    <n v="317.00646282977812"/>
    <n v="317.00646282977812"/>
    <n v="7.3199999999999976"/>
    <n v="1933.7394232616457"/>
    <n v="8.5199999999999978"/>
    <n v="2250.7458860914239"/>
    <n v="0"/>
    <n v="0"/>
    <n v="0"/>
    <n v="0"/>
    <n v="0"/>
    <n v="0"/>
    <n v="0"/>
    <n v="0.20952178640434774"/>
    <n v="158.50323141488906"/>
    <n v="158.50323141488906"/>
    <n v="1.2780828970665206"/>
    <n v="9.361335029993116"/>
    <n v="404460"/>
    <n v="14317"/>
    <n v="404307"/>
    <n v="404307"/>
    <n v="14222.709514299791"/>
    <n v="-94.290485700208592"/>
    <n v="-6.6295726285773527E-3"/>
    <n v="9462.6569729015209"/>
    <n v="8916.73"/>
    <n v="9158.3929594903911"/>
    <n v="9476.6643048147325"/>
    <n v="0.26722207534699272"/>
    <n v="0"/>
    <n v="47.31"/>
    <n v="0"/>
    <n v="0"/>
    <s v="DIESEL"/>
    <n v="80"/>
    <n v="0"/>
    <n v="80"/>
    <n v="0"/>
    <n v="1505"/>
    <n v="24"/>
    <n v="24"/>
    <n v="24"/>
    <n v="19"/>
    <n v="0"/>
    <n v="19"/>
    <n v="24"/>
    <n v="24"/>
    <n v="24"/>
    <n v="24"/>
    <n v="317.00646282977812"/>
    <m/>
    <m/>
    <n v="295.94044820567393"/>
  </r>
  <r>
    <x v="10"/>
    <x v="0"/>
    <n v="0"/>
    <n v="1272"/>
    <n v="1272"/>
    <n v="1282"/>
    <n v="0"/>
    <n v="0"/>
    <n v="0"/>
    <n v="0"/>
    <n v="24"/>
    <n v="24"/>
    <n v="0"/>
    <n v="1282"/>
    <n v="1282"/>
    <n v="1282"/>
    <n v="0"/>
    <n v="0"/>
    <n v="1282000"/>
    <n v="1282000"/>
    <n v="1270.4966999999997"/>
    <n v="1270.4966999999997"/>
    <n v="0"/>
    <n v="0"/>
    <n v="1270496.6999999997"/>
    <n v="36.92"/>
    <n v="36.92"/>
    <n v="1318.92"/>
    <n v="0"/>
    <n v="1270.4966999999999"/>
    <n v="167.33373749999996"/>
    <n v="6.9722390624999981"/>
    <n v="2"/>
    <n v="3"/>
    <n v="0"/>
    <n v="0"/>
    <n v="1"/>
    <n v="264.17205235814845"/>
    <n v="264.17205235814845"/>
    <n v="6.9799999999999995"/>
    <n v="1843.9209254598757"/>
    <n v="7.9799999999999995"/>
    <n v="2108.0929778180243"/>
    <n v="0"/>
    <n v="0"/>
    <n v="0"/>
    <n v="0"/>
    <n v="0"/>
    <n v="0"/>
    <n v="0"/>
    <n v="0.20606244333708928"/>
    <n v="132.08602617907422"/>
    <n v="88.057350786049483"/>
    <n v="1.4383158544928827"/>
    <n v="10.122009020042249"/>
    <n v="346327"/>
    <n v="12259"/>
    <n v="346173"/>
    <n v="346173"/>
    <n v="12177.671968810091"/>
    <n v="-81.32803118990887"/>
    <n v="-6.6784547488394552E-3"/>
    <n v="9562.4024960998449"/>
    <n v="8794.36"/>
    <n v="9233.0633918737221"/>
    <n v="9584.9693815104711"/>
    <n v="0.27002574102964116"/>
    <n v="0"/>
    <n v="12.18"/>
    <n v="0"/>
    <n v="0"/>
    <s v="DIESEL"/>
    <n v="71"/>
    <n v="0"/>
    <n v="71"/>
    <n v="0"/>
    <n v="1505"/>
    <n v="0"/>
    <n v="24"/>
    <n v="23"/>
    <n v="19"/>
    <n v="0"/>
    <n v="19"/>
    <n v="24"/>
    <n v="24"/>
    <n v="24"/>
    <n v="24"/>
    <n v="264.17205235814845"/>
    <m/>
    <m/>
    <n v="277.18365923489182"/>
  </r>
  <r>
    <x v="11"/>
    <x v="0"/>
    <n v="0"/>
    <n v="1272"/>
    <n v="1272"/>
    <n v="1288"/>
    <n v="0"/>
    <n v="0"/>
    <n v="0"/>
    <n v="0"/>
    <n v="24"/>
    <n v="24"/>
    <n v="0"/>
    <n v="1288"/>
    <n v="1288"/>
    <n v="1288"/>
    <n v="0"/>
    <n v="0"/>
    <n v="1288000"/>
    <n v="1288000"/>
    <n v="1277.5336"/>
    <n v="1277.5336"/>
    <n v="0"/>
    <n v="0"/>
    <n v="1277533.6000000001"/>
    <n v="36.68"/>
    <n v="36.68"/>
    <n v="1324.68"/>
    <n v="0"/>
    <n v="1277.5336000000002"/>
    <n v="166.04438333333331"/>
    <n v="6.9185159722222211"/>
    <n v="2"/>
    <n v="2"/>
    <n v="0"/>
    <n v="0"/>
    <n v="1.2"/>
    <n v="317.00646282977812"/>
    <n v="317.00646282977812"/>
    <n v="5.7900000000000018"/>
    <n v="1529.5561831536797"/>
    <n v="6.990000000000002"/>
    <n v="1846.562645983458"/>
    <n v="0"/>
    <n v="0"/>
    <n v="0"/>
    <n v="0"/>
    <n v="0"/>
    <n v="0"/>
    <n v="0"/>
    <n v="0.24612303014734327"/>
    <n v="158.50323141488906"/>
    <n v="158.50323141488906"/>
    <n v="1.1875436204609315"/>
    <n v="8.2828945583127798"/>
    <n v="347265"/>
    <n v="12293"/>
    <n v="347256"/>
    <n v="347256"/>
    <n v="12215.769737099996"/>
    <n v="-77.230262900004163"/>
    <n v="-6.322177362712675E-3"/>
    <n v="9544.2546583850926"/>
    <n v="8926.2800000000007"/>
    <n v="9221.6759799347728"/>
    <n v="9561.9948759860381"/>
    <n v="0.26960869565217394"/>
    <n v="0"/>
    <n v="34.200000000000003"/>
    <n v="0"/>
    <n v="0"/>
    <s v="DIESEL"/>
    <n v="71"/>
    <n v="0"/>
    <n v="71"/>
    <n v="0"/>
    <n v="1505"/>
    <n v="24"/>
    <n v="24"/>
    <n v="24"/>
    <n v="20"/>
    <n v="0"/>
    <n v="19"/>
    <n v="0"/>
    <n v="24"/>
    <n v="24"/>
    <n v="24"/>
    <n v="317.00646282977812"/>
    <m/>
    <m/>
    <n v="242.79621278845795"/>
  </r>
  <r>
    <x v="12"/>
    <x v="0"/>
    <n v="0"/>
    <n v="1272"/>
    <n v="1272"/>
    <n v="1296"/>
    <n v="0"/>
    <n v="0"/>
    <n v="0"/>
    <n v="0"/>
    <n v="24"/>
    <n v="24"/>
    <n v="0"/>
    <n v="1296"/>
    <n v="1296"/>
    <n v="1296"/>
    <n v="0"/>
    <n v="0"/>
    <n v="1296000"/>
    <n v="1296000"/>
    <n v="1285.124"/>
    <n v="1285.124"/>
    <n v="0"/>
    <n v="0"/>
    <n v="1285124"/>
    <n v="36.369999999999997"/>
    <n v="36.369999999999997"/>
    <n v="1332.37"/>
    <n v="0"/>
    <n v="1285.1239999999998"/>
    <n v="166.99447083333334"/>
    <n v="6.9581029513888888"/>
    <n v="2"/>
    <n v="2"/>
    <n v="0"/>
    <n v="0"/>
    <n v="1"/>
    <n v="264.17205235814845"/>
    <n v="264.17205235814845"/>
    <n v="7.2299999999999969"/>
    <n v="1909.9639385494124"/>
    <n v="8.2299999999999969"/>
    <n v="2174.1359909075604"/>
    <n v="0"/>
    <n v="11015"/>
    <n v="41.696310800760003"/>
    <n v="0"/>
    <n v="0"/>
    <n v="0"/>
    <n v="0"/>
    <n v="0.20383646015289233"/>
    <n v="132.08602617907422"/>
    <n v="132.08602617907422"/>
    <n v="1.4737376069054109"/>
    <n v="10.342152397007373"/>
    <n v="349332"/>
    <n v="12366"/>
    <n v="349201"/>
    <n v="349201"/>
    <n v="12284.190936845023"/>
    <n v="-81.809063154976684"/>
    <n v="-6.6597029935117477E-3"/>
    <n v="9541.6666666666661"/>
    <n v="8911.7800000000007"/>
    <n v="9219.8045113932494"/>
    <n v="9558.7592612425124"/>
    <n v="0.26944521604938271"/>
    <n v="0"/>
    <n v="34.28"/>
    <n v="0"/>
    <n v="0"/>
    <s v="DIESEL"/>
    <n v="71"/>
    <n v="0"/>
    <n v="71"/>
    <n v="0"/>
    <n v="1505"/>
    <n v="24"/>
    <n v="24"/>
    <n v="24"/>
    <n v="20"/>
    <n v="0"/>
    <n v="21"/>
    <n v="24"/>
    <n v="24"/>
    <n v="24"/>
    <n v="0"/>
    <n v="264.17205235814845"/>
    <m/>
    <m/>
    <n v="285.86735783247605"/>
  </r>
  <r>
    <x v="13"/>
    <x v="0"/>
    <n v="0"/>
    <n v="1272"/>
    <n v="1272"/>
    <n v="1287"/>
    <n v="0"/>
    <n v="0"/>
    <n v="0"/>
    <n v="0"/>
    <n v="24"/>
    <n v="24"/>
    <n v="0"/>
    <n v="1287"/>
    <n v="1287"/>
    <n v="1287"/>
    <n v="0"/>
    <n v="0"/>
    <n v="1287000"/>
    <n v="1287000"/>
    <n v="1276.5210999999999"/>
    <n v="1276.5210999999999"/>
    <n v="0"/>
    <n v="0"/>
    <n v="1276521.0999999999"/>
    <n v="37.380000000000003"/>
    <n v="37.380000000000003"/>
    <n v="1324.38"/>
    <n v="0"/>
    <n v="1276.5211000000002"/>
    <n v="160.50250535714284"/>
    <n v="6.6876043898809518"/>
    <n v="1"/>
    <n v="1"/>
    <n v="0"/>
    <n v="0"/>
    <n v="1.3"/>
    <n v="343.42366806559295"/>
    <n v="343.42366806559295"/>
    <n v="7.2899999999999965"/>
    <n v="1925.814261690901"/>
    <n v="8.5899999999999963"/>
    <n v="2269.2379297564939"/>
    <n v="0"/>
    <n v="0"/>
    <n v="0"/>
    <n v="0"/>
    <n v="0"/>
    <n v="0"/>
    <n v="0"/>
    <n v="0.26684045692742264"/>
    <n v="343.42366806559295"/>
    <n v="343.42366806559295"/>
    <n v="1.4963591776930079"/>
    <n v="10.089249588946249"/>
    <n v="352267"/>
    <n v="12470"/>
    <n v="349441"/>
    <n v="349441"/>
    <n v="12292.63365557963"/>
    <n v="-177.3663444203703"/>
    <n v="-1.4428669184317851E-2"/>
    <n v="9689.1996891996896"/>
    <n v="8929.5300000000007"/>
    <n v="9281.8025457796321"/>
    <n v="9629.7927669034452"/>
    <n v="0.27151592851592854"/>
    <n v="0"/>
    <n v="11.64"/>
    <n v="0"/>
    <n v="0"/>
    <s v="DIESEL"/>
    <n v="71"/>
    <n v="0"/>
    <n v="71"/>
    <n v="0"/>
    <n v="1505"/>
    <n v="24"/>
    <n v="0"/>
    <n v="24"/>
    <n v="24"/>
    <n v="0"/>
    <n v="22"/>
    <n v="24"/>
    <n v="24"/>
    <n v="24"/>
    <n v="24"/>
    <n v="343.42366806559295"/>
    <m/>
    <m/>
    <n v="298.37188381299745"/>
  </r>
  <r>
    <x v="14"/>
    <x v="0"/>
    <n v="0"/>
    <n v="1272"/>
    <n v="1272"/>
    <n v="1290"/>
    <n v="0"/>
    <n v="0"/>
    <n v="0"/>
    <n v="0"/>
    <n v="24"/>
    <n v="24"/>
    <n v="0"/>
    <n v="1290"/>
    <n v="1290"/>
    <n v="1290"/>
    <n v="0"/>
    <n v="0"/>
    <n v="1290000"/>
    <n v="1290000"/>
    <n v="1279.1669000000002"/>
    <n v="1279.1669000000002"/>
    <n v="0"/>
    <n v="0"/>
    <n v="1279166.9000000001"/>
    <n v="36.29"/>
    <n v="36.29"/>
    <n v="1326.29"/>
    <n v="0"/>
    <n v="1279.1669000000002"/>
    <n v="169.37782797619047"/>
    <n v="7.0574094990079361"/>
    <n v="2"/>
    <n v="2"/>
    <n v="0"/>
    <n v="0"/>
    <n v="1"/>
    <n v="264.17205235814845"/>
    <n v="264.17205235814845"/>
    <n v="7"/>
    <n v="1849.2043665070389"/>
    <n v="8"/>
    <n v="2113.3764188651876"/>
    <n v="0"/>
    <n v="0"/>
    <n v="0"/>
    <n v="0"/>
    <n v="0"/>
    <n v="0"/>
    <n v="0"/>
    <n v="0.20478453671174299"/>
    <n v="132.08602617907422"/>
    <n v="132.08602617907422"/>
    <n v="1.4334917569822008"/>
    <n v="10.20194203191649"/>
    <n v="351032"/>
    <n v="12426"/>
    <n v="347574"/>
    <n v="347574"/>
    <n v="12226.956339423346"/>
    <n v="-199.04366057665356"/>
    <n v="-1.6279084921148983E-2"/>
    <n v="9632.5581395348836"/>
    <n v="8931.75"/>
    <n v="9218.9161792845807"/>
    <n v="9558.5308996217354"/>
    <n v="0.26943720930232556"/>
    <n v="0"/>
    <n v="0"/>
    <n v="0"/>
    <n v="1275.9510128898564"/>
    <s v="DIESEL"/>
    <n v="71"/>
    <n v="0"/>
    <n v="71"/>
    <n v="0"/>
    <n v="1505"/>
    <n v="19"/>
    <n v="24"/>
    <n v="24"/>
    <n v="20"/>
    <n v="0"/>
    <n v="0"/>
    <n v="24"/>
    <n v="24"/>
    <n v="24"/>
    <n v="24"/>
    <n v="264.17205235814845"/>
    <m/>
    <m/>
    <n v="277.87835512269862"/>
  </r>
  <r>
    <x v="15"/>
    <x v="0"/>
    <n v="0"/>
    <n v="1488"/>
    <n v="1488"/>
    <n v="1483"/>
    <n v="0"/>
    <n v="0"/>
    <n v="0"/>
    <n v="0"/>
    <n v="24"/>
    <n v="24"/>
    <n v="0"/>
    <n v="1483"/>
    <n v="1483"/>
    <n v="1483"/>
    <n v="537.73289999999997"/>
    <n v="0"/>
    <n v="1483000"/>
    <n v="1483000"/>
    <n v="1279.1669000000002"/>
    <n v="1279.1669000000002"/>
    <n v="537.73289999999997"/>
    <n v="0"/>
    <n v="1279166.9000000001"/>
    <n v="39.200000000000003"/>
    <n v="39.200000000000003"/>
    <n v="1522.2"/>
    <n v="0"/>
    <n v="1471.0788"/>
    <n v="156.28291329365084"/>
    <n v="6.5117880539021185"/>
    <n v="4"/>
    <n v="3"/>
    <n v="0"/>
    <n v="15.03"/>
    <n v="0.77"/>
    <n v="203.41248031577427"/>
    <n v="4173.9184272587445"/>
    <n v="7.3999999999999977"/>
    <n v="1954.8731874502976"/>
    <n v="23.199999999999996"/>
    <n v="6128.7916147090427"/>
    <n v="0"/>
    <n v="0"/>
    <n v="0"/>
    <n v="0"/>
    <n v="0"/>
    <n v="0"/>
    <n v="0"/>
    <n v="0.13716283231002985"/>
    <n v="50.853120078943569"/>
    <n v="67.804160105258092"/>
    <n v="1.3181882585639229"/>
    <n v="9.9459816769530729"/>
    <n v="383311"/>
    <n v="13569"/>
    <n v="379614"/>
    <n v="379614"/>
    <n v="13354.059290493116"/>
    <n v="-214.94070950688365"/>
    <n v="-1.6095533562585123E-2"/>
    <n v="9149.6965610249499"/>
    <n v="8775.91"/>
    <n v="8772.8677509480458"/>
    <n v="10439.653567093641"/>
    <n v="0.25597707349966287"/>
    <n v="29.068177089336"/>
    <n v="0"/>
    <n v="0"/>
    <n v="0"/>
    <s v="DIESEL"/>
    <n v="80"/>
    <n v="0"/>
    <n v="80"/>
    <n v="0"/>
    <n v="1505"/>
    <n v="24"/>
    <n v="24"/>
    <n v="24"/>
    <n v="24"/>
    <n v="0"/>
    <n v="13"/>
    <n v="24"/>
    <n v="21"/>
    <n v="24"/>
    <n v="24"/>
    <n v="203.41248031577427"/>
    <m/>
    <m/>
    <n v="805.84722985582573"/>
  </r>
  <r>
    <x v="16"/>
    <x v="0"/>
    <n v="0"/>
    <n v="1488"/>
    <n v="1488"/>
    <n v="1482"/>
    <n v="0"/>
    <n v="0"/>
    <n v="0"/>
    <n v="0"/>
    <n v="24"/>
    <n v="24"/>
    <n v="0"/>
    <n v="1482"/>
    <n v="1482"/>
    <n v="1482"/>
    <n v="0"/>
    <n v="0"/>
    <n v="1482000"/>
    <n v="1482000"/>
    <n v="1471.0787999999998"/>
    <n v="1471.0787999999998"/>
    <n v="0"/>
    <n v="0"/>
    <n v="1471078.7999999998"/>
    <n v="41.17"/>
    <n v="41.17"/>
    <n v="1523.17"/>
    <n v="0"/>
    <n v="1469.0334999999998"/>
    <n v="163.45320000000001"/>
    <n v="6.8105500000000001"/>
    <n v="0"/>
    <n v="0"/>
    <n v="0"/>
    <n v="0"/>
    <n v="1"/>
    <n v="264.17205235814845"/>
    <n v="264.17205235814845"/>
    <n v="7.3999999999999968"/>
    <n v="1954.8731874502973"/>
    <n v="8.3999999999999968"/>
    <n v="2219.0452398084458"/>
    <n v="0"/>
    <n v="10611"/>
    <n v="40.167004440024002"/>
    <n v="0"/>
    <n v="0"/>
    <n v="0"/>
    <n v="0"/>
    <n v="0.17825374653046455"/>
    <n v="0"/>
    <n v="0"/>
    <n v="1.3190777243254368"/>
    <n v="9.0503388307884194"/>
    <n v="404338"/>
    <n v="14313"/>
    <n v="400824"/>
    <n v="400824"/>
    <n v="14100.184558663834"/>
    <n v="-212.81544133616626"/>
    <n v="-1.5093096154220349E-2"/>
    <n v="9657.894736842105"/>
    <n v="8733.11"/>
    <n v="9257.1312188815646"/>
    <n v="9584.9281212290152"/>
    <n v="0.27046153846153848"/>
    <n v="0"/>
    <n v="46.2"/>
    <n v="0"/>
    <n v="0"/>
    <s v="DIESEL"/>
    <n v="80"/>
    <n v="0"/>
    <n v="80"/>
    <n v="0"/>
    <n v="1505"/>
    <n v="24"/>
    <n v="24"/>
    <n v="24"/>
    <n v="24"/>
    <n v="0"/>
    <n v="24"/>
    <n v="24"/>
    <n v="24"/>
    <n v="24"/>
    <n v="24"/>
    <n v="264.17205235814845"/>
    <m/>
    <m/>
    <n v="291.77227287883341"/>
  </r>
  <r>
    <x v="17"/>
    <x v="0"/>
    <n v="0"/>
    <n v="1084"/>
    <n v="1084"/>
    <n v="1122"/>
    <n v="0"/>
    <n v="0"/>
    <n v="0"/>
    <n v="0"/>
    <n v="22"/>
    <n v="24"/>
    <n v="2"/>
    <n v="1122"/>
    <n v="1122"/>
    <n v="1122"/>
    <n v="0"/>
    <n v="0"/>
    <n v="1122000"/>
    <n v="1122000"/>
    <n v="1469.0334999999998"/>
    <n v="1469.0334999999998"/>
    <n v="0"/>
    <n v="0"/>
    <n v="1469033.4999999998"/>
    <n v="33.79"/>
    <n v="33.023899999999998"/>
    <n v="1155.0238999999999"/>
    <n v="0.7661"/>
    <n v="1112.6262000000002"/>
    <n v="247.15603035714284"/>
    <n v="11.234365016233765"/>
    <n v="8"/>
    <n v="9"/>
    <n v="0"/>
    <n v="0"/>
    <n v="1.5"/>
    <n v="396.25807853722262"/>
    <n v="396.25807853722262"/>
    <n v="6"/>
    <n v="1585.0323141488905"/>
    <n v="7.5"/>
    <n v="1981.2903926861131"/>
    <n v="0"/>
    <n v="0"/>
    <n v="0"/>
    <n v="0"/>
    <n v="0"/>
    <n v="0"/>
    <n v="0"/>
    <n v="0.35317119299217703"/>
    <n v="49.532259817152827"/>
    <n v="44.028675393024734"/>
    <n v="1.4126847719687081"/>
    <n v="9.7095535393126919"/>
    <n v="305127"/>
    <n v="10801"/>
    <n v="302115"/>
    <n v="302115"/>
    <n v="10627.799877104973"/>
    <n v="-173.20012289502665"/>
    <n v="-1.6296893514916897E-2"/>
    <n v="9626.5597147950084"/>
    <n v="8772.36"/>
    <n v="9201.3679345552719"/>
    <n v="7234.5524299513763"/>
    <n v="0.26926470588235296"/>
    <n v="0"/>
    <n v="35.1"/>
    <n v="0"/>
    <n v="0"/>
    <s v="DIESEL"/>
    <n v="71"/>
    <n v="0"/>
    <n v="71"/>
    <n v="0"/>
    <n v="1505"/>
    <n v="0"/>
    <n v="20"/>
    <n v="22"/>
    <n v="19"/>
    <n v="0"/>
    <n v="18"/>
    <n v="21"/>
    <n v="21"/>
    <n v="20"/>
    <n v="22"/>
    <n v="396.25807853722262"/>
    <m/>
    <m/>
    <n v="260.51095792752994"/>
  </r>
  <r>
    <x v="18"/>
    <x v="0"/>
    <n v="0"/>
    <n v="1084"/>
    <n v="1084"/>
    <n v="1088"/>
    <n v="0"/>
    <n v="0"/>
    <n v="0"/>
    <n v="0"/>
    <n v="22"/>
    <n v="24"/>
    <n v="2"/>
    <n v="1088"/>
    <n v="1088"/>
    <n v="1088"/>
    <n v="313.2183"/>
    <n v="0"/>
    <n v="1088000"/>
    <n v="1088000"/>
    <n v="1112.6261999999999"/>
    <n v="1112.6261999999999"/>
    <n v="313.2183"/>
    <n v="0"/>
    <n v="1112626.2"/>
    <n v="32.07"/>
    <n v="31.3217"/>
    <n v="1119.3217"/>
    <n v="0.74829999999999997"/>
    <n v="1078.2339999999999"/>
    <n v="181.85685916666665"/>
    <n v="8.2662208712121199"/>
    <n v="9"/>
    <n v="9"/>
    <n v="0"/>
    <n v="14.8"/>
    <n v="1.5"/>
    <n v="396.25807853722262"/>
    <n v="4306.0044534378194"/>
    <n v="5.6500000000000021"/>
    <n v="1492.572095823539"/>
    <n v="21.950000000000003"/>
    <n v="5798.5765492613591"/>
    <n v="10649"/>
    <n v="0"/>
    <n v="40.310850087816"/>
    <n v="0"/>
    <n v="0"/>
    <n v="0"/>
    <n v="0"/>
    <n v="0.36420779277318255"/>
    <n v="44.028675393024734"/>
    <n v="44.028675393024734"/>
    <n v="1.3718493527789881"/>
    <n v="10.589853577139694"/>
    <n v="269003"/>
    <n v="9522"/>
    <n v="268810"/>
    <n v="268810"/>
    <n v="9456.1967627048907"/>
    <n v="-65.803237295109284"/>
    <n v="-6.9587423936266152E-3"/>
    <n v="8751.8382352941171"/>
    <n v="8864.9599999999991"/>
    <n v="8448.1492342236306"/>
    <n v="8498.9880363278262"/>
    <n v="0.24706801470588236"/>
    <n v="0"/>
    <n v="48"/>
    <n v="0"/>
    <n v="0"/>
    <s v="DIESEL"/>
    <n v="71"/>
    <n v="0"/>
    <n v="71"/>
    <n v="0"/>
    <n v="1505"/>
    <n v="12"/>
    <n v="22"/>
    <n v="22"/>
    <n v="20"/>
    <n v="0"/>
    <n v="20"/>
    <n v="21"/>
    <n v="20"/>
    <n v="4"/>
    <n v="16"/>
    <n v="396.25807853722262"/>
    <m/>
    <m/>
    <n v="762.42873686790438"/>
  </r>
  <r>
    <x v="19"/>
    <x v="0"/>
    <n v="0"/>
    <n v="1084"/>
    <n v="1084"/>
    <n v="1121"/>
    <n v="0"/>
    <n v="0"/>
    <n v="0"/>
    <n v="0"/>
    <n v="22"/>
    <n v="24"/>
    <n v="2"/>
    <n v="1121"/>
    <n v="1121"/>
    <n v="1121"/>
    <n v="0"/>
    <n v="0"/>
    <n v="1121000"/>
    <n v="1121000"/>
    <n v="1078.2340000000002"/>
    <n v="1078.2340000000002"/>
    <n v="0"/>
    <n v="0"/>
    <n v="1078234.0000000002"/>
    <n v="33.85"/>
    <n v="33.025400000000005"/>
    <n v="1154.0254"/>
    <n v="0.8246"/>
    <n v="1111.0107999999998"/>
    <n v="153.44003809523812"/>
    <n v="6.9745471861471877"/>
    <n v="9"/>
    <n v="9"/>
    <n v="0"/>
    <n v="1.6"/>
    <n v="1.2"/>
    <n v="317.00646282977812"/>
    <n v="739.68174660281556"/>
    <n v="6.0699999999999994"/>
    <n v="1603.5243578139607"/>
    <n v="8.8699999999999992"/>
    <n v="2343.2061044167767"/>
    <n v="0"/>
    <n v="0"/>
    <n v="0"/>
    <n v="0"/>
    <n v="0"/>
    <n v="0"/>
    <n v="0"/>
    <n v="0.28278899449578782"/>
    <n v="35.222940314419787"/>
    <n v="35.222940314419787"/>
    <n v="1.4304409971578598"/>
    <n v="9.8955131620906815"/>
    <n v="301765"/>
    <n v="10682"/>
    <n v="300789"/>
    <n v="300789"/>
    <n v="10581.153856096282"/>
    <n v="-100.84614390371826"/>
    <n v="-9.5307322126892829E-3"/>
    <n v="9528.9919714540574"/>
    <n v="8791.3799999999992"/>
    <n v="9168.9089825027095"/>
    <n v="9813.4114265514545"/>
    <n v="0.26832203389830511"/>
    <n v="0"/>
    <n v="47.1"/>
    <n v="0"/>
    <n v="0"/>
    <s v="DIESEL"/>
    <n v="71"/>
    <n v="0"/>
    <n v="71"/>
    <n v="0"/>
    <n v="1505"/>
    <n v="19"/>
    <n v="20"/>
    <n v="0"/>
    <n v="19"/>
    <n v="0"/>
    <n v="18"/>
    <n v="20"/>
    <n v="20"/>
    <n v="23"/>
    <n v="23"/>
    <n v="317.00646282977812"/>
    <m/>
    <m/>
    <n v="308.09762624229211"/>
  </r>
  <r>
    <x v="20"/>
    <x v="0"/>
    <n v="0"/>
    <n v="1272"/>
    <n v="1272"/>
    <n v="1308"/>
    <n v="0"/>
    <n v="0"/>
    <n v="0"/>
    <n v="0"/>
    <n v="22"/>
    <n v="24"/>
    <n v="2"/>
    <n v="1308"/>
    <n v="1308"/>
    <n v="1308"/>
    <n v="0"/>
    <n v="0"/>
    <n v="1308000"/>
    <n v="1308000"/>
    <n v="1111.0108"/>
    <n v="1111.0108"/>
    <n v="0"/>
    <n v="0"/>
    <n v="1111010.8"/>
    <n v="37.35"/>
    <n v="37.35"/>
    <n v="1345.35"/>
    <n v="0"/>
    <n v="1296.9072999999999"/>
    <n v="140.05455535714285"/>
    <n v="6.3661161525974022"/>
    <n v="1"/>
    <n v="1"/>
    <n v="0"/>
    <n v="0"/>
    <n v="1.3"/>
    <n v="343.42366806559295"/>
    <n v="343.42366806559295"/>
    <n v="7.0499999999999989"/>
    <n v="1862.4129691249461"/>
    <n v="8.35"/>
    <n v="2205.8366371905395"/>
    <n v="0"/>
    <n v="0"/>
    <n v="0"/>
    <n v="0"/>
    <n v="0"/>
    <n v="0"/>
    <n v="0"/>
    <n v="0.26255632115106492"/>
    <n v="343.42366806559295"/>
    <n v="343.42366806559295"/>
    <n v="1.4238631262423136"/>
    <n v="9.8730373437126442"/>
    <n v="354517"/>
    <n v="12549"/>
    <n v="353179"/>
    <n v="353179"/>
    <n v="12424.128999871102"/>
    <n v="-124.87100012889823"/>
    <n v="-1.0050684448800697E-2"/>
    <n v="9594.0366972477059"/>
    <n v="8707.4500000000007"/>
    <n v="9234.8675065009866"/>
    <n v="11182.725676358054"/>
    <n v="0.27001452599388381"/>
    <n v="0"/>
    <n v="0"/>
    <n v="0"/>
    <n v="0"/>
    <s v="DIESEL"/>
    <n v="71"/>
    <n v="0"/>
    <n v="71"/>
    <n v="0"/>
    <n v="1505"/>
    <n v="24"/>
    <n v="21"/>
    <n v="24"/>
    <n v="0"/>
    <n v="0"/>
    <n v="24"/>
    <n v="24"/>
    <n v="24"/>
    <n v="23"/>
    <n v="24"/>
    <n v="343.42366806559295"/>
    <m/>
    <m/>
    <n v="290.03553315931669"/>
  </r>
  <r>
    <x v="21"/>
    <x v="0"/>
    <n v="0"/>
    <n v="1272"/>
    <n v="1272"/>
    <n v="1302"/>
    <n v="0"/>
    <n v="0"/>
    <n v="0"/>
    <n v="0"/>
    <n v="24"/>
    <n v="24"/>
    <n v="0"/>
    <n v="1302"/>
    <n v="1302"/>
    <n v="1302"/>
    <n v="0"/>
    <n v="0"/>
    <n v="1302000"/>
    <n v="1302000"/>
    <n v="1296.9073000000001"/>
    <n v="1296.9073000000001"/>
    <n v="0"/>
    <n v="0"/>
    <n v="1296907.3"/>
    <n v="37.5"/>
    <n v="37.5"/>
    <n v="1339.5"/>
    <n v="0"/>
    <n v="1291.0401000000004"/>
    <n v="166.96170178571427"/>
    <n v="6.9567375744047615"/>
    <n v="1"/>
    <n v="1"/>
    <n v="0"/>
    <n v="0"/>
    <n v="0.8"/>
    <n v="211.33764188651872"/>
    <n v="211.33764188651872"/>
    <n v="6.7600000000000033"/>
    <n v="1785.8030739410842"/>
    <n v="7.5600000000000032"/>
    <n v="1997.1407158276029"/>
    <n v="0"/>
    <n v="0"/>
    <n v="0"/>
    <n v="0"/>
    <n v="0"/>
    <n v="0"/>
    <n v="0"/>
    <n v="0.16231769730147366"/>
    <n v="211.33764188651872"/>
    <n v="211.33764188651872"/>
    <n v="1.3715845421974533"/>
    <n v="9.5782024638486423"/>
    <n v="351901"/>
    <n v="12457"/>
    <n v="351979"/>
    <n v="351979"/>
    <n v="12381.915406198075"/>
    <n v="-75.084593801924711"/>
    <n v="-6.0640532049136154E-3"/>
    <n v="9567.5883256528414"/>
    <n v="8848.1"/>
    <n v="9243.6845137723594"/>
    <n v="9547.263251735938"/>
    <n v="0.27033717357910908"/>
    <n v="0"/>
    <n v="0"/>
    <n v="0"/>
    <n v="0"/>
    <s v="DIESEL"/>
    <n v="71"/>
    <n v="0"/>
    <n v="71"/>
    <n v="0"/>
    <n v="1505"/>
    <n v="24"/>
    <n v="24"/>
    <n v="18"/>
    <n v="1"/>
    <n v="0"/>
    <n v="24"/>
    <n v="24"/>
    <n v="24"/>
    <n v="24"/>
    <n v="23"/>
    <n v="211.33764188651872"/>
    <m/>
    <m/>
    <n v="262.59504559095029"/>
  </r>
  <r>
    <x v="22"/>
    <x v="0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291.0401000000002"/>
    <n v="1291.0401000000002"/>
    <n v="0"/>
    <n v="0"/>
    <n v="1291040.1000000001"/>
    <n v="37.049999999999997"/>
    <n v="37.049999999999997"/>
    <n v="1349.05"/>
    <n v="0"/>
    <n v="1300.6961000000001"/>
    <n v="169.02599464285714"/>
    <n v="7.0427497767857146"/>
    <n v="1"/>
    <n v="1"/>
    <n v="0"/>
    <n v="0"/>
    <n v="0.8"/>
    <n v="211.33764188651872"/>
    <n v="211.33764188651872"/>
    <n v="6.7100000000000035"/>
    <n v="1772.5944713231768"/>
    <n v="7.5100000000000033"/>
    <n v="1983.9321132096957"/>
    <n v="0"/>
    <n v="10844"/>
    <n v="41.049005385695999"/>
    <n v="0"/>
    <n v="0"/>
    <n v="0"/>
    <n v="0"/>
    <n v="0.1610805197305783"/>
    <n v="211.33764188651872"/>
    <n v="211.33764188651872"/>
    <n v="1.3510628592402263"/>
    <n v="9.6705840595393635"/>
    <n v="352331"/>
    <n v="12472"/>
    <n v="352167"/>
    <n v="352167"/>
    <n v="12388.528869206852"/>
    <n v="-83.471130793148404"/>
    <n v="-6.7377758630103157E-3"/>
    <n v="9506.0975609756097"/>
    <n v="8759.2900000000009"/>
    <n v="9183.150268119678"/>
    <n v="9595.7738796857284"/>
    <n v="0.2684199695121951"/>
    <n v="0"/>
    <n v="10.17"/>
    <n v="0"/>
    <n v="0"/>
    <s v="DIESEL"/>
    <n v="71"/>
    <n v="0"/>
    <n v="71"/>
    <n v="0"/>
    <n v="1505"/>
    <n v="24"/>
    <n v="24"/>
    <n v="0"/>
    <n v="23"/>
    <n v="0"/>
    <n v="16"/>
    <n v="24"/>
    <n v="24"/>
    <n v="24"/>
    <n v="24"/>
    <n v="211.33764188651872"/>
    <m/>
    <m/>
    <n v="260.85830587143346"/>
  </r>
  <r>
    <x v="23"/>
    <x v="0"/>
    <n v="0"/>
    <n v="1272"/>
    <n v="1272"/>
    <n v="1314"/>
    <n v="0"/>
    <n v="0"/>
    <n v="0"/>
    <n v="0"/>
    <n v="24"/>
    <n v="24"/>
    <n v="0"/>
    <n v="1314"/>
    <n v="1314"/>
    <n v="1314"/>
    <n v="0"/>
    <n v="0"/>
    <n v="1314000"/>
    <n v="1314000"/>
    <n v="1300.6960999999997"/>
    <n v="1300.6960999999997"/>
    <n v="0"/>
    <n v="0"/>
    <n v="1300696.0999999996"/>
    <n v="37.049999999999997"/>
    <n v="37.049999999999997"/>
    <n v="1351.05"/>
    <n v="0"/>
    <n v="1302.8917999999999"/>
    <n v="168.38095714285711"/>
    <n v="7.0158732142857128"/>
    <n v="1"/>
    <n v="1"/>
    <n v="0"/>
    <n v="1.5"/>
    <n v="1.2"/>
    <n v="317.00646282977812"/>
    <n v="713.26454136700079"/>
    <n v="6.9300000000000006"/>
    <n v="1830.7123228419689"/>
    <n v="9.6300000000000008"/>
    <n v="2543.9768642089693"/>
    <n v="0"/>
    <n v="0"/>
    <n v="0"/>
    <n v="0"/>
    <n v="0"/>
    <n v="0"/>
    <n v="0"/>
    <n v="0.24125301585219033"/>
    <n v="317.00646282977812"/>
    <n v="317.00646282977812"/>
    <n v="1.3932361665463995"/>
    <n v="9.8710717778468844"/>
    <n v="352655"/>
    <n v="12484"/>
    <n v="351625"/>
    <n v="351625"/>
    <n v="12369.462396064535"/>
    <n v="-114.53760393546509"/>
    <n v="-9.2597075174347381E-3"/>
    <n v="9500.7610350076102"/>
    <n v="8875.7900000000009"/>
    <n v="9155.4438370634216"/>
    <n v="9509.8788995096857"/>
    <n v="0.26759893455098932"/>
    <n v="0"/>
    <n v="37.380000000000003"/>
    <n v="0"/>
    <n v="0"/>
    <s v="DIESEL"/>
    <n v="71"/>
    <n v="0"/>
    <n v="71"/>
    <n v="0"/>
    <n v="1505"/>
    <n v="24"/>
    <n v="23"/>
    <n v="23"/>
    <n v="24"/>
    <n v="0"/>
    <n v="18"/>
    <n v="24"/>
    <n v="24"/>
    <n v="24"/>
    <n v="0"/>
    <n v="317.00646282977812"/>
    <m/>
    <m/>
    <n v="334.49606997894841"/>
  </r>
  <r>
    <x v="24"/>
    <x v="0"/>
    <n v="0"/>
    <n v="1326"/>
    <n v="1326"/>
    <n v="1325"/>
    <n v="0"/>
    <n v="0"/>
    <n v="0"/>
    <n v="0"/>
    <n v="23"/>
    <n v="24"/>
    <n v="1"/>
    <n v="1325"/>
    <n v="1325"/>
    <n v="1325"/>
    <n v="270.28639999999996"/>
    <n v="0"/>
    <n v="1325000"/>
    <n v="1325000"/>
    <n v="1302.8917999999999"/>
    <n v="1302.8917999999999"/>
    <n v="270.28639999999996"/>
    <n v="0"/>
    <n v="1302891.7999999998"/>
    <n v="37.869999999999997"/>
    <n v="37.220700000000001"/>
    <n v="1362.2207000000001"/>
    <n v="0.6493000000000001"/>
    <n v="1344.9562999999998"/>
    <n v="149.84172138888889"/>
    <n v="6.5148574516908209"/>
    <n v="11"/>
    <n v="10"/>
    <n v="0"/>
    <n v="6.6"/>
    <n v="1.8"/>
    <n v="475.50969424466717"/>
    <n v="2219.0452398084467"/>
    <n v="6.839999999999999"/>
    <n v="1806.936838129735"/>
    <n v="15.239999999999998"/>
    <n v="4025.9820779381816"/>
    <n v="10830"/>
    <n v="0"/>
    <n v="40.996009620719995"/>
    <n v="0"/>
    <n v="0"/>
    <n v="0"/>
    <n v="0"/>
    <n v="0.35887524093937145"/>
    <n v="43.228154022242471"/>
    <n v="47.550969424466714"/>
    <n v="1.3637259155696113"/>
    <n v="9.0689499858458529"/>
    <n v="364843"/>
    <n v="12915"/>
    <n v="353244"/>
    <n v="353244"/>
    <n v="12426.41556952839"/>
    <n v="-488.58443047161018"/>
    <n v="-3.9318211091354402E-2"/>
    <n v="9747.1698113207549"/>
    <n v="8792.25"/>
    <n v="9122.1749673370759"/>
    <n v="9537.5652602375649"/>
    <n v="0.26659924528301887"/>
    <n v="0"/>
    <n v="39.6"/>
    <n v="0"/>
    <n v="0"/>
    <s v="DIESEL"/>
    <n v="71"/>
    <n v="0"/>
    <n v="71"/>
    <n v="0"/>
    <n v="1505"/>
    <n v="23"/>
    <n v="22"/>
    <n v="21"/>
    <n v="21"/>
    <n v="0"/>
    <n v="20"/>
    <n v="20"/>
    <n v="21"/>
    <n v="21"/>
    <n v="21"/>
    <n v="475.50969424466717"/>
    <m/>
    <m/>
    <n v="529.35826650874083"/>
  </r>
  <r>
    <x v="25"/>
    <x v="0"/>
    <n v="0"/>
    <n v="1488"/>
    <n v="1488"/>
    <n v="1514"/>
    <n v="0"/>
    <n v="0"/>
    <n v="0"/>
    <n v="0"/>
    <n v="24"/>
    <n v="24"/>
    <n v="0"/>
    <n v="1514"/>
    <n v="1514"/>
    <n v="1514"/>
    <n v="467.2509"/>
    <n v="0"/>
    <n v="1514000"/>
    <n v="1514000"/>
    <n v="1344.9563000000001"/>
    <n v="1344.9563000000001"/>
    <n v="467.2509"/>
    <n v="0"/>
    <n v="1344956.3"/>
    <n v="39.71"/>
    <n v="39.71"/>
    <n v="1553.71"/>
    <n v="0"/>
    <n v="1500.9693000000002"/>
    <n v="160.90350515873016"/>
    <n v="6.7043127149470898"/>
    <n v="3"/>
    <n v="3"/>
    <n v="0"/>
    <n v="18.3"/>
    <n v="1"/>
    <n v="264.17205235814845"/>
    <n v="5098.5206105122643"/>
    <n v="7.0999999999999988"/>
    <n v="1875.6215717428536"/>
    <n v="26.4"/>
    <n v="6974.1421822551183"/>
    <n v="0"/>
    <n v="10590"/>
    <n v="40.087510792560003"/>
    <n v="0"/>
    <n v="0"/>
    <n v="0"/>
    <n v="0"/>
    <n v="0.17448616404104916"/>
    <n v="88.057350786049483"/>
    <n v="88.057350786049483"/>
    <n v="1.2388517646914488"/>
    <n v="9.5358335996311485"/>
    <n v="384449"/>
    <n v="13609"/>
    <n v="383986"/>
    <n v="383986"/>
    <n v="13507.857483441838"/>
    <n v="-101.14251655816224"/>
    <n v="-7.4876801655735905E-3"/>
    <n v="8988.7714663143979"/>
    <n v="8667.36"/>
    <n v="8693.9374036608097"/>
    <n v="10043.343031622542"/>
    <n v="0.25362351387054161"/>
    <n v="0"/>
    <n v="0"/>
    <n v="0"/>
    <n v="0"/>
    <s v="DIESEL"/>
    <n v="80"/>
    <n v="0"/>
    <n v="80"/>
    <n v="0"/>
    <n v="1505"/>
    <n v="24"/>
    <n v="15"/>
    <n v="24"/>
    <n v="24"/>
    <n v="0"/>
    <n v="22"/>
    <n v="24"/>
    <n v="24"/>
    <n v="24"/>
    <n v="24"/>
    <n v="264.17205235814845"/>
    <m/>
    <m/>
    <n v="916.99857190490536"/>
  </r>
  <r>
    <x v="26"/>
    <x v="0"/>
    <n v="0"/>
    <n v="1488"/>
    <n v="1488"/>
    <n v="1520"/>
    <n v="0"/>
    <n v="0"/>
    <n v="0"/>
    <n v="0"/>
    <n v="24"/>
    <n v="24"/>
    <n v="0"/>
    <n v="1520"/>
    <n v="1520"/>
    <n v="1520"/>
    <n v="875.48629999999991"/>
    <n v="0"/>
    <n v="1520000"/>
    <n v="1520000"/>
    <n v="1500.9693000000002"/>
    <n v="1500.9693000000002"/>
    <n v="875.48629999999991"/>
    <n v="0"/>
    <n v="1500969.3000000003"/>
    <n v="39.950000000000003"/>
    <n v="39.950000000000003"/>
    <n v="1559.95"/>
    <n v="0"/>
    <n v="1505.8326000000002"/>
    <n v="186.33662519841266"/>
    <n v="7.7640260499338609"/>
    <n v="3"/>
    <n v="3"/>
    <n v="0"/>
    <n v="24.7"/>
    <n v="1.2"/>
    <n v="317.00646282977812"/>
    <n v="6842.0561560760443"/>
    <n v="7.1999999999999975"/>
    <n v="1902.038776978668"/>
    <n v="33.099999999999994"/>
    <n v="8744.0949330547101"/>
    <n v="0"/>
    <n v="0"/>
    <n v="0"/>
    <n v="0"/>
    <n v="0"/>
    <n v="0"/>
    <n v="0"/>
    <n v="0.20855688344064349"/>
    <n v="105.66882094325938"/>
    <n v="105.66882094325938"/>
    <n v="1.2513413006438605"/>
    <n v="9.8319788567389921"/>
    <n v="379116"/>
    <n v="13420"/>
    <n v="378082"/>
    <n v="378082"/>
    <n v="13300.166602570554"/>
    <n v="-119.83339742944554"/>
    <n v="-9.0099170191059903E-3"/>
    <n v="8828.9473684210534"/>
    <n v="8697.34"/>
    <n v="8526.0210920674072"/>
    <n v="8861.0517234233575"/>
    <n v="0.24873815789473686"/>
    <n v="0"/>
    <n v="0"/>
    <n v="0"/>
    <n v="2858.3416065151659"/>
    <s v="DIESEL"/>
    <n v="80"/>
    <n v="0"/>
    <n v="80"/>
    <n v="0"/>
    <n v="1505"/>
    <n v="24"/>
    <n v="24"/>
    <n v="24"/>
    <n v="24"/>
    <n v="0"/>
    <n v="23"/>
    <n v="24"/>
    <n v="24"/>
    <n v="24"/>
    <n v="14"/>
    <n v="317.00646282977812"/>
    <m/>
    <m/>
    <n v="1149.7216943201652"/>
  </r>
  <r>
    <x v="27"/>
    <x v="0"/>
    <n v="0"/>
    <n v="1137"/>
    <n v="1137"/>
    <n v="1310"/>
    <n v="4"/>
    <n v="212"/>
    <n v="0"/>
    <n v="0"/>
    <n v="23"/>
    <n v="24"/>
    <n v="1"/>
    <n v="1522"/>
    <n v="1310"/>
    <n v="1310"/>
    <n v="0"/>
    <n v="0"/>
    <n v="1310000"/>
    <n v="1310000"/>
    <n v="1505.8325999999997"/>
    <n v="1505.8325999999997"/>
    <n v="0"/>
    <n v="0"/>
    <n v="1505832.5999999996"/>
    <n v="37.68"/>
    <n v="37.68"/>
    <n v="1347.68"/>
    <n v="0"/>
    <n v="1299.0275999999999"/>
    <n v="193.79818749999995"/>
    <n v="8.4260081521739103"/>
    <n v="2"/>
    <n v="3"/>
    <n v="0"/>
    <n v="0"/>
    <n v="0.8"/>
    <n v="211.33764188651872"/>
    <n v="211.33764188651872"/>
    <n v="6.9200000000000008"/>
    <n v="1828.0706023183873"/>
    <n v="7.7200000000000006"/>
    <n v="2039.4082442049062"/>
    <n v="0"/>
    <n v="0"/>
    <n v="0"/>
    <n v="0"/>
    <n v="0"/>
    <n v="0"/>
    <n v="0"/>
    <n v="0.16132644418818223"/>
    <n v="105.66882094325936"/>
    <n v="70.445880628839575"/>
    <n v="1.3954737422277765"/>
    <n v="9.8042425384110459"/>
    <n v="356028"/>
    <n v="12603"/>
    <n v="355368"/>
    <n v="355368"/>
    <n v="12501.133630329645"/>
    <n v="-101.8663696703552"/>
    <n v="-8.1485705762885333E-3"/>
    <n v="9620.6106870228996"/>
    <n v="8838.81"/>
    <n v="9276.0400320028821"/>
    <n v="8301.8083353552356"/>
    <n v="0.27127328244274806"/>
    <n v="0"/>
    <n v="0"/>
    <n v="0"/>
    <n v="0"/>
    <s v="DIESEL"/>
    <n v="71"/>
    <n v="0"/>
    <n v="71"/>
    <n v="0"/>
    <n v="1505"/>
    <n v="24"/>
    <n v="24"/>
    <n v="21"/>
    <n v="20"/>
    <n v="0"/>
    <n v="0"/>
    <n v="24"/>
    <n v="24"/>
    <n v="24"/>
    <n v="24"/>
    <n v="211.33764188651872"/>
    <m/>
    <m/>
    <n v="268.15261269340419"/>
  </r>
  <r>
    <x v="28"/>
    <x v="0"/>
    <n v="0"/>
    <n v="978"/>
    <n v="981"/>
    <n v="1022"/>
    <n v="0"/>
    <n v="0"/>
    <n v="2"/>
    <n v="142"/>
    <n v="20"/>
    <n v="24"/>
    <n v="4"/>
    <n v="1164"/>
    <n v="1022"/>
    <n v="1022"/>
    <n v="0"/>
    <n v="0"/>
    <n v="1022000"/>
    <n v="1022000"/>
    <n v="1299.0276000000001"/>
    <n v="1299.0276000000001"/>
    <n v="0"/>
    <n v="0"/>
    <n v="1299027.6000000001"/>
    <n v="31.81"/>
    <n v="29.768599999999999"/>
    <n v="1051.7686000000001"/>
    <n v="2.0413999999999999"/>
    <n v="1013.6327"/>
    <n v="207.37573333333336"/>
    <n v="10.368786666666669"/>
    <n v="10"/>
    <n v="10"/>
    <n v="1"/>
    <n v="6.6"/>
    <n v="1.8"/>
    <n v="475.50969424466717"/>
    <n v="2219.0452398084467"/>
    <n v="5.2900000000000018"/>
    <n v="1397.4701569746057"/>
    <n v="13.690000000000001"/>
    <n v="3616.5153967830524"/>
    <n v="10609"/>
    <n v="0"/>
    <n v="40.159433616455999"/>
    <n v="0"/>
    <n v="0"/>
    <n v="0"/>
    <n v="0"/>
    <n v="0.46527367342922427"/>
    <n v="47.550969424466714"/>
    <n v="47.550969424466714"/>
    <n v="1.3673876291336651"/>
    <n v="9.5657538800321635"/>
    <n v="269831"/>
    <n v="9552"/>
    <n v="268349"/>
    <n v="268349"/>
    <n v="9439.9797071355042"/>
    <n v="-112.02029286449579"/>
    <n v="-1.1866581956719859E-2"/>
    <n v="9346.3796477495107"/>
    <n v="8950.4500000000007"/>
    <n v="8975.3389739297254"/>
    <n v="7266.9585366280926"/>
    <n v="0.26257240704500978"/>
    <n v="0"/>
    <n v="0"/>
    <n v="0"/>
    <n v="0"/>
    <s v="DIESEL"/>
    <n v="71"/>
    <n v="0"/>
    <n v="71"/>
    <n v="0"/>
    <n v="1505"/>
    <n v="21"/>
    <n v="18"/>
    <n v="18"/>
    <n v="17"/>
    <n v="0"/>
    <n v="17"/>
    <n v="17"/>
    <n v="0"/>
    <n v="18"/>
    <n v="20"/>
    <n v="475.50969424466717"/>
    <m/>
    <m/>
    <n v="475.51933520371807"/>
  </r>
  <r>
    <x v="29"/>
    <x v="0"/>
    <n v="0"/>
    <n v="1264"/>
    <n v="1264"/>
    <n v="1307"/>
    <n v="0"/>
    <n v="0"/>
    <n v="0"/>
    <n v="0"/>
    <n v="22"/>
    <n v="24"/>
    <n v="2"/>
    <n v="1307"/>
    <n v="1307"/>
    <n v="1307"/>
    <n v="0"/>
    <n v="0"/>
    <n v="1307000"/>
    <n v="1307000"/>
    <n v="1013.6326999999999"/>
    <n v="1013.6326999999999"/>
    <n v="0"/>
    <n v="0"/>
    <n v="1013632.6999999998"/>
    <n v="37.450000000000003"/>
    <n v="36.492000000000004"/>
    <n v="1343.492"/>
    <n v="0.95799999999999996"/>
    <n v="1294.7347999999997"/>
    <n v="124.19645555555554"/>
    <n v="5.6452934343434338"/>
    <n v="8"/>
    <n v="7"/>
    <n v="0"/>
    <n v="0"/>
    <n v="2.1"/>
    <n v="554.76130995211167"/>
    <n v="554.76130995211167"/>
    <n v="6.2399999999999975"/>
    <n v="1648.4336067148454"/>
    <n v="8.3399999999999981"/>
    <n v="2203.1949166669574"/>
    <n v="0"/>
    <n v="0"/>
    <n v="0"/>
    <n v="0"/>
    <n v="0"/>
    <n v="0"/>
    <n v="0"/>
    <n v="0.42445394793581614"/>
    <n v="69.345163744013959"/>
    <n v="79.251615707444529"/>
    <n v="1.2612345881521387"/>
    <n v="8.44494454413433"/>
    <n v="350621"/>
    <n v="12411"/>
    <n v="349713"/>
    <n v="349713"/>
    <n v="12302.202070145515"/>
    <n v="-108.79792985448512"/>
    <n v="-8.8437768485783146E-3"/>
    <n v="9495.7918898240241"/>
    <n v="8954.0499999999993"/>
    <n v="9156.8852439355906"/>
    <n v="12136.745460308764"/>
    <n v="0.26756924254016834"/>
    <n v="0"/>
    <n v="46.8"/>
    <n v="0"/>
    <n v="0"/>
    <s v="DIESEL"/>
    <n v="80"/>
    <n v="0"/>
    <n v="80"/>
    <n v="0"/>
    <n v="1505"/>
    <n v="22"/>
    <n v="20"/>
    <n v="21"/>
    <n v="18"/>
    <n v="0"/>
    <n v="18"/>
    <n v="20"/>
    <n v="21"/>
    <n v="21"/>
    <n v="23"/>
    <n v="554.76130995211167"/>
    <m/>
    <m/>
    <n v="289.68818521541323"/>
  </r>
  <r>
    <x v="30"/>
    <x v="0"/>
    <n v="0"/>
    <n v="1488"/>
    <n v="1488"/>
    <n v="1508"/>
    <n v="0"/>
    <n v="0"/>
    <n v="0"/>
    <n v="0"/>
    <n v="24"/>
    <n v="24"/>
    <n v="0"/>
    <n v="1508"/>
    <n v="1508"/>
    <n v="1508"/>
    <n v="311.75880000000001"/>
    <n v="0"/>
    <n v="1508000"/>
    <n v="1508000"/>
    <n v="1294.7348"/>
    <n v="1294.7348"/>
    <n v="311.75880000000001"/>
    <n v="0"/>
    <n v="1294734.8"/>
    <n v="40.9"/>
    <n v="40.9"/>
    <n v="1548.9"/>
    <n v="0"/>
    <n v="1494.2703000000001"/>
    <n v="148.07825277777775"/>
    <n v="6.1699271990740732"/>
    <n v="4"/>
    <n v="5"/>
    <n v="0"/>
    <n v="5.7"/>
    <n v="2"/>
    <n v="528.3441047162969"/>
    <n v="2034.1248031577429"/>
    <n v="7.6500000000000021"/>
    <n v="2020.9162005398359"/>
    <n v="15.350000000000001"/>
    <n v="4055.0410036975786"/>
    <n v="0"/>
    <n v="0"/>
    <n v="0"/>
    <n v="0"/>
    <n v="0"/>
    <n v="0"/>
    <n v="0"/>
    <n v="0.3503608121460855"/>
    <n v="132.08602617907422"/>
    <n v="105.66882094325938"/>
    <n v="1.3401301064587772"/>
    <n v="9.6435029298333319"/>
    <n v="396922"/>
    <n v="14050"/>
    <n v="396830"/>
    <n v="396830"/>
    <n v="13959.683647722115"/>
    <n v="-90.316352277885017"/>
    <n v="-6.4697993562785701E-3"/>
    <n v="9316.9761273209533"/>
    <n v="8989.51"/>
    <n v="9012.6435842998999"/>
    <n v="10781.886489590081"/>
    <n v="0.26314986737400531"/>
    <n v="0"/>
    <n v="0"/>
    <n v="0"/>
    <n v="0"/>
    <s v="DIESEL"/>
    <n v="80"/>
    <n v="0"/>
    <n v="80"/>
    <n v="0"/>
    <n v="1505"/>
    <n v="23"/>
    <n v="24"/>
    <n v="24"/>
    <n v="24"/>
    <n v="0"/>
    <n v="20"/>
    <n v="24"/>
    <n v="24"/>
    <n v="23"/>
    <n v="24"/>
    <n v="528.3441047162969"/>
    <m/>
    <m/>
    <n v="533.17909389167801"/>
  </r>
  <r>
    <x v="31"/>
    <x v="1"/>
    <n v="0"/>
    <n v="1488"/>
    <n v="1434"/>
    <n v="1434"/>
    <n v="10"/>
    <n v="530"/>
    <n v="1"/>
    <n v="53"/>
    <n v="24"/>
    <n v="24"/>
    <n v="0"/>
    <n v="2017"/>
    <n v="1434"/>
    <n v="1434"/>
    <n v="0"/>
    <n v="0"/>
    <n v="1434000"/>
    <n v="1434000"/>
    <n v="1421.8445000000002"/>
    <n v="1421.8445000000002"/>
    <n v="0"/>
    <n v="0"/>
    <n v="1421844.5000000002"/>
    <n v="38.53"/>
    <n v="38.53"/>
    <n v="1472.53"/>
    <n v="0"/>
    <n v="1421.8444999999999"/>
    <n v="173.2830486111111"/>
    <n v="7.2201270254629621"/>
    <n v="1"/>
    <n v="1"/>
    <n v="0"/>
    <n v="3.9"/>
    <n v="2.4"/>
    <n v="634.01292565955623"/>
    <n v="1664.2839298563351"/>
    <n v="6.6"/>
    <n v="1743.5355455637796"/>
    <n v="12.9"/>
    <n v="3407.8194754201145"/>
    <n v="0"/>
    <n v="0"/>
    <n v="0"/>
    <n v="0"/>
    <n v="0"/>
    <n v="0"/>
    <n v="0"/>
    <n v="0.44212895792158735"/>
    <n v="634.01292565955623"/>
    <n v="634.01292565955623"/>
    <n v="1.215854634284365"/>
    <n v="8.8531270555904911"/>
    <n v="379907"/>
    <n v="13448"/>
    <n v="379617"/>
    <n v="379617"/>
    <n v="13354.835126788468"/>
    <n v="-93.164873211531813"/>
    <n v="-6.9761155661631769E-3"/>
    <n v="9377.9637377963736"/>
    <n v="8427.5499999999993"/>
    <n v="9069.3127656404067"/>
    <n v="9392.6129944508466"/>
    <n v="0.26472594142259415"/>
    <n v="0"/>
    <n v="0"/>
    <n v="0"/>
    <n v="0"/>
    <s v="DIESEL"/>
    <n v="80"/>
    <n v="0"/>
    <n v="80"/>
    <n v="0"/>
    <n v="1505"/>
    <n v="24"/>
    <n v="24"/>
    <n v="22"/>
    <n v="6"/>
    <n v="0"/>
    <n v="22"/>
    <n v="24"/>
    <n v="24"/>
    <n v="24"/>
    <n v="24"/>
    <n v="634.01292565955623"/>
    <m/>
    <m/>
    <n v="448.07884763535145"/>
  </r>
  <r>
    <x v="32"/>
    <x v="1"/>
    <n v="0"/>
    <n v="1264"/>
    <n v="1123"/>
    <n v="1123"/>
    <n v="20"/>
    <n v="1024"/>
    <n v="0"/>
    <n v="0"/>
    <n v="22"/>
    <n v="22"/>
    <n v="0"/>
    <n v="2147"/>
    <n v="1123"/>
    <n v="1123"/>
    <n v="0"/>
    <n v="0"/>
    <n v="1123000"/>
    <n v="1123000"/>
    <n v="1111.9875999999997"/>
    <n v="1111.9875999999997"/>
    <n v="0"/>
    <n v="0"/>
    <n v="1111987.5999999996"/>
    <n v="35.17"/>
    <n v="34.3247"/>
    <n v="1157.3246999999999"/>
    <n v="0.84530000000000005"/>
    <n v="1111.9875999999999"/>
    <n v="147.47497599206346"/>
    <n v="6.7034079996392482"/>
    <n v="8"/>
    <n v="7"/>
    <n v="0"/>
    <n v="2.6"/>
    <n v="0.7"/>
    <n v="184.92043665070389"/>
    <n v="871.76777278188979"/>
    <n v="5.9300000000000015"/>
    <n v="1566.5402704838207"/>
    <n v="9.2300000000000022"/>
    <n v="2438.3080432657102"/>
    <n v="0"/>
    <n v="10509"/>
    <n v="39.780892438056"/>
    <n v="0"/>
    <n v="0"/>
    <n v="0"/>
    <n v="0"/>
    <n v="0.16466646184390374"/>
    <n v="23.115054581337986"/>
    <n v="26.417205235814841"/>
    <n v="1.3949601696204992"/>
    <n v="8.6559152803925734"/>
    <n v="300776"/>
    <n v="10647"/>
    <n v="300635"/>
    <n v="300635"/>
    <n v="10576.267286085846"/>
    <n v="-70.732713914154374"/>
    <n v="-6.6878712499267535E-3"/>
    <n v="9480.8548530721273"/>
    <n v="8868.4599999999991"/>
    <n v="9138.5479685051632"/>
    <n v="9511.1377915417834"/>
    <n v="0.26770703472840607"/>
    <n v="31.100943217344"/>
    <n v="0"/>
    <n v="0"/>
    <n v="0"/>
    <s v="DIESEL"/>
    <n v="80"/>
    <n v="0"/>
    <n v="80"/>
    <n v="0"/>
    <n v="1505"/>
    <n v="22"/>
    <n v="19"/>
    <n v="20"/>
    <n v="15"/>
    <n v="0"/>
    <n v="20"/>
    <n v="20"/>
    <n v="16"/>
    <n v="21"/>
    <n v="16"/>
    <n v="184.92043665070389"/>
    <m/>
    <m/>
    <n v="320.60215222281357"/>
  </r>
  <r>
    <x v="33"/>
    <x v="1"/>
    <n v="0"/>
    <n v="1326"/>
    <n v="1264"/>
    <n v="1301"/>
    <n v="0"/>
    <n v="0"/>
    <n v="0"/>
    <n v="0"/>
    <n v="22"/>
    <n v="24"/>
    <n v="2"/>
    <n v="1301"/>
    <n v="1301"/>
    <n v="1301"/>
    <n v="0"/>
    <n v="0"/>
    <n v="1301000"/>
    <n v="1301000"/>
    <n v="1289.2734999999998"/>
    <n v="1289.2734999999998"/>
    <n v="0"/>
    <n v="0"/>
    <n v="1289273.4999999998"/>
    <n v="37.270000000000003"/>
    <n v="36.292100000000005"/>
    <n v="1337.2921000000001"/>
    <n v="0.9779000000000001"/>
    <n v="1289.2735"/>
    <n v="156.62281956349207"/>
    <n v="7.1192190710678211"/>
    <n v="7"/>
    <n v="7"/>
    <n v="0"/>
    <n v="46.8"/>
    <n v="2.2000000000000002"/>
    <n v="581.17851518792656"/>
    <n v="12944.430565549274"/>
    <n v="6.47"/>
    <n v="1709.1931787572203"/>
    <n v="55.47"/>
    <n v="14653.623744306493"/>
    <n v="0"/>
    <n v="0"/>
    <n v="0"/>
    <n v="0"/>
    <n v="0"/>
    <n v="0"/>
    <n v="0"/>
    <n v="0.44671676801531635"/>
    <n v="83.025502169703799"/>
    <n v="83.025502169703799"/>
    <n v="1.3137534041177712"/>
    <n v="8.6439471682321649"/>
    <n v="298486"/>
    <n v="10566"/>
    <n v="297794"/>
    <n v="297794"/>
    <n v="10476.321586617156"/>
    <n v="-89.678413382844155"/>
    <n v="-8.5601050560917026E-3"/>
    <n v="8121.4450422751734"/>
    <n v="8629.76"/>
    <n v="7833.9815113071818"/>
    <n v="8125.755773788228"/>
    <n v="0.22889623366641046"/>
    <n v="0"/>
    <n v="0"/>
    <n v="0"/>
    <n v="0"/>
    <s v="DIESEL"/>
    <n v="80"/>
    <n v="0"/>
    <n v="80"/>
    <n v="0"/>
    <n v="1505"/>
    <n v="22"/>
    <n v="19"/>
    <n v="17"/>
    <n v="19"/>
    <n v="0"/>
    <n v="20"/>
    <n v="20"/>
    <n v="21"/>
    <n v="20"/>
    <n v="23"/>
    <n v="581.17851518792656"/>
    <m/>
    <m/>
    <n v="1926.7390448320114"/>
  </r>
  <r>
    <x v="34"/>
    <x v="1"/>
    <n v="0"/>
    <n v="1202"/>
    <n v="1202"/>
    <n v="1248"/>
    <n v="0"/>
    <n v="0"/>
    <n v="0"/>
    <n v="0"/>
    <n v="21"/>
    <n v="24"/>
    <n v="3"/>
    <n v="1248"/>
    <n v="1248"/>
    <n v="1248"/>
    <n v="0"/>
    <n v="0"/>
    <n v="1248000"/>
    <n v="1248000"/>
    <n v="1237.1931"/>
    <n v="1237.1931"/>
    <n v="0"/>
    <n v="0"/>
    <n v="1237193.0999999999"/>
    <n v="35.979999999999997"/>
    <n v="34.0625"/>
    <n v="1282.0625"/>
    <n v="1.9174999999999998"/>
    <n v="1237.1931000000002"/>
    <n v="150.07500178571428"/>
    <n v="7.146428656462585"/>
    <n v="9"/>
    <n v="9"/>
    <n v="1"/>
    <n v="33"/>
    <n v="2"/>
    <n v="528.3441047162969"/>
    <n v="9246.0218325351943"/>
    <n v="5.6999999999999993"/>
    <n v="1505.7806984414458"/>
    <n v="40.700000000000003"/>
    <n v="10751.802530976642"/>
    <n v="0"/>
    <n v="0"/>
    <n v="0"/>
    <n v="0"/>
    <n v="0"/>
    <n v="0"/>
    <n v="0"/>
    <n v="0.42335264800985328"/>
    <n v="58.704900524032986"/>
    <n v="58.704900524032986"/>
    <n v="1.2065550468280815"/>
    <n v="7.9454439315621528"/>
    <n v="297518"/>
    <n v="10532"/>
    <n v="297452"/>
    <n v="297452"/>
    <n v="10464.290108539615"/>
    <n v="-67.709891460384824"/>
    <n v="-6.4705671152148845E-3"/>
    <n v="8439.1025641025644"/>
    <n v="8591.3700000000008"/>
    <n v="8162.074866505819"/>
    <n v="8458.0896131247537"/>
    <n v="0.23834294871794873"/>
    <n v="0"/>
    <n v="0"/>
    <n v="0"/>
    <n v="0"/>
    <s v="DIESEL"/>
    <n v="80"/>
    <n v="0"/>
    <n v="80"/>
    <n v="0"/>
    <n v="1505"/>
    <n v="22"/>
    <n v="17"/>
    <n v="17"/>
    <n v="19"/>
    <n v="0"/>
    <n v="19"/>
    <n v="19"/>
    <n v="21"/>
    <n v="20"/>
    <n v="16"/>
    <n v="528.3441047162969"/>
    <m/>
    <m/>
    <n v="1413.7061316867291"/>
  </r>
  <r>
    <x v="35"/>
    <x v="1"/>
    <n v="0"/>
    <n v="1016"/>
    <n v="1016"/>
    <n v="1053"/>
    <n v="0"/>
    <n v="0"/>
    <n v="0"/>
    <n v="0"/>
    <n v="18"/>
    <n v="24"/>
    <n v="6"/>
    <n v="1053"/>
    <n v="1053"/>
    <n v="1053"/>
    <n v="0"/>
    <n v="0"/>
    <n v="1053000"/>
    <n v="1053000"/>
    <n v="1043.2576999999999"/>
    <n v="1043.2576999999999"/>
    <n v="0"/>
    <n v="0"/>
    <n v="1043257.6999999998"/>
    <n v="29.25"/>
    <n v="27.3215"/>
    <n v="1080.3215"/>
    <n v="1.9285000000000001"/>
    <n v="1043.2576999999999"/>
    <n v="133.54322698412699"/>
    <n v="7.4190681657848323"/>
    <n v="9"/>
    <n v="9"/>
    <n v="1"/>
    <n v="2.2000000000000002"/>
    <n v="1.7"/>
    <n v="449.09248900885234"/>
    <n v="1030.2710041967789"/>
    <n v="5.0799999999999983"/>
    <n v="1341.9940259793934"/>
    <n v="8.9799999999999986"/>
    <n v="2372.2650301761723"/>
    <n v="0"/>
    <n v="0"/>
    <n v="0"/>
    <n v="0"/>
    <n v="0"/>
    <n v="0"/>
    <n v="0"/>
    <n v="0.42648859355066698"/>
    <n v="49.899165445428039"/>
    <n v="49.899165445428039"/>
    <n v="1.2744482677866984"/>
    <n v="9.0231197666356699"/>
    <n v="280393"/>
    <n v="9926"/>
    <n v="279627"/>
    <n v="279627"/>
    <n v="9837.2108783286276"/>
    <n v="-88.789121671372413"/>
    <n v="-9.0258430737694996E-3"/>
    <n v="9426.4007597340933"/>
    <n v="8616.43"/>
    <n v="9105.8179239500714"/>
    <n v="9429.3201749947566"/>
    <n v="0.26555270655270657"/>
    <n v="0"/>
    <n v="0"/>
    <n v="0"/>
    <n v="0"/>
    <s v="DIESEL"/>
    <n v="80"/>
    <n v="0"/>
    <n v="80"/>
    <n v="0"/>
    <n v="1505"/>
    <n v="19"/>
    <n v="13"/>
    <n v="15"/>
    <n v="18"/>
    <n v="0"/>
    <n v="17"/>
    <n v="14"/>
    <n v="16"/>
    <n v="16"/>
    <n v="19"/>
    <n v="449.09248900885234"/>
    <m/>
    <m/>
    <n v="311.91845362522912"/>
  </r>
  <r>
    <x v="36"/>
    <x v="1"/>
    <n v="0"/>
    <n v="1488"/>
    <n v="1488"/>
    <n v="1251"/>
    <n v="6"/>
    <n v="86"/>
    <n v="0"/>
    <n v="0"/>
    <n v="24"/>
    <n v="21"/>
    <n v="-3"/>
    <n v="1337"/>
    <n v="1251"/>
    <n v="1251"/>
    <n v="0"/>
    <n v="0"/>
    <n v="1251000"/>
    <n v="1251000"/>
    <n v="1240.7678999999998"/>
    <n v="1240.7678999999998"/>
    <n v="0"/>
    <n v="0"/>
    <n v="1240767.8999999999"/>
    <n v="35.4"/>
    <n v="34.0717"/>
    <n v="1285.0717"/>
    <n v="1.3283"/>
    <n v="1240.7679000000001"/>
    <n v="157.30016031746035"/>
    <n v="6.554173346560848"/>
    <n v="9"/>
    <n v="9"/>
    <n v="1"/>
    <n v="1.3"/>
    <n v="1"/>
    <n v="264.17205235814845"/>
    <n v="607.59572042374134"/>
    <n v="6.0899999999999981"/>
    <n v="1608.8077988611235"/>
    <n v="8.3899999999999988"/>
    <n v="2216.4035192848646"/>
    <n v="0"/>
    <n v="0"/>
    <n v="0"/>
    <n v="0"/>
    <n v="0"/>
    <n v="0"/>
    <n v="0"/>
    <n v="0.21116870692098197"/>
    <n v="29.352450262016493"/>
    <n v="29.352450262016493"/>
    <n v="1.2860174251487797"/>
    <n v="8.851313417521121"/>
    <n v="333881"/>
    <n v="11819"/>
    <n v="333880"/>
    <n v="333880"/>
    <n v="11745.818422599972"/>
    <n v="-73.181577400027891"/>
    <n v="-6.2304366343021444E-3"/>
    <n v="9447.6418864908064"/>
    <n v="8944.67"/>
    <n v="9140.2047236741528"/>
    <n v="9466.5718081520117"/>
    <n v="0.26689048760991207"/>
    <n v="0"/>
    <n v="30.3"/>
    <n v="0"/>
    <n v="0"/>
    <s v="DIESEL"/>
    <n v="80"/>
    <n v="0"/>
    <n v="80"/>
    <n v="0"/>
    <n v="1505"/>
    <n v="19"/>
    <n v="17"/>
    <n v="20"/>
    <n v="19"/>
    <n v="0"/>
    <n v="19"/>
    <n v="17"/>
    <n v="18"/>
    <n v="19"/>
    <n v="21"/>
    <n v="264.17205235814845"/>
    <m/>
    <m/>
    <n v="291.42492493493006"/>
  </r>
  <r>
    <x v="37"/>
    <x v="1"/>
    <n v="0"/>
    <n v="1488"/>
    <n v="1488"/>
    <n v="1539"/>
    <n v="0"/>
    <n v="0"/>
    <n v="0"/>
    <n v="0"/>
    <n v="24"/>
    <n v="24"/>
    <n v="0"/>
    <n v="1539"/>
    <n v="1539"/>
    <n v="1539"/>
    <n v="0"/>
    <n v="0"/>
    <n v="1539000"/>
    <n v="1539000"/>
    <n v="1524.6209000000001"/>
    <n v="1524.6209000000001"/>
    <n v="0"/>
    <n v="0"/>
    <n v="1524620.9000000001"/>
    <n v="39.880000000000003"/>
    <n v="39.880000000000003"/>
    <n v="1578.88"/>
    <n v="0"/>
    <n v="1524.6209000000001"/>
    <n v="175.57590833333333"/>
    <n v="7.3156628472222218"/>
    <n v="1"/>
    <n v="1"/>
    <n v="0"/>
    <n v="0"/>
    <n v="1.4"/>
    <n v="369.84087330140778"/>
    <n v="369.84087330140778"/>
    <n v="7.4199999999999982"/>
    <n v="1960.1566284974608"/>
    <n v="8.8199999999999985"/>
    <n v="2329.9975017988686"/>
    <n v="11007"/>
    <n v="0"/>
    <n v="41.666027506488"/>
    <n v="0"/>
    <n v="0"/>
    <n v="0"/>
    <n v="0"/>
    <n v="0.24031245828551512"/>
    <n v="369.84087330140778"/>
    <n v="369.84087330140778"/>
    <n v="1.2736560289132299"/>
    <n v="9.4050142714544513"/>
    <n v="408666"/>
    <n v="14466"/>
    <n v="408666"/>
    <n v="408666"/>
    <n v="14376.771988409728"/>
    <n v="-89.228011590272217"/>
    <n v="-6.2064009683262759E-3"/>
    <n v="9399.6101364522419"/>
    <n v="8661.2800000000007"/>
    <n v="9105.6774348967156"/>
    <n v="9429.7356073301416"/>
    <n v="0.26553996101364524"/>
    <n v="0"/>
    <n v="32.700000000000003"/>
    <n v="0"/>
    <n v="0"/>
    <s v="DIESEL"/>
    <n v="80"/>
    <n v="0"/>
    <n v="80"/>
    <n v="0"/>
    <n v="1505"/>
    <n v="17"/>
    <n v="23"/>
    <n v="24"/>
    <n v="24"/>
    <n v="0"/>
    <n v="24"/>
    <n v="24"/>
    <n v="24"/>
    <n v="24"/>
    <n v="24"/>
    <n v="369.84087330140778"/>
    <m/>
    <m/>
    <n v="306.3608865227751"/>
  </r>
  <r>
    <x v="38"/>
    <x v="1"/>
    <n v="0"/>
    <n v="1488"/>
    <n v="1488"/>
    <n v="1541"/>
    <n v="0"/>
    <n v="0"/>
    <n v="0"/>
    <n v="0"/>
    <n v="24"/>
    <n v="24"/>
    <n v="0"/>
    <n v="1541"/>
    <n v="1541"/>
    <n v="1541"/>
    <n v="0"/>
    <n v="0"/>
    <n v="1541000"/>
    <n v="1541000"/>
    <n v="1526.6874999999998"/>
    <n v="1526.6874999999998"/>
    <n v="0"/>
    <n v="0"/>
    <n v="1526687.4999999998"/>
    <n v="40.479999999999997"/>
    <n v="40.479999999999997"/>
    <n v="1581.48"/>
    <n v="0"/>
    <n v="1526.6874999999998"/>
    <n v="174.05027083333331"/>
    <n v="7.2520946180555548"/>
    <n v="2"/>
    <n v="2"/>
    <n v="0"/>
    <n v="0"/>
    <n v="0.8"/>
    <n v="211.33764188651872"/>
    <n v="211.33764188651872"/>
    <n v="6.56"/>
    <n v="1732.9686634694538"/>
    <n v="7.3599999999999994"/>
    <n v="1944.3063053559722"/>
    <n v="0"/>
    <n v="11015"/>
    <n v="41.696310800760003"/>
    <n v="0"/>
    <n v="0"/>
    <n v="0"/>
    <n v="0"/>
    <n v="0.1371431809776241"/>
    <n v="105.66882094325936"/>
    <n v="105.66882094325936"/>
    <n v="1.1245740840165177"/>
    <n v="8.2339738078760831"/>
    <n v="412143"/>
    <n v="14589"/>
    <n v="412140"/>
    <n v="412140"/>
    <n v="14498.986476250007"/>
    <n v="-90.013523749992601"/>
    <n v="-6.2082631704939379E-3"/>
    <n v="9467.2290720311485"/>
    <n v="8736.1299999999992"/>
    <n v="9167.9859854376955"/>
    <n v="9497.0231145863254"/>
    <n v="0.26744970798182999"/>
    <n v="0"/>
    <n v="0"/>
    <n v="0"/>
    <n v="0"/>
    <s v="DIESEL"/>
    <n v="80"/>
    <n v="0"/>
    <n v="80"/>
    <n v="0"/>
    <n v="1505"/>
    <n v="22"/>
    <n v="24"/>
    <n v="24"/>
    <n v="24"/>
    <n v="0"/>
    <n v="19"/>
    <n v="24"/>
    <n v="24"/>
    <n v="24"/>
    <n v="24"/>
    <n v="211.33764188651872"/>
    <m/>
    <m/>
    <n v="255.64808671288267"/>
  </r>
  <r>
    <x v="39"/>
    <x v="1"/>
    <n v="0"/>
    <n v="1488"/>
    <n v="1488"/>
    <n v="1548"/>
    <n v="0"/>
    <n v="0"/>
    <n v="0"/>
    <n v="0"/>
    <n v="24"/>
    <n v="24"/>
    <n v="0"/>
    <n v="1548"/>
    <n v="1548"/>
    <n v="1548"/>
    <n v="0"/>
    <n v="0"/>
    <n v="1548000"/>
    <n v="1548000"/>
    <n v="1534.8798000000002"/>
    <n v="1534.8798000000002"/>
    <n v="0"/>
    <n v="0"/>
    <n v="1534879.8"/>
    <n v="40.81"/>
    <n v="40.81"/>
    <n v="1588.81"/>
    <n v="0"/>
    <n v="1534.8798000000004"/>
    <n v="174.0959013888889"/>
    <n v="7.2539958912037044"/>
    <n v="1"/>
    <n v="1"/>
    <n v="0"/>
    <n v="0"/>
    <n v="1"/>
    <n v="264.17205235814845"/>
    <n v="264.17205235814845"/>
    <n v="7.4199999999999964"/>
    <n v="1960.1566284974604"/>
    <n v="8.4199999999999964"/>
    <n v="2224.3286808556086"/>
    <n v="11002"/>
    <n v="0"/>
    <n v="41.647100447568"/>
    <n v="0"/>
    <n v="0"/>
    <n v="0"/>
    <n v="0"/>
    <n v="0.17065378059311914"/>
    <n v="264.17205235814845"/>
    <n v="264.17205235814845"/>
    <n v="1.2662510520009433"/>
    <n v="9.2643671139489552"/>
    <n v="415157"/>
    <n v="14696"/>
    <n v="415152"/>
    <n v="415152"/>
    <n v="14604.947914757468"/>
    <n v="-91.052085242532485"/>
    <n v="-6.2343313905645322E-3"/>
    <n v="9493.5400516795871"/>
    <n v="8871.89"/>
    <n v="9192.3816660000048"/>
    <n v="9515.3691609971465"/>
    <n v="0.26818604651162792"/>
    <n v="0"/>
    <n v="0"/>
    <n v="0"/>
    <n v="0"/>
    <s v="DIESEL"/>
    <n v="80"/>
    <n v="0"/>
    <n v="80"/>
    <n v="0"/>
    <n v="1505"/>
    <n v="24"/>
    <n v="24"/>
    <n v="24"/>
    <n v="24"/>
    <n v="0"/>
    <n v="24"/>
    <n v="24"/>
    <n v="19"/>
    <n v="24"/>
    <n v="24"/>
    <n v="264.17205235814845"/>
    <m/>
    <m/>
    <n v="292.46696876664015"/>
  </r>
  <r>
    <x v="40"/>
    <x v="1"/>
    <n v="0"/>
    <n v="1488"/>
    <n v="1488"/>
    <n v="1545"/>
    <n v="0"/>
    <n v="0"/>
    <n v="0"/>
    <n v="0"/>
    <n v="24"/>
    <n v="24"/>
    <n v="0"/>
    <n v="1545"/>
    <n v="1545"/>
    <n v="1545"/>
    <n v="0"/>
    <n v="0"/>
    <n v="1545000"/>
    <n v="1545000"/>
    <n v="1530.3915000000002"/>
    <n v="1530.3915000000002"/>
    <n v="0"/>
    <n v="0"/>
    <n v="1530391.5000000002"/>
    <n v="41.11"/>
    <n v="41.11"/>
    <n v="1586.11"/>
    <n v="0"/>
    <n v="1530.3915"/>
    <n v="171.80094583333337"/>
    <n v="7.1583727430555575"/>
    <n v="2"/>
    <n v="2"/>
    <n v="0"/>
    <n v="0"/>
    <n v="1.4"/>
    <n v="369.84087330140778"/>
    <n v="369.84087330140778"/>
    <n v="7.2899999999999965"/>
    <n v="1925.814261690901"/>
    <n v="8.6899999999999959"/>
    <n v="2295.6551349923088"/>
    <n v="0"/>
    <n v="0"/>
    <n v="0"/>
    <n v="0"/>
    <n v="0"/>
    <n v="0"/>
    <n v="0"/>
    <n v="0.23937920602032867"/>
    <n v="184.92043665070389"/>
    <n v="184.92043665070389"/>
    <n v="1.2464817227772822"/>
    <n v="9.00906194760746"/>
    <n v="414838"/>
    <n v="14685"/>
    <n v="414837"/>
    <n v="414837"/>
    <n v="14593.866290212365"/>
    <n v="-91.133709787634871"/>
    <n v="-6.244658404795397E-3"/>
    <n v="9504.8543689320395"/>
    <n v="8823.77"/>
    <n v="9201.042985803233"/>
    <n v="9536.0345965149208"/>
    <n v="0.26850291262135922"/>
    <n v="0"/>
    <n v="0"/>
    <n v="0"/>
    <n v="5.2834410471629729"/>
    <s v="DIESEL"/>
    <n v="80"/>
    <n v="0"/>
    <n v="80"/>
    <n v="0"/>
    <n v="1505"/>
    <n v="22"/>
    <n v="24"/>
    <n v="24"/>
    <n v="24"/>
    <n v="0"/>
    <n v="24"/>
    <n v="22"/>
    <n v="24"/>
    <n v="24"/>
    <n v="24"/>
    <n v="369.84087330140778"/>
    <m/>
    <m/>
    <n v="301.84536325203123"/>
  </r>
  <r>
    <x v="41"/>
    <x v="1"/>
    <n v="0"/>
    <n v="1488"/>
    <n v="1488"/>
    <n v="1532"/>
    <n v="0"/>
    <n v="0"/>
    <n v="0"/>
    <n v="0"/>
    <n v="24"/>
    <n v="24"/>
    <n v="0"/>
    <n v="1532"/>
    <n v="1532"/>
    <n v="1532"/>
    <n v="0"/>
    <n v="0"/>
    <n v="1532000"/>
    <n v="1532000"/>
    <n v="1518.7914000000001"/>
    <n v="1518.7914000000001"/>
    <n v="0"/>
    <n v="0"/>
    <n v="1518791.4000000001"/>
    <n v="40.53"/>
    <n v="40.53"/>
    <n v="1572.53"/>
    <n v="0"/>
    <n v="1518.7913999999998"/>
    <n v="174.03074583333336"/>
    <n v="7.2512810763888895"/>
    <n v="1"/>
    <n v="1"/>
    <n v="0"/>
    <n v="0"/>
    <n v="1"/>
    <n v="264.17205235814845"/>
    <n v="264.17205235814845"/>
    <n v="7.4699999999999962"/>
    <n v="1973.3652311153678"/>
    <n v="8.4699999999999953"/>
    <n v="2237.5372834735158"/>
    <n v="0"/>
    <n v="0"/>
    <n v="0"/>
    <n v="0"/>
    <n v="0"/>
    <n v="0"/>
    <n v="0"/>
    <n v="0.17243606550792981"/>
    <n v="264.17205235814845"/>
    <n v="264.17205235814845"/>
    <n v="1.2880974093442348"/>
    <n v="9.4218307794170642"/>
    <n v="411156"/>
    <n v="14554"/>
    <n v="411151"/>
    <n v="411151"/>
    <n v="14464.193693154428"/>
    <n v="-89.80630684557218"/>
    <n v="-6.2088705911118609E-3"/>
    <n v="9500"/>
    <n v="8506.61"/>
    <n v="9198.0399058551684"/>
    <n v="9523.4893304995185"/>
    <n v="0.26837532637075717"/>
    <n v="0"/>
    <n v="0"/>
    <n v="0"/>
    <n v="0"/>
    <s v="DIESEL"/>
    <n v="80"/>
    <n v="0"/>
    <n v="80"/>
    <n v="0"/>
    <n v="1505"/>
    <n v="24"/>
    <n v="24"/>
    <n v="24"/>
    <n v="24"/>
    <n v="0"/>
    <n v="24"/>
    <n v="24"/>
    <n v="24"/>
    <n v="18"/>
    <n v="24"/>
    <n v="264.17205235814845"/>
    <m/>
    <m/>
    <n v="294.20370848615693"/>
  </r>
  <r>
    <x v="42"/>
    <x v="1"/>
    <n v="0"/>
    <n v="1488"/>
    <n v="1488"/>
    <n v="1547"/>
    <n v="0"/>
    <n v="0"/>
    <n v="0"/>
    <n v="0"/>
    <n v="24"/>
    <n v="24"/>
    <n v="0"/>
    <n v="1547"/>
    <n v="1547"/>
    <n v="1547"/>
    <n v="0"/>
    <n v="0"/>
    <n v="1547000"/>
    <n v="1547000"/>
    <n v="1533.1939"/>
    <n v="1533.1939"/>
    <n v="0"/>
    <n v="0"/>
    <n v="1533193.9"/>
    <n v="41.02"/>
    <n v="41.02"/>
    <n v="1588.02"/>
    <n v="0"/>
    <n v="1533.1939000000002"/>
    <n v="173.92203333333333"/>
    <n v="7.2467513888888888"/>
    <n v="1"/>
    <n v="1"/>
    <n v="0"/>
    <n v="0"/>
    <n v="1.2"/>
    <n v="317.00646282977812"/>
    <n v="317.00646282977812"/>
    <n v="7.6400000000000015"/>
    <n v="2018.2744800162545"/>
    <n v="8.8400000000000016"/>
    <n v="2335.2809428460328"/>
    <n v="0"/>
    <n v="0"/>
    <n v="0"/>
    <n v="0"/>
    <n v="0"/>
    <n v="0"/>
    <n v="0"/>
    <n v="0.20491691197787854"/>
    <n v="317.00646282977812"/>
    <n v="317.00646282977812"/>
    <n v="1.3046376729258271"/>
    <n v="9.5395463351553573"/>
    <n v="415561"/>
    <n v="14710"/>
    <n v="414459"/>
    <n v="414459"/>
    <n v="14580.568340758242"/>
    <n v="-129.4316592417581"/>
    <n v="-8.876996850660979E-3"/>
    <n v="9508.7265675500967"/>
    <n v="8902.02"/>
    <n v="9181.6024614036614"/>
    <n v="9509.9310927066981"/>
    <n v="0.26791144149967677"/>
    <n v="0"/>
    <n v="0"/>
    <n v="0"/>
    <n v="0"/>
    <s v="DIESEL"/>
    <n v="80"/>
    <n v="0"/>
    <n v="80"/>
    <n v="0"/>
    <n v="1505"/>
    <n v="24"/>
    <n v="24"/>
    <n v="18"/>
    <n v="24"/>
    <n v="0"/>
    <n v="24"/>
    <n v="24"/>
    <n v="24"/>
    <n v="24"/>
    <n v="24"/>
    <n v="317.00646282977812"/>
    <m/>
    <m/>
    <n v="307.05558241058208"/>
  </r>
  <r>
    <x v="43"/>
    <x v="1"/>
    <n v="0"/>
    <n v="1488"/>
    <n v="1488"/>
    <n v="1515"/>
    <n v="0"/>
    <n v="0"/>
    <n v="0"/>
    <n v="0"/>
    <n v="24"/>
    <n v="24"/>
    <n v="0"/>
    <n v="1515"/>
    <n v="1515"/>
    <n v="1515"/>
    <n v="0"/>
    <n v="0"/>
    <n v="1515000"/>
    <n v="1515000"/>
    <n v="1502.0784000000001"/>
    <n v="1502.0784000000001"/>
    <n v="0"/>
    <n v="0"/>
    <n v="1502078.4000000001"/>
    <n v="41.34"/>
    <n v="41.34"/>
    <n v="1556.34"/>
    <n v="0"/>
    <n v="1502.0784000000001"/>
    <n v="170.43092083333337"/>
    <n v="7.101288368055557"/>
    <n v="1"/>
    <n v="1"/>
    <n v="0"/>
    <n v="0"/>
    <n v="0.8"/>
    <n v="211.33764188651872"/>
    <n v="211.33764188651872"/>
    <n v="7.349999999999997"/>
    <n v="1941.6645848323901"/>
    <n v="8.1499999999999968"/>
    <n v="2153.0022267189088"/>
    <n v="0"/>
    <n v="10989"/>
    <n v="41.597890094376005"/>
    <n v="0"/>
    <n v="0"/>
    <n v="0"/>
    <n v="0"/>
    <n v="0.13949679332443479"/>
    <n v="211.33764188651872"/>
    <n v="211.33764188651872"/>
    <n v="1.2816267886682442"/>
    <n v="9.1772270272335952"/>
    <n v="410932"/>
    <n v="14546"/>
    <n v="408478"/>
    <n v="408478"/>
    <n v="14370.158193443125"/>
    <n v="-175.84180655687487"/>
    <n v="-1.2236595045774006E-2"/>
    <n v="9601.3201320132011"/>
    <n v="8925.33"/>
    <n v="9233.3026160370646"/>
    <n v="9566.8496354405488"/>
    <n v="0.26962244224422444"/>
    <n v="0"/>
    <n v="0"/>
    <n v="7.536754861943999"/>
    <n v="0"/>
    <s v="DIESEL"/>
    <n v="80"/>
    <n v="0"/>
    <n v="80"/>
    <n v="0"/>
    <n v="1505"/>
    <n v="24"/>
    <n v="24"/>
    <n v="24"/>
    <n v="20"/>
    <n v="0"/>
    <n v="24"/>
    <n v="24"/>
    <n v="24"/>
    <n v="24"/>
    <n v="24"/>
    <n v="211.33764188651872"/>
    <m/>
    <m/>
    <n v="283.08857428124912"/>
  </r>
  <r>
    <x v="44"/>
    <x v="1"/>
    <n v="0"/>
    <n v="1488"/>
    <n v="1488"/>
    <n v="1519"/>
    <n v="0"/>
    <n v="0"/>
    <n v="0"/>
    <n v="0"/>
    <n v="24"/>
    <n v="24"/>
    <n v="0"/>
    <n v="1519"/>
    <n v="1519"/>
    <n v="1519"/>
    <n v="0"/>
    <n v="0"/>
    <n v="1519000"/>
    <n v="1519000"/>
    <n v="1504.2514999999999"/>
    <n v="1504.2514999999999"/>
    <n v="0"/>
    <n v="0"/>
    <n v="1504251.4999999998"/>
    <n v="40.659999999999997"/>
    <n v="40.659999999999997"/>
    <n v="1559.66"/>
    <n v="0"/>
    <n v="1504.2515000000003"/>
    <n v="176.68985555555557"/>
    <n v="7.3620773148148153"/>
    <n v="2"/>
    <n v="2"/>
    <n v="0"/>
    <n v="0"/>
    <n v="1.5"/>
    <n v="396.25807853722262"/>
    <n v="396.25807853722262"/>
    <n v="7.4399999999999986"/>
    <n v="1965.4400695446238"/>
    <n v="8.9399999999999977"/>
    <n v="2361.6981480818463"/>
    <n v="0"/>
    <n v="0"/>
    <n v="0"/>
    <n v="0"/>
    <n v="0"/>
    <n v="0"/>
    <n v="0"/>
    <n v="0.26086772780593986"/>
    <n v="198.12903926861131"/>
    <n v="198.12903926861131"/>
    <n v="1.2939039299174613"/>
    <n v="9.6199161394442143"/>
    <n v="409797"/>
    <n v="14506"/>
    <n v="406424"/>
    <n v="406424"/>
    <n v="14297.898965456961"/>
    <n v="-208.10103454303862"/>
    <n v="-1.4554658348460899E-2"/>
    <n v="9549.7037524687294"/>
    <n v="8870.16"/>
    <n v="9167.3178548253854"/>
    <n v="9504.9923270523341"/>
    <n v="0.267560236998025"/>
    <n v="0"/>
    <n v="46.8"/>
    <n v="0"/>
    <n v="0"/>
    <s v="DIESEL"/>
    <n v="80"/>
    <n v="0"/>
    <n v="80"/>
    <n v="0"/>
    <n v="1505"/>
    <n v="19"/>
    <n v="24"/>
    <n v="24"/>
    <n v="19"/>
    <n v="0"/>
    <n v="24"/>
    <n v="24"/>
    <n v="24"/>
    <n v="24"/>
    <n v="24"/>
    <n v="396.25807853722262"/>
    <m/>
    <m/>
    <n v="310.52906184961557"/>
  </r>
  <r>
    <x v="45"/>
    <x v="1"/>
    <n v="0"/>
    <n v="1488"/>
    <n v="1488"/>
    <n v="1526"/>
    <n v="0"/>
    <n v="0"/>
    <n v="0"/>
    <n v="0"/>
    <n v="24"/>
    <n v="24"/>
    <n v="0"/>
    <n v="1526"/>
    <n v="1526"/>
    <n v="1526"/>
    <n v="0"/>
    <n v="0"/>
    <n v="1526000"/>
    <n v="1526000"/>
    <n v="1513.3906999999999"/>
    <n v="1513.3906999999999"/>
    <n v="0"/>
    <n v="0"/>
    <n v="1513390.7"/>
    <n v="40.4"/>
    <n v="40.4"/>
    <n v="1566.4"/>
    <n v="0"/>
    <n v="1513.3907000000002"/>
    <n v="176.60945714285717"/>
    <n v="7.3587273809523817"/>
    <n v="2"/>
    <n v="2"/>
    <n v="0"/>
    <n v="0"/>
    <n v="0.9"/>
    <n v="237.75484712233359"/>
    <n v="237.75484712233359"/>
    <n v="7.53"/>
    <n v="1989.2155542568576"/>
    <n v="8.43"/>
    <n v="2226.9704013791911"/>
    <n v="10992"/>
    <n v="0"/>
    <n v="41.609246329727995"/>
    <n v="0"/>
    <n v="0"/>
    <n v="0"/>
    <n v="0"/>
    <n v="0.15580265211162095"/>
    <n v="118.87742356116679"/>
    <n v="118.87742356116679"/>
    <n v="1.3035488560005619"/>
    <n v="9.6710208519539744"/>
    <n v="407847"/>
    <n v="14437"/>
    <n v="406966"/>
    <n v="406966"/>
    <n v="14316.966395626632"/>
    <n v="-120.03360437336778"/>
    <n v="-8.3840110437106378E-3"/>
    <n v="9460.6815203145488"/>
    <n v="8886.26"/>
    <n v="9140.0449410282381"/>
    <n v="9460.1918695724999"/>
    <n v="0.26668807339449541"/>
    <n v="0"/>
    <n v="11.4"/>
    <n v="0"/>
    <n v="0"/>
    <s v="DIESEL"/>
    <n v="80"/>
    <n v="0"/>
    <n v="80"/>
    <n v="0"/>
    <n v="1505"/>
    <n v="24"/>
    <n v="19"/>
    <n v="24"/>
    <n v="24"/>
    <n v="0"/>
    <n v="23"/>
    <n v="24"/>
    <n v="24"/>
    <n v="24"/>
    <n v="20"/>
    <n v="237.75484712233359"/>
    <m/>
    <m/>
    <n v="292.81431671054361"/>
  </r>
  <r>
    <x v="46"/>
    <x v="1"/>
    <n v="0"/>
    <n v="1272"/>
    <n v="1272"/>
    <n v="1314"/>
    <n v="0"/>
    <n v="0"/>
    <n v="0"/>
    <n v="0"/>
    <n v="24"/>
    <n v="24"/>
    <n v="0"/>
    <n v="1314"/>
    <n v="1314"/>
    <n v="1314"/>
    <n v="0"/>
    <n v="0"/>
    <n v="1314000"/>
    <n v="1314000"/>
    <n v="1303.9017000000001"/>
    <n v="1303.9017000000001"/>
    <n v="0"/>
    <n v="0"/>
    <n v="1303901.7000000002"/>
    <n v="38.090000000000003"/>
    <n v="38.090000000000003"/>
    <n v="1352.09"/>
    <n v="0"/>
    <n v="1303.9016999999997"/>
    <n v="165.88430892857144"/>
    <n v="6.9118462053571434"/>
    <n v="1"/>
    <n v="2"/>
    <n v="0"/>
    <n v="0"/>
    <n v="0.4"/>
    <n v="105.66882094325936"/>
    <n v="105.66882094325936"/>
    <n v="6.8900000000000015"/>
    <n v="1820.1454407476431"/>
    <n v="7.2900000000000018"/>
    <n v="1925.8142616909024"/>
    <n v="0"/>
    <n v="0"/>
    <n v="0"/>
    <n v="0"/>
    <n v="0"/>
    <n v="0"/>
    <n v="0"/>
    <n v="8.0417671950730102E-2"/>
    <n v="105.66882094325936"/>
    <n v="52.834410471629681"/>
    <n v="1.3851943993513265"/>
    <n v="9.6469972691502424"/>
    <n v="356977"/>
    <n v="12636"/>
    <n v="356128"/>
    <n v="356128"/>
    <n v="12528.49773332839"/>
    <n v="-107.50226667161041"/>
    <n v="-8.5806190781862225E-3"/>
    <n v="9616.4383561643845"/>
    <n v="8948.36"/>
    <n v="9266.023514210141"/>
    <n v="9608.467979854915"/>
    <n v="0.27102587519025872"/>
    <n v="0"/>
    <n v="36.51"/>
    <n v="0"/>
    <n v="0"/>
    <s v="DIESEL"/>
    <n v="71"/>
    <n v="0"/>
    <n v="71"/>
    <n v="0"/>
    <n v="1505"/>
    <n v="24"/>
    <n v="0"/>
    <n v="24"/>
    <n v="24"/>
    <n v="0"/>
    <n v="24"/>
    <n v="21"/>
    <n v="24"/>
    <n v="24"/>
    <n v="24"/>
    <n v="105.66882094325936"/>
    <m/>
    <m/>
    <n v="253.21665110555915"/>
  </r>
  <r>
    <x v="47"/>
    <x v="1"/>
    <n v="0"/>
    <n v="1272"/>
    <n v="1272"/>
    <n v="1303"/>
    <n v="0"/>
    <n v="0"/>
    <n v="0"/>
    <n v="0"/>
    <n v="24"/>
    <n v="24"/>
    <n v="0"/>
    <n v="1303"/>
    <n v="1303"/>
    <n v="1303"/>
    <n v="0"/>
    <n v="0"/>
    <n v="1303000"/>
    <n v="1303000"/>
    <n v="1291.3788999999999"/>
    <n v="1291.3788999999999"/>
    <n v="0"/>
    <n v="0"/>
    <n v="1291378.8999999999"/>
    <n v="37.479999999999997"/>
    <n v="37.479999999999997"/>
    <n v="1340.48"/>
    <n v="0"/>
    <n v="1291.3789000000002"/>
    <n v="163.30230178571432"/>
    <n v="6.8042625744047633"/>
    <n v="1"/>
    <n v="1"/>
    <n v="0"/>
    <n v="0"/>
    <n v="1"/>
    <n v="264.17205235814845"/>
    <n v="264.17205235814845"/>
    <n v="6.8200000000000012"/>
    <n v="1801.6533970825724"/>
    <n v="7.8200000000000012"/>
    <n v="2065.8254494407211"/>
    <n v="0"/>
    <n v="0"/>
    <n v="0"/>
    <n v="0"/>
    <n v="0"/>
    <n v="0"/>
    <n v="0"/>
    <n v="0.20274140626105022"/>
    <n v="264.17205235814845"/>
    <n v="264.17205235814845"/>
    <n v="1.3826963907003624"/>
    <n v="9.4936831316209602"/>
    <n v="352009"/>
    <n v="12461"/>
    <n v="351786"/>
    <n v="351786"/>
    <n v="12375.747213408273"/>
    <n v="-85.252786591727272"/>
    <n v="-6.8886981223535114E-3"/>
    <n v="9563.3154259401381"/>
    <n v="0"/>
    <n v="9232.3251472668544"/>
    <n v="9583.3586977518935"/>
    <n v="0.26998158096699926"/>
    <n v="0"/>
    <n v="0"/>
    <n v="0"/>
    <n v="0"/>
    <s v="DIESEL"/>
    <n v="71"/>
    <n v="0"/>
    <n v="71"/>
    <n v="0"/>
    <n v="1505"/>
    <n v="0"/>
    <n v="24"/>
    <n v="24"/>
    <n v="24"/>
    <n v="0"/>
    <n v="24"/>
    <n v="23"/>
    <n v="24"/>
    <n v="21"/>
    <n v="24"/>
    <n v="264.17205235814845"/>
    <m/>
    <m/>
    <n v="271.62609213243792"/>
  </r>
  <r>
    <x v="48"/>
    <x v="1"/>
    <n v="0"/>
    <n v="1488"/>
    <n v="1488"/>
    <n v="1534"/>
    <n v="0"/>
    <n v="0"/>
    <n v="0"/>
    <n v="0"/>
    <n v="24"/>
    <n v="24"/>
    <n v="0"/>
    <n v="1534"/>
    <n v="1534"/>
    <n v="1534"/>
    <n v="0"/>
    <n v="0"/>
    <n v="1534000"/>
    <n v="1534000"/>
    <n v="1520.7452999999996"/>
    <n v="1520.7452999999996"/>
    <n v="0"/>
    <n v="0"/>
    <n v="1520745.2999999996"/>
    <n v="40.25"/>
    <n v="40.25"/>
    <n v="1574.25"/>
    <n v="0"/>
    <n v="1520.7453"/>
    <n v="173.39553690476185"/>
    <n v="7.2248140376984109"/>
    <n v="3"/>
    <n v="2"/>
    <n v="0"/>
    <n v="0"/>
    <n v="1.4"/>
    <n v="369.84087330140778"/>
    <n v="369.84087330140778"/>
    <n v="7.5100000000000007"/>
    <n v="1983.932113209695"/>
    <n v="8.91"/>
    <n v="2353.7729865111023"/>
    <n v="0"/>
    <n v="0"/>
    <n v="0"/>
    <n v="0"/>
    <n v="0"/>
    <n v="0"/>
    <n v="0"/>
    <n v="0.24109574530730624"/>
    <n v="123.28029110046926"/>
    <n v="184.92043665070389"/>
    <n v="1.2933064623270503"/>
    <n v="9.4253251187339693"/>
    <n v="411031"/>
    <n v="14550"/>
    <n v="410482"/>
    <n v="410482"/>
    <n v="14440.658433406259"/>
    <n v="-109.34156659374094"/>
    <n v="-7.5717853931643389E-3"/>
    <n v="9485.0065189048237"/>
    <n v="0"/>
    <n v="9173.04013556059"/>
    <n v="9495.7771254701638"/>
    <n v="0.26758930899608868"/>
    <n v="0"/>
    <n v="0"/>
    <n v="0"/>
    <n v="0"/>
    <s v="DIESEL"/>
    <n v="80"/>
    <n v="0"/>
    <n v="80"/>
    <n v="0"/>
    <n v="1505"/>
    <n v="24"/>
    <n v="23"/>
    <n v="24"/>
    <n v="24"/>
    <n v="0"/>
    <n v="21"/>
    <n v="20"/>
    <n v="24"/>
    <n v="24"/>
    <n v="24"/>
    <n v="369.84087330140778"/>
    <m/>
    <m/>
    <n v="309.48701801790554"/>
  </r>
  <r>
    <x v="49"/>
    <x v="1"/>
    <n v="0"/>
    <n v="1488"/>
    <n v="1488"/>
    <n v="1543"/>
    <n v="0"/>
    <n v="0"/>
    <n v="0"/>
    <n v="0"/>
    <n v="24"/>
    <n v="24"/>
    <n v="0"/>
    <n v="1543"/>
    <n v="1543"/>
    <n v="1543"/>
    <n v="0"/>
    <n v="0"/>
    <n v="1543000"/>
    <n v="1543000"/>
    <n v="1529.2641000000001"/>
    <n v="1529.2641000000001"/>
    <n v="0"/>
    <n v="0"/>
    <n v="1529264.1"/>
    <n v="40.409999999999997"/>
    <n v="40.409999999999997"/>
    <n v="1583.41"/>
    <n v="0"/>
    <n v="1529.2641000000003"/>
    <n v="173.39866944444441"/>
    <n v="7.2249445601851834"/>
    <n v="1"/>
    <n v="1"/>
    <n v="0"/>
    <n v="0"/>
    <n v="1.5"/>
    <n v="396.25807853722262"/>
    <n v="396.25807853722262"/>
    <n v="7.6300000000000017"/>
    <n v="2015.6327594926729"/>
    <n v="9.1300000000000026"/>
    <n v="2411.8908380298958"/>
    <n v="0"/>
    <n v="0"/>
    <n v="0"/>
    <n v="0"/>
    <n v="0"/>
    <n v="0"/>
    <n v="0"/>
    <n v="0.25681016107402632"/>
    <n v="396.25807853722262"/>
    <n v="396.25807853722262"/>
    <n v="1.3063076859965477"/>
    <n v="9.5227298271927427"/>
    <n v="412710"/>
    <n v="14609"/>
    <n v="412703"/>
    <n v="412703"/>
    <n v="14518.792681389348"/>
    <n v="-90.207318610651782"/>
    <n v="-6.2131418631166486E-3"/>
    <n v="9467.9196370706413"/>
    <n v="0"/>
    <n v="9169.3198106550717"/>
    <n v="9493.9733963475301"/>
    <n v="0.26746791963707062"/>
    <n v="0"/>
    <n v="0"/>
    <n v="0"/>
    <n v="0"/>
    <s v="DIESEL"/>
    <n v="80"/>
    <n v="0"/>
    <n v="80"/>
    <n v="0"/>
    <n v="1505"/>
    <n v="24"/>
    <n v="24"/>
    <n v="24"/>
    <n v="24"/>
    <n v="0"/>
    <n v="21"/>
    <n v="24"/>
    <n v="22"/>
    <n v="24"/>
    <n v="24"/>
    <n v="396.25807853722262"/>
    <m/>
    <m/>
    <n v="317.12867278377985"/>
  </r>
  <r>
    <x v="50"/>
    <x v="1"/>
    <n v="0"/>
    <n v="1272"/>
    <n v="1272"/>
    <n v="1308"/>
    <n v="0"/>
    <n v="0"/>
    <n v="0"/>
    <n v="0"/>
    <n v="24"/>
    <n v="24"/>
    <n v="0"/>
    <n v="1308"/>
    <n v="1308"/>
    <n v="1308"/>
    <n v="0"/>
    <n v="0"/>
    <n v="1308000"/>
    <n v="1308000"/>
    <n v="1297.0879"/>
    <n v="1297.0879"/>
    <n v="0"/>
    <n v="0"/>
    <n v="1297087.8999999999"/>
    <n v="37.340000000000003"/>
    <n v="37.340000000000003"/>
    <n v="1345.34"/>
    <n v="0"/>
    <n v="1297.0879000000002"/>
    <n v="165.91600714285715"/>
    <n v="6.9131669642857148"/>
    <n v="1"/>
    <n v="2"/>
    <n v="0"/>
    <n v="0"/>
    <n v="1.4"/>
    <n v="369.84087330140778"/>
    <n v="369.84087330140778"/>
    <n v="6.2199999999999989"/>
    <n v="1643.150165667683"/>
    <n v="7.6199999999999992"/>
    <n v="2012.9910389690908"/>
    <n v="0"/>
    <n v="10985"/>
    <n v="41.582748447239993"/>
    <n v="0"/>
    <n v="0"/>
    <n v="0"/>
    <n v="0"/>
    <n v="0.28275296123960841"/>
    <n v="369.84087330140778"/>
    <n v="184.92043665070389"/>
    <n v="1.2562310135074028"/>
    <n v="8.7565959319609501"/>
    <n v="353346"/>
    <n v="12508"/>
    <n v="353190"/>
    <n v="353190"/>
    <n v="12425.139597095014"/>
    <n v="-82.860402904985676"/>
    <n v="-6.6687703793974562E-3"/>
    <n v="9562.6911314984718"/>
    <n v="0"/>
    <n v="9235.6873333841359"/>
    <n v="9579.257964780194"/>
    <n v="0.27002293577981651"/>
    <n v="0"/>
    <n v="0"/>
    <n v="0"/>
    <n v="0"/>
    <s v="DIESEL"/>
    <n v="71"/>
    <n v="0"/>
    <n v="71"/>
    <n v="0"/>
    <n v="1505"/>
    <n v="24"/>
    <n v="24"/>
    <n v="24"/>
    <n v="24"/>
    <n v="0"/>
    <n v="24"/>
    <n v="24"/>
    <n v="19"/>
    <n v="0"/>
    <n v="24"/>
    <n v="369.84087330140778"/>
    <m/>
    <m/>
    <n v="264.67913325437041"/>
  </r>
  <r>
    <x v="51"/>
    <x v="1"/>
    <n v="0"/>
    <n v="1272"/>
    <n v="1272"/>
    <n v="1302"/>
    <n v="0"/>
    <n v="0"/>
    <n v="0"/>
    <n v="0"/>
    <n v="24"/>
    <n v="24"/>
    <n v="0"/>
    <n v="1302"/>
    <n v="1302"/>
    <n v="1302"/>
    <n v="0"/>
    <n v="0"/>
    <n v="1302000"/>
    <n v="1302000"/>
    <n v="1289.8014000000001"/>
    <n v="1289.8014000000001"/>
    <n v="0"/>
    <n v="0"/>
    <n v="1289801.4000000001"/>
    <n v="38.14"/>
    <n v="38.14"/>
    <n v="1340.14"/>
    <n v="0"/>
    <n v="1289.8013999999998"/>
    <n v="165.06343035714283"/>
    <n v="6.8776429315476184"/>
    <n v="1"/>
    <n v="1"/>
    <n v="0"/>
    <n v="0"/>
    <n v="1.5"/>
    <n v="396.25807853722262"/>
    <n v="396.25807853722262"/>
    <n v="6.4299999999999979"/>
    <n v="1698.626296662894"/>
    <n v="7.9299999999999979"/>
    <n v="2094.8843752001167"/>
    <n v="0"/>
    <n v="0"/>
    <n v="0"/>
    <n v="0"/>
    <n v="0"/>
    <n v="0"/>
    <n v="0"/>
    <n v="0.30434568244026317"/>
    <n v="396.25807853722262"/>
    <n v="396.25807853722262"/>
    <n v="1.3046284920605944"/>
    <n v="9.0573275094222296"/>
    <n v="353200"/>
    <n v="12503"/>
    <n v="351622"/>
    <n v="351622"/>
    <n v="12369.977732692725"/>
    <n v="-133.02226730727489"/>
    <n v="-1.0753638380100648E-2"/>
    <n v="9602.918586789554"/>
    <n v="0"/>
    <n v="9230.3622999781546"/>
    <n v="9590.6065326745065"/>
    <n v="0.27006298003072199"/>
    <n v="0"/>
    <n v="33.6"/>
    <n v="0"/>
    <n v="0"/>
    <s v="DIESEL"/>
    <n v="71"/>
    <n v="0"/>
    <n v="71"/>
    <n v="0"/>
    <n v="1505"/>
    <n v="24"/>
    <n v="24"/>
    <n v="24"/>
    <n v="24"/>
    <n v="0"/>
    <n v="24"/>
    <n v="12"/>
    <n v="20"/>
    <n v="12"/>
    <n v="24"/>
    <n v="396.25807853722262"/>
    <m/>
    <m/>
    <n v="275.44691951537499"/>
  </r>
  <r>
    <x v="52"/>
    <x v="1"/>
    <n v="0"/>
    <n v="1488"/>
    <n v="1488"/>
    <n v="1407"/>
    <n v="12"/>
    <n v="636"/>
    <n v="0"/>
    <n v="0"/>
    <n v="24"/>
    <n v="24"/>
    <n v="0"/>
    <n v="2043"/>
    <n v="1407"/>
    <n v="1407"/>
    <n v="0"/>
    <n v="0"/>
    <n v="1407000"/>
    <n v="1407000"/>
    <n v="1395.0833000000002"/>
    <n v="1395.0833000000002"/>
    <n v="0"/>
    <n v="0"/>
    <n v="1395083.3000000003"/>
    <n v="39.86"/>
    <n v="39.86"/>
    <n v="1446.86"/>
    <n v="0"/>
    <n v="1395.0833"/>
    <n v="165.86898095238098"/>
    <n v="6.9112075396825405"/>
    <n v="3"/>
    <n v="2"/>
    <n v="0"/>
    <n v="0"/>
    <n v="1.6"/>
    <n v="422.67528377303745"/>
    <n v="422.67528377303745"/>
    <n v="6.6499999999999977"/>
    <n v="1756.7441481816863"/>
    <n v="8.2499999999999982"/>
    <n v="2179.4194319547241"/>
    <n v="0"/>
    <n v="0"/>
    <n v="0"/>
    <n v="0"/>
    <n v="0"/>
    <n v="0"/>
    <n v="0"/>
    <n v="0.30040887261765276"/>
    <n v="140.89176125767915"/>
    <n v="211.33764188651872"/>
    <n v="1.2485743768171189"/>
    <n v="8.7011232953050559"/>
    <n v="380315"/>
    <n v="13463"/>
    <n v="379700"/>
    <n v="379700"/>
    <n v="13357.755046906701"/>
    <n v="-105.24495309329905"/>
    <n v="-7.8789401904529582E-3"/>
    <n v="9568.5856432125092"/>
    <n v="8859.59"/>
    <n v="9232.2374292652385"/>
    <n v="9574.8798992194224"/>
    <n v="0.26986496090973705"/>
    <n v="28.700992146287998"/>
    <n v="0"/>
    <n v="0"/>
    <n v="0"/>
    <s v="DIESEL"/>
    <n v="80"/>
    <n v="0"/>
    <n v="80"/>
    <n v="0"/>
    <n v="1505"/>
    <n v="24"/>
    <n v="24"/>
    <n v="23"/>
    <n v="24"/>
    <n v="0"/>
    <n v="24"/>
    <n v="12"/>
    <n v="22"/>
    <n v="24"/>
    <n v="24"/>
    <n v="422.67528377303745"/>
    <m/>
    <m/>
    <n v="286.56205372028285"/>
  </r>
  <r>
    <x v="53"/>
    <x v="1"/>
    <n v="0"/>
    <n v="1488"/>
    <n v="1488"/>
    <n v="1516"/>
    <n v="0"/>
    <n v="0"/>
    <n v="0"/>
    <n v="0"/>
    <n v="24"/>
    <n v="24"/>
    <n v="0"/>
    <n v="1516"/>
    <n v="1516"/>
    <n v="1516"/>
    <n v="0"/>
    <n v="0"/>
    <n v="1516000"/>
    <n v="1516000"/>
    <n v="1502.3188999999995"/>
    <n v="1502.3188999999995"/>
    <n v="0"/>
    <n v="0"/>
    <n v="1502318.8999999994"/>
    <n v="40.49"/>
    <n v="40.49"/>
    <n v="1556.49"/>
    <n v="0"/>
    <n v="1502.3189"/>
    <n v="173.48001587301593"/>
    <n v="7.2283339947089971"/>
    <n v="2"/>
    <n v="2"/>
    <n v="0"/>
    <n v="1.5"/>
    <n v="1.1000000000000001"/>
    <n v="290.58925759396328"/>
    <n v="686.8473361311859"/>
    <n v="7.7000000000000028"/>
    <n v="2034.1248031577436"/>
    <n v="10.300000000000002"/>
    <n v="2720.9721392889292"/>
    <n v="0"/>
    <n v="0"/>
    <n v="0"/>
    <n v="0"/>
    <n v="0"/>
    <n v="0"/>
    <n v="0"/>
    <n v="0.19168156833374886"/>
    <n v="145.29462879698164"/>
    <n v="145.29462879698164"/>
    <n v="1.3417709783362424"/>
    <n v="9.7861156532045879"/>
    <n v="410131"/>
    <n v="14518"/>
    <n v="406083"/>
    <n v="406083"/>
    <n v="14285.902667139882"/>
    <n v="-232.0973328601176"/>
    <n v="-1.6246599061183774E-2"/>
    <n v="9576.517150395779"/>
    <n v="8861.66"/>
    <n v="9178.2810471894354"/>
    <n v="9509.234468886656"/>
    <n v="0.26786477572559364"/>
    <n v="0"/>
    <n v="0"/>
    <n v="0"/>
    <n v="0"/>
    <s v="DIESEL"/>
    <n v="80"/>
    <n v="0"/>
    <n v="80"/>
    <n v="0"/>
    <n v="1505"/>
    <n v="24"/>
    <n v="24"/>
    <n v="20"/>
    <n v="24"/>
    <n v="0"/>
    <n v="24"/>
    <n v="24"/>
    <n v="20"/>
    <n v="24"/>
    <n v="24"/>
    <n v="290.58925759396328"/>
    <m/>
    <m/>
    <n v="357.76838222047451"/>
  </r>
  <r>
    <x v="54"/>
    <x v="1"/>
    <n v="0"/>
    <n v="1488"/>
    <n v="1488"/>
    <n v="1514"/>
    <n v="0"/>
    <n v="0"/>
    <n v="0"/>
    <n v="0"/>
    <n v="24"/>
    <n v="24"/>
    <n v="0"/>
    <n v="1514"/>
    <n v="1514"/>
    <n v="1514"/>
    <n v="0"/>
    <n v="0"/>
    <n v="1514000"/>
    <n v="1514000"/>
    <n v="1501.5897999999997"/>
    <n v="1501.5897999999997"/>
    <n v="0"/>
    <n v="0"/>
    <n v="1501589.7999999998"/>
    <n v="39.409999999999997"/>
    <n v="39.409999999999997"/>
    <n v="1553.41"/>
    <n v="0"/>
    <n v="1501.5898000000002"/>
    <n v="176.01986507936505"/>
    <n v="7.3341610449735439"/>
    <n v="2"/>
    <n v="2"/>
    <n v="0"/>
    <n v="0"/>
    <n v="2"/>
    <n v="528.3441047162969"/>
    <n v="528.3441047162969"/>
    <n v="7.4600000000000017"/>
    <n v="1970.7235105917878"/>
    <n v="9.4600000000000009"/>
    <n v="2499.067615308084"/>
    <n v="0"/>
    <n v="10984"/>
    <n v="41.578963035455999"/>
    <n v="0"/>
    <n v="0"/>
    <n v="0"/>
    <n v="0"/>
    <n v="0.34897232808209833"/>
    <n v="264.17205235814845"/>
    <n v="264.17205235814845"/>
    <n v="1.301666783746227"/>
    <n v="9.6258128370414919"/>
    <n v="404265"/>
    <n v="14310"/>
    <n v="403489"/>
    <n v="403489"/>
    <n v="14194.646368504971"/>
    <n v="-115.35363149502882"/>
    <n v="-8.1265590209401075E-3"/>
    <n v="9451.7833553500659"/>
    <n v="8847.75"/>
    <n v="9137.733353399919"/>
    <n v="9453.0785761231018"/>
    <n v="0.26650528401585205"/>
    <n v="0"/>
    <n v="0"/>
    <n v="0"/>
    <n v="0"/>
    <s v="DIESEL"/>
    <n v="80"/>
    <n v="0"/>
    <n v="80"/>
    <n v="0"/>
    <n v="1505"/>
    <n v="24"/>
    <n v="24"/>
    <n v="20"/>
    <n v="22"/>
    <n v="0"/>
    <n v="23"/>
    <n v="24"/>
    <n v="17"/>
    <n v="23"/>
    <n v="24"/>
    <n v="528.3441047162969"/>
    <m/>
    <m/>
    <n v="328.59115493259105"/>
  </r>
  <r>
    <x v="55"/>
    <x v="1"/>
    <n v="0"/>
    <n v="1272"/>
    <n v="1272"/>
    <n v="1302"/>
    <n v="0"/>
    <n v="0"/>
    <n v="0"/>
    <n v="0"/>
    <n v="24"/>
    <n v="24"/>
    <n v="0"/>
    <n v="1302"/>
    <n v="1302"/>
    <n v="1302"/>
    <n v="0"/>
    <n v="0"/>
    <n v="1302000"/>
    <n v="1302000"/>
    <n v="1291.3181"/>
    <n v="1291.3181"/>
    <n v="0"/>
    <n v="0"/>
    <n v="1291318.0999999999"/>
    <n v="37.54"/>
    <n v="37.54"/>
    <n v="1339.54"/>
    <n v="0"/>
    <n v="1291.3180999999997"/>
    <n v="165.44652023809525"/>
    <n v="6.893605009920635"/>
    <n v="2"/>
    <n v="3"/>
    <n v="0"/>
    <n v="0"/>
    <n v="1"/>
    <n v="264.17205235814845"/>
    <n v="264.17205235814845"/>
    <n v="6.7600000000000033"/>
    <n v="1785.8030739410842"/>
    <n v="7.7600000000000033"/>
    <n v="2049.9751262992327"/>
    <n v="0"/>
    <n v="0"/>
    <n v="0"/>
    <n v="0"/>
    <n v="0"/>
    <n v="0"/>
    <n v="0"/>
    <n v="0.20289712162684212"/>
    <n v="132.08602617907422"/>
    <n v="88.057350786049483"/>
    <n v="1.3715845421974533"/>
    <n v="9.5369255806676829"/>
    <n v="354124"/>
    <n v="12535"/>
    <n v="353130"/>
    <n v="353130"/>
    <n v="12423.028811467377"/>
    <n v="-111.97118853262327"/>
    <n v="-9.0131955927901866E-3"/>
    <n v="9627.4961597542242"/>
    <n v="8985.0400000000009"/>
    <n v="9274.1006699817681"/>
    <n v="9620.4249065101594"/>
    <n v="0.27122119815668205"/>
    <n v="0"/>
    <n v="0"/>
    <n v="0"/>
    <n v="0"/>
    <s v="DIESEL"/>
    <n v="71"/>
    <n v="0"/>
    <n v="71"/>
    <n v="0"/>
    <n v="1440"/>
    <n v="24"/>
    <n v="24"/>
    <n v="24"/>
    <n v="21"/>
    <n v="0"/>
    <n v="0"/>
    <n v="24"/>
    <n v="22"/>
    <n v="24"/>
    <n v="24"/>
    <n v="264.17205235814845"/>
    <m/>
    <m/>
    <n v="269.54200446901774"/>
  </r>
  <r>
    <x v="56"/>
    <x v="1"/>
    <n v="0"/>
    <n v="1103"/>
    <n v="1084"/>
    <n v="1112"/>
    <n v="0"/>
    <n v="0"/>
    <n v="0"/>
    <n v="0"/>
    <n v="22"/>
    <n v="24"/>
    <n v="2"/>
    <n v="1112"/>
    <n v="1112"/>
    <n v="1112"/>
    <n v="0"/>
    <n v="0"/>
    <n v="1112000"/>
    <n v="1112000"/>
    <n v="1101.6325999999999"/>
    <n v="1101.6325999999999"/>
    <n v="0"/>
    <n v="0"/>
    <n v="1101632.5999999999"/>
    <n v="35.89"/>
    <n v="34.955300000000001"/>
    <n v="1146.9553000000001"/>
    <n v="0.93470000000000009"/>
    <n v="1101.6326000000001"/>
    <n v="151.17575250000002"/>
    <n v="6.8716251136363642"/>
    <n v="6"/>
    <n v="6"/>
    <n v="0"/>
    <n v="2.2000000000000002"/>
    <n v="0.8"/>
    <n v="211.33764188651872"/>
    <n v="792.51615707444523"/>
    <n v="5.8400000000000016"/>
    <n v="1542.7647857715872"/>
    <n v="8.8400000000000016"/>
    <n v="2335.2809428460328"/>
    <n v="0"/>
    <n v="0"/>
    <n v="0"/>
    <n v="0"/>
    <n v="0"/>
    <n v="0"/>
    <n v="0"/>
    <n v="0.19005183622888375"/>
    <n v="35.222940314419787"/>
    <n v="35.222940314419787"/>
    <n v="1.3873784044708517"/>
    <n v="8.8001004564564358"/>
    <n v="302233"/>
    <n v="10699"/>
    <n v="301089"/>
    <n v="301089"/>
    <n v="10592.238897334979"/>
    <n v="-106.7611026650211"/>
    <n v="-1.0079181908546486E-2"/>
    <n v="9621.4028776978412"/>
    <n v="8909.98"/>
    <n v="9235.0930305086677"/>
    <n v="9615.0376244629842"/>
    <n v="0.27076348920863308"/>
    <n v="0"/>
    <n v="0"/>
    <n v="0"/>
    <n v="0"/>
    <s v="DIESEL"/>
    <n v="71"/>
    <n v="0"/>
    <n v="71"/>
    <n v="0"/>
    <n v="1440"/>
    <n v="23"/>
    <n v="18"/>
    <n v="22"/>
    <n v="22"/>
    <n v="0"/>
    <n v="0"/>
    <n v="19"/>
    <n v="22"/>
    <n v="24"/>
    <n v="19"/>
    <n v="211.33764188651872"/>
    <m/>
    <m/>
    <n v="307.05558241058208"/>
  </r>
  <r>
    <x v="57"/>
    <x v="1"/>
    <n v="0"/>
    <n v="1272"/>
    <n v="1272"/>
    <n v="1297"/>
    <n v="0"/>
    <n v="0"/>
    <n v="0"/>
    <n v="0"/>
    <n v="24"/>
    <n v="24"/>
    <n v="0"/>
    <n v="1297"/>
    <n v="1297"/>
    <n v="1297"/>
    <n v="0"/>
    <n v="0"/>
    <n v="1297000"/>
    <n v="1297000"/>
    <n v="1286.3764000000001"/>
    <n v="1286.3764000000001"/>
    <n v="0"/>
    <n v="0"/>
    <n v="1286376.4000000001"/>
    <n v="38.61"/>
    <n v="38.61"/>
    <n v="1335.61"/>
    <n v="0"/>
    <n v="1286.3763999999999"/>
    <n v="163.61733392857144"/>
    <n v="6.8173889136904764"/>
    <n v="1"/>
    <n v="1"/>
    <n v="0"/>
    <n v="0"/>
    <n v="1.5"/>
    <n v="396.25807853722262"/>
    <n v="396.25807853722262"/>
    <n v="6.6200000000000019"/>
    <n v="1748.8189866109431"/>
    <n v="8.120000000000001"/>
    <n v="2145.0770651481653"/>
    <n v="0"/>
    <n v="0"/>
    <n v="0"/>
    <n v="0"/>
    <n v="0"/>
    <n v="0"/>
    <n v="0"/>
    <n v="0.30551895029855253"/>
    <n v="396.25807853722262"/>
    <n v="396.25807853722262"/>
    <n v="1.3483569673176121"/>
    <n v="9.2696086229243182"/>
    <n v="352080"/>
    <n v="12463"/>
    <n v="351722"/>
    <n v="351722"/>
    <n v="12373.49570873879"/>
    <n v="-89.504291261209801"/>
    <n v="-7.2335493031284066E-3"/>
    <n v="9609.097918272937"/>
    <n v="8877.18"/>
    <n v="9264.302984208558"/>
    <n v="9618.8764880471917"/>
    <n v="0.27118118735543562"/>
    <n v="0"/>
    <n v="30.42"/>
    <n v="0"/>
    <n v="0"/>
    <s v="DIESEL"/>
    <n v="71"/>
    <n v="0"/>
    <n v="71"/>
    <n v="0"/>
    <n v="1440"/>
    <n v="19"/>
    <n v="24"/>
    <n v="24"/>
    <n v="24"/>
    <n v="0"/>
    <n v="0"/>
    <n v="23"/>
    <n v="24"/>
    <n v="24"/>
    <n v="24"/>
    <n v="396.25807853722262"/>
    <m/>
    <m/>
    <n v="282.04653044953909"/>
  </r>
  <r>
    <x v="58"/>
    <x v="1"/>
    <n v="0"/>
    <n v="1272"/>
    <n v="1272"/>
    <n v="1301"/>
    <n v="0"/>
    <n v="0"/>
    <n v="0"/>
    <n v="0"/>
    <n v="24"/>
    <n v="24"/>
    <n v="0"/>
    <n v="1301"/>
    <n v="1301"/>
    <n v="1301"/>
    <n v="0"/>
    <n v="0"/>
    <n v="1301000"/>
    <n v="1301000"/>
    <n v="1289.8073999999997"/>
    <n v="1289.8073999999997"/>
    <n v="0"/>
    <n v="0"/>
    <n v="1289807.3999999997"/>
    <n v="38.07"/>
    <n v="38.07"/>
    <n v="1339.07"/>
    <n v="0"/>
    <n v="1289.8073999999999"/>
    <n v="164.09346428571428"/>
    <n v="6.8372276785714279"/>
    <n v="1"/>
    <n v="1"/>
    <n v="0"/>
    <n v="0"/>
    <n v="1.8"/>
    <n v="475.50969424466717"/>
    <n v="475.50969424466717"/>
    <n v="6.7600000000000025"/>
    <n v="1785.803073941084"/>
    <n v="8.5600000000000023"/>
    <n v="2261.3127681857509"/>
    <n v="0"/>
    <n v="0"/>
    <n v="0"/>
    <n v="0"/>
    <n v="0"/>
    <n v="0"/>
    <n v="0"/>
    <n v="0.36549553746707697"/>
    <n v="475.50969424466717"/>
    <n v="475.50969424466717"/>
    <n v="1.3726387962652451"/>
    <n v="9.4681307753660811"/>
    <n v="351049"/>
    <n v="12427"/>
    <n v="351031"/>
    <n v="351031"/>
    <n v="12349.186494260484"/>
    <n v="-77.813505739515676"/>
    <n v="-6.3011037832881511E-3"/>
    <n v="9551.8831667947743"/>
    <n v="8994.7199999999993"/>
    <n v="9222.2113065489375"/>
    <n v="9574.4422727459059"/>
    <n v="0.26981629515757111"/>
    <n v="0"/>
    <n v="20.43"/>
    <n v="0"/>
    <n v="0"/>
    <s v="DIESEL"/>
    <n v="71"/>
    <n v="0"/>
    <n v="71"/>
    <n v="0"/>
    <n v="1440"/>
    <n v="24"/>
    <n v="21"/>
    <n v="24"/>
    <n v="24"/>
    <n v="0"/>
    <n v="25"/>
    <n v="23"/>
    <n v="0"/>
    <n v="24"/>
    <n v="24"/>
    <n v="475.50969424466717"/>
    <m/>
    <m/>
    <n v="297.32983998128753"/>
  </r>
  <r>
    <x v="59"/>
    <x v="2"/>
    <n v="0"/>
    <n v="978"/>
    <n v="978"/>
    <n v="1352"/>
    <n v="7"/>
    <n v="742"/>
    <n v="3"/>
    <n v="213"/>
    <n v="20"/>
    <n v="24"/>
    <n v="4"/>
    <n v="2307"/>
    <n v="1352"/>
    <n v="1352"/>
    <n v="0"/>
    <n v="0"/>
    <n v="1352000"/>
    <n v="1352000"/>
    <n v="1341.0007000000001"/>
    <n v="1341.0007000000001"/>
    <n v="0"/>
    <n v="0"/>
    <n v="1341000.7"/>
    <n v="37.14"/>
    <n v="37.14"/>
    <n v="1389.14"/>
    <n v="0"/>
    <n v="1341.0007000000001"/>
    <n v="175.32843214285714"/>
    <n v="8.7664216071428562"/>
    <n v="1"/>
    <n v="1"/>
    <n v="0"/>
    <n v="0"/>
    <n v="1.9"/>
    <n v="501.92689948048201"/>
    <n v="501.92689948048201"/>
    <n v="6.419999999999999"/>
    <n v="1695.9845761393126"/>
    <n v="8.3199999999999985"/>
    <n v="2197.9114756197946"/>
    <n v="10981"/>
    <n v="0"/>
    <n v="41.567606800103995"/>
    <n v="0"/>
    <n v="0"/>
    <n v="0"/>
    <n v="0"/>
    <n v="0.37124770671633284"/>
    <n v="501.92689948048201"/>
    <n v="501.92689948048201"/>
    <n v="1.2544264616415033"/>
    <n v="9.2401251349379141"/>
    <n v="361449"/>
    <n v="12795"/>
    <n v="361436"/>
    <n v="361436"/>
    <n v="12715.231901853491"/>
    <n v="-79.768098146509146"/>
    <n v="-6.2734284960136201E-3"/>
    <n v="9463.7573964497042"/>
    <n v="8887.35"/>
    <n v="9153.3120505157804"/>
    <n v="9481.8980346941571"/>
    <n v="0.26733431952662723"/>
    <n v="0"/>
    <n v="0"/>
    <n v="0"/>
    <n v="0"/>
    <s v="DIESEL"/>
    <n v="71"/>
    <n v="0"/>
    <n v="71"/>
    <n v="0"/>
    <n v="1440"/>
    <n v="24"/>
    <n v="24"/>
    <n v="24"/>
    <n v="24"/>
    <n v="0"/>
    <n v="24"/>
    <n v="16"/>
    <n v="24"/>
    <n v="0"/>
    <n v="24"/>
    <n v="501.92689948048201"/>
    <m/>
    <m/>
    <n v="288.99348932760648"/>
  </r>
  <r>
    <x v="60"/>
    <x v="2"/>
    <n v="0"/>
    <n v="1272"/>
    <n v="1272"/>
    <n v="1329"/>
    <n v="1"/>
    <n v="71"/>
    <n v="2"/>
    <n v="142"/>
    <n v="24"/>
    <n v="24"/>
    <n v="0"/>
    <n v="1542"/>
    <n v="1329"/>
    <n v="1329"/>
    <n v="0"/>
    <n v="0"/>
    <n v="1329000"/>
    <n v="1329000"/>
    <n v="1317.2660000000003"/>
    <n v="1317.2660000000003"/>
    <n v="0"/>
    <n v="0"/>
    <n v="1317266.0000000002"/>
    <n v="38.299999999999997"/>
    <n v="38.299999999999997"/>
    <n v="1367.3"/>
    <n v="0"/>
    <n v="1317.2660000000003"/>
    <n v="169.41886071428576"/>
    <n v="7.0591191964285729"/>
    <n v="2"/>
    <n v="2"/>
    <n v="0"/>
    <n v="2.2000000000000002"/>
    <n v="1.4"/>
    <n v="369.84087330140778"/>
    <n v="951.01938848933435"/>
    <n v="6.5199999999999978"/>
    <n v="1722.4017813751273"/>
    <n v="10.119999999999997"/>
    <n v="2673.4211698644617"/>
    <n v="0"/>
    <n v="10998"/>
    <n v="41.631958800431995"/>
    <n v="0"/>
    <n v="0"/>
    <n v="0"/>
    <n v="0"/>
    <n v="0.27828508149090125"/>
    <n v="184.92043665070389"/>
    <n v="184.92043665070389"/>
    <n v="1.2960133795147684"/>
    <n v="9.2302973056091151"/>
    <n v="358252"/>
    <n v="12682"/>
    <n v="355058"/>
    <n v="355058"/>
    <n v="12490.855389635501"/>
    <n v="-191.14461036449939"/>
    <n v="-1.5302763854195676E-2"/>
    <n v="9542.5131677953341"/>
    <n v="8855.61"/>
    <n v="9135.416799265342"/>
    <n v="9482.4093156852887"/>
    <n v="0.2671617757712566"/>
    <n v="0"/>
    <n v="0"/>
    <n v="0"/>
    <n v="0"/>
    <s v="DIESEL"/>
    <n v="71"/>
    <n v="0"/>
    <n v="71"/>
    <n v="0"/>
    <n v="1440"/>
    <n v="24"/>
    <n v="24"/>
    <n v="20"/>
    <n v="24"/>
    <n v="0"/>
    <n v="8"/>
    <n v="24"/>
    <n v="23"/>
    <n v="16"/>
    <n v="24"/>
    <n v="369.84087330140778"/>
    <m/>
    <m/>
    <n v="351.51611923021369"/>
  </r>
  <r>
    <x v="61"/>
    <x v="2"/>
    <n v="0"/>
    <n v="1272"/>
    <n v="1272"/>
    <n v="1295"/>
    <n v="0"/>
    <n v="0"/>
    <n v="0"/>
    <n v="0"/>
    <n v="24"/>
    <n v="24"/>
    <n v="0"/>
    <n v="1295"/>
    <n v="1295"/>
    <n v="1295"/>
    <n v="0"/>
    <n v="0"/>
    <n v="1295000"/>
    <n v="1295000"/>
    <n v="1283.8994999999998"/>
    <n v="1283.8994999999998"/>
    <n v="0"/>
    <n v="0"/>
    <n v="1283899.4999999998"/>
    <n v="37.729999999999997"/>
    <n v="37.729999999999997"/>
    <n v="1332.73"/>
    <n v="0"/>
    <n v="1283.8995"/>
    <n v="166.45146190476191"/>
    <n v="6.93547757936508"/>
    <n v="2"/>
    <n v="2"/>
    <n v="0"/>
    <n v="0"/>
    <n v="2.2000000000000002"/>
    <n v="581.17851518792656"/>
    <n v="581.17851518792656"/>
    <n v="6.6300000000000017"/>
    <n v="1751.4607071345245"/>
    <n v="8.8300000000000018"/>
    <n v="2332.6392223224511"/>
    <n v="0"/>
    <n v="0"/>
    <n v="0"/>
    <n v="0"/>
    <n v="0"/>
    <n v="0"/>
    <n v="0"/>
    <n v="0.44878649821461508"/>
    <n v="290.58925759396328"/>
    <n v="290.58925759396328"/>
    <n v="1.3524793105285904"/>
    <n v="9.4569925687934386"/>
    <n v="353051"/>
    <n v="12498"/>
    <n v="350595"/>
    <n v="350595"/>
    <n v="12333.848118699643"/>
    <n v="-164.15188130035676"/>
    <n v="-1.3309056485905819E-2"/>
    <n v="9650.9652509652515"/>
    <n v="8882.8799999999992"/>
    <n v="9254.5737836618391"/>
    <n v="9606.5526302484323"/>
    <n v="0.27072972972972975"/>
    <n v="0"/>
    <n v="30.9"/>
    <n v="0"/>
    <n v="0"/>
    <s v="DIESEL"/>
    <n v="71"/>
    <n v="0"/>
    <n v="71"/>
    <n v="0"/>
    <n v="1440"/>
    <n v="24"/>
    <n v="22"/>
    <n v="0"/>
    <n v="24"/>
    <n v="0"/>
    <n v="20"/>
    <n v="23"/>
    <n v="24"/>
    <n v="24"/>
    <n v="24"/>
    <n v="581.17851518792656"/>
    <m/>
    <m/>
    <n v="306.70823446667862"/>
  </r>
  <r>
    <x v="62"/>
    <x v="2"/>
    <n v="0"/>
    <n v="1272"/>
    <n v="1272"/>
    <n v="1301"/>
    <n v="0"/>
    <n v="0"/>
    <n v="0"/>
    <n v="0"/>
    <n v="24"/>
    <n v="24"/>
    <n v="0"/>
    <n v="1301"/>
    <n v="1301"/>
    <n v="1301"/>
    <n v="0"/>
    <n v="0"/>
    <n v="1301000"/>
    <n v="1301000"/>
    <n v="1290.1676999999997"/>
    <n v="1290.1676999999997"/>
    <n v="0"/>
    <n v="0"/>
    <n v="1290167.6999999997"/>
    <n v="37.450000000000003"/>
    <n v="37.450000000000003"/>
    <n v="1338.45"/>
    <n v="0"/>
    <n v="1290.1677000000002"/>
    <n v="165.12905714285714"/>
    <n v="6.8803773809523809"/>
    <n v="2"/>
    <n v="2"/>
    <n v="0"/>
    <n v="0"/>
    <n v="1.3"/>
    <n v="343.42366806559295"/>
    <n v="343.42366806559295"/>
    <n v="6.700000000000002"/>
    <n v="1769.9527507995949"/>
    <n v="8.0000000000000018"/>
    <n v="2113.376418865188"/>
    <n v="0"/>
    <n v="0"/>
    <n v="0"/>
    <n v="0"/>
    <n v="0"/>
    <n v="0"/>
    <n v="0"/>
    <n v="0.26396899928177781"/>
    <n v="171.71183403279647"/>
    <n v="171.71183403279647"/>
    <n v="1.3604556116830091"/>
    <n v="9.4366817215139207"/>
    <n v="356015"/>
    <n v="12602"/>
    <n v="352525"/>
    <n v="352525"/>
    <n v="12401.745056388687"/>
    <n v="-200.25494361131314"/>
    <n v="-1.6147319808687163E-2"/>
    <n v="9686.3950807071487"/>
    <n v="8904.25"/>
    <n v="9265.7514710214709"/>
    <n v="9612.5062318555083"/>
    <n v="0.27096464258262876"/>
    <n v="0"/>
    <n v="0"/>
    <n v="0"/>
    <n v="0"/>
    <s v="DIESEL"/>
    <n v="71"/>
    <n v="0"/>
    <n v="71"/>
    <n v="0"/>
    <n v="1440"/>
    <n v="23"/>
    <n v="24"/>
    <n v="24"/>
    <n v="24"/>
    <n v="0"/>
    <n v="24"/>
    <n v="24"/>
    <n v="24"/>
    <n v="0"/>
    <n v="20"/>
    <n v="343.42366806559295"/>
    <m/>
    <m/>
    <n v="277.87835512269868"/>
  </r>
  <r>
    <x v="63"/>
    <x v="2"/>
    <n v="0"/>
    <n v="1272"/>
    <n v="1272"/>
    <n v="1327"/>
    <n v="0"/>
    <n v="0"/>
    <n v="2"/>
    <n v="142"/>
    <n v="24"/>
    <n v="24"/>
    <n v="0"/>
    <n v="1469"/>
    <n v="1327"/>
    <n v="1327"/>
    <n v="0"/>
    <n v="0"/>
    <n v="1327000"/>
    <n v="1327000"/>
    <n v="1315.4151000000002"/>
    <n v="1315.4151000000002"/>
    <n v="0"/>
    <n v="0"/>
    <n v="1315415.1000000001"/>
    <n v="37.270000000000003"/>
    <n v="37.270000000000003"/>
    <n v="1364.27"/>
    <n v="0"/>
    <n v="1315.4150999999999"/>
    <n v="169.26302678571429"/>
    <n v="7.052626116071429"/>
    <n v="1"/>
    <n v="1"/>
    <n v="0"/>
    <n v="0"/>
    <n v="1.2"/>
    <n v="317.00646282977812"/>
    <n v="317.00646282977812"/>
    <n v="6.7700000000000022"/>
    <n v="1788.4447944646654"/>
    <n v="7.9700000000000024"/>
    <n v="2105.4512572944436"/>
    <n v="0"/>
    <n v="0"/>
    <n v="0"/>
    <n v="0"/>
    <n v="0"/>
    <n v="0"/>
    <n v="0"/>
    <n v="0.23888957259214627"/>
    <n v="317.00646282977812"/>
    <n v="317.00646282977812"/>
    <n v="1.347735338707359"/>
    <n v="9.5899958590432028"/>
    <n v="360024"/>
    <n v="12744"/>
    <n v="359011"/>
    <n v="359011"/>
    <n v="12629.920982736428"/>
    <n v="-114.07901726357159"/>
    <n v="-9.0324410912391122E-3"/>
    <n v="9603.6171816126607"/>
    <n v="8915.2900000000009"/>
    <n v="9257.6403371300603"/>
    <n v="9601.4717960409816"/>
    <n v="0.27054333082140164"/>
    <n v="0"/>
    <n v="0"/>
    <n v="0"/>
    <n v="0"/>
    <s v="DIESEL"/>
    <n v="71"/>
    <n v="0"/>
    <n v="71"/>
    <n v="0"/>
    <n v="1440"/>
    <n v="24"/>
    <n v="18"/>
    <n v="24"/>
    <n v="24"/>
    <n v="0"/>
    <n v="0"/>
    <n v="24"/>
    <n v="24"/>
    <n v="24"/>
    <n v="24"/>
    <n v="317.00646282977812"/>
    <m/>
    <m/>
    <n v="276.83631129098859"/>
  </r>
  <r>
    <x v="64"/>
    <x v="2"/>
    <n v="0"/>
    <n v="1272"/>
    <n v="1272"/>
    <n v="1330"/>
    <n v="0"/>
    <n v="0"/>
    <n v="2"/>
    <n v="142"/>
    <n v="24"/>
    <n v="24"/>
    <n v="0"/>
    <n v="1472"/>
    <n v="1330"/>
    <n v="1330"/>
    <n v="0"/>
    <n v="0"/>
    <n v="1330000"/>
    <n v="1330000"/>
    <n v="1319.0060000000001"/>
    <n v="1319.0060000000001"/>
    <n v="0"/>
    <n v="0"/>
    <n v="1319006"/>
    <n v="37.119999999999997"/>
    <n v="37.119999999999997"/>
    <n v="1367.12"/>
    <n v="0"/>
    <n v="1319.0060000000001"/>
    <n v="168.73413035714285"/>
    <n v="7.0305887648809522"/>
    <n v="1"/>
    <n v="1"/>
    <n v="0"/>
    <n v="0"/>
    <n v="0.7"/>
    <n v="184.92043665070389"/>
    <n v="184.92043665070389"/>
    <n v="6.6700000000000008"/>
    <n v="1762.0275892288503"/>
    <n v="7.370000000000001"/>
    <n v="1946.9480258795541"/>
    <n v="0"/>
    <n v="0"/>
    <n v="0"/>
    <n v="0"/>
    <n v="0"/>
    <n v="0"/>
    <n v="0"/>
    <n v="0.13903792229376233"/>
    <n v="184.92043665070389"/>
    <n v="184.92043665070389"/>
    <n v="1.3248327738562784"/>
    <n v="9.3934392724671998"/>
    <n v="359446"/>
    <n v="12724"/>
    <n v="359383"/>
    <n v="359383"/>
    <n v="12643.007853627785"/>
    <n v="-80.992146372214847"/>
    <n v="-6.4060821056102528E-3"/>
    <n v="9566.9172932330821"/>
    <n v="8958.77"/>
    <n v="9247.913755652602"/>
    <n v="9585.2542396530298"/>
    <n v="0.27021278195488724"/>
    <n v="0"/>
    <n v="0"/>
    <n v="22.712470704000001"/>
    <n v="0"/>
    <s v="DIESEL"/>
    <n v="71"/>
    <n v="0"/>
    <n v="71"/>
    <n v="0"/>
    <n v="1440"/>
    <n v="6"/>
    <n v="24"/>
    <n v="24"/>
    <n v="13"/>
    <n v="0"/>
    <n v="24"/>
    <n v="24"/>
    <n v="24"/>
    <n v="24"/>
    <n v="24"/>
    <n v="184.92043665070389"/>
    <m/>
    <m/>
    <n v="255.9954346567861"/>
  </r>
  <r>
    <x v="65"/>
    <x v="2"/>
    <n v="0"/>
    <n v="1272"/>
    <n v="1272"/>
    <n v="1323"/>
    <n v="0"/>
    <n v="0"/>
    <n v="1"/>
    <n v="71"/>
    <n v="24"/>
    <n v="24"/>
    <n v="0"/>
    <n v="1394"/>
    <n v="1323"/>
    <n v="1323"/>
    <n v="0"/>
    <n v="0"/>
    <n v="1323000"/>
    <n v="1323000"/>
    <n v="1311.1144000000002"/>
    <n v="1311.1144000000002"/>
    <n v="0"/>
    <n v="0"/>
    <n v="1311114.4000000001"/>
    <n v="38.14"/>
    <n v="38.14"/>
    <n v="1361.14"/>
    <n v="0"/>
    <n v="1311.1143999999999"/>
    <n v="164.8537"/>
    <n v="6.8689041666666668"/>
    <n v="1"/>
    <n v="1"/>
    <n v="0"/>
    <n v="0"/>
    <n v="0.7"/>
    <n v="184.92043665070389"/>
    <n v="184.92043665070389"/>
    <n v="6.57"/>
    <n v="1735.6103839930352"/>
    <n v="7.2700000000000005"/>
    <n v="1920.5308206437394"/>
    <n v="0"/>
    <n v="10992"/>
    <n v="41.609246329727995"/>
    <n v="0"/>
    <n v="0"/>
    <n v="0"/>
    <n v="0"/>
    <n v="0.139773572676269"/>
    <n v="184.92043665070389"/>
    <n v="184.92043665070389"/>
    <n v="1.311874817832982"/>
    <n v="9.0927076950059131"/>
    <n v="359995"/>
    <n v="12743"/>
    <n v="359524"/>
    <n v="359524"/>
    <n v="12647.968199852739"/>
    <n v="-95.031800147260583"/>
    <n v="-7.5136020778710563E-3"/>
    <n v="9631.8972033257742"/>
    <n v="8807.91"/>
    <n v="9292.1875779513775"/>
    <n v="9646.7312080873635"/>
    <n v="0.2717490551776266"/>
    <n v="0"/>
    <n v="58.05"/>
    <n v="0"/>
    <n v="0"/>
    <s v="DIESEL"/>
    <n v="71"/>
    <n v="0"/>
    <n v="71"/>
    <n v="0"/>
    <n v="1440"/>
    <n v="0"/>
    <n v="24"/>
    <n v="24"/>
    <n v="22"/>
    <n v="0"/>
    <n v="24"/>
    <n v="24"/>
    <n v="24"/>
    <n v="24"/>
    <n v="24"/>
    <n v="184.92043665070389"/>
    <m/>
    <m/>
    <n v="252.52195521775241"/>
  </r>
  <r>
    <x v="66"/>
    <x v="2"/>
    <n v="0"/>
    <n v="1272"/>
    <n v="1280"/>
    <n v="1311"/>
    <n v="0"/>
    <n v="0"/>
    <n v="0"/>
    <n v="0"/>
    <n v="24"/>
    <n v="24"/>
    <n v="0"/>
    <n v="1311"/>
    <n v="1311"/>
    <n v="1311"/>
    <n v="0"/>
    <n v="0"/>
    <n v="1311000"/>
    <n v="1311000"/>
    <n v="1299.5696"/>
    <n v="1299.5696"/>
    <n v="0"/>
    <n v="0"/>
    <n v="1299569.6000000001"/>
    <n v="37.64"/>
    <n v="37.64"/>
    <n v="1348.64"/>
    <n v="0"/>
    <n v="1299.5695999999998"/>
    <n v="165.28703214285716"/>
    <n v="6.8869596726190485"/>
    <n v="1"/>
    <n v="1"/>
    <n v="0"/>
    <n v="0"/>
    <n v="1.4"/>
    <n v="369.84087330140778"/>
    <n v="369.84087330140778"/>
    <n v="6.8200000000000021"/>
    <n v="1801.6533970825728"/>
    <n v="8.2200000000000024"/>
    <n v="2171.4942703839806"/>
    <n v="0"/>
    <n v="0"/>
    <n v="0"/>
    <n v="0"/>
    <n v="0"/>
    <n v="0"/>
    <n v="0"/>
    <n v="0.28210592929169165"/>
    <n v="369.84087330140778"/>
    <n v="369.84087330140778"/>
    <n v="1.3742588841209555"/>
    <n v="9.5487189758622417"/>
    <n v="354677"/>
    <n v="12555"/>
    <n v="356438"/>
    <n v="356438"/>
    <n v="12539.403459071191"/>
    <n v="-15.596540928809191"/>
    <n v="-1.2438024647437611E-3"/>
    <n v="9576.6590389016019"/>
    <n v="0"/>
    <n v="9297.8136931065292"/>
    <n v="9648.8894931608047"/>
    <n v="0.27188253241800153"/>
    <n v="0"/>
    <n v="0"/>
    <n v="0"/>
    <n v="0"/>
    <s v="DIESEL"/>
    <n v="71"/>
    <n v="0"/>
    <n v="71"/>
    <n v="0"/>
    <n v="1440"/>
    <n v="23"/>
    <n v="24"/>
    <n v="24"/>
    <n v="0"/>
    <n v="0"/>
    <n v="23"/>
    <n v="20"/>
    <n v="24"/>
    <n v="24"/>
    <n v="24"/>
    <n v="369.84087330140778"/>
    <m/>
    <m/>
    <n v="285.52000988857287"/>
  </r>
  <r>
    <x v="67"/>
    <x v="2"/>
    <n v="0"/>
    <n v="1280"/>
    <n v="1277"/>
    <n v="1322"/>
    <n v="0"/>
    <n v="0"/>
    <n v="0"/>
    <n v="0"/>
    <n v="24"/>
    <n v="24"/>
    <n v="0"/>
    <n v="1322"/>
    <n v="1322"/>
    <n v="1322"/>
    <n v="0"/>
    <n v="0"/>
    <n v="1322000"/>
    <n v="1322000"/>
    <n v="1310.1997000000001"/>
    <n v="1310.1997000000001"/>
    <n v="0"/>
    <n v="0"/>
    <n v="1310199.7000000002"/>
    <n v="37"/>
    <n v="37"/>
    <n v="1359"/>
    <n v="0"/>
    <n v="1310.1997000000001"/>
    <n v="166.66891428571429"/>
    <n v="6.9445380952380953"/>
    <n v="2"/>
    <n v="2"/>
    <n v="0"/>
    <n v="0"/>
    <n v="2.2999999999999998"/>
    <n v="607.59572042374134"/>
    <n v="607.59572042374134"/>
    <n v="6.780000000000002"/>
    <n v="1791.0865149882468"/>
    <n v="9.0800000000000018"/>
    <n v="2398.6822354119881"/>
    <n v="0"/>
    <n v="0"/>
    <n v="0"/>
    <n v="0"/>
    <n v="0"/>
    <n v="0"/>
    <n v="0"/>
    <n v="0.45960341938255772"/>
    <n v="303.79786021187067"/>
    <n v="303.79786021187067"/>
    <n v="1.3548309493103228"/>
    <n v="9.4936831316209602"/>
    <n v="359234"/>
    <n v="12716"/>
    <n v="358026"/>
    <n v="358026"/>
    <n v="12595.268918682692"/>
    <n v="-120.73108131730805"/>
    <n v="-9.5854310135630692E-3"/>
    <n v="9618.7594553706513"/>
    <n v="0"/>
    <n v="9268.0418827687208"/>
    <n v="9613.2436289541893"/>
    <n v="0.27082148260211802"/>
    <n v="0"/>
    <n v="0"/>
    <n v="0"/>
    <n v="0"/>
    <s v="DIESEL"/>
    <n v="71"/>
    <n v="0"/>
    <n v="71"/>
    <n v="0"/>
    <n v="1440"/>
    <n v="23"/>
    <n v="24"/>
    <n v="24"/>
    <n v="24"/>
    <n v="0"/>
    <n v="24"/>
    <n v="22"/>
    <n v="24"/>
    <n v="0"/>
    <n v="24"/>
    <n v="607.59572042374134"/>
    <m/>
    <m/>
    <n v="315.39193306426301"/>
  </r>
  <r>
    <x v="68"/>
    <x v="2"/>
    <n v="0"/>
    <n v="1272"/>
    <n v="1272"/>
    <n v="1308"/>
    <n v="0"/>
    <n v="0"/>
    <n v="0"/>
    <n v="0"/>
    <n v="24"/>
    <n v="24"/>
    <n v="0"/>
    <n v="1308"/>
    <n v="1308"/>
    <n v="1308"/>
    <n v="0"/>
    <n v="0"/>
    <n v="1308000"/>
    <n v="1308000"/>
    <n v="1297.0120000000004"/>
    <n v="1297.0120000000004"/>
    <n v="0"/>
    <n v="0"/>
    <n v="1297012.0000000005"/>
    <n v="38.03"/>
    <n v="38.03"/>
    <n v="1346.03"/>
    <n v="0"/>
    <n v="1297.0119999999999"/>
    <n v="164.99271250000004"/>
    <n v="6.8746963541666686"/>
    <n v="1"/>
    <n v="1"/>
    <n v="0"/>
    <n v="0"/>
    <n v="1.3"/>
    <n v="343.42366806559295"/>
    <n v="343.42366806559295"/>
    <n v="6.49"/>
    <n v="1714.4766198043833"/>
    <n v="7.79"/>
    <n v="2057.9002878699762"/>
    <n v="0"/>
    <n v="0"/>
    <n v="0"/>
    <n v="0"/>
    <n v="0"/>
    <n v="0"/>
    <n v="0"/>
    <n v="0.26255632115106492"/>
    <n v="343.42366806559295"/>
    <n v="343.42366806559295"/>
    <n v="1.3107619417464704"/>
    <n v="9.0887765632743935"/>
    <n v="356874"/>
    <n v="12633"/>
    <n v="355314"/>
    <n v="355314"/>
    <n v="12499.861408313423"/>
    <n v="-133.13859168657655"/>
    <n v="-1.0651205428408075E-2"/>
    <n v="9658.2568807339449"/>
    <n v="0"/>
    <n v="9286.4656867331523"/>
    <n v="9637.42926689454"/>
    <n v="0.27164678899082567"/>
    <n v="0"/>
    <n v="36.69"/>
    <n v="0"/>
    <n v="0"/>
    <s v="DIESEL"/>
    <n v="71"/>
    <n v="0"/>
    <n v="71"/>
    <n v="0"/>
    <n v="1440"/>
    <n v="22"/>
    <n v="24"/>
    <n v="24"/>
    <n v="24"/>
    <n v="0"/>
    <n v="1"/>
    <n v="21"/>
    <n v="23"/>
    <n v="24"/>
    <n v="24"/>
    <n v="343.42366806559295"/>
    <m/>
    <m/>
    <n v="270.58404830072772"/>
  </r>
  <r>
    <x v="69"/>
    <x v="2"/>
    <n v="0"/>
    <n v="1272"/>
    <n v="1272"/>
    <n v="1292"/>
    <n v="0"/>
    <n v="0"/>
    <n v="0"/>
    <n v="0"/>
    <n v="24"/>
    <n v="24"/>
    <n v="0"/>
    <n v="1292"/>
    <n v="1292"/>
    <n v="1292"/>
    <n v="0"/>
    <n v="0"/>
    <n v="1292000"/>
    <n v="1292000"/>
    <n v="1281.1267"/>
    <n v="1281.1267"/>
    <n v="0"/>
    <n v="0"/>
    <n v="1281126.7"/>
    <n v="36.549999999999997"/>
    <n v="36.549999999999997"/>
    <n v="1328.55"/>
    <n v="0"/>
    <n v="1281.1267000000003"/>
    <n v="174.28811607142853"/>
    <n v="7.2620048363095222"/>
    <n v="2"/>
    <n v="2"/>
    <n v="0"/>
    <n v="0"/>
    <n v="1.8"/>
    <n v="475.50969424466717"/>
    <n v="475.50969424466717"/>
    <n v="6.3099999999999987"/>
    <n v="1666.9256503799163"/>
    <n v="8.11"/>
    <n v="2142.4353446245836"/>
    <n v="0"/>
    <n v="0"/>
    <n v="0"/>
    <n v="0"/>
    <n v="0"/>
    <n v="0"/>
    <n v="0"/>
    <n v="0.36804155901290031"/>
    <n v="237.75484712233359"/>
    <n v="237.75484712233359"/>
    <n v="1.2901901318730002"/>
    <n v="9.4491303053303977"/>
    <n v="351214"/>
    <n v="12432"/>
    <n v="348180"/>
    <n v="348180"/>
    <n v="12248.888997187189"/>
    <n v="-183.11100281281142"/>
    <n v="-1.4949192768002117E-2"/>
    <n v="9622.2910216718265"/>
    <n v="0"/>
    <n v="9219.742574375965"/>
    <n v="9561.0285830333487"/>
    <n v="0.26948916408668733"/>
    <n v="0"/>
    <n v="0"/>
    <n v="0"/>
    <n v="0"/>
    <s v="DIESEL"/>
    <n v="71"/>
    <n v="0"/>
    <n v="71"/>
    <n v="0"/>
    <n v="1440"/>
    <n v="13"/>
    <n v="24"/>
    <n v="24"/>
    <n v="0"/>
    <n v="0"/>
    <n v="23"/>
    <n v="24"/>
    <n v="21"/>
    <n v="24"/>
    <n v="24"/>
    <n v="475.50969424466717"/>
    <m/>
    <m/>
    <n v="281.69918250563569"/>
  </r>
  <r>
    <x v="70"/>
    <x v="2"/>
    <n v="0"/>
    <n v="1272"/>
    <n v="1272"/>
    <n v="1285"/>
    <n v="0"/>
    <n v="0"/>
    <n v="0"/>
    <n v="0"/>
    <n v="24"/>
    <n v="24"/>
    <n v="0"/>
    <n v="1285"/>
    <n v="1285"/>
    <n v="1285"/>
    <n v="0"/>
    <n v="0"/>
    <n v="1285000"/>
    <n v="1285000"/>
    <n v="1274.3511000000001"/>
    <n v="1274.3511000000001"/>
    <n v="0"/>
    <n v="0"/>
    <n v="1274351.1000000001"/>
    <n v="36.14"/>
    <n v="36.14"/>
    <n v="1321.14"/>
    <n v="0"/>
    <n v="1274.3511000000001"/>
    <n v="177.19323392857143"/>
    <n v="7.3830514136904766"/>
    <n v="1"/>
    <n v="1"/>
    <n v="0"/>
    <n v="0"/>
    <n v="2.1"/>
    <n v="554.76130995211167"/>
    <n v="554.76130995211167"/>
    <n v="6.2999999999999972"/>
    <n v="1664.2839298563345"/>
    <n v="8.3999999999999968"/>
    <n v="2219.0452398084458"/>
    <n v="0"/>
    <n v="0"/>
    <n v="0"/>
    <n v="0"/>
    <n v="0"/>
    <n v="0"/>
    <n v="0"/>
    <n v="0.43172086377596242"/>
    <n v="554.76130995211167"/>
    <n v="554.76130995211167"/>
    <n v="1.2951625913278868"/>
    <n v="9.643066137418721"/>
    <n v="346925"/>
    <n v="12281"/>
    <n v="344893"/>
    <n v="344893"/>
    <n v="12133.253124553048"/>
    <n v="-147.74687544695189"/>
    <n v="-1.2177020781670574E-2"/>
    <n v="9557.1984435797658"/>
    <n v="0"/>
    <n v="9183.926854499181"/>
    <n v="9521.1226517974883"/>
    <n v="0.26839922178988329"/>
    <n v="0"/>
    <n v="0"/>
    <n v="0"/>
    <n v="0"/>
    <s v="DIESEL"/>
    <n v="71"/>
    <n v="0"/>
    <n v="71"/>
    <n v="0"/>
    <n v="1440"/>
    <n v="24"/>
    <n v="24"/>
    <n v="24"/>
    <n v="7"/>
    <n v="0"/>
    <n v="0"/>
    <n v="24"/>
    <n v="24"/>
    <n v="20"/>
    <n v="24"/>
    <n v="554.76130995211167"/>
    <m/>
    <m/>
    <n v="291.77227287883341"/>
  </r>
  <r>
    <x v="71"/>
    <x v="2"/>
    <n v="0"/>
    <n v="1272"/>
    <n v="1272"/>
    <n v="1287"/>
    <n v="0"/>
    <n v="0"/>
    <n v="0"/>
    <n v="0"/>
    <n v="24"/>
    <n v="24"/>
    <n v="0"/>
    <n v="1287"/>
    <n v="1287"/>
    <n v="1287"/>
    <n v="0"/>
    <n v="0"/>
    <n v="1287000"/>
    <n v="1287000"/>
    <n v="1275.2791000000002"/>
    <n v="1275.2791000000002"/>
    <n v="0"/>
    <n v="0"/>
    <n v="1275279.1000000001"/>
    <n v="38.26"/>
    <n v="38.26"/>
    <n v="1325.26"/>
    <n v="0"/>
    <n v="1275.2790999999995"/>
    <n v="162.2072482142857"/>
    <n v="6.7586353422619041"/>
    <n v="1"/>
    <n v="1"/>
    <n v="0"/>
    <n v="0"/>
    <n v="1"/>
    <n v="264.17205235814845"/>
    <n v="264.17205235814845"/>
    <n v="6.4499999999999975"/>
    <n v="1703.9097377100566"/>
    <n v="7.4499999999999975"/>
    <n v="1968.081790068205"/>
    <n v="0"/>
    <n v="0"/>
    <n v="0"/>
    <n v="0"/>
    <n v="0"/>
    <n v="0"/>
    <n v="0"/>
    <n v="0.2052618899441713"/>
    <n v="264.17205235814845"/>
    <n v="264.17205235814845"/>
    <n v="1.323939190139904"/>
    <n v="9.0278440214358309"/>
    <n v="354206"/>
    <n v="12538"/>
    <n v="344893"/>
    <n v="344893"/>
    <n v="12133.253124553048"/>
    <n v="-404.74687544695189"/>
    <n v="-3.3358479485431615E-2"/>
    <n v="9742.0357420357432"/>
    <n v="0"/>
    <n v="9155.3756429327441"/>
    <n v="9514.1942846495695"/>
    <n v="0.26798212898212898"/>
    <n v="0"/>
    <n v="27.6"/>
    <n v="0"/>
    <n v="0"/>
    <s v="DIESEL"/>
    <n v="71"/>
    <n v="0"/>
    <n v="71"/>
    <n v="0"/>
    <n v="1440"/>
    <n v="24"/>
    <n v="24"/>
    <n v="24"/>
    <n v="24"/>
    <n v="0"/>
    <n v="24"/>
    <n v="20"/>
    <n v="24"/>
    <n v="0"/>
    <n v="24"/>
    <n v="264.17205235814845"/>
    <m/>
    <m/>
    <n v="258.774218208013"/>
  </r>
  <r>
    <x v="72"/>
    <x v="2"/>
    <n v="0"/>
    <n v="1272"/>
    <n v="1272"/>
    <n v="1293"/>
    <n v="0"/>
    <n v="0"/>
    <n v="0"/>
    <n v="0"/>
    <n v="24"/>
    <n v="24"/>
    <n v="0"/>
    <n v="1293"/>
    <n v="1293"/>
    <n v="1293"/>
    <n v="0"/>
    <n v="0"/>
    <n v="1293000"/>
    <n v="1293000"/>
    <n v="1283.1853000000003"/>
    <n v="1283.1853000000003"/>
    <n v="0"/>
    <n v="0"/>
    <n v="1283185.3000000003"/>
    <n v="38.5"/>
    <n v="38.5"/>
    <n v="1331.5"/>
    <n v="0"/>
    <n v="1283.1852999999999"/>
    <n v="164.19497142857145"/>
    <n v="6.841457142857144"/>
    <n v="2"/>
    <n v="2"/>
    <n v="0"/>
    <n v="0"/>
    <n v="1.8"/>
    <n v="475.50969424466717"/>
    <n v="475.50969424466717"/>
    <n v="6.7100000000000017"/>
    <n v="1772.5944713231763"/>
    <n v="8.5100000000000016"/>
    <n v="2248.1041655678437"/>
    <n v="0"/>
    <n v="10992"/>
    <n v="41.609246329727995"/>
    <n v="0"/>
    <n v="0"/>
    <n v="0"/>
    <n v="0"/>
    <n v="0.36775691743593747"/>
    <n v="237.75484712233359"/>
    <n v="237.75484712233359"/>
    <n v="1.3709160644417451"/>
    <n v="9.4484751167084795"/>
    <n v="353755"/>
    <n v="12522"/>
    <n v="350816"/>
    <n v="350816"/>
    <n v="12341.622845761447"/>
    <n v="-180.37715423855298"/>
    <n v="-1.4615351359606725E-2"/>
    <n v="9684.4547563805099"/>
    <n v="0"/>
    <n v="9268.9619570119758"/>
    <n v="9617.9584084710477"/>
    <n v="0.27131941221964423"/>
    <n v="27.641076846767998"/>
    <n v="31.8"/>
    <n v="0"/>
    <n v="0"/>
    <s v="DIESEL"/>
    <n v="71"/>
    <n v="0"/>
    <n v="71"/>
    <n v="0"/>
    <n v="1440"/>
    <n v="24"/>
    <n v="21"/>
    <n v="22"/>
    <n v="24"/>
    <n v="0"/>
    <n v="0"/>
    <n v="24"/>
    <n v="24"/>
    <n v="24"/>
    <n v="24"/>
    <n v="475.50969424466717"/>
    <m/>
    <m/>
    <n v="295.5931002617707"/>
  </r>
  <r>
    <x v="73"/>
    <x v="2"/>
    <n v="0"/>
    <n v="1272"/>
    <n v="1272"/>
    <n v="1298"/>
    <n v="0"/>
    <n v="0"/>
    <n v="0"/>
    <n v="0"/>
    <n v="24"/>
    <n v="24"/>
    <n v="0"/>
    <n v="1298"/>
    <n v="1298"/>
    <n v="1298"/>
    <n v="0"/>
    <n v="0"/>
    <n v="1298000"/>
    <n v="1298000"/>
    <n v="1287.0416000000002"/>
    <n v="1287.0416000000002"/>
    <n v="0"/>
    <n v="0"/>
    <n v="1287041.6000000003"/>
    <n v="38.42"/>
    <n v="38.42"/>
    <n v="1336.42"/>
    <n v="0"/>
    <n v="1287.0416000000002"/>
    <n v="165.66431250000002"/>
    <n v="6.9026796875000009"/>
    <n v="1"/>
    <n v="1"/>
    <n v="0"/>
    <n v="0"/>
    <n v="1"/>
    <n v="264.17205235814845"/>
    <n v="264.17205235814845"/>
    <n v="6.4099999999999984"/>
    <n v="1693.342855615731"/>
    <n v="7.4099999999999984"/>
    <n v="1957.5149079738794"/>
    <n v="0"/>
    <n v="0"/>
    <n v="0"/>
    <n v="0"/>
    <n v="0"/>
    <n v="0"/>
    <n v="0"/>
    <n v="0.20352238240227152"/>
    <n v="264.17205235814845"/>
    <n v="264.17205235814845"/>
    <n v="1.30457847119856"/>
    <n v="9.0828798656771124"/>
    <n v="353598"/>
    <n v="12517"/>
    <n v="352930"/>
    <n v="352930"/>
    <n v="12415.992859375248"/>
    <n v="-101.00714062475163"/>
    <n v="-8.135244741904123E-3"/>
    <n v="9643.2973805855163"/>
    <n v="0"/>
    <n v="9290.4871667404313"/>
    <n v="9646.9242791959841"/>
    <n v="0.27190292758089368"/>
    <n v="0"/>
    <n v="24.3"/>
    <n v="0"/>
    <n v="0"/>
    <s v="DIESEL"/>
    <n v="71"/>
    <n v="0"/>
    <n v="71"/>
    <n v="0"/>
    <n v="1440"/>
    <n v="24"/>
    <n v="20"/>
    <n v="13"/>
    <n v="24"/>
    <n v="0"/>
    <n v="16"/>
    <n v="24"/>
    <n v="24"/>
    <n v="24"/>
    <n v="18"/>
    <n v="264.17205235814845"/>
    <m/>
    <m/>
    <n v="257.38482643239951"/>
  </r>
  <r>
    <x v="74"/>
    <x v="2"/>
    <n v="0"/>
    <n v="1137"/>
    <n v="1137"/>
    <n v="1154"/>
    <n v="0"/>
    <n v="0"/>
    <n v="0"/>
    <n v="0"/>
    <n v="23"/>
    <n v="24"/>
    <n v="1"/>
    <n v="1154"/>
    <n v="1154"/>
    <n v="1154"/>
    <n v="0"/>
    <n v="0"/>
    <n v="1154000"/>
    <n v="1154000"/>
    <n v="1143.0885000000001"/>
    <n v="1143.0885000000001"/>
    <n v="0"/>
    <n v="0"/>
    <n v="1143088.5"/>
    <n v="34.97"/>
    <n v="34.261099999999999"/>
    <n v="1188.2610999999999"/>
    <n v="0.70889999999999997"/>
    <n v="1143.0885000000001"/>
    <n v="164.06652321428572"/>
    <n v="7.133327096273292"/>
    <n v="8"/>
    <n v="8"/>
    <n v="0"/>
    <n v="0"/>
    <n v="2.2999999999999998"/>
    <n v="607.59572042374134"/>
    <n v="607.59572042374134"/>
    <n v="5.7999999999999989"/>
    <n v="1532.1979036772607"/>
    <n v="8.0999999999999979"/>
    <n v="2139.7936241010016"/>
    <n v="0"/>
    <n v="0"/>
    <n v="0"/>
    <n v="0"/>
    <n v="0"/>
    <n v="0"/>
    <n v="0"/>
    <n v="0.52651275599977587"/>
    <n v="75.949465052967668"/>
    <n v="75.949465052967668"/>
    <n v="1.3277278194776956"/>
    <n v="9.5709042323296849"/>
    <n v="313554"/>
    <n v="11099"/>
    <n v="353183"/>
    <n v="353183"/>
    <n v="12424.89333877179"/>
    <n v="1325.8933387717898"/>
    <n v="0.10671265359150804"/>
    <n v="9617.8509532062399"/>
    <n v="8123.82"/>
    <n v="10456.366314416748"/>
    <n v="10869.581260568879"/>
    <n v="0.30605112651646449"/>
    <n v="0"/>
    <n v="0"/>
    <n v="0"/>
    <n v="0"/>
    <s v="DIESEL"/>
    <n v="71"/>
    <n v="0"/>
    <n v="71"/>
    <n v="0"/>
    <n v="1440"/>
    <n v="6"/>
    <n v="16"/>
    <n v="21"/>
    <n v="16"/>
    <n v="0"/>
    <n v="22"/>
    <n v="20"/>
    <n v="20"/>
    <n v="23"/>
    <n v="23"/>
    <n v="607.59572042374134"/>
    <m/>
    <m/>
    <n v="281.35183456173223"/>
  </r>
  <r>
    <x v="75"/>
    <x v="2"/>
    <n v="0"/>
    <n v="1137"/>
    <n v="1137"/>
    <n v="1191"/>
    <n v="0"/>
    <n v="0"/>
    <n v="3"/>
    <n v="213"/>
    <n v="23"/>
    <n v="24"/>
    <n v="1"/>
    <n v="1404"/>
    <n v="1191"/>
    <n v="1068"/>
    <n v="123"/>
    <n v="0"/>
    <n v="1068000"/>
    <n v="1191000"/>
    <n v="1179.6959000000002"/>
    <n v="1058.3317000000002"/>
    <n v="121.36420000000001"/>
    <n v="0"/>
    <n v="1179695.9000000001"/>
    <n v="35.14"/>
    <n v="34.446100000000001"/>
    <n v="1225.4461000000001"/>
    <n v="0.69389999999999996"/>
    <n v="1179.6959000000002"/>
    <n v="159.04143273809527"/>
    <n v="6.9148449016563163"/>
    <n v="8"/>
    <n v="8"/>
    <n v="0"/>
    <n v="0"/>
    <n v="2.8"/>
    <n v="739.68174660281556"/>
    <n v="739.68174660281556"/>
    <n v="6.1400000000000023"/>
    <n v="1622.0164014790321"/>
    <n v="8.9400000000000013"/>
    <n v="2361.6981480818472"/>
    <n v="0"/>
    <n v="0"/>
    <n v="0"/>
    <n v="0"/>
    <n v="0"/>
    <n v="0"/>
    <n v="0"/>
    <n v="0.62105940100992074"/>
    <n v="92.460218325351946"/>
    <n v="92.460218325351946"/>
    <n v="1.361894543643184"/>
    <n v="9.5208592161997299"/>
    <n v="321856"/>
    <n v="11393"/>
    <n v="313033"/>
    <n v="313033"/>
    <n v="11012.425956276917"/>
    <n v="-380.57404372308338"/>
    <n v="-3.4558601822531385E-2"/>
    <n v="10667.602996254682"/>
    <n v="8686.27"/>
    <n v="8986.4629348258695"/>
    <n v="10405.457907267555"/>
    <n v="0.29310205992509364"/>
    <n v="0"/>
    <n v="35.28"/>
    <n v="0"/>
    <n v="0"/>
    <s v="DIESEL"/>
    <n v="71"/>
    <n v="0"/>
    <n v="71"/>
    <n v="0"/>
    <n v="1440"/>
    <n v="0"/>
    <n v="20"/>
    <n v="19"/>
    <n v="21"/>
    <n v="0"/>
    <n v="21"/>
    <n v="20"/>
    <n v="21"/>
    <n v="23"/>
    <n v="23"/>
    <n v="739.68174660281556"/>
    <m/>
    <m/>
    <n v="310.52906184961569"/>
  </r>
  <r>
    <x v="76"/>
    <x v="2"/>
    <n v="0"/>
    <n v="1272"/>
    <n v="1272"/>
    <n v="1309"/>
    <n v="0"/>
    <n v="0"/>
    <n v="0"/>
    <n v="0"/>
    <n v="24"/>
    <n v="24"/>
    <n v="0"/>
    <n v="1309"/>
    <n v="1309"/>
    <n v="1309"/>
    <n v="0"/>
    <n v="0"/>
    <n v="1309000"/>
    <n v="1309000"/>
    <n v="1297.9580000000001"/>
    <n v="1297.9580000000001"/>
    <n v="0"/>
    <n v="0"/>
    <n v="1297958"/>
    <n v="37.79"/>
    <n v="37.79"/>
    <n v="1346.79"/>
    <n v="0"/>
    <n v="1297.9579999999999"/>
    <n v="167.04481607142861"/>
    <n v="6.9602006696428589"/>
    <n v="1"/>
    <n v="1"/>
    <n v="0"/>
    <n v="0"/>
    <n v="1"/>
    <n v="264.17205235814845"/>
    <n v="264.17205235814845"/>
    <n v="5.8600000000000012"/>
    <n v="1548.04822681875"/>
    <n v="6.8600000000000012"/>
    <n v="1812.2202791768984"/>
    <n v="0"/>
    <n v="0"/>
    <n v="0"/>
    <n v="0"/>
    <n v="0"/>
    <n v="0"/>
    <n v="0"/>
    <n v="0.20181211028124404"/>
    <n v="264.17205235814845"/>
    <n v="264.17205235814845"/>
    <n v="1.1826189662480902"/>
    <n v="8.3025502169703795"/>
    <n v="355792"/>
    <n v="12595"/>
    <n v="321610"/>
    <n v="321610"/>
    <n v="11314.162761747864"/>
    <n v="-1280.8372382521356"/>
    <n v="-0.1132065416791181"/>
    <n v="9621.8487394957974"/>
    <n v="8901.41"/>
    <n v="8400.8366276463767"/>
    <n v="8716.8943538603435"/>
    <n v="0.24569136745607334"/>
    <n v="0"/>
    <n v="0"/>
    <n v="0"/>
    <n v="0"/>
    <s v="DIESEL"/>
    <n v="71"/>
    <n v="0"/>
    <n v="71"/>
    <n v="0"/>
    <n v="1440"/>
    <n v="24"/>
    <n v="19"/>
    <n v="24"/>
    <n v="24"/>
    <n v="0"/>
    <n v="24"/>
    <n v="1"/>
    <n v="24"/>
    <n v="24"/>
    <n v="24"/>
    <n v="264.17205235814845"/>
    <m/>
    <m/>
    <n v="238.28068951771408"/>
  </r>
  <r>
    <x v="77"/>
    <x v="2"/>
    <n v="0"/>
    <n v="1272"/>
    <n v="1272"/>
    <n v="1322"/>
    <n v="0"/>
    <n v="0"/>
    <n v="0"/>
    <n v="0"/>
    <n v="24"/>
    <n v="24"/>
    <n v="0"/>
    <n v="1322"/>
    <n v="1322"/>
    <n v="1322"/>
    <n v="0"/>
    <n v="0"/>
    <n v="1322000"/>
    <n v="1322000"/>
    <n v="1310.9650000000001"/>
    <n v="1310.9650000000001"/>
    <n v="0"/>
    <n v="0"/>
    <n v="1310965.0000000002"/>
    <n v="37.450000000000003"/>
    <n v="37.450000000000003"/>
    <n v="1359.45"/>
    <n v="0"/>
    <n v="1310.9649999999999"/>
    <n v="170.687275"/>
    <n v="7.1119697916666667"/>
    <n v="2"/>
    <n v="2"/>
    <n v="0"/>
    <n v="0"/>
    <n v="2.4"/>
    <n v="634.01292565955623"/>
    <n v="634.01292565955623"/>
    <n v="6.3999999999999968"/>
    <n v="1690.7011350921489"/>
    <n v="8.7999999999999972"/>
    <n v="2324.7140607517053"/>
    <n v="0"/>
    <n v="0"/>
    <n v="0"/>
    <n v="0"/>
    <n v="0"/>
    <n v="0"/>
    <n v="0"/>
    <n v="0.47958617674701681"/>
    <n v="317.00646282977812"/>
    <n v="317.00646282977812"/>
    <n v="1.2788964713253774"/>
    <n v="9.1732958955020738"/>
    <n v="357117"/>
    <n v="12641"/>
    <n v="355237"/>
    <n v="355237"/>
    <n v="12497.152566757955"/>
    <n v="-143.84743324204464"/>
    <n v="-1.1510416670808231E-2"/>
    <n v="9562.027231467473"/>
    <n v="8946.68"/>
    <n v="9192.800446326055"/>
    <n v="9453.2167675930068"/>
    <n v="0.26871180030257186"/>
    <n v="0"/>
    <n v="0"/>
    <n v="0"/>
    <n v="0"/>
    <s v="DIESEL"/>
    <n v="71"/>
    <n v="0"/>
    <n v="71"/>
    <n v="0"/>
    <n v="1440"/>
    <n v="24"/>
    <n v="16"/>
    <n v="24"/>
    <n v="24"/>
    <n v="0"/>
    <n v="24"/>
    <n v="22"/>
    <n v="24"/>
    <n v="0"/>
    <n v="24"/>
    <n v="634.01292565955623"/>
    <m/>
    <m/>
    <n v="305.66619063496836"/>
  </r>
  <r>
    <x v="78"/>
    <x v="2"/>
    <n v="0"/>
    <n v="1272"/>
    <n v="1272"/>
    <n v="1292"/>
    <n v="0"/>
    <n v="0"/>
    <n v="0"/>
    <n v="0"/>
    <n v="24"/>
    <n v="24"/>
    <n v="0"/>
    <n v="1292"/>
    <n v="1292"/>
    <n v="1292"/>
    <n v="0"/>
    <n v="0"/>
    <n v="1292000"/>
    <n v="1292000"/>
    <n v="1280.3627999999999"/>
    <n v="1280.3627999999999"/>
    <n v="0"/>
    <n v="0"/>
    <n v="1280362.7999999998"/>
    <n v="37.159999999999997"/>
    <n v="37.159999999999997"/>
    <n v="1329.16"/>
    <n v="0"/>
    <n v="1280.3628000000001"/>
    <n v="165.73057499999999"/>
    <n v="6.9054406249999998"/>
    <n v="1"/>
    <n v="1"/>
    <n v="0"/>
    <n v="0"/>
    <n v="1.8"/>
    <n v="475.50969424466717"/>
    <n v="475.50969424466717"/>
    <n v="6.6300000000000017"/>
    <n v="1751.4607071345245"/>
    <n v="8.4300000000000015"/>
    <n v="2226.9704013791916"/>
    <n v="0"/>
    <n v="0"/>
    <n v="0"/>
    <n v="0"/>
    <n v="0"/>
    <n v="0"/>
    <n v="0"/>
    <n v="0.36804155901290031"/>
    <n v="475.50969424466717"/>
    <n v="475.50969424466717"/>
    <n v="1.3556197423641829"/>
    <n v="9.4445439849769581"/>
    <n v="350878"/>
    <n v="12421"/>
    <n v="356706"/>
    <n v="356706"/>
    <n v="12548.831634874643"/>
    <n v="127.83163487464299"/>
    <n v="1.0186735992168721E-2"/>
    <n v="9613.7770897832816"/>
    <n v="0"/>
    <n v="9441.174602662315"/>
    <n v="9800.9967447309809"/>
    <n v="0.27608823529411763"/>
    <n v="0"/>
    <n v="0"/>
    <n v="0"/>
    <n v="0"/>
    <s v="DIESEL"/>
    <n v="71"/>
    <n v="0"/>
    <n v="71"/>
    <n v="0"/>
    <n v="1440"/>
    <n v="24"/>
    <n v="19"/>
    <n v="24"/>
    <n v="24"/>
    <n v="0"/>
    <n v="24"/>
    <n v="24"/>
    <n v="24"/>
    <n v="24"/>
    <n v="0"/>
    <n v="475.50969424466717"/>
    <m/>
    <m/>
    <n v="292.81431671054366"/>
  </r>
  <r>
    <x v="79"/>
    <x v="2"/>
    <n v="0"/>
    <n v="1272"/>
    <n v="1272"/>
    <n v="1291"/>
    <n v="0"/>
    <n v="0"/>
    <n v="0"/>
    <n v="0"/>
    <n v="24"/>
    <n v="24"/>
    <n v="0"/>
    <n v="1291"/>
    <n v="1291"/>
    <n v="1291"/>
    <n v="0"/>
    <n v="0"/>
    <n v="1291000"/>
    <n v="1291000"/>
    <n v="1280.0310000000002"/>
    <n v="1280.0310000000002"/>
    <n v="0"/>
    <n v="0"/>
    <n v="1280031.0000000002"/>
    <n v="37.94"/>
    <n v="37.94"/>
    <n v="1328.94"/>
    <n v="0"/>
    <n v="1280.0309999999999"/>
    <n v="164.79450357142858"/>
    <n v="6.8664376488095238"/>
    <n v="1"/>
    <n v="1"/>
    <n v="0"/>
    <n v="0"/>
    <n v="1.2"/>
    <n v="317.00646282977812"/>
    <n v="317.00646282977812"/>
    <n v="6.7400000000000038"/>
    <n v="1780.5196328939214"/>
    <n v="7.9400000000000039"/>
    <n v="2097.5260957236997"/>
    <n v="0"/>
    <n v="11001"/>
    <n v="41.643315035783999"/>
    <n v="0"/>
    <n v="0"/>
    <n v="0"/>
    <n v="0"/>
    <n v="0.24555109436853456"/>
    <n v="317.00646282977812"/>
    <n v="317.00646282977812"/>
    <n v="1.3791786467032698"/>
    <n v="9.5506845417280015"/>
    <n v="355137"/>
    <n v="12571"/>
    <n v="349855"/>
    <n v="349855"/>
    <n v="12307.815095958767"/>
    <n v="-263.18490404123258"/>
    <n v="-2.1383560119265076E-2"/>
    <n v="9737.4128582494195"/>
    <n v="0"/>
    <n v="9261.3775610326775"/>
    <n v="9615.2476744381711"/>
    <n v="0.27099535243996903"/>
    <n v="0"/>
    <n v="0"/>
    <n v="0"/>
    <n v="0"/>
    <s v="DIESEL"/>
    <n v="71"/>
    <n v="0"/>
    <n v="71"/>
    <n v="0"/>
    <n v="1440"/>
    <n v="24"/>
    <n v="24"/>
    <n v="24"/>
    <n v="24"/>
    <n v="0"/>
    <n v="0"/>
    <n v="24"/>
    <n v="24"/>
    <n v="19"/>
    <n v="24"/>
    <n v="317.00646282977812"/>
    <m/>
    <m/>
    <n v="275.7942674592785"/>
  </r>
  <r>
    <x v="80"/>
    <x v="2"/>
    <n v="0"/>
    <n v="1272"/>
    <n v="1272"/>
    <n v="1299"/>
    <n v="0"/>
    <n v="0"/>
    <n v="0"/>
    <n v="0"/>
    <n v="24"/>
    <n v="24"/>
    <n v="0"/>
    <n v="1299"/>
    <n v="1319"/>
    <n v="1319"/>
    <n v="0"/>
    <n v="0"/>
    <n v="1319000"/>
    <n v="1319000"/>
    <n v="1287.7526"/>
    <n v="1287.7526"/>
    <n v="0"/>
    <n v="0"/>
    <n v="1287752.6000000001"/>
    <n v="35.43"/>
    <n v="35.43"/>
    <n v="1354.43"/>
    <n v="0"/>
    <n v="1287.7525999999996"/>
    <n v="181.11294642857146"/>
    <n v="7.5463727678571439"/>
    <n v="2"/>
    <n v="3"/>
    <n v="0"/>
    <n v="1.9"/>
    <n v="1.2"/>
    <n v="317.00646282977812"/>
    <n v="818.93336231026001"/>
    <n v="6.2499999999999982"/>
    <n v="1651.0753272384272"/>
    <n v="9.3499999999999979"/>
    <n v="2470.0086895486875"/>
    <n v="0"/>
    <n v="0"/>
    <n v="0"/>
    <n v="0"/>
    <n v="0"/>
    <n v="0"/>
    <n v="0"/>
    <n v="0.24033848584516915"/>
    <n v="158.50323141488906"/>
    <n v="105.66882094325938"/>
    <n v="1.2517629471102556"/>
    <n v="9.6764807571366429"/>
    <n v="348267"/>
    <n v="12328"/>
    <n v="351891"/>
    <n v="351891"/>
    <n v="12379.441088256639"/>
    <n v="51.441088256638977"/>
    <n v="4.1553643569124396E-3"/>
    <n v="9346.4746019711893"/>
    <n v="0"/>
    <n v="9139.9637399176336"/>
    <n v="9613.2138178223358"/>
    <n v="0.26678620166793027"/>
    <n v="0"/>
    <n v="12.9"/>
    <n v="0"/>
    <n v="0"/>
    <s v="DIESEL"/>
    <n v="71"/>
    <n v="0"/>
    <n v="71"/>
    <n v="0"/>
    <n v="1440"/>
    <n v="6"/>
    <n v="24"/>
    <n v="24"/>
    <n v="6"/>
    <n v="0"/>
    <n v="24"/>
    <n v="24"/>
    <n v="18"/>
    <n v="18"/>
    <n v="24"/>
    <n v="317.00646282977812"/>
    <m/>
    <m/>
    <n v="324.77032754965393"/>
  </r>
  <r>
    <x v="81"/>
    <x v="2"/>
    <n v="0"/>
    <n v="1272"/>
    <n v="1272"/>
    <n v="1319"/>
    <n v="0"/>
    <n v="0"/>
    <n v="0"/>
    <n v="0"/>
    <n v="24"/>
    <n v="24"/>
    <n v="0"/>
    <n v="1319"/>
    <n v="1319"/>
    <n v="1319"/>
    <n v="0"/>
    <n v="0"/>
    <n v="1319000"/>
    <n v="1319000"/>
    <n v="1307.5301999999997"/>
    <n v="1307.5301999999997"/>
    <n v="0"/>
    <n v="0"/>
    <n v="1307530.1999999997"/>
    <n v="36.130000000000003"/>
    <n v="36.130000000000003"/>
    <n v="1355.13"/>
    <n v="0"/>
    <n v="1307.5301999999997"/>
    <n v="173.15937499999998"/>
    <n v="7.2149739583333323"/>
    <n v="1"/>
    <n v="0"/>
    <n v="0"/>
    <n v="0.9"/>
    <n v="1.2"/>
    <n v="317.00646282977812"/>
    <n v="554.76130995211167"/>
    <n v="6.06"/>
    <n v="1600.8826372903795"/>
    <n v="8.16"/>
    <n v="2155.6439472424913"/>
    <n v="0"/>
    <n v="10984"/>
    <n v="41.578963035455999"/>
    <n v="0"/>
    <n v="0"/>
    <n v="0"/>
    <n v="0"/>
    <n v="0.24033848584516915"/>
    <n v="317.00646282977812"/>
    <n v="0"/>
    <n v="1.2137093535181043"/>
    <n v="8.8332530007255841"/>
    <n v="355030"/>
    <n v="12568"/>
    <n v="345015"/>
    <n v="345015"/>
    <n v="12137.545055329248"/>
    <n v="-430.4549446707515"/>
    <n v="-3.5464745359009071E-2"/>
    <n v="9528.4306292645942"/>
    <n v="0"/>
    <n v="8956.7385087255443"/>
    <n v="9282.8028410580901"/>
    <n v="0.2615731614859742"/>
    <n v="0"/>
    <n v="31.2"/>
    <n v="0"/>
    <n v="0"/>
    <s v="DIESEL"/>
    <n v="71"/>
    <n v="0"/>
    <n v="71"/>
    <n v="0"/>
    <n v="1440"/>
    <n v="0"/>
    <n v="24"/>
    <n v="24"/>
    <n v="24"/>
    <n v="0"/>
    <n v="24"/>
    <n v="14"/>
    <n v="24"/>
    <n v="24"/>
    <n v="24"/>
    <n v="317.00646282977812"/>
    <m/>
    <m/>
    <n v="283.43592222515264"/>
  </r>
  <r>
    <x v="82"/>
    <x v="2"/>
    <n v="0"/>
    <n v="1272"/>
    <n v="1272"/>
    <n v="1335"/>
    <n v="0"/>
    <n v="0"/>
    <n v="3"/>
    <n v="213"/>
    <n v="24"/>
    <n v="24"/>
    <n v="0"/>
    <n v="1548"/>
    <n v="1335"/>
    <n v="1335"/>
    <n v="0"/>
    <n v="0"/>
    <n v="1335000"/>
    <n v="1335000"/>
    <n v="1323.4137999999998"/>
    <n v="1323.4137999999998"/>
    <n v="0"/>
    <n v="0"/>
    <n v="1323413.7999999998"/>
    <n v="36.770000000000003"/>
    <n v="36.770000000000003"/>
    <n v="1371.77"/>
    <n v="0"/>
    <n v="1323.4138"/>
    <n v="169.2145464285714"/>
    <n v="7.0506061011904748"/>
    <n v="2"/>
    <n v="2"/>
    <n v="0"/>
    <n v="0"/>
    <n v="1.3"/>
    <n v="343.42366806559295"/>
    <n v="343.42366806559295"/>
    <n v="6.3599999999999968"/>
    <n v="1680.1342529978231"/>
    <n v="7.6599999999999966"/>
    <n v="2023.557921063416"/>
    <n v="0"/>
    <n v="0"/>
    <n v="0"/>
    <n v="0"/>
    <n v="0"/>
    <n v="0"/>
    <n v="0"/>
    <n v="0.25724619330756027"/>
    <n v="171.71183403279647"/>
    <n v="171.71183403279647"/>
    <n v="1.258527530335448"/>
    <n v="8.9511869526711934"/>
    <n v="361524"/>
    <n v="12797"/>
    <n v="354490"/>
    <n v="354490"/>
    <n v="12470.873285693855"/>
    <n v="-326.126714306145"/>
    <n v="-2.6151072730429076E-2"/>
    <n v="9585.7677902621726"/>
    <n v="0"/>
    <n v="9091.0818035777538"/>
    <n v="9423.2607259300585"/>
    <n v="0.26553558052434456"/>
    <n v="0"/>
    <n v="12.9"/>
    <n v="0"/>
    <n v="0"/>
    <s v="DIESEL"/>
    <n v="71"/>
    <n v="0"/>
    <n v="71"/>
    <n v="0"/>
    <n v="1440"/>
    <n v="11"/>
    <n v="24"/>
    <n v="17"/>
    <n v="24"/>
    <n v="0"/>
    <n v="24"/>
    <n v="13"/>
    <n v="24"/>
    <n v="24"/>
    <n v="24"/>
    <n v="343.42366806559295"/>
    <m/>
    <m/>
    <n v="266.06852502998379"/>
  </r>
  <r>
    <x v="83"/>
    <x v="2"/>
    <n v="0"/>
    <n v="1272"/>
    <n v="1272"/>
    <n v="1306"/>
    <n v="0"/>
    <n v="0"/>
    <n v="0"/>
    <n v="0"/>
    <n v="24"/>
    <n v="24"/>
    <n v="0"/>
    <n v="1306"/>
    <n v="1306"/>
    <n v="1306"/>
    <n v="0"/>
    <n v="0"/>
    <n v="1306000"/>
    <n v="1306000"/>
    <n v="1294.2051000000001"/>
    <n v="1294.2051000000001"/>
    <n v="0"/>
    <n v="0"/>
    <n v="1294205.1000000001"/>
    <n v="37"/>
    <n v="37"/>
    <n v="1343"/>
    <n v="0"/>
    <n v="1294.2051000000001"/>
    <n v="167.49209999999999"/>
    <n v="6.9788375"/>
    <n v="2"/>
    <n v="2"/>
    <n v="0"/>
    <n v="0"/>
    <n v="1.2"/>
    <n v="317.00646282977812"/>
    <n v="317.00646282977812"/>
    <n v="5.870000000000001"/>
    <n v="1550.6899473423314"/>
    <n v="7.0700000000000012"/>
    <n v="1867.6964101721096"/>
    <n v="0"/>
    <n v="0"/>
    <n v="0"/>
    <n v="0"/>
    <n v="0"/>
    <n v="0"/>
    <n v="0"/>
    <n v="0.24273082911927879"/>
    <n v="158.50323141488906"/>
    <n v="158.50323141488906"/>
    <n v="1.1873583057751389"/>
    <n v="8.3615171929431824"/>
    <n v="355007"/>
    <n v="12567"/>
    <n v="359720"/>
    <n v="359720"/>
    <n v="12654.863432903025"/>
    <n v="87.863432903024659"/>
    <n v="6.9430565860218686E-3"/>
    <n v="9622.5114854517615"/>
    <n v="0"/>
    <n v="9422.8320423700861"/>
    <n v="9778.0973300932164"/>
    <n v="0.27543644716692189"/>
    <n v="0"/>
    <n v="0"/>
    <n v="0"/>
    <n v="0"/>
    <s v="DIESEL"/>
    <n v="71"/>
    <n v="0"/>
    <n v="71"/>
    <n v="0"/>
    <n v="1440"/>
    <n v="24"/>
    <n v="21"/>
    <n v="24"/>
    <n v="24"/>
    <n v="0"/>
    <n v="19"/>
    <n v="0"/>
    <n v="24"/>
    <n v="24"/>
    <n v="24"/>
    <n v="317.00646282977812"/>
    <m/>
    <m/>
    <n v="245.5749963396849"/>
  </r>
  <r>
    <x v="84"/>
    <x v="2"/>
    <n v="0"/>
    <n v="1137"/>
    <n v="1137"/>
    <n v="1162"/>
    <n v="0"/>
    <n v="0"/>
    <n v="0"/>
    <n v="0"/>
    <n v="23"/>
    <n v="24"/>
    <n v="1"/>
    <n v="1162"/>
    <n v="1162"/>
    <n v="1162"/>
    <n v="0"/>
    <n v="0"/>
    <n v="1162000"/>
    <n v="1162000"/>
    <n v="1151.9914000000001"/>
    <n v="1151.9914000000001"/>
    <n v="0"/>
    <n v="0"/>
    <n v="1151991.4000000001"/>
    <n v="33.96"/>
    <n v="33.248600000000003"/>
    <n v="1195.2485999999999"/>
    <n v="0.71140000000000003"/>
    <n v="1151.9913999999999"/>
    <n v="157.58971547619052"/>
    <n v="6.8517267598343707"/>
    <n v="9"/>
    <n v="10"/>
    <n v="0"/>
    <n v="0"/>
    <n v="2.4"/>
    <n v="634.01292565955623"/>
    <n v="634.01292565955623"/>
    <n v="5.0400000000000027"/>
    <n v="1331.4271438850687"/>
    <n v="7.4400000000000031"/>
    <n v="1965.440069544625"/>
    <n v="0"/>
    <n v="0"/>
    <n v="0"/>
    <n v="0"/>
    <n v="0"/>
    <n v="0"/>
    <n v="0"/>
    <n v="0.54562213912182123"/>
    <n v="70.445880628839575"/>
    <n v="63.401292565955622"/>
    <n v="1.1458064921558251"/>
    <n v="7.9237942205769665"/>
    <n v="313289"/>
    <n v="11090"/>
    <n v="354127"/>
    <n v="354127"/>
    <n v="12458.103032646639"/>
    <n v="1368.1030326466389"/>
    <n v="0.10981632027456388"/>
    <n v="9543.8898450946654"/>
    <n v="0"/>
    <n v="10423.022484733836"/>
    <n v="10814.406281719323"/>
    <n v="0.30475645438898452"/>
    <n v="0"/>
    <n v="0"/>
    <n v="0"/>
    <n v="0"/>
    <s v="DIESEL"/>
    <n v="71"/>
    <n v="0"/>
    <n v="71"/>
    <n v="0"/>
    <n v="1440"/>
    <n v="22"/>
    <n v="19"/>
    <n v="23"/>
    <n v="19"/>
    <n v="0"/>
    <n v="20"/>
    <n v="0"/>
    <n v="20"/>
    <n v="21"/>
    <n v="19"/>
    <n v="634.01292565955623"/>
    <m/>
    <m/>
    <n v="258.42687026410977"/>
  </r>
  <r>
    <x v="85"/>
    <x v="2"/>
    <n v="0"/>
    <n v="1272"/>
    <n v="1272"/>
    <n v="1354"/>
    <n v="0"/>
    <n v="0"/>
    <n v="3"/>
    <n v="213"/>
    <n v="24"/>
    <n v="24"/>
    <n v="0"/>
    <n v="1567"/>
    <n v="1354"/>
    <n v="1354"/>
    <n v="0"/>
    <n v="0"/>
    <n v="1354000"/>
    <n v="1354000"/>
    <n v="1341.8279000000002"/>
    <n v="1341.8279000000002"/>
    <n v="0"/>
    <n v="0"/>
    <n v="1341827.9000000001"/>
    <n v="37.46"/>
    <n v="37.46"/>
    <n v="1391.46"/>
    <n v="0"/>
    <n v="1341.8279"/>
    <n v="174.47959821428566"/>
    <n v="7.2699832589285691"/>
    <n v="3"/>
    <n v="2"/>
    <n v="0"/>
    <n v="0"/>
    <n v="2.1"/>
    <n v="554.76130995211167"/>
    <n v="554.76130995211167"/>
    <n v="5.5200000000000014"/>
    <n v="1458.2297290169795"/>
    <n v="7.620000000000001"/>
    <n v="2012.9910389690913"/>
    <n v="0"/>
    <n v="10997"/>
    <n v="41.628173388648001"/>
    <n v="0"/>
    <n v="0"/>
    <n v="0"/>
    <n v="0"/>
    <n v="0.40972031754217997"/>
    <n v="184.92043665070389"/>
    <n v="277.38065497605584"/>
    <n v="1.0769791203965875"/>
    <n v="7.9015747803553325"/>
    <n v="363280"/>
    <n v="12860"/>
    <n v="313180"/>
    <n v="313180"/>
    <n v="11017.59738106463"/>
    <n v="-1842.4026189353699"/>
    <n v="-0.16722362918269379"/>
    <n v="9497.7843426883301"/>
    <n v="0"/>
    <n v="7918.0122900152573"/>
    <n v="8210.8870899648373"/>
    <n v="0.23129985228951255"/>
    <n v="0"/>
    <n v="12.51"/>
    <n v="0"/>
    <n v="0"/>
    <s v="DIESEL"/>
    <n v="71"/>
    <n v="0"/>
    <n v="71"/>
    <n v="0"/>
    <n v="1440"/>
    <n v="24"/>
    <n v="17"/>
    <n v="24"/>
    <n v="23"/>
    <n v="1"/>
    <n v="24"/>
    <n v="0"/>
    <n v="24"/>
    <n v="24"/>
    <n v="24"/>
    <n v="554.76130995211167"/>
    <m/>
    <m/>
    <n v="264.67913325437047"/>
  </r>
  <r>
    <x v="86"/>
    <x v="2"/>
    <n v="0"/>
    <n v="1272"/>
    <n v="1272"/>
    <n v="1361"/>
    <n v="0"/>
    <n v="0"/>
    <n v="5"/>
    <n v="355"/>
    <n v="24"/>
    <n v="24"/>
    <n v="0"/>
    <n v="1716"/>
    <n v="1361"/>
    <n v="1361"/>
    <n v="0"/>
    <n v="0"/>
    <n v="1361000"/>
    <n v="1361000"/>
    <n v="1349.3969999999997"/>
    <n v="1349.3969999999997"/>
    <n v="0"/>
    <n v="0"/>
    <n v="1349396.9999999998"/>
    <n v="38.049999999999997"/>
    <n v="38.049999999999997"/>
    <n v="1399.05"/>
    <n v="0"/>
    <n v="1349.3969999999997"/>
    <n v="172.54461607142855"/>
    <n v="7.1893590029761896"/>
    <n v="2"/>
    <n v="2"/>
    <n v="0"/>
    <n v="6.1"/>
    <n v="2"/>
    <n v="528.3441047162969"/>
    <n v="2139.793624101002"/>
    <n v="6.51"/>
    <n v="1719.7600608515463"/>
    <n v="14.61"/>
    <n v="3859.5536849525483"/>
    <n v="0"/>
    <n v="0"/>
    <n v="0"/>
    <n v="0"/>
    <n v="0"/>
    <n v="0"/>
    <n v="0"/>
    <n v="0.38820286900536144"/>
    <n v="264.17205235814845"/>
    <n v="264.17205235814845"/>
    <n v="1.2636003386124515"/>
    <n v="9.1634680661732748"/>
    <n v="298698"/>
    <n v="10574"/>
    <n v="363116"/>
    <n v="363116"/>
    <n v="12774.333899427373"/>
    <n v="2200.3338994273727"/>
    <n v="0.17224646832865437"/>
    <n v="7769.2872887582653"/>
    <n v="0"/>
    <n v="9130.7200596314451"/>
    <n v="9466.6980135774538"/>
    <n v="0.26680088170462896"/>
    <n v="0"/>
    <n v="0"/>
    <n v="0"/>
    <n v="0"/>
    <s v="DIESEL"/>
    <n v="71"/>
    <n v="0"/>
    <n v="71"/>
    <n v="0"/>
    <n v="1440"/>
    <n v="24"/>
    <n v="22"/>
    <n v="24"/>
    <n v="20"/>
    <n v="5"/>
    <n v="24"/>
    <n v="0"/>
    <n v="24"/>
    <n v="24"/>
    <n v="24"/>
    <n v="528.3441047162969"/>
    <m/>
    <m/>
    <n v="507.47534604282833"/>
  </r>
  <r>
    <x v="87"/>
    <x v="2"/>
    <n v="0"/>
    <n v="1272"/>
    <n v="1272"/>
    <n v="1348"/>
    <n v="0"/>
    <n v="0"/>
    <n v="4"/>
    <n v="284"/>
    <n v="24"/>
    <n v="24"/>
    <n v="0"/>
    <n v="1632"/>
    <n v="1348"/>
    <n v="1348"/>
    <n v="0"/>
    <n v="0"/>
    <n v="1348000"/>
    <n v="1348000"/>
    <n v="1336.5957000000001"/>
    <n v="1336.5957000000001"/>
    <n v="0"/>
    <n v="0"/>
    <n v="1336595.7000000002"/>
    <n v="37.83"/>
    <n v="37.83"/>
    <n v="1385.83"/>
    <n v="0"/>
    <n v="1336.5957000000001"/>
    <n v="169.95679642857144"/>
    <n v="7.0815331845238099"/>
    <n v="1"/>
    <n v="1"/>
    <n v="0"/>
    <n v="0"/>
    <n v="1.5"/>
    <n v="396.25807853722262"/>
    <n v="396.25807853722262"/>
    <n v="6.19"/>
    <n v="1635.2250040969388"/>
    <n v="7.69"/>
    <n v="2031.4830826341613"/>
    <n v="0"/>
    <n v="0"/>
    <n v="0"/>
    <n v="0"/>
    <n v="0"/>
    <n v="0"/>
    <n v="0"/>
    <n v="0.29395999891485358"/>
    <n v="396.25807853722262"/>
    <n v="396.25807853722262"/>
    <n v="1.2130749288552958"/>
    <n v="8.6622487704044655"/>
    <n v="366952"/>
    <n v="12990"/>
    <n v="364345"/>
    <n v="364345"/>
    <n v="12817.569825033504"/>
    <n v="-172.43017496649554"/>
    <n v="-1.3452641750367434E-2"/>
    <n v="9636.4985163204747"/>
    <n v="0"/>
    <n v="9249.0203163688948"/>
    <n v="9589.7134975322042"/>
    <n v="0.27028560830860532"/>
    <n v="0"/>
    <n v="24.6"/>
    <n v="0"/>
    <n v="0"/>
    <s v="DIESEL"/>
    <n v="71"/>
    <n v="0"/>
    <n v="71"/>
    <n v="0"/>
    <n v="1440"/>
    <n v="21"/>
    <n v="24"/>
    <n v="24"/>
    <n v="24"/>
    <n v="1"/>
    <n v="24"/>
    <n v="0"/>
    <n v="24"/>
    <n v="24"/>
    <n v="24"/>
    <n v="396.25807853722262"/>
    <m/>
    <m/>
    <n v="267.11056886169399"/>
  </r>
  <r>
    <x v="88"/>
    <x v="2"/>
    <n v="0"/>
    <n v="1272"/>
    <n v="1272"/>
    <n v="1365"/>
    <n v="0"/>
    <n v="0"/>
    <n v="5"/>
    <n v="355"/>
    <n v="24"/>
    <n v="24"/>
    <n v="0"/>
    <n v="1720"/>
    <n v="1365"/>
    <n v="1365"/>
    <n v="0"/>
    <n v="0"/>
    <n v="1365000"/>
    <n v="1365000"/>
    <n v="1352.5559999999998"/>
    <n v="1352.5559999999998"/>
    <n v="0"/>
    <n v="0"/>
    <n v="1352555.9999999998"/>
    <n v="37.76"/>
    <n v="37.76"/>
    <n v="1402.76"/>
    <n v="0"/>
    <n v="1352.5560000000005"/>
    <n v="171.92651249999997"/>
    <n v="7.1636046874999986"/>
    <n v="1"/>
    <n v="1"/>
    <n v="0"/>
    <n v="1.1000000000000001"/>
    <n v="1.8"/>
    <n v="475.50969424466717"/>
    <n v="766.09895183863057"/>
    <n v="6.2"/>
    <n v="1637.8667246205202"/>
    <n v="9.1"/>
    <n v="2403.9656764591505"/>
    <n v="0"/>
    <n v="0"/>
    <n v="0"/>
    <n v="0"/>
    <n v="0"/>
    <n v="0"/>
    <n v="0"/>
    <n v="0.34835875036239355"/>
    <n v="475.50969424466717"/>
    <n v="475.50969424466717"/>
    <n v="1.1999023623593554"/>
    <n v="8.6740421655990279"/>
    <n v="370170"/>
    <n v="13104"/>
    <n v="367315"/>
    <n v="367315"/>
    <n v="12922.053713601619"/>
    <n v="-181.94628639838083"/>
    <n v="-1.4080291757870195E-2"/>
    <n v="9600"/>
    <n v="0"/>
    <n v="9211.877807751589"/>
    <n v="9553.8031058245433"/>
    <n v="0.26909523809523811"/>
    <n v="0"/>
    <n v="49.2"/>
    <n v="0"/>
    <n v="0"/>
    <s v="DIESEL"/>
    <n v="71"/>
    <n v="0"/>
    <n v="71"/>
    <n v="0"/>
    <n v="1440"/>
    <n v="24"/>
    <n v="24"/>
    <n v="24"/>
    <n v="24"/>
    <n v="3"/>
    <n v="24"/>
    <n v="0"/>
    <n v="24"/>
    <n v="24"/>
    <n v="21"/>
    <n v="475.50969424466717"/>
    <m/>
    <m/>
    <n v="316.08662895206965"/>
  </r>
  <r>
    <x v="89"/>
    <x v="2"/>
    <n v="0"/>
    <n v="1272"/>
    <n v="1272"/>
    <n v="1331"/>
    <n v="0"/>
    <n v="0"/>
    <n v="1"/>
    <n v="71"/>
    <n v="24"/>
    <n v="24"/>
    <n v="0"/>
    <n v="1402"/>
    <n v="1331"/>
    <n v="1331"/>
    <n v="0"/>
    <n v="0"/>
    <n v="1331000"/>
    <n v="1331000"/>
    <n v="1318.7128"/>
    <n v="1318.7128"/>
    <n v="0"/>
    <n v="0"/>
    <n v="1318712.8"/>
    <n v="37.46"/>
    <n v="37.46"/>
    <n v="1368.46"/>
    <n v="0"/>
    <n v="1318.7128"/>
    <n v="168.68951250000001"/>
    <n v="7.0287296875000003"/>
    <n v="1"/>
    <n v="1"/>
    <n v="0"/>
    <n v="2.8"/>
    <n v="1.9"/>
    <n v="501.92689948048201"/>
    <n v="1241.6086460832973"/>
    <n v="6.3999999999999986"/>
    <n v="1690.7011350921493"/>
    <n v="11.099999999999998"/>
    <n v="2932.3097811754469"/>
    <n v="0"/>
    <n v="0"/>
    <n v="0"/>
    <n v="0"/>
    <n v="0"/>
    <n v="0"/>
    <n v="0"/>
    <n v="0.37710510855032459"/>
    <n v="501.92689948048201"/>
    <n v="501.92689948048201"/>
    <n v="1.2702487866958296"/>
    <n v="9.0101539286439891"/>
    <n v="360845"/>
    <n v="12773"/>
    <n v="357279"/>
    <n v="357279"/>
    <n v="12568.989637618592"/>
    <n v="-204.01036238140841"/>
    <n v="-1.6231245968316484E-2"/>
    <n v="9596.5439519158535"/>
    <n v="0"/>
    <n v="9184.769476359259"/>
    <n v="9531.2562656695154"/>
    <n v="0.26842900075131482"/>
    <n v="0"/>
    <n v="19.2"/>
    <n v="0"/>
    <n v="0"/>
    <s v="DIESEL"/>
    <n v="71"/>
    <n v="0"/>
    <n v="71"/>
    <n v="0"/>
    <n v="1440"/>
    <n v="24"/>
    <n v="20"/>
    <n v="24"/>
    <n v="24"/>
    <n v="1"/>
    <n v="24"/>
    <n v="0"/>
    <n v="24"/>
    <n v="24"/>
    <n v="24"/>
    <n v="501.92689948048201"/>
    <m/>
    <m/>
    <n v="385.55621773274424"/>
  </r>
  <r>
    <x v="90"/>
    <x v="3"/>
    <n v="0"/>
    <n v="1272"/>
    <n v="1272"/>
    <n v="1320"/>
    <n v="0"/>
    <n v="0"/>
    <n v="0"/>
    <n v="0"/>
    <n v="24"/>
    <n v="24"/>
    <n v="0"/>
    <n v="1320"/>
    <n v="1320"/>
    <n v="1320"/>
    <n v="0"/>
    <n v="0"/>
    <n v="1320000"/>
    <n v="1320000"/>
    <n v="1309.7710999999999"/>
    <n v="1309.7710999999999"/>
    <n v="0"/>
    <n v="0"/>
    <n v="1309771.0999999999"/>
    <n v="35.76"/>
    <n v="35.76"/>
    <n v="1355.76"/>
    <n v="0"/>
    <n v="1309.7711000000002"/>
    <n v="183.23414999999997"/>
    <n v="7.6347562499999988"/>
    <n v="1"/>
    <n v="1"/>
    <n v="0"/>
    <n v="6.3"/>
    <n v="1.2"/>
    <n v="317.00646282977812"/>
    <n v="1981.2903926861131"/>
    <n v="5.6000000000000023"/>
    <n v="1479.3634932056318"/>
    <n v="13.100000000000001"/>
    <n v="3460.6538858917447"/>
    <n v="0"/>
    <n v="0"/>
    <n v="0"/>
    <n v="0"/>
    <n v="0"/>
    <n v="0"/>
    <n v="0"/>
    <n v="0.2401564112346804"/>
    <n v="317.00646282977812"/>
    <n v="317.00646282977812"/>
    <n v="1.1207299190951756"/>
    <n v="8.624903018955024"/>
    <n v="346695"/>
    <n v="12273"/>
    <n v="346218"/>
    <n v="346218"/>
    <n v="12179.866307163404"/>
    <n v="-93.13369283659631"/>
    <n v="-7.646528335193724E-3"/>
    <n v="9297.7272727272721"/>
    <n v="0"/>
    <n v="8983.7923431605905"/>
    <n v="9299.2327492669556"/>
    <n v="0.26228636363636365"/>
    <n v="0"/>
    <n v="0"/>
    <n v="0"/>
    <n v="0"/>
    <s v="DIESEL"/>
    <n v="71"/>
    <n v="0"/>
    <n v="71"/>
    <n v="0"/>
    <n v="1440"/>
    <n v="18"/>
    <n v="18"/>
    <n v="18"/>
    <n v="18"/>
    <n v="6"/>
    <n v="23"/>
    <n v="0"/>
    <n v="24"/>
    <n v="24"/>
    <n v="24"/>
    <n v="317.00646282977812"/>
    <m/>
    <m/>
    <n v="455.02580651341896"/>
  </r>
  <r>
    <x v="91"/>
    <x v="3"/>
    <n v="0"/>
    <n v="1272"/>
    <n v="1272"/>
    <n v="1309"/>
    <n v="0"/>
    <n v="0"/>
    <n v="0"/>
    <n v="0"/>
    <n v="24"/>
    <n v="24"/>
    <n v="0"/>
    <n v="1309"/>
    <n v="1309"/>
    <n v="1309"/>
    <n v="0"/>
    <n v="0"/>
    <n v="1309000"/>
    <n v="1309000"/>
    <n v="1296.7916"/>
    <n v="1296.7916"/>
    <n v="0"/>
    <n v="0"/>
    <n v="1296791.6000000001"/>
    <n v="36.26"/>
    <n v="36.26"/>
    <n v="1345.26"/>
    <n v="0"/>
    <n v="1296.7915999999998"/>
    <n v="173.60151250000001"/>
    <n v="7.2333963541666675"/>
    <n v="3"/>
    <n v="3"/>
    <n v="0"/>
    <n v="22.8"/>
    <n v="0.5"/>
    <n v="132.08602617907422"/>
    <n v="6155.2088199448581"/>
    <n v="5.5100000000000025"/>
    <n v="1455.5880084933985"/>
    <n v="28.810000000000002"/>
    <n v="7610.7968284382569"/>
    <n v="0"/>
    <n v="0"/>
    <n v="0"/>
    <n v="0"/>
    <n v="0"/>
    <n v="0"/>
    <n v="0"/>
    <n v="0.10090605514062202"/>
    <n v="44.028675393024741"/>
    <n v="44.028675393024741"/>
    <n v="1.1119847276496551"/>
    <n v="8.1177870255889371"/>
    <n v="326434"/>
    <n v="11555"/>
    <n v="326069"/>
    <n v="326069"/>
    <n v="11471.029313641877"/>
    <n v="-83.970686358123203"/>
    <n v="-7.3202398897421863E-3"/>
    <n v="8827.3491214667683"/>
    <n v="0"/>
    <n v="8526.9979882267198"/>
    <n v="8845.699890130285"/>
    <n v="0.24909778456837281"/>
    <n v="0"/>
    <n v="0"/>
    <n v="0"/>
    <n v="0"/>
    <s v="DIESEL"/>
    <n v="71"/>
    <n v="0"/>
    <n v="71"/>
    <n v="0"/>
    <n v="1440"/>
    <n v="24"/>
    <n v="17"/>
    <n v="24"/>
    <n v="24"/>
    <n v="19"/>
    <n v="0"/>
    <n v="0"/>
    <n v="24"/>
    <n v="24"/>
    <n v="24"/>
    <n v="132.08602617907422"/>
    <m/>
    <m/>
    <n v="1000.7094263856185"/>
  </r>
  <r>
    <x v="92"/>
    <x v="3"/>
    <n v="0"/>
    <n v="1280"/>
    <n v="1280"/>
    <n v="1339"/>
    <n v="0"/>
    <n v="0"/>
    <n v="2"/>
    <n v="142"/>
    <n v="24"/>
    <n v="24"/>
    <n v="0"/>
    <n v="1481"/>
    <n v="1339"/>
    <n v="1339"/>
    <n v="0"/>
    <n v="0"/>
    <n v="1339000"/>
    <n v="1339000"/>
    <n v="1327.3574999999998"/>
    <n v="1327.3574999999998"/>
    <n v="0"/>
    <n v="0"/>
    <n v="1327357.4999999998"/>
    <n v="37.14"/>
    <n v="37.14"/>
    <n v="1376.14"/>
    <n v="0"/>
    <n v="1327.3575000000005"/>
    <n v="172.76389642857143"/>
    <n v="7.1984956845238095"/>
    <n v="2"/>
    <n v="2"/>
    <n v="0"/>
    <n v="23.6"/>
    <n v="1.4"/>
    <n v="369.84087330140778"/>
    <n v="6604.3013089537108"/>
    <n v="6.0000000000000009"/>
    <n v="1585.0323141488907"/>
    <n v="31"/>
    <n v="8189.3336231026015"/>
    <n v="0"/>
    <n v="10983"/>
    <n v="41.575177623671998"/>
    <n v="0"/>
    <n v="0"/>
    <n v="0"/>
    <n v="0"/>
    <n v="0.27620677617730233"/>
    <n v="184.92043665070389"/>
    <n v="184.92043665070389"/>
    <n v="1.1837433264741528"/>
    <n v="8.5973850968343815"/>
    <n v="332555"/>
    <n v="11772"/>
    <n v="332497"/>
    <n v="332497"/>
    <n v="11697.1648138829"/>
    <n v="-74.835186117099511"/>
    <n v="-6.3977200721563399E-3"/>
    <n v="8791.6355489171037"/>
    <n v="8865.74"/>
    <n v="8499.9816979979514"/>
    <n v="8812.3695491854323"/>
    <n v="0.24831740104555639"/>
    <n v="28.765344146616002"/>
    <n v="68.7"/>
    <n v="0"/>
    <n v="0"/>
    <s v="DIESEL"/>
    <n v="71"/>
    <n v="0"/>
    <n v="71"/>
    <n v="0"/>
    <n v="1440"/>
    <n v="24"/>
    <n v="24"/>
    <n v="24"/>
    <n v="24"/>
    <n v="20"/>
    <n v="21"/>
    <n v="0"/>
    <n v="24"/>
    <n v="24"/>
    <n v="0"/>
    <n v="369.84087330140778"/>
    <m/>
    <m/>
    <n v="1076.7786261004571"/>
  </r>
  <r>
    <x v="93"/>
    <x v="3"/>
    <n v="0"/>
    <n v="1276"/>
    <n v="1276"/>
    <n v="1377"/>
    <n v="0"/>
    <n v="0"/>
    <n v="5"/>
    <n v="355"/>
    <n v="24"/>
    <n v="24"/>
    <n v="0"/>
    <n v="1732"/>
    <n v="1377"/>
    <n v="1377"/>
    <n v="0"/>
    <n v="0"/>
    <n v="1377000"/>
    <n v="1377000"/>
    <n v="1365.0964000000004"/>
    <n v="1365.0964000000004"/>
    <n v="0"/>
    <n v="0"/>
    <n v="1365096.4000000004"/>
    <n v="37.35"/>
    <n v="37.35"/>
    <n v="1414.35"/>
    <n v="0"/>
    <n v="1365.0963999999999"/>
    <n v="184.32342857142862"/>
    <n v="7.6801428571428589"/>
    <n v="2"/>
    <n v="3"/>
    <n v="0"/>
    <n v="29.5"/>
    <n v="1.7"/>
    <n v="449.09248900885234"/>
    <n v="8242.1680335742312"/>
    <n v="5.1899999999999995"/>
    <n v="1371.0529517387902"/>
    <n v="36.39"/>
    <n v="9613.2209853130207"/>
    <n v="0"/>
    <n v="0"/>
    <n v="0"/>
    <n v="0"/>
    <n v="0"/>
    <n v="0"/>
    <n v="0"/>
    <n v="0.32613833624462768"/>
    <n v="224.54624450442617"/>
    <n v="149.6974963362841"/>
    <n v="0.99568115594683382"/>
    <n v="7.7128804572423695"/>
    <n v="330726"/>
    <n v="11707"/>
    <n v="330481"/>
    <n v="330481"/>
    <n v="11626.242416794241"/>
    <n v="-80.757583205759147"/>
    <n v="-6.9461465115421891E-3"/>
    <n v="8501.8155410312283"/>
    <n v="8927.5300000000007"/>
    <n v="8220.2018006817561"/>
    <n v="8516.7922329838675"/>
    <n v="0.2400007262164125"/>
    <n v="0"/>
    <n v="0"/>
    <n v="0"/>
    <n v="0"/>
    <s v="DIESEL"/>
    <n v="71"/>
    <n v="0"/>
    <n v="71"/>
    <n v="0"/>
    <n v="1440"/>
    <n v="24"/>
    <n v="0"/>
    <n v="24"/>
    <n v="24"/>
    <n v="21"/>
    <n v="23"/>
    <n v="0"/>
    <n v="24"/>
    <n v="24"/>
    <n v="22"/>
    <n v="449.09248900885234"/>
    <m/>
    <m/>
    <n v="1263.9991678643751"/>
  </r>
  <r>
    <x v="94"/>
    <x v="3"/>
    <n v="0"/>
    <n v="1272"/>
    <n v="1272"/>
    <n v="1466"/>
    <n v="8"/>
    <n v="478"/>
    <n v="5"/>
    <n v="337"/>
    <n v="24"/>
    <n v="24"/>
    <n v="0"/>
    <n v="2281"/>
    <n v="12117"/>
    <n v="11936"/>
    <n v="181"/>
    <n v="0"/>
    <n v="11936000"/>
    <n v="12117000"/>
    <n v="1451.7146999999995"/>
    <n v="1271.9300999999996"/>
    <n v="179.78460000000001"/>
    <n v="0"/>
    <n v="1451714.6999999995"/>
    <n v="37.04"/>
    <n v="37.04"/>
    <n v="12154.04"/>
    <n v="0"/>
    <n v="1451.7147000000004"/>
    <n v="192.11143571428565"/>
    <n v="8.0046431547619026"/>
    <n v="2"/>
    <n v="1"/>
    <n v="0"/>
    <n v="42.7"/>
    <n v="0"/>
    <n v="0"/>
    <n v="11280.146635692938"/>
    <n v="5.7299999999999986"/>
    <n v="1513.7058600121902"/>
    <n v="48.43"/>
    <n v="12793.852495705129"/>
    <n v="0"/>
    <n v="0"/>
    <n v="0"/>
    <n v="0"/>
    <n v="0"/>
    <n v="0"/>
    <n v="0"/>
    <n v="0"/>
    <n v="0"/>
    <n v="0"/>
    <n v="0.12492414459125115"/>
    <n v="8.3444822887732588"/>
    <n v="342307"/>
    <n v="12117"/>
    <n v="342305"/>
    <n v="342305"/>
    <n v="12042.2079044809"/>
    <n v="-74.792095519100258"/>
    <n v="-6.2108291197389273E-3"/>
    <n v="1015.1642091152814"/>
    <n v="7450.8"/>
    <n v="990.79877180599192"/>
    <n v="9467.6648539734251"/>
    <n v="2.8678367962466488E-2"/>
    <n v="0"/>
    <n v="0"/>
    <n v="0"/>
    <n v="0"/>
    <s v="DIESEL"/>
    <n v="71"/>
    <n v="0"/>
    <n v="71"/>
    <n v="0"/>
    <n v="1440"/>
    <n v="24"/>
    <n v="0"/>
    <n v="24"/>
    <n v="24"/>
    <n v="24"/>
    <n v="24"/>
    <n v="0"/>
    <n v="19"/>
    <n v="24"/>
    <n v="24"/>
    <n v="-11515.25"/>
    <n v="11515.25"/>
    <n v="186300"/>
    <n v="1682.2060923240365"/>
  </r>
  <r>
    <x v="95"/>
    <x v="3"/>
    <n v="0"/>
    <n v="1286"/>
    <n v="1286"/>
    <n v="1331"/>
    <n v="0"/>
    <n v="0"/>
    <n v="0"/>
    <n v="0"/>
    <n v="24"/>
    <n v="24"/>
    <n v="0"/>
    <n v="1331"/>
    <n v="1331"/>
    <n v="1331"/>
    <n v="0"/>
    <n v="0"/>
    <n v="1331000"/>
    <n v="1331000"/>
    <n v="1320.2806999999998"/>
    <n v="1320.2806999999998"/>
    <n v="0"/>
    <n v="0"/>
    <n v="1320280.6999999997"/>
    <n v="37.28"/>
    <n v="37.28"/>
    <n v="1368.28"/>
    <n v="0"/>
    <n v="1320.2807000000003"/>
    <n v="167.97180178571423"/>
    <n v="6.9988250744047598"/>
    <n v="1"/>
    <n v="1"/>
    <n v="0"/>
    <n v="31"/>
    <n v="1.6"/>
    <n v="422.67528377303745"/>
    <n v="8612.0089068756388"/>
    <n v="5.5200000000000031"/>
    <n v="1458.2297290169799"/>
    <n v="38.120000000000005"/>
    <n v="10070.23863589262"/>
    <n v="0"/>
    <n v="0"/>
    <n v="0"/>
    <n v="0"/>
    <n v="0"/>
    <n v="0"/>
    <n v="0"/>
    <n v="0.31756219667395752"/>
    <n v="422.67528377303745"/>
    <n v="422.67528377303745"/>
    <n v="1.0955895785251539"/>
    <n v="7.7286049841684497"/>
    <n v="325454"/>
    <n v="11521"/>
    <n v="325453"/>
    <n v="325453"/>
    <n v="11449.358581198121"/>
    <n v="-71.641418801878899"/>
    <n v="-6.2572429969593949E-3"/>
    <n v="8655.8978211870763"/>
    <n v="8861.01"/>
    <n v="8367.7014801050391"/>
    <n v="8671.912405595358"/>
    <n v="0.24451765589782118"/>
    <n v="0"/>
    <n v="0"/>
    <n v="0"/>
    <n v="0"/>
    <s v="DIESEL"/>
    <n v="71"/>
    <n v="0"/>
    <n v="71"/>
    <n v="0"/>
    <n v="1440"/>
    <n v="24"/>
    <n v="0"/>
    <n v="24"/>
    <n v="24"/>
    <n v="24"/>
    <n v="21"/>
    <n v="0"/>
    <n v="24"/>
    <n v="24"/>
    <n v="24"/>
    <n v="422.67528377303745"/>
    <m/>
    <m/>
    <n v="1324.0903621596592"/>
  </r>
  <r>
    <x v="96"/>
    <x v="3"/>
    <n v="0"/>
    <n v="1287"/>
    <n v="1287"/>
    <n v="1324"/>
    <n v="0"/>
    <n v="0"/>
    <n v="0"/>
    <n v="0"/>
    <n v="24"/>
    <n v="24"/>
    <n v="0"/>
    <n v="1324"/>
    <n v="1324"/>
    <n v="1324"/>
    <n v="0"/>
    <n v="0"/>
    <n v="1324000"/>
    <n v="1324000"/>
    <n v="1312.6267"/>
    <n v="1312.6267"/>
    <n v="0"/>
    <n v="0"/>
    <n v="1312626.7"/>
    <n v="37.29"/>
    <n v="37.29"/>
    <n v="1361.29"/>
    <n v="0"/>
    <n v="1312.6267"/>
    <n v="167.91064107142856"/>
    <n v="6.9962767113095232"/>
    <n v="1"/>
    <n v="1"/>
    <n v="0"/>
    <n v="29.6"/>
    <n v="1.6"/>
    <n v="422.67528377303745"/>
    <n v="8242.1680335742312"/>
    <n v="5.6500000000000021"/>
    <n v="1492.572095823539"/>
    <n v="36.85"/>
    <n v="9734.7401293977691"/>
    <n v="0"/>
    <n v="0"/>
    <n v="0"/>
    <n v="0"/>
    <n v="0"/>
    <n v="0"/>
    <n v="0"/>
    <n v="0.31924115088597993"/>
    <n v="422.67528377303745"/>
    <n v="422.67528377303745"/>
    <n v="1.127320314066117"/>
    <n v="7.9566106245966139"/>
    <n v="328864"/>
    <n v="11641"/>
    <n v="328865"/>
    <n v="328865"/>
    <n v="11569.391923889838"/>
    <n v="-71.608076110162074"/>
    <n v="-6.1894416388727667E-3"/>
    <n v="8792.2960725075518"/>
    <n v="8790.19"/>
    <n v="8498.8444224888444"/>
    <n v="8813.9239616943923"/>
    <n v="0.24838746223564956"/>
    <n v="0"/>
    <n v="36.9"/>
    <n v="0"/>
    <n v="0"/>
    <s v="DIESEL"/>
    <n v="71"/>
    <n v="0"/>
    <n v="71"/>
    <n v="0"/>
    <n v="1440"/>
    <n v="24"/>
    <n v="0"/>
    <n v="24"/>
    <n v="24"/>
    <n v="21"/>
    <n v="24"/>
    <n v="0"/>
    <n v="24"/>
    <n v="24"/>
    <n v="24"/>
    <n v="422.67528377303745"/>
    <m/>
    <m/>
    <n v="1279.9771732839304"/>
  </r>
  <r>
    <x v="97"/>
    <x v="3"/>
    <n v="0"/>
    <n v="1279"/>
    <n v="1281"/>
    <n v="1323"/>
    <n v="0"/>
    <n v="0"/>
    <n v="0"/>
    <n v="0"/>
    <n v="24"/>
    <n v="24"/>
    <n v="0"/>
    <n v="1323"/>
    <n v="1323"/>
    <n v="1323"/>
    <n v="0"/>
    <n v="0"/>
    <n v="1323000"/>
    <n v="1323000"/>
    <n v="1311.6279000000002"/>
    <n v="1311.6279000000002"/>
    <n v="0"/>
    <n v="0"/>
    <n v="1311627.9000000001"/>
    <n v="37.75"/>
    <n v="37.75"/>
    <n v="1360.75"/>
    <n v="0"/>
    <n v="1311.6279"/>
    <n v="166.86839285714285"/>
    <n v="6.9528497023809521"/>
    <n v="3"/>
    <n v="3"/>
    <n v="0"/>
    <n v="29.8"/>
    <n v="1.2"/>
    <n v="317.00646282977812"/>
    <n v="8189.3336231026015"/>
    <n v="5.6000000000000014"/>
    <n v="1479.3634932056316"/>
    <n v="36.6"/>
    <n v="9668.6971163082326"/>
    <n v="0"/>
    <n v="11005"/>
    <n v="41.658456682919997"/>
    <n v="0"/>
    <n v="0"/>
    <n v="0"/>
    <n v="0"/>
    <n v="0.23961183887360402"/>
    <n v="105.66882094325938"/>
    <n v="105.66882094325938"/>
    <n v="1.1181885814101524"/>
    <n v="7.8426078043825305"/>
    <n v="326123"/>
    <n v="11544"/>
    <n v="326130"/>
    <n v="326130"/>
    <n v="11473.175279029976"/>
    <n v="-70.824720970023918"/>
    <n v="-6.1730705970711834E-3"/>
    <n v="8725.6235827664404"/>
    <n v="0"/>
    <n v="8431.5085644166629"/>
    <n v="8747.2790713204358"/>
    <n v="0.24650793650793651"/>
    <n v="0"/>
    <n v="21"/>
    <n v="0"/>
    <n v="0"/>
    <s v="DIESEL"/>
    <n v="71"/>
    <n v="0"/>
    <n v="71"/>
    <n v="0"/>
    <n v="1440"/>
    <n v="24"/>
    <n v="0"/>
    <n v="24"/>
    <n v="24"/>
    <n v="22"/>
    <n v="22"/>
    <n v="0"/>
    <n v="24"/>
    <n v="24"/>
    <n v="24"/>
    <n v="317.00646282977812"/>
    <m/>
    <m/>
    <n v="1271.2934746863461"/>
  </r>
  <r>
    <x v="98"/>
    <x v="3"/>
    <n v="0"/>
    <n v="1283"/>
    <n v="1283"/>
    <n v="1352"/>
    <n v="0"/>
    <n v="0"/>
    <n v="4"/>
    <n v="284"/>
    <n v="24"/>
    <n v="24"/>
    <n v="0"/>
    <n v="1636"/>
    <n v="1352"/>
    <n v="1352"/>
    <n v="0"/>
    <n v="0"/>
    <n v="1352000"/>
    <n v="1352000"/>
    <n v="1339.5064000000002"/>
    <n v="1339.5064000000002"/>
    <n v="0"/>
    <n v="0"/>
    <n v="1339506.4000000001"/>
    <n v="37.94"/>
    <n v="37.94"/>
    <n v="1389.94"/>
    <n v="0"/>
    <n v="1339.5064"/>
    <n v="170.64506309523813"/>
    <n v="7.110210962301589"/>
    <n v="2"/>
    <n v="2"/>
    <n v="0"/>
    <n v="32.25"/>
    <n v="1.25"/>
    <n v="330.2150654476855"/>
    <n v="8849.7637539979714"/>
    <n v="6.2499999999999991"/>
    <n v="1651.0753272384275"/>
    <n v="39.75"/>
    <n v="10500.8390812364"/>
    <n v="0"/>
    <n v="0"/>
    <n v="0"/>
    <n v="0"/>
    <n v="0"/>
    <n v="0"/>
    <n v="0"/>
    <n v="0.24424191231337686"/>
    <n v="165.10753272384275"/>
    <n v="165.10753272384275"/>
    <n v="1.2212095615668843"/>
    <n v="8.7631478181801494"/>
    <n v="330679"/>
    <n v="11706"/>
    <n v="330479"/>
    <n v="330479"/>
    <n v="11626.172057273319"/>
    <n v="-79.827942726680703"/>
    <n v="-6.8662275367532034E-3"/>
    <n v="8658.2840236686388"/>
    <n v="8954.2800000000007"/>
    <n v="8364.513617331193"/>
    <n v="8679.4449487313523"/>
    <n v="0.24443713017751478"/>
    <n v="0"/>
    <n v="0"/>
    <n v="0"/>
    <n v="0"/>
    <s v="DIESEL"/>
    <n v="71"/>
    <n v="0"/>
    <n v="71"/>
    <n v="0"/>
    <n v="1440"/>
    <n v="24"/>
    <n v="0"/>
    <n v="24"/>
    <n v="24"/>
    <n v="24"/>
    <n v="22"/>
    <n v="0"/>
    <n v="24"/>
    <n v="24"/>
    <n v="24"/>
    <n v="330.2150654476855"/>
    <m/>
    <m/>
    <n v="1380.7080770159087"/>
  </r>
  <r>
    <x v="99"/>
    <x v="3"/>
    <n v="0"/>
    <n v="1290"/>
    <n v="1290"/>
    <n v="1358"/>
    <n v="0"/>
    <n v="0"/>
    <n v="3"/>
    <n v="213"/>
    <n v="24"/>
    <n v="24"/>
    <n v="0"/>
    <n v="1571"/>
    <n v="1358"/>
    <n v="1358"/>
    <n v="0"/>
    <n v="0"/>
    <n v="1358000"/>
    <n v="1358000"/>
    <n v="1347.1741"/>
    <n v="1347.1741"/>
    <n v="0"/>
    <n v="0"/>
    <n v="1347174.0999999999"/>
    <n v="37.69"/>
    <n v="37.69"/>
    <n v="1395.69"/>
    <n v="0"/>
    <n v="1347.1741"/>
    <n v="171.30294642857146"/>
    <n v="7.1376227678571444"/>
    <n v="2"/>
    <n v="2"/>
    <n v="0"/>
    <n v="25.5"/>
    <n v="1.6"/>
    <n v="422.67528377303745"/>
    <n v="7159.0626189058221"/>
    <n v="6.0000000000000009"/>
    <n v="1585.0323141488907"/>
    <n v="33.1"/>
    <n v="8744.0949330547137"/>
    <n v="11998"/>
    <n v="0"/>
    <n v="45.417370584432"/>
    <n v="0"/>
    <n v="0"/>
    <n v="0"/>
    <n v="0"/>
    <n v="0.3112483680213825"/>
    <n v="211.33764188651872"/>
    <n v="211.33764188651872"/>
    <n v="1.1671813800801847"/>
    <n v="8.3988629443926186"/>
    <n v="337661"/>
    <n v="11953"/>
    <n v="337657"/>
    <n v="337657"/>
    <n v="11878.692377859825"/>
    <n v="-74.307622140175226"/>
    <n v="-6.255538890684126E-3"/>
    <n v="8801.9145802650964"/>
    <n v="9053.66"/>
    <n v="8510.9819357162578"/>
    <n v="8817.4886808318442"/>
    <n v="0.24864285714285714"/>
    <n v="0"/>
    <n v="0"/>
    <n v="0"/>
    <n v="0"/>
    <s v="DIESEL"/>
    <n v="71"/>
    <n v="0"/>
    <n v="71"/>
    <n v="0"/>
    <n v="1440"/>
    <n v="24"/>
    <n v="0"/>
    <n v="24"/>
    <n v="24"/>
    <n v="21"/>
    <n v="23"/>
    <n v="0"/>
    <n v="24"/>
    <n v="24"/>
    <n v="24"/>
    <n v="422.67528377303745"/>
    <m/>
    <m/>
    <n v="1149.7216943201656"/>
  </r>
  <r>
    <x v="100"/>
    <x v="3"/>
    <n v="0"/>
    <n v="1287"/>
    <n v="1287"/>
    <n v="1329"/>
    <n v="0"/>
    <n v="0"/>
    <n v="0"/>
    <n v="0"/>
    <n v="24"/>
    <n v="24"/>
    <n v="0"/>
    <n v="1329"/>
    <n v="1329"/>
    <n v="1329"/>
    <n v="0"/>
    <n v="0"/>
    <n v="1329000"/>
    <n v="1329000"/>
    <n v="1316.9599000000001"/>
    <n v="1316.9599000000001"/>
    <n v="0"/>
    <n v="0"/>
    <n v="1316959.9000000001"/>
    <n v="37.82"/>
    <n v="37.82"/>
    <n v="1366.82"/>
    <n v="0"/>
    <n v="1316.9598999999998"/>
    <n v="167.5108392857143"/>
    <n v="6.9796183035714288"/>
    <n v="2"/>
    <n v="2"/>
    <n v="0"/>
    <n v="24.4"/>
    <n v="1.5"/>
    <n v="396.25807853722262"/>
    <n v="6842.0561560760443"/>
    <n v="6"/>
    <n v="1585.0323141488905"/>
    <n v="31.9"/>
    <n v="8427.088470224935"/>
    <n v="22185"/>
    <n v="0"/>
    <n v="83.979360428039996"/>
    <n v="0"/>
    <n v="0"/>
    <n v="0"/>
    <n v="0"/>
    <n v="0.29816258731167994"/>
    <n v="198.12903926861131"/>
    <n v="198.12903926861131"/>
    <n v="1.1926503492467198"/>
    <n v="8.4008285102583802"/>
    <n v="335967"/>
    <n v="11893"/>
    <n v="335961"/>
    <n v="335961"/>
    <n v="11819.027504118572"/>
    <n v="-73.972495881427676"/>
    <n v="-6.2587633251255659E-3"/>
    <n v="8948.8337095560564"/>
    <n v="8925.7999999999993"/>
    <n v="8647.0987431546018"/>
    <n v="8974.4778896597927"/>
    <n v="0.2527923250564334"/>
    <n v="0"/>
    <n v="0"/>
    <n v="0"/>
    <n v="0"/>
    <s v="DIESEL"/>
    <n v="71"/>
    <n v="0"/>
    <n v="71"/>
    <n v="0"/>
    <n v="1440"/>
    <n v="24"/>
    <n v="0"/>
    <n v="24"/>
    <n v="24"/>
    <n v="21"/>
    <n v="24"/>
    <n v="0"/>
    <n v="23"/>
    <n v="24"/>
    <n v="24"/>
    <n v="396.25807853722262"/>
    <m/>
    <m/>
    <n v="1108.0399410517607"/>
  </r>
  <r>
    <x v="101"/>
    <x v="3"/>
    <n v="0"/>
    <n v="386"/>
    <n v="386"/>
    <n v="1105"/>
    <n v="16"/>
    <n v="728"/>
    <n v="2"/>
    <n v="124"/>
    <n v="10"/>
    <n v="24"/>
    <n v="14"/>
    <n v="1957"/>
    <n v="1105"/>
    <n v="1105"/>
    <n v="0"/>
    <n v="0"/>
    <n v="1105000"/>
    <n v="1105000"/>
    <n v="1095.9516000000001"/>
    <n v="1095.9516000000001"/>
    <n v="0"/>
    <n v="0"/>
    <n v="1095951.6000000001"/>
    <n v="33.56"/>
    <n v="33.56"/>
    <n v="1138.56"/>
    <n v="0"/>
    <n v="1095.9515999999999"/>
    <n v="165.88827499999996"/>
    <n v="16.588827499999997"/>
    <n v="7"/>
    <n v="9"/>
    <n v="0"/>
    <n v="77.400000000000006"/>
    <n v="1.2"/>
    <n v="317.00646282977812"/>
    <n v="20763.923315350468"/>
    <n v="5.0000000000000009"/>
    <n v="1320.8602617907422"/>
    <n v="83.600000000000009"/>
    <n v="22084.783577141214"/>
    <n v="22194"/>
    <n v="0"/>
    <n v="84.013429134096"/>
    <n v="0"/>
    <n v="0"/>
    <n v="0"/>
    <n v="0"/>
    <n v="0.28688367676902998"/>
    <n v="45.286637547111162"/>
    <n v="35.222940314419787"/>
    <n v="1.1953486532042916"/>
    <n v="9.9923078804469636"/>
    <n v="207715"/>
    <n v="7353"/>
    <n v="207715"/>
    <n v="207715"/>
    <n v="7307.3639440827637"/>
    <n v="-45.636055917236263"/>
    <n v="-6.2452145898919779E-3"/>
    <n v="6654.2986425339368"/>
    <n v="8620.49"/>
    <n v="6418.075414631433"/>
    <n v="6667.5973136795128"/>
    <n v="0.18797737556561087"/>
    <n v="0"/>
    <n v="0"/>
    <n v="0"/>
    <n v="0"/>
    <s v="DIESEL"/>
    <n v="62"/>
    <n v="0"/>
    <n v="62"/>
    <n v="0"/>
    <n v="1440"/>
    <n v="19"/>
    <n v="0"/>
    <n v="13"/>
    <n v="21"/>
    <n v="23"/>
    <n v="24"/>
    <n v="0"/>
    <n v="24"/>
    <n v="18"/>
    <n v="13"/>
    <n v="317.00646282977812"/>
    <m/>
    <m/>
    <n v="2903.8288110322014"/>
  </r>
  <r>
    <x v="102"/>
    <x v="3"/>
    <n v="0"/>
    <n v="1289"/>
    <n v="1289"/>
    <n v="1346"/>
    <n v="0"/>
    <n v="0"/>
    <n v="2"/>
    <n v="142"/>
    <n v="24"/>
    <n v="24"/>
    <n v="0"/>
    <n v="1488"/>
    <n v="1346"/>
    <n v="1346"/>
    <n v="0"/>
    <n v="0"/>
    <n v="1346000"/>
    <n v="1346000"/>
    <n v="1333.6791000000001"/>
    <n v="1333.6791000000001"/>
    <n v="0"/>
    <n v="0"/>
    <n v="1333679.1000000001"/>
    <n v="37.78"/>
    <n v="37.78"/>
    <n v="1383.78"/>
    <n v="0"/>
    <n v="1333.6791000000001"/>
    <n v="169.56137500000003"/>
    <n v="7.0650572916666681"/>
    <n v="3"/>
    <n v="1"/>
    <n v="0"/>
    <n v="30.5"/>
    <n v="1.2"/>
    <n v="317.00646282977812"/>
    <n v="8374.2540597533043"/>
    <n v="5.6400000000000023"/>
    <n v="1489.9303752999579"/>
    <n v="37.340000000000003"/>
    <n v="9864.1844350532629"/>
    <n v="0"/>
    <n v="0"/>
    <n v="0"/>
    <n v="0"/>
    <n v="0"/>
    <n v="0"/>
    <n v="0"/>
    <n v="0.23551743152286636"/>
    <n v="105.66882094325938"/>
    <n v="317.00646282977812"/>
    <n v="1.1069319281574723"/>
    <n v="7.8937125168922924"/>
    <n v="327702"/>
    <n v="11600"/>
    <n v="327696"/>
    <n v="327696"/>
    <n v="11528.266783911346"/>
    <n v="-71.733216088654444"/>
    <n v="-6.2223764797639924E-3"/>
    <n v="8618.1277860326882"/>
    <n v="9268.67"/>
    <n v="8330.9968231303719"/>
    <n v="8643.9584933972092"/>
    <n v="0.2434591381872214"/>
    <n v="0"/>
    <n v="59.73"/>
    <n v="0"/>
    <n v="0"/>
    <s v="DIESEL"/>
    <n v="71"/>
    <n v="0"/>
    <n v="71"/>
    <n v="0"/>
    <n v="1440"/>
    <n v="23"/>
    <n v="0"/>
    <n v="24"/>
    <n v="21"/>
    <n v="24"/>
    <n v="23"/>
    <n v="0"/>
    <n v="24"/>
    <n v="24"/>
    <n v="24"/>
    <n v="317.00646282977812"/>
    <m/>
    <m/>
    <n v="1296.9972225351958"/>
  </r>
  <r>
    <x v="103"/>
    <x v="3"/>
    <n v="0"/>
    <n v="1287"/>
    <n v="1289"/>
    <n v="1354"/>
    <n v="0"/>
    <n v="0"/>
    <n v="3"/>
    <n v="213"/>
    <n v="24"/>
    <n v="24"/>
    <n v="0"/>
    <n v="1567"/>
    <n v="1354"/>
    <n v="1354"/>
    <n v="0"/>
    <n v="0"/>
    <n v="1354000"/>
    <n v="1354000"/>
    <n v="1342.2148999999999"/>
    <n v="1342.2148999999999"/>
    <n v="0"/>
    <n v="0"/>
    <n v="1342214.9"/>
    <n v="37.57"/>
    <n v="37.57"/>
    <n v="1391.57"/>
    <n v="0"/>
    <n v="1342.2148999999999"/>
    <n v="183.06976785714286"/>
    <n v="7.6279069940476196"/>
    <n v="2"/>
    <n v="3"/>
    <n v="0"/>
    <n v="31.6"/>
    <n v="1.1000000000000001"/>
    <n v="290.58925759396328"/>
    <n v="8638.4261121114541"/>
    <n v="5.7000000000000011"/>
    <n v="1505.7806984414462"/>
    <n v="38.400000000000006"/>
    <n v="10144.206810552902"/>
    <n v="0"/>
    <n v="10992"/>
    <n v="41.609246329727995"/>
    <n v="0"/>
    <n v="0"/>
    <n v="0"/>
    <n v="0"/>
    <n v="0.2146154044268562"/>
    <n v="145.29462879698164"/>
    <n v="96.863085864654423"/>
    <n v="1.1120980047573459"/>
    <n v="8.5561082136534221"/>
    <n v="336366"/>
    <n v="11907"/>
    <n v="336363"/>
    <n v="336363"/>
    <n v="11833.169767823751"/>
    <n v="-73.83023217624941"/>
    <n v="-6.2392607918974868E-3"/>
    <n v="8793.9438700147712"/>
    <n v="0"/>
    <n v="8503.4671398663013"/>
    <n v="8816.1513985754063"/>
    <n v="0.24842171344165437"/>
    <n v="0"/>
    <n v="73.98"/>
    <n v="22.708685292216"/>
    <n v="0"/>
    <s v="DIESEL"/>
    <n v="71"/>
    <n v="0"/>
    <n v="71"/>
    <n v="0"/>
    <n v="1440"/>
    <n v="24"/>
    <n v="0"/>
    <n v="24"/>
    <n v="24"/>
    <n v="19"/>
    <n v="24"/>
    <n v="0"/>
    <n v="24"/>
    <n v="24"/>
    <n v="24"/>
    <n v="290.58925759396328"/>
    <m/>
    <m/>
    <n v="1333.8161045889535"/>
  </r>
  <r>
    <x v="104"/>
    <x v="3"/>
    <n v="0"/>
    <n v="1274"/>
    <n v="1274"/>
    <n v="1311"/>
    <n v="0"/>
    <n v="0"/>
    <n v="0"/>
    <n v="0"/>
    <n v="24"/>
    <n v="24"/>
    <n v="0"/>
    <n v="1311"/>
    <n v="1311"/>
    <n v="1311"/>
    <n v="0"/>
    <n v="0"/>
    <n v="1311000"/>
    <n v="1311000"/>
    <n v="1300.0068999999999"/>
    <n v="1300.0068999999999"/>
    <n v="0"/>
    <n v="0"/>
    <n v="1300006.8999999999"/>
    <n v="37.35"/>
    <n v="37.35"/>
    <n v="1348.35"/>
    <n v="0"/>
    <n v="1300.0068999999999"/>
    <n v="191.49545714285713"/>
    <n v="7.9789773809523803"/>
    <n v="3"/>
    <n v="3"/>
    <n v="0"/>
    <n v="36.270000000000003"/>
    <n v="1.1100000000000001"/>
    <n v="293.23097811754474"/>
    <n v="9874.7513171475875"/>
    <n v="5.65"/>
    <n v="1492.5720958235386"/>
    <n v="43.03"/>
    <n v="11367.323412971127"/>
    <n v="0"/>
    <n v="0"/>
    <n v="0"/>
    <n v="0"/>
    <n v="0"/>
    <n v="0"/>
    <n v="0"/>
    <n v="0.22366970108126982"/>
    <n v="97.743659372514912"/>
    <n v="97.743659372514912"/>
    <n v="1.1384989289271843"/>
    <n v="9.1673991979047926"/>
    <n v="315706"/>
    <n v="11176"/>
    <n v="315703"/>
    <n v="315703"/>
    <n v="11106.355916706838"/>
    <n v="-69.644083293162112"/>
    <n v="-6.2706511312499323E-3"/>
    <n v="8524.790236460718"/>
    <n v="8933.61"/>
    <n v="8236.997750366625"/>
    <n v="8543.3053599229661"/>
    <n v="0.24081083142639206"/>
    <n v="0"/>
    <n v="0"/>
    <n v="0"/>
    <n v="0"/>
    <s v="DIESEL"/>
    <n v="71"/>
    <n v="0"/>
    <n v="71"/>
    <n v="0"/>
    <n v="1440"/>
    <n v="24"/>
    <n v="0"/>
    <n v="24"/>
    <n v="22"/>
    <n v="24"/>
    <n v="23"/>
    <n v="0"/>
    <n v="24"/>
    <n v="24"/>
    <n v="24"/>
    <n v="293.23097811754474"/>
    <m/>
    <m/>
    <n v="1494.6382026162153"/>
  </r>
  <r>
    <x v="105"/>
    <x v="3"/>
    <n v="0"/>
    <n v="1064"/>
    <n v="1064"/>
    <n v="1102"/>
    <n v="0"/>
    <n v="0"/>
    <n v="0"/>
    <n v="0"/>
    <n v="24"/>
    <n v="24"/>
    <n v="0"/>
    <n v="1102"/>
    <n v="1102"/>
    <n v="1102"/>
    <n v="0"/>
    <n v="0"/>
    <n v="1102000"/>
    <n v="1102000"/>
    <n v="1092.2760000000001"/>
    <n v="1092.2760000000001"/>
    <n v="0"/>
    <n v="0"/>
    <n v="1092276"/>
    <n v="34.93"/>
    <n v="34.93"/>
    <n v="1136.93"/>
    <n v="0"/>
    <n v="1092.2760000000003"/>
    <n v="156.03942857142854"/>
    <n v="6.5016428571428557"/>
    <n v="0"/>
    <n v="0"/>
    <n v="0"/>
    <n v="0"/>
    <n v="1.42"/>
    <n v="375.12431434857075"/>
    <n v="375.12431434857075"/>
    <n v="5.5600000000000023"/>
    <n v="1468.7966111113058"/>
    <n v="6.9800000000000022"/>
    <n v="1843.9209254598766"/>
    <n v="0"/>
    <n v="0"/>
    <n v="0"/>
    <n v="0"/>
    <n v="0"/>
    <n v="0"/>
    <n v="0"/>
    <n v="0.34040318906403877"/>
    <n v="0"/>
    <n v="0"/>
    <n v="1.3328462895746875"/>
    <n v="8.7428369709006244"/>
    <n v="303210"/>
    <n v="10733"/>
    <n v="303199"/>
    <n v="303199"/>
    <n v="10666.468191906939"/>
    <n v="-66.531808093061045"/>
    <n v="-6.237473069440295E-3"/>
    <n v="9739.5644283121601"/>
    <n v="9027.91"/>
    <n v="9381.8161117280215"/>
    <n v="9765.3598466934527"/>
    <n v="0.27513520871143377"/>
    <n v="0"/>
    <n v="0"/>
    <n v="0"/>
    <n v="0"/>
    <s v="DIESEL"/>
    <n v="62"/>
    <n v="0"/>
    <n v="62"/>
    <n v="0"/>
    <n v="1440"/>
    <n v="23"/>
    <n v="0"/>
    <n v="24"/>
    <n v="24"/>
    <n v="0"/>
    <n v="24"/>
    <n v="0"/>
    <n v="24"/>
    <n v="24"/>
    <n v="24"/>
    <n v="375.12431434857075"/>
    <m/>
    <m/>
    <n v="242.44886484455461"/>
  </r>
  <r>
    <x v="106"/>
    <x v="3"/>
    <n v="0"/>
    <n v="1298"/>
    <n v="1298"/>
    <n v="1332"/>
    <n v="0"/>
    <n v="0"/>
    <n v="0"/>
    <n v="0"/>
    <n v="24"/>
    <n v="24"/>
    <n v="0"/>
    <n v="1332"/>
    <n v="1332"/>
    <n v="1332"/>
    <n v="0"/>
    <n v="0"/>
    <n v="1332000"/>
    <n v="1332000"/>
    <n v="1319.5445999999999"/>
    <n v="1319.5445999999999"/>
    <n v="0"/>
    <n v="0"/>
    <n v="1319544.5999999999"/>
    <n v="37.520000000000003"/>
    <n v="37.520000000000003"/>
    <n v="1369.52"/>
    <n v="0"/>
    <n v="1319.5446000000002"/>
    <n v="168.80631428571428"/>
    <n v="7.0335964285714283"/>
    <n v="2"/>
    <n v="1"/>
    <n v="0"/>
    <n v="30.1"/>
    <n v="1.8"/>
    <n v="475.50969424466717"/>
    <n v="8427.088470224935"/>
    <n v="6.09"/>
    <n v="1608.807798861124"/>
    <n v="37.99"/>
    <n v="10035.896269086059"/>
    <n v="10999"/>
    <n v="0"/>
    <n v="41.635744212215997"/>
    <n v="0"/>
    <n v="0"/>
    <n v="0"/>
    <n v="0"/>
    <n v="0.35698925994344383"/>
    <n v="237.75484712233359"/>
    <n v="475.50969424466717"/>
    <n v="1.2078136628086515"/>
    <n v="8.5757638723110237"/>
    <n v="324903"/>
    <n v="11501"/>
    <n v="324868"/>
    <n v="324868"/>
    <n v="11428.778421328643"/>
    <n v="-72.221578671356838"/>
    <n v="-6.3192736799039962E-3"/>
    <n v="8634.3843843843842"/>
    <n v="8990.23"/>
    <n v="8345.0978600740709"/>
    <n v="8661.1535686847146"/>
    <n v="0.24389489489489488"/>
    <n v="0"/>
    <n v="0"/>
    <n v="0"/>
    <n v="0"/>
    <s v="DIESEL"/>
    <n v="71"/>
    <n v="0"/>
    <n v="71"/>
    <n v="0"/>
    <n v="1440"/>
    <n v="24"/>
    <n v="0"/>
    <n v="24"/>
    <n v="24"/>
    <n v="23"/>
    <n v="21"/>
    <n v="0"/>
    <n v="24"/>
    <n v="24"/>
    <n v="24"/>
    <n v="475.50969424466717"/>
    <m/>
    <m/>
    <n v="1319.5748388889151"/>
  </r>
  <r>
    <x v="107"/>
    <x v="3"/>
    <n v="0"/>
    <n v="1287"/>
    <n v="1287"/>
    <n v="1341"/>
    <n v="0"/>
    <n v="0"/>
    <n v="2"/>
    <n v="142"/>
    <n v="24"/>
    <n v="24"/>
    <n v="0"/>
    <n v="1483"/>
    <n v="1341"/>
    <n v="1341"/>
    <n v="0"/>
    <n v="0"/>
    <n v="1341000"/>
    <n v="1341000"/>
    <n v="1330.1361999999999"/>
    <n v="1330.1361999999999"/>
    <n v="0"/>
    <n v="0"/>
    <n v="1330136.2"/>
    <n v="37.49"/>
    <n v="37.49"/>
    <n v="1378.49"/>
    <n v="0"/>
    <n v="1330.1361999999997"/>
    <n v="168.20626607142856"/>
    <n v="7.0085944196428569"/>
    <n v="1"/>
    <n v="1"/>
    <n v="0"/>
    <n v="36.4"/>
    <n v="1.6"/>
    <n v="422.67528377303745"/>
    <n v="10038.53798960964"/>
    <n v="5.9000000000000012"/>
    <n v="1558.615108913076"/>
    <n v="43.9"/>
    <n v="11597.153098522716"/>
    <n v="10992"/>
    <n v="0"/>
    <n v="41.609246329727995"/>
    <n v="0"/>
    <n v="0"/>
    <n v="0"/>
    <n v="0"/>
    <n v="0.31519409677333143"/>
    <n v="422.67528377303745"/>
    <n v="422.67528377303745"/>
    <n v="1.16227823185166"/>
    <n v="8.2121341871454163"/>
    <n v="320428"/>
    <n v="11343"/>
    <n v="320377"/>
    <n v="320377"/>
    <n v="11270.786117099889"/>
    <n v="-72.213882900110548"/>
    <n v="-6.407173568004151E-3"/>
    <n v="8458.6129753914993"/>
    <n v="8973.1299999999992"/>
    <n v="8176.1827195698834"/>
    <n v="8473.4075481141645"/>
    <n v="0.23890902311707682"/>
    <n v="0"/>
    <n v="0"/>
    <n v="0"/>
    <n v="0"/>
    <s v="DIESEL"/>
    <n v="71"/>
    <n v="0"/>
    <n v="71"/>
    <n v="0"/>
    <n v="1440"/>
    <n v="24"/>
    <n v="0"/>
    <n v="24"/>
    <n v="24"/>
    <n v="24"/>
    <n v="24"/>
    <n v="0"/>
    <n v="22"/>
    <n v="24"/>
    <n v="24"/>
    <n v="422.67528377303745"/>
    <m/>
    <m/>
    <n v="1524.8574737358085"/>
  </r>
  <r>
    <x v="108"/>
    <x v="3"/>
    <n v="0"/>
    <n v="1290"/>
    <n v="1290"/>
    <n v="1327"/>
    <n v="0"/>
    <n v="0"/>
    <n v="0"/>
    <n v="0"/>
    <n v="24"/>
    <n v="24"/>
    <n v="0"/>
    <n v="1327"/>
    <n v="1327"/>
    <n v="1327"/>
    <n v="0"/>
    <n v="0"/>
    <n v="1327000"/>
    <n v="1327000"/>
    <n v="1315.5033000000001"/>
    <n v="1315.5033000000001"/>
    <n v="0"/>
    <n v="0"/>
    <n v="1315503.3"/>
    <n v="37.51"/>
    <n v="37.51"/>
    <n v="1364.51"/>
    <n v="0"/>
    <n v="1315.5032999999999"/>
    <n v="172.44370535714285"/>
    <n v="7.1851543898809522"/>
    <n v="1"/>
    <n v="2"/>
    <n v="0"/>
    <n v="32"/>
    <n v="1.5"/>
    <n v="396.25807853722262"/>
    <n v="8849.7637539979714"/>
    <n v="6.6400000000000006"/>
    <n v="1754.1024276581059"/>
    <n v="40.14"/>
    <n v="10603.866181656078"/>
    <n v="22207"/>
    <n v="0"/>
    <n v="84.06263948728801"/>
    <n v="0"/>
    <n v="0"/>
    <n v="0"/>
    <n v="0"/>
    <n v="0.29861196574018284"/>
    <n v="396.25807853722262"/>
    <n v="198.12903926861131"/>
    <n v="1.3218556350098762"/>
    <n v="9.5821335955801619"/>
    <n v="320548"/>
    <n v="11347"/>
    <n v="320537"/>
    <n v="320537"/>
    <n v="11276.414878773592"/>
    <n v="-70.585121226407864"/>
    <n v="-6.2595356755873995E-3"/>
    <n v="8550.866616428033"/>
    <n v="8769.94"/>
    <n v="8264.0763928249653"/>
    <n v="8571.9396361632771"/>
    <n v="0.24155011303692539"/>
    <n v="0"/>
    <n v="0"/>
    <n v="0"/>
    <n v="0"/>
    <s v="DIESEL"/>
    <n v="71"/>
    <n v="0"/>
    <n v="71"/>
    <n v="0"/>
    <n v="1440"/>
    <n v="24"/>
    <n v="0"/>
    <n v="24"/>
    <n v="24"/>
    <n v="22"/>
    <n v="23"/>
    <n v="0"/>
    <n v="24"/>
    <n v="24"/>
    <n v="24"/>
    <n v="396.25807853722262"/>
    <m/>
    <m/>
    <n v="1394.2546468281403"/>
  </r>
  <r>
    <x v="109"/>
    <x v="3"/>
    <n v="0"/>
    <n v="1288"/>
    <n v="1288"/>
    <n v="1331"/>
    <n v="0"/>
    <n v="0"/>
    <n v="2"/>
    <n v="142"/>
    <n v="24"/>
    <n v="24"/>
    <n v="0"/>
    <n v="1473"/>
    <n v="1331"/>
    <n v="1331"/>
    <n v="0"/>
    <n v="0"/>
    <n v="1331000"/>
    <n v="1331000"/>
    <n v="1320.2929000000001"/>
    <n v="1320.2929000000001"/>
    <n v="0"/>
    <n v="0"/>
    <n v="1320292.9000000001"/>
    <n v="37.54"/>
    <n v="37.54"/>
    <n v="1368.54"/>
    <n v="0"/>
    <n v="1320.2929000000001"/>
    <n v="191.15663571428567"/>
    <n v="7.9648598214285693"/>
    <n v="1"/>
    <n v="1"/>
    <n v="0"/>
    <n v="38.299999999999997"/>
    <n v="1.5"/>
    <n v="396.25807853722262"/>
    <n v="10514.047683854307"/>
    <n v="5.870000000000001"/>
    <n v="1550.6899473423314"/>
    <n v="45.67"/>
    <n v="12064.737631196638"/>
    <n v="22195"/>
    <n v="0"/>
    <n v="84.017214545879995"/>
    <n v="0"/>
    <n v="0"/>
    <n v="0"/>
    <n v="0"/>
    <n v="0.29771455938183516"/>
    <n v="396.25807853722262"/>
    <n v="396.25807853722262"/>
    <n v="1.1650563090475818"/>
    <n v="9.3534727665300785"/>
    <n v="316457"/>
    <n v="11202"/>
    <n v="316444"/>
    <n v="316444"/>
    <n v="11132.424119208174"/>
    <n v="-69.575880791826421"/>
    <n v="-6.2498410091813145E-3"/>
    <n v="8416.2283996994738"/>
    <n v="8654.68"/>
    <n v="8134.5259321672538"/>
    <n v="8431.7836740682105"/>
    <n v="0.23774906085649888"/>
    <n v="36.801773364048003"/>
    <n v="0"/>
    <n v="0"/>
    <n v="0"/>
    <s v="DIESEL"/>
    <n v="71"/>
    <n v="0"/>
    <n v="71"/>
    <n v="0"/>
    <n v="1440"/>
    <n v="24"/>
    <n v="0"/>
    <n v="24"/>
    <n v="24"/>
    <n v="24"/>
    <n v="24"/>
    <n v="0"/>
    <n v="22"/>
    <n v="24"/>
    <n v="24"/>
    <n v="396.25807853722262"/>
    <m/>
    <m/>
    <n v="1586.3380598067056"/>
  </r>
  <r>
    <x v="110"/>
    <x v="3"/>
    <n v="0"/>
    <n v="1272"/>
    <n v="1272"/>
    <n v="1322"/>
    <n v="1"/>
    <n v="70"/>
    <n v="0"/>
    <n v="0"/>
    <n v="24"/>
    <n v="24"/>
    <n v="0"/>
    <n v="1392"/>
    <n v="1322"/>
    <n v="1322"/>
    <n v="0"/>
    <n v="0"/>
    <n v="1322000"/>
    <n v="1322000"/>
    <n v="1311.0283000000004"/>
    <n v="1311.0283000000004"/>
    <n v="0"/>
    <n v="0"/>
    <n v="1311028.3000000005"/>
    <n v="37.69"/>
    <n v="37.69"/>
    <n v="1359.69"/>
    <n v="0"/>
    <n v="1311.0282999999999"/>
    <n v="187.28975714285713"/>
    <n v="7.8037398809523806"/>
    <n v="0"/>
    <n v="0"/>
    <n v="0"/>
    <n v="27.4"/>
    <n v="1.5"/>
    <n v="396.25807853722262"/>
    <n v="7634.5723131504892"/>
    <n v="6"/>
    <n v="1585.0323141488905"/>
    <n v="34.9"/>
    <n v="9219.6046272993808"/>
    <n v="10992"/>
    <n v="11203"/>
    <n v="84.017214545879995"/>
    <n v="0"/>
    <n v="0"/>
    <n v="0"/>
    <n v="0"/>
    <n v="0.29974136046688549"/>
    <n v="0"/>
    <n v="0"/>
    <n v="1.1989654418675419"/>
    <n v="9.4347161556481556"/>
    <n v="319960"/>
    <n v="11326"/>
    <n v="329241"/>
    <n v="329241"/>
    <n v="11582.619513823041"/>
    <n v="256.61951382304142"/>
    <n v="2.2155567962565296E-2"/>
    <n v="8567.3222390317696"/>
    <n v="0"/>
    <n v="8518.5737291757996"/>
    <n v="8834.7593364865097"/>
    <n v="0.24904765506807866"/>
    <n v="0"/>
    <n v="0"/>
    <n v="0"/>
    <n v="0"/>
    <s v="DIESEL"/>
    <n v="71"/>
    <n v="0"/>
    <n v="71"/>
    <n v="0"/>
    <n v="1440"/>
    <n v="24"/>
    <n v="0"/>
    <n v="24"/>
    <n v="24"/>
    <n v="22"/>
    <n v="24"/>
    <n v="0"/>
    <n v="24"/>
    <n v="24"/>
    <n v="24"/>
    <n v="396.25807853722262"/>
    <m/>
    <m/>
    <n v="1212.2443242227728"/>
  </r>
  <r>
    <x v="111"/>
    <x v="3"/>
    <n v="0"/>
    <n v="1292"/>
    <n v="1292"/>
    <n v="1328"/>
    <n v="0"/>
    <n v="0"/>
    <n v="0"/>
    <n v="0"/>
    <n v="24"/>
    <n v="24"/>
    <n v="0"/>
    <n v="1328"/>
    <n v="1328"/>
    <n v="1328"/>
    <n v="0"/>
    <n v="0"/>
    <n v="1328000"/>
    <n v="1328000"/>
    <n v="1316.9188999999999"/>
    <n v="1316.9188999999999"/>
    <n v="0"/>
    <n v="0"/>
    <n v="1316918.8999999999"/>
    <n v="38.119999999999997"/>
    <n v="38.119999999999997"/>
    <n v="1366.12"/>
    <n v="0"/>
    <n v="1316.9188999999999"/>
    <n v="166.51133214285719"/>
    <n v="6.9379721726190491"/>
    <n v="2"/>
    <n v="1"/>
    <n v="0"/>
    <n v="30.99"/>
    <n v="1.1100000000000001"/>
    <n v="293.23097811754474"/>
    <n v="8479.9228806965639"/>
    <n v="5.9500000000000011"/>
    <n v="1571.8237115309832"/>
    <n v="38.049999999999997"/>
    <n v="10051.746592227548"/>
    <n v="11186"/>
    <n v="0"/>
    <n v="42.343616215823999"/>
    <n v="0"/>
    <n v="0"/>
    <n v="0"/>
    <n v="0"/>
    <n v="0.220806459425862"/>
    <n v="146.61548905877237"/>
    <n v="293.23097811754474"/>
    <n v="1.183602192417909"/>
    <n v="8.2809289924470182"/>
    <n v="324409"/>
    <n v="11484"/>
    <n v="322818"/>
    <n v="322818"/>
    <n v="11356.659912384323"/>
    <n v="-127.34008761567748"/>
    <n v="-1.1212811565908951E-2"/>
    <n v="8647.590361445782"/>
    <n v="8798.5400000000009"/>
    <n v="8313.0763859575472"/>
    <n v="8623.6592947252284"/>
    <n v="0.24308584337349398"/>
    <n v="0"/>
    <n v="0"/>
    <n v="0"/>
    <n v="0"/>
    <s v="DIESEL"/>
    <n v="71"/>
    <n v="0"/>
    <n v="71"/>
    <n v="0"/>
    <n v="1440"/>
    <n v="24"/>
    <n v="0"/>
    <n v="24"/>
    <n v="24"/>
    <n v="24"/>
    <n v="24"/>
    <n v="0"/>
    <n v="23"/>
    <n v="24"/>
    <n v="24"/>
    <n v="293.23097811754474"/>
    <m/>
    <m/>
    <n v="1321.6589265523353"/>
  </r>
  <r>
    <x v="112"/>
    <x v="3"/>
    <n v="0"/>
    <n v="1288"/>
    <n v="1288"/>
    <n v="1309"/>
    <n v="0"/>
    <n v="0"/>
    <n v="0"/>
    <n v="0"/>
    <n v="24"/>
    <n v="24"/>
    <n v="0"/>
    <n v="1309"/>
    <n v="1309"/>
    <n v="1309"/>
    <n v="0"/>
    <n v="0"/>
    <n v="1309000"/>
    <n v="1309000"/>
    <n v="1296.7610999999999"/>
    <n v="1296.7610999999999"/>
    <n v="0"/>
    <n v="0"/>
    <n v="1296761.0999999999"/>
    <n v="38.19"/>
    <n v="38.19"/>
    <n v="1347.19"/>
    <n v="0"/>
    <n v="1296.7610999999999"/>
    <n v="163.98028571428571"/>
    <n v="6.8325119047619047"/>
    <n v="1"/>
    <n v="1"/>
    <n v="0"/>
    <n v="83.86"/>
    <n v="1.06"/>
    <n v="280.02237549963735"/>
    <n v="22433.490686253965"/>
    <n v="5.3900000000000015"/>
    <n v="1423.8873622104204"/>
    <n v="90.31"/>
    <n v="23857.378048464383"/>
    <n v="0"/>
    <n v="0"/>
    <n v="0"/>
    <n v="0"/>
    <n v="0"/>
    <n v="0"/>
    <n v="0"/>
    <n v="0.21392083689811867"/>
    <n v="280.02237549963735"/>
    <n v="280.02237549963735"/>
    <n v="1.0877672744159055"/>
    <n v="7.5025649096060461"/>
    <n v="260234"/>
    <n v="9212"/>
    <n v="260231"/>
    <n v="260231"/>
    <n v="9154.8642444339675"/>
    <n v="-57.135755566032458"/>
    <n v="-6.2410270693822921E-3"/>
    <n v="7037.4331550802135"/>
    <n v="0"/>
    <n v="6795.5256826683444"/>
    <n v="7059.7924663486347"/>
    <n v="0.19880137509549275"/>
    <n v="0"/>
    <n v="0"/>
    <n v="0"/>
    <n v="0"/>
    <s v="DIESEL"/>
    <n v="71"/>
    <n v="0"/>
    <n v="71"/>
    <n v="0"/>
    <n v="1440"/>
    <n v="24"/>
    <n v="0"/>
    <n v="24"/>
    <n v="24"/>
    <n v="24"/>
    <n v="24"/>
    <n v="0"/>
    <n v="22"/>
    <n v="24"/>
    <n v="24"/>
    <n v="280.02237549963735"/>
    <m/>
    <m/>
    <n v="3136.8992813913637"/>
  </r>
  <r>
    <x v="113"/>
    <x v="3"/>
    <n v="0"/>
    <n v="533"/>
    <n v="533"/>
    <n v="1229"/>
    <n v="17"/>
    <n v="910"/>
    <n v="1"/>
    <n v="62"/>
    <n v="24"/>
    <n v="24"/>
    <n v="0"/>
    <n v="2201"/>
    <n v="1229"/>
    <n v="1229"/>
    <n v="0"/>
    <n v="0"/>
    <n v="1229000"/>
    <n v="1229000"/>
    <n v="1218.6484000000003"/>
    <n v="1218.6484000000003"/>
    <n v="0"/>
    <n v="0"/>
    <n v="1218648.4000000004"/>
    <n v="33.700000000000003"/>
    <n v="33.700000000000003"/>
    <n v="1262.7"/>
    <n v="0"/>
    <n v="1218.6483999999998"/>
    <n v="186.78652857142853"/>
    <n v="7.7827720238095219"/>
    <n v="1"/>
    <n v="2"/>
    <n v="0"/>
    <n v="188.88"/>
    <n v="1.07"/>
    <n v="282.6640960232188"/>
    <n v="50179.481345430293"/>
    <n v="3.7800000000000007"/>
    <n v="998.57035791380133"/>
    <n v="193.73"/>
    <n v="51178.051703344092"/>
    <n v="22179"/>
    <n v="0"/>
    <n v="83.956647957336003"/>
    <n v="0"/>
    <n v="0"/>
    <n v="0"/>
    <n v="0"/>
    <n v="0.22999519611327812"/>
    <n v="282.6640960232188"/>
    <n v="141.3320480116094"/>
    <n v="0.81250639374597344"/>
    <n v="6.3762956685255476"/>
    <n v="125660"/>
    <n v="4448"/>
    <n v="125562"/>
    <n v="125562"/>
    <n v="4417.2410829594392"/>
    <n v="-30.758917040560846"/>
    <n v="-6.9633774708880401E-3"/>
    <n v="3619.2026037428805"/>
    <n v="9017.6200000000008"/>
    <n v="3498.2506398665073"/>
    <n v="3624.7051101527218"/>
    <n v="0.1021659886086249"/>
    <n v="0"/>
    <n v="26.88"/>
    <n v="0"/>
    <n v="0"/>
    <s v="DIESEL"/>
    <n v="71"/>
    <n v="0"/>
    <n v="71"/>
    <n v="0"/>
    <n v="1440"/>
    <n v="19"/>
    <n v="0"/>
    <n v="20"/>
    <n v="20"/>
    <n v="13"/>
    <n v="23"/>
    <n v="0"/>
    <n v="24"/>
    <n v="22"/>
    <n v="17"/>
    <n v="282.6640960232188"/>
    <m/>
    <m/>
    <n v="6729.1717172400495"/>
  </r>
  <r>
    <x v="114"/>
    <x v="3"/>
    <n v="0"/>
    <n v="1325"/>
    <n v="1325"/>
    <n v="1345"/>
    <n v="0"/>
    <n v="0"/>
    <n v="4"/>
    <n v="266"/>
    <n v="24"/>
    <n v="24"/>
    <n v="0"/>
    <n v="1611"/>
    <n v="1345"/>
    <n v="1345"/>
    <n v="0"/>
    <n v="0"/>
    <n v="1345000"/>
    <n v="1345000"/>
    <n v="1332.9983"/>
    <n v="1332.9983"/>
    <n v="0"/>
    <n v="0"/>
    <n v="1332998.3"/>
    <n v="37.56"/>
    <n v="37.56"/>
    <n v="1382.56"/>
    <n v="0"/>
    <n v="1332.9982999999997"/>
    <n v="178.56809047619046"/>
    <n v="7.4403371031746026"/>
    <n v="2"/>
    <n v="1"/>
    <n v="0"/>
    <n v="91.6"/>
    <n v="1.8"/>
    <n v="475.50969424466717"/>
    <n v="24673.669690251059"/>
    <n v="5.4700000000000006"/>
    <n v="1445.021126399072"/>
    <n v="98.86999999999999"/>
    <n v="26118.690816650131"/>
    <n v="33189"/>
    <n v="0"/>
    <n v="125.63403169917599"/>
    <n v="0"/>
    <n v="0"/>
    <n v="0"/>
    <n v="0"/>
    <n v="0.35353880612986405"/>
    <n v="237.75484712233359"/>
    <n v="475.50969424466717"/>
    <n v="1.0743651497390869"/>
    <n v="8.0647167472134171"/>
    <n v="258012"/>
    <n v="9133"/>
    <n v="258122"/>
    <n v="258122"/>
    <n v="9080.6701296224674"/>
    <n v="-52.329870377532643"/>
    <n v="-5.7627762742779292E-3"/>
    <n v="6790.3345724907058"/>
    <n v="0"/>
    <n v="6568.0116086263652"/>
    <n v="6812.2143363742225"/>
    <n v="0.19191226765799257"/>
    <n v="0"/>
    <n v="8.4"/>
    <n v="0"/>
    <n v="0"/>
    <s v="DIESEL"/>
    <n v="71"/>
    <n v="0"/>
    <n v="71"/>
    <n v="0"/>
    <n v="1440"/>
    <n v="24"/>
    <n v="0"/>
    <n v="24"/>
    <n v="24"/>
    <n v="20"/>
    <n v="21"/>
    <n v="0"/>
    <n v="24"/>
    <n v="24"/>
    <n v="24"/>
    <n v="475.50969424466717"/>
    <m/>
    <m/>
    <n v="3434.2291213726508"/>
  </r>
  <r>
    <x v="115"/>
    <x v="3"/>
    <n v="0"/>
    <n v="1300"/>
    <n v="1300"/>
    <n v="1368"/>
    <n v="0"/>
    <n v="0"/>
    <n v="4"/>
    <n v="284"/>
    <n v="24"/>
    <n v="24"/>
    <n v="0"/>
    <n v="1652"/>
    <n v="1368"/>
    <n v="1368"/>
    <n v="0"/>
    <n v="0"/>
    <n v="1368000"/>
    <n v="1368000"/>
    <n v="1355.7574999999999"/>
    <n v="1355.7574999999999"/>
    <n v="0"/>
    <n v="0"/>
    <n v="1355757.5"/>
    <n v="38.090000000000003"/>
    <n v="38.090000000000003"/>
    <n v="1406.09"/>
    <n v="0"/>
    <n v="1355.7575000000002"/>
    <n v="172.29304285714286"/>
    <n v="7.1788767857142863"/>
    <n v="1"/>
    <n v="1"/>
    <n v="0"/>
    <n v="33.6"/>
    <n v="1.4"/>
    <n v="369.84087330140778"/>
    <n v="9246.0218325351943"/>
    <n v="6.4999999999999991"/>
    <n v="1717.1183403279645"/>
    <n v="41.5"/>
    <n v="10963.140172863159"/>
    <n v="32994"/>
    <n v="0"/>
    <n v="124.89587640129601"/>
    <n v="0"/>
    <n v="0"/>
    <n v="0"/>
    <n v="0"/>
    <n v="0.27035151557120451"/>
    <n v="369.84087330140778"/>
    <n v="369.84087330140778"/>
    <n v="1.2552034651520207"/>
    <n v="9.0927076950059131"/>
    <n v="326548"/>
    <n v="11559"/>
    <n v="326409"/>
    <n v="326409"/>
    <n v="11482.990432198496"/>
    <n v="-76.00956780150409"/>
    <n v="-6.6193182211814793E-3"/>
    <n v="8449.5614035087729"/>
    <n v="8842.92"/>
    <n v="8166.611264000524"/>
    <n v="8469.7967241180631"/>
    <n v="0.23860307017543861"/>
    <n v="0"/>
    <n v="0"/>
    <n v="0"/>
    <n v="0"/>
    <s v="DIESEL"/>
    <n v="71"/>
    <n v="0"/>
    <n v="71"/>
    <n v="0"/>
    <n v="1440"/>
    <n v="24"/>
    <n v="0"/>
    <n v="24"/>
    <n v="22"/>
    <n v="24"/>
    <n v="24"/>
    <n v="0"/>
    <n v="23"/>
    <n v="24"/>
    <n v="24"/>
    <n v="369.84087330140778"/>
    <m/>
    <m/>
    <n v="1441.4939671989989"/>
  </r>
  <r>
    <x v="116"/>
    <x v="3"/>
    <n v="0"/>
    <n v="1101"/>
    <n v="1101"/>
    <n v="1173"/>
    <n v="0"/>
    <n v="0"/>
    <n v="6"/>
    <n v="372"/>
    <n v="24"/>
    <n v="24"/>
    <n v="0"/>
    <n v="1545"/>
    <n v="1173"/>
    <n v="1173"/>
    <n v="0"/>
    <n v="0"/>
    <n v="1173000"/>
    <n v="1173000"/>
    <n v="1164.4286000000002"/>
    <n v="1164.4286000000002"/>
    <n v="0"/>
    <n v="0"/>
    <n v="1164428.6000000001"/>
    <n v="34.54"/>
    <n v="34.54"/>
    <n v="1207.54"/>
    <n v="0"/>
    <n v="1164.4286"/>
    <n v="169.50175952380951"/>
    <n v="7.062573313492063"/>
    <n v="1"/>
    <n v="2"/>
    <n v="0"/>
    <n v="28.3"/>
    <n v="1.7"/>
    <n v="449.09248900885234"/>
    <n v="7925.1615707444525"/>
    <n v="5.4499999999999993"/>
    <n v="1439.7376853519086"/>
    <n v="35.450000000000003"/>
    <n v="9364.8992560963616"/>
    <n v="22046"/>
    <n v="10985"/>
    <n v="125.03593663730399"/>
    <n v="0"/>
    <n v="0"/>
    <n v="0"/>
    <n v="0"/>
    <n v="0.38285804689586728"/>
    <n v="449.09248900885234"/>
    <n v="224.54624450442617"/>
    <n v="1.2273978562249861"/>
    <n v="8.732353952949909"/>
    <n v="279014"/>
    <n v="9877"/>
    <n v="278815"/>
    <n v="278815"/>
    <n v="9808.6449128345848"/>
    <n v="-68.355087165415171"/>
    <n v="-6.9688614250856123E-3"/>
    <n v="8420.2898550724622"/>
    <n v="0"/>
    <n v="8122.8322977579082"/>
    <n v="8423.5692191299513"/>
    <n v="0.23769394714407502"/>
    <n v="0"/>
    <n v="0"/>
    <n v="0"/>
    <n v="0"/>
    <s v="DIESEL"/>
    <n v="62"/>
    <n v="0"/>
    <n v="62"/>
    <n v="0"/>
    <n v="1440"/>
    <n v="24"/>
    <n v="0"/>
    <n v="24"/>
    <n v="24"/>
    <n v="24"/>
    <n v="24"/>
    <n v="0"/>
    <n v="24"/>
    <n v="0"/>
    <n v="21"/>
    <n v="449.09248900885234"/>
    <m/>
    <m/>
    <n v="1231.3484611374581"/>
  </r>
  <r>
    <x v="117"/>
    <x v="3"/>
    <n v="0"/>
    <n v="1272"/>
    <n v="1272"/>
    <n v="1365"/>
    <n v="0"/>
    <n v="0"/>
    <n v="5"/>
    <n v="346"/>
    <n v="24"/>
    <n v="24"/>
    <n v="0"/>
    <n v="1711"/>
    <n v="1365"/>
    <n v="1365"/>
    <n v="0"/>
    <n v="0"/>
    <n v="1365000"/>
    <n v="1365000"/>
    <n v="1353.154"/>
    <n v="1353.154"/>
    <n v="0"/>
    <n v="0"/>
    <n v="1353154"/>
    <n v="38.630000000000003"/>
    <n v="38.630000000000003"/>
    <n v="1403.63"/>
    <n v="0"/>
    <n v="1353.154"/>
    <n v="195.27797023809524"/>
    <n v="8.1365820932539688"/>
    <n v="2"/>
    <n v="2"/>
    <n v="0"/>
    <n v="28.5"/>
    <n v="1.6"/>
    <n v="422.67528377303745"/>
    <n v="7951.5787759802679"/>
    <n v="6.0000000000000009"/>
    <n v="1585.0323141488907"/>
    <n v="36.1"/>
    <n v="9536.6110901291577"/>
    <n v="33007"/>
    <n v="0"/>
    <n v="124.945086754488"/>
    <n v="0"/>
    <n v="0"/>
    <n v="0"/>
    <n v="0"/>
    <n v="0.30965222254434976"/>
    <n v="211.33764188651872"/>
    <n v="211.33764188651872"/>
    <n v="1.1611958345413118"/>
    <n v="9.5290633172046402"/>
    <n v="329840"/>
    <n v="11676"/>
    <n v="329418"/>
    <n v="329418"/>
    <n v="11588.846331424576"/>
    <n v="-87.15366857542358"/>
    <n v="-7.5204784050933293E-3"/>
    <n v="8553.8461538461543"/>
    <n v="8995.4699999999993"/>
    <n v="8256.3398697837565"/>
    <n v="8564.3218225158234"/>
    <n v="0.24133186813186813"/>
    <n v="29.060606265767998"/>
    <n v="0"/>
    <n v="0"/>
    <n v="0"/>
    <s v="DIESEL"/>
    <n v="71"/>
    <n v="0"/>
    <n v="71"/>
    <n v="0"/>
    <n v="1440"/>
    <n v="24"/>
    <n v="0"/>
    <n v="24"/>
    <n v="24"/>
    <n v="23"/>
    <n v="24"/>
    <n v="1"/>
    <n v="24"/>
    <n v="19"/>
    <n v="24"/>
    <n v="422.67528377303745"/>
    <m/>
    <m/>
    <n v="1253.9260774911772"/>
  </r>
  <r>
    <x v="118"/>
    <x v="3"/>
    <n v="0"/>
    <n v="1272"/>
    <n v="1272"/>
    <n v="1333"/>
    <n v="0"/>
    <n v="0"/>
    <n v="4"/>
    <n v="284"/>
    <n v="24"/>
    <n v="24"/>
    <n v="0"/>
    <n v="1617"/>
    <n v="1333"/>
    <n v="1333"/>
    <n v="0"/>
    <n v="0"/>
    <n v="1333000"/>
    <n v="1333000"/>
    <n v="1320.3830999999998"/>
    <n v="1320.3830999999998"/>
    <n v="0"/>
    <n v="0"/>
    <n v="1320383.0999999999"/>
    <n v="39.25"/>
    <n v="39.25"/>
    <n v="1372.25"/>
    <n v="0"/>
    <n v="1320.3830999999998"/>
    <n v="191.21265476190476"/>
    <n v="7.9671939484126986"/>
    <n v="1"/>
    <n v="1"/>
    <n v="0"/>
    <n v="34.6"/>
    <n v="1"/>
    <n v="264.17205235814845"/>
    <n v="9404.5250639500846"/>
    <n v="6.8000000000000007"/>
    <n v="1796.3699560354096"/>
    <n v="42.400000000000006"/>
    <n v="11200.895019985495"/>
    <n v="32979"/>
    <n v="0"/>
    <n v="124.839095224536"/>
    <n v="0"/>
    <n v="0"/>
    <n v="0"/>
    <n v="0"/>
    <n v="0.19817858391458998"/>
    <n v="264.17205235814845"/>
    <n v="264.17205235814845"/>
    <n v="1.3476143706192121"/>
    <n v="10.839440561044663"/>
    <n v="318602"/>
    <n v="11278"/>
    <n v="318125"/>
    <n v="318125"/>
    <n v="11191.561296542519"/>
    <n v="-86.438703457481097"/>
    <n v="-7.7235607407328561E-3"/>
    <n v="8460.6151537884471"/>
    <n v="0"/>
    <n v="8155.6285637037845"/>
    <n v="8475.9955626079427"/>
    <n v="0.23865341335333834"/>
    <n v="0"/>
    <n v="0"/>
    <n v="0"/>
    <n v="11"/>
    <s v="DIESEL"/>
    <n v="71"/>
    <n v="0"/>
    <n v="71"/>
    <n v="0"/>
    <n v="1440"/>
    <n v="24"/>
    <n v="0"/>
    <n v="24"/>
    <n v="24"/>
    <n v="24"/>
    <n v="24"/>
    <n v="4"/>
    <n v="24"/>
    <n v="23"/>
    <n v="24"/>
    <n v="264.17205235814845"/>
    <m/>
    <m/>
    <n v="1472.7552821503029"/>
  </r>
  <r>
    <x v="119"/>
    <x v="3"/>
    <n v="0"/>
    <n v="1272"/>
    <n v="1272"/>
    <n v="1301"/>
    <n v="0"/>
    <n v="0"/>
    <n v="0"/>
    <n v="0"/>
    <n v="24"/>
    <n v="24"/>
    <n v="0"/>
    <n v="1301"/>
    <n v="1301"/>
    <n v="1301"/>
    <n v="0"/>
    <n v="0"/>
    <n v="1301000"/>
    <n v="1301000"/>
    <n v="1289.8392999999999"/>
    <n v="1289.8392999999999"/>
    <n v="0"/>
    <n v="0"/>
    <n v="1289839.2999999998"/>
    <n v="38.75"/>
    <n v="38.75"/>
    <n v="1339.75"/>
    <n v="0"/>
    <n v="1289.8393000000001"/>
    <n v="186.79049285714282"/>
    <n v="7.7829372023809507"/>
    <n v="1"/>
    <n v="1"/>
    <n v="0"/>
    <n v="22.1"/>
    <n v="1"/>
    <n v="264.17205235814845"/>
    <n v="6102.3744094732283"/>
    <n v="7"/>
    <n v="1849.2043665070389"/>
    <n v="30.1"/>
    <n v="7951.5787759802679"/>
    <n v="32954"/>
    <n v="0"/>
    <n v="124.744459929936"/>
    <n v="0"/>
    <n v="0"/>
    <n v="0"/>
    <n v="0"/>
    <n v="0.20305307637059836"/>
    <n v="264.17205235814845"/>
    <n v="264.17205235814845"/>
    <n v="1.4213715345941882"/>
    <n v="11.161793363029306"/>
    <n v="317140"/>
    <n v="11226"/>
    <n v="324189"/>
    <n v="324189"/>
    <n v="11404.891363975865"/>
    <n v="178.89136397586481"/>
    <n v="1.568549478173209E-2"/>
    <n v="8628.7471176018462"/>
    <n v="9016.5"/>
    <n v="8512.7011487037616"/>
    <n v="8842.1025502757329"/>
    <n v="0.24918447348193698"/>
    <n v="0"/>
    <n v="0"/>
    <n v="0"/>
    <n v="0"/>
    <s v="DIESEL"/>
    <n v="71"/>
    <n v="0"/>
    <n v="71"/>
    <n v="0"/>
    <n v="1440"/>
    <n v="23"/>
    <n v="0"/>
    <n v="23"/>
    <n v="24"/>
    <n v="22"/>
    <n v="23"/>
    <n v="4"/>
    <n v="24"/>
    <n v="24"/>
    <n v="24"/>
    <n v="264.17205235814845"/>
    <m/>
    <m/>
    <n v="1045.5173111491536"/>
  </r>
  <r>
    <x v="120"/>
    <x v="4"/>
    <n v="0"/>
    <n v="1272"/>
    <n v="1272"/>
    <n v="1298"/>
    <n v="0"/>
    <n v="0"/>
    <n v="0"/>
    <n v="0"/>
    <n v="24"/>
    <n v="24"/>
    <n v="0"/>
    <n v="1298"/>
    <n v="1298"/>
    <n v="1298"/>
    <n v="0"/>
    <n v="0"/>
    <n v="1298000"/>
    <n v="1298000"/>
    <n v="1286.6026999999999"/>
    <n v="1286.6026999999999"/>
    <n v="0"/>
    <n v="0"/>
    <n v="1286602.7"/>
    <n v="37.9"/>
    <n v="37.9"/>
    <n v="1335.9"/>
    <n v="0"/>
    <n v="1286.6027000000001"/>
    <n v="160.82533749999999"/>
    <n v="6.7010557291666659"/>
    <n v="1"/>
    <n v="0"/>
    <n v="0"/>
    <n v="2.65"/>
    <n v="1.1499999999999999"/>
    <n v="303.79786021187067"/>
    <n v="1003.853798960964"/>
    <n v="7.1999999999999984"/>
    <n v="1902.0387769786682"/>
    <n v="10.999999999999998"/>
    <n v="2905.892575939632"/>
    <n v="0"/>
    <n v="0"/>
    <n v="0"/>
    <n v="0"/>
    <n v="0"/>
    <n v="0"/>
    <n v="0"/>
    <n v="0.23405073976261223"/>
    <n v="303.79786021187067"/>
    <n v="0"/>
    <n v="1.4653611532963546"/>
    <n v="9.9064519634305643"/>
    <n v="356398"/>
    <n v="12616"/>
    <n v="356201"/>
    <n v="356201"/>
    <n v="12531.065855842016"/>
    <n v="-84.93414415798361"/>
    <n v="-6.7778866646357209E-3"/>
    <n v="9719.5685670261937"/>
    <n v="0"/>
    <n v="9380.2424252129767"/>
    <n v="9739.6545614602055"/>
    <n v="0.27442295839753467"/>
    <n v="0"/>
    <n v="0"/>
    <n v="0"/>
    <n v="0"/>
    <s v="DIESEL"/>
    <n v="71"/>
    <n v="0"/>
    <n v="71"/>
    <n v="0"/>
    <n v="1440"/>
    <n v="24"/>
    <n v="0"/>
    <n v="24"/>
    <n v="24"/>
    <n v="0"/>
    <n v="24"/>
    <n v="22"/>
    <n v="24"/>
    <n v="24"/>
    <n v="24"/>
    <n v="303.79786021187067"/>
    <m/>
    <m/>
    <n v="382.08273829371046"/>
  </r>
  <r>
    <x v="121"/>
    <x v="4"/>
    <n v="0"/>
    <n v="1308"/>
    <n v="1308"/>
    <n v="1384"/>
    <n v="0"/>
    <n v="0"/>
    <n v="4"/>
    <n v="284"/>
    <n v="24"/>
    <n v="24"/>
    <n v="0"/>
    <n v="1668"/>
    <n v="1384"/>
    <n v="1384"/>
    <n v="0"/>
    <n v="0"/>
    <n v="1384000"/>
    <n v="1384000"/>
    <n v="1371.5415999999996"/>
    <n v="1371.5415999999996"/>
    <n v="0"/>
    <n v="0"/>
    <n v="1371541.5999999996"/>
    <n v="38.15"/>
    <n v="38.15"/>
    <n v="1422.15"/>
    <n v="0"/>
    <n v="1371.5415999999998"/>
    <n v="171.44269999999995"/>
    <n v="7.1434458333333311"/>
    <n v="0"/>
    <n v="0"/>
    <n v="0"/>
    <n v="0"/>
    <n v="1.2"/>
    <n v="317.00646282977812"/>
    <n v="317.00646282977812"/>
    <n v="6.64"/>
    <n v="1754.1024276581056"/>
    <n v="7.84"/>
    <n v="2071.1088904878839"/>
    <n v="11014"/>
    <n v="0"/>
    <n v="41.692525388976001"/>
    <n v="0"/>
    <n v="0"/>
    <n v="0"/>
    <n v="0"/>
    <n v="0.22905091244926165"/>
    <n v="0"/>
    <n v="0"/>
    <n v="1.2674150488859144"/>
    <n v="9.1359501440526376"/>
    <n v="374673"/>
    <n v="13263"/>
    <n v="374592"/>
    <n v="374592"/>
    <n v="13178.056830473728"/>
    <n v="-84.943169526271959"/>
    <n v="-6.445803855530831E-3"/>
    <n v="9583.0924855491321"/>
    <n v="8930.76"/>
    <n v="9266.2917628054201"/>
    <n v="9608.207895753023"/>
    <n v="0.27065895953757224"/>
    <n v="0"/>
    <n v="0"/>
    <n v="0"/>
    <n v="0"/>
    <s v="DIESEL"/>
    <n v="71"/>
    <n v="0"/>
    <n v="71"/>
    <n v="0"/>
    <n v="1440"/>
    <n v="24"/>
    <n v="0"/>
    <n v="24"/>
    <n v="24"/>
    <n v="0"/>
    <n v="24"/>
    <n v="24"/>
    <n v="23"/>
    <n v="23"/>
    <n v="24"/>
    <n v="317.00646282977812"/>
    <m/>
    <m/>
    <n v="272.32078802024466"/>
  </r>
  <r>
    <x v="122"/>
    <x v="4"/>
    <n v="0"/>
    <n v="1315"/>
    <n v="1315"/>
    <n v="1439"/>
    <n v="0"/>
    <n v="0"/>
    <n v="10"/>
    <n v="710"/>
    <n v="24"/>
    <n v="24"/>
    <n v="0"/>
    <n v="2149"/>
    <n v="1439"/>
    <n v="1439"/>
    <n v="0"/>
    <n v="0"/>
    <n v="1439000"/>
    <n v="1439000"/>
    <n v="1426.2655999999999"/>
    <n v="1426.2655999999999"/>
    <n v="0"/>
    <n v="0"/>
    <n v="1426265.5999999999"/>
    <n v="38.64"/>
    <n v="38.64"/>
    <n v="1477.64"/>
    <n v="0"/>
    <n v="1426.2656000000002"/>
    <n v="178.28319999999999"/>
    <n v="7.4284666666666661"/>
    <n v="0"/>
    <n v="0"/>
    <n v="0"/>
    <n v="2.2000000000000002"/>
    <n v="1.2"/>
    <n v="317.00646282977812"/>
    <n v="898.18497801770479"/>
    <n v="6.75"/>
    <n v="1783.1613534175019"/>
    <n v="10.15"/>
    <n v="2681.3463314352066"/>
    <n v="11000"/>
    <n v="11014"/>
    <n v="83.332055012975999"/>
    <n v="0"/>
    <n v="0"/>
    <n v="0"/>
    <n v="0"/>
    <n v="0.22029636054883817"/>
    <n v="0"/>
    <n v="0"/>
    <n v="1.2391670280872147"/>
    <n v="9.2872987157161564"/>
    <n v="387096"/>
    <n v="13703"/>
    <n v="387097"/>
    <n v="387097"/>
    <n v="13617.979735034089"/>
    <n v="-85.020264965911338"/>
    <n v="-6.2432362670642874E-3"/>
    <n v="9522.5851285615008"/>
    <n v="9079.58"/>
    <n v="9216.033496003145"/>
    <n v="9547.9970455952171"/>
    <n v="0.26900416956219597"/>
    <n v="0"/>
    <n v="9"/>
    <n v="0"/>
    <n v="0"/>
    <s v="DIESEL"/>
    <n v="71"/>
    <n v="0"/>
    <n v="71"/>
    <n v="0"/>
    <n v="1440"/>
    <n v="24"/>
    <n v="0"/>
    <n v="24"/>
    <n v="24"/>
    <n v="0"/>
    <n v="24"/>
    <n v="24"/>
    <n v="22"/>
    <n v="24"/>
    <n v="24"/>
    <n v="317.00646282977812"/>
    <m/>
    <m/>
    <n v="352.55816306192384"/>
  </r>
  <r>
    <x v="123"/>
    <x v="4"/>
    <n v="0"/>
    <n v="1303"/>
    <n v="1303"/>
    <n v="1443"/>
    <n v="0"/>
    <n v="0"/>
    <n v="12"/>
    <n v="852"/>
    <n v="24"/>
    <n v="24"/>
    <n v="0"/>
    <n v="2295"/>
    <n v="1443"/>
    <n v="1443"/>
    <n v="0"/>
    <n v="0"/>
    <n v="1443000"/>
    <n v="1443000"/>
    <n v="1428.2915"/>
    <n v="1428.2915"/>
    <n v="0"/>
    <n v="0"/>
    <n v="1428291.5"/>
    <n v="38.799999999999997"/>
    <n v="38.799999999999997"/>
    <n v="1481.8"/>
    <n v="0"/>
    <n v="1428.2914999999998"/>
    <n v="178.53643750000001"/>
    <n v="7.4390182291666669"/>
    <n v="0"/>
    <n v="0"/>
    <n v="0"/>
    <n v="0"/>
    <n v="1.5"/>
    <n v="396.25807853722262"/>
    <n v="396.25807853722262"/>
    <n v="7.2399999999999984"/>
    <n v="1912.6056590729941"/>
    <n v="8.7399999999999984"/>
    <n v="2308.863737610217"/>
    <n v="0"/>
    <n v="0"/>
    <n v="0"/>
    <n v="0"/>
    <n v="0"/>
    <n v="0"/>
    <n v="0"/>
    <n v="0.27460712303341833"/>
    <n v="0"/>
    <n v="0"/>
    <n v="1.325437047174632"/>
    <n v="9.9614878076718458"/>
    <n v="387688"/>
    <n v="13724"/>
    <n v="387027"/>
    <n v="387027"/>
    <n v="13615.517151801841"/>
    <n v="-108.48284819815854"/>
    <n v="-7.9675892578051806E-3"/>
    <n v="9510.7415107415109"/>
    <n v="0"/>
    <n v="9188.4985502779346"/>
    <n v="9532.7299446939505"/>
    <n v="0.26820997920997919"/>
    <n v="0"/>
    <n v="19.5"/>
    <n v="0"/>
    <n v="0"/>
    <s v="DIESEL"/>
    <n v="71"/>
    <n v="0"/>
    <n v="71"/>
    <n v="0"/>
    <n v="1440"/>
    <n v="24"/>
    <n v="0"/>
    <n v="24"/>
    <n v="23"/>
    <n v="0"/>
    <n v="24"/>
    <n v="24"/>
    <n v="23"/>
    <n v="24"/>
    <n v="24"/>
    <n v="396.25807853722262"/>
    <m/>
    <m/>
    <n v="303.58210297154818"/>
  </r>
  <r>
    <x v="124"/>
    <x v="4"/>
    <n v="0"/>
    <n v="1321"/>
    <n v="1318"/>
    <n v="1469"/>
    <n v="0"/>
    <n v="0"/>
    <n v="11"/>
    <n v="781"/>
    <n v="24"/>
    <n v="24"/>
    <n v="0"/>
    <n v="2250"/>
    <n v="1469"/>
    <n v="1469"/>
    <n v="0"/>
    <n v="0"/>
    <n v="1469000"/>
    <n v="1469000"/>
    <n v="1456.7547"/>
    <n v="1456.7547"/>
    <n v="0"/>
    <n v="0"/>
    <n v="1456754.7"/>
    <n v="38.729999999999997"/>
    <n v="38.729999999999997"/>
    <n v="1507.73"/>
    <n v="0"/>
    <n v="1456.7547000000002"/>
    <n v="184.02101249999998"/>
    <n v="7.6675421874999996"/>
    <n v="1"/>
    <n v="1"/>
    <n v="0"/>
    <n v="3.8"/>
    <n v="1.2"/>
    <n v="317.00646282977812"/>
    <n v="1320.860261790742"/>
    <n v="7.2999999999999989"/>
    <n v="1928.4559822144834"/>
    <n v="12.299999999999997"/>
    <n v="3249.3162440052247"/>
    <n v="0"/>
    <n v="0"/>
    <n v="0"/>
    <n v="0"/>
    <n v="0"/>
    <n v="0"/>
    <n v="0"/>
    <n v="0.21579745597670397"/>
    <n v="317.00646282977812"/>
    <n v="317.00646282977812"/>
    <n v="1.3127678571916157"/>
    <n v="10.152147696650569"/>
    <n v="390331"/>
    <n v="13817"/>
    <n v="389926"/>
    <n v="389926"/>
    <n v="13717.503277377249"/>
    <n v="-99.496722622750895"/>
    <n v="-7.253267639953093E-3"/>
    <n v="9405.7181756296795"/>
    <n v="0"/>
    <n v="9098.1165575913783"/>
    <n v="9416.4812218400602"/>
    <n v="0.2654363512593601"/>
    <n v="0"/>
    <n v="30.6"/>
    <n v="0"/>
    <n v="0"/>
    <s v="DIESEL"/>
    <n v="71"/>
    <n v="0"/>
    <n v="71"/>
    <n v="0"/>
    <n v="1440"/>
    <n v="24"/>
    <n v="3"/>
    <n v="24"/>
    <n v="24"/>
    <n v="0"/>
    <n v="21"/>
    <n v="24"/>
    <n v="24"/>
    <n v="24"/>
    <n v="24"/>
    <n v="317.00646282977812"/>
    <m/>
    <m/>
    <n v="427.23797100114899"/>
  </r>
  <r>
    <x v="125"/>
    <x v="4"/>
    <n v="0"/>
    <n v="1272"/>
    <n v="1321"/>
    <n v="1417"/>
    <n v="0"/>
    <n v="0"/>
    <n v="6"/>
    <n v="408"/>
    <n v="24"/>
    <n v="24"/>
    <n v="0"/>
    <n v="1825"/>
    <n v="1417"/>
    <n v="1417"/>
    <n v="0"/>
    <n v="0"/>
    <n v="1417000"/>
    <n v="1417000"/>
    <n v="1403.8549999999996"/>
    <n v="1403.8549999999996"/>
    <n v="0"/>
    <n v="0"/>
    <n v="1403854.9999999995"/>
    <n v="38.79"/>
    <n v="38.79"/>
    <n v="1455.79"/>
    <n v="0"/>
    <n v="1403.855"/>
    <n v="175.48187499999995"/>
    <n v="7.3117447916666647"/>
    <n v="0"/>
    <n v="0"/>
    <n v="0"/>
    <n v="0"/>
    <n v="2"/>
    <n v="528.3441047162969"/>
    <n v="528.3441047162969"/>
    <n v="7.6000000000000023"/>
    <n v="2007.7075979219287"/>
    <n v="9.6000000000000014"/>
    <n v="2536.0517026382254"/>
    <n v="0"/>
    <n v="0"/>
    <n v="0"/>
    <n v="0"/>
    <n v="0"/>
    <n v="0"/>
    <n v="0"/>
    <n v="0.37286104778849466"/>
    <n v="0"/>
    <n v="0"/>
    <n v="1.41687198159628"/>
    <n v="10.456810405843378"/>
    <n v="380834"/>
    <n v="13481"/>
    <n v="380391"/>
    <n v="380391"/>
    <n v="13382.064261385007"/>
    <n v="-98.93573861499317"/>
    <n v="-7.3931597310050272E-3"/>
    <n v="9513.7614678899081"/>
    <n v="0"/>
    <n v="9192.3040145797167"/>
    <n v="9532.3692698925533"/>
    <n v="0.26844812985179956"/>
    <n v="0"/>
    <n v="0"/>
    <n v="0"/>
    <n v="0"/>
    <s v="DIESEL"/>
    <n v="71"/>
    <n v="0"/>
    <n v="71"/>
    <n v="0"/>
    <n v="1440"/>
    <n v="24"/>
    <n v="3"/>
    <n v="24"/>
    <n v="24"/>
    <n v="0"/>
    <n v="24"/>
    <n v="24"/>
    <n v="24"/>
    <n v="24"/>
    <n v="24"/>
    <n v="528.3441047162969"/>
    <m/>
    <m/>
    <n v="333.45402614723838"/>
  </r>
  <r>
    <x v="126"/>
    <x v="4"/>
    <n v="0"/>
    <n v="1272"/>
    <n v="1272"/>
    <n v="1401"/>
    <n v="0"/>
    <n v="0"/>
    <n v="8"/>
    <n v="568"/>
    <n v="24"/>
    <n v="24"/>
    <n v="0"/>
    <n v="1969"/>
    <n v="1401"/>
    <n v="1401"/>
    <n v="0"/>
    <n v="0"/>
    <n v="1401000"/>
    <n v="1401000"/>
    <n v="1387.8482000000001"/>
    <n v="1387.8482000000001"/>
    <n v="0"/>
    <n v="0"/>
    <n v="1387848.2000000002"/>
    <n v="38.450000000000003"/>
    <n v="38.450000000000003"/>
    <n v="1439.45"/>
    <n v="0"/>
    <n v="1387.8481999999999"/>
    <n v="175.4081107142857"/>
    <n v="7.3086712797619038"/>
    <n v="1"/>
    <n v="1"/>
    <n v="0"/>
    <n v="0"/>
    <n v="0.7"/>
    <n v="184.92043665070389"/>
    <n v="184.92043665070389"/>
    <n v="8.7199999999999989"/>
    <n v="2303.5802965630537"/>
    <n v="9.4199999999999982"/>
    <n v="2488.5007332137575"/>
    <n v="0"/>
    <n v="0"/>
    <n v="0"/>
    <n v="0"/>
    <n v="0"/>
    <n v="0"/>
    <n v="0"/>
    <n v="0.13199174636024547"/>
    <n v="184.92043665070389"/>
    <n v="184.92043665070389"/>
    <n v="1.644240040373343"/>
    <n v="12.131472523470924"/>
    <n v="378325"/>
    <n v="13392"/>
    <n v="378283"/>
    <n v="378283"/>
    <n v="13307.905326333967"/>
    <n v="-84.094673666033486"/>
    <n v="-6.319151782634428E-3"/>
    <n v="9558.8865096359732"/>
    <n v="0"/>
    <n v="9245.1320478891012"/>
    <n v="9588.8767419476899"/>
    <n v="0.2700092790863669"/>
    <n v="0"/>
    <n v="0"/>
    <n v="0"/>
    <n v="0"/>
    <s v="DIESEL"/>
    <n v="71"/>
    <n v="0"/>
    <n v="71"/>
    <n v="0"/>
    <n v="1440"/>
    <n v="24"/>
    <n v="0"/>
    <n v="21"/>
    <n v="24"/>
    <n v="0"/>
    <n v="24"/>
    <n v="24"/>
    <n v="24"/>
    <n v="24"/>
    <n v="24"/>
    <n v="184.92043665070389"/>
    <m/>
    <m/>
    <n v="327.20176315697751"/>
  </r>
  <r>
    <x v="127"/>
    <x v="4"/>
    <n v="0"/>
    <n v="1309"/>
    <n v="1309"/>
    <n v="1485"/>
    <n v="10"/>
    <n v="703"/>
    <n v="5"/>
    <n v="337"/>
    <n v="24"/>
    <n v="24"/>
    <n v="0"/>
    <n v="2525"/>
    <n v="1485"/>
    <n v="1485"/>
    <n v="0"/>
    <n v="0"/>
    <n v="1485000"/>
    <n v="1485000"/>
    <n v="1471.2124999999999"/>
    <n v="1471.2124999999999"/>
    <n v="0"/>
    <n v="0"/>
    <n v="1471212.4999999998"/>
    <n v="36.81"/>
    <n v="36.81"/>
    <n v="1521.81"/>
    <n v="0"/>
    <n v="1471.2125000000001"/>
    <n v="206.12058928571426"/>
    <n v="8.5883578869047614"/>
    <n v="1"/>
    <n v="2"/>
    <n v="0"/>
    <n v="31.2"/>
    <n v="1.7"/>
    <n v="449.09248900885234"/>
    <n v="8691.260522583083"/>
    <n v="5.8299999999999983"/>
    <n v="1540.1230652480049"/>
    <n v="38.729999999999997"/>
    <n v="10231.383587831089"/>
    <n v="0"/>
    <n v="0"/>
    <n v="0"/>
    <n v="0"/>
    <n v="0"/>
    <n v="0"/>
    <n v="0"/>
    <n v="0.30241918451774569"/>
    <n v="449.09248900885234"/>
    <n v="224.54624450442617"/>
    <n v="1.0371199092579158"/>
    <n v="8.9924638358521545"/>
    <n v="353096"/>
    <n v="12499"/>
    <n v="353097"/>
    <n v="353097"/>
    <n v="12421.867879372177"/>
    <n v="-77.132120627822587"/>
    <n v="-6.209381823800317E-3"/>
    <n v="8416.8350168350171"/>
    <n v="0"/>
    <n v="8162.5616071468703"/>
    <n v="8443.2859830732668"/>
    <n v="0.23777575757575758"/>
    <n v="0"/>
    <n v="18.3"/>
    <n v="0"/>
    <n v="0"/>
    <s v="DIESEL"/>
    <n v="71"/>
    <n v="0"/>
    <n v="71"/>
    <n v="0"/>
    <n v="1440"/>
    <n v="24"/>
    <n v="20"/>
    <n v="24"/>
    <n v="22"/>
    <n v="0"/>
    <n v="24"/>
    <n v="0"/>
    <n v="24"/>
    <n v="24"/>
    <n v="24"/>
    <n v="449.09248900885234"/>
    <m/>
    <m/>
    <n v="1345.2785867377645"/>
  </r>
  <r>
    <x v="128"/>
    <x v="4"/>
    <n v="0"/>
    <n v="1387"/>
    <n v="1387"/>
    <n v="1539"/>
    <n v="0"/>
    <n v="0"/>
    <n v="15"/>
    <n v="1047"/>
    <n v="24"/>
    <n v="24"/>
    <n v="0"/>
    <n v="2586"/>
    <n v="1539"/>
    <n v="1539"/>
    <n v="0"/>
    <n v="0"/>
    <n v="1539000"/>
    <n v="1539000"/>
    <n v="1526.1289000000002"/>
    <n v="1526.1289000000002"/>
    <n v="0"/>
    <n v="0"/>
    <n v="1526128.9000000001"/>
    <n v="37.39"/>
    <n v="37.39"/>
    <n v="1576.39"/>
    <n v="0"/>
    <n v="1526.1289000000004"/>
    <n v="220.60403869047619"/>
    <n v="9.1918349454365078"/>
    <n v="2"/>
    <n v="2"/>
    <n v="0"/>
    <n v="44.08"/>
    <n v="1.52"/>
    <n v="401.54151958438558"/>
    <n v="12046.245587531568"/>
    <n v="6.4400000000000013"/>
    <n v="1701.2680171864761"/>
    <n v="52.04"/>
    <n v="13747.513604718044"/>
    <n v="0"/>
    <n v="11013"/>
    <n v="41.688739977191993"/>
    <n v="0"/>
    <n v="0"/>
    <n v="0"/>
    <n v="0"/>
    <n v="0.26091066899570214"/>
    <n v="200.77075979219279"/>
    <n v="200.77075979219279"/>
    <n v="1.1054373081133697"/>
    <n v="10.245184480963214"/>
    <n v="357718"/>
    <n v="12663"/>
    <n v="357712"/>
    <n v="357712"/>
    <n v="12584.222473898049"/>
    <n v="-78.777526101950571"/>
    <n v="-6.26002331612854E-3"/>
    <n v="8228.0701754385955"/>
    <n v="0"/>
    <n v="7982.9372641909986"/>
    <n v="8245.8450750117172"/>
    <n v="0.23243144899285251"/>
    <n v="28.178605320095997"/>
    <n v="28.8"/>
    <n v="0"/>
    <n v="0"/>
    <s v="DIESEL"/>
    <n v="71"/>
    <n v="0"/>
    <n v="71"/>
    <n v="0"/>
    <n v="1440"/>
    <n v="18"/>
    <n v="24"/>
    <n v="24"/>
    <n v="24"/>
    <n v="0"/>
    <n v="24"/>
    <n v="22"/>
    <n v="24"/>
    <n v="24"/>
    <n v="6"/>
    <n v="401.54151958438558"/>
    <m/>
    <m/>
    <n v="1807.5987000731545"/>
  </r>
  <r>
    <x v="129"/>
    <x v="4"/>
    <n v="0"/>
    <n v="1409"/>
    <n v="1409"/>
    <n v="1529"/>
    <n v="13"/>
    <n v="885"/>
    <n v="3"/>
    <n v="213"/>
    <n v="24"/>
    <n v="24"/>
    <n v="0"/>
    <n v="2627"/>
    <n v="1529"/>
    <n v="1529"/>
    <n v="0"/>
    <n v="0"/>
    <n v="1529000"/>
    <n v="1529000"/>
    <n v="1514.2041000000004"/>
    <n v="1514.2041000000004"/>
    <n v="0"/>
    <n v="0"/>
    <n v="1514204.1000000003"/>
    <n v="38.799999999999997"/>
    <n v="38.799999999999997"/>
    <n v="1567.8"/>
    <n v="0"/>
    <n v="1514.2040999999997"/>
    <n v="191.23366071428575"/>
    <n v="7.9680691964285728"/>
    <n v="2"/>
    <n v="1"/>
    <n v="0"/>
    <n v="24.7"/>
    <n v="1.27"/>
    <n v="335.49850649484847"/>
    <n v="6860.5481997411143"/>
    <n v="8.0900000000000016"/>
    <n v="2137.1519035774213"/>
    <n v="34.06"/>
    <n v="8997.7001033185352"/>
    <n v="10970"/>
    <n v="0"/>
    <n v="41.525967270479995"/>
    <n v="0"/>
    <n v="0"/>
    <n v="0"/>
    <n v="0"/>
    <n v="0.21942348364607486"/>
    <n v="167.74925324742424"/>
    <n v="335.49850649484847"/>
    <n v="1.3977448682651545"/>
    <n v="11.246967883878909"/>
    <n v="378136"/>
    <n v="13385"/>
    <n v="378134"/>
    <n v="378134"/>
    <n v="13302.663542025331"/>
    <n v="-82.336457974668519"/>
    <n v="-6.1894715832324799E-3"/>
    <n v="8754.0876389797268"/>
    <n v="0"/>
    <n v="8484.9238053484714"/>
    <n v="8785.2513026647648"/>
    <n v="0.2473080444735121"/>
    <n v="0"/>
    <n v="0"/>
    <n v="0"/>
    <n v="0"/>
    <s v="DIESEL"/>
    <n v="71"/>
    <n v="0"/>
    <n v="71"/>
    <n v="0"/>
    <n v="1440"/>
    <n v="24"/>
    <n v="16"/>
    <n v="24"/>
    <n v="24"/>
    <n v="0"/>
    <n v="14"/>
    <n v="24"/>
    <n v="24"/>
    <n v="16"/>
    <n v="24"/>
    <n v="335.49850649484847"/>
    <m/>
    <m/>
    <n v="1183.0670969348894"/>
  </r>
  <r>
    <x v="130"/>
    <x v="4"/>
    <n v="0"/>
    <n v="2838"/>
    <n v="1429"/>
    <n v="1566"/>
    <n v="7"/>
    <n v="497"/>
    <n v="8"/>
    <n v="568"/>
    <n v="24"/>
    <n v="24"/>
    <n v="0"/>
    <n v="2631"/>
    <n v="1566"/>
    <n v="1566"/>
    <n v="0"/>
    <n v="0"/>
    <n v="1566000"/>
    <n v="1566000"/>
    <n v="1552.6091999999999"/>
    <n v="1552.6091999999999"/>
    <n v="0"/>
    <n v="0"/>
    <n v="1552609.2"/>
    <n v="38.04"/>
    <n v="38.04"/>
    <n v="1604.04"/>
    <n v="0"/>
    <n v="1552.6092000000001"/>
    <n v="198.52293750000001"/>
    <n v="8.2717890624999999"/>
    <n v="2"/>
    <n v="2"/>
    <n v="0"/>
    <n v="57.49"/>
    <n v="1.87"/>
    <n v="494.00173790973753"/>
    <n v="15681.25302797969"/>
    <n v="7.629999999999999"/>
    <n v="2015.6327594926722"/>
    <n v="66.990000000000009"/>
    <n v="17696.885787472365"/>
    <n v="21822"/>
    <n v="0"/>
    <n v="82.605255950447997"/>
    <n v="0"/>
    <n v="0"/>
    <n v="0"/>
    <n v="0"/>
    <n v="0.31545449419523469"/>
    <n v="247.00086895486876"/>
    <n v="247.00086895486876"/>
    <n v="1.2871218132137114"/>
    <n v="10.737886324647059"/>
    <n v="354843"/>
    <n v="12561"/>
    <n v="354645"/>
    <n v="354645"/>
    <n v="12476.326148565255"/>
    <n v="-84.673851434745302"/>
    <n v="-6.7867616176804238E-3"/>
    <n v="8021.0727969348663"/>
    <n v="0"/>
    <n v="7778.0642306708405"/>
    <n v="8035.7157155614286"/>
    <n v="0.22646551724137931"/>
    <n v="0"/>
    <n v="0"/>
    <n v="0"/>
    <n v="0"/>
    <s v="DIESEL"/>
    <n v="71"/>
    <n v="0"/>
    <n v="71"/>
    <n v="0"/>
    <n v="1440"/>
    <n v="22"/>
    <n v="24"/>
    <n v="24"/>
    <n v="1"/>
    <n v="0"/>
    <n v="24"/>
    <n v="24"/>
    <n v="23"/>
    <n v="24"/>
    <n v="23"/>
    <n v="494.00173790973753"/>
    <m/>
    <m/>
    <n v="2326.883876208698"/>
  </r>
  <r>
    <x v="131"/>
    <x v="4"/>
    <n v="0"/>
    <n v="1461"/>
    <n v="1461"/>
    <n v="1591"/>
    <n v="9"/>
    <n v="618"/>
    <n v="1"/>
    <n v="71"/>
    <n v="24"/>
    <n v="24"/>
    <n v="0"/>
    <n v="2280"/>
    <n v="1591"/>
    <n v="1591"/>
    <n v="0"/>
    <n v="0"/>
    <n v="1591000"/>
    <n v="1591000"/>
    <n v="1575.4342000000004"/>
    <n v="1575.4342000000004"/>
    <n v="0"/>
    <n v="0"/>
    <n v="1575434.2000000004"/>
    <n v="38.33"/>
    <n v="38.33"/>
    <n v="1629.33"/>
    <n v="0"/>
    <n v="1575.4341999999999"/>
    <n v="204.80957678571434"/>
    <n v="8.5337323660714315"/>
    <n v="1"/>
    <n v="1"/>
    <n v="0"/>
    <n v="43.42"/>
    <n v="1.68"/>
    <n v="443.80904796168937"/>
    <n v="11914.159561352493"/>
    <n v="7.5500000000000007"/>
    <n v="1994.4989953040208"/>
    <n v="52.650000000000006"/>
    <n v="13908.658556656517"/>
    <n v="11018"/>
    <n v="10827"/>
    <n v="82.692320421479991"/>
    <n v="0"/>
    <n v="0"/>
    <n v="0"/>
    <n v="0"/>
    <n v="0.2789497473046445"/>
    <n v="443.80904796168937"/>
    <n v="443.80904796168937"/>
    <n v="1.2536134477083727"/>
    <n v="10.804715564082903"/>
    <n v="353453"/>
    <n v="12512"/>
    <n v="353547"/>
    <n v="353547"/>
    <n v="12437.698771579466"/>
    <n v="-74.301228420534244"/>
    <n v="-5.9738726419645161E-3"/>
    <n v="7864.2363293526087"/>
    <n v="0"/>
    <n v="7633.6277927611145"/>
    <n v="7894.7751493394417"/>
    <n v="0.22221684475172848"/>
    <n v="0"/>
    <n v="50.64"/>
    <n v="0"/>
    <n v="0"/>
    <s v="DIESEL"/>
    <n v="71"/>
    <n v="0"/>
    <n v="71"/>
    <n v="0"/>
    <n v="1440"/>
    <n v="24"/>
    <n v="24"/>
    <n v="24"/>
    <n v="0"/>
    <n v="0"/>
    <n v="24"/>
    <n v="24"/>
    <n v="24"/>
    <n v="24"/>
    <n v="24"/>
    <n v="443.80904796168937"/>
    <m/>
    <m/>
    <n v="1828.7869246512605"/>
  </r>
  <r>
    <x v="132"/>
    <x v="4"/>
    <n v="0"/>
    <n v="1326"/>
    <n v="1326"/>
    <n v="1395"/>
    <n v="3"/>
    <n v="196"/>
    <n v="8"/>
    <n v="568"/>
    <n v="24"/>
    <n v="24"/>
    <n v="0"/>
    <n v="2159"/>
    <n v="1395"/>
    <n v="1395"/>
    <n v="0"/>
    <n v="0"/>
    <n v="1395000"/>
    <n v="1395000"/>
    <n v="1381.9936999999998"/>
    <n v="1381.9936999999998"/>
    <n v="0"/>
    <n v="0"/>
    <n v="1381993.6999999997"/>
    <n v="36.78"/>
    <n v="36.78"/>
    <n v="1431.78"/>
    <n v="0"/>
    <n v="1381.9937"/>
    <n v="172.74921249999997"/>
    <n v="7.1978838541666654"/>
    <n v="0"/>
    <n v="0"/>
    <n v="0"/>
    <n v="36.9"/>
    <n v="1.7"/>
    <n v="449.09248900885234"/>
    <n v="10197.041221024529"/>
    <n v="7.5799999999999992"/>
    <n v="2002.4241568747648"/>
    <n v="46.18"/>
    <n v="12199.465377899294"/>
    <n v="0"/>
    <n v="0"/>
    <n v="0"/>
    <n v="0"/>
    <n v="0"/>
    <n v="0"/>
    <n v="0"/>
    <n v="0.32193009964792285"/>
    <n v="0"/>
    <n v="0"/>
    <n v="1.435429503136032"/>
    <n v="10.429292483722733"/>
    <n v="330958"/>
    <n v="11715"/>
    <n v="330619"/>
    <n v="330619"/>
    <n v="11631.09722373781"/>
    <n v="-83.902776262189946"/>
    <n v="-7.2136596099423422E-3"/>
    <n v="8397.8494623655915"/>
    <n v="0"/>
    <n v="8123.5226248011631"/>
    <n v="8416.1723919130836"/>
    <n v="0.23700286738351253"/>
    <n v="0"/>
    <n v="0"/>
    <n v="0"/>
    <n v="0"/>
    <s v="DIESEL"/>
    <n v="71"/>
    <n v="0"/>
    <n v="71"/>
    <n v="0"/>
    <n v="1440"/>
    <n v="23"/>
    <n v="23"/>
    <n v="23"/>
    <n v="0"/>
    <n v="0"/>
    <n v="23"/>
    <n v="22"/>
    <n v="22"/>
    <n v="23"/>
    <n v="22"/>
    <n v="449.09248900885234"/>
    <m/>
    <m/>
    <n v="1604.0528049457776"/>
  </r>
  <r>
    <x v="133"/>
    <x v="4"/>
    <n v="0"/>
    <n v="1308"/>
    <n v="1308"/>
    <n v="1397"/>
    <n v="0"/>
    <n v="0"/>
    <n v="5"/>
    <n v="355"/>
    <n v="24"/>
    <n v="24"/>
    <n v="0"/>
    <n v="1752"/>
    <n v="1397"/>
    <n v="1397"/>
    <n v="0"/>
    <n v="0"/>
    <n v="1397000"/>
    <n v="1397000"/>
    <n v="1383.6443999999997"/>
    <n v="1383.6443999999997"/>
    <n v="0"/>
    <n v="0"/>
    <n v="1383644.3999999997"/>
    <n v="39.049999999999997"/>
    <n v="39.049999999999997"/>
    <n v="1436.05"/>
    <n v="0"/>
    <n v="1383.6443999999999"/>
    <n v="197.66348571428574"/>
    <n v="8.2359785714285731"/>
    <n v="0"/>
    <n v="1"/>
    <n v="0"/>
    <n v="32.9"/>
    <n v="1.6"/>
    <n v="422.67528377303745"/>
    <n v="9113.9358063561212"/>
    <n v="8.15"/>
    <n v="2153.0022267189097"/>
    <n v="42.65"/>
    <n v="11266.93803307503"/>
    <n v="0"/>
    <n v="0"/>
    <n v="0"/>
    <n v="0"/>
    <n v="0"/>
    <n v="0"/>
    <n v="0"/>
    <n v="0.30255925824841623"/>
    <n v="0"/>
    <n v="422.67528377303745"/>
    <n v="1.5411612217028703"/>
    <n v="12.815489444755412"/>
    <n v="334964"/>
    <n v="11857"/>
    <n v="334653"/>
    <n v="334653"/>
    <n v="11773.012377436049"/>
    <n v="-83.987622563950936"/>
    <n v="-7.133911005217335E-3"/>
    <n v="8487.4731567644958"/>
    <n v="0"/>
    <n v="8198.1911336207304"/>
    <n v="8508.6980277852108"/>
    <n v="0.2395511811023622"/>
    <n v="0"/>
    <n v="49.8"/>
    <n v="0"/>
    <n v="0"/>
    <s v="DIESEL"/>
    <n v="71"/>
    <n v="0"/>
    <n v="71"/>
    <n v="0"/>
    <n v="1440"/>
    <n v="24"/>
    <n v="22"/>
    <n v="24"/>
    <n v="0"/>
    <n v="1"/>
    <n v="24"/>
    <n v="23"/>
    <n v="24"/>
    <n v="24"/>
    <n v="24"/>
    <n v="422.67528377303745"/>
    <m/>
    <m/>
    <n v="1481.4389807478869"/>
  </r>
  <r>
    <x v="134"/>
    <x v="4"/>
    <n v="0"/>
    <n v="1388"/>
    <n v="1388"/>
    <n v="1432"/>
    <n v="0"/>
    <n v="0"/>
    <n v="4"/>
    <n v="284"/>
    <n v="24"/>
    <n v="24"/>
    <n v="0"/>
    <n v="1716"/>
    <n v="1432"/>
    <n v="1432"/>
    <n v="0"/>
    <n v="0"/>
    <n v="1432000"/>
    <n v="1432000"/>
    <n v="1419.3898000000002"/>
    <n v="1419.3898000000002"/>
    <n v="0"/>
    <n v="0"/>
    <n v="1419389.8"/>
    <n v="39.79"/>
    <n v="39.79"/>
    <n v="1471.79"/>
    <n v="0"/>
    <n v="1419.3898000000002"/>
    <n v="194.75549821428569"/>
    <n v="8.1148124255952379"/>
    <n v="3"/>
    <n v="3"/>
    <n v="0"/>
    <n v="34.9"/>
    <n v="1.7"/>
    <n v="449.09248900885234"/>
    <n v="9668.6971163082326"/>
    <n v="9.5500000000000007"/>
    <n v="2522.8431000203173"/>
    <n v="46.15"/>
    <n v="12191.540216328549"/>
    <n v="22017"/>
    <n v="0"/>
    <n v="83.34341124832801"/>
    <n v="0"/>
    <n v="0"/>
    <n v="0"/>
    <n v="0"/>
    <n v="0.31361207333020413"/>
    <n v="149.6974963362841"/>
    <n v="149.6974963362841"/>
    <n v="1.7617619413549701"/>
    <n v="14.462633640262323"/>
    <n v="340555"/>
    <n v="12055"/>
    <n v="340027"/>
    <n v="340027"/>
    <n v="11962.068410151553"/>
    <n v="-92.931589848447402"/>
    <n v="-7.7688562430876457E-3"/>
    <n v="8418.2960893854743"/>
    <n v="0"/>
    <n v="8127.5646730522376"/>
    <n v="8427.6133378946015"/>
    <n v="0.23744902234636872"/>
    <n v="0"/>
    <n v="0"/>
    <n v="0"/>
    <n v="0"/>
    <s v="DIESEL"/>
    <n v="71"/>
    <n v="0"/>
    <n v="71"/>
    <n v="0"/>
    <n v="1440"/>
    <n v="24"/>
    <n v="24"/>
    <n v="24"/>
    <n v="0"/>
    <n v="4"/>
    <n v="24"/>
    <n v="24"/>
    <n v="24"/>
    <n v="24"/>
    <n v="24"/>
    <n v="449.09248900885234"/>
    <m/>
    <m/>
    <n v="1603.0107611140672"/>
  </r>
  <r>
    <x v="135"/>
    <x v="4"/>
    <n v="0"/>
    <n v="1540"/>
    <n v="1540"/>
    <n v="1559"/>
    <n v="0"/>
    <n v="0"/>
    <n v="3"/>
    <n v="213"/>
    <n v="24"/>
    <n v="24"/>
    <n v="0"/>
    <n v="1772"/>
    <n v="1559"/>
    <n v="1559"/>
    <n v="0"/>
    <n v="0"/>
    <n v="1559000"/>
    <n v="1559000"/>
    <n v="1544.5053999999998"/>
    <n v="1544.5053999999998"/>
    <n v="0"/>
    <n v="0"/>
    <n v="1544505.3999999997"/>
    <n v="37.909999999999997"/>
    <n v="37.909999999999997"/>
    <n v="1596.91"/>
    <n v="0"/>
    <n v="1419.3898000000002"/>
    <n v="220.64362857142854"/>
    <n v="9.1934845238095217"/>
    <n v="0"/>
    <n v="0"/>
    <n v="0"/>
    <n v="35.200000000000003"/>
    <n v="1.8"/>
    <n v="475.50969424466717"/>
    <n v="9774.3659372514921"/>
    <n v="9.5399999999999991"/>
    <n v="2520.2013794967361"/>
    <n v="46.540000000000006"/>
    <n v="12294.567316748229"/>
    <n v="22034"/>
    <n v="0"/>
    <n v="83.407763248655996"/>
    <n v="0"/>
    <n v="0"/>
    <n v="0"/>
    <n v="0"/>
    <n v="0.30500942542954917"/>
    <n v="0"/>
    <n v="0"/>
    <n v="1.6165499547766107"/>
    <n v="15.001198687480573"/>
    <n v="363796"/>
    <n v="12878"/>
    <n v="363791"/>
    <n v="363791"/>
    <n v="12798.080237738308"/>
    <n v="-79.919762261692085"/>
    <n v="-6.2446680109122053E-3"/>
    <n v="8260.4233483001917"/>
    <n v="0"/>
    <n v="8014.2777224378997"/>
    <n v="8286.1997360050082"/>
    <n v="0.23334894162924952"/>
    <n v="0"/>
    <n v="0"/>
    <n v="0"/>
    <n v="0"/>
    <s v="DIESEL"/>
    <n v="71"/>
    <n v="0"/>
    <n v="71"/>
    <n v="0"/>
    <n v="1440"/>
    <n v="24"/>
    <n v="24"/>
    <n v="24"/>
    <n v="0"/>
    <n v="24"/>
    <n v="0"/>
    <n v="21"/>
    <n v="24"/>
    <n v="24"/>
    <n v="24"/>
    <n v="475.50969424466717"/>
    <m/>
    <m/>
    <n v="1616.5573309262993"/>
  </r>
  <r>
    <x v="136"/>
    <x v="4"/>
    <n v="0"/>
    <n v="1334"/>
    <n v="1449"/>
    <n v="1541"/>
    <n v="7"/>
    <n v="497"/>
    <n v="0"/>
    <n v="0"/>
    <n v="24"/>
    <n v="24"/>
    <n v="0"/>
    <n v="2038"/>
    <n v="1541"/>
    <n v="1541"/>
    <n v="0"/>
    <n v="0"/>
    <n v="1541000"/>
    <n v="1541000"/>
    <n v="1526.6147000000001"/>
    <n v="1526.6147000000001"/>
    <n v="0"/>
    <n v="0"/>
    <n v="1526614.7000000002"/>
    <n v="37.51"/>
    <n v="37.51"/>
    <n v="1578.51"/>
    <n v="0"/>
    <n v="1544.5054000000002"/>
    <n v="213.72615357142857"/>
    <n v="8.9052563988095237"/>
    <n v="3"/>
    <n v="2"/>
    <n v="0"/>
    <n v="38.799999999999997"/>
    <n v="1.4"/>
    <n v="369.84087330140778"/>
    <n v="10619.716504797565"/>
    <n v="9.16"/>
    <n v="2419.8159996006398"/>
    <n v="49.36"/>
    <n v="13039.532504398207"/>
    <n v="22079"/>
    <n v="0"/>
    <n v="83.578106778935989"/>
    <n v="0"/>
    <n v="0"/>
    <n v="0"/>
    <n v="0"/>
    <n v="0.24000056671084216"/>
    <n v="123.28029110046926"/>
    <n v="184.92043665070389"/>
    <n v="1.5702894221937962"/>
    <n v="14.114728482022796"/>
    <n v="356006"/>
    <n v="12602"/>
    <n v="356000"/>
    <n v="356000"/>
    <n v="12523.994723989426"/>
    <n v="-78.005276010573652"/>
    <n v="-6.2284660549366353E-3"/>
    <n v="8177.8066190785203"/>
    <n v="8935.09"/>
    <n v="7934.0610601069529"/>
    <n v="8203.7692444527256"/>
    <n v="0.23101881894873458"/>
    <n v="0"/>
    <n v="0"/>
    <n v="0"/>
    <n v="0"/>
    <s v="DIESEL"/>
    <n v="71"/>
    <n v="0"/>
    <n v="71"/>
    <n v="0"/>
    <n v="1440"/>
    <n v="22"/>
    <n v="23"/>
    <n v="4"/>
    <n v="0"/>
    <n v="24"/>
    <n v="23"/>
    <n v="22"/>
    <n v="19"/>
    <n v="24"/>
    <n v="24"/>
    <n v="369.84087330140778"/>
    <m/>
    <m/>
    <n v="1714.5094511070504"/>
  </r>
  <r>
    <x v="137"/>
    <x v="4"/>
    <n v="0"/>
    <n v="1347"/>
    <n v="1347"/>
    <n v="1412"/>
    <n v="3"/>
    <n v="213"/>
    <n v="2"/>
    <n v="142"/>
    <n v="24"/>
    <n v="24"/>
    <n v="0"/>
    <n v="1767"/>
    <n v="1412"/>
    <n v="1412"/>
    <n v="0"/>
    <n v="0"/>
    <n v="1412000"/>
    <n v="1412000"/>
    <n v="1398.8067999999998"/>
    <n v="1398.8067999999998"/>
    <n v="0"/>
    <n v="0"/>
    <n v="1398806.7999999998"/>
    <n v="37.979999999999997"/>
    <n v="37.979999999999997"/>
    <n v="1449.98"/>
    <n v="0"/>
    <n v="1398.8067999999998"/>
    <n v="197.77270535714285"/>
    <n v="8.2405293898809528"/>
    <n v="2"/>
    <n v="3"/>
    <n v="0"/>
    <n v="28.4"/>
    <n v="1.2"/>
    <n v="317.00646282977812"/>
    <n v="7819.4927498011921"/>
    <n v="9.16"/>
    <n v="2419.8159996006398"/>
    <n v="38.76"/>
    <n v="10239.308749401833"/>
    <n v="11046"/>
    <n v="11008"/>
    <n v="83.483471484335993"/>
    <n v="0"/>
    <n v="0"/>
    <n v="0"/>
    <n v="0"/>
    <n v="0.22450882636669839"/>
    <n v="158.50323141488906"/>
    <n v="105.66882094325938"/>
    <n v="1.7137507079324645"/>
    <n v="14.25035252676024"/>
    <n v="341200"/>
    <n v="12078"/>
    <n v="341189"/>
    <n v="341189"/>
    <n v="12002.94729180682"/>
    <n v="-75.052708193179569"/>
    <n v="-6.252856600012761E-3"/>
    <n v="8553.8243626062322"/>
    <n v="8963.15"/>
    <n v="8278.0088634373024"/>
    <n v="8580.8471132731283"/>
    <n v="0.24163526912181302"/>
    <n v="31.941304633392001"/>
    <n v="0"/>
    <n v="0"/>
    <n v="0"/>
    <s v="DIESEL"/>
    <n v="71"/>
    <n v="0"/>
    <n v="71"/>
    <n v="0"/>
    <n v="1440"/>
    <n v="4"/>
    <n v="19"/>
    <n v="24"/>
    <n v="0"/>
    <n v="24"/>
    <n v="24"/>
    <n v="24"/>
    <n v="24"/>
    <n v="21"/>
    <n v="24"/>
    <n v="317.00646282977812"/>
    <m/>
    <m/>
    <n v="1346.3206305694746"/>
  </r>
  <r>
    <x v="138"/>
    <x v="4"/>
    <n v="0"/>
    <n v="1292"/>
    <n v="1292"/>
    <n v="1356"/>
    <n v="0"/>
    <n v="0"/>
    <n v="3"/>
    <n v="213"/>
    <n v="24"/>
    <n v="24"/>
    <n v="0"/>
    <n v="1569"/>
    <n v="1356"/>
    <n v="1356"/>
    <n v="0"/>
    <n v="0"/>
    <n v="1356000"/>
    <n v="1356000"/>
    <n v="1344.1147999999998"/>
    <n v="1344.1147999999998"/>
    <n v="0"/>
    <n v="0"/>
    <n v="1344114.7999999998"/>
    <n v="37.880000000000003"/>
    <n v="37.880000000000003"/>
    <n v="1393.88"/>
    <n v="0"/>
    <n v="1344.1148000000001"/>
    <n v="170.93162857142858"/>
    <n v="7.1221511904761909"/>
    <n v="1"/>
    <n v="0"/>
    <n v="0"/>
    <n v="33.96"/>
    <n v="1.6"/>
    <n v="422.67528377303745"/>
    <n v="9393.9581818557581"/>
    <n v="6.6399999999999988"/>
    <n v="1754.1024276581054"/>
    <n v="42.2"/>
    <n v="11148.060609513863"/>
    <n v="22023"/>
    <n v="0"/>
    <n v="83.366123719031989"/>
    <n v="0"/>
    <n v="0"/>
    <n v="0"/>
    <n v="0"/>
    <n v="0.31170743641079457"/>
    <n v="422.67528377303745"/>
    <n v="0"/>
    <n v="1.2935858611047975"/>
    <n v="9.2951609791791956"/>
    <n v="321190"/>
    <n v="11370"/>
    <n v="318359"/>
    <n v="318359"/>
    <n v="11199.793360490308"/>
    <n v="-170.20663950969174"/>
    <n v="-1.5197301774346342E-2"/>
    <n v="8384.9557522123905"/>
    <n v="8944.27"/>
    <n v="8034.9767271862047"/>
    <n v="8332.4678520691177"/>
    <n v="0.23477802359882005"/>
    <n v="0"/>
    <n v="0"/>
    <n v="0"/>
    <n v="0"/>
    <s v="DIESEL"/>
    <n v="71"/>
    <n v="0"/>
    <n v="71"/>
    <n v="0"/>
    <n v="1440"/>
    <n v="23"/>
    <n v="24"/>
    <n v="24"/>
    <n v="0"/>
    <n v="24"/>
    <n v="24"/>
    <n v="17"/>
    <n v="24"/>
    <n v="24"/>
    <n v="5"/>
    <n v="422.67528377303745"/>
    <m/>
    <m/>
    <n v="1465.8083232722349"/>
  </r>
  <r>
    <x v="139"/>
    <x v="4"/>
    <n v="0"/>
    <n v="1324"/>
    <n v="1324"/>
    <n v="1440"/>
    <n v="0"/>
    <n v="0"/>
    <n v="7"/>
    <n v="497"/>
    <n v="24"/>
    <n v="24"/>
    <n v="0"/>
    <n v="1937"/>
    <n v="1440"/>
    <n v="1440"/>
    <n v="0"/>
    <n v="0"/>
    <n v="1440000"/>
    <n v="1440000"/>
    <n v="1425.9211"/>
    <n v="1425.9211"/>
    <n v="0"/>
    <n v="0"/>
    <n v="1425921.1"/>
    <n v="38.26"/>
    <n v="38.26"/>
    <n v="1478.26"/>
    <n v="0"/>
    <n v="1425.9211000000005"/>
    <n v="182.28752480158727"/>
    <n v="7.5953135333994695"/>
    <n v="3"/>
    <n v="3"/>
    <n v="0"/>
    <n v="29.4"/>
    <n v="1.8"/>
    <n v="475.50969424466717"/>
    <n v="8242.1680335742312"/>
    <n v="6.2899999999999983"/>
    <n v="1661.6422093327531"/>
    <n v="37.489999999999995"/>
    <n v="9903.8102429069822"/>
    <n v="11015"/>
    <n v="0"/>
    <n v="41.696310800760003"/>
    <n v="0"/>
    <n v="0"/>
    <n v="0"/>
    <n v="0"/>
    <n v="0.33021506544768553"/>
    <n v="158.50323141488906"/>
    <n v="158.50323141488906"/>
    <n v="1.1539182009255229"/>
    <n v="10.138901491903058"/>
    <n v="343280"/>
    <n v="12152"/>
    <n v="343052"/>
    <n v="343052"/>
    <n v="12068.487185545002"/>
    <n v="-83.512814454998079"/>
    <n v="-6.9199074557600992E-3"/>
    <n v="8438.8888888888887"/>
    <n v="8956.33"/>
    <n v="8163.9814278577524"/>
    <n v="8463.6430343481152"/>
    <n v="0.23823055555555556"/>
    <n v="0"/>
    <n v="40.799999999999997"/>
    <n v="0"/>
    <n v="0"/>
    <s v="DIESEL"/>
    <n v="71"/>
    <n v="0"/>
    <n v="71"/>
    <n v="0"/>
    <n v="1440"/>
    <n v="24"/>
    <n v="24"/>
    <n v="24"/>
    <n v="0"/>
    <n v="18"/>
    <n v="24"/>
    <n v="24"/>
    <n v="12"/>
    <n v="18"/>
    <n v="24"/>
    <n v="475.50969424466717"/>
    <m/>
    <m/>
    <n v="1302.207441693746"/>
  </r>
  <r>
    <x v="140"/>
    <x v="4"/>
    <n v="0"/>
    <n v="1326"/>
    <n v="1326"/>
    <n v="1368"/>
    <n v="0"/>
    <n v="0"/>
    <n v="1"/>
    <n v="71"/>
    <n v="24"/>
    <n v="24"/>
    <n v="0"/>
    <n v="1439"/>
    <n v="1368"/>
    <n v="1368"/>
    <n v="0"/>
    <n v="0"/>
    <n v="1368000"/>
    <n v="1368000"/>
    <n v="1356.2450999999999"/>
    <n v="1356.2450999999999"/>
    <n v="0"/>
    <n v="0"/>
    <n v="1356245.0999999999"/>
    <n v="37.96"/>
    <n v="37.96"/>
    <n v="1405.96"/>
    <n v="0"/>
    <n v="1356.2451000000001"/>
    <n v="169.53063749999998"/>
    <n v="7.0637765624999993"/>
    <n v="0"/>
    <n v="0"/>
    <n v="0"/>
    <n v="26.79"/>
    <n v="1.05"/>
    <n v="277.38065497605584"/>
    <n v="7354.5499376508524"/>
    <n v="6.8999999999999986"/>
    <n v="1822.7871612712236"/>
    <n v="34.739999999999995"/>
    <n v="9177.3370989220748"/>
    <n v="0"/>
    <n v="0"/>
    <n v="0"/>
    <n v="0"/>
    <n v="0"/>
    <n v="0"/>
    <n v="0"/>
    <n v="0.20276363667840339"/>
    <n v="0"/>
    <n v="0"/>
    <n v="1.3324467553152219"/>
    <n v="9.4936831316209602"/>
    <n v="331689"/>
    <n v="11741"/>
    <n v="331615"/>
    <n v="331615"/>
    <n v="11666.136265156611"/>
    <n v="-74.863734843389466"/>
    <n v="-6.4171833023231421E-3"/>
    <n v="8582.6023391812869"/>
    <n v="8919.41"/>
    <n v="8297.6302776441789"/>
    <n v="8601.7905356167648"/>
    <n v="0.24240862573099414"/>
    <n v="0"/>
    <n v="3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4"/>
    <n v="277.38065497605584"/>
    <m/>
    <m/>
    <n v="1206.6867571203184"/>
  </r>
  <r>
    <x v="141"/>
    <x v="4"/>
    <n v="0"/>
    <n v="1290"/>
    <n v="1290"/>
    <n v="1370"/>
    <n v="0"/>
    <n v="0"/>
    <n v="3"/>
    <n v="213"/>
    <n v="24"/>
    <n v="24"/>
    <n v="0"/>
    <n v="1583"/>
    <n v="1370"/>
    <n v="1370"/>
    <n v="0"/>
    <n v="0"/>
    <n v="1370000"/>
    <n v="1370000"/>
    <n v="1357.5198"/>
    <n v="1357.5198"/>
    <n v="0"/>
    <n v="0"/>
    <n v="1357519.8"/>
    <n v="37.83"/>
    <n v="37.83"/>
    <n v="1407.83"/>
    <n v="0"/>
    <n v="1357.5198000000003"/>
    <n v="169.689975"/>
    <n v="7.0704156249999999"/>
    <n v="0"/>
    <n v="0"/>
    <n v="0"/>
    <n v="31.4"/>
    <n v="1.8"/>
    <n v="475.50969424466717"/>
    <n v="8770.5121382905254"/>
    <n v="6.2300000000000013"/>
    <n v="1645.7918861912649"/>
    <n v="39.43"/>
    <n v="10416.304024481793"/>
    <n v="0"/>
    <n v="0"/>
    <n v="0"/>
    <n v="0"/>
    <n v="0"/>
    <n v="0"/>
    <n v="0"/>
    <n v="0.34708736806180085"/>
    <n v="0"/>
    <n v="0"/>
    <n v="1.2013079461250109"/>
    <n v="8.5718327405795023"/>
    <n v="326245"/>
    <n v="11549"/>
    <n v="325939"/>
    <n v="325939"/>
    <n v="11466.455944781994"/>
    <n v="-82.544055218006179"/>
    <n v="-7.1987417573055133E-3"/>
    <n v="8429.9270072992695"/>
    <n v="8986.34"/>
    <n v="8144.7731223102173"/>
    <n v="8446.6215113635863"/>
    <n v="0.23791167883211678"/>
    <n v="0"/>
    <n v="9.6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4"/>
    <n v="475.50969424466717"/>
    <m/>
    <m/>
    <n v="1369.5929428110007"/>
  </r>
  <r>
    <x v="142"/>
    <x v="4"/>
    <n v="0"/>
    <n v="1345"/>
    <n v="1345"/>
    <n v="1414"/>
    <n v="0"/>
    <n v="0"/>
    <n v="6"/>
    <n v="426"/>
    <n v="24"/>
    <n v="24"/>
    <n v="0"/>
    <n v="1840"/>
    <n v="1414"/>
    <n v="1414"/>
    <n v="0"/>
    <n v="0"/>
    <n v="1414000"/>
    <n v="1414000"/>
    <n v="1401.7280000000001"/>
    <n v="1401.7280000000001"/>
    <n v="0"/>
    <n v="0"/>
    <n v="1401728"/>
    <n v="37.54"/>
    <n v="37.54"/>
    <n v="1451.54"/>
    <n v="0"/>
    <n v="1401.7280000000001"/>
    <n v="177.090125"/>
    <n v="7.3787552083333336"/>
    <n v="1"/>
    <n v="1"/>
    <n v="0"/>
    <n v="78.87"/>
    <n v="1.1299999999999999"/>
    <n v="298.5144191647077"/>
    <n v="21133.764188651872"/>
    <n v="6.3699999999999983"/>
    <n v="1682.7759735214049"/>
    <n v="86.37"/>
    <n v="22816.540162173278"/>
    <n v="10993"/>
    <n v="11012"/>
    <n v="83.297986306919995"/>
    <n v="0"/>
    <n v="0"/>
    <n v="0"/>
    <n v="0"/>
    <n v="0.21111345061153303"/>
    <n v="298.5144191647077"/>
    <n v="298.5144191647077"/>
    <n v="1.1900820180490841"/>
    <n v="8.8588053569804686"/>
    <n v="291176"/>
    <n v="10307"/>
    <n v="291176"/>
    <n v="291176"/>
    <n v="10243.501931888612"/>
    <n v="-63.49806811138842"/>
    <n v="-6.198863292417145E-3"/>
    <n v="7289.2503536067888"/>
    <n v="9056.3700000000008"/>
    <n v="7056.9890818638223"/>
    <n v="7307.7672215213015"/>
    <n v="0.20592362093352193"/>
    <n v="0"/>
    <n v="0"/>
    <n v="0"/>
    <n v="0"/>
    <s v="DIESEL"/>
    <n v="71"/>
    <n v="0"/>
    <n v="71"/>
    <n v="0"/>
    <n v="1440"/>
    <n v="24"/>
    <n v="24"/>
    <n v="24"/>
    <n v="0"/>
    <n v="22"/>
    <n v="24"/>
    <n v="24"/>
    <n v="0"/>
    <n v="24"/>
    <n v="24"/>
    <n v="298.5144191647077"/>
    <m/>
    <m/>
    <n v="3000.0441914934345"/>
  </r>
  <r>
    <x v="143"/>
    <x v="4"/>
    <n v="0"/>
    <n v="1437"/>
    <n v="1437"/>
    <n v="1408"/>
    <n v="0"/>
    <n v="0"/>
    <n v="1"/>
    <n v="71"/>
    <n v="24"/>
    <n v="24"/>
    <n v="0"/>
    <n v="1479"/>
    <n v="1408"/>
    <n v="1408"/>
    <n v="0"/>
    <n v="0"/>
    <n v="1408000"/>
    <n v="1408000"/>
    <n v="1394.0219000000002"/>
    <n v="1394.0219000000002"/>
    <n v="0"/>
    <n v="0"/>
    <n v="1394021.9000000001"/>
    <n v="37.78"/>
    <n v="37.78"/>
    <n v="1445.78"/>
    <n v="0"/>
    <n v="1394.0219"/>
    <n v="174.25273750000002"/>
    <n v="7.2605307291666676"/>
    <n v="0"/>
    <n v="0"/>
    <n v="0"/>
    <n v="42.8"/>
    <n v="1.6"/>
    <n v="422.67528377303745"/>
    <n v="11729.239124701789"/>
    <n v="6.4499999999999975"/>
    <n v="1703.9097377100566"/>
    <n v="50.849999999999994"/>
    <n v="13433.148862411845"/>
    <n v="21987"/>
    <n v="0"/>
    <n v="83.229848894808001"/>
    <n v="0"/>
    <n v="0"/>
    <n v="0"/>
    <n v="0"/>
    <n v="0.30019551404335049"/>
    <n v="0"/>
    <n v="0"/>
    <n v="1.210163165987256"/>
    <n v="8.8745298839065505"/>
    <n v="323560"/>
    <n v="11454"/>
    <n v="323551"/>
    <n v="323551"/>
    <n v="11382.446676801976"/>
    <n v="-71.553323198024373"/>
    <n v="-6.2862867035304287E-3"/>
    <n v="8134.943181818182"/>
    <n v="8973.5499999999993"/>
    <n v="7872.8760093527198"/>
    <n v="8165.1849779418626"/>
    <n v="0.22979474431818181"/>
    <n v="28.235386496855998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4"/>
    <n v="422.67528377303745"/>
    <m/>
    <m/>
    <n v="1766.2642947486527"/>
  </r>
  <r>
    <x v="144"/>
    <x v="4"/>
    <n v="0"/>
    <n v="1395"/>
    <n v="1395"/>
    <n v="1398"/>
    <n v="0"/>
    <n v="0"/>
    <n v="0"/>
    <n v="0"/>
    <n v="24"/>
    <n v="24"/>
    <n v="0"/>
    <n v="1398"/>
    <n v="1398"/>
    <n v="1398"/>
    <n v="0"/>
    <n v="0"/>
    <n v="1398000"/>
    <n v="1398000"/>
    <n v="1386.5944999999997"/>
    <n v="1386.5944999999997"/>
    <n v="0"/>
    <n v="0"/>
    <n v="1386594.4999999998"/>
    <n v="37.869999999999997"/>
    <n v="37.869999999999997"/>
    <n v="1435.87"/>
    <n v="0"/>
    <n v="1386.5944999999999"/>
    <n v="192.45118392857145"/>
    <n v="8.0187993303571439"/>
    <n v="0"/>
    <n v="1"/>
    <n v="0"/>
    <n v="29.5"/>
    <n v="1.4"/>
    <n v="369.84087330140778"/>
    <n v="8162.9164178667861"/>
    <n v="6.45"/>
    <n v="1703.9097377100572"/>
    <n v="37.35"/>
    <n v="9866.826155576844"/>
    <n v="22021"/>
    <n v="0"/>
    <n v="83.358552895464001"/>
    <n v="0"/>
    <n v="0"/>
    <n v="0"/>
    <n v="0"/>
    <n v="0.26454998090229453"/>
    <n v="0"/>
    <n v="369.84087330140778"/>
    <n v="1.2188195548712857"/>
    <n v="9.8533816850550426"/>
    <n v="333657"/>
    <n v="11811"/>
    <n v="333656"/>
    <n v="333656"/>
    <n v="11737.938156256787"/>
    <n v="-73.061843743213103"/>
    <n v="-6.2244188690215784E-3"/>
    <n v="8448.4978540772536"/>
    <n v="9042.24"/>
    <n v="8174.7916985916472"/>
    <n v="8465.299809177659"/>
    <n v="0.23866666666666667"/>
    <n v="0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4"/>
    <n v="369.84087330140778"/>
    <m/>
    <m/>
    <n v="1297.344570479099"/>
  </r>
  <r>
    <x v="145"/>
    <x v="4"/>
    <n v="0"/>
    <n v="1325"/>
    <n v="1325"/>
    <n v="1347"/>
    <n v="1"/>
    <n v="54"/>
    <n v="0"/>
    <n v="0"/>
    <n v="24"/>
    <n v="24"/>
    <n v="0"/>
    <n v="1401"/>
    <n v="1347"/>
    <n v="1347"/>
    <n v="0"/>
    <n v="0"/>
    <n v="1347000"/>
    <n v="1347000"/>
    <n v="1333.2207000000001"/>
    <n v="1333.2207000000001"/>
    <n v="0"/>
    <n v="0"/>
    <n v="1333220.7000000002"/>
    <n v="37.85"/>
    <n v="37.85"/>
    <n v="1384.85"/>
    <n v="0"/>
    <n v="1333.2206999999999"/>
    <n v="191.74196666666663"/>
    <n v="7.9892486111111092"/>
    <n v="1"/>
    <n v="1"/>
    <n v="0"/>
    <n v="31.6"/>
    <n v="1.4"/>
    <n v="369.84087330140778"/>
    <n v="8717.6777278188983"/>
    <n v="7.1300000000000008"/>
    <n v="1883.5467333135985"/>
    <n v="40.130000000000003"/>
    <n v="10601.224461132497"/>
    <n v="22017"/>
    <n v="0"/>
    <n v="83.34341124832801"/>
    <n v="0"/>
    <n v="0"/>
    <n v="0"/>
    <n v="0"/>
    <n v="0.27456634988968653"/>
    <n v="369.84087330140778"/>
    <n v="369.84087330140778"/>
    <n v="1.3983271962239039"/>
    <n v="11.290210332925627"/>
    <n v="319749"/>
    <n v="11319"/>
    <n v="319744"/>
    <n v="319744"/>
    <n v="11248.517328728301"/>
    <n v="-70.482671271698564"/>
    <n v="-6.2659521439050814E-3"/>
    <n v="8403.1180400890862"/>
    <n v="9027.26"/>
    <n v="8122.5528604024275"/>
    <n v="8437.1007206296017"/>
    <n v="0.23737490720118781"/>
    <n v="0"/>
    <n v="0"/>
    <n v="0"/>
    <n v="0"/>
    <s v="DIESEL"/>
    <n v="71"/>
    <n v="0"/>
    <n v="71"/>
    <n v="0"/>
    <n v="1440"/>
    <n v="24"/>
    <n v="24"/>
    <n v="24"/>
    <n v="0"/>
    <n v="22"/>
    <n v="24"/>
    <n v="24"/>
    <n v="0"/>
    <n v="24"/>
    <n v="24"/>
    <n v="369.84087330140778"/>
    <m/>
    <m/>
    <n v="1393.9072988842368"/>
  </r>
  <r>
    <x v="146"/>
    <x v="4"/>
    <n v="0"/>
    <n v="1308"/>
    <n v="1308"/>
    <n v="1340"/>
    <n v="0"/>
    <n v="0"/>
    <n v="0"/>
    <n v="0"/>
    <n v="24"/>
    <n v="24"/>
    <n v="0"/>
    <n v="1340"/>
    <n v="1340"/>
    <n v="1340"/>
    <n v="0"/>
    <n v="0"/>
    <n v="1340000"/>
    <n v="1340000"/>
    <n v="1328.3159000000001"/>
    <n v="1328.3159000000001"/>
    <n v="0"/>
    <n v="0"/>
    <n v="1328315.9000000001"/>
    <n v="37.83"/>
    <n v="37.83"/>
    <n v="1377.83"/>
    <n v="0"/>
    <n v="1328.3158999999998"/>
    <n v="174.73579821428575"/>
    <n v="7.2806582589285727"/>
    <n v="1"/>
    <n v="0"/>
    <n v="0"/>
    <n v="19.7"/>
    <n v="1.3"/>
    <n v="343.42366806559295"/>
    <n v="5547.613099521117"/>
    <n v="6.089999999999999"/>
    <n v="1608.8077988611237"/>
    <n v="27.089999999999996"/>
    <n v="7156.42089838224"/>
    <n v="0"/>
    <n v="0"/>
    <n v="0"/>
    <n v="0"/>
    <n v="0"/>
    <n v="0"/>
    <n v="0"/>
    <n v="0.25628631945193503"/>
    <n v="343.42366806559295"/>
    <n v="0"/>
    <n v="1.2006028349709879"/>
    <n v="8.8175284737995074"/>
    <n v="344425"/>
    <n v="12192"/>
    <n v="344419"/>
    <n v="344419"/>
    <n v="12116.577918094703"/>
    <n v="-75.422081905297091"/>
    <n v="-6.2247015960391729E-3"/>
    <n v="9098.507462686568"/>
    <n v="9053.4500000000007"/>
    <n v="8793.9571050816903"/>
    <n v="9121.7593029600139"/>
    <n v="0.25702910447761196"/>
    <n v="0"/>
    <n v="0"/>
    <n v="0"/>
    <n v="0"/>
    <s v="DIESEL"/>
    <n v="71"/>
    <n v="0"/>
    <n v="71"/>
    <n v="0"/>
    <n v="1440"/>
    <n v="24"/>
    <n v="23"/>
    <n v="24"/>
    <n v="0"/>
    <n v="24"/>
    <n v="24"/>
    <n v="24"/>
    <n v="0"/>
    <n v="24"/>
    <n v="24"/>
    <n v="343.42366806559295"/>
    <m/>
    <m/>
    <n v="940.96558003423797"/>
  </r>
  <r>
    <x v="147"/>
    <x v="4"/>
    <n v="0"/>
    <n v="1181"/>
    <n v="1287"/>
    <n v="1329"/>
    <n v="0"/>
    <n v="0"/>
    <n v="0"/>
    <n v="0"/>
    <n v="24"/>
    <n v="24"/>
    <n v="0"/>
    <n v="1329"/>
    <n v="1329"/>
    <n v="1329"/>
    <n v="0"/>
    <n v="0"/>
    <n v="1329000"/>
    <n v="1329000"/>
    <n v="1317.1263999999999"/>
    <n v="1317.1263999999999"/>
    <n v="0"/>
    <n v="0"/>
    <n v="1317126.3999999999"/>
    <n v="37.83"/>
    <n v="37.83"/>
    <n v="1366.83"/>
    <n v="0"/>
    <n v="1317.1264000000001"/>
    <n v="164.64079999999998"/>
    <n v="6.860033333333333"/>
    <n v="0"/>
    <n v="0"/>
    <n v="0"/>
    <n v="0"/>
    <n v="1.3"/>
    <n v="343.42366806559295"/>
    <n v="343.42366806559295"/>
    <n v="6.9300000000000015"/>
    <n v="1830.7123228419691"/>
    <n v="8.2300000000000022"/>
    <n v="2174.1359909075618"/>
    <n v="0"/>
    <n v="0"/>
    <n v="0"/>
    <n v="0"/>
    <n v="0"/>
    <n v="0"/>
    <n v="0"/>
    <n v="0.25840757567012262"/>
    <n v="0"/>
    <n v="0"/>
    <n v="1.3775111533799618"/>
    <n v="9.5349600148019196"/>
    <n v="361378"/>
    <n v="12792"/>
    <n v="361137"/>
    <n v="361137"/>
    <n v="12704.713153475757"/>
    <n v="-87.286846524242719"/>
    <n v="-6.8704303253287365E-3"/>
    <n v="9625.2821670428893"/>
    <n v="9067.4"/>
    <n v="9295.0207073855254"/>
    <n v="9645.7812655457801"/>
    <n v="0.27173589164785555"/>
    <n v="0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4"/>
    <n v="343.42366806559295"/>
    <m/>
    <m/>
    <n v="285.86735783247622"/>
  </r>
  <r>
    <x v="148"/>
    <x v="4"/>
    <n v="0"/>
    <n v="1309"/>
    <n v="1309"/>
    <n v="1350"/>
    <n v="0"/>
    <n v="0"/>
    <n v="0"/>
    <n v="0"/>
    <n v="24"/>
    <n v="24"/>
    <n v="0"/>
    <n v="1350"/>
    <n v="1350"/>
    <n v="1350"/>
    <n v="0"/>
    <n v="0"/>
    <n v="1350000"/>
    <n v="1350000"/>
    <n v="1339.3029999999999"/>
    <n v="1339.3029999999999"/>
    <n v="0"/>
    <n v="0"/>
    <n v="1339303"/>
    <n v="37.65"/>
    <n v="37.65"/>
    <n v="1387.65"/>
    <n v="0"/>
    <n v="1339.3030000000001"/>
    <n v="170.30937678571428"/>
    <n v="7.0962240327380952"/>
    <n v="1"/>
    <n v="1"/>
    <n v="0"/>
    <n v="0"/>
    <n v="1.4"/>
    <n v="369.84087330140778"/>
    <n v="369.84087330140778"/>
    <n v="7.950000000000002"/>
    <n v="2100.1678162472804"/>
    <n v="9.3500000000000014"/>
    <n v="2470.0086895486884"/>
    <n v="11025"/>
    <n v="11025"/>
    <n v="83.468329837200002"/>
    <n v="0"/>
    <n v="0"/>
    <n v="0"/>
    <n v="0"/>
    <n v="0.27395620244548724"/>
    <n v="369.84087330140778"/>
    <n v="369.84087330140778"/>
    <n v="1.5556798638868743"/>
    <n v="11.127068366067547"/>
    <n v="364655"/>
    <n v="12908"/>
    <n v="364606"/>
    <n v="364606"/>
    <n v="12826.751742513734"/>
    <n v="-81.248257486266084"/>
    <n v="-6.3342815950021177E-3"/>
    <n v="9561.4814814814818"/>
    <n v="9034.67"/>
    <n v="9243.5064623743256"/>
    <n v="9577.1843582174733"/>
    <n v="0.2700785185185185"/>
    <n v="0"/>
    <n v="0"/>
    <n v="0"/>
    <n v="0"/>
    <s v="DIESEL"/>
    <n v="71"/>
    <n v="0"/>
    <n v="71"/>
    <n v="0"/>
    <n v="1440"/>
    <n v="24"/>
    <n v="24"/>
    <n v="24"/>
    <n v="0"/>
    <n v="24"/>
    <n v="21"/>
    <n v="24"/>
    <n v="0"/>
    <n v="24"/>
    <n v="24"/>
    <n v="369.84087330140778"/>
    <m/>
    <m/>
    <n v="324.77032754965404"/>
  </r>
  <r>
    <x v="149"/>
    <x v="4"/>
    <n v="0"/>
    <n v="1308"/>
    <n v="1308"/>
    <n v="1348"/>
    <n v="0"/>
    <n v="0"/>
    <n v="0"/>
    <n v="0"/>
    <n v="24"/>
    <n v="24"/>
    <n v="0"/>
    <n v="1348"/>
    <n v="1348"/>
    <n v="1348"/>
    <n v="0"/>
    <n v="0"/>
    <n v="1348000"/>
    <n v="1348000"/>
    <n v="1335.7467999999999"/>
    <n v="1335.7467999999999"/>
    <n v="0"/>
    <n v="0"/>
    <n v="1335746.7999999998"/>
    <n v="37.76"/>
    <n v="37.76"/>
    <n v="1385.76"/>
    <n v="0"/>
    <n v="1335.7468000000003"/>
    <n v="169.87240714285713"/>
    <n v="7.0780169642857134"/>
    <n v="1"/>
    <n v="1"/>
    <n v="0"/>
    <n v="0"/>
    <n v="0"/>
    <n v="0"/>
    <n v="0"/>
    <n v="6.900000000000003"/>
    <n v="1822.7871612712249"/>
    <n v="6.900000000000003"/>
    <n v="1822.7871612712249"/>
    <n v="0"/>
    <n v="0"/>
    <n v="0"/>
    <n v="0"/>
    <n v="0"/>
    <n v="0"/>
    <n v="0"/>
    <n v="0"/>
    <n v="0"/>
    <n v="0"/>
    <n v="1.352215995008327"/>
    <n v="9.6587906643448047"/>
    <n v="363964"/>
    <n v="12884"/>
    <n v="363778"/>
    <n v="363778"/>
    <n v="12797.622900852319"/>
    <n v="-86.377099147681292"/>
    <n v="-6.749464319809626E-3"/>
    <n v="9557.8635014836782"/>
    <n v="9017"/>
    <n v="9235.0933068152626"/>
    <n v="9580.8748341020309"/>
    <n v="0.26986498516320473"/>
    <n v="0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2"/>
    <n v="24"/>
    <n v="0"/>
    <m/>
    <m/>
    <n v="239.67008129332766"/>
  </r>
  <r>
    <x v="150"/>
    <x v="4"/>
    <n v="0"/>
    <n v="1308"/>
    <n v="1308"/>
    <n v="1333"/>
    <n v="0"/>
    <n v="0"/>
    <n v="0"/>
    <n v="0"/>
    <n v="24"/>
    <n v="24"/>
    <n v="0"/>
    <n v="1333"/>
    <n v="1333"/>
    <n v="1333"/>
    <n v="0"/>
    <n v="0"/>
    <n v="1333000"/>
    <n v="1333000"/>
    <n v="1322.8616999999999"/>
    <n v="1322.8616999999999"/>
    <n v="0"/>
    <n v="0"/>
    <n v="1322861.7"/>
    <n v="37.200000000000003"/>
    <n v="37.200000000000003"/>
    <n v="1370.2"/>
    <n v="0"/>
    <n v="1322.8616999999999"/>
    <n v="169.23105535714285"/>
    <n v="7.0512939732142854"/>
    <n v="1"/>
    <n v="1"/>
    <n v="0"/>
    <n v="0"/>
    <n v="1.6"/>
    <n v="422.67528377303745"/>
    <n v="422.67528377303745"/>
    <n v="7.17"/>
    <n v="1894.1136154079243"/>
    <n v="8.77"/>
    <n v="2316.7888991809618"/>
    <n v="0"/>
    <n v="0"/>
    <n v="0"/>
    <n v="0"/>
    <n v="0"/>
    <n v="0"/>
    <n v="0"/>
    <n v="0.31708573426334391"/>
    <n v="422.67528377303745"/>
    <n v="422.67528377303745"/>
    <n v="1.4209404466676101"/>
    <n v="10.097111852409288"/>
    <n v="358580"/>
    <n v="12693"/>
    <n v="357214"/>
    <n v="357214"/>
    <n v="12566.702953188649"/>
    <n v="-126.29704681135081"/>
    <n v="-1.0050133856255786E-2"/>
    <n v="9522.1305326331585"/>
    <n v="8948"/>
    <n v="9171.4369823300603"/>
    <n v="9499.6347336903382"/>
    <n v="0.26797749437359342"/>
    <n v="0"/>
    <n v="9.9"/>
    <n v="0"/>
    <n v="0"/>
    <s v="DIESEL"/>
    <n v="71"/>
    <n v="0"/>
    <n v="71"/>
    <n v="0"/>
    <n v="1440"/>
    <n v="24"/>
    <n v="24"/>
    <n v="20"/>
    <n v="0"/>
    <n v="24"/>
    <n v="24"/>
    <n v="24"/>
    <n v="0"/>
    <n v="24"/>
    <n v="24"/>
    <n v="422.67528377303745"/>
    <m/>
    <m/>
    <n v="304.62414680325838"/>
  </r>
  <r>
    <x v="151"/>
    <x v="5"/>
    <n v="0"/>
    <n v="1329"/>
    <n v="1329"/>
    <n v="1353"/>
    <n v="0"/>
    <n v="0"/>
    <n v="0"/>
    <n v="0"/>
    <n v="24"/>
    <n v="24"/>
    <n v="0"/>
    <n v="1353"/>
    <n v="1353"/>
    <n v="1353"/>
    <n v="0"/>
    <n v="0"/>
    <n v="1353000"/>
    <n v="1353000"/>
    <n v="1341.0167999999999"/>
    <n v="1341.0167999999999"/>
    <n v="0"/>
    <n v="0"/>
    <n v="1341016.7999999998"/>
    <n v="37.08"/>
    <n v="37.08"/>
    <n v="1390.08"/>
    <n v="0"/>
    <n v="1341.0168000000001"/>
    <n v="170.50348392857143"/>
    <n v="7.1043118303571431"/>
    <n v="1"/>
    <n v="1"/>
    <n v="0"/>
    <n v="3.2"/>
    <n v="1.6"/>
    <n v="422.67528377303745"/>
    <n v="1268.0258513191127"/>
    <n v="6.3100000000000005"/>
    <n v="1666.9256503799168"/>
    <n v="11.11"/>
    <n v="2934.951501699029"/>
    <n v="0"/>
    <n v="0"/>
    <n v="0"/>
    <n v="0"/>
    <n v="0"/>
    <n v="0"/>
    <n v="0"/>
    <n v="0.31239858371990942"/>
    <n v="422.67528377303745"/>
    <n v="422.67528377303745"/>
    <n v="1.232021914545393"/>
    <n v="8.8293218689940698"/>
    <n v="362826"/>
    <n v="12844"/>
    <n v="362813"/>
    <n v="362813"/>
    <n v="12763.674432007798"/>
    <n v="-80.325567992202195"/>
    <n v="-6.2932949614233095E-3"/>
    <n v="9492.978566149297"/>
    <n v="9036.76"/>
    <n v="9181.9711326022953"/>
    <n v="9517.9079277812161"/>
    <n v="0.26815447154471544"/>
    <n v="0"/>
    <n v="18.899999999999999"/>
    <n v="0"/>
    <n v="0"/>
    <s v="DIESEL"/>
    <n v="71"/>
    <n v="0"/>
    <n v="71"/>
    <n v="0"/>
    <n v="1440"/>
    <n v="20"/>
    <n v="24"/>
    <n v="24"/>
    <n v="0"/>
    <n v="24"/>
    <n v="24"/>
    <n v="24"/>
    <n v="0"/>
    <n v="24"/>
    <n v="24"/>
    <n v="422.67528377303745"/>
    <m/>
    <m/>
    <n v="385.90356567664764"/>
  </r>
  <r>
    <x v="152"/>
    <x v="5"/>
    <n v="0"/>
    <n v="1308"/>
    <n v="1308"/>
    <n v="1337"/>
    <n v="0"/>
    <n v="0"/>
    <n v="0"/>
    <n v="0"/>
    <n v="24"/>
    <n v="24"/>
    <n v="0"/>
    <n v="1337"/>
    <n v="1337"/>
    <n v="1337"/>
    <n v="0"/>
    <n v="0"/>
    <n v="1337000"/>
    <n v="1337000"/>
    <n v="1325.8644999999999"/>
    <n v="1325.8644999999999"/>
    <n v="0"/>
    <n v="0"/>
    <n v="1325864.5"/>
    <n v="36.56"/>
    <n v="36.56"/>
    <n v="1373.56"/>
    <n v="0"/>
    <n v="1325.8644999999999"/>
    <n v="169.59718035714283"/>
    <n v="7.066549181547618"/>
    <n v="1"/>
    <n v="1"/>
    <n v="0"/>
    <n v="0"/>
    <n v="1.4"/>
    <n v="369.84087330140778"/>
    <n v="369.84087330140778"/>
    <n v="7.15"/>
    <n v="1888.8301743607612"/>
    <n v="8.5500000000000007"/>
    <n v="2258.6710476621688"/>
    <n v="0"/>
    <n v="0"/>
    <n v="0"/>
    <n v="0"/>
    <n v="0"/>
    <n v="0"/>
    <n v="0"/>
    <n v="0.27661995011324442"/>
    <n v="369.84087330140778"/>
    <n v="369.84087330140778"/>
    <n v="1.4127376023640696"/>
    <n v="10.065662798557129"/>
    <n v="352967"/>
    <n v="12495"/>
    <n v="352958"/>
    <n v="352958"/>
    <n v="12416.977892668147"/>
    <n v="-78.022107331853476"/>
    <n v="-6.2835021537666737E-3"/>
    <n v="9345.5497382198955"/>
    <n v="9128.65"/>
    <n v="9039.9967185038495"/>
    <n v="9365.1937227885264"/>
    <n v="0.26399252056843681"/>
    <n v="14.301285719952"/>
    <n v="38.700000000000003"/>
    <n v="0"/>
    <n v="594"/>
    <s v="DIESEL"/>
    <n v="71"/>
    <n v="0"/>
    <n v="71"/>
    <n v="0"/>
    <n v="1440"/>
    <n v="24"/>
    <n v="21"/>
    <n v="23"/>
    <n v="0"/>
    <n v="24"/>
    <n v="24"/>
    <n v="24"/>
    <n v="0"/>
    <n v="24"/>
    <n v="24"/>
    <n v="369.84087330140778"/>
    <m/>
    <m/>
    <n v="296.98249203738408"/>
  </r>
  <r>
    <x v="153"/>
    <x v="5"/>
    <n v="0"/>
    <n v="1379"/>
    <n v="1326"/>
    <n v="1430"/>
    <n v="0"/>
    <n v="0"/>
    <n v="6"/>
    <n v="426"/>
    <n v="24"/>
    <n v="24"/>
    <n v="0"/>
    <n v="1856"/>
    <n v="1430"/>
    <n v="1430"/>
    <n v="0"/>
    <n v="0"/>
    <n v="1430000"/>
    <n v="1430000"/>
    <n v="1417.1481999999996"/>
    <n v="1417.1481999999996"/>
    <n v="0"/>
    <n v="0"/>
    <n v="1417148.1999999997"/>
    <n v="37.01"/>
    <n v="37.01"/>
    <n v="1467.01"/>
    <n v="0"/>
    <n v="1417.1482000000001"/>
    <n v="177.14352499999995"/>
    <n v="7.3809802083333311"/>
    <n v="0"/>
    <n v="0"/>
    <n v="0"/>
    <n v="0"/>
    <n v="1"/>
    <n v="264.17205235814845"/>
    <n v="264.17205235814845"/>
    <n v="6.5299999999999985"/>
    <n v="1725.0435018987087"/>
    <n v="7.5299999999999985"/>
    <n v="1989.2155542568571"/>
    <n v="0"/>
    <n v="0"/>
    <n v="0"/>
    <n v="0"/>
    <n v="0"/>
    <n v="0"/>
    <n v="0"/>
    <n v="0.18473570094975417"/>
    <n v="0"/>
    <n v="0"/>
    <n v="1.2063241272018941"/>
    <n v="8.9846015723891117"/>
    <n v="382480"/>
    <n v="13539"/>
    <n v="382479"/>
    <n v="382479"/>
    <n v="13455.519601226832"/>
    <n v="-83.480398773168417"/>
    <n v="-6.204175033534709E-3"/>
    <n v="9467.8321678321681"/>
    <n v="9008.16"/>
    <n v="9172.0708115328671"/>
    <n v="9494.7865023762752"/>
    <n v="0.26746783216783215"/>
    <n v="0"/>
    <n v="0"/>
    <n v="0"/>
    <n v="0"/>
    <s v="DIESEL"/>
    <n v="71"/>
    <n v="0"/>
    <n v="71"/>
    <n v="0"/>
    <n v="1440"/>
    <n v="24"/>
    <n v="23"/>
    <n v="24"/>
    <n v="0"/>
    <n v="24"/>
    <n v="24"/>
    <n v="24"/>
    <n v="0"/>
    <n v="24"/>
    <n v="24"/>
    <n v="264.17205235814845"/>
    <m/>
    <m/>
    <n v="261.55300175923998"/>
  </r>
  <r>
    <x v="154"/>
    <x v="5"/>
    <n v="0"/>
    <n v="1297"/>
    <n v="1297"/>
    <n v="1341"/>
    <n v="0"/>
    <n v="0"/>
    <n v="1"/>
    <n v="71"/>
    <n v="24"/>
    <n v="24"/>
    <n v="0"/>
    <n v="1412"/>
    <n v="1341"/>
    <n v="1341"/>
    <n v="0"/>
    <n v="0"/>
    <n v="1341000"/>
    <n v="1341000"/>
    <n v="1330.1619000000001"/>
    <n v="1330.1619000000001"/>
    <n v="0"/>
    <n v="0"/>
    <n v="1330161.9000000001"/>
    <n v="37.130000000000003"/>
    <n v="37.130000000000003"/>
    <n v="1378.13"/>
    <n v="0"/>
    <n v="1330.1618999999996"/>
    <n v="168.19035535714283"/>
    <n v="7.0079314732142848"/>
    <n v="1"/>
    <n v="1"/>
    <n v="0"/>
    <n v="0"/>
    <n v="0.4"/>
    <n v="105.66882094325936"/>
    <n v="105.66882094325936"/>
    <n v="7.6399999999999988"/>
    <n v="2018.2744800162536"/>
    <n v="8.0399999999999991"/>
    <n v="2123.9433009595132"/>
    <n v="0"/>
    <n v="0"/>
    <n v="0"/>
    <n v="0"/>
    <n v="0"/>
    <n v="0"/>
    <n v="0"/>
    <n v="7.8798524193332858E-2"/>
    <n v="105.66882094325936"/>
    <n v="105.66882094325936"/>
    <n v="1.5050518120926575"/>
    <n v="10.633711333761777"/>
    <n v="361992"/>
    <n v="12814"/>
    <n v="361898"/>
    <n v="361898"/>
    <n v="12731.484951186309"/>
    <n v="-82.515048813691465"/>
    <n v="-6.4811802495986755E-3"/>
    <n v="9555.5555555555547"/>
    <n v="8988.92"/>
    <n v="9238.2322068210597"/>
    <n v="9571.3799584744593"/>
    <n v="0.26987173750932142"/>
    <n v="0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2"/>
    <n v="105.66882094325936"/>
    <m/>
    <m/>
    <n v="279.26774689831211"/>
  </r>
  <r>
    <x v="155"/>
    <x v="5"/>
    <n v="0"/>
    <n v="1321"/>
    <n v="1321"/>
    <n v="1349"/>
    <n v="0"/>
    <n v="0"/>
    <n v="0"/>
    <n v="0"/>
    <n v="24"/>
    <n v="24"/>
    <n v="0"/>
    <n v="1349"/>
    <n v="1349"/>
    <n v="1349"/>
    <n v="0"/>
    <n v="0"/>
    <n v="1349000"/>
    <n v="1349000"/>
    <n v="1338.0965999999999"/>
    <n v="1338.0965999999999"/>
    <n v="0"/>
    <n v="0"/>
    <n v="1338096.5999999999"/>
    <n v="37.200000000000003"/>
    <n v="37.200000000000003"/>
    <n v="1386.2"/>
    <n v="0"/>
    <n v="1338.0965999999999"/>
    <n v="170.15070357142855"/>
    <n v="7.0896126488095232"/>
    <n v="1"/>
    <n v="1"/>
    <n v="0"/>
    <n v="0"/>
    <n v="1.6"/>
    <n v="422.67528377303745"/>
    <n v="422.67528377303745"/>
    <n v="6.6599999999999993"/>
    <n v="1759.3858687052682"/>
    <n v="8.26"/>
    <n v="2182.0611524783058"/>
    <n v="0"/>
    <n v="11050"/>
    <n v="41.828800213199997"/>
    <n v="0"/>
    <n v="0"/>
    <n v="0"/>
    <n v="0"/>
    <n v="0.31332489530988694"/>
    <n v="422.67528377303745"/>
    <n v="422.67528377303745"/>
    <n v="1.3042148767274042"/>
    <n v="9.3207133354340748"/>
    <n v="363339"/>
    <n v="12862"/>
    <n v="363338"/>
    <n v="363338"/>
    <n v="12782.143806249636"/>
    <n v="-79.856193750363673"/>
    <n v="-6.2474804665645515E-3"/>
    <n v="9534.4699777613041"/>
    <n v="8782.92"/>
    <n v="9220.9953875700739"/>
    <n v="9552.4820900446484"/>
    <n v="0.26933876945885843"/>
    <n v="0"/>
    <n v="0"/>
    <n v="0"/>
    <n v="0"/>
    <s v="DIESEL"/>
    <n v="71"/>
    <n v="0"/>
    <n v="71"/>
    <n v="0"/>
    <n v="1440"/>
    <n v="24"/>
    <n v="24"/>
    <n v="24"/>
    <n v="0"/>
    <n v="24"/>
    <n v="24"/>
    <n v="24"/>
    <n v="0"/>
    <n v="24"/>
    <n v="21"/>
    <n v="422.67528377303745"/>
    <m/>
    <m/>
    <n v="286.9094016641863"/>
  </r>
  <r>
    <x v="156"/>
    <x v="5"/>
    <n v="0"/>
    <n v="1296"/>
    <n v="1296"/>
    <n v="1333"/>
    <n v="0"/>
    <n v="0"/>
    <n v="0"/>
    <n v="0"/>
    <n v="24"/>
    <n v="24"/>
    <n v="0"/>
    <n v="1333"/>
    <n v="1333"/>
    <n v="1333"/>
    <n v="0"/>
    <n v="0"/>
    <n v="1333000"/>
    <n v="1333000"/>
    <n v="1321.5018"/>
    <n v="1321.5018"/>
    <n v="0"/>
    <n v="0"/>
    <n v="1321501.8"/>
    <n v="36.83"/>
    <n v="36.83"/>
    <n v="1369.83"/>
    <n v="0"/>
    <n v="1321.5018"/>
    <n v="168.06162678571428"/>
    <n v="7.0025677827380948"/>
    <n v="2"/>
    <n v="2"/>
    <n v="0"/>
    <n v="3.1"/>
    <n v="1.4"/>
    <n v="369.84087330140778"/>
    <n v="1188.7742356116678"/>
    <n v="6.7800000000000011"/>
    <n v="1791.0865149882466"/>
    <n v="11.280000000000001"/>
    <n v="2979.8607505999148"/>
    <n v="0"/>
    <n v="0"/>
    <n v="0"/>
    <n v="0"/>
    <n v="0"/>
    <n v="0"/>
    <n v="0"/>
    <n v="0.27745001748042597"/>
    <n v="184.92043665070389"/>
    <n v="184.92043665070389"/>
    <n v="1.3436507989409201"/>
    <n v="9.4897519998894388"/>
    <n v="360894"/>
    <n v="12775"/>
    <n v="360171"/>
    <n v="360171"/>
    <n v="12670.729504870777"/>
    <n v="-104.27049512922349"/>
    <n v="-8.229241661984868E-3"/>
    <n v="9583.64591147787"/>
    <n v="8998.11"/>
    <n v="9249.8554600722546"/>
    <n v="9588.1288280279114"/>
    <n v="0.27019579894973744"/>
    <n v="0"/>
    <n v="20.91"/>
    <n v="0"/>
    <n v="0"/>
    <s v="DIESEL"/>
    <n v="71"/>
    <n v="0"/>
    <n v="71"/>
    <n v="0"/>
    <n v="1440"/>
    <n v="22"/>
    <n v="23"/>
    <n v="24"/>
    <n v="0"/>
    <n v="24"/>
    <n v="24"/>
    <n v="24"/>
    <n v="0"/>
    <n v="24"/>
    <n v="24"/>
    <n v="369.84087330140778"/>
    <m/>
    <m/>
    <n v="391.80848072300512"/>
  </r>
  <r>
    <x v="157"/>
    <x v="5"/>
    <n v="0"/>
    <n v="1310"/>
    <n v="1310"/>
    <n v="1397"/>
    <n v="4"/>
    <n v="284"/>
    <n v="1"/>
    <n v="55"/>
    <n v="24"/>
    <n v="24"/>
    <n v="0"/>
    <n v="1736"/>
    <n v="1397"/>
    <n v="1397"/>
    <n v="0"/>
    <n v="0"/>
    <n v="1397000"/>
    <n v="1397000"/>
    <n v="1383.7105000000004"/>
    <n v="1383.7105000000004"/>
    <n v="0"/>
    <n v="0"/>
    <n v="1383710.5000000005"/>
    <n v="37.39"/>
    <n v="37.39"/>
    <n v="1434.39"/>
    <n v="0"/>
    <n v="1383.7105000000001"/>
    <n v="173.17648253968258"/>
    <n v="7.2156867724867739"/>
    <n v="2"/>
    <n v="2"/>
    <n v="0"/>
    <n v="0"/>
    <n v="1.1000000000000001"/>
    <n v="290.58925759396328"/>
    <n v="290.58925759396328"/>
    <n v="6.73"/>
    <n v="1777.8779123703389"/>
    <n v="7.83"/>
    <n v="2068.4671699643022"/>
    <n v="0"/>
    <n v="0"/>
    <n v="0"/>
    <n v="0"/>
    <n v="0"/>
    <n v="0"/>
    <n v="0"/>
    <n v="0.20800949004578617"/>
    <n v="145.29462879698164"/>
    <n v="145.29462879698164"/>
    <n v="1.2726398800074008"/>
    <n v="9.2696086229243146"/>
    <n v="372756"/>
    <n v="13195"/>
    <n v="372366"/>
    <n v="372366"/>
    <n v="13099.746683688334"/>
    <n v="-95.253316311665913"/>
    <n v="-7.2713861276626317E-3"/>
    <n v="9445.2397995705087"/>
    <n v="0"/>
    <n v="9132.6254949409395"/>
    <n v="9467.1151831892075"/>
    <n v="0.26654688618468148"/>
    <n v="30.461208625847998"/>
    <n v="0"/>
    <n v="0"/>
    <n v="0"/>
    <s v="DIESEL"/>
    <n v="71"/>
    <n v="0"/>
    <n v="71"/>
    <n v="0"/>
    <n v="1440"/>
    <n v="24"/>
    <n v="24"/>
    <n v="24"/>
    <n v="4"/>
    <n v="24"/>
    <n v="24"/>
    <n v="24"/>
    <n v="0"/>
    <n v="23"/>
    <n v="24"/>
    <n v="290.58925759396328"/>
    <m/>
    <m/>
    <n v="271.97344007634126"/>
  </r>
  <r>
    <x v="158"/>
    <x v="5"/>
    <n v="0"/>
    <n v="1309"/>
    <n v="1309"/>
    <n v="1312"/>
    <n v="0"/>
    <n v="0"/>
    <n v="2"/>
    <n v="106"/>
    <n v="24"/>
    <n v="24"/>
    <n v="0"/>
    <n v="1418"/>
    <n v="1312"/>
    <n v="1312"/>
    <n v="0"/>
    <n v="0"/>
    <n v="1312000"/>
    <n v="1312000"/>
    <n v="1300.8740999999998"/>
    <n v="1300.8740999999998"/>
    <n v="0"/>
    <n v="0"/>
    <n v="1300874.0999999999"/>
    <n v="36.5"/>
    <n v="36.5"/>
    <n v="1348.5"/>
    <n v="0"/>
    <n v="1300.8741000000002"/>
    <n v="164.94897361111109"/>
    <n v="6.8728739004629622"/>
    <n v="2"/>
    <n v="1"/>
    <n v="0"/>
    <n v="6.2"/>
    <n v="1.4"/>
    <n v="369.84087330140778"/>
    <n v="2007.707597921928"/>
    <n v="7.5199999999999987"/>
    <n v="1986.5738337332759"/>
    <n v="15.119999999999997"/>
    <n v="3994.2814316552035"/>
    <n v="0"/>
    <n v="0"/>
    <n v="0"/>
    <n v="0"/>
    <n v="0"/>
    <n v="0"/>
    <n v="0"/>
    <n v="0.28189090952851203"/>
    <n v="184.92043665070389"/>
    <n v="369.84087330140778"/>
    <n v="1.5141568854674359"/>
    <n v="10.49459294970743"/>
    <n v="351673"/>
    <n v="12449"/>
    <n v="351379"/>
    <n v="351379"/>
    <n v="12361.42905090079"/>
    <n v="-87.570949099210338"/>
    <n v="-7.0842091750572284E-3"/>
    <n v="9488.5670731707323"/>
    <n v="0"/>
    <n v="9166.799444494467"/>
    <n v="9502.4023084945675"/>
    <n v="0.26781935975609755"/>
    <n v="0"/>
    <n v="42.6"/>
    <n v="0"/>
    <n v="0"/>
    <s v="DIESEL"/>
    <n v="71"/>
    <n v="0"/>
    <n v="71"/>
    <n v="0"/>
    <n v="1440"/>
    <n v="24"/>
    <n v="24"/>
    <n v="24"/>
    <n v="3"/>
    <n v="23"/>
    <n v="23"/>
    <n v="22"/>
    <n v="0"/>
    <n v="23"/>
    <n v="23"/>
    <n v="369.84087330140778"/>
    <m/>
    <m/>
    <n v="525.19009118190024"/>
  </r>
  <r>
    <x v="159"/>
    <x v="5"/>
    <n v="0"/>
    <n v="1321"/>
    <n v="1320"/>
    <n v="1352"/>
    <n v="0"/>
    <n v="0"/>
    <n v="0"/>
    <n v="0"/>
    <n v="24"/>
    <n v="24"/>
    <n v="0"/>
    <n v="1352"/>
    <n v="1352"/>
    <n v="1352"/>
    <n v="0"/>
    <n v="0"/>
    <n v="1352000"/>
    <n v="1352000"/>
    <n v="1340.8446000000001"/>
    <n v="1340.8446000000001"/>
    <n v="0"/>
    <n v="0"/>
    <n v="1340844.6000000001"/>
    <n v="37.840000000000003"/>
    <n v="37.840000000000003"/>
    <n v="1389.84"/>
    <n v="0"/>
    <n v="1340.8445999999999"/>
    <n v="161.30261230158732"/>
    <n v="6.7209421792328046"/>
    <n v="2"/>
    <n v="2"/>
    <n v="0"/>
    <n v="0"/>
    <n v="1.7"/>
    <n v="449.09248900885234"/>
    <n v="449.09248900885234"/>
    <n v="6.5499999999999989"/>
    <n v="1730.3269429458719"/>
    <n v="8.2499999999999982"/>
    <n v="2179.4194319547241"/>
    <n v="0"/>
    <n v="11000"/>
    <n v="41.639529623999998"/>
    <n v="0"/>
    <n v="0"/>
    <n v="0"/>
    <n v="0"/>
    <n v="0.33216900074619254"/>
    <n v="224.54624450442617"/>
    <n v="224.54624450442617"/>
    <n v="1.2798276205220946"/>
    <n v="8.6740421655990243"/>
    <n v="367105"/>
    <n v="12995"/>
    <n v="367091"/>
    <n v="367091"/>
    <n v="12914.173447258434"/>
    <n v="-80.826552741566047"/>
    <n v="-6.2587476520787177E-3"/>
    <n v="9611.6863905325445"/>
    <n v="0"/>
    <n v="9291.8418287417499"/>
    <n v="9631.3722315460218"/>
    <n v="0.27151701183431953"/>
    <n v="0"/>
    <n v="21"/>
    <n v="0"/>
    <n v="0"/>
    <s v="DIESEL"/>
    <n v="71"/>
    <n v="0"/>
    <n v="71"/>
    <n v="0"/>
    <n v="1440"/>
    <n v="24"/>
    <n v="24"/>
    <n v="24"/>
    <n v="9"/>
    <n v="24"/>
    <n v="22"/>
    <n v="24"/>
    <n v="0"/>
    <n v="24"/>
    <n v="24"/>
    <n v="449.09248900885234"/>
    <m/>
    <m/>
    <n v="286.56205372028285"/>
  </r>
  <r>
    <x v="160"/>
    <x v="5"/>
    <n v="0"/>
    <n v="1326"/>
    <n v="1326"/>
    <n v="1316"/>
    <n v="0"/>
    <n v="0"/>
    <n v="3"/>
    <n v="159"/>
    <n v="24"/>
    <n v="24"/>
    <n v="0"/>
    <n v="1475"/>
    <n v="1316"/>
    <n v="1316"/>
    <n v="0"/>
    <n v="0"/>
    <n v="1316000"/>
    <n v="1316000"/>
    <n v="1305.0933999999997"/>
    <n v="1305.0933999999997"/>
    <n v="0"/>
    <n v="0"/>
    <n v="1305093.3999999997"/>
    <n v="36.229999999999997"/>
    <n v="36.229999999999997"/>
    <n v="1352.23"/>
    <n v="0"/>
    <n v="1305.0934"/>
    <n v="164.29699265873015"/>
    <n v="6.8457080274470892"/>
    <n v="2"/>
    <n v="3"/>
    <n v="0"/>
    <n v="0"/>
    <n v="2.1"/>
    <n v="554.76130995211167"/>
    <n v="554.76130995211167"/>
    <n v="7.0799999999999992"/>
    <n v="1870.3381306956906"/>
    <n v="9.18"/>
    <n v="2425.0994406478026"/>
    <n v="0"/>
    <n v="0"/>
    <n v="0"/>
    <n v="0"/>
    <n v="0"/>
    <n v="0"/>
    <n v="0"/>
    <n v="0.42155114738002408"/>
    <n v="277.38065497605584"/>
    <n v="184.92043665070389"/>
    <n v="1.4212295825955095"/>
    <n v="9.8110128208375524"/>
    <n v="356755"/>
    <n v="12629"/>
    <n v="356290"/>
    <n v="356290"/>
    <n v="12534.196854523012"/>
    <n v="-94.803145476987993"/>
    <n v="-7.5635596422580454E-3"/>
    <n v="9596.5045592705173"/>
    <n v="0"/>
    <n v="9269.2787872795398"/>
    <n v="9604.0611764054702"/>
    <n v="0.27073708206686931"/>
    <n v="0"/>
    <n v="0"/>
    <n v="0"/>
    <n v="0"/>
    <s v="DIESEL"/>
    <n v="71"/>
    <n v="0"/>
    <n v="71"/>
    <n v="0"/>
    <n v="1440"/>
    <n v="21"/>
    <n v="24"/>
    <n v="19"/>
    <n v="24"/>
    <n v="24"/>
    <n v="24"/>
    <n v="24"/>
    <n v="0"/>
    <n v="5"/>
    <n v="24"/>
    <n v="554.76130995211167"/>
    <m/>
    <m/>
    <n v="318.86541250329668"/>
  </r>
  <r>
    <x v="161"/>
    <x v="5"/>
    <n v="0"/>
    <n v="1313"/>
    <n v="1313"/>
    <n v="1320"/>
    <n v="4"/>
    <n v="212"/>
    <n v="0"/>
    <n v="0"/>
    <n v="24"/>
    <n v="24"/>
    <n v="0"/>
    <n v="1532"/>
    <n v="1320"/>
    <n v="1320"/>
    <n v="0"/>
    <n v="0"/>
    <n v="1320000"/>
    <n v="1320000"/>
    <n v="1308.2313000000001"/>
    <n v="1308.2313000000001"/>
    <n v="0"/>
    <n v="0"/>
    <n v="1308231.3"/>
    <n v="36.340000000000003"/>
    <n v="36.340000000000003"/>
    <n v="1356.34"/>
    <n v="0"/>
    <n v="1308.2312999999999"/>
    <n v="163.16130178571427"/>
    <n v="6.798387574404761"/>
    <n v="2"/>
    <n v="1"/>
    <n v="0"/>
    <n v="0"/>
    <n v="1.6"/>
    <n v="422.67528377303745"/>
    <n v="422.67528377303745"/>
    <n v="6.4499999999999975"/>
    <n v="1703.9097377100566"/>
    <n v="8.0499999999999972"/>
    <n v="2126.5850214830939"/>
    <n v="0"/>
    <n v="0"/>
    <n v="0"/>
    <n v="0"/>
    <n v="0"/>
    <n v="0"/>
    <n v="0"/>
    <n v="0.32020854831290718"/>
    <n v="211.33764188651872"/>
    <n v="422.67528377303745"/>
    <n v="1.2908407103864066"/>
    <n v="8.8548742252489472"/>
    <n v="357268"/>
    <n v="12647"/>
    <n v="357271"/>
    <n v="357271"/>
    <n v="12568.708199534905"/>
    <n v="-78.291800465094639"/>
    <n v="-6.2291047912140856E-3"/>
    <n v="9581.0606060606078"/>
    <n v="8941.1200000000008"/>
    <n v="9266.6353565735044"/>
    <n v="9607.405203907676"/>
    <n v="0.27065984848484848"/>
    <n v="0"/>
    <n v="21.9"/>
    <n v="0"/>
    <n v="0"/>
    <s v="DIESEL"/>
    <n v="71"/>
    <n v="0"/>
    <n v="71"/>
    <n v="0"/>
    <n v="1440"/>
    <n v="3"/>
    <n v="19"/>
    <n v="21"/>
    <n v="24"/>
    <n v="24"/>
    <n v="24"/>
    <n v="24"/>
    <n v="0"/>
    <n v="24"/>
    <n v="24"/>
    <n v="422.67528377303745"/>
    <m/>
    <m/>
    <n v="279.61509484221534"/>
  </r>
  <r>
    <x v="162"/>
    <x v="5"/>
    <n v="0"/>
    <n v="1277"/>
    <n v="1277"/>
    <n v="1387"/>
    <n v="0"/>
    <n v="0"/>
    <n v="5"/>
    <n v="355"/>
    <n v="24"/>
    <n v="24"/>
    <n v="0"/>
    <n v="1742"/>
    <n v="1387"/>
    <n v="1387"/>
    <n v="0"/>
    <n v="0"/>
    <n v="1387000"/>
    <n v="1387000"/>
    <n v="1374.732"/>
    <n v="1374.732"/>
    <n v="0"/>
    <n v="0"/>
    <n v="1374732"/>
    <n v="36.630000000000003"/>
    <n v="36.630000000000003"/>
    <n v="1423.63"/>
    <n v="0"/>
    <n v="1374.7319999999995"/>
    <n v="173.75068928571429"/>
    <n v="7.2396120535714283"/>
    <n v="1"/>
    <n v="2"/>
    <n v="0"/>
    <n v="0"/>
    <n v="0.9"/>
    <n v="237.75484712233359"/>
    <n v="237.75484712233359"/>
    <n v="6.7200000000000006"/>
    <n v="1775.2361918467577"/>
    <n v="7.620000000000001"/>
    <n v="2012.9910389690913"/>
    <n v="0"/>
    <n v="0"/>
    <n v="0"/>
    <n v="0"/>
    <n v="0"/>
    <n v="0"/>
    <n v="0"/>
    <n v="0.17141661652655629"/>
    <n v="237.75484712233359"/>
    <n v="118.87742356116679"/>
    <n v="1.2799107367316205"/>
    <n v="9.3482312575547173"/>
    <n v="372546"/>
    <n v="13188"/>
    <n v="372543"/>
    <n v="372543"/>
    <n v="13105.973501289869"/>
    <n v="-82.026498710130909"/>
    <n v="-6.2587108620399687E-3"/>
    <n v="9508.2912761355437"/>
    <n v="8935.0499999999993"/>
    <n v="9206.0250916950808"/>
    <n v="9533.475252841914"/>
    <n v="0.26859625090122569"/>
    <n v="0"/>
    <n v="0"/>
    <n v="0"/>
    <n v="0"/>
    <s v="DIESEL"/>
    <n v="71"/>
    <n v="0"/>
    <n v="71"/>
    <n v="0"/>
    <n v="1440"/>
    <n v="24"/>
    <n v="6"/>
    <n v="21"/>
    <n v="24"/>
    <n v="24"/>
    <n v="24"/>
    <n v="24"/>
    <n v="0"/>
    <n v="19"/>
    <n v="24"/>
    <n v="237.75484712233359"/>
    <m/>
    <m/>
    <n v="264.67913325437047"/>
  </r>
  <r>
    <x v="163"/>
    <x v="5"/>
    <n v="0"/>
    <n v="1322"/>
    <n v="1332"/>
    <n v="1433"/>
    <n v="0"/>
    <n v="0"/>
    <n v="7"/>
    <n v="497"/>
    <n v="24"/>
    <n v="24"/>
    <n v="0"/>
    <n v="1930"/>
    <n v="1433"/>
    <n v="1433"/>
    <n v="0"/>
    <n v="0"/>
    <n v="1433000"/>
    <n v="1433000"/>
    <n v="1419.9738000000002"/>
    <n v="1419.9738000000002"/>
    <n v="0"/>
    <n v="0"/>
    <n v="1419973.8000000003"/>
    <n v="36.04"/>
    <n v="36.04"/>
    <n v="1469.04"/>
    <n v="0"/>
    <n v="1419.9738000000002"/>
    <n v="180.34621250000001"/>
    <n v="7.5144255208333339"/>
    <n v="1"/>
    <n v="1"/>
    <n v="0"/>
    <n v="0"/>
    <n v="0.9"/>
    <n v="237.75484712233359"/>
    <n v="237.75484712233359"/>
    <n v="6.77"/>
    <n v="1788.4447944646647"/>
    <n v="7.67"/>
    <n v="2026.1996415869985"/>
    <n v="0"/>
    <n v="0"/>
    <n v="0"/>
    <n v="0"/>
    <n v="0"/>
    <n v="0"/>
    <n v="0"/>
    <n v="0.1659140594014889"/>
    <n v="237.75484712233359"/>
    <n v="237.75484712233359"/>
    <n v="1.2480424246089774"/>
    <n v="9.4641996436345615"/>
    <n v="380987"/>
    <n v="13486"/>
    <n v="380985"/>
    <n v="380985"/>
    <n v="13402.961039098629"/>
    <n v="-83.038960901370956"/>
    <n v="-6.1955683269639241E-3"/>
    <n v="9411.0258199581294"/>
    <n v="8897.8700000000008"/>
    <n v="9123.6188525149955"/>
    <n v="9438.8791110784077"/>
    <n v="0.2658653175157013"/>
    <n v="0"/>
    <n v="21"/>
    <n v="0"/>
    <n v="0"/>
    <s v="DIESEL"/>
    <n v="71"/>
    <n v="0"/>
    <n v="71"/>
    <n v="0"/>
    <n v="1440"/>
    <n v="24"/>
    <n v="24"/>
    <n v="24"/>
    <n v="24"/>
    <n v="24"/>
    <n v="20"/>
    <n v="24"/>
    <n v="0"/>
    <n v="0"/>
    <n v="24"/>
    <n v="237.75484712233359"/>
    <m/>
    <m/>
    <n v="266.4158729738873"/>
  </r>
  <r>
    <x v="164"/>
    <x v="5"/>
    <n v="0"/>
    <n v="1326"/>
    <n v="1326"/>
    <n v="1441"/>
    <n v="0"/>
    <n v="0"/>
    <n v="7"/>
    <n v="497"/>
    <n v="24"/>
    <n v="24"/>
    <n v="0"/>
    <n v="1938"/>
    <n v="1441"/>
    <n v="1441"/>
    <n v="0"/>
    <n v="0"/>
    <n v="1441000"/>
    <n v="1441000"/>
    <n v="1428.3534999999997"/>
    <n v="1428.3534999999997"/>
    <n v="0"/>
    <n v="0"/>
    <n v="1428353.4999999998"/>
    <n v="36.36"/>
    <n v="36.36"/>
    <n v="1477.36"/>
    <n v="0"/>
    <n v="1428.3535000000002"/>
    <n v="178.54418749999996"/>
    <n v="7.4393411458333318"/>
    <n v="0"/>
    <n v="0"/>
    <n v="0"/>
    <n v="0"/>
    <n v="0.6"/>
    <n v="158.50323141488906"/>
    <n v="158.50323141488906"/>
    <n v="7.01"/>
    <n v="1851.8460870306205"/>
    <n v="7.6099999999999994"/>
    <n v="2010.3493184455092"/>
    <n v="0"/>
    <n v="0"/>
    <n v="0"/>
    <n v="0"/>
    <n v="0"/>
    <n v="0"/>
    <n v="0"/>
    <n v="0.10999530285557881"/>
    <n v="0"/>
    <n v="0"/>
    <n v="1.285111788362679"/>
    <n v="9.6450317032844826"/>
    <n v="382160"/>
    <n v="13528"/>
    <n v="382151"/>
    <n v="382151"/>
    <n v="13443.98063979574"/>
    <n v="-84.019360204260011"/>
    <n v="-6.2495894969941393E-3"/>
    <n v="9387.9250520471887"/>
    <n v="9006.3799999999992"/>
    <n v="9100.0031405992722"/>
    <n v="9412.2222823661941"/>
    <n v="0.26519847328244273"/>
    <n v="0"/>
    <n v="0"/>
    <n v="0"/>
    <n v="0"/>
    <s v="DIESEL"/>
    <n v="71"/>
    <n v="0"/>
    <n v="71"/>
    <n v="0"/>
    <n v="1440"/>
    <n v="24"/>
    <n v="24"/>
    <n v="24"/>
    <n v="24"/>
    <n v="24"/>
    <n v="24"/>
    <n v="24"/>
    <n v="0"/>
    <n v="0"/>
    <n v="24"/>
    <n v="158.50323141488906"/>
    <m/>
    <m/>
    <n v="264.33178531046701"/>
  </r>
  <r>
    <x v="165"/>
    <x v="5"/>
    <n v="0"/>
    <n v="1319"/>
    <n v="1319"/>
    <n v="1433"/>
    <n v="0"/>
    <n v="0"/>
    <n v="7"/>
    <n v="493"/>
    <n v="24"/>
    <n v="24"/>
    <n v="0"/>
    <n v="1926"/>
    <n v="1433"/>
    <n v="1433"/>
    <n v="0"/>
    <n v="0"/>
    <n v="1433000"/>
    <n v="1433000"/>
    <n v="1421.3763999999999"/>
    <n v="1421.3763999999999"/>
    <n v="0"/>
    <n v="0"/>
    <n v="1421376.4"/>
    <n v="36.07"/>
    <n v="36.07"/>
    <n v="1469.07"/>
    <n v="0"/>
    <n v="1421.3763999999999"/>
    <n v="180.55870357142854"/>
    <n v="7.5232793154761888"/>
    <n v="1"/>
    <n v="1"/>
    <n v="0"/>
    <n v="3.57"/>
    <n v="1.53"/>
    <n v="404.18324010796709"/>
    <n v="1347.2774670265569"/>
    <n v="10.53"/>
    <n v="2781.7317113313029"/>
    <n v="15.629999999999999"/>
    <n v="4129.0091783578591"/>
    <n v="0"/>
    <n v="11013"/>
    <n v="41.688739977191993"/>
    <n v="0"/>
    <n v="0"/>
    <n v="0"/>
    <n v="0"/>
    <n v="0.28205390098253114"/>
    <n v="404.18324010796709"/>
    <n v="404.18324010796709"/>
    <n v="1.94119449499742"/>
    <n v="14.722088334542647"/>
    <n v="381348"/>
    <n v="13499"/>
    <n v="382001"/>
    <n v="382001"/>
    <n v="13438.703675726643"/>
    <n v="-60.296324273356731"/>
    <n v="-4.4867664120212441E-3"/>
    <n v="9420.09769713887"/>
    <n v="8742.99"/>
    <n v="9147.7626496536195"/>
    <n v="9454.7114161503214"/>
    <n v="0.26657431960921146"/>
    <n v="0"/>
    <n v="0"/>
    <n v="0"/>
    <n v="0"/>
    <s v="DIESEL"/>
    <n v="71"/>
    <n v="0"/>
    <n v="71"/>
    <n v="0"/>
    <n v="1440"/>
    <n v="21"/>
    <n v="24"/>
    <n v="24"/>
    <n v="24"/>
    <n v="24"/>
    <n v="24"/>
    <n v="23"/>
    <n v="1"/>
    <n v="0"/>
    <n v="24"/>
    <n v="404.18324010796709"/>
    <m/>
    <m/>
    <n v="542.90483632097232"/>
  </r>
  <r>
    <x v="166"/>
    <x v="5"/>
    <n v="0"/>
    <n v="1343"/>
    <n v="1343"/>
    <n v="1370"/>
    <n v="10"/>
    <n v="518"/>
    <n v="7"/>
    <n v="443"/>
    <n v="24"/>
    <n v="24"/>
    <n v="0"/>
    <n v="2331"/>
    <n v="1370"/>
    <n v="1370"/>
    <n v="0"/>
    <n v="0"/>
    <n v="1370000"/>
    <n v="1370000"/>
    <n v="1358.6433000000002"/>
    <n v="1358.6433000000002"/>
    <n v="0"/>
    <n v="0"/>
    <n v="1358643.3000000003"/>
    <n v="35.42"/>
    <n v="35.42"/>
    <n v="1405.42"/>
    <n v="0"/>
    <n v="1358.6433000000002"/>
    <n v="185.15201428571427"/>
    <n v="7.7146672619047614"/>
    <n v="0"/>
    <n v="1"/>
    <n v="1"/>
    <n v="3.7"/>
    <n v="0.5"/>
    <n v="132.08602617907422"/>
    <n v="1109.5226199042233"/>
    <n v="6.0499999999999989"/>
    <n v="1598.2409167667977"/>
    <n v="10.25"/>
    <n v="2707.7635366710215"/>
    <n v="11013"/>
    <n v="0"/>
    <n v="41.688739977191993"/>
    <n v="0"/>
    <n v="0"/>
    <n v="0"/>
    <n v="0"/>
    <n v="9.6413157794944693E-2"/>
    <n v="0"/>
    <n v="132.08602617907422"/>
    <n v="1.1665992093188304"/>
    <n v="9.0750176022140749"/>
    <n v="360037"/>
    <n v="12745"/>
    <n v="359613"/>
    <n v="359613"/>
    <n v="12651.099198533735"/>
    <n v="-93.900801466264966"/>
    <n v="-7.4223433073031383E-3"/>
    <n v="9302.9197080291979"/>
    <n v="4773.51"/>
    <n v="9001.6501818201923"/>
    <n v="9311.5677960018893"/>
    <n v="0.26249124087591241"/>
    <n v="0"/>
    <n v="28.56"/>
    <n v="0"/>
    <n v="0"/>
    <s v="DIESEL"/>
    <n v="71"/>
    <n v="0"/>
    <n v="71"/>
    <n v="0"/>
    <n v="1390"/>
    <n v="24"/>
    <n v="24"/>
    <n v="24"/>
    <n v="8"/>
    <n v="24"/>
    <n v="24"/>
    <n v="24"/>
    <n v="3"/>
    <n v="0"/>
    <n v="24"/>
    <n v="-41506.703973820928"/>
    <n v="41638.79"/>
    <n v="628010"/>
    <n v="356.03164250095762"/>
  </r>
  <r>
    <x v="167"/>
    <x v="5"/>
    <n v="0"/>
    <n v="1306"/>
    <n v="1306"/>
    <n v="1381"/>
    <n v="0"/>
    <n v="0"/>
    <n v="3"/>
    <n v="213"/>
    <n v="24"/>
    <n v="24"/>
    <n v="0"/>
    <n v="1594"/>
    <n v="1381"/>
    <n v="1381"/>
    <n v="0"/>
    <n v="0"/>
    <n v="1381000"/>
    <n v="1381000"/>
    <n v="1368.8440000000005"/>
    <n v="1368.8440000000005"/>
    <n v="0"/>
    <n v="0"/>
    <n v="1368844.0000000005"/>
    <n v="37.43"/>
    <n v="37.43"/>
    <n v="1418.43"/>
    <n v="0"/>
    <n v="1368.8440000000001"/>
    <n v="171.10550000000006"/>
    <n v="7.1293958333333363"/>
    <n v="1"/>
    <n v="0"/>
    <n v="0"/>
    <n v="0"/>
    <n v="1.2"/>
    <n v="317.00646282977812"/>
    <n v="317.00646282977812"/>
    <n v="7.0600000000000014"/>
    <n v="1865.0546896485284"/>
    <n v="8.2600000000000016"/>
    <n v="2182.0611524783067"/>
    <n v="0"/>
    <n v="0"/>
    <n v="0"/>
    <n v="0"/>
    <n v="0"/>
    <n v="0"/>
    <n v="0"/>
    <n v="0.22954848865298921"/>
    <n v="317.00646282977812"/>
    <n v="0"/>
    <n v="1.3505102749084203"/>
    <n v="9.7138265085860827"/>
    <n v="372418"/>
    <n v="13183"/>
    <n v="370739"/>
    <n v="370739"/>
    <n v="13042.509213418865"/>
    <n v="-140.49078658113467"/>
    <n v="-1.0771760577833434E-2"/>
    <n v="9545.9811730629972"/>
    <n v="9298.25"/>
    <n v="9195.0319814293725"/>
    <n v="9528.1195033319054"/>
    <n v="0.26845691527878351"/>
    <n v="0"/>
    <n v="0"/>
    <n v="0"/>
    <n v="0"/>
    <s v="DIESEL"/>
    <n v="71"/>
    <n v="0"/>
    <n v="71"/>
    <n v="0"/>
    <n v="1390"/>
    <n v="24"/>
    <n v="24"/>
    <n v="23"/>
    <n v="24"/>
    <n v="24"/>
    <n v="24"/>
    <n v="24"/>
    <n v="1"/>
    <n v="0"/>
    <n v="24"/>
    <n v="317.00646282977812"/>
    <m/>
    <m/>
    <n v="286.90940166418642"/>
  </r>
  <r>
    <x v="168"/>
    <x v="5"/>
    <n v="0"/>
    <n v="1311"/>
    <n v="1311"/>
    <n v="1389"/>
    <n v="0"/>
    <n v="0"/>
    <n v="3"/>
    <n v="213"/>
    <n v="24"/>
    <n v="24"/>
    <n v="0"/>
    <n v="1602"/>
    <n v="1389"/>
    <n v="1389"/>
    <n v="0"/>
    <n v="0"/>
    <n v="1389000"/>
    <n v="1389000"/>
    <n v="1376.6634999999999"/>
    <n v="1376.6634999999999"/>
    <n v="0"/>
    <n v="0"/>
    <n v="1376663.5"/>
    <n v="36.57"/>
    <n v="36.57"/>
    <n v="1425.57"/>
    <n v="0"/>
    <n v="1376.6635000000003"/>
    <n v="174.02146428571425"/>
    <n v="7.2508943452380938"/>
    <n v="1"/>
    <n v="1"/>
    <n v="0"/>
    <n v="0"/>
    <n v="1.6"/>
    <n v="422.67528377303745"/>
    <n v="422.67528377303745"/>
    <n v="6.839999999999999"/>
    <n v="1806.936838129735"/>
    <n v="8.44"/>
    <n v="2229.6121219027727"/>
    <n v="0"/>
    <n v="0"/>
    <n v="0"/>
    <n v="0"/>
    <n v="0"/>
    <n v="0"/>
    <n v="0"/>
    <n v="0.30430186016777355"/>
    <n v="422.67528377303745"/>
    <n v="422.67528377303745"/>
    <n v="1.3008904522172318"/>
    <n v="9.5172699220100796"/>
    <n v="373512"/>
    <n v="13222"/>
    <n v="373471"/>
    <n v="373471"/>
    <n v="13138.620318997346"/>
    <n v="-83.379681002654252"/>
    <n v="-6.346151953420422E-3"/>
    <n v="9519.078473722102"/>
    <n v="9018.23"/>
    <n v="9216.3978752340081"/>
    <n v="9543.8139523546215"/>
    <n v="0.26887760979121672"/>
    <n v="0"/>
    <n v="0"/>
    <n v="0"/>
    <n v="0"/>
    <s v="DIESEL"/>
    <n v="71"/>
    <n v="0"/>
    <n v="71"/>
    <n v="0"/>
    <n v="1390"/>
    <n v="24"/>
    <n v="24"/>
    <n v="1"/>
    <n v="24"/>
    <n v="21"/>
    <n v="24"/>
    <n v="24"/>
    <n v="24"/>
    <n v="0"/>
    <n v="24"/>
    <n v="422.67528377303745"/>
    <m/>
    <m/>
    <n v="293.16166465444701"/>
  </r>
  <r>
    <x v="169"/>
    <x v="5"/>
    <n v="0"/>
    <n v="1309"/>
    <n v="1309"/>
    <n v="1382"/>
    <n v="0"/>
    <n v="0"/>
    <n v="5"/>
    <n v="335"/>
    <n v="24"/>
    <n v="24"/>
    <n v="0"/>
    <n v="1717"/>
    <n v="1382"/>
    <n v="1382"/>
    <n v="0"/>
    <n v="0"/>
    <n v="1382000"/>
    <n v="1382000"/>
    <n v="1370.2103000000002"/>
    <n v="1370.2103000000002"/>
    <n v="0"/>
    <n v="0"/>
    <n v="1370210.3000000003"/>
    <n v="36.729999999999997"/>
    <n v="36.729999999999997"/>
    <n v="1418.73"/>
    <n v="0"/>
    <n v="1370.2103"/>
    <n v="171.27628750000002"/>
    <n v="7.1365119791666674"/>
    <n v="0"/>
    <n v="0"/>
    <n v="0"/>
    <n v="0"/>
    <n v="1.4"/>
    <n v="369.84087330140778"/>
    <n v="369.84087330140778"/>
    <n v="6.8699999999999992"/>
    <n v="1814.8619997004794"/>
    <n v="8.27"/>
    <n v="2184.7028730018874"/>
    <n v="0"/>
    <n v="0"/>
    <n v="0"/>
    <n v="0"/>
    <n v="0"/>
    <n v="0"/>
    <n v="0"/>
    <n v="0.26761278820651796"/>
    <n v="0"/>
    <n v="0"/>
    <n v="1.3132141821276986"/>
    <n v="9.4524062484399956"/>
    <n v="371962"/>
    <n v="13167"/>
    <n v="371915"/>
    <n v="371915"/>
    <n v="13083.880611720582"/>
    <n v="-83.119388279417763"/>
    <n v="-6.3528085241743304E-3"/>
    <n v="9527.4963820549929"/>
    <n v="9045.48"/>
    <n v="9222.2484981078724"/>
    <n v="9548.8120412761309"/>
    <n v="0.26911360347322721"/>
    <n v="0"/>
    <n v="0"/>
    <n v="0"/>
    <n v="0"/>
    <s v="DIESEL"/>
    <n v="71"/>
    <n v="0"/>
    <n v="71"/>
    <n v="0"/>
    <n v="1390"/>
    <n v="24"/>
    <n v="24"/>
    <n v="24"/>
    <n v="24"/>
    <n v="24"/>
    <n v="24"/>
    <n v="24"/>
    <n v="24"/>
    <n v="0"/>
    <n v="0"/>
    <n v="369.84087330140778"/>
    <m/>
    <m/>
    <n v="287.25674960808971"/>
  </r>
  <r>
    <x v="170"/>
    <x v="5"/>
    <n v="0"/>
    <n v="1388"/>
    <n v="1388"/>
    <n v="1431"/>
    <n v="0"/>
    <n v="0"/>
    <n v="9"/>
    <n v="636"/>
    <n v="24"/>
    <n v="24"/>
    <n v="0"/>
    <n v="2067"/>
    <n v="1431"/>
    <n v="1431"/>
    <n v="0"/>
    <n v="0"/>
    <n v="1431000"/>
    <n v="1431000"/>
    <n v="1418.8615999999997"/>
    <n v="1418.8615999999997"/>
    <n v="0"/>
    <n v="0"/>
    <n v="1418861.5999999996"/>
    <n v="35.28"/>
    <n v="35.28"/>
    <n v="1466.28"/>
    <n v="0"/>
    <n v="1418.8616000000002"/>
    <n v="184.80648214285711"/>
    <n v="7.7002700892857128"/>
    <n v="1"/>
    <n v="2"/>
    <n v="0"/>
    <n v="0"/>
    <n v="1.5"/>
    <n v="396.25807853722262"/>
    <n v="396.25807853722262"/>
    <n v="6.4500000000000011"/>
    <n v="1703.9097377100575"/>
    <n v="7.9500000000000011"/>
    <n v="2100.1678162472804"/>
    <n v="0"/>
    <n v="0"/>
    <n v="0"/>
    <n v="0"/>
    <n v="0"/>
    <n v="0"/>
    <n v="0"/>
    <n v="0.27690990813223104"/>
    <n v="396.25807853722262"/>
    <n v="198.12903926861131"/>
    <n v="1.1907126049685937"/>
    <n v="9.246021832535197"/>
    <n v="381138"/>
    <n v="13492"/>
    <n v="380645"/>
    <n v="380645"/>
    <n v="13390.99992054201"/>
    <n v="-101.00007945799007"/>
    <n v="-7.5423851883573171E-3"/>
    <n v="9428.3717679944093"/>
    <n v="8755.0300000000007"/>
    <n v="9132.6349132103078"/>
    <n v="9437.8478637676926"/>
    <n v="0.26599930118798043"/>
    <n v="0"/>
    <n v="0"/>
    <n v="22.659474939024001"/>
    <n v="0"/>
    <s v="DIESEL"/>
    <n v="71"/>
    <n v="0"/>
    <n v="71"/>
    <n v="0"/>
    <n v="1390"/>
    <n v="24"/>
    <n v="24"/>
    <n v="23"/>
    <n v="24"/>
    <n v="24"/>
    <n v="1"/>
    <n v="18"/>
    <n v="24"/>
    <n v="0"/>
    <n v="23"/>
    <n v="396.25807853722262"/>
    <m/>
    <m/>
    <n v="276.14161540318179"/>
  </r>
  <r>
    <x v="171"/>
    <x v="5"/>
    <n v="0"/>
    <n v="1397"/>
    <n v="1397"/>
    <n v="1417"/>
    <n v="4"/>
    <n v="266"/>
    <n v="3"/>
    <n v="204"/>
    <n v="24"/>
    <n v="24"/>
    <n v="0"/>
    <n v="1887"/>
    <n v="1417"/>
    <n v="1417"/>
    <n v="0"/>
    <n v="0"/>
    <n v="1417000"/>
    <n v="1417000"/>
    <n v="1404.8969999999997"/>
    <n v="1404.8969999999997"/>
    <n v="0"/>
    <n v="0"/>
    <n v="1404896.9999999998"/>
    <n v="35.380000000000003"/>
    <n v="35.380000000000003"/>
    <n v="1452.38"/>
    <n v="0"/>
    <n v="1404.8970000000002"/>
    <n v="182.0468982142857"/>
    <n v="7.5852874255952374"/>
    <n v="1"/>
    <n v="1"/>
    <n v="0"/>
    <n v="0"/>
    <n v="1.3"/>
    <n v="343.42366806559295"/>
    <n v="343.42366806559295"/>
    <n v="6.65"/>
    <n v="1756.744148181687"/>
    <n v="7.95"/>
    <n v="2100.1678162472799"/>
    <n v="0"/>
    <n v="0"/>
    <n v="0"/>
    <n v="0"/>
    <n v="0"/>
    <n v="0"/>
    <n v="0"/>
    <n v="0.24235968106252148"/>
    <n v="343.42366806559295"/>
    <n v="343.42366806559295"/>
    <n v="1.2397629838967446"/>
    <n v="9.4858208681579193"/>
    <n v="377433"/>
    <n v="13361"/>
    <n v="377425"/>
    <n v="377425"/>
    <n v="13277.721091858735"/>
    <n v="-83.278908141264765"/>
    <n v="-6.2720784361352056E-3"/>
    <n v="9429.0755116443197"/>
    <n v="9003.19"/>
    <n v="9142.0434678656657"/>
    <n v="9451.0281478704401"/>
    <n v="0.26635497529992941"/>
    <n v="0"/>
    <n v="0"/>
    <n v="0"/>
    <n v="0"/>
    <s v="DIESEL"/>
    <n v="71"/>
    <n v="0"/>
    <n v="71"/>
    <n v="0"/>
    <n v="1390"/>
    <n v="24"/>
    <n v="24"/>
    <n v="24"/>
    <n v="19"/>
    <n v="24"/>
    <n v="0"/>
    <n v="23"/>
    <n v="24"/>
    <n v="0"/>
    <n v="24"/>
    <n v="343.42366806559295"/>
    <m/>
    <m/>
    <n v="276.14161540318173"/>
  </r>
  <r>
    <x v="172"/>
    <x v="5"/>
    <n v="0"/>
    <n v="1396"/>
    <n v="1396"/>
    <n v="1362"/>
    <n v="11"/>
    <n v="484"/>
    <n v="7"/>
    <n v="479"/>
    <n v="24"/>
    <n v="24"/>
    <n v="0"/>
    <n v="2325"/>
    <n v="1362"/>
    <n v="1362"/>
    <n v="0"/>
    <n v="0"/>
    <n v="1362000"/>
    <n v="1362000"/>
    <n v="1349.6020999999996"/>
    <n v="1349.6020999999996"/>
    <n v="0"/>
    <n v="0"/>
    <n v="1349602.0999999996"/>
    <n v="35.380000000000003"/>
    <n v="35.380000000000003"/>
    <n v="1397.38"/>
    <n v="0"/>
    <n v="1349.6021000000001"/>
    <n v="177.98223214285713"/>
    <n v="7.415926339285714"/>
    <n v="1"/>
    <n v="0"/>
    <n v="0"/>
    <n v="0"/>
    <n v="1.9"/>
    <n v="501.92689948048201"/>
    <n v="501.92689948048201"/>
    <n v="6.0999999999999988"/>
    <n v="1611.4495193847051"/>
    <n v="7.9999999999999982"/>
    <n v="2113.3764188651867"/>
    <n v="0"/>
    <n v="11032"/>
    <n v="41.760662801088003"/>
    <n v="0"/>
    <n v="0"/>
    <n v="0"/>
    <n v="0"/>
    <n v="0.36852195262884141"/>
    <n v="501.92689948048201"/>
    <n v="0"/>
    <n v="1.183149426861017"/>
    <n v="8.8529086593831874"/>
    <n v="362413"/>
    <n v="12829"/>
    <n v="362402"/>
    <n v="362402"/>
    <n v="12749.215550458472"/>
    <n v="-79.784449541528375"/>
    <n v="-6.2579889112204445E-3"/>
    <n v="9419.2364170337751"/>
    <n v="0"/>
    <n v="9123.6568080682919"/>
    <n v="9446.6476826454818"/>
    <n v="0.26608076358296623"/>
    <n v="0"/>
    <n v="32.4"/>
    <n v="0"/>
    <n v="0"/>
    <s v="DIESEL"/>
    <n v="71"/>
    <n v="0"/>
    <n v="71"/>
    <n v="0"/>
    <n v="1390"/>
    <n v="24"/>
    <n v="24"/>
    <n v="24"/>
    <n v="13"/>
    <n v="23"/>
    <n v="0"/>
    <n v="24"/>
    <n v="24"/>
    <n v="0"/>
    <n v="24"/>
    <n v="501.92689948048201"/>
    <m/>
    <m/>
    <n v="277.87835512269851"/>
  </r>
  <r>
    <x v="173"/>
    <x v="5"/>
    <n v="0"/>
    <n v="1437"/>
    <n v="1437"/>
    <n v="1412"/>
    <n v="1"/>
    <n v="71"/>
    <n v="1"/>
    <n v="71"/>
    <n v="24"/>
    <n v="24"/>
    <n v="0"/>
    <n v="1554"/>
    <n v="1412"/>
    <n v="1412"/>
    <n v="0"/>
    <n v="0"/>
    <n v="1412000"/>
    <n v="1412000"/>
    <n v="1400.4241999999999"/>
    <n v="1400.4241999999999"/>
    <n v="0"/>
    <n v="0"/>
    <n v="1400424.2"/>
    <n v="37.130000000000003"/>
    <n v="37.130000000000003"/>
    <n v="1449.13"/>
    <n v="0"/>
    <n v="1400.4242000000002"/>
    <n v="175.05302499999999"/>
    <n v="7.2938760416666666"/>
    <n v="0"/>
    <n v="0"/>
    <n v="0"/>
    <n v="0"/>
    <n v="0.8"/>
    <n v="211.33764188651872"/>
    <n v="211.33764188651872"/>
    <n v="6.9299999999999988"/>
    <n v="1830.7123228419684"/>
    <n v="7.7299999999999986"/>
    <n v="2042.0499647284871"/>
    <n v="0"/>
    <n v="0"/>
    <n v="0"/>
    <n v="0"/>
    <n v="0"/>
    <n v="0"/>
    <n v="0"/>
    <n v="0.14967255091113224"/>
    <n v="0"/>
    <n v="0"/>
    <n v="1.2965384722676829"/>
    <n v="9.5349600148019213"/>
    <n v="379757"/>
    <n v="13443"/>
    <n v="379747"/>
    <n v="379747"/>
    <n v="13359.408495648351"/>
    <n v="-83.591504351648837"/>
    <n v="-6.2571261578592838E-3"/>
    <n v="9520.5382436260625"/>
    <n v="0"/>
    <n v="9218.9165193242497"/>
    <n v="9539.5441578689879"/>
    <n v="0.2689426345609065"/>
    <n v="0"/>
    <n v="0"/>
    <n v="0"/>
    <n v="0"/>
    <s v="DIESEL"/>
    <n v="71"/>
    <n v="0"/>
    <n v="71"/>
    <n v="0"/>
    <n v="1390"/>
    <n v="24"/>
    <n v="24"/>
    <n v="24"/>
    <n v="24"/>
    <n v="24"/>
    <n v="0"/>
    <n v="24"/>
    <n v="24"/>
    <n v="0"/>
    <n v="24"/>
    <n v="211.33764188651872"/>
    <m/>
    <m/>
    <n v="268.49996063730748"/>
  </r>
  <r>
    <x v="174"/>
    <x v="5"/>
    <n v="0"/>
    <n v="1377"/>
    <n v="1377"/>
    <n v="1577"/>
    <n v="16"/>
    <n v="1129"/>
    <n v="0"/>
    <n v="0"/>
    <n v="24"/>
    <n v="24"/>
    <n v="0"/>
    <n v="2706"/>
    <n v="1577"/>
    <n v="1577"/>
    <n v="0"/>
    <n v="0"/>
    <n v="1577000"/>
    <n v="1577000"/>
    <n v="1563.7295999999999"/>
    <n v="1563.7295999999999"/>
    <n v="0"/>
    <n v="0"/>
    <n v="1563729.5999999999"/>
    <n v="36.950000000000003"/>
    <n v="36.950000000000003"/>
    <n v="1613.95"/>
    <n v="0"/>
    <n v="1563.7295999999999"/>
    <n v="195.46619999999999"/>
    <n v="8.144425"/>
    <n v="0"/>
    <n v="0"/>
    <n v="0"/>
    <n v="14.3"/>
    <n v="0"/>
    <n v="0"/>
    <n v="3777.6603487215225"/>
    <n v="6.5500000000000025"/>
    <n v="1730.3269429458728"/>
    <n v="20.85"/>
    <n v="5507.9872916673949"/>
    <n v="0"/>
    <n v="0"/>
    <n v="0"/>
    <n v="0"/>
    <n v="0"/>
    <n v="0"/>
    <n v="0"/>
    <n v="0"/>
    <n v="0"/>
    <n v="0"/>
    <n v="1.0972269771375225"/>
    <n v="9.0121194945097525"/>
    <n v="404350"/>
    <n v="14313"/>
    <n v="404048"/>
    <n v="404048"/>
    <n v="14214.311854602473"/>
    <n v="-98.688145397527478"/>
    <n v="-6.9428718327699491E-3"/>
    <n v="9076.0938490805329"/>
    <n v="0"/>
    <n v="8807.1575046330254"/>
    <n v="9090.006261058481"/>
    <n v="0.2562130627774255"/>
    <n v="0"/>
    <n v="0"/>
    <n v="0"/>
    <n v="0"/>
    <s v="DIESEL"/>
    <n v="71"/>
    <n v="0"/>
    <n v="71"/>
    <n v="0"/>
    <n v="1390"/>
    <n v="24"/>
    <n v="24"/>
    <n v="24"/>
    <n v="24"/>
    <n v="24"/>
    <n v="0"/>
    <n v="24"/>
    <n v="24"/>
    <n v="0"/>
    <n v="24"/>
    <n v="0"/>
    <m/>
    <m/>
    <n v="724.22046303853324"/>
  </r>
  <r>
    <x v="175"/>
    <x v="5"/>
    <n v="0"/>
    <n v="1577"/>
    <n v="1577"/>
    <n v="1572"/>
    <n v="1"/>
    <n v="71"/>
    <n v="0"/>
    <n v="0"/>
    <n v="24"/>
    <n v="24"/>
    <n v="0"/>
    <n v="1643"/>
    <n v="1572"/>
    <n v="1572"/>
    <n v="0"/>
    <n v="0"/>
    <n v="1572000"/>
    <n v="1572000"/>
    <n v="1557.2802999999999"/>
    <n v="1557.2802999999999"/>
    <n v="0"/>
    <n v="0"/>
    <n v="1557280.2999999998"/>
    <n v="36.700000000000003"/>
    <n v="36.700000000000003"/>
    <n v="1608.7"/>
    <n v="0"/>
    <n v="1557.2802999999999"/>
    <n v="193.83558333333332"/>
    <n v="8.0764826388888888"/>
    <n v="1"/>
    <n v="1"/>
    <n v="0"/>
    <n v="4.0999999999999996"/>
    <n v="0"/>
    <n v="0"/>
    <n v="1083.1054146684085"/>
    <n v="7.049999999999998"/>
    <n v="1862.4129691249459"/>
    <n v="11.149999999999999"/>
    <n v="2945.5183837933546"/>
    <n v="0"/>
    <n v="0"/>
    <n v="0"/>
    <n v="0"/>
    <n v="0"/>
    <n v="0"/>
    <n v="0"/>
    <n v="0"/>
    <n v="0"/>
    <n v="0"/>
    <n v="1.1847410745069631"/>
    <n v="9.6587906643448047"/>
    <n v="413481"/>
    <n v="14637"/>
    <n v="412998"/>
    <n v="412998"/>
    <n v="14529.17071072524"/>
    <n v="-107.8292892747595"/>
    <n v="-7.4215721889179373E-3"/>
    <n v="9311.0687022900747"/>
    <n v="0"/>
    <n v="9031.622248228532"/>
    <n v="9329.8365815872985"/>
    <n v="0.26272137404580154"/>
    <n v="0"/>
    <n v="0"/>
    <n v="0"/>
    <n v="0"/>
    <s v="DIESEL"/>
    <n v="71"/>
    <n v="0"/>
    <n v="71"/>
    <n v="0"/>
    <n v="1390"/>
    <n v="24"/>
    <n v="24"/>
    <n v="24"/>
    <n v="24"/>
    <n v="24"/>
    <n v="0"/>
    <n v="23"/>
    <n v="24"/>
    <n v="0"/>
    <n v="24"/>
    <n v="0"/>
    <m/>
    <m/>
    <n v="387.29295745226113"/>
  </r>
  <r>
    <x v="176"/>
    <x v="5"/>
    <n v="0"/>
    <n v="1650"/>
    <n v="1650"/>
    <n v="1612"/>
    <n v="0"/>
    <n v="0"/>
    <n v="0"/>
    <n v="0"/>
    <n v="24"/>
    <n v="24"/>
    <n v="0"/>
    <n v="1612"/>
    <n v="1612"/>
    <n v="1612"/>
    <n v="0"/>
    <n v="0"/>
    <n v="1612000"/>
    <n v="1612000"/>
    <n v="1597.4405999999997"/>
    <n v="1597.4405999999997"/>
    <n v="0"/>
    <n v="0"/>
    <n v="1597440.5999999996"/>
    <n v="36.869999999999997"/>
    <n v="36.869999999999997"/>
    <n v="1648.87"/>
    <n v="0"/>
    <n v="1597.4406000000004"/>
    <n v="198.73725138888886"/>
    <n v="8.28071880787037"/>
    <n v="1"/>
    <n v="0"/>
    <n v="0"/>
    <n v="20.5"/>
    <n v="0.3"/>
    <n v="79.251615707444529"/>
    <n v="5494.7786890494872"/>
    <n v="7.269999999999996"/>
    <n v="1920.530820643738"/>
    <n v="28.069999999999997"/>
    <n v="7415.3095096932257"/>
    <n v="0"/>
    <n v="0"/>
    <n v="0"/>
    <n v="0"/>
    <n v="0"/>
    <n v="0"/>
    <n v="0"/>
    <n v="4.9163533317273279E-2"/>
    <n v="79.251615707444529"/>
    <n v="0"/>
    <n v="1.1913962907219218"/>
    <n v="9.955372713867261"/>
    <n v="403844"/>
    <n v="14295"/>
    <n v="403356"/>
    <n v="403356"/>
    <n v="14189.967460363705"/>
    <n v="-105.03253963629504"/>
    <n v="-7.4018872791412971E-3"/>
    <n v="8867.8660049627797"/>
    <n v="0"/>
    <n v="8605.873998777166"/>
    <n v="8882.9390340797072"/>
    <n v="0.25022084367245656"/>
    <n v="0"/>
    <n v="0"/>
    <n v="0"/>
    <n v="0"/>
    <s v="DIESEL"/>
    <n v="71"/>
    <n v="0"/>
    <n v="71"/>
    <n v="0"/>
    <n v="1390"/>
    <n v="24"/>
    <n v="24"/>
    <n v="24"/>
    <n v="24"/>
    <n v="24"/>
    <n v="0"/>
    <n v="24"/>
    <n v="24"/>
    <n v="0"/>
    <n v="24"/>
    <n v="79.251615707444529"/>
    <m/>
    <m/>
    <n v="975.00567853676864"/>
  </r>
  <r>
    <x v="177"/>
    <x v="5"/>
    <n v="0"/>
    <n v="1652"/>
    <n v="1652"/>
    <n v="1595"/>
    <n v="0"/>
    <n v="0"/>
    <n v="2"/>
    <n v="142"/>
    <n v="24"/>
    <n v="24"/>
    <n v="0"/>
    <n v="1737"/>
    <n v="1595"/>
    <n v="1595"/>
    <n v="0"/>
    <n v="0"/>
    <n v="1595000"/>
    <n v="1595000"/>
    <n v="1580.8801999999998"/>
    <n v="1580.8801999999998"/>
    <n v="0"/>
    <n v="0"/>
    <n v="1580880.1999999997"/>
    <n v="36.64"/>
    <n v="36.64"/>
    <n v="1631.64"/>
    <n v="0"/>
    <n v="1580.8802000000003"/>
    <n v="197.61002499999998"/>
    <n v="8.2337510416666664"/>
    <n v="0"/>
    <n v="1"/>
    <n v="0"/>
    <n v="44.5"/>
    <n v="1.5"/>
    <n v="396.25807853722262"/>
    <n v="12151.914408474828"/>
    <n v="6.5500000000000034"/>
    <n v="1730.326942945873"/>
    <n v="52.550000000000004"/>
    <n v="13882.241351420702"/>
    <n v="0"/>
    <n v="0"/>
    <n v="0"/>
    <n v="0"/>
    <n v="0"/>
    <n v="0"/>
    <n v="0"/>
    <n v="0.24843766679449694"/>
    <n v="0"/>
    <n v="396.25807853722262"/>
    <n v="1.0848444783359705"/>
    <n v="9.0121194945097542"/>
    <n v="377039"/>
    <n v="13347"/>
    <n v="376627"/>
    <n v="376627"/>
    <n v="13249.64764301114"/>
    <n v="-97.352356988860265"/>
    <n v="-7.3475430903410643E-3"/>
    <n v="8368.0250783699048"/>
    <n v="0"/>
    <n v="8120.4479192782346"/>
    <n v="8381.1838765588582"/>
    <n v="0.23612978056426331"/>
    <n v="0"/>
    <n v="0"/>
    <n v="0"/>
    <n v="0"/>
    <s v="DIESEL"/>
    <n v="71"/>
    <n v="0"/>
    <n v="71"/>
    <n v="0"/>
    <n v="1390"/>
    <n v="24"/>
    <n v="24"/>
    <n v="24"/>
    <n v="24"/>
    <n v="24"/>
    <n v="0"/>
    <n v="24"/>
    <n v="24"/>
    <n v="0"/>
    <n v="24"/>
    <n v="396.25807853722262"/>
    <m/>
    <m/>
    <n v="1825.3134452122267"/>
  </r>
  <r>
    <x v="178"/>
    <x v="5"/>
    <n v="0"/>
    <n v="1272"/>
    <n v="1272"/>
    <n v="1289"/>
    <n v="2"/>
    <n v="115"/>
    <n v="0"/>
    <n v="0"/>
    <n v="24"/>
    <n v="24"/>
    <n v="0"/>
    <n v="1404"/>
    <n v="1289"/>
    <n v="1289"/>
    <n v="0"/>
    <n v="0"/>
    <n v="1289000"/>
    <n v="1289000"/>
    <n v="1278.4760000000003"/>
    <n v="1278.4760000000003"/>
    <n v="0"/>
    <n v="0"/>
    <n v="1278476.0000000002"/>
    <n v="36.85"/>
    <n v="36.85"/>
    <n v="1325.85"/>
    <n v="0"/>
    <n v="1278.4760000000001"/>
    <n v="160.77931607142861"/>
    <n v="6.6991381696428585"/>
    <n v="1"/>
    <n v="1"/>
    <n v="0"/>
    <n v="0"/>
    <n v="1.5"/>
    <n v="396.25807853722262"/>
    <n v="396.25807853722262"/>
    <n v="6.4700000000000006"/>
    <n v="1709.1931787572205"/>
    <n v="7.9700000000000006"/>
    <n v="2105.4512572944432"/>
    <n v="0"/>
    <n v="11013"/>
    <n v="41.688739977191993"/>
    <n v="0"/>
    <n v="0"/>
    <n v="0"/>
    <n v="0"/>
    <n v="0.30741511135548688"/>
    <n v="396.25807853722262"/>
    <n v="396.25807853722262"/>
    <n v="1.3259838469800005"/>
    <n v="8.9590492161342308"/>
    <n v="351398"/>
    <n v="12439"/>
    <n v="350217"/>
    <n v="350217"/>
    <n v="12320.55016924552"/>
    <n v="-118.44983075447999"/>
    <n v="-9.6140049857638427E-3"/>
    <n v="9650.1163692785103"/>
    <n v="0"/>
    <n v="9292.5671601203157"/>
    <n v="9636.9037582602396"/>
    <n v="0.27169666408068271"/>
    <n v="0"/>
    <n v="42.6"/>
    <n v="0"/>
    <n v="0"/>
    <s v="DIESEL"/>
    <n v="71"/>
    <n v="0"/>
    <n v="71"/>
    <n v="0"/>
    <n v="1390"/>
    <n v="24"/>
    <n v="24"/>
    <n v="24"/>
    <n v="22"/>
    <n v="24"/>
    <n v="0"/>
    <n v="24"/>
    <n v="24"/>
    <n v="0"/>
    <n v="24"/>
    <n v="396.25807853722262"/>
    <m/>
    <m/>
    <n v="276.83631129098853"/>
  </r>
  <r>
    <x v="179"/>
    <x v="5"/>
    <n v="0"/>
    <n v="1056"/>
    <n v="1056"/>
    <n v="1107"/>
    <n v="0"/>
    <n v="0"/>
    <n v="3"/>
    <n v="186"/>
    <n v="24"/>
    <n v="24"/>
    <n v="0"/>
    <n v="1293"/>
    <n v="1107"/>
    <n v="1107"/>
    <n v="0"/>
    <n v="0"/>
    <n v="1107000"/>
    <n v="1107000"/>
    <n v="1097.9824000000003"/>
    <n v="1097.9824000000003"/>
    <n v="0"/>
    <n v="0"/>
    <n v="1097982.4000000004"/>
    <n v="33.9"/>
    <n v="33.9"/>
    <n v="1140.9000000000001"/>
    <n v="0"/>
    <n v="1097.9823999999999"/>
    <n v="158.94555238095242"/>
    <n v="6.6227313492063509"/>
    <n v="1"/>
    <n v="2"/>
    <n v="0"/>
    <n v="0"/>
    <n v="1"/>
    <n v="264.17205235814845"/>
    <n v="264.17205235814845"/>
    <n v="6.0800000000000018"/>
    <n v="1606.1660783375428"/>
    <n v="7.0800000000000018"/>
    <n v="1870.3381306956912"/>
    <n v="0"/>
    <n v="0"/>
    <n v="0"/>
    <n v="0"/>
    <n v="0"/>
    <n v="0"/>
    <n v="0"/>
    <n v="0.23863780700826417"/>
    <n v="264.17205235814845"/>
    <n v="132.08602617907422"/>
    <n v="1.4509178666102465"/>
    <n v="9.6863085864654419"/>
    <n v="301425"/>
    <n v="10670"/>
    <n v="301358"/>
    <n v="301358"/>
    <n v="10601.702252898893"/>
    <n v="-68.297747101107234"/>
    <n v="-6.4421491447217479E-3"/>
    <n v="9638.6630532971994"/>
    <n v="8297.3799999999992"/>
    <n v="9292.4027109289964"/>
    <n v="9655.6213040381062"/>
    <n v="0.27222944896115625"/>
    <n v="0"/>
    <n v="39.299999999999997"/>
    <n v="0"/>
    <n v="0"/>
    <s v="DIESEL"/>
    <n v="62"/>
    <n v="0"/>
    <n v="62"/>
    <n v="0"/>
    <n v="1390"/>
    <n v="24"/>
    <n v="9"/>
    <n v="24"/>
    <n v="24"/>
    <n v="24"/>
    <n v="0"/>
    <n v="12"/>
    <n v="24"/>
    <n v="0"/>
    <n v="24"/>
    <n v="264.17205235814845"/>
    <m/>
    <m/>
    <n v="245.92234428358833"/>
  </r>
  <r>
    <x v="180"/>
    <x v="5"/>
    <n v="0"/>
    <n v="1056"/>
    <n v="1056"/>
    <n v="1112"/>
    <n v="0"/>
    <n v="0"/>
    <n v="3"/>
    <n v="186"/>
    <n v="24"/>
    <n v="24"/>
    <n v="0"/>
    <n v="1298"/>
    <n v="1112"/>
    <n v="1112"/>
    <n v="0"/>
    <n v="0"/>
    <n v="1112000"/>
    <n v="1112000"/>
    <n v="1102.2834"/>
    <n v="1102.2834"/>
    <n v="0"/>
    <n v="0"/>
    <n v="1102283.4000000001"/>
    <n v="33.94"/>
    <n v="33.94"/>
    <n v="1145.94"/>
    <n v="0"/>
    <n v="1102.2833999999998"/>
    <n v="157.46905714285717"/>
    <n v="6.561210714285715"/>
    <n v="0"/>
    <n v="0"/>
    <n v="0"/>
    <n v="1.5"/>
    <n v="1.6"/>
    <n v="422.67528377303745"/>
    <n v="818.93336231026012"/>
    <n v="10.89"/>
    <n v="2876.8336501802364"/>
    <n v="13.99"/>
    <n v="3695.7670124904967"/>
    <n v="11031"/>
    <n v="0"/>
    <n v="41.756877389303995"/>
    <n v="0"/>
    <n v="0"/>
    <n v="0"/>
    <n v="0"/>
    <n v="0.38010367245776749"/>
    <n v="0"/>
    <n v="0"/>
    <n v="2.5870806206656805"/>
    <n v="17.12400982250141"/>
    <n v="301786"/>
    <n v="10683"/>
    <n v="301415"/>
    <n v="301415"/>
    <n v="10603.707499245149"/>
    <n v="-79.292500754851062"/>
    <n v="-7.4778091304853224E-3"/>
    <n v="9607.0143884892077"/>
    <n v="8480.67"/>
    <n v="9253.2833300566763"/>
    <n v="9619.7652067019681"/>
    <n v="0.271056654676259"/>
    <n v="0"/>
    <n v="0"/>
    <n v="0"/>
    <n v="0"/>
    <s v="DIESEL"/>
    <n v="62"/>
    <n v="0"/>
    <n v="62"/>
    <n v="0"/>
    <n v="1390"/>
    <n v="17"/>
    <n v="24"/>
    <n v="16"/>
    <n v="24"/>
    <n v="24"/>
    <n v="0"/>
    <n v="24"/>
    <n v="24"/>
    <n v="0"/>
    <n v="16"/>
    <n v="422.67528377303745"/>
    <m/>
    <m/>
    <n v="485.93977352081919"/>
  </r>
  <r>
    <x v="181"/>
    <x v="6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302.3525"/>
    <n v="1302.3525"/>
    <n v="0"/>
    <n v="0"/>
    <n v="1302352.5"/>
    <n v="36.619999999999997"/>
    <n v="36.619999999999997"/>
    <n v="1348.62"/>
    <n v="0"/>
    <n v="1302.3524999999997"/>
    <n v="162.7940625"/>
    <n v="6.7830859375000001"/>
    <n v="1"/>
    <n v="0"/>
    <n v="0"/>
    <n v="0"/>
    <n v="1.1000000000000001"/>
    <n v="290.58925759396328"/>
    <n v="290.58925759396328"/>
    <n v="7.2399999999999975"/>
    <n v="1912.6056590729938"/>
    <n v="8.3399999999999981"/>
    <n v="2203.1949166669574"/>
    <n v="0"/>
    <n v="0"/>
    <n v="0"/>
    <n v="0"/>
    <n v="0"/>
    <n v="0"/>
    <n v="0"/>
    <n v="0.22148571462954519"/>
    <n v="290.58925759396328"/>
    <n v="0"/>
    <n v="1.4577787035617331"/>
    <n v="9.9614878076718441"/>
    <n v="355741"/>
    <n v="12593"/>
    <n v="355377"/>
    <n v="355377"/>
    <n v="12502.077733222446"/>
    <n v="-90.922266777553887"/>
    <n v="-7.2725725049638144E-3"/>
    <n v="9598.3231707317063"/>
    <n v="8418.8799999999992"/>
    <n v="9270.2746016093824"/>
    <n v="9599.6112674736269"/>
    <n v="0.27086661585365851"/>
    <n v="0"/>
    <n v="0"/>
    <n v="0"/>
    <n v="0"/>
    <s v="DIESEL"/>
    <n v="71"/>
    <n v="0"/>
    <n v="71"/>
    <n v="0"/>
    <n v="1340"/>
    <n v="24"/>
    <n v="24"/>
    <n v="24"/>
    <n v="24"/>
    <n v="24"/>
    <n v="0"/>
    <n v="24"/>
    <n v="24"/>
    <n v="0"/>
    <n v="24"/>
    <n v="290.58925759396328"/>
    <m/>
    <m/>
    <n v="289.68818521541323"/>
  </r>
  <r>
    <x v="182"/>
    <x v="6"/>
    <n v="0"/>
    <n v="1272"/>
    <n v="1272"/>
    <n v="1327"/>
    <n v="0"/>
    <n v="0"/>
    <n v="0"/>
    <n v="0"/>
    <n v="24"/>
    <n v="24"/>
    <n v="0"/>
    <n v="1327"/>
    <n v="1327"/>
    <n v="1327"/>
    <n v="0"/>
    <n v="0"/>
    <n v="1327000"/>
    <n v="1327000"/>
    <n v="1315.6572000000001"/>
    <n v="1315.6572000000001"/>
    <n v="0"/>
    <n v="0"/>
    <n v="1315657.2000000002"/>
    <n v="36.22"/>
    <n v="36.22"/>
    <n v="1363.22"/>
    <n v="0"/>
    <n v="1315.6571999999999"/>
    <n v="164.45715000000001"/>
    <n v="6.8523812500000005"/>
    <n v="0"/>
    <n v="0"/>
    <n v="0"/>
    <n v="0"/>
    <n v="2.5"/>
    <n v="660.43013089537101"/>
    <n v="660.43013089537101"/>
    <n v="8.2299999999999986"/>
    <n v="2174.1359909075609"/>
    <n v="10.729999999999999"/>
    <n v="2834.5661218029322"/>
    <n v="0"/>
    <n v="0"/>
    <n v="0"/>
    <n v="0"/>
    <n v="0"/>
    <n v="0"/>
    <n v="0"/>
    <n v="0.49768660956697136"/>
    <n v="0"/>
    <n v="0"/>
    <n v="1.6383843186944693"/>
    <n v="11.323624952643549"/>
    <n v="359541"/>
    <n v="12727"/>
    <n v="359139"/>
    <n v="359139"/>
    <n v="12634.423992075388"/>
    <n v="-92.576007924611986"/>
    <n v="-7.3272836167820442E-3"/>
    <n v="9590.8063300678223"/>
    <n v="0"/>
    <n v="9268.0741128177306"/>
    <n v="9603.1276171903955"/>
    <n v="0.27063978899773927"/>
    <n v="0"/>
    <n v="0"/>
    <n v="0"/>
    <n v="0"/>
    <s v="DIESEL"/>
    <n v="71"/>
    <n v="0"/>
    <n v="71"/>
    <n v="0"/>
    <n v="1340"/>
    <n v="24"/>
    <n v="24"/>
    <n v="24"/>
    <n v="24"/>
    <n v="24"/>
    <n v="0"/>
    <n v="24"/>
    <n v="24"/>
    <n v="0"/>
    <n v="24"/>
    <n v="660.43013089537101"/>
    <m/>
    <m/>
    <n v="372.70434380831944"/>
  </r>
  <r>
    <x v="183"/>
    <x v="6"/>
    <n v="0"/>
    <n v="1272"/>
    <n v="1272"/>
    <n v="1313"/>
    <n v="0"/>
    <n v="0"/>
    <n v="0"/>
    <n v="0"/>
    <n v="24"/>
    <n v="24"/>
    <n v="0"/>
    <n v="1313"/>
    <n v="1313"/>
    <n v="1313"/>
    <n v="0"/>
    <n v="0"/>
    <n v="1313000"/>
    <n v="1313000"/>
    <n v="1301.2222000000004"/>
    <n v="1301.2222000000004"/>
    <n v="0"/>
    <n v="0"/>
    <n v="1301222.2000000004"/>
    <n v="35.72"/>
    <n v="35.72"/>
    <n v="1348.72"/>
    <n v="0"/>
    <n v="1301.2222000000004"/>
    <n v="162.65277500000005"/>
    <n v="6.7771989583333356"/>
    <n v="0"/>
    <n v="0"/>
    <n v="0"/>
    <n v="0"/>
    <n v="1.3"/>
    <n v="343.42366806559295"/>
    <n v="343.42366806559295"/>
    <n v="6.5699999999999994"/>
    <n v="1735.6103839930349"/>
    <n v="7.8699999999999992"/>
    <n v="2079.0340520586278"/>
    <n v="0"/>
    <n v="0"/>
    <n v="0"/>
    <n v="0"/>
    <n v="0"/>
    <n v="0"/>
    <n v="0"/>
    <n v="0.26155648748331528"/>
    <n v="0"/>
    <n v="0"/>
    <n v="1.3218662482810624"/>
    <n v="9.0396374166303914"/>
    <n v="356035"/>
    <n v="12603"/>
    <n v="355758"/>
    <n v="355758"/>
    <n v="12515.481221957951"/>
    <n v="-87.518778042049235"/>
    <n v="-6.9928416246992373E-3"/>
    <n v="9598.6290936785972"/>
    <n v="0"/>
    <n v="9279.5251957099699"/>
    <n v="9618.250612353484"/>
    <n v="0.27095049504950497"/>
    <n v="0"/>
    <n v="0"/>
    <n v="0"/>
    <n v="0"/>
    <s v="DIESEL"/>
    <n v="71"/>
    <n v="0"/>
    <n v="71"/>
    <n v="0"/>
    <n v="1340"/>
    <n v="24"/>
    <n v="24"/>
    <n v="24"/>
    <n v="72"/>
    <n v="24"/>
    <n v="0"/>
    <n v="24"/>
    <n v="24"/>
    <n v="0"/>
    <n v="24"/>
    <n v="343.42366806559295"/>
    <m/>
    <m/>
    <n v="273.3628318519547"/>
  </r>
  <r>
    <x v="184"/>
    <x v="6"/>
    <n v="0"/>
    <n v="1272"/>
    <n v="1272"/>
    <n v="1319"/>
    <n v="0"/>
    <n v="0"/>
    <n v="0"/>
    <n v="0"/>
    <n v="24"/>
    <n v="24"/>
    <n v="0"/>
    <n v="1319"/>
    <n v="1319"/>
    <n v="1319"/>
    <n v="0"/>
    <n v="0"/>
    <n v="1319000"/>
    <n v="1319000"/>
    <n v="1309.1827999999996"/>
    <n v="1309.1827999999996"/>
    <n v="0"/>
    <n v="0"/>
    <n v="1309182.7999999996"/>
    <n v="36.32"/>
    <n v="36.32"/>
    <n v="1355.32"/>
    <n v="0"/>
    <n v="1309.1828"/>
    <n v="163.64784999999995"/>
    <n v="6.8186604166666642"/>
    <n v="0"/>
    <n v="0"/>
    <n v="0"/>
    <n v="0"/>
    <n v="0"/>
    <n v="0"/>
    <n v="0"/>
    <n v="6.8200000000000029"/>
    <n v="1801.6533970825731"/>
    <n v="6.8200000000000029"/>
    <n v="1801.6533970825731"/>
    <n v="0"/>
    <n v="0"/>
    <n v="0"/>
    <n v="0"/>
    <n v="0"/>
    <n v="0"/>
    <n v="0"/>
    <n v="0"/>
    <n v="0"/>
    <n v="0"/>
    <n v="1.365923727886712"/>
    <n v="9.3836114431384008"/>
    <n v="358132"/>
    <n v="12677"/>
    <n v="357669"/>
    <n v="357669"/>
    <n v="12582.709744198242"/>
    <n v="-94.290255801757667"/>
    <n v="-7.4936367220291263E-3"/>
    <n v="9611.0689916603478"/>
    <n v="0"/>
    <n v="9283.9401353172998"/>
    <n v="9611.1175186522814"/>
    <n v="0.27116679302501895"/>
    <n v="0"/>
    <n v="0"/>
    <n v="0"/>
    <n v="0"/>
    <s v="DIESEL"/>
    <n v="71"/>
    <n v="0"/>
    <n v="71"/>
    <n v="0"/>
    <n v="1340"/>
    <n v="24"/>
    <n v="24"/>
    <n v="24"/>
    <n v="0"/>
    <n v="24"/>
    <n v="0"/>
    <n v="24"/>
    <n v="24"/>
    <n v="0"/>
    <n v="24"/>
    <n v="0"/>
    <m/>
    <m/>
    <n v="236.89129774210065"/>
  </r>
  <r>
    <x v="185"/>
    <x v="6"/>
    <n v="0"/>
    <n v="1272"/>
    <n v="1272"/>
    <n v="1319"/>
    <n v="0"/>
    <n v="0"/>
    <n v="0"/>
    <n v="0"/>
    <n v="24"/>
    <n v="24"/>
    <n v="0"/>
    <n v="1319"/>
    <n v="1319"/>
    <n v="1319"/>
    <n v="0"/>
    <n v="0"/>
    <n v="1319000"/>
    <n v="1319000"/>
    <n v="1307.3001000000004"/>
    <n v="1307.3001000000004"/>
    <n v="0"/>
    <n v="0"/>
    <n v="1307300.1000000003"/>
    <n v="35.89"/>
    <n v="35.89"/>
    <n v="1354.89"/>
    <n v="0"/>
    <n v="1307.3001000000004"/>
    <n v="163.41251250000005"/>
    <n v="6.808854687500002"/>
    <n v="0"/>
    <n v="0"/>
    <n v="0"/>
    <n v="0"/>
    <n v="0.4"/>
    <n v="105.66882094325936"/>
    <n v="105.66882094325936"/>
    <n v="6.8000000000000034"/>
    <n v="1796.3699560354103"/>
    <n v="7.2000000000000037"/>
    <n v="1902.0387769786696"/>
    <n v="0"/>
    <n v="11026"/>
    <n v="41.737950330383995"/>
    <n v="0"/>
    <n v="0"/>
    <n v="0"/>
    <n v="0"/>
    <n v="8.0112828615056378E-2"/>
    <n v="0"/>
    <n v="0"/>
    <n v="1.3619180864559592"/>
    <n v="9.35609352101776"/>
    <n v="358444"/>
    <n v="12688"/>
    <n v="357963"/>
    <n v="357963"/>
    <n v="12593.052593773671"/>
    <n v="-94.947406226328894"/>
    <n v="-7.5396656624203513E-3"/>
    <n v="9619.4086429112958"/>
    <n v="0"/>
    <n v="9294.5202885648814"/>
    <n v="9632.8705197633408"/>
    <n v="0.27138968915845335"/>
    <n v="0"/>
    <n v="0"/>
    <n v="0"/>
    <n v="0"/>
    <s v="DIESEL"/>
    <n v="71"/>
    <n v="0"/>
    <n v="71"/>
    <n v="0"/>
    <n v="1340"/>
    <n v="24"/>
    <n v="24"/>
    <n v="24"/>
    <n v="24"/>
    <n v="24"/>
    <n v="0"/>
    <n v="24"/>
    <n v="24"/>
    <n v="0"/>
    <n v="24"/>
    <n v="105.66882094325936"/>
    <m/>
    <m/>
    <n v="250.09051961042886"/>
  </r>
  <r>
    <x v="186"/>
    <x v="6"/>
    <n v="0"/>
    <n v="1272"/>
    <n v="1272"/>
    <n v="1316"/>
    <n v="0"/>
    <n v="0"/>
    <n v="0"/>
    <n v="0"/>
    <n v="24"/>
    <n v="24"/>
    <n v="0"/>
    <n v="1316"/>
    <n v="1316"/>
    <n v="1316"/>
    <n v="0"/>
    <n v="0"/>
    <n v="1316000"/>
    <n v="1316000"/>
    <n v="1304.0629000000001"/>
    <n v="1304.0629000000001"/>
    <n v="0"/>
    <n v="0"/>
    <n v="1304062.9000000001"/>
    <n v="37.17"/>
    <n v="37.17"/>
    <n v="1353.17"/>
    <n v="0"/>
    <n v="1304.0629000000001"/>
    <n v="163.00786250000002"/>
    <n v="6.7919942708333343"/>
    <n v="0"/>
    <n v="0"/>
    <n v="0"/>
    <n v="0"/>
    <n v="1.3"/>
    <n v="343.42366806559295"/>
    <n v="343.42366806559295"/>
    <n v="7.1899999999999968"/>
    <n v="1899.3970564550864"/>
    <n v="8.4899999999999967"/>
    <n v="2242.8207245206791"/>
    <n v="0"/>
    <n v="0"/>
    <n v="0"/>
    <n v="0"/>
    <n v="0"/>
    <n v="0"/>
    <n v="0"/>
    <n v="0.26096023409239588"/>
    <n v="0"/>
    <n v="0"/>
    <n v="1.4433108331725581"/>
    <n v="9.8926930023702422"/>
    <n v="357155"/>
    <n v="12643"/>
    <n v="356940"/>
    <n v="356940"/>
    <n v="12557.063698822434"/>
    <n v="-85.936301177565838"/>
    <n v="-6.8436621202793372E-3"/>
    <n v="9607.1428571428569"/>
    <n v="0"/>
    <n v="9279.7384651022658"/>
    <n v="9629.1856004970559"/>
    <n v="0.2712310030395137"/>
    <n v="0"/>
    <n v="0"/>
    <n v="0"/>
    <n v="740.47"/>
    <s v="DIESEL"/>
    <n v="71"/>
    <n v="0"/>
    <n v="71"/>
    <n v="0"/>
    <n v="1290"/>
    <n v="24"/>
    <n v="24"/>
    <n v="24"/>
    <n v="24"/>
    <n v="24"/>
    <n v="0"/>
    <n v="24"/>
    <n v="24"/>
    <n v="0"/>
    <n v="24"/>
    <n v="343.42366806559295"/>
    <m/>
    <m/>
    <n v="294.89840437396379"/>
  </r>
  <r>
    <x v="187"/>
    <x v="6"/>
    <n v="0"/>
    <n v="1272"/>
    <n v="1272"/>
    <n v="1311"/>
    <n v="0"/>
    <n v="0"/>
    <n v="0"/>
    <n v="0"/>
    <n v="24"/>
    <n v="24"/>
    <n v="0"/>
    <n v="1311"/>
    <n v="1311"/>
    <n v="1311"/>
    <n v="0"/>
    <n v="0"/>
    <n v="1311000"/>
    <n v="1311000"/>
    <n v="1299.8451000000005"/>
    <n v="1299.8451000000005"/>
    <n v="0"/>
    <n v="0"/>
    <n v="1299845.1000000006"/>
    <n v="37.380000000000003"/>
    <n v="37.380000000000003"/>
    <n v="1348.38"/>
    <n v="0"/>
    <n v="1299.8451"/>
    <n v="162.48063750000006"/>
    <n v="6.7700265625000027"/>
    <n v="0"/>
    <n v="0"/>
    <n v="0"/>
    <n v="0"/>
    <n v="0.8"/>
    <n v="211.33764188651872"/>
    <n v="211.33764188651872"/>
    <n v="7.2699999999999969"/>
    <n v="1920.5308206437383"/>
    <n v="8.0699999999999967"/>
    <n v="2131.8684625302567"/>
    <n v="0"/>
    <n v="0"/>
    <n v="0"/>
    <n v="0"/>
    <n v="0"/>
    <n v="0"/>
    <n v="0"/>
    <n v="0.16120338816668095"/>
    <n v="0"/>
    <n v="0"/>
    <n v="1.4649357899647126"/>
    <n v="10.002764690852805"/>
    <n v="356165"/>
    <n v="12608"/>
    <n v="355978"/>
    <n v="355978"/>
    <n v="12523.220769259293"/>
    <n v="-84.779230740707135"/>
    <n v="-6.7697625317613514E-3"/>
    <n v="9617.0861937452319"/>
    <n v="0"/>
    <n v="9287.604955026989"/>
    <n v="9634.3947207704132"/>
    <n v="0.27153165522501904"/>
    <n v="0"/>
    <n v="39.9"/>
    <n v="0"/>
    <n v="0"/>
    <s v="DIESEL"/>
    <n v="71"/>
    <n v="0"/>
    <n v="71"/>
    <n v="0"/>
    <n v="1290"/>
    <n v="24"/>
    <n v="24"/>
    <n v="316"/>
    <n v="24"/>
    <n v="24"/>
    <n v="0"/>
    <n v="24"/>
    <n v="24"/>
    <n v="0"/>
    <n v="24"/>
    <n v="211.33764188651872"/>
    <m/>
    <m/>
    <n v="280.30979073002209"/>
  </r>
  <r>
    <x v="188"/>
    <x v="6"/>
    <n v="0"/>
    <n v="1272"/>
    <n v="1272"/>
    <n v="1313"/>
    <n v="0"/>
    <n v="0"/>
    <n v="0"/>
    <n v="0"/>
    <n v="24"/>
    <n v="24"/>
    <n v="0"/>
    <n v="1313"/>
    <n v="1313"/>
    <n v="1313"/>
    <n v="0"/>
    <n v="0"/>
    <n v="1313000"/>
    <n v="1313000"/>
    <n v="1301.4783999999995"/>
    <n v="1301.4783999999995"/>
    <n v="0"/>
    <n v="0"/>
    <n v="1301478.3999999994"/>
    <n v="37.61"/>
    <n v="37.61"/>
    <n v="1350.61"/>
    <n v="0"/>
    <n v="1301.4784000000002"/>
    <n v="162.68479999999994"/>
    <n v="6.7785333333333311"/>
    <n v="0"/>
    <n v="0"/>
    <n v="0"/>
    <n v="0"/>
    <n v="0.8"/>
    <n v="211.33764188651872"/>
    <n v="211.33764188651872"/>
    <n v="7.3599999999999968"/>
    <n v="1944.3063053559715"/>
    <n v="8.1599999999999966"/>
    <n v="2155.64394724249"/>
    <n v="0"/>
    <n v="0"/>
    <n v="0"/>
    <n v="0"/>
    <n v="0"/>
    <n v="0"/>
    <n v="0"/>
    <n v="0.16095783845127093"/>
    <n v="0"/>
    <n v="0"/>
    <n v="1.4808121137516919"/>
    <n v="10.12659534039569"/>
    <n v="357912"/>
    <n v="12670"/>
    <n v="357428"/>
    <n v="357428"/>
    <n v="12574.231421927227"/>
    <n v="-95.76857807277338"/>
    <n v="-7.6162569988786743E-3"/>
    <n v="9649.6572734196488"/>
    <n v="0"/>
    <n v="9310.0387394786267"/>
    <n v="9661.4983559675147"/>
    <n v="0.27222239146991623"/>
    <n v="0"/>
    <n v="0"/>
    <n v="0"/>
    <n v="0"/>
    <s v="DIESEL"/>
    <n v="71"/>
    <n v="0"/>
    <n v="71"/>
    <n v="0"/>
    <n v="1290"/>
    <n v="24"/>
    <n v="24"/>
    <n v="0"/>
    <n v="24"/>
    <n v="24"/>
    <n v="0"/>
    <n v="24"/>
    <n v="24"/>
    <n v="0"/>
    <n v="24"/>
    <n v="211.33764188651872"/>
    <m/>
    <m/>
    <n v="283.43592222515241"/>
  </r>
  <r>
    <x v="189"/>
    <x v="6"/>
    <n v="0"/>
    <n v="1272"/>
    <n v="1272"/>
    <n v="1317"/>
    <n v="0"/>
    <n v="0"/>
    <n v="0"/>
    <n v="0"/>
    <n v="24"/>
    <n v="24"/>
    <n v="0"/>
    <n v="1317"/>
    <n v="1317"/>
    <n v="1317"/>
    <n v="0"/>
    <n v="0"/>
    <n v="1317000"/>
    <n v="1317000"/>
    <n v="1306.3052000000002"/>
    <n v="1306.3052000000002"/>
    <n v="0"/>
    <n v="0"/>
    <n v="1306305.2000000002"/>
    <n v="37.42"/>
    <n v="37.42"/>
    <n v="1354.42"/>
    <n v="0"/>
    <n v="1306.3051999999998"/>
    <n v="163.28815000000003"/>
    <n v="6.8036729166666676"/>
    <n v="0"/>
    <n v="0"/>
    <n v="0"/>
    <n v="0"/>
    <n v="0.7"/>
    <n v="184.92043665070389"/>
    <n v="184.92043665070389"/>
    <n v="6.7100000000000026"/>
    <n v="1772.5944713231765"/>
    <n v="7.4100000000000028"/>
    <n v="1957.5149079738806"/>
    <n v="0"/>
    <n v="0"/>
    <n v="0"/>
    <n v="0"/>
    <n v="0"/>
    <n v="0"/>
    <n v="0"/>
    <n v="0.1404103543285527"/>
    <n v="0"/>
    <n v="0"/>
    <n v="1.3459335393494127"/>
    <n v="9.2322628714748785"/>
    <n v="357962"/>
    <n v="12671"/>
    <n v="357942"/>
    <n v="357942"/>
    <n v="12592.313818803997"/>
    <n v="-78.686181196002508"/>
    <n v="-6.2487468409897062E-3"/>
    <n v="9621.1085801063018"/>
    <n v="0"/>
    <n v="9297.2001438283514"/>
    <n v="9639.6415009325501"/>
    <n v="0.27178587699316631"/>
    <n v="0"/>
    <n v="68.7"/>
    <n v="0"/>
    <n v="0"/>
    <s v="DIESEL"/>
    <n v="71"/>
    <n v="0"/>
    <n v="71"/>
    <n v="0"/>
    <n v="1290"/>
    <n v="24"/>
    <n v="24"/>
    <n v="24"/>
    <n v="24"/>
    <n v="24"/>
    <n v="0"/>
    <n v="24"/>
    <n v="24"/>
    <n v="0"/>
    <n v="24"/>
    <n v="184.92043665070389"/>
    <m/>
    <m/>
    <n v="257.38482643239968"/>
  </r>
  <r>
    <x v="190"/>
    <x v="6"/>
    <n v="0"/>
    <n v="1272"/>
    <n v="1272"/>
    <n v="1319"/>
    <n v="0"/>
    <n v="0"/>
    <n v="0"/>
    <n v="0"/>
    <n v="24"/>
    <n v="24"/>
    <n v="0"/>
    <n v="1319"/>
    <n v="1319"/>
    <n v="1319"/>
    <n v="0"/>
    <n v="0"/>
    <n v="1319000"/>
    <n v="1319000"/>
    <n v="1308.9928000000002"/>
    <n v="1308.9928000000002"/>
    <n v="0"/>
    <n v="0"/>
    <n v="1308992.8000000003"/>
    <n v="37.33"/>
    <n v="37.33"/>
    <n v="1356.33"/>
    <n v="0"/>
    <n v="1308.9928"/>
    <n v="163.62410000000003"/>
    <n v="6.8176708333333345"/>
    <n v="0"/>
    <n v="0"/>
    <n v="0"/>
    <n v="0"/>
    <n v="1.9"/>
    <n v="501.92689948048201"/>
    <n v="501.92689948048201"/>
    <n v="7.01"/>
    <n v="1851.8460870306205"/>
    <n v="8.91"/>
    <n v="2353.7729865111023"/>
    <n v="0"/>
    <n v="0"/>
    <n v="0"/>
    <n v="0"/>
    <n v="0"/>
    <n v="0"/>
    <n v="0"/>
    <n v="0.3805359359215178"/>
    <n v="0"/>
    <n v="0"/>
    <n v="1.4039773214788631"/>
    <n v="9.6450317032844826"/>
    <n v="357379"/>
    <n v="12651"/>
    <n v="357378"/>
    <n v="357378"/>
    <n v="12572.472433904195"/>
    <n v="-78.527566095805014"/>
    <n v="-6.2459923064965067E-3"/>
    <n v="9591.3570887035639"/>
    <n v="0"/>
    <n v="9269.4789866066476"/>
    <n v="9604.6918164134986"/>
    <n v="0.27094617134192572"/>
    <n v="0"/>
    <n v="0"/>
    <n v="0"/>
    <n v="0"/>
    <s v="DIESEL"/>
    <n v="71"/>
    <n v="0"/>
    <n v="71"/>
    <n v="0"/>
    <n v="1290"/>
    <n v="24"/>
    <n v="24"/>
    <n v="24"/>
    <n v="23"/>
    <n v="24"/>
    <n v="0"/>
    <n v="24"/>
    <n v="24"/>
    <n v="0"/>
    <n v="24"/>
    <n v="501.92689948048201"/>
    <m/>
    <m/>
    <n v="309.48701801790554"/>
  </r>
  <r>
    <x v="191"/>
    <x v="6"/>
    <n v="0"/>
    <n v="1272"/>
    <n v="1272"/>
    <n v="1318"/>
    <n v="0"/>
    <n v="0"/>
    <n v="0"/>
    <n v="0"/>
    <n v="24"/>
    <n v="24"/>
    <n v="0"/>
    <n v="1318"/>
    <n v="1318"/>
    <n v="1318"/>
    <n v="0"/>
    <n v="0"/>
    <n v="1318000"/>
    <n v="1318000"/>
    <n v="1305.5051999999998"/>
    <n v="1305.5051999999998"/>
    <n v="0"/>
    <n v="0"/>
    <n v="1305505.1999999997"/>
    <n v="37.99"/>
    <n v="37.99"/>
    <n v="1355.99"/>
    <n v="0"/>
    <n v="1305.5051999999998"/>
    <n v="167.08290892857144"/>
    <n v="6.9617878720238098"/>
    <n v="1"/>
    <n v="1"/>
    <n v="0"/>
    <n v="9.5"/>
    <n v="0"/>
    <n v="0"/>
    <n v="2509.63449740241"/>
    <n v="6.8200000000000021"/>
    <n v="1801.6533970825728"/>
    <n v="16.32"/>
    <n v="4311.2878944849826"/>
    <n v="0"/>
    <n v="11026"/>
    <n v="41.737950330383995"/>
    <n v="0"/>
    <n v="0"/>
    <n v="0"/>
    <n v="0"/>
    <n v="0"/>
    <n v="0"/>
    <n v="0"/>
    <n v="1.3669600888335149"/>
    <n v="9.6076859518350428"/>
    <n v="348636"/>
    <n v="12341"/>
    <n v="348633"/>
    <n v="348633"/>
    <n v="12264.825428675858"/>
    <n v="-76.174571324141652"/>
    <n v="-6.2108157810417076E-3"/>
    <n v="9363.4294385432477"/>
    <n v="0"/>
    <n v="9044.9232137964573"/>
    <n v="9394.6967263522656"/>
    <n v="0.26451669195751137"/>
    <n v="0"/>
    <n v="30.3"/>
    <n v="0"/>
    <n v="0"/>
    <s v="DIESEL"/>
    <n v="71"/>
    <n v="0"/>
    <n v="71"/>
    <n v="0"/>
    <n v="1290"/>
    <n v="24"/>
    <n v="24"/>
    <n v="23"/>
    <n v="24"/>
    <n v="24"/>
    <n v="0"/>
    <n v="24"/>
    <n v="24"/>
    <n v="0"/>
    <n v="24"/>
    <n v="0"/>
    <m/>
    <m/>
    <n v="566.87184445030528"/>
  </r>
  <r>
    <x v="192"/>
    <x v="6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302.0264999999999"/>
    <n v="1302.0264999999999"/>
    <n v="0"/>
    <n v="0"/>
    <n v="1302026.5"/>
    <n v="38.619999999999997"/>
    <n v="38.619999999999997"/>
    <n v="1350.62"/>
    <n v="0"/>
    <n v="1302.0265000000002"/>
    <n v="165.69387857142854"/>
    <n v="6.9039116071428559"/>
    <n v="1"/>
    <n v="1"/>
    <n v="0"/>
    <n v="10.7"/>
    <n v="0"/>
    <n v="0"/>
    <n v="2826.6409602321883"/>
    <n v="7.1399999999999979"/>
    <n v="1886.1884538371792"/>
    <n v="17.839999999999996"/>
    <n v="4712.829414069367"/>
    <n v="0"/>
    <n v="0"/>
    <n v="0"/>
    <n v="0"/>
    <n v="0"/>
    <n v="0"/>
    <n v="0"/>
    <n v="0"/>
    <n v="0"/>
    <n v="0"/>
    <n v="1.437643638595411"/>
    <n v="10.000799124987045"/>
    <n v="348787"/>
    <n v="12347"/>
    <n v="348371"/>
    <n v="348371"/>
    <n v="12255.608331435171"/>
    <n v="-91.39166856482916"/>
    <n v="-7.4571303270530437E-3"/>
    <n v="9410.8231707317063"/>
    <n v="0"/>
    <n v="9074.0610471007185"/>
    <n v="9412.7180448594336"/>
    <n v="0.26552667682926828"/>
    <n v="0"/>
    <n v="0"/>
    <n v="0"/>
    <n v="0"/>
    <s v="DIESEL"/>
    <n v="71"/>
    <n v="0"/>
    <n v="71"/>
    <n v="0"/>
    <n v="1240"/>
    <n v="24"/>
    <n v="24"/>
    <n v="24"/>
    <n v="24"/>
    <n v="24"/>
    <n v="0"/>
    <n v="24"/>
    <n v="24"/>
    <n v="1"/>
    <n v="24"/>
    <n v="0"/>
    <m/>
    <m/>
    <n v="619.66873192361777"/>
  </r>
  <r>
    <x v="193"/>
    <x v="6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300.7856000000002"/>
    <n v="1300.7856000000002"/>
    <n v="0"/>
    <n v="0"/>
    <n v="1300785.6000000001"/>
    <n v="39.11"/>
    <n v="39.11"/>
    <n v="1351.11"/>
    <n v="0"/>
    <n v="1300.7855999999997"/>
    <n v="158.71561547619052"/>
    <n v="6.613150644841272"/>
    <n v="4"/>
    <n v="3"/>
    <n v="0"/>
    <n v="11.2"/>
    <n v="1"/>
    <n v="264.17205235814845"/>
    <n v="3222.8990387694107"/>
    <n v="7.4299999999999962"/>
    <n v="1962.7983490210418"/>
    <n v="19.629999999999995"/>
    <n v="5185.6973877904529"/>
    <n v="0"/>
    <n v="0"/>
    <n v="0"/>
    <n v="0"/>
    <n v="0"/>
    <n v="0"/>
    <n v="0"/>
    <n v="0.20135064966322291"/>
    <n v="66.043013089537112"/>
    <n v="88.057350786049483"/>
    <n v="1.4960353269977453"/>
    <n v="9.9791779004636876"/>
    <n v="347209"/>
    <n v="12291"/>
    <n v="346714"/>
    <n v="346714"/>
    <n v="12197.315468351882"/>
    <n v="-93.684531648117627"/>
    <n v="-7.6807500708823105E-3"/>
    <n v="9368.1402439024387"/>
    <n v="0"/>
    <n v="9027.6257805447985"/>
    <n v="9376.8838372379578"/>
    <n v="0.26426371951219513"/>
    <n v="0"/>
    <n v="0"/>
    <n v="0"/>
    <n v="0"/>
    <s v="DIESEL"/>
    <n v="71"/>
    <n v="0"/>
    <n v="71"/>
    <n v="0"/>
    <n v="1240"/>
    <n v="24"/>
    <n v="24"/>
    <n v="24"/>
    <n v="24"/>
    <n v="24"/>
    <n v="0"/>
    <n v="24"/>
    <n v="24"/>
    <n v="10"/>
    <n v="24"/>
    <n v="264.17205235814845"/>
    <m/>
    <m/>
    <n v="681.84401388232163"/>
  </r>
  <r>
    <x v="194"/>
    <x v="6"/>
    <n v="0"/>
    <n v="1272"/>
    <n v="1272"/>
    <n v="1315"/>
    <n v="0"/>
    <n v="0"/>
    <n v="0"/>
    <n v="0"/>
    <n v="24"/>
    <n v="24"/>
    <n v="0"/>
    <n v="1315"/>
    <n v="1315"/>
    <n v="1315"/>
    <n v="0"/>
    <n v="0"/>
    <n v="1315000"/>
    <n v="1315000"/>
    <n v="1303.5635999999997"/>
    <n v="1303.5635999999997"/>
    <n v="0"/>
    <n v="0"/>
    <n v="1303563.5999999996"/>
    <n v="37.520000000000003"/>
    <n v="37.520000000000003"/>
    <n v="1352.52"/>
    <n v="0"/>
    <n v="1303.5636000000002"/>
    <n v="162.94544999999997"/>
    <n v="6.7893937499999986"/>
    <n v="0"/>
    <n v="1"/>
    <n v="0"/>
    <n v="0"/>
    <n v="1"/>
    <n v="264.17205235814845"/>
    <n v="264.17205235814845"/>
    <n v="6.01"/>
    <n v="1587.6740346724721"/>
    <n v="7.01"/>
    <n v="1851.8460870306205"/>
    <n v="0"/>
    <n v="0"/>
    <n v="0"/>
    <n v="0"/>
    <n v="0"/>
    <n v="0"/>
    <n v="0"/>
    <n v="0.20089129456893418"/>
    <n v="0"/>
    <n v="264.17205235814845"/>
    <n v="1.2073566803592943"/>
    <n v="8.2691355972524576"/>
    <n v="358704"/>
    <n v="12698"/>
    <n v="358387"/>
    <n v="358387"/>
    <n v="12607.968812208985"/>
    <n v="-90.031187791015327"/>
    <n v="-7.1408161879202309E-3"/>
    <n v="9656.2737642585562"/>
    <n v="0"/>
    <n v="9321.8353977826464"/>
    <n v="9671.9245706223974"/>
    <n v="0.27253764258555135"/>
    <n v="0"/>
    <n v="0"/>
    <n v="0"/>
    <n v="0"/>
    <s v="DIESEL"/>
    <n v="71"/>
    <n v="0"/>
    <n v="71"/>
    <n v="0"/>
    <n v="1240"/>
    <n v="0"/>
    <n v="24"/>
    <n v="24"/>
    <n v="24"/>
    <n v="24"/>
    <n v="0"/>
    <n v="24"/>
    <n v="23"/>
    <n v="24"/>
    <n v="24"/>
    <n v="264.17205235814845"/>
    <m/>
    <m/>
    <n v="243.49090867626464"/>
  </r>
  <r>
    <x v="195"/>
    <x v="6"/>
    <n v="0"/>
    <n v="1272"/>
    <n v="1272"/>
    <n v="1299"/>
    <n v="0"/>
    <n v="0"/>
    <n v="0"/>
    <n v="0"/>
    <n v="24"/>
    <n v="24"/>
    <n v="0"/>
    <n v="1299"/>
    <n v="1299"/>
    <n v="1299"/>
    <n v="0"/>
    <n v="0"/>
    <n v="1299000"/>
    <n v="1299000"/>
    <n v="1287.8868"/>
    <n v="1287.8868"/>
    <n v="0"/>
    <n v="0"/>
    <n v="1287886.8"/>
    <n v="34.89"/>
    <n v="34.89"/>
    <n v="1333.89"/>
    <n v="0"/>
    <n v="1287.8868"/>
    <n v="177.46516785714286"/>
    <n v="7.3943819940476194"/>
    <n v="2"/>
    <n v="2"/>
    <n v="0"/>
    <n v="0"/>
    <n v="2"/>
    <n v="528.3441047162969"/>
    <n v="528.3441047162969"/>
    <n v="6.1099999999999985"/>
    <n v="1614.0912399082863"/>
    <n v="8.11"/>
    <n v="2142.4353446245836"/>
    <n v="0"/>
    <n v="0"/>
    <n v="0"/>
    <n v="0"/>
    <n v="0"/>
    <n v="0"/>
    <n v="0"/>
    <n v="0.40673141240669508"/>
    <n v="264.17205235814845"/>
    <n v="264.17205235814845"/>
    <n v="1.242564464902453"/>
    <n v="9.2676430570585548"/>
    <n v="345585"/>
    <n v="12233"/>
    <n v="345207"/>
    <n v="345207"/>
    <n v="12144.299569337692"/>
    <n v="-88.700430662307554"/>
    <n v="-7.3038737356464082E-3"/>
    <n v="9417.2440338722099"/>
    <n v="8656.92"/>
    <n v="9104.4235801585528"/>
    <n v="9429.6327668997728"/>
    <n v="0.26574826789838335"/>
    <n v="0"/>
    <n v="0"/>
    <n v="0"/>
    <n v="0"/>
    <s v="DIESEL"/>
    <n v="71"/>
    <n v="0"/>
    <n v="71"/>
    <n v="0"/>
    <n v="1240"/>
    <n v="24"/>
    <n v="20"/>
    <n v="12"/>
    <n v="24"/>
    <n v="24"/>
    <n v="0"/>
    <n v="24"/>
    <n v="8"/>
    <n v="12"/>
    <n v="24"/>
    <n v="528.3441047162969"/>
    <m/>
    <m/>
    <n v="281.69918250563569"/>
  </r>
  <r>
    <x v="196"/>
    <x v="6"/>
    <n v="0"/>
    <n v="1272"/>
    <n v="1272"/>
    <n v="1307"/>
    <n v="1"/>
    <n v="60"/>
    <n v="0"/>
    <n v="0"/>
    <n v="24"/>
    <n v="24"/>
    <n v="0"/>
    <n v="1367"/>
    <n v="1307"/>
    <n v="1307"/>
    <n v="0"/>
    <n v="0"/>
    <n v="1307000"/>
    <n v="1307000"/>
    <n v="1296.4033000000002"/>
    <n v="1296.4033000000002"/>
    <n v="0"/>
    <n v="0"/>
    <n v="1296403.3000000003"/>
    <n v="36.729999999999997"/>
    <n v="36.729999999999997"/>
    <n v="1343.73"/>
    <n v="0"/>
    <n v="1296.4032999999999"/>
    <n v="165.98314404761905"/>
    <n v="6.9159643353174607"/>
    <n v="2"/>
    <n v="2"/>
    <n v="0"/>
    <n v="0"/>
    <n v="1.8"/>
    <n v="475.50969424466717"/>
    <n v="475.50969424466717"/>
    <n v="6.7000000000000037"/>
    <n v="1769.9527507995954"/>
    <n v="8.5000000000000036"/>
    <n v="2245.4624450442625"/>
    <n v="0"/>
    <n v="0"/>
    <n v="0"/>
    <n v="0"/>
    <n v="0"/>
    <n v="0"/>
    <n v="0"/>
    <n v="0.36381766965927098"/>
    <n v="237.75484712233359"/>
    <n v="237.75484712233359"/>
    <n v="1.3542102148428428"/>
    <n v="9.4419232304892802"/>
    <n v="355316"/>
    <n v="12578"/>
    <n v="355162"/>
    <n v="355162"/>
    <n v="12494.514084723405"/>
    <n v="-83.485915276594824"/>
    <n v="-6.6818056877193856E-3"/>
    <n v="9623.5654169854624"/>
    <n v="8801.94"/>
    <n v="9298.3814343085323"/>
    <n v="9637.8295895447063"/>
    <n v="0.27173833205814846"/>
    <n v="0"/>
    <n v="38.700000000000003"/>
    <n v="0"/>
    <n v="0"/>
    <s v="DIESEL"/>
    <n v="71"/>
    <n v="0"/>
    <n v="71"/>
    <n v="0"/>
    <n v="1200"/>
    <n v="24"/>
    <n v="24"/>
    <n v="0"/>
    <n v="24"/>
    <n v="23"/>
    <n v="0"/>
    <n v="24"/>
    <n v="24"/>
    <n v="24"/>
    <n v="21"/>
    <n v="475.50969424466717"/>
    <m/>
    <m/>
    <n v="295.24575231786741"/>
  </r>
  <r>
    <x v="197"/>
    <x v="6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301.3360999999998"/>
    <n v="1301.3360999999998"/>
    <n v="0"/>
    <n v="0"/>
    <n v="1301336.0999999999"/>
    <n v="36.869999999999997"/>
    <n v="36.869999999999997"/>
    <n v="1348.87"/>
    <n v="0"/>
    <n v="1301.3361"/>
    <n v="162.66701249999997"/>
    <n v="6.7777921874999985"/>
    <n v="0"/>
    <n v="0"/>
    <n v="0"/>
    <n v="0"/>
    <n v="1"/>
    <n v="264.17205235814845"/>
    <n v="264.17205235814845"/>
    <n v="6.8000000000000016"/>
    <n v="1796.3699560354098"/>
    <n v="7.8000000000000016"/>
    <n v="2060.5420083935583"/>
    <n v="10694"/>
    <n v="11000"/>
    <n v="82.120723242095991"/>
    <n v="0"/>
    <n v="0"/>
    <n v="0"/>
    <n v="0"/>
    <n v="0.20135064966322291"/>
    <n v="0"/>
    <n v="0"/>
    <n v="1.3691844177099159"/>
    <n v="9.3560935210177583"/>
    <n v="357048"/>
    <n v="12639"/>
    <n v="356948"/>
    <n v="356948"/>
    <n v="12557.345136906117"/>
    <n v="-81.65486309388325"/>
    <n v="-6.5025578419357997E-3"/>
    <n v="9633.3841463414628"/>
    <n v="8940.9"/>
    <n v="9309.5295594876588"/>
    <n v="9649.5787190612155"/>
    <n v="0.27206402439024391"/>
    <n v="0"/>
    <n v="42.3"/>
    <n v="0"/>
    <n v="0"/>
    <s v="DIESEL"/>
    <n v="71"/>
    <n v="0"/>
    <n v="71"/>
    <n v="0"/>
    <n v="1200"/>
    <n v="24"/>
    <n v="24"/>
    <n v="0"/>
    <n v="24"/>
    <n v="23"/>
    <n v="0"/>
    <n v="24"/>
    <n v="24"/>
    <n v="24"/>
    <n v="24"/>
    <n v="264.17205235814845"/>
    <m/>
    <m/>
    <n v="270.93139624463123"/>
  </r>
  <r>
    <x v="198"/>
    <x v="6"/>
    <n v="0"/>
    <n v="1272"/>
    <n v="1272"/>
    <n v="1308"/>
    <n v="0"/>
    <n v="0"/>
    <n v="0"/>
    <n v="0"/>
    <n v="24"/>
    <n v="24"/>
    <n v="0"/>
    <n v="1308"/>
    <n v="1308"/>
    <n v="1308"/>
    <n v="0"/>
    <n v="0"/>
    <n v="1308000"/>
    <n v="1308000"/>
    <n v="1296.9729000000002"/>
    <n v="1296.9729000000002"/>
    <n v="0"/>
    <n v="0"/>
    <n v="1296972.9000000001"/>
    <n v="36.869999999999997"/>
    <n v="36.869999999999997"/>
    <n v="1344.87"/>
    <n v="0"/>
    <n v="1296.9729"/>
    <n v="162.12161250000003"/>
    <n v="6.7550671875000008"/>
    <n v="0"/>
    <n v="0"/>
    <n v="0"/>
    <n v="0"/>
    <n v="2.1"/>
    <n v="554.76130995211167"/>
    <n v="554.76130995211167"/>
    <n v="6.52"/>
    <n v="1722.4017813751277"/>
    <n v="8.6199999999999992"/>
    <n v="2277.1630913272393"/>
    <n v="0"/>
    <n v="0"/>
    <n v="0"/>
    <n v="0"/>
    <n v="0"/>
    <n v="0"/>
    <n v="0"/>
    <n v="0.42412944185941259"/>
    <n v="0"/>
    <n v="0"/>
    <n v="1.3168209337730334"/>
    <n v="8.9708426113287913"/>
    <n v="355565"/>
    <n v="12586"/>
    <n v="355555"/>
    <n v="355555"/>
    <n v="12508.339730584439"/>
    <n v="-77.660269415560833"/>
    <n v="-6.2086792562622726E-3"/>
    <n v="9622.3241590214075"/>
    <n v="9028.89"/>
    <n v="9300.7798007126639"/>
    <n v="9644.2568156855377"/>
    <n v="0.27183103975535167"/>
    <n v="0"/>
    <n v="0"/>
    <n v="0"/>
    <n v="0"/>
    <s v="DIESEL"/>
    <n v="71"/>
    <n v="0"/>
    <n v="71"/>
    <n v="0"/>
    <n v="1200"/>
    <n v="24"/>
    <n v="24"/>
    <n v="0"/>
    <n v="24"/>
    <n v="23"/>
    <n v="0"/>
    <n v="24"/>
    <n v="24"/>
    <n v="24"/>
    <n v="24"/>
    <n v="554.76130995211167"/>
    <m/>
    <m/>
    <n v="299.41392764470771"/>
  </r>
  <r>
    <x v="199"/>
    <x v="6"/>
    <n v="0"/>
    <n v="1272"/>
    <n v="1272"/>
    <n v="1311"/>
    <n v="0"/>
    <n v="0"/>
    <n v="0"/>
    <n v="0"/>
    <n v="24"/>
    <n v="24"/>
    <n v="0"/>
    <n v="1311"/>
    <n v="1311"/>
    <n v="1311"/>
    <n v="0"/>
    <n v="0"/>
    <n v="1311000"/>
    <n v="1311000"/>
    <n v="1300.1881999999998"/>
    <n v="1300.1881999999998"/>
    <n v="0"/>
    <n v="0"/>
    <n v="1300188.1999999997"/>
    <n v="36.630000000000003"/>
    <n v="36.630000000000003"/>
    <n v="1347.63"/>
    <n v="0"/>
    <n v="1300.1882000000001"/>
    <n v="165.41013392857141"/>
    <n v="6.8920889136904755"/>
    <n v="1"/>
    <n v="1"/>
    <n v="0"/>
    <n v="0"/>
    <n v="0.4"/>
    <n v="105.66882094325936"/>
    <n v="105.66882094325936"/>
    <n v="6.7600000000000025"/>
    <n v="1785.803073941084"/>
    <n v="7.1600000000000028"/>
    <n v="1891.4718948843433"/>
    <n v="0"/>
    <n v="0"/>
    <n v="0"/>
    <n v="0"/>
    <n v="0"/>
    <n v="0"/>
    <n v="0"/>
    <n v="8.0601694083340475E-2"/>
    <n v="105.66882094325936"/>
    <n v="105.66882094325936"/>
    <n v="1.3621686300084546"/>
    <n v="9.4641996436345597"/>
    <n v="356736"/>
    <n v="12628"/>
    <n v="356734"/>
    <n v="356734"/>
    <n v="12549.816668167539"/>
    <n v="-78.183331832460681"/>
    <n v="-6.2298385625641668E-3"/>
    <n v="9632.3417238749043"/>
    <n v="8878.81"/>
    <n v="9312.5091220643208"/>
    <n v="9652.3077721883183"/>
    <n v="0.27210831426392068"/>
    <n v="0"/>
    <n v="0"/>
    <n v="0"/>
    <n v="0"/>
    <s v="DIESEL"/>
    <n v="71"/>
    <n v="0"/>
    <n v="71"/>
    <n v="0"/>
    <n v="1200"/>
    <n v="24"/>
    <n v="24"/>
    <n v="0"/>
    <n v="24"/>
    <n v="20"/>
    <n v="0"/>
    <n v="24"/>
    <n v="24"/>
    <n v="24"/>
    <n v="24"/>
    <n v="105.66882094325936"/>
    <m/>
    <m/>
    <n v="248.70112783481531"/>
  </r>
  <r>
    <x v="200"/>
    <x v="6"/>
    <n v="0"/>
    <n v="1272"/>
    <n v="1272"/>
    <n v="1316"/>
    <n v="0"/>
    <n v="0"/>
    <n v="0"/>
    <n v="0"/>
    <n v="24"/>
    <n v="24"/>
    <n v="0"/>
    <n v="1316"/>
    <n v="1316"/>
    <n v="1316"/>
    <n v="0"/>
    <n v="0"/>
    <n v="1316000"/>
    <n v="1316000"/>
    <n v="1304.6875000000002"/>
    <n v="1304.6875000000002"/>
    <n v="0"/>
    <n v="0"/>
    <n v="1304687.5000000002"/>
    <n v="37.61"/>
    <n v="37.61"/>
    <n v="1353.61"/>
    <n v="0"/>
    <n v="1304.6875000000002"/>
    <n v="179.23643571428568"/>
    <n v="7.4681848214285695"/>
    <n v="2"/>
    <n v="2"/>
    <n v="0"/>
    <n v="24.4"/>
    <n v="1.5"/>
    <n v="396.25807853722262"/>
    <n v="6842.0561560760443"/>
    <n v="6.2099999999999973"/>
    <n v="1640.508445144101"/>
    <n v="32.11"/>
    <n v="8482.5646012201451"/>
    <n v="0"/>
    <n v="0"/>
    <n v="0"/>
    <n v="0"/>
    <n v="0"/>
    <n v="0"/>
    <n v="0"/>
    <n v="0.30110796241430288"/>
    <n v="198.12903926861131"/>
    <n v="198.12903926861131"/>
    <n v="1.2465869643952134"/>
    <n v="9.3901633293575983"/>
    <n v="330974"/>
    <n v="11716"/>
    <n v="330934"/>
    <n v="330934"/>
    <n v="11642.178848282912"/>
    <n v="-73.82115171708756"/>
    <n v="-6.3408364258186372E-3"/>
    <n v="8902.735562310032"/>
    <n v="8946.1299999999992"/>
    <n v="8600.8369089197859"/>
    <n v="8923.3466621569605"/>
    <n v="0.2514696048632219"/>
    <n v="0"/>
    <n v="0"/>
    <n v="0"/>
    <n v="0"/>
    <s v="DIESEL"/>
    <n v="71"/>
    <n v="0"/>
    <n v="71"/>
    <n v="0"/>
    <n v="1200"/>
    <n v="24"/>
    <n v="24"/>
    <n v="0"/>
    <n v="24"/>
    <n v="22"/>
    <n v="1"/>
    <n v="24"/>
    <n v="24"/>
    <n v="24"/>
    <n v="24"/>
    <n v="396.25807853722262"/>
    <m/>
    <m/>
    <n v="1115.3342478737313"/>
  </r>
  <r>
    <x v="201"/>
    <x v="6"/>
    <n v="0"/>
    <n v="1056"/>
    <n v="1056"/>
    <n v="1070"/>
    <n v="0"/>
    <n v="0"/>
    <n v="0"/>
    <n v="0"/>
    <n v="24"/>
    <n v="24"/>
    <n v="0"/>
    <n v="1070"/>
    <n v="1070"/>
    <n v="1070"/>
    <n v="0"/>
    <n v="0"/>
    <n v="1070000"/>
    <n v="1070000"/>
    <n v="1063.0702999999999"/>
    <n v="1063.0702999999999"/>
    <n v="0"/>
    <n v="0"/>
    <n v="1063070.2999999998"/>
    <n v="34.72"/>
    <n v="34.72"/>
    <n v="1104.72"/>
    <n v="0"/>
    <n v="1063.0702999999999"/>
    <n v="151.86718571428568"/>
    <n v="6.3277994047619037"/>
    <n v="0"/>
    <n v="1"/>
    <n v="0"/>
    <n v="7.9"/>
    <n v="1.2"/>
    <n v="317.00646282977812"/>
    <n v="2403.9656764591505"/>
    <n v="6.2799999999999976"/>
    <n v="1659.0004888091714"/>
    <n v="15.379999999999999"/>
    <n v="4062.9661652683221"/>
    <n v="0"/>
    <n v="0"/>
    <n v="0"/>
    <n v="0"/>
    <n v="0"/>
    <n v="0"/>
    <n v="0"/>
    <n v="0.29626772227082065"/>
    <n v="0"/>
    <n v="317.00646282977812"/>
    <n v="1.5504677465506276"/>
    <n v="9.8750029095784075"/>
    <n v="290663"/>
    <n v="10289"/>
    <n v="290185"/>
    <n v="290185"/>
    <n v="10208.63878927211"/>
    <n v="-80.361210727889556"/>
    <n v="-7.8718830577430409E-3"/>
    <n v="9615.8878504672903"/>
    <n v="8919.84"/>
    <n v="9240.9287324137422"/>
    <n v="9602.9761994781638"/>
    <n v="0.27120093457943928"/>
    <n v="0"/>
    <n v="0"/>
    <n v="22.712470704000001"/>
    <n v="0"/>
    <s v="DIESEL"/>
    <n v="62"/>
    <n v="0"/>
    <n v="62"/>
    <n v="0"/>
    <n v="1200"/>
    <n v="24"/>
    <n v="24"/>
    <n v="0"/>
    <n v="24"/>
    <n v="24"/>
    <n v="6"/>
    <n v="24"/>
    <n v="22"/>
    <n v="23"/>
    <n v="0"/>
    <n v="317.00646282977812"/>
    <m/>
    <m/>
    <n v="534.22113772338798"/>
  </r>
  <r>
    <x v="202"/>
    <x v="6"/>
    <n v="0"/>
    <n v="1272"/>
    <n v="1272"/>
    <n v="1312"/>
    <n v="0"/>
    <n v="0"/>
    <n v="0"/>
    <n v="0"/>
    <n v="24"/>
    <n v="24"/>
    <n v="0"/>
    <n v="1312"/>
    <n v="1312"/>
    <n v="1312"/>
    <n v="0"/>
    <n v="0"/>
    <n v="1312000"/>
    <n v="1312000"/>
    <n v="1299.6166999999998"/>
    <n v="1299.6166999999998"/>
    <n v="0"/>
    <n v="0"/>
    <n v="1299616.6999999997"/>
    <n v="36.64"/>
    <n v="36.64"/>
    <n v="1348.64"/>
    <n v="0"/>
    <n v="1299.6167"/>
    <n v="162.45208749999998"/>
    <n v="6.7688369791666654"/>
    <n v="1"/>
    <n v="0"/>
    <n v="0"/>
    <n v="0"/>
    <n v="1.8"/>
    <n v="475.50969424466717"/>
    <n v="475.50969424466717"/>
    <n v="7.0599999999999987"/>
    <n v="1865.0546896485275"/>
    <n v="8.86"/>
    <n v="2340.5643838931951"/>
    <n v="0"/>
    <n v="0"/>
    <n v="0"/>
    <n v="0"/>
    <n v="0"/>
    <n v="0"/>
    <n v="0"/>
    <n v="0.36243116939380121"/>
    <n v="475.50969424466717"/>
    <n v="0"/>
    <n v="1.4215355866223534"/>
    <n v="9.7138265085860809"/>
    <n v="357304"/>
    <n v="12648"/>
    <n v="356880"/>
    <n v="356880"/>
    <n v="12554.952913194795"/>
    <n v="-93.047086805205254"/>
    <n v="-7.411185645102355E-3"/>
    <n v="9640.2439024390242"/>
    <n v="8919.83"/>
    <n v="9309.343422406866"/>
    <n v="9660.5044496541141"/>
    <n v="0.27201219512195124"/>
    <n v="0"/>
    <n v="0"/>
    <n v="0"/>
    <n v="0"/>
    <s v="DIESEL"/>
    <n v="71"/>
    <n v="0"/>
    <n v="71"/>
    <n v="0"/>
    <n v="1200"/>
    <n v="24"/>
    <n v="24"/>
    <n v="0"/>
    <n v="24"/>
    <n v="24"/>
    <n v="24"/>
    <n v="24"/>
    <n v="22"/>
    <n v="24"/>
    <n v="0"/>
    <n v="475.50969424466717"/>
    <m/>
    <m/>
    <n v="307.75027829838871"/>
  </r>
  <r>
    <x v="203"/>
    <x v="6"/>
    <n v="0"/>
    <n v="1272"/>
    <n v="1272"/>
    <n v="1315"/>
    <n v="0"/>
    <n v="0"/>
    <n v="0"/>
    <n v="0"/>
    <n v="24"/>
    <n v="24"/>
    <n v="0"/>
    <n v="1315"/>
    <n v="1315"/>
    <n v="1315"/>
    <n v="0"/>
    <n v="0"/>
    <n v="1315000"/>
    <n v="1315000"/>
    <n v="1304.4393000000002"/>
    <n v="1304.4393000000002"/>
    <n v="0"/>
    <n v="0"/>
    <n v="1304439.3000000003"/>
    <n v="37.130000000000003"/>
    <n v="37.130000000000003"/>
    <n v="1352.13"/>
    <n v="0"/>
    <n v="1304.4392999999998"/>
    <n v="163.05491250000003"/>
    <n v="6.7939546875000012"/>
    <n v="0"/>
    <n v="0"/>
    <n v="0"/>
    <n v="2.2000000000000002"/>
    <n v="0.5"/>
    <n v="132.08602617907422"/>
    <n v="713.26454136700079"/>
    <n v="6.7300000000000013"/>
    <n v="1777.8779123703391"/>
    <n v="9.4300000000000015"/>
    <n v="2491.14245373734"/>
    <n v="0"/>
    <n v="0"/>
    <n v="0"/>
    <n v="0"/>
    <n v="0"/>
    <n v="0"/>
    <n v="0"/>
    <n v="0.10044564728446709"/>
    <n v="0"/>
    <n v="0"/>
    <n v="1.351998412448927"/>
    <n v="9.2597807935955156"/>
    <n v="358368"/>
    <n v="12686"/>
    <n v="357803"/>
    <n v="357803"/>
    <n v="12587.423832099968"/>
    <n v="-98.576167900031578"/>
    <n v="-7.8313218983416116E-3"/>
    <n v="9647.1482889733834"/>
    <n v="8842.39"/>
    <n v="9309.3296000384325"/>
    <n v="9649.6815391103028"/>
    <n v="0.27209353612167303"/>
    <n v="0"/>
    <n v="0"/>
    <n v="0"/>
    <n v="0"/>
    <s v="DIESEL"/>
    <n v="71"/>
    <n v="0"/>
    <n v="71"/>
    <n v="0"/>
    <n v="1150"/>
    <n v="24"/>
    <n v="24"/>
    <n v="0"/>
    <n v="23"/>
    <n v="24"/>
    <n v="24"/>
    <n v="24"/>
    <n v="24"/>
    <n v="24"/>
    <n v="0"/>
    <n v="132.08602617907422"/>
    <m/>
    <m/>
    <n v="327.54911110088102"/>
  </r>
  <r>
    <x v="204"/>
    <x v="6"/>
    <n v="0"/>
    <n v="1272"/>
    <n v="1272"/>
    <n v="1297"/>
    <n v="0"/>
    <n v="0"/>
    <n v="0"/>
    <n v="0"/>
    <n v="24"/>
    <n v="24"/>
    <n v="0"/>
    <n v="1297"/>
    <n v="1297"/>
    <n v="1297"/>
    <n v="0"/>
    <n v="0"/>
    <n v="1297000"/>
    <n v="1297000"/>
    <n v="1286.4724999999999"/>
    <n v="1286.4724999999999"/>
    <n v="0"/>
    <n v="0"/>
    <n v="1286472.4999999998"/>
    <n v="37.369999999999997"/>
    <n v="37.369999999999997"/>
    <n v="1334.37"/>
    <n v="0"/>
    <n v="1286.4725000000001"/>
    <n v="160.80906249999998"/>
    <n v="6.7003776041666656"/>
    <n v="0"/>
    <n v="0"/>
    <n v="0"/>
    <n v="0"/>
    <n v="1.4"/>
    <n v="369.84087330140778"/>
    <n v="369.84087330140778"/>
    <n v="6.4499999999999975"/>
    <n v="1703.9097377100566"/>
    <n v="7.8499999999999979"/>
    <n v="2073.7506110114646"/>
    <n v="0"/>
    <n v="11013"/>
    <n v="41.688739977191993"/>
    <n v="0"/>
    <n v="0"/>
    <n v="0"/>
    <n v="0"/>
    <n v="0.28515102027864903"/>
    <n v="0"/>
    <n v="0"/>
    <n v="1.3137314862837752"/>
    <n v="8.874529883906547"/>
    <n v="355102"/>
    <n v="12570"/>
    <n v="354954"/>
    <n v="354954"/>
    <n v="12487.196694547592"/>
    <n v="-82.803305452407585"/>
    <n v="-6.6310563914287347E-3"/>
    <n v="9691.5959907478791"/>
    <n v="8885.09"/>
    <n v="9358.1215813811705"/>
    <n v="9706.5399334595913"/>
    <n v="0.27367309175019278"/>
    <n v="0"/>
    <n v="0"/>
    <n v="0"/>
    <n v="0"/>
    <s v="DIESEL"/>
    <n v="71"/>
    <n v="0"/>
    <n v="71"/>
    <n v="0"/>
    <n v="1150"/>
    <n v="24"/>
    <n v="24"/>
    <n v="0"/>
    <n v="24"/>
    <n v="24"/>
    <n v="23"/>
    <n v="24"/>
    <n v="24"/>
    <n v="24"/>
    <n v="0"/>
    <n v="369.84087330140778"/>
    <m/>
    <m/>
    <n v="272.66813596414795"/>
  </r>
  <r>
    <x v="205"/>
    <x v="6"/>
    <n v="0"/>
    <n v="1272"/>
    <n v="1272"/>
    <n v="1290"/>
    <n v="0"/>
    <n v="0"/>
    <n v="0"/>
    <n v="0"/>
    <n v="24"/>
    <n v="24"/>
    <n v="0"/>
    <n v="1290"/>
    <n v="1290"/>
    <n v="1290"/>
    <n v="0"/>
    <n v="0"/>
    <n v="1290000"/>
    <n v="1290000"/>
    <n v="1278.5762"/>
    <n v="1278.5762"/>
    <n v="0"/>
    <n v="0"/>
    <n v="1278576.2"/>
    <n v="37.479999999999997"/>
    <n v="37.479999999999997"/>
    <n v="1327.48"/>
    <n v="0"/>
    <n v="1278.5762000000002"/>
    <n v="159.822025"/>
    <n v="6.6592510416666668"/>
    <n v="0"/>
    <n v="0"/>
    <n v="0"/>
    <n v="0"/>
    <n v="0.8"/>
    <n v="211.33764188651872"/>
    <n v="211.33764188651872"/>
    <n v="6.8200000000000021"/>
    <n v="1801.6533970825728"/>
    <n v="7.6200000000000019"/>
    <n v="2012.9910389690915"/>
    <n v="0"/>
    <n v="0"/>
    <n v="0"/>
    <n v="0"/>
    <n v="0"/>
    <n v="0"/>
    <n v="0"/>
    <n v="0.16382762936939435"/>
    <n v="0"/>
    <n v="0"/>
    <n v="1.3966305403740875"/>
    <n v="9.383611443138399"/>
    <n v="353232"/>
    <n v="12504"/>
    <n v="353075"/>
    <n v="353075"/>
    <n v="12421.093924642042"/>
    <n v="-82.906075357957889"/>
    <n v="-6.674619470792475E-3"/>
    <n v="9693.0232558139542"/>
    <n v="8859.6299999999992"/>
    <n v="9356.8972222873726"/>
    <n v="9714.7858099048317"/>
    <n v="0.27370155038759691"/>
    <n v="0"/>
    <n v="0"/>
    <n v="0"/>
    <n v="0"/>
    <s v="DIESEL"/>
    <n v="71"/>
    <n v="0"/>
    <n v="71"/>
    <n v="0"/>
    <n v="1150"/>
    <n v="24"/>
    <n v="24"/>
    <n v="0"/>
    <n v="24"/>
    <n v="24"/>
    <n v="24"/>
    <n v="24"/>
    <n v="24"/>
    <n v="24"/>
    <n v="0"/>
    <n v="211.33764188651872"/>
    <m/>
    <m/>
    <n v="264.67913325437047"/>
  </r>
  <r>
    <x v="206"/>
    <x v="6"/>
    <n v="0"/>
    <n v="1056"/>
    <n v="1056"/>
    <n v="1086"/>
    <n v="0"/>
    <n v="0"/>
    <n v="0"/>
    <n v="0"/>
    <n v="24"/>
    <n v="24"/>
    <n v="0"/>
    <n v="1086"/>
    <n v="1086"/>
    <n v="1086"/>
    <n v="0"/>
    <n v="0"/>
    <n v="1086000"/>
    <n v="1086000"/>
    <n v="1078.4026000000003"/>
    <n v="1078.4026000000003"/>
    <n v="0"/>
    <n v="0"/>
    <n v="1078402.6000000003"/>
    <n v="33.57"/>
    <n v="33.57"/>
    <n v="1119.57"/>
    <n v="0"/>
    <n v="1078.4026000000001"/>
    <n v="153.26012500000004"/>
    <n v="6.3858385416666685"/>
    <n v="1"/>
    <n v="2"/>
    <n v="0"/>
    <n v="0"/>
    <n v="1.6"/>
    <n v="422.67528377303745"/>
    <n v="422.67528377303745"/>
    <n v="5.3800000000000017"/>
    <n v="1421.245641686839"/>
    <n v="6.9800000000000022"/>
    <n v="1843.9209254598766"/>
    <n v="0"/>
    <n v="0"/>
    <n v="0"/>
    <n v="0"/>
    <n v="0"/>
    <n v="0"/>
    <n v="0"/>
    <n v="0.38920376038032917"/>
    <n v="422.67528377303745"/>
    <n v="211.33764188651872"/>
    <n v="1.3086976442788574"/>
    <n v="8.4145874713187023"/>
    <n v="297345"/>
    <n v="10526"/>
    <n v="297194"/>
    <n v="297194"/>
    <n v="10455.213730340769"/>
    <n v="-70.786269659231039"/>
    <n v="-6.7704277965940623E-3"/>
    <n v="9692.4493554327801"/>
    <n v="8873.98"/>
    <n v="9338.5976136737936"/>
    <n v="9695.0932150393237"/>
    <n v="0.27365930018416207"/>
    <n v="0"/>
    <n v="0"/>
    <n v="0"/>
    <n v="0"/>
    <s v="DIESEL"/>
    <n v="62"/>
    <n v="0"/>
    <n v="62"/>
    <n v="0"/>
    <n v="1150"/>
    <n v="2"/>
    <n v="24"/>
    <n v="0"/>
    <n v="23"/>
    <n v="23"/>
    <n v="24"/>
    <n v="24"/>
    <n v="24"/>
    <n v="19"/>
    <n v="0"/>
    <n v="422.67528377303745"/>
    <m/>
    <m/>
    <n v="242.44886484455461"/>
  </r>
  <r>
    <x v="207"/>
    <x v="6"/>
    <n v="0"/>
    <n v="1272"/>
    <n v="1272"/>
    <n v="1308"/>
    <n v="0"/>
    <n v="0"/>
    <n v="0"/>
    <n v="0"/>
    <n v="24"/>
    <n v="24"/>
    <n v="0"/>
    <n v="1308"/>
    <n v="1308"/>
    <n v="1308"/>
    <n v="0"/>
    <n v="0"/>
    <n v="1308000"/>
    <n v="1308000"/>
    <n v="1296.1503"/>
    <n v="1296.1503"/>
    <n v="0"/>
    <n v="0"/>
    <n v="1296150.3"/>
    <n v="37.159999999999997"/>
    <n v="37.159999999999997"/>
    <n v="1345.16"/>
    <n v="0"/>
    <n v="1296.1503"/>
    <n v="163.90338035714285"/>
    <n v="6.8293075148809521"/>
    <n v="2"/>
    <n v="1"/>
    <n v="0"/>
    <n v="0"/>
    <n v="0.9"/>
    <n v="237.75484712233359"/>
    <n v="237.75484712233359"/>
    <n v="7.1899999999999977"/>
    <n v="1899.3970564550866"/>
    <n v="8.0899999999999981"/>
    <n v="2137.1519035774204"/>
    <n v="0"/>
    <n v="0"/>
    <n v="0"/>
    <n v="0"/>
    <n v="0"/>
    <n v="0"/>
    <n v="0"/>
    <n v="0.18176976079689111"/>
    <n v="118.87742356116679"/>
    <n v="237.75484712233359"/>
    <n v="1.4521384223662741"/>
    <n v="10.008661388450088"/>
    <n v="355227"/>
    <n v="12574"/>
    <n v="355225"/>
    <n v="355225"/>
    <n v="12496.730409632428"/>
    <n v="-77.269590367572164"/>
    <n v="-6.183184547856861E-3"/>
    <n v="9613.1498470948009"/>
    <n v="8968.56"/>
    <n v="9290.1442279226467"/>
    <n v="9641.42075933048"/>
    <n v="0.27157874617737005"/>
    <n v="0"/>
    <n v="0"/>
    <n v="0"/>
    <n v="0"/>
    <s v="DIESEL"/>
    <n v="71"/>
    <n v="0"/>
    <n v="71"/>
    <n v="0"/>
    <n v="1150"/>
    <n v="24"/>
    <n v="24"/>
    <n v="0"/>
    <n v="22"/>
    <n v="24"/>
    <n v="24"/>
    <n v="24"/>
    <n v="24"/>
    <n v="23"/>
    <n v="0"/>
    <n v="237.75484712233359"/>
    <m/>
    <m/>
    <n v="281.00448661782889"/>
  </r>
  <r>
    <x v="208"/>
    <x v="6"/>
    <n v="0"/>
    <n v="1272"/>
    <n v="1272"/>
    <n v="1308"/>
    <n v="0"/>
    <n v="0"/>
    <n v="0"/>
    <n v="0"/>
    <n v="24"/>
    <n v="24"/>
    <n v="0"/>
    <n v="1308"/>
    <n v="1308"/>
    <n v="1308"/>
    <n v="0"/>
    <n v="0"/>
    <n v="1308000"/>
    <n v="1308000"/>
    <n v="1297.3558"/>
    <n v="1297.3558"/>
    <n v="0"/>
    <n v="0"/>
    <n v="1297355.8"/>
    <n v="37.72"/>
    <n v="37.72"/>
    <n v="1345.72"/>
    <n v="0"/>
    <n v="1297.3558"/>
    <n v="162.16947500000001"/>
    <n v="6.7570614583333333"/>
    <n v="0"/>
    <n v="0"/>
    <n v="0"/>
    <n v="0"/>
    <n v="2.1"/>
    <n v="554.76130995211167"/>
    <n v="554.76130995211167"/>
    <n v="6.2499999999999964"/>
    <n v="1651.0753272384268"/>
    <n v="8.3499999999999961"/>
    <n v="2205.8366371905386"/>
    <n v="0"/>
    <n v="10775"/>
    <n v="40.787811972600004"/>
    <n v="0"/>
    <n v="0"/>
    <n v="0"/>
    <n v="0"/>
    <n v="0.42412944185941259"/>
    <n v="0"/>
    <n v="0"/>
    <n v="1.2622900055339654"/>
    <n v="8.5993506627001466"/>
    <n v="355998"/>
    <n v="12602"/>
    <n v="355993"/>
    <n v="355993"/>
    <n v="12523.748465666202"/>
    <n v="-78.25153433379819"/>
    <n v="-6.248251835169351E-3"/>
    <n v="9634.5565749235466"/>
    <n v="6489.99"/>
    <n v="9306.3553084342966"/>
    <n v="9653.287452575616"/>
    <n v="0.27216590214067277"/>
    <n v="0"/>
    <n v="0"/>
    <n v="0"/>
    <n v="0"/>
    <s v="DIESEL"/>
    <n v="71"/>
    <n v="0"/>
    <n v="71"/>
    <n v="0"/>
    <n v="1150"/>
    <n v="24"/>
    <n v="24"/>
    <n v="0"/>
    <n v="24"/>
    <n v="24"/>
    <n v="24"/>
    <n v="24"/>
    <n v="24"/>
    <n v="24"/>
    <n v="0"/>
    <n v="-29856.718690047888"/>
    <n v="30411.48"/>
    <n v="433230"/>
    <n v="290.03553315931651"/>
  </r>
  <r>
    <x v="209"/>
    <x v="6"/>
    <n v="0"/>
    <n v="1272"/>
    <n v="1272"/>
    <n v="1310"/>
    <n v="0"/>
    <n v="0"/>
    <n v="0"/>
    <n v="0"/>
    <n v="24"/>
    <n v="24"/>
    <n v="0"/>
    <n v="1310"/>
    <n v="1310"/>
    <n v="1310"/>
    <n v="0"/>
    <n v="0"/>
    <n v="1310000"/>
    <n v="1310000"/>
    <n v="1299.3045999999997"/>
    <n v="1299.3045999999997"/>
    <n v="0"/>
    <n v="0"/>
    <n v="1299304.5999999996"/>
    <n v="37.549999999999997"/>
    <n v="37.549999999999997"/>
    <n v="1347.55"/>
    <n v="0"/>
    <n v="1299.3045999999999"/>
    <n v="166.94037499999999"/>
    <n v="6.9558489583333332"/>
    <n v="2"/>
    <n v="2"/>
    <n v="0"/>
    <n v="0"/>
    <n v="1.6"/>
    <n v="422.67528377303745"/>
    <n v="422.67528377303745"/>
    <n v="6.8100000000000023"/>
    <n v="1799.0116765589912"/>
    <n v="8.4100000000000019"/>
    <n v="2221.6869603320288"/>
    <n v="0"/>
    <n v="0"/>
    <n v="0"/>
    <n v="0"/>
    <n v="0"/>
    <n v="0"/>
    <n v="0"/>
    <n v="0.32265288837636447"/>
    <n v="211.33764188651872"/>
    <n v="211.33764188651872"/>
    <n v="1.3732913561519018"/>
    <n v="9.631272742224164"/>
    <n v="345965"/>
    <n v="12247"/>
    <n v="345959"/>
    <n v="345959"/>
    <n v="12170.754749204096"/>
    <n v="-76.245250795904212"/>
    <n v="-6.2646279846276798E-3"/>
    <n v="9348.8549618320612"/>
    <n v="8958.58"/>
    <n v="9031.7648689874932"/>
    <n v="9367.1297317073295"/>
    <n v="0.26409083969465647"/>
    <n v="0"/>
    <n v="0"/>
    <n v="0"/>
    <n v="0"/>
    <s v="DIESEL"/>
    <n v="71"/>
    <n v="0"/>
    <n v="71"/>
    <n v="0"/>
    <n v="1150"/>
    <n v="24"/>
    <n v="24"/>
    <n v="0"/>
    <n v="24"/>
    <n v="24"/>
    <n v="24"/>
    <n v="24"/>
    <n v="24"/>
    <n v="24"/>
    <n v="0"/>
    <n v="422.67528377303745"/>
    <m/>
    <m/>
    <n v="292.11962082273698"/>
  </r>
  <r>
    <x v="210"/>
    <x v="6"/>
    <n v="0"/>
    <n v="1272"/>
    <n v="1272"/>
    <n v="1309"/>
    <n v="0"/>
    <n v="0"/>
    <n v="0"/>
    <n v="0"/>
    <n v="24"/>
    <n v="24"/>
    <n v="0"/>
    <n v="1309"/>
    <n v="1309"/>
    <n v="1309"/>
    <n v="0"/>
    <n v="0"/>
    <n v="1309000"/>
    <n v="1309000"/>
    <n v="1299.0502999999999"/>
    <n v="1299.0502999999999"/>
    <n v="0"/>
    <n v="0"/>
    <n v="1299050.2999999998"/>
    <n v="37.49"/>
    <n v="37.49"/>
    <n v="1346.49"/>
    <n v="0"/>
    <n v="1299.0502999999999"/>
    <n v="162.38128749999998"/>
    <n v="6.765886979166666"/>
    <n v="0"/>
    <n v="0"/>
    <n v="0"/>
    <n v="0"/>
    <n v="2.2999999999999998"/>
    <n v="607.59572042374134"/>
    <n v="607.59572042374134"/>
    <n v="6.8900000000000006"/>
    <n v="1820.1454407476429"/>
    <n v="9.1900000000000013"/>
    <n v="2427.7411611713846"/>
    <n v="0"/>
    <n v="0"/>
    <n v="0"/>
    <n v="0"/>
    <n v="0"/>
    <n v="0"/>
    <n v="0"/>
    <n v="0.46416785364686125"/>
    <n v="0"/>
    <n v="0"/>
    <n v="1.3904854398377715"/>
    <n v="9.4799241705606381"/>
    <n v="348192"/>
    <n v="12325"/>
    <n v="347775"/>
    <n v="347775"/>
    <n v="12234.641194200625"/>
    <n v="-90.35880579937475"/>
    <n v="-7.3854888235059942E-3"/>
    <n v="9415.5844155844152"/>
    <n v="8976.2900000000009"/>
    <n v="9086.3216170937958"/>
    <n v="9418.1427726090569"/>
    <n v="0.26567990832696714"/>
    <n v="0"/>
    <n v="0"/>
    <n v="0"/>
    <n v="0"/>
    <s v="DIESEL"/>
    <n v="71"/>
    <n v="0"/>
    <n v="71"/>
    <n v="0"/>
    <n v="1150"/>
    <n v="24"/>
    <n v="24"/>
    <n v="0"/>
    <n v="24"/>
    <n v="24"/>
    <n v="24"/>
    <n v="24"/>
    <n v="24"/>
    <n v="24"/>
    <n v="0"/>
    <n v="607.59572042374134"/>
    <m/>
    <m/>
    <n v="319.21276044720014"/>
  </r>
  <r>
    <x v="211"/>
    <x v="6"/>
    <n v="0"/>
    <n v="1272"/>
    <n v="1272"/>
    <n v="1259"/>
    <n v="6"/>
    <n v="264"/>
    <n v="0"/>
    <n v="0"/>
    <n v="24"/>
    <n v="24"/>
    <n v="0"/>
    <n v="1523"/>
    <n v="1259"/>
    <n v="1259"/>
    <n v="0"/>
    <n v="0"/>
    <n v="1259000"/>
    <n v="1259000"/>
    <n v="1247.8893"/>
    <n v="1247.8893"/>
    <n v="0"/>
    <n v="0"/>
    <n v="1247889.3"/>
    <n v="36.159999999999997"/>
    <n v="36.159999999999997"/>
    <n v="1295.1600000000001"/>
    <n v="0"/>
    <n v="1247.8893"/>
    <n v="160.73825357142857"/>
    <n v="6.6974272321428572"/>
    <n v="1"/>
    <n v="1"/>
    <n v="0"/>
    <n v="0"/>
    <n v="1.9"/>
    <n v="501.92689948048201"/>
    <n v="501.92689948048201"/>
    <n v="6.7399999999999984"/>
    <n v="1780.5196328939198"/>
    <n v="8.6399999999999988"/>
    <n v="2282.4465323744021"/>
    <n v="11013"/>
    <m/>
    <n v="41.688739977191993"/>
    <n v="0"/>
    <n v="0"/>
    <n v="0"/>
    <n v="0"/>
    <n v="0.3986710877525671"/>
    <n v="501.92689948048201"/>
    <n v="501.92689948048201"/>
    <n v="1.4142332270801588"/>
    <n v="9.5565812393252774"/>
    <n v="342743"/>
    <n v="12133"/>
    <n v="342325"/>
    <n v="342325"/>
    <n v="12042.911499690113"/>
    <n v="-90.088500309886513"/>
    <n v="-7.4806246240541295E-3"/>
    <n v="9637.0135027799843"/>
    <n v="8976.17"/>
    <n v="9298.3967229455156"/>
    <n v="9650.6248588637736"/>
    <n v="0.27190230341540905"/>
    <n v="0"/>
    <n v="0"/>
    <n v="0"/>
    <n v="0"/>
    <s v="DIESEL"/>
    <n v="71"/>
    <n v="0"/>
    <n v="71"/>
    <n v="0"/>
    <n v="1150"/>
    <n v="24"/>
    <n v="24"/>
    <n v="0"/>
    <n v="24"/>
    <n v="24"/>
    <n v="18"/>
    <n v="24"/>
    <n v="24"/>
    <n v="24"/>
    <n v="0"/>
    <n v="501.92689948048201"/>
    <m/>
    <m/>
    <n v="300.10862353251446"/>
  </r>
  <r>
    <x v="212"/>
    <x v="7"/>
    <m/>
    <m/>
    <m/>
    <m/>
    <m/>
    <m/>
    <m/>
    <m/>
    <m/>
    <m/>
    <n v="0"/>
    <n v="0"/>
    <m/>
    <n v="0"/>
    <n v="0"/>
    <n v="0"/>
    <n v="0"/>
    <n v="0"/>
    <n v="1339.8096999999998"/>
    <n v="1339.8096999999998"/>
    <n v="0"/>
    <n v="0"/>
    <n v="1339809.6999999997"/>
    <m/>
    <n v="0"/>
    <n v="0"/>
    <n v="0"/>
    <n v="1339.8096999999998"/>
    <n v="167.47621249999997"/>
    <n v="0"/>
    <n v="0"/>
    <n v="0"/>
    <n v="0"/>
    <m/>
    <m/>
    <n v="0"/>
    <n v="0"/>
    <n v="6.3999999999999986"/>
    <n v="1690.7011350921493"/>
    <n v="6.3999999999999986"/>
    <n v="1690.7011350921493"/>
    <m/>
    <m/>
    <n v="0"/>
    <n v="0"/>
    <n v="0"/>
    <n v="0"/>
    <n v="0"/>
    <n v="0"/>
    <n v="0"/>
    <n v="0"/>
    <n v="0"/>
    <n v="8.8057350786049504"/>
    <m/>
    <m/>
    <m/>
    <n v="0"/>
    <n v="0"/>
    <n v="0"/>
    <n v="0"/>
    <n v="0"/>
    <n v="8899.69"/>
    <n v="0"/>
    <n v="0"/>
    <n v="0"/>
    <n v="0"/>
    <n v="0"/>
    <n v="0"/>
    <n v="0"/>
    <s v="DIESEL"/>
    <m/>
    <n v="0"/>
    <n v="0"/>
    <n v="0"/>
    <m/>
    <n v="24"/>
    <n v="24"/>
    <n v="0"/>
    <n v="24"/>
    <n v="24"/>
    <n v="24"/>
    <n v="24"/>
    <n v="24"/>
    <n v="24"/>
    <n v="0"/>
    <n v="0"/>
    <m/>
    <m/>
    <n v="222.30268409815881"/>
  </r>
  <r>
    <x v="213"/>
    <x v="7"/>
    <m/>
    <m/>
    <m/>
    <m/>
    <m/>
    <m/>
    <m/>
    <m/>
    <m/>
    <m/>
    <n v="0"/>
    <n v="0"/>
    <m/>
    <n v="0"/>
    <n v="0"/>
    <n v="0"/>
    <n v="0"/>
    <n v="0"/>
    <n v="1340.9851000000001"/>
    <n v="1340.9851000000001"/>
    <n v="0"/>
    <n v="0"/>
    <n v="1340985.1000000001"/>
    <m/>
    <n v="0"/>
    <n v="0"/>
    <n v="0"/>
    <n v="1340.9851000000001"/>
    <n v="177.17774940476187"/>
    <n v="0"/>
    <n v="1"/>
    <n v="2"/>
    <n v="0"/>
    <m/>
    <m/>
    <n v="0"/>
    <n v="0"/>
    <n v="6.6400000000000006"/>
    <n v="1754.1024276581059"/>
    <n v="6.6400000000000006"/>
    <n v="1754.1024276581059"/>
    <m/>
    <m/>
    <n v="0"/>
    <n v="0"/>
    <n v="0"/>
    <n v="0"/>
    <n v="0"/>
    <n v="0"/>
    <n v="0"/>
    <n v="0"/>
    <n v="0"/>
    <n v="9.6528939667475218"/>
    <m/>
    <m/>
    <m/>
    <n v="0"/>
    <n v="0"/>
    <n v="0"/>
    <n v="0"/>
    <n v="0"/>
    <n v="8988.52"/>
    <n v="0"/>
    <n v="0"/>
    <n v="0"/>
    <n v="0"/>
    <n v="0"/>
    <n v="0"/>
    <n v="0"/>
    <s v="DIESEL"/>
    <m/>
    <n v="0"/>
    <n v="0"/>
    <n v="0"/>
    <m/>
    <n v="24"/>
    <n v="24"/>
    <n v="0"/>
    <n v="24"/>
    <n v="24"/>
    <n v="17"/>
    <n v="24"/>
    <n v="24"/>
    <n v="24"/>
    <n v="0"/>
    <n v="0"/>
    <m/>
    <m/>
    <n v="230.63903475183989"/>
  </r>
  <r>
    <x v="214"/>
    <x v="7"/>
    <m/>
    <m/>
    <m/>
    <m/>
    <m/>
    <m/>
    <m/>
    <m/>
    <m/>
    <m/>
    <n v="0"/>
    <n v="0"/>
    <m/>
    <n v="0"/>
    <n v="0"/>
    <n v="0"/>
    <n v="0"/>
    <n v="0"/>
    <n v="1393.0650000000001"/>
    <n v="1393.0650000000001"/>
    <n v="0"/>
    <n v="0"/>
    <n v="1393065"/>
    <m/>
    <n v="0"/>
    <n v="0"/>
    <n v="0"/>
    <n v="1393.0650000000001"/>
    <n v="184.79075178571429"/>
    <n v="0"/>
    <n v="1"/>
    <n v="0"/>
    <n v="0"/>
    <m/>
    <m/>
    <n v="0"/>
    <n v="0"/>
    <n v="6.2999999999999989"/>
    <n v="1664.2839298563349"/>
    <n v="6.2999999999999989"/>
    <n v="1664.2839298563349"/>
    <m/>
    <m/>
    <n v="0"/>
    <n v="0"/>
    <n v="0"/>
    <n v="0"/>
    <n v="0"/>
    <n v="0"/>
    <n v="0"/>
    <n v="0"/>
    <n v="0"/>
    <n v="9.1988482517569548"/>
    <m/>
    <m/>
    <m/>
    <n v="0"/>
    <n v="0"/>
    <n v="0"/>
    <n v="0"/>
    <n v="0"/>
    <n v="8964.6299999999992"/>
    <n v="0"/>
    <n v="0"/>
    <n v="0"/>
    <n v="0"/>
    <n v="0"/>
    <n v="0"/>
    <n v="0"/>
    <s v="DIESEL"/>
    <m/>
    <n v="0"/>
    <n v="0"/>
    <n v="0"/>
    <m/>
    <n v="24"/>
    <n v="24"/>
    <n v="0"/>
    <n v="24"/>
    <n v="24"/>
    <n v="13"/>
    <n v="24"/>
    <n v="24"/>
    <n v="24"/>
    <n v="0"/>
    <n v="0"/>
    <m/>
    <m/>
    <n v="218.82920465912511"/>
  </r>
  <r>
    <x v="215"/>
    <x v="7"/>
    <m/>
    <m/>
    <m/>
    <m/>
    <m/>
    <m/>
    <m/>
    <m/>
    <m/>
    <m/>
    <n v="0"/>
    <n v="0"/>
    <m/>
    <n v="0"/>
    <n v="0"/>
    <n v="0"/>
    <n v="0"/>
    <n v="0"/>
    <n v="1377.1008000000002"/>
    <n v="1377.1008000000002"/>
    <n v="0"/>
    <n v="0"/>
    <n v="1377100.8000000003"/>
    <m/>
    <n v="0"/>
    <n v="0"/>
    <n v="0"/>
    <n v="1377.1007999999999"/>
    <n v="180.56764166666665"/>
    <n v="0"/>
    <n v="2"/>
    <n v="2"/>
    <n v="0"/>
    <m/>
    <m/>
    <n v="0"/>
    <n v="0"/>
    <n v="6.6"/>
    <n v="1743.5355455637796"/>
    <n v="6.6"/>
    <n v="1743.5355455637796"/>
    <m/>
    <m/>
    <n v="0"/>
    <n v="0"/>
    <n v="0"/>
    <n v="0"/>
    <n v="0"/>
    <n v="0"/>
    <n v="0"/>
    <n v="0"/>
    <n v="0"/>
    <n v="9.5257873740950405"/>
    <m/>
    <m/>
    <m/>
    <n v="0"/>
    <n v="0"/>
    <n v="0"/>
    <n v="0"/>
    <n v="0"/>
    <n v="8965.9500000000007"/>
    <n v="0"/>
    <n v="0"/>
    <n v="0"/>
    <n v="0"/>
    <n v="0"/>
    <n v="0"/>
    <n v="0"/>
    <s v="DIESEL"/>
    <m/>
    <n v="0"/>
    <n v="0"/>
    <n v="0"/>
    <m/>
    <n v="22"/>
    <n v="24"/>
    <n v="6"/>
    <n v="24"/>
    <n v="24"/>
    <n v="24"/>
    <n v="24"/>
    <n v="24"/>
    <n v="23"/>
    <n v="0"/>
    <n v="0"/>
    <m/>
    <m/>
    <n v="229.24964297622634"/>
  </r>
  <r>
    <x v="216"/>
    <x v="7"/>
    <m/>
    <m/>
    <m/>
    <m/>
    <m/>
    <m/>
    <m/>
    <m/>
    <m/>
    <m/>
    <n v="0"/>
    <n v="0"/>
    <m/>
    <n v="0"/>
    <n v="0"/>
    <n v="0"/>
    <n v="0"/>
    <n v="0"/>
    <n v="1307.8353999999997"/>
    <n v="1307.8353999999997"/>
    <n v="0"/>
    <n v="0"/>
    <n v="1307835.3999999997"/>
    <m/>
    <n v="0"/>
    <n v="0"/>
    <n v="0"/>
    <n v="1307.8354000000002"/>
    <n v="163.46541349206345"/>
    <n v="0"/>
    <n v="3"/>
    <n v="2"/>
    <n v="0"/>
    <m/>
    <m/>
    <n v="0"/>
    <n v="0"/>
    <n v="6.6099999999999994"/>
    <n v="1746.1772660873607"/>
    <n v="6.6099999999999994"/>
    <n v="1746.1772660873607"/>
    <m/>
    <m/>
    <n v="0"/>
    <n v="0"/>
    <n v="0"/>
    <n v="0"/>
    <n v="0"/>
    <n v="0"/>
    <n v="0"/>
    <n v="0"/>
    <n v="0"/>
    <n v="9.0957652419082056"/>
    <m/>
    <m/>
    <m/>
    <n v="0"/>
    <n v="0"/>
    <n v="0"/>
    <n v="0"/>
    <n v="0"/>
    <n v="8935.5499999999993"/>
    <n v="0"/>
    <n v="0"/>
    <n v="0"/>
    <n v="0"/>
    <n v="0"/>
    <n v="0"/>
    <n v="0"/>
    <s v="DIESEL"/>
    <m/>
    <n v="0"/>
    <n v="0"/>
    <n v="0"/>
    <m/>
    <n v="24"/>
    <n v="24"/>
    <n v="7"/>
    <n v="24"/>
    <n v="24"/>
    <n v="24"/>
    <n v="24"/>
    <n v="24"/>
    <n v="24"/>
    <n v="0"/>
    <n v="0"/>
    <m/>
    <m/>
    <n v="229.59699092012968"/>
  </r>
  <r>
    <x v="217"/>
    <x v="7"/>
    <m/>
    <m/>
    <m/>
    <m/>
    <m/>
    <m/>
    <m/>
    <m/>
    <m/>
    <m/>
    <n v="0"/>
    <n v="0"/>
    <m/>
    <n v="0"/>
    <n v="0"/>
    <n v="0"/>
    <n v="0"/>
    <n v="0"/>
    <n v="1663.7432000000003"/>
    <n v="1663.7432000000003"/>
    <n v="0"/>
    <n v="0"/>
    <n v="1663743.2000000004"/>
    <m/>
    <n v="0"/>
    <n v="0"/>
    <n v="0"/>
    <n v="1663.7431999999997"/>
    <n v="190.85984761904763"/>
    <n v="0"/>
    <n v="2"/>
    <n v="2"/>
    <n v="0"/>
    <m/>
    <m/>
    <n v="0"/>
    <n v="0"/>
    <n v="7.3400000000000007"/>
    <n v="1939.0228643088096"/>
    <n v="7.3400000000000007"/>
    <n v="1939.0228643088096"/>
    <m/>
    <m/>
    <n v="0"/>
    <n v="0"/>
    <n v="0"/>
    <n v="0"/>
    <n v="0"/>
    <n v="0"/>
    <n v="0"/>
    <n v="0"/>
    <n v="0"/>
    <n v="9.2669878684366349"/>
    <m/>
    <m/>
    <m/>
    <n v="0"/>
    <n v="0"/>
    <n v="0"/>
    <n v="0"/>
    <n v="0"/>
    <n v="8949.98"/>
    <n v="0"/>
    <n v="0"/>
    <n v="0"/>
    <n v="0"/>
    <n v="0"/>
    <n v="0"/>
    <n v="0"/>
    <s v="DIESEL"/>
    <m/>
    <n v="0"/>
    <n v="0"/>
    <n v="0"/>
    <m/>
    <n v="24"/>
    <n v="24"/>
    <n v="24"/>
    <n v="24"/>
    <n v="24"/>
    <n v="24"/>
    <n v="24"/>
    <n v="24"/>
    <n v="24"/>
    <n v="0"/>
    <n v="0"/>
    <m/>
    <m/>
    <n v="254.95339082507599"/>
  </r>
  <r>
    <x v="218"/>
    <x v="7"/>
    <m/>
    <m/>
    <m/>
    <m/>
    <m/>
    <m/>
    <m/>
    <m/>
    <m/>
    <m/>
    <n v="0"/>
    <n v="0"/>
    <m/>
    <n v="0"/>
    <n v="0"/>
    <n v="0"/>
    <n v="0"/>
    <n v="0"/>
    <n v="1498.8703"/>
    <n v="1498.8703"/>
    <n v="0"/>
    <n v="0"/>
    <n v="1498870.3"/>
    <m/>
    <n v="0"/>
    <n v="0"/>
    <n v="0"/>
    <n v="1498.8702999999998"/>
    <n v="173.37492460317461"/>
    <n v="0"/>
    <n v="3"/>
    <n v="3"/>
    <n v="0"/>
    <m/>
    <m/>
    <n v="0"/>
    <n v="0"/>
    <n v="7.3999999999999959"/>
    <n v="1954.8731874502973"/>
    <n v="7.3999999999999959"/>
    <n v="1954.8731874502973"/>
    <m/>
    <m/>
    <n v="0"/>
    <n v="0"/>
    <n v="0"/>
    <n v="0"/>
    <n v="0"/>
    <n v="0"/>
    <n v="0"/>
    <n v="0"/>
    <n v="0"/>
    <n v="9.4246699301120511"/>
    <m/>
    <m/>
    <m/>
    <n v="0"/>
    <n v="0"/>
    <n v="0"/>
    <n v="0"/>
    <n v="0"/>
    <n v="9074.85"/>
    <n v="0"/>
    <n v="0"/>
    <n v="0"/>
    <n v="0"/>
    <n v="0"/>
    <n v="0"/>
    <n v="0"/>
    <s v="DIESEL"/>
    <m/>
    <n v="0"/>
    <n v="0"/>
    <n v="0"/>
    <m/>
    <n v="24"/>
    <n v="24"/>
    <n v="23"/>
    <n v="24"/>
    <n v="24"/>
    <n v="24"/>
    <n v="22"/>
    <n v="24"/>
    <n v="23"/>
    <n v="0"/>
    <n v="0"/>
    <m/>
    <m/>
    <n v="257.03747848849605"/>
  </r>
  <r>
    <x v="219"/>
    <x v="7"/>
    <m/>
    <m/>
    <m/>
    <m/>
    <m/>
    <m/>
    <m/>
    <m/>
    <m/>
    <m/>
    <n v="0"/>
    <n v="0"/>
    <m/>
    <n v="0"/>
    <n v="0"/>
    <n v="0"/>
    <n v="0"/>
    <n v="0"/>
    <n v="1501.8062999999997"/>
    <n v="1501.8062999999997"/>
    <n v="0"/>
    <n v="0"/>
    <n v="1501806.2999999998"/>
    <m/>
    <n v="0"/>
    <n v="0"/>
    <n v="0"/>
    <n v="1501.8063000000002"/>
    <n v="172.86108412698414"/>
    <n v="0"/>
    <n v="2"/>
    <n v="2"/>
    <n v="0"/>
    <m/>
    <m/>
    <n v="0"/>
    <n v="0"/>
    <n v="7.6500000000000012"/>
    <n v="2020.9162005398357"/>
    <n v="7.6500000000000012"/>
    <n v="2020.9162005398357"/>
    <m/>
    <m/>
    <n v="0"/>
    <n v="0"/>
    <n v="0"/>
    <n v="0"/>
    <n v="0"/>
    <n v="0"/>
    <n v="0"/>
    <n v="0"/>
    <n v="0"/>
    <n v="9.6915500954407978"/>
    <m/>
    <m/>
    <m/>
    <n v="0"/>
    <n v="0"/>
    <n v="0"/>
    <n v="0"/>
    <n v="0"/>
    <n v="9082.49"/>
    <n v="0"/>
    <n v="0"/>
    <n v="0"/>
    <n v="0"/>
    <n v="0"/>
    <n v="0"/>
    <n v="0"/>
    <s v="DIESEL"/>
    <m/>
    <n v="0"/>
    <n v="0"/>
    <n v="0"/>
    <m/>
    <n v="24"/>
    <n v="24"/>
    <n v="24"/>
    <n v="24"/>
    <n v="24"/>
    <n v="24"/>
    <n v="24"/>
    <n v="24"/>
    <n v="24"/>
    <n v="0"/>
    <n v="0"/>
    <m/>
    <m/>
    <n v="265.72117708608056"/>
  </r>
  <r>
    <x v="220"/>
    <x v="7"/>
    <m/>
    <m/>
    <m/>
    <m/>
    <m/>
    <m/>
    <m/>
    <m/>
    <m/>
    <m/>
    <n v="0"/>
    <n v="0"/>
    <m/>
    <n v="0"/>
    <n v="0"/>
    <n v="0"/>
    <n v="0"/>
    <n v="0"/>
    <n v="1562.7642000000001"/>
    <n v="1562.7642000000001"/>
    <n v="0"/>
    <n v="0"/>
    <n v="1562764.2000000002"/>
    <m/>
    <n v="0"/>
    <n v="0"/>
    <n v="0"/>
    <n v="1562.7641999999998"/>
    <n v="173.64046666666667"/>
    <n v="0"/>
    <n v="0"/>
    <n v="0"/>
    <n v="0"/>
    <m/>
    <m/>
    <n v="0"/>
    <n v="0"/>
    <n v="7.8199999999999994"/>
    <n v="2065.8254494407206"/>
    <n v="7.8199999999999994"/>
    <n v="2065.8254494407206"/>
    <m/>
    <m/>
    <n v="0"/>
    <n v="0"/>
    <n v="0"/>
    <n v="0"/>
    <n v="0"/>
    <n v="0"/>
    <n v="0"/>
    <n v="0"/>
    <n v="0"/>
    <n v="9.5640067103737074"/>
    <m/>
    <m/>
    <m/>
    <n v="0"/>
    <n v="0"/>
    <n v="0"/>
    <n v="0"/>
    <n v="0"/>
    <n v="8507.2900000000009"/>
    <n v="0"/>
    <n v="0"/>
    <n v="0"/>
    <n v="0"/>
    <n v="0"/>
    <n v="0"/>
    <n v="0"/>
    <s v="DIESEL"/>
    <m/>
    <n v="0"/>
    <n v="0"/>
    <n v="0"/>
    <m/>
    <n v="24"/>
    <n v="24"/>
    <n v="24"/>
    <n v="24"/>
    <n v="24"/>
    <n v="24"/>
    <n v="24"/>
    <n v="24"/>
    <n v="24"/>
    <n v="0"/>
    <n v="-6620.15"/>
    <n v="6620.15"/>
    <s v="93,69"/>
    <n v="271.62609213243786"/>
  </r>
  <r>
    <x v="221"/>
    <x v="7"/>
    <m/>
    <m/>
    <m/>
    <m/>
    <m/>
    <m/>
    <m/>
    <m/>
    <m/>
    <m/>
    <n v="0"/>
    <n v="0"/>
    <m/>
    <n v="0"/>
    <n v="0"/>
    <n v="0"/>
    <n v="0"/>
    <n v="0"/>
    <n v="1297.3577"/>
    <n v="1297.3577"/>
    <n v="0"/>
    <n v="0"/>
    <n v="1297357.7"/>
    <m/>
    <n v="0"/>
    <n v="0"/>
    <n v="0"/>
    <n v="1297.3577000000002"/>
    <n v="162.1697125"/>
    <n v="0"/>
    <n v="0"/>
    <n v="1"/>
    <n v="0"/>
    <m/>
    <m/>
    <n v="0"/>
    <n v="0"/>
    <n v="6.04"/>
    <n v="1595.5991962432165"/>
    <n v="6.04"/>
    <n v="1595.5991962432165"/>
    <m/>
    <m/>
    <n v="0"/>
    <n v="0"/>
    <n v="0"/>
    <n v="0"/>
    <n v="0"/>
    <n v="0"/>
    <n v="0"/>
    <n v="0"/>
    <n v="0"/>
    <n v="8.3104124804334187"/>
    <m/>
    <m/>
    <m/>
    <n v="0"/>
    <n v="0"/>
    <n v="0"/>
    <n v="0"/>
    <n v="0"/>
    <n v="9039.65"/>
    <n v="0"/>
    <n v="0"/>
    <n v="0"/>
    <n v="0"/>
    <n v="0"/>
    <n v="0"/>
    <n v="0"/>
    <s v="DIESEL"/>
    <m/>
    <n v="0"/>
    <n v="0"/>
    <n v="0"/>
    <m/>
    <n v="19"/>
    <n v="24"/>
    <n v="17"/>
    <n v="24"/>
    <n v="24"/>
    <n v="24"/>
    <n v="19"/>
    <n v="19"/>
    <n v="24"/>
    <n v="0"/>
    <n v="-3275.73"/>
    <n v="3275.73"/>
    <s v="4,87"/>
    <n v="209.79815811763746"/>
  </r>
  <r>
    <x v="222"/>
    <x v="7"/>
    <m/>
    <m/>
    <m/>
    <m/>
    <m/>
    <m/>
    <m/>
    <m/>
    <m/>
    <m/>
    <n v="0"/>
    <n v="0"/>
    <m/>
    <n v="0"/>
    <n v="0"/>
    <n v="0"/>
    <n v="0"/>
    <n v="0"/>
    <n v="1336.7901000000002"/>
    <n v="1336.7901000000002"/>
    <n v="0"/>
    <n v="0"/>
    <n v="1336790.1000000001"/>
    <m/>
    <n v="0"/>
    <n v="0"/>
    <n v="0"/>
    <n v="1336.7901000000002"/>
    <n v="173.75673333333336"/>
    <n v="0"/>
    <n v="2"/>
    <n v="2"/>
    <n v="0"/>
    <m/>
    <m/>
    <n v="0"/>
    <n v="0"/>
    <n v="6.5199999999999978"/>
    <n v="1722.4017813751273"/>
    <n v="6.5199999999999978"/>
    <n v="1722.4017813751273"/>
    <m/>
    <m/>
    <n v="0"/>
    <n v="0"/>
    <n v="0"/>
    <n v="0"/>
    <n v="0"/>
    <n v="0"/>
    <n v="0"/>
    <n v="0"/>
    <n v="0"/>
    <n v="9.3331619192505588"/>
    <m/>
    <m/>
    <m/>
    <n v="0"/>
    <n v="0"/>
    <n v="0"/>
    <n v="0"/>
    <n v="0"/>
    <n v="8958.7099999999991"/>
    <n v="0"/>
    <n v="0"/>
    <n v="0"/>
    <n v="0"/>
    <n v="0"/>
    <n v="0"/>
    <n v="0"/>
    <s v="DIESEL"/>
    <m/>
    <n v="0"/>
    <n v="0"/>
    <n v="0"/>
    <m/>
    <n v="24"/>
    <n v="24"/>
    <n v="24"/>
    <n v="24"/>
    <n v="23"/>
    <n v="24"/>
    <n v="0"/>
    <n v="24"/>
    <n v="24"/>
    <n v="0"/>
    <n v="0"/>
    <m/>
    <m/>
    <n v="226.4708594249993"/>
  </r>
  <r>
    <x v="223"/>
    <x v="7"/>
    <m/>
    <m/>
    <m/>
    <m/>
    <m/>
    <m/>
    <m/>
    <m/>
    <m/>
    <m/>
    <n v="0"/>
    <n v="0"/>
    <m/>
    <n v="0"/>
    <n v="0"/>
    <n v="0"/>
    <n v="0"/>
    <n v="0"/>
    <n v="1318.6859000000002"/>
    <n v="1318.6859000000002"/>
    <n v="0"/>
    <n v="0"/>
    <n v="1318685.9000000001"/>
    <m/>
    <n v="0"/>
    <n v="0"/>
    <n v="0"/>
    <n v="1318.6859000000002"/>
    <n v="184.0792267857143"/>
    <n v="0"/>
    <n v="1"/>
    <n v="2"/>
    <n v="0"/>
    <m/>
    <m/>
    <n v="0"/>
    <n v="0"/>
    <n v="5.8000000000000034"/>
    <n v="1532.1979036772618"/>
    <n v="5.8000000000000034"/>
    <n v="1532.1979036772618"/>
    <m/>
    <m/>
    <n v="0"/>
    <n v="0"/>
    <n v="0"/>
    <n v="0"/>
    <n v="0"/>
    <n v="0"/>
    <n v="0"/>
    <n v="0"/>
    <n v="0"/>
    <n v="8.9236690305505491"/>
    <m/>
    <m/>
    <m/>
    <n v="0"/>
    <n v="0"/>
    <n v="0"/>
    <n v="0"/>
    <n v="0"/>
    <n v="8616.2000000000007"/>
    <n v="0"/>
    <n v="0"/>
    <n v="0"/>
    <n v="0"/>
    <n v="0"/>
    <n v="0"/>
    <n v="0"/>
    <s v="DIESEL"/>
    <m/>
    <n v="0"/>
    <n v="0"/>
    <n v="0"/>
    <m/>
    <n v="24"/>
    <n v="18"/>
    <n v="11"/>
    <n v="16"/>
    <n v="21"/>
    <n v="19"/>
    <n v="23"/>
    <n v="17"/>
    <n v="24"/>
    <n v="0"/>
    <n v="0"/>
    <m/>
    <m/>
    <n v="201.4618074639566"/>
  </r>
  <r>
    <x v="224"/>
    <x v="7"/>
    <m/>
    <m/>
    <m/>
    <m/>
    <m/>
    <m/>
    <m/>
    <m/>
    <m/>
    <m/>
    <n v="0"/>
    <n v="0"/>
    <m/>
    <n v="0"/>
    <n v="0"/>
    <n v="0"/>
    <n v="0"/>
    <n v="0"/>
    <n v="1284.3541"/>
    <n v="1284.3541"/>
    <n v="0"/>
    <n v="0"/>
    <n v="1284354.1000000001"/>
    <m/>
    <n v="0"/>
    <n v="0"/>
    <n v="0"/>
    <n v="1284.3541"/>
    <n v="183.47915714285713"/>
    <n v="0"/>
    <n v="0"/>
    <n v="0"/>
    <n v="0"/>
    <m/>
    <m/>
    <n v="0"/>
    <n v="0"/>
    <n v="5.6000000000000023"/>
    <n v="1479.3634932056318"/>
    <n v="5.6000000000000023"/>
    <n v="1479.3634932056318"/>
    <m/>
    <m/>
    <n v="0"/>
    <n v="0"/>
    <n v="0"/>
    <n v="0"/>
    <n v="0"/>
    <n v="0"/>
    <n v="0"/>
    <n v="0"/>
    <n v="0"/>
    <n v="8.8057350786049451"/>
    <m/>
    <m/>
    <m/>
    <n v="0"/>
    <n v="0"/>
    <n v="0"/>
    <n v="0"/>
    <n v="0"/>
    <n v="8762.57"/>
    <n v="0"/>
    <n v="0"/>
    <n v="0"/>
    <n v="0"/>
    <n v="0"/>
    <n v="0"/>
    <n v="0"/>
    <s v="DIESEL"/>
    <m/>
    <n v="0"/>
    <n v="0"/>
    <n v="0"/>
    <m/>
    <n v="24"/>
    <n v="24"/>
    <n v="24"/>
    <n v="0"/>
    <n v="24"/>
    <n v="21"/>
    <n v="21"/>
    <n v="8"/>
    <n v="24"/>
    <n v="0"/>
    <n v="0"/>
    <m/>
    <m/>
    <n v="194.5148485858891"/>
  </r>
  <r>
    <x v="225"/>
    <x v="7"/>
    <m/>
    <m/>
    <m/>
    <m/>
    <m/>
    <m/>
    <m/>
    <m/>
    <m/>
    <m/>
    <n v="0"/>
    <n v="0"/>
    <m/>
    <n v="0"/>
    <n v="0"/>
    <n v="0"/>
    <n v="0"/>
    <n v="0"/>
    <n v="1555.7263"/>
    <n v="1555.7263"/>
    <n v="0"/>
    <n v="0"/>
    <n v="1555726.3"/>
    <m/>
    <n v="0"/>
    <n v="0"/>
    <n v="0"/>
    <n v="1555.7263000000003"/>
    <n v="173.69918472222218"/>
    <n v="0"/>
    <n v="2"/>
    <n v="0"/>
    <n v="0"/>
    <m/>
    <m/>
    <n v="0"/>
    <n v="0"/>
    <n v="6.78"/>
    <n v="1791.0865149882463"/>
    <n v="6.78"/>
    <n v="1791.0865149882463"/>
    <m/>
    <m/>
    <n v="0"/>
    <n v="0"/>
    <n v="0"/>
    <n v="0"/>
    <n v="0"/>
    <n v="0"/>
    <n v="0"/>
    <n v="0"/>
    <n v="0"/>
    <n v="8.3333440822006164"/>
    <m/>
    <m/>
    <m/>
    <n v="0"/>
    <n v="0"/>
    <n v="0"/>
    <n v="0"/>
    <n v="0"/>
    <n v="9141.02"/>
    <n v="0"/>
    <n v="0"/>
    <n v="0"/>
    <n v="0"/>
    <n v="0"/>
    <n v="0"/>
    <n v="0"/>
    <s v="DIESEL"/>
    <m/>
    <n v="0"/>
    <n v="0"/>
    <n v="0"/>
    <m/>
    <n v="24"/>
    <n v="24"/>
    <n v="24"/>
    <n v="23"/>
    <n v="24"/>
    <n v="24"/>
    <n v="24"/>
    <n v="24"/>
    <n v="24"/>
    <n v="0"/>
    <n v="0"/>
    <m/>
    <m/>
    <n v="235.50190596648704"/>
  </r>
  <r>
    <x v="226"/>
    <x v="7"/>
    <m/>
    <m/>
    <m/>
    <m/>
    <m/>
    <m/>
    <m/>
    <m/>
    <m/>
    <m/>
    <n v="0"/>
    <n v="0"/>
    <m/>
    <n v="0"/>
    <n v="0"/>
    <n v="0"/>
    <n v="0"/>
    <n v="0"/>
    <n v="1483.5577999999998"/>
    <n v="1483.5577999999998"/>
    <n v="0"/>
    <n v="0"/>
    <n v="1483557.7999999998"/>
    <m/>
    <n v="0"/>
    <n v="0"/>
    <n v="0"/>
    <n v="1483.5577999999996"/>
    <n v="166.49769583333335"/>
    <n v="0"/>
    <n v="1"/>
    <n v="1"/>
    <n v="0"/>
    <m/>
    <m/>
    <n v="0"/>
    <n v="0"/>
    <n v="6.2699999999999978"/>
    <n v="1656.35876828559"/>
    <n v="6.2699999999999978"/>
    <n v="1656.35876828559"/>
    <m/>
    <m/>
    <n v="0"/>
    <n v="0"/>
    <n v="0"/>
    <n v="0"/>
    <n v="0"/>
    <n v="0"/>
    <n v="0"/>
    <n v="0"/>
    <n v="0"/>
    <n v="7.7447663035091443"/>
    <m/>
    <m/>
    <m/>
    <n v="0"/>
    <n v="0"/>
    <n v="0"/>
    <n v="0"/>
    <n v="0"/>
    <n v="8818.65"/>
    <n v="0"/>
    <n v="0"/>
    <n v="0"/>
    <n v="0"/>
    <n v="0"/>
    <n v="0"/>
    <n v="0"/>
    <s v="DIESEL"/>
    <m/>
    <n v="0"/>
    <n v="0"/>
    <n v="0"/>
    <m/>
    <n v="24"/>
    <n v="24"/>
    <n v="23"/>
    <n v="24"/>
    <n v="24"/>
    <n v="24"/>
    <n v="24"/>
    <n v="22"/>
    <n v="24"/>
    <n v="0"/>
    <n v="0"/>
    <m/>
    <m/>
    <n v="217.78716082741497"/>
  </r>
  <r>
    <x v="227"/>
    <x v="7"/>
    <m/>
    <m/>
    <m/>
    <m/>
    <m/>
    <m/>
    <m/>
    <m/>
    <m/>
    <m/>
    <n v="0"/>
    <n v="0"/>
    <m/>
    <n v="0"/>
    <n v="0"/>
    <n v="0"/>
    <n v="0"/>
    <n v="0"/>
    <n v="1239.1189000000002"/>
    <n v="1239.1189000000002"/>
    <n v="0"/>
    <n v="0"/>
    <n v="1239118.9000000001"/>
    <m/>
    <n v="0"/>
    <n v="0"/>
    <n v="0"/>
    <n v="1239.1189000000002"/>
    <n v="154.88986250000002"/>
    <n v="0"/>
    <n v="0"/>
    <n v="1"/>
    <n v="0"/>
    <m/>
    <m/>
    <n v="0"/>
    <n v="0"/>
    <n v="5.8500000000000014"/>
    <n v="1545.4065062951688"/>
    <n v="5.8500000000000014"/>
    <n v="1545.4065062951688"/>
    <m/>
    <m/>
    <n v="0"/>
    <n v="0"/>
    <n v="0"/>
    <n v="0"/>
    <n v="0"/>
    <n v="0"/>
    <n v="0"/>
    <n v="0"/>
    <n v="0"/>
    <n v="8.0489922202873334"/>
    <m/>
    <m/>
    <m/>
    <n v="0"/>
    <n v="0"/>
    <n v="0"/>
    <n v="0"/>
    <n v="0"/>
    <n v="8973.94"/>
    <n v="0"/>
    <n v="0"/>
    <n v="0"/>
    <n v="0"/>
    <n v="0"/>
    <n v="0"/>
    <n v="0"/>
    <s v="DIESEL"/>
    <m/>
    <n v="0"/>
    <n v="0"/>
    <n v="0"/>
    <m/>
    <n v="24"/>
    <n v="24"/>
    <n v="24"/>
    <n v="24"/>
    <n v="24"/>
    <n v="0"/>
    <n v="24"/>
    <n v="24"/>
    <n v="24"/>
    <n v="0"/>
    <n v="0"/>
    <m/>
    <m/>
    <n v="203.19854718347341"/>
  </r>
  <r>
    <x v="228"/>
    <x v="7"/>
    <m/>
    <m/>
    <m/>
    <m/>
    <m/>
    <m/>
    <m/>
    <m/>
    <m/>
    <m/>
    <n v="0"/>
    <n v="0"/>
    <m/>
    <n v="0"/>
    <n v="0"/>
    <n v="0"/>
    <n v="0"/>
    <n v="0"/>
    <n v="1259.7040000000002"/>
    <n v="1259.7040000000002"/>
    <n v="0"/>
    <n v="0"/>
    <n v="1259704.0000000002"/>
    <m/>
    <n v="0"/>
    <n v="0"/>
    <n v="0"/>
    <n v="1259.704"/>
    <n v="161.84925000000001"/>
    <n v="0"/>
    <n v="2"/>
    <n v="2"/>
    <n v="0"/>
    <m/>
    <m/>
    <n v="0"/>
    <n v="0"/>
    <n v="5.7100000000000017"/>
    <n v="1508.4224189650279"/>
    <n v="5.7100000000000017"/>
    <n v="1508.4224189650279"/>
    <m/>
    <m/>
    <n v="0"/>
    <n v="0"/>
    <n v="0"/>
    <n v="0"/>
    <n v="0"/>
    <n v="0"/>
    <n v="0"/>
    <n v="0"/>
    <n v="0"/>
    <n v="8.0719238220545346"/>
    <m/>
    <m/>
    <m/>
    <n v="0"/>
    <n v="0"/>
    <n v="0"/>
    <n v="0"/>
    <n v="0"/>
    <n v="9347.31"/>
    <n v="0"/>
    <n v="0"/>
    <n v="0"/>
    <n v="0"/>
    <n v="0"/>
    <n v="0"/>
    <n v="0"/>
    <s v="DIESEL"/>
    <m/>
    <n v="0"/>
    <n v="0"/>
    <n v="0"/>
    <m/>
    <n v="24"/>
    <n v="24"/>
    <n v="24"/>
    <n v="23"/>
    <n v="24"/>
    <n v="24"/>
    <n v="24"/>
    <n v="22"/>
    <n v="0"/>
    <n v="0"/>
    <n v="0"/>
    <m/>
    <m/>
    <n v="198.33567596882617"/>
  </r>
  <r>
    <x v="229"/>
    <x v="7"/>
    <m/>
    <m/>
    <m/>
    <m/>
    <m/>
    <m/>
    <m/>
    <m/>
    <m/>
    <m/>
    <n v="0"/>
    <n v="0"/>
    <m/>
    <n v="0"/>
    <n v="0"/>
    <n v="0"/>
    <n v="0"/>
    <n v="0"/>
    <n v="1242.9563000000003"/>
    <n v="1242.9563000000003"/>
    <n v="0"/>
    <n v="0"/>
    <n v="1242956.3000000003"/>
    <m/>
    <n v="0"/>
    <n v="0"/>
    <n v="0"/>
    <n v="1242.9563000000001"/>
    <n v="158.10621250000003"/>
    <n v="0"/>
    <n v="2"/>
    <n v="2"/>
    <n v="0"/>
    <m/>
    <m/>
    <n v="0"/>
    <n v="0"/>
    <n v="5.3800000000000026"/>
    <n v="1421.2456416868392"/>
    <n v="5.3800000000000026"/>
    <n v="1421.2456416868392"/>
    <m/>
    <m/>
    <n v="0"/>
    <n v="0"/>
    <n v="0"/>
    <n v="0"/>
    <n v="0"/>
    <n v="0"/>
    <n v="0"/>
    <n v="0"/>
    <n v="0"/>
    <n v="7.5320483975924466"/>
    <m/>
    <m/>
    <m/>
    <n v="0"/>
    <n v="0"/>
    <n v="0"/>
    <n v="0"/>
    <n v="0"/>
    <n v="9236.09"/>
    <n v="0"/>
    <n v="0"/>
    <n v="0"/>
    <n v="0"/>
    <n v="0"/>
    <n v="0"/>
    <n v="0"/>
    <s v="DIESEL"/>
    <m/>
    <n v="0"/>
    <n v="0"/>
    <n v="0"/>
    <m/>
    <n v="0"/>
    <n v="24"/>
    <n v="24"/>
    <n v="24"/>
    <n v="24"/>
    <n v="24"/>
    <n v="24"/>
    <n v="22"/>
    <n v="24"/>
    <n v="0"/>
    <n v="0"/>
    <m/>
    <m/>
    <n v="186.8731938200149"/>
  </r>
  <r>
    <x v="230"/>
    <x v="7"/>
    <m/>
    <m/>
    <m/>
    <m/>
    <m/>
    <m/>
    <m/>
    <m/>
    <m/>
    <m/>
    <n v="0"/>
    <n v="0"/>
    <m/>
    <n v="0"/>
    <n v="0"/>
    <n v="0"/>
    <n v="0"/>
    <n v="0"/>
    <n v="1284.7375"/>
    <n v="1284.7375"/>
    <n v="0"/>
    <n v="0"/>
    <n v="1284737.5"/>
    <m/>
    <n v="0"/>
    <n v="0"/>
    <n v="0"/>
    <n v="1284.7375"/>
    <n v="160.59218749999999"/>
    <n v="0"/>
    <n v="0"/>
    <n v="0"/>
    <n v="0"/>
    <m/>
    <m/>
    <n v="0"/>
    <n v="0"/>
    <n v="6.63"/>
    <n v="1751.460707134524"/>
    <n v="6.63"/>
    <n v="1751.460707134524"/>
    <m/>
    <m/>
    <n v="0"/>
    <n v="0"/>
    <n v="0"/>
    <n v="0"/>
    <n v="0"/>
    <n v="0"/>
    <n v="0"/>
    <n v="0"/>
    <n v="0"/>
    <n v="9.1221911829923119"/>
    <m/>
    <m/>
    <m/>
    <n v="0"/>
    <n v="0"/>
    <n v="0"/>
    <n v="0"/>
    <n v="0"/>
    <n v="9261.74"/>
    <n v="0"/>
    <n v="0"/>
    <n v="0"/>
    <n v="0"/>
    <n v="0"/>
    <n v="0"/>
    <n v="0"/>
    <s v="DIESEL"/>
    <m/>
    <n v="0"/>
    <n v="0"/>
    <n v="0"/>
    <m/>
    <n v="0"/>
    <n v="24"/>
    <n v="24"/>
    <n v="24"/>
    <n v="24"/>
    <n v="24"/>
    <n v="23"/>
    <n v="24"/>
    <n v="24"/>
    <n v="2"/>
    <n v="0"/>
    <m/>
    <m/>
    <n v="230.29168680793646"/>
  </r>
  <r>
    <x v="231"/>
    <x v="7"/>
    <m/>
    <m/>
    <m/>
    <m/>
    <m/>
    <m/>
    <m/>
    <m/>
    <m/>
    <m/>
    <n v="0"/>
    <n v="0"/>
    <m/>
    <n v="0"/>
    <n v="0"/>
    <n v="0"/>
    <n v="0"/>
    <n v="0"/>
    <n v="1350.011"/>
    <n v="1350.011"/>
    <n v="0"/>
    <n v="0"/>
    <n v="1350011"/>
    <m/>
    <n v="0"/>
    <n v="0"/>
    <n v="0"/>
    <n v="1350.011"/>
    <n v="162.9093642857143"/>
    <n v="0"/>
    <n v="3"/>
    <n v="3"/>
    <n v="0"/>
    <m/>
    <m/>
    <n v="0"/>
    <n v="0"/>
    <n v="6.8499999999999979"/>
    <n v="1809.5785586533161"/>
    <n v="6.8499999999999979"/>
    <n v="1809.5785586533161"/>
    <m/>
    <m/>
    <n v="0"/>
    <n v="0"/>
    <n v="0"/>
    <n v="0"/>
    <n v="0"/>
    <n v="0"/>
    <n v="0"/>
    <n v="0"/>
    <n v="0"/>
    <n v="9.0988227888104998"/>
    <m/>
    <m/>
    <m/>
    <n v="0"/>
    <n v="0"/>
    <n v="0"/>
    <n v="0"/>
    <n v="0"/>
    <n v="8907.51"/>
    <n v="0"/>
    <n v="0"/>
    <n v="0"/>
    <n v="0"/>
    <n v="0"/>
    <n v="0"/>
    <n v="0"/>
    <s v="DIESEL"/>
    <m/>
    <n v="0"/>
    <n v="0"/>
    <n v="0"/>
    <m/>
    <n v="0"/>
    <n v="22"/>
    <n v="24"/>
    <n v="24"/>
    <n v="24"/>
    <n v="24"/>
    <n v="24"/>
    <n v="24"/>
    <n v="24"/>
    <n v="12"/>
    <n v="0"/>
    <m/>
    <m/>
    <n v="237.93334157381059"/>
  </r>
  <r>
    <x v="232"/>
    <x v="7"/>
    <m/>
    <m/>
    <m/>
    <m/>
    <m/>
    <m/>
    <m/>
    <m/>
    <m/>
    <m/>
    <n v="0"/>
    <n v="0"/>
    <m/>
    <n v="0"/>
    <n v="0"/>
    <n v="0"/>
    <n v="0"/>
    <n v="0"/>
    <n v="1379.5064000000002"/>
    <n v="1379.5064000000002"/>
    <n v="0"/>
    <n v="0"/>
    <n v="1379506.4000000001"/>
    <m/>
    <n v="0"/>
    <n v="0"/>
    <n v="0"/>
    <n v="1379.5064"/>
    <n v="172.43830000000003"/>
    <n v="0"/>
    <n v="0"/>
    <n v="0"/>
    <n v="0"/>
    <m/>
    <m/>
    <n v="0"/>
    <n v="0"/>
    <n v="6.089999999999999"/>
    <n v="1608.8077988611237"/>
    <n v="6.089999999999999"/>
    <n v="1608.8077988611237"/>
    <m/>
    <m/>
    <n v="0"/>
    <n v="0"/>
    <n v="0"/>
    <n v="0"/>
    <n v="0"/>
    <n v="0"/>
    <n v="0"/>
    <n v="0"/>
    <n v="0"/>
    <n v="8.3792072857350188"/>
    <m/>
    <m/>
    <m/>
    <n v="0"/>
    <n v="0"/>
    <n v="0"/>
    <n v="0"/>
    <n v="0"/>
    <n v="8989.17"/>
    <n v="0"/>
    <n v="0"/>
    <n v="0"/>
    <n v="0"/>
    <n v="0"/>
    <n v="0"/>
    <n v="0"/>
    <s v="DIESEL"/>
    <m/>
    <n v="0"/>
    <n v="0"/>
    <n v="0"/>
    <m/>
    <n v="0"/>
    <n v="24"/>
    <n v="24"/>
    <n v="24"/>
    <n v="24"/>
    <n v="0"/>
    <n v="24"/>
    <n v="24"/>
    <n v="24"/>
    <n v="23"/>
    <n v="0"/>
    <m/>
    <m/>
    <n v="211.53489783715426"/>
  </r>
  <r>
    <x v="233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6.5"/>
    <n v="1717.1183403279647"/>
    <n v="6.5"/>
    <n v="1717.1183403279647"/>
    <m/>
    <m/>
    <n v="0"/>
    <n v="0"/>
    <n v="0"/>
    <n v="0"/>
    <n v="0"/>
    <n v="0"/>
    <n v="0"/>
    <n v="0"/>
    <n v="0"/>
    <n v="8.9433246892081488"/>
    <m/>
    <m/>
    <m/>
    <n v="0"/>
    <n v="0"/>
    <n v="0"/>
    <n v="0"/>
    <n v="0"/>
    <n v="8962.9599999999991"/>
    <n v="0"/>
    <n v="0"/>
    <n v="0"/>
    <n v="0"/>
    <n v="0"/>
    <n v="0"/>
    <n v="0"/>
    <s v="DIESEL"/>
    <m/>
    <n v="0"/>
    <n v="0"/>
    <n v="0"/>
    <m/>
    <n v="0"/>
    <n v="24"/>
    <n v="24"/>
    <n v="24"/>
    <n v="24"/>
    <n v="0"/>
    <n v="24"/>
    <n v="24"/>
    <n v="24"/>
    <n v="24"/>
    <n v="0"/>
    <m/>
    <m/>
    <n v="225.77616353719262"/>
  </r>
  <r>
    <x v="234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8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7.7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35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77.040000000000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36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92.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37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84.7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38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11.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39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02.03000000000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0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71.5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1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77.0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2"/>
    <x v="7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34.54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3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499.6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4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017.8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8955.43"/>
    <n v="8955.43"/>
    <s v="127,97"/>
    <n v="0"/>
  </r>
  <r>
    <x v="245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657.540000000000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6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774.7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7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52.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8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46.45000000000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49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1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40.3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0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47.4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1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21.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2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499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3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640.8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4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43.1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5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780.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6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659.7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7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94.95999999999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8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91.45999999999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59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618.7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0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16.1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1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4.87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2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53.8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3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28.0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4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64.7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5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77.12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6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47.1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7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746.3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8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97.5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69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45.2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0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11.29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1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791.28000000000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2"/>
    <x v="8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10411.5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3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19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4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71.45999999999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5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5.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6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61.3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7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3.6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8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98.1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79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49.6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0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20.8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1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55.8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2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5.62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3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91.4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4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68.4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5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394.5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6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07.5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7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74.4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8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732.6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89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26.2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0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71.2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1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07.70999999999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2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43.4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3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7964.3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7431.15"/>
    <n v="7431.15"/>
    <n v="120.23"/>
    <n v="0"/>
  </r>
  <r>
    <x v="294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615.6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2187.33"/>
    <n v="2187.33"/>
    <n v="35.369999999999997"/>
    <n v="0"/>
  </r>
  <r>
    <x v="295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33.3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6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28.87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7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20.0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8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88.1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299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39.8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0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64.7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1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7998.6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11222.02"/>
    <n v="11222.02"/>
    <n v="161.55999999996857"/>
    <n v="0"/>
  </r>
  <r>
    <x v="302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53.8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3"/>
    <x v="9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7.3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4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87.0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5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426.1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6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88.9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7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14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8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74.879999999999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09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95.54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0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38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1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403.2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2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75.1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3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42.2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4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65.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5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08.46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6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321.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7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98.6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599.66999999999996"/>
    <n v="599.66999999999996"/>
    <n v="11.78"/>
    <n v="0"/>
  </r>
  <r>
    <x v="318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67.2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19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0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96.879999999999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1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34.1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2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94.379999999999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3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50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4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86.5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5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80.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6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49.4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7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60.290000000000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28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97.3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1054"/>
    <n v="1054"/>
    <n v="17.059999999999999"/>
    <n v="0"/>
  </r>
  <r>
    <x v="329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84.4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0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25.6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1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77.5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2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11.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3"/>
    <x v="10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90.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4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13.54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5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343.6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6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51.9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7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81.3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8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56.7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39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56.62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0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758.0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-9594.7199999999993"/>
    <n v="9594.7199999999993"/>
    <n v="155.22"/>
    <n v="0"/>
  </r>
  <r>
    <x v="341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813.95999999999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2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81.9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3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97.71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4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32.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5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592.46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6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564.5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7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34.6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8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265.66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49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308.7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0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85.1200000000008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1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13.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2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14.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3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00.8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4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62.4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5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60.39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6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36.70000000000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7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03.1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8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149.29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59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82.0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60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26.3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61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43.9699999999993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62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72.82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63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9090.77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  <r>
    <x v="364"/>
    <x v="11"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8922.75"/>
    <n v="0"/>
    <n v="0"/>
    <n v="0"/>
    <n v="0"/>
    <n v="0"/>
    <n v="0"/>
    <n v="0"/>
    <s v="DIESEL"/>
    <m/>
    <n v="0"/>
    <n v="0"/>
    <n v="0"/>
    <m/>
    <n v="0"/>
    <n v="0"/>
    <n v="0"/>
    <n v="0"/>
    <n v="0"/>
    <n v="0"/>
    <n v="0"/>
    <n v="0"/>
    <n v="0"/>
    <n v="0"/>
    <n v="0"/>
    <m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s v="0"/>
    <n v="0"/>
    <n v="361.2"/>
  </r>
  <r>
    <x v="0"/>
    <s v="1"/>
    <n v="0"/>
    <n v="328.7"/>
  </r>
  <r>
    <x v="0"/>
    <s v="2"/>
    <n v="0"/>
    <n v="342.6"/>
  </r>
  <r>
    <x v="0"/>
    <s v="3"/>
    <n v="0"/>
    <n v="335.1"/>
  </r>
  <r>
    <x v="0"/>
    <s v="4"/>
    <n v="0"/>
    <n v="320"/>
  </r>
  <r>
    <x v="0"/>
    <s v="5"/>
    <n v="0"/>
    <n v="273.60000000000002"/>
  </r>
  <r>
    <x v="0"/>
    <s v="6"/>
    <n v="0"/>
    <n v="263.7"/>
  </r>
  <r>
    <x v="0"/>
    <s v="7"/>
    <n v="0"/>
    <n v="227.6"/>
  </r>
  <r>
    <x v="0"/>
    <s v="8"/>
    <n v="0"/>
    <n v="184.5"/>
  </r>
  <r>
    <x v="0"/>
    <s v="9"/>
    <n v="0"/>
    <n v="203.4"/>
  </r>
  <r>
    <x v="0"/>
    <s v="10"/>
    <n v="0"/>
    <n v="260.60000000000002"/>
  </r>
  <r>
    <x v="0"/>
    <s v="11"/>
    <n v="0"/>
    <n v="265.5"/>
  </r>
  <r>
    <x v="0"/>
    <s v="12"/>
    <n v="0"/>
    <n v="268.5"/>
  </r>
  <r>
    <x v="0"/>
    <s v="13"/>
    <n v="0"/>
    <n v="781"/>
  </r>
  <r>
    <x v="0"/>
    <s v="14"/>
    <n v="1305.5"/>
    <n v="721.3"/>
  </r>
  <r>
    <x v="0"/>
    <s v="15"/>
    <n v="16739.8"/>
    <n v="0"/>
  </r>
  <r>
    <x v="0"/>
    <s v="16"/>
    <n v="44419.5"/>
    <n v="0"/>
  </r>
  <r>
    <x v="0"/>
    <s v="17"/>
    <n v="52374"/>
    <n v="0"/>
  </r>
  <r>
    <x v="0"/>
    <s v="18"/>
    <n v="53049.3"/>
    <n v="0"/>
  </r>
  <r>
    <x v="0"/>
    <s v="19"/>
    <n v="53023.4"/>
    <n v="0"/>
  </r>
  <r>
    <x v="0"/>
    <s v="20"/>
    <n v="52985"/>
    <n v="0"/>
  </r>
  <r>
    <x v="0"/>
    <s v="21"/>
    <n v="52984.1"/>
    <n v="0"/>
  </r>
  <r>
    <x v="0"/>
    <s v="22"/>
    <n v="53073.2"/>
    <n v="0"/>
  </r>
  <r>
    <x v="0"/>
    <s v="23"/>
    <n v="53060.5"/>
    <n v="0"/>
  </r>
  <r>
    <x v="1"/>
    <s v="0"/>
    <n v="19064.3"/>
    <n v="12.3"/>
  </r>
  <r>
    <x v="1"/>
    <s v="1"/>
    <n v="0"/>
    <n v="635.5"/>
  </r>
  <r>
    <x v="1"/>
    <s v="2"/>
    <n v="0"/>
    <n v="593.5"/>
  </r>
  <r>
    <x v="1"/>
    <s v="3"/>
    <n v="0"/>
    <n v="632"/>
  </r>
  <r>
    <x v="1"/>
    <s v="4"/>
    <n v="0"/>
    <n v="667.9"/>
  </r>
  <r>
    <x v="1"/>
    <s v="5"/>
    <n v="0"/>
    <n v="687.5"/>
  </r>
  <r>
    <x v="1"/>
    <s v="6"/>
    <n v="1654.4"/>
    <n v="580.79999999999995"/>
  </r>
  <r>
    <x v="1"/>
    <s v="7"/>
    <n v="16319.9"/>
    <n v="0"/>
  </r>
  <r>
    <x v="1"/>
    <s v="8"/>
    <n v="42916.800000000003"/>
    <n v="0"/>
  </r>
  <r>
    <x v="1"/>
    <s v="9"/>
    <n v="52686.5"/>
    <n v="0"/>
  </r>
  <r>
    <x v="1"/>
    <s v="10"/>
    <n v="53882.6"/>
    <n v="0"/>
  </r>
  <r>
    <x v="1"/>
    <s v="11"/>
    <n v="53204.800000000003"/>
    <n v="0"/>
  </r>
  <r>
    <x v="1"/>
    <s v="12"/>
    <n v="53199"/>
    <n v="0"/>
  </r>
  <r>
    <x v="1"/>
    <s v="13"/>
    <n v="53268.2"/>
    <n v="0"/>
  </r>
  <r>
    <x v="1"/>
    <s v="14"/>
    <n v="53296.9"/>
    <n v="0"/>
  </r>
  <r>
    <x v="1"/>
    <s v="15"/>
    <n v="53271.3"/>
    <n v="0"/>
  </r>
  <r>
    <x v="1"/>
    <s v="16"/>
    <n v="53247.5"/>
    <n v="0"/>
  </r>
  <r>
    <x v="1"/>
    <s v="17"/>
    <n v="53182.9"/>
    <n v="0"/>
  </r>
  <r>
    <x v="1"/>
    <s v="18"/>
    <n v="53089.7"/>
    <n v="0"/>
  </r>
  <r>
    <x v="1"/>
    <s v="19"/>
    <n v="53164.4"/>
    <n v="0"/>
  </r>
  <r>
    <x v="1"/>
    <s v="20"/>
    <n v="53071.7"/>
    <n v="0"/>
  </r>
  <r>
    <x v="1"/>
    <s v="21"/>
    <n v="53090.7"/>
    <n v="0"/>
  </r>
  <r>
    <x v="1"/>
    <s v="22"/>
    <n v="53012.6"/>
    <n v="0"/>
  </r>
  <r>
    <x v="1"/>
    <s v="23"/>
    <n v="53500.6"/>
    <n v="0"/>
  </r>
  <r>
    <x v="2"/>
    <s v="0"/>
    <n v="53815.9"/>
    <n v="0"/>
  </r>
  <r>
    <x v="2"/>
    <s v="1"/>
    <n v="54084.6"/>
    <n v="0"/>
  </r>
  <r>
    <x v="2"/>
    <s v="2"/>
    <n v="54057.1"/>
    <n v="0"/>
  </r>
  <r>
    <x v="2"/>
    <s v="3"/>
    <n v="52140.7"/>
    <n v="0"/>
  </r>
  <r>
    <x v="2"/>
    <s v="4"/>
    <n v="51226"/>
    <n v="0"/>
  </r>
  <r>
    <x v="2"/>
    <s v="5"/>
    <n v="51172.9"/>
    <n v="0"/>
  </r>
  <r>
    <x v="2"/>
    <s v="6"/>
    <n v="51151"/>
    <n v="0"/>
  </r>
  <r>
    <x v="2"/>
    <s v="7"/>
    <n v="51192.3"/>
    <n v="0"/>
  </r>
  <r>
    <x v="2"/>
    <s v="8"/>
    <n v="51157.4"/>
    <n v="0"/>
  </r>
  <r>
    <x v="2"/>
    <s v="9"/>
    <n v="51122.400000000001"/>
    <n v="0"/>
  </r>
  <r>
    <x v="2"/>
    <s v="10"/>
    <n v="52521.7"/>
    <n v="0"/>
  </r>
  <r>
    <x v="2"/>
    <s v="11"/>
    <n v="53496"/>
    <n v="0"/>
  </r>
  <r>
    <x v="2"/>
    <s v="12"/>
    <n v="53966.6"/>
    <n v="0"/>
  </r>
  <r>
    <x v="2"/>
    <s v="13"/>
    <n v="53615.199999999997"/>
    <n v="0"/>
  </r>
  <r>
    <x v="2"/>
    <s v="14"/>
    <n v="53669.1"/>
    <n v="0"/>
  </r>
  <r>
    <x v="2"/>
    <s v="15"/>
    <n v="53728.1"/>
    <n v="0"/>
  </r>
  <r>
    <x v="2"/>
    <s v="16"/>
    <n v="65238"/>
    <n v="0"/>
  </r>
  <r>
    <x v="2"/>
    <s v="17"/>
    <n v="53390"/>
    <n v="0"/>
  </r>
  <r>
    <x v="2"/>
    <s v="18"/>
    <n v="53351.6"/>
    <n v="0"/>
  </r>
  <r>
    <x v="2"/>
    <s v="19"/>
    <n v="53219.7"/>
    <n v="0"/>
  </r>
  <r>
    <x v="2"/>
    <s v="20"/>
    <n v="53320.3"/>
    <n v="0"/>
  </r>
  <r>
    <x v="2"/>
    <s v="21"/>
    <n v="53312.3"/>
    <n v="0"/>
  </r>
  <r>
    <x v="2"/>
    <s v="22"/>
    <n v="54350.1"/>
    <n v="0"/>
  </r>
  <r>
    <x v="2"/>
    <s v="23"/>
    <n v="53847.5"/>
    <n v="0"/>
  </r>
  <r>
    <x v="3"/>
    <s v="0"/>
    <n v="53605.9"/>
    <n v="0"/>
  </r>
  <r>
    <x v="3"/>
    <s v="1"/>
    <n v="53839.9"/>
    <n v="0"/>
  </r>
  <r>
    <x v="3"/>
    <s v="2"/>
    <n v="53911.8"/>
    <n v="0"/>
  </r>
  <r>
    <x v="3"/>
    <s v="3"/>
    <n v="53912.4"/>
    <n v="0"/>
  </r>
  <r>
    <x v="3"/>
    <s v="4"/>
    <n v="51531.8"/>
    <n v="0"/>
  </r>
  <r>
    <x v="3"/>
    <s v="5"/>
    <n v="51095.9"/>
    <n v="0"/>
  </r>
  <r>
    <x v="3"/>
    <s v="6"/>
    <n v="49944.9"/>
    <n v="0"/>
  </r>
  <r>
    <x v="3"/>
    <s v="7"/>
    <n v="53021.8"/>
    <n v="0"/>
  </r>
  <r>
    <x v="3"/>
    <s v="8"/>
    <n v="53957.599999999999"/>
    <n v="0"/>
  </r>
  <r>
    <x v="3"/>
    <s v="9"/>
    <n v="53948.2"/>
    <n v="0"/>
  </r>
  <r>
    <x v="3"/>
    <s v="10"/>
    <n v="53957.3"/>
    <n v="0"/>
  </r>
  <r>
    <x v="3"/>
    <s v="11"/>
    <n v="53948.3"/>
    <n v="0"/>
  </r>
  <r>
    <x v="3"/>
    <s v="12"/>
    <n v="53971.7"/>
    <n v="0"/>
  </r>
  <r>
    <x v="3"/>
    <s v="13"/>
    <n v="53933"/>
    <n v="0"/>
  </r>
  <r>
    <x v="3"/>
    <s v="14"/>
    <n v="53982.2"/>
    <n v="0"/>
  </r>
  <r>
    <x v="3"/>
    <s v="15"/>
    <n v="53909.5"/>
    <n v="0"/>
  </r>
  <r>
    <x v="3"/>
    <s v="16"/>
    <n v="53881.3"/>
    <n v="0"/>
  </r>
  <r>
    <x v="3"/>
    <s v="17"/>
    <n v="54336.2"/>
    <n v="0"/>
  </r>
  <r>
    <x v="3"/>
    <s v="18"/>
    <n v="52670.9"/>
    <n v="0"/>
  </r>
  <r>
    <x v="3"/>
    <s v="19"/>
    <n v="52723.9"/>
    <n v="0"/>
  </r>
  <r>
    <x v="3"/>
    <s v="20"/>
    <n v="52621.4"/>
    <n v="0"/>
  </r>
  <r>
    <x v="3"/>
    <s v="21"/>
    <n v="52689.599999999999"/>
    <n v="0"/>
  </r>
  <r>
    <x v="3"/>
    <s v="22"/>
    <n v="52630"/>
    <n v="0"/>
  </r>
  <r>
    <x v="3"/>
    <s v="23"/>
    <n v="52455.8"/>
    <n v="0"/>
  </r>
  <r>
    <x v="4"/>
    <s v="0"/>
    <n v="52448.800000000003"/>
    <n v="0"/>
  </r>
  <r>
    <x v="4"/>
    <s v="1"/>
    <n v="52571.6"/>
    <n v="0"/>
  </r>
  <r>
    <x v="4"/>
    <s v="2"/>
    <n v="52594.9"/>
    <n v="0"/>
  </r>
  <r>
    <x v="4"/>
    <s v="3"/>
    <n v="51582"/>
    <n v="0"/>
  </r>
  <r>
    <x v="4"/>
    <s v="4"/>
    <n v="51457"/>
    <n v="0"/>
  </r>
  <r>
    <x v="4"/>
    <s v="5"/>
    <n v="51430.400000000001"/>
    <n v="0"/>
  </r>
  <r>
    <x v="4"/>
    <s v="6"/>
    <n v="51581.8"/>
    <n v="0"/>
  </r>
  <r>
    <x v="4"/>
    <s v="7"/>
    <n v="51526.400000000001"/>
    <n v="0"/>
  </r>
  <r>
    <x v="4"/>
    <s v="8"/>
    <n v="51415.1"/>
    <n v="0"/>
  </r>
  <r>
    <x v="4"/>
    <s v="9"/>
    <n v="53126.9"/>
    <n v="0"/>
  </r>
  <r>
    <x v="4"/>
    <s v="10"/>
    <n v="53030.1"/>
    <n v="0"/>
  </r>
  <r>
    <x v="4"/>
    <s v="11"/>
    <n v="53080.5"/>
    <n v="0"/>
  </r>
  <r>
    <x v="4"/>
    <s v="12"/>
    <n v="52761.1"/>
    <n v="0"/>
  </r>
  <r>
    <x v="4"/>
    <s v="13"/>
    <n v="53365.7"/>
    <n v="0"/>
  </r>
  <r>
    <x v="4"/>
    <s v="14"/>
    <n v="53177.2"/>
    <n v="0"/>
  </r>
  <r>
    <x v="4"/>
    <s v="15"/>
    <n v="53028.9"/>
    <n v="0"/>
  </r>
  <r>
    <x v="4"/>
    <s v="16"/>
    <n v="53005.2"/>
    <n v="0"/>
  </r>
  <r>
    <x v="4"/>
    <s v="17"/>
    <n v="53062.5"/>
    <n v="0"/>
  </r>
  <r>
    <x v="4"/>
    <s v="18"/>
    <n v="53033.3"/>
    <n v="0"/>
  </r>
  <r>
    <x v="4"/>
    <s v="19"/>
    <n v="52905.599999999999"/>
    <n v="0"/>
  </r>
  <r>
    <x v="4"/>
    <s v="20"/>
    <n v="52905.2"/>
    <n v="0"/>
  </r>
  <r>
    <x v="4"/>
    <s v="21"/>
    <n v="52986"/>
    <n v="0"/>
  </r>
  <r>
    <x v="4"/>
    <s v="22"/>
    <n v="52782.1"/>
    <n v="0"/>
  </r>
  <r>
    <x v="4"/>
    <s v="23"/>
    <n v="53027.199999999997"/>
    <n v="0"/>
  </r>
  <r>
    <x v="5"/>
    <s v="0"/>
    <n v="53207.3"/>
    <n v="0"/>
  </r>
  <r>
    <x v="5"/>
    <s v="1"/>
    <n v="53410.2"/>
    <n v="0"/>
  </r>
  <r>
    <x v="5"/>
    <s v="2"/>
    <n v="53310.7"/>
    <n v="0"/>
  </r>
  <r>
    <x v="5"/>
    <s v="3"/>
    <n v="53420.3"/>
    <n v="0"/>
  </r>
  <r>
    <x v="5"/>
    <s v="4"/>
    <n v="50157.1"/>
    <n v="0"/>
  </r>
  <r>
    <x v="5"/>
    <s v="5"/>
    <n v="49676"/>
    <n v="0"/>
  </r>
  <r>
    <x v="5"/>
    <s v="6"/>
    <n v="50963.6"/>
    <n v="0"/>
  </r>
  <r>
    <x v="5"/>
    <s v="7"/>
    <n v="51150.7"/>
    <n v="0"/>
  </r>
  <r>
    <x v="5"/>
    <s v="8"/>
    <n v="51148.3"/>
    <n v="0"/>
  </r>
  <r>
    <x v="5"/>
    <s v="9"/>
    <n v="52050.1"/>
    <n v="0"/>
  </r>
  <r>
    <x v="5"/>
    <s v="10"/>
    <n v="53573.9"/>
    <n v="0"/>
  </r>
  <r>
    <x v="5"/>
    <s v="11"/>
    <n v="53621.8"/>
    <n v="0"/>
  </r>
  <r>
    <x v="5"/>
    <s v="12"/>
    <n v="53597.1"/>
    <n v="0"/>
  </r>
  <r>
    <x v="5"/>
    <s v="13"/>
    <n v="53614.5"/>
    <n v="0"/>
  </r>
  <r>
    <x v="5"/>
    <s v="14"/>
    <n v="53494.9"/>
    <n v="0"/>
  </r>
  <r>
    <x v="5"/>
    <s v="15"/>
    <n v="53619.4"/>
    <n v="0"/>
  </r>
  <r>
    <x v="5"/>
    <s v="16"/>
    <n v="53486.7"/>
    <n v="0"/>
  </r>
  <r>
    <x v="5"/>
    <s v="17"/>
    <n v="53560.3"/>
    <n v="0"/>
  </r>
  <r>
    <x v="5"/>
    <s v="18"/>
    <n v="53522.8"/>
    <n v="0"/>
  </r>
  <r>
    <x v="5"/>
    <s v="19"/>
    <n v="53434"/>
    <n v="0"/>
  </r>
  <r>
    <x v="5"/>
    <s v="20"/>
    <n v="53442.400000000001"/>
    <n v="0"/>
  </r>
  <r>
    <x v="5"/>
    <s v="21"/>
    <n v="53456.6"/>
    <n v="0"/>
  </r>
  <r>
    <x v="5"/>
    <s v="22"/>
    <n v="53486.3"/>
    <n v="0"/>
  </r>
  <r>
    <x v="5"/>
    <s v="23"/>
    <n v="53586"/>
    <n v="0"/>
  </r>
  <r>
    <x v="6"/>
    <s v="0"/>
    <n v="61966.1"/>
    <n v="0"/>
  </r>
  <r>
    <x v="6"/>
    <s v="1"/>
    <n v="63389.5"/>
    <n v="0"/>
  </r>
  <r>
    <x v="6"/>
    <s v="2"/>
    <n v="63357.3"/>
    <n v="0"/>
  </r>
  <r>
    <x v="6"/>
    <s v="3"/>
    <n v="60059.5"/>
    <n v="0"/>
  </r>
  <r>
    <x v="6"/>
    <s v="4"/>
    <n v="59564"/>
    <n v="0"/>
  </r>
  <r>
    <x v="6"/>
    <s v="5"/>
    <n v="25149.8"/>
    <n v="0"/>
  </r>
  <r>
    <x v="6"/>
    <s v="6"/>
    <n v="2098"/>
    <n v="563"/>
  </r>
  <r>
    <x v="6"/>
    <s v="7"/>
    <n v="3029.2"/>
    <n v="433.3"/>
  </r>
  <r>
    <x v="6"/>
    <s v="8"/>
    <n v="16926.2"/>
    <n v="0"/>
  </r>
  <r>
    <x v="6"/>
    <s v="9"/>
    <n v="42793"/>
    <n v="0"/>
  </r>
  <r>
    <x v="6"/>
    <s v="10"/>
    <n v="59847.7"/>
    <n v="0"/>
  </r>
  <r>
    <x v="6"/>
    <s v="11"/>
    <n v="59938.400000000001"/>
    <n v="0"/>
  </r>
  <r>
    <x v="6"/>
    <s v="12"/>
    <n v="60160.5"/>
    <n v="0"/>
  </r>
  <r>
    <x v="6"/>
    <s v="13"/>
    <n v="63983.3"/>
    <n v="0"/>
  </r>
  <r>
    <x v="6"/>
    <s v="14"/>
    <n v="63993.9"/>
    <n v="0"/>
  </r>
  <r>
    <x v="6"/>
    <s v="15"/>
    <n v="63555.4"/>
    <n v="0"/>
  </r>
  <r>
    <x v="6"/>
    <s v="16"/>
    <n v="63513.4"/>
    <n v="0"/>
  </r>
  <r>
    <x v="6"/>
    <s v="17"/>
    <n v="63503.9"/>
    <n v="0"/>
  </r>
  <r>
    <x v="6"/>
    <s v="18"/>
    <n v="63529.8"/>
    <n v="0"/>
  </r>
  <r>
    <x v="6"/>
    <s v="19"/>
    <n v="63467.1"/>
    <n v="0"/>
  </r>
  <r>
    <x v="6"/>
    <s v="20"/>
    <n v="63523"/>
    <n v="0"/>
  </r>
  <r>
    <x v="6"/>
    <s v="21"/>
    <n v="63440"/>
    <n v="0"/>
  </r>
  <r>
    <x v="6"/>
    <s v="22"/>
    <n v="63467.3"/>
    <n v="0"/>
  </r>
  <r>
    <x v="6"/>
    <s v="23"/>
    <n v="63332.1"/>
    <n v="0"/>
  </r>
  <r>
    <x v="7"/>
    <s v="0"/>
    <n v="53621.9"/>
    <n v="0"/>
  </r>
  <r>
    <x v="7"/>
    <s v="1"/>
    <n v="53354.400000000001"/>
    <n v="0"/>
  </r>
  <r>
    <x v="7"/>
    <s v="2"/>
    <n v="53199.9"/>
    <n v="0"/>
  </r>
  <r>
    <x v="7"/>
    <s v="3"/>
    <n v="51125.5"/>
    <n v="0"/>
  </r>
  <r>
    <x v="7"/>
    <s v="4"/>
    <n v="50582.2"/>
    <n v="0"/>
  </r>
  <r>
    <x v="7"/>
    <s v="5"/>
    <n v="50555"/>
    <n v="0"/>
  </r>
  <r>
    <x v="7"/>
    <s v="6"/>
    <n v="16841.2"/>
    <n v="0"/>
  </r>
  <r>
    <x v="7"/>
    <s v="7"/>
    <n v="1357.2"/>
    <n v="640.5"/>
  </r>
  <r>
    <x v="7"/>
    <s v="8"/>
    <n v="0"/>
    <n v="724.8"/>
  </r>
  <r>
    <x v="7"/>
    <s v="9"/>
    <n v="0"/>
    <n v="768.7"/>
  </r>
  <r>
    <x v="7"/>
    <s v="10"/>
    <n v="4886.5"/>
    <n v="506.4"/>
  </r>
  <r>
    <x v="7"/>
    <s v="11"/>
    <n v="17266.7"/>
    <n v="0"/>
  </r>
  <r>
    <x v="7"/>
    <s v="12"/>
    <n v="44553"/>
    <n v="0"/>
  </r>
  <r>
    <x v="7"/>
    <s v="13"/>
    <n v="51793.3"/>
    <n v="0"/>
  </r>
  <r>
    <x v="7"/>
    <s v="14"/>
    <n v="53863.199999999997"/>
    <n v="0"/>
  </r>
  <r>
    <x v="7"/>
    <s v="15"/>
    <n v="53816.5"/>
    <n v="0"/>
  </r>
  <r>
    <x v="7"/>
    <s v="16"/>
    <n v="53701.9"/>
    <n v="0"/>
  </r>
  <r>
    <x v="7"/>
    <s v="17"/>
    <n v="53763.4"/>
    <n v="0"/>
  </r>
  <r>
    <x v="7"/>
    <s v="18"/>
    <n v="53683.4"/>
    <n v="0"/>
  </r>
  <r>
    <x v="7"/>
    <s v="19"/>
    <n v="53652.7"/>
    <n v="0"/>
  </r>
  <r>
    <x v="7"/>
    <s v="20"/>
    <n v="53671.8"/>
    <n v="0"/>
  </r>
  <r>
    <x v="7"/>
    <s v="21"/>
    <n v="53751.199999999997"/>
    <n v="0"/>
  </r>
  <r>
    <x v="7"/>
    <s v="22"/>
    <n v="53850.9"/>
    <n v="0"/>
  </r>
  <r>
    <x v="7"/>
    <s v="23"/>
    <n v="54076.5"/>
    <n v="0"/>
  </r>
  <r>
    <x v="8"/>
    <s v="0"/>
    <n v="62428"/>
    <n v="0"/>
  </r>
  <r>
    <x v="8"/>
    <s v="1"/>
    <n v="63069.7"/>
    <n v="0"/>
  </r>
  <r>
    <x v="8"/>
    <s v="2"/>
    <n v="63175.1"/>
    <n v="0"/>
  </r>
  <r>
    <x v="8"/>
    <s v="3"/>
    <n v="62977.5"/>
    <n v="0"/>
  </r>
  <r>
    <x v="8"/>
    <s v="4"/>
    <n v="63270.3"/>
    <n v="0"/>
  </r>
  <r>
    <x v="8"/>
    <s v="5"/>
    <n v="61819.5"/>
    <n v="0"/>
  </r>
  <r>
    <x v="8"/>
    <s v="6"/>
    <n v="61006.2"/>
    <n v="0"/>
  </r>
  <r>
    <x v="8"/>
    <s v="7"/>
    <n v="25631.599999999999"/>
    <n v="0"/>
  </r>
  <r>
    <x v="8"/>
    <s v="8"/>
    <n v="100.9"/>
    <n v="600.20000000000005"/>
  </r>
  <r>
    <x v="8"/>
    <s v="9"/>
    <n v="8213.5"/>
    <n v="235.7"/>
  </r>
  <r>
    <x v="8"/>
    <s v="10"/>
    <n v="17382.8"/>
    <n v="0"/>
  </r>
  <r>
    <x v="8"/>
    <s v="11"/>
    <n v="43289.9"/>
    <n v="0"/>
  </r>
  <r>
    <x v="8"/>
    <s v="12"/>
    <n v="59016"/>
    <n v="0"/>
  </r>
  <r>
    <x v="8"/>
    <s v="13"/>
    <n v="62855.8"/>
    <n v="0"/>
  </r>
  <r>
    <x v="8"/>
    <s v="14"/>
    <n v="62784.7"/>
    <n v="0"/>
  </r>
  <r>
    <x v="8"/>
    <s v="15"/>
    <n v="62779.6"/>
    <n v="0"/>
  </r>
  <r>
    <x v="8"/>
    <s v="16"/>
    <n v="62505.599999999999"/>
    <n v="0"/>
  </r>
  <r>
    <x v="8"/>
    <s v="17"/>
    <n v="61675.9"/>
    <n v="0"/>
  </r>
  <r>
    <x v="8"/>
    <s v="18"/>
    <n v="63411.5"/>
    <n v="0"/>
  </r>
  <r>
    <x v="8"/>
    <s v="19"/>
    <n v="63161.5"/>
    <n v="0"/>
  </r>
  <r>
    <x v="8"/>
    <s v="20"/>
    <n v="62981.3"/>
    <n v="0"/>
  </r>
  <r>
    <x v="8"/>
    <s v="21"/>
    <n v="62806"/>
    <n v="0"/>
  </r>
  <r>
    <x v="8"/>
    <s v="22"/>
    <n v="62759.8"/>
    <n v="0"/>
  </r>
  <r>
    <x v="8"/>
    <s v="23"/>
    <n v="62538"/>
    <n v="0"/>
  </r>
  <r>
    <x v="9"/>
    <s v="0"/>
    <n v="62937.5"/>
    <n v="0"/>
  </r>
  <r>
    <x v="9"/>
    <s v="1"/>
    <n v="62797"/>
    <n v="0"/>
  </r>
  <r>
    <x v="9"/>
    <s v="2"/>
    <n v="62936.800000000003"/>
    <n v="0"/>
  </r>
  <r>
    <x v="9"/>
    <s v="3"/>
    <n v="62802"/>
    <n v="0"/>
  </r>
  <r>
    <x v="9"/>
    <s v="4"/>
    <n v="61571.1"/>
    <n v="0"/>
  </r>
  <r>
    <x v="9"/>
    <s v="5"/>
    <n v="59682.6"/>
    <n v="0"/>
  </r>
  <r>
    <x v="9"/>
    <s v="6"/>
    <n v="59572.1"/>
    <n v="0"/>
  </r>
  <r>
    <x v="9"/>
    <s v="7"/>
    <n v="59688.3"/>
    <n v="0"/>
  </r>
  <r>
    <x v="9"/>
    <s v="8"/>
    <n v="59740.3"/>
    <n v="0"/>
  </r>
  <r>
    <x v="9"/>
    <s v="9"/>
    <n v="61328.6"/>
    <n v="0"/>
  </r>
  <r>
    <x v="9"/>
    <s v="10"/>
    <n v="63756.6"/>
    <n v="0"/>
  </r>
  <r>
    <x v="9"/>
    <s v="11"/>
    <n v="63914.8"/>
    <n v="0"/>
  </r>
  <r>
    <x v="9"/>
    <s v="12"/>
    <n v="63931.3"/>
    <n v="0"/>
  </r>
  <r>
    <x v="9"/>
    <s v="13"/>
    <n v="63815.1"/>
    <n v="0"/>
  </r>
  <r>
    <x v="9"/>
    <s v="14"/>
    <n v="63912.1"/>
    <n v="0"/>
  </r>
  <r>
    <x v="9"/>
    <s v="15"/>
    <n v="63951.3"/>
    <n v="0"/>
  </r>
  <r>
    <x v="9"/>
    <s v="16"/>
    <n v="63891.4"/>
    <n v="0"/>
  </r>
  <r>
    <x v="9"/>
    <s v="17"/>
    <n v="63851.6"/>
    <n v="0"/>
  </r>
  <r>
    <x v="9"/>
    <s v="18"/>
    <n v="63785.9"/>
    <n v="0"/>
  </r>
  <r>
    <x v="9"/>
    <s v="19"/>
    <n v="63642.7"/>
    <n v="0"/>
  </r>
  <r>
    <x v="9"/>
    <s v="20"/>
    <n v="61977.9"/>
    <n v="0"/>
  </r>
  <r>
    <x v="9"/>
    <s v="21"/>
    <n v="62086.8"/>
    <n v="0"/>
  </r>
  <r>
    <x v="9"/>
    <s v="22"/>
    <n v="62713"/>
    <n v="0"/>
  </r>
  <r>
    <x v="9"/>
    <s v="23"/>
    <n v="62527.1"/>
    <n v="0"/>
  </r>
  <r>
    <x v="10"/>
    <s v="0"/>
    <n v="53704.4"/>
    <n v="0"/>
  </r>
  <r>
    <x v="10"/>
    <s v="1"/>
    <n v="53063.1"/>
    <n v="0"/>
  </r>
  <r>
    <x v="10"/>
    <s v="2"/>
    <n v="53056"/>
    <n v="0"/>
  </r>
  <r>
    <x v="10"/>
    <s v="3"/>
    <n v="53158.7"/>
    <n v="0"/>
  </r>
  <r>
    <x v="10"/>
    <s v="4"/>
    <n v="51539.1"/>
    <n v="0"/>
  </r>
  <r>
    <x v="10"/>
    <s v="5"/>
    <n v="51219.4"/>
    <n v="0"/>
  </r>
  <r>
    <x v="10"/>
    <s v="6"/>
    <n v="51034.7"/>
    <n v="0"/>
  </r>
  <r>
    <x v="10"/>
    <s v="7"/>
    <n v="51136.800000000003"/>
    <n v="0"/>
  </r>
  <r>
    <x v="10"/>
    <s v="8"/>
    <n v="51128.7"/>
    <n v="0"/>
  </r>
  <r>
    <x v="10"/>
    <s v="9"/>
    <n v="54233.3"/>
    <n v="0"/>
  </r>
  <r>
    <x v="10"/>
    <s v="10"/>
    <n v="53827.4"/>
    <n v="0"/>
  </r>
  <r>
    <x v="10"/>
    <s v="11"/>
    <n v="53609.8"/>
    <n v="0"/>
  </r>
  <r>
    <x v="10"/>
    <s v="12"/>
    <n v="53458.6"/>
    <n v="0"/>
  </r>
  <r>
    <x v="10"/>
    <s v="13"/>
    <n v="53402.8"/>
    <n v="0"/>
  </r>
  <r>
    <x v="10"/>
    <s v="14"/>
    <n v="53511.3"/>
    <n v="0"/>
  </r>
  <r>
    <x v="10"/>
    <s v="15"/>
    <n v="53105.7"/>
    <n v="0"/>
  </r>
  <r>
    <x v="10"/>
    <s v="16"/>
    <n v="53507.9"/>
    <n v="0"/>
  </r>
  <r>
    <x v="10"/>
    <s v="17"/>
    <n v="52560.4"/>
    <n v="0"/>
  </r>
  <r>
    <x v="10"/>
    <s v="18"/>
    <n v="53752.2"/>
    <n v="0"/>
  </r>
  <r>
    <x v="10"/>
    <s v="19"/>
    <n v="53525.7"/>
    <n v="0"/>
  </r>
  <r>
    <x v="10"/>
    <s v="20"/>
    <n v="53384.3"/>
    <n v="0"/>
  </r>
  <r>
    <x v="10"/>
    <s v="21"/>
    <n v="53208.7"/>
    <n v="0"/>
  </r>
  <r>
    <x v="10"/>
    <s v="22"/>
    <n v="53053.2"/>
    <n v="0"/>
  </r>
  <r>
    <x v="10"/>
    <s v="23"/>
    <n v="53314.5"/>
    <n v="0"/>
  </r>
  <r>
    <x v="11"/>
    <s v="0"/>
    <n v="52739.8"/>
    <n v="0"/>
  </r>
  <r>
    <x v="11"/>
    <s v="1"/>
    <n v="53504.800000000003"/>
    <n v="0"/>
  </r>
  <r>
    <x v="11"/>
    <s v="2"/>
    <n v="53740.9"/>
    <n v="0"/>
  </r>
  <r>
    <x v="11"/>
    <s v="3"/>
    <n v="53479.6"/>
    <n v="0"/>
  </r>
  <r>
    <x v="11"/>
    <s v="4"/>
    <n v="51863.1"/>
    <n v="0"/>
  </r>
  <r>
    <x v="11"/>
    <s v="5"/>
    <n v="50851.1"/>
    <n v="0"/>
  </r>
  <r>
    <x v="11"/>
    <s v="6"/>
    <n v="50752.5"/>
    <n v="0"/>
  </r>
  <r>
    <x v="11"/>
    <s v="7"/>
    <n v="50860.800000000003"/>
    <n v="0"/>
  </r>
  <r>
    <x v="11"/>
    <s v="8"/>
    <n v="51490.7"/>
    <n v="0"/>
  </r>
  <r>
    <x v="11"/>
    <s v="9"/>
    <n v="54176.7"/>
    <n v="0"/>
  </r>
  <r>
    <x v="11"/>
    <s v="10"/>
    <n v="54320.6"/>
    <n v="0"/>
  </r>
  <r>
    <x v="11"/>
    <s v="11"/>
    <n v="54346.6"/>
    <n v="0"/>
  </r>
  <r>
    <x v="11"/>
    <s v="12"/>
    <n v="54379.9"/>
    <n v="0"/>
  </r>
  <r>
    <x v="11"/>
    <s v="13"/>
    <n v="54418.2"/>
    <n v="0"/>
  </r>
  <r>
    <x v="11"/>
    <s v="14"/>
    <n v="54364.800000000003"/>
    <n v="0"/>
  </r>
  <r>
    <x v="11"/>
    <s v="15"/>
    <n v="54323.3"/>
    <n v="0"/>
  </r>
  <r>
    <x v="11"/>
    <s v="16"/>
    <n v="54185.7"/>
    <n v="0"/>
  </r>
  <r>
    <x v="11"/>
    <s v="17"/>
    <n v="54269.9"/>
    <n v="0"/>
  </r>
  <r>
    <x v="11"/>
    <s v="18"/>
    <n v="54003.4"/>
    <n v="0"/>
  </r>
  <r>
    <x v="11"/>
    <s v="19"/>
    <n v="54024.3"/>
    <n v="0"/>
  </r>
  <r>
    <x v="11"/>
    <s v="20"/>
    <n v="52862.2"/>
    <n v="0"/>
  </r>
  <r>
    <x v="11"/>
    <s v="21"/>
    <n v="52943.1"/>
    <n v="0"/>
  </r>
  <r>
    <x v="11"/>
    <s v="22"/>
    <n v="52874.3"/>
    <n v="0"/>
  </r>
  <r>
    <x v="11"/>
    <s v="23"/>
    <n v="52757.3"/>
    <n v="0"/>
  </r>
  <r>
    <x v="12"/>
    <s v="0"/>
    <n v="52935.199999999997"/>
    <n v="0"/>
  </r>
  <r>
    <x v="12"/>
    <s v="1"/>
    <n v="53862.8"/>
    <n v="0"/>
  </r>
  <r>
    <x v="12"/>
    <s v="2"/>
    <n v="53880.5"/>
    <n v="0"/>
  </r>
  <r>
    <x v="12"/>
    <s v="3"/>
    <n v="53640.800000000003"/>
    <n v="0"/>
  </r>
  <r>
    <x v="12"/>
    <s v="4"/>
    <n v="53897.3"/>
    <n v="0"/>
  </r>
  <r>
    <x v="12"/>
    <s v="5"/>
    <n v="51621.8"/>
    <n v="0"/>
  </r>
  <r>
    <x v="12"/>
    <s v="6"/>
    <n v="50447.9"/>
    <n v="0"/>
  </r>
  <r>
    <x v="12"/>
    <s v="7"/>
    <n v="50384.3"/>
    <n v="0"/>
  </r>
  <r>
    <x v="12"/>
    <s v="8"/>
    <n v="51663.1"/>
    <n v="0"/>
  </r>
  <r>
    <x v="12"/>
    <s v="9"/>
    <n v="54723.4"/>
    <n v="0"/>
  </r>
  <r>
    <x v="12"/>
    <s v="10"/>
    <n v="54303.199999999997"/>
    <n v="0"/>
  </r>
  <r>
    <x v="12"/>
    <s v="11"/>
    <n v="54259"/>
    <n v="0"/>
  </r>
  <r>
    <x v="12"/>
    <s v="12"/>
    <n v="54283.4"/>
    <n v="0"/>
  </r>
  <r>
    <x v="12"/>
    <s v="13"/>
    <n v="54314.6"/>
    <n v="0"/>
  </r>
  <r>
    <x v="12"/>
    <s v="14"/>
    <n v="54311.8"/>
    <n v="0"/>
  </r>
  <r>
    <x v="12"/>
    <s v="15"/>
    <n v="54245.1"/>
    <n v="0"/>
  </r>
  <r>
    <x v="12"/>
    <s v="16"/>
    <n v="54247.9"/>
    <n v="0"/>
  </r>
  <r>
    <x v="12"/>
    <s v="17"/>
    <n v="54151.7"/>
    <n v="0"/>
  </r>
  <r>
    <x v="12"/>
    <s v="18"/>
    <n v="54170.8"/>
    <n v="0"/>
  </r>
  <r>
    <x v="12"/>
    <s v="19"/>
    <n v="54095.3"/>
    <n v="0"/>
  </r>
  <r>
    <x v="12"/>
    <s v="20"/>
    <n v="53974.400000000001"/>
    <n v="0"/>
  </r>
  <r>
    <x v="12"/>
    <s v="21"/>
    <n v="53730.400000000001"/>
    <n v="0"/>
  </r>
  <r>
    <x v="12"/>
    <s v="22"/>
    <n v="53996"/>
    <n v="0"/>
  </r>
  <r>
    <x v="12"/>
    <s v="23"/>
    <n v="53983.3"/>
    <n v="0"/>
  </r>
  <r>
    <x v="13"/>
    <s v="0"/>
    <n v="51928.800000000003"/>
    <n v="0"/>
  </r>
  <r>
    <x v="13"/>
    <s v="1"/>
    <n v="53091.7"/>
    <n v="0"/>
  </r>
  <r>
    <x v="13"/>
    <s v="2"/>
    <n v="53236.4"/>
    <n v="0"/>
  </r>
  <r>
    <x v="13"/>
    <s v="3"/>
    <n v="53109.2"/>
    <n v="0"/>
  </r>
  <r>
    <x v="13"/>
    <s v="4"/>
    <n v="53180.2"/>
    <n v="0"/>
  </r>
  <r>
    <x v="13"/>
    <s v="5"/>
    <n v="53001.5"/>
    <n v="0"/>
  </r>
  <r>
    <x v="13"/>
    <s v="6"/>
    <n v="53040.800000000003"/>
    <n v="0"/>
  </r>
  <r>
    <x v="13"/>
    <s v="7"/>
    <n v="52884.7"/>
    <n v="0"/>
  </r>
  <r>
    <x v="13"/>
    <s v="8"/>
    <n v="52492.6"/>
    <n v="0"/>
  </r>
  <r>
    <x v="13"/>
    <s v="9"/>
    <n v="51103.1"/>
    <n v="0"/>
  </r>
  <r>
    <x v="13"/>
    <s v="10"/>
    <n v="53590.2"/>
    <n v="0"/>
  </r>
  <r>
    <x v="13"/>
    <s v="11"/>
    <n v="53704.5"/>
    <n v="0"/>
  </r>
  <r>
    <x v="13"/>
    <s v="12"/>
    <n v="53854"/>
    <n v="0"/>
  </r>
  <r>
    <x v="13"/>
    <s v="13"/>
    <n v="53657.7"/>
    <n v="0"/>
  </r>
  <r>
    <x v="13"/>
    <s v="14"/>
    <n v="53760.2"/>
    <n v="0"/>
  </r>
  <r>
    <x v="13"/>
    <s v="15"/>
    <n v="53509.4"/>
    <n v="0"/>
  </r>
  <r>
    <x v="13"/>
    <s v="16"/>
    <n v="53481.5"/>
    <n v="0"/>
  </r>
  <r>
    <x v="13"/>
    <s v="17"/>
    <n v="53401.9"/>
    <n v="0"/>
  </r>
  <r>
    <x v="13"/>
    <s v="18"/>
    <n v="53538.3"/>
    <n v="0"/>
  </r>
  <r>
    <x v="13"/>
    <s v="19"/>
    <n v="53458.6"/>
    <n v="0"/>
  </r>
  <r>
    <x v="13"/>
    <s v="20"/>
    <n v="53440.3"/>
    <n v="0"/>
  </r>
  <r>
    <x v="13"/>
    <s v="21"/>
    <n v="53322.3"/>
    <n v="0"/>
  </r>
  <r>
    <x v="13"/>
    <s v="22"/>
    <n v="53254"/>
    <n v="0"/>
  </r>
  <r>
    <x v="13"/>
    <s v="23"/>
    <n v="53479.199999999997"/>
    <n v="0"/>
  </r>
  <r>
    <x v="14"/>
    <s v="0"/>
    <n v="54269.3"/>
    <n v="0"/>
  </r>
  <r>
    <x v="14"/>
    <s v="1"/>
    <n v="54011.9"/>
    <n v="0"/>
  </r>
  <r>
    <x v="14"/>
    <s v="2"/>
    <n v="53986.6"/>
    <n v="0"/>
  </r>
  <r>
    <x v="14"/>
    <s v="3"/>
    <n v="54095.8"/>
    <n v="0"/>
  </r>
  <r>
    <x v="14"/>
    <s v="4"/>
    <n v="54137.5"/>
    <n v="0"/>
  </r>
  <r>
    <x v="14"/>
    <s v="5"/>
    <n v="54219.1"/>
    <n v="0"/>
  </r>
  <r>
    <x v="14"/>
    <s v="6"/>
    <n v="51358.2"/>
    <n v="0"/>
  </r>
  <r>
    <x v="14"/>
    <s v="7"/>
    <n v="51403.7"/>
    <n v="0"/>
  </r>
  <r>
    <x v="14"/>
    <s v="8"/>
    <n v="51370.6"/>
    <n v="0"/>
  </r>
  <r>
    <x v="14"/>
    <s v="9"/>
    <n v="50847.8"/>
    <n v="0"/>
  </r>
  <r>
    <x v="14"/>
    <s v="10"/>
    <n v="52702.7"/>
    <n v="0"/>
  </r>
  <r>
    <x v="14"/>
    <s v="11"/>
    <n v="54909"/>
    <n v="0"/>
  </r>
  <r>
    <x v="14"/>
    <s v="12"/>
    <n v="53163.1"/>
    <n v="0"/>
  </r>
  <r>
    <x v="14"/>
    <s v="13"/>
    <n v="53283.9"/>
    <n v="0"/>
  </r>
  <r>
    <x v="14"/>
    <s v="14"/>
    <n v="53300.4"/>
    <n v="0"/>
  </r>
  <r>
    <x v="14"/>
    <s v="15"/>
    <n v="53265.3"/>
    <n v="0"/>
  </r>
  <r>
    <x v="14"/>
    <s v="16"/>
    <n v="53331.3"/>
    <n v="0"/>
  </r>
  <r>
    <x v="14"/>
    <s v="17"/>
    <n v="53274.5"/>
    <n v="0"/>
  </r>
  <r>
    <x v="14"/>
    <s v="18"/>
    <n v="53212.9"/>
    <n v="0"/>
  </r>
  <r>
    <x v="14"/>
    <s v="19"/>
    <n v="53304"/>
    <n v="0"/>
  </r>
  <r>
    <x v="14"/>
    <s v="20"/>
    <n v="53832.6"/>
    <n v="0"/>
  </r>
  <r>
    <x v="14"/>
    <s v="21"/>
    <n v="53479.8"/>
    <n v="0"/>
  </r>
  <r>
    <x v="14"/>
    <s v="22"/>
    <n v="54194"/>
    <n v="0"/>
  </r>
  <r>
    <x v="14"/>
    <s v="23"/>
    <n v="54212.9"/>
    <n v="0"/>
  </r>
  <r>
    <x v="15"/>
    <s v="0"/>
    <n v="61262.6"/>
    <n v="0"/>
  </r>
  <r>
    <x v="15"/>
    <s v="1"/>
    <n v="61546.400000000001"/>
    <n v="0"/>
  </r>
  <r>
    <x v="15"/>
    <s v="2"/>
    <n v="61507.1"/>
    <n v="0"/>
  </r>
  <r>
    <x v="15"/>
    <s v="3"/>
    <n v="61456"/>
    <n v="0"/>
  </r>
  <r>
    <x v="15"/>
    <s v="4"/>
    <n v="61683.1"/>
    <n v="0"/>
  </r>
  <r>
    <x v="15"/>
    <s v="5"/>
    <n v="62271"/>
    <n v="0"/>
  </r>
  <r>
    <x v="15"/>
    <s v="6"/>
    <n v="60543.199999999997"/>
    <n v="0"/>
  </r>
  <r>
    <x v="15"/>
    <s v="7"/>
    <n v="60566.8"/>
    <n v="0"/>
  </r>
  <r>
    <x v="15"/>
    <s v="8"/>
    <n v="60604.9"/>
    <n v="0"/>
  </r>
  <r>
    <x v="15"/>
    <s v="9"/>
    <n v="60527.3"/>
    <n v="0"/>
  </r>
  <r>
    <x v="15"/>
    <s v="10"/>
    <n v="60609.3"/>
    <n v="0"/>
  </r>
  <r>
    <x v="15"/>
    <s v="11"/>
    <n v="60549.9"/>
    <n v="0"/>
  </r>
  <r>
    <x v="15"/>
    <s v="12"/>
    <n v="61293.2"/>
    <n v="0"/>
  </r>
  <r>
    <x v="15"/>
    <s v="13"/>
    <n v="60078.1"/>
    <n v="0"/>
  </r>
  <r>
    <x v="15"/>
    <s v="14"/>
    <n v="60147.7"/>
    <n v="0"/>
  </r>
  <r>
    <x v="15"/>
    <s v="15"/>
    <n v="60814.9"/>
    <n v="0"/>
  </r>
  <r>
    <x v="15"/>
    <s v="16"/>
    <n v="62531.5"/>
    <n v="0"/>
  </r>
  <r>
    <x v="15"/>
    <s v="17"/>
    <n v="62535.3"/>
    <n v="0"/>
  </r>
  <r>
    <x v="15"/>
    <s v="18"/>
    <n v="62473.8"/>
    <n v="0"/>
  </r>
  <r>
    <x v="15"/>
    <s v="19"/>
    <n v="62385.8"/>
    <n v="0"/>
  </r>
  <r>
    <x v="15"/>
    <s v="20"/>
    <n v="61854"/>
    <n v="0"/>
  </r>
  <r>
    <x v="15"/>
    <s v="21"/>
    <n v="61258.7"/>
    <n v="0"/>
  </r>
  <r>
    <x v="15"/>
    <s v="22"/>
    <n v="61122.3"/>
    <n v="0"/>
  </r>
  <r>
    <x v="15"/>
    <s v="23"/>
    <n v="61455.9"/>
    <n v="0"/>
  </r>
  <r>
    <x v="16"/>
    <s v="0"/>
    <n v="61204.9"/>
    <n v="0"/>
  </r>
  <r>
    <x v="16"/>
    <s v="1"/>
    <n v="61337.599999999999"/>
    <n v="0"/>
  </r>
  <r>
    <x v="16"/>
    <s v="2"/>
    <n v="61358"/>
    <n v="0"/>
  </r>
  <r>
    <x v="16"/>
    <s v="3"/>
    <n v="61342.3"/>
    <n v="0"/>
  </r>
  <r>
    <x v="16"/>
    <s v="4"/>
    <n v="61308.800000000003"/>
    <n v="0"/>
  </r>
  <r>
    <x v="16"/>
    <s v="5"/>
    <n v="61299.8"/>
    <n v="0"/>
  </r>
  <r>
    <x v="16"/>
    <s v="6"/>
    <n v="61334.8"/>
    <n v="0"/>
  </r>
  <r>
    <x v="16"/>
    <s v="7"/>
    <n v="61357.2"/>
    <n v="0"/>
  </r>
  <r>
    <x v="16"/>
    <s v="8"/>
    <n v="61129.3"/>
    <n v="0"/>
  </r>
  <r>
    <x v="16"/>
    <s v="9"/>
    <n v="61455.7"/>
    <n v="0"/>
  </r>
  <r>
    <x v="16"/>
    <s v="10"/>
    <n v="61390.1"/>
    <n v="0"/>
  </r>
  <r>
    <x v="16"/>
    <s v="11"/>
    <n v="61359.9"/>
    <n v="0"/>
  </r>
  <r>
    <x v="16"/>
    <s v="12"/>
    <n v="61329.8"/>
    <n v="0"/>
  </r>
  <r>
    <x v="16"/>
    <s v="13"/>
    <n v="61395.7"/>
    <n v="0"/>
  </r>
  <r>
    <x v="16"/>
    <s v="14"/>
    <n v="60987.6"/>
    <n v="0"/>
  </r>
  <r>
    <x v="16"/>
    <s v="15"/>
    <n v="61052"/>
    <n v="0"/>
  </r>
  <r>
    <x v="16"/>
    <s v="16"/>
    <n v="61337.2"/>
    <n v="0"/>
  </r>
  <r>
    <x v="16"/>
    <s v="17"/>
    <n v="61102.6"/>
    <n v="0"/>
  </r>
  <r>
    <x v="16"/>
    <s v="18"/>
    <n v="61033.7"/>
    <n v="0"/>
  </r>
  <r>
    <x v="16"/>
    <s v="19"/>
    <n v="60976.9"/>
    <n v="0"/>
  </r>
  <r>
    <x v="16"/>
    <s v="20"/>
    <n v="60941.4"/>
    <n v="0"/>
  </r>
  <r>
    <x v="16"/>
    <s v="21"/>
    <n v="60975.6"/>
    <n v="0"/>
  </r>
  <r>
    <x v="16"/>
    <s v="22"/>
    <n v="61011.6"/>
    <n v="0"/>
  </r>
  <r>
    <x v="16"/>
    <s v="23"/>
    <n v="61011"/>
    <n v="0"/>
  </r>
  <r>
    <x v="17"/>
    <s v="0"/>
    <n v="54301"/>
    <n v="0"/>
  </r>
  <r>
    <x v="17"/>
    <s v="1"/>
    <n v="54399"/>
    <n v="0"/>
  </r>
  <r>
    <x v="17"/>
    <s v="2"/>
    <n v="54188.5"/>
    <n v="0"/>
  </r>
  <r>
    <x v="17"/>
    <s v="3"/>
    <n v="54235.6"/>
    <n v="0"/>
  </r>
  <r>
    <x v="17"/>
    <s v="4"/>
    <n v="16362.7"/>
    <n v="0"/>
  </r>
  <r>
    <x v="17"/>
    <s v="5"/>
    <n v="969.5"/>
    <n v="502.6"/>
  </r>
  <r>
    <x v="17"/>
    <s v="6"/>
    <n v="6814.6"/>
    <n v="263.5"/>
  </r>
  <r>
    <x v="17"/>
    <s v="7"/>
    <n v="17136.8"/>
    <n v="0"/>
  </r>
  <r>
    <x v="17"/>
    <s v="8"/>
    <n v="44748.9"/>
    <n v="0"/>
  </r>
  <r>
    <x v="17"/>
    <s v="9"/>
    <n v="50766.9"/>
    <n v="0"/>
  </r>
  <r>
    <x v="17"/>
    <s v="10"/>
    <n v="53315.5"/>
    <n v="0"/>
  </r>
  <r>
    <x v="17"/>
    <s v="11"/>
    <n v="54792.7"/>
    <n v="0"/>
  </r>
  <r>
    <x v="17"/>
    <s v="12"/>
    <n v="54770"/>
    <n v="0"/>
  </r>
  <r>
    <x v="17"/>
    <s v="13"/>
    <n v="54824.3"/>
    <n v="0"/>
  </r>
  <r>
    <x v="17"/>
    <s v="14"/>
    <n v="54774.5"/>
    <n v="0"/>
  </r>
  <r>
    <x v="17"/>
    <s v="15"/>
    <n v="54162.5"/>
    <n v="0"/>
  </r>
  <r>
    <x v="17"/>
    <s v="16"/>
    <n v="53986"/>
    <n v="0"/>
  </r>
  <r>
    <x v="17"/>
    <s v="17"/>
    <n v="54054.7"/>
    <n v="0"/>
  </r>
  <r>
    <x v="17"/>
    <s v="18"/>
    <n v="54025.3"/>
    <n v="0"/>
  </r>
  <r>
    <x v="17"/>
    <s v="19"/>
    <n v="54086.3"/>
    <n v="0"/>
  </r>
  <r>
    <x v="17"/>
    <s v="20"/>
    <n v="54016.800000000003"/>
    <n v="0"/>
  </r>
  <r>
    <x v="17"/>
    <s v="21"/>
    <n v="53959.199999999997"/>
    <n v="0"/>
  </r>
  <r>
    <x v="17"/>
    <s v="22"/>
    <n v="54149.4"/>
    <n v="0"/>
  </r>
  <r>
    <x v="17"/>
    <s v="23"/>
    <n v="53785.5"/>
    <n v="0"/>
  </r>
  <r>
    <x v="18"/>
    <s v="0"/>
    <n v="53918.5"/>
    <n v="0"/>
  </r>
  <r>
    <x v="18"/>
    <s v="1"/>
    <n v="54103.7"/>
    <n v="0"/>
  </r>
  <r>
    <x v="18"/>
    <s v="2"/>
    <n v="54047.9"/>
    <n v="0"/>
  </r>
  <r>
    <x v="18"/>
    <s v="3"/>
    <n v="53776.6"/>
    <n v="0"/>
  </r>
  <r>
    <x v="18"/>
    <s v="4"/>
    <n v="16647.2"/>
    <n v="0"/>
  </r>
  <r>
    <x v="18"/>
    <s v="5"/>
    <n v="358.7"/>
    <n v="529.5"/>
  </r>
  <r>
    <x v="18"/>
    <s v="6"/>
    <n v="6042"/>
    <n v="218.8"/>
  </r>
  <r>
    <x v="18"/>
    <s v="7"/>
    <n v="17463"/>
    <n v="0"/>
  </r>
  <r>
    <x v="18"/>
    <s v="8"/>
    <n v="41462.800000000003"/>
    <n v="0"/>
  </r>
  <r>
    <x v="18"/>
    <s v="9"/>
    <n v="47951"/>
    <n v="0"/>
  </r>
  <r>
    <x v="18"/>
    <s v="10"/>
    <n v="47966.3"/>
    <n v="0"/>
  </r>
  <r>
    <x v="18"/>
    <s v="11"/>
    <n v="48247.4"/>
    <n v="0"/>
  </r>
  <r>
    <x v="18"/>
    <s v="12"/>
    <n v="51945.7"/>
    <n v="0"/>
  </r>
  <r>
    <x v="18"/>
    <s v="13"/>
    <n v="51125.3"/>
    <n v="0"/>
  </r>
  <r>
    <x v="18"/>
    <s v="14"/>
    <n v="53560.5"/>
    <n v="0"/>
  </r>
  <r>
    <x v="18"/>
    <s v="15"/>
    <n v="53817"/>
    <n v="0"/>
  </r>
  <r>
    <x v="18"/>
    <s v="16"/>
    <n v="53755.3"/>
    <n v="0"/>
  </r>
  <r>
    <x v="18"/>
    <s v="17"/>
    <n v="53277.1"/>
    <n v="0"/>
  </r>
  <r>
    <x v="18"/>
    <s v="18"/>
    <n v="53355.5"/>
    <n v="0"/>
  </r>
  <r>
    <x v="18"/>
    <s v="19"/>
    <n v="53266.2"/>
    <n v="0"/>
  </r>
  <r>
    <x v="18"/>
    <s v="20"/>
    <n v="53154.5"/>
    <n v="0"/>
  </r>
  <r>
    <x v="18"/>
    <s v="21"/>
    <n v="53028.1"/>
    <n v="0"/>
  </r>
  <r>
    <x v="18"/>
    <s v="22"/>
    <n v="53004.2"/>
    <n v="0"/>
  </r>
  <r>
    <x v="18"/>
    <s v="23"/>
    <n v="52959.5"/>
    <n v="0"/>
  </r>
  <r>
    <x v="19"/>
    <s v="0"/>
    <n v="52808.7"/>
    <n v="0"/>
  </r>
  <r>
    <x v="19"/>
    <s v="1"/>
    <n v="53656.800000000003"/>
    <n v="0"/>
  </r>
  <r>
    <x v="19"/>
    <s v="2"/>
    <n v="53709.9"/>
    <n v="0"/>
  </r>
  <r>
    <x v="19"/>
    <s v="3"/>
    <n v="53607.8"/>
    <n v="0"/>
  </r>
  <r>
    <x v="19"/>
    <s v="4"/>
    <n v="16660.7"/>
    <n v="0"/>
  </r>
  <r>
    <x v="19"/>
    <s v="5"/>
    <n v="190.2"/>
    <n v="505.1"/>
  </r>
  <r>
    <x v="19"/>
    <s v="6"/>
    <n v="5309.7"/>
    <n v="319.5"/>
  </r>
  <r>
    <x v="19"/>
    <s v="7"/>
    <n v="17403.400000000001"/>
    <n v="0"/>
  </r>
  <r>
    <x v="19"/>
    <s v="8"/>
    <n v="43266.400000000001"/>
    <n v="0"/>
  </r>
  <r>
    <x v="19"/>
    <s v="9"/>
    <n v="54157.599999999999"/>
    <n v="0"/>
  </r>
  <r>
    <x v="19"/>
    <s v="10"/>
    <n v="54318"/>
    <n v="0"/>
  </r>
  <r>
    <x v="19"/>
    <s v="11"/>
    <n v="54044.800000000003"/>
    <n v="0"/>
  </r>
  <r>
    <x v="19"/>
    <s v="12"/>
    <n v="54117.2"/>
    <n v="0"/>
  </r>
  <r>
    <x v="19"/>
    <s v="13"/>
    <n v="54384"/>
    <n v="0"/>
  </r>
  <r>
    <x v="19"/>
    <s v="14"/>
    <n v="54371.9"/>
    <n v="0"/>
  </r>
  <r>
    <x v="19"/>
    <s v="15"/>
    <n v="54493.599999999999"/>
    <n v="0"/>
  </r>
  <r>
    <x v="19"/>
    <s v="16"/>
    <n v="54549.2"/>
    <n v="0"/>
  </r>
  <r>
    <x v="19"/>
    <s v="17"/>
    <n v="54527.8"/>
    <n v="0"/>
  </r>
  <r>
    <x v="19"/>
    <s v="18"/>
    <n v="54414.2"/>
    <n v="0"/>
  </r>
  <r>
    <x v="19"/>
    <s v="19"/>
    <n v="54501"/>
    <n v="0"/>
  </r>
  <r>
    <x v="19"/>
    <s v="20"/>
    <n v="54409.4"/>
    <n v="0"/>
  </r>
  <r>
    <x v="19"/>
    <s v="21"/>
    <n v="54405"/>
    <n v="0"/>
  </r>
  <r>
    <x v="19"/>
    <s v="22"/>
    <n v="53895"/>
    <n v="0"/>
  </r>
  <r>
    <x v="19"/>
    <s v="23"/>
    <n v="53808.5"/>
    <n v="0"/>
  </r>
  <r>
    <x v="20"/>
    <s v="0"/>
    <n v="54160.800000000003"/>
    <n v="0"/>
  </r>
  <r>
    <x v="20"/>
    <s v="1"/>
    <n v="53881.7"/>
    <n v="0"/>
  </r>
  <r>
    <x v="20"/>
    <s v="2"/>
    <n v="54147.8"/>
    <n v="0"/>
  </r>
  <r>
    <x v="20"/>
    <s v="3"/>
    <n v="54084"/>
    <n v="0"/>
  </r>
  <r>
    <x v="20"/>
    <s v="4"/>
    <n v="54149.4"/>
    <n v="0"/>
  </r>
  <r>
    <x v="20"/>
    <s v="5"/>
    <n v="54525"/>
    <n v="0"/>
  </r>
  <r>
    <x v="20"/>
    <s v="6"/>
    <n v="54266"/>
    <n v="0"/>
  </r>
  <r>
    <x v="20"/>
    <s v="7"/>
    <n v="54270.1"/>
    <n v="0"/>
  </r>
  <r>
    <x v="20"/>
    <s v="8"/>
    <n v="54144.4"/>
    <n v="0"/>
  </r>
  <r>
    <x v="20"/>
    <s v="9"/>
    <n v="54534.9"/>
    <n v="0"/>
  </r>
  <r>
    <x v="20"/>
    <s v="10"/>
    <n v="54288.800000000003"/>
    <n v="0"/>
  </r>
  <r>
    <x v="20"/>
    <s v="11"/>
    <n v="54095.4"/>
    <n v="0"/>
  </r>
  <r>
    <x v="20"/>
    <s v="12"/>
    <n v="54193.4"/>
    <n v="0"/>
  </r>
  <r>
    <x v="20"/>
    <s v="13"/>
    <n v="54002.2"/>
    <n v="0"/>
  </r>
  <r>
    <x v="20"/>
    <s v="14"/>
    <n v="54236.2"/>
    <n v="0"/>
  </r>
  <r>
    <x v="20"/>
    <s v="15"/>
    <n v="54256.1"/>
    <n v="0"/>
  </r>
  <r>
    <x v="20"/>
    <s v="16"/>
    <n v="53156.7"/>
    <n v="0"/>
  </r>
  <r>
    <x v="20"/>
    <s v="17"/>
    <n v="53773.8"/>
    <n v="0"/>
  </r>
  <r>
    <x v="20"/>
    <s v="18"/>
    <n v="53866.7"/>
    <n v="0"/>
  </r>
  <r>
    <x v="20"/>
    <s v="19"/>
    <n v="53790.7"/>
    <n v="0"/>
  </r>
  <r>
    <x v="20"/>
    <s v="20"/>
    <n v="53851.6"/>
    <n v="0"/>
  </r>
  <r>
    <x v="20"/>
    <s v="21"/>
    <n v="53809.9"/>
    <n v="0"/>
  </r>
  <r>
    <x v="20"/>
    <s v="22"/>
    <n v="53812.800000000003"/>
    <n v="0"/>
  </r>
  <r>
    <x v="20"/>
    <s v="23"/>
    <n v="53608.9"/>
    <n v="0"/>
  </r>
  <r>
    <x v="21"/>
    <s v="0"/>
    <n v="53049.3"/>
    <n v="0"/>
  </r>
  <r>
    <x v="21"/>
    <s v="1"/>
    <n v="53180.3"/>
    <n v="0"/>
  </r>
  <r>
    <x v="21"/>
    <s v="2"/>
    <n v="53162.3"/>
    <n v="0"/>
  </r>
  <r>
    <x v="21"/>
    <s v="3"/>
    <n v="53212.5"/>
    <n v="0"/>
  </r>
  <r>
    <x v="21"/>
    <s v="4"/>
    <n v="53253.5"/>
    <n v="0"/>
  </r>
  <r>
    <x v="21"/>
    <s v="5"/>
    <n v="53551.3"/>
    <n v="0"/>
  </r>
  <r>
    <x v="21"/>
    <s v="6"/>
    <n v="53456.800000000003"/>
    <n v="0"/>
  </r>
  <r>
    <x v="21"/>
    <s v="7"/>
    <n v="53539.9"/>
    <n v="0"/>
  </r>
  <r>
    <x v="21"/>
    <s v="8"/>
    <n v="53957"/>
    <n v="0"/>
  </r>
  <r>
    <x v="21"/>
    <s v="9"/>
    <n v="54041.7"/>
    <n v="0"/>
  </r>
  <r>
    <x v="21"/>
    <s v="10"/>
    <n v="54059.199999999997"/>
    <n v="0"/>
  </r>
  <r>
    <x v="21"/>
    <s v="11"/>
    <n v="54081.599999999999"/>
    <n v="0"/>
  </r>
  <r>
    <x v="21"/>
    <s v="12"/>
    <n v="54147"/>
    <n v="0"/>
  </r>
  <r>
    <x v="21"/>
    <s v="13"/>
    <n v="54098.8"/>
    <n v="0"/>
  </r>
  <r>
    <x v="21"/>
    <s v="14"/>
    <n v="54164.800000000003"/>
    <n v="0"/>
  </r>
  <r>
    <x v="21"/>
    <s v="15"/>
    <n v="54122"/>
    <n v="0"/>
  </r>
  <r>
    <x v="21"/>
    <s v="16"/>
    <n v="54148.4"/>
    <n v="0"/>
  </r>
  <r>
    <x v="21"/>
    <s v="17"/>
    <n v="54009"/>
    <n v="0"/>
  </r>
  <r>
    <x v="21"/>
    <s v="18"/>
    <n v="54135.8"/>
    <n v="0"/>
  </r>
  <r>
    <x v="21"/>
    <s v="19"/>
    <n v="54103.199999999997"/>
    <n v="0"/>
  </r>
  <r>
    <x v="21"/>
    <s v="20"/>
    <n v="53927.3"/>
    <n v="0"/>
  </r>
  <r>
    <x v="21"/>
    <s v="21"/>
    <n v="53958.1"/>
    <n v="0"/>
  </r>
  <r>
    <x v="21"/>
    <s v="22"/>
    <n v="53887"/>
    <n v="0"/>
  </r>
  <r>
    <x v="21"/>
    <s v="23"/>
    <n v="53793.3"/>
    <n v="0"/>
  </r>
  <r>
    <x v="22"/>
    <s v="0"/>
    <n v="54271.5"/>
    <n v="0"/>
  </r>
  <r>
    <x v="22"/>
    <s v="1"/>
    <n v="54360.2"/>
    <n v="0"/>
  </r>
  <r>
    <x v="22"/>
    <s v="2"/>
    <n v="54009.2"/>
    <n v="0"/>
  </r>
  <r>
    <x v="22"/>
    <s v="3"/>
    <n v="54085.3"/>
    <n v="0"/>
  </r>
  <r>
    <x v="22"/>
    <s v="4"/>
    <n v="54180.2"/>
    <n v="0"/>
  </r>
  <r>
    <x v="22"/>
    <s v="5"/>
    <n v="54098.1"/>
    <n v="0"/>
  </r>
  <r>
    <x v="22"/>
    <s v="6"/>
    <n v="54060.9"/>
    <n v="0"/>
  </r>
  <r>
    <x v="22"/>
    <s v="7"/>
    <n v="54157.8"/>
    <n v="0"/>
  </r>
  <r>
    <x v="22"/>
    <s v="8"/>
    <n v="54054.9"/>
    <n v="0"/>
  </r>
  <r>
    <x v="22"/>
    <s v="9"/>
    <n v="53909"/>
    <n v="0"/>
  </r>
  <r>
    <x v="22"/>
    <s v="10"/>
    <n v="54724.1"/>
    <n v="0"/>
  </r>
  <r>
    <x v="22"/>
    <s v="11"/>
    <n v="54353.4"/>
    <n v="0"/>
  </r>
  <r>
    <x v="22"/>
    <s v="12"/>
    <n v="54682.7"/>
    <n v="0"/>
  </r>
  <r>
    <x v="22"/>
    <s v="13"/>
    <n v="54351.3"/>
    <n v="0"/>
  </r>
  <r>
    <x v="22"/>
    <s v="14"/>
    <n v="54359.9"/>
    <n v="0"/>
  </r>
  <r>
    <x v="22"/>
    <s v="15"/>
    <n v="54212"/>
    <n v="0"/>
  </r>
  <r>
    <x v="22"/>
    <s v="16"/>
    <n v="54255.199999999997"/>
    <n v="0"/>
  </r>
  <r>
    <x v="22"/>
    <s v="17"/>
    <n v="54126.8"/>
    <n v="0"/>
  </r>
  <r>
    <x v="22"/>
    <s v="18"/>
    <n v="54017.1"/>
    <n v="0"/>
  </r>
  <r>
    <x v="22"/>
    <s v="19"/>
    <n v="54165.2"/>
    <n v="0"/>
  </r>
  <r>
    <x v="22"/>
    <s v="20"/>
    <n v="54130.3"/>
    <n v="0"/>
  </r>
  <r>
    <x v="22"/>
    <s v="21"/>
    <n v="54032.800000000003"/>
    <n v="0"/>
  </r>
  <r>
    <x v="22"/>
    <s v="22"/>
    <n v="54114.2"/>
    <n v="0"/>
  </r>
  <r>
    <x v="22"/>
    <s v="23"/>
    <n v="53984"/>
    <n v="0"/>
  </r>
  <r>
    <x v="23"/>
    <s v="0"/>
    <n v="52791.9"/>
    <n v="0"/>
  </r>
  <r>
    <x v="23"/>
    <s v="1"/>
    <n v="54470.1"/>
    <n v="0"/>
  </r>
  <r>
    <x v="23"/>
    <s v="2"/>
    <n v="53524"/>
    <n v="0"/>
  </r>
  <r>
    <x v="23"/>
    <s v="3"/>
    <n v="52154.5"/>
    <n v="0"/>
  </r>
  <r>
    <x v="23"/>
    <s v="4"/>
    <n v="53657.2"/>
    <n v="0"/>
  </r>
  <r>
    <x v="23"/>
    <s v="5"/>
    <n v="53646.7"/>
    <n v="0"/>
  </r>
  <r>
    <x v="23"/>
    <s v="6"/>
    <n v="53626.3"/>
    <n v="0"/>
  </r>
  <r>
    <x v="23"/>
    <s v="7"/>
    <n v="53567.9"/>
    <n v="0"/>
  </r>
  <r>
    <x v="23"/>
    <s v="8"/>
    <n v="53578.1"/>
    <n v="0"/>
  </r>
  <r>
    <x v="23"/>
    <s v="9"/>
    <n v="53575"/>
    <n v="0"/>
  </r>
  <r>
    <x v="23"/>
    <s v="10"/>
    <n v="55119.9"/>
    <n v="0"/>
  </r>
  <r>
    <x v="23"/>
    <s v="11"/>
    <n v="54885"/>
    <n v="0"/>
  </r>
  <r>
    <x v="23"/>
    <s v="12"/>
    <n v="54969.7"/>
    <n v="0"/>
  </r>
  <r>
    <x v="23"/>
    <s v="13"/>
    <n v="54952.3"/>
    <n v="0"/>
  </r>
  <r>
    <x v="23"/>
    <s v="14"/>
    <n v="55026.2"/>
    <n v="0"/>
  </r>
  <r>
    <x v="23"/>
    <s v="15"/>
    <n v="54911.7"/>
    <n v="0"/>
  </r>
  <r>
    <x v="23"/>
    <s v="16"/>
    <n v="54882.3"/>
    <n v="0"/>
  </r>
  <r>
    <x v="23"/>
    <s v="17"/>
    <n v="54920.4"/>
    <n v="0"/>
  </r>
  <r>
    <x v="23"/>
    <s v="18"/>
    <n v="54864.6"/>
    <n v="0"/>
  </r>
  <r>
    <x v="23"/>
    <s v="19"/>
    <n v="54807.5"/>
    <n v="0"/>
  </r>
  <r>
    <x v="23"/>
    <s v="20"/>
    <n v="54728.4"/>
    <n v="0"/>
  </r>
  <r>
    <x v="23"/>
    <s v="21"/>
    <n v="54721"/>
    <n v="0"/>
  </r>
  <r>
    <x v="23"/>
    <s v="22"/>
    <n v="54709.5"/>
    <n v="0"/>
  </r>
  <r>
    <x v="23"/>
    <s v="23"/>
    <n v="54801.599999999999"/>
    <n v="0"/>
  </r>
  <r>
    <x v="24"/>
    <s v="0"/>
    <n v="61362.2"/>
    <n v="0"/>
  </r>
  <r>
    <x v="24"/>
    <s v="1"/>
    <n v="61724"/>
    <n v="0"/>
  </r>
  <r>
    <x v="24"/>
    <s v="2"/>
    <n v="63769"/>
    <n v="0"/>
  </r>
  <r>
    <x v="24"/>
    <s v="3"/>
    <n v="63827.9"/>
    <n v="0"/>
  </r>
  <r>
    <x v="24"/>
    <s v="4"/>
    <n v="62895.4"/>
    <n v="0"/>
  </r>
  <r>
    <x v="24"/>
    <s v="5"/>
    <n v="26765.5"/>
    <n v="0"/>
  </r>
  <r>
    <x v="24"/>
    <s v="6"/>
    <n v="130.5"/>
    <n v="642.6"/>
  </r>
  <r>
    <x v="24"/>
    <s v="7"/>
    <n v="20470.8"/>
    <n v="6.7"/>
  </r>
  <r>
    <x v="24"/>
    <s v="8"/>
    <n v="44275.7"/>
    <n v="0"/>
  </r>
  <r>
    <x v="24"/>
    <s v="9"/>
    <n v="61108.6"/>
    <n v="0"/>
  </r>
  <r>
    <x v="24"/>
    <s v="10"/>
    <n v="62783.199999999997"/>
    <n v="0"/>
  </r>
  <r>
    <x v="24"/>
    <s v="11"/>
    <n v="62945.2"/>
    <n v="0"/>
  </r>
  <r>
    <x v="24"/>
    <s v="12"/>
    <n v="62927.5"/>
    <n v="0"/>
  </r>
  <r>
    <x v="24"/>
    <s v="13"/>
    <n v="62948.5"/>
    <n v="0"/>
  </r>
  <r>
    <x v="24"/>
    <s v="14"/>
    <n v="63018.3"/>
    <n v="0"/>
  </r>
  <r>
    <x v="24"/>
    <s v="15"/>
    <n v="62990.3"/>
    <n v="0"/>
  </r>
  <r>
    <x v="24"/>
    <s v="16"/>
    <n v="62991.7"/>
    <n v="0"/>
  </r>
  <r>
    <x v="24"/>
    <s v="17"/>
    <n v="62914.7"/>
    <n v="0"/>
  </r>
  <r>
    <x v="24"/>
    <s v="18"/>
    <n v="63015.3"/>
    <n v="0"/>
  </r>
  <r>
    <x v="24"/>
    <s v="19"/>
    <n v="62916"/>
    <n v="0"/>
  </r>
  <r>
    <x v="24"/>
    <s v="20"/>
    <n v="60780.4"/>
    <n v="0"/>
  </r>
  <r>
    <x v="24"/>
    <s v="21"/>
    <n v="62674.6"/>
    <n v="0"/>
  </r>
  <r>
    <x v="24"/>
    <s v="22"/>
    <n v="62859.7"/>
    <n v="0"/>
  </r>
  <r>
    <x v="24"/>
    <s v="23"/>
    <n v="62861.3"/>
    <n v="0"/>
  </r>
  <r>
    <x v="25"/>
    <s v="0"/>
    <n v="62624.2"/>
    <n v="0"/>
  </r>
  <r>
    <x v="25"/>
    <s v="1"/>
    <n v="62737.7"/>
    <n v="0"/>
  </r>
  <r>
    <x v="25"/>
    <s v="2"/>
    <n v="62646.7"/>
    <n v="0"/>
  </r>
  <r>
    <x v="25"/>
    <s v="3"/>
    <n v="61514.9"/>
    <n v="0"/>
  </r>
  <r>
    <x v="25"/>
    <s v="4"/>
    <n v="62076.9"/>
    <n v="0"/>
  </r>
  <r>
    <x v="25"/>
    <s v="5"/>
    <n v="61993.8"/>
    <n v="0"/>
  </r>
  <r>
    <x v="25"/>
    <s v="6"/>
    <n v="61897.1"/>
    <n v="0"/>
  </r>
  <r>
    <x v="25"/>
    <s v="7"/>
    <n v="61903.3"/>
    <n v="0"/>
  </r>
  <r>
    <x v="25"/>
    <s v="8"/>
    <n v="62063"/>
    <n v="0"/>
  </r>
  <r>
    <x v="25"/>
    <s v="9"/>
    <n v="61910.8"/>
    <n v="0"/>
  </r>
  <r>
    <x v="25"/>
    <s v="10"/>
    <n v="61845.9"/>
    <n v="0"/>
  </r>
  <r>
    <x v="25"/>
    <s v="11"/>
    <n v="62259.4"/>
    <n v="0"/>
  </r>
  <r>
    <x v="25"/>
    <s v="12"/>
    <n v="62721.2"/>
    <n v="0"/>
  </r>
  <r>
    <x v="25"/>
    <s v="13"/>
    <n v="63673.3"/>
    <n v="0"/>
  </r>
  <r>
    <x v="25"/>
    <s v="14"/>
    <n v="63523.8"/>
    <n v="0"/>
  </r>
  <r>
    <x v="25"/>
    <s v="15"/>
    <n v="63025.1"/>
    <n v="0"/>
  </r>
  <r>
    <x v="25"/>
    <s v="16"/>
    <n v="62572"/>
    <n v="0"/>
  </r>
  <r>
    <x v="25"/>
    <s v="17"/>
    <n v="63243.199999999997"/>
    <n v="0"/>
  </r>
  <r>
    <x v="25"/>
    <s v="18"/>
    <n v="63554.6"/>
    <n v="0"/>
  </r>
  <r>
    <x v="25"/>
    <s v="19"/>
    <n v="61332"/>
    <n v="0"/>
  </r>
  <r>
    <x v="25"/>
    <s v="20"/>
    <n v="61982.1"/>
    <n v="0"/>
  </r>
  <r>
    <x v="25"/>
    <s v="21"/>
    <n v="63359.5"/>
    <n v="0"/>
  </r>
  <r>
    <x v="25"/>
    <s v="22"/>
    <n v="63180.800000000003"/>
    <n v="0"/>
  </r>
  <r>
    <x v="25"/>
    <s v="23"/>
    <n v="63328"/>
    <n v="0"/>
  </r>
  <r>
    <x v="26"/>
    <s v="0"/>
    <n v="63191.7"/>
    <n v="0"/>
  </r>
  <r>
    <x v="26"/>
    <s v="1"/>
    <n v="63227.8"/>
    <n v="0"/>
  </r>
  <r>
    <x v="26"/>
    <s v="2"/>
    <n v="63293.9"/>
    <n v="0"/>
  </r>
  <r>
    <x v="26"/>
    <s v="3"/>
    <n v="63264.800000000003"/>
    <n v="0"/>
  </r>
  <r>
    <x v="26"/>
    <s v="4"/>
    <n v="63397.3"/>
    <n v="0"/>
  </r>
  <r>
    <x v="26"/>
    <s v="5"/>
    <n v="62618.5"/>
    <n v="0"/>
  </r>
  <r>
    <x v="26"/>
    <s v="6"/>
    <n v="62043.4"/>
    <n v="0"/>
  </r>
  <r>
    <x v="26"/>
    <s v="7"/>
    <n v="62169.9"/>
    <n v="0"/>
  </r>
  <r>
    <x v="26"/>
    <s v="8"/>
    <n v="61930.400000000001"/>
    <n v="0"/>
  </r>
  <r>
    <x v="26"/>
    <s v="9"/>
    <n v="61880.7"/>
    <n v="0"/>
  </r>
  <r>
    <x v="26"/>
    <s v="10"/>
    <n v="61872.4"/>
    <n v="0"/>
  </r>
  <r>
    <x v="26"/>
    <s v="11"/>
    <n v="61812.6"/>
    <n v="0"/>
  </r>
  <r>
    <x v="26"/>
    <s v="12"/>
    <n v="61873.7"/>
    <n v="0"/>
  </r>
  <r>
    <x v="26"/>
    <s v="13"/>
    <n v="62582.400000000001"/>
    <n v="0"/>
  </r>
  <r>
    <x v="26"/>
    <s v="14"/>
    <n v="63555.3"/>
    <n v="0"/>
  </r>
  <r>
    <x v="26"/>
    <s v="15"/>
    <n v="63689.3"/>
    <n v="0"/>
  </r>
  <r>
    <x v="26"/>
    <s v="16"/>
    <n v="62014"/>
    <n v="0"/>
  </r>
  <r>
    <x v="26"/>
    <s v="17"/>
    <n v="62868.7"/>
    <n v="0"/>
  </r>
  <r>
    <x v="26"/>
    <s v="18"/>
    <n v="62869.599999999999"/>
    <n v="0"/>
  </r>
  <r>
    <x v="26"/>
    <s v="19"/>
    <n v="62868.2"/>
    <n v="0"/>
  </r>
  <r>
    <x v="26"/>
    <s v="20"/>
    <n v="62313.599999999999"/>
    <n v="0"/>
  </r>
  <r>
    <x v="26"/>
    <s v="21"/>
    <n v="62417.4"/>
    <n v="0"/>
  </r>
  <r>
    <x v="26"/>
    <s v="22"/>
    <n v="64185.8"/>
    <n v="0"/>
  </r>
  <r>
    <x v="26"/>
    <s v="23"/>
    <n v="63891.199999999997"/>
    <n v="0"/>
  </r>
  <r>
    <x v="27"/>
    <s v="0"/>
    <n v="54588.6"/>
    <n v="0"/>
  </r>
  <r>
    <x v="27"/>
    <s v="1"/>
    <n v="53783.8"/>
    <n v="0"/>
  </r>
  <r>
    <x v="27"/>
    <s v="2"/>
    <n v="54445.7"/>
    <n v="0"/>
  </r>
  <r>
    <x v="27"/>
    <s v="3"/>
    <n v="54459.9"/>
    <n v="0"/>
  </r>
  <r>
    <x v="27"/>
    <s v="4"/>
    <n v="54111.3"/>
    <n v="0"/>
  </r>
  <r>
    <x v="27"/>
    <s v="5"/>
    <n v="54198.6"/>
    <n v="0"/>
  </r>
  <r>
    <x v="27"/>
    <s v="6"/>
    <n v="54039.1"/>
    <n v="0"/>
  </r>
  <r>
    <x v="27"/>
    <s v="7"/>
    <n v="54268.1"/>
    <n v="0"/>
  </r>
  <r>
    <x v="27"/>
    <s v="8"/>
    <n v="53749.1"/>
    <n v="0"/>
  </r>
  <r>
    <x v="27"/>
    <s v="9"/>
    <n v="53787.199999999997"/>
    <n v="0"/>
  </r>
  <r>
    <x v="27"/>
    <s v="10"/>
    <n v="53973.4"/>
    <n v="0"/>
  </r>
  <r>
    <x v="27"/>
    <s v="11"/>
    <n v="54213.1"/>
    <n v="0"/>
  </r>
  <r>
    <x v="27"/>
    <s v="12"/>
    <n v="54205.7"/>
    <n v="0"/>
  </r>
  <r>
    <x v="27"/>
    <s v="13"/>
    <n v="54096.800000000003"/>
    <n v="0"/>
  </r>
  <r>
    <x v="27"/>
    <s v="14"/>
    <n v="54257.8"/>
    <n v="0"/>
  </r>
  <r>
    <x v="27"/>
    <s v="15"/>
    <n v="54205.5"/>
    <n v="0"/>
  </r>
  <r>
    <x v="27"/>
    <s v="16"/>
    <n v="53636.1"/>
    <n v="0"/>
  </r>
  <r>
    <x v="27"/>
    <s v="17"/>
    <n v="54371.4"/>
    <n v="0"/>
  </r>
  <r>
    <x v="27"/>
    <s v="18"/>
    <n v="54169.3"/>
    <n v="0"/>
  </r>
  <r>
    <x v="27"/>
    <s v="19"/>
    <n v="54124.4"/>
    <n v="0"/>
  </r>
  <r>
    <x v="27"/>
    <s v="20"/>
    <n v="54073"/>
    <n v="0"/>
  </r>
  <r>
    <x v="27"/>
    <s v="21"/>
    <n v="53601.4"/>
    <n v="0"/>
  </r>
  <r>
    <x v="27"/>
    <s v="22"/>
    <n v="54012.6"/>
    <n v="0"/>
  </r>
  <r>
    <x v="27"/>
    <s v="23"/>
    <n v="54655.7"/>
    <n v="0"/>
  </r>
  <r>
    <x v="28"/>
    <s v="0"/>
    <n v="55096.5"/>
    <n v="0"/>
  </r>
  <r>
    <x v="28"/>
    <s v="1"/>
    <n v="52874.9"/>
    <n v="0"/>
  </r>
  <r>
    <x v="28"/>
    <s v="2"/>
    <n v="52226.1"/>
    <n v="0"/>
  </r>
  <r>
    <x v="28"/>
    <s v="3"/>
    <n v="53369.7"/>
    <n v="0"/>
  </r>
  <r>
    <x v="28"/>
    <s v="4"/>
    <n v="53076.7"/>
    <n v="0"/>
  </r>
  <r>
    <x v="28"/>
    <s v="5"/>
    <n v="16590.400000000001"/>
    <n v="0"/>
  </r>
  <r>
    <x v="28"/>
    <s v="6"/>
    <n v="1178.5"/>
    <n v="512.70000000000005"/>
  </r>
  <r>
    <x v="28"/>
    <s v="7"/>
    <n v="0"/>
    <n v="557.29999999999995"/>
  </r>
  <r>
    <x v="28"/>
    <s v="8"/>
    <n v="0"/>
    <n v="606.79999999999995"/>
  </r>
  <r>
    <x v="28"/>
    <s v="9"/>
    <n v="3871.8"/>
    <n v="364.6"/>
  </r>
  <r>
    <x v="28"/>
    <s v="10"/>
    <n v="17397"/>
    <n v="0"/>
  </r>
  <r>
    <x v="28"/>
    <s v="11"/>
    <n v="42936"/>
    <n v="0"/>
  </r>
  <r>
    <x v="28"/>
    <s v="12"/>
    <n v="53152.2"/>
    <n v="0"/>
  </r>
  <r>
    <x v="28"/>
    <s v="13"/>
    <n v="57618.400000000001"/>
    <n v="0"/>
  </r>
  <r>
    <x v="28"/>
    <s v="14"/>
    <n v="67094.399999999994"/>
    <n v="0"/>
  </r>
  <r>
    <x v="28"/>
    <s v="15"/>
    <n v="54259.4"/>
    <n v="0"/>
  </r>
  <r>
    <x v="28"/>
    <s v="16"/>
    <n v="53732.1"/>
    <n v="0"/>
  </r>
  <r>
    <x v="28"/>
    <s v="17"/>
    <n v="53061.2"/>
    <n v="0"/>
  </r>
  <r>
    <x v="28"/>
    <s v="18"/>
    <n v="54251.7"/>
    <n v="0"/>
  </r>
  <r>
    <x v="28"/>
    <s v="19"/>
    <n v="54406.7"/>
    <n v="0"/>
  </r>
  <r>
    <x v="28"/>
    <s v="20"/>
    <n v="54438.9"/>
    <n v="0"/>
  </r>
  <r>
    <x v="28"/>
    <s v="21"/>
    <n v="54344.2"/>
    <n v="0"/>
  </r>
  <r>
    <x v="28"/>
    <s v="22"/>
    <n v="54426.3"/>
    <n v="0"/>
  </r>
  <r>
    <x v="28"/>
    <s v="23"/>
    <n v="54229.599999999999"/>
    <n v="0"/>
  </r>
  <r>
    <x v="29"/>
    <s v="0"/>
    <n v="62594.3"/>
    <n v="0"/>
  </r>
  <r>
    <x v="29"/>
    <s v="1"/>
    <n v="63128.9"/>
    <n v="0"/>
  </r>
  <r>
    <x v="29"/>
    <s v="2"/>
    <n v="63119.199999999997"/>
    <n v="0"/>
  </r>
  <r>
    <x v="29"/>
    <s v="3"/>
    <n v="62282.3"/>
    <n v="0"/>
  </r>
  <r>
    <x v="29"/>
    <s v="4"/>
    <n v="25831"/>
    <n v="0"/>
  </r>
  <r>
    <x v="29"/>
    <s v="5"/>
    <n v="2144.1999999999998"/>
    <n v="606.1"/>
  </r>
  <r>
    <x v="29"/>
    <s v="6"/>
    <n v="5994.1"/>
    <n v="351.9"/>
  </r>
  <r>
    <x v="29"/>
    <s v="7"/>
    <n v="17040.5"/>
    <n v="0"/>
  </r>
  <r>
    <x v="29"/>
    <s v="8"/>
    <n v="44306.8"/>
    <n v="0"/>
  </r>
  <r>
    <x v="29"/>
    <s v="9"/>
    <n v="61715.6"/>
    <n v="0"/>
  </r>
  <r>
    <x v="29"/>
    <s v="10"/>
    <n v="64377.7"/>
    <n v="0"/>
  </r>
  <r>
    <x v="29"/>
    <s v="11"/>
    <n v="63946.6"/>
    <n v="0"/>
  </r>
  <r>
    <x v="29"/>
    <s v="12"/>
    <n v="63931.199999999997"/>
    <n v="0"/>
  </r>
  <r>
    <x v="29"/>
    <s v="13"/>
    <n v="63729.4"/>
    <n v="0"/>
  </r>
  <r>
    <x v="29"/>
    <s v="14"/>
    <n v="62417.2"/>
    <n v="0"/>
  </r>
  <r>
    <x v="29"/>
    <s v="15"/>
    <n v="63149.4"/>
    <n v="0"/>
  </r>
  <r>
    <x v="29"/>
    <s v="16"/>
    <n v="63129.3"/>
    <n v="0"/>
  </r>
  <r>
    <x v="29"/>
    <s v="17"/>
    <n v="63032.6"/>
    <n v="0"/>
  </r>
  <r>
    <x v="29"/>
    <s v="18"/>
    <n v="63133.3"/>
    <n v="0"/>
  </r>
  <r>
    <x v="29"/>
    <s v="19"/>
    <n v="63169.1"/>
    <n v="0"/>
  </r>
  <r>
    <x v="29"/>
    <s v="20"/>
    <n v="63070.9"/>
    <n v="0"/>
  </r>
  <r>
    <x v="29"/>
    <s v="21"/>
    <n v="62985.7"/>
    <n v="0"/>
  </r>
  <r>
    <x v="29"/>
    <s v="22"/>
    <n v="63146"/>
    <n v="0"/>
  </r>
  <r>
    <x v="29"/>
    <s v="23"/>
    <n v="63359.5"/>
    <n v="0"/>
  </r>
  <r>
    <x v="30"/>
    <s v="0"/>
    <n v="63038"/>
    <n v="0"/>
  </r>
  <r>
    <x v="30"/>
    <s v="1"/>
    <n v="59465.5"/>
    <n v="0"/>
  </r>
  <r>
    <x v="30"/>
    <s v="2"/>
    <n v="61168.9"/>
    <n v="0"/>
  </r>
  <r>
    <x v="30"/>
    <s v="3"/>
    <n v="61224.1"/>
    <n v="0"/>
  </r>
  <r>
    <x v="30"/>
    <s v="4"/>
    <n v="60379.5"/>
    <n v="0"/>
  </r>
  <r>
    <x v="30"/>
    <s v="5"/>
    <n v="61281"/>
    <n v="0"/>
  </r>
  <r>
    <x v="30"/>
    <s v="6"/>
    <n v="60440.1"/>
    <n v="0"/>
  </r>
  <r>
    <x v="30"/>
    <s v="7"/>
    <n v="60896.6"/>
    <n v="0"/>
  </r>
  <r>
    <x v="30"/>
    <s v="8"/>
    <n v="60769.2"/>
    <n v="0"/>
  </r>
  <r>
    <x v="30"/>
    <s v="9"/>
    <n v="61809.7"/>
    <n v="0"/>
  </r>
  <r>
    <x v="30"/>
    <s v="10"/>
    <n v="62880.4"/>
    <n v="0"/>
  </r>
  <r>
    <x v="30"/>
    <s v="11"/>
    <n v="63871.8"/>
    <n v="0"/>
  </r>
  <r>
    <x v="30"/>
    <s v="12"/>
    <n v="63954.2"/>
    <n v="0"/>
  </r>
  <r>
    <x v="30"/>
    <s v="13"/>
    <n v="63781.5"/>
    <n v="0"/>
  </r>
  <r>
    <x v="30"/>
    <s v="14"/>
    <n v="63127.6"/>
    <n v="0"/>
  </r>
  <r>
    <x v="30"/>
    <s v="15"/>
    <n v="62485.3"/>
    <n v="0"/>
  </r>
  <r>
    <x v="30"/>
    <s v="16"/>
    <n v="62501.9"/>
    <n v="0"/>
  </r>
  <r>
    <x v="30"/>
    <s v="17"/>
    <n v="62469.3"/>
    <n v="0"/>
  </r>
  <r>
    <x v="30"/>
    <s v="18"/>
    <n v="62243.199999999997"/>
    <n v="0"/>
  </r>
  <r>
    <x v="30"/>
    <s v="19"/>
    <n v="62944.6"/>
    <n v="0"/>
  </r>
  <r>
    <x v="30"/>
    <s v="20"/>
    <n v="64135.3"/>
    <n v="0"/>
  </r>
  <r>
    <x v="30"/>
    <s v="21"/>
    <n v="64147.1"/>
    <n v="0"/>
  </r>
  <r>
    <x v="30"/>
    <s v="22"/>
    <n v="63248.2"/>
    <n v="0"/>
  </r>
  <r>
    <x v="30"/>
    <s v="23"/>
    <n v="62007.3"/>
    <n v="0"/>
  </r>
  <r>
    <x v="31"/>
    <s v="0"/>
    <n v="64255.199999999997"/>
    <n v="0"/>
  </r>
  <r>
    <x v="31"/>
    <s v="1"/>
    <n v="64054.1"/>
    <n v="0"/>
  </r>
  <r>
    <x v="31"/>
    <s v="2"/>
    <n v="64053.1"/>
    <n v="0"/>
  </r>
  <r>
    <x v="31"/>
    <s v="3"/>
    <n v="64060.800000000003"/>
    <n v="0"/>
  </r>
  <r>
    <x v="31"/>
    <s v="4"/>
    <n v="63797.8"/>
    <n v="0"/>
  </r>
  <r>
    <x v="31"/>
    <s v="5"/>
    <n v="63355.9"/>
    <n v="0"/>
  </r>
  <r>
    <x v="31"/>
    <s v="6"/>
    <n v="63349.1"/>
    <n v="0"/>
  </r>
  <r>
    <x v="31"/>
    <s v="7"/>
    <n v="63043.3"/>
    <n v="0"/>
  </r>
  <r>
    <x v="31"/>
    <s v="8"/>
    <n v="60885.9"/>
    <n v="0"/>
  </r>
  <r>
    <x v="31"/>
    <s v="9"/>
    <n v="63020.4"/>
    <n v="0"/>
  </r>
  <r>
    <x v="31"/>
    <s v="10"/>
    <n v="63984.2"/>
    <n v="0"/>
  </r>
  <r>
    <x v="31"/>
    <s v="11"/>
    <n v="63872.6"/>
    <n v="0"/>
  </r>
  <r>
    <x v="31"/>
    <s v="12"/>
    <n v="64114.6"/>
    <n v="0"/>
  </r>
  <r>
    <x v="31"/>
    <s v="13"/>
    <n v="56237.9"/>
    <n v="0"/>
  </r>
  <r>
    <x v="31"/>
    <s v="14"/>
    <n v="53103.3"/>
    <n v="0"/>
  </r>
  <r>
    <x v="31"/>
    <s v="15"/>
    <n v="54228.2"/>
    <n v="0"/>
  </r>
  <r>
    <x v="31"/>
    <s v="16"/>
    <n v="53426.6"/>
    <n v="0"/>
  </r>
  <r>
    <x v="31"/>
    <s v="17"/>
    <n v="53546"/>
    <n v="0"/>
  </r>
  <r>
    <x v="31"/>
    <s v="18"/>
    <n v="53635.4"/>
    <n v="0"/>
  </r>
  <r>
    <x v="31"/>
    <s v="19"/>
    <n v="54313.1"/>
    <n v="0"/>
  </r>
  <r>
    <x v="31"/>
    <s v="20"/>
    <n v="54413.8"/>
    <n v="0"/>
  </r>
  <r>
    <x v="31"/>
    <s v="21"/>
    <n v="54386.1"/>
    <n v="0"/>
  </r>
  <r>
    <x v="31"/>
    <s v="22"/>
    <n v="54358.9"/>
    <n v="0"/>
  </r>
  <r>
    <x v="31"/>
    <s v="23"/>
    <n v="54348.2"/>
    <n v="0"/>
  </r>
  <r>
    <x v="32"/>
    <s v="0"/>
    <n v="54457.5"/>
    <n v="0"/>
  </r>
  <r>
    <x v="32"/>
    <s v="1"/>
    <n v="54354.7"/>
    <n v="0"/>
  </r>
  <r>
    <x v="32"/>
    <s v="2"/>
    <n v="54576.7"/>
    <n v="0"/>
  </r>
  <r>
    <x v="32"/>
    <s v="3"/>
    <n v="52542.9"/>
    <n v="0"/>
  </r>
  <r>
    <x v="32"/>
    <s v="4"/>
    <n v="17381.400000000001"/>
    <n v="0"/>
  </r>
  <r>
    <x v="32"/>
    <s v="5"/>
    <n v="1546.8"/>
    <n v="552.70000000000005"/>
  </r>
  <r>
    <x v="32"/>
    <s v="6"/>
    <n v="5460.2"/>
    <n v="292.60000000000002"/>
  </r>
  <r>
    <x v="32"/>
    <s v="7"/>
    <n v="18359.5"/>
    <n v="0"/>
  </r>
  <r>
    <x v="32"/>
    <s v="8"/>
    <n v="44757.1"/>
    <n v="0"/>
  </r>
  <r>
    <x v="32"/>
    <s v="9"/>
    <n v="53262.3"/>
    <n v="0"/>
  </r>
  <r>
    <x v="32"/>
    <s v="10"/>
    <n v="53865.1"/>
    <n v="0"/>
  </r>
  <r>
    <x v="32"/>
    <s v="11"/>
    <n v="53434.8"/>
    <n v="0"/>
  </r>
  <r>
    <x v="32"/>
    <s v="12"/>
    <n v="53128.6"/>
    <n v="0"/>
  </r>
  <r>
    <x v="32"/>
    <s v="13"/>
    <n v="54013.599999999999"/>
    <n v="0"/>
  </r>
  <r>
    <x v="32"/>
    <s v="14"/>
    <n v="53744.7"/>
    <n v="0"/>
  </r>
  <r>
    <x v="32"/>
    <s v="15"/>
    <n v="53084.1"/>
    <n v="0"/>
  </r>
  <r>
    <x v="32"/>
    <s v="16"/>
    <n v="54114.6"/>
    <n v="0"/>
  </r>
  <r>
    <x v="32"/>
    <s v="17"/>
    <n v="54497.2"/>
    <n v="0"/>
  </r>
  <r>
    <x v="32"/>
    <s v="18"/>
    <n v="54574.8"/>
    <n v="0"/>
  </r>
  <r>
    <x v="32"/>
    <s v="19"/>
    <n v="53973"/>
    <n v="0"/>
  </r>
  <r>
    <x v="32"/>
    <s v="20"/>
    <n v="54168.6"/>
    <n v="0"/>
  </r>
  <r>
    <x v="32"/>
    <s v="21"/>
    <n v="54181.3"/>
    <n v="0"/>
  </r>
  <r>
    <x v="32"/>
    <s v="22"/>
    <n v="54197.2"/>
    <n v="0"/>
  </r>
  <r>
    <x v="32"/>
    <s v="23"/>
    <n v="54310.9"/>
    <n v="0"/>
  </r>
  <r>
    <x v="33"/>
    <s v="0"/>
    <n v="64315.7"/>
    <n v="0"/>
  </r>
  <r>
    <x v="33"/>
    <s v="1"/>
    <n v="62331.1"/>
    <n v="0"/>
  </r>
  <r>
    <x v="33"/>
    <s v="2"/>
    <n v="62553.3"/>
    <n v="0"/>
  </r>
  <r>
    <x v="33"/>
    <s v="3"/>
    <n v="62851.5"/>
    <n v="0"/>
  </r>
  <r>
    <x v="33"/>
    <s v="4"/>
    <n v="26418"/>
    <n v="0"/>
  </r>
  <r>
    <x v="33"/>
    <s v="5"/>
    <n v="1774.3"/>
    <n v="667.1"/>
  </r>
  <r>
    <x v="33"/>
    <s v="6"/>
    <n v="8447.9"/>
    <n v="310.8"/>
  </r>
  <r>
    <x v="33"/>
    <s v="7"/>
    <n v="17305.7"/>
    <n v="0"/>
  </r>
  <r>
    <x v="33"/>
    <s v="8"/>
    <n v="44375.199999999997"/>
    <n v="0"/>
  </r>
  <r>
    <x v="33"/>
    <s v="9"/>
    <n v="60286.7"/>
    <n v="0"/>
  </r>
  <r>
    <x v="33"/>
    <s v="10"/>
    <n v="62869.599999999999"/>
    <n v="0"/>
  </r>
  <r>
    <x v="33"/>
    <s v="11"/>
    <n v="62800.4"/>
    <n v="0"/>
  </r>
  <r>
    <x v="33"/>
    <s v="12"/>
    <n v="62720.4"/>
    <n v="0"/>
  </r>
  <r>
    <x v="33"/>
    <s v="13"/>
    <n v="62802.3"/>
    <n v="0"/>
  </r>
  <r>
    <x v="33"/>
    <s v="14"/>
    <n v="62747.5"/>
    <n v="0"/>
  </r>
  <r>
    <x v="33"/>
    <s v="15"/>
    <n v="62583.8"/>
    <n v="0"/>
  </r>
  <r>
    <x v="33"/>
    <s v="16"/>
    <n v="62752"/>
    <n v="0"/>
  </r>
  <r>
    <x v="33"/>
    <s v="17"/>
    <n v="62844.5"/>
    <n v="0"/>
  </r>
  <r>
    <x v="33"/>
    <s v="18"/>
    <n v="62777.2"/>
    <n v="0"/>
  </r>
  <r>
    <x v="33"/>
    <s v="19"/>
    <n v="62705.9"/>
    <n v="0"/>
  </r>
  <r>
    <x v="33"/>
    <s v="20"/>
    <n v="62738.5"/>
    <n v="0"/>
  </r>
  <r>
    <x v="33"/>
    <s v="21"/>
    <n v="62984.9"/>
    <n v="0"/>
  </r>
  <r>
    <x v="33"/>
    <s v="22"/>
    <n v="62747.3"/>
    <n v="0"/>
  </r>
  <r>
    <x v="33"/>
    <s v="23"/>
    <n v="62539.8"/>
    <n v="0"/>
  </r>
  <r>
    <x v="34"/>
    <s v="0"/>
    <n v="63140.5"/>
    <n v="0"/>
  </r>
  <r>
    <x v="34"/>
    <s v="1"/>
    <n v="63984.1"/>
    <n v="0"/>
  </r>
  <r>
    <x v="34"/>
    <s v="2"/>
    <n v="63677.599999999999"/>
    <n v="0"/>
  </r>
  <r>
    <x v="34"/>
    <s v="3"/>
    <n v="59812.3"/>
    <n v="0"/>
  </r>
  <r>
    <x v="34"/>
    <s v="4"/>
    <n v="25786.799999999999"/>
    <n v="0"/>
  </r>
  <r>
    <x v="34"/>
    <s v="5"/>
    <n v="2281"/>
    <n v="622.29999999999995"/>
  </r>
  <r>
    <x v="34"/>
    <s v="6"/>
    <n v="0"/>
    <n v="803.4"/>
  </r>
  <r>
    <x v="34"/>
    <s v="7"/>
    <n v="5510.7"/>
    <n v="491.8"/>
  </r>
  <r>
    <x v="34"/>
    <s v="8"/>
    <n v="17356.7"/>
    <n v="0"/>
  </r>
  <r>
    <x v="34"/>
    <s v="9"/>
    <n v="44903.9"/>
    <n v="0"/>
  </r>
  <r>
    <x v="34"/>
    <s v="10"/>
    <n v="60029"/>
    <n v="0"/>
  </r>
  <r>
    <x v="34"/>
    <s v="11"/>
    <n v="63987.1"/>
    <n v="0"/>
  </r>
  <r>
    <x v="34"/>
    <s v="12"/>
    <n v="63782.2"/>
    <n v="0"/>
  </r>
  <r>
    <x v="34"/>
    <s v="13"/>
    <n v="63897.9"/>
    <n v="0"/>
  </r>
  <r>
    <x v="34"/>
    <s v="14"/>
    <n v="64091.4"/>
    <n v="0"/>
  </r>
  <r>
    <x v="34"/>
    <s v="15"/>
    <n v="64017.4"/>
    <n v="0"/>
  </r>
  <r>
    <x v="34"/>
    <s v="16"/>
    <n v="63978.6"/>
    <n v="0"/>
  </r>
  <r>
    <x v="34"/>
    <s v="17"/>
    <n v="64057.599999999999"/>
    <n v="0"/>
  </r>
  <r>
    <x v="34"/>
    <s v="18"/>
    <n v="63834.400000000001"/>
    <n v="0"/>
  </r>
  <r>
    <x v="34"/>
    <s v="19"/>
    <n v="63985.1"/>
    <n v="0"/>
  </r>
  <r>
    <x v="34"/>
    <s v="20"/>
    <n v="63969.7"/>
    <n v="0"/>
  </r>
  <r>
    <x v="34"/>
    <s v="21"/>
    <n v="64179.6"/>
    <n v="0"/>
  </r>
  <r>
    <x v="34"/>
    <s v="22"/>
    <n v="63696.9"/>
    <n v="0"/>
  </r>
  <r>
    <x v="34"/>
    <s v="23"/>
    <n v="63232.6"/>
    <n v="0"/>
  </r>
  <r>
    <x v="35"/>
    <s v="0"/>
    <n v="63022.8"/>
    <n v="0"/>
  </r>
  <r>
    <x v="35"/>
    <s v="1"/>
    <n v="63143.9"/>
    <n v="0"/>
  </r>
  <r>
    <x v="35"/>
    <s v="2"/>
    <n v="60790.9"/>
    <n v="0"/>
  </r>
  <r>
    <x v="35"/>
    <s v="3"/>
    <n v="26019.3"/>
    <n v="0"/>
  </r>
  <r>
    <x v="35"/>
    <s v="4"/>
    <n v="1022.6"/>
    <n v="330.4"/>
  </r>
  <r>
    <x v="35"/>
    <s v="5"/>
    <n v="0"/>
    <n v="225.1"/>
  </r>
  <r>
    <x v="35"/>
    <s v="6"/>
    <n v="0"/>
    <n v="227.6"/>
  </r>
  <r>
    <x v="35"/>
    <s v="7"/>
    <n v="0"/>
    <n v="244.4"/>
  </r>
  <r>
    <x v="35"/>
    <s v="8"/>
    <n v="0"/>
    <n v="534.6"/>
  </r>
  <r>
    <x v="35"/>
    <s v="9"/>
    <n v="5129.5"/>
    <n v="366.4"/>
  </r>
  <r>
    <x v="35"/>
    <s v="10"/>
    <n v="17191.7"/>
    <n v="0"/>
  </r>
  <r>
    <x v="35"/>
    <s v="11"/>
    <n v="42428.1"/>
    <n v="0"/>
  </r>
  <r>
    <x v="35"/>
    <s v="12"/>
    <n v="60705.5"/>
    <n v="0"/>
  </r>
  <r>
    <x v="35"/>
    <s v="13"/>
    <n v="64083.3"/>
    <n v="0"/>
  </r>
  <r>
    <x v="35"/>
    <s v="14"/>
    <n v="64187.199999999997"/>
    <n v="0"/>
  </r>
  <r>
    <x v="35"/>
    <s v="15"/>
    <n v="64025.1"/>
    <n v="0"/>
  </r>
  <r>
    <x v="35"/>
    <s v="16"/>
    <n v="64104.5"/>
    <n v="0"/>
  </r>
  <r>
    <x v="35"/>
    <s v="17"/>
    <n v="64130.5"/>
    <n v="0"/>
  </r>
  <r>
    <x v="35"/>
    <s v="18"/>
    <n v="64125.5"/>
    <n v="0"/>
  </r>
  <r>
    <x v="35"/>
    <s v="19"/>
    <n v="64128.7"/>
    <n v="0"/>
  </r>
  <r>
    <x v="35"/>
    <s v="20"/>
    <n v="63995.9"/>
    <n v="0"/>
  </r>
  <r>
    <x v="35"/>
    <s v="21"/>
    <n v="63909.7"/>
    <n v="0"/>
  </r>
  <r>
    <x v="35"/>
    <s v="22"/>
    <n v="64075.1"/>
    <n v="0"/>
  </r>
  <r>
    <x v="35"/>
    <s v="23"/>
    <n v="63037.9"/>
    <n v="0"/>
  </r>
  <r>
    <x v="36"/>
    <s v="0"/>
    <n v="63346.5"/>
    <n v="0"/>
  </r>
  <r>
    <x v="36"/>
    <s v="1"/>
    <n v="64101.2"/>
    <n v="0"/>
  </r>
  <r>
    <x v="36"/>
    <s v="2"/>
    <n v="59856.5"/>
    <n v="0"/>
  </r>
  <r>
    <x v="36"/>
    <s v="3"/>
    <n v="25740.6"/>
    <n v="0"/>
  </r>
  <r>
    <x v="36"/>
    <s v="4"/>
    <n v="3098"/>
    <n v="501.5"/>
  </r>
  <r>
    <x v="36"/>
    <s v="5"/>
    <n v="0"/>
    <n v="582.6"/>
  </r>
  <r>
    <x v="36"/>
    <s v="6"/>
    <n v="8199.9"/>
    <n v="244.2"/>
  </r>
  <r>
    <x v="36"/>
    <s v="7"/>
    <n v="16842.5"/>
    <n v="0"/>
  </r>
  <r>
    <x v="36"/>
    <s v="8"/>
    <n v="43771.3"/>
    <n v="0"/>
  </r>
  <r>
    <x v="36"/>
    <s v="9"/>
    <n v="61220"/>
    <n v="0"/>
  </r>
  <r>
    <x v="36"/>
    <s v="10"/>
    <n v="63334.3"/>
    <n v="0"/>
  </r>
  <r>
    <x v="36"/>
    <s v="11"/>
    <n v="63450.5"/>
    <n v="0"/>
  </r>
  <r>
    <x v="36"/>
    <s v="12"/>
    <n v="63917.4"/>
    <n v="0"/>
  </r>
  <r>
    <x v="36"/>
    <s v="13"/>
    <n v="63778.7"/>
    <n v="0"/>
  </r>
  <r>
    <x v="36"/>
    <s v="14"/>
    <n v="63854.2"/>
    <n v="0"/>
  </r>
  <r>
    <x v="36"/>
    <s v="15"/>
    <n v="64199.7"/>
    <n v="0"/>
  </r>
  <r>
    <x v="36"/>
    <s v="16"/>
    <n v="64985.1"/>
    <n v="0"/>
  </r>
  <r>
    <x v="36"/>
    <s v="17"/>
    <n v="64860.9"/>
    <n v="0"/>
  </r>
  <r>
    <x v="36"/>
    <s v="18"/>
    <n v="63665.8"/>
    <n v="0"/>
  </r>
  <r>
    <x v="36"/>
    <s v="19"/>
    <n v="63652.800000000003"/>
    <n v="0"/>
  </r>
  <r>
    <x v="36"/>
    <s v="20"/>
    <n v="63696.1"/>
    <n v="0"/>
  </r>
  <r>
    <x v="36"/>
    <s v="21"/>
    <n v="64401.7"/>
    <n v="0"/>
  </r>
  <r>
    <x v="36"/>
    <s v="22"/>
    <n v="63412.1"/>
    <n v="0"/>
  </r>
  <r>
    <x v="36"/>
    <s v="23"/>
    <n v="63382.1"/>
    <n v="0"/>
  </r>
  <r>
    <x v="37"/>
    <s v="0"/>
    <n v="63506.400000000001"/>
    <n v="0"/>
  </r>
  <r>
    <x v="37"/>
    <s v="1"/>
    <n v="63224.9"/>
    <n v="0"/>
  </r>
  <r>
    <x v="37"/>
    <s v="2"/>
    <n v="63017.2"/>
    <n v="0"/>
  </r>
  <r>
    <x v="37"/>
    <s v="3"/>
    <n v="63433.5"/>
    <n v="0"/>
  </r>
  <r>
    <x v="37"/>
    <s v="4"/>
    <n v="63627"/>
    <n v="0"/>
  </r>
  <r>
    <x v="37"/>
    <s v="5"/>
    <n v="63447.5"/>
    <n v="0"/>
  </r>
  <r>
    <x v="37"/>
    <s v="6"/>
    <n v="63440.9"/>
    <n v="0"/>
  </r>
  <r>
    <x v="37"/>
    <s v="7"/>
    <n v="63534"/>
    <n v="0"/>
  </r>
  <r>
    <x v="37"/>
    <s v="8"/>
    <n v="63410.2"/>
    <n v="0"/>
  </r>
  <r>
    <x v="37"/>
    <s v="9"/>
    <n v="63605.1"/>
    <n v="0"/>
  </r>
  <r>
    <x v="37"/>
    <s v="10"/>
    <n v="63784.9"/>
    <n v="0"/>
  </r>
  <r>
    <x v="37"/>
    <s v="11"/>
    <n v="64886.1"/>
    <n v="0"/>
  </r>
  <r>
    <x v="37"/>
    <s v="12"/>
    <n v="64721.8"/>
    <n v="0"/>
  </r>
  <r>
    <x v="37"/>
    <s v="13"/>
    <n v="64923.5"/>
    <n v="0"/>
  </r>
  <r>
    <x v="37"/>
    <s v="14"/>
    <n v="63529.1"/>
    <n v="0"/>
  </r>
  <r>
    <x v="37"/>
    <s v="15"/>
    <n v="61840.4"/>
    <n v="0"/>
  </r>
  <r>
    <x v="37"/>
    <s v="16"/>
    <n v="62157.3"/>
    <n v="0"/>
  </r>
  <r>
    <x v="37"/>
    <s v="17"/>
    <n v="62774.5"/>
    <n v="0"/>
  </r>
  <r>
    <x v="37"/>
    <s v="18"/>
    <n v="63614.3"/>
    <n v="0"/>
  </r>
  <r>
    <x v="37"/>
    <s v="19"/>
    <n v="63655.4"/>
    <n v="0"/>
  </r>
  <r>
    <x v="37"/>
    <s v="20"/>
    <n v="63613.9"/>
    <n v="0"/>
  </r>
  <r>
    <x v="37"/>
    <s v="21"/>
    <n v="63659.6"/>
    <n v="0"/>
  </r>
  <r>
    <x v="37"/>
    <s v="22"/>
    <n v="63583.8"/>
    <n v="0"/>
  </r>
  <r>
    <x v="37"/>
    <s v="23"/>
    <n v="63629.599999999999"/>
    <n v="0"/>
  </r>
  <r>
    <x v="38"/>
    <s v="0"/>
    <n v="63306.1"/>
    <n v="0"/>
  </r>
  <r>
    <x v="38"/>
    <s v="1"/>
    <n v="63930.1"/>
    <n v="0"/>
  </r>
  <r>
    <x v="38"/>
    <s v="2"/>
    <n v="63598.1"/>
    <n v="0"/>
  </r>
  <r>
    <x v="38"/>
    <s v="3"/>
    <n v="63555.4"/>
    <n v="0"/>
  </r>
  <r>
    <x v="38"/>
    <s v="4"/>
    <n v="63688.7"/>
    <n v="0"/>
  </r>
  <r>
    <x v="38"/>
    <s v="5"/>
    <n v="64159.3"/>
    <n v="0"/>
  </r>
  <r>
    <x v="38"/>
    <s v="6"/>
    <n v="63535.6"/>
    <n v="0"/>
  </r>
  <r>
    <x v="38"/>
    <s v="7"/>
    <n v="63656.1"/>
    <n v="0"/>
  </r>
  <r>
    <x v="38"/>
    <s v="8"/>
    <n v="63575.4"/>
    <n v="0"/>
  </r>
  <r>
    <x v="38"/>
    <s v="9"/>
    <n v="63663.7"/>
    <n v="0"/>
  </r>
  <r>
    <x v="38"/>
    <s v="10"/>
    <n v="63076.4"/>
    <n v="0"/>
  </r>
  <r>
    <x v="38"/>
    <s v="11"/>
    <n v="63102.400000000001"/>
    <n v="0"/>
  </r>
  <r>
    <x v="38"/>
    <s v="12"/>
    <n v="63281.5"/>
    <n v="0"/>
  </r>
  <r>
    <x v="38"/>
    <s v="13"/>
    <n v="63036.6"/>
    <n v="0"/>
  </r>
  <r>
    <x v="38"/>
    <s v="14"/>
    <n v="63152.800000000003"/>
    <n v="0"/>
  </r>
  <r>
    <x v="38"/>
    <s v="15"/>
    <n v="63921.1"/>
    <n v="0"/>
  </r>
  <r>
    <x v="38"/>
    <s v="16"/>
    <n v="63793"/>
    <n v="0"/>
  </r>
  <r>
    <x v="38"/>
    <s v="17"/>
    <n v="63794.3"/>
    <n v="0"/>
  </r>
  <r>
    <x v="38"/>
    <s v="18"/>
    <n v="63757.5"/>
    <n v="0"/>
  </r>
  <r>
    <x v="38"/>
    <s v="19"/>
    <n v="63783.8"/>
    <n v="0"/>
  </r>
  <r>
    <x v="38"/>
    <s v="20"/>
    <n v="63791.9"/>
    <n v="0"/>
  </r>
  <r>
    <x v="38"/>
    <s v="21"/>
    <n v="63743.7"/>
    <n v="0"/>
  </r>
  <r>
    <x v="38"/>
    <s v="22"/>
    <n v="63834.7"/>
    <n v="0"/>
  </r>
  <r>
    <x v="38"/>
    <s v="23"/>
    <n v="63949.3"/>
    <n v="0"/>
  </r>
  <r>
    <x v="39"/>
    <s v="0"/>
    <n v="63612.3"/>
    <n v="0"/>
  </r>
  <r>
    <x v="39"/>
    <s v="1"/>
    <n v="63919.4"/>
    <n v="0"/>
  </r>
  <r>
    <x v="39"/>
    <s v="2"/>
    <n v="63758.6"/>
    <n v="0"/>
  </r>
  <r>
    <x v="39"/>
    <s v="3"/>
    <n v="63778.3"/>
    <n v="0"/>
  </r>
  <r>
    <x v="39"/>
    <s v="4"/>
    <n v="64642.9"/>
    <n v="0"/>
  </r>
  <r>
    <x v="39"/>
    <s v="5"/>
    <n v="63677.9"/>
    <n v="0"/>
  </r>
  <r>
    <x v="39"/>
    <s v="6"/>
    <n v="64043.6"/>
    <n v="0"/>
  </r>
  <r>
    <x v="39"/>
    <s v="7"/>
    <n v="64136.1"/>
    <n v="0"/>
  </r>
  <r>
    <x v="39"/>
    <s v="8"/>
    <n v="64008.9"/>
    <n v="0"/>
  </r>
  <r>
    <x v="39"/>
    <s v="9"/>
    <n v="64279.4"/>
    <n v="0"/>
  </r>
  <r>
    <x v="39"/>
    <s v="10"/>
    <n v="64073.2"/>
    <n v="0"/>
  </r>
  <r>
    <x v="39"/>
    <s v="11"/>
    <n v="63977.5"/>
    <n v="0"/>
  </r>
  <r>
    <x v="39"/>
    <s v="12"/>
    <n v="63957.1"/>
    <n v="0"/>
  </r>
  <r>
    <x v="39"/>
    <s v="13"/>
    <n v="63972.1"/>
    <n v="0"/>
  </r>
  <r>
    <x v="39"/>
    <s v="14"/>
    <n v="63938.3"/>
    <n v="0"/>
  </r>
  <r>
    <x v="39"/>
    <s v="15"/>
    <n v="63923"/>
    <n v="0"/>
  </r>
  <r>
    <x v="39"/>
    <s v="16"/>
    <n v="64043.3"/>
    <n v="0"/>
  </r>
  <r>
    <x v="39"/>
    <s v="17"/>
    <n v="63898.6"/>
    <n v="0"/>
  </r>
  <r>
    <x v="39"/>
    <s v="18"/>
    <n v="63831.3"/>
    <n v="0"/>
  </r>
  <r>
    <x v="39"/>
    <s v="19"/>
    <n v="63798.1"/>
    <n v="0"/>
  </r>
  <r>
    <x v="39"/>
    <s v="20"/>
    <n v="64013.3"/>
    <n v="0"/>
  </r>
  <r>
    <x v="39"/>
    <s v="21"/>
    <n v="63842.3"/>
    <n v="0"/>
  </r>
  <r>
    <x v="39"/>
    <s v="22"/>
    <n v="63705.2"/>
    <n v="0"/>
  </r>
  <r>
    <x v="39"/>
    <s v="23"/>
    <n v="64049.1"/>
    <n v="0"/>
  </r>
  <r>
    <x v="40"/>
    <s v="0"/>
    <n v="63866.5"/>
    <n v="0"/>
  </r>
  <r>
    <x v="40"/>
    <s v="1"/>
    <n v="63881.599999999999"/>
    <n v="0"/>
  </r>
  <r>
    <x v="40"/>
    <s v="2"/>
    <n v="64007.4"/>
    <n v="0"/>
  </r>
  <r>
    <x v="40"/>
    <s v="3"/>
    <n v="63905.599999999999"/>
    <n v="0"/>
  </r>
  <r>
    <x v="40"/>
    <s v="4"/>
    <n v="64009.599999999999"/>
    <n v="0"/>
  </r>
  <r>
    <x v="40"/>
    <s v="5"/>
    <n v="62932"/>
    <n v="0"/>
  </r>
  <r>
    <x v="40"/>
    <s v="6"/>
    <n v="63778.2"/>
    <n v="0"/>
  </r>
  <r>
    <x v="40"/>
    <s v="7"/>
    <n v="63604.1"/>
    <n v="0"/>
  </r>
  <r>
    <x v="40"/>
    <s v="8"/>
    <n v="63297.1"/>
    <n v="0"/>
  </r>
  <r>
    <x v="40"/>
    <s v="9"/>
    <n v="64027.3"/>
    <n v="0"/>
  </r>
  <r>
    <x v="40"/>
    <s v="10"/>
    <n v="63851.1"/>
    <n v="0"/>
  </r>
  <r>
    <x v="40"/>
    <s v="11"/>
    <n v="63760"/>
    <n v="0"/>
  </r>
  <r>
    <x v="40"/>
    <s v="12"/>
    <n v="63810.7"/>
    <n v="0"/>
  </r>
  <r>
    <x v="40"/>
    <s v="13"/>
    <n v="63860.2"/>
    <n v="0"/>
  </r>
  <r>
    <x v="40"/>
    <s v="14"/>
    <n v="63819.7"/>
    <n v="0"/>
  </r>
  <r>
    <x v="40"/>
    <s v="15"/>
    <n v="63797.9"/>
    <n v="0"/>
  </r>
  <r>
    <x v="40"/>
    <s v="16"/>
    <n v="63783.7"/>
    <n v="0"/>
  </r>
  <r>
    <x v="40"/>
    <s v="17"/>
    <n v="63866"/>
    <n v="0"/>
  </r>
  <r>
    <x v="40"/>
    <s v="18"/>
    <n v="63935.3"/>
    <n v="0"/>
  </r>
  <r>
    <x v="40"/>
    <s v="19"/>
    <n v="63733.5"/>
    <n v="0"/>
  </r>
  <r>
    <x v="40"/>
    <s v="20"/>
    <n v="63698.8"/>
    <n v="0"/>
  </r>
  <r>
    <x v="40"/>
    <s v="21"/>
    <n v="63619.7"/>
    <n v="0"/>
  </r>
  <r>
    <x v="40"/>
    <s v="22"/>
    <n v="63693"/>
    <n v="0"/>
  </r>
  <r>
    <x v="40"/>
    <s v="23"/>
    <n v="63852.5"/>
    <n v="0"/>
  </r>
  <r>
    <x v="41"/>
    <s v="0"/>
    <n v="63638.8"/>
    <n v="0"/>
  </r>
  <r>
    <x v="41"/>
    <s v="1"/>
    <n v="63907.5"/>
    <n v="0"/>
  </r>
  <r>
    <x v="41"/>
    <s v="2"/>
    <n v="63804.5"/>
    <n v="0"/>
  </r>
  <r>
    <x v="41"/>
    <s v="3"/>
    <n v="63834.400000000001"/>
    <n v="0"/>
  </r>
  <r>
    <x v="41"/>
    <s v="4"/>
    <n v="64312.5"/>
    <n v="0"/>
  </r>
  <r>
    <x v="41"/>
    <s v="5"/>
    <n v="63073.3"/>
    <n v="0"/>
  </r>
  <r>
    <x v="41"/>
    <s v="6"/>
    <n v="63225"/>
    <n v="0"/>
  </r>
  <r>
    <x v="41"/>
    <s v="7"/>
    <n v="63241.599999999999"/>
    <n v="0"/>
  </r>
  <r>
    <x v="41"/>
    <s v="8"/>
    <n v="62760.1"/>
    <n v="0"/>
  </r>
  <r>
    <x v="41"/>
    <s v="9"/>
    <n v="63270"/>
    <n v="0"/>
  </r>
  <r>
    <x v="41"/>
    <s v="10"/>
    <n v="62703.8"/>
    <n v="0"/>
  </r>
  <r>
    <x v="41"/>
    <s v="11"/>
    <n v="63212.9"/>
    <n v="0"/>
  </r>
  <r>
    <x v="41"/>
    <s v="12"/>
    <n v="63161.1"/>
    <n v="0"/>
  </r>
  <r>
    <x v="41"/>
    <s v="13"/>
    <n v="63151"/>
    <n v="0"/>
  </r>
  <r>
    <x v="41"/>
    <s v="14"/>
    <n v="63262.8"/>
    <n v="0"/>
  </r>
  <r>
    <x v="41"/>
    <s v="15"/>
    <n v="63263.1"/>
    <n v="0"/>
  </r>
  <r>
    <x v="41"/>
    <s v="16"/>
    <n v="63115.8"/>
    <n v="0"/>
  </r>
  <r>
    <x v="41"/>
    <s v="17"/>
    <n v="63190.9"/>
    <n v="0"/>
  </r>
  <r>
    <x v="41"/>
    <s v="18"/>
    <n v="63117.3"/>
    <n v="0"/>
  </r>
  <r>
    <x v="41"/>
    <s v="19"/>
    <n v="63034.2"/>
    <n v="0"/>
  </r>
  <r>
    <x v="41"/>
    <s v="20"/>
    <n v="63147.3"/>
    <n v="0"/>
  </r>
  <r>
    <x v="41"/>
    <s v="21"/>
    <n v="63177.599999999999"/>
    <n v="0"/>
  </r>
  <r>
    <x v="41"/>
    <s v="22"/>
    <n v="63124.5"/>
    <n v="0"/>
  </r>
  <r>
    <x v="41"/>
    <s v="23"/>
    <n v="63061.4"/>
    <n v="0"/>
  </r>
  <r>
    <x v="42"/>
    <s v="0"/>
    <n v="63054.1"/>
    <n v="0"/>
  </r>
  <r>
    <x v="42"/>
    <s v="1"/>
    <n v="63101.3"/>
    <n v="0"/>
  </r>
  <r>
    <x v="42"/>
    <s v="2"/>
    <n v="63149.7"/>
    <n v="0"/>
  </r>
  <r>
    <x v="42"/>
    <s v="3"/>
    <n v="63085.1"/>
    <n v="0"/>
  </r>
  <r>
    <x v="42"/>
    <s v="4"/>
    <n v="63247.199999999997"/>
    <n v="0"/>
  </r>
  <r>
    <x v="42"/>
    <s v="5"/>
    <n v="64498.1"/>
    <n v="0"/>
  </r>
  <r>
    <x v="42"/>
    <s v="6"/>
    <n v="64149.8"/>
    <n v="0"/>
  </r>
  <r>
    <x v="42"/>
    <s v="7"/>
    <n v="64279"/>
    <n v="0"/>
  </r>
  <r>
    <x v="42"/>
    <s v="8"/>
    <n v="64246.7"/>
    <n v="0"/>
  </r>
  <r>
    <x v="42"/>
    <s v="9"/>
    <n v="64159.7"/>
    <n v="0"/>
  </r>
  <r>
    <x v="42"/>
    <s v="10"/>
    <n v="64785.3"/>
    <n v="0"/>
  </r>
  <r>
    <x v="42"/>
    <s v="11"/>
    <n v="64279.5"/>
    <n v="0"/>
  </r>
  <r>
    <x v="42"/>
    <s v="12"/>
    <n v="64287.1"/>
    <n v="0"/>
  </r>
  <r>
    <x v="42"/>
    <s v="13"/>
    <n v="64286.8"/>
    <n v="0"/>
  </r>
  <r>
    <x v="42"/>
    <s v="14"/>
    <n v="64243.5"/>
    <n v="0"/>
  </r>
  <r>
    <x v="42"/>
    <s v="15"/>
    <n v="64320.1"/>
    <n v="0"/>
  </r>
  <r>
    <x v="42"/>
    <s v="16"/>
    <n v="63778.9"/>
    <n v="0"/>
  </r>
  <r>
    <x v="42"/>
    <s v="17"/>
    <n v="63806.1"/>
    <n v="0"/>
  </r>
  <r>
    <x v="42"/>
    <s v="18"/>
    <n v="63543.5"/>
    <n v="0"/>
  </r>
  <r>
    <x v="42"/>
    <s v="19"/>
    <n v="63758.8"/>
    <n v="0"/>
  </r>
  <r>
    <x v="42"/>
    <s v="20"/>
    <n v="63864.6"/>
    <n v="0"/>
  </r>
  <r>
    <x v="42"/>
    <s v="21"/>
    <n v="63734"/>
    <n v="0"/>
  </r>
  <r>
    <x v="42"/>
    <s v="22"/>
    <n v="63668.4"/>
    <n v="0"/>
  </r>
  <r>
    <x v="42"/>
    <s v="23"/>
    <n v="63866.6"/>
    <n v="0"/>
  </r>
  <r>
    <x v="43"/>
    <s v="0"/>
    <n v="63619.3"/>
    <n v="0"/>
  </r>
  <r>
    <x v="43"/>
    <s v="1"/>
    <n v="63774.7"/>
    <n v="0"/>
  </r>
  <r>
    <x v="43"/>
    <s v="2"/>
    <n v="63956.6"/>
    <n v="0"/>
  </r>
  <r>
    <x v="43"/>
    <s v="3"/>
    <n v="63833.1"/>
    <n v="0"/>
  </r>
  <r>
    <x v="43"/>
    <s v="4"/>
    <n v="63986.9"/>
    <n v="0"/>
  </r>
  <r>
    <x v="43"/>
    <s v="5"/>
    <n v="63706.2"/>
    <n v="0"/>
  </r>
  <r>
    <x v="43"/>
    <s v="6"/>
    <n v="63545"/>
    <n v="0"/>
  </r>
  <r>
    <x v="43"/>
    <s v="7"/>
    <n v="63618.5"/>
    <n v="0"/>
  </r>
  <r>
    <x v="43"/>
    <s v="8"/>
    <n v="63529.4"/>
    <n v="0"/>
  </r>
  <r>
    <x v="43"/>
    <s v="9"/>
    <n v="61489.1"/>
    <n v="0"/>
  </r>
  <r>
    <x v="43"/>
    <s v="10"/>
    <n v="61750.400000000001"/>
    <n v="0"/>
  </r>
  <r>
    <x v="43"/>
    <s v="11"/>
    <n v="61642.3"/>
    <n v="0"/>
  </r>
  <r>
    <x v="43"/>
    <s v="12"/>
    <n v="61536.1"/>
    <n v="0"/>
  </r>
  <r>
    <x v="43"/>
    <s v="13"/>
    <n v="61566.3"/>
    <n v="0"/>
  </r>
  <r>
    <x v="43"/>
    <s v="14"/>
    <n v="61444.800000000003"/>
    <n v="0"/>
  </r>
  <r>
    <x v="43"/>
    <s v="15"/>
    <n v="61433.2"/>
    <n v="0"/>
  </r>
  <r>
    <x v="43"/>
    <s v="16"/>
    <n v="61619.4"/>
    <n v="0"/>
  </r>
  <r>
    <x v="43"/>
    <s v="17"/>
    <n v="61413.3"/>
    <n v="0"/>
  </r>
  <r>
    <x v="43"/>
    <s v="18"/>
    <n v="62106.1"/>
    <n v="0"/>
  </r>
  <r>
    <x v="43"/>
    <s v="19"/>
    <n v="62404.6"/>
    <n v="0"/>
  </r>
  <r>
    <x v="43"/>
    <s v="20"/>
    <n v="62311.7"/>
    <n v="0"/>
  </r>
  <r>
    <x v="43"/>
    <s v="21"/>
    <n v="62173.7"/>
    <n v="0"/>
  </r>
  <r>
    <x v="43"/>
    <s v="22"/>
    <n v="62512.9"/>
    <n v="0"/>
  </r>
  <r>
    <x v="43"/>
    <s v="23"/>
    <n v="63104.800000000003"/>
    <n v="0"/>
  </r>
  <r>
    <x v="44"/>
    <s v="0"/>
    <n v="63820.1"/>
    <n v="0"/>
  </r>
  <r>
    <x v="44"/>
    <s v="1"/>
    <n v="63917.2"/>
    <n v="0"/>
  </r>
  <r>
    <x v="44"/>
    <s v="2"/>
    <n v="63868.800000000003"/>
    <n v="0"/>
  </r>
  <r>
    <x v="44"/>
    <s v="3"/>
    <n v="63742.400000000001"/>
    <n v="0"/>
  </r>
  <r>
    <x v="44"/>
    <s v="4"/>
    <n v="64129.3"/>
    <n v="0"/>
  </r>
  <r>
    <x v="44"/>
    <s v="5"/>
    <n v="60089"/>
    <n v="0"/>
  </r>
  <r>
    <x v="44"/>
    <s v="6"/>
    <n v="60088.7"/>
    <n v="0"/>
  </r>
  <r>
    <x v="44"/>
    <s v="7"/>
    <n v="59932.3"/>
    <n v="0"/>
  </r>
  <r>
    <x v="44"/>
    <s v="8"/>
    <n v="60196.1"/>
    <n v="0"/>
  </r>
  <r>
    <x v="44"/>
    <s v="9"/>
    <n v="60544.1"/>
    <n v="0"/>
  </r>
  <r>
    <x v="44"/>
    <s v="10"/>
    <n v="62636.3"/>
    <n v="0"/>
  </r>
  <r>
    <x v="44"/>
    <s v="11"/>
    <n v="62038.1"/>
    <n v="0"/>
  </r>
  <r>
    <x v="44"/>
    <s v="12"/>
    <n v="61953.9"/>
    <n v="0"/>
  </r>
  <r>
    <x v="44"/>
    <s v="13"/>
    <n v="62659.3"/>
    <n v="0"/>
  </r>
  <r>
    <x v="44"/>
    <s v="14"/>
    <n v="63290.1"/>
    <n v="0"/>
  </r>
  <r>
    <x v="44"/>
    <s v="15"/>
    <n v="63416.1"/>
    <n v="0"/>
  </r>
  <r>
    <x v="44"/>
    <s v="16"/>
    <n v="63446.5"/>
    <n v="0"/>
  </r>
  <r>
    <x v="44"/>
    <s v="17"/>
    <n v="63389.8"/>
    <n v="0"/>
  </r>
  <r>
    <x v="44"/>
    <s v="18"/>
    <n v="63408.2"/>
    <n v="0"/>
  </r>
  <r>
    <x v="44"/>
    <s v="19"/>
    <n v="63308.7"/>
    <n v="0"/>
  </r>
  <r>
    <x v="44"/>
    <s v="20"/>
    <n v="63250.8"/>
    <n v="0"/>
  </r>
  <r>
    <x v="44"/>
    <s v="21"/>
    <n v="63265.8"/>
    <n v="0"/>
  </r>
  <r>
    <x v="44"/>
    <s v="22"/>
    <n v="63308.1"/>
    <n v="0"/>
  </r>
  <r>
    <x v="44"/>
    <s v="23"/>
    <n v="64551.8"/>
    <n v="0"/>
  </r>
  <r>
    <x v="45"/>
    <s v="0"/>
    <n v="65765.7"/>
    <n v="0"/>
  </r>
  <r>
    <x v="45"/>
    <s v="1"/>
    <n v="63337.1"/>
    <n v="0"/>
  </r>
  <r>
    <x v="45"/>
    <s v="2"/>
    <n v="63284.9"/>
    <n v="0"/>
  </r>
  <r>
    <x v="45"/>
    <s v="3"/>
    <n v="63281"/>
    <n v="0"/>
  </r>
  <r>
    <x v="45"/>
    <s v="4"/>
    <n v="63469.1"/>
    <n v="0"/>
  </r>
  <r>
    <x v="45"/>
    <s v="5"/>
    <n v="59518.2"/>
    <n v="0"/>
  </r>
  <r>
    <x v="45"/>
    <s v="6"/>
    <n v="59984.6"/>
    <n v="0"/>
  </r>
  <r>
    <x v="45"/>
    <s v="7"/>
    <n v="59943.199999999997"/>
    <n v="0"/>
  </r>
  <r>
    <x v="45"/>
    <s v="8"/>
    <n v="59860.6"/>
    <n v="0"/>
  </r>
  <r>
    <x v="45"/>
    <s v="9"/>
    <n v="61768.800000000003"/>
    <n v="0"/>
  </r>
  <r>
    <x v="45"/>
    <s v="10"/>
    <n v="64938"/>
    <n v="0"/>
  </r>
  <r>
    <x v="45"/>
    <s v="11"/>
    <n v="63069.3"/>
    <n v="0"/>
  </r>
  <r>
    <x v="45"/>
    <s v="12"/>
    <n v="63344.4"/>
    <n v="0"/>
  </r>
  <r>
    <x v="45"/>
    <s v="13"/>
    <n v="63402.6"/>
    <n v="0"/>
  </r>
  <r>
    <x v="45"/>
    <s v="14"/>
    <n v="63332.7"/>
    <n v="0"/>
  </r>
  <r>
    <x v="45"/>
    <s v="15"/>
    <n v="63359.3"/>
    <n v="0"/>
  </r>
  <r>
    <x v="45"/>
    <s v="16"/>
    <n v="63367"/>
    <n v="0"/>
  </r>
  <r>
    <x v="45"/>
    <s v="17"/>
    <n v="64114.2"/>
    <n v="0"/>
  </r>
  <r>
    <x v="45"/>
    <s v="18"/>
    <n v="64053.1"/>
    <n v="0"/>
  </r>
  <r>
    <x v="45"/>
    <s v="19"/>
    <n v="64274.1"/>
    <n v="0"/>
  </r>
  <r>
    <x v="45"/>
    <s v="20"/>
    <n v="64011.6"/>
    <n v="0"/>
  </r>
  <r>
    <x v="45"/>
    <s v="21"/>
    <n v="63804.7"/>
    <n v="0"/>
  </r>
  <r>
    <x v="45"/>
    <s v="22"/>
    <n v="63912.2"/>
    <n v="0"/>
  </r>
  <r>
    <x v="45"/>
    <s v="23"/>
    <n v="64194.3"/>
    <n v="0"/>
  </r>
  <r>
    <x v="46"/>
    <s v="0"/>
    <n v="54034.5"/>
    <n v="0"/>
  </r>
  <r>
    <x v="46"/>
    <s v="1"/>
    <n v="53903.8"/>
    <n v="0"/>
  </r>
  <r>
    <x v="46"/>
    <s v="2"/>
    <n v="53717.9"/>
    <n v="0"/>
  </r>
  <r>
    <x v="46"/>
    <s v="3"/>
    <n v="54017.2"/>
    <n v="0"/>
  </r>
  <r>
    <x v="46"/>
    <s v="4"/>
    <n v="53964.800000000003"/>
    <n v="0"/>
  </r>
  <r>
    <x v="46"/>
    <s v="5"/>
    <n v="53975.3"/>
    <n v="0"/>
  </r>
  <r>
    <x v="46"/>
    <s v="6"/>
    <n v="54029.5"/>
    <n v="0"/>
  </r>
  <r>
    <x v="46"/>
    <s v="7"/>
    <n v="53979.3"/>
    <n v="0"/>
  </r>
  <r>
    <x v="46"/>
    <s v="8"/>
    <n v="54200.6"/>
    <n v="0"/>
  </r>
  <r>
    <x v="46"/>
    <s v="9"/>
    <n v="54794.1"/>
    <n v="0"/>
  </r>
  <r>
    <x v="46"/>
    <s v="10"/>
    <n v="54638.400000000001"/>
    <n v="0"/>
  </r>
  <r>
    <x v="46"/>
    <s v="11"/>
    <n v="54466.6"/>
    <n v="0"/>
  </r>
  <r>
    <x v="46"/>
    <s v="12"/>
    <n v="54611"/>
    <n v="0"/>
  </r>
  <r>
    <x v="46"/>
    <s v="13"/>
    <n v="54677.1"/>
    <n v="0"/>
  </r>
  <r>
    <x v="46"/>
    <s v="14"/>
    <n v="54652.7"/>
    <n v="0"/>
  </r>
  <r>
    <x v="46"/>
    <s v="15"/>
    <n v="54617.5"/>
    <n v="0"/>
  </r>
  <r>
    <x v="46"/>
    <s v="16"/>
    <n v="54588.5"/>
    <n v="0"/>
  </r>
  <r>
    <x v="46"/>
    <s v="17"/>
    <n v="54636.7"/>
    <n v="0"/>
  </r>
  <r>
    <x v="46"/>
    <s v="18"/>
    <n v="54317.599999999999"/>
    <n v="0"/>
  </r>
  <r>
    <x v="46"/>
    <s v="19"/>
    <n v="54474.9"/>
    <n v="0"/>
  </r>
  <r>
    <x v="46"/>
    <s v="20"/>
    <n v="54381.3"/>
    <n v="0"/>
  </r>
  <r>
    <x v="46"/>
    <s v="21"/>
    <n v="54366.7"/>
    <n v="0"/>
  </r>
  <r>
    <x v="46"/>
    <s v="22"/>
    <n v="54407.199999999997"/>
    <n v="0"/>
  </r>
  <r>
    <x v="46"/>
    <s v="23"/>
    <n v="54448.5"/>
    <n v="0"/>
  </r>
  <r>
    <x v="47"/>
    <s v="0"/>
    <n v="52804.5"/>
    <n v="0"/>
  </r>
  <r>
    <x v="47"/>
    <s v="1"/>
    <n v="52725.8"/>
    <n v="0"/>
  </r>
  <r>
    <x v="47"/>
    <s v="2"/>
    <n v="52624.7"/>
    <n v="0"/>
  </r>
  <r>
    <x v="47"/>
    <s v="3"/>
    <n v="52660.800000000003"/>
    <n v="0"/>
  </r>
  <r>
    <x v="47"/>
    <s v="4"/>
    <n v="52725.599999999999"/>
    <n v="0"/>
  </r>
  <r>
    <x v="47"/>
    <s v="5"/>
    <n v="51080.7"/>
    <n v="0"/>
  </r>
  <r>
    <x v="47"/>
    <s v="6"/>
    <n v="51193.9"/>
    <n v="0"/>
  </r>
  <r>
    <x v="47"/>
    <s v="7"/>
    <n v="54082.7"/>
    <n v="0"/>
  </r>
  <r>
    <x v="47"/>
    <s v="8"/>
    <n v="52752"/>
    <n v="0"/>
  </r>
  <r>
    <x v="47"/>
    <s v="9"/>
    <n v="54607.4"/>
    <n v="0"/>
  </r>
  <r>
    <x v="47"/>
    <s v="10"/>
    <n v="54587.6"/>
    <n v="0"/>
  </r>
  <r>
    <x v="47"/>
    <s v="11"/>
    <n v="54632.800000000003"/>
    <n v="0"/>
  </r>
  <r>
    <x v="47"/>
    <s v="12"/>
    <n v="54638"/>
    <n v="0"/>
  </r>
  <r>
    <x v="47"/>
    <s v="13"/>
    <n v="54686.6"/>
    <n v="0"/>
  </r>
  <r>
    <x v="47"/>
    <s v="14"/>
    <n v="54609.2"/>
    <n v="0"/>
  </r>
  <r>
    <x v="47"/>
    <s v="15"/>
    <n v="54576.3"/>
    <n v="0"/>
  </r>
  <r>
    <x v="47"/>
    <s v="16"/>
    <n v="54990.9"/>
    <n v="0"/>
  </r>
  <r>
    <x v="47"/>
    <s v="17"/>
    <n v="54700.1"/>
    <n v="0"/>
  </r>
  <r>
    <x v="47"/>
    <s v="18"/>
    <n v="54575.7"/>
    <n v="0"/>
  </r>
  <r>
    <x v="47"/>
    <s v="19"/>
    <n v="54541.2"/>
    <n v="0"/>
  </r>
  <r>
    <x v="47"/>
    <s v="20"/>
    <n v="54669"/>
    <n v="0"/>
  </r>
  <r>
    <x v="47"/>
    <s v="21"/>
    <n v="54545.1"/>
    <n v="0"/>
  </r>
  <r>
    <x v="47"/>
    <s v="22"/>
    <n v="54525.8"/>
    <n v="0"/>
  </r>
  <r>
    <x v="47"/>
    <s v="23"/>
    <n v="53842.5"/>
    <n v="0"/>
  </r>
  <r>
    <x v="48"/>
    <s v="0"/>
    <n v="63245.8"/>
    <n v="0"/>
  </r>
  <r>
    <x v="48"/>
    <s v="1"/>
    <n v="63977"/>
    <n v="0"/>
  </r>
  <r>
    <x v="48"/>
    <s v="2"/>
    <n v="63902.7"/>
    <n v="0"/>
  </r>
  <r>
    <x v="48"/>
    <s v="3"/>
    <n v="63991.6"/>
    <n v="0"/>
  </r>
  <r>
    <x v="48"/>
    <s v="4"/>
    <n v="63977.7"/>
    <n v="0"/>
  </r>
  <r>
    <x v="48"/>
    <s v="5"/>
    <n v="63465.4"/>
    <n v="0"/>
  </r>
  <r>
    <x v="48"/>
    <s v="6"/>
    <n v="62877.8"/>
    <n v="0"/>
  </r>
  <r>
    <x v="48"/>
    <s v="7"/>
    <n v="60739.6"/>
    <n v="0"/>
  </r>
  <r>
    <x v="48"/>
    <s v="8"/>
    <n v="58939.5"/>
    <n v="0"/>
  </r>
  <r>
    <x v="48"/>
    <s v="9"/>
    <n v="60180"/>
    <n v="0"/>
  </r>
  <r>
    <x v="48"/>
    <s v="10"/>
    <n v="63633.5"/>
    <n v="0"/>
  </r>
  <r>
    <x v="48"/>
    <s v="11"/>
    <n v="64169.9"/>
    <n v="0"/>
  </r>
  <r>
    <x v="48"/>
    <s v="12"/>
    <n v="64067.199999999997"/>
    <n v="0"/>
  </r>
  <r>
    <x v="48"/>
    <s v="13"/>
    <n v="64148.4"/>
    <n v="0"/>
  </r>
  <r>
    <x v="48"/>
    <s v="14"/>
    <n v="64162.7"/>
    <n v="0"/>
  </r>
  <r>
    <x v="48"/>
    <s v="15"/>
    <n v="63996.2"/>
    <n v="0"/>
  </r>
  <r>
    <x v="48"/>
    <s v="16"/>
    <n v="63909.7"/>
    <n v="0"/>
  </r>
  <r>
    <x v="48"/>
    <s v="17"/>
    <n v="63996.800000000003"/>
    <n v="0"/>
  </r>
  <r>
    <x v="48"/>
    <s v="18"/>
    <n v="63721.5"/>
    <n v="0"/>
  </r>
  <r>
    <x v="48"/>
    <s v="19"/>
    <n v="63837"/>
    <n v="0"/>
  </r>
  <r>
    <x v="48"/>
    <s v="20"/>
    <n v="63898"/>
    <n v="0"/>
  </r>
  <r>
    <x v="48"/>
    <s v="21"/>
    <n v="63871.8"/>
    <n v="0"/>
  </r>
  <r>
    <x v="48"/>
    <s v="22"/>
    <n v="64003.4"/>
    <n v="0"/>
  </r>
  <r>
    <x v="48"/>
    <s v="23"/>
    <n v="64032.1"/>
    <n v="0"/>
  </r>
  <r>
    <x v="49"/>
    <s v="0"/>
    <n v="64343.8"/>
    <n v="0"/>
  </r>
  <r>
    <x v="49"/>
    <s v="1"/>
    <n v="64010.2"/>
    <n v="0"/>
  </r>
  <r>
    <x v="49"/>
    <s v="2"/>
    <n v="64102.3"/>
    <n v="0"/>
  </r>
  <r>
    <x v="49"/>
    <s v="3"/>
    <n v="63999.5"/>
    <n v="0"/>
  </r>
  <r>
    <x v="49"/>
    <s v="4"/>
    <n v="64025.5"/>
    <n v="0"/>
  </r>
  <r>
    <x v="49"/>
    <s v="5"/>
    <n v="63982.9"/>
    <n v="0"/>
  </r>
  <r>
    <x v="49"/>
    <s v="6"/>
    <n v="64317.7"/>
    <n v="0"/>
  </r>
  <r>
    <x v="49"/>
    <s v="7"/>
    <n v="64161.7"/>
    <n v="0"/>
  </r>
  <r>
    <x v="49"/>
    <s v="8"/>
    <n v="61138.1"/>
    <n v="0"/>
  </r>
  <r>
    <x v="49"/>
    <s v="9"/>
    <n v="60973.9"/>
    <n v="0"/>
  </r>
  <r>
    <x v="49"/>
    <s v="10"/>
    <n v="62637.1"/>
    <n v="0"/>
  </r>
  <r>
    <x v="49"/>
    <s v="11"/>
    <n v="64277.7"/>
    <n v="0"/>
  </r>
  <r>
    <x v="49"/>
    <s v="12"/>
    <n v="64016"/>
    <n v="0"/>
  </r>
  <r>
    <x v="49"/>
    <s v="13"/>
    <n v="63972.9"/>
    <n v="0"/>
  </r>
  <r>
    <x v="49"/>
    <s v="14"/>
    <n v="64067.9"/>
    <n v="0"/>
  </r>
  <r>
    <x v="49"/>
    <s v="15"/>
    <n v="64022"/>
    <n v="0"/>
  </r>
  <r>
    <x v="49"/>
    <s v="16"/>
    <n v="64072.4"/>
    <n v="0"/>
  </r>
  <r>
    <x v="49"/>
    <s v="17"/>
    <n v="63910.8"/>
    <n v="0"/>
  </r>
  <r>
    <x v="49"/>
    <s v="18"/>
    <n v="64245.1"/>
    <n v="0"/>
  </r>
  <r>
    <x v="49"/>
    <s v="19"/>
    <n v="63832.800000000003"/>
    <n v="0"/>
  </r>
  <r>
    <x v="49"/>
    <s v="20"/>
    <n v="63858.5"/>
    <n v="0"/>
  </r>
  <r>
    <x v="49"/>
    <s v="21"/>
    <n v="63759.3"/>
    <n v="0"/>
  </r>
  <r>
    <x v="49"/>
    <s v="22"/>
    <n v="63798.7"/>
    <n v="0"/>
  </r>
  <r>
    <x v="49"/>
    <s v="23"/>
    <n v="63737.3"/>
    <n v="0"/>
  </r>
  <r>
    <x v="50"/>
    <s v="0"/>
    <n v="54275.8"/>
    <n v="0"/>
  </r>
  <r>
    <x v="50"/>
    <s v="1"/>
    <n v="53634.3"/>
    <n v="0"/>
  </r>
  <r>
    <x v="50"/>
    <s v="2"/>
    <n v="53663.6"/>
    <n v="0"/>
  </r>
  <r>
    <x v="50"/>
    <s v="3"/>
    <n v="53684.1"/>
    <n v="0"/>
  </r>
  <r>
    <x v="50"/>
    <s v="4"/>
    <n v="54368.6"/>
    <n v="0"/>
  </r>
  <r>
    <x v="50"/>
    <s v="5"/>
    <n v="52651.5"/>
    <n v="0"/>
  </r>
  <r>
    <x v="50"/>
    <s v="6"/>
    <n v="52843.4"/>
    <n v="0"/>
  </r>
  <r>
    <x v="50"/>
    <s v="7"/>
    <n v="53081.7"/>
    <n v="0"/>
  </r>
  <r>
    <x v="50"/>
    <s v="8"/>
    <n v="53104.5"/>
    <n v="0"/>
  </r>
  <r>
    <x v="50"/>
    <s v="9"/>
    <n v="54437.2"/>
    <n v="0"/>
  </r>
  <r>
    <x v="50"/>
    <s v="10"/>
    <n v="54942.2"/>
    <n v="0"/>
  </r>
  <r>
    <x v="50"/>
    <s v="11"/>
    <n v="54891.9"/>
    <n v="0"/>
  </r>
  <r>
    <x v="50"/>
    <s v="12"/>
    <n v="54908.800000000003"/>
    <n v="0"/>
  </r>
  <r>
    <x v="50"/>
    <s v="13"/>
    <n v="54873.8"/>
    <n v="0"/>
  </r>
  <r>
    <x v="50"/>
    <s v="14"/>
    <n v="54488.2"/>
    <n v="0"/>
  </r>
  <r>
    <x v="50"/>
    <s v="15"/>
    <n v="53977.5"/>
    <n v="0"/>
  </r>
  <r>
    <x v="50"/>
    <s v="16"/>
    <n v="54263"/>
    <n v="0"/>
  </r>
  <r>
    <x v="50"/>
    <s v="17"/>
    <n v="54278.8"/>
    <n v="0"/>
  </r>
  <r>
    <x v="50"/>
    <s v="18"/>
    <n v="54077.1"/>
    <n v="0"/>
  </r>
  <r>
    <x v="50"/>
    <s v="19"/>
    <n v="54307.9"/>
    <n v="0"/>
  </r>
  <r>
    <x v="50"/>
    <s v="20"/>
    <n v="54232.5"/>
    <n v="0"/>
  </r>
  <r>
    <x v="50"/>
    <s v="21"/>
    <n v="54250.5"/>
    <n v="0"/>
  </r>
  <r>
    <x v="50"/>
    <s v="22"/>
    <n v="54183.9"/>
    <n v="0"/>
  </r>
  <r>
    <x v="50"/>
    <s v="23"/>
    <n v="53667.1"/>
    <n v="0"/>
  </r>
  <r>
    <x v="51"/>
    <s v="0"/>
    <n v="53496.1"/>
    <n v="0"/>
  </r>
  <r>
    <x v="51"/>
    <s v="1"/>
    <n v="53671"/>
    <n v="0"/>
  </r>
  <r>
    <x v="51"/>
    <s v="2"/>
    <n v="53574.9"/>
    <n v="0"/>
  </r>
  <r>
    <x v="51"/>
    <s v="3"/>
    <n v="53472.9"/>
    <n v="0"/>
  </r>
  <r>
    <x v="51"/>
    <s v="4"/>
    <n v="53752.5"/>
    <n v="0"/>
  </r>
  <r>
    <x v="51"/>
    <s v="5"/>
    <n v="53816.5"/>
    <n v="0"/>
  </r>
  <r>
    <x v="51"/>
    <s v="6"/>
    <n v="53652.5"/>
    <n v="0"/>
  </r>
  <r>
    <x v="51"/>
    <s v="7"/>
    <n v="53780.7"/>
    <n v="0"/>
  </r>
  <r>
    <x v="51"/>
    <s v="8"/>
    <n v="53692.6"/>
    <n v="0"/>
  </r>
  <r>
    <x v="51"/>
    <s v="9"/>
    <n v="53676.800000000003"/>
    <n v="0"/>
  </r>
  <r>
    <x v="51"/>
    <s v="10"/>
    <n v="52977.599999999999"/>
    <n v="0"/>
  </r>
  <r>
    <x v="51"/>
    <s v="11"/>
    <n v="53081.1"/>
    <n v="0"/>
  </r>
  <r>
    <x v="51"/>
    <s v="12"/>
    <n v="54011.9"/>
    <n v="0"/>
  </r>
  <r>
    <x v="51"/>
    <s v="13"/>
    <n v="54060.5"/>
    <n v="0"/>
  </r>
  <r>
    <x v="51"/>
    <s v="14"/>
    <n v="54019.6"/>
    <n v="0"/>
  </r>
  <r>
    <x v="51"/>
    <s v="15"/>
    <n v="54002.3"/>
    <n v="0"/>
  </r>
  <r>
    <x v="51"/>
    <s v="16"/>
    <n v="53902.6"/>
    <n v="0"/>
  </r>
  <r>
    <x v="51"/>
    <s v="17"/>
    <n v="53906.2"/>
    <n v="0"/>
  </r>
  <r>
    <x v="51"/>
    <s v="18"/>
    <n v="53887.199999999997"/>
    <n v="0"/>
  </r>
  <r>
    <x v="51"/>
    <s v="19"/>
    <n v="53872.6"/>
    <n v="0"/>
  </r>
  <r>
    <x v="51"/>
    <s v="20"/>
    <n v="53842.400000000001"/>
    <n v="0"/>
  </r>
  <r>
    <x v="51"/>
    <s v="21"/>
    <n v="53757.8"/>
    <n v="0"/>
  </r>
  <r>
    <x v="51"/>
    <s v="22"/>
    <n v="53838"/>
    <n v="0"/>
  </r>
  <r>
    <x v="51"/>
    <s v="23"/>
    <n v="54055.1"/>
    <n v="0"/>
  </r>
  <r>
    <x v="52"/>
    <s v="0"/>
    <n v="54227.5"/>
    <n v="0"/>
  </r>
  <r>
    <x v="52"/>
    <s v="1"/>
    <n v="54124.4"/>
    <n v="0"/>
  </r>
  <r>
    <x v="52"/>
    <s v="2"/>
    <n v="53869"/>
    <n v="0"/>
  </r>
  <r>
    <x v="52"/>
    <s v="3"/>
    <n v="53939"/>
    <n v="0"/>
  </r>
  <r>
    <x v="52"/>
    <s v="4"/>
    <n v="53923.6"/>
    <n v="0"/>
  </r>
  <r>
    <x v="52"/>
    <s v="5"/>
    <n v="53590.400000000001"/>
    <n v="0"/>
  </r>
  <r>
    <x v="52"/>
    <s v="6"/>
    <n v="54147.4"/>
    <n v="0"/>
  </r>
  <r>
    <x v="52"/>
    <s v="7"/>
    <n v="52259.5"/>
    <n v="0"/>
  </r>
  <r>
    <x v="52"/>
    <s v="8"/>
    <n v="53652.7"/>
    <n v="0"/>
  </r>
  <r>
    <x v="52"/>
    <s v="9"/>
    <n v="53511.9"/>
    <n v="0"/>
  </r>
  <r>
    <x v="52"/>
    <s v="10"/>
    <n v="53268.4"/>
    <n v="0"/>
  </r>
  <r>
    <x v="52"/>
    <s v="11"/>
    <n v="52786.3"/>
    <n v="0"/>
  </r>
  <r>
    <x v="52"/>
    <s v="12"/>
    <n v="61959.199999999997"/>
    <n v="0"/>
  </r>
  <r>
    <x v="52"/>
    <s v="13"/>
    <n v="62346.3"/>
    <n v="0"/>
  </r>
  <r>
    <x v="52"/>
    <s v="14"/>
    <n v="62185.7"/>
    <n v="0"/>
  </r>
  <r>
    <x v="52"/>
    <s v="15"/>
    <n v="62288.9"/>
    <n v="0"/>
  </r>
  <r>
    <x v="52"/>
    <s v="16"/>
    <n v="62286.5"/>
    <n v="0"/>
  </r>
  <r>
    <x v="52"/>
    <s v="17"/>
    <n v="62194.1"/>
    <n v="0"/>
  </r>
  <r>
    <x v="52"/>
    <s v="18"/>
    <n v="62173.4"/>
    <n v="0"/>
  </r>
  <r>
    <x v="52"/>
    <s v="19"/>
    <n v="62611.4"/>
    <n v="0"/>
  </r>
  <r>
    <x v="52"/>
    <s v="20"/>
    <n v="63342"/>
    <n v="0"/>
  </r>
  <r>
    <x v="52"/>
    <s v="21"/>
    <n v="63472.6"/>
    <n v="0"/>
  </r>
  <r>
    <x v="52"/>
    <s v="22"/>
    <n v="63282.1"/>
    <n v="0"/>
  </r>
  <r>
    <x v="52"/>
    <s v="23"/>
    <n v="63641"/>
    <n v="0"/>
  </r>
  <r>
    <x v="53"/>
    <s v="0"/>
    <n v="63560.4"/>
    <n v="0"/>
  </r>
  <r>
    <x v="53"/>
    <s v="1"/>
    <n v="63629.1"/>
    <n v="0"/>
  </r>
  <r>
    <x v="53"/>
    <s v="2"/>
    <n v="62892.2"/>
    <n v="0"/>
  </r>
  <r>
    <x v="53"/>
    <s v="3"/>
    <n v="63706.2"/>
    <n v="0"/>
  </r>
  <r>
    <x v="53"/>
    <s v="4"/>
    <n v="64101.9"/>
    <n v="0"/>
  </r>
  <r>
    <x v="53"/>
    <s v="5"/>
    <n v="59980.4"/>
    <n v="0"/>
  </r>
  <r>
    <x v="53"/>
    <s v="6"/>
    <n v="59704"/>
    <n v="0"/>
  </r>
  <r>
    <x v="53"/>
    <s v="7"/>
    <n v="59917.2"/>
    <n v="0"/>
  </r>
  <r>
    <x v="53"/>
    <s v="8"/>
    <n v="61492"/>
    <n v="0"/>
  </r>
  <r>
    <x v="53"/>
    <s v="9"/>
    <n v="63313.599999999999"/>
    <n v="0"/>
  </r>
  <r>
    <x v="53"/>
    <s v="10"/>
    <n v="62877.3"/>
    <n v="0"/>
  </r>
  <r>
    <x v="53"/>
    <s v="11"/>
    <n v="62732.5"/>
    <n v="0"/>
  </r>
  <r>
    <x v="53"/>
    <s v="12"/>
    <n v="62934.3"/>
    <n v="0"/>
  </r>
  <r>
    <x v="53"/>
    <s v="13"/>
    <n v="62931.7"/>
    <n v="0"/>
  </r>
  <r>
    <x v="53"/>
    <s v="14"/>
    <n v="62951.7"/>
    <n v="0"/>
  </r>
  <r>
    <x v="53"/>
    <s v="15"/>
    <n v="62824.9"/>
    <n v="0"/>
  </r>
  <r>
    <x v="53"/>
    <s v="16"/>
    <n v="62777.1"/>
    <n v="0"/>
  </r>
  <r>
    <x v="53"/>
    <s v="17"/>
    <n v="62924.2"/>
    <n v="0"/>
  </r>
  <r>
    <x v="53"/>
    <s v="18"/>
    <n v="62908.9"/>
    <n v="0"/>
  </r>
  <r>
    <x v="53"/>
    <s v="19"/>
    <n v="62779.4"/>
    <n v="0"/>
  </r>
  <r>
    <x v="53"/>
    <s v="20"/>
    <n v="62795.3"/>
    <n v="0"/>
  </r>
  <r>
    <x v="53"/>
    <s v="21"/>
    <n v="62701.7"/>
    <n v="0"/>
  </r>
  <r>
    <x v="53"/>
    <s v="22"/>
    <n v="62874.5"/>
    <n v="0"/>
  </r>
  <r>
    <x v="53"/>
    <s v="23"/>
    <n v="63008.4"/>
    <n v="0"/>
  </r>
  <r>
    <x v="54"/>
    <s v="0"/>
    <n v="62836.4"/>
    <n v="0"/>
  </r>
  <r>
    <x v="54"/>
    <s v="1"/>
    <n v="62797.9"/>
    <n v="0"/>
  </r>
  <r>
    <x v="54"/>
    <s v="2"/>
    <n v="62751.5"/>
    <n v="0"/>
  </r>
  <r>
    <x v="54"/>
    <s v="3"/>
    <n v="62876.2"/>
    <n v="0"/>
  </r>
  <r>
    <x v="54"/>
    <s v="4"/>
    <n v="60676.800000000003"/>
    <n v="0"/>
  </r>
  <r>
    <x v="54"/>
    <s v="5"/>
    <n v="60084.6"/>
    <n v="0"/>
  </r>
  <r>
    <x v="54"/>
    <s v="6"/>
    <n v="62977"/>
    <n v="0"/>
  </r>
  <r>
    <x v="54"/>
    <s v="7"/>
    <n v="59192.5"/>
    <n v="0"/>
  </r>
  <r>
    <x v="54"/>
    <s v="8"/>
    <n v="58140.3"/>
    <n v="0"/>
  </r>
  <r>
    <x v="54"/>
    <s v="9"/>
    <n v="58518.2"/>
    <n v="0"/>
  </r>
  <r>
    <x v="54"/>
    <s v="10"/>
    <n v="59371"/>
    <n v="0"/>
  </r>
  <r>
    <x v="54"/>
    <s v="11"/>
    <n v="63909.599999999999"/>
    <n v="0"/>
  </r>
  <r>
    <x v="54"/>
    <s v="12"/>
    <n v="64519"/>
    <n v="0"/>
  </r>
  <r>
    <x v="54"/>
    <s v="13"/>
    <n v="63988"/>
    <n v="0"/>
  </r>
  <r>
    <x v="54"/>
    <s v="14"/>
    <n v="64085.3"/>
    <n v="0"/>
  </r>
  <r>
    <x v="54"/>
    <s v="15"/>
    <n v="63978.400000000001"/>
    <n v="0"/>
  </r>
  <r>
    <x v="54"/>
    <s v="16"/>
    <n v="63922.3"/>
    <n v="0"/>
  </r>
  <r>
    <x v="54"/>
    <s v="17"/>
    <n v="63787.8"/>
    <n v="0"/>
  </r>
  <r>
    <x v="54"/>
    <s v="18"/>
    <n v="63948.5"/>
    <n v="0"/>
  </r>
  <r>
    <x v="54"/>
    <s v="19"/>
    <n v="63844.9"/>
    <n v="0"/>
  </r>
  <r>
    <x v="54"/>
    <s v="20"/>
    <n v="63845.1"/>
    <n v="0"/>
  </r>
  <r>
    <x v="54"/>
    <s v="21"/>
    <n v="63817.1"/>
    <n v="0"/>
  </r>
  <r>
    <x v="54"/>
    <s v="22"/>
    <n v="63854.1"/>
    <n v="0"/>
  </r>
  <r>
    <x v="54"/>
    <s v="23"/>
    <n v="63867.3"/>
    <n v="0"/>
  </r>
  <r>
    <x v="55"/>
    <s v="0"/>
    <n v="54536.1"/>
    <n v="0"/>
  </r>
  <r>
    <x v="55"/>
    <s v="1"/>
    <n v="54368.4"/>
    <n v="0"/>
  </r>
  <r>
    <x v="55"/>
    <s v="2"/>
    <n v="54480"/>
    <n v="0"/>
  </r>
  <r>
    <x v="55"/>
    <s v="3"/>
    <n v="54534"/>
    <n v="0"/>
  </r>
  <r>
    <x v="55"/>
    <s v="4"/>
    <n v="54576.7"/>
    <n v="0"/>
  </r>
  <r>
    <x v="55"/>
    <s v="5"/>
    <n v="51006.400000000001"/>
    <n v="0"/>
  </r>
  <r>
    <x v="55"/>
    <s v="6"/>
    <n v="50444.2"/>
    <n v="0"/>
  </r>
  <r>
    <x v="55"/>
    <s v="7"/>
    <n v="53616.1"/>
    <n v="0"/>
  </r>
  <r>
    <x v="55"/>
    <s v="8"/>
    <n v="54459.199999999997"/>
    <n v="0"/>
  </r>
  <r>
    <x v="55"/>
    <s v="9"/>
    <n v="54326.8"/>
    <n v="0"/>
  </r>
  <r>
    <x v="55"/>
    <s v="10"/>
    <n v="54252.3"/>
    <n v="0"/>
  </r>
  <r>
    <x v="55"/>
    <s v="11"/>
    <n v="54269.5"/>
    <n v="0"/>
  </r>
  <r>
    <x v="55"/>
    <s v="12"/>
    <n v="54158.7"/>
    <n v="0"/>
  </r>
  <r>
    <x v="55"/>
    <s v="13"/>
    <n v="54231.6"/>
    <n v="0"/>
  </r>
  <r>
    <x v="55"/>
    <s v="14"/>
    <n v="54080.7"/>
    <n v="0"/>
  </r>
  <r>
    <x v="55"/>
    <s v="15"/>
    <n v="54196.9"/>
    <n v="0"/>
  </r>
  <r>
    <x v="55"/>
    <s v="16"/>
    <n v="54132.2"/>
    <n v="0"/>
  </r>
  <r>
    <x v="55"/>
    <s v="17"/>
    <n v="54176.4"/>
    <n v="0"/>
  </r>
  <r>
    <x v="55"/>
    <s v="18"/>
    <n v="54267.199999999997"/>
    <n v="0"/>
  </r>
  <r>
    <x v="55"/>
    <s v="19"/>
    <n v="53724.9"/>
    <n v="0"/>
  </r>
  <r>
    <x v="55"/>
    <s v="20"/>
    <n v="53513.7"/>
    <n v="0"/>
  </r>
  <r>
    <x v="55"/>
    <s v="21"/>
    <n v="53569.7"/>
    <n v="0"/>
  </r>
  <r>
    <x v="55"/>
    <s v="22"/>
    <n v="53456.4"/>
    <n v="0"/>
  </r>
  <r>
    <x v="55"/>
    <s v="23"/>
    <n v="52940"/>
    <n v="0"/>
  </r>
  <r>
    <x v="56"/>
    <s v="0"/>
    <n v="53312.800000000003"/>
    <n v="0"/>
  </r>
  <r>
    <x v="56"/>
    <s v="1"/>
    <n v="53671.4"/>
    <n v="0"/>
  </r>
  <r>
    <x v="56"/>
    <s v="2"/>
    <n v="53692.3"/>
    <n v="0"/>
  </r>
  <r>
    <x v="56"/>
    <s v="3"/>
    <n v="53859.9"/>
    <n v="0"/>
  </r>
  <r>
    <x v="56"/>
    <s v="4"/>
    <n v="53691.4"/>
    <n v="0"/>
  </r>
  <r>
    <x v="56"/>
    <s v="5"/>
    <n v="51130.2"/>
    <n v="0"/>
  </r>
  <r>
    <x v="56"/>
    <s v="6"/>
    <n v="16830.400000000001"/>
    <n v="0"/>
  </r>
  <r>
    <x v="56"/>
    <s v="7"/>
    <n v="7072.5"/>
    <n v="435.1"/>
  </r>
  <r>
    <x v="56"/>
    <s v="8"/>
    <n v="1545.8"/>
    <n v="499.6"/>
  </r>
  <r>
    <x v="56"/>
    <s v="9"/>
    <n v="17036.7"/>
    <n v="0"/>
  </r>
  <r>
    <x v="56"/>
    <s v="10"/>
    <n v="42095.1"/>
    <n v="0"/>
  </r>
  <r>
    <x v="56"/>
    <s v="11"/>
    <n v="50215.199999999997"/>
    <n v="0"/>
  </r>
  <r>
    <x v="56"/>
    <s v="12"/>
    <n v="54948.3"/>
    <n v="0"/>
  </r>
  <r>
    <x v="56"/>
    <s v="13"/>
    <n v="53951"/>
    <n v="0"/>
  </r>
  <r>
    <x v="56"/>
    <s v="14"/>
    <n v="53896.9"/>
    <n v="0"/>
  </r>
  <r>
    <x v="56"/>
    <s v="15"/>
    <n v="53890.9"/>
    <n v="0"/>
  </r>
  <r>
    <x v="56"/>
    <s v="16"/>
    <n v="53960.9"/>
    <n v="0"/>
  </r>
  <r>
    <x v="56"/>
    <s v="17"/>
    <n v="53928.4"/>
    <n v="0"/>
  </r>
  <r>
    <x v="56"/>
    <s v="18"/>
    <n v="53764.1"/>
    <n v="0"/>
  </r>
  <r>
    <x v="56"/>
    <s v="19"/>
    <n v="53813.9"/>
    <n v="0"/>
  </r>
  <r>
    <x v="56"/>
    <s v="20"/>
    <n v="53770.5"/>
    <n v="0"/>
  </r>
  <r>
    <x v="56"/>
    <s v="21"/>
    <n v="53869.7"/>
    <n v="0"/>
  </r>
  <r>
    <x v="56"/>
    <s v="22"/>
    <n v="53749.9"/>
    <n v="0"/>
  </r>
  <r>
    <x v="56"/>
    <s v="23"/>
    <n v="53934.400000000001"/>
    <n v="0"/>
  </r>
  <r>
    <x v="57"/>
    <s v="0"/>
    <n v="53784.3"/>
    <n v="0"/>
  </r>
  <r>
    <x v="57"/>
    <s v="1"/>
    <n v="54085.1"/>
    <n v="0"/>
  </r>
  <r>
    <x v="57"/>
    <s v="2"/>
    <n v="53875.4"/>
    <n v="0"/>
  </r>
  <r>
    <x v="57"/>
    <s v="3"/>
    <n v="53957.599999999999"/>
    <n v="0"/>
  </r>
  <r>
    <x v="57"/>
    <s v="4"/>
    <n v="53305.9"/>
    <n v="0"/>
  </r>
  <r>
    <x v="57"/>
    <s v="5"/>
    <n v="52488.1"/>
    <n v="0"/>
  </r>
  <r>
    <x v="57"/>
    <s v="6"/>
    <n v="52336.7"/>
    <n v="0"/>
  </r>
  <r>
    <x v="57"/>
    <s v="7"/>
    <n v="53111.1"/>
    <n v="0"/>
  </r>
  <r>
    <x v="57"/>
    <s v="8"/>
    <n v="53554.8"/>
    <n v="0"/>
  </r>
  <r>
    <x v="57"/>
    <s v="9"/>
    <n v="53914.400000000001"/>
    <n v="0"/>
  </r>
  <r>
    <x v="57"/>
    <s v="10"/>
    <n v="53840.7"/>
    <n v="0"/>
  </r>
  <r>
    <x v="57"/>
    <s v="11"/>
    <n v="53755.1"/>
    <n v="0"/>
  </r>
  <r>
    <x v="57"/>
    <s v="12"/>
    <n v="53827"/>
    <n v="0"/>
  </r>
  <r>
    <x v="57"/>
    <s v="13"/>
    <n v="53714.6"/>
    <n v="0"/>
  </r>
  <r>
    <x v="57"/>
    <s v="14"/>
    <n v="53803.1"/>
    <n v="0"/>
  </r>
  <r>
    <x v="57"/>
    <s v="15"/>
    <n v="53754.400000000001"/>
    <n v="0"/>
  </r>
  <r>
    <x v="57"/>
    <s v="16"/>
    <n v="53727.8"/>
    <n v="0"/>
  </r>
  <r>
    <x v="57"/>
    <s v="17"/>
    <n v="53738.3"/>
    <n v="0"/>
  </r>
  <r>
    <x v="57"/>
    <s v="18"/>
    <n v="53675.199999999997"/>
    <n v="0"/>
  </r>
  <r>
    <x v="57"/>
    <s v="19"/>
    <n v="53654.6"/>
    <n v="0"/>
  </r>
  <r>
    <x v="57"/>
    <s v="20"/>
    <n v="53670"/>
    <n v="0"/>
  </r>
  <r>
    <x v="57"/>
    <s v="21"/>
    <n v="53462.5"/>
    <n v="0"/>
  </r>
  <r>
    <x v="57"/>
    <s v="22"/>
    <n v="53643.4"/>
    <n v="0"/>
  </r>
  <r>
    <x v="57"/>
    <s v="23"/>
    <n v="53696.3"/>
    <n v="0"/>
  </r>
  <r>
    <x v="58"/>
    <s v="0"/>
    <n v="53150.6"/>
    <n v="0"/>
  </r>
  <r>
    <x v="58"/>
    <s v="1"/>
    <n v="53744.9"/>
    <n v="0"/>
  </r>
  <r>
    <x v="58"/>
    <s v="2"/>
    <n v="53758.3"/>
    <n v="0"/>
  </r>
  <r>
    <x v="58"/>
    <s v="3"/>
    <n v="53811.1"/>
    <n v="0"/>
  </r>
  <r>
    <x v="58"/>
    <s v="4"/>
    <n v="54138.2"/>
    <n v="0"/>
  </r>
  <r>
    <x v="58"/>
    <s v="5"/>
    <n v="50861.2"/>
    <n v="0"/>
  </r>
  <r>
    <x v="58"/>
    <s v="6"/>
    <n v="53631.8"/>
    <n v="0"/>
  </r>
  <r>
    <x v="58"/>
    <s v="7"/>
    <n v="53654.9"/>
    <n v="0"/>
  </r>
  <r>
    <x v="58"/>
    <s v="8"/>
    <n v="53295.5"/>
    <n v="0"/>
  </r>
  <r>
    <x v="58"/>
    <s v="9"/>
    <n v="54493.3"/>
    <n v="0"/>
  </r>
  <r>
    <x v="58"/>
    <s v="10"/>
    <n v="53510.1"/>
    <n v="0"/>
  </r>
  <r>
    <x v="58"/>
    <s v="11"/>
    <n v="53370.3"/>
    <n v="0"/>
  </r>
  <r>
    <x v="58"/>
    <s v="12"/>
    <n v="53966.3"/>
    <n v="0"/>
  </r>
  <r>
    <x v="58"/>
    <s v="13"/>
    <n v="53936.1"/>
    <n v="0"/>
  </r>
  <r>
    <x v="58"/>
    <s v="14"/>
    <n v="54000.9"/>
    <n v="0"/>
  </r>
  <r>
    <x v="58"/>
    <s v="15"/>
    <n v="54067.6"/>
    <n v="0"/>
  </r>
  <r>
    <x v="58"/>
    <s v="16"/>
    <n v="54109.2"/>
    <n v="0"/>
  </r>
  <r>
    <x v="58"/>
    <s v="17"/>
    <n v="54160.7"/>
    <n v="0"/>
  </r>
  <r>
    <x v="58"/>
    <s v="18"/>
    <n v="54101.4"/>
    <n v="0"/>
  </r>
  <r>
    <x v="58"/>
    <s v="19"/>
    <n v="54052.1"/>
    <n v="0"/>
  </r>
  <r>
    <x v="58"/>
    <s v="20"/>
    <n v="54020.3"/>
    <n v="0"/>
  </r>
  <r>
    <x v="58"/>
    <s v="21"/>
    <n v="54168.9"/>
    <n v="0"/>
  </r>
  <r>
    <x v="58"/>
    <s v="22"/>
    <n v="54031.9"/>
    <n v="0"/>
  </r>
  <r>
    <x v="58"/>
    <s v="23"/>
    <n v="53771.8"/>
    <n v="0"/>
  </r>
  <r>
    <x v="59"/>
    <s v="0"/>
    <n v="53275.9"/>
    <n v="0"/>
  </r>
  <r>
    <x v="59"/>
    <s v="1"/>
    <n v="53699.1"/>
    <n v="0"/>
  </r>
  <r>
    <x v="59"/>
    <s v="2"/>
    <n v="53830.400000000001"/>
    <n v="0"/>
  </r>
  <r>
    <x v="59"/>
    <s v="3"/>
    <n v="53422.7"/>
    <n v="0"/>
  </r>
  <r>
    <x v="59"/>
    <s v="4"/>
    <n v="54145.1"/>
    <n v="0"/>
  </r>
  <r>
    <x v="59"/>
    <s v="5"/>
    <n v="54122.9"/>
    <n v="0"/>
  </r>
  <r>
    <x v="59"/>
    <s v="6"/>
    <n v="54076.7"/>
    <n v="0"/>
  </r>
  <r>
    <x v="59"/>
    <s v="7"/>
    <n v="54009.1"/>
    <n v="0"/>
  </r>
  <r>
    <x v="59"/>
    <s v="8"/>
    <n v="54081.3"/>
    <n v="0"/>
  </r>
  <r>
    <x v="59"/>
    <s v="9"/>
    <n v="55015.8"/>
    <n v="0"/>
  </r>
  <r>
    <x v="59"/>
    <s v="10"/>
    <n v="55070.1"/>
    <n v="0"/>
  </r>
  <r>
    <x v="59"/>
    <s v="11"/>
    <n v="54967.199999999997"/>
    <n v="0"/>
  </r>
  <r>
    <x v="59"/>
    <s v="12"/>
    <n v="55027.8"/>
    <n v="0"/>
  </r>
  <r>
    <x v="59"/>
    <s v="13"/>
    <n v="55052.7"/>
    <n v="0"/>
  </r>
  <r>
    <x v="59"/>
    <s v="14"/>
    <n v="54613.3"/>
    <n v="0"/>
  </r>
  <r>
    <x v="59"/>
    <s v="15"/>
    <n v="54518.6"/>
    <n v="0"/>
  </r>
  <r>
    <x v="59"/>
    <s v="16"/>
    <n v="54406.2"/>
    <n v="0"/>
  </r>
  <r>
    <x v="59"/>
    <s v="17"/>
    <n v="54593"/>
    <n v="0"/>
  </r>
  <r>
    <x v="59"/>
    <s v="18"/>
    <n v="54453.5"/>
    <n v="0"/>
  </r>
  <r>
    <x v="59"/>
    <s v="19"/>
    <n v="54462.400000000001"/>
    <n v="0"/>
  </r>
  <r>
    <x v="59"/>
    <s v="20"/>
    <n v="54457.8"/>
    <n v="0"/>
  </r>
  <r>
    <x v="59"/>
    <s v="21"/>
    <n v="65216.1"/>
    <n v="0"/>
  </r>
  <r>
    <x v="59"/>
    <s v="22"/>
    <n v="67510.7"/>
    <n v="0"/>
  </r>
  <r>
    <x v="59"/>
    <s v="23"/>
    <n v="66972.3"/>
    <n v="0"/>
  </r>
  <r>
    <x v="60"/>
    <s v="0"/>
    <n v="53095.3"/>
    <n v="0"/>
  </r>
  <r>
    <x v="60"/>
    <s v="1"/>
    <n v="53296.9"/>
    <n v="0"/>
  </r>
  <r>
    <x v="60"/>
    <s v="2"/>
    <n v="53293"/>
    <n v="0"/>
  </r>
  <r>
    <x v="60"/>
    <s v="3"/>
    <n v="54403.6"/>
    <n v="0"/>
  </r>
  <r>
    <x v="60"/>
    <s v="4"/>
    <n v="53988.7"/>
    <n v="0"/>
  </r>
  <r>
    <x v="60"/>
    <s v="5"/>
    <n v="52685.9"/>
    <n v="0"/>
  </r>
  <r>
    <x v="60"/>
    <s v="6"/>
    <n v="53916.800000000003"/>
    <n v="0"/>
  </r>
  <r>
    <x v="60"/>
    <s v="7"/>
    <n v="53309.5"/>
    <n v="0"/>
  </r>
  <r>
    <x v="60"/>
    <s v="8"/>
    <n v="53127.7"/>
    <n v="0"/>
  </r>
  <r>
    <x v="60"/>
    <s v="9"/>
    <n v="52693.3"/>
    <n v="0"/>
  </r>
  <r>
    <x v="60"/>
    <s v="10"/>
    <n v="53289.9"/>
    <n v="0"/>
  </r>
  <r>
    <x v="60"/>
    <s v="11"/>
    <n v="52209.3"/>
    <n v="0"/>
  </r>
  <r>
    <x v="60"/>
    <s v="12"/>
    <n v="52328.7"/>
    <n v="0"/>
  </r>
  <r>
    <x v="60"/>
    <s v="13"/>
    <n v="52474.9"/>
    <n v="0"/>
  </r>
  <r>
    <x v="60"/>
    <s v="14"/>
    <n v="52534.3"/>
    <n v="0"/>
  </r>
  <r>
    <x v="60"/>
    <s v="15"/>
    <n v="53004.800000000003"/>
    <n v="0"/>
  </r>
  <r>
    <x v="60"/>
    <s v="16"/>
    <n v="53110"/>
    <n v="0"/>
  </r>
  <r>
    <x v="60"/>
    <s v="17"/>
    <n v="53161.1"/>
    <n v="0"/>
  </r>
  <r>
    <x v="60"/>
    <s v="18"/>
    <n v="54163.5"/>
    <n v="0"/>
  </r>
  <r>
    <x v="60"/>
    <s v="19"/>
    <n v="67420.100000000006"/>
    <n v="0"/>
  </r>
  <r>
    <x v="60"/>
    <s v="20"/>
    <n v="54854.3"/>
    <n v="0"/>
  </r>
  <r>
    <x v="60"/>
    <s v="21"/>
    <n v="54522.6"/>
    <n v="0"/>
  </r>
  <r>
    <x v="60"/>
    <s v="22"/>
    <n v="63358.400000000001"/>
    <n v="0"/>
  </r>
  <r>
    <x v="60"/>
    <s v="23"/>
    <n v="67023.399999999994"/>
    <n v="0"/>
  </r>
  <r>
    <x v="61"/>
    <s v="0"/>
    <n v="54799.5"/>
    <n v="0"/>
  </r>
  <r>
    <x v="61"/>
    <s v="1"/>
    <n v="54242.1"/>
    <n v="0"/>
  </r>
  <r>
    <x v="61"/>
    <s v="2"/>
    <n v="54048.7"/>
    <n v="0"/>
  </r>
  <r>
    <x v="61"/>
    <s v="3"/>
    <n v="54102.400000000001"/>
    <n v="0"/>
  </r>
  <r>
    <x v="61"/>
    <s v="4"/>
    <n v="54179"/>
    <n v="0"/>
  </r>
  <r>
    <x v="61"/>
    <s v="5"/>
    <n v="54486.9"/>
    <n v="0"/>
  </r>
  <r>
    <x v="61"/>
    <s v="6"/>
    <n v="54924.9"/>
    <n v="0"/>
  </r>
  <r>
    <x v="61"/>
    <s v="7"/>
    <n v="54888.7"/>
    <n v="0"/>
  </r>
  <r>
    <x v="61"/>
    <s v="8"/>
    <n v="51863.199999999997"/>
    <n v="0"/>
  </r>
  <r>
    <x v="61"/>
    <s v="9"/>
    <n v="50495"/>
    <n v="0"/>
  </r>
  <r>
    <x v="61"/>
    <s v="10"/>
    <n v="53198"/>
    <n v="0"/>
  </r>
  <r>
    <x v="61"/>
    <s v="11"/>
    <n v="53032.9"/>
    <n v="0"/>
  </r>
  <r>
    <x v="61"/>
    <s v="12"/>
    <n v="53141.7"/>
    <n v="0"/>
  </r>
  <r>
    <x v="61"/>
    <s v="13"/>
    <n v="53157.8"/>
    <n v="0"/>
  </r>
  <r>
    <x v="61"/>
    <s v="14"/>
    <n v="53225.7"/>
    <n v="0"/>
  </r>
  <r>
    <x v="61"/>
    <s v="15"/>
    <n v="52940"/>
    <n v="0"/>
  </r>
  <r>
    <x v="61"/>
    <s v="16"/>
    <n v="53127.3"/>
    <n v="0"/>
  </r>
  <r>
    <x v="61"/>
    <s v="17"/>
    <n v="53016.3"/>
    <n v="0"/>
  </r>
  <r>
    <x v="61"/>
    <s v="18"/>
    <n v="53070.7"/>
    <n v="0"/>
  </r>
  <r>
    <x v="61"/>
    <s v="19"/>
    <n v="52885.8"/>
    <n v="0"/>
  </r>
  <r>
    <x v="61"/>
    <s v="20"/>
    <n v="53023.9"/>
    <n v="0"/>
  </r>
  <r>
    <x v="61"/>
    <s v="21"/>
    <n v="53685.2"/>
    <n v="0"/>
  </r>
  <r>
    <x v="61"/>
    <s v="22"/>
    <n v="53957"/>
    <n v="0"/>
  </r>
  <r>
    <x v="61"/>
    <s v="23"/>
    <n v="54406.8"/>
    <n v="0"/>
  </r>
  <r>
    <x v="62"/>
    <s v="0"/>
    <n v="54324.2"/>
    <n v="0"/>
  </r>
  <r>
    <x v="62"/>
    <s v="1"/>
    <n v="54719.199999999997"/>
    <n v="0"/>
  </r>
  <r>
    <x v="62"/>
    <s v="2"/>
    <n v="54775"/>
    <n v="0"/>
  </r>
  <r>
    <x v="62"/>
    <s v="3"/>
    <n v="54640.3"/>
    <n v="0"/>
  </r>
  <r>
    <x v="62"/>
    <s v="4"/>
    <n v="54346"/>
    <n v="0"/>
  </r>
  <r>
    <x v="62"/>
    <s v="5"/>
    <n v="54260.4"/>
    <n v="0"/>
  </r>
  <r>
    <x v="62"/>
    <s v="6"/>
    <n v="53909.9"/>
    <n v="0"/>
  </r>
  <r>
    <x v="62"/>
    <s v="7"/>
    <n v="53950.400000000001"/>
    <n v="0"/>
  </r>
  <r>
    <x v="62"/>
    <s v="8"/>
    <n v="53847"/>
    <n v="0"/>
  </r>
  <r>
    <x v="62"/>
    <s v="9"/>
    <n v="53509.9"/>
    <n v="0"/>
  </r>
  <r>
    <x v="62"/>
    <s v="10"/>
    <n v="53390.400000000001"/>
    <n v="0"/>
  </r>
  <r>
    <x v="62"/>
    <s v="11"/>
    <n v="53446.6"/>
    <n v="0"/>
  </r>
  <r>
    <x v="62"/>
    <s v="12"/>
    <n v="53463.3"/>
    <n v="0"/>
  </r>
  <r>
    <x v="62"/>
    <s v="13"/>
    <n v="52967.5"/>
    <n v="0"/>
  </r>
  <r>
    <x v="62"/>
    <s v="14"/>
    <n v="53138.7"/>
    <n v="0"/>
  </r>
  <r>
    <x v="62"/>
    <s v="15"/>
    <n v="53325.3"/>
    <n v="0"/>
  </r>
  <r>
    <x v="62"/>
    <s v="16"/>
    <n v="53136.9"/>
    <n v="0"/>
  </r>
  <r>
    <x v="62"/>
    <s v="17"/>
    <n v="53085.7"/>
    <n v="0"/>
  </r>
  <r>
    <x v="62"/>
    <s v="18"/>
    <n v="53270.9"/>
    <n v="0"/>
  </r>
  <r>
    <x v="62"/>
    <s v="19"/>
    <n v="53120.1"/>
    <n v="0"/>
  </r>
  <r>
    <x v="62"/>
    <s v="20"/>
    <n v="53050.7"/>
    <n v="0"/>
  </r>
  <r>
    <x v="62"/>
    <s v="21"/>
    <n v="53547.1"/>
    <n v="0"/>
  </r>
  <r>
    <x v="62"/>
    <s v="22"/>
    <n v="54539.3"/>
    <n v="0"/>
  </r>
  <r>
    <x v="62"/>
    <s v="23"/>
    <n v="54402.9"/>
    <n v="0"/>
  </r>
  <r>
    <x v="63"/>
    <s v="0"/>
    <n v="54323.7"/>
    <n v="0"/>
  </r>
  <r>
    <x v="63"/>
    <s v="1"/>
    <n v="54843.7"/>
    <n v="0"/>
  </r>
  <r>
    <x v="63"/>
    <s v="2"/>
    <n v="54948.4"/>
    <n v="0"/>
  </r>
  <r>
    <x v="63"/>
    <s v="3"/>
    <n v="54643.199999999997"/>
    <n v="0"/>
  </r>
  <r>
    <x v="63"/>
    <s v="4"/>
    <n v="54413.5"/>
    <n v="0"/>
  </r>
  <r>
    <x v="63"/>
    <s v="5"/>
    <n v="54258.5"/>
    <n v="0"/>
  </r>
  <r>
    <x v="63"/>
    <s v="6"/>
    <n v="54047.8"/>
    <n v="0"/>
  </r>
  <r>
    <x v="63"/>
    <s v="7"/>
    <n v="54298.9"/>
    <n v="0"/>
  </r>
  <r>
    <x v="63"/>
    <s v="8"/>
    <n v="54220.1"/>
    <n v="0"/>
  </r>
  <r>
    <x v="63"/>
    <s v="9"/>
    <n v="54098.9"/>
    <n v="0"/>
  </r>
  <r>
    <x v="63"/>
    <s v="10"/>
    <n v="54158.1"/>
    <n v="0"/>
  </r>
  <r>
    <x v="63"/>
    <s v="11"/>
    <n v="54561.4"/>
    <n v="0"/>
  </r>
  <r>
    <x v="63"/>
    <s v="12"/>
    <n v="54601.8"/>
    <n v="0"/>
  </r>
  <r>
    <x v="63"/>
    <s v="13"/>
    <n v="54646.400000000001"/>
    <n v="0"/>
  </r>
  <r>
    <x v="63"/>
    <s v="14"/>
    <n v="54690.5"/>
    <n v="0"/>
  </r>
  <r>
    <x v="63"/>
    <s v="15"/>
    <n v="54589.599999999999"/>
    <n v="0"/>
  </r>
  <r>
    <x v="63"/>
    <s v="16"/>
    <n v="54566.3"/>
    <n v="0"/>
  </r>
  <r>
    <x v="63"/>
    <s v="17"/>
    <n v="54662.1"/>
    <n v="0"/>
  </r>
  <r>
    <x v="63"/>
    <s v="18"/>
    <n v="54264.1"/>
    <n v="0"/>
  </r>
  <r>
    <x v="63"/>
    <s v="19"/>
    <n v="53980.9"/>
    <n v="0"/>
  </r>
  <r>
    <x v="63"/>
    <s v="20"/>
    <n v="54022"/>
    <n v="0"/>
  </r>
  <r>
    <x v="63"/>
    <s v="21"/>
    <n v="54039.9"/>
    <n v="0"/>
  </r>
  <r>
    <x v="63"/>
    <s v="22"/>
    <n v="57679"/>
    <n v="0"/>
  </r>
  <r>
    <x v="63"/>
    <s v="23"/>
    <n v="60856.3"/>
    <n v="0"/>
  </r>
  <r>
    <x v="64"/>
    <s v="0"/>
    <n v="53095.7"/>
    <n v="0"/>
  </r>
  <r>
    <x v="64"/>
    <s v="1"/>
    <n v="53573.1"/>
    <n v="0"/>
  </r>
  <r>
    <x v="64"/>
    <s v="2"/>
    <n v="53562.9"/>
    <n v="0"/>
  </r>
  <r>
    <x v="64"/>
    <s v="3"/>
    <n v="53674.7"/>
    <n v="0"/>
  </r>
  <r>
    <x v="64"/>
    <s v="4"/>
    <n v="53547.6"/>
    <n v="0"/>
  </r>
  <r>
    <x v="64"/>
    <s v="5"/>
    <n v="53951.1"/>
    <n v="0"/>
  </r>
  <r>
    <x v="64"/>
    <s v="6"/>
    <n v="54059"/>
    <n v="0"/>
  </r>
  <r>
    <x v="64"/>
    <s v="7"/>
    <n v="53419.4"/>
    <n v="0"/>
  </r>
  <r>
    <x v="64"/>
    <s v="8"/>
    <n v="54276.5"/>
    <n v="0"/>
  </r>
  <r>
    <x v="64"/>
    <s v="9"/>
    <n v="54314.400000000001"/>
    <n v="0"/>
  </r>
  <r>
    <x v="64"/>
    <s v="10"/>
    <n v="55174.2"/>
    <n v="0"/>
  </r>
  <r>
    <x v="64"/>
    <s v="11"/>
    <n v="54646.7"/>
    <n v="0"/>
  </r>
  <r>
    <x v="64"/>
    <s v="12"/>
    <n v="54636.4"/>
    <n v="0"/>
  </r>
  <r>
    <x v="64"/>
    <s v="13"/>
    <n v="54791.8"/>
    <n v="0"/>
  </r>
  <r>
    <x v="64"/>
    <s v="14"/>
    <n v="65055.9"/>
    <n v="0"/>
  </r>
  <r>
    <x v="64"/>
    <s v="15"/>
    <n v="66120.800000000003"/>
    <n v="0"/>
  </r>
  <r>
    <x v="64"/>
    <s v="16"/>
    <n v="54224"/>
    <n v="0"/>
  </r>
  <r>
    <x v="64"/>
    <s v="17"/>
    <n v="53946.2"/>
    <n v="0"/>
  </r>
  <r>
    <x v="64"/>
    <s v="18"/>
    <n v="53969.599999999999"/>
    <n v="0"/>
  </r>
  <r>
    <x v="64"/>
    <s v="19"/>
    <n v="53908.7"/>
    <n v="0"/>
  </r>
  <r>
    <x v="64"/>
    <s v="20"/>
    <n v="53857.599999999999"/>
    <n v="0"/>
  </r>
  <r>
    <x v="64"/>
    <s v="21"/>
    <n v="53791.8"/>
    <n v="0"/>
  </r>
  <r>
    <x v="64"/>
    <s v="22"/>
    <n v="53202.9"/>
    <n v="0"/>
  </r>
  <r>
    <x v="64"/>
    <s v="23"/>
    <n v="54205"/>
    <n v="0"/>
  </r>
  <r>
    <x v="65"/>
    <s v="0"/>
    <n v="54494.2"/>
    <n v="0"/>
  </r>
  <r>
    <x v="65"/>
    <s v="1"/>
    <n v="54421.599999999999"/>
    <n v="0"/>
  </r>
  <r>
    <x v="65"/>
    <s v="2"/>
    <n v="54474.9"/>
    <n v="0"/>
  </r>
  <r>
    <x v="65"/>
    <s v="3"/>
    <n v="54398.1"/>
    <n v="0"/>
  </r>
  <r>
    <x v="65"/>
    <s v="4"/>
    <n v="54542.7"/>
    <n v="0"/>
  </r>
  <r>
    <x v="65"/>
    <s v="5"/>
    <n v="54176.1"/>
    <n v="0"/>
  </r>
  <r>
    <x v="65"/>
    <s v="6"/>
    <n v="54006.400000000001"/>
    <n v="0"/>
  </r>
  <r>
    <x v="65"/>
    <s v="7"/>
    <n v="53978.6"/>
    <n v="0"/>
  </r>
  <r>
    <x v="65"/>
    <s v="8"/>
    <n v="54924.5"/>
    <n v="0"/>
  </r>
  <r>
    <x v="65"/>
    <s v="9"/>
    <n v="54740.800000000003"/>
    <n v="0"/>
  </r>
  <r>
    <x v="65"/>
    <s v="10"/>
    <n v="54684.6"/>
    <n v="0"/>
  </r>
  <r>
    <x v="65"/>
    <s v="11"/>
    <n v="54619.7"/>
    <n v="0"/>
  </r>
  <r>
    <x v="65"/>
    <s v="12"/>
    <n v="54697.1"/>
    <n v="0"/>
  </r>
  <r>
    <x v="65"/>
    <s v="13"/>
    <n v="54632.800000000003"/>
    <n v="0"/>
  </r>
  <r>
    <x v="65"/>
    <s v="14"/>
    <n v="54650.3"/>
    <n v="0"/>
  </r>
  <r>
    <x v="65"/>
    <s v="15"/>
    <n v="54579.1"/>
    <n v="0"/>
  </r>
  <r>
    <x v="65"/>
    <s v="16"/>
    <n v="54579.199999999997"/>
    <n v="0"/>
  </r>
  <r>
    <x v="65"/>
    <s v="17"/>
    <n v="54690.5"/>
    <n v="0"/>
  </r>
  <r>
    <x v="65"/>
    <s v="18"/>
    <n v="54647.3"/>
    <n v="0"/>
  </r>
  <r>
    <x v="65"/>
    <s v="19"/>
    <n v="54707.4"/>
    <n v="0"/>
  </r>
  <r>
    <x v="65"/>
    <s v="20"/>
    <n v="54454"/>
    <n v="0"/>
  </r>
  <r>
    <x v="65"/>
    <s v="21"/>
    <n v="54435.6"/>
    <n v="0"/>
  </r>
  <r>
    <x v="65"/>
    <s v="22"/>
    <n v="59334"/>
    <n v="0"/>
  </r>
  <r>
    <x v="65"/>
    <s v="23"/>
    <n v="52244.9"/>
    <n v="0"/>
  </r>
  <r>
    <x v="66"/>
    <s v="0"/>
    <n v="53562.3"/>
    <n v="0"/>
  </r>
  <r>
    <x v="66"/>
    <s v="1"/>
    <n v="52613"/>
    <n v="0"/>
  </r>
  <r>
    <x v="66"/>
    <s v="2"/>
    <n v="52363.1"/>
    <n v="0"/>
  </r>
  <r>
    <x v="66"/>
    <s v="3"/>
    <n v="52566.3"/>
    <n v="0"/>
  </r>
  <r>
    <x v="66"/>
    <s v="4"/>
    <n v="52511.7"/>
    <n v="0"/>
  </r>
  <r>
    <x v="66"/>
    <s v="5"/>
    <n v="52417.1"/>
    <n v="0"/>
  </r>
  <r>
    <x v="66"/>
    <s v="6"/>
    <n v="52924.800000000003"/>
    <n v="0"/>
  </r>
  <r>
    <x v="66"/>
    <s v="7"/>
    <n v="53101"/>
    <n v="0"/>
  </r>
  <r>
    <x v="66"/>
    <s v="8"/>
    <n v="53060.800000000003"/>
    <n v="0"/>
  </r>
  <r>
    <x v="66"/>
    <s v="9"/>
    <n v="54726.5"/>
    <n v="0"/>
  </r>
  <r>
    <x v="66"/>
    <s v="10"/>
    <n v="54863.7"/>
    <n v="0"/>
  </r>
  <r>
    <x v="66"/>
    <s v="11"/>
    <n v="54098"/>
    <n v="0"/>
  </r>
  <r>
    <x v="66"/>
    <s v="12"/>
    <n v="54455.9"/>
    <n v="0"/>
  </r>
  <r>
    <x v="66"/>
    <s v="13"/>
    <n v="54459.199999999997"/>
    <n v="0"/>
  </r>
  <r>
    <x v="66"/>
    <s v="14"/>
    <n v="54485.1"/>
    <n v="0"/>
  </r>
  <r>
    <x v="66"/>
    <s v="15"/>
    <n v="54444"/>
    <n v="0"/>
  </r>
  <r>
    <x v="66"/>
    <s v="16"/>
    <n v="54366.8"/>
    <n v="0"/>
  </r>
  <r>
    <x v="66"/>
    <s v="17"/>
    <n v="54177.7"/>
    <n v="0"/>
  </r>
  <r>
    <x v="66"/>
    <s v="18"/>
    <n v="54537.8"/>
    <n v="0"/>
  </r>
  <r>
    <x v="66"/>
    <s v="19"/>
    <n v="54379.3"/>
    <n v="0"/>
  </r>
  <r>
    <x v="66"/>
    <s v="20"/>
    <n v="63216.7"/>
    <n v="0"/>
  </r>
  <r>
    <x v="66"/>
    <s v="21"/>
    <n v="54541"/>
    <n v="0"/>
  </r>
  <r>
    <x v="66"/>
    <s v="22"/>
    <n v="54035"/>
    <n v="0"/>
  </r>
  <r>
    <x v="66"/>
    <s v="23"/>
    <n v="53662.8"/>
    <n v="0"/>
  </r>
  <r>
    <x v="67"/>
    <s v="0"/>
    <n v="53679.3"/>
    <n v="0"/>
  </r>
  <r>
    <x v="67"/>
    <s v="1"/>
    <n v="54348.2"/>
    <n v="0"/>
  </r>
  <r>
    <x v="67"/>
    <s v="2"/>
    <n v="54515.1"/>
    <n v="0"/>
  </r>
  <r>
    <x v="67"/>
    <s v="3"/>
    <n v="54445.2"/>
    <n v="0"/>
  </r>
  <r>
    <x v="67"/>
    <s v="4"/>
    <n v="54767.5"/>
    <n v="0"/>
  </r>
  <r>
    <x v="67"/>
    <s v="5"/>
    <n v="53810.8"/>
    <n v="0"/>
  </r>
  <r>
    <x v="67"/>
    <s v="6"/>
    <n v="54018"/>
    <n v="0"/>
  </r>
  <r>
    <x v="67"/>
    <s v="7"/>
    <n v="54123.1"/>
    <n v="0"/>
  </r>
  <r>
    <x v="67"/>
    <s v="8"/>
    <n v="54127.4"/>
    <n v="0"/>
  </r>
  <r>
    <x v="67"/>
    <s v="9"/>
    <n v="55148.6"/>
    <n v="0"/>
  </r>
  <r>
    <x v="67"/>
    <s v="10"/>
    <n v="54763.3"/>
    <n v="0"/>
  </r>
  <r>
    <x v="67"/>
    <s v="11"/>
    <n v="54761.5"/>
    <n v="0"/>
  </r>
  <r>
    <x v="67"/>
    <s v="12"/>
    <n v="54392.7"/>
    <n v="0"/>
  </r>
  <r>
    <x v="67"/>
    <s v="13"/>
    <n v="54581.8"/>
    <n v="0"/>
  </r>
  <r>
    <x v="67"/>
    <s v="14"/>
    <n v="54534.3"/>
    <n v="0"/>
  </r>
  <r>
    <x v="67"/>
    <s v="15"/>
    <n v="54510.400000000001"/>
    <n v="0"/>
  </r>
  <r>
    <x v="67"/>
    <s v="16"/>
    <n v="54396.1"/>
    <n v="0"/>
  </r>
  <r>
    <x v="67"/>
    <s v="17"/>
    <n v="54575.1"/>
    <n v="0"/>
  </r>
  <r>
    <x v="67"/>
    <s v="18"/>
    <n v="54591.7"/>
    <n v="0"/>
  </r>
  <r>
    <x v="67"/>
    <s v="19"/>
    <n v="54436"/>
    <n v="0"/>
  </r>
  <r>
    <x v="67"/>
    <s v="20"/>
    <n v="59771.6"/>
    <n v="0"/>
  </r>
  <r>
    <x v="67"/>
    <s v="21"/>
    <n v="53861"/>
    <n v="0"/>
  </r>
  <r>
    <x v="67"/>
    <s v="22"/>
    <n v="53961.8"/>
    <n v="0"/>
  </r>
  <r>
    <x v="67"/>
    <s v="23"/>
    <n v="54079.199999999997"/>
    <n v="0"/>
  </r>
  <r>
    <x v="68"/>
    <s v="0"/>
    <n v="52980"/>
    <n v="0"/>
  </r>
  <r>
    <x v="68"/>
    <s v="1"/>
    <n v="53762.3"/>
    <n v="0"/>
  </r>
  <r>
    <x v="68"/>
    <s v="2"/>
    <n v="53760.800000000003"/>
    <n v="0"/>
  </r>
  <r>
    <x v="68"/>
    <s v="3"/>
    <n v="53673"/>
    <n v="0"/>
  </r>
  <r>
    <x v="68"/>
    <s v="4"/>
    <n v="53628"/>
    <n v="0"/>
  </r>
  <r>
    <x v="68"/>
    <s v="5"/>
    <n v="52998.5"/>
    <n v="0"/>
  </r>
  <r>
    <x v="68"/>
    <s v="6"/>
    <n v="53444.1"/>
    <n v="0"/>
  </r>
  <r>
    <x v="68"/>
    <s v="7"/>
    <n v="53581.2"/>
    <n v="0"/>
  </r>
  <r>
    <x v="68"/>
    <s v="8"/>
    <n v="53482.6"/>
    <n v="0"/>
  </r>
  <r>
    <x v="68"/>
    <s v="9"/>
    <n v="54510.2"/>
    <n v="0"/>
  </r>
  <r>
    <x v="68"/>
    <s v="10"/>
    <n v="54499.4"/>
    <n v="0"/>
  </r>
  <r>
    <x v="68"/>
    <s v="11"/>
    <n v="54510.400000000001"/>
    <n v="0"/>
  </r>
  <r>
    <x v="68"/>
    <s v="12"/>
    <n v="54455.7"/>
    <n v="0"/>
  </r>
  <r>
    <x v="68"/>
    <s v="13"/>
    <n v="54517.7"/>
    <n v="0"/>
  </r>
  <r>
    <x v="68"/>
    <s v="14"/>
    <n v="54433.8"/>
    <n v="0"/>
  </r>
  <r>
    <x v="68"/>
    <s v="15"/>
    <n v="54385.8"/>
    <n v="0"/>
  </r>
  <r>
    <x v="68"/>
    <s v="16"/>
    <n v="54366.7"/>
    <n v="0"/>
  </r>
  <r>
    <x v="68"/>
    <s v="17"/>
    <n v="54505.8"/>
    <n v="0"/>
  </r>
  <r>
    <x v="68"/>
    <s v="18"/>
    <n v="54526.8"/>
    <n v="0"/>
  </r>
  <r>
    <x v="68"/>
    <s v="19"/>
    <n v="54345.7"/>
    <n v="0"/>
  </r>
  <r>
    <x v="68"/>
    <s v="20"/>
    <n v="54381.2"/>
    <n v="0"/>
  </r>
  <r>
    <x v="68"/>
    <s v="21"/>
    <n v="54395.1"/>
    <n v="0"/>
  </r>
  <r>
    <x v="68"/>
    <s v="22"/>
    <n v="54676.5"/>
    <n v="0"/>
  </r>
  <r>
    <x v="68"/>
    <s v="23"/>
    <n v="53190.7"/>
    <n v="0"/>
  </r>
  <r>
    <x v="69"/>
    <s v="0"/>
    <n v="53744.2"/>
    <n v="0"/>
  </r>
  <r>
    <x v="69"/>
    <s v="1"/>
    <n v="54322.3"/>
    <n v="0"/>
  </r>
  <r>
    <x v="69"/>
    <s v="2"/>
    <n v="54225.599999999999"/>
    <n v="0"/>
  </r>
  <r>
    <x v="69"/>
    <s v="3"/>
    <n v="54163.199999999997"/>
    <n v="0"/>
  </r>
  <r>
    <x v="69"/>
    <s v="4"/>
    <n v="54057.2"/>
    <n v="0"/>
  </r>
  <r>
    <x v="69"/>
    <s v="5"/>
    <n v="54296.6"/>
    <n v="0"/>
  </r>
  <r>
    <x v="69"/>
    <s v="6"/>
    <n v="53056.6"/>
    <n v="0"/>
  </r>
  <r>
    <x v="69"/>
    <s v="7"/>
    <n v="50787.7"/>
    <n v="0"/>
  </r>
  <r>
    <x v="69"/>
    <s v="8"/>
    <n v="51583.4"/>
    <n v="0"/>
  </r>
  <r>
    <x v="69"/>
    <s v="9"/>
    <n v="52378.8"/>
    <n v="0"/>
  </r>
  <r>
    <x v="69"/>
    <s v="10"/>
    <n v="53298.8"/>
    <n v="0"/>
  </r>
  <r>
    <x v="69"/>
    <s v="11"/>
    <n v="53279.199999999997"/>
    <n v="0"/>
  </r>
  <r>
    <x v="69"/>
    <s v="12"/>
    <n v="53431.3"/>
    <n v="0"/>
  </r>
  <r>
    <x v="69"/>
    <s v="13"/>
    <n v="53420.1"/>
    <n v="0"/>
  </r>
  <r>
    <x v="69"/>
    <s v="14"/>
    <n v="53481.3"/>
    <n v="0"/>
  </r>
  <r>
    <x v="69"/>
    <s v="15"/>
    <n v="53397.2"/>
    <n v="0"/>
  </r>
  <r>
    <x v="69"/>
    <s v="16"/>
    <n v="53559.5"/>
    <n v="0"/>
  </r>
  <r>
    <x v="69"/>
    <s v="17"/>
    <n v="53394.3"/>
    <n v="0"/>
  </r>
  <r>
    <x v="69"/>
    <s v="18"/>
    <n v="53620.7"/>
    <n v="0"/>
  </r>
  <r>
    <x v="69"/>
    <s v="19"/>
    <n v="53407.8"/>
    <n v="0"/>
  </r>
  <r>
    <x v="69"/>
    <s v="20"/>
    <n v="53389.5"/>
    <n v="0"/>
  </r>
  <r>
    <x v="69"/>
    <s v="21"/>
    <n v="53634.1"/>
    <n v="0"/>
  </r>
  <r>
    <x v="69"/>
    <s v="22"/>
    <n v="53816.6"/>
    <n v="0"/>
  </r>
  <r>
    <x v="69"/>
    <s v="23"/>
    <n v="53380.7"/>
    <n v="0"/>
  </r>
  <r>
    <x v="70"/>
    <s v="0"/>
    <n v="53958"/>
    <n v="0"/>
  </r>
  <r>
    <x v="70"/>
    <s v="1"/>
    <n v="54877"/>
    <n v="0"/>
  </r>
  <r>
    <x v="70"/>
    <s v="2"/>
    <n v="53762.6"/>
    <n v="0"/>
  </r>
  <r>
    <x v="70"/>
    <s v="3"/>
    <n v="53161"/>
    <n v="0"/>
  </r>
  <r>
    <x v="70"/>
    <s v="4"/>
    <n v="53223.199999999997"/>
    <n v="0"/>
  </r>
  <r>
    <x v="70"/>
    <s v="5"/>
    <n v="53005.7"/>
    <n v="0"/>
  </r>
  <r>
    <x v="70"/>
    <s v="6"/>
    <n v="53116.9"/>
    <n v="0"/>
  </r>
  <r>
    <x v="70"/>
    <s v="7"/>
    <n v="53336.5"/>
    <n v="0"/>
  </r>
  <r>
    <x v="70"/>
    <s v="8"/>
    <n v="53353.2"/>
    <n v="0"/>
  </r>
  <r>
    <x v="70"/>
    <s v="9"/>
    <n v="52328.3"/>
    <n v="0"/>
  </r>
  <r>
    <x v="70"/>
    <s v="10"/>
    <n v="51966.9"/>
    <n v="0"/>
  </r>
  <r>
    <x v="70"/>
    <s v="11"/>
    <n v="52070.6"/>
    <n v="0"/>
  </r>
  <r>
    <x v="70"/>
    <s v="12"/>
    <n v="52460.9"/>
    <n v="0"/>
  </r>
  <r>
    <x v="70"/>
    <s v="13"/>
    <n v="52508.4"/>
    <n v="0"/>
  </r>
  <r>
    <x v="70"/>
    <s v="14"/>
    <n v="52660.3"/>
    <n v="0"/>
  </r>
  <r>
    <x v="70"/>
    <s v="15"/>
    <n v="52682.5"/>
    <n v="0"/>
  </r>
  <r>
    <x v="70"/>
    <s v="16"/>
    <n v="52687.8"/>
    <n v="0"/>
  </r>
  <r>
    <x v="70"/>
    <s v="17"/>
    <n v="52646"/>
    <n v="0"/>
  </r>
  <r>
    <x v="70"/>
    <s v="18"/>
    <n v="51903.6"/>
    <n v="0"/>
  </r>
  <r>
    <x v="70"/>
    <s v="19"/>
    <n v="51246.7"/>
    <n v="0"/>
  </r>
  <r>
    <x v="70"/>
    <s v="20"/>
    <n v="52908.6"/>
    <n v="0"/>
  </r>
  <r>
    <x v="70"/>
    <s v="21"/>
    <n v="55096.3"/>
    <n v="0"/>
  </r>
  <r>
    <x v="70"/>
    <s v="22"/>
    <n v="54715.199999999997"/>
    <n v="0"/>
  </r>
  <r>
    <x v="70"/>
    <s v="23"/>
    <n v="54674.9"/>
    <n v="0"/>
  </r>
  <r>
    <x v="71"/>
    <s v="0"/>
    <n v="53322.8"/>
    <n v="0"/>
  </r>
  <r>
    <x v="71"/>
    <s v="1"/>
    <n v="53846.6"/>
    <n v="0"/>
  </r>
  <r>
    <x v="71"/>
    <s v="2"/>
    <n v="53793"/>
    <n v="0"/>
  </r>
  <r>
    <x v="71"/>
    <s v="3"/>
    <n v="53849.3"/>
    <n v="0"/>
  </r>
  <r>
    <x v="71"/>
    <s v="4"/>
    <n v="53109.599999999999"/>
    <n v="0"/>
  </r>
  <r>
    <x v="71"/>
    <s v="5"/>
    <n v="52246"/>
    <n v="0"/>
  </r>
  <r>
    <x v="71"/>
    <s v="6"/>
    <n v="52172.7"/>
    <n v="0"/>
  </r>
  <r>
    <x v="71"/>
    <s v="7"/>
    <n v="52233.5"/>
    <n v="0"/>
  </r>
  <r>
    <x v="71"/>
    <s v="8"/>
    <n v="52452.4"/>
    <n v="0"/>
  </r>
  <r>
    <x v="71"/>
    <s v="9"/>
    <n v="53267.3"/>
    <n v="0"/>
  </r>
  <r>
    <x v="71"/>
    <s v="10"/>
    <n v="53072.7"/>
    <n v="0"/>
  </r>
  <r>
    <x v="71"/>
    <s v="11"/>
    <n v="52947.7"/>
    <n v="0"/>
  </r>
  <r>
    <x v="71"/>
    <s v="12"/>
    <n v="52974.400000000001"/>
    <n v="0"/>
  </r>
  <r>
    <x v="71"/>
    <s v="13"/>
    <n v="53227.9"/>
    <n v="0"/>
  </r>
  <r>
    <x v="71"/>
    <s v="14"/>
    <n v="53083.7"/>
    <n v="0"/>
  </r>
  <r>
    <x v="71"/>
    <s v="15"/>
    <n v="53081.5"/>
    <n v="0"/>
  </r>
  <r>
    <x v="71"/>
    <s v="16"/>
    <n v="53000.1"/>
    <n v="0"/>
  </r>
  <r>
    <x v="71"/>
    <s v="17"/>
    <n v="52739.5"/>
    <n v="0"/>
  </r>
  <r>
    <x v="71"/>
    <s v="18"/>
    <n v="53466.400000000001"/>
    <n v="0"/>
  </r>
  <r>
    <x v="71"/>
    <s v="19"/>
    <n v="53139.6"/>
    <n v="0"/>
  </r>
  <r>
    <x v="71"/>
    <s v="20"/>
    <n v="52998.7"/>
    <n v="0"/>
  </r>
  <r>
    <x v="71"/>
    <s v="21"/>
    <n v="53071.4"/>
    <n v="0"/>
  </r>
  <r>
    <x v="71"/>
    <s v="22"/>
    <n v="54113.4"/>
    <n v="0"/>
  </r>
  <r>
    <x v="71"/>
    <s v="23"/>
    <n v="54068.9"/>
    <n v="0"/>
  </r>
  <r>
    <x v="72"/>
    <s v="0"/>
    <n v="53907.1"/>
    <n v="0"/>
  </r>
  <r>
    <x v="72"/>
    <s v="1"/>
    <n v="54396.6"/>
    <n v="0"/>
  </r>
  <r>
    <x v="72"/>
    <s v="2"/>
    <n v="54516.2"/>
    <n v="0"/>
  </r>
  <r>
    <x v="72"/>
    <s v="3"/>
    <n v="54491.4"/>
    <n v="0"/>
  </r>
  <r>
    <x v="72"/>
    <s v="4"/>
    <n v="53497"/>
    <n v="0"/>
  </r>
  <r>
    <x v="72"/>
    <s v="5"/>
    <n v="53239.9"/>
    <n v="0"/>
  </r>
  <r>
    <x v="72"/>
    <s v="6"/>
    <n v="53088.5"/>
    <n v="0"/>
  </r>
  <r>
    <x v="72"/>
    <s v="7"/>
    <n v="52335.6"/>
    <n v="0"/>
  </r>
  <r>
    <x v="72"/>
    <s v="8"/>
    <n v="52795.9"/>
    <n v="0"/>
  </r>
  <r>
    <x v="72"/>
    <s v="9"/>
    <n v="52998.9"/>
    <n v="0"/>
  </r>
  <r>
    <x v="72"/>
    <s v="10"/>
    <n v="53378.400000000001"/>
    <n v="0"/>
  </r>
  <r>
    <x v="72"/>
    <s v="11"/>
    <n v="53343.1"/>
    <n v="0"/>
  </r>
  <r>
    <x v="72"/>
    <s v="12"/>
    <n v="53397.4"/>
    <n v="0"/>
  </r>
  <r>
    <x v="72"/>
    <s v="13"/>
    <n v="53474.1"/>
    <n v="0"/>
  </r>
  <r>
    <x v="72"/>
    <s v="14"/>
    <n v="53491.1"/>
    <n v="0"/>
  </r>
  <r>
    <x v="72"/>
    <s v="15"/>
    <n v="53417.4"/>
    <n v="0"/>
  </r>
  <r>
    <x v="72"/>
    <s v="16"/>
    <n v="53165.9"/>
    <n v="0"/>
  </r>
  <r>
    <x v="72"/>
    <s v="17"/>
    <n v="53482.2"/>
    <n v="0"/>
  </r>
  <r>
    <x v="72"/>
    <s v="18"/>
    <n v="53832.3"/>
    <n v="0"/>
  </r>
  <r>
    <x v="72"/>
    <s v="19"/>
    <n v="53277.4"/>
    <n v="0"/>
  </r>
  <r>
    <x v="72"/>
    <s v="20"/>
    <n v="53451.199999999997"/>
    <n v="0"/>
  </r>
  <r>
    <x v="72"/>
    <s v="21"/>
    <n v="53232.800000000003"/>
    <n v="0"/>
  </r>
  <r>
    <x v="72"/>
    <s v="22"/>
    <n v="53418.2"/>
    <n v="0"/>
  </r>
  <r>
    <x v="72"/>
    <s v="23"/>
    <n v="53556.7"/>
    <n v="0"/>
  </r>
  <r>
    <x v="73"/>
    <s v="0"/>
    <n v="53766.8"/>
    <n v="0"/>
  </r>
  <r>
    <x v="73"/>
    <s v="1"/>
    <n v="54292.5"/>
    <n v="0"/>
  </r>
  <r>
    <x v="73"/>
    <s v="2"/>
    <n v="54450.1"/>
    <n v="0"/>
  </r>
  <r>
    <x v="73"/>
    <s v="3"/>
    <n v="53252.800000000003"/>
    <n v="0"/>
  </r>
  <r>
    <x v="73"/>
    <s v="4"/>
    <n v="53729.4"/>
    <n v="0"/>
  </r>
  <r>
    <x v="73"/>
    <s v="5"/>
    <n v="53664.2"/>
    <n v="0"/>
  </r>
  <r>
    <x v="73"/>
    <s v="6"/>
    <n v="53489.599999999999"/>
    <n v="0"/>
  </r>
  <r>
    <x v="73"/>
    <s v="7"/>
    <n v="53774.3"/>
    <n v="0"/>
  </r>
  <r>
    <x v="73"/>
    <s v="8"/>
    <n v="53525.4"/>
    <n v="0"/>
  </r>
  <r>
    <x v="73"/>
    <s v="9"/>
    <n v="53297.4"/>
    <n v="0"/>
  </r>
  <r>
    <x v="73"/>
    <s v="10"/>
    <n v="53382.8"/>
    <n v="0"/>
  </r>
  <r>
    <x v="73"/>
    <s v="11"/>
    <n v="53586.8"/>
    <n v="0"/>
  </r>
  <r>
    <x v="73"/>
    <s v="12"/>
    <n v="53468.1"/>
    <n v="0"/>
  </r>
  <r>
    <x v="73"/>
    <s v="13"/>
    <n v="53235.4"/>
    <n v="0"/>
  </r>
  <r>
    <x v="73"/>
    <s v="14"/>
    <n v="52982"/>
    <n v="0"/>
  </r>
  <r>
    <x v="73"/>
    <s v="15"/>
    <n v="53112"/>
    <n v="0"/>
  </r>
  <r>
    <x v="73"/>
    <s v="16"/>
    <n v="52876.4"/>
    <n v="0"/>
  </r>
  <r>
    <x v="73"/>
    <s v="17"/>
    <n v="52748.9"/>
    <n v="0"/>
  </r>
  <r>
    <x v="73"/>
    <s v="18"/>
    <n v="52813.3"/>
    <n v="0"/>
  </r>
  <r>
    <x v="73"/>
    <s v="19"/>
    <n v="52484.800000000003"/>
    <n v="0"/>
  </r>
  <r>
    <x v="73"/>
    <s v="20"/>
    <n v="54698.8"/>
    <n v="0"/>
  </r>
  <r>
    <x v="73"/>
    <s v="21"/>
    <n v="54769.599999999999"/>
    <n v="0"/>
  </r>
  <r>
    <x v="73"/>
    <s v="22"/>
    <n v="54866.5"/>
    <n v="0"/>
  </r>
  <r>
    <x v="73"/>
    <s v="23"/>
    <n v="54773.7"/>
    <n v="0"/>
  </r>
  <r>
    <x v="74"/>
    <s v="0"/>
    <n v="54916.1"/>
    <n v="0"/>
  </r>
  <r>
    <x v="74"/>
    <s v="1"/>
    <n v="54743"/>
    <n v="0"/>
  </r>
  <r>
    <x v="74"/>
    <s v="2"/>
    <n v="53709.7"/>
    <n v="0"/>
  </r>
  <r>
    <x v="74"/>
    <s v="3"/>
    <n v="53636.9"/>
    <n v="0"/>
  </r>
  <r>
    <x v="74"/>
    <s v="4"/>
    <n v="53824.7"/>
    <n v="0"/>
  </r>
  <r>
    <x v="74"/>
    <s v="5"/>
    <n v="17265.599999999999"/>
    <n v="0"/>
  </r>
  <r>
    <x v="74"/>
    <s v="6"/>
    <n v="480.7"/>
    <n v="699.4"/>
  </r>
  <r>
    <x v="74"/>
    <s v="7"/>
    <n v="18006.400000000001"/>
    <n v="9.5"/>
  </r>
  <r>
    <x v="74"/>
    <s v="8"/>
    <n v="42955.5"/>
    <n v="0"/>
  </r>
  <r>
    <x v="74"/>
    <s v="9"/>
    <n v="53620.2"/>
    <n v="0"/>
  </r>
  <r>
    <x v="74"/>
    <s v="10"/>
    <n v="53554.1"/>
    <n v="0"/>
  </r>
  <r>
    <x v="74"/>
    <s v="11"/>
    <n v="52564.2"/>
    <n v="0"/>
  </r>
  <r>
    <x v="74"/>
    <s v="12"/>
    <n v="52575.8"/>
    <n v="0"/>
  </r>
  <r>
    <x v="74"/>
    <s v="13"/>
    <n v="52627"/>
    <n v="0"/>
  </r>
  <r>
    <x v="74"/>
    <s v="14"/>
    <n v="52645.3"/>
    <n v="0"/>
  </r>
  <r>
    <x v="74"/>
    <s v="15"/>
    <n v="52603.4"/>
    <n v="0"/>
  </r>
  <r>
    <x v="74"/>
    <s v="16"/>
    <n v="52527.3"/>
    <n v="0"/>
  </r>
  <r>
    <x v="74"/>
    <s v="17"/>
    <n v="52563"/>
    <n v="0"/>
  </r>
  <r>
    <x v="74"/>
    <s v="18"/>
    <n v="52661.1"/>
    <n v="0"/>
  </r>
  <r>
    <x v="74"/>
    <s v="19"/>
    <n v="52686.2"/>
    <n v="0"/>
  </r>
  <r>
    <x v="74"/>
    <s v="20"/>
    <n v="52570.6"/>
    <n v="0"/>
  </r>
  <r>
    <x v="74"/>
    <s v="21"/>
    <n v="52659.9"/>
    <n v="0"/>
  </r>
  <r>
    <x v="74"/>
    <s v="22"/>
    <n v="53834.8"/>
    <n v="0"/>
  </r>
  <r>
    <x v="74"/>
    <s v="23"/>
    <n v="53857"/>
    <n v="0"/>
  </r>
  <r>
    <x v="75"/>
    <s v="0"/>
    <n v="53713.5"/>
    <n v="0"/>
  </r>
  <r>
    <x v="75"/>
    <s v="1"/>
    <n v="53966.1"/>
    <n v="0"/>
  </r>
  <r>
    <x v="75"/>
    <s v="2"/>
    <n v="54021.4"/>
    <n v="0"/>
  </r>
  <r>
    <x v="75"/>
    <s v="3"/>
    <n v="54083.199999999997"/>
    <n v="0"/>
  </r>
  <r>
    <x v="75"/>
    <s v="4"/>
    <n v="54467.4"/>
    <n v="0"/>
  </r>
  <r>
    <x v="75"/>
    <s v="5"/>
    <n v="16998"/>
    <n v="0"/>
  </r>
  <r>
    <x v="75"/>
    <s v="6"/>
    <n v="47.2"/>
    <n v="672.9"/>
  </r>
  <r>
    <x v="75"/>
    <s v="7"/>
    <n v="16713.8"/>
    <n v="21"/>
  </r>
  <r>
    <x v="75"/>
    <s v="8"/>
    <n v="42911"/>
    <n v="0"/>
  </r>
  <r>
    <x v="75"/>
    <s v="9"/>
    <n v="53916"/>
    <n v="0"/>
  </r>
  <r>
    <x v="75"/>
    <s v="10"/>
    <n v="54965.3"/>
    <n v="0"/>
  </r>
  <r>
    <x v="75"/>
    <s v="11"/>
    <n v="54467.5"/>
    <n v="0"/>
  </r>
  <r>
    <x v="75"/>
    <s v="12"/>
    <n v="54499.8"/>
    <n v="0"/>
  </r>
  <r>
    <x v="75"/>
    <s v="13"/>
    <n v="54448"/>
    <n v="0"/>
  </r>
  <r>
    <x v="75"/>
    <s v="14"/>
    <n v="54789.4"/>
    <n v="0"/>
  </r>
  <r>
    <x v="75"/>
    <s v="15"/>
    <n v="67548.800000000003"/>
    <n v="0"/>
  </r>
  <r>
    <x v="75"/>
    <s v="16"/>
    <n v="58624.5"/>
    <n v="0"/>
  </r>
  <r>
    <x v="75"/>
    <s v="17"/>
    <n v="54775.9"/>
    <n v="0"/>
  </r>
  <r>
    <x v="75"/>
    <s v="18"/>
    <n v="54207"/>
    <n v="0"/>
  </r>
  <r>
    <x v="75"/>
    <s v="19"/>
    <n v="53943.4"/>
    <n v="0"/>
  </r>
  <r>
    <x v="75"/>
    <s v="20"/>
    <n v="54123.7"/>
    <n v="0"/>
  </r>
  <r>
    <x v="75"/>
    <s v="21"/>
    <n v="54031.3"/>
    <n v="0"/>
  </r>
  <r>
    <x v="75"/>
    <s v="22"/>
    <n v="54228.3"/>
    <n v="0"/>
  </r>
  <r>
    <x v="75"/>
    <s v="23"/>
    <n v="54205.4"/>
    <n v="0"/>
  </r>
  <r>
    <x v="76"/>
    <s v="0"/>
    <n v="53594.1"/>
    <n v="0"/>
  </r>
  <r>
    <x v="76"/>
    <s v="1"/>
    <n v="54326.400000000001"/>
    <n v="0"/>
  </r>
  <r>
    <x v="76"/>
    <s v="2"/>
    <n v="54228.9"/>
    <n v="0"/>
  </r>
  <r>
    <x v="76"/>
    <s v="3"/>
    <n v="54277.1"/>
    <n v="0"/>
  </r>
  <r>
    <x v="76"/>
    <s v="4"/>
    <n v="53723.5"/>
    <n v="0"/>
  </r>
  <r>
    <x v="76"/>
    <s v="5"/>
    <n v="53674.6"/>
    <n v="0"/>
  </r>
  <r>
    <x v="76"/>
    <s v="6"/>
    <n v="53832.3"/>
    <n v="0"/>
  </r>
  <r>
    <x v="76"/>
    <s v="7"/>
    <n v="53585.5"/>
    <n v="0"/>
  </r>
  <r>
    <x v="76"/>
    <s v="8"/>
    <n v="53817.599999999999"/>
    <n v="0"/>
  </r>
  <r>
    <x v="76"/>
    <s v="9"/>
    <n v="53893.7"/>
    <n v="0"/>
  </r>
  <r>
    <x v="76"/>
    <s v="10"/>
    <n v="54787.6"/>
    <n v="0"/>
  </r>
  <r>
    <x v="76"/>
    <s v="11"/>
    <n v="54049.8"/>
    <n v="0"/>
  </r>
  <r>
    <x v="76"/>
    <s v="12"/>
    <n v="54278.5"/>
    <n v="0"/>
  </r>
  <r>
    <x v="76"/>
    <s v="13"/>
    <n v="54224.9"/>
    <n v="0"/>
  </r>
  <r>
    <x v="76"/>
    <s v="14"/>
    <n v="54128.7"/>
    <n v="0"/>
  </r>
  <r>
    <x v="76"/>
    <s v="15"/>
    <n v="54089.599999999999"/>
    <n v="0"/>
  </r>
  <r>
    <x v="76"/>
    <s v="16"/>
    <n v="54272.6"/>
    <n v="0"/>
  </r>
  <r>
    <x v="76"/>
    <s v="17"/>
    <n v="54154.2"/>
    <n v="0"/>
  </r>
  <r>
    <x v="76"/>
    <s v="18"/>
    <n v="54348"/>
    <n v="0"/>
  </r>
  <r>
    <x v="76"/>
    <s v="19"/>
    <n v="54034.5"/>
    <n v="0"/>
  </r>
  <r>
    <x v="76"/>
    <s v="20"/>
    <n v="54059.5"/>
    <n v="0"/>
  </r>
  <r>
    <x v="76"/>
    <s v="21"/>
    <n v="54276.4"/>
    <n v="0"/>
  </r>
  <r>
    <x v="76"/>
    <s v="22"/>
    <n v="54225.1"/>
    <n v="0"/>
  </r>
  <r>
    <x v="76"/>
    <s v="23"/>
    <n v="54074.9"/>
    <n v="0"/>
  </r>
  <r>
    <x v="77"/>
    <s v="0"/>
    <n v="53543.7"/>
    <n v="0"/>
  </r>
  <r>
    <x v="77"/>
    <s v="1"/>
    <n v="53847.7"/>
    <n v="0"/>
  </r>
  <r>
    <x v="77"/>
    <s v="2"/>
    <n v="54468.9"/>
    <n v="0"/>
  </r>
  <r>
    <x v="77"/>
    <s v="3"/>
    <n v="54451.5"/>
    <n v="0"/>
  </r>
  <r>
    <x v="77"/>
    <s v="4"/>
    <n v="54492.1"/>
    <n v="0"/>
  </r>
  <r>
    <x v="77"/>
    <s v="5"/>
    <n v="54412.3"/>
    <n v="0"/>
  </r>
  <r>
    <x v="77"/>
    <s v="6"/>
    <n v="54628.6"/>
    <n v="0"/>
  </r>
  <r>
    <x v="77"/>
    <s v="7"/>
    <n v="54844.7"/>
    <n v="0"/>
  </r>
  <r>
    <x v="77"/>
    <s v="8"/>
    <n v="54658.1"/>
    <n v="0"/>
  </r>
  <r>
    <x v="77"/>
    <s v="9"/>
    <n v="54749.7"/>
    <n v="0"/>
  </r>
  <r>
    <x v="77"/>
    <s v="10"/>
    <n v="54539.5"/>
    <n v="0"/>
  </r>
  <r>
    <x v="77"/>
    <s v="11"/>
    <n v="54768.1"/>
    <n v="0"/>
  </r>
  <r>
    <x v="77"/>
    <s v="12"/>
    <n v="54459.7"/>
    <n v="0"/>
  </r>
  <r>
    <x v="77"/>
    <s v="13"/>
    <n v="54773.5"/>
    <n v="0"/>
  </r>
  <r>
    <x v="77"/>
    <s v="14"/>
    <n v="54896.1"/>
    <n v="0"/>
  </r>
  <r>
    <x v="77"/>
    <s v="15"/>
    <n v="54874.9"/>
    <n v="0"/>
  </r>
  <r>
    <x v="77"/>
    <s v="16"/>
    <n v="54851.1"/>
    <n v="0"/>
  </r>
  <r>
    <x v="77"/>
    <s v="17"/>
    <n v="54852.6"/>
    <n v="0"/>
  </r>
  <r>
    <x v="77"/>
    <s v="18"/>
    <n v="54837.7"/>
    <n v="0"/>
  </r>
  <r>
    <x v="77"/>
    <s v="19"/>
    <n v="54807"/>
    <n v="0"/>
  </r>
  <r>
    <x v="77"/>
    <s v="20"/>
    <n v="54820.800000000003"/>
    <n v="0"/>
  </r>
  <r>
    <x v="77"/>
    <s v="21"/>
    <n v="54756.3"/>
    <n v="0"/>
  </r>
  <r>
    <x v="77"/>
    <s v="22"/>
    <n v="54802.8"/>
    <n v="0"/>
  </r>
  <r>
    <x v="77"/>
    <s v="23"/>
    <n v="54827.6"/>
    <n v="0"/>
  </r>
  <r>
    <x v="78"/>
    <s v="0"/>
    <n v="54266.2"/>
    <n v="0"/>
  </r>
  <r>
    <x v="78"/>
    <s v="1"/>
    <n v="54729.1"/>
    <n v="0"/>
  </r>
  <r>
    <x v="78"/>
    <s v="2"/>
    <n v="54423.199999999997"/>
    <n v="0"/>
  </r>
  <r>
    <x v="78"/>
    <s v="3"/>
    <n v="53729.5"/>
    <n v="0"/>
  </r>
  <r>
    <x v="78"/>
    <s v="4"/>
    <n v="53892.7"/>
    <n v="0"/>
  </r>
  <r>
    <x v="78"/>
    <s v="5"/>
    <n v="53568.1"/>
    <n v="0"/>
  </r>
  <r>
    <x v="78"/>
    <s v="6"/>
    <n v="53255.1"/>
    <n v="0"/>
  </r>
  <r>
    <x v="78"/>
    <s v="7"/>
    <n v="53381.5"/>
    <n v="0"/>
  </r>
  <r>
    <x v="78"/>
    <s v="8"/>
    <n v="52767.7"/>
    <n v="0"/>
  </r>
  <r>
    <x v="78"/>
    <s v="9"/>
    <n v="52858.2"/>
    <n v="0"/>
  </r>
  <r>
    <x v="78"/>
    <s v="10"/>
    <n v="52542"/>
    <n v="0"/>
  </r>
  <r>
    <x v="78"/>
    <s v="11"/>
    <n v="53211.199999999997"/>
    <n v="0"/>
  </r>
  <r>
    <x v="78"/>
    <s v="12"/>
    <n v="53233.2"/>
    <n v="0"/>
  </r>
  <r>
    <x v="78"/>
    <s v="13"/>
    <n v="53248.4"/>
    <n v="0"/>
  </r>
  <r>
    <x v="78"/>
    <s v="14"/>
    <n v="53050.2"/>
    <n v="0"/>
  </r>
  <r>
    <x v="78"/>
    <s v="15"/>
    <n v="53170.5"/>
    <n v="0"/>
  </r>
  <r>
    <x v="78"/>
    <s v="16"/>
    <n v="53327.9"/>
    <n v="0"/>
  </r>
  <r>
    <x v="78"/>
    <s v="17"/>
    <n v="53172.1"/>
    <n v="0"/>
  </r>
  <r>
    <x v="78"/>
    <s v="18"/>
    <n v="53091.9"/>
    <n v="0"/>
  </r>
  <r>
    <x v="78"/>
    <s v="19"/>
    <n v="53103.3"/>
    <n v="0"/>
  </r>
  <r>
    <x v="78"/>
    <s v="20"/>
    <n v="53147.6"/>
    <n v="0"/>
  </r>
  <r>
    <x v="78"/>
    <s v="21"/>
    <n v="53131.3"/>
    <n v="0"/>
  </r>
  <r>
    <x v="78"/>
    <s v="22"/>
    <n v="53107.8"/>
    <n v="0"/>
  </r>
  <r>
    <x v="78"/>
    <s v="23"/>
    <n v="52954.1"/>
    <n v="0"/>
  </r>
  <r>
    <x v="79"/>
    <s v="0"/>
    <n v="51780.6"/>
    <n v="0"/>
  </r>
  <r>
    <x v="79"/>
    <s v="1"/>
    <n v="53553"/>
    <n v="0"/>
  </r>
  <r>
    <x v="79"/>
    <s v="2"/>
    <n v="53570"/>
    <n v="0"/>
  </r>
  <r>
    <x v="79"/>
    <s v="3"/>
    <n v="53485.5"/>
    <n v="0"/>
  </r>
  <r>
    <x v="79"/>
    <s v="4"/>
    <n v="53629.4"/>
    <n v="0"/>
  </r>
  <r>
    <x v="79"/>
    <s v="5"/>
    <n v="53641.8"/>
    <n v="0"/>
  </r>
  <r>
    <x v="79"/>
    <s v="6"/>
    <n v="53562.3"/>
    <n v="0"/>
  </r>
  <r>
    <x v="79"/>
    <s v="7"/>
    <n v="53706.5"/>
    <n v="0"/>
  </r>
  <r>
    <x v="79"/>
    <s v="8"/>
    <n v="53735.199999999997"/>
    <n v="0"/>
  </r>
  <r>
    <x v="79"/>
    <s v="9"/>
    <n v="53657"/>
    <n v="0"/>
  </r>
  <r>
    <x v="79"/>
    <s v="10"/>
    <n v="53100.7"/>
    <n v="0"/>
  </r>
  <r>
    <x v="79"/>
    <s v="11"/>
    <n v="53120.800000000003"/>
    <n v="0"/>
  </r>
  <r>
    <x v="79"/>
    <s v="12"/>
    <n v="53199.199999999997"/>
    <n v="0"/>
  </r>
  <r>
    <x v="79"/>
    <s v="13"/>
    <n v="53285.8"/>
    <n v="0"/>
  </r>
  <r>
    <x v="79"/>
    <s v="14"/>
    <n v="53303.6"/>
    <n v="0"/>
  </r>
  <r>
    <x v="79"/>
    <s v="15"/>
    <n v="52663"/>
    <n v="0"/>
  </r>
  <r>
    <x v="79"/>
    <s v="16"/>
    <n v="52612.2"/>
    <n v="0"/>
  </r>
  <r>
    <x v="79"/>
    <s v="17"/>
    <n v="52589.8"/>
    <n v="0"/>
  </r>
  <r>
    <x v="79"/>
    <s v="18"/>
    <n v="53090"/>
    <n v="0"/>
  </r>
  <r>
    <x v="79"/>
    <s v="19"/>
    <n v="53833.5"/>
    <n v="0"/>
  </r>
  <r>
    <x v="79"/>
    <s v="20"/>
    <n v="53786.7"/>
    <n v="0"/>
  </r>
  <r>
    <x v="79"/>
    <s v="21"/>
    <n v="53867.1"/>
    <n v="0"/>
  </r>
  <r>
    <x v="79"/>
    <s v="22"/>
    <n v="53667.8"/>
    <n v="0"/>
  </r>
  <r>
    <x v="79"/>
    <s v="23"/>
    <n v="53589.5"/>
    <n v="0"/>
  </r>
  <r>
    <x v="80"/>
    <s v="0"/>
    <n v="53731.7"/>
    <n v="0"/>
  </r>
  <r>
    <x v="80"/>
    <s v="1"/>
    <n v="54173"/>
    <n v="0"/>
  </r>
  <r>
    <x v="80"/>
    <s v="2"/>
    <n v="54039.6"/>
    <n v="0"/>
  </r>
  <r>
    <x v="80"/>
    <s v="3"/>
    <n v="53965.599999999999"/>
    <n v="0"/>
  </r>
  <r>
    <x v="80"/>
    <s v="4"/>
    <n v="54145.9"/>
    <n v="0"/>
  </r>
  <r>
    <x v="80"/>
    <s v="5"/>
    <n v="53848.3"/>
    <n v="0"/>
  </r>
  <r>
    <x v="80"/>
    <s v="6"/>
    <n v="54072.9"/>
    <n v="0"/>
  </r>
  <r>
    <x v="80"/>
    <s v="7"/>
    <n v="53782.8"/>
    <n v="0"/>
  </r>
  <r>
    <x v="80"/>
    <s v="8"/>
    <n v="53017.3"/>
    <n v="0"/>
  </r>
  <r>
    <x v="80"/>
    <s v="9"/>
    <n v="53707.6"/>
    <n v="0"/>
  </r>
  <r>
    <x v="80"/>
    <s v="10"/>
    <n v="53537.1"/>
    <n v="0"/>
  </r>
  <r>
    <x v="80"/>
    <s v="11"/>
    <n v="53722.1"/>
    <n v="0"/>
  </r>
  <r>
    <x v="80"/>
    <s v="12"/>
    <n v="53717.8"/>
    <n v="0"/>
  </r>
  <r>
    <x v="80"/>
    <s v="13"/>
    <n v="53460.7"/>
    <n v="0"/>
  </r>
  <r>
    <x v="80"/>
    <s v="14"/>
    <n v="52854.6"/>
    <n v="0"/>
  </r>
  <r>
    <x v="80"/>
    <s v="15"/>
    <n v="53348.7"/>
    <n v="0"/>
  </r>
  <r>
    <x v="80"/>
    <s v="16"/>
    <n v="53284.3"/>
    <n v="0"/>
  </r>
  <r>
    <x v="80"/>
    <s v="17"/>
    <n v="53226.5"/>
    <n v="0"/>
  </r>
  <r>
    <x v="80"/>
    <s v="18"/>
    <n v="53205.7"/>
    <n v="0"/>
  </r>
  <r>
    <x v="80"/>
    <s v="19"/>
    <n v="53635.5"/>
    <n v="0"/>
  </r>
  <r>
    <x v="80"/>
    <s v="20"/>
    <n v="54486.9"/>
    <n v="0"/>
  </r>
  <r>
    <x v="80"/>
    <s v="21"/>
    <n v="54270.400000000001"/>
    <n v="0"/>
  </r>
  <r>
    <x v="80"/>
    <s v="22"/>
    <n v="52071"/>
    <n v="0"/>
  </r>
  <r>
    <x v="80"/>
    <s v="23"/>
    <n v="54446.6"/>
    <n v="0"/>
  </r>
  <r>
    <x v="81"/>
    <s v="0"/>
    <n v="53215.199999999997"/>
    <n v="0"/>
  </r>
  <r>
    <x v="81"/>
    <s v="1"/>
    <n v="54535.8"/>
    <n v="0"/>
  </r>
  <r>
    <x v="81"/>
    <s v="2"/>
    <n v="54556.3"/>
    <n v="0"/>
  </r>
  <r>
    <x v="81"/>
    <s v="3"/>
    <n v="54605.8"/>
    <n v="0"/>
  </r>
  <r>
    <x v="81"/>
    <s v="4"/>
    <n v="54570.9"/>
    <n v="0"/>
  </r>
  <r>
    <x v="81"/>
    <s v="5"/>
    <n v="54594.7"/>
    <n v="0"/>
  </r>
  <r>
    <x v="81"/>
    <s v="6"/>
    <n v="54510.2"/>
    <n v="0"/>
  </r>
  <r>
    <x v="81"/>
    <s v="7"/>
    <n v="54525.1"/>
    <n v="0"/>
  </r>
  <r>
    <x v="81"/>
    <s v="8"/>
    <n v="54547.199999999997"/>
    <n v="0"/>
  </r>
  <r>
    <x v="81"/>
    <s v="9"/>
    <n v="54552.4"/>
    <n v="0"/>
  </r>
  <r>
    <x v="81"/>
    <s v="10"/>
    <n v="55273.4"/>
    <n v="0"/>
  </r>
  <r>
    <x v="81"/>
    <s v="11"/>
    <n v="54498.6"/>
    <n v="0"/>
  </r>
  <r>
    <x v="81"/>
    <s v="12"/>
    <n v="54492"/>
    <n v="0"/>
  </r>
  <r>
    <x v="81"/>
    <s v="13"/>
    <n v="54485.1"/>
    <n v="0"/>
  </r>
  <r>
    <x v="81"/>
    <s v="14"/>
    <n v="54489.2"/>
    <n v="0"/>
  </r>
  <r>
    <x v="81"/>
    <s v="15"/>
    <n v="54556.1"/>
    <n v="0"/>
  </r>
  <r>
    <x v="81"/>
    <s v="16"/>
    <n v="54511.4"/>
    <n v="0"/>
  </r>
  <r>
    <x v="81"/>
    <s v="17"/>
    <n v="54545.7"/>
    <n v="0"/>
  </r>
  <r>
    <x v="81"/>
    <s v="18"/>
    <n v="54551.5"/>
    <n v="0"/>
  </r>
  <r>
    <x v="81"/>
    <s v="19"/>
    <n v="54338.1"/>
    <n v="0"/>
  </r>
  <r>
    <x v="81"/>
    <s v="20"/>
    <n v="54450.5"/>
    <n v="0"/>
  </r>
  <r>
    <x v="81"/>
    <s v="21"/>
    <n v="54465.7"/>
    <n v="0"/>
  </r>
  <r>
    <x v="81"/>
    <s v="22"/>
    <n v="54435.4"/>
    <n v="0"/>
  </r>
  <r>
    <x v="81"/>
    <s v="23"/>
    <n v="54223.9"/>
    <n v="0"/>
  </r>
  <r>
    <x v="82"/>
    <s v="0"/>
    <n v="53110.400000000001"/>
    <n v="0"/>
  </r>
  <r>
    <x v="82"/>
    <s v="1"/>
    <n v="53049.4"/>
    <n v="0"/>
  </r>
  <r>
    <x v="82"/>
    <s v="2"/>
    <n v="53009.8"/>
    <n v="0"/>
  </r>
  <r>
    <x v="82"/>
    <s v="3"/>
    <n v="53384.5"/>
    <n v="0"/>
  </r>
  <r>
    <x v="82"/>
    <s v="4"/>
    <n v="53369.5"/>
    <n v="0"/>
  </r>
  <r>
    <x v="82"/>
    <s v="5"/>
    <n v="52884.4"/>
    <n v="0"/>
  </r>
  <r>
    <x v="82"/>
    <s v="6"/>
    <n v="53052.4"/>
    <n v="0"/>
  </r>
  <r>
    <x v="82"/>
    <s v="7"/>
    <n v="53006.400000000001"/>
    <n v="0"/>
  </r>
  <r>
    <x v="82"/>
    <s v="8"/>
    <n v="53216.4"/>
    <n v="0"/>
  </r>
  <r>
    <x v="82"/>
    <s v="9"/>
    <n v="54820.7"/>
    <n v="0"/>
  </r>
  <r>
    <x v="82"/>
    <s v="10"/>
    <n v="54782.6"/>
    <n v="0"/>
  </r>
  <r>
    <x v="82"/>
    <s v="11"/>
    <n v="53957.599999999999"/>
    <n v="0"/>
  </r>
  <r>
    <x v="82"/>
    <s v="12"/>
    <n v="54708.5"/>
    <n v="0"/>
  </r>
  <r>
    <x v="82"/>
    <s v="13"/>
    <n v="54076.7"/>
    <n v="0"/>
  </r>
  <r>
    <x v="82"/>
    <s v="14"/>
    <n v="54462.9"/>
    <n v="0"/>
  </r>
  <r>
    <x v="82"/>
    <s v="15"/>
    <n v="54285"/>
    <n v="0"/>
  </r>
  <r>
    <x v="82"/>
    <s v="16"/>
    <n v="54208.4"/>
    <n v="0"/>
  </r>
  <r>
    <x v="82"/>
    <s v="17"/>
    <n v="54138.1"/>
    <n v="0"/>
  </r>
  <r>
    <x v="82"/>
    <s v="18"/>
    <n v="54041.5"/>
    <n v="0"/>
  </r>
  <r>
    <x v="82"/>
    <s v="19"/>
    <n v="54114.5"/>
    <n v="0"/>
  </r>
  <r>
    <x v="82"/>
    <s v="20"/>
    <n v="54085.2"/>
    <n v="0"/>
  </r>
  <r>
    <x v="82"/>
    <s v="21"/>
    <n v="64081.8"/>
    <n v="0"/>
  </r>
  <r>
    <x v="82"/>
    <s v="22"/>
    <n v="65340.5"/>
    <n v="0"/>
  </r>
  <r>
    <x v="82"/>
    <s v="23"/>
    <n v="64226.6"/>
    <n v="0"/>
  </r>
  <r>
    <x v="83"/>
    <s v="0"/>
    <n v="54114.3"/>
    <n v="0"/>
  </r>
  <r>
    <x v="83"/>
    <s v="1"/>
    <n v="54150.6"/>
    <n v="0"/>
  </r>
  <r>
    <x v="83"/>
    <s v="2"/>
    <n v="54254.6"/>
    <n v="0"/>
  </r>
  <r>
    <x v="83"/>
    <s v="3"/>
    <n v="53374.8"/>
    <n v="0"/>
  </r>
  <r>
    <x v="83"/>
    <s v="4"/>
    <n v="52463.6"/>
    <n v="0"/>
  </r>
  <r>
    <x v="83"/>
    <s v="5"/>
    <n v="53077.8"/>
    <n v="0"/>
  </r>
  <r>
    <x v="83"/>
    <s v="6"/>
    <n v="53210.1"/>
    <n v="0"/>
  </r>
  <r>
    <x v="83"/>
    <s v="7"/>
    <n v="52965.2"/>
    <n v="0"/>
  </r>
  <r>
    <x v="83"/>
    <s v="8"/>
    <n v="53430.9"/>
    <n v="0"/>
  </r>
  <r>
    <x v="83"/>
    <s v="9"/>
    <n v="54760.5"/>
    <n v="0"/>
  </r>
  <r>
    <x v="83"/>
    <s v="10"/>
    <n v="54201.5"/>
    <n v="0"/>
  </r>
  <r>
    <x v="83"/>
    <s v="11"/>
    <n v="54264.4"/>
    <n v="0"/>
  </r>
  <r>
    <x v="83"/>
    <s v="12"/>
    <n v="54172.3"/>
    <n v="0"/>
  </r>
  <r>
    <x v="83"/>
    <s v="13"/>
    <n v="54322.400000000001"/>
    <n v="0"/>
  </r>
  <r>
    <x v="83"/>
    <s v="14"/>
    <n v="54361.9"/>
    <n v="0"/>
  </r>
  <r>
    <x v="83"/>
    <s v="15"/>
    <n v="54117.7"/>
    <n v="0"/>
  </r>
  <r>
    <x v="83"/>
    <s v="16"/>
    <n v="54169.8"/>
    <n v="0"/>
  </r>
  <r>
    <x v="83"/>
    <s v="17"/>
    <n v="54255.8"/>
    <n v="0"/>
  </r>
  <r>
    <x v="83"/>
    <s v="18"/>
    <n v="54301.9"/>
    <n v="0"/>
  </r>
  <r>
    <x v="83"/>
    <s v="19"/>
    <n v="54134.7"/>
    <n v="0"/>
  </r>
  <r>
    <x v="83"/>
    <s v="20"/>
    <n v="54198.3"/>
    <n v="0"/>
  </r>
  <r>
    <x v="83"/>
    <s v="21"/>
    <n v="53832.7"/>
    <n v="0"/>
  </r>
  <r>
    <x v="83"/>
    <s v="22"/>
    <n v="54188.1"/>
    <n v="0"/>
  </r>
  <r>
    <x v="83"/>
    <s v="23"/>
    <n v="53881.2"/>
    <n v="0"/>
  </r>
  <r>
    <x v="84"/>
    <s v="0"/>
    <n v="52872"/>
    <n v="0"/>
  </r>
  <r>
    <x v="84"/>
    <s v="1"/>
    <n v="52754.7"/>
    <n v="0"/>
  </r>
  <r>
    <x v="84"/>
    <s v="2"/>
    <n v="53158"/>
    <n v="0"/>
  </r>
  <r>
    <x v="84"/>
    <s v="3"/>
    <n v="53234.400000000001"/>
    <n v="0"/>
  </r>
  <r>
    <x v="84"/>
    <s v="4"/>
    <n v="53406"/>
    <n v="0"/>
  </r>
  <r>
    <x v="84"/>
    <s v="5"/>
    <n v="53323.8"/>
    <n v="0"/>
  </r>
  <r>
    <x v="84"/>
    <s v="6"/>
    <n v="17421.400000000001"/>
    <n v="0"/>
  </r>
  <r>
    <x v="84"/>
    <s v="7"/>
    <n v="182.2"/>
    <n v="702.8"/>
  </r>
  <r>
    <x v="84"/>
    <s v="8"/>
    <n v="16590.7"/>
    <n v="8.6"/>
  </r>
  <r>
    <x v="84"/>
    <s v="9"/>
    <n v="42518.5"/>
    <n v="0"/>
  </r>
  <r>
    <x v="84"/>
    <s v="10"/>
    <n v="51540.800000000003"/>
    <n v="0"/>
  </r>
  <r>
    <x v="84"/>
    <s v="11"/>
    <n v="54683.7"/>
    <n v="0"/>
  </r>
  <r>
    <x v="84"/>
    <s v="12"/>
    <n v="54675.3"/>
    <n v="0"/>
  </r>
  <r>
    <x v="84"/>
    <s v="13"/>
    <n v="54537.2"/>
    <n v="0"/>
  </r>
  <r>
    <x v="84"/>
    <s v="14"/>
    <n v="54165.2"/>
    <n v="0"/>
  </r>
  <r>
    <x v="84"/>
    <s v="15"/>
    <n v="54737.5"/>
    <n v="0"/>
  </r>
  <r>
    <x v="84"/>
    <s v="16"/>
    <n v="54758.400000000001"/>
    <n v="0"/>
  </r>
  <r>
    <x v="84"/>
    <s v="17"/>
    <n v="54594.7"/>
    <n v="0"/>
  </r>
  <r>
    <x v="84"/>
    <s v="18"/>
    <n v="54785.8"/>
    <n v="0"/>
  </r>
  <r>
    <x v="84"/>
    <s v="19"/>
    <n v="54557.8"/>
    <n v="0"/>
  </r>
  <r>
    <x v="84"/>
    <s v="20"/>
    <n v="53064"/>
    <n v="0"/>
  </r>
  <r>
    <x v="84"/>
    <s v="21"/>
    <n v="53135.4"/>
    <n v="0"/>
  </r>
  <r>
    <x v="84"/>
    <s v="22"/>
    <n v="53551.199999999997"/>
    <n v="0"/>
  </r>
  <r>
    <x v="84"/>
    <s v="23"/>
    <n v="53742.7"/>
    <n v="0"/>
  </r>
  <r>
    <x v="85"/>
    <s v="0"/>
    <n v="54256.7"/>
    <n v="0"/>
  </r>
  <r>
    <x v="85"/>
    <s v="1"/>
    <n v="53717.3"/>
    <n v="0"/>
  </r>
  <r>
    <x v="85"/>
    <s v="2"/>
    <n v="53758.5"/>
    <n v="0"/>
  </r>
  <r>
    <x v="85"/>
    <s v="3"/>
    <n v="54311.1"/>
    <n v="0"/>
  </r>
  <r>
    <x v="85"/>
    <s v="4"/>
    <n v="54781.599999999999"/>
    <n v="0"/>
  </r>
  <r>
    <x v="85"/>
    <s v="5"/>
    <n v="54131.6"/>
    <n v="0"/>
  </r>
  <r>
    <x v="85"/>
    <s v="6"/>
    <n v="53886.9"/>
    <n v="0"/>
  </r>
  <r>
    <x v="85"/>
    <s v="7"/>
    <n v="54190.6"/>
    <n v="0"/>
  </r>
  <r>
    <x v="85"/>
    <s v="8"/>
    <n v="54095.9"/>
    <n v="0"/>
  </r>
  <r>
    <x v="85"/>
    <s v="9"/>
    <n v="54101.9"/>
    <n v="0"/>
  </r>
  <r>
    <x v="85"/>
    <s v="10"/>
    <n v="54998.1"/>
    <n v="0"/>
  </r>
  <r>
    <x v="85"/>
    <s v="11"/>
    <n v="54699.9"/>
    <n v="0"/>
  </r>
  <r>
    <x v="85"/>
    <s v="12"/>
    <n v="54818.2"/>
    <n v="0"/>
  </r>
  <r>
    <x v="85"/>
    <s v="13"/>
    <n v="54886.6"/>
    <n v="0"/>
  </r>
  <r>
    <x v="85"/>
    <s v="14"/>
    <n v="54745.7"/>
    <n v="0"/>
  </r>
  <r>
    <x v="85"/>
    <s v="15"/>
    <n v="54769.5"/>
    <n v="0"/>
  </r>
  <r>
    <x v="85"/>
    <s v="16"/>
    <n v="54631.1"/>
    <n v="0"/>
  </r>
  <r>
    <x v="85"/>
    <s v="17"/>
    <n v="54784.7"/>
    <n v="0"/>
  </r>
  <r>
    <x v="85"/>
    <s v="18"/>
    <n v="55082.7"/>
    <n v="0"/>
  </r>
  <r>
    <x v="85"/>
    <s v="19"/>
    <n v="54782.7"/>
    <n v="0"/>
  </r>
  <r>
    <x v="85"/>
    <s v="20"/>
    <n v="54733.5"/>
    <n v="0"/>
  </r>
  <r>
    <x v="85"/>
    <s v="21"/>
    <n v="64618.1"/>
    <n v="0"/>
  </r>
  <r>
    <x v="85"/>
    <s v="22"/>
    <n v="66710.3"/>
    <n v="0"/>
  </r>
  <r>
    <x v="85"/>
    <s v="23"/>
    <n v="66334.7"/>
    <n v="0"/>
  </r>
  <r>
    <x v="86"/>
    <s v="0"/>
    <n v="55112.5"/>
    <n v="0"/>
  </r>
  <r>
    <x v="86"/>
    <s v="1"/>
    <n v="53508"/>
    <n v="0"/>
  </r>
  <r>
    <x v="86"/>
    <s v="2"/>
    <n v="53601.2"/>
    <n v="0"/>
  </r>
  <r>
    <x v="86"/>
    <s v="3"/>
    <n v="53560.6"/>
    <n v="0"/>
  </r>
  <r>
    <x v="86"/>
    <s v="4"/>
    <n v="53552.6"/>
    <n v="0"/>
  </r>
  <r>
    <x v="86"/>
    <s v="5"/>
    <n v="54178.7"/>
    <n v="0"/>
  </r>
  <r>
    <x v="86"/>
    <s v="6"/>
    <n v="54884.800000000003"/>
    <n v="0"/>
  </r>
  <r>
    <x v="86"/>
    <s v="7"/>
    <n v="54479.7"/>
    <n v="0"/>
  </r>
  <r>
    <x v="86"/>
    <s v="8"/>
    <n v="53994.2"/>
    <n v="0"/>
  </r>
  <r>
    <x v="86"/>
    <s v="9"/>
    <n v="53958.7"/>
    <n v="0"/>
  </r>
  <r>
    <x v="86"/>
    <s v="10"/>
    <n v="53881.8"/>
    <n v="0"/>
  </r>
  <r>
    <x v="86"/>
    <s v="11"/>
    <n v="54121.5"/>
    <n v="0"/>
  </r>
  <r>
    <x v="86"/>
    <s v="12"/>
    <n v="54760.6"/>
    <n v="0"/>
  </r>
  <r>
    <x v="86"/>
    <s v="13"/>
    <n v="53518.7"/>
    <n v="0"/>
  </r>
  <r>
    <x v="86"/>
    <s v="14"/>
    <n v="53652.2"/>
    <n v="0"/>
  </r>
  <r>
    <x v="86"/>
    <s v="15"/>
    <n v="53609.1"/>
    <n v="0"/>
  </r>
  <r>
    <x v="86"/>
    <s v="16"/>
    <n v="53169"/>
    <n v="0"/>
  </r>
  <r>
    <x v="86"/>
    <s v="17"/>
    <n v="54293.3"/>
    <n v="0"/>
  </r>
  <r>
    <x v="86"/>
    <s v="18"/>
    <n v="54737"/>
    <n v="0"/>
  </r>
  <r>
    <x v="86"/>
    <s v="19"/>
    <n v="58797.7"/>
    <n v="0"/>
  </r>
  <r>
    <x v="86"/>
    <s v="20"/>
    <n v="67853.5"/>
    <n v="0"/>
  </r>
  <r>
    <x v="86"/>
    <s v="21"/>
    <n v="66146.899999999994"/>
    <n v="0"/>
  </r>
  <r>
    <x v="86"/>
    <s v="22"/>
    <n v="66138"/>
    <n v="0"/>
  </r>
  <r>
    <x v="86"/>
    <s v="23"/>
    <n v="63886.7"/>
    <n v="0"/>
  </r>
  <r>
    <x v="87"/>
    <s v="0"/>
    <n v="54871.9"/>
    <n v="0"/>
  </r>
  <r>
    <x v="87"/>
    <s v="1"/>
    <n v="54764.800000000003"/>
    <n v="0"/>
  </r>
  <r>
    <x v="87"/>
    <s v="2"/>
    <n v="54728"/>
    <n v="0"/>
  </r>
  <r>
    <x v="87"/>
    <s v="3"/>
    <n v="54703.7"/>
    <n v="0"/>
  </r>
  <r>
    <x v="87"/>
    <s v="4"/>
    <n v="54316.6"/>
    <n v="0"/>
  </r>
  <r>
    <x v="87"/>
    <s v="5"/>
    <n v="53608.9"/>
    <n v="0"/>
  </r>
  <r>
    <x v="87"/>
    <s v="6"/>
    <n v="53721.599999999999"/>
    <n v="0"/>
  </r>
  <r>
    <x v="87"/>
    <s v="7"/>
    <n v="53809.5"/>
    <n v="0"/>
  </r>
  <r>
    <x v="87"/>
    <s v="8"/>
    <n v="53879.6"/>
    <n v="0"/>
  </r>
  <r>
    <x v="87"/>
    <s v="9"/>
    <n v="53865.1"/>
    <n v="0"/>
  </r>
  <r>
    <x v="87"/>
    <s v="10"/>
    <n v="53834.5"/>
    <n v="0"/>
  </r>
  <r>
    <x v="87"/>
    <s v="11"/>
    <n v="53559.8"/>
    <n v="0"/>
  </r>
  <r>
    <x v="87"/>
    <s v="12"/>
    <n v="53354"/>
    <n v="0"/>
  </r>
  <r>
    <x v="87"/>
    <s v="13"/>
    <n v="53326.2"/>
    <n v="0"/>
  </r>
  <r>
    <x v="87"/>
    <s v="14"/>
    <n v="53355.9"/>
    <n v="0"/>
  </r>
  <r>
    <x v="87"/>
    <s v="15"/>
    <n v="53240.5"/>
    <n v="0"/>
  </r>
  <r>
    <x v="87"/>
    <s v="16"/>
    <n v="53304.1"/>
    <n v="0"/>
  </r>
  <r>
    <x v="87"/>
    <s v="17"/>
    <n v="53213.3"/>
    <n v="0"/>
  </r>
  <r>
    <x v="87"/>
    <s v="18"/>
    <n v="52750.3"/>
    <n v="0"/>
  </r>
  <r>
    <x v="87"/>
    <s v="19"/>
    <n v="53619.5"/>
    <n v="0"/>
  </r>
  <r>
    <x v="87"/>
    <s v="20"/>
    <n v="56541.3"/>
    <n v="0"/>
  </r>
  <r>
    <x v="87"/>
    <s v="21"/>
    <n v="67345.8"/>
    <n v="0"/>
  </r>
  <r>
    <x v="87"/>
    <s v="22"/>
    <n v="68683.100000000006"/>
    <n v="0"/>
  </r>
  <r>
    <x v="87"/>
    <s v="23"/>
    <n v="68197.7"/>
    <n v="0"/>
  </r>
  <r>
    <x v="88"/>
    <s v="0"/>
    <n v="58974.5"/>
    <n v="0"/>
  </r>
  <r>
    <x v="88"/>
    <s v="1"/>
    <n v="54576.2"/>
    <n v="0"/>
  </r>
  <r>
    <x v="88"/>
    <s v="2"/>
    <n v="54566.9"/>
    <n v="0"/>
  </r>
  <r>
    <x v="88"/>
    <s v="3"/>
    <n v="54591.3"/>
    <n v="0"/>
  </r>
  <r>
    <x v="88"/>
    <s v="4"/>
    <n v="54596"/>
    <n v="0"/>
  </r>
  <r>
    <x v="88"/>
    <s v="5"/>
    <n v="53967.6"/>
    <n v="0"/>
  </r>
  <r>
    <x v="88"/>
    <s v="6"/>
    <n v="53928.9"/>
    <n v="0"/>
  </r>
  <r>
    <x v="88"/>
    <s v="7"/>
    <n v="53118"/>
    <n v="0"/>
  </r>
  <r>
    <x v="88"/>
    <s v="8"/>
    <n v="52945.8"/>
    <n v="0"/>
  </r>
  <r>
    <x v="88"/>
    <s v="9"/>
    <n v="52591.4"/>
    <n v="0"/>
  </r>
  <r>
    <x v="88"/>
    <s v="10"/>
    <n v="52564.4"/>
    <n v="0"/>
  </r>
  <r>
    <x v="88"/>
    <s v="11"/>
    <n v="52623.9"/>
    <n v="0"/>
  </r>
  <r>
    <x v="88"/>
    <s v="12"/>
    <n v="55495.6"/>
    <n v="0"/>
  </r>
  <r>
    <x v="88"/>
    <s v="13"/>
    <n v="54582.3"/>
    <n v="0"/>
  </r>
  <r>
    <x v="88"/>
    <s v="14"/>
    <n v="54870.3"/>
    <n v="0"/>
  </r>
  <r>
    <x v="88"/>
    <s v="15"/>
    <n v="54009.7"/>
    <n v="0"/>
  </r>
  <r>
    <x v="88"/>
    <s v="16"/>
    <n v="54047.6"/>
    <n v="0"/>
  </r>
  <r>
    <x v="88"/>
    <s v="17"/>
    <n v="53839.8"/>
    <n v="0"/>
  </r>
  <r>
    <x v="88"/>
    <s v="18"/>
    <n v="55205.8"/>
    <n v="0"/>
  </r>
  <r>
    <x v="88"/>
    <s v="19"/>
    <n v="55563.6"/>
    <n v="0"/>
  </r>
  <r>
    <x v="88"/>
    <s v="20"/>
    <n v="57439.1"/>
    <n v="0"/>
  </r>
  <r>
    <x v="88"/>
    <s v="21"/>
    <n v="69693.100000000006"/>
    <n v="0"/>
  </r>
  <r>
    <x v="88"/>
    <s v="22"/>
    <n v="69607.100000000006"/>
    <n v="0"/>
  </r>
  <r>
    <x v="88"/>
    <s v="23"/>
    <n v="69157.100000000006"/>
    <n v="0"/>
  </r>
  <r>
    <x v="89"/>
    <s v="0"/>
    <n v="61316.2"/>
    <n v="0"/>
  </r>
  <r>
    <x v="89"/>
    <s v="1"/>
    <n v="54644.6"/>
    <n v="0"/>
  </r>
  <r>
    <x v="89"/>
    <s v="2"/>
    <n v="54619.199999999997"/>
    <n v="0"/>
  </r>
  <r>
    <x v="89"/>
    <s v="3"/>
    <n v="54733.599999999999"/>
    <n v="0"/>
  </r>
  <r>
    <x v="89"/>
    <s v="4"/>
    <n v="54818.8"/>
    <n v="0"/>
  </r>
  <r>
    <x v="89"/>
    <s v="5"/>
    <n v="53793.3"/>
    <n v="0"/>
  </r>
  <r>
    <x v="89"/>
    <s v="6"/>
    <n v="53812.3"/>
    <n v="0"/>
  </r>
  <r>
    <x v="89"/>
    <s v="7"/>
    <n v="53833.9"/>
    <n v="0"/>
  </r>
  <r>
    <x v="89"/>
    <s v="8"/>
    <n v="54183.6"/>
    <n v="0"/>
  </r>
  <r>
    <x v="89"/>
    <s v="9"/>
    <n v="54775.1"/>
    <n v="0"/>
  </r>
  <r>
    <x v="89"/>
    <s v="10"/>
    <n v="53783.5"/>
    <n v="0"/>
  </r>
  <r>
    <x v="89"/>
    <s v="11"/>
    <n v="56066.8"/>
    <n v="0"/>
  </r>
  <r>
    <x v="89"/>
    <s v="12"/>
    <n v="54879.3"/>
    <n v="0"/>
  </r>
  <r>
    <x v="89"/>
    <s v="13"/>
    <n v="54987.7"/>
    <n v="0"/>
  </r>
  <r>
    <x v="89"/>
    <s v="14"/>
    <n v="54894.8"/>
    <n v="0"/>
  </r>
  <r>
    <x v="89"/>
    <s v="15"/>
    <n v="54893.5"/>
    <n v="0"/>
  </r>
  <r>
    <x v="89"/>
    <s v="16"/>
    <n v="54945.2"/>
    <n v="0"/>
  </r>
  <r>
    <x v="89"/>
    <s v="17"/>
    <n v="54755.7"/>
    <n v="0"/>
  </r>
  <r>
    <x v="89"/>
    <s v="18"/>
    <n v="54855.5"/>
    <n v="0"/>
  </r>
  <r>
    <x v="89"/>
    <s v="19"/>
    <n v="54935.6"/>
    <n v="0"/>
  </r>
  <r>
    <x v="89"/>
    <s v="20"/>
    <n v="54879.6"/>
    <n v="0"/>
  </r>
  <r>
    <x v="89"/>
    <s v="21"/>
    <n v="54784.4"/>
    <n v="0"/>
  </r>
  <r>
    <x v="89"/>
    <s v="22"/>
    <n v="54760.800000000003"/>
    <n v="0"/>
  </r>
  <r>
    <x v="89"/>
    <s v="23"/>
    <n v="54759.8"/>
    <n v="0"/>
  </r>
  <r>
    <x v="90"/>
    <s v="0"/>
    <n v="55539.3"/>
    <n v="0"/>
  </r>
  <r>
    <x v="90"/>
    <s v="1"/>
    <n v="55855.3"/>
    <n v="0"/>
  </r>
  <r>
    <x v="90"/>
    <s v="2"/>
    <n v="55804.2"/>
    <n v="0"/>
  </r>
  <r>
    <x v="90"/>
    <s v="3"/>
    <n v="55797.599999999999"/>
    <n v="0"/>
  </r>
  <r>
    <x v="90"/>
    <s v="4"/>
    <n v="54602.9"/>
    <n v="0"/>
  </r>
  <r>
    <x v="90"/>
    <s v="5"/>
    <n v="54458.1"/>
    <n v="0"/>
  </r>
  <r>
    <x v="90"/>
    <s v="6"/>
    <n v="53818.3"/>
    <n v="0"/>
  </r>
  <r>
    <x v="90"/>
    <s v="7"/>
    <n v="54774.6"/>
    <n v="0"/>
  </r>
  <r>
    <x v="90"/>
    <s v="8"/>
    <n v="54658"/>
    <n v="0"/>
  </r>
  <r>
    <x v="90"/>
    <s v="9"/>
    <n v="54638.3"/>
    <n v="0"/>
  </r>
  <r>
    <x v="90"/>
    <s v="10"/>
    <n v="54728.1"/>
    <n v="0"/>
  </r>
  <r>
    <x v="90"/>
    <s v="11"/>
    <n v="54657.3"/>
    <n v="0"/>
  </r>
  <r>
    <x v="90"/>
    <s v="12"/>
    <n v="53635.1"/>
    <n v="0"/>
  </r>
  <r>
    <x v="90"/>
    <s v="13"/>
    <n v="54134.2"/>
    <n v="0"/>
  </r>
  <r>
    <x v="90"/>
    <s v="14"/>
    <n v="54106.9"/>
    <n v="0"/>
  </r>
  <r>
    <x v="90"/>
    <s v="15"/>
    <n v="53926.5"/>
    <n v="0"/>
  </r>
  <r>
    <x v="90"/>
    <s v="16"/>
    <n v="54401.8"/>
    <n v="0"/>
  </r>
  <r>
    <x v="90"/>
    <s v="17"/>
    <n v="54640.9"/>
    <n v="0"/>
  </r>
  <r>
    <x v="90"/>
    <s v="18"/>
    <n v="54529.1"/>
    <n v="0"/>
  </r>
  <r>
    <x v="90"/>
    <s v="19"/>
    <n v="54008.2"/>
    <n v="0"/>
  </r>
  <r>
    <x v="90"/>
    <s v="20"/>
    <n v="54656.800000000003"/>
    <n v="0"/>
  </r>
  <r>
    <x v="90"/>
    <s v="21"/>
    <n v="53899.3"/>
    <n v="0"/>
  </r>
  <r>
    <x v="90"/>
    <s v="22"/>
    <n v="54069.2"/>
    <n v="0"/>
  </r>
  <r>
    <x v="90"/>
    <s v="23"/>
    <n v="54431.1"/>
    <n v="0"/>
  </r>
  <r>
    <x v="91"/>
    <s v="0"/>
    <n v="54725.4"/>
    <n v="0"/>
  </r>
  <r>
    <x v="91"/>
    <s v="1"/>
    <n v="54920.2"/>
    <n v="0"/>
  </r>
  <r>
    <x v="91"/>
    <s v="2"/>
    <n v="54747.3"/>
    <n v="0"/>
  </r>
  <r>
    <x v="91"/>
    <s v="3"/>
    <n v="53844.1"/>
    <n v="0"/>
  </r>
  <r>
    <x v="91"/>
    <s v="4"/>
    <n v="53952.3"/>
    <n v="0"/>
  </r>
  <r>
    <x v="91"/>
    <s v="5"/>
    <n v="52277.1"/>
    <n v="0"/>
  </r>
  <r>
    <x v="91"/>
    <s v="6"/>
    <n v="51144.800000000003"/>
    <n v="0"/>
  </r>
  <r>
    <x v="91"/>
    <s v="7"/>
    <n v="51328.9"/>
    <n v="0"/>
  </r>
  <r>
    <x v="91"/>
    <s v="8"/>
    <n v="51421.599999999999"/>
    <n v="0"/>
  </r>
  <r>
    <x v="91"/>
    <s v="9"/>
    <n v="51712.1"/>
    <n v="0"/>
  </r>
  <r>
    <x v="91"/>
    <s v="10"/>
    <n v="54888.6"/>
    <n v="0"/>
  </r>
  <r>
    <x v="91"/>
    <s v="11"/>
    <n v="55354.2"/>
    <n v="0"/>
  </r>
  <r>
    <x v="91"/>
    <s v="12"/>
    <n v="55118.2"/>
    <n v="0"/>
  </r>
  <r>
    <x v="91"/>
    <s v="13"/>
    <n v="54959.5"/>
    <n v="0"/>
  </r>
  <r>
    <x v="91"/>
    <s v="14"/>
    <n v="54903"/>
    <n v="0"/>
  </r>
  <r>
    <x v="91"/>
    <s v="15"/>
    <n v="54613.1"/>
    <n v="0"/>
  </r>
  <r>
    <x v="91"/>
    <s v="16"/>
    <n v="54781.2"/>
    <n v="0"/>
  </r>
  <r>
    <x v="91"/>
    <s v="17"/>
    <n v="54571.8"/>
    <n v="0"/>
  </r>
  <r>
    <x v="91"/>
    <s v="18"/>
    <n v="54750.8"/>
    <n v="0"/>
  </r>
  <r>
    <x v="91"/>
    <s v="19"/>
    <n v="54513.9"/>
    <n v="0"/>
  </r>
  <r>
    <x v="91"/>
    <s v="20"/>
    <n v="54498.9"/>
    <n v="0"/>
  </r>
  <r>
    <x v="91"/>
    <s v="21"/>
    <n v="54464.1"/>
    <n v="0"/>
  </r>
  <r>
    <x v="91"/>
    <s v="22"/>
    <n v="54559.9"/>
    <n v="0"/>
  </r>
  <r>
    <x v="91"/>
    <s v="23"/>
    <n v="54740.6"/>
    <n v="0"/>
  </r>
  <r>
    <x v="92"/>
    <s v="0"/>
    <n v="55050.2"/>
    <n v="0"/>
  </r>
  <r>
    <x v="92"/>
    <s v="1"/>
    <n v="55277.4"/>
    <n v="0"/>
  </r>
  <r>
    <x v="92"/>
    <s v="2"/>
    <n v="55126.2"/>
    <n v="0"/>
  </r>
  <r>
    <x v="92"/>
    <s v="3"/>
    <n v="54120.1"/>
    <n v="0"/>
  </r>
  <r>
    <x v="92"/>
    <s v="4"/>
    <n v="53737.7"/>
    <n v="0"/>
  </r>
  <r>
    <x v="92"/>
    <s v="5"/>
    <n v="54335"/>
    <n v="0"/>
  </r>
  <r>
    <x v="92"/>
    <s v="6"/>
    <n v="54345.7"/>
    <n v="0"/>
  </r>
  <r>
    <x v="92"/>
    <s v="7"/>
    <n v="54511.4"/>
    <n v="0"/>
  </r>
  <r>
    <x v="92"/>
    <s v="8"/>
    <n v="54629.8"/>
    <n v="0"/>
  </r>
  <r>
    <x v="92"/>
    <s v="9"/>
    <n v="54568.3"/>
    <n v="0"/>
  </r>
  <r>
    <x v="92"/>
    <s v="10"/>
    <n v="54061.9"/>
    <n v="0"/>
  </r>
  <r>
    <x v="92"/>
    <s v="11"/>
    <n v="53900.2"/>
    <n v="0"/>
  </r>
  <r>
    <x v="92"/>
    <s v="12"/>
    <n v="54043"/>
    <n v="0"/>
  </r>
  <r>
    <x v="92"/>
    <s v="13"/>
    <n v="53930.1"/>
    <n v="0"/>
  </r>
  <r>
    <x v="92"/>
    <s v="14"/>
    <n v="54009.5"/>
    <n v="0"/>
  </r>
  <r>
    <x v="92"/>
    <s v="15"/>
    <n v="53858.9"/>
    <n v="0"/>
  </r>
  <r>
    <x v="92"/>
    <s v="16"/>
    <n v="53877.8"/>
    <n v="0"/>
  </r>
  <r>
    <x v="92"/>
    <s v="17"/>
    <n v="53876.1"/>
    <n v="0"/>
  </r>
  <r>
    <x v="92"/>
    <s v="18"/>
    <n v="54070.8"/>
    <n v="0"/>
  </r>
  <r>
    <x v="92"/>
    <s v="19"/>
    <n v="53887.6"/>
    <n v="0"/>
  </r>
  <r>
    <x v="92"/>
    <s v="20"/>
    <n v="62431.6"/>
    <n v="0"/>
  </r>
  <r>
    <x v="92"/>
    <s v="21"/>
    <n v="54085.3"/>
    <n v="0"/>
  </r>
  <r>
    <x v="92"/>
    <s v="22"/>
    <n v="57245.1"/>
    <n v="0"/>
  </r>
  <r>
    <x v="92"/>
    <s v="23"/>
    <n v="68377.8"/>
    <n v="0"/>
  </r>
  <r>
    <x v="93"/>
    <s v="0"/>
    <n v="53903.4"/>
    <n v="0"/>
  </r>
  <r>
    <x v="93"/>
    <s v="1"/>
    <n v="53533.3"/>
    <n v="0"/>
  </r>
  <r>
    <x v="93"/>
    <s v="2"/>
    <n v="53550.400000000001"/>
    <n v="0"/>
  </r>
  <r>
    <x v="93"/>
    <s v="3"/>
    <n v="54258"/>
    <n v="0"/>
  </r>
  <r>
    <x v="93"/>
    <s v="4"/>
    <n v="54272.7"/>
    <n v="0"/>
  </r>
  <r>
    <x v="93"/>
    <s v="5"/>
    <n v="54099.6"/>
    <n v="0"/>
  </r>
  <r>
    <x v="93"/>
    <s v="6"/>
    <n v="52529.2"/>
    <n v="0"/>
  </r>
  <r>
    <x v="93"/>
    <s v="7"/>
    <n v="53734.5"/>
    <n v="0"/>
  </r>
  <r>
    <x v="93"/>
    <s v="8"/>
    <n v="53883.6"/>
    <n v="0"/>
  </r>
  <r>
    <x v="93"/>
    <s v="9"/>
    <n v="54394.3"/>
    <n v="0"/>
  </r>
  <r>
    <x v="93"/>
    <s v="10"/>
    <n v="54573.4"/>
    <n v="0"/>
  </r>
  <r>
    <x v="93"/>
    <s v="11"/>
    <n v="54309"/>
    <n v="0"/>
  </r>
  <r>
    <x v="93"/>
    <s v="12"/>
    <n v="54452.9"/>
    <n v="0"/>
  </r>
  <r>
    <x v="93"/>
    <s v="13"/>
    <n v="54513"/>
    <n v="0"/>
  </r>
  <r>
    <x v="93"/>
    <s v="14"/>
    <n v="54507.199999999997"/>
    <n v="0"/>
  </r>
  <r>
    <x v="93"/>
    <s v="15"/>
    <n v="54417"/>
    <n v="0"/>
  </r>
  <r>
    <x v="93"/>
    <s v="16"/>
    <n v="54415.199999999997"/>
    <n v="0"/>
  </r>
  <r>
    <x v="93"/>
    <s v="17"/>
    <n v="54546.5"/>
    <n v="0"/>
  </r>
  <r>
    <x v="93"/>
    <s v="18"/>
    <n v="54617.4"/>
    <n v="0"/>
  </r>
  <r>
    <x v="93"/>
    <s v="19"/>
    <n v="61384.1"/>
    <n v="0"/>
  </r>
  <r>
    <x v="93"/>
    <s v="20"/>
    <n v="69077.100000000006"/>
    <n v="0"/>
  </r>
  <r>
    <x v="93"/>
    <s v="21"/>
    <n v="68687.399999999994"/>
    <n v="0"/>
  </r>
  <r>
    <x v="93"/>
    <s v="22"/>
    <n v="68711.7"/>
    <n v="0"/>
  </r>
  <r>
    <x v="93"/>
    <s v="23"/>
    <n v="68725.5"/>
    <n v="0"/>
  </r>
  <r>
    <x v="94"/>
    <s v="0"/>
    <n v="66972.600000000006"/>
    <n v="0"/>
  </r>
  <r>
    <x v="94"/>
    <s v="1"/>
    <n v="54568.800000000003"/>
    <n v="0"/>
  </r>
  <r>
    <x v="94"/>
    <s v="2"/>
    <n v="54439.9"/>
    <n v="0"/>
  </r>
  <r>
    <x v="94"/>
    <s v="3"/>
    <n v="54756.6"/>
    <n v="0"/>
  </r>
  <r>
    <x v="94"/>
    <s v="4"/>
    <n v="54784.3"/>
    <n v="0"/>
  </r>
  <r>
    <x v="94"/>
    <s v="5"/>
    <n v="54845"/>
    <n v="0"/>
  </r>
  <r>
    <x v="94"/>
    <s v="6"/>
    <n v="54966.7"/>
    <n v="0"/>
  </r>
  <r>
    <x v="94"/>
    <s v="7"/>
    <n v="54692"/>
    <n v="0"/>
  </r>
  <r>
    <x v="94"/>
    <s v="8"/>
    <n v="54658.7"/>
    <n v="0"/>
  </r>
  <r>
    <x v="94"/>
    <s v="9"/>
    <n v="54672.2"/>
    <n v="0"/>
  </r>
  <r>
    <x v="94"/>
    <s v="10"/>
    <n v="54375.9"/>
    <n v="0"/>
  </r>
  <r>
    <x v="94"/>
    <s v="11"/>
    <n v="54517.8"/>
    <n v="0"/>
  </r>
  <r>
    <x v="94"/>
    <s v="12"/>
    <n v="57556.800000000003"/>
    <n v="0"/>
  </r>
  <r>
    <x v="94"/>
    <s v="13"/>
    <n v="68184.600000000006"/>
    <n v="0"/>
  </r>
  <r>
    <x v="94"/>
    <s v="14"/>
    <n v="70088.2"/>
    <n v="0"/>
  </r>
  <r>
    <x v="94"/>
    <s v="15"/>
    <n v="68156.2"/>
    <n v="0"/>
  </r>
  <r>
    <x v="94"/>
    <s v="16"/>
    <n v="68157.8"/>
    <n v="0"/>
  </r>
  <r>
    <x v="94"/>
    <s v="17"/>
    <n v="54836.3"/>
    <n v="0"/>
  </r>
  <r>
    <x v="94"/>
    <s v="18"/>
    <n v="67599.100000000006"/>
    <n v="0"/>
  </r>
  <r>
    <x v="94"/>
    <s v="19"/>
    <n v="68302"/>
    <n v="0"/>
  </r>
  <r>
    <x v="94"/>
    <s v="20"/>
    <n v="64979.3"/>
    <n v="0"/>
  </r>
  <r>
    <x v="94"/>
    <s v="21"/>
    <n v="62462.3"/>
    <n v="0"/>
  </r>
  <r>
    <x v="94"/>
    <s v="22"/>
    <n v="67526.600000000006"/>
    <n v="0"/>
  </r>
  <r>
    <x v="94"/>
    <s v="23"/>
    <n v="65615"/>
    <n v="0"/>
  </r>
  <r>
    <x v="95"/>
    <s v="0"/>
    <n v="55110.7"/>
    <n v="0"/>
  </r>
  <r>
    <x v="95"/>
    <s v="1"/>
    <n v="54624"/>
    <n v="0"/>
  </r>
  <r>
    <x v="95"/>
    <s v="2"/>
    <n v="54721.3"/>
    <n v="0"/>
  </r>
  <r>
    <x v="95"/>
    <s v="3"/>
    <n v="54139.199999999997"/>
    <n v="0"/>
  </r>
  <r>
    <x v="95"/>
    <s v="4"/>
    <n v="54185"/>
    <n v="0"/>
  </r>
  <r>
    <x v="95"/>
    <s v="5"/>
    <n v="54299.4"/>
    <n v="0"/>
  </r>
  <r>
    <x v="95"/>
    <s v="6"/>
    <n v="54596.800000000003"/>
    <n v="0"/>
  </r>
  <r>
    <x v="95"/>
    <s v="7"/>
    <n v="54184.9"/>
    <n v="0"/>
  </r>
  <r>
    <x v="95"/>
    <s v="8"/>
    <n v="54208.800000000003"/>
    <n v="0"/>
  </r>
  <r>
    <x v="95"/>
    <s v="9"/>
    <n v="54688.3"/>
    <n v="0"/>
  </r>
  <r>
    <x v="95"/>
    <s v="10"/>
    <n v="55006.5"/>
    <n v="0"/>
  </r>
  <r>
    <x v="95"/>
    <s v="11"/>
    <n v="54581.9"/>
    <n v="0"/>
  </r>
  <r>
    <x v="95"/>
    <s v="12"/>
    <n v="54490.3"/>
    <n v="0"/>
  </r>
  <r>
    <x v="95"/>
    <s v="13"/>
    <n v="54425.2"/>
    <n v="0"/>
  </r>
  <r>
    <x v="95"/>
    <s v="14"/>
    <n v="54539"/>
    <n v="0"/>
  </r>
  <r>
    <x v="95"/>
    <s v="15"/>
    <n v="54526.9"/>
    <n v="0"/>
  </r>
  <r>
    <x v="95"/>
    <s v="16"/>
    <n v="54472.800000000003"/>
    <n v="0"/>
  </r>
  <r>
    <x v="95"/>
    <s v="17"/>
    <n v="54425"/>
    <n v="0"/>
  </r>
  <r>
    <x v="95"/>
    <s v="18"/>
    <n v="54655.1"/>
    <n v="0"/>
  </r>
  <r>
    <x v="95"/>
    <s v="19"/>
    <n v="54434.3"/>
    <n v="0"/>
  </r>
  <r>
    <x v="95"/>
    <s v="20"/>
    <n v="65952.800000000003"/>
    <n v="0"/>
  </r>
  <r>
    <x v="95"/>
    <s v="21"/>
    <n v="55562"/>
    <n v="0"/>
  </r>
  <r>
    <x v="95"/>
    <s v="22"/>
    <n v="54196.6"/>
    <n v="0"/>
  </r>
  <r>
    <x v="95"/>
    <s v="23"/>
    <n v="54253.9"/>
    <n v="0"/>
  </r>
  <r>
    <x v="96"/>
    <s v="0"/>
    <n v="54370.8"/>
    <n v="0"/>
  </r>
  <r>
    <x v="96"/>
    <s v="1"/>
    <n v="54204.800000000003"/>
    <n v="0"/>
  </r>
  <r>
    <x v="96"/>
    <s v="2"/>
    <n v="54306.1"/>
    <n v="0"/>
  </r>
  <r>
    <x v="96"/>
    <s v="3"/>
    <n v="54392.4"/>
    <n v="0"/>
  </r>
  <r>
    <x v="96"/>
    <s v="4"/>
    <n v="54528.2"/>
    <n v="0"/>
  </r>
  <r>
    <x v="96"/>
    <s v="5"/>
    <n v="54353.5"/>
    <n v="0"/>
  </r>
  <r>
    <x v="96"/>
    <s v="6"/>
    <n v="53275.6"/>
    <n v="0"/>
  </r>
  <r>
    <x v="96"/>
    <s v="7"/>
    <n v="54499"/>
    <n v="0"/>
  </r>
  <r>
    <x v="96"/>
    <s v="8"/>
    <n v="53205.1"/>
    <n v="0"/>
  </r>
  <r>
    <x v="96"/>
    <s v="9"/>
    <n v="53629.3"/>
    <n v="0"/>
  </r>
  <r>
    <x v="96"/>
    <s v="10"/>
    <n v="52930.400000000001"/>
    <n v="0"/>
  </r>
  <r>
    <x v="96"/>
    <s v="11"/>
    <n v="53837.7"/>
    <n v="0"/>
  </r>
  <r>
    <x v="96"/>
    <s v="12"/>
    <n v="53716.2"/>
    <n v="0"/>
  </r>
  <r>
    <x v="96"/>
    <s v="13"/>
    <n v="53684.7"/>
    <n v="0"/>
  </r>
  <r>
    <x v="96"/>
    <s v="14"/>
    <n v="52890.9"/>
    <n v="0"/>
  </r>
  <r>
    <x v="96"/>
    <s v="15"/>
    <n v="54928.5"/>
    <n v="0"/>
  </r>
  <r>
    <x v="96"/>
    <s v="16"/>
    <n v="54545.8"/>
    <n v="0"/>
  </r>
  <r>
    <x v="96"/>
    <s v="17"/>
    <n v="54704.2"/>
    <n v="0"/>
  </r>
  <r>
    <x v="96"/>
    <s v="18"/>
    <n v="54301.3"/>
    <n v="0"/>
  </r>
  <r>
    <x v="96"/>
    <s v="19"/>
    <n v="54296.2"/>
    <n v="0"/>
  </r>
  <r>
    <x v="96"/>
    <s v="20"/>
    <n v="67162.399999999994"/>
    <n v="0"/>
  </r>
  <r>
    <x v="96"/>
    <s v="21"/>
    <n v="56064.3"/>
    <n v="0"/>
  </r>
  <r>
    <x v="96"/>
    <s v="22"/>
    <n v="54171.199999999997"/>
    <n v="0"/>
  </r>
  <r>
    <x v="96"/>
    <s v="23"/>
    <n v="54628.1"/>
    <n v="0"/>
  </r>
  <r>
    <x v="97"/>
    <s v="0"/>
    <n v="54102.6"/>
    <n v="0"/>
  </r>
  <r>
    <x v="97"/>
    <s v="1"/>
    <n v="54499.1"/>
    <n v="0"/>
  </r>
  <r>
    <x v="97"/>
    <s v="2"/>
    <n v="54720.5"/>
    <n v="0"/>
  </r>
  <r>
    <x v="97"/>
    <s v="3"/>
    <n v="54823.9"/>
    <n v="0"/>
  </r>
  <r>
    <x v="97"/>
    <s v="4"/>
    <n v="54768.5"/>
    <n v="0"/>
  </r>
  <r>
    <x v="97"/>
    <s v="5"/>
    <n v="54646.6"/>
    <n v="0"/>
  </r>
  <r>
    <x v="97"/>
    <s v="6"/>
    <n v="53877.5"/>
    <n v="0"/>
  </r>
  <r>
    <x v="97"/>
    <s v="7"/>
    <n v="53161.8"/>
    <n v="0"/>
  </r>
  <r>
    <x v="97"/>
    <s v="8"/>
    <n v="54807.8"/>
    <n v="0"/>
  </r>
  <r>
    <x v="97"/>
    <s v="9"/>
    <n v="54771.4"/>
    <n v="0"/>
  </r>
  <r>
    <x v="97"/>
    <s v="10"/>
    <n v="54237.9"/>
    <n v="0"/>
  </r>
  <r>
    <x v="97"/>
    <s v="11"/>
    <n v="54304.3"/>
    <n v="0"/>
  </r>
  <r>
    <x v="97"/>
    <s v="12"/>
    <n v="54218.400000000001"/>
    <n v="0"/>
  </r>
  <r>
    <x v="97"/>
    <s v="13"/>
    <n v="54194.6"/>
    <n v="0"/>
  </r>
  <r>
    <x v="97"/>
    <s v="14"/>
    <n v="54379.199999999997"/>
    <n v="0"/>
  </r>
  <r>
    <x v="97"/>
    <s v="15"/>
    <n v="54216.3"/>
    <n v="0"/>
  </r>
  <r>
    <x v="97"/>
    <s v="16"/>
    <n v="54218.7"/>
    <n v="0"/>
  </r>
  <r>
    <x v="97"/>
    <s v="17"/>
    <n v="54342.9"/>
    <n v="0"/>
  </r>
  <r>
    <x v="97"/>
    <s v="18"/>
    <n v="54456.9"/>
    <n v="0"/>
  </r>
  <r>
    <x v="97"/>
    <s v="19"/>
    <n v="56527.3"/>
    <n v="0"/>
  </r>
  <r>
    <x v="97"/>
    <s v="20"/>
    <n v="59916.6"/>
    <n v="0"/>
  </r>
  <r>
    <x v="97"/>
    <s v="21"/>
    <n v="54549.4"/>
    <n v="0"/>
  </r>
  <r>
    <x v="97"/>
    <s v="22"/>
    <n v="53422.2"/>
    <n v="0"/>
  </r>
  <r>
    <x v="97"/>
    <s v="23"/>
    <n v="54463.5"/>
    <n v="0"/>
  </r>
  <r>
    <x v="98"/>
    <s v="0"/>
    <n v="53715.3"/>
    <n v="0"/>
  </r>
  <r>
    <x v="98"/>
    <s v="1"/>
    <n v="54240"/>
    <n v="0"/>
  </r>
  <r>
    <x v="98"/>
    <s v="2"/>
    <n v="54427.8"/>
    <n v="0"/>
  </r>
  <r>
    <x v="98"/>
    <s v="3"/>
    <n v="54311.9"/>
    <n v="0"/>
  </r>
  <r>
    <x v="98"/>
    <s v="4"/>
    <n v="54428.2"/>
    <n v="0"/>
  </r>
  <r>
    <x v="98"/>
    <s v="5"/>
    <n v="54091.8"/>
    <n v="0"/>
  </r>
  <r>
    <x v="98"/>
    <s v="6"/>
    <n v="54049"/>
    <n v="0"/>
  </r>
  <r>
    <x v="98"/>
    <s v="7"/>
    <n v="53464.4"/>
    <n v="0"/>
  </r>
  <r>
    <x v="98"/>
    <s v="8"/>
    <n v="53454.5"/>
    <n v="0"/>
  </r>
  <r>
    <x v="98"/>
    <s v="9"/>
    <n v="53319.199999999997"/>
    <n v="0"/>
  </r>
  <r>
    <x v="98"/>
    <s v="10"/>
    <n v="53452.9"/>
    <n v="0"/>
  </r>
  <r>
    <x v="98"/>
    <s v="11"/>
    <n v="53583.7"/>
    <n v="0"/>
  </r>
  <r>
    <x v="98"/>
    <s v="12"/>
    <n v="53625.3"/>
    <n v="0"/>
  </r>
  <r>
    <x v="98"/>
    <s v="13"/>
    <n v="53518.3"/>
    <n v="0"/>
  </r>
  <r>
    <x v="98"/>
    <s v="14"/>
    <n v="53510.8"/>
    <n v="0"/>
  </r>
  <r>
    <x v="98"/>
    <s v="15"/>
    <n v="53582.8"/>
    <n v="0"/>
  </r>
  <r>
    <x v="98"/>
    <s v="16"/>
    <n v="53547.1"/>
    <n v="0"/>
  </r>
  <r>
    <x v="98"/>
    <s v="17"/>
    <n v="53554.3"/>
    <n v="0"/>
  </r>
  <r>
    <x v="98"/>
    <s v="18"/>
    <n v="53567.6"/>
    <n v="0"/>
  </r>
  <r>
    <x v="98"/>
    <s v="19"/>
    <n v="53448.9"/>
    <n v="0"/>
  </r>
  <r>
    <x v="98"/>
    <s v="20"/>
    <n v="65253.7"/>
    <n v="0"/>
  </r>
  <r>
    <x v="98"/>
    <s v="21"/>
    <n v="68095.8"/>
    <n v="0"/>
  </r>
  <r>
    <x v="98"/>
    <s v="22"/>
    <n v="68182.899999999994"/>
    <n v="0"/>
  </r>
  <r>
    <x v="98"/>
    <s v="23"/>
    <n v="63080.2"/>
    <n v="0"/>
  </r>
  <r>
    <x v="99"/>
    <s v="0"/>
    <n v="54460.4"/>
    <n v="0"/>
  </r>
  <r>
    <x v="99"/>
    <s v="1"/>
    <n v="54603.1"/>
    <n v="0"/>
  </r>
  <r>
    <x v="99"/>
    <s v="2"/>
    <n v="54513.7"/>
    <n v="0"/>
  </r>
  <r>
    <x v="99"/>
    <s v="3"/>
    <n v="54597.5"/>
    <n v="0"/>
  </r>
  <r>
    <x v="99"/>
    <s v="4"/>
    <n v="54769.5"/>
    <n v="0"/>
  </r>
  <r>
    <x v="99"/>
    <s v="5"/>
    <n v="54460.2"/>
    <n v="0"/>
  </r>
  <r>
    <x v="99"/>
    <s v="6"/>
    <n v="53645.9"/>
    <n v="0"/>
  </r>
  <r>
    <x v="99"/>
    <s v="7"/>
    <n v="54426.1"/>
    <n v="0"/>
  </r>
  <r>
    <x v="99"/>
    <s v="8"/>
    <n v="54758.7"/>
    <n v="0"/>
  </r>
  <r>
    <x v="99"/>
    <s v="9"/>
    <n v="53372.6"/>
    <n v="0"/>
  </r>
  <r>
    <x v="99"/>
    <s v="10"/>
    <n v="54493.3"/>
    <n v="0"/>
  </r>
  <r>
    <x v="99"/>
    <s v="11"/>
    <n v="54607.1"/>
    <n v="0"/>
  </r>
  <r>
    <x v="99"/>
    <s v="12"/>
    <n v="55293"/>
    <n v="0"/>
  </r>
  <r>
    <x v="99"/>
    <s v="13"/>
    <n v="55023"/>
    <n v="0"/>
  </r>
  <r>
    <x v="99"/>
    <s v="14"/>
    <n v="54953.2"/>
    <n v="0"/>
  </r>
  <r>
    <x v="99"/>
    <s v="15"/>
    <n v="54664.7"/>
    <n v="0"/>
  </r>
  <r>
    <x v="99"/>
    <s v="16"/>
    <n v="54629.3"/>
    <n v="0"/>
  </r>
  <r>
    <x v="99"/>
    <s v="17"/>
    <n v="53108.4"/>
    <n v="0"/>
  </r>
  <r>
    <x v="99"/>
    <s v="18"/>
    <n v="54761.599999999999"/>
    <n v="0"/>
  </r>
  <r>
    <x v="99"/>
    <s v="19"/>
    <n v="55018.400000000001"/>
    <n v="0"/>
  </r>
  <r>
    <x v="99"/>
    <s v="20"/>
    <n v="67070.2"/>
    <n v="0"/>
  </r>
  <r>
    <x v="99"/>
    <s v="21"/>
    <n v="67598.8"/>
    <n v="0"/>
  </r>
  <r>
    <x v="99"/>
    <s v="22"/>
    <n v="67109.399999999994"/>
    <n v="0"/>
  </r>
  <r>
    <x v="99"/>
    <s v="23"/>
    <n v="55236"/>
    <n v="0"/>
  </r>
  <r>
    <x v="100"/>
    <s v="0"/>
    <n v="54719.3"/>
    <n v="0"/>
  </r>
  <r>
    <x v="100"/>
    <s v="1"/>
    <n v="54730.6"/>
    <n v="0"/>
  </r>
  <r>
    <x v="100"/>
    <s v="2"/>
    <n v="54393"/>
    <n v="0"/>
  </r>
  <r>
    <x v="100"/>
    <s v="3"/>
    <n v="54514.7"/>
    <n v="0"/>
  </r>
  <r>
    <x v="100"/>
    <s v="4"/>
    <n v="54801.9"/>
    <n v="0"/>
  </r>
  <r>
    <x v="100"/>
    <s v="5"/>
    <n v="54513.1"/>
    <n v="0"/>
  </r>
  <r>
    <x v="100"/>
    <s v="6"/>
    <n v="52785.4"/>
    <n v="0"/>
  </r>
  <r>
    <x v="100"/>
    <s v="7"/>
    <n v="53568.2"/>
    <n v="0"/>
  </r>
  <r>
    <x v="100"/>
    <s v="8"/>
    <n v="53984.800000000003"/>
    <n v="0"/>
  </r>
  <r>
    <x v="100"/>
    <s v="9"/>
    <n v="54532.6"/>
    <n v="0"/>
  </r>
  <r>
    <x v="100"/>
    <s v="10"/>
    <n v="54569.7"/>
    <n v="0"/>
  </r>
  <r>
    <x v="100"/>
    <s v="11"/>
    <n v="54970.2"/>
    <n v="0"/>
  </r>
  <r>
    <x v="100"/>
    <s v="12"/>
    <n v="54203.6"/>
    <n v="0"/>
  </r>
  <r>
    <x v="100"/>
    <s v="13"/>
    <n v="54769.9"/>
    <n v="0"/>
  </r>
  <r>
    <x v="100"/>
    <s v="14"/>
    <n v="53987.7"/>
    <n v="0"/>
  </r>
  <r>
    <x v="100"/>
    <s v="15"/>
    <n v="54470.3"/>
    <n v="0"/>
  </r>
  <r>
    <x v="100"/>
    <s v="16"/>
    <n v="54811"/>
    <n v="0"/>
  </r>
  <r>
    <x v="100"/>
    <s v="17"/>
    <n v="55431.7"/>
    <n v="0"/>
  </r>
  <r>
    <x v="100"/>
    <s v="18"/>
    <n v="53837.4"/>
    <n v="0"/>
  </r>
  <r>
    <x v="100"/>
    <s v="19"/>
    <n v="54350.5"/>
    <n v="0"/>
  </r>
  <r>
    <x v="100"/>
    <s v="20"/>
    <n v="65912.3"/>
    <n v="0"/>
  </r>
  <r>
    <x v="100"/>
    <s v="21"/>
    <n v="54977.3"/>
    <n v="0"/>
  </r>
  <r>
    <x v="100"/>
    <s v="22"/>
    <n v="54067"/>
    <n v="0"/>
  </r>
  <r>
    <x v="100"/>
    <s v="23"/>
    <n v="54057.7"/>
    <n v="0"/>
  </r>
  <r>
    <x v="101"/>
    <s v="0"/>
    <n v="45532.6"/>
    <n v="0"/>
  </r>
  <r>
    <x v="101"/>
    <s v="1"/>
    <n v="45341.4"/>
    <n v="0"/>
  </r>
  <r>
    <x v="101"/>
    <s v="2"/>
    <n v="45375.9"/>
    <n v="0"/>
  </r>
  <r>
    <x v="101"/>
    <s v="3"/>
    <n v="45237.3"/>
    <n v="0"/>
  </r>
  <r>
    <x v="101"/>
    <s v="4"/>
    <n v="45295.8"/>
    <n v="0"/>
  </r>
  <r>
    <x v="101"/>
    <s v="5"/>
    <n v="44131.6"/>
    <n v="0"/>
  </r>
  <r>
    <x v="101"/>
    <s v="6"/>
    <n v="44603.4"/>
    <n v="0"/>
  </r>
  <r>
    <x v="101"/>
    <s v="7"/>
    <n v="44743.9"/>
    <n v="0"/>
  </r>
  <r>
    <x v="101"/>
    <s v="8"/>
    <n v="44613"/>
    <n v="0"/>
  </r>
  <r>
    <x v="101"/>
    <s v="9"/>
    <n v="44624.6"/>
    <n v="0"/>
  </r>
  <r>
    <x v="101"/>
    <s v="10"/>
    <n v="44232.2"/>
    <n v="0"/>
  </r>
  <r>
    <x v="101"/>
    <s v="11"/>
    <n v="42775"/>
    <n v="0"/>
  </r>
  <r>
    <x v="101"/>
    <s v="12"/>
    <n v="43538.9"/>
    <n v="0"/>
  </r>
  <r>
    <x v="101"/>
    <s v="13"/>
    <n v="44359.3"/>
    <n v="0"/>
  </r>
  <r>
    <x v="101"/>
    <s v="14"/>
    <n v="44117.7"/>
    <n v="0"/>
  </r>
  <r>
    <x v="101"/>
    <s v="15"/>
    <n v="41616.9"/>
    <n v="0"/>
  </r>
  <r>
    <x v="101"/>
    <s v="16"/>
    <n v="41971.199999999997"/>
    <n v="0"/>
  </r>
  <r>
    <x v="101"/>
    <s v="17"/>
    <n v="44405.3"/>
    <n v="0"/>
  </r>
  <r>
    <x v="101"/>
    <s v="18"/>
    <n v="45206.6"/>
    <n v="0"/>
  </r>
  <r>
    <x v="101"/>
    <s v="19"/>
    <n v="48641.4"/>
    <n v="0"/>
  </r>
  <r>
    <x v="101"/>
    <s v="20"/>
    <n v="50516.6"/>
    <n v="0"/>
  </r>
  <r>
    <x v="101"/>
    <s v="21"/>
    <n v="52973.7"/>
    <n v="0"/>
  </r>
  <r>
    <x v="101"/>
    <s v="22"/>
    <n v="57300.6"/>
    <n v="0"/>
  </r>
  <r>
    <x v="101"/>
    <s v="23"/>
    <n v="44796.7"/>
    <n v="0"/>
  </r>
  <r>
    <x v="102"/>
    <s v="0"/>
    <n v="52359.6"/>
    <n v="0"/>
  </r>
  <r>
    <x v="102"/>
    <s v="1"/>
    <n v="52964.1"/>
    <n v="0"/>
  </r>
  <r>
    <x v="102"/>
    <s v="2"/>
    <n v="53255.6"/>
    <n v="0"/>
  </r>
  <r>
    <x v="102"/>
    <s v="3"/>
    <n v="54042.6"/>
    <n v="0"/>
  </r>
  <r>
    <x v="102"/>
    <s v="4"/>
    <n v="54196.1"/>
    <n v="0"/>
  </r>
  <r>
    <x v="102"/>
    <s v="5"/>
    <n v="54276"/>
    <n v="0"/>
  </r>
  <r>
    <x v="102"/>
    <s v="6"/>
    <n v="54359.6"/>
    <n v="0"/>
  </r>
  <r>
    <x v="102"/>
    <s v="7"/>
    <n v="54302"/>
    <n v="0"/>
  </r>
  <r>
    <x v="102"/>
    <s v="8"/>
    <n v="54144.6"/>
    <n v="0"/>
  </r>
  <r>
    <x v="102"/>
    <s v="9"/>
    <n v="54261.1"/>
    <n v="0"/>
  </r>
  <r>
    <x v="102"/>
    <s v="10"/>
    <n v="53409.8"/>
    <n v="0"/>
  </r>
  <r>
    <x v="102"/>
    <s v="11"/>
    <n v="52153.8"/>
    <n v="0"/>
  </r>
  <r>
    <x v="102"/>
    <s v="12"/>
    <n v="54624.3"/>
    <n v="0"/>
  </r>
  <r>
    <x v="102"/>
    <s v="13"/>
    <n v="54471.1"/>
    <n v="0"/>
  </r>
  <r>
    <x v="102"/>
    <s v="14"/>
    <n v="54323.7"/>
    <n v="0"/>
  </r>
  <r>
    <x v="102"/>
    <s v="15"/>
    <n v="53753.5"/>
    <n v="0"/>
  </r>
  <r>
    <x v="102"/>
    <s v="16"/>
    <n v="53753.599999999999"/>
    <n v="0"/>
  </r>
  <r>
    <x v="102"/>
    <s v="17"/>
    <n v="52251.6"/>
    <n v="0"/>
  </r>
  <r>
    <x v="102"/>
    <s v="18"/>
    <n v="53706.8"/>
    <n v="0"/>
  </r>
  <r>
    <x v="102"/>
    <s v="19"/>
    <n v="56273.4"/>
    <n v="0"/>
  </r>
  <r>
    <x v="102"/>
    <s v="20"/>
    <n v="66919.199999999997"/>
    <n v="0"/>
  </r>
  <r>
    <x v="102"/>
    <s v="21"/>
    <n v="67300.600000000006"/>
    <n v="0"/>
  </r>
  <r>
    <x v="102"/>
    <s v="22"/>
    <n v="67375.8"/>
    <n v="0"/>
  </r>
  <r>
    <x v="102"/>
    <s v="23"/>
    <n v="55200.6"/>
    <n v="0"/>
  </r>
  <r>
    <x v="103"/>
    <s v="0"/>
    <n v="53580.2"/>
    <n v="0"/>
  </r>
  <r>
    <x v="103"/>
    <s v="1"/>
    <n v="54047.8"/>
    <n v="0"/>
  </r>
  <r>
    <x v="103"/>
    <s v="2"/>
    <n v="53919.7"/>
    <n v="0"/>
  </r>
  <r>
    <x v="103"/>
    <s v="3"/>
    <n v="54036.5"/>
    <n v="0"/>
  </r>
  <r>
    <x v="103"/>
    <s v="4"/>
    <n v="54886.1"/>
    <n v="0"/>
  </r>
  <r>
    <x v="103"/>
    <s v="5"/>
    <n v="54046.6"/>
    <n v="0"/>
  </r>
  <r>
    <x v="103"/>
    <s v="6"/>
    <n v="53342.8"/>
    <n v="0"/>
  </r>
  <r>
    <x v="103"/>
    <s v="7"/>
    <n v="53477"/>
    <n v="0"/>
  </r>
  <r>
    <x v="103"/>
    <s v="8"/>
    <n v="53466.6"/>
    <n v="0"/>
  </r>
  <r>
    <x v="103"/>
    <s v="9"/>
    <n v="53380.3"/>
    <n v="0"/>
  </r>
  <r>
    <x v="103"/>
    <s v="10"/>
    <n v="53375"/>
    <n v="0"/>
  </r>
  <r>
    <x v="103"/>
    <s v="11"/>
    <n v="53582.2"/>
    <n v="0"/>
  </r>
  <r>
    <x v="103"/>
    <s v="12"/>
    <n v="54418.5"/>
    <n v="0"/>
  </r>
  <r>
    <x v="103"/>
    <s v="13"/>
    <n v="54364.4"/>
    <n v="0"/>
  </r>
  <r>
    <x v="103"/>
    <s v="14"/>
    <n v="54205.9"/>
    <n v="0"/>
  </r>
  <r>
    <x v="103"/>
    <s v="15"/>
    <n v="53437.599999999999"/>
    <n v="0"/>
  </r>
  <r>
    <x v="103"/>
    <s v="16"/>
    <n v="54116.2"/>
    <n v="0"/>
  </r>
  <r>
    <x v="103"/>
    <s v="17"/>
    <n v="54638.7"/>
    <n v="0"/>
  </r>
  <r>
    <x v="103"/>
    <s v="18"/>
    <n v="54580.4"/>
    <n v="0"/>
  </r>
  <r>
    <x v="103"/>
    <s v="19"/>
    <n v="54540.6"/>
    <n v="0"/>
  </r>
  <r>
    <x v="103"/>
    <s v="20"/>
    <n v="66154.5"/>
    <n v="0"/>
  </r>
  <r>
    <x v="103"/>
    <s v="21"/>
    <n v="67561.7"/>
    <n v="0"/>
  </r>
  <r>
    <x v="103"/>
    <s v="22"/>
    <n v="67391.3"/>
    <n v="0"/>
  </r>
  <r>
    <x v="103"/>
    <s v="23"/>
    <n v="61664.3"/>
    <n v="0"/>
  </r>
  <r>
    <x v="104"/>
    <s v="0"/>
    <n v="53306.5"/>
    <n v="0"/>
  </r>
  <r>
    <x v="104"/>
    <s v="1"/>
    <n v="53348.3"/>
    <n v="0"/>
  </r>
  <r>
    <x v="104"/>
    <s v="2"/>
    <n v="53859.4"/>
    <n v="0"/>
  </r>
  <r>
    <x v="104"/>
    <s v="3"/>
    <n v="53722.6"/>
    <n v="0"/>
  </r>
  <r>
    <x v="104"/>
    <s v="4"/>
    <n v="53718.3"/>
    <n v="0"/>
  </r>
  <r>
    <x v="104"/>
    <s v="5"/>
    <n v="53749.8"/>
    <n v="0"/>
  </r>
  <r>
    <x v="104"/>
    <s v="6"/>
    <n v="54259.199999999997"/>
    <n v="0"/>
  </r>
  <r>
    <x v="104"/>
    <s v="7"/>
    <n v="53869.599999999999"/>
    <n v="0"/>
  </r>
  <r>
    <x v="104"/>
    <s v="8"/>
    <n v="54263.199999999997"/>
    <n v="0"/>
  </r>
  <r>
    <x v="104"/>
    <s v="9"/>
    <n v="54015.6"/>
    <n v="0"/>
  </r>
  <r>
    <x v="104"/>
    <s v="10"/>
    <n v="54142"/>
    <n v="0"/>
  </r>
  <r>
    <x v="104"/>
    <s v="11"/>
    <n v="53900.7"/>
    <n v="0"/>
  </r>
  <r>
    <x v="104"/>
    <s v="12"/>
    <n v="54067"/>
    <n v="0"/>
  </r>
  <r>
    <x v="104"/>
    <s v="13"/>
    <n v="53948.4"/>
    <n v="0"/>
  </r>
  <r>
    <x v="104"/>
    <s v="14"/>
    <n v="54211.3"/>
    <n v="0"/>
  </r>
  <r>
    <x v="104"/>
    <s v="15"/>
    <n v="53983.8"/>
    <n v="0"/>
  </r>
  <r>
    <x v="104"/>
    <s v="16"/>
    <n v="54016.4"/>
    <n v="0"/>
  </r>
  <r>
    <x v="104"/>
    <s v="17"/>
    <n v="53804.4"/>
    <n v="0"/>
  </r>
  <r>
    <x v="104"/>
    <s v="18"/>
    <n v="54085.3"/>
    <n v="0"/>
  </r>
  <r>
    <x v="104"/>
    <s v="19"/>
    <n v="54930.6"/>
    <n v="0"/>
  </r>
  <r>
    <x v="104"/>
    <s v="20"/>
    <n v="56448.4"/>
    <n v="0"/>
  </r>
  <r>
    <x v="104"/>
    <s v="21"/>
    <n v="54845.9"/>
    <n v="0"/>
  </r>
  <r>
    <x v="104"/>
    <s v="22"/>
    <n v="54671"/>
    <n v="0"/>
  </r>
  <r>
    <x v="104"/>
    <s v="23"/>
    <n v="54839.199999999997"/>
    <n v="0"/>
  </r>
  <r>
    <x v="105"/>
    <s v="0"/>
    <n v="44904.800000000003"/>
    <n v="0"/>
  </r>
  <r>
    <x v="105"/>
    <s v="1"/>
    <n v="45849.9"/>
    <n v="0"/>
  </r>
  <r>
    <x v="105"/>
    <s v="2"/>
    <n v="45771.7"/>
    <n v="0"/>
  </r>
  <r>
    <x v="105"/>
    <s v="3"/>
    <n v="45898.3"/>
    <n v="0"/>
  </r>
  <r>
    <x v="105"/>
    <s v="4"/>
    <n v="45861.9"/>
    <n v="0"/>
  </r>
  <r>
    <x v="105"/>
    <s v="5"/>
    <n v="45779.199999999997"/>
    <n v="0"/>
  </r>
  <r>
    <x v="105"/>
    <s v="6"/>
    <n v="45822.2"/>
    <n v="0"/>
  </r>
  <r>
    <x v="105"/>
    <s v="7"/>
    <n v="45889"/>
    <n v="0"/>
  </r>
  <r>
    <x v="105"/>
    <s v="8"/>
    <n v="44569.5"/>
    <n v="0"/>
  </r>
  <r>
    <x v="105"/>
    <s v="9"/>
    <n v="44852.4"/>
    <n v="0"/>
  </r>
  <r>
    <x v="105"/>
    <s v="10"/>
    <n v="44839.4"/>
    <n v="0"/>
  </r>
  <r>
    <x v="105"/>
    <s v="11"/>
    <n v="44838.9"/>
    <n v="0"/>
  </r>
  <r>
    <x v="105"/>
    <s v="12"/>
    <n v="44815.3"/>
    <n v="0"/>
  </r>
  <r>
    <x v="105"/>
    <s v="13"/>
    <n v="44745.599999999999"/>
    <n v="0"/>
  </r>
  <r>
    <x v="105"/>
    <s v="14"/>
    <n v="44823.4"/>
    <n v="0"/>
  </r>
  <r>
    <x v="105"/>
    <s v="15"/>
    <n v="44810.3"/>
    <n v="0"/>
  </r>
  <r>
    <x v="105"/>
    <s v="16"/>
    <n v="44839.5"/>
    <n v="0"/>
  </r>
  <r>
    <x v="105"/>
    <s v="17"/>
    <n v="44942.400000000001"/>
    <n v="0"/>
  </r>
  <r>
    <x v="105"/>
    <s v="18"/>
    <n v="44860.800000000003"/>
    <n v="0"/>
  </r>
  <r>
    <x v="105"/>
    <s v="19"/>
    <n v="44686.2"/>
    <n v="0"/>
  </r>
  <r>
    <x v="105"/>
    <s v="20"/>
    <n v="52808.7"/>
    <n v="0"/>
  </r>
  <r>
    <x v="105"/>
    <s v="21"/>
    <n v="45315"/>
    <n v="0"/>
  </r>
  <r>
    <x v="105"/>
    <s v="22"/>
    <n v="45156.5"/>
    <n v="0"/>
  </r>
  <r>
    <x v="105"/>
    <s v="23"/>
    <n v="45595.1"/>
    <n v="0"/>
  </r>
  <r>
    <x v="106"/>
    <s v="0"/>
    <n v="53457"/>
    <n v="0"/>
  </r>
  <r>
    <x v="106"/>
    <s v="1"/>
    <n v="55643"/>
    <n v="0"/>
  </r>
  <r>
    <x v="106"/>
    <s v="2"/>
    <n v="54509.9"/>
    <n v="0"/>
  </r>
  <r>
    <x v="106"/>
    <s v="3"/>
    <n v="54450.7"/>
    <n v="0"/>
  </r>
  <r>
    <x v="106"/>
    <s v="4"/>
    <n v="54899.4"/>
    <n v="0"/>
  </r>
  <r>
    <x v="106"/>
    <s v="5"/>
    <n v="54436.1"/>
    <n v="0"/>
  </r>
  <r>
    <x v="106"/>
    <s v="6"/>
    <n v="54691.5"/>
    <n v="0"/>
  </r>
  <r>
    <x v="106"/>
    <s v="7"/>
    <n v="54717.599999999999"/>
    <n v="0"/>
  </r>
  <r>
    <x v="106"/>
    <s v="8"/>
    <n v="53496.6"/>
    <n v="0"/>
  </r>
  <r>
    <x v="106"/>
    <s v="9"/>
    <n v="54027.7"/>
    <n v="0"/>
  </r>
  <r>
    <x v="106"/>
    <s v="10"/>
    <n v="53047"/>
    <n v="0"/>
  </r>
  <r>
    <x v="106"/>
    <s v="11"/>
    <n v="52334.1"/>
    <n v="0"/>
  </r>
  <r>
    <x v="106"/>
    <s v="12"/>
    <n v="54434.2"/>
    <n v="0"/>
  </r>
  <r>
    <x v="106"/>
    <s v="13"/>
    <n v="54863.3"/>
    <n v="0"/>
  </r>
  <r>
    <x v="106"/>
    <s v="14"/>
    <n v="52912.800000000003"/>
    <n v="0"/>
  </r>
  <r>
    <x v="106"/>
    <s v="15"/>
    <n v="52731.5"/>
    <n v="0"/>
  </r>
  <r>
    <x v="106"/>
    <s v="16"/>
    <n v="51945.1"/>
    <n v="0"/>
  </r>
  <r>
    <x v="106"/>
    <s v="17"/>
    <n v="54155"/>
    <n v="0"/>
  </r>
  <r>
    <x v="106"/>
    <s v="18"/>
    <n v="53536.4"/>
    <n v="0"/>
  </r>
  <r>
    <x v="106"/>
    <s v="19"/>
    <n v="62632.800000000003"/>
    <n v="0"/>
  </r>
  <r>
    <x v="106"/>
    <s v="20"/>
    <n v="67604.3"/>
    <n v="0"/>
  </r>
  <r>
    <x v="106"/>
    <s v="21"/>
    <n v="54922.2"/>
    <n v="0"/>
  </r>
  <r>
    <x v="106"/>
    <s v="22"/>
    <n v="54987.3"/>
    <n v="0"/>
  </r>
  <r>
    <x v="106"/>
    <s v="23"/>
    <n v="55109.1"/>
    <n v="0"/>
  </r>
  <r>
    <x v="107"/>
    <s v="0"/>
    <n v="54362"/>
    <n v="0"/>
  </r>
  <r>
    <x v="107"/>
    <s v="1"/>
    <n v="54145.1"/>
    <n v="0"/>
  </r>
  <r>
    <x v="107"/>
    <s v="2"/>
    <n v="54305.7"/>
    <n v="0"/>
  </r>
  <r>
    <x v="107"/>
    <s v="3"/>
    <n v="54203.8"/>
    <n v="0"/>
  </r>
  <r>
    <x v="107"/>
    <s v="4"/>
    <n v="54190.3"/>
    <n v="0"/>
  </r>
  <r>
    <x v="107"/>
    <s v="5"/>
    <n v="54164.3"/>
    <n v="0"/>
  </r>
  <r>
    <x v="107"/>
    <s v="6"/>
    <n v="54251.3"/>
    <n v="0"/>
  </r>
  <r>
    <x v="107"/>
    <s v="7"/>
    <n v="54346.2"/>
    <n v="0"/>
  </r>
  <r>
    <x v="107"/>
    <s v="8"/>
    <n v="53758.1"/>
    <n v="0"/>
  </r>
  <r>
    <x v="107"/>
    <s v="9"/>
    <n v="54261.1"/>
    <n v="0"/>
  </r>
  <r>
    <x v="107"/>
    <s v="10"/>
    <n v="53522.8"/>
    <n v="0"/>
  </r>
  <r>
    <x v="107"/>
    <s v="11"/>
    <n v="52646.6"/>
    <n v="0"/>
  </r>
  <r>
    <x v="107"/>
    <s v="12"/>
    <n v="54213"/>
    <n v="0"/>
  </r>
  <r>
    <x v="107"/>
    <s v="13"/>
    <n v="53625.2"/>
    <n v="0"/>
  </r>
  <r>
    <x v="107"/>
    <s v="14"/>
    <n v="53381.1"/>
    <n v="0"/>
  </r>
  <r>
    <x v="107"/>
    <s v="15"/>
    <n v="54224.7"/>
    <n v="0"/>
  </r>
  <r>
    <x v="107"/>
    <s v="16"/>
    <n v="54306.3"/>
    <n v="0"/>
  </r>
  <r>
    <x v="107"/>
    <s v="17"/>
    <n v="54082.6"/>
    <n v="0"/>
  </r>
  <r>
    <x v="107"/>
    <s v="18"/>
    <n v="54043"/>
    <n v="0"/>
  </r>
  <r>
    <x v="107"/>
    <s v="19"/>
    <n v="54313"/>
    <n v="0"/>
  </r>
  <r>
    <x v="107"/>
    <s v="20"/>
    <n v="67631.8"/>
    <n v="0"/>
  </r>
  <r>
    <x v="107"/>
    <s v="21"/>
    <n v="61566.400000000001"/>
    <n v="0"/>
  </r>
  <r>
    <x v="107"/>
    <s v="22"/>
    <n v="65608.600000000006"/>
    <n v="0"/>
  </r>
  <r>
    <x v="107"/>
    <s v="23"/>
    <n v="54983.199999999997"/>
    <n v="0"/>
  </r>
  <r>
    <x v="108"/>
    <s v="0"/>
    <n v="54633.1"/>
    <n v="0"/>
  </r>
  <r>
    <x v="108"/>
    <s v="1"/>
    <n v="54521.9"/>
    <n v="0"/>
  </r>
  <r>
    <x v="108"/>
    <s v="2"/>
    <n v="54395.7"/>
    <n v="0"/>
  </r>
  <r>
    <x v="108"/>
    <s v="3"/>
    <n v="54631.6"/>
    <n v="0"/>
  </r>
  <r>
    <x v="108"/>
    <s v="4"/>
    <n v="54748.7"/>
    <n v="0"/>
  </r>
  <r>
    <x v="108"/>
    <s v="5"/>
    <n v="54476.800000000003"/>
    <n v="0"/>
  </r>
  <r>
    <x v="108"/>
    <s v="6"/>
    <n v="54904"/>
    <n v="0"/>
  </r>
  <r>
    <x v="108"/>
    <s v="7"/>
    <n v="54943.1"/>
    <n v="0"/>
  </r>
  <r>
    <x v="108"/>
    <s v="8"/>
    <n v="54229.9"/>
    <n v="0"/>
  </r>
  <r>
    <x v="108"/>
    <s v="9"/>
    <n v="54100.4"/>
    <n v="0"/>
  </r>
  <r>
    <x v="108"/>
    <s v="10"/>
    <n v="54133.4"/>
    <n v="0"/>
  </r>
  <r>
    <x v="108"/>
    <s v="11"/>
    <n v="54028.1"/>
    <n v="0"/>
  </r>
  <r>
    <x v="108"/>
    <s v="12"/>
    <n v="54066.7"/>
    <n v="0"/>
  </r>
  <r>
    <x v="108"/>
    <s v="13"/>
    <n v="54086.7"/>
    <n v="0"/>
  </r>
  <r>
    <x v="108"/>
    <s v="14"/>
    <n v="54140.5"/>
    <n v="0"/>
  </r>
  <r>
    <x v="108"/>
    <s v="15"/>
    <n v="53997.7"/>
    <n v="0"/>
  </r>
  <r>
    <x v="108"/>
    <s v="16"/>
    <n v="53080"/>
    <n v="0"/>
  </r>
  <r>
    <x v="108"/>
    <s v="17"/>
    <n v="53907.7"/>
    <n v="0"/>
  </r>
  <r>
    <x v="108"/>
    <s v="18"/>
    <n v="53556.3"/>
    <n v="0"/>
  </r>
  <r>
    <x v="108"/>
    <s v="19"/>
    <n v="55592.9"/>
    <n v="0"/>
  </r>
  <r>
    <x v="108"/>
    <s v="20"/>
    <n v="67313.600000000006"/>
    <n v="0"/>
  </r>
  <r>
    <x v="108"/>
    <s v="21"/>
    <n v="54623.7"/>
    <n v="0"/>
  </r>
  <r>
    <x v="108"/>
    <s v="22"/>
    <n v="53653.2"/>
    <n v="0"/>
  </r>
  <r>
    <x v="108"/>
    <s v="23"/>
    <n v="53737.599999999999"/>
    <n v="0"/>
  </r>
  <r>
    <x v="109"/>
    <s v="0"/>
    <n v="53453.5"/>
    <n v="0"/>
  </r>
  <r>
    <x v="109"/>
    <s v="1"/>
    <n v="53368.9"/>
    <n v="0"/>
  </r>
  <r>
    <x v="109"/>
    <s v="2"/>
    <n v="53478.8"/>
    <n v="0"/>
  </r>
  <r>
    <x v="109"/>
    <s v="3"/>
    <n v="53411.1"/>
    <n v="0"/>
  </r>
  <r>
    <x v="109"/>
    <s v="4"/>
    <n v="53565.5"/>
    <n v="0"/>
  </r>
  <r>
    <x v="109"/>
    <s v="5"/>
    <n v="53557.2"/>
    <n v="0"/>
  </r>
  <r>
    <x v="109"/>
    <s v="6"/>
    <n v="53264.1"/>
    <n v="0"/>
  </r>
  <r>
    <x v="109"/>
    <s v="7"/>
    <n v="53314.5"/>
    <n v="0"/>
  </r>
  <r>
    <x v="109"/>
    <s v="8"/>
    <n v="54552.2"/>
    <n v="0"/>
  </r>
  <r>
    <x v="109"/>
    <s v="9"/>
    <n v="53489.5"/>
    <n v="0"/>
  </r>
  <r>
    <x v="109"/>
    <s v="10"/>
    <n v="53456.1"/>
    <n v="0"/>
  </r>
  <r>
    <x v="109"/>
    <s v="11"/>
    <n v="53330.1"/>
    <n v="0"/>
  </r>
  <r>
    <x v="109"/>
    <s v="12"/>
    <n v="53697.599999999999"/>
    <n v="0"/>
  </r>
  <r>
    <x v="109"/>
    <s v="13"/>
    <n v="53530.400000000001"/>
    <n v="0"/>
  </r>
  <r>
    <x v="109"/>
    <s v="14"/>
    <n v="53588.2"/>
    <n v="0"/>
  </r>
  <r>
    <x v="109"/>
    <s v="15"/>
    <n v="54752.1"/>
    <n v="0"/>
  </r>
  <r>
    <x v="109"/>
    <s v="16"/>
    <n v="54998.6"/>
    <n v="0"/>
  </r>
  <r>
    <x v="109"/>
    <s v="17"/>
    <n v="54739.5"/>
    <n v="0"/>
  </r>
  <r>
    <x v="109"/>
    <s v="18"/>
    <n v="54431"/>
    <n v="0"/>
  </r>
  <r>
    <x v="109"/>
    <s v="19"/>
    <n v="54483.3"/>
    <n v="0"/>
  </r>
  <r>
    <x v="109"/>
    <s v="20"/>
    <n v="64454.6"/>
    <n v="0"/>
  </r>
  <r>
    <x v="109"/>
    <s v="21"/>
    <n v="55118.9"/>
    <n v="0"/>
  </r>
  <r>
    <x v="109"/>
    <s v="22"/>
    <n v="57472.1"/>
    <n v="0"/>
  </r>
  <r>
    <x v="109"/>
    <s v="23"/>
    <n v="66785.100000000006"/>
    <n v="0"/>
  </r>
  <r>
    <x v="110"/>
    <s v="0"/>
    <n v="52777.9"/>
    <n v="0"/>
  </r>
  <r>
    <x v="110"/>
    <s v="1"/>
    <n v="52809.9"/>
    <n v="0"/>
  </r>
  <r>
    <x v="110"/>
    <s v="2"/>
    <n v="52790.1"/>
    <n v="0"/>
  </r>
  <r>
    <x v="110"/>
    <s v="3"/>
    <n v="52389.9"/>
    <n v="0"/>
  </r>
  <r>
    <x v="110"/>
    <s v="4"/>
    <n v="52716.4"/>
    <n v="0"/>
  </r>
  <r>
    <x v="110"/>
    <s v="5"/>
    <n v="52617.7"/>
    <n v="0"/>
  </r>
  <r>
    <x v="110"/>
    <s v="6"/>
    <n v="54011"/>
    <n v="0"/>
  </r>
  <r>
    <x v="110"/>
    <s v="7"/>
    <n v="54498.1"/>
    <n v="0"/>
  </r>
  <r>
    <x v="110"/>
    <s v="8"/>
    <n v="54750.2"/>
    <n v="0"/>
  </r>
  <r>
    <x v="110"/>
    <s v="9"/>
    <n v="54267.1"/>
    <n v="0"/>
  </r>
  <r>
    <x v="110"/>
    <s v="10"/>
    <n v="54272.2"/>
    <n v="0"/>
  </r>
  <r>
    <x v="110"/>
    <s v="11"/>
    <n v="54433.3"/>
    <n v="0"/>
  </r>
  <r>
    <x v="110"/>
    <s v="12"/>
    <n v="55053"/>
    <n v="0"/>
  </r>
  <r>
    <x v="110"/>
    <s v="13"/>
    <n v="55194.6"/>
    <n v="0"/>
  </r>
  <r>
    <x v="110"/>
    <s v="14"/>
    <n v="54878.2"/>
    <n v="0"/>
  </r>
  <r>
    <x v="110"/>
    <s v="15"/>
    <n v="54837.599999999999"/>
    <n v="0"/>
  </r>
  <r>
    <x v="110"/>
    <s v="16"/>
    <n v="54718.400000000001"/>
    <n v="0"/>
  </r>
  <r>
    <x v="110"/>
    <s v="17"/>
    <n v="54932.4"/>
    <n v="0"/>
  </r>
  <r>
    <x v="110"/>
    <s v="18"/>
    <n v="54531.1"/>
    <n v="0"/>
  </r>
  <r>
    <x v="110"/>
    <s v="19"/>
    <n v="54418.1"/>
    <n v="0"/>
  </r>
  <r>
    <x v="110"/>
    <s v="20"/>
    <n v="67561.100000000006"/>
    <n v="0"/>
  </r>
  <r>
    <x v="110"/>
    <s v="21"/>
    <n v="55376.6"/>
    <n v="0"/>
  </r>
  <r>
    <x v="110"/>
    <s v="22"/>
    <n v="53654.7"/>
    <n v="0"/>
  </r>
  <r>
    <x v="110"/>
    <s v="23"/>
    <n v="53538.7"/>
    <n v="0"/>
  </r>
  <r>
    <x v="111"/>
    <s v="0"/>
    <n v="53374.8"/>
    <n v="0"/>
  </r>
  <r>
    <x v="111"/>
    <s v="1"/>
    <n v="53553.3"/>
    <n v="0"/>
  </r>
  <r>
    <x v="111"/>
    <s v="2"/>
    <n v="53609.1"/>
    <n v="0"/>
  </r>
  <r>
    <x v="111"/>
    <s v="3"/>
    <n v="53636.800000000003"/>
    <n v="0"/>
  </r>
  <r>
    <x v="111"/>
    <s v="4"/>
    <n v="53728"/>
    <n v="0"/>
  </r>
  <r>
    <x v="111"/>
    <s v="5"/>
    <n v="53585.2"/>
    <n v="0"/>
  </r>
  <r>
    <x v="111"/>
    <s v="6"/>
    <n v="52870.1"/>
    <n v="0"/>
  </r>
  <r>
    <x v="111"/>
    <s v="7"/>
    <n v="53332.2"/>
    <n v="0"/>
  </r>
  <r>
    <x v="111"/>
    <s v="8"/>
    <n v="54707.199999999997"/>
    <n v="0"/>
  </r>
  <r>
    <x v="111"/>
    <s v="9"/>
    <n v="54735.1"/>
    <n v="0"/>
  </r>
  <r>
    <x v="111"/>
    <s v="10"/>
    <n v="54529.8"/>
    <n v="0"/>
  </r>
  <r>
    <x v="111"/>
    <s v="11"/>
    <n v="54310"/>
    <n v="0"/>
  </r>
  <r>
    <x v="111"/>
    <s v="12"/>
    <n v="54725.1"/>
    <n v="0"/>
  </r>
  <r>
    <x v="111"/>
    <s v="13"/>
    <n v="54070.9"/>
    <n v="0"/>
  </r>
  <r>
    <x v="111"/>
    <s v="14"/>
    <n v="54149.7"/>
    <n v="0"/>
  </r>
  <r>
    <x v="111"/>
    <s v="15"/>
    <n v="53946.6"/>
    <n v="0"/>
  </r>
  <r>
    <x v="111"/>
    <s v="16"/>
    <n v="54065.4"/>
    <n v="0"/>
  </r>
  <r>
    <x v="111"/>
    <s v="17"/>
    <n v="52096.5"/>
    <n v="0"/>
  </r>
  <r>
    <x v="111"/>
    <s v="18"/>
    <n v="54123.3"/>
    <n v="0"/>
  </r>
  <r>
    <x v="111"/>
    <s v="19"/>
    <n v="63025.2"/>
    <n v="0"/>
  </r>
  <r>
    <x v="111"/>
    <s v="20"/>
    <n v="66291.199999999997"/>
    <n v="0"/>
  </r>
  <r>
    <x v="111"/>
    <s v="21"/>
    <n v="55481.9"/>
    <n v="0"/>
  </r>
  <r>
    <x v="111"/>
    <s v="22"/>
    <n v="54468.800000000003"/>
    <n v="0"/>
  </r>
  <r>
    <x v="111"/>
    <s v="23"/>
    <n v="54502.7"/>
    <n v="0"/>
  </r>
  <r>
    <x v="112"/>
    <s v="0"/>
    <n v="54371.7"/>
    <n v="0"/>
  </r>
  <r>
    <x v="112"/>
    <s v="1"/>
    <n v="54440.2"/>
    <n v="0"/>
  </r>
  <r>
    <x v="112"/>
    <s v="2"/>
    <n v="54348.3"/>
    <n v="0"/>
  </r>
  <r>
    <x v="112"/>
    <s v="3"/>
    <n v="53074.9"/>
    <n v="0"/>
  </r>
  <r>
    <x v="112"/>
    <s v="4"/>
    <n v="52944.800000000003"/>
    <n v="0"/>
  </r>
  <r>
    <x v="112"/>
    <s v="5"/>
    <n v="52837.599999999999"/>
    <n v="0"/>
  </r>
  <r>
    <x v="112"/>
    <s v="6"/>
    <n v="52991.6"/>
    <n v="0"/>
  </r>
  <r>
    <x v="112"/>
    <s v="7"/>
    <n v="52576.7"/>
    <n v="0"/>
  </r>
  <r>
    <x v="112"/>
    <s v="8"/>
    <n v="52217.2"/>
    <n v="0"/>
  </r>
  <r>
    <x v="112"/>
    <s v="9"/>
    <n v="53121.5"/>
    <n v="0"/>
  </r>
  <r>
    <x v="112"/>
    <s v="10"/>
    <n v="53043"/>
    <n v="0"/>
  </r>
  <r>
    <x v="112"/>
    <s v="11"/>
    <n v="53108.2"/>
    <n v="0"/>
  </r>
  <r>
    <x v="112"/>
    <s v="12"/>
    <n v="53116.2"/>
    <n v="0"/>
  </r>
  <r>
    <x v="112"/>
    <s v="13"/>
    <n v="52971"/>
    <n v="0"/>
  </r>
  <r>
    <x v="112"/>
    <s v="14"/>
    <n v="53099.199999999997"/>
    <n v="0"/>
  </r>
  <r>
    <x v="112"/>
    <s v="15"/>
    <n v="53070.1"/>
    <n v="0"/>
  </r>
  <r>
    <x v="112"/>
    <s v="16"/>
    <n v="53044.3"/>
    <n v="0"/>
  </r>
  <r>
    <x v="112"/>
    <s v="17"/>
    <n v="53074"/>
    <n v="0"/>
  </r>
  <r>
    <x v="112"/>
    <s v="18"/>
    <n v="53257.2"/>
    <n v="0"/>
  </r>
  <r>
    <x v="112"/>
    <s v="19"/>
    <n v="55298.7"/>
    <n v="0"/>
  </r>
  <r>
    <x v="112"/>
    <s v="20"/>
    <n v="67464.800000000003"/>
    <n v="0"/>
  </r>
  <r>
    <x v="112"/>
    <s v="21"/>
    <n v="55587.7"/>
    <n v="0"/>
  </r>
  <r>
    <x v="112"/>
    <s v="22"/>
    <n v="53878"/>
    <n v="0"/>
  </r>
  <r>
    <x v="112"/>
    <s v="23"/>
    <n v="53824.2"/>
    <n v="0"/>
  </r>
  <r>
    <x v="113"/>
    <s v="0"/>
    <n v="44469.7"/>
    <n v="0"/>
  </r>
  <r>
    <x v="113"/>
    <s v="1"/>
    <n v="44857.7"/>
    <n v="0"/>
  </r>
  <r>
    <x v="113"/>
    <s v="2"/>
    <n v="45002.2"/>
    <n v="0"/>
  </r>
  <r>
    <x v="113"/>
    <s v="3"/>
    <n v="45584.2"/>
    <n v="0"/>
  </r>
  <r>
    <x v="113"/>
    <s v="4"/>
    <n v="44886.6"/>
    <n v="0"/>
  </r>
  <r>
    <x v="113"/>
    <s v="5"/>
    <n v="44329.599999999999"/>
    <n v="0"/>
  </r>
  <r>
    <x v="113"/>
    <s v="6"/>
    <n v="44219.4"/>
    <n v="0"/>
  </r>
  <r>
    <x v="113"/>
    <s v="7"/>
    <n v="43571.8"/>
    <n v="0"/>
  </r>
  <r>
    <x v="113"/>
    <s v="8"/>
    <n v="43979"/>
    <n v="0"/>
  </r>
  <r>
    <x v="113"/>
    <s v="9"/>
    <n v="43968"/>
    <n v="0"/>
  </r>
  <r>
    <x v="113"/>
    <s v="10"/>
    <n v="44034.7"/>
    <n v="0"/>
  </r>
  <r>
    <x v="113"/>
    <s v="11"/>
    <n v="44085.7"/>
    <n v="0"/>
  </r>
  <r>
    <x v="113"/>
    <s v="12"/>
    <n v="44624.9"/>
    <n v="0"/>
  </r>
  <r>
    <x v="113"/>
    <s v="13"/>
    <n v="58951.3"/>
    <n v="0"/>
  </r>
  <r>
    <x v="113"/>
    <s v="14"/>
    <n v="60286.400000000001"/>
    <n v="0"/>
  </r>
  <r>
    <x v="113"/>
    <s v="15"/>
    <n v="60490.6"/>
    <n v="0"/>
  </r>
  <r>
    <x v="113"/>
    <s v="16"/>
    <n v="60493.2"/>
    <n v="0"/>
  </r>
  <r>
    <x v="113"/>
    <s v="17"/>
    <n v="44503.4"/>
    <n v="0"/>
  </r>
  <r>
    <x v="113"/>
    <s v="18"/>
    <n v="60863.199999999997"/>
    <n v="0"/>
  </r>
  <r>
    <x v="113"/>
    <s v="19"/>
    <n v="60710"/>
    <n v="0"/>
  </r>
  <r>
    <x v="113"/>
    <s v="20"/>
    <n v="60396.7"/>
    <n v="0"/>
  </r>
  <r>
    <x v="113"/>
    <s v="21"/>
    <n v="60228.800000000003"/>
    <n v="0"/>
  </r>
  <r>
    <x v="113"/>
    <s v="22"/>
    <n v="60073.2"/>
    <n v="0"/>
  </r>
  <r>
    <x v="113"/>
    <s v="23"/>
    <n v="54038.1"/>
    <n v="0"/>
  </r>
  <r>
    <x v="114"/>
    <s v="0"/>
    <n v="52051.5"/>
    <n v="0"/>
  </r>
  <r>
    <x v="114"/>
    <s v="1"/>
    <n v="51201.5"/>
    <n v="0"/>
  </r>
  <r>
    <x v="114"/>
    <s v="2"/>
    <n v="51006.9"/>
    <n v="0"/>
  </r>
  <r>
    <x v="114"/>
    <s v="3"/>
    <n v="51416.1"/>
    <n v="0"/>
  </r>
  <r>
    <x v="114"/>
    <s v="4"/>
    <n v="51982.6"/>
    <n v="0"/>
  </r>
  <r>
    <x v="114"/>
    <s v="5"/>
    <n v="51332.9"/>
    <n v="0"/>
  </r>
  <r>
    <x v="114"/>
    <s v="6"/>
    <n v="51312.6"/>
    <n v="0"/>
  </r>
  <r>
    <x v="114"/>
    <s v="7"/>
    <n v="51452"/>
    <n v="0"/>
  </r>
  <r>
    <x v="114"/>
    <s v="8"/>
    <n v="51389"/>
    <n v="0"/>
  </r>
  <r>
    <x v="114"/>
    <s v="9"/>
    <n v="51513.599999999999"/>
    <n v="0"/>
  </r>
  <r>
    <x v="114"/>
    <s v="10"/>
    <n v="51444"/>
    <n v="0"/>
  </r>
  <r>
    <x v="114"/>
    <s v="11"/>
    <n v="51352.4"/>
    <n v="0"/>
  </r>
  <r>
    <x v="114"/>
    <s v="12"/>
    <n v="51481.5"/>
    <n v="0"/>
  </r>
  <r>
    <x v="114"/>
    <s v="13"/>
    <n v="51455.199999999997"/>
    <n v="0"/>
  </r>
  <r>
    <x v="114"/>
    <s v="14"/>
    <n v="51333.1"/>
    <n v="0"/>
  </r>
  <r>
    <x v="114"/>
    <s v="15"/>
    <n v="51285.5"/>
    <n v="0"/>
  </r>
  <r>
    <x v="114"/>
    <s v="16"/>
    <n v="51335.7"/>
    <n v="0"/>
  </r>
  <r>
    <x v="114"/>
    <s v="17"/>
    <n v="57206.7"/>
    <n v="0"/>
  </r>
  <r>
    <x v="114"/>
    <s v="18"/>
    <n v="55005.599999999999"/>
    <n v="0"/>
  </r>
  <r>
    <x v="114"/>
    <s v="19"/>
    <n v="68279.399999999994"/>
    <n v="0"/>
  </r>
  <r>
    <x v="114"/>
    <s v="20"/>
    <n v="68851.199999999997"/>
    <n v="0"/>
  </r>
  <r>
    <x v="114"/>
    <s v="21"/>
    <n v="69814.100000000006"/>
    <n v="0"/>
  </r>
  <r>
    <x v="114"/>
    <s v="22"/>
    <n v="70005.5"/>
    <n v="0"/>
  </r>
  <r>
    <x v="114"/>
    <s v="23"/>
    <n v="69489.7"/>
    <n v="0"/>
  </r>
  <r>
    <x v="115"/>
    <s v="0"/>
    <n v="54310.1"/>
    <n v="0"/>
  </r>
  <r>
    <x v="115"/>
    <s v="1"/>
    <n v="54381.1"/>
    <n v="0"/>
  </r>
  <r>
    <x v="115"/>
    <s v="2"/>
    <n v="54351.9"/>
    <n v="0"/>
  </r>
  <r>
    <x v="115"/>
    <s v="3"/>
    <n v="54342.400000000001"/>
    <n v="0"/>
  </r>
  <r>
    <x v="115"/>
    <s v="4"/>
    <n v="54370.3"/>
    <n v="0"/>
  </r>
  <r>
    <x v="115"/>
    <s v="5"/>
    <n v="53235.7"/>
    <n v="0"/>
  </r>
  <r>
    <x v="115"/>
    <s v="6"/>
    <n v="52349.4"/>
    <n v="0"/>
  </r>
  <r>
    <x v="115"/>
    <s v="7"/>
    <n v="52522.8"/>
    <n v="0"/>
  </r>
  <r>
    <x v="115"/>
    <s v="8"/>
    <n v="52529.9"/>
    <n v="0"/>
  </r>
  <r>
    <x v="115"/>
    <s v="9"/>
    <n v="52157.5"/>
    <n v="0"/>
  </r>
  <r>
    <x v="115"/>
    <s v="10"/>
    <n v="52239.4"/>
    <n v="0"/>
  </r>
  <r>
    <x v="115"/>
    <s v="11"/>
    <n v="53493.2"/>
    <n v="0"/>
  </r>
  <r>
    <x v="115"/>
    <s v="12"/>
    <n v="54189.599999999999"/>
    <n v="0"/>
  </r>
  <r>
    <x v="115"/>
    <s v="13"/>
    <n v="54735.9"/>
    <n v="0"/>
  </r>
  <r>
    <x v="115"/>
    <s v="14"/>
    <n v="54662.2"/>
    <n v="0"/>
  </r>
  <r>
    <x v="115"/>
    <s v="15"/>
    <n v="54610.3"/>
    <n v="0"/>
  </r>
  <r>
    <x v="115"/>
    <s v="16"/>
    <n v="54509.1"/>
    <n v="0"/>
  </r>
  <r>
    <x v="115"/>
    <s v="17"/>
    <n v="54690.6"/>
    <n v="0"/>
  </r>
  <r>
    <x v="115"/>
    <s v="18"/>
    <n v="56060.9"/>
    <n v="0"/>
  </r>
  <r>
    <x v="115"/>
    <s v="19"/>
    <n v="65551.899999999994"/>
    <n v="0"/>
  </r>
  <r>
    <x v="115"/>
    <s v="20"/>
    <n v="67545.600000000006"/>
    <n v="0"/>
  </r>
  <r>
    <x v="115"/>
    <s v="21"/>
    <n v="65536.3"/>
    <n v="0"/>
  </r>
  <r>
    <x v="115"/>
    <s v="22"/>
    <n v="66728.3"/>
    <n v="0"/>
  </r>
  <r>
    <x v="115"/>
    <s v="23"/>
    <n v="66653.100000000006"/>
    <n v="0"/>
  </r>
  <r>
    <x v="116"/>
    <s v="0"/>
    <n v="56931.199999999997"/>
    <n v="0"/>
  </r>
  <r>
    <x v="116"/>
    <s v="1"/>
    <n v="44847"/>
    <n v="0"/>
  </r>
  <r>
    <x v="116"/>
    <s v="2"/>
    <n v="44471.7"/>
    <n v="0"/>
  </r>
  <r>
    <x v="116"/>
    <s v="3"/>
    <n v="44499.199999999997"/>
    <n v="0"/>
  </r>
  <r>
    <x v="116"/>
    <s v="4"/>
    <n v="44702.9"/>
    <n v="0"/>
  </r>
  <r>
    <x v="116"/>
    <s v="5"/>
    <n v="44247.8"/>
    <n v="0"/>
  </r>
  <r>
    <x v="116"/>
    <s v="6"/>
    <n v="44110"/>
    <n v="0"/>
  </r>
  <r>
    <x v="116"/>
    <s v="7"/>
    <n v="44144.5"/>
    <n v="0"/>
  </r>
  <r>
    <x v="116"/>
    <s v="8"/>
    <n v="45068.800000000003"/>
    <n v="0"/>
  </r>
  <r>
    <x v="116"/>
    <s v="9"/>
    <n v="44894.5"/>
    <n v="0"/>
  </r>
  <r>
    <x v="116"/>
    <s v="10"/>
    <n v="45110.9"/>
    <n v="0"/>
  </r>
  <r>
    <x v="116"/>
    <s v="11"/>
    <n v="45205.4"/>
    <n v="0"/>
  </r>
  <r>
    <x v="116"/>
    <s v="12"/>
    <n v="45544.3"/>
    <n v="0"/>
  </r>
  <r>
    <x v="116"/>
    <s v="13"/>
    <n v="45414.2"/>
    <n v="0"/>
  </r>
  <r>
    <x v="116"/>
    <s v="14"/>
    <n v="45359.199999999997"/>
    <n v="0"/>
  </r>
  <r>
    <x v="116"/>
    <s v="15"/>
    <n v="45309.599999999999"/>
    <n v="0"/>
  </r>
  <r>
    <x v="116"/>
    <s v="16"/>
    <n v="45102.8"/>
    <n v="0"/>
  </r>
  <r>
    <x v="116"/>
    <s v="17"/>
    <n v="56173.3"/>
    <n v="0"/>
  </r>
  <r>
    <x v="116"/>
    <s v="18"/>
    <n v="45744.9"/>
    <n v="0"/>
  </r>
  <r>
    <x v="116"/>
    <s v="19"/>
    <n v="56137.4"/>
    <n v="0"/>
  </r>
  <r>
    <x v="116"/>
    <s v="20"/>
    <n v="58029.5"/>
    <n v="0"/>
  </r>
  <r>
    <x v="116"/>
    <s v="21"/>
    <n v="57704.2"/>
    <n v="0"/>
  </r>
  <r>
    <x v="116"/>
    <s v="22"/>
    <n v="57903.9"/>
    <n v="0"/>
  </r>
  <r>
    <x v="116"/>
    <s v="23"/>
    <n v="57771.4"/>
    <n v="0"/>
  </r>
  <r>
    <x v="117"/>
    <s v="0"/>
    <n v="57720.6"/>
    <n v="0"/>
  </r>
  <r>
    <x v="117"/>
    <s v="1"/>
    <n v="53198.5"/>
    <n v="0"/>
  </r>
  <r>
    <x v="117"/>
    <s v="2"/>
    <n v="53726.400000000001"/>
    <n v="0"/>
  </r>
  <r>
    <x v="117"/>
    <s v="3"/>
    <n v="53594"/>
    <n v="0"/>
  </r>
  <r>
    <x v="117"/>
    <s v="4"/>
    <n v="53537.8"/>
    <n v="0"/>
  </r>
  <r>
    <x v="117"/>
    <s v="5"/>
    <n v="54176.1"/>
    <n v="0"/>
  </r>
  <r>
    <x v="117"/>
    <s v="6"/>
    <n v="54427.199999999997"/>
    <n v="0"/>
  </r>
  <r>
    <x v="117"/>
    <s v="7"/>
    <n v="54496.3"/>
    <n v="0"/>
  </r>
  <r>
    <x v="117"/>
    <s v="8"/>
    <n v="53494.7"/>
    <n v="0"/>
  </r>
  <r>
    <x v="117"/>
    <s v="9"/>
    <n v="52917"/>
    <n v="0"/>
  </r>
  <r>
    <x v="117"/>
    <s v="10"/>
    <n v="54081.9"/>
    <n v="0"/>
  </r>
  <r>
    <x v="117"/>
    <s v="11"/>
    <n v="55038.7"/>
    <n v="0"/>
  </r>
  <r>
    <x v="117"/>
    <s v="12"/>
    <n v="54855.5"/>
    <n v="0"/>
  </r>
  <r>
    <x v="117"/>
    <s v="13"/>
    <n v="54677.3"/>
    <n v="0"/>
  </r>
  <r>
    <x v="117"/>
    <s v="14"/>
    <n v="54197.3"/>
    <n v="0"/>
  </r>
  <r>
    <x v="117"/>
    <s v="15"/>
    <n v="54285.7"/>
    <n v="0"/>
  </r>
  <r>
    <x v="117"/>
    <s v="16"/>
    <n v="53542.1"/>
    <n v="0"/>
  </r>
  <r>
    <x v="117"/>
    <s v="17"/>
    <n v="53411.4"/>
    <n v="0"/>
  </r>
  <r>
    <x v="117"/>
    <s v="18"/>
    <n v="54585.1"/>
    <n v="0"/>
  </r>
  <r>
    <x v="117"/>
    <s v="19"/>
    <n v="53854.9"/>
    <n v="0"/>
  </r>
  <r>
    <x v="117"/>
    <s v="20"/>
    <n v="66003.199999999997"/>
    <n v="0"/>
  </r>
  <r>
    <x v="117"/>
    <s v="21"/>
    <n v="68464.7"/>
    <n v="0"/>
  </r>
  <r>
    <x v="117"/>
    <s v="22"/>
    <n v="67720"/>
    <n v="0"/>
  </r>
  <r>
    <x v="117"/>
    <s v="23"/>
    <n v="67147.600000000006"/>
    <n v="0"/>
  </r>
  <r>
    <x v="118"/>
    <s v="0"/>
    <n v="57881.5"/>
    <n v="0"/>
  </r>
  <r>
    <x v="118"/>
    <s v="1"/>
    <n v="54748.1"/>
    <n v="0"/>
  </r>
  <r>
    <x v="118"/>
    <s v="2"/>
    <n v="54585"/>
    <n v="0"/>
  </r>
  <r>
    <x v="118"/>
    <s v="3"/>
    <n v="54607.4"/>
    <n v="0"/>
  </r>
  <r>
    <x v="118"/>
    <s v="4"/>
    <n v="54636.800000000003"/>
    <n v="0"/>
  </r>
  <r>
    <x v="118"/>
    <s v="5"/>
    <n v="54366.8"/>
    <n v="0"/>
  </r>
  <r>
    <x v="118"/>
    <s v="6"/>
    <n v="54201.5"/>
    <n v="0"/>
  </r>
  <r>
    <x v="118"/>
    <s v="7"/>
    <n v="54431.4"/>
    <n v="0"/>
  </r>
  <r>
    <x v="118"/>
    <s v="8"/>
    <n v="54333.5"/>
    <n v="0"/>
  </r>
  <r>
    <x v="118"/>
    <s v="9"/>
    <n v="54359.6"/>
    <n v="0"/>
  </r>
  <r>
    <x v="118"/>
    <s v="10"/>
    <n v="54374.2"/>
    <n v="0"/>
  </r>
  <r>
    <x v="118"/>
    <s v="11"/>
    <n v="54372.5"/>
    <n v="0"/>
  </r>
  <r>
    <x v="118"/>
    <s v="12"/>
    <n v="54254.2"/>
    <n v="0"/>
  </r>
  <r>
    <x v="118"/>
    <s v="13"/>
    <n v="54464.6"/>
    <n v="0"/>
  </r>
  <r>
    <x v="118"/>
    <s v="14"/>
    <n v="54399.6"/>
    <n v="0"/>
  </r>
  <r>
    <x v="118"/>
    <s v="15"/>
    <n v="54689.9"/>
    <n v="0"/>
  </r>
  <r>
    <x v="118"/>
    <s v="16"/>
    <n v="52645.7"/>
    <n v="0"/>
  </r>
  <r>
    <x v="118"/>
    <s v="17"/>
    <n v="55161.4"/>
    <n v="0"/>
  </r>
  <r>
    <x v="118"/>
    <s v="18"/>
    <n v="54649.599999999999"/>
    <n v="0"/>
  </r>
  <r>
    <x v="118"/>
    <s v="19"/>
    <n v="55515.8"/>
    <n v="0"/>
  </r>
  <r>
    <x v="118"/>
    <s v="20"/>
    <n v="55118.6"/>
    <n v="0"/>
  </r>
  <r>
    <x v="118"/>
    <s v="21"/>
    <n v="66782.7"/>
    <n v="0"/>
  </r>
  <r>
    <x v="118"/>
    <s v="22"/>
    <n v="53379.7"/>
    <n v="0"/>
  </r>
  <r>
    <x v="118"/>
    <s v="23"/>
    <n v="52423"/>
    <n v="0"/>
  </r>
  <r>
    <x v="119"/>
    <s v="0"/>
    <n v="52097.4"/>
    <n v="0"/>
  </r>
  <r>
    <x v="119"/>
    <s v="1"/>
    <n v="53595"/>
    <n v="0"/>
  </r>
  <r>
    <x v="119"/>
    <s v="2"/>
    <n v="54392.7"/>
    <n v="0"/>
  </r>
  <r>
    <x v="119"/>
    <s v="3"/>
    <n v="54512.2"/>
    <n v="0"/>
  </r>
  <r>
    <x v="119"/>
    <s v="4"/>
    <n v="54165"/>
    <n v="0"/>
  </r>
  <r>
    <x v="119"/>
    <s v="5"/>
    <n v="52787.199999999997"/>
    <n v="0"/>
  </r>
  <r>
    <x v="119"/>
    <s v="6"/>
    <n v="52670.3"/>
    <n v="0"/>
  </r>
  <r>
    <x v="119"/>
    <s v="7"/>
    <n v="53494.6"/>
    <n v="0"/>
  </r>
  <r>
    <x v="119"/>
    <s v="8"/>
    <n v="53724.3"/>
    <n v="0"/>
  </r>
  <r>
    <x v="119"/>
    <s v="9"/>
    <n v="54207.9"/>
    <n v="0"/>
  </r>
  <r>
    <x v="119"/>
    <s v="10"/>
    <n v="53742.9"/>
    <n v="0"/>
  </r>
  <r>
    <x v="119"/>
    <s v="11"/>
    <n v="53882.5"/>
    <n v="0"/>
  </r>
  <r>
    <x v="119"/>
    <s v="12"/>
    <n v="53794.400000000001"/>
    <n v="0"/>
  </r>
  <r>
    <x v="119"/>
    <s v="13"/>
    <n v="53671.4"/>
    <n v="0"/>
  </r>
  <r>
    <x v="119"/>
    <s v="14"/>
    <n v="53745.2"/>
    <n v="0"/>
  </r>
  <r>
    <x v="119"/>
    <s v="15"/>
    <n v="53860.1"/>
    <n v="0"/>
  </r>
  <r>
    <x v="119"/>
    <s v="16"/>
    <n v="53841"/>
    <n v="0"/>
  </r>
  <r>
    <x v="119"/>
    <s v="17"/>
    <n v="53626.2"/>
    <n v="0"/>
  </r>
  <r>
    <x v="119"/>
    <s v="18"/>
    <n v="54799.6"/>
    <n v="0"/>
  </r>
  <r>
    <x v="119"/>
    <s v="19"/>
    <n v="54743.6"/>
    <n v="0"/>
  </r>
  <r>
    <x v="119"/>
    <s v="20"/>
    <n v="53638.1"/>
    <n v="0"/>
  </r>
  <r>
    <x v="119"/>
    <s v="21"/>
    <n v="53634.3"/>
    <n v="0"/>
  </r>
  <r>
    <x v="119"/>
    <s v="22"/>
    <n v="53709"/>
    <n v="0"/>
  </r>
  <r>
    <x v="119"/>
    <s v="23"/>
    <n v="53504.4"/>
    <n v="0"/>
  </r>
  <r>
    <x v="120"/>
    <s v="0"/>
    <n v="53527.199999999997"/>
    <n v="0"/>
  </r>
  <r>
    <x v="120"/>
    <s v="1"/>
    <n v="53542.6"/>
    <n v="0"/>
  </r>
  <r>
    <x v="120"/>
    <s v="2"/>
    <n v="53889.7"/>
    <n v="0"/>
  </r>
  <r>
    <x v="120"/>
    <s v="3"/>
    <n v="53572.6"/>
    <n v="0"/>
  </r>
  <r>
    <x v="120"/>
    <s v="4"/>
    <n v="53663.6"/>
    <n v="0"/>
  </r>
  <r>
    <x v="120"/>
    <s v="5"/>
    <n v="53670"/>
    <n v="0"/>
  </r>
  <r>
    <x v="120"/>
    <s v="6"/>
    <n v="53620"/>
    <n v="0"/>
  </r>
  <r>
    <x v="120"/>
    <s v="7"/>
    <n v="53667.7"/>
    <n v="0"/>
  </r>
  <r>
    <x v="120"/>
    <s v="8"/>
    <n v="53811.3"/>
    <n v="0"/>
  </r>
  <r>
    <x v="120"/>
    <s v="9"/>
    <n v="53729.599999999999"/>
    <n v="0"/>
  </r>
  <r>
    <x v="120"/>
    <s v="10"/>
    <n v="53804.800000000003"/>
    <n v="0"/>
  </r>
  <r>
    <x v="120"/>
    <s v="11"/>
    <n v="53645.5"/>
    <n v="0"/>
  </r>
  <r>
    <x v="120"/>
    <s v="12"/>
    <n v="53598.8"/>
    <n v="0"/>
  </r>
  <r>
    <x v="120"/>
    <s v="13"/>
    <n v="53461.599999999999"/>
    <n v="0"/>
  </r>
  <r>
    <x v="120"/>
    <s v="14"/>
    <n v="53516.9"/>
    <n v="0"/>
  </r>
  <r>
    <x v="120"/>
    <s v="15"/>
    <n v="53576.1"/>
    <n v="0"/>
  </r>
  <r>
    <x v="120"/>
    <s v="16"/>
    <n v="53455.7"/>
    <n v="0"/>
  </r>
  <r>
    <x v="120"/>
    <s v="17"/>
    <n v="53408.800000000003"/>
    <n v="0"/>
  </r>
  <r>
    <x v="120"/>
    <s v="18"/>
    <n v="53654.2"/>
    <n v="0"/>
  </r>
  <r>
    <x v="120"/>
    <s v="19"/>
    <n v="53553.599999999999"/>
    <n v="0"/>
  </r>
  <r>
    <x v="120"/>
    <s v="20"/>
    <n v="53444.3"/>
    <n v="0"/>
  </r>
  <r>
    <x v="120"/>
    <s v="21"/>
    <n v="53466.3"/>
    <n v="0"/>
  </r>
  <r>
    <x v="120"/>
    <s v="22"/>
    <n v="53757.7"/>
    <n v="0"/>
  </r>
  <r>
    <x v="120"/>
    <s v="23"/>
    <n v="53564.1"/>
    <n v="0"/>
  </r>
  <r>
    <x v="121"/>
    <s v="0"/>
    <n v="53131.1"/>
    <n v="0"/>
  </r>
  <r>
    <x v="121"/>
    <s v="1"/>
    <n v="53518.7"/>
    <n v="0"/>
  </r>
  <r>
    <x v="121"/>
    <s v="2"/>
    <n v="53568"/>
    <n v="0"/>
  </r>
  <r>
    <x v="121"/>
    <s v="3"/>
    <n v="53741.4"/>
    <n v="0"/>
  </r>
  <r>
    <x v="121"/>
    <s v="4"/>
    <n v="53891.7"/>
    <n v="0"/>
  </r>
  <r>
    <x v="121"/>
    <s v="5"/>
    <n v="53825"/>
    <n v="0"/>
  </r>
  <r>
    <x v="121"/>
    <s v="6"/>
    <n v="54290.3"/>
    <n v="0"/>
  </r>
  <r>
    <x v="121"/>
    <s v="7"/>
    <n v="54288.3"/>
    <n v="0"/>
  </r>
  <r>
    <x v="121"/>
    <s v="8"/>
    <n v="54013.2"/>
    <n v="0"/>
  </r>
  <r>
    <x v="121"/>
    <s v="9"/>
    <n v="53991.6"/>
    <n v="0"/>
  </r>
  <r>
    <x v="121"/>
    <s v="10"/>
    <n v="54132.4"/>
    <n v="0"/>
  </r>
  <r>
    <x v="121"/>
    <s v="11"/>
    <n v="54092.4"/>
    <n v="0"/>
  </r>
  <r>
    <x v="121"/>
    <s v="12"/>
    <n v="54086.5"/>
    <n v="0"/>
  </r>
  <r>
    <x v="121"/>
    <s v="13"/>
    <n v="54043.6"/>
    <n v="0"/>
  </r>
  <r>
    <x v="121"/>
    <s v="14"/>
    <n v="54147.5"/>
    <n v="0"/>
  </r>
  <r>
    <x v="121"/>
    <s v="15"/>
    <n v="54124.5"/>
    <n v="0"/>
  </r>
  <r>
    <x v="121"/>
    <s v="16"/>
    <n v="53851.6"/>
    <n v="0"/>
  </r>
  <r>
    <x v="121"/>
    <s v="17"/>
    <n v="54096.1"/>
    <n v="0"/>
  </r>
  <r>
    <x v="121"/>
    <s v="18"/>
    <n v="58288.4"/>
    <n v="0"/>
  </r>
  <r>
    <x v="121"/>
    <s v="19"/>
    <n v="69303.8"/>
    <n v="0"/>
  </r>
  <r>
    <x v="121"/>
    <s v="20"/>
    <n v="68979.399999999994"/>
    <n v="0"/>
  </r>
  <r>
    <x v="121"/>
    <s v="21"/>
    <n v="68260.899999999994"/>
    <n v="0"/>
  </r>
  <r>
    <x v="121"/>
    <s v="22"/>
    <n v="67996.600000000006"/>
    <n v="0"/>
  </r>
  <r>
    <x v="121"/>
    <s v="23"/>
    <n v="67878.600000000006"/>
    <n v="0"/>
  </r>
  <r>
    <x v="122"/>
    <s v="0"/>
    <n v="66222.8"/>
    <n v="0"/>
  </r>
  <r>
    <x v="122"/>
    <s v="1"/>
    <n v="55139.9"/>
    <n v="0"/>
  </r>
  <r>
    <x v="122"/>
    <s v="2"/>
    <n v="55160.800000000003"/>
    <n v="0"/>
  </r>
  <r>
    <x v="122"/>
    <s v="3"/>
    <n v="55247.7"/>
    <n v="0"/>
  </r>
  <r>
    <x v="122"/>
    <s v="4"/>
    <n v="55214.8"/>
    <n v="0"/>
  </r>
  <r>
    <x v="122"/>
    <s v="5"/>
    <n v="54713.5"/>
    <n v="0"/>
  </r>
  <r>
    <x v="122"/>
    <s v="6"/>
    <n v="54643.5"/>
    <n v="0"/>
  </r>
  <r>
    <x v="122"/>
    <s v="7"/>
    <n v="54415.3"/>
    <n v="0"/>
  </r>
  <r>
    <x v="122"/>
    <s v="8"/>
    <n v="54191.6"/>
    <n v="0"/>
  </r>
  <r>
    <x v="122"/>
    <s v="9"/>
    <n v="54344.800000000003"/>
    <n v="0"/>
  </r>
  <r>
    <x v="122"/>
    <s v="10"/>
    <n v="54162.400000000001"/>
    <n v="0"/>
  </r>
  <r>
    <x v="122"/>
    <s v="11"/>
    <n v="54064.800000000003"/>
    <n v="0"/>
  </r>
  <r>
    <x v="122"/>
    <s v="12"/>
    <n v="54124.2"/>
    <n v="0"/>
  </r>
  <r>
    <x v="122"/>
    <s v="13"/>
    <n v="54093.1"/>
    <n v="0"/>
  </r>
  <r>
    <x v="122"/>
    <s v="14"/>
    <n v="64263.7"/>
    <n v="0"/>
  </r>
  <r>
    <x v="122"/>
    <s v="15"/>
    <n v="68353.3"/>
    <n v="0"/>
  </r>
  <r>
    <x v="122"/>
    <s v="16"/>
    <n v="54005.1"/>
    <n v="0"/>
  </r>
  <r>
    <x v="122"/>
    <s v="17"/>
    <n v="53977.2"/>
    <n v="0"/>
  </r>
  <r>
    <x v="122"/>
    <s v="18"/>
    <n v="67945.5"/>
    <n v="0"/>
  </r>
  <r>
    <x v="122"/>
    <s v="19"/>
    <n v="68728.5"/>
    <n v="0"/>
  </r>
  <r>
    <x v="122"/>
    <s v="20"/>
    <n v="68493.5"/>
    <n v="0"/>
  </r>
  <r>
    <x v="122"/>
    <s v="21"/>
    <n v="68197.7"/>
    <n v="0"/>
  </r>
  <r>
    <x v="122"/>
    <s v="22"/>
    <n v="68193.3"/>
    <n v="0"/>
  </r>
  <r>
    <x v="122"/>
    <s v="23"/>
    <n v="68368.600000000006"/>
    <n v="0"/>
  </r>
  <r>
    <x v="123"/>
    <s v="0"/>
    <n v="68247.3"/>
    <n v="0"/>
  </r>
  <r>
    <x v="123"/>
    <s v="1"/>
    <n v="55379.7"/>
    <n v="0"/>
  </r>
  <r>
    <x v="123"/>
    <s v="2"/>
    <n v="54968.2"/>
    <n v="0"/>
  </r>
  <r>
    <x v="123"/>
    <s v="3"/>
    <n v="54952"/>
    <n v="0"/>
  </r>
  <r>
    <x v="123"/>
    <s v="4"/>
    <n v="54979.7"/>
    <n v="0"/>
  </r>
  <r>
    <x v="123"/>
    <s v="5"/>
    <n v="55014.7"/>
    <n v="0"/>
  </r>
  <r>
    <x v="123"/>
    <s v="6"/>
    <n v="53854.5"/>
    <n v="0"/>
  </r>
  <r>
    <x v="123"/>
    <s v="7"/>
    <n v="53779.6"/>
    <n v="0"/>
  </r>
  <r>
    <x v="123"/>
    <s v="8"/>
    <n v="53001.5"/>
    <n v="0"/>
  </r>
  <r>
    <x v="123"/>
    <s v="9"/>
    <n v="53027.1"/>
    <n v="0"/>
  </r>
  <r>
    <x v="123"/>
    <s v="10"/>
    <n v="52993.7"/>
    <n v="0"/>
  </r>
  <r>
    <x v="123"/>
    <s v="11"/>
    <n v="52935.4"/>
    <n v="0"/>
  </r>
  <r>
    <x v="123"/>
    <s v="12"/>
    <n v="52868.7"/>
    <n v="0"/>
  </r>
  <r>
    <x v="123"/>
    <s v="13"/>
    <n v="57574.6"/>
    <n v="0"/>
  </r>
  <r>
    <x v="123"/>
    <s v="14"/>
    <n v="68153.100000000006"/>
    <n v="0"/>
  </r>
  <r>
    <x v="123"/>
    <s v="15"/>
    <n v="67665.2"/>
    <n v="0"/>
  </r>
  <r>
    <x v="123"/>
    <s v="16"/>
    <n v="65956.600000000006"/>
    <n v="0"/>
  </r>
  <r>
    <x v="123"/>
    <s v="17"/>
    <n v="54321.1"/>
    <n v="0"/>
  </r>
  <r>
    <x v="123"/>
    <s v="18"/>
    <n v="61869.1"/>
    <n v="0"/>
  </r>
  <r>
    <x v="123"/>
    <s v="19"/>
    <n v="67287.600000000006"/>
    <n v="0"/>
  </r>
  <r>
    <x v="123"/>
    <s v="20"/>
    <n v="67106.399999999994"/>
    <n v="0"/>
  </r>
  <r>
    <x v="123"/>
    <s v="21"/>
    <n v="67243.5"/>
    <n v="0"/>
  </r>
  <r>
    <x v="123"/>
    <s v="22"/>
    <n v="67148.2"/>
    <n v="0"/>
  </r>
  <r>
    <x v="123"/>
    <s v="23"/>
    <n v="67964"/>
    <n v="0"/>
  </r>
  <r>
    <x v="124"/>
    <s v="0"/>
    <n v="67884.7"/>
    <n v="0"/>
  </r>
  <r>
    <x v="124"/>
    <s v="1"/>
    <n v="61815.5"/>
    <n v="0"/>
  </r>
  <r>
    <x v="124"/>
    <s v="2"/>
    <n v="54170.1"/>
    <n v="0"/>
  </r>
  <r>
    <x v="124"/>
    <s v="3"/>
    <n v="53957.7"/>
    <n v="0"/>
  </r>
  <r>
    <x v="124"/>
    <s v="4"/>
    <n v="54224.9"/>
    <n v="0"/>
  </r>
  <r>
    <x v="124"/>
    <s v="5"/>
    <n v="53665.599999999999"/>
    <n v="0"/>
  </r>
  <r>
    <x v="124"/>
    <s v="6"/>
    <n v="53759.199999999997"/>
    <n v="0"/>
  </r>
  <r>
    <x v="124"/>
    <s v="7"/>
    <n v="54134.6"/>
    <n v="0"/>
  </r>
  <r>
    <x v="124"/>
    <s v="8"/>
    <n v="53625.8"/>
    <n v="0"/>
  </r>
  <r>
    <x v="124"/>
    <s v="9"/>
    <n v="53273.7"/>
    <n v="0"/>
  </r>
  <r>
    <x v="124"/>
    <s v="10"/>
    <n v="53287.1"/>
    <n v="0"/>
  </r>
  <r>
    <x v="124"/>
    <s v="11"/>
    <n v="53189.5"/>
    <n v="0"/>
  </r>
  <r>
    <x v="124"/>
    <s v="12"/>
    <n v="53193.7"/>
    <n v="0"/>
  </r>
  <r>
    <x v="124"/>
    <s v="13"/>
    <n v="57201.4"/>
    <n v="0"/>
  </r>
  <r>
    <x v="124"/>
    <s v="14"/>
    <n v="65201.5"/>
    <n v="0"/>
  </r>
  <r>
    <x v="124"/>
    <s v="15"/>
    <n v="65690.399999999994"/>
    <n v="0"/>
  </r>
  <r>
    <x v="124"/>
    <s v="16"/>
    <n v="66632.3"/>
    <n v="0"/>
  </r>
  <r>
    <x v="124"/>
    <s v="17"/>
    <n v="66977.5"/>
    <n v="0"/>
  </r>
  <r>
    <x v="124"/>
    <s v="18"/>
    <n v="67337.3"/>
    <n v="0"/>
  </r>
  <r>
    <x v="124"/>
    <s v="19"/>
    <n v="70531.3"/>
    <n v="0"/>
  </r>
  <r>
    <x v="124"/>
    <s v="20"/>
    <n v="69220.3"/>
    <n v="0"/>
  </r>
  <r>
    <x v="124"/>
    <s v="21"/>
    <n v="71166.8"/>
    <n v="0"/>
  </r>
  <r>
    <x v="124"/>
    <s v="22"/>
    <n v="68249.100000000006"/>
    <n v="0"/>
  </r>
  <r>
    <x v="124"/>
    <s v="23"/>
    <n v="68364.7"/>
    <n v="0"/>
  </r>
  <r>
    <x v="125"/>
    <s v="0"/>
    <n v="68152.100000000006"/>
    <n v="0"/>
  </r>
  <r>
    <x v="125"/>
    <s v="1"/>
    <n v="68293.399999999994"/>
    <n v="0"/>
  </r>
  <r>
    <x v="125"/>
    <s v="2"/>
    <n v="57001.2"/>
    <n v="0"/>
  </r>
  <r>
    <x v="125"/>
    <s v="3"/>
    <n v="54338.1"/>
    <n v="0"/>
  </r>
  <r>
    <x v="125"/>
    <s v="4"/>
    <n v="54588.4"/>
    <n v="0"/>
  </r>
  <r>
    <x v="125"/>
    <s v="5"/>
    <n v="54341.599999999999"/>
    <n v="0"/>
  </r>
  <r>
    <x v="125"/>
    <s v="6"/>
    <n v="54399"/>
    <n v="0"/>
  </r>
  <r>
    <x v="125"/>
    <s v="7"/>
    <n v="54477.7"/>
    <n v="0"/>
  </r>
  <r>
    <x v="125"/>
    <s v="8"/>
    <n v="54614.8"/>
    <n v="0"/>
  </r>
  <r>
    <x v="125"/>
    <s v="9"/>
    <n v="54340"/>
    <n v="0"/>
  </r>
  <r>
    <x v="125"/>
    <s v="10"/>
    <n v="53710.8"/>
    <n v="0"/>
  </r>
  <r>
    <x v="125"/>
    <s v="11"/>
    <n v="53224.7"/>
    <n v="0"/>
  </r>
  <r>
    <x v="125"/>
    <s v="12"/>
    <n v="53874.3"/>
    <n v="0"/>
  </r>
  <r>
    <x v="125"/>
    <s v="13"/>
    <n v="53880.9"/>
    <n v="0"/>
  </r>
  <r>
    <x v="125"/>
    <s v="14"/>
    <n v="53876.6"/>
    <n v="0"/>
  </r>
  <r>
    <x v="125"/>
    <s v="15"/>
    <n v="53854"/>
    <n v="0"/>
  </r>
  <r>
    <x v="125"/>
    <s v="16"/>
    <n v="53946.1"/>
    <n v="0"/>
  </r>
  <r>
    <x v="125"/>
    <s v="17"/>
    <n v="54011"/>
    <n v="0"/>
  </r>
  <r>
    <x v="125"/>
    <s v="18"/>
    <n v="66084.100000000006"/>
    <n v="0"/>
  </r>
  <r>
    <x v="125"/>
    <s v="19"/>
    <n v="68134.399999999994"/>
    <n v="0"/>
  </r>
  <r>
    <x v="125"/>
    <s v="20"/>
    <n v="68341.600000000006"/>
    <n v="0"/>
  </r>
  <r>
    <x v="125"/>
    <s v="21"/>
    <n v="58332.6"/>
    <n v="0"/>
  </r>
  <r>
    <x v="125"/>
    <s v="22"/>
    <n v="69055.399999999994"/>
    <n v="0"/>
  </r>
  <r>
    <x v="125"/>
    <s v="23"/>
    <n v="68982.2"/>
    <n v="0"/>
  </r>
  <r>
    <x v="126"/>
    <s v="0"/>
    <n v="68360.600000000006"/>
    <n v="0"/>
  </r>
  <r>
    <x v="126"/>
    <s v="1"/>
    <n v="63617.2"/>
    <n v="0"/>
  </r>
  <r>
    <x v="126"/>
    <s v="2"/>
    <n v="54432.9"/>
    <n v="0"/>
  </r>
  <r>
    <x v="126"/>
    <s v="3"/>
    <n v="54118.400000000001"/>
    <n v="0"/>
  </r>
  <r>
    <x v="126"/>
    <s v="4"/>
    <n v="54201.4"/>
    <n v="0"/>
  </r>
  <r>
    <x v="126"/>
    <s v="5"/>
    <n v="54088.800000000003"/>
    <n v="0"/>
  </r>
  <r>
    <x v="126"/>
    <s v="6"/>
    <n v="53818.3"/>
    <n v="0"/>
  </r>
  <r>
    <x v="126"/>
    <s v="7"/>
    <n v="53985"/>
    <n v="0"/>
  </r>
  <r>
    <x v="126"/>
    <s v="8"/>
    <n v="53931.8"/>
    <n v="0"/>
  </r>
  <r>
    <x v="126"/>
    <s v="9"/>
    <n v="53833.3"/>
    <n v="0"/>
  </r>
  <r>
    <x v="126"/>
    <s v="10"/>
    <n v="53969.7"/>
    <n v="0"/>
  </r>
  <r>
    <x v="126"/>
    <s v="11"/>
    <n v="53899.3"/>
    <n v="0"/>
  </r>
  <r>
    <x v="126"/>
    <s v="12"/>
    <n v="53898.8"/>
    <n v="0"/>
  </r>
  <r>
    <x v="126"/>
    <s v="13"/>
    <n v="53911.8"/>
    <n v="0"/>
  </r>
  <r>
    <x v="126"/>
    <s v="14"/>
    <n v="53871.5"/>
    <n v="0"/>
  </r>
  <r>
    <x v="126"/>
    <s v="15"/>
    <n v="53923.3"/>
    <n v="0"/>
  </r>
  <r>
    <x v="126"/>
    <s v="16"/>
    <n v="53891.9"/>
    <n v="0"/>
  </r>
  <r>
    <x v="126"/>
    <s v="17"/>
    <n v="53983.199999999997"/>
    <n v="0"/>
  </r>
  <r>
    <x v="126"/>
    <s v="18"/>
    <n v="60611.1"/>
    <n v="0"/>
  </r>
  <r>
    <x v="126"/>
    <s v="19"/>
    <n v="66405.8"/>
    <n v="0"/>
  </r>
  <r>
    <x v="126"/>
    <s v="20"/>
    <n v="66438.399999999994"/>
    <n v="0"/>
  </r>
  <r>
    <x v="126"/>
    <s v="21"/>
    <n v="66099.199999999997"/>
    <n v="0"/>
  </r>
  <r>
    <x v="126"/>
    <s v="22"/>
    <n v="66318.3"/>
    <n v="0"/>
  </r>
  <r>
    <x v="126"/>
    <s v="23"/>
    <n v="66238.2"/>
    <n v="0"/>
  </r>
  <r>
    <x v="127"/>
    <s v="0"/>
    <n v="66021.3"/>
    <n v="0"/>
  </r>
  <r>
    <x v="127"/>
    <s v="1"/>
    <n v="55421.7"/>
    <n v="0"/>
  </r>
  <r>
    <x v="127"/>
    <s v="2"/>
    <n v="55232.4"/>
    <n v="0"/>
  </r>
  <r>
    <x v="127"/>
    <s v="3"/>
    <n v="53174.1"/>
    <n v="0"/>
  </r>
  <r>
    <x v="127"/>
    <s v="4"/>
    <n v="53630.6"/>
    <n v="0"/>
  </r>
  <r>
    <x v="127"/>
    <s v="5"/>
    <n v="54121"/>
    <n v="0"/>
  </r>
  <r>
    <x v="127"/>
    <s v="6"/>
    <n v="54662.2"/>
    <n v="0"/>
  </r>
  <r>
    <x v="127"/>
    <s v="7"/>
    <n v="54833.2"/>
    <n v="0"/>
  </r>
  <r>
    <x v="127"/>
    <s v="8"/>
    <n v="53810"/>
    <n v="0"/>
  </r>
  <r>
    <x v="127"/>
    <s v="9"/>
    <n v="53921.599999999999"/>
    <n v="0"/>
  </r>
  <r>
    <x v="127"/>
    <s v="10"/>
    <n v="54054.3"/>
    <n v="0"/>
  </r>
  <r>
    <x v="127"/>
    <s v="11"/>
    <n v="53059.199999999997"/>
    <n v="0"/>
  </r>
  <r>
    <x v="127"/>
    <s v="12"/>
    <n v="57071.1"/>
    <n v="0"/>
  </r>
  <r>
    <x v="127"/>
    <s v="13"/>
    <n v="68304.399999999994"/>
    <n v="0"/>
  </r>
  <r>
    <x v="127"/>
    <s v="14"/>
    <n v="68391.399999999994"/>
    <n v="0"/>
  </r>
  <r>
    <x v="127"/>
    <s v="15"/>
    <n v="68654.7"/>
    <n v="0"/>
  </r>
  <r>
    <x v="127"/>
    <s v="16"/>
    <n v="68055.899999999994"/>
    <n v="0"/>
  </r>
  <r>
    <x v="127"/>
    <s v="17"/>
    <n v="68046.399999999994"/>
    <n v="0"/>
  </r>
  <r>
    <x v="127"/>
    <s v="18"/>
    <n v="68693"/>
    <n v="0"/>
  </r>
  <r>
    <x v="127"/>
    <s v="19"/>
    <n v="68597.2"/>
    <n v="0"/>
  </r>
  <r>
    <x v="127"/>
    <s v="20"/>
    <n v="68860"/>
    <n v="0"/>
  </r>
  <r>
    <x v="127"/>
    <s v="21"/>
    <n v="68992.600000000006"/>
    <n v="0"/>
  </r>
  <r>
    <x v="127"/>
    <s v="22"/>
    <n v="67851.8"/>
    <n v="0"/>
  </r>
  <r>
    <x v="127"/>
    <s v="23"/>
    <n v="67752.399999999994"/>
    <n v="0"/>
  </r>
  <r>
    <x v="128"/>
    <s v="0"/>
    <n v="64959.199999999997"/>
    <n v="0"/>
  </r>
  <r>
    <x v="128"/>
    <s v="1"/>
    <n v="65280.6"/>
    <n v="0"/>
  </r>
  <r>
    <x v="128"/>
    <s v="2"/>
    <n v="58751.7"/>
    <n v="0"/>
  </r>
  <r>
    <x v="128"/>
    <s v="3"/>
    <n v="65145"/>
    <n v="0"/>
  </r>
  <r>
    <x v="128"/>
    <s v="4"/>
    <n v="65246.3"/>
    <n v="0"/>
  </r>
  <r>
    <x v="128"/>
    <s v="5"/>
    <n v="56521.3"/>
    <n v="0"/>
  </r>
  <r>
    <x v="128"/>
    <s v="6"/>
    <n v="55309.7"/>
    <n v="0"/>
  </r>
  <r>
    <x v="128"/>
    <s v="7"/>
    <n v="54223.6"/>
    <n v="0"/>
  </r>
  <r>
    <x v="128"/>
    <s v="8"/>
    <n v="53050.6"/>
    <n v="0"/>
  </r>
  <r>
    <x v="128"/>
    <s v="9"/>
    <n v="52995.8"/>
    <n v="0"/>
  </r>
  <r>
    <x v="128"/>
    <s v="10"/>
    <n v="53257.4"/>
    <n v="0"/>
  </r>
  <r>
    <x v="128"/>
    <s v="11"/>
    <n v="64329.8"/>
    <n v="0"/>
  </r>
  <r>
    <x v="128"/>
    <s v="12"/>
    <n v="66309"/>
    <n v="0"/>
  </r>
  <r>
    <x v="128"/>
    <s v="13"/>
    <n v="67800"/>
    <n v="0"/>
  </r>
  <r>
    <x v="128"/>
    <s v="14"/>
    <n v="67838.3"/>
    <n v="0"/>
  </r>
  <r>
    <x v="128"/>
    <s v="15"/>
    <n v="67492.5"/>
    <n v="0"/>
  </r>
  <r>
    <x v="128"/>
    <s v="16"/>
    <n v="67622.899999999994"/>
    <n v="0"/>
  </r>
  <r>
    <x v="128"/>
    <s v="17"/>
    <n v="68168.600000000006"/>
    <n v="0"/>
  </r>
  <r>
    <x v="128"/>
    <s v="18"/>
    <n v="67610.100000000006"/>
    <n v="0"/>
  </r>
  <r>
    <x v="128"/>
    <s v="19"/>
    <n v="68502.2"/>
    <n v="0"/>
  </r>
  <r>
    <x v="128"/>
    <s v="20"/>
    <n v="68517.5"/>
    <n v="0"/>
  </r>
  <r>
    <x v="128"/>
    <s v="21"/>
    <n v="68546.8"/>
    <n v="0"/>
  </r>
  <r>
    <x v="128"/>
    <s v="22"/>
    <n v="69309.899999999994"/>
    <n v="0"/>
  </r>
  <r>
    <x v="128"/>
    <s v="23"/>
    <n v="69340.100000000006"/>
    <n v="0"/>
  </r>
  <r>
    <x v="129"/>
    <s v="0"/>
    <n v="68851.100000000006"/>
    <n v="0"/>
  </r>
  <r>
    <x v="129"/>
    <s v="1"/>
    <n v="68937.2"/>
    <n v="0"/>
  </r>
  <r>
    <x v="129"/>
    <s v="2"/>
    <n v="68339.5"/>
    <n v="0"/>
  </r>
  <r>
    <x v="129"/>
    <s v="3"/>
    <n v="55687"/>
    <n v="0"/>
  </r>
  <r>
    <x v="129"/>
    <s v="4"/>
    <n v="54881.8"/>
    <n v="0"/>
  </r>
  <r>
    <x v="129"/>
    <s v="5"/>
    <n v="54301.599999999999"/>
    <n v="0"/>
  </r>
  <r>
    <x v="129"/>
    <s v="6"/>
    <n v="54796.3"/>
    <n v="0"/>
  </r>
  <r>
    <x v="129"/>
    <s v="7"/>
    <n v="54860"/>
    <n v="0"/>
  </r>
  <r>
    <x v="129"/>
    <s v="8"/>
    <n v="55018.8"/>
    <n v="0"/>
  </r>
  <r>
    <x v="129"/>
    <s v="9"/>
    <n v="54821.1"/>
    <n v="0"/>
  </r>
  <r>
    <x v="129"/>
    <s v="10"/>
    <n v="54461.2"/>
    <n v="0"/>
  </r>
  <r>
    <x v="129"/>
    <s v="11"/>
    <n v="54623"/>
    <n v="0"/>
  </r>
  <r>
    <x v="129"/>
    <s v="12"/>
    <n v="53852.4"/>
    <n v="0"/>
  </r>
  <r>
    <x v="129"/>
    <s v="13"/>
    <n v="68706.2"/>
    <n v="0"/>
  </r>
  <r>
    <x v="129"/>
    <s v="14"/>
    <n v="68931.100000000006"/>
    <n v="0"/>
  </r>
  <r>
    <x v="129"/>
    <s v="15"/>
    <n v="68247.100000000006"/>
    <n v="0"/>
  </r>
  <r>
    <x v="129"/>
    <s v="16"/>
    <n v="69148.100000000006"/>
    <n v="0"/>
  </r>
  <r>
    <x v="129"/>
    <s v="17"/>
    <n v="68551.5"/>
    <n v="0"/>
  </r>
  <r>
    <x v="129"/>
    <s v="18"/>
    <n v="69032.3"/>
    <n v="0"/>
  </r>
  <r>
    <x v="129"/>
    <s v="19"/>
    <n v="68913"/>
    <n v="0"/>
  </r>
  <r>
    <x v="129"/>
    <s v="20"/>
    <n v="69303.5"/>
    <n v="0"/>
  </r>
  <r>
    <x v="129"/>
    <s v="21"/>
    <n v="70001.399999999994"/>
    <n v="0"/>
  </r>
  <r>
    <x v="129"/>
    <s v="22"/>
    <n v="69978.7"/>
    <n v="0"/>
  </r>
  <r>
    <x v="129"/>
    <s v="23"/>
    <n v="69960.2"/>
    <n v="0"/>
  </r>
  <r>
    <x v="130"/>
    <s v="0"/>
    <n v="69392.7"/>
    <n v="0"/>
  </r>
  <r>
    <x v="130"/>
    <s v="1"/>
    <n v="70011.899999999994"/>
    <n v="0"/>
  </r>
  <r>
    <x v="130"/>
    <s v="2"/>
    <n v="69813.100000000006"/>
    <n v="0"/>
  </r>
  <r>
    <x v="130"/>
    <s v="3"/>
    <n v="69935.899999999994"/>
    <n v="0"/>
  </r>
  <r>
    <x v="130"/>
    <s v="4"/>
    <n v="55237.2"/>
    <n v="0"/>
  </r>
  <r>
    <x v="130"/>
    <s v="5"/>
    <n v="54471.4"/>
    <n v="0"/>
  </r>
  <r>
    <x v="130"/>
    <s v="6"/>
    <n v="54640"/>
    <n v="0"/>
  </r>
  <r>
    <x v="130"/>
    <s v="7"/>
    <n v="54555.1"/>
    <n v="0"/>
  </r>
  <r>
    <x v="130"/>
    <s v="8"/>
    <n v="54544.800000000003"/>
    <n v="0"/>
  </r>
  <r>
    <x v="130"/>
    <s v="9"/>
    <n v="54276"/>
    <n v="0"/>
  </r>
  <r>
    <x v="130"/>
    <s v="10"/>
    <n v="54234.1"/>
    <n v="0"/>
  </r>
  <r>
    <x v="130"/>
    <s v="11"/>
    <n v="69026.899999999994"/>
    <n v="0"/>
  </r>
  <r>
    <x v="130"/>
    <s v="12"/>
    <n v="69970.899999999994"/>
    <n v="0"/>
  </r>
  <r>
    <x v="130"/>
    <s v="13"/>
    <n v="69769"/>
    <n v="0"/>
  </r>
  <r>
    <x v="130"/>
    <s v="14"/>
    <n v="70004.800000000003"/>
    <n v="0"/>
  </r>
  <r>
    <x v="130"/>
    <s v="15"/>
    <n v="69767.8"/>
    <n v="0"/>
  </r>
  <r>
    <x v="130"/>
    <s v="16"/>
    <n v="69908.2"/>
    <n v="0"/>
  </r>
  <r>
    <x v="130"/>
    <s v="17"/>
    <n v="69338.3"/>
    <n v="0"/>
  </r>
  <r>
    <x v="130"/>
    <s v="18"/>
    <n v="69298.600000000006"/>
    <n v="0"/>
  </r>
  <r>
    <x v="130"/>
    <s v="19"/>
    <n v="68778.2"/>
    <n v="0"/>
  </r>
  <r>
    <x v="130"/>
    <s v="20"/>
    <n v="64549.599999999999"/>
    <n v="0"/>
  </r>
  <r>
    <x v="130"/>
    <s v="21"/>
    <n v="64008.2"/>
    <n v="0"/>
  </r>
  <r>
    <x v="130"/>
    <s v="22"/>
    <n v="68852.600000000006"/>
    <n v="0"/>
  </r>
  <r>
    <x v="130"/>
    <s v="23"/>
    <n v="68223.899999999994"/>
    <n v="0"/>
  </r>
  <r>
    <x v="131"/>
    <s v="0"/>
    <n v="69407.5"/>
    <n v="0"/>
  </r>
  <r>
    <x v="131"/>
    <s v="1"/>
    <n v="70502"/>
    <n v="0"/>
  </r>
  <r>
    <x v="131"/>
    <s v="2"/>
    <n v="70344.100000000006"/>
    <n v="0"/>
  </r>
  <r>
    <x v="131"/>
    <s v="3"/>
    <n v="66409.7"/>
    <n v="0"/>
  </r>
  <r>
    <x v="131"/>
    <s v="4"/>
    <n v="55019.9"/>
    <n v="0"/>
  </r>
  <r>
    <x v="131"/>
    <s v="5"/>
    <n v="54763.9"/>
    <n v="0"/>
  </r>
  <r>
    <x v="131"/>
    <s v="6"/>
    <n v="54849.8"/>
    <n v="0"/>
  </r>
  <r>
    <x v="131"/>
    <s v="7"/>
    <n v="53418.5"/>
    <n v="0"/>
  </r>
  <r>
    <x v="131"/>
    <s v="8"/>
    <n v="53693.2"/>
    <n v="0"/>
  </r>
  <r>
    <x v="131"/>
    <s v="9"/>
    <n v="58483.8"/>
    <n v="0"/>
  </r>
  <r>
    <x v="131"/>
    <s v="10"/>
    <n v="69184.7"/>
    <n v="0"/>
  </r>
  <r>
    <x v="131"/>
    <s v="11"/>
    <n v="69164.899999999994"/>
    <n v="0"/>
  </r>
  <r>
    <x v="131"/>
    <s v="12"/>
    <n v="69226.899999999994"/>
    <n v="0"/>
  </r>
  <r>
    <x v="131"/>
    <s v="13"/>
    <n v="69777.100000000006"/>
    <n v="0"/>
  </r>
  <r>
    <x v="131"/>
    <s v="14"/>
    <n v="69624.399999999994"/>
    <n v="0"/>
  </r>
  <r>
    <x v="131"/>
    <s v="15"/>
    <n v="69693"/>
    <n v="0"/>
  </r>
  <r>
    <x v="131"/>
    <s v="16"/>
    <n v="69398.2"/>
    <n v="0"/>
  </r>
  <r>
    <x v="131"/>
    <s v="17"/>
    <n v="69503.3"/>
    <n v="0"/>
  </r>
  <r>
    <x v="131"/>
    <s v="18"/>
    <n v="69522.3"/>
    <n v="0"/>
  </r>
  <r>
    <x v="131"/>
    <s v="19"/>
    <n v="68827"/>
    <n v="0"/>
  </r>
  <r>
    <x v="131"/>
    <s v="20"/>
    <n v="69117.899999999994"/>
    <n v="0"/>
  </r>
  <r>
    <x v="131"/>
    <s v="21"/>
    <n v="68450.8"/>
    <n v="0"/>
  </r>
  <r>
    <x v="131"/>
    <s v="22"/>
    <n v="68823.399999999994"/>
    <n v="0"/>
  </r>
  <r>
    <x v="131"/>
    <s v="23"/>
    <n v="68227.899999999994"/>
    <n v="0"/>
  </r>
  <r>
    <x v="132"/>
    <s v="0"/>
    <n v="65795.3"/>
    <n v="0"/>
  </r>
  <r>
    <x v="132"/>
    <s v="1"/>
    <n v="68183.7"/>
    <n v="0"/>
  </r>
  <r>
    <x v="132"/>
    <s v="2"/>
    <n v="68365.8"/>
    <n v="0"/>
  </r>
  <r>
    <x v="132"/>
    <s v="3"/>
    <n v="68239.600000000006"/>
    <n v="0"/>
  </r>
  <r>
    <x v="132"/>
    <s v="4"/>
    <n v="63730.2"/>
    <n v="0"/>
  </r>
  <r>
    <x v="132"/>
    <s v="5"/>
    <n v="68695.7"/>
    <n v="0"/>
  </r>
  <r>
    <x v="132"/>
    <s v="6"/>
    <n v="64496.4"/>
    <n v="0"/>
  </r>
  <r>
    <x v="132"/>
    <s v="7"/>
    <n v="54660.9"/>
    <n v="0"/>
  </r>
  <r>
    <x v="132"/>
    <s v="8"/>
    <n v="54402.9"/>
    <n v="0"/>
  </r>
  <r>
    <x v="132"/>
    <s v="9"/>
    <n v="54142.9"/>
    <n v="0"/>
  </r>
  <r>
    <x v="132"/>
    <s v="10"/>
    <n v="54259.6"/>
    <n v="0"/>
  </r>
  <r>
    <x v="132"/>
    <s v="11"/>
    <n v="18514.400000000001"/>
    <n v="0"/>
  </r>
  <r>
    <x v="132"/>
    <s v="12"/>
    <n v="3588"/>
    <n v="0"/>
  </r>
  <r>
    <x v="132"/>
    <s v="13"/>
    <n v="53008.3"/>
    <n v="0"/>
  </r>
  <r>
    <x v="132"/>
    <s v="14"/>
    <n v="54190.7"/>
    <n v="0"/>
  </r>
  <r>
    <x v="132"/>
    <s v="15"/>
    <n v="54249"/>
    <n v="0"/>
  </r>
  <r>
    <x v="132"/>
    <s v="16"/>
    <n v="54045.8"/>
    <n v="0"/>
  </r>
  <r>
    <x v="132"/>
    <s v="17"/>
    <n v="54265"/>
    <n v="0"/>
  </r>
  <r>
    <x v="132"/>
    <s v="18"/>
    <n v="67723.899999999994"/>
    <n v="0"/>
  </r>
  <r>
    <x v="132"/>
    <s v="19"/>
    <n v="68729.8"/>
    <n v="0"/>
  </r>
  <r>
    <x v="132"/>
    <s v="20"/>
    <n v="68722.3"/>
    <n v="0"/>
  </r>
  <r>
    <x v="132"/>
    <s v="21"/>
    <n v="68424.2"/>
    <n v="0"/>
  </r>
  <r>
    <x v="132"/>
    <s v="22"/>
    <n v="65886.899999999994"/>
    <n v="0"/>
  </r>
  <r>
    <x v="132"/>
    <s v="23"/>
    <n v="65672.399999999994"/>
    <n v="0"/>
  </r>
  <r>
    <x v="133"/>
    <s v="0"/>
    <n v="66226.600000000006"/>
    <n v="0"/>
  </r>
  <r>
    <x v="133"/>
    <s v="1"/>
    <n v="59687.9"/>
    <n v="0"/>
  </r>
  <r>
    <x v="133"/>
    <s v="2"/>
    <n v="54286.2"/>
    <n v="0"/>
  </r>
  <r>
    <x v="133"/>
    <s v="3"/>
    <n v="54304.6"/>
    <n v="0"/>
  </r>
  <r>
    <x v="133"/>
    <s v="4"/>
    <n v="54351.199999999997"/>
    <n v="0"/>
  </r>
  <r>
    <x v="133"/>
    <s v="5"/>
    <n v="54337.9"/>
    <n v="0"/>
  </r>
  <r>
    <x v="133"/>
    <s v="6"/>
    <n v="54436.3"/>
    <n v="0"/>
  </r>
  <r>
    <x v="133"/>
    <s v="7"/>
    <n v="54413.7"/>
    <n v="0"/>
  </r>
  <r>
    <x v="133"/>
    <s v="8"/>
    <n v="54381.4"/>
    <n v="0"/>
  </r>
  <r>
    <x v="133"/>
    <s v="9"/>
    <n v="53518.1"/>
    <n v="0"/>
  </r>
  <r>
    <x v="133"/>
    <s v="10"/>
    <n v="53419.199999999997"/>
    <n v="0"/>
  </r>
  <r>
    <x v="133"/>
    <s v="11"/>
    <n v="53855.1"/>
    <n v="0"/>
  </r>
  <r>
    <x v="133"/>
    <s v="12"/>
    <n v="53255.8"/>
    <n v="0"/>
  </r>
  <r>
    <x v="133"/>
    <s v="13"/>
    <n v="54103.9"/>
    <n v="0"/>
  </r>
  <r>
    <x v="133"/>
    <s v="14"/>
    <n v="54098.9"/>
    <n v="0"/>
  </r>
  <r>
    <x v="133"/>
    <s v="15"/>
    <n v="54133.3"/>
    <n v="0"/>
  </r>
  <r>
    <x v="133"/>
    <s v="16"/>
    <n v="54123.7"/>
    <n v="0"/>
  </r>
  <r>
    <x v="133"/>
    <s v="17"/>
    <n v="54233.1"/>
    <n v="0"/>
  </r>
  <r>
    <x v="133"/>
    <s v="18"/>
    <n v="53874.3"/>
    <n v="0"/>
  </r>
  <r>
    <x v="133"/>
    <s v="19"/>
    <n v="68724.600000000006"/>
    <n v="0"/>
  </r>
  <r>
    <x v="133"/>
    <s v="20"/>
    <n v="69010.3"/>
    <n v="0"/>
  </r>
  <r>
    <x v="133"/>
    <s v="21"/>
    <n v="69065.2"/>
    <n v="0"/>
  </r>
  <r>
    <x v="133"/>
    <s v="22"/>
    <n v="68376.899999999994"/>
    <n v="0"/>
  </r>
  <r>
    <x v="133"/>
    <s v="23"/>
    <n v="63426.2"/>
    <n v="0"/>
  </r>
  <r>
    <x v="134"/>
    <s v="0"/>
    <n v="54820.1"/>
    <n v="0"/>
  </r>
  <r>
    <x v="134"/>
    <s v="1"/>
    <n v="54074.8"/>
    <n v="0"/>
  </r>
  <r>
    <x v="134"/>
    <s v="2"/>
    <n v="54234.5"/>
    <n v="0"/>
  </r>
  <r>
    <x v="134"/>
    <s v="3"/>
    <n v="54237.5"/>
    <n v="0"/>
  </r>
  <r>
    <x v="134"/>
    <s v="4"/>
    <n v="54359.9"/>
    <n v="0"/>
  </r>
  <r>
    <x v="134"/>
    <s v="5"/>
    <n v="54330.3"/>
    <n v="0"/>
  </r>
  <r>
    <x v="134"/>
    <s v="6"/>
    <n v="54248.7"/>
    <n v="0"/>
  </r>
  <r>
    <x v="134"/>
    <s v="7"/>
    <n v="54405.5"/>
    <n v="0"/>
  </r>
  <r>
    <x v="134"/>
    <s v="8"/>
    <n v="54314.9"/>
    <n v="0"/>
  </r>
  <r>
    <x v="134"/>
    <s v="9"/>
    <n v="53572.7"/>
    <n v="0"/>
  </r>
  <r>
    <x v="134"/>
    <s v="10"/>
    <n v="53980.6"/>
    <n v="0"/>
  </r>
  <r>
    <x v="134"/>
    <s v="11"/>
    <n v="55162.2"/>
    <n v="0"/>
  </r>
  <r>
    <x v="134"/>
    <s v="12"/>
    <n v="52558.1"/>
    <n v="0"/>
  </r>
  <r>
    <x v="134"/>
    <s v="13"/>
    <n v="52830.7"/>
    <n v="0"/>
  </r>
  <r>
    <x v="134"/>
    <s v="14"/>
    <n v="64966"/>
    <n v="0"/>
  </r>
  <r>
    <x v="134"/>
    <s v="15"/>
    <n v="67914.3"/>
    <n v="0"/>
  </r>
  <r>
    <x v="134"/>
    <s v="16"/>
    <n v="67368.600000000006"/>
    <n v="0"/>
  </r>
  <r>
    <x v="134"/>
    <s v="17"/>
    <n v="54542.3"/>
    <n v="0"/>
  </r>
  <r>
    <x v="134"/>
    <s v="18"/>
    <n v="66361.2"/>
    <n v="0"/>
  </r>
  <r>
    <x v="134"/>
    <s v="19"/>
    <n v="67659.100000000006"/>
    <n v="0"/>
  </r>
  <r>
    <x v="134"/>
    <s v="20"/>
    <n v="67971.600000000006"/>
    <n v="0"/>
  </r>
  <r>
    <x v="134"/>
    <s v="21"/>
    <n v="69303.899999999994"/>
    <n v="0"/>
  </r>
  <r>
    <x v="134"/>
    <s v="22"/>
    <n v="68158"/>
    <n v="0"/>
  </r>
  <r>
    <x v="134"/>
    <s v="23"/>
    <n v="68014.3"/>
    <n v="0"/>
  </r>
  <r>
    <x v="135"/>
    <s v="0"/>
    <n v="54820.1"/>
    <n v="0"/>
  </r>
  <r>
    <x v="135"/>
    <s v="1"/>
    <n v="54074.8"/>
    <n v="0"/>
  </r>
  <r>
    <x v="135"/>
    <s v="2"/>
    <n v="54234.5"/>
    <n v="0"/>
  </r>
  <r>
    <x v="135"/>
    <s v="3"/>
    <n v="54237.5"/>
    <n v="0"/>
  </r>
  <r>
    <x v="135"/>
    <s v="4"/>
    <n v="54359.9"/>
    <n v="0"/>
  </r>
  <r>
    <x v="135"/>
    <s v="5"/>
    <n v="54330.3"/>
    <n v="0"/>
  </r>
  <r>
    <x v="135"/>
    <s v="6"/>
    <n v="54248.7"/>
    <n v="0"/>
  </r>
  <r>
    <x v="135"/>
    <s v="7"/>
    <n v="54405.5"/>
    <n v="0"/>
  </r>
  <r>
    <x v="135"/>
    <s v="8"/>
    <n v="54314.9"/>
    <n v="0"/>
  </r>
  <r>
    <x v="135"/>
    <s v="9"/>
    <n v="53572.7"/>
    <n v="0"/>
  </r>
  <r>
    <x v="135"/>
    <s v="10"/>
    <n v="53980.6"/>
    <n v="0"/>
  </r>
  <r>
    <x v="135"/>
    <s v="11"/>
    <n v="55162.2"/>
    <n v="0"/>
  </r>
  <r>
    <x v="135"/>
    <s v="12"/>
    <n v="52558.1"/>
    <n v="0"/>
  </r>
  <r>
    <x v="135"/>
    <s v="13"/>
    <n v="52830.7"/>
    <n v="0"/>
  </r>
  <r>
    <x v="135"/>
    <s v="14"/>
    <n v="64966"/>
    <n v="0"/>
  </r>
  <r>
    <x v="135"/>
    <s v="15"/>
    <n v="67914.3"/>
    <n v="0"/>
  </r>
  <r>
    <x v="135"/>
    <s v="16"/>
    <n v="67368.600000000006"/>
    <n v="0"/>
  </r>
  <r>
    <x v="135"/>
    <s v="17"/>
    <n v="54542.3"/>
    <n v="0"/>
  </r>
  <r>
    <x v="135"/>
    <s v="18"/>
    <n v="66361.2"/>
    <n v="0"/>
  </r>
  <r>
    <x v="135"/>
    <s v="19"/>
    <n v="67659.100000000006"/>
    <n v="0"/>
  </r>
  <r>
    <x v="135"/>
    <s v="20"/>
    <n v="67971.600000000006"/>
    <n v="0"/>
  </r>
  <r>
    <x v="135"/>
    <s v="21"/>
    <n v="69303.899999999994"/>
    <n v="0"/>
  </r>
  <r>
    <x v="135"/>
    <s v="22"/>
    <n v="68158"/>
    <n v="0"/>
  </r>
  <r>
    <x v="135"/>
    <s v="23"/>
    <n v="68014.3"/>
    <n v="0"/>
  </r>
  <r>
    <x v="136"/>
    <s v="0"/>
    <n v="67176.399999999994"/>
    <n v="0"/>
  </r>
  <r>
    <x v="136"/>
    <s v="1"/>
    <n v="56242.2"/>
    <n v="0"/>
  </r>
  <r>
    <x v="136"/>
    <s v="2"/>
    <n v="54743.1"/>
    <n v="0"/>
  </r>
  <r>
    <x v="136"/>
    <s v="3"/>
    <n v="54601.599999999999"/>
    <n v="0"/>
  </r>
  <r>
    <x v="136"/>
    <s v="4"/>
    <n v="54338.3"/>
    <n v="0"/>
  </r>
  <r>
    <x v="136"/>
    <s v="5"/>
    <n v="52992.5"/>
    <n v="0"/>
  </r>
  <r>
    <x v="136"/>
    <s v="6"/>
    <n v="53163"/>
    <n v="0"/>
  </r>
  <r>
    <x v="136"/>
    <s v="7"/>
    <n v="54109.1"/>
    <n v="0"/>
  </r>
  <r>
    <x v="136"/>
    <s v="8"/>
    <n v="63851.199999999997"/>
    <n v="0"/>
  </r>
  <r>
    <x v="136"/>
    <s v="9"/>
    <n v="68856"/>
    <n v="0"/>
  </r>
  <r>
    <x v="136"/>
    <s v="10"/>
    <n v="68704.3"/>
    <n v="0"/>
  </r>
  <r>
    <x v="136"/>
    <s v="11"/>
    <n v="68986.399999999994"/>
    <n v="0"/>
  </r>
  <r>
    <x v="136"/>
    <s v="12"/>
    <n v="68928.3"/>
    <n v="0"/>
  </r>
  <r>
    <x v="136"/>
    <s v="13"/>
    <n v="68807.899999999994"/>
    <n v="0"/>
  </r>
  <r>
    <x v="136"/>
    <s v="14"/>
    <n v="69018.5"/>
    <n v="0"/>
  </r>
  <r>
    <x v="136"/>
    <s v="15"/>
    <n v="68974.7"/>
    <n v="0"/>
  </r>
  <r>
    <x v="136"/>
    <s v="16"/>
    <n v="69029.100000000006"/>
    <n v="0"/>
  </r>
  <r>
    <x v="136"/>
    <s v="17"/>
    <n v="69021.8"/>
    <n v="0"/>
  </r>
  <r>
    <x v="136"/>
    <s v="18"/>
    <n v="68597.399999999994"/>
    <n v="0"/>
  </r>
  <r>
    <x v="136"/>
    <s v="19"/>
    <n v="69020.100000000006"/>
    <n v="0"/>
  </r>
  <r>
    <x v="136"/>
    <s v="20"/>
    <n v="68949.399999999994"/>
    <n v="0"/>
  </r>
  <r>
    <x v="136"/>
    <s v="21"/>
    <n v="68937.7"/>
    <n v="0"/>
  </r>
  <r>
    <x v="136"/>
    <s v="22"/>
    <n v="68567.100000000006"/>
    <n v="0"/>
  </r>
  <r>
    <x v="136"/>
    <s v="23"/>
    <n v="68889.3"/>
    <n v="0"/>
  </r>
  <r>
    <x v="137"/>
    <s v="0"/>
    <n v="53735.3"/>
    <n v="0"/>
  </r>
  <r>
    <x v="137"/>
    <s v="1"/>
    <n v="53039.7"/>
    <n v="0"/>
  </r>
  <r>
    <x v="137"/>
    <s v="2"/>
    <n v="52811.199999999997"/>
    <n v="0"/>
  </r>
  <r>
    <x v="137"/>
    <s v="3"/>
    <n v="54342.6"/>
    <n v="0"/>
  </r>
  <r>
    <x v="137"/>
    <s v="4"/>
    <n v="54425.7"/>
    <n v="0"/>
  </r>
  <r>
    <x v="137"/>
    <s v="5"/>
    <n v="54436.4"/>
    <n v="0"/>
  </r>
  <r>
    <x v="137"/>
    <s v="6"/>
    <n v="54343.1"/>
    <n v="0"/>
  </r>
  <r>
    <x v="137"/>
    <s v="7"/>
    <n v="54545.3"/>
    <n v="0"/>
  </r>
  <r>
    <x v="137"/>
    <s v="8"/>
    <n v="54258.7"/>
    <n v="0"/>
  </r>
  <r>
    <x v="137"/>
    <s v="9"/>
    <n v="53805.7"/>
    <n v="0"/>
  </r>
  <r>
    <x v="137"/>
    <s v="10"/>
    <n v="53720.3"/>
    <n v="0"/>
  </r>
  <r>
    <x v="137"/>
    <s v="11"/>
    <n v="53709.1"/>
    <n v="0"/>
  </r>
  <r>
    <x v="137"/>
    <s v="12"/>
    <n v="53704.800000000003"/>
    <n v="0"/>
  </r>
  <r>
    <x v="137"/>
    <s v="13"/>
    <n v="53974.1"/>
    <n v="0"/>
  </r>
  <r>
    <x v="137"/>
    <s v="14"/>
    <n v="68517.600000000006"/>
    <n v="0"/>
  </r>
  <r>
    <x v="137"/>
    <s v="15"/>
    <n v="63334.400000000001"/>
    <n v="0"/>
  </r>
  <r>
    <x v="137"/>
    <s v="16"/>
    <n v="68747.3"/>
    <n v="0"/>
  </r>
  <r>
    <x v="137"/>
    <s v="17"/>
    <n v="55203.1"/>
    <n v="0"/>
  </r>
  <r>
    <x v="137"/>
    <s v="18"/>
    <n v="68354.7"/>
    <n v="0"/>
  </r>
  <r>
    <x v="137"/>
    <s v="19"/>
    <n v="61149.9"/>
    <n v="0"/>
  </r>
  <r>
    <x v="137"/>
    <s v="20"/>
    <n v="60479.199999999997"/>
    <n v="0"/>
  </r>
  <r>
    <x v="137"/>
    <s v="21"/>
    <n v="65350.8"/>
    <n v="0"/>
  </r>
  <r>
    <x v="137"/>
    <s v="22"/>
    <n v="66816.399999999994"/>
    <n v="0"/>
  </r>
  <r>
    <x v="137"/>
    <s v="23"/>
    <n v="66001.399999999994"/>
    <n v="0"/>
  </r>
  <r>
    <x v="138"/>
    <s v="0"/>
    <n v="55589.3"/>
    <n v="0"/>
  </r>
  <r>
    <x v="138"/>
    <s v="1"/>
    <n v="53860.2"/>
    <n v="0"/>
  </r>
  <r>
    <x v="138"/>
    <s v="2"/>
    <n v="53918.1"/>
    <n v="0"/>
  </r>
  <r>
    <x v="138"/>
    <s v="3"/>
    <n v="54122.6"/>
    <n v="0"/>
  </r>
  <r>
    <x v="138"/>
    <s v="4"/>
    <n v="54480.1"/>
    <n v="0"/>
  </r>
  <r>
    <x v="138"/>
    <s v="5"/>
    <n v="53302.7"/>
    <n v="0"/>
  </r>
  <r>
    <x v="138"/>
    <s v="6"/>
    <n v="53699.199999999997"/>
    <n v="0"/>
  </r>
  <r>
    <x v="138"/>
    <s v="7"/>
    <n v="53901.8"/>
    <n v="0"/>
  </r>
  <r>
    <x v="138"/>
    <s v="8"/>
    <n v="53580.1"/>
    <n v="0"/>
  </r>
  <r>
    <x v="138"/>
    <s v="9"/>
    <n v="54135.4"/>
    <n v="0"/>
  </r>
  <r>
    <x v="138"/>
    <s v="10"/>
    <n v="53673.2"/>
    <n v="0"/>
  </r>
  <r>
    <x v="138"/>
    <s v="11"/>
    <n v="53366.9"/>
    <n v="0"/>
  </r>
  <r>
    <x v="138"/>
    <s v="12"/>
    <n v="53566.8"/>
    <n v="0"/>
  </r>
  <r>
    <x v="138"/>
    <s v="13"/>
    <n v="53842.400000000001"/>
    <n v="0"/>
  </r>
  <r>
    <x v="138"/>
    <s v="14"/>
    <n v="53576.4"/>
    <n v="0"/>
  </r>
  <r>
    <x v="138"/>
    <s v="15"/>
    <n v="53820.6"/>
    <n v="0"/>
  </r>
  <r>
    <x v="138"/>
    <s v="16"/>
    <n v="53296"/>
    <n v="0"/>
  </r>
  <r>
    <x v="138"/>
    <s v="17"/>
    <n v="53531.1"/>
    <n v="0"/>
  </r>
  <r>
    <x v="138"/>
    <s v="18"/>
    <n v="56139.8"/>
    <n v="0"/>
  </r>
  <r>
    <x v="138"/>
    <s v="19"/>
    <n v="62197.8"/>
    <n v="0"/>
  </r>
  <r>
    <x v="138"/>
    <s v="20"/>
    <n v="63629.4"/>
    <n v="0"/>
  </r>
  <r>
    <x v="138"/>
    <s v="21"/>
    <n v="56926.8"/>
    <n v="0"/>
  </r>
  <r>
    <x v="138"/>
    <s v="22"/>
    <n v="68089"/>
    <n v="0"/>
  </r>
  <r>
    <x v="138"/>
    <s v="23"/>
    <n v="67869.100000000006"/>
    <n v="0"/>
  </r>
  <r>
    <x v="139"/>
    <s v="0"/>
    <n v="54791.7"/>
    <n v="0"/>
  </r>
  <r>
    <x v="139"/>
    <s v="1"/>
    <n v="54440.3"/>
    <n v="0"/>
  </r>
  <r>
    <x v="139"/>
    <s v="2"/>
    <n v="54473.599999999999"/>
    <n v="0"/>
  </r>
  <r>
    <x v="139"/>
    <s v="3"/>
    <n v="54427.9"/>
    <n v="0"/>
  </r>
  <r>
    <x v="139"/>
    <s v="4"/>
    <n v="54269.9"/>
    <n v="0"/>
  </r>
  <r>
    <x v="139"/>
    <s v="5"/>
    <n v="53974"/>
    <n v="0"/>
  </r>
  <r>
    <x v="139"/>
    <s v="6"/>
    <n v="54443.1"/>
    <n v="0"/>
  </r>
  <r>
    <x v="139"/>
    <s v="7"/>
    <n v="54695"/>
    <n v="0"/>
  </r>
  <r>
    <x v="139"/>
    <s v="8"/>
    <n v="54649.2"/>
    <n v="0"/>
  </r>
  <r>
    <x v="139"/>
    <s v="9"/>
    <n v="54644.6"/>
    <n v="0"/>
  </r>
  <r>
    <x v="139"/>
    <s v="10"/>
    <n v="54689.1"/>
    <n v="0"/>
  </r>
  <r>
    <x v="139"/>
    <s v="11"/>
    <n v="54523.9"/>
    <n v="0"/>
  </r>
  <r>
    <x v="139"/>
    <s v="12"/>
    <n v="53908.800000000003"/>
    <n v="0"/>
  </r>
  <r>
    <x v="139"/>
    <s v="13"/>
    <n v="53406.6"/>
    <n v="0"/>
  </r>
  <r>
    <x v="139"/>
    <s v="14"/>
    <n v="53427.199999999997"/>
    <n v="0"/>
  </r>
  <r>
    <x v="139"/>
    <s v="15"/>
    <n v="54176.800000000003"/>
    <n v="0"/>
  </r>
  <r>
    <x v="139"/>
    <s v="16"/>
    <n v="69216.899999999994"/>
    <n v="0"/>
  </r>
  <r>
    <x v="139"/>
    <s v="17"/>
    <n v="69808.3"/>
    <n v="0"/>
  </r>
  <r>
    <x v="139"/>
    <s v="18"/>
    <n v="69789.100000000006"/>
    <n v="0"/>
  </r>
  <r>
    <x v="139"/>
    <s v="19"/>
    <n v="69629"/>
    <n v="0"/>
  </r>
  <r>
    <x v="139"/>
    <s v="20"/>
    <n v="69708.100000000006"/>
    <n v="0"/>
  </r>
  <r>
    <x v="139"/>
    <s v="21"/>
    <n v="69433.100000000006"/>
    <n v="0"/>
  </r>
  <r>
    <x v="139"/>
    <s v="22"/>
    <n v="69825.600000000006"/>
    <n v="0"/>
  </r>
  <r>
    <x v="139"/>
    <s v="23"/>
    <n v="69569.3"/>
    <n v="0"/>
  </r>
  <r>
    <x v="140"/>
    <s v="0"/>
    <n v="69328.7"/>
    <n v="0"/>
  </r>
  <r>
    <x v="140"/>
    <s v="1"/>
    <n v="53766.3"/>
    <n v="0"/>
  </r>
  <r>
    <x v="140"/>
    <s v="2"/>
    <n v="53362.1"/>
    <n v="0"/>
  </r>
  <r>
    <x v="140"/>
    <s v="3"/>
    <n v="54151.6"/>
    <n v="0"/>
  </r>
  <r>
    <x v="140"/>
    <s v="4"/>
    <n v="54168.3"/>
    <n v="0"/>
  </r>
  <r>
    <x v="140"/>
    <s v="5"/>
    <n v="54170"/>
    <n v="0"/>
  </r>
  <r>
    <x v="140"/>
    <s v="6"/>
    <n v="54260.6"/>
    <n v="0"/>
  </r>
  <r>
    <x v="140"/>
    <s v="7"/>
    <n v="54249.9"/>
    <n v="0"/>
  </r>
  <r>
    <x v="140"/>
    <s v="8"/>
    <n v="54352.4"/>
    <n v="0"/>
  </r>
  <r>
    <x v="140"/>
    <s v="9"/>
    <n v="53716.9"/>
    <n v="0"/>
  </r>
  <r>
    <x v="140"/>
    <s v="10"/>
    <n v="53812.1"/>
    <n v="0"/>
  </r>
  <r>
    <x v="140"/>
    <s v="11"/>
    <n v="53775.6"/>
    <n v="0"/>
  </r>
  <r>
    <x v="140"/>
    <s v="12"/>
    <n v="53785"/>
    <n v="0"/>
  </r>
  <r>
    <x v="140"/>
    <s v="13"/>
    <n v="53749"/>
    <n v="0"/>
  </r>
  <r>
    <x v="140"/>
    <s v="14"/>
    <n v="53934.2"/>
    <n v="0"/>
  </r>
  <r>
    <x v="140"/>
    <s v="15"/>
    <n v="53886.7"/>
    <n v="0"/>
  </r>
  <r>
    <x v="140"/>
    <s v="16"/>
    <n v="53911.6"/>
    <n v="0"/>
  </r>
  <r>
    <x v="140"/>
    <s v="17"/>
    <n v="53884.7"/>
    <n v="0"/>
  </r>
  <r>
    <x v="140"/>
    <s v="18"/>
    <n v="68292.7"/>
    <n v="0"/>
  </r>
  <r>
    <x v="140"/>
    <s v="19"/>
    <n v="68980.600000000006"/>
    <n v="0"/>
  </r>
  <r>
    <x v="140"/>
    <s v="20"/>
    <n v="68852"/>
    <n v="0"/>
  </r>
  <r>
    <x v="140"/>
    <s v="21"/>
    <n v="55052.1"/>
    <n v="0"/>
  </r>
  <r>
    <x v="140"/>
    <s v="22"/>
    <n v="54380.6"/>
    <n v="0"/>
  </r>
  <r>
    <x v="140"/>
    <s v="23"/>
    <n v="54421.4"/>
    <n v="0"/>
  </r>
  <r>
    <x v="141"/>
    <s v="0"/>
    <n v="53915.5"/>
    <n v="0"/>
  </r>
  <r>
    <x v="141"/>
    <s v="1"/>
    <n v="54853.7"/>
    <n v="0"/>
  </r>
  <r>
    <x v="141"/>
    <s v="2"/>
    <n v="54623.5"/>
    <n v="0"/>
  </r>
  <r>
    <x v="141"/>
    <s v="3"/>
    <n v="54781.3"/>
    <n v="0"/>
  </r>
  <r>
    <x v="141"/>
    <s v="4"/>
    <n v="54427.4"/>
    <n v="0"/>
  </r>
  <r>
    <x v="141"/>
    <s v="5"/>
    <n v="54339.9"/>
    <n v="0"/>
  </r>
  <r>
    <x v="141"/>
    <s v="6"/>
    <n v="54095.4"/>
    <n v="0"/>
  </r>
  <r>
    <x v="141"/>
    <s v="7"/>
    <n v="54004.1"/>
    <n v="0"/>
  </r>
  <r>
    <x v="141"/>
    <s v="8"/>
    <n v="53881.9"/>
    <n v="0"/>
  </r>
  <r>
    <x v="141"/>
    <s v="9"/>
    <n v="53735.1"/>
    <n v="0"/>
  </r>
  <r>
    <x v="141"/>
    <s v="10"/>
    <n v="53835.1"/>
    <n v="0"/>
  </r>
  <r>
    <x v="141"/>
    <s v="11"/>
    <n v="53871"/>
    <n v="0"/>
  </r>
  <r>
    <x v="141"/>
    <s v="12"/>
    <n v="53749.2"/>
    <n v="0"/>
  </r>
  <r>
    <x v="141"/>
    <s v="13"/>
    <n v="53773.9"/>
    <n v="0"/>
  </r>
  <r>
    <x v="141"/>
    <s v="14"/>
    <n v="53744.6"/>
    <n v="0"/>
  </r>
  <r>
    <x v="141"/>
    <s v="15"/>
    <n v="53820.3"/>
    <n v="0"/>
  </r>
  <r>
    <x v="141"/>
    <s v="16"/>
    <n v="53665.8"/>
    <n v="0"/>
  </r>
  <r>
    <x v="141"/>
    <s v="17"/>
    <n v="53909.7"/>
    <n v="0"/>
  </r>
  <r>
    <x v="141"/>
    <s v="18"/>
    <n v="53987.6"/>
    <n v="0"/>
  </r>
  <r>
    <x v="141"/>
    <s v="19"/>
    <n v="53989.3"/>
    <n v="0"/>
  </r>
  <r>
    <x v="141"/>
    <s v="20"/>
    <n v="69450.100000000006"/>
    <n v="0"/>
  </r>
  <r>
    <x v="141"/>
    <s v="21"/>
    <n v="69501.600000000006"/>
    <n v="0"/>
  </r>
  <r>
    <x v="141"/>
    <s v="22"/>
    <n v="68674.600000000006"/>
    <n v="0"/>
  </r>
  <r>
    <x v="141"/>
    <s v="23"/>
    <n v="68889.2"/>
    <n v="0"/>
  </r>
  <r>
    <x v="142"/>
    <s v="0"/>
    <n v="53408.1"/>
    <n v="0"/>
  </r>
  <r>
    <x v="142"/>
    <s v="1"/>
    <n v="54188.3"/>
    <n v="0"/>
  </r>
  <r>
    <x v="142"/>
    <s v="2"/>
    <n v="54163"/>
    <n v="0"/>
  </r>
  <r>
    <x v="142"/>
    <s v="3"/>
    <n v="54382.400000000001"/>
    <n v="0"/>
  </r>
  <r>
    <x v="142"/>
    <s v="4"/>
    <n v="54508"/>
    <n v="0"/>
  </r>
  <r>
    <x v="142"/>
    <s v="5"/>
    <n v="54355.7"/>
    <n v="0"/>
  </r>
  <r>
    <x v="142"/>
    <s v="6"/>
    <n v="52483.5"/>
    <n v="0"/>
  </r>
  <r>
    <x v="142"/>
    <s v="7"/>
    <n v="52467.5"/>
    <n v="0"/>
  </r>
  <r>
    <x v="142"/>
    <s v="8"/>
    <n v="52682"/>
    <n v="0"/>
  </r>
  <r>
    <x v="142"/>
    <s v="9"/>
    <n v="52769.3"/>
    <n v="0"/>
  </r>
  <r>
    <x v="142"/>
    <s v="10"/>
    <n v="53034.6"/>
    <n v="0"/>
  </r>
  <r>
    <x v="142"/>
    <s v="11"/>
    <n v="52746.400000000001"/>
    <n v="0"/>
  </r>
  <r>
    <x v="142"/>
    <s v="12"/>
    <n v="52967.6"/>
    <n v="0"/>
  </r>
  <r>
    <x v="142"/>
    <s v="13"/>
    <n v="52868.6"/>
    <n v="0"/>
  </r>
  <r>
    <x v="142"/>
    <s v="14"/>
    <n v="52995.6"/>
    <n v="0"/>
  </r>
  <r>
    <x v="142"/>
    <s v="15"/>
    <n v="59415.3"/>
    <n v="0"/>
  </r>
  <r>
    <x v="142"/>
    <s v="16"/>
    <n v="67891.7"/>
    <n v="0"/>
  </r>
  <r>
    <x v="142"/>
    <s v="17"/>
    <n v="68156.3"/>
    <n v="0"/>
  </r>
  <r>
    <x v="142"/>
    <s v="18"/>
    <n v="68165.399999999994"/>
    <n v="0"/>
  </r>
  <r>
    <x v="142"/>
    <s v="19"/>
    <n v="68551.899999999994"/>
    <n v="0"/>
  </r>
  <r>
    <x v="142"/>
    <s v="20"/>
    <n v="68603.899999999994"/>
    <n v="0"/>
  </r>
  <r>
    <x v="142"/>
    <s v="21"/>
    <n v="67398.100000000006"/>
    <n v="0"/>
  </r>
  <r>
    <x v="142"/>
    <s v="22"/>
    <n v="66820.3"/>
    <n v="0"/>
  </r>
  <r>
    <x v="142"/>
    <s v="23"/>
    <n v="66704.5"/>
    <n v="0"/>
  </r>
  <r>
    <x v="143"/>
    <s v="0"/>
    <n v="63214.5"/>
    <n v="0"/>
  </r>
  <r>
    <x v="143"/>
    <s v="1"/>
    <n v="56333.5"/>
    <n v="0"/>
  </r>
  <r>
    <x v="143"/>
    <s v="2"/>
    <n v="57278.400000000001"/>
    <n v="0"/>
  </r>
  <r>
    <x v="143"/>
    <s v="3"/>
    <n v="57021.4"/>
    <n v="0"/>
  </r>
  <r>
    <x v="143"/>
    <s v="4"/>
    <n v="57013.4"/>
    <n v="0"/>
  </r>
  <r>
    <x v="143"/>
    <s v="5"/>
    <n v="56483.8"/>
    <n v="0"/>
  </r>
  <r>
    <x v="143"/>
    <s v="6"/>
    <n v="56272.6"/>
    <n v="0"/>
  </r>
  <r>
    <x v="143"/>
    <s v="7"/>
    <n v="56540.800000000003"/>
    <n v="0"/>
  </r>
  <r>
    <x v="143"/>
    <s v="8"/>
    <n v="56450.9"/>
    <n v="0"/>
  </r>
  <r>
    <x v="143"/>
    <s v="9"/>
    <n v="56343.8"/>
    <n v="0"/>
  </r>
  <r>
    <x v="143"/>
    <s v="10"/>
    <n v="56384"/>
    <n v="0"/>
  </r>
  <r>
    <x v="143"/>
    <s v="11"/>
    <n v="56359.199999999997"/>
    <n v="0"/>
  </r>
  <r>
    <x v="143"/>
    <s v="12"/>
    <n v="55820"/>
    <n v="0"/>
  </r>
  <r>
    <x v="143"/>
    <s v="13"/>
    <n v="56596.9"/>
    <n v="0"/>
  </r>
  <r>
    <x v="143"/>
    <s v="14"/>
    <n v="55982.1"/>
    <n v="0"/>
  </r>
  <r>
    <x v="143"/>
    <s v="15"/>
    <n v="55822.3"/>
    <n v="0"/>
  </r>
  <r>
    <x v="143"/>
    <s v="16"/>
    <n v="55790.5"/>
    <n v="0"/>
  </r>
  <r>
    <x v="143"/>
    <s v="17"/>
    <n v="56136.4"/>
    <n v="0"/>
  </r>
  <r>
    <x v="143"/>
    <s v="18"/>
    <n v="57048.9"/>
    <n v="0"/>
  </r>
  <r>
    <x v="143"/>
    <s v="19"/>
    <n v="69415.399999999994"/>
    <n v="0"/>
  </r>
  <r>
    <x v="143"/>
    <s v="20"/>
    <n v="69368.3"/>
    <n v="0"/>
  </r>
  <r>
    <x v="143"/>
    <s v="21"/>
    <n v="62460.800000000003"/>
    <n v="0"/>
  </r>
  <r>
    <x v="143"/>
    <s v="22"/>
    <n v="57199.199999999997"/>
    <n v="0"/>
  </r>
  <r>
    <x v="143"/>
    <s v="23"/>
    <n v="56684.800000000003"/>
    <n v="0"/>
  </r>
  <r>
    <x v="144"/>
    <s v="0"/>
    <n v="52517.9"/>
    <n v="0"/>
  </r>
  <r>
    <x v="144"/>
    <s v="1"/>
    <n v="52473.7"/>
    <n v="0"/>
  </r>
  <r>
    <x v="144"/>
    <s v="2"/>
    <n v="52571.4"/>
    <n v="0"/>
  </r>
  <r>
    <x v="144"/>
    <s v="3"/>
    <n v="52578.3"/>
    <n v="0"/>
  </r>
  <r>
    <x v="144"/>
    <s v="4"/>
    <n v="52622.2"/>
    <n v="0"/>
  </r>
  <r>
    <x v="144"/>
    <s v="5"/>
    <n v="52726.2"/>
    <n v="0"/>
  </r>
  <r>
    <x v="144"/>
    <s v="6"/>
    <n v="52466.400000000001"/>
    <n v="0"/>
  </r>
  <r>
    <x v="144"/>
    <s v="7"/>
    <n v="52746.8"/>
    <n v="0"/>
  </r>
  <r>
    <x v="144"/>
    <s v="8"/>
    <n v="52710.2"/>
    <n v="0"/>
  </r>
  <r>
    <x v="144"/>
    <s v="9"/>
    <n v="54102.6"/>
    <n v="0"/>
  </r>
  <r>
    <x v="144"/>
    <s v="10"/>
    <n v="54800.9"/>
    <n v="0"/>
  </r>
  <r>
    <x v="144"/>
    <s v="11"/>
    <n v="54234.6"/>
    <n v="0"/>
  </r>
  <r>
    <x v="144"/>
    <s v="12"/>
    <n v="54222.3"/>
    <n v="0"/>
  </r>
  <r>
    <x v="144"/>
    <s v="13"/>
    <n v="54059.4"/>
    <n v="0"/>
  </r>
  <r>
    <x v="144"/>
    <s v="14"/>
    <n v="67844"/>
    <n v="0"/>
  </r>
  <r>
    <x v="144"/>
    <s v="15"/>
    <n v="68486"/>
    <n v="0"/>
  </r>
  <r>
    <x v="144"/>
    <s v="16"/>
    <n v="55199.3"/>
    <n v="0"/>
  </r>
  <r>
    <x v="144"/>
    <s v="17"/>
    <n v="54234.5"/>
    <n v="0"/>
  </r>
  <r>
    <x v="144"/>
    <s v="18"/>
    <n v="67806.899999999994"/>
    <n v="0"/>
  </r>
  <r>
    <x v="144"/>
    <s v="19"/>
    <n v="68557.899999999994"/>
    <n v="0"/>
  </r>
  <r>
    <x v="144"/>
    <s v="20"/>
    <n v="68521.899999999994"/>
    <n v="0"/>
  </r>
  <r>
    <x v="144"/>
    <s v="21"/>
    <n v="68399.3"/>
    <n v="0"/>
  </r>
  <r>
    <x v="144"/>
    <s v="22"/>
    <n v="68406.2"/>
    <n v="0"/>
  </r>
  <r>
    <x v="144"/>
    <s v="23"/>
    <n v="54305.599999999999"/>
    <n v="0"/>
  </r>
  <r>
    <x v="145"/>
    <s v="0"/>
    <n v="52623.1"/>
    <n v="0"/>
  </r>
  <r>
    <x v="145"/>
    <s v="1"/>
    <n v="52528.2"/>
    <n v="0"/>
  </r>
  <r>
    <x v="145"/>
    <s v="2"/>
    <n v="52325.2"/>
    <n v="0"/>
  </r>
  <r>
    <x v="145"/>
    <s v="3"/>
    <n v="52456.1"/>
    <n v="0"/>
  </r>
  <r>
    <x v="145"/>
    <s v="4"/>
    <n v="52496.9"/>
    <n v="0"/>
  </r>
  <r>
    <x v="145"/>
    <s v="5"/>
    <n v="52337.2"/>
    <n v="0"/>
  </r>
  <r>
    <x v="145"/>
    <s v="6"/>
    <n v="53838.400000000001"/>
    <n v="0"/>
  </r>
  <r>
    <x v="145"/>
    <s v="7"/>
    <n v="54356.6"/>
    <n v="0"/>
  </r>
  <r>
    <x v="145"/>
    <s v="8"/>
    <n v="53896.5"/>
    <n v="0"/>
  </r>
  <r>
    <x v="145"/>
    <s v="9"/>
    <n v="53782.1"/>
    <n v="0"/>
  </r>
  <r>
    <x v="145"/>
    <s v="10"/>
    <n v="53682.9"/>
    <n v="0"/>
  </r>
  <r>
    <x v="145"/>
    <s v="11"/>
    <n v="53765.599999999999"/>
    <n v="0"/>
  </r>
  <r>
    <x v="145"/>
    <s v="12"/>
    <n v="53688.7"/>
    <n v="0"/>
  </r>
  <r>
    <x v="145"/>
    <s v="13"/>
    <n v="53778.9"/>
    <n v="0"/>
  </r>
  <r>
    <x v="145"/>
    <s v="14"/>
    <n v="53867.9"/>
    <n v="0"/>
  </r>
  <r>
    <x v="145"/>
    <s v="15"/>
    <n v="54017.2"/>
    <n v="0"/>
  </r>
  <r>
    <x v="145"/>
    <s v="16"/>
    <n v="54674.6"/>
    <n v="0"/>
  </r>
  <r>
    <x v="145"/>
    <s v="17"/>
    <n v="54542.8"/>
    <n v="0"/>
  </r>
  <r>
    <x v="145"/>
    <s v="18"/>
    <n v="68271.100000000006"/>
    <n v="0"/>
  </r>
  <r>
    <x v="145"/>
    <s v="19"/>
    <n v="69266"/>
    <n v="0"/>
  </r>
  <r>
    <x v="145"/>
    <s v="20"/>
    <n v="69233.3"/>
    <n v="0"/>
  </r>
  <r>
    <x v="145"/>
    <s v="21"/>
    <n v="56103.9"/>
    <n v="0"/>
  </r>
  <r>
    <x v="145"/>
    <s v="22"/>
    <n v="53685.599999999999"/>
    <n v="0"/>
  </r>
  <r>
    <x v="145"/>
    <s v="23"/>
    <n v="54001.9"/>
    <n v="0"/>
  </r>
  <r>
    <x v="146"/>
    <s v="0"/>
    <n v="53844.9"/>
    <n v="0"/>
  </r>
  <r>
    <x v="146"/>
    <s v="1"/>
    <n v="53981.1"/>
    <n v="0"/>
  </r>
  <r>
    <x v="146"/>
    <s v="2"/>
    <n v="54152.3"/>
    <n v="0"/>
  </r>
  <r>
    <x v="146"/>
    <s v="3"/>
    <n v="54171"/>
    <n v="0"/>
  </r>
  <r>
    <x v="146"/>
    <s v="4"/>
    <n v="54209.4"/>
    <n v="0"/>
  </r>
  <r>
    <x v="146"/>
    <s v="5"/>
    <n v="54227.8"/>
    <n v="0"/>
  </r>
  <r>
    <x v="146"/>
    <s v="6"/>
    <n v="54196.2"/>
    <n v="0"/>
  </r>
  <r>
    <x v="146"/>
    <s v="7"/>
    <n v="54222.7"/>
    <n v="0"/>
  </r>
  <r>
    <x v="146"/>
    <s v="8"/>
    <n v="53988"/>
    <n v="0"/>
  </r>
  <r>
    <x v="146"/>
    <s v="9"/>
    <n v="54092.3"/>
    <n v="0"/>
  </r>
  <r>
    <x v="146"/>
    <s v="10"/>
    <n v="54576.1"/>
    <n v="0"/>
  </r>
  <r>
    <x v="146"/>
    <s v="11"/>
    <n v="53521.3"/>
    <n v="0"/>
  </r>
  <r>
    <x v="146"/>
    <s v="12"/>
    <n v="54167.1"/>
    <n v="0"/>
  </r>
  <r>
    <x v="146"/>
    <s v="13"/>
    <n v="54275.5"/>
    <n v="0"/>
  </r>
  <r>
    <x v="146"/>
    <s v="14"/>
    <n v="54214.2"/>
    <n v="0"/>
  </r>
  <r>
    <x v="146"/>
    <s v="15"/>
    <n v="53813.9"/>
    <n v="0"/>
  </r>
  <r>
    <x v="146"/>
    <s v="16"/>
    <n v="53641.599999999999"/>
    <n v="0"/>
  </r>
  <r>
    <x v="146"/>
    <s v="17"/>
    <n v="54001.4"/>
    <n v="0"/>
  </r>
  <r>
    <x v="146"/>
    <s v="18"/>
    <n v="54149.9"/>
    <n v="0"/>
  </r>
  <r>
    <x v="146"/>
    <s v="19"/>
    <n v="66016.100000000006"/>
    <n v="0"/>
  </r>
  <r>
    <x v="146"/>
    <s v="20"/>
    <n v="68301.399999999994"/>
    <n v="0"/>
  </r>
  <r>
    <x v="146"/>
    <s v="21"/>
    <n v="55997.9"/>
    <n v="0"/>
  </r>
  <r>
    <x v="146"/>
    <s v="22"/>
    <n v="55205.599999999999"/>
    <n v="0"/>
  </r>
  <r>
    <x v="146"/>
    <s v="23"/>
    <n v="55348.2"/>
    <n v="0"/>
  </r>
  <r>
    <x v="147"/>
    <s v="0"/>
    <n v="55182.8"/>
    <n v="0"/>
  </r>
  <r>
    <x v="147"/>
    <s v="1"/>
    <n v="55153.2"/>
    <n v="0"/>
  </r>
  <r>
    <x v="147"/>
    <s v="2"/>
    <n v="55058.3"/>
    <n v="0"/>
  </r>
  <r>
    <x v="147"/>
    <s v="3"/>
    <n v="54880"/>
    <n v="0"/>
  </r>
  <r>
    <x v="147"/>
    <s v="4"/>
    <n v="55118.8"/>
    <n v="0"/>
  </r>
  <r>
    <x v="147"/>
    <s v="5"/>
    <n v="54571.3"/>
    <n v="0"/>
  </r>
  <r>
    <x v="147"/>
    <s v="6"/>
    <n v="53767.199999999997"/>
    <n v="0"/>
  </r>
  <r>
    <x v="147"/>
    <s v="7"/>
    <n v="53875.9"/>
    <n v="0"/>
  </r>
  <r>
    <x v="147"/>
    <s v="8"/>
    <n v="54042.8"/>
    <n v="0"/>
  </r>
  <r>
    <x v="147"/>
    <s v="9"/>
    <n v="54069.1"/>
    <n v="0"/>
  </r>
  <r>
    <x v="147"/>
    <s v="10"/>
    <n v="54169.3"/>
    <n v="0"/>
  </r>
  <r>
    <x v="147"/>
    <s v="11"/>
    <n v="53843.4"/>
    <n v="0"/>
  </r>
  <r>
    <x v="147"/>
    <s v="12"/>
    <n v="53929.4"/>
    <n v="0"/>
  </r>
  <r>
    <x v="147"/>
    <s v="13"/>
    <n v="53738.400000000001"/>
    <n v="0"/>
  </r>
  <r>
    <x v="147"/>
    <s v="14"/>
    <n v="53905.9"/>
    <n v="0"/>
  </r>
  <r>
    <x v="147"/>
    <s v="15"/>
    <n v="54052.800000000003"/>
    <n v="0"/>
  </r>
  <r>
    <x v="147"/>
    <s v="16"/>
    <n v="54320.800000000003"/>
    <n v="0"/>
  </r>
  <r>
    <x v="147"/>
    <s v="17"/>
    <n v="54341.3"/>
    <n v="0"/>
  </r>
  <r>
    <x v="147"/>
    <s v="18"/>
    <n v="54233.4"/>
    <n v="0"/>
  </r>
  <r>
    <x v="147"/>
    <s v="19"/>
    <n v="54191.199999999997"/>
    <n v="0"/>
  </r>
  <r>
    <x v="147"/>
    <s v="20"/>
    <n v="68062.5"/>
    <n v="0"/>
  </r>
  <r>
    <x v="147"/>
    <s v="21"/>
    <n v="54851.7"/>
    <n v="0"/>
  </r>
  <r>
    <x v="147"/>
    <s v="22"/>
    <n v="53708.5"/>
    <n v="0"/>
  </r>
  <r>
    <x v="147"/>
    <s v="23"/>
    <n v="54058.400000000001"/>
    <n v="0"/>
  </r>
  <r>
    <x v="148"/>
    <s v="0"/>
    <n v="54868.6"/>
    <n v="0"/>
  </r>
  <r>
    <x v="148"/>
    <s v="1"/>
    <n v="54743.1"/>
    <n v="0"/>
  </r>
  <r>
    <x v="148"/>
    <s v="2"/>
    <n v="54661.5"/>
    <n v="0"/>
  </r>
  <r>
    <x v="148"/>
    <s v="3"/>
    <n v="54753.4"/>
    <n v="0"/>
  </r>
  <r>
    <x v="148"/>
    <s v="4"/>
    <n v="54894.3"/>
    <n v="0"/>
  </r>
  <r>
    <x v="148"/>
    <s v="5"/>
    <n v="54118.3"/>
    <n v="0"/>
  </r>
  <r>
    <x v="148"/>
    <s v="6"/>
    <n v="54123.1"/>
    <n v="0"/>
  </r>
  <r>
    <x v="148"/>
    <s v="7"/>
    <n v="53962.7"/>
    <n v="0"/>
  </r>
  <r>
    <x v="148"/>
    <s v="8"/>
    <n v="54918.8"/>
    <n v="0"/>
  </r>
  <r>
    <x v="148"/>
    <s v="9"/>
    <n v="54971.6"/>
    <n v="0"/>
  </r>
  <r>
    <x v="148"/>
    <s v="10"/>
    <n v="55287.9"/>
    <n v="0"/>
  </r>
  <r>
    <x v="148"/>
    <s v="11"/>
    <n v="55147.4"/>
    <n v="0"/>
  </r>
  <r>
    <x v="148"/>
    <s v="12"/>
    <n v="55109.599999999999"/>
    <n v="0"/>
  </r>
  <r>
    <x v="148"/>
    <s v="13"/>
    <n v="55459.6"/>
    <n v="0"/>
  </r>
  <r>
    <x v="148"/>
    <s v="14"/>
    <n v="54415"/>
    <n v="0"/>
  </r>
  <r>
    <x v="148"/>
    <s v="15"/>
    <n v="54398.1"/>
    <n v="0"/>
  </r>
  <r>
    <x v="148"/>
    <s v="16"/>
    <n v="54150.5"/>
    <n v="0"/>
  </r>
  <r>
    <x v="148"/>
    <s v="17"/>
    <n v="54099.1"/>
    <n v="0"/>
  </r>
  <r>
    <x v="148"/>
    <s v="18"/>
    <n v="55943.8"/>
    <n v="0"/>
  </r>
  <r>
    <x v="148"/>
    <s v="19"/>
    <n v="67766.100000000006"/>
    <n v="0"/>
  </r>
  <r>
    <x v="148"/>
    <s v="20"/>
    <n v="68302.2"/>
    <n v="0"/>
  </r>
  <r>
    <x v="148"/>
    <s v="21"/>
    <n v="54797.3"/>
    <n v="0"/>
  </r>
  <r>
    <x v="148"/>
    <s v="22"/>
    <n v="54383.4"/>
    <n v="0"/>
  </r>
  <r>
    <x v="148"/>
    <s v="23"/>
    <n v="54027.6"/>
    <n v="0"/>
  </r>
  <r>
    <x v="149"/>
    <s v="0"/>
    <n v="54505.4"/>
    <n v="0"/>
  </r>
  <r>
    <x v="149"/>
    <s v="1"/>
    <n v="54638.400000000001"/>
    <n v="0"/>
  </r>
  <r>
    <x v="149"/>
    <s v="2"/>
    <n v="54680.6"/>
    <n v="0"/>
  </r>
  <r>
    <x v="149"/>
    <s v="3"/>
    <n v="54393.599999999999"/>
    <n v="0"/>
  </r>
  <r>
    <x v="149"/>
    <s v="4"/>
    <n v="54448.7"/>
    <n v="0"/>
  </r>
  <r>
    <x v="149"/>
    <s v="5"/>
    <n v="54048.6"/>
    <n v="0"/>
  </r>
  <r>
    <x v="149"/>
    <s v="6"/>
    <n v="54068.2"/>
    <n v="0"/>
  </r>
  <r>
    <x v="149"/>
    <s v="7"/>
    <n v="54510.400000000001"/>
    <n v="0"/>
  </r>
  <r>
    <x v="149"/>
    <s v="8"/>
    <n v="54965.5"/>
    <n v="0"/>
  </r>
  <r>
    <x v="149"/>
    <s v="9"/>
    <n v="55347"/>
    <n v="0"/>
  </r>
  <r>
    <x v="149"/>
    <s v="10"/>
    <n v="54807.6"/>
    <n v="0"/>
  </r>
  <r>
    <x v="149"/>
    <s v="11"/>
    <n v="54563.4"/>
    <n v="0"/>
  </r>
  <r>
    <x v="149"/>
    <s v="12"/>
    <n v="54550.2"/>
    <n v="0"/>
  </r>
  <r>
    <x v="149"/>
    <s v="13"/>
    <n v="54619.8"/>
    <n v="0"/>
  </r>
  <r>
    <x v="149"/>
    <s v="14"/>
    <n v="54487.3"/>
    <n v="0"/>
  </r>
  <r>
    <x v="149"/>
    <s v="15"/>
    <n v="54516"/>
    <n v="0"/>
  </r>
  <r>
    <x v="149"/>
    <s v="16"/>
    <n v="54152"/>
    <n v="0"/>
  </r>
  <r>
    <x v="149"/>
    <s v="17"/>
    <n v="54203.9"/>
    <n v="0"/>
  </r>
  <r>
    <x v="149"/>
    <s v="18"/>
    <n v="54703.7"/>
    <n v="0"/>
  </r>
  <r>
    <x v="149"/>
    <s v="19"/>
    <n v="67535.5"/>
    <n v="0"/>
  </r>
  <r>
    <x v="149"/>
    <s v="20"/>
    <n v="67890.600000000006"/>
    <n v="0"/>
  </r>
  <r>
    <x v="149"/>
    <s v="21"/>
    <n v="55179.3"/>
    <n v="0"/>
  </r>
  <r>
    <x v="149"/>
    <s v="22"/>
    <n v="54305.3"/>
    <n v="0"/>
  </r>
  <r>
    <x v="149"/>
    <s v="23"/>
    <n v="54625.8"/>
    <n v="0"/>
  </r>
  <r>
    <x v="150"/>
    <s v="0"/>
    <n v="54829.4"/>
    <n v="0"/>
  </r>
  <r>
    <x v="150"/>
    <s v="1"/>
    <n v="54738.1"/>
    <n v="0"/>
  </r>
  <r>
    <x v="150"/>
    <s v="2"/>
    <n v="54581.9"/>
    <n v="0"/>
  </r>
  <r>
    <x v="150"/>
    <s v="3"/>
    <n v="53696.9"/>
    <n v="0"/>
  </r>
  <r>
    <x v="150"/>
    <s v="4"/>
    <n v="53852.3"/>
    <n v="0"/>
  </r>
  <r>
    <x v="150"/>
    <s v="5"/>
    <n v="54367.7"/>
    <n v="0"/>
  </r>
  <r>
    <x v="150"/>
    <s v="6"/>
    <n v="54106"/>
    <n v="0"/>
  </r>
  <r>
    <x v="150"/>
    <s v="7"/>
    <n v="54221.8"/>
    <n v="0"/>
  </r>
  <r>
    <x v="150"/>
    <s v="8"/>
    <n v="54211.7"/>
    <n v="0"/>
  </r>
  <r>
    <x v="150"/>
    <s v="9"/>
    <n v="53724.4"/>
    <n v="0"/>
  </r>
  <r>
    <x v="150"/>
    <s v="10"/>
    <n v="52999.8"/>
    <n v="0"/>
  </r>
  <r>
    <x v="150"/>
    <s v="11"/>
    <n v="53662.3"/>
    <n v="0"/>
  </r>
  <r>
    <x v="150"/>
    <s v="12"/>
    <n v="53649.1"/>
    <n v="0"/>
  </r>
  <r>
    <x v="150"/>
    <s v="13"/>
    <n v="53761"/>
    <n v="0"/>
  </r>
  <r>
    <x v="150"/>
    <s v="14"/>
    <n v="54003.3"/>
    <n v="0"/>
  </r>
  <r>
    <x v="150"/>
    <s v="15"/>
    <n v="54009.2"/>
    <n v="0"/>
  </r>
  <r>
    <x v="150"/>
    <s v="16"/>
    <n v="53724.4"/>
    <n v="0"/>
  </r>
  <r>
    <x v="150"/>
    <s v="17"/>
    <n v="53843.8"/>
    <n v="0"/>
  </r>
  <r>
    <x v="150"/>
    <s v="18"/>
    <n v="54059.4"/>
    <n v="0"/>
  </r>
  <r>
    <x v="150"/>
    <s v="19"/>
    <n v="66125.600000000006"/>
    <n v="0"/>
  </r>
  <r>
    <x v="150"/>
    <s v="20"/>
    <n v="68107.199999999997"/>
    <n v="0"/>
  </r>
  <r>
    <x v="150"/>
    <s v="21"/>
    <n v="54946.3"/>
    <n v="0"/>
  </r>
  <r>
    <x v="150"/>
    <s v="22"/>
    <n v="53874.2"/>
    <n v="0"/>
  </r>
  <r>
    <x v="150"/>
    <s v="23"/>
    <n v="53765.9"/>
    <n v="0"/>
  </r>
  <r>
    <x v="151"/>
    <s v="0"/>
    <n v="53926.2"/>
    <n v="0"/>
  </r>
  <r>
    <x v="151"/>
    <s v="1"/>
    <n v="53901.1"/>
    <n v="0"/>
  </r>
  <r>
    <x v="151"/>
    <s v="2"/>
    <n v="53908.9"/>
    <n v="0"/>
  </r>
  <r>
    <x v="151"/>
    <s v="3"/>
    <n v="53907"/>
    <n v="0"/>
  </r>
  <r>
    <x v="151"/>
    <s v="4"/>
    <n v="53709.2"/>
    <n v="0"/>
  </r>
  <r>
    <x v="151"/>
    <s v="5"/>
    <n v="53791.4"/>
    <n v="0"/>
  </r>
  <r>
    <x v="151"/>
    <s v="6"/>
    <n v="53629.7"/>
    <n v="0"/>
  </r>
  <r>
    <x v="151"/>
    <s v="7"/>
    <n v="53656.4"/>
    <n v="0"/>
  </r>
  <r>
    <x v="151"/>
    <s v="8"/>
    <n v="53493.5"/>
    <n v="0"/>
  </r>
  <r>
    <x v="151"/>
    <s v="9"/>
    <n v="53412"/>
    <n v="0"/>
  </r>
  <r>
    <x v="151"/>
    <s v="10"/>
    <n v="54037.3"/>
    <n v="0"/>
  </r>
  <r>
    <x v="151"/>
    <s v="11"/>
    <n v="54047.4"/>
    <n v="0"/>
  </r>
  <r>
    <x v="151"/>
    <s v="12"/>
    <n v="54048.1"/>
    <n v="0"/>
  </r>
  <r>
    <x v="151"/>
    <s v="13"/>
    <n v="54055"/>
    <n v="0"/>
  </r>
  <r>
    <x v="151"/>
    <s v="14"/>
    <n v="54919.7"/>
    <n v="0"/>
  </r>
  <r>
    <x v="151"/>
    <s v="15"/>
    <n v="53748.9"/>
    <n v="0"/>
  </r>
  <r>
    <x v="151"/>
    <s v="16"/>
    <n v="53785.9"/>
    <n v="0"/>
  </r>
  <r>
    <x v="151"/>
    <s v="17"/>
    <n v="53646.9"/>
    <n v="0"/>
  </r>
  <r>
    <x v="151"/>
    <s v="18"/>
    <n v="67532.800000000003"/>
    <n v="0"/>
  </r>
  <r>
    <x v="151"/>
    <s v="19"/>
    <n v="67860.899999999994"/>
    <n v="0"/>
  </r>
  <r>
    <x v="151"/>
    <s v="20"/>
    <n v="67886.3"/>
    <n v="0"/>
  </r>
  <r>
    <x v="151"/>
    <s v="21"/>
    <n v="59225.9"/>
    <n v="0"/>
  </r>
  <r>
    <x v="151"/>
    <s v="22"/>
    <n v="54603"/>
    <n v="0"/>
  </r>
  <r>
    <x v="151"/>
    <s v="23"/>
    <n v="54283.3"/>
    <n v="0"/>
  </r>
  <r>
    <x v="152"/>
    <s v="0"/>
    <n v="54165.599999999999"/>
    <n v="0"/>
  </r>
  <r>
    <x v="152"/>
    <s v="1"/>
    <n v="54328.4"/>
    <n v="0"/>
  </r>
  <r>
    <x v="152"/>
    <s v="2"/>
    <n v="54290.2"/>
    <n v="0"/>
  </r>
  <r>
    <x v="152"/>
    <s v="3"/>
    <n v="54301.1"/>
    <n v="0"/>
  </r>
  <r>
    <x v="152"/>
    <s v="4"/>
    <n v="54521.4"/>
    <n v="0"/>
  </r>
  <r>
    <x v="152"/>
    <s v="5"/>
    <n v="54271.9"/>
    <n v="0"/>
  </r>
  <r>
    <x v="152"/>
    <s v="6"/>
    <n v="53855.7"/>
    <n v="0"/>
  </r>
  <r>
    <x v="152"/>
    <s v="7"/>
    <n v="54152.6"/>
    <n v="0"/>
  </r>
  <r>
    <x v="152"/>
    <s v="8"/>
    <n v="54110.400000000001"/>
    <n v="0"/>
  </r>
  <r>
    <x v="152"/>
    <s v="9"/>
    <n v="53859.1"/>
    <n v="0"/>
  </r>
  <r>
    <x v="152"/>
    <s v="10"/>
    <n v="54150.6"/>
    <n v="0"/>
  </r>
  <r>
    <x v="152"/>
    <s v="11"/>
    <n v="53234.9"/>
    <n v="0"/>
  </r>
  <r>
    <x v="152"/>
    <s v="12"/>
    <n v="52652.9"/>
    <n v="0"/>
  </r>
  <r>
    <x v="152"/>
    <s v="13"/>
    <n v="53732.5"/>
    <n v="0"/>
  </r>
  <r>
    <x v="152"/>
    <s v="14"/>
    <n v="53862"/>
    <n v="0"/>
  </r>
  <r>
    <x v="152"/>
    <s v="15"/>
    <n v="53961.7"/>
    <n v="0"/>
  </r>
  <r>
    <x v="152"/>
    <s v="16"/>
    <n v="53878.7"/>
    <n v="0"/>
  </r>
  <r>
    <x v="152"/>
    <s v="17"/>
    <n v="52943.8"/>
    <n v="0"/>
  </r>
  <r>
    <x v="152"/>
    <s v="18"/>
    <n v="53232.9"/>
    <n v="0"/>
  </r>
  <r>
    <x v="152"/>
    <s v="19"/>
    <n v="69573.3"/>
    <n v="0"/>
  </r>
  <r>
    <x v="152"/>
    <s v="20"/>
    <n v="69851.899999999994"/>
    <n v="0"/>
  </r>
  <r>
    <x v="152"/>
    <s v="21"/>
    <n v="54797.1"/>
    <n v="0"/>
  </r>
  <r>
    <x v="152"/>
    <s v="22"/>
    <n v="54141.5"/>
    <n v="0"/>
  </r>
  <r>
    <x v="152"/>
    <s v="23"/>
    <n v="53994.3"/>
    <n v="0"/>
  </r>
  <r>
    <x v="153"/>
    <s v="0"/>
    <n v="54352.1"/>
    <n v="0"/>
  </r>
  <r>
    <x v="153"/>
    <s v="1"/>
    <n v="54476.5"/>
    <n v="0"/>
  </r>
  <r>
    <x v="153"/>
    <s v="2"/>
    <n v="54790.8"/>
    <n v="0"/>
  </r>
  <r>
    <x v="153"/>
    <s v="3"/>
    <n v="54753.4"/>
    <n v="0"/>
  </r>
  <r>
    <x v="153"/>
    <s v="4"/>
    <n v="54704.4"/>
    <n v="0"/>
  </r>
  <r>
    <x v="153"/>
    <s v="5"/>
    <n v="54076.4"/>
    <n v="0"/>
  </r>
  <r>
    <x v="153"/>
    <s v="6"/>
    <n v="52885.5"/>
    <n v="0"/>
  </r>
  <r>
    <x v="153"/>
    <s v="7"/>
    <n v="54391.7"/>
    <n v="0"/>
  </r>
  <r>
    <x v="153"/>
    <s v="8"/>
    <n v="54237.9"/>
    <n v="0"/>
  </r>
  <r>
    <x v="153"/>
    <s v="9"/>
    <n v="54287.7"/>
    <n v="0"/>
  </r>
  <r>
    <x v="153"/>
    <s v="10"/>
    <n v="54017"/>
    <n v="0"/>
  </r>
  <r>
    <x v="153"/>
    <s v="11"/>
    <n v="54190.2"/>
    <n v="0"/>
  </r>
  <r>
    <x v="153"/>
    <s v="12"/>
    <n v="54557.2"/>
    <n v="0"/>
  </r>
  <r>
    <x v="153"/>
    <s v="13"/>
    <n v="54454.9"/>
    <n v="0"/>
  </r>
  <r>
    <x v="153"/>
    <s v="14"/>
    <n v="54341.599999999999"/>
    <n v="0"/>
  </r>
  <r>
    <x v="153"/>
    <s v="15"/>
    <n v="56511.4"/>
    <n v="0"/>
  </r>
  <r>
    <x v="153"/>
    <s v="16"/>
    <n v="68204.5"/>
    <n v="0"/>
  </r>
  <r>
    <x v="153"/>
    <s v="17"/>
    <n v="68844.2"/>
    <n v="0"/>
  </r>
  <r>
    <x v="153"/>
    <s v="18"/>
    <n v="69220.100000000006"/>
    <n v="0"/>
  </r>
  <r>
    <x v="153"/>
    <s v="19"/>
    <n v="68161.7"/>
    <n v="0"/>
  </r>
  <r>
    <x v="153"/>
    <s v="20"/>
    <n v="68153.100000000006"/>
    <n v="0"/>
  </r>
  <r>
    <x v="153"/>
    <s v="21"/>
    <n v="68179.600000000006"/>
    <n v="0"/>
  </r>
  <r>
    <x v="153"/>
    <s v="22"/>
    <n v="68041.100000000006"/>
    <n v="0"/>
  </r>
  <r>
    <x v="153"/>
    <s v="23"/>
    <n v="67315.199999999997"/>
    <n v="0"/>
  </r>
  <r>
    <x v="154"/>
    <s v="0"/>
    <n v="66126.8"/>
    <n v="0"/>
  </r>
  <r>
    <x v="154"/>
    <s v="1"/>
    <n v="53519"/>
    <n v="0"/>
  </r>
  <r>
    <x v="154"/>
    <s v="2"/>
    <n v="53581.5"/>
    <n v="0"/>
  </r>
  <r>
    <x v="154"/>
    <s v="3"/>
    <n v="53561.2"/>
    <n v="0"/>
  </r>
  <r>
    <x v="154"/>
    <s v="4"/>
    <n v="53687.199999999997"/>
    <n v="0"/>
  </r>
  <r>
    <x v="154"/>
    <s v="5"/>
    <n v="53544.5"/>
    <n v="0"/>
  </r>
  <r>
    <x v="154"/>
    <s v="6"/>
    <n v="52782.8"/>
    <n v="0"/>
  </r>
  <r>
    <x v="154"/>
    <s v="7"/>
    <n v="54743.8"/>
    <n v="0"/>
  </r>
  <r>
    <x v="154"/>
    <s v="8"/>
    <n v="53913.599999999999"/>
    <n v="0"/>
  </r>
  <r>
    <x v="154"/>
    <s v="9"/>
    <n v="54327.7"/>
    <n v="0"/>
  </r>
  <r>
    <x v="154"/>
    <s v="10"/>
    <n v="54368.6"/>
    <n v="0"/>
  </r>
  <r>
    <x v="154"/>
    <s v="11"/>
    <n v="54399.7"/>
    <n v="0"/>
  </r>
  <r>
    <x v="154"/>
    <s v="12"/>
    <n v="54359.3"/>
    <n v="0"/>
  </r>
  <r>
    <x v="154"/>
    <s v="13"/>
    <n v="54406.5"/>
    <n v="0"/>
  </r>
  <r>
    <x v="154"/>
    <s v="14"/>
    <n v="54426.9"/>
    <n v="0"/>
  </r>
  <r>
    <x v="154"/>
    <s v="15"/>
    <n v="54497.2"/>
    <n v="0"/>
  </r>
  <r>
    <x v="154"/>
    <s v="16"/>
    <n v="54614.5"/>
    <n v="0"/>
  </r>
  <r>
    <x v="154"/>
    <s v="17"/>
    <n v="54332.800000000003"/>
    <n v="0"/>
  </r>
  <r>
    <x v="154"/>
    <s v="18"/>
    <n v="54983.7"/>
    <n v="0"/>
  </r>
  <r>
    <x v="154"/>
    <s v="19"/>
    <n v="60207.8"/>
    <n v="0"/>
  </r>
  <r>
    <x v="154"/>
    <s v="20"/>
    <n v="68280.399999999994"/>
    <n v="0"/>
  </r>
  <r>
    <x v="154"/>
    <s v="21"/>
    <n v="54380.7"/>
    <n v="0"/>
  </r>
  <r>
    <x v="154"/>
    <s v="22"/>
    <n v="53456.800000000003"/>
    <n v="0"/>
  </r>
  <r>
    <x v="154"/>
    <s v="23"/>
    <n v="53658.9"/>
    <n v="0"/>
  </r>
  <r>
    <x v="155"/>
    <s v="0"/>
    <n v="52937"/>
    <n v="0"/>
  </r>
  <r>
    <x v="155"/>
    <s v="1"/>
    <n v="54022.7"/>
    <n v="0"/>
  </r>
  <r>
    <x v="155"/>
    <s v="2"/>
    <n v="54525.2"/>
    <n v="0"/>
  </r>
  <r>
    <x v="155"/>
    <s v="3"/>
    <n v="54524.2"/>
    <n v="0"/>
  </r>
  <r>
    <x v="155"/>
    <s v="4"/>
    <n v="54665.5"/>
    <n v="0"/>
  </r>
  <r>
    <x v="155"/>
    <s v="5"/>
    <n v="54785.8"/>
    <n v="0"/>
  </r>
  <r>
    <x v="155"/>
    <s v="6"/>
    <n v="53389.4"/>
    <n v="0"/>
  </r>
  <r>
    <x v="155"/>
    <s v="7"/>
    <n v="53588"/>
    <n v="0"/>
  </r>
  <r>
    <x v="155"/>
    <s v="8"/>
    <n v="54559.4"/>
    <n v="0"/>
  </r>
  <r>
    <x v="155"/>
    <s v="9"/>
    <n v="54521.9"/>
    <n v="0"/>
  </r>
  <r>
    <x v="155"/>
    <s v="10"/>
    <n v="54630.7"/>
    <n v="0"/>
  </r>
  <r>
    <x v="155"/>
    <s v="11"/>
    <n v="54517.599999999999"/>
    <n v="0"/>
  </r>
  <r>
    <x v="155"/>
    <s v="12"/>
    <n v="54549"/>
    <n v="0"/>
  </r>
  <r>
    <x v="155"/>
    <s v="13"/>
    <n v="54486.400000000001"/>
    <n v="0"/>
  </r>
  <r>
    <x v="155"/>
    <s v="14"/>
    <n v="54552.1"/>
    <n v="0"/>
  </r>
  <r>
    <x v="155"/>
    <s v="15"/>
    <n v="54502.8"/>
    <n v="0"/>
  </r>
  <r>
    <x v="155"/>
    <s v="16"/>
    <n v="54344.7"/>
    <n v="0"/>
  </r>
  <r>
    <x v="155"/>
    <s v="17"/>
    <n v="54324.2"/>
    <n v="0"/>
  </r>
  <r>
    <x v="155"/>
    <s v="18"/>
    <n v="60916.3"/>
    <n v="0"/>
  </r>
  <r>
    <x v="155"/>
    <s v="19"/>
    <n v="67757.5"/>
    <n v="0"/>
  </r>
  <r>
    <x v="155"/>
    <s v="20"/>
    <n v="68225.8"/>
    <n v="0"/>
  </r>
  <r>
    <x v="155"/>
    <s v="21"/>
    <n v="55318.2"/>
    <n v="0"/>
  </r>
  <r>
    <x v="155"/>
    <s v="22"/>
    <n v="54158.9"/>
    <n v="0"/>
  </r>
  <r>
    <x v="155"/>
    <s v="23"/>
    <n v="54293.3"/>
    <n v="0"/>
  </r>
  <r>
    <x v="156"/>
    <s v="0"/>
    <n v="54109.9"/>
    <n v="0"/>
  </r>
  <r>
    <x v="156"/>
    <s v="1"/>
    <n v="54352.4"/>
    <n v="0"/>
  </r>
  <r>
    <x v="156"/>
    <s v="2"/>
    <n v="54122.1"/>
    <n v="0"/>
  </r>
  <r>
    <x v="156"/>
    <s v="3"/>
    <n v="54185.4"/>
    <n v="0"/>
  </r>
  <r>
    <x v="156"/>
    <s v="4"/>
    <n v="53814.400000000001"/>
    <n v="0"/>
  </r>
  <r>
    <x v="156"/>
    <s v="5"/>
    <n v="53834.7"/>
    <n v="0"/>
  </r>
  <r>
    <x v="156"/>
    <s v="6"/>
    <n v="53690.3"/>
    <n v="0"/>
  </r>
  <r>
    <x v="156"/>
    <s v="7"/>
    <n v="53470.3"/>
    <n v="0"/>
  </r>
  <r>
    <x v="156"/>
    <s v="8"/>
    <n v="53633.5"/>
    <n v="0"/>
  </r>
  <r>
    <x v="156"/>
    <s v="9"/>
    <n v="54447.8"/>
    <n v="0"/>
  </r>
  <r>
    <x v="156"/>
    <s v="10"/>
    <n v="54658.400000000001"/>
    <n v="0"/>
  </r>
  <r>
    <x v="156"/>
    <s v="11"/>
    <n v="54529.9"/>
    <n v="0"/>
  </r>
  <r>
    <x v="156"/>
    <s v="12"/>
    <n v="54697.3"/>
    <n v="0"/>
  </r>
  <r>
    <x v="156"/>
    <s v="13"/>
    <n v="54632.1"/>
    <n v="0"/>
  </r>
  <r>
    <x v="156"/>
    <s v="14"/>
    <n v="54380.1"/>
    <n v="0"/>
  </r>
  <r>
    <x v="156"/>
    <s v="15"/>
    <n v="54291.3"/>
    <n v="0"/>
  </r>
  <r>
    <x v="156"/>
    <s v="16"/>
    <n v="54176.3"/>
    <n v="0"/>
  </r>
  <r>
    <x v="156"/>
    <s v="17"/>
    <n v="54368.6"/>
    <n v="0"/>
  </r>
  <r>
    <x v="156"/>
    <s v="18"/>
    <n v="54390.7"/>
    <n v="0"/>
  </r>
  <r>
    <x v="156"/>
    <s v="19"/>
    <n v="61093.7"/>
    <n v="0"/>
  </r>
  <r>
    <x v="156"/>
    <s v="20"/>
    <n v="68504.100000000006"/>
    <n v="0"/>
  </r>
  <r>
    <x v="156"/>
    <s v="21"/>
    <n v="54947.9"/>
    <n v="0"/>
  </r>
  <r>
    <x v="156"/>
    <s v="22"/>
    <n v="53148.7"/>
    <n v="0"/>
  </r>
  <r>
    <x v="156"/>
    <s v="23"/>
    <n v="54021.9"/>
    <n v="0"/>
  </r>
  <r>
    <x v="157"/>
    <s v="0"/>
    <n v="53617.3"/>
    <n v="0"/>
  </r>
  <r>
    <x v="157"/>
    <s v="1"/>
    <n v="54422.400000000001"/>
    <n v="0"/>
  </r>
  <r>
    <x v="157"/>
    <s v="2"/>
    <n v="54460"/>
    <n v="0"/>
  </r>
  <r>
    <x v="157"/>
    <s v="3"/>
    <n v="54354.2"/>
    <n v="0"/>
  </r>
  <r>
    <x v="157"/>
    <s v="4"/>
    <n v="54597.9"/>
    <n v="0"/>
  </r>
  <r>
    <x v="157"/>
    <s v="5"/>
    <n v="53887.9"/>
    <n v="0"/>
  </r>
  <r>
    <x v="157"/>
    <s v="6"/>
    <n v="54046.1"/>
    <n v="0"/>
  </r>
  <r>
    <x v="157"/>
    <s v="7"/>
    <n v="54832.5"/>
    <n v="0"/>
  </r>
  <r>
    <x v="157"/>
    <s v="8"/>
    <n v="54821.1"/>
    <n v="0"/>
  </r>
  <r>
    <x v="157"/>
    <s v="9"/>
    <n v="54812.800000000003"/>
    <n v="0"/>
  </r>
  <r>
    <x v="157"/>
    <s v="10"/>
    <n v="54811.9"/>
    <n v="0"/>
  </r>
  <r>
    <x v="157"/>
    <s v="11"/>
    <n v="54862.7"/>
    <n v="0"/>
  </r>
  <r>
    <x v="157"/>
    <s v="12"/>
    <n v="68724.100000000006"/>
    <n v="0"/>
  </r>
  <r>
    <x v="157"/>
    <s v="13"/>
    <n v="69372.5"/>
    <n v="0"/>
  </r>
  <r>
    <x v="157"/>
    <s v="14"/>
    <n v="69326.8"/>
    <n v="0"/>
  </r>
  <r>
    <x v="157"/>
    <s v="15"/>
    <n v="70012.5"/>
    <n v="0"/>
  </r>
  <r>
    <x v="157"/>
    <s v="16"/>
    <n v="55453"/>
    <n v="0"/>
  </r>
  <r>
    <x v="157"/>
    <s v="17"/>
    <n v="53847.7"/>
    <n v="0"/>
  </r>
  <r>
    <x v="157"/>
    <s v="18"/>
    <n v="56472.6"/>
    <n v="0"/>
  </r>
  <r>
    <x v="157"/>
    <s v="19"/>
    <n v="56144.6"/>
    <n v="0"/>
  </r>
  <r>
    <x v="157"/>
    <s v="20"/>
    <n v="68068.800000000003"/>
    <n v="0"/>
  </r>
  <r>
    <x v="157"/>
    <s v="21"/>
    <n v="55070.6"/>
    <n v="0"/>
  </r>
  <r>
    <x v="157"/>
    <s v="22"/>
    <n v="53972.2"/>
    <n v="0"/>
  </r>
  <r>
    <x v="157"/>
    <s v="23"/>
    <n v="53718.3"/>
    <n v="0"/>
  </r>
  <r>
    <x v="158"/>
    <s v="0"/>
    <n v="53681.4"/>
    <n v="0"/>
  </r>
  <r>
    <x v="158"/>
    <s v="1"/>
    <n v="53662.9"/>
    <n v="0"/>
  </r>
  <r>
    <x v="158"/>
    <s v="2"/>
    <n v="54867.6"/>
    <n v="0"/>
  </r>
  <r>
    <x v="158"/>
    <s v="3"/>
    <n v="54740.7"/>
    <n v="0"/>
  </r>
  <r>
    <x v="158"/>
    <s v="4"/>
    <n v="54526.9"/>
    <n v="0"/>
  </r>
  <r>
    <x v="158"/>
    <s v="5"/>
    <n v="54203.8"/>
    <n v="0"/>
  </r>
  <r>
    <x v="158"/>
    <s v="6"/>
    <n v="53760.3"/>
    <n v="0"/>
  </r>
  <r>
    <x v="158"/>
    <s v="7"/>
    <n v="54482.8"/>
    <n v="0"/>
  </r>
  <r>
    <x v="158"/>
    <s v="8"/>
    <n v="53717.599999999999"/>
    <n v="0"/>
  </r>
  <r>
    <x v="158"/>
    <s v="9"/>
    <n v="54295.199999999997"/>
    <n v="0"/>
  </r>
  <r>
    <x v="158"/>
    <s v="10"/>
    <n v="53570.8"/>
    <n v="0"/>
  </r>
  <r>
    <x v="158"/>
    <s v="11"/>
    <n v="54013.3"/>
    <n v="0"/>
  </r>
  <r>
    <x v="158"/>
    <s v="12"/>
    <n v="54203"/>
    <n v="0"/>
  </r>
  <r>
    <x v="158"/>
    <s v="13"/>
    <n v="54197"/>
    <n v="0"/>
  </r>
  <r>
    <x v="158"/>
    <s v="14"/>
    <n v="54257"/>
    <n v="0"/>
  </r>
  <r>
    <x v="158"/>
    <s v="15"/>
    <n v="54044.1"/>
    <n v="0"/>
  </r>
  <r>
    <x v="158"/>
    <s v="16"/>
    <n v="54036.4"/>
    <n v="0"/>
  </r>
  <r>
    <x v="158"/>
    <s v="17"/>
    <n v="53068.6"/>
    <n v="0"/>
  </r>
  <r>
    <x v="158"/>
    <s v="18"/>
    <n v="54647.3"/>
    <n v="0"/>
  </r>
  <r>
    <x v="158"/>
    <s v="19"/>
    <n v="53833"/>
    <n v="0"/>
  </r>
  <r>
    <x v="158"/>
    <s v="20"/>
    <n v="54779.3"/>
    <n v="0"/>
  </r>
  <r>
    <x v="158"/>
    <s v="21"/>
    <n v="54701"/>
    <n v="0"/>
  </r>
  <r>
    <x v="158"/>
    <s v="22"/>
    <n v="55010.1"/>
    <n v="0"/>
  </r>
  <r>
    <x v="158"/>
    <s v="23"/>
    <n v="54574"/>
    <n v="0"/>
  </r>
  <r>
    <x v="159"/>
    <s v="0"/>
    <n v="54383.6"/>
    <n v="0"/>
  </r>
  <r>
    <x v="159"/>
    <s v="1"/>
    <n v="54548.2"/>
    <n v="0"/>
  </r>
  <r>
    <x v="159"/>
    <s v="2"/>
    <n v="54045.2"/>
    <n v="0"/>
  </r>
  <r>
    <x v="159"/>
    <s v="3"/>
    <n v="54183.1"/>
    <n v="0"/>
  </r>
  <r>
    <x v="159"/>
    <s v="4"/>
    <n v="54193.599999999999"/>
    <n v="0"/>
  </r>
  <r>
    <x v="159"/>
    <s v="5"/>
    <n v="53930.5"/>
    <n v="0"/>
  </r>
  <r>
    <x v="159"/>
    <s v="6"/>
    <n v="53745.2"/>
    <n v="0"/>
  </r>
  <r>
    <x v="159"/>
    <s v="7"/>
    <n v="53682.7"/>
    <n v="0"/>
  </r>
  <r>
    <x v="159"/>
    <s v="8"/>
    <n v="53905.8"/>
    <n v="0"/>
  </r>
  <r>
    <x v="159"/>
    <s v="9"/>
    <n v="53043.8"/>
    <n v="0"/>
  </r>
  <r>
    <x v="159"/>
    <s v="10"/>
    <n v="53008.1"/>
    <n v="0"/>
  </r>
  <r>
    <x v="159"/>
    <s v="11"/>
    <n v="53069.5"/>
    <n v="0"/>
  </r>
  <r>
    <x v="159"/>
    <s v="12"/>
    <n v="52998.1"/>
    <n v="0"/>
  </r>
  <r>
    <x v="159"/>
    <s v="13"/>
    <n v="53078.2"/>
    <n v="0"/>
  </r>
  <r>
    <x v="159"/>
    <s v="14"/>
    <n v="53110.1"/>
    <n v="0"/>
  </r>
  <r>
    <x v="159"/>
    <s v="15"/>
    <n v="53037.1"/>
    <n v="0"/>
  </r>
  <r>
    <x v="159"/>
    <s v="16"/>
    <n v="53923.9"/>
    <n v="0"/>
  </r>
  <r>
    <x v="159"/>
    <s v="17"/>
    <n v="55198.5"/>
    <n v="0"/>
  </r>
  <r>
    <x v="159"/>
    <s v="18"/>
    <n v="66571.8"/>
    <n v="0"/>
  </r>
  <r>
    <x v="159"/>
    <s v="19"/>
    <n v="72269.5"/>
    <n v="0"/>
  </r>
  <r>
    <x v="159"/>
    <s v="20"/>
    <n v="71538"/>
    <n v="0"/>
  </r>
  <r>
    <x v="159"/>
    <s v="21"/>
    <n v="54849.2"/>
    <n v="0"/>
  </r>
  <r>
    <x v="159"/>
    <s v="22"/>
    <n v="53898.7"/>
    <n v="0"/>
  </r>
  <r>
    <x v="159"/>
    <s v="23"/>
    <n v="54632.2"/>
    <n v="0"/>
  </r>
  <r>
    <x v="160"/>
    <s v="0"/>
    <n v="54631.4"/>
    <n v="0"/>
  </r>
  <r>
    <x v="160"/>
    <s v="1"/>
    <n v="54406.9"/>
    <n v="0"/>
  </r>
  <r>
    <x v="160"/>
    <s v="2"/>
    <n v="54396.6"/>
    <n v="0"/>
  </r>
  <r>
    <x v="160"/>
    <s v="3"/>
    <n v="54421.4"/>
    <n v="0"/>
  </r>
  <r>
    <x v="160"/>
    <s v="4"/>
    <n v="54372.9"/>
    <n v="0"/>
  </r>
  <r>
    <x v="160"/>
    <s v="5"/>
    <n v="54386.5"/>
    <n v="0"/>
  </r>
  <r>
    <x v="160"/>
    <s v="6"/>
    <n v="54373.599999999999"/>
    <n v="0"/>
  </r>
  <r>
    <x v="160"/>
    <s v="7"/>
    <n v="54304.3"/>
    <n v="0"/>
  </r>
  <r>
    <x v="160"/>
    <s v="8"/>
    <n v="54205"/>
    <n v="0"/>
  </r>
  <r>
    <x v="160"/>
    <s v="9"/>
    <n v="54908"/>
    <n v="0"/>
  </r>
  <r>
    <x v="160"/>
    <s v="10"/>
    <n v="53125.5"/>
    <n v="0"/>
  </r>
  <r>
    <x v="160"/>
    <s v="11"/>
    <n v="54546.6"/>
    <n v="0"/>
  </r>
  <r>
    <x v="160"/>
    <s v="12"/>
    <n v="53244.5"/>
    <n v="0"/>
  </r>
  <r>
    <x v="160"/>
    <s v="13"/>
    <n v="53591"/>
    <n v="0"/>
  </r>
  <r>
    <x v="160"/>
    <s v="14"/>
    <n v="53722.3"/>
    <n v="0"/>
  </r>
  <r>
    <x v="160"/>
    <s v="15"/>
    <n v="53448.800000000003"/>
    <n v="0"/>
  </r>
  <r>
    <x v="160"/>
    <s v="16"/>
    <n v="53558.9"/>
    <n v="0"/>
  </r>
  <r>
    <x v="160"/>
    <s v="17"/>
    <n v="53531.199999999997"/>
    <n v="0"/>
  </r>
  <r>
    <x v="160"/>
    <s v="18"/>
    <n v="60063.6"/>
    <n v="0"/>
  </r>
  <r>
    <x v="160"/>
    <s v="19"/>
    <n v="53596.3"/>
    <n v="0"/>
  </r>
  <r>
    <x v="160"/>
    <s v="20"/>
    <n v="54144.4"/>
    <n v="0"/>
  </r>
  <r>
    <x v="160"/>
    <s v="21"/>
    <n v="54467.4"/>
    <n v="0"/>
  </r>
  <r>
    <x v="160"/>
    <s v="22"/>
    <n v="55069.1"/>
    <n v="0"/>
  </r>
  <r>
    <x v="160"/>
    <s v="23"/>
    <n v="54577.2"/>
    <n v="0"/>
  </r>
  <r>
    <x v="161"/>
    <s v="0"/>
    <n v="54658.3"/>
    <n v="0"/>
  </r>
  <r>
    <x v="161"/>
    <s v="1"/>
    <n v="54775.6"/>
    <n v="0"/>
  </r>
  <r>
    <x v="161"/>
    <s v="2"/>
    <n v="54556.3"/>
    <n v="0"/>
  </r>
  <r>
    <x v="161"/>
    <s v="3"/>
    <n v="54553.9"/>
    <n v="0"/>
  </r>
  <r>
    <x v="161"/>
    <s v="4"/>
    <n v="54632.800000000003"/>
    <n v="0"/>
  </r>
  <r>
    <x v="161"/>
    <s v="5"/>
    <n v="54458"/>
    <n v="0"/>
  </r>
  <r>
    <x v="161"/>
    <s v="6"/>
    <n v="53956.9"/>
    <n v="0"/>
  </r>
  <r>
    <x v="161"/>
    <s v="7"/>
    <n v="53766"/>
    <n v="0"/>
  </r>
  <r>
    <x v="161"/>
    <s v="8"/>
    <n v="53854.9"/>
    <n v="0"/>
  </r>
  <r>
    <x v="161"/>
    <s v="9"/>
    <n v="54306.5"/>
    <n v="0"/>
  </r>
  <r>
    <x v="161"/>
    <s v="10"/>
    <n v="54611.7"/>
    <n v="0"/>
  </r>
  <r>
    <x v="161"/>
    <s v="11"/>
    <n v="54569.599999999999"/>
    <n v="0"/>
  </r>
  <r>
    <x v="161"/>
    <s v="12"/>
    <n v="54533.9"/>
    <n v="0"/>
  </r>
  <r>
    <x v="161"/>
    <s v="13"/>
    <n v="54505.5"/>
    <n v="0"/>
  </r>
  <r>
    <x v="161"/>
    <s v="14"/>
    <n v="54543.9"/>
    <n v="0"/>
  </r>
  <r>
    <x v="161"/>
    <s v="15"/>
    <n v="54672"/>
    <n v="0"/>
  </r>
  <r>
    <x v="161"/>
    <s v="16"/>
    <n v="54499.3"/>
    <n v="0"/>
  </r>
  <r>
    <x v="161"/>
    <s v="17"/>
    <n v="54526.1"/>
    <n v="0"/>
  </r>
  <r>
    <x v="161"/>
    <s v="18"/>
    <n v="54854.6"/>
    <n v="0"/>
  </r>
  <r>
    <x v="161"/>
    <s v="19"/>
    <n v="54345.599999999999"/>
    <n v="0"/>
  </r>
  <r>
    <x v="161"/>
    <s v="20"/>
    <n v="54212.2"/>
    <n v="0"/>
  </r>
  <r>
    <x v="161"/>
    <s v="21"/>
    <n v="55091.4"/>
    <n v="0"/>
  </r>
  <r>
    <x v="161"/>
    <s v="22"/>
    <n v="54915.9"/>
    <n v="0"/>
  </r>
  <r>
    <x v="161"/>
    <s v="23"/>
    <n v="54830.400000000001"/>
    <n v="0"/>
  </r>
  <r>
    <x v="162"/>
    <s v="0"/>
    <n v="54966.1"/>
    <n v="0"/>
  </r>
  <r>
    <x v="162"/>
    <s v="1"/>
    <n v="54962.8"/>
    <n v="0"/>
  </r>
  <r>
    <x v="162"/>
    <s v="2"/>
    <n v="54809.9"/>
    <n v="0"/>
  </r>
  <r>
    <x v="162"/>
    <s v="3"/>
    <n v="53715.9"/>
    <n v="0"/>
  </r>
  <r>
    <x v="162"/>
    <s v="4"/>
    <n v="54506.5"/>
    <n v="0"/>
  </r>
  <r>
    <x v="162"/>
    <s v="5"/>
    <n v="54527.5"/>
    <n v="0"/>
  </r>
  <r>
    <x v="162"/>
    <s v="6"/>
    <n v="52978.2"/>
    <n v="0"/>
  </r>
  <r>
    <x v="162"/>
    <s v="7"/>
    <n v="53936.4"/>
    <n v="0"/>
  </r>
  <r>
    <x v="162"/>
    <s v="8"/>
    <n v="54114.1"/>
    <n v="0"/>
  </r>
  <r>
    <x v="162"/>
    <s v="9"/>
    <n v="54633"/>
    <n v="0"/>
  </r>
  <r>
    <x v="162"/>
    <s v="10"/>
    <n v="54888.1"/>
    <n v="0"/>
  </r>
  <r>
    <x v="162"/>
    <s v="11"/>
    <n v="54712.7"/>
    <n v="0"/>
  </r>
  <r>
    <x v="162"/>
    <s v="12"/>
    <n v="54817.7"/>
    <n v="0"/>
  </r>
  <r>
    <x v="162"/>
    <s v="13"/>
    <n v="54701.7"/>
    <n v="0"/>
  </r>
  <r>
    <x v="162"/>
    <s v="14"/>
    <n v="54800.2"/>
    <n v="0"/>
  </r>
  <r>
    <x v="162"/>
    <s v="15"/>
    <n v="54654.9"/>
    <n v="0"/>
  </r>
  <r>
    <x v="162"/>
    <s v="16"/>
    <n v="54493.2"/>
    <n v="0"/>
  </r>
  <r>
    <x v="162"/>
    <s v="17"/>
    <n v="54658.7"/>
    <n v="0"/>
  </r>
  <r>
    <x v="162"/>
    <s v="18"/>
    <n v="54649.7"/>
    <n v="0"/>
  </r>
  <r>
    <x v="162"/>
    <s v="19"/>
    <n v="67379.399999999994"/>
    <n v="0"/>
  </r>
  <r>
    <x v="162"/>
    <s v="20"/>
    <n v="68499"/>
    <n v="0"/>
  </r>
  <r>
    <x v="162"/>
    <s v="21"/>
    <n v="68029"/>
    <n v="0"/>
  </r>
  <r>
    <x v="162"/>
    <s v="22"/>
    <n v="67383.100000000006"/>
    <n v="0"/>
  </r>
  <r>
    <x v="162"/>
    <s v="23"/>
    <n v="67914.2"/>
    <n v="0"/>
  </r>
  <r>
    <x v="163"/>
    <s v="0"/>
    <n v="60401.599999999999"/>
    <n v="0"/>
  </r>
  <r>
    <x v="163"/>
    <s v="1"/>
    <n v="53004.9"/>
    <n v="0"/>
  </r>
  <r>
    <x v="163"/>
    <s v="2"/>
    <n v="53048.2"/>
    <n v="0"/>
  </r>
  <r>
    <x v="163"/>
    <s v="3"/>
    <n v="53150.5"/>
    <n v="0"/>
  </r>
  <r>
    <x v="163"/>
    <s v="4"/>
    <n v="53095.199999999997"/>
    <n v="0"/>
  </r>
  <r>
    <x v="163"/>
    <s v="5"/>
    <n v="52961.8"/>
    <n v="0"/>
  </r>
  <r>
    <x v="163"/>
    <s v="6"/>
    <n v="52698.8"/>
    <n v="0"/>
  </r>
  <r>
    <x v="163"/>
    <s v="7"/>
    <n v="53910.7"/>
    <n v="0"/>
  </r>
  <r>
    <x v="163"/>
    <s v="8"/>
    <n v="54300.3"/>
    <n v="0"/>
  </r>
  <r>
    <x v="163"/>
    <s v="9"/>
    <n v="54685.3"/>
    <n v="0"/>
  </r>
  <r>
    <x v="163"/>
    <s v="10"/>
    <n v="54912.800000000003"/>
    <n v="0"/>
  </r>
  <r>
    <x v="163"/>
    <s v="11"/>
    <n v="54432.800000000003"/>
    <n v="0"/>
  </r>
  <r>
    <x v="163"/>
    <s v="12"/>
    <n v="54933.1"/>
    <n v="0"/>
  </r>
  <r>
    <x v="163"/>
    <s v="13"/>
    <n v="54008.6"/>
    <n v="0"/>
  </r>
  <r>
    <x v="163"/>
    <s v="14"/>
    <n v="54426.1"/>
    <n v="0"/>
  </r>
  <r>
    <x v="163"/>
    <s v="15"/>
    <n v="62708"/>
    <n v="0"/>
  </r>
  <r>
    <x v="163"/>
    <s v="16"/>
    <n v="68182.8"/>
    <n v="0"/>
  </r>
  <r>
    <x v="163"/>
    <s v="17"/>
    <n v="68254.5"/>
    <n v="0"/>
  </r>
  <r>
    <x v="163"/>
    <s v="18"/>
    <n v="68415.7"/>
    <n v="0"/>
  </r>
  <r>
    <x v="163"/>
    <s v="19"/>
    <n v="68331.600000000006"/>
    <n v="0"/>
  </r>
  <r>
    <x v="163"/>
    <s v="20"/>
    <n v="68231.899999999994"/>
    <n v="0"/>
  </r>
  <r>
    <x v="163"/>
    <s v="21"/>
    <n v="67740.7"/>
    <n v="0"/>
  </r>
  <r>
    <x v="163"/>
    <s v="22"/>
    <n v="68046.8"/>
    <n v="0"/>
  </r>
  <r>
    <x v="163"/>
    <s v="23"/>
    <n v="66091.100000000006"/>
    <n v="0"/>
  </r>
  <r>
    <x v="164"/>
    <s v="0"/>
    <n v="54956.6"/>
    <n v="0"/>
  </r>
  <r>
    <x v="164"/>
    <s v="1"/>
    <n v="54140.9"/>
    <n v="0"/>
  </r>
  <r>
    <x v="164"/>
    <s v="2"/>
    <n v="54082.9"/>
    <n v="0"/>
  </r>
  <r>
    <x v="164"/>
    <s v="3"/>
    <n v="54079.9"/>
    <n v="0"/>
  </r>
  <r>
    <x v="164"/>
    <s v="4"/>
    <n v="54003.1"/>
    <n v="0"/>
  </r>
  <r>
    <x v="164"/>
    <s v="5"/>
    <n v="54097.7"/>
    <n v="0"/>
  </r>
  <r>
    <x v="164"/>
    <s v="6"/>
    <n v="53998"/>
    <n v="0"/>
  </r>
  <r>
    <x v="164"/>
    <s v="7"/>
    <n v="54113.7"/>
    <n v="0"/>
  </r>
  <r>
    <x v="164"/>
    <s v="8"/>
    <n v="54160.6"/>
    <n v="0"/>
  </r>
  <r>
    <x v="164"/>
    <s v="9"/>
    <n v="54071.5"/>
    <n v="0"/>
  </r>
  <r>
    <x v="164"/>
    <s v="10"/>
    <n v="54409.5"/>
    <n v="0"/>
  </r>
  <r>
    <x v="164"/>
    <s v="11"/>
    <n v="54308"/>
    <n v="0"/>
  </r>
  <r>
    <x v="164"/>
    <s v="12"/>
    <n v="54238.8"/>
    <n v="0"/>
  </r>
  <r>
    <x v="164"/>
    <s v="13"/>
    <n v="53771.3"/>
    <n v="0"/>
  </r>
  <r>
    <x v="164"/>
    <s v="14"/>
    <n v="57369.3"/>
    <n v="0"/>
  </r>
  <r>
    <x v="164"/>
    <s v="15"/>
    <n v="67807.5"/>
    <n v="0"/>
  </r>
  <r>
    <x v="164"/>
    <s v="16"/>
    <n v="67997.600000000006"/>
    <n v="0"/>
  </r>
  <r>
    <x v="164"/>
    <s v="17"/>
    <n v="68619.5"/>
    <n v="0"/>
  </r>
  <r>
    <x v="164"/>
    <s v="18"/>
    <n v="68678.2"/>
    <n v="0"/>
  </r>
  <r>
    <x v="164"/>
    <s v="19"/>
    <n v="67803.8"/>
    <n v="0"/>
  </r>
  <r>
    <x v="164"/>
    <s v="20"/>
    <n v="67670"/>
    <n v="0"/>
  </r>
  <r>
    <x v="164"/>
    <s v="21"/>
    <n v="67825.600000000006"/>
    <n v="0"/>
  </r>
  <r>
    <x v="164"/>
    <s v="22"/>
    <n v="68123.899999999994"/>
    <n v="0"/>
  </r>
  <r>
    <x v="164"/>
    <s v="23"/>
    <n v="68025.600000000006"/>
    <n v="0"/>
  </r>
  <r>
    <x v="165"/>
    <s v="0"/>
    <n v="54262.9"/>
    <n v="0"/>
  </r>
  <r>
    <x v="165"/>
    <s v="1"/>
    <n v="53301.1"/>
    <n v="0"/>
  </r>
  <r>
    <x v="165"/>
    <s v="2"/>
    <n v="53346.400000000001"/>
    <n v="0"/>
  </r>
  <r>
    <x v="165"/>
    <s v="3"/>
    <n v="53346.6"/>
    <n v="0"/>
  </r>
  <r>
    <x v="165"/>
    <s v="4"/>
    <n v="53344.6"/>
    <n v="0"/>
  </r>
  <r>
    <x v="165"/>
    <s v="5"/>
    <n v="54918.6"/>
    <n v="0"/>
  </r>
  <r>
    <x v="165"/>
    <s v="6"/>
    <n v="53436.4"/>
    <n v="0"/>
  </r>
  <r>
    <x v="165"/>
    <s v="7"/>
    <n v="53297.599999999999"/>
    <n v="0"/>
  </r>
  <r>
    <x v="165"/>
    <s v="8"/>
    <n v="55611"/>
    <n v="0"/>
  </r>
  <r>
    <x v="165"/>
    <s v="9"/>
    <n v="55017.9"/>
    <n v="0"/>
  </r>
  <r>
    <x v="165"/>
    <s v="10"/>
    <n v="54404.7"/>
    <n v="0"/>
  </r>
  <r>
    <x v="165"/>
    <s v="11"/>
    <n v="54469"/>
    <n v="0"/>
  </r>
  <r>
    <x v="165"/>
    <s v="12"/>
    <n v="54645.599999999999"/>
    <n v="0"/>
  </r>
  <r>
    <x v="165"/>
    <s v="13"/>
    <n v="56136"/>
    <n v="0"/>
  </r>
  <r>
    <x v="165"/>
    <s v="14"/>
    <n v="68257.8"/>
    <n v="0"/>
  </r>
  <r>
    <x v="165"/>
    <s v="15"/>
    <n v="67462.8"/>
    <n v="0"/>
  </r>
  <r>
    <x v="165"/>
    <s v="16"/>
    <n v="67766.2"/>
    <n v="0"/>
  </r>
  <r>
    <x v="165"/>
    <s v="17"/>
    <n v="55023.5"/>
    <n v="0"/>
  </r>
  <r>
    <x v="165"/>
    <s v="18"/>
    <n v="62482.9"/>
    <n v="0"/>
  </r>
  <r>
    <x v="165"/>
    <s v="19"/>
    <n v="69015.8"/>
    <n v="0"/>
  </r>
  <r>
    <x v="165"/>
    <s v="20"/>
    <n v="67880.5"/>
    <n v="0"/>
  </r>
  <r>
    <x v="165"/>
    <s v="21"/>
    <n v="65565.399999999994"/>
    <n v="0"/>
  </r>
  <r>
    <x v="165"/>
    <s v="22"/>
    <n v="69000.600000000006"/>
    <n v="0"/>
  </r>
  <r>
    <x v="165"/>
    <s v="23"/>
    <n v="69382.5"/>
    <n v="0"/>
  </r>
  <r>
    <x v="166"/>
    <s v="0"/>
    <n v="64601.7"/>
    <n v="0"/>
  </r>
  <r>
    <x v="166"/>
    <s v="1"/>
    <n v="54709.2"/>
    <n v="0"/>
  </r>
  <r>
    <x v="166"/>
    <s v="2"/>
    <n v="54537.8"/>
    <n v="0"/>
  </r>
  <r>
    <x v="166"/>
    <s v="3"/>
    <n v="54613.2"/>
    <n v="0"/>
  </r>
  <r>
    <x v="166"/>
    <s v="4"/>
    <n v="54669.2"/>
    <n v="0"/>
  </r>
  <r>
    <x v="166"/>
    <s v="5"/>
    <n v="54694.1"/>
    <n v="0"/>
  </r>
  <r>
    <x v="166"/>
    <s v="6"/>
    <n v="53942.400000000001"/>
    <n v="0"/>
  </r>
  <r>
    <x v="166"/>
    <s v="7"/>
    <n v="54647"/>
    <n v="0"/>
  </r>
  <r>
    <x v="166"/>
    <s v="8"/>
    <n v="54219"/>
    <n v="0"/>
  </r>
  <r>
    <x v="166"/>
    <s v="9"/>
    <n v="54045.7"/>
    <n v="0"/>
  </r>
  <r>
    <x v="166"/>
    <s v="10"/>
    <n v="53926.5"/>
    <n v="0"/>
  </r>
  <r>
    <x v="166"/>
    <s v="11"/>
    <n v="54110.8"/>
    <n v="0"/>
  </r>
  <r>
    <x v="166"/>
    <s v="12"/>
    <n v="45297.1"/>
    <n v="0"/>
  </r>
  <r>
    <x v="166"/>
    <s v="13"/>
    <n v="44835"/>
    <n v="0"/>
  </r>
  <r>
    <x v="166"/>
    <s v="14"/>
    <n v="58069.599999999999"/>
    <n v="0"/>
  </r>
  <r>
    <x v="166"/>
    <s v="15"/>
    <n v="59224.1"/>
    <n v="0"/>
  </r>
  <r>
    <x v="166"/>
    <s v="16"/>
    <n v="62499"/>
    <n v="0"/>
  </r>
  <r>
    <x v="166"/>
    <s v="17"/>
    <n v="62621.9"/>
    <n v="0"/>
  </r>
  <r>
    <x v="166"/>
    <s v="18"/>
    <n v="61142.1"/>
    <n v="0"/>
  </r>
  <r>
    <x v="166"/>
    <s v="19"/>
    <n v="61857.599999999999"/>
    <n v="0"/>
  </r>
  <r>
    <x v="166"/>
    <s v="20"/>
    <n v="60155.1"/>
    <n v="0"/>
  </r>
  <r>
    <x v="166"/>
    <s v="21"/>
    <n v="60042.5"/>
    <n v="0"/>
  </r>
  <r>
    <x v="166"/>
    <s v="22"/>
    <n v="60096.800000000003"/>
    <n v="0"/>
  </r>
  <r>
    <x v="166"/>
    <s v="23"/>
    <n v="60085.9"/>
    <n v="0"/>
  </r>
  <r>
    <x v="167"/>
    <s v="0"/>
    <n v="67256.800000000003"/>
    <n v="0"/>
  </r>
  <r>
    <x v="167"/>
    <s v="1"/>
    <n v="55165.9"/>
    <n v="0"/>
  </r>
  <r>
    <x v="167"/>
    <s v="2"/>
    <n v="54861.7"/>
    <n v="0"/>
  </r>
  <r>
    <x v="167"/>
    <s v="3"/>
    <n v="55017.3"/>
    <n v="0"/>
  </r>
  <r>
    <x v="167"/>
    <s v="4"/>
    <n v="54960.5"/>
    <n v="0"/>
  </r>
  <r>
    <x v="167"/>
    <s v="5"/>
    <n v="54838.7"/>
    <n v="0"/>
  </r>
  <r>
    <x v="167"/>
    <s v="6"/>
    <n v="54620.3"/>
    <n v="0"/>
  </r>
  <r>
    <x v="167"/>
    <s v="7"/>
    <n v="54743.3"/>
    <n v="0"/>
  </r>
  <r>
    <x v="167"/>
    <s v="8"/>
    <n v="54728"/>
    <n v="0"/>
  </r>
  <r>
    <x v="167"/>
    <s v="9"/>
    <n v="54680.800000000003"/>
    <n v="0"/>
  </r>
  <r>
    <x v="167"/>
    <s v="10"/>
    <n v="54708.4"/>
    <n v="0"/>
  </r>
  <r>
    <x v="167"/>
    <s v="11"/>
    <n v="54414.400000000001"/>
    <n v="0"/>
  </r>
  <r>
    <x v="167"/>
    <s v="12"/>
    <n v="54374.400000000001"/>
    <n v="0"/>
  </r>
  <r>
    <x v="167"/>
    <s v="13"/>
    <n v="54299.5"/>
    <n v="0"/>
  </r>
  <r>
    <x v="167"/>
    <s v="14"/>
    <n v="54481.9"/>
    <n v="0"/>
  </r>
  <r>
    <x v="167"/>
    <s v="15"/>
    <n v="54294.7"/>
    <n v="0"/>
  </r>
  <r>
    <x v="167"/>
    <s v="16"/>
    <n v="54396.6"/>
    <n v="0"/>
  </r>
  <r>
    <x v="167"/>
    <s v="17"/>
    <n v="54275.6"/>
    <n v="0"/>
  </r>
  <r>
    <x v="167"/>
    <s v="18"/>
    <n v="54359.5"/>
    <n v="0"/>
  </r>
  <r>
    <x v="167"/>
    <s v="19"/>
    <n v="68155.399999999994"/>
    <n v="0"/>
  </r>
  <r>
    <x v="167"/>
    <s v="20"/>
    <n v="68685.399999999994"/>
    <n v="0"/>
  </r>
  <r>
    <x v="167"/>
    <s v="21"/>
    <n v="68315.600000000006"/>
    <n v="0"/>
  </r>
  <r>
    <x v="167"/>
    <s v="22"/>
    <n v="58998.7"/>
    <n v="0"/>
  </r>
  <r>
    <x v="167"/>
    <s v="23"/>
    <n v="54210.6"/>
    <n v="0"/>
  </r>
  <r>
    <x v="168"/>
    <s v="0"/>
    <n v="54123.4"/>
    <n v="0"/>
  </r>
  <r>
    <x v="168"/>
    <s v="1"/>
    <n v="54434.1"/>
    <n v="0"/>
  </r>
  <r>
    <x v="168"/>
    <s v="2"/>
    <n v="54164.800000000003"/>
    <n v="0"/>
  </r>
  <r>
    <x v="168"/>
    <s v="3"/>
    <n v="53965.599999999999"/>
    <n v="0"/>
  </r>
  <r>
    <x v="168"/>
    <s v="4"/>
    <n v="54163.8"/>
    <n v="0"/>
  </r>
  <r>
    <x v="168"/>
    <s v="5"/>
    <n v="53993.7"/>
    <n v="0"/>
  </r>
  <r>
    <x v="168"/>
    <s v="6"/>
    <n v="54470.8"/>
    <n v="0"/>
  </r>
  <r>
    <x v="168"/>
    <s v="7"/>
    <n v="54472"/>
    <n v="0"/>
  </r>
  <r>
    <x v="168"/>
    <s v="8"/>
    <n v="54575.199999999997"/>
    <n v="0"/>
  </r>
  <r>
    <x v="168"/>
    <s v="9"/>
    <n v="54474.3"/>
    <n v="0"/>
  </r>
  <r>
    <x v="168"/>
    <s v="10"/>
    <n v="54400.800000000003"/>
    <n v="0"/>
  </r>
  <r>
    <x v="168"/>
    <s v="11"/>
    <n v="54530.9"/>
    <n v="0"/>
  </r>
  <r>
    <x v="168"/>
    <s v="12"/>
    <n v="54387.199999999997"/>
    <n v="0"/>
  </r>
  <r>
    <x v="168"/>
    <s v="13"/>
    <n v="54279.199999999997"/>
    <n v="0"/>
  </r>
  <r>
    <x v="168"/>
    <s v="14"/>
    <n v="54306.1"/>
    <n v="0"/>
  </r>
  <r>
    <x v="168"/>
    <s v="15"/>
    <n v="54292.6"/>
    <n v="0"/>
  </r>
  <r>
    <x v="168"/>
    <s v="16"/>
    <n v="54217.599999999999"/>
    <n v="0"/>
  </r>
  <r>
    <x v="168"/>
    <s v="17"/>
    <n v="54079.3"/>
    <n v="0"/>
  </r>
  <r>
    <x v="168"/>
    <s v="18"/>
    <n v="58976.7"/>
    <n v="0"/>
  </r>
  <r>
    <x v="168"/>
    <s v="19"/>
    <n v="67909.2"/>
    <n v="0"/>
  </r>
  <r>
    <x v="168"/>
    <s v="20"/>
    <n v="68448.800000000003"/>
    <n v="0"/>
  </r>
  <r>
    <x v="168"/>
    <s v="21"/>
    <n v="68337.2"/>
    <n v="0"/>
  </r>
  <r>
    <x v="168"/>
    <s v="22"/>
    <n v="67786.100000000006"/>
    <n v="0"/>
  </r>
  <r>
    <x v="168"/>
    <s v="23"/>
    <n v="67874.100000000006"/>
    <n v="0"/>
  </r>
  <r>
    <x v="169"/>
    <s v="0"/>
    <n v="67911.7"/>
    <n v="0"/>
  </r>
  <r>
    <x v="169"/>
    <s v="1"/>
    <n v="55161.599999999999"/>
    <n v="0"/>
  </r>
  <r>
    <x v="169"/>
    <s v="2"/>
    <n v="53781.2"/>
    <n v="0"/>
  </r>
  <r>
    <x v="169"/>
    <s v="3"/>
    <n v="54267.199999999997"/>
    <n v="0"/>
  </r>
  <r>
    <x v="169"/>
    <s v="4"/>
    <n v="54354.400000000001"/>
    <n v="0"/>
  </r>
  <r>
    <x v="169"/>
    <s v="5"/>
    <n v="54388"/>
    <n v="0"/>
  </r>
  <r>
    <x v="169"/>
    <s v="6"/>
    <n v="54231.6"/>
    <n v="0"/>
  </r>
  <r>
    <x v="169"/>
    <s v="7"/>
    <n v="52588.800000000003"/>
    <n v="0"/>
  </r>
  <r>
    <x v="169"/>
    <s v="8"/>
    <n v="52704"/>
    <n v="0"/>
  </r>
  <r>
    <x v="169"/>
    <s v="9"/>
    <n v="53472.3"/>
    <n v="0"/>
  </r>
  <r>
    <x v="169"/>
    <s v="10"/>
    <n v="53599.1"/>
    <n v="0"/>
  </r>
  <r>
    <x v="169"/>
    <s v="11"/>
    <n v="53506.3"/>
    <n v="0"/>
  </r>
  <r>
    <x v="169"/>
    <s v="12"/>
    <n v="53616.7"/>
    <n v="0"/>
  </r>
  <r>
    <x v="169"/>
    <s v="13"/>
    <n v="53437.9"/>
    <n v="0"/>
  </r>
  <r>
    <x v="169"/>
    <s v="14"/>
    <n v="53489"/>
    <n v="0"/>
  </r>
  <r>
    <x v="169"/>
    <s v="15"/>
    <n v="53507.199999999997"/>
    <n v="0"/>
  </r>
  <r>
    <x v="169"/>
    <s v="16"/>
    <n v="53446.400000000001"/>
    <n v="0"/>
  </r>
  <r>
    <x v="169"/>
    <s v="17"/>
    <n v="53409.4"/>
    <n v="0"/>
  </r>
  <r>
    <x v="169"/>
    <s v="18"/>
    <n v="60408.2"/>
    <n v="0"/>
  </r>
  <r>
    <x v="169"/>
    <s v="19"/>
    <n v="68233.3"/>
    <n v="0"/>
  </r>
  <r>
    <x v="169"/>
    <s v="20"/>
    <n v="68372.5"/>
    <n v="0"/>
  </r>
  <r>
    <x v="169"/>
    <s v="21"/>
    <n v="68563.3"/>
    <n v="0"/>
  </r>
  <r>
    <x v="169"/>
    <s v="22"/>
    <n v="68351.8"/>
    <n v="0"/>
  </r>
  <r>
    <x v="169"/>
    <s v="23"/>
    <n v="55408.4"/>
    <n v="0"/>
  </r>
  <r>
    <x v="170"/>
    <s v="0"/>
    <n v="66035"/>
    <n v="0"/>
  </r>
  <r>
    <x v="170"/>
    <s v="1"/>
    <n v="68480.399999999994"/>
    <n v="0"/>
  </r>
  <r>
    <x v="170"/>
    <s v="2"/>
    <n v="63960.6"/>
    <n v="0"/>
  </r>
  <r>
    <x v="170"/>
    <s v="3"/>
    <n v="54602.6"/>
    <n v="0"/>
  </r>
  <r>
    <x v="170"/>
    <s v="4"/>
    <n v="54636.7"/>
    <n v="0"/>
  </r>
  <r>
    <x v="170"/>
    <s v="5"/>
    <n v="54874.2"/>
    <n v="0"/>
  </r>
  <r>
    <x v="170"/>
    <s v="6"/>
    <n v="53885.2"/>
    <n v="0"/>
  </r>
  <r>
    <x v="170"/>
    <s v="7"/>
    <n v="54541.5"/>
    <n v="0"/>
  </r>
  <r>
    <x v="170"/>
    <s v="8"/>
    <n v="54135"/>
    <n v="0"/>
  </r>
  <r>
    <x v="170"/>
    <s v="9"/>
    <n v="54291.4"/>
    <n v="0"/>
  </r>
  <r>
    <x v="170"/>
    <s v="10"/>
    <n v="54342"/>
    <n v="0"/>
  </r>
  <r>
    <x v="170"/>
    <s v="11"/>
    <n v="54479.8"/>
    <n v="0"/>
  </r>
  <r>
    <x v="170"/>
    <s v="12"/>
    <n v="53853.9"/>
    <n v="0"/>
  </r>
  <r>
    <x v="170"/>
    <s v="13"/>
    <n v="60488.4"/>
    <n v="0"/>
  </r>
  <r>
    <x v="170"/>
    <s v="14"/>
    <n v="67838.8"/>
    <n v="0"/>
  </r>
  <r>
    <x v="170"/>
    <s v="15"/>
    <n v="68026.7"/>
    <n v="0"/>
  </r>
  <r>
    <x v="170"/>
    <s v="16"/>
    <n v="61715"/>
    <n v="0"/>
  </r>
  <r>
    <x v="170"/>
    <s v="17"/>
    <n v="55427.8"/>
    <n v="0"/>
  </r>
  <r>
    <x v="170"/>
    <s v="18"/>
    <n v="60231.1"/>
    <n v="0"/>
  </r>
  <r>
    <x v="170"/>
    <s v="19"/>
    <n v="60889.8"/>
    <n v="0"/>
  </r>
  <r>
    <x v="170"/>
    <s v="20"/>
    <n v="60854.1"/>
    <n v="0"/>
  </r>
  <r>
    <x v="170"/>
    <s v="21"/>
    <n v="60253.7"/>
    <n v="0"/>
  </r>
  <r>
    <x v="170"/>
    <s v="22"/>
    <n v="60576.2"/>
    <n v="0"/>
  </r>
  <r>
    <x v="170"/>
    <s v="23"/>
    <n v="60441.7"/>
    <n v="0"/>
  </r>
  <r>
    <x v="171"/>
    <s v="0"/>
    <n v="60427.5"/>
    <n v="0"/>
  </r>
  <r>
    <x v="171"/>
    <s v="1"/>
    <n v="60812.2"/>
    <n v="0"/>
  </r>
  <r>
    <x v="171"/>
    <s v="2"/>
    <n v="55505.2"/>
    <n v="0"/>
  </r>
  <r>
    <x v="171"/>
    <s v="3"/>
    <n v="54797.2"/>
    <n v="0"/>
  </r>
  <r>
    <x v="171"/>
    <s v="4"/>
    <n v="54821.9"/>
    <n v="0"/>
  </r>
  <r>
    <x v="171"/>
    <s v="5"/>
    <n v="54886.6"/>
    <n v="0"/>
  </r>
  <r>
    <x v="171"/>
    <s v="6"/>
    <n v="54793.2"/>
    <n v="0"/>
  </r>
  <r>
    <x v="171"/>
    <s v="7"/>
    <n v="54994.7"/>
    <n v="0"/>
  </r>
  <r>
    <x v="171"/>
    <s v="8"/>
    <n v="55012.3"/>
    <n v="0"/>
  </r>
  <r>
    <x v="171"/>
    <s v="9"/>
    <n v="55091.9"/>
    <n v="0"/>
  </r>
  <r>
    <x v="171"/>
    <s v="10"/>
    <n v="55096"/>
    <n v="0"/>
  </r>
  <r>
    <x v="171"/>
    <s v="11"/>
    <n v="55254.3"/>
    <n v="0"/>
  </r>
  <r>
    <x v="171"/>
    <s v="12"/>
    <n v="54784.5"/>
    <n v="0"/>
  </r>
  <r>
    <x v="171"/>
    <s v="13"/>
    <n v="56297"/>
    <n v="0"/>
  </r>
  <r>
    <x v="171"/>
    <s v="14"/>
    <n v="67074.7"/>
    <n v="0"/>
  </r>
  <r>
    <x v="171"/>
    <s v="15"/>
    <n v="68302.899999999994"/>
    <n v="0"/>
  </r>
  <r>
    <x v="171"/>
    <s v="16"/>
    <n v="57040.3"/>
    <n v="0"/>
  </r>
  <r>
    <x v="171"/>
    <s v="17"/>
    <n v="66773.3"/>
    <n v="0"/>
  </r>
  <r>
    <x v="171"/>
    <s v="18"/>
    <n v="63211.5"/>
    <n v="0"/>
  </r>
  <r>
    <x v="171"/>
    <s v="19"/>
    <n v="59961.3"/>
    <n v="0"/>
  </r>
  <r>
    <x v="171"/>
    <s v="20"/>
    <n v="59483.5"/>
    <n v="0"/>
  </r>
  <r>
    <x v="171"/>
    <s v="21"/>
    <n v="60313.7"/>
    <n v="0"/>
  </r>
  <r>
    <x v="171"/>
    <s v="22"/>
    <n v="60156.7"/>
    <n v="0"/>
  </r>
  <r>
    <x v="171"/>
    <s v="23"/>
    <n v="60004.6"/>
    <n v="0"/>
  </r>
  <r>
    <x v="172"/>
    <s v="0"/>
    <n v="59835.199999999997"/>
    <n v="0"/>
  </r>
  <r>
    <x v="172"/>
    <s v="1"/>
    <n v="59743.4"/>
    <n v="0"/>
  </r>
  <r>
    <x v="172"/>
    <s v="2"/>
    <n v="44203"/>
    <n v="0"/>
  </r>
  <r>
    <x v="172"/>
    <s v="3"/>
    <n v="43291.4"/>
    <n v="0"/>
  </r>
  <r>
    <x v="172"/>
    <s v="4"/>
    <n v="43365.3"/>
    <n v="0"/>
  </r>
  <r>
    <x v="172"/>
    <s v="5"/>
    <n v="44223.9"/>
    <n v="0"/>
  </r>
  <r>
    <x v="172"/>
    <s v="6"/>
    <n v="44736.2"/>
    <n v="0"/>
  </r>
  <r>
    <x v="172"/>
    <s v="7"/>
    <n v="44955.5"/>
    <n v="0"/>
  </r>
  <r>
    <x v="172"/>
    <s v="8"/>
    <n v="44858.9"/>
    <n v="0"/>
  </r>
  <r>
    <x v="172"/>
    <s v="9"/>
    <n v="45268"/>
    <n v="0"/>
  </r>
  <r>
    <x v="172"/>
    <s v="10"/>
    <n v="45309.5"/>
    <n v="0"/>
  </r>
  <r>
    <x v="172"/>
    <s v="11"/>
    <n v="51788"/>
    <n v="0"/>
  </r>
  <r>
    <x v="172"/>
    <s v="12"/>
    <n v="52241.7"/>
    <n v="0"/>
  </r>
  <r>
    <x v="172"/>
    <s v="13"/>
    <n v="55628.3"/>
    <n v="0"/>
  </r>
  <r>
    <x v="172"/>
    <s v="14"/>
    <n v="69025.5"/>
    <n v="0"/>
  </r>
  <r>
    <x v="172"/>
    <s v="15"/>
    <n v="69040.7"/>
    <n v="0"/>
  </r>
  <r>
    <x v="172"/>
    <s v="16"/>
    <n v="63041.9"/>
    <n v="0"/>
  </r>
  <r>
    <x v="172"/>
    <s v="17"/>
    <n v="66640.600000000006"/>
    <n v="0"/>
  </r>
  <r>
    <x v="172"/>
    <s v="18"/>
    <n v="66459.8"/>
    <n v="0"/>
  </r>
  <r>
    <x v="172"/>
    <s v="19"/>
    <n v="67316.899999999994"/>
    <n v="0"/>
  </r>
  <r>
    <x v="172"/>
    <s v="20"/>
    <n v="67646"/>
    <n v="0"/>
  </r>
  <r>
    <x v="172"/>
    <s v="21"/>
    <n v="67283.8"/>
    <n v="0"/>
  </r>
  <r>
    <x v="172"/>
    <s v="22"/>
    <n v="66344.5"/>
    <n v="0"/>
  </r>
  <r>
    <x v="172"/>
    <s v="23"/>
    <n v="67354.100000000006"/>
    <n v="0"/>
  </r>
  <r>
    <x v="173"/>
    <s v="0"/>
    <n v="53376.7"/>
    <n v="0"/>
  </r>
  <r>
    <x v="173"/>
    <s v="1"/>
    <n v="51354.6"/>
    <n v="0"/>
  </r>
  <r>
    <x v="173"/>
    <s v="2"/>
    <n v="51328.2"/>
    <n v="0"/>
  </r>
  <r>
    <x v="173"/>
    <s v="3"/>
    <n v="51429.599999999999"/>
    <n v="0"/>
  </r>
  <r>
    <x v="173"/>
    <s v="4"/>
    <n v="51400.7"/>
    <n v="0"/>
  </r>
  <r>
    <x v="173"/>
    <s v="5"/>
    <n v="51309.7"/>
    <n v="0"/>
  </r>
  <r>
    <x v="173"/>
    <s v="6"/>
    <n v="51311.6"/>
    <n v="0"/>
  </r>
  <r>
    <x v="173"/>
    <s v="7"/>
    <n v="51547.199999999997"/>
    <n v="0"/>
  </r>
  <r>
    <x v="173"/>
    <s v="8"/>
    <n v="51448.2"/>
    <n v="0"/>
  </r>
  <r>
    <x v="173"/>
    <s v="9"/>
    <n v="51506.1"/>
    <n v="0"/>
  </r>
  <r>
    <x v="173"/>
    <s v="10"/>
    <n v="51637"/>
    <n v="0"/>
  </r>
  <r>
    <x v="173"/>
    <s v="11"/>
    <n v="51415"/>
    <n v="0"/>
  </r>
  <r>
    <x v="173"/>
    <s v="12"/>
    <n v="51625.9"/>
    <n v="0"/>
  </r>
  <r>
    <x v="173"/>
    <s v="13"/>
    <n v="53890.9"/>
    <n v="0"/>
  </r>
  <r>
    <x v="173"/>
    <s v="14"/>
    <n v="64512.1"/>
    <n v="0"/>
  </r>
  <r>
    <x v="173"/>
    <s v="15"/>
    <n v="65775.8"/>
    <n v="0"/>
  </r>
  <r>
    <x v="173"/>
    <s v="16"/>
    <n v="67563.899999999994"/>
    <n v="0"/>
  </r>
  <r>
    <x v="173"/>
    <s v="17"/>
    <n v="67565.2"/>
    <n v="0"/>
  </r>
  <r>
    <x v="173"/>
    <s v="18"/>
    <n v="67649.8"/>
    <n v="0"/>
  </r>
  <r>
    <x v="173"/>
    <s v="19"/>
    <n v="67936.600000000006"/>
    <n v="0"/>
  </r>
  <r>
    <x v="173"/>
    <s v="20"/>
    <n v="68666.600000000006"/>
    <n v="0"/>
  </r>
  <r>
    <x v="173"/>
    <s v="21"/>
    <n v="68492.600000000006"/>
    <n v="0"/>
  </r>
  <r>
    <x v="173"/>
    <s v="22"/>
    <n v="68734.5"/>
    <n v="0"/>
  </r>
  <r>
    <x v="173"/>
    <s v="23"/>
    <n v="68945.7"/>
    <n v="0"/>
  </r>
  <r>
    <x v="174"/>
    <s v="0"/>
    <n v="68800.100000000006"/>
    <n v="0"/>
  </r>
  <r>
    <x v="174"/>
    <s v="1"/>
    <n v="68856.2"/>
    <n v="0"/>
  </r>
  <r>
    <x v="174"/>
    <s v="2"/>
    <n v="68556.7"/>
    <n v="0"/>
  </r>
  <r>
    <x v="174"/>
    <s v="3"/>
    <n v="68616.3"/>
    <n v="0"/>
  </r>
  <r>
    <x v="174"/>
    <s v="4"/>
    <n v="65400.6"/>
    <n v="0"/>
  </r>
  <r>
    <x v="174"/>
    <s v="5"/>
    <n v="52608.1"/>
    <n v="0"/>
  </r>
  <r>
    <x v="174"/>
    <s v="6"/>
    <n v="52046.6"/>
    <n v="0"/>
  </r>
  <r>
    <x v="174"/>
    <s v="7"/>
    <n v="52071"/>
    <n v="0"/>
  </r>
  <r>
    <x v="174"/>
    <s v="8"/>
    <n v="51176.800000000003"/>
    <n v="0"/>
  </r>
  <r>
    <x v="174"/>
    <s v="9"/>
    <n v="64620.1"/>
    <n v="0"/>
  </r>
  <r>
    <x v="174"/>
    <s v="10"/>
    <n v="67994.399999999994"/>
    <n v="0"/>
  </r>
  <r>
    <x v="174"/>
    <s v="11"/>
    <n v="68105.600000000006"/>
    <n v="0"/>
  </r>
  <r>
    <x v="174"/>
    <s v="12"/>
    <n v="68086.2"/>
    <n v="0"/>
  </r>
  <r>
    <x v="174"/>
    <s v="13"/>
    <n v="68096.3"/>
    <n v="0"/>
  </r>
  <r>
    <x v="174"/>
    <s v="14"/>
    <n v="68128.600000000006"/>
    <n v="0"/>
  </r>
  <r>
    <x v="174"/>
    <s v="15"/>
    <n v="68070.5"/>
    <n v="0"/>
  </r>
  <r>
    <x v="174"/>
    <s v="16"/>
    <n v="68193.600000000006"/>
    <n v="0"/>
  </r>
  <r>
    <x v="174"/>
    <s v="17"/>
    <n v="67993.8"/>
    <n v="0"/>
  </r>
  <r>
    <x v="174"/>
    <s v="18"/>
    <n v="68166.7"/>
    <n v="0"/>
  </r>
  <r>
    <x v="174"/>
    <s v="19"/>
    <n v="67940.7"/>
    <n v="0"/>
  </r>
  <r>
    <x v="174"/>
    <s v="20"/>
    <n v="67767.8"/>
    <n v="0"/>
  </r>
  <r>
    <x v="174"/>
    <s v="21"/>
    <n v="67230.899999999994"/>
    <n v="0"/>
  </r>
  <r>
    <x v="174"/>
    <s v="22"/>
    <n v="66749.7"/>
    <n v="0"/>
  </r>
  <r>
    <x v="174"/>
    <s v="23"/>
    <n v="68452.3"/>
    <n v="0"/>
  </r>
  <r>
    <x v="175"/>
    <s v="0"/>
    <n v="59360.7"/>
    <n v="0"/>
  </r>
  <r>
    <x v="175"/>
    <s v="1"/>
    <n v="67469.8"/>
    <n v="0"/>
  </r>
  <r>
    <x v="175"/>
    <s v="2"/>
    <n v="68631.3"/>
    <n v="0"/>
  </r>
  <r>
    <x v="175"/>
    <s v="3"/>
    <n v="68658.7"/>
    <n v="0"/>
  </r>
  <r>
    <x v="175"/>
    <s v="4"/>
    <n v="65359.5"/>
    <n v="0"/>
  </r>
  <r>
    <x v="175"/>
    <s v="5"/>
    <n v="54794.3"/>
    <n v="0"/>
  </r>
  <r>
    <x v="175"/>
    <s v="6"/>
    <n v="55126.2"/>
    <n v="0"/>
  </r>
  <r>
    <x v="175"/>
    <s v="7"/>
    <n v="54917.9"/>
    <n v="0"/>
  </r>
  <r>
    <x v="175"/>
    <s v="8"/>
    <n v="54900.7"/>
    <n v="0"/>
  </r>
  <r>
    <x v="175"/>
    <s v="9"/>
    <n v="54998"/>
    <n v="0"/>
  </r>
  <r>
    <x v="175"/>
    <s v="10"/>
    <n v="55013.7"/>
    <n v="0"/>
  </r>
  <r>
    <x v="175"/>
    <s v="11"/>
    <n v="69033.8"/>
    <n v="0"/>
  </r>
  <r>
    <x v="175"/>
    <s v="12"/>
    <n v="69289.399999999994"/>
    <n v="0"/>
  </r>
  <r>
    <x v="175"/>
    <s v="13"/>
    <n v="69339.7"/>
    <n v="0"/>
  </r>
  <r>
    <x v="175"/>
    <s v="14"/>
    <n v="69219.199999999997"/>
    <n v="0"/>
  </r>
  <r>
    <x v="175"/>
    <s v="15"/>
    <n v="69116.800000000003"/>
    <n v="0"/>
  </r>
  <r>
    <x v="175"/>
    <s v="16"/>
    <n v="69204.100000000006"/>
    <n v="0"/>
  </r>
  <r>
    <x v="175"/>
    <s v="17"/>
    <n v="69094.3"/>
    <n v="0"/>
  </r>
  <r>
    <x v="175"/>
    <s v="18"/>
    <n v="69176.2"/>
    <n v="0"/>
  </r>
  <r>
    <x v="175"/>
    <s v="19"/>
    <n v="69250.2"/>
    <n v="0"/>
  </r>
  <r>
    <x v="175"/>
    <s v="20"/>
    <n v="69165.5"/>
    <n v="0"/>
  </r>
  <r>
    <x v="175"/>
    <s v="21"/>
    <n v="68870.399999999994"/>
    <n v="0"/>
  </r>
  <r>
    <x v="175"/>
    <s v="22"/>
    <n v="68845"/>
    <n v="0"/>
  </r>
  <r>
    <x v="175"/>
    <s v="23"/>
    <n v="68444.899999999994"/>
    <n v="0"/>
  </r>
  <r>
    <x v="176"/>
    <s v="0"/>
    <n v="67397.100000000006"/>
    <n v="0"/>
  </r>
  <r>
    <x v="176"/>
    <s v="1"/>
    <n v="67862.399999999994"/>
    <n v="0"/>
  </r>
  <r>
    <x v="176"/>
    <s v="2"/>
    <n v="67869.2"/>
    <n v="0"/>
  </r>
  <r>
    <x v="176"/>
    <s v="3"/>
    <n v="67936.600000000006"/>
    <n v="0"/>
  </r>
  <r>
    <x v="176"/>
    <s v="4"/>
    <n v="68270.899999999994"/>
    <n v="0"/>
  </r>
  <r>
    <x v="176"/>
    <s v="5"/>
    <n v="68412.7"/>
    <n v="0"/>
  </r>
  <r>
    <x v="176"/>
    <s v="6"/>
    <n v="51327.1"/>
    <n v="0"/>
  </r>
  <r>
    <x v="176"/>
    <s v="7"/>
    <n v="51251.1"/>
    <n v="0"/>
  </r>
  <r>
    <x v="176"/>
    <s v="8"/>
    <n v="67983.899999999994"/>
    <n v="0"/>
  </r>
  <r>
    <x v="176"/>
    <s v="9"/>
    <n v="67974.3"/>
    <n v="0"/>
  </r>
  <r>
    <x v="176"/>
    <s v="10"/>
    <n v="68256.899999999994"/>
    <n v="0"/>
  </r>
  <r>
    <x v="176"/>
    <s v="11"/>
    <n v="68210.399999999994"/>
    <n v="0"/>
  </r>
  <r>
    <x v="176"/>
    <s v="12"/>
    <n v="68134.5"/>
    <n v="0"/>
  </r>
  <r>
    <x v="176"/>
    <s v="13"/>
    <n v="68035"/>
    <n v="0"/>
  </r>
  <r>
    <x v="176"/>
    <s v="14"/>
    <n v="68071"/>
    <n v="0"/>
  </r>
  <r>
    <x v="176"/>
    <s v="15"/>
    <n v="67966"/>
    <n v="0"/>
  </r>
  <r>
    <x v="176"/>
    <s v="16"/>
    <n v="68033.2"/>
    <n v="0"/>
  </r>
  <r>
    <x v="176"/>
    <s v="17"/>
    <n v="68126.8"/>
    <n v="0"/>
  </r>
  <r>
    <x v="176"/>
    <s v="18"/>
    <n v="68239.100000000006"/>
    <n v="0"/>
  </r>
  <r>
    <x v="176"/>
    <s v="19"/>
    <n v="68143.3"/>
    <n v="0"/>
  </r>
  <r>
    <x v="176"/>
    <s v="20"/>
    <n v="67945.8"/>
    <n v="0"/>
  </r>
  <r>
    <x v="176"/>
    <s v="21"/>
    <n v="67415.8"/>
    <n v="0"/>
  </r>
  <r>
    <x v="176"/>
    <s v="22"/>
    <n v="66694.2"/>
    <n v="0"/>
  </r>
  <r>
    <x v="176"/>
    <s v="23"/>
    <n v="67883.3"/>
    <n v="0"/>
  </r>
  <r>
    <x v="177"/>
    <s v="0"/>
    <n v="63372.5"/>
    <n v="0"/>
  </r>
  <r>
    <x v="177"/>
    <s v="1"/>
    <n v="67449"/>
    <n v="0"/>
  </r>
  <r>
    <x v="177"/>
    <s v="2"/>
    <n v="67426.399999999994"/>
    <n v="0"/>
  </r>
  <r>
    <x v="177"/>
    <s v="3"/>
    <n v="67513"/>
    <n v="0"/>
  </r>
  <r>
    <x v="177"/>
    <s v="4"/>
    <n v="67689.3"/>
    <n v="0"/>
  </r>
  <r>
    <x v="177"/>
    <s v="5"/>
    <n v="62505.3"/>
    <n v="0"/>
  </r>
  <r>
    <x v="177"/>
    <s v="6"/>
    <n v="51080.7"/>
    <n v="0"/>
  </r>
  <r>
    <x v="177"/>
    <s v="7"/>
    <n v="51073.4"/>
    <n v="0"/>
  </r>
  <r>
    <x v="177"/>
    <s v="8"/>
    <n v="67273.600000000006"/>
    <n v="0"/>
  </r>
  <r>
    <x v="177"/>
    <s v="9"/>
    <n v="67781.2"/>
    <n v="0"/>
  </r>
  <r>
    <x v="177"/>
    <s v="10"/>
    <n v="67673"/>
    <n v="0"/>
  </r>
  <r>
    <x v="177"/>
    <s v="11"/>
    <n v="67765.600000000006"/>
    <n v="0"/>
  </r>
  <r>
    <x v="177"/>
    <s v="12"/>
    <n v="67494.5"/>
    <n v="0"/>
  </r>
  <r>
    <x v="177"/>
    <s v="13"/>
    <n v="67473"/>
    <n v="0"/>
  </r>
  <r>
    <x v="177"/>
    <s v="14"/>
    <n v="67598"/>
    <n v="0"/>
  </r>
  <r>
    <x v="177"/>
    <s v="15"/>
    <n v="67735.600000000006"/>
    <n v="0"/>
  </r>
  <r>
    <x v="177"/>
    <s v="16"/>
    <n v="67801.899999999994"/>
    <n v="0"/>
  </r>
  <r>
    <x v="177"/>
    <s v="17"/>
    <n v="67864.2"/>
    <n v="0"/>
  </r>
  <r>
    <x v="177"/>
    <s v="18"/>
    <n v="67868.100000000006"/>
    <n v="0"/>
  </r>
  <r>
    <x v="177"/>
    <s v="19"/>
    <n v="67846.5"/>
    <n v="0"/>
  </r>
  <r>
    <x v="177"/>
    <s v="20"/>
    <n v="67932.100000000006"/>
    <n v="0"/>
  </r>
  <r>
    <x v="177"/>
    <s v="21"/>
    <n v="67813.7"/>
    <n v="0"/>
  </r>
  <r>
    <x v="177"/>
    <s v="22"/>
    <n v="67542.5"/>
    <n v="0"/>
  </r>
  <r>
    <x v="177"/>
    <s v="23"/>
    <n v="67307.100000000006"/>
    <n v="0"/>
  </r>
  <r>
    <x v="178"/>
    <s v="0"/>
    <n v="52084.2"/>
    <n v="0"/>
  </r>
  <r>
    <x v="178"/>
    <s v="1"/>
    <n v="51594.5"/>
    <n v="0"/>
  </r>
  <r>
    <x v="178"/>
    <s v="2"/>
    <n v="51426.8"/>
    <n v="0"/>
  </r>
  <r>
    <x v="178"/>
    <s v="3"/>
    <n v="51616.800000000003"/>
    <n v="0"/>
  </r>
  <r>
    <x v="178"/>
    <s v="4"/>
    <n v="51703.5"/>
    <n v="0"/>
  </r>
  <r>
    <x v="178"/>
    <s v="5"/>
    <n v="51655.5"/>
    <n v="0"/>
  </r>
  <r>
    <x v="178"/>
    <s v="6"/>
    <n v="51600.9"/>
    <n v="0"/>
  </r>
  <r>
    <x v="178"/>
    <s v="7"/>
    <n v="51449.2"/>
    <n v="0"/>
  </r>
  <r>
    <x v="178"/>
    <s v="8"/>
    <n v="51860.2"/>
    <n v="0"/>
  </r>
  <r>
    <x v="178"/>
    <s v="9"/>
    <n v="53523.4"/>
    <n v="0"/>
  </r>
  <r>
    <x v="178"/>
    <s v="10"/>
    <n v="53570.400000000001"/>
    <n v="0"/>
  </r>
  <r>
    <x v="178"/>
    <s v="11"/>
    <n v="53486.1"/>
    <n v="0"/>
  </r>
  <r>
    <x v="178"/>
    <s v="12"/>
    <n v="53481.3"/>
    <n v="0"/>
  </r>
  <r>
    <x v="178"/>
    <s v="13"/>
    <n v="53921.3"/>
    <n v="0"/>
  </r>
  <r>
    <x v="178"/>
    <s v="14"/>
    <n v="54309.7"/>
    <n v="0"/>
  </r>
  <r>
    <x v="178"/>
    <s v="15"/>
    <n v="45050.5"/>
    <n v="0"/>
  </r>
  <r>
    <x v="178"/>
    <s v="16"/>
    <n v="52725.8"/>
    <n v="0"/>
  </r>
  <r>
    <x v="178"/>
    <s v="17"/>
    <n v="69229.100000000006"/>
    <n v="0"/>
  </r>
  <r>
    <x v="178"/>
    <s v="18"/>
    <n v="55492.7"/>
    <n v="0"/>
  </r>
  <r>
    <x v="178"/>
    <s v="19"/>
    <n v="53853.4"/>
    <n v="0"/>
  </r>
  <r>
    <x v="178"/>
    <s v="20"/>
    <n v="53799.4"/>
    <n v="0"/>
  </r>
  <r>
    <x v="178"/>
    <s v="21"/>
    <n v="53981.599999999999"/>
    <n v="0"/>
  </r>
  <r>
    <x v="178"/>
    <s v="22"/>
    <n v="53651.5"/>
    <n v="0"/>
  </r>
  <r>
    <x v="178"/>
    <s v="23"/>
    <n v="53408.2"/>
    <n v="0"/>
  </r>
  <r>
    <x v="179"/>
    <s v="0"/>
    <n v="45102"/>
    <n v="0"/>
  </r>
  <r>
    <x v="179"/>
    <s v="1"/>
    <n v="44607.8"/>
    <n v="0"/>
  </r>
  <r>
    <x v="179"/>
    <s v="2"/>
    <n v="44587.6"/>
    <n v="0"/>
  </r>
  <r>
    <x v="179"/>
    <s v="3"/>
    <n v="44548.6"/>
    <n v="0"/>
  </r>
  <r>
    <x v="179"/>
    <s v="4"/>
    <n v="44588.7"/>
    <n v="0"/>
  </r>
  <r>
    <x v="179"/>
    <s v="5"/>
    <n v="44704.3"/>
    <n v="0"/>
  </r>
  <r>
    <x v="179"/>
    <s v="6"/>
    <n v="44526.2"/>
    <n v="0"/>
  </r>
  <r>
    <x v="179"/>
    <s v="7"/>
    <n v="44789.8"/>
    <n v="0"/>
  </r>
  <r>
    <x v="179"/>
    <s v="8"/>
    <n v="44654.1"/>
    <n v="0"/>
  </r>
  <r>
    <x v="179"/>
    <s v="9"/>
    <n v="44672.5"/>
    <n v="0"/>
  </r>
  <r>
    <x v="179"/>
    <s v="10"/>
    <n v="44554.9"/>
    <n v="0"/>
  </r>
  <r>
    <x v="179"/>
    <s v="11"/>
    <n v="44762.1"/>
    <n v="0"/>
  </r>
  <r>
    <x v="179"/>
    <s v="12"/>
    <n v="44163"/>
    <n v="0"/>
  </r>
  <r>
    <x v="179"/>
    <s v="13"/>
    <n v="43655.8"/>
    <n v="0"/>
  </r>
  <r>
    <x v="179"/>
    <s v="14"/>
    <n v="44426.7"/>
    <n v="0"/>
  </r>
  <r>
    <x v="179"/>
    <s v="15"/>
    <n v="44179.5"/>
    <n v="0"/>
  </r>
  <r>
    <x v="179"/>
    <s v="16"/>
    <n v="44193.3"/>
    <n v="0"/>
  </r>
  <r>
    <x v="179"/>
    <s v="17"/>
    <n v="44114.400000000001"/>
    <n v="0"/>
  </r>
  <r>
    <x v="179"/>
    <s v="18"/>
    <n v="44052.9"/>
    <n v="0"/>
  </r>
  <r>
    <x v="179"/>
    <s v="19"/>
    <n v="44157"/>
    <n v="0"/>
  </r>
  <r>
    <x v="179"/>
    <s v="20"/>
    <n v="44182.9"/>
    <n v="0"/>
  </r>
  <r>
    <x v="179"/>
    <s v="21"/>
    <n v="47641.7"/>
    <n v="0"/>
  </r>
  <r>
    <x v="179"/>
    <s v="22"/>
    <n v="58663.1"/>
    <n v="0"/>
  </r>
  <r>
    <x v="179"/>
    <s v="23"/>
    <n v="58453.5"/>
    <n v="0"/>
  </r>
  <r>
    <x v="180"/>
    <s v="0"/>
    <n v="46555.5"/>
    <n v="0"/>
  </r>
  <r>
    <x v="180"/>
    <s v="1"/>
    <n v="44919.1"/>
    <n v="0"/>
  </r>
  <r>
    <x v="180"/>
    <s v="2"/>
    <n v="44966"/>
    <n v="0"/>
  </r>
  <r>
    <x v="180"/>
    <s v="3"/>
    <n v="44887.4"/>
    <n v="0"/>
  </r>
  <r>
    <x v="180"/>
    <s v="4"/>
    <n v="44987.1"/>
    <n v="0"/>
  </r>
  <r>
    <x v="180"/>
    <s v="5"/>
    <n v="44979.199999999997"/>
    <n v="0"/>
  </r>
  <r>
    <x v="180"/>
    <s v="6"/>
    <n v="44933.1"/>
    <n v="0"/>
  </r>
  <r>
    <x v="180"/>
    <s v="7"/>
    <n v="45165.9"/>
    <n v="0"/>
  </r>
  <r>
    <x v="180"/>
    <s v="8"/>
    <n v="45003.6"/>
    <n v="0"/>
  </r>
  <r>
    <x v="180"/>
    <s v="9"/>
    <n v="45054.7"/>
    <n v="0"/>
  </r>
  <r>
    <x v="180"/>
    <s v="10"/>
    <n v="45186"/>
    <n v="0"/>
  </r>
  <r>
    <x v="180"/>
    <s v="11"/>
    <n v="45147.8"/>
    <n v="0"/>
  </r>
  <r>
    <x v="180"/>
    <s v="12"/>
    <n v="45212.9"/>
    <n v="0"/>
  </r>
  <r>
    <x v="180"/>
    <s v="13"/>
    <n v="43945.599999999999"/>
    <n v="0"/>
  </r>
  <r>
    <x v="180"/>
    <s v="14"/>
    <n v="43576.2"/>
    <n v="0"/>
  </r>
  <r>
    <x v="180"/>
    <s v="15"/>
    <n v="44326.2"/>
    <n v="0"/>
  </r>
  <r>
    <x v="180"/>
    <s v="16"/>
    <n v="43420.9"/>
    <n v="0"/>
  </r>
  <r>
    <x v="180"/>
    <s v="17"/>
    <n v="43910.5"/>
    <n v="0"/>
  </r>
  <r>
    <x v="180"/>
    <s v="18"/>
    <n v="43860.3"/>
    <n v="0"/>
  </r>
  <r>
    <x v="180"/>
    <s v="19"/>
    <n v="43908.5"/>
    <n v="0"/>
  </r>
  <r>
    <x v="180"/>
    <s v="20"/>
    <n v="43936.2"/>
    <n v="0"/>
  </r>
  <r>
    <x v="180"/>
    <s v="21"/>
    <n v="46257.5"/>
    <n v="0"/>
  </r>
  <r>
    <x v="180"/>
    <s v="22"/>
    <n v="58848.9"/>
    <n v="0"/>
  </r>
  <r>
    <x v="180"/>
    <s v="23"/>
    <n v="59294.3"/>
    <n v="0"/>
  </r>
  <r>
    <x v="181"/>
    <s v="0"/>
    <n v="54956.7"/>
    <n v="0"/>
  </r>
  <r>
    <x v="181"/>
    <s v="1"/>
    <n v="54398.1"/>
    <n v="0"/>
  </r>
  <r>
    <x v="181"/>
    <s v="2"/>
    <n v="54648.9"/>
    <n v="0"/>
  </r>
  <r>
    <x v="181"/>
    <s v="3"/>
    <n v="54846.2"/>
    <n v="0"/>
  </r>
  <r>
    <x v="181"/>
    <s v="4"/>
    <n v="54931.7"/>
    <n v="0"/>
  </r>
  <r>
    <x v="181"/>
    <s v="5"/>
    <n v="54886.3"/>
    <n v="0"/>
  </r>
  <r>
    <x v="181"/>
    <s v="6"/>
    <n v="55075.3"/>
    <n v="0"/>
  </r>
  <r>
    <x v="181"/>
    <s v="7"/>
    <n v="54307.6"/>
    <n v="0"/>
  </r>
  <r>
    <x v="181"/>
    <s v="8"/>
    <n v="54070.9"/>
    <n v="0"/>
  </r>
  <r>
    <x v="181"/>
    <s v="9"/>
    <n v="54091.1"/>
    <n v="0"/>
  </r>
  <r>
    <x v="181"/>
    <s v="10"/>
    <n v="53985.9"/>
    <n v="0"/>
  </r>
  <r>
    <x v="181"/>
    <s v="11"/>
    <n v="53602.1"/>
    <n v="0"/>
  </r>
  <r>
    <x v="181"/>
    <s v="12"/>
    <n v="53607.5"/>
    <n v="0"/>
  </r>
  <r>
    <x v="181"/>
    <s v="13"/>
    <n v="53861.599999999999"/>
    <n v="0"/>
  </r>
  <r>
    <x v="181"/>
    <s v="14"/>
    <n v="53770.6"/>
    <n v="0"/>
  </r>
  <r>
    <x v="181"/>
    <s v="15"/>
    <n v="53870.8"/>
    <n v="0"/>
  </r>
  <r>
    <x v="181"/>
    <s v="16"/>
    <n v="53755.7"/>
    <n v="0"/>
  </r>
  <r>
    <x v="181"/>
    <s v="17"/>
    <n v="53565.3"/>
    <n v="0"/>
  </r>
  <r>
    <x v="181"/>
    <s v="18"/>
    <n v="53764.2"/>
    <n v="0"/>
  </r>
  <r>
    <x v="181"/>
    <s v="19"/>
    <n v="54058.6"/>
    <n v="0"/>
  </r>
  <r>
    <x v="181"/>
    <s v="20"/>
    <n v="54422.400000000001"/>
    <n v="0"/>
  </r>
  <r>
    <x v="181"/>
    <s v="21"/>
    <n v="54713.7"/>
    <n v="0"/>
  </r>
  <r>
    <x v="181"/>
    <s v="22"/>
    <n v="54603"/>
    <n v="0"/>
  </r>
  <r>
    <x v="181"/>
    <s v="23"/>
    <n v="54558.3"/>
    <n v="0"/>
  </r>
  <r>
    <x v="182"/>
    <s v="0"/>
    <n v="54533.9"/>
    <n v="0"/>
  </r>
  <r>
    <x v="182"/>
    <s v="1"/>
    <n v="54721.599999999999"/>
    <n v="0"/>
  </r>
  <r>
    <x v="182"/>
    <s v="2"/>
    <n v="54910.5"/>
    <n v="0"/>
  </r>
  <r>
    <x v="182"/>
    <s v="3"/>
    <n v="54514.6"/>
    <n v="0"/>
  </r>
  <r>
    <x v="182"/>
    <s v="4"/>
    <n v="54700.9"/>
    <n v="0"/>
  </r>
  <r>
    <x v="182"/>
    <s v="5"/>
    <n v="54876.4"/>
    <n v="0"/>
  </r>
  <r>
    <x v="182"/>
    <s v="6"/>
    <n v="54872.1"/>
    <n v="0"/>
  </r>
  <r>
    <x v="182"/>
    <s v="7"/>
    <n v="55086.7"/>
    <n v="0"/>
  </r>
  <r>
    <x v="182"/>
    <s v="8"/>
    <n v="54862.400000000001"/>
    <n v="0"/>
  </r>
  <r>
    <x v="182"/>
    <s v="9"/>
    <n v="54996.9"/>
    <n v="0"/>
  </r>
  <r>
    <x v="182"/>
    <s v="10"/>
    <n v="54978.400000000001"/>
    <n v="0"/>
  </r>
  <r>
    <x v="182"/>
    <s v="11"/>
    <n v="54898.1"/>
    <n v="0"/>
  </r>
  <r>
    <x v="182"/>
    <s v="12"/>
    <n v="54932.9"/>
    <n v="0"/>
  </r>
  <r>
    <x v="182"/>
    <s v="13"/>
    <n v="54818.8"/>
    <n v="0"/>
  </r>
  <r>
    <x v="182"/>
    <s v="14"/>
    <n v="54922.7"/>
    <n v="0"/>
  </r>
  <r>
    <x v="182"/>
    <s v="15"/>
    <n v="54857.7"/>
    <n v="0"/>
  </r>
  <r>
    <x v="182"/>
    <s v="16"/>
    <n v="54945.9"/>
    <n v="0"/>
  </r>
  <r>
    <x v="182"/>
    <s v="17"/>
    <n v="54823.199999999997"/>
    <n v="0"/>
  </r>
  <r>
    <x v="182"/>
    <s v="18"/>
    <n v="54897.9"/>
    <n v="0"/>
  </r>
  <r>
    <x v="182"/>
    <s v="19"/>
    <n v="54926.8"/>
    <n v="0"/>
  </r>
  <r>
    <x v="182"/>
    <s v="20"/>
    <n v="54808.7"/>
    <n v="0"/>
  </r>
  <r>
    <x v="182"/>
    <s v="21"/>
    <n v="54714.9"/>
    <n v="0"/>
  </r>
  <r>
    <x v="182"/>
    <s v="22"/>
    <n v="54631.6"/>
    <n v="0"/>
  </r>
  <r>
    <x v="182"/>
    <s v="23"/>
    <n v="54423.6"/>
    <n v="0"/>
  </r>
  <r>
    <x v="183"/>
    <s v="0"/>
    <n v="54418.2"/>
    <n v="0"/>
  </r>
  <r>
    <x v="183"/>
    <s v="1"/>
    <n v="54396.9"/>
    <n v="0"/>
  </r>
  <r>
    <x v="183"/>
    <s v="2"/>
    <n v="54368.9"/>
    <n v="0"/>
  </r>
  <r>
    <x v="183"/>
    <s v="3"/>
    <n v="54408.2"/>
    <n v="0"/>
  </r>
  <r>
    <x v="183"/>
    <s v="4"/>
    <n v="54719.6"/>
    <n v="0"/>
  </r>
  <r>
    <x v="183"/>
    <s v="5"/>
    <n v="54708.1"/>
    <n v="0"/>
  </r>
  <r>
    <x v="183"/>
    <s v="6"/>
    <n v="54686.9"/>
    <n v="0"/>
  </r>
  <r>
    <x v="183"/>
    <s v="7"/>
    <n v="54837.1"/>
    <n v="0"/>
  </r>
  <r>
    <x v="183"/>
    <s v="8"/>
    <n v="54757.4"/>
    <n v="0"/>
  </r>
  <r>
    <x v="183"/>
    <s v="9"/>
    <n v="54248.1"/>
    <n v="0"/>
  </r>
  <r>
    <x v="183"/>
    <s v="10"/>
    <n v="54227.3"/>
    <n v="0"/>
  </r>
  <r>
    <x v="183"/>
    <s v="11"/>
    <n v="54366.6"/>
    <n v="0"/>
  </r>
  <r>
    <x v="183"/>
    <s v="12"/>
    <n v="54482"/>
    <n v="0"/>
  </r>
  <r>
    <x v="183"/>
    <s v="13"/>
    <n v="54385.8"/>
    <n v="0"/>
  </r>
  <r>
    <x v="183"/>
    <s v="14"/>
    <n v="53916.5"/>
    <n v="0"/>
  </r>
  <r>
    <x v="183"/>
    <s v="15"/>
    <n v="53570.8"/>
    <n v="0"/>
  </r>
  <r>
    <x v="183"/>
    <s v="16"/>
    <n v="53768.4"/>
    <n v="0"/>
  </r>
  <r>
    <x v="183"/>
    <s v="17"/>
    <n v="53729.5"/>
    <n v="0"/>
  </r>
  <r>
    <x v="183"/>
    <s v="18"/>
    <n v="53527.3"/>
    <n v="0"/>
  </r>
  <r>
    <x v="183"/>
    <s v="19"/>
    <n v="53785.9"/>
    <n v="0"/>
  </r>
  <r>
    <x v="183"/>
    <s v="20"/>
    <n v="53739.6"/>
    <n v="0"/>
  </r>
  <r>
    <x v="183"/>
    <s v="21"/>
    <n v="53464.6"/>
    <n v="0"/>
  </r>
  <r>
    <x v="183"/>
    <s v="22"/>
    <n v="54047.7"/>
    <n v="0"/>
  </r>
  <r>
    <x v="183"/>
    <s v="23"/>
    <n v="54660.800000000003"/>
    <n v="0"/>
  </r>
  <r>
    <x v="184"/>
    <s v="0"/>
    <n v="54356.6"/>
    <n v="0"/>
  </r>
  <r>
    <x v="184"/>
    <s v="1"/>
    <n v="54369"/>
    <n v="0"/>
  </r>
  <r>
    <x v="184"/>
    <s v="2"/>
    <n v="54412.3"/>
    <n v="0"/>
  </r>
  <r>
    <x v="184"/>
    <s v="3"/>
    <n v="54623.7"/>
    <n v="0"/>
  </r>
  <r>
    <x v="184"/>
    <s v="4"/>
    <n v="54731.9"/>
    <n v="0"/>
  </r>
  <r>
    <x v="184"/>
    <s v="5"/>
    <n v="54531.7"/>
    <n v="0"/>
  </r>
  <r>
    <x v="184"/>
    <s v="6"/>
    <n v="54529.3"/>
    <n v="0"/>
  </r>
  <r>
    <x v="184"/>
    <s v="7"/>
    <n v="54817.599999999999"/>
    <n v="0"/>
  </r>
  <r>
    <x v="184"/>
    <s v="8"/>
    <n v="54460.5"/>
    <n v="0"/>
  </r>
  <r>
    <x v="184"/>
    <s v="9"/>
    <n v="54546.1"/>
    <n v="0"/>
  </r>
  <r>
    <x v="184"/>
    <s v="10"/>
    <n v="54516.5"/>
    <n v="0"/>
  </r>
  <r>
    <x v="184"/>
    <s v="11"/>
    <n v="54596"/>
    <n v="0"/>
  </r>
  <r>
    <x v="184"/>
    <s v="12"/>
    <n v="54603.5"/>
    <n v="0"/>
  </r>
  <r>
    <x v="184"/>
    <s v="13"/>
    <n v="54454.8"/>
    <n v="0"/>
  </r>
  <r>
    <x v="184"/>
    <s v="14"/>
    <n v="54564.9"/>
    <n v="0"/>
  </r>
  <r>
    <x v="184"/>
    <s v="15"/>
    <n v="54537.5"/>
    <n v="0"/>
  </r>
  <r>
    <x v="184"/>
    <s v="16"/>
    <n v="54593.7"/>
    <n v="0"/>
  </r>
  <r>
    <x v="184"/>
    <s v="17"/>
    <n v="54382.2"/>
    <n v="0"/>
  </r>
  <r>
    <x v="184"/>
    <s v="18"/>
    <n v="54673.9"/>
    <n v="0"/>
  </r>
  <r>
    <x v="184"/>
    <s v="19"/>
    <n v="54701.5"/>
    <n v="0"/>
  </r>
  <r>
    <x v="184"/>
    <s v="20"/>
    <n v="54643.4"/>
    <n v="0"/>
  </r>
  <r>
    <x v="184"/>
    <s v="21"/>
    <n v="54303.7"/>
    <n v="0"/>
  </r>
  <r>
    <x v="184"/>
    <s v="22"/>
    <n v="54552.9"/>
    <n v="0"/>
  </r>
  <r>
    <x v="184"/>
    <s v="23"/>
    <n v="54679.6"/>
    <n v="0"/>
  </r>
  <r>
    <x v="185"/>
    <s v="0"/>
    <n v="54380.5"/>
    <n v="0"/>
  </r>
  <r>
    <x v="185"/>
    <s v="1"/>
    <n v="54306.7"/>
    <n v="0"/>
  </r>
  <r>
    <x v="185"/>
    <s v="2"/>
    <n v="54629.9"/>
    <n v="0"/>
  </r>
  <r>
    <x v="185"/>
    <s v="3"/>
    <n v="54794.8"/>
    <n v="0"/>
  </r>
  <r>
    <x v="185"/>
    <s v="4"/>
    <n v="54893"/>
    <n v="0"/>
  </r>
  <r>
    <x v="185"/>
    <s v="5"/>
    <n v="54725.4"/>
    <n v="0"/>
  </r>
  <r>
    <x v="185"/>
    <s v="6"/>
    <n v="54756.5"/>
    <n v="0"/>
  </r>
  <r>
    <x v="185"/>
    <s v="7"/>
    <n v="54689.2"/>
    <n v="0"/>
  </r>
  <r>
    <x v="185"/>
    <s v="8"/>
    <n v="54718.8"/>
    <n v="0"/>
  </r>
  <r>
    <x v="185"/>
    <s v="9"/>
    <n v="54821.1"/>
    <n v="0"/>
  </r>
  <r>
    <x v="185"/>
    <s v="10"/>
    <n v="54658.6"/>
    <n v="0"/>
  </r>
  <r>
    <x v="185"/>
    <s v="11"/>
    <n v="55081.7"/>
    <n v="0"/>
  </r>
  <r>
    <x v="185"/>
    <s v="12"/>
    <n v="54309.599999999999"/>
    <n v="0"/>
  </r>
  <r>
    <x v="185"/>
    <s v="13"/>
    <n v="54408.800000000003"/>
    <n v="0"/>
  </r>
  <r>
    <x v="185"/>
    <s v="14"/>
    <n v="54354.1"/>
    <n v="0"/>
  </r>
  <r>
    <x v="185"/>
    <s v="15"/>
    <n v="54006.6"/>
    <n v="0"/>
  </r>
  <r>
    <x v="185"/>
    <s v="16"/>
    <n v="54184.6"/>
    <n v="0"/>
  </r>
  <r>
    <x v="185"/>
    <s v="17"/>
    <n v="54337.4"/>
    <n v="0"/>
  </r>
  <r>
    <x v="185"/>
    <s v="18"/>
    <n v="54381.8"/>
    <n v="0"/>
  </r>
  <r>
    <x v="185"/>
    <s v="19"/>
    <n v="54274.5"/>
    <n v="0"/>
  </r>
  <r>
    <x v="185"/>
    <s v="20"/>
    <n v="54238.8"/>
    <n v="0"/>
  </r>
  <r>
    <x v="185"/>
    <s v="21"/>
    <n v="54041"/>
    <n v="0"/>
  </r>
  <r>
    <x v="185"/>
    <s v="22"/>
    <n v="54138.6"/>
    <n v="0"/>
  </r>
  <r>
    <x v="185"/>
    <s v="23"/>
    <n v="54168.1"/>
    <n v="0"/>
  </r>
  <r>
    <x v="186"/>
    <s v="0"/>
    <n v="53920.9"/>
    <n v="0"/>
  </r>
  <r>
    <x v="186"/>
    <s v="1"/>
    <n v="53850.3"/>
    <n v="0"/>
  </r>
  <r>
    <x v="186"/>
    <s v="2"/>
    <n v="54077"/>
    <n v="0"/>
  </r>
  <r>
    <x v="186"/>
    <s v="3"/>
    <n v="53948.6"/>
    <n v="0"/>
  </r>
  <r>
    <x v="186"/>
    <s v="4"/>
    <n v="54205.1"/>
    <n v="0"/>
  </r>
  <r>
    <x v="186"/>
    <s v="5"/>
    <n v="54103.1"/>
    <n v="0"/>
  </r>
  <r>
    <x v="186"/>
    <s v="6"/>
    <n v="54119.8"/>
    <n v="0"/>
  </r>
  <r>
    <x v="186"/>
    <s v="7"/>
    <n v="54320.4"/>
    <n v="0"/>
  </r>
  <r>
    <x v="186"/>
    <s v="8"/>
    <n v="54386.1"/>
    <n v="0"/>
  </r>
  <r>
    <x v="186"/>
    <s v="9"/>
    <n v="54368"/>
    <n v="0"/>
  </r>
  <r>
    <x v="186"/>
    <s v="10"/>
    <n v="54385.7"/>
    <n v="0"/>
  </r>
  <r>
    <x v="186"/>
    <s v="11"/>
    <n v="54328.3"/>
    <n v="0"/>
  </r>
  <r>
    <x v="186"/>
    <s v="12"/>
    <n v="54260.3"/>
    <n v="0"/>
  </r>
  <r>
    <x v="186"/>
    <s v="13"/>
    <n v="54788.7"/>
    <n v="0"/>
  </r>
  <r>
    <x v="186"/>
    <s v="14"/>
    <n v="54756.4"/>
    <n v="0"/>
  </r>
  <r>
    <x v="186"/>
    <s v="15"/>
    <n v="54799.3"/>
    <n v="0"/>
  </r>
  <r>
    <x v="186"/>
    <s v="16"/>
    <n v="54643"/>
    <n v="0"/>
  </r>
  <r>
    <x v="186"/>
    <s v="17"/>
    <n v="54627.9"/>
    <n v="0"/>
  </r>
  <r>
    <x v="186"/>
    <s v="18"/>
    <n v="54828.800000000003"/>
    <n v="0"/>
  </r>
  <r>
    <x v="186"/>
    <s v="19"/>
    <n v="54740.3"/>
    <n v="0"/>
  </r>
  <r>
    <x v="186"/>
    <s v="20"/>
    <n v="54540.7"/>
    <n v="0"/>
  </r>
  <r>
    <x v="186"/>
    <s v="21"/>
    <n v="53964.2"/>
    <n v="0"/>
  </r>
  <r>
    <x v="186"/>
    <s v="22"/>
    <n v="54024.2"/>
    <n v="0"/>
  </r>
  <r>
    <x v="186"/>
    <s v="23"/>
    <n v="54075.8"/>
    <n v="0"/>
  </r>
  <r>
    <x v="187"/>
    <s v="0"/>
    <n v="54392.3"/>
    <n v="0"/>
  </r>
  <r>
    <x v="187"/>
    <s v="1"/>
    <n v="54158.6"/>
    <n v="0"/>
  </r>
  <r>
    <x v="187"/>
    <s v="2"/>
    <n v="54207.7"/>
    <n v="0"/>
  </r>
  <r>
    <x v="187"/>
    <s v="3"/>
    <n v="54180.7"/>
    <n v="0"/>
  </r>
  <r>
    <x v="187"/>
    <s v="4"/>
    <n v="54373.4"/>
    <n v="0"/>
  </r>
  <r>
    <x v="187"/>
    <s v="5"/>
    <n v="54378.5"/>
    <n v="0"/>
  </r>
  <r>
    <x v="187"/>
    <s v="6"/>
    <n v="54205.599999999999"/>
    <n v="0"/>
  </r>
  <r>
    <x v="187"/>
    <s v="7"/>
    <n v="54018.5"/>
    <n v="0"/>
  </r>
  <r>
    <x v="187"/>
    <s v="8"/>
    <n v="54116.800000000003"/>
    <n v="0"/>
  </r>
  <r>
    <x v="187"/>
    <s v="9"/>
    <n v="54019.7"/>
    <n v="0"/>
  </r>
  <r>
    <x v="187"/>
    <s v="10"/>
    <n v="54190.6"/>
    <n v="0"/>
  </r>
  <r>
    <x v="187"/>
    <s v="11"/>
    <n v="54148"/>
    <n v="0"/>
  </r>
  <r>
    <x v="187"/>
    <s v="12"/>
    <n v="54078.2"/>
    <n v="0"/>
  </r>
  <r>
    <x v="187"/>
    <s v="13"/>
    <n v="54181.1"/>
    <n v="0"/>
  </r>
  <r>
    <x v="187"/>
    <s v="14"/>
    <n v="54287.4"/>
    <n v="0"/>
  </r>
  <r>
    <x v="187"/>
    <s v="15"/>
    <n v="54214.3"/>
    <n v="0"/>
  </r>
  <r>
    <x v="187"/>
    <s v="16"/>
    <n v="54009.9"/>
    <n v="0"/>
  </r>
  <r>
    <x v="187"/>
    <s v="17"/>
    <n v="54185.2"/>
    <n v="0"/>
  </r>
  <r>
    <x v="187"/>
    <s v="18"/>
    <n v="54193.4"/>
    <n v="0"/>
  </r>
  <r>
    <x v="187"/>
    <s v="19"/>
    <n v="54114.9"/>
    <n v="0"/>
  </r>
  <r>
    <x v="187"/>
    <s v="20"/>
    <n v="54211.6"/>
    <n v="0"/>
  </r>
  <r>
    <x v="187"/>
    <s v="21"/>
    <n v="53947.6"/>
    <n v="0"/>
  </r>
  <r>
    <x v="187"/>
    <s v="22"/>
    <n v="53976"/>
    <n v="0"/>
  </r>
  <r>
    <x v="187"/>
    <s v="23"/>
    <n v="54055.1"/>
    <n v="0"/>
  </r>
  <r>
    <x v="188"/>
    <s v="0"/>
    <n v="54095.6"/>
    <n v="0"/>
  </r>
  <r>
    <x v="188"/>
    <s v="1"/>
    <n v="54251"/>
    <n v="0"/>
  </r>
  <r>
    <x v="188"/>
    <s v="2"/>
    <n v="54267.6"/>
    <n v="0"/>
  </r>
  <r>
    <x v="188"/>
    <s v="3"/>
    <n v="54237"/>
    <n v="0"/>
  </r>
  <r>
    <x v="188"/>
    <s v="4"/>
    <n v="54295"/>
    <n v="0"/>
  </r>
  <r>
    <x v="188"/>
    <s v="5"/>
    <n v="54283"/>
    <n v="0"/>
  </r>
  <r>
    <x v="188"/>
    <s v="6"/>
    <n v="54267.7"/>
    <n v="0"/>
  </r>
  <r>
    <x v="188"/>
    <s v="7"/>
    <n v="54303.4"/>
    <n v="0"/>
  </r>
  <r>
    <x v="188"/>
    <s v="8"/>
    <n v="54264.3"/>
    <n v="0"/>
  </r>
  <r>
    <x v="188"/>
    <s v="9"/>
    <n v="54271.199999999997"/>
    <n v="0"/>
  </r>
  <r>
    <x v="188"/>
    <s v="10"/>
    <n v="54223.8"/>
    <n v="0"/>
  </r>
  <r>
    <x v="188"/>
    <s v="11"/>
    <n v="54267.1"/>
    <n v="0"/>
  </r>
  <r>
    <x v="188"/>
    <s v="12"/>
    <n v="54220.6"/>
    <n v="0"/>
  </r>
  <r>
    <x v="188"/>
    <s v="13"/>
    <n v="54161.4"/>
    <n v="0"/>
  </r>
  <r>
    <x v="188"/>
    <s v="14"/>
    <n v="54264.6"/>
    <n v="0"/>
  </r>
  <r>
    <x v="188"/>
    <s v="15"/>
    <n v="54281.599999999999"/>
    <n v="0"/>
  </r>
  <r>
    <x v="188"/>
    <s v="16"/>
    <n v="54207.7"/>
    <n v="0"/>
  </r>
  <r>
    <x v="188"/>
    <s v="17"/>
    <n v="54171.4"/>
    <n v="0"/>
  </r>
  <r>
    <x v="188"/>
    <s v="18"/>
    <n v="54300.5"/>
    <n v="0"/>
  </r>
  <r>
    <x v="188"/>
    <s v="19"/>
    <n v="54144.2"/>
    <n v="0"/>
  </r>
  <r>
    <x v="188"/>
    <s v="20"/>
    <n v="54088.3"/>
    <n v="0"/>
  </r>
  <r>
    <x v="188"/>
    <s v="21"/>
    <n v="54050.8"/>
    <n v="0"/>
  </r>
  <r>
    <x v="188"/>
    <s v="22"/>
    <n v="54254"/>
    <n v="0"/>
  </r>
  <r>
    <x v="188"/>
    <s v="23"/>
    <n v="54306.6"/>
    <n v="0"/>
  </r>
  <r>
    <x v="189"/>
    <s v="0"/>
    <n v="54382.400000000001"/>
    <n v="0"/>
  </r>
  <r>
    <x v="189"/>
    <s v="1"/>
    <n v="53948.7"/>
    <n v="0"/>
  </r>
  <r>
    <x v="189"/>
    <s v="2"/>
    <n v="53957.4"/>
    <n v="0"/>
  </r>
  <r>
    <x v="189"/>
    <s v="3"/>
    <n v="53897.7"/>
    <n v="0"/>
  </r>
  <r>
    <x v="189"/>
    <s v="4"/>
    <n v="53932"/>
    <n v="0"/>
  </r>
  <r>
    <x v="189"/>
    <s v="5"/>
    <n v="53896.1"/>
    <n v="0"/>
  </r>
  <r>
    <x v="189"/>
    <s v="6"/>
    <n v="53974.400000000001"/>
    <n v="0"/>
  </r>
  <r>
    <x v="189"/>
    <s v="7"/>
    <n v="54092.6"/>
    <n v="0"/>
  </r>
  <r>
    <x v="189"/>
    <s v="8"/>
    <n v="54080.6"/>
    <n v="0"/>
  </r>
  <r>
    <x v="189"/>
    <s v="9"/>
    <n v="54305"/>
    <n v="0"/>
  </r>
  <r>
    <x v="189"/>
    <s v="10"/>
    <n v="54399.9"/>
    <n v="0"/>
  </r>
  <r>
    <x v="189"/>
    <s v="11"/>
    <n v="54282.1"/>
    <n v="0"/>
  </r>
  <r>
    <x v="189"/>
    <s v="12"/>
    <n v="54614.1"/>
    <n v="0"/>
  </r>
  <r>
    <x v="189"/>
    <s v="13"/>
    <n v="54728.1"/>
    <n v="0"/>
  </r>
  <r>
    <x v="189"/>
    <s v="14"/>
    <n v="54857.2"/>
    <n v="0"/>
  </r>
  <r>
    <x v="189"/>
    <s v="15"/>
    <n v="54836.5"/>
    <n v="0"/>
  </r>
  <r>
    <x v="189"/>
    <s v="16"/>
    <n v="54860.1"/>
    <n v="0"/>
  </r>
  <r>
    <x v="189"/>
    <s v="17"/>
    <n v="54854.2"/>
    <n v="0"/>
  </r>
  <r>
    <x v="189"/>
    <s v="18"/>
    <n v="54975.5"/>
    <n v="0"/>
  </r>
  <r>
    <x v="189"/>
    <s v="19"/>
    <n v="54739"/>
    <n v="0"/>
  </r>
  <r>
    <x v="189"/>
    <s v="20"/>
    <n v="54642.3"/>
    <n v="0"/>
  </r>
  <r>
    <x v="189"/>
    <s v="21"/>
    <n v="54641.8"/>
    <n v="0"/>
  </r>
  <r>
    <x v="189"/>
    <s v="22"/>
    <n v="54687.8"/>
    <n v="0"/>
  </r>
  <r>
    <x v="189"/>
    <s v="23"/>
    <n v="54719.7"/>
    <n v="0"/>
  </r>
  <r>
    <x v="190"/>
    <s v="0"/>
    <n v="54560.4"/>
    <n v="0"/>
  </r>
  <r>
    <x v="190"/>
    <s v="1"/>
    <n v="54226.1"/>
    <n v="0"/>
  </r>
  <r>
    <x v="190"/>
    <s v="2"/>
    <n v="54781.9"/>
    <n v="0"/>
  </r>
  <r>
    <x v="190"/>
    <s v="3"/>
    <n v="54639.8"/>
    <n v="0"/>
  </r>
  <r>
    <x v="190"/>
    <s v="4"/>
    <n v="54670.3"/>
    <n v="0"/>
  </r>
  <r>
    <x v="190"/>
    <s v="5"/>
    <n v="54584.800000000003"/>
    <n v="0"/>
  </r>
  <r>
    <x v="190"/>
    <s v="6"/>
    <n v="53683.9"/>
    <n v="0"/>
  </r>
  <r>
    <x v="190"/>
    <s v="7"/>
    <n v="54802.5"/>
    <n v="0"/>
  </r>
  <r>
    <x v="190"/>
    <s v="8"/>
    <n v="54847.3"/>
    <n v="0"/>
  </r>
  <r>
    <x v="190"/>
    <s v="9"/>
    <n v="54717.4"/>
    <n v="0"/>
  </r>
  <r>
    <x v="190"/>
    <s v="10"/>
    <n v="54425.8"/>
    <n v="0"/>
  </r>
  <r>
    <x v="190"/>
    <s v="11"/>
    <n v="54516.4"/>
    <n v="0"/>
  </r>
  <r>
    <x v="190"/>
    <s v="12"/>
    <n v="54788.1"/>
    <n v="0"/>
  </r>
  <r>
    <x v="190"/>
    <s v="13"/>
    <n v="54887.6"/>
    <n v="0"/>
  </r>
  <r>
    <x v="190"/>
    <s v="14"/>
    <n v="54769.8"/>
    <n v="0"/>
  </r>
  <r>
    <x v="190"/>
    <s v="15"/>
    <n v="54666.7"/>
    <n v="0"/>
  </r>
  <r>
    <x v="190"/>
    <s v="16"/>
    <n v="54766.2"/>
    <n v="0"/>
  </r>
  <r>
    <x v="190"/>
    <s v="17"/>
    <n v="54605.599999999999"/>
    <n v="0"/>
  </r>
  <r>
    <x v="190"/>
    <s v="18"/>
    <n v="54526.3"/>
    <n v="0"/>
  </r>
  <r>
    <x v="190"/>
    <s v="19"/>
    <n v="54281.4"/>
    <n v="0"/>
  </r>
  <r>
    <x v="190"/>
    <s v="20"/>
    <n v="54377.7"/>
    <n v="0"/>
  </r>
  <r>
    <x v="190"/>
    <s v="21"/>
    <n v="54321.3"/>
    <n v="0"/>
  </r>
  <r>
    <x v="190"/>
    <s v="22"/>
    <n v="54448.7"/>
    <n v="0"/>
  </r>
  <r>
    <x v="190"/>
    <s v="23"/>
    <n v="54096.800000000003"/>
    <n v="0"/>
  </r>
  <r>
    <x v="191"/>
    <s v="0"/>
    <n v="54186.400000000001"/>
    <n v="0"/>
  </r>
  <r>
    <x v="191"/>
    <s v="1"/>
    <n v="54112.2"/>
    <n v="0"/>
  </r>
  <r>
    <x v="191"/>
    <s v="2"/>
    <n v="54281.4"/>
    <n v="0"/>
  </r>
  <r>
    <x v="191"/>
    <s v="3"/>
    <n v="54495.6"/>
    <n v="0"/>
  </r>
  <r>
    <x v="191"/>
    <s v="4"/>
    <n v="54525"/>
    <n v="0"/>
  </r>
  <r>
    <x v="191"/>
    <s v="5"/>
    <n v="54236.800000000003"/>
    <n v="0"/>
  </r>
  <r>
    <x v="191"/>
    <s v="6"/>
    <n v="54086.7"/>
    <n v="0"/>
  </r>
  <r>
    <x v="191"/>
    <s v="7"/>
    <n v="54228.3"/>
    <n v="0"/>
  </r>
  <r>
    <x v="191"/>
    <s v="8"/>
    <n v="54363.5"/>
    <n v="0"/>
  </r>
  <r>
    <x v="191"/>
    <s v="9"/>
    <n v="54908.4"/>
    <n v="0"/>
  </r>
  <r>
    <x v="191"/>
    <s v="10"/>
    <n v="54951.8"/>
    <n v="0"/>
  </r>
  <r>
    <x v="191"/>
    <s v="11"/>
    <n v="54356.2"/>
    <n v="0"/>
  </r>
  <r>
    <x v="191"/>
    <s v="12"/>
    <n v="54331.9"/>
    <n v="0"/>
  </r>
  <r>
    <x v="191"/>
    <s v="13"/>
    <n v="54556.2"/>
    <n v="0"/>
  </r>
  <r>
    <x v="191"/>
    <s v="14"/>
    <n v="54862.2"/>
    <n v="0"/>
  </r>
  <r>
    <x v="191"/>
    <s v="15"/>
    <n v="54011.199999999997"/>
    <n v="0"/>
  </r>
  <r>
    <x v="191"/>
    <s v="16"/>
    <n v="54426.5"/>
    <n v="0"/>
  </r>
  <r>
    <x v="191"/>
    <s v="17"/>
    <n v="54283.1"/>
    <n v="0"/>
  </r>
  <r>
    <x v="191"/>
    <s v="18"/>
    <n v="54490.2"/>
    <n v="0"/>
  </r>
  <r>
    <x v="191"/>
    <s v="19"/>
    <n v="54379.199999999997"/>
    <n v="0"/>
  </r>
  <r>
    <x v="191"/>
    <s v="20"/>
    <n v="54360.7"/>
    <n v="0"/>
  </r>
  <r>
    <x v="191"/>
    <s v="21"/>
    <n v="54487.7"/>
    <n v="0"/>
  </r>
  <r>
    <x v="191"/>
    <s v="22"/>
    <n v="54234"/>
    <n v="0"/>
  </r>
  <r>
    <x v="191"/>
    <s v="23"/>
    <n v="54350"/>
    <n v="0"/>
  </r>
  <r>
    <x v="192"/>
    <s v="0"/>
    <n v="53927.4"/>
    <n v="0"/>
  </r>
  <r>
    <x v="192"/>
    <s v="1"/>
    <n v="54046.2"/>
    <n v="0"/>
  </r>
  <r>
    <x v="192"/>
    <s v="2"/>
    <n v="54080.9"/>
    <n v="0"/>
  </r>
  <r>
    <x v="192"/>
    <s v="3"/>
    <n v="54115.199999999997"/>
    <n v="0"/>
  </r>
  <r>
    <x v="192"/>
    <s v="4"/>
    <n v="54244.1"/>
    <n v="0"/>
  </r>
  <r>
    <x v="192"/>
    <s v="5"/>
    <n v="53782.5"/>
    <n v="0"/>
  </r>
  <r>
    <x v="192"/>
    <s v="6"/>
    <n v="53382.1"/>
    <n v="0"/>
  </r>
  <r>
    <x v="192"/>
    <s v="7"/>
    <n v="54297.599999999999"/>
    <n v="0"/>
  </r>
  <r>
    <x v="192"/>
    <s v="8"/>
    <n v="54068.7"/>
    <n v="0"/>
  </r>
  <r>
    <x v="192"/>
    <s v="9"/>
    <n v="54096.6"/>
    <n v="0"/>
  </r>
  <r>
    <x v="192"/>
    <s v="10"/>
    <n v="54824.1"/>
    <n v="0"/>
  </r>
  <r>
    <x v="192"/>
    <s v="11"/>
    <n v="54915.5"/>
    <n v="0"/>
  </r>
  <r>
    <x v="192"/>
    <s v="12"/>
    <n v="54932.1"/>
    <n v="0"/>
  </r>
  <r>
    <x v="192"/>
    <s v="13"/>
    <n v="53703.1"/>
    <n v="0"/>
  </r>
  <r>
    <x v="192"/>
    <s v="14"/>
    <n v="53792.800000000003"/>
    <n v="0"/>
  </r>
  <r>
    <x v="192"/>
    <s v="15"/>
    <n v="54490.6"/>
    <n v="0"/>
  </r>
  <r>
    <x v="192"/>
    <s v="16"/>
    <n v="53915.3"/>
    <n v="0"/>
  </r>
  <r>
    <x v="192"/>
    <s v="17"/>
    <n v="53844.4"/>
    <n v="0"/>
  </r>
  <r>
    <x v="192"/>
    <s v="18"/>
    <n v="53971.8"/>
    <n v="0"/>
  </r>
  <r>
    <x v="192"/>
    <s v="19"/>
    <n v="54541.8"/>
    <n v="0"/>
  </r>
  <r>
    <x v="192"/>
    <s v="20"/>
    <n v="54674.5"/>
    <n v="0"/>
  </r>
  <r>
    <x v="192"/>
    <s v="21"/>
    <n v="54405.599999999999"/>
    <n v="0"/>
  </r>
  <r>
    <x v="192"/>
    <s v="22"/>
    <n v="54823.3"/>
    <n v="0"/>
  </r>
  <r>
    <x v="192"/>
    <s v="23"/>
    <n v="55150.3"/>
    <n v="0"/>
  </r>
  <r>
    <x v="193"/>
    <s v="0"/>
    <n v="52955.7"/>
    <n v="0"/>
  </r>
  <r>
    <x v="193"/>
    <s v="1"/>
    <n v="54470.5"/>
    <n v="0"/>
  </r>
  <r>
    <x v="193"/>
    <s v="2"/>
    <n v="53947.199999999997"/>
    <n v="0"/>
  </r>
  <r>
    <x v="193"/>
    <s v="3"/>
    <n v="54365.599999999999"/>
    <n v="0"/>
  </r>
  <r>
    <x v="193"/>
    <s v="4"/>
    <n v="54617.599999999999"/>
    <n v="0"/>
  </r>
  <r>
    <x v="193"/>
    <s v="5"/>
    <n v="54470.400000000001"/>
    <n v="0"/>
  </r>
  <r>
    <x v="193"/>
    <s v="6"/>
    <n v="54559.1"/>
    <n v="0"/>
  </r>
  <r>
    <x v="193"/>
    <s v="7"/>
    <n v="54542.8"/>
    <n v="0"/>
  </r>
  <r>
    <x v="193"/>
    <s v="8"/>
    <n v="54747.7"/>
    <n v="0"/>
  </r>
  <r>
    <x v="193"/>
    <s v="9"/>
    <n v="54910"/>
    <n v="0"/>
  </r>
  <r>
    <x v="193"/>
    <s v="10"/>
    <n v="53891.199999999997"/>
    <n v="0"/>
  </r>
  <r>
    <x v="193"/>
    <s v="11"/>
    <n v="53835.4"/>
    <n v="0"/>
  </r>
  <r>
    <x v="193"/>
    <s v="12"/>
    <n v="53863.199999999997"/>
    <n v="0"/>
  </r>
  <r>
    <x v="193"/>
    <s v="13"/>
    <n v="53654.6"/>
    <n v="0"/>
  </r>
  <r>
    <x v="193"/>
    <s v="14"/>
    <n v="53713.9"/>
    <n v="0"/>
  </r>
  <r>
    <x v="193"/>
    <s v="15"/>
    <n v="53485.5"/>
    <n v="0"/>
  </r>
  <r>
    <x v="193"/>
    <s v="16"/>
    <n v="54286"/>
    <n v="0"/>
  </r>
  <r>
    <x v="193"/>
    <s v="17"/>
    <n v="54380.7"/>
    <n v="0"/>
  </r>
  <r>
    <x v="193"/>
    <s v="18"/>
    <n v="53384.6"/>
    <n v="0"/>
  </r>
  <r>
    <x v="193"/>
    <s v="19"/>
    <n v="54653.599999999999"/>
    <n v="0"/>
  </r>
  <r>
    <x v="193"/>
    <s v="20"/>
    <n v="54437.9"/>
    <n v="0"/>
  </r>
  <r>
    <x v="193"/>
    <s v="21"/>
    <n v="54521.4"/>
    <n v="0"/>
  </r>
  <r>
    <x v="193"/>
    <s v="22"/>
    <n v="54769.5"/>
    <n v="0"/>
  </r>
  <r>
    <x v="193"/>
    <s v="23"/>
    <n v="54321.5"/>
    <n v="0"/>
  </r>
  <r>
    <x v="194"/>
    <s v="0"/>
    <n v="53976.800000000003"/>
    <n v="0"/>
  </r>
  <r>
    <x v="194"/>
    <s v="1"/>
    <n v="54163.9"/>
    <n v="0"/>
  </r>
  <r>
    <x v="194"/>
    <s v="2"/>
    <n v="54240.9"/>
    <n v="0"/>
  </r>
  <r>
    <x v="194"/>
    <s v="3"/>
    <n v="54117.4"/>
    <n v="0"/>
  </r>
  <r>
    <x v="194"/>
    <s v="4"/>
    <n v="54294"/>
    <n v="0"/>
  </r>
  <r>
    <x v="194"/>
    <s v="5"/>
    <n v="54172.800000000003"/>
    <n v="0"/>
  </r>
  <r>
    <x v="194"/>
    <s v="6"/>
    <n v="54353.1"/>
    <n v="0"/>
  </r>
  <r>
    <x v="194"/>
    <s v="7"/>
    <n v="54238.6"/>
    <n v="0"/>
  </r>
  <r>
    <x v="194"/>
    <s v="8"/>
    <n v="54307"/>
    <n v="0"/>
  </r>
  <r>
    <x v="194"/>
    <s v="9"/>
    <n v="54113.7"/>
    <n v="0"/>
  </r>
  <r>
    <x v="194"/>
    <s v="10"/>
    <n v="54027.9"/>
    <n v="0"/>
  </r>
  <r>
    <x v="194"/>
    <s v="11"/>
    <n v="54117.8"/>
    <n v="0"/>
  </r>
  <r>
    <x v="194"/>
    <s v="12"/>
    <n v="54299"/>
    <n v="0"/>
  </r>
  <r>
    <x v="194"/>
    <s v="13"/>
    <n v="54526.3"/>
    <n v="0"/>
  </r>
  <r>
    <x v="194"/>
    <s v="14"/>
    <n v="54499.199999999997"/>
    <n v="0"/>
  </r>
  <r>
    <x v="194"/>
    <s v="15"/>
    <n v="54446.9"/>
    <n v="0"/>
  </r>
  <r>
    <x v="194"/>
    <s v="16"/>
    <n v="54365.7"/>
    <n v="0"/>
  </r>
  <r>
    <x v="194"/>
    <s v="17"/>
    <n v="54410.2"/>
    <n v="0"/>
  </r>
  <r>
    <x v="194"/>
    <s v="18"/>
    <n v="54578.3"/>
    <n v="0"/>
  </r>
  <r>
    <x v="194"/>
    <s v="19"/>
    <n v="54631.5"/>
    <n v="0"/>
  </r>
  <r>
    <x v="194"/>
    <s v="20"/>
    <n v="54594.3"/>
    <n v="0"/>
  </r>
  <r>
    <x v="194"/>
    <s v="21"/>
    <n v="54137.9"/>
    <n v="0"/>
  </r>
  <r>
    <x v="194"/>
    <s v="22"/>
    <n v="54301.8"/>
    <n v="0"/>
  </r>
  <r>
    <x v="194"/>
    <s v="23"/>
    <n v="54648.6"/>
    <n v="0"/>
  </r>
  <r>
    <x v="195"/>
    <s v="0"/>
    <n v="53251.1"/>
    <n v="0"/>
  </r>
  <r>
    <x v="195"/>
    <s v="1"/>
    <n v="51743.199999999997"/>
    <n v="0"/>
  </r>
  <r>
    <x v="195"/>
    <s v="2"/>
    <n v="53039.8"/>
    <n v="0"/>
  </r>
  <r>
    <x v="195"/>
    <s v="3"/>
    <n v="54558.1"/>
    <n v="0"/>
  </r>
  <r>
    <x v="195"/>
    <s v="4"/>
    <n v="54704.2"/>
    <n v="0"/>
  </r>
  <r>
    <x v="195"/>
    <s v="5"/>
    <n v="54662.7"/>
    <n v="0"/>
  </r>
  <r>
    <x v="195"/>
    <s v="6"/>
    <n v="54759.6"/>
    <n v="0"/>
  </r>
  <r>
    <x v="195"/>
    <s v="7"/>
    <n v="54547.3"/>
    <n v="0"/>
  </r>
  <r>
    <x v="195"/>
    <s v="8"/>
    <n v="54349.4"/>
    <n v="0"/>
  </r>
  <r>
    <x v="195"/>
    <s v="9"/>
    <n v="54702.400000000001"/>
    <n v="0"/>
  </r>
  <r>
    <x v="195"/>
    <s v="10"/>
    <n v="53714.5"/>
    <n v="0"/>
  </r>
  <r>
    <x v="195"/>
    <s v="11"/>
    <n v="53438.1"/>
    <n v="0"/>
  </r>
  <r>
    <x v="195"/>
    <s v="12"/>
    <n v="50237.7"/>
    <n v="0"/>
  </r>
  <r>
    <x v="195"/>
    <s v="13"/>
    <n v="52479.9"/>
    <n v="0"/>
  </r>
  <r>
    <x v="195"/>
    <s v="14"/>
    <n v="53012.1"/>
    <n v="0"/>
  </r>
  <r>
    <x v="195"/>
    <s v="15"/>
    <n v="52658.1"/>
    <n v="0"/>
  </r>
  <r>
    <x v="195"/>
    <s v="16"/>
    <n v="53351.8"/>
    <n v="0"/>
  </r>
  <r>
    <x v="195"/>
    <s v="17"/>
    <n v="54392.3"/>
    <n v="0"/>
  </r>
  <r>
    <x v="195"/>
    <s v="18"/>
    <n v="54420"/>
    <n v="0"/>
  </r>
  <r>
    <x v="195"/>
    <s v="19"/>
    <n v="52652.5"/>
    <n v="0"/>
  </r>
  <r>
    <x v="195"/>
    <s v="20"/>
    <n v="52922.8"/>
    <n v="0"/>
  </r>
  <r>
    <x v="195"/>
    <s v="21"/>
    <n v="54664.1"/>
    <n v="0"/>
  </r>
  <r>
    <x v="195"/>
    <s v="22"/>
    <n v="54771.5"/>
    <n v="0"/>
  </r>
  <r>
    <x v="195"/>
    <s v="23"/>
    <n v="54853.599999999999"/>
    <n v="0"/>
  </r>
  <r>
    <x v="196"/>
    <s v="0"/>
    <n v="50734.1"/>
    <n v="0"/>
  </r>
  <r>
    <x v="196"/>
    <s v="1"/>
    <n v="48396.7"/>
    <n v="0"/>
  </r>
  <r>
    <x v="196"/>
    <s v="2"/>
    <n v="53456.7"/>
    <n v="0"/>
  </r>
  <r>
    <x v="196"/>
    <s v="3"/>
    <n v="54261.3"/>
    <n v="0"/>
  </r>
  <r>
    <x v="196"/>
    <s v="4"/>
    <n v="54147.199999999997"/>
    <n v="0"/>
  </r>
  <r>
    <x v="196"/>
    <s v="5"/>
    <n v="53940.5"/>
    <n v="0"/>
  </r>
  <r>
    <x v="196"/>
    <s v="6"/>
    <n v="54036"/>
    <n v="0"/>
  </r>
  <r>
    <x v="196"/>
    <s v="7"/>
    <n v="54085.8"/>
    <n v="0"/>
  </r>
  <r>
    <x v="196"/>
    <s v="8"/>
    <n v="54382.5"/>
    <n v="0"/>
  </r>
  <r>
    <x v="196"/>
    <s v="9"/>
    <n v="54240.800000000003"/>
    <n v="0"/>
  </r>
  <r>
    <x v="196"/>
    <s v="10"/>
    <n v="54292.5"/>
    <n v="0"/>
  </r>
  <r>
    <x v="196"/>
    <s v="11"/>
    <n v="54202.7"/>
    <n v="0"/>
  </r>
  <r>
    <x v="196"/>
    <s v="12"/>
    <n v="54168.800000000003"/>
    <n v="0"/>
  </r>
  <r>
    <x v="196"/>
    <s v="13"/>
    <n v="54245.1"/>
    <n v="0"/>
  </r>
  <r>
    <x v="196"/>
    <s v="14"/>
    <n v="54230.3"/>
    <n v="0"/>
  </r>
  <r>
    <x v="196"/>
    <s v="15"/>
    <n v="54311.199999999997"/>
    <n v="0"/>
  </r>
  <r>
    <x v="196"/>
    <s v="16"/>
    <n v="54159.6"/>
    <n v="0"/>
  </r>
  <r>
    <x v="196"/>
    <s v="17"/>
    <n v="54325.9"/>
    <n v="0"/>
  </r>
  <r>
    <x v="196"/>
    <s v="18"/>
    <n v="60569.9"/>
    <n v="0"/>
  </r>
  <r>
    <x v="196"/>
    <s v="19"/>
    <n v="54497.4"/>
    <n v="0"/>
  </r>
  <r>
    <x v="196"/>
    <s v="20"/>
    <n v="53511.9"/>
    <n v="0"/>
  </r>
  <r>
    <x v="196"/>
    <s v="21"/>
    <n v="53650.6"/>
    <n v="0"/>
  </r>
  <r>
    <x v="196"/>
    <s v="22"/>
    <n v="54339.5"/>
    <n v="0"/>
  </r>
  <r>
    <x v="196"/>
    <s v="23"/>
    <n v="54216.3"/>
    <n v="0"/>
  </r>
  <r>
    <x v="197"/>
    <s v="0"/>
    <n v="54192.3"/>
    <n v="0"/>
  </r>
  <r>
    <x v="197"/>
    <s v="1"/>
    <n v="53969.7"/>
    <n v="0"/>
  </r>
  <r>
    <x v="197"/>
    <s v="2"/>
    <n v="54013.3"/>
    <n v="0"/>
  </r>
  <r>
    <x v="197"/>
    <s v="3"/>
    <n v="54080.4"/>
    <n v="0"/>
  </r>
  <r>
    <x v="197"/>
    <s v="4"/>
    <n v="54146.9"/>
    <n v="0"/>
  </r>
  <r>
    <x v="197"/>
    <s v="5"/>
    <n v="54007.8"/>
    <n v="0"/>
  </r>
  <r>
    <x v="197"/>
    <s v="6"/>
    <n v="54102"/>
    <n v="0"/>
  </r>
  <r>
    <x v="197"/>
    <s v="7"/>
    <n v="54181.7"/>
    <n v="0"/>
  </r>
  <r>
    <x v="197"/>
    <s v="8"/>
    <n v="54176.800000000003"/>
    <n v="0"/>
  </r>
  <r>
    <x v="197"/>
    <s v="9"/>
    <n v="54475.8"/>
    <n v="0"/>
  </r>
  <r>
    <x v="197"/>
    <s v="10"/>
    <n v="54369"/>
    <n v="0"/>
  </r>
  <r>
    <x v="197"/>
    <s v="11"/>
    <n v="54547.4"/>
    <n v="0"/>
  </r>
  <r>
    <x v="197"/>
    <s v="12"/>
    <n v="54334"/>
    <n v="0"/>
  </r>
  <r>
    <x v="197"/>
    <s v="13"/>
    <n v="54357.5"/>
    <n v="0"/>
  </r>
  <r>
    <x v="197"/>
    <s v="14"/>
    <n v="54458"/>
    <n v="0"/>
  </r>
  <r>
    <x v="197"/>
    <s v="15"/>
    <n v="54413.5"/>
    <n v="0"/>
  </r>
  <r>
    <x v="197"/>
    <s v="16"/>
    <n v="54347.199999999997"/>
    <n v="0"/>
  </r>
  <r>
    <x v="197"/>
    <s v="17"/>
    <n v="54525.599999999999"/>
    <n v="0"/>
  </r>
  <r>
    <x v="197"/>
    <s v="18"/>
    <n v="54420.1"/>
    <n v="0"/>
  </r>
  <r>
    <x v="197"/>
    <s v="19"/>
    <n v="54485"/>
    <n v="0"/>
  </r>
  <r>
    <x v="197"/>
    <s v="20"/>
    <n v="54713.8"/>
    <n v="0"/>
  </r>
  <r>
    <x v="197"/>
    <s v="21"/>
    <n v="52980.7"/>
    <n v="0"/>
  </r>
  <r>
    <x v="197"/>
    <s v="22"/>
    <n v="53331.8"/>
    <n v="0"/>
  </r>
  <r>
    <x v="197"/>
    <s v="23"/>
    <n v="54705.8"/>
    <n v="0"/>
  </r>
  <r>
    <x v="198"/>
    <s v="0"/>
    <n v="53070.1"/>
    <n v="0"/>
  </r>
  <r>
    <x v="198"/>
    <s v="1"/>
    <n v="53806.9"/>
    <n v="0"/>
  </r>
  <r>
    <x v="198"/>
    <s v="2"/>
    <n v="53851.4"/>
    <n v="0"/>
  </r>
  <r>
    <x v="198"/>
    <s v="3"/>
    <n v="54943.3"/>
    <n v="0"/>
  </r>
  <r>
    <x v="198"/>
    <s v="4"/>
    <n v="54674.3"/>
    <n v="0"/>
  </r>
  <r>
    <x v="198"/>
    <s v="5"/>
    <n v="54378.2"/>
    <n v="0"/>
  </r>
  <r>
    <x v="198"/>
    <s v="6"/>
    <n v="54341.9"/>
    <n v="0"/>
  </r>
  <r>
    <x v="198"/>
    <s v="7"/>
    <n v="54498.9"/>
    <n v="0"/>
  </r>
  <r>
    <x v="198"/>
    <s v="8"/>
    <n v="54557.5"/>
    <n v="0"/>
  </r>
  <r>
    <x v="198"/>
    <s v="9"/>
    <n v="54431.9"/>
    <n v="0"/>
  </r>
  <r>
    <x v="198"/>
    <s v="10"/>
    <n v="54504.800000000003"/>
    <n v="0"/>
  </r>
  <r>
    <x v="198"/>
    <s v="11"/>
    <n v="53957.5"/>
    <n v="0"/>
  </r>
  <r>
    <x v="198"/>
    <s v="12"/>
    <n v="54417.7"/>
    <n v="0"/>
  </r>
  <r>
    <x v="198"/>
    <s v="13"/>
    <n v="54238.6"/>
    <n v="0"/>
  </r>
  <r>
    <x v="198"/>
    <s v="14"/>
    <n v="54136.6"/>
    <n v="0"/>
  </r>
  <r>
    <x v="198"/>
    <s v="15"/>
    <n v="54356.7"/>
    <n v="0"/>
  </r>
  <r>
    <x v="198"/>
    <s v="16"/>
    <n v="54244.5"/>
    <n v="0"/>
  </r>
  <r>
    <x v="198"/>
    <s v="17"/>
    <n v="55534.6"/>
    <n v="0"/>
  </r>
  <r>
    <x v="198"/>
    <s v="18"/>
    <n v="53406.7"/>
    <n v="0"/>
  </r>
  <r>
    <x v="198"/>
    <s v="19"/>
    <n v="51783.199999999997"/>
    <n v="0"/>
  </r>
  <r>
    <x v="198"/>
    <s v="20"/>
    <n v="54532.1"/>
    <n v="0"/>
  </r>
  <r>
    <x v="198"/>
    <s v="21"/>
    <n v="51568"/>
    <n v="0"/>
  </r>
  <r>
    <x v="198"/>
    <s v="22"/>
    <n v="52896.3"/>
    <n v="0"/>
  </r>
  <r>
    <x v="198"/>
    <s v="23"/>
    <n v="54841.2"/>
    <n v="0"/>
  </r>
  <r>
    <x v="199"/>
    <s v="0"/>
    <n v="55067.8"/>
    <n v="0"/>
  </r>
  <r>
    <x v="199"/>
    <s v="1"/>
    <n v="55261.9"/>
    <n v="0"/>
  </r>
  <r>
    <x v="199"/>
    <s v="2"/>
    <n v="54541.599999999999"/>
    <n v="0"/>
  </r>
  <r>
    <x v="199"/>
    <s v="3"/>
    <n v="54437"/>
    <n v="0"/>
  </r>
  <r>
    <x v="199"/>
    <s v="4"/>
    <n v="54584.9"/>
    <n v="0"/>
  </r>
  <r>
    <x v="199"/>
    <s v="5"/>
    <n v="54570.3"/>
    <n v="0"/>
  </r>
  <r>
    <x v="199"/>
    <s v="6"/>
    <n v="54353.1"/>
    <n v="0"/>
  </r>
  <r>
    <x v="199"/>
    <s v="7"/>
    <n v="54851.3"/>
    <n v="0"/>
  </r>
  <r>
    <x v="199"/>
    <s v="8"/>
    <n v="54197.8"/>
    <n v="0"/>
  </r>
  <r>
    <x v="199"/>
    <s v="9"/>
    <n v="53943.8"/>
    <n v="0"/>
  </r>
  <r>
    <x v="199"/>
    <s v="10"/>
    <n v="53871"/>
    <n v="0"/>
  </r>
  <r>
    <x v="199"/>
    <s v="11"/>
    <n v="53835.3"/>
    <n v="0"/>
  </r>
  <r>
    <x v="199"/>
    <s v="12"/>
    <n v="53563.8"/>
    <n v="0"/>
  </r>
  <r>
    <x v="199"/>
    <s v="13"/>
    <n v="53605.599999999999"/>
    <n v="0"/>
  </r>
  <r>
    <x v="199"/>
    <s v="14"/>
    <n v="53570.9"/>
    <n v="0"/>
  </r>
  <r>
    <x v="199"/>
    <s v="15"/>
    <n v="53636"/>
    <n v="0"/>
  </r>
  <r>
    <x v="199"/>
    <s v="16"/>
    <n v="53282.6"/>
    <n v="0"/>
  </r>
  <r>
    <x v="199"/>
    <s v="17"/>
    <n v="53152.2"/>
    <n v="0"/>
  </r>
  <r>
    <x v="199"/>
    <s v="18"/>
    <n v="53732.6"/>
    <n v="0"/>
  </r>
  <r>
    <x v="199"/>
    <s v="19"/>
    <n v="54436.2"/>
    <n v="0"/>
  </r>
  <r>
    <x v="199"/>
    <s v="20"/>
    <n v="54441.5"/>
    <n v="0"/>
  </r>
  <r>
    <x v="199"/>
    <s v="21"/>
    <n v="54516.800000000003"/>
    <n v="0"/>
  </r>
  <r>
    <x v="199"/>
    <s v="22"/>
    <n v="54487.5"/>
    <n v="0"/>
  </r>
  <r>
    <x v="199"/>
    <s v="23"/>
    <n v="54246.7"/>
    <n v="0"/>
  </r>
  <r>
    <x v="200"/>
    <s v="0"/>
    <n v="54696.7"/>
    <n v="0"/>
  </r>
  <r>
    <x v="200"/>
    <s v="1"/>
    <n v="54657.1"/>
    <n v="0"/>
  </r>
  <r>
    <x v="200"/>
    <s v="2"/>
    <n v="54566.5"/>
    <n v="0"/>
  </r>
  <r>
    <x v="200"/>
    <s v="3"/>
    <n v="54220"/>
    <n v="0"/>
  </r>
  <r>
    <x v="200"/>
    <s v="4"/>
    <n v="55035.9"/>
    <n v="0"/>
  </r>
  <r>
    <x v="200"/>
    <s v="5"/>
    <n v="54710"/>
    <n v="0"/>
  </r>
  <r>
    <x v="200"/>
    <s v="6"/>
    <n v="54425.3"/>
    <n v="0"/>
  </r>
  <r>
    <x v="200"/>
    <s v="7"/>
    <n v="54741.599999999999"/>
    <n v="0"/>
  </r>
  <r>
    <x v="200"/>
    <s v="8"/>
    <n v="54697.2"/>
    <n v="0"/>
  </r>
  <r>
    <x v="200"/>
    <s v="9"/>
    <n v="54752.800000000003"/>
    <n v="0"/>
  </r>
  <r>
    <x v="200"/>
    <s v="10"/>
    <n v="54674.8"/>
    <n v="0"/>
  </r>
  <r>
    <x v="200"/>
    <s v="11"/>
    <n v="54582.8"/>
    <n v="0"/>
  </r>
  <r>
    <x v="200"/>
    <s v="12"/>
    <n v="54490.3"/>
    <n v="0"/>
  </r>
  <r>
    <x v="200"/>
    <s v="13"/>
    <n v="54608.800000000003"/>
    <n v="0"/>
  </r>
  <r>
    <x v="200"/>
    <s v="14"/>
    <n v="54019.1"/>
    <n v="0"/>
  </r>
  <r>
    <x v="200"/>
    <s v="15"/>
    <n v="54577.9"/>
    <n v="0"/>
  </r>
  <r>
    <x v="200"/>
    <s v="16"/>
    <n v="54821.9"/>
    <n v="0"/>
  </r>
  <r>
    <x v="200"/>
    <s v="17"/>
    <n v="53747.6"/>
    <n v="0"/>
  </r>
  <r>
    <x v="200"/>
    <s v="18"/>
    <n v="54140.6"/>
    <n v="0"/>
  </r>
  <r>
    <x v="200"/>
    <s v="19"/>
    <n v="54326.8"/>
    <n v="0"/>
  </r>
  <r>
    <x v="200"/>
    <s v="20"/>
    <n v="53600"/>
    <n v="0"/>
  </r>
  <r>
    <x v="200"/>
    <s v="21"/>
    <n v="53882.8"/>
    <n v="0"/>
  </r>
  <r>
    <x v="200"/>
    <s v="22"/>
    <n v="53578.5"/>
    <n v="0"/>
  </r>
  <r>
    <x v="200"/>
    <s v="23"/>
    <n v="53132.5"/>
    <n v="0"/>
  </r>
  <r>
    <x v="201"/>
    <s v="0"/>
    <n v="45483.8"/>
    <n v="0"/>
  </r>
  <r>
    <x v="201"/>
    <s v="1"/>
    <n v="45153.4"/>
    <n v="0"/>
  </r>
  <r>
    <x v="201"/>
    <s v="2"/>
    <n v="44777.3"/>
    <n v="0"/>
  </r>
  <r>
    <x v="201"/>
    <s v="3"/>
    <n v="44003.1"/>
    <n v="0"/>
  </r>
  <r>
    <x v="201"/>
    <s v="4"/>
    <n v="43781.599999999999"/>
    <n v="0"/>
  </r>
  <r>
    <x v="201"/>
    <s v="5"/>
    <n v="43892.800000000003"/>
    <n v="0"/>
  </r>
  <r>
    <x v="201"/>
    <s v="6"/>
    <n v="44717.5"/>
    <n v="0"/>
  </r>
  <r>
    <x v="201"/>
    <s v="7"/>
    <n v="43843.199999999997"/>
    <n v="0"/>
  </r>
  <r>
    <x v="201"/>
    <s v="8"/>
    <n v="43744.1"/>
    <n v="0"/>
  </r>
  <r>
    <x v="201"/>
    <s v="9"/>
    <n v="43791.199999999997"/>
    <n v="0"/>
  </r>
  <r>
    <x v="201"/>
    <s v="10"/>
    <n v="45190"/>
    <n v="0"/>
  </r>
  <r>
    <x v="201"/>
    <s v="11"/>
    <n v="44115.1"/>
    <n v="0"/>
  </r>
  <r>
    <x v="201"/>
    <s v="12"/>
    <n v="43195.3"/>
    <n v="0"/>
  </r>
  <r>
    <x v="201"/>
    <s v="13"/>
    <n v="43378.2"/>
    <n v="0"/>
  </r>
  <r>
    <x v="201"/>
    <s v="14"/>
    <n v="44056.7"/>
    <n v="0"/>
  </r>
  <r>
    <x v="201"/>
    <s v="15"/>
    <n v="44700.3"/>
    <n v="0"/>
  </r>
  <r>
    <x v="201"/>
    <s v="16"/>
    <n v="44571"/>
    <n v="0"/>
  </r>
  <r>
    <x v="201"/>
    <s v="17"/>
    <n v="44234.2"/>
    <n v="0"/>
  </r>
  <r>
    <x v="201"/>
    <s v="18"/>
    <n v="44536.800000000003"/>
    <n v="0"/>
  </r>
  <r>
    <x v="201"/>
    <s v="19"/>
    <n v="44670.7"/>
    <n v="0"/>
  </r>
  <r>
    <x v="201"/>
    <s v="20"/>
    <n v="44547.1"/>
    <n v="0"/>
  </r>
  <r>
    <x v="201"/>
    <s v="21"/>
    <n v="44389.599999999999"/>
    <n v="0"/>
  </r>
  <r>
    <x v="201"/>
    <s v="22"/>
    <n v="44579.8"/>
    <n v="0"/>
  </r>
  <r>
    <x v="201"/>
    <s v="23"/>
    <n v="43717.5"/>
    <n v="0"/>
  </r>
  <r>
    <x v="202"/>
    <s v="0"/>
    <n v="44339.3"/>
    <n v="0"/>
  </r>
  <r>
    <x v="202"/>
    <s v="1"/>
    <n v="53299.6"/>
    <n v="0"/>
  </r>
  <r>
    <x v="202"/>
    <s v="2"/>
    <n v="54732.3"/>
    <n v="0"/>
  </r>
  <r>
    <x v="202"/>
    <s v="3"/>
    <n v="54596.7"/>
    <n v="0"/>
  </r>
  <r>
    <x v="202"/>
    <s v="4"/>
    <n v="54751.5"/>
    <n v="0"/>
  </r>
  <r>
    <x v="202"/>
    <s v="5"/>
    <n v="54636.6"/>
    <n v="0"/>
  </r>
  <r>
    <x v="202"/>
    <s v="6"/>
    <n v="54679.9"/>
    <n v="0"/>
  </r>
  <r>
    <x v="202"/>
    <s v="7"/>
    <n v="54936.3"/>
    <n v="0"/>
  </r>
  <r>
    <x v="202"/>
    <s v="8"/>
    <n v="54712.6"/>
    <n v="0"/>
  </r>
  <r>
    <x v="202"/>
    <s v="9"/>
    <n v="54898.400000000001"/>
    <n v="0"/>
  </r>
  <r>
    <x v="202"/>
    <s v="10"/>
    <n v="54464.3"/>
    <n v="0"/>
  </r>
  <r>
    <x v="202"/>
    <s v="11"/>
    <n v="54569.1"/>
    <n v="0"/>
  </r>
  <r>
    <x v="202"/>
    <s v="12"/>
    <n v="54732.2"/>
    <n v="0"/>
  </r>
  <r>
    <x v="202"/>
    <s v="13"/>
    <n v="54733.599999999999"/>
    <n v="0"/>
  </r>
  <r>
    <x v="202"/>
    <s v="14"/>
    <n v="54832.2"/>
    <n v="0"/>
  </r>
  <r>
    <x v="202"/>
    <s v="15"/>
    <n v="54596.6"/>
    <n v="0"/>
  </r>
  <r>
    <x v="202"/>
    <s v="16"/>
    <n v="54554.400000000001"/>
    <n v="0"/>
  </r>
  <r>
    <x v="202"/>
    <s v="17"/>
    <n v="54628.1"/>
    <n v="0"/>
  </r>
  <r>
    <x v="202"/>
    <s v="18"/>
    <n v="54637.3"/>
    <n v="0"/>
  </r>
  <r>
    <x v="202"/>
    <s v="19"/>
    <n v="54557.4"/>
    <n v="0"/>
  </r>
  <r>
    <x v="202"/>
    <s v="20"/>
    <n v="54399.7"/>
    <n v="0"/>
  </r>
  <r>
    <x v="202"/>
    <s v="21"/>
    <n v="54439.5"/>
    <n v="0"/>
  </r>
  <r>
    <x v="202"/>
    <s v="22"/>
    <n v="54435"/>
    <n v="0"/>
  </r>
  <r>
    <x v="202"/>
    <s v="23"/>
    <n v="54454.1"/>
    <n v="0"/>
  </r>
  <r>
    <x v="203"/>
    <s v="0"/>
    <n v="54524.3"/>
    <n v="0"/>
  </r>
  <r>
    <x v="203"/>
    <s v="1"/>
    <n v="54554.1"/>
    <n v="0"/>
  </r>
  <r>
    <x v="203"/>
    <s v="2"/>
    <n v="54528.6"/>
    <n v="0"/>
  </r>
  <r>
    <x v="203"/>
    <s v="3"/>
    <n v="53525.599999999999"/>
    <n v="0"/>
  </r>
  <r>
    <x v="203"/>
    <s v="4"/>
    <n v="54539.6"/>
    <n v="0"/>
  </r>
  <r>
    <x v="203"/>
    <s v="5"/>
    <n v="54568.1"/>
    <n v="0"/>
  </r>
  <r>
    <x v="203"/>
    <s v="6"/>
    <n v="54614.7"/>
    <n v="0"/>
  </r>
  <r>
    <x v="203"/>
    <s v="7"/>
    <n v="54785.9"/>
    <n v="0"/>
  </r>
  <r>
    <x v="203"/>
    <s v="8"/>
    <n v="54782.400000000001"/>
    <n v="0"/>
  </r>
  <r>
    <x v="203"/>
    <s v="9"/>
    <n v="54572.1"/>
    <n v="0"/>
  </r>
  <r>
    <x v="203"/>
    <s v="10"/>
    <n v="54636.2"/>
    <n v="0"/>
  </r>
  <r>
    <x v="203"/>
    <s v="11"/>
    <n v="54347.7"/>
    <n v="0"/>
  </r>
  <r>
    <x v="203"/>
    <s v="12"/>
    <n v="54547.6"/>
    <n v="0"/>
  </r>
  <r>
    <x v="203"/>
    <s v="13"/>
    <n v="54578.7"/>
    <n v="0"/>
  </r>
  <r>
    <x v="203"/>
    <s v="14"/>
    <n v="54090.3"/>
    <n v="0"/>
  </r>
  <r>
    <x v="203"/>
    <s v="15"/>
    <n v="54328.800000000003"/>
    <n v="0"/>
  </r>
  <r>
    <x v="203"/>
    <s v="16"/>
    <n v="54236.6"/>
    <n v="0"/>
  </r>
  <r>
    <x v="203"/>
    <s v="17"/>
    <n v="54236.800000000003"/>
    <n v="0"/>
  </r>
  <r>
    <x v="203"/>
    <s v="18"/>
    <n v="54188.6"/>
    <n v="0"/>
  </r>
  <r>
    <x v="203"/>
    <s v="19"/>
    <n v="54098.400000000001"/>
    <n v="0"/>
  </r>
  <r>
    <x v="203"/>
    <s v="20"/>
    <n v="53897.3"/>
    <n v="0"/>
  </r>
  <r>
    <x v="203"/>
    <s v="21"/>
    <n v="53995.5"/>
    <n v="0"/>
  </r>
  <r>
    <x v="203"/>
    <s v="22"/>
    <n v="54101.9"/>
    <n v="0"/>
  </r>
  <r>
    <x v="203"/>
    <s v="23"/>
    <n v="54159.5"/>
    <n v="0"/>
  </r>
  <r>
    <x v="204"/>
    <s v="0"/>
    <n v="54188.6"/>
    <n v="0"/>
  </r>
  <r>
    <x v="204"/>
    <s v="1"/>
    <n v="54210.5"/>
    <n v="0"/>
  </r>
  <r>
    <x v="204"/>
    <s v="2"/>
    <n v="53994.8"/>
    <n v="0"/>
  </r>
  <r>
    <x v="204"/>
    <s v="3"/>
    <n v="54172.3"/>
    <n v="0"/>
  </r>
  <r>
    <x v="204"/>
    <s v="4"/>
    <n v="54245.599999999999"/>
    <n v="0"/>
  </r>
  <r>
    <x v="204"/>
    <s v="5"/>
    <n v="54254.3"/>
    <n v="0"/>
  </r>
  <r>
    <x v="204"/>
    <s v="6"/>
    <n v="54106"/>
    <n v="0"/>
  </r>
  <r>
    <x v="204"/>
    <s v="7"/>
    <n v="54284"/>
    <n v="0"/>
  </r>
  <r>
    <x v="204"/>
    <s v="8"/>
    <n v="54161.9"/>
    <n v="0"/>
  </r>
  <r>
    <x v="204"/>
    <s v="9"/>
    <n v="54143.6"/>
    <n v="0"/>
  </r>
  <r>
    <x v="204"/>
    <s v="10"/>
    <n v="53359.7"/>
    <n v="0"/>
  </r>
  <r>
    <x v="204"/>
    <s v="11"/>
    <n v="52018.9"/>
    <n v="0"/>
  </r>
  <r>
    <x v="204"/>
    <s v="12"/>
    <n v="52096.800000000003"/>
    <n v="0"/>
  </r>
  <r>
    <x v="204"/>
    <s v="13"/>
    <n v="52107.3"/>
    <n v="0"/>
  </r>
  <r>
    <x v="204"/>
    <s v="14"/>
    <n v="52629.9"/>
    <n v="0"/>
  </r>
  <r>
    <x v="204"/>
    <s v="15"/>
    <n v="53618.8"/>
    <n v="0"/>
  </r>
  <r>
    <x v="204"/>
    <s v="16"/>
    <n v="53476.5"/>
    <n v="0"/>
  </r>
  <r>
    <x v="204"/>
    <s v="17"/>
    <n v="53523.4"/>
    <n v="0"/>
  </r>
  <r>
    <x v="204"/>
    <s v="18"/>
    <n v="53669.1"/>
    <n v="0"/>
  </r>
  <r>
    <x v="204"/>
    <s v="19"/>
    <n v="53223.3"/>
    <n v="0"/>
  </r>
  <r>
    <x v="204"/>
    <s v="20"/>
    <n v="53682.5"/>
    <n v="0"/>
  </r>
  <r>
    <x v="204"/>
    <s v="21"/>
    <n v="53898.7"/>
    <n v="0"/>
  </r>
  <r>
    <x v="204"/>
    <s v="22"/>
    <n v="53679.199999999997"/>
    <n v="0"/>
  </r>
  <r>
    <x v="204"/>
    <s v="23"/>
    <n v="53726.8"/>
    <n v="0"/>
  </r>
  <r>
    <x v="205"/>
    <s v="0"/>
    <n v="53994.9"/>
    <n v="0"/>
  </r>
  <r>
    <x v="205"/>
    <s v="1"/>
    <n v="53833.4"/>
    <n v="0"/>
  </r>
  <r>
    <x v="205"/>
    <s v="2"/>
    <n v="54049.4"/>
    <n v="0"/>
  </r>
  <r>
    <x v="205"/>
    <s v="3"/>
    <n v="53978.400000000001"/>
    <n v="0"/>
  </r>
  <r>
    <x v="205"/>
    <s v="4"/>
    <n v="54040.6"/>
    <n v="0"/>
  </r>
  <r>
    <x v="205"/>
    <s v="5"/>
    <n v="53935.8"/>
    <n v="0"/>
  </r>
  <r>
    <x v="205"/>
    <s v="6"/>
    <n v="53933.7"/>
    <n v="0"/>
  </r>
  <r>
    <x v="205"/>
    <s v="7"/>
    <n v="53851.1"/>
    <n v="0"/>
  </r>
  <r>
    <x v="205"/>
    <s v="8"/>
    <n v="53697.1"/>
    <n v="0"/>
  </r>
  <r>
    <x v="205"/>
    <s v="9"/>
    <n v="53736.7"/>
    <n v="0"/>
  </r>
  <r>
    <x v="205"/>
    <s v="10"/>
    <n v="52468.3"/>
    <n v="0"/>
  </r>
  <r>
    <x v="205"/>
    <s v="11"/>
    <n v="51922.3"/>
    <n v="0"/>
  </r>
  <r>
    <x v="205"/>
    <s v="12"/>
    <n v="52401.1"/>
    <n v="0"/>
  </r>
  <r>
    <x v="205"/>
    <s v="13"/>
    <n v="52372.9"/>
    <n v="0"/>
  </r>
  <r>
    <x v="205"/>
    <s v="14"/>
    <n v="52368.9"/>
    <n v="0"/>
  </r>
  <r>
    <x v="205"/>
    <s v="15"/>
    <n v="52406.400000000001"/>
    <n v="0"/>
  </r>
  <r>
    <x v="205"/>
    <s v="16"/>
    <n v="52290.3"/>
    <n v="0"/>
  </r>
  <r>
    <x v="205"/>
    <s v="17"/>
    <n v="52300.5"/>
    <n v="0"/>
  </r>
  <r>
    <x v="205"/>
    <s v="18"/>
    <n v="52412.6"/>
    <n v="0"/>
  </r>
  <r>
    <x v="205"/>
    <s v="19"/>
    <n v="53563.5"/>
    <n v="0"/>
  </r>
  <r>
    <x v="205"/>
    <s v="20"/>
    <n v="53272.4"/>
    <n v="0"/>
  </r>
  <r>
    <x v="205"/>
    <s v="21"/>
    <n v="54023.1"/>
    <n v="0"/>
  </r>
  <r>
    <x v="205"/>
    <s v="22"/>
    <n v="54096"/>
    <n v="0"/>
  </r>
  <r>
    <x v="205"/>
    <s v="23"/>
    <n v="53626.8"/>
    <n v="0"/>
  </r>
  <r>
    <x v="206"/>
    <s v="0"/>
    <n v="46035.9"/>
    <n v="0"/>
  </r>
  <r>
    <x v="206"/>
    <s v="1"/>
    <n v="44972.3"/>
    <n v="0"/>
  </r>
  <r>
    <x v="206"/>
    <s v="2"/>
    <n v="45065.3"/>
    <n v="0"/>
  </r>
  <r>
    <x v="206"/>
    <s v="3"/>
    <n v="44956.800000000003"/>
    <n v="0"/>
  </r>
  <r>
    <x v="206"/>
    <s v="4"/>
    <n v="45215.9"/>
    <n v="0"/>
  </r>
  <r>
    <x v="206"/>
    <s v="5"/>
    <n v="45014.8"/>
    <n v="0"/>
  </r>
  <r>
    <x v="206"/>
    <s v="6"/>
    <n v="45344.7"/>
    <n v="0"/>
  </r>
  <r>
    <x v="206"/>
    <s v="7"/>
    <n v="45380.2"/>
    <n v="0"/>
  </r>
  <r>
    <x v="206"/>
    <s v="8"/>
    <n v="45259"/>
    <n v="0"/>
  </r>
  <r>
    <x v="206"/>
    <s v="9"/>
    <n v="45325.7"/>
    <n v="0"/>
  </r>
  <r>
    <x v="206"/>
    <s v="10"/>
    <n v="44166.3"/>
    <n v="0"/>
  </r>
  <r>
    <x v="206"/>
    <s v="11"/>
    <n v="44317.3"/>
    <n v="0"/>
  </r>
  <r>
    <x v="206"/>
    <s v="12"/>
    <n v="44753.9"/>
    <n v="0"/>
  </r>
  <r>
    <x v="206"/>
    <s v="13"/>
    <n v="44751.7"/>
    <n v="0"/>
  </r>
  <r>
    <x v="206"/>
    <s v="14"/>
    <n v="44757.5"/>
    <n v="0"/>
  </r>
  <r>
    <x v="206"/>
    <s v="15"/>
    <n v="44847.3"/>
    <n v="0"/>
  </r>
  <r>
    <x v="206"/>
    <s v="16"/>
    <n v="44710.6"/>
    <n v="0"/>
  </r>
  <r>
    <x v="206"/>
    <s v="17"/>
    <n v="45153.8"/>
    <n v="0"/>
  </r>
  <r>
    <x v="206"/>
    <s v="18"/>
    <n v="44589.599999999999"/>
    <n v="0"/>
  </r>
  <r>
    <x v="206"/>
    <s v="19"/>
    <n v="44462.6"/>
    <n v="0"/>
  </r>
  <r>
    <x v="206"/>
    <s v="20"/>
    <n v="44620.800000000003"/>
    <n v="0"/>
  </r>
  <r>
    <x v="206"/>
    <s v="21"/>
    <n v="44641.1"/>
    <n v="0"/>
  </r>
  <r>
    <x v="206"/>
    <s v="22"/>
    <n v="44653.8"/>
    <n v="0"/>
  </r>
  <r>
    <x v="206"/>
    <s v="23"/>
    <n v="45405.7"/>
    <n v="0"/>
  </r>
  <r>
    <x v="207"/>
    <s v="0"/>
    <n v="51784"/>
    <n v="0"/>
  </r>
  <r>
    <x v="207"/>
    <s v="1"/>
    <n v="54014"/>
    <n v="0"/>
  </r>
  <r>
    <x v="207"/>
    <s v="2"/>
    <n v="53753.2"/>
    <n v="0"/>
  </r>
  <r>
    <x v="207"/>
    <s v="3"/>
    <n v="53922.400000000001"/>
    <n v="0"/>
  </r>
  <r>
    <x v="207"/>
    <s v="4"/>
    <n v="54313.9"/>
    <n v="0"/>
  </r>
  <r>
    <x v="207"/>
    <s v="5"/>
    <n v="54024.1"/>
    <n v="0"/>
  </r>
  <r>
    <x v="207"/>
    <s v="6"/>
    <n v="54377.8"/>
    <n v="0"/>
  </r>
  <r>
    <x v="207"/>
    <s v="7"/>
    <n v="54453.3"/>
    <n v="0"/>
  </r>
  <r>
    <x v="207"/>
    <s v="8"/>
    <n v="54496.9"/>
    <n v="0"/>
  </r>
  <r>
    <x v="207"/>
    <s v="9"/>
    <n v="54550.5"/>
    <n v="0"/>
  </r>
  <r>
    <x v="207"/>
    <s v="10"/>
    <n v="53974.3"/>
    <n v="0"/>
  </r>
  <r>
    <x v="207"/>
    <s v="11"/>
    <n v="54061.2"/>
    <n v="0"/>
  </r>
  <r>
    <x v="207"/>
    <s v="12"/>
    <n v="54128.2"/>
    <n v="0"/>
  </r>
  <r>
    <x v="207"/>
    <s v="13"/>
    <n v="54131.1"/>
    <n v="0"/>
  </r>
  <r>
    <x v="207"/>
    <s v="14"/>
    <n v="54130.6"/>
    <n v="0"/>
  </r>
  <r>
    <x v="207"/>
    <s v="15"/>
    <n v="54099.7"/>
    <n v="0"/>
  </r>
  <r>
    <x v="207"/>
    <s v="16"/>
    <n v="54043.6"/>
    <n v="0"/>
  </r>
  <r>
    <x v="207"/>
    <s v="17"/>
    <n v="53985.3"/>
    <n v="0"/>
  </r>
  <r>
    <x v="207"/>
    <s v="18"/>
    <n v="53825.8"/>
    <n v="0"/>
  </r>
  <r>
    <x v="207"/>
    <s v="19"/>
    <n v="54062.8"/>
    <n v="0"/>
  </r>
  <r>
    <x v="207"/>
    <s v="20"/>
    <n v="54057.599999999999"/>
    <n v="0"/>
  </r>
  <r>
    <x v="207"/>
    <s v="21"/>
    <n v="53994.6"/>
    <n v="0"/>
  </r>
  <r>
    <x v="207"/>
    <s v="22"/>
    <n v="54046.9"/>
    <n v="0"/>
  </r>
  <r>
    <x v="207"/>
    <s v="23"/>
    <n v="53918.5"/>
    <n v="0"/>
  </r>
  <r>
    <x v="208"/>
    <s v="0"/>
    <n v="53860.3"/>
    <n v="0"/>
  </r>
  <r>
    <x v="208"/>
    <s v="1"/>
    <n v="53913.1"/>
    <n v="0"/>
  </r>
  <r>
    <x v="208"/>
    <s v="2"/>
    <n v="53482.9"/>
    <n v="0"/>
  </r>
  <r>
    <x v="208"/>
    <s v="3"/>
    <n v="53713.3"/>
    <n v="0"/>
  </r>
  <r>
    <x v="208"/>
    <s v="4"/>
    <n v="53823.4"/>
    <n v="0"/>
  </r>
  <r>
    <x v="208"/>
    <s v="5"/>
    <n v="53635.7"/>
    <n v="0"/>
  </r>
  <r>
    <x v="208"/>
    <s v="6"/>
    <n v="53872.800000000003"/>
    <n v="0"/>
  </r>
  <r>
    <x v="208"/>
    <s v="7"/>
    <n v="53807.8"/>
    <n v="0"/>
  </r>
  <r>
    <x v="208"/>
    <s v="8"/>
    <n v="53762.400000000001"/>
    <n v="0"/>
  </r>
  <r>
    <x v="208"/>
    <s v="9"/>
    <n v="53757.599999999999"/>
    <n v="0"/>
  </r>
  <r>
    <x v="208"/>
    <s v="10"/>
    <n v="54140.1"/>
    <n v="0"/>
  </r>
  <r>
    <x v="208"/>
    <s v="11"/>
    <n v="54082.3"/>
    <n v="0"/>
  </r>
  <r>
    <x v="208"/>
    <s v="12"/>
    <n v="54088.6"/>
    <n v="0"/>
  </r>
  <r>
    <x v="208"/>
    <s v="13"/>
    <n v="53651.3"/>
    <n v="0"/>
  </r>
  <r>
    <x v="208"/>
    <s v="14"/>
    <n v="53808"/>
    <n v="0"/>
  </r>
  <r>
    <x v="208"/>
    <s v="15"/>
    <n v="54103.6"/>
    <n v="0"/>
  </r>
  <r>
    <x v="208"/>
    <s v="16"/>
    <n v="54637.2"/>
    <n v="0"/>
  </r>
  <r>
    <x v="208"/>
    <s v="17"/>
    <n v="54622.3"/>
    <n v="0"/>
  </r>
  <r>
    <x v="208"/>
    <s v="18"/>
    <n v="54577.2"/>
    <n v="0"/>
  </r>
  <r>
    <x v="208"/>
    <s v="19"/>
    <n v="54535.4"/>
    <n v="0"/>
  </r>
  <r>
    <x v="208"/>
    <s v="20"/>
    <n v="54517.7"/>
    <n v="0"/>
  </r>
  <r>
    <x v="208"/>
    <s v="21"/>
    <n v="54594.9"/>
    <n v="0"/>
  </r>
  <r>
    <x v="208"/>
    <s v="22"/>
    <n v="54318.8"/>
    <n v="0"/>
  </r>
  <r>
    <x v="208"/>
    <s v="23"/>
    <n v="54049.1"/>
    <n v="0"/>
  </r>
  <r>
    <x v="209"/>
    <s v="0"/>
    <n v="54332.7"/>
    <n v="0"/>
  </r>
  <r>
    <x v="209"/>
    <s v="1"/>
    <n v="54202.8"/>
    <n v="0"/>
  </r>
  <r>
    <x v="209"/>
    <s v="2"/>
    <n v="54171.5"/>
    <n v="0"/>
  </r>
  <r>
    <x v="209"/>
    <s v="3"/>
    <n v="54197.2"/>
    <n v="0"/>
  </r>
  <r>
    <x v="209"/>
    <s v="4"/>
    <n v="54318.6"/>
    <n v="0"/>
  </r>
  <r>
    <x v="209"/>
    <s v="5"/>
    <n v="54204.800000000003"/>
    <n v="0"/>
  </r>
  <r>
    <x v="209"/>
    <s v="6"/>
    <n v="53637.1"/>
    <n v="0"/>
  </r>
  <r>
    <x v="209"/>
    <s v="7"/>
    <n v="53711.8"/>
    <n v="0"/>
  </r>
  <r>
    <x v="209"/>
    <s v="8"/>
    <n v="53574.1"/>
    <n v="0"/>
  </r>
  <r>
    <x v="209"/>
    <s v="9"/>
    <n v="53650.5"/>
    <n v="0"/>
  </r>
  <r>
    <x v="209"/>
    <s v="10"/>
    <n v="54282.2"/>
    <n v="0"/>
  </r>
  <r>
    <x v="209"/>
    <s v="11"/>
    <n v="54415.199999999997"/>
    <n v="0"/>
  </r>
  <r>
    <x v="209"/>
    <s v="12"/>
    <n v="54240"/>
    <n v="0"/>
  </r>
  <r>
    <x v="209"/>
    <s v="13"/>
    <n v="53048.6"/>
    <n v="0"/>
  </r>
  <r>
    <x v="209"/>
    <s v="14"/>
    <n v="54509.1"/>
    <n v="0"/>
  </r>
  <r>
    <x v="209"/>
    <s v="15"/>
    <n v="54254.1"/>
    <n v="0"/>
  </r>
  <r>
    <x v="209"/>
    <s v="16"/>
    <n v="54408.6"/>
    <n v="0"/>
  </r>
  <r>
    <x v="209"/>
    <s v="17"/>
    <n v="54336.6"/>
    <n v="0"/>
  </r>
  <r>
    <x v="209"/>
    <s v="18"/>
    <n v="54465.1"/>
    <n v="0"/>
  </r>
  <r>
    <x v="209"/>
    <s v="19"/>
    <n v="54329.599999999999"/>
    <n v="0"/>
  </r>
  <r>
    <x v="209"/>
    <s v="20"/>
    <n v="54400.800000000003"/>
    <n v="0"/>
  </r>
  <r>
    <x v="209"/>
    <s v="21"/>
    <n v="54111.6"/>
    <n v="0"/>
  </r>
  <r>
    <x v="209"/>
    <s v="22"/>
    <n v="54269.1"/>
    <n v="0"/>
  </r>
  <r>
    <x v="209"/>
    <s v="23"/>
    <n v="54232.9"/>
    <n v="0"/>
  </r>
  <r>
    <x v="210"/>
    <s v="0"/>
    <n v="53770.9"/>
    <n v="0"/>
  </r>
  <r>
    <x v="210"/>
    <s v="1"/>
    <n v="53939.9"/>
    <n v="0"/>
  </r>
  <r>
    <x v="210"/>
    <s v="2"/>
    <n v="54163.1"/>
    <n v="0"/>
  </r>
  <r>
    <x v="210"/>
    <s v="3"/>
    <n v="54157.1"/>
    <n v="0"/>
  </r>
  <r>
    <x v="210"/>
    <s v="4"/>
    <n v="54193"/>
    <n v="0"/>
  </r>
  <r>
    <x v="210"/>
    <s v="5"/>
    <n v="54082.5"/>
    <n v="0"/>
  </r>
  <r>
    <x v="210"/>
    <s v="6"/>
    <n v="54172.3"/>
    <n v="0"/>
  </r>
  <r>
    <x v="210"/>
    <s v="7"/>
    <n v="54401.7"/>
    <n v="0"/>
  </r>
  <r>
    <x v="210"/>
    <s v="8"/>
    <n v="54415.5"/>
    <n v="0"/>
  </r>
  <r>
    <x v="210"/>
    <s v="9"/>
    <n v="54344.800000000003"/>
    <n v="0"/>
  </r>
  <r>
    <x v="210"/>
    <s v="10"/>
    <n v="54538.2"/>
    <n v="0"/>
  </r>
  <r>
    <x v="210"/>
    <s v="11"/>
    <n v="54445.4"/>
    <n v="0"/>
  </r>
  <r>
    <x v="210"/>
    <s v="12"/>
    <n v="53678"/>
    <n v="0"/>
  </r>
  <r>
    <x v="210"/>
    <s v="13"/>
    <n v="53390.6"/>
    <n v="0"/>
  </r>
  <r>
    <x v="210"/>
    <s v="14"/>
    <n v="53426.6"/>
    <n v="0"/>
  </r>
  <r>
    <x v="210"/>
    <s v="15"/>
    <n v="52783.199999999997"/>
    <n v="0"/>
  </r>
  <r>
    <x v="210"/>
    <s v="16"/>
    <n v="54304.7"/>
    <n v="0"/>
  </r>
  <r>
    <x v="210"/>
    <s v="17"/>
    <n v="54364.3"/>
    <n v="0"/>
  </r>
  <r>
    <x v="210"/>
    <s v="18"/>
    <n v="54754.7"/>
    <n v="0"/>
  </r>
  <r>
    <x v="210"/>
    <s v="19"/>
    <n v="54386.6"/>
    <n v="0"/>
  </r>
  <r>
    <x v="210"/>
    <s v="20"/>
    <n v="54332.4"/>
    <n v="0"/>
  </r>
  <r>
    <x v="210"/>
    <s v="21"/>
    <n v="54385.4"/>
    <n v="0"/>
  </r>
  <r>
    <x v="210"/>
    <s v="22"/>
    <n v="54353.1"/>
    <n v="0"/>
  </r>
  <r>
    <x v="210"/>
    <s v="23"/>
    <n v="54266.3"/>
    <n v="0"/>
  </r>
  <r>
    <x v="211"/>
    <s v="0"/>
    <n v="44605.2"/>
    <n v="0"/>
  </r>
  <r>
    <x v="211"/>
    <s v="1"/>
    <n v="44341.7"/>
    <n v="0"/>
  </r>
  <r>
    <x v="211"/>
    <s v="2"/>
    <n v="44222.3"/>
    <n v="0"/>
  </r>
  <r>
    <x v="211"/>
    <s v="3"/>
    <n v="44212.9"/>
    <n v="0"/>
  </r>
  <r>
    <x v="211"/>
    <s v="4"/>
    <n v="44335.7"/>
    <n v="0"/>
  </r>
  <r>
    <x v="211"/>
    <s v="5"/>
    <n v="44399.3"/>
    <n v="0"/>
  </r>
  <r>
    <x v="211"/>
    <s v="6"/>
    <n v="53724.1"/>
    <n v="0"/>
  </r>
  <r>
    <x v="211"/>
    <s v="7"/>
    <n v="54648"/>
    <n v="0"/>
  </r>
  <r>
    <x v="211"/>
    <s v="8"/>
    <n v="55065.9"/>
    <n v="0"/>
  </r>
  <r>
    <x v="211"/>
    <s v="9"/>
    <n v="54735"/>
    <n v="0"/>
  </r>
  <r>
    <x v="211"/>
    <s v="10"/>
    <n v="54826.2"/>
    <n v="0"/>
  </r>
  <r>
    <x v="211"/>
    <s v="11"/>
    <n v="54613.5"/>
    <n v="0"/>
  </r>
  <r>
    <x v="211"/>
    <s v="12"/>
    <n v="54724.7"/>
    <n v="0"/>
  </r>
  <r>
    <x v="211"/>
    <s v="13"/>
    <n v="54453.5"/>
    <n v="0"/>
  </r>
  <r>
    <x v="211"/>
    <s v="14"/>
    <n v="54453.4"/>
    <n v="0"/>
  </r>
  <r>
    <x v="211"/>
    <s v="15"/>
    <n v="53960.3"/>
    <n v="0"/>
  </r>
  <r>
    <x v="211"/>
    <s v="16"/>
    <n v="54889.8"/>
    <n v="0"/>
  </r>
  <r>
    <x v="211"/>
    <s v="17"/>
    <n v="54923.7"/>
    <n v="0"/>
  </r>
  <r>
    <x v="211"/>
    <s v="18"/>
    <n v="55219.1"/>
    <n v="0"/>
  </r>
  <r>
    <x v="211"/>
    <s v="19"/>
    <n v="54281"/>
    <n v="0"/>
  </r>
  <r>
    <x v="211"/>
    <s v="20"/>
    <n v="54221.1"/>
    <n v="0"/>
  </r>
  <r>
    <x v="211"/>
    <s v="21"/>
    <n v="54212.6"/>
    <n v="0"/>
  </r>
  <r>
    <x v="211"/>
    <s v="22"/>
    <n v="54236.2"/>
    <n v="0"/>
  </r>
  <r>
    <x v="211"/>
    <s v="23"/>
    <n v="54584.1"/>
    <n v="0"/>
  </r>
  <r>
    <x v="212"/>
    <s v="0"/>
    <n v="54735.7"/>
    <n v="0"/>
  </r>
  <r>
    <x v="212"/>
    <s v="1"/>
    <n v="54653.8"/>
    <n v="0"/>
  </r>
  <r>
    <x v="212"/>
    <s v="2"/>
    <n v="54657.8"/>
    <n v="0"/>
  </r>
  <r>
    <x v="212"/>
    <s v="3"/>
    <n v="54628.9"/>
    <n v="0"/>
  </r>
  <r>
    <x v="212"/>
    <s v="4"/>
    <n v="55287.3"/>
    <n v="0"/>
  </r>
  <r>
    <x v="212"/>
    <s v="5"/>
    <n v="55111.3"/>
    <n v="0"/>
  </r>
  <r>
    <x v="212"/>
    <s v="6"/>
    <n v="55119.4"/>
    <n v="0"/>
  </r>
  <r>
    <x v="212"/>
    <s v="7"/>
    <n v="55385.7"/>
    <n v="0"/>
  </r>
  <r>
    <x v="212"/>
    <s v="8"/>
    <n v="55412.1"/>
    <n v="0"/>
  </r>
  <r>
    <x v="212"/>
    <s v="9"/>
    <n v="54166"/>
    <n v="0"/>
  </r>
  <r>
    <x v="212"/>
    <s v="10"/>
    <n v="54176.800000000003"/>
    <n v="0"/>
  </r>
  <r>
    <x v="212"/>
    <s v="11"/>
    <n v="54087.7"/>
    <n v="0"/>
  </r>
  <r>
    <x v="212"/>
    <s v="12"/>
    <n v="54507.4"/>
    <n v="0"/>
  </r>
  <r>
    <x v="212"/>
    <s v="13"/>
    <n v="54449.599999999999"/>
    <n v="0"/>
  </r>
  <r>
    <x v="212"/>
    <s v="14"/>
    <n v="53986.5"/>
    <n v="0"/>
  </r>
  <r>
    <x v="212"/>
    <s v="15"/>
    <n v="53671.199999999997"/>
    <n v="0"/>
  </r>
  <r>
    <x v="212"/>
    <s v="16"/>
    <n v="53719.199999999997"/>
    <n v="0"/>
  </r>
  <r>
    <x v="212"/>
    <s v="17"/>
    <n v="52975.7"/>
    <n v="0"/>
  </r>
  <r>
    <x v="212"/>
    <s v="18"/>
    <n v="54459.6"/>
    <n v="0"/>
  </r>
  <r>
    <x v="212"/>
    <s v="19"/>
    <n v="54404.1"/>
    <n v="0"/>
  </r>
  <r>
    <x v="212"/>
    <s v="20"/>
    <n v="54308.5"/>
    <n v="0"/>
  </r>
  <r>
    <x v="212"/>
    <s v="21"/>
    <n v="66399.7"/>
    <n v="0"/>
  </r>
  <r>
    <x v="212"/>
    <s v="22"/>
    <n v="69500.2"/>
    <n v="0"/>
  </r>
  <r>
    <x v="212"/>
    <s v="23"/>
    <n v="60005.5"/>
    <n v="0"/>
  </r>
  <r>
    <x v="213"/>
    <s v="0"/>
    <n v="54179.3"/>
    <n v="0"/>
  </r>
  <r>
    <x v="213"/>
    <s v="1"/>
    <n v="54834.1"/>
    <n v="0"/>
  </r>
  <r>
    <x v="213"/>
    <s v="2"/>
    <n v="54628.2"/>
    <n v="0"/>
  </r>
  <r>
    <x v="213"/>
    <s v="3"/>
    <n v="54513.599999999999"/>
    <n v="0"/>
  </r>
  <r>
    <x v="213"/>
    <s v="4"/>
    <n v="54537.1"/>
    <n v="0"/>
  </r>
  <r>
    <x v="213"/>
    <s v="5"/>
    <n v="54641.3"/>
    <n v="0"/>
  </r>
  <r>
    <x v="213"/>
    <s v="6"/>
    <n v="54440"/>
    <n v="0"/>
  </r>
  <r>
    <x v="213"/>
    <s v="7"/>
    <n v="54794.400000000001"/>
    <n v="0"/>
  </r>
  <r>
    <x v="213"/>
    <s v="8"/>
    <n v="54762.400000000001"/>
    <n v="0"/>
  </r>
  <r>
    <x v="213"/>
    <s v="9"/>
    <n v="54826.400000000001"/>
    <n v="0"/>
  </r>
  <r>
    <x v="213"/>
    <s v="10"/>
    <n v="54777.2"/>
    <n v="0"/>
  </r>
  <r>
    <x v="213"/>
    <s v="11"/>
    <n v="54855.5"/>
    <n v="0"/>
  </r>
  <r>
    <x v="213"/>
    <s v="12"/>
    <n v="54827.6"/>
    <n v="0"/>
  </r>
  <r>
    <x v="213"/>
    <s v="13"/>
    <n v="54898.9"/>
    <n v="0"/>
  </r>
  <r>
    <x v="213"/>
    <s v="14"/>
    <n v="57508.3"/>
    <n v="0"/>
  </r>
  <r>
    <x v="213"/>
    <s v="15"/>
    <n v="65651.199999999997"/>
    <n v="0"/>
  </r>
  <r>
    <x v="213"/>
    <s v="16"/>
    <n v="62061.5"/>
    <n v="0"/>
  </r>
  <r>
    <x v="213"/>
    <s v="17"/>
    <n v="53087.6"/>
    <n v="0"/>
  </r>
  <r>
    <x v="213"/>
    <s v="18"/>
    <n v="53412"/>
    <n v="0"/>
  </r>
  <r>
    <x v="213"/>
    <s v="19"/>
    <n v="59419.4"/>
    <n v="0"/>
  </r>
  <r>
    <x v="213"/>
    <s v="20"/>
    <n v="56840.2"/>
    <n v="0"/>
  </r>
  <r>
    <x v="213"/>
    <s v="21"/>
    <n v="60144.6"/>
    <n v="0"/>
  </r>
  <r>
    <x v="213"/>
    <s v="22"/>
    <n v="53573.599999999999"/>
    <n v="0"/>
  </r>
  <r>
    <x v="213"/>
    <s v="23"/>
    <n v="53770.7"/>
    <n v="0"/>
  </r>
  <r>
    <x v="214"/>
    <s v="0"/>
    <n v="54367.6"/>
    <n v="0"/>
  </r>
  <r>
    <x v="214"/>
    <s v="1"/>
    <n v="54158.7"/>
    <n v="0"/>
  </r>
  <r>
    <x v="214"/>
    <s v="2"/>
    <n v="54097.4"/>
    <n v="0"/>
  </r>
  <r>
    <x v="214"/>
    <s v="3"/>
    <n v="54249.7"/>
    <n v="0"/>
  </r>
  <r>
    <x v="214"/>
    <s v="4"/>
    <n v="54192.7"/>
    <n v="0"/>
  </r>
  <r>
    <x v="214"/>
    <s v="5"/>
    <n v="54203.3"/>
    <n v="0"/>
  </r>
  <r>
    <x v="214"/>
    <s v="6"/>
    <n v="54131"/>
    <n v="0"/>
  </r>
  <r>
    <x v="214"/>
    <s v="7"/>
    <n v="54323.5"/>
    <n v="0"/>
  </r>
  <r>
    <x v="214"/>
    <s v="8"/>
    <n v="54330.2"/>
    <n v="0"/>
  </r>
  <r>
    <x v="214"/>
    <s v="9"/>
    <n v="54257"/>
    <n v="0"/>
  </r>
  <r>
    <x v="214"/>
    <s v="10"/>
    <n v="54516"/>
    <n v="0"/>
  </r>
  <r>
    <x v="214"/>
    <s v="11"/>
    <n v="55045.2"/>
    <n v="0"/>
  </r>
  <r>
    <x v="214"/>
    <s v="12"/>
    <n v="55161.599999999999"/>
    <n v="0"/>
  </r>
  <r>
    <x v="214"/>
    <s v="13"/>
    <n v="55051.199999999997"/>
    <n v="0"/>
  </r>
  <r>
    <x v="214"/>
    <s v="14"/>
    <n v="62830.9"/>
    <n v="0"/>
  </r>
  <r>
    <x v="214"/>
    <s v="15"/>
    <n v="68370.3"/>
    <n v="0"/>
  </r>
  <r>
    <x v="214"/>
    <s v="16"/>
    <n v="68297"/>
    <n v="0"/>
  </r>
  <r>
    <x v="214"/>
    <s v="17"/>
    <n v="67107.100000000006"/>
    <n v="0"/>
  </r>
  <r>
    <x v="214"/>
    <s v="18"/>
    <n v="54929.1"/>
    <n v="0"/>
  </r>
  <r>
    <x v="214"/>
    <s v="19"/>
    <n v="65946.2"/>
    <n v="0"/>
  </r>
  <r>
    <x v="214"/>
    <s v="20"/>
    <n v="67286.7"/>
    <n v="0"/>
  </r>
  <r>
    <x v="214"/>
    <s v="21"/>
    <n v="67126.100000000006"/>
    <n v="0"/>
  </r>
  <r>
    <x v="214"/>
    <s v="22"/>
    <n v="55146.1"/>
    <n v="0"/>
  </r>
  <r>
    <x v="214"/>
    <s v="23"/>
    <n v="53940.4"/>
    <n v="0"/>
  </r>
  <r>
    <x v="215"/>
    <s v="0"/>
    <n v="52590.3"/>
    <n v="0"/>
  </r>
  <r>
    <x v="215"/>
    <s v="1"/>
    <n v="52952.4"/>
    <n v="0"/>
  </r>
  <r>
    <x v="215"/>
    <s v="2"/>
    <n v="52824.7"/>
    <n v="0"/>
  </r>
  <r>
    <x v="215"/>
    <s v="3"/>
    <n v="52798.3"/>
    <n v="0"/>
  </r>
  <r>
    <x v="215"/>
    <s v="4"/>
    <n v="52812.3"/>
    <n v="0"/>
  </r>
  <r>
    <x v="215"/>
    <s v="5"/>
    <n v="52884.7"/>
    <n v="0"/>
  </r>
  <r>
    <x v="215"/>
    <s v="6"/>
    <n v="52908.7"/>
    <n v="0"/>
  </r>
  <r>
    <x v="215"/>
    <s v="7"/>
    <n v="52922.400000000001"/>
    <n v="0"/>
  </r>
  <r>
    <x v="215"/>
    <s v="8"/>
    <n v="52990.6"/>
    <n v="0"/>
  </r>
  <r>
    <x v="215"/>
    <s v="9"/>
    <n v="53042.9"/>
    <n v="0"/>
  </r>
  <r>
    <x v="215"/>
    <s v="10"/>
    <n v="52851.4"/>
    <n v="0"/>
  </r>
  <r>
    <x v="215"/>
    <s v="11"/>
    <n v="53082.7"/>
    <n v="0"/>
  </r>
  <r>
    <x v="215"/>
    <s v="12"/>
    <n v="53058"/>
    <n v="0"/>
  </r>
  <r>
    <x v="215"/>
    <s v="13"/>
    <n v="53059.5"/>
    <n v="0"/>
  </r>
  <r>
    <x v="215"/>
    <s v="14"/>
    <n v="58388.3"/>
    <n v="0"/>
  </r>
  <r>
    <x v="215"/>
    <s v="15"/>
    <n v="68093.899999999994"/>
    <n v="0"/>
  </r>
  <r>
    <x v="215"/>
    <s v="16"/>
    <n v="67386.7"/>
    <n v="0"/>
  </r>
  <r>
    <x v="215"/>
    <s v="17"/>
    <n v="66840.399999999994"/>
    <n v="0"/>
  </r>
  <r>
    <x v="215"/>
    <s v="18"/>
    <n v="69149"/>
    <n v="0"/>
  </r>
  <r>
    <x v="215"/>
    <s v="19"/>
    <n v="54476.6"/>
    <n v="0"/>
  </r>
  <r>
    <x v="215"/>
    <s v="20"/>
    <n v="58208.3"/>
    <n v="0"/>
  </r>
  <r>
    <x v="215"/>
    <s v="21"/>
    <n v="70261.899999999994"/>
    <n v="0"/>
  </r>
  <r>
    <x v="215"/>
    <s v="22"/>
    <n v="69500.899999999994"/>
    <n v="0"/>
  </r>
  <r>
    <x v="215"/>
    <s v="23"/>
    <n v="54015.9"/>
    <n v="0"/>
  </r>
  <r>
    <x v="216"/>
    <s v="0"/>
    <n v="53991.1"/>
    <n v="0"/>
  </r>
  <r>
    <x v="216"/>
    <s v="1"/>
    <n v="54027.8"/>
    <n v="0"/>
  </r>
  <r>
    <x v="216"/>
    <s v="2"/>
    <n v="53798.1"/>
    <n v="0"/>
  </r>
  <r>
    <x v="216"/>
    <s v="3"/>
    <n v="53807.9"/>
    <n v="0"/>
  </r>
  <r>
    <x v="216"/>
    <s v="4"/>
    <n v="53853.3"/>
    <n v="0"/>
  </r>
  <r>
    <x v="216"/>
    <s v="5"/>
    <n v="53847.8"/>
    <n v="0"/>
  </r>
  <r>
    <x v="216"/>
    <s v="6"/>
    <n v="53922.400000000001"/>
    <n v="0"/>
  </r>
  <r>
    <x v="216"/>
    <s v="7"/>
    <n v="53932.3"/>
    <n v="0"/>
  </r>
  <r>
    <x v="216"/>
    <s v="8"/>
    <n v="53979.7"/>
    <n v="0"/>
  </r>
  <r>
    <x v="216"/>
    <s v="9"/>
    <n v="53542.6"/>
    <n v="0"/>
  </r>
  <r>
    <x v="216"/>
    <s v="10"/>
    <n v="53448.5"/>
    <n v="0"/>
  </r>
  <r>
    <x v="216"/>
    <s v="11"/>
    <n v="53446.2"/>
    <n v="0"/>
  </r>
  <r>
    <x v="216"/>
    <s v="12"/>
    <n v="53346.7"/>
    <n v="0"/>
  </r>
  <r>
    <x v="216"/>
    <s v="13"/>
    <n v="52412.800000000003"/>
    <n v="0"/>
  </r>
  <r>
    <x v="216"/>
    <s v="14"/>
    <n v="53904.1"/>
    <n v="0"/>
  </r>
  <r>
    <x v="216"/>
    <s v="15"/>
    <n v="54217.3"/>
    <n v="0"/>
  </r>
  <r>
    <x v="216"/>
    <s v="16"/>
    <n v="53805.4"/>
    <n v="0"/>
  </r>
  <r>
    <x v="216"/>
    <s v="17"/>
    <n v="53893.3"/>
    <n v="0"/>
  </r>
  <r>
    <x v="216"/>
    <s v="18"/>
    <n v="68917.899999999994"/>
    <n v="0"/>
  </r>
  <r>
    <x v="216"/>
    <s v="19"/>
    <n v="55692"/>
    <n v="0"/>
  </r>
  <r>
    <x v="216"/>
    <s v="20"/>
    <n v="54015"/>
    <n v="0"/>
  </r>
  <r>
    <x v="216"/>
    <s v="21"/>
    <n v="54120"/>
    <n v="0"/>
  </r>
  <r>
    <x v="216"/>
    <s v="22"/>
    <n v="53917.5"/>
    <n v="0"/>
  </r>
  <r>
    <x v="216"/>
    <s v="23"/>
    <n v="53995.7"/>
    <n v="0"/>
  </r>
  <r>
    <x v="217"/>
    <s v="0"/>
    <n v="61336.4"/>
    <n v="0"/>
  </r>
  <r>
    <x v="217"/>
    <s v="1"/>
    <n v="61769.9"/>
    <n v="0"/>
  </r>
  <r>
    <x v="217"/>
    <s v="2"/>
    <n v="61808.1"/>
    <n v="0"/>
  </r>
  <r>
    <x v="217"/>
    <s v="3"/>
    <n v="61781.599999999999"/>
    <n v="0"/>
  </r>
  <r>
    <x v="217"/>
    <s v="4"/>
    <n v="61849.1"/>
    <n v="0"/>
  </r>
  <r>
    <x v="217"/>
    <s v="5"/>
    <n v="74455.3"/>
    <n v="0"/>
  </r>
  <r>
    <x v="217"/>
    <s v="6"/>
    <n v="76060.100000000006"/>
    <n v="0"/>
  </r>
  <r>
    <x v="217"/>
    <s v="7"/>
    <n v="76855.399999999994"/>
    <n v="0"/>
  </r>
  <r>
    <x v="217"/>
    <s v="8"/>
    <n v="76609.899999999994"/>
    <n v="0"/>
  </r>
  <r>
    <x v="217"/>
    <s v="9"/>
    <n v="76393.3"/>
    <n v="0"/>
  </r>
  <r>
    <x v="217"/>
    <s v="10"/>
    <n v="76972.800000000003"/>
    <n v="0"/>
  </r>
  <r>
    <x v="217"/>
    <s v="11"/>
    <n v="76341.399999999994"/>
    <n v="0"/>
  </r>
  <r>
    <x v="217"/>
    <s v="12"/>
    <n v="76187.199999999997"/>
    <n v="0"/>
  </r>
  <r>
    <x v="217"/>
    <s v="13"/>
    <n v="76413.600000000006"/>
    <n v="0"/>
  </r>
  <r>
    <x v="217"/>
    <s v="14"/>
    <n v="76510.399999999994"/>
    <n v="0"/>
  </r>
  <r>
    <x v="217"/>
    <s v="15"/>
    <n v="76371.899999999994"/>
    <n v="0"/>
  </r>
  <r>
    <x v="217"/>
    <s v="16"/>
    <n v="76603"/>
    <n v="0"/>
  </r>
  <r>
    <x v="217"/>
    <s v="17"/>
    <n v="63721.5"/>
    <n v="0"/>
  </r>
  <r>
    <x v="217"/>
    <s v="18"/>
    <n v="62497.1"/>
    <n v="0"/>
  </r>
  <r>
    <x v="217"/>
    <s v="19"/>
    <n v="62765.4"/>
    <n v="0"/>
  </r>
  <r>
    <x v="217"/>
    <s v="20"/>
    <n v="61602.400000000001"/>
    <n v="0"/>
  </r>
  <r>
    <x v="217"/>
    <s v="21"/>
    <n v="63005.9"/>
    <n v="0"/>
  </r>
  <r>
    <x v="217"/>
    <s v="22"/>
    <n v="62850.8"/>
    <n v="0"/>
  </r>
  <r>
    <x v="217"/>
    <s v="23"/>
    <n v="62980.7"/>
    <n v="0"/>
  </r>
  <r>
    <x v="218"/>
    <s v="0"/>
    <n v="63009.9"/>
    <n v="0"/>
  </r>
  <r>
    <x v="218"/>
    <s v="1"/>
    <n v="62508.800000000003"/>
    <n v="0"/>
  </r>
  <r>
    <x v="218"/>
    <s v="2"/>
    <n v="62363.7"/>
    <n v="0"/>
  </r>
  <r>
    <x v="218"/>
    <s v="3"/>
    <n v="62400.5"/>
    <n v="0"/>
  </r>
  <r>
    <x v="218"/>
    <s v="4"/>
    <n v="62420"/>
    <n v="0"/>
  </r>
  <r>
    <x v="218"/>
    <s v="5"/>
    <n v="62371.6"/>
    <n v="0"/>
  </r>
  <r>
    <x v="218"/>
    <s v="6"/>
    <n v="62348.4"/>
    <n v="0"/>
  </r>
  <r>
    <x v="218"/>
    <s v="7"/>
    <n v="62445.8"/>
    <n v="0"/>
  </r>
  <r>
    <x v="218"/>
    <s v="8"/>
    <n v="62835.9"/>
    <n v="0"/>
  </r>
  <r>
    <x v="218"/>
    <s v="9"/>
    <n v="62574.5"/>
    <n v="0"/>
  </r>
  <r>
    <x v="218"/>
    <s v="10"/>
    <n v="62714.5"/>
    <n v="0"/>
  </r>
  <r>
    <x v="218"/>
    <s v="11"/>
    <n v="62553.5"/>
    <n v="0"/>
  </r>
  <r>
    <x v="218"/>
    <s v="12"/>
    <n v="62402.7"/>
    <n v="0"/>
  </r>
  <r>
    <x v="218"/>
    <s v="13"/>
    <n v="62467.3"/>
    <n v="0"/>
  </r>
  <r>
    <x v="218"/>
    <s v="14"/>
    <n v="62448.2"/>
    <n v="0"/>
  </r>
  <r>
    <x v="218"/>
    <s v="15"/>
    <n v="62671"/>
    <n v="0"/>
  </r>
  <r>
    <x v="218"/>
    <s v="16"/>
    <n v="62991.7"/>
    <n v="0"/>
  </r>
  <r>
    <x v="218"/>
    <s v="17"/>
    <n v="61918.5"/>
    <n v="0"/>
  </r>
  <r>
    <x v="218"/>
    <s v="18"/>
    <n v="62032.4"/>
    <n v="0"/>
  </r>
  <r>
    <x v="218"/>
    <s v="19"/>
    <n v="62132.1"/>
    <n v="0"/>
  </r>
  <r>
    <x v="218"/>
    <s v="20"/>
    <n v="62778.5"/>
    <n v="0"/>
  </r>
  <r>
    <x v="218"/>
    <s v="21"/>
    <n v="62627.7"/>
    <n v="0"/>
  </r>
  <r>
    <x v="218"/>
    <s v="22"/>
    <n v="61970.7"/>
    <n v="0"/>
  </r>
  <r>
    <x v="218"/>
    <s v="23"/>
    <n v="61882.400000000001"/>
    <n v="0"/>
  </r>
  <r>
    <x v="219"/>
    <s v="0"/>
    <n v="61760.6"/>
    <n v="0"/>
  </r>
  <r>
    <x v="219"/>
    <s v="1"/>
    <n v="62090.5"/>
    <n v="0"/>
  </r>
  <r>
    <x v="219"/>
    <s v="2"/>
    <n v="62036.4"/>
    <n v="0"/>
  </r>
  <r>
    <x v="219"/>
    <s v="3"/>
    <n v="62115.199999999997"/>
    <n v="0"/>
  </r>
  <r>
    <x v="219"/>
    <s v="4"/>
    <n v="62065"/>
    <n v="0"/>
  </r>
  <r>
    <x v="219"/>
    <s v="5"/>
    <n v="61993.4"/>
    <n v="0"/>
  </r>
  <r>
    <x v="219"/>
    <s v="6"/>
    <n v="62451.3"/>
    <n v="0"/>
  </r>
  <r>
    <x v="219"/>
    <s v="7"/>
    <n v="61916.4"/>
    <n v="0"/>
  </r>
  <r>
    <x v="219"/>
    <s v="8"/>
    <n v="63131.1"/>
    <n v="0"/>
  </r>
  <r>
    <x v="219"/>
    <s v="9"/>
    <n v="62896.5"/>
    <n v="0"/>
  </r>
  <r>
    <x v="219"/>
    <s v="10"/>
    <n v="63138.9"/>
    <n v="0"/>
  </r>
  <r>
    <x v="219"/>
    <s v="11"/>
    <n v="63150.8"/>
    <n v="0"/>
  </r>
  <r>
    <x v="219"/>
    <s v="12"/>
    <n v="63069.599999999999"/>
    <n v="0"/>
  </r>
  <r>
    <x v="219"/>
    <s v="13"/>
    <n v="63209.3"/>
    <n v="0"/>
  </r>
  <r>
    <x v="219"/>
    <s v="14"/>
    <n v="63110.6"/>
    <n v="0"/>
  </r>
  <r>
    <x v="219"/>
    <s v="15"/>
    <n v="63195.3"/>
    <n v="0"/>
  </r>
  <r>
    <x v="219"/>
    <s v="16"/>
    <n v="62848.3"/>
    <n v="0"/>
  </r>
  <r>
    <x v="219"/>
    <s v="17"/>
    <n v="63012.1"/>
    <n v="0"/>
  </r>
  <r>
    <x v="219"/>
    <s v="18"/>
    <n v="62858.6"/>
    <n v="0"/>
  </r>
  <r>
    <x v="219"/>
    <s v="19"/>
    <n v="62931.4"/>
    <n v="0"/>
  </r>
  <r>
    <x v="219"/>
    <s v="20"/>
    <n v="62153"/>
    <n v="0"/>
  </r>
  <r>
    <x v="219"/>
    <s v="21"/>
    <n v="62266.7"/>
    <n v="0"/>
  </r>
  <r>
    <x v="219"/>
    <s v="22"/>
    <n v="62132.3"/>
    <n v="0"/>
  </r>
  <r>
    <x v="219"/>
    <s v="23"/>
    <n v="62273"/>
    <n v="0"/>
  </r>
  <r>
    <x v="220"/>
    <s v="0"/>
    <n v="60122.9"/>
    <n v="0"/>
  </r>
  <r>
    <x v="220"/>
    <s v="1"/>
    <n v="60040.800000000003"/>
    <n v="0"/>
  </r>
  <r>
    <x v="220"/>
    <s v="2"/>
    <n v="60128.6"/>
    <n v="0"/>
  </r>
  <r>
    <x v="220"/>
    <s v="3"/>
    <n v="59995.9"/>
    <n v="0"/>
  </r>
  <r>
    <x v="220"/>
    <s v="4"/>
    <n v="60166.5"/>
    <n v="0"/>
  </r>
  <r>
    <x v="220"/>
    <s v="5"/>
    <n v="59948.5"/>
    <n v="0"/>
  </r>
  <r>
    <x v="220"/>
    <s v="6"/>
    <n v="60027.9"/>
    <n v="0"/>
  </r>
  <r>
    <x v="220"/>
    <s v="7"/>
    <n v="60414.2"/>
    <n v="0"/>
  </r>
  <r>
    <x v="220"/>
    <s v="8"/>
    <n v="61201.9"/>
    <n v="0"/>
  </r>
  <r>
    <x v="220"/>
    <s v="9"/>
    <n v="61312.5"/>
    <n v="0"/>
  </r>
  <r>
    <x v="220"/>
    <s v="10"/>
    <n v="61309.7"/>
    <n v="0"/>
  </r>
  <r>
    <x v="220"/>
    <s v="11"/>
    <n v="61252.3"/>
    <n v="0"/>
  </r>
  <r>
    <x v="220"/>
    <s v="12"/>
    <n v="61323.6"/>
    <n v="0"/>
  </r>
  <r>
    <x v="220"/>
    <s v="13"/>
    <n v="68386.399999999994"/>
    <n v="0"/>
  </r>
  <r>
    <x v="220"/>
    <s v="14"/>
    <n v="76141.399999999994"/>
    <n v="0"/>
  </r>
  <r>
    <x v="220"/>
    <s v="15"/>
    <n v="76024.100000000006"/>
    <n v="0"/>
  </r>
  <r>
    <x v="220"/>
    <s v="16"/>
    <n v="76107.899999999994"/>
    <n v="0"/>
  </r>
  <r>
    <x v="220"/>
    <s v="17"/>
    <n v="74020.7"/>
    <n v="0"/>
  </r>
  <r>
    <x v="220"/>
    <s v="18"/>
    <n v="62927.4"/>
    <n v="0"/>
  </r>
  <r>
    <x v="220"/>
    <s v="19"/>
    <n v="60032.3"/>
    <n v="0"/>
  </r>
  <r>
    <x v="220"/>
    <s v="20"/>
    <n v="60049.8"/>
    <n v="0"/>
  </r>
  <r>
    <x v="220"/>
    <s v="21"/>
    <n v="71423.8"/>
    <n v="0"/>
  </r>
  <r>
    <x v="220"/>
    <s v="22"/>
    <n v="76020.399999999994"/>
    <n v="0"/>
  </r>
  <r>
    <x v="220"/>
    <s v="23"/>
    <n v="74384.7"/>
    <n v="0"/>
  </r>
  <r>
    <x v="221"/>
    <s v="0"/>
    <n v="50558.1"/>
    <n v="0"/>
  </r>
  <r>
    <x v="221"/>
    <s v="1"/>
    <n v="50901.3"/>
    <n v="0"/>
  </r>
  <r>
    <x v="221"/>
    <s v="2"/>
    <n v="51014.1"/>
    <n v="0"/>
  </r>
  <r>
    <x v="221"/>
    <s v="3"/>
    <n v="50944.3"/>
    <n v="0"/>
  </r>
  <r>
    <x v="221"/>
    <s v="4"/>
    <n v="50642.9"/>
    <n v="0"/>
  </r>
  <r>
    <x v="221"/>
    <s v="5"/>
    <n v="50717.1"/>
    <n v="0"/>
  </r>
  <r>
    <x v="221"/>
    <s v="6"/>
    <n v="50538.8"/>
    <n v="0"/>
  </r>
  <r>
    <x v="221"/>
    <s v="7"/>
    <n v="50785.3"/>
    <n v="0"/>
  </r>
  <r>
    <x v="221"/>
    <s v="8"/>
    <n v="51597.599999999999"/>
    <n v="0"/>
  </r>
  <r>
    <x v="221"/>
    <s v="9"/>
    <n v="50726.7"/>
    <n v="0"/>
  </r>
  <r>
    <x v="221"/>
    <s v="10"/>
    <n v="50787.9"/>
    <n v="0"/>
  </r>
  <r>
    <x v="221"/>
    <s v="11"/>
    <n v="50622.6"/>
    <n v="0"/>
  </r>
  <r>
    <x v="221"/>
    <s v="12"/>
    <n v="50862.3"/>
    <n v="0"/>
  </r>
  <r>
    <x v="221"/>
    <s v="13"/>
    <n v="51261.9"/>
    <n v="0"/>
  </r>
  <r>
    <x v="221"/>
    <s v="14"/>
    <n v="51489.1"/>
    <n v="0"/>
  </r>
  <r>
    <x v="221"/>
    <s v="15"/>
    <n v="51462.5"/>
    <n v="0"/>
  </r>
  <r>
    <x v="221"/>
    <s v="16"/>
    <n v="51392.7"/>
    <n v="0"/>
  </r>
  <r>
    <x v="221"/>
    <s v="17"/>
    <n v="51423.9"/>
    <n v="0"/>
  </r>
  <r>
    <x v="221"/>
    <s v="18"/>
    <n v="51404.3"/>
    <n v="0"/>
  </r>
  <r>
    <x v="221"/>
    <s v="19"/>
    <n v="66714.899999999994"/>
    <n v="0"/>
  </r>
  <r>
    <x v="221"/>
    <s v="20"/>
    <n v="67391.5"/>
    <n v="0"/>
  </r>
  <r>
    <x v="221"/>
    <s v="21"/>
    <n v="60089"/>
    <n v="0"/>
  </r>
  <r>
    <x v="221"/>
    <s v="22"/>
    <n v="67327.100000000006"/>
    <n v="0"/>
  </r>
  <r>
    <x v="221"/>
    <s v="23"/>
    <n v="66701.8"/>
    <n v="0"/>
  </r>
  <r>
    <x v="222"/>
    <s v="0"/>
    <n v="67027.3"/>
    <n v="0"/>
  </r>
  <r>
    <x v="222"/>
    <s v="1"/>
    <n v="67674.899999999994"/>
    <n v="0"/>
  </r>
  <r>
    <x v="222"/>
    <s v="2"/>
    <n v="67537.5"/>
    <n v="0"/>
  </r>
  <r>
    <x v="222"/>
    <s v="3"/>
    <n v="52685.599999999999"/>
    <n v="0"/>
  </r>
  <r>
    <x v="222"/>
    <s v="4"/>
    <n v="51123.1"/>
    <n v="0"/>
  </r>
  <r>
    <x v="222"/>
    <s v="5"/>
    <n v="51018.5"/>
    <n v="0"/>
  </r>
  <r>
    <x v="222"/>
    <s v="6"/>
    <n v="51083.199999999997"/>
    <n v="0"/>
  </r>
  <r>
    <x v="222"/>
    <s v="7"/>
    <n v="50965.9"/>
    <n v="0"/>
  </r>
  <r>
    <x v="222"/>
    <s v="8"/>
    <n v="51746"/>
    <n v="0"/>
  </r>
  <r>
    <x v="222"/>
    <s v="9"/>
    <n v="51759.8"/>
    <n v="0"/>
  </r>
  <r>
    <x v="222"/>
    <s v="10"/>
    <n v="51766"/>
    <n v="0"/>
  </r>
  <r>
    <x v="222"/>
    <s v="11"/>
    <n v="51794.7"/>
    <n v="0"/>
  </r>
  <r>
    <x v="222"/>
    <s v="12"/>
    <n v="51795.6"/>
    <n v="0"/>
  </r>
  <r>
    <x v="222"/>
    <s v="13"/>
    <n v="51822.7"/>
    <n v="0"/>
  </r>
  <r>
    <x v="222"/>
    <s v="14"/>
    <n v="61867.7"/>
    <n v="0"/>
  </r>
  <r>
    <x v="222"/>
    <s v="15"/>
    <n v="65495.1"/>
    <n v="0"/>
  </r>
  <r>
    <x v="222"/>
    <s v="16"/>
    <n v="53106.5"/>
    <n v="0"/>
  </r>
  <r>
    <x v="222"/>
    <s v="17"/>
    <n v="53238.3"/>
    <n v="0"/>
  </r>
  <r>
    <x v="222"/>
    <s v="18"/>
    <n v="53300.7"/>
    <n v="0"/>
  </r>
  <r>
    <x v="222"/>
    <s v="19"/>
    <n v="53252.3"/>
    <n v="0"/>
  </r>
  <r>
    <x v="222"/>
    <s v="20"/>
    <n v="64510.1"/>
    <n v="0"/>
  </r>
  <r>
    <x v="222"/>
    <s v="21"/>
    <n v="54984.3"/>
    <n v="0"/>
  </r>
  <r>
    <x v="222"/>
    <s v="22"/>
    <n v="53814.2"/>
    <n v="0"/>
  </r>
  <r>
    <x v="222"/>
    <s v="23"/>
    <n v="53420.1"/>
    <n v="0"/>
  </r>
  <r>
    <x v="223"/>
    <s v="0"/>
    <n v="52959.9"/>
    <n v="0"/>
  </r>
  <r>
    <x v="223"/>
    <s v="1"/>
    <n v="53158.400000000001"/>
    <n v="0"/>
  </r>
  <r>
    <x v="223"/>
    <s v="2"/>
    <n v="53324"/>
    <n v="0"/>
  </r>
  <r>
    <x v="223"/>
    <s v="3"/>
    <n v="53819.8"/>
    <n v="0"/>
  </r>
  <r>
    <x v="223"/>
    <s v="4"/>
    <n v="53719.3"/>
    <n v="0"/>
  </r>
  <r>
    <x v="223"/>
    <s v="5"/>
    <n v="54115.199999999997"/>
    <n v="0"/>
  </r>
  <r>
    <x v="223"/>
    <s v="6"/>
    <n v="54175.4"/>
    <n v="0"/>
  </r>
  <r>
    <x v="223"/>
    <s v="7"/>
    <n v="54128"/>
    <n v="0"/>
  </r>
  <r>
    <x v="223"/>
    <s v="8"/>
    <n v="54216.6"/>
    <n v="0"/>
  </r>
  <r>
    <x v="223"/>
    <s v="9"/>
    <n v="54293.3"/>
    <n v="0"/>
  </r>
  <r>
    <x v="223"/>
    <s v="10"/>
    <n v="54293.8"/>
    <n v="0"/>
  </r>
  <r>
    <x v="223"/>
    <s v="11"/>
    <n v="54265.3"/>
    <n v="0"/>
  </r>
  <r>
    <x v="223"/>
    <s v="12"/>
    <n v="54226.3"/>
    <n v="0"/>
  </r>
  <r>
    <x v="223"/>
    <s v="13"/>
    <n v="63935.9"/>
    <n v="0"/>
  </r>
  <r>
    <x v="223"/>
    <s v="14"/>
    <n v="68214.5"/>
    <n v="0"/>
  </r>
  <r>
    <x v="223"/>
    <s v="15"/>
    <n v="55006.400000000001"/>
    <n v="0"/>
  </r>
  <r>
    <x v="223"/>
    <s v="16"/>
    <n v="53893.7"/>
    <n v="0"/>
  </r>
  <r>
    <x v="223"/>
    <s v="17"/>
    <n v="53342.1"/>
    <n v="0"/>
  </r>
  <r>
    <x v="223"/>
    <s v="18"/>
    <n v="53408.3"/>
    <n v="0"/>
  </r>
  <r>
    <x v="223"/>
    <s v="19"/>
    <n v="52712.5"/>
    <n v="0"/>
  </r>
  <r>
    <x v="223"/>
    <s v="20"/>
    <n v="54426.6"/>
    <n v="0"/>
  </r>
  <r>
    <x v="223"/>
    <s v="21"/>
    <n v="54465.9"/>
    <n v="0"/>
  </r>
  <r>
    <x v="223"/>
    <s v="22"/>
    <n v="54533.9"/>
    <n v="0"/>
  </r>
  <r>
    <x v="223"/>
    <s v="23"/>
    <n v="54050.8"/>
    <n v="0"/>
  </r>
  <r>
    <x v="224"/>
    <s v="0"/>
    <n v="53713.3"/>
    <n v="0"/>
  </r>
  <r>
    <x v="224"/>
    <s v="1"/>
    <n v="53529.4"/>
    <n v="0"/>
  </r>
  <r>
    <x v="224"/>
    <s v="2"/>
    <n v="53577.5"/>
    <n v="0"/>
  </r>
  <r>
    <x v="224"/>
    <s v="3"/>
    <n v="53523.3"/>
    <n v="0"/>
  </r>
  <r>
    <x v="224"/>
    <s v="4"/>
    <n v="53526.2"/>
    <n v="0"/>
  </r>
  <r>
    <x v="224"/>
    <s v="5"/>
    <n v="53479.9"/>
    <n v="0"/>
  </r>
  <r>
    <x v="224"/>
    <s v="6"/>
    <n v="53516"/>
    <n v="0"/>
  </r>
  <r>
    <x v="224"/>
    <s v="7"/>
    <n v="53574.9"/>
    <n v="0"/>
  </r>
  <r>
    <x v="224"/>
    <s v="8"/>
    <n v="53600.2"/>
    <n v="0"/>
  </r>
  <r>
    <x v="224"/>
    <s v="9"/>
    <n v="53565.5"/>
    <n v="0"/>
  </r>
  <r>
    <x v="224"/>
    <s v="10"/>
    <n v="53577.9"/>
    <n v="0"/>
  </r>
  <r>
    <x v="224"/>
    <s v="11"/>
    <n v="53687.3"/>
    <n v="0"/>
  </r>
  <r>
    <x v="224"/>
    <s v="12"/>
    <n v="53679.6"/>
    <n v="0"/>
  </r>
  <r>
    <x v="224"/>
    <s v="13"/>
    <n v="53676.2"/>
    <n v="0"/>
  </r>
  <r>
    <x v="224"/>
    <s v="14"/>
    <n v="53657.2"/>
    <n v="0"/>
  </r>
  <r>
    <x v="224"/>
    <s v="15"/>
    <n v="53692.7"/>
    <n v="0"/>
  </r>
  <r>
    <x v="224"/>
    <s v="16"/>
    <n v="52686.400000000001"/>
    <n v="0"/>
  </r>
  <r>
    <x v="224"/>
    <s v="17"/>
    <n v="52591.199999999997"/>
    <n v="0"/>
  </r>
  <r>
    <x v="224"/>
    <s v="18"/>
    <n v="52687.4"/>
    <n v="0"/>
  </r>
  <r>
    <x v="224"/>
    <s v="19"/>
    <n v="53349"/>
    <n v="0"/>
  </r>
  <r>
    <x v="224"/>
    <s v="20"/>
    <n v="54006.9"/>
    <n v="0"/>
  </r>
  <r>
    <x v="224"/>
    <s v="21"/>
    <n v="53057.3"/>
    <n v="0"/>
  </r>
  <r>
    <x v="224"/>
    <s v="22"/>
    <n v="54184.3"/>
    <n v="0"/>
  </r>
  <r>
    <x v="224"/>
    <s v="23"/>
    <n v="54214.5"/>
    <n v="0"/>
  </r>
  <r>
    <x v="225"/>
    <s v="0"/>
    <n v="60530.9"/>
    <n v="0"/>
  </r>
  <r>
    <x v="225"/>
    <s v="1"/>
    <n v="60923.3"/>
    <n v="0"/>
  </r>
  <r>
    <x v="225"/>
    <s v="2"/>
    <n v="61551.199999999997"/>
    <n v="0"/>
  </r>
  <r>
    <x v="225"/>
    <s v="3"/>
    <n v="61662.400000000001"/>
    <n v="0"/>
  </r>
  <r>
    <x v="225"/>
    <s v="4"/>
    <n v="62500.2"/>
    <n v="0"/>
  </r>
  <r>
    <x v="225"/>
    <s v="5"/>
    <n v="62353"/>
    <n v="0"/>
  </r>
  <r>
    <x v="225"/>
    <s v="6"/>
    <n v="62436.6"/>
    <n v="0"/>
  </r>
  <r>
    <x v="225"/>
    <s v="7"/>
    <n v="62512.3"/>
    <n v="0"/>
  </r>
  <r>
    <x v="225"/>
    <s v="8"/>
    <n v="62528.800000000003"/>
    <n v="0"/>
  </r>
  <r>
    <x v="225"/>
    <s v="9"/>
    <n v="62607.5"/>
    <n v="0"/>
  </r>
  <r>
    <x v="225"/>
    <s v="10"/>
    <n v="62417.9"/>
    <n v="0"/>
  </r>
  <r>
    <x v="225"/>
    <s v="11"/>
    <n v="62638.7"/>
    <n v="0"/>
  </r>
  <r>
    <x v="225"/>
    <s v="12"/>
    <n v="62472.7"/>
    <n v="0"/>
  </r>
  <r>
    <x v="225"/>
    <s v="13"/>
    <n v="62556.9"/>
    <n v="0"/>
  </r>
  <r>
    <x v="225"/>
    <s v="14"/>
    <n v="62538.3"/>
    <n v="0"/>
  </r>
  <r>
    <x v="225"/>
    <s v="15"/>
    <n v="62490.3"/>
    <n v="0"/>
  </r>
  <r>
    <x v="225"/>
    <s v="16"/>
    <n v="62455.8"/>
    <n v="0"/>
  </r>
  <r>
    <x v="225"/>
    <s v="17"/>
    <n v="62299.7"/>
    <n v="0"/>
  </r>
  <r>
    <x v="225"/>
    <s v="18"/>
    <n v="61298.3"/>
    <n v="0"/>
  </r>
  <r>
    <x v="225"/>
    <s v="19"/>
    <n v="72104.5"/>
    <n v="0"/>
  </r>
  <r>
    <x v="225"/>
    <s v="20"/>
    <n v="76341.600000000006"/>
    <n v="0"/>
  </r>
  <r>
    <x v="225"/>
    <s v="21"/>
    <n v="75799.100000000006"/>
    <n v="0"/>
  </r>
  <r>
    <x v="225"/>
    <s v="22"/>
    <n v="74237"/>
    <n v="0"/>
  </r>
  <r>
    <x v="225"/>
    <s v="23"/>
    <n v="76469.3"/>
    <n v="0"/>
  </r>
  <r>
    <x v="226"/>
    <s v="0"/>
    <n v="62350.8"/>
    <n v="0"/>
  </r>
  <r>
    <x v="226"/>
    <s v="1"/>
    <n v="59162.1"/>
    <n v="0"/>
  </r>
  <r>
    <x v="226"/>
    <s v="2"/>
    <n v="59134.7"/>
    <n v="0"/>
  </r>
  <r>
    <x v="226"/>
    <s v="3"/>
    <n v="59516.2"/>
    <n v="0"/>
  </r>
  <r>
    <x v="226"/>
    <s v="4"/>
    <n v="59879.199999999997"/>
    <n v="0"/>
  </r>
  <r>
    <x v="226"/>
    <s v="5"/>
    <n v="59924.6"/>
    <n v="0"/>
  </r>
  <r>
    <x v="226"/>
    <s v="6"/>
    <n v="59844.1"/>
    <n v="0"/>
  </r>
  <r>
    <x v="226"/>
    <s v="7"/>
    <n v="59759.8"/>
    <n v="0"/>
  </r>
  <r>
    <x v="226"/>
    <s v="8"/>
    <n v="61633.4"/>
    <n v="0"/>
  </r>
  <r>
    <x v="226"/>
    <s v="9"/>
    <n v="59379.1"/>
    <n v="0"/>
  </r>
  <r>
    <x v="226"/>
    <s v="10"/>
    <n v="59992.6"/>
    <n v="0"/>
  </r>
  <r>
    <x v="226"/>
    <s v="11"/>
    <n v="59856.5"/>
    <n v="0"/>
  </r>
  <r>
    <x v="226"/>
    <s v="12"/>
    <n v="59167.6"/>
    <n v="0"/>
  </r>
  <r>
    <x v="226"/>
    <s v="13"/>
    <n v="64548"/>
    <n v="0"/>
  </r>
  <r>
    <x v="226"/>
    <s v="14"/>
    <n v="75361.600000000006"/>
    <n v="0"/>
  </r>
  <r>
    <x v="226"/>
    <s v="15"/>
    <n v="66234.8"/>
    <n v="0"/>
  </r>
  <r>
    <x v="226"/>
    <s v="16"/>
    <n v="62839"/>
    <n v="0"/>
  </r>
  <r>
    <x v="226"/>
    <s v="17"/>
    <n v="62518.400000000001"/>
    <n v="0"/>
  </r>
  <r>
    <x v="226"/>
    <s v="18"/>
    <n v="62194.400000000001"/>
    <n v="0"/>
  </r>
  <r>
    <x v="226"/>
    <s v="19"/>
    <n v="61821.9"/>
    <n v="0"/>
  </r>
  <r>
    <x v="226"/>
    <s v="20"/>
    <n v="62441.2"/>
    <n v="0"/>
  </r>
  <r>
    <x v="226"/>
    <s v="21"/>
    <n v="62118.5"/>
    <n v="0"/>
  </r>
  <r>
    <x v="226"/>
    <s v="22"/>
    <n v="62257.2"/>
    <n v="0"/>
  </r>
  <r>
    <x v="226"/>
    <s v="23"/>
    <n v="61622.1"/>
    <n v="0"/>
  </r>
  <r>
    <x v="227"/>
    <s v="0"/>
    <n v="52066.400000000001"/>
    <n v="0"/>
  </r>
  <r>
    <x v="227"/>
    <s v="1"/>
    <n v="51389"/>
    <n v="0"/>
  </r>
  <r>
    <x v="227"/>
    <s v="2"/>
    <n v="51329.1"/>
    <n v="0"/>
  </r>
  <r>
    <x v="227"/>
    <s v="3"/>
    <n v="51386.8"/>
    <n v="0"/>
  </r>
  <r>
    <x v="227"/>
    <s v="4"/>
    <n v="51392.7"/>
    <n v="0"/>
  </r>
  <r>
    <x v="227"/>
    <s v="5"/>
    <n v="51283.3"/>
    <n v="0"/>
  </r>
  <r>
    <x v="227"/>
    <s v="6"/>
    <n v="51377"/>
    <n v="0"/>
  </r>
  <r>
    <x v="227"/>
    <s v="7"/>
    <n v="51371.199999999997"/>
    <n v="0"/>
  </r>
  <r>
    <x v="227"/>
    <s v="8"/>
    <n v="51502.9"/>
    <n v="0"/>
  </r>
  <r>
    <x v="227"/>
    <s v="9"/>
    <n v="51465.4"/>
    <n v="0"/>
  </r>
  <r>
    <x v="227"/>
    <s v="10"/>
    <n v="51652.4"/>
    <n v="0"/>
  </r>
  <r>
    <x v="227"/>
    <s v="11"/>
    <n v="51563.9"/>
    <n v="0"/>
  </r>
  <r>
    <x v="227"/>
    <s v="12"/>
    <n v="51518.3"/>
    <n v="0"/>
  </r>
  <r>
    <x v="227"/>
    <s v="13"/>
    <n v="51508.6"/>
    <n v="0"/>
  </r>
  <r>
    <x v="227"/>
    <s v="14"/>
    <n v="51602"/>
    <n v="0"/>
  </r>
  <r>
    <x v="227"/>
    <s v="15"/>
    <n v="51588.3"/>
    <n v="0"/>
  </r>
  <r>
    <x v="227"/>
    <s v="16"/>
    <n v="51573.7"/>
    <n v="0"/>
  </r>
  <r>
    <x v="227"/>
    <s v="17"/>
    <n v="51638"/>
    <n v="0"/>
  </r>
  <r>
    <x v="227"/>
    <s v="18"/>
    <n v="52054.2"/>
    <n v="0"/>
  </r>
  <r>
    <x v="227"/>
    <s v="19"/>
    <n v="52037.9"/>
    <n v="0"/>
  </r>
  <r>
    <x v="227"/>
    <s v="20"/>
    <n v="52080.1"/>
    <n v="0"/>
  </r>
  <r>
    <x v="227"/>
    <s v="21"/>
    <n v="51849.4"/>
    <n v="0"/>
  </r>
  <r>
    <x v="227"/>
    <s v="22"/>
    <n v="51899.199999999997"/>
    <n v="0"/>
  </r>
  <r>
    <x v="227"/>
    <s v="23"/>
    <n v="51989.1"/>
    <n v="0"/>
  </r>
  <r>
    <x v="228"/>
    <s v="0"/>
    <n v="51939.3"/>
    <n v="0"/>
  </r>
  <r>
    <x v="228"/>
    <s v="1"/>
    <n v="51223.7"/>
    <n v="0"/>
  </r>
  <r>
    <x v="228"/>
    <s v="2"/>
    <n v="51415.5"/>
    <n v="0"/>
  </r>
  <r>
    <x v="228"/>
    <s v="3"/>
    <n v="51492.800000000003"/>
    <n v="0"/>
  </r>
  <r>
    <x v="228"/>
    <s v="4"/>
    <n v="52046.3"/>
    <n v="0"/>
  </r>
  <r>
    <x v="228"/>
    <s v="5"/>
    <n v="51931.6"/>
    <n v="0"/>
  </r>
  <r>
    <x v="228"/>
    <s v="6"/>
    <n v="51954.8"/>
    <n v="0"/>
  </r>
  <r>
    <x v="228"/>
    <s v="7"/>
    <n v="52031.9"/>
    <n v="0"/>
  </r>
  <r>
    <x v="228"/>
    <s v="8"/>
    <n v="52002.1"/>
    <n v="0"/>
  </r>
  <r>
    <x v="228"/>
    <s v="9"/>
    <n v="51848.7"/>
    <n v="0"/>
  </r>
  <r>
    <x v="228"/>
    <s v="10"/>
    <n v="52036.800000000003"/>
    <n v="0"/>
  </r>
  <r>
    <x v="228"/>
    <s v="11"/>
    <n v="52111.8"/>
    <n v="0"/>
  </r>
  <r>
    <x v="228"/>
    <s v="12"/>
    <n v="52039.4"/>
    <n v="0"/>
  </r>
  <r>
    <x v="228"/>
    <s v="13"/>
    <n v="52157.9"/>
    <n v="0"/>
  </r>
  <r>
    <x v="228"/>
    <s v="14"/>
    <n v="52069.599999999999"/>
    <n v="0"/>
  </r>
  <r>
    <x v="228"/>
    <s v="15"/>
    <n v="52143.4"/>
    <n v="0"/>
  </r>
  <r>
    <x v="228"/>
    <s v="16"/>
    <n v="52097.7"/>
    <n v="0"/>
  </r>
  <r>
    <x v="228"/>
    <s v="17"/>
    <n v="52057.5"/>
    <n v="0"/>
  </r>
  <r>
    <x v="228"/>
    <s v="18"/>
    <n v="52677.1"/>
    <n v="0"/>
  </r>
  <r>
    <x v="228"/>
    <s v="19"/>
    <n v="52592.9"/>
    <n v="0"/>
  </r>
  <r>
    <x v="228"/>
    <s v="20"/>
    <n v="62452.4"/>
    <n v="0"/>
  </r>
  <r>
    <x v="228"/>
    <s v="21"/>
    <n v="52860.1"/>
    <n v="0"/>
  </r>
  <r>
    <x v="228"/>
    <s v="22"/>
    <n v="52162"/>
    <n v="0"/>
  </r>
  <r>
    <x v="228"/>
    <s v="23"/>
    <n v="52358.7"/>
    <n v="0"/>
  </r>
  <r>
    <x v="229"/>
    <s v="0"/>
    <n v="51713.3"/>
    <n v="0"/>
  </r>
  <r>
    <x v="229"/>
    <s v="1"/>
    <n v="50995.3"/>
    <n v="0"/>
  </r>
  <r>
    <x v="229"/>
    <s v="2"/>
    <n v="51502.1"/>
    <n v="0"/>
  </r>
  <r>
    <x v="229"/>
    <s v="3"/>
    <n v="51622"/>
    <n v="0"/>
  </r>
  <r>
    <x v="229"/>
    <s v="4"/>
    <n v="51688.800000000003"/>
    <n v="0"/>
  </r>
  <r>
    <x v="229"/>
    <s v="5"/>
    <n v="51630.9"/>
    <n v="0"/>
  </r>
  <r>
    <x v="229"/>
    <s v="6"/>
    <n v="51667"/>
    <n v="0"/>
  </r>
  <r>
    <x v="229"/>
    <s v="7"/>
    <n v="51804.800000000003"/>
    <n v="0"/>
  </r>
  <r>
    <x v="229"/>
    <s v="8"/>
    <n v="51794.7"/>
    <n v="0"/>
  </r>
  <r>
    <x v="229"/>
    <s v="9"/>
    <n v="51877.8"/>
    <n v="0"/>
  </r>
  <r>
    <x v="229"/>
    <s v="10"/>
    <n v="51905.5"/>
    <n v="0"/>
  </r>
  <r>
    <x v="229"/>
    <s v="11"/>
    <n v="51880.7"/>
    <n v="0"/>
  </r>
  <r>
    <x v="229"/>
    <s v="12"/>
    <n v="51814.400000000001"/>
    <n v="0"/>
  </r>
  <r>
    <x v="229"/>
    <s v="13"/>
    <n v="51905.1"/>
    <n v="0"/>
  </r>
  <r>
    <x v="229"/>
    <s v="14"/>
    <n v="50545.2"/>
    <n v="0"/>
  </r>
  <r>
    <x v="229"/>
    <s v="15"/>
    <n v="51200.4"/>
    <n v="0"/>
  </r>
  <r>
    <x v="229"/>
    <s v="16"/>
    <n v="51269.9"/>
    <n v="0"/>
  </r>
  <r>
    <x v="229"/>
    <s v="17"/>
    <n v="51244.4"/>
    <n v="0"/>
  </r>
  <r>
    <x v="229"/>
    <s v="18"/>
    <n v="51935.6"/>
    <n v="0"/>
  </r>
  <r>
    <x v="229"/>
    <s v="19"/>
    <n v="52641"/>
    <n v="0"/>
  </r>
  <r>
    <x v="229"/>
    <s v="20"/>
    <n v="52497.1"/>
    <n v="0"/>
  </r>
  <r>
    <x v="229"/>
    <s v="21"/>
    <n v="52226.7"/>
    <n v="0"/>
  </r>
  <r>
    <x v="229"/>
    <s v="22"/>
    <n v="52357.5"/>
    <n v="0"/>
  </r>
  <r>
    <x v="229"/>
    <s v="23"/>
    <n v="53236.1"/>
    <n v="0"/>
  </r>
  <r>
    <x v="230"/>
    <s v="0"/>
    <n v="54413.2"/>
    <n v="0"/>
  </r>
  <r>
    <x v="230"/>
    <s v="1"/>
    <n v="53905.9"/>
    <n v="0"/>
  </r>
  <r>
    <x v="230"/>
    <s v="2"/>
    <n v="53081.599999999999"/>
    <n v="0"/>
  </r>
  <r>
    <x v="230"/>
    <s v="3"/>
    <n v="53741.7"/>
    <n v="0"/>
  </r>
  <r>
    <x v="230"/>
    <s v="4"/>
    <n v="54480.5"/>
    <n v="0"/>
  </r>
  <r>
    <x v="230"/>
    <s v="5"/>
    <n v="54192.5"/>
    <n v="0"/>
  </r>
  <r>
    <x v="230"/>
    <s v="6"/>
    <n v="53910.7"/>
    <n v="0"/>
  </r>
  <r>
    <x v="230"/>
    <s v="7"/>
    <n v="53627.9"/>
    <n v="0"/>
  </r>
  <r>
    <x v="230"/>
    <s v="8"/>
    <n v="53552.4"/>
    <n v="0"/>
  </r>
  <r>
    <x v="230"/>
    <s v="9"/>
    <n v="53660.2"/>
    <n v="0"/>
  </r>
  <r>
    <x v="230"/>
    <s v="10"/>
    <n v="53600"/>
    <n v="0"/>
  </r>
  <r>
    <x v="230"/>
    <s v="11"/>
    <n v="53665.3"/>
    <n v="0"/>
  </r>
  <r>
    <x v="230"/>
    <s v="12"/>
    <n v="53493.3"/>
    <n v="0"/>
  </r>
  <r>
    <x v="230"/>
    <s v="13"/>
    <n v="53537.1"/>
    <n v="0"/>
  </r>
  <r>
    <x v="230"/>
    <s v="14"/>
    <n v="53651.199999999997"/>
    <n v="0"/>
  </r>
  <r>
    <x v="230"/>
    <s v="15"/>
    <n v="52877.4"/>
    <n v="0"/>
  </r>
  <r>
    <x v="230"/>
    <s v="16"/>
    <n v="52668"/>
    <n v="0"/>
  </r>
  <r>
    <x v="230"/>
    <s v="17"/>
    <n v="52663.1"/>
    <n v="0"/>
  </r>
  <r>
    <x v="230"/>
    <s v="18"/>
    <n v="52281.5"/>
    <n v="0"/>
  </r>
  <r>
    <x v="230"/>
    <s v="19"/>
    <n v="52886.1"/>
    <n v="0"/>
  </r>
  <r>
    <x v="230"/>
    <s v="20"/>
    <n v="53774.5"/>
    <n v="0"/>
  </r>
  <r>
    <x v="230"/>
    <s v="21"/>
    <n v="53584.9"/>
    <n v="0"/>
  </r>
  <r>
    <x v="230"/>
    <s v="22"/>
    <n v="53515.4"/>
    <n v="0"/>
  </r>
  <r>
    <x v="230"/>
    <s v="23"/>
    <n v="53973.1"/>
    <n v="0"/>
  </r>
  <r>
    <x v="231"/>
    <s v="0"/>
    <n v="54173"/>
    <n v="0"/>
  </r>
  <r>
    <x v="231"/>
    <s v="1"/>
    <n v="52912.6"/>
    <n v="0"/>
  </r>
  <r>
    <x v="231"/>
    <s v="2"/>
    <n v="53348.9"/>
    <n v="0"/>
  </r>
  <r>
    <x v="231"/>
    <s v="3"/>
    <n v="53692.7"/>
    <n v="0"/>
  </r>
  <r>
    <x v="231"/>
    <s v="4"/>
    <n v="68198.8"/>
    <n v="0"/>
  </r>
  <r>
    <x v="231"/>
    <s v="5"/>
    <n v="68141.399999999994"/>
    <n v="0"/>
  </r>
  <r>
    <x v="231"/>
    <s v="6"/>
    <n v="72511.899999999994"/>
    <n v="0"/>
  </r>
  <r>
    <x v="231"/>
    <s v="7"/>
    <n v="68580"/>
    <n v="0"/>
  </r>
  <r>
    <x v="231"/>
    <s v="8"/>
    <n v="53686"/>
    <n v="0"/>
  </r>
  <r>
    <x v="231"/>
    <s v="9"/>
    <n v="53564.1"/>
    <n v="0"/>
  </r>
  <r>
    <x v="231"/>
    <s v="10"/>
    <n v="53755.6"/>
    <n v="0"/>
  </r>
  <r>
    <x v="231"/>
    <s v="11"/>
    <n v="53417.599999999999"/>
    <n v="0"/>
  </r>
  <r>
    <x v="231"/>
    <s v="12"/>
    <n v="53151.5"/>
    <n v="0"/>
  </r>
  <r>
    <x v="231"/>
    <s v="13"/>
    <n v="52141.1"/>
    <n v="0"/>
  </r>
  <r>
    <x v="231"/>
    <s v="14"/>
    <n v="53879.1"/>
    <n v="0"/>
  </r>
  <r>
    <x v="231"/>
    <s v="15"/>
    <n v="54123.3"/>
    <n v="0"/>
  </r>
  <r>
    <x v="231"/>
    <s v="16"/>
    <n v="54194.1"/>
    <n v="0"/>
  </r>
  <r>
    <x v="231"/>
    <s v="17"/>
    <n v="54209.3"/>
    <n v="0"/>
  </r>
  <r>
    <x v="231"/>
    <s v="18"/>
    <n v="53566"/>
    <n v="0"/>
  </r>
  <r>
    <x v="231"/>
    <s v="19"/>
    <n v="53761.1"/>
    <n v="0"/>
  </r>
  <r>
    <x v="231"/>
    <s v="20"/>
    <n v="53696.4"/>
    <n v="0"/>
  </r>
  <r>
    <x v="231"/>
    <s v="21"/>
    <n v="53599.6"/>
    <n v="0"/>
  </r>
  <r>
    <x v="231"/>
    <s v="22"/>
    <n v="53641"/>
    <n v="0"/>
  </r>
  <r>
    <x v="231"/>
    <s v="23"/>
    <n v="54065.9"/>
    <n v="0"/>
  </r>
  <r>
    <x v="232"/>
    <s v="0"/>
    <n v="52927"/>
    <n v="0"/>
  </r>
  <r>
    <x v="232"/>
    <s v="1"/>
    <n v="54687"/>
    <n v="0"/>
  </r>
  <r>
    <x v="232"/>
    <s v="2"/>
    <n v="54273.599999999999"/>
    <n v="0"/>
  </r>
  <r>
    <x v="232"/>
    <s v="3"/>
    <n v="53637.5"/>
    <n v="0"/>
  </r>
  <r>
    <x v="232"/>
    <s v="4"/>
    <n v="53647"/>
    <n v="0"/>
  </r>
  <r>
    <x v="232"/>
    <s v="5"/>
    <n v="53549.9"/>
    <n v="0"/>
  </r>
  <r>
    <x v="232"/>
    <s v="6"/>
    <n v="53613.5"/>
    <n v="0"/>
  </r>
  <r>
    <x v="232"/>
    <s v="7"/>
    <n v="53611.7"/>
    <n v="0"/>
  </r>
  <r>
    <x v="232"/>
    <s v="8"/>
    <n v="53781.599999999999"/>
    <n v="0"/>
  </r>
  <r>
    <x v="232"/>
    <s v="9"/>
    <n v="53592"/>
    <n v="0"/>
  </r>
  <r>
    <x v="232"/>
    <s v="10"/>
    <n v="53643.3"/>
    <n v="0"/>
  </r>
  <r>
    <x v="232"/>
    <s v="11"/>
    <n v="53580"/>
    <n v="0"/>
  </r>
  <r>
    <x v="232"/>
    <s v="12"/>
    <n v="53676.7"/>
    <n v="0"/>
  </r>
  <r>
    <x v="232"/>
    <s v="13"/>
    <n v="53634.8"/>
    <n v="0"/>
  </r>
  <r>
    <x v="232"/>
    <s v="14"/>
    <n v="53637.2"/>
    <n v="0"/>
  </r>
  <r>
    <x v="232"/>
    <s v="15"/>
    <n v="53696.6"/>
    <n v="0"/>
  </r>
  <r>
    <x v="232"/>
    <s v="16"/>
    <n v="53626"/>
    <n v="0"/>
  </r>
  <r>
    <x v="232"/>
    <s v="17"/>
    <n v="53707.7"/>
    <n v="0"/>
  </r>
  <r>
    <x v="232"/>
    <s v="18"/>
    <n v="67978"/>
    <n v="0"/>
  </r>
  <r>
    <x v="232"/>
    <s v="19"/>
    <n v="67926.3"/>
    <n v="0"/>
  </r>
  <r>
    <x v="232"/>
    <s v="20"/>
    <n v="67910.8"/>
    <n v="0"/>
  </r>
  <r>
    <x v="232"/>
    <s v="21"/>
    <n v="69190.600000000006"/>
    <n v="0"/>
  </r>
  <r>
    <x v="232"/>
    <s v="22"/>
    <n v="70148.2"/>
    <n v="0"/>
  </r>
  <r>
    <x v="232"/>
    <s v="23"/>
    <n v="69829.399999999994"/>
    <n v="0"/>
  </r>
  <r>
    <x v="233"/>
    <s v="0"/>
    <m/>
    <m/>
  </r>
  <r>
    <x v="233"/>
    <s v="1"/>
    <m/>
    <m/>
  </r>
  <r>
    <x v="233"/>
    <s v="2"/>
    <m/>
    <m/>
  </r>
  <r>
    <x v="233"/>
    <s v="3"/>
    <m/>
    <m/>
  </r>
  <r>
    <x v="233"/>
    <s v="4"/>
    <m/>
    <m/>
  </r>
  <r>
    <x v="233"/>
    <s v="5"/>
    <m/>
    <m/>
  </r>
  <r>
    <x v="233"/>
    <s v="6"/>
    <m/>
    <m/>
  </r>
  <r>
    <x v="233"/>
    <s v="7"/>
    <m/>
    <m/>
  </r>
  <r>
    <x v="233"/>
    <s v="8"/>
    <m/>
    <m/>
  </r>
  <r>
    <x v="233"/>
    <s v="9"/>
    <m/>
    <m/>
  </r>
  <r>
    <x v="233"/>
    <s v="10"/>
    <m/>
    <m/>
  </r>
  <r>
    <x v="233"/>
    <s v="11"/>
    <m/>
    <m/>
  </r>
  <r>
    <x v="233"/>
    <s v="12"/>
    <m/>
    <m/>
  </r>
  <r>
    <x v="233"/>
    <s v="13"/>
    <m/>
    <m/>
  </r>
  <r>
    <x v="233"/>
    <s v="14"/>
    <m/>
    <m/>
  </r>
  <r>
    <x v="233"/>
    <s v="15"/>
    <m/>
    <m/>
  </r>
  <r>
    <x v="233"/>
    <s v="16"/>
    <m/>
    <m/>
  </r>
  <r>
    <x v="233"/>
    <s v="17"/>
    <m/>
    <m/>
  </r>
  <r>
    <x v="233"/>
    <s v="18"/>
    <m/>
    <m/>
  </r>
  <r>
    <x v="233"/>
    <s v="19"/>
    <m/>
    <m/>
  </r>
  <r>
    <x v="233"/>
    <s v="20"/>
    <m/>
    <m/>
  </r>
  <r>
    <x v="233"/>
    <s v="21"/>
    <m/>
    <m/>
  </r>
  <r>
    <x v="233"/>
    <s v="22"/>
    <m/>
    <m/>
  </r>
  <r>
    <x v="233"/>
    <s v="23"/>
    <m/>
    <m/>
  </r>
  <r>
    <x v="234"/>
    <s v="0"/>
    <m/>
    <m/>
  </r>
  <r>
    <x v="234"/>
    <s v="1"/>
    <m/>
    <m/>
  </r>
  <r>
    <x v="234"/>
    <s v="2"/>
    <m/>
    <m/>
  </r>
  <r>
    <x v="234"/>
    <s v="3"/>
    <m/>
    <m/>
  </r>
  <r>
    <x v="234"/>
    <s v="4"/>
    <m/>
    <m/>
  </r>
  <r>
    <x v="234"/>
    <s v="5"/>
    <m/>
    <m/>
  </r>
  <r>
    <x v="234"/>
    <s v="6"/>
    <m/>
    <m/>
  </r>
  <r>
    <x v="234"/>
    <s v="7"/>
    <m/>
    <m/>
  </r>
  <r>
    <x v="234"/>
    <s v="8"/>
    <m/>
    <m/>
  </r>
  <r>
    <x v="234"/>
    <s v="9"/>
    <m/>
    <m/>
  </r>
  <r>
    <x v="234"/>
    <s v="10"/>
    <m/>
    <m/>
  </r>
  <r>
    <x v="234"/>
    <s v="11"/>
    <m/>
    <m/>
  </r>
  <r>
    <x v="234"/>
    <s v="12"/>
    <m/>
    <m/>
  </r>
  <r>
    <x v="234"/>
    <s v="13"/>
    <m/>
    <m/>
  </r>
  <r>
    <x v="234"/>
    <s v="14"/>
    <m/>
    <m/>
  </r>
  <r>
    <x v="234"/>
    <s v="15"/>
    <m/>
    <m/>
  </r>
  <r>
    <x v="234"/>
    <s v="16"/>
    <m/>
    <m/>
  </r>
  <r>
    <x v="234"/>
    <s v="17"/>
    <m/>
    <m/>
  </r>
  <r>
    <x v="234"/>
    <s v="18"/>
    <m/>
    <m/>
  </r>
  <r>
    <x v="234"/>
    <s v="19"/>
    <m/>
    <m/>
  </r>
  <r>
    <x v="234"/>
    <s v="20"/>
    <m/>
    <m/>
  </r>
  <r>
    <x v="234"/>
    <s v="21"/>
    <m/>
    <m/>
  </r>
  <r>
    <x v="234"/>
    <s v="22"/>
    <m/>
    <m/>
  </r>
  <r>
    <x v="234"/>
    <s v="23"/>
    <m/>
    <m/>
  </r>
  <r>
    <x v="235"/>
    <s v="0"/>
    <m/>
    <m/>
  </r>
  <r>
    <x v="235"/>
    <s v="1"/>
    <m/>
    <m/>
  </r>
  <r>
    <x v="235"/>
    <s v="2"/>
    <m/>
    <m/>
  </r>
  <r>
    <x v="235"/>
    <s v="3"/>
    <m/>
    <m/>
  </r>
  <r>
    <x v="235"/>
    <s v="4"/>
    <m/>
    <m/>
  </r>
  <r>
    <x v="235"/>
    <s v="5"/>
    <m/>
    <m/>
  </r>
  <r>
    <x v="235"/>
    <s v="6"/>
    <m/>
    <m/>
  </r>
  <r>
    <x v="235"/>
    <s v="7"/>
    <m/>
    <m/>
  </r>
  <r>
    <x v="235"/>
    <s v="8"/>
    <m/>
    <m/>
  </r>
  <r>
    <x v="235"/>
    <s v="9"/>
    <m/>
    <m/>
  </r>
  <r>
    <x v="235"/>
    <s v="10"/>
    <m/>
    <m/>
  </r>
  <r>
    <x v="235"/>
    <s v="11"/>
    <m/>
    <m/>
  </r>
  <r>
    <x v="235"/>
    <s v="12"/>
    <m/>
    <m/>
  </r>
  <r>
    <x v="235"/>
    <s v="13"/>
    <m/>
    <m/>
  </r>
  <r>
    <x v="235"/>
    <s v="14"/>
    <m/>
    <m/>
  </r>
  <r>
    <x v="235"/>
    <s v="15"/>
    <m/>
    <m/>
  </r>
  <r>
    <x v="235"/>
    <s v="16"/>
    <m/>
    <m/>
  </r>
  <r>
    <x v="235"/>
    <s v="17"/>
    <m/>
    <m/>
  </r>
  <r>
    <x v="235"/>
    <s v="18"/>
    <m/>
    <m/>
  </r>
  <r>
    <x v="235"/>
    <s v="19"/>
    <m/>
    <m/>
  </r>
  <r>
    <x v="235"/>
    <s v="20"/>
    <m/>
    <m/>
  </r>
  <r>
    <x v="235"/>
    <s v="21"/>
    <m/>
    <m/>
  </r>
  <r>
    <x v="235"/>
    <s v="22"/>
    <m/>
    <m/>
  </r>
  <r>
    <x v="235"/>
    <s v="23"/>
    <m/>
    <m/>
  </r>
  <r>
    <x v="236"/>
    <s v="0"/>
    <m/>
    <m/>
  </r>
  <r>
    <x v="236"/>
    <s v="1"/>
    <m/>
    <m/>
  </r>
  <r>
    <x v="236"/>
    <s v="2"/>
    <m/>
    <m/>
  </r>
  <r>
    <x v="236"/>
    <s v="3"/>
    <m/>
    <m/>
  </r>
  <r>
    <x v="236"/>
    <s v="4"/>
    <m/>
    <m/>
  </r>
  <r>
    <x v="236"/>
    <s v="5"/>
    <m/>
    <m/>
  </r>
  <r>
    <x v="236"/>
    <s v="6"/>
    <m/>
    <m/>
  </r>
  <r>
    <x v="236"/>
    <s v="7"/>
    <m/>
    <m/>
  </r>
  <r>
    <x v="236"/>
    <s v="8"/>
    <m/>
    <m/>
  </r>
  <r>
    <x v="236"/>
    <s v="9"/>
    <m/>
    <m/>
  </r>
  <r>
    <x v="236"/>
    <s v="10"/>
    <m/>
    <m/>
  </r>
  <r>
    <x v="236"/>
    <s v="11"/>
    <m/>
    <m/>
  </r>
  <r>
    <x v="236"/>
    <s v="12"/>
    <m/>
    <m/>
  </r>
  <r>
    <x v="236"/>
    <s v="13"/>
    <m/>
    <m/>
  </r>
  <r>
    <x v="236"/>
    <s v="14"/>
    <m/>
    <m/>
  </r>
  <r>
    <x v="236"/>
    <s v="15"/>
    <m/>
    <m/>
  </r>
  <r>
    <x v="236"/>
    <s v="16"/>
    <m/>
    <m/>
  </r>
  <r>
    <x v="236"/>
    <s v="17"/>
    <m/>
    <m/>
  </r>
  <r>
    <x v="236"/>
    <s v="18"/>
    <m/>
    <m/>
  </r>
  <r>
    <x v="236"/>
    <s v="19"/>
    <m/>
    <m/>
  </r>
  <r>
    <x v="236"/>
    <s v="20"/>
    <m/>
    <m/>
  </r>
  <r>
    <x v="236"/>
    <s v="21"/>
    <m/>
    <m/>
  </r>
  <r>
    <x v="236"/>
    <s v="22"/>
    <m/>
    <m/>
  </r>
  <r>
    <x v="236"/>
    <s v="23"/>
    <m/>
    <m/>
  </r>
  <r>
    <x v="237"/>
    <s v="0"/>
    <m/>
    <m/>
  </r>
  <r>
    <x v="237"/>
    <s v="1"/>
    <m/>
    <m/>
  </r>
  <r>
    <x v="237"/>
    <s v="2"/>
    <m/>
    <m/>
  </r>
  <r>
    <x v="237"/>
    <s v="3"/>
    <m/>
    <m/>
  </r>
  <r>
    <x v="237"/>
    <s v="4"/>
    <m/>
    <m/>
  </r>
  <r>
    <x v="237"/>
    <s v="5"/>
    <m/>
    <m/>
  </r>
  <r>
    <x v="237"/>
    <s v="6"/>
    <m/>
    <m/>
  </r>
  <r>
    <x v="237"/>
    <s v="7"/>
    <m/>
    <m/>
  </r>
  <r>
    <x v="237"/>
    <s v="8"/>
    <m/>
    <m/>
  </r>
  <r>
    <x v="237"/>
    <s v="9"/>
    <m/>
    <m/>
  </r>
  <r>
    <x v="237"/>
    <s v="10"/>
    <m/>
    <m/>
  </r>
  <r>
    <x v="237"/>
    <s v="11"/>
    <m/>
    <m/>
  </r>
  <r>
    <x v="237"/>
    <s v="12"/>
    <m/>
    <m/>
  </r>
  <r>
    <x v="237"/>
    <s v="13"/>
    <m/>
    <m/>
  </r>
  <r>
    <x v="237"/>
    <s v="14"/>
    <m/>
    <m/>
  </r>
  <r>
    <x v="237"/>
    <s v="15"/>
    <m/>
    <m/>
  </r>
  <r>
    <x v="237"/>
    <s v="16"/>
    <m/>
    <m/>
  </r>
  <r>
    <x v="237"/>
    <s v="17"/>
    <m/>
    <m/>
  </r>
  <r>
    <x v="237"/>
    <s v="18"/>
    <m/>
    <m/>
  </r>
  <r>
    <x v="237"/>
    <s v="19"/>
    <m/>
    <m/>
  </r>
  <r>
    <x v="237"/>
    <s v="20"/>
    <m/>
    <m/>
  </r>
  <r>
    <x v="237"/>
    <s v="21"/>
    <m/>
    <m/>
  </r>
  <r>
    <x v="237"/>
    <s v="22"/>
    <m/>
    <m/>
  </r>
  <r>
    <x v="237"/>
    <s v="23"/>
    <m/>
    <m/>
  </r>
  <r>
    <x v="238"/>
    <s v="0"/>
    <m/>
    <m/>
  </r>
  <r>
    <x v="238"/>
    <s v="1"/>
    <m/>
    <m/>
  </r>
  <r>
    <x v="238"/>
    <s v="2"/>
    <m/>
    <m/>
  </r>
  <r>
    <x v="238"/>
    <s v="3"/>
    <m/>
    <m/>
  </r>
  <r>
    <x v="238"/>
    <s v="4"/>
    <m/>
    <m/>
  </r>
  <r>
    <x v="238"/>
    <s v="5"/>
    <m/>
    <m/>
  </r>
  <r>
    <x v="238"/>
    <s v="6"/>
    <m/>
    <m/>
  </r>
  <r>
    <x v="238"/>
    <s v="7"/>
    <m/>
    <m/>
  </r>
  <r>
    <x v="238"/>
    <s v="8"/>
    <m/>
    <m/>
  </r>
  <r>
    <x v="238"/>
    <s v="9"/>
    <m/>
    <m/>
  </r>
  <r>
    <x v="238"/>
    <s v="10"/>
    <m/>
    <m/>
  </r>
  <r>
    <x v="238"/>
    <s v="11"/>
    <m/>
    <m/>
  </r>
  <r>
    <x v="238"/>
    <s v="12"/>
    <m/>
    <m/>
  </r>
  <r>
    <x v="238"/>
    <s v="13"/>
    <m/>
    <m/>
  </r>
  <r>
    <x v="238"/>
    <s v="14"/>
    <m/>
    <m/>
  </r>
  <r>
    <x v="238"/>
    <s v="15"/>
    <m/>
    <m/>
  </r>
  <r>
    <x v="238"/>
    <s v="16"/>
    <m/>
    <m/>
  </r>
  <r>
    <x v="238"/>
    <s v="17"/>
    <m/>
    <m/>
  </r>
  <r>
    <x v="238"/>
    <s v="18"/>
    <m/>
    <m/>
  </r>
  <r>
    <x v="238"/>
    <s v="19"/>
    <m/>
    <m/>
  </r>
  <r>
    <x v="238"/>
    <s v="20"/>
    <m/>
    <m/>
  </r>
  <r>
    <x v="238"/>
    <s v="21"/>
    <m/>
    <m/>
  </r>
  <r>
    <x v="238"/>
    <s v="22"/>
    <m/>
    <m/>
  </r>
  <r>
    <x v="238"/>
    <s v="23"/>
    <m/>
    <m/>
  </r>
  <r>
    <x v="239"/>
    <s v="0"/>
    <m/>
    <m/>
  </r>
  <r>
    <x v="239"/>
    <s v="1"/>
    <m/>
    <m/>
  </r>
  <r>
    <x v="239"/>
    <s v="2"/>
    <m/>
    <m/>
  </r>
  <r>
    <x v="239"/>
    <s v="3"/>
    <m/>
    <m/>
  </r>
  <r>
    <x v="239"/>
    <s v="4"/>
    <m/>
    <m/>
  </r>
  <r>
    <x v="239"/>
    <s v="5"/>
    <m/>
    <m/>
  </r>
  <r>
    <x v="239"/>
    <s v="6"/>
    <m/>
    <m/>
  </r>
  <r>
    <x v="239"/>
    <s v="7"/>
    <m/>
    <m/>
  </r>
  <r>
    <x v="239"/>
    <s v="8"/>
    <m/>
    <m/>
  </r>
  <r>
    <x v="239"/>
    <s v="9"/>
    <m/>
    <m/>
  </r>
  <r>
    <x v="239"/>
    <s v="10"/>
    <m/>
    <m/>
  </r>
  <r>
    <x v="239"/>
    <s v="11"/>
    <m/>
    <m/>
  </r>
  <r>
    <x v="239"/>
    <s v="12"/>
    <m/>
    <m/>
  </r>
  <r>
    <x v="239"/>
    <s v="13"/>
    <m/>
    <m/>
  </r>
  <r>
    <x v="239"/>
    <s v="14"/>
    <m/>
    <m/>
  </r>
  <r>
    <x v="239"/>
    <s v="15"/>
    <m/>
    <m/>
  </r>
  <r>
    <x v="239"/>
    <s v="16"/>
    <m/>
    <m/>
  </r>
  <r>
    <x v="239"/>
    <s v="17"/>
    <m/>
    <m/>
  </r>
  <r>
    <x v="239"/>
    <s v="18"/>
    <m/>
    <m/>
  </r>
  <r>
    <x v="239"/>
    <s v="19"/>
    <m/>
    <m/>
  </r>
  <r>
    <x v="239"/>
    <s v="20"/>
    <m/>
    <m/>
  </r>
  <r>
    <x v="239"/>
    <s v="21"/>
    <m/>
    <m/>
  </r>
  <r>
    <x v="239"/>
    <s v="22"/>
    <m/>
    <m/>
  </r>
  <r>
    <x v="239"/>
    <s v="23"/>
    <m/>
    <m/>
  </r>
  <r>
    <x v="240"/>
    <s v="0"/>
    <m/>
    <m/>
  </r>
  <r>
    <x v="240"/>
    <s v="1"/>
    <m/>
    <m/>
  </r>
  <r>
    <x v="240"/>
    <s v="2"/>
    <m/>
    <m/>
  </r>
  <r>
    <x v="240"/>
    <s v="3"/>
    <m/>
    <m/>
  </r>
  <r>
    <x v="240"/>
    <s v="4"/>
    <m/>
    <m/>
  </r>
  <r>
    <x v="240"/>
    <s v="5"/>
    <m/>
    <m/>
  </r>
  <r>
    <x v="240"/>
    <s v="6"/>
    <m/>
    <m/>
  </r>
  <r>
    <x v="240"/>
    <s v="7"/>
    <m/>
    <m/>
  </r>
  <r>
    <x v="240"/>
    <s v="8"/>
    <m/>
    <m/>
  </r>
  <r>
    <x v="240"/>
    <s v="9"/>
    <m/>
    <m/>
  </r>
  <r>
    <x v="240"/>
    <s v="10"/>
    <m/>
    <m/>
  </r>
  <r>
    <x v="240"/>
    <s v="11"/>
    <m/>
    <m/>
  </r>
  <r>
    <x v="240"/>
    <s v="12"/>
    <m/>
    <m/>
  </r>
  <r>
    <x v="240"/>
    <s v="13"/>
    <m/>
    <m/>
  </r>
  <r>
    <x v="240"/>
    <s v="14"/>
    <m/>
    <m/>
  </r>
  <r>
    <x v="240"/>
    <s v="15"/>
    <m/>
    <m/>
  </r>
  <r>
    <x v="240"/>
    <s v="16"/>
    <m/>
    <m/>
  </r>
  <r>
    <x v="240"/>
    <s v="17"/>
    <m/>
    <m/>
  </r>
  <r>
    <x v="240"/>
    <s v="18"/>
    <m/>
    <m/>
  </r>
  <r>
    <x v="240"/>
    <s v="19"/>
    <m/>
    <m/>
  </r>
  <r>
    <x v="240"/>
    <s v="20"/>
    <m/>
    <m/>
  </r>
  <r>
    <x v="240"/>
    <s v="21"/>
    <m/>
    <m/>
  </r>
  <r>
    <x v="240"/>
    <s v="22"/>
    <m/>
    <m/>
  </r>
  <r>
    <x v="240"/>
    <s v="23"/>
    <m/>
    <m/>
  </r>
  <r>
    <x v="241"/>
    <s v="0"/>
    <m/>
    <m/>
  </r>
  <r>
    <x v="241"/>
    <s v="1"/>
    <m/>
    <m/>
  </r>
  <r>
    <x v="241"/>
    <s v="2"/>
    <m/>
    <m/>
  </r>
  <r>
    <x v="241"/>
    <s v="3"/>
    <m/>
    <m/>
  </r>
  <r>
    <x v="241"/>
    <s v="4"/>
    <m/>
    <m/>
  </r>
  <r>
    <x v="241"/>
    <s v="5"/>
    <m/>
    <m/>
  </r>
  <r>
    <x v="241"/>
    <s v="6"/>
    <m/>
    <m/>
  </r>
  <r>
    <x v="241"/>
    <s v="7"/>
    <m/>
    <m/>
  </r>
  <r>
    <x v="241"/>
    <s v="8"/>
    <m/>
    <m/>
  </r>
  <r>
    <x v="241"/>
    <s v="9"/>
    <m/>
    <m/>
  </r>
  <r>
    <x v="241"/>
    <s v="10"/>
    <m/>
    <m/>
  </r>
  <r>
    <x v="241"/>
    <s v="11"/>
    <m/>
    <m/>
  </r>
  <r>
    <x v="241"/>
    <s v="12"/>
    <m/>
    <m/>
  </r>
  <r>
    <x v="241"/>
    <s v="13"/>
    <m/>
    <m/>
  </r>
  <r>
    <x v="241"/>
    <s v="14"/>
    <m/>
    <m/>
  </r>
  <r>
    <x v="241"/>
    <s v="15"/>
    <m/>
    <m/>
  </r>
  <r>
    <x v="241"/>
    <s v="16"/>
    <m/>
    <m/>
  </r>
  <r>
    <x v="241"/>
    <s v="17"/>
    <m/>
    <m/>
  </r>
  <r>
    <x v="241"/>
    <s v="18"/>
    <m/>
    <m/>
  </r>
  <r>
    <x v="241"/>
    <s v="19"/>
    <m/>
    <m/>
  </r>
  <r>
    <x v="241"/>
    <s v="20"/>
    <m/>
    <m/>
  </r>
  <r>
    <x v="241"/>
    <s v="21"/>
    <m/>
    <m/>
  </r>
  <r>
    <x v="241"/>
    <s v="22"/>
    <m/>
    <m/>
  </r>
  <r>
    <x v="241"/>
    <s v="23"/>
    <m/>
    <m/>
  </r>
  <r>
    <x v="242"/>
    <s v="0"/>
    <m/>
    <m/>
  </r>
  <r>
    <x v="242"/>
    <s v="1"/>
    <m/>
    <m/>
  </r>
  <r>
    <x v="242"/>
    <s v="2"/>
    <m/>
    <m/>
  </r>
  <r>
    <x v="242"/>
    <s v="3"/>
    <m/>
    <m/>
  </r>
  <r>
    <x v="242"/>
    <s v="4"/>
    <m/>
    <m/>
  </r>
  <r>
    <x v="242"/>
    <s v="5"/>
    <m/>
    <m/>
  </r>
  <r>
    <x v="242"/>
    <s v="6"/>
    <m/>
    <m/>
  </r>
  <r>
    <x v="242"/>
    <s v="7"/>
    <m/>
    <m/>
  </r>
  <r>
    <x v="242"/>
    <s v="8"/>
    <m/>
    <m/>
  </r>
  <r>
    <x v="242"/>
    <s v="9"/>
    <m/>
    <m/>
  </r>
  <r>
    <x v="242"/>
    <s v="10"/>
    <m/>
    <m/>
  </r>
  <r>
    <x v="242"/>
    <s v="11"/>
    <m/>
    <m/>
  </r>
  <r>
    <x v="242"/>
    <s v="12"/>
    <m/>
    <m/>
  </r>
  <r>
    <x v="242"/>
    <s v="13"/>
    <m/>
    <m/>
  </r>
  <r>
    <x v="242"/>
    <s v="14"/>
    <m/>
    <m/>
  </r>
  <r>
    <x v="242"/>
    <s v="15"/>
    <m/>
    <m/>
  </r>
  <r>
    <x v="242"/>
    <s v="16"/>
    <m/>
    <m/>
  </r>
  <r>
    <x v="242"/>
    <s v="17"/>
    <m/>
    <m/>
  </r>
  <r>
    <x v="242"/>
    <s v="18"/>
    <m/>
    <m/>
  </r>
  <r>
    <x v="242"/>
    <s v="19"/>
    <m/>
    <m/>
  </r>
  <r>
    <x v="242"/>
    <s v="20"/>
    <m/>
    <m/>
  </r>
  <r>
    <x v="242"/>
    <s v="21"/>
    <m/>
    <m/>
  </r>
  <r>
    <x v="242"/>
    <s v="22"/>
    <m/>
    <m/>
  </r>
  <r>
    <x v="242"/>
    <s v="23"/>
    <m/>
    <m/>
  </r>
  <r>
    <x v="243"/>
    <s v="0"/>
    <m/>
    <m/>
  </r>
  <r>
    <x v="243"/>
    <s v="1"/>
    <m/>
    <m/>
  </r>
  <r>
    <x v="243"/>
    <s v="2"/>
    <m/>
    <m/>
  </r>
  <r>
    <x v="243"/>
    <s v="3"/>
    <m/>
    <m/>
  </r>
  <r>
    <x v="243"/>
    <s v="4"/>
    <m/>
    <m/>
  </r>
  <r>
    <x v="243"/>
    <s v="5"/>
    <m/>
    <m/>
  </r>
  <r>
    <x v="243"/>
    <s v="6"/>
    <m/>
    <m/>
  </r>
  <r>
    <x v="243"/>
    <s v="7"/>
    <m/>
    <m/>
  </r>
  <r>
    <x v="243"/>
    <s v="8"/>
    <m/>
    <m/>
  </r>
  <r>
    <x v="243"/>
    <s v="9"/>
    <m/>
    <m/>
  </r>
  <r>
    <x v="243"/>
    <s v="10"/>
    <m/>
    <m/>
  </r>
  <r>
    <x v="243"/>
    <s v="11"/>
    <m/>
    <m/>
  </r>
  <r>
    <x v="243"/>
    <s v="12"/>
    <m/>
    <m/>
  </r>
  <r>
    <x v="243"/>
    <s v="13"/>
    <m/>
    <m/>
  </r>
  <r>
    <x v="243"/>
    <s v="14"/>
    <m/>
    <m/>
  </r>
  <r>
    <x v="243"/>
    <s v="15"/>
    <m/>
    <m/>
  </r>
  <r>
    <x v="243"/>
    <s v="16"/>
    <m/>
    <m/>
  </r>
  <r>
    <x v="243"/>
    <s v="17"/>
    <m/>
    <m/>
  </r>
  <r>
    <x v="243"/>
    <s v="18"/>
    <m/>
    <m/>
  </r>
  <r>
    <x v="243"/>
    <s v="19"/>
    <m/>
    <m/>
  </r>
  <r>
    <x v="243"/>
    <s v="20"/>
    <m/>
    <m/>
  </r>
  <r>
    <x v="243"/>
    <s v="21"/>
    <m/>
    <m/>
  </r>
  <r>
    <x v="243"/>
    <s v="22"/>
    <m/>
    <m/>
  </r>
  <r>
    <x v="243"/>
    <s v="23"/>
    <m/>
    <m/>
  </r>
  <r>
    <x v="244"/>
    <s v="0"/>
    <m/>
    <m/>
  </r>
  <r>
    <x v="244"/>
    <s v="1"/>
    <m/>
    <m/>
  </r>
  <r>
    <x v="244"/>
    <s v="2"/>
    <m/>
    <m/>
  </r>
  <r>
    <x v="244"/>
    <s v="3"/>
    <m/>
    <m/>
  </r>
  <r>
    <x v="244"/>
    <s v="4"/>
    <m/>
    <m/>
  </r>
  <r>
    <x v="244"/>
    <s v="5"/>
    <m/>
    <m/>
  </r>
  <r>
    <x v="244"/>
    <s v="6"/>
    <m/>
    <m/>
  </r>
  <r>
    <x v="244"/>
    <s v="7"/>
    <m/>
    <m/>
  </r>
  <r>
    <x v="244"/>
    <s v="8"/>
    <m/>
    <m/>
  </r>
  <r>
    <x v="244"/>
    <s v="9"/>
    <m/>
    <m/>
  </r>
  <r>
    <x v="244"/>
    <s v="10"/>
    <m/>
    <m/>
  </r>
  <r>
    <x v="244"/>
    <s v="11"/>
    <m/>
    <m/>
  </r>
  <r>
    <x v="244"/>
    <s v="12"/>
    <m/>
    <m/>
  </r>
  <r>
    <x v="244"/>
    <s v="13"/>
    <m/>
    <m/>
  </r>
  <r>
    <x v="244"/>
    <s v="14"/>
    <m/>
    <m/>
  </r>
  <r>
    <x v="244"/>
    <s v="15"/>
    <m/>
    <m/>
  </r>
  <r>
    <x v="244"/>
    <s v="16"/>
    <m/>
    <m/>
  </r>
  <r>
    <x v="244"/>
    <s v="17"/>
    <m/>
    <m/>
  </r>
  <r>
    <x v="244"/>
    <s v="18"/>
    <m/>
    <m/>
  </r>
  <r>
    <x v="244"/>
    <s v="19"/>
    <m/>
    <m/>
  </r>
  <r>
    <x v="244"/>
    <s v="20"/>
    <m/>
    <m/>
  </r>
  <r>
    <x v="244"/>
    <s v="21"/>
    <m/>
    <m/>
  </r>
  <r>
    <x v="244"/>
    <s v="22"/>
    <m/>
    <m/>
  </r>
  <r>
    <x v="244"/>
    <s v="23"/>
    <m/>
    <m/>
  </r>
  <r>
    <x v="245"/>
    <s v="0"/>
    <m/>
    <m/>
  </r>
  <r>
    <x v="245"/>
    <s v="1"/>
    <m/>
    <m/>
  </r>
  <r>
    <x v="245"/>
    <s v="2"/>
    <m/>
    <m/>
  </r>
  <r>
    <x v="245"/>
    <s v="3"/>
    <m/>
    <m/>
  </r>
  <r>
    <x v="245"/>
    <s v="4"/>
    <m/>
    <m/>
  </r>
  <r>
    <x v="245"/>
    <s v="5"/>
    <m/>
    <m/>
  </r>
  <r>
    <x v="245"/>
    <s v="6"/>
    <m/>
    <m/>
  </r>
  <r>
    <x v="245"/>
    <s v="7"/>
    <m/>
    <m/>
  </r>
  <r>
    <x v="245"/>
    <s v="8"/>
    <m/>
    <m/>
  </r>
  <r>
    <x v="245"/>
    <s v="9"/>
    <m/>
    <m/>
  </r>
  <r>
    <x v="245"/>
    <s v="10"/>
    <m/>
    <m/>
  </r>
  <r>
    <x v="245"/>
    <s v="11"/>
    <m/>
    <m/>
  </r>
  <r>
    <x v="245"/>
    <s v="12"/>
    <m/>
    <m/>
  </r>
  <r>
    <x v="245"/>
    <s v="13"/>
    <m/>
    <m/>
  </r>
  <r>
    <x v="245"/>
    <s v="14"/>
    <m/>
    <m/>
  </r>
  <r>
    <x v="245"/>
    <s v="15"/>
    <m/>
    <m/>
  </r>
  <r>
    <x v="245"/>
    <s v="16"/>
    <m/>
    <m/>
  </r>
  <r>
    <x v="245"/>
    <s v="17"/>
    <m/>
    <m/>
  </r>
  <r>
    <x v="245"/>
    <s v="18"/>
    <m/>
    <m/>
  </r>
  <r>
    <x v="245"/>
    <s v="19"/>
    <m/>
    <m/>
  </r>
  <r>
    <x v="245"/>
    <s v="20"/>
    <m/>
    <m/>
  </r>
  <r>
    <x v="245"/>
    <s v="21"/>
    <m/>
    <m/>
  </r>
  <r>
    <x v="245"/>
    <s v="22"/>
    <m/>
    <m/>
  </r>
  <r>
    <x v="245"/>
    <s v="23"/>
    <m/>
    <m/>
  </r>
  <r>
    <x v="246"/>
    <s v="0"/>
    <m/>
    <m/>
  </r>
  <r>
    <x v="246"/>
    <s v="1"/>
    <m/>
    <m/>
  </r>
  <r>
    <x v="246"/>
    <s v="2"/>
    <m/>
    <m/>
  </r>
  <r>
    <x v="246"/>
    <s v="3"/>
    <m/>
    <m/>
  </r>
  <r>
    <x v="246"/>
    <s v="4"/>
    <m/>
    <m/>
  </r>
  <r>
    <x v="246"/>
    <s v="5"/>
    <m/>
    <m/>
  </r>
  <r>
    <x v="246"/>
    <s v="6"/>
    <m/>
    <m/>
  </r>
  <r>
    <x v="246"/>
    <s v="7"/>
    <m/>
    <m/>
  </r>
  <r>
    <x v="246"/>
    <s v="8"/>
    <m/>
    <m/>
  </r>
  <r>
    <x v="246"/>
    <s v="9"/>
    <m/>
    <m/>
  </r>
  <r>
    <x v="246"/>
    <s v="10"/>
    <m/>
    <m/>
  </r>
  <r>
    <x v="246"/>
    <s v="11"/>
    <m/>
    <m/>
  </r>
  <r>
    <x v="246"/>
    <s v="12"/>
    <m/>
    <m/>
  </r>
  <r>
    <x v="246"/>
    <s v="13"/>
    <m/>
    <m/>
  </r>
  <r>
    <x v="246"/>
    <s v="14"/>
    <m/>
    <m/>
  </r>
  <r>
    <x v="246"/>
    <s v="15"/>
    <m/>
    <m/>
  </r>
  <r>
    <x v="246"/>
    <s v="16"/>
    <m/>
    <m/>
  </r>
  <r>
    <x v="246"/>
    <s v="17"/>
    <m/>
    <m/>
  </r>
  <r>
    <x v="246"/>
    <s v="18"/>
    <m/>
    <m/>
  </r>
  <r>
    <x v="246"/>
    <s v="19"/>
    <m/>
    <m/>
  </r>
  <r>
    <x v="246"/>
    <s v="20"/>
    <m/>
    <m/>
  </r>
  <r>
    <x v="246"/>
    <s v="21"/>
    <m/>
    <m/>
  </r>
  <r>
    <x v="246"/>
    <s v="22"/>
    <m/>
    <m/>
  </r>
  <r>
    <x v="246"/>
    <s v="23"/>
    <m/>
    <m/>
  </r>
  <r>
    <x v="247"/>
    <s v="0"/>
    <m/>
    <m/>
  </r>
  <r>
    <x v="247"/>
    <s v="1"/>
    <m/>
    <m/>
  </r>
  <r>
    <x v="247"/>
    <s v="2"/>
    <m/>
    <m/>
  </r>
  <r>
    <x v="247"/>
    <s v="3"/>
    <m/>
    <m/>
  </r>
  <r>
    <x v="247"/>
    <s v="4"/>
    <m/>
    <m/>
  </r>
  <r>
    <x v="247"/>
    <s v="5"/>
    <m/>
    <m/>
  </r>
  <r>
    <x v="247"/>
    <s v="6"/>
    <m/>
    <m/>
  </r>
  <r>
    <x v="247"/>
    <s v="7"/>
    <m/>
    <m/>
  </r>
  <r>
    <x v="247"/>
    <s v="8"/>
    <m/>
    <m/>
  </r>
  <r>
    <x v="247"/>
    <s v="9"/>
    <m/>
    <m/>
  </r>
  <r>
    <x v="247"/>
    <s v="10"/>
    <m/>
    <m/>
  </r>
  <r>
    <x v="247"/>
    <s v="11"/>
    <m/>
    <m/>
  </r>
  <r>
    <x v="247"/>
    <s v="12"/>
    <m/>
    <m/>
  </r>
  <r>
    <x v="247"/>
    <s v="13"/>
    <m/>
    <m/>
  </r>
  <r>
    <x v="247"/>
    <s v="14"/>
    <m/>
    <m/>
  </r>
  <r>
    <x v="247"/>
    <s v="15"/>
    <m/>
    <m/>
  </r>
  <r>
    <x v="247"/>
    <s v="16"/>
    <m/>
    <m/>
  </r>
  <r>
    <x v="247"/>
    <s v="17"/>
    <m/>
    <m/>
  </r>
  <r>
    <x v="247"/>
    <s v="18"/>
    <m/>
    <m/>
  </r>
  <r>
    <x v="247"/>
    <s v="19"/>
    <m/>
    <m/>
  </r>
  <r>
    <x v="247"/>
    <s v="20"/>
    <m/>
    <m/>
  </r>
  <r>
    <x v="247"/>
    <s v="21"/>
    <m/>
    <m/>
  </r>
  <r>
    <x v="247"/>
    <s v="22"/>
    <m/>
    <m/>
  </r>
  <r>
    <x v="247"/>
    <s v="23"/>
    <m/>
    <m/>
  </r>
  <r>
    <x v="248"/>
    <s v="0"/>
    <m/>
    <m/>
  </r>
  <r>
    <x v="248"/>
    <s v="1"/>
    <m/>
    <m/>
  </r>
  <r>
    <x v="248"/>
    <s v="2"/>
    <m/>
    <m/>
  </r>
  <r>
    <x v="248"/>
    <s v="3"/>
    <m/>
    <m/>
  </r>
  <r>
    <x v="248"/>
    <s v="4"/>
    <m/>
    <m/>
  </r>
  <r>
    <x v="248"/>
    <s v="5"/>
    <m/>
    <m/>
  </r>
  <r>
    <x v="248"/>
    <s v="6"/>
    <m/>
    <m/>
  </r>
  <r>
    <x v="248"/>
    <s v="7"/>
    <m/>
    <m/>
  </r>
  <r>
    <x v="248"/>
    <s v="8"/>
    <m/>
    <m/>
  </r>
  <r>
    <x v="248"/>
    <s v="9"/>
    <m/>
    <m/>
  </r>
  <r>
    <x v="248"/>
    <s v="10"/>
    <m/>
    <m/>
  </r>
  <r>
    <x v="248"/>
    <s v="11"/>
    <m/>
    <m/>
  </r>
  <r>
    <x v="248"/>
    <s v="12"/>
    <m/>
    <m/>
  </r>
  <r>
    <x v="248"/>
    <s v="13"/>
    <m/>
    <m/>
  </r>
  <r>
    <x v="248"/>
    <s v="14"/>
    <m/>
    <m/>
  </r>
  <r>
    <x v="248"/>
    <s v="15"/>
    <m/>
    <m/>
  </r>
  <r>
    <x v="248"/>
    <s v="16"/>
    <m/>
    <m/>
  </r>
  <r>
    <x v="248"/>
    <s v="17"/>
    <m/>
    <m/>
  </r>
  <r>
    <x v="248"/>
    <s v="18"/>
    <m/>
    <m/>
  </r>
  <r>
    <x v="248"/>
    <s v="19"/>
    <m/>
    <m/>
  </r>
  <r>
    <x v="248"/>
    <s v="20"/>
    <m/>
    <m/>
  </r>
  <r>
    <x v="248"/>
    <s v="21"/>
    <m/>
    <m/>
  </r>
  <r>
    <x v="248"/>
    <s v="22"/>
    <m/>
    <m/>
  </r>
  <r>
    <x v="248"/>
    <s v="23"/>
    <m/>
    <m/>
  </r>
  <r>
    <x v="249"/>
    <s v="0"/>
    <m/>
    <m/>
  </r>
  <r>
    <x v="249"/>
    <s v="1"/>
    <m/>
    <m/>
  </r>
  <r>
    <x v="249"/>
    <s v="2"/>
    <m/>
    <m/>
  </r>
  <r>
    <x v="249"/>
    <s v="3"/>
    <m/>
    <m/>
  </r>
  <r>
    <x v="249"/>
    <s v="4"/>
    <m/>
    <m/>
  </r>
  <r>
    <x v="249"/>
    <s v="5"/>
    <m/>
    <m/>
  </r>
  <r>
    <x v="249"/>
    <s v="6"/>
    <m/>
    <m/>
  </r>
  <r>
    <x v="249"/>
    <s v="7"/>
    <m/>
    <m/>
  </r>
  <r>
    <x v="249"/>
    <s v="8"/>
    <m/>
    <m/>
  </r>
  <r>
    <x v="249"/>
    <s v="9"/>
    <m/>
    <m/>
  </r>
  <r>
    <x v="249"/>
    <s v="10"/>
    <m/>
    <m/>
  </r>
  <r>
    <x v="249"/>
    <s v="11"/>
    <m/>
    <m/>
  </r>
  <r>
    <x v="249"/>
    <s v="12"/>
    <m/>
    <m/>
  </r>
  <r>
    <x v="249"/>
    <s v="13"/>
    <m/>
    <m/>
  </r>
  <r>
    <x v="249"/>
    <s v="14"/>
    <m/>
    <m/>
  </r>
  <r>
    <x v="249"/>
    <s v="15"/>
    <m/>
    <m/>
  </r>
  <r>
    <x v="249"/>
    <s v="16"/>
    <m/>
    <m/>
  </r>
  <r>
    <x v="249"/>
    <s v="17"/>
    <m/>
    <m/>
  </r>
  <r>
    <x v="249"/>
    <s v="18"/>
    <m/>
    <m/>
  </r>
  <r>
    <x v="249"/>
    <s v="19"/>
    <m/>
    <m/>
  </r>
  <r>
    <x v="249"/>
    <s v="20"/>
    <m/>
    <m/>
  </r>
  <r>
    <x v="249"/>
    <s v="21"/>
    <m/>
    <m/>
  </r>
  <r>
    <x v="249"/>
    <s v="22"/>
    <m/>
    <m/>
  </r>
  <r>
    <x v="249"/>
    <s v="23"/>
    <m/>
    <m/>
  </r>
  <r>
    <x v="250"/>
    <s v="0"/>
    <m/>
    <m/>
  </r>
  <r>
    <x v="250"/>
    <s v="1"/>
    <m/>
    <m/>
  </r>
  <r>
    <x v="250"/>
    <s v="2"/>
    <m/>
    <m/>
  </r>
  <r>
    <x v="250"/>
    <s v="3"/>
    <m/>
    <m/>
  </r>
  <r>
    <x v="250"/>
    <s v="4"/>
    <m/>
    <m/>
  </r>
  <r>
    <x v="250"/>
    <s v="5"/>
    <m/>
    <m/>
  </r>
  <r>
    <x v="250"/>
    <s v="6"/>
    <m/>
    <m/>
  </r>
  <r>
    <x v="250"/>
    <s v="7"/>
    <m/>
    <m/>
  </r>
  <r>
    <x v="250"/>
    <s v="8"/>
    <m/>
    <m/>
  </r>
  <r>
    <x v="250"/>
    <s v="9"/>
    <m/>
    <m/>
  </r>
  <r>
    <x v="250"/>
    <s v="10"/>
    <m/>
    <m/>
  </r>
  <r>
    <x v="250"/>
    <s v="11"/>
    <m/>
    <m/>
  </r>
  <r>
    <x v="250"/>
    <s v="12"/>
    <m/>
    <m/>
  </r>
  <r>
    <x v="250"/>
    <s v="13"/>
    <m/>
    <m/>
  </r>
  <r>
    <x v="250"/>
    <s v="14"/>
    <m/>
    <m/>
  </r>
  <r>
    <x v="250"/>
    <s v="15"/>
    <m/>
    <m/>
  </r>
  <r>
    <x v="250"/>
    <s v="16"/>
    <m/>
    <m/>
  </r>
  <r>
    <x v="250"/>
    <s v="17"/>
    <m/>
    <m/>
  </r>
  <r>
    <x v="250"/>
    <s v="18"/>
    <m/>
    <m/>
  </r>
  <r>
    <x v="250"/>
    <s v="19"/>
    <m/>
    <m/>
  </r>
  <r>
    <x v="250"/>
    <s v="20"/>
    <m/>
    <m/>
  </r>
  <r>
    <x v="250"/>
    <s v="21"/>
    <m/>
    <m/>
  </r>
  <r>
    <x v="250"/>
    <s v="22"/>
    <m/>
    <m/>
  </r>
  <r>
    <x v="250"/>
    <s v="23"/>
    <m/>
    <m/>
  </r>
  <r>
    <x v="251"/>
    <s v="0"/>
    <m/>
    <m/>
  </r>
  <r>
    <x v="251"/>
    <s v="1"/>
    <m/>
    <m/>
  </r>
  <r>
    <x v="251"/>
    <s v="2"/>
    <m/>
    <m/>
  </r>
  <r>
    <x v="251"/>
    <s v="3"/>
    <m/>
    <m/>
  </r>
  <r>
    <x v="251"/>
    <s v="4"/>
    <m/>
    <m/>
  </r>
  <r>
    <x v="251"/>
    <s v="5"/>
    <m/>
    <m/>
  </r>
  <r>
    <x v="251"/>
    <s v="6"/>
    <m/>
    <m/>
  </r>
  <r>
    <x v="251"/>
    <s v="7"/>
    <m/>
    <m/>
  </r>
  <r>
    <x v="251"/>
    <s v="8"/>
    <m/>
    <m/>
  </r>
  <r>
    <x v="251"/>
    <s v="9"/>
    <m/>
    <m/>
  </r>
  <r>
    <x v="251"/>
    <s v="10"/>
    <m/>
    <m/>
  </r>
  <r>
    <x v="251"/>
    <s v="11"/>
    <m/>
    <m/>
  </r>
  <r>
    <x v="251"/>
    <s v="12"/>
    <m/>
    <m/>
  </r>
  <r>
    <x v="251"/>
    <s v="13"/>
    <m/>
    <m/>
  </r>
  <r>
    <x v="251"/>
    <s v="14"/>
    <m/>
    <m/>
  </r>
  <r>
    <x v="251"/>
    <s v="15"/>
    <m/>
    <m/>
  </r>
  <r>
    <x v="251"/>
    <s v="16"/>
    <m/>
    <m/>
  </r>
  <r>
    <x v="251"/>
    <s v="17"/>
    <m/>
    <m/>
  </r>
  <r>
    <x v="251"/>
    <s v="18"/>
    <m/>
    <m/>
  </r>
  <r>
    <x v="251"/>
    <s v="19"/>
    <m/>
    <m/>
  </r>
  <r>
    <x v="251"/>
    <s v="20"/>
    <m/>
    <m/>
  </r>
  <r>
    <x v="251"/>
    <s v="21"/>
    <m/>
    <m/>
  </r>
  <r>
    <x v="251"/>
    <s v="22"/>
    <m/>
    <m/>
  </r>
  <r>
    <x v="251"/>
    <s v="23"/>
    <m/>
    <m/>
  </r>
  <r>
    <x v="252"/>
    <s v="0"/>
    <m/>
    <m/>
  </r>
  <r>
    <x v="252"/>
    <s v="1"/>
    <m/>
    <m/>
  </r>
  <r>
    <x v="252"/>
    <s v="2"/>
    <m/>
    <m/>
  </r>
  <r>
    <x v="252"/>
    <s v="3"/>
    <m/>
    <m/>
  </r>
  <r>
    <x v="252"/>
    <s v="4"/>
    <m/>
    <m/>
  </r>
  <r>
    <x v="252"/>
    <s v="5"/>
    <m/>
    <m/>
  </r>
  <r>
    <x v="252"/>
    <s v="6"/>
    <m/>
    <m/>
  </r>
  <r>
    <x v="252"/>
    <s v="7"/>
    <m/>
    <m/>
  </r>
  <r>
    <x v="252"/>
    <s v="8"/>
    <m/>
    <m/>
  </r>
  <r>
    <x v="252"/>
    <s v="9"/>
    <m/>
    <m/>
  </r>
  <r>
    <x v="252"/>
    <s v="10"/>
    <m/>
    <m/>
  </r>
  <r>
    <x v="252"/>
    <s v="11"/>
    <m/>
    <m/>
  </r>
  <r>
    <x v="252"/>
    <s v="12"/>
    <m/>
    <m/>
  </r>
  <r>
    <x v="252"/>
    <s v="13"/>
    <m/>
    <m/>
  </r>
  <r>
    <x v="252"/>
    <s v="14"/>
    <m/>
    <m/>
  </r>
  <r>
    <x v="252"/>
    <s v="15"/>
    <m/>
    <m/>
  </r>
  <r>
    <x v="252"/>
    <s v="16"/>
    <m/>
    <m/>
  </r>
  <r>
    <x v="252"/>
    <s v="17"/>
    <m/>
    <m/>
  </r>
  <r>
    <x v="252"/>
    <s v="18"/>
    <m/>
    <m/>
  </r>
  <r>
    <x v="252"/>
    <s v="19"/>
    <m/>
    <m/>
  </r>
  <r>
    <x v="252"/>
    <s v="20"/>
    <m/>
    <m/>
  </r>
  <r>
    <x v="252"/>
    <s v="21"/>
    <m/>
    <m/>
  </r>
  <r>
    <x v="252"/>
    <s v="22"/>
    <m/>
    <m/>
  </r>
  <r>
    <x v="252"/>
    <s v="23"/>
    <m/>
    <m/>
  </r>
  <r>
    <x v="253"/>
    <s v="0"/>
    <m/>
    <m/>
  </r>
  <r>
    <x v="253"/>
    <s v="1"/>
    <m/>
    <m/>
  </r>
  <r>
    <x v="253"/>
    <s v="2"/>
    <m/>
    <m/>
  </r>
  <r>
    <x v="253"/>
    <s v="3"/>
    <m/>
    <m/>
  </r>
  <r>
    <x v="253"/>
    <s v="4"/>
    <m/>
    <m/>
  </r>
  <r>
    <x v="253"/>
    <s v="5"/>
    <m/>
    <m/>
  </r>
  <r>
    <x v="253"/>
    <s v="6"/>
    <m/>
    <m/>
  </r>
  <r>
    <x v="253"/>
    <s v="7"/>
    <m/>
    <m/>
  </r>
  <r>
    <x v="253"/>
    <s v="8"/>
    <m/>
    <m/>
  </r>
  <r>
    <x v="253"/>
    <s v="9"/>
    <m/>
    <m/>
  </r>
  <r>
    <x v="253"/>
    <s v="10"/>
    <m/>
    <m/>
  </r>
  <r>
    <x v="253"/>
    <s v="11"/>
    <m/>
    <m/>
  </r>
  <r>
    <x v="253"/>
    <s v="12"/>
    <m/>
    <m/>
  </r>
  <r>
    <x v="253"/>
    <s v="13"/>
    <m/>
    <m/>
  </r>
  <r>
    <x v="253"/>
    <s v="14"/>
    <m/>
    <m/>
  </r>
  <r>
    <x v="253"/>
    <s v="15"/>
    <m/>
    <m/>
  </r>
  <r>
    <x v="253"/>
    <s v="16"/>
    <m/>
    <m/>
  </r>
  <r>
    <x v="253"/>
    <s v="17"/>
    <m/>
    <m/>
  </r>
  <r>
    <x v="253"/>
    <s v="18"/>
    <m/>
    <m/>
  </r>
  <r>
    <x v="253"/>
    <s v="19"/>
    <m/>
    <m/>
  </r>
  <r>
    <x v="253"/>
    <s v="20"/>
    <m/>
    <m/>
  </r>
  <r>
    <x v="253"/>
    <s v="21"/>
    <m/>
    <m/>
  </r>
  <r>
    <x v="253"/>
    <s v="22"/>
    <m/>
    <m/>
  </r>
  <r>
    <x v="253"/>
    <s v="23"/>
    <m/>
    <m/>
  </r>
  <r>
    <x v="254"/>
    <s v="0"/>
    <m/>
    <m/>
  </r>
  <r>
    <x v="254"/>
    <s v="1"/>
    <m/>
    <m/>
  </r>
  <r>
    <x v="254"/>
    <s v="2"/>
    <m/>
    <m/>
  </r>
  <r>
    <x v="254"/>
    <s v="3"/>
    <m/>
    <m/>
  </r>
  <r>
    <x v="254"/>
    <s v="4"/>
    <m/>
    <m/>
  </r>
  <r>
    <x v="254"/>
    <s v="5"/>
    <m/>
    <m/>
  </r>
  <r>
    <x v="254"/>
    <s v="6"/>
    <m/>
    <m/>
  </r>
  <r>
    <x v="254"/>
    <s v="7"/>
    <m/>
    <m/>
  </r>
  <r>
    <x v="254"/>
    <s v="8"/>
    <m/>
    <m/>
  </r>
  <r>
    <x v="254"/>
    <s v="9"/>
    <m/>
    <m/>
  </r>
  <r>
    <x v="254"/>
    <s v="10"/>
    <m/>
    <m/>
  </r>
  <r>
    <x v="254"/>
    <s v="11"/>
    <m/>
    <m/>
  </r>
  <r>
    <x v="254"/>
    <s v="12"/>
    <m/>
    <m/>
  </r>
  <r>
    <x v="254"/>
    <s v="13"/>
    <m/>
    <m/>
  </r>
  <r>
    <x v="254"/>
    <s v="14"/>
    <m/>
    <m/>
  </r>
  <r>
    <x v="254"/>
    <s v="15"/>
    <m/>
    <m/>
  </r>
  <r>
    <x v="254"/>
    <s v="16"/>
    <m/>
    <m/>
  </r>
  <r>
    <x v="254"/>
    <s v="17"/>
    <m/>
    <m/>
  </r>
  <r>
    <x v="254"/>
    <s v="18"/>
    <m/>
    <m/>
  </r>
  <r>
    <x v="254"/>
    <s v="19"/>
    <m/>
    <m/>
  </r>
  <r>
    <x v="254"/>
    <s v="20"/>
    <m/>
    <m/>
  </r>
  <r>
    <x v="254"/>
    <s v="21"/>
    <m/>
    <m/>
  </r>
  <r>
    <x v="254"/>
    <s v="22"/>
    <m/>
    <m/>
  </r>
  <r>
    <x v="254"/>
    <s v="23"/>
    <m/>
    <m/>
  </r>
  <r>
    <x v="255"/>
    <s v="0"/>
    <m/>
    <m/>
  </r>
  <r>
    <x v="255"/>
    <s v="1"/>
    <m/>
    <m/>
  </r>
  <r>
    <x v="255"/>
    <s v="2"/>
    <m/>
    <m/>
  </r>
  <r>
    <x v="255"/>
    <s v="3"/>
    <m/>
    <m/>
  </r>
  <r>
    <x v="255"/>
    <s v="4"/>
    <m/>
    <m/>
  </r>
  <r>
    <x v="255"/>
    <s v="5"/>
    <m/>
    <m/>
  </r>
  <r>
    <x v="255"/>
    <s v="6"/>
    <m/>
    <m/>
  </r>
  <r>
    <x v="255"/>
    <s v="7"/>
    <m/>
    <m/>
  </r>
  <r>
    <x v="255"/>
    <s v="8"/>
    <m/>
    <m/>
  </r>
  <r>
    <x v="255"/>
    <s v="9"/>
    <m/>
    <m/>
  </r>
  <r>
    <x v="255"/>
    <s v="10"/>
    <m/>
    <m/>
  </r>
  <r>
    <x v="255"/>
    <s v="11"/>
    <m/>
    <m/>
  </r>
  <r>
    <x v="255"/>
    <s v="12"/>
    <m/>
    <m/>
  </r>
  <r>
    <x v="255"/>
    <s v="13"/>
    <m/>
    <m/>
  </r>
  <r>
    <x v="255"/>
    <s v="14"/>
    <m/>
    <m/>
  </r>
  <r>
    <x v="255"/>
    <s v="15"/>
    <m/>
    <m/>
  </r>
  <r>
    <x v="255"/>
    <s v="16"/>
    <m/>
    <m/>
  </r>
  <r>
    <x v="255"/>
    <s v="17"/>
    <m/>
    <m/>
  </r>
  <r>
    <x v="255"/>
    <s v="18"/>
    <m/>
    <m/>
  </r>
  <r>
    <x v="255"/>
    <s v="19"/>
    <m/>
    <m/>
  </r>
  <r>
    <x v="255"/>
    <s v="20"/>
    <m/>
    <m/>
  </r>
  <r>
    <x v="255"/>
    <s v="21"/>
    <m/>
    <m/>
  </r>
  <r>
    <x v="255"/>
    <s v="22"/>
    <m/>
    <m/>
  </r>
  <r>
    <x v="255"/>
    <s v="23"/>
    <m/>
    <m/>
  </r>
  <r>
    <x v="256"/>
    <s v="0"/>
    <m/>
    <m/>
  </r>
  <r>
    <x v="256"/>
    <s v="1"/>
    <m/>
    <m/>
  </r>
  <r>
    <x v="256"/>
    <s v="2"/>
    <m/>
    <m/>
  </r>
  <r>
    <x v="256"/>
    <s v="3"/>
    <m/>
    <m/>
  </r>
  <r>
    <x v="256"/>
    <s v="4"/>
    <m/>
    <m/>
  </r>
  <r>
    <x v="256"/>
    <s v="5"/>
    <m/>
    <m/>
  </r>
  <r>
    <x v="256"/>
    <s v="6"/>
    <m/>
    <m/>
  </r>
  <r>
    <x v="256"/>
    <s v="7"/>
    <m/>
    <m/>
  </r>
  <r>
    <x v="256"/>
    <s v="8"/>
    <m/>
    <m/>
  </r>
  <r>
    <x v="256"/>
    <s v="9"/>
    <m/>
    <m/>
  </r>
  <r>
    <x v="256"/>
    <s v="10"/>
    <m/>
    <m/>
  </r>
  <r>
    <x v="256"/>
    <s v="11"/>
    <m/>
    <m/>
  </r>
  <r>
    <x v="256"/>
    <s v="12"/>
    <m/>
    <m/>
  </r>
  <r>
    <x v="256"/>
    <s v="13"/>
    <m/>
    <m/>
  </r>
  <r>
    <x v="256"/>
    <s v="14"/>
    <m/>
    <m/>
  </r>
  <r>
    <x v="256"/>
    <s v="15"/>
    <m/>
    <m/>
  </r>
  <r>
    <x v="256"/>
    <s v="16"/>
    <m/>
    <m/>
  </r>
  <r>
    <x v="256"/>
    <s v="17"/>
    <m/>
    <m/>
  </r>
  <r>
    <x v="256"/>
    <s v="18"/>
    <m/>
    <m/>
  </r>
  <r>
    <x v="256"/>
    <s v="19"/>
    <m/>
    <m/>
  </r>
  <r>
    <x v="256"/>
    <s v="20"/>
    <m/>
    <m/>
  </r>
  <r>
    <x v="256"/>
    <s v="21"/>
    <m/>
    <m/>
  </r>
  <r>
    <x v="256"/>
    <s v="22"/>
    <m/>
    <m/>
  </r>
  <r>
    <x v="256"/>
    <s v="23"/>
    <m/>
    <m/>
  </r>
  <r>
    <x v="257"/>
    <s v="0"/>
    <m/>
    <m/>
  </r>
  <r>
    <x v="257"/>
    <s v="1"/>
    <m/>
    <m/>
  </r>
  <r>
    <x v="257"/>
    <s v="2"/>
    <m/>
    <m/>
  </r>
  <r>
    <x v="257"/>
    <s v="3"/>
    <m/>
    <m/>
  </r>
  <r>
    <x v="257"/>
    <s v="4"/>
    <m/>
    <m/>
  </r>
  <r>
    <x v="257"/>
    <s v="5"/>
    <m/>
    <m/>
  </r>
  <r>
    <x v="257"/>
    <s v="6"/>
    <m/>
    <m/>
  </r>
  <r>
    <x v="257"/>
    <s v="7"/>
    <m/>
    <m/>
  </r>
  <r>
    <x v="257"/>
    <s v="8"/>
    <m/>
    <m/>
  </r>
  <r>
    <x v="257"/>
    <s v="9"/>
    <m/>
    <m/>
  </r>
  <r>
    <x v="257"/>
    <s v="10"/>
    <m/>
    <m/>
  </r>
  <r>
    <x v="257"/>
    <s v="11"/>
    <m/>
    <m/>
  </r>
  <r>
    <x v="257"/>
    <s v="12"/>
    <m/>
    <m/>
  </r>
  <r>
    <x v="257"/>
    <s v="13"/>
    <m/>
    <m/>
  </r>
  <r>
    <x v="257"/>
    <s v="14"/>
    <m/>
    <m/>
  </r>
  <r>
    <x v="257"/>
    <s v="15"/>
    <m/>
    <m/>
  </r>
  <r>
    <x v="257"/>
    <s v="16"/>
    <m/>
    <m/>
  </r>
  <r>
    <x v="257"/>
    <s v="17"/>
    <m/>
    <m/>
  </r>
  <r>
    <x v="257"/>
    <s v="18"/>
    <m/>
    <m/>
  </r>
  <r>
    <x v="257"/>
    <s v="19"/>
    <m/>
    <m/>
  </r>
  <r>
    <x v="257"/>
    <s v="20"/>
    <m/>
    <m/>
  </r>
  <r>
    <x v="257"/>
    <s v="21"/>
    <m/>
    <m/>
  </r>
  <r>
    <x v="257"/>
    <s v="22"/>
    <m/>
    <m/>
  </r>
  <r>
    <x v="257"/>
    <s v="23"/>
    <m/>
    <m/>
  </r>
  <r>
    <x v="258"/>
    <s v="0"/>
    <m/>
    <m/>
  </r>
  <r>
    <x v="258"/>
    <s v="1"/>
    <m/>
    <m/>
  </r>
  <r>
    <x v="258"/>
    <s v="2"/>
    <m/>
    <m/>
  </r>
  <r>
    <x v="258"/>
    <s v="3"/>
    <m/>
    <m/>
  </r>
  <r>
    <x v="258"/>
    <s v="4"/>
    <m/>
    <m/>
  </r>
  <r>
    <x v="258"/>
    <s v="5"/>
    <m/>
    <m/>
  </r>
  <r>
    <x v="258"/>
    <s v="6"/>
    <m/>
    <m/>
  </r>
  <r>
    <x v="258"/>
    <s v="7"/>
    <m/>
    <m/>
  </r>
  <r>
    <x v="258"/>
    <s v="8"/>
    <m/>
    <m/>
  </r>
  <r>
    <x v="258"/>
    <s v="9"/>
    <m/>
    <m/>
  </r>
  <r>
    <x v="258"/>
    <s v="10"/>
    <m/>
    <m/>
  </r>
  <r>
    <x v="258"/>
    <s v="11"/>
    <m/>
    <m/>
  </r>
  <r>
    <x v="258"/>
    <s v="12"/>
    <m/>
    <m/>
  </r>
  <r>
    <x v="258"/>
    <s v="13"/>
    <m/>
    <m/>
  </r>
  <r>
    <x v="258"/>
    <s v="14"/>
    <m/>
    <m/>
  </r>
  <r>
    <x v="258"/>
    <s v="15"/>
    <m/>
    <m/>
  </r>
  <r>
    <x v="258"/>
    <s v="16"/>
    <m/>
    <m/>
  </r>
  <r>
    <x v="258"/>
    <s v="17"/>
    <m/>
    <m/>
  </r>
  <r>
    <x v="258"/>
    <s v="18"/>
    <m/>
    <m/>
  </r>
  <r>
    <x v="258"/>
    <s v="19"/>
    <m/>
    <m/>
  </r>
  <r>
    <x v="258"/>
    <s v="20"/>
    <m/>
    <m/>
  </r>
  <r>
    <x v="258"/>
    <s v="21"/>
    <m/>
    <m/>
  </r>
  <r>
    <x v="258"/>
    <s v="22"/>
    <m/>
    <m/>
  </r>
  <r>
    <x v="258"/>
    <s v="23"/>
    <m/>
    <m/>
  </r>
  <r>
    <x v="259"/>
    <s v="0"/>
    <m/>
    <m/>
  </r>
  <r>
    <x v="259"/>
    <s v="1"/>
    <m/>
    <m/>
  </r>
  <r>
    <x v="259"/>
    <s v="2"/>
    <m/>
    <m/>
  </r>
  <r>
    <x v="259"/>
    <s v="3"/>
    <m/>
    <m/>
  </r>
  <r>
    <x v="259"/>
    <s v="4"/>
    <m/>
    <m/>
  </r>
  <r>
    <x v="259"/>
    <s v="5"/>
    <m/>
    <m/>
  </r>
  <r>
    <x v="259"/>
    <s v="6"/>
    <m/>
    <m/>
  </r>
  <r>
    <x v="259"/>
    <s v="7"/>
    <m/>
    <m/>
  </r>
  <r>
    <x v="259"/>
    <s v="8"/>
    <m/>
    <m/>
  </r>
  <r>
    <x v="259"/>
    <s v="9"/>
    <m/>
    <m/>
  </r>
  <r>
    <x v="259"/>
    <s v="10"/>
    <m/>
    <m/>
  </r>
  <r>
    <x v="259"/>
    <s v="11"/>
    <m/>
    <m/>
  </r>
  <r>
    <x v="259"/>
    <s v="12"/>
    <m/>
    <m/>
  </r>
  <r>
    <x v="259"/>
    <s v="13"/>
    <m/>
    <m/>
  </r>
  <r>
    <x v="259"/>
    <s v="14"/>
    <m/>
    <m/>
  </r>
  <r>
    <x v="259"/>
    <s v="15"/>
    <m/>
    <m/>
  </r>
  <r>
    <x v="259"/>
    <s v="16"/>
    <m/>
    <m/>
  </r>
  <r>
    <x v="259"/>
    <s v="17"/>
    <m/>
    <m/>
  </r>
  <r>
    <x v="259"/>
    <s v="18"/>
    <m/>
    <m/>
  </r>
  <r>
    <x v="259"/>
    <s v="19"/>
    <m/>
    <m/>
  </r>
  <r>
    <x v="259"/>
    <s v="20"/>
    <m/>
    <m/>
  </r>
  <r>
    <x v="259"/>
    <s v="21"/>
    <m/>
    <m/>
  </r>
  <r>
    <x v="259"/>
    <s v="22"/>
    <m/>
    <m/>
  </r>
  <r>
    <x v="259"/>
    <s v="23"/>
    <m/>
    <m/>
  </r>
  <r>
    <x v="260"/>
    <s v="0"/>
    <m/>
    <m/>
  </r>
  <r>
    <x v="260"/>
    <s v="1"/>
    <m/>
    <m/>
  </r>
  <r>
    <x v="260"/>
    <s v="2"/>
    <m/>
    <m/>
  </r>
  <r>
    <x v="260"/>
    <s v="3"/>
    <m/>
    <m/>
  </r>
  <r>
    <x v="260"/>
    <s v="4"/>
    <m/>
    <m/>
  </r>
  <r>
    <x v="260"/>
    <s v="5"/>
    <m/>
    <m/>
  </r>
  <r>
    <x v="260"/>
    <s v="6"/>
    <m/>
    <m/>
  </r>
  <r>
    <x v="260"/>
    <s v="7"/>
    <m/>
    <m/>
  </r>
  <r>
    <x v="260"/>
    <s v="8"/>
    <m/>
    <m/>
  </r>
  <r>
    <x v="260"/>
    <s v="9"/>
    <m/>
    <m/>
  </r>
  <r>
    <x v="260"/>
    <s v="10"/>
    <m/>
    <m/>
  </r>
  <r>
    <x v="260"/>
    <s v="11"/>
    <m/>
    <m/>
  </r>
  <r>
    <x v="260"/>
    <s v="12"/>
    <m/>
    <m/>
  </r>
  <r>
    <x v="260"/>
    <s v="13"/>
    <m/>
    <m/>
  </r>
  <r>
    <x v="260"/>
    <s v="14"/>
    <m/>
    <m/>
  </r>
  <r>
    <x v="260"/>
    <s v="15"/>
    <m/>
    <m/>
  </r>
  <r>
    <x v="260"/>
    <s v="16"/>
    <m/>
    <m/>
  </r>
  <r>
    <x v="260"/>
    <s v="17"/>
    <m/>
    <m/>
  </r>
  <r>
    <x v="260"/>
    <s v="18"/>
    <m/>
    <m/>
  </r>
  <r>
    <x v="260"/>
    <s v="19"/>
    <m/>
    <m/>
  </r>
  <r>
    <x v="260"/>
    <s v="20"/>
    <m/>
    <m/>
  </r>
  <r>
    <x v="260"/>
    <s v="21"/>
    <m/>
    <m/>
  </r>
  <r>
    <x v="260"/>
    <s v="22"/>
    <m/>
    <m/>
  </r>
  <r>
    <x v="260"/>
    <s v="23"/>
    <m/>
    <m/>
  </r>
  <r>
    <x v="261"/>
    <s v="0"/>
    <m/>
    <m/>
  </r>
  <r>
    <x v="261"/>
    <s v="1"/>
    <m/>
    <m/>
  </r>
  <r>
    <x v="261"/>
    <s v="2"/>
    <m/>
    <m/>
  </r>
  <r>
    <x v="261"/>
    <s v="3"/>
    <m/>
    <m/>
  </r>
  <r>
    <x v="261"/>
    <s v="4"/>
    <m/>
    <m/>
  </r>
  <r>
    <x v="261"/>
    <s v="5"/>
    <m/>
    <m/>
  </r>
  <r>
    <x v="261"/>
    <s v="6"/>
    <m/>
    <m/>
  </r>
  <r>
    <x v="261"/>
    <s v="7"/>
    <m/>
    <m/>
  </r>
  <r>
    <x v="261"/>
    <s v="8"/>
    <m/>
    <m/>
  </r>
  <r>
    <x v="261"/>
    <s v="9"/>
    <m/>
    <m/>
  </r>
  <r>
    <x v="261"/>
    <s v="10"/>
    <m/>
    <m/>
  </r>
  <r>
    <x v="261"/>
    <s v="11"/>
    <m/>
    <m/>
  </r>
  <r>
    <x v="261"/>
    <s v="12"/>
    <m/>
    <m/>
  </r>
  <r>
    <x v="261"/>
    <s v="13"/>
    <m/>
    <m/>
  </r>
  <r>
    <x v="261"/>
    <s v="14"/>
    <m/>
    <m/>
  </r>
  <r>
    <x v="261"/>
    <s v="15"/>
    <m/>
    <m/>
  </r>
  <r>
    <x v="261"/>
    <s v="16"/>
    <m/>
    <m/>
  </r>
  <r>
    <x v="261"/>
    <s v="17"/>
    <m/>
    <m/>
  </r>
  <r>
    <x v="261"/>
    <s v="18"/>
    <m/>
    <m/>
  </r>
  <r>
    <x v="261"/>
    <s v="19"/>
    <m/>
    <m/>
  </r>
  <r>
    <x v="261"/>
    <s v="20"/>
    <m/>
    <m/>
  </r>
  <r>
    <x v="261"/>
    <s v="21"/>
    <m/>
    <m/>
  </r>
  <r>
    <x v="261"/>
    <s v="22"/>
    <m/>
    <m/>
  </r>
  <r>
    <x v="261"/>
    <s v="23"/>
    <m/>
    <m/>
  </r>
  <r>
    <x v="262"/>
    <s v="0"/>
    <m/>
    <m/>
  </r>
  <r>
    <x v="262"/>
    <s v="1"/>
    <m/>
    <m/>
  </r>
  <r>
    <x v="262"/>
    <s v="2"/>
    <m/>
    <m/>
  </r>
  <r>
    <x v="262"/>
    <s v="3"/>
    <m/>
    <m/>
  </r>
  <r>
    <x v="262"/>
    <s v="4"/>
    <m/>
    <m/>
  </r>
  <r>
    <x v="262"/>
    <s v="5"/>
    <m/>
    <m/>
  </r>
  <r>
    <x v="262"/>
    <s v="6"/>
    <m/>
    <m/>
  </r>
  <r>
    <x v="262"/>
    <s v="7"/>
    <m/>
    <m/>
  </r>
  <r>
    <x v="262"/>
    <s v="8"/>
    <m/>
    <m/>
  </r>
  <r>
    <x v="262"/>
    <s v="9"/>
    <m/>
    <m/>
  </r>
  <r>
    <x v="262"/>
    <s v="10"/>
    <m/>
    <m/>
  </r>
  <r>
    <x v="262"/>
    <s v="11"/>
    <m/>
    <m/>
  </r>
  <r>
    <x v="262"/>
    <s v="12"/>
    <m/>
    <m/>
  </r>
  <r>
    <x v="262"/>
    <s v="13"/>
    <m/>
    <m/>
  </r>
  <r>
    <x v="262"/>
    <s v="14"/>
    <m/>
    <m/>
  </r>
  <r>
    <x v="262"/>
    <s v="15"/>
    <m/>
    <m/>
  </r>
  <r>
    <x v="262"/>
    <s v="16"/>
    <m/>
    <m/>
  </r>
  <r>
    <x v="262"/>
    <s v="17"/>
    <m/>
    <m/>
  </r>
  <r>
    <x v="262"/>
    <s v="18"/>
    <m/>
    <m/>
  </r>
  <r>
    <x v="262"/>
    <s v="19"/>
    <m/>
    <m/>
  </r>
  <r>
    <x v="262"/>
    <s v="20"/>
    <m/>
    <m/>
  </r>
  <r>
    <x v="262"/>
    <s v="21"/>
    <m/>
    <m/>
  </r>
  <r>
    <x v="262"/>
    <s v="22"/>
    <m/>
    <m/>
  </r>
  <r>
    <x v="262"/>
    <s v="23"/>
    <m/>
    <m/>
  </r>
  <r>
    <x v="263"/>
    <s v="0"/>
    <m/>
    <m/>
  </r>
  <r>
    <x v="263"/>
    <s v="1"/>
    <m/>
    <m/>
  </r>
  <r>
    <x v="263"/>
    <s v="2"/>
    <m/>
    <m/>
  </r>
  <r>
    <x v="263"/>
    <s v="3"/>
    <m/>
    <m/>
  </r>
  <r>
    <x v="263"/>
    <s v="4"/>
    <m/>
    <m/>
  </r>
  <r>
    <x v="263"/>
    <s v="5"/>
    <m/>
    <m/>
  </r>
  <r>
    <x v="263"/>
    <s v="6"/>
    <m/>
    <m/>
  </r>
  <r>
    <x v="263"/>
    <s v="7"/>
    <m/>
    <m/>
  </r>
  <r>
    <x v="263"/>
    <s v="8"/>
    <m/>
    <m/>
  </r>
  <r>
    <x v="263"/>
    <s v="9"/>
    <m/>
    <m/>
  </r>
  <r>
    <x v="263"/>
    <s v="10"/>
    <m/>
    <m/>
  </r>
  <r>
    <x v="263"/>
    <s v="11"/>
    <m/>
    <m/>
  </r>
  <r>
    <x v="263"/>
    <s v="12"/>
    <m/>
    <m/>
  </r>
  <r>
    <x v="263"/>
    <s v="13"/>
    <m/>
    <m/>
  </r>
  <r>
    <x v="263"/>
    <s v="14"/>
    <m/>
    <m/>
  </r>
  <r>
    <x v="263"/>
    <s v="15"/>
    <m/>
    <m/>
  </r>
  <r>
    <x v="263"/>
    <s v="16"/>
    <m/>
    <m/>
  </r>
  <r>
    <x v="263"/>
    <s v="17"/>
    <m/>
    <m/>
  </r>
  <r>
    <x v="263"/>
    <s v="18"/>
    <m/>
    <m/>
  </r>
  <r>
    <x v="263"/>
    <s v="19"/>
    <m/>
    <m/>
  </r>
  <r>
    <x v="263"/>
    <s v="20"/>
    <m/>
    <m/>
  </r>
  <r>
    <x v="263"/>
    <s v="21"/>
    <m/>
    <m/>
  </r>
  <r>
    <x v="263"/>
    <s v="22"/>
    <m/>
    <m/>
  </r>
  <r>
    <x v="263"/>
    <s v="23"/>
    <m/>
    <m/>
  </r>
  <r>
    <x v="264"/>
    <s v="0"/>
    <m/>
    <m/>
  </r>
  <r>
    <x v="264"/>
    <s v="1"/>
    <m/>
    <m/>
  </r>
  <r>
    <x v="264"/>
    <s v="2"/>
    <m/>
    <m/>
  </r>
  <r>
    <x v="264"/>
    <s v="3"/>
    <m/>
    <m/>
  </r>
  <r>
    <x v="264"/>
    <s v="4"/>
    <m/>
    <m/>
  </r>
  <r>
    <x v="264"/>
    <s v="5"/>
    <m/>
    <m/>
  </r>
  <r>
    <x v="264"/>
    <s v="6"/>
    <m/>
    <m/>
  </r>
  <r>
    <x v="264"/>
    <s v="7"/>
    <m/>
    <m/>
  </r>
  <r>
    <x v="264"/>
    <s v="8"/>
    <m/>
    <m/>
  </r>
  <r>
    <x v="264"/>
    <s v="9"/>
    <m/>
    <m/>
  </r>
  <r>
    <x v="264"/>
    <s v="10"/>
    <m/>
    <m/>
  </r>
  <r>
    <x v="264"/>
    <s v="11"/>
    <m/>
    <m/>
  </r>
  <r>
    <x v="264"/>
    <s v="12"/>
    <m/>
    <m/>
  </r>
  <r>
    <x v="264"/>
    <s v="13"/>
    <m/>
    <m/>
  </r>
  <r>
    <x v="264"/>
    <s v="14"/>
    <m/>
    <m/>
  </r>
  <r>
    <x v="264"/>
    <s v="15"/>
    <m/>
    <m/>
  </r>
  <r>
    <x v="264"/>
    <s v="16"/>
    <m/>
    <m/>
  </r>
  <r>
    <x v="264"/>
    <s v="17"/>
    <m/>
    <m/>
  </r>
  <r>
    <x v="264"/>
    <s v="18"/>
    <m/>
    <m/>
  </r>
  <r>
    <x v="264"/>
    <s v="19"/>
    <m/>
    <m/>
  </r>
  <r>
    <x v="264"/>
    <s v="20"/>
    <m/>
    <m/>
  </r>
  <r>
    <x v="264"/>
    <s v="21"/>
    <m/>
    <m/>
  </r>
  <r>
    <x v="264"/>
    <s v="22"/>
    <m/>
    <m/>
  </r>
  <r>
    <x v="264"/>
    <s v="23"/>
    <m/>
    <m/>
  </r>
  <r>
    <x v="265"/>
    <s v="0"/>
    <m/>
    <m/>
  </r>
  <r>
    <x v="265"/>
    <s v="1"/>
    <m/>
    <m/>
  </r>
  <r>
    <x v="265"/>
    <s v="2"/>
    <m/>
    <m/>
  </r>
  <r>
    <x v="265"/>
    <s v="3"/>
    <m/>
    <m/>
  </r>
  <r>
    <x v="265"/>
    <s v="4"/>
    <m/>
    <m/>
  </r>
  <r>
    <x v="265"/>
    <s v="5"/>
    <m/>
    <m/>
  </r>
  <r>
    <x v="265"/>
    <s v="6"/>
    <m/>
    <m/>
  </r>
  <r>
    <x v="265"/>
    <s v="7"/>
    <m/>
    <m/>
  </r>
  <r>
    <x v="265"/>
    <s v="8"/>
    <m/>
    <m/>
  </r>
  <r>
    <x v="265"/>
    <s v="9"/>
    <m/>
    <m/>
  </r>
  <r>
    <x v="265"/>
    <s v="10"/>
    <m/>
    <m/>
  </r>
  <r>
    <x v="265"/>
    <s v="11"/>
    <m/>
    <m/>
  </r>
  <r>
    <x v="265"/>
    <s v="12"/>
    <m/>
    <m/>
  </r>
  <r>
    <x v="265"/>
    <s v="13"/>
    <m/>
    <m/>
  </r>
  <r>
    <x v="265"/>
    <s v="14"/>
    <m/>
    <m/>
  </r>
  <r>
    <x v="265"/>
    <s v="15"/>
    <m/>
    <m/>
  </r>
  <r>
    <x v="265"/>
    <s v="16"/>
    <m/>
    <m/>
  </r>
  <r>
    <x v="265"/>
    <s v="17"/>
    <m/>
    <m/>
  </r>
  <r>
    <x v="265"/>
    <s v="18"/>
    <m/>
    <m/>
  </r>
  <r>
    <x v="265"/>
    <s v="19"/>
    <m/>
    <m/>
  </r>
  <r>
    <x v="265"/>
    <s v="20"/>
    <m/>
    <m/>
  </r>
  <r>
    <x v="265"/>
    <s v="21"/>
    <m/>
    <m/>
  </r>
  <r>
    <x v="265"/>
    <s v="22"/>
    <m/>
    <m/>
  </r>
  <r>
    <x v="265"/>
    <s v="23"/>
    <m/>
    <m/>
  </r>
  <r>
    <x v="266"/>
    <s v="0"/>
    <m/>
    <m/>
  </r>
  <r>
    <x v="266"/>
    <s v="1"/>
    <m/>
    <m/>
  </r>
  <r>
    <x v="266"/>
    <s v="2"/>
    <m/>
    <m/>
  </r>
  <r>
    <x v="266"/>
    <s v="3"/>
    <m/>
    <m/>
  </r>
  <r>
    <x v="266"/>
    <s v="4"/>
    <m/>
    <m/>
  </r>
  <r>
    <x v="266"/>
    <s v="5"/>
    <m/>
    <m/>
  </r>
  <r>
    <x v="266"/>
    <s v="6"/>
    <m/>
    <m/>
  </r>
  <r>
    <x v="266"/>
    <s v="7"/>
    <m/>
    <m/>
  </r>
  <r>
    <x v="266"/>
    <s v="8"/>
    <m/>
    <m/>
  </r>
  <r>
    <x v="266"/>
    <s v="9"/>
    <m/>
    <m/>
  </r>
  <r>
    <x v="266"/>
    <s v="10"/>
    <m/>
    <m/>
  </r>
  <r>
    <x v="266"/>
    <s v="11"/>
    <m/>
    <m/>
  </r>
  <r>
    <x v="266"/>
    <s v="12"/>
    <m/>
    <m/>
  </r>
  <r>
    <x v="266"/>
    <s v="13"/>
    <m/>
    <m/>
  </r>
  <r>
    <x v="266"/>
    <s v="14"/>
    <m/>
    <m/>
  </r>
  <r>
    <x v="266"/>
    <s v="15"/>
    <m/>
    <m/>
  </r>
  <r>
    <x v="266"/>
    <s v="16"/>
    <m/>
    <m/>
  </r>
  <r>
    <x v="266"/>
    <s v="17"/>
    <m/>
    <m/>
  </r>
  <r>
    <x v="266"/>
    <s v="18"/>
    <m/>
    <m/>
  </r>
  <r>
    <x v="266"/>
    <s v="19"/>
    <m/>
    <m/>
  </r>
  <r>
    <x v="266"/>
    <s v="20"/>
    <m/>
    <m/>
  </r>
  <r>
    <x v="266"/>
    <s v="21"/>
    <m/>
    <m/>
  </r>
  <r>
    <x v="266"/>
    <s v="22"/>
    <m/>
    <m/>
  </r>
  <r>
    <x v="266"/>
    <s v="23"/>
    <m/>
    <m/>
  </r>
  <r>
    <x v="267"/>
    <s v="0"/>
    <m/>
    <m/>
  </r>
  <r>
    <x v="267"/>
    <s v="1"/>
    <m/>
    <m/>
  </r>
  <r>
    <x v="267"/>
    <s v="2"/>
    <m/>
    <m/>
  </r>
  <r>
    <x v="267"/>
    <s v="3"/>
    <m/>
    <m/>
  </r>
  <r>
    <x v="267"/>
    <s v="4"/>
    <m/>
    <m/>
  </r>
  <r>
    <x v="267"/>
    <s v="5"/>
    <m/>
    <m/>
  </r>
  <r>
    <x v="267"/>
    <s v="6"/>
    <m/>
    <m/>
  </r>
  <r>
    <x v="267"/>
    <s v="7"/>
    <m/>
    <m/>
  </r>
  <r>
    <x v="267"/>
    <s v="8"/>
    <m/>
    <m/>
  </r>
  <r>
    <x v="267"/>
    <s v="9"/>
    <m/>
    <m/>
  </r>
  <r>
    <x v="267"/>
    <s v="10"/>
    <m/>
    <m/>
  </r>
  <r>
    <x v="267"/>
    <s v="11"/>
    <m/>
    <m/>
  </r>
  <r>
    <x v="267"/>
    <s v="12"/>
    <m/>
    <m/>
  </r>
  <r>
    <x v="267"/>
    <s v="13"/>
    <m/>
    <m/>
  </r>
  <r>
    <x v="267"/>
    <s v="14"/>
    <m/>
    <m/>
  </r>
  <r>
    <x v="267"/>
    <s v="15"/>
    <m/>
    <m/>
  </r>
  <r>
    <x v="267"/>
    <s v="16"/>
    <m/>
    <m/>
  </r>
  <r>
    <x v="267"/>
    <s v="17"/>
    <m/>
    <m/>
  </r>
  <r>
    <x v="267"/>
    <s v="18"/>
    <m/>
    <m/>
  </r>
  <r>
    <x v="267"/>
    <s v="19"/>
    <m/>
    <m/>
  </r>
  <r>
    <x v="267"/>
    <s v="20"/>
    <m/>
    <m/>
  </r>
  <r>
    <x v="267"/>
    <s v="21"/>
    <m/>
    <m/>
  </r>
  <r>
    <x v="267"/>
    <s v="22"/>
    <m/>
    <m/>
  </r>
  <r>
    <x v="267"/>
    <s v="23"/>
    <m/>
    <m/>
  </r>
  <r>
    <x v="268"/>
    <s v="0"/>
    <m/>
    <m/>
  </r>
  <r>
    <x v="268"/>
    <s v="1"/>
    <m/>
    <m/>
  </r>
  <r>
    <x v="268"/>
    <s v="2"/>
    <m/>
    <m/>
  </r>
  <r>
    <x v="268"/>
    <s v="3"/>
    <m/>
    <m/>
  </r>
  <r>
    <x v="268"/>
    <s v="4"/>
    <m/>
    <m/>
  </r>
  <r>
    <x v="268"/>
    <s v="5"/>
    <m/>
    <m/>
  </r>
  <r>
    <x v="268"/>
    <s v="6"/>
    <m/>
    <m/>
  </r>
  <r>
    <x v="268"/>
    <s v="7"/>
    <m/>
    <m/>
  </r>
  <r>
    <x v="268"/>
    <s v="8"/>
    <m/>
    <m/>
  </r>
  <r>
    <x v="268"/>
    <s v="9"/>
    <m/>
    <m/>
  </r>
  <r>
    <x v="268"/>
    <s v="10"/>
    <m/>
    <m/>
  </r>
  <r>
    <x v="268"/>
    <s v="11"/>
    <m/>
    <m/>
  </r>
  <r>
    <x v="268"/>
    <s v="12"/>
    <m/>
    <m/>
  </r>
  <r>
    <x v="268"/>
    <s v="13"/>
    <m/>
    <m/>
  </r>
  <r>
    <x v="268"/>
    <s v="14"/>
    <m/>
    <m/>
  </r>
  <r>
    <x v="268"/>
    <s v="15"/>
    <m/>
    <m/>
  </r>
  <r>
    <x v="268"/>
    <s v="16"/>
    <m/>
    <m/>
  </r>
  <r>
    <x v="268"/>
    <s v="17"/>
    <m/>
    <m/>
  </r>
  <r>
    <x v="268"/>
    <s v="18"/>
    <m/>
    <m/>
  </r>
  <r>
    <x v="268"/>
    <s v="19"/>
    <m/>
    <m/>
  </r>
  <r>
    <x v="268"/>
    <s v="20"/>
    <m/>
    <m/>
  </r>
  <r>
    <x v="268"/>
    <s v="21"/>
    <m/>
    <m/>
  </r>
  <r>
    <x v="268"/>
    <s v="22"/>
    <m/>
    <m/>
  </r>
  <r>
    <x v="268"/>
    <s v="23"/>
    <m/>
    <m/>
  </r>
  <r>
    <x v="269"/>
    <s v="0"/>
    <m/>
    <m/>
  </r>
  <r>
    <x v="269"/>
    <s v="1"/>
    <m/>
    <m/>
  </r>
  <r>
    <x v="269"/>
    <s v="2"/>
    <m/>
    <m/>
  </r>
  <r>
    <x v="269"/>
    <s v="3"/>
    <m/>
    <m/>
  </r>
  <r>
    <x v="269"/>
    <s v="4"/>
    <m/>
    <m/>
  </r>
  <r>
    <x v="269"/>
    <s v="5"/>
    <m/>
    <m/>
  </r>
  <r>
    <x v="269"/>
    <s v="6"/>
    <m/>
    <m/>
  </r>
  <r>
    <x v="269"/>
    <s v="7"/>
    <m/>
    <m/>
  </r>
  <r>
    <x v="269"/>
    <s v="8"/>
    <m/>
    <m/>
  </r>
  <r>
    <x v="269"/>
    <s v="9"/>
    <m/>
    <m/>
  </r>
  <r>
    <x v="269"/>
    <s v="10"/>
    <m/>
    <m/>
  </r>
  <r>
    <x v="269"/>
    <s v="11"/>
    <m/>
    <m/>
  </r>
  <r>
    <x v="269"/>
    <s v="12"/>
    <m/>
    <m/>
  </r>
  <r>
    <x v="269"/>
    <s v="13"/>
    <m/>
    <m/>
  </r>
  <r>
    <x v="269"/>
    <s v="14"/>
    <m/>
    <m/>
  </r>
  <r>
    <x v="269"/>
    <s v="15"/>
    <m/>
    <m/>
  </r>
  <r>
    <x v="269"/>
    <s v="16"/>
    <m/>
    <m/>
  </r>
  <r>
    <x v="269"/>
    <s v="17"/>
    <m/>
    <m/>
  </r>
  <r>
    <x v="269"/>
    <s v="18"/>
    <m/>
    <m/>
  </r>
  <r>
    <x v="269"/>
    <s v="19"/>
    <m/>
    <m/>
  </r>
  <r>
    <x v="269"/>
    <s v="20"/>
    <m/>
    <m/>
  </r>
  <r>
    <x v="269"/>
    <s v="21"/>
    <m/>
    <m/>
  </r>
  <r>
    <x v="269"/>
    <s v="22"/>
    <m/>
    <m/>
  </r>
  <r>
    <x v="269"/>
    <s v="23"/>
    <m/>
    <m/>
  </r>
  <r>
    <x v="270"/>
    <s v="0"/>
    <m/>
    <m/>
  </r>
  <r>
    <x v="270"/>
    <s v="1"/>
    <m/>
    <m/>
  </r>
  <r>
    <x v="270"/>
    <s v="2"/>
    <m/>
    <m/>
  </r>
  <r>
    <x v="270"/>
    <s v="3"/>
    <m/>
    <m/>
  </r>
  <r>
    <x v="270"/>
    <s v="4"/>
    <m/>
    <m/>
  </r>
  <r>
    <x v="270"/>
    <s v="5"/>
    <m/>
    <m/>
  </r>
  <r>
    <x v="270"/>
    <s v="6"/>
    <m/>
    <m/>
  </r>
  <r>
    <x v="270"/>
    <s v="7"/>
    <m/>
    <m/>
  </r>
  <r>
    <x v="270"/>
    <s v="8"/>
    <m/>
    <m/>
  </r>
  <r>
    <x v="270"/>
    <s v="9"/>
    <m/>
    <m/>
  </r>
  <r>
    <x v="270"/>
    <s v="10"/>
    <m/>
    <m/>
  </r>
  <r>
    <x v="270"/>
    <s v="11"/>
    <m/>
    <m/>
  </r>
  <r>
    <x v="270"/>
    <s v="12"/>
    <m/>
    <m/>
  </r>
  <r>
    <x v="270"/>
    <s v="13"/>
    <m/>
    <m/>
  </r>
  <r>
    <x v="270"/>
    <s v="14"/>
    <m/>
    <m/>
  </r>
  <r>
    <x v="270"/>
    <s v="15"/>
    <m/>
    <m/>
  </r>
  <r>
    <x v="270"/>
    <s v="16"/>
    <m/>
    <m/>
  </r>
  <r>
    <x v="270"/>
    <s v="17"/>
    <m/>
    <m/>
  </r>
  <r>
    <x v="270"/>
    <s v="18"/>
    <m/>
    <m/>
  </r>
  <r>
    <x v="270"/>
    <s v="19"/>
    <m/>
    <m/>
  </r>
  <r>
    <x v="270"/>
    <s v="20"/>
    <m/>
    <m/>
  </r>
  <r>
    <x v="270"/>
    <s v="21"/>
    <m/>
    <m/>
  </r>
  <r>
    <x v="270"/>
    <s v="22"/>
    <m/>
    <m/>
  </r>
  <r>
    <x v="270"/>
    <s v="23"/>
    <m/>
    <m/>
  </r>
  <r>
    <x v="271"/>
    <s v="0"/>
    <m/>
    <m/>
  </r>
  <r>
    <x v="271"/>
    <s v="1"/>
    <m/>
    <m/>
  </r>
  <r>
    <x v="271"/>
    <s v="2"/>
    <m/>
    <m/>
  </r>
  <r>
    <x v="271"/>
    <s v="3"/>
    <m/>
    <m/>
  </r>
  <r>
    <x v="271"/>
    <s v="4"/>
    <m/>
    <m/>
  </r>
  <r>
    <x v="271"/>
    <s v="5"/>
    <m/>
    <m/>
  </r>
  <r>
    <x v="271"/>
    <s v="6"/>
    <m/>
    <m/>
  </r>
  <r>
    <x v="271"/>
    <s v="7"/>
    <m/>
    <m/>
  </r>
  <r>
    <x v="271"/>
    <s v="8"/>
    <m/>
    <m/>
  </r>
  <r>
    <x v="271"/>
    <s v="9"/>
    <m/>
    <m/>
  </r>
  <r>
    <x v="271"/>
    <s v="10"/>
    <m/>
    <m/>
  </r>
  <r>
    <x v="271"/>
    <s v="11"/>
    <m/>
    <m/>
  </r>
  <r>
    <x v="271"/>
    <s v="12"/>
    <m/>
    <m/>
  </r>
  <r>
    <x v="271"/>
    <s v="13"/>
    <m/>
    <m/>
  </r>
  <r>
    <x v="271"/>
    <s v="14"/>
    <m/>
    <m/>
  </r>
  <r>
    <x v="271"/>
    <s v="15"/>
    <m/>
    <m/>
  </r>
  <r>
    <x v="271"/>
    <s v="16"/>
    <m/>
    <m/>
  </r>
  <r>
    <x v="271"/>
    <s v="17"/>
    <m/>
    <m/>
  </r>
  <r>
    <x v="271"/>
    <s v="18"/>
    <m/>
    <m/>
  </r>
  <r>
    <x v="271"/>
    <s v="19"/>
    <m/>
    <m/>
  </r>
  <r>
    <x v="271"/>
    <s v="20"/>
    <m/>
    <m/>
  </r>
  <r>
    <x v="271"/>
    <s v="21"/>
    <m/>
    <m/>
  </r>
  <r>
    <x v="271"/>
    <s v="22"/>
    <m/>
    <m/>
  </r>
  <r>
    <x v="271"/>
    <s v="23"/>
    <m/>
    <m/>
  </r>
  <r>
    <x v="272"/>
    <s v="0"/>
    <m/>
    <m/>
  </r>
  <r>
    <x v="272"/>
    <s v="1"/>
    <m/>
    <m/>
  </r>
  <r>
    <x v="272"/>
    <s v="2"/>
    <m/>
    <m/>
  </r>
  <r>
    <x v="272"/>
    <s v="3"/>
    <m/>
    <m/>
  </r>
  <r>
    <x v="272"/>
    <s v="4"/>
    <m/>
    <m/>
  </r>
  <r>
    <x v="272"/>
    <s v="5"/>
    <m/>
    <m/>
  </r>
  <r>
    <x v="272"/>
    <s v="6"/>
    <m/>
    <m/>
  </r>
  <r>
    <x v="272"/>
    <s v="7"/>
    <m/>
    <m/>
  </r>
  <r>
    <x v="272"/>
    <s v="8"/>
    <m/>
    <m/>
  </r>
  <r>
    <x v="272"/>
    <s v="9"/>
    <m/>
    <m/>
  </r>
  <r>
    <x v="272"/>
    <s v="10"/>
    <m/>
    <m/>
  </r>
  <r>
    <x v="272"/>
    <s v="11"/>
    <m/>
    <m/>
  </r>
  <r>
    <x v="272"/>
    <s v="12"/>
    <m/>
    <m/>
  </r>
  <r>
    <x v="272"/>
    <s v="13"/>
    <m/>
    <m/>
  </r>
  <r>
    <x v="272"/>
    <s v="14"/>
    <m/>
    <m/>
  </r>
  <r>
    <x v="272"/>
    <s v="15"/>
    <m/>
    <m/>
  </r>
  <r>
    <x v="272"/>
    <s v="16"/>
    <m/>
    <m/>
  </r>
  <r>
    <x v="272"/>
    <s v="17"/>
    <m/>
    <m/>
  </r>
  <r>
    <x v="272"/>
    <s v="18"/>
    <m/>
    <m/>
  </r>
  <r>
    <x v="272"/>
    <s v="19"/>
    <m/>
    <m/>
  </r>
  <r>
    <x v="272"/>
    <s v="20"/>
    <m/>
    <m/>
  </r>
  <r>
    <x v="272"/>
    <s v="21"/>
    <m/>
    <m/>
  </r>
  <r>
    <x v="272"/>
    <s v="22"/>
    <m/>
    <m/>
  </r>
  <r>
    <x v="272"/>
    <s v="23"/>
    <m/>
    <m/>
  </r>
  <r>
    <x v="273"/>
    <s v="0"/>
    <m/>
    <m/>
  </r>
  <r>
    <x v="273"/>
    <s v="1"/>
    <m/>
    <m/>
  </r>
  <r>
    <x v="273"/>
    <s v="2"/>
    <m/>
    <m/>
  </r>
  <r>
    <x v="273"/>
    <s v="3"/>
    <m/>
    <m/>
  </r>
  <r>
    <x v="273"/>
    <s v="4"/>
    <m/>
    <m/>
  </r>
  <r>
    <x v="273"/>
    <s v="5"/>
    <m/>
    <m/>
  </r>
  <r>
    <x v="273"/>
    <s v="6"/>
    <m/>
    <m/>
  </r>
  <r>
    <x v="273"/>
    <s v="7"/>
    <m/>
    <m/>
  </r>
  <r>
    <x v="273"/>
    <s v="8"/>
    <m/>
    <m/>
  </r>
  <r>
    <x v="273"/>
    <s v="9"/>
    <m/>
    <m/>
  </r>
  <r>
    <x v="273"/>
    <s v="10"/>
    <m/>
    <m/>
  </r>
  <r>
    <x v="273"/>
    <s v="11"/>
    <m/>
    <m/>
  </r>
  <r>
    <x v="273"/>
    <s v="12"/>
    <m/>
    <m/>
  </r>
  <r>
    <x v="273"/>
    <s v="13"/>
    <m/>
    <m/>
  </r>
  <r>
    <x v="273"/>
    <s v="14"/>
    <m/>
    <m/>
  </r>
  <r>
    <x v="273"/>
    <s v="15"/>
    <m/>
    <m/>
  </r>
  <r>
    <x v="273"/>
    <s v="16"/>
    <m/>
    <m/>
  </r>
  <r>
    <x v="273"/>
    <s v="17"/>
    <m/>
    <m/>
  </r>
  <r>
    <x v="273"/>
    <s v="18"/>
    <m/>
    <m/>
  </r>
  <r>
    <x v="273"/>
    <s v="19"/>
    <m/>
    <m/>
  </r>
  <r>
    <x v="273"/>
    <s v="20"/>
    <m/>
    <m/>
  </r>
  <r>
    <x v="273"/>
    <s v="21"/>
    <m/>
    <m/>
  </r>
  <r>
    <x v="273"/>
    <s v="22"/>
    <m/>
    <m/>
  </r>
  <r>
    <x v="273"/>
    <s v="23"/>
    <m/>
    <m/>
  </r>
  <r>
    <x v="274"/>
    <s v="0"/>
    <m/>
    <m/>
  </r>
  <r>
    <x v="274"/>
    <s v="1"/>
    <m/>
    <m/>
  </r>
  <r>
    <x v="274"/>
    <s v="2"/>
    <m/>
    <m/>
  </r>
  <r>
    <x v="274"/>
    <s v="3"/>
    <m/>
    <m/>
  </r>
  <r>
    <x v="274"/>
    <s v="4"/>
    <m/>
    <m/>
  </r>
  <r>
    <x v="274"/>
    <s v="5"/>
    <m/>
    <m/>
  </r>
  <r>
    <x v="274"/>
    <s v="6"/>
    <m/>
    <m/>
  </r>
  <r>
    <x v="274"/>
    <s v="7"/>
    <m/>
    <m/>
  </r>
  <r>
    <x v="274"/>
    <s v="8"/>
    <m/>
    <m/>
  </r>
  <r>
    <x v="274"/>
    <s v="9"/>
    <m/>
    <m/>
  </r>
  <r>
    <x v="274"/>
    <s v="10"/>
    <m/>
    <m/>
  </r>
  <r>
    <x v="274"/>
    <s v="11"/>
    <m/>
    <m/>
  </r>
  <r>
    <x v="274"/>
    <s v="12"/>
    <m/>
    <m/>
  </r>
  <r>
    <x v="274"/>
    <s v="13"/>
    <m/>
    <m/>
  </r>
  <r>
    <x v="274"/>
    <s v="14"/>
    <m/>
    <m/>
  </r>
  <r>
    <x v="274"/>
    <s v="15"/>
    <m/>
    <m/>
  </r>
  <r>
    <x v="274"/>
    <s v="16"/>
    <m/>
    <m/>
  </r>
  <r>
    <x v="274"/>
    <s v="17"/>
    <m/>
    <m/>
  </r>
  <r>
    <x v="274"/>
    <s v="18"/>
    <m/>
    <m/>
  </r>
  <r>
    <x v="274"/>
    <s v="19"/>
    <m/>
    <m/>
  </r>
  <r>
    <x v="274"/>
    <s v="20"/>
    <m/>
    <m/>
  </r>
  <r>
    <x v="274"/>
    <s v="21"/>
    <m/>
    <m/>
  </r>
  <r>
    <x v="274"/>
    <s v="22"/>
    <m/>
    <m/>
  </r>
  <r>
    <x v="274"/>
    <s v="23"/>
    <m/>
    <m/>
  </r>
  <r>
    <x v="275"/>
    <s v="0"/>
    <m/>
    <m/>
  </r>
  <r>
    <x v="275"/>
    <s v="1"/>
    <m/>
    <m/>
  </r>
  <r>
    <x v="275"/>
    <s v="2"/>
    <m/>
    <m/>
  </r>
  <r>
    <x v="275"/>
    <s v="3"/>
    <m/>
    <m/>
  </r>
  <r>
    <x v="275"/>
    <s v="4"/>
    <m/>
    <m/>
  </r>
  <r>
    <x v="275"/>
    <s v="5"/>
    <m/>
    <m/>
  </r>
  <r>
    <x v="275"/>
    <s v="6"/>
    <m/>
    <m/>
  </r>
  <r>
    <x v="275"/>
    <s v="7"/>
    <m/>
    <m/>
  </r>
  <r>
    <x v="275"/>
    <s v="8"/>
    <m/>
    <m/>
  </r>
  <r>
    <x v="275"/>
    <s v="9"/>
    <m/>
    <m/>
  </r>
  <r>
    <x v="275"/>
    <s v="10"/>
    <m/>
    <m/>
  </r>
  <r>
    <x v="275"/>
    <s v="11"/>
    <m/>
    <m/>
  </r>
  <r>
    <x v="275"/>
    <s v="12"/>
    <m/>
    <m/>
  </r>
  <r>
    <x v="275"/>
    <s v="13"/>
    <m/>
    <m/>
  </r>
  <r>
    <x v="275"/>
    <s v="14"/>
    <m/>
    <m/>
  </r>
  <r>
    <x v="275"/>
    <s v="15"/>
    <m/>
    <m/>
  </r>
  <r>
    <x v="275"/>
    <s v="16"/>
    <m/>
    <m/>
  </r>
  <r>
    <x v="275"/>
    <s v="17"/>
    <m/>
    <m/>
  </r>
  <r>
    <x v="275"/>
    <s v="18"/>
    <m/>
    <m/>
  </r>
  <r>
    <x v="275"/>
    <s v="19"/>
    <m/>
    <m/>
  </r>
  <r>
    <x v="275"/>
    <s v="20"/>
    <m/>
    <m/>
  </r>
  <r>
    <x v="275"/>
    <s v="21"/>
    <m/>
    <m/>
  </r>
  <r>
    <x v="275"/>
    <s v="22"/>
    <m/>
    <m/>
  </r>
  <r>
    <x v="275"/>
    <s v="23"/>
    <m/>
    <m/>
  </r>
  <r>
    <x v="276"/>
    <s v="0"/>
    <m/>
    <m/>
  </r>
  <r>
    <x v="276"/>
    <s v="1"/>
    <m/>
    <m/>
  </r>
  <r>
    <x v="276"/>
    <s v="2"/>
    <m/>
    <m/>
  </r>
  <r>
    <x v="276"/>
    <s v="3"/>
    <m/>
    <m/>
  </r>
  <r>
    <x v="276"/>
    <s v="4"/>
    <m/>
    <m/>
  </r>
  <r>
    <x v="276"/>
    <s v="5"/>
    <m/>
    <m/>
  </r>
  <r>
    <x v="276"/>
    <s v="6"/>
    <m/>
    <m/>
  </r>
  <r>
    <x v="276"/>
    <s v="7"/>
    <m/>
    <m/>
  </r>
  <r>
    <x v="276"/>
    <s v="8"/>
    <m/>
    <m/>
  </r>
  <r>
    <x v="276"/>
    <s v="9"/>
    <m/>
    <m/>
  </r>
  <r>
    <x v="276"/>
    <s v="10"/>
    <m/>
    <m/>
  </r>
  <r>
    <x v="276"/>
    <s v="11"/>
    <m/>
    <m/>
  </r>
  <r>
    <x v="276"/>
    <s v="12"/>
    <m/>
    <m/>
  </r>
  <r>
    <x v="276"/>
    <s v="13"/>
    <m/>
    <m/>
  </r>
  <r>
    <x v="276"/>
    <s v="14"/>
    <m/>
    <m/>
  </r>
  <r>
    <x v="276"/>
    <s v="15"/>
    <m/>
    <m/>
  </r>
  <r>
    <x v="276"/>
    <s v="16"/>
    <m/>
    <m/>
  </r>
  <r>
    <x v="276"/>
    <s v="17"/>
    <m/>
    <m/>
  </r>
  <r>
    <x v="276"/>
    <s v="18"/>
    <m/>
    <m/>
  </r>
  <r>
    <x v="276"/>
    <s v="19"/>
    <m/>
    <m/>
  </r>
  <r>
    <x v="276"/>
    <s v="20"/>
    <m/>
    <m/>
  </r>
  <r>
    <x v="276"/>
    <s v="21"/>
    <m/>
    <m/>
  </r>
  <r>
    <x v="276"/>
    <s v="22"/>
    <m/>
    <m/>
  </r>
  <r>
    <x v="276"/>
    <s v="23"/>
    <m/>
    <m/>
  </r>
  <r>
    <x v="277"/>
    <s v="0"/>
    <m/>
    <m/>
  </r>
  <r>
    <x v="277"/>
    <s v="1"/>
    <m/>
    <m/>
  </r>
  <r>
    <x v="277"/>
    <s v="2"/>
    <m/>
    <m/>
  </r>
  <r>
    <x v="277"/>
    <s v="3"/>
    <m/>
    <m/>
  </r>
  <r>
    <x v="277"/>
    <s v="4"/>
    <m/>
    <m/>
  </r>
  <r>
    <x v="277"/>
    <s v="5"/>
    <m/>
    <m/>
  </r>
  <r>
    <x v="277"/>
    <s v="6"/>
    <m/>
    <m/>
  </r>
  <r>
    <x v="277"/>
    <s v="7"/>
    <m/>
    <m/>
  </r>
  <r>
    <x v="277"/>
    <s v="8"/>
    <m/>
    <m/>
  </r>
  <r>
    <x v="277"/>
    <s v="9"/>
    <m/>
    <m/>
  </r>
  <r>
    <x v="277"/>
    <s v="10"/>
    <m/>
    <m/>
  </r>
  <r>
    <x v="277"/>
    <s v="11"/>
    <m/>
    <m/>
  </r>
  <r>
    <x v="277"/>
    <s v="12"/>
    <m/>
    <m/>
  </r>
  <r>
    <x v="277"/>
    <s v="13"/>
    <m/>
    <m/>
  </r>
  <r>
    <x v="277"/>
    <s v="14"/>
    <m/>
    <m/>
  </r>
  <r>
    <x v="277"/>
    <s v="15"/>
    <m/>
    <m/>
  </r>
  <r>
    <x v="277"/>
    <s v="16"/>
    <m/>
    <m/>
  </r>
  <r>
    <x v="277"/>
    <s v="17"/>
    <m/>
    <m/>
  </r>
  <r>
    <x v="277"/>
    <s v="18"/>
    <m/>
    <m/>
  </r>
  <r>
    <x v="277"/>
    <s v="19"/>
    <m/>
    <m/>
  </r>
  <r>
    <x v="277"/>
    <s v="20"/>
    <m/>
    <m/>
  </r>
  <r>
    <x v="277"/>
    <s v="21"/>
    <m/>
    <m/>
  </r>
  <r>
    <x v="277"/>
    <s v="22"/>
    <m/>
    <m/>
  </r>
  <r>
    <x v="277"/>
    <s v="23"/>
    <m/>
    <m/>
  </r>
  <r>
    <x v="278"/>
    <s v="0"/>
    <m/>
    <m/>
  </r>
  <r>
    <x v="278"/>
    <s v="1"/>
    <m/>
    <m/>
  </r>
  <r>
    <x v="278"/>
    <s v="2"/>
    <m/>
    <m/>
  </r>
  <r>
    <x v="278"/>
    <s v="3"/>
    <m/>
    <m/>
  </r>
  <r>
    <x v="278"/>
    <s v="4"/>
    <m/>
    <m/>
  </r>
  <r>
    <x v="278"/>
    <s v="5"/>
    <m/>
    <m/>
  </r>
  <r>
    <x v="278"/>
    <s v="6"/>
    <m/>
    <m/>
  </r>
  <r>
    <x v="278"/>
    <s v="7"/>
    <m/>
    <m/>
  </r>
  <r>
    <x v="278"/>
    <s v="8"/>
    <m/>
    <m/>
  </r>
  <r>
    <x v="278"/>
    <s v="9"/>
    <m/>
    <m/>
  </r>
  <r>
    <x v="278"/>
    <s v="10"/>
    <m/>
    <m/>
  </r>
  <r>
    <x v="278"/>
    <s v="11"/>
    <m/>
    <m/>
  </r>
  <r>
    <x v="278"/>
    <s v="12"/>
    <m/>
    <m/>
  </r>
  <r>
    <x v="278"/>
    <s v="13"/>
    <m/>
    <m/>
  </r>
  <r>
    <x v="278"/>
    <s v="14"/>
    <m/>
    <m/>
  </r>
  <r>
    <x v="278"/>
    <s v="15"/>
    <m/>
    <m/>
  </r>
  <r>
    <x v="278"/>
    <s v="16"/>
    <m/>
    <m/>
  </r>
  <r>
    <x v="278"/>
    <s v="17"/>
    <m/>
    <m/>
  </r>
  <r>
    <x v="278"/>
    <s v="18"/>
    <m/>
    <m/>
  </r>
  <r>
    <x v="278"/>
    <s v="19"/>
    <m/>
    <m/>
  </r>
  <r>
    <x v="278"/>
    <s v="20"/>
    <m/>
    <m/>
  </r>
  <r>
    <x v="278"/>
    <s v="21"/>
    <m/>
    <m/>
  </r>
  <r>
    <x v="278"/>
    <s v="22"/>
    <m/>
    <m/>
  </r>
  <r>
    <x v="278"/>
    <s v="23"/>
    <m/>
    <m/>
  </r>
  <r>
    <x v="279"/>
    <s v="0"/>
    <m/>
    <m/>
  </r>
  <r>
    <x v="279"/>
    <s v="1"/>
    <m/>
    <m/>
  </r>
  <r>
    <x v="279"/>
    <s v="2"/>
    <m/>
    <m/>
  </r>
  <r>
    <x v="279"/>
    <s v="3"/>
    <m/>
    <m/>
  </r>
  <r>
    <x v="279"/>
    <s v="4"/>
    <m/>
    <m/>
  </r>
  <r>
    <x v="279"/>
    <s v="5"/>
    <m/>
    <m/>
  </r>
  <r>
    <x v="279"/>
    <s v="6"/>
    <m/>
    <m/>
  </r>
  <r>
    <x v="279"/>
    <s v="7"/>
    <m/>
    <m/>
  </r>
  <r>
    <x v="279"/>
    <s v="8"/>
    <m/>
    <m/>
  </r>
  <r>
    <x v="279"/>
    <s v="9"/>
    <m/>
    <m/>
  </r>
  <r>
    <x v="279"/>
    <s v="10"/>
    <m/>
    <m/>
  </r>
  <r>
    <x v="279"/>
    <s v="11"/>
    <m/>
    <m/>
  </r>
  <r>
    <x v="279"/>
    <s v="12"/>
    <m/>
    <m/>
  </r>
  <r>
    <x v="279"/>
    <s v="13"/>
    <m/>
    <m/>
  </r>
  <r>
    <x v="279"/>
    <s v="14"/>
    <m/>
    <m/>
  </r>
  <r>
    <x v="279"/>
    <s v="15"/>
    <m/>
    <m/>
  </r>
  <r>
    <x v="279"/>
    <s v="16"/>
    <m/>
    <m/>
  </r>
  <r>
    <x v="279"/>
    <s v="17"/>
    <m/>
    <m/>
  </r>
  <r>
    <x v="279"/>
    <s v="18"/>
    <m/>
    <m/>
  </r>
  <r>
    <x v="279"/>
    <s v="19"/>
    <m/>
    <m/>
  </r>
  <r>
    <x v="279"/>
    <s v="20"/>
    <m/>
    <m/>
  </r>
  <r>
    <x v="279"/>
    <s v="21"/>
    <m/>
    <m/>
  </r>
  <r>
    <x v="279"/>
    <s v="22"/>
    <m/>
    <m/>
  </r>
  <r>
    <x v="279"/>
    <s v="23"/>
    <m/>
    <m/>
  </r>
  <r>
    <x v="280"/>
    <s v="0"/>
    <m/>
    <m/>
  </r>
  <r>
    <x v="280"/>
    <s v="1"/>
    <m/>
    <m/>
  </r>
  <r>
    <x v="280"/>
    <s v="2"/>
    <m/>
    <m/>
  </r>
  <r>
    <x v="280"/>
    <s v="3"/>
    <m/>
    <m/>
  </r>
  <r>
    <x v="280"/>
    <s v="4"/>
    <m/>
    <m/>
  </r>
  <r>
    <x v="280"/>
    <s v="5"/>
    <m/>
    <m/>
  </r>
  <r>
    <x v="280"/>
    <s v="6"/>
    <m/>
    <m/>
  </r>
  <r>
    <x v="280"/>
    <s v="7"/>
    <m/>
    <m/>
  </r>
  <r>
    <x v="280"/>
    <s v="8"/>
    <m/>
    <m/>
  </r>
  <r>
    <x v="280"/>
    <s v="9"/>
    <m/>
    <m/>
  </r>
  <r>
    <x v="280"/>
    <s v="10"/>
    <m/>
    <m/>
  </r>
  <r>
    <x v="280"/>
    <s v="11"/>
    <m/>
    <m/>
  </r>
  <r>
    <x v="280"/>
    <s v="12"/>
    <m/>
    <m/>
  </r>
  <r>
    <x v="280"/>
    <s v="13"/>
    <m/>
    <m/>
  </r>
  <r>
    <x v="280"/>
    <s v="14"/>
    <m/>
    <m/>
  </r>
  <r>
    <x v="280"/>
    <s v="15"/>
    <m/>
    <m/>
  </r>
  <r>
    <x v="280"/>
    <s v="16"/>
    <m/>
    <m/>
  </r>
  <r>
    <x v="280"/>
    <s v="17"/>
    <m/>
    <m/>
  </r>
  <r>
    <x v="280"/>
    <s v="18"/>
    <m/>
    <m/>
  </r>
  <r>
    <x v="280"/>
    <s v="19"/>
    <m/>
    <m/>
  </r>
  <r>
    <x v="280"/>
    <s v="20"/>
    <m/>
    <m/>
  </r>
  <r>
    <x v="280"/>
    <s v="21"/>
    <m/>
    <m/>
  </r>
  <r>
    <x v="280"/>
    <s v="22"/>
    <m/>
    <m/>
  </r>
  <r>
    <x v="280"/>
    <s v="23"/>
    <m/>
    <m/>
  </r>
  <r>
    <x v="281"/>
    <s v="0"/>
    <m/>
    <m/>
  </r>
  <r>
    <x v="281"/>
    <s v="1"/>
    <m/>
    <m/>
  </r>
  <r>
    <x v="281"/>
    <s v="2"/>
    <m/>
    <m/>
  </r>
  <r>
    <x v="281"/>
    <s v="3"/>
    <m/>
    <m/>
  </r>
  <r>
    <x v="281"/>
    <s v="4"/>
    <m/>
    <m/>
  </r>
  <r>
    <x v="281"/>
    <s v="5"/>
    <m/>
    <m/>
  </r>
  <r>
    <x v="281"/>
    <s v="6"/>
    <m/>
    <m/>
  </r>
  <r>
    <x v="281"/>
    <s v="7"/>
    <m/>
    <m/>
  </r>
  <r>
    <x v="281"/>
    <s v="8"/>
    <m/>
    <m/>
  </r>
  <r>
    <x v="281"/>
    <s v="9"/>
    <m/>
    <m/>
  </r>
  <r>
    <x v="281"/>
    <s v="10"/>
    <m/>
    <m/>
  </r>
  <r>
    <x v="281"/>
    <s v="11"/>
    <m/>
    <m/>
  </r>
  <r>
    <x v="281"/>
    <s v="12"/>
    <m/>
    <m/>
  </r>
  <r>
    <x v="281"/>
    <s v="13"/>
    <m/>
    <m/>
  </r>
  <r>
    <x v="281"/>
    <s v="14"/>
    <m/>
    <m/>
  </r>
  <r>
    <x v="281"/>
    <s v="15"/>
    <m/>
    <m/>
  </r>
  <r>
    <x v="281"/>
    <s v="16"/>
    <m/>
    <m/>
  </r>
  <r>
    <x v="281"/>
    <s v="17"/>
    <m/>
    <m/>
  </r>
  <r>
    <x v="281"/>
    <s v="18"/>
    <m/>
    <m/>
  </r>
  <r>
    <x v="281"/>
    <s v="19"/>
    <m/>
    <m/>
  </r>
  <r>
    <x v="281"/>
    <s v="20"/>
    <m/>
    <m/>
  </r>
  <r>
    <x v="281"/>
    <s v="21"/>
    <m/>
    <m/>
  </r>
  <r>
    <x v="281"/>
    <s v="22"/>
    <m/>
    <m/>
  </r>
  <r>
    <x v="281"/>
    <s v="23"/>
    <m/>
    <m/>
  </r>
  <r>
    <x v="282"/>
    <s v="0"/>
    <m/>
    <m/>
  </r>
  <r>
    <x v="282"/>
    <s v="1"/>
    <m/>
    <m/>
  </r>
  <r>
    <x v="282"/>
    <s v="2"/>
    <m/>
    <m/>
  </r>
  <r>
    <x v="282"/>
    <s v="3"/>
    <m/>
    <m/>
  </r>
  <r>
    <x v="282"/>
    <s v="4"/>
    <m/>
    <m/>
  </r>
  <r>
    <x v="282"/>
    <s v="5"/>
    <m/>
    <m/>
  </r>
  <r>
    <x v="282"/>
    <s v="6"/>
    <m/>
    <m/>
  </r>
  <r>
    <x v="282"/>
    <s v="7"/>
    <m/>
    <m/>
  </r>
  <r>
    <x v="282"/>
    <s v="8"/>
    <m/>
    <m/>
  </r>
  <r>
    <x v="282"/>
    <s v="9"/>
    <m/>
    <m/>
  </r>
  <r>
    <x v="282"/>
    <s v="10"/>
    <m/>
    <m/>
  </r>
  <r>
    <x v="282"/>
    <s v="11"/>
    <m/>
    <m/>
  </r>
  <r>
    <x v="282"/>
    <s v="12"/>
    <m/>
    <m/>
  </r>
  <r>
    <x v="282"/>
    <s v="13"/>
    <m/>
    <m/>
  </r>
  <r>
    <x v="282"/>
    <s v="14"/>
    <m/>
    <m/>
  </r>
  <r>
    <x v="282"/>
    <s v="15"/>
    <m/>
    <m/>
  </r>
  <r>
    <x v="282"/>
    <s v="16"/>
    <m/>
    <m/>
  </r>
  <r>
    <x v="282"/>
    <s v="17"/>
    <m/>
    <m/>
  </r>
  <r>
    <x v="282"/>
    <s v="18"/>
    <m/>
    <m/>
  </r>
  <r>
    <x v="282"/>
    <s v="19"/>
    <m/>
    <m/>
  </r>
  <r>
    <x v="282"/>
    <s v="20"/>
    <m/>
    <m/>
  </r>
  <r>
    <x v="282"/>
    <s v="21"/>
    <m/>
    <m/>
  </r>
  <r>
    <x v="282"/>
    <s v="22"/>
    <m/>
    <m/>
  </r>
  <r>
    <x v="282"/>
    <s v="23"/>
    <m/>
    <m/>
  </r>
  <r>
    <x v="283"/>
    <s v="0"/>
    <m/>
    <m/>
  </r>
  <r>
    <x v="283"/>
    <s v="1"/>
    <m/>
    <m/>
  </r>
  <r>
    <x v="283"/>
    <s v="2"/>
    <m/>
    <m/>
  </r>
  <r>
    <x v="283"/>
    <s v="3"/>
    <m/>
    <m/>
  </r>
  <r>
    <x v="283"/>
    <s v="4"/>
    <m/>
    <m/>
  </r>
  <r>
    <x v="283"/>
    <s v="5"/>
    <m/>
    <m/>
  </r>
  <r>
    <x v="283"/>
    <s v="6"/>
    <m/>
    <m/>
  </r>
  <r>
    <x v="283"/>
    <s v="7"/>
    <m/>
    <m/>
  </r>
  <r>
    <x v="283"/>
    <s v="8"/>
    <m/>
    <m/>
  </r>
  <r>
    <x v="283"/>
    <s v="9"/>
    <m/>
    <m/>
  </r>
  <r>
    <x v="283"/>
    <s v="10"/>
    <m/>
    <m/>
  </r>
  <r>
    <x v="283"/>
    <s v="11"/>
    <m/>
    <m/>
  </r>
  <r>
    <x v="283"/>
    <s v="12"/>
    <m/>
    <m/>
  </r>
  <r>
    <x v="283"/>
    <s v="13"/>
    <m/>
    <m/>
  </r>
  <r>
    <x v="283"/>
    <s v="14"/>
    <m/>
    <m/>
  </r>
  <r>
    <x v="283"/>
    <s v="15"/>
    <m/>
    <m/>
  </r>
  <r>
    <x v="283"/>
    <s v="16"/>
    <m/>
    <m/>
  </r>
  <r>
    <x v="283"/>
    <s v="17"/>
    <m/>
    <m/>
  </r>
  <r>
    <x v="283"/>
    <s v="18"/>
    <m/>
    <m/>
  </r>
  <r>
    <x v="283"/>
    <s v="19"/>
    <m/>
    <m/>
  </r>
  <r>
    <x v="283"/>
    <s v="20"/>
    <m/>
    <m/>
  </r>
  <r>
    <x v="283"/>
    <s v="21"/>
    <m/>
    <m/>
  </r>
  <r>
    <x v="283"/>
    <s v="22"/>
    <m/>
    <m/>
  </r>
  <r>
    <x v="283"/>
    <s v="23"/>
    <m/>
    <m/>
  </r>
  <r>
    <x v="284"/>
    <s v="0"/>
    <m/>
    <m/>
  </r>
  <r>
    <x v="284"/>
    <s v="1"/>
    <m/>
    <m/>
  </r>
  <r>
    <x v="284"/>
    <s v="2"/>
    <m/>
    <m/>
  </r>
  <r>
    <x v="284"/>
    <s v="3"/>
    <m/>
    <m/>
  </r>
  <r>
    <x v="284"/>
    <s v="4"/>
    <m/>
    <m/>
  </r>
  <r>
    <x v="284"/>
    <s v="5"/>
    <m/>
    <m/>
  </r>
  <r>
    <x v="284"/>
    <s v="6"/>
    <m/>
    <m/>
  </r>
  <r>
    <x v="284"/>
    <s v="7"/>
    <m/>
    <m/>
  </r>
  <r>
    <x v="284"/>
    <s v="8"/>
    <m/>
    <m/>
  </r>
  <r>
    <x v="284"/>
    <s v="9"/>
    <m/>
    <m/>
  </r>
  <r>
    <x v="284"/>
    <s v="10"/>
    <m/>
    <m/>
  </r>
  <r>
    <x v="284"/>
    <s v="11"/>
    <m/>
    <m/>
  </r>
  <r>
    <x v="284"/>
    <s v="12"/>
    <m/>
    <m/>
  </r>
  <r>
    <x v="284"/>
    <s v="13"/>
    <m/>
    <m/>
  </r>
  <r>
    <x v="284"/>
    <s v="14"/>
    <m/>
    <m/>
  </r>
  <r>
    <x v="284"/>
    <s v="15"/>
    <m/>
    <m/>
  </r>
  <r>
    <x v="284"/>
    <s v="16"/>
    <m/>
    <m/>
  </r>
  <r>
    <x v="284"/>
    <s v="17"/>
    <m/>
    <m/>
  </r>
  <r>
    <x v="284"/>
    <s v="18"/>
    <m/>
    <m/>
  </r>
  <r>
    <x v="284"/>
    <s v="19"/>
    <m/>
    <m/>
  </r>
  <r>
    <x v="284"/>
    <s v="20"/>
    <m/>
    <m/>
  </r>
  <r>
    <x v="284"/>
    <s v="21"/>
    <m/>
    <m/>
  </r>
  <r>
    <x v="284"/>
    <s v="22"/>
    <m/>
    <m/>
  </r>
  <r>
    <x v="284"/>
    <s v="23"/>
    <m/>
    <m/>
  </r>
  <r>
    <x v="285"/>
    <s v="0"/>
    <m/>
    <m/>
  </r>
  <r>
    <x v="285"/>
    <s v="1"/>
    <m/>
    <m/>
  </r>
  <r>
    <x v="285"/>
    <s v="2"/>
    <m/>
    <m/>
  </r>
  <r>
    <x v="285"/>
    <s v="3"/>
    <m/>
    <m/>
  </r>
  <r>
    <x v="285"/>
    <s v="4"/>
    <m/>
    <m/>
  </r>
  <r>
    <x v="285"/>
    <s v="5"/>
    <m/>
    <m/>
  </r>
  <r>
    <x v="285"/>
    <s v="6"/>
    <m/>
    <m/>
  </r>
  <r>
    <x v="285"/>
    <s v="7"/>
    <m/>
    <m/>
  </r>
  <r>
    <x v="285"/>
    <s v="8"/>
    <m/>
    <m/>
  </r>
  <r>
    <x v="285"/>
    <s v="9"/>
    <m/>
    <m/>
  </r>
  <r>
    <x v="285"/>
    <s v="10"/>
    <m/>
    <m/>
  </r>
  <r>
    <x v="285"/>
    <s v="11"/>
    <m/>
    <m/>
  </r>
  <r>
    <x v="285"/>
    <s v="12"/>
    <m/>
    <m/>
  </r>
  <r>
    <x v="285"/>
    <s v="13"/>
    <m/>
    <m/>
  </r>
  <r>
    <x v="285"/>
    <s v="14"/>
    <m/>
    <m/>
  </r>
  <r>
    <x v="285"/>
    <s v="15"/>
    <m/>
    <m/>
  </r>
  <r>
    <x v="285"/>
    <s v="16"/>
    <m/>
    <m/>
  </r>
  <r>
    <x v="285"/>
    <s v="17"/>
    <m/>
    <m/>
  </r>
  <r>
    <x v="285"/>
    <s v="18"/>
    <m/>
    <m/>
  </r>
  <r>
    <x v="285"/>
    <s v="19"/>
    <m/>
    <m/>
  </r>
  <r>
    <x v="285"/>
    <s v="20"/>
    <m/>
    <m/>
  </r>
  <r>
    <x v="285"/>
    <s v="21"/>
    <m/>
    <m/>
  </r>
  <r>
    <x v="285"/>
    <s v="22"/>
    <m/>
    <m/>
  </r>
  <r>
    <x v="285"/>
    <s v="23"/>
    <m/>
    <m/>
  </r>
  <r>
    <x v="286"/>
    <s v="0"/>
    <m/>
    <m/>
  </r>
  <r>
    <x v="286"/>
    <s v="1"/>
    <m/>
    <m/>
  </r>
  <r>
    <x v="286"/>
    <s v="2"/>
    <m/>
    <m/>
  </r>
  <r>
    <x v="286"/>
    <s v="3"/>
    <m/>
    <m/>
  </r>
  <r>
    <x v="286"/>
    <s v="4"/>
    <m/>
    <m/>
  </r>
  <r>
    <x v="286"/>
    <s v="5"/>
    <m/>
    <m/>
  </r>
  <r>
    <x v="286"/>
    <s v="6"/>
    <m/>
    <m/>
  </r>
  <r>
    <x v="286"/>
    <s v="7"/>
    <m/>
    <m/>
  </r>
  <r>
    <x v="286"/>
    <s v="8"/>
    <m/>
    <m/>
  </r>
  <r>
    <x v="286"/>
    <s v="9"/>
    <m/>
    <m/>
  </r>
  <r>
    <x v="286"/>
    <s v="10"/>
    <m/>
    <m/>
  </r>
  <r>
    <x v="286"/>
    <s v="11"/>
    <m/>
    <m/>
  </r>
  <r>
    <x v="286"/>
    <s v="12"/>
    <m/>
    <m/>
  </r>
  <r>
    <x v="286"/>
    <s v="13"/>
    <m/>
    <m/>
  </r>
  <r>
    <x v="286"/>
    <s v="14"/>
    <m/>
    <m/>
  </r>
  <r>
    <x v="286"/>
    <s v="15"/>
    <m/>
    <m/>
  </r>
  <r>
    <x v="286"/>
    <s v="16"/>
    <m/>
    <m/>
  </r>
  <r>
    <x v="286"/>
    <s v="17"/>
    <m/>
    <m/>
  </r>
  <r>
    <x v="286"/>
    <s v="18"/>
    <m/>
    <m/>
  </r>
  <r>
    <x v="286"/>
    <s v="19"/>
    <m/>
    <m/>
  </r>
  <r>
    <x v="286"/>
    <s v="20"/>
    <m/>
    <m/>
  </r>
  <r>
    <x v="286"/>
    <s v="21"/>
    <m/>
    <m/>
  </r>
  <r>
    <x v="286"/>
    <s v="22"/>
    <m/>
    <m/>
  </r>
  <r>
    <x v="286"/>
    <s v="23"/>
    <m/>
    <m/>
  </r>
  <r>
    <x v="287"/>
    <s v="0"/>
    <m/>
    <m/>
  </r>
  <r>
    <x v="287"/>
    <s v="1"/>
    <m/>
    <m/>
  </r>
  <r>
    <x v="287"/>
    <s v="2"/>
    <m/>
    <m/>
  </r>
  <r>
    <x v="287"/>
    <s v="3"/>
    <m/>
    <m/>
  </r>
  <r>
    <x v="287"/>
    <s v="4"/>
    <m/>
    <m/>
  </r>
  <r>
    <x v="287"/>
    <s v="5"/>
    <m/>
    <m/>
  </r>
  <r>
    <x v="287"/>
    <s v="6"/>
    <m/>
    <m/>
  </r>
  <r>
    <x v="287"/>
    <s v="7"/>
    <m/>
    <m/>
  </r>
  <r>
    <x v="287"/>
    <s v="8"/>
    <m/>
    <m/>
  </r>
  <r>
    <x v="287"/>
    <s v="9"/>
    <m/>
    <m/>
  </r>
  <r>
    <x v="287"/>
    <s v="10"/>
    <m/>
    <m/>
  </r>
  <r>
    <x v="287"/>
    <s v="11"/>
    <m/>
    <m/>
  </r>
  <r>
    <x v="287"/>
    <s v="12"/>
    <m/>
    <m/>
  </r>
  <r>
    <x v="287"/>
    <s v="13"/>
    <m/>
    <m/>
  </r>
  <r>
    <x v="287"/>
    <s v="14"/>
    <m/>
    <m/>
  </r>
  <r>
    <x v="287"/>
    <s v="15"/>
    <m/>
    <m/>
  </r>
  <r>
    <x v="287"/>
    <s v="16"/>
    <m/>
    <m/>
  </r>
  <r>
    <x v="287"/>
    <s v="17"/>
    <m/>
    <m/>
  </r>
  <r>
    <x v="287"/>
    <s v="18"/>
    <m/>
    <m/>
  </r>
  <r>
    <x v="287"/>
    <s v="19"/>
    <m/>
    <m/>
  </r>
  <r>
    <x v="287"/>
    <s v="20"/>
    <m/>
    <m/>
  </r>
  <r>
    <x v="287"/>
    <s v="21"/>
    <m/>
    <m/>
  </r>
  <r>
    <x v="287"/>
    <s v="22"/>
    <m/>
    <m/>
  </r>
  <r>
    <x v="287"/>
    <s v="23"/>
    <m/>
    <m/>
  </r>
  <r>
    <x v="288"/>
    <s v="0"/>
    <m/>
    <m/>
  </r>
  <r>
    <x v="288"/>
    <s v="1"/>
    <m/>
    <m/>
  </r>
  <r>
    <x v="288"/>
    <s v="2"/>
    <m/>
    <m/>
  </r>
  <r>
    <x v="288"/>
    <s v="3"/>
    <m/>
    <m/>
  </r>
  <r>
    <x v="288"/>
    <s v="4"/>
    <m/>
    <m/>
  </r>
  <r>
    <x v="288"/>
    <s v="5"/>
    <m/>
    <m/>
  </r>
  <r>
    <x v="288"/>
    <s v="6"/>
    <m/>
    <m/>
  </r>
  <r>
    <x v="288"/>
    <s v="7"/>
    <m/>
    <m/>
  </r>
  <r>
    <x v="288"/>
    <s v="8"/>
    <m/>
    <m/>
  </r>
  <r>
    <x v="288"/>
    <s v="9"/>
    <m/>
    <m/>
  </r>
  <r>
    <x v="288"/>
    <s v="10"/>
    <m/>
    <m/>
  </r>
  <r>
    <x v="288"/>
    <s v="11"/>
    <m/>
    <m/>
  </r>
  <r>
    <x v="288"/>
    <s v="12"/>
    <m/>
    <m/>
  </r>
  <r>
    <x v="288"/>
    <s v="13"/>
    <m/>
    <m/>
  </r>
  <r>
    <x v="288"/>
    <s v="14"/>
    <m/>
    <m/>
  </r>
  <r>
    <x v="288"/>
    <s v="15"/>
    <m/>
    <m/>
  </r>
  <r>
    <x v="288"/>
    <s v="16"/>
    <m/>
    <m/>
  </r>
  <r>
    <x v="288"/>
    <s v="17"/>
    <m/>
    <m/>
  </r>
  <r>
    <x v="288"/>
    <s v="18"/>
    <m/>
    <m/>
  </r>
  <r>
    <x v="288"/>
    <s v="19"/>
    <m/>
    <m/>
  </r>
  <r>
    <x v="288"/>
    <s v="20"/>
    <m/>
    <m/>
  </r>
  <r>
    <x v="288"/>
    <s v="21"/>
    <m/>
    <m/>
  </r>
  <r>
    <x v="288"/>
    <s v="22"/>
    <m/>
    <m/>
  </r>
  <r>
    <x v="288"/>
    <s v="23"/>
    <m/>
    <m/>
  </r>
  <r>
    <x v="289"/>
    <s v="0"/>
    <m/>
    <m/>
  </r>
  <r>
    <x v="289"/>
    <s v="1"/>
    <m/>
    <m/>
  </r>
  <r>
    <x v="289"/>
    <s v="2"/>
    <m/>
    <m/>
  </r>
  <r>
    <x v="289"/>
    <s v="3"/>
    <m/>
    <m/>
  </r>
  <r>
    <x v="289"/>
    <s v="4"/>
    <m/>
    <m/>
  </r>
  <r>
    <x v="289"/>
    <s v="5"/>
    <m/>
    <m/>
  </r>
  <r>
    <x v="289"/>
    <s v="6"/>
    <m/>
    <m/>
  </r>
  <r>
    <x v="289"/>
    <s v="7"/>
    <m/>
    <m/>
  </r>
  <r>
    <x v="289"/>
    <s v="8"/>
    <m/>
    <m/>
  </r>
  <r>
    <x v="289"/>
    <s v="9"/>
    <m/>
    <m/>
  </r>
  <r>
    <x v="289"/>
    <s v="10"/>
    <m/>
    <m/>
  </r>
  <r>
    <x v="289"/>
    <s v="11"/>
    <m/>
    <m/>
  </r>
  <r>
    <x v="289"/>
    <s v="12"/>
    <m/>
    <m/>
  </r>
  <r>
    <x v="289"/>
    <s v="13"/>
    <m/>
    <m/>
  </r>
  <r>
    <x v="289"/>
    <s v="14"/>
    <m/>
    <m/>
  </r>
  <r>
    <x v="289"/>
    <s v="15"/>
    <m/>
    <m/>
  </r>
  <r>
    <x v="289"/>
    <s v="16"/>
    <m/>
    <m/>
  </r>
  <r>
    <x v="289"/>
    <s v="17"/>
    <m/>
    <m/>
  </r>
  <r>
    <x v="289"/>
    <s v="18"/>
    <m/>
    <m/>
  </r>
  <r>
    <x v="289"/>
    <s v="19"/>
    <m/>
    <m/>
  </r>
  <r>
    <x v="289"/>
    <s v="20"/>
    <m/>
    <m/>
  </r>
  <r>
    <x v="289"/>
    <s v="21"/>
    <m/>
    <m/>
  </r>
  <r>
    <x v="289"/>
    <s v="22"/>
    <m/>
    <m/>
  </r>
  <r>
    <x v="289"/>
    <s v="23"/>
    <m/>
    <m/>
  </r>
  <r>
    <x v="290"/>
    <s v="0"/>
    <m/>
    <m/>
  </r>
  <r>
    <x v="290"/>
    <s v="1"/>
    <m/>
    <m/>
  </r>
  <r>
    <x v="290"/>
    <s v="2"/>
    <m/>
    <m/>
  </r>
  <r>
    <x v="290"/>
    <s v="3"/>
    <m/>
    <m/>
  </r>
  <r>
    <x v="290"/>
    <s v="4"/>
    <m/>
    <m/>
  </r>
  <r>
    <x v="290"/>
    <s v="5"/>
    <m/>
    <m/>
  </r>
  <r>
    <x v="290"/>
    <s v="6"/>
    <m/>
    <m/>
  </r>
  <r>
    <x v="290"/>
    <s v="7"/>
    <m/>
    <m/>
  </r>
  <r>
    <x v="290"/>
    <s v="8"/>
    <m/>
    <m/>
  </r>
  <r>
    <x v="290"/>
    <s v="9"/>
    <m/>
    <m/>
  </r>
  <r>
    <x v="290"/>
    <s v="10"/>
    <m/>
    <m/>
  </r>
  <r>
    <x v="290"/>
    <s v="11"/>
    <m/>
    <m/>
  </r>
  <r>
    <x v="290"/>
    <s v="12"/>
    <m/>
    <m/>
  </r>
  <r>
    <x v="290"/>
    <s v="13"/>
    <m/>
    <m/>
  </r>
  <r>
    <x v="290"/>
    <s v="14"/>
    <m/>
    <m/>
  </r>
  <r>
    <x v="290"/>
    <s v="15"/>
    <m/>
    <m/>
  </r>
  <r>
    <x v="290"/>
    <s v="16"/>
    <m/>
    <m/>
  </r>
  <r>
    <x v="290"/>
    <s v="17"/>
    <m/>
    <m/>
  </r>
  <r>
    <x v="290"/>
    <s v="18"/>
    <m/>
    <m/>
  </r>
  <r>
    <x v="290"/>
    <s v="19"/>
    <m/>
    <m/>
  </r>
  <r>
    <x v="290"/>
    <s v="20"/>
    <m/>
    <m/>
  </r>
  <r>
    <x v="290"/>
    <s v="21"/>
    <m/>
    <m/>
  </r>
  <r>
    <x v="290"/>
    <s v="22"/>
    <m/>
    <m/>
  </r>
  <r>
    <x v="290"/>
    <s v="23"/>
    <m/>
    <m/>
  </r>
  <r>
    <x v="291"/>
    <s v="0"/>
    <m/>
    <m/>
  </r>
  <r>
    <x v="291"/>
    <s v="1"/>
    <m/>
    <m/>
  </r>
  <r>
    <x v="291"/>
    <s v="2"/>
    <m/>
    <m/>
  </r>
  <r>
    <x v="291"/>
    <s v="3"/>
    <m/>
    <m/>
  </r>
  <r>
    <x v="291"/>
    <s v="4"/>
    <m/>
    <m/>
  </r>
  <r>
    <x v="291"/>
    <s v="5"/>
    <m/>
    <m/>
  </r>
  <r>
    <x v="291"/>
    <s v="6"/>
    <m/>
    <m/>
  </r>
  <r>
    <x v="291"/>
    <s v="7"/>
    <m/>
    <m/>
  </r>
  <r>
    <x v="291"/>
    <s v="8"/>
    <m/>
    <m/>
  </r>
  <r>
    <x v="291"/>
    <s v="9"/>
    <m/>
    <m/>
  </r>
  <r>
    <x v="291"/>
    <s v="10"/>
    <m/>
    <m/>
  </r>
  <r>
    <x v="291"/>
    <s v="11"/>
    <m/>
    <m/>
  </r>
  <r>
    <x v="291"/>
    <s v="12"/>
    <m/>
    <m/>
  </r>
  <r>
    <x v="291"/>
    <s v="13"/>
    <m/>
    <m/>
  </r>
  <r>
    <x v="291"/>
    <s v="14"/>
    <m/>
    <m/>
  </r>
  <r>
    <x v="291"/>
    <s v="15"/>
    <m/>
    <m/>
  </r>
  <r>
    <x v="291"/>
    <s v="16"/>
    <m/>
    <m/>
  </r>
  <r>
    <x v="291"/>
    <s v="17"/>
    <m/>
    <m/>
  </r>
  <r>
    <x v="291"/>
    <s v="18"/>
    <m/>
    <m/>
  </r>
  <r>
    <x v="291"/>
    <s v="19"/>
    <m/>
    <m/>
  </r>
  <r>
    <x v="291"/>
    <s v="20"/>
    <m/>
    <m/>
  </r>
  <r>
    <x v="291"/>
    <s v="21"/>
    <m/>
    <m/>
  </r>
  <r>
    <x v="291"/>
    <s v="22"/>
    <m/>
    <m/>
  </r>
  <r>
    <x v="291"/>
    <s v="23"/>
    <m/>
    <m/>
  </r>
  <r>
    <x v="292"/>
    <s v="0"/>
    <m/>
    <m/>
  </r>
  <r>
    <x v="292"/>
    <s v="1"/>
    <m/>
    <m/>
  </r>
  <r>
    <x v="292"/>
    <s v="2"/>
    <m/>
    <m/>
  </r>
  <r>
    <x v="292"/>
    <s v="3"/>
    <m/>
    <m/>
  </r>
  <r>
    <x v="292"/>
    <s v="4"/>
    <m/>
    <m/>
  </r>
  <r>
    <x v="292"/>
    <s v="5"/>
    <m/>
    <m/>
  </r>
  <r>
    <x v="292"/>
    <s v="6"/>
    <m/>
    <m/>
  </r>
  <r>
    <x v="292"/>
    <s v="7"/>
    <m/>
    <m/>
  </r>
  <r>
    <x v="292"/>
    <s v="8"/>
    <m/>
    <m/>
  </r>
  <r>
    <x v="292"/>
    <s v="9"/>
    <m/>
    <m/>
  </r>
  <r>
    <x v="292"/>
    <s v="10"/>
    <m/>
    <m/>
  </r>
  <r>
    <x v="292"/>
    <s v="11"/>
    <m/>
    <m/>
  </r>
  <r>
    <x v="292"/>
    <s v="12"/>
    <m/>
    <m/>
  </r>
  <r>
    <x v="292"/>
    <s v="13"/>
    <m/>
    <m/>
  </r>
  <r>
    <x v="292"/>
    <s v="14"/>
    <m/>
    <m/>
  </r>
  <r>
    <x v="292"/>
    <s v="15"/>
    <m/>
    <m/>
  </r>
  <r>
    <x v="292"/>
    <s v="16"/>
    <m/>
    <m/>
  </r>
  <r>
    <x v="292"/>
    <s v="17"/>
    <m/>
    <m/>
  </r>
  <r>
    <x v="292"/>
    <s v="18"/>
    <m/>
    <m/>
  </r>
  <r>
    <x v="292"/>
    <s v="19"/>
    <m/>
    <m/>
  </r>
  <r>
    <x v="292"/>
    <s v="20"/>
    <m/>
    <m/>
  </r>
  <r>
    <x v="292"/>
    <s v="21"/>
    <m/>
    <m/>
  </r>
  <r>
    <x v="292"/>
    <s v="22"/>
    <m/>
    <m/>
  </r>
  <r>
    <x v="292"/>
    <s v="23"/>
    <m/>
    <m/>
  </r>
  <r>
    <x v="293"/>
    <s v="0"/>
    <m/>
    <m/>
  </r>
  <r>
    <x v="293"/>
    <s v="1"/>
    <m/>
    <m/>
  </r>
  <r>
    <x v="293"/>
    <s v="2"/>
    <m/>
    <m/>
  </r>
  <r>
    <x v="293"/>
    <s v="3"/>
    <m/>
    <m/>
  </r>
  <r>
    <x v="293"/>
    <s v="4"/>
    <m/>
    <m/>
  </r>
  <r>
    <x v="293"/>
    <s v="5"/>
    <m/>
    <m/>
  </r>
  <r>
    <x v="293"/>
    <s v="6"/>
    <m/>
    <m/>
  </r>
  <r>
    <x v="293"/>
    <s v="7"/>
    <m/>
    <m/>
  </r>
  <r>
    <x v="293"/>
    <s v="8"/>
    <m/>
    <m/>
  </r>
  <r>
    <x v="293"/>
    <s v="9"/>
    <m/>
    <m/>
  </r>
  <r>
    <x v="293"/>
    <s v="10"/>
    <m/>
    <m/>
  </r>
  <r>
    <x v="293"/>
    <s v="11"/>
    <m/>
    <m/>
  </r>
  <r>
    <x v="293"/>
    <s v="12"/>
    <m/>
    <m/>
  </r>
  <r>
    <x v="293"/>
    <s v="13"/>
    <m/>
    <m/>
  </r>
  <r>
    <x v="293"/>
    <s v="14"/>
    <m/>
    <m/>
  </r>
  <r>
    <x v="293"/>
    <s v="15"/>
    <m/>
    <m/>
  </r>
  <r>
    <x v="293"/>
    <s v="16"/>
    <m/>
    <m/>
  </r>
  <r>
    <x v="293"/>
    <s v="17"/>
    <m/>
    <m/>
  </r>
  <r>
    <x v="293"/>
    <s v="18"/>
    <m/>
    <m/>
  </r>
  <r>
    <x v="293"/>
    <s v="19"/>
    <m/>
    <m/>
  </r>
  <r>
    <x v="293"/>
    <s v="20"/>
    <m/>
    <m/>
  </r>
  <r>
    <x v="293"/>
    <s v="21"/>
    <m/>
    <m/>
  </r>
  <r>
    <x v="293"/>
    <s v="22"/>
    <m/>
    <m/>
  </r>
  <r>
    <x v="293"/>
    <s v="23"/>
    <m/>
    <m/>
  </r>
  <r>
    <x v="294"/>
    <s v="0"/>
    <m/>
    <m/>
  </r>
  <r>
    <x v="294"/>
    <s v="1"/>
    <m/>
    <m/>
  </r>
  <r>
    <x v="294"/>
    <s v="2"/>
    <m/>
    <m/>
  </r>
  <r>
    <x v="294"/>
    <s v="3"/>
    <m/>
    <m/>
  </r>
  <r>
    <x v="294"/>
    <s v="4"/>
    <m/>
    <m/>
  </r>
  <r>
    <x v="294"/>
    <s v="5"/>
    <m/>
    <m/>
  </r>
  <r>
    <x v="294"/>
    <s v="6"/>
    <m/>
    <m/>
  </r>
  <r>
    <x v="294"/>
    <s v="7"/>
    <m/>
    <m/>
  </r>
  <r>
    <x v="294"/>
    <s v="8"/>
    <m/>
    <m/>
  </r>
  <r>
    <x v="294"/>
    <s v="9"/>
    <m/>
    <m/>
  </r>
  <r>
    <x v="294"/>
    <s v="10"/>
    <m/>
    <m/>
  </r>
  <r>
    <x v="294"/>
    <s v="11"/>
    <m/>
    <m/>
  </r>
  <r>
    <x v="294"/>
    <s v="12"/>
    <m/>
    <m/>
  </r>
  <r>
    <x v="294"/>
    <s v="13"/>
    <m/>
    <m/>
  </r>
  <r>
    <x v="294"/>
    <s v="14"/>
    <m/>
    <m/>
  </r>
  <r>
    <x v="294"/>
    <s v="15"/>
    <m/>
    <m/>
  </r>
  <r>
    <x v="294"/>
    <s v="16"/>
    <m/>
    <m/>
  </r>
  <r>
    <x v="294"/>
    <s v="17"/>
    <m/>
    <m/>
  </r>
  <r>
    <x v="294"/>
    <s v="18"/>
    <m/>
    <m/>
  </r>
  <r>
    <x v="294"/>
    <s v="19"/>
    <m/>
    <m/>
  </r>
  <r>
    <x v="294"/>
    <s v="20"/>
    <m/>
    <m/>
  </r>
  <r>
    <x v="294"/>
    <s v="21"/>
    <m/>
    <m/>
  </r>
  <r>
    <x v="294"/>
    <s v="22"/>
    <m/>
    <m/>
  </r>
  <r>
    <x v="294"/>
    <s v="23"/>
    <m/>
    <m/>
  </r>
  <r>
    <x v="295"/>
    <s v="0"/>
    <m/>
    <m/>
  </r>
  <r>
    <x v="295"/>
    <s v="1"/>
    <m/>
    <m/>
  </r>
  <r>
    <x v="295"/>
    <s v="2"/>
    <m/>
    <m/>
  </r>
  <r>
    <x v="295"/>
    <s v="3"/>
    <m/>
    <m/>
  </r>
  <r>
    <x v="295"/>
    <s v="4"/>
    <m/>
    <m/>
  </r>
  <r>
    <x v="295"/>
    <s v="5"/>
    <m/>
    <m/>
  </r>
  <r>
    <x v="295"/>
    <s v="6"/>
    <m/>
    <m/>
  </r>
  <r>
    <x v="295"/>
    <s v="7"/>
    <m/>
    <m/>
  </r>
  <r>
    <x v="295"/>
    <s v="8"/>
    <m/>
    <m/>
  </r>
  <r>
    <x v="295"/>
    <s v="9"/>
    <m/>
    <m/>
  </r>
  <r>
    <x v="295"/>
    <s v="10"/>
    <m/>
    <m/>
  </r>
  <r>
    <x v="295"/>
    <s v="11"/>
    <m/>
    <m/>
  </r>
  <r>
    <x v="295"/>
    <s v="12"/>
    <m/>
    <m/>
  </r>
  <r>
    <x v="295"/>
    <s v="13"/>
    <m/>
    <m/>
  </r>
  <r>
    <x v="295"/>
    <s v="14"/>
    <m/>
    <m/>
  </r>
  <r>
    <x v="295"/>
    <s v="15"/>
    <m/>
    <m/>
  </r>
  <r>
    <x v="295"/>
    <s v="16"/>
    <m/>
    <m/>
  </r>
  <r>
    <x v="295"/>
    <s v="17"/>
    <m/>
    <m/>
  </r>
  <r>
    <x v="295"/>
    <s v="18"/>
    <m/>
    <m/>
  </r>
  <r>
    <x v="295"/>
    <s v="19"/>
    <m/>
    <m/>
  </r>
  <r>
    <x v="295"/>
    <s v="20"/>
    <m/>
    <m/>
  </r>
  <r>
    <x v="295"/>
    <s v="21"/>
    <m/>
    <m/>
  </r>
  <r>
    <x v="295"/>
    <s v="22"/>
    <m/>
    <m/>
  </r>
  <r>
    <x v="295"/>
    <s v="23"/>
    <m/>
    <m/>
  </r>
  <r>
    <x v="296"/>
    <s v="0"/>
    <m/>
    <m/>
  </r>
  <r>
    <x v="296"/>
    <s v="1"/>
    <m/>
    <m/>
  </r>
  <r>
    <x v="296"/>
    <s v="2"/>
    <m/>
    <m/>
  </r>
  <r>
    <x v="296"/>
    <s v="3"/>
    <m/>
    <m/>
  </r>
  <r>
    <x v="296"/>
    <s v="4"/>
    <m/>
    <m/>
  </r>
  <r>
    <x v="296"/>
    <s v="5"/>
    <m/>
    <m/>
  </r>
  <r>
    <x v="296"/>
    <s v="6"/>
    <m/>
    <m/>
  </r>
  <r>
    <x v="296"/>
    <s v="7"/>
    <m/>
    <m/>
  </r>
  <r>
    <x v="296"/>
    <s v="8"/>
    <m/>
    <m/>
  </r>
  <r>
    <x v="296"/>
    <s v="9"/>
    <m/>
    <m/>
  </r>
  <r>
    <x v="296"/>
    <s v="10"/>
    <m/>
    <m/>
  </r>
  <r>
    <x v="296"/>
    <s v="11"/>
    <m/>
    <m/>
  </r>
  <r>
    <x v="296"/>
    <s v="12"/>
    <m/>
    <m/>
  </r>
  <r>
    <x v="296"/>
    <s v="13"/>
    <m/>
    <m/>
  </r>
  <r>
    <x v="296"/>
    <s v="14"/>
    <m/>
    <m/>
  </r>
  <r>
    <x v="296"/>
    <s v="15"/>
    <m/>
    <m/>
  </r>
  <r>
    <x v="296"/>
    <s v="16"/>
    <m/>
    <m/>
  </r>
  <r>
    <x v="296"/>
    <s v="17"/>
    <m/>
    <m/>
  </r>
  <r>
    <x v="296"/>
    <s v="18"/>
    <m/>
    <m/>
  </r>
  <r>
    <x v="296"/>
    <s v="19"/>
    <m/>
    <m/>
  </r>
  <r>
    <x v="296"/>
    <s v="20"/>
    <m/>
    <m/>
  </r>
  <r>
    <x v="296"/>
    <s v="21"/>
    <m/>
    <m/>
  </r>
  <r>
    <x v="296"/>
    <s v="22"/>
    <m/>
    <m/>
  </r>
  <r>
    <x v="296"/>
    <s v="23"/>
    <m/>
    <m/>
  </r>
  <r>
    <x v="297"/>
    <s v="0"/>
    <m/>
    <m/>
  </r>
  <r>
    <x v="297"/>
    <s v="1"/>
    <m/>
    <m/>
  </r>
  <r>
    <x v="297"/>
    <s v="2"/>
    <m/>
    <m/>
  </r>
  <r>
    <x v="297"/>
    <s v="3"/>
    <m/>
    <m/>
  </r>
  <r>
    <x v="297"/>
    <s v="4"/>
    <m/>
    <m/>
  </r>
  <r>
    <x v="297"/>
    <s v="5"/>
    <m/>
    <m/>
  </r>
  <r>
    <x v="297"/>
    <s v="6"/>
    <m/>
    <m/>
  </r>
  <r>
    <x v="297"/>
    <s v="7"/>
    <m/>
    <m/>
  </r>
  <r>
    <x v="297"/>
    <s v="8"/>
    <m/>
    <m/>
  </r>
  <r>
    <x v="297"/>
    <s v="9"/>
    <m/>
    <m/>
  </r>
  <r>
    <x v="297"/>
    <s v="10"/>
    <m/>
    <m/>
  </r>
  <r>
    <x v="297"/>
    <s v="11"/>
    <m/>
    <m/>
  </r>
  <r>
    <x v="297"/>
    <s v="12"/>
    <m/>
    <m/>
  </r>
  <r>
    <x v="297"/>
    <s v="13"/>
    <m/>
    <m/>
  </r>
  <r>
    <x v="297"/>
    <s v="14"/>
    <m/>
    <m/>
  </r>
  <r>
    <x v="297"/>
    <s v="15"/>
    <m/>
    <m/>
  </r>
  <r>
    <x v="297"/>
    <s v="16"/>
    <m/>
    <m/>
  </r>
  <r>
    <x v="297"/>
    <s v="17"/>
    <m/>
    <m/>
  </r>
  <r>
    <x v="297"/>
    <s v="18"/>
    <m/>
    <m/>
  </r>
  <r>
    <x v="297"/>
    <s v="19"/>
    <m/>
    <m/>
  </r>
  <r>
    <x v="297"/>
    <s v="20"/>
    <m/>
    <m/>
  </r>
  <r>
    <x v="297"/>
    <s v="21"/>
    <m/>
    <m/>
  </r>
  <r>
    <x v="297"/>
    <s v="22"/>
    <m/>
    <m/>
  </r>
  <r>
    <x v="297"/>
    <s v="23"/>
    <m/>
    <m/>
  </r>
  <r>
    <x v="298"/>
    <s v="0"/>
    <m/>
    <m/>
  </r>
  <r>
    <x v="298"/>
    <s v="1"/>
    <m/>
    <m/>
  </r>
  <r>
    <x v="298"/>
    <s v="2"/>
    <m/>
    <m/>
  </r>
  <r>
    <x v="298"/>
    <s v="3"/>
    <m/>
    <m/>
  </r>
  <r>
    <x v="298"/>
    <s v="4"/>
    <m/>
    <m/>
  </r>
  <r>
    <x v="298"/>
    <s v="5"/>
    <m/>
    <m/>
  </r>
  <r>
    <x v="298"/>
    <s v="6"/>
    <m/>
    <m/>
  </r>
  <r>
    <x v="298"/>
    <s v="7"/>
    <m/>
    <m/>
  </r>
  <r>
    <x v="298"/>
    <s v="8"/>
    <m/>
    <m/>
  </r>
  <r>
    <x v="298"/>
    <s v="9"/>
    <m/>
    <m/>
  </r>
  <r>
    <x v="298"/>
    <s v="10"/>
    <m/>
    <m/>
  </r>
  <r>
    <x v="298"/>
    <s v="11"/>
    <m/>
    <m/>
  </r>
  <r>
    <x v="298"/>
    <s v="12"/>
    <m/>
    <m/>
  </r>
  <r>
    <x v="298"/>
    <s v="13"/>
    <m/>
    <m/>
  </r>
  <r>
    <x v="298"/>
    <s v="14"/>
    <m/>
    <m/>
  </r>
  <r>
    <x v="298"/>
    <s v="15"/>
    <m/>
    <m/>
  </r>
  <r>
    <x v="298"/>
    <s v="16"/>
    <m/>
    <m/>
  </r>
  <r>
    <x v="298"/>
    <s v="17"/>
    <m/>
    <m/>
  </r>
  <r>
    <x v="298"/>
    <s v="18"/>
    <m/>
    <m/>
  </r>
  <r>
    <x v="298"/>
    <s v="19"/>
    <m/>
    <m/>
  </r>
  <r>
    <x v="298"/>
    <s v="20"/>
    <m/>
    <m/>
  </r>
  <r>
    <x v="298"/>
    <s v="21"/>
    <m/>
    <m/>
  </r>
  <r>
    <x v="298"/>
    <s v="22"/>
    <m/>
    <m/>
  </r>
  <r>
    <x v="298"/>
    <s v="23"/>
    <m/>
    <m/>
  </r>
  <r>
    <x v="299"/>
    <s v="0"/>
    <m/>
    <m/>
  </r>
  <r>
    <x v="299"/>
    <s v="1"/>
    <m/>
    <m/>
  </r>
  <r>
    <x v="299"/>
    <s v="2"/>
    <m/>
    <m/>
  </r>
  <r>
    <x v="299"/>
    <s v="3"/>
    <m/>
    <m/>
  </r>
  <r>
    <x v="299"/>
    <s v="4"/>
    <m/>
    <m/>
  </r>
  <r>
    <x v="299"/>
    <s v="5"/>
    <m/>
    <m/>
  </r>
  <r>
    <x v="299"/>
    <s v="6"/>
    <m/>
    <m/>
  </r>
  <r>
    <x v="299"/>
    <s v="7"/>
    <m/>
    <m/>
  </r>
  <r>
    <x v="299"/>
    <s v="8"/>
    <m/>
    <m/>
  </r>
  <r>
    <x v="299"/>
    <s v="9"/>
    <m/>
    <m/>
  </r>
  <r>
    <x v="299"/>
    <s v="10"/>
    <m/>
    <m/>
  </r>
  <r>
    <x v="299"/>
    <s v="11"/>
    <m/>
    <m/>
  </r>
  <r>
    <x v="299"/>
    <s v="12"/>
    <m/>
    <m/>
  </r>
  <r>
    <x v="299"/>
    <s v="13"/>
    <m/>
    <m/>
  </r>
  <r>
    <x v="299"/>
    <s v="14"/>
    <m/>
    <m/>
  </r>
  <r>
    <x v="299"/>
    <s v="15"/>
    <m/>
    <m/>
  </r>
  <r>
    <x v="299"/>
    <s v="16"/>
    <m/>
    <m/>
  </r>
  <r>
    <x v="299"/>
    <s v="17"/>
    <m/>
    <m/>
  </r>
  <r>
    <x v="299"/>
    <s v="18"/>
    <m/>
    <m/>
  </r>
  <r>
    <x v="299"/>
    <s v="19"/>
    <m/>
    <m/>
  </r>
  <r>
    <x v="299"/>
    <s v="20"/>
    <m/>
    <m/>
  </r>
  <r>
    <x v="299"/>
    <s v="21"/>
    <m/>
    <m/>
  </r>
  <r>
    <x v="299"/>
    <s v="22"/>
    <m/>
    <m/>
  </r>
  <r>
    <x v="299"/>
    <s v="23"/>
    <m/>
    <m/>
  </r>
  <r>
    <x v="300"/>
    <s v="0"/>
    <m/>
    <m/>
  </r>
  <r>
    <x v="300"/>
    <s v="1"/>
    <m/>
    <m/>
  </r>
  <r>
    <x v="300"/>
    <s v="2"/>
    <m/>
    <m/>
  </r>
  <r>
    <x v="300"/>
    <s v="3"/>
    <m/>
    <m/>
  </r>
  <r>
    <x v="300"/>
    <s v="4"/>
    <m/>
    <m/>
  </r>
  <r>
    <x v="300"/>
    <s v="5"/>
    <m/>
    <m/>
  </r>
  <r>
    <x v="300"/>
    <s v="6"/>
    <m/>
    <m/>
  </r>
  <r>
    <x v="300"/>
    <s v="7"/>
    <m/>
    <m/>
  </r>
  <r>
    <x v="300"/>
    <s v="8"/>
    <m/>
    <m/>
  </r>
  <r>
    <x v="300"/>
    <s v="9"/>
    <m/>
    <m/>
  </r>
  <r>
    <x v="300"/>
    <s v="10"/>
    <m/>
    <m/>
  </r>
  <r>
    <x v="300"/>
    <s v="11"/>
    <m/>
    <m/>
  </r>
  <r>
    <x v="300"/>
    <s v="12"/>
    <m/>
    <m/>
  </r>
  <r>
    <x v="300"/>
    <s v="13"/>
    <m/>
    <m/>
  </r>
  <r>
    <x v="300"/>
    <s v="14"/>
    <m/>
    <m/>
  </r>
  <r>
    <x v="300"/>
    <s v="15"/>
    <m/>
    <m/>
  </r>
  <r>
    <x v="300"/>
    <s v="16"/>
    <m/>
    <m/>
  </r>
  <r>
    <x v="300"/>
    <s v="17"/>
    <m/>
    <m/>
  </r>
  <r>
    <x v="300"/>
    <s v="18"/>
    <m/>
    <m/>
  </r>
  <r>
    <x v="300"/>
    <s v="19"/>
    <m/>
    <m/>
  </r>
  <r>
    <x v="300"/>
    <s v="20"/>
    <m/>
    <m/>
  </r>
  <r>
    <x v="300"/>
    <s v="21"/>
    <m/>
    <m/>
  </r>
  <r>
    <x v="300"/>
    <s v="22"/>
    <m/>
    <m/>
  </r>
  <r>
    <x v="300"/>
    <s v="23"/>
    <m/>
    <m/>
  </r>
  <r>
    <x v="301"/>
    <s v="0"/>
    <m/>
    <m/>
  </r>
  <r>
    <x v="301"/>
    <s v="1"/>
    <m/>
    <m/>
  </r>
  <r>
    <x v="301"/>
    <s v="2"/>
    <m/>
    <m/>
  </r>
  <r>
    <x v="301"/>
    <s v="3"/>
    <m/>
    <m/>
  </r>
  <r>
    <x v="301"/>
    <s v="4"/>
    <m/>
    <m/>
  </r>
  <r>
    <x v="301"/>
    <s v="5"/>
    <m/>
    <m/>
  </r>
  <r>
    <x v="301"/>
    <s v="6"/>
    <m/>
    <m/>
  </r>
  <r>
    <x v="301"/>
    <s v="7"/>
    <m/>
    <m/>
  </r>
  <r>
    <x v="301"/>
    <s v="8"/>
    <m/>
    <m/>
  </r>
  <r>
    <x v="301"/>
    <s v="9"/>
    <m/>
    <m/>
  </r>
  <r>
    <x v="301"/>
    <s v="10"/>
    <m/>
    <m/>
  </r>
  <r>
    <x v="301"/>
    <s v="11"/>
    <m/>
    <m/>
  </r>
  <r>
    <x v="301"/>
    <s v="12"/>
    <m/>
    <m/>
  </r>
  <r>
    <x v="301"/>
    <s v="13"/>
    <m/>
    <m/>
  </r>
  <r>
    <x v="301"/>
    <s v="14"/>
    <m/>
    <m/>
  </r>
  <r>
    <x v="301"/>
    <s v="15"/>
    <m/>
    <m/>
  </r>
  <r>
    <x v="301"/>
    <s v="16"/>
    <m/>
    <m/>
  </r>
  <r>
    <x v="301"/>
    <s v="17"/>
    <m/>
    <m/>
  </r>
  <r>
    <x v="301"/>
    <s v="18"/>
    <m/>
    <m/>
  </r>
  <r>
    <x v="301"/>
    <s v="19"/>
    <m/>
    <m/>
  </r>
  <r>
    <x v="301"/>
    <s v="20"/>
    <m/>
    <m/>
  </r>
  <r>
    <x v="301"/>
    <s v="21"/>
    <m/>
    <m/>
  </r>
  <r>
    <x v="301"/>
    <s v="22"/>
    <m/>
    <m/>
  </r>
  <r>
    <x v="301"/>
    <s v="23"/>
    <m/>
    <m/>
  </r>
  <r>
    <x v="302"/>
    <s v="0"/>
    <m/>
    <m/>
  </r>
  <r>
    <x v="302"/>
    <s v="1"/>
    <m/>
    <m/>
  </r>
  <r>
    <x v="302"/>
    <s v="2"/>
    <m/>
    <m/>
  </r>
  <r>
    <x v="302"/>
    <s v="3"/>
    <m/>
    <m/>
  </r>
  <r>
    <x v="302"/>
    <s v="4"/>
    <m/>
    <m/>
  </r>
  <r>
    <x v="302"/>
    <s v="5"/>
    <m/>
    <m/>
  </r>
  <r>
    <x v="302"/>
    <s v="6"/>
    <m/>
    <m/>
  </r>
  <r>
    <x v="302"/>
    <s v="7"/>
    <m/>
    <m/>
  </r>
  <r>
    <x v="302"/>
    <s v="8"/>
    <m/>
    <m/>
  </r>
  <r>
    <x v="302"/>
    <s v="9"/>
    <m/>
    <m/>
  </r>
  <r>
    <x v="302"/>
    <s v="10"/>
    <m/>
    <m/>
  </r>
  <r>
    <x v="302"/>
    <s v="11"/>
    <m/>
    <m/>
  </r>
  <r>
    <x v="302"/>
    <s v="12"/>
    <m/>
    <m/>
  </r>
  <r>
    <x v="302"/>
    <s v="13"/>
    <m/>
    <m/>
  </r>
  <r>
    <x v="302"/>
    <s v="14"/>
    <m/>
    <m/>
  </r>
  <r>
    <x v="302"/>
    <s v="15"/>
    <m/>
    <m/>
  </r>
  <r>
    <x v="302"/>
    <s v="16"/>
    <m/>
    <m/>
  </r>
  <r>
    <x v="302"/>
    <s v="17"/>
    <m/>
    <m/>
  </r>
  <r>
    <x v="302"/>
    <s v="18"/>
    <m/>
    <m/>
  </r>
  <r>
    <x v="302"/>
    <s v="19"/>
    <m/>
    <m/>
  </r>
  <r>
    <x v="302"/>
    <s v="20"/>
    <m/>
    <m/>
  </r>
  <r>
    <x v="302"/>
    <s v="21"/>
    <m/>
    <m/>
  </r>
  <r>
    <x v="302"/>
    <s v="22"/>
    <m/>
    <m/>
  </r>
  <r>
    <x v="302"/>
    <s v="23"/>
    <m/>
    <m/>
  </r>
  <r>
    <x v="303"/>
    <s v="0"/>
    <m/>
    <m/>
  </r>
  <r>
    <x v="303"/>
    <s v="1"/>
    <m/>
    <m/>
  </r>
  <r>
    <x v="303"/>
    <s v="2"/>
    <m/>
    <m/>
  </r>
  <r>
    <x v="303"/>
    <s v="3"/>
    <m/>
    <m/>
  </r>
  <r>
    <x v="303"/>
    <s v="4"/>
    <m/>
    <m/>
  </r>
  <r>
    <x v="303"/>
    <s v="5"/>
    <m/>
    <m/>
  </r>
  <r>
    <x v="303"/>
    <s v="6"/>
    <m/>
    <m/>
  </r>
  <r>
    <x v="303"/>
    <s v="7"/>
    <m/>
    <m/>
  </r>
  <r>
    <x v="303"/>
    <s v="8"/>
    <m/>
    <m/>
  </r>
  <r>
    <x v="303"/>
    <s v="9"/>
    <m/>
    <m/>
  </r>
  <r>
    <x v="303"/>
    <s v="10"/>
    <m/>
    <m/>
  </r>
  <r>
    <x v="303"/>
    <s v="11"/>
    <m/>
    <m/>
  </r>
  <r>
    <x v="303"/>
    <s v="12"/>
    <m/>
    <m/>
  </r>
  <r>
    <x v="303"/>
    <s v="13"/>
    <m/>
    <m/>
  </r>
  <r>
    <x v="303"/>
    <s v="14"/>
    <m/>
    <m/>
  </r>
  <r>
    <x v="303"/>
    <s v="15"/>
    <m/>
    <m/>
  </r>
  <r>
    <x v="303"/>
    <s v="16"/>
    <m/>
    <m/>
  </r>
  <r>
    <x v="303"/>
    <s v="17"/>
    <m/>
    <m/>
  </r>
  <r>
    <x v="303"/>
    <s v="18"/>
    <m/>
    <m/>
  </r>
  <r>
    <x v="303"/>
    <s v="19"/>
    <m/>
    <m/>
  </r>
  <r>
    <x v="303"/>
    <s v="20"/>
    <m/>
    <m/>
  </r>
  <r>
    <x v="303"/>
    <s v="21"/>
    <m/>
    <m/>
  </r>
  <r>
    <x v="303"/>
    <s v="22"/>
    <m/>
    <m/>
  </r>
  <r>
    <x v="303"/>
    <s v="23"/>
    <m/>
    <m/>
  </r>
  <r>
    <x v="304"/>
    <s v="0"/>
    <m/>
    <m/>
  </r>
  <r>
    <x v="304"/>
    <s v="1"/>
    <m/>
    <m/>
  </r>
  <r>
    <x v="304"/>
    <s v="2"/>
    <m/>
    <m/>
  </r>
  <r>
    <x v="304"/>
    <s v="3"/>
    <m/>
    <m/>
  </r>
  <r>
    <x v="304"/>
    <s v="4"/>
    <m/>
    <m/>
  </r>
  <r>
    <x v="304"/>
    <s v="5"/>
    <m/>
    <m/>
  </r>
  <r>
    <x v="304"/>
    <s v="6"/>
    <m/>
    <m/>
  </r>
  <r>
    <x v="304"/>
    <s v="7"/>
    <m/>
    <m/>
  </r>
  <r>
    <x v="304"/>
    <s v="8"/>
    <m/>
    <m/>
  </r>
  <r>
    <x v="304"/>
    <s v="9"/>
    <m/>
    <m/>
  </r>
  <r>
    <x v="304"/>
    <s v="10"/>
    <m/>
    <m/>
  </r>
  <r>
    <x v="304"/>
    <s v="11"/>
    <m/>
    <m/>
  </r>
  <r>
    <x v="304"/>
    <s v="12"/>
    <m/>
    <m/>
  </r>
  <r>
    <x v="304"/>
    <s v="13"/>
    <m/>
    <m/>
  </r>
  <r>
    <x v="304"/>
    <s v="14"/>
    <m/>
    <m/>
  </r>
  <r>
    <x v="304"/>
    <s v="15"/>
    <m/>
    <m/>
  </r>
  <r>
    <x v="304"/>
    <s v="16"/>
    <m/>
    <m/>
  </r>
  <r>
    <x v="304"/>
    <s v="17"/>
    <m/>
    <m/>
  </r>
  <r>
    <x v="304"/>
    <s v="18"/>
    <m/>
    <m/>
  </r>
  <r>
    <x v="304"/>
    <s v="19"/>
    <m/>
    <m/>
  </r>
  <r>
    <x v="304"/>
    <s v="20"/>
    <m/>
    <m/>
  </r>
  <r>
    <x v="304"/>
    <s v="21"/>
    <m/>
    <m/>
  </r>
  <r>
    <x v="304"/>
    <s v="22"/>
    <m/>
    <m/>
  </r>
  <r>
    <x v="304"/>
    <s v="23"/>
    <m/>
    <m/>
  </r>
  <r>
    <x v="305"/>
    <s v="0"/>
    <m/>
    <m/>
  </r>
  <r>
    <x v="305"/>
    <s v="1"/>
    <m/>
    <m/>
  </r>
  <r>
    <x v="305"/>
    <s v="2"/>
    <m/>
    <m/>
  </r>
  <r>
    <x v="305"/>
    <s v="3"/>
    <m/>
    <m/>
  </r>
  <r>
    <x v="305"/>
    <s v="4"/>
    <m/>
    <m/>
  </r>
  <r>
    <x v="305"/>
    <s v="5"/>
    <m/>
    <m/>
  </r>
  <r>
    <x v="305"/>
    <s v="6"/>
    <m/>
    <m/>
  </r>
  <r>
    <x v="305"/>
    <s v="7"/>
    <m/>
    <m/>
  </r>
  <r>
    <x v="305"/>
    <s v="8"/>
    <m/>
    <m/>
  </r>
  <r>
    <x v="305"/>
    <s v="9"/>
    <m/>
    <m/>
  </r>
  <r>
    <x v="305"/>
    <s v="10"/>
    <m/>
    <m/>
  </r>
  <r>
    <x v="305"/>
    <s v="11"/>
    <m/>
    <m/>
  </r>
  <r>
    <x v="305"/>
    <s v="12"/>
    <m/>
    <m/>
  </r>
  <r>
    <x v="305"/>
    <s v="13"/>
    <m/>
    <m/>
  </r>
  <r>
    <x v="305"/>
    <s v="14"/>
    <m/>
    <m/>
  </r>
  <r>
    <x v="305"/>
    <s v="15"/>
    <m/>
    <m/>
  </r>
  <r>
    <x v="305"/>
    <s v="16"/>
    <m/>
    <m/>
  </r>
  <r>
    <x v="305"/>
    <s v="17"/>
    <m/>
    <m/>
  </r>
  <r>
    <x v="305"/>
    <s v="18"/>
    <m/>
    <m/>
  </r>
  <r>
    <x v="305"/>
    <s v="19"/>
    <m/>
    <m/>
  </r>
  <r>
    <x v="305"/>
    <s v="20"/>
    <m/>
    <m/>
  </r>
  <r>
    <x v="305"/>
    <s v="21"/>
    <m/>
    <m/>
  </r>
  <r>
    <x v="305"/>
    <s v="22"/>
    <m/>
    <m/>
  </r>
  <r>
    <x v="305"/>
    <s v="23"/>
    <m/>
    <m/>
  </r>
  <r>
    <x v="306"/>
    <s v="0"/>
    <m/>
    <m/>
  </r>
  <r>
    <x v="306"/>
    <s v="1"/>
    <m/>
    <m/>
  </r>
  <r>
    <x v="306"/>
    <s v="2"/>
    <m/>
    <m/>
  </r>
  <r>
    <x v="306"/>
    <s v="3"/>
    <m/>
    <m/>
  </r>
  <r>
    <x v="306"/>
    <s v="4"/>
    <m/>
    <m/>
  </r>
  <r>
    <x v="306"/>
    <s v="5"/>
    <m/>
    <m/>
  </r>
  <r>
    <x v="306"/>
    <s v="6"/>
    <m/>
    <m/>
  </r>
  <r>
    <x v="306"/>
    <s v="7"/>
    <m/>
    <m/>
  </r>
  <r>
    <x v="306"/>
    <s v="8"/>
    <m/>
    <m/>
  </r>
  <r>
    <x v="306"/>
    <s v="9"/>
    <m/>
    <m/>
  </r>
  <r>
    <x v="306"/>
    <s v="10"/>
    <m/>
    <m/>
  </r>
  <r>
    <x v="306"/>
    <s v="11"/>
    <m/>
    <m/>
  </r>
  <r>
    <x v="306"/>
    <s v="12"/>
    <m/>
    <m/>
  </r>
  <r>
    <x v="306"/>
    <s v="13"/>
    <m/>
    <m/>
  </r>
  <r>
    <x v="306"/>
    <s v="14"/>
    <m/>
    <m/>
  </r>
  <r>
    <x v="306"/>
    <s v="15"/>
    <m/>
    <m/>
  </r>
  <r>
    <x v="306"/>
    <s v="16"/>
    <m/>
    <m/>
  </r>
  <r>
    <x v="306"/>
    <s v="17"/>
    <m/>
    <m/>
  </r>
  <r>
    <x v="306"/>
    <s v="18"/>
    <m/>
    <m/>
  </r>
  <r>
    <x v="306"/>
    <s v="19"/>
    <m/>
    <m/>
  </r>
  <r>
    <x v="306"/>
    <s v="20"/>
    <m/>
    <m/>
  </r>
  <r>
    <x v="306"/>
    <s v="21"/>
    <m/>
    <m/>
  </r>
  <r>
    <x v="306"/>
    <s v="22"/>
    <m/>
    <m/>
  </r>
  <r>
    <x v="306"/>
    <s v="23"/>
    <m/>
    <m/>
  </r>
  <r>
    <x v="307"/>
    <s v="0"/>
    <m/>
    <m/>
  </r>
  <r>
    <x v="307"/>
    <s v="1"/>
    <m/>
    <m/>
  </r>
  <r>
    <x v="307"/>
    <s v="2"/>
    <m/>
    <m/>
  </r>
  <r>
    <x v="307"/>
    <s v="3"/>
    <m/>
    <m/>
  </r>
  <r>
    <x v="307"/>
    <s v="4"/>
    <m/>
    <m/>
  </r>
  <r>
    <x v="307"/>
    <s v="5"/>
    <m/>
    <m/>
  </r>
  <r>
    <x v="307"/>
    <s v="6"/>
    <m/>
    <m/>
  </r>
  <r>
    <x v="307"/>
    <s v="7"/>
    <m/>
    <m/>
  </r>
  <r>
    <x v="307"/>
    <s v="8"/>
    <m/>
    <m/>
  </r>
  <r>
    <x v="307"/>
    <s v="9"/>
    <m/>
    <m/>
  </r>
  <r>
    <x v="307"/>
    <s v="10"/>
    <m/>
    <m/>
  </r>
  <r>
    <x v="307"/>
    <s v="11"/>
    <m/>
    <m/>
  </r>
  <r>
    <x v="307"/>
    <s v="12"/>
    <m/>
    <m/>
  </r>
  <r>
    <x v="307"/>
    <s v="13"/>
    <m/>
    <m/>
  </r>
  <r>
    <x v="307"/>
    <s v="14"/>
    <m/>
    <m/>
  </r>
  <r>
    <x v="307"/>
    <s v="15"/>
    <m/>
    <m/>
  </r>
  <r>
    <x v="307"/>
    <s v="16"/>
    <m/>
    <m/>
  </r>
  <r>
    <x v="307"/>
    <s v="17"/>
    <m/>
    <m/>
  </r>
  <r>
    <x v="307"/>
    <s v="18"/>
    <m/>
    <m/>
  </r>
  <r>
    <x v="307"/>
    <s v="19"/>
    <m/>
    <m/>
  </r>
  <r>
    <x v="307"/>
    <s v="20"/>
    <m/>
    <m/>
  </r>
  <r>
    <x v="307"/>
    <s v="21"/>
    <m/>
    <m/>
  </r>
  <r>
    <x v="307"/>
    <s v="22"/>
    <m/>
    <m/>
  </r>
  <r>
    <x v="307"/>
    <s v="23"/>
    <m/>
    <m/>
  </r>
  <r>
    <x v="308"/>
    <s v="0"/>
    <m/>
    <m/>
  </r>
  <r>
    <x v="308"/>
    <s v="1"/>
    <m/>
    <m/>
  </r>
  <r>
    <x v="308"/>
    <s v="2"/>
    <m/>
    <m/>
  </r>
  <r>
    <x v="308"/>
    <s v="3"/>
    <m/>
    <m/>
  </r>
  <r>
    <x v="308"/>
    <s v="4"/>
    <m/>
    <m/>
  </r>
  <r>
    <x v="308"/>
    <s v="5"/>
    <m/>
    <m/>
  </r>
  <r>
    <x v="308"/>
    <s v="6"/>
    <m/>
    <m/>
  </r>
  <r>
    <x v="308"/>
    <s v="7"/>
    <m/>
    <m/>
  </r>
  <r>
    <x v="308"/>
    <s v="8"/>
    <m/>
    <m/>
  </r>
  <r>
    <x v="308"/>
    <s v="9"/>
    <m/>
    <m/>
  </r>
  <r>
    <x v="308"/>
    <s v="10"/>
    <m/>
    <m/>
  </r>
  <r>
    <x v="308"/>
    <s v="11"/>
    <m/>
    <m/>
  </r>
  <r>
    <x v="308"/>
    <s v="12"/>
    <m/>
    <m/>
  </r>
  <r>
    <x v="308"/>
    <s v="13"/>
    <m/>
    <m/>
  </r>
  <r>
    <x v="308"/>
    <s v="14"/>
    <m/>
    <m/>
  </r>
  <r>
    <x v="308"/>
    <s v="15"/>
    <m/>
    <m/>
  </r>
  <r>
    <x v="308"/>
    <s v="16"/>
    <m/>
    <m/>
  </r>
  <r>
    <x v="308"/>
    <s v="17"/>
    <m/>
    <m/>
  </r>
  <r>
    <x v="308"/>
    <s v="18"/>
    <m/>
    <m/>
  </r>
  <r>
    <x v="308"/>
    <s v="19"/>
    <m/>
    <m/>
  </r>
  <r>
    <x v="308"/>
    <s v="20"/>
    <m/>
    <m/>
  </r>
  <r>
    <x v="308"/>
    <s v="21"/>
    <m/>
    <m/>
  </r>
  <r>
    <x v="308"/>
    <s v="22"/>
    <m/>
    <m/>
  </r>
  <r>
    <x v="308"/>
    <s v="23"/>
    <m/>
    <m/>
  </r>
  <r>
    <x v="309"/>
    <s v="0"/>
    <m/>
    <m/>
  </r>
  <r>
    <x v="309"/>
    <s v="1"/>
    <m/>
    <m/>
  </r>
  <r>
    <x v="309"/>
    <s v="2"/>
    <m/>
    <m/>
  </r>
  <r>
    <x v="309"/>
    <s v="3"/>
    <m/>
    <m/>
  </r>
  <r>
    <x v="309"/>
    <s v="4"/>
    <m/>
    <m/>
  </r>
  <r>
    <x v="309"/>
    <s v="5"/>
    <m/>
    <m/>
  </r>
  <r>
    <x v="309"/>
    <s v="6"/>
    <m/>
    <m/>
  </r>
  <r>
    <x v="309"/>
    <s v="7"/>
    <m/>
    <m/>
  </r>
  <r>
    <x v="309"/>
    <s v="8"/>
    <m/>
    <m/>
  </r>
  <r>
    <x v="309"/>
    <s v="9"/>
    <m/>
    <m/>
  </r>
  <r>
    <x v="309"/>
    <s v="10"/>
    <m/>
    <m/>
  </r>
  <r>
    <x v="309"/>
    <s v="11"/>
    <m/>
    <m/>
  </r>
  <r>
    <x v="309"/>
    <s v="12"/>
    <m/>
    <m/>
  </r>
  <r>
    <x v="309"/>
    <s v="13"/>
    <m/>
    <m/>
  </r>
  <r>
    <x v="309"/>
    <s v="14"/>
    <m/>
    <m/>
  </r>
  <r>
    <x v="309"/>
    <s v="15"/>
    <m/>
    <m/>
  </r>
  <r>
    <x v="309"/>
    <s v="16"/>
    <m/>
    <m/>
  </r>
  <r>
    <x v="309"/>
    <s v="17"/>
    <m/>
    <m/>
  </r>
  <r>
    <x v="309"/>
    <s v="18"/>
    <m/>
    <m/>
  </r>
  <r>
    <x v="309"/>
    <s v="19"/>
    <m/>
    <m/>
  </r>
  <r>
    <x v="309"/>
    <s v="20"/>
    <m/>
    <m/>
  </r>
  <r>
    <x v="309"/>
    <s v="21"/>
    <m/>
    <m/>
  </r>
  <r>
    <x v="309"/>
    <s v="22"/>
    <m/>
    <m/>
  </r>
  <r>
    <x v="309"/>
    <s v="23"/>
    <m/>
    <m/>
  </r>
  <r>
    <x v="310"/>
    <s v="0"/>
    <m/>
    <m/>
  </r>
  <r>
    <x v="310"/>
    <s v="1"/>
    <m/>
    <m/>
  </r>
  <r>
    <x v="310"/>
    <s v="2"/>
    <m/>
    <m/>
  </r>
  <r>
    <x v="310"/>
    <s v="3"/>
    <m/>
    <m/>
  </r>
  <r>
    <x v="310"/>
    <s v="4"/>
    <m/>
    <m/>
  </r>
  <r>
    <x v="310"/>
    <s v="5"/>
    <m/>
    <m/>
  </r>
  <r>
    <x v="310"/>
    <s v="6"/>
    <m/>
    <m/>
  </r>
  <r>
    <x v="310"/>
    <s v="7"/>
    <m/>
    <m/>
  </r>
  <r>
    <x v="310"/>
    <s v="8"/>
    <m/>
    <m/>
  </r>
  <r>
    <x v="310"/>
    <s v="9"/>
    <m/>
    <m/>
  </r>
  <r>
    <x v="310"/>
    <s v="10"/>
    <m/>
    <m/>
  </r>
  <r>
    <x v="310"/>
    <s v="11"/>
    <m/>
    <m/>
  </r>
  <r>
    <x v="310"/>
    <s v="12"/>
    <m/>
    <m/>
  </r>
  <r>
    <x v="310"/>
    <s v="13"/>
    <m/>
    <m/>
  </r>
  <r>
    <x v="310"/>
    <s v="14"/>
    <m/>
    <m/>
  </r>
  <r>
    <x v="310"/>
    <s v="15"/>
    <m/>
    <m/>
  </r>
  <r>
    <x v="310"/>
    <s v="16"/>
    <m/>
    <m/>
  </r>
  <r>
    <x v="310"/>
    <s v="17"/>
    <m/>
    <m/>
  </r>
  <r>
    <x v="310"/>
    <s v="18"/>
    <m/>
    <m/>
  </r>
  <r>
    <x v="310"/>
    <s v="19"/>
    <m/>
    <m/>
  </r>
  <r>
    <x v="310"/>
    <s v="20"/>
    <m/>
    <m/>
  </r>
  <r>
    <x v="310"/>
    <s v="21"/>
    <m/>
    <m/>
  </r>
  <r>
    <x v="310"/>
    <s v="22"/>
    <m/>
    <m/>
  </r>
  <r>
    <x v="310"/>
    <s v="23"/>
    <m/>
    <m/>
  </r>
  <r>
    <x v="311"/>
    <s v="0"/>
    <m/>
    <m/>
  </r>
  <r>
    <x v="311"/>
    <s v="1"/>
    <m/>
    <m/>
  </r>
  <r>
    <x v="311"/>
    <s v="2"/>
    <m/>
    <m/>
  </r>
  <r>
    <x v="311"/>
    <s v="3"/>
    <m/>
    <m/>
  </r>
  <r>
    <x v="311"/>
    <s v="4"/>
    <m/>
    <m/>
  </r>
  <r>
    <x v="311"/>
    <s v="5"/>
    <m/>
    <m/>
  </r>
  <r>
    <x v="311"/>
    <s v="6"/>
    <m/>
    <m/>
  </r>
  <r>
    <x v="311"/>
    <s v="7"/>
    <m/>
    <m/>
  </r>
  <r>
    <x v="311"/>
    <s v="8"/>
    <m/>
    <m/>
  </r>
  <r>
    <x v="311"/>
    <s v="9"/>
    <m/>
    <m/>
  </r>
  <r>
    <x v="311"/>
    <s v="10"/>
    <m/>
    <m/>
  </r>
  <r>
    <x v="311"/>
    <s v="11"/>
    <m/>
    <m/>
  </r>
  <r>
    <x v="311"/>
    <s v="12"/>
    <m/>
    <m/>
  </r>
  <r>
    <x v="311"/>
    <s v="13"/>
    <m/>
    <m/>
  </r>
  <r>
    <x v="311"/>
    <s v="14"/>
    <m/>
    <m/>
  </r>
  <r>
    <x v="311"/>
    <s v="15"/>
    <m/>
    <m/>
  </r>
  <r>
    <x v="311"/>
    <s v="16"/>
    <m/>
    <m/>
  </r>
  <r>
    <x v="311"/>
    <s v="17"/>
    <m/>
    <m/>
  </r>
  <r>
    <x v="311"/>
    <s v="18"/>
    <m/>
    <m/>
  </r>
  <r>
    <x v="311"/>
    <s v="19"/>
    <m/>
    <m/>
  </r>
  <r>
    <x v="311"/>
    <s v="20"/>
    <m/>
    <m/>
  </r>
  <r>
    <x v="311"/>
    <s v="21"/>
    <m/>
    <m/>
  </r>
  <r>
    <x v="311"/>
    <s v="22"/>
    <m/>
    <m/>
  </r>
  <r>
    <x v="311"/>
    <s v="23"/>
    <m/>
    <m/>
  </r>
  <r>
    <x v="312"/>
    <s v="0"/>
    <m/>
    <m/>
  </r>
  <r>
    <x v="312"/>
    <s v="1"/>
    <m/>
    <m/>
  </r>
  <r>
    <x v="312"/>
    <s v="2"/>
    <m/>
    <m/>
  </r>
  <r>
    <x v="312"/>
    <s v="3"/>
    <m/>
    <m/>
  </r>
  <r>
    <x v="312"/>
    <s v="4"/>
    <m/>
    <m/>
  </r>
  <r>
    <x v="312"/>
    <s v="5"/>
    <m/>
    <m/>
  </r>
  <r>
    <x v="312"/>
    <s v="6"/>
    <m/>
    <m/>
  </r>
  <r>
    <x v="312"/>
    <s v="7"/>
    <m/>
    <m/>
  </r>
  <r>
    <x v="312"/>
    <s v="8"/>
    <m/>
    <m/>
  </r>
  <r>
    <x v="312"/>
    <s v="9"/>
    <m/>
    <m/>
  </r>
  <r>
    <x v="312"/>
    <s v="10"/>
    <m/>
    <m/>
  </r>
  <r>
    <x v="312"/>
    <s v="11"/>
    <m/>
    <m/>
  </r>
  <r>
    <x v="312"/>
    <s v="12"/>
    <m/>
    <m/>
  </r>
  <r>
    <x v="312"/>
    <s v="13"/>
    <m/>
    <m/>
  </r>
  <r>
    <x v="312"/>
    <s v="14"/>
    <m/>
    <m/>
  </r>
  <r>
    <x v="312"/>
    <s v="15"/>
    <m/>
    <m/>
  </r>
  <r>
    <x v="312"/>
    <s v="16"/>
    <m/>
    <m/>
  </r>
  <r>
    <x v="312"/>
    <s v="17"/>
    <m/>
    <m/>
  </r>
  <r>
    <x v="312"/>
    <s v="18"/>
    <m/>
    <m/>
  </r>
  <r>
    <x v="312"/>
    <s v="19"/>
    <m/>
    <m/>
  </r>
  <r>
    <x v="312"/>
    <s v="20"/>
    <m/>
    <m/>
  </r>
  <r>
    <x v="312"/>
    <s v="21"/>
    <m/>
    <m/>
  </r>
  <r>
    <x v="312"/>
    <s v="22"/>
    <m/>
    <m/>
  </r>
  <r>
    <x v="312"/>
    <s v="23"/>
    <m/>
    <m/>
  </r>
  <r>
    <x v="313"/>
    <s v="0"/>
    <m/>
    <m/>
  </r>
  <r>
    <x v="313"/>
    <s v="1"/>
    <m/>
    <m/>
  </r>
  <r>
    <x v="313"/>
    <s v="2"/>
    <m/>
    <m/>
  </r>
  <r>
    <x v="313"/>
    <s v="3"/>
    <m/>
    <m/>
  </r>
  <r>
    <x v="313"/>
    <s v="4"/>
    <m/>
    <m/>
  </r>
  <r>
    <x v="313"/>
    <s v="5"/>
    <m/>
    <m/>
  </r>
  <r>
    <x v="313"/>
    <s v="6"/>
    <m/>
    <m/>
  </r>
  <r>
    <x v="313"/>
    <s v="7"/>
    <m/>
    <m/>
  </r>
  <r>
    <x v="313"/>
    <s v="8"/>
    <m/>
    <m/>
  </r>
  <r>
    <x v="313"/>
    <s v="9"/>
    <m/>
    <m/>
  </r>
  <r>
    <x v="313"/>
    <s v="10"/>
    <m/>
    <m/>
  </r>
  <r>
    <x v="313"/>
    <s v="11"/>
    <m/>
    <m/>
  </r>
  <r>
    <x v="313"/>
    <s v="12"/>
    <m/>
    <m/>
  </r>
  <r>
    <x v="313"/>
    <s v="13"/>
    <m/>
    <m/>
  </r>
  <r>
    <x v="313"/>
    <s v="14"/>
    <m/>
    <m/>
  </r>
  <r>
    <x v="313"/>
    <s v="15"/>
    <m/>
    <m/>
  </r>
  <r>
    <x v="313"/>
    <s v="16"/>
    <m/>
    <m/>
  </r>
  <r>
    <x v="313"/>
    <s v="17"/>
    <m/>
    <m/>
  </r>
  <r>
    <x v="313"/>
    <s v="18"/>
    <m/>
    <m/>
  </r>
  <r>
    <x v="313"/>
    <s v="19"/>
    <m/>
    <m/>
  </r>
  <r>
    <x v="313"/>
    <s v="20"/>
    <m/>
    <m/>
  </r>
  <r>
    <x v="313"/>
    <s v="21"/>
    <m/>
    <m/>
  </r>
  <r>
    <x v="313"/>
    <s v="22"/>
    <m/>
    <m/>
  </r>
  <r>
    <x v="313"/>
    <s v="23"/>
    <m/>
    <m/>
  </r>
  <r>
    <x v="314"/>
    <s v="0"/>
    <m/>
    <m/>
  </r>
  <r>
    <x v="314"/>
    <s v="1"/>
    <m/>
    <m/>
  </r>
  <r>
    <x v="314"/>
    <s v="2"/>
    <m/>
    <m/>
  </r>
  <r>
    <x v="314"/>
    <s v="3"/>
    <m/>
    <m/>
  </r>
  <r>
    <x v="314"/>
    <s v="4"/>
    <m/>
    <m/>
  </r>
  <r>
    <x v="314"/>
    <s v="5"/>
    <m/>
    <m/>
  </r>
  <r>
    <x v="314"/>
    <s v="6"/>
    <m/>
    <m/>
  </r>
  <r>
    <x v="314"/>
    <s v="7"/>
    <m/>
    <m/>
  </r>
  <r>
    <x v="314"/>
    <s v="8"/>
    <m/>
    <m/>
  </r>
  <r>
    <x v="314"/>
    <s v="9"/>
    <m/>
    <m/>
  </r>
  <r>
    <x v="314"/>
    <s v="10"/>
    <m/>
    <m/>
  </r>
  <r>
    <x v="314"/>
    <s v="11"/>
    <m/>
    <m/>
  </r>
  <r>
    <x v="314"/>
    <s v="12"/>
    <m/>
    <m/>
  </r>
  <r>
    <x v="314"/>
    <s v="13"/>
    <m/>
    <m/>
  </r>
  <r>
    <x v="314"/>
    <s v="14"/>
    <m/>
    <m/>
  </r>
  <r>
    <x v="314"/>
    <s v="15"/>
    <m/>
    <m/>
  </r>
  <r>
    <x v="314"/>
    <s v="16"/>
    <m/>
    <m/>
  </r>
  <r>
    <x v="314"/>
    <s v="17"/>
    <m/>
    <m/>
  </r>
  <r>
    <x v="314"/>
    <s v="18"/>
    <m/>
    <m/>
  </r>
  <r>
    <x v="314"/>
    <s v="19"/>
    <m/>
    <m/>
  </r>
  <r>
    <x v="314"/>
    <s v="20"/>
    <m/>
    <m/>
  </r>
  <r>
    <x v="314"/>
    <s v="21"/>
    <m/>
    <m/>
  </r>
  <r>
    <x v="314"/>
    <s v="22"/>
    <m/>
    <m/>
  </r>
  <r>
    <x v="314"/>
    <s v="23"/>
    <m/>
    <m/>
  </r>
  <r>
    <x v="315"/>
    <s v="0"/>
    <m/>
    <m/>
  </r>
  <r>
    <x v="315"/>
    <s v="1"/>
    <m/>
    <m/>
  </r>
  <r>
    <x v="315"/>
    <s v="2"/>
    <m/>
    <m/>
  </r>
  <r>
    <x v="315"/>
    <s v="3"/>
    <m/>
    <m/>
  </r>
  <r>
    <x v="315"/>
    <s v="4"/>
    <m/>
    <m/>
  </r>
  <r>
    <x v="315"/>
    <s v="5"/>
    <m/>
    <m/>
  </r>
  <r>
    <x v="315"/>
    <s v="6"/>
    <m/>
    <m/>
  </r>
  <r>
    <x v="315"/>
    <s v="7"/>
    <m/>
    <m/>
  </r>
  <r>
    <x v="315"/>
    <s v="8"/>
    <m/>
    <m/>
  </r>
  <r>
    <x v="315"/>
    <s v="9"/>
    <m/>
    <m/>
  </r>
  <r>
    <x v="315"/>
    <s v="10"/>
    <m/>
    <m/>
  </r>
  <r>
    <x v="315"/>
    <s v="11"/>
    <m/>
    <m/>
  </r>
  <r>
    <x v="315"/>
    <s v="12"/>
    <m/>
    <m/>
  </r>
  <r>
    <x v="315"/>
    <s v="13"/>
    <m/>
    <m/>
  </r>
  <r>
    <x v="315"/>
    <s v="14"/>
    <m/>
    <m/>
  </r>
  <r>
    <x v="315"/>
    <s v="15"/>
    <m/>
    <m/>
  </r>
  <r>
    <x v="315"/>
    <s v="16"/>
    <m/>
    <m/>
  </r>
  <r>
    <x v="315"/>
    <s v="17"/>
    <m/>
    <m/>
  </r>
  <r>
    <x v="315"/>
    <s v="18"/>
    <m/>
    <m/>
  </r>
  <r>
    <x v="315"/>
    <s v="19"/>
    <m/>
    <m/>
  </r>
  <r>
    <x v="315"/>
    <s v="20"/>
    <m/>
    <m/>
  </r>
  <r>
    <x v="315"/>
    <s v="21"/>
    <m/>
    <m/>
  </r>
  <r>
    <x v="315"/>
    <s v="22"/>
    <m/>
    <m/>
  </r>
  <r>
    <x v="315"/>
    <s v="23"/>
    <m/>
    <m/>
  </r>
  <r>
    <x v="316"/>
    <s v="0"/>
    <m/>
    <m/>
  </r>
  <r>
    <x v="316"/>
    <s v="1"/>
    <m/>
    <m/>
  </r>
  <r>
    <x v="316"/>
    <s v="2"/>
    <m/>
    <m/>
  </r>
  <r>
    <x v="316"/>
    <s v="3"/>
    <m/>
    <m/>
  </r>
  <r>
    <x v="316"/>
    <s v="4"/>
    <m/>
    <m/>
  </r>
  <r>
    <x v="316"/>
    <s v="5"/>
    <m/>
    <m/>
  </r>
  <r>
    <x v="316"/>
    <s v="6"/>
    <m/>
    <m/>
  </r>
  <r>
    <x v="316"/>
    <s v="7"/>
    <m/>
    <m/>
  </r>
  <r>
    <x v="316"/>
    <s v="8"/>
    <m/>
    <m/>
  </r>
  <r>
    <x v="316"/>
    <s v="9"/>
    <m/>
    <m/>
  </r>
  <r>
    <x v="316"/>
    <s v="10"/>
    <m/>
    <m/>
  </r>
  <r>
    <x v="316"/>
    <s v="11"/>
    <m/>
    <m/>
  </r>
  <r>
    <x v="316"/>
    <s v="12"/>
    <m/>
    <m/>
  </r>
  <r>
    <x v="316"/>
    <s v="13"/>
    <m/>
    <m/>
  </r>
  <r>
    <x v="316"/>
    <s v="14"/>
    <m/>
    <m/>
  </r>
  <r>
    <x v="316"/>
    <s v="15"/>
    <m/>
    <m/>
  </r>
  <r>
    <x v="316"/>
    <s v="16"/>
    <m/>
    <m/>
  </r>
  <r>
    <x v="316"/>
    <s v="17"/>
    <m/>
    <m/>
  </r>
  <r>
    <x v="316"/>
    <s v="18"/>
    <m/>
    <m/>
  </r>
  <r>
    <x v="316"/>
    <s v="19"/>
    <m/>
    <m/>
  </r>
  <r>
    <x v="316"/>
    <s v="20"/>
    <m/>
    <m/>
  </r>
  <r>
    <x v="316"/>
    <s v="21"/>
    <m/>
    <m/>
  </r>
  <r>
    <x v="316"/>
    <s v="22"/>
    <m/>
    <m/>
  </r>
  <r>
    <x v="316"/>
    <s v="23"/>
    <m/>
    <m/>
  </r>
  <r>
    <x v="317"/>
    <s v="0"/>
    <m/>
    <m/>
  </r>
  <r>
    <x v="317"/>
    <s v="1"/>
    <m/>
    <m/>
  </r>
  <r>
    <x v="317"/>
    <s v="2"/>
    <m/>
    <m/>
  </r>
  <r>
    <x v="317"/>
    <s v="3"/>
    <m/>
    <m/>
  </r>
  <r>
    <x v="317"/>
    <s v="4"/>
    <m/>
    <m/>
  </r>
  <r>
    <x v="317"/>
    <s v="5"/>
    <m/>
    <m/>
  </r>
  <r>
    <x v="317"/>
    <s v="6"/>
    <m/>
    <m/>
  </r>
  <r>
    <x v="317"/>
    <s v="7"/>
    <m/>
    <m/>
  </r>
  <r>
    <x v="317"/>
    <s v="8"/>
    <m/>
    <m/>
  </r>
  <r>
    <x v="317"/>
    <s v="9"/>
    <m/>
    <m/>
  </r>
  <r>
    <x v="317"/>
    <s v="10"/>
    <m/>
    <m/>
  </r>
  <r>
    <x v="317"/>
    <s v="11"/>
    <m/>
    <m/>
  </r>
  <r>
    <x v="317"/>
    <s v="12"/>
    <m/>
    <m/>
  </r>
  <r>
    <x v="317"/>
    <s v="13"/>
    <m/>
    <m/>
  </r>
  <r>
    <x v="317"/>
    <s v="14"/>
    <m/>
    <m/>
  </r>
  <r>
    <x v="317"/>
    <s v="15"/>
    <m/>
    <m/>
  </r>
  <r>
    <x v="317"/>
    <s v="16"/>
    <m/>
    <m/>
  </r>
  <r>
    <x v="317"/>
    <s v="17"/>
    <m/>
    <m/>
  </r>
  <r>
    <x v="317"/>
    <s v="18"/>
    <m/>
    <m/>
  </r>
  <r>
    <x v="317"/>
    <s v="19"/>
    <m/>
    <m/>
  </r>
  <r>
    <x v="317"/>
    <s v="20"/>
    <m/>
    <m/>
  </r>
  <r>
    <x v="317"/>
    <s v="21"/>
    <m/>
    <m/>
  </r>
  <r>
    <x v="317"/>
    <s v="22"/>
    <m/>
    <m/>
  </r>
  <r>
    <x v="317"/>
    <s v="23"/>
    <m/>
    <m/>
  </r>
  <r>
    <x v="318"/>
    <s v="0"/>
    <m/>
    <m/>
  </r>
  <r>
    <x v="318"/>
    <s v="1"/>
    <m/>
    <m/>
  </r>
  <r>
    <x v="318"/>
    <s v="2"/>
    <m/>
    <m/>
  </r>
  <r>
    <x v="318"/>
    <s v="3"/>
    <m/>
    <m/>
  </r>
  <r>
    <x v="318"/>
    <s v="4"/>
    <m/>
    <m/>
  </r>
  <r>
    <x v="318"/>
    <s v="5"/>
    <m/>
    <m/>
  </r>
  <r>
    <x v="318"/>
    <s v="6"/>
    <m/>
    <m/>
  </r>
  <r>
    <x v="318"/>
    <s v="7"/>
    <m/>
    <m/>
  </r>
  <r>
    <x v="318"/>
    <s v="8"/>
    <m/>
    <m/>
  </r>
  <r>
    <x v="318"/>
    <s v="9"/>
    <m/>
    <m/>
  </r>
  <r>
    <x v="318"/>
    <s v="10"/>
    <m/>
    <m/>
  </r>
  <r>
    <x v="318"/>
    <s v="11"/>
    <m/>
    <m/>
  </r>
  <r>
    <x v="318"/>
    <s v="12"/>
    <m/>
    <m/>
  </r>
  <r>
    <x v="318"/>
    <s v="13"/>
    <m/>
    <m/>
  </r>
  <r>
    <x v="318"/>
    <s v="14"/>
    <m/>
    <m/>
  </r>
  <r>
    <x v="318"/>
    <s v="15"/>
    <m/>
    <m/>
  </r>
  <r>
    <x v="318"/>
    <s v="16"/>
    <m/>
    <m/>
  </r>
  <r>
    <x v="318"/>
    <s v="17"/>
    <m/>
    <m/>
  </r>
  <r>
    <x v="318"/>
    <s v="18"/>
    <m/>
    <m/>
  </r>
  <r>
    <x v="318"/>
    <s v="19"/>
    <m/>
    <m/>
  </r>
  <r>
    <x v="318"/>
    <s v="20"/>
    <m/>
    <m/>
  </r>
  <r>
    <x v="318"/>
    <s v="21"/>
    <m/>
    <m/>
  </r>
  <r>
    <x v="318"/>
    <s v="22"/>
    <m/>
    <m/>
  </r>
  <r>
    <x v="318"/>
    <s v="23"/>
    <m/>
    <m/>
  </r>
  <r>
    <x v="319"/>
    <s v="0"/>
    <m/>
    <m/>
  </r>
  <r>
    <x v="319"/>
    <s v="1"/>
    <m/>
    <m/>
  </r>
  <r>
    <x v="319"/>
    <s v="2"/>
    <m/>
    <m/>
  </r>
  <r>
    <x v="319"/>
    <s v="3"/>
    <m/>
    <m/>
  </r>
  <r>
    <x v="319"/>
    <s v="4"/>
    <m/>
    <m/>
  </r>
  <r>
    <x v="319"/>
    <s v="5"/>
    <m/>
    <m/>
  </r>
  <r>
    <x v="319"/>
    <s v="6"/>
    <m/>
    <m/>
  </r>
  <r>
    <x v="319"/>
    <s v="7"/>
    <m/>
    <m/>
  </r>
  <r>
    <x v="319"/>
    <s v="8"/>
    <m/>
    <m/>
  </r>
  <r>
    <x v="319"/>
    <s v="9"/>
    <m/>
    <m/>
  </r>
  <r>
    <x v="319"/>
    <s v="10"/>
    <m/>
    <m/>
  </r>
  <r>
    <x v="319"/>
    <s v="11"/>
    <m/>
    <m/>
  </r>
  <r>
    <x v="319"/>
    <s v="12"/>
    <m/>
    <m/>
  </r>
  <r>
    <x v="319"/>
    <s v="13"/>
    <m/>
    <m/>
  </r>
  <r>
    <x v="319"/>
    <s v="14"/>
    <m/>
    <m/>
  </r>
  <r>
    <x v="319"/>
    <s v="15"/>
    <m/>
    <m/>
  </r>
  <r>
    <x v="319"/>
    <s v="16"/>
    <m/>
    <m/>
  </r>
  <r>
    <x v="319"/>
    <s v="17"/>
    <m/>
    <m/>
  </r>
  <r>
    <x v="319"/>
    <s v="18"/>
    <m/>
    <m/>
  </r>
  <r>
    <x v="319"/>
    <s v="19"/>
    <m/>
    <m/>
  </r>
  <r>
    <x v="319"/>
    <s v="20"/>
    <m/>
    <m/>
  </r>
  <r>
    <x v="319"/>
    <s v="21"/>
    <m/>
    <m/>
  </r>
  <r>
    <x v="319"/>
    <s v="22"/>
    <m/>
    <m/>
  </r>
  <r>
    <x v="319"/>
    <s v="23"/>
    <m/>
    <m/>
  </r>
  <r>
    <x v="320"/>
    <s v="0"/>
    <m/>
    <m/>
  </r>
  <r>
    <x v="320"/>
    <s v="1"/>
    <m/>
    <m/>
  </r>
  <r>
    <x v="320"/>
    <s v="2"/>
    <m/>
    <m/>
  </r>
  <r>
    <x v="320"/>
    <s v="3"/>
    <m/>
    <m/>
  </r>
  <r>
    <x v="320"/>
    <s v="4"/>
    <m/>
    <m/>
  </r>
  <r>
    <x v="320"/>
    <s v="5"/>
    <m/>
    <m/>
  </r>
  <r>
    <x v="320"/>
    <s v="6"/>
    <m/>
    <m/>
  </r>
  <r>
    <x v="320"/>
    <s v="7"/>
    <m/>
    <m/>
  </r>
  <r>
    <x v="320"/>
    <s v="8"/>
    <m/>
    <m/>
  </r>
  <r>
    <x v="320"/>
    <s v="9"/>
    <m/>
    <m/>
  </r>
  <r>
    <x v="320"/>
    <s v="10"/>
    <m/>
    <m/>
  </r>
  <r>
    <x v="320"/>
    <s v="11"/>
    <m/>
    <m/>
  </r>
  <r>
    <x v="320"/>
    <s v="12"/>
    <m/>
    <m/>
  </r>
  <r>
    <x v="320"/>
    <s v="13"/>
    <m/>
    <m/>
  </r>
  <r>
    <x v="320"/>
    <s v="14"/>
    <m/>
    <m/>
  </r>
  <r>
    <x v="320"/>
    <s v="15"/>
    <m/>
    <m/>
  </r>
  <r>
    <x v="320"/>
    <s v="16"/>
    <m/>
    <m/>
  </r>
  <r>
    <x v="320"/>
    <s v="17"/>
    <m/>
    <m/>
  </r>
  <r>
    <x v="320"/>
    <s v="18"/>
    <m/>
    <m/>
  </r>
  <r>
    <x v="320"/>
    <s v="19"/>
    <m/>
    <m/>
  </r>
  <r>
    <x v="320"/>
    <s v="20"/>
    <m/>
    <m/>
  </r>
  <r>
    <x v="320"/>
    <s v="21"/>
    <m/>
    <m/>
  </r>
  <r>
    <x v="320"/>
    <s v="22"/>
    <m/>
    <m/>
  </r>
  <r>
    <x v="320"/>
    <s v="23"/>
    <m/>
    <m/>
  </r>
  <r>
    <x v="321"/>
    <s v="0"/>
    <m/>
    <m/>
  </r>
  <r>
    <x v="321"/>
    <s v="1"/>
    <m/>
    <m/>
  </r>
  <r>
    <x v="321"/>
    <s v="2"/>
    <m/>
    <m/>
  </r>
  <r>
    <x v="321"/>
    <s v="3"/>
    <m/>
    <m/>
  </r>
  <r>
    <x v="321"/>
    <s v="4"/>
    <m/>
    <m/>
  </r>
  <r>
    <x v="321"/>
    <s v="5"/>
    <m/>
    <m/>
  </r>
  <r>
    <x v="321"/>
    <s v="6"/>
    <m/>
    <m/>
  </r>
  <r>
    <x v="321"/>
    <s v="7"/>
    <m/>
    <m/>
  </r>
  <r>
    <x v="321"/>
    <s v="8"/>
    <m/>
    <m/>
  </r>
  <r>
    <x v="321"/>
    <s v="9"/>
    <m/>
    <m/>
  </r>
  <r>
    <x v="321"/>
    <s v="10"/>
    <m/>
    <m/>
  </r>
  <r>
    <x v="321"/>
    <s v="11"/>
    <m/>
    <m/>
  </r>
  <r>
    <x v="321"/>
    <s v="12"/>
    <m/>
    <m/>
  </r>
  <r>
    <x v="321"/>
    <s v="13"/>
    <m/>
    <m/>
  </r>
  <r>
    <x v="321"/>
    <s v="14"/>
    <m/>
    <m/>
  </r>
  <r>
    <x v="321"/>
    <s v="15"/>
    <m/>
    <m/>
  </r>
  <r>
    <x v="321"/>
    <s v="16"/>
    <m/>
    <m/>
  </r>
  <r>
    <x v="321"/>
    <s v="17"/>
    <m/>
    <m/>
  </r>
  <r>
    <x v="321"/>
    <s v="18"/>
    <m/>
    <m/>
  </r>
  <r>
    <x v="321"/>
    <s v="19"/>
    <m/>
    <m/>
  </r>
  <r>
    <x v="321"/>
    <s v="20"/>
    <m/>
    <m/>
  </r>
  <r>
    <x v="321"/>
    <s v="21"/>
    <m/>
    <m/>
  </r>
  <r>
    <x v="321"/>
    <s v="22"/>
    <m/>
    <m/>
  </r>
  <r>
    <x v="321"/>
    <s v="23"/>
    <m/>
    <m/>
  </r>
  <r>
    <x v="322"/>
    <s v="0"/>
    <m/>
    <m/>
  </r>
  <r>
    <x v="322"/>
    <s v="1"/>
    <m/>
    <m/>
  </r>
  <r>
    <x v="322"/>
    <s v="2"/>
    <m/>
    <m/>
  </r>
  <r>
    <x v="322"/>
    <s v="3"/>
    <m/>
    <m/>
  </r>
  <r>
    <x v="322"/>
    <s v="4"/>
    <m/>
    <m/>
  </r>
  <r>
    <x v="322"/>
    <s v="5"/>
    <m/>
    <m/>
  </r>
  <r>
    <x v="322"/>
    <s v="6"/>
    <m/>
    <m/>
  </r>
  <r>
    <x v="322"/>
    <s v="7"/>
    <m/>
    <m/>
  </r>
  <r>
    <x v="322"/>
    <s v="8"/>
    <m/>
    <m/>
  </r>
  <r>
    <x v="322"/>
    <s v="9"/>
    <m/>
    <m/>
  </r>
  <r>
    <x v="322"/>
    <s v="10"/>
    <m/>
    <m/>
  </r>
  <r>
    <x v="322"/>
    <s v="11"/>
    <m/>
    <m/>
  </r>
  <r>
    <x v="322"/>
    <s v="12"/>
    <m/>
    <m/>
  </r>
  <r>
    <x v="322"/>
    <s v="13"/>
    <m/>
    <m/>
  </r>
  <r>
    <x v="322"/>
    <s v="14"/>
    <m/>
    <m/>
  </r>
  <r>
    <x v="322"/>
    <s v="15"/>
    <m/>
    <m/>
  </r>
  <r>
    <x v="322"/>
    <s v="16"/>
    <m/>
    <m/>
  </r>
  <r>
    <x v="322"/>
    <s v="17"/>
    <m/>
    <m/>
  </r>
  <r>
    <x v="322"/>
    <s v="18"/>
    <m/>
    <m/>
  </r>
  <r>
    <x v="322"/>
    <s v="19"/>
    <m/>
    <m/>
  </r>
  <r>
    <x v="322"/>
    <s v="20"/>
    <m/>
    <m/>
  </r>
  <r>
    <x v="322"/>
    <s v="21"/>
    <m/>
    <m/>
  </r>
  <r>
    <x v="322"/>
    <s v="22"/>
    <m/>
    <m/>
  </r>
  <r>
    <x v="322"/>
    <s v="23"/>
    <m/>
    <m/>
  </r>
  <r>
    <x v="323"/>
    <s v="0"/>
    <m/>
    <m/>
  </r>
  <r>
    <x v="323"/>
    <s v="1"/>
    <m/>
    <m/>
  </r>
  <r>
    <x v="323"/>
    <s v="2"/>
    <m/>
    <m/>
  </r>
  <r>
    <x v="323"/>
    <s v="3"/>
    <m/>
    <m/>
  </r>
  <r>
    <x v="323"/>
    <s v="4"/>
    <m/>
    <m/>
  </r>
  <r>
    <x v="323"/>
    <s v="5"/>
    <m/>
    <m/>
  </r>
  <r>
    <x v="323"/>
    <s v="6"/>
    <m/>
    <m/>
  </r>
  <r>
    <x v="323"/>
    <s v="7"/>
    <m/>
    <m/>
  </r>
  <r>
    <x v="323"/>
    <s v="8"/>
    <m/>
    <m/>
  </r>
  <r>
    <x v="323"/>
    <s v="9"/>
    <m/>
    <m/>
  </r>
  <r>
    <x v="323"/>
    <s v="10"/>
    <m/>
    <m/>
  </r>
  <r>
    <x v="323"/>
    <s v="11"/>
    <m/>
    <m/>
  </r>
  <r>
    <x v="323"/>
    <s v="12"/>
    <m/>
    <m/>
  </r>
  <r>
    <x v="323"/>
    <s v="13"/>
    <m/>
    <m/>
  </r>
  <r>
    <x v="323"/>
    <s v="14"/>
    <m/>
    <m/>
  </r>
  <r>
    <x v="323"/>
    <s v="15"/>
    <m/>
    <m/>
  </r>
  <r>
    <x v="323"/>
    <s v="16"/>
    <m/>
    <m/>
  </r>
  <r>
    <x v="323"/>
    <s v="17"/>
    <m/>
    <m/>
  </r>
  <r>
    <x v="323"/>
    <s v="18"/>
    <m/>
    <m/>
  </r>
  <r>
    <x v="323"/>
    <s v="19"/>
    <m/>
    <m/>
  </r>
  <r>
    <x v="323"/>
    <s v="20"/>
    <m/>
    <m/>
  </r>
  <r>
    <x v="323"/>
    <s v="21"/>
    <m/>
    <m/>
  </r>
  <r>
    <x v="323"/>
    <s v="22"/>
    <m/>
    <m/>
  </r>
  <r>
    <x v="323"/>
    <s v="23"/>
    <m/>
    <m/>
  </r>
  <r>
    <x v="324"/>
    <s v="0"/>
    <m/>
    <m/>
  </r>
  <r>
    <x v="324"/>
    <s v="1"/>
    <m/>
    <m/>
  </r>
  <r>
    <x v="324"/>
    <s v="2"/>
    <m/>
    <m/>
  </r>
  <r>
    <x v="324"/>
    <s v="3"/>
    <m/>
    <m/>
  </r>
  <r>
    <x v="324"/>
    <s v="4"/>
    <m/>
    <m/>
  </r>
  <r>
    <x v="324"/>
    <s v="5"/>
    <m/>
    <m/>
  </r>
  <r>
    <x v="324"/>
    <s v="6"/>
    <m/>
    <m/>
  </r>
  <r>
    <x v="324"/>
    <s v="7"/>
    <m/>
    <m/>
  </r>
  <r>
    <x v="324"/>
    <s v="8"/>
    <m/>
    <m/>
  </r>
  <r>
    <x v="324"/>
    <s v="9"/>
    <m/>
    <m/>
  </r>
  <r>
    <x v="324"/>
    <s v="10"/>
    <m/>
    <m/>
  </r>
  <r>
    <x v="324"/>
    <s v="11"/>
    <m/>
    <m/>
  </r>
  <r>
    <x v="324"/>
    <s v="12"/>
    <m/>
    <m/>
  </r>
  <r>
    <x v="324"/>
    <s v="13"/>
    <m/>
    <m/>
  </r>
  <r>
    <x v="324"/>
    <s v="14"/>
    <m/>
    <m/>
  </r>
  <r>
    <x v="324"/>
    <s v="15"/>
    <m/>
    <m/>
  </r>
  <r>
    <x v="324"/>
    <s v="16"/>
    <m/>
    <m/>
  </r>
  <r>
    <x v="324"/>
    <s v="17"/>
    <m/>
    <m/>
  </r>
  <r>
    <x v="324"/>
    <s v="18"/>
    <m/>
    <m/>
  </r>
  <r>
    <x v="324"/>
    <s v="19"/>
    <m/>
    <m/>
  </r>
  <r>
    <x v="324"/>
    <s v="20"/>
    <m/>
    <m/>
  </r>
  <r>
    <x v="324"/>
    <s v="21"/>
    <m/>
    <m/>
  </r>
  <r>
    <x v="324"/>
    <s v="22"/>
    <m/>
    <m/>
  </r>
  <r>
    <x v="324"/>
    <s v="23"/>
    <m/>
    <m/>
  </r>
  <r>
    <x v="325"/>
    <s v="0"/>
    <m/>
    <m/>
  </r>
  <r>
    <x v="325"/>
    <s v="1"/>
    <m/>
    <m/>
  </r>
  <r>
    <x v="325"/>
    <s v="2"/>
    <m/>
    <m/>
  </r>
  <r>
    <x v="325"/>
    <s v="3"/>
    <m/>
    <m/>
  </r>
  <r>
    <x v="325"/>
    <s v="4"/>
    <m/>
    <m/>
  </r>
  <r>
    <x v="325"/>
    <s v="5"/>
    <m/>
    <m/>
  </r>
  <r>
    <x v="325"/>
    <s v="6"/>
    <m/>
    <m/>
  </r>
  <r>
    <x v="325"/>
    <s v="7"/>
    <m/>
    <m/>
  </r>
  <r>
    <x v="325"/>
    <s v="8"/>
    <m/>
    <m/>
  </r>
  <r>
    <x v="325"/>
    <s v="9"/>
    <m/>
    <m/>
  </r>
  <r>
    <x v="325"/>
    <s v="10"/>
    <m/>
    <m/>
  </r>
  <r>
    <x v="325"/>
    <s v="11"/>
    <m/>
    <m/>
  </r>
  <r>
    <x v="325"/>
    <s v="12"/>
    <m/>
    <m/>
  </r>
  <r>
    <x v="325"/>
    <s v="13"/>
    <m/>
    <m/>
  </r>
  <r>
    <x v="325"/>
    <s v="14"/>
    <m/>
    <m/>
  </r>
  <r>
    <x v="325"/>
    <s v="15"/>
    <m/>
    <m/>
  </r>
  <r>
    <x v="325"/>
    <s v="16"/>
    <m/>
    <m/>
  </r>
  <r>
    <x v="325"/>
    <s v="17"/>
    <m/>
    <m/>
  </r>
  <r>
    <x v="325"/>
    <s v="18"/>
    <m/>
    <m/>
  </r>
  <r>
    <x v="325"/>
    <s v="19"/>
    <m/>
    <m/>
  </r>
  <r>
    <x v="325"/>
    <s v="20"/>
    <m/>
    <m/>
  </r>
  <r>
    <x v="325"/>
    <s v="21"/>
    <m/>
    <m/>
  </r>
  <r>
    <x v="325"/>
    <s v="22"/>
    <m/>
    <m/>
  </r>
  <r>
    <x v="325"/>
    <s v="23"/>
    <m/>
    <m/>
  </r>
  <r>
    <x v="326"/>
    <s v="0"/>
    <m/>
    <m/>
  </r>
  <r>
    <x v="326"/>
    <s v="1"/>
    <m/>
    <m/>
  </r>
  <r>
    <x v="326"/>
    <s v="2"/>
    <m/>
    <m/>
  </r>
  <r>
    <x v="326"/>
    <s v="3"/>
    <m/>
    <m/>
  </r>
  <r>
    <x v="326"/>
    <s v="4"/>
    <m/>
    <m/>
  </r>
  <r>
    <x v="326"/>
    <s v="5"/>
    <m/>
    <m/>
  </r>
  <r>
    <x v="326"/>
    <s v="6"/>
    <m/>
    <m/>
  </r>
  <r>
    <x v="326"/>
    <s v="7"/>
    <m/>
    <m/>
  </r>
  <r>
    <x v="326"/>
    <s v="8"/>
    <m/>
    <m/>
  </r>
  <r>
    <x v="326"/>
    <s v="9"/>
    <m/>
    <m/>
  </r>
  <r>
    <x v="326"/>
    <s v="10"/>
    <m/>
    <m/>
  </r>
  <r>
    <x v="326"/>
    <s v="11"/>
    <m/>
    <m/>
  </r>
  <r>
    <x v="326"/>
    <s v="12"/>
    <m/>
    <m/>
  </r>
  <r>
    <x v="326"/>
    <s v="13"/>
    <m/>
    <m/>
  </r>
  <r>
    <x v="326"/>
    <s v="14"/>
    <m/>
    <m/>
  </r>
  <r>
    <x v="326"/>
    <s v="15"/>
    <m/>
    <m/>
  </r>
  <r>
    <x v="326"/>
    <s v="16"/>
    <m/>
    <m/>
  </r>
  <r>
    <x v="326"/>
    <s v="17"/>
    <m/>
    <m/>
  </r>
  <r>
    <x v="326"/>
    <s v="18"/>
    <m/>
    <m/>
  </r>
  <r>
    <x v="326"/>
    <s v="19"/>
    <m/>
    <m/>
  </r>
  <r>
    <x v="326"/>
    <s v="20"/>
    <m/>
    <m/>
  </r>
  <r>
    <x v="326"/>
    <s v="21"/>
    <m/>
    <m/>
  </r>
  <r>
    <x v="326"/>
    <s v="22"/>
    <m/>
    <m/>
  </r>
  <r>
    <x v="326"/>
    <s v="23"/>
    <m/>
    <m/>
  </r>
  <r>
    <x v="327"/>
    <s v="0"/>
    <m/>
    <m/>
  </r>
  <r>
    <x v="327"/>
    <s v="1"/>
    <m/>
    <m/>
  </r>
  <r>
    <x v="327"/>
    <s v="2"/>
    <m/>
    <m/>
  </r>
  <r>
    <x v="327"/>
    <s v="3"/>
    <m/>
    <m/>
  </r>
  <r>
    <x v="327"/>
    <s v="4"/>
    <m/>
    <m/>
  </r>
  <r>
    <x v="327"/>
    <s v="5"/>
    <m/>
    <m/>
  </r>
  <r>
    <x v="327"/>
    <s v="6"/>
    <m/>
    <m/>
  </r>
  <r>
    <x v="327"/>
    <s v="7"/>
    <m/>
    <m/>
  </r>
  <r>
    <x v="327"/>
    <s v="8"/>
    <m/>
    <m/>
  </r>
  <r>
    <x v="327"/>
    <s v="9"/>
    <m/>
    <m/>
  </r>
  <r>
    <x v="327"/>
    <s v="10"/>
    <m/>
    <m/>
  </r>
  <r>
    <x v="327"/>
    <s v="11"/>
    <m/>
    <m/>
  </r>
  <r>
    <x v="327"/>
    <s v="12"/>
    <m/>
    <m/>
  </r>
  <r>
    <x v="327"/>
    <s v="13"/>
    <m/>
    <m/>
  </r>
  <r>
    <x v="327"/>
    <s v="14"/>
    <m/>
    <m/>
  </r>
  <r>
    <x v="327"/>
    <s v="15"/>
    <m/>
    <m/>
  </r>
  <r>
    <x v="327"/>
    <s v="16"/>
    <m/>
    <m/>
  </r>
  <r>
    <x v="327"/>
    <s v="17"/>
    <m/>
    <m/>
  </r>
  <r>
    <x v="327"/>
    <s v="18"/>
    <m/>
    <m/>
  </r>
  <r>
    <x v="327"/>
    <s v="19"/>
    <m/>
    <m/>
  </r>
  <r>
    <x v="327"/>
    <s v="20"/>
    <m/>
    <m/>
  </r>
  <r>
    <x v="327"/>
    <s v="21"/>
    <m/>
    <m/>
  </r>
  <r>
    <x v="327"/>
    <s v="22"/>
    <m/>
    <m/>
  </r>
  <r>
    <x v="327"/>
    <s v="23"/>
    <m/>
    <m/>
  </r>
  <r>
    <x v="328"/>
    <s v="0"/>
    <m/>
    <m/>
  </r>
  <r>
    <x v="328"/>
    <s v="1"/>
    <m/>
    <m/>
  </r>
  <r>
    <x v="328"/>
    <s v="2"/>
    <m/>
    <m/>
  </r>
  <r>
    <x v="328"/>
    <s v="3"/>
    <m/>
    <m/>
  </r>
  <r>
    <x v="328"/>
    <s v="4"/>
    <m/>
    <m/>
  </r>
  <r>
    <x v="328"/>
    <s v="5"/>
    <m/>
    <m/>
  </r>
  <r>
    <x v="328"/>
    <s v="6"/>
    <m/>
    <m/>
  </r>
  <r>
    <x v="328"/>
    <s v="7"/>
    <m/>
    <m/>
  </r>
  <r>
    <x v="328"/>
    <s v="8"/>
    <m/>
    <m/>
  </r>
  <r>
    <x v="328"/>
    <s v="9"/>
    <m/>
    <m/>
  </r>
  <r>
    <x v="328"/>
    <s v="10"/>
    <m/>
    <m/>
  </r>
  <r>
    <x v="328"/>
    <s v="11"/>
    <m/>
    <m/>
  </r>
  <r>
    <x v="328"/>
    <s v="12"/>
    <m/>
    <m/>
  </r>
  <r>
    <x v="328"/>
    <s v="13"/>
    <m/>
    <m/>
  </r>
  <r>
    <x v="328"/>
    <s v="14"/>
    <m/>
    <m/>
  </r>
  <r>
    <x v="328"/>
    <s v="15"/>
    <m/>
    <m/>
  </r>
  <r>
    <x v="328"/>
    <s v="16"/>
    <m/>
    <m/>
  </r>
  <r>
    <x v="328"/>
    <s v="17"/>
    <m/>
    <m/>
  </r>
  <r>
    <x v="328"/>
    <s v="18"/>
    <m/>
    <m/>
  </r>
  <r>
    <x v="328"/>
    <s v="19"/>
    <m/>
    <m/>
  </r>
  <r>
    <x v="328"/>
    <s v="20"/>
    <m/>
    <m/>
  </r>
  <r>
    <x v="328"/>
    <s v="21"/>
    <m/>
    <m/>
  </r>
  <r>
    <x v="328"/>
    <s v="22"/>
    <m/>
    <m/>
  </r>
  <r>
    <x v="328"/>
    <s v="23"/>
    <m/>
    <m/>
  </r>
  <r>
    <x v="329"/>
    <s v="0"/>
    <m/>
    <m/>
  </r>
  <r>
    <x v="329"/>
    <s v="1"/>
    <m/>
    <m/>
  </r>
  <r>
    <x v="329"/>
    <s v="2"/>
    <m/>
    <m/>
  </r>
  <r>
    <x v="329"/>
    <s v="3"/>
    <m/>
    <m/>
  </r>
  <r>
    <x v="329"/>
    <s v="4"/>
    <m/>
    <m/>
  </r>
  <r>
    <x v="329"/>
    <s v="5"/>
    <m/>
    <m/>
  </r>
  <r>
    <x v="329"/>
    <s v="6"/>
    <m/>
    <m/>
  </r>
  <r>
    <x v="329"/>
    <s v="7"/>
    <m/>
    <m/>
  </r>
  <r>
    <x v="329"/>
    <s v="8"/>
    <m/>
    <m/>
  </r>
  <r>
    <x v="329"/>
    <s v="9"/>
    <m/>
    <m/>
  </r>
  <r>
    <x v="329"/>
    <s v="10"/>
    <m/>
    <m/>
  </r>
  <r>
    <x v="329"/>
    <s v="11"/>
    <m/>
    <m/>
  </r>
  <r>
    <x v="329"/>
    <s v="12"/>
    <m/>
    <m/>
  </r>
  <r>
    <x v="329"/>
    <s v="13"/>
    <m/>
    <m/>
  </r>
  <r>
    <x v="329"/>
    <s v="14"/>
    <m/>
    <m/>
  </r>
  <r>
    <x v="329"/>
    <s v="15"/>
    <m/>
    <m/>
  </r>
  <r>
    <x v="329"/>
    <s v="16"/>
    <m/>
    <m/>
  </r>
  <r>
    <x v="329"/>
    <s v="17"/>
    <m/>
    <m/>
  </r>
  <r>
    <x v="329"/>
    <s v="18"/>
    <m/>
    <m/>
  </r>
  <r>
    <x v="329"/>
    <s v="19"/>
    <m/>
    <m/>
  </r>
  <r>
    <x v="329"/>
    <s v="20"/>
    <m/>
    <m/>
  </r>
  <r>
    <x v="329"/>
    <s v="21"/>
    <m/>
    <m/>
  </r>
  <r>
    <x v="329"/>
    <s v="22"/>
    <m/>
    <m/>
  </r>
  <r>
    <x v="329"/>
    <s v="23"/>
    <m/>
    <m/>
  </r>
  <r>
    <x v="330"/>
    <s v="0"/>
    <m/>
    <m/>
  </r>
  <r>
    <x v="330"/>
    <s v="1"/>
    <m/>
    <m/>
  </r>
  <r>
    <x v="330"/>
    <s v="2"/>
    <m/>
    <m/>
  </r>
  <r>
    <x v="330"/>
    <s v="3"/>
    <m/>
    <m/>
  </r>
  <r>
    <x v="330"/>
    <s v="4"/>
    <m/>
    <m/>
  </r>
  <r>
    <x v="330"/>
    <s v="5"/>
    <m/>
    <m/>
  </r>
  <r>
    <x v="330"/>
    <s v="6"/>
    <m/>
    <m/>
  </r>
  <r>
    <x v="330"/>
    <s v="7"/>
    <m/>
    <m/>
  </r>
  <r>
    <x v="330"/>
    <s v="8"/>
    <m/>
    <m/>
  </r>
  <r>
    <x v="330"/>
    <s v="9"/>
    <m/>
    <m/>
  </r>
  <r>
    <x v="330"/>
    <s v="10"/>
    <m/>
    <m/>
  </r>
  <r>
    <x v="330"/>
    <s v="11"/>
    <m/>
    <m/>
  </r>
  <r>
    <x v="330"/>
    <s v="12"/>
    <m/>
    <m/>
  </r>
  <r>
    <x v="330"/>
    <s v="13"/>
    <m/>
    <m/>
  </r>
  <r>
    <x v="330"/>
    <s v="14"/>
    <m/>
    <m/>
  </r>
  <r>
    <x v="330"/>
    <s v="15"/>
    <m/>
    <m/>
  </r>
  <r>
    <x v="330"/>
    <s v="16"/>
    <m/>
    <m/>
  </r>
  <r>
    <x v="330"/>
    <s v="17"/>
    <m/>
    <m/>
  </r>
  <r>
    <x v="330"/>
    <s v="18"/>
    <m/>
    <m/>
  </r>
  <r>
    <x v="330"/>
    <s v="19"/>
    <m/>
    <m/>
  </r>
  <r>
    <x v="330"/>
    <s v="20"/>
    <m/>
    <m/>
  </r>
  <r>
    <x v="330"/>
    <s v="21"/>
    <m/>
    <m/>
  </r>
  <r>
    <x v="330"/>
    <s v="22"/>
    <m/>
    <m/>
  </r>
  <r>
    <x v="330"/>
    <s v="23"/>
    <m/>
    <m/>
  </r>
  <r>
    <x v="331"/>
    <s v="0"/>
    <m/>
    <m/>
  </r>
  <r>
    <x v="331"/>
    <s v="1"/>
    <m/>
    <m/>
  </r>
  <r>
    <x v="331"/>
    <s v="2"/>
    <m/>
    <m/>
  </r>
  <r>
    <x v="331"/>
    <s v="3"/>
    <m/>
    <m/>
  </r>
  <r>
    <x v="331"/>
    <s v="4"/>
    <m/>
    <m/>
  </r>
  <r>
    <x v="331"/>
    <s v="5"/>
    <m/>
    <m/>
  </r>
  <r>
    <x v="331"/>
    <s v="6"/>
    <m/>
    <m/>
  </r>
  <r>
    <x v="331"/>
    <s v="7"/>
    <m/>
    <m/>
  </r>
  <r>
    <x v="331"/>
    <s v="8"/>
    <m/>
    <m/>
  </r>
  <r>
    <x v="331"/>
    <s v="9"/>
    <m/>
    <m/>
  </r>
  <r>
    <x v="331"/>
    <s v="10"/>
    <m/>
    <m/>
  </r>
  <r>
    <x v="331"/>
    <s v="11"/>
    <m/>
    <m/>
  </r>
  <r>
    <x v="331"/>
    <s v="12"/>
    <m/>
    <m/>
  </r>
  <r>
    <x v="331"/>
    <s v="13"/>
    <m/>
    <m/>
  </r>
  <r>
    <x v="331"/>
    <s v="14"/>
    <m/>
    <m/>
  </r>
  <r>
    <x v="331"/>
    <s v="15"/>
    <m/>
    <m/>
  </r>
  <r>
    <x v="331"/>
    <s v="16"/>
    <m/>
    <m/>
  </r>
  <r>
    <x v="331"/>
    <s v="17"/>
    <m/>
    <m/>
  </r>
  <r>
    <x v="331"/>
    <s v="18"/>
    <m/>
    <m/>
  </r>
  <r>
    <x v="331"/>
    <s v="19"/>
    <m/>
    <m/>
  </r>
  <r>
    <x v="331"/>
    <s v="20"/>
    <m/>
    <m/>
  </r>
  <r>
    <x v="331"/>
    <s v="21"/>
    <m/>
    <m/>
  </r>
  <r>
    <x v="331"/>
    <s v="22"/>
    <m/>
    <m/>
  </r>
  <r>
    <x v="331"/>
    <s v="23"/>
    <m/>
    <m/>
  </r>
  <r>
    <x v="332"/>
    <s v="0"/>
    <m/>
    <m/>
  </r>
  <r>
    <x v="332"/>
    <s v="1"/>
    <m/>
    <m/>
  </r>
  <r>
    <x v="332"/>
    <s v="2"/>
    <m/>
    <m/>
  </r>
  <r>
    <x v="332"/>
    <s v="3"/>
    <m/>
    <m/>
  </r>
  <r>
    <x v="332"/>
    <s v="4"/>
    <m/>
    <m/>
  </r>
  <r>
    <x v="332"/>
    <s v="5"/>
    <m/>
    <m/>
  </r>
  <r>
    <x v="332"/>
    <s v="6"/>
    <m/>
    <m/>
  </r>
  <r>
    <x v="332"/>
    <s v="7"/>
    <m/>
    <m/>
  </r>
  <r>
    <x v="332"/>
    <s v="8"/>
    <m/>
    <m/>
  </r>
  <r>
    <x v="332"/>
    <s v="9"/>
    <m/>
    <m/>
  </r>
  <r>
    <x v="332"/>
    <s v="10"/>
    <m/>
    <m/>
  </r>
  <r>
    <x v="332"/>
    <s v="11"/>
    <m/>
    <m/>
  </r>
  <r>
    <x v="332"/>
    <s v="12"/>
    <m/>
    <m/>
  </r>
  <r>
    <x v="332"/>
    <s v="13"/>
    <m/>
    <m/>
  </r>
  <r>
    <x v="332"/>
    <s v="14"/>
    <m/>
    <m/>
  </r>
  <r>
    <x v="332"/>
    <s v="15"/>
    <m/>
    <m/>
  </r>
  <r>
    <x v="332"/>
    <s v="16"/>
    <m/>
    <m/>
  </r>
  <r>
    <x v="332"/>
    <s v="17"/>
    <m/>
    <m/>
  </r>
  <r>
    <x v="332"/>
    <s v="18"/>
    <m/>
    <m/>
  </r>
  <r>
    <x v="332"/>
    <s v="19"/>
    <m/>
    <m/>
  </r>
  <r>
    <x v="332"/>
    <s v="20"/>
    <m/>
    <m/>
  </r>
  <r>
    <x v="332"/>
    <s v="21"/>
    <m/>
    <m/>
  </r>
  <r>
    <x v="332"/>
    <s v="22"/>
    <m/>
    <m/>
  </r>
  <r>
    <x v="332"/>
    <s v="23"/>
    <m/>
    <m/>
  </r>
  <r>
    <x v="333"/>
    <s v="0"/>
    <m/>
    <m/>
  </r>
  <r>
    <x v="333"/>
    <s v="1"/>
    <m/>
    <m/>
  </r>
  <r>
    <x v="333"/>
    <s v="2"/>
    <m/>
    <m/>
  </r>
  <r>
    <x v="333"/>
    <s v="3"/>
    <m/>
    <m/>
  </r>
  <r>
    <x v="333"/>
    <s v="4"/>
    <m/>
    <m/>
  </r>
  <r>
    <x v="333"/>
    <s v="5"/>
    <m/>
    <m/>
  </r>
  <r>
    <x v="333"/>
    <s v="6"/>
    <m/>
    <m/>
  </r>
  <r>
    <x v="333"/>
    <s v="7"/>
    <m/>
    <m/>
  </r>
  <r>
    <x v="333"/>
    <s v="8"/>
    <m/>
    <m/>
  </r>
  <r>
    <x v="333"/>
    <s v="9"/>
    <m/>
    <m/>
  </r>
  <r>
    <x v="333"/>
    <s v="10"/>
    <m/>
    <m/>
  </r>
  <r>
    <x v="333"/>
    <s v="11"/>
    <m/>
    <m/>
  </r>
  <r>
    <x v="333"/>
    <s v="12"/>
    <m/>
    <m/>
  </r>
  <r>
    <x v="333"/>
    <s v="13"/>
    <m/>
    <m/>
  </r>
  <r>
    <x v="333"/>
    <s v="14"/>
    <m/>
    <m/>
  </r>
  <r>
    <x v="333"/>
    <s v="15"/>
    <m/>
    <m/>
  </r>
  <r>
    <x v="333"/>
    <s v="16"/>
    <m/>
    <m/>
  </r>
  <r>
    <x v="333"/>
    <s v="17"/>
    <m/>
    <m/>
  </r>
  <r>
    <x v="333"/>
    <s v="18"/>
    <m/>
    <m/>
  </r>
  <r>
    <x v="333"/>
    <s v="19"/>
    <m/>
    <m/>
  </r>
  <r>
    <x v="333"/>
    <s v="20"/>
    <m/>
    <m/>
  </r>
  <r>
    <x v="333"/>
    <s v="21"/>
    <m/>
    <m/>
  </r>
  <r>
    <x v="333"/>
    <s v="22"/>
    <m/>
    <m/>
  </r>
  <r>
    <x v="333"/>
    <s v="23"/>
    <m/>
    <m/>
  </r>
  <r>
    <x v="334"/>
    <s v="0"/>
    <m/>
    <m/>
  </r>
  <r>
    <x v="334"/>
    <s v="1"/>
    <m/>
    <m/>
  </r>
  <r>
    <x v="334"/>
    <s v="2"/>
    <m/>
    <m/>
  </r>
  <r>
    <x v="334"/>
    <s v="3"/>
    <m/>
    <m/>
  </r>
  <r>
    <x v="334"/>
    <s v="4"/>
    <m/>
    <m/>
  </r>
  <r>
    <x v="334"/>
    <s v="5"/>
    <m/>
    <m/>
  </r>
  <r>
    <x v="334"/>
    <s v="6"/>
    <m/>
    <m/>
  </r>
  <r>
    <x v="334"/>
    <s v="7"/>
    <m/>
    <m/>
  </r>
  <r>
    <x v="334"/>
    <s v="8"/>
    <m/>
    <m/>
  </r>
  <r>
    <x v="334"/>
    <s v="9"/>
    <m/>
    <m/>
  </r>
  <r>
    <x v="334"/>
    <s v="10"/>
    <m/>
    <m/>
  </r>
  <r>
    <x v="334"/>
    <s v="11"/>
    <m/>
    <m/>
  </r>
  <r>
    <x v="334"/>
    <s v="12"/>
    <m/>
    <m/>
  </r>
  <r>
    <x v="334"/>
    <s v="13"/>
    <m/>
    <m/>
  </r>
  <r>
    <x v="334"/>
    <s v="14"/>
    <m/>
    <m/>
  </r>
  <r>
    <x v="334"/>
    <s v="15"/>
    <m/>
    <m/>
  </r>
  <r>
    <x v="334"/>
    <s v="16"/>
    <m/>
    <m/>
  </r>
  <r>
    <x v="334"/>
    <s v="17"/>
    <m/>
    <m/>
  </r>
  <r>
    <x v="334"/>
    <s v="18"/>
    <m/>
    <m/>
  </r>
  <r>
    <x v="334"/>
    <s v="19"/>
    <m/>
    <m/>
  </r>
  <r>
    <x v="334"/>
    <s v="20"/>
    <m/>
    <m/>
  </r>
  <r>
    <x v="334"/>
    <s v="21"/>
    <m/>
    <m/>
  </r>
  <r>
    <x v="334"/>
    <s v="22"/>
    <m/>
    <m/>
  </r>
  <r>
    <x v="334"/>
    <s v="23"/>
    <m/>
    <m/>
  </r>
  <r>
    <x v="335"/>
    <s v="0"/>
    <m/>
    <m/>
  </r>
  <r>
    <x v="335"/>
    <s v="1"/>
    <m/>
    <m/>
  </r>
  <r>
    <x v="335"/>
    <s v="2"/>
    <m/>
    <m/>
  </r>
  <r>
    <x v="335"/>
    <s v="3"/>
    <m/>
    <m/>
  </r>
  <r>
    <x v="335"/>
    <s v="4"/>
    <m/>
    <m/>
  </r>
  <r>
    <x v="335"/>
    <s v="5"/>
    <m/>
    <m/>
  </r>
  <r>
    <x v="335"/>
    <s v="6"/>
    <m/>
    <m/>
  </r>
  <r>
    <x v="335"/>
    <s v="7"/>
    <m/>
    <m/>
  </r>
  <r>
    <x v="335"/>
    <s v="8"/>
    <m/>
    <m/>
  </r>
  <r>
    <x v="335"/>
    <s v="9"/>
    <m/>
    <m/>
  </r>
  <r>
    <x v="335"/>
    <s v="10"/>
    <m/>
    <m/>
  </r>
  <r>
    <x v="335"/>
    <s v="11"/>
    <m/>
    <m/>
  </r>
  <r>
    <x v="335"/>
    <s v="12"/>
    <m/>
    <m/>
  </r>
  <r>
    <x v="335"/>
    <s v="13"/>
    <m/>
    <m/>
  </r>
  <r>
    <x v="335"/>
    <s v="14"/>
    <m/>
    <m/>
  </r>
  <r>
    <x v="335"/>
    <s v="15"/>
    <m/>
    <m/>
  </r>
  <r>
    <x v="335"/>
    <s v="16"/>
    <m/>
    <m/>
  </r>
  <r>
    <x v="335"/>
    <s v="17"/>
    <m/>
    <m/>
  </r>
  <r>
    <x v="335"/>
    <s v="18"/>
    <m/>
    <m/>
  </r>
  <r>
    <x v="335"/>
    <s v="19"/>
    <m/>
    <m/>
  </r>
  <r>
    <x v="335"/>
    <s v="20"/>
    <m/>
    <m/>
  </r>
  <r>
    <x v="335"/>
    <s v="21"/>
    <m/>
    <m/>
  </r>
  <r>
    <x v="335"/>
    <s v="22"/>
    <m/>
    <m/>
  </r>
  <r>
    <x v="335"/>
    <s v="23"/>
    <m/>
    <m/>
  </r>
  <r>
    <x v="336"/>
    <s v="0"/>
    <m/>
    <m/>
  </r>
  <r>
    <x v="336"/>
    <s v="1"/>
    <m/>
    <m/>
  </r>
  <r>
    <x v="336"/>
    <s v="2"/>
    <m/>
    <m/>
  </r>
  <r>
    <x v="336"/>
    <s v="3"/>
    <m/>
    <m/>
  </r>
  <r>
    <x v="336"/>
    <s v="4"/>
    <m/>
    <m/>
  </r>
  <r>
    <x v="336"/>
    <s v="5"/>
    <m/>
    <m/>
  </r>
  <r>
    <x v="336"/>
    <s v="6"/>
    <m/>
    <m/>
  </r>
  <r>
    <x v="336"/>
    <s v="7"/>
    <m/>
    <m/>
  </r>
  <r>
    <x v="336"/>
    <s v="8"/>
    <m/>
    <m/>
  </r>
  <r>
    <x v="336"/>
    <s v="9"/>
    <m/>
    <m/>
  </r>
  <r>
    <x v="336"/>
    <s v="10"/>
    <m/>
    <m/>
  </r>
  <r>
    <x v="336"/>
    <s v="11"/>
    <m/>
    <m/>
  </r>
  <r>
    <x v="336"/>
    <s v="12"/>
    <m/>
    <m/>
  </r>
  <r>
    <x v="336"/>
    <s v="13"/>
    <m/>
    <m/>
  </r>
  <r>
    <x v="336"/>
    <s v="14"/>
    <m/>
    <m/>
  </r>
  <r>
    <x v="336"/>
    <s v="15"/>
    <m/>
    <m/>
  </r>
  <r>
    <x v="336"/>
    <s v="16"/>
    <m/>
    <m/>
  </r>
  <r>
    <x v="336"/>
    <s v="17"/>
    <m/>
    <m/>
  </r>
  <r>
    <x v="336"/>
    <s v="18"/>
    <m/>
    <m/>
  </r>
  <r>
    <x v="336"/>
    <s v="19"/>
    <m/>
    <m/>
  </r>
  <r>
    <x v="336"/>
    <s v="20"/>
    <m/>
    <m/>
  </r>
  <r>
    <x v="336"/>
    <s v="21"/>
    <m/>
    <m/>
  </r>
  <r>
    <x v="336"/>
    <s v="22"/>
    <m/>
    <m/>
  </r>
  <r>
    <x v="336"/>
    <s v="23"/>
    <m/>
    <m/>
  </r>
  <r>
    <x v="337"/>
    <s v="0"/>
    <m/>
    <m/>
  </r>
  <r>
    <x v="337"/>
    <s v="1"/>
    <m/>
    <m/>
  </r>
  <r>
    <x v="337"/>
    <s v="2"/>
    <m/>
    <m/>
  </r>
  <r>
    <x v="337"/>
    <s v="3"/>
    <m/>
    <m/>
  </r>
  <r>
    <x v="337"/>
    <s v="4"/>
    <m/>
    <m/>
  </r>
  <r>
    <x v="337"/>
    <s v="5"/>
    <m/>
    <m/>
  </r>
  <r>
    <x v="337"/>
    <s v="6"/>
    <m/>
    <m/>
  </r>
  <r>
    <x v="337"/>
    <s v="7"/>
    <m/>
    <m/>
  </r>
  <r>
    <x v="337"/>
    <s v="8"/>
    <m/>
    <m/>
  </r>
  <r>
    <x v="337"/>
    <s v="9"/>
    <m/>
    <m/>
  </r>
  <r>
    <x v="337"/>
    <s v="10"/>
    <m/>
    <m/>
  </r>
  <r>
    <x v="337"/>
    <s v="11"/>
    <m/>
    <m/>
  </r>
  <r>
    <x v="337"/>
    <s v="12"/>
    <m/>
    <m/>
  </r>
  <r>
    <x v="337"/>
    <s v="13"/>
    <m/>
    <m/>
  </r>
  <r>
    <x v="337"/>
    <s v="14"/>
    <m/>
    <m/>
  </r>
  <r>
    <x v="337"/>
    <s v="15"/>
    <m/>
    <m/>
  </r>
  <r>
    <x v="337"/>
    <s v="16"/>
    <m/>
    <m/>
  </r>
  <r>
    <x v="337"/>
    <s v="17"/>
    <m/>
    <m/>
  </r>
  <r>
    <x v="337"/>
    <s v="18"/>
    <m/>
    <m/>
  </r>
  <r>
    <x v="337"/>
    <s v="19"/>
    <m/>
    <m/>
  </r>
  <r>
    <x v="337"/>
    <s v="20"/>
    <m/>
    <m/>
  </r>
  <r>
    <x v="337"/>
    <s v="21"/>
    <m/>
    <m/>
  </r>
  <r>
    <x v="337"/>
    <s v="22"/>
    <m/>
    <m/>
  </r>
  <r>
    <x v="337"/>
    <s v="23"/>
    <m/>
    <m/>
  </r>
  <r>
    <x v="338"/>
    <s v="0"/>
    <m/>
    <m/>
  </r>
  <r>
    <x v="338"/>
    <s v="1"/>
    <m/>
    <m/>
  </r>
  <r>
    <x v="338"/>
    <s v="2"/>
    <m/>
    <m/>
  </r>
  <r>
    <x v="338"/>
    <s v="3"/>
    <m/>
    <m/>
  </r>
  <r>
    <x v="338"/>
    <s v="4"/>
    <m/>
    <m/>
  </r>
  <r>
    <x v="338"/>
    <s v="5"/>
    <m/>
    <m/>
  </r>
  <r>
    <x v="338"/>
    <s v="6"/>
    <m/>
    <m/>
  </r>
  <r>
    <x v="338"/>
    <s v="7"/>
    <m/>
    <m/>
  </r>
  <r>
    <x v="338"/>
    <s v="8"/>
    <m/>
    <m/>
  </r>
  <r>
    <x v="338"/>
    <s v="9"/>
    <m/>
    <m/>
  </r>
  <r>
    <x v="338"/>
    <s v="10"/>
    <m/>
    <m/>
  </r>
  <r>
    <x v="338"/>
    <s v="11"/>
    <m/>
    <m/>
  </r>
  <r>
    <x v="338"/>
    <s v="12"/>
    <m/>
    <m/>
  </r>
  <r>
    <x v="338"/>
    <s v="13"/>
    <m/>
    <m/>
  </r>
  <r>
    <x v="338"/>
    <s v="14"/>
    <m/>
    <m/>
  </r>
  <r>
    <x v="338"/>
    <s v="15"/>
    <m/>
    <m/>
  </r>
  <r>
    <x v="338"/>
    <s v="16"/>
    <m/>
    <m/>
  </r>
  <r>
    <x v="338"/>
    <s v="17"/>
    <m/>
    <m/>
  </r>
  <r>
    <x v="338"/>
    <s v="18"/>
    <m/>
    <m/>
  </r>
  <r>
    <x v="338"/>
    <s v="19"/>
    <m/>
    <m/>
  </r>
  <r>
    <x v="338"/>
    <s v="20"/>
    <m/>
    <m/>
  </r>
  <r>
    <x v="338"/>
    <s v="21"/>
    <m/>
    <m/>
  </r>
  <r>
    <x v="338"/>
    <s v="22"/>
    <m/>
    <m/>
  </r>
  <r>
    <x v="338"/>
    <s v="23"/>
    <m/>
    <m/>
  </r>
  <r>
    <x v="339"/>
    <s v="0"/>
    <m/>
    <m/>
  </r>
  <r>
    <x v="339"/>
    <s v="1"/>
    <m/>
    <m/>
  </r>
  <r>
    <x v="339"/>
    <s v="2"/>
    <m/>
    <m/>
  </r>
  <r>
    <x v="339"/>
    <s v="3"/>
    <m/>
    <m/>
  </r>
  <r>
    <x v="339"/>
    <s v="4"/>
    <m/>
    <m/>
  </r>
  <r>
    <x v="339"/>
    <s v="5"/>
    <m/>
    <m/>
  </r>
  <r>
    <x v="339"/>
    <s v="6"/>
    <m/>
    <m/>
  </r>
  <r>
    <x v="339"/>
    <s v="7"/>
    <m/>
    <m/>
  </r>
  <r>
    <x v="339"/>
    <s v="8"/>
    <m/>
    <m/>
  </r>
  <r>
    <x v="339"/>
    <s v="9"/>
    <m/>
    <m/>
  </r>
  <r>
    <x v="339"/>
    <s v="10"/>
    <m/>
    <m/>
  </r>
  <r>
    <x v="339"/>
    <s v="11"/>
    <m/>
    <m/>
  </r>
  <r>
    <x v="339"/>
    <s v="12"/>
    <m/>
    <m/>
  </r>
  <r>
    <x v="339"/>
    <s v="13"/>
    <m/>
    <m/>
  </r>
  <r>
    <x v="339"/>
    <s v="14"/>
    <m/>
    <m/>
  </r>
  <r>
    <x v="339"/>
    <s v="15"/>
    <m/>
    <m/>
  </r>
  <r>
    <x v="339"/>
    <s v="16"/>
    <m/>
    <m/>
  </r>
  <r>
    <x v="339"/>
    <s v="17"/>
    <m/>
    <m/>
  </r>
  <r>
    <x v="339"/>
    <s v="18"/>
    <m/>
    <m/>
  </r>
  <r>
    <x v="339"/>
    <s v="19"/>
    <m/>
    <m/>
  </r>
  <r>
    <x v="339"/>
    <s v="20"/>
    <m/>
    <m/>
  </r>
  <r>
    <x v="339"/>
    <s v="21"/>
    <m/>
    <m/>
  </r>
  <r>
    <x v="339"/>
    <s v="22"/>
    <m/>
    <m/>
  </r>
  <r>
    <x v="339"/>
    <s v="23"/>
    <m/>
    <m/>
  </r>
  <r>
    <x v="340"/>
    <s v="0"/>
    <m/>
    <m/>
  </r>
  <r>
    <x v="340"/>
    <s v="1"/>
    <m/>
    <m/>
  </r>
  <r>
    <x v="340"/>
    <s v="2"/>
    <m/>
    <m/>
  </r>
  <r>
    <x v="340"/>
    <s v="3"/>
    <m/>
    <m/>
  </r>
  <r>
    <x v="340"/>
    <s v="4"/>
    <m/>
    <m/>
  </r>
  <r>
    <x v="340"/>
    <s v="5"/>
    <m/>
    <m/>
  </r>
  <r>
    <x v="340"/>
    <s v="6"/>
    <m/>
    <m/>
  </r>
  <r>
    <x v="340"/>
    <s v="7"/>
    <m/>
    <m/>
  </r>
  <r>
    <x v="340"/>
    <s v="8"/>
    <m/>
    <m/>
  </r>
  <r>
    <x v="340"/>
    <s v="9"/>
    <m/>
    <m/>
  </r>
  <r>
    <x v="340"/>
    <s v="10"/>
    <m/>
    <m/>
  </r>
  <r>
    <x v="340"/>
    <s v="11"/>
    <m/>
    <m/>
  </r>
  <r>
    <x v="340"/>
    <s v="12"/>
    <m/>
    <m/>
  </r>
  <r>
    <x v="340"/>
    <s v="13"/>
    <m/>
    <m/>
  </r>
  <r>
    <x v="340"/>
    <s v="14"/>
    <m/>
    <m/>
  </r>
  <r>
    <x v="340"/>
    <s v="15"/>
    <m/>
    <m/>
  </r>
  <r>
    <x v="340"/>
    <s v="16"/>
    <m/>
    <m/>
  </r>
  <r>
    <x v="340"/>
    <s v="17"/>
    <m/>
    <m/>
  </r>
  <r>
    <x v="340"/>
    <s v="18"/>
    <m/>
    <m/>
  </r>
  <r>
    <x v="340"/>
    <s v="19"/>
    <m/>
    <m/>
  </r>
  <r>
    <x v="340"/>
    <s v="20"/>
    <m/>
    <m/>
  </r>
  <r>
    <x v="340"/>
    <s v="21"/>
    <m/>
    <m/>
  </r>
  <r>
    <x v="340"/>
    <s v="22"/>
    <m/>
    <m/>
  </r>
  <r>
    <x v="340"/>
    <s v="23"/>
    <m/>
    <m/>
  </r>
  <r>
    <x v="341"/>
    <s v="0"/>
    <m/>
    <m/>
  </r>
  <r>
    <x v="341"/>
    <s v="1"/>
    <m/>
    <m/>
  </r>
  <r>
    <x v="341"/>
    <s v="2"/>
    <m/>
    <m/>
  </r>
  <r>
    <x v="341"/>
    <s v="3"/>
    <m/>
    <m/>
  </r>
  <r>
    <x v="341"/>
    <s v="4"/>
    <m/>
    <m/>
  </r>
  <r>
    <x v="341"/>
    <s v="5"/>
    <m/>
    <m/>
  </r>
  <r>
    <x v="341"/>
    <s v="6"/>
    <m/>
    <m/>
  </r>
  <r>
    <x v="341"/>
    <s v="7"/>
    <m/>
    <m/>
  </r>
  <r>
    <x v="341"/>
    <s v="8"/>
    <m/>
    <m/>
  </r>
  <r>
    <x v="341"/>
    <s v="9"/>
    <m/>
    <m/>
  </r>
  <r>
    <x v="341"/>
    <s v="10"/>
    <m/>
    <m/>
  </r>
  <r>
    <x v="341"/>
    <s v="11"/>
    <m/>
    <m/>
  </r>
  <r>
    <x v="341"/>
    <s v="12"/>
    <m/>
    <m/>
  </r>
  <r>
    <x v="341"/>
    <s v="13"/>
    <m/>
    <m/>
  </r>
  <r>
    <x v="341"/>
    <s v="14"/>
    <m/>
    <m/>
  </r>
  <r>
    <x v="341"/>
    <s v="15"/>
    <m/>
    <m/>
  </r>
  <r>
    <x v="341"/>
    <s v="16"/>
    <m/>
    <m/>
  </r>
  <r>
    <x v="341"/>
    <s v="17"/>
    <m/>
    <m/>
  </r>
  <r>
    <x v="341"/>
    <s v="18"/>
    <m/>
    <m/>
  </r>
  <r>
    <x v="341"/>
    <s v="19"/>
    <m/>
    <m/>
  </r>
  <r>
    <x v="341"/>
    <s v="20"/>
    <m/>
    <m/>
  </r>
  <r>
    <x v="341"/>
    <s v="21"/>
    <m/>
    <m/>
  </r>
  <r>
    <x v="341"/>
    <s v="22"/>
    <m/>
    <m/>
  </r>
  <r>
    <x v="341"/>
    <s v="23"/>
    <m/>
    <m/>
  </r>
  <r>
    <x v="342"/>
    <s v="0"/>
    <m/>
    <m/>
  </r>
  <r>
    <x v="342"/>
    <s v="1"/>
    <m/>
    <m/>
  </r>
  <r>
    <x v="342"/>
    <s v="2"/>
    <m/>
    <m/>
  </r>
  <r>
    <x v="342"/>
    <s v="3"/>
    <m/>
    <m/>
  </r>
  <r>
    <x v="342"/>
    <s v="4"/>
    <m/>
    <m/>
  </r>
  <r>
    <x v="342"/>
    <s v="5"/>
    <m/>
    <m/>
  </r>
  <r>
    <x v="342"/>
    <s v="6"/>
    <m/>
    <m/>
  </r>
  <r>
    <x v="342"/>
    <s v="7"/>
    <m/>
    <m/>
  </r>
  <r>
    <x v="342"/>
    <s v="8"/>
    <m/>
    <m/>
  </r>
  <r>
    <x v="342"/>
    <s v="9"/>
    <m/>
    <m/>
  </r>
  <r>
    <x v="342"/>
    <s v="10"/>
    <m/>
    <m/>
  </r>
  <r>
    <x v="342"/>
    <s v="11"/>
    <m/>
    <m/>
  </r>
  <r>
    <x v="342"/>
    <s v="12"/>
    <m/>
    <m/>
  </r>
  <r>
    <x v="342"/>
    <s v="13"/>
    <m/>
    <m/>
  </r>
  <r>
    <x v="342"/>
    <s v="14"/>
    <m/>
    <m/>
  </r>
  <r>
    <x v="342"/>
    <s v="15"/>
    <m/>
    <m/>
  </r>
  <r>
    <x v="342"/>
    <s v="16"/>
    <m/>
    <m/>
  </r>
  <r>
    <x v="342"/>
    <s v="17"/>
    <m/>
    <m/>
  </r>
  <r>
    <x v="342"/>
    <s v="18"/>
    <m/>
    <m/>
  </r>
  <r>
    <x v="342"/>
    <s v="19"/>
    <m/>
    <m/>
  </r>
  <r>
    <x v="342"/>
    <s v="20"/>
    <m/>
    <m/>
  </r>
  <r>
    <x v="342"/>
    <s v="21"/>
    <m/>
    <m/>
  </r>
  <r>
    <x v="342"/>
    <s v="22"/>
    <m/>
    <m/>
  </r>
  <r>
    <x v="342"/>
    <s v="23"/>
    <m/>
    <m/>
  </r>
  <r>
    <x v="343"/>
    <s v="0"/>
    <m/>
    <m/>
  </r>
  <r>
    <x v="343"/>
    <s v="1"/>
    <m/>
    <m/>
  </r>
  <r>
    <x v="343"/>
    <s v="2"/>
    <m/>
    <m/>
  </r>
  <r>
    <x v="343"/>
    <s v="3"/>
    <m/>
    <m/>
  </r>
  <r>
    <x v="343"/>
    <s v="4"/>
    <m/>
    <m/>
  </r>
  <r>
    <x v="343"/>
    <s v="5"/>
    <m/>
    <m/>
  </r>
  <r>
    <x v="343"/>
    <s v="6"/>
    <m/>
    <m/>
  </r>
  <r>
    <x v="343"/>
    <s v="7"/>
    <m/>
    <m/>
  </r>
  <r>
    <x v="343"/>
    <s v="8"/>
    <m/>
    <m/>
  </r>
  <r>
    <x v="343"/>
    <s v="9"/>
    <m/>
    <m/>
  </r>
  <r>
    <x v="343"/>
    <s v="10"/>
    <m/>
    <m/>
  </r>
  <r>
    <x v="343"/>
    <s v="11"/>
    <m/>
    <m/>
  </r>
  <r>
    <x v="343"/>
    <s v="12"/>
    <m/>
    <m/>
  </r>
  <r>
    <x v="343"/>
    <s v="13"/>
    <m/>
    <m/>
  </r>
  <r>
    <x v="343"/>
    <s v="14"/>
    <m/>
    <m/>
  </r>
  <r>
    <x v="343"/>
    <s v="15"/>
    <m/>
    <m/>
  </r>
  <r>
    <x v="343"/>
    <s v="16"/>
    <m/>
    <m/>
  </r>
  <r>
    <x v="343"/>
    <s v="17"/>
    <m/>
    <m/>
  </r>
  <r>
    <x v="343"/>
    <s v="18"/>
    <m/>
    <m/>
  </r>
  <r>
    <x v="343"/>
    <s v="19"/>
    <m/>
    <m/>
  </r>
  <r>
    <x v="343"/>
    <s v="20"/>
    <m/>
    <m/>
  </r>
  <r>
    <x v="343"/>
    <s v="21"/>
    <m/>
    <m/>
  </r>
  <r>
    <x v="343"/>
    <s v="22"/>
    <m/>
    <m/>
  </r>
  <r>
    <x v="343"/>
    <s v="23"/>
    <m/>
    <m/>
  </r>
  <r>
    <x v="344"/>
    <s v="0"/>
    <m/>
    <m/>
  </r>
  <r>
    <x v="344"/>
    <s v="1"/>
    <m/>
    <m/>
  </r>
  <r>
    <x v="344"/>
    <s v="2"/>
    <m/>
    <m/>
  </r>
  <r>
    <x v="344"/>
    <s v="3"/>
    <m/>
    <m/>
  </r>
  <r>
    <x v="344"/>
    <s v="4"/>
    <m/>
    <m/>
  </r>
  <r>
    <x v="344"/>
    <s v="5"/>
    <m/>
    <m/>
  </r>
  <r>
    <x v="344"/>
    <s v="6"/>
    <m/>
    <m/>
  </r>
  <r>
    <x v="344"/>
    <s v="7"/>
    <m/>
    <m/>
  </r>
  <r>
    <x v="344"/>
    <s v="8"/>
    <m/>
    <m/>
  </r>
  <r>
    <x v="344"/>
    <s v="9"/>
    <m/>
    <m/>
  </r>
  <r>
    <x v="344"/>
    <s v="10"/>
    <m/>
    <m/>
  </r>
  <r>
    <x v="344"/>
    <s v="11"/>
    <m/>
    <m/>
  </r>
  <r>
    <x v="344"/>
    <s v="12"/>
    <m/>
    <m/>
  </r>
  <r>
    <x v="344"/>
    <s v="13"/>
    <m/>
    <m/>
  </r>
  <r>
    <x v="344"/>
    <s v="14"/>
    <m/>
    <m/>
  </r>
  <r>
    <x v="344"/>
    <s v="15"/>
    <m/>
    <m/>
  </r>
  <r>
    <x v="344"/>
    <s v="16"/>
    <m/>
    <m/>
  </r>
  <r>
    <x v="344"/>
    <s v="17"/>
    <m/>
    <m/>
  </r>
  <r>
    <x v="344"/>
    <s v="18"/>
    <m/>
    <m/>
  </r>
  <r>
    <x v="344"/>
    <s v="19"/>
    <m/>
    <m/>
  </r>
  <r>
    <x v="344"/>
    <s v="20"/>
    <m/>
    <m/>
  </r>
  <r>
    <x v="344"/>
    <s v="21"/>
    <m/>
    <m/>
  </r>
  <r>
    <x v="344"/>
    <s v="22"/>
    <m/>
    <m/>
  </r>
  <r>
    <x v="344"/>
    <s v="23"/>
    <m/>
    <m/>
  </r>
  <r>
    <x v="345"/>
    <s v="0"/>
    <m/>
    <m/>
  </r>
  <r>
    <x v="345"/>
    <s v="1"/>
    <m/>
    <m/>
  </r>
  <r>
    <x v="345"/>
    <s v="2"/>
    <m/>
    <m/>
  </r>
  <r>
    <x v="345"/>
    <s v="3"/>
    <m/>
    <m/>
  </r>
  <r>
    <x v="345"/>
    <s v="4"/>
    <m/>
    <m/>
  </r>
  <r>
    <x v="345"/>
    <s v="5"/>
    <m/>
    <m/>
  </r>
  <r>
    <x v="345"/>
    <s v="6"/>
    <m/>
    <m/>
  </r>
  <r>
    <x v="345"/>
    <s v="7"/>
    <m/>
    <m/>
  </r>
  <r>
    <x v="345"/>
    <s v="8"/>
    <m/>
    <m/>
  </r>
  <r>
    <x v="345"/>
    <s v="9"/>
    <m/>
    <m/>
  </r>
  <r>
    <x v="345"/>
    <s v="10"/>
    <m/>
    <m/>
  </r>
  <r>
    <x v="345"/>
    <s v="11"/>
    <m/>
    <m/>
  </r>
  <r>
    <x v="345"/>
    <s v="12"/>
    <m/>
    <m/>
  </r>
  <r>
    <x v="345"/>
    <s v="13"/>
    <m/>
    <m/>
  </r>
  <r>
    <x v="345"/>
    <s v="14"/>
    <m/>
    <m/>
  </r>
  <r>
    <x v="345"/>
    <s v="15"/>
    <m/>
    <m/>
  </r>
  <r>
    <x v="345"/>
    <s v="16"/>
    <m/>
    <m/>
  </r>
  <r>
    <x v="345"/>
    <s v="17"/>
    <m/>
    <m/>
  </r>
  <r>
    <x v="345"/>
    <s v="18"/>
    <m/>
    <m/>
  </r>
  <r>
    <x v="345"/>
    <s v="19"/>
    <m/>
    <m/>
  </r>
  <r>
    <x v="345"/>
    <s v="20"/>
    <m/>
    <m/>
  </r>
  <r>
    <x v="345"/>
    <s v="21"/>
    <m/>
    <m/>
  </r>
  <r>
    <x v="345"/>
    <s v="22"/>
    <m/>
    <m/>
  </r>
  <r>
    <x v="345"/>
    <s v="23"/>
    <m/>
    <m/>
  </r>
  <r>
    <x v="346"/>
    <s v="0"/>
    <m/>
    <m/>
  </r>
  <r>
    <x v="346"/>
    <s v="1"/>
    <m/>
    <m/>
  </r>
  <r>
    <x v="346"/>
    <s v="2"/>
    <m/>
    <m/>
  </r>
  <r>
    <x v="346"/>
    <s v="3"/>
    <m/>
    <m/>
  </r>
  <r>
    <x v="346"/>
    <s v="4"/>
    <m/>
    <m/>
  </r>
  <r>
    <x v="346"/>
    <s v="5"/>
    <m/>
    <m/>
  </r>
  <r>
    <x v="346"/>
    <s v="6"/>
    <m/>
    <m/>
  </r>
  <r>
    <x v="346"/>
    <s v="7"/>
    <m/>
    <m/>
  </r>
  <r>
    <x v="346"/>
    <s v="8"/>
    <m/>
    <m/>
  </r>
  <r>
    <x v="346"/>
    <s v="9"/>
    <m/>
    <m/>
  </r>
  <r>
    <x v="346"/>
    <s v="10"/>
    <m/>
    <m/>
  </r>
  <r>
    <x v="346"/>
    <s v="11"/>
    <m/>
    <m/>
  </r>
  <r>
    <x v="346"/>
    <s v="12"/>
    <m/>
    <m/>
  </r>
  <r>
    <x v="346"/>
    <s v="13"/>
    <m/>
    <m/>
  </r>
  <r>
    <x v="346"/>
    <s v="14"/>
    <m/>
    <m/>
  </r>
  <r>
    <x v="346"/>
    <s v="15"/>
    <m/>
    <m/>
  </r>
  <r>
    <x v="346"/>
    <s v="16"/>
    <m/>
    <m/>
  </r>
  <r>
    <x v="346"/>
    <s v="17"/>
    <m/>
    <m/>
  </r>
  <r>
    <x v="346"/>
    <s v="18"/>
    <m/>
    <m/>
  </r>
  <r>
    <x v="346"/>
    <s v="19"/>
    <m/>
    <m/>
  </r>
  <r>
    <x v="346"/>
    <s v="20"/>
    <m/>
    <m/>
  </r>
  <r>
    <x v="346"/>
    <s v="21"/>
    <m/>
    <m/>
  </r>
  <r>
    <x v="346"/>
    <s v="22"/>
    <m/>
    <m/>
  </r>
  <r>
    <x v="346"/>
    <s v="23"/>
    <m/>
    <m/>
  </r>
  <r>
    <x v="347"/>
    <s v="0"/>
    <m/>
    <m/>
  </r>
  <r>
    <x v="347"/>
    <s v="1"/>
    <m/>
    <m/>
  </r>
  <r>
    <x v="347"/>
    <s v="2"/>
    <m/>
    <m/>
  </r>
  <r>
    <x v="347"/>
    <s v="3"/>
    <m/>
    <m/>
  </r>
  <r>
    <x v="347"/>
    <s v="4"/>
    <m/>
    <m/>
  </r>
  <r>
    <x v="347"/>
    <s v="5"/>
    <m/>
    <m/>
  </r>
  <r>
    <x v="347"/>
    <s v="6"/>
    <m/>
    <m/>
  </r>
  <r>
    <x v="347"/>
    <s v="7"/>
    <m/>
    <m/>
  </r>
  <r>
    <x v="347"/>
    <s v="8"/>
    <m/>
    <m/>
  </r>
  <r>
    <x v="347"/>
    <s v="9"/>
    <m/>
    <m/>
  </r>
  <r>
    <x v="347"/>
    <s v="10"/>
    <m/>
    <m/>
  </r>
  <r>
    <x v="347"/>
    <s v="11"/>
    <m/>
    <m/>
  </r>
  <r>
    <x v="347"/>
    <s v="12"/>
    <m/>
    <m/>
  </r>
  <r>
    <x v="347"/>
    <s v="13"/>
    <m/>
    <m/>
  </r>
  <r>
    <x v="347"/>
    <s v="14"/>
    <m/>
    <m/>
  </r>
  <r>
    <x v="347"/>
    <s v="15"/>
    <m/>
    <m/>
  </r>
  <r>
    <x v="347"/>
    <s v="16"/>
    <m/>
    <m/>
  </r>
  <r>
    <x v="347"/>
    <s v="17"/>
    <m/>
    <m/>
  </r>
  <r>
    <x v="347"/>
    <s v="18"/>
    <m/>
    <m/>
  </r>
  <r>
    <x v="347"/>
    <s v="19"/>
    <m/>
    <m/>
  </r>
  <r>
    <x v="347"/>
    <s v="20"/>
    <m/>
    <m/>
  </r>
  <r>
    <x v="347"/>
    <s v="21"/>
    <m/>
    <m/>
  </r>
  <r>
    <x v="347"/>
    <s v="22"/>
    <m/>
    <m/>
  </r>
  <r>
    <x v="347"/>
    <s v="23"/>
    <m/>
    <m/>
  </r>
  <r>
    <x v="348"/>
    <s v="0"/>
    <m/>
    <m/>
  </r>
  <r>
    <x v="348"/>
    <s v="1"/>
    <m/>
    <m/>
  </r>
  <r>
    <x v="348"/>
    <s v="2"/>
    <m/>
    <m/>
  </r>
  <r>
    <x v="348"/>
    <s v="3"/>
    <m/>
    <m/>
  </r>
  <r>
    <x v="348"/>
    <s v="4"/>
    <m/>
    <m/>
  </r>
  <r>
    <x v="348"/>
    <s v="5"/>
    <m/>
    <m/>
  </r>
  <r>
    <x v="348"/>
    <s v="6"/>
    <m/>
    <m/>
  </r>
  <r>
    <x v="348"/>
    <s v="7"/>
    <m/>
    <m/>
  </r>
  <r>
    <x v="348"/>
    <s v="8"/>
    <m/>
    <m/>
  </r>
  <r>
    <x v="348"/>
    <s v="9"/>
    <m/>
    <m/>
  </r>
  <r>
    <x v="348"/>
    <s v="10"/>
    <m/>
    <m/>
  </r>
  <r>
    <x v="348"/>
    <s v="11"/>
    <m/>
    <m/>
  </r>
  <r>
    <x v="348"/>
    <s v="12"/>
    <m/>
    <m/>
  </r>
  <r>
    <x v="348"/>
    <s v="13"/>
    <m/>
    <m/>
  </r>
  <r>
    <x v="348"/>
    <s v="14"/>
    <m/>
    <m/>
  </r>
  <r>
    <x v="348"/>
    <s v="15"/>
    <m/>
    <m/>
  </r>
  <r>
    <x v="348"/>
    <s v="16"/>
    <m/>
    <m/>
  </r>
  <r>
    <x v="348"/>
    <s v="17"/>
    <m/>
    <m/>
  </r>
  <r>
    <x v="348"/>
    <s v="18"/>
    <m/>
    <m/>
  </r>
  <r>
    <x v="348"/>
    <s v="19"/>
    <m/>
    <m/>
  </r>
  <r>
    <x v="348"/>
    <s v="20"/>
    <m/>
    <m/>
  </r>
  <r>
    <x v="348"/>
    <s v="21"/>
    <m/>
    <m/>
  </r>
  <r>
    <x v="348"/>
    <s v="22"/>
    <m/>
    <m/>
  </r>
  <r>
    <x v="348"/>
    <s v="23"/>
    <m/>
    <m/>
  </r>
  <r>
    <x v="349"/>
    <s v="0"/>
    <m/>
    <m/>
  </r>
  <r>
    <x v="349"/>
    <s v="1"/>
    <m/>
    <m/>
  </r>
  <r>
    <x v="349"/>
    <s v="2"/>
    <m/>
    <m/>
  </r>
  <r>
    <x v="349"/>
    <s v="3"/>
    <m/>
    <m/>
  </r>
  <r>
    <x v="349"/>
    <s v="4"/>
    <m/>
    <m/>
  </r>
  <r>
    <x v="349"/>
    <s v="5"/>
    <m/>
    <m/>
  </r>
  <r>
    <x v="349"/>
    <s v="6"/>
    <m/>
    <m/>
  </r>
  <r>
    <x v="349"/>
    <s v="7"/>
    <m/>
    <m/>
  </r>
  <r>
    <x v="349"/>
    <s v="8"/>
    <m/>
    <m/>
  </r>
  <r>
    <x v="349"/>
    <s v="9"/>
    <m/>
    <m/>
  </r>
  <r>
    <x v="349"/>
    <s v="10"/>
    <m/>
    <m/>
  </r>
  <r>
    <x v="349"/>
    <s v="11"/>
    <m/>
    <m/>
  </r>
  <r>
    <x v="349"/>
    <s v="12"/>
    <m/>
    <m/>
  </r>
  <r>
    <x v="349"/>
    <s v="13"/>
    <m/>
    <m/>
  </r>
  <r>
    <x v="349"/>
    <s v="14"/>
    <m/>
    <m/>
  </r>
  <r>
    <x v="349"/>
    <s v="15"/>
    <m/>
    <m/>
  </r>
  <r>
    <x v="349"/>
    <s v="16"/>
    <m/>
    <m/>
  </r>
  <r>
    <x v="349"/>
    <s v="17"/>
    <m/>
    <m/>
  </r>
  <r>
    <x v="349"/>
    <s v="18"/>
    <m/>
    <m/>
  </r>
  <r>
    <x v="349"/>
    <s v="19"/>
    <m/>
    <m/>
  </r>
  <r>
    <x v="349"/>
    <s v="20"/>
    <m/>
    <m/>
  </r>
  <r>
    <x v="349"/>
    <s v="21"/>
    <m/>
    <m/>
  </r>
  <r>
    <x v="349"/>
    <s v="22"/>
    <m/>
    <m/>
  </r>
  <r>
    <x v="349"/>
    <s v="23"/>
    <m/>
    <m/>
  </r>
  <r>
    <x v="350"/>
    <s v="0"/>
    <m/>
    <m/>
  </r>
  <r>
    <x v="350"/>
    <s v="1"/>
    <m/>
    <m/>
  </r>
  <r>
    <x v="350"/>
    <s v="2"/>
    <m/>
    <m/>
  </r>
  <r>
    <x v="350"/>
    <s v="3"/>
    <m/>
    <m/>
  </r>
  <r>
    <x v="350"/>
    <s v="4"/>
    <m/>
    <m/>
  </r>
  <r>
    <x v="350"/>
    <s v="5"/>
    <m/>
    <m/>
  </r>
  <r>
    <x v="350"/>
    <s v="6"/>
    <m/>
    <m/>
  </r>
  <r>
    <x v="350"/>
    <s v="7"/>
    <m/>
    <m/>
  </r>
  <r>
    <x v="350"/>
    <s v="8"/>
    <m/>
    <m/>
  </r>
  <r>
    <x v="350"/>
    <s v="9"/>
    <m/>
    <m/>
  </r>
  <r>
    <x v="350"/>
    <s v="10"/>
    <m/>
    <m/>
  </r>
  <r>
    <x v="350"/>
    <s v="11"/>
    <m/>
    <m/>
  </r>
  <r>
    <x v="350"/>
    <s v="12"/>
    <m/>
    <m/>
  </r>
  <r>
    <x v="350"/>
    <s v="13"/>
    <m/>
    <m/>
  </r>
  <r>
    <x v="350"/>
    <s v="14"/>
    <m/>
    <m/>
  </r>
  <r>
    <x v="350"/>
    <s v="15"/>
    <m/>
    <m/>
  </r>
  <r>
    <x v="350"/>
    <s v="16"/>
    <m/>
    <m/>
  </r>
  <r>
    <x v="350"/>
    <s v="17"/>
    <m/>
    <m/>
  </r>
  <r>
    <x v="350"/>
    <s v="18"/>
    <m/>
    <m/>
  </r>
  <r>
    <x v="350"/>
    <s v="19"/>
    <m/>
    <m/>
  </r>
  <r>
    <x v="350"/>
    <s v="20"/>
    <m/>
    <m/>
  </r>
  <r>
    <x v="350"/>
    <s v="21"/>
    <m/>
    <m/>
  </r>
  <r>
    <x v="350"/>
    <s v="22"/>
    <m/>
    <m/>
  </r>
  <r>
    <x v="350"/>
    <s v="23"/>
    <m/>
    <m/>
  </r>
  <r>
    <x v="351"/>
    <s v="0"/>
    <m/>
    <m/>
  </r>
  <r>
    <x v="351"/>
    <s v="1"/>
    <m/>
    <m/>
  </r>
  <r>
    <x v="351"/>
    <s v="2"/>
    <m/>
    <m/>
  </r>
  <r>
    <x v="351"/>
    <s v="3"/>
    <m/>
    <m/>
  </r>
  <r>
    <x v="351"/>
    <s v="4"/>
    <m/>
    <m/>
  </r>
  <r>
    <x v="351"/>
    <s v="5"/>
    <m/>
    <m/>
  </r>
  <r>
    <x v="351"/>
    <s v="6"/>
    <m/>
    <m/>
  </r>
  <r>
    <x v="351"/>
    <s v="7"/>
    <m/>
    <m/>
  </r>
  <r>
    <x v="351"/>
    <s v="8"/>
    <m/>
    <m/>
  </r>
  <r>
    <x v="351"/>
    <s v="9"/>
    <m/>
    <m/>
  </r>
  <r>
    <x v="351"/>
    <s v="10"/>
    <m/>
    <m/>
  </r>
  <r>
    <x v="351"/>
    <s v="11"/>
    <m/>
    <m/>
  </r>
  <r>
    <x v="351"/>
    <s v="12"/>
    <m/>
    <m/>
  </r>
  <r>
    <x v="351"/>
    <s v="13"/>
    <m/>
    <m/>
  </r>
  <r>
    <x v="351"/>
    <s v="14"/>
    <m/>
    <m/>
  </r>
  <r>
    <x v="351"/>
    <s v="15"/>
    <m/>
    <m/>
  </r>
  <r>
    <x v="351"/>
    <s v="16"/>
    <m/>
    <m/>
  </r>
  <r>
    <x v="351"/>
    <s v="17"/>
    <m/>
    <m/>
  </r>
  <r>
    <x v="351"/>
    <s v="18"/>
    <m/>
    <m/>
  </r>
  <r>
    <x v="351"/>
    <s v="19"/>
    <m/>
    <m/>
  </r>
  <r>
    <x v="351"/>
    <s v="20"/>
    <m/>
    <m/>
  </r>
  <r>
    <x v="351"/>
    <s v="21"/>
    <m/>
    <m/>
  </r>
  <r>
    <x v="351"/>
    <s v="22"/>
    <m/>
    <m/>
  </r>
  <r>
    <x v="351"/>
    <s v="23"/>
    <m/>
    <m/>
  </r>
  <r>
    <x v="352"/>
    <s v="0"/>
    <m/>
    <m/>
  </r>
  <r>
    <x v="352"/>
    <s v="1"/>
    <m/>
    <m/>
  </r>
  <r>
    <x v="352"/>
    <s v="2"/>
    <m/>
    <m/>
  </r>
  <r>
    <x v="352"/>
    <s v="3"/>
    <m/>
    <m/>
  </r>
  <r>
    <x v="352"/>
    <s v="4"/>
    <m/>
    <m/>
  </r>
  <r>
    <x v="352"/>
    <s v="5"/>
    <m/>
    <m/>
  </r>
  <r>
    <x v="352"/>
    <s v="6"/>
    <m/>
    <m/>
  </r>
  <r>
    <x v="352"/>
    <s v="7"/>
    <m/>
    <m/>
  </r>
  <r>
    <x v="352"/>
    <s v="8"/>
    <m/>
    <m/>
  </r>
  <r>
    <x v="352"/>
    <s v="9"/>
    <m/>
    <m/>
  </r>
  <r>
    <x v="352"/>
    <s v="10"/>
    <m/>
    <m/>
  </r>
  <r>
    <x v="352"/>
    <s v="11"/>
    <m/>
    <m/>
  </r>
  <r>
    <x v="352"/>
    <s v="12"/>
    <m/>
    <m/>
  </r>
  <r>
    <x v="352"/>
    <s v="13"/>
    <m/>
    <m/>
  </r>
  <r>
    <x v="352"/>
    <s v="14"/>
    <m/>
    <m/>
  </r>
  <r>
    <x v="352"/>
    <s v="15"/>
    <m/>
    <m/>
  </r>
  <r>
    <x v="352"/>
    <s v="16"/>
    <m/>
    <m/>
  </r>
  <r>
    <x v="352"/>
    <s v="17"/>
    <m/>
    <m/>
  </r>
  <r>
    <x v="352"/>
    <s v="18"/>
    <m/>
    <m/>
  </r>
  <r>
    <x v="352"/>
    <s v="19"/>
    <m/>
    <m/>
  </r>
  <r>
    <x v="352"/>
    <s v="20"/>
    <m/>
    <m/>
  </r>
  <r>
    <x v="352"/>
    <s v="21"/>
    <m/>
    <m/>
  </r>
  <r>
    <x v="352"/>
    <s v="22"/>
    <m/>
    <m/>
  </r>
  <r>
    <x v="352"/>
    <s v="23"/>
    <m/>
    <m/>
  </r>
  <r>
    <x v="353"/>
    <s v="0"/>
    <m/>
    <m/>
  </r>
  <r>
    <x v="353"/>
    <s v="1"/>
    <m/>
    <m/>
  </r>
  <r>
    <x v="353"/>
    <s v="2"/>
    <m/>
    <m/>
  </r>
  <r>
    <x v="353"/>
    <s v="3"/>
    <m/>
    <m/>
  </r>
  <r>
    <x v="353"/>
    <s v="4"/>
    <m/>
    <m/>
  </r>
  <r>
    <x v="353"/>
    <s v="5"/>
    <m/>
    <m/>
  </r>
  <r>
    <x v="353"/>
    <s v="6"/>
    <m/>
    <m/>
  </r>
  <r>
    <x v="353"/>
    <s v="7"/>
    <m/>
    <m/>
  </r>
  <r>
    <x v="353"/>
    <s v="8"/>
    <m/>
    <m/>
  </r>
  <r>
    <x v="353"/>
    <s v="9"/>
    <m/>
    <m/>
  </r>
  <r>
    <x v="353"/>
    <s v="10"/>
    <m/>
    <m/>
  </r>
  <r>
    <x v="353"/>
    <s v="11"/>
    <m/>
    <m/>
  </r>
  <r>
    <x v="353"/>
    <s v="12"/>
    <m/>
    <m/>
  </r>
  <r>
    <x v="353"/>
    <s v="13"/>
    <m/>
    <m/>
  </r>
  <r>
    <x v="353"/>
    <s v="14"/>
    <m/>
    <m/>
  </r>
  <r>
    <x v="353"/>
    <s v="15"/>
    <m/>
    <m/>
  </r>
  <r>
    <x v="353"/>
    <s v="16"/>
    <m/>
    <m/>
  </r>
  <r>
    <x v="353"/>
    <s v="17"/>
    <m/>
    <m/>
  </r>
  <r>
    <x v="353"/>
    <s v="18"/>
    <m/>
    <m/>
  </r>
  <r>
    <x v="353"/>
    <s v="19"/>
    <m/>
    <m/>
  </r>
  <r>
    <x v="353"/>
    <s v="20"/>
    <m/>
    <m/>
  </r>
  <r>
    <x v="353"/>
    <s v="21"/>
    <m/>
    <m/>
  </r>
  <r>
    <x v="353"/>
    <s v="22"/>
    <m/>
    <m/>
  </r>
  <r>
    <x v="353"/>
    <s v="23"/>
    <m/>
    <m/>
  </r>
  <r>
    <x v="354"/>
    <s v="0"/>
    <m/>
    <m/>
  </r>
  <r>
    <x v="354"/>
    <s v="1"/>
    <m/>
    <m/>
  </r>
  <r>
    <x v="354"/>
    <s v="2"/>
    <m/>
    <m/>
  </r>
  <r>
    <x v="354"/>
    <s v="3"/>
    <m/>
    <m/>
  </r>
  <r>
    <x v="354"/>
    <s v="4"/>
    <m/>
    <m/>
  </r>
  <r>
    <x v="354"/>
    <s v="5"/>
    <m/>
    <m/>
  </r>
  <r>
    <x v="354"/>
    <s v="6"/>
    <m/>
    <m/>
  </r>
  <r>
    <x v="354"/>
    <s v="7"/>
    <m/>
    <m/>
  </r>
  <r>
    <x v="354"/>
    <s v="8"/>
    <m/>
    <m/>
  </r>
  <r>
    <x v="354"/>
    <s v="9"/>
    <m/>
    <m/>
  </r>
  <r>
    <x v="354"/>
    <s v="10"/>
    <m/>
    <m/>
  </r>
  <r>
    <x v="354"/>
    <s v="11"/>
    <m/>
    <m/>
  </r>
  <r>
    <x v="354"/>
    <s v="12"/>
    <m/>
    <m/>
  </r>
  <r>
    <x v="354"/>
    <s v="13"/>
    <m/>
    <m/>
  </r>
  <r>
    <x v="354"/>
    <s v="14"/>
    <m/>
    <m/>
  </r>
  <r>
    <x v="354"/>
    <s v="15"/>
    <m/>
    <m/>
  </r>
  <r>
    <x v="354"/>
    <s v="16"/>
    <m/>
    <m/>
  </r>
  <r>
    <x v="354"/>
    <s v="17"/>
    <m/>
    <m/>
  </r>
  <r>
    <x v="354"/>
    <s v="18"/>
    <m/>
    <m/>
  </r>
  <r>
    <x v="354"/>
    <s v="19"/>
    <m/>
    <m/>
  </r>
  <r>
    <x v="354"/>
    <s v="20"/>
    <m/>
    <m/>
  </r>
  <r>
    <x v="354"/>
    <s v="21"/>
    <m/>
    <m/>
  </r>
  <r>
    <x v="354"/>
    <s v="22"/>
    <m/>
    <m/>
  </r>
  <r>
    <x v="354"/>
    <s v="23"/>
    <m/>
    <m/>
  </r>
  <r>
    <x v="355"/>
    <s v="0"/>
    <m/>
    <m/>
  </r>
  <r>
    <x v="355"/>
    <s v="1"/>
    <m/>
    <m/>
  </r>
  <r>
    <x v="355"/>
    <s v="2"/>
    <m/>
    <m/>
  </r>
  <r>
    <x v="355"/>
    <s v="3"/>
    <m/>
    <m/>
  </r>
  <r>
    <x v="355"/>
    <s v="4"/>
    <m/>
    <m/>
  </r>
  <r>
    <x v="355"/>
    <s v="5"/>
    <m/>
    <m/>
  </r>
  <r>
    <x v="355"/>
    <s v="6"/>
    <m/>
    <m/>
  </r>
  <r>
    <x v="355"/>
    <s v="7"/>
    <m/>
    <m/>
  </r>
  <r>
    <x v="355"/>
    <s v="8"/>
    <m/>
    <m/>
  </r>
  <r>
    <x v="355"/>
    <s v="9"/>
    <m/>
    <m/>
  </r>
  <r>
    <x v="355"/>
    <s v="10"/>
    <m/>
    <m/>
  </r>
  <r>
    <x v="355"/>
    <s v="11"/>
    <m/>
    <m/>
  </r>
  <r>
    <x v="355"/>
    <s v="12"/>
    <m/>
    <m/>
  </r>
  <r>
    <x v="355"/>
    <s v="13"/>
    <m/>
    <m/>
  </r>
  <r>
    <x v="355"/>
    <s v="14"/>
    <m/>
    <m/>
  </r>
  <r>
    <x v="355"/>
    <s v="15"/>
    <m/>
    <m/>
  </r>
  <r>
    <x v="355"/>
    <s v="16"/>
    <m/>
    <m/>
  </r>
  <r>
    <x v="355"/>
    <s v="17"/>
    <m/>
    <m/>
  </r>
  <r>
    <x v="355"/>
    <s v="18"/>
    <m/>
    <m/>
  </r>
  <r>
    <x v="355"/>
    <s v="19"/>
    <m/>
    <m/>
  </r>
  <r>
    <x v="355"/>
    <s v="20"/>
    <m/>
    <m/>
  </r>
  <r>
    <x v="355"/>
    <s v="21"/>
    <m/>
    <m/>
  </r>
  <r>
    <x v="355"/>
    <s v="22"/>
    <m/>
    <m/>
  </r>
  <r>
    <x v="355"/>
    <s v="23"/>
    <m/>
    <m/>
  </r>
  <r>
    <x v="356"/>
    <s v="0"/>
    <m/>
    <m/>
  </r>
  <r>
    <x v="356"/>
    <s v="1"/>
    <m/>
    <m/>
  </r>
  <r>
    <x v="356"/>
    <s v="2"/>
    <m/>
    <m/>
  </r>
  <r>
    <x v="356"/>
    <s v="3"/>
    <m/>
    <m/>
  </r>
  <r>
    <x v="356"/>
    <s v="4"/>
    <m/>
    <m/>
  </r>
  <r>
    <x v="356"/>
    <s v="5"/>
    <m/>
    <m/>
  </r>
  <r>
    <x v="356"/>
    <s v="6"/>
    <m/>
    <m/>
  </r>
  <r>
    <x v="356"/>
    <s v="7"/>
    <m/>
    <m/>
  </r>
  <r>
    <x v="356"/>
    <s v="8"/>
    <m/>
    <m/>
  </r>
  <r>
    <x v="356"/>
    <s v="9"/>
    <m/>
    <m/>
  </r>
  <r>
    <x v="356"/>
    <s v="10"/>
    <m/>
    <m/>
  </r>
  <r>
    <x v="356"/>
    <s v="11"/>
    <m/>
    <m/>
  </r>
  <r>
    <x v="356"/>
    <s v="12"/>
    <m/>
    <m/>
  </r>
  <r>
    <x v="356"/>
    <s v="13"/>
    <m/>
    <m/>
  </r>
  <r>
    <x v="356"/>
    <s v="14"/>
    <m/>
    <m/>
  </r>
  <r>
    <x v="356"/>
    <s v="15"/>
    <m/>
    <m/>
  </r>
  <r>
    <x v="356"/>
    <s v="16"/>
    <m/>
    <m/>
  </r>
  <r>
    <x v="356"/>
    <s v="17"/>
    <m/>
    <m/>
  </r>
  <r>
    <x v="356"/>
    <s v="18"/>
    <m/>
    <m/>
  </r>
  <r>
    <x v="356"/>
    <s v="19"/>
    <m/>
    <m/>
  </r>
  <r>
    <x v="356"/>
    <s v="20"/>
    <m/>
    <m/>
  </r>
  <r>
    <x v="356"/>
    <s v="21"/>
    <m/>
    <m/>
  </r>
  <r>
    <x v="356"/>
    <s v="22"/>
    <m/>
    <m/>
  </r>
  <r>
    <x v="356"/>
    <s v="23"/>
    <m/>
    <m/>
  </r>
  <r>
    <x v="357"/>
    <s v="0"/>
    <m/>
    <m/>
  </r>
  <r>
    <x v="357"/>
    <s v="1"/>
    <m/>
    <m/>
  </r>
  <r>
    <x v="357"/>
    <s v="2"/>
    <m/>
    <m/>
  </r>
  <r>
    <x v="357"/>
    <s v="3"/>
    <m/>
    <m/>
  </r>
  <r>
    <x v="357"/>
    <s v="4"/>
    <m/>
    <m/>
  </r>
  <r>
    <x v="357"/>
    <s v="5"/>
    <m/>
    <m/>
  </r>
  <r>
    <x v="357"/>
    <s v="6"/>
    <m/>
    <m/>
  </r>
  <r>
    <x v="357"/>
    <s v="7"/>
    <m/>
    <m/>
  </r>
  <r>
    <x v="357"/>
    <s v="8"/>
    <m/>
    <m/>
  </r>
  <r>
    <x v="357"/>
    <s v="9"/>
    <m/>
    <m/>
  </r>
  <r>
    <x v="357"/>
    <s v="10"/>
    <m/>
    <m/>
  </r>
  <r>
    <x v="357"/>
    <s v="11"/>
    <m/>
    <m/>
  </r>
  <r>
    <x v="357"/>
    <s v="12"/>
    <m/>
    <m/>
  </r>
  <r>
    <x v="357"/>
    <s v="13"/>
    <m/>
    <m/>
  </r>
  <r>
    <x v="357"/>
    <s v="14"/>
    <m/>
    <m/>
  </r>
  <r>
    <x v="357"/>
    <s v="15"/>
    <m/>
    <m/>
  </r>
  <r>
    <x v="357"/>
    <s v="16"/>
    <m/>
    <m/>
  </r>
  <r>
    <x v="357"/>
    <s v="17"/>
    <m/>
    <m/>
  </r>
  <r>
    <x v="357"/>
    <s v="18"/>
    <m/>
    <m/>
  </r>
  <r>
    <x v="357"/>
    <s v="19"/>
    <m/>
    <m/>
  </r>
  <r>
    <x v="357"/>
    <s v="20"/>
    <m/>
    <m/>
  </r>
  <r>
    <x v="357"/>
    <s v="21"/>
    <m/>
    <m/>
  </r>
  <r>
    <x v="357"/>
    <s v="22"/>
    <m/>
    <m/>
  </r>
  <r>
    <x v="357"/>
    <s v="23"/>
    <m/>
    <m/>
  </r>
  <r>
    <x v="358"/>
    <s v="0"/>
    <m/>
    <m/>
  </r>
  <r>
    <x v="358"/>
    <s v="1"/>
    <m/>
    <m/>
  </r>
  <r>
    <x v="358"/>
    <s v="2"/>
    <m/>
    <m/>
  </r>
  <r>
    <x v="358"/>
    <s v="3"/>
    <m/>
    <m/>
  </r>
  <r>
    <x v="358"/>
    <s v="4"/>
    <m/>
    <m/>
  </r>
  <r>
    <x v="358"/>
    <s v="5"/>
    <m/>
    <m/>
  </r>
  <r>
    <x v="358"/>
    <s v="6"/>
    <m/>
    <m/>
  </r>
  <r>
    <x v="358"/>
    <s v="7"/>
    <m/>
    <m/>
  </r>
  <r>
    <x v="358"/>
    <s v="8"/>
    <m/>
    <m/>
  </r>
  <r>
    <x v="358"/>
    <s v="9"/>
    <m/>
    <m/>
  </r>
  <r>
    <x v="358"/>
    <s v="10"/>
    <m/>
    <m/>
  </r>
  <r>
    <x v="358"/>
    <s v="11"/>
    <m/>
    <m/>
  </r>
  <r>
    <x v="358"/>
    <s v="12"/>
    <m/>
    <m/>
  </r>
  <r>
    <x v="358"/>
    <s v="13"/>
    <m/>
    <m/>
  </r>
  <r>
    <x v="358"/>
    <s v="14"/>
    <m/>
    <m/>
  </r>
  <r>
    <x v="358"/>
    <s v="15"/>
    <m/>
    <m/>
  </r>
  <r>
    <x v="358"/>
    <s v="16"/>
    <m/>
    <m/>
  </r>
  <r>
    <x v="358"/>
    <s v="17"/>
    <m/>
    <m/>
  </r>
  <r>
    <x v="358"/>
    <s v="18"/>
    <m/>
    <m/>
  </r>
  <r>
    <x v="358"/>
    <s v="19"/>
    <m/>
    <m/>
  </r>
  <r>
    <x v="358"/>
    <s v="20"/>
    <m/>
    <m/>
  </r>
  <r>
    <x v="358"/>
    <s v="21"/>
    <m/>
    <m/>
  </r>
  <r>
    <x v="358"/>
    <s v="22"/>
    <m/>
    <m/>
  </r>
  <r>
    <x v="358"/>
    <s v="23"/>
    <m/>
    <m/>
  </r>
  <r>
    <x v="359"/>
    <s v="0"/>
    <m/>
    <m/>
  </r>
  <r>
    <x v="359"/>
    <s v="1"/>
    <m/>
    <m/>
  </r>
  <r>
    <x v="359"/>
    <s v="2"/>
    <m/>
    <m/>
  </r>
  <r>
    <x v="359"/>
    <s v="3"/>
    <m/>
    <m/>
  </r>
  <r>
    <x v="359"/>
    <s v="4"/>
    <m/>
    <m/>
  </r>
  <r>
    <x v="359"/>
    <s v="5"/>
    <m/>
    <m/>
  </r>
  <r>
    <x v="359"/>
    <s v="6"/>
    <m/>
    <m/>
  </r>
  <r>
    <x v="359"/>
    <s v="7"/>
    <m/>
    <m/>
  </r>
  <r>
    <x v="359"/>
    <s v="8"/>
    <m/>
    <m/>
  </r>
  <r>
    <x v="359"/>
    <s v="9"/>
    <m/>
    <m/>
  </r>
  <r>
    <x v="359"/>
    <s v="10"/>
    <m/>
    <m/>
  </r>
  <r>
    <x v="359"/>
    <s v="11"/>
    <m/>
    <m/>
  </r>
  <r>
    <x v="359"/>
    <s v="12"/>
    <m/>
    <m/>
  </r>
  <r>
    <x v="359"/>
    <s v="13"/>
    <m/>
    <m/>
  </r>
  <r>
    <x v="359"/>
    <s v="14"/>
    <m/>
    <m/>
  </r>
  <r>
    <x v="359"/>
    <s v="15"/>
    <m/>
    <m/>
  </r>
  <r>
    <x v="359"/>
    <s v="16"/>
    <m/>
    <m/>
  </r>
  <r>
    <x v="359"/>
    <s v="17"/>
    <m/>
    <m/>
  </r>
  <r>
    <x v="359"/>
    <s v="18"/>
    <m/>
    <m/>
  </r>
  <r>
    <x v="359"/>
    <s v="19"/>
    <m/>
    <m/>
  </r>
  <r>
    <x v="359"/>
    <s v="20"/>
    <m/>
    <m/>
  </r>
  <r>
    <x v="359"/>
    <s v="21"/>
    <m/>
    <m/>
  </r>
  <r>
    <x v="359"/>
    <s v="22"/>
    <m/>
    <m/>
  </r>
  <r>
    <x v="359"/>
    <s v="23"/>
    <m/>
    <m/>
  </r>
  <r>
    <x v="360"/>
    <s v="0"/>
    <m/>
    <m/>
  </r>
  <r>
    <x v="360"/>
    <s v="1"/>
    <m/>
    <m/>
  </r>
  <r>
    <x v="360"/>
    <s v="2"/>
    <m/>
    <m/>
  </r>
  <r>
    <x v="360"/>
    <s v="3"/>
    <m/>
    <m/>
  </r>
  <r>
    <x v="360"/>
    <s v="4"/>
    <m/>
    <m/>
  </r>
  <r>
    <x v="360"/>
    <s v="5"/>
    <m/>
    <m/>
  </r>
  <r>
    <x v="360"/>
    <s v="6"/>
    <m/>
    <m/>
  </r>
  <r>
    <x v="360"/>
    <s v="7"/>
    <m/>
    <m/>
  </r>
  <r>
    <x v="360"/>
    <s v="8"/>
    <m/>
    <m/>
  </r>
  <r>
    <x v="360"/>
    <s v="9"/>
    <m/>
    <m/>
  </r>
  <r>
    <x v="360"/>
    <s v="10"/>
    <m/>
    <m/>
  </r>
  <r>
    <x v="360"/>
    <s v="11"/>
    <m/>
    <m/>
  </r>
  <r>
    <x v="360"/>
    <s v="12"/>
    <m/>
    <m/>
  </r>
  <r>
    <x v="360"/>
    <s v="13"/>
    <m/>
    <m/>
  </r>
  <r>
    <x v="360"/>
    <s v="14"/>
    <m/>
    <m/>
  </r>
  <r>
    <x v="360"/>
    <s v="15"/>
    <m/>
    <m/>
  </r>
  <r>
    <x v="360"/>
    <s v="16"/>
    <m/>
    <m/>
  </r>
  <r>
    <x v="360"/>
    <s v="17"/>
    <m/>
    <m/>
  </r>
  <r>
    <x v="360"/>
    <s v="18"/>
    <m/>
    <m/>
  </r>
  <r>
    <x v="360"/>
    <s v="19"/>
    <m/>
    <m/>
  </r>
  <r>
    <x v="360"/>
    <s v="20"/>
    <m/>
    <m/>
  </r>
  <r>
    <x v="360"/>
    <s v="21"/>
    <m/>
    <m/>
  </r>
  <r>
    <x v="360"/>
    <s v="22"/>
    <m/>
    <m/>
  </r>
  <r>
    <x v="360"/>
    <s v="23"/>
    <m/>
    <m/>
  </r>
  <r>
    <x v="361"/>
    <s v="0"/>
    <m/>
    <m/>
  </r>
  <r>
    <x v="361"/>
    <s v="1"/>
    <m/>
    <m/>
  </r>
  <r>
    <x v="361"/>
    <s v="2"/>
    <m/>
    <m/>
  </r>
  <r>
    <x v="361"/>
    <s v="3"/>
    <m/>
    <m/>
  </r>
  <r>
    <x v="361"/>
    <s v="4"/>
    <m/>
    <m/>
  </r>
  <r>
    <x v="361"/>
    <s v="5"/>
    <m/>
    <m/>
  </r>
  <r>
    <x v="361"/>
    <s v="6"/>
    <m/>
    <m/>
  </r>
  <r>
    <x v="361"/>
    <s v="7"/>
    <m/>
    <m/>
  </r>
  <r>
    <x v="361"/>
    <s v="8"/>
    <m/>
    <m/>
  </r>
  <r>
    <x v="361"/>
    <s v="9"/>
    <m/>
    <m/>
  </r>
  <r>
    <x v="361"/>
    <s v="10"/>
    <m/>
    <m/>
  </r>
  <r>
    <x v="361"/>
    <s v="11"/>
    <m/>
    <m/>
  </r>
  <r>
    <x v="361"/>
    <s v="12"/>
    <m/>
    <m/>
  </r>
  <r>
    <x v="361"/>
    <s v="13"/>
    <m/>
    <m/>
  </r>
  <r>
    <x v="361"/>
    <s v="14"/>
    <m/>
    <m/>
  </r>
  <r>
    <x v="361"/>
    <s v="15"/>
    <m/>
    <m/>
  </r>
  <r>
    <x v="361"/>
    <s v="16"/>
    <m/>
    <m/>
  </r>
  <r>
    <x v="361"/>
    <s v="17"/>
    <m/>
    <m/>
  </r>
  <r>
    <x v="361"/>
    <s v="18"/>
    <m/>
    <m/>
  </r>
  <r>
    <x v="361"/>
    <s v="19"/>
    <m/>
    <m/>
  </r>
  <r>
    <x v="361"/>
    <s v="20"/>
    <m/>
    <m/>
  </r>
  <r>
    <x v="361"/>
    <s v="21"/>
    <m/>
    <m/>
  </r>
  <r>
    <x v="361"/>
    <s v="22"/>
    <m/>
    <m/>
  </r>
  <r>
    <x v="361"/>
    <s v="23"/>
    <m/>
    <m/>
  </r>
  <r>
    <x v="362"/>
    <s v="0"/>
    <m/>
    <m/>
  </r>
  <r>
    <x v="362"/>
    <s v="1"/>
    <m/>
    <m/>
  </r>
  <r>
    <x v="362"/>
    <s v="2"/>
    <m/>
    <m/>
  </r>
  <r>
    <x v="362"/>
    <s v="3"/>
    <m/>
    <m/>
  </r>
  <r>
    <x v="362"/>
    <s v="4"/>
    <m/>
    <m/>
  </r>
  <r>
    <x v="362"/>
    <s v="5"/>
    <m/>
    <m/>
  </r>
  <r>
    <x v="362"/>
    <s v="6"/>
    <m/>
    <m/>
  </r>
  <r>
    <x v="362"/>
    <s v="7"/>
    <m/>
    <m/>
  </r>
  <r>
    <x v="362"/>
    <s v="8"/>
    <m/>
    <m/>
  </r>
  <r>
    <x v="362"/>
    <s v="9"/>
    <m/>
    <m/>
  </r>
  <r>
    <x v="362"/>
    <s v="10"/>
    <m/>
    <m/>
  </r>
  <r>
    <x v="362"/>
    <s v="11"/>
    <m/>
    <m/>
  </r>
  <r>
    <x v="362"/>
    <s v="12"/>
    <m/>
    <m/>
  </r>
  <r>
    <x v="362"/>
    <s v="13"/>
    <m/>
    <m/>
  </r>
  <r>
    <x v="362"/>
    <s v="14"/>
    <m/>
    <m/>
  </r>
  <r>
    <x v="362"/>
    <s v="15"/>
    <m/>
    <m/>
  </r>
  <r>
    <x v="362"/>
    <s v="16"/>
    <m/>
    <m/>
  </r>
  <r>
    <x v="362"/>
    <s v="17"/>
    <m/>
    <m/>
  </r>
  <r>
    <x v="362"/>
    <s v="18"/>
    <m/>
    <m/>
  </r>
  <r>
    <x v="362"/>
    <s v="19"/>
    <m/>
    <m/>
  </r>
  <r>
    <x v="362"/>
    <s v="20"/>
    <m/>
    <m/>
  </r>
  <r>
    <x v="362"/>
    <s v="21"/>
    <m/>
    <m/>
  </r>
  <r>
    <x v="362"/>
    <s v="22"/>
    <m/>
    <m/>
  </r>
  <r>
    <x v="362"/>
    <s v="23"/>
    <m/>
    <m/>
  </r>
  <r>
    <x v="363"/>
    <s v="0"/>
    <m/>
    <m/>
  </r>
  <r>
    <x v="363"/>
    <s v="1"/>
    <m/>
    <m/>
  </r>
  <r>
    <x v="363"/>
    <s v="2"/>
    <m/>
    <m/>
  </r>
  <r>
    <x v="363"/>
    <s v="3"/>
    <m/>
    <m/>
  </r>
  <r>
    <x v="363"/>
    <s v="4"/>
    <m/>
    <m/>
  </r>
  <r>
    <x v="363"/>
    <s v="5"/>
    <m/>
    <m/>
  </r>
  <r>
    <x v="363"/>
    <s v="6"/>
    <m/>
    <m/>
  </r>
  <r>
    <x v="363"/>
    <s v="7"/>
    <m/>
    <m/>
  </r>
  <r>
    <x v="363"/>
    <s v="8"/>
    <m/>
    <m/>
  </r>
  <r>
    <x v="363"/>
    <s v="9"/>
    <m/>
    <m/>
  </r>
  <r>
    <x v="363"/>
    <s v="10"/>
    <m/>
    <m/>
  </r>
  <r>
    <x v="363"/>
    <s v="11"/>
    <m/>
    <m/>
  </r>
  <r>
    <x v="363"/>
    <s v="12"/>
    <m/>
    <m/>
  </r>
  <r>
    <x v="363"/>
    <s v="13"/>
    <m/>
    <m/>
  </r>
  <r>
    <x v="363"/>
    <s v="14"/>
    <m/>
    <m/>
  </r>
  <r>
    <x v="363"/>
    <s v="15"/>
    <m/>
    <m/>
  </r>
  <r>
    <x v="363"/>
    <s v="16"/>
    <m/>
    <m/>
  </r>
  <r>
    <x v="363"/>
    <s v="17"/>
    <m/>
    <m/>
  </r>
  <r>
    <x v="363"/>
    <s v="18"/>
    <m/>
    <m/>
  </r>
  <r>
    <x v="363"/>
    <s v="19"/>
    <m/>
    <m/>
  </r>
  <r>
    <x v="363"/>
    <s v="20"/>
    <m/>
    <m/>
  </r>
  <r>
    <x v="363"/>
    <s v="21"/>
    <m/>
    <m/>
  </r>
  <r>
    <x v="363"/>
    <s v="22"/>
    <m/>
    <m/>
  </r>
  <r>
    <x v="363"/>
    <s v="23"/>
    <m/>
    <m/>
  </r>
  <r>
    <x v="364"/>
    <s v="0"/>
    <m/>
    <m/>
  </r>
  <r>
    <x v="364"/>
    <s v="1"/>
    <m/>
    <m/>
  </r>
  <r>
    <x v="364"/>
    <s v="2"/>
    <m/>
    <m/>
  </r>
  <r>
    <x v="364"/>
    <s v="3"/>
    <m/>
    <m/>
  </r>
  <r>
    <x v="364"/>
    <s v="4"/>
    <m/>
    <m/>
  </r>
  <r>
    <x v="364"/>
    <s v="5"/>
    <m/>
    <m/>
  </r>
  <r>
    <x v="364"/>
    <s v="6"/>
    <m/>
    <m/>
  </r>
  <r>
    <x v="364"/>
    <s v="7"/>
    <m/>
    <m/>
  </r>
  <r>
    <x v="364"/>
    <s v="8"/>
    <m/>
    <m/>
  </r>
  <r>
    <x v="364"/>
    <s v="9"/>
    <m/>
    <m/>
  </r>
  <r>
    <x v="364"/>
    <s v="10"/>
    <m/>
    <m/>
  </r>
  <r>
    <x v="364"/>
    <s v="11"/>
    <m/>
    <m/>
  </r>
  <r>
    <x v="364"/>
    <s v="12"/>
    <m/>
    <m/>
  </r>
  <r>
    <x v="364"/>
    <s v="13"/>
    <m/>
    <m/>
  </r>
  <r>
    <x v="364"/>
    <s v="14"/>
    <m/>
    <m/>
  </r>
  <r>
    <x v="364"/>
    <s v="15"/>
    <m/>
    <m/>
  </r>
  <r>
    <x v="364"/>
    <s v="16"/>
    <m/>
    <m/>
  </r>
  <r>
    <x v="364"/>
    <s v="17"/>
    <m/>
    <m/>
  </r>
  <r>
    <x v="364"/>
    <s v="18"/>
    <m/>
    <m/>
  </r>
  <r>
    <x v="364"/>
    <s v="19"/>
    <m/>
    <m/>
  </r>
  <r>
    <x v="364"/>
    <s v="20"/>
    <m/>
    <m/>
  </r>
  <r>
    <x v="364"/>
    <s v="21"/>
    <m/>
    <m/>
  </r>
  <r>
    <x v="364"/>
    <s v="22"/>
    <m/>
    <m/>
  </r>
  <r>
    <x v="364"/>
    <s v="2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1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1305.5"/>
  </r>
  <r>
    <x v="0"/>
    <x v="15"/>
    <n v="16739.8"/>
  </r>
  <r>
    <x v="0"/>
    <x v="16"/>
    <n v="44419.5"/>
  </r>
  <r>
    <x v="0"/>
    <x v="17"/>
    <n v="52374"/>
  </r>
  <r>
    <x v="0"/>
    <x v="18"/>
    <n v="53049.3"/>
  </r>
  <r>
    <x v="0"/>
    <x v="19"/>
    <n v="53023.4"/>
  </r>
  <r>
    <x v="0"/>
    <x v="20"/>
    <n v="52985"/>
  </r>
  <r>
    <x v="0"/>
    <x v="21"/>
    <n v="52984.1"/>
  </r>
  <r>
    <x v="0"/>
    <x v="22"/>
    <n v="53073.2"/>
  </r>
  <r>
    <x v="0"/>
    <x v="23"/>
    <n v="53060.5"/>
  </r>
  <r>
    <x v="1"/>
    <x v="0"/>
    <n v="19064.3"/>
  </r>
  <r>
    <x v="1"/>
    <x v="1"/>
    <n v="0"/>
  </r>
  <r>
    <x v="1"/>
    <x v="2"/>
    <n v="0"/>
  </r>
  <r>
    <x v="1"/>
    <x v="3"/>
    <n v="0"/>
  </r>
  <r>
    <x v="1"/>
    <x v="4"/>
    <n v="0"/>
  </r>
  <r>
    <x v="1"/>
    <x v="5"/>
    <n v="0"/>
  </r>
  <r>
    <x v="1"/>
    <x v="6"/>
    <n v="1654.4"/>
  </r>
  <r>
    <x v="1"/>
    <x v="7"/>
    <n v="16319.9"/>
  </r>
  <r>
    <x v="1"/>
    <x v="8"/>
    <n v="42916.800000000003"/>
  </r>
  <r>
    <x v="1"/>
    <x v="9"/>
    <n v="52686.5"/>
  </r>
  <r>
    <x v="1"/>
    <x v="10"/>
    <n v="53882.6"/>
  </r>
  <r>
    <x v="1"/>
    <x v="11"/>
    <n v="53204.800000000003"/>
  </r>
  <r>
    <x v="1"/>
    <x v="12"/>
    <n v="53199"/>
  </r>
  <r>
    <x v="1"/>
    <x v="13"/>
    <n v="53268.2"/>
  </r>
  <r>
    <x v="1"/>
    <x v="14"/>
    <n v="53296.9"/>
  </r>
  <r>
    <x v="1"/>
    <x v="15"/>
    <n v="53271.3"/>
  </r>
  <r>
    <x v="1"/>
    <x v="16"/>
    <n v="53247.5"/>
  </r>
  <r>
    <x v="1"/>
    <x v="17"/>
    <n v="53182.9"/>
  </r>
  <r>
    <x v="1"/>
    <x v="18"/>
    <n v="53089.7"/>
  </r>
  <r>
    <x v="1"/>
    <x v="19"/>
    <n v="53164.4"/>
  </r>
  <r>
    <x v="1"/>
    <x v="20"/>
    <n v="53071.7"/>
  </r>
  <r>
    <x v="1"/>
    <x v="21"/>
    <n v="53090.7"/>
  </r>
  <r>
    <x v="1"/>
    <x v="22"/>
    <n v="53012.6"/>
  </r>
  <r>
    <x v="1"/>
    <x v="23"/>
    <n v="53500.6"/>
  </r>
  <r>
    <x v="2"/>
    <x v="0"/>
    <n v="53815.9"/>
  </r>
  <r>
    <x v="2"/>
    <x v="1"/>
    <n v="54084.6"/>
  </r>
  <r>
    <x v="2"/>
    <x v="2"/>
    <n v="54057.1"/>
  </r>
  <r>
    <x v="2"/>
    <x v="3"/>
    <n v="52140.7"/>
  </r>
  <r>
    <x v="2"/>
    <x v="4"/>
    <n v="51226"/>
  </r>
  <r>
    <x v="2"/>
    <x v="5"/>
    <n v="51172.9"/>
  </r>
  <r>
    <x v="2"/>
    <x v="6"/>
    <n v="51151"/>
  </r>
  <r>
    <x v="2"/>
    <x v="7"/>
    <n v="51192.3"/>
  </r>
  <r>
    <x v="2"/>
    <x v="8"/>
    <n v="51157.4"/>
  </r>
  <r>
    <x v="2"/>
    <x v="9"/>
    <n v="51122.400000000001"/>
  </r>
  <r>
    <x v="2"/>
    <x v="10"/>
    <n v="52521.7"/>
  </r>
  <r>
    <x v="2"/>
    <x v="11"/>
    <n v="53496"/>
  </r>
  <r>
    <x v="2"/>
    <x v="12"/>
    <n v="53966.6"/>
  </r>
  <r>
    <x v="2"/>
    <x v="13"/>
    <n v="53615.199999999997"/>
  </r>
  <r>
    <x v="2"/>
    <x v="14"/>
    <n v="53669.1"/>
  </r>
  <r>
    <x v="2"/>
    <x v="15"/>
    <n v="53728.1"/>
  </r>
  <r>
    <x v="2"/>
    <x v="16"/>
    <n v="65238"/>
  </r>
  <r>
    <x v="2"/>
    <x v="17"/>
    <n v="53390"/>
  </r>
  <r>
    <x v="2"/>
    <x v="18"/>
    <n v="53351.6"/>
  </r>
  <r>
    <x v="2"/>
    <x v="19"/>
    <n v="53219.7"/>
  </r>
  <r>
    <x v="2"/>
    <x v="20"/>
    <n v="53320.3"/>
  </r>
  <r>
    <x v="2"/>
    <x v="21"/>
    <n v="53312.3"/>
  </r>
  <r>
    <x v="2"/>
    <x v="22"/>
    <n v="54350.1"/>
  </r>
  <r>
    <x v="2"/>
    <x v="23"/>
    <n v="53847.5"/>
  </r>
  <r>
    <x v="3"/>
    <x v="0"/>
    <n v="53605.9"/>
  </r>
  <r>
    <x v="3"/>
    <x v="1"/>
    <n v="53839.9"/>
  </r>
  <r>
    <x v="3"/>
    <x v="2"/>
    <n v="53911.8"/>
  </r>
  <r>
    <x v="3"/>
    <x v="3"/>
    <n v="53912.4"/>
  </r>
  <r>
    <x v="3"/>
    <x v="4"/>
    <n v="51531.8"/>
  </r>
  <r>
    <x v="3"/>
    <x v="5"/>
    <n v="51095.9"/>
  </r>
  <r>
    <x v="3"/>
    <x v="6"/>
    <n v="49944.9"/>
  </r>
  <r>
    <x v="3"/>
    <x v="7"/>
    <n v="53021.8"/>
  </r>
  <r>
    <x v="3"/>
    <x v="8"/>
    <n v="53957.599999999999"/>
  </r>
  <r>
    <x v="3"/>
    <x v="9"/>
    <n v="53948.2"/>
  </r>
  <r>
    <x v="3"/>
    <x v="10"/>
    <n v="53957.3"/>
  </r>
  <r>
    <x v="3"/>
    <x v="11"/>
    <n v="53948.3"/>
  </r>
  <r>
    <x v="3"/>
    <x v="12"/>
    <n v="53971.7"/>
  </r>
  <r>
    <x v="3"/>
    <x v="13"/>
    <n v="53933"/>
  </r>
  <r>
    <x v="3"/>
    <x v="14"/>
    <n v="53982.2"/>
  </r>
  <r>
    <x v="3"/>
    <x v="15"/>
    <n v="53909.5"/>
  </r>
  <r>
    <x v="3"/>
    <x v="16"/>
    <n v="53881.3"/>
  </r>
  <r>
    <x v="3"/>
    <x v="17"/>
    <n v="54336.2"/>
  </r>
  <r>
    <x v="3"/>
    <x v="18"/>
    <n v="52670.9"/>
  </r>
  <r>
    <x v="3"/>
    <x v="19"/>
    <n v="52723.9"/>
  </r>
  <r>
    <x v="3"/>
    <x v="20"/>
    <n v="52621.4"/>
  </r>
  <r>
    <x v="3"/>
    <x v="21"/>
    <n v="52689.599999999999"/>
  </r>
  <r>
    <x v="3"/>
    <x v="22"/>
    <n v="52630"/>
  </r>
  <r>
    <x v="3"/>
    <x v="23"/>
    <n v="52455.8"/>
  </r>
  <r>
    <x v="4"/>
    <x v="0"/>
    <n v="52448.800000000003"/>
  </r>
  <r>
    <x v="4"/>
    <x v="1"/>
    <n v="52571.6"/>
  </r>
  <r>
    <x v="4"/>
    <x v="2"/>
    <n v="52594.9"/>
  </r>
  <r>
    <x v="4"/>
    <x v="3"/>
    <n v="51582"/>
  </r>
  <r>
    <x v="4"/>
    <x v="4"/>
    <n v="51457"/>
  </r>
  <r>
    <x v="4"/>
    <x v="5"/>
    <n v="51430.400000000001"/>
  </r>
  <r>
    <x v="4"/>
    <x v="6"/>
    <n v="51581.8"/>
  </r>
  <r>
    <x v="4"/>
    <x v="7"/>
    <n v="51526.400000000001"/>
  </r>
  <r>
    <x v="4"/>
    <x v="8"/>
    <n v="51415.1"/>
  </r>
  <r>
    <x v="4"/>
    <x v="9"/>
    <n v="53126.9"/>
  </r>
  <r>
    <x v="4"/>
    <x v="10"/>
    <n v="53030.1"/>
  </r>
  <r>
    <x v="4"/>
    <x v="11"/>
    <n v="53080.5"/>
  </r>
  <r>
    <x v="4"/>
    <x v="12"/>
    <n v="52761.1"/>
  </r>
  <r>
    <x v="4"/>
    <x v="13"/>
    <n v="53365.7"/>
  </r>
  <r>
    <x v="4"/>
    <x v="14"/>
    <n v="53177.2"/>
  </r>
  <r>
    <x v="4"/>
    <x v="15"/>
    <n v="53028.9"/>
  </r>
  <r>
    <x v="4"/>
    <x v="16"/>
    <n v="53005.2"/>
  </r>
  <r>
    <x v="4"/>
    <x v="17"/>
    <n v="53062.5"/>
  </r>
  <r>
    <x v="4"/>
    <x v="18"/>
    <n v="53033.3"/>
  </r>
  <r>
    <x v="4"/>
    <x v="19"/>
    <n v="52905.599999999999"/>
  </r>
  <r>
    <x v="4"/>
    <x v="20"/>
    <n v="52905.2"/>
  </r>
  <r>
    <x v="4"/>
    <x v="21"/>
    <n v="52986"/>
  </r>
  <r>
    <x v="4"/>
    <x v="22"/>
    <n v="52782.1"/>
  </r>
  <r>
    <x v="4"/>
    <x v="23"/>
    <n v="53027.199999999997"/>
  </r>
  <r>
    <x v="5"/>
    <x v="0"/>
    <n v="53207.3"/>
  </r>
  <r>
    <x v="5"/>
    <x v="1"/>
    <n v="53410.2"/>
  </r>
  <r>
    <x v="5"/>
    <x v="2"/>
    <n v="53310.7"/>
  </r>
  <r>
    <x v="5"/>
    <x v="3"/>
    <n v="53420.3"/>
  </r>
  <r>
    <x v="5"/>
    <x v="4"/>
    <n v="50157.1"/>
  </r>
  <r>
    <x v="5"/>
    <x v="5"/>
    <n v="49676"/>
  </r>
  <r>
    <x v="5"/>
    <x v="6"/>
    <n v="50963.6"/>
  </r>
  <r>
    <x v="5"/>
    <x v="7"/>
    <n v="51150.7"/>
  </r>
  <r>
    <x v="5"/>
    <x v="8"/>
    <n v="51148.3"/>
  </r>
  <r>
    <x v="5"/>
    <x v="9"/>
    <n v="52050.1"/>
  </r>
  <r>
    <x v="5"/>
    <x v="10"/>
    <n v="53573.9"/>
  </r>
  <r>
    <x v="5"/>
    <x v="11"/>
    <n v="53621.8"/>
  </r>
  <r>
    <x v="5"/>
    <x v="12"/>
    <n v="53597.1"/>
  </r>
  <r>
    <x v="5"/>
    <x v="13"/>
    <n v="53614.5"/>
  </r>
  <r>
    <x v="5"/>
    <x v="14"/>
    <n v="53494.9"/>
  </r>
  <r>
    <x v="5"/>
    <x v="15"/>
    <n v="53619.4"/>
  </r>
  <r>
    <x v="5"/>
    <x v="16"/>
    <n v="53486.7"/>
  </r>
  <r>
    <x v="5"/>
    <x v="17"/>
    <n v="53560.3"/>
  </r>
  <r>
    <x v="5"/>
    <x v="18"/>
    <n v="53522.8"/>
  </r>
  <r>
    <x v="5"/>
    <x v="19"/>
    <n v="53434"/>
  </r>
  <r>
    <x v="5"/>
    <x v="20"/>
    <n v="53442.400000000001"/>
  </r>
  <r>
    <x v="5"/>
    <x v="21"/>
    <n v="53456.6"/>
  </r>
  <r>
    <x v="5"/>
    <x v="22"/>
    <n v="53486.3"/>
  </r>
  <r>
    <x v="5"/>
    <x v="23"/>
    <n v="53586"/>
  </r>
  <r>
    <x v="6"/>
    <x v="0"/>
    <n v="61966.1"/>
  </r>
  <r>
    <x v="6"/>
    <x v="1"/>
    <n v="63389.5"/>
  </r>
  <r>
    <x v="6"/>
    <x v="2"/>
    <n v="63357.3"/>
  </r>
  <r>
    <x v="6"/>
    <x v="3"/>
    <n v="60059.5"/>
  </r>
  <r>
    <x v="6"/>
    <x v="4"/>
    <n v="59564"/>
  </r>
  <r>
    <x v="6"/>
    <x v="5"/>
    <n v="25149.8"/>
  </r>
  <r>
    <x v="6"/>
    <x v="6"/>
    <n v="2098"/>
  </r>
  <r>
    <x v="6"/>
    <x v="7"/>
    <n v="3029.2"/>
  </r>
  <r>
    <x v="6"/>
    <x v="8"/>
    <n v="16926.2"/>
  </r>
  <r>
    <x v="6"/>
    <x v="9"/>
    <n v="42793"/>
  </r>
  <r>
    <x v="6"/>
    <x v="10"/>
    <n v="59847.7"/>
  </r>
  <r>
    <x v="6"/>
    <x v="11"/>
    <n v="59938.400000000001"/>
  </r>
  <r>
    <x v="6"/>
    <x v="12"/>
    <n v="60160.5"/>
  </r>
  <r>
    <x v="6"/>
    <x v="13"/>
    <n v="63983.3"/>
  </r>
  <r>
    <x v="6"/>
    <x v="14"/>
    <n v="63993.9"/>
  </r>
  <r>
    <x v="6"/>
    <x v="15"/>
    <n v="63555.4"/>
  </r>
  <r>
    <x v="6"/>
    <x v="16"/>
    <n v="63513.4"/>
  </r>
  <r>
    <x v="6"/>
    <x v="17"/>
    <n v="63503.9"/>
  </r>
  <r>
    <x v="6"/>
    <x v="18"/>
    <n v="63529.8"/>
  </r>
  <r>
    <x v="6"/>
    <x v="19"/>
    <n v="63467.1"/>
  </r>
  <r>
    <x v="6"/>
    <x v="20"/>
    <n v="63523"/>
  </r>
  <r>
    <x v="6"/>
    <x v="21"/>
    <n v="63440"/>
  </r>
  <r>
    <x v="6"/>
    <x v="22"/>
    <n v="63467.3"/>
  </r>
  <r>
    <x v="6"/>
    <x v="23"/>
    <n v="63332.1"/>
  </r>
  <r>
    <x v="7"/>
    <x v="0"/>
    <n v="53621.9"/>
  </r>
  <r>
    <x v="7"/>
    <x v="1"/>
    <n v="53354.400000000001"/>
  </r>
  <r>
    <x v="7"/>
    <x v="2"/>
    <n v="53199.9"/>
  </r>
  <r>
    <x v="7"/>
    <x v="3"/>
    <n v="51125.5"/>
  </r>
  <r>
    <x v="7"/>
    <x v="4"/>
    <n v="50582.2"/>
  </r>
  <r>
    <x v="7"/>
    <x v="5"/>
    <n v="50555"/>
  </r>
  <r>
    <x v="7"/>
    <x v="6"/>
    <n v="16841.2"/>
  </r>
  <r>
    <x v="7"/>
    <x v="7"/>
    <n v="1357.2"/>
  </r>
  <r>
    <x v="7"/>
    <x v="8"/>
    <n v="0"/>
  </r>
  <r>
    <x v="7"/>
    <x v="9"/>
    <n v="0"/>
  </r>
  <r>
    <x v="7"/>
    <x v="10"/>
    <n v="4886.5"/>
  </r>
  <r>
    <x v="7"/>
    <x v="11"/>
    <n v="17266.7"/>
  </r>
  <r>
    <x v="7"/>
    <x v="12"/>
    <n v="44553"/>
  </r>
  <r>
    <x v="7"/>
    <x v="13"/>
    <n v="51793.3"/>
  </r>
  <r>
    <x v="7"/>
    <x v="14"/>
    <n v="53863.199999999997"/>
  </r>
  <r>
    <x v="7"/>
    <x v="15"/>
    <n v="53816.5"/>
  </r>
  <r>
    <x v="7"/>
    <x v="16"/>
    <n v="53701.9"/>
  </r>
  <r>
    <x v="7"/>
    <x v="17"/>
    <n v="53763.4"/>
  </r>
  <r>
    <x v="7"/>
    <x v="18"/>
    <n v="53683.4"/>
  </r>
  <r>
    <x v="7"/>
    <x v="19"/>
    <n v="53652.7"/>
  </r>
  <r>
    <x v="7"/>
    <x v="20"/>
    <n v="53671.8"/>
  </r>
  <r>
    <x v="7"/>
    <x v="21"/>
    <n v="53751.199999999997"/>
  </r>
  <r>
    <x v="7"/>
    <x v="22"/>
    <n v="53850.9"/>
  </r>
  <r>
    <x v="7"/>
    <x v="23"/>
    <n v="54076.5"/>
  </r>
  <r>
    <x v="8"/>
    <x v="0"/>
    <n v="62428"/>
  </r>
  <r>
    <x v="8"/>
    <x v="1"/>
    <n v="63069.7"/>
  </r>
  <r>
    <x v="8"/>
    <x v="2"/>
    <n v="63175.1"/>
  </r>
  <r>
    <x v="8"/>
    <x v="3"/>
    <n v="62977.5"/>
  </r>
  <r>
    <x v="8"/>
    <x v="4"/>
    <n v="63270.3"/>
  </r>
  <r>
    <x v="8"/>
    <x v="5"/>
    <n v="61819.5"/>
  </r>
  <r>
    <x v="8"/>
    <x v="6"/>
    <n v="61006.2"/>
  </r>
  <r>
    <x v="8"/>
    <x v="7"/>
    <n v="25631.599999999999"/>
  </r>
  <r>
    <x v="8"/>
    <x v="8"/>
    <n v="100.9"/>
  </r>
  <r>
    <x v="8"/>
    <x v="9"/>
    <n v="8213.5"/>
  </r>
  <r>
    <x v="8"/>
    <x v="10"/>
    <n v="17382.8"/>
  </r>
  <r>
    <x v="8"/>
    <x v="11"/>
    <n v="43289.9"/>
  </r>
  <r>
    <x v="8"/>
    <x v="12"/>
    <n v="59016"/>
  </r>
  <r>
    <x v="8"/>
    <x v="13"/>
    <n v="62855.8"/>
  </r>
  <r>
    <x v="8"/>
    <x v="14"/>
    <n v="62784.7"/>
  </r>
  <r>
    <x v="8"/>
    <x v="15"/>
    <n v="62779.6"/>
  </r>
  <r>
    <x v="8"/>
    <x v="16"/>
    <n v="62505.599999999999"/>
  </r>
  <r>
    <x v="8"/>
    <x v="17"/>
    <n v="61675.9"/>
  </r>
  <r>
    <x v="8"/>
    <x v="18"/>
    <n v="63411.5"/>
  </r>
  <r>
    <x v="8"/>
    <x v="19"/>
    <n v="63161.5"/>
  </r>
  <r>
    <x v="8"/>
    <x v="20"/>
    <n v="62981.3"/>
  </r>
  <r>
    <x v="8"/>
    <x v="21"/>
    <n v="62806"/>
  </r>
  <r>
    <x v="8"/>
    <x v="22"/>
    <n v="62759.8"/>
  </r>
  <r>
    <x v="8"/>
    <x v="23"/>
    <n v="62538"/>
  </r>
  <r>
    <x v="9"/>
    <x v="0"/>
    <n v="62937.5"/>
  </r>
  <r>
    <x v="9"/>
    <x v="1"/>
    <n v="62797"/>
  </r>
  <r>
    <x v="9"/>
    <x v="2"/>
    <n v="62936.800000000003"/>
  </r>
  <r>
    <x v="9"/>
    <x v="3"/>
    <n v="62802"/>
  </r>
  <r>
    <x v="9"/>
    <x v="4"/>
    <n v="61571.1"/>
  </r>
  <r>
    <x v="9"/>
    <x v="5"/>
    <n v="59682.6"/>
  </r>
  <r>
    <x v="9"/>
    <x v="6"/>
    <n v="59572.1"/>
  </r>
  <r>
    <x v="9"/>
    <x v="7"/>
    <n v="59688.3"/>
  </r>
  <r>
    <x v="9"/>
    <x v="8"/>
    <n v="59740.3"/>
  </r>
  <r>
    <x v="9"/>
    <x v="9"/>
    <n v="61328.6"/>
  </r>
  <r>
    <x v="9"/>
    <x v="10"/>
    <n v="63756.6"/>
  </r>
  <r>
    <x v="9"/>
    <x v="11"/>
    <n v="63914.8"/>
  </r>
  <r>
    <x v="9"/>
    <x v="12"/>
    <n v="63931.3"/>
  </r>
  <r>
    <x v="9"/>
    <x v="13"/>
    <n v="63815.1"/>
  </r>
  <r>
    <x v="9"/>
    <x v="14"/>
    <n v="63912.1"/>
  </r>
  <r>
    <x v="9"/>
    <x v="15"/>
    <n v="63951.3"/>
  </r>
  <r>
    <x v="9"/>
    <x v="16"/>
    <n v="63891.4"/>
  </r>
  <r>
    <x v="9"/>
    <x v="17"/>
    <n v="63851.6"/>
  </r>
  <r>
    <x v="9"/>
    <x v="18"/>
    <n v="63785.9"/>
  </r>
  <r>
    <x v="9"/>
    <x v="19"/>
    <n v="63642.7"/>
  </r>
  <r>
    <x v="9"/>
    <x v="20"/>
    <n v="61977.9"/>
  </r>
  <r>
    <x v="9"/>
    <x v="21"/>
    <n v="62086.8"/>
  </r>
  <r>
    <x v="9"/>
    <x v="22"/>
    <n v="62713"/>
  </r>
  <r>
    <x v="9"/>
    <x v="23"/>
    <n v="62527.1"/>
  </r>
  <r>
    <x v="10"/>
    <x v="0"/>
    <n v="53704.4"/>
  </r>
  <r>
    <x v="10"/>
    <x v="1"/>
    <n v="53063.1"/>
  </r>
  <r>
    <x v="10"/>
    <x v="2"/>
    <n v="53056"/>
  </r>
  <r>
    <x v="10"/>
    <x v="3"/>
    <n v="53158.7"/>
  </r>
  <r>
    <x v="10"/>
    <x v="4"/>
    <n v="51539.1"/>
  </r>
  <r>
    <x v="10"/>
    <x v="5"/>
    <n v="51219.4"/>
  </r>
  <r>
    <x v="10"/>
    <x v="6"/>
    <n v="51034.7"/>
  </r>
  <r>
    <x v="10"/>
    <x v="7"/>
    <n v="51136.800000000003"/>
  </r>
  <r>
    <x v="10"/>
    <x v="8"/>
    <n v="51128.7"/>
  </r>
  <r>
    <x v="10"/>
    <x v="9"/>
    <n v="54233.3"/>
  </r>
  <r>
    <x v="10"/>
    <x v="10"/>
    <n v="53827.4"/>
  </r>
  <r>
    <x v="10"/>
    <x v="11"/>
    <n v="53609.8"/>
  </r>
  <r>
    <x v="10"/>
    <x v="12"/>
    <n v="53458.6"/>
  </r>
  <r>
    <x v="10"/>
    <x v="13"/>
    <n v="53402.8"/>
  </r>
  <r>
    <x v="10"/>
    <x v="14"/>
    <n v="53511.3"/>
  </r>
  <r>
    <x v="10"/>
    <x v="15"/>
    <n v="53105.7"/>
  </r>
  <r>
    <x v="10"/>
    <x v="16"/>
    <n v="53507.9"/>
  </r>
  <r>
    <x v="10"/>
    <x v="17"/>
    <n v="52560.4"/>
  </r>
  <r>
    <x v="10"/>
    <x v="18"/>
    <n v="53752.2"/>
  </r>
  <r>
    <x v="10"/>
    <x v="19"/>
    <n v="53525.7"/>
  </r>
  <r>
    <x v="10"/>
    <x v="20"/>
    <n v="53384.3"/>
  </r>
  <r>
    <x v="10"/>
    <x v="21"/>
    <n v="53208.7"/>
  </r>
  <r>
    <x v="10"/>
    <x v="22"/>
    <n v="53053.2"/>
  </r>
  <r>
    <x v="10"/>
    <x v="23"/>
    <n v="53314.5"/>
  </r>
  <r>
    <x v="11"/>
    <x v="0"/>
    <n v="52739.8"/>
  </r>
  <r>
    <x v="11"/>
    <x v="1"/>
    <n v="53504.800000000003"/>
  </r>
  <r>
    <x v="11"/>
    <x v="2"/>
    <n v="53740.9"/>
  </r>
  <r>
    <x v="11"/>
    <x v="3"/>
    <n v="53479.6"/>
  </r>
  <r>
    <x v="11"/>
    <x v="4"/>
    <n v="51863.1"/>
  </r>
  <r>
    <x v="11"/>
    <x v="5"/>
    <n v="50851.1"/>
  </r>
  <r>
    <x v="11"/>
    <x v="6"/>
    <n v="50752.5"/>
  </r>
  <r>
    <x v="11"/>
    <x v="7"/>
    <n v="50860.800000000003"/>
  </r>
  <r>
    <x v="11"/>
    <x v="8"/>
    <n v="51490.7"/>
  </r>
  <r>
    <x v="11"/>
    <x v="9"/>
    <n v="54176.7"/>
  </r>
  <r>
    <x v="11"/>
    <x v="10"/>
    <n v="54320.6"/>
  </r>
  <r>
    <x v="11"/>
    <x v="11"/>
    <n v="54346.6"/>
  </r>
  <r>
    <x v="11"/>
    <x v="12"/>
    <n v="54379.9"/>
  </r>
  <r>
    <x v="11"/>
    <x v="13"/>
    <n v="54418.2"/>
  </r>
  <r>
    <x v="11"/>
    <x v="14"/>
    <n v="54364.800000000003"/>
  </r>
  <r>
    <x v="11"/>
    <x v="15"/>
    <n v="54323.3"/>
  </r>
  <r>
    <x v="11"/>
    <x v="16"/>
    <n v="54185.7"/>
  </r>
  <r>
    <x v="11"/>
    <x v="17"/>
    <n v="54269.9"/>
  </r>
  <r>
    <x v="11"/>
    <x v="18"/>
    <n v="54003.4"/>
  </r>
  <r>
    <x v="11"/>
    <x v="19"/>
    <n v="54024.3"/>
  </r>
  <r>
    <x v="11"/>
    <x v="20"/>
    <n v="52862.2"/>
  </r>
  <r>
    <x v="11"/>
    <x v="21"/>
    <n v="52943.1"/>
  </r>
  <r>
    <x v="11"/>
    <x v="22"/>
    <n v="52874.3"/>
  </r>
  <r>
    <x v="11"/>
    <x v="23"/>
    <n v="52757.3"/>
  </r>
  <r>
    <x v="12"/>
    <x v="0"/>
    <n v="52935.199999999997"/>
  </r>
  <r>
    <x v="12"/>
    <x v="1"/>
    <n v="53862.8"/>
  </r>
  <r>
    <x v="12"/>
    <x v="2"/>
    <n v="53880.5"/>
  </r>
  <r>
    <x v="12"/>
    <x v="3"/>
    <n v="53640.800000000003"/>
  </r>
  <r>
    <x v="12"/>
    <x v="4"/>
    <n v="53897.3"/>
  </r>
  <r>
    <x v="12"/>
    <x v="5"/>
    <n v="51621.8"/>
  </r>
  <r>
    <x v="12"/>
    <x v="6"/>
    <n v="50447.9"/>
  </r>
  <r>
    <x v="12"/>
    <x v="7"/>
    <n v="50384.3"/>
  </r>
  <r>
    <x v="12"/>
    <x v="8"/>
    <n v="51663.1"/>
  </r>
  <r>
    <x v="12"/>
    <x v="9"/>
    <n v="54723.4"/>
  </r>
  <r>
    <x v="12"/>
    <x v="10"/>
    <n v="54303.199999999997"/>
  </r>
  <r>
    <x v="12"/>
    <x v="11"/>
    <n v="54259"/>
  </r>
  <r>
    <x v="12"/>
    <x v="12"/>
    <n v="54283.4"/>
  </r>
  <r>
    <x v="12"/>
    <x v="13"/>
    <n v="54314.6"/>
  </r>
  <r>
    <x v="12"/>
    <x v="14"/>
    <n v="54311.8"/>
  </r>
  <r>
    <x v="12"/>
    <x v="15"/>
    <n v="54245.1"/>
  </r>
  <r>
    <x v="12"/>
    <x v="16"/>
    <n v="54247.9"/>
  </r>
  <r>
    <x v="12"/>
    <x v="17"/>
    <n v="54151.7"/>
  </r>
  <r>
    <x v="12"/>
    <x v="18"/>
    <n v="54170.8"/>
  </r>
  <r>
    <x v="12"/>
    <x v="19"/>
    <n v="54095.3"/>
  </r>
  <r>
    <x v="12"/>
    <x v="20"/>
    <n v="53974.400000000001"/>
  </r>
  <r>
    <x v="12"/>
    <x v="21"/>
    <n v="53730.400000000001"/>
  </r>
  <r>
    <x v="12"/>
    <x v="22"/>
    <n v="53996"/>
  </r>
  <r>
    <x v="12"/>
    <x v="23"/>
    <n v="53983.3"/>
  </r>
  <r>
    <x v="13"/>
    <x v="0"/>
    <n v="51928.800000000003"/>
  </r>
  <r>
    <x v="13"/>
    <x v="1"/>
    <n v="53091.7"/>
  </r>
  <r>
    <x v="13"/>
    <x v="2"/>
    <n v="53236.4"/>
  </r>
  <r>
    <x v="13"/>
    <x v="3"/>
    <n v="53109.2"/>
  </r>
  <r>
    <x v="13"/>
    <x v="4"/>
    <n v="53180.2"/>
  </r>
  <r>
    <x v="13"/>
    <x v="5"/>
    <n v="53001.5"/>
  </r>
  <r>
    <x v="13"/>
    <x v="6"/>
    <n v="53040.800000000003"/>
  </r>
  <r>
    <x v="13"/>
    <x v="7"/>
    <n v="52884.7"/>
  </r>
  <r>
    <x v="13"/>
    <x v="8"/>
    <n v="52492.6"/>
  </r>
  <r>
    <x v="13"/>
    <x v="9"/>
    <n v="51103.1"/>
  </r>
  <r>
    <x v="13"/>
    <x v="10"/>
    <n v="53590.2"/>
  </r>
  <r>
    <x v="13"/>
    <x v="11"/>
    <n v="53704.5"/>
  </r>
  <r>
    <x v="13"/>
    <x v="12"/>
    <n v="53854"/>
  </r>
  <r>
    <x v="13"/>
    <x v="13"/>
    <n v="53657.7"/>
  </r>
  <r>
    <x v="13"/>
    <x v="14"/>
    <n v="53760.2"/>
  </r>
  <r>
    <x v="13"/>
    <x v="15"/>
    <n v="53509.4"/>
  </r>
  <r>
    <x v="13"/>
    <x v="16"/>
    <n v="53481.5"/>
  </r>
  <r>
    <x v="13"/>
    <x v="17"/>
    <n v="53401.9"/>
  </r>
  <r>
    <x v="13"/>
    <x v="18"/>
    <n v="53538.3"/>
  </r>
  <r>
    <x v="13"/>
    <x v="19"/>
    <n v="53458.6"/>
  </r>
  <r>
    <x v="13"/>
    <x v="20"/>
    <n v="53440.3"/>
  </r>
  <r>
    <x v="13"/>
    <x v="21"/>
    <n v="53322.3"/>
  </r>
  <r>
    <x v="13"/>
    <x v="22"/>
    <n v="53254"/>
  </r>
  <r>
    <x v="13"/>
    <x v="23"/>
    <n v="53479.199999999997"/>
  </r>
  <r>
    <x v="14"/>
    <x v="0"/>
    <n v="54269.3"/>
  </r>
  <r>
    <x v="14"/>
    <x v="1"/>
    <n v="54011.9"/>
  </r>
  <r>
    <x v="14"/>
    <x v="2"/>
    <n v="53986.6"/>
  </r>
  <r>
    <x v="14"/>
    <x v="3"/>
    <n v="54095.8"/>
  </r>
  <r>
    <x v="14"/>
    <x v="4"/>
    <n v="54137.5"/>
  </r>
  <r>
    <x v="14"/>
    <x v="5"/>
    <n v="54219.1"/>
  </r>
  <r>
    <x v="14"/>
    <x v="6"/>
    <n v="51358.2"/>
  </r>
  <r>
    <x v="14"/>
    <x v="7"/>
    <n v="51403.7"/>
  </r>
  <r>
    <x v="14"/>
    <x v="8"/>
    <n v="51370.6"/>
  </r>
  <r>
    <x v="14"/>
    <x v="9"/>
    <n v="50847.8"/>
  </r>
  <r>
    <x v="14"/>
    <x v="10"/>
    <n v="52702.7"/>
  </r>
  <r>
    <x v="14"/>
    <x v="11"/>
    <n v="54909"/>
  </r>
  <r>
    <x v="14"/>
    <x v="12"/>
    <n v="53163.1"/>
  </r>
  <r>
    <x v="14"/>
    <x v="13"/>
    <n v="53283.9"/>
  </r>
  <r>
    <x v="14"/>
    <x v="14"/>
    <n v="53300.4"/>
  </r>
  <r>
    <x v="14"/>
    <x v="15"/>
    <n v="53265.3"/>
  </r>
  <r>
    <x v="14"/>
    <x v="16"/>
    <n v="53331.3"/>
  </r>
  <r>
    <x v="14"/>
    <x v="17"/>
    <n v="53274.5"/>
  </r>
  <r>
    <x v="14"/>
    <x v="18"/>
    <n v="53212.9"/>
  </r>
  <r>
    <x v="14"/>
    <x v="19"/>
    <n v="53304"/>
  </r>
  <r>
    <x v="14"/>
    <x v="20"/>
    <n v="53832.6"/>
  </r>
  <r>
    <x v="14"/>
    <x v="21"/>
    <n v="53479.8"/>
  </r>
  <r>
    <x v="14"/>
    <x v="22"/>
    <n v="54194"/>
  </r>
  <r>
    <x v="14"/>
    <x v="23"/>
    <n v="54212.9"/>
  </r>
  <r>
    <x v="15"/>
    <x v="0"/>
    <n v="61262.6"/>
  </r>
  <r>
    <x v="15"/>
    <x v="1"/>
    <n v="61546.400000000001"/>
  </r>
  <r>
    <x v="15"/>
    <x v="2"/>
    <n v="61507.1"/>
  </r>
  <r>
    <x v="15"/>
    <x v="3"/>
    <n v="61456"/>
  </r>
  <r>
    <x v="15"/>
    <x v="4"/>
    <n v="61683.1"/>
  </r>
  <r>
    <x v="15"/>
    <x v="5"/>
    <n v="62271"/>
  </r>
  <r>
    <x v="15"/>
    <x v="6"/>
    <n v="60543.199999999997"/>
  </r>
  <r>
    <x v="15"/>
    <x v="7"/>
    <n v="60566.8"/>
  </r>
  <r>
    <x v="15"/>
    <x v="8"/>
    <n v="60604.9"/>
  </r>
  <r>
    <x v="15"/>
    <x v="9"/>
    <n v="60527.3"/>
  </r>
  <r>
    <x v="15"/>
    <x v="10"/>
    <n v="60609.3"/>
  </r>
  <r>
    <x v="15"/>
    <x v="11"/>
    <n v="60549.9"/>
  </r>
  <r>
    <x v="15"/>
    <x v="12"/>
    <n v="61293.2"/>
  </r>
  <r>
    <x v="15"/>
    <x v="13"/>
    <n v="60078.1"/>
  </r>
  <r>
    <x v="15"/>
    <x v="14"/>
    <n v="60147.7"/>
  </r>
  <r>
    <x v="15"/>
    <x v="15"/>
    <n v="60814.9"/>
  </r>
  <r>
    <x v="15"/>
    <x v="16"/>
    <n v="62531.5"/>
  </r>
  <r>
    <x v="15"/>
    <x v="17"/>
    <n v="62535.3"/>
  </r>
  <r>
    <x v="15"/>
    <x v="18"/>
    <n v="62473.8"/>
  </r>
  <r>
    <x v="15"/>
    <x v="19"/>
    <n v="62385.8"/>
  </r>
  <r>
    <x v="15"/>
    <x v="20"/>
    <n v="61854"/>
  </r>
  <r>
    <x v="15"/>
    <x v="21"/>
    <n v="61258.7"/>
  </r>
  <r>
    <x v="15"/>
    <x v="22"/>
    <n v="61122.3"/>
  </r>
  <r>
    <x v="15"/>
    <x v="23"/>
    <n v="61455.9"/>
  </r>
  <r>
    <x v="16"/>
    <x v="0"/>
    <n v="61204.9"/>
  </r>
  <r>
    <x v="16"/>
    <x v="1"/>
    <n v="61337.599999999999"/>
  </r>
  <r>
    <x v="16"/>
    <x v="2"/>
    <n v="61358"/>
  </r>
  <r>
    <x v="16"/>
    <x v="3"/>
    <n v="61342.3"/>
  </r>
  <r>
    <x v="16"/>
    <x v="4"/>
    <n v="61308.800000000003"/>
  </r>
  <r>
    <x v="16"/>
    <x v="5"/>
    <n v="61299.8"/>
  </r>
  <r>
    <x v="16"/>
    <x v="6"/>
    <n v="61334.8"/>
  </r>
  <r>
    <x v="16"/>
    <x v="7"/>
    <n v="61357.2"/>
  </r>
  <r>
    <x v="16"/>
    <x v="8"/>
    <n v="61129.3"/>
  </r>
  <r>
    <x v="16"/>
    <x v="9"/>
    <n v="61455.7"/>
  </r>
  <r>
    <x v="16"/>
    <x v="10"/>
    <n v="61390.1"/>
  </r>
  <r>
    <x v="16"/>
    <x v="11"/>
    <n v="61359.9"/>
  </r>
  <r>
    <x v="16"/>
    <x v="12"/>
    <n v="61329.8"/>
  </r>
  <r>
    <x v="16"/>
    <x v="13"/>
    <n v="61395.7"/>
  </r>
  <r>
    <x v="16"/>
    <x v="14"/>
    <n v="60987.6"/>
  </r>
  <r>
    <x v="16"/>
    <x v="15"/>
    <n v="61052"/>
  </r>
  <r>
    <x v="16"/>
    <x v="16"/>
    <n v="61337.2"/>
  </r>
  <r>
    <x v="16"/>
    <x v="17"/>
    <n v="61102.6"/>
  </r>
  <r>
    <x v="16"/>
    <x v="18"/>
    <n v="61033.7"/>
  </r>
  <r>
    <x v="16"/>
    <x v="19"/>
    <n v="60976.9"/>
  </r>
  <r>
    <x v="16"/>
    <x v="20"/>
    <n v="60941.4"/>
  </r>
  <r>
    <x v="16"/>
    <x v="21"/>
    <n v="60975.6"/>
  </r>
  <r>
    <x v="16"/>
    <x v="22"/>
    <n v="61011.6"/>
  </r>
  <r>
    <x v="16"/>
    <x v="23"/>
    <n v="61011"/>
  </r>
  <r>
    <x v="17"/>
    <x v="0"/>
    <n v="54301"/>
  </r>
  <r>
    <x v="17"/>
    <x v="1"/>
    <n v="54399"/>
  </r>
  <r>
    <x v="17"/>
    <x v="2"/>
    <n v="54188.5"/>
  </r>
  <r>
    <x v="17"/>
    <x v="3"/>
    <n v="54235.6"/>
  </r>
  <r>
    <x v="17"/>
    <x v="4"/>
    <n v="16362.7"/>
  </r>
  <r>
    <x v="17"/>
    <x v="5"/>
    <n v="969.5"/>
  </r>
  <r>
    <x v="17"/>
    <x v="6"/>
    <n v="6814.6"/>
  </r>
  <r>
    <x v="17"/>
    <x v="7"/>
    <n v="17136.8"/>
  </r>
  <r>
    <x v="17"/>
    <x v="8"/>
    <n v="44748.9"/>
  </r>
  <r>
    <x v="17"/>
    <x v="9"/>
    <n v="50766.9"/>
  </r>
  <r>
    <x v="17"/>
    <x v="10"/>
    <n v="53315.5"/>
  </r>
  <r>
    <x v="17"/>
    <x v="11"/>
    <n v="54792.7"/>
  </r>
  <r>
    <x v="17"/>
    <x v="12"/>
    <n v="54770"/>
  </r>
  <r>
    <x v="17"/>
    <x v="13"/>
    <n v="54824.3"/>
  </r>
  <r>
    <x v="17"/>
    <x v="14"/>
    <n v="54774.5"/>
  </r>
  <r>
    <x v="17"/>
    <x v="15"/>
    <n v="54162.5"/>
  </r>
  <r>
    <x v="17"/>
    <x v="16"/>
    <n v="53986"/>
  </r>
  <r>
    <x v="17"/>
    <x v="17"/>
    <n v="54054.7"/>
  </r>
  <r>
    <x v="17"/>
    <x v="18"/>
    <n v="54025.3"/>
  </r>
  <r>
    <x v="17"/>
    <x v="19"/>
    <n v="54086.3"/>
  </r>
  <r>
    <x v="17"/>
    <x v="20"/>
    <n v="54016.800000000003"/>
  </r>
  <r>
    <x v="17"/>
    <x v="21"/>
    <n v="53959.199999999997"/>
  </r>
  <r>
    <x v="17"/>
    <x v="22"/>
    <n v="54149.4"/>
  </r>
  <r>
    <x v="17"/>
    <x v="23"/>
    <n v="53785.5"/>
  </r>
  <r>
    <x v="18"/>
    <x v="0"/>
    <n v="53918.5"/>
  </r>
  <r>
    <x v="18"/>
    <x v="1"/>
    <n v="54103.7"/>
  </r>
  <r>
    <x v="18"/>
    <x v="2"/>
    <n v="54047.9"/>
  </r>
  <r>
    <x v="18"/>
    <x v="3"/>
    <n v="53776.6"/>
  </r>
  <r>
    <x v="18"/>
    <x v="4"/>
    <n v="16647.2"/>
  </r>
  <r>
    <x v="18"/>
    <x v="5"/>
    <n v="358.7"/>
  </r>
  <r>
    <x v="18"/>
    <x v="6"/>
    <n v="6042"/>
  </r>
  <r>
    <x v="18"/>
    <x v="7"/>
    <n v="17463"/>
  </r>
  <r>
    <x v="18"/>
    <x v="8"/>
    <n v="41462.800000000003"/>
  </r>
  <r>
    <x v="18"/>
    <x v="9"/>
    <n v="47951"/>
  </r>
  <r>
    <x v="18"/>
    <x v="10"/>
    <n v="47966.3"/>
  </r>
  <r>
    <x v="18"/>
    <x v="11"/>
    <n v="48247.4"/>
  </r>
  <r>
    <x v="18"/>
    <x v="12"/>
    <n v="51945.7"/>
  </r>
  <r>
    <x v="18"/>
    <x v="13"/>
    <n v="51125.3"/>
  </r>
  <r>
    <x v="18"/>
    <x v="14"/>
    <n v="53560.5"/>
  </r>
  <r>
    <x v="18"/>
    <x v="15"/>
    <n v="53817"/>
  </r>
  <r>
    <x v="18"/>
    <x v="16"/>
    <n v="53755.3"/>
  </r>
  <r>
    <x v="18"/>
    <x v="17"/>
    <n v="53277.1"/>
  </r>
  <r>
    <x v="18"/>
    <x v="18"/>
    <n v="53355.5"/>
  </r>
  <r>
    <x v="18"/>
    <x v="19"/>
    <n v="53266.2"/>
  </r>
  <r>
    <x v="18"/>
    <x v="20"/>
    <n v="53154.5"/>
  </r>
  <r>
    <x v="18"/>
    <x v="21"/>
    <n v="53028.1"/>
  </r>
  <r>
    <x v="18"/>
    <x v="22"/>
    <n v="53004.2"/>
  </r>
  <r>
    <x v="18"/>
    <x v="23"/>
    <n v="52959.5"/>
  </r>
  <r>
    <x v="19"/>
    <x v="0"/>
    <n v="52808.7"/>
  </r>
  <r>
    <x v="19"/>
    <x v="1"/>
    <n v="53656.800000000003"/>
  </r>
  <r>
    <x v="19"/>
    <x v="2"/>
    <n v="53709.9"/>
  </r>
  <r>
    <x v="19"/>
    <x v="3"/>
    <n v="53607.8"/>
  </r>
  <r>
    <x v="19"/>
    <x v="4"/>
    <n v="16660.7"/>
  </r>
  <r>
    <x v="19"/>
    <x v="5"/>
    <n v="190.2"/>
  </r>
  <r>
    <x v="19"/>
    <x v="6"/>
    <n v="5309.7"/>
  </r>
  <r>
    <x v="19"/>
    <x v="7"/>
    <n v="17403.400000000001"/>
  </r>
  <r>
    <x v="19"/>
    <x v="8"/>
    <n v="43266.400000000001"/>
  </r>
  <r>
    <x v="19"/>
    <x v="9"/>
    <n v="54157.599999999999"/>
  </r>
  <r>
    <x v="19"/>
    <x v="10"/>
    <n v="54318"/>
  </r>
  <r>
    <x v="19"/>
    <x v="11"/>
    <n v="54044.800000000003"/>
  </r>
  <r>
    <x v="19"/>
    <x v="12"/>
    <n v="54117.2"/>
  </r>
  <r>
    <x v="19"/>
    <x v="13"/>
    <n v="54384"/>
  </r>
  <r>
    <x v="19"/>
    <x v="14"/>
    <n v="54371.9"/>
  </r>
  <r>
    <x v="19"/>
    <x v="15"/>
    <n v="54493.599999999999"/>
  </r>
  <r>
    <x v="19"/>
    <x v="16"/>
    <n v="54549.2"/>
  </r>
  <r>
    <x v="19"/>
    <x v="17"/>
    <n v="54527.8"/>
  </r>
  <r>
    <x v="19"/>
    <x v="18"/>
    <n v="54414.2"/>
  </r>
  <r>
    <x v="19"/>
    <x v="19"/>
    <n v="54501"/>
  </r>
  <r>
    <x v="19"/>
    <x v="20"/>
    <n v="54409.4"/>
  </r>
  <r>
    <x v="19"/>
    <x v="21"/>
    <n v="54405"/>
  </r>
  <r>
    <x v="19"/>
    <x v="22"/>
    <n v="53895"/>
  </r>
  <r>
    <x v="19"/>
    <x v="23"/>
    <n v="53808.5"/>
  </r>
  <r>
    <x v="20"/>
    <x v="0"/>
    <n v="54160.800000000003"/>
  </r>
  <r>
    <x v="20"/>
    <x v="1"/>
    <n v="53881.7"/>
  </r>
  <r>
    <x v="20"/>
    <x v="2"/>
    <n v="54147.8"/>
  </r>
  <r>
    <x v="20"/>
    <x v="3"/>
    <n v="54084"/>
  </r>
  <r>
    <x v="20"/>
    <x v="4"/>
    <n v="54149.4"/>
  </r>
  <r>
    <x v="20"/>
    <x v="5"/>
    <n v="54525"/>
  </r>
  <r>
    <x v="20"/>
    <x v="6"/>
    <n v="54266"/>
  </r>
  <r>
    <x v="20"/>
    <x v="7"/>
    <n v="54270.1"/>
  </r>
  <r>
    <x v="20"/>
    <x v="8"/>
    <n v="54144.4"/>
  </r>
  <r>
    <x v="20"/>
    <x v="9"/>
    <n v="54534.9"/>
  </r>
  <r>
    <x v="20"/>
    <x v="10"/>
    <n v="54288.800000000003"/>
  </r>
  <r>
    <x v="20"/>
    <x v="11"/>
    <n v="54095.4"/>
  </r>
  <r>
    <x v="20"/>
    <x v="12"/>
    <n v="54193.4"/>
  </r>
  <r>
    <x v="20"/>
    <x v="13"/>
    <n v="54002.2"/>
  </r>
  <r>
    <x v="20"/>
    <x v="14"/>
    <n v="54236.2"/>
  </r>
  <r>
    <x v="20"/>
    <x v="15"/>
    <n v="54256.1"/>
  </r>
  <r>
    <x v="20"/>
    <x v="16"/>
    <n v="53156.7"/>
  </r>
  <r>
    <x v="20"/>
    <x v="17"/>
    <n v="53773.8"/>
  </r>
  <r>
    <x v="20"/>
    <x v="18"/>
    <n v="53866.7"/>
  </r>
  <r>
    <x v="20"/>
    <x v="19"/>
    <n v="53790.7"/>
  </r>
  <r>
    <x v="20"/>
    <x v="20"/>
    <n v="53851.6"/>
  </r>
  <r>
    <x v="20"/>
    <x v="21"/>
    <n v="53809.9"/>
  </r>
  <r>
    <x v="20"/>
    <x v="22"/>
    <n v="53812.800000000003"/>
  </r>
  <r>
    <x v="20"/>
    <x v="23"/>
    <n v="53608.9"/>
  </r>
  <r>
    <x v="21"/>
    <x v="0"/>
    <n v="53049.3"/>
  </r>
  <r>
    <x v="21"/>
    <x v="1"/>
    <n v="53180.3"/>
  </r>
  <r>
    <x v="21"/>
    <x v="2"/>
    <n v="53162.3"/>
  </r>
  <r>
    <x v="21"/>
    <x v="3"/>
    <n v="53212.5"/>
  </r>
  <r>
    <x v="21"/>
    <x v="4"/>
    <n v="53253.5"/>
  </r>
  <r>
    <x v="21"/>
    <x v="5"/>
    <n v="53551.3"/>
  </r>
  <r>
    <x v="21"/>
    <x v="6"/>
    <n v="53456.800000000003"/>
  </r>
  <r>
    <x v="21"/>
    <x v="7"/>
    <n v="53539.9"/>
  </r>
  <r>
    <x v="21"/>
    <x v="8"/>
    <n v="53957"/>
  </r>
  <r>
    <x v="21"/>
    <x v="9"/>
    <n v="54041.7"/>
  </r>
  <r>
    <x v="21"/>
    <x v="10"/>
    <n v="54059.199999999997"/>
  </r>
  <r>
    <x v="21"/>
    <x v="11"/>
    <n v="54081.599999999999"/>
  </r>
  <r>
    <x v="21"/>
    <x v="12"/>
    <n v="54147"/>
  </r>
  <r>
    <x v="21"/>
    <x v="13"/>
    <n v="54098.8"/>
  </r>
  <r>
    <x v="21"/>
    <x v="14"/>
    <n v="54164.800000000003"/>
  </r>
  <r>
    <x v="21"/>
    <x v="15"/>
    <n v="54122"/>
  </r>
  <r>
    <x v="21"/>
    <x v="16"/>
    <n v="54148.4"/>
  </r>
  <r>
    <x v="21"/>
    <x v="17"/>
    <n v="54009"/>
  </r>
  <r>
    <x v="21"/>
    <x v="18"/>
    <n v="54135.8"/>
  </r>
  <r>
    <x v="21"/>
    <x v="19"/>
    <n v="54103.199999999997"/>
  </r>
  <r>
    <x v="21"/>
    <x v="20"/>
    <n v="53927.3"/>
  </r>
  <r>
    <x v="21"/>
    <x v="21"/>
    <n v="53958.1"/>
  </r>
  <r>
    <x v="21"/>
    <x v="22"/>
    <n v="53887"/>
  </r>
  <r>
    <x v="21"/>
    <x v="23"/>
    <n v="53793.3"/>
  </r>
  <r>
    <x v="22"/>
    <x v="0"/>
    <n v="54271.5"/>
  </r>
  <r>
    <x v="22"/>
    <x v="1"/>
    <n v="54360.2"/>
  </r>
  <r>
    <x v="22"/>
    <x v="2"/>
    <n v="54009.2"/>
  </r>
  <r>
    <x v="22"/>
    <x v="3"/>
    <n v="54085.3"/>
  </r>
  <r>
    <x v="22"/>
    <x v="4"/>
    <n v="54180.2"/>
  </r>
  <r>
    <x v="22"/>
    <x v="5"/>
    <n v="54098.1"/>
  </r>
  <r>
    <x v="22"/>
    <x v="6"/>
    <n v="54060.9"/>
  </r>
  <r>
    <x v="22"/>
    <x v="7"/>
    <n v="54157.8"/>
  </r>
  <r>
    <x v="22"/>
    <x v="8"/>
    <n v="54054.9"/>
  </r>
  <r>
    <x v="22"/>
    <x v="9"/>
    <n v="53909"/>
  </r>
  <r>
    <x v="22"/>
    <x v="10"/>
    <n v="54724.1"/>
  </r>
  <r>
    <x v="22"/>
    <x v="11"/>
    <n v="54353.4"/>
  </r>
  <r>
    <x v="22"/>
    <x v="12"/>
    <n v="54682.7"/>
  </r>
  <r>
    <x v="22"/>
    <x v="13"/>
    <n v="54351.3"/>
  </r>
  <r>
    <x v="22"/>
    <x v="14"/>
    <n v="54359.9"/>
  </r>
  <r>
    <x v="22"/>
    <x v="15"/>
    <n v="54212"/>
  </r>
  <r>
    <x v="22"/>
    <x v="16"/>
    <n v="54255.199999999997"/>
  </r>
  <r>
    <x v="22"/>
    <x v="17"/>
    <n v="54126.8"/>
  </r>
  <r>
    <x v="22"/>
    <x v="18"/>
    <n v="54017.1"/>
  </r>
  <r>
    <x v="22"/>
    <x v="19"/>
    <n v="54165.2"/>
  </r>
  <r>
    <x v="22"/>
    <x v="20"/>
    <n v="54130.3"/>
  </r>
  <r>
    <x v="22"/>
    <x v="21"/>
    <n v="54032.800000000003"/>
  </r>
  <r>
    <x v="22"/>
    <x v="22"/>
    <n v="54114.2"/>
  </r>
  <r>
    <x v="22"/>
    <x v="23"/>
    <n v="53984"/>
  </r>
  <r>
    <x v="23"/>
    <x v="0"/>
    <n v="52791.9"/>
  </r>
  <r>
    <x v="23"/>
    <x v="1"/>
    <n v="54470.1"/>
  </r>
  <r>
    <x v="23"/>
    <x v="2"/>
    <n v="53524"/>
  </r>
  <r>
    <x v="23"/>
    <x v="3"/>
    <n v="52154.5"/>
  </r>
  <r>
    <x v="23"/>
    <x v="4"/>
    <n v="53657.2"/>
  </r>
  <r>
    <x v="23"/>
    <x v="5"/>
    <n v="53646.7"/>
  </r>
  <r>
    <x v="23"/>
    <x v="6"/>
    <n v="53626.3"/>
  </r>
  <r>
    <x v="23"/>
    <x v="7"/>
    <n v="53567.9"/>
  </r>
  <r>
    <x v="23"/>
    <x v="8"/>
    <n v="53578.1"/>
  </r>
  <r>
    <x v="23"/>
    <x v="9"/>
    <n v="53575"/>
  </r>
  <r>
    <x v="23"/>
    <x v="10"/>
    <n v="55119.9"/>
  </r>
  <r>
    <x v="23"/>
    <x v="11"/>
    <n v="54885"/>
  </r>
  <r>
    <x v="23"/>
    <x v="12"/>
    <n v="54969.7"/>
  </r>
  <r>
    <x v="23"/>
    <x v="13"/>
    <n v="54952.3"/>
  </r>
  <r>
    <x v="23"/>
    <x v="14"/>
    <n v="55026.2"/>
  </r>
  <r>
    <x v="23"/>
    <x v="15"/>
    <n v="54911.7"/>
  </r>
  <r>
    <x v="23"/>
    <x v="16"/>
    <n v="54882.3"/>
  </r>
  <r>
    <x v="23"/>
    <x v="17"/>
    <n v="54920.4"/>
  </r>
  <r>
    <x v="23"/>
    <x v="18"/>
    <n v="54864.6"/>
  </r>
  <r>
    <x v="23"/>
    <x v="19"/>
    <n v="54807.5"/>
  </r>
  <r>
    <x v="23"/>
    <x v="20"/>
    <n v="54728.4"/>
  </r>
  <r>
    <x v="23"/>
    <x v="21"/>
    <n v="54721"/>
  </r>
  <r>
    <x v="23"/>
    <x v="22"/>
    <n v="54709.5"/>
  </r>
  <r>
    <x v="23"/>
    <x v="23"/>
    <n v="54801.599999999999"/>
  </r>
  <r>
    <x v="24"/>
    <x v="0"/>
    <n v="61362.2"/>
  </r>
  <r>
    <x v="24"/>
    <x v="1"/>
    <n v="61724"/>
  </r>
  <r>
    <x v="24"/>
    <x v="2"/>
    <n v="63769"/>
  </r>
  <r>
    <x v="24"/>
    <x v="3"/>
    <n v="63827.9"/>
  </r>
  <r>
    <x v="24"/>
    <x v="4"/>
    <n v="62895.4"/>
  </r>
  <r>
    <x v="24"/>
    <x v="5"/>
    <n v="26765.5"/>
  </r>
  <r>
    <x v="24"/>
    <x v="6"/>
    <n v="130.5"/>
  </r>
  <r>
    <x v="24"/>
    <x v="7"/>
    <n v="20470.8"/>
  </r>
  <r>
    <x v="24"/>
    <x v="8"/>
    <n v="44275.7"/>
  </r>
  <r>
    <x v="24"/>
    <x v="9"/>
    <n v="61108.6"/>
  </r>
  <r>
    <x v="24"/>
    <x v="10"/>
    <n v="62783.199999999997"/>
  </r>
  <r>
    <x v="24"/>
    <x v="11"/>
    <n v="62945.2"/>
  </r>
  <r>
    <x v="24"/>
    <x v="12"/>
    <n v="62927.5"/>
  </r>
  <r>
    <x v="24"/>
    <x v="13"/>
    <n v="62948.5"/>
  </r>
  <r>
    <x v="24"/>
    <x v="14"/>
    <n v="63018.3"/>
  </r>
  <r>
    <x v="24"/>
    <x v="15"/>
    <n v="62990.3"/>
  </r>
  <r>
    <x v="24"/>
    <x v="16"/>
    <n v="62991.7"/>
  </r>
  <r>
    <x v="24"/>
    <x v="17"/>
    <n v="62914.7"/>
  </r>
  <r>
    <x v="24"/>
    <x v="18"/>
    <n v="63015.3"/>
  </r>
  <r>
    <x v="24"/>
    <x v="19"/>
    <n v="62916"/>
  </r>
  <r>
    <x v="24"/>
    <x v="20"/>
    <n v="60780.4"/>
  </r>
  <r>
    <x v="24"/>
    <x v="21"/>
    <n v="62674.6"/>
  </r>
  <r>
    <x v="24"/>
    <x v="22"/>
    <n v="62859.7"/>
  </r>
  <r>
    <x v="24"/>
    <x v="23"/>
    <n v="62861.3"/>
  </r>
  <r>
    <x v="25"/>
    <x v="0"/>
    <n v="62624.2"/>
  </r>
  <r>
    <x v="25"/>
    <x v="1"/>
    <n v="62737.7"/>
  </r>
  <r>
    <x v="25"/>
    <x v="2"/>
    <n v="62646.7"/>
  </r>
  <r>
    <x v="25"/>
    <x v="3"/>
    <n v="61514.9"/>
  </r>
  <r>
    <x v="25"/>
    <x v="4"/>
    <n v="62076.9"/>
  </r>
  <r>
    <x v="25"/>
    <x v="5"/>
    <n v="61993.8"/>
  </r>
  <r>
    <x v="25"/>
    <x v="6"/>
    <n v="61897.1"/>
  </r>
  <r>
    <x v="25"/>
    <x v="7"/>
    <n v="61903.3"/>
  </r>
  <r>
    <x v="25"/>
    <x v="8"/>
    <n v="62063"/>
  </r>
  <r>
    <x v="25"/>
    <x v="9"/>
    <n v="61910.8"/>
  </r>
  <r>
    <x v="25"/>
    <x v="10"/>
    <n v="61845.9"/>
  </r>
  <r>
    <x v="25"/>
    <x v="11"/>
    <n v="62259.4"/>
  </r>
  <r>
    <x v="25"/>
    <x v="12"/>
    <n v="62721.2"/>
  </r>
  <r>
    <x v="25"/>
    <x v="13"/>
    <n v="63673.3"/>
  </r>
  <r>
    <x v="25"/>
    <x v="14"/>
    <n v="63523.8"/>
  </r>
  <r>
    <x v="25"/>
    <x v="15"/>
    <n v="63025.1"/>
  </r>
  <r>
    <x v="25"/>
    <x v="16"/>
    <n v="62572"/>
  </r>
  <r>
    <x v="25"/>
    <x v="17"/>
    <n v="63243.199999999997"/>
  </r>
  <r>
    <x v="25"/>
    <x v="18"/>
    <n v="63554.6"/>
  </r>
  <r>
    <x v="25"/>
    <x v="19"/>
    <n v="61332"/>
  </r>
  <r>
    <x v="25"/>
    <x v="20"/>
    <n v="61982.1"/>
  </r>
  <r>
    <x v="25"/>
    <x v="21"/>
    <n v="63359.5"/>
  </r>
  <r>
    <x v="25"/>
    <x v="22"/>
    <n v="63180.800000000003"/>
  </r>
  <r>
    <x v="25"/>
    <x v="23"/>
    <n v="63328"/>
  </r>
  <r>
    <x v="26"/>
    <x v="0"/>
    <n v="63191.7"/>
  </r>
  <r>
    <x v="26"/>
    <x v="1"/>
    <n v="63227.8"/>
  </r>
  <r>
    <x v="26"/>
    <x v="2"/>
    <n v="63293.9"/>
  </r>
  <r>
    <x v="26"/>
    <x v="3"/>
    <n v="63264.800000000003"/>
  </r>
  <r>
    <x v="26"/>
    <x v="4"/>
    <n v="63397.3"/>
  </r>
  <r>
    <x v="26"/>
    <x v="5"/>
    <n v="62618.5"/>
  </r>
  <r>
    <x v="26"/>
    <x v="6"/>
    <n v="62043.4"/>
  </r>
  <r>
    <x v="26"/>
    <x v="7"/>
    <n v="62169.9"/>
  </r>
  <r>
    <x v="26"/>
    <x v="8"/>
    <n v="61930.400000000001"/>
  </r>
  <r>
    <x v="26"/>
    <x v="9"/>
    <n v="61880.7"/>
  </r>
  <r>
    <x v="26"/>
    <x v="10"/>
    <n v="61872.4"/>
  </r>
  <r>
    <x v="26"/>
    <x v="11"/>
    <n v="61812.6"/>
  </r>
  <r>
    <x v="26"/>
    <x v="12"/>
    <n v="61873.7"/>
  </r>
  <r>
    <x v="26"/>
    <x v="13"/>
    <n v="62582.400000000001"/>
  </r>
  <r>
    <x v="26"/>
    <x v="14"/>
    <n v="63555.3"/>
  </r>
  <r>
    <x v="26"/>
    <x v="15"/>
    <n v="63689.3"/>
  </r>
  <r>
    <x v="26"/>
    <x v="16"/>
    <n v="62014"/>
  </r>
  <r>
    <x v="26"/>
    <x v="17"/>
    <n v="62868.7"/>
  </r>
  <r>
    <x v="26"/>
    <x v="18"/>
    <n v="62869.599999999999"/>
  </r>
  <r>
    <x v="26"/>
    <x v="19"/>
    <n v="62868.2"/>
  </r>
  <r>
    <x v="26"/>
    <x v="20"/>
    <n v="62313.599999999999"/>
  </r>
  <r>
    <x v="26"/>
    <x v="21"/>
    <n v="62417.4"/>
  </r>
  <r>
    <x v="26"/>
    <x v="22"/>
    <n v="64185.8"/>
  </r>
  <r>
    <x v="26"/>
    <x v="23"/>
    <n v="63891.199999999997"/>
  </r>
  <r>
    <x v="27"/>
    <x v="0"/>
    <n v="54588.6"/>
  </r>
  <r>
    <x v="27"/>
    <x v="1"/>
    <n v="53783.8"/>
  </r>
  <r>
    <x v="27"/>
    <x v="2"/>
    <n v="54445.7"/>
  </r>
  <r>
    <x v="27"/>
    <x v="3"/>
    <n v="54459.9"/>
  </r>
  <r>
    <x v="27"/>
    <x v="4"/>
    <n v="54111.3"/>
  </r>
  <r>
    <x v="27"/>
    <x v="5"/>
    <n v="54198.6"/>
  </r>
  <r>
    <x v="27"/>
    <x v="6"/>
    <n v="54039.1"/>
  </r>
  <r>
    <x v="27"/>
    <x v="7"/>
    <n v="54268.1"/>
  </r>
  <r>
    <x v="27"/>
    <x v="8"/>
    <n v="53749.1"/>
  </r>
  <r>
    <x v="27"/>
    <x v="9"/>
    <n v="53787.199999999997"/>
  </r>
  <r>
    <x v="27"/>
    <x v="10"/>
    <n v="53973.4"/>
  </r>
  <r>
    <x v="27"/>
    <x v="11"/>
    <n v="54213.1"/>
  </r>
  <r>
    <x v="27"/>
    <x v="12"/>
    <n v="54205.7"/>
  </r>
  <r>
    <x v="27"/>
    <x v="13"/>
    <n v="54096.800000000003"/>
  </r>
  <r>
    <x v="27"/>
    <x v="14"/>
    <n v="54257.8"/>
  </r>
  <r>
    <x v="27"/>
    <x v="15"/>
    <n v="54205.5"/>
  </r>
  <r>
    <x v="27"/>
    <x v="16"/>
    <n v="53636.1"/>
  </r>
  <r>
    <x v="27"/>
    <x v="17"/>
    <n v="54371.4"/>
  </r>
  <r>
    <x v="27"/>
    <x v="18"/>
    <n v="54169.3"/>
  </r>
  <r>
    <x v="27"/>
    <x v="19"/>
    <n v="54124.4"/>
  </r>
  <r>
    <x v="27"/>
    <x v="20"/>
    <n v="54073"/>
  </r>
  <r>
    <x v="27"/>
    <x v="21"/>
    <n v="53601.4"/>
  </r>
  <r>
    <x v="27"/>
    <x v="22"/>
    <n v="54012.6"/>
  </r>
  <r>
    <x v="27"/>
    <x v="23"/>
    <n v="54655.7"/>
  </r>
  <r>
    <x v="28"/>
    <x v="0"/>
    <n v="55096.5"/>
  </r>
  <r>
    <x v="28"/>
    <x v="1"/>
    <n v="52874.9"/>
  </r>
  <r>
    <x v="28"/>
    <x v="2"/>
    <n v="52226.1"/>
  </r>
  <r>
    <x v="28"/>
    <x v="3"/>
    <n v="53369.7"/>
  </r>
  <r>
    <x v="28"/>
    <x v="4"/>
    <n v="53076.7"/>
  </r>
  <r>
    <x v="28"/>
    <x v="5"/>
    <n v="16590.400000000001"/>
  </r>
  <r>
    <x v="28"/>
    <x v="6"/>
    <n v="1178.5"/>
  </r>
  <r>
    <x v="28"/>
    <x v="7"/>
    <n v="0"/>
  </r>
  <r>
    <x v="28"/>
    <x v="8"/>
    <n v="0"/>
  </r>
  <r>
    <x v="28"/>
    <x v="9"/>
    <n v="3871.8"/>
  </r>
  <r>
    <x v="28"/>
    <x v="10"/>
    <n v="17397"/>
  </r>
  <r>
    <x v="28"/>
    <x v="11"/>
    <n v="42936"/>
  </r>
  <r>
    <x v="28"/>
    <x v="12"/>
    <n v="53152.2"/>
  </r>
  <r>
    <x v="28"/>
    <x v="13"/>
    <n v="57618.400000000001"/>
  </r>
  <r>
    <x v="28"/>
    <x v="14"/>
    <n v="67094.399999999994"/>
  </r>
  <r>
    <x v="28"/>
    <x v="15"/>
    <n v="54259.4"/>
  </r>
  <r>
    <x v="28"/>
    <x v="16"/>
    <n v="53732.1"/>
  </r>
  <r>
    <x v="28"/>
    <x v="17"/>
    <n v="53061.2"/>
  </r>
  <r>
    <x v="28"/>
    <x v="18"/>
    <n v="54251.7"/>
  </r>
  <r>
    <x v="28"/>
    <x v="19"/>
    <n v="54406.7"/>
  </r>
  <r>
    <x v="28"/>
    <x v="20"/>
    <n v="54438.9"/>
  </r>
  <r>
    <x v="28"/>
    <x v="21"/>
    <n v="54344.2"/>
  </r>
  <r>
    <x v="28"/>
    <x v="22"/>
    <n v="54426.3"/>
  </r>
  <r>
    <x v="28"/>
    <x v="23"/>
    <n v="54229.599999999999"/>
  </r>
  <r>
    <x v="29"/>
    <x v="0"/>
    <n v="62594.3"/>
  </r>
  <r>
    <x v="29"/>
    <x v="1"/>
    <n v="63128.9"/>
  </r>
  <r>
    <x v="29"/>
    <x v="2"/>
    <n v="63119.199999999997"/>
  </r>
  <r>
    <x v="29"/>
    <x v="3"/>
    <n v="62282.3"/>
  </r>
  <r>
    <x v="29"/>
    <x v="4"/>
    <n v="25831"/>
  </r>
  <r>
    <x v="29"/>
    <x v="5"/>
    <n v="2144.1999999999998"/>
  </r>
  <r>
    <x v="29"/>
    <x v="6"/>
    <n v="5994.1"/>
  </r>
  <r>
    <x v="29"/>
    <x v="7"/>
    <n v="17040.5"/>
  </r>
  <r>
    <x v="29"/>
    <x v="8"/>
    <n v="44306.8"/>
  </r>
  <r>
    <x v="29"/>
    <x v="9"/>
    <n v="61715.6"/>
  </r>
  <r>
    <x v="29"/>
    <x v="10"/>
    <n v="64377.7"/>
  </r>
  <r>
    <x v="29"/>
    <x v="11"/>
    <n v="63946.6"/>
  </r>
  <r>
    <x v="29"/>
    <x v="12"/>
    <n v="63931.199999999997"/>
  </r>
  <r>
    <x v="29"/>
    <x v="13"/>
    <n v="63729.4"/>
  </r>
  <r>
    <x v="29"/>
    <x v="14"/>
    <n v="62417.2"/>
  </r>
  <r>
    <x v="29"/>
    <x v="15"/>
    <n v="63149.4"/>
  </r>
  <r>
    <x v="29"/>
    <x v="16"/>
    <n v="63129.3"/>
  </r>
  <r>
    <x v="29"/>
    <x v="17"/>
    <n v="63032.6"/>
  </r>
  <r>
    <x v="29"/>
    <x v="18"/>
    <n v="63133.3"/>
  </r>
  <r>
    <x v="29"/>
    <x v="19"/>
    <n v="63169.1"/>
  </r>
  <r>
    <x v="29"/>
    <x v="20"/>
    <n v="63070.9"/>
  </r>
  <r>
    <x v="29"/>
    <x v="21"/>
    <n v="62985.7"/>
  </r>
  <r>
    <x v="29"/>
    <x v="22"/>
    <n v="63146"/>
  </r>
  <r>
    <x v="29"/>
    <x v="23"/>
    <n v="63359.5"/>
  </r>
  <r>
    <x v="30"/>
    <x v="0"/>
    <n v="63038"/>
  </r>
  <r>
    <x v="30"/>
    <x v="1"/>
    <n v="59465.5"/>
  </r>
  <r>
    <x v="30"/>
    <x v="2"/>
    <n v="61168.9"/>
  </r>
  <r>
    <x v="30"/>
    <x v="3"/>
    <n v="61224.1"/>
  </r>
  <r>
    <x v="30"/>
    <x v="4"/>
    <n v="60379.5"/>
  </r>
  <r>
    <x v="30"/>
    <x v="5"/>
    <n v="61281"/>
  </r>
  <r>
    <x v="30"/>
    <x v="6"/>
    <n v="60440.1"/>
  </r>
  <r>
    <x v="30"/>
    <x v="7"/>
    <n v="60896.6"/>
  </r>
  <r>
    <x v="30"/>
    <x v="8"/>
    <n v="60769.2"/>
  </r>
  <r>
    <x v="30"/>
    <x v="9"/>
    <n v="61809.7"/>
  </r>
  <r>
    <x v="30"/>
    <x v="10"/>
    <n v="62880.4"/>
  </r>
  <r>
    <x v="30"/>
    <x v="11"/>
    <n v="63871.8"/>
  </r>
  <r>
    <x v="30"/>
    <x v="12"/>
    <n v="63954.2"/>
  </r>
  <r>
    <x v="30"/>
    <x v="13"/>
    <n v="63781.5"/>
  </r>
  <r>
    <x v="30"/>
    <x v="14"/>
    <n v="63127.6"/>
  </r>
  <r>
    <x v="30"/>
    <x v="15"/>
    <n v="62485.3"/>
  </r>
  <r>
    <x v="30"/>
    <x v="16"/>
    <n v="62501.9"/>
  </r>
  <r>
    <x v="30"/>
    <x v="17"/>
    <n v="62469.3"/>
  </r>
  <r>
    <x v="30"/>
    <x v="18"/>
    <n v="62243.199999999997"/>
  </r>
  <r>
    <x v="30"/>
    <x v="19"/>
    <n v="62944.6"/>
  </r>
  <r>
    <x v="30"/>
    <x v="20"/>
    <n v="64135.3"/>
  </r>
  <r>
    <x v="30"/>
    <x v="21"/>
    <n v="64147.1"/>
  </r>
  <r>
    <x v="30"/>
    <x v="22"/>
    <n v="63248.2"/>
  </r>
  <r>
    <x v="30"/>
    <x v="23"/>
    <n v="62007.3"/>
  </r>
  <r>
    <x v="31"/>
    <x v="0"/>
    <n v="64255.199999999997"/>
  </r>
  <r>
    <x v="31"/>
    <x v="1"/>
    <n v="64054.1"/>
  </r>
  <r>
    <x v="31"/>
    <x v="2"/>
    <n v="64053.1"/>
  </r>
  <r>
    <x v="31"/>
    <x v="3"/>
    <n v="64060.800000000003"/>
  </r>
  <r>
    <x v="31"/>
    <x v="4"/>
    <n v="63797.8"/>
  </r>
  <r>
    <x v="31"/>
    <x v="5"/>
    <n v="63355.9"/>
  </r>
  <r>
    <x v="31"/>
    <x v="6"/>
    <n v="63349.1"/>
  </r>
  <r>
    <x v="31"/>
    <x v="7"/>
    <n v="63043.3"/>
  </r>
  <r>
    <x v="31"/>
    <x v="8"/>
    <n v="60885.9"/>
  </r>
  <r>
    <x v="31"/>
    <x v="9"/>
    <n v="63020.4"/>
  </r>
  <r>
    <x v="31"/>
    <x v="10"/>
    <n v="63984.2"/>
  </r>
  <r>
    <x v="31"/>
    <x v="11"/>
    <n v="63872.6"/>
  </r>
  <r>
    <x v="31"/>
    <x v="12"/>
    <n v="64114.6"/>
  </r>
  <r>
    <x v="31"/>
    <x v="13"/>
    <n v="56237.9"/>
  </r>
  <r>
    <x v="31"/>
    <x v="14"/>
    <n v="53103.3"/>
  </r>
  <r>
    <x v="31"/>
    <x v="15"/>
    <n v="54228.2"/>
  </r>
  <r>
    <x v="31"/>
    <x v="16"/>
    <n v="53426.6"/>
  </r>
  <r>
    <x v="31"/>
    <x v="17"/>
    <n v="53546"/>
  </r>
  <r>
    <x v="31"/>
    <x v="18"/>
    <n v="53635.4"/>
  </r>
  <r>
    <x v="31"/>
    <x v="19"/>
    <n v="54313.1"/>
  </r>
  <r>
    <x v="31"/>
    <x v="20"/>
    <n v="54413.8"/>
  </r>
  <r>
    <x v="31"/>
    <x v="21"/>
    <n v="54386.1"/>
  </r>
  <r>
    <x v="31"/>
    <x v="22"/>
    <n v="54358.9"/>
  </r>
  <r>
    <x v="31"/>
    <x v="23"/>
    <n v="54348.2"/>
  </r>
  <r>
    <x v="32"/>
    <x v="0"/>
    <n v="54457.5"/>
  </r>
  <r>
    <x v="32"/>
    <x v="1"/>
    <n v="54354.7"/>
  </r>
  <r>
    <x v="32"/>
    <x v="2"/>
    <n v="54576.7"/>
  </r>
  <r>
    <x v="32"/>
    <x v="3"/>
    <n v="52542.9"/>
  </r>
  <r>
    <x v="32"/>
    <x v="4"/>
    <n v="17381.400000000001"/>
  </r>
  <r>
    <x v="32"/>
    <x v="5"/>
    <n v="1546.8"/>
  </r>
  <r>
    <x v="32"/>
    <x v="6"/>
    <n v="5460.2"/>
  </r>
  <r>
    <x v="32"/>
    <x v="7"/>
    <n v="18359.5"/>
  </r>
  <r>
    <x v="32"/>
    <x v="8"/>
    <n v="44757.1"/>
  </r>
  <r>
    <x v="32"/>
    <x v="9"/>
    <n v="53262.3"/>
  </r>
  <r>
    <x v="32"/>
    <x v="10"/>
    <n v="53865.1"/>
  </r>
  <r>
    <x v="32"/>
    <x v="11"/>
    <n v="53434.8"/>
  </r>
  <r>
    <x v="32"/>
    <x v="12"/>
    <n v="53128.6"/>
  </r>
  <r>
    <x v="32"/>
    <x v="13"/>
    <n v="54013.599999999999"/>
  </r>
  <r>
    <x v="32"/>
    <x v="14"/>
    <n v="53744.7"/>
  </r>
  <r>
    <x v="32"/>
    <x v="15"/>
    <n v="53084.1"/>
  </r>
  <r>
    <x v="32"/>
    <x v="16"/>
    <n v="54114.6"/>
  </r>
  <r>
    <x v="32"/>
    <x v="17"/>
    <n v="54497.2"/>
  </r>
  <r>
    <x v="32"/>
    <x v="18"/>
    <n v="54574.8"/>
  </r>
  <r>
    <x v="32"/>
    <x v="19"/>
    <n v="53973"/>
  </r>
  <r>
    <x v="32"/>
    <x v="20"/>
    <n v="54168.6"/>
  </r>
  <r>
    <x v="32"/>
    <x v="21"/>
    <n v="54181.3"/>
  </r>
  <r>
    <x v="32"/>
    <x v="22"/>
    <n v="54197.2"/>
  </r>
  <r>
    <x v="32"/>
    <x v="23"/>
    <n v="54310.9"/>
  </r>
  <r>
    <x v="33"/>
    <x v="0"/>
    <n v="64315.7"/>
  </r>
  <r>
    <x v="33"/>
    <x v="1"/>
    <n v="62331.1"/>
  </r>
  <r>
    <x v="33"/>
    <x v="2"/>
    <n v="62553.3"/>
  </r>
  <r>
    <x v="33"/>
    <x v="3"/>
    <n v="62851.5"/>
  </r>
  <r>
    <x v="33"/>
    <x v="4"/>
    <n v="26418"/>
  </r>
  <r>
    <x v="33"/>
    <x v="5"/>
    <n v="1774.3"/>
  </r>
  <r>
    <x v="33"/>
    <x v="6"/>
    <n v="8447.9"/>
  </r>
  <r>
    <x v="33"/>
    <x v="7"/>
    <n v="17305.7"/>
  </r>
  <r>
    <x v="33"/>
    <x v="8"/>
    <n v="44375.199999999997"/>
  </r>
  <r>
    <x v="33"/>
    <x v="9"/>
    <n v="60286.7"/>
  </r>
  <r>
    <x v="33"/>
    <x v="10"/>
    <n v="62869.599999999999"/>
  </r>
  <r>
    <x v="33"/>
    <x v="11"/>
    <n v="62800.4"/>
  </r>
  <r>
    <x v="33"/>
    <x v="12"/>
    <n v="62720.4"/>
  </r>
  <r>
    <x v="33"/>
    <x v="13"/>
    <n v="62802.3"/>
  </r>
  <r>
    <x v="33"/>
    <x v="14"/>
    <n v="62747.5"/>
  </r>
  <r>
    <x v="33"/>
    <x v="15"/>
    <n v="62583.8"/>
  </r>
  <r>
    <x v="33"/>
    <x v="16"/>
    <n v="62752"/>
  </r>
  <r>
    <x v="33"/>
    <x v="17"/>
    <n v="62844.5"/>
  </r>
  <r>
    <x v="33"/>
    <x v="18"/>
    <n v="62777.2"/>
  </r>
  <r>
    <x v="33"/>
    <x v="19"/>
    <n v="62705.9"/>
  </r>
  <r>
    <x v="33"/>
    <x v="20"/>
    <n v="62738.5"/>
  </r>
  <r>
    <x v="33"/>
    <x v="21"/>
    <n v="62984.9"/>
  </r>
  <r>
    <x v="33"/>
    <x v="22"/>
    <n v="62747.3"/>
  </r>
  <r>
    <x v="33"/>
    <x v="23"/>
    <n v="62539.8"/>
  </r>
  <r>
    <x v="34"/>
    <x v="0"/>
    <n v="63140.5"/>
  </r>
  <r>
    <x v="34"/>
    <x v="1"/>
    <n v="63984.1"/>
  </r>
  <r>
    <x v="34"/>
    <x v="2"/>
    <n v="63677.599999999999"/>
  </r>
  <r>
    <x v="34"/>
    <x v="3"/>
    <n v="59812.3"/>
  </r>
  <r>
    <x v="34"/>
    <x v="4"/>
    <n v="25786.799999999999"/>
  </r>
  <r>
    <x v="34"/>
    <x v="5"/>
    <n v="2281"/>
  </r>
  <r>
    <x v="34"/>
    <x v="6"/>
    <n v="0"/>
  </r>
  <r>
    <x v="34"/>
    <x v="7"/>
    <n v="5510.7"/>
  </r>
  <r>
    <x v="34"/>
    <x v="8"/>
    <n v="17356.7"/>
  </r>
  <r>
    <x v="34"/>
    <x v="9"/>
    <n v="44903.9"/>
  </r>
  <r>
    <x v="34"/>
    <x v="10"/>
    <n v="60029"/>
  </r>
  <r>
    <x v="34"/>
    <x v="11"/>
    <n v="63987.1"/>
  </r>
  <r>
    <x v="34"/>
    <x v="12"/>
    <n v="63782.2"/>
  </r>
  <r>
    <x v="34"/>
    <x v="13"/>
    <n v="63897.9"/>
  </r>
  <r>
    <x v="34"/>
    <x v="14"/>
    <n v="64091.4"/>
  </r>
  <r>
    <x v="34"/>
    <x v="15"/>
    <n v="64017.4"/>
  </r>
  <r>
    <x v="34"/>
    <x v="16"/>
    <n v="63978.6"/>
  </r>
  <r>
    <x v="34"/>
    <x v="17"/>
    <n v="64057.599999999999"/>
  </r>
  <r>
    <x v="34"/>
    <x v="18"/>
    <n v="63834.400000000001"/>
  </r>
  <r>
    <x v="34"/>
    <x v="19"/>
    <n v="63985.1"/>
  </r>
  <r>
    <x v="34"/>
    <x v="20"/>
    <n v="63969.7"/>
  </r>
  <r>
    <x v="34"/>
    <x v="21"/>
    <n v="64179.6"/>
  </r>
  <r>
    <x v="34"/>
    <x v="22"/>
    <n v="63696.9"/>
  </r>
  <r>
    <x v="34"/>
    <x v="23"/>
    <n v="63232.6"/>
  </r>
  <r>
    <x v="35"/>
    <x v="0"/>
    <n v="63022.8"/>
  </r>
  <r>
    <x v="35"/>
    <x v="1"/>
    <n v="63143.9"/>
  </r>
  <r>
    <x v="35"/>
    <x v="2"/>
    <n v="60790.9"/>
  </r>
  <r>
    <x v="35"/>
    <x v="3"/>
    <n v="26019.3"/>
  </r>
  <r>
    <x v="35"/>
    <x v="4"/>
    <n v="1022.6"/>
  </r>
  <r>
    <x v="35"/>
    <x v="5"/>
    <n v="0"/>
  </r>
  <r>
    <x v="35"/>
    <x v="6"/>
    <n v="0"/>
  </r>
  <r>
    <x v="35"/>
    <x v="7"/>
    <n v="0"/>
  </r>
  <r>
    <x v="35"/>
    <x v="8"/>
    <n v="0"/>
  </r>
  <r>
    <x v="35"/>
    <x v="9"/>
    <n v="5129.5"/>
  </r>
  <r>
    <x v="35"/>
    <x v="10"/>
    <n v="17191.7"/>
  </r>
  <r>
    <x v="35"/>
    <x v="11"/>
    <n v="42428.1"/>
  </r>
  <r>
    <x v="35"/>
    <x v="12"/>
    <n v="60705.5"/>
  </r>
  <r>
    <x v="35"/>
    <x v="13"/>
    <n v="64083.3"/>
  </r>
  <r>
    <x v="35"/>
    <x v="14"/>
    <n v="64187.199999999997"/>
  </r>
  <r>
    <x v="35"/>
    <x v="15"/>
    <n v="64025.1"/>
  </r>
  <r>
    <x v="35"/>
    <x v="16"/>
    <n v="64104.5"/>
  </r>
  <r>
    <x v="35"/>
    <x v="17"/>
    <n v="64130.5"/>
  </r>
  <r>
    <x v="35"/>
    <x v="18"/>
    <n v="64125.5"/>
  </r>
  <r>
    <x v="35"/>
    <x v="19"/>
    <n v="64128.7"/>
  </r>
  <r>
    <x v="35"/>
    <x v="20"/>
    <n v="63995.9"/>
  </r>
  <r>
    <x v="35"/>
    <x v="21"/>
    <n v="63909.7"/>
  </r>
  <r>
    <x v="35"/>
    <x v="22"/>
    <n v="64075.1"/>
  </r>
  <r>
    <x v="35"/>
    <x v="23"/>
    <n v="63037.9"/>
  </r>
  <r>
    <x v="36"/>
    <x v="0"/>
    <n v="63346.5"/>
  </r>
  <r>
    <x v="36"/>
    <x v="1"/>
    <n v="64101.2"/>
  </r>
  <r>
    <x v="36"/>
    <x v="2"/>
    <n v="59856.5"/>
  </r>
  <r>
    <x v="36"/>
    <x v="3"/>
    <n v="25740.6"/>
  </r>
  <r>
    <x v="36"/>
    <x v="4"/>
    <n v="3098"/>
  </r>
  <r>
    <x v="36"/>
    <x v="5"/>
    <n v="0"/>
  </r>
  <r>
    <x v="36"/>
    <x v="6"/>
    <n v="8199.9"/>
  </r>
  <r>
    <x v="36"/>
    <x v="7"/>
    <n v="16842.5"/>
  </r>
  <r>
    <x v="36"/>
    <x v="8"/>
    <n v="43771.3"/>
  </r>
  <r>
    <x v="36"/>
    <x v="9"/>
    <n v="61220"/>
  </r>
  <r>
    <x v="36"/>
    <x v="10"/>
    <n v="63334.3"/>
  </r>
  <r>
    <x v="36"/>
    <x v="11"/>
    <n v="63450.5"/>
  </r>
  <r>
    <x v="36"/>
    <x v="12"/>
    <n v="63917.4"/>
  </r>
  <r>
    <x v="36"/>
    <x v="13"/>
    <n v="63778.7"/>
  </r>
  <r>
    <x v="36"/>
    <x v="14"/>
    <n v="63854.2"/>
  </r>
  <r>
    <x v="36"/>
    <x v="15"/>
    <n v="64199.7"/>
  </r>
  <r>
    <x v="36"/>
    <x v="16"/>
    <n v="64985.1"/>
  </r>
  <r>
    <x v="36"/>
    <x v="17"/>
    <n v="64860.9"/>
  </r>
  <r>
    <x v="36"/>
    <x v="18"/>
    <n v="63665.8"/>
  </r>
  <r>
    <x v="36"/>
    <x v="19"/>
    <n v="63652.800000000003"/>
  </r>
  <r>
    <x v="36"/>
    <x v="20"/>
    <n v="63696.1"/>
  </r>
  <r>
    <x v="36"/>
    <x v="21"/>
    <n v="64401.7"/>
  </r>
  <r>
    <x v="36"/>
    <x v="22"/>
    <n v="63412.1"/>
  </r>
  <r>
    <x v="36"/>
    <x v="23"/>
    <n v="63382.1"/>
  </r>
  <r>
    <x v="37"/>
    <x v="0"/>
    <n v="63506.400000000001"/>
  </r>
  <r>
    <x v="37"/>
    <x v="1"/>
    <n v="63224.9"/>
  </r>
  <r>
    <x v="37"/>
    <x v="2"/>
    <n v="63017.2"/>
  </r>
  <r>
    <x v="37"/>
    <x v="3"/>
    <n v="63433.5"/>
  </r>
  <r>
    <x v="37"/>
    <x v="4"/>
    <n v="63627"/>
  </r>
  <r>
    <x v="37"/>
    <x v="5"/>
    <n v="63447.5"/>
  </r>
  <r>
    <x v="37"/>
    <x v="6"/>
    <n v="63440.9"/>
  </r>
  <r>
    <x v="37"/>
    <x v="7"/>
    <n v="63534"/>
  </r>
  <r>
    <x v="37"/>
    <x v="8"/>
    <n v="63410.2"/>
  </r>
  <r>
    <x v="37"/>
    <x v="9"/>
    <n v="63605.1"/>
  </r>
  <r>
    <x v="37"/>
    <x v="10"/>
    <n v="63784.9"/>
  </r>
  <r>
    <x v="37"/>
    <x v="11"/>
    <n v="64886.1"/>
  </r>
  <r>
    <x v="37"/>
    <x v="12"/>
    <n v="64721.8"/>
  </r>
  <r>
    <x v="37"/>
    <x v="13"/>
    <n v="64923.5"/>
  </r>
  <r>
    <x v="37"/>
    <x v="14"/>
    <n v="63529.1"/>
  </r>
  <r>
    <x v="37"/>
    <x v="15"/>
    <n v="61840.4"/>
  </r>
  <r>
    <x v="37"/>
    <x v="16"/>
    <n v="62157.3"/>
  </r>
  <r>
    <x v="37"/>
    <x v="17"/>
    <n v="62774.5"/>
  </r>
  <r>
    <x v="37"/>
    <x v="18"/>
    <n v="63614.3"/>
  </r>
  <r>
    <x v="37"/>
    <x v="19"/>
    <n v="63655.4"/>
  </r>
  <r>
    <x v="37"/>
    <x v="20"/>
    <n v="63613.9"/>
  </r>
  <r>
    <x v="37"/>
    <x v="21"/>
    <n v="63659.6"/>
  </r>
  <r>
    <x v="37"/>
    <x v="22"/>
    <n v="63583.8"/>
  </r>
  <r>
    <x v="37"/>
    <x v="23"/>
    <n v="63629.599999999999"/>
  </r>
  <r>
    <x v="38"/>
    <x v="0"/>
    <n v="63306.1"/>
  </r>
  <r>
    <x v="38"/>
    <x v="1"/>
    <n v="63930.1"/>
  </r>
  <r>
    <x v="38"/>
    <x v="2"/>
    <n v="63598.1"/>
  </r>
  <r>
    <x v="38"/>
    <x v="3"/>
    <n v="63555.4"/>
  </r>
  <r>
    <x v="38"/>
    <x v="4"/>
    <n v="63688.7"/>
  </r>
  <r>
    <x v="38"/>
    <x v="5"/>
    <n v="64159.3"/>
  </r>
  <r>
    <x v="38"/>
    <x v="6"/>
    <n v="63535.6"/>
  </r>
  <r>
    <x v="38"/>
    <x v="7"/>
    <n v="63656.1"/>
  </r>
  <r>
    <x v="38"/>
    <x v="8"/>
    <n v="63575.4"/>
  </r>
  <r>
    <x v="38"/>
    <x v="9"/>
    <n v="63663.7"/>
  </r>
  <r>
    <x v="38"/>
    <x v="10"/>
    <n v="63076.4"/>
  </r>
  <r>
    <x v="38"/>
    <x v="11"/>
    <n v="63102.400000000001"/>
  </r>
  <r>
    <x v="38"/>
    <x v="12"/>
    <n v="63281.5"/>
  </r>
  <r>
    <x v="38"/>
    <x v="13"/>
    <n v="63036.6"/>
  </r>
  <r>
    <x v="38"/>
    <x v="14"/>
    <n v="63152.800000000003"/>
  </r>
  <r>
    <x v="38"/>
    <x v="15"/>
    <n v="63921.1"/>
  </r>
  <r>
    <x v="38"/>
    <x v="16"/>
    <n v="63793"/>
  </r>
  <r>
    <x v="38"/>
    <x v="17"/>
    <n v="63794.3"/>
  </r>
  <r>
    <x v="38"/>
    <x v="18"/>
    <n v="63757.5"/>
  </r>
  <r>
    <x v="38"/>
    <x v="19"/>
    <n v="63783.8"/>
  </r>
  <r>
    <x v="38"/>
    <x v="20"/>
    <n v="63791.9"/>
  </r>
  <r>
    <x v="38"/>
    <x v="21"/>
    <n v="63743.7"/>
  </r>
  <r>
    <x v="38"/>
    <x v="22"/>
    <n v="63834.7"/>
  </r>
  <r>
    <x v="38"/>
    <x v="23"/>
    <n v="63949.3"/>
  </r>
  <r>
    <x v="39"/>
    <x v="0"/>
    <n v="63612.3"/>
  </r>
  <r>
    <x v="39"/>
    <x v="1"/>
    <n v="63919.4"/>
  </r>
  <r>
    <x v="39"/>
    <x v="2"/>
    <n v="63758.6"/>
  </r>
  <r>
    <x v="39"/>
    <x v="3"/>
    <n v="63778.3"/>
  </r>
  <r>
    <x v="39"/>
    <x v="4"/>
    <n v="64642.9"/>
  </r>
  <r>
    <x v="39"/>
    <x v="5"/>
    <n v="63677.9"/>
  </r>
  <r>
    <x v="39"/>
    <x v="6"/>
    <n v="64043.6"/>
  </r>
  <r>
    <x v="39"/>
    <x v="7"/>
    <n v="64136.1"/>
  </r>
  <r>
    <x v="39"/>
    <x v="8"/>
    <n v="64008.9"/>
  </r>
  <r>
    <x v="39"/>
    <x v="9"/>
    <n v="64279.4"/>
  </r>
  <r>
    <x v="39"/>
    <x v="10"/>
    <n v="64073.2"/>
  </r>
  <r>
    <x v="39"/>
    <x v="11"/>
    <n v="63977.5"/>
  </r>
  <r>
    <x v="39"/>
    <x v="12"/>
    <n v="63957.1"/>
  </r>
  <r>
    <x v="39"/>
    <x v="13"/>
    <n v="63972.1"/>
  </r>
  <r>
    <x v="39"/>
    <x v="14"/>
    <n v="63938.3"/>
  </r>
  <r>
    <x v="39"/>
    <x v="15"/>
    <n v="63923"/>
  </r>
  <r>
    <x v="39"/>
    <x v="16"/>
    <n v="64043.3"/>
  </r>
  <r>
    <x v="39"/>
    <x v="17"/>
    <n v="63898.6"/>
  </r>
  <r>
    <x v="39"/>
    <x v="18"/>
    <n v="63831.3"/>
  </r>
  <r>
    <x v="39"/>
    <x v="19"/>
    <n v="63798.1"/>
  </r>
  <r>
    <x v="39"/>
    <x v="20"/>
    <n v="64013.3"/>
  </r>
  <r>
    <x v="39"/>
    <x v="21"/>
    <n v="63842.3"/>
  </r>
  <r>
    <x v="39"/>
    <x v="22"/>
    <n v="63705.2"/>
  </r>
  <r>
    <x v="39"/>
    <x v="23"/>
    <n v="64049.1"/>
  </r>
  <r>
    <x v="40"/>
    <x v="0"/>
    <n v="63866.5"/>
  </r>
  <r>
    <x v="40"/>
    <x v="1"/>
    <n v="63881.599999999999"/>
  </r>
  <r>
    <x v="40"/>
    <x v="2"/>
    <n v="64007.4"/>
  </r>
  <r>
    <x v="40"/>
    <x v="3"/>
    <n v="63905.599999999999"/>
  </r>
  <r>
    <x v="40"/>
    <x v="4"/>
    <n v="64009.599999999999"/>
  </r>
  <r>
    <x v="40"/>
    <x v="5"/>
    <n v="62932"/>
  </r>
  <r>
    <x v="40"/>
    <x v="6"/>
    <n v="63778.2"/>
  </r>
  <r>
    <x v="40"/>
    <x v="7"/>
    <n v="63604.1"/>
  </r>
  <r>
    <x v="40"/>
    <x v="8"/>
    <n v="63297.1"/>
  </r>
  <r>
    <x v="40"/>
    <x v="9"/>
    <n v="64027.3"/>
  </r>
  <r>
    <x v="40"/>
    <x v="10"/>
    <n v="63851.1"/>
  </r>
  <r>
    <x v="40"/>
    <x v="11"/>
    <n v="63760"/>
  </r>
  <r>
    <x v="40"/>
    <x v="12"/>
    <n v="63810.7"/>
  </r>
  <r>
    <x v="40"/>
    <x v="13"/>
    <n v="63860.2"/>
  </r>
  <r>
    <x v="40"/>
    <x v="14"/>
    <n v="63819.7"/>
  </r>
  <r>
    <x v="40"/>
    <x v="15"/>
    <n v="63797.9"/>
  </r>
  <r>
    <x v="40"/>
    <x v="16"/>
    <n v="63783.7"/>
  </r>
  <r>
    <x v="40"/>
    <x v="17"/>
    <n v="63866"/>
  </r>
  <r>
    <x v="40"/>
    <x v="18"/>
    <n v="63935.3"/>
  </r>
  <r>
    <x v="40"/>
    <x v="19"/>
    <n v="63733.5"/>
  </r>
  <r>
    <x v="40"/>
    <x v="20"/>
    <n v="63698.8"/>
  </r>
  <r>
    <x v="40"/>
    <x v="21"/>
    <n v="63619.7"/>
  </r>
  <r>
    <x v="40"/>
    <x v="22"/>
    <n v="63693"/>
  </r>
  <r>
    <x v="40"/>
    <x v="23"/>
    <n v="63852.5"/>
  </r>
  <r>
    <x v="41"/>
    <x v="0"/>
    <n v="63638.8"/>
  </r>
  <r>
    <x v="41"/>
    <x v="1"/>
    <n v="63907.5"/>
  </r>
  <r>
    <x v="41"/>
    <x v="2"/>
    <n v="63804.5"/>
  </r>
  <r>
    <x v="41"/>
    <x v="3"/>
    <n v="63834.400000000001"/>
  </r>
  <r>
    <x v="41"/>
    <x v="4"/>
    <n v="64312.5"/>
  </r>
  <r>
    <x v="41"/>
    <x v="5"/>
    <n v="63073.3"/>
  </r>
  <r>
    <x v="41"/>
    <x v="6"/>
    <n v="63225"/>
  </r>
  <r>
    <x v="41"/>
    <x v="7"/>
    <n v="63241.599999999999"/>
  </r>
  <r>
    <x v="41"/>
    <x v="8"/>
    <n v="62760.1"/>
  </r>
  <r>
    <x v="41"/>
    <x v="9"/>
    <n v="63270"/>
  </r>
  <r>
    <x v="41"/>
    <x v="10"/>
    <n v="62703.8"/>
  </r>
  <r>
    <x v="41"/>
    <x v="11"/>
    <n v="63212.9"/>
  </r>
  <r>
    <x v="41"/>
    <x v="12"/>
    <n v="63161.1"/>
  </r>
  <r>
    <x v="41"/>
    <x v="13"/>
    <n v="63151"/>
  </r>
  <r>
    <x v="41"/>
    <x v="14"/>
    <n v="63262.8"/>
  </r>
  <r>
    <x v="41"/>
    <x v="15"/>
    <n v="63263.1"/>
  </r>
  <r>
    <x v="41"/>
    <x v="16"/>
    <n v="63115.8"/>
  </r>
  <r>
    <x v="41"/>
    <x v="17"/>
    <n v="63190.9"/>
  </r>
  <r>
    <x v="41"/>
    <x v="18"/>
    <n v="63117.3"/>
  </r>
  <r>
    <x v="41"/>
    <x v="19"/>
    <n v="63034.2"/>
  </r>
  <r>
    <x v="41"/>
    <x v="20"/>
    <n v="63147.3"/>
  </r>
  <r>
    <x v="41"/>
    <x v="21"/>
    <n v="63177.599999999999"/>
  </r>
  <r>
    <x v="41"/>
    <x v="22"/>
    <n v="63124.5"/>
  </r>
  <r>
    <x v="41"/>
    <x v="23"/>
    <n v="63061.4"/>
  </r>
  <r>
    <x v="42"/>
    <x v="0"/>
    <n v="63054.1"/>
  </r>
  <r>
    <x v="42"/>
    <x v="1"/>
    <n v="63101.3"/>
  </r>
  <r>
    <x v="42"/>
    <x v="2"/>
    <n v="63149.7"/>
  </r>
  <r>
    <x v="42"/>
    <x v="3"/>
    <n v="63085.1"/>
  </r>
  <r>
    <x v="42"/>
    <x v="4"/>
    <n v="63247.199999999997"/>
  </r>
  <r>
    <x v="42"/>
    <x v="5"/>
    <n v="64498.1"/>
  </r>
  <r>
    <x v="42"/>
    <x v="6"/>
    <n v="64149.8"/>
  </r>
  <r>
    <x v="42"/>
    <x v="7"/>
    <n v="64279"/>
  </r>
  <r>
    <x v="42"/>
    <x v="8"/>
    <n v="64246.7"/>
  </r>
  <r>
    <x v="42"/>
    <x v="9"/>
    <n v="64159.7"/>
  </r>
  <r>
    <x v="42"/>
    <x v="10"/>
    <n v="64785.3"/>
  </r>
  <r>
    <x v="42"/>
    <x v="11"/>
    <n v="64279.5"/>
  </r>
  <r>
    <x v="42"/>
    <x v="12"/>
    <n v="64287.1"/>
  </r>
  <r>
    <x v="42"/>
    <x v="13"/>
    <n v="64286.8"/>
  </r>
  <r>
    <x v="42"/>
    <x v="14"/>
    <n v="64243.5"/>
  </r>
  <r>
    <x v="42"/>
    <x v="15"/>
    <n v="64320.1"/>
  </r>
  <r>
    <x v="42"/>
    <x v="16"/>
    <n v="63778.9"/>
  </r>
  <r>
    <x v="42"/>
    <x v="17"/>
    <n v="63806.1"/>
  </r>
  <r>
    <x v="42"/>
    <x v="18"/>
    <n v="63543.5"/>
  </r>
  <r>
    <x v="42"/>
    <x v="19"/>
    <n v="63758.8"/>
  </r>
  <r>
    <x v="42"/>
    <x v="20"/>
    <n v="63864.6"/>
  </r>
  <r>
    <x v="42"/>
    <x v="21"/>
    <n v="63734"/>
  </r>
  <r>
    <x v="42"/>
    <x v="22"/>
    <n v="63668.4"/>
  </r>
  <r>
    <x v="42"/>
    <x v="23"/>
    <n v="63866.6"/>
  </r>
  <r>
    <x v="43"/>
    <x v="0"/>
    <n v="63619.3"/>
  </r>
  <r>
    <x v="43"/>
    <x v="1"/>
    <n v="63774.7"/>
  </r>
  <r>
    <x v="43"/>
    <x v="2"/>
    <n v="63956.6"/>
  </r>
  <r>
    <x v="43"/>
    <x v="3"/>
    <n v="63833.1"/>
  </r>
  <r>
    <x v="43"/>
    <x v="4"/>
    <n v="63986.9"/>
  </r>
  <r>
    <x v="43"/>
    <x v="5"/>
    <n v="63706.2"/>
  </r>
  <r>
    <x v="43"/>
    <x v="6"/>
    <n v="63545"/>
  </r>
  <r>
    <x v="43"/>
    <x v="7"/>
    <n v="63618.5"/>
  </r>
  <r>
    <x v="43"/>
    <x v="8"/>
    <n v="63529.4"/>
  </r>
  <r>
    <x v="43"/>
    <x v="9"/>
    <n v="61489.1"/>
  </r>
  <r>
    <x v="43"/>
    <x v="10"/>
    <n v="61750.400000000001"/>
  </r>
  <r>
    <x v="43"/>
    <x v="11"/>
    <n v="61642.3"/>
  </r>
  <r>
    <x v="43"/>
    <x v="12"/>
    <n v="61536.1"/>
  </r>
  <r>
    <x v="43"/>
    <x v="13"/>
    <n v="61566.3"/>
  </r>
  <r>
    <x v="43"/>
    <x v="14"/>
    <n v="61444.800000000003"/>
  </r>
  <r>
    <x v="43"/>
    <x v="15"/>
    <n v="61433.2"/>
  </r>
  <r>
    <x v="43"/>
    <x v="16"/>
    <n v="61619.4"/>
  </r>
  <r>
    <x v="43"/>
    <x v="17"/>
    <n v="61413.3"/>
  </r>
  <r>
    <x v="43"/>
    <x v="18"/>
    <n v="62106.1"/>
  </r>
  <r>
    <x v="43"/>
    <x v="19"/>
    <n v="62404.6"/>
  </r>
  <r>
    <x v="43"/>
    <x v="20"/>
    <n v="62311.7"/>
  </r>
  <r>
    <x v="43"/>
    <x v="21"/>
    <n v="62173.7"/>
  </r>
  <r>
    <x v="43"/>
    <x v="22"/>
    <n v="62512.9"/>
  </r>
  <r>
    <x v="43"/>
    <x v="23"/>
    <n v="63104.800000000003"/>
  </r>
  <r>
    <x v="44"/>
    <x v="0"/>
    <n v="63820.1"/>
  </r>
  <r>
    <x v="44"/>
    <x v="1"/>
    <n v="63917.2"/>
  </r>
  <r>
    <x v="44"/>
    <x v="2"/>
    <n v="63868.800000000003"/>
  </r>
  <r>
    <x v="44"/>
    <x v="3"/>
    <n v="63742.400000000001"/>
  </r>
  <r>
    <x v="44"/>
    <x v="4"/>
    <n v="64129.3"/>
  </r>
  <r>
    <x v="44"/>
    <x v="5"/>
    <n v="60089"/>
  </r>
  <r>
    <x v="44"/>
    <x v="6"/>
    <n v="60088.7"/>
  </r>
  <r>
    <x v="44"/>
    <x v="7"/>
    <n v="59932.3"/>
  </r>
  <r>
    <x v="44"/>
    <x v="8"/>
    <n v="60196.1"/>
  </r>
  <r>
    <x v="44"/>
    <x v="9"/>
    <n v="60544.1"/>
  </r>
  <r>
    <x v="44"/>
    <x v="10"/>
    <n v="62636.3"/>
  </r>
  <r>
    <x v="44"/>
    <x v="11"/>
    <n v="62038.1"/>
  </r>
  <r>
    <x v="44"/>
    <x v="12"/>
    <n v="61953.9"/>
  </r>
  <r>
    <x v="44"/>
    <x v="13"/>
    <n v="62659.3"/>
  </r>
  <r>
    <x v="44"/>
    <x v="14"/>
    <n v="63290.1"/>
  </r>
  <r>
    <x v="44"/>
    <x v="15"/>
    <n v="63416.1"/>
  </r>
  <r>
    <x v="44"/>
    <x v="16"/>
    <n v="63446.5"/>
  </r>
  <r>
    <x v="44"/>
    <x v="17"/>
    <n v="63389.8"/>
  </r>
  <r>
    <x v="44"/>
    <x v="18"/>
    <n v="63408.2"/>
  </r>
  <r>
    <x v="44"/>
    <x v="19"/>
    <n v="63308.7"/>
  </r>
  <r>
    <x v="44"/>
    <x v="20"/>
    <n v="63250.8"/>
  </r>
  <r>
    <x v="44"/>
    <x v="21"/>
    <n v="63265.8"/>
  </r>
  <r>
    <x v="44"/>
    <x v="22"/>
    <n v="63308.1"/>
  </r>
  <r>
    <x v="44"/>
    <x v="23"/>
    <n v="64551.8"/>
  </r>
  <r>
    <x v="45"/>
    <x v="0"/>
    <n v="65765.7"/>
  </r>
  <r>
    <x v="45"/>
    <x v="1"/>
    <n v="63337.1"/>
  </r>
  <r>
    <x v="45"/>
    <x v="2"/>
    <n v="63284.9"/>
  </r>
  <r>
    <x v="45"/>
    <x v="3"/>
    <n v="63281"/>
  </r>
  <r>
    <x v="45"/>
    <x v="4"/>
    <n v="63469.1"/>
  </r>
  <r>
    <x v="45"/>
    <x v="5"/>
    <n v="59518.2"/>
  </r>
  <r>
    <x v="45"/>
    <x v="6"/>
    <n v="59984.6"/>
  </r>
  <r>
    <x v="45"/>
    <x v="7"/>
    <n v="59943.199999999997"/>
  </r>
  <r>
    <x v="45"/>
    <x v="8"/>
    <n v="59860.6"/>
  </r>
  <r>
    <x v="45"/>
    <x v="9"/>
    <n v="61768.800000000003"/>
  </r>
  <r>
    <x v="45"/>
    <x v="10"/>
    <n v="64938"/>
  </r>
  <r>
    <x v="45"/>
    <x v="11"/>
    <n v="63069.3"/>
  </r>
  <r>
    <x v="45"/>
    <x v="12"/>
    <n v="63344.4"/>
  </r>
  <r>
    <x v="45"/>
    <x v="13"/>
    <n v="63402.6"/>
  </r>
  <r>
    <x v="45"/>
    <x v="14"/>
    <n v="63332.7"/>
  </r>
  <r>
    <x v="45"/>
    <x v="15"/>
    <n v="63359.3"/>
  </r>
  <r>
    <x v="45"/>
    <x v="16"/>
    <n v="63367"/>
  </r>
  <r>
    <x v="45"/>
    <x v="17"/>
    <n v="64114.2"/>
  </r>
  <r>
    <x v="45"/>
    <x v="18"/>
    <n v="64053.1"/>
  </r>
  <r>
    <x v="45"/>
    <x v="19"/>
    <n v="64274.1"/>
  </r>
  <r>
    <x v="45"/>
    <x v="20"/>
    <n v="64011.6"/>
  </r>
  <r>
    <x v="45"/>
    <x v="21"/>
    <n v="63804.7"/>
  </r>
  <r>
    <x v="45"/>
    <x v="22"/>
    <n v="63912.2"/>
  </r>
  <r>
    <x v="45"/>
    <x v="23"/>
    <n v="64194.3"/>
  </r>
  <r>
    <x v="46"/>
    <x v="0"/>
    <n v="54034.5"/>
  </r>
  <r>
    <x v="46"/>
    <x v="1"/>
    <n v="53903.8"/>
  </r>
  <r>
    <x v="46"/>
    <x v="2"/>
    <n v="53717.9"/>
  </r>
  <r>
    <x v="46"/>
    <x v="3"/>
    <n v="54017.2"/>
  </r>
  <r>
    <x v="46"/>
    <x v="4"/>
    <n v="53964.800000000003"/>
  </r>
  <r>
    <x v="46"/>
    <x v="5"/>
    <n v="53975.3"/>
  </r>
  <r>
    <x v="46"/>
    <x v="6"/>
    <n v="54029.5"/>
  </r>
  <r>
    <x v="46"/>
    <x v="7"/>
    <n v="53979.3"/>
  </r>
  <r>
    <x v="46"/>
    <x v="8"/>
    <n v="54200.6"/>
  </r>
  <r>
    <x v="46"/>
    <x v="9"/>
    <n v="54794.1"/>
  </r>
  <r>
    <x v="46"/>
    <x v="10"/>
    <n v="54638.400000000001"/>
  </r>
  <r>
    <x v="46"/>
    <x v="11"/>
    <n v="54466.6"/>
  </r>
  <r>
    <x v="46"/>
    <x v="12"/>
    <n v="54611"/>
  </r>
  <r>
    <x v="46"/>
    <x v="13"/>
    <n v="54677.1"/>
  </r>
  <r>
    <x v="46"/>
    <x v="14"/>
    <n v="54652.7"/>
  </r>
  <r>
    <x v="46"/>
    <x v="15"/>
    <n v="54617.5"/>
  </r>
  <r>
    <x v="46"/>
    <x v="16"/>
    <n v="54588.5"/>
  </r>
  <r>
    <x v="46"/>
    <x v="17"/>
    <n v="54636.7"/>
  </r>
  <r>
    <x v="46"/>
    <x v="18"/>
    <n v="54317.599999999999"/>
  </r>
  <r>
    <x v="46"/>
    <x v="19"/>
    <n v="54474.9"/>
  </r>
  <r>
    <x v="46"/>
    <x v="20"/>
    <n v="54381.3"/>
  </r>
  <r>
    <x v="46"/>
    <x v="21"/>
    <n v="54366.7"/>
  </r>
  <r>
    <x v="46"/>
    <x v="22"/>
    <n v="54407.199999999997"/>
  </r>
  <r>
    <x v="46"/>
    <x v="23"/>
    <n v="54448.5"/>
  </r>
  <r>
    <x v="47"/>
    <x v="0"/>
    <n v="52804.5"/>
  </r>
  <r>
    <x v="47"/>
    <x v="1"/>
    <n v="52725.8"/>
  </r>
  <r>
    <x v="47"/>
    <x v="2"/>
    <n v="52624.7"/>
  </r>
  <r>
    <x v="47"/>
    <x v="3"/>
    <n v="52660.800000000003"/>
  </r>
  <r>
    <x v="47"/>
    <x v="4"/>
    <n v="52725.599999999999"/>
  </r>
  <r>
    <x v="47"/>
    <x v="5"/>
    <n v="51080.7"/>
  </r>
  <r>
    <x v="47"/>
    <x v="6"/>
    <n v="51193.9"/>
  </r>
  <r>
    <x v="47"/>
    <x v="7"/>
    <n v="54082.7"/>
  </r>
  <r>
    <x v="47"/>
    <x v="8"/>
    <n v="52752"/>
  </r>
  <r>
    <x v="47"/>
    <x v="9"/>
    <n v="54607.4"/>
  </r>
  <r>
    <x v="47"/>
    <x v="10"/>
    <n v="54587.6"/>
  </r>
  <r>
    <x v="47"/>
    <x v="11"/>
    <n v="54632.800000000003"/>
  </r>
  <r>
    <x v="47"/>
    <x v="12"/>
    <n v="54638"/>
  </r>
  <r>
    <x v="47"/>
    <x v="13"/>
    <n v="54686.6"/>
  </r>
  <r>
    <x v="47"/>
    <x v="14"/>
    <n v="54609.2"/>
  </r>
  <r>
    <x v="47"/>
    <x v="15"/>
    <n v="54576.3"/>
  </r>
  <r>
    <x v="47"/>
    <x v="16"/>
    <n v="54990.9"/>
  </r>
  <r>
    <x v="47"/>
    <x v="17"/>
    <n v="54700.1"/>
  </r>
  <r>
    <x v="47"/>
    <x v="18"/>
    <n v="54575.7"/>
  </r>
  <r>
    <x v="47"/>
    <x v="19"/>
    <n v="54541.2"/>
  </r>
  <r>
    <x v="47"/>
    <x v="20"/>
    <n v="54669"/>
  </r>
  <r>
    <x v="47"/>
    <x v="21"/>
    <n v="54545.1"/>
  </r>
  <r>
    <x v="47"/>
    <x v="22"/>
    <n v="54525.8"/>
  </r>
  <r>
    <x v="47"/>
    <x v="23"/>
    <n v="53842.5"/>
  </r>
  <r>
    <x v="48"/>
    <x v="0"/>
    <n v="63245.8"/>
  </r>
  <r>
    <x v="48"/>
    <x v="1"/>
    <n v="63977"/>
  </r>
  <r>
    <x v="48"/>
    <x v="2"/>
    <n v="63902.7"/>
  </r>
  <r>
    <x v="48"/>
    <x v="3"/>
    <n v="63991.6"/>
  </r>
  <r>
    <x v="48"/>
    <x v="4"/>
    <n v="63977.7"/>
  </r>
  <r>
    <x v="48"/>
    <x v="5"/>
    <n v="63465.4"/>
  </r>
  <r>
    <x v="48"/>
    <x v="6"/>
    <n v="62877.8"/>
  </r>
  <r>
    <x v="48"/>
    <x v="7"/>
    <n v="60739.6"/>
  </r>
  <r>
    <x v="48"/>
    <x v="8"/>
    <n v="58939.5"/>
  </r>
  <r>
    <x v="48"/>
    <x v="9"/>
    <n v="60180"/>
  </r>
  <r>
    <x v="48"/>
    <x v="10"/>
    <n v="63633.5"/>
  </r>
  <r>
    <x v="48"/>
    <x v="11"/>
    <n v="64169.9"/>
  </r>
  <r>
    <x v="48"/>
    <x v="12"/>
    <n v="64067.199999999997"/>
  </r>
  <r>
    <x v="48"/>
    <x v="13"/>
    <n v="64148.4"/>
  </r>
  <r>
    <x v="48"/>
    <x v="14"/>
    <n v="64162.7"/>
  </r>
  <r>
    <x v="48"/>
    <x v="15"/>
    <n v="63996.2"/>
  </r>
  <r>
    <x v="48"/>
    <x v="16"/>
    <n v="63909.7"/>
  </r>
  <r>
    <x v="48"/>
    <x v="17"/>
    <n v="63996.800000000003"/>
  </r>
  <r>
    <x v="48"/>
    <x v="18"/>
    <n v="63721.5"/>
  </r>
  <r>
    <x v="48"/>
    <x v="19"/>
    <n v="63837"/>
  </r>
  <r>
    <x v="48"/>
    <x v="20"/>
    <n v="63898"/>
  </r>
  <r>
    <x v="48"/>
    <x v="21"/>
    <n v="63871.8"/>
  </r>
  <r>
    <x v="48"/>
    <x v="22"/>
    <n v="64003.4"/>
  </r>
  <r>
    <x v="48"/>
    <x v="23"/>
    <n v="64032.1"/>
  </r>
  <r>
    <x v="49"/>
    <x v="0"/>
    <n v="64343.8"/>
  </r>
  <r>
    <x v="49"/>
    <x v="1"/>
    <n v="64010.2"/>
  </r>
  <r>
    <x v="49"/>
    <x v="2"/>
    <n v="64102.3"/>
  </r>
  <r>
    <x v="49"/>
    <x v="3"/>
    <n v="63999.5"/>
  </r>
  <r>
    <x v="49"/>
    <x v="4"/>
    <n v="64025.5"/>
  </r>
  <r>
    <x v="49"/>
    <x v="5"/>
    <n v="63982.9"/>
  </r>
  <r>
    <x v="49"/>
    <x v="6"/>
    <n v="64317.7"/>
  </r>
  <r>
    <x v="49"/>
    <x v="7"/>
    <n v="64161.7"/>
  </r>
  <r>
    <x v="49"/>
    <x v="8"/>
    <n v="61138.1"/>
  </r>
  <r>
    <x v="49"/>
    <x v="9"/>
    <n v="60973.9"/>
  </r>
  <r>
    <x v="49"/>
    <x v="10"/>
    <n v="62637.1"/>
  </r>
  <r>
    <x v="49"/>
    <x v="11"/>
    <n v="64277.7"/>
  </r>
  <r>
    <x v="49"/>
    <x v="12"/>
    <n v="64016"/>
  </r>
  <r>
    <x v="49"/>
    <x v="13"/>
    <n v="63972.9"/>
  </r>
  <r>
    <x v="49"/>
    <x v="14"/>
    <n v="64067.9"/>
  </r>
  <r>
    <x v="49"/>
    <x v="15"/>
    <n v="64022"/>
  </r>
  <r>
    <x v="49"/>
    <x v="16"/>
    <n v="64072.4"/>
  </r>
  <r>
    <x v="49"/>
    <x v="17"/>
    <n v="63910.8"/>
  </r>
  <r>
    <x v="49"/>
    <x v="18"/>
    <n v="64245.1"/>
  </r>
  <r>
    <x v="49"/>
    <x v="19"/>
    <n v="63832.800000000003"/>
  </r>
  <r>
    <x v="49"/>
    <x v="20"/>
    <n v="63858.5"/>
  </r>
  <r>
    <x v="49"/>
    <x v="21"/>
    <n v="63759.3"/>
  </r>
  <r>
    <x v="49"/>
    <x v="22"/>
    <n v="63798.7"/>
  </r>
  <r>
    <x v="49"/>
    <x v="23"/>
    <n v="63737.3"/>
  </r>
  <r>
    <x v="50"/>
    <x v="0"/>
    <n v="54275.8"/>
  </r>
  <r>
    <x v="50"/>
    <x v="1"/>
    <n v="53634.3"/>
  </r>
  <r>
    <x v="50"/>
    <x v="2"/>
    <n v="53663.6"/>
  </r>
  <r>
    <x v="50"/>
    <x v="3"/>
    <n v="53684.1"/>
  </r>
  <r>
    <x v="50"/>
    <x v="4"/>
    <n v="54368.6"/>
  </r>
  <r>
    <x v="50"/>
    <x v="5"/>
    <n v="52651.5"/>
  </r>
  <r>
    <x v="50"/>
    <x v="6"/>
    <n v="52843.4"/>
  </r>
  <r>
    <x v="50"/>
    <x v="7"/>
    <n v="53081.7"/>
  </r>
  <r>
    <x v="50"/>
    <x v="8"/>
    <n v="53104.5"/>
  </r>
  <r>
    <x v="50"/>
    <x v="9"/>
    <n v="54437.2"/>
  </r>
  <r>
    <x v="50"/>
    <x v="10"/>
    <n v="54942.2"/>
  </r>
  <r>
    <x v="50"/>
    <x v="11"/>
    <n v="54891.9"/>
  </r>
  <r>
    <x v="50"/>
    <x v="12"/>
    <n v="54908.800000000003"/>
  </r>
  <r>
    <x v="50"/>
    <x v="13"/>
    <n v="54873.8"/>
  </r>
  <r>
    <x v="50"/>
    <x v="14"/>
    <n v="54488.2"/>
  </r>
  <r>
    <x v="50"/>
    <x v="15"/>
    <n v="53977.5"/>
  </r>
  <r>
    <x v="50"/>
    <x v="16"/>
    <n v="54263"/>
  </r>
  <r>
    <x v="50"/>
    <x v="17"/>
    <n v="54278.8"/>
  </r>
  <r>
    <x v="50"/>
    <x v="18"/>
    <n v="54077.1"/>
  </r>
  <r>
    <x v="50"/>
    <x v="19"/>
    <n v="54307.9"/>
  </r>
  <r>
    <x v="50"/>
    <x v="20"/>
    <n v="54232.5"/>
  </r>
  <r>
    <x v="50"/>
    <x v="21"/>
    <n v="54250.5"/>
  </r>
  <r>
    <x v="50"/>
    <x v="22"/>
    <n v="54183.9"/>
  </r>
  <r>
    <x v="50"/>
    <x v="23"/>
    <n v="53667.1"/>
  </r>
  <r>
    <x v="51"/>
    <x v="0"/>
    <n v="53496.1"/>
  </r>
  <r>
    <x v="51"/>
    <x v="1"/>
    <n v="53671"/>
  </r>
  <r>
    <x v="51"/>
    <x v="2"/>
    <n v="53574.9"/>
  </r>
  <r>
    <x v="51"/>
    <x v="3"/>
    <n v="53472.9"/>
  </r>
  <r>
    <x v="51"/>
    <x v="4"/>
    <n v="53752.5"/>
  </r>
  <r>
    <x v="51"/>
    <x v="5"/>
    <n v="53816.5"/>
  </r>
  <r>
    <x v="51"/>
    <x v="6"/>
    <n v="53652.5"/>
  </r>
  <r>
    <x v="51"/>
    <x v="7"/>
    <n v="53780.7"/>
  </r>
  <r>
    <x v="51"/>
    <x v="8"/>
    <n v="53692.6"/>
  </r>
  <r>
    <x v="51"/>
    <x v="9"/>
    <n v="53676.800000000003"/>
  </r>
  <r>
    <x v="51"/>
    <x v="10"/>
    <n v="52977.599999999999"/>
  </r>
  <r>
    <x v="51"/>
    <x v="11"/>
    <n v="53081.1"/>
  </r>
  <r>
    <x v="51"/>
    <x v="12"/>
    <n v="54011.9"/>
  </r>
  <r>
    <x v="51"/>
    <x v="13"/>
    <n v="54060.5"/>
  </r>
  <r>
    <x v="51"/>
    <x v="14"/>
    <n v="54019.6"/>
  </r>
  <r>
    <x v="51"/>
    <x v="15"/>
    <n v="54002.3"/>
  </r>
  <r>
    <x v="51"/>
    <x v="16"/>
    <n v="53902.6"/>
  </r>
  <r>
    <x v="51"/>
    <x v="17"/>
    <n v="53906.2"/>
  </r>
  <r>
    <x v="51"/>
    <x v="18"/>
    <n v="53887.199999999997"/>
  </r>
  <r>
    <x v="51"/>
    <x v="19"/>
    <n v="53872.6"/>
  </r>
  <r>
    <x v="51"/>
    <x v="20"/>
    <n v="53842.400000000001"/>
  </r>
  <r>
    <x v="51"/>
    <x v="21"/>
    <n v="53757.8"/>
  </r>
  <r>
    <x v="51"/>
    <x v="22"/>
    <n v="53838"/>
  </r>
  <r>
    <x v="51"/>
    <x v="23"/>
    <n v="54055.1"/>
  </r>
  <r>
    <x v="52"/>
    <x v="0"/>
    <n v="54227.5"/>
  </r>
  <r>
    <x v="52"/>
    <x v="1"/>
    <n v="54124.4"/>
  </r>
  <r>
    <x v="52"/>
    <x v="2"/>
    <n v="53869"/>
  </r>
  <r>
    <x v="52"/>
    <x v="3"/>
    <n v="53939"/>
  </r>
  <r>
    <x v="52"/>
    <x v="4"/>
    <n v="53923.6"/>
  </r>
  <r>
    <x v="52"/>
    <x v="5"/>
    <n v="53590.400000000001"/>
  </r>
  <r>
    <x v="52"/>
    <x v="6"/>
    <n v="54147.4"/>
  </r>
  <r>
    <x v="52"/>
    <x v="7"/>
    <n v="52259.5"/>
  </r>
  <r>
    <x v="52"/>
    <x v="8"/>
    <n v="53652.7"/>
  </r>
  <r>
    <x v="52"/>
    <x v="9"/>
    <n v="53511.9"/>
  </r>
  <r>
    <x v="52"/>
    <x v="10"/>
    <n v="53268.4"/>
  </r>
  <r>
    <x v="52"/>
    <x v="11"/>
    <n v="52786.3"/>
  </r>
  <r>
    <x v="52"/>
    <x v="12"/>
    <n v="61959.199999999997"/>
  </r>
  <r>
    <x v="52"/>
    <x v="13"/>
    <n v="62346.3"/>
  </r>
  <r>
    <x v="52"/>
    <x v="14"/>
    <n v="62185.7"/>
  </r>
  <r>
    <x v="52"/>
    <x v="15"/>
    <n v="62288.9"/>
  </r>
  <r>
    <x v="52"/>
    <x v="16"/>
    <n v="62286.5"/>
  </r>
  <r>
    <x v="52"/>
    <x v="17"/>
    <n v="62194.1"/>
  </r>
  <r>
    <x v="52"/>
    <x v="18"/>
    <n v="62173.4"/>
  </r>
  <r>
    <x v="52"/>
    <x v="19"/>
    <n v="62611.4"/>
  </r>
  <r>
    <x v="52"/>
    <x v="20"/>
    <n v="63342"/>
  </r>
  <r>
    <x v="52"/>
    <x v="21"/>
    <n v="63472.6"/>
  </r>
  <r>
    <x v="52"/>
    <x v="22"/>
    <n v="63282.1"/>
  </r>
  <r>
    <x v="52"/>
    <x v="23"/>
    <n v="63641"/>
  </r>
  <r>
    <x v="53"/>
    <x v="0"/>
    <n v="63560.4"/>
  </r>
  <r>
    <x v="53"/>
    <x v="1"/>
    <n v="63629.1"/>
  </r>
  <r>
    <x v="53"/>
    <x v="2"/>
    <n v="62892.2"/>
  </r>
  <r>
    <x v="53"/>
    <x v="3"/>
    <n v="63706.2"/>
  </r>
  <r>
    <x v="53"/>
    <x v="4"/>
    <n v="64101.9"/>
  </r>
  <r>
    <x v="53"/>
    <x v="5"/>
    <n v="59980.4"/>
  </r>
  <r>
    <x v="53"/>
    <x v="6"/>
    <n v="59704"/>
  </r>
  <r>
    <x v="53"/>
    <x v="7"/>
    <n v="59917.2"/>
  </r>
  <r>
    <x v="53"/>
    <x v="8"/>
    <n v="61492"/>
  </r>
  <r>
    <x v="53"/>
    <x v="9"/>
    <n v="63313.599999999999"/>
  </r>
  <r>
    <x v="53"/>
    <x v="10"/>
    <n v="62877.3"/>
  </r>
  <r>
    <x v="53"/>
    <x v="11"/>
    <n v="62732.5"/>
  </r>
  <r>
    <x v="53"/>
    <x v="12"/>
    <n v="62934.3"/>
  </r>
  <r>
    <x v="53"/>
    <x v="13"/>
    <n v="62931.7"/>
  </r>
  <r>
    <x v="53"/>
    <x v="14"/>
    <n v="62951.7"/>
  </r>
  <r>
    <x v="53"/>
    <x v="15"/>
    <n v="62824.9"/>
  </r>
  <r>
    <x v="53"/>
    <x v="16"/>
    <n v="62777.1"/>
  </r>
  <r>
    <x v="53"/>
    <x v="17"/>
    <n v="62924.2"/>
  </r>
  <r>
    <x v="53"/>
    <x v="18"/>
    <n v="62908.9"/>
  </r>
  <r>
    <x v="53"/>
    <x v="19"/>
    <n v="62779.4"/>
  </r>
  <r>
    <x v="53"/>
    <x v="20"/>
    <n v="62795.3"/>
  </r>
  <r>
    <x v="53"/>
    <x v="21"/>
    <n v="62701.7"/>
  </r>
  <r>
    <x v="53"/>
    <x v="22"/>
    <n v="62874.5"/>
  </r>
  <r>
    <x v="53"/>
    <x v="23"/>
    <n v="63008.4"/>
  </r>
  <r>
    <x v="54"/>
    <x v="0"/>
    <n v="62836.4"/>
  </r>
  <r>
    <x v="54"/>
    <x v="1"/>
    <n v="62797.9"/>
  </r>
  <r>
    <x v="54"/>
    <x v="2"/>
    <n v="62751.5"/>
  </r>
  <r>
    <x v="54"/>
    <x v="3"/>
    <n v="62876.2"/>
  </r>
  <r>
    <x v="54"/>
    <x v="4"/>
    <n v="60676.800000000003"/>
  </r>
  <r>
    <x v="54"/>
    <x v="5"/>
    <n v="60084.6"/>
  </r>
  <r>
    <x v="54"/>
    <x v="6"/>
    <n v="62977"/>
  </r>
  <r>
    <x v="54"/>
    <x v="7"/>
    <n v="59192.5"/>
  </r>
  <r>
    <x v="54"/>
    <x v="8"/>
    <n v="58140.3"/>
  </r>
  <r>
    <x v="54"/>
    <x v="9"/>
    <n v="58518.2"/>
  </r>
  <r>
    <x v="54"/>
    <x v="10"/>
    <n v="59371"/>
  </r>
  <r>
    <x v="54"/>
    <x v="11"/>
    <n v="63909.599999999999"/>
  </r>
  <r>
    <x v="54"/>
    <x v="12"/>
    <n v="64519"/>
  </r>
  <r>
    <x v="54"/>
    <x v="13"/>
    <n v="63988"/>
  </r>
  <r>
    <x v="54"/>
    <x v="14"/>
    <n v="64085.3"/>
  </r>
  <r>
    <x v="54"/>
    <x v="15"/>
    <n v="63978.400000000001"/>
  </r>
  <r>
    <x v="54"/>
    <x v="16"/>
    <n v="63922.3"/>
  </r>
  <r>
    <x v="54"/>
    <x v="17"/>
    <n v="63787.8"/>
  </r>
  <r>
    <x v="54"/>
    <x v="18"/>
    <n v="63948.5"/>
  </r>
  <r>
    <x v="54"/>
    <x v="19"/>
    <n v="63844.9"/>
  </r>
  <r>
    <x v="54"/>
    <x v="20"/>
    <n v="63845.1"/>
  </r>
  <r>
    <x v="54"/>
    <x v="21"/>
    <n v="63817.1"/>
  </r>
  <r>
    <x v="54"/>
    <x v="22"/>
    <n v="63854.1"/>
  </r>
  <r>
    <x v="54"/>
    <x v="23"/>
    <n v="63867.3"/>
  </r>
  <r>
    <x v="55"/>
    <x v="0"/>
    <n v="54536.1"/>
  </r>
  <r>
    <x v="55"/>
    <x v="1"/>
    <n v="54368.4"/>
  </r>
  <r>
    <x v="55"/>
    <x v="2"/>
    <n v="54480"/>
  </r>
  <r>
    <x v="55"/>
    <x v="3"/>
    <n v="54534"/>
  </r>
  <r>
    <x v="55"/>
    <x v="4"/>
    <n v="54576.7"/>
  </r>
  <r>
    <x v="55"/>
    <x v="5"/>
    <n v="51006.400000000001"/>
  </r>
  <r>
    <x v="55"/>
    <x v="6"/>
    <n v="50444.2"/>
  </r>
  <r>
    <x v="55"/>
    <x v="7"/>
    <n v="53616.1"/>
  </r>
  <r>
    <x v="55"/>
    <x v="8"/>
    <n v="54459.199999999997"/>
  </r>
  <r>
    <x v="55"/>
    <x v="9"/>
    <n v="54326.8"/>
  </r>
  <r>
    <x v="55"/>
    <x v="10"/>
    <n v="54252.3"/>
  </r>
  <r>
    <x v="55"/>
    <x v="11"/>
    <n v="54269.5"/>
  </r>
  <r>
    <x v="55"/>
    <x v="12"/>
    <n v="54158.7"/>
  </r>
  <r>
    <x v="55"/>
    <x v="13"/>
    <n v="54231.6"/>
  </r>
  <r>
    <x v="55"/>
    <x v="14"/>
    <n v="54080.7"/>
  </r>
  <r>
    <x v="55"/>
    <x v="15"/>
    <n v="54196.9"/>
  </r>
  <r>
    <x v="55"/>
    <x v="16"/>
    <n v="54132.2"/>
  </r>
  <r>
    <x v="55"/>
    <x v="17"/>
    <n v="54176.4"/>
  </r>
  <r>
    <x v="55"/>
    <x v="18"/>
    <n v="54267.199999999997"/>
  </r>
  <r>
    <x v="55"/>
    <x v="19"/>
    <n v="53724.9"/>
  </r>
  <r>
    <x v="55"/>
    <x v="20"/>
    <n v="53513.7"/>
  </r>
  <r>
    <x v="55"/>
    <x v="21"/>
    <n v="53569.7"/>
  </r>
  <r>
    <x v="55"/>
    <x v="22"/>
    <n v="53456.4"/>
  </r>
  <r>
    <x v="55"/>
    <x v="23"/>
    <n v="52940"/>
  </r>
  <r>
    <x v="56"/>
    <x v="0"/>
    <n v="53312.800000000003"/>
  </r>
  <r>
    <x v="56"/>
    <x v="1"/>
    <n v="53671.4"/>
  </r>
  <r>
    <x v="56"/>
    <x v="2"/>
    <n v="53692.3"/>
  </r>
  <r>
    <x v="56"/>
    <x v="3"/>
    <n v="53859.9"/>
  </r>
  <r>
    <x v="56"/>
    <x v="4"/>
    <n v="53691.4"/>
  </r>
  <r>
    <x v="56"/>
    <x v="5"/>
    <n v="51130.2"/>
  </r>
  <r>
    <x v="56"/>
    <x v="6"/>
    <n v="16830.400000000001"/>
  </r>
  <r>
    <x v="56"/>
    <x v="7"/>
    <n v="7072.5"/>
  </r>
  <r>
    <x v="56"/>
    <x v="8"/>
    <n v="1545.8"/>
  </r>
  <r>
    <x v="56"/>
    <x v="9"/>
    <n v="17036.7"/>
  </r>
  <r>
    <x v="56"/>
    <x v="10"/>
    <n v="42095.1"/>
  </r>
  <r>
    <x v="56"/>
    <x v="11"/>
    <n v="50215.199999999997"/>
  </r>
  <r>
    <x v="56"/>
    <x v="12"/>
    <n v="54948.3"/>
  </r>
  <r>
    <x v="56"/>
    <x v="13"/>
    <n v="53951"/>
  </r>
  <r>
    <x v="56"/>
    <x v="14"/>
    <n v="53896.9"/>
  </r>
  <r>
    <x v="56"/>
    <x v="15"/>
    <n v="53890.9"/>
  </r>
  <r>
    <x v="56"/>
    <x v="16"/>
    <n v="53960.9"/>
  </r>
  <r>
    <x v="56"/>
    <x v="17"/>
    <n v="53928.4"/>
  </r>
  <r>
    <x v="56"/>
    <x v="18"/>
    <n v="53764.1"/>
  </r>
  <r>
    <x v="56"/>
    <x v="19"/>
    <n v="53813.9"/>
  </r>
  <r>
    <x v="56"/>
    <x v="20"/>
    <n v="53770.5"/>
  </r>
  <r>
    <x v="56"/>
    <x v="21"/>
    <n v="53869.7"/>
  </r>
  <r>
    <x v="56"/>
    <x v="22"/>
    <n v="53749.9"/>
  </r>
  <r>
    <x v="56"/>
    <x v="23"/>
    <n v="53934.400000000001"/>
  </r>
  <r>
    <x v="57"/>
    <x v="0"/>
    <n v="53784.3"/>
  </r>
  <r>
    <x v="57"/>
    <x v="1"/>
    <n v="54085.1"/>
  </r>
  <r>
    <x v="57"/>
    <x v="2"/>
    <n v="53875.4"/>
  </r>
  <r>
    <x v="57"/>
    <x v="3"/>
    <n v="53957.599999999999"/>
  </r>
  <r>
    <x v="57"/>
    <x v="4"/>
    <n v="53305.9"/>
  </r>
  <r>
    <x v="57"/>
    <x v="5"/>
    <n v="52488.1"/>
  </r>
  <r>
    <x v="57"/>
    <x v="6"/>
    <n v="52336.7"/>
  </r>
  <r>
    <x v="57"/>
    <x v="7"/>
    <n v="53111.1"/>
  </r>
  <r>
    <x v="57"/>
    <x v="8"/>
    <n v="53554.8"/>
  </r>
  <r>
    <x v="57"/>
    <x v="9"/>
    <n v="53914.400000000001"/>
  </r>
  <r>
    <x v="57"/>
    <x v="10"/>
    <n v="53840.7"/>
  </r>
  <r>
    <x v="57"/>
    <x v="11"/>
    <n v="53755.1"/>
  </r>
  <r>
    <x v="57"/>
    <x v="12"/>
    <n v="53827"/>
  </r>
  <r>
    <x v="57"/>
    <x v="13"/>
    <n v="53714.6"/>
  </r>
  <r>
    <x v="57"/>
    <x v="14"/>
    <n v="53803.1"/>
  </r>
  <r>
    <x v="57"/>
    <x v="15"/>
    <n v="53754.400000000001"/>
  </r>
  <r>
    <x v="57"/>
    <x v="16"/>
    <n v="53727.8"/>
  </r>
  <r>
    <x v="57"/>
    <x v="17"/>
    <n v="53738.3"/>
  </r>
  <r>
    <x v="57"/>
    <x v="18"/>
    <n v="53675.199999999997"/>
  </r>
  <r>
    <x v="57"/>
    <x v="19"/>
    <n v="53654.6"/>
  </r>
  <r>
    <x v="57"/>
    <x v="20"/>
    <n v="53670"/>
  </r>
  <r>
    <x v="57"/>
    <x v="21"/>
    <n v="53462.5"/>
  </r>
  <r>
    <x v="57"/>
    <x v="22"/>
    <n v="53643.4"/>
  </r>
  <r>
    <x v="57"/>
    <x v="23"/>
    <n v="53696.3"/>
  </r>
  <r>
    <x v="58"/>
    <x v="0"/>
    <n v="53150.6"/>
  </r>
  <r>
    <x v="58"/>
    <x v="1"/>
    <n v="53744.9"/>
  </r>
  <r>
    <x v="58"/>
    <x v="2"/>
    <n v="53758.3"/>
  </r>
  <r>
    <x v="58"/>
    <x v="3"/>
    <n v="53811.1"/>
  </r>
  <r>
    <x v="58"/>
    <x v="4"/>
    <n v="54138.2"/>
  </r>
  <r>
    <x v="58"/>
    <x v="5"/>
    <n v="50861.2"/>
  </r>
  <r>
    <x v="58"/>
    <x v="6"/>
    <n v="53631.8"/>
  </r>
  <r>
    <x v="58"/>
    <x v="7"/>
    <n v="53654.9"/>
  </r>
  <r>
    <x v="58"/>
    <x v="8"/>
    <n v="53295.5"/>
  </r>
  <r>
    <x v="58"/>
    <x v="9"/>
    <n v="54493.3"/>
  </r>
  <r>
    <x v="58"/>
    <x v="10"/>
    <n v="53510.1"/>
  </r>
  <r>
    <x v="58"/>
    <x v="11"/>
    <n v="53370.3"/>
  </r>
  <r>
    <x v="58"/>
    <x v="12"/>
    <n v="53966.3"/>
  </r>
  <r>
    <x v="58"/>
    <x v="13"/>
    <n v="53936.1"/>
  </r>
  <r>
    <x v="58"/>
    <x v="14"/>
    <n v="54000.9"/>
  </r>
  <r>
    <x v="58"/>
    <x v="15"/>
    <n v="54067.6"/>
  </r>
  <r>
    <x v="58"/>
    <x v="16"/>
    <n v="54109.2"/>
  </r>
  <r>
    <x v="58"/>
    <x v="17"/>
    <n v="54160.7"/>
  </r>
  <r>
    <x v="58"/>
    <x v="18"/>
    <n v="54101.4"/>
  </r>
  <r>
    <x v="58"/>
    <x v="19"/>
    <n v="54052.1"/>
  </r>
  <r>
    <x v="58"/>
    <x v="20"/>
    <n v="54020.3"/>
  </r>
  <r>
    <x v="58"/>
    <x v="21"/>
    <n v="54168.9"/>
  </r>
  <r>
    <x v="58"/>
    <x v="22"/>
    <n v="54031.9"/>
  </r>
  <r>
    <x v="58"/>
    <x v="23"/>
    <n v="53771.8"/>
  </r>
  <r>
    <x v="59"/>
    <x v="0"/>
    <n v="53275.9"/>
  </r>
  <r>
    <x v="59"/>
    <x v="1"/>
    <n v="53699.1"/>
  </r>
  <r>
    <x v="59"/>
    <x v="2"/>
    <n v="53830.400000000001"/>
  </r>
  <r>
    <x v="59"/>
    <x v="3"/>
    <n v="53422.7"/>
  </r>
  <r>
    <x v="59"/>
    <x v="4"/>
    <n v="54145.1"/>
  </r>
  <r>
    <x v="59"/>
    <x v="5"/>
    <n v="54122.9"/>
  </r>
  <r>
    <x v="59"/>
    <x v="6"/>
    <n v="54076.7"/>
  </r>
  <r>
    <x v="59"/>
    <x v="7"/>
    <n v="54009.1"/>
  </r>
  <r>
    <x v="59"/>
    <x v="8"/>
    <n v="54081.3"/>
  </r>
  <r>
    <x v="59"/>
    <x v="9"/>
    <n v="55015.8"/>
  </r>
  <r>
    <x v="59"/>
    <x v="10"/>
    <n v="55070.1"/>
  </r>
  <r>
    <x v="59"/>
    <x v="11"/>
    <n v="54967.199999999997"/>
  </r>
  <r>
    <x v="59"/>
    <x v="12"/>
    <n v="55027.8"/>
  </r>
  <r>
    <x v="59"/>
    <x v="13"/>
    <n v="55052.7"/>
  </r>
  <r>
    <x v="59"/>
    <x v="14"/>
    <n v="54613.3"/>
  </r>
  <r>
    <x v="59"/>
    <x v="15"/>
    <n v="54518.6"/>
  </r>
  <r>
    <x v="59"/>
    <x v="16"/>
    <n v="54406.2"/>
  </r>
  <r>
    <x v="59"/>
    <x v="17"/>
    <n v="54593"/>
  </r>
  <r>
    <x v="59"/>
    <x v="18"/>
    <n v="54453.5"/>
  </r>
  <r>
    <x v="59"/>
    <x v="19"/>
    <n v="54462.400000000001"/>
  </r>
  <r>
    <x v="59"/>
    <x v="20"/>
    <n v="54457.8"/>
  </r>
  <r>
    <x v="59"/>
    <x v="21"/>
    <n v="65216.1"/>
  </r>
  <r>
    <x v="59"/>
    <x v="22"/>
    <n v="67510.7"/>
  </r>
  <r>
    <x v="59"/>
    <x v="23"/>
    <n v="66972.3"/>
  </r>
  <r>
    <x v="60"/>
    <x v="0"/>
    <n v="53095.3"/>
  </r>
  <r>
    <x v="60"/>
    <x v="1"/>
    <n v="53296.9"/>
  </r>
  <r>
    <x v="60"/>
    <x v="2"/>
    <n v="53293"/>
  </r>
  <r>
    <x v="60"/>
    <x v="3"/>
    <n v="54403.6"/>
  </r>
  <r>
    <x v="60"/>
    <x v="4"/>
    <n v="53988.7"/>
  </r>
  <r>
    <x v="60"/>
    <x v="5"/>
    <n v="52685.9"/>
  </r>
  <r>
    <x v="60"/>
    <x v="6"/>
    <n v="53916.800000000003"/>
  </r>
  <r>
    <x v="60"/>
    <x v="7"/>
    <n v="53309.5"/>
  </r>
  <r>
    <x v="60"/>
    <x v="8"/>
    <n v="53127.7"/>
  </r>
  <r>
    <x v="60"/>
    <x v="9"/>
    <n v="52693.3"/>
  </r>
  <r>
    <x v="60"/>
    <x v="10"/>
    <n v="53289.9"/>
  </r>
  <r>
    <x v="60"/>
    <x v="11"/>
    <n v="52209.3"/>
  </r>
  <r>
    <x v="60"/>
    <x v="12"/>
    <n v="52328.7"/>
  </r>
  <r>
    <x v="60"/>
    <x v="13"/>
    <n v="52474.9"/>
  </r>
  <r>
    <x v="60"/>
    <x v="14"/>
    <n v="52534.3"/>
  </r>
  <r>
    <x v="60"/>
    <x v="15"/>
    <n v="53004.800000000003"/>
  </r>
  <r>
    <x v="60"/>
    <x v="16"/>
    <n v="53110"/>
  </r>
  <r>
    <x v="60"/>
    <x v="17"/>
    <n v="53161.1"/>
  </r>
  <r>
    <x v="60"/>
    <x v="18"/>
    <n v="54163.5"/>
  </r>
  <r>
    <x v="60"/>
    <x v="19"/>
    <n v="67420.100000000006"/>
  </r>
  <r>
    <x v="60"/>
    <x v="20"/>
    <n v="54854.3"/>
  </r>
  <r>
    <x v="60"/>
    <x v="21"/>
    <n v="54522.6"/>
  </r>
  <r>
    <x v="60"/>
    <x v="22"/>
    <n v="63358.400000000001"/>
  </r>
  <r>
    <x v="60"/>
    <x v="23"/>
    <n v="67023.399999999994"/>
  </r>
  <r>
    <x v="61"/>
    <x v="0"/>
    <n v="54799.5"/>
  </r>
  <r>
    <x v="61"/>
    <x v="1"/>
    <n v="54242.1"/>
  </r>
  <r>
    <x v="61"/>
    <x v="2"/>
    <n v="54048.7"/>
  </r>
  <r>
    <x v="61"/>
    <x v="3"/>
    <n v="54102.400000000001"/>
  </r>
  <r>
    <x v="61"/>
    <x v="4"/>
    <n v="54179"/>
  </r>
  <r>
    <x v="61"/>
    <x v="5"/>
    <n v="54486.9"/>
  </r>
  <r>
    <x v="61"/>
    <x v="6"/>
    <n v="54924.9"/>
  </r>
  <r>
    <x v="61"/>
    <x v="7"/>
    <n v="54888.7"/>
  </r>
  <r>
    <x v="61"/>
    <x v="8"/>
    <n v="51863.199999999997"/>
  </r>
  <r>
    <x v="61"/>
    <x v="9"/>
    <n v="50495"/>
  </r>
  <r>
    <x v="61"/>
    <x v="10"/>
    <n v="53198"/>
  </r>
  <r>
    <x v="61"/>
    <x v="11"/>
    <n v="53032.9"/>
  </r>
  <r>
    <x v="61"/>
    <x v="12"/>
    <n v="53141.7"/>
  </r>
  <r>
    <x v="61"/>
    <x v="13"/>
    <n v="53157.8"/>
  </r>
  <r>
    <x v="61"/>
    <x v="14"/>
    <n v="53225.7"/>
  </r>
  <r>
    <x v="61"/>
    <x v="15"/>
    <n v="52940"/>
  </r>
  <r>
    <x v="61"/>
    <x v="16"/>
    <n v="53127.3"/>
  </r>
  <r>
    <x v="61"/>
    <x v="17"/>
    <n v="53016.3"/>
  </r>
  <r>
    <x v="61"/>
    <x v="18"/>
    <n v="53070.7"/>
  </r>
  <r>
    <x v="61"/>
    <x v="19"/>
    <n v="52885.8"/>
  </r>
  <r>
    <x v="61"/>
    <x v="20"/>
    <n v="53023.9"/>
  </r>
  <r>
    <x v="61"/>
    <x v="21"/>
    <n v="53685.2"/>
  </r>
  <r>
    <x v="61"/>
    <x v="22"/>
    <n v="53957"/>
  </r>
  <r>
    <x v="61"/>
    <x v="23"/>
    <n v="54406.8"/>
  </r>
  <r>
    <x v="62"/>
    <x v="0"/>
    <n v="54324.2"/>
  </r>
  <r>
    <x v="62"/>
    <x v="1"/>
    <n v="54719.199999999997"/>
  </r>
  <r>
    <x v="62"/>
    <x v="2"/>
    <n v="54775"/>
  </r>
  <r>
    <x v="62"/>
    <x v="3"/>
    <n v="54640.3"/>
  </r>
  <r>
    <x v="62"/>
    <x v="4"/>
    <n v="54346"/>
  </r>
  <r>
    <x v="62"/>
    <x v="5"/>
    <n v="54260.4"/>
  </r>
  <r>
    <x v="62"/>
    <x v="6"/>
    <n v="53909.9"/>
  </r>
  <r>
    <x v="62"/>
    <x v="7"/>
    <n v="53950.400000000001"/>
  </r>
  <r>
    <x v="62"/>
    <x v="8"/>
    <n v="53847"/>
  </r>
  <r>
    <x v="62"/>
    <x v="9"/>
    <n v="53509.9"/>
  </r>
  <r>
    <x v="62"/>
    <x v="10"/>
    <n v="53390.400000000001"/>
  </r>
  <r>
    <x v="62"/>
    <x v="11"/>
    <n v="53446.6"/>
  </r>
  <r>
    <x v="62"/>
    <x v="12"/>
    <n v="53463.3"/>
  </r>
  <r>
    <x v="62"/>
    <x v="13"/>
    <n v="52967.5"/>
  </r>
  <r>
    <x v="62"/>
    <x v="14"/>
    <n v="53138.7"/>
  </r>
  <r>
    <x v="62"/>
    <x v="15"/>
    <n v="53325.3"/>
  </r>
  <r>
    <x v="62"/>
    <x v="16"/>
    <n v="53136.9"/>
  </r>
  <r>
    <x v="62"/>
    <x v="17"/>
    <n v="53085.7"/>
  </r>
  <r>
    <x v="62"/>
    <x v="18"/>
    <n v="53270.9"/>
  </r>
  <r>
    <x v="62"/>
    <x v="19"/>
    <n v="53120.1"/>
  </r>
  <r>
    <x v="62"/>
    <x v="20"/>
    <n v="53050.7"/>
  </r>
  <r>
    <x v="62"/>
    <x v="21"/>
    <n v="53547.1"/>
  </r>
  <r>
    <x v="62"/>
    <x v="22"/>
    <n v="54539.3"/>
  </r>
  <r>
    <x v="62"/>
    <x v="23"/>
    <n v="54402.9"/>
  </r>
  <r>
    <x v="63"/>
    <x v="0"/>
    <n v="54323.7"/>
  </r>
  <r>
    <x v="63"/>
    <x v="1"/>
    <n v="54843.7"/>
  </r>
  <r>
    <x v="63"/>
    <x v="2"/>
    <n v="54948.4"/>
  </r>
  <r>
    <x v="63"/>
    <x v="3"/>
    <n v="54643.199999999997"/>
  </r>
  <r>
    <x v="63"/>
    <x v="4"/>
    <n v="54413.5"/>
  </r>
  <r>
    <x v="63"/>
    <x v="5"/>
    <n v="54258.5"/>
  </r>
  <r>
    <x v="63"/>
    <x v="6"/>
    <n v="54047.8"/>
  </r>
  <r>
    <x v="63"/>
    <x v="7"/>
    <n v="54298.9"/>
  </r>
  <r>
    <x v="63"/>
    <x v="8"/>
    <n v="54220.1"/>
  </r>
  <r>
    <x v="63"/>
    <x v="9"/>
    <n v="54098.9"/>
  </r>
  <r>
    <x v="63"/>
    <x v="10"/>
    <n v="54158.1"/>
  </r>
  <r>
    <x v="63"/>
    <x v="11"/>
    <n v="54561.4"/>
  </r>
  <r>
    <x v="63"/>
    <x v="12"/>
    <n v="54601.8"/>
  </r>
  <r>
    <x v="63"/>
    <x v="13"/>
    <n v="54646.400000000001"/>
  </r>
  <r>
    <x v="63"/>
    <x v="14"/>
    <n v="54690.5"/>
  </r>
  <r>
    <x v="63"/>
    <x v="15"/>
    <n v="54589.599999999999"/>
  </r>
  <r>
    <x v="63"/>
    <x v="16"/>
    <n v="54566.3"/>
  </r>
  <r>
    <x v="63"/>
    <x v="17"/>
    <n v="54662.1"/>
  </r>
  <r>
    <x v="63"/>
    <x v="18"/>
    <n v="54264.1"/>
  </r>
  <r>
    <x v="63"/>
    <x v="19"/>
    <n v="53980.9"/>
  </r>
  <r>
    <x v="63"/>
    <x v="20"/>
    <n v="54022"/>
  </r>
  <r>
    <x v="63"/>
    <x v="21"/>
    <n v="54039.9"/>
  </r>
  <r>
    <x v="63"/>
    <x v="22"/>
    <n v="57679"/>
  </r>
  <r>
    <x v="63"/>
    <x v="23"/>
    <n v="60856.3"/>
  </r>
  <r>
    <x v="64"/>
    <x v="0"/>
    <n v="53095.7"/>
  </r>
  <r>
    <x v="64"/>
    <x v="1"/>
    <n v="53573.1"/>
  </r>
  <r>
    <x v="64"/>
    <x v="2"/>
    <n v="53562.9"/>
  </r>
  <r>
    <x v="64"/>
    <x v="3"/>
    <n v="53674.7"/>
  </r>
  <r>
    <x v="64"/>
    <x v="4"/>
    <n v="53547.6"/>
  </r>
  <r>
    <x v="64"/>
    <x v="5"/>
    <n v="53951.1"/>
  </r>
  <r>
    <x v="64"/>
    <x v="6"/>
    <n v="54059"/>
  </r>
  <r>
    <x v="64"/>
    <x v="7"/>
    <n v="53419.4"/>
  </r>
  <r>
    <x v="64"/>
    <x v="8"/>
    <n v="54276.5"/>
  </r>
  <r>
    <x v="64"/>
    <x v="9"/>
    <n v="54314.400000000001"/>
  </r>
  <r>
    <x v="64"/>
    <x v="10"/>
    <n v="55174.2"/>
  </r>
  <r>
    <x v="64"/>
    <x v="11"/>
    <n v="54646.7"/>
  </r>
  <r>
    <x v="64"/>
    <x v="12"/>
    <n v="54636.4"/>
  </r>
  <r>
    <x v="64"/>
    <x v="13"/>
    <n v="54791.8"/>
  </r>
  <r>
    <x v="64"/>
    <x v="14"/>
    <n v="65055.9"/>
  </r>
  <r>
    <x v="64"/>
    <x v="15"/>
    <n v="66120.800000000003"/>
  </r>
  <r>
    <x v="64"/>
    <x v="16"/>
    <n v="54224"/>
  </r>
  <r>
    <x v="64"/>
    <x v="17"/>
    <n v="53946.2"/>
  </r>
  <r>
    <x v="64"/>
    <x v="18"/>
    <n v="53969.599999999999"/>
  </r>
  <r>
    <x v="64"/>
    <x v="19"/>
    <n v="53908.7"/>
  </r>
  <r>
    <x v="64"/>
    <x v="20"/>
    <n v="53857.599999999999"/>
  </r>
  <r>
    <x v="64"/>
    <x v="21"/>
    <n v="53791.8"/>
  </r>
  <r>
    <x v="64"/>
    <x v="22"/>
    <n v="53202.9"/>
  </r>
  <r>
    <x v="64"/>
    <x v="23"/>
    <n v="54205"/>
  </r>
  <r>
    <x v="65"/>
    <x v="0"/>
    <n v="54494.2"/>
  </r>
  <r>
    <x v="65"/>
    <x v="1"/>
    <n v="54421.599999999999"/>
  </r>
  <r>
    <x v="65"/>
    <x v="2"/>
    <n v="54474.9"/>
  </r>
  <r>
    <x v="65"/>
    <x v="3"/>
    <n v="54398.1"/>
  </r>
  <r>
    <x v="65"/>
    <x v="4"/>
    <n v="54542.7"/>
  </r>
  <r>
    <x v="65"/>
    <x v="5"/>
    <n v="54176.1"/>
  </r>
  <r>
    <x v="65"/>
    <x v="6"/>
    <n v="54006.400000000001"/>
  </r>
  <r>
    <x v="65"/>
    <x v="7"/>
    <n v="53978.6"/>
  </r>
  <r>
    <x v="65"/>
    <x v="8"/>
    <n v="54924.5"/>
  </r>
  <r>
    <x v="65"/>
    <x v="9"/>
    <n v="54740.800000000003"/>
  </r>
  <r>
    <x v="65"/>
    <x v="10"/>
    <n v="54684.6"/>
  </r>
  <r>
    <x v="65"/>
    <x v="11"/>
    <n v="54619.7"/>
  </r>
  <r>
    <x v="65"/>
    <x v="12"/>
    <n v="54697.1"/>
  </r>
  <r>
    <x v="65"/>
    <x v="13"/>
    <n v="54632.800000000003"/>
  </r>
  <r>
    <x v="65"/>
    <x v="14"/>
    <n v="54650.3"/>
  </r>
  <r>
    <x v="65"/>
    <x v="15"/>
    <n v="54579.1"/>
  </r>
  <r>
    <x v="65"/>
    <x v="16"/>
    <n v="54579.199999999997"/>
  </r>
  <r>
    <x v="65"/>
    <x v="17"/>
    <n v="54690.5"/>
  </r>
  <r>
    <x v="65"/>
    <x v="18"/>
    <n v="54647.3"/>
  </r>
  <r>
    <x v="65"/>
    <x v="19"/>
    <n v="54707.4"/>
  </r>
  <r>
    <x v="65"/>
    <x v="20"/>
    <n v="54454"/>
  </r>
  <r>
    <x v="65"/>
    <x v="21"/>
    <n v="54435.6"/>
  </r>
  <r>
    <x v="65"/>
    <x v="22"/>
    <n v="59334"/>
  </r>
  <r>
    <x v="65"/>
    <x v="23"/>
    <n v="52244.9"/>
  </r>
  <r>
    <x v="66"/>
    <x v="0"/>
    <n v="53562.3"/>
  </r>
  <r>
    <x v="66"/>
    <x v="1"/>
    <n v="52613"/>
  </r>
  <r>
    <x v="66"/>
    <x v="2"/>
    <n v="52363.1"/>
  </r>
  <r>
    <x v="66"/>
    <x v="3"/>
    <n v="52566.3"/>
  </r>
  <r>
    <x v="66"/>
    <x v="4"/>
    <n v="52511.7"/>
  </r>
  <r>
    <x v="66"/>
    <x v="5"/>
    <n v="52417.1"/>
  </r>
  <r>
    <x v="66"/>
    <x v="6"/>
    <n v="52924.800000000003"/>
  </r>
  <r>
    <x v="66"/>
    <x v="7"/>
    <n v="53101"/>
  </r>
  <r>
    <x v="66"/>
    <x v="8"/>
    <n v="53060.800000000003"/>
  </r>
  <r>
    <x v="66"/>
    <x v="9"/>
    <n v="54726.5"/>
  </r>
  <r>
    <x v="66"/>
    <x v="10"/>
    <n v="54863.7"/>
  </r>
  <r>
    <x v="66"/>
    <x v="11"/>
    <n v="54098"/>
  </r>
  <r>
    <x v="66"/>
    <x v="12"/>
    <n v="54455.9"/>
  </r>
  <r>
    <x v="66"/>
    <x v="13"/>
    <n v="54459.199999999997"/>
  </r>
  <r>
    <x v="66"/>
    <x v="14"/>
    <n v="54485.1"/>
  </r>
  <r>
    <x v="66"/>
    <x v="15"/>
    <n v="54444"/>
  </r>
  <r>
    <x v="66"/>
    <x v="16"/>
    <n v="54366.8"/>
  </r>
  <r>
    <x v="66"/>
    <x v="17"/>
    <n v="54177.7"/>
  </r>
  <r>
    <x v="66"/>
    <x v="18"/>
    <n v="54537.8"/>
  </r>
  <r>
    <x v="66"/>
    <x v="19"/>
    <n v="54379.3"/>
  </r>
  <r>
    <x v="66"/>
    <x v="20"/>
    <n v="63216.7"/>
  </r>
  <r>
    <x v="66"/>
    <x v="21"/>
    <n v="54541"/>
  </r>
  <r>
    <x v="66"/>
    <x v="22"/>
    <n v="54035"/>
  </r>
  <r>
    <x v="66"/>
    <x v="23"/>
    <n v="53662.8"/>
  </r>
  <r>
    <x v="67"/>
    <x v="0"/>
    <n v="53679.3"/>
  </r>
  <r>
    <x v="67"/>
    <x v="1"/>
    <n v="54348.2"/>
  </r>
  <r>
    <x v="67"/>
    <x v="2"/>
    <n v="54515.1"/>
  </r>
  <r>
    <x v="67"/>
    <x v="3"/>
    <n v="54445.2"/>
  </r>
  <r>
    <x v="67"/>
    <x v="4"/>
    <n v="54767.5"/>
  </r>
  <r>
    <x v="67"/>
    <x v="5"/>
    <n v="53810.8"/>
  </r>
  <r>
    <x v="67"/>
    <x v="6"/>
    <n v="54018"/>
  </r>
  <r>
    <x v="67"/>
    <x v="7"/>
    <n v="54123.1"/>
  </r>
  <r>
    <x v="67"/>
    <x v="8"/>
    <n v="54127.4"/>
  </r>
  <r>
    <x v="67"/>
    <x v="9"/>
    <n v="55148.6"/>
  </r>
  <r>
    <x v="67"/>
    <x v="10"/>
    <n v="54763.3"/>
  </r>
  <r>
    <x v="67"/>
    <x v="11"/>
    <n v="54761.5"/>
  </r>
  <r>
    <x v="67"/>
    <x v="12"/>
    <n v="54392.7"/>
  </r>
  <r>
    <x v="67"/>
    <x v="13"/>
    <n v="54581.8"/>
  </r>
  <r>
    <x v="67"/>
    <x v="14"/>
    <n v="54534.3"/>
  </r>
  <r>
    <x v="67"/>
    <x v="15"/>
    <n v="54510.400000000001"/>
  </r>
  <r>
    <x v="67"/>
    <x v="16"/>
    <n v="54396.1"/>
  </r>
  <r>
    <x v="67"/>
    <x v="17"/>
    <n v="54575.1"/>
  </r>
  <r>
    <x v="67"/>
    <x v="18"/>
    <n v="54591.7"/>
  </r>
  <r>
    <x v="67"/>
    <x v="19"/>
    <n v="54436"/>
  </r>
  <r>
    <x v="67"/>
    <x v="20"/>
    <n v="59771.6"/>
  </r>
  <r>
    <x v="67"/>
    <x v="21"/>
    <n v="53861"/>
  </r>
  <r>
    <x v="67"/>
    <x v="22"/>
    <n v="53961.8"/>
  </r>
  <r>
    <x v="67"/>
    <x v="23"/>
    <n v="54079.199999999997"/>
  </r>
  <r>
    <x v="68"/>
    <x v="0"/>
    <n v="52980"/>
  </r>
  <r>
    <x v="68"/>
    <x v="1"/>
    <n v="53762.3"/>
  </r>
  <r>
    <x v="68"/>
    <x v="2"/>
    <n v="53760.800000000003"/>
  </r>
  <r>
    <x v="68"/>
    <x v="3"/>
    <n v="53673"/>
  </r>
  <r>
    <x v="68"/>
    <x v="4"/>
    <n v="53628"/>
  </r>
  <r>
    <x v="68"/>
    <x v="5"/>
    <n v="52998.5"/>
  </r>
  <r>
    <x v="68"/>
    <x v="6"/>
    <n v="53444.1"/>
  </r>
  <r>
    <x v="68"/>
    <x v="7"/>
    <n v="53581.2"/>
  </r>
  <r>
    <x v="68"/>
    <x v="8"/>
    <n v="53482.6"/>
  </r>
  <r>
    <x v="68"/>
    <x v="9"/>
    <n v="54510.2"/>
  </r>
  <r>
    <x v="68"/>
    <x v="10"/>
    <n v="54499.4"/>
  </r>
  <r>
    <x v="68"/>
    <x v="11"/>
    <n v="54510.400000000001"/>
  </r>
  <r>
    <x v="68"/>
    <x v="12"/>
    <n v="54455.7"/>
  </r>
  <r>
    <x v="68"/>
    <x v="13"/>
    <n v="54517.7"/>
  </r>
  <r>
    <x v="68"/>
    <x v="14"/>
    <n v="54433.8"/>
  </r>
  <r>
    <x v="68"/>
    <x v="15"/>
    <n v="54385.8"/>
  </r>
  <r>
    <x v="68"/>
    <x v="16"/>
    <n v="54366.7"/>
  </r>
  <r>
    <x v="68"/>
    <x v="17"/>
    <n v="54505.8"/>
  </r>
  <r>
    <x v="68"/>
    <x v="18"/>
    <n v="54526.8"/>
  </r>
  <r>
    <x v="68"/>
    <x v="19"/>
    <n v="54345.7"/>
  </r>
  <r>
    <x v="68"/>
    <x v="20"/>
    <n v="54381.2"/>
  </r>
  <r>
    <x v="68"/>
    <x v="21"/>
    <n v="54395.1"/>
  </r>
  <r>
    <x v="68"/>
    <x v="22"/>
    <n v="54676.5"/>
  </r>
  <r>
    <x v="68"/>
    <x v="23"/>
    <n v="53190.7"/>
  </r>
  <r>
    <x v="69"/>
    <x v="0"/>
    <n v="53744.2"/>
  </r>
  <r>
    <x v="69"/>
    <x v="1"/>
    <n v="54322.3"/>
  </r>
  <r>
    <x v="69"/>
    <x v="2"/>
    <n v="54225.599999999999"/>
  </r>
  <r>
    <x v="69"/>
    <x v="3"/>
    <n v="54163.199999999997"/>
  </r>
  <r>
    <x v="69"/>
    <x v="4"/>
    <n v="54057.2"/>
  </r>
  <r>
    <x v="69"/>
    <x v="5"/>
    <n v="54296.6"/>
  </r>
  <r>
    <x v="69"/>
    <x v="6"/>
    <n v="53056.6"/>
  </r>
  <r>
    <x v="69"/>
    <x v="7"/>
    <n v="50787.7"/>
  </r>
  <r>
    <x v="69"/>
    <x v="8"/>
    <n v="51583.4"/>
  </r>
  <r>
    <x v="69"/>
    <x v="9"/>
    <n v="52378.8"/>
  </r>
  <r>
    <x v="69"/>
    <x v="10"/>
    <n v="53298.8"/>
  </r>
  <r>
    <x v="69"/>
    <x v="11"/>
    <n v="53279.199999999997"/>
  </r>
  <r>
    <x v="69"/>
    <x v="12"/>
    <n v="53431.3"/>
  </r>
  <r>
    <x v="69"/>
    <x v="13"/>
    <n v="53420.1"/>
  </r>
  <r>
    <x v="69"/>
    <x v="14"/>
    <n v="53481.3"/>
  </r>
  <r>
    <x v="69"/>
    <x v="15"/>
    <n v="53397.2"/>
  </r>
  <r>
    <x v="69"/>
    <x v="16"/>
    <n v="53559.5"/>
  </r>
  <r>
    <x v="69"/>
    <x v="17"/>
    <n v="53394.3"/>
  </r>
  <r>
    <x v="69"/>
    <x v="18"/>
    <n v="53620.7"/>
  </r>
  <r>
    <x v="69"/>
    <x v="19"/>
    <n v="53407.8"/>
  </r>
  <r>
    <x v="69"/>
    <x v="20"/>
    <n v="53389.5"/>
  </r>
  <r>
    <x v="69"/>
    <x v="21"/>
    <n v="53634.1"/>
  </r>
  <r>
    <x v="69"/>
    <x v="22"/>
    <n v="53816.6"/>
  </r>
  <r>
    <x v="69"/>
    <x v="23"/>
    <n v="53380.7"/>
  </r>
  <r>
    <x v="70"/>
    <x v="0"/>
    <n v="53958"/>
  </r>
  <r>
    <x v="70"/>
    <x v="1"/>
    <n v="54877"/>
  </r>
  <r>
    <x v="70"/>
    <x v="2"/>
    <n v="53762.6"/>
  </r>
  <r>
    <x v="70"/>
    <x v="3"/>
    <n v="53161"/>
  </r>
  <r>
    <x v="70"/>
    <x v="4"/>
    <n v="53223.199999999997"/>
  </r>
  <r>
    <x v="70"/>
    <x v="5"/>
    <n v="53005.7"/>
  </r>
  <r>
    <x v="70"/>
    <x v="6"/>
    <n v="53116.9"/>
  </r>
  <r>
    <x v="70"/>
    <x v="7"/>
    <n v="53336.5"/>
  </r>
  <r>
    <x v="70"/>
    <x v="8"/>
    <n v="53353.2"/>
  </r>
  <r>
    <x v="70"/>
    <x v="9"/>
    <n v="52328.3"/>
  </r>
  <r>
    <x v="70"/>
    <x v="10"/>
    <n v="51966.9"/>
  </r>
  <r>
    <x v="70"/>
    <x v="11"/>
    <n v="52070.6"/>
  </r>
  <r>
    <x v="70"/>
    <x v="12"/>
    <n v="52460.9"/>
  </r>
  <r>
    <x v="70"/>
    <x v="13"/>
    <n v="52508.4"/>
  </r>
  <r>
    <x v="70"/>
    <x v="14"/>
    <n v="52660.3"/>
  </r>
  <r>
    <x v="70"/>
    <x v="15"/>
    <n v="52682.5"/>
  </r>
  <r>
    <x v="70"/>
    <x v="16"/>
    <n v="52687.8"/>
  </r>
  <r>
    <x v="70"/>
    <x v="17"/>
    <n v="52646"/>
  </r>
  <r>
    <x v="70"/>
    <x v="18"/>
    <n v="51903.6"/>
  </r>
  <r>
    <x v="70"/>
    <x v="19"/>
    <n v="51246.7"/>
  </r>
  <r>
    <x v="70"/>
    <x v="20"/>
    <n v="52908.6"/>
  </r>
  <r>
    <x v="70"/>
    <x v="21"/>
    <n v="55096.3"/>
  </r>
  <r>
    <x v="70"/>
    <x v="22"/>
    <n v="54715.199999999997"/>
  </r>
  <r>
    <x v="70"/>
    <x v="23"/>
    <n v="54674.9"/>
  </r>
  <r>
    <x v="71"/>
    <x v="0"/>
    <n v="53322.8"/>
  </r>
  <r>
    <x v="71"/>
    <x v="1"/>
    <n v="53846.6"/>
  </r>
  <r>
    <x v="71"/>
    <x v="2"/>
    <n v="53793"/>
  </r>
  <r>
    <x v="71"/>
    <x v="3"/>
    <n v="53849.3"/>
  </r>
  <r>
    <x v="71"/>
    <x v="4"/>
    <n v="53109.599999999999"/>
  </r>
  <r>
    <x v="71"/>
    <x v="5"/>
    <n v="52246"/>
  </r>
  <r>
    <x v="71"/>
    <x v="6"/>
    <n v="52172.7"/>
  </r>
  <r>
    <x v="71"/>
    <x v="7"/>
    <n v="52233.5"/>
  </r>
  <r>
    <x v="71"/>
    <x v="8"/>
    <n v="52452.4"/>
  </r>
  <r>
    <x v="71"/>
    <x v="9"/>
    <n v="53267.3"/>
  </r>
  <r>
    <x v="71"/>
    <x v="10"/>
    <n v="53072.7"/>
  </r>
  <r>
    <x v="71"/>
    <x v="11"/>
    <n v="52947.7"/>
  </r>
  <r>
    <x v="71"/>
    <x v="12"/>
    <n v="52974.400000000001"/>
  </r>
  <r>
    <x v="71"/>
    <x v="13"/>
    <n v="53227.9"/>
  </r>
  <r>
    <x v="71"/>
    <x v="14"/>
    <n v="53083.7"/>
  </r>
  <r>
    <x v="71"/>
    <x v="15"/>
    <n v="53081.5"/>
  </r>
  <r>
    <x v="71"/>
    <x v="16"/>
    <n v="53000.1"/>
  </r>
  <r>
    <x v="71"/>
    <x v="17"/>
    <n v="52739.5"/>
  </r>
  <r>
    <x v="71"/>
    <x v="18"/>
    <n v="53466.400000000001"/>
  </r>
  <r>
    <x v="71"/>
    <x v="19"/>
    <n v="53139.6"/>
  </r>
  <r>
    <x v="71"/>
    <x v="20"/>
    <n v="52998.7"/>
  </r>
  <r>
    <x v="71"/>
    <x v="21"/>
    <n v="53071.4"/>
  </r>
  <r>
    <x v="71"/>
    <x v="22"/>
    <n v="54113.4"/>
  </r>
  <r>
    <x v="71"/>
    <x v="23"/>
    <n v="54068.9"/>
  </r>
  <r>
    <x v="72"/>
    <x v="0"/>
    <n v="53907.1"/>
  </r>
  <r>
    <x v="72"/>
    <x v="1"/>
    <n v="54396.6"/>
  </r>
  <r>
    <x v="72"/>
    <x v="2"/>
    <n v="54516.2"/>
  </r>
  <r>
    <x v="72"/>
    <x v="3"/>
    <n v="54491.4"/>
  </r>
  <r>
    <x v="72"/>
    <x v="4"/>
    <n v="53497"/>
  </r>
  <r>
    <x v="72"/>
    <x v="5"/>
    <n v="53239.9"/>
  </r>
  <r>
    <x v="72"/>
    <x v="6"/>
    <n v="53088.5"/>
  </r>
  <r>
    <x v="72"/>
    <x v="7"/>
    <n v="52335.6"/>
  </r>
  <r>
    <x v="72"/>
    <x v="8"/>
    <n v="52795.9"/>
  </r>
  <r>
    <x v="72"/>
    <x v="9"/>
    <n v="52998.9"/>
  </r>
  <r>
    <x v="72"/>
    <x v="10"/>
    <n v="53378.400000000001"/>
  </r>
  <r>
    <x v="72"/>
    <x v="11"/>
    <n v="53343.1"/>
  </r>
  <r>
    <x v="72"/>
    <x v="12"/>
    <n v="53397.4"/>
  </r>
  <r>
    <x v="72"/>
    <x v="13"/>
    <n v="53474.1"/>
  </r>
  <r>
    <x v="72"/>
    <x v="14"/>
    <n v="53491.1"/>
  </r>
  <r>
    <x v="72"/>
    <x v="15"/>
    <n v="53417.4"/>
  </r>
  <r>
    <x v="72"/>
    <x v="16"/>
    <n v="53165.9"/>
  </r>
  <r>
    <x v="72"/>
    <x v="17"/>
    <n v="53482.2"/>
  </r>
  <r>
    <x v="72"/>
    <x v="18"/>
    <n v="53832.3"/>
  </r>
  <r>
    <x v="72"/>
    <x v="19"/>
    <n v="53277.4"/>
  </r>
  <r>
    <x v="72"/>
    <x v="20"/>
    <n v="53451.199999999997"/>
  </r>
  <r>
    <x v="72"/>
    <x v="21"/>
    <n v="53232.800000000003"/>
  </r>
  <r>
    <x v="72"/>
    <x v="22"/>
    <n v="53418.2"/>
  </r>
  <r>
    <x v="72"/>
    <x v="23"/>
    <n v="53556.7"/>
  </r>
  <r>
    <x v="73"/>
    <x v="0"/>
    <n v="53766.8"/>
  </r>
  <r>
    <x v="73"/>
    <x v="1"/>
    <n v="54292.5"/>
  </r>
  <r>
    <x v="73"/>
    <x v="2"/>
    <n v="54450.1"/>
  </r>
  <r>
    <x v="73"/>
    <x v="3"/>
    <n v="53252.800000000003"/>
  </r>
  <r>
    <x v="73"/>
    <x v="4"/>
    <n v="53729.4"/>
  </r>
  <r>
    <x v="73"/>
    <x v="5"/>
    <n v="53664.2"/>
  </r>
  <r>
    <x v="73"/>
    <x v="6"/>
    <n v="53489.599999999999"/>
  </r>
  <r>
    <x v="73"/>
    <x v="7"/>
    <n v="53774.3"/>
  </r>
  <r>
    <x v="73"/>
    <x v="8"/>
    <n v="53525.4"/>
  </r>
  <r>
    <x v="73"/>
    <x v="9"/>
    <n v="53297.4"/>
  </r>
  <r>
    <x v="73"/>
    <x v="10"/>
    <n v="53382.8"/>
  </r>
  <r>
    <x v="73"/>
    <x v="11"/>
    <n v="53586.8"/>
  </r>
  <r>
    <x v="73"/>
    <x v="12"/>
    <n v="53468.1"/>
  </r>
  <r>
    <x v="73"/>
    <x v="13"/>
    <n v="53235.4"/>
  </r>
  <r>
    <x v="73"/>
    <x v="14"/>
    <n v="52982"/>
  </r>
  <r>
    <x v="73"/>
    <x v="15"/>
    <n v="53112"/>
  </r>
  <r>
    <x v="73"/>
    <x v="16"/>
    <n v="52876.4"/>
  </r>
  <r>
    <x v="73"/>
    <x v="17"/>
    <n v="52748.9"/>
  </r>
  <r>
    <x v="73"/>
    <x v="18"/>
    <n v="52813.3"/>
  </r>
  <r>
    <x v="73"/>
    <x v="19"/>
    <n v="52484.800000000003"/>
  </r>
  <r>
    <x v="73"/>
    <x v="20"/>
    <n v="54698.8"/>
  </r>
  <r>
    <x v="73"/>
    <x v="21"/>
    <n v="54769.599999999999"/>
  </r>
  <r>
    <x v="73"/>
    <x v="22"/>
    <n v="54866.5"/>
  </r>
  <r>
    <x v="73"/>
    <x v="23"/>
    <n v="54773.7"/>
  </r>
  <r>
    <x v="74"/>
    <x v="0"/>
    <n v="54916.1"/>
  </r>
  <r>
    <x v="74"/>
    <x v="1"/>
    <n v="54743"/>
  </r>
  <r>
    <x v="74"/>
    <x v="2"/>
    <n v="53709.7"/>
  </r>
  <r>
    <x v="74"/>
    <x v="3"/>
    <n v="53636.9"/>
  </r>
  <r>
    <x v="74"/>
    <x v="4"/>
    <n v="53824.7"/>
  </r>
  <r>
    <x v="74"/>
    <x v="5"/>
    <n v="17265.599999999999"/>
  </r>
  <r>
    <x v="74"/>
    <x v="6"/>
    <n v="480.7"/>
  </r>
  <r>
    <x v="74"/>
    <x v="7"/>
    <n v="18006.400000000001"/>
  </r>
  <r>
    <x v="74"/>
    <x v="8"/>
    <n v="42955.5"/>
  </r>
  <r>
    <x v="74"/>
    <x v="9"/>
    <n v="53620.2"/>
  </r>
  <r>
    <x v="74"/>
    <x v="10"/>
    <n v="53554.1"/>
  </r>
  <r>
    <x v="74"/>
    <x v="11"/>
    <n v="52564.2"/>
  </r>
  <r>
    <x v="74"/>
    <x v="12"/>
    <n v="52575.8"/>
  </r>
  <r>
    <x v="74"/>
    <x v="13"/>
    <n v="52627"/>
  </r>
  <r>
    <x v="74"/>
    <x v="14"/>
    <n v="52645.3"/>
  </r>
  <r>
    <x v="74"/>
    <x v="15"/>
    <n v="52603.4"/>
  </r>
  <r>
    <x v="74"/>
    <x v="16"/>
    <n v="52527.3"/>
  </r>
  <r>
    <x v="74"/>
    <x v="17"/>
    <n v="52563"/>
  </r>
  <r>
    <x v="74"/>
    <x v="18"/>
    <n v="52661.1"/>
  </r>
  <r>
    <x v="74"/>
    <x v="19"/>
    <n v="52686.2"/>
  </r>
  <r>
    <x v="74"/>
    <x v="20"/>
    <n v="52570.6"/>
  </r>
  <r>
    <x v="74"/>
    <x v="21"/>
    <n v="52659.9"/>
  </r>
  <r>
    <x v="74"/>
    <x v="22"/>
    <n v="53834.8"/>
  </r>
  <r>
    <x v="74"/>
    <x v="23"/>
    <n v="53857"/>
  </r>
  <r>
    <x v="75"/>
    <x v="0"/>
    <n v="53713.5"/>
  </r>
  <r>
    <x v="75"/>
    <x v="1"/>
    <n v="53966.1"/>
  </r>
  <r>
    <x v="75"/>
    <x v="2"/>
    <n v="54021.4"/>
  </r>
  <r>
    <x v="75"/>
    <x v="3"/>
    <n v="54083.199999999997"/>
  </r>
  <r>
    <x v="75"/>
    <x v="4"/>
    <n v="54467.4"/>
  </r>
  <r>
    <x v="75"/>
    <x v="5"/>
    <n v="16998"/>
  </r>
  <r>
    <x v="75"/>
    <x v="6"/>
    <n v="47.2"/>
  </r>
  <r>
    <x v="75"/>
    <x v="7"/>
    <n v="16713.8"/>
  </r>
  <r>
    <x v="75"/>
    <x v="8"/>
    <n v="42911"/>
  </r>
  <r>
    <x v="75"/>
    <x v="9"/>
    <n v="53916"/>
  </r>
  <r>
    <x v="75"/>
    <x v="10"/>
    <n v="54965.3"/>
  </r>
  <r>
    <x v="75"/>
    <x v="11"/>
    <n v="54467.5"/>
  </r>
  <r>
    <x v="75"/>
    <x v="12"/>
    <n v="54499.8"/>
  </r>
  <r>
    <x v="75"/>
    <x v="13"/>
    <n v="54448"/>
  </r>
  <r>
    <x v="75"/>
    <x v="14"/>
    <n v="54789.4"/>
  </r>
  <r>
    <x v="75"/>
    <x v="15"/>
    <n v="67548.800000000003"/>
  </r>
  <r>
    <x v="75"/>
    <x v="16"/>
    <n v="58624.5"/>
  </r>
  <r>
    <x v="75"/>
    <x v="17"/>
    <n v="54775.9"/>
  </r>
  <r>
    <x v="75"/>
    <x v="18"/>
    <n v="54207"/>
  </r>
  <r>
    <x v="75"/>
    <x v="19"/>
    <n v="53943.4"/>
  </r>
  <r>
    <x v="75"/>
    <x v="20"/>
    <n v="54123.7"/>
  </r>
  <r>
    <x v="75"/>
    <x v="21"/>
    <n v="54031.3"/>
  </r>
  <r>
    <x v="75"/>
    <x v="22"/>
    <n v="54228.3"/>
  </r>
  <r>
    <x v="75"/>
    <x v="23"/>
    <n v="54205.4"/>
  </r>
  <r>
    <x v="76"/>
    <x v="0"/>
    <n v="53594.1"/>
  </r>
  <r>
    <x v="76"/>
    <x v="1"/>
    <n v="54326.400000000001"/>
  </r>
  <r>
    <x v="76"/>
    <x v="2"/>
    <n v="54228.9"/>
  </r>
  <r>
    <x v="76"/>
    <x v="3"/>
    <n v="54277.1"/>
  </r>
  <r>
    <x v="76"/>
    <x v="4"/>
    <n v="53723.5"/>
  </r>
  <r>
    <x v="76"/>
    <x v="5"/>
    <n v="53674.6"/>
  </r>
  <r>
    <x v="76"/>
    <x v="6"/>
    <n v="53832.3"/>
  </r>
  <r>
    <x v="76"/>
    <x v="7"/>
    <n v="53585.5"/>
  </r>
  <r>
    <x v="76"/>
    <x v="8"/>
    <n v="53817.599999999999"/>
  </r>
  <r>
    <x v="76"/>
    <x v="9"/>
    <n v="53893.7"/>
  </r>
  <r>
    <x v="76"/>
    <x v="10"/>
    <n v="54787.6"/>
  </r>
  <r>
    <x v="76"/>
    <x v="11"/>
    <n v="54049.8"/>
  </r>
  <r>
    <x v="76"/>
    <x v="12"/>
    <n v="54278.5"/>
  </r>
  <r>
    <x v="76"/>
    <x v="13"/>
    <n v="54224.9"/>
  </r>
  <r>
    <x v="76"/>
    <x v="14"/>
    <n v="54128.7"/>
  </r>
  <r>
    <x v="76"/>
    <x v="15"/>
    <n v="54089.599999999999"/>
  </r>
  <r>
    <x v="76"/>
    <x v="16"/>
    <n v="54272.6"/>
  </r>
  <r>
    <x v="76"/>
    <x v="17"/>
    <n v="54154.2"/>
  </r>
  <r>
    <x v="76"/>
    <x v="18"/>
    <n v="54348"/>
  </r>
  <r>
    <x v="76"/>
    <x v="19"/>
    <n v="54034.5"/>
  </r>
  <r>
    <x v="76"/>
    <x v="20"/>
    <n v="54059.5"/>
  </r>
  <r>
    <x v="76"/>
    <x v="21"/>
    <n v="54276.4"/>
  </r>
  <r>
    <x v="76"/>
    <x v="22"/>
    <n v="54225.1"/>
  </r>
  <r>
    <x v="76"/>
    <x v="23"/>
    <n v="54074.9"/>
  </r>
  <r>
    <x v="77"/>
    <x v="0"/>
    <n v="53543.7"/>
  </r>
  <r>
    <x v="77"/>
    <x v="1"/>
    <n v="53847.7"/>
  </r>
  <r>
    <x v="77"/>
    <x v="2"/>
    <n v="54468.9"/>
  </r>
  <r>
    <x v="77"/>
    <x v="3"/>
    <n v="54451.5"/>
  </r>
  <r>
    <x v="77"/>
    <x v="4"/>
    <n v="54492.1"/>
  </r>
  <r>
    <x v="77"/>
    <x v="5"/>
    <n v="54412.3"/>
  </r>
  <r>
    <x v="77"/>
    <x v="6"/>
    <n v="54628.6"/>
  </r>
  <r>
    <x v="77"/>
    <x v="7"/>
    <n v="54844.7"/>
  </r>
  <r>
    <x v="77"/>
    <x v="8"/>
    <n v="54658.1"/>
  </r>
  <r>
    <x v="77"/>
    <x v="9"/>
    <n v="54749.7"/>
  </r>
  <r>
    <x v="77"/>
    <x v="10"/>
    <n v="54539.5"/>
  </r>
  <r>
    <x v="77"/>
    <x v="11"/>
    <n v="54768.1"/>
  </r>
  <r>
    <x v="77"/>
    <x v="12"/>
    <n v="54459.7"/>
  </r>
  <r>
    <x v="77"/>
    <x v="13"/>
    <n v="54773.5"/>
  </r>
  <r>
    <x v="77"/>
    <x v="14"/>
    <n v="54896.1"/>
  </r>
  <r>
    <x v="77"/>
    <x v="15"/>
    <n v="54874.9"/>
  </r>
  <r>
    <x v="77"/>
    <x v="16"/>
    <n v="54851.1"/>
  </r>
  <r>
    <x v="77"/>
    <x v="17"/>
    <n v="54852.6"/>
  </r>
  <r>
    <x v="77"/>
    <x v="18"/>
    <n v="54837.7"/>
  </r>
  <r>
    <x v="77"/>
    <x v="19"/>
    <n v="54807"/>
  </r>
  <r>
    <x v="77"/>
    <x v="20"/>
    <n v="54820.800000000003"/>
  </r>
  <r>
    <x v="77"/>
    <x v="21"/>
    <n v="54756.3"/>
  </r>
  <r>
    <x v="77"/>
    <x v="22"/>
    <n v="54802.8"/>
  </r>
  <r>
    <x v="77"/>
    <x v="23"/>
    <n v="54827.6"/>
  </r>
  <r>
    <x v="78"/>
    <x v="0"/>
    <n v="54266.2"/>
  </r>
  <r>
    <x v="78"/>
    <x v="1"/>
    <n v="54729.1"/>
  </r>
  <r>
    <x v="78"/>
    <x v="2"/>
    <n v="54423.199999999997"/>
  </r>
  <r>
    <x v="78"/>
    <x v="3"/>
    <n v="53729.5"/>
  </r>
  <r>
    <x v="78"/>
    <x v="4"/>
    <n v="53892.7"/>
  </r>
  <r>
    <x v="78"/>
    <x v="5"/>
    <n v="53568.1"/>
  </r>
  <r>
    <x v="78"/>
    <x v="6"/>
    <n v="53255.1"/>
  </r>
  <r>
    <x v="78"/>
    <x v="7"/>
    <n v="53381.5"/>
  </r>
  <r>
    <x v="78"/>
    <x v="8"/>
    <n v="52767.7"/>
  </r>
  <r>
    <x v="78"/>
    <x v="9"/>
    <n v="52858.2"/>
  </r>
  <r>
    <x v="78"/>
    <x v="10"/>
    <n v="52542"/>
  </r>
  <r>
    <x v="78"/>
    <x v="11"/>
    <n v="53211.199999999997"/>
  </r>
  <r>
    <x v="78"/>
    <x v="12"/>
    <n v="53233.2"/>
  </r>
  <r>
    <x v="78"/>
    <x v="13"/>
    <n v="53248.4"/>
  </r>
  <r>
    <x v="78"/>
    <x v="14"/>
    <n v="53050.2"/>
  </r>
  <r>
    <x v="78"/>
    <x v="15"/>
    <n v="53170.5"/>
  </r>
  <r>
    <x v="78"/>
    <x v="16"/>
    <n v="53327.9"/>
  </r>
  <r>
    <x v="78"/>
    <x v="17"/>
    <n v="53172.1"/>
  </r>
  <r>
    <x v="78"/>
    <x v="18"/>
    <n v="53091.9"/>
  </r>
  <r>
    <x v="78"/>
    <x v="19"/>
    <n v="53103.3"/>
  </r>
  <r>
    <x v="78"/>
    <x v="20"/>
    <n v="53147.6"/>
  </r>
  <r>
    <x v="78"/>
    <x v="21"/>
    <n v="53131.3"/>
  </r>
  <r>
    <x v="78"/>
    <x v="22"/>
    <n v="53107.8"/>
  </r>
  <r>
    <x v="78"/>
    <x v="23"/>
    <n v="52954.1"/>
  </r>
  <r>
    <x v="79"/>
    <x v="0"/>
    <n v="51780.6"/>
  </r>
  <r>
    <x v="79"/>
    <x v="1"/>
    <n v="53553"/>
  </r>
  <r>
    <x v="79"/>
    <x v="2"/>
    <n v="53570"/>
  </r>
  <r>
    <x v="79"/>
    <x v="3"/>
    <n v="53485.5"/>
  </r>
  <r>
    <x v="79"/>
    <x v="4"/>
    <n v="53629.4"/>
  </r>
  <r>
    <x v="79"/>
    <x v="5"/>
    <n v="53641.8"/>
  </r>
  <r>
    <x v="79"/>
    <x v="6"/>
    <n v="53562.3"/>
  </r>
  <r>
    <x v="79"/>
    <x v="7"/>
    <n v="53706.5"/>
  </r>
  <r>
    <x v="79"/>
    <x v="8"/>
    <n v="53735.199999999997"/>
  </r>
  <r>
    <x v="79"/>
    <x v="9"/>
    <n v="53657"/>
  </r>
  <r>
    <x v="79"/>
    <x v="10"/>
    <n v="53100.7"/>
  </r>
  <r>
    <x v="79"/>
    <x v="11"/>
    <n v="53120.800000000003"/>
  </r>
  <r>
    <x v="79"/>
    <x v="12"/>
    <n v="53199.199999999997"/>
  </r>
  <r>
    <x v="79"/>
    <x v="13"/>
    <n v="53285.8"/>
  </r>
  <r>
    <x v="79"/>
    <x v="14"/>
    <n v="53303.6"/>
  </r>
  <r>
    <x v="79"/>
    <x v="15"/>
    <n v="52663"/>
  </r>
  <r>
    <x v="79"/>
    <x v="16"/>
    <n v="52612.2"/>
  </r>
  <r>
    <x v="79"/>
    <x v="17"/>
    <n v="52589.8"/>
  </r>
  <r>
    <x v="79"/>
    <x v="18"/>
    <n v="53090"/>
  </r>
  <r>
    <x v="79"/>
    <x v="19"/>
    <n v="53833.5"/>
  </r>
  <r>
    <x v="79"/>
    <x v="20"/>
    <n v="53786.7"/>
  </r>
  <r>
    <x v="79"/>
    <x v="21"/>
    <n v="53867.1"/>
  </r>
  <r>
    <x v="79"/>
    <x v="22"/>
    <n v="53667.8"/>
  </r>
  <r>
    <x v="79"/>
    <x v="23"/>
    <n v="53589.5"/>
  </r>
  <r>
    <x v="80"/>
    <x v="0"/>
    <n v="53731.7"/>
  </r>
  <r>
    <x v="80"/>
    <x v="1"/>
    <n v="54173"/>
  </r>
  <r>
    <x v="80"/>
    <x v="2"/>
    <n v="54039.6"/>
  </r>
  <r>
    <x v="80"/>
    <x v="3"/>
    <n v="53965.599999999999"/>
  </r>
  <r>
    <x v="80"/>
    <x v="4"/>
    <n v="54145.9"/>
  </r>
  <r>
    <x v="80"/>
    <x v="5"/>
    <n v="53848.3"/>
  </r>
  <r>
    <x v="80"/>
    <x v="6"/>
    <n v="54072.9"/>
  </r>
  <r>
    <x v="80"/>
    <x v="7"/>
    <n v="53782.8"/>
  </r>
  <r>
    <x v="80"/>
    <x v="8"/>
    <n v="53017.3"/>
  </r>
  <r>
    <x v="80"/>
    <x v="9"/>
    <n v="53707.6"/>
  </r>
  <r>
    <x v="80"/>
    <x v="10"/>
    <n v="53537.1"/>
  </r>
  <r>
    <x v="80"/>
    <x v="11"/>
    <n v="53722.1"/>
  </r>
  <r>
    <x v="80"/>
    <x v="12"/>
    <n v="53717.8"/>
  </r>
  <r>
    <x v="80"/>
    <x v="13"/>
    <n v="53460.7"/>
  </r>
  <r>
    <x v="80"/>
    <x v="14"/>
    <n v="52854.6"/>
  </r>
  <r>
    <x v="80"/>
    <x v="15"/>
    <n v="53348.7"/>
  </r>
  <r>
    <x v="80"/>
    <x v="16"/>
    <n v="53284.3"/>
  </r>
  <r>
    <x v="80"/>
    <x v="17"/>
    <n v="53226.5"/>
  </r>
  <r>
    <x v="80"/>
    <x v="18"/>
    <n v="53205.7"/>
  </r>
  <r>
    <x v="80"/>
    <x v="19"/>
    <n v="53635.5"/>
  </r>
  <r>
    <x v="80"/>
    <x v="20"/>
    <n v="54486.9"/>
  </r>
  <r>
    <x v="80"/>
    <x v="21"/>
    <n v="54270.400000000001"/>
  </r>
  <r>
    <x v="80"/>
    <x v="22"/>
    <n v="52071"/>
  </r>
  <r>
    <x v="80"/>
    <x v="23"/>
    <n v="54446.6"/>
  </r>
  <r>
    <x v="81"/>
    <x v="0"/>
    <n v="53215.199999999997"/>
  </r>
  <r>
    <x v="81"/>
    <x v="1"/>
    <n v="54535.8"/>
  </r>
  <r>
    <x v="81"/>
    <x v="2"/>
    <n v="54556.3"/>
  </r>
  <r>
    <x v="81"/>
    <x v="3"/>
    <n v="54605.8"/>
  </r>
  <r>
    <x v="81"/>
    <x v="4"/>
    <n v="54570.9"/>
  </r>
  <r>
    <x v="81"/>
    <x v="5"/>
    <n v="54594.7"/>
  </r>
  <r>
    <x v="81"/>
    <x v="6"/>
    <n v="54510.2"/>
  </r>
  <r>
    <x v="81"/>
    <x v="7"/>
    <n v="54525.1"/>
  </r>
  <r>
    <x v="81"/>
    <x v="8"/>
    <n v="54547.199999999997"/>
  </r>
  <r>
    <x v="81"/>
    <x v="9"/>
    <n v="54552.4"/>
  </r>
  <r>
    <x v="81"/>
    <x v="10"/>
    <n v="55273.4"/>
  </r>
  <r>
    <x v="81"/>
    <x v="11"/>
    <n v="54498.6"/>
  </r>
  <r>
    <x v="81"/>
    <x v="12"/>
    <n v="54492"/>
  </r>
  <r>
    <x v="81"/>
    <x v="13"/>
    <n v="54485.1"/>
  </r>
  <r>
    <x v="81"/>
    <x v="14"/>
    <n v="54489.2"/>
  </r>
  <r>
    <x v="81"/>
    <x v="15"/>
    <n v="54556.1"/>
  </r>
  <r>
    <x v="81"/>
    <x v="16"/>
    <n v="54511.4"/>
  </r>
  <r>
    <x v="81"/>
    <x v="17"/>
    <n v="54545.7"/>
  </r>
  <r>
    <x v="81"/>
    <x v="18"/>
    <n v="54551.5"/>
  </r>
  <r>
    <x v="81"/>
    <x v="19"/>
    <n v="54338.1"/>
  </r>
  <r>
    <x v="81"/>
    <x v="20"/>
    <n v="54450.5"/>
  </r>
  <r>
    <x v="81"/>
    <x v="21"/>
    <n v="54465.7"/>
  </r>
  <r>
    <x v="81"/>
    <x v="22"/>
    <n v="54435.4"/>
  </r>
  <r>
    <x v="81"/>
    <x v="23"/>
    <n v="54223.9"/>
  </r>
  <r>
    <x v="82"/>
    <x v="0"/>
    <n v="53110.400000000001"/>
  </r>
  <r>
    <x v="82"/>
    <x v="1"/>
    <n v="53049.4"/>
  </r>
  <r>
    <x v="82"/>
    <x v="2"/>
    <n v="53009.8"/>
  </r>
  <r>
    <x v="82"/>
    <x v="3"/>
    <n v="53384.5"/>
  </r>
  <r>
    <x v="82"/>
    <x v="4"/>
    <n v="53369.5"/>
  </r>
  <r>
    <x v="82"/>
    <x v="5"/>
    <n v="52884.4"/>
  </r>
  <r>
    <x v="82"/>
    <x v="6"/>
    <n v="53052.4"/>
  </r>
  <r>
    <x v="82"/>
    <x v="7"/>
    <n v="53006.400000000001"/>
  </r>
  <r>
    <x v="82"/>
    <x v="8"/>
    <n v="53216.4"/>
  </r>
  <r>
    <x v="82"/>
    <x v="9"/>
    <n v="54820.7"/>
  </r>
  <r>
    <x v="82"/>
    <x v="10"/>
    <n v="54782.6"/>
  </r>
  <r>
    <x v="82"/>
    <x v="11"/>
    <n v="53957.599999999999"/>
  </r>
  <r>
    <x v="82"/>
    <x v="12"/>
    <n v="54708.5"/>
  </r>
  <r>
    <x v="82"/>
    <x v="13"/>
    <n v="54076.7"/>
  </r>
  <r>
    <x v="82"/>
    <x v="14"/>
    <n v="54462.9"/>
  </r>
  <r>
    <x v="82"/>
    <x v="15"/>
    <n v="54285"/>
  </r>
  <r>
    <x v="82"/>
    <x v="16"/>
    <n v="54208.4"/>
  </r>
  <r>
    <x v="82"/>
    <x v="17"/>
    <n v="54138.1"/>
  </r>
  <r>
    <x v="82"/>
    <x v="18"/>
    <n v="54041.5"/>
  </r>
  <r>
    <x v="82"/>
    <x v="19"/>
    <n v="54114.5"/>
  </r>
  <r>
    <x v="82"/>
    <x v="20"/>
    <n v="54085.2"/>
  </r>
  <r>
    <x v="82"/>
    <x v="21"/>
    <n v="64081.8"/>
  </r>
  <r>
    <x v="82"/>
    <x v="22"/>
    <n v="65340.5"/>
  </r>
  <r>
    <x v="82"/>
    <x v="23"/>
    <n v="64226.6"/>
  </r>
  <r>
    <x v="83"/>
    <x v="0"/>
    <n v="54114.3"/>
  </r>
  <r>
    <x v="83"/>
    <x v="1"/>
    <n v="54150.6"/>
  </r>
  <r>
    <x v="83"/>
    <x v="2"/>
    <n v="54254.6"/>
  </r>
  <r>
    <x v="83"/>
    <x v="3"/>
    <n v="53374.8"/>
  </r>
  <r>
    <x v="83"/>
    <x v="4"/>
    <n v="52463.6"/>
  </r>
  <r>
    <x v="83"/>
    <x v="5"/>
    <n v="53077.8"/>
  </r>
  <r>
    <x v="83"/>
    <x v="6"/>
    <n v="53210.1"/>
  </r>
  <r>
    <x v="83"/>
    <x v="7"/>
    <n v="52965.2"/>
  </r>
  <r>
    <x v="83"/>
    <x v="8"/>
    <n v="53430.9"/>
  </r>
  <r>
    <x v="83"/>
    <x v="9"/>
    <n v="54760.5"/>
  </r>
  <r>
    <x v="83"/>
    <x v="10"/>
    <n v="54201.5"/>
  </r>
  <r>
    <x v="83"/>
    <x v="11"/>
    <n v="54264.4"/>
  </r>
  <r>
    <x v="83"/>
    <x v="12"/>
    <n v="54172.3"/>
  </r>
  <r>
    <x v="83"/>
    <x v="13"/>
    <n v="54322.400000000001"/>
  </r>
  <r>
    <x v="83"/>
    <x v="14"/>
    <n v="54361.9"/>
  </r>
  <r>
    <x v="83"/>
    <x v="15"/>
    <n v="54117.7"/>
  </r>
  <r>
    <x v="83"/>
    <x v="16"/>
    <n v="54169.8"/>
  </r>
  <r>
    <x v="83"/>
    <x v="17"/>
    <n v="54255.8"/>
  </r>
  <r>
    <x v="83"/>
    <x v="18"/>
    <n v="54301.9"/>
  </r>
  <r>
    <x v="83"/>
    <x v="19"/>
    <n v="54134.7"/>
  </r>
  <r>
    <x v="83"/>
    <x v="20"/>
    <n v="54198.3"/>
  </r>
  <r>
    <x v="83"/>
    <x v="21"/>
    <n v="53832.7"/>
  </r>
  <r>
    <x v="83"/>
    <x v="22"/>
    <n v="54188.1"/>
  </r>
  <r>
    <x v="83"/>
    <x v="23"/>
    <n v="53881.2"/>
  </r>
  <r>
    <x v="84"/>
    <x v="0"/>
    <n v="52872"/>
  </r>
  <r>
    <x v="84"/>
    <x v="1"/>
    <n v="52754.7"/>
  </r>
  <r>
    <x v="84"/>
    <x v="2"/>
    <n v="53158"/>
  </r>
  <r>
    <x v="84"/>
    <x v="3"/>
    <n v="53234.400000000001"/>
  </r>
  <r>
    <x v="84"/>
    <x v="4"/>
    <n v="53406"/>
  </r>
  <r>
    <x v="84"/>
    <x v="5"/>
    <n v="53323.8"/>
  </r>
  <r>
    <x v="84"/>
    <x v="6"/>
    <n v="17421.400000000001"/>
  </r>
  <r>
    <x v="84"/>
    <x v="7"/>
    <n v="182.2"/>
  </r>
  <r>
    <x v="84"/>
    <x v="8"/>
    <n v="16590.7"/>
  </r>
  <r>
    <x v="84"/>
    <x v="9"/>
    <n v="42518.5"/>
  </r>
  <r>
    <x v="84"/>
    <x v="10"/>
    <n v="51540.800000000003"/>
  </r>
  <r>
    <x v="84"/>
    <x v="11"/>
    <n v="54683.7"/>
  </r>
  <r>
    <x v="84"/>
    <x v="12"/>
    <n v="54675.3"/>
  </r>
  <r>
    <x v="84"/>
    <x v="13"/>
    <n v="54537.2"/>
  </r>
  <r>
    <x v="84"/>
    <x v="14"/>
    <n v="54165.2"/>
  </r>
  <r>
    <x v="84"/>
    <x v="15"/>
    <n v="54737.5"/>
  </r>
  <r>
    <x v="84"/>
    <x v="16"/>
    <n v="54758.400000000001"/>
  </r>
  <r>
    <x v="84"/>
    <x v="17"/>
    <n v="54594.7"/>
  </r>
  <r>
    <x v="84"/>
    <x v="18"/>
    <n v="54785.8"/>
  </r>
  <r>
    <x v="84"/>
    <x v="19"/>
    <n v="54557.8"/>
  </r>
  <r>
    <x v="84"/>
    <x v="20"/>
    <n v="53064"/>
  </r>
  <r>
    <x v="84"/>
    <x v="21"/>
    <n v="53135.4"/>
  </r>
  <r>
    <x v="84"/>
    <x v="22"/>
    <n v="53551.199999999997"/>
  </r>
  <r>
    <x v="84"/>
    <x v="23"/>
    <n v="53742.7"/>
  </r>
  <r>
    <x v="85"/>
    <x v="0"/>
    <n v="54256.7"/>
  </r>
  <r>
    <x v="85"/>
    <x v="1"/>
    <n v="53717.3"/>
  </r>
  <r>
    <x v="85"/>
    <x v="2"/>
    <n v="53758.5"/>
  </r>
  <r>
    <x v="85"/>
    <x v="3"/>
    <n v="54311.1"/>
  </r>
  <r>
    <x v="85"/>
    <x v="4"/>
    <n v="54781.599999999999"/>
  </r>
  <r>
    <x v="85"/>
    <x v="5"/>
    <n v="54131.6"/>
  </r>
  <r>
    <x v="85"/>
    <x v="6"/>
    <n v="53886.9"/>
  </r>
  <r>
    <x v="85"/>
    <x v="7"/>
    <n v="54190.6"/>
  </r>
  <r>
    <x v="85"/>
    <x v="8"/>
    <n v="54095.9"/>
  </r>
  <r>
    <x v="85"/>
    <x v="9"/>
    <n v="54101.9"/>
  </r>
  <r>
    <x v="85"/>
    <x v="10"/>
    <n v="54998.1"/>
  </r>
  <r>
    <x v="85"/>
    <x v="11"/>
    <n v="54699.9"/>
  </r>
  <r>
    <x v="85"/>
    <x v="12"/>
    <n v="54818.2"/>
  </r>
  <r>
    <x v="85"/>
    <x v="13"/>
    <n v="54886.6"/>
  </r>
  <r>
    <x v="85"/>
    <x v="14"/>
    <n v="54745.7"/>
  </r>
  <r>
    <x v="85"/>
    <x v="15"/>
    <n v="54769.5"/>
  </r>
  <r>
    <x v="85"/>
    <x v="16"/>
    <n v="54631.1"/>
  </r>
  <r>
    <x v="85"/>
    <x v="17"/>
    <n v="54784.7"/>
  </r>
  <r>
    <x v="85"/>
    <x v="18"/>
    <n v="55082.7"/>
  </r>
  <r>
    <x v="85"/>
    <x v="19"/>
    <n v="54782.7"/>
  </r>
  <r>
    <x v="85"/>
    <x v="20"/>
    <n v="54733.5"/>
  </r>
  <r>
    <x v="85"/>
    <x v="21"/>
    <n v="64618.1"/>
  </r>
  <r>
    <x v="85"/>
    <x v="22"/>
    <n v="66710.3"/>
  </r>
  <r>
    <x v="85"/>
    <x v="23"/>
    <n v="66334.7"/>
  </r>
  <r>
    <x v="86"/>
    <x v="0"/>
    <n v="55112.5"/>
  </r>
  <r>
    <x v="86"/>
    <x v="1"/>
    <n v="53508"/>
  </r>
  <r>
    <x v="86"/>
    <x v="2"/>
    <n v="53601.2"/>
  </r>
  <r>
    <x v="86"/>
    <x v="3"/>
    <n v="53560.6"/>
  </r>
  <r>
    <x v="86"/>
    <x v="4"/>
    <n v="53552.6"/>
  </r>
  <r>
    <x v="86"/>
    <x v="5"/>
    <n v="54178.7"/>
  </r>
  <r>
    <x v="86"/>
    <x v="6"/>
    <n v="54884.800000000003"/>
  </r>
  <r>
    <x v="86"/>
    <x v="7"/>
    <n v="54479.7"/>
  </r>
  <r>
    <x v="86"/>
    <x v="8"/>
    <n v="53994.2"/>
  </r>
  <r>
    <x v="86"/>
    <x v="9"/>
    <n v="53958.7"/>
  </r>
  <r>
    <x v="86"/>
    <x v="10"/>
    <n v="53881.8"/>
  </r>
  <r>
    <x v="86"/>
    <x v="11"/>
    <n v="54121.5"/>
  </r>
  <r>
    <x v="86"/>
    <x v="12"/>
    <n v="54760.6"/>
  </r>
  <r>
    <x v="86"/>
    <x v="13"/>
    <n v="53518.7"/>
  </r>
  <r>
    <x v="86"/>
    <x v="14"/>
    <n v="53652.2"/>
  </r>
  <r>
    <x v="86"/>
    <x v="15"/>
    <n v="53609.1"/>
  </r>
  <r>
    <x v="86"/>
    <x v="16"/>
    <n v="53169"/>
  </r>
  <r>
    <x v="86"/>
    <x v="17"/>
    <n v="54293.3"/>
  </r>
  <r>
    <x v="86"/>
    <x v="18"/>
    <n v="54737"/>
  </r>
  <r>
    <x v="86"/>
    <x v="19"/>
    <n v="58797.7"/>
  </r>
  <r>
    <x v="86"/>
    <x v="20"/>
    <n v="67853.5"/>
  </r>
  <r>
    <x v="86"/>
    <x v="21"/>
    <n v="66146.899999999994"/>
  </r>
  <r>
    <x v="86"/>
    <x v="22"/>
    <n v="66138"/>
  </r>
  <r>
    <x v="86"/>
    <x v="23"/>
    <n v="63886.7"/>
  </r>
  <r>
    <x v="87"/>
    <x v="0"/>
    <n v="54871.9"/>
  </r>
  <r>
    <x v="87"/>
    <x v="1"/>
    <n v="54764.800000000003"/>
  </r>
  <r>
    <x v="87"/>
    <x v="2"/>
    <n v="54728"/>
  </r>
  <r>
    <x v="87"/>
    <x v="3"/>
    <n v="54703.7"/>
  </r>
  <r>
    <x v="87"/>
    <x v="4"/>
    <n v="54316.6"/>
  </r>
  <r>
    <x v="87"/>
    <x v="5"/>
    <n v="53608.9"/>
  </r>
  <r>
    <x v="87"/>
    <x v="6"/>
    <n v="53721.599999999999"/>
  </r>
  <r>
    <x v="87"/>
    <x v="7"/>
    <n v="53809.5"/>
  </r>
  <r>
    <x v="87"/>
    <x v="8"/>
    <n v="53879.6"/>
  </r>
  <r>
    <x v="87"/>
    <x v="9"/>
    <n v="53865.1"/>
  </r>
  <r>
    <x v="87"/>
    <x v="10"/>
    <n v="53834.5"/>
  </r>
  <r>
    <x v="87"/>
    <x v="11"/>
    <n v="53559.8"/>
  </r>
  <r>
    <x v="87"/>
    <x v="12"/>
    <n v="53354"/>
  </r>
  <r>
    <x v="87"/>
    <x v="13"/>
    <n v="53326.2"/>
  </r>
  <r>
    <x v="87"/>
    <x v="14"/>
    <n v="53355.9"/>
  </r>
  <r>
    <x v="87"/>
    <x v="15"/>
    <n v="53240.5"/>
  </r>
  <r>
    <x v="87"/>
    <x v="16"/>
    <n v="53304.1"/>
  </r>
  <r>
    <x v="87"/>
    <x v="17"/>
    <n v="53213.3"/>
  </r>
  <r>
    <x v="87"/>
    <x v="18"/>
    <n v="52750.3"/>
  </r>
  <r>
    <x v="87"/>
    <x v="19"/>
    <n v="53619.5"/>
  </r>
  <r>
    <x v="87"/>
    <x v="20"/>
    <n v="56541.3"/>
  </r>
  <r>
    <x v="87"/>
    <x v="21"/>
    <n v="67345.8"/>
  </r>
  <r>
    <x v="87"/>
    <x v="22"/>
    <n v="68683.100000000006"/>
  </r>
  <r>
    <x v="87"/>
    <x v="23"/>
    <n v="68197.7"/>
  </r>
  <r>
    <x v="88"/>
    <x v="0"/>
    <n v="58974.5"/>
  </r>
  <r>
    <x v="88"/>
    <x v="1"/>
    <n v="54576.2"/>
  </r>
  <r>
    <x v="88"/>
    <x v="2"/>
    <n v="54566.9"/>
  </r>
  <r>
    <x v="88"/>
    <x v="3"/>
    <n v="54591.3"/>
  </r>
  <r>
    <x v="88"/>
    <x v="4"/>
    <n v="54596"/>
  </r>
  <r>
    <x v="88"/>
    <x v="5"/>
    <n v="53967.6"/>
  </r>
  <r>
    <x v="88"/>
    <x v="6"/>
    <n v="53928.9"/>
  </r>
  <r>
    <x v="88"/>
    <x v="7"/>
    <n v="53118"/>
  </r>
  <r>
    <x v="88"/>
    <x v="8"/>
    <n v="52945.8"/>
  </r>
  <r>
    <x v="88"/>
    <x v="9"/>
    <n v="52591.4"/>
  </r>
  <r>
    <x v="88"/>
    <x v="10"/>
    <n v="52564.4"/>
  </r>
  <r>
    <x v="88"/>
    <x v="11"/>
    <n v="52623.9"/>
  </r>
  <r>
    <x v="88"/>
    <x v="12"/>
    <n v="55495.6"/>
  </r>
  <r>
    <x v="88"/>
    <x v="13"/>
    <n v="54582.3"/>
  </r>
  <r>
    <x v="88"/>
    <x v="14"/>
    <n v="54870.3"/>
  </r>
  <r>
    <x v="88"/>
    <x v="15"/>
    <n v="54009.7"/>
  </r>
  <r>
    <x v="88"/>
    <x v="16"/>
    <n v="54047.6"/>
  </r>
  <r>
    <x v="88"/>
    <x v="17"/>
    <n v="53839.8"/>
  </r>
  <r>
    <x v="88"/>
    <x v="18"/>
    <n v="55205.8"/>
  </r>
  <r>
    <x v="88"/>
    <x v="19"/>
    <n v="55563.6"/>
  </r>
  <r>
    <x v="88"/>
    <x v="20"/>
    <n v="57439.1"/>
  </r>
  <r>
    <x v="88"/>
    <x v="21"/>
    <n v="69693.100000000006"/>
  </r>
  <r>
    <x v="88"/>
    <x v="22"/>
    <n v="69607.100000000006"/>
  </r>
  <r>
    <x v="88"/>
    <x v="23"/>
    <n v="69157.100000000006"/>
  </r>
  <r>
    <x v="89"/>
    <x v="0"/>
    <n v="61316.2"/>
  </r>
  <r>
    <x v="89"/>
    <x v="1"/>
    <n v="54644.6"/>
  </r>
  <r>
    <x v="89"/>
    <x v="2"/>
    <n v="54619.199999999997"/>
  </r>
  <r>
    <x v="89"/>
    <x v="3"/>
    <n v="54733.599999999999"/>
  </r>
  <r>
    <x v="89"/>
    <x v="4"/>
    <n v="54818.8"/>
  </r>
  <r>
    <x v="89"/>
    <x v="5"/>
    <n v="53793.3"/>
  </r>
  <r>
    <x v="89"/>
    <x v="6"/>
    <n v="53812.3"/>
  </r>
  <r>
    <x v="89"/>
    <x v="7"/>
    <n v="53833.9"/>
  </r>
  <r>
    <x v="89"/>
    <x v="8"/>
    <n v="54183.6"/>
  </r>
  <r>
    <x v="89"/>
    <x v="9"/>
    <n v="54775.1"/>
  </r>
  <r>
    <x v="89"/>
    <x v="10"/>
    <n v="53783.5"/>
  </r>
  <r>
    <x v="89"/>
    <x v="11"/>
    <n v="56066.8"/>
  </r>
  <r>
    <x v="89"/>
    <x v="12"/>
    <n v="54879.3"/>
  </r>
  <r>
    <x v="89"/>
    <x v="13"/>
    <n v="54987.7"/>
  </r>
  <r>
    <x v="89"/>
    <x v="14"/>
    <n v="54894.8"/>
  </r>
  <r>
    <x v="89"/>
    <x v="15"/>
    <n v="54893.5"/>
  </r>
  <r>
    <x v="89"/>
    <x v="16"/>
    <n v="54945.2"/>
  </r>
  <r>
    <x v="89"/>
    <x v="17"/>
    <n v="54755.7"/>
  </r>
  <r>
    <x v="89"/>
    <x v="18"/>
    <n v="54855.5"/>
  </r>
  <r>
    <x v="89"/>
    <x v="19"/>
    <n v="54935.6"/>
  </r>
  <r>
    <x v="89"/>
    <x v="20"/>
    <n v="54879.6"/>
  </r>
  <r>
    <x v="89"/>
    <x v="21"/>
    <n v="54784.4"/>
  </r>
  <r>
    <x v="89"/>
    <x v="22"/>
    <n v="54760.800000000003"/>
  </r>
  <r>
    <x v="89"/>
    <x v="23"/>
    <n v="54759.8"/>
  </r>
  <r>
    <x v="90"/>
    <x v="0"/>
    <n v="55539.3"/>
  </r>
  <r>
    <x v="90"/>
    <x v="1"/>
    <n v="55855.3"/>
  </r>
  <r>
    <x v="90"/>
    <x v="2"/>
    <n v="55804.2"/>
  </r>
  <r>
    <x v="90"/>
    <x v="3"/>
    <n v="55797.599999999999"/>
  </r>
  <r>
    <x v="90"/>
    <x v="4"/>
    <n v="54602.9"/>
  </r>
  <r>
    <x v="90"/>
    <x v="5"/>
    <n v="54458.1"/>
  </r>
  <r>
    <x v="90"/>
    <x v="6"/>
    <n v="53818.3"/>
  </r>
  <r>
    <x v="90"/>
    <x v="7"/>
    <n v="54774.6"/>
  </r>
  <r>
    <x v="90"/>
    <x v="8"/>
    <n v="54658"/>
  </r>
  <r>
    <x v="90"/>
    <x v="9"/>
    <n v="54638.3"/>
  </r>
  <r>
    <x v="90"/>
    <x v="10"/>
    <n v="54728.1"/>
  </r>
  <r>
    <x v="90"/>
    <x v="11"/>
    <n v="54657.3"/>
  </r>
  <r>
    <x v="90"/>
    <x v="12"/>
    <n v="53635.1"/>
  </r>
  <r>
    <x v="90"/>
    <x v="13"/>
    <n v="54134.2"/>
  </r>
  <r>
    <x v="90"/>
    <x v="14"/>
    <n v="54106.9"/>
  </r>
  <r>
    <x v="90"/>
    <x v="15"/>
    <n v="53926.5"/>
  </r>
  <r>
    <x v="90"/>
    <x v="16"/>
    <n v="54401.8"/>
  </r>
  <r>
    <x v="90"/>
    <x v="17"/>
    <n v="54640.9"/>
  </r>
  <r>
    <x v="90"/>
    <x v="18"/>
    <n v="54529.1"/>
  </r>
  <r>
    <x v="90"/>
    <x v="19"/>
    <n v="54008.2"/>
  </r>
  <r>
    <x v="90"/>
    <x v="20"/>
    <n v="54656.800000000003"/>
  </r>
  <r>
    <x v="90"/>
    <x v="21"/>
    <n v="53899.3"/>
  </r>
  <r>
    <x v="90"/>
    <x v="22"/>
    <n v="54069.2"/>
  </r>
  <r>
    <x v="90"/>
    <x v="23"/>
    <n v="54431.1"/>
  </r>
  <r>
    <x v="91"/>
    <x v="0"/>
    <n v="54725.4"/>
  </r>
  <r>
    <x v="91"/>
    <x v="1"/>
    <n v="54920.2"/>
  </r>
  <r>
    <x v="91"/>
    <x v="2"/>
    <n v="54747.3"/>
  </r>
  <r>
    <x v="91"/>
    <x v="3"/>
    <n v="53844.1"/>
  </r>
  <r>
    <x v="91"/>
    <x v="4"/>
    <n v="53952.3"/>
  </r>
  <r>
    <x v="91"/>
    <x v="5"/>
    <n v="52277.1"/>
  </r>
  <r>
    <x v="91"/>
    <x v="6"/>
    <n v="51144.800000000003"/>
  </r>
  <r>
    <x v="91"/>
    <x v="7"/>
    <n v="51328.9"/>
  </r>
  <r>
    <x v="91"/>
    <x v="8"/>
    <n v="51421.599999999999"/>
  </r>
  <r>
    <x v="91"/>
    <x v="9"/>
    <n v="51712.1"/>
  </r>
  <r>
    <x v="91"/>
    <x v="10"/>
    <n v="54888.6"/>
  </r>
  <r>
    <x v="91"/>
    <x v="11"/>
    <n v="55354.2"/>
  </r>
  <r>
    <x v="91"/>
    <x v="12"/>
    <n v="55118.2"/>
  </r>
  <r>
    <x v="91"/>
    <x v="13"/>
    <n v="54959.5"/>
  </r>
  <r>
    <x v="91"/>
    <x v="14"/>
    <n v="54903"/>
  </r>
  <r>
    <x v="91"/>
    <x v="15"/>
    <n v="54613.1"/>
  </r>
  <r>
    <x v="91"/>
    <x v="16"/>
    <n v="54781.2"/>
  </r>
  <r>
    <x v="91"/>
    <x v="17"/>
    <n v="54571.8"/>
  </r>
  <r>
    <x v="91"/>
    <x v="18"/>
    <n v="54750.8"/>
  </r>
  <r>
    <x v="91"/>
    <x v="19"/>
    <n v="54513.9"/>
  </r>
  <r>
    <x v="91"/>
    <x v="20"/>
    <n v="54498.9"/>
  </r>
  <r>
    <x v="91"/>
    <x v="21"/>
    <n v="54464.1"/>
  </r>
  <r>
    <x v="91"/>
    <x v="22"/>
    <n v="54559.9"/>
  </r>
  <r>
    <x v="91"/>
    <x v="23"/>
    <n v="54740.6"/>
  </r>
  <r>
    <x v="92"/>
    <x v="0"/>
    <n v="55050.2"/>
  </r>
  <r>
    <x v="92"/>
    <x v="1"/>
    <n v="55277.4"/>
  </r>
  <r>
    <x v="92"/>
    <x v="2"/>
    <n v="55126.2"/>
  </r>
  <r>
    <x v="92"/>
    <x v="3"/>
    <n v="54120.1"/>
  </r>
  <r>
    <x v="92"/>
    <x v="4"/>
    <n v="53737.7"/>
  </r>
  <r>
    <x v="92"/>
    <x v="5"/>
    <n v="54335"/>
  </r>
  <r>
    <x v="92"/>
    <x v="6"/>
    <n v="54345.7"/>
  </r>
  <r>
    <x v="92"/>
    <x v="7"/>
    <n v="54511.4"/>
  </r>
  <r>
    <x v="92"/>
    <x v="8"/>
    <n v="54629.8"/>
  </r>
  <r>
    <x v="92"/>
    <x v="9"/>
    <n v="54568.3"/>
  </r>
  <r>
    <x v="92"/>
    <x v="10"/>
    <n v="54061.9"/>
  </r>
  <r>
    <x v="92"/>
    <x v="11"/>
    <n v="53900.2"/>
  </r>
  <r>
    <x v="92"/>
    <x v="12"/>
    <n v="54043"/>
  </r>
  <r>
    <x v="92"/>
    <x v="13"/>
    <n v="53930.1"/>
  </r>
  <r>
    <x v="92"/>
    <x v="14"/>
    <n v="54009.5"/>
  </r>
  <r>
    <x v="92"/>
    <x v="15"/>
    <n v="53858.9"/>
  </r>
  <r>
    <x v="92"/>
    <x v="16"/>
    <n v="53877.8"/>
  </r>
  <r>
    <x v="92"/>
    <x v="17"/>
    <n v="53876.1"/>
  </r>
  <r>
    <x v="92"/>
    <x v="18"/>
    <n v="54070.8"/>
  </r>
  <r>
    <x v="92"/>
    <x v="19"/>
    <n v="53887.6"/>
  </r>
  <r>
    <x v="92"/>
    <x v="20"/>
    <n v="62431.6"/>
  </r>
  <r>
    <x v="92"/>
    <x v="21"/>
    <n v="54085.3"/>
  </r>
  <r>
    <x v="92"/>
    <x v="22"/>
    <n v="57245.1"/>
  </r>
  <r>
    <x v="92"/>
    <x v="23"/>
    <n v="68377.8"/>
  </r>
  <r>
    <x v="93"/>
    <x v="0"/>
    <n v="53903.4"/>
  </r>
  <r>
    <x v="93"/>
    <x v="1"/>
    <n v="53533.3"/>
  </r>
  <r>
    <x v="93"/>
    <x v="2"/>
    <n v="53550.400000000001"/>
  </r>
  <r>
    <x v="93"/>
    <x v="3"/>
    <n v="54258"/>
  </r>
  <r>
    <x v="93"/>
    <x v="4"/>
    <n v="54272.7"/>
  </r>
  <r>
    <x v="93"/>
    <x v="5"/>
    <n v="54099.6"/>
  </r>
  <r>
    <x v="93"/>
    <x v="6"/>
    <n v="52529.2"/>
  </r>
  <r>
    <x v="93"/>
    <x v="7"/>
    <n v="53734.5"/>
  </r>
  <r>
    <x v="93"/>
    <x v="8"/>
    <n v="53883.6"/>
  </r>
  <r>
    <x v="93"/>
    <x v="9"/>
    <n v="54394.3"/>
  </r>
  <r>
    <x v="93"/>
    <x v="10"/>
    <n v="54573.4"/>
  </r>
  <r>
    <x v="93"/>
    <x v="11"/>
    <n v="54309"/>
  </r>
  <r>
    <x v="93"/>
    <x v="12"/>
    <n v="54452.9"/>
  </r>
  <r>
    <x v="93"/>
    <x v="13"/>
    <n v="54513"/>
  </r>
  <r>
    <x v="93"/>
    <x v="14"/>
    <n v="54507.199999999997"/>
  </r>
  <r>
    <x v="93"/>
    <x v="15"/>
    <n v="54417"/>
  </r>
  <r>
    <x v="93"/>
    <x v="16"/>
    <n v="54415.199999999997"/>
  </r>
  <r>
    <x v="93"/>
    <x v="17"/>
    <n v="54546.5"/>
  </r>
  <r>
    <x v="93"/>
    <x v="18"/>
    <n v="54617.4"/>
  </r>
  <r>
    <x v="93"/>
    <x v="19"/>
    <n v="61384.1"/>
  </r>
  <r>
    <x v="93"/>
    <x v="20"/>
    <n v="69077.100000000006"/>
  </r>
  <r>
    <x v="93"/>
    <x v="21"/>
    <n v="68687.399999999994"/>
  </r>
  <r>
    <x v="93"/>
    <x v="22"/>
    <n v="68711.7"/>
  </r>
  <r>
    <x v="93"/>
    <x v="23"/>
    <n v="68725.5"/>
  </r>
  <r>
    <x v="94"/>
    <x v="0"/>
    <n v="66972.600000000006"/>
  </r>
  <r>
    <x v="94"/>
    <x v="1"/>
    <n v="54568.800000000003"/>
  </r>
  <r>
    <x v="94"/>
    <x v="2"/>
    <n v="54439.9"/>
  </r>
  <r>
    <x v="94"/>
    <x v="3"/>
    <n v="54756.6"/>
  </r>
  <r>
    <x v="94"/>
    <x v="4"/>
    <n v="54784.3"/>
  </r>
  <r>
    <x v="94"/>
    <x v="5"/>
    <n v="54845"/>
  </r>
  <r>
    <x v="94"/>
    <x v="6"/>
    <n v="54966.7"/>
  </r>
  <r>
    <x v="94"/>
    <x v="7"/>
    <n v="54692"/>
  </r>
  <r>
    <x v="94"/>
    <x v="8"/>
    <n v="54658.7"/>
  </r>
  <r>
    <x v="94"/>
    <x v="9"/>
    <n v="54672.2"/>
  </r>
  <r>
    <x v="94"/>
    <x v="10"/>
    <n v="54375.9"/>
  </r>
  <r>
    <x v="94"/>
    <x v="11"/>
    <n v="54517.8"/>
  </r>
  <r>
    <x v="94"/>
    <x v="12"/>
    <n v="57556.800000000003"/>
  </r>
  <r>
    <x v="94"/>
    <x v="13"/>
    <n v="68184.600000000006"/>
  </r>
  <r>
    <x v="94"/>
    <x v="14"/>
    <n v="70088.2"/>
  </r>
  <r>
    <x v="94"/>
    <x v="15"/>
    <n v="68156.2"/>
  </r>
  <r>
    <x v="94"/>
    <x v="16"/>
    <n v="68157.8"/>
  </r>
  <r>
    <x v="94"/>
    <x v="17"/>
    <n v="54836.3"/>
  </r>
  <r>
    <x v="94"/>
    <x v="18"/>
    <n v="67599.100000000006"/>
  </r>
  <r>
    <x v="94"/>
    <x v="19"/>
    <n v="68302"/>
  </r>
  <r>
    <x v="94"/>
    <x v="20"/>
    <n v="64979.3"/>
  </r>
  <r>
    <x v="94"/>
    <x v="21"/>
    <n v="62462.3"/>
  </r>
  <r>
    <x v="94"/>
    <x v="22"/>
    <n v="67526.600000000006"/>
  </r>
  <r>
    <x v="94"/>
    <x v="23"/>
    <n v="65615"/>
  </r>
  <r>
    <x v="95"/>
    <x v="0"/>
    <n v="55110.7"/>
  </r>
  <r>
    <x v="95"/>
    <x v="1"/>
    <n v="54624"/>
  </r>
  <r>
    <x v="95"/>
    <x v="2"/>
    <n v="54721.3"/>
  </r>
  <r>
    <x v="95"/>
    <x v="3"/>
    <n v="54139.199999999997"/>
  </r>
  <r>
    <x v="95"/>
    <x v="4"/>
    <n v="54185"/>
  </r>
  <r>
    <x v="95"/>
    <x v="5"/>
    <n v="54299.4"/>
  </r>
  <r>
    <x v="95"/>
    <x v="6"/>
    <n v="54596.800000000003"/>
  </r>
  <r>
    <x v="95"/>
    <x v="7"/>
    <n v="54184.9"/>
  </r>
  <r>
    <x v="95"/>
    <x v="8"/>
    <n v="54208.800000000003"/>
  </r>
  <r>
    <x v="95"/>
    <x v="9"/>
    <n v="54688.3"/>
  </r>
  <r>
    <x v="95"/>
    <x v="10"/>
    <n v="55006.5"/>
  </r>
  <r>
    <x v="95"/>
    <x v="11"/>
    <n v="54581.9"/>
  </r>
  <r>
    <x v="95"/>
    <x v="12"/>
    <n v="54490.3"/>
  </r>
  <r>
    <x v="95"/>
    <x v="13"/>
    <n v="54425.2"/>
  </r>
  <r>
    <x v="95"/>
    <x v="14"/>
    <n v="54539"/>
  </r>
  <r>
    <x v="95"/>
    <x v="15"/>
    <n v="54526.9"/>
  </r>
  <r>
    <x v="95"/>
    <x v="16"/>
    <n v="54472.800000000003"/>
  </r>
  <r>
    <x v="95"/>
    <x v="17"/>
    <n v="54425"/>
  </r>
  <r>
    <x v="95"/>
    <x v="18"/>
    <n v="54655.1"/>
  </r>
  <r>
    <x v="95"/>
    <x v="19"/>
    <n v="54434.3"/>
  </r>
  <r>
    <x v="95"/>
    <x v="20"/>
    <n v="65952.800000000003"/>
  </r>
  <r>
    <x v="95"/>
    <x v="21"/>
    <n v="55562"/>
  </r>
  <r>
    <x v="95"/>
    <x v="22"/>
    <n v="54196.6"/>
  </r>
  <r>
    <x v="95"/>
    <x v="23"/>
    <n v="54253.9"/>
  </r>
  <r>
    <x v="96"/>
    <x v="0"/>
    <n v="54370.8"/>
  </r>
  <r>
    <x v="96"/>
    <x v="1"/>
    <n v="54204.800000000003"/>
  </r>
  <r>
    <x v="96"/>
    <x v="2"/>
    <n v="54306.1"/>
  </r>
  <r>
    <x v="96"/>
    <x v="3"/>
    <n v="54392.4"/>
  </r>
  <r>
    <x v="96"/>
    <x v="4"/>
    <n v="54528.2"/>
  </r>
  <r>
    <x v="96"/>
    <x v="5"/>
    <n v="54353.5"/>
  </r>
  <r>
    <x v="96"/>
    <x v="6"/>
    <n v="53275.6"/>
  </r>
  <r>
    <x v="96"/>
    <x v="7"/>
    <n v="54499"/>
  </r>
  <r>
    <x v="96"/>
    <x v="8"/>
    <n v="53205.1"/>
  </r>
  <r>
    <x v="96"/>
    <x v="9"/>
    <n v="53629.3"/>
  </r>
  <r>
    <x v="96"/>
    <x v="10"/>
    <n v="52930.400000000001"/>
  </r>
  <r>
    <x v="96"/>
    <x v="11"/>
    <n v="53837.7"/>
  </r>
  <r>
    <x v="96"/>
    <x v="12"/>
    <n v="53716.2"/>
  </r>
  <r>
    <x v="96"/>
    <x v="13"/>
    <n v="53684.7"/>
  </r>
  <r>
    <x v="96"/>
    <x v="14"/>
    <n v="52890.9"/>
  </r>
  <r>
    <x v="96"/>
    <x v="15"/>
    <n v="54928.5"/>
  </r>
  <r>
    <x v="96"/>
    <x v="16"/>
    <n v="54545.8"/>
  </r>
  <r>
    <x v="96"/>
    <x v="17"/>
    <n v="54704.2"/>
  </r>
  <r>
    <x v="96"/>
    <x v="18"/>
    <n v="54301.3"/>
  </r>
  <r>
    <x v="96"/>
    <x v="19"/>
    <n v="54296.2"/>
  </r>
  <r>
    <x v="96"/>
    <x v="20"/>
    <n v="67162.399999999994"/>
  </r>
  <r>
    <x v="96"/>
    <x v="21"/>
    <n v="56064.3"/>
  </r>
  <r>
    <x v="96"/>
    <x v="22"/>
    <n v="54171.199999999997"/>
  </r>
  <r>
    <x v="96"/>
    <x v="23"/>
    <n v="54628.1"/>
  </r>
  <r>
    <x v="97"/>
    <x v="0"/>
    <n v="54102.6"/>
  </r>
  <r>
    <x v="97"/>
    <x v="1"/>
    <n v="54499.1"/>
  </r>
  <r>
    <x v="97"/>
    <x v="2"/>
    <n v="54720.5"/>
  </r>
  <r>
    <x v="97"/>
    <x v="3"/>
    <n v="54823.9"/>
  </r>
  <r>
    <x v="97"/>
    <x v="4"/>
    <n v="54768.5"/>
  </r>
  <r>
    <x v="97"/>
    <x v="5"/>
    <n v="54646.6"/>
  </r>
  <r>
    <x v="97"/>
    <x v="6"/>
    <n v="53877.5"/>
  </r>
  <r>
    <x v="97"/>
    <x v="7"/>
    <n v="53161.8"/>
  </r>
  <r>
    <x v="97"/>
    <x v="8"/>
    <n v="54807.8"/>
  </r>
  <r>
    <x v="97"/>
    <x v="9"/>
    <n v="54771.4"/>
  </r>
  <r>
    <x v="97"/>
    <x v="10"/>
    <n v="54237.9"/>
  </r>
  <r>
    <x v="97"/>
    <x v="11"/>
    <n v="54304.3"/>
  </r>
  <r>
    <x v="97"/>
    <x v="12"/>
    <n v="54218.400000000001"/>
  </r>
  <r>
    <x v="97"/>
    <x v="13"/>
    <n v="54194.6"/>
  </r>
  <r>
    <x v="97"/>
    <x v="14"/>
    <n v="54379.199999999997"/>
  </r>
  <r>
    <x v="97"/>
    <x v="15"/>
    <n v="54216.3"/>
  </r>
  <r>
    <x v="97"/>
    <x v="16"/>
    <n v="54218.7"/>
  </r>
  <r>
    <x v="97"/>
    <x v="17"/>
    <n v="54342.9"/>
  </r>
  <r>
    <x v="97"/>
    <x v="18"/>
    <n v="54456.9"/>
  </r>
  <r>
    <x v="97"/>
    <x v="19"/>
    <n v="56527.3"/>
  </r>
  <r>
    <x v="97"/>
    <x v="20"/>
    <n v="59916.6"/>
  </r>
  <r>
    <x v="97"/>
    <x v="21"/>
    <n v="54549.4"/>
  </r>
  <r>
    <x v="97"/>
    <x v="22"/>
    <n v="53422.2"/>
  </r>
  <r>
    <x v="97"/>
    <x v="23"/>
    <n v="54463.5"/>
  </r>
  <r>
    <x v="98"/>
    <x v="0"/>
    <n v="53715.3"/>
  </r>
  <r>
    <x v="98"/>
    <x v="1"/>
    <n v="54240"/>
  </r>
  <r>
    <x v="98"/>
    <x v="2"/>
    <n v="54427.8"/>
  </r>
  <r>
    <x v="98"/>
    <x v="3"/>
    <n v="54311.9"/>
  </r>
  <r>
    <x v="98"/>
    <x v="4"/>
    <n v="54428.2"/>
  </r>
  <r>
    <x v="98"/>
    <x v="5"/>
    <n v="54091.8"/>
  </r>
  <r>
    <x v="98"/>
    <x v="6"/>
    <n v="54049"/>
  </r>
  <r>
    <x v="98"/>
    <x v="7"/>
    <n v="53464.4"/>
  </r>
  <r>
    <x v="98"/>
    <x v="8"/>
    <n v="53454.5"/>
  </r>
  <r>
    <x v="98"/>
    <x v="9"/>
    <n v="53319.199999999997"/>
  </r>
  <r>
    <x v="98"/>
    <x v="10"/>
    <n v="53452.9"/>
  </r>
  <r>
    <x v="98"/>
    <x v="11"/>
    <n v="53583.7"/>
  </r>
  <r>
    <x v="98"/>
    <x v="12"/>
    <n v="53625.3"/>
  </r>
  <r>
    <x v="98"/>
    <x v="13"/>
    <n v="53518.3"/>
  </r>
  <r>
    <x v="98"/>
    <x v="14"/>
    <n v="53510.8"/>
  </r>
  <r>
    <x v="98"/>
    <x v="15"/>
    <n v="53582.8"/>
  </r>
  <r>
    <x v="98"/>
    <x v="16"/>
    <n v="53547.1"/>
  </r>
  <r>
    <x v="98"/>
    <x v="17"/>
    <n v="53554.3"/>
  </r>
  <r>
    <x v="98"/>
    <x v="18"/>
    <n v="53567.6"/>
  </r>
  <r>
    <x v="98"/>
    <x v="19"/>
    <n v="53448.9"/>
  </r>
  <r>
    <x v="98"/>
    <x v="20"/>
    <n v="65253.7"/>
  </r>
  <r>
    <x v="98"/>
    <x v="21"/>
    <n v="68095.8"/>
  </r>
  <r>
    <x v="98"/>
    <x v="22"/>
    <n v="68182.899999999994"/>
  </r>
  <r>
    <x v="98"/>
    <x v="23"/>
    <n v="63080.2"/>
  </r>
  <r>
    <x v="99"/>
    <x v="0"/>
    <n v="54460.4"/>
  </r>
  <r>
    <x v="99"/>
    <x v="1"/>
    <n v="54603.1"/>
  </r>
  <r>
    <x v="99"/>
    <x v="2"/>
    <n v="54513.7"/>
  </r>
  <r>
    <x v="99"/>
    <x v="3"/>
    <n v="54597.5"/>
  </r>
  <r>
    <x v="99"/>
    <x v="4"/>
    <n v="54769.5"/>
  </r>
  <r>
    <x v="99"/>
    <x v="5"/>
    <n v="54460.2"/>
  </r>
  <r>
    <x v="99"/>
    <x v="6"/>
    <n v="53645.9"/>
  </r>
  <r>
    <x v="99"/>
    <x v="7"/>
    <n v="54426.1"/>
  </r>
  <r>
    <x v="99"/>
    <x v="8"/>
    <n v="54758.7"/>
  </r>
  <r>
    <x v="99"/>
    <x v="9"/>
    <n v="53372.6"/>
  </r>
  <r>
    <x v="99"/>
    <x v="10"/>
    <n v="54493.3"/>
  </r>
  <r>
    <x v="99"/>
    <x v="11"/>
    <n v="54607.1"/>
  </r>
  <r>
    <x v="99"/>
    <x v="12"/>
    <n v="55293"/>
  </r>
  <r>
    <x v="99"/>
    <x v="13"/>
    <n v="55023"/>
  </r>
  <r>
    <x v="99"/>
    <x v="14"/>
    <n v="54953.2"/>
  </r>
  <r>
    <x v="99"/>
    <x v="15"/>
    <n v="54664.7"/>
  </r>
  <r>
    <x v="99"/>
    <x v="16"/>
    <n v="54629.3"/>
  </r>
  <r>
    <x v="99"/>
    <x v="17"/>
    <n v="53108.4"/>
  </r>
  <r>
    <x v="99"/>
    <x v="18"/>
    <n v="54761.599999999999"/>
  </r>
  <r>
    <x v="99"/>
    <x v="19"/>
    <n v="55018.400000000001"/>
  </r>
  <r>
    <x v="99"/>
    <x v="20"/>
    <n v="67070.2"/>
  </r>
  <r>
    <x v="99"/>
    <x v="21"/>
    <n v="67598.8"/>
  </r>
  <r>
    <x v="99"/>
    <x v="22"/>
    <n v="67109.399999999994"/>
  </r>
  <r>
    <x v="99"/>
    <x v="23"/>
    <n v="55236"/>
  </r>
  <r>
    <x v="100"/>
    <x v="0"/>
    <n v="54719.3"/>
  </r>
  <r>
    <x v="100"/>
    <x v="1"/>
    <n v="54730.6"/>
  </r>
  <r>
    <x v="100"/>
    <x v="2"/>
    <n v="54393"/>
  </r>
  <r>
    <x v="100"/>
    <x v="3"/>
    <n v="54514.7"/>
  </r>
  <r>
    <x v="100"/>
    <x v="4"/>
    <n v="54801.9"/>
  </r>
  <r>
    <x v="100"/>
    <x v="5"/>
    <n v="54513.1"/>
  </r>
  <r>
    <x v="100"/>
    <x v="6"/>
    <n v="52785.4"/>
  </r>
  <r>
    <x v="100"/>
    <x v="7"/>
    <n v="53568.2"/>
  </r>
  <r>
    <x v="100"/>
    <x v="8"/>
    <n v="53984.800000000003"/>
  </r>
  <r>
    <x v="100"/>
    <x v="9"/>
    <n v="54532.6"/>
  </r>
  <r>
    <x v="100"/>
    <x v="10"/>
    <n v="54569.7"/>
  </r>
  <r>
    <x v="100"/>
    <x v="11"/>
    <n v="54970.2"/>
  </r>
  <r>
    <x v="100"/>
    <x v="12"/>
    <n v="54203.6"/>
  </r>
  <r>
    <x v="100"/>
    <x v="13"/>
    <n v="54769.9"/>
  </r>
  <r>
    <x v="100"/>
    <x v="14"/>
    <n v="53987.7"/>
  </r>
  <r>
    <x v="100"/>
    <x v="15"/>
    <n v="54470.3"/>
  </r>
  <r>
    <x v="100"/>
    <x v="16"/>
    <n v="54811"/>
  </r>
  <r>
    <x v="100"/>
    <x v="17"/>
    <n v="55431.7"/>
  </r>
  <r>
    <x v="100"/>
    <x v="18"/>
    <n v="53837.4"/>
  </r>
  <r>
    <x v="100"/>
    <x v="19"/>
    <n v="54350.5"/>
  </r>
  <r>
    <x v="100"/>
    <x v="20"/>
    <n v="65912.3"/>
  </r>
  <r>
    <x v="100"/>
    <x v="21"/>
    <n v="54977.3"/>
  </r>
  <r>
    <x v="100"/>
    <x v="22"/>
    <n v="54067"/>
  </r>
  <r>
    <x v="100"/>
    <x v="23"/>
    <n v="54057.7"/>
  </r>
  <r>
    <x v="101"/>
    <x v="0"/>
    <n v="45532.6"/>
  </r>
  <r>
    <x v="101"/>
    <x v="1"/>
    <n v="45341.4"/>
  </r>
  <r>
    <x v="101"/>
    <x v="2"/>
    <n v="45375.9"/>
  </r>
  <r>
    <x v="101"/>
    <x v="3"/>
    <n v="45237.3"/>
  </r>
  <r>
    <x v="101"/>
    <x v="4"/>
    <n v="45295.8"/>
  </r>
  <r>
    <x v="101"/>
    <x v="5"/>
    <n v="44131.6"/>
  </r>
  <r>
    <x v="101"/>
    <x v="6"/>
    <n v="44603.4"/>
  </r>
  <r>
    <x v="101"/>
    <x v="7"/>
    <n v="44743.9"/>
  </r>
  <r>
    <x v="101"/>
    <x v="8"/>
    <n v="44613"/>
  </r>
  <r>
    <x v="101"/>
    <x v="9"/>
    <n v="44624.6"/>
  </r>
  <r>
    <x v="101"/>
    <x v="10"/>
    <n v="44232.2"/>
  </r>
  <r>
    <x v="101"/>
    <x v="11"/>
    <n v="42775"/>
  </r>
  <r>
    <x v="101"/>
    <x v="12"/>
    <n v="43538.9"/>
  </r>
  <r>
    <x v="101"/>
    <x v="13"/>
    <n v="44359.3"/>
  </r>
  <r>
    <x v="101"/>
    <x v="14"/>
    <n v="44117.7"/>
  </r>
  <r>
    <x v="101"/>
    <x v="15"/>
    <n v="41616.9"/>
  </r>
  <r>
    <x v="101"/>
    <x v="16"/>
    <n v="41971.199999999997"/>
  </r>
  <r>
    <x v="101"/>
    <x v="17"/>
    <n v="44405.3"/>
  </r>
  <r>
    <x v="101"/>
    <x v="18"/>
    <n v="45206.6"/>
  </r>
  <r>
    <x v="101"/>
    <x v="19"/>
    <n v="48641.4"/>
  </r>
  <r>
    <x v="101"/>
    <x v="20"/>
    <n v="50516.6"/>
  </r>
  <r>
    <x v="101"/>
    <x v="21"/>
    <n v="52973.7"/>
  </r>
  <r>
    <x v="101"/>
    <x v="22"/>
    <n v="57300.6"/>
  </r>
  <r>
    <x v="101"/>
    <x v="23"/>
    <n v="44796.7"/>
  </r>
  <r>
    <x v="102"/>
    <x v="0"/>
    <n v="52359.6"/>
  </r>
  <r>
    <x v="102"/>
    <x v="1"/>
    <n v="52964.1"/>
  </r>
  <r>
    <x v="102"/>
    <x v="2"/>
    <n v="53255.6"/>
  </r>
  <r>
    <x v="102"/>
    <x v="3"/>
    <n v="54042.6"/>
  </r>
  <r>
    <x v="102"/>
    <x v="4"/>
    <n v="54196.1"/>
  </r>
  <r>
    <x v="102"/>
    <x v="5"/>
    <n v="54276"/>
  </r>
  <r>
    <x v="102"/>
    <x v="6"/>
    <n v="54359.6"/>
  </r>
  <r>
    <x v="102"/>
    <x v="7"/>
    <n v="54302"/>
  </r>
  <r>
    <x v="102"/>
    <x v="8"/>
    <n v="54144.6"/>
  </r>
  <r>
    <x v="102"/>
    <x v="9"/>
    <n v="54261.1"/>
  </r>
  <r>
    <x v="102"/>
    <x v="10"/>
    <n v="53409.8"/>
  </r>
  <r>
    <x v="102"/>
    <x v="11"/>
    <n v="52153.8"/>
  </r>
  <r>
    <x v="102"/>
    <x v="12"/>
    <n v="54624.3"/>
  </r>
  <r>
    <x v="102"/>
    <x v="13"/>
    <n v="54471.1"/>
  </r>
  <r>
    <x v="102"/>
    <x v="14"/>
    <n v="54323.7"/>
  </r>
  <r>
    <x v="102"/>
    <x v="15"/>
    <n v="53753.5"/>
  </r>
  <r>
    <x v="102"/>
    <x v="16"/>
    <n v="53753.599999999999"/>
  </r>
  <r>
    <x v="102"/>
    <x v="17"/>
    <n v="52251.6"/>
  </r>
  <r>
    <x v="102"/>
    <x v="18"/>
    <n v="53706.8"/>
  </r>
  <r>
    <x v="102"/>
    <x v="19"/>
    <n v="56273.4"/>
  </r>
  <r>
    <x v="102"/>
    <x v="20"/>
    <n v="66919.199999999997"/>
  </r>
  <r>
    <x v="102"/>
    <x v="21"/>
    <n v="67300.600000000006"/>
  </r>
  <r>
    <x v="102"/>
    <x v="22"/>
    <n v="67375.8"/>
  </r>
  <r>
    <x v="102"/>
    <x v="23"/>
    <n v="55200.6"/>
  </r>
  <r>
    <x v="103"/>
    <x v="0"/>
    <n v="53580.2"/>
  </r>
  <r>
    <x v="103"/>
    <x v="1"/>
    <n v="54047.8"/>
  </r>
  <r>
    <x v="103"/>
    <x v="2"/>
    <n v="53919.7"/>
  </r>
  <r>
    <x v="103"/>
    <x v="3"/>
    <n v="54036.5"/>
  </r>
  <r>
    <x v="103"/>
    <x v="4"/>
    <n v="54886.1"/>
  </r>
  <r>
    <x v="103"/>
    <x v="5"/>
    <n v="54046.6"/>
  </r>
  <r>
    <x v="103"/>
    <x v="6"/>
    <n v="53342.8"/>
  </r>
  <r>
    <x v="103"/>
    <x v="7"/>
    <n v="53477"/>
  </r>
  <r>
    <x v="103"/>
    <x v="8"/>
    <n v="53466.6"/>
  </r>
  <r>
    <x v="103"/>
    <x v="9"/>
    <n v="53380.3"/>
  </r>
  <r>
    <x v="103"/>
    <x v="10"/>
    <n v="53375"/>
  </r>
  <r>
    <x v="103"/>
    <x v="11"/>
    <n v="53582.2"/>
  </r>
  <r>
    <x v="103"/>
    <x v="12"/>
    <n v="54418.5"/>
  </r>
  <r>
    <x v="103"/>
    <x v="13"/>
    <n v="54364.4"/>
  </r>
  <r>
    <x v="103"/>
    <x v="14"/>
    <n v="54205.9"/>
  </r>
  <r>
    <x v="103"/>
    <x v="15"/>
    <n v="53437.599999999999"/>
  </r>
  <r>
    <x v="103"/>
    <x v="16"/>
    <n v="54116.2"/>
  </r>
  <r>
    <x v="103"/>
    <x v="17"/>
    <n v="54638.7"/>
  </r>
  <r>
    <x v="103"/>
    <x v="18"/>
    <n v="54580.4"/>
  </r>
  <r>
    <x v="103"/>
    <x v="19"/>
    <n v="54540.6"/>
  </r>
  <r>
    <x v="103"/>
    <x v="20"/>
    <n v="66154.5"/>
  </r>
  <r>
    <x v="103"/>
    <x v="21"/>
    <n v="67561.7"/>
  </r>
  <r>
    <x v="103"/>
    <x v="22"/>
    <n v="67391.3"/>
  </r>
  <r>
    <x v="103"/>
    <x v="23"/>
    <n v="61664.3"/>
  </r>
  <r>
    <x v="104"/>
    <x v="0"/>
    <n v="53306.5"/>
  </r>
  <r>
    <x v="104"/>
    <x v="1"/>
    <n v="53348.3"/>
  </r>
  <r>
    <x v="104"/>
    <x v="2"/>
    <n v="53859.4"/>
  </r>
  <r>
    <x v="104"/>
    <x v="3"/>
    <n v="53722.6"/>
  </r>
  <r>
    <x v="104"/>
    <x v="4"/>
    <n v="53718.3"/>
  </r>
  <r>
    <x v="104"/>
    <x v="5"/>
    <n v="53749.8"/>
  </r>
  <r>
    <x v="104"/>
    <x v="6"/>
    <n v="54259.199999999997"/>
  </r>
  <r>
    <x v="104"/>
    <x v="7"/>
    <n v="53869.599999999999"/>
  </r>
  <r>
    <x v="104"/>
    <x v="8"/>
    <n v="54263.199999999997"/>
  </r>
  <r>
    <x v="104"/>
    <x v="9"/>
    <n v="54015.6"/>
  </r>
  <r>
    <x v="104"/>
    <x v="10"/>
    <n v="54142"/>
  </r>
  <r>
    <x v="104"/>
    <x v="11"/>
    <n v="53900.7"/>
  </r>
  <r>
    <x v="104"/>
    <x v="12"/>
    <n v="54067"/>
  </r>
  <r>
    <x v="104"/>
    <x v="13"/>
    <n v="53948.4"/>
  </r>
  <r>
    <x v="104"/>
    <x v="14"/>
    <n v="54211.3"/>
  </r>
  <r>
    <x v="104"/>
    <x v="15"/>
    <n v="53983.8"/>
  </r>
  <r>
    <x v="104"/>
    <x v="16"/>
    <n v="54016.4"/>
  </r>
  <r>
    <x v="104"/>
    <x v="17"/>
    <n v="53804.4"/>
  </r>
  <r>
    <x v="104"/>
    <x v="18"/>
    <n v="54085.3"/>
  </r>
  <r>
    <x v="104"/>
    <x v="19"/>
    <n v="54930.6"/>
  </r>
  <r>
    <x v="104"/>
    <x v="20"/>
    <n v="56448.4"/>
  </r>
  <r>
    <x v="104"/>
    <x v="21"/>
    <n v="54845.9"/>
  </r>
  <r>
    <x v="104"/>
    <x v="22"/>
    <n v="54671"/>
  </r>
  <r>
    <x v="104"/>
    <x v="23"/>
    <n v="54839.199999999997"/>
  </r>
  <r>
    <x v="105"/>
    <x v="0"/>
    <n v="44904.800000000003"/>
  </r>
  <r>
    <x v="105"/>
    <x v="1"/>
    <n v="45849.9"/>
  </r>
  <r>
    <x v="105"/>
    <x v="2"/>
    <n v="45771.7"/>
  </r>
  <r>
    <x v="105"/>
    <x v="3"/>
    <n v="45898.3"/>
  </r>
  <r>
    <x v="105"/>
    <x v="4"/>
    <n v="45861.9"/>
  </r>
  <r>
    <x v="105"/>
    <x v="5"/>
    <n v="45779.199999999997"/>
  </r>
  <r>
    <x v="105"/>
    <x v="6"/>
    <n v="45822.2"/>
  </r>
  <r>
    <x v="105"/>
    <x v="7"/>
    <n v="45889"/>
  </r>
  <r>
    <x v="105"/>
    <x v="8"/>
    <n v="44569.5"/>
  </r>
  <r>
    <x v="105"/>
    <x v="9"/>
    <n v="44852.4"/>
  </r>
  <r>
    <x v="105"/>
    <x v="10"/>
    <n v="44839.4"/>
  </r>
  <r>
    <x v="105"/>
    <x v="11"/>
    <n v="44838.9"/>
  </r>
  <r>
    <x v="105"/>
    <x v="12"/>
    <n v="44815.3"/>
  </r>
  <r>
    <x v="105"/>
    <x v="13"/>
    <n v="44745.599999999999"/>
  </r>
  <r>
    <x v="105"/>
    <x v="14"/>
    <n v="44823.4"/>
  </r>
  <r>
    <x v="105"/>
    <x v="15"/>
    <n v="44810.3"/>
  </r>
  <r>
    <x v="105"/>
    <x v="16"/>
    <n v="44839.5"/>
  </r>
  <r>
    <x v="105"/>
    <x v="17"/>
    <n v="44942.400000000001"/>
  </r>
  <r>
    <x v="105"/>
    <x v="18"/>
    <n v="44860.800000000003"/>
  </r>
  <r>
    <x v="105"/>
    <x v="19"/>
    <n v="44686.2"/>
  </r>
  <r>
    <x v="105"/>
    <x v="20"/>
    <n v="52808.7"/>
  </r>
  <r>
    <x v="105"/>
    <x v="21"/>
    <n v="45315"/>
  </r>
  <r>
    <x v="105"/>
    <x v="22"/>
    <n v="45156.5"/>
  </r>
  <r>
    <x v="105"/>
    <x v="23"/>
    <n v="45595.1"/>
  </r>
  <r>
    <x v="106"/>
    <x v="0"/>
    <n v="53457"/>
  </r>
  <r>
    <x v="106"/>
    <x v="1"/>
    <n v="55643"/>
  </r>
  <r>
    <x v="106"/>
    <x v="2"/>
    <n v="54509.9"/>
  </r>
  <r>
    <x v="106"/>
    <x v="3"/>
    <n v="54450.7"/>
  </r>
  <r>
    <x v="106"/>
    <x v="4"/>
    <n v="54899.4"/>
  </r>
  <r>
    <x v="106"/>
    <x v="5"/>
    <n v="54436.1"/>
  </r>
  <r>
    <x v="106"/>
    <x v="6"/>
    <n v="54691.5"/>
  </r>
  <r>
    <x v="106"/>
    <x v="7"/>
    <n v="54717.599999999999"/>
  </r>
  <r>
    <x v="106"/>
    <x v="8"/>
    <n v="53496.6"/>
  </r>
  <r>
    <x v="106"/>
    <x v="9"/>
    <n v="54027.7"/>
  </r>
  <r>
    <x v="106"/>
    <x v="10"/>
    <n v="53047"/>
  </r>
  <r>
    <x v="106"/>
    <x v="11"/>
    <n v="52334.1"/>
  </r>
  <r>
    <x v="106"/>
    <x v="12"/>
    <n v="54434.2"/>
  </r>
  <r>
    <x v="106"/>
    <x v="13"/>
    <n v="54863.3"/>
  </r>
  <r>
    <x v="106"/>
    <x v="14"/>
    <n v="52912.800000000003"/>
  </r>
  <r>
    <x v="106"/>
    <x v="15"/>
    <n v="52731.5"/>
  </r>
  <r>
    <x v="106"/>
    <x v="16"/>
    <n v="51945.1"/>
  </r>
  <r>
    <x v="106"/>
    <x v="17"/>
    <n v="54155"/>
  </r>
  <r>
    <x v="106"/>
    <x v="18"/>
    <n v="53536.4"/>
  </r>
  <r>
    <x v="106"/>
    <x v="19"/>
    <n v="62632.800000000003"/>
  </r>
  <r>
    <x v="106"/>
    <x v="20"/>
    <n v="67604.3"/>
  </r>
  <r>
    <x v="106"/>
    <x v="21"/>
    <n v="54922.2"/>
  </r>
  <r>
    <x v="106"/>
    <x v="22"/>
    <n v="54987.3"/>
  </r>
  <r>
    <x v="106"/>
    <x v="23"/>
    <n v="55109.1"/>
  </r>
  <r>
    <x v="107"/>
    <x v="0"/>
    <n v="54362"/>
  </r>
  <r>
    <x v="107"/>
    <x v="1"/>
    <n v="54145.1"/>
  </r>
  <r>
    <x v="107"/>
    <x v="2"/>
    <n v="54305.7"/>
  </r>
  <r>
    <x v="107"/>
    <x v="3"/>
    <n v="54203.8"/>
  </r>
  <r>
    <x v="107"/>
    <x v="4"/>
    <n v="54190.3"/>
  </r>
  <r>
    <x v="107"/>
    <x v="5"/>
    <n v="54164.3"/>
  </r>
  <r>
    <x v="107"/>
    <x v="6"/>
    <n v="54251.3"/>
  </r>
  <r>
    <x v="107"/>
    <x v="7"/>
    <n v="54346.2"/>
  </r>
  <r>
    <x v="107"/>
    <x v="8"/>
    <n v="53758.1"/>
  </r>
  <r>
    <x v="107"/>
    <x v="9"/>
    <n v="54261.1"/>
  </r>
  <r>
    <x v="107"/>
    <x v="10"/>
    <n v="53522.8"/>
  </r>
  <r>
    <x v="107"/>
    <x v="11"/>
    <n v="52646.6"/>
  </r>
  <r>
    <x v="107"/>
    <x v="12"/>
    <n v="54213"/>
  </r>
  <r>
    <x v="107"/>
    <x v="13"/>
    <n v="53625.2"/>
  </r>
  <r>
    <x v="107"/>
    <x v="14"/>
    <n v="53381.1"/>
  </r>
  <r>
    <x v="107"/>
    <x v="15"/>
    <n v="54224.7"/>
  </r>
  <r>
    <x v="107"/>
    <x v="16"/>
    <n v="54306.3"/>
  </r>
  <r>
    <x v="107"/>
    <x v="17"/>
    <n v="54082.6"/>
  </r>
  <r>
    <x v="107"/>
    <x v="18"/>
    <n v="54043"/>
  </r>
  <r>
    <x v="107"/>
    <x v="19"/>
    <n v="54313"/>
  </r>
  <r>
    <x v="107"/>
    <x v="20"/>
    <n v="67631.8"/>
  </r>
  <r>
    <x v="107"/>
    <x v="21"/>
    <n v="61566.400000000001"/>
  </r>
  <r>
    <x v="107"/>
    <x v="22"/>
    <n v="65608.600000000006"/>
  </r>
  <r>
    <x v="107"/>
    <x v="23"/>
    <n v="54983.199999999997"/>
  </r>
  <r>
    <x v="108"/>
    <x v="0"/>
    <n v="54633.1"/>
  </r>
  <r>
    <x v="108"/>
    <x v="1"/>
    <n v="54521.9"/>
  </r>
  <r>
    <x v="108"/>
    <x v="2"/>
    <n v="54395.7"/>
  </r>
  <r>
    <x v="108"/>
    <x v="3"/>
    <n v="54631.6"/>
  </r>
  <r>
    <x v="108"/>
    <x v="4"/>
    <n v="54748.7"/>
  </r>
  <r>
    <x v="108"/>
    <x v="5"/>
    <n v="54476.800000000003"/>
  </r>
  <r>
    <x v="108"/>
    <x v="6"/>
    <n v="54904"/>
  </r>
  <r>
    <x v="108"/>
    <x v="7"/>
    <n v="54943.1"/>
  </r>
  <r>
    <x v="108"/>
    <x v="8"/>
    <n v="54229.9"/>
  </r>
  <r>
    <x v="108"/>
    <x v="9"/>
    <n v="54100.4"/>
  </r>
  <r>
    <x v="108"/>
    <x v="10"/>
    <n v="54133.4"/>
  </r>
  <r>
    <x v="108"/>
    <x v="11"/>
    <n v="54028.1"/>
  </r>
  <r>
    <x v="108"/>
    <x v="12"/>
    <n v="54066.7"/>
  </r>
  <r>
    <x v="108"/>
    <x v="13"/>
    <n v="54086.7"/>
  </r>
  <r>
    <x v="108"/>
    <x v="14"/>
    <n v="54140.5"/>
  </r>
  <r>
    <x v="108"/>
    <x v="15"/>
    <n v="53997.7"/>
  </r>
  <r>
    <x v="108"/>
    <x v="16"/>
    <n v="53080"/>
  </r>
  <r>
    <x v="108"/>
    <x v="17"/>
    <n v="53907.7"/>
  </r>
  <r>
    <x v="108"/>
    <x v="18"/>
    <n v="53556.3"/>
  </r>
  <r>
    <x v="108"/>
    <x v="19"/>
    <n v="55592.9"/>
  </r>
  <r>
    <x v="108"/>
    <x v="20"/>
    <n v="67313.600000000006"/>
  </r>
  <r>
    <x v="108"/>
    <x v="21"/>
    <n v="54623.7"/>
  </r>
  <r>
    <x v="108"/>
    <x v="22"/>
    <n v="53653.2"/>
  </r>
  <r>
    <x v="108"/>
    <x v="23"/>
    <n v="53737.599999999999"/>
  </r>
  <r>
    <x v="109"/>
    <x v="0"/>
    <n v="53453.5"/>
  </r>
  <r>
    <x v="109"/>
    <x v="1"/>
    <n v="53368.9"/>
  </r>
  <r>
    <x v="109"/>
    <x v="2"/>
    <n v="53478.8"/>
  </r>
  <r>
    <x v="109"/>
    <x v="3"/>
    <n v="53411.1"/>
  </r>
  <r>
    <x v="109"/>
    <x v="4"/>
    <n v="53565.5"/>
  </r>
  <r>
    <x v="109"/>
    <x v="5"/>
    <n v="53557.2"/>
  </r>
  <r>
    <x v="109"/>
    <x v="6"/>
    <n v="53264.1"/>
  </r>
  <r>
    <x v="109"/>
    <x v="7"/>
    <n v="53314.5"/>
  </r>
  <r>
    <x v="109"/>
    <x v="8"/>
    <n v="54552.2"/>
  </r>
  <r>
    <x v="109"/>
    <x v="9"/>
    <n v="53489.5"/>
  </r>
  <r>
    <x v="109"/>
    <x v="10"/>
    <n v="53456.1"/>
  </r>
  <r>
    <x v="109"/>
    <x v="11"/>
    <n v="53330.1"/>
  </r>
  <r>
    <x v="109"/>
    <x v="12"/>
    <n v="53697.599999999999"/>
  </r>
  <r>
    <x v="109"/>
    <x v="13"/>
    <n v="53530.400000000001"/>
  </r>
  <r>
    <x v="109"/>
    <x v="14"/>
    <n v="53588.2"/>
  </r>
  <r>
    <x v="109"/>
    <x v="15"/>
    <n v="54752.1"/>
  </r>
  <r>
    <x v="109"/>
    <x v="16"/>
    <n v="54998.6"/>
  </r>
  <r>
    <x v="109"/>
    <x v="17"/>
    <n v="54739.5"/>
  </r>
  <r>
    <x v="109"/>
    <x v="18"/>
    <n v="54431"/>
  </r>
  <r>
    <x v="109"/>
    <x v="19"/>
    <n v="54483.3"/>
  </r>
  <r>
    <x v="109"/>
    <x v="20"/>
    <n v="64454.6"/>
  </r>
  <r>
    <x v="109"/>
    <x v="21"/>
    <n v="55118.9"/>
  </r>
  <r>
    <x v="109"/>
    <x v="22"/>
    <n v="57472.1"/>
  </r>
  <r>
    <x v="109"/>
    <x v="23"/>
    <n v="66785.100000000006"/>
  </r>
  <r>
    <x v="110"/>
    <x v="0"/>
    <n v="52777.9"/>
  </r>
  <r>
    <x v="110"/>
    <x v="1"/>
    <n v="52809.9"/>
  </r>
  <r>
    <x v="110"/>
    <x v="2"/>
    <n v="52790.1"/>
  </r>
  <r>
    <x v="110"/>
    <x v="3"/>
    <n v="52389.9"/>
  </r>
  <r>
    <x v="110"/>
    <x v="4"/>
    <n v="52716.4"/>
  </r>
  <r>
    <x v="110"/>
    <x v="5"/>
    <n v="52617.7"/>
  </r>
  <r>
    <x v="110"/>
    <x v="6"/>
    <n v="54011"/>
  </r>
  <r>
    <x v="110"/>
    <x v="7"/>
    <n v="54498.1"/>
  </r>
  <r>
    <x v="110"/>
    <x v="8"/>
    <n v="54750.2"/>
  </r>
  <r>
    <x v="110"/>
    <x v="9"/>
    <n v="54267.1"/>
  </r>
  <r>
    <x v="110"/>
    <x v="10"/>
    <n v="54272.2"/>
  </r>
  <r>
    <x v="110"/>
    <x v="11"/>
    <n v="54433.3"/>
  </r>
  <r>
    <x v="110"/>
    <x v="12"/>
    <n v="55053"/>
  </r>
  <r>
    <x v="110"/>
    <x v="13"/>
    <n v="55194.6"/>
  </r>
  <r>
    <x v="110"/>
    <x v="14"/>
    <n v="54878.2"/>
  </r>
  <r>
    <x v="110"/>
    <x v="15"/>
    <n v="54837.599999999999"/>
  </r>
  <r>
    <x v="110"/>
    <x v="16"/>
    <n v="54718.400000000001"/>
  </r>
  <r>
    <x v="110"/>
    <x v="17"/>
    <n v="54932.4"/>
  </r>
  <r>
    <x v="110"/>
    <x v="18"/>
    <n v="54531.1"/>
  </r>
  <r>
    <x v="110"/>
    <x v="19"/>
    <n v="54418.1"/>
  </r>
  <r>
    <x v="110"/>
    <x v="20"/>
    <n v="67561.100000000006"/>
  </r>
  <r>
    <x v="110"/>
    <x v="21"/>
    <n v="55376.6"/>
  </r>
  <r>
    <x v="110"/>
    <x v="22"/>
    <n v="53654.7"/>
  </r>
  <r>
    <x v="110"/>
    <x v="23"/>
    <n v="53538.7"/>
  </r>
  <r>
    <x v="111"/>
    <x v="0"/>
    <n v="53374.8"/>
  </r>
  <r>
    <x v="111"/>
    <x v="1"/>
    <n v="53553.3"/>
  </r>
  <r>
    <x v="111"/>
    <x v="2"/>
    <n v="53609.1"/>
  </r>
  <r>
    <x v="111"/>
    <x v="3"/>
    <n v="53636.800000000003"/>
  </r>
  <r>
    <x v="111"/>
    <x v="4"/>
    <n v="53728"/>
  </r>
  <r>
    <x v="111"/>
    <x v="5"/>
    <n v="53585.2"/>
  </r>
  <r>
    <x v="111"/>
    <x v="6"/>
    <n v="52870.1"/>
  </r>
  <r>
    <x v="111"/>
    <x v="7"/>
    <n v="53332.2"/>
  </r>
  <r>
    <x v="111"/>
    <x v="8"/>
    <n v="54707.199999999997"/>
  </r>
  <r>
    <x v="111"/>
    <x v="9"/>
    <n v="54735.1"/>
  </r>
  <r>
    <x v="111"/>
    <x v="10"/>
    <n v="54529.8"/>
  </r>
  <r>
    <x v="111"/>
    <x v="11"/>
    <n v="54310"/>
  </r>
  <r>
    <x v="111"/>
    <x v="12"/>
    <n v="54725.1"/>
  </r>
  <r>
    <x v="111"/>
    <x v="13"/>
    <n v="54070.9"/>
  </r>
  <r>
    <x v="111"/>
    <x v="14"/>
    <n v="54149.7"/>
  </r>
  <r>
    <x v="111"/>
    <x v="15"/>
    <n v="53946.6"/>
  </r>
  <r>
    <x v="111"/>
    <x v="16"/>
    <n v="54065.4"/>
  </r>
  <r>
    <x v="111"/>
    <x v="17"/>
    <n v="52096.5"/>
  </r>
  <r>
    <x v="111"/>
    <x v="18"/>
    <n v="54123.3"/>
  </r>
  <r>
    <x v="111"/>
    <x v="19"/>
    <n v="63025.2"/>
  </r>
  <r>
    <x v="111"/>
    <x v="20"/>
    <n v="66291.199999999997"/>
  </r>
  <r>
    <x v="111"/>
    <x v="21"/>
    <n v="55481.9"/>
  </r>
  <r>
    <x v="111"/>
    <x v="22"/>
    <n v="54468.800000000003"/>
  </r>
  <r>
    <x v="111"/>
    <x v="23"/>
    <n v="54502.7"/>
  </r>
  <r>
    <x v="112"/>
    <x v="0"/>
    <n v="54371.7"/>
  </r>
  <r>
    <x v="112"/>
    <x v="1"/>
    <n v="54440.2"/>
  </r>
  <r>
    <x v="112"/>
    <x v="2"/>
    <n v="54348.3"/>
  </r>
  <r>
    <x v="112"/>
    <x v="3"/>
    <n v="53074.9"/>
  </r>
  <r>
    <x v="112"/>
    <x v="4"/>
    <n v="52944.800000000003"/>
  </r>
  <r>
    <x v="112"/>
    <x v="5"/>
    <n v="52837.599999999999"/>
  </r>
  <r>
    <x v="112"/>
    <x v="6"/>
    <n v="52991.6"/>
  </r>
  <r>
    <x v="112"/>
    <x v="7"/>
    <n v="52576.7"/>
  </r>
  <r>
    <x v="112"/>
    <x v="8"/>
    <n v="52217.2"/>
  </r>
  <r>
    <x v="112"/>
    <x v="9"/>
    <n v="53121.5"/>
  </r>
  <r>
    <x v="112"/>
    <x v="10"/>
    <n v="53043"/>
  </r>
  <r>
    <x v="112"/>
    <x v="11"/>
    <n v="53108.2"/>
  </r>
  <r>
    <x v="112"/>
    <x v="12"/>
    <n v="53116.2"/>
  </r>
  <r>
    <x v="112"/>
    <x v="13"/>
    <n v="52971"/>
  </r>
  <r>
    <x v="112"/>
    <x v="14"/>
    <n v="53099.199999999997"/>
  </r>
  <r>
    <x v="112"/>
    <x v="15"/>
    <n v="53070.1"/>
  </r>
  <r>
    <x v="112"/>
    <x v="16"/>
    <n v="53044.3"/>
  </r>
  <r>
    <x v="112"/>
    <x v="17"/>
    <n v="53074"/>
  </r>
  <r>
    <x v="112"/>
    <x v="18"/>
    <n v="53257.2"/>
  </r>
  <r>
    <x v="112"/>
    <x v="19"/>
    <n v="55298.7"/>
  </r>
  <r>
    <x v="112"/>
    <x v="20"/>
    <n v="67464.800000000003"/>
  </r>
  <r>
    <x v="112"/>
    <x v="21"/>
    <n v="55587.7"/>
  </r>
  <r>
    <x v="112"/>
    <x v="22"/>
    <n v="53878"/>
  </r>
  <r>
    <x v="112"/>
    <x v="23"/>
    <n v="53824.2"/>
  </r>
  <r>
    <x v="113"/>
    <x v="0"/>
    <n v="44469.7"/>
  </r>
  <r>
    <x v="113"/>
    <x v="1"/>
    <n v="44857.7"/>
  </r>
  <r>
    <x v="113"/>
    <x v="2"/>
    <n v="45002.2"/>
  </r>
  <r>
    <x v="113"/>
    <x v="3"/>
    <n v="45584.2"/>
  </r>
  <r>
    <x v="113"/>
    <x v="4"/>
    <n v="44886.6"/>
  </r>
  <r>
    <x v="113"/>
    <x v="5"/>
    <n v="44329.599999999999"/>
  </r>
  <r>
    <x v="113"/>
    <x v="6"/>
    <n v="44219.4"/>
  </r>
  <r>
    <x v="113"/>
    <x v="7"/>
    <n v="43571.8"/>
  </r>
  <r>
    <x v="113"/>
    <x v="8"/>
    <n v="43979"/>
  </r>
  <r>
    <x v="113"/>
    <x v="9"/>
    <n v="43968"/>
  </r>
  <r>
    <x v="113"/>
    <x v="10"/>
    <n v="44034.7"/>
  </r>
  <r>
    <x v="113"/>
    <x v="11"/>
    <n v="44085.7"/>
  </r>
  <r>
    <x v="113"/>
    <x v="12"/>
    <n v="44624.9"/>
  </r>
  <r>
    <x v="113"/>
    <x v="13"/>
    <n v="58951.3"/>
  </r>
  <r>
    <x v="113"/>
    <x v="14"/>
    <n v="60286.400000000001"/>
  </r>
  <r>
    <x v="113"/>
    <x v="15"/>
    <n v="60490.6"/>
  </r>
  <r>
    <x v="113"/>
    <x v="16"/>
    <n v="60493.2"/>
  </r>
  <r>
    <x v="113"/>
    <x v="17"/>
    <n v="44503.4"/>
  </r>
  <r>
    <x v="113"/>
    <x v="18"/>
    <n v="60863.199999999997"/>
  </r>
  <r>
    <x v="113"/>
    <x v="19"/>
    <n v="60710"/>
  </r>
  <r>
    <x v="113"/>
    <x v="20"/>
    <n v="60396.7"/>
  </r>
  <r>
    <x v="113"/>
    <x v="21"/>
    <n v="60228.800000000003"/>
  </r>
  <r>
    <x v="113"/>
    <x v="22"/>
    <n v="60073.2"/>
  </r>
  <r>
    <x v="113"/>
    <x v="23"/>
    <n v="54038.1"/>
  </r>
  <r>
    <x v="114"/>
    <x v="0"/>
    <n v="52051.5"/>
  </r>
  <r>
    <x v="114"/>
    <x v="1"/>
    <n v="51201.5"/>
  </r>
  <r>
    <x v="114"/>
    <x v="2"/>
    <n v="51006.9"/>
  </r>
  <r>
    <x v="114"/>
    <x v="3"/>
    <n v="51416.1"/>
  </r>
  <r>
    <x v="114"/>
    <x v="4"/>
    <n v="51982.6"/>
  </r>
  <r>
    <x v="114"/>
    <x v="5"/>
    <n v="51332.9"/>
  </r>
  <r>
    <x v="114"/>
    <x v="6"/>
    <n v="51312.6"/>
  </r>
  <r>
    <x v="114"/>
    <x v="7"/>
    <n v="51452"/>
  </r>
  <r>
    <x v="114"/>
    <x v="8"/>
    <n v="51389"/>
  </r>
  <r>
    <x v="114"/>
    <x v="9"/>
    <n v="51513.599999999999"/>
  </r>
  <r>
    <x v="114"/>
    <x v="10"/>
    <n v="51444"/>
  </r>
  <r>
    <x v="114"/>
    <x v="11"/>
    <n v="51352.4"/>
  </r>
  <r>
    <x v="114"/>
    <x v="12"/>
    <n v="51481.5"/>
  </r>
  <r>
    <x v="114"/>
    <x v="13"/>
    <n v="51455.199999999997"/>
  </r>
  <r>
    <x v="114"/>
    <x v="14"/>
    <n v="51333.1"/>
  </r>
  <r>
    <x v="114"/>
    <x v="15"/>
    <n v="51285.5"/>
  </r>
  <r>
    <x v="114"/>
    <x v="16"/>
    <n v="51335.7"/>
  </r>
  <r>
    <x v="114"/>
    <x v="17"/>
    <n v="57206.7"/>
  </r>
  <r>
    <x v="114"/>
    <x v="18"/>
    <n v="55005.599999999999"/>
  </r>
  <r>
    <x v="114"/>
    <x v="19"/>
    <n v="68279.399999999994"/>
  </r>
  <r>
    <x v="114"/>
    <x v="20"/>
    <n v="68851.199999999997"/>
  </r>
  <r>
    <x v="114"/>
    <x v="21"/>
    <n v="69814.100000000006"/>
  </r>
  <r>
    <x v="114"/>
    <x v="22"/>
    <n v="70005.5"/>
  </r>
  <r>
    <x v="114"/>
    <x v="23"/>
    <n v="69489.7"/>
  </r>
  <r>
    <x v="115"/>
    <x v="0"/>
    <n v="54310.1"/>
  </r>
  <r>
    <x v="115"/>
    <x v="1"/>
    <n v="54381.1"/>
  </r>
  <r>
    <x v="115"/>
    <x v="2"/>
    <n v="54351.9"/>
  </r>
  <r>
    <x v="115"/>
    <x v="3"/>
    <n v="54342.400000000001"/>
  </r>
  <r>
    <x v="115"/>
    <x v="4"/>
    <n v="54370.3"/>
  </r>
  <r>
    <x v="115"/>
    <x v="5"/>
    <n v="53235.7"/>
  </r>
  <r>
    <x v="115"/>
    <x v="6"/>
    <n v="52349.4"/>
  </r>
  <r>
    <x v="115"/>
    <x v="7"/>
    <n v="52522.8"/>
  </r>
  <r>
    <x v="115"/>
    <x v="8"/>
    <n v="52529.9"/>
  </r>
  <r>
    <x v="115"/>
    <x v="9"/>
    <n v="52157.5"/>
  </r>
  <r>
    <x v="115"/>
    <x v="10"/>
    <n v="52239.4"/>
  </r>
  <r>
    <x v="115"/>
    <x v="11"/>
    <n v="53493.2"/>
  </r>
  <r>
    <x v="115"/>
    <x v="12"/>
    <n v="54189.599999999999"/>
  </r>
  <r>
    <x v="115"/>
    <x v="13"/>
    <n v="54735.9"/>
  </r>
  <r>
    <x v="115"/>
    <x v="14"/>
    <n v="54662.2"/>
  </r>
  <r>
    <x v="115"/>
    <x v="15"/>
    <n v="54610.3"/>
  </r>
  <r>
    <x v="115"/>
    <x v="16"/>
    <n v="54509.1"/>
  </r>
  <r>
    <x v="115"/>
    <x v="17"/>
    <n v="54690.6"/>
  </r>
  <r>
    <x v="115"/>
    <x v="18"/>
    <n v="56060.9"/>
  </r>
  <r>
    <x v="115"/>
    <x v="19"/>
    <n v="65551.899999999994"/>
  </r>
  <r>
    <x v="115"/>
    <x v="20"/>
    <n v="67545.600000000006"/>
  </r>
  <r>
    <x v="115"/>
    <x v="21"/>
    <n v="65536.3"/>
  </r>
  <r>
    <x v="115"/>
    <x v="22"/>
    <n v="66728.3"/>
  </r>
  <r>
    <x v="115"/>
    <x v="23"/>
    <n v="66653.100000000006"/>
  </r>
  <r>
    <x v="116"/>
    <x v="0"/>
    <n v="56931.199999999997"/>
  </r>
  <r>
    <x v="116"/>
    <x v="1"/>
    <n v="44847"/>
  </r>
  <r>
    <x v="116"/>
    <x v="2"/>
    <n v="44471.7"/>
  </r>
  <r>
    <x v="116"/>
    <x v="3"/>
    <n v="44499.199999999997"/>
  </r>
  <r>
    <x v="116"/>
    <x v="4"/>
    <n v="44702.9"/>
  </r>
  <r>
    <x v="116"/>
    <x v="5"/>
    <n v="44247.8"/>
  </r>
  <r>
    <x v="116"/>
    <x v="6"/>
    <n v="44110"/>
  </r>
  <r>
    <x v="116"/>
    <x v="7"/>
    <n v="44144.5"/>
  </r>
  <r>
    <x v="116"/>
    <x v="8"/>
    <n v="45068.800000000003"/>
  </r>
  <r>
    <x v="116"/>
    <x v="9"/>
    <n v="44894.5"/>
  </r>
  <r>
    <x v="116"/>
    <x v="10"/>
    <n v="45110.9"/>
  </r>
  <r>
    <x v="116"/>
    <x v="11"/>
    <n v="45205.4"/>
  </r>
  <r>
    <x v="116"/>
    <x v="12"/>
    <n v="45544.3"/>
  </r>
  <r>
    <x v="116"/>
    <x v="13"/>
    <n v="45414.2"/>
  </r>
  <r>
    <x v="116"/>
    <x v="14"/>
    <n v="45359.199999999997"/>
  </r>
  <r>
    <x v="116"/>
    <x v="15"/>
    <n v="45309.599999999999"/>
  </r>
  <r>
    <x v="116"/>
    <x v="16"/>
    <n v="45102.8"/>
  </r>
  <r>
    <x v="116"/>
    <x v="17"/>
    <n v="56173.3"/>
  </r>
  <r>
    <x v="116"/>
    <x v="18"/>
    <n v="45744.9"/>
  </r>
  <r>
    <x v="116"/>
    <x v="19"/>
    <n v="56137.4"/>
  </r>
  <r>
    <x v="116"/>
    <x v="20"/>
    <n v="58029.5"/>
  </r>
  <r>
    <x v="116"/>
    <x v="21"/>
    <n v="57704.2"/>
  </r>
  <r>
    <x v="116"/>
    <x v="22"/>
    <n v="57903.9"/>
  </r>
  <r>
    <x v="116"/>
    <x v="23"/>
    <n v="57771.4"/>
  </r>
  <r>
    <x v="117"/>
    <x v="0"/>
    <n v="57720.6"/>
  </r>
  <r>
    <x v="117"/>
    <x v="1"/>
    <n v="53198.5"/>
  </r>
  <r>
    <x v="117"/>
    <x v="2"/>
    <n v="53726.400000000001"/>
  </r>
  <r>
    <x v="117"/>
    <x v="3"/>
    <n v="53594"/>
  </r>
  <r>
    <x v="117"/>
    <x v="4"/>
    <n v="53537.8"/>
  </r>
  <r>
    <x v="117"/>
    <x v="5"/>
    <n v="54176.1"/>
  </r>
  <r>
    <x v="117"/>
    <x v="6"/>
    <n v="54427.199999999997"/>
  </r>
  <r>
    <x v="117"/>
    <x v="7"/>
    <n v="54496.3"/>
  </r>
  <r>
    <x v="117"/>
    <x v="8"/>
    <n v="53494.7"/>
  </r>
  <r>
    <x v="117"/>
    <x v="9"/>
    <n v="52917"/>
  </r>
  <r>
    <x v="117"/>
    <x v="10"/>
    <n v="54081.9"/>
  </r>
  <r>
    <x v="117"/>
    <x v="11"/>
    <n v="55038.7"/>
  </r>
  <r>
    <x v="117"/>
    <x v="12"/>
    <n v="54855.5"/>
  </r>
  <r>
    <x v="117"/>
    <x v="13"/>
    <n v="54677.3"/>
  </r>
  <r>
    <x v="117"/>
    <x v="14"/>
    <n v="54197.3"/>
  </r>
  <r>
    <x v="117"/>
    <x v="15"/>
    <n v="54285.7"/>
  </r>
  <r>
    <x v="117"/>
    <x v="16"/>
    <n v="53542.1"/>
  </r>
  <r>
    <x v="117"/>
    <x v="17"/>
    <n v="53411.4"/>
  </r>
  <r>
    <x v="117"/>
    <x v="18"/>
    <n v="54585.1"/>
  </r>
  <r>
    <x v="117"/>
    <x v="19"/>
    <n v="53854.9"/>
  </r>
  <r>
    <x v="117"/>
    <x v="20"/>
    <n v="66003.199999999997"/>
  </r>
  <r>
    <x v="117"/>
    <x v="21"/>
    <n v="68464.7"/>
  </r>
  <r>
    <x v="117"/>
    <x v="22"/>
    <n v="67720"/>
  </r>
  <r>
    <x v="117"/>
    <x v="23"/>
    <n v="67147.600000000006"/>
  </r>
  <r>
    <x v="118"/>
    <x v="0"/>
    <n v="57881.5"/>
  </r>
  <r>
    <x v="118"/>
    <x v="1"/>
    <n v="54748.1"/>
  </r>
  <r>
    <x v="118"/>
    <x v="2"/>
    <n v="54585"/>
  </r>
  <r>
    <x v="118"/>
    <x v="3"/>
    <n v="54607.4"/>
  </r>
  <r>
    <x v="118"/>
    <x v="4"/>
    <n v="54636.800000000003"/>
  </r>
  <r>
    <x v="118"/>
    <x v="5"/>
    <n v="54366.8"/>
  </r>
  <r>
    <x v="118"/>
    <x v="6"/>
    <n v="54201.5"/>
  </r>
  <r>
    <x v="118"/>
    <x v="7"/>
    <n v="54431.4"/>
  </r>
  <r>
    <x v="118"/>
    <x v="8"/>
    <n v="54333.5"/>
  </r>
  <r>
    <x v="118"/>
    <x v="9"/>
    <n v="54359.6"/>
  </r>
  <r>
    <x v="118"/>
    <x v="10"/>
    <n v="54374.2"/>
  </r>
  <r>
    <x v="118"/>
    <x v="11"/>
    <n v="54372.5"/>
  </r>
  <r>
    <x v="118"/>
    <x v="12"/>
    <n v="54254.2"/>
  </r>
  <r>
    <x v="118"/>
    <x v="13"/>
    <n v="54464.6"/>
  </r>
  <r>
    <x v="118"/>
    <x v="14"/>
    <n v="54399.6"/>
  </r>
  <r>
    <x v="118"/>
    <x v="15"/>
    <n v="54689.9"/>
  </r>
  <r>
    <x v="118"/>
    <x v="16"/>
    <n v="52645.7"/>
  </r>
  <r>
    <x v="118"/>
    <x v="17"/>
    <n v="55161.4"/>
  </r>
  <r>
    <x v="118"/>
    <x v="18"/>
    <n v="54649.599999999999"/>
  </r>
  <r>
    <x v="118"/>
    <x v="19"/>
    <n v="55515.8"/>
  </r>
  <r>
    <x v="118"/>
    <x v="20"/>
    <n v="55118.6"/>
  </r>
  <r>
    <x v="118"/>
    <x v="21"/>
    <n v="66782.7"/>
  </r>
  <r>
    <x v="118"/>
    <x v="22"/>
    <n v="53379.7"/>
  </r>
  <r>
    <x v="118"/>
    <x v="23"/>
    <n v="52423"/>
  </r>
  <r>
    <x v="119"/>
    <x v="0"/>
    <n v="52097.4"/>
  </r>
  <r>
    <x v="119"/>
    <x v="1"/>
    <n v="53595"/>
  </r>
  <r>
    <x v="119"/>
    <x v="2"/>
    <n v="54392.7"/>
  </r>
  <r>
    <x v="119"/>
    <x v="3"/>
    <n v="54512.2"/>
  </r>
  <r>
    <x v="119"/>
    <x v="4"/>
    <n v="54165"/>
  </r>
  <r>
    <x v="119"/>
    <x v="5"/>
    <n v="52787.199999999997"/>
  </r>
  <r>
    <x v="119"/>
    <x v="6"/>
    <n v="52670.3"/>
  </r>
  <r>
    <x v="119"/>
    <x v="7"/>
    <n v="53494.6"/>
  </r>
  <r>
    <x v="119"/>
    <x v="8"/>
    <n v="53724.3"/>
  </r>
  <r>
    <x v="119"/>
    <x v="9"/>
    <n v="54207.9"/>
  </r>
  <r>
    <x v="119"/>
    <x v="10"/>
    <n v="53742.9"/>
  </r>
  <r>
    <x v="119"/>
    <x v="11"/>
    <n v="53882.5"/>
  </r>
  <r>
    <x v="119"/>
    <x v="12"/>
    <n v="53794.400000000001"/>
  </r>
  <r>
    <x v="119"/>
    <x v="13"/>
    <n v="53671.4"/>
  </r>
  <r>
    <x v="119"/>
    <x v="14"/>
    <n v="53745.2"/>
  </r>
  <r>
    <x v="119"/>
    <x v="15"/>
    <n v="53860.1"/>
  </r>
  <r>
    <x v="119"/>
    <x v="16"/>
    <n v="53841"/>
  </r>
  <r>
    <x v="119"/>
    <x v="17"/>
    <n v="53626.2"/>
  </r>
  <r>
    <x v="119"/>
    <x v="18"/>
    <n v="54799.6"/>
  </r>
  <r>
    <x v="119"/>
    <x v="19"/>
    <n v="54743.6"/>
  </r>
  <r>
    <x v="119"/>
    <x v="20"/>
    <n v="53638.1"/>
  </r>
  <r>
    <x v="119"/>
    <x v="21"/>
    <n v="53634.3"/>
  </r>
  <r>
    <x v="119"/>
    <x v="22"/>
    <n v="53709"/>
  </r>
  <r>
    <x v="119"/>
    <x v="23"/>
    <n v="53504.4"/>
  </r>
  <r>
    <x v="120"/>
    <x v="0"/>
    <n v="53527.199999999997"/>
  </r>
  <r>
    <x v="120"/>
    <x v="1"/>
    <n v="53542.6"/>
  </r>
  <r>
    <x v="120"/>
    <x v="2"/>
    <n v="53889.7"/>
  </r>
  <r>
    <x v="120"/>
    <x v="3"/>
    <n v="53572.6"/>
  </r>
  <r>
    <x v="120"/>
    <x v="4"/>
    <n v="53663.6"/>
  </r>
  <r>
    <x v="120"/>
    <x v="5"/>
    <n v="53670"/>
  </r>
  <r>
    <x v="120"/>
    <x v="6"/>
    <n v="53620"/>
  </r>
  <r>
    <x v="120"/>
    <x v="7"/>
    <n v="53667.7"/>
  </r>
  <r>
    <x v="120"/>
    <x v="8"/>
    <n v="53811.3"/>
  </r>
  <r>
    <x v="120"/>
    <x v="9"/>
    <n v="53729.599999999999"/>
  </r>
  <r>
    <x v="120"/>
    <x v="10"/>
    <n v="53804.800000000003"/>
  </r>
  <r>
    <x v="120"/>
    <x v="11"/>
    <n v="53645.5"/>
  </r>
  <r>
    <x v="120"/>
    <x v="12"/>
    <n v="53598.8"/>
  </r>
  <r>
    <x v="120"/>
    <x v="13"/>
    <n v="53461.599999999999"/>
  </r>
  <r>
    <x v="120"/>
    <x v="14"/>
    <n v="53516.9"/>
  </r>
  <r>
    <x v="120"/>
    <x v="15"/>
    <n v="53576.1"/>
  </r>
  <r>
    <x v="120"/>
    <x v="16"/>
    <n v="53455.7"/>
  </r>
  <r>
    <x v="120"/>
    <x v="17"/>
    <n v="53408.800000000003"/>
  </r>
  <r>
    <x v="120"/>
    <x v="18"/>
    <n v="53654.2"/>
  </r>
  <r>
    <x v="120"/>
    <x v="19"/>
    <n v="53553.599999999999"/>
  </r>
  <r>
    <x v="120"/>
    <x v="20"/>
    <n v="53444.3"/>
  </r>
  <r>
    <x v="120"/>
    <x v="21"/>
    <n v="53466.3"/>
  </r>
  <r>
    <x v="120"/>
    <x v="22"/>
    <n v="53757.7"/>
  </r>
  <r>
    <x v="120"/>
    <x v="23"/>
    <n v="53564.1"/>
  </r>
  <r>
    <x v="121"/>
    <x v="0"/>
    <n v="53131.1"/>
  </r>
  <r>
    <x v="121"/>
    <x v="1"/>
    <n v="53518.7"/>
  </r>
  <r>
    <x v="121"/>
    <x v="2"/>
    <n v="53568"/>
  </r>
  <r>
    <x v="121"/>
    <x v="3"/>
    <n v="53741.4"/>
  </r>
  <r>
    <x v="121"/>
    <x v="4"/>
    <n v="53891.7"/>
  </r>
  <r>
    <x v="121"/>
    <x v="5"/>
    <n v="53825"/>
  </r>
  <r>
    <x v="121"/>
    <x v="6"/>
    <n v="54290.3"/>
  </r>
  <r>
    <x v="121"/>
    <x v="7"/>
    <n v="54288.3"/>
  </r>
  <r>
    <x v="121"/>
    <x v="8"/>
    <n v="54013.2"/>
  </r>
  <r>
    <x v="121"/>
    <x v="9"/>
    <n v="53991.6"/>
  </r>
  <r>
    <x v="121"/>
    <x v="10"/>
    <n v="54132.4"/>
  </r>
  <r>
    <x v="121"/>
    <x v="11"/>
    <n v="54092.4"/>
  </r>
  <r>
    <x v="121"/>
    <x v="12"/>
    <n v="54086.5"/>
  </r>
  <r>
    <x v="121"/>
    <x v="13"/>
    <n v="54043.6"/>
  </r>
  <r>
    <x v="121"/>
    <x v="14"/>
    <n v="54147.5"/>
  </r>
  <r>
    <x v="121"/>
    <x v="15"/>
    <n v="54124.5"/>
  </r>
  <r>
    <x v="121"/>
    <x v="16"/>
    <n v="53851.6"/>
  </r>
  <r>
    <x v="121"/>
    <x v="17"/>
    <n v="54096.1"/>
  </r>
  <r>
    <x v="121"/>
    <x v="18"/>
    <n v="58288.4"/>
  </r>
  <r>
    <x v="121"/>
    <x v="19"/>
    <n v="69303.8"/>
  </r>
  <r>
    <x v="121"/>
    <x v="20"/>
    <n v="68979.399999999994"/>
  </r>
  <r>
    <x v="121"/>
    <x v="21"/>
    <n v="68260.899999999994"/>
  </r>
  <r>
    <x v="121"/>
    <x v="22"/>
    <n v="67996.600000000006"/>
  </r>
  <r>
    <x v="121"/>
    <x v="23"/>
    <n v="67878.600000000006"/>
  </r>
  <r>
    <x v="122"/>
    <x v="0"/>
    <n v="66222.8"/>
  </r>
  <r>
    <x v="122"/>
    <x v="1"/>
    <n v="55139.9"/>
  </r>
  <r>
    <x v="122"/>
    <x v="2"/>
    <n v="55160.800000000003"/>
  </r>
  <r>
    <x v="122"/>
    <x v="3"/>
    <n v="55247.7"/>
  </r>
  <r>
    <x v="122"/>
    <x v="4"/>
    <n v="55214.8"/>
  </r>
  <r>
    <x v="122"/>
    <x v="5"/>
    <n v="54713.5"/>
  </r>
  <r>
    <x v="122"/>
    <x v="6"/>
    <n v="54643.5"/>
  </r>
  <r>
    <x v="122"/>
    <x v="7"/>
    <n v="54415.3"/>
  </r>
  <r>
    <x v="122"/>
    <x v="8"/>
    <n v="54191.6"/>
  </r>
  <r>
    <x v="122"/>
    <x v="9"/>
    <n v="54344.800000000003"/>
  </r>
  <r>
    <x v="122"/>
    <x v="10"/>
    <n v="54162.400000000001"/>
  </r>
  <r>
    <x v="122"/>
    <x v="11"/>
    <n v="54064.800000000003"/>
  </r>
  <r>
    <x v="122"/>
    <x v="12"/>
    <n v="54124.2"/>
  </r>
  <r>
    <x v="122"/>
    <x v="13"/>
    <n v="54093.1"/>
  </r>
  <r>
    <x v="122"/>
    <x v="14"/>
    <n v="64263.7"/>
  </r>
  <r>
    <x v="122"/>
    <x v="15"/>
    <n v="68353.3"/>
  </r>
  <r>
    <x v="122"/>
    <x v="16"/>
    <n v="54005.1"/>
  </r>
  <r>
    <x v="122"/>
    <x v="17"/>
    <n v="53977.2"/>
  </r>
  <r>
    <x v="122"/>
    <x v="18"/>
    <n v="67945.5"/>
  </r>
  <r>
    <x v="122"/>
    <x v="19"/>
    <n v="68728.5"/>
  </r>
  <r>
    <x v="122"/>
    <x v="20"/>
    <n v="68493.5"/>
  </r>
  <r>
    <x v="122"/>
    <x v="21"/>
    <n v="68197.7"/>
  </r>
  <r>
    <x v="122"/>
    <x v="22"/>
    <n v="68193.3"/>
  </r>
  <r>
    <x v="122"/>
    <x v="23"/>
    <n v="68368.600000000006"/>
  </r>
  <r>
    <x v="123"/>
    <x v="0"/>
    <n v="68247.3"/>
  </r>
  <r>
    <x v="123"/>
    <x v="1"/>
    <n v="55379.7"/>
  </r>
  <r>
    <x v="123"/>
    <x v="2"/>
    <n v="54968.2"/>
  </r>
  <r>
    <x v="123"/>
    <x v="3"/>
    <n v="54952"/>
  </r>
  <r>
    <x v="123"/>
    <x v="4"/>
    <n v="54979.7"/>
  </r>
  <r>
    <x v="123"/>
    <x v="5"/>
    <n v="55014.7"/>
  </r>
  <r>
    <x v="123"/>
    <x v="6"/>
    <n v="53854.5"/>
  </r>
  <r>
    <x v="123"/>
    <x v="7"/>
    <n v="53779.6"/>
  </r>
  <r>
    <x v="123"/>
    <x v="8"/>
    <n v="53001.5"/>
  </r>
  <r>
    <x v="123"/>
    <x v="9"/>
    <n v="53027.1"/>
  </r>
  <r>
    <x v="123"/>
    <x v="10"/>
    <n v="52993.7"/>
  </r>
  <r>
    <x v="123"/>
    <x v="11"/>
    <n v="52935.4"/>
  </r>
  <r>
    <x v="123"/>
    <x v="12"/>
    <n v="52868.7"/>
  </r>
  <r>
    <x v="123"/>
    <x v="13"/>
    <n v="57574.6"/>
  </r>
  <r>
    <x v="123"/>
    <x v="14"/>
    <n v="68153.100000000006"/>
  </r>
  <r>
    <x v="123"/>
    <x v="15"/>
    <n v="67665.2"/>
  </r>
  <r>
    <x v="123"/>
    <x v="16"/>
    <n v="65956.600000000006"/>
  </r>
  <r>
    <x v="123"/>
    <x v="17"/>
    <n v="54321.1"/>
  </r>
  <r>
    <x v="123"/>
    <x v="18"/>
    <n v="61869.1"/>
  </r>
  <r>
    <x v="123"/>
    <x v="19"/>
    <n v="67287.600000000006"/>
  </r>
  <r>
    <x v="123"/>
    <x v="20"/>
    <n v="67106.399999999994"/>
  </r>
  <r>
    <x v="123"/>
    <x v="21"/>
    <n v="67243.5"/>
  </r>
  <r>
    <x v="123"/>
    <x v="22"/>
    <n v="67148.2"/>
  </r>
  <r>
    <x v="123"/>
    <x v="23"/>
    <n v="67964"/>
  </r>
  <r>
    <x v="124"/>
    <x v="0"/>
    <n v="67884.7"/>
  </r>
  <r>
    <x v="124"/>
    <x v="1"/>
    <n v="61815.5"/>
  </r>
  <r>
    <x v="124"/>
    <x v="2"/>
    <n v="54170.1"/>
  </r>
  <r>
    <x v="124"/>
    <x v="3"/>
    <n v="53957.7"/>
  </r>
  <r>
    <x v="124"/>
    <x v="4"/>
    <n v="54224.9"/>
  </r>
  <r>
    <x v="124"/>
    <x v="5"/>
    <n v="53665.599999999999"/>
  </r>
  <r>
    <x v="124"/>
    <x v="6"/>
    <n v="53759.199999999997"/>
  </r>
  <r>
    <x v="124"/>
    <x v="7"/>
    <n v="54134.6"/>
  </r>
  <r>
    <x v="124"/>
    <x v="8"/>
    <n v="53625.8"/>
  </r>
  <r>
    <x v="124"/>
    <x v="9"/>
    <n v="53273.7"/>
  </r>
  <r>
    <x v="124"/>
    <x v="10"/>
    <n v="53287.1"/>
  </r>
  <r>
    <x v="124"/>
    <x v="11"/>
    <n v="53189.5"/>
  </r>
  <r>
    <x v="124"/>
    <x v="12"/>
    <n v="53193.7"/>
  </r>
  <r>
    <x v="124"/>
    <x v="13"/>
    <n v="57201.4"/>
  </r>
  <r>
    <x v="124"/>
    <x v="14"/>
    <n v="65201.5"/>
  </r>
  <r>
    <x v="124"/>
    <x v="15"/>
    <n v="65690.399999999994"/>
  </r>
  <r>
    <x v="124"/>
    <x v="16"/>
    <n v="66632.3"/>
  </r>
  <r>
    <x v="124"/>
    <x v="17"/>
    <n v="66977.5"/>
  </r>
  <r>
    <x v="124"/>
    <x v="18"/>
    <n v="67337.3"/>
  </r>
  <r>
    <x v="124"/>
    <x v="19"/>
    <n v="70531.3"/>
  </r>
  <r>
    <x v="124"/>
    <x v="20"/>
    <n v="69220.3"/>
  </r>
  <r>
    <x v="124"/>
    <x v="21"/>
    <n v="71166.8"/>
  </r>
  <r>
    <x v="124"/>
    <x v="22"/>
    <n v="68249.100000000006"/>
  </r>
  <r>
    <x v="124"/>
    <x v="23"/>
    <n v="68364.7"/>
  </r>
  <r>
    <x v="125"/>
    <x v="0"/>
    <n v="68152.100000000006"/>
  </r>
  <r>
    <x v="125"/>
    <x v="1"/>
    <n v="68293.399999999994"/>
  </r>
  <r>
    <x v="125"/>
    <x v="2"/>
    <n v="57001.2"/>
  </r>
  <r>
    <x v="125"/>
    <x v="3"/>
    <n v="54338.1"/>
  </r>
  <r>
    <x v="125"/>
    <x v="4"/>
    <n v="54588.4"/>
  </r>
  <r>
    <x v="125"/>
    <x v="5"/>
    <n v="54341.599999999999"/>
  </r>
  <r>
    <x v="125"/>
    <x v="6"/>
    <n v="54399"/>
  </r>
  <r>
    <x v="125"/>
    <x v="7"/>
    <n v="54477.7"/>
  </r>
  <r>
    <x v="125"/>
    <x v="8"/>
    <n v="54614.8"/>
  </r>
  <r>
    <x v="125"/>
    <x v="9"/>
    <n v="54340"/>
  </r>
  <r>
    <x v="125"/>
    <x v="10"/>
    <n v="53710.8"/>
  </r>
  <r>
    <x v="125"/>
    <x v="11"/>
    <n v="53224.7"/>
  </r>
  <r>
    <x v="125"/>
    <x v="12"/>
    <n v="53874.3"/>
  </r>
  <r>
    <x v="125"/>
    <x v="13"/>
    <n v="53880.9"/>
  </r>
  <r>
    <x v="125"/>
    <x v="14"/>
    <n v="53876.6"/>
  </r>
  <r>
    <x v="125"/>
    <x v="15"/>
    <n v="53854"/>
  </r>
  <r>
    <x v="125"/>
    <x v="16"/>
    <n v="53946.1"/>
  </r>
  <r>
    <x v="125"/>
    <x v="17"/>
    <n v="54011"/>
  </r>
  <r>
    <x v="125"/>
    <x v="18"/>
    <n v="66084.100000000006"/>
  </r>
  <r>
    <x v="125"/>
    <x v="19"/>
    <n v="68134.399999999994"/>
  </r>
  <r>
    <x v="125"/>
    <x v="20"/>
    <n v="68341.600000000006"/>
  </r>
  <r>
    <x v="125"/>
    <x v="21"/>
    <n v="58332.6"/>
  </r>
  <r>
    <x v="125"/>
    <x v="22"/>
    <n v="69055.399999999994"/>
  </r>
  <r>
    <x v="125"/>
    <x v="23"/>
    <n v="68982.2"/>
  </r>
  <r>
    <x v="126"/>
    <x v="0"/>
    <n v="68360.600000000006"/>
  </r>
  <r>
    <x v="126"/>
    <x v="1"/>
    <n v="63617.2"/>
  </r>
  <r>
    <x v="126"/>
    <x v="2"/>
    <n v="54432.9"/>
  </r>
  <r>
    <x v="126"/>
    <x v="3"/>
    <n v="54118.400000000001"/>
  </r>
  <r>
    <x v="126"/>
    <x v="4"/>
    <n v="54201.4"/>
  </r>
  <r>
    <x v="126"/>
    <x v="5"/>
    <n v="54088.800000000003"/>
  </r>
  <r>
    <x v="126"/>
    <x v="6"/>
    <n v="53818.3"/>
  </r>
  <r>
    <x v="126"/>
    <x v="7"/>
    <n v="53985"/>
  </r>
  <r>
    <x v="126"/>
    <x v="8"/>
    <n v="53931.8"/>
  </r>
  <r>
    <x v="126"/>
    <x v="9"/>
    <n v="53833.3"/>
  </r>
  <r>
    <x v="126"/>
    <x v="10"/>
    <n v="53969.7"/>
  </r>
  <r>
    <x v="126"/>
    <x v="11"/>
    <n v="53899.3"/>
  </r>
  <r>
    <x v="126"/>
    <x v="12"/>
    <n v="53898.8"/>
  </r>
  <r>
    <x v="126"/>
    <x v="13"/>
    <n v="53911.8"/>
  </r>
  <r>
    <x v="126"/>
    <x v="14"/>
    <n v="53871.5"/>
  </r>
  <r>
    <x v="126"/>
    <x v="15"/>
    <n v="53923.3"/>
  </r>
  <r>
    <x v="126"/>
    <x v="16"/>
    <n v="53891.9"/>
  </r>
  <r>
    <x v="126"/>
    <x v="17"/>
    <n v="53983.199999999997"/>
  </r>
  <r>
    <x v="126"/>
    <x v="18"/>
    <n v="60611.1"/>
  </r>
  <r>
    <x v="126"/>
    <x v="19"/>
    <n v="66405.8"/>
  </r>
  <r>
    <x v="126"/>
    <x v="20"/>
    <n v="66438.399999999994"/>
  </r>
  <r>
    <x v="126"/>
    <x v="21"/>
    <n v="66099.199999999997"/>
  </r>
  <r>
    <x v="126"/>
    <x v="22"/>
    <n v="66318.3"/>
  </r>
  <r>
    <x v="126"/>
    <x v="23"/>
    <n v="66238.2"/>
  </r>
  <r>
    <x v="127"/>
    <x v="0"/>
    <n v="66021.3"/>
  </r>
  <r>
    <x v="127"/>
    <x v="1"/>
    <n v="55421.7"/>
  </r>
  <r>
    <x v="127"/>
    <x v="2"/>
    <n v="55232.4"/>
  </r>
  <r>
    <x v="127"/>
    <x v="3"/>
    <n v="53174.1"/>
  </r>
  <r>
    <x v="127"/>
    <x v="4"/>
    <n v="53630.6"/>
  </r>
  <r>
    <x v="127"/>
    <x v="5"/>
    <n v="54121"/>
  </r>
  <r>
    <x v="127"/>
    <x v="6"/>
    <n v="54662.2"/>
  </r>
  <r>
    <x v="127"/>
    <x v="7"/>
    <n v="54833.2"/>
  </r>
  <r>
    <x v="127"/>
    <x v="8"/>
    <n v="53810"/>
  </r>
  <r>
    <x v="127"/>
    <x v="9"/>
    <n v="53921.599999999999"/>
  </r>
  <r>
    <x v="127"/>
    <x v="10"/>
    <n v="54054.3"/>
  </r>
  <r>
    <x v="127"/>
    <x v="11"/>
    <n v="53059.199999999997"/>
  </r>
  <r>
    <x v="127"/>
    <x v="12"/>
    <n v="57071.1"/>
  </r>
  <r>
    <x v="127"/>
    <x v="13"/>
    <n v="68304.399999999994"/>
  </r>
  <r>
    <x v="127"/>
    <x v="14"/>
    <n v="68391.399999999994"/>
  </r>
  <r>
    <x v="127"/>
    <x v="15"/>
    <n v="68654.7"/>
  </r>
  <r>
    <x v="127"/>
    <x v="16"/>
    <n v="68055.899999999994"/>
  </r>
  <r>
    <x v="127"/>
    <x v="17"/>
    <n v="68046.399999999994"/>
  </r>
  <r>
    <x v="127"/>
    <x v="18"/>
    <n v="68693"/>
  </r>
  <r>
    <x v="127"/>
    <x v="19"/>
    <n v="68597.2"/>
  </r>
  <r>
    <x v="127"/>
    <x v="20"/>
    <n v="68860"/>
  </r>
  <r>
    <x v="127"/>
    <x v="21"/>
    <n v="68992.600000000006"/>
  </r>
  <r>
    <x v="127"/>
    <x v="22"/>
    <n v="67851.8"/>
  </r>
  <r>
    <x v="127"/>
    <x v="23"/>
    <n v="67752.399999999994"/>
  </r>
  <r>
    <x v="128"/>
    <x v="0"/>
    <n v="64959.199999999997"/>
  </r>
  <r>
    <x v="128"/>
    <x v="1"/>
    <n v="65280.6"/>
  </r>
  <r>
    <x v="128"/>
    <x v="2"/>
    <n v="58751.7"/>
  </r>
  <r>
    <x v="128"/>
    <x v="3"/>
    <n v="65145"/>
  </r>
  <r>
    <x v="128"/>
    <x v="4"/>
    <n v="65246.3"/>
  </r>
  <r>
    <x v="128"/>
    <x v="5"/>
    <n v="56521.3"/>
  </r>
  <r>
    <x v="128"/>
    <x v="6"/>
    <n v="55309.7"/>
  </r>
  <r>
    <x v="128"/>
    <x v="7"/>
    <n v="54223.6"/>
  </r>
  <r>
    <x v="128"/>
    <x v="8"/>
    <n v="53050.6"/>
  </r>
  <r>
    <x v="128"/>
    <x v="9"/>
    <n v="52995.8"/>
  </r>
  <r>
    <x v="128"/>
    <x v="10"/>
    <n v="53257.4"/>
  </r>
  <r>
    <x v="128"/>
    <x v="11"/>
    <n v="64329.8"/>
  </r>
  <r>
    <x v="128"/>
    <x v="12"/>
    <n v="66309"/>
  </r>
  <r>
    <x v="128"/>
    <x v="13"/>
    <n v="67800"/>
  </r>
  <r>
    <x v="128"/>
    <x v="14"/>
    <n v="67838.3"/>
  </r>
  <r>
    <x v="128"/>
    <x v="15"/>
    <n v="67492.5"/>
  </r>
  <r>
    <x v="128"/>
    <x v="16"/>
    <n v="67622.899999999994"/>
  </r>
  <r>
    <x v="128"/>
    <x v="17"/>
    <n v="68168.600000000006"/>
  </r>
  <r>
    <x v="128"/>
    <x v="18"/>
    <n v="67610.100000000006"/>
  </r>
  <r>
    <x v="128"/>
    <x v="19"/>
    <n v="68502.2"/>
  </r>
  <r>
    <x v="128"/>
    <x v="20"/>
    <n v="68517.5"/>
  </r>
  <r>
    <x v="128"/>
    <x v="21"/>
    <n v="68546.8"/>
  </r>
  <r>
    <x v="128"/>
    <x v="22"/>
    <n v="69309.899999999994"/>
  </r>
  <r>
    <x v="128"/>
    <x v="23"/>
    <n v="69340.100000000006"/>
  </r>
  <r>
    <x v="129"/>
    <x v="0"/>
    <n v="68851.100000000006"/>
  </r>
  <r>
    <x v="129"/>
    <x v="1"/>
    <n v="68937.2"/>
  </r>
  <r>
    <x v="129"/>
    <x v="2"/>
    <n v="68339.5"/>
  </r>
  <r>
    <x v="129"/>
    <x v="3"/>
    <n v="55687"/>
  </r>
  <r>
    <x v="129"/>
    <x v="4"/>
    <n v="54881.8"/>
  </r>
  <r>
    <x v="129"/>
    <x v="5"/>
    <n v="54301.599999999999"/>
  </r>
  <r>
    <x v="129"/>
    <x v="6"/>
    <n v="54796.3"/>
  </r>
  <r>
    <x v="129"/>
    <x v="7"/>
    <n v="54860"/>
  </r>
  <r>
    <x v="129"/>
    <x v="8"/>
    <n v="55018.8"/>
  </r>
  <r>
    <x v="129"/>
    <x v="9"/>
    <n v="54821.1"/>
  </r>
  <r>
    <x v="129"/>
    <x v="10"/>
    <n v="54461.2"/>
  </r>
  <r>
    <x v="129"/>
    <x v="11"/>
    <n v="54623"/>
  </r>
  <r>
    <x v="129"/>
    <x v="12"/>
    <n v="53852.4"/>
  </r>
  <r>
    <x v="129"/>
    <x v="13"/>
    <n v="68706.2"/>
  </r>
  <r>
    <x v="129"/>
    <x v="14"/>
    <n v="68931.100000000006"/>
  </r>
  <r>
    <x v="129"/>
    <x v="15"/>
    <n v="68247.100000000006"/>
  </r>
  <r>
    <x v="129"/>
    <x v="16"/>
    <n v="69148.100000000006"/>
  </r>
  <r>
    <x v="129"/>
    <x v="17"/>
    <n v="68551.5"/>
  </r>
  <r>
    <x v="129"/>
    <x v="18"/>
    <n v="69032.3"/>
  </r>
  <r>
    <x v="129"/>
    <x v="19"/>
    <n v="68913"/>
  </r>
  <r>
    <x v="129"/>
    <x v="20"/>
    <n v="69303.5"/>
  </r>
  <r>
    <x v="129"/>
    <x v="21"/>
    <n v="70001.399999999994"/>
  </r>
  <r>
    <x v="129"/>
    <x v="22"/>
    <n v="69978.7"/>
  </r>
  <r>
    <x v="129"/>
    <x v="23"/>
    <n v="69960.2"/>
  </r>
  <r>
    <x v="130"/>
    <x v="0"/>
    <n v="69392.7"/>
  </r>
  <r>
    <x v="130"/>
    <x v="1"/>
    <n v="70011.899999999994"/>
  </r>
  <r>
    <x v="130"/>
    <x v="2"/>
    <n v="69813.100000000006"/>
  </r>
  <r>
    <x v="130"/>
    <x v="3"/>
    <n v="69935.899999999994"/>
  </r>
  <r>
    <x v="130"/>
    <x v="4"/>
    <n v="55237.2"/>
  </r>
  <r>
    <x v="130"/>
    <x v="5"/>
    <n v="54471.4"/>
  </r>
  <r>
    <x v="130"/>
    <x v="6"/>
    <n v="54640"/>
  </r>
  <r>
    <x v="130"/>
    <x v="7"/>
    <n v="54555.1"/>
  </r>
  <r>
    <x v="130"/>
    <x v="8"/>
    <n v="54544.800000000003"/>
  </r>
  <r>
    <x v="130"/>
    <x v="9"/>
    <n v="54276"/>
  </r>
  <r>
    <x v="130"/>
    <x v="10"/>
    <n v="54234.1"/>
  </r>
  <r>
    <x v="130"/>
    <x v="11"/>
    <n v="69026.899999999994"/>
  </r>
  <r>
    <x v="130"/>
    <x v="12"/>
    <n v="69970.899999999994"/>
  </r>
  <r>
    <x v="130"/>
    <x v="13"/>
    <n v="69769"/>
  </r>
  <r>
    <x v="130"/>
    <x v="14"/>
    <n v="70004.800000000003"/>
  </r>
  <r>
    <x v="130"/>
    <x v="15"/>
    <n v="69767.8"/>
  </r>
  <r>
    <x v="130"/>
    <x v="16"/>
    <n v="69908.2"/>
  </r>
  <r>
    <x v="130"/>
    <x v="17"/>
    <n v="69338.3"/>
  </r>
  <r>
    <x v="130"/>
    <x v="18"/>
    <n v="69298.600000000006"/>
  </r>
  <r>
    <x v="130"/>
    <x v="19"/>
    <n v="68778.2"/>
  </r>
  <r>
    <x v="130"/>
    <x v="20"/>
    <n v="64549.599999999999"/>
  </r>
  <r>
    <x v="130"/>
    <x v="21"/>
    <n v="64008.2"/>
  </r>
  <r>
    <x v="130"/>
    <x v="22"/>
    <n v="68852.600000000006"/>
  </r>
  <r>
    <x v="130"/>
    <x v="23"/>
    <n v="68223.899999999994"/>
  </r>
  <r>
    <x v="131"/>
    <x v="0"/>
    <n v="69407.5"/>
  </r>
  <r>
    <x v="131"/>
    <x v="1"/>
    <n v="70502"/>
  </r>
  <r>
    <x v="131"/>
    <x v="2"/>
    <n v="70344.100000000006"/>
  </r>
  <r>
    <x v="131"/>
    <x v="3"/>
    <n v="66409.7"/>
  </r>
  <r>
    <x v="131"/>
    <x v="4"/>
    <n v="55019.9"/>
  </r>
  <r>
    <x v="131"/>
    <x v="5"/>
    <n v="54763.9"/>
  </r>
  <r>
    <x v="131"/>
    <x v="6"/>
    <n v="54849.8"/>
  </r>
  <r>
    <x v="131"/>
    <x v="7"/>
    <n v="53418.5"/>
  </r>
  <r>
    <x v="131"/>
    <x v="8"/>
    <n v="53693.2"/>
  </r>
  <r>
    <x v="131"/>
    <x v="9"/>
    <n v="58483.8"/>
  </r>
  <r>
    <x v="131"/>
    <x v="10"/>
    <n v="69184.7"/>
  </r>
  <r>
    <x v="131"/>
    <x v="11"/>
    <n v="69164.899999999994"/>
  </r>
  <r>
    <x v="131"/>
    <x v="12"/>
    <n v="69226.899999999994"/>
  </r>
  <r>
    <x v="131"/>
    <x v="13"/>
    <n v="69777.100000000006"/>
  </r>
  <r>
    <x v="131"/>
    <x v="14"/>
    <n v="69624.399999999994"/>
  </r>
  <r>
    <x v="131"/>
    <x v="15"/>
    <n v="69693"/>
  </r>
  <r>
    <x v="131"/>
    <x v="16"/>
    <n v="69398.2"/>
  </r>
  <r>
    <x v="131"/>
    <x v="17"/>
    <n v="69503.3"/>
  </r>
  <r>
    <x v="131"/>
    <x v="18"/>
    <n v="69522.3"/>
  </r>
  <r>
    <x v="131"/>
    <x v="19"/>
    <n v="68827"/>
  </r>
  <r>
    <x v="131"/>
    <x v="20"/>
    <n v="69117.899999999994"/>
  </r>
  <r>
    <x v="131"/>
    <x v="21"/>
    <n v="68450.8"/>
  </r>
  <r>
    <x v="131"/>
    <x v="22"/>
    <n v="68823.399999999994"/>
  </r>
  <r>
    <x v="131"/>
    <x v="23"/>
    <n v="68227.899999999994"/>
  </r>
  <r>
    <x v="132"/>
    <x v="0"/>
    <n v="65795.3"/>
  </r>
  <r>
    <x v="132"/>
    <x v="1"/>
    <n v="68183.7"/>
  </r>
  <r>
    <x v="132"/>
    <x v="2"/>
    <n v="68365.8"/>
  </r>
  <r>
    <x v="132"/>
    <x v="3"/>
    <n v="68239.600000000006"/>
  </r>
  <r>
    <x v="132"/>
    <x v="4"/>
    <n v="63730.2"/>
  </r>
  <r>
    <x v="132"/>
    <x v="5"/>
    <n v="68695.7"/>
  </r>
  <r>
    <x v="132"/>
    <x v="6"/>
    <n v="64496.4"/>
  </r>
  <r>
    <x v="132"/>
    <x v="7"/>
    <n v="54660.9"/>
  </r>
  <r>
    <x v="132"/>
    <x v="8"/>
    <n v="54402.9"/>
  </r>
  <r>
    <x v="132"/>
    <x v="9"/>
    <n v="54142.9"/>
  </r>
  <r>
    <x v="132"/>
    <x v="10"/>
    <n v="54259.6"/>
  </r>
  <r>
    <x v="132"/>
    <x v="11"/>
    <n v="18514.400000000001"/>
  </r>
  <r>
    <x v="132"/>
    <x v="12"/>
    <n v="3588"/>
  </r>
  <r>
    <x v="132"/>
    <x v="13"/>
    <n v="53008.3"/>
  </r>
  <r>
    <x v="132"/>
    <x v="14"/>
    <n v="54190.7"/>
  </r>
  <r>
    <x v="132"/>
    <x v="15"/>
    <n v="54249"/>
  </r>
  <r>
    <x v="132"/>
    <x v="16"/>
    <n v="54045.8"/>
  </r>
  <r>
    <x v="132"/>
    <x v="17"/>
    <n v="54265"/>
  </r>
  <r>
    <x v="132"/>
    <x v="18"/>
    <n v="67723.899999999994"/>
  </r>
  <r>
    <x v="132"/>
    <x v="19"/>
    <n v="68729.8"/>
  </r>
  <r>
    <x v="132"/>
    <x v="20"/>
    <n v="68722.3"/>
  </r>
  <r>
    <x v="132"/>
    <x v="21"/>
    <n v="68424.2"/>
  </r>
  <r>
    <x v="132"/>
    <x v="22"/>
    <n v="65886.899999999994"/>
  </r>
  <r>
    <x v="132"/>
    <x v="23"/>
    <n v="65672.399999999994"/>
  </r>
  <r>
    <x v="133"/>
    <x v="0"/>
    <n v="66226.600000000006"/>
  </r>
  <r>
    <x v="133"/>
    <x v="1"/>
    <n v="59687.9"/>
  </r>
  <r>
    <x v="133"/>
    <x v="2"/>
    <n v="54286.2"/>
  </r>
  <r>
    <x v="133"/>
    <x v="3"/>
    <n v="54304.6"/>
  </r>
  <r>
    <x v="133"/>
    <x v="4"/>
    <n v="54351.199999999997"/>
  </r>
  <r>
    <x v="133"/>
    <x v="5"/>
    <n v="54337.9"/>
  </r>
  <r>
    <x v="133"/>
    <x v="6"/>
    <n v="54436.3"/>
  </r>
  <r>
    <x v="133"/>
    <x v="7"/>
    <n v="54413.7"/>
  </r>
  <r>
    <x v="133"/>
    <x v="8"/>
    <n v="54381.4"/>
  </r>
  <r>
    <x v="133"/>
    <x v="9"/>
    <n v="53518.1"/>
  </r>
  <r>
    <x v="133"/>
    <x v="10"/>
    <n v="53419.199999999997"/>
  </r>
  <r>
    <x v="133"/>
    <x v="11"/>
    <n v="53855.1"/>
  </r>
  <r>
    <x v="133"/>
    <x v="12"/>
    <n v="53255.8"/>
  </r>
  <r>
    <x v="133"/>
    <x v="13"/>
    <n v="54103.9"/>
  </r>
  <r>
    <x v="133"/>
    <x v="14"/>
    <n v="54098.9"/>
  </r>
  <r>
    <x v="133"/>
    <x v="15"/>
    <n v="54133.3"/>
  </r>
  <r>
    <x v="133"/>
    <x v="16"/>
    <n v="54123.7"/>
  </r>
  <r>
    <x v="133"/>
    <x v="17"/>
    <n v="54233.1"/>
  </r>
  <r>
    <x v="133"/>
    <x v="18"/>
    <n v="53874.3"/>
  </r>
  <r>
    <x v="133"/>
    <x v="19"/>
    <n v="68724.600000000006"/>
  </r>
  <r>
    <x v="133"/>
    <x v="20"/>
    <n v="69010.3"/>
  </r>
  <r>
    <x v="133"/>
    <x v="21"/>
    <n v="69065.2"/>
  </r>
  <r>
    <x v="133"/>
    <x v="22"/>
    <n v="68376.899999999994"/>
  </r>
  <r>
    <x v="133"/>
    <x v="23"/>
    <n v="63426.2"/>
  </r>
  <r>
    <x v="134"/>
    <x v="0"/>
    <n v="54820.1"/>
  </r>
  <r>
    <x v="134"/>
    <x v="1"/>
    <n v="54074.8"/>
  </r>
  <r>
    <x v="134"/>
    <x v="2"/>
    <n v="54234.5"/>
  </r>
  <r>
    <x v="134"/>
    <x v="3"/>
    <n v="54237.5"/>
  </r>
  <r>
    <x v="134"/>
    <x v="4"/>
    <n v="54359.9"/>
  </r>
  <r>
    <x v="134"/>
    <x v="5"/>
    <n v="54330.3"/>
  </r>
  <r>
    <x v="134"/>
    <x v="6"/>
    <n v="54248.7"/>
  </r>
  <r>
    <x v="134"/>
    <x v="7"/>
    <n v="54405.5"/>
  </r>
  <r>
    <x v="134"/>
    <x v="8"/>
    <n v="54314.9"/>
  </r>
  <r>
    <x v="134"/>
    <x v="9"/>
    <n v="53572.7"/>
  </r>
  <r>
    <x v="134"/>
    <x v="10"/>
    <n v="53980.6"/>
  </r>
  <r>
    <x v="134"/>
    <x v="11"/>
    <n v="55162.2"/>
  </r>
  <r>
    <x v="134"/>
    <x v="12"/>
    <n v="52558.1"/>
  </r>
  <r>
    <x v="134"/>
    <x v="13"/>
    <n v="52830.7"/>
  </r>
  <r>
    <x v="134"/>
    <x v="14"/>
    <n v="64966"/>
  </r>
  <r>
    <x v="134"/>
    <x v="15"/>
    <n v="67914.3"/>
  </r>
  <r>
    <x v="134"/>
    <x v="16"/>
    <n v="67368.600000000006"/>
  </r>
  <r>
    <x v="134"/>
    <x v="17"/>
    <n v="54542.3"/>
  </r>
  <r>
    <x v="134"/>
    <x v="18"/>
    <n v="66361.2"/>
  </r>
  <r>
    <x v="134"/>
    <x v="19"/>
    <n v="67659.100000000006"/>
  </r>
  <r>
    <x v="134"/>
    <x v="20"/>
    <n v="67971.600000000006"/>
  </r>
  <r>
    <x v="134"/>
    <x v="21"/>
    <n v="69303.899999999994"/>
  </r>
  <r>
    <x v="134"/>
    <x v="22"/>
    <n v="68158"/>
  </r>
  <r>
    <x v="134"/>
    <x v="23"/>
    <n v="68014.3"/>
  </r>
  <r>
    <x v="135"/>
    <x v="0"/>
    <n v="54820.1"/>
  </r>
  <r>
    <x v="135"/>
    <x v="1"/>
    <n v="54074.8"/>
  </r>
  <r>
    <x v="135"/>
    <x v="2"/>
    <n v="54234.5"/>
  </r>
  <r>
    <x v="135"/>
    <x v="3"/>
    <n v="54237.5"/>
  </r>
  <r>
    <x v="135"/>
    <x v="4"/>
    <n v="54359.9"/>
  </r>
  <r>
    <x v="135"/>
    <x v="5"/>
    <n v="54330.3"/>
  </r>
  <r>
    <x v="135"/>
    <x v="6"/>
    <n v="54248.7"/>
  </r>
  <r>
    <x v="135"/>
    <x v="7"/>
    <n v="54405.5"/>
  </r>
  <r>
    <x v="135"/>
    <x v="8"/>
    <n v="54314.9"/>
  </r>
  <r>
    <x v="135"/>
    <x v="9"/>
    <n v="53572.7"/>
  </r>
  <r>
    <x v="135"/>
    <x v="10"/>
    <n v="53980.6"/>
  </r>
  <r>
    <x v="135"/>
    <x v="11"/>
    <n v="55162.2"/>
  </r>
  <r>
    <x v="135"/>
    <x v="12"/>
    <n v="52558.1"/>
  </r>
  <r>
    <x v="135"/>
    <x v="13"/>
    <n v="52830.7"/>
  </r>
  <r>
    <x v="135"/>
    <x v="14"/>
    <n v="64966"/>
  </r>
  <r>
    <x v="135"/>
    <x v="15"/>
    <n v="67914.3"/>
  </r>
  <r>
    <x v="135"/>
    <x v="16"/>
    <n v="67368.600000000006"/>
  </r>
  <r>
    <x v="135"/>
    <x v="17"/>
    <n v="54542.3"/>
  </r>
  <r>
    <x v="135"/>
    <x v="18"/>
    <n v="66361.2"/>
  </r>
  <r>
    <x v="135"/>
    <x v="19"/>
    <n v="67659.100000000006"/>
  </r>
  <r>
    <x v="135"/>
    <x v="20"/>
    <n v="67971.600000000006"/>
  </r>
  <r>
    <x v="135"/>
    <x v="21"/>
    <n v="69303.899999999994"/>
  </r>
  <r>
    <x v="135"/>
    <x v="22"/>
    <n v="68158"/>
  </r>
  <r>
    <x v="135"/>
    <x v="23"/>
    <n v="68014.3"/>
  </r>
  <r>
    <x v="136"/>
    <x v="0"/>
    <n v="67176.399999999994"/>
  </r>
  <r>
    <x v="136"/>
    <x v="1"/>
    <n v="56242.2"/>
  </r>
  <r>
    <x v="136"/>
    <x v="2"/>
    <n v="54743.1"/>
  </r>
  <r>
    <x v="136"/>
    <x v="3"/>
    <n v="54601.599999999999"/>
  </r>
  <r>
    <x v="136"/>
    <x v="4"/>
    <n v="54338.3"/>
  </r>
  <r>
    <x v="136"/>
    <x v="5"/>
    <n v="52992.5"/>
  </r>
  <r>
    <x v="136"/>
    <x v="6"/>
    <n v="53163"/>
  </r>
  <r>
    <x v="136"/>
    <x v="7"/>
    <n v="54109.1"/>
  </r>
  <r>
    <x v="136"/>
    <x v="8"/>
    <n v="63851.199999999997"/>
  </r>
  <r>
    <x v="136"/>
    <x v="9"/>
    <n v="68856"/>
  </r>
  <r>
    <x v="136"/>
    <x v="10"/>
    <n v="68704.3"/>
  </r>
  <r>
    <x v="136"/>
    <x v="11"/>
    <n v="68986.399999999994"/>
  </r>
  <r>
    <x v="136"/>
    <x v="12"/>
    <n v="68928.3"/>
  </r>
  <r>
    <x v="136"/>
    <x v="13"/>
    <n v="68807.899999999994"/>
  </r>
  <r>
    <x v="136"/>
    <x v="14"/>
    <n v="69018.5"/>
  </r>
  <r>
    <x v="136"/>
    <x v="15"/>
    <n v="68974.7"/>
  </r>
  <r>
    <x v="136"/>
    <x v="16"/>
    <n v="69029.100000000006"/>
  </r>
  <r>
    <x v="136"/>
    <x v="17"/>
    <n v="69021.8"/>
  </r>
  <r>
    <x v="136"/>
    <x v="18"/>
    <n v="68597.399999999994"/>
  </r>
  <r>
    <x v="136"/>
    <x v="19"/>
    <n v="69020.100000000006"/>
  </r>
  <r>
    <x v="136"/>
    <x v="20"/>
    <n v="68949.399999999994"/>
  </r>
  <r>
    <x v="136"/>
    <x v="21"/>
    <n v="68937.7"/>
  </r>
  <r>
    <x v="136"/>
    <x v="22"/>
    <n v="68567.100000000006"/>
  </r>
  <r>
    <x v="136"/>
    <x v="23"/>
    <n v="68889.3"/>
  </r>
  <r>
    <x v="137"/>
    <x v="0"/>
    <n v="53735.3"/>
  </r>
  <r>
    <x v="137"/>
    <x v="1"/>
    <n v="53039.7"/>
  </r>
  <r>
    <x v="137"/>
    <x v="2"/>
    <n v="52811.199999999997"/>
  </r>
  <r>
    <x v="137"/>
    <x v="3"/>
    <n v="54342.6"/>
  </r>
  <r>
    <x v="137"/>
    <x v="4"/>
    <n v="54425.7"/>
  </r>
  <r>
    <x v="137"/>
    <x v="5"/>
    <n v="54436.4"/>
  </r>
  <r>
    <x v="137"/>
    <x v="6"/>
    <n v="54343.1"/>
  </r>
  <r>
    <x v="137"/>
    <x v="7"/>
    <n v="54545.3"/>
  </r>
  <r>
    <x v="137"/>
    <x v="8"/>
    <n v="54258.7"/>
  </r>
  <r>
    <x v="137"/>
    <x v="9"/>
    <n v="53805.7"/>
  </r>
  <r>
    <x v="137"/>
    <x v="10"/>
    <n v="53720.3"/>
  </r>
  <r>
    <x v="137"/>
    <x v="11"/>
    <n v="53709.1"/>
  </r>
  <r>
    <x v="137"/>
    <x v="12"/>
    <n v="53704.800000000003"/>
  </r>
  <r>
    <x v="137"/>
    <x v="13"/>
    <n v="53974.1"/>
  </r>
  <r>
    <x v="137"/>
    <x v="14"/>
    <n v="68517.600000000006"/>
  </r>
  <r>
    <x v="137"/>
    <x v="15"/>
    <n v="63334.400000000001"/>
  </r>
  <r>
    <x v="137"/>
    <x v="16"/>
    <n v="68747.3"/>
  </r>
  <r>
    <x v="137"/>
    <x v="17"/>
    <n v="55203.1"/>
  </r>
  <r>
    <x v="137"/>
    <x v="18"/>
    <n v="68354.7"/>
  </r>
  <r>
    <x v="137"/>
    <x v="19"/>
    <n v="61149.9"/>
  </r>
  <r>
    <x v="137"/>
    <x v="20"/>
    <n v="60479.199999999997"/>
  </r>
  <r>
    <x v="137"/>
    <x v="21"/>
    <n v="65350.8"/>
  </r>
  <r>
    <x v="137"/>
    <x v="22"/>
    <n v="66816.399999999994"/>
  </r>
  <r>
    <x v="137"/>
    <x v="23"/>
    <n v="66001.399999999994"/>
  </r>
  <r>
    <x v="138"/>
    <x v="0"/>
    <n v="55589.3"/>
  </r>
  <r>
    <x v="138"/>
    <x v="1"/>
    <n v="53860.2"/>
  </r>
  <r>
    <x v="138"/>
    <x v="2"/>
    <n v="53918.1"/>
  </r>
  <r>
    <x v="138"/>
    <x v="3"/>
    <n v="54122.6"/>
  </r>
  <r>
    <x v="138"/>
    <x v="4"/>
    <n v="54480.1"/>
  </r>
  <r>
    <x v="138"/>
    <x v="5"/>
    <n v="53302.7"/>
  </r>
  <r>
    <x v="138"/>
    <x v="6"/>
    <n v="53699.199999999997"/>
  </r>
  <r>
    <x v="138"/>
    <x v="7"/>
    <n v="53901.8"/>
  </r>
  <r>
    <x v="138"/>
    <x v="8"/>
    <n v="53580.1"/>
  </r>
  <r>
    <x v="138"/>
    <x v="9"/>
    <n v="54135.4"/>
  </r>
  <r>
    <x v="138"/>
    <x v="10"/>
    <n v="53673.2"/>
  </r>
  <r>
    <x v="138"/>
    <x v="11"/>
    <n v="53366.9"/>
  </r>
  <r>
    <x v="138"/>
    <x v="12"/>
    <n v="53566.8"/>
  </r>
  <r>
    <x v="138"/>
    <x v="13"/>
    <n v="53842.400000000001"/>
  </r>
  <r>
    <x v="138"/>
    <x v="14"/>
    <n v="53576.4"/>
  </r>
  <r>
    <x v="138"/>
    <x v="15"/>
    <n v="53820.6"/>
  </r>
  <r>
    <x v="138"/>
    <x v="16"/>
    <n v="53296"/>
  </r>
  <r>
    <x v="138"/>
    <x v="17"/>
    <n v="53531.1"/>
  </r>
  <r>
    <x v="138"/>
    <x v="18"/>
    <n v="56139.8"/>
  </r>
  <r>
    <x v="138"/>
    <x v="19"/>
    <n v="62197.8"/>
  </r>
  <r>
    <x v="138"/>
    <x v="20"/>
    <n v="63629.4"/>
  </r>
  <r>
    <x v="138"/>
    <x v="21"/>
    <n v="56926.8"/>
  </r>
  <r>
    <x v="138"/>
    <x v="22"/>
    <n v="68089"/>
  </r>
  <r>
    <x v="138"/>
    <x v="23"/>
    <n v="67869.100000000006"/>
  </r>
  <r>
    <x v="139"/>
    <x v="0"/>
    <n v="54791.7"/>
  </r>
  <r>
    <x v="139"/>
    <x v="1"/>
    <n v="54440.3"/>
  </r>
  <r>
    <x v="139"/>
    <x v="2"/>
    <n v="54473.599999999999"/>
  </r>
  <r>
    <x v="139"/>
    <x v="3"/>
    <n v="54427.9"/>
  </r>
  <r>
    <x v="139"/>
    <x v="4"/>
    <n v="54269.9"/>
  </r>
  <r>
    <x v="139"/>
    <x v="5"/>
    <n v="53974"/>
  </r>
  <r>
    <x v="139"/>
    <x v="6"/>
    <n v="54443.1"/>
  </r>
  <r>
    <x v="139"/>
    <x v="7"/>
    <n v="54695"/>
  </r>
  <r>
    <x v="139"/>
    <x v="8"/>
    <n v="54649.2"/>
  </r>
  <r>
    <x v="139"/>
    <x v="9"/>
    <n v="54644.6"/>
  </r>
  <r>
    <x v="139"/>
    <x v="10"/>
    <n v="54689.1"/>
  </r>
  <r>
    <x v="139"/>
    <x v="11"/>
    <n v="54523.9"/>
  </r>
  <r>
    <x v="139"/>
    <x v="12"/>
    <n v="53908.800000000003"/>
  </r>
  <r>
    <x v="139"/>
    <x v="13"/>
    <n v="53406.6"/>
  </r>
  <r>
    <x v="139"/>
    <x v="14"/>
    <n v="53427.199999999997"/>
  </r>
  <r>
    <x v="139"/>
    <x v="15"/>
    <n v="54176.800000000003"/>
  </r>
  <r>
    <x v="139"/>
    <x v="16"/>
    <n v="69216.899999999994"/>
  </r>
  <r>
    <x v="139"/>
    <x v="17"/>
    <n v="69808.3"/>
  </r>
  <r>
    <x v="139"/>
    <x v="18"/>
    <n v="69789.100000000006"/>
  </r>
  <r>
    <x v="139"/>
    <x v="19"/>
    <n v="69629"/>
  </r>
  <r>
    <x v="139"/>
    <x v="20"/>
    <n v="69708.100000000006"/>
  </r>
  <r>
    <x v="139"/>
    <x v="21"/>
    <n v="69433.100000000006"/>
  </r>
  <r>
    <x v="139"/>
    <x v="22"/>
    <n v="69825.600000000006"/>
  </r>
  <r>
    <x v="139"/>
    <x v="23"/>
    <n v="69569.3"/>
  </r>
  <r>
    <x v="140"/>
    <x v="0"/>
    <n v="69328.7"/>
  </r>
  <r>
    <x v="140"/>
    <x v="1"/>
    <n v="53766.3"/>
  </r>
  <r>
    <x v="140"/>
    <x v="2"/>
    <n v="53362.1"/>
  </r>
  <r>
    <x v="140"/>
    <x v="3"/>
    <n v="54151.6"/>
  </r>
  <r>
    <x v="140"/>
    <x v="4"/>
    <n v="54168.3"/>
  </r>
  <r>
    <x v="140"/>
    <x v="5"/>
    <n v="54170"/>
  </r>
  <r>
    <x v="140"/>
    <x v="6"/>
    <n v="54260.6"/>
  </r>
  <r>
    <x v="140"/>
    <x v="7"/>
    <n v="54249.9"/>
  </r>
  <r>
    <x v="140"/>
    <x v="8"/>
    <n v="54352.4"/>
  </r>
  <r>
    <x v="140"/>
    <x v="9"/>
    <n v="53716.9"/>
  </r>
  <r>
    <x v="140"/>
    <x v="10"/>
    <n v="53812.1"/>
  </r>
  <r>
    <x v="140"/>
    <x v="11"/>
    <n v="53775.6"/>
  </r>
  <r>
    <x v="140"/>
    <x v="12"/>
    <n v="53785"/>
  </r>
  <r>
    <x v="140"/>
    <x v="13"/>
    <n v="53749"/>
  </r>
  <r>
    <x v="140"/>
    <x v="14"/>
    <n v="53934.2"/>
  </r>
  <r>
    <x v="140"/>
    <x v="15"/>
    <n v="53886.7"/>
  </r>
  <r>
    <x v="140"/>
    <x v="16"/>
    <n v="53911.6"/>
  </r>
  <r>
    <x v="140"/>
    <x v="17"/>
    <n v="53884.7"/>
  </r>
  <r>
    <x v="140"/>
    <x v="18"/>
    <n v="68292.7"/>
  </r>
  <r>
    <x v="140"/>
    <x v="19"/>
    <n v="68980.600000000006"/>
  </r>
  <r>
    <x v="140"/>
    <x v="20"/>
    <n v="68852"/>
  </r>
  <r>
    <x v="140"/>
    <x v="21"/>
    <n v="55052.1"/>
  </r>
  <r>
    <x v="140"/>
    <x v="22"/>
    <n v="54380.6"/>
  </r>
  <r>
    <x v="140"/>
    <x v="23"/>
    <n v="54421.4"/>
  </r>
  <r>
    <x v="141"/>
    <x v="0"/>
    <n v="53915.5"/>
  </r>
  <r>
    <x v="141"/>
    <x v="1"/>
    <n v="54853.7"/>
  </r>
  <r>
    <x v="141"/>
    <x v="2"/>
    <n v="54623.5"/>
  </r>
  <r>
    <x v="141"/>
    <x v="3"/>
    <n v="54781.3"/>
  </r>
  <r>
    <x v="141"/>
    <x v="4"/>
    <n v="54427.4"/>
  </r>
  <r>
    <x v="141"/>
    <x v="5"/>
    <n v="54339.9"/>
  </r>
  <r>
    <x v="141"/>
    <x v="6"/>
    <n v="54095.4"/>
  </r>
  <r>
    <x v="141"/>
    <x v="7"/>
    <n v="54004.1"/>
  </r>
  <r>
    <x v="141"/>
    <x v="8"/>
    <n v="53881.9"/>
  </r>
  <r>
    <x v="141"/>
    <x v="9"/>
    <n v="53735.1"/>
  </r>
  <r>
    <x v="141"/>
    <x v="10"/>
    <n v="53835.1"/>
  </r>
  <r>
    <x v="141"/>
    <x v="11"/>
    <n v="53871"/>
  </r>
  <r>
    <x v="141"/>
    <x v="12"/>
    <n v="53749.2"/>
  </r>
  <r>
    <x v="141"/>
    <x v="13"/>
    <n v="53773.9"/>
  </r>
  <r>
    <x v="141"/>
    <x v="14"/>
    <n v="53744.6"/>
  </r>
  <r>
    <x v="141"/>
    <x v="15"/>
    <n v="53820.3"/>
  </r>
  <r>
    <x v="141"/>
    <x v="16"/>
    <n v="53665.8"/>
  </r>
  <r>
    <x v="141"/>
    <x v="17"/>
    <n v="53909.7"/>
  </r>
  <r>
    <x v="141"/>
    <x v="18"/>
    <n v="53987.6"/>
  </r>
  <r>
    <x v="141"/>
    <x v="19"/>
    <n v="53989.3"/>
  </r>
  <r>
    <x v="141"/>
    <x v="20"/>
    <n v="69450.100000000006"/>
  </r>
  <r>
    <x v="141"/>
    <x v="21"/>
    <n v="69501.600000000006"/>
  </r>
  <r>
    <x v="141"/>
    <x v="22"/>
    <n v="68674.600000000006"/>
  </r>
  <r>
    <x v="141"/>
    <x v="23"/>
    <n v="68889.2"/>
  </r>
  <r>
    <x v="142"/>
    <x v="0"/>
    <n v="53408.1"/>
  </r>
  <r>
    <x v="142"/>
    <x v="1"/>
    <n v="54188.3"/>
  </r>
  <r>
    <x v="142"/>
    <x v="2"/>
    <n v="54163"/>
  </r>
  <r>
    <x v="142"/>
    <x v="3"/>
    <n v="54382.400000000001"/>
  </r>
  <r>
    <x v="142"/>
    <x v="4"/>
    <n v="54508"/>
  </r>
  <r>
    <x v="142"/>
    <x v="5"/>
    <n v="54355.7"/>
  </r>
  <r>
    <x v="142"/>
    <x v="6"/>
    <n v="52483.5"/>
  </r>
  <r>
    <x v="142"/>
    <x v="7"/>
    <n v="52467.5"/>
  </r>
  <r>
    <x v="142"/>
    <x v="8"/>
    <n v="52682"/>
  </r>
  <r>
    <x v="142"/>
    <x v="9"/>
    <n v="52769.3"/>
  </r>
  <r>
    <x v="142"/>
    <x v="10"/>
    <n v="53034.6"/>
  </r>
  <r>
    <x v="142"/>
    <x v="11"/>
    <n v="52746.400000000001"/>
  </r>
  <r>
    <x v="142"/>
    <x v="12"/>
    <n v="52967.6"/>
  </r>
  <r>
    <x v="142"/>
    <x v="13"/>
    <n v="52868.6"/>
  </r>
  <r>
    <x v="142"/>
    <x v="14"/>
    <n v="52995.6"/>
  </r>
  <r>
    <x v="142"/>
    <x v="15"/>
    <n v="59415.3"/>
  </r>
  <r>
    <x v="142"/>
    <x v="16"/>
    <n v="67891.7"/>
  </r>
  <r>
    <x v="142"/>
    <x v="17"/>
    <n v="68156.3"/>
  </r>
  <r>
    <x v="142"/>
    <x v="18"/>
    <n v="68165.399999999994"/>
  </r>
  <r>
    <x v="142"/>
    <x v="19"/>
    <n v="68551.899999999994"/>
  </r>
  <r>
    <x v="142"/>
    <x v="20"/>
    <n v="68603.899999999994"/>
  </r>
  <r>
    <x v="142"/>
    <x v="21"/>
    <n v="67398.100000000006"/>
  </r>
  <r>
    <x v="142"/>
    <x v="22"/>
    <n v="66820.3"/>
  </r>
  <r>
    <x v="142"/>
    <x v="23"/>
    <n v="66704.5"/>
  </r>
  <r>
    <x v="143"/>
    <x v="0"/>
    <n v="63214.5"/>
  </r>
  <r>
    <x v="143"/>
    <x v="1"/>
    <n v="56333.5"/>
  </r>
  <r>
    <x v="143"/>
    <x v="2"/>
    <n v="57278.400000000001"/>
  </r>
  <r>
    <x v="143"/>
    <x v="3"/>
    <n v="57021.4"/>
  </r>
  <r>
    <x v="143"/>
    <x v="4"/>
    <n v="57013.4"/>
  </r>
  <r>
    <x v="143"/>
    <x v="5"/>
    <n v="56483.8"/>
  </r>
  <r>
    <x v="143"/>
    <x v="6"/>
    <n v="56272.6"/>
  </r>
  <r>
    <x v="143"/>
    <x v="7"/>
    <n v="56540.800000000003"/>
  </r>
  <r>
    <x v="143"/>
    <x v="8"/>
    <n v="56450.9"/>
  </r>
  <r>
    <x v="143"/>
    <x v="9"/>
    <n v="56343.8"/>
  </r>
  <r>
    <x v="143"/>
    <x v="10"/>
    <n v="56384"/>
  </r>
  <r>
    <x v="143"/>
    <x v="11"/>
    <n v="56359.199999999997"/>
  </r>
  <r>
    <x v="143"/>
    <x v="12"/>
    <n v="55820"/>
  </r>
  <r>
    <x v="143"/>
    <x v="13"/>
    <n v="56596.9"/>
  </r>
  <r>
    <x v="143"/>
    <x v="14"/>
    <n v="55982.1"/>
  </r>
  <r>
    <x v="143"/>
    <x v="15"/>
    <n v="55822.3"/>
  </r>
  <r>
    <x v="143"/>
    <x v="16"/>
    <n v="55790.5"/>
  </r>
  <r>
    <x v="143"/>
    <x v="17"/>
    <n v="56136.4"/>
  </r>
  <r>
    <x v="143"/>
    <x v="18"/>
    <n v="57048.9"/>
  </r>
  <r>
    <x v="143"/>
    <x v="19"/>
    <n v="69415.399999999994"/>
  </r>
  <r>
    <x v="143"/>
    <x v="20"/>
    <n v="69368.3"/>
  </r>
  <r>
    <x v="143"/>
    <x v="21"/>
    <n v="62460.800000000003"/>
  </r>
  <r>
    <x v="143"/>
    <x v="22"/>
    <n v="57199.199999999997"/>
  </r>
  <r>
    <x v="143"/>
    <x v="23"/>
    <n v="56684.800000000003"/>
  </r>
  <r>
    <x v="144"/>
    <x v="0"/>
    <n v="52517.9"/>
  </r>
  <r>
    <x v="144"/>
    <x v="1"/>
    <n v="52473.7"/>
  </r>
  <r>
    <x v="144"/>
    <x v="2"/>
    <n v="52571.4"/>
  </r>
  <r>
    <x v="144"/>
    <x v="3"/>
    <n v="52578.3"/>
  </r>
  <r>
    <x v="144"/>
    <x v="4"/>
    <n v="52622.2"/>
  </r>
  <r>
    <x v="144"/>
    <x v="5"/>
    <n v="52726.2"/>
  </r>
  <r>
    <x v="144"/>
    <x v="6"/>
    <n v="52466.400000000001"/>
  </r>
  <r>
    <x v="144"/>
    <x v="7"/>
    <n v="52746.8"/>
  </r>
  <r>
    <x v="144"/>
    <x v="8"/>
    <n v="52710.2"/>
  </r>
  <r>
    <x v="144"/>
    <x v="9"/>
    <n v="54102.6"/>
  </r>
  <r>
    <x v="144"/>
    <x v="10"/>
    <n v="54800.9"/>
  </r>
  <r>
    <x v="144"/>
    <x v="11"/>
    <n v="54234.6"/>
  </r>
  <r>
    <x v="144"/>
    <x v="12"/>
    <n v="54222.3"/>
  </r>
  <r>
    <x v="144"/>
    <x v="13"/>
    <n v="54059.4"/>
  </r>
  <r>
    <x v="144"/>
    <x v="14"/>
    <n v="67844"/>
  </r>
  <r>
    <x v="144"/>
    <x v="15"/>
    <n v="68486"/>
  </r>
  <r>
    <x v="144"/>
    <x v="16"/>
    <n v="55199.3"/>
  </r>
  <r>
    <x v="144"/>
    <x v="17"/>
    <n v="54234.5"/>
  </r>
  <r>
    <x v="144"/>
    <x v="18"/>
    <n v="67806.899999999994"/>
  </r>
  <r>
    <x v="144"/>
    <x v="19"/>
    <n v="68557.899999999994"/>
  </r>
  <r>
    <x v="144"/>
    <x v="20"/>
    <n v="68521.899999999994"/>
  </r>
  <r>
    <x v="144"/>
    <x v="21"/>
    <n v="68399.3"/>
  </r>
  <r>
    <x v="144"/>
    <x v="22"/>
    <n v="68406.2"/>
  </r>
  <r>
    <x v="144"/>
    <x v="23"/>
    <n v="54305.599999999999"/>
  </r>
  <r>
    <x v="145"/>
    <x v="0"/>
    <n v="52623.1"/>
  </r>
  <r>
    <x v="145"/>
    <x v="1"/>
    <n v="52528.2"/>
  </r>
  <r>
    <x v="145"/>
    <x v="2"/>
    <n v="52325.2"/>
  </r>
  <r>
    <x v="145"/>
    <x v="3"/>
    <n v="52456.1"/>
  </r>
  <r>
    <x v="145"/>
    <x v="4"/>
    <n v="52496.9"/>
  </r>
  <r>
    <x v="145"/>
    <x v="5"/>
    <n v="52337.2"/>
  </r>
  <r>
    <x v="145"/>
    <x v="6"/>
    <n v="53838.400000000001"/>
  </r>
  <r>
    <x v="145"/>
    <x v="7"/>
    <n v="54356.6"/>
  </r>
  <r>
    <x v="145"/>
    <x v="8"/>
    <n v="53896.5"/>
  </r>
  <r>
    <x v="145"/>
    <x v="9"/>
    <n v="53782.1"/>
  </r>
  <r>
    <x v="145"/>
    <x v="10"/>
    <n v="53682.9"/>
  </r>
  <r>
    <x v="145"/>
    <x v="11"/>
    <n v="53765.599999999999"/>
  </r>
  <r>
    <x v="145"/>
    <x v="12"/>
    <n v="53688.7"/>
  </r>
  <r>
    <x v="145"/>
    <x v="13"/>
    <n v="53778.9"/>
  </r>
  <r>
    <x v="145"/>
    <x v="14"/>
    <n v="53867.9"/>
  </r>
  <r>
    <x v="145"/>
    <x v="15"/>
    <n v="54017.2"/>
  </r>
  <r>
    <x v="145"/>
    <x v="16"/>
    <n v="54674.6"/>
  </r>
  <r>
    <x v="145"/>
    <x v="17"/>
    <n v="54542.8"/>
  </r>
  <r>
    <x v="145"/>
    <x v="18"/>
    <n v="68271.100000000006"/>
  </r>
  <r>
    <x v="145"/>
    <x v="19"/>
    <n v="69266"/>
  </r>
  <r>
    <x v="145"/>
    <x v="20"/>
    <n v="69233.3"/>
  </r>
  <r>
    <x v="145"/>
    <x v="21"/>
    <n v="56103.9"/>
  </r>
  <r>
    <x v="145"/>
    <x v="22"/>
    <n v="53685.599999999999"/>
  </r>
  <r>
    <x v="145"/>
    <x v="23"/>
    <n v="54001.9"/>
  </r>
  <r>
    <x v="146"/>
    <x v="0"/>
    <n v="53844.9"/>
  </r>
  <r>
    <x v="146"/>
    <x v="1"/>
    <n v="53981.1"/>
  </r>
  <r>
    <x v="146"/>
    <x v="2"/>
    <n v="54152.3"/>
  </r>
  <r>
    <x v="146"/>
    <x v="3"/>
    <n v="54171"/>
  </r>
  <r>
    <x v="146"/>
    <x v="4"/>
    <n v="54209.4"/>
  </r>
  <r>
    <x v="146"/>
    <x v="5"/>
    <n v="54227.8"/>
  </r>
  <r>
    <x v="146"/>
    <x v="6"/>
    <n v="54196.2"/>
  </r>
  <r>
    <x v="146"/>
    <x v="7"/>
    <n v="54222.7"/>
  </r>
  <r>
    <x v="146"/>
    <x v="8"/>
    <n v="53988"/>
  </r>
  <r>
    <x v="146"/>
    <x v="9"/>
    <n v="54092.3"/>
  </r>
  <r>
    <x v="146"/>
    <x v="10"/>
    <n v="54576.1"/>
  </r>
  <r>
    <x v="146"/>
    <x v="11"/>
    <n v="53521.3"/>
  </r>
  <r>
    <x v="146"/>
    <x v="12"/>
    <n v="54167.1"/>
  </r>
  <r>
    <x v="146"/>
    <x v="13"/>
    <n v="54275.5"/>
  </r>
  <r>
    <x v="146"/>
    <x v="14"/>
    <n v="54214.2"/>
  </r>
  <r>
    <x v="146"/>
    <x v="15"/>
    <n v="53813.9"/>
  </r>
  <r>
    <x v="146"/>
    <x v="16"/>
    <n v="53641.599999999999"/>
  </r>
  <r>
    <x v="146"/>
    <x v="17"/>
    <n v="54001.4"/>
  </r>
  <r>
    <x v="146"/>
    <x v="18"/>
    <n v="54149.9"/>
  </r>
  <r>
    <x v="146"/>
    <x v="19"/>
    <n v="66016.100000000006"/>
  </r>
  <r>
    <x v="146"/>
    <x v="20"/>
    <n v="68301.399999999994"/>
  </r>
  <r>
    <x v="146"/>
    <x v="21"/>
    <n v="55997.9"/>
  </r>
  <r>
    <x v="146"/>
    <x v="22"/>
    <n v="55205.599999999999"/>
  </r>
  <r>
    <x v="146"/>
    <x v="23"/>
    <n v="55348.2"/>
  </r>
  <r>
    <x v="147"/>
    <x v="0"/>
    <n v="55182.8"/>
  </r>
  <r>
    <x v="147"/>
    <x v="1"/>
    <n v="55153.2"/>
  </r>
  <r>
    <x v="147"/>
    <x v="2"/>
    <n v="55058.3"/>
  </r>
  <r>
    <x v="147"/>
    <x v="3"/>
    <n v="54880"/>
  </r>
  <r>
    <x v="147"/>
    <x v="4"/>
    <n v="55118.8"/>
  </r>
  <r>
    <x v="147"/>
    <x v="5"/>
    <n v="54571.3"/>
  </r>
  <r>
    <x v="147"/>
    <x v="6"/>
    <n v="53767.199999999997"/>
  </r>
  <r>
    <x v="147"/>
    <x v="7"/>
    <n v="53875.9"/>
  </r>
  <r>
    <x v="147"/>
    <x v="8"/>
    <n v="54042.8"/>
  </r>
  <r>
    <x v="147"/>
    <x v="9"/>
    <n v="54069.1"/>
  </r>
  <r>
    <x v="147"/>
    <x v="10"/>
    <n v="54169.3"/>
  </r>
  <r>
    <x v="147"/>
    <x v="11"/>
    <n v="53843.4"/>
  </r>
  <r>
    <x v="147"/>
    <x v="12"/>
    <n v="53929.4"/>
  </r>
  <r>
    <x v="147"/>
    <x v="13"/>
    <n v="53738.400000000001"/>
  </r>
  <r>
    <x v="147"/>
    <x v="14"/>
    <n v="53905.9"/>
  </r>
  <r>
    <x v="147"/>
    <x v="15"/>
    <n v="54052.800000000003"/>
  </r>
  <r>
    <x v="147"/>
    <x v="16"/>
    <n v="54320.800000000003"/>
  </r>
  <r>
    <x v="147"/>
    <x v="17"/>
    <n v="54341.3"/>
  </r>
  <r>
    <x v="147"/>
    <x v="18"/>
    <n v="54233.4"/>
  </r>
  <r>
    <x v="147"/>
    <x v="19"/>
    <n v="54191.199999999997"/>
  </r>
  <r>
    <x v="147"/>
    <x v="20"/>
    <n v="68062.5"/>
  </r>
  <r>
    <x v="147"/>
    <x v="21"/>
    <n v="54851.7"/>
  </r>
  <r>
    <x v="147"/>
    <x v="22"/>
    <n v="53708.5"/>
  </r>
  <r>
    <x v="147"/>
    <x v="23"/>
    <n v="54058.400000000001"/>
  </r>
  <r>
    <x v="148"/>
    <x v="0"/>
    <n v="54868.6"/>
  </r>
  <r>
    <x v="148"/>
    <x v="1"/>
    <n v="54743.1"/>
  </r>
  <r>
    <x v="148"/>
    <x v="2"/>
    <n v="54661.5"/>
  </r>
  <r>
    <x v="148"/>
    <x v="3"/>
    <n v="54753.4"/>
  </r>
  <r>
    <x v="148"/>
    <x v="4"/>
    <n v="54894.3"/>
  </r>
  <r>
    <x v="148"/>
    <x v="5"/>
    <n v="54118.3"/>
  </r>
  <r>
    <x v="148"/>
    <x v="6"/>
    <n v="54123.1"/>
  </r>
  <r>
    <x v="148"/>
    <x v="7"/>
    <n v="53962.7"/>
  </r>
  <r>
    <x v="148"/>
    <x v="8"/>
    <n v="54918.8"/>
  </r>
  <r>
    <x v="148"/>
    <x v="9"/>
    <n v="54971.6"/>
  </r>
  <r>
    <x v="148"/>
    <x v="10"/>
    <n v="55287.9"/>
  </r>
  <r>
    <x v="148"/>
    <x v="11"/>
    <n v="55147.4"/>
  </r>
  <r>
    <x v="148"/>
    <x v="12"/>
    <n v="55109.599999999999"/>
  </r>
  <r>
    <x v="148"/>
    <x v="13"/>
    <n v="55459.6"/>
  </r>
  <r>
    <x v="148"/>
    <x v="14"/>
    <n v="54415"/>
  </r>
  <r>
    <x v="148"/>
    <x v="15"/>
    <n v="54398.1"/>
  </r>
  <r>
    <x v="148"/>
    <x v="16"/>
    <n v="54150.5"/>
  </r>
  <r>
    <x v="148"/>
    <x v="17"/>
    <n v="54099.1"/>
  </r>
  <r>
    <x v="148"/>
    <x v="18"/>
    <n v="55943.8"/>
  </r>
  <r>
    <x v="148"/>
    <x v="19"/>
    <n v="67766.100000000006"/>
  </r>
  <r>
    <x v="148"/>
    <x v="20"/>
    <n v="68302.2"/>
  </r>
  <r>
    <x v="148"/>
    <x v="21"/>
    <n v="54797.3"/>
  </r>
  <r>
    <x v="148"/>
    <x v="22"/>
    <n v="54383.4"/>
  </r>
  <r>
    <x v="148"/>
    <x v="23"/>
    <n v="54027.6"/>
  </r>
  <r>
    <x v="149"/>
    <x v="0"/>
    <n v="54505.4"/>
  </r>
  <r>
    <x v="149"/>
    <x v="1"/>
    <n v="54638.400000000001"/>
  </r>
  <r>
    <x v="149"/>
    <x v="2"/>
    <n v="54680.6"/>
  </r>
  <r>
    <x v="149"/>
    <x v="3"/>
    <n v="54393.599999999999"/>
  </r>
  <r>
    <x v="149"/>
    <x v="4"/>
    <n v="54448.7"/>
  </r>
  <r>
    <x v="149"/>
    <x v="5"/>
    <n v="54048.6"/>
  </r>
  <r>
    <x v="149"/>
    <x v="6"/>
    <n v="54068.2"/>
  </r>
  <r>
    <x v="149"/>
    <x v="7"/>
    <n v="54510.400000000001"/>
  </r>
  <r>
    <x v="149"/>
    <x v="8"/>
    <n v="54965.5"/>
  </r>
  <r>
    <x v="149"/>
    <x v="9"/>
    <n v="55347"/>
  </r>
  <r>
    <x v="149"/>
    <x v="10"/>
    <n v="54807.6"/>
  </r>
  <r>
    <x v="149"/>
    <x v="11"/>
    <n v="54563.4"/>
  </r>
  <r>
    <x v="149"/>
    <x v="12"/>
    <n v="54550.2"/>
  </r>
  <r>
    <x v="149"/>
    <x v="13"/>
    <n v="54619.8"/>
  </r>
  <r>
    <x v="149"/>
    <x v="14"/>
    <n v="54487.3"/>
  </r>
  <r>
    <x v="149"/>
    <x v="15"/>
    <n v="54516"/>
  </r>
  <r>
    <x v="149"/>
    <x v="16"/>
    <n v="54152"/>
  </r>
  <r>
    <x v="149"/>
    <x v="17"/>
    <n v="54203.9"/>
  </r>
  <r>
    <x v="149"/>
    <x v="18"/>
    <n v="54703.7"/>
  </r>
  <r>
    <x v="149"/>
    <x v="19"/>
    <n v="67535.5"/>
  </r>
  <r>
    <x v="149"/>
    <x v="20"/>
    <n v="67890.600000000006"/>
  </r>
  <r>
    <x v="149"/>
    <x v="21"/>
    <n v="55179.3"/>
  </r>
  <r>
    <x v="149"/>
    <x v="22"/>
    <n v="54305.3"/>
  </r>
  <r>
    <x v="149"/>
    <x v="23"/>
    <n v="54625.8"/>
  </r>
  <r>
    <x v="150"/>
    <x v="0"/>
    <n v="54829.4"/>
  </r>
  <r>
    <x v="150"/>
    <x v="1"/>
    <n v="54738.1"/>
  </r>
  <r>
    <x v="150"/>
    <x v="2"/>
    <n v="54581.9"/>
  </r>
  <r>
    <x v="150"/>
    <x v="3"/>
    <n v="53696.9"/>
  </r>
  <r>
    <x v="150"/>
    <x v="4"/>
    <n v="53852.3"/>
  </r>
  <r>
    <x v="150"/>
    <x v="5"/>
    <n v="54367.7"/>
  </r>
  <r>
    <x v="150"/>
    <x v="6"/>
    <n v="54106"/>
  </r>
  <r>
    <x v="150"/>
    <x v="7"/>
    <n v="54221.8"/>
  </r>
  <r>
    <x v="150"/>
    <x v="8"/>
    <n v="54211.7"/>
  </r>
  <r>
    <x v="150"/>
    <x v="9"/>
    <n v="53724.4"/>
  </r>
  <r>
    <x v="150"/>
    <x v="10"/>
    <n v="52999.8"/>
  </r>
  <r>
    <x v="150"/>
    <x v="11"/>
    <n v="53662.3"/>
  </r>
  <r>
    <x v="150"/>
    <x v="12"/>
    <n v="53649.1"/>
  </r>
  <r>
    <x v="150"/>
    <x v="13"/>
    <n v="53761"/>
  </r>
  <r>
    <x v="150"/>
    <x v="14"/>
    <n v="54003.3"/>
  </r>
  <r>
    <x v="150"/>
    <x v="15"/>
    <n v="54009.2"/>
  </r>
  <r>
    <x v="150"/>
    <x v="16"/>
    <n v="53724.4"/>
  </r>
  <r>
    <x v="150"/>
    <x v="17"/>
    <n v="53843.8"/>
  </r>
  <r>
    <x v="150"/>
    <x v="18"/>
    <n v="54059.4"/>
  </r>
  <r>
    <x v="150"/>
    <x v="19"/>
    <n v="66125.600000000006"/>
  </r>
  <r>
    <x v="150"/>
    <x v="20"/>
    <n v="68107.199999999997"/>
  </r>
  <r>
    <x v="150"/>
    <x v="21"/>
    <n v="54946.3"/>
  </r>
  <r>
    <x v="150"/>
    <x v="22"/>
    <n v="53874.2"/>
  </r>
  <r>
    <x v="150"/>
    <x v="23"/>
    <n v="53765.9"/>
  </r>
  <r>
    <x v="151"/>
    <x v="0"/>
    <n v="53926.2"/>
  </r>
  <r>
    <x v="151"/>
    <x v="1"/>
    <n v="53901.1"/>
  </r>
  <r>
    <x v="151"/>
    <x v="2"/>
    <n v="53908.9"/>
  </r>
  <r>
    <x v="151"/>
    <x v="3"/>
    <n v="53907"/>
  </r>
  <r>
    <x v="151"/>
    <x v="4"/>
    <n v="53709.2"/>
  </r>
  <r>
    <x v="151"/>
    <x v="5"/>
    <n v="53791.4"/>
  </r>
  <r>
    <x v="151"/>
    <x v="6"/>
    <n v="53629.7"/>
  </r>
  <r>
    <x v="151"/>
    <x v="7"/>
    <n v="53656.4"/>
  </r>
  <r>
    <x v="151"/>
    <x v="8"/>
    <n v="53493.5"/>
  </r>
  <r>
    <x v="151"/>
    <x v="9"/>
    <n v="53412"/>
  </r>
  <r>
    <x v="151"/>
    <x v="10"/>
    <n v="54037.3"/>
  </r>
  <r>
    <x v="151"/>
    <x v="11"/>
    <n v="54047.4"/>
  </r>
  <r>
    <x v="151"/>
    <x v="12"/>
    <n v="54048.1"/>
  </r>
  <r>
    <x v="151"/>
    <x v="13"/>
    <n v="54055"/>
  </r>
  <r>
    <x v="151"/>
    <x v="14"/>
    <n v="54919.7"/>
  </r>
  <r>
    <x v="151"/>
    <x v="15"/>
    <n v="53748.9"/>
  </r>
  <r>
    <x v="151"/>
    <x v="16"/>
    <n v="53785.9"/>
  </r>
  <r>
    <x v="151"/>
    <x v="17"/>
    <n v="53646.9"/>
  </r>
  <r>
    <x v="151"/>
    <x v="18"/>
    <n v="67532.800000000003"/>
  </r>
  <r>
    <x v="151"/>
    <x v="19"/>
    <n v="67860.899999999994"/>
  </r>
  <r>
    <x v="151"/>
    <x v="20"/>
    <n v="67886.3"/>
  </r>
  <r>
    <x v="151"/>
    <x v="21"/>
    <n v="59225.9"/>
  </r>
  <r>
    <x v="151"/>
    <x v="22"/>
    <n v="54603"/>
  </r>
  <r>
    <x v="151"/>
    <x v="23"/>
    <n v="54283.3"/>
  </r>
  <r>
    <x v="152"/>
    <x v="0"/>
    <n v="54165.599999999999"/>
  </r>
  <r>
    <x v="152"/>
    <x v="1"/>
    <n v="54328.4"/>
  </r>
  <r>
    <x v="152"/>
    <x v="2"/>
    <n v="54290.2"/>
  </r>
  <r>
    <x v="152"/>
    <x v="3"/>
    <n v="54301.1"/>
  </r>
  <r>
    <x v="152"/>
    <x v="4"/>
    <n v="54521.4"/>
  </r>
  <r>
    <x v="152"/>
    <x v="5"/>
    <n v="54271.9"/>
  </r>
  <r>
    <x v="152"/>
    <x v="6"/>
    <n v="53855.7"/>
  </r>
  <r>
    <x v="152"/>
    <x v="7"/>
    <n v="54152.6"/>
  </r>
  <r>
    <x v="152"/>
    <x v="8"/>
    <n v="54110.400000000001"/>
  </r>
  <r>
    <x v="152"/>
    <x v="9"/>
    <n v="53859.1"/>
  </r>
  <r>
    <x v="152"/>
    <x v="10"/>
    <n v="54150.6"/>
  </r>
  <r>
    <x v="152"/>
    <x v="11"/>
    <n v="53234.9"/>
  </r>
  <r>
    <x v="152"/>
    <x v="12"/>
    <n v="52652.9"/>
  </r>
  <r>
    <x v="152"/>
    <x v="13"/>
    <n v="53732.5"/>
  </r>
  <r>
    <x v="152"/>
    <x v="14"/>
    <n v="53862"/>
  </r>
  <r>
    <x v="152"/>
    <x v="15"/>
    <n v="53961.7"/>
  </r>
  <r>
    <x v="152"/>
    <x v="16"/>
    <n v="53878.7"/>
  </r>
  <r>
    <x v="152"/>
    <x v="17"/>
    <n v="52943.8"/>
  </r>
  <r>
    <x v="152"/>
    <x v="18"/>
    <n v="53232.9"/>
  </r>
  <r>
    <x v="152"/>
    <x v="19"/>
    <n v="69573.3"/>
  </r>
  <r>
    <x v="152"/>
    <x v="20"/>
    <n v="69851.899999999994"/>
  </r>
  <r>
    <x v="152"/>
    <x v="21"/>
    <n v="54797.1"/>
  </r>
  <r>
    <x v="152"/>
    <x v="22"/>
    <n v="54141.5"/>
  </r>
  <r>
    <x v="152"/>
    <x v="23"/>
    <n v="53994.3"/>
  </r>
  <r>
    <x v="153"/>
    <x v="0"/>
    <n v="54352.1"/>
  </r>
  <r>
    <x v="153"/>
    <x v="1"/>
    <n v="54476.5"/>
  </r>
  <r>
    <x v="153"/>
    <x v="2"/>
    <n v="54790.8"/>
  </r>
  <r>
    <x v="153"/>
    <x v="3"/>
    <n v="54753.4"/>
  </r>
  <r>
    <x v="153"/>
    <x v="4"/>
    <n v="54704.4"/>
  </r>
  <r>
    <x v="153"/>
    <x v="5"/>
    <n v="54076.4"/>
  </r>
  <r>
    <x v="153"/>
    <x v="6"/>
    <n v="52885.5"/>
  </r>
  <r>
    <x v="153"/>
    <x v="7"/>
    <n v="54391.7"/>
  </r>
  <r>
    <x v="153"/>
    <x v="8"/>
    <n v="54237.9"/>
  </r>
  <r>
    <x v="153"/>
    <x v="9"/>
    <n v="54287.7"/>
  </r>
  <r>
    <x v="153"/>
    <x v="10"/>
    <n v="54017"/>
  </r>
  <r>
    <x v="153"/>
    <x v="11"/>
    <n v="54190.2"/>
  </r>
  <r>
    <x v="153"/>
    <x v="12"/>
    <n v="54557.2"/>
  </r>
  <r>
    <x v="153"/>
    <x v="13"/>
    <n v="54454.9"/>
  </r>
  <r>
    <x v="153"/>
    <x v="14"/>
    <n v="54341.599999999999"/>
  </r>
  <r>
    <x v="153"/>
    <x v="15"/>
    <n v="56511.4"/>
  </r>
  <r>
    <x v="153"/>
    <x v="16"/>
    <n v="68204.5"/>
  </r>
  <r>
    <x v="153"/>
    <x v="17"/>
    <n v="68844.2"/>
  </r>
  <r>
    <x v="153"/>
    <x v="18"/>
    <n v="69220.100000000006"/>
  </r>
  <r>
    <x v="153"/>
    <x v="19"/>
    <n v="68161.7"/>
  </r>
  <r>
    <x v="153"/>
    <x v="20"/>
    <n v="68153.100000000006"/>
  </r>
  <r>
    <x v="153"/>
    <x v="21"/>
    <n v="68179.600000000006"/>
  </r>
  <r>
    <x v="153"/>
    <x v="22"/>
    <n v="68041.100000000006"/>
  </r>
  <r>
    <x v="153"/>
    <x v="23"/>
    <n v="67315.199999999997"/>
  </r>
  <r>
    <x v="154"/>
    <x v="0"/>
    <n v="66126.8"/>
  </r>
  <r>
    <x v="154"/>
    <x v="1"/>
    <n v="53519"/>
  </r>
  <r>
    <x v="154"/>
    <x v="2"/>
    <n v="53581.5"/>
  </r>
  <r>
    <x v="154"/>
    <x v="3"/>
    <n v="53561.2"/>
  </r>
  <r>
    <x v="154"/>
    <x v="4"/>
    <n v="53687.199999999997"/>
  </r>
  <r>
    <x v="154"/>
    <x v="5"/>
    <n v="53544.5"/>
  </r>
  <r>
    <x v="154"/>
    <x v="6"/>
    <n v="52782.8"/>
  </r>
  <r>
    <x v="154"/>
    <x v="7"/>
    <n v="54743.8"/>
  </r>
  <r>
    <x v="154"/>
    <x v="8"/>
    <n v="53913.599999999999"/>
  </r>
  <r>
    <x v="154"/>
    <x v="9"/>
    <n v="54327.7"/>
  </r>
  <r>
    <x v="154"/>
    <x v="10"/>
    <n v="54368.6"/>
  </r>
  <r>
    <x v="154"/>
    <x v="11"/>
    <n v="54399.7"/>
  </r>
  <r>
    <x v="154"/>
    <x v="12"/>
    <n v="54359.3"/>
  </r>
  <r>
    <x v="154"/>
    <x v="13"/>
    <n v="54406.5"/>
  </r>
  <r>
    <x v="154"/>
    <x v="14"/>
    <n v="54426.9"/>
  </r>
  <r>
    <x v="154"/>
    <x v="15"/>
    <n v="54497.2"/>
  </r>
  <r>
    <x v="154"/>
    <x v="16"/>
    <n v="54614.5"/>
  </r>
  <r>
    <x v="154"/>
    <x v="17"/>
    <n v="54332.800000000003"/>
  </r>
  <r>
    <x v="154"/>
    <x v="18"/>
    <n v="54983.7"/>
  </r>
  <r>
    <x v="154"/>
    <x v="19"/>
    <n v="60207.8"/>
  </r>
  <r>
    <x v="154"/>
    <x v="20"/>
    <n v="68280.399999999994"/>
  </r>
  <r>
    <x v="154"/>
    <x v="21"/>
    <n v="54380.7"/>
  </r>
  <r>
    <x v="154"/>
    <x v="22"/>
    <n v="53456.800000000003"/>
  </r>
  <r>
    <x v="154"/>
    <x v="23"/>
    <n v="53658.9"/>
  </r>
  <r>
    <x v="155"/>
    <x v="0"/>
    <n v="52937"/>
  </r>
  <r>
    <x v="155"/>
    <x v="1"/>
    <n v="54022.7"/>
  </r>
  <r>
    <x v="155"/>
    <x v="2"/>
    <n v="54525.2"/>
  </r>
  <r>
    <x v="155"/>
    <x v="3"/>
    <n v="54524.2"/>
  </r>
  <r>
    <x v="155"/>
    <x v="4"/>
    <n v="54665.5"/>
  </r>
  <r>
    <x v="155"/>
    <x v="5"/>
    <n v="54785.8"/>
  </r>
  <r>
    <x v="155"/>
    <x v="6"/>
    <n v="53389.4"/>
  </r>
  <r>
    <x v="155"/>
    <x v="7"/>
    <n v="53588"/>
  </r>
  <r>
    <x v="155"/>
    <x v="8"/>
    <n v="54559.4"/>
  </r>
  <r>
    <x v="155"/>
    <x v="9"/>
    <n v="54521.9"/>
  </r>
  <r>
    <x v="155"/>
    <x v="10"/>
    <n v="54630.7"/>
  </r>
  <r>
    <x v="155"/>
    <x v="11"/>
    <n v="54517.599999999999"/>
  </r>
  <r>
    <x v="155"/>
    <x v="12"/>
    <n v="54549"/>
  </r>
  <r>
    <x v="155"/>
    <x v="13"/>
    <n v="54486.400000000001"/>
  </r>
  <r>
    <x v="155"/>
    <x v="14"/>
    <n v="54552.1"/>
  </r>
  <r>
    <x v="155"/>
    <x v="15"/>
    <n v="54502.8"/>
  </r>
  <r>
    <x v="155"/>
    <x v="16"/>
    <n v="54344.7"/>
  </r>
  <r>
    <x v="155"/>
    <x v="17"/>
    <n v="54324.2"/>
  </r>
  <r>
    <x v="155"/>
    <x v="18"/>
    <n v="60916.3"/>
  </r>
  <r>
    <x v="155"/>
    <x v="19"/>
    <n v="67757.5"/>
  </r>
  <r>
    <x v="155"/>
    <x v="20"/>
    <n v="68225.8"/>
  </r>
  <r>
    <x v="155"/>
    <x v="21"/>
    <n v="55318.2"/>
  </r>
  <r>
    <x v="155"/>
    <x v="22"/>
    <n v="54158.9"/>
  </r>
  <r>
    <x v="155"/>
    <x v="23"/>
    <n v="54293.3"/>
  </r>
  <r>
    <x v="156"/>
    <x v="0"/>
    <n v="54109.9"/>
  </r>
  <r>
    <x v="156"/>
    <x v="1"/>
    <n v="54352.4"/>
  </r>
  <r>
    <x v="156"/>
    <x v="2"/>
    <n v="54122.1"/>
  </r>
  <r>
    <x v="156"/>
    <x v="3"/>
    <n v="54185.4"/>
  </r>
  <r>
    <x v="156"/>
    <x v="4"/>
    <n v="53814.400000000001"/>
  </r>
  <r>
    <x v="156"/>
    <x v="5"/>
    <n v="53834.7"/>
  </r>
  <r>
    <x v="156"/>
    <x v="6"/>
    <n v="53690.3"/>
  </r>
  <r>
    <x v="156"/>
    <x v="7"/>
    <n v="53470.3"/>
  </r>
  <r>
    <x v="156"/>
    <x v="8"/>
    <n v="53633.5"/>
  </r>
  <r>
    <x v="156"/>
    <x v="9"/>
    <n v="54447.8"/>
  </r>
  <r>
    <x v="156"/>
    <x v="10"/>
    <n v="54658.400000000001"/>
  </r>
  <r>
    <x v="156"/>
    <x v="11"/>
    <n v="54529.9"/>
  </r>
  <r>
    <x v="156"/>
    <x v="12"/>
    <n v="54697.3"/>
  </r>
  <r>
    <x v="156"/>
    <x v="13"/>
    <n v="54632.1"/>
  </r>
  <r>
    <x v="156"/>
    <x v="14"/>
    <n v="54380.1"/>
  </r>
  <r>
    <x v="156"/>
    <x v="15"/>
    <n v="54291.3"/>
  </r>
  <r>
    <x v="156"/>
    <x v="16"/>
    <n v="54176.3"/>
  </r>
  <r>
    <x v="156"/>
    <x v="17"/>
    <n v="54368.6"/>
  </r>
  <r>
    <x v="156"/>
    <x v="18"/>
    <n v="54390.7"/>
  </r>
  <r>
    <x v="156"/>
    <x v="19"/>
    <n v="61093.7"/>
  </r>
  <r>
    <x v="156"/>
    <x v="20"/>
    <n v="68504.100000000006"/>
  </r>
  <r>
    <x v="156"/>
    <x v="21"/>
    <n v="54947.9"/>
  </r>
  <r>
    <x v="156"/>
    <x v="22"/>
    <n v="53148.7"/>
  </r>
  <r>
    <x v="156"/>
    <x v="23"/>
    <n v="54021.9"/>
  </r>
  <r>
    <x v="157"/>
    <x v="0"/>
    <n v="53617.3"/>
  </r>
  <r>
    <x v="157"/>
    <x v="1"/>
    <n v="54422.400000000001"/>
  </r>
  <r>
    <x v="157"/>
    <x v="2"/>
    <n v="54460"/>
  </r>
  <r>
    <x v="157"/>
    <x v="3"/>
    <n v="54354.2"/>
  </r>
  <r>
    <x v="157"/>
    <x v="4"/>
    <n v="54597.9"/>
  </r>
  <r>
    <x v="157"/>
    <x v="5"/>
    <n v="53887.9"/>
  </r>
  <r>
    <x v="157"/>
    <x v="6"/>
    <n v="54046.1"/>
  </r>
  <r>
    <x v="157"/>
    <x v="7"/>
    <n v="54832.5"/>
  </r>
  <r>
    <x v="157"/>
    <x v="8"/>
    <n v="54821.1"/>
  </r>
  <r>
    <x v="157"/>
    <x v="9"/>
    <n v="54812.800000000003"/>
  </r>
  <r>
    <x v="157"/>
    <x v="10"/>
    <n v="54811.9"/>
  </r>
  <r>
    <x v="157"/>
    <x v="11"/>
    <n v="54862.7"/>
  </r>
  <r>
    <x v="157"/>
    <x v="12"/>
    <n v="68724.100000000006"/>
  </r>
  <r>
    <x v="157"/>
    <x v="13"/>
    <n v="69372.5"/>
  </r>
  <r>
    <x v="157"/>
    <x v="14"/>
    <n v="69326.8"/>
  </r>
  <r>
    <x v="157"/>
    <x v="15"/>
    <n v="70012.5"/>
  </r>
  <r>
    <x v="157"/>
    <x v="16"/>
    <n v="55453"/>
  </r>
  <r>
    <x v="157"/>
    <x v="17"/>
    <n v="53847.7"/>
  </r>
  <r>
    <x v="157"/>
    <x v="18"/>
    <n v="56472.6"/>
  </r>
  <r>
    <x v="157"/>
    <x v="19"/>
    <n v="56144.6"/>
  </r>
  <r>
    <x v="157"/>
    <x v="20"/>
    <n v="68068.800000000003"/>
  </r>
  <r>
    <x v="157"/>
    <x v="21"/>
    <n v="55070.6"/>
  </r>
  <r>
    <x v="157"/>
    <x v="22"/>
    <n v="53972.2"/>
  </r>
  <r>
    <x v="157"/>
    <x v="23"/>
    <n v="53718.3"/>
  </r>
  <r>
    <x v="158"/>
    <x v="0"/>
    <n v="53681.4"/>
  </r>
  <r>
    <x v="158"/>
    <x v="1"/>
    <n v="53662.9"/>
  </r>
  <r>
    <x v="158"/>
    <x v="2"/>
    <n v="54867.6"/>
  </r>
  <r>
    <x v="158"/>
    <x v="3"/>
    <n v="54740.7"/>
  </r>
  <r>
    <x v="158"/>
    <x v="4"/>
    <n v="54526.9"/>
  </r>
  <r>
    <x v="158"/>
    <x v="5"/>
    <n v="54203.8"/>
  </r>
  <r>
    <x v="158"/>
    <x v="6"/>
    <n v="53760.3"/>
  </r>
  <r>
    <x v="158"/>
    <x v="7"/>
    <n v="54482.8"/>
  </r>
  <r>
    <x v="158"/>
    <x v="8"/>
    <n v="53717.599999999999"/>
  </r>
  <r>
    <x v="158"/>
    <x v="9"/>
    <n v="54295.199999999997"/>
  </r>
  <r>
    <x v="158"/>
    <x v="10"/>
    <n v="53570.8"/>
  </r>
  <r>
    <x v="158"/>
    <x v="11"/>
    <n v="54013.3"/>
  </r>
  <r>
    <x v="158"/>
    <x v="12"/>
    <n v="54203"/>
  </r>
  <r>
    <x v="158"/>
    <x v="13"/>
    <n v="54197"/>
  </r>
  <r>
    <x v="158"/>
    <x v="14"/>
    <n v="54257"/>
  </r>
  <r>
    <x v="158"/>
    <x v="15"/>
    <n v="54044.1"/>
  </r>
  <r>
    <x v="158"/>
    <x v="16"/>
    <n v="54036.4"/>
  </r>
  <r>
    <x v="158"/>
    <x v="17"/>
    <n v="53068.6"/>
  </r>
  <r>
    <x v="158"/>
    <x v="18"/>
    <n v="54647.3"/>
  </r>
  <r>
    <x v="158"/>
    <x v="19"/>
    <n v="53833"/>
  </r>
  <r>
    <x v="158"/>
    <x v="20"/>
    <n v="54779.3"/>
  </r>
  <r>
    <x v="158"/>
    <x v="21"/>
    <n v="54701"/>
  </r>
  <r>
    <x v="158"/>
    <x v="22"/>
    <n v="55010.1"/>
  </r>
  <r>
    <x v="158"/>
    <x v="23"/>
    <n v="54574"/>
  </r>
  <r>
    <x v="159"/>
    <x v="0"/>
    <n v="54383.6"/>
  </r>
  <r>
    <x v="159"/>
    <x v="1"/>
    <n v="54548.2"/>
  </r>
  <r>
    <x v="159"/>
    <x v="2"/>
    <n v="54045.2"/>
  </r>
  <r>
    <x v="159"/>
    <x v="3"/>
    <n v="54183.1"/>
  </r>
  <r>
    <x v="159"/>
    <x v="4"/>
    <n v="54193.599999999999"/>
  </r>
  <r>
    <x v="159"/>
    <x v="5"/>
    <n v="53930.5"/>
  </r>
  <r>
    <x v="159"/>
    <x v="6"/>
    <n v="53745.2"/>
  </r>
  <r>
    <x v="159"/>
    <x v="7"/>
    <n v="53682.7"/>
  </r>
  <r>
    <x v="159"/>
    <x v="8"/>
    <n v="53905.8"/>
  </r>
  <r>
    <x v="159"/>
    <x v="9"/>
    <n v="53043.8"/>
  </r>
  <r>
    <x v="159"/>
    <x v="10"/>
    <n v="53008.1"/>
  </r>
  <r>
    <x v="159"/>
    <x v="11"/>
    <n v="53069.5"/>
  </r>
  <r>
    <x v="159"/>
    <x v="12"/>
    <n v="52998.1"/>
  </r>
  <r>
    <x v="159"/>
    <x v="13"/>
    <n v="53078.2"/>
  </r>
  <r>
    <x v="159"/>
    <x v="14"/>
    <n v="53110.1"/>
  </r>
  <r>
    <x v="159"/>
    <x v="15"/>
    <n v="53037.1"/>
  </r>
  <r>
    <x v="159"/>
    <x v="16"/>
    <n v="53923.9"/>
  </r>
  <r>
    <x v="159"/>
    <x v="17"/>
    <n v="55198.5"/>
  </r>
  <r>
    <x v="159"/>
    <x v="18"/>
    <n v="66571.8"/>
  </r>
  <r>
    <x v="159"/>
    <x v="19"/>
    <n v="72269.5"/>
  </r>
  <r>
    <x v="159"/>
    <x v="20"/>
    <n v="71538"/>
  </r>
  <r>
    <x v="159"/>
    <x v="21"/>
    <n v="54849.2"/>
  </r>
  <r>
    <x v="159"/>
    <x v="22"/>
    <n v="53898.7"/>
  </r>
  <r>
    <x v="159"/>
    <x v="23"/>
    <n v="54632.2"/>
  </r>
  <r>
    <x v="160"/>
    <x v="0"/>
    <n v="54631.4"/>
  </r>
  <r>
    <x v="160"/>
    <x v="1"/>
    <n v="54406.9"/>
  </r>
  <r>
    <x v="160"/>
    <x v="2"/>
    <n v="54396.6"/>
  </r>
  <r>
    <x v="160"/>
    <x v="3"/>
    <n v="54421.4"/>
  </r>
  <r>
    <x v="160"/>
    <x v="4"/>
    <n v="54372.9"/>
  </r>
  <r>
    <x v="160"/>
    <x v="5"/>
    <n v="54386.5"/>
  </r>
  <r>
    <x v="160"/>
    <x v="6"/>
    <n v="54373.599999999999"/>
  </r>
  <r>
    <x v="160"/>
    <x v="7"/>
    <n v="54304.3"/>
  </r>
  <r>
    <x v="160"/>
    <x v="8"/>
    <n v="54205"/>
  </r>
  <r>
    <x v="160"/>
    <x v="9"/>
    <n v="54908"/>
  </r>
  <r>
    <x v="160"/>
    <x v="10"/>
    <n v="53125.5"/>
  </r>
  <r>
    <x v="160"/>
    <x v="11"/>
    <n v="54546.6"/>
  </r>
  <r>
    <x v="160"/>
    <x v="12"/>
    <n v="53244.5"/>
  </r>
  <r>
    <x v="160"/>
    <x v="13"/>
    <n v="53591"/>
  </r>
  <r>
    <x v="160"/>
    <x v="14"/>
    <n v="53722.3"/>
  </r>
  <r>
    <x v="160"/>
    <x v="15"/>
    <n v="53448.800000000003"/>
  </r>
  <r>
    <x v="160"/>
    <x v="16"/>
    <n v="53558.9"/>
  </r>
  <r>
    <x v="160"/>
    <x v="17"/>
    <n v="53531.199999999997"/>
  </r>
  <r>
    <x v="160"/>
    <x v="18"/>
    <n v="60063.6"/>
  </r>
  <r>
    <x v="160"/>
    <x v="19"/>
    <n v="53596.3"/>
  </r>
  <r>
    <x v="160"/>
    <x v="20"/>
    <n v="54144.4"/>
  </r>
  <r>
    <x v="160"/>
    <x v="21"/>
    <n v="54467.4"/>
  </r>
  <r>
    <x v="160"/>
    <x v="22"/>
    <n v="55069.1"/>
  </r>
  <r>
    <x v="160"/>
    <x v="23"/>
    <n v="54577.2"/>
  </r>
  <r>
    <x v="161"/>
    <x v="0"/>
    <n v="54658.3"/>
  </r>
  <r>
    <x v="161"/>
    <x v="1"/>
    <n v="54775.6"/>
  </r>
  <r>
    <x v="161"/>
    <x v="2"/>
    <n v="54556.3"/>
  </r>
  <r>
    <x v="161"/>
    <x v="3"/>
    <n v="54553.9"/>
  </r>
  <r>
    <x v="161"/>
    <x v="4"/>
    <n v="54632.800000000003"/>
  </r>
  <r>
    <x v="161"/>
    <x v="5"/>
    <n v="54458"/>
  </r>
  <r>
    <x v="161"/>
    <x v="6"/>
    <n v="53956.9"/>
  </r>
  <r>
    <x v="161"/>
    <x v="7"/>
    <n v="53766"/>
  </r>
  <r>
    <x v="161"/>
    <x v="8"/>
    <n v="53854.9"/>
  </r>
  <r>
    <x v="161"/>
    <x v="9"/>
    <n v="54306.5"/>
  </r>
  <r>
    <x v="161"/>
    <x v="10"/>
    <n v="54611.7"/>
  </r>
  <r>
    <x v="161"/>
    <x v="11"/>
    <n v="54569.599999999999"/>
  </r>
  <r>
    <x v="161"/>
    <x v="12"/>
    <n v="54533.9"/>
  </r>
  <r>
    <x v="161"/>
    <x v="13"/>
    <n v="54505.5"/>
  </r>
  <r>
    <x v="161"/>
    <x v="14"/>
    <n v="54543.9"/>
  </r>
  <r>
    <x v="161"/>
    <x v="15"/>
    <n v="54672"/>
  </r>
  <r>
    <x v="161"/>
    <x v="16"/>
    <n v="54499.3"/>
  </r>
  <r>
    <x v="161"/>
    <x v="17"/>
    <n v="54526.1"/>
  </r>
  <r>
    <x v="161"/>
    <x v="18"/>
    <n v="54854.6"/>
  </r>
  <r>
    <x v="161"/>
    <x v="19"/>
    <n v="54345.599999999999"/>
  </r>
  <r>
    <x v="161"/>
    <x v="20"/>
    <n v="54212.2"/>
  </r>
  <r>
    <x v="161"/>
    <x v="21"/>
    <n v="55091.4"/>
  </r>
  <r>
    <x v="161"/>
    <x v="22"/>
    <n v="54915.9"/>
  </r>
  <r>
    <x v="161"/>
    <x v="23"/>
    <n v="54830.400000000001"/>
  </r>
  <r>
    <x v="162"/>
    <x v="0"/>
    <n v="54966.1"/>
  </r>
  <r>
    <x v="162"/>
    <x v="1"/>
    <n v="54962.8"/>
  </r>
  <r>
    <x v="162"/>
    <x v="2"/>
    <n v="54809.9"/>
  </r>
  <r>
    <x v="162"/>
    <x v="3"/>
    <n v="53715.9"/>
  </r>
  <r>
    <x v="162"/>
    <x v="4"/>
    <n v="54506.5"/>
  </r>
  <r>
    <x v="162"/>
    <x v="5"/>
    <n v="54527.5"/>
  </r>
  <r>
    <x v="162"/>
    <x v="6"/>
    <n v="52978.2"/>
  </r>
  <r>
    <x v="162"/>
    <x v="7"/>
    <n v="53936.4"/>
  </r>
  <r>
    <x v="162"/>
    <x v="8"/>
    <n v="54114.1"/>
  </r>
  <r>
    <x v="162"/>
    <x v="9"/>
    <n v="54633"/>
  </r>
  <r>
    <x v="162"/>
    <x v="10"/>
    <n v="54888.1"/>
  </r>
  <r>
    <x v="162"/>
    <x v="11"/>
    <n v="54712.7"/>
  </r>
  <r>
    <x v="162"/>
    <x v="12"/>
    <n v="54817.7"/>
  </r>
  <r>
    <x v="162"/>
    <x v="13"/>
    <n v="54701.7"/>
  </r>
  <r>
    <x v="162"/>
    <x v="14"/>
    <n v="54800.2"/>
  </r>
  <r>
    <x v="162"/>
    <x v="15"/>
    <n v="54654.9"/>
  </r>
  <r>
    <x v="162"/>
    <x v="16"/>
    <n v="54493.2"/>
  </r>
  <r>
    <x v="162"/>
    <x v="17"/>
    <n v="54658.7"/>
  </r>
  <r>
    <x v="162"/>
    <x v="18"/>
    <n v="54649.7"/>
  </r>
  <r>
    <x v="162"/>
    <x v="19"/>
    <n v="67379.399999999994"/>
  </r>
  <r>
    <x v="162"/>
    <x v="20"/>
    <n v="68499"/>
  </r>
  <r>
    <x v="162"/>
    <x v="21"/>
    <n v="68029"/>
  </r>
  <r>
    <x v="162"/>
    <x v="22"/>
    <n v="67383.100000000006"/>
  </r>
  <r>
    <x v="162"/>
    <x v="23"/>
    <n v="67914.2"/>
  </r>
  <r>
    <x v="163"/>
    <x v="0"/>
    <n v="60401.599999999999"/>
  </r>
  <r>
    <x v="163"/>
    <x v="1"/>
    <n v="53004.9"/>
  </r>
  <r>
    <x v="163"/>
    <x v="2"/>
    <n v="53048.2"/>
  </r>
  <r>
    <x v="163"/>
    <x v="3"/>
    <n v="53150.5"/>
  </r>
  <r>
    <x v="163"/>
    <x v="4"/>
    <n v="53095.199999999997"/>
  </r>
  <r>
    <x v="163"/>
    <x v="5"/>
    <n v="52961.8"/>
  </r>
  <r>
    <x v="163"/>
    <x v="6"/>
    <n v="52698.8"/>
  </r>
  <r>
    <x v="163"/>
    <x v="7"/>
    <n v="53910.7"/>
  </r>
  <r>
    <x v="163"/>
    <x v="8"/>
    <n v="54300.3"/>
  </r>
  <r>
    <x v="163"/>
    <x v="9"/>
    <n v="54685.3"/>
  </r>
  <r>
    <x v="163"/>
    <x v="10"/>
    <n v="54912.800000000003"/>
  </r>
  <r>
    <x v="163"/>
    <x v="11"/>
    <n v="54432.800000000003"/>
  </r>
  <r>
    <x v="163"/>
    <x v="12"/>
    <n v="54933.1"/>
  </r>
  <r>
    <x v="163"/>
    <x v="13"/>
    <n v="54008.6"/>
  </r>
  <r>
    <x v="163"/>
    <x v="14"/>
    <n v="54426.1"/>
  </r>
  <r>
    <x v="163"/>
    <x v="15"/>
    <n v="62708"/>
  </r>
  <r>
    <x v="163"/>
    <x v="16"/>
    <n v="68182.8"/>
  </r>
  <r>
    <x v="163"/>
    <x v="17"/>
    <n v="68254.5"/>
  </r>
  <r>
    <x v="163"/>
    <x v="18"/>
    <n v="68415.7"/>
  </r>
  <r>
    <x v="163"/>
    <x v="19"/>
    <n v="68331.600000000006"/>
  </r>
  <r>
    <x v="163"/>
    <x v="20"/>
    <n v="68231.899999999994"/>
  </r>
  <r>
    <x v="163"/>
    <x v="21"/>
    <n v="67740.7"/>
  </r>
  <r>
    <x v="163"/>
    <x v="22"/>
    <n v="68046.8"/>
  </r>
  <r>
    <x v="163"/>
    <x v="23"/>
    <n v="66091.100000000006"/>
  </r>
  <r>
    <x v="164"/>
    <x v="0"/>
    <n v="54956.6"/>
  </r>
  <r>
    <x v="164"/>
    <x v="1"/>
    <n v="54140.9"/>
  </r>
  <r>
    <x v="164"/>
    <x v="2"/>
    <n v="54082.9"/>
  </r>
  <r>
    <x v="164"/>
    <x v="3"/>
    <n v="54079.9"/>
  </r>
  <r>
    <x v="164"/>
    <x v="4"/>
    <n v="54003.1"/>
  </r>
  <r>
    <x v="164"/>
    <x v="5"/>
    <n v="54097.7"/>
  </r>
  <r>
    <x v="164"/>
    <x v="6"/>
    <n v="53998"/>
  </r>
  <r>
    <x v="164"/>
    <x v="7"/>
    <n v="54113.7"/>
  </r>
  <r>
    <x v="164"/>
    <x v="8"/>
    <n v="54160.6"/>
  </r>
  <r>
    <x v="164"/>
    <x v="9"/>
    <n v="54071.5"/>
  </r>
  <r>
    <x v="164"/>
    <x v="10"/>
    <n v="54409.5"/>
  </r>
  <r>
    <x v="164"/>
    <x v="11"/>
    <n v="54308"/>
  </r>
  <r>
    <x v="164"/>
    <x v="12"/>
    <n v="54238.8"/>
  </r>
  <r>
    <x v="164"/>
    <x v="13"/>
    <n v="53771.3"/>
  </r>
  <r>
    <x v="164"/>
    <x v="14"/>
    <n v="57369.3"/>
  </r>
  <r>
    <x v="164"/>
    <x v="15"/>
    <n v="67807.5"/>
  </r>
  <r>
    <x v="164"/>
    <x v="16"/>
    <n v="67997.600000000006"/>
  </r>
  <r>
    <x v="164"/>
    <x v="17"/>
    <n v="68619.5"/>
  </r>
  <r>
    <x v="164"/>
    <x v="18"/>
    <n v="68678.2"/>
  </r>
  <r>
    <x v="164"/>
    <x v="19"/>
    <n v="67803.8"/>
  </r>
  <r>
    <x v="164"/>
    <x v="20"/>
    <n v="67670"/>
  </r>
  <r>
    <x v="164"/>
    <x v="21"/>
    <n v="67825.600000000006"/>
  </r>
  <r>
    <x v="164"/>
    <x v="22"/>
    <n v="68123.899999999994"/>
  </r>
  <r>
    <x v="164"/>
    <x v="23"/>
    <n v="68025.600000000006"/>
  </r>
  <r>
    <x v="165"/>
    <x v="0"/>
    <n v="54262.9"/>
  </r>
  <r>
    <x v="165"/>
    <x v="1"/>
    <n v="53301.1"/>
  </r>
  <r>
    <x v="165"/>
    <x v="2"/>
    <n v="53346.400000000001"/>
  </r>
  <r>
    <x v="165"/>
    <x v="3"/>
    <n v="53346.6"/>
  </r>
  <r>
    <x v="165"/>
    <x v="4"/>
    <n v="53344.6"/>
  </r>
  <r>
    <x v="165"/>
    <x v="5"/>
    <n v="54918.6"/>
  </r>
  <r>
    <x v="165"/>
    <x v="6"/>
    <n v="53436.4"/>
  </r>
  <r>
    <x v="165"/>
    <x v="7"/>
    <n v="53297.599999999999"/>
  </r>
  <r>
    <x v="165"/>
    <x v="8"/>
    <n v="55611"/>
  </r>
  <r>
    <x v="165"/>
    <x v="9"/>
    <n v="55017.9"/>
  </r>
  <r>
    <x v="165"/>
    <x v="10"/>
    <n v="54404.7"/>
  </r>
  <r>
    <x v="165"/>
    <x v="11"/>
    <n v="54469"/>
  </r>
  <r>
    <x v="165"/>
    <x v="12"/>
    <n v="54645.599999999999"/>
  </r>
  <r>
    <x v="165"/>
    <x v="13"/>
    <n v="56136"/>
  </r>
  <r>
    <x v="165"/>
    <x v="14"/>
    <n v="68257.8"/>
  </r>
  <r>
    <x v="165"/>
    <x v="15"/>
    <n v="67462.8"/>
  </r>
  <r>
    <x v="165"/>
    <x v="16"/>
    <n v="67766.2"/>
  </r>
  <r>
    <x v="165"/>
    <x v="17"/>
    <n v="55023.5"/>
  </r>
  <r>
    <x v="165"/>
    <x v="18"/>
    <n v="62482.9"/>
  </r>
  <r>
    <x v="165"/>
    <x v="19"/>
    <n v="69015.8"/>
  </r>
  <r>
    <x v="165"/>
    <x v="20"/>
    <n v="67880.5"/>
  </r>
  <r>
    <x v="165"/>
    <x v="21"/>
    <n v="65565.399999999994"/>
  </r>
  <r>
    <x v="165"/>
    <x v="22"/>
    <n v="69000.600000000006"/>
  </r>
  <r>
    <x v="165"/>
    <x v="23"/>
    <n v="69382.5"/>
  </r>
  <r>
    <x v="166"/>
    <x v="0"/>
    <n v="64601.7"/>
  </r>
  <r>
    <x v="166"/>
    <x v="1"/>
    <n v="54709.2"/>
  </r>
  <r>
    <x v="166"/>
    <x v="2"/>
    <n v="54537.8"/>
  </r>
  <r>
    <x v="166"/>
    <x v="3"/>
    <n v="54613.2"/>
  </r>
  <r>
    <x v="166"/>
    <x v="4"/>
    <n v="54669.2"/>
  </r>
  <r>
    <x v="166"/>
    <x v="5"/>
    <n v="54694.1"/>
  </r>
  <r>
    <x v="166"/>
    <x v="6"/>
    <n v="53942.400000000001"/>
  </r>
  <r>
    <x v="166"/>
    <x v="7"/>
    <n v="54647"/>
  </r>
  <r>
    <x v="166"/>
    <x v="8"/>
    <n v="54219"/>
  </r>
  <r>
    <x v="166"/>
    <x v="9"/>
    <n v="54045.7"/>
  </r>
  <r>
    <x v="166"/>
    <x v="10"/>
    <n v="53926.5"/>
  </r>
  <r>
    <x v="166"/>
    <x v="11"/>
    <n v="54110.8"/>
  </r>
  <r>
    <x v="166"/>
    <x v="12"/>
    <n v="45297.1"/>
  </r>
  <r>
    <x v="166"/>
    <x v="13"/>
    <n v="44835"/>
  </r>
  <r>
    <x v="166"/>
    <x v="14"/>
    <n v="58069.599999999999"/>
  </r>
  <r>
    <x v="166"/>
    <x v="15"/>
    <n v="59224.1"/>
  </r>
  <r>
    <x v="166"/>
    <x v="16"/>
    <n v="62499"/>
  </r>
  <r>
    <x v="166"/>
    <x v="17"/>
    <n v="62621.9"/>
  </r>
  <r>
    <x v="166"/>
    <x v="18"/>
    <n v="61142.1"/>
  </r>
  <r>
    <x v="166"/>
    <x v="19"/>
    <n v="61857.599999999999"/>
  </r>
  <r>
    <x v="166"/>
    <x v="20"/>
    <n v="60155.1"/>
  </r>
  <r>
    <x v="166"/>
    <x v="21"/>
    <n v="60042.5"/>
  </r>
  <r>
    <x v="166"/>
    <x v="22"/>
    <n v="60096.800000000003"/>
  </r>
  <r>
    <x v="166"/>
    <x v="23"/>
    <n v="60085.9"/>
  </r>
  <r>
    <x v="167"/>
    <x v="0"/>
    <n v="67256.800000000003"/>
  </r>
  <r>
    <x v="167"/>
    <x v="1"/>
    <n v="55165.9"/>
  </r>
  <r>
    <x v="167"/>
    <x v="2"/>
    <n v="54861.7"/>
  </r>
  <r>
    <x v="167"/>
    <x v="3"/>
    <n v="55017.3"/>
  </r>
  <r>
    <x v="167"/>
    <x v="4"/>
    <n v="54960.5"/>
  </r>
  <r>
    <x v="167"/>
    <x v="5"/>
    <n v="54838.7"/>
  </r>
  <r>
    <x v="167"/>
    <x v="6"/>
    <n v="54620.3"/>
  </r>
  <r>
    <x v="167"/>
    <x v="7"/>
    <n v="54743.3"/>
  </r>
  <r>
    <x v="167"/>
    <x v="8"/>
    <n v="54728"/>
  </r>
  <r>
    <x v="167"/>
    <x v="9"/>
    <n v="54680.800000000003"/>
  </r>
  <r>
    <x v="167"/>
    <x v="10"/>
    <n v="54708.4"/>
  </r>
  <r>
    <x v="167"/>
    <x v="11"/>
    <n v="54414.400000000001"/>
  </r>
  <r>
    <x v="167"/>
    <x v="12"/>
    <n v="54374.400000000001"/>
  </r>
  <r>
    <x v="167"/>
    <x v="13"/>
    <n v="54299.5"/>
  </r>
  <r>
    <x v="167"/>
    <x v="14"/>
    <n v="54481.9"/>
  </r>
  <r>
    <x v="167"/>
    <x v="15"/>
    <n v="54294.7"/>
  </r>
  <r>
    <x v="167"/>
    <x v="16"/>
    <n v="54396.6"/>
  </r>
  <r>
    <x v="167"/>
    <x v="17"/>
    <n v="54275.6"/>
  </r>
  <r>
    <x v="167"/>
    <x v="18"/>
    <n v="54359.5"/>
  </r>
  <r>
    <x v="167"/>
    <x v="19"/>
    <n v="68155.399999999994"/>
  </r>
  <r>
    <x v="167"/>
    <x v="20"/>
    <n v="68685.399999999994"/>
  </r>
  <r>
    <x v="167"/>
    <x v="21"/>
    <n v="68315.600000000006"/>
  </r>
  <r>
    <x v="167"/>
    <x v="22"/>
    <n v="58998.7"/>
  </r>
  <r>
    <x v="167"/>
    <x v="23"/>
    <n v="54210.6"/>
  </r>
  <r>
    <x v="168"/>
    <x v="0"/>
    <n v="54123.4"/>
  </r>
  <r>
    <x v="168"/>
    <x v="1"/>
    <n v="54434.1"/>
  </r>
  <r>
    <x v="168"/>
    <x v="2"/>
    <n v="54164.800000000003"/>
  </r>
  <r>
    <x v="168"/>
    <x v="3"/>
    <n v="53965.599999999999"/>
  </r>
  <r>
    <x v="168"/>
    <x v="4"/>
    <n v="54163.8"/>
  </r>
  <r>
    <x v="168"/>
    <x v="5"/>
    <n v="53993.7"/>
  </r>
  <r>
    <x v="168"/>
    <x v="6"/>
    <n v="54470.8"/>
  </r>
  <r>
    <x v="168"/>
    <x v="7"/>
    <n v="54472"/>
  </r>
  <r>
    <x v="168"/>
    <x v="8"/>
    <n v="54575.199999999997"/>
  </r>
  <r>
    <x v="168"/>
    <x v="9"/>
    <n v="54474.3"/>
  </r>
  <r>
    <x v="168"/>
    <x v="10"/>
    <n v="54400.800000000003"/>
  </r>
  <r>
    <x v="168"/>
    <x v="11"/>
    <n v="54530.9"/>
  </r>
  <r>
    <x v="168"/>
    <x v="12"/>
    <n v="54387.199999999997"/>
  </r>
  <r>
    <x v="168"/>
    <x v="13"/>
    <n v="54279.199999999997"/>
  </r>
  <r>
    <x v="168"/>
    <x v="14"/>
    <n v="54306.1"/>
  </r>
  <r>
    <x v="168"/>
    <x v="15"/>
    <n v="54292.6"/>
  </r>
  <r>
    <x v="168"/>
    <x v="16"/>
    <n v="54217.599999999999"/>
  </r>
  <r>
    <x v="168"/>
    <x v="17"/>
    <n v="54079.3"/>
  </r>
  <r>
    <x v="168"/>
    <x v="18"/>
    <n v="58976.7"/>
  </r>
  <r>
    <x v="168"/>
    <x v="19"/>
    <n v="67909.2"/>
  </r>
  <r>
    <x v="168"/>
    <x v="20"/>
    <n v="68448.800000000003"/>
  </r>
  <r>
    <x v="168"/>
    <x v="21"/>
    <n v="68337.2"/>
  </r>
  <r>
    <x v="168"/>
    <x v="22"/>
    <n v="67786.100000000006"/>
  </r>
  <r>
    <x v="168"/>
    <x v="23"/>
    <n v="67874.100000000006"/>
  </r>
  <r>
    <x v="169"/>
    <x v="0"/>
    <n v="67911.7"/>
  </r>
  <r>
    <x v="169"/>
    <x v="1"/>
    <n v="55161.599999999999"/>
  </r>
  <r>
    <x v="169"/>
    <x v="2"/>
    <n v="53781.2"/>
  </r>
  <r>
    <x v="169"/>
    <x v="3"/>
    <n v="54267.199999999997"/>
  </r>
  <r>
    <x v="169"/>
    <x v="4"/>
    <n v="54354.400000000001"/>
  </r>
  <r>
    <x v="169"/>
    <x v="5"/>
    <n v="54388"/>
  </r>
  <r>
    <x v="169"/>
    <x v="6"/>
    <n v="54231.6"/>
  </r>
  <r>
    <x v="169"/>
    <x v="7"/>
    <n v="52588.800000000003"/>
  </r>
  <r>
    <x v="169"/>
    <x v="8"/>
    <n v="52704"/>
  </r>
  <r>
    <x v="169"/>
    <x v="9"/>
    <n v="53472.3"/>
  </r>
  <r>
    <x v="169"/>
    <x v="10"/>
    <n v="53599.1"/>
  </r>
  <r>
    <x v="169"/>
    <x v="11"/>
    <n v="53506.3"/>
  </r>
  <r>
    <x v="169"/>
    <x v="12"/>
    <n v="53616.7"/>
  </r>
  <r>
    <x v="169"/>
    <x v="13"/>
    <n v="53437.9"/>
  </r>
  <r>
    <x v="169"/>
    <x v="14"/>
    <n v="53489"/>
  </r>
  <r>
    <x v="169"/>
    <x v="15"/>
    <n v="53507.199999999997"/>
  </r>
  <r>
    <x v="169"/>
    <x v="16"/>
    <n v="53446.400000000001"/>
  </r>
  <r>
    <x v="169"/>
    <x v="17"/>
    <n v="53409.4"/>
  </r>
  <r>
    <x v="169"/>
    <x v="18"/>
    <n v="60408.2"/>
  </r>
  <r>
    <x v="169"/>
    <x v="19"/>
    <n v="68233.3"/>
  </r>
  <r>
    <x v="169"/>
    <x v="20"/>
    <n v="68372.5"/>
  </r>
  <r>
    <x v="169"/>
    <x v="21"/>
    <n v="68563.3"/>
  </r>
  <r>
    <x v="169"/>
    <x v="22"/>
    <n v="68351.8"/>
  </r>
  <r>
    <x v="169"/>
    <x v="23"/>
    <n v="55408.4"/>
  </r>
  <r>
    <x v="170"/>
    <x v="0"/>
    <n v="66035"/>
  </r>
  <r>
    <x v="170"/>
    <x v="1"/>
    <n v="68480.399999999994"/>
  </r>
  <r>
    <x v="170"/>
    <x v="2"/>
    <n v="63960.6"/>
  </r>
  <r>
    <x v="170"/>
    <x v="3"/>
    <n v="54602.6"/>
  </r>
  <r>
    <x v="170"/>
    <x v="4"/>
    <n v="54636.7"/>
  </r>
  <r>
    <x v="170"/>
    <x v="5"/>
    <n v="54874.2"/>
  </r>
  <r>
    <x v="170"/>
    <x v="6"/>
    <n v="53885.2"/>
  </r>
  <r>
    <x v="170"/>
    <x v="7"/>
    <n v="54541.5"/>
  </r>
  <r>
    <x v="170"/>
    <x v="8"/>
    <n v="54135"/>
  </r>
  <r>
    <x v="170"/>
    <x v="9"/>
    <n v="54291.4"/>
  </r>
  <r>
    <x v="170"/>
    <x v="10"/>
    <n v="54342"/>
  </r>
  <r>
    <x v="170"/>
    <x v="11"/>
    <n v="54479.8"/>
  </r>
  <r>
    <x v="170"/>
    <x v="12"/>
    <n v="53853.9"/>
  </r>
  <r>
    <x v="170"/>
    <x v="13"/>
    <n v="60488.4"/>
  </r>
  <r>
    <x v="170"/>
    <x v="14"/>
    <n v="67838.8"/>
  </r>
  <r>
    <x v="170"/>
    <x v="15"/>
    <n v="68026.7"/>
  </r>
  <r>
    <x v="170"/>
    <x v="16"/>
    <n v="61715"/>
  </r>
  <r>
    <x v="170"/>
    <x v="17"/>
    <n v="55427.8"/>
  </r>
  <r>
    <x v="170"/>
    <x v="18"/>
    <n v="60231.1"/>
  </r>
  <r>
    <x v="170"/>
    <x v="19"/>
    <n v="60889.8"/>
  </r>
  <r>
    <x v="170"/>
    <x v="20"/>
    <n v="60854.1"/>
  </r>
  <r>
    <x v="170"/>
    <x v="21"/>
    <n v="60253.7"/>
  </r>
  <r>
    <x v="170"/>
    <x v="22"/>
    <n v="60576.2"/>
  </r>
  <r>
    <x v="170"/>
    <x v="23"/>
    <n v="60441.7"/>
  </r>
  <r>
    <x v="171"/>
    <x v="0"/>
    <n v="60427.5"/>
  </r>
  <r>
    <x v="171"/>
    <x v="1"/>
    <n v="60812.2"/>
  </r>
  <r>
    <x v="171"/>
    <x v="2"/>
    <n v="55505.2"/>
  </r>
  <r>
    <x v="171"/>
    <x v="3"/>
    <n v="54797.2"/>
  </r>
  <r>
    <x v="171"/>
    <x v="4"/>
    <n v="54821.9"/>
  </r>
  <r>
    <x v="171"/>
    <x v="5"/>
    <n v="54886.6"/>
  </r>
  <r>
    <x v="171"/>
    <x v="6"/>
    <n v="54793.2"/>
  </r>
  <r>
    <x v="171"/>
    <x v="7"/>
    <n v="54994.7"/>
  </r>
  <r>
    <x v="171"/>
    <x v="8"/>
    <n v="55012.3"/>
  </r>
  <r>
    <x v="171"/>
    <x v="9"/>
    <n v="55091.9"/>
  </r>
  <r>
    <x v="171"/>
    <x v="10"/>
    <n v="55096"/>
  </r>
  <r>
    <x v="171"/>
    <x v="11"/>
    <n v="55254.3"/>
  </r>
  <r>
    <x v="171"/>
    <x v="12"/>
    <n v="54784.5"/>
  </r>
  <r>
    <x v="171"/>
    <x v="13"/>
    <n v="56297"/>
  </r>
  <r>
    <x v="171"/>
    <x v="14"/>
    <n v="67074.7"/>
  </r>
  <r>
    <x v="171"/>
    <x v="15"/>
    <n v="68302.899999999994"/>
  </r>
  <r>
    <x v="171"/>
    <x v="16"/>
    <n v="57040.3"/>
  </r>
  <r>
    <x v="171"/>
    <x v="17"/>
    <n v="66773.3"/>
  </r>
  <r>
    <x v="171"/>
    <x v="18"/>
    <n v="63211.5"/>
  </r>
  <r>
    <x v="171"/>
    <x v="19"/>
    <n v="59961.3"/>
  </r>
  <r>
    <x v="171"/>
    <x v="20"/>
    <n v="59483.5"/>
  </r>
  <r>
    <x v="171"/>
    <x v="21"/>
    <n v="60313.7"/>
  </r>
  <r>
    <x v="171"/>
    <x v="22"/>
    <n v="60156.7"/>
  </r>
  <r>
    <x v="171"/>
    <x v="23"/>
    <n v="60004.6"/>
  </r>
  <r>
    <x v="172"/>
    <x v="0"/>
    <n v="59835.199999999997"/>
  </r>
  <r>
    <x v="172"/>
    <x v="1"/>
    <n v="59743.4"/>
  </r>
  <r>
    <x v="172"/>
    <x v="2"/>
    <n v="44203"/>
  </r>
  <r>
    <x v="172"/>
    <x v="3"/>
    <n v="43291.4"/>
  </r>
  <r>
    <x v="172"/>
    <x v="4"/>
    <n v="43365.3"/>
  </r>
  <r>
    <x v="172"/>
    <x v="5"/>
    <n v="44223.9"/>
  </r>
  <r>
    <x v="172"/>
    <x v="6"/>
    <n v="44736.2"/>
  </r>
  <r>
    <x v="172"/>
    <x v="7"/>
    <n v="44955.5"/>
  </r>
  <r>
    <x v="172"/>
    <x v="8"/>
    <n v="44858.9"/>
  </r>
  <r>
    <x v="172"/>
    <x v="9"/>
    <n v="45268"/>
  </r>
  <r>
    <x v="172"/>
    <x v="10"/>
    <n v="45309.5"/>
  </r>
  <r>
    <x v="172"/>
    <x v="11"/>
    <n v="51788"/>
  </r>
  <r>
    <x v="172"/>
    <x v="12"/>
    <n v="52241.7"/>
  </r>
  <r>
    <x v="172"/>
    <x v="13"/>
    <n v="55628.3"/>
  </r>
  <r>
    <x v="172"/>
    <x v="14"/>
    <n v="69025.5"/>
  </r>
  <r>
    <x v="172"/>
    <x v="15"/>
    <n v="69040.7"/>
  </r>
  <r>
    <x v="172"/>
    <x v="16"/>
    <n v="63041.9"/>
  </r>
  <r>
    <x v="172"/>
    <x v="17"/>
    <n v="66640.600000000006"/>
  </r>
  <r>
    <x v="172"/>
    <x v="18"/>
    <n v="66459.8"/>
  </r>
  <r>
    <x v="172"/>
    <x v="19"/>
    <n v="67316.899999999994"/>
  </r>
  <r>
    <x v="172"/>
    <x v="20"/>
    <n v="67646"/>
  </r>
  <r>
    <x v="172"/>
    <x v="21"/>
    <n v="67283.8"/>
  </r>
  <r>
    <x v="172"/>
    <x v="22"/>
    <n v="66344.5"/>
  </r>
  <r>
    <x v="172"/>
    <x v="23"/>
    <n v="67354.100000000006"/>
  </r>
  <r>
    <x v="173"/>
    <x v="0"/>
    <n v="53376.7"/>
  </r>
  <r>
    <x v="173"/>
    <x v="1"/>
    <n v="51354.6"/>
  </r>
  <r>
    <x v="173"/>
    <x v="2"/>
    <n v="51328.2"/>
  </r>
  <r>
    <x v="173"/>
    <x v="3"/>
    <n v="51429.599999999999"/>
  </r>
  <r>
    <x v="173"/>
    <x v="4"/>
    <n v="51400.7"/>
  </r>
  <r>
    <x v="173"/>
    <x v="5"/>
    <n v="51309.7"/>
  </r>
  <r>
    <x v="173"/>
    <x v="6"/>
    <n v="51311.6"/>
  </r>
  <r>
    <x v="173"/>
    <x v="7"/>
    <n v="51547.199999999997"/>
  </r>
  <r>
    <x v="173"/>
    <x v="8"/>
    <n v="51448.2"/>
  </r>
  <r>
    <x v="173"/>
    <x v="9"/>
    <n v="51506.1"/>
  </r>
  <r>
    <x v="173"/>
    <x v="10"/>
    <n v="51637"/>
  </r>
  <r>
    <x v="173"/>
    <x v="11"/>
    <n v="51415"/>
  </r>
  <r>
    <x v="173"/>
    <x v="12"/>
    <n v="51625.9"/>
  </r>
  <r>
    <x v="173"/>
    <x v="13"/>
    <n v="53890.9"/>
  </r>
  <r>
    <x v="173"/>
    <x v="14"/>
    <n v="64512.1"/>
  </r>
  <r>
    <x v="173"/>
    <x v="15"/>
    <n v="65775.8"/>
  </r>
  <r>
    <x v="173"/>
    <x v="16"/>
    <n v="67563.899999999994"/>
  </r>
  <r>
    <x v="173"/>
    <x v="17"/>
    <n v="67565.2"/>
  </r>
  <r>
    <x v="173"/>
    <x v="18"/>
    <n v="67649.8"/>
  </r>
  <r>
    <x v="173"/>
    <x v="19"/>
    <n v="67936.600000000006"/>
  </r>
  <r>
    <x v="173"/>
    <x v="20"/>
    <n v="68666.600000000006"/>
  </r>
  <r>
    <x v="173"/>
    <x v="21"/>
    <n v="68492.600000000006"/>
  </r>
  <r>
    <x v="173"/>
    <x v="22"/>
    <n v="68734.5"/>
  </r>
  <r>
    <x v="173"/>
    <x v="23"/>
    <n v="68945.7"/>
  </r>
  <r>
    <x v="174"/>
    <x v="0"/>
    <n v="68800.100000000006"/>
  </r>
  <r>
    <x v="174"/>
    <x v="1"/>
    <n v="68856.2"/>
  </r>
  <r>
    <x v="174"/>
    <x v="2"/>
    <n v="68556.7"/>
  </r>
  <r>
    <x v="174"/>
    <x v="3"/>
    <n v="68616.3"/>
  </r>
  <r>
    <x v="174"/>
    <x v="4"/>
    <n v="65400.6"/>
  </r>
  <r>
    <x v="174"/>
    <x v="5"/>
    <n v="52608.1"/>
  </r>
  <r>
    <x v="174"/>
    <x v="6"/>
    <n v="52046.6"/>
  </r>
  <r>
    <x v="174"/>
    <x v="7"/>
    <n v="52071"/>
  </r>
  <r>
    <x v="174"/>
    <x v="8"/>
    <n v="51176.800000000003"/>
  </r>
  <r>
    <x v="174"/>
    <x v="9"/>
    <n v="64620.1"/>
  </r>
  <r>
    <x v="174"/>
    <x v="10"/>
    <n v="67994.399999999994"/>
  </r>
  <r>
    <x v="174"/>
    <x v="11"/>
    <n v="68105.600000000006"/>
  </r>
  <r>
    <x v="174"/>
    <x v="12"/>
    <n v="68086.2"/>
  </r>
  <r>
    <x v="174"/>
    <x v="13"/>
    <n v="68096.3"/>
  </r>
  <r>
    <x v="174"/>
    <x v="14"/>
    <n v="68128.600000000006"/>
  </r>
  <r>
    <x v="174"/>
    <x v="15"/>
    <n v="68070.5"/>
  </r>
  <r>
    <x v="174"/>
    <x v="16"/>
    <n v="68193.600000000006"/>
  </r>
  <r>
    <x v="174"/>
    <x v="17"/>
    <n v="67993.8"/>
  </r>
  <r>
    <x v="174"/>
    <x v="18"/>
    <n v="68166.7"/>
  </r>
  <r>
    <x v="174"/>
    <x v="19"/>
    <n v="67940.7"/>
  </r>
  <r>
    <x v="174"/>
    <x v="20"/>
    <n v="67767.8"/>
  </r>
  <r>
    <x v="174"/>
    <x v="21"/>
    <n v="67230.899999999994"/>
  </r>
  <r>
    <x v="174"/>
    <x v="22"/>
    <n v="66749.7"/>
  </r>
  <r>
    <x v="174"/>
    <x v="23"/>
    <n v="68452.3"/>
  </r>
  <r>
    <x v="175"/>
    <x v="0"/>
    <n v="59360.7"/>
  </r>
  <r>
    <x v="175"/>
    <x v="1"/>
    <n v="67469.8"/>
  </r>
  <r>
    <x v="175"/>
    <x v="2"/>
    <n v="68631.3"/>
  </r>
  <r>
    <x v="175"/>
    <x v="3"/>
    <n v="68658.7"/>
  </r>
  <r>
    <x v="175"/>
    <x v="4"/>
    <n v="65359.5"/>
  </r>
  <r>
    <x v="175"/>
    <x v="5"/>
    <n v="54794.3"/>
  </r>
  <r>
    <x v="175"/>
    <x v="6"/>
    <n v="55126.2"/>
  </r>
  <r>
    <x v="175"/>
    <x v="7"/>
    <n v="54917.9"/>
  </r>
  <r>
    <x v="175"/>
    <x v="8"/>
    <n v="54900.7"/>
  </r>
  <r>
    <x v="175"/>
    <x v="9"/>
    <n v="54998"/>
  </r>
  <r>
    <x v="175"/>
    <x v="10"/>
    <n v="55013.7"/>
  </r>
  <r>
    <x v="175"/>
    <x v="11"/>
    <n v="69033.8"/>
  </r>
  <r>
    <x v="175"/>
    <x v="12"/>
    <n v="69289.399999999994"/>
  </r>
  <r>
    <x v="175"/>
    <x v="13"/>
    <n v="69339.7"/>
  </r>
  <r>
    <x v="175"/>
    <x v="14"/>
    <n v="69219.199999999997"/>
  </r>
  <r>
    <x v="175"/>
    <x v="15"/>
    <n v="69116.800000000003"/>
  </r>
  <r>
    <x v="175"/>
    <x v="16"/>
    <n v="69204.100000000006"/>
  </r>
  <r>
    <x v="175"/>
    <x v="17"/>
    <n v="69094.3"/>
  </r>
  <r>
    <x v="175"/>
    <x v="18"/>
    <n v="69176.2"/>
  </r>
  <r>
    <x v="175"/>
    <x v="19"/>
    <n v="69250.2"/>
  </r>
  <r>
    <x v="175"/>
    <x v="20"/>
    <n v="69165.5"/>
  </r>
  <r>
    <x v="175"/>
    <x v="21"/>
    <n v="68870.399999999994"/>
  </r>
  <r>
    <x v="175"/>
    <x v="22"/>
    <n v="68845"/>
  </r>
  <r>
    <x v="175"/>
    <x v="23"/>
    <n v="68444.899999999994"/>
  </r>
  <r>
    <x v="176"/>
    <x v="0"/>
    <n v="67397.100000000006"/>
  </r>
  <r>
    <x v="176"/>
    <x v="1"/>
    <n v="67862.399999999994"/>
  </r>
  <r>
    <x v="176"/>
    <x v="2"/>
    <n v="67869.2"/>
  </r>
  <r>
    <x v="176"/>
    <x v="3"/>
    <n v="67936.600000000006"/>
  </r>
  <r>
    <x v="176"/>
    <x v="4"/>
    <n v="68270.899999999994"/>
  </r>
  <r>
    <x v="176"/>
    <x v="5"/>
    <n v="68412.7"/>
  </r>
  <r>
    <x v="176"/>
    <x v="6"/>
    <n v="51327.1"/>
  </r>
  <r>
    <x v="176"/>
    <x v="7"/>
    <n v="51251.1"/>
  </r>
  <r>
    <x v="176"/>
    <x v="8"/>
    <n v="67983.899999999994"/>
  </r>
  <r>
    <x v="176"/>
    <x v="9"/>
    <n v="67974.3"/>
  </r>
  <r>
    <x v="176"/>
    <x v="10"/>
    <n v="68256.899999999994"/>
  </r>
  <r>
    <x v="176"/>
    <x v="11"/>
    <n v="68210.399999999994"/>
  </r>
  <r>
    <x v="176"/>
    <x v="12"/>
    <n v="68134.5"/>
  </r>
  <r>
    <x v="176"/>
    <x v="13"/>
    <n v="68035"/>
  </r>
  <r>
    <x v="176"/>
    <x v="14"/>
    <n v="68071"/>
  </r>
  <r>
    <x v="176"/>
    <x v="15"/>
    <n v="67966"/>
  </r>
  <r>
    <x v="176"/>
    <x v="16"/>
    <n v="68033.2"/>
  </r>
  <r>
    <x v="176"/>
    <x v="17"/>
    <n v="68126.8"/>
  </r>
  <r>
    <x v="176"/>
    <x v="18"/>
    <n v="68239.100000000006"/>
  </r>
  <r>
    <x v="176"/>
    <x v="19"/>
    <n v="68143.3"/>
  </r>
  <r>
    <x v="176"/>
    <x v="20"/>
    <n v="67945.8"/>
  </r>
  <r>
    <x v="176"/>
    <x v="21"/>
    <n v="67415.8"/>
  </r>
  <r>
    <x v="176"/>
    <x v="22"/>
    <n v="66694.2"/>
  </r>
  <r>
    <x v="176"/>
    <x v="23"/>
    <n v="67883.3"/>
  </r>
  <r>
    <x v="177"/>
    <x v="0"/>
    <n v="63372.5"/>
  </r>
  <r>
    <x v="177"/>
    <x v="1"/>
    <n v="67449"/>
  </r>
  <r>
    <x v="177"/>
    <x v="2"/>
    <n v="67426.399999999994"/>
  </r>
  <r>
    <x v="177"/>
    <x v="3"/>
    <n v="67513"/>
  </r>
  <r>
    <x v="177"/>
    <x v="4"/>
    <n v="67689.3"/>
  </r>
  <r>
    <x v="177"/>
    <x v="5"/>
    <n v="62505.3"/>
  </r>
  <r>
    <x v="177"/>
    <x v="6"/>
    <n v="51080.7"/>
  </r>
  <r>
    <x v="177"/>
    <x v="7"/>
    <n v="51073.4"/>
  </r>
  <r>
    <x v="177"/>
    <x v="8"/>
    <n v="67273.600000000006"/>
  </r>
  <r>
    <x v="177"/>
    <x v="9"/>
    <n v="67781.2"/>
  </r>
  <r>
    <x v="177"/>
    <x v="10"/>
    <n v="67673"/>
  </r>
  <r>
    <x v="177"/>
    <x v="11"/>
    <n v="67765.600000000006"/>
  </r>
  <r>
    <x v="177"/>
    <x v="12"/>
    <n v="67494.5"/>
  </r>
  <r>
    <x v="177"/>
    <x v="13"/>
    <n v="67473"/>
  </r>
  <r>
    <x v="177"/>
    <x v="14"/>
    <n v="67598"/>
  </r>
  <r>
    <x v="177"/>
    <x v="15"/>
    <n v="67735.600000000006"/>
  </r>
  <r>
    <x v="177"/>
    <x v="16"/>
    <n v="67801.899999999994"/>
  </r>
  <r>
    <x v="177"/>
    <x v="17"/>
    <n v="67864.2"/>
  </r>
  <r>
    <x v="177"/>
    <x v="18"/>
    <n v="67868.100000000006"/>
  </r>
  <r>
    <x v="177"/>
    <x v="19"/>
    <n v="67846.5"/>
  </r>
  <r>
    <x v="177"/>
    <x v="20"/>
    <n v="67932.100000000006"/>
  </r>
  <r>
    <x v="177"/>
    <x v="21"/>
    <n v="67813.7"/>
  </r>
  <r>
    <x v="177"/>
    <x v="22"/>
    <n v="67542.5"/>
  </r>
  <r>
    <x v="177"/>
    <x v="23"/>
    <n v="67307.100000000006"/>
  </r>
  <r>
    <x v="178"/>
    <x v="0"/>
    <n v="52084.2"/>
  </r>
  <r>
    <x v="178"/>
    <x v="1"/>
    <n v="51594.5"/>
  </r>
  <r>
    <x v="178"/>
    <x v="2"/>
    <n v="51426.8"/>
  </r>
  <r>
    <x v="178"/>
    <x v="3"/>
    <n v="51616.800000000003"/>
  </r>
  <r>
    <x v="178"/>
    <x v="4"/>
    <n v="51703.5"/>
  </r>
  <r>
    <x v="178"/>
    <x v="5"/>
    <n v="51655.5"/>
  </r>
  <r>
    <x v="178"/>
    <x v="6"/>
    <n v="51600.9"/>
  </r>
  <r>
    <x v="178"/>
    <x v="7"/>
    <n v="51449.2"/>
  </r>
  <r>
    <x v="178"/>
    <x v="8"/>
    <n v="51860.2"/>
  </r>
  <r>
    <x v="178"/>
    <x v="9"/>
    <n v="53523.4"/>
  </r>
  <r>
    <x v="178"/>
    <x v="10"/>
    <n v="53570.400000000001"/>
  </r>
  <r>
    <x v="178"/>
    <x v="11"/>
    <n v="53486.1"/>
  </r>
  <r>
    <x v="178"/>
    <x v="12"/>
    <n v="53481.3"/>
  </r>
  <r>
    <x v="178"/>
    <x v="13"/>
    <n v="53921.3"/>
  </r>
  <r>
    <x v="178"/>
    <x v="14"/>
    <n v="54309.7"/>
  </r>
  <r>
    <x v="178"/>
    <x v="15"/>
    <n v="45050.5"/>
  </r>
  <r>
    <x v="178"/>
    <x v="16"/>
    <n v="52725.8"/>
  </r>
  <r>
    <x v="178"/>
    <x v="17"/>
    <n v="69229.100000000006"/>
  </r>
  <r>
    <x v="178"/>
    <x v="18"/>
    <n v="55492.7"/>
  </r>
  <r>
    <x v="178"/>
    <x v="19"/>
    <n v="53853.4"/>
  </r>
  <r>
    <x v="178"/>
    <x v="20"/>
    <n v="53799.4"/>
  </r>
  <r>
    <x v="178"/>
    <x v="21"/>
    <n v="53981.599999999999"/>
  </r>
  <r>
    <x v="178"/>
    <x v="22"/>
    <n v="53651.5"/>
  </r>
  <r>
    <x v="178"/>
    <x v="23"/>
    <n v="53408.2"/>
  </r>
  <r>
    <x v="179"/>
    <x v="0"/>
    <n v="45102"/>
  </r>
  <r>
    <x v="179"/>
    <x v="1"/>
    <n v="44607.8"/>
  </r>
  <r>
    <x v="179"/>
    <x v="2"/>
    <n v="44587.6"/>
  </r>
  <r>
    <x v="179"/>
    <x v="3"/>
    <n v="44548.6"/>
  </r>
  <r>
    <x v="179"/>
    <x v="4"/>
    <n v="44588.7"/>
  </r>
  <r>
    <x v="179"/>
    <x v="5"/>
    <n v="44704.3"/>
  </r>
  <r>
    <x v="179"/>
    <x v="6"/>
    <n v="44526.2"/>
  </r>
  <r>
    <x v="179"/>
    <x v="7"/>
    <n v="44789.8"/>
  </r>
  <r>
    <x v="179"/>
    <x v="8"/>
    <n v="44654.1"/>
  </r>
  <r>
    <x v="179"/>
    <x v="9"/>
    <n v="44672.5"/>
  </r>
  <r>
    <x v="179"/>
    <x v="10"/>
    <n v="44554.9"/>
  </r>
  <r>
    <x v="179"/>
    <x v="11"/>
    <n v="44762.1"/>
  </r>
  <r>
    <x v="179"/>
    <x v="12"/>
    <n v="44163"/>
  </r>
  <r>
    <x v="179"/>
    <x v="13"/>
    <n v="43655.8"/>
  </r>
  <r>
    <x v="179"/>
    <x v="14"/>
    <n v="44426.7"/>
  </r>
  <r>
    <x v="179"/>
    <x v="15"/>
    <n v="44179.5"/>
  </r>
  <r>
    <x v="179"/>
    <x v="16"/>
    <n v="44193.3"/>
  </r>
  <r>
    <x v="179"/>
    <x v="17"/>
    <n v="44114.400000000001"/>
  </r>
  <r>
    <x v="179"/>
    <x v="18"/>
    <n v="44052.9"/>
  </r>
  <r>
    <x v="179"/>
    <x v="19"/>
    <n v="44157"/>
  </r>
  <r>
    <x v="179"/>
    <x v="20"/>
    <n v="44182.9"/>
  </r>
  <r>
    <x v="179"/>
    <x v="21"/>
    <n v="47641.7"/>
  </r>
  <r>
    <x v="179"/>
    <x v="22"/>
    <n v="58663.1"/>
  </r>
  <r>
    <x v="179"/>
    <x v="23"/>
    <n v="58453.5"/>
  </r>
  <r>
    <x v="180"/>
    <x v="0"/>
    <n v="46555.5"/>
  </r>
  <r>
    <x v="180"/>
    <x v="1"/>
    <n v="44919.1"/>
  </r>
  <r>
    <x v="180"/>
    <x v="2"/>
    <n v="44966"/>
  </r>
  <r>
    <x v="180"/>
    <x v="3"/>
    <n v="44887.4"/>
  </r>
  <r>
    <x v="180"/>
    <x v="4"/>
    <n v="44987.1"/>
  </r>
  <r>
    <x v="180"/>
    <x v="5"/>
    <n v="44979.199999999997"/>
  </r>
  <r>
    <x v="180"/>
    <x v="6"/>
    <n v="44933.1"/>
  </r>
  <r>
    <x v="180"/>
    <x v="7"/>
    <n v="45165.9"/>
  </r>
  <r>
    <x v="180"/>
    <x v="8"/>
    <n v="45003.6"/>
  </r>
  <r>
    <x v="180"/>
    <x v="9"/>
    <n v="45054.7"/>
  </r>
  <r>
    <x v="180"/>
    <x v="10"/>
    <n v="45186"/>
  </r>
  <r>
    <x v="180"/>
    <x v="11"/>
    <n v="45147.8"/>
  </r>
  <r>
    <x v="180"/>
    <x v="12"/>
    <n v="45212.9"/>
  </r>
  <r>
    <x v="180"/>
    <x v="13"/>
    <n v="43945.599999999999"/>
  </r>
  <r>
    <x v="180"/>
    <x v="14"/>
    <n v="43576.2"/>
  </r>
  <r>
    <x v="180"/>
    <x v="15"/>
    <n v="44326.2"/>
  </r>
  <r>
    <x v="180"/>
    <x v="16"/>
    <n v="43420.9"/>
  </r>
  <r>
    <x v="180"/>
    <x v="17"/>
    <n v="43910.5"/>
  </r>
  <r>
    <x v="180"/>
    <x v="18"/>
    <n v="43860.3"/>
  </r>
  <r>
    <x v="180"/>
    <x v="19"/>
    <n v="43908.5"/>
  </r>
  <r>
    <x v="180"/>
    <x v="20"/>
    <n v="43936.2"/>
  </r>
  <r>
    <x v="180"/>
    <x v="21"/>
    <n v="46257.5"/>
  </r>
  <r>
    <x v="180"/>
    <x v="22"/>
    <n v="58848.9"/>
  </r>
  <r>
    <x v="180"/>
    <x v="23"/>
    <n v="59294.3"/>
  </r>
  <r>
    <x v="181"/>
    <x v="0"/>
    <n v="54956.7"/>
  </r>
  <r>
    <x v="181"/>
    <x v="1"/>
    <n v="54398.1"/>
  </r>
  <r>
    <x v="181"/>
    <x v="2"/>
    <n v="54648.9"/>
  </r>
  <r>
    <x v="181"/>
    <x v="3"/>
    <n v="54846.2"/>
  </r>
  <r>
    <x v="181"/>
    <x v="4"/>
    <n v="54931.7"/>
  </r>
  <r>
    <x v="181"/>
    <x v="5"/>
    <n v="54886.3"/>
  </r>
  <r>
    <x v="181"/>
    <x v="6"/>
    <n v="55075.3"/>
  </r>
  <r>
    <x v="181"/>
    <x v="7"/>
    <n v="54307.6"/>
  </r>
  <r>
    <x v="181"/>
    <x v="8"/>
    <n v="54070.9"/>
  </r>
  <r>
    <x v="181"/>
    <x v="9"/>
    <n v="54091.1"/>
  </r>
  <r>
    <x v="181"/>
    <x v="10"/>
    <n v="53985.9"/>
  </r>
  <r>
    <x v="181"/>
    <x v="11"/>
    <n v="53602.1"/>
  </r>
  <r>
    <x v="181"/>
    <x v="12"/>
    <n v="53607.5"/>
  </r>
  <r>
    <x v="181"/>
    <x v="13"/>
    <n v="53861.599999999999"/>
  </r>
  <r>
    <x v="181"/>
    <x v="14"/>
    <n v="53770.6"/>
  </r>
  <r>
    <x v="181"/>
    <x v="15"/>
    <n v="53870.8"/>
  </r>
  <r>
    <x v="181"/>
    <x v="16"/>
    <n v="53755.7"/>
  </r>
  <r>
    <x v="181"/>
    <x v="17"/>
    <n v="53565.3"/>
  </r>
  <r>
    <x v="181"/>
    <x v="18"/>
    <n v="53764.2"/>
  </r>
  <r>
    <x v="181"/>
    <x v="19"/>
    <n v="54058.6"/>
  </r>
  <r>
    <x v="181"/>
    <x v="20"/>
    <n v="54422.400000000001"/>
  </r>
  <r>
    <x v="181"/>
    <x v="21"/>
    <n v="54713.7"/>
  </r>
  <r>
    <x v="181"/>
    <x v="22"/>
    <n v="54603"/>
  </r>
  <r>
    <x v="181"/>
    <x v="23"/>
    <n v="54558.3"/>
  </r>
  <r>
    <x v="182"/>
    <x v="0"/>
    <n v="54533.9"/>
  </r>
  <r>
    <x v="182"/>
    <x v="1"/>
    <n v="54721.599999999999"/>
  </r>
  <r>
    <x v="182"/>
    <x v="2"/>
    <n v="54910.5"/>
  </r>
  <r>
    <x v="182"/>
    <x v="3"/>
    <n v="54514.6"/>
  </r>
  <r>
    <x v="182"/>
    <x v="4"/>
    <n v="54700.9"/>
  </r>
  <r>
    <x v="182"/>
    <x v="5"/>
    <n v="54876.4"/>
  </r>
  <r>
    <x v="182"/>
    <x v="6"/>
    <n v="54872.1"/>
  </r>
  <r>
    <x v="182"/>
    <x v="7"/>
    <n v="55086.7"/>
  </r>
  <r>
    <x v="182"/>
    <x v="8"/>
    <n v="54862.400000000001"/>
  </r>
  <r>
    <x v="182"/>
    <x v="9"/>
    <n v="54996.9"/>
  </r>
  <r>
    <x v="182"/>
    <x v="10"/>
    <n v="54978.400000000001"/>
  </r>
  <r>
    <x v="182"/>
    <x v="11"/>
    <n v="54898.1"/>
  </r>
  <r>
    <x v="182"/>
    <x v="12"/>
    <n v="54932.9"/>
  </r>
  <r>
    <x v="182"/>
    <x v="13"/>
    <n v="54818.8"/>
  </r>
  <r>
    <x v="182"/>
    <x v="14"/>
    <n v="54922.7"/>
  </r>
  <r>
    <x v="182"/>
    <x v="15"/>
    <n v="54857.7"/>
  </r>
  <r>
    <x v="182"/>
    <x v="16"/>
    <n v="54945.9"/>
  </r>
  <r>
    <x v="182"/>
    <x v="17"/>
    <n v="54823.199999999997"/>
  </r>
  <r>
    <x v="182"/>
    <x v="18"/>
    <n v="54897.9"/>
  </r>
  <r>
    <x v="182"/>
    <x v="19"/>
    <n v="54926.8"/>
  </r>
  <r>
    <x v="182"/>
    <x v="20"/>
    <n v="54808.7"/>
  </r>
  <r>
    <x v="182"/>
    <x v="21"/>
    <n v="54714.9"/>
  </r>
  <r>
    <x v="182"/>
    <x v="22"/>
    <n v="54631.6"/>
  </r>
  <r>
    <x v="182"/>
    <x v="23"/>
    <n v="54423.6"/>
  </r>
  <r>
    <x v="183"/>
    <x v="0"/>
    <n v="54418.2"/>
  </r>
  <r>
    <x v="183"/>
    <x v="1"/>
    <n v="54396.9"/>
  </r>
  <r>
    <x v="183"/>
    <x v="2"/>
    <n v="54368.9"/>
  </r>
  <r>
    <x v="183"/>
    <x v="3"/>
    <n v="54408.2"/>
  </r>
  <r>
    <x v="183"/>
    <x v="4"/>
    <n v="54719.6"/>
  </r>
  <r>
    <x v="183"/>
    <x v="5"/>
    <n v="54708.1"/>
  </r>
  <r>
    <x v="183"/>
    <x v="6"/>
    <n v="54686.9"/>
  </r>
  <r>
    <x v="183"/>
    <x v="7"/>
    <n v="54837.1"/>
  </r>
  <r>
    <x v="183"/>
    <x v="8"/>
    <n v="54757.4"/>
  </r>
  <r>
    <x v="183"/>
    <x v="9"/>
    <n v="54248.1"/>
  </r>
  <r>
    <x v="183"/>
    <x v="10"/>
    <n v="54227.3"/>
  </r>
  <r>
    <x v="183"/>
    <x v="11"/>
    <n v="54366.6"/>
  </r>
  <r>
    <x v="183"/>
    <x v="12"/>
    <n v="54482"/>
  </r>
  <r>
    <x v="183"/>
    <x v="13"/>
    <n v="54385.8"/>
  </r>
  <r>
    <x v="183"/>
    <x v="14"/>
    <n v="53916.5"/>
  </r>
  <r>
    <x v="183"/>
    <x v="15"/>
    <n v="53570.8"/>
  </r>
  <r>
    <x v="183"/>
    <x v="16"/>
    <n v="53768.4"/>
  </r>
  <r>
    <x v="183"/>
    <x v="17"/>
    <n v="53729.5"/>
  </r>
  <r>
    <x v="183"/>
    <x v="18"/>
    <n v="53527.3"/>
  </r>
  <r>
    <x v="183"/>
    <x v="19"/>
    <n v="53785.9"/>
  </r>
  <r>
    <x v="183"/>
    <x v="20"/>
    <n v="53739.6"/>
  </r>
  <r>
    <x v="183"/>
    <x v="21"/>
    <n v="53464.6"/>
  </r>
  <r>
    <x v="183"/>
    <x v="22"/>
    <n v="54047.7"/>
  </r>
  <r>
    <x v="183"/>
    <x v="23"/>
    <n v="54660.800000000003"/>
  </r>
  <r>
    <x v="184"/>
    <x v="0"/>
    <n v="54356.6"/>
  </r>
  <r>
    <x v="184"/>
    <x v="1"/>
    <n v="54369"/>
  </r>
  <r>
    <x v="184"/>
    <x v="2"/>
    <n v="54412.3"/>
  </r>
  <r>
    <x v="184"/>
    <x v="3"/>
    <n v="54623.7"/>
  </r>
  <r>
    <x v="184"/>
    <x v="4"/>
    <n v="54731.9"/>
  </r>
  <r>
    <x v="184"/>
    <x v="5"/>
    <n v="54531.7"/>
  </r>
  <r>
    <x v="184"/>
    <x v="6"/>
    <n v="54529.3"/>
  </r>
  <r>
    <x v="184"/>
    <x v="7"/>
    <n v="54817.599999999999"/>
  </r>
  <r>
    <x v="184"/>
    <x v="8"/>
    <n v="54460.5"/>
  </r>
  <r>
    <x v="184"/>
    <x v="9"/>
    <n v="54546.1"/>
  </r>
  <r>
    <x v="184"/>
    <x v="10"/>
    <n v="54516.5"/>
  </r>
  <r>
    <x v="184"/>
    <x v="11"/>
    <n v="54596"/>
  </r>
  <r>
    <x v="184"/>
    <x v="12"/>
    <n v="54603.5"/>
  </r>
  <r>
    <x v="184"/>
    <x v="13"/>
    <n v="54454.8"/>
  </r>
  <r>
    <x v="184"/>
    <x v="14"/>
    <n v="54564.9"/>
  </r>
  <r>
    <x v="184"/>
    <x v="15"/>
    <n v="54537.5"/>
  </r>
  <r>
    <x v="184"/>
    <x v="16"/>
    <n v="54593.7"/>
  </r>
  <r>
    <x v="184"/>
    <x v="17"/>
    <n v="54382.2"/>
  </r>
  <r>
    <x v="184"/>
    <x v="18"/>
    <n v="54673.9"/>
  </r>
  <r>
    <x v="184"/>
    <x v="19"/>
    <n v="54701.5"/>
  </r>
  <r>
    <x v="184"/>
    <x v="20"/>
    <n v="54643.4"/>
  </r>
  <r>
    <x v="184"/>
    <x v="21"/>
    <n v="54303.7"/>
  </r>
  <r>
    <x v="184"/>
    <x v="22"/>
    <n v="54552.9"/>
  </r>
  <r>
    <x v="184"/>
    <x v="23"/>
    <n v="54679.6"/>
  </r>
  <r>
    <x v="185"/>
    <x v="0"/>
    <n v="54380.5"/>
  </r>
  <r>
    <x v="185"/>
    <x v="1"/>
    <n v="54306.7"/>
  </r>
  <r>
    <x v="185"/>
    <x v="2"/>
    <n v="54629.9"/>
  </r>
  <r>
    <x v="185"/>
    <x v="3"/>
    <n v="54794.8"/>
  </r>
  <r>
    <x v="185"/>
    <x v="4"/>
    <n v="54893"/>
  </r>
  <r>
    <x v="185"/>
    <x v="5"/>
    <n v="54725.4"/>
  </r>
  <r>
    <x v="185"/>
    <x v="6"/>
    <n v="54756.5"/>
  </r>
  <r>
    <x v="185"/>
    <x v="7"/>
    <n v="54689.2"/>
  </r>
  <r>
    <x v="185"/>
    <x v="8"/>
    <n v="54718.8"/>
  </r>
  <r>
    <x v="185"/>
    <x v="9"/>
    <n v="54821.1"/>
  </r>
  <r>
    <x v="185"/>
    <x v="10"/>
    <n v="54658.6"/>
  </r>
  <r>
    <x v="185"/>
    <x v="11"/>
    <n v="55081.7"/>
  </r>
  <r>
    <x v="185"/>
    <x v="12"/>
    <n v="54309.599999999999"/>
  </r>
  <r>
    <x v="185"/>
    <x v="13"/>
    <n v="54408.800000000003"/>
  </r>
  <r>
    <x v="185"/>
    <x v="14"/>
    <n v="54354.1"/>
  </r>
  <r>
    <x v="185"/>
    <x v="15"/>
    <n v="54006.6"/>
  </r>
  <r>
    <x v="185"/>
    <x v="16"/>
    <n v="54184.6"/>
  </r>
  <r>
    <x v="185"/>
    <x v="17"/>
    <n v="54337.4"/>
  </r>
  <r>
    <x v="185"/>
    <x v="18"/>
    <n v="54381.8"/>
  </r>
  <r>
    <x v="185"/>
    <x v="19"/>
    <n v="54274.5"/>
  </r>
  <r>
    <x v="185"/>
    <x v="20"/>
    <n v="54238.8"/>
  </r>
  <r>
    <x v="185"/>
    <x v="21"/>
    <n v="54041"/>
  </r>
  <r>
    <x v="185"/>
    <x v="22"/>
    <n v="54138.6"/>
  </r>
  <r>
    <x v="185"/>
    <x v="23"/>
    <n v="54168.1"/>
  </r>
  <r>
    <x v="186"/>
    <x v="0"/>
    <n v="53920.9"/>
  </r>
  <r>
    <x v="186"/>
    <x v="1"/>
    <n v="53850.3"/>
  </r>
  <r>
    <x v="186"/>
    <x v="2"/>
    <n v="54077"/>
  </r>
  <r>
    <x v="186"/>
    <x v="3"/>
    <n v="53948.6"/>
  </r>
  <r>
    <x v="186"/>
    <x v="4"/>
    <n v="54205.1"/>
  </r>
  <r>
    <x v="186"/>
    <x v="5"/>
    <n v="54103.1"/>
  </r>
  <r>
    <x v="186"/>
    <x v="6"/>
    <n v="54119.8"/>
  </r>
  <r>
    <x v="186"/>
    <x v="7"/>
    <n v="54320.4"/>
  </r>
  <r>
    <x v="186"/>
    <x v="8"/>
    <n v="54386.1"/>
  </r>
  <r>
    <x v="186"/>
    <x v="9"/>
    <n v="54368"/>
  </r>
  <r>
    <x v="186"/>
    <x v="10"/>
    <n v="54385.7"/>
  </r>
  <r>
    <x v="186"/>
    <x v="11"/>
    <n v="54328.3"/>
  </r>
  <r>
    <x v="186"/>
    <x v="12"/>
    <n v="54260.3"/>
  </r>
  <r>
    <x v="186"/>
    <x v="13"/>
    <n v="54788.7"/>
  </r>
  <r>
    <x v="186"/>
    <x v="14"/>
    <n v="54756.4"/>
  </r>
  <r>
    <x v="186"/>
    <x v="15"/>
    <n v="54799.3"/>
  </r>
  <r>
    <x v="186"/>
    <x v="16"/>
    <n v="54643"/>
  </r>
  <r>
    <x v="186"/>
    <x v="17"/>
    <n v="54627.9"/>
  </r>
  <r>
    <x v="186"/>
    <x v="18"/>
    <n v="54828.800000000003"/>
  </r>
  <r>
    <x v="186"/>
    <x v="19"/>
    <n v="54740.3"/>
  </r>
  <r>
    <x v="186"/>
    <x v="20"/>
    <n v="54540.7"/>
  </r>
  <r>
    <x v="186"/>
    <x v="21"/>
    <n v="53964.2"/>
  </r>
  <r>
    <x v="186"/>
    <x v="22"/>
    <n v="54024.2"/>
  </r>
  <r>
    <x v="186"/>
    <x v="23"/>
    <n v="54075.8"/>
  </r>
  <r>
    <x v="187"/>
    <x v="0"/>
    <n v="54392.3"/>
  </r>
  <r>
    <x v="187"/>
    <x v="1"/>
    <n v="54158.6"/>
  </r>
  <r>
    <x v="187"/>
    <x v="2"/>
    <n v="54207.7"/>
  </r>
  <r>
    <x v="187"/>
    <x v="3"/>
    <n v="54180.7"/>
  </r>
  <r>
    <x v="187"/>
    <x v="4"/>
    <n v="54373.4"/>
  </r>
  <r>
    <x v="187"/>
    <x v="5"/>
    <n v="54378.5"/>
  </r>
  <r>
    <x v="187"/>
    <x v="6"/>
    <n v="54205.599999999999"/>
  </r>
  <r>
    <x v="187"/>
    <x v="7"/>
    <n v="54018.5"/>
  </r>
  <r>
    <x v="187"/>
    <x v="8"/>
    <n v="54116.800000000003"/>
  </r>
  <r>
    <x v="187"/>
    <x v="9"/>
    <n v="54019.7"/>
  </r>
  <r>
    <x v="187"/>
    <x v="10"/>
    <n v="54190.6"/>
  </r>
  <r>
    <x v="187"/>
    <x v="11"/>
    <n v="54148"/>
  </r>
  <r>
    <x v="187"/>
    <x v="12"/>
    <n v="54078.2"/>
  </r>
  <r>
    <x v="187"/>
    <x v="13"/>
    <n v="54181.1"/>
  </r>
  <r>
    <x v="187"/>
    <x v="14"/>
    <n v="54287.4"/>
  </r>
  <r>
    <x v="187"/>
    <x v="15"/>
    <n v="54214.3"/>
  </r>
  <r>
    <x v="187"/>
    <x v="16"/>
    <n v="54009.9"/>
  </r>
  <r>
    <x v="187"/>
    <x v="17"/>
    <n v="54185.2"/>
  </r>
  <r>
    <x v="187"/>
    <x v="18"/>
    <n v="54193.4"/>
  </r>
  <r>
    <x v="187"/>
    <x v="19"/>
    <n v="54114.9"/>
  </r>
  <r>
    <x v="187"/>
    <x v="20"/>
    <n v="54211.6"/>
  </r>
  <r>
    <x v="187"/>
    <x v="21"/>
    <n v="53947.6"/>
  </r>
  <r>
    <x v="187"/>
    <x v="22"/>
    <n v="53976"/>
  </r>
  <r>
    <x v="187"/>
    <x v="23"/>
    <n v="54055.1"/>
  </r>
  <r>
    <x v="188"/>
    <x v="0"/>
    <n v="54095.6"/>
  </r>
  <r>
    <x v="188"/>
    <x v="1"/>
    <n v="54251"/>
  </r>
  <r>
    <x v="188"/>
    <x v="2"/>
    <n v="54267.6"/>
  </r>
  <r>
    <x v="188"/>
    <x v="3"/>
    <n v="54237"/>
  </r>
  <r>
    <x v="188"/>
    <x v="4"/>
    <n v="54295"/>
  </r>
  <r>
    <x v="188"/>
    <x v="5"/>
    <n v="54283"/>
  </r>
  <r>
    <x v="188"/>
    <x v="6"/>
    <n v="54267.7"/>
  </r>
  <r>
    <x v="188"/>
    <x v="7"/>
    <n v="54303.4"/>
  </r>
  <r>
    <x v="188"/>
    <x v="8"/>
    <n v="54264.3"/>
  </r>
  <r>
    <x v="188"/>
    <x v="9"/>
    <n v="54271.199999999997"/>
  </r>
  <r>
    <x v="188"/>
    <x v="10"/>
    <n v="54223.8"/>
  </r>
  <r>
    <x v="188"/>
    <x v="11"/>
    <n v="54267.1"/>
  </r>
  <r>
    <x v="188"/>
    <x v="12"/>
    <n v="54220.6"/>
  </r>
  <r>
    <x v="188"/>
    <x v="13"/>
    <n v="54161.4"/>
  </r>
  <r>
    <x v="188"/>
    <x v="14"/>
    <n v="54264.6"/>
  </r>
  <r>
    <x v="188"/>
    <x v="15"/>
    <n v="54281.599999999999"/>
  </r>
  <r>
    <x v="188"/>
    <x v="16"/>
    <n v="54207.7"/>
  </r>
  <r>
    <x v="188"/>
    <x v="17"/>
    <n v="54171.4"/>
  </r>
  <r>
    <x v="188"/>
    <x v="18"/>
    <n v="54300.5"/>
  </r>
  <r>
    <x v="188"/>
    <x v="19"/>
    <n v="54144.2"/>
  </r>
  <r>
    <x v="188"/>
    <x v="20"/>
    <n v="54088.3"/>
  </r>
  <r>
    <x v="188"/>
    <x v="21"/>
    <n v="54050.8"/>
  </r>
  <r>
    <x v="188"/>
    <x v="22"/>
    <n v="54254"/>
  </r>
  <r>
    <x v="188"/>
    <x v="23"/>
    <n v="54306.6"/>
  </r>
  <r>
    <x v="189"/>
    <x v="0"/>
    <n v="54382.400000000001"/>
  </r>
  <r>
    <x v="189"/>
    <x v="1"/>
    <n v="53948.7"/>
  </r>
  <r>
    <x v="189"/>
    <x v="2"/>
    <n v="53957.4"/>
  </r>
  <r>
    <x v="189"/>
    <x v="3"/>
    <n v="53897.7"/>
  </r>
  <r>
    <x v="189"/>
    <x v="4"/>
    <n v="53932"/>
  </r>
  <r>
    <x v="189"/>
    <x v="5"/>
    <n v="53896.1"/>
  </r>
  <r>
    <x v="189"/>
    <x v="6"/>
    <n v="53974.400000000001"/>
  </r>
  <r>
    <x v="189"/>
    <x v="7"/>
    <n v="54092.6"/>
  </r>
  <r>
    <x v="189"/>
    <x v="8"/>
    <n v="54080.6"/>
  </r>
  <r>
    <x v="189"/>
    <x v="9"/>
    <n v="54305"/>
  </r>
  <r>
    <x v="189"/>
    <x v="10"/>
    <n v="54399.9"/>
  </r>
  <r>
    <x v="189"/>
    <x v="11"/>
    <n v="54282.1"/>
  </r>
  <r>
    <x v="189"/>
    <x v="12"/>
    <n v="54614.1"/>
  </r>
  <r>
    <x v="189"/>
    <x v="13"/>
    <n v="54728.1"/>
  </r>
  <r>
    <x v="189"/>
    <x v="14"/>
    <n v="54857.2"/>
  </r>
  <r>
    <x v="189"/>
    <x v="15"/>
    <n v="54836.5"/>
  </r>
  <r>
    <x v="189"/>
    <x v="16"/>
    <n v="54860.1"/>
  </r>
  <r>
    <x v="189"/>
    <x v="17"/>
    <n v="54854.2"/>
  </r>
  <r>
    <x v="189"/>
    <x v="18"/>
    <n v="54975.5"/>
  </r>
  <r>
    <x v="189"/>
    <x v="19"/>
    <n v="54739"/>
  </r>
  <r>
    <x v="189"/>
    <x v="20"/>
    <n v="54642.3"/>
  </r>
  <r>
    <x v="189"/>
    <x v="21"/>
    <n v="54641.8"/>
  </r>
  <r>
    <x v="189"/>
    <x v="22"/>
    <n v="54687.8"/>
  </r>
  <r>
    <x v="189"/>
    <x v="23"/>
    <n v="54719.7"/>
  </r>
  <r>
    <x v="190"/>
    <x v="0"/>
    <n v="54560.4"/>
  </r>
  <r>
    <x v="190"/>
    <x v="1"/>
    <n v="54226.1"/>
  </r>
  <r>
    <x v="190"/>
    <x v="2"/>
    <n v="54781.9"/>
  </r>
  <r>
    <x v="190"/>
    <x v="3"/>
    <n v="54639.8"/>
  </r>
  <r>
    <x v="190"/>
    <x v="4"/>
    <n v="54670.3"/>
  </r>
  <r>
    <x v="190"/>
    <x v="5"/>
    <n v="54584.800000000003"/>
  </r>
  <r>
    <x v="190"/>
    <x v="6"/>
    <n v="53683.9"/>
  </r>
  <r>
    <x v="190"/>
    <x v="7"/>
    <n v="54802.5"/>
  </r>
  <r>
    <x v="190"/>
    <x v="8"/>
    <n v="54847.3"/>
  </r>
  <r>
    <x v="190"/>
    <x v="9"/>
    <n v="54717.4"/>
  </r>
  <r>
    <x v="190"/>
    <x v="10"/>
    <n v="54425.8"/>
  </r>
  <r>
    <x v="190"/>
    <x v="11"/>
    <n v="54516.4"/>
  </r>
  <r>
    <x v="190"/>
    <x v="12"/>
    <n v="54788.1"/>
  </r>
  <r>
    <x v="190"/>
    <x v="13"/>
    <n v="54887.6"/>
  </r>
  <r>
    <x v="190"/>
    <x v="14"/>
    <n v="54769.8"/>
  </r>
  <r>
    <x v="190"/>
    <x v="15"/>
    <n v="54666.7"/>
  </r>
  <r>
    <x v="190"/>
    <x v="16"/>
    <n v="54766.2"/>
  </r>
  <r>
    <x v="190"/>
    <x v="17"/>
    <n v="54605.599999999999"/>
  </r>
  <r>
    <x v="190"/>
    <x v="18"/>
    <n v="54526.3"/>
  </r>
  <r>
    <x v="190"/>
    <x v="19"/>
    <n v="54281.4"/>
  </r>
  <r>
    <x v="190"/>
    <x v="20"/>
    <n v="54377.7"/>
  </r>
  <r>
    <x v="190"/>
    <x v="21"/>
    <n v="54321.3"/>
  </r>
  <r>
    <x v="190"/>
    <x v="22"/>
    <n v="54448.7"/>
  </r>
  <r>
    <x v="190"/>
    <x v="23"/>
    <n v="54096.800000000003"/>
  </r>
  <r>
    <x v="191"/>
    <x v="0"/>
    <n v="54186.400000000001"/>
  </r>
  <r>
    <x v="191"/>
    <x v="1"/>
    <n v="54112.2"/>
  </r>
  <r>
    <x v="191"/>
    <x v="2"/>
    <n v="54281.4"/>
  </r>
  <r>
    <x v="191"/>
    <x v="3"/>
    <n v="54495.6"/>
  </r>
  <r>
    <x v="191"/>
    <x v="4"/>
    <n v="54525"/>
  </r>
  <r>
    <x v="191"/>
    <x v="5"/>
    <n v="54236.800000000003"/>
  </r>
  <r>
    <x v="191"/>
    <x v="6"/>
    <n v="54086.7"/>
  </r>
  <r>
    <x v="191"/>
    <x v="7"/>
    <n v="54228.3"/>
  </r>
  <r>
    <x v="191"/>
    <x v="8"/>
    <n v="54363.5"/>
  </r>
  <r>
    <x v="191"/>
    <x v="9"/>
    <n v="54908.4"/>
  </r>
  <r>
    <x v="191"/>
    <x v="10"/>
    <n v="54951.8"/>
  </r>
  <r>
    <x v="191"/>
    <x v="11"/>
    <n v="54356.2"/>
  </r>
  <r>
    <x v="191"/>
    <x v="12"/>
    <n v="54331.9"/>
  </r>
  <r>
    <x v="191"/>
    <x v="13"/>
    <n v="54556.2"/>
  </r>
  <r>
    <x v="191"/>
    <x v="14"/>
    <n v="54862.2"/>
  </r>
  <r>
    <x v="191"/>
    <x v="15"/>
    <n v="54011.199999999997"/>
  </r>
  <r>
    <x v="191"/>
    <x v="16"/>
    <n v="54426.5"/>
  </r>
  <r>
    <x v="191"/>
    <x v="17"/>
    <n v="54283.1"/>
  </r>
  <r>
    <x v="191"/>
    <x v="18"/>
    <n v="54490.2"/>
  </r>
  <r>
    <x v="191"/>
    <x v="19"/>
    <n v="54379.199999999997"/>
  </r>
  <r>
    <x v="191"/>
    <x v="20"/>
    <n v="54360.7"/>
  </r>
  <r>
    <x v="191"/>
    <x v="21"/>
    <n v="54487.7"/>
  </r>
  <r>
    <x v="191"/>
    <x v="22"/>
    <n v="54234"/>
  </r>
  <r>
    <x v="191"/>
    <x v="23"/>
    <n v="54350"/>
  </r>
  <r>
    <x v="192"/>
    <x v="0"/>
    <n v="53927.4"/>
  </r>
  <r>
    <x v="192"/>
    <x v="1"/>
    <n v="54046.2"/>
  </r>
  <r>
    <x v="192"/>
    <x v="2"/>
    <n v="54080.9"/>
  </r>
  <r>
    <x v="192"/>
    <x v="3"/>
    <n v="54115.199999999997"/>
  </r>
  <r>
    <x v="192"/>
    <x v="4"/>
    <n v="54244.1"/>
  </r>
  <r>
    <x v="192"/>
    <x v="5"/>
    <n v="53782.5"/>
  </r>
  <r>
    <x v="192"/>
    <x v="6"/>
    <n v="53382.1"/>
  </r>
  <r>
    <x v="192"/>
    <x v="7"/>
    <n v="54297.599999999999"/>
  </r>
  <r>
    <x v="192"/>
    <x v="8"/>
    <n v="54068.7"/>
  </r>
  <r>
    <x v="192"/>
    <x v="9"/>
    <n v="54096.6"/>
  </r>
  <r>
    <x v="192"/>
    <x v="10"/>
    <n v="54824.1"/>
  </r>
  <r>
    <x v="192"/>
    <x v="11"/>
    <n v="54915.5"/>
  </r>
  <r>
    <x v="192"/>
    <x v="12"/>
    <n v="54932.1"/>
  </r>
  <r>
    <x v="192"/>
    <x v="13"/>
    <n v="53703.1"/>
  </r>
  <r>
    <x v="192"/>
    <x v="14"/>
    <n v="53792.800000000003"/>
  </r>
  <r>
    <x v="192"/>
    <x v="15"/>
    <n v="54490.6"/>
  </r>
  <r>
    <x v="192"/>
    <x v="16"/>
    <n v="53915.3"/>
  </r>
  <r>
    <x v="192"/>
    <x v="17"/>
    <n v="53844.4"/>
  </r>
  <r>
    <x v="192"/>
    <x v="18"/>
    <n v="53971.8"/>
  </r>
  <r>
    <x v="192"/>
    <x v="19"/>
    <n v="54541.8"/>
  </r>
  <r>
    <x v="192"/>
    <x v="20"/>
    <n v="54674.5"/>
  </r>
  <r>
    <x v="192"/>
    <x v="21"/>
    <n v="54405.599999999999"/>
  </r>
  <r>
    <x v="192"/>
    <x v="22"/>
    <n v="54823.3"/>
  </r>
  <r>
    <x v="192"/>
    <x v="23"/>
    <n v="55150.3"/>
  </r>
  <r>
    <x v="193"/>
    <x v="0"/>
    <n v="52955.7"/>
  </r>
  <r>
    <x v="193"/>
    <x v="1"/>
    <n v="54470.5"/>
  </r>
  <r>
    <x v="193"/>
    <x v="2"/>
    <n v="53947.199999999997"/>
  </r>
  <r>
    <x v="193"/>
    <x v="3"/>
    <n v="54365.599999999999"/>
  </r>
  <r>
    <x v="193"/>
    <x v="4"/>
    <n v="54617.599999999999"/>
  </r>
  <r>
    <x v="193"/>
    <x v="5"/>
    <n v="54470.400000000001"/>
  </r>
  <r>
    <x v="193"/>
    <x v="6"/>
    <n v="54559.1"/>
  </r>
  <r>
    <x v="193"/>
    <x v="7"/>
    <n v="54542.8"/>
  </r>
  <r>
    <x v="193"/>
    <x v="8"/>
    <n v="54747.7"/>
  </r>
  <r>
    <x v="193"/>
    <x v="9"/>
    <n v="54910"/>
  </r>
  <r>
    <x v="193"/>
    <x v="10"/>
    <n v="53891.199999999997"/>
  </r>
  <r>
    <x v="193"/>
    <x v="11"/>
    <n v="53835.4"/>
  </r>
  <r>
    <x v="193"/>
    <x v="12"/>
    <n v="53863.199999999997"/>
  </r>
  <r>
    <x v="193"/>
    <x v="13"/>
    <n v="53654.6"/>
  </r>
  <r>
    <x v="193"/>
    <x v="14"/>
    <n v="53713.9"/>
  </r>
  <r>
    <x v="193"/>
    <x v="15"/>
    <n v="53485.5"/>
  </r>
  <r>
    <x v="193"/>
    <x v="16"/>
    <n v="54286"/>
  </r>
  <r>
    <x v="193"/>
    <x v="17"/>
    <n v="54380.7"/>
  </r>
  <r>
    <x v="193"/>
    <x v="18"/>
    <n v="53384.6"/>
  </r>
  <r>
    <x v="193"/>
    <x v="19"/>
    <n v="54653.599999999999"/>
  </r>
  <r>
    <x v="193"/>
    <x v="20"/>
    <n v="54437.9"/>
  </r>
  <r>
    <x v="193"/>
    <x v="21"/>
    <n v="54521.4"/>
  </r>
  <r>
    <x v="193"/>
    <x v="22"/>
    <n v="54769.5"/>
  </r>
  <r>
    <x v="193"/>
    <x v="23"/>
    <n v="54321.5"/>
  </r>
  <r>
    <x v="194"/>
    <x v="0"/>
    <n v="53976.800000000003"/>
  </r>
  <r>
    <x v="194"/>
    <x v="1"/>
    <n v="54163.9"/>
  </r>
  <r>
    <x v="194"/>
    <x v="2"/>
    <n v="54240.9"/>
  </r>
  <r>
    <x v="194"/>
    <x v="3"/>
    <n v="54117.4"/>
  </r>
  <r>
    <x v="194"/>
    <x v="4"/>
    <n v="54294"/>
  </r>
  <r>
    <x v="194"/>
    <x v="5"/>
    <n v="54172.800000000003"/>
  </r>
  <r>
    <x v="194"/>
    <x v="6"/>
    <n v="54353.1"/>
  </r>
  <r>
    <x v="194"/>
    <x v="7"/>
    <n v="54238.6"/>
  </r>
  <r>
    <x v="194"/>
    <x v="8"/>
    <n v="54307"/>
  </r>
  <r>
    <x v="194"/>
    <x v="9"/>
    <n v="54113.7"/>
  </r>
  <r>
    <x v="194"/>
    <x v="10"/>
    <n v="54027.9"/>
  </r>
  <r>
    <x v="194"/>
    <x v="11"/>
    <n v="54117.8"/>
  </r>
  <r>
    <x v="194"/>
    <x v="12"/>
    <n v="54299"/>
  </r>
  <r>
    <x v="194"/>
    <x v="13"/>
    <n v="54526.3"/>
  </r>
  <r>
    <x v="194"/>
    <x v="14"/>
    <n v="54499.199999999997"/>
  </r>
  <r>
    <x v="194"/>
    <x v="15"/>
    <n v="54446.9"/>
  </r>
  <r>
    <x v="194"/>
    <x v="16"/>
    <n v="54365.7"/>
  </r>
  <r>
    <x v="194"/>
    <x v="17"/>
    <n v="54410.2"/>
  </r>
  <r>
    <x v="194"/>
    <x v="18"/>
    <n v="54578.3"/>
  </r>
  <r>
    <x v="194"/>
    <x v="19"/>
    <n v="54631.5"/>
  </r>
  <r>
    <x v="194"/>
    <x v="20"/>
    <n v="54594.3"/>
  </r>
  <r>
    <x v="194"/>
    <x v="21"/>
    <n v="54137.9"/>
  </r>
  <r>
    <x v="194"/>
    <x v="22"/>
    <n v="54301.8"/>
  </r>
  <r>
    <x v="194"/>
    <x v="23"/>
    <n v="54648.6"/>
  </r>
  <r>
    <x v="195"/>
    <x v="0"/>
    <n v="53251.1"/>
  </r>
  <r>
    <x v="195"/>
    <x v="1"/>
    <n v="51743.199999999997"/>
  </r>
  <r>
    <x v="195"/>
    <x v="2"/>
    <n v="53039.8"/>
  </r>
  <r>
    <x v="195"/>
    <x v="3"/>
    <n v="54558.1"/>
  </r>
  <r>
    <x v="195"/>
    <x v="4"/>
    <n v="54704.2"/>
  </r>
  <r>
    <x v="195"/>
    <x v="5"/>
    <n v="54662.7"/>
  </r>
  <r>
    <x v="195"/>
    <x v="6"/>
    <n v="54759.6"/>
  </r>
  <r>
    <x v="195"/>
    <x v="7"/>
    <n v="54547.3"/>
  </r>
  <r>
    <x v="195"/>
    <x v="8"/>
    <n v="54349.4"/>
  </r>
  <r>
    <x v="195"/>
    <x v="9"/>
    <n v="54702.400000000001"/>
  </r>
  <r>
    <x v="195"/>
    <x v="10"/>
    <n v="53714.5"/>
  </r>
  <r>
    <x v="195"/>
    <x v="11"/>
    <n v="53438.1"/>
  </r>
  <r>
    <x v="195"/>
    <x v="12"/>
    <n v="50237.7"/>
  </r>
  <r>
    <x v="195"/>
    <x v="13"/>
    <n v="52479.9"/>
  </r>
  <r>
    <x v="195"/>
    <x v="14"/>
    <n v="53012.1"/>
  </r>
  <r>
    <x v="195"/>
    <x v="15"/>
    <n v="52658.1"/>
  </r>
  <r>
    <x v="195"/>
    <x v="16"/>
    <n v="53351.8"/>
  </r>
  <r>
    <x v="195"/>
    <x v="17"/>
    <n v="54392.3"/>
  </r>
  <r>
    <x v="195"/>
    <x v="18"/>
    <n v="54420"/>
  </r>
  <r>
    <x v="195"/>
    <x v="19"/>
    <n v="52652.5"/>
  </r>
  <r>
    <x v="195"/>
    <x v="20"/>
    <n v="52922.8"/>
  </r>
  <r>
    <x v="195"/>
    <x v="21"/>
    <n v="54664.1"/>
  </r>
  <r>
    <x v="195"/>
    <x v="22"/>
    <n v="54771.5"/>
  </r>
  <r>
    <x v="195"/>
    <x v="23"/>
    <n v="54853.599999999999"/>
  </r>
  <r>
    <x v="196"/>
    <x v="0"/>
    <n v="50734.1"/>
  </r>
  <r>
    <x v="196"/>
    <x v="1"/>
    <n v="48396.7"/>
  </r>
  <r>
    <x v="196"/>
    <x v="2"/>
    <n v="53456.7"/>
  </r>
  <r>
    <x v="196"/>
    <x v="3"/>
    <n v="54261.3"/>
  </r>
  <r>
    <x v="196"/>
    <x v="4"/>
    <n v="54147.199999999997"/>
  </r>
  <r>
    <x v="196"/>
    <x v="5"/>
    <n v="53940.5"/>
  </r>
  <r>
    <x v="196"/>
    <x v="6"/>
    <n v="54036"/>
  </r>
  <r>
    <x v="196"/>
    <x v="7"/>
    <n v="54085.8"/>
  </r>
  <r>
    <x v="196"/>
    <x v="8"/>
    <n v="54382.5"/>
  </r>
  <r>
    <x v="196"/>
    <x v="9"/>
    <n v="54240.800000000003"/>
  </r>
  <r>
    <x v="196"/>
    <x v="10"/>
    <n v="54292.5"/>
  </r>
  <r>
    <x v="196"/>
    <x v="11"/>
    <n v="54202.7"/>
  </r>
  <r>
    <x v="196"/>
    <x v="12"/>
    <n v="54168.800000000003"/>
  </r>
  <r>
    <x v="196"/>
    <x v="13"/>
    <n v="54245.1"/>
  </r>
  <r>
    <x v="196"/>
    <x v="14"/>
    <n v="54230.3"/>
  </r>
  <r>
    <x v="196"/>
    <x v="15"/>
    <n v="54311.199999999997"/>
  </r>
  <r>
    <x v="196"/>
    <x v="16"/>
    <n v="54159.6"/>
  </r>
  <r>
    <x v="196"/>
    <x v="17"/>
    <n v="54325.9"/>
  </r>
  <r>
    <x v="196"/>
    <x v="18"/>
    <n v="60569.9"/>
  </r>
  <r>
    <x v="196"/>
    <x v="19"/>
    <n v="54497.4"/>
  </r>
  <r>
    <x v="196"/>
    <x v="20"/>
    <n v="53511.9"/>
  </r>
  <r>
    <x v="196"/>
    <x v="21"/>
    <n v="53650.6"/>
  </r>
  <r>
    <x v="196"/>
    <x v="22"/>
    <n v="54339.5"/>
  </r>
  <r>
    <x v="196"/>
    <x v="23"/>
    <n v="54216.3"/>
  </r>
  <r>
    <x v="197"/>
    <x v="0"/>
    <n v="54192.3"/>
  </r>
  <r>
    <x v="197"/>
    <x v="1"/>
    <n v="53969.7"/>
  </r>
  <r>
    <x v="197"/>
    <x v="2"/>
    <n v="54013.3"/>
  </r>
  <r>
    <x v="197"/>
    <x v="3"/>
    <n v="54080.4"/>
  </r>
  <r>
    <x v="197"/>
    <x v="4"/>
    <n v="54146.9"/>
  </r>
  <r>
    <x v="197"/>
    <x v="5"/>
    <n v="54007.8"/>
  </r>
  <r>
    <x v="197"/>
    <x v="6"/>
    <n v="54102"/>
  </r>
  <r>
    <x v="197"/>
    <x v="7"/>
    <n v="54181.7"/>
  </r>
  <r>
    <x v="197"/>
    <x v="8"/>
    <n v="54176.800000000003"/>
  </r>
  <r>
    <x v="197"/>
    <x v="9"/>
    <n v="54475.8"/>
  </r>
  <r>
    <x v="197"/>
    <x v="10"/>
    <n v="54369"/>
  </r>
  <r>
    <x v="197"/>
    <x v="11"/>
    <n v="54547.4"/>
  </r>
  <r>
    <x v="197"/>
    <x v="12"/>
    <n v="54334"/>
  </r>
  <r>
    <x v="197"/>
    <x v="13"/>
    <n v="54357.5"/>
  </r>
  <r>
    <x v="197"/>
    <x v="14"/>
    <n v="54458"/>
  </r>
  <r>
    <x v="197"/>
    <x v="15"/>
    <n v="54413.5"/>
  </r>
  <r>
    <x v="197"/>
    <x v="16"/>
    <n v="54347.199999999997"/>
  </r>
  <r>
    <x v="197"/>
    <x v="17"/>
    <n v="54525.599999999999"/>
  </r>
  <r>
    <x v="197"/>
    <x v="18"/>
    <n v="54420.1"/>
  </r>
  <r>
    <x v="197"/>
    <x v="19"/>
    <n v="54485"/>
  </r>
  <r>
    <x v="197"/>
    <x v="20"/>
    <n v="54713.8"/>
  </r>
  <r>
    <x v="197"/>
    <x v="21"/>
    <n v="52980.7"/>
  </r>
  <r>
    <x v="197"/>
    <x v="22"/>
    <n v="53331.8"/>
  </r>
  <r>
    <x v="197"/>
    <x v="23"/>
    <n v="54705.8"/>
  </r>
  <r>
    <x v="198"/>
    <x v="0"/>
    <n v="53070.1"/>
  </r>
  <r>
    <x v="198"/>
    <x v="1"/>
    <n v="53806.9"/>
  </r>
  <r>
    <x v="198"/>
    <x v="2"/>
    <n v="53851.4"/>
  </r>
  <r>
    <x v="198"/>
    <x v="3"/>
    <n v="54943.3"/>
  </r>
  <r>
    <x v="198"/>
    <x v="4"/>
    <n v="54674.3"/>
  </r>
  <r>
    <x v="198"/>
    <x v="5"/>
    <n v="54378.2"/>
  </r>
  <r>
    <x v="198"/>
    <x v="6"/>
    <n v="54341.9"/>
  </r>
  <r>
    <x v="198"/>
    <x v="7"/>
    <n v="54498.9"/>
  </r>
  <r>
    <x v="198"/>
    <x v="8"/>
    <n v="54557.5"/>
  </r>
  <r>
    <x v="198"/>
    <x v="9"/>
    <n v="54431.9"/>
  </r>
  <r>
    <x v="198"/>
    <x v="10"/>
    <n v="54504.800000000003"/>
  </r>
  <r>
    <x v="198"/>
    <x v="11"/>
    <n v="53957.5"/>
  </r>
  <r>
    <x v="198"/>
    <x v="12"/>
    <n v="54417.7"/>
  </r>
  <r>
    <x v="198"/>
    <x v="13"/>
    <n v="54238.6"/>
  </r>
  <r>
    <x v="198"/>
    <x v="14"/>
    <n v="54136.6"/>
  </r>
  <r>
    <x v="198"/>
    <x v="15"/>
    <n v="54356.7"/>
  </r>
  <r>
    <x v="198"/>
    <x v="16"/>
    <n v="54244.5"/>
  </r>
  <r>
    <x v="198"/>
    <x v="17"/>
    <n v="55534.6"/>
  </r>
  <r>
    <x v="198"/>
    <x v="18"/>
    <n v="53406.7"/>
  </r>
  <r>
    <x v="198"/>
    <x v="19"/>
    <n v="51783.199999999997"/>
  </r>
  <r>
    <x v="198"/>
    <x v="20"/>
    <n v="54532.1"/>
  </r>
  <r>
    <x v="198"/>
    <x v="21"/>
    <n v="51568"/>
  </r>
  <r>
    <x v="198"/>
    <x v="22"/>
    <n v="52896.3"/>
  </r>
  <r>
    <x v="198"/>
    <x v="23"/>
    <n v="54841.2"/>
  </r>
  <r>
    <x v="199"/>
    <x v="0"/>
    <n v="55067.8"/>
  </r>
  <r>
    <x v="199"/>
    <x v="1"/>
    <n v="55261.9"/>
  </r>
  <r>
    <x v="199"/>
    <x v="2"/>
    <n v="54541.599999999999"/>
  </r>
  <r>
    <x v="199"/>
    <x v="3"/>
    <n v="54437"/>
  </r>
  <r>
    <x v="199"/>
    <x v="4"/>
    <n v="54584.9"/>
  </r>
  <r>
    <x v="199"/>
    <x v="5"/>
    <n v="54570.3"/>
  </r>
  <r>
    <x v="199"/>
    <x v="6"/>
    <n v="54353.1"/>
  </r>
  <r>
    <x v="199"/>
    <x v="7"/>
    <n v="54851.3"/>
  </r>
  <r>
    <x v="199"/>
    <x v="8"/>
    <n v="54197.8"/>
  </r>
  <r>
    <x v="199"/>
    <x v="9"/>
    <n v="53943.8"/>
  </r>
  <r>
    <x v="199"/>
    <x v="10"/>
    <n v="53871"/>
  </r>
  <r>
    <x v="199"/>
    <x v="11"/>
    <n v="53835.3"/>
  </r>
  <r>
    <x v="199"/>
    <x v="12"/>
    <n v="53563.8"/>
  </r>
  <r>
    <x v="199"/>
    <x v="13"/>
    <n v="53605.599999999999"/>
  </r>
  <r>
    <x v="199"/>
    <x v="14"/>
    <n v="53570.9"/>
  </r>
  <r>
    <x v="199"/>
    <x v="15"/>
    <n v="53636"/>
  </r>
  <r>
    <x v="199"/>
    <x v="16"/>
    <n v="53282.6"/>
  </r>
  <r>
    <x v="199"/>
    <x v="17"/>
    <n v="53152.2"/>
  </r>
  <r>
    <x v="199"/>
    <x v="18"/>
    <n v="53732.6"/>
  </r>
  <r>
    <x v="199"/>
    <x v="19"/>
    <n v="54436.2"/>
  </r>
  <r>
    <x v="199"/>
    <x v="20"/>
    <n v="54441.5"/>
  </r>
  <r>
    <x v="199"/>
    <x v="21"/>
    <n v="54516.800000000003"/>
  </r>
  <r>
    <x v="199"/>
    <x v="22"/>
    <n v="54487.5"/>
  </r>
  <r>
    <x v="199"/>
    <x v="23"/>
    <n v="54246.7"/>
  </r>
  <r>
    <x v="200"/>
    <x v="0"/>
    <n v="54696.7"/>
  </r>
  <r>
    <x v="200"/>
    <x v="1"/>
    <n v="54657.1"/>
  </r>
  <r>
    <x v="200"/>
    <x v="2"/>
    <n v="54566.5"/>
  </r>
  <r>
    <x v="200"/>
    <x v="3"/>
    <n v="54220"/>
  </r>
  <r>
    <x v="200"/>
    <x v="4"/>
    <n v="55035.9"/>
  </r>
  <r>
    <x v="200"/>
    <x v="5"/>
    <n v="54710"/>
  </r>
  <r>
    <x v="200"/>
    <x v="6"/>
    <n v="54425.3"/>
  </r>
  <r>
    <x v="200"/>
    <x v="7"/>
    <n v="54741.599999999999"/>
  </r>
  <r>
    <x v="200"/>
    <x v="8"/>
    <n v="54697.2"/>
  </r>
  <r>
    <x v="200"/>
    <x v="9"/>
    <n v="54752.800000000003"/>
  </r>
  <r>
    <x v="200"/>
    <x v="10"/>
    <n v="54674.8"/>
  </r>
  <r>
    <x v="200"/>
    <x v="11"/>
    <n v="54582.8"/>
  </r>
  <r>
    <x v="200"/>
    <x v="12"/>
    <n v="54490.3"/>
  </r>
  <r>
    <x v="200"/>
    <x v="13"/>
    <n v="54608.800000000003"/>
  </r>
  <r>
    <x v="200"/>
    <x v="14"/>
    <n v="54019.1"/>
  </r>
  <r>
    <x v="200"/>
    <x v="15"/>
    <n v="54577.9"/>
  </r>
  <r>
    <x v="200"/>
    <x v="16"/>
    <n v="54821.9"/>
  </r>
  <r>
    <x v="200"/>
    <x v="17"/>
    <n v="53747.6"/>
  </r>
  <r>
    <x v="200"/>
    <x v="18"/>
    <n v="54140.6"/>
  </r>
  <r>
    <x v="200"/>
    <x v="19"/>
    <n v="54326.8"/>
  </r>
  <r>
    <x v="200"/>
    <x v="20"/>
    <n v="53600"/>
  </r>
  <r>
    <x v="200"/>
    <x v="21"/>
    <n v="53882.8"/>
  </r>
  <r>
    <x v="200"/>
    <x v="22"/>
    <n v="53578.5"/>
  </r>
  <r>
    <x v="200"/>
    <x v="23"/>
    <n v="53132.5"/>
  </r>
  <r>
    <x v="201"/>
    <x v="0"/>
    <n v="45483.8"/>
  </r>
  <r>
    <x v="201"/>
    <x v="1"/>
    <n v="45153.4"/>
  </r>
  <r>
    <x v="201"/>
    <x v="2"/>
    <n v="44777.3"/>
  </r>
  <r>
    <x v="201"/>
    <x v="3"/>
    <n v="44003.1"/>
  </r>
  <r>
    <x v="201"/>
    <x v="4"/>
    <n v="43781.599999999999"/>
  </r>
  <r>
    <x v="201"/>
    <x v="5"/>
    <n v="43892.800000000003"/>
  </r>
  <r>
    <x v="201"/>
    <x v="6"/>
    <n v="44717.5"/>
  </r>
  <r>
    <x v="201"/>
    <x v="7"/>
    <n v="43843.199999999997"/>
  </r>
  <r>
    <x v="201"/>
    <x v="8"/>
    <n v="43744.1"/>
  </r>
  <r>
    <x v="201"/>
    <x v="9"/>
    <n v="43791.199999999997"/>
  </r>
  <r>
    <x v="201"/>
    <x v="10"/>
    <n v="45190"/>
  </r>
  <r>
    <x v="201"/>
    <x v="11"/>
    <n v="44115.1"/>
  </r>
  <r>
    <x v="201"/>
    <x v="12"/>
    <n v="43195.3"/>
  </r>
  <r>
    <x v="201"/>
    <x v="13"/>
    <n v="43378.2"/>
  </r>
  <r>
    <x v="201"/>
    <x v="14"/>
    <n v="44056.7"/>
  </r>
  <r>
    <x v="201"/>
    <x v="15"/>
    <n v="44700.3"/>
  </r>
  <r>
    <x v="201"/>
    <x v="16"/>
    <n v="44571"/>
  </r>
  <r>
    <x v="201"/>
    <x v="17"/>
    <n v="44234.2"/>
  </r>
  <r>
    <x v="201"/>
    <x v="18"/>
    <n v="44536.800000000003"/>
  </r>
  <r>
    <x v="201"/>
    <x v="19"/>
    <n v="44670.7"/>
  </r>
  <r>
    <x v="201"/>
    <x v="20"/>
    <n v="44547.1"/>
  </r>
  <r>
    <x v="201"/>
    <x v="21"/>
    <n v="44389.599999999999"/>
  </r>
  <r>
    <x v="201"/>
    <x v="22"/>
    <n v="44579.8"/>
  </r>
  <r>
    <x v="201"/>
    <x v="23"/>
    <n v="43717.5"/>
  </r>
  <r>
    <x v="202"/>
    <x v="0"/>
    <n v="44339.3"/>
  </r>
  <r>
    <x v="202"/>
    <x v="1"/>
    <n v="53299.6"/>
  </r>
  <r>
    <x v="202"/>
    <x v="2"/>
    <n v="54732.3"/>
  </r>
  <r>
    <x v="202"/>
    <x v="3"/>
    <n v="54596.7"/>
  </r>
  <r>
    <x v="202"/>
    <x v="4"/>
    <n v="54751.5"/>
  </r>
  <r>
    <x v="202"/>
    <x v="5"/>
    <n v="54636.6"/>
  </r>
  <r>
    <x v="202"/>
    <x v="6"/>
    <n v="54679.9"/>
  </r>
  <r>
    <x v="202"/>
    <x v="7"/>
    <n v="54936.3"/>
  </r>
  <r>
    <x v="202"/>
    <x v="8"/>
    <n v="54712.6"/>
  </r>
  <r>
    <x v="202"/>
    <x v="9"/>
    <n v="54898.400000000001"/>
  </r>
  <r>
    <x v="202"/>
    <x v="10"/>
    <n v="54464.3"/>
  </r>
  <r>
    <x v="202"/>
    <x v="11"/>
    <n v="54569.1"/>
  </r>
  <r>
    <x v="202"/>
    <x v="12"/>
    <n v="54732.2"/>
  </r>
  <r>
    <x v="202"/>
    <x v="13"/>
    <n v="54733.599999999999"/>
  </r>
  <r>
    <x v="202"/>
    <x v="14"/>
    <n v="54832.2"/>
  </r>
  <r>
    <x v="202"/>
    <x v="15"/>
    <n v="54596.6"/>
  </r>
  <r>
    <x v="202"/>
    <x v="16"/>
    <n v="54554.400000000001"/>
  </r>
  <r>
    <x v="202"/>
    <x v="17"/>
    <n v="54628.1"/>
  </r>
  <r>
    <x v="202"/>
    <x v="18"/>
    <n v="54637.3"/>
  </r>
  <r>
    <x v="202"/>
    <x v="19"/>
    <n v="54557.4"/>
  </r>
  <r>
    <x v="202"/>
    <x v="20"/>
    <n v="54399.7"/>
  </r>
  <r>
    <x v="202"/>
    <x v="21"/>
    <n v="54439.5"/>
  </r>
  <r>
    <x v="202"/>
    <x v="22"/>
    <n v="54435"/>
  </r>
  <r>
    <x v="202"/>
    <x v="23"/>
    <n v="54454.1"/>
  </r>
  <r>
    <x v="203"/>
    <x v="0"/>
    <n v="54524.3"/>
  </r>
  <r>
    <x v="203"/>
    <x v="1"/>
    <n v="54554.1"/>
  </r>
  <r>
    <x v="203"/>
    <x v="2"/>
    <n v="54528.6"/>
  </r>
  <r>
    <x v="203"/>
    <x v="3"/>
    <n v="53525.599999999999"/>
  </r>
  <r>
    <x v="203"/>
    <x v="4"/>
    <n v="54539.6"/>
  </r>
  <r>
    <x v="203"/>
    <x v="5"/>
    <n v="54568.1"/>
  </r>
  <r>
    <x v="203"/>
    <x v="6"/>
    <n v="54614.7"/>
  </r>
  <r>
    <x v="203"/>
    <x v="7"/>
    <n v="54785.9"/>
  </r>
  <r>
    <x v="203"/>
    <x v="8"/>
    <n v="54782.400000000001"/>
  </r>
  <r>
    <x v="203"/>
    <x v="9"/>
    <n v="54572.1"/>
  </r>
  <r>
    <x v="203"/>
    <x v="10"/>
    <n v="54636.2"/>
  </r>
  <r>
    <x v="203"/>
    <x v="11"/>
    <n v="54347.7"/>
  </r>
  <r>
    <x v="203"/>
    <x v="12"/>
    <n v="54547.6"/>
  </r>
  <r>
    <x v="203"/>
    <x v="13"/>
    <n v="54578.7"/>
  </r>
  <r>
    <x v="203"/>
    <x v="14"/>
    <n v="54090.3"/>
  </r>
  <r>
    <x v="203"/>
    <x v="15"/>
    <n v="54328.800000000003"/>
  </r>
  <r>
    <x v="203"/>
    <x v="16"/>
    <n v="54236.6"/>
  </r>
  <r>
    <x v="203"/>
    <x v="17"/>
    <n v="54236.800000000003"/>
  </r>
  <r>
    <x v="203"/>
    <x v="18"/>
    <n v="54188.6"/>
  </r>
  <r>
    <x v="203"/>
    <x v="19"/>
    <n v="54098.400000000001"/>
  </r>
  <r>
    <x v="203"/>
    <x v="20"/>
    <n v="53897.3"/>
  </r>
  <r>
    <x v="203"/>
    <x v="21"/>
    <n v="53995.5"/>
  </r>
  <r>
    <x v="203"/>
    <x v="22"/>
    <n v="54101.9"/>
  </r>
  <r>
    <x v="203"/>
    <x v="23"/>
    <n v="54159.5"/>
  </r>
  <r>
    <x v="204"/>
    <x v="0"/>
    <n v="54188.6"/>
  </r>
  <r>
    <x v="204"/>
    <x v="1"/>
    <n v="54210.5"/>
  </r>
  <r>
    <x v="204"/>
    <x v="2"/>
    <n v="53994.8"/>
  </r>
  <r>
    <x v="204"/>
    <x v="3"/>
    <n v="54172.3"/>
  </r>
  <r>
    <x v="204"/>
    <x v="4"/>
    <n v="54245.599999999999"/>
  </r>
  <r>
    <x v="204"/>
    <x v="5"/>
    <n v="54254.3"/>
  </r>
  <r>
    <x v="204"/>
    <x v="6"/>
    <n v="54106"/>
  </r>
  <r>
    <x v="204"/>
    <x v="7"/>
    <n v="54284"/>
  </r>
  <r>
    <x v="204"/>
    <x v="8"/>
    <n v="54161.9"/>
  </r>
  <r>
    <x v="204"/>
    <x v="9"/>
    <n v="54143.6"/>
  </r>
  <r>
    <x v="204"/>
    <x v="10"/>
    <n v="53359.7"/>
  </r>
  <r>
    <x v="204"/>
    <x v="11"/>
    <n v="52018.9"/>
  </r>
  <r>
    <x v="204"/>
    <x v="12"/>
    <n v="52096.800000000003"/>
  </r>
  <r>
    <x v="204"/>
    <x v="13"/>
    <n v="52107.3"/>
  </r>
  <r>
    <x v="204"/>
    <x v="14"/>
    <n v="52629.9"/>
  </r>
  <r>
    <x v="204"/>
    <x v="15"/>
    <n v="53618.8"/>
  </r>
  <r>
    <x v="204"/>
    <x v="16"/>
    <n v="53476.5"/>
  </r>
  <r>
    <x v="204"/>
    <x v="17"/>
    <n v="53523.4"/>
  </r>
  <r>
    <x v="204"/>
    <x v="18"/>
    <n v="53669.1"/>
  </r>
  <r>
    <x v="204"/>
    <x v="19"/>
    <n v="53223.3"/>
  </r>
  <r>
    <x v="204"/>
    <x v="20"/>
    <n v="53682.5"/>
  </r>
  <r>
    <x v="204"/>
    <x v="21"/>
    <n v="53898.7"/>
  </r>
  <r>
    <x v="204"/>
    <x v="22"/>
    <n v="53679.199999999997"/>
  </r>
  <r>
    <x v="204"/>
    <x v="23"/>
    <n v="53726.8"/>
  </r>
  <r>
    <x v="205"/>
    <x v="0"/>
    <n v="53994.9"/>
  </r>
  <r>
    <x v="205"/>
    <x v="1"/>
    <n v="53833.4"/>
  </r>
  <r>
    <x v="205"/>
    <x v="2"/>
    <n v="54049.4"/>
  </r>
  <r>
    <x v="205"/>
    <x v="3"/>
    <n v="53978.400000000001"/>
  </r>
  <r>
    <x v="205"/>
    <x v="4"/>
    <n v="54040.6"/>
  </r>
  <r>
    <x v="205"/>
    <x v="5"/>
    <n v="53935.8"/>
  </r>
  <r>
    <x v="205"/>
    <x v="6"/>
    <n v="53933.7"/>
  </r>
  <r>
    <x v="205"/>
    <x v="7"/>
    <n v="53851.1"/>
  </r>
  <r>
    <x v="205"/>
    <x v="8"/>
    <n v="53697.1"/>
  </r>
  <r>
    <x v="205"/>
    <x v="9"/>
    <n v="53736.7"/>
  </r>
  <r>
    <x v="205"/>
    <x v="10"/>
    <n v="52468.3"/>
  </r>
  <r>
    <x v="205"/>
    <x v="11"/>
    <n v="51922.3"/>
  </r>
  <r>
    <x v="205"/>
    <x v="12"/>
    <n v="52401.1"/>
  </r>
  <r>
    <x v="205"/>
    <x v="13"/>
    <n v="52372.9"/>
  </r>
  <r>
    <x v="205"/>
    <x v="14"/>
    <n v="52368.9"/>
  </r>
  <r>
    <x v="205"/>
    <x v="15"/>
    <n v="52406.400000000001"/>
  </r>
  <r>
    <x v="205"/>
    <x v="16"/>
    <n v="52290.3"/>
  </r>
  <r>
    <x v="205"/>
    <x v="17"/>
    <n v="52300.5"/>
  </r>
  <r>
    <x v="205"/>
    <x v="18"/>
    <n v="52412.6"/>
  </r>
  <r>
    <x v="205"/>
    <x v="19"/>
    <n v="53563.5"/>
  </r>
  <r>
    <x v="205"/>
    <x v="20"/>
    <n v="53272.4"/>
  </r>
  <r>
    <x v="205"/>
    <x v="21"/>
    <n v="54023.1"/>
  </r>
  <r>
    <x v="205"/>
    <x v="22"/>
    <n v="54096"/>
  </r>
  <r>
    <x v="205"/>
    <x v="23"/>
    <n v="53626.8"/>
  </r>
  <r>
    <x v="206"/>
    <x v="0"/>
    <n v="46035.9"/>
  </r>
  <r>
    <x v="206"/>
    <x v="1"/>
    <n v="44972.3"/>
  </r>
  <r>
    <x v="206"/>
    <x v="2"/>
    <n v="45065.3"/>
  </r>
  <r>
    <x v="206"/>
    <x v="3"/>
    <n v="44956.800000000003"/>
  </r>
  <r>
    <x v="206"/>
    <x v="4"/>
    <n v="45215.9"/>
  </r>
  <r>
    <x v="206"/>
    <x v="5"/>
    <n v="45014.8"/>
  </r>
  <r>
    <x v="206"/>
    <x v="6"/>
    <n v="45344.7"/>
  </r>
  <r>
    <x v="206"/>
    <x v="7"/>
    <n v="45380.2"/>
  </r>
  <r>
    <x v="206"/>
    <x v="8"/>
    <n v="45259"/>
  </r>
  <r>
    <x v="206"/>
    <x v="9"/>
    <n v="45325.7"/>
  </r>
  <r>
    <x v="206"/>
    <x v="10"/>
    <n v="44166.3"/>
  </r>
  <r>
    <x v="206"/>
    <x v="11"/>
    <n v="44317.3"/>
  </r>
  <r>
    <x v="206"/>
    <x v="12"/>
    <n v="44753.9"/>
  </r>
  <r>
    <x v="206"/>
    <x v="13"/>
    <n v="44751.7"/>
  </r>
  <r>
    <x v="206"/>
    <x v="14"/>
    <n v="44757.5"/>
  </r>
  <r>
    <x v="206"/>
    <x v="15"/>
    <n v="44847.3"/>
  </r>
  <r>
    <x v="206"/>
    <x v="16"/>
    <n v="44710.6"/>
  </r>
  <r>
    <x v="206"/>
    <x v="17"/>
    <n v="45153.8"/>
  </r>
  <r>
    <x v="206"/>
    <x v="18"/>
    <n v="44589.599999999999"/>
  </r>
  <r>
    <x v="206"/>
    <x v="19"/>
    <n v="44462.6"/>
  </r>
  <r>
    <x v="206"/>
    <x v="20"/>
    <n v="44620.800000000003"/>
  </r>
  <r>
    <x v="206"/>
    <x v="21"/>
    <n v="44641.1"/>
  </r>
  <r>
    <x v="206"/>
    <x v="22"/>
    <n v="44653.8"/>
  </r>
  <r>
    <x v="206"/>
    <x v="23"/>
    <n v="45405.7"/>
  </r>
  <r>
    <x v="207"/>
    <x v="0"/>
    <n v="51784"/>
  </r>
  <r>
    <x v="207"/>
    <x v="1"/>
    <n v="54014"/>
  </r>
  <r>
    <x v="207"/>
    <x v="2"/>
    <n v="53753.2"/>
  </r>
  <r>
    <x v="207"/>
    <x v="3"/>
    <n v="53922.400000000001"/>
  </r>
  <r>
    <x v="207"/>
    <x v="4"/>
    <n v="54313.9"/>
  </r>
  <r>
    <x v="207"/>
    <x v="5"/>
    <n v="54024.1"/>
  </r>
  <r>
    <x v="207"/>
    <x v="6"/>
    <n v="54377.8"/>
  </r>
  <r>
    <x v="207"/>
    <x v="7"/>
    <n v="54453.3"/>
  </r>
  <r>
    <x v="207"/>
    <x v="8"/>
    <n v="54496.9"/>
  </r>
  <r>
    <x v="207"/>
    <x v="9"/>
    <n v="54550.5"/>
  </r>
  <r>
    <x v="207"/>
    <x v="10"/>
    <n v="53974.3"/>
  </r>
  <r>
    <x v="207"/>
    <x v="11"/>
    <n v="54061.2"/>
  </r>
  <r>
    <x v="207"/>
    <x v="12"/>
    <n v="54128.2"/>
  </r>
  <r>
    <x v="207"/>
    <x v="13"/>
    <n v="54131.1"/>
  </r>
  <r>
    <x v="207"/>
    <x v="14"/>
    <n v="54130.6"/>
  </r>
  <r>
    <x v="207"/>
    <x v="15"/>
    <n v="54099.7"/>
  </r>
  <r>
    <x v="207"/>
    <x v="16"/>
    <n v="54043.6"/>
  </r>
  <r>
    <x v="207"/>
    <x v="17"/>
    <n v="53985.3"/>
  </r>
  <r>
    <x v="207"/>
    <x v="18"/>
    <n v="53825.8"/>
  </r>
  <r>
    <x v="207"/>
    <x v="19"/>
    <n v="54062.8"/>
  </r>
  <r>
    <x v="207"/>
    <x v="20"/>
    <n v="54057.599999999999"/>
  </r>
  <r>
    <x v="207"/>
    <x v="21"/>
    <n v="53994.6"/>
  </r>
  <r>
    <x v="207"/>
    <x v="22"/>
    <n v="54046.9"/>
  </r>
  <r>
    <x v="207"/>
    <x v="23"/>
    <n v="53918.5"/>
  </r>
  <r>
    <x v="208"/>
    <x v="0"/>
    <n v="53860.3"/>
  </r>
  <r>
    <x v="208"/>
    <x v="1"/>
    <n v="53913.1"/>
  </r>
  <r>
    <x v="208"/>
    <x v="2"/>
    <n v="53482.9"/>
  </r>
  <r>
    <x v="208"/>
    <x v="3"/>
    <n v="53713.3"/>
  </r>
  <r>
    <x v="208"/>
    <x v="4"/>
    <n v="53823.4"/>
  </r>
  <r>
    <x v="208"/>
    <x v="5"/>
    <n v="53635.7"/>
  </r>
  <r>
    <x v="208"/>
    <x v="6"/>
    <n v="53872.800000000003"/>
  </r>
  <r>
    <x v="208"/>
    <x v="7"/>
    <n v="53807.8"/>
  </r>
  <r>
    <x v="208"/>
    <x v="8"/>
    <n v="53762.400000000001"/>
  </r>
  <r>
    <x v="208"/>
    <x v="9"/>
    <n v="53757.599999999999"/>
  </r>
  <r>
    <x v="208"/>
    <x v="10"/>
    <n v="54140.1"/>
  </r>
  <r>
    <x v="208"/>
    <x v="11"/>
    <n v="54082.3"/>
  </r>
  <r>
    <x v="208"/>
    <x v="12"/>
    <n v="54088.6"/>
  </r>
  <r>
    <x v="208"/>
    <x v="13"/>
    <n v="53651.3"/>
  </r>
  <r>
    <x v="208"/>
    <x v="14"/>
    <n v="53808"/>
  </r>
  <r>
    <x v="208"/>
    <x v="15"/>
    <n v="54103.6"/>
  </r>
  <r>
    <x v="208"/>
    <x v="16"/>
    <n v="54637.2"/>
  </r>
  <r>
    <x v="208"/>
    <x v="17"/>
    <n v="54622.3"/>
  </r>
  <r>
    <x v="208"/>
    <x v="18"/>
    <n v="54577.2"/>
  </r>
  <r>
    <x v="208"/>
    <x v="19"/>
    <n v="54535.4"/>
  </r>
  <r>
    <x v="208"/>
    <x v="20"/>
    <n v="54517.7"/>
  </r>
  <r>
    <x v="208"/>
    <x v="21"/>
    <n v="54594.9"/>
  </r>
  <r>
    <x v="208"/>
    <x v="22"/>
    <n v="54318.8"/>
  </r>
  <r>
    <x v="208"/>
    <x v="23"/>
    <n v="54049.1"/>
  </r>
  <r>
    <x v="209"/>
    <x v="0"/>
    <n v="54332.7"/>
  </r>
  <r>
    <x v="209"/>
    <x v="1"/>
    <n v="54202.8"/>
  </r>
  <r>
    <x v="209"/>
    <x v="2"/>
    <n v="54171.5"/>
  </r>
  <r>
    <x v="209"/>
    <x v="3"/>
    <n v="54197.2"/>
  </r>
  <r>
    <x v="209"/>
    <x v="4"/>
    <n v="54318.6"/>
  </r>
  <r>
    <x v="209"/>
    <x v="5"/>
    <n v="54204.800000000003"/>
  </r>
  <r>
    <x v="209"/>
    <x v="6"/>
    <n v="53637.1"/>
  </r>
  <r>
    <x v="209"/>
    <x v="7"/>
    <n v="53711.8"/>
  </r>
  <r>
    <x v="209"/>
    <x v="8"/>
    <n v="53574.1"/>
  </r>
  <r>
    <x v="209"/>
    <x v="9"/>
    <n v="53650.5"/>
  </r>
  <r>
    <x v="209"/>
    <x v="10"/>
    <n v="54282.2"/>
  </r>
  <r>
    <x v="209"/>
    <x v="11"/>
    <n v="54415.199999999997"/>
  </r>
  <r>
    <x v="209"/>
    <x v="12"/>
    <n v="54240"/>
  </r>
  <r>
    <x v="209"/>
    <x v="13"/>
    <n v="53048.6"/>
  </r>
  <r>
    <x v="209"/>
    <x v="14"/>
    <n v="54509.1"/>
  </r>
  <r>
    <x v="209"/>
    <x v="15"/>
    <n v="54254.1"/>
  </r>
  <r>
    <x v="209"/>
    <x v="16"/>
    <n v="54408.6"/>
  </r>
  <r>
    <x v="209"/>
    <x v="17"/>
    <n v="54336.6"/>
  </r>
  <r>
    <x v="209"/>
    <x v="18"/>
    <n v="54465.1"/>
  </r>
  <r>
    <x v="209"/>
    <x v="19"/>
    <n v="54329.599999999999"/>
  </r>
  <r>
    <x v="209"/>
    <x v="20"/>
    <n v="54400.800000000003"/>
  </r>
  <r>
    <x v="209"/>
    <x v="21"/>
    <n v="54111.6"/>
  </r>
  <r>
    <x v="209"/>
    <x v="22"/>
    <n v="54269.1"/>
  </r>
  <r>
    <x v="209"/>
    <x v="23"/>
    <n v="54232.9"/>
  </r>
  <r>
    <x v="210"/>
    <x v="0"/>
    <n v="53770.9"/>
  </r>
  <r>
    <x v="210"/>
    <x v="1"/>
    <n v="53939.9"/>
  </r>
  <r>
    <x v="210"/>
    <x v="2"/>
    <n v="54163.1"/>
  </r>
  <r>
    <x v="210"/>
    <x v="3"/>
    <n v="54157.1"/>
  </r>
  <r>
    <x v="210"/>
    <x v="4"/>
    <n v="54193"/>
  </r>
  <r>
    <x v="210"/>
    <x v="5"/>
    <n v="54082.5"/>
  </r>
  <r>
    <x v="210"/>
    <x v="6"/>
    <n v="54172.3"/>
  </r>
  <r>
    <x v="210"/>
    <x v="7"/>
    <n v="54401.7"/>
  </r>
  <r>
    <x v="210"/>
    <x v="8"/>
    <n v="54415.5"/>
  </r>
  <r>
    <x v="210"/>
    <x v="9"/>
    <n v="54344.800000000003"/>
  </r>
  <r>
    <x v="210"/>
    <x v="10"/>
    <n v="54538.2"/>
  </r>
  <r>
    <x v="210"/>
    <x v="11"/>
    <n v="54445.4"/>
  </r>
  <r>
    <x v="210"/>
    <x v="12"/>
    <n v="53678"/>
  </r>
  <r>
    <x v="210"/>
    <x v="13"/>
    <n v="53390.6"/>
  </r>
  <r>
    <x v="210"/>
    <x v="14"/>
    <n v="53426.6"/>
  </r>
  <r>
    <x v="210"/>
    <x v="15"/>
    <n v="52783.199999999997"/>
  </r>
  <r>
    <x v="210"/>
    <x v="16"/>
    <n v="54304.7"/>
  </r>
  <r>
    <x v="210"/>
    <x v="17"/>
    <n v="54364.3"/>
  </r>
  <r>
    <x v="210"/>
    <x v="18"/>
    <n v="54754.7"/>
  </r>
  <r>
    <x v="210"/>
    <x v="19"/>
    <n v="54386.6"/>
  </r>
  <r>
    <x v="210"/>
    <x v="20"/>
    <n v="54332.4"/>
  </r>
  <r>
    <x v="210"/>
    <x v="21"/>
    <n v="54385.4"/>
  </r>
  <r>
    <x v="210"/>
    <x v="22"/>
    <n v="54353.1"/>
  </r>
  <r>
    <x v="210"/>
    <x v="23"/>
    <n v="54266.3"/>
  </r>
  <r>
    <x v="211"/>
    <x v="0"/>
    <n v="44605.2"/>
  </r>
  <r>
    <x v="211"/>
    <x v="1"/>
    <n v="44341.7"/>
  </r>
  <r>
    <x v="211"/>
    <x v="2"/>
    <n v="44222.3"/>
  </r>
  <r>
    <x v="211"/>
    <x v="3"/>
    <n v="44212.9"/>
  </r>
  <r>
    <x v="211"/>
    <x v="4"/>
    <n v="44335.7"/>
  </r>
  <r>
    <x v="211"/>
    <x v="5"/>
    <n v="44399.3"/>
  </r>
  <r>
    <x v="211"/>
    <x v="6"/>
    <n v="53724.1"/>
  </r>
  <r>
    <x v="211"/>
    <x v="7"/>
    <n v="54648"/>
  </r>
  <r>
    <x v="211"/>
    <x v="8"/>
    <n v="55065.9"/>
  </r>
  <r>
    <x v="211"/>
    <x v="9"/>
    <n v="54735"/>
  </r>
  <r>
    <x v="211"/>
    <x v="10"/>
    <n v="54826.2"/>
  </r>
  <r>
    <x v="211"/>
    <x v="11"/>
    <n v="54613.5"/>
  </r>
  <r>
    <x v="211"/>
    <x v="12"/>
    <n v="54724.7"/>
  </r>
  <r>
    <x v="211"/>
    <x v="13"/>
    <n v="54453.5"/>
  </r>
  <r>
    <x v="211"/>
    <x v="14"/>
    <n v="54453.4"/>
  </r>
  <r>
    <x v="211"/>
    <x v="15"/>
    <n v="53960.3"/>
  </r>
  <r>
    <x v="211"/>
    <x v="16"/>
    <n v="54889.8"/>
  </r>
  <r>
    <x v="211"/>
    <x v="17"/>
    <n v="54923.7"/>
  </r>
  <r>
    <x v="211"/>
    <x v="18"/>
    <n v="55219.1"/>
  </r>
  <r>
    <x v="211"/>
    <x v="19"/>
    <n v="54281"/>
  </r>
  <r>
    <x v="211"/>
    <x v="20"/>
    <n v="54221.1"/>
  </r>
  <r>
    <x v="211"/>
    <x v="21"/>
    <n v="54212.6"/>
  </r>
  <r>
    <x v="211"/>
    <x v="22"/>
    <n v="54236.2"/>
  </r>
  <r>
    <x v="211"/>
    <x v="23"/>
    <n v="54584.1"/>
  </r>
  <r>
    <x v="212"/>
    <x v="0"/>
    <n v="54735.7"/>
  </r>
  <r>
    <x v="212"/>
    <x v="1"/>
    <n v="54653.8"/>
  </r>
  <r>
    <x v="212"/>
    <x v="2"/>
    <n v="54657.8"/>
  </r>
  <r>
    <x v="212"/>
    <x v="3"/>
    <n v="54628.9"/>
  </r>
  <r>
    <x v="212"/>
    <x v="4"/>
    <n v="55287.3"/>
  </r>
  <r>
    <x v="212"/>
    <x v="5"/>
    <n v="55111.3"/>
  </r>
  <r>
    <x v="212"/>
    <x v="6"/>
    <n v="55119.4"/>
  </r>
  <r>
    <x v="212"/>
    <x v="7"/>
    <n v="55385.7"/>
  </r>
  <r>
    <x v="212"/>
    <x v="8"/>
    <n v="55412.1"/>
  </r>
  <r>
    <x v="212"/>
    <x v="9"/>
    <n v="54166"/>
  </r>
  <r>
    <x v="212"/>
    <x v="10"/>
    <n v="54176.800000000003"/>
  </r>
  <r>
    <x v="212"/>
    <x v="11"/>
    <n v="54087.7"/>
  </r>
  <r>
    <x v="212"/>
    <x v="12"/>
    <n v="54507.4"/>
  </r>
  <r>
    <x v="212"/>
    <x v="13"/>
    <n v="54449.599999999999"/>
  </r>
  <r>
    <x v="212"/>
    <x v="14"/>
    <n v="53986.5"/>
  </r>
  <r>
    <x v="212"/>
    <x v="15"/>
    <n v="53671.199999999997"/>
  </r>
  <r>
    <x v="212"/>
    <x v="16"/>
    <n v="53719.199999999997"/>
  </r>
  <r>
    <x v="212"/>
    <x v="17"/>
    <n v="52975.7"/>
  </r>
  <r>
    <x v="212"/>
    <x v="18"/>
    <n v="54459.6"/>
  </r>
  <r>
    <x v="212"/>
    <x v="19"/>
    <n v="54404.1"/>
  </r>
  <r>
    <x v="212"/>
    <x v="20"/>
    <n v="54308.5"/>
  </r>
  <r>
    <x v="212"/>
    <x v="21"/>
    <n v="66399.7"/>
  </r>
  <r>
    <x v="212"/>
    <x v="22"/>
    <n v="69500.2"/>
  </r>
  <r>
    <x v="212"/>
    <x v="23"/>
    <n v="60005.5"/>
  </r>
  <r>
    <x v="213"/>
    <x v="0"/>
    <n v="54179.3"/>
  </r>
  <r>
    <x v="213"/>
    <x v="1"/>
    <n v="54834.1"/>
  </r>
  <r>
    <x v="213"/>
    <x v="2"/>
    <n v="54628.2"/>
  </r>
  <r>
    <x v="213"/>
    <x v="3"/>
    <n v="54513.599999999999"/>
  </r>
  <r>
    <x v="213"/>
    <x v="4"/>
    <n v="54537.1"/>
  </r>
  <r>
    <x v="213"/>
    <x v="5"/>
    <n v="54641.3"/>
  </r>
  <r>
    <x v="213"/>
    <x v="6"/>
    <n v="54440"/>
  </r>
  <r>
    <x v="213"/>
    <x v="7"/>
    <n v="54794.400000000001"/>
  </r>
  <r>
    <x v="213"/>
    <x v="8"/>
    <n v="54762.400000000001"/>
  </r>
  <r>
    <x v="213"/>
    <x v="9"/>
    <n v="54826.400000000001"/>
  </r>
  <r>
    <x v="213"/>
    <x v="10"/>
    <n v="54777.2"/>
  </r>
  <r>
    <x v="213"/>
    <x v="11"/>
    <n v="54855.5"/>
  </r>
  <r>
    <x v="213"/>
    <x v="12"/>
    <n v="54827.6"/>
  </r>
  <r>
    <x v="213"/>
    <x v="13"/>
    <n v="54898.9"/>
  </r>
  <r>
    <x v="213"/>
    <x v="14"/>
    <n v="57508.3"/>
  </r>
  <r>
    <x v="213"/>
    <x v="15"/>
    <n v="65651.199999999997"/>
  </r>
  <r>
    <x v="213"/>
    <x v="16"/>
    <n v="62061.5"/>
  </r>
  <r>
    <x v="213"/>
    <x v="17"/>
    <n v="53087.6"/>
  </r>
  <r>
    <x v="213"/>
    <x v="18"/>
    <n v="53412"/>
  </r>
  <r>
    <x v="213"/>
    <x v="19"/>
    <n v="59419.4"/>
  </r>
  <r>
    <x v="213"/>
    <x v="20"/>
    <n v="56840.2"/>
  </r>
  <r>
    <x v="213"/>
    <x v="21"/>
    <n v="60144.6"/>
  </r>
  <r>
    <x v="213"/>
    <x v="22"/>
    <n v="53573.599999999999"/>
  </r>
  <r>
    <x v="213"/>
    <x v="23"/>
    <n v="53770.7"/>
  </r>
  <r>
    <x v="214"/>
    <x v="0"/>
    <n v="54367.6"/>
  </r>
  <r>
    <x v="214"/>
    <x v="1"/>
    <n v="54158.7"/>
  </r>
  <r>
    <x v="214"/>
    <x v="2"/>
    <n v="54097.4"/>
  </r>
  <r>
    <x v="214"/>
    <x v="3"/>
    <n v="54249.7"/>
  </r>
  <r>
    <x v="214"/>
    <x v="4"/>
    <n v="54192.7"/>
  </r>
  <r>
    <x v="214"/>
    <x v="5"/>
    <n v="54203.3"/>
  </r>
  <r>
    <x v="214"/>
    <x v="6"/>
    <n v="54131"/>
  </r>
  <r>
    <x v="214"/>
    <x v="7"/>
    <n v="54323.5"/>
  </r>
  <r>
    <x v="214"/>
    <x v="8"/>
    <n v="54330.2"/>
  </r>
  <r>
    <x v="214"/>
    <x v="9"/>
    <n v="54257"/>
  </r>
  <r>
    <x v="214"/>
    <x v="10"/>
    <n v="54516"/>
  </r>
  <r>
    <x v="214"/>
    <x v="11"/>
    <n v="55045.2"/>
  </r>
  <r>
    <x v="214"/>
    <x v="12"/>
    <n v="55161.599999999999"/>
  </r>
  <r>
    <x v="214"/>
    <x v="13"/>
    <n v="55051.199999999997"/>
  </r>
  <r>
    <x v="214"/>
    <x v="14"/>
    <n v="62830.9"/>
  </r>
  <r>
    <x v="214"/>
    <x v="15"/>
    <n v="68370.3"/>
  </r>
  <r>
    <x v="214"/>
    <x v="16"/>
    <n v="68297"/>
  </r>
  <r>
    <x v="214"/>
    <x v="17"/>
    <n v="67107.100000000006"/>
  </r>
  <r>
    <x v="214"/>
    <x v="18"/>
    <n v="54929.1"/>
  </r>
  <r>
    <x v="214"/>
    <x v="19"/>
    <n v="65946.2"/>
  </r>
  <r>
    <x v="214"/>
    <x v="20"/>
    <n v="67286.7"/>
  </r>
  <r>
    <x v="214"/>
    <x v="21"/>
    <n v="67126.100000000006"/>
  </r>
  <r>
    <x v="214"/>
    <x v="22"/>
    <n v="55146.1"/>
  </r>
  <r>
    <x v="214"/>
    <x v="23"/>
    <n v="53940.4"/>
  </r>
  <r>
    <x v="215"/>
    <x v="0"/>
    <n v="52590.3"/>
  </r>
  <r>
    <x v="215"/>
    <x v="1"/>
    <n v="52952.4"/>
  </r>
  <r>
    <x v="215"/>
    <x v="2"/>
    <n v="52824.7"/>
  </r>
  <r>
    <x v="215"/>
    <x v="3"/>
    <n v="52798.3"/>
  </r>
  <r>
    <x v="215"/>
    <x v="4"/>
    <n v="52812.3"/>
  </r>
  <r>
    <x v="215"/>
    <x v="5"/>
    <n v="52884.7"/>
  </r>
  <r>
    <x v="215"/>
    <x v="6"/>
    <n v="52908.7"/>
  </r>
  <r>
    <x v="215"/>
    <x v="7"/>
    <n v="52922.400000000001"/>
  </r>
  <r>
    <x v="215"/>
    <x v="8"/>
    <n v="52990.6"/>
  </r>
  <r>
    <x v="215"/>
    <x v="9"/>
    <n v="53042.9"/>
  </r>
  <r>
    <x v="215"/>
    <x v="10"/>
    <n v="52851.4"/>
  </r>
  <r>
    <x v="215"/>
    <x v="11"/>
    <n v="53082.7"/>
  </r>
  <r>
    <x v="215"/>
    <x v="12"/>
    <n v="53058"/>
  </r>
  <r>
    <x v="215"/>
    <x v="13"/>
    <n v="53059.5"/>
  </r>
  <r>
    <x v="215"/>
    <x v="14"/>
    <n v="58388.3"/>
  </r>
  <r>
    <x v="215"/>
    <x v="15"/>
    <n v="68093.899999999994"/>
  </r>
  <r>
    <x v="215"/>
    <x v="16"/>
    <n v="67386.7"/>
  </r>
  <r>
    <x v="215"/>
    <x v="17"/>
    <n v="66840.399999999994"/>
  </r>
  <r>
    <x v="215"/>
    <x v="18"/>
    <n v="69149"/>
  </r>
  <r>
    <x v="215"/>
    <x v="19"/>
    <n v="54476.6"/>
  </r>
  <r>
    <x v="215"/>
    <x v="20"/>
    <n v="58208.3"/>
  </r>
  <r>
    <x v="215"/>
    <x v="21"/>
    <n v="70261.899999999994"/>
  </r>
  <r>
    <x v="215"/>
    <x v="22"/>
    <n v="69500.899999999994"/>
  </r>
  <r>
    <x v="215"/>
    <x v="23"/>
    <n v="54015.9"/>
  </r>
  <r>
    <x v="216"/>
    <x v="0"/>
    <n v="53991.1"/>
  </r>
  <r>
    <x v="216"/>
    <x v="1"/>
    <n v="54027.8"/>
  </r>
  <r>
    <x v="216"/>
    <x v="2"/>
    <n v="53798.1"/>
  </r>
  <r>
    <x v="216"/>
    <x v="3"/>
    <n v="53807.9"/>
  </r>
  <r>
    <x v="216"/>
    <x v="4"/>
    <n v="53853.3"/>
  </r>
  <r>
    <x v="216"/>
    <x v="5"/>
    <n v="53847.8"/>
  </r>
  <r>
    <x v="216"/>
    <x v="6"/>
    <n v="53922.400000000001"/>
  </r>
  <r>
    <x v="216"/>
    <x v="7"/>
    <n v="53932.3"/>
  </r>
  <r>
    <x v="216"/>
    <x v="8"/>
    <n v="53979.7"/>
  </r>
  <r>
    <x v="216"/>
    <x v="9"/>
    <n v="53542.6"/>
  </r>
  <r>
    <x v="216"/>
    <x v="10"/>
    <n v="53448.5"/>
  </r>
  <r>
    <x v="216"/>
    <x v="11"/>
    <n v="53446.2"/>
  </r>
  <r>
    <x v="216"/>
    <x v="12"/>
    <n v="53346.7"/>
  </r>
  <r>
    <x v="216"/>
    <x v="13"/>
    <n v="52412.800000000003"/>
  </r>
  <r>
    <x v="216"/>
    <x v="14"/>
    <n v="53904.1"/>
  </r>
  <r>
    <x v="216"/>
    <x v="15"/>
    <n v="54217.3"/>
  </r>
  <r>
    <x v="216"/>
    <x v="16"/>
    <n v="53805.4"/>
  </r>
  <r>
    <x v="216"/>
    <x v="17"/>
    <n v="53893.3"/>
  </r>
  <r>
    <x v="216"/>
    <x v="18"/>
    <n v="68917.899999999994"/>
  </r>
  <r>
    <x v="216"/>
    <x v="19"/>
    <n v="55692"/>
  </r>
  <r>
    <x v="216"/>
    <x v="20"/>
    <n v="54015"/>
  </r>
  <r>
    <x v="216"/>
    <x v="21"/>
    <n v="54120"/>
  </r>
  <r>
    <x v="216"/>
    <x v="22"/>
    <n v="53917.5"/>
  </r>
  <r>
    <x v="216"/>
    <x v="23"/>
    <n v="53995.7"/>
  </r>
  <r>
    <x v="217"/>
    <x v="0"/>
    <n v="61336.4"/>
  </r>
  <r>
    <x v="217"/>
    <x v="1"/>
    <n v="61769.9"/>
  </r>
  <r>
    <x v="217"/>
    <x v="2"/>
    <n v="61808.1"/>
  </r>
  <r>
    <x v="217"/>
    <x v="3"/>
    <n v="61781.599999999999"/>
  </r>
  <r>
    <x v="217"/>
    <x v="4"/>
    <n v="61849.1"/>
  </r>
  <r>
    <x v="217"/>
    <x v="5"/>
    <n v="74455.3"/>
  </r>
  <r>
    <x v="217"/>
    <x v="6"/>
    <n v="76060.100000000006"/>
  </r>
  <r>
    <x v="217"/>
    <x v="7"/>
    <n v="76855.399999999994"/>
  </r>
  <r>
    <x v="217"/>
    <x v="8"/>
    <n v="76609.899999999994"/>
  </r>
  <r>
    <x v="217"/>
    <x v="9"/>
    <n v="76393.3"/>
  </r>
  <r>
    <x v="217"/>
    <x v="10"/>
    <n v="76972.800000000003"/>
  </r>
  <r>
    <x v="217"/>
    <x v="11"/>
    <n v="76341.399999999994"/>
  </r>
  <r>
    <x v="217"/>
    <x v="12"/>
    <n v="76187.199999999997"/>
  </r>
  <r>
    <x v="217"/>
    <x v="13"/>
    <n v="76413.600000000006"/>
  </r>
  <r>
    <x v="217"/>
    <x v="14"/>
    <n v="76510.399999999994"/>
  </r>
  <r>
    <x v="217"/>
    <x v="15"/>
    <n v="76371.899999999994"/>
  </r>
  <r>
    <x v="217"/>
    <x v="16"/>
    <n v="76603"/>
  </r>
  <r>
    <x v="217"/>
    <x v="17"/>
    <n v="63721.5"/>
  </r>
  <r>
    <x v="217"/>
    <x v="18"/>
    <n v="62497.1"/>
  </r>
  <r>
    <x v="217"/>
    <x v="19"/>
    <n v="62765.4"/>
  </r>
  <r>
    <x v="217"/>
    <x v="20"/>
    <n v="61602.400000000001"/>
  </r>
  <r>
    <x v="217"/>
    <x v="21"/>
    <n v="63005.9"/>
  </r>
  <r>
    <x v="217"/>
    <x v="22"/>
    <n v="62850.8"/>
  </r>
  <r>
    <x v="217"/>
    <x v="23"/>
    <n v="62980.7"/>
  </r>
  <r>
    <x v="218"/>
    <x v="0"/>
    <n v="63009.9"/>
  </r>
  <r>
    <x v="218"/>
    <x v="1"/>
    <n v="62508.800000000003"/>
  </r>
  <r>
    <x v="218"/>
    <x v="2"/>
    <n v="62363.7"/>
  </r>
  <r>
    <x v="218"/>
    <x v="3"/>
    <n v="62400.5"/>
  </r>
  <r>
    <x v="218"/>
    <x v="4"/>
    <n v="62420"/>
  </r>
  <r>
    <x v="218"/>
    <x v="5"/>
    <n v="62371.6"/>
  </r>
  <r>
    <x v="218"/>
    <x v="6"/>
    <n v="62348.4"/>
  </r>
  <r>
    <x v="218"/>
    <x v="7"/>
    <n v="62445.8"/>
  </r>
  <r>
    <x v="218"/>
    <x v="8"/>
    <n v="62835.9"/>
  </r>
  <r>
    <x v="218"/>
    <x v="9"/>
    <n v="62574.5"/>
  </r>
  <r>
    <x v="218"/>
    <x v="10"/>
    <n v="62714.5"/>
  </r>
  <r>
    <x v="218"/>
    <x v="11"/>
    <n v="62553.5"/>
  </r>
  <r>
    <x v="218"/>
    <x v="12"/>
    <n v="62402.7"/>
  </r>
  <r>
    <x v="218"/>
    <x v="13"/>
    <n v="62467.3"/>
  </r>
  <r>
    <x v="218"/>
    <x v="14"/>
    <n v="62448.2"/>
  </r>
  <r>
    <x v="218"/>
    <x v="15"/>
    <n v="62671"/>
  </r>
  <r>
    <x v="218"/>
    <x v="16"/>
    <n v="62991.7"/>
  </r>
  <r>
    <x v="218"/>
    <x v="17"/>
    <n v="61918.5"/>
  </r>
  <r>
    <x v="218"/>
    <x v="18"/>
    <n v="62032.4"/>
  </r>
  <r>
    <x v="218"/>
    <x v="19"/>
    <n v="62132.1"/>
  </r>
  <r>
    <x v="218"/>
    <x v="20"/>
    <n v="62778.5"/>
  </r>
  <r>
    <x v="218"/>
    <x v="21"/>
    <n v="62627.7"/>
  </r>
  <r>
    <x v="218"/>
    <x v="22"/>
    <n v="61970.7"/>
  </r>
  <r>
    <x v="218"/>
    <x v="23"/>
    <n v="61882.400000000001"/>
  </r>
  <r>
    <x v="219"/>
    <x v="0"/>
    <n v="61760.6"/>
  </r>
  <r>
    <x v="219"/>
    <x v="1"/>
    <n v="62090.5"/>
  </r>
  <r>
    <x v="219"/>
    <x v="2"/>
    <n v="62036.4"/>
  </r>
  <r>
    <x v="219"/>
    <x v="3"/>
    <n v="62115.199999999997"/>
  </r>
  <r>
    <x v="219"/>
    <x v="4"/>
    <n v="62065"/>
  </r>
  <r>
    <x v="219"/>
    <x v="5"/>
    <n v="61993.4"/>
  </r>
  <r>
    <x v="219"/>
    <x v="6"/>
    <n v="62451.3"/>
  </r>
  <r>
    <x v="219"/>
    <x v="7"/>
    <n v="61916.4"/>
  </r>
  <r>
    <x v="219"/>
    <x v="8"/>
    <n v="63131.1"/>
  </r>
  <r>
    <x v="219"/>
    <x v="9"/>
    <n v="62896.5"/>
  </r>
  <r>
    <x v="219"/>
    <x v="10"/>
    <n v="63138.9"/>
  </r>
  <r>
    <x v="219"/>
    <x v="11"/>
    <n v="63150.8"/>
  </r>
  <r>
    <x v="219"/>
    <x v="12"/>
    <n v="63069.599999999999"/>
  </r>
  <r>
    <x v="219"/>
    <x v="13"/>
    <n v="63209.3"/>
  </r>
  <r>
    <x v="219"/>
    <x v="14"/>
    <n v="63110.6"/>
  </r>
  <r>
    <x v="219"/>
    <x v="15"/>
    <n v="63195.3"/>
  </r>
  <r>
    <x v="219"/>
    <x v="16"/>
    <n v="62848.3"/>
  </r>
  <r>
    <x v="219"/>
    <x v="17"/>
    <n v="63012.1"/>
  </r>
  <r>
    <x v="219"/>
    <x v="18"/>
    <n v="62858.6"/>
  </r>
  <r>
    <x v="219"/>
    <x v="19"/>
    <n v="62931.4"/>
  </r>
  <r>
    <x v="219"/>
    <x v="20"/>
    <n v="62153"/>
  </r>
  <r>
    <x v="219"/>
    <x v="21"/>
    <n v="62266.7"/>
  </r>
  <r>
    <x v="219"/>
    <x v="22"/>
    <n v="62132.3"/>
  </r>
  <r>
    <x v="219"/>
    <x v="23"/>
    <n v="62273"/>
  </r>
  <r>
    <x v="220"/>
    <x v="0"/>
    <n v="60122.9"/>
  </r>
  <r>
    <x v="220"/>
    <x v="1"/>
    <n v="60040.800000000003"/>
  </r>
  <r>
    <x v="220"/>
    <x v="2"/>
    <n v="60128.6"/>
  </r>
  <r>
    <x v="220"/>
    <x v="3"/>
    <n v="59995.9"/>
  </r>
  <r>
    <x v="220"/>
    <x v="4"/>
    <n v="60166.5"/>
  </r>
  <r>
    <x v="220"/>
    <x v="5"/>
    <n v="59948.5"/>
  </r>
  <r>
    <x v="220"/>
    <x v="6"/>
    <n v="60027.9"/>
  </r>
  <r>
    <x v="220"/>
    <x v="7"/>
    <n v="60414.2"/>
  </r>
  <r>
    <x v="220"/>
    <x v="8"/>
    <n v="61201.9"/>
  </r>
  <r>
    <x v="220"/>
    <x v="9"/>
    <n v="61312.5"/>
  </r>
  <r>
    <x v="220"/>
    <x v="10"/>
    <n v="61309.7"/>
  </r>
  <r>
    <x v="220"/>
    <x v="11"/>
    <n v="61252.3"/>
  </r>
  <r>
    <x v="220"/>
    <x v="12"/>
    <n v="61323.6"/>
  </r>
  <r>
    <x v="220"/>
    <x v="13"/>
    <n v="68386.399999999994"/>
  </r>
  <r>
    <x v="220"/>
    <x v="14"/>
    <n v="76141.399999999994"/>
  </r>
  <r>
    <x v="220"/>
    <x v="15"/>
    <n v="76024.100000000006"/>
  </r>
  <r>
    <x v="220"/>
    <x v="16"/>
    <n v="76107.899999999994"/>
  </r>
  <r>
    <x v="220"/>
    <x v="17"/>
    <n v="74020.7"/>
  </r>
  <r>
    <x v="220"/>
    <x v="18"/>
    <n v="62927.4"/>
  </r>
  <r>
    <x v="220"/>
    <x v="19"/>
    <n v="60032.3"/>
  </r>
  <r>
    <x v="220"/>
    <x v="20"/>
    <n v="60049.8"/>
  </r>
  <r>
    <x v="220"/>
    <x v="21"/>
    <n v="71423.8"/>
  </r>
  <r>
    <x v="220"/>
    <x v="22"/>
    <n v="76020.399999999994"/>
  </r>
  <r>
    <x v="220"/>
    <x v="23"/>
    <n v="74384.7"/>
  </r>
  <r>
    <x v="221"/>
    <x v="0"/>
    <n v="50558.1"/>
  </r>
  <r>
    <x v="221"/>
    <x v="1"/>
    <n v="50901.3"/>
  </r>
  <r>
    <x v="221"/>
    <x v="2"/>
    <n v="51014.1"/>
  </r>
  <r>
    <x v="221"/>
    <x v="3"/>
    <n v="50944.3"/>
  </r>
  <r>
    <x v="221"/>
    <x v="4"/>
    <n v="50642.9"/>
  </r>
  <r>
    <x v="221"/>
    <x v="5"/>
    <n v="50717.1"/>
  </r>
  <r>
    <x v="221"/>
    <x v="6"/>
    <n v="50538.8"/>
  </r>
  <r>
    <x v="221"/>
    <x v="7"/>
    <n v="50785.3"/>
  </r>
  <r>
    <x v="221"/>
    <x v="8"/>
    <n v="51597.599999999999"/>
  </r>
  <r>
    <x v="221"/>
    <x v="9"/>
    <n v="50726.7"/>
  </r>
  <r>
    <x v="221"/>
    <x v="10"/>
    <n v="50787.9"/>
  </r>
  <r>
    <x v="221"/>
    <x v="11"/>
    <n v="50622.6"/>
  </r>
  <r>
    <x v="221"/>
    <x v="12"/>
    <n v="50862.3"/>
  </r>
  <r>
    <x v="221"/>
    <x v="13"/>
    <n v="51261.9"/>
  </r>
  <r>
    <x v="221"/>
    <x v="14"/>
    <n v="51489.1"/>
  </r>
  <r>
    <x v="221"/>
    <x v="15"/>
    <n v="51462.5"/>
  </r>
  <r>
    <x v="221"/>
    <x v="16"/>
    <n v="51392.7"/>
  </r>
  <r>
    <x v="221"/>
    <x v="17"/>
    <n v="51423.9"/>
  </r>
  <r>
    <x v="221"/>
    <x v="18"/>
    <n v="51404.3"/>
  </r>
  <r>
    <x v="221"/>
    <x v="19"/>
    <n v="66714.899999999994"/>
  </r>
  <r>
    <x v="221"/>
    <x v="20"/>
    <n v="67391.5"/>
  </r>
  <r>
    <x v="221"/>
    <x v="21"/>
    <n v="60089"/>
  </r>
  <r>
    <x v="221"/>
    <x v="22"/>
    <n v="67327.100000000006"/>
  </r>
  <r>
    <x v="221"/>
    <x v="23"/>
    <n v="66701.8"/>
  </r>
  <r>
    <x v="222"/>
    <x v="0"/>
    <n v="67027.3"/>
  </r>
  <r>
    <x v="222"/>
    <x v="1"/>
    <n v="67674.899999999994"/>
  </r>
  <r>
    <x v="222"/>
    <x v="2"/>
    <n v="67537.5"/>
  </r>
  <r>
    <x v="222"/>
    <x v="3"/>
    <n v="52685.599999999999"/>
  </r>
  <r>
    <x v="222"/>
    <x v="4"/>
    <n v="51123.1"/>
  </r>
  <r>
    <x v="222"/>
    <x v="5"/>
    <n v="51018.5"/>
  </r>
  <r>
    <x v="222"/>
    <x v="6"/>
    <n v="51083.199999999997"/>
  </r>
  <r>
    <x v="222"/>
    <x v="7"/>
    <n v="50965.9"/>
  </r>
  <r>
    <x v="222"/>
    <x v="8"/>
    <n v="51746"/>
  </r>
  <r>
    <x v="222"/>
    <x v="9"/>
    <n v="51759.8"/>
  </r>
  <r>
    <x v="222"/>
    <x v="10"/>
    <n v="51766"/>
  </r>
  <r>
    <x v="222"/>
    <x v="11"/>
    <n v="51794.7"/>
  </r>
  <r>
    <x v="222"/>
    <x v="12"/>
    <n v="51795.6"/>
  </r>
  <r>
    <x v="222"/>
    <x v="13"/>
    <n v="51822.7"/>
  </r>
  <r>
    <x v="222"/>
    <x v="14"/>
    <n v="61867.7"/>
  </r>
  <r>
    <x v="222"/>
    <x v="15"/>
    <n v="65495.1"/>
  </r>
  <r>
    <x v="222"/>
    <x v="16"/>
    <n v="53106.5"/>
  </r>
  <r>
    <x v="222"/>
    <x v="17"/>
    <n v="53238.3"/>
  </r>
  <r>
    <x v="222"/>
    <x v="18"/>
    <n v="53300.7"/>
  </r>
  <r>
    <x v="222"/>
    <x v="19"/>
    <n v="53252.3"/>
  </r>
  <r>
    <x v="222"/>
    <x v="20"/>
    <n v="64510.1"/>
  </r>
  <r>
    <x v="222"/>
    <x v="21"/>
    <n v="54984.3"/>
  </r>
  <r>
    <x v="222"/>
    <x v="22"/>
    <n v="53814.2"/>
  </r>
  <r>
    <x v="222"/>
    <x v="23"/>
    <n v="53420.1"/>
  </r>
  <r>
    <x v="223"/>
    <x v="0"/>
    <n v="52959.9"/>
  </r>
  <r>
    <x v="223"/>
    <x v="1"/>
    <n v="53158.400000000001"/>
  </r>
  <r>
    <x v="223"/>
    <x v="2"/>
    <n v="53324"/>
  </r>
  <r>
    <x v="223"/>
    <x v="3"/>
    <n v="53819.8"/>
  </r>
  <r>
    <x v="223"/>
    <x v="4"/>
    <n v="53719.3"/>
  </r>
  <r>
    <x v="223"/>
    <x v="5"/>
    <n v="54115.199999999997"/>
  </r>
  <r>
    <x v="223"/>
    <x v="6"/>
    <n v="54175.4"/>
  </r>
  <r>
    <x v="223"/>
    <x v="7"/>
    <n v="54128"/>
  </r>
  <r>
    <x v="223"/>
    <x v="8"/>
    <n v="54216.6"/>
  </r>
  <r>
    <x v="223"/>
    <x v="9"/>
    <n v="54293.3"/>
  </r>
  <r>
    <x v="223"/>
    <x v="10"/>
    <n v="54293.8"/>
  </r>
  <r>
    <x v="223"/>
    <x v="11"/>
    <n v="54265.3"/>
  </r>
  <r>
    <x v="223"/>
    <x v="12"/>
    <n v="54226.3"/>
  </r>
  <r>
    <x v="223"/>
    <x v="13"/>
    <n v="63935.9"/>
  </r>
  <r>
    <x v="223"/>
    <x v="14"/>
    <n v="68214.5"/>
  </r>
  <r>
    <x v="223"/>
    <x v="15"/>
    <n v="55006.400000000001"/>
  </r>
  <r>
    <x v="223"/>
    <x v="16"/>
    <n v="53893.7"/>
  </r>
  <r>
    <x v="223"/>
    <x v="17"/>
    <n v="53342.1"/>
  </r>
  <r>
    <x v="223"/>
    <x v="18"/>
    <n v="53408.3"/>
  </r>
  <r>
    <x v="223"/>
    <x v="19"/>
    <n v="52712.5"/>
  </r>
  <r>
    <x v="223"/>
    <x v="20"/>
    <n v="54426.6"/>
  </r>
  <r>
    <x v="223"/>
    <x v="21"/>
    <n v="54465.9"/>
  </r>
  <r>
    <x v="223"/>
    <x v="22"/>
    <n v="54533.9"/>
  </r>
  <r>
    <x v="223"/>
    <x v="23"/>
    <n v="54050.8"/>
  </r>
  <r>
    <x v="224"/>
    <x v="0"/>
    <n v="53713.3"/>
  </r>
  <r>
    <x v="224"/>
    <x v="1"/>
    <n v="53529.4"/>
  </r>
  <r>
    <x v="224"/>
    <x v="2"/>
    <n v="53577.5"/>
  </r>
  <r>
    <x v="224"/>
    <x v="3"/>
    <n v="53523.3"/>
  </r>
  <r>
    <x v="224"/>
    <x v="4"/>
    <n v="53526.2"/>
  </r>
  <r>
    <x v="224"/>
    <x v="5"/>
    <n v="53479.9"/>
  </r>
  <r>
    <x v="224"/>
    <x v="6"/>
    <n v="53516"/>
  </r>
  <r>
    <x v="224"/>
    <x v="7"/>
    <n v="53574.9"/>
  </r>
  <r>
    <x v="224"/>
    <x v="8"/>
    <n v="53600.2"/>
  </r>
  <r>
    <x v="224"/>
    <x v="9"/>
    <n v="53565.5"/>
  </r>
  <r>
    <x v="224"/>
    <x v="10"/>
    <n v="53577.9"/>
  </r>
  <r>
    <x v="224"/>
    <x v="11"/>
    <n v="53687.3"/>
  </r>
  <r>
    <x v="224"/>
    <x v="12"/>
    <n v="53679.6"/>
  </r>
  <r>
    <x v="224"/>
    <x v="13"/>
    <n v="53676.2"/>
  </r>
  <r>
    <x v="224"/>
    <x v="14"/>
    <n v="53657.2"/>
  </r>
  <r>
    <x v="224"/>
    <x v="15"/>
    <n v="53692.7"/>
  </r>
  <r>
    <x v="224"/>
    <x v="16"/>
    <n v="52686.400000000001"/>
  </r>
  <r>
    <x v="224"/>
    <x v="17"/>
    <n v="52591.199999999997"/>
  </r>
  <r>
    <x v="224"/>
    <x v="18"/>
    <n v="52687.4"/>
  </r>
  <r>
    <x v="224"/>
    <x v="19"/>
    <n v="53349"/>
  </r>
  <r>
    <x v="224"/>
    <x v="20"/>
    <n v="54006.9"/>
  </r>
  <r>
    <x v="224"/>
    <x v="21"/>
    <n v="53057.3"/>
  </r>
  <r>
    <x v="224"/>
    <x v="22"/>
    <n v="54184.3"/>
  </r>
  <r>
    <x v="224"/>
    <x v="23"/>
    <n v="54214.5"/>
  </r>
  <r>
    <x v="225"/>
    <x v="0"/>
    <n v="60530.9"/>
  </r>
  <r>
    <x v="225"/>
    <x v="1"/>
    <n v="60923.3"/>
  </r>
  <r>
    <x v="225"/>
    <x v="2"/>
    <n v="61551.199999999997"/>
  </r>
  <r>
    <x v="225"/>
    <x v="3"/>
    <n v="61662.400000000001"/>
  </r>
  <r>
    <x v="225"/>
    <x v="4"/>
    <n v="62500.2"/>
  </r>
  <r>
    <x v="225"/>
    <x v="5"/>
    <n v="62353"/>
  </r>
  <r>
    <x v="225"/>
    <x v="6"/>
    <n v="62436.6"/>
  </r>
  <r>
    <x v="225"/>
    <x v="7"/>
    <n v="62512.3"/>
  </r>
  <r>
    <x v="225"/>
    <x v="8"/>
    <n v="62528.800000000003"/>
  </r>
  <r>
    <x v="225"/>
    <x v="9"/>
    <n v="62607.5"/>
  </r>
  <r>
    <x v="225"/>
    <x v="10"/>
    <n v="62417.9"/>
  </r>
  <r>
    <x v="225"/>
    <x v="11"/>
    <n v="62638.7"/>
  </r>
  <r>
    <x v="225"/>
    <x v="12"/>
    <n v="62472.7"/>
  </r>
  <r>
    <x v="225"/>
    <x v="13"/>
    <n v="62556.9"/>
  </r>
  <r>
    <x v="225"/>
    <x v="14"/>
    <n v="62538.3"/>
  </r>
  <r>
    <x v="225"/>
    <x v="15"/>
    <n v="62490.3"/>
  </r>
  <r>
    <x v="225"/>
    <x v="16"/>
    <n v="62455.8"/>
  </r>
  <r>
    <x v="225"/>
    <x v="17"/>
    <n v="62299.7"/>
  </r>
  <r>
    <x v="225"/>
    <x v="18"/>
    <n v="61298.3"/>
  </r>
  <r>
    <x v="225"/>
    <x v="19"/>
    <n v="72104.5"/>
  </r>
  <r>
    <x v="225"/>
    <x v="20"/>
    <n v="76341.600000000006"/>
  </r>
  <r>
    <x v="225"/>
    <x v="21"/>
    <n v="75799.100000000006"/>
  </r>
  <r>
    <x v="225"/>
    <x v="22"/>
    <n v="74237"/>
  </r>
  <r>
    <x v="225"/>
    <x v="23"/>
    <n v="76469.3"/>
  </r>
  <r>
    <x v="226"/>
    <x v="0"/>
    <n v="62350.8"/>
  </r>
  <r>
    <x v="226"/>
    <x v="1"/>
    <n v="59162.1"/>
  </r>
  <r>
    <x v="226"/>
    <x v="2"/>
    <n v="59134.7"/>
  </r>
  <r>
    <x v="226"/>
    <x v="3"/>
    <n v="59516.2"/>
  </r>
  <r>
    <x v="226"/>
    <x v="4"/>
    <n v="59879.199999999997"/>
  </r>
  <r>
    <x v="226"/>
    <x v="5"/>
    <n v="59924.6"/>
  </r>
  <r>
    <x v="226"/>
    <x v="6"/>
    <n v="59844.1"/>
  </r>
  <r>
    <x v="226"/>
    <x v="7"/>
    <n v="59759.8"/>
  </r>
  <r>
    <x v="226"/>
    <x v="8"/>
    <n v="61633.4"/>
  </r>
  <r>
    <x v="226"/>
    <x v="9"/>
    <n v="59379.1"/>
  </r>
  <r>
    <x v="226"/>
    <x v="10"/>
    <n v="59992.6"/>
  </r>
  <r>
    <x v="226"/>
    <x v="11"/>
    <n v="59856.5"/>
  </r>
  <r>
    <x v="226"/>
    <x v="12"/>
    <n v="59167.6"/>
  </r>
  <r>
    <x v="226"/>
    <x v="13"/>
    <n v="64548"/>
  </r>
  <r>
    <x v="226"/>
    <x v="14"/>
    <n v="75361.600000000006"/>
  </r>
  <r>
    <x v="226"/>
    <x v="15"/>
    <n v="66234.8"/>
  </r>
  <r>
    <x v="226"/>
    <x v="16"/>
    <n v="62839"/>
  </r>
  <r>
    <x v="226"/>
    <x v="17"/>
    <n v="62518.400000000001"/>
  </r>
  <r>
    <x v="226"/>
    <x v="18"/>
    <n v="62194.400000000001"/>
  </r>
  <r>
    <x v="226"/>
    <x v="19"/>
    <n v="61821.9"/>
  </r>
  <r>
    <x v="226"/>
    <x v="20"/>
    <n v="62441.2"/>
  </r>
  <r>
    <x v="226"/>
    <x v="21"/>
    <n v="62118.5"/>
  </r>
  <r>
    <x v="226"/>
    <x v="22"/>
    <n v="62257.2"/>
  </r>
  <r>
    <x v="226"/>
    <x v="23"/>
    <n v="61622.1"/>
  </r>
  <r>
    <x v="227"/>
    <x v="0"/>
    <n v="52066.400000000001"/>
  </r>
  <r>
    <x v="227"/>
    <x v="1"/>
    <n v="51389"/>
  </r>
  <r>
    <x v="227"/>
    <x v="2"/>
    <n v="51329.1"/>
  </r>
  <r>
    <x v="227"/>
    <x v="3"/>
    <n v="51386.8"/>
  </r>
  <r>
    <x v="227"/>
    <x v="4"/>
    <n v="51392.7"/>
  </r>
  <r>
    <x v="227"/>
    <x v="5"/>
    <n v="51283.3"/>
  </r>
  <r>
    <x v="227"/>
    <x v="6"/>
    <n v="51377"/>
  </r>
  <r>
    <x v="227"/>
    <x v="7"/>
    <n v="51371.199999999997"/>
  </r>
  <r>
    <x v="227"/>
    <x v="8"/>
    <n v="51502.9"/>
  </r>
  <r>
    <x v="227"/>
    <x v="9"/>
    <n v="51465.4"/>
  </r>
  <r>
    <x v="227"/>
    <x v="10"/>
    <n v="51652.4"/>
  </r>
  <r>
    <x v="227"/>
    <x v="11"/>
    <n v="51563.9"/>
  </r>
  <r>
    <x v="227"/>
    <x v="12"/>
    <n v="51518.3"/>
  </r>
  <r>
    <x v="227"/>
    <x v="13"/>
    <n v="51508.6"/>
  </r>
  <r>
    <x v="227"/>
    <x v="14"/>
    <n v="51602"/>
  </r>
  <r>
    <x v="227"/>
    <x v="15"/>
    <n v="51588.3"/>
  </r>
  <r>
    <x v="227"/>
    <x v="16"/>
    <n v="51573.7"/>
  </r>
  <r>
    <x v="227"/>
    <x v="17"/>
    <n v="51638"/>
  </r>
  <r>
    <x v="227"/>
    <x v="18"/>
    <n v="52054.2"/>
  </r>
  <r>
    <x v="227"/>
    <x v="19"/>
    <n v="52037.9"/>
  </r>
  <r>
    <x v="227"/>
    <x v="20"/>
    <n v="52080.1"/>
  </r>
  <r>
    <x v="227"/>
    <x v="21"/>
    <n v="51849.4"/>
  </r>
  <r>
    <x v="227"/>
    <x v="22"/>
    <n v="51899.199999999997"/>
  </r>
  <r>
    <x v="227"/>
    <x v="23"/>
    <n v="51989.1"/>
  </r>
  <r>
    <x v="228"/>
    <x v="0"/>
    <n v="51939.3"/>
  </r>
  <r>
    <x v="228"/>
    <x v="1"/>
    <n v="51223.7"/>
  </r>
  <r>
    <x v="228"/>
    <x v="2"/>
    <n v="51415.5"/>
  </r>
  <r>
    <x v="228"/>
    <x v="3"/>
    <n v="51492.800000000003"/>
  </r>
  <r>
    <x v="228"/>
    <x v="4"/>
    <n v="52046.3"/>
  </r>
  <r>
    <x v="228"/>
    <x v="5"/>
    <n v="51931.6"/>
  </r>
  <r>
    <x v="228"/>
    <x v="6"/>
    <n v="51954.8"/>
  </r>
  <r>
    <x v="228"/>
    <x v="7"/>
    <n v="52031.9"/>
  </r>
  <r>
    <x v="228"/>
    <x v="8"/>
    <n v="52002.1"/>
  </r>
  <r>
    <x v="228"/>
    <x v="9"/>
    <n v="51848.7"/>
  </r>
  <r>
    <x v="228"/>
    <x v="10"/>
    <n v="52036.800000000003"/>
  </r>
  <r>
    <x v="228"/>
    <x v="11"/>
    <n v="52111.8"/>
  </r>
  <r>
    <x v="228"/>
    <x v="12"/>
    <n v="52039.4"/>
  </r>
  <r>
    <x v="228"/>
    <x v="13"/>
    <n v="52157.9"/>
  </r>
  <r>
    <x v="228"/>
    <x v="14"/>
    <n v="52069.599999999999"/>
  </r>
  <r>
    <x v="228"/>
    <x v="15"/>
    <n v="52143.4"/>
  </r>
  <r>
    <x v="228"/>
    <x v="16"/>
    <n v="52097.7"/>
  </r>
  <r>
    <x v="228"/>
    <x v="17"/>
    <n v="52057.5"/>
  </r>
  <r>
    <x v="228"/>
    <x v="18"/>
    <n v="52677.1"/>
  </r>
  <r>
    <x v="228"/>
    <x v="19"/>
    <n v="52592.9"/>
  </r>
  <r>
    <x v="228"/>
    <x v="20"/>
    <n v="62452.4"/>
  </r>
  <r>
    <x v="228"/>
    <x v="21"/>
    <n v="52860.1"/>
  </r>
  <r>
    <x v="228"/>
    <x v="22"/>
    <n v="52162"/>
  </r>
  <r>
    <x v="228"/>
    <x v="23"/>
    <n v="52358.7"/>
  </r>
  <r>
    <x v="229"/>
    <x v="0"/>
    <n v="51713.3"/>
  </r>
  <r>
    <x v="229"/>
    <x v="1"/>
    <n v="50995.3"/>
  </r>
  <r>
    <x v="229"/>
    <x v="2"/>
    <n v="51502.1"/>
  </r>
  <r>
    <x v="229"/>
    <x v="3"/>
    <n v="51622"/>
  </r>
  <r>
    <x v="229"/>
    <x v="4"/>
    <n v="51688.800000000003"/>
  </r>
  <r>
    <x v="229"/>
    <x v="5"/>
    <n v="51630.9"/>
  </r>
  <r>
    <x v="229"/>
    <x v="6"/>
    <n v="51667"/>
  </r>
  <r>
    <x v="229"/>
    <x v="7"/>
    <n v="51804.800000000003"/>
  </r>
  <r>
    <x v="229"/>
    <x v="8"/>
    <n v="51794.7"/>
  </r>
  <r>
    <x v="229"/>
    <x v="9"/>
    <n v="51877.8"/>
  </r>
  <r>
    <x v="229"/>
    <x v="10"/>
    <n v="51905.5"/>
  </r>
  <r>
    <x v="229"/>
    <x v="11"/>
    <n v="51880.7"/>
  </r>
  <r>
    <x v="229"/>
    <x v="12"/>
    <n v="51814.400000000001"/>
  </r>
  <r>
    <x v="229"/>
    <x v="13"/>
    <n v="51905.1"/>
  </r>
  <r>
    <x v="229"/>
    <x v="14"/>
    <n v="50545.2"/>
  </r>
  <r>
    <x v="229"/>
    <x v="15"/>
    <n v="51200.4"/>
  </r>
  <r>
    <x v="229"/>
    <x v="16"/>
    <n v="51269.9"/>
  </r>
  <r>
    <x v="229"/>
    <x v="17"/>
    <n v="51244.4"/>
  </r>
  <r>
    <x v="229"/>
    <x v="18"/>
    <n v="51935.6"/>
  </r>
  <r>
    <x v="229"/>
    <x v="19"/>
    <n v="52641"/>
  </r>
  <r>
    <x v="229"/>
    <x v="20"/>
    <n v="52497.1"/>
  </r>
  <r>
    <x v="229"/>
    <x v="21"/>
    <n v="52226.7"/>
  </r>
  <r>
    <x v="229"/>
    <x v="22"/>
    <n v="52357.5"/>
  </r>
  <r>
    <x v="229"/>
    <x v="23"/>
    <n v="53236.1"/>
  </r>
  <r>
    <x v="230"/>
    <x v="0"/>
    <n v="54413.2"/>
  </r>
  <r>
    <x v="230"/>
    <x v="1"/>
    <n v="53905.9"/>
  </r>
  <r>
    <x v="230"/>
    <x v="2"/>
    <n v="53081.599999999999"/>
  </r>
  <r>
    <x v="230"/>
    <x v="3"/>
    <n v="53741.7"/>
  </r>
  <r>
    <x v="230"/>
    <x v="4"/>
    <n v="54480.5"/>
  </r>
  <r>
    <x v="230"/>
    <x v="5"/>
    <n v="54192.5"/>
  </r>
  <r>
    <x v="230"/>
    <x v="6"/>
    <n v="53910.7"/>
  </r>
  <r>
    <x v="230"/>
    <x v="7"/>
    <n v="53627.9"/>
  </r>
  <r>
    <x v="230"/>
    <x v="8"/>
    <n v="53552.4"/>
  </r>
  <r>
    <x v="230"/>
    <x v="9"/>
    <n v="53660.2"/>
  </r>
  <r>
    <x v="230"/>
    <x v="10"/>
    <n v="53600"/>
  </r>
  <r>
    <x v="230"/>
    <x v="11"/>
    <n v="53665.3"/>
  </r>
  <r>
    <x v="230"/>
    <x v="12"/>
    <n v="53493.3"/>
  </r>
  <r>
    <x v="230"/>
    <x v="13"/>
    <n v="53537.1"/>
  </r>
  <r>
    <x v="230"/>
    <x v="14"/>
    <n v="53651.199999999997"/>
  </r>
  <r>
    <x v="230"/>
    <x v="15"/>
    <n v="52877.4"/>
  </r>
  <r>
    <x v="230"/>
    <x v="16"/>
    <n v="52668"/>
  </r>
  <r>
    <x v="230"/>
    <x v="17"/>
    <n v="52663.1"/>
  </r>
  <r>
    <x v="230"/>
    <x v="18"/>
    <n v="52281.5"/>
  </r>
  <r>
    <x v="230"/>
    <x v="19"/>
    <n v="52886.1"/>
  </r>
  <r>
    <x v="230"/>
    <x v="20"/>
    <n v="53774.5"/>
  </r>
  <r>
    <x v="230"/>
    <x v="21"/>
    <n v="53584.9"/>
  </r>
  <r>
    <x v="230"/>
    <x v="22"/>
    <n v="53515.4"/>
  </r>
  <r>
    <x v="230"/>
    <x v="23"/>
    <n v="53973.1"/>
  </r>
  <r>
    <x v="231"/>
    <x v="0"/>
    <n v="54173"/>
  </r>
  <r>
    <x v="231"/>
    <x v="1"/>
    <n v="52912.6"/>
  </r>
  <r>
    <x v="231"/>
    <x v="2"/>
    <n v="53348.9"/>
  </r>
  <r>
    <x v="231"/>
    <x v="3"/>
    <n v="53692.7"/>
  </r>
  <r>
    <x v="231"/>
    <x v="4"/>
    <n v="68198.8"/>
  </r>
  <r>
    <x v="231"/>
    <x v="5"/>
    <n v="68141.399999999994"/>
  </r>
  <r>
    <x v="231"/>
    <x v="6"/>
    <n v="72511.899999999994"/>
  </r>
  <r>
    <x v="231"/>
    <x v="7"/>
    <n v="68580"/>
  </r>
  <r>
    <x v="231"/>
    <x v="8"/>
    <n v="53686"/>
  </r>
  <r>
    <x v="231"/>
    <x v="9"/>
    <n v="53564.1"/>
  </r>
  <r>
    <x v="231"/>
    <x v="10"/>
    <n v="53755.6"/>
  </r>
  <r>
    <x v="231"/>
    <x v="11"/>
    <n v="53417.599999999999"/>
  </r>
  <r>
    <x v="231"/>
    <x v="12"/>
    <n v="53151.5"/>
  </r>
  <r>
    <x v="231"/>
    <x v="13"/>
    <n v="52141.1"/>
  </r>
  <r>
    <x v="231"/>
    <x v="14"/>
    <n v="53879.1"/>
  </r>
  <r>
    <x v="231"/>
    <x v="15"/>
    <n v="54123.3"/>
  </r>
  <r>
    <x v="231"/>
    <x v="16"/>
    <n v="54194.1"/>
  </r>
  <r>
    <x v="231"/>
    <x v="17"/>
    <n v="54209.3"/>
  </r>
  <r>
    <x v="231"/>
    <x v="18"/>
    <n v="53566"/>
  </r>
  <r>
    <x v="231"/>
    <x v="19"/>
    <n v="53761.1"/>
  </r>
  <r>
    <x v="231"/>
    <x v="20"/>
    <n v="53696.4"/>
  </r>
  <r>
    <x v="231"/>
    <x v="21"/>
    <n v="53599.6"/>
  </r>
  <r>
    <x v="231"/>
    <x v="22"/>
    <n v="53641"/>
  </r>
  <r>
    <x v="231"/>
    <x v="23"/>
    <n v="54065.9"/>
  </r>
  <r>
    <x v="232"/>
    <x v="0"/>
    <n v="52927"/>
  </r>
  <r>
    <x v="232"/>
    <x v="1"/>
    <n v="54687"/>
  </r>
  <r>
    <x v="232"/>
    <x v="2"/>
    <n v="54273.599999999999"/>
  </r>
  <r>
    <x v="232"/>
    <x v="3"/>
    <n v="53637.5"/>
  </r>
  <r>
    <x v="232"/>
    <x v="4"/>
    <n v="53647"/>
  </r>
  <r>
    <x v="232"/>
    <x v="5"/>
    <n v="53549.9"/>
  </r>
  <r>
    <x v="232"/>
    <x v="6"/>
    <n v="53613.5"/>
  </r>
  <r>
    <x v="232"/>
    <x v="7"/>
    <n v="53611.7"/>
  </r>
  <r>
    <x v="232"/>
    <x v="8"/>
    <n v="53781.599999999999"/>
  </r>
  <r>
    <x v="232"/>
    <x v="9"/>
    <n v="53592"/>
  </r>
  <r>
    <x v="232"/>
    <x v="10"/>
    <n v="53643.3"/>
  </r>
  <r>
    <x v="232"/>
    <x v="11"/>
    <n v="53580"/>
  </r>
  <r>
    <x v="232"/>
    <x v="12"/>
    <n v="53676.7"/>
  </r>
  <r>
    <x v="232"/>
    <x v="13"/>
    <n v="53634.8"/>
  </r>
  <r>
    <x v="232"/>
    <x v="14"/>
    <n v="53637.2"/>
  </r>
  <r>
    <x v="232"/>
    <x v="15"/>
    <n v="53696.6"/>
  </r>
  <r>
    <x v="232"/>
    <x v="16"/>
    <n v="53626"/>
  </r>
  <r>
    <x v="232"/>
    <x v="17"/>
    <n v="53707.7"/>
  </r>
  <r>
    <x v="232"/>
    <x v="18"/>
    <n v="67978"/>
  </r>
  <r>
    <x v="232"/>
    <x v="19"/>
    <n v="67926.3"/>
  </r>
  <r>
    <x v="232"/>
    <x v="20"/>
    <n v="67910.8"/>
  </r>
  <r>
    <x v="232"/>
    <x v="21"/>
    <n v="69190.600000000006"/>
  </r>
  <r>
    <x v="232"/>
    <x v="22"/>
    <n v="70148.2"/>
  </r>
  <r>
    <x v="232"/>
    <x v="23"/>
    <n v="69829.399999999994"/>
  </r>
  <r>
    <x v="233"/>
    <x v="0"/>
    <m/>
  </r>
  <r>
    <x v="233"/>
    <x v="1"/>
    <m/>
  </r>
  <r>
    <x v="233"/>
    <x v="2"/>
    <m/>
  </r>
  <r>
    <x v="233"/>
    <x v="3"/>
    <m/>
  </r>
  <r>
    <x v="233"/>
    <x v="4"/>
    <m/>
  </r>
  <r>
    <x v="233"/>
    <x v="5"/>
    <m/>
  </r>
  <r>
    <x v="233"/>
    <x v="6"/>
    <m/>
  </r>
  <r>
    <x v="233"/>
    <x v="7"/>
    <m/>
  </r>
  <r>
    <x v="233"/>
    <x v="8"/>
    <m/>
  </r>
  <r>
    <x v="233"/>
    <x v="9"/>
    <m/>
  </r>
  <r>
    <x v="233"/>
    <x v="10"/>
    <m/>
  </r>
  <r>
    <x v="233"/>
    <x v="11"/>
    <m/>
  </r>
  <r>
    <x v="233"/>
    <x v="12"/>
    <m/>
  </r>
  <r>
    <x v="233"/>
    <x v="13"/>
    <m/>
  </r>
  <r>
    <x v="233"/>
    <x v="14"/>
    <m/>
  </r>
  <r>
    <x v="233"/>
    <x v="15"/>
    <m/>
  </r>
  <r>
    <x v="233"/>
    <x v="16"/>
    <m/>
  </r>
  <r>
    <x v="233"/>
    <x v="17"/>
    <m/>
  </r>
  <r>
    <x v="233"/>
    <x v="18"/>
    <m/>
  </r>
  <r>
    <x v="233"/>
    <x v="19"/>
    <m/>
  </r>
  <r>
    <x v="233"/>
    <x v="20"/>
    <m/>
  </r>
  <r>
    <x v="233"/>
    <x v="21"/>
    <m/>
  </r>
  <r>
    <x v="233"/>
    <x v="22"/>
    <m/>
  </r>
  <r>
    <x v="233"/>
    <x v="23"/>
    <m/>
  </r>
  <r>
    <x v="234"/>
    <x v="0"/>
    <m/>
  </r>
  <r>
    <x v="234"/>
    <x v="1"/>
    <m/>
  </r>
  <r>
    <x v="234"/>
    <x v="2"/>
    <m/>
  </r>
  <r>
    <x v="234"/>
    <x v="3"/>
    <m/>
  </r>
  <r>
    <x v="234"/>
    <x v="4"/>
    <m/>
  </r>
  <r>
    <x v="234"/>
    <x v="5"/>
    <m/>
  </r>
  <r>
    <x v="234"/>
    <x v="6"/>
    <m/>
  </r>
  <r>
    <x v="234"/>
    <x v="7"/>
    <m/>
  </r>
  <r>
    <x v="234"/>
    <x v="8"/>
    <m/>
  </r>
  <r>
    <x v="234"/>
    <x v="9"/>
    <m/>
  </r>
  <r>
    <x v="234"/>
    <x v="10"/>
    <m/>
  </r>
  <r>
    <x v="234"/>
    <x v="11"/>
    <m/>
  </r>
  <r>
    <x v="234"/>
    <x v="12"/>
    <m/>
  </r>
  <r>
    <x v="234"/>
    <x v="13"/>
    <m/>
  </r>
  <r>
    <x v="234"/>
    <x v="14"/>
    <m/>
  </r>
  <r>
    <x v="234"/>
    <x v="15"/>
    <m/>
  </r>
  <r>
    <x v="234"/>
    <x v="16"/>
    <m/>
  </r>
  <r>
    <x v="234"/>
    <x v="17"/>
    <m/>
  </r>
  <r>
    <x v="234"/>
    <x v="18"/>
    <m/>
  </r>
  <r>
    <x v="234"/>
    <x v="19"/>
    <m/>
  </r>
  <r>
    <x v="234"/>
    <x v="20"/>
    <m/>
  </r>
  <r>
    <x v="234"/>
    <x v="21"/>
    <m/>
  </r>
  <r>
    <x v="234"/>
    <x v="22"/>
    <m/>
  </r>
  <r>
    <x v="234"/>
    <x v="23"/>
    <m/>
  </r>
  <r>
    <x v="235"/>
    <x v="0"/>
    <m/>
  </r>
  <r>
    <x v="235"/>
    <x v="1"/>
    <m/>
  </r>
  <r>
    <x v="235"/>
    <x v="2"/>
    <m/>
  </r>
  <r>
    <x v="235"/>
    <x v="3"/>
    <m/>
  </r>
  <r>
    <x v="235"/>
    <x v="4"/>
    <m/>
  </r>
  <r>
    <x v="235"/>
    <x v="5"/>
    <m/>
  </r>
  <r>
    <x v="235"/>
    <x v="6"/>
    <m/>
  </r>
  <r>
    <x v="235"/>
    <x v="7"/>
    <m/>
  </r>
  <r>
    <x v="235"/>
    <x v="8"/>
    <m/>
  </r>
  <r>
    <x v="235"/>
    <x v="9"/>
    <m/>
  </r>
  <r>
    <x v="235"/>
    <x v="10"/>
    <m/>
  </r>
  <r>
    <x v="235"/>
    <x v="11"/>
    <m/>
  </r>
  <r>
    <x v="235"/>
    <x v="12"/>
    <m/>
  </r>
  <r>
    <x v="235"/>
    <x v="13"/>
    <m/>
  </r>
  <r>
    <x v="235"/>
    <x v="14"/>
    <m/>
  </r>
  <r>
    <x v="235"/>
    <x v="15"/>
    <m/>
  </r>
  <r>
    <x v="235"/>
    <x v="16"/>
    <m/>
  </r>
  <r>
    <x v="235"/>
    <x v="17"/>
    <m/>
  </r>
  <r>
    <x v="235"/>
    <x v="18"/>
    <m/>
  </r>
  <r>
    <x v="235"/>
    <x v="19"/>
    <m/>
  </r>
  <r>
    <x v="235"/>
    <x v="20"/>
    <m/>
  </r>
  <r>
    <x v="235"/>
    <x v="21"/>
    <m/>
  </r>
  <r>
    <x v="235"/>
    <x v="22"/>
    <m/>
  </r>
  <r>
    <x v="235"/>
    <x v="23"/>
    <m/>
  </r>
  <r>
    <x v="236"/>
    <x v="0"/>
    <m/>
  </r>
  <r>
    <x v="236"/>
    <x v="1"/>
    <m/>
  </r>
  <r>
    <x v="236"/>
    <x v="2"/>
    <m/>
  </r>
  <r>
    <x v="236"/>
    <x v="3"/>
    <m/>
  </r>
  <r>
    <x v="236"/>
    <x v="4"/>
    <m/>
  </r>
  <r>
    <x v="236"/>
    <x v="5"/>
    <m/>
  </r>
  <r>
    <x v="236"/>
    <x v="6"/>
    <m/>
  </r>
  <r>
    <x v="236"/>
    <x v="7"/>
    <m/>
  </r>
  <r>
    <x v="236"/>
    <x v="8"/>
    <m/>
  </r>
  <r>
    <x v="236"/>
    <x v="9"/>
    <m/>
  </r>
  <r>
    <x v="236"/>
    <x v="10"/>
    <m/>
  </r>
  <r>
    <x v="236"/>
    <x v="11"/>
    <m/>
  </r>
  <r>
    <x v="236"/>
    <x v="12"/>
    <m/>
  </r>
  <r>
    <x v="236"/>
    <x v="13"/>
    <m/>
  </r>
  <r>
    <x v="236"/>
    <x v="14"/>
    <m/>
  </r>
  <r>
    <x v="236"/>
    <x v="15"/>
    <m/>
  </r>
  <r>
    <x v="236"/>
    <x v="16"/>
    <m/>
  </r>
  <r>
    <x v="236"/>
    <x v="17"/>
    <m/>
  </r>
  <r>
    <x v="236"/>
    <x v="18"/>
    <m/>
  </r>
  <r>
    <x v="236"/>
    <x v="19"/>
    <m/>
  </r>
  <r>
    <x v="236"/>
    <x v="20"/>
    <m/>
  </r>
  <r>
    <x v="236"/>
    <x v="21"/>
    <m/>
  </r>
  <r>
    <x v="236"/>
    <x v="22"/>
    <m/>
  </r>
  <r>
    <x v="236"/>
    <x v="23"/>
    <m/>
  </r>
  <r>
    <x v="237"/>
    <x v="0"/>
    <m/>
  </r>
  <r>
    <x v="237"/>
    <x v="1"/>
    <m/>
  </r>
  <r>
    <x v="237"/>
    <x v="2"/>
    <m/>
  </r>
  <r>
    <x v="237"/>
    <x v="3"/>
    <m/>
  </r>
  <r>
    <x v="237"/>
    <x v="4"/>
    <m/>
  </r>
  <r>
    <x v="237"/>
    <x v="5"/>
    <m/>
  </r>
  <r>
    <x v="237"/>
    <x v="6"/>
    <m/>
  </r>
  <r>
    <x v="237"/>
    <x v="7"/>
    <m/>
  </r>
  <r>
    <x v="237"/>
    <x v="8"/>
    <m/>
  </r>
  <r>
    <x v="237"/>
    <x v="9"/>
    <m/>
  </r>
  <r>
    <x v="237"/>
    <x v="10"/>
    <m/>
  </r>
  <r>
    <x v="237"/>
    <x v="11"/>
    <m/>
  </r>
  <r>
    <x v="237"/>
    <x v="12"/>
    <m/>
  </r>
  <r>
    <x v="237"/>
    <x v="13"/>
    <m/>
  </r>
  <r>
    <x v="237"/>
    <x v="14"/>
    <m/>
  </r>
  <r>
    <x v="237"/>
    <x v="15"/>
    <m/>
  </r>
  <r>
    <x v="237"/>
    <x v="16"/>
    <m/>
  </r>
  <r>
    <x v="237"/>
    <x v="17"/>
    <m/>
  </r>
  <r>
    <x v="237"/>
    <x v="18"/>
    <m/>
  </r>
  <r>
    <x v="237"/>
    <x v="19"/>
    <m/>
  </r>
  <r>
    <x v="237"/>
    <x v="20"/>
    <m/>
  </r>
  <r>
    <x v="237"/>
    <x v="21"/>
    <m/>
  </r>
  <r>
    <x v="237"/>
    <x v="22"/>
    <m/>
  </r>
  <r>
    <x v="237"/>
    <x v="23"/>
    <m/>
  </r>
  <r>
    <x v="238"/>
    <x v="0"/>
    <m/>
  </r>
  <r>
    <x v="238"/>
    <x v="1"/>
    <m/>
  </r>
  <r>
    <x v="238"/>
    <x v="2"/>
    <m/>
  </r>
  <r>
    <x v="238"/>
    <x v="3"/>
    <m/>
  </r>
  <r>
    <x v="238"/>
    <x v="4"/>
    <m/>
  </r>
  <r>
    <x v="238"/>
    <x v="5"/>
    <m/>
  </r>
  <r>
    <x v="238"/>
    <x v="6"/>
    <m/>
  </r>
  <r>
    <x v="238"/>
    <x v="7"/>
    <m/>
  </r>
  <r>
    <x v="238"/>
    <x v="8"/>
    <m/>
  </r>
  <r>
    <x v="238"/>
    <x v="9"/>
    <m/>
  </r>
  <r>
    <x v="238"/>
    <x v="10"/>
    <m/>
  </r>
  <r>
    <x v="238"/>
    <x v="11"/>
    <m/>
  </r>
  <r>
    <x v="238"/>
    <x v="12"/>
    <m/>
  </r>
  <r>
    <x v="238"/>
    <x v="13"/>
    <m/>
  </r>
  <r>
    <x v="238"/>
    <x v="14"/>
    <m/>
  </r>
  <r>
    <x v="238"/>
    <x v="15"/>
    <m/>
  </r>
  <r>
    <x v="238"/>
    <x v="16"/>
    <m/>
  </r>
  <r>
    <x v="238"/>
    <x v="17"/>
    <m/>
  </r>
  <r>
    <x v="238"/>
    <x v="18"/>
    <m/>
  </r>
  <r>
    <x v="238"/>
    <x v="19"/>
    <m/>
  </r>
  <r>
    <x v="238"/>
    <x v="20"/>
    <m/>
  </r>
  <r>
    <x v="238"/>
    <x v="21"/>
    <m/>
  </r>
  <r>
    <x v="238"/>
    <x v="22"/>
    <m/>
  </r>
  <r>
    <x v="238"/>
    <x v="23"/>
    <m/>
  </r>
  <r>
    <x v="239"/>
    <x v="0"/>
    <m/>
  </r>
  <r>
    <x v="239"/>
    <x v="1"/>
    <m/>
  </r>
  <r>
    <x v="239"/>
    <x v="2"/>
    <m/>
  </r>
  <r>
    <x v="239"/>
    <x v="3"/>
    <m/>
  </r>
  <r>
    <x v="239"/>
    <x v="4"/>
    <m/>
  </r>
  <r>
    <x v="239"/>
    <x v="5"/>
    <m/>
  </r>
  <r>
    <x v="239"/>
    <x v="6"/>
    <m/>
  </r>
  <r>
    <x v="239"/>
    <x v="7"/>
    <m/>
  </r>
  <r>
    <x v="239"/>
    <x v="8"/>
    <m/>
  </r>
  <r>
    <x v="239"/>
    <x v="9"/>
    <m/>
  </r>
  <r>
    <x v="239"/>
    <x v="10"/>
    <m/>
  </r>
  <r>
    <x v="239"/>
    <x v="11"/>
    <m/>
  </r>
  <r>
    <x v="239"/>
    <x v="12"/>
    <m/>
  </r>
  <r>
    <x v="239"/>
    <x v="13"/>
    <m/>
  </r>
  <r>
    <x v="239"/>
    <x v="14"/>
    <m/>
  </r>
  <r>
    <x v="239"/>
    <x v="15"/>
    <m/>
  </r>
  <r>
    <x v="239"/>
    <x v="16"/>
    <m/>
  </r>
  <r>
    <x v="239"/>
    <x v="17"/>
    <m/>
  </r>
  <r>
    <x v="239"/>
    <x v="18"/>
    <m/>
  </r>
  <r>
    <x v="239"/>
    <x v="19"/>
    <m/>
  </r>
  <r>
    <x v="239"/>
    <x v="20"/>
    <m/>
  </r>
  <r>
    <x v="239"/>
    <x v="21"/>
    <m/>
  </r>
  <r>
    <x v="239"/>
    <x v="22"/>
    <m/>
  </r>
  <r>
    <x v="239"/>
    <x v="23"/>
    <m/>
  </r>
  <r>
    <x v="240"/>
    <x v="0"/>
    <m/>
  </r>
  <r>
    <x v="240"/>
    <x v="1"/>
    <m/>
  </r>
  <r>
    <x v="240"/>
    <x v="2"/>
    <m/>
  </r>
  <r>
    <x v="240"/>
    <x v="3"/>
    <m/>
  </r>
  <r>
    <x v="240"/>
    <x v="4"/>
    <m/>
  </r>
  <r>
    <x v="240"/>
    <x v="5"/>
    <m/>
  </r>
  <r>
    <x v="240"/>
    <x v="6"/>
    <m/>
  </r>
  <r>
    <x v="240"/>
    <x v="7"/>
    <m/>
  </r>
  <r>
    <x v="240"/>
    <x v="8"/>
    <m/>
  </r>
  <r>
    <x v="240"/>
    <x v="9"/>
    <m/>
  </r>
  <r>
    <x v="240"/>
    <x v="10"/>
    <m/>
  </r>
  <r>
    <x v="240"/>
    <x v="11"/>
    <m/>
  </r>
  <r>
    <x v="240"/>
    <x v="12"/>
    <m/>
  </r>
  <r>
    <x v="240"/>
    <x v="13"/>
    <m/>
  </r>
  <r>
    <x v="240"/>
    <x v="14"/>
    <m/>
  </r>
  <r>
    <x v="240"/>
    <x v="15"/>
    <m/>
  </r>
  <r>
    <x v="240"/>
    <x v="16"/>
    <m/>
  </r>
  <r>
    <x v="240"/>
    <x v="17"/>
    <m/>
  </r>
  <r>
    <x v="240"/>
    <x v="18"/>
    <m/>
  </r>
  <r>
    <x v="240"/>
    <x v="19"/>
    <m/>
  </r>
  <r>
    <x v="240"/>
    <x v="20"/>
    <m/>
  </r>
  <r>
    <x v="240"/>
    <x v="21"/>
    <m/>
  </r>
  <r>
    <x v="240"/>
    <x v="22"/>
    <m/>
  </r>
  <r>
    <x v="240"/>
    <x v="23"/>
    <m/>
  </r>
  <r>
    <x v="241"/>
    <x v="0"/>
    <m/>
  </r>
  <r>
    <x v="241"/>
    <x v="1"/>
    <m/>
  </r>
  <r>
    <x v="241"/>
    <x v="2"/>
    <m/>
  </r>
  <r>
    <x v="241"/>
    <x v="3"/>
    <m/>
  </r>
  <r>
    <x v="241"/>
    <x v="4"/>
    <m/>
  </r>
  <r>
    <x v="241"/>
    <x v="5"/>
    <m/>
  </r>
  <r>
    <x v="241"/>
    <x v="6"/>
    <m/>
  </r>
  <r>
    <x v="241"/>
    <x v="7"/>
    <m/>
  </r>
  <r>
    <x v="241"/>
    <x v="8"/>
    <m/>
  </r>
  <r>
    <x v="241"/>
    <x v="9"/>
    <m/>
  </r>
  <r>
    <x v="241"/>
    <x v="10"/>
    <m/>
  </r>
  <r>
    <x v="241"/>
    <x v="11"/>
    <m/>
  </r>
  <r>
    <x v="241"/>
    <x v="12"/>
    <m/>
  </r>
  <r>
    <x v="241"/>
    <x v="13"/>
    <m/>
  </r>
  <r>
    <x v="241"/>
    <x v="14"/>
    <m/>
  </r>
  <r>
    <x v="241"/>
    <x v="15"/>
    <m/>
  </r>
  <r>
    <x v="241"/>
    <x v="16"/>
    <m/>
  </r>
  <r>
    <x v="241"/>
    <x v="17"/>
    <m/>
  </r>
  <r>
    <x v="241"/>
    <x v="18"/>
    <m/>
  </r>
  <r>
    <x v="241"/>
    <x v="19"/>
    <m/>
  </r>
  <r>
    <x v="241"/>
    <x v="20"/>
    <m/>
  </r>
  <r>
    <x v="241"/>
    <x v="21"/>
    <m/>
  </r>
  <r>
    <x v="241"/>
    <x v="22"/>
    <m/>
  </r>
  <r>
    <x v="241"/>
    <x v="23"/>
    <m/>
  </r>
  <r>
    <x v="242"/>
    <x v="0"/>
    <m/>
  </r>
  <r>
    <x v="242"/>
    <x v="1"/>
    <m/>
  </r>
  <r>
    <x v="242"/>
    <x v="2"/>
    <m/>
  </r>
  <r>
    <x v="242"/>
    <x v="3"/>
    <m/>
  </r>
  <r>
    <x v="242"/>
    <x v="4"/>
    <m/>
  </r>
  <r>
    <x v="242"/>
    <x v="5"/>
    <m/>
  </r>
  <r>
    <x v="242"/>
    <x v="6"/>
    <m/>
  </r>
  <r>
    <x v="242"/>
    <x v="7"/>
    <m/>
  </r>
  <r>
    <x v="242"/>
    <x v="8"/>
    <m/>
  </r>
  <r>
    <x v="242"/>
    <x v="9"/>
    <m/>
  </r>
  <r>
    <x v="242"/>
    <x v="10"/>
    <m/>
  </r>
  <r>
    <x v="242"/>
    <x v="11"/>
    <m/>
  </r>
  <r>
    <x v="242"/>
    <x v="12"/>
    <m/>
  </r>
  <r>
    <x v="242"/>
    <x v="13"/>
    <m/>
  </r>
  <r>
    <x v="242"/>
    <x v="14"/>
    <m/>
  </r>
  <r>
    <x v="242"/>
    <x v="15"/>
    <m/>
  </r>
  <r>
    <x v="242"/>
    <x v="16"/>
    <m/>
  </r>
  <r>
    <x v="242"/>
    <x v="17"/>
    <m/>
  </r>
  <r>
    <x v="242"/>
    <x v="18"/>
    <m/>
  </r>
  <r>
    <x v="242"/>
    <x v="19"/>
    <m/>
  </r>
  <r>
    <x v="242"/>
    <x v="20"/>
    <m/>
  </r>
  <r>
    <x v="242"/>
    <x v="21"/>
    <m/>
  </r>
  <r>
    <x v="242"/>
    <x v="22"/>
    <m/>
  </r>
  <r>
    <x v="242"/>
    <x v="23"/>
    <m/>
  </r>
  <r>
    <x v="243"/>
    <x v="0"/>
    <m/>
  </r>
  <r>
    <x v="243"/>
    <x v="1"/>
    <m/>
  </r>
  <r>
    <x v="243"/>
    <x v="2"/>
    <m/>
  </r>
  <r>
    <x v="243"/>
    <x v="3"/>
    <m/>
  </r>
  <r>
    <x v="243"/>
    <x v="4"/>
    <m/>
  </r>
  <r>
    <x v="243"/>
    <x v="5"/>
    <m/>
  </r>
  <r>
    <x v="243"/>
    <x v="6"/>
    <m/>
  </r>
  <r>
    <x v="243"/>
    <x v="7"/>
    <m/>
  </r>
  <r>
    <x v="243"/>
    <x v="8"/>
    <m/>
  </r>
  <r>
    <x v="243"/>
    <x v="9"/>
    <m/>
  </r>
  <r>
    <x v="243"/>
    <x v="10"/>
    <m/>
  </r>
  <r>
    <x v="243"/>
    <x v="11"/>
    <m/>
  </r>
  <r>
    <x v="243"/>
    <x v="12"/>
    <m/>
  </r>
  <r>
    <x v="243"/>
    <x v="13"/>
    <m/>
  </r>
  <r>
    <x v="243"/>
    <x v="14"/>
    <m/>
  </r>
  <r>
    <x v="243"/>
    <x v="15"/>
    <m/>
  </r>
  <r>
    <x v="243"/>
    <x v="16"/>
    <m/>
  </r>
  <r>
    <x v="243"/>
    <x v="17"/>
    <m/>
  </r>
  <r>
    <x v="243"/>
    <x v="18"/>
    <m/>
  </r>
  <r>
    <x v="243"/>
    <x v="19"/>
    <m/>
  </r>
  <r>
    <x v="243"/>
    <x v="20"/>
    <m/>
  </r>
  <r>
    <x v="243"/>
    <x v="21"/>
    <m/>
  </r>
  <r>
    <x v="243"/>
    <x v="22"/>
    <m/>
  </r>
  <r>
    <x v="243"/>
    <x v="23"/>
    <m/>
  </r>
  <r>
    <x v="244"/>
    <x v="0"/>
    <m/>
  </r>
  <r>
    <x v="244"/>
    <x v="1"/>
    <m/>
  </r>
  <r>
    <x v="244"/>
    <x v="2"/>
    <m/>
  </r>
  <r>
    <x v="244"/>
    <x v="3"/>
    <m/>
  </r>
  <r>
    <x v="244"/>
    <x v="4"/>
    <m/>
  </r>
  <r>
    <x v="244"/>
    <x v="5"/>
    <m/>
  </r>
  <r>
    <x v="244"/>
    <x v="6"/>
    <m/>
  </r>
  <r>
    <x v="244"/>
    <x v="7"/>
    <m/>
  </r>
  <r>
    <x v="244"/>
    <x v="8"/>
    <m/>
  </r>
  <r>
    <x v="244"/>
    <x v="9"/>
    <m/>
  </r>
  <r>
    <x v="244"/>
    <x v="10"/>
    <m/>
  </r>
  <r>
    <x v="244"/>
    <x v="11"/>
    <m/>
  </r>
  <r>
    <x v="244"/>
    <x v="12"/>
    <m/>
  </r>
  <r>
    <x v="244"/>
    <x v="13"/>
    <m/>
  </r>
  <r>
    <x v="244"/>
    <x v="14"/>
    <m/>
  </r>
  <r>
    <x v="244"/>
    <x v="15"/>
    <m/>
  </r>
  <r>
    <x v="244"/>
    <x v="16"/>
    <m/>
  </r>
  <r>
    <x v="244"/>
    <x v="17"/>
    <m/>
  </r>
  <r>
    <x v="244"/>
    <x v="18"/>
    <m/>
  </r>
  <r>
    <x v="244"/>
    <x v="19"/>
    <m/>
  </r>
  <r>
    <x v="244"/>
    <x v="20"/>
    <m/>
  </r>
  <r>
    <x v="244"/>
    <x v="21"/>
    <m/>
  </r>
  <r>
    <x v="244"/>
    <x v="22"/>
    <m/>
  </r>
  <r>
    <x v="244"/>
    <x v="23"/>
    <m/>
  </r>
  <r>
    <x v="245"/>
    <x v="0"/>
    <m/>
  </r>
  <r>
    <x v="245"/>
    <x v="1"/>
    <m/>
  </r>
  <r>
    <x v="245"/>
    <x v="2"/>
    <m/>
  </r>
  <r>
    <x v="245"/>
    <x v="3"/>
    <m/>
  </r>
  <r>
    <x v="245"/>
    <x v="4"/>
    <m/>
  </r>
  <r>
    <x v="245"/>
    <x v="5"/>
    <m/>
  </r>
  <r>
    <x v="245"/>
    <x v="6"/>
    <m/>
  </r>
  <r>
    <x v="245"/>
    <x v="7"/>
    <m/>
  </r>
  <r>
    <x v="245"/>
    <x v="8"/>
    <m/>
  </r>
  <r>
    <x v="245"/>
    <x v="9"/>
    <m/>
  </r>
  <r>
    <x v="245"/>
    <x v="10"/>
    <m/>
  </r>
  <r>
    <x v="245"/>
    <x v="11"/>
    <m/>
  </r>
  <r>
    <x v="245"/>
    <x v="12"/>
    <m/>
  </r>
  <r>
    <x v="245"/>
    <x v="13"/>
    <m/>
  </r>
  <r>
    <x v="245"/>
    <x v="14"/>
    <m/>
  </r>
  <r>
    <x v="245"/>
    <x v="15"/>
    <m/>
  </r>
  <r>
    <x v="245"/>
    <x v="16"/>
    <m/>
  </r>
  <r>
    <x v="245"/>
    <x v="17"/>
    <m/>
  </r>
  <r>
    <x v="245"/>
    <x v="18"/>
    <m/>
  </r>
  <r>
    <x v="245"/>
    <x v="19"/>
    <m/>
  </r>
  <r>
    <x v="245"/>
    <x v="20"/>
    <m/>
  </r>
  <r>
    <x v="245"/>
    <x v="21"/>
    <m/>
  </r>
  <r>
    <x v="245"/>
    <x v="22"/>
    <m/>
  </r>
  <r>
    <x v="245"/>
    <x v="23"/>
    <m/>
  </r>
  <r>
    <x v="246"/>
    <x v="0"/>
    <m/>
  </r>
  <r>
    <x v="246"/>
    <x v="1"/>
    <m/>
  </r>
  <r>
    <x v="246"/>
    <x v="2"/>
    <m/>
  </r>
  <r>
    <x v="246"/>
    <x v="3"/>
    <m/>
  </r>
  <r>
    <x v="246"/>
    <x v="4"/>
    <m/>
  </r>
  <r>
    <x v="246"/>
    <x v="5"/>
    <m/>
  </r>
  <r>
    <x v="246"/>
    <x v="6"/>
    <m/>
  </r>
  <r>
    <x v="246"/>
    <x v="7"/>
    <m/>
  </r>
  <r>
    <x v="246"/>
    <x v="8"/>
    <m/>
  </r>
  <r>
    <x v="246"/>
    <x v="9"/>
    <m/>
  </r>
  <r>
    <x v="246"/>
    <x v="10"/>
    <m/>
  </r>
  <r>
    <x v="246"/>
    <x v="11"/>
    <m/>
  </r>
  <r>
    <x v="246"/>
    <x v="12"/>
    <m/>
  </r>
  <r>
    <x v="246"/>
    <x v="13"/>
    <m/>
  </r>
  <r>
    <x v="246"/>
    <x v="14"/>
    <m/>
  </r>
  <r>
    <x v="246"/>
    <x v="15"/>
    <m/>
  </r>
  <r>
    <x v="246"/>
    <x v="16"/>
    <m/>
  </r>
  <r>
    <x v="246"/>
    <x v="17"/>
    <m/>
  </r>
  <r>
    <x v="246"/>
    <x v="18"/>
    <m/>
  </r>
  <r>
    <x v="246"/>
    <x v="19"/>
    <m/>
  </r>
  <r>
    <x v="246"/>
    <x v="20"/>
    <m/>
  </r>
  <r>
    <x v="246"/>
    <x v="21"/>
    <m/>
  </r>
  <r>
    <x v="246"/>
    <x v="22"/>
    <m/>
  </r>
  <r>
    <x v="246"/>
    <x v="23"/>
    <m/>
  </r>
  <r>
    <x v="247"/>
    <x v="0"/>
    <m/>
  </r>
  <r>
    <x v="247"/>
    <x v="1"/>
    <m/>
  </r>
  <r>
    <x v="247"/>
    <x v="2"/>
    <m/>
  </r>
  <r>
    <x v="247"/>
    <x v="3"/>
    <m/>
  </r>
  <r>
    <x v="247"/>
    <x v="4"/>
    <m/>
  </r>
  <r>
    <x v="247"/>
    <x v="5"/>
    <m/>
  </r>
  <r>
    <x v="247"/>
    <x v="6"/>
    <m/>
  </r>
  <r>
    <x v="247"/>
    <x v="7"/>
    <m/>
  </r>
  <r>
    <x v="247"/>
    <x v="8"/>
    <m/>
  </r>
  <r>
    <x v="247"/>
    <x v="9"/>
    <m/>
  </r>
  <r>
    <x v="247"/>
    <x v="10"/>
    <m/>
  </r>
  <r>
    <x v="247"/>
    <x v="11"/>
    <m/>
  </r>
  <r>
    <x v="247"/>
    <x v="12"/>
    <m/>
  </r>
  <r>
    <x v="247"/>
    <x v="13"/>
    <m/>
  </r>
  <r>
    <x v="247"/>
    <x v="14"/>
    <m/>
  </r>
  <r>
    <x v="247"/>
    <x v="15"/>
    <m/>
  </r>
  <r>
    <x v="247"/>
    <x v="16"/>
    <m/>
  </r>
  <r>
    <x v="247"/>
    <x v="17"/>
    <m/>
  </r>
  <r>
    <x v="247"/>
    <x v="18"/>
    <m/>
  </r>
  <r>
    <x v="247"/>
    <x v="19"/>
    <m/>
  </r>
  <r>
    <x v="247"/>
    <x v="20"/>
    <m/>
  </r>
  <r>
    <x v="247"/>
    <x v="21"/>
    <m/>
  </r>
  <r>
    <x v="247"/>
    <x v="22"/>
    <m/>
  </r>
  <r>
    <x v="247"/>
    <x v="23"/>
    <m/>
  </r>
  <r>
    <x v="248"/>
    <x v="0"/>
    <m/>
  </r>
  <r>
    <x v="248"/>
    <x v="1"/>
    <m/>
  </r>
  <r>
    <x v="248"/>
    <x v="2"/>
    <m/>
  </r>
  <r>
    <x v="248"/>
    <x v="3"/>
    <m/>
  </r>
  <r>
    <x v="248"/>
    <x v="4"/>
    <m/>
  </r>
  <r>
    <x v="248"/>
    <x v="5"/>
    <m/>
  </r>
  <r>
    <x v="248"/>
    <x v="6"/>
    <m/>
  </r>
  <r>
    <x v="248"/>
    <x v="7"/>
    <m/>
  </r>
  <r>
    <x v="248"/>
    <x v="8"/>
    <m/>
  </r>
  <r>
    <x v="248"/>
    <x v="9"/>
    <m/>
  </r>
  <r>
    <x v="248"/>
    <x v="10"/>
    <m/>
  </r>
  <r>
    <x v="248"/>
    <x v="11"/>
    <m/>
  </r>
  <r>
    <x v="248"/>
    <x v="12"/>
    <m/>
  </r>
  <r>
    <x v="248"/>
    <x v="13"/>
    <m/>
  </r>
  <r>
    <x v="248"/>
    <x v="14"/>
    <m/>
  </r>
  <r>
    <x v="248"/>
    <x v="15"/>
    <m/>
  </r>
  <r>
    <x v="248"/>
    <x v="16"/>
    <m/>
  </r>
  <r>
    <x v="248"/>
    <x v="17"/>
    <m/>
  </r>
  <r>
    <x v="248"/>
    <x v="18"/>
    <m/>
  </r>
  <r>
    <x v="248"/>
    <x v="19"/>
    <m/>
  </r>
  <r>
    <x v="248"/>
    <x v="20"/>
    <m/>
  </r>
  <r>
    <x v="248"/>
    <x v="21"/>
    <m/>
  </r>
  <r>
    <x v="248"/>
    <x v="22"/>
    <m/>
  </r>
  <r>
    <x v="248"/>
    <x v="23"/>
    <m/>
  </r>
  <r>
    <x v="249"/>
    <x v="0"/>
    <m/>
  </r>
  <r>
    <x v="249"/>
    <x v="1"/>
    <m/>
  </r>
  <r>
    <x v="249"/>
    <x v="2"/>
    <m/>
  </r>
  <r>
    <x v="249"/>
    <x v="3"/>
    <m/>
  </r>
  <r>
    <x v="249"/>
    <x v="4"/>
    <m/>
  </r>
  <r>
    <x v="249"/>
    <x v="5"/>
    <m/>
  </r>
  <r>
    <x v="249"/>
    <x v="6"/>
    <m/>
  </r>
  <r>
    <x v="249"/>
    <x v="7"/>
    <m/>
  </r>
  <r>
    <x v="249"/>
    <x v="8"/>
    <m/>
  </r>
  <r>
    <x v="249"/>
    <x v="9"/>
    <m/>
  </r>
  <r>
    <x v="249"/>
    <x v="10"/>
    <m/>
  </r>
  <r>
    <x v="249"/>
    <x v="11"/>
    <m/>
  </r>
  <r>
    <x v="249"/>
    <x v="12"/>
    <m/>
  </r>
  <r>
    <x v="249"/>
    <x v="13"/>
    <m/>
  </r>
  <r>
    <x v="249"/>
    <x v="14"/>
    <m/>
  </r>
  <r>
    <x v="249"/>
    <x v="15"/>
    <m/>
  </r>
  <r>
    <x v="249"/>
    <x v="16"/>
    <m/>
  </r>
  <r>
    <x v="249"/>
    <x v="17"/>
    <m/>
  </r>
  <r>
    <x v="249"/>
    <x v="18"/>
    <m/>
  </r>
  <r>
    <x v="249"/>
    <x v="19"/>
    <m/>
  </r>
  <r>
    <x v="249"/>
    <x v="20"/>
    <m/>
  </r>
  <r>
    <x v="249"/>
    <x v="21"/>
    <m/>
  </r>
  <r>
    <x v="249"/>
    <x v="22"/>
    <m/>
  </r>
  <r>
    <x v="249"/>
    <x v="23"/>
    <m/>
  </r>
  <r>
    <x v="250"/>
    <x v="0"/>
    <m/>
  </r>
  <r>
    <x v="250"/>
    <x v="1"/>
    <m/>
  </r>
  <r>
    <x v="250"/>
    <x v="2"/>
    <m/>
  </r>
  <r>
    <x v="250"/>
    <x v="3"/>
    <m/>
  </r>
  <r>
    <x v="250"/>
    <x v="4"/>
    <m/>
  </r>
  <r>
    <x v="250"/>
    <x v="5"/>
    <m/>
  </r>
  <r>
    <x v="250"/>
    <x v="6"/>
    <m/>
  </r>
  <r>
    <x v="250"/>
    <x v="7"/>
    <m/>
  </r>
  <r>
    <x v="250"/>
    <x v="8"/>
    <m/>
  </r>
  <r>
    <x v="250"/>
    <x v="9"/>
    <m/>
  </r>
  <r>
    <x v="250"/>
    <x v="10"/>
    <m/>
  </r>
  <r>
    <x v="250"/>
    <x v="11"/>
    <m/>
  </r>
  <r>
    <x v="250"/>
    <x v="12"/>
    <m/>
  </r>
  <r>
    <x v="250"/>
    <x v="13"/>
    <m/>
  </r>
  <r>
    <x v="250"/>
    <x v="14"/>
    <m/>
  </r>
  <r>
    <x v="250"/>
    <x v="15"/>
    <m/>
  </r>
  <r>
    <x v="250"/>
    <x v="16"/>
    <m/>
  </r>
  <r>
    <x v="250"/>
    <x v="17"/>
    <m/>
  </r>
  <r>
    <x v="250"/>
    <x v="18"/>
    <m/>
  </r>
  <r>
    <x v="250"/>
    <x v="19"/>
    <m/>
  </r>
  <r>
    <x v="250"/>
    <x v="20"/>
    <m/>
  </r>
  <r>
    <x v="250"/>
    <x v="21"/>
    <m/>
  </r>
  <r>
    <x v="250"/>
    <x v="22"/>
    <m/>
  </r>
  <r>
    <x v="250"/>
    <x v="23"/>
    <m/>
  </r>
  <r>
    <x v="251"/>
    <x v="0"/>
    <m/>
  </r>
  <r>
    <x v="251"/>
    <x v="1"/>
    <m/>
  </r>
  <r>
    <x v="251"/>
    <x v="2"/>
    <m/>
  </r>
  <r>
    <x v="251"/>
    <x v="3"/>
    <m/>
  </r>
  <r>
    <x v="251"/>
    <x v="4"/>
    <m/>
  </r>
  <r>
    <x v="251"/>
    <x v="5"/>
    <m/>
  </r>
  <r>
    <x v="251"/>
    <x v="6"/>
    <m/>
  </r>
  <r>
    <x v="251"/>
    <x v="7"/>
    <m/>
  </r>
  <r>
    <x v="251"/>
    <x v="8"/>
    <m/>
  </r>
  <r>
    <x v="251"/>
    <x v="9"/>
    <m/>
  </r>
  <r>
    <x v="251"/>
    <x v="10"/>
    <m/>
  </r>
  <r>
    <x v="251"/>
    <x v="11"/>
    <m/>
  </r>
  <r>
    <x v="251"/>
    <x v="12"/>
    <m/>
  </r>
  <r>
    <x v="251"/>
    <x v="13"/>
    <m/>
  </r>
  <r>
    <x v="251"/>
    <x v="14"/>
    <m/>
  </r>
  <r>
    <x v="251"/>
    <x v="15"/>
    <m/>
  </r>
  <r>
    <x v="251"/>
    <x v="16"/>
    <m/>
  </r>
  <r>
    <x v="251"/>
    <x v="17"/>
    <m/>
  </r>
  <r>
    <x v="251"/>
    <x v="18"/>
    <m/>
  </r>
  <r>
    <x v="251"/>
    <x v="19"/>
    <m/>
  </r>
  <r>
    <x v="251"/>
    <x v="20"/>
    <m/>
  </r>
  <r>
    <x v="251"/>
    <x v="21"/>
    <m/>
  </r>
  <r>
    <x v="251"/>
    <x v="22"/>
    <m/>
  </r>
  <r>
    <x v="251"/>
    <x v="23"/>
    <m/>
  </r>
  <r>
    <x v="252"/>
    <x v="0"/>
    <m/>
  </r>
  <r>
    <x v="252"/>
    <x v="1"/>
    <m/>
  </r>
  <r>
    <x v="252"/>
    <x v="2"/>
    <m/>
  </r>
  <r>
    <x v="252"/>
    <x v="3"/>
    <m/>
  </r>
  <r>
    <x v="252"/>
    <x v="4"/>
    <m/>
  </r>
  <r>
    <x v="252"/>
    <x v="5"/>
    <m/>
  </r>
  <r>
    <x v="252"/>
    <x v="6"/>
    <m/>
  </r>
  <r>
    <x v="252"/>
    <x v="7"/>
    <m/>
  </r>
  <r>
    <x v="252"/>
    <x v="8"/>
    <m/>
  </r>
  <r>
    <x v="252"/>
    <x v="9"/>
    <m/>
  </r>
  <r>
    <x v="252"/>
    <x v="10"/>
    <m/>
  </r>
  <r>
    <x v="252"/>
    <x v="11"/>
    <m/>
  </r>
  <r>
    <x v="252"/>
    <x v="12"/>
    <m/>
  </r>
  <r>
    <x v="252"/>
    <x v="13"/>
    <m/>
  </r>
  <r>
    <x v="252"/>
    <x v="14"/>
    <m/>
  </r>
  <r>
    <x v="252"/>
    <x v="15"/>
    <m/>
  </r>
  <r>
    <x v="252"/>
    <x v="16"/>
    <m/>
  </r>
  <r>
    <x v="252"/>
    <x v="17"/>
    <m/>
  </r>
  <r>
    <x v="252"/>
    <x v="18"/>
    <m/>
  </r>
  <r>
    <x v="252"/>
    <x v="19"/>
    <m/>
  </r>
  <r>
    <x v="252"/>
    <x v="20"/>
    <m/>
  </r>
  <r>
    <x v="252"/>
    <x v="21"/>
    <m/>
  </r>
  <r>
    <x v="252"/>
    <x v="22"/>
    <m/>
  </r>
  <r>
    <x v="252"/>
    <x v="23"/>
    <m/>
  </r>
  <r>
    <x v="253"/>
    <x v="0"/>
    <m/>
  </r>
  <r>
    <x v="253"/>
    <x v="1"/>
    <m/>
  </r>
  <r>
    <x v="253"/>
    <x v="2"/>
    <m/>
  </r>
  <r>
    <x v="253"/>
    <x v="3"/>
    <m/>
  </r>
  <r>
    <x v="253"/>
    <x v="4"/>
    <m/>
  </r>
  <r>
    <x v="253"/>
    <x v="5"/>
    <m/>
  </r>
  <r>
    <x v="253"/>
    <x v="6"/>
    <m/>
  </r>
  <r>
    <x v="253"/>
    <x v="7"/>
    <m/>
  </r>
  <r>
    <x v="253"/>
    <x v="8"/>
    <m/>
  </r>
  <r>
    <x v="253"/>
    <x v="9"/>
    <m/>
  </r>
  <r>
    <x v="253"/>
    <x v="10"/>
    <m/>
  </r>
  <r>
    <x v="253"/>
    <x v="11"/>
    <m/>
  </r>
  <r>
    <x v="253"/>
    <x v="12"/>
    <m/>
  </r>
  <r>
    <x v="253"/>
    <x v="13"/>
    <m/>
  </r>
  <r>
    <x v="253"/>
    <x v="14"/>
    <m/>
  </r>
  <r>
    <x v="253"/>
    <x v="15"/>
    <m/>
  </r>
  <r>
    <x v="253"/>
    <x v="16"/>
    <m/>
  </r>
  <r>
    <x v="253"/>
    <x v="17"/>
    <m/>
  </r>
  <r>
    <x v="253"/>
    <x v="18"/>
    <m/>
  </r>
  <r>
    <x v="253"/>
    <x v="19"/>
    <m/>
  </r>
  <r>
    <x v="253"/>
    <x v="20"/>
    <m/>
  </r>
  <r>
    <x v="253"/>
    <x v="21"/>
    <m/>
  </r>
  <r>
    <x v="253"/>
    <x v="22"/>
    <m/>
  </r>
  <r>
    <x v="253"/>
    <x v="23"/>
    <m/>
  </r>
  <r>
    <x v="254"/>
    <x v="0"/>
    <m/>
  </r>
  <r>
    <x v="254"/>
    <x v="1"/>
    <m/>
  </r>
  <r>
    <x v="254"/>
    <x v="2"/>
    <m/>
  </r>
  <r>
    <x v="254"/>
    <x v="3"/>
    <m/>
  </r>
  <r>
    <x v="254"/>
    <x v="4"/>
    <m/>
  </r>
  <r>
    <x v="254"/>
    <x v="5"/>
    <m/>
  </r>
  <r>
    <x v="254"/>
    <x v="6"/>
    <m/>
  </r>
  <r>
    <x v="254"/>
    <x v="7"/>
    <m/>
  </r>
  <r>
    <x v="254"/>
    <x v="8"/>
    <m/>
  </r>
  <r>
    <x v="254"/>
    <x v="9"/>
    <m/>
  </r>
  <r>
    <x v="254"/>
    <x v="10"/>
    <m/>
  </r>
  <r>
    <x v="254"/>
    <x v="11"/>
    <m/>
  </r>
  <r>
    <x v="254"/>
    <x v="12"/>
    <m/>
  </r>
  <r>
    <x v="254"/>
    <x v="13"/>
    <m/>
  </r>
  <r>
    <x v="254"/>
    <x v="14"/>
    <m/>
  </r>
  <r>
    <x v="254"/>
    <x v="15"/>
    <m/>
  </r>
  <r>
    <x v="254"/>
    <x v="16"/>
    <m/>
  </r>
  <r>
    <x v="254"/>
    <x v="17"/>
    <m/>
  </r>
  <r>
    <x v="254"/>
    <x v="18"/>
    <m/>
  </r>
  <r>
    <x v="254"/>
    <x v="19"/>
    <m/>
  </r>
  <r>
    <x v="254"/>
    <x v="20"/>
    <m/>
  </r>
  <r>
    <x v="254"/>
    <x v="21"/>
    <m/>
  </r>
  <r>
    <x v="254"/>
    <x v="22"/>
    <m/>
  </r>
  <r>
    <x v="254"/>
    <x v="23"/>
    <m/>
  </r>
  <r>
    <x v="255"/>
    <x v="0"/>
    <m/>
  </r>
  <r>
    <x v="255"/>
    <x v="1"/>
    <m/>
  </r>
  <r>
    <x v="255"/>
    <x v="2"/>
    <m/>
  </r>
  <r>
    <x v="255"/>
    <x v="3"/>
    <m/>
  </r>
  <r>
    <x v="255"/>
    <x v="4"/>
    <m/>
  </r>
  <r>
    <x v="255"/>
    <x v="5"/>
    <m/>
  </r>
  <r>
    <x v="255"/>
    <x v="6"/>
    <m/>
  </r>
  <r>
    <x v="255"/>
    <x v="7"/>
    <m/>
  </r>
  <r>
    <x v="255"/>
    <x v="8"/>
    <m/>
  </r>
  <r>
    <x v="255"/>
    <x v="9"/>
    <m/>
  </r>
  <r>
    <x v="255"/>
    <x v="10"/>
    <m/>
  </r>
  <r>
    <x v="255"/>
    <x v="11"/>
    <m/>
  </r>
  <r>
    <x v="255"/>
    <x v="12"/>
    <m/>
  </r>
  <r>
    <x v="255"/>
    <x v="13"/>
    <m/>
  </r>
  <r>
    <x v="255"/>
    <x v="14"/>
    <m/>
  </r>
  <r>
    <x v="255"/>
    <x v="15"/>
    <m/>
  </r>
  <r>
    <x v="255"/>
    <x v="16"/>
    <m/>
  </r>
  <r>
    <x v="255"/>
    <x v="17"/>
    <m/>
  </r>
  <r>
    <x v="255"/>
    <x v="18"/>
    <m/>
  </r>
  <r>
    <x v="255"/>
    <x v="19"/>
    <m/>
  </r>
  <r>
    <x v="255"/>
    <x v="20"/>
    <m/>
  </r>
  <r>
    <x v="255"/>
    <x v="21"/>
    <m/>
  </r>
  <r>
    <x v="255"/>
    <x v="22"/>
    <m/>
  </r>
  <r>
    <x v="255"/>
    <x v="23"/>
    <m/>
  </r>
  <r>
    <x v="256"/>
    <x v="0"/>
    <m/>
  </r>
  <r>
    <x v="256"/>
    <x v="1"/>
    <m/>
  </r>
  <r>
    <x v="256"/>
    <x v="2"/>
    <m/>
  </r>
  <r>
    <x v="256"/>
    <x v="3"/>
    <m/>
  </r>
  <r>
    <x v="256"/>
    <x v="4"/>
    <m/>
  </r>
  <r>
    <x v="256"/>
    <x v="5"/>
    <m/>
  </r>
  <r>
    <x v="256"/>
    <x v="6"/>
    <m/>
  </r>
  <r>
    <x v="256"/>
    <x v="7"/>
    <m/>
  </r>
  <r>
    <x v="256"/>
    <x v="8"/>
    <m/>
  </r>
  <r>
    <x v="256"/>
    <x v="9"/>
    <m/>
  </r>
  <r>
    <x v="256"/>
    <x v="10"/>
    <m/>
  </r>
  <r>
    <x v="256"/>
    <x v="11"/>
    <m/>
  </r>
  <r>
    <x v="256"/>
    <x v="12"/>
    <m/>
  </r>
  <r>
    <x v="256"/>
    <x v="13"/>
    <m/>
  </r>
  <r>
    <x v="256"/>
    <x v="14"/>
    <m/>
  </r>
  <r>
    <x v="256"/>
    <x v="15"/>
    <m/>
  </r>
  <r>
    <x v="256"/>
    <x v="16"/>
    <m/>
  </r>
  <r>
    <x v="256"/>
    <x v="17"/>
    <m/>
  </r>
  <r>
    <x v="256"/>
    <x v="18"/>
    <m/>
  </r>
  <r>
    <x v="256"/>
    <x v="19"/>
    <m/>
  </r>
  <r>
    <x v="256"/>
    <x v="20"/>
    <m/>
  </r>
  <r>
    <x v="256"/>
    <x v="21"/>
    <m/>
  </r>
  <r>
    <x v="256"/>
    <x v="22"/>
    <m/>
  </r>
  <r>
    <x v="256"/>
    <x v="23"/>
    <m/>
  </r>
  <r>
    <x v="257"/>
    <x v="0"/>
    <m/>
  </r>
  <r>
    <x v="257"/>
    <x v="1"/>
    <m/>
  </r>
  <r>
    <x v="257"/>
    <x v="2"/>
    <m/>
  </r>
  <r>
    <x v="257"/>
    <x v="3"/>
    <m/>
  </r>
  <r>
    <x v="257"/>
    <x v="4"/>
    <m/>
  </r>
  <r>
    <x v="257"/>
    <x v="5"/>
    <m/>
  </r>
  <r>
    <x v="257"/>
    <x v="6"/>
    <m/>
  </r>
  <r>
    <x v="257"/>
    <x v="7"/>
    <m/>
  </r>
  <r>
    <x v="257"/>
    <x v="8"/>
    <m/>
  </r>
  <r>
    <x v="257"/>
    <x v="9"/>
    <m/>
  </r>
  <r>
    <x v="257"/>
    <x v="10"/>
    <m/>
  </r>
  <r>
    <x v="257"/>
    <x v="11"/>
    <m/>
  </r>
  <r>
    <x v="257"/>
    <x v="12"/>
    <m/>
  </r>
  <r>
    <x v="257"/>
    <x v="13"/>
    <m/>
  </r>
  <r>
    <x v="257"/>
    <x v="14"/>
    <m/>
  </r>
  <r>
    <x v="257"/>
    <x v="15"/>
    <m/>
  </r>
  <r>
    <x v="257"/>
    <x v="16"/>
    <m/>
  </r>
  <r>
    <x v="257"/>
    <x v="17"/>
    <m/>
  </r>
  <r>
    <x v="257"/>
    <x v="18"/>
    <m/>
  </r>
  <r>
    <x v="257"/>
    <x v="19"/>
    <m/>
  </r>
  <r>
    <x v="257"/>
    <x v="20"/>
    <m/>
  </r>
  <r>
    <x v="257"/>
    <x v="21"/>
    <m/>
  </r>
  <r>
    <x v="257"/>
    <x v="22"/>
    <m/>
  </r>
  <r>
    <x v="257"/>
    <x v="23"/>
    <m/>
  </r>
  <r>
    <x v="258"/>
    <x v="0"/>
    <m/>
  </r>
  <r>
    <x v="258"/>
    <x v="1"/>
    <m/>
  </r>
  <r>
    <x v="258"/>
    <x v="2"/>
    <m/>
  </r>
  <r>
    <x v="258"/>
    <x v="3"/>
    <m/>
  </r>
  <r>
    <x v="258"/>
    <x v="4"/>
    <m/>
  </r>
  <r>
    <x v="258"/>
    <x v="5"/>
    <m/>
  </r>
  <r>
    <x v="258"/>
    <x v="6"/>
    <m/>
  </r>
  <r>
    <x v="258"/>
    <x v="7"/>
    <m/>
  </r>
  <r>
    <x v="258"/>
    <x v="8"/>
    <m/>
  </r>
  <r>
    <x v="258"/>
    <x v="9"/>
    <m/>
  </r>
  <r>
    <x v="258"/>
    <x v="10"/>
    <m/>
  </r>
  <r>
    <x v="258"/>
    <x v="11"/>
    <m/>
  </r>
  <r>
    <x v="258"/>
    <x v="12"/>
    <m/>
  </r>
  <r>
    <x v="258"/>
    <x v="13"/>
    <m/>
  </r>
  <r>
    <x v="258"/>
    <x v="14"/>
    <m/>
  </r>
  <r>
    <x v="258"/>
    <x v="15"/>
    <m/>
  </r>
  <r>
    <x v="258"/>
    <x v="16"/>
    <m/>
  </r>
  <r>
    <x v="258"/>
    <x v="17"/>
    <m/>
  </r>
  <r>
    <x v="258"/>
    <x v="18"/>
    <m/>
  </r>
  <r>
    <x v="258"/>
    <x v="19"/>
    <m/>
  </r>
  <r>
    <x v="258"/>
    <x v="20"/>
    <m/>
  </r>
  <r>
    <x v="258"/>
    <x v="21"/>
    <m/>
  </r>
  <r>
    <x v="258"/>
    <x v="22"/>
    <m/>
  </r>
  <r>
    <x v="258"/>
    <x v="23"/>
    <m/>
  </r>
  <r>
    <x v="259"/>
    <x v="0"/>
    <m/>
  </r>
  <r>
    <x v="259"/>
    <x v="1"/>
    <m/>
  </r>
  <r>
    <x v="259"/>
    <x v="2"/>
    <m/>
  </r>
  <r>
    <x v="259"/>
    <x v="3"/>
    <m/>
  </r>
  <r>
    <x v="259"/>
    <x v="4"/>
    <m/>
  </r>
  <r>
    <x v="259"/>
    <x v="5"/>
    <m/>
  </r>
  <r>
    <x v="259"/>
    <x v="6"/>
    <m/>
  </r>
  <r>
    <x v="259"/>
    <x v="7"/>
    <m/>
  </r>
  <r>
    <x v="259"/>
    <x v="8"/>
    <m/>
  </r>
  <r>
    <x v="259"/>
    <x v="9"/>
    <m/>
  </r>
  <r>
    <x v="259"/>
    <x v="10"/>
    <m/>
  </r>
  <r>
    <x v="259"/>
    <x v="11"/>
    <m/>
  </r>
  <r>
    <x v="259"/>
    <x v="12"/>
    <m/>
  </r>
  <r>
    <x v="259"/>
    <x v="13"/>
    <m/>
  </r>
  <r>
    <x v="259"/>
    <x v="14"/>
    <m/>
  </r>
  <r>
    <x v="259"/>
    <x v="15"/>
    <m/>
  </r>
  <r>
    <x v="259"/>
    <x v="16"/>
    <m/>
  </r>
  <r>
    <x v="259"/>
    <x v="17"/>
    <m/>
  </r>
  <r>
    <x v="259"/>
    <x v="18"/>
    <m/>
  </r>
  <r>
    <x v="259"/>
    <x v="19"/>
    <m/>
  </r>
  <r>
    <x v="259"/>
    <x v="20"/>
    <m/>
  </r>
  <r>
    <x v="259"/>
    <x v="21"/>
    <m/>
  </r>
  <r>
    <x v="259"/>
    <x v="22"/>
    <m/>
  </r>
  <r>
    <x v="259"/>
    <x v="23"/>
    <m/>
  </r>
  <r>
    <x v="260"/>
    <x v="0"/>
    <m/>
  </r>
  <r>
    <x v="260"/>
    <x v="1"/>
    <m/>
  </r>
  <r>
    <x v="260"/>
    <x v="2"/>
    <m/>
  </r>
  <r>
    <x v="260"/>
    <x v="3"/>
    <m/>
  </r>
  <r>
    <x v="260"/>
    <x v="4"/>
    <m/>
  </r>
  <r>
    <x v="260"/>
    <x v="5"/>
    <m/>
  </r>
  <r>
    <x v="260"/>
    <x v="6"/>
    <m/>
  </r>
  <r>
    <x v="260"/>
    <x v="7"/>
    <m/>
  </r>
  <r>
    <x v="260"/>
    <x v="8"/>
    <m/>
  </r>
  <r>
    <x v="260"/>
    <x v="9"/>
    <m/>
  </r>
  <r>
    <x v="260"/>
    <x v="10"/>
    <m/>
  </r>
  <r>
    <x v="260"/>
    <x v="11"/>
    <m/>
  </r>
  <r>
    <x v="260"/>
    <x v="12"/>
    <m/>
  </r>
  <r>
    <x v="260"/>
    <x v="13"/>
    <m/>
  </r>
  <r>
    <x v="260"/>
    <x v="14"/>
    <m/>
  </r>
  <r>
    <x v="260"/>
    <x v="15"/>
    <m/>
  </r>
  <r>
    <x v="260"/>
    <x v="16"/>
    <m/>
  </r>
  <r>
    <x v="260"/>
    <x v="17"/>
    <m/>
  </r>
  <r>
    <x v="260"/>
    <x v="18"/>
    <m/>
  </r>
  <r>
    <x v="260"/>
    <x v="19"/>
    <m/>
  </r>
  <r>
    <x v="260"/>
    <x v="20"/>
    <m/>
  </r>
  <r>
    <x v="260"/>
    <x v="21"/>
    <m/>
  </r>
  <r>
    <x v="260"/>
    <x v="22"/>
    <m/>
  </r>
  <r>
    <x v="260"/>
    <x v="23"/>
    <m/>
  </r>
  <r>
    <x v="261"/>
    <x v="0"/>
    <m/>
  </r>
  <r>
    <x v="261"/>
    <x v="1"/>
    <m/>
  </r>
  <r>
    <x v="261"/>
    <x v="2"/>
    <m/>
  </r>
  <r>
    <x v="261"/>
    <x v="3"/>
    <m/>
  </r>
  <r>
    <x v="261"/>
    <x v="4"/>
    <m/>
  </r>
  <r>
    <x v="261"/>
    <x v="5"/>
    <m/>
  </r>
  <r>
    <x v="261"/>
    <x v="6"/>
    <m/>
  </r>
  <r>
    <x v="261"/>
    <x v="7"/>
    <m/>
  </r>
  <r>
    <x v="261"/>
    <x v="8"/>
    <m/>
  </r>
  <r>
    <x v="261"/>
    <x v="9"/>
    <m/>
  </r>
  <r>
    <x v="261"/>
    <x v="10"/>
    <m/>
  </r>
  <r>
    <x v="261"/>
    <x v="11"/>
    <m/>
  </r>
  <r>
    <x v="261"/>
    <x v="12"/>
    <m/>
  </r>
  <r>
    <x v="261"/>
    <x v="13"/>
    <m/>
  </r>
  <r>
    <x v="261"/>
    <x v="14"/>
    <m/>
  </r>
  <r>
    <x v="261"/>
    <x v="15"/>
    <m/>
  </r>
  <r>
    <x v="261"/>
    <x v="16"/>
    <m/>
  </r>
  <r>
    <x v="261"/>
    <x v="17"/>
    <m/>
  </r>
  <r>
    <x v="261"/>
    <x v="18"/>
    <m/>
  </r>
  <r>
    <x v="261"/>
    <x v="19"/>
    <m/>
  </r>
  <r>
    <x v="261"/>
    <x v="20"/>
    <m/>
  </r>
  <r>
    <x v="261"/>
    <x v="21"/>
    <m/>
  </r>
  <r>
    <x v="261"/>
    <x v="22"/>
    <m/>
  </r>
  <r>
    <x v="261"/>
    <x v="23"/>
    <m/>
  </r>
  <r>
    <x v="262"/>
    <x v="0"/>
    <m/>
  </r>
  <r>
    <x v="262"/>
    <x v="1"/>
    <m/>
  </r>
  <r>
    <x v="262"/>
    <x v="2"/>
    <m/>
  </r>
  <r>
    <x v="262"/>
    <x v="3"/>
    <m/>
  </r>
  <r>
    <x v="262"/>
    <x v="4"/>
    <m/>
  </r>
  <r>
    <x v="262"/>
    <x v="5"/>
    <m/>
  </r>
  <r>
    <x v="262"/>
    <x v="6"/>
    <m/>
  </r>
  <r>
    <x v="262"/>
    <x v="7"/>
    <m/>
  </r>
  <r>
    <x v="262"/>
    <x v="8"/>
    <m/>
  </r>
  <r>
    <x v="262"/>
    <x v="9"/>
    <m/>
  </r>
  <r>
    <x v="262"/>
    <x v="10"/>
    <m/>
  </r>
  <r>
    <x v="262"/>
    <x v="11"/>
    <m/>
  </r>
  <r>
    <x v="262"/>
    <x v="12"/>
    <m/>
  </r>
  <r>
    <x v="262"/>
    <x v="13"/>
    <m/>
  </r>
  <r>
    <x v="262"/>
    <x v="14"/>
    <m/>
  </r>
  <r>
    <x v="262"/>
    <x v="15"/>
    <m/>
  </r>
  <r>
    <x v="262"/>
    <x v="16"/>
    <m/>
  </r>
  <r>
    <x v="262"/>
    <x v="17"/>
    <m/>
  </r>
  <r>
    <x v="262"/>
    <x v="18"/>
    <m/>
  </r>
  <r>
    <x v="262"/>
    <x v="19"/>
    <m/>
  </r>
  <r>
    <x v="262"/>
    <x v="20"/>
    <m/>
  </r>
  <r>
    <x v="262"/>
    <x v="21"/>
    <m/>
  </r>
  <r>
    <x v="262"/>
    <x v="22"/>
    <m/>
  </r>
  <r>
    <x v="262"/>
    <x v="23"/>
    <m/>
  </r>
  <r>
    <x v="263"/>
    <x v="0"/>
    <m/>
  </r>
  <r>
    <x v="263"/>
    <x v="1"/>
    <m/>
  </r>
  <r>
    <x v="263"/>
    <x v="2"/>
    <m/>
  </r>
  <r>
    <x v="263"/>
    <x v="3"/>
    <m/>
  </r>
  <r>
    <x v="263"/>
    <x v="4"/>
    <m/>
  </r>
  <r>
    <x v="263"/>
    <x v="5"/>
    <m/>
  </r>
  <r>
    <x v="263"/>
    <x v="6"/>
    <m/>
  </r>
  <r>
    <x v="263"/>
    <x v="7"/>
    <m/>
  </r>
  <r>
    <x v="263"/>
    <x v="8"/>
    <m/>
  </r>
  <r>
    <x v="263"/>
    <x v="9"/>
    <m/>
  </r>
  <r>
    <x v="263"/>
    <x v="10"/>
    <m/>
  </r>
  <r>
    <x v="263"/>
    <x v="11"/>
    <m/>
  </r>
  <r>
    <x v="263"/>
    <x v="12"/>
    <m/>
  </r>
  <r>
    <x v="263"/>
    <x v="13"/>
    <m/>
  </r>
  <r>
    <x v="263"/>
    <x v="14"/>
    <m/>
  </r>
  <r>
    <x v="263"/>
    <x v="15"/>
    <m/>
  </r>
  <r>
    <x v="263"/>
    <x v="16"/>
    <m/>
  </r>
  <r>
    <x v="263"/>
    <x v="17"/>
    <m/>
  </r>
  <r>
    <x v="263"/>
    <x v="18"/>
    <m/>
  </r>
  <r>
    <x v="263"/>
    <x v="19"/>
    <m/>
  </r>
  <r>
    <x v="263"/>
    <x v="20"/>
    <m/>
  </r>
  <r>
    <x v="263"/>
    <x v="21"/>
    <m/>
  </r>
  <r>
    <x v="263"/>
    <x v="22"/>
    <m/>
  </r>
  <r>
    <x v="263"/>
    <x v="23"/>
    <m/>
  </r>
  <r>
    <x v="264"/>
    <x v="0"/>
    <m/>
  </r>
  <r>
    <x v="264"/>
    <x v="1"/>
    <m/>
  </r>
  <r>
    <x v="264"/>
    <x v="2"/>
    <m/>
  </r>
  <r>
    <x v="264"/>
    <x v="3"/>
    <m/>
  </r>
  <r>
    <x v="264"/>
    <x v="4"/>
    <m/>
  </r>
  <r>
    <x v="264"/>
    <x v="5"/>
    <m/>
  </r>
  <r>
    <x v="264"/>
    <x v="6"/>
    <m/>
  </r>
  <r>
    <x v="264"/>
    <x v="7"/>
    <m/>
  </r>
  <r>
    <x v="264"/>
    <x v="8"/>
    <m/>
  </r>
  <r>
    <x v="264"/>
    <x v="9"/>
    <m/>
  </r>
  <r>
    <x v="264"/>
    <x v="10"/>
    <m/>
  </r>
  <r>
    <x v="264"/>
    <x v="11"/>
    <m/>
  </r>
  <r>
    <x v="264"/>
    <x v="12"/>
    <m/>
  </r>
  <r>
    <x v="264"/>
    <x v="13"/>
    <m/>
  </r>
  <r>
    <x v="264"/>
    <x v="14"/>
    <m/>
  </r>
  <r>
    <x v="264"/>
    <x v="15"/>
    <m/>
  </r>
  <r>
    <x v="264"/>
    <x v="16"/>
    <m/>
  </r>
  <r>
    <x v="264"/>
    <x v="17"/>
    <m/>
  </r>
  <r>
    <x v="264"/>
    <x v="18"/>
    <m/>
  </r>
  <r>
    <x v="264"/>
    <x v="19"/>
    <m/>
  </r>
  <r>
    <x v="264"/>
    <x v="20"/>
    <m/>
  </r>
  <r>
    <x v="264"/>
    <x v="21"/>
    <m/>
  </r>
  <r>
    <x v="264"/>
    <x v="22"/>
    <m/>
  </r>
  <r>
    <x v="264"/>
    <x v="23"/>
    <m/>
  </r>
  <r>
    <x v="265"/>
    <x v="0"/>
    <m/>
  </r>
  <r>
    <x v="265"/>
    <x v="1"/>
    <m/>
  </r>
  <r>
    <x v="265"/>
    <x v="2"/>
    <m/>
  </r>
  <r>
    <x v="265"/>
    <x v="3"/>
    <m/>
  </r>
  <r>
    <x v="265"/>
    <x v="4"/>
    <m/>
  </r>
  <r>
    <x v="265"/>
    <x v="5"/>
    <m/>
  </r>
  <r>
    <x v="265"/>
    <x v="6"/>
    <m/>
  </r>
  <r>
    <x v="265"/>
    <x v="7"/>
    <m/>
  </r>
  <r>
    <x v="265"/>
    <x v="8"/>
    <m/>
  </r>
  <r>
    <x v="265"/>
    <x v="9"/>
    <m/>
  </r>
  <r>
    <x v="265"/>
    <x v="10"/>
    <m/>
  </r>
  <r>
    <x v="265"/>
    <x v="11"/>
    <m/>
  </r>
  <r>
    <x v="265"/>
    <x v="12"/>
    <m/>
  </r>
  <r>
    <x v="265"/>
    <x v="13"/>
    <m/>
  </r>
  <r>
    <x v="265"/>
    <x v="14"/>
    <m/>
  </r>
  <r>
    <x v="265"/>
    <x v="15"/>
    <m/>
  </r>
  <r>
    <x v="265"/>
    <x v="16"/>
    <m/>
  </r>
  <r>
    <x v="265"/>
    <x v="17"/>
    <m/>
  </r>
  <r>
    <x v="265"/>
    <x v="18"/>
    <m/>
  </r>
  <r>
    <x v="265"/>
    <x v="19"/>
    <m/>
  </r>
  <r>
    <x v="265"/>
    <x v="20"/>
    <m/>
  </r>
  <r>
    <x v="265"/>
    <x v="21"/>
    <m/>
  </r>
  <r>
    <x v="265"/>
    <x v="22"/>
    <m/>
  </r>
  <r>
    <x v="265"/>
    <x v="23"/>
    <m/>
  </r>
  <r>
    <x v="266"/>
    <x v="0"/>
    <m/>
  </r>
  <r>
    <x v="266"/>
    <x v="1"/>
    <m/>
  </r>
  <r>
    <x v="266"/>
    <x v="2"/>
    <m/>
  </r>
  <r>
    <x v="266"/>
    <x v="3"/>
    <m/>
  </r>
  <r>
    <x v="266"/>
    <x v="4"/>
    <m/>
  </r>
  <r>
    <x v="266"/>
    <x v="5"/>
    <m/>
  </r>
  <r>
    <x v="266"/>
    <x v="6"/>
    <m/>
  </r>
  <r>
    <x v="266"/>
    <x v="7"/>
    <m/>
  </r>
  <r>
    <x v="266"/>
    <x v="8"/>
    <m/>
  </r>
  <r>
    <x v="266"/>
    <x v="9"/>
    <m/>
  </r>
  <r>
    <x v="266"/>
    <x v="10"/>
    <m/>
  </r>
  <r>
    <x v="266"/>
    <x v="11"/>
    <m/>
  </r>
  <r>
    <x v="266"/>
    <x v="12"/>
    <m/>
  </r>
  <r>
    <x v="266"/>
    <x v="13"/>
    <m/>
  </r>
  <r>
    <x v="266"/>
    <x v="14"/>
    <m/>
  </r>
  <r>
    <x v="266"/>
    <x v="15"/>
    <m/>
  </r>
  <r>
    <x v="266"/>
    <x v="16"/>
    <m/>
  </r>
  <r>
    <x v="266"/>
    <x v="17"/>
    <m/>
  </r>
  <r>
    <x v="266"/>
    <x v="18"/>
    <m/>
  </r>
  <r>
    <x v="266"/>
    <x v="19"/>
    <m/>
  </r>
  <r>
    <x v="266"/>
    <x v="20"/>
    <m/>
  </r>
  <r>
    <x v="266"/>
    <x v="21"/>
    <m/>
  </r>
  <r>
    <x v="266"/>
    <x v="22"/>
    <m/>
  </r>
  <r>
    <x v="266"/>
    <x v="23"/>
    <m/>
  </r>
  <r>
    <x v="267"/>
    <x v="0"/>
    <m/>
  </r>
  <r>
    <x v="267"/>
    <x v="1"/>
    <m/>
  </r>
  <r>
    <x v="267"/>
    <x v="2"/>
    <m/>
  </r>
  <r>
    <x v="267"/>
    <x v="3"/>
    <m/>
  </r>
  <r>
    <x v="267"/>
    <x v="4"/>
    <m/>
  </r>
  <r>
    <x v="267"/>
    <x v="5"/>
    <m/>
  </r>
  <r>
    <x v="267"/>
    <x v="6"/>
    <m/>
  </r>
  <r>
    <x v="267"/>
    <x v="7"/>
    <m/>
  </r>
  <r>
    <x v="267"/>
    <x v="8"/>
    <m/>
  </r>
  <r>
    <x v="267"/>
    <x v="9"/>
    <m/>
  </r>
  <r>
    <x v="267"/>
    <x v="10"/>
    <m/>
  </r>
  <r>
    <x v="267"/>
    <x v="11"/>
    <m/>
  </r>
  <r>
    <x v="267"/>
    <x v="12"/>
    <m/>
  </r>
  <r>
    <x v="267"/>
    <x v="13"/>
    <m/>
  </r>
  <r>
    <x v="267"/>
    <x v="14"/>
    <m/>
  </r>
  <r>
    <x v="267"/>
    <x v="15"/>
    <m/>
  </r>
  <r>
    <x v="267"/>
    <x v="16"/>
    <m/>
  </r>
  <r>
    <x v="267"/>
    <x v="17"/>
    <m/>
  </r>
  <r>
    <x v="267"/>
    <x v="18"/>
    <m/>
  </r>
  <r>
    <x v="267"/>
    <x v="19"/>
    <m/>
  </r>
  <r>
    <x v="267"/>
    <x v="20"/>
    <m/>
  </r>
  <r>
    <x v="267"/>
    <x v="21"/>
    <m/>
  </r>
  <r>
    <x v="267"/>
    <x v="22"/>
    <m/>
  </r>
  <r>
    <x v="267"/>
    <x v="23"/>
    <m/>
  </r>
  <r>
    <x v="268"/>
    <x v="0"/>
    <m/>
  </r>
  <r>
    <x v="268"/>
    <x v="1"/>
    <m/>
  </r>
  <r>
    <x v="268"/>
    <x v="2"/>
    <m/>
  </r>
  <r>
    <x v="268"/>
    <x v="3"/>
    <m/>
  </r>
  <r>
    <x v="268"/>
    <x v="4"/>
    <m/>
  </r>
  <r>
    <x v="268"/>
    <x v="5"/>
    <m/>
  </r>
  <r>
    <x v="268"/>
    <x v="6"/>
    <m/>
  </r>
  <r>
    <x v="268"/>
    <x v="7"/>
    <m/>
  </r>
  <r>
    <x v="268"/>
    <x v="8"/>
    <m/>
  </r>
  <r>
    <x v="268"/>
    <x v="9"/>
    <m/>
  </r>
  <r>
    <x v="268"/>
    <x v="10"/>
    <m/>
  </r>
  <r>
    <x v="268"/>
    <x v="11"/>
    <m/>
  </r>
  <r>
    <x v="268"/>
    <x v="12"/>
    <m/>
  </r>
  <r>
    <x v="268"/>
    <x v="13"/>
    <m/>
  </r>
  <r>
    <x v="268"/>
    <x v="14"/>
    <m/>
  </r>
  <r>
    <x v="268"/>
    <x v="15"/>
    <m/>
  </r>
  <r>
    <x v="268"/>
    <x v="16"/>
    <m/>
  </r>
  <r>
    <x v="268"/>
    <x v="17"/>
    <m/>
  </r>
  <r>
    <x v="268"/>
    <x v="18"/>
    <m/>
  </r>
  <r>
    <x v="268"/>
    <x v="19"/>
    <m/>
  </r>
  <r>
    <x v="268"/>
    <x v="20"/>
    <m/>
  </r>
  <r>
    <x v="268"/>
    <x v="21"/>
    <m/>
  </r>
  <r>
    <x v="268"/>
    <x v="22"/>
    <m/>
  </r>
  <r>
    <x v="268"/>
    <x v="23"/>
    <m/>
  </r>
  <r>
    <x v="269"/>
    <x v="0"/>
    <m/>
  </r>
  <r>
    <x v="269"/>
    <x v="1"/>
    <m/>
  </r>
  <r>
    <x v="269"/>
    <x v="2"/>
    <m/>
  </r>
  <r>
    <x v="269"/>
    <x v="3"/>
    <m/>
  </r>
  <r>
    <x v="269"/>
    <x v="4"/>
    <m/>
  </r>
  <r>
    <x v="269"/>
    <x v="5"/>
    <m/>
  </r>
  <r>
    <x v="269"/>
    <x v="6"/>
    <m/>
  </r>
  <r>
    <x v="269"/>
    <x v="7"/>
    <m/>
  </r>
  <r>
    <x v="269"/>
    <x v="8"/>
    <m/>
  </r>
  <r>
    <x v="269"/>
    <x v="9"/>
    <m/>
  </r>
  <r>
    <x v="269"/>
    <x v="10"/>
    <m/>
  </r>
  <r>
    <x v="269"/>
    <x v="11"/>
    <m/>
  </r>
  <r>
    <x v="269"/>
    <x v="12"/>
    <m/>
  </r>
  <r>
    <x v="269"/>
    <x v="13"/>
    <m/>
  </r>
  <r>
    <x v="269"/>
    <x v="14"/>
    <m/>
  </r>
  <r>
    <x v="269"/>
    <x v="15"/>
    <m/>
  </r>
  <r>
    <x v="269"/>
    <x v="16"/>
    <m/>
  </r>
  <r>
    <x v="269"/>
    <x v="17"/>
    <m/>
  </r>
  <r>
    <x v="269"/>
    <x v="18"/>
    <m/>
  </r>
  <r>
    <x v="269"/>
    <x v="19"/>
    <m/>
  </r>
  <r>
    <x v="269"/>
    <x v="20"/>
    <m/>
  </r>
  <r>
    <x v="269"/>
    <x v="21"/>
    <m/>
  </r>
  <r>
    <x v="269"/>
    <x v="22"/>
    <m/>
  </r>
  <r>
    <x v="269"/>
    <x v="23"/>
    <m/>
  </r>
  <r>
    <x v="270"/>
    <x v="0"/>
    <m/>
  </r>
  <r>
    <x v="270"/>
    <x v="1"/>
    <m/>
  </r>
  <r>
    <x v="270"/>
    <x v="2"/>
    <m/>
  </r>
  <r>
    <x v="270"/>
    <x v="3"/>
    <m/>
  </r>
  <r>
    <x v="270"/>
    <x v="4"/>
    <m/>
  </r>
  <r>
    <x v="270"/>
    <x v="5"/>
    <m/>
  </r>
  <r>
    <x v="270"/>
    <x v="6"/>
    <m/>
  </r>
  <r>
    <x v="270"/>
    <x v="7"/>
    <m/>
  </r>
  <r>
    <x v="270"/>
    <x v="8"/>
    <m/>
  </r>
  <r>
    <x v="270"/>
    <x v="9"/>
    <m/>
  </r>
  <r>
    <x v="270"/>
    <x v="10"/>
    <m/>
  </r>
  <r>
    <x v="270"/>
    <x v="11"/>
    <m/>
  </r>
  <r>
    <x v="270"/>
    <x v="12"/>
    <m/>
  </r>
  <r>
    <x v="270"/>
    <x v="13"/>
    <m/>
  </r>
  <r>
    <x v="270"/>
    <x v="14"/>
    <m/>
  </r>
  <r>
    <x v="270"/>
    <x v="15"/>
    <m/>
  </r>
  <r>
    <x v="270"/>
    <x v="16"/>
    <m/>
  </r>
  <r>
    <x v="270"/>
    <x v="17"/>
    <m/>
  </r>
  <r>
    <x v="270"/>
    <x v="18"/>
    <m/>
  </r>
  <r>
    <x v="270"/>
    <x v="19"/>
    <m/>
  </r>
  <r>
    <x v="270"/>
    <x v="20"/>
    <m/>
  </r>
  <r>
    <x v="270"/>
    <x v="21"/>
    <m/>
  </r>
  <r>
    <x v="270"/>
    <x v="22"/>
    <m/>
  </r>
  <r>
    <x v="270"/>
    <x v="23"/>
    <m/>
  </r>
  <r>
    <x v="271"/>
    <x v="0"/>
    <m/>
  </r>
  <r>
    <x v="271"/>
    <x v="1"/>
    <m/>
  </r>
  <r>
    <x v="271"/>
    <x v="2"/>
    <m/>
  </r>
  <r>
    <x v="271"/>
    <x v="3"/>
    <m/>
  </r>
  <r>
    <x v="271"/>
    <x v="4"/>
    <m/>
  </r>
  <r>
    <x v="271"/>
    <x v="5"/>
    <m/>
  </r>
  <r>
    <x v="271"/>
    <x v="6"/>
    <m/>
  </r>
  <r>
    <x v="271"/>
    <x v="7"/>
    <m/>
  </r>
  <r>
    <x v="271"/>
    <x v="8"/>
    <m/>
  </r>
  <r>
    <x v="271"/>
    <x v="9"/>
    <m/>
  </r>
  <r>
    <x v="271"/>
    <x v="10"/>
    <m/>
  </r>
  <r>
    <x v="271"/>
    <x v="11"/>
    <m/>
  </r>
  <r>
    <x v="271"/>
    <x v="12"/>
    <m/>
  </r>
  <r>
    <x v="271"/>
    <x v="13"/>
    <m/>
  </r>
  <r>
    <x v="271"/>
    <x v="14"/>
    <m/>
  </r>
  <r>
    <x v="271"/>
    <x v="15"/>
    <m/>
  </r>
  <r>
    <x v="271"/>
    <x v="16"/>
    <m/>
  </r>
  <r>
    <x v="271"/>
    <x v="17"/>
    <m/>
  </r>
  <r>
    <x v="271"/>
    <x v="18"/>
    <m/>
  </r>
  <r>
    <x v="271"/>
    <x v="19"/>
    <m/>
  </r>
  <r>
    <x v="271"/>
    <x v="20"/>
    <m/>
  </r>
  <r>
    <x v="271"/>
    <x v="21"/>
    <m/>
  </r>
  <r>
    <x v="271"/>
    <x v="22"/>
    <m/>
  </r>
  <r>
    <x v="271"/>
    <x v="23"/>
    <m/>
  </r>
  <r>
    <x v="272"/>
    <x v="0"/>
    <m/>
  </r>
  <r>
    <x v="272"/>
    <x v="1"/>
    <m/>
  </r>
  <r>
    <x v="272"/>
    <x v="2"/>
    <m/>
  </r>
  <r>
    <x v="272"/>
    <x v="3"/>
    <m/>
  </r>
  <r>
    <x v="272"/>
    <x v="4"/>
    <m/>
  </r>
  <r>
    <x v="272"/>
    <x v="5"/>
    <m/>
  </r>
  <r>
    <x v="272"/>
    <x v="6"/>
    <m/>
  </r>
  <r>
    <x v="272"/>
    <x v="7"/>
    <m/>
  </r>
  <r>
    <x v="272"/>
    <x v="8"/>
    <m/>
  </r>
  <r>
    <x v="272"/>
    <x v="9"/>
    <m/>
  </r>
  <r>
    <x v="272"/>
    <x v="10"/>
    <m/>
  </r>
  <r>
    <x v="272"/>
    <x v="11"/>
    <m/>
  </r>
  <r>
    <x v="272"/>
    <x v="12"/>
    <m/>
  </r>
  <r>
    <x v="272"/>
    <x v="13"/>
    <m/>
  </r>
  <r>
    <x v="272"/>
    <x v="14"/>
    <m/>
  </r>
  <r>
    <x v="272"/>
    <x v="15"/>
    <m/>
  </r>
  <r>
    <x v="272"/>
    <x v="16"/>
    <m/>
  </r>
  <r>
    <x v="272"/>
    <x v="17"/>
    <m/>
  </r>
  <r>
    <x v="272"/>
    <x v="18"/>
    <m/>
  </r>
  <r>
    <x v="272"/>
    <x v="19"/>
    <m/>
  </r>
  <r>
    <x v="272"/>
    <x v="20"/>
    <m/>
  </r>
  <r>
    <x v="272"/>
    <x v="21"/>
    <m/>
  </r>
  <r>
    <x v="272"/>
    <x v="22"/>
    <m/>
  </r>
  <r>
    <x v="272"/>
    <x v="23"/>
    <m/>
  </r>
  <r>
    <x v="273"/>
    <x v="0"/>
    <m/>
  </r>
  <r>
    <x v="273"/>
    <x v="1"/>
    <m/>
  </r>
  <r>
    <x v="273"/>
    <x v="2"/>
    <m/>
  </r>
  <r>
    <x v="273"/>
    <x v="3"/>
    <m/>
  </r>
  <r>
    <x v="273"/>
    <x v="4"/>
    <m/>
  </r>
  <r>
    <x v="273"/>
    <x v="5"/>
    <m/>
  </r>
  <r>
    <x v="273"/>
    <x v="6"/>
    <m/>
  </r>
  <r>
    <x v="273"/>
    <x v="7"/>
    <m/>
  </r>
  <r>
    <x v="273"/>
    <x v="8"/>
    <m/>
  </r>
  <r>
    <x v="273"/>
    <x v="9"/>
    <m/>
  </r>
  <r>
    <x v="273"/>
    <x v="10"/>
    <m/>
  </r>
  <r>
    <x v="273"/>
    <x v="11"/>
    <m/>
  </r>
  <r>
    <x v="273"/>
    <x v="12"/>
    <m/>
  </r>
  <r>
    <x v="273"/>
    <x v="13"/>
    <m/>
  </r>
  <r>
    <x v="273"/>
    <x v="14"/>
    <m/>
  </r>
  <r>
    <x v="273"/>
    <x v="15"/>
    <m/>
  </r>
  <r>
    <x v="273"/>
    <x v="16"/>
    <m/>
  </r>
  <r>
    <x v="273"/>
    <x v="17"/>
    <m/>
  </r>
  <r>
    <x v="273"/>
    <x v="18"/>
    <m/>
  </r>
  <r>
    <x v="273"/>
    <x v="19"/>
    <m/>
  </r>
  <r>
    <x v="273"/>
    <x v="20"/>
    <m/>
  </r>
  <r>
    <x v="273"/>
    <x v="21"/>
    <m/>
  </r>
  <r>
    <x v="273"/>
    <x v="22"/>
    <m/>
  </r>
  <r>
    <x v="273"/>
    <x v="23"/>
    <m/>
  </r>
  <r>
    <x v="274"/>
    <x v="0"/>
    <m/>
  </r>
  <r>
    <x v="274"/>
    <x v="1"/>
    <m/>
  </r>
  <r>
    <x v="274"/>
    <x v="2"/>
    <m/>
  </r>
  <r>
    <x v="274"/>
    <x v="3"/>
    <m/>
  </r>
  <r>
    <x v="274"/>
    <x v="4"/>
    <m/>
  </r>
  <r>
    <x v="274"/>
    <x v="5"/>
    <m/>
  </r>
  <r>
    <x v="274"/>
    <x v="6"/>
    <m/>
  </r>
  <r>
    <x v="274"/>
    <x v="7"/>
    <m/>
  </r>
  <r>
    <x v="274"/>
    <x v="8"/>
    <m/>
  </r>
  <r>
    <x v="274"/>
    <x v="9"/>
    <m/>
  </r>
  <r>
    <x v="274"/>
    <x v="10"/>
    <m/>
  </r>
  <r>
    <x v="274"/>
    <x v="11"/>
    <m/>
  </r>
  <r>
    <x v="274"/>
    <x v="12"/>
    <m/>
  </r>
  <r>
    <x v="274"/>
    <x v="13"/>
    <m/>
  </r>
  <r>
    <x v="274"/>
    <x v="14"/>
    <m/>
  </r>
  <r>
    <x v="274"/>
    <x v="15"/>
    <m/>
  </r>
  <r>
    <x v="274"/>
    <x v="16"/>
    <m/>
  </r>
  <r>
    <x v="274"/>
    <x v="17"/>
    <m/>
  </r>
  <r>
    <x v="274"/>
    <x v="18"/>
    <m/>
  </r>
  <r>
    <x v="274"/>
    <x v="19"/>
    <m/>
  </r>
  <r>
    <x v="274"/>
    <x v="20"/>
    <m/>
  </r>
  <r>
    <x v="274"/>
    <x v="21"/>
    <m/>
  </r>
  <r>
    <x v="274"/>
    <x v="22"/>
    <m/>
  </r>
  <r>
    <x v="274"/>
    <x v="23"/>
    <m/>
  </r>
  <r>
    <x v="275"/>
    <x v="0"/>
    <m/>
  </r>
  <r>
    <x v="275"/>
    <x v="1"/>
    <m/>
  </r>
  <r>
    <x v="275"/>
    <x v="2"/>
    <m/>
  </r>
  <r>
    <x v="275"/>
    <x v="3"/>
    <m/>
  </r>
  <r>
    <x v="275"/>
    <x v="4"/>
    <m/>
  </r>
  <r>
    <x v="275"/>
    <x v="5"/>
    <m/>
  </r>
  <r>
    <x v="275"/>
    <x v="6"/>
    <m/>
  </r>
  <r>
    <x v="275"/>
    <x v="7"/>
    <m/>
  </r>
  <r>
    <x v="275"/>
    <x v="8"/>
    <m/>
  </r>
  <r>
    <x v="275"/>
    <x v="9"/>
    <m/>
  </r>
  <r>
    <x v="275"/>
    <x v="10"/>
    <m/>
  </r>
  <r>
    <x v="275"/>
    <x v="11"/>
    <m/>
  </r>
  <r>
    <x v="275"/>
    <x v="12"/>
    <m/>
  </r>
  <r>
    <x v="275"/>
    <x v="13"/>
    <m/>
  </r>
  <r>
    <x v="275"/>
    <x v="14"/>
    <m/>
  </r>
  <r>
    <x v="275"/>
    <x v="15"/>
    <m/>
  </r>
  <r>
    <x v="275"/>
    <x v="16"/>
    <m/>
  </r>
  <r>
    <x v="275"/>
    <x v="17"/>
    <m/>
  </r>
  <r>
    <x v="275"/>
    <x v="18"/>
    <m/>
  </r>
  <r>
    <x v="275"/>
    <x v="19"/>
    <m/>
  </r>
  <r>
    <x v="275"/>
    <x v="20"/>
    <m/>
  </r>
  <r>
    <x v="275"/>
    <x v="21"/>
    <m/>
  </r>
  <r>
    <x v="275"/>
    <x v="22"/>
    <m/>
  </r>
  <r>
    <x v="275"/>
    <x v="23"/>
    <m/>
  </r>
  <r>
    <x v="276"/>
    <x v="0"/>
    <m/>
  </r>
  <r>
    <x v="276"/>
    <x v="1"/>
    <m/>
  </r>
  <r>
    <x v="276"/>
    <x v="2"/>
    <m/>
  </r>
  <r>
    <x v="276"/>
    <x v="3"/>
    <m/>
  </r>
  <r>
    <x v="276"/>
    <x v="4"/>
    <m/>
  </r>
  <r>
    <x v="276"/>
    <x v="5"/>
    <m/>
  </r>
  <r>
    <x v="276"/>
    <x v="6"/>
    <m/>
  </r>
  <r>
    <x v="276"/>
    <x v="7"/>
    <m/>
  </r>
  <r>
    <x v="276"/>
    <x v="8"/>
    <m/>
  </r>
  <r>
    <x v="276"/>
    <x v="9"/>
    <m/>
  </r>
  <r>
    <x v="276"/>
    <x v="10"/>
    <m/>
  </r>
  <r>
    <x v="276"/>
    <x v="11"/>
    <m/>
  </r>
  <r>
    <x v="276"/>
    <x v="12"/>
    <m/>
  </r>
  <r>
    <x v="276"/>
    <x v="13"/>
    <m/>
  </r>
  <r>
    <x v="276"/>
    <x v="14"/>
    <m/>
  </r>
  <r>
    <x v="276"/>
    <x v="15"/>
    <m/>
  </r>
  <r>
    <x v="276"/>
    <x v="16"/>
    <m/>
  </r>
  <r>
    <x v="276"/>
    <x v="17"/>
    <m/>
  </r>
  <r>
    <x v="276"/>
    <x v="18"/>
    <m/>
  </r>
  <r>
    <x v="276"/>
    <x v="19"/>
    <m/>
  </r>
  <r>
    <x v="276"/>
    <x v="20"/>
    <m/>
  </r>
  <r>
    <x v="276"/>
    <x v="21"/>
    <m/>
  </r>
  <r>
    <x v="276"/>
    <x v="22"/>
    <m/>
  </r>
  <r>
    <x v="276"/>
    <x v="23"/>
    <m/>
  </r>
  <r>
    <x v="277"/>
    <x v="0"/>
    <m/>
  </r>
  <r>
    <x v="277"/>
    <x v="1"/>
    <m/>
  </r>
  <r>
    <x v="277"/>
    <x v="2"/>
    <m/>
  </r>
  <r>
    <x v="277"/>
    <x v="3"/>
    <m/>
  </r>
  <r>
    <x v="277"/>
    <x v="4"/>
    <m/>
  </r>
  <r>
    <x v="277"/>
    <x v="5"/>
    <m/>
  </r>
  <r>
    <x v="277"/>
    <x v="6"/>
    <m/>
  </r>
  <r>
    <x v="277"/>
    <x v="7"/>
    <m/>
  </r>
  <r>
    <x v="277"/>
    <x v="8"/>
    <m/>
  </r>
  <r>
    <x v="277"/>
    <x v="9"/>
    <m/>
  </r>
  <r>
    <x v="277"/>
    <x v="10"/>
    <m/>
  </r>
  <r>
    <x v="277"/>
    <x v="11"/>
    <m/>
  </r>
  <r>
    <x v="277"/>
    <x v="12"/>
    <m/>
  </r>
  <r>
    <x v="277"/>
    <x v="13"/>
    <m/>
  </r>
  <r>
    <x v="277"/>
    <x v="14"/>
    <m/>
  </r>
  <r>
    <x v="277"/>
    <x v="15"/>
    <m/>
  </r>
  <r>
    <x v="277"/>
    <x v="16"/>
    <m/>
  </r>
  <r>
    <x v="277"/>
    <x v="17"/>
    <m/>
  </r>
  <r>
    <x v="277"/>
    <x v="18"/>
    <m/>
  </r>
  <r>
    <x v="277"/>
    <x v="19"/>
    <m/>
  </r>
  <r>
    <x v="277"/>
    <x v="20"/>
    <m/>
  </r>
  <r>
    <x v="277"/>
    <x v="21"/>
    <m/>
  </r>
  <r>
    <x v="277"/>
    <x v="22"/>
    <m/>
  </r>
  <r>
    <x v="277"/>
    <x v="23"/>
    <m/>
  </r>
  <r>
    <x v="278"/>
    <x v="0"/>
    <m/>
  </r>
  <r>
    <x v="278"/>
    <x v="1"/>
    <m/>
  </r>
  <r>
    <x v="278"/>
    <x v="2"/>
    <m/>
  </r>
  <r>
    <x v="278"/>
    <x v="3"/>
    <m/>
  </r>
  <r>
    <x v="278"/>
    <x v="4"/>
    <m/>
  </r>
  <r>
    <x v="278"/>
    <x v="5"/>
    <m/>
  </r>
  <r>
    <x v="278"/>
    <x v="6"/>
    <m/>
  </r>
  <r>
    <x v="278"/>
    <x v="7"/>
    <m/>
  </r>
  <r>
    <x v="278"/>
    <x v="8"/>
    <m/>
  </r>
  <r>
    <x v="278"/>
    <x v="9"/>
    <m/>
  </r>
  <r>
    <x v="278"/>
    <x v="10"/>
    <m/>
  </r>
  <r>
    <x v="278"/>
    <x v="11"/>
    <m/>
  </r>
  <r>
    <x v="278"/>
    <x v="12"/>
    <m/>
  </r>
  <r>
    <x v="278"/>
    <x v="13"/>
    <m/>
  </r>
  <r>
    <x v="278"/>
    <x v="14"/>
    <m/>
  </r>
  <r>
    <x v="278"/>
    <x v="15"/>
    <m/>
  </r>
  <r>
    <x v="278"/>
    <x v="16"/>
    <m/>
  </r>
  <r>
    <x v="278"/>
    <x v="17"/>
    <m/>
  </r>
  <r>
    <x v="278"/>
    <x v="18"/>
    <m/>
  </r>
  <r>
    <x v="278"/>
    <x v="19"/>
    <m/>
  </r>
  <r>
    <x v="278"/>
    <x v="20"/>
    <m/>
  </r>
  <r>
    <x v="278"/>
    <x v="21"/>
    <m/>
  </r>
  <r>
    <x v="278"/>
    <x v="22"/>
    <m/>
  </r>
  <r>
    <x v="278"/>
    <x v="23"/>
    <m/>
  </r>
  <r>
    <x v="279"/>
    <x v="0"/>
    <m/>
  </r>
  <r>
    <x v="279"/>
    <x v="1"/>
    <m/>
  </r>
  <r>
    <x v="279"/>
    <x v="2"/>
    <m/>
  </r>
  <r>
    <x v="279"/>
    <x v="3"/>
    <m/>
  </r>
  <r>
    <x v="279"/>
    <x v="4"/>
    <m/>
  </r>
  <r>
    <x v="279"/>
    <x v="5"/>
    <m/>
  </r>
  <r>
    <x v="279"/>
    <x v="6"/>
    <m/>
  </r>
  <r>
    <x v="279"/>
    <x v="7"/>
    <m/>
  </r>
  <r>
    <x v="279"/>
    <x v="8"/>
    <m/>
  </r>
  <r>
    <x v="279"/>
    <x v="9"/>
    <m/>
  </r>
  <r>
    <x v="279"/>
    <x v="10"/>
    <m/>
  </r>
  <r>
    <x v="279"/>
    <x v="11"/>
    <m/>
  </r>
  <r>
    <x v="279"/>
    <x v="12"/>
    <m/>
  </r>
  <r>
    <x v="279"/>
    <x v="13"/>
    <m/>
  </r>
  <r>
    <x v="279"/>
    <x v="14"/>
    <m/>
  </r>
  <r>
    <x v="279"/>
    <x v="15"/>
    <m/>
  </r>
  <r>
    <x v="279"/>
    <x v="16"/>
    <m/>
  </r>
  <r>
    <x v="279"/>
    <x v="17"/>
    <m/>
  </r>
  <r>
    <x v="279"/>
    <x v="18"/>
    <m/>
  </r>
  <r>
    <x v="279"/>
    <x v="19"/>
    <m/>
  </r>
  <r>
    <x v="279"/>
    <x v="20"/>
    <m/>
  </r>
  <r>
    <x v="279"/>
    <x v="21"/>
    <m/>
  </r>
  <r>
    <x v="279"/>
    <x v="22"/>
    <m/>
  </r>
  <r>
    <x v="279"/>
    <x v="23"/>
    <m/>
  </r>
  <r>
    <x v="280"/>
    <x v="0"/>
    <m/>
  </r>
  <r>
    <x v="280"/>
    <x v="1"/>
    <m/>
  </r>
  <r>
    <x v="280"/>
    <x v="2"/>
    <m/>
  </r>
  <r>
    <x v="280"/>
    <x v="3"/>
    <m/>
  </r>
  <r>
    <x v="280"/>
    <x v="4"/>
    <m/>
  </r>
  <r>
    <x v="280"/>
    <x v="5"/>
    <m/>
  </r>
  <r>
    <x v="280"/>
    <x v="6"/>
    <m/>
  </r>
  <r>
    <x v="280"/>
    <x v="7"/>
    <m/>
  </r>
  <r>
    <x v="280"/>
    <x v="8"/>
    <m/>
  </r>
  <r>
    <x v="280"/>
    <x v="9"/>
    <m/>
  </r>
  <r>
    <x v="280"/>
    <x v="10"/>
    <m/>
  </r>
  <r>
    <x v="280"/>
    <x v="11"/>
    <m/>
  </r>
  <r>
    <x v="280"/>
    <x v="12"/>
    <m/>
  </r>
  <r>
    <x v="280"/>
    <x v="13"/>
    <m/>
  </r>
  <r>
    <x v="280"/>
    <x v="14"/>
    <m/>
  </r>
  <r>
    <x v="280"/>
    <x v="15"/>
    <m/>
  </r>
  <r>
    <x v="280"/>
    <x v="16"/>
    <m/>
  </r>
  <r>
    <x v="280"/>
    <x v="17"/>
    <m/>
  </r>
  <r>
    <x v="280"/>
    <x v="18"/>
    <m/>
  </r>
  <r>
    <x v="280"/>
    <x v="19"/>
    <m/>
  </r>
  <r>
    <x v="280"/>
    <x v="20"/>
    <m/>
  </r>
  <r>
    <x v="280"/>
    <x v="21"/>
    <m/>
  </r>
  <r>
    <x v="280"/>
    <x v="22"/>
    <m/>
  </r>
  <r>
    <x v="280"/>
    <x v="23"/>
    <m/>
  </r>
  <r>
    <x v="281"/>
    <x v="0"/>
    <m/>
  </r>
  <r>
    <x v="281"/>
    <x v="1"/>
    <m/>
  </r>
  <r>
    <x v="281"/>
    <x v="2"/>
    <m/>
  </r>
  <r>
    <x v="281"/>
    <x v="3"/>
    <m/>
  </r>
  <r>
    <x v="281"/>
    <x v="4"/>
    <m/>
  </r>
  <r>
    <x v="281"/>
    <x v="5"/>
    <m/>
  </r>
  <r>
    <x v="281"/>
    <x v="6"/>
    <m/>
  </r>
  <r>
    <x v="281"/>
    <x v="7"/>
    <m/>
  </r>
  <r>
    <x v="281"/>
    <x v="8"/>
    <m/>
  </r>
  <r>
    <x v="281"/>
    <x v="9"/>
    <m/>
  </r>
  <r>
    <x v="281"/>
    <x v="10"/>
    <m/>
  </r>
  <r>
    <x v="281"/>
    <x v="11"/>
    <m/>
  </r>
  <r>
    <x v="281"/>
    <x v="12"/>
    <m/>
  </r>
  <r>
    <x v="281"/>
    <x v="13"/>
    <m/>
  </r>
  <r>
    <x v="281"/>
    <x v="14"/>
    <m/>
  </r>
  <r>
    <x v="281"/>
    <x v="15"/>
    <m/>
  </r>
  <r>
    <x v="281"/>
    <x v="16"/>
    <m/>
  </r>
  <r>
    <x v="281"/>
    <x v="17"/>
    <m/>
  </r>
  <r>
    <x v="281"/>
    <x v="18"/>
    <m/>
  </r>
  <r>
    <x v="281"/>
    <x v="19"/>
    <m/>
  </r>
  <r>
    <x v="281"/>
    <x v="20"/>
    <m/>
  </r>
  <r>
    <x v="281"/>
    <x v="21"/>
    <m/>
  </r>
  <r>
    <x v="281"/>
    <x v="22"/>
    <m/>
  </r>
  <r>
    <x v="281"/>
    <x v="23"/>
    <m/>
  </r>
  <r>
    <x v="282"/>
    <x v="0"/>
    <m/>
  </r>
  <r>
    <x v="282"/>
    <x v="1"/>
    <m/>
  </r>
  <r>
    <x v="282"/>
    <x v="2"/>
    <m/>
  </r>
  <r>
    <x v="282"/>
    <x v="3"/>
    <m/>
  </r>
  <r>
    <x v="282"/>
    <x v="4"/>
    <m/>
  </r>
  <r>
    <x v="282"/>
    <x v="5"/>
    <m/>
  </r>
  <r>
    <x v="282"/>
    <x v="6"/>
    <m/>
  </r>
  <r>
    <x v="282"/>
    <x v="7"/>
    <m/>
  </r>
  <r>
    <x v="282"/>
    <x v="8"/>
    <m/>
  </r>
  <r>
    <x v="282"/>
    <x v="9"/>
    <m/>
  </r>
  <r>
    <x v="282"/>
    <x v="10"/>
    <m/>
  </r>
  <r>
    <x v="282"/>
    <x v="11"/>
    <m/>
  </r>
  <r>
    <x v="282"/>
    <x v="12"/>
    <m/>
  </r>
  <r>
    <x v="282"/>
    <x v="13"/>
    <m/>
  </r>
  <r>
    <x v="282"/>
    <x v="14"/>
    <m/>
  </r>
  <r>
    <x v="282"/>
    <x v="15"/>
    <m/>
  </r>
  <r>
    <x v="282"/>
    <x v="16"/>
    <m/>
  </r>
  <r>
    <x v="282"/>
    <x v="17"/>
    <m/>
  </r>
  <r>
    <x v="282"/>
    <x v="18"/>
    <m/>
  </r>
  <r>
    <x v="282"/>
    <x v="19"/>
    <m/>
  </r>
  <r>
    <x v="282"/>
    <x v="20"/>
    <m/>
  </r>
  <r>
    <x v="282"/>
    <x v="21"/>
    <m/>
  </r>
  <r>
    <x v="282"/>
    <x v="22"/>
    <m/>
  </r>
  <r>
    <x v="282"/>
    <x v="23"/>
    <m/>
  </r>
  <r>
    <x v="283"/>
    <x v="0"/>
    <m/>
  </r>
  <r>
    <x v="283"/>
    <x v="1"/>
    <m/>
  </r>
  <r>
    <x v="283"/>
    <x v="2"/>
    <m/>
  </r>
  <r>
    <x v="283"/>
    <x v="3"/>
    <m/>
  </r>
  <r>
    <x v="283"/>
    <x v="4"/>
    <m/>
  </r>
  <r>
    <x v="283"/>
    <x v="5"/>
    <m/>
  </r>
  <r>
    <x v="283"/>
    <x v="6"/>
    <m/>
  </r>
  <r>
    <x v="283"/>
    <x v="7"/>
    <m/>
  </r>
  <r>
    <x v="283"/>
    <x v="8"/>
    <m/>
  </r>
  <r>
    <x v="283"/>
    <x v="9"/>
    <m/>
  </r>
  <r>
    <x v="283"/>
    <x v="10"/>
    <m/>
  </r>
  <r>
    <x v="283"/>
    <x v="11"/>
    <m/>
  </r>
  <r>
    <x v="283"/>
    <x v="12"/>
    <m/>
  </r>
  <r>
    <x v="283"/>
    <x v="13"/>
    <m/>
  </r>
  <r>
    <x v="283"/>
    <x v="14"/>
    <m/>
  </r>
  <r>
    <x v="283"/>
    <x v="15"/>
    <m/>
  </r>
  <r>
    <x v="283"/>
    <x v="16"/>
    <m/>
  </r>
  <r>
    <x v="283"/>
    <x v="17"/>
    <m/>
  </r>
  <r>
    <x v="283"/>
    <x v="18"/>
    <m/>
  </r>
  <r>
    <x v="283"/>
    <x v="19"/>
    <m/>
  </r>
  <r>
    <x v="283"/>
    <x v="20"/>
    <m/>
  </r>
  <r>
    <x v="283"/>
    <x v="21"/>
    <m/>
  </r>
  <r>
    <x v="283"/>
    <x v="22"/>
    <m/>
  </r>
  <r>
    <x v="283"/>
    <x v="23"/>
    <m/>
  </r>
  <r>
    <x v="284"/>
    <x v="0"/>
    <m/>
  </r>
  <r>
    <x v="284"/>
    <x v="1"/>
    <m/>
  </r>
  <r>
    <x v="284"/>
    <x v="2"/>
    <m/>
  </r>
  <r>
    <x v="284"/>
    <x v="3"/>
    <m/>
  </r>
  <r>
    <x v="284"/>
    <x v="4"/>
    <m/>
  </r>
  <r>
    <x v="284"/>
    <x v="5"/>
    <m/>
  </r>
  <r>
    <x v="284"/>
    <x v="6"/>
    <m/>
  </r>
  <r>
    <x v="284"/>
    <x v="7"/>
    <m/>
  </r>
  <r>
    <x v="284"/>
    <x v="8"/>
    <m/>
  </r>
  <r>
    <x v="284"/>
    <x v="9"/>
    <m/>
  </r>
  <r>
    <x v="284"/>
    <x v="10"/>
    <m/>
  </r>
  <r>
    <x v="284"/>
    <x v="11"/>
    <m/>
  </r>
  <r>
    <x v="284"/>
    <x v="12"/>
    <m/>
  </r>
  <r>
    <x v="284"/>
    <x v="13"/>
    <m/>
  </r>
  <r>
    <x v="284"/>
    <x v="14"/>
    <m/>
  </r>
  <r>
    <x v="284"/>
    <x v="15"/>
    <m/>
  </r>
  <r>
    <x v="284"/>
    <x v="16"/>
    <m/>
  </r>
  <r>
    <x v="284"/>
    <x v="17"/>
    <m/>
  </r>
  <r>
    <x v="284"/>
    <x v="18"/>
    <m/>
  </r>
  <r>
    <x v="284"/>
    <x v="19"/>
    <m/>
  </r>
  <r>
    <x v="284"/>
    <x v="20"/>
    <m/>
  </r>
  <r>
    <x v="284"/>
    <x v="21"/>
    <m/>
  </r>
  <r>
    <x v="284"/>
    <x v="22"/>
    <m/>
  </r>
  <r>
    <x v="284"/>
    <x v="23"/>
    <m/>
  </r>
  <r>
    <x v="285"/>
    <x v="0"/>
    <m/>
  </r>
  <r>
    <x v="285"/>
    <x v="1"/>
    <m/>
  </r>
  <r>
    <x v="285"/>
    <x v="2"/>
    <m/>
  </r>
  <r>
    <x v="285"/>
    <x v="3"/>
    <m/>
  </r>
  <r>
    <x v="285"/>
    <x v="4"/>
    <m/>
  </r>
  <r>
    <x v="285"/>
    <x v="5"/>
    <m/>
  </r>
  <r>
    <x v="285"/>
    <x v="6"/>
    <m/>
  </r>
  <r>
    <x v="285"/>
    <x v="7"/>
    <m/>
  </r>
  <r>
    <x v="285"/>
    <x v="8"/>
    <m/>
  </r>
  <r>
    <x v="285"/>
    <x v="9"/>
    <m/>
  </r>
  <r>
    <x v="285"/>
    <x v="10"/>
    <m/>
  </r>
  <r>
    <x v="285"/>
    <x v="11"/>
    <m/>
  </r>
  <r>
    <x v="285"/>
    <x v="12"/>
    <m/>
  </r>
  <r>
    <x v="285"/>
    <x v="13"/>
    <m/>
  </r>
  <r>
    <x v="285"/>
    <x v="14"/>
    <m/>
  </r>
  <r>
    <x v="285"/>
    <x v="15"/>
    <m/>
  </r>
  <r>
    <x v="285"/>
    <x v="16"/>
    <m/>
  </r>
  <r>
    <x v="285"/>
    <x v="17"/>
    <m/>
  </r>
  <r>
    <x v="285"/>
    <x v="18"/>
    <m/>
  </r>
  <r>
    <x v="285"/>
    <x v="19"/>
    <m/>
  </r>
  <r>
    <x v="285"/>
    <x v="20"/>
    <m/>
  </r>
  <r>
    <x v="285"/>
    <x v="21"/>
    <m/>
  </r>
  <r>
    <x v="285"/>
    <x v="22"/>
    <m/>
  </r>
  <r>
    <x v="285"/>
    <x v="23"/>
    <m/>
  </r>
  <r>
    <x v="286"/>
    <x v="0"/>
    <m/>
  </r>
  <r>
    <x v="286"/>
    <x v="1"/>
    <m/>
  </r>
  <r>
    <x v="286"/>
    <x v="2"/>
    <m/>
  </r>
  <r>
    <x v="286"/>
    <x v="3"/>
    <m/>
  </r>
  <r>
    <x v="286"/>
    <x v="4"/>
    <m/>
  </r>
  <r>
    <x v="286"/>
    <x v="5"/>
    <m/>
  </r>
  <r>
    <x v="286"/>
    <x v="6"/>
    <m/>
  </r>
  <r>
    <x v="286"/>
    <x v="7"/>
    <m/>
  </r>
  <r>
    <x v="286"/>
    <x v="8"/>
    <m/>
  </r>
  <r>
    <x v="286"/>
    <x v="9"/>
    <m/>
  </r>
  <r>
    <x v="286"/>
    <x v="10"/>
    <m/>
  </r>
  <r>
    <x v="286"/>
    <x v="11"/>
    <m/>
  </r>
  <r>
    <x v="286"/>
    <x v="12"/>
    <m/>
  </r>
  <r>
    <x v="286"/>
    <x v="13"/>
    <m/>
  </r>
  <r>
    <x v="286"/>
    <x v="14"/>
    <m/>
  </r>
  <r>
    <x v="286"/>
    <x v="15"/>
    <m/>
  </r>
  <r>
    <x v="286"/>
    <x v="16"/>
    <m/>
  </r>
  <r>
    <x v="286"/>
    <x v="17"/>
    <m/>
  </r>
  <r>
    <x v="286"/>
    <x v="18"/>
    <m/>
  </r>
  <r>
    <x v="286"/>
    <x v="19"/>
    <m/>
  </r>
  <r>
    <x v="286"/>
    <x v="20"/>
    <m/>
  </r>
  <r>
    <x v="286"/>
    <x v="21"/>
    <m/>
  </r>
  <r>
    <x v="286"/>
    <x v="22"/>
    <m/>
  </r>
  <r>
    <x v="286"/>
    <x v="23"/>
    <m/>
  </r>
  <r>
    <x v="287"/>
    <x v="0"/>
    <m/>
  </r>
  <r>
    <x v="287"/>
    <x v="1"/>
    <m/>
  </r>
  <r>
    <x v="287"/>
    <x v="2"/>
    <m/>
  </r>
  <r>
    <x v="287"/>
    <x v="3"/>
    <m/>
  </r>
  <r>
    <x v="287"/>
    <x v="4"/>
    <m/>
  </r>
  <r>
    <x v="287"/>
    <x v="5"/>
    <m/>
  </r>
  <r>
    <x v="287"/>
    <x v="6"/>
    <m/>
  </r>
  <r>
    <x v="287"/>
    <x v="7"/>
    <m/>
  </r>
  <r>
    <x v="287"/>
    <x v="8"/>
    <m/>
  </r>
  <r>
    <x v="287"/>
    <x v="9"/>
    <m/>
  </r>
  <r>
    <x v="287"/>
    <x v="10"/>
    <m/>
  </r>
  <r>
    <x v="287"/>
    <x v="11"/>
    <m/>
  </r>
  <r>
    <x v="287"/>
    <x v="12"/>
    <m/>
  </r>
  <r>
    <x v="287"/>
    <x v="13"/>
    <m/>
  </r>
  <r>
    <x v="287"/>
    <x v="14"/>
    <m/>
  </r>
  <r>
    <x v="287"/>
    <x v="15"/>
    <m/>
  </r>
  <r>
    <x v="287"/>
    <x v="16"/>
    <m/>
  </r>
  <r>
    <x v="287"/>
    <x v="17"/>
    <m/>
  </r>
  <r>
    <x v="287"/>
    <x v="18"/>
    <m/>
  </r>
  <r>
    <x v="287"/>
    <x v="19"/>
    <m/>
  </r>
  <r>
    <x v="287"/>
    <x v="20"/>
    <m/>
  </r>
  <r>
    <x v="287"/>
    <x v="21"/>
    <m/>
  </r>
  <r>
    <x v="287"/>
    <x v="22"/>
    <m/>
  </r>
  <r>
    <x v="287"/>
    <x v="23"/>
    <m/>
  </r>
  <r>
    <x v="288"/>
    <x v="0"/>
    <m/>
  </r>
  <r>
    <x v="288"/>
    <x v="1"/>
    <m/>
  </r>
  <r>
    <x v="288"/>
    <x v="2"/>
    <m/>
  </r>
  <r>
    <x v="288"/>
    <x v="3"/>
    <m/>
  </r>
  <r>
    <x v="288"/>
    <x v="4"/>
    <m/>
  </r>
  <r>
    <x v="288"/>
    <x v="5"/>
    <m/>
  </r>
  <r>
    <x v="288"/>
    <x v="6"/>
    <m/>
  </r>
  <r>
    <x v="288"/>
    <x v="7"/>
    <m/>
  </r>
  <r>
    <x v="288"/>
    <x v="8"/>
    <m/>
  </r>
  <r>
    <x v="288"/>
    <x v="9"/>
    <m/>
  </r>
  <r>
    <x v="288"/>
    <x v="10"/>
    <m/>
  </r>
  <r>
    <x v="288"/>
    <x v="11"/>
    <m/>
  </r>
  <r>
    <x v="288"/>
    <x v="12"/>
    <m/>
  </r>
  <r>
    <x v="288"/>
    <x v="13"/>
    <m/>
  </r>
  <r>
    <x v="288"/>
    <x v="14"/>
    <m/>
  </r>
  <r>
    <x v="288"/>
    <x v="15"/>
    <m/>
  </r>
  <r>
    <x v="288"/>
    <x v="16"/>
    <m/>
  </r>
  <r>
    <x v="288"/>
    <x v="17"/>
    <m/>
  </r>
  <r>
    <x v="288"/>
    <x v="18"/>
    <m/>
  </r>
  <r>
    <x v="288"/>
    <x v="19"/>
    <m/>
  </r>
  <r>
    <x v="288"/>
    <x v="20"/>
    <m/>
  </r>
  <r>
    <x v="288"/>
    <x v="21"/>
    <m/>
  </r>
  <r>
    <x v="288"/>
    <x v="22"/>
    <m/>
  </r>
  <r>
    <x v="288"/>
    <x v="23"/>
    <m/>
  </r>
  <r>
    <x v="289"/>
    <x v="0"/>
    <m/>
  </r>
  <r>
    <x v="289"/>
    <x v="1"/>
    <m/>
  </r>
  <r>
    <x v="289"/>
    <x v="2"/>
    <m/>
  </r>
  <r>
    <x v="289"/>
    <x v="3"/>
    <m/>
  </r>
  <r>
    <x v="289"/>
    <x v="4"/>
    <m/>
  </r>
  <r>
    <x v="289"/>
    <x v="5"/>
    <m/>
  </r>
  <r>
    <x v="289"/>
    <x v="6"/>
    <m/>
  </r>
  <r>
    <x v="289"/>
    <x v="7"/>
    <m/>
  </r>
  <r>
    <x v="289"/>
    <x v="8"/>
    <m/>
  </r>
  <r>
    <x v="289"/>
    <x v="9"/>
    <m/>
  </r>
  <r>
    <x v="289"/>
    <x v="10"/>
    <m/>
  </r>
  <r>
    <x v="289"/>
    <x v="11"/>
    <m/>
  </r>
  <r>
    <x v="289"/>
    <x v="12"/>
    <m/>
  </r>
  <r>
    <x v="289"/>
    <x v="13"/>
    <m/>
  </r>
  <r>
    <x v="289"/>
    <x v="14"/>
    <m/>
  </r>
  <r>
    <x v="289"/>
    <x v="15"/>
    <m/>
  </r>
  <r>
    <x v="289"/>
    <x v="16"/>
    <m/>
  </r>
  <r>
    <x v="289"/>
    <x v="17"/>
    <m/>
  </r>
  <r>
    <x v="289"/>
    <x v="18"/>
    <m/>
  </r>
  <r>
    <x v="289"/>
    <x v="19"/>
    <m/>
  </r>
  <r>
    <x v="289"/>
    <x v="20"/>
    <m/>
  </r>
  <r>
    <x v="289"/>
    <x v="21"/>
    <m/>
  </r>
  <r>
    <x v="289"/>
    <x v="22"/>
    <m/>
  </r>
  <r>
    <x v="289"/>
    <x v="23"/>
    <m/>
  </r>
  <r>
    <x v="290"/>
    <x v="0"/>
    <m/>
  </r>
  <r>
    <x v="290"/>
    <x v="1"/>
    <m/>
  </r>
  <r>
    <x v="290"/>
    <x v="2"/>
    <m/>
  </r>
  <r>
    <x v="290"/>
    <x v="3"/>
    <m/>
  </r>
  <r>
    <x v="290"/>
    <x v="4"/>
    <m/>
  </r>
  <r>
    <x v="290"/>
    <x v="5"/>
    <m/>
  </r>
  <r>
    <x v="290"/>
    <x v="6"/>
    <m/>
  </r>
  <r>
    <x v="290"/>
    <x v="7"/>
    <m/>
  </r>
  <r>
    <x v="290"/>
    <x v="8"/>
    <m/>
  </r>
  <r>
    <x v="290"/>
    <x v="9"/>
    <m/>
  </r>
  <r>
    <x v="290"/>
    <x v="10"/>
    <m/>
  </r>
  <r>
    <x v="290"/>
    <x v="11"/>
    <m/>
  </r>
  <r>
    <x v="290"/>
    <x v="12"/>
    <m/>
  </r>
  <r>
    <x v="290"/>
    <x v="13"/>
    <m/>
  </r>
  <r>
    <x v="290"/>
    <x v="14"/>
    <m/>
  </r>
  <r>
    <x v="290"/>
    <x v="15"/>
    <m/>
  </r>
  <r>
    <x v="290"/>
    <x v="16"/>
    <m/>
  </r>
  <r>
    <x v="290"/>
    <x v="17"/>
    <m/>
  </r>
  <r>
    <x v="290"/>
    <x v="18"/>
    <m/>
  </r>
  <r>
    <x v="290"/>
    <x v="19"/>
    <m/>
  </r>
  <r>
    <x v="290"/>
    <x v="20"/>
    <m/>
  </r>
  <r>
    <x v="290"/>
    <x v="21"/>
    <m/>
  </r>
  <r>
    <x v="290"/>
    <x v="22"/>
    <m/>
  </r>
  <r>
    <x v="290"/>
    <x v="23"/>
    <m/>
  </r>
  <r>
    <x v="291"/>
    <x v="0"/>
    <m/>
  </r>
  <r>
    <x v="291"/>
    <x v="1"/>
    <m/>
  </r>
  <r>
    <x v="291"/>
    <x v="2"/>
    <m/>
  </r>
  <r>
    <x v="291"/>
    <x v="3"/>
    <m/>
  </r>
  <r>
    <x v="291"/>
    <x v="4"/>
    <m/>
  </r>
  <r>
    <x v="291"/>
    <x v="5"/>
    <m/>
  </r>
  <r>
    <x v="291"/>
    <x v="6"/>
    <m/>
  </r>
  <r>
    <x v="291"/>
    <x v="7"/>
    <m/>
  </r>
  <r>
    <x v="291"/>
    <x v="8"/>
    <m/>
  </r>
  <r>
    <x v="291"/>
    <x v="9"/>
    <m/>
  </r>
  <r>
    <x v="291"/>
    <x v="10"/>
    <m/>
  </r>
  <r>
    <x v="291"/>
    <x v="11"/>
    <m/>
  </r>
  <r>
    <x v="291"/>
    <x v="12"/>
    <m/>
  </r>
  <r>
    <x v="291"/>
    <x v="13"/>
    <m/>
  </r>
  <r>
    <x v="291"/>
    <x v="14"/>
    <m/>
  </r>
  <r>
    <x v="291"/>
    <x v="15"/>
    <m/>
  </r>
  <r>
    <x v="291"/>
    <x v="16"/>
    <m/>
  </r>
  <r>
    <x v="291"/>
    <x v="17"/>
    <m/>
  </r>
  <r>
    <x v="291"/>
    <x v="18"/>
    <m/>
  </r>
  <r>
    <x v="291"/>
    <x v="19"/>
    <m/>
  </r>
  <r>
    <x v="291"/>
    <x v="20"/>
    <m/>
  </r>
  <r>
    <x v="291"/>
    <x v="21"/>
    <m/>
  </r>
  <r>
    <x v="291"/>
    <x v="22"/>
    <m/>
  </r>
  <r>
    <x v="291"/>
    <x v="23"/>
    <m/>
  </r>
  <r>
    <x v="292"/>
    <x v="0"/>
    <m/>
  </r>
  <r>
    <x v="292"/>
    <x v="1"/>
    <m/>
  </r>
  <r>
    <x v="292"/>
    <x v="2"/>
    <m/>
  </r>
  <r>
    <x v="292"/>
    <x v="3"/>
    <m/>
  </r>
  <r>
    <x v="292"/>
    <x v="4"/>
    <m/>
  </r>
  <r>
    <x v="292"/>
    <x v="5"/>
    <m/>
  </r>
  <r>
    <x v="292"/>
    <x v="6"/>
    <m/>
  </r>
  <r>
    <x v="292"/>
    <x v="7"/>
    <m/>
  </r>
  <r>
    <x v="292"/>
    <x v="8"/>
    <m/>
  </r>
  <r>
    <x v="292"/>
    <x v="9"/>
    <m/>
  </r>
  <r>
    <x v="292"/>
    <x v="10"/>
    <m/>
  </r>
  <r>
    <x v="292"/>
    <x v="11"/>
    <m/>
  </r>
  <r>
    <x v="292"/>
    <x v="12"/>
    <m/>
  </r>
  <r>
    <x v="292"/>
    <x v="13"/>
    <m/>
  </r>
  <r>
    <x v="292"/>
    <x v="14"/>
    <m/>
  </r>
  <r>
    <x v="292"/>
    <x v="15"/>
    <m/>
  </r>
  <r>
    <x v="292"/>
    <x v="16"/>
    <m/>
  </r>
  <r>
    <x v="292"/>
    <x v="17"/>
    <m/>
  </r>
  <r>
    <x v="292"/>
    <x v="18"/>
    <m/>
  </r>
  <r>
    <x v="292"/>
    <x v="19"/>
    <m/>
  </r>
  <r>
    <x v="292"/>
    <x v="20"/>
    <m/>
  </r>
  <r>
    <x v="292"/>
    <x v="21"/>
    <m/>
  </r>
  <r>
    <x v="292"/>
    <x v="22"/>
    <m/>
  </r>
  <r>
    <x v="292"/>
    <x v="23"/>
    <m/>
  </r>
  <r>
    <x v="293"/>
    <x v="0"/>
    <m/>
  </r>
  <r>
    <x v="293"/>
    <x v="1"/>
    <m/>
  </r>
  <r>
    <x v="293"/>
    <x v="2"/>
    <m/>
  </r>
  <r>
    <x v="293"/>
    <x v="3"/>
    <m/>
  </r>
  <r>
    <x v="293"/>
    <x v="4"/>
    <m/>
  </r>
  <r>
    <x v="293"/>
    <x v="5"/>
    <m/>
  </r>
  <r>
    <x v="293"/>
    <x v="6"/>
    <m/>
  </r>
  <r>
    <x v="293"/>
    <x v="7"/>
    <m/>
  </r>
  <r>
    <x v="293"/>
    <x v="8"/>
    <m/>
  </r>
  <r>
    <x v="293"/>
    <x v="9"/>
    <m/>
  </r>
  <r>
    <x v="293"/>
    <x v="10"/>
    <m/>
  </r>
  <r>
    <x v="293"/>
    <x v="11"/>
    <m/>
  </r>
  <r>
    <x v="293"/>
    <x v="12"/>
    <m/>
  </r>
  <r>
    <x v="293"/>
    <x v="13"/>
    <m/>
  </r>
  <r>
    <x v="293"/>
    <x v="14"/>
    <m/>
  </r>
  <r>
    <x v="293"/>
    <x v="15"/>
    <m/>
  </r>
  <r>
    <x v="293"/>
    <x v="16"/>
    <m/>
  </r>
  <r>
    <x v="293"/>
    <x v="17"/>
    <m/>
  </r>
  <r>
    <x v="293"/>
    <x v="18"/>
    <m/>
  </r>
  <r>
    <x v="293"/>
    <x v="19"/>
    <m/>
  </r>
  <r>
    <x v="293"/>
    <x v="20"/>
    <m/>
  </r>
  <r>
    <x v="293"/>
    <x v="21"/>
    <m/>
  </r>
  <r>
    <x v="293"/>
    <x v="22"/>
    <m/>
  </r>
  <r>
    <x v="293"/>
    <x v="23"/>
    <m/>
  </r>
  <r>
    <x v="294"/>
    <x v="0"/>
    <m/>
  </r>
  <r>
    <x v="294"/>
    <x v="1"/>
    <m/>
  </r>
  <r>
    <x v="294"/>
    <x v="2"/>
    <m/>
  </r>
  <r>
    <x v="294"/>
    <x v="3"/>
    <m/>
  </r>
  <r>
    <x v="294"/>
    <x v="4"/>
    <m/>
  </r>
  <r>
    <x v="294"/>
    <x v="5"/>
    <m/>
  </r>
  <r>
    <x v="294"/>
    <x v="6"/>
    <m/>
  </r>
  <r>
    <x v="294"/>
    <x v="7"/>
    <m/>
  </r>
  <r>
    <x v="294"/>
    <x v="8"/>
    <m/>
  </r>
  <r>
    <x v="294"/>
    <x v="9"/>
    <m/>
  </r>
  <r>
    <x v="294"/>
    <x v="10"/>
    <m/>
  </r>
  <r>
    <x v="294"/>
    <x v="11"/>
    <m/>
  </r>
  <r>
    <x v="294"/>
    <x v="12"/>
    <m/>
  </r>
  <r>
    <x v="294"/>
    <x v="13"/>
    <m/>
  </r>
  <r>
    <x v="294"/>
    <x v="14"/>
    <m/>
  </r>
  <r>
    <x v="294"/>
    <x v="15"/>
    <m/>
  </r>
  <r>
    <x v="294"/>
    <x v="16"/>
    <m/>
  </r>
  <r>
    <x v="294"/>
    <x v="17"/>
    <m/>
  </r>
  <r>
    <x v="294"/>
    <x v="18"/>
    <m/>
  </r>
  <r>
    <x v="294"/>
    <x v="19"/>
    <m/>
  </r>
  <r>
    <x v="294"/>
    <x v="20"/>
    <m/>
  </r>
  <r>
    <x v="294"/>
    <x v="21"/>
    <m/>
  </r>
  <r>
    <x v="294"/>
    <x v="22"/>
    <m/>
  </r>
  <r>
    <x v="294"/>
    <x v="23"/>
    <m/>
  </r>
  <r>
    <x v="295"/>
    <x v="0"/>
    <m/>
  </r>
  <r>
    <x v="295"/>
    <x v="1"/>
    <m/>
  </r>
  <r>
    <x v="295"/>
    <x v="2"/>
    <m/>
  </r>
  <r>
    <x v="295"/>
    <x v="3"/>
    <m/>
  </r>
  <r>
    <x v="295"/>
    <x v="4"/>
    <m/>
  </r>
  <r>
    <x v="295"/>
    <x v="5"/>
    <m/>
  </r>
  <r>
    <x v="295"/>
    <x v="6"/>
    <m/>
  </r>
  <r>
    <x v="295"/>
    <x v="7"/>
    <m/>
  </r>
  <r>
    <x v="295"/>
    <x v="8"/>
    <m/>
  </r>
  <r>
    <x v="295"/>
    <x v="9"/>
    <m/>
  </r>
  <r>
    <x v="295"/>
    <x v="10"/>
    <m/>
  </r>
  <r>
    <x v="295"/>
    <x v="11"/>
    <m/>
  </r>
  <r>
    <x v="295"/>
    <x v="12"/>
    <m/>
  </r>
  <r>
    <x v="295"/>
    <x v="13"/>
    <m/>
  </r>
  <r>
    <x v="295"/>
    <x v="14"/>
    <m/>
  </r>
  <r>
    <x v="295"/>
    <x v="15"/>
    <m/>
  </r>
  <r>
    <x v="295"/>
    <x v="16"/>
    <m/>
  </r>
  <r>
    <x v="295"/>
    <x v="17"/>
    <m/>
  </r>
  <r>
    <x v="295"/>
    <x v="18"/>
    <m/>
  </r>
  <r>
    <x v="295"/>
    <x v="19"/>
    <m/>
  </r>
  <r>
    <x v="295"/>
    <x v="20"/>
    <m/>
  </r>
  <r>
    <x v="295"/>
    <x v="21"/>
    <m/>
  </r>
  <r>
    <x v="295"/>
    <x v="22"/>
    <m/>
  </r>
  <r>
    <x v="295"/>
    <x v="23"/>
    <m/>
  </r>
  <r>
    <x v="296"/>
    <x v="0"/>
    <m/>
  </r>
  <r>
    <x v="296"/>
    <x v="1"/>
    <m/>
  </r>
  <r>
    <x v="296"/>
    <x v="2"/>
    <m/>
  </r>
  <r>
    <x v="296"/>
    <x v="3"/>
    <m/>
  </r>
  <r>
    <x v="296"/>
    <x v="4"/>
    <m/>
  </r>
  <r>
    <x v="296"/>
    <x v="5"/>
    <m/>
  </r>
  <r>
    <x v="296"/>
    <x v="6"/>
    <m/>
  </r>
  <r>
    <x v="296"/>
    <x v="7"/>
    <m/>
  </r>
  <r>
    <x v="296"/>
    <x v="8"/>
    <m/>
  </r>
  <r>
    <x v="296"/>
    <x v="9"/>
    <m/>
  </r>
  <r>
    <x v="296"/>
    <x v="10"/>
    <m/>
  </r>
  <r>
    <x v="296"/>
    <x v="11"/>
    <m/>
  </r>
  <r>
    <x v="296"/>
    <x v="12"/>
    <m/>
  </r>
  <r>
    <x v="296"/>
    <x v="13"/>
    <m/>
  </r>
  <r>
    <x v="296"/>
    <x v="14"/>
    <m/>
  </r>
  <r>
    <x v="296"/>
    <x v="15"/>
    <m/>
  </r>
  <r>
    <x v="296"/>
    <x v="16"/>
    <m/>
  </r>
  <r>
    <x v="296"/>
    <x v="17"/>
    <m/>
  </r>
  <r>
    <x v="296"/>
    <x v="18"/>
    <m/>
  </r>
  <r>
    <x v="296"/>
    <x v="19"/>
    <m/>
  </r>
  <r>
    <x v="296"/>
    <x v="20"/>
    <m/>
  </r>
  <r>
    <x v="296"/>
    <x v="21"/>
    <m/>
  </r>
  <r>
    <x v="296"/>
    <x v="22"/>
    <m/>
  </r>
  <r>
    <x v="296"/>
    <x v="23"/>
    <m/>
  </r>
  <r>
    <x v="297"/>
    <x v="0"/>
    <m/>
  </r>
  <r>
    <x v="297"/>
    <x v="1"/>
    <m/>
  </r>
  <r>
    <x v="297"/>
    <x v="2"/>
    <m/>
  </r>
  <r>
    <x v="297"/>
    <x v="3"/>
    <m/>
  </r>
  <r>
    <x v="297"/>
    <x v="4"/>
    <m/>
  </r>
  <r>
    <x v="297"/>
    <x v="5"/>
    <m/>
  </r>
  <r>
    <x v="297"/>
    <x v="6"/>
    <m/>
  </r>
  <r>
    <x v="297"/>
    <x v="7"/>
    <m/>
  </r>
  <r>
    <x v="297"/>
    <x v="8"/>
    <m/>
  </r>
  <r>
    <x v="297"/>
    <x v="9"/>
    <m/>
  </r>
  <r>
    <x v="297"/>
    <x v="10"/>
    <m/>
  </r>
  <r>
    <x v="297"/>
    <x v="11"/>
    <m/>
  </r>
  <r>
    <x v="297"/>
    <x v="12"/>
    <m/>
  </r>
  <r>
    <x v="297"/>
    <x v="13"/>
    <m/>
  </r>
  <r>
    <x v="297"/>
    <x v="14"/>
    <m/>
  </r>
  <r>
    <x v="297"/>
    <x v="15"/>
    <m/>
  </r>
  <r>
    <x v="297"/>
    <x v="16"/>
    <m/>
  </r>
  <r>
    <x v="297"/>
    <x v="17"/>
    <m/>
  </r>
  <r>
    <x v="297"/>
    <x v="18"/>
    <m/>
  </r>
  <r>
    <x v="297"/>
    <x v="19"/>
    <m/>
  </r>
  <r>
    <x v="297"/>
    <x v="20"/>
    <m/>
  </r>
  <r>
    <x v="297"/>
    <x v="21"/>
    <m/>
  </r>
  <r>
    <x v="297"/>
    <x v="22"/>
    <m/>
  </r>
  <r>
    <x v="297"/>
    <x v="23"/>
    <m/>
  </r>
  <r>
    <x v="298"/>
    <x v="0"/>
    <m/>
  </r>
  <r>
    <x v="298"/>
    <x v="1"/>
    <m/>
  </r>
  <r>
    <x v="298"/>
    <x v="2"/>
    <m/>
  </r>
  <r>
    <x v="298"/>
    <x v="3"/>
    <m/>
  </r>
  <r>
    <x v="298"/>
    <x v="4"/>
    <m/>
  </r>
  <r>
    <x v="298"/>
    <x v="5"/>
    <m/>
  </r>
  <r>
    <x v="298"/>
    <x v="6"/>
    <m/>
  </r>
  <r>
    <x v="298"/>
    <x v="7"/>
    <m/>
  </r>
  <r>
    <x v="298"/>
    <x v="8"/>
    <m/>
  </r>
  <r>
    <x v="298"/>
    <x v="9"/>
    <m/>
  </r>
  <r>
    <x v="298"/>
    <x v="10"/>
    <m/>
  </r>
  <r>
    <x v="298"/>
    <x v="11"/>
    <m/>
  </r>
  <r>
    <x v="298"/>
    <x v="12"/>
    <m/>
  </r>
  <r>
    <x v="298"/>
    <x v="13"/>
    <m/>
  </r>
  <r>
    <x v="298"/>
    <x v="14"/>
    <m/>
  </r>
  <r>
    <x v="298"/>
    <x v="15"/>
    <m/>
  </r>
  <r>
    <x v="298"/>
    <x v="16"/>
    <m/>
  </r>
  <r>
    <x v="298"/>
    <x v="17"/>
    <m/>
  </r>
  <r>
    <x v="298"/>
    <x v="18"/>
    <m/>
  </r>
  <r>
    <x v="298"/>
    <x v="19"/>
    <m/>
  </r>
  <r>
    <x v="298"/>
    <x v="20"/>
    <m/>
  </r>
  <r>
    <x v="298"/>
    <x v="21"/>
    <m/>
  </r>
  <r>
    <x v="298"/>
    <x v="22"/>
    <m/>
  </r>
  <r>
    <x v="298"/>
    <x v="23"/>
    <m/>
  </r>
  <r>
    <x v="299"/>
    <x v="0"/>
    <m/>
  </r>
  <r>
    <x v="299"/>
    <x v="1"/>
    <m/>
  </r>
  <r>
    <x v="299"/>
    <x v="2"/>
    <m/>
  </r>
  <r>
    <x v="299"/>
    <x v="3"/>
    <m/>
  </r>
  <r>
    <x v="299"/>
    <x v="4"/>
    <m/>
  </r>
  <r>
    <x v="299"/>
    <x v="5"/>
    <m/>
  </r>
  <r>
    <x v="299"/>
    <x v="6"/>
    <m/>
  </r>
  <r>
    <x v="299"/>
    <x v="7"/>
    <m/>
  </r>
  <r>
    <x v="299"/>
    <x v="8"/>
    <m/>
  </r>
  <r>
    <x v="299"/>
    <x v="9"/>
    <m/>
  </r>
  <r>
    <x v="299"/>
    <x v="10"/>
    <m/>
  </r>
  <r>
    <x v="299"/>
    <x v="11"/>
    <m/>
  </r>
  <r>
    <x v="299"/>
    <x v="12"/>
    <m/>
  </r>
  <r>
    <x v="299"/>
    <x v="13"/>
    <m/>
  </r>
  <r>
    <x v="299"/>
    <x v="14"/>
    <m/>
  </r>
  <r>
    <x v="299"/>
    <x v="15"/>
    <m/>
  </r>
  <r>
    <x v="299"/>
    <x v="16"/>
    <m/>
  </r>
  <r>
    <x v="299"/>
    <x v="17"/>
    <m/>
  </r>
  <r>
    <x v="299"/>
    <x v="18"/>
    <m/>
  </r>
  <r>
    <x v="299"/>
    <x v="19"/>
    <m/>
  </r>
  <r>
    <x v="299"/>
    <x v="20"/>
    <m/>
  </r>
  <r>
    <x v="299"/>
    <x v="21"/>
    <m/>
  </r>
  <r>
    <x v="299"/>
    <x v="22"/>
    <m/>
  </r>
  <r>
    <x v="299"/>
    <x v="23"/>
    <m/>
  </r>
  <r>
    <x v="300"/>
    <x v="0"/>
    <m/>
  </r>
  <r>
    <x v="300"/>
    <x v="1"/>
    <m/>
  </r>
  <r>
    <x v="300"/>
    <x v="2"/>
    <m/>
  </r>
  <r>
    <x v="300"/>
    <x v="3"/>
    <m/>
  </r>
  <r>
    <x v="300"/>
    <x v="4"/>
    <m/>
  </r>
  <r>
    <x v="300"/>
    <x v="5"/>
    <m/>
  </r>
  <r>
    <x v="300"/>
    <x v="6"/>
    <m/>
  </r>
  <r>
    <x v="300"/>
    <x v="7"/>
    <m/>
  </r>
  <r>
    <x v="300"/>
    <x v="8"/>
    <m/>
  </r>
  <r>
    <x v="300"/>
    <x v="9"/>
    <m/>
  </r>
  <r>
    <x v="300"/>
    <x v="10"/>
    <m/>
  </r>
  <r>
    <x v="300"/>
    <x v="11"/>
    <m/>
  </r>
  <r>
    <x v="300"/>
    <x v="12"/>
    <m/>
  </r>
  <r>
    <x v="300"/>
    <x v="13"/>
    <m/>
  </r>
  <r>
    <x v="300"/>
    <x v="14"/>
    <m/>
  </r>
  <r>
    <x v="300"/>
    <x v="15"/>
    <m/>
  </r>
  <r>
    <x v="300"/>
    <x v="16"/>
    <m/>
  </r>
  <r>
    <x v="300"/>
    <x v="17"/>
    <m/>
  </r>
  <r>
    <x v="300"/>
    <x v="18"/>
    <m/>
  </r>
  <r>
    <x v="300"/>
    <x v="19"/>
    <m/>
  </r>
  <r>
    <x v="300"/>
    <x v="20"/>
    <m/>
  </r>
  <r>
    <x v="300"/>
    <x v="21"/>
    <m/>
  </r>
  <r>
    <x v="300"/>
    <x v="22"/>
    <m/>
  </r>
  <r>
    <x v="300"/>
    <x v="23"/>
    <m/>
  </r>
  <r>
    <x v="301"/>
    <x v="0"/>
    <m/>
  </r>
  <r>
    <x v="301"/>
    <x v="1"/>
    <m/>
  </r>
  <r>
    <x v="301"/>
    <x v="2"/>
    <m/>
  </r>
  <r>
    <x v="301"/>
    <x v="3"/>
    <m/>
  </r>
  <r>
    <x v="301"/>
    <x v="4"/>
    <m/>
  </r>
  <r>
    <x v="301"/>
    <x v="5"/>
    <m/>
  </r>
  <r>
    <x v="301"/>
    <x v="6"/>
    <m/>
  </r>
  <r>
    <x v="301"/>
    <x v="7"/>
    <m/>
  </r>
  <r>
    <x v="301"/>
    <x v="8"/>
    <m/>
  </r>
  <r>
    <x v="301"/>
    <x v="9"/>
    <m/>
  </r>
  <r>
    <x v="301"/>
    <x v="10"/>
    <m/>
  </r>
  <r>
    <x v="301"/>
    <x v="11"/>
    <m/>
  </r>
  <r>
    <x v="301"/>
    <x v="12"/>
    <m/>
  </r>
  <r>
    <x v="301"/>
    <x v="13"/>
    <m/>
  </r>
  <r>
    <x v="301"/>
    <x v="14"/>
    <m/>
  </r>
  <r>
    <x v="301"/>
    <x v="15"/>
    <m/>
  </r>
  <r>
    <x v="301"/>
    <x v="16"/>
    <m/>
  </r>
  <r>
    <x v="301"/>
    <x v="17"/>
    <m/>
  </r>
  <r>
    <x v="301"/>
    <x v="18"/>
    <m/>
  </r>
  <r>
    <x v="301"/>
    <x v="19"/>
    <m/>
  </r>
  <r>
    <x v="301"/>
    <x v="20"/>
    <m/>
  </r>
  <r>
    <x v="301"/>
    <x v="21"/>
    <m/>
  </r>
  <r>
    <x v="301"/>
    <x v="22"/>
    <m/>
  </r>
  <r>
    <x v="301"/>
    <x v="23"/>
    <m/>
  </r>
  <r>
    <x v="302"/>
    <x v="0"/>
    <m/>
  </r>
  <r>
    <x v="302"/>
    <x v="1"/>
    <m/>
  </r>
  <r>
    <x v="302"/>
    <x v="2"/>
    <m/>
  </r>
  <r>
    <x v="302"/>
    <x v="3"/>
    <m/>
  </r>
  <r>
    <x v="302"/>
    <x v="4"/>
    <m/>
  </r>
  <r>
    <x v="302"/>
    <x v="5"/>
    <m/>
  </r>
  <r>
    <x v="302"/>
    <x v="6"/>
    <m/>
  </r>
  <r>
    <x v="302"/>
    <x v="7"/>
    <m/>
  </r>
  <r>
    <x v="302"/>
    <x v="8"/>
    <m/>
  </r>
  <r>
    <x v="302"/>
    <x v="9"/>
    <m/>
  </r>
  <r>
    <x v="302"/>
    <x v="10"/>
    <m/>
  </r>
  <r>
    <x v="302"/>
    <x v="11"/>
    <m/>
  </r>
  <r>
    <x v="302"/>
    <x v="12"/>
    <m/>
  </r>
  <r>
    <x v="302"/>
    <x v="13"/>
    <m/>
  </r>
  <r>
    <x v="302"/>
    <x v="14"/>
    <m/>
  </r>
  <r>
    <x v="302"/>
    <x v="15"/>
    <m/>
  </r>
  <r>
    <x v="302"/>
    <x v="16"/>
    <m/>
  </r>
  <r>
    <x v="302"/>
    <x v="17"/>
    <m/>
  </r>
  <r>
    <x v="302"/>
    <x v="18"/>
    <m/>
  </r>
  <r>
    <x v="302"/>
    <x v="19"/>
    <m/>
  </r>
  <r>
    <x v="302"/>
    <x v="20"/>
    <m/>
  </r>
  <r>
    <x v="302"/>
    <x v="21"/>
    <m/>
  </r>
  <r>
    <x v="302"/>
    <x v="22"/>
    <m/>
  </r>
  <r>
    <x v="302"/>
    <x v="23"/>
    <m/>
  </r>
  <r>
    <x v="303"/>
    <x v="0"/>
    <m/>
  </r>
  <r>
    <x v="303"/>
    <x v="1"/>
    <m/>
  </r>
  <r>
    <x v="303"/>
    <x v="2"/>
    <m/>
  </r>
  <r>
    <x v="303"/>
    <x v="3"/>
    <m/>
  </r>
  <r>
    <x v="303"/>
    <x v="4"/>
    <m/>
  </r>
  <r>
    <x v="303"/>
    <x v="5"/>
    <m/>
  </r>
  <r>
    <x v="303"/>
    <x v="6"/>
    <m/>
  </r>
  <r>
    <x v="303"/>
    <x v="7"/>
    <m/>
  </r>
  <r>
    <x v="303"/>
    <x v="8"/>
    <m/>
  </r>
  <r>
    <x v="303"/>
    <x v="9"/>
    <m/>
  </r>
  <r>
    <x v="303"/>
    <x v="10"/>
    <m/>
  </r>
  <r>
    <x v="303"/>
    <x v="11"/>
    <m/>
  </r>
  <r>
    <x v="303"/>
    <x v="12"/>
    <m/>
  </r>
  <r>
    <x v="303"/>
    <x v="13"/>
    <m/>
  </r>
  <r>
    <x v="303"/>
    <x v="14"/>
    <m/>
  </r>
  <r>
    <x v="303"/>
    <x v="15"/>
    <m/>
  </r>
  <r>
    <x v="303"/>
    <x v="16"/>
    <m/>
  </r>
  <r>
    <x v="303"/>
    <x v="17"/>
    <m/>
  </r>
  <r>
    <x v="303"/>
    <x v="18"/>
    <m/>
  </r>
  <r>
    <x v="303"/>
    <x v="19"/>
    <m/>
  </r>
  <r>
    <x v="303"/>
    <x v="20"/>
    <m/>
  </r>
  <r>
    <x v="303"/>
    <x v="21"/>
    <m/>
  </r>
  <r>
    <x v="303"/>
    <x v="22"/>
    <m/>
  </r>
  <r>
    <x v="303"/>
    <x v="23"/>
    <m/>
  </r>
  <r>
    <x v="304"/>
    <x v="0"/>
    <m/>
  </r>
  <r>
    <x v="304"/>
    <x v="1"/>
    <m/>
  </r>
  <r>
    <x v="304"/>
    <x v="2"/>
    <m/>
  </r>
  <r>
    <x v="304"/>
    <x v="3"/>
    <m/>
  </r>
  <r>
    <x v="304"/>
    <x v="4"/>
    <m/>
  </r>
  <r>
    <x v="304"/>
    <x v="5"/>
    <m/>
  </r>
  <r>
    <x v="304"/>
    <x v="6"/>
    <m/>
  </r>
  <r>
    <x v="304"/>
    <x v="7"/>
    <m/>
  </r>
  <r>
    <x v="304"/>
    <x v="8"/>
    <m/>
  </r>
  <r>
    <x v="304"/>
    <x v="9"/>
    <m/>
  </r>
  <r>
    <x v="304"/>
    <x v="10"/>
    <m/>
  </r>
  <r>
    <x v="304"/>
    <x v="11"/>
    <m/>
  </r>
  <r>
    <x v="304"/>
    <x v="12"/>
    <m/>
  </r>
  <r>
    <x v="304"/>
    <x v="13"/>
    <m/>
  </r>
  <r>
    <x v="304"/>
    <x v="14"/>
    <m/>
  </r>
  <r>
    <x v="304"/>
    <x v="15"/>
    <m/>
  </r>
  <r>
    <x v="304"/>
    <x v="16"/>
    <m/>
  </r>
  <r>
    <x v="304"/>
    <x v="17"/>
    <m/>
  </r>
  <r>
    <x v="304"/>
    <x v="18"/>
    <m/>
  </r>
  <r>
    <x v="304"/>
    <x v="19"/>
    <m/>
  </r>
  <r>
    <x v="304"/>
    <x v="20"/>
    <m/>
  </r>
  <r>
    <x v="304"/>
    <x v="21"/>
    <m/>
  </r>
  <r>
    <x v="304"/>
    <x v="22"/>
    <m/>
  </r>
  <r>
    <x v="304"/>
    <x v="23"/>
    <m/>
  </r>
  <r>
    <x v="305"/>
    <x v="0"/>
    <m/>
  </r>
  <r>
    <x v="305"/>
    <x v="1"/>
    <m/>
  </r>
  <r>
    <x v="305"/>
    <x v="2"/>
    <m/>
  </r>
  <r>
    <x v="305"/>
    <x v="3"/>
    <m/>
  </r>
  <r>
    <x v="305"/>
    <x v="4"/>
    <m/>
  </r>
  <r>
    <x v="305"/>
    <x v="5"/>
    <m/>
  </r>
  <r>
    <x v="305"/>
    <x v="6"/>
    <m/>
  </r>
  <r>
    <x v="305"/>
    <x v="7"/>
    <m/>
  </r>
  <r>
    <x v="305"/>
    <x v="8"/>
    <m/>
  </r>
  <r>
    <x v="305"/>
    <x v="9"/>
    <m/>
  </r>
  <r>
    <x v="305"/>
    <x v="10"/>
    <m/>
  </r>
  <r>
    <x v="305"/>
    <x v="11"/>
    <m/>
  </r>
  <r>
    <x v="305"/>
    <x v="12"/>
    <m/>
  </r>
  <r>
    <x v="305"/>
    <x v="13"/>
    <m/>
  </r>
  <r>
    <x v="305"/>
    <x v="14"/>
    <m/>
  </r>
  <r>
    <x v="305"/>
    <x v="15"/>
    <m/>
  </r>
  <r>
    <x v="305"/>
    <x v="16"/>
    <m/>
  </r>
  <r>
    <x v="305"/>
    <x v="17"/>
    <m/>
  </r>
  <r>
    <x v="305"/>
    <x v="18"/>
    <m/>
  </r>
  <r>
    <x v="305"/>
    <x v="19"/>
    <m/>
  </r>
  <r>
    <x v="305"/>
    <x v="20"/>
    <m/>
  </r>
  <r>
    <x v="305"/>
    <x v="21"/>
    <m/>
  </r>
  <r>
    <x v="305"/>
    <x v="22"/>
    <m/>
  </r>
  <r>
    <x v="305"/>
    <x v="23"/>
    <m/>
  </r>
  <r>
    <x v="306"/>
    <x v="0"/>
    <m/>
  </r>
  <r>
    <x v="306"/>
    <x v="1"/>
    <m/>
  </r>
  <r>
    <x v="306"/>
    <x v="2"/>
    <m/>
  </r>
  <r>
    <x v="306"/>
    <x v="3"/>
    <m/>
  </r>
  <r>
    <x v="306"/>
    <x v="4"/>
    <m/>
  </r>
  <r>
    <x v="306"/>
    <x v="5"/>
    <m/>
  </r>
  <r>
    <x v="306"/>
    <x v="6"/>
    <m/>
  </r>
  <r>
    <x v="306"/>
    <x v="7"/>
    <m/>
  </r>
  <r>
    <x v="306"/>
    <x v="8"/>
    <m/>
  </r>
  <r>
    <x v="306"/>
    <x v="9"/>
    <m/>
  </r>
  <r>
    <x v="306"/>
    <x v="10"/>
    <m/>
  </r>
  <r>
    <x v="306"/>
    <x v="11"/>
    <m/>
  </r>
  <r>
    <x v="306"/>
    <x v="12"/>
    <m/>
  </r>
  <r>
    <x v="306"/>
    <x v="13"/>
    <m/>
  </r>
  <r>
    <x v="306"/>
    <x v="14"/>
    <m/>
  </r>
  <r>
    <x v="306"/>
    <x v="15"/>
    <m/>
  </r>
  <r>
    <x v="306"/>
    <x v="16"/>
    <m/>
  </r>
  <r>
    <x v="306"/>
    <x v="17"/>
    <m/>
  </r>
  <r>
    <x v="306"/>
    <x v="18"/>
    <m/>
  </r>
  <r>
    <x v="306"/>
    <x v="19"/>
    <m/>
  </r>
  <r>
    <x v="306"/>
    <x v="20"/>
    <m/>
  </r>
  <r>
    <x v="306"/>
    <x v="21"/>
    <m/>
  </r>
  <r>
    <x v="306"/>
    <x v="22"/>
    <m/>
  </r>
  <r>
    <x v="306"/>
    <x v="23"/>
    <m/>
  </r>
  <r>
    <x v="307"/>
    <x v="0"/>
    <m/>
  </r>
  <r>
    <x v="307"/>
    <x v="1"/>
    <m/>
  </r>
  <r>
    <x v="307"/>
    <x v="2"/>
    <m/>
  </r>
  <r>
    <x v="307"/>
    <x v="3"/>
    <m/>
  </r>
  <r>
    <x v="307"/>
    <x v="4"/>
    <m/>
  </r>
  <r>
    <x v="307"/>
    <x v="5"/>
    <m/>
  </r>
  <r>
    <x v="307"/>
    <x v="6"/>
    <m/>
  </r>
  <r>
    <x v="307"/>
    <x v="7"/>
    <m/>
  </r>
  <r>
    <x v="307"/>
    <x v="8"/>
    <m/>
  </r>
  <r>
    <x v="307"/>
    <x v="9"/>
    <m/>
  </r>
  <r>
    <x v="307"/>
    <x v="10"/>
    <m/>
  </r>
  <r>
    <x v="307"/>
    <x v="11"/>
    <m/>
  </r>
  <r>
    <x v="307"/>
    <x v="12"/>
    <m/>
  </r>
  <r>
    <x v="307"/>
    <x v="13"/>
    <m/>
  </r>
  <r>
    <x v="307"/>
    <x v="14"/>
    <m/>
  </r>
  <r>
    <x v="307"/>
    <x v="15"/>
    <m/>
  </r>
  <r>
    <x v="307"/>
    <x v="16"/>
    <m/>
  </r>
  <r>
    <x v="307"/>
    <x v="17"/>
    <m/>
  </r>
  <r>
    <x v="307"/>
    <x v="18"/>
    <m/>
  </r>
  <r>
    <x v="307"/>
    <x v="19"/>
    <m/>
  </r>
  <r>
    <x v="307"/>
    <x v="20"/>
    <m/>
  </r>
  <r>
    <x v="307"/>
    <x v="21"/>
    <m/>
  </r>
  <r>
    <x v="307"/>
    <x v="22"/>
    <m/>
  </r>
  <r>
    <x v="307"/>
    <x v="23"/>
    <m/>
  </r>
  <r>
    <x v="308"/>
    <x v="0"/>
    <m/>
  </r>
  <r>
    <x v="308"/>
    <x v="1"/>
    <m/>
  </r>
  <r>
    <x v="308"/>
    <x v="2"/>
    <m/>
  </r>
  <r>
    <x v="308"/>
    <x v="3"/>
    <m/>
  </r>
  <r>
    <x v="308"/>
    <x v="4"/>
    <m/>
  </r>
  <r>
    <x v="308"/>
    <x v="5"/>
    <m/>
  </r>
  <r>
    <x v="308"/>
    <x v="6"/>
    <m/>
  </r>
  <r>
    <x v="308"/>
    <x v="7"/>
    <m/>
  </r>
  <r>
    <x v="308"/>
    <x v="8"/>
    <m/>
  </r>
  <r>
    <x v="308"/>
    <x v="9"/>
    <m/>
  </r>
  <r>
    <x v="308"/>
    <x v="10"/>
    <m/>
  </r>
  <r>
    <x v="308"/>
    <x v="11"/>
    <m/>
  </r>
  <r>
    <x v="308"/>
    <x v="12"/>
    <m/>
  </r>
  <r>
    <x v="308"/>
    <x v="13"/>
    <m/>
  </r>
  <r>
    <x v="308"/>
    <x v="14"/>
    <m/>
  </r>
  <r>
    <x v="308"/>
    <x v="15"/>
    <m/>
  </r>
  <r>
    <x v="308"/>
    <x v="16"/>
    <m/>
  </r>
  <r>
    <x v="308"/>
    <x v="17"/>
    <m/>
  </r>
  <r>
    <x v="308"/>
    <x v="18"/>
    <m/>
  </r>
  <r>
    <x v="308"/>
    <x v="19"/>
    <m/>
  </r>
  <r>
    <x v="308"/>
    <x v="20"/>
    <m/>
  </r>
  <r>
    <x v="308"/>
    <x v="21"/>
    <m/>
  </r>
  <r>
    <x v="308"/>
    <x v="22"/>
    <m/>
  </r>
  <r>
    <x v="308"/>
    <x v="23"/>
    <m/>
  </r>
  <r>
    <x v="309"/>
    <x v="0"/>
    <m/>
  </r>
  <r>
    <x v="309"/>
    <x v="1"/>
    <m/>
  </r>
  <r>
    <x v="309"/>
    <x v="2"/>
    <m/>
  </r>
  <r>
    <x v="309"/>
    <x v="3"/>
    <m/>
  </r>
  <r>
    <x v="309"/>
    <x v="4"/>
    <m/>
  </r>
  <r>
    <x v="309"/>
    <x v="5"/>
    <m/>
  </r>
  <r>
    <x v="309"/>
    <x v="6"/>
    <m/>
  </r>
  <r>
    <x v="309"/>
    <x v="7"/>
    <m/>
  </r>
  <r>
    <x v="309"/>
    <x v="8"/>
    <m/>
  </r>
  <r>
    <x v="309"/>
    <x v="9"/>
    <m/>
  </r>
  <r>
    <x v="309"/>
    <x v="10"/>
    <m/>
  </r>
  <r>
    <x v="309"/>
    <x v="11"/>
    <m/>
  </r>
  <r>
    <x v="309"/>
    <x v="12"/>
    <m/>
  </r>
  <r>
    <x v="309"/>
    <x v="13"/>
    <m/>
  </r>
  <r>
    <x v="309"/>
    <x v="14"/>
    <m/>
  </r>
  <r>
    <x v="309"/>
    <x v="15"/>
    <m/>
  </r>
  <r>
    <x v="309"/>
    <x v="16"/>
    <m/>
  </r>
  <r>
    <x v="309"/>
    <x v="17"/>
    <m/>
  </r>
  <r>
    <x v="309"/>
    <x v="18"/>
    <m/>
  </r>
  <r>
    <x v="309"/>
    <x v="19"/>
    <m/>
  </r>
  <r>
    <x v="309"/>
    <x v="20"/>
    <m/>
  </r>
  <r>
    <x v="309"/>
    <x v="21"/>
    <m/>
  </r>
  <r>
    <x v="309"/>
    <x v="22"/>
    <m/>
  </r>
  <r>
    <x v="309"/>
    <x v="23"/>
    <m/>
  </r>
  <r>
    <x v="310"/>
    <x v="0"/>
    <m/>
  </r>
  <r>
    <x v="310"/>
    <x v="1"/>
    <m/>
  </r>
  <r>
    <x v="310"/>
    <x v="2"/>
    <m/>
  </r>
  <r>
    <x v="310"/>
    <x v="3"/>
    <m/>
  </r>
  <r>
    <x v="310"/>
    <x v="4"/>
    <m/>
  </r>
  <r>
    <x v="310"/>
    <x v="5"/>
    <m/>
  </r>
  <r>
    <x v="310"/>
    <x v="6"/>
    <m/>
  </r>
  <r>
    <x v="310"/>
    <x v="7"/>
    <m/>
  </r>
  <r>
    <x v="310"/>
    <x v="8"/>
    <m/>
  </r>
  <r>
    <x v="310"/>
    <x v="9"/>
    <m/>
  </r>
  <r>
    <x v="310"/>
    <x v="10"/>
    <m/>
  </r>
  <r>
    <x v="310"/>
    <x v="11"/>
    <m/>
  </r>
  <r>
    <x v="310"/>
    <x v="12"/>
    <m/>
  </r>
  <r>
    <x v="310"/>
    <x v="13"/>
    <m/>
  </r>
  <r>
    <x v="310"/>
    <x v="14"/>
    <m/>
  </r>
  <r>
    <x v="310"/>
    <x v="15"/>
    <m/>
  </r>
  <r>
    <x v="310"/>
    <x v="16"/>
    <m/>
  </r>
  <r>
    <x v="310"/>
    <x v="17"/>
    <m/>
  </r>
  <r>
    <x v="310"/>
    <x v="18"/>
    <m/>
  </r>
  <r>
    <x v="310"/>
    <x v="19"/>
    <m/>
  </r>
  <r>
    <x v="310"/>
    <x v="20"/>
    <m/>
  </r>
  <r>
    <x v="310"/>
    <x v="21"/>
    <m/>
  </r>
  <r>
    <x v="310"/>
    <x v="22"/>
    <m/>
  </r>
  <r>
    <x v="310"/>
    <x v="23"/>
    <m/>
  </r>
  <r>
    <x v="311"/>
    <x v="0"/>
    <m/>
  </r>
  <r>
    <x v="311"/>
    <x v="1"/>
    <m/>
  </r>
  <r>
    <x v="311"/>
    <x v="2"/>
    <m/>
  </r>
  <r>
    <x v="311"/>
    <x v="3"/>
    <m/>
  </r>
  <r>
    <x v="311"/>
    <x v="4"/>
    <m/>
  </r>
  <r>
    <x v="311"/>
    <x v="5"/>
    <m/>
  </r>
  <r>
    <x v="311"/>
    <x v="6"/>
    <m/>
  </r>
  <r>
    <x v="311"/>
    <x v="7"/>
    <m/>
  </r>
  <r>
    <x v="311"/>
    <x v="8"/>
    <m/>
  </r>
  <r>
    <x v="311"/>
    <x v="9"/>
    <m/>
  </r>
  <r>
    <x v="311"/>
    <x v="10"/>
    <m/>
  </r>
  <r>
    <x v="311"/>
    <x v="11"/>
    <m/>
  </r>
  <r>
    <x v="311"/>
    <x v="12"/>
    <m/>
  </r>
  <r>
    <x v="311"/>
    <x v="13"/>
    <m/>
  </r>
  <r>
    <x v="311"/>
    <x v="14"/>
    <m/>
  </r>
  <r>
    <x v="311"/>
    <x v="15"/>
    <m/>
  </r>
  <r>
    <x v="311"/>
    <x v="16"/>
    <m/>
  </r>
  <r>
    <x v="311"/>
    <x v="17"/>
    <m/>
  </r>
  <r>
    <x v="311"/>
    <x v="18"/>
    <m/>
  </r>
  <r>
    <x v="311"/>
    <x v="19"/>
    <m/>
  </r>
  <r>
    <x v="311"/>
    <x v="20"/>
    <m/>
  </r>
  <r>
    <x v="311"/>
    <x v="21"/>
    <m/>
  </r>
  <r>
    <x v="311"/>
    <x v="22"/>
    <m/>
  </r>
  <r>
    <x v="311"/>
    <x v="23"/>
    <m/>
  </r>
  <r>
    <x v="312"/>
    <x v="0"/>
    <m/>
  </r>
  <r>
    <x v="312"/>
    <x v="1"/>
    <m/>
  </r>
  <r>
    <x v="312"/>
    <x v="2"/>
    <m/>
  </r>
  <r>
    <x v="312"/>
    <x v="3"/>
    <m/>
  </r>
  <r>
    <x v="312"/>
    <x v="4"/>
    <m/>
  </r>
  <r>
    <x v="312"/>
    <x v="5"/>
    <m/>
  </r>
  <r>
    <x v="312"/>
    <x v="6"/>
    <m/>
  </r>
  <r>
    <x v="312"/>
    <x v="7"/>
    <m/>
  </r>
  <r>
    <x v="312"/>
    <x v="8"/>
    <m/>
  </r>
  <r>
    <x v="312"/>
    <x v="9"/>
    <m/>
  </r>
  <r>
    <x v="312"/>
    <x v="10"/>
    <m/>
  </r>
  <r>
    <x v="312"/>
    <x v="11"/>
    <m/>
  </r>
  <r>
    <x v="312"/>
    <x v="12"/>
    <m/>
  </r>
  <r>
    <x v="312"/>
    <x v="13"/>
    <m/>
  </r>
  <r>
    <x v="312"/>
    <x v="14"/>
    <m/>
  </r>
  <r>
    <x v="312"/>
    <x v="15"/>
    <m/>
  </r>
  <r>
    <x v="312"/>
    <x v="16"/>
    <m/>
  </r>
  <r>
    <x v="312"/>
    <x v="17"/>
    <m/>
  </r>
  <r>
    <x v="312"/>
    <x v="18"/>
    <m/>
  </r>
  <r>
    <x v="312"/>
    <x v="19"/>
    <m/>
  </r>
  <r>
    <x v="312"/>
    <x v="20"/>
    <m/>
  </r>
  <r>
    <x v="312"/>
    <x v="21"/>
    <m/>
  </r>
  <r>
    <x v="312"/>
    <x v="22"/>
    <m/>
  </r>
  <r>
    <x v="312"/>
    <x v="23"/>
    <m/>
  </r>
  <r>
    <x v="313"/>
    <x v="0"/>
    <m/>
  </r>
  <r>
    <x v="313"/>
    <x v="1"/>
    <m/>
  </r>
  <r>
    <x v="313"/>
    <x v="2"/>
    <m/>
  </r>
  <r>
    <x v="313"/>
    <x v="3"/>
    <m/>
  </r>
  <r>
    <x v="313"/>
    <x v="4"/>
    <m/>
  </r>
  <r>
    <x v="313"/>
    <x v="5"/>
    <m/>
  </r>
  <r>
    <x v="313"/>
    <x v="6"/>
    <m/>
  </r>
  <r>
    <x v="313"/>
    <x v="7"/>
    <m/>
  </r>
  <r>
    <x v="313"/>
    <x v="8"/>
    <m/>
  </r>
  <r>
    <x v="313"/>
    <x v="9"/>
    <m/>
  </r>
  <r>
    <x v="313"/>
    <x v="10"/>
    <m/>
  </r>
  <r>
    <x v="313"/>
    <x v="11"/>
    <m/>
  </r>
  <r>
    <x v="313"/>
    <x v="12"/>
    <m/>
  </r>
  <r>
    <x v="313"/>
    <x v="13"/>
    <m/>
  </r>
  <r>
    <x v="313"/>
    <x v="14"/>
    <m/>
  </r>
  <r>
    <x v="313"/>
    <x v="15"/>
    <m/>
  </r>
  <r>
    <x v="313"/>
    <x v="16"/>
    <m/>
  </r>
  <r>
    <x v="313"/>
    <x v="17"/>
    <m/>
  </r>
  <r>
    <x v="313"/>
    <x v="18"/>
    <m/>
  </r>
  <r>
    <x v="313"/>
    <x v="19"/>
    <m/>
  </r>
  <r>
    <x v="313"/>
    <x v="20"/>
    <m/>
  </r>
  <r>
    <x v="313"/>
    <x v="21"/>
    <m/>
  </r>
  <r>
    <x v="313"/>
    <x v="22"/>
    <m/>
  </r>
  <r>
    <x v="313"/>
    <x v="23"/>
    <m/>
  </r>
  <r>
    <x v="314"/>
    <x v="0"/>
    <m/>
  </r>
  <r>
    <x v="314"/>
    <x v="1"/>
    <m/>
  </r>
  <r>
    <x v="314"/>
    <x v="2"/>
    <m/>
  </r>
  <r>
    <x v="314"/>
    <x v="3"/>
    <m/>
  </r>
  <r>
    <x v="314"/>
    <x v="4"/>
    <m/>
  </r>
  <r>
    <x v="314"/>
    <x v="5"/>
    <m/>
  </r>
  <r>
    <x v="314"/>
    <x v="6"/>
    <m/>
  </r>
  <r>
    <x v="314"/>
    <x v="7"/>
    <m/>
  </r>
  <r>
    <x v="314"/>
    <x v="8"/>
    <m/>
  </r>
  <r>
    <x v="314"/>
    <x v="9"/>
    <m/>
  </r>
  <r>
    <x v="314"/>
    <x v="10"/>
    <m/>
  </r>
  <r>
    <x v="314"/>
    <x v="11"/>
    <m/>
  </r>
  <r>
    <x v="314"/>
    <x v="12"/>
    <m/>
  </r>
  <r>
    <x v="314"/>
    <x v="13"/>
    <m/>
  </r>
  <r>
    <x v="314"/>
    <x v="14"/>
    <m/>
  </r>
  <r>
    <x v="314"/>
    <x v="15"/>
    <m/>
  </r>
  <r>
    <x v="314"/>
    <x v="16"/>
    <m/>
  </r>
  <r>
    <x v="314"/>
    <x v="17"/>
    <m/>
  </r>
  <r>
    <x v="314"/>
    <x v="18"/>
    <m/>
  </r>
  <r>
    <x v="314"/>
    <x v="19"/>
    <m/>
  </r>
  <r>
    <x v="314"/>
    <x v="20"/>
    <m/>
  </r>
  <r>
    <x v="314"/>
    <x v="21"/>
    <m/>
  </r>
  <r>
    <x v="314"/>
    <x v="22"/>
    <m/>
  </r>
  <r>
    <x v="314"/>
    <x v="23"/>
    <m/>
  </r>
  <r>
    <x v="315"/>
    <x v="0"/>
    <m/>
  </r>
  <r>
    <x v="315"/>
    <x v="1"/>
    <m/>
  </r>
  <r>
    <x v="315"/>
    <x v="2"/>
    <m/>
  </r>
  <r>
    <x v="315"/>
    <x v="3"/>
    <m/>
  </r>
  <r>
    <x v="315"/>
    <x v="4"/>
    <m/>
  </r>
  <r>
    <x v="315"/>
    <x v="5"/>
    <m/>
  </r>
  <r>
    <x v="315"/>
    <x v="6"/>
    <m/>
  </r>
  <r>
    <x v="315"/>
    <x v="7"/>
    <m/>
  </r>
  <r>
    <x v="315"/>
    <x v="8"/>
    <m/>
  </r>
  <r>
    <x v="315"/>
    <x v="9"/>
    <m/>
  </r>
  <r>
    <x v="315"/>
    <x v="10"/>
    <m/>
  </r>
  <r>
    <x v="315"/>
    <x v="11"/>
    <m/>
  </r>
  <r>
    <x v="315"/>
    <x v="12"/>
    <m/>
  </r>
  <r>
    <x v="315"/>
    <x v="13"/>
    <m/>
  </r>
  <r>
    <x v="315"/>
    <x v="14"/>
    <m/>
  </r>
  <r>
    <x v="315"/>
    <x v="15"/>
    <m/>
  </r>
  <r>
    <x v="315"/>
    <x v="16"/>
    <m/>
  </r>
  <r>
    <x v="315"/>
    <x v="17"/>
    <m/>
  </r>
  <r>
    <x v="315"/>
    <x v="18"/>
    <m/>
  </r>
  <r>
    <x v="315"/>
    <x v="19"/>
    <m/>
  </r>
  <r>
    <x v="315"/>
    <x v="20"/>
    <m/>
  </r>
  <r>
    <x v="315"/>
    <x v="21"/>
    <m/>
  </r>
  <r>
    <x v="315"/>
    <x v="22"/>
    <m/>
  </r>
  <r>
    <x v="315"/>
    <x v="23"/>
    <m/>
  </r>
  <r>
    <x v="316"/>
    <x v="0"/>
    <m/>
  </r>
  <r>
    <x v="316"/>
    <x v="1"/>
    <m/>
  </r>
  <r>
    <x v="316"/>
    <x v="2"/>
    <m/>
  </r>
  <r>
    <x v="316"/>
    <x v="3"/>
    <m/>
  </r>
  <r>
    <x v="316"/>
    <x v="4"/>
    <m/>
  </r>
  <r>
    <x v="316"/>
    <x v="5"/>
    <m/>
  </r>
  <r>
    <x v="316"/>
    <x v="6"/>
    <m/>
  </r>
  <r>
    <x v="316"/>
    <x v="7"/>
    <m/>
  </r>
  <r>
    <x v="316"/>
    <x v="8"/>
    <m/>
  </r>
  <r>
    <x v="316"/>
    <x v="9"/>
    <m/>
  </r>
  <r>
    <x v="316"/>
    <x v="10"/>
    <m/>
  </r>
  <r>
    <x v="316"/>
    <x v="11"/>
    <m/>
  </r>
  <r>
    <x v="316"/>
    <x v="12"/>
    <m/>
  </r>
  <r>
    <x v="316"/>
    <x v="13"/>
    <m/>
  </r>
  <r>
    <x v="316"/>
    <x v="14"/>
    <m/>
  </r>
  <r>
    <x v="316"/>
    <x v="15"/>
    <m/>
  </r>
  <r>
    <x v="316"/>
    <x v="16"/>
    <m/>
  </r>
  <r>
    <x v="316"/>
    <x v="17"/>
    <m/>
  </r>
  <r>
    <x v="316"/>
    <x v="18"/>
    <m/>
  </r>
  <r>
    <x v="316"/>
    <x v="19"/>
    <m/>
  </r>
  <r>
    <x v="316"/>
    <x v="20"/>
    <m/>
  </r>
  <r>
    <x v="316"/>
    <x v="21"/>
    <m/>
  </r>
  <r>
    <x v="316"/>
    <x v="22"/>
    <m/>
  </r>
  <r>
    <x v="316"/>
    <x v="23"/>
    <m/>
  </r>
  <r>
    <x v="317"/>
    <x v="0"/>
    <m/>
  </r>
  <r>
    <x v="317"/>
    <x v="1"/>
    <m/>
  </r>
  <r>
    <x v="317"/>
    <x v="2"/>
    <m/>
  </r>
  <r>
    <x v="317"/>
    <x v="3"/>
    <m/>
  </r>
  <r>
    <x v="317"/>
    <x v="4"/>
    <m/>
  </r>
  <r>
    <x v="317"/>
    <x v="5"/>
    <m/>
  </r>
  <r>
    <x v="317"/>
    <x v="6"/>
    <m/>
  </r>
  <r>
    <x v="317"/>
    <x v="7"/>
    <m/>
  </r>
  <r>
    <x v="317"/>
    <x v="8"/>
    <m/>
  </r>
  <r>
    <x v="317"/>
    <x v="9"/>
    <m/>
  </r>
  <r>
    <x v="317"/>
    <x v="10"/>
    <m/>
  </r>
  <r>
    <x v="317"/>
    <x v="11"/>
    <m/>
  </r>
  <r>
    <x v="317"/>
    <x v="12"/>
    <m/>
  </r>
  <r>
    <x v="317"/>
    <x v="13"/>
    <m/>
  </r>
  <r>
    <x v="317"/>
    <x v="14"/>
    <m/>
  </r>
  <r>
    <x v="317"/>
    <x v="15"/>
    <m/>
  </r>
  <r>
    <x v="317"/>
    <x v="16"/>
    <m/>
  </r>
  <r>
    <x v="317"/>
    <x v="17"/>
    <m/>
  </r>
  <r>
    <x v="317"/>
    <x v="18"/>
    <m/>
  </r>
  <r>
    <x v="317"/>
    <x v="19"/>
    <m/>
  </r>
  <r>
    <x v="317"/>
    <x v="20"/>
    <m/>
  </r>
  <r>
    <x v="317"/>
    <x v="21"/>
    <m/>
  </r>
  <r>
    <x v="317"/>
    <x v="22"/>
    <m/>
  </r>
  <r>
    <x v="317"/>
    <x v="23"/>
    <m/>
  </r>
  <r>
    <x v="318"/>
    <x v="0"/>
    <m/>
  </r>
  <r>
    <x v="318"/>
    <x v="1"/>
    <m/>
  </r>
  <r>
    <x v="318"/>
    <x v="2"/>
    <m/>
  </r>
  <r>
    <x v="318"/>
    <x v="3"/>
    <m/>
  </r>
  <r>
    <x v="318"/>
    <x v="4"/>
    <m/>
  </r>
  <r>
    <x v="318"/>
    <x v="5"/>
    <m/>
  </r>
  <r>
    <x v="318"/>
    <x v="6"/>
    <m/>
  </r>
  <r>
    <x v="318"/>
    <x v="7"/>
    <m/>
  </r>
  <r>
    <x v="318"/>
    <x v="8"/>
    <m/>
  </r>
  <r>
    <x v="318"/>
    <x v="9"/>
    <m/>
  </r>
  <r>
    <x v="318"/>
    <x v="10"/>
    <m/>
  </r>
  <r>
    <x v="318"/>
    <x v="11"/>
    <m/>
  </r>
  <r>
    <x v="318"/>
    <x v="12"/>
    <m/>
  </r>
  <r>
    <x v="318"/>
    <x v="13"/>
    <m/>
  </r>
  <r>
    <x v="318"/>
    <x v="14"/>
    <m/>
  </r>
  <r>
    <x v="318"/>
    <x v="15"/>
    <m/>
  </r>
  <r>
    <x v="318"/>
    <x v="16"/>
    <m/>
  </r>
  <r>
    <x v="318"/>
    <x v="17"/>
    <m/>
  </r>
  <r>
    <x v="318"/>
    <x v="18"/>
    <m/>
  </r>
  <r>
    <x v="318"/>
    <x v="19"/>
    <m/>
  </r>
  <r>
    <x v="318"/>
    <x v="20"/>
    <m/>
  </r>
  <r>
    <x v="318"/>
    <x v="21"/>
    <m/>
  </r>
  <r>
    <x v="318"/>
    <x v="22"/>
    <m/>
  </r>
  <r>
    <x v="318"/>
    <x v="23"/>
    <m/>
  </r>
  <r>
    <x v="319"/>
    <x v="0"/>
    <m/>
  </r>
  <r>
    <x v="319"/>
    <x v="1"/>
    <m/>
  </r>
  <r>
    <x v="319"/>
    <x v="2"/>
    <m/>
  </r>
  <r>
    <x v="319"/>
    <x v="3"/>
    <m/>
  </r>
  <r>
    <x v="319"/>
    <x v="4"/>
    <m/>
  </r>
  <r>
    <x v="319"/>
    <x v="5"/>
    <m/>
  </r>
  <r>
    <x v="319"/>
    <x v="6"/>
    <m/>
  </r>
  <r>
    <x v="319"/>
    <x v="7"/>
    <m/>
  </r>
  <r>
    <x v="319"/>
    <x v="8"/>
    <m/>
  </r>
  <r>
    <x v="319"/>
    <x v="9"/>
    <m/>
  </r>
  <r>
    <x v="319"/>
    <x v="10"/>
    <m/>
  </r>
  <r>
    <x v="319"/>
    <x v="11"/>
    <m/>
  </r>
  <r>
    <x v="319"/>
    <x v="12"/>
    <m/>
  </r>
  <r>
    <x v="319"/>
    <x v="13"/>
    <m/>
  </r>
  <r>
    <x v="319"/>
    <x v="14"/>
    <m/>
  </r>
  <r>
    <x v="319"/>
    <x v="15"/>
    <m/>
  </r>
  <r>
    <x v="319"/>
    <x v="16"/>
    <m/>
  </r>
  <r>
    <x v="319"/>
    <x v="17"/>
    <m/>
  </r>
  <r>
    <x v="319"/>
    <x v="18"/>
    <m/>
  </r>
  <r>
    <x v="319"/>
    <x v="19"/>
    <m/>
  </r>
  <r>
    <x v="319"/>
    <x v="20"/>
    <m/>
  </r>
  <r>
    <x v="319"/>
    <x v="21"/>
    <m/>
  </r>
  <r>
    <x v="319"/>
    <x v="22"/>
    <m/>
  </r>
  <r>
    <x v="319"/>
    <x v="23"/>
    <m/>
  </r>
  <r>
    <x v="320"/>
    <x v="0"/>
    <m/>
  </r>
  <r>
    <x v="320"/>
    <x v="1"/>
    <m/>
  </r>
  <r>
    <x v="320"/>
    <x v="2"/>
    <m/>
  </r>
  <r>
    <x v="320"/>
    <x v="3"/>
    <m/>
  </r>
  <r>
    <x v="320"/>
    <x v="4"/>
    <m/>
  </r>
  <r>
    <x v="320"/>
    <x v="5"/>
    <m/>
  </r>
  <r>
    <x v="320"/>
    <x v="6"/>
    <m/>
  </r>
  <r>
    <x v="320"/>
    <x v="7"/>
    <m/>
  </r>
  <r>
    <x v="320"/>
    <x v="8"/>
    <m/>
  </r>
  <r>
    <x v="320"/>
    <x v="9"/>
    <m/>
  </r>
  <r>
    <x v="320"/>
    <x v="10"/>
    <m/>
  </r>
  <r>
    <x v="320"/>
    <x v="11"/>
    <m/>
  </r>
  <r>
    <x v="320"/>
    <x v="12"/>
    <m/>
  </r>
  <r>
    <x v="320"/>
    <x v="13"/>
    <m/>
  </r>
  <r>
    <x v="320"/>
    <x v="14"/>
    <m/>
  </r>
  <r>
    <x v="320"/>
    <x v="15"/>
    <m/>
  </r>
  <r>
    <x v="320"/>
    <x v="16"/>
    <m/>
  </r>
  <r>
    <x v="320"/>
    <x v="17"/>
    <m/>
  </r>
  <r>
    <x v="320"/>
    <x v="18"/>
    <m/>
  </r>
  <r>
    <x v="320"/>
    <x v="19"/>
    <m/>
  </r>
  <r>
    <x v="320"/>
    <x v="20"/>
    <m/>
  </r>
  <r>
    <x v="320"/>
    <x v="21"/>
    <m/>
  </r>
  <r>
    <x v="320"/>
    <x v="22"/>
    <m/>
  </r>
  <r>
    <x v="320"/>
    <x v="23"/>
    <m/>
  </r>
  <r>
    <x v="321"/>
    <x v="0"/>
    <m/>
  </r>
  <r>
    <x v="321"/>
    <x v="1"/>
    <m/>
  </r>
  <r>
    <x v="321"/>
    <x v="2"/>
    <m/>
  </r>
  <r>
    <x v="321"/>
    <x v="3"/>
    <m/>
  </r>
  <r>
    <x v="321"/>
    <x v="4"/>
    <m/>
  </r>
  <r>
    <x v="321"/>
    <x v="5"/>
    <m/>
  </r>
  <r>
    <x v="321"/>
    <x v="6"/>
    <m/>
  </r>
  <r>
    <x v="321"/>
    <x v="7"/>
    <m/>
  </r>
  <r>
    <x v="321"/>
    <x v="8"/>
    <m/>
  </r>
  <r>
    <x v="321"/>
    <x v="9"/>
    <m/>
  </r>
  <r>
    <x v="321"/>
    <x v="10"/>
    <m/>
  </r>
  <r>
    <x v="321"/>
    <x v="11"/>
    <m/>
  </r>
  <r>
    <x v="321"/>
    <x v="12"/>
    <m/>
  </r>
  <r>
    <x v="321"/>
    <x v="13"/>
    <m/>
  </r>
  <r>
    <x v="321"/>
    <x v="14"/>
    <m/>
  </r>
  <r>
    <x v="321"/>
    <x v="15"/>
    <m/>
  </r>
  <r>
    <x v="321"/>
    <x v="16"/>
    <m/>
  </r>
  <r>
    <x v="321"/>
    <x v="17"/>
    <m/>
  </r>
  <r>
    <x v="321"/>
    <x v="18"/>
    <m/>
  </r>
  <r>
    <x v="321"/>
    <x v="19"/>
    <m/>
  </r>
  <r>
    <x v="321"/>
    <x v="20"/>
    <m/>
  </r>
  <r>
    <x v="321"/>
    <x v="21"/>
    <m/>
  </r>
  <r>
    <x v="321"/>
    <x v="22"/>
    <m/>
  </r>
  <r>
    <x v="321"/>
    <x v="23"/>
    <m/>
  </r>
  <r>
    <x v="322"/>
    <x v="0"/>
    <m/>
  </r>
  <r>
    <x v="322"/>
    <x v="1"/>
    <m/>
  </r>
  <r>
    <x v="322"/>
    <x v="2"/>
    <m/>
  </r>
  <r>
    <x v="322"/>
    <x v="3"/>
    <m/>
  </r>
  <r>
    <x v="322"/>
    <x v="4"/>
    <m/>
  </r>
  <r>
    <x v="322"/>
    <x v="5"/>
    <m/>
  </r>
  <r>
    <x v="322"/>
    <x v="6"/>
    <m/>
  </r>
  <r>
    <x v="322"/>
    <x v="7"/>
    <m/>
  </r>
  <r>
    <x v="322"/>
    <x v="8"/>
    <m/>
  </r>
  <r>
    <x v="322"/>
    <x v="9"/>
    <m/>
  </r>
  <r>
    <x v="322"/>
    <x v="10"/>
    <m/>
  </r>
  <r>
    <x v="322"/>
    <x v="11"/>
    <m/>
  </r>
  <r>
    <x v="322"/>
    <x v="12"/>
    <m/>
  </r>
  <r>
    <x v="322"/>
    <x v="13"/>
    <m/>
  </r>
  <r>
    <x v="322"/>
    <x v="14"/>
    <m/>
  </r>
  <r>
    <x v="322"/>
    <x v="15"/>
    <m/>
  </r>
  <r>
    <x v="322"/>
    <x v="16"/>
    <m/>
  </r>
  <r>
    <x v="322"/>
    <x v="17"/>
    <m/>
  </r>
  <r>
    <x v="322"/>
    <x v="18"/>
    <m/>
  </r>
  <r>
    <x v="322"/>
    <x v="19"/>
    <m/>
  </r>
  <r>
    <x v="322"/>
    <x v="20"/>
    <m/>
  </r>
  <r>
    <x v="322"/>
    <x v="21"/>
    <m/>
  </r>
  <r>
    <x v="322"/>
    <x v="22"/>
    <m/>
  </r>
  <r>
    <x v="322"/>
    <x v="23"/>
    <m/>
  </r>
  <r>
    <x v="323"/>
    <x v="0"/>
    <m/>
  </r>
  <r>
    <x v="323"/>
    <x v="1"/>
    <m/>
  </r>
  <r>
    <x v="323"/>
    <x v="2"/>
    <m/>
  </r>
  <r>
    <x v="323"/>
    <x v="3"/>
    <m/>
  </r>
  <r>
    <x v="323"/>
    <x v="4"/>
    <m/>
  </r>
  <r>
    <x v="323"/>
    <x v="5"/>
    <m/>
  </r>
  <r>
    <x v="323"/>
    <x v="6"/>
    <m/>
  </r>
  <r>
    <x v="323"/>
    <x v="7"/>
    <m/>
  </r>
  <r>
    <x v="323"/>
    <x v="8"/>
    <m/>
  </r>
  <r>
    <x v="323"/>
    <x v="9"/>
    <m/>
  </r>
  <r>
    <x v="323"/>
    <x v="10"/>
    <m/>
  </r>
  <r>
    <x v="323"/>
    <x v="11"/>
    <m/>
  </r>
  <r>
    <x v="323"/>
    <x v="12"/>
    <m/>
  </r>
  <r>
    <x v="323"/>
    <x v="13"/>
    <m/>
  </r>
  <r>
    <x v="323"/>
    <x v="14"/>
    <m/>
  </r>
  <r>
    <x v="323"/>
    <x v="15"/>
    <m/>
  </r>
  <r>
    <x v="323"/>
    <x v="16"/>
    <m/>
  </r>
  <r>
    <x v="323"/>
    <x v="17"/>
    <m/>
  </r>
  <r>
    <x v="323"/>
    <x v="18"/>
    <m/>
  </r>
  <r>
    <x v="323"/>
    <x v="19"/>
    <m/>
  </r>
  <r>
    <x v="323"/>
    <x v="20"/>
    <m/>
  </r>
  <r>
    <x v="323"/>
    <x v="21"/>
    <m/>
  </r>
  <r>
    <x v="323"/>
    <x v="22"/>
    <m/>
  </r>
  <r>
    <x v="323"/>
    <x v="23"/>
    <m/>
  </r>
  <r>
    <x v="324"/>
    <x v="0"/>
    <m/>
  </r>
  <r>
    <x v="324"/>
    <x v="1"/>
    <m/>
  </r>
  <r>
    <x v="324"/>
    <x v="2"/>
    <m/>
  </r>
  <r>
    <x v="324"/>
    <x v="3"/>
    <m/>
  </r>
  <r>
    <x v="324"/>
    <x v="4"/>
    <m/>
  </r>
  <r>
    <x v="324"/>
    <x v="5"/>
    <m/>
  </r>
  <r>
    <x v="324"/>
    <x v="6"/>
    <m/>
  </r>
  <r>
    <x v="324"/>
    <x v="7"/>
    <m/>
  </r>
  <r>
    <x v="324"/>
    <x v="8"/>
    <m/>
  </r>
  <r>
    <x v="324"/>
    <x v="9"/>
    <m/>
  </r>
  <r>
    <x v="324"/>
    <x v="10"/>
    <m/>
  </r>
  <r>
    <x v="324"/>
    <x v="11"/>
    <m/>
  </r>
  <r>
    <x v="324"/>
    <x v="12"/>
    <m/>
  </r>
  <r>
    <x v="324"/>
    <x v="13"/>
    <m/>
  </r>
  <r>
    <x v="324"/>
    <x v="14"/>
    <m/>
  </r>
  <r>
    <x v="324"/>
    <x v="15"/>
    <m/>
  </r>
  <r>
    <x v="324"/>
    <x v="16"/>
    <m/>
  </r>
  <r>
    <x v="324"/>
    <x v="17"/>
    <m/>
  </r>
  <r>
    <x v="324"/>
    <x v="18"/>
    <m/>
  </r>
  <r>
    <x v="324"/>
    <x v="19"/>
    <m/>
  </r>
  <r>
    <x v="324"/>
    <x v="20"/>
    <m/>
  </r>
  <r>
    <x v="324"/>
    <x v="21"/>
    <m/>
  </r>
  <r>
    <x v="324"/>
    <x v="22"/>
    <m/>
  </r>
  <r>
    <x v="324"/>
    <x v="23"/>
    <m/>
  </r>
  <r>
    <x v="325"/>
    <x v="0"/>
    <m/>
  </r>
  <r>
    <x v="325"/>
    <x v="1"/>
    <m/>
  </r>
  <r>
    <x v="325"/>
    <x v="2"/>
    <m/>
  </r>
  <r>
    <x v="325"/>
    <x v="3"/>
    <m/>
  </r>
  <r>
    <x v="325"/>
    <x v="4"/>
    <m/>
  </r>
  <r>
    <x v="325"/>
    <x v="5"/>
    <m/>
  </r>
  <r>
    <x v="325"/>
    <x v="6"/>
    <m/>
  </r>
  <r>
    <x v="325"/>
    <x v="7"/>
    <m/>
  </r>
  <r>
    <x v="325"/>
    <x v="8"/>
    <m/>
  </r>
  <r>
    <x v="325"/>
    <x v="9"/>
    <m/>
  </r>
  <r>
    <x v="325"/>
    <x v="10"/>
    <m/>
  </r>
  <r>
    <x v="325"/>
    <x v="11"/>
    <m/>
  </r>
  <r>
    <x v="325"/>
    <x v="12"/>
    <m/>
  </r>
  <r>
    <x v="325"/>
    <x v="13"/>
    <m/>
  </r>
  <r>
    <x v="325"/>
    <x v="14"/>
    <m/>
  </r>
  <r>
    <x v="325"/>
    <x v="15"/>
    <m/>
  </r>
  <r>
    <x v="325"/>
    <x v="16"/>
    <m/>
  </r>
  <r>
    <x v="325"/>
    <x v="17"/>
    <m/>
  </r>
  <r>
    <x v="325"/>
    <x v="18"/>
    <m/>
  </r>
  <r>
    <x v="325"/>
    <x v="19"/>
    <m/>
  </r>
  <r>
    <x v="325"/>
    <x v="20"/>
    <m/>
  </r>
  <r>
    <x v="325"/>
    <x v="21"/>
    <m/>
  </r>
  <r>
    <x v="325"/>
    <x v="22"/>
    <m/>
  </r>
  <r>
    <x v="325"/>
    <x v="23"/>
    <m/>
  </r>
  <r>
    <x v="326"/>
    <x v="0"/>
    <m/>
  </r>
  <r>
    <x v="326"/>
    <x v="1"/>
    <m/>
  </r>
  <r>
    <x v="326"/>
    <x v="2"/>
    <m/>
  </r>
  <r>
    <x v="326"/>
    <x v="3"/>
    <m/>
  </r>
  <r>
    <x v="326"/>
    <x v="4"/>
    <m/>
  </r>
  <r>
    <x v="326"/>
    <x v="5"/>
    <m/>
  </r>
  <r>
    <x v="326"/>
    <x v="6"/>
    <m/>
  </r>
  <r>
    <x v="326"/>
    <x v="7"/>
    <m/>
  </r>
  <r>
    <x v="326"/>
    <x v="8"/>
    <m/>
  </r>
  <r>
    <x v="326"/>
    <x v="9"/>
    <m/>
  </r>
  <r>
    <x v="326"/>
    <x v="10"/>
    <m/>
  </r>
  <r>
    <x v="326"/>
    <x v="11"/>
    <m/>
  </r>
  <r>
    <x v="326"/>
    <x v="12"/>
    <m/>
  </r>
  <r>
    <x v="326"/>
    <x v="13"/>
    <m/>
  </r>
  <r>
    <x v="326"/>
    <x v="14"/>
    <m/>
  </r>
  <r>
    <x v="326"/>
    <x v="15"/>
    <m/>
  </r>
  <r>
    <x v="326"/>
    <x v="16"/>
    <m/>
  </r>
  <r>
    <x v="326"/>
    <x v="17"/>
    <m/>
  </r>
  <r>
    <x v="326"/>
    <x v="18"/>
    <m/>
  </r>
  <r>
    <x v="326"/>
    <x v="19"/>
    <m/>
  </r>
  <r>
    <x v="326"/>
    <x v="20"/>
    <m/>
  </r>
  <r>
    <x v="326"/>
    <x v="21"/>
    <m/>
  </r>
  <r>
    <x v="326"/>
    <x v="22"/>
    <m/>
  </r>
  <r>
    <x v="326"/>
    <x v="23"/>
    <m/>
  </r>
  <r>
    <x v="327"/>
    <x v="0"/>
    <m/>
  </r>
  <r>
    <x v="327"/>
    <x v="1"/>
    <m/>
  </r>
  <r>
    <x v="327"/>
    <x v="2"/>
    <m/>
  </r>
  <r>
    <x v="327"/>
    <x v="3"/>
    <m/>
  </r>
  <r>
    <x v="327"/>
    <x v="4"/>
    <m/>
  </r>
  <r>
    <x v="327"/>
    <x v="5"/>
    <m/>
  </r>
  <r>
    <x v="327"/>
    <x v="6"/>
    <m/>
  </r>
  <r>
    <x v="327"/>
    <x v="7"/>
    <m/>
  </r>
  <r>
    <x v="327"/>
    <x v="8"/>
    <m/>
  </r>
  <r>
    <x v="327"/>
    <x v="9"/>
    <m/>
  </r>
  <r>
    <x v="327"/>
    <x v="10"/>
    <m/>
  </r>
  <r>
    <x v="327"/>
    <x v="11"/>
    <m/>
  </r>
  <r>
    <x v="327"/>
    <x v="12"/>
    <m/>
  </r>
  <r>
    <x v="327"/>
    <x v="13"/>
    <m/>
  </r>
  <r>
    <x v="327"/>
    <x v="14"/>
    <m/>
  </r>
  <r>
    <x v="327"/>
    <x v="15"/>
    <m/>
  </r>
  <r>
    <x v="327"/>
    <x v="16"/>
    <m/>
  </r>
  <r>
    <x v="327"/>
    <x v="17"/>
    <m/>
  </r>
  <r>
    <x v="327"/>
    <x v="18"/>
    <m/>
  </r>
  <r>
    <x v="327"/>
    <x v="19"/>
    <m/>
  </r>
  <r>
    <x v="327"/>
    <x v="20"/>
    <m/>
  </r>
  <r>
    <x v="327"/>
    <x v="21"/>
    <m/>
  </r>
  <r>
    <x v="327"/>
    <x v="22"/>
    <m/>
  </r>
  <r>
    <x v="327"/>
    <x v="23"/>
    <m/>
  </r>
  <r>
    <x v="328"/>
    <x v="0"/>
    <m/>
  </r>
  <r>
    <x v="328"/>
    <x v="1"/>
    <m/>
  </r>
  <r>
    <x v="328"/>
    <x v="2"/>
    <m/>
  </r>
  <r>
    <x v="328"/>
    <x v="3"/>
    <m/>
  </r>
  <r>
    <x v="328"/>
    <x v="4"/>
    <m/>
  </r>
  <r>
    <x v="328"/>
    <x v="5"/>
    <m/>
  </r>
  <r>
    <x v="328"/>
    <x v="6"/>
    <m/>
  </r>
  <r>
    <x v="328"/>
    <x v="7"/>
    <m/>
  </r>
  <r>
    <x v="328"/>
    <x v="8"/>
    <m/>
  </r>
  <r>
    <x v="328"/>
    <x v="9"/>
    <m/>
  </r>
  <r>
    <x v="328"/>
    <x v="10"/>
    <m/>
  </r>
  <r>
    <x v="328"/>
    <x v="11"/>
    <m/>
  </r>
  <r>
    <x v="328"/>
    <x v="12"/>
    <m/>
  </r>
  <r>
    <x v="328"/>
    <x v="13"/>
    <m/>
  </r>
  <r>
    <x v="328"/>
    <x v="14"/>
    <m/>
  </r>
  <r>
    <x v="328"/>
    <x v="15"/>
    <m/>
  </r>
  <r>
    <x v="328"/>
    <x v="16"/>
    <m/>
  </r>
  <r>
    <x v="328"/>
    <x v="17"/>
    <m/>
  </r>
  <r>
    <x v="328"/>
    <x v="18"/>
    <m/>
  </r>
  <r>
    <x v="328"/>
    <x v="19"/>
    <m/>
  </r>
  <r>
    <x v="328"/>
    <x v="20"/>
    <m/>
  </r>
  <r>
    <x v="328"/>
    <x v="21"/>
    <m/>
  </r>
  <r>
    <x v="328"/>
    <x v="22"/>
    <m/>
  </r>
  <r>
    <x v="328"/>
    <x v="23"/>
    <m/>
  </r>
  <r>
    <x v="329"/>
    <x v="0"/>
    <m/>
  </r>
  <r>
    <x v="329"/>
    <x v="1"/>
    <m/>
  </r>
  <r>
    <x v="329"/>
    <x v="2"/>
    <m/>
  </r>
  <r>
    <x v="329"/>
    <x v="3"/>
    <m/>
  </r>
  <r>
    <x v="329"/>
    <x v="4"/>
    <m/>
  </r>
  <r>
    <x v="329"/>
    <x v="5"/>
    <m/>
  </r>
  <r>
    <x v="329"/>
    <x v="6"/>
    <m/>
  </r>
  <r>
    <x v="329"/>
    <x v="7"/>
    <m/>
  </r>
  <r>
    <x v="329"/>
    <x v="8"/>
    <m/>
  </r>
  <r>
    <x v="329"/>
    <x v="9"/>
    <m/>
  </r>
  <r>
    <x v="329"/>
    <x v="10"/>
    <m/>
  </r>
  <r>
    <x v="329"/>
    <x v="11"/>
    <m/>
  </r>
  <r>
    <x v="329"/>
    <x v="12"/>
    <m/>
  </r>
  <r>
    <x v="329"/>
    <x v="13"/>
    <m/>
  </r>
  <r>
    <x v="329"/>
    <x v="14"/>
    <m/>
  </r>
  <r>
    <x v="329"/>
    <x v="15"/>
    <m/>
  </r>
  <r>
    <x v="329"/>
    <x v="16"/>
    <m/>
  </r>
  <r>
    <x v="329"/>
    <x v="17"/>
    <m/>
  </r>
  <r>
    <x v="329"/>
    <x v="18"/>
    <m/>
  </r>
  <r>
    <x v="329"/>
    <x v="19"/>
    <m/>
  </r>
  <r>
    <x v="329"/>
    <x v="20"/>
    <m/>
  </r>
  <r>
    <x v="329"/>
    <x v="21"/>
    <m/>
  </r>
  <r>
    <x v="329"/>
    <x v="22"/>
    <m/>
  </r>
  <r>
    <x v="329"/>
    <x v="23"/>
    <m/>
  </r>
  <r>
    <x v="330"/>
    <x v="0"/>
    <m/>
  </r>
  <r>
    <x v="330"/>
    <x v="1"/>
    <m/>
  </r>
  <r>
    <x v="330"/>
    <x v="2"/>
    <m/>
  </r>
  <r>
    <x v="330"/>
    <x v="3"/>
    <m/>
  </r>
  <r>
    <x v="330"/>
    <x v="4"/>
    <m/>
  </r>
  <r>
    <x v="330"/>
    <x v="5"/>
    <m/>
  </r>
  <r>
    <x v="330"/>
    <x v="6"/>
    <m/>
  </r>
  <r>
    <x v="330"/>
    <x v="7"/>
    <m/>
  </r>
  <r>
    <x v="330"/>
    <x v="8"/>
    <m/>
  </r>
  <r>
    <x v="330"/>
    <x v="9"/>
    <m/>
  </r>
  <r>
    <x v="330"/>
    <x v="10"/>
    <m/>
  </r>
  <r>
    <x v="330"/>
    <x v="11"/>
    <m/>
  </r>
  <r>
    <x v="330"/>
    <x v="12"/>
    <m/>
  </r>
  <r>
    <x v="330"/>
    <x v="13"/>
    <m/>
  </r>
  <r>
    <x v="330"/>
    <x v="14"/>
    <m/>
  </r>
  <r>
    <x v="330"/>
    <x v="15"/>
    <m/>
  </r>
  <r>
    <x v="330"/>
    <x v="16"/>
    <m/>
  </r>
  <r>
    <x v="330"/>
    <x v="17"/>
    <m/>
  </r>
  <r>
    <x v="330"/>
    <x v="18"/>
    <m/>
  </r>
  <r>
    <x v="330"/>
    <x v="19"/>
    <m/>
  </r>
  <r>
    <x v="330"/>
    <x v="20"/>
    <m/>
  </r>
  <r>
    <x v="330"/>
    <x v="21"/>
    <m/>
  </r>
  <r>
    <x v="330"/>
    <x v="22"/>
    <m/>
  </r>
  <r>
    <x v="330"/>
    <x v="23"/>
    <m/>
  </r>
  <r>
    <x v="331"/>
    <x v="0"/>
    <m/>
  </r>
  <r>
    <x v="331"/>
    <x v="1"/>
    <m/>
  </r>
  <r>
    <x v="331"/>
    <x v="2"/>
    <m/>
  </r>
  <r>
    <x v="331"/>
    <x v="3"/>
    <m/>
  </r>
  <r>
    <x v="331"/>
    <x v="4"/>
    <m/>
  </r>
  <r>
    <x v="331"/>
    <x v="5"/>
    <m/>
  </r>
  <r>
    <x v="331"/>
    <x v="6"/>
    <m/>
  </r>
  <r>
    <x v="331"/>
    <x v="7"/>
    <m/>
  </r>
  <r>
    <x v="331"/>
    <x v="8"/>
    <m/>
  </r>
  <r>
    <x v="331"/>
    <x v="9"/>
    <m/>
  </r>
  <r>
    <x v="331"/>
    <x v="10"/>
    <m/>
  </r>
  <r>
    <x v="331"/>
    <x v="11"/>
    <m/>
  </r>
  <r>
    <x v="331"/>
    <x v="12"/>
    <m/>
  </r>
  <r>
    <x v="331"/>
    <x v="13"/>
    <m/>
  </r>
  <r>
    <x v="331"/>
    <x v="14"/>
    <m/>
  </r>
  <r>
    <x v="331"/>
    <x v="15"/>
    <m/>
  </r>
  <r>
    <x v="331"/>
    <x v="16"/>
    <m/>
  </r>
  <r>
    <x v="331"/>
    <x v="17"/>
    <m/>
  </r>
  <r>
    <x v="331"/>
    <x v="18"/>
    <m/>
  </r>
  <r>
    <x v="331"/>
    <x v="19"/>
    <m/>
  </r>
  <r>
    <x v="331"/>
    <x v="20"/>
    <m/>
  </r>
  <r>
    <x v="331"/>
    <x v="21"/>
    <m/>
  </r>
  <r>
    <x v="331"/>
    <x v="22"/>
    <m/>
  </r>
  <r>
    <x v="331"/>
    <x v="23"/>
    <m/>
  </r>
  <r>
    <x v="332"/>
    <x v="0"/>
    <m/>
  </r>
  <r>
    <x v="332"/>
    <x v="1"/>
    <m/>
  </r>
  <r>
    <x v="332"/>
    <x v="2"/>
    <m/>
  </r>
  <r>
    <x v="332"/>
    <x v="3"/>
    <m/>
  </r>
  <r>
    <x v="332"/>
    <x v="4"/>
    <m/>
  </r>
  <r>
    <x v="332"/>
    <x v="5"/>
    <m/>
  </r>
  <r>
    <x v="332"/>
    <x v="6"/>
    <m/>
  </r>
  <r>
    <x v="332"/>
    <x v="7"/>
    <m/>
  </r>
  <r>
    <x v="332"/>
    <x v="8"/>
    <m/>
  </r>
  <r>
    <x v="332"/>
    <x v="9"/>
    <m/>
  </r>
  <r>
    <x v="332"/>
    <x v="10"/>
    <m/>
  </r>
  <r>
    <x v="332"/>
    <x v="11"/>
    <m/>
  </r>
  <r>
    <x v="332"/>
    <x v="12"/>
    <m/>
  </r>
  <r>
    <x v="332"/>
    <x v="13"/>
    <m/>
  </r>
  <r>
    <x v="332"/>
    <x v="14"/>
    <m/>
  </r>
  <r>
    <x v="332"/>
    <x v="15"/>
    <m/>
  </r>
  <r>
    <x v="332"/>
    <x v="16"/>
    <m/>
  </r>
  <r>
    <x v="332"/>
    <x v="17"/>
    <m/>
  </r>
  <r>
    <x v="332"/>
    <x v="18"/>
    <m/>
  </r>
  <r>
    <x v="332"/>
    <x v="19"/>
    <m/>
  </r>
  <r>
    <x v="332"/>
    <x v="20"/>
    <m/>
  </r>
  <r>
    <x v="332"/>
    <x v="21"/>
    <m/>
  </r>
  <r>
    <x v="332"/>
    <x v="22"/>
    <m/>
  </r>
  <r>
    <x v="332"/>
    <x v="23"/>
    <m/>
  </r>
  <r>
    <x v="333"/>
    <x v="0"/>
    <m/>
  </r>
  <r>
    <x v="333"/>
    <x v="1"/>
    <m/>
  </r>
  <r>
    <x v="333"/>
    <x v="2"/>
    <m/>
  </r>
  <r>
    <x v="333"/>
    <x v="3"/>
    <m/>
  </r>
  <r>
    <x v="333"/>
    <x v="4"/>
    <m/>
  </r>
  <r>
    <x v="333"/>
    <x v="5"/>
    <m/>
  </r>
  <r>
    <x v="333"/>
    <x v="6"/>
    <m/>
  </r>
  <r>
    <x v="333"/>
    <x v="7"/>
    <m/>
  </r>
  <r>
    <x v="333"/>
    <x v="8"/>
    <m/>
  </r>
  <r>
    <x v="333"/>
    <x v="9"/>
    <m/>
  </r>
  <r>
    <x v="333"/>
    <x v="10"/>
    <m/>
  </r>
  <r>
    <x v="333"/>
    <x v="11"/>
    <m/>
  </r>
  <r>
    <x v="333"/>
    <x v="12"/>
    <m/>
  </r>
  <r>
    <x v="333"/>
    <x v="13"/>
    <m/>
  </r>
  <r>
    <x v="333"/>
    <x v="14"/>
    <m/>
  </r>
  <r>
    <x v="333"/>
    <x v="15"/>
    <m/>
  </r>
  <r>
    <x v="333"/>
    <x v="16"/>
    <m/>
  </r>
  <r>
    <x v="333"/>
    <x v="17"/>
    <m/>
  </r>
  <r>
    <x v="333"/>
    <x v="18"/>
    <m/>
  </r>
  <r>
    <x v="333"/>
    <x v="19"/>
    <m/>
  </r>
  <r>
    <x v="333"/>
    <x v="20"/>
    <m/>
  </r>
  <r>
    <x v="333"/>
    <x v="21"/>
    <m/>
  </r>
  <r>
    <x v="333"/>
    <x v="22"/>
    <m/>
  </r>
  <r>
    <x v="333"/>
    <x v="23"/>
    <m/>
  </r>
  <r>
    <x v="334"/>
    <x v="0"/>
    <m/>
  </r>
  <r>
    <x v="334"/>
    <x v="1"/>
    <m/>
  </r>
  <r>
    <x v="334"/>
    <x v="2"/>
    <m/>
  </r>
  <r>
    <x v="334"/>
    <x v="3"/>
    <m/>
  </r>
  <r>
    <x v="334"/>
    <x v="4"/>
    <m/>
  </r>
  <r>
    <x v="334"/>
    <x v="5"/>
    <m/>
  </r>
  <r>
    <x v="334"/>
    <x v="6"/>
    <m/>
  </r>
  <r>
    <x v="334"/>
    <x v="7"/>
    <m/>
  </r>
  <r>
    <x v="334"/>
    <x v="8"/>
    <m/>
  </r>
  <r>
    <x v="334"/>
    <x v="9"/>
    <m/>
  </r>
  <r>
    <x v="334"/>
    <x v="10"/>
    <m/>
  </r>
  <r>
    <x v="334"/>
    <x v="11"/>
    <m/>
  </r>
  <r>
    <x v="334"/>
    <x v="12"/>
    <m/>
  </r>
  <r>
    <x v="334"/>
    <x v="13"/>
    <m/>
  </r>
  <r>
    <x v="334"/>
    <x v="14"/>
    <m/>
  </r>
  <r>
    <x v="334"/>
    <x v="15"/>
    <m/>
  </r>
  <r>
    <x v="334"/>
    <x v="16"/>
    <m/>
  </r>
  <r>
    <x v="334"/>
    <x v="17"/>
    <m/>
  </r>
  <r>
    <x v="334"/>
    <x v="18"/>
    <m/>
  </r>
  <r>
    <x v="334"/>
    <x v="19"/>
    <m/>
  </r>
  <r>
    <x v="334"/>
    <x v="20"/>
    <m/>
  </r>
  <r>
    <x v="334"/>
    <x v="21"/>
    <m/>
  </r>
  <r>
    <x v="334"/>
    <x v="22"/>
    <m/>
  </r>
  <r>
    <x v="334"/>
    <x v="23"/>
    <m/>
  </r>
  <r>
    <x v="335"/>
    <x v="0"/>
    <m/>
  </r>
  <r>
    <x v="335"/>
    <x v="1"/>
    <m/>
  </r>
  <r>
    <x v="335"/>
    <x v="2"/>
    <m/>
  </r>
  <r>
    <x v="335"/>
    <x v="3"/>
    <m/>
  </r>
  <r>
    <x v="335"/>
    <x v="4"/>
    <m/>
  </r>
  <r>
    <x v="335"/>
    <x v="5"/>
    <m/>
  </r>
  <r>
    <x v="335"/>
    <x v="6"/>
    <m/>
  </r>
  <r>
    <x v="335"/>
    <x v="7"/>
    <m/>
  </r>
  <r>
    <x v="335"/>
    <x v="8"/>
    <m/>
  </r>
  <r>
    <x v="335"/>
    <x v="9"/>
    <m/>
  </r>
  <r>
    <x v="335"/>
    <x v="10"/>
    <m/>
  </r>
  <r>
    <x v="335"/>
    <x v="11"/>
    <m/>
  </r>
  <r>
    <x v="335"/>
    <x v="12"/>
    <m/>
  </r>
  <r>
    <x v="335"/>
    <x v="13"/>
    <m/>
  </r>
  <r>
    <x v="335"/>
    <x v="14"/>
    <m/>
  </r>
  <r>
    <x v="335"/>
    <x v="15"/>
    <m/>
  </r>
  <r>
    <x v="335"/>
    <x v="16"/>
    <m/>
  </r>
  <r>
    <x v="335"/>
    <x v="17"/>
    <m/>
  </r>
  <r>
    <x v="335"/>
    <x v="18"/>
    <m/>
  </r>
  <r>
    <x v="335"/>
    <x v="19"/>
    <m/>
  </r>
  <r>
    <x v="335"/>
    <x v="20"/>
    <m/>
  </r>
  <r>
    <x v="335"/>
    <x v="21"/>
    <m/>
  </r>
  <r>
    <x v="335"/>
    <x v="22"/>
    <m/>
  </r>
  <r>
    <x v="335"/>
    <x v="23"/>
    <m/>
  </r>
  <r>
    <x v="336"/>
    <x v="0"/>
    <m/>
  </r>
  <r>
    <x v="336"/>
    <x v="1"/>
    <m/>
  </r>
  <r>
    <x v="336"/>
    <x v="2"/>
    <m/>
  </r>
  <r>
    <x v="336"/>
    <x v="3"/>
    <m/>
  </r>
  <r>
    <x v="336"/>
    <x v="4"/>
    <m/>
  </r>
  <r>
    <x v="336"/>
    <x v="5"/>
    <m/>
  </r>
  <r>
    <x v="336"/>
    <x v="6"/>
    <m/>
  </r>
  <r>
    <x v="336"/>
    <x v="7"/>
    <m/>
  </r>
  <r>
    <x v="336"/>
    <x v="8"/>
    <m/>
  </r>
  <r>
    <x v="336"/>
    <x v="9"/>
    <m/>
  </r>
  <r>
    <x v="336"/>
    <x v="10"/>
    <m/>
  </r>
  <r>
    <x v="336"/>
    <x v="11"/>
    <m/>
  </r>
  <r>
    <x v="336"/>
    <x v="12"/>
    <m/>
  </r>
  <r>
    <x v="336"/>
    <x v="13"/>
    <m/>
  </r>
  <r>
    <x v="336"/>
    <x v="14"/>
    <m/>
  </r>
  <r>
    <x v="336"/>
    <x v="15"/>
    <m/>
  </r>
  <r>
    <x v="336"/>
    <x v="16"/>
    <m/>
  </r>
  <r>
    <x v="336"/>
    <x v="17"/>
    <m/>
  </r>
  <r>
    <x v="336"/>
    <x v="18"/>
    <m/>
  </r>
  <r>
    <x v="336"/>
    <x v="19"/>
    <m/>
  </r>
  <r>
    <x v="336"/>
    <x v="20"/>
    <m/>
  </r>
  <r>
    <x v="336"/>
    <x v="21"/>
    <m/>
  </r>
  <r>
    <x v="336"/>
    <x v="22"/>
    <m/>
  </r>
  <r>
    <x v="336"/>
    <x v="23"/>
    <m/>
  </r>
  <r>
    <x v="337"/>
    <x v="0"/>
    <m/>
  </r>
  <r>
    <x v="337"/>
    <x v="1"/>
    <m/>
  </r>
  <r>
    <x v="337"/>
    <x v="2"/>
    <m/>
  </r>
  <r>
    <x v="337"/>
    <x v="3"/>
    <m/>
  </r>
  <r>
    <x v="337"/>
    <x v="4"/>
    <m/>
  </r>
  <r>
    <x v="337"/>
    <x v="5"/>
    <m/>
  </r>
  <r>
    <x v="337"/>
    <x v="6"/>
    <m/>
  </r>
  <r>
    <x v="337"/>
    <x v="7"/>
    <m/>
  </r>
  <r>
    <x v="337"/>
    <x v="8"/>
    <m/>
  </r>
  <r>
    <x v="337"/>
    <x v="9"/>
    <m/>
  </r>
  <r>
    <x v="337"/>
    <x v="10"/>
    <m/>
  </r>
  <r>
    <x v="337"/>
    <x v="11"/>
    <m/>
  </r>
  <r>
    <x v="337"/>
    <x v="12"/>
    <m/>
  </r>
  <r>
    <x v="337"/>
    <x v="13"/>
    <m/>
  </r>
  <r>
    <x v="337"/>
    <x v="14"/>
    <m/>
  </r>
  <r>
    <x v="337"/>
    <x v="15"/>
    <m/>
  </r>
  <r>
    <x v="337"/>
    <x v="16"/>
    <m/>
  </r>
  <r>
    <x v="337"/>
    <x v="17"/>
    <m/>
  </r>
  <r>
    <x v="337"/>
    <x v="18"/>
    <m/>
  </r>
  <r>
    <x v="337"/>
    <x v="19"/>
    <m/>
  </r>
  <r>
    <x v="337"/>
    <x v="20"/>
    <m/>
  </r>
  <r>
    <x v="337"/>
    <x v="21"/>
    <m/>
  </r>
  <r>
    <x v="337"/>
    <x v="22"/>
    <m/>
  </r>
  <r>
    <x v="337"/>
    <x v="23"/>
    <m/>
  </r>
  <r>
    <x v="338"/>
    <x v="0"/>
    <m/>
  </r>
  <r>
    <x v="338"/>
    <x v="1"/>
    <m/>
  </r>
  <r>
    <x v="338"/>
    <x v="2"/>
    <m/>
  </r>
  <r>
    <x v="338"/>
    <x v="3"/>
    <m/>
  </r>
  <r>
    <x v="338"/>
    <x v="4"/>
    <m/>
  </r>
  <r>
    <x v="338"/>
    <x v="5"/>
    <m/>
  </r>
  <r>
    <x v="338"/>
    <x v="6"/>
    <m/>
  </r>
  <r>
    <x v="338"/>
    <x v="7"/>
    <m/>
  </r>
  <r>
    <x v="338"/>
    <x v="8"/>
    <m/>
  </r>
  <r>
    <x v="338"/>
    <x v="9"/>
    <m/>
  </r>
  <r>
    <x v="338"/>
    <x v="10"/>
    <m/>
  </r>
  <r>
    <x v="338"/>
    <x v="11"/>
    <m/>
  </r>
  <r>
    <x v="338"/>
    <x v="12"/>
    <m/>
  </r>
  <r>
    <x v="338"/>
    <x v="13"/>
    <m/>
  </r>
  <r>
    <x v="338"/>
    <x v="14"/>
    <m/>
  </r>
  <r>
    <x v="338"/>
    <x v="15"/>
    <m/>
  </r>
  <r>
    <x v="338"/>
    <x v="16"/>
    <m/>
  </r>
  <r>
    <x v="338"/>
    <x v="17"/>
    <m/>
  </r>
  <r>
    <x v="338"/>
    <x v="18"/>
    <m/>
  </r>
  <r>
    <x v="338"/>
    <x v="19"/>
    <m/>
  </r>
  <r>
    <x v="338"/>
    <x v="20"/>
    <m/>
  </r>
  <r>
    <x v="338"/>
    <x v="21"/>
    <m/>
  </r>
  <r>
    <x v="338"/>
    <x v="22"/>
    <m/>
  </r>
  <r>
    <x v="338"/>
    <x v="23"/>
    <m/>
  </r>
  <r>
    <x v="339"/>
    <x v="0"/>
    <m/>
  </r>
  <r>
    <x v="339"/>
    <x v="1"/>
    <m/>
  </r>
  <r>
    <x v="339"/>
    <x v="2"/>
    <m/>
  </r>
  <r>
    <x v="339"/>
    <x v="3"/>
    <m/>
  </r>
  <r>
    <x v="339"/>
    <x v="4"/>
    <m/>
  </r>
  <r>
    <x v="339"/>
    <x v="5"/>
    <m/>
  </r>
  <r>
    <x v="339"/>
    <x v="6"/>
    <m/>
  </r>
  <r>
    <x v="339"/>
    <x v="7"/>
    <m/>
  </r>
  <r>
    <x v="339"/>
    <x v="8"/>
    <m/>
  </r>
  <r>
    <x v="339"/>
    <x v="9"/>
    <m/>
  </r>
  <r>
    <x v="339"/>
    <x v="10"/>
    <m/>
  </r>
  <r>
    <x v="339"/>
    <x v="11"/>
    <m/>
  </r>
  <r>
    <x v="339"/>
    <x v="12"/>
    <m/>
  </r>
  <r>
    <x v="339"/>
    <x v="13"/>
    <m/>
  </r>
  <r>
    <x v="339"/>
    <x v="14"/>
    <m/>
  </r>
  <r>
    <x v="339"/>
    <x v="15"/>
    <m/>
  </r>
  <r>
    <x v="339"/>
    <x v="16"/>
    <m/>
  </r>
  <r>
    <x v="339"/>
    <x v="17"/>
    <m/>
  </r>
  <r>
    <x v="339"/>
    <x v="18"/>
    <m/>
  </r>
  <r>
    <x v="339"/>
    <x v="19"/>
    <m/>
  </r>
  <r>
    <x v="339"/>
    <x v="20"/>
    <m/>
  </r>
  <r>
    <x v="339"/>
    <x v="21"/>
    <m/>
  </r>
  <r>
    <x v="339"/>
    <x v="22"/>
    <m/>
  </r>
  <r>
    <x v="339"/>
    <x v="23"/>
    <m/>
  </r>
  <r>
    <x v="340"/>
    <x v="0"/>
    <m/>
  </r>
  <r>
    <x v="340"/>
    <x v="1"/>
    <m/>
  </r>
  <r>
    <x v="340"/>
    <x v="2"/>
    <m/>
  </r>
  <r>
    <x v="340"/>
    <x v="3"/>
    <m/>
  </r>
  <r>
    <x v="340"/>
    <x v="4"/>
    <m/>
  </r>
  <r>
    <x v="340"/>
    <x v="5"/>
    <m/>
  </r>
  <r>
    <x v="340"/>
    <x v="6"/>
    <m/>
  </r>
  <r>
    <x v="340"/>
    <x v="7"/>
    <m/>
  </r>
  <r>
    <x v="340"/>
    <x v="8"/>
    <m/>
  </r>
  <r>
    <x v="340"/>
    <x v="9"/>
    <m/>
  </r>
  <r>
    <x v="340"/>
    <x v="10"/>
    <m/>
  </r>
  <r>
    <x v="340"/>
    <x v="11"/>
    <m/>
  </r>
  <r>
    <x v="340"/>
    <x v="12"/>
    <m/>
  </r>
  <r>
    <x v="340"/>
    <x v="13"/>
    <m/>
  </r>
  <r>
    <x v="340"/>
    <x v="14"/>
    <m/>
  </r>
  <r>
    <x v="340"/>
    <x v="15"/>
    <m/>
  </r>
  <r>
    <x v="340"/>
    <x v="16"/>
    <m/>
  </r>
  <r>
    <x v="340"/>
    <x v="17"/>
    <m/>
  </r>
  <r>
    <x v="340"/>
    <x v="18"/>
    <m/>
  </r>
  <r>
    <x v="340"/>
    <x v="19"/>
    <m/>
  </r>
  <r>
    <x v="340"/>
    <x v="20"/>
    <m/>
  </r>
  <r>
    <x v="340"/>
    <x v="21"/>
    <m/>
  </r>
  <r>
    <x v="340"/>
    <x v="22"/>
    <m/>
  </r>
  <r>
    <x v="340"/>
    <x v="23"/>
    <m/>
  </r>
  <r>
    <x v="341"/>
    <x v="0"/>
    <m/>
  </r>
  <r>
    <x v="341"/>
    <x v="1"/>
    <m/>
  </r>
  <r>
    <x v="341"/>
    <x v="2"/>
    <m/>
  </r>
  <r>
    <x v="341"/>
    <x v="3"/>
    <m/>
  </r>
  <r>
    <x v="341"/>
    <x v="4"/>
    <m/>
  </r>
  <r>
    <x v="341"/>
    <x v="5"/>
    <m/>
  </r>
  <r>
    <x v="341"/>
    <x v="6"/>
    <m/>
  </r>
  <r>
    <x v="341"/>
    <x v="7"/>
    <m/>
  </r>
  <r>
    <x v="341"/>
    <x v="8"/>
    <m/>
  </r>
  <r>
    <x v="341"/>
    <x v="9"/>
    <m/>
  </r>
  <r>
    <x v="341"/>
    <x v="10"/>
    <m/>
  </r>
  <r>
    <x v="341"/>
    <x v="11"/>
    <m/>
  </r>
  <r>
    <x v="341"/>
    <x v="12"/>
    <m/>
  </r>
  <r>
    <x v="341"/>
    <x v="13"/>
    <m/>
  </r>
  <r>
    <x v="341"/>
    <x v="14"/>
    <m/>
  </r>
  <r>
    <x v="341"/>
    <x v="15"/>
    <m/>
  </r>
  <r>
    <x v="341"/>
    <x v="16"/>
    <m/>
  </r>
  <r>
    <x v="341"/>
    <x v="17"/>
    <m/>
  </r>
  <r>
    <x v="341"/>
    <x v="18"/>
    <m/>
  </r>
  <r>
    <x v="341"/>
    <x v="19"/>
    <m/>
  </r>
  <r>
    <x v="341"/>
    <x v="20"/>
    <m/>
  </r>
  <r>
    <x v="341"/>
    <x v="21"/>
    <m/>
  </r>
  <r>
    <x v="341"/>
    <x v="22"/>
    <m/>
  </r>
  <r>
    <x v="341"/>
    <x v="23"/>
    <m/>
  </r>
  <r>
    <x v="342"/>
    <x v="0"/>
    <m/>
  </r>
  <r>
    <x v="342"/>
    <x v="1"/>
    <m/>
  </r>
  <r>
    <x v="342"/>
    <x v="2"/>
    <m/>
  </r>
  <r>
    <x v="342"/>
    <x v="3"/>
    <m/>
  </r>
  <r>
    <x v="342"/>
    <x v="4"/>
    <m/>
  </r>
  <r>
    <x v="342"/>
    <x v="5"/>
    <m/>
  </r>
  <r>
    <x v="342"/>
    <x v="6"/>
    <m/>
  </r>
  <r>
    <x v="342"/>
    <x v="7"/>
    <m/>
  </r>
  <r>
    <x v="342"/>
    <x v="8"/>
    <m/>
  </r>
  <r>
    <x v="342"/>
    <x v="9"/>
    <m/>
  </r>
  <r>
    <x v="342"/>
    <x v="10"/>
    <m/>
  </r>
  <r>
    <x v="342"/>
    <x v="11"/>
    <m/>
  </r>
  <r>
    <x v="342"/>
    <x v="12"/>
    <m/>
  </r>
  <r>
    <x v="342"/>
    <x v="13"/>
    <m/>
  </r>
  <r>
    <x v="342"/>
    <x v="14"/>
    <m/>
  </r>
  <r>
    <x v="342"/>
    <x v="15"/>
    <m/>
  </r>
  <r>
    <x v="342"/>
    <x v="16"/>
    <m/>
  </r>
  <r>
    <x v="342"/>
    <x v="17"/>
    <m/>
  </r>
  <r>
    <x v="342"/>
    <x v="18"/>
    <m/>
  </r>
  <r>
    <x v="342"/>
    <x v="19"/>
    <m/>
  </r>
  <r>
    <x v="342"/>
    <x v="20"/>
    <m/>
  </r>
  <r>
    <x v="342"/>
    <x v="21"/>
    <m/>
  </r>
  <r>
    <x v="342"/>
    <x v="22"/>
    <m/>
  </r>
  <r>
    <x v="342"/>
    <x v="23"/>
    <m/>
  </r>
  <r>
    <x v="343"/>
    <x v="0"/>
    <m/>
  </r>
  <r>
    <x v="343"/>
    <x v="1"/>
    <m/>
  </r>
  <r>
    <x v="343"/>
    <x v="2"/>
    <m/>
  </r>
  <r>
    <x v="343"/>
    <x v="3"/>
    <m/>
  </r>
  <r>
    <x v="343"/>
    <x v="4"/>
    <m/>
  </r>
  <r>
    <x v="343"/>
    <x v="5"/>
    <m/>
  </r>
  <r>
    <x v="343"/>
    <x v="6"/>
    <m/>
  </r>
  <r>
    <x v="343"/>
    <x v="7"/>
    <m/>
  </r>
  <r>
    <x v="343"/>
    <x v="8"/>
    <m/>
  </r>
  <r>
    <x v="343"/>
    <x v="9"/>
    <m/>
  </r>
  <r>
    <x v="343"/>
    <x v="10"/>
    <m/>
  </r>
  <r>
    <x v="343"/>
    <x v="11"/>
    <m/>
  </r>
  <r>
    <x v="343"/>
    <x v="12"/>
    <m/>
  </r>
  <r>
    <x v="343"/>
    <x v="13"/>
    <m/>
  </r>
  <r>
    <x v="343"/>
    <x v="14"/>
    <m/>
  </r>
  <r>
    <x v="343"/>
    <x v="15"/>
    <m/>
  </r>
  <r>
    <x v="343"/>
    <x v="16"/>
    <m/>
  </r>
  <r>
    <x v="343"/>
    <x v="17"/>
    <m/>
  </r>
  <r>
    <x v="343"/>
    <x v="18"/>
    <m/>
  </r>
  <r>
    <x v="343"/>
    <x v="19"/>
    <m/>
  </r>
  <r>
    <x v="343"/>
    <x v="20"/>
    <m/>
  </r>
  <r>
    <x v="343"/>
    <x v="21"/>
    <m/>
  </r>
  <r>
    <x v="343"/>
    <x v="22"/>
    <m/>
  </r>
  <r>
    <x v="343"/>
    <x v="23"/>
    <m/>
  </r>
  <r>
    <x v="344"/>
    <x v="0"/>
    <m/>
  </r>
  <r>
    <x v="344"/>
    <x v="1"/>
    <m/>
  </r>
  <r>
    <x v="344"/>
    <x v="2"/>
    <m/>
  </r>
  <r>
    <x v="344"/>
    <x v="3"/>
    <m/>
  </r>
  <r>
    <x v="344"/>
    <x v="4"/>
    <m/>
  </r>
  <r>
    <x v="344"/>
    <x v="5"/>
    <m/>
  </r>
  <r>
    <x v="344"/>
    <x v="6"/>
    <m/>
  </r>
  <r>
    <x v="344"/>
    <x v="7"/>
    <m/>
  </r>
  <r>
    <x v="344"/>
    <x v="8"/>
    <m/>
  </r>
  <r>
    <x v="344"/>
    <x v="9"/>
    <m/>
  </r>
  <r>
    <x v="344"/>
    <x v="10"/>
    <m/>
  </r>
  <r>
    <x v="344"/>
    <x v="11"/>
    <m/>
  </r>
  <r>
    <x v="344"/>
    <x v="12"/>
    <m/>
  </r>
  <r>
    <x v="344"/>
    <x v="13"/>
    <m/>
  </r>
  <r>
    <x v="344"/>
    <x v="14"/>
    <m/>
  </r>
  <r>
    <x v="344"/>
    <x v="15"/>
    <m/>
  </r>
  <r>
    <x v="344"/>
    <x v="16"/>
    <m/>
  </r>
  <r>
    <x v="344"/>
    <x v="17"/>
    <m/>
  </r>
  <r>
    <x v="344"/>
    <x v="18"/>
    <m/>
  </r>
  <r>
    <x v="344"/>
    <x v="19"/>
    <m/>
  </r>
  <r>
    <x v="344"/>
    <x v="20"/>
    <m/>
  </r>
  <r>
    <x v="344"/>
    <x v="21"/>
    <m/>
  </r>
  <r>
    <x v="344"/>
    <x v="22"/>
    <m/>
  </r>
  <r>
    <x v="344"/>
    <x v="23"/>
    <m/>
  </r>
  <r>
    <x v="345"/>
    <x v="0"/>
    <m/>
  </r>
  <r>
    <x v="345"/>
    <x v="1"/>
    <m/>
  </r>
  <r>
    <x v="345"/>
    <x v="2"/>
    <m/>
  </r>
  <r>
    <x v="345"/>
    <x v="3"/>
    <m/>
  </r>
  <r>
    <x v="345"/>
    <x v="4"/>
    <m/>
  </r>
  <r>
    <x v="345"/>
    <x v="5"/>
    <m/>
  </r>
  <r>
    <x v="345"/>
    <x v="6"/>
    <m/>
  </r>
  <r>
    <x v="345"/>
    <x v="7"/>
    <m/>
  </r>
  <r>
    <x v="345"/>
    <x v="8"/>
    <m/>
  </r>
  <r>
    <x v="345"/>
    <x v="9"/>
    <m/>
  </r>
  <r>
    <x v="345"/>
    <x v="10"/>
    <m/>
  </r>
  <r>
    <x v="345"/>
    <x v="11"/>
    <m/>
  </r>
  <r>
    <x v="345"/>
    <x v="12"/>
    <m/>
  </r>
  <r>
    <x v="345"/>
    <x v="13"/>
    <m/>
  </r>
  <r>
    <x v="345"/>
    <x v="14"/>
    <m/>
  </r>
  <r>
    <x v="345"/>
    <x v="15"/>
    <m/>
  </r>
  <r>
    <x v="345"/>
    <x v="16"/>
    <m/>
  </r>
  <r>
    <x v="345"/>
    <x v="17"/>
    <m/>
  </r>
  <r>
    <x v="345"/>
    <x v="18"/>
    <m/>
  </r>
  <r>
    <x v="345"/>
    <x v="19"/>
    <m/>
  </r>
  <r>
    <x v="345"/>
    <x v="20"/>
    <m/>
  </r>
  <r>
    <x v="345"/>
    <x v="21"/>
    <m/>
  </r>
  <r>
    <x v="345"/>
    <x v="22"/>
    <m/>
  </r>
  <r>
    <x v="345"/>
    <x v="23"/>
    <m/>
  </r>
  <r>
    <x v="346"/>
    <x v="0"/>
    <m/>
  </r>
  <r>
    <x v="346"/>
    <x v="1"/>
    <m/>
  </r>
  <r>
    <x v="346"/>
    <x v="2"/>
    <m/>
  </r>
  <r>
    <x v="346"/>
    <x v="3"/>
    <m/>
  </r>
  <r>
    <x v="346"/>
    <x v="4"/>
    <m/>
  </r>
  <r>
    <x v="346"/>
    <x v="5"/>
    <m/>
  </r>
  <r>
    <x v="346"/>
    <x v="6"/>
    <m/>
  </r>
  <r>
    <x v="346"/>
    <x v="7"/>
    <m/>
  </r>
  <r>
    <x v="346"/>
    <x v="8"/>
    <m/>
  </r>
  <r>
    <x v="346"/>
    <x v="9"/>
    <m/>
  </r>
  <r>
    <x v="346"/>
    <x v="10"/>
    <m/>
  </r>
  <r>
    <x v="346"/>
    <x v="11"/>
    <m/>
  </r>
  <r>
    <x v="346"/>
    <x v="12"/>
    <m/>
  </r>
  <r>
    <x v="346"/>
    <x v="13"/>
    <m/>
  </r>
  <r>
    <x v="346"/>
    <x v="14"/>
    <m/>
  </r>
  <r>
    <x v="346"/>
    <x v="15"/>
    <m/>
  </r>
  <r>
    <x v="346"/>
    <x v="16"/>
    <m/>
  </r>
  <r>
    <x v="346"/>
    <x v="17"/>
    <m/>
  </r>
  <r>
    <x v="346"/>
    <x v="18"/>
    <m/>
  </r>
  <r>
    <x v="346"/>
    <x v="19"/>
    <m/>
  </r>
  <r>
    <x v="346"/>
    <x v="20"/>
    <m/>
  </r>
  <r>
    <x v="346"/>
    <x v="21"/>
    <m/>
  </r>
  <r>
    <x v="346"/>
    <x v="22"/>
    <m/>
  </r>
  <r>
    <x v="346"/>
    <x v="23"/>
    <m/>
  </r>
  <r>
    <x v="347"/>
    <x v="0"/>
    <m/>
  </r>
  <r>
    <x v="347"/>
    <x v="1"/>
    <m/>
  </r>
  <r>
    <x v="347"/>
    <x v="2"/>
    <m/>
  </r>
  <r>
    <x v="347"/>
    <x v="3"/>
    <m/>
  </r>
  <r>
    <x v="347"/>
    <x v="4"/>
    <m/>
  </r>
  <r>
    <x v="347"/>
    <x v="5"/>
    <m/>
  </r>
  <r>
    <x v="347"/>
    <x v="6"/>
    <m/>
  </r>
  <r>
    <x v="347"/>
    <x v="7"/>
    <m/>
  </r>
  <r>
    <x v="347"/>
    <x v="8"/>
    <m/>
  </r>
  <r>
    <x v="347"/>
    <x v="9"/>
    <m/>
  </r>
  <r>
    <x v="347"/>
    <x v="10"/>
    <m/>
  </r>
  <r>
    <x v="347"/>
    <x v="11"/>
    <m/>
  </r>
  <r>
    <x v="347"/>
    <x v="12"/>
    <m/>
  </r>
  <r>
    <x v="347"/>
    <x v="13"/>
    <m/>
  </r>
  <r>
    <x v="347"/>
    <x v="14"/>
    <m/>
  </r>
  <r>
    <x v="347"/>
    <x v="15"/>
    <m/>
  </r>
  <r>
    <x v="347"/>
    <x v="16"/>
    <m/>
  </r>
  <r>
    <x v="347"/>
    <x v="17"/>
    <m/>
  </r>
  <r>
    <x v="347"/>
    <x v="18"/>
    <m/>
  </r>
  <r>
    <x v="347"/>
    <x v="19"/>
    <m/>
  </r>
  <r>
    <x v="347"/>
    <x v="20"/>
    <m/>
  </r>
  <r>
    <x v="347"/>
    <x v="21"/>
    <m/>
  </r>
  <r>
    <x v="347"/>
    <x v="22"/>
    <m/>
  </r>
  <r>
    <x v="347"/>
    <x v="23"/>
    <m/>
  </r>
  <r>
    <x v="348"/>
    <x v="0"/>
    <m/>
  </r>
  <r>
    <x v="348"/>
    <x v="1"/>
    <m/>
  </r>
  <r>
    <x v="348"/>
    <x v="2"/>
    <m/>
  </r>
  <r>
    <x v="348"/>
    <x v="3"/>
    <m/>
  </r>
  <r>
    <x v="348"/>
    <x v="4"/>
    <m/>
  </r>
  <r>
    <x v="348"/>
    <x v="5"/>
    <m/>
  </r>
  <r>
    <x v="348"/>
    <x v="6"/>
    <m/>
  </r>
  <r>
    <x v="348"/>
    <x v="7"/>
    <m/>
  </r>
  <r>
    <x v="348"/>
    <x v="8"/>
    <m/>
  </r>
  <r>
    <x v="348"/>
    <x v="9"/>
    <m/>
  </r>
  <r>
    <x v="348"/>
    <x v="10"/>
    <m/>
  </r>
  <r>
    <x v="348"/>
    <x v="11"/>
    <m/>
  </r>
  <r>
    <x v="348"/>
    <x v="12"/>
    <m/>
  </r>
  <r>
    <x v="348"/>
    <x v="13"/>
    <m/>
  </r>
  <r>
    <x v="348"/>
    <x v="14"/>
    <m/>
  </r>
  <r>
    <x v="348"/>
    <x v="15"/>
    <m/>
  </r>
  <r>
    <x v="348"/>
    <x v="16"/>
    <m/>
  </r>
  <r>
    <x v="348"/>
    <x v="17"/>
    <m/>
  </r>
  <r>
    <x v="348"/>
    <x v="18"/>
    <m/>
  </r>
  <r>
    <x v="348"/>
    <x v="19"/>
    <m/>
  </r>
  <r>
    <x v="348"/>
    <x v="20"/>
    <m/>
  </r>
  <r>
    <x v="348"/>
    <x v="21"/>
    <m/>
  </r>
  <r>
    <x v="348"/>
    <x v="22"/>
    <m/>
  </r>
  <r>
    <x v="348"/>
    <x v="23"/>
    <m/>
  </r>
  <r>
    <x v="349"/>
    <x v="0"/>
    <m/>
  </r>
  <r>
    <x v="349"/>
    <x v="1"/>
    <m/>
  </r>
  <r>
    <x v="349"/>
    <x v="2"/>
    <m/>
  </r>
  <r>
    <x v="349"/>
    <x v="3"/>
    <m/>
  </r>
  <r>
    <x v="349"/>
    <x v="4"/>
    <m/>
  </r>
  <r>
    <x v="349"/>
    <x v="5"/>
    <m/>
  </r>
  <r>
    <x v="349"/>
    <x v="6"/>
    <m/>
  </r>
  <r>
    <x v="349"/>
    <x v="7"/>
    <m/>
  </r>
  <r>
    <x v="349"/>
    <x v="8"/>
    <m/>
  </r>
  <r>
    <x v="349"/>
    <x v="9"/>
    <m/>
  </r>
  <r>
    <x v="349"/>
    <x v="10"/>
    <m/>
  </r>
  <r>
    <x v="349"/>
    <x v="11"/>
    <m/>
  </r>
  <r>
    <x v="349"/>
    <x v="12"/>
    <m/>
  </r>
  <r>
    <x v="349"/>
    <x v="13"/>
    <m/>
  </r>
  <r>
    <x v="349"/>
    <x v="14"/>
    <m/>
  </r>
  <r>
    <x v="349"/>
    <x v="15"/>
    <m/>
  </r>
  <r>
    <x v="349"/>
    <x v="16"/>
    <m/>
  </r>
  <r>
    <x v="349"/>
    <x v="17"/>
    <m/>
  </r>
  <r>
    <x v="349"/>
    <x v="18"/>
    <m/>
  </r>
  <r>
    <x v="349"/>
    <x v="19"/>
    <m/>
  </r>
  <r>
    <x v="349"/>
    <x v="20"/>
    <m/>
  </r>
  <r>
    <x v="349"/>
    <x v="21"/>
    <m/>
  </r>
  <r>
    <x v="349"/>
    <x v="22"/>
    <m/>
  </r>
  <r>
    <x v="349"/>
    <x v="23"/>
    <m/>
  </r>
  <r>
    <x v="350"/>
    <x v="0"/>
    <m/>
  </r>
  <r>
    <x v="350"/>
    <x v="1"/>
    <m/>
  </r>
  <r>
    <x v="350"/>
    <x v="2"/>
    <m/>
  </r>
  <r>
    <x v="350"/>
    <x v="3"/>
    <m/>
  </r>
  <r>
    <x v="350"/>
    <x v="4"/>
    <m/>
  </r>
  <r>
    <x v="350"/>
    <x v="5"/>
    <m/>
  </r>
  <r>
    <x v="350"/>
    <x v="6"/>
    <m/>
  </r>
  <r>
    <x v="350"/>
    <x v="7"/>
    <m/>
  </r>
  <r>
    <x v="350"/>
    <x v="8"/>
    <m/>
  </r>
  <r>
    <x v="350"/>
    <x v="9"/>
    <m/>
  </r>
  <r>
    <x v="350"/>
    <x v="10"/>
    <m/>
  </r>
  <r>
    <x v="350"/>
    <x v="11"/>
    <m/>
  </r>
  <r>
    <x v="350"/>
    <x v="12"/>
    <m/>
  </r>
  <r>
    <x v="350"/>
    <x v="13"/>
    <m/>
  </r>
  <r>
    <x v="350"/>
    <x v="14"/>
    <m/>
  </r>
  <r>
    <x v="350"/>
    <x v="15"/>
    <m/>
  </r>
  <r>
    <x v="350"/>
    <x v="16"/>
    <m/>
  </r>
  <r>
    <x v="350"/>
    <x v="17"/>
    <m/>
  </r>
  <r>
    <x v="350"/>
    <x v="18"/>
    <m/>
  </r>
  <r>
    <x v="350"/>
    <x v="19"/>
    <m/>
  </r>
  <r>
    <x v="350"/>
    <x v="20"/>
    <m/>
  </r>
  <r>
    <x v="350"/>
    <x v="21"/>
    <m/>
  </r>
  <r>
    <x v="350"/>
    <x v="22"/>
    <m/>
  </r>
  <r>
    <x v="350"/>
    <x v="23"/>
    <m/>
  </r>
  <r>
    <x v="351"/>
    <x v="0"/>
    <m/>
  </r>
  <r>
    <x v="351"/>
    <x v="1"/>
    <m/>
  </r>
  <r>
    <x v="351"/>
    <x v="2"/>
    <m/>
  </r>
  <r>
    <x v="351"/>
    <x v="3"/>
    <m/>
  </r>
  <r>
    <x v="351"/>
    <x v="4"/>
    <m/>
  </r>
  <r>
    <x v="351"/>
    <x v="5"/>
    <m/>
  </r>
  <r>
    <x v="351"/>
    <x v="6"/>
    <m/>
  </r>
  <r>
    <x v="351"/>
    <x v="7"/>
    <m/>
  </r>
  <r>
    <x v="351"/>
    <x v="8"/>
    <m/>
  </r>
  <r>
    <x v="351"/>
    <x v="9"/>
    <m/>
  </r>
  <r>
    <x v="351"/>
    <x v="10"/>
    <m/>
  </r>
  <r>
    <x v="351"/>
    <x v="11"/>
    <m/>
  </r>
  <r>
    <x v="351"/>
    <x v="12"/>
    <m/>
  </r>
  <r>
    <x v="351"/>
    <x v="13"/>
    <m/>
  </r>
  <r>
    <x v="351"/>
    <x v="14"/>
    <m/>
  </r>
  <r>
    <x v="351"/>
    <x v="15"/>
    <m/>
  </r>
  <r>
    <x v="351"/>
    <x v="16"/>
    <m/>
  </r>
  <r>
    <x v="351"/>
    <x v="17"/>
    <m/>
  </r>
  <r>
    <x v="351"/>
    <x v="18"/>
    <m/>
  </r>
  <r>
    <x v="351"/>
    <x v="19"/>
    <m/>
  </r>
  <r>
    <x v="351"/>
    <x v="20"/>
    <m/>
  </r>
  <r>
    <x v="351"/>
    <x v="21"/>
    <m/>
  </r>
  <r>
    <x v="351"/>
    <x v="22"/>
    <m/>
  </r>
  <r>
    <x v="351"/>
    <x v="23"/>
    <m/>
  </r>
  <r>
    <x v="352"/>
    <x v="0"/>
    <m/>
  </r>
  <r>
    <x v="352"/>
    <x v="1"/>
    <m/>
  </r>
  <r>
    <x v="352"/>
    <x v="2"/>
    <m/>
  </r>
  <r>
    <x v="352"/>
    <x v="3"/>
    <m/>
  </r>
  <r>
    <x v="352"/>
    <x v="4"/>
    <m/>
  </r>
  <r>
    <x v="352"/>
    <x v="5"/>
    <m/>
  </r>
  <r>
    <x v="352"/>
    <x v="6"/>
    <m/>
  </r>
  <r>
    <x v="352"/>
    <x v="7"/>
    <m/>
  </r>
  <r>
    <x v="352"/>
    <x v="8"/>
    <m/>
  </r>
  <r>
    <x v="352"/>
    <x v="9"/>
    <m/>
  </r>
  <r>
    <x v="352"/>
    <x v="10"/>
    <m/>
  </r>
  <r>
    <x v="352"/>
    <x v="11"/>
    <m/>
  </r>
  <r>
    <x v="352"/>
    <x v="12"/>
    <m/>
  </r>
  <r>
    <x v="352"/>
    <x v="13"/>
    <m/>
  </r>
  <r>
    <x v="352"/>
    <x v="14"/>
    <m/>
  </r>
  <r>
    <x v="352"/>
    <x v="15"/>
    <m/>
  </r>
  <r>
    <x v="352"/>
    <x v="16"/>
    <m/>
  </r>
  <r>
    <x v="352"/>
    <x v="17"/>
    <m/>
  </r>
  <r>
    <x v="352"/>
    <x v="18"/>
    <m/>
  </r>
  <r>
    <x v="352"/>
    <x v="19"/>
    <m/>
  </r>
  <r>
    <x v="352"/>
    <x v="20"/>
    <m/>
  </r>
  <r>
    <x v="352"/>
    <x v="21"/>
    <m/>
  </r>
  <r>
    <x v="352"/>
    <x v="22"/>
    <m/>
  </r>
  <r>
    <x v="352"/>
    <x v="23"/>
    <m/>
  </r>
  <r>
    <x v="353"/>
    <x v="0"/>
    <m/>
  </r>
  <r>
    <x v="353"/>
    <x v="1"/>
    <m/>
  </r>
  <r>
    <x v="353"/>
    <x v="2"/>
    <m/>
  </r>
  <r>
    <x v="353"/>
    <x v="3"/>
    <m/>
  </r>
  <r>
    <x v="353"/>
    <x v="4"/>
    <m/>
  </r>
  <r>
    <x v="353"/>
    <x v="5"/>
    <m/>
  </r>
  <r>
    <x v="353"/>
    <x v="6"/>
    <m/>
  </r>
  <r>
    <x v="353"/>
    <x v="7"/>
    <m/>
  </r>
  <r>
    <x v="353"/>
    <x v="8"/>
    <m/>
  </r>
  <r>
    <x v="353"/>
    <x v="9"/>
    <m/>
  </r>
  <r>
    <x v="353"/>
    <x v="10"/>
    <m/>
  </r>
  <r>
    <x v="353"/>
    <x v="11"/>
    <m/>
  </r>
  <r>
    <x v="353"/>
    <x v="12"/>
    <m/>
  </r>
  <r>
    <x v="353"/>
    <x v="13"/>
    <m/>
  </r>
  <r>
    <x v="353"/>
    <x v="14"/>
    <m/>
  </r>
  <r>
    <x v="353"/>
    <x v="15"/>
    <m/>
  </r>
  <r>
    <x v="353"/>
    <x v="16"/>
    <m/>
  </r>
  <r>
    <x v="353"/>
    <x v="17"/>
    <m/>
  </r>
  <r>
    <x v="353"/>
    <x v="18"/>
    <m/>
  </r>
  <r>
    <x v="353"/>
    <x v="19"/>
    <m/>
  </r>
  <r>
    <x v="353"/>
    <x v="20"/>
    <m/>
  </r>
  <r>
    <x v="353"/>
    <x v="21"/>
    <m/>
  </r>
  <r>
    <x v="353"/>
    <x v="22"/>
    <m/>
  </r>
  <r>
    <x v="353"/>
    <x v="23"/>
    <m/>
  </r>
  <r>
    <x v="354"/>
    <x v="0"/>
    <m/>
  </r>
  <r>
    <x v="354"/>
    <x v="1"/>
    <m/>
  </r>
  <r>
    <x v="354"/>
    <x v="2"/>
    <m/>
  </r>
  <r>
    <x v="354"/>
    <x v="3"/>
    <m/>
  </r>
  <r>
    <x v="354"/>
    <x v="4"/>
    <m/>
  </r>
  <r>
    <x v="354"/>
    <x v="5"/>
    <m/>
  </r>
  <r>
    <x v="354"/>
    <x v="6"/>
    <m/>
  </r>
  <r>
    <x v="354"/>
    <x v="7"/>
    <m/>
  </r>
  <r>
    <x v="354"/>
    <x v="8"/>
    <m/>
  </r>
  <r>
    <x v="354"/>
    <x v="9"/>
    <m/>
  </r>
  <r>
    <x v="354"/>
    <x v="10"/>
    <m/>
  </r>
  <r>
    <x v="354"/>
    <x v="11"/>
    <m/>
  </r>
  <r>
    <x v="354"/>
    <x v="12"/>
    <m/>
  </r>
  <r>
    <x v="354"/>
    <x v="13"/>
    <m/>
  </r>
  <r>
    <x v="354"/>
    <x v="14"/>
    <m/>
  </r>
  <r>
    <x v="354"/>
    <x v="15"/>
    <m/>
  </r>
  <r>
    <x v="354"/>
    <x v="16"/>
    <m/>
  </r>
  <r>
    <x v="354"/>
    <x v="17"/>
    <m/>
  </r>
  <r>
    <x v="354"/>
    <x v="18"/>
    <m/>
  </r>
  <r>
    <x v="354"/>
    <x v="19"/>
    <m/>
  </r>
  <r>
    <x v="354"/>
    <x v="20"/>
    <m/>
  </r>
  <r>
    <x v="354"/>
    <x v="21"/>
    <m/>
  </r>
  <r>
    <x v="354"/>
    <x v="22"/>
    <m/>
  </r>
  <r>
    <x v="354"/>
    <x v="23"/>
    <m/>
  </r>
  <r>
    <x v="355"/>
    <x v="0"/>
    <m/>
  </r>
  <r>
    <x v="355"/>
    <x v="1"/>
    <m/>
  </r>
  <r>
    <x v="355"/>
    <x v="2"/>
    <m/>
  </r>
  <r>
    <x v="355"/>
    <x v="3"/>
    <m/>
  </r>
  <r>
    <x v="355"/>
    <x v="4"/>
    <m/>
  </r>
  <r>
    <x v="355"/>
    <x v="5"/>
    <m/>
  </r>
  <r>
    <x v="355"/>
    <x v="6"/>
    <m/>
  </r>
  <r>
    <x v="355"/>
    <x v="7"/>
    <m/>
  </r>
  <r>
    <x v="355"/>
    <x v="8"/>
    <m/>
  </r>
  <r>
    <x v="355"/>
    <x v="9"/>
    <m/>
  </r>
  <r>
    <x v="355"/>
    <x v="10"/>
    <m/>
  </r>
  <r>
    <x v="355"/>
    <x v="11"/>
    <m/>
  </r>
  <r>
    <x v="355"/>
    <x v="12"/>
    <m/>
  </r>
  <r>
    <x v="355"/>
    <x v="13"/>
    <m/>
  </r>
  <r>
    <x v="355"/>
    <x v="14"/>
    <m/>
  </r>
  <r>
    <x v="355"/>
    <x v="15"/>
    <m/>
  </r>
  <r>
    <x v="355"/>
    <x v="16"/>
    <m/>
  </r>
  <r>
    <x v="355"/>
    <x v="17"/>
    <m/>
  </r>
  <r>
    <x v="355"/>
    <x v="18"/>
    <m/>
  </r>
  <r>
    <x v="355"/>
    <x v="19"/>
    <m/>
  </r>
  <r>
    <x v="355"/>
    <x v="20"/>
    <m/>
  </r>
  <r>
    <x v="355"/>
    <x v="21"/>
    <m/>
  </r>
  <r>
    <x v="355"/>
    <x v="22"/>
    <m/>
  </r>
  <r>
    <x v="355"/>
    <x v="23"/>
    <m/>
  </r>
  <r>
    <x v="356"/>
    <x v="0"/>
    <m/>
  </r>
  <r>
    <x v="356"/>
    <x v="1"/>
    <m/>
  </r>
  <r>
    <x v="356"/>
    <x v="2"/>
    <m/>
  </r>
  <r>
    <x v="356"/>
    <x v="3"/>
    <m/>
  </r>
  <r>
    <x v="356"/>
    <x v="4"/>
    <m/>
  </r>
  <r>
    <x v="356"/>
    <x v="5"/>
    <m/>
  </r>
  <r>
    <x v="356"/>
    <x v="6"/>
    <m/>
  </r>
  <r>
    <x v="356"/>
    <x v="7"/>
    <m/>
  </r>
  <r>
    <x v="356"/>
    <x v="8"/>
    <m/>
  </r>
  <r>
    <x v="356"/>
    <x v="9"/>
    <m/>
  </r>
  <r>
    <x v="356"/>
    <x v="10"/>
    <m/>
  </r>
  <r>
    <x v="356"/>
    <x v="11"/>
    <m/>
  </r>
  <r>
    <x v="356"/>
    <x v="12"/>
    <m/>
  </r>
  <r>
    <x v="356"/>
    <x v="13"/>
    <m/>
  </r>
  <r>
    <x v="356"/>
    <x v="14"/>
    <m/>
  </r>
  <r>
    <x v="356"/>
    <x v="15"/>
    <m/>
  </r>
  <r>
    <x v="356"/>
    <x v="16"/>
    <m/>
  </r>
  <r>
    <x v="356"/>
    <x v="17"/>
    <m/>
  </r>
  <r>
    <x v="356"/>
    <x v="18"/>
    <m/>
  </r>
  <r>
    <x v="356"/>
    <x v="19"/>
    <m/>
  </r>
  <r>
    <x v="356"/>
    <x v="20"/>
    <m/>
  </r>
  <r>
    <x v="356"/>
    <x v="21"/>
    <m/>
  </r>
  <r>
    <x v="356"/>
    <x v="22"/>
    <m/>
  </r>
  <r>
    <x v="356"/>
    <x v="23"/>
    <m/>
  </r>
  <r>
    <x v="357"/>
    <x v="0"/>
    <m/>
  </r>
  <r>
    <x v="357"/>
    <x v="1"/>
    <m/>
  </r>
  <r>
    <x v="357"/>
    <x v="2"/>
    <m/>
  </r>
  <r>
    <x v="357"/>
    <x v="3"/>
    <m/>
  </r>
  <r>
    <x v="357"/>
    <x v="4"/>
    <m/>
  </r>
  <r>
    <x v="357"/>
    <x v="5"/>
    <m/>
  </r>
  <r>
    <x v="357"/>
    <x v="6"/>
    <m/>
  </r>
  <r>
    <x v="357"/>
    <x v="7"/>
    <m/>
  </r>
  <r>
    <x v="357"/>
    <x v="8"/>
    <m/>
  </r>
  <r>
    <x v="357"/>
    <x v="9"/>
    <m/>
  </r>
  <r>
    <x v="357"/>
    <x v="10"/>
    <m/>
  </r>
  <r>
    <x v="357"/>
    <x v="11"/>
    <m/>
  </r>
  <r>
    <x v="357"/>
    <x v="12"/>
    <m/>
  </r>
  <r>
    <x v="357"/>
    <x v="13"/>
    <m/>
  </r>
  <r>
    <x v="357"/>
    <x v="14"/>
    <m/>
  </r>
  <r>
    <x v="357"/>
    <x v="15"/>
    <m/>
  </r>
  <r>
    <x v="357"/>
    <x v="16"/>
    <m/>
  </r>
  <r>
    <x v="357"/>
    <x v="17"/>
    <m/>
  </r>
  <r>
    <x v="357"/>
    <x v="18"/>
    <m/>
  </r>
  <r>
    <x v="357"/>
    <x v="19"/>
    <m/>
  </r>
  <r>
    <x v="357"/>
    <x v="20"/>
    <m/>
  </r>
  <r>
    <x v="357"/>
    <x v="21"/>
    <m/>
  </r>
  <r>
    <x v="357"/>
    <x v="22"/>
    <m/>
  </r>
  <r>
    <x v="357"/>
    <x v="23"/>
    <m/>
  </r>
  <r>
    <x v="358"/>
    <x v="0"/>
    <m/>
  </r>
  <r>
    <x v="358"/>
    <x v="1"/>
    <m/>
  </r>
  <r>
    <x v="358"/>
    <x v="2"/>
    <m/>
  </r>
  <r>
    <x v="358"/>
    <x v="3"/>
    <m/>
  </r>
  <r>
    <x v="358"/>
    <x v="4"/>
    <m/>
  </r>
  <r>
    <x v="358"/>
    <x v="5"/>
    <m/>
  </r>
  <r>
    <x v="358"/>
    <x v="6"/>
    <m/>
  </r>
  <r>
    <x v="358"/>
    <x v="7"/>
    <m/>
  </r>
  <r>
    <x v="358"/>
    <x v="8"/>
    <m/>
  </r>
  <r>
    <x v="358"/>
    <x v="9"/>
    <m/>
  </r>
  <r>
    <x v="358"/>
    <x v="10"/>
    <m/>
  </r>
  <r>
    <x v="358"/>
    <x v="11"/>
    <m/>
  </r>
  <r>
    <x v="358"/>
    <x v="12"/>
    <m/>
  </r>
  <r>
    <x v="358"/>
    <x v="13"/>
    <m/>
  </r>
  <r>
    <x v="358"/>
    <x v="14"/>
    <m/>
  </r>
  <r>
    <x v="358"/>
    <x v="15"/>
    <m/>
  </r>
  <r>
    <x v="358"/>
    <x v="16"/>
    <m/>
  </r>
  <r>
    <x v="358"/>
    <x v="17"/>
    <m/>
  </r>
  <r>
    <x v="358"/>
    <x v="18"/>
    <m/>
  </r>
  <r>
    <x v="358"/>
    <x v="19"/>
    <m/>
  </r>
  <r>
    <x v="358"/>
    <x v="20"/>
    <m/>
  </r>
  <r>
    <x v="358"/>
    <x v="21"/>
    <m/>
  </r>
  <r>
    <x v="358"/>
    <x v="22"/>
    <m/>
  </r>
  <r>
    <x v="358"/>
    <x v="23"/>
    <m/>
  </r>
  <r>
    <x v="359"/>
    <x v="0"/>
    <m/>
  </r>
  <r>
    <x v="359"/>
    <x v="1"/>
    <m/>
  </r>
  <r>
    <x v="359"/>
    <x v="2"/>
    <m/>
  </r>
  <r>
    <x v="359"/>
    <x v="3"/>
    <m/>
  </r>
  <r>
    <x v="359"/>
    <x v="4"/>
    <m/>
  </r>
  <r>
    <x v="359"/>
    <x v="5"/>
    <m/>
  </r>
  <r>
    <x v="359"/>
    <x v="6"/>
    <m/>
  </r>
  <r>
    <x v="359"/>
    <x v="7"/>
    <m/>
  </r>
  <r>
    <x v="359"/>
    <x v="8"/>
    <m/>
  </r>
  <r>
    <x v="359"/>
    <x v="9"/>
    <m/>
  </r>
  <r>
    <x v="359"/>
    <x v="10"/>
    <m/>
  </r>
  <r>
    <x v="359"/>
    <x v="11"/>
    <m/>
  </r>
  <r>
    <x v="359"/>
    <x v="12"/>
    <m/>
  </r>
  <r>
    <x v="359"/>
    <x v="13"/>
    <m/>
  </r>
  <r>
    <x v="359"/>
    <x v="14"/>
    <m/>
  </r>
  <r>
    <x v="359"/>
    <x v="15"/>
    <m/>
  </r>
  <r>
    <x v="359"/>
    <x v="16"/>
    <m/>
  </r>
  <r>
    <x v="359"/>
    <x v="17"/>
    <m/>
  </r>
  <r>
    <x v="359"/>
    <x v="18"/>
    <m/>
  </r>
  <r>
    <x v="359"/>
    <x v="19"/>
    <m/>
  </r>
  <r>
    <x v="359"/>
    <x v="20"/>
    <m/>
  </r>
  <r>
    <x v="359"/>
    <x v="21"/>
    <m/>
  </r>
  <r>
    <x v="359"/>
    <x v="22"/>
    <m/>
  </r>
  <r>
    <x v="359"/>
    <x v="23"/>
    <m/>
  </r>
  <r>
    <x v="360"/>
    <x v="0"/>
    <m/>
  </r>
  <r>
    <x v="360"/>
    <x v="1"/>
    <m/>
  </r>
  <r>
    <x v="360"/>
    <x v="2"/>
    <m/>
  </r>
  <r>
    <x v="360"/>
    <x v="3"/>
    <m/>
  </r>
  <r>
    <x v="360"/>
    <x v="4"/>
    <m/>
  </r>
  <r>
    <x v="360"/>
    <x v="5"/>
    <m/>
  </r>
  <r>
    <x v="360"/>
    <x v="6"/>
    <m/>
  </r>
  <r>
    <x v="360"/>
    <x v="7"/>
    <m/>
  </r>
  <r>
    <x v="360"/>
    <x v="8"/>
    <m/>
  </r>
  <r>
    <x v="360"/>
    <x v="9"/>
    <m/>
  </r>
  <r>
    <x v="360"/>
    <x v="10"/>
    <m/>
  </r>
  <r>
    <x v="360"/>
    <x v="11"/>
    <m/>
  </r>
  <r>
    <x v="360"/>
    <x v="12"/>
    <m/>
  </r>
  <r>
    <x v="360"/>
    <x v="13"/>
    <m/>
  </r>
  <r>
    <x v="360"/>
    <x v="14"/>
    <m/>
  </r>
  <r>
    <x v="360"/>
    <x v="15"/>
    <m/>
  </r>
  <r>
    <x v="360"/>
    <x v="16"/>
    <m/>
  </r>
  <r>
    <x v="360"/>
    <x v="17"/>
    <m/>
  </r>
  <r>
    <x v="360"/>
    <x v="18"/>
    <m/>
  </r>
  <r>
    <x v="360"/>
    <x v="19"/>
    <m/>
  </r>
  <r>
    <x v="360"/>
    <x v="20"/>
    <m/>
  </r>
  <r>
    <x v="360"/>
    <x v="21"/>
    <m/>
  </r>
  <r>
    <x v="360"/>
    <x v="22"/>
    <m/>
  </r>
  <r>
    <x v="360"/>
    <x v="23"/>
    <m/>
  </r>
  <r>
    <x v="361"/>
    <x v="0"/>
    <m/>
  </r>
  <r>
    <x v="361"/>
    <x v="1"/>
    <m/>
  </r>
  <r>
    <x v="361"/>
    <x v="2"/>
    <m/>
  </r>
  <r>
    <x v="361"/>
    <x v="3"/>
    <m/>
  </r>
  <r>
    <x v="361"/>
    <x v="4"/>
    <m/>
  </r>
  <r>
    <x v="361"/>
    <x v="5"/>
    <m/>
  </r>
  <r>
    <x v="361"/>
    <x v="6"/>
    <m/>
  </r>
  <r>
    <x v="361"/>
    <x v="7"/>
    <m/>
  </r>
  <r>
    <x v="361"/>
    <x v="8"/>
    <m/>
  </r>
  <r>
    <x v="361"/>
    <x v="9"/>
    <m/>
  </r>
  <r>
    <x v="361"/>
    <x v="10"/>
    <m/>
  </r>
  <r>
    <x v="361"/>
    <x v="11"/>
    <m/>
  </r>
  <r>
    <x v="361"/>
    <x v="12"/>
    <m/>
  </r>
  <r>
    <x v="361"/>
    <x v="13"/>
    <m/>
  </r>
  <r>
    <x v="361"/>
    <x v="14"/>
    <m/>
  </r>
  <r>
    <x v="361"/>
    <x v="15"/>
    <m/>
  </r>
  <r>
    <x v="361"/>
    <x v="16"/>
    <m/>
  </r>
  <r>
    <x v="361"/>
    <x v="17"/>
    <m/>
  </r>
  <r>
    <x v="361"/>
    <x v="18"/>
    <m/>
  </r>
  <r>
    <x v="361"/>
    <x v="19"/>
    <m/>
  </r>
  <r>
    <x v="361"/>
    <x v="20"/>
    <m/>
  </r>
  <r>
    <x v="361"/>
    <x v="21"/>
    <m/>
  </r>
  <r>
    <x v="361"/>
    <x v="22"/>
    <m/>
  </r>
  <r>
    <x v="361"/>
    <x v="23"/>
    <m/>
  </r>
  <r>
    <x v="362"/>
    <x v="0"/>
    <m/>
  </r>
  <r>
    <x v="362"/>
    <x v="1"/>
    <m/>
  </r>
  <r>
    <x v="362"/>
    <x v="2"/>
    <m/>
  </r>
  <r>
    <x v="362"/>
    <x v="3"/>
    <m/>
  </r>
  <r>
    <x v="362"/>
    <x v="4"/>
    <m/>
  </r>
  <r>
    <x v="362"/>
    <x v="5"/>
    <m/>
  </r>
  <r>
    <x v="362"/>
    <x v="6"/>
    <m/>
  </r>
  <r>
    <x v="362"/>
    <x v="7"/>
    <m/>
  </r>
  <r>
    <x v="362"/>
    <x v="8"/>
    <m/>
  </r>
  <r>
    <x v="362"/>
    <x v="9"/>
    <m/>
  </r>
  <r>
    <x v="362"/>
    <x v="10"/>
    <m/>
  </r>
  <r>
    <x v="362"/>
    <x v="11"/>
    <m/>
  </r>
  <r>
    <x v="362"/>
    <x v="12"/>
    <m/>
  </r>
  <r>
    <x v="362"/>
    <x v="13"/>
    <m/>
  </r>
  <r>
    <x v="362"/>
    <x v="14"/>
    <m/>
  </r>
  <r>
    <x v="362"/>
    <x v="15"/>
    <m/>
  </r>
  <r>
    <x v="362"/>
    <x v="16"/>
    <m/>
  </r>
  <r>
    <x v="362"/>
    <x v="17"/>
    <m/>
  </r>
  <r>
    <x v="362"/>
    <x v="18"/>
    <m/>
  </r>
  <r>
    <x v="362"/>
    <x v="19"/>
    <m/>
  </r>
  <r>
    <x v="362"/>
    <x v="20"/>
    <m/>
  </r>
  <r>
    <x v="362"/>
    <x v="21"/>
    <m/>
  </r>
  <r>
    <x v="362"/>
    <x v="22"/>
    <m/>
  </r>
  <r>
    <x v="362"/>
    <x v="23"/>
    <m/>
  </r>
  <r>
    <x v="363"/>
    <x v="0"/>
    <m/>
  </r>
  <r>
    <x v="363"/>
    <x v="1"/>
    <m/>
  </r>
  <r>
    <x v="363"/>
    <x v="2"/>
    <m/>
  </r>
  <r>
    <x v="363"/>
    <x v="3"/>
    <m/>
  </r>
  <r>
    <x v="363"/>
    <x v="4"/>
    <m/>
  </r>
  <r>
    <x v="363"/>
    <x v="5"/>
    <m/>
  </r>
  <r>
    <x v="363"/>
    <x v="6"/>
    <m/>
  </r>
  <r>
    <x v="363"/>
    <x v="7"/>
    <m/>
  </r>
  <r>
    <x v="363"/>
    <x v="8"/>
    <m/>
  </r>
  <r>
    <x v="363"/>
    <x v="9"/>
    <m/>
  </r>
  <r>
    <x v="363"/>
    <x v="10"/>
    <m/>
  </r>
  <r>
    <x v="363"/>
    <x v="11"/>
    <m/>
  </r>
  <r>
    <x v="363"/>
    <x v="12"/>
    <m/>
  </r>
  <r>
    <x v="363"/>
    <x v="13"/>
    <m/>
  </r>
  <r>
    <x v="363"/>
    <x v="14"/>
    <m/>
  </r>
  <r>
    <x v="363"/>
    <x v="15"/>
    <m/>
  </r>
  <r>
    <x v="363"/>
    <x v="16"/>
    <m/>
  </r>
  <r>
    <x v="363"/>
    <x v="17"/>
    <m/>
  </r>
  <r>
    <x v="363"/>
    <x v="18"/>
    <m/>
  </r>
  <r>
    <x v="363"/>
    <x v="19"/>
    <m/>
  </r>
  <r>
    <x v="363"/>
    <x v="20"/>
    <m/>
  </r>
  <r>
    <x v="363"/>
    <x v="21"/>
    <m/>
  </r>
  <r>
    <x v="363"/>
    <x v="22"/>
    <m/>
  </r>
  <r>
    <x v="363"/>
    <x v="23"/>
    <m/>
  </r>
  <r>
    <x v="364"/>
    <x v="0"/>
    <m/>
  </r>
  <r>
    <x v="364"/>
    <x v="1"/>
    <m/>
  </r>
  <r>
    <x v="364"/>
    <x v="2"/>
    <m/>
  </r>
  <r>
    <x v="364"/>
    <x v="3"/>
    <m/>
  </r>
  <r>
    <x v="364"/>
    <x v="4"/>
    <m/>
  </r>
  <r>
    <x v="364"/>
    <x v="5"/>
    <m/>
  </r>
  <r>
    <x v="364"/>
    <x v="6"/>
    <m/>
  </r>
  <r>
    <x v="364"/>
    <x v="7"/>
    <m/>
  </r>
  <r>
    <x v="364"/>
    <x v="8"/>
    <m/>
  </r>
  <r>
    <x v="364"/>
    <x v="9"/>
    <m/>
  </r>
  <r>
    <x v="364"/>
    <x v="10"/>
    <m/>
  </r>
  <r>
    <x v="364"/>
    <x v="11"/>
    <m/>
  </r>
  <r>
    <x v="364"/>
    <x v="12"/>
    <m/>
  </r>
  <r>
    <x v="364"/>
    <x v="13"/>
    <m/>
  </r>
  <r>
    <x v="364"/>
    <x v="14"/>
    <m/>
  </r>
  <r>
    <x v="364"/>
    <x v="15"/>
    <m/>
  </r>
  <r>
    <x v="364"/>
    <x v="16"/>
    <m/>
  </r>
  <r>
    <x v="364"/>
    <x v="17"/>
    <m/>
  </r>
  <r>
    <x v="364"/>
    <x v="18"/>
    <m/>
  </r>
  <r>
    <x v="364"/>
    <x v="19"/>
    <m/>
  </r>
  <r>
    <x v="364"/>
    <x v="20"/>
    <m/>
  </r>
  <r>
    <x v="364"/>
    <x v="21"/>
    <m/>
  </r>
  <r>
    <x v="364"/>
    <x v="22"/>
    <m/>
  </r>
  <r>
    <x v="364"/>
    <x v="23"/>
    <m/>
  </r>
  <r>
    <x v="365"/>
    <x v="2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">
  <r>
    <x v="0"/>
    <n v="14"/>
    <n v="10"/>
    <n v="0"/>
    <n v="0"/>
    <n v="24"/>
    <n v="0.41666666666666669"/>
    <n v="1"/>
    <n v="71.8"/>
    <n v="18"/>
    <n v="6"/>
    <n v="0"/>
    <n v="0"/>
    <n v="24"/>
    <n v="0.25"/>
    <n v="1"/>
    <n v="44.2"/>
    <n v="16"/>
    <n v="8"/>
    <n v="0"/>
    <n v="0"/>
    <n v="24"/>
    <n v="0.33333333333333331"/>
    <n v="1"/>
    <n v="61.51"/>
    <n v="12"/>
    <n v="7"/>
    <n v="3"/>
    <n v="2"/>
    <n v="19"/>
    <n v="0.29166666666666669"/>
    <n v="0.79166666666666663"/>
    <n v="47.27"/>
    <n v="0"/>
    <n v="0"/>
    <n v="0"/>
    <n v="24"/>
    <n v="0"/>
    <n v="0"/>
    <n v="0"/>
    <n v="0"/>
    <n v="16"/>
    <n v="8"/>
    <n v="0"/>
    <n v="0"/>
    <n v="24"/>
    <n v="0.33333333333333331"/>
    <n v="1"/>
    <n v="63.08"/>
    <n v="16"/>
    <n v="6"/>
    <n v="2"/>
    <n v="0"/>
    <n v="22"/>
    <n v="0.25"/>
    <n v="0.91666666666666663"/>
    <n v="38.04"/>
    <n v="12.5"/>
    <n v="8"/>
    <n v="3.5"/>
    <n v="0"/>
    <n v="20.5"/>
    <n v="0.33333333333333331"/>
    <n v="0.85416666666666663"/>
    <n v="62.39"/>
    <n v="0"/>
    <n v="0"/>
    <n v="0"/>
    <n v="24"/>
    <n v="0"/>
    <n v="0"/>
    <n v="0"/>
    <n v="0"/>
    <n v="13.5"/>
    <n v="9"/>
    <n v="1.5"/>
    <n v="0"/>
    <n v="22.5"/>
    <n v="0.375"/>
    <n v="0.9375"/>
    <n v="73.17"/>
  </r>
  <r>
    <x v="1"/>
    <n v="6"/>
    <n v="18"/>
    <n v="0"/>
    <n v="0"/>
    <n v="24"/>
    <n v="0.75"/>
    <n v="1"/>
    <n v="133.5"/>
    <n v="9"/>
    <n v="15"/>
    <n v="0"/>
    <n v="0"/>
    <n v="24"/>
    <n v="0.625"/>
    <n v="1"/>
    <n v="98.6"/>
    <n v="8"/>
    <n v="16"/>
    <n v="0"/>
    <n v="0"/>
    <n v="24"/>
    <n v="0.66666666666666663"/>
    <n v="1"/>
    <n v="113.83"/>
    <n v="14"/>
    <n v="0"/>
    <n v="8"/>
    <n v="2"/>
    <n v="14"/>
    <n v="0"/>
    <n v="0.58333333333333337"/>
    <n v="0"/>
    <n v="0"/>
    <n v="0"/>
    <n v="0"/>
    <n v="24"/>
    <n v="0"/>
    <n v="0"/>
    <n v="0"/>
    <n v="0"/>
    <n v="3"/>
    <n v="16"/>
    <n v="5"/>
    <n v="0"/>
    <n v="19"/>
    <n v="0.66666666666666663"/>
    <n v="0.79166666666666663"/>
    <n v="113.12"/>
    <n v="10"/>
    <n v="14"/>
    <n v="0"/>
    <n v="0"/>
    <n v="24"/>
    <n v="0.58333333333333337"/>
    <n v="1"/>
    <n v="100.66"/>
    <n v="7"/>
    <n v="17"/>
    <n v="0"/>
    <n v="0"/>
    <n v="24"/>
    <n v="0.70833333333333337"/>
    <n v="1"/>
    <n v="116.72"/>
    <n v="9"/>
    <n v="15"/>
    <n v="0"/>
    <n v="0"/>
    <n v="24"/>
    <n v="0.625"/>
    <n v="1"/>
    <n v="111"/>
    <n v="6"/>
    <n v="18"/>
    <n v="0"/>
    <n v="0"/>
    <n v="24"/>
    <n v="0.75"/>
    <n v="1"/>
    <n v="133.16999999999999"/>
  </r>
  <r>
    <x v="2"/>
    <n v="0"/>
    <n v="24"/>
    <n v="0"/>
    <n v="0"/>
    <n v="24"/>
    <n v="1"/>
    <n v="1"/>
    <n v="185.6"/>
    <n v="8"/>
    <n v="16"/>
    <n v="0"/>
    <n v="0"/>
    <n v="24"/>
    <n v="0.66666666666666663"/>
    <n v="1"/>
    <n v="116.1"/>
    <n v="0"/>
    <n v="24"/>
    <n v="0"/>
    <n v="0"/>
    <n v="24"/>
    <n v="1"/>
    <n v="1"/>
    <n v="184.42"/>
    <n v="10"/>
    <n v="14"/>
    <n v="0"/>
    <n v="0"/>
    <n v="24"/>
    <n v="0.58333333333333337"/>
    <n v="1"/>
    <n v="94.47"/>
    <n v="0"/>
    <n v="0"/>
    <n v="0"/>
    <n v="24"/>
    <n v="0"/>
    <n v="0"/>
    <n v="0"/>
    <n v="0"/>
    <n v="0"/>
    <n v="24"/>
    <n v="0"/>
    <n v="0"/>
    <n v="24"/>
    <n v="1"/>
    <n v="1"/>
    <n v="186.61"/>
    <n v="12"/>
    <n v="0"/>
    <n v="12"/>
    <n v="0"/>
    <n v="12"/>
    <n v="0"/>
    <n v="0.5"/>
    <n v="0.11"/>
    <n v="0"/>
    <n v="24"/>
    <n v="0"/>
    <n v="0"/>
    <n v="24"/>
    <n v="1"/>
    <n v="1"/>
    <n v="186.07"/>
    <n v="0"/>
    <n v="24"/>
    <n v="0"/>
    <n v="0"/>
    <n v="24"/>
    <n v="1"/>
    <n v="1"/>
    <n v="187.52"/>
    <n v="0"/>
    <n v="24"/>
    <n v="0"/>
    <n v="0"/>
    <n v="24"/>
    <n v="1"/>
    <n v="1"/>
    <n v="185.99"/>
  </r>
  <r>
    <x v="3"/>
    <n v="0"/>
    <n v="24"/>
    <n v="0"/>
    <n v="0"/>
    <n v="24"/>
    <n v="1"/>
    <n v="1"/>
    <n v="185.1"/>
    <n v="1"/>
    <n v="23"/>
    <n v="0"/>
    <n v="0"/>
    <n v="24"/>
    <n v="0.95833333333333337"/>
    <n v="1"/>
    <n v="178.5"/>
    <n v="0"/>
    <n v="24"/>
    <n v="0"/>
    <n v="0"/>
    <n v="24"/>
    <n v="1"/>
    <n v="1"/>
    <n v="184.18"/>
    <n v="0"/>
    <n v="14"/>
    <n v="0"/>
    <n v="10"/>
    <n v="14"/>
    <n v="0.58333333333333337"/>
    <n v="0.58333333333333337"/>
    <n v="72.8"/>
    <n v="0"/>
    <n v="0"/>
    <n v="0"/>
    <n v="24"/>
    <n v="0"/>
    <n v="0"/>
    <n v="0"/>
    <n v="0"/>
    <n v="12"/>
    <n v="0"/>
    <n v="0"/>
    <n v="12"/>
    <n v="12"/>
    <n v="0"/>
    <n v="0.5"/>
    <n v="7.0000000000000007E-2"/>
    <n v="3"/>
    <n v="21"/>
    <n v="0"/>
    <n v="0"/>
    <n v="24"/>
    <n v="0.875"/>
    <n v="1"/>
    <n v="149.9"/>
    <n v="0"/>
    <n v="24"/>
    <n v="0"/>
    <n v="0"/>
    <n v="24"/>
    <n v="1"/>
    <n v="1"/>
    <n v="187.96"/>
    <n v="0"/>
    <n v="24"/>
    <n v="0"/>
    <n v="0"/>
    <n v="24"/>
    <n v="1"/>
    <n v="1"/>
    <n v="189.66"/>
    <n v="0"/>
    <n v="24"/>
    <n v="0"/>
    <n v="0"/>
    <n v="24"/>
    <n v="1"/>
    <n v="1"/>
    <n v="186.47"/>
  </r>
  <r>
    <x v="4"/>
    <n v="0"/>
    <n v="24"/>
    <n v="0"/>
    <n v="0"/>
    <n v="24"/>
    <n v="1"/>
    <n v="1"/>
    <n v="201.9"/>
    <n v="0"/>
    <n v="24"/>
    <n v="0"/>
    <n v="0"/>
    <n v="24"/>
    <n v="1"/>
    <n v="1"/>
    <n v="200.7"/>
    <n v="0"/>
    <n v="24"/>
    <n v="0"/>
    <n v="0"/>
    <n v="24"/>
    <n v="1"/>
    <n v="1"/>
    <n v="202.52"/>
    <n v="6"/>
    <n v="18"/>
    <n v="0"/>
    <n v="0"/>
    <n v="24"/>
    <n v="0.75"/>
    <n v="1"/>
    <n v="55.54"/>
    <n v="0"/>
    <n v="0"/>
    <n v="0"/>
    <n v="24"/>
    <n v="0"/>
    <n v="0"/>
    <n v="0"/>
    <n v="0"/>
    <n v="6"/>
    <n v="18"/>
    <n v="0"/>
    <n v="0"/>
    <n v="24"/>
    <n v="0.75"/>
    <n v="1"/>
    <n v="55.95"/>
    <n v="0"/>
    <n v="24"/>
    <n v="0"/>
    <n v="0"/>
    <n v="24"/>
    <n v="1"/>
    <n v="1"/>
    <n v="203.78"/>
    <n v="0"/>
    <n v="24"/>
    <n v="0"/>
    <n v="0"/>
    <n v="24"/>
    <n v="1"/>
    <n v="1"/>
    <n v="201.17"/>
    <n v="0"/>
    <n v="0"/>
    <n v="12"/>
    <n v="12"/>
    <n v="0"/>
    <n v="0"/>
    <n v="0"/>
    <n v="0"/>
    <n v="0"/>
    <n v="24"/>
    <n v="0"/>
    <n v="0"/>
    <n v="24"/>
    <n v="1"/>
    <n v="1"/>
    <n v="197.53"/>
  </r>
  <r>
    <x v="5"/>
    <n v="0"/>
    <n v="24"/>
    <n v="0"/>
    <n v="0"/>
    <n v="24"/>
    <n v="1"/>
    <n v="1"/>
    <n v="194.1"/>
    <n v="0"/>
    <n v="24"/>
    <n v="0"/>
    <n v="0"/>
    <n v="24"/>
    <n v="1"/>
    <n v="1"/>
    <n v="201"/>
    <n v="0"/>
    <n v="24"/>
    <n v="0"/>
    <n v="0"/>
    <n v="24"/>
    <n v="1"/>
    <n v="1"/>
    <n v="203.59"/>
    <n v="6"/>
    <n v="18"/>
    <n v="0"/>
    <n v="0"/>
    <n v="24"/>
    <n v="0.75"/>
    <n v="1"/>
    <n v="59.85"/>
    <n v="0"/>
    <n v="0"/>
    <n v="0"/>
    <n v="24"/>
    <n v="0"/>
    <n v="0"/>
    <n v="0"/>
    <n v="0"/>
    <n v="4"/>
    <n v="18"/>
    <n v="0"/>
    <n v="2"/>
    <n v="22"/>
    <n v="0.75"/>
    <n v="0.91666666666666663"/>
    <n v="57.91"/>
    <n v="0"/>
    <n v="24"/>
    <n v="0"/>
    <n v="0"/>
    <n v="24"/>
    <n v="1"/>
    <n v="1"/>
    <n v="202.95"/>
    <n v="0"/>
    <n v="24"/>
    <n v="0"/>
    <n v="0"/>
    <n v="24"/>
    <n v="1"/>
    <n v="1"/>
    <n v="203.25"/>
    <n v="12"/>
    <n v="0"/>
    <n v="12"/>
    <n v="0"/>
    <n v="12"/>
    <n v="0"/>
    <n v="0.5"/>
    <n v="0"/>
    <n v="0"/>
    <n v="24"/>
    <n v="0"/>
    <n v="0"/>
    <n v="24"/>
    <n v="1"/>
    <n v="1"/>
    <n v="203.18"/>
  </r>
  <r>
    <x v="6"/>
    <n v="2"/>
    <n v="22"/>
    <n v="0"/>
    <n v="0"/>
    <n v="24"/>
    <n v="0.91666666666666663"/>
    <n v="1"/>
    <n v="192.2"/>
    <n v="5"/>
    <n v="17"/>
    <n v="0"/>
    <n v="2"/>
    <n v="22"/>
    <n v="0.70833333333333337"/>
    <n v="0.91666666666666663"/>
    <n v="138.80000000000001"/>
    <n v="3"/>
    <n v="21"/>
    <n v="0"/>
    <n v="0"/>
    <n v="24"/>
    <n v="0.875"/>
    <n v="1"/>
    <n v="179.89"/>
    <n v="4"/>
    <n v="16"/>
    <n v="4"/>
    <n v="0"/>
    <n v="20"/>
    <n v="0.66666666666666663"/>
    <n v="0.83333333333333337"/>
    <n v="56.04"/>
    <n v="0"/>
    <n v="0"/>
    <n v="0"/>
    <n v="24"/>
    <n v="0"/>
    <n v="0"/>
    <n v="0"/>
    <n v="0"/>
    <n v="6"/>
    <n v="18"/>
    <n v="0"/>
    <n v="0"/>
    <n v="24"/>
    <n v="0.75"/>
    <n v="1"/>
    <n v="62.19"/>
    <n v="4"/>
    <n v="20"/>
    <n v="0"/>
    <n v="0"/>
    <n v="24"/>
    <n v="0.83333333333333337"/>
    <n v="1"/>
    <n v="166.67"/>
    <n v="4"/>
    <n v="20"/>
    <n v="0"/>
    <n v="0"/>
    <n v="24"/>
    <n v="0.83333333333333337"/>
    <n v="1"/>
    <n v="174.54"/>
    <n v="4"/>
    <n v="20"/>
    <n v="0"/>
    <n v="0"/>
    <n v="24"/>
    <n v="0.83333333333333337"/>
    <n v="1"/>
    <n v="170.19"/>
    <n v="2"/>
    <n v="22"/>
    <n v="0"/>
    <n v="0"/>
    <n v="24"/>
    <n v="0.91666666666666663"/>
    <n v="1"/>
    <n v="191.89"/>
  </r>
  <r>
    <x v="7"/>
    <n v="3"/>
    <n v="21"/>
    <n v="0"/>
    <n v="0"/>
    <n v="24"/>
    <n v="0.875"/>
    <n v="1"/>
    <n v="165.2"/>
    <n v="6"/>
    <n v="18"/>
    <n v="0"/>
    <n v="0"/>
    <n v="24"/>
    <n v="0.75"/>
    <n v="1"/>
    <n v="153.4"/>
    <n v="18"/>
    <n v="0"/>
    <n v="6"/>
    <n v="0"/>
    <n v="18"/>
    <n v="0"/>
    <n v="0.75"/>
    <n v="0.04"/>
    <n v="10"/>
    <n v="14"/>
    <n v="0"/>
    <n v="0"/>
    <n v="24"/>
    <n v="0.58333333333333337"/>
    <n v="1"/>
    <n v="43.33"/>
    <n v="0"/>
    <n v="0"/>
    <n v="0"/>
    <n v="24"/>
    <n v="0"/>
    <n v="0"/>
    <n v="0"/>
    <n v="0"/>
    <n v="11"/>
    <n v="13"/>
    <n v="0"/>
    <n v="0"/>
    <n v="24"/>
    <n v="0.54166666666666663"/>
    <n v="1"/>
    <n v="43.96"/>
    <n v="3"/>
    <n v="17"/>
    <n v="4"/>
    <n v="0"/>
    <n v="20"/>
    <n v="0.70833333333333337"/>
    <n v="0.83333333333333337"/>
    <n v="150.26"/>
    <n v="6"/>
    <n v="18"/>
    <n v="0"/>
    <n v="0"/>
    <n v="24"/>
    <n v="0.75"/>
    <n v="1"/>
    <n v="152.46"/>
    <n v="5"/>
    <n v="19"/>
    <n v="0"/>
    <n v="0"/>
    <n v="24"/>
    <n v="0.79166666666666663"/>
    <n v="1"/>
    <n v="152.30000000000001"/>
    <n v="3"/>
    <n v="21"/>
    <n v="0"/>
    <n v="0"/>
    <n v="24"/>
    <n v="0.875"/>
    <n v="1"/>
    <n v="173.32"/>
  </r>
  <r>
    <x v="8"/>
    <n v="1"/>
    <n v="23"/>
    <n v="0"/>
    <n v="0"/>
    <n v="24"/>
    <n v="0.95833333333333337"/>
    <n v="1"/>
    <n v="164.7"/>
    <n v="4"/>
    <n v="20"/>
    <n v="0"/>
    <n v="0"/>
    <n v="24"/>
    <n v="0.83333333333333337"/>
    <n v="1"/>
    <n v="172.7"/>
    <n v="2"/>
    <n v="22"/>
    <n v="0"/>
    <n v="0"/>
    <n v="24"/>
    <n v="0.91666666666666663"/>
    <n v="1"/>
    <n v="182.46"/>
    <n v="7"/>
    <n v="17"/>
    <n v="0"/>
    <n v="0"/>
    <n v="24"/>
    <n v="0.70833333333333337"/>
    <n v="1"/>
    <n v="53.71"/>
    <n v="0"/>
    <n v="0"/>
    <n v="0"/>
    <n v="24"/>
    <n v="0"/>
    <n v="0"/>
    <n v="0"/>
    <n v="0"/>
    <n v="3"/>
    <n v="17"/>
    <n v="4"/>
    <n v="0"/>
    <n v="20"/>
    <n v="0.70833333333333337"/>
    <n v="0.83333333333333337"/>
    <n v="52.5"/>
    <n v="5"/>
    <n v="19"/>
    <n v="0"/>
    <n v="0"/>
    <n v="24"/>
    <n v="0.79166666666666663"/>
    <n v="1"/>
    <n v="165.12"/>
    <n v="4"/>
    <n v="20"/>
    <n v="0"/>
    <n v="0"/>
    <n v="24"/>
    <n v="0.83333333333333337"/>
    <n v="1"/>
    <n v="175.79"/>
    <n v="4"/>
    <n v="20"/>
    <n v="0"/>
    <n v="0"/>
    <n v="24"/>
    <n v="0.83333333333333337"/>
    <n v="1"/>
    <n v="174.09"/>
    <n v="2"/>
    <n v="22"/>
    <n v="0"/>
    <n v="0"/>
    <n v="24"/>
    <n v="0.91666666666666663"/>
    <n v="1"/>
    <n v="195.59"/>
  </r>
  <r>
    <x v="9"/>
    <n v="0"/>
    <n v="24"/>
    <n v="0"/>
    <n v="0"/>
    <n v="24"/>
    <n v="1"/>
    <n v="1"/>
    <n v="174.6"/>
    <n v="0"/>
    <n v="24"/>
    <n v="0"/>
    <n v="0"/>
    <n v="24"/>
    <n v="1"/>
    <n v="1"/>
    <n v="214.9"/>
    <n v="0"/>
    <n v="24"/>
    <n v="0"/>
    <n v="0"/>
    <n v="24"/>
    <n v="1"/>
    <n v="1"/>
    <n v="211.56"/>
    <n v="3"/>
    <n v="19"/>
    <n v="0"/>
    <n v="2"/>
    <n v="22"/>
    <n v="0.79166666666666663"/>
    <n v="0.91666666666666663"/>
    <n v="60.72"/>
    <n v="0"/>
    <n v="0"/>
    <n v="0"/>
    <n v="24"/>
    <n v="0"/>
    <n v="0"/>
    <n v="0"/>
    <n v="0"/>
    <n v="5"/>
    <n v="19"/>
    <n v="0"/>
    <n v="0"/>
    <n v="24"/>
    <n v="0.79166666666666663"/>
    <n v="1"/>
    <n v="56.22"/>
    <n v="0"/>
    <n v="24"/>
    <n v="0"/>
    <n v="0"/>
    <n v="24"/>
    <n v="1"/>
    <n v="1"/>
    <n v="212.53"/>
    <n v="0"/>
    <n v="24"/>
    <n v="0"/>
    <n v="0"/>
    <n v="24"/>
    <n v="1"/>
    <n v="1"/>
    <n v="210.75"/>
    <n v="0"/>
    <n v="24"/>
    <n v="0"/>
    <n v="0"/>
    <n v="24"/>
    <n v="1"/>
    <n v="1"/>
    <n v="210.04"/>
    <n v="0"/>
    <n v="24"/>
    <n v="0"/>
    <n v="0"/>
    <n v="24"/>
    <n v="1"/>
    <n v="1"/>
    <n v="211.67"/>
  </r>
  <r>
    <x v="10"/>
    <n v="8"/>
    <n v="0"/>
    <n v="12"/>
    <n v="4"/>
    <n v="8"/>
    <n v="0"/>
    <n v="0.33333333333333331"/>
    <n v="0"/>
    <n v="0"/>
    <n v="24"/>
    <n v="0"/>
    <n v="0"/>
    <n v="24"/>
    <n v="1"/>
    <n v="1"/>
    <n v="196.1"/>
    <n v="1"/>
    <n v="23"/>
    <n v="0"/>
    <n v="0"/>
    <n v="24"/>
    <n v="0.95833333333333337"/>
    <n v="1"/>
    <n v="199.69"/>
    <n v="5"/>
    <n v="19"/>
    <n v="0"/>
    <n v="0"/>
    <n v="24"/>
    <n v="0.79166666666666663"/>
    <n v="1"/>
    <n v="58.85"/>
    <n v="0"/>
    <n v="0"/>
    <n v="0"/>
    <n v="24"/>
    <n v="0"/>
    <n v="0"/>
    <n v="0"/>
    <n v="0"/>
    <n v="5"/>
    <n v="19"/>
    <n v="0"/>
    <n v="0"/>
    <n v="24"/>
    <n v="0.79166666666666663"/>
    <n v="1"/>
    <n v="56.88"/>
    <n v="0"/>
    <n v="24"/>
    <n v="0"/>
    <n v="0"/>
    <n v="24"/>
    <n v="1"/>
    <n v="1"/>
    <n v="203.71"/>
    <n v="0"/>
    <n v="24"/>
    <n v="0"/>
    <n v="0"/>
    <n v="24"/>
    <n v="1"/>
    <n v="1"/>
    <n v="206.26"/>
    <n v="0"/>
    <n v="24"/>
    <n v="0"/>
    <n v="0"/>
    <n v="24"/>
    <n v="1"/>
    <n v="1"/>
    <n v="205.37"/>
    <n v="0"/>
    <n v="24"/>
    <n v="0"/>
    <n v="0"/>
    <n v="24"/>
    <n v="1"/>
    <n v="1"/>
    <n v="198.72"/>
  </r>
  <r>
    <x v="11"/>
    <n v="0"/>
    <n v="24"/>
    <n v="0"/>
    <n v="0"/>
    <n v="24"/>
    <n v="1"/>
    <n v="1"/>
    <n v="198.2"/>
    <n v="0"/>
    <n v="24"/>
    <n v="0"/>
    <n v="0"/>
    <n v="24"/>
    <n v="1"/>
    <n v="1"/>
    <n v="199.4"/>
    <n v="0"/>
    <n v="24"/>
    <n v="0"/>
    <n v="0"/>
    <n v="24"/>
    <n v="1"/>
    <n v="1"/>
    <n v="200.29"/>
    <n v="4"/>
    <n v="20"/>
    <n v="0"/>
    <n v="0"/>
    <n v="24"/>
    <n v="0.83333333333333337"/>
    <n v="1"/>
    <n v="60.44"/>
    <n v="0"/>
    <n v="0"/>
    <n v="0"/>
    <n v="24"/>
    <n v="0"/>
    <n v="0"/>
    <n v="0"/>
    <n v="0"/>
    <n v="5"/>
    <n v="19"/>
    <n v="0"/>
    <n v="0"/>
    <n v="24"/>
    <n v="0.79166666666666663"/>
    <n v="1"/>
    <n v="60.89"/>
    <n v="6"/>
    <n v="0"/>
    <n v="10"/>
    <n v="8"/>
    <n v="6"/>
    <n v="0"/>
    <n v="0.25"/>
    <n v="0.02"/>
    <n v="0"/>
    <n v="24"/>
    <n v="0"/>
    <n v="0"/>
    <n v="24"/>
    <n v="1"/>
    <n v="1"/>
    <n v="202.65"/>
    <n v="0"/>
    <n v="24"/>
    <n v="0"/>
    <n v="0"/>
    <n v="24"/>
    <n v="1"/>
    <n v="1"/>
    <n v="205.67"/>
    <n v="0"/>
    <n v="24"/>
    <n v="0"/>
    <n v="0"/>
    <n v="24"/>
    <n v="1"/>
    <n v="1"/>
    <n v="204.89"/>
  </r>
  <r>
    <x v="12"/>
    <n v="0"/>
    <n v="24"/>
    <n v="0"/>
    <n v="0"/>
    <n v="24"/>
    <n v="1"/>
    <n v="1"/>
    <n v="179.7"/>
    <n v="0"/>
    <n v="24"/>
    <n v="0"/>
    <n v="0"/>
    <n v="24"/>
    <n v="1"/>
    <n v="1"/>
    <n v="207.7"/>
    <n v="0"/>
    <n v="24"/>
    <n v="0"/>
    <n v="0"/>
    <n v="24"/>
    <n v="1"/>
    <n v="1"/>
    <n v="204.17"/>
    <n v="4"/>
    <n v="20"/>
    <n v="0"/>
    <n v="0"/>
    <n v="24"/>
    <n v="0.83333333333333337"/>
    <n v="1"/>
    <n v="66.290000000000006"/>
    <n v="0"/>
    <n v="0"/>
    <n v="0"/>
    <n v="24"/>
    <n v="0"/>
    <n v="0"/>
    <n v="0"/>
    <n v="0"/>
    <n v="3"/>
    <n v="21"/>
    <n v="0"/>
    <n v="0"/>
    <n v="24"/>
    <n v="0.875"/>
    <n v="1"/>
    <n v="65.42"/>
    <n v="0"/>
    <n v="24"/>
    <n v="0"/>
    <n v="0"/>
    <n v="24"/>
    <n v="1"/>
    <n v="1"/>
    <n v="203.07"/>
    <n v="0"/>
    <n v="24"/>
    <n v="0"/>
    <n v="0"/>
    <n v="24"/>
    <n v="1"/>
    <n v="1"/>
    <n v="202.58"/>
    <n v="0"/>
    <n v="24"/>
    <n v="0"/>
    <n v="0"/>
    <n v="24"/>
    <n v="1"/>
    <n v="1"/>
    <n v="211.24"/>
    <n v="1"/>
    <n v="0"/>
    <n v="9"/>
    <n v="14"/>
    <n v="1"/>
    <n v="0"/>
    <n v="4.1666666666666664E-2"/>
    <n v="0"/>
  </r>
  <r>
    <x v="13"/>
    <n v="0"/>
    <n v="24"/>
    <n v="0"/>
    <n v="0"/>
    <n v="24"/>
    <n v="1"/>
    <n v="1"/>
    <n v="156.30000000000001"/>
    <n v="8"/>
    <n v="0"/>
    <n v="16"/>
    <n v="0"/>
    <n v="8"/>
    <n v="0"/>
    <n v="0.33333333333333331"/>
    <n v="0"/>
    <n v="0"/>
    <n v="24"/>
    <n v="0"/>
    <n v="0"/>
    <n v="24"/>
    <n v="1"/>
    <n v="1"/>
    <n v="208.44"/>
    <n v="0"/>
    <n v="24"/>
    <n v="0"/>
    <n v="0"/>
    <n v="24"/>
    <n v="1"/>
    <n v="1"/>
    <n v="74.12"/>
    <n v="0"/>
    <n v="0"/>
    <n v="0"/>
    <n v="24"/>
    <n v="0"/>
    <n v="0"/>
    <n v="0"/>
    <n v="0"/>
    <n v="2"/>
    <n v="22"/>
    <n v="0"/>
    <n v="0"/>
    <n v="24"/>
    <n v="0.91666666666666663"/>
    <n v="1"/>
    <n v="70.64"/>
    <n v="0"/>
    <n v="24"/>
    <n v="0"/>
    <n v="0"/>
    <n v="24"/>
    <n v="1"/>
    <n v="1"/>
    <n v="207.28"/>
    <n v="0"/>
    <n v="24"/>
    <n v="0"/>
    <n v="0"/>
    <n v="24"/>
    <n v="1"/>
    <n v="1"/>
    <n v="207.89"/>
    <n v="0"/>
    <n v="24"/>
    <n v="0"/>
    <n v="0"/>
    <n v="24"/>
    <n v="1"/>
    <n v="1"/>
    <n v="207.14"/>
    <n v="0"/>
    <n v="24"/>
    <n v="0"/>
    <n v="0"/>
    <n v="24"/>
    <n v="1"/>
    <n v="1"/>
    <n v="200.24"/>
  </r>
  <r>
    <x v="14"/>
    <n v="5"/>
    <n v="19"/>
    <n v="0"/>
    <n v="0"/>
    <n v="24"/>
    <n v="0.79166666666666663"/>
    <n v="1"/>
    <n v="124.9"/>
    <n v="0"/>
    <n v="24"/>
    <n v="0"/>
    <n v="0"/>
    <n v="24"/>
    <n v="1"/>
    <n v="1"/>
    <n v="189.9"/>
    <n v="0"/>
    <n v="24"/>
    <n v="0"/>
    <n v="0"/>
    <n v="24"/>
    <n v="1"/>
    <n v="1"/>
    <n v="179.26"/>
    <n v="4"/>
    <n v="20"/>
    <n v="0"/>
    <n v="0"/>
    <n v="24"/>
    <n v="0.83333333333333337"/>
    <n v="1"/>
    <n v="60.51"/>
    <n v="0"/>
    <n v="0"/>
    <n v="0"/>
    <n v="24"/>
    <n v="0"/>
    <n v="0"/>
    <n v="0"/>
    <n v="0"/>
    <n v="3"/>
    <n v="0"/>
    <n v="6"/>
    <n v="15"/>
    <n v="3"/>
    <n v="0"/>
    <n v="0.125"/>
    <n v="0.03"/>
    <n v="0"/>
    <n v="24"/>
    <n v="0"/>
    <n v="0"/>
    <n v="24"/>
    <n v="1"/>
    <n v="1"/>
    <n v="191.42"/>
    <n v="0"/>
    <n v="24"/>
    <n v="0"/>
    <n v="0"/>
    <n v="24"/>
    <n v="1"/>
    <n v="1"/>
    <n v="201.37"/>
    <n v="0"/>
    <n v="24"/>
    <n v="0"/>
    <n v="0"/>
    <n v="24"/>
    <n v="1"/>
    <n v="1"/>
    <n v="197.33"/>
    <n v="0"/>
    <n v="24"/>
    <n v="0"/>
    <n v="0"/>
    <n v="24"/>
    <n v="1"/>
    <n v="1"/>
    <n v="189.13"/>
  </r>
  <r>
    <x v="15"/>
    <n v="0"/>
    <n v="24"/>
    <n v="0"/>
    <n v="0"/>
    <n v="24"/>
    <n v="1"/>
    <n v="1"/>
    <n v="163.30000000000001"/>
    <n v="0"/>
    <n v="24"/>
    <n v="0"/>
    <n v="0"/>
    <n v="24"/>
    <n v="1"/>
    <n v="1"/>
    <n v="208.8"/>
    <n v="0"/>
    <n v="24"/>
    <n v="0"/>
    <n v="0"/>
    <n v="24"/>
    <n v="1"/>
    <n v="1"/>
    <n v="199.38"/>
    <n v="0"/>
    <n v="24"/>
    <n v="0"/>
    <n v="0"/>
    <n v="24"/>
    <n v="1"/>
    <n v="1"/>
    <n v="88.58"/>
    <n v="0"/>
    <n v="0"/>
    <n v="0"/>
    <n v="24"/>
    <n v="0"/>
    <n v="0"/>
    <n v="0"/>
    <n v="0"/>
    <n v="7"/>
    <n v="13"/>
    <n v="0"/>
    <n v="4"/>
    <n v="20"/>
    <n v="0.54166666666666663"/>
    <n v="0.83333333333333337"/>
    <n v="58.92"/>
    <n v="0"/>
    <n v="24"/>
    <n v="0"/>
    <n v="0"/>
    <n v="24"/>
    <n v="1"/>
    <n v="1"/>
    <n v="206.74"/>
    <n v="0"/>
    <n v="21"/>
    <n v="3"/>
    <n v="0"/>
    <n v="21"/>
    <n v="0.875"/>
    <n v="0.875"/>
    <n v="184.24"/>
    <n v="0"/>
    <n v="24"/>
    <n v="0"/>
    <n v="0"/>
    <n v="24"/>
    <n v="1"/>
    <n v="1"/>
    <n v="212.61"/>
    <n v="0"/>
    <n v="24"/>
    <n v="0"/>
    <n v="0"/>
    <n v="24"/>
    <n v="1"/>
    <n v="1"/>
    <n v="207.92"/>
  </r>
  <r>
    <x v="16"/>
    <n v="0"/>
    <n v="24"/>
    <n v="0"/>
    <n v="0"/>
    <n v="24"/>
    <n v="1"/>
    <n v="1"/>
    <n v="158.1"/>
    <n v="0"/>
    <n v="24"/>
    <n v="0"/>
    <n v="0"/>
    <n v="24"/>
    <n v="1"/>
    <n v="1"/>
    <n v="209.4"/>
    <n v="0"/>
    <n v="24"/>
    <n v="0"/>
    <n v="0"/>
    <n v="24"/>
    <n v="1"/>
    <n v="1"/>
    <n v="167.81"/>
    <n v="0"/>
    <n v="24"/>
    <n v="0"/>
    <n v="0"/>
    <n v="24"/>
    <n v="1"/>
    <n v="1"/>
    <n v="78.52"/>
    <n v="0"/>
    <n v="0"/>
    <n v="0"/>
    <n v="24"/>
    <n v="0"/>
    <n v="0"/>
    <n v="0"/>
    <n v="0"/>
    <n v="0"/>
    <n v="24"/>
    <n v="0"/>
    <n v="0"/>
    <n v="24"/>
    <n v="1"/>
    <n v="1"/>
    <n v="74.650000000000006"/>
    <n v="0"/>
    <n v="24"/>
    <n v="0"/>
    <n v="0"/>
    <n v="24"/>
    <n v="1"/>
    <n v="1"/>
    <n v="207"/>
    <n v="0"/>
    <n v="24"/>
    <n v="0"/>
    <n v="0"/>
    <n v="24"/>
    <n v="1"/>
    <n v="1"/>
    <n v="215.3"/>
    <n v="0"/>
    <n v="24"/>
    <n v="0"/>
    <n v="0"/>
    <n v="24"/>
    <n v="1"/>
    <n v="1"/>
    <n v="212.7"/>
    <n v="0"/>
    <n v="24"/>
    <n v="0"/>
    <n v="0"/>
    <n v="24"/>
    <n v="1"/>
    <n v="1"/>
    <n v="207.94"/>
  </r>
  <r>
    <x v="17"/>
    <n v="5"/>
    <n v="0"/>
    <n v="14"/>
    <n v="5"/>
    <n v="5"/>
    <n v="0"/>
    <n v="0.20833333333333334"/>
    <n v="0"/>
    <n v="4"/>
    <n v="20"/>
    <n v="0"/>
    <n v="0"/>
    <n v="24"/>
    <n v="0.83333333333333337"/>
    <n v="1"/>
    <n v="183.5"/>
    <n v="2"/>
    <n v="22"/>
    <n v="0"/>
    <n v="0"/>
    <n v="24"/>
    <n v="0.91666666666666663"/>
    <n v="1"/>
    <n v="137.66"/>
    <n v="5"/>
    <n v="19"/>
    <n v="0"/>
    <n v="0"/>
    <n v="24"/>
    <n v="0.79166666666666663"/>
    <n v="1"/>
    <n v="58.9"/>
    <n v="0"/>
    <n v="0"/>
    <n v="0"/>
    <n v="24"/>
    <n v="0"/>
    <n v="0"/>
    <n v="0"/>
    <n v="0"/>
    <n v="6"/>
    <n v="18"/>
    <n v="0"/>
    <n v="0"/>
    <n v="24"/>
    <n v="0.75"/>
    <n v="1"/>
    <n v="53.05"/>
    <n v="3"/>
    <n v="21"/>
    <n v="0"/>
    <n v="0"/>
    <n v="24"/>
    <n v="0.875"/>
    <n v="1"/>
    <n v="178.09"/>
    <n v="3"/>
    <n v="21"/>
    <n v="0"/>
    <n v="0"/>
    <n v="24"/>
    <n v="0.875"/>
    <n v="1"/>
    <n v="177.39"/>
    <n v="4"/>
    <n v="20"/>
    <n v="0"/>
    <n v="0"/>
    <n v="24"/>
    <n v="0.83333333333333337"/>
    <n v="1"/>
    <n v="176.08"/>
    <n v="2"/>
    <n v="22"/>
    <n v="0"/>
    <n v="0"/>
    <n v="24"/>
    <n v="0.91666666666666663"/>
    <n v="1"/>
    <n v="197.06"/>
  </r>
  <r>
    <x v="18"/>
    <n v="8"/>
    <n v="12"/>
    <n v="0"/>
    <n v="4"/>
    <n v="20"/>
    <n v="0.5"/>
    <n v="0.83333333333333337"/>
    <n v="90.8"/>
    <n v="2"/>
    <n v="22"/>
    <n v="0"/>
    <n v="0"/>
    <n v="24"/>
    <n v="0.91666666666666663"/>
    <n v="1"/>
    <n v="181.8"/>
    <n v="2"/>
    <n v="22"/>
    <n v="0"/>
    <n v="0"/>
    <n v="24"/>
    <n v="0.91666666666666663"/>
    <n v="1"/>
    <n v="164.62"/>
    <n v="4"/>
    <n v="20"/>
    <n v="0"/>
    <n v="0"/>
    <n v="24"/>
    <n v="0.83333333333333337"/>
    <n v="1"/>
    <n v="71.900000000000006"/>
    <n v="0"/>
    <n v="0"/>
    <n v="0"/>
    <n v="24"/>
    <n v="0"/>
    <n v="0"/>
    <n v="0"/>
    <n v="0"/>
    <n v="4"/>
    <n v="20"/>
    <n v="0"/>
    <n v="0"/>
    <n v="24"/>
    <n v="0.83333333333333337"/>
    <n v="1"/>
    <n v="91.85"/>
    <n v="3"/>
    <n v="21"/>
    <n v="0"/>
    <n v="0"/>
    <n v="24"/>
    <n v="0.875"/>
    <n v="1"/>
    <n v="186.88"/>
    <n v="4"/>
    <n v="20"/>
    <n v="0"/>
    <n v="0"/>
    <n v="24"/>
    <n v="0.83333333333333337"/>
    <n v="1"/>
    <n v="174.85"/>
    <n v="8"/>
    <n v="4"/>
    <n v="7"/>
    <n v="5"/>
    <n v="12"/>
    <n v="0.16666666666666666"/>
    <n v="0.5"/>
    <n v="35.31"/>
    <n v="2"/>
    <n v="16"/>
    <n v="0"/>
    <n v="6"/>
    <n v="18"/>
    <n v="0.66666666666666663"/>
    <n v="0.75"/>
    <n v="127.4"/>
  </r>
  <r>
    <x v="19"/>
    <n v="3"/>
    <n v="19"/>
    <n v="0"/>
    <n v="2"/>
    <n v="22"/>
    <n v="0.79166666666666663"/>
    <n v="0.91666666666666663"/>
    <n v="156.19999999999999"/>
    <n v="4"/>
    <n v="20"/>
    <n v="0"/>
    <n v="0"/>
    <n v="24"/>
    <n v="0.83333333333333337"/>
    <n v="1"/>
    <n v="167.5"/>
    <n v="4"/>
    <n v="0"/>
    <n v="6"/>
    <n v="14"/>
    <n v="4"/>
    <n v="0"/>
    <n v="0.16666666666666666"/>
    <n v="0.13"/>
    <n v="5"/>
    <n v="19"/>
    <n v="0"/>
    <n v="0"/>
    <n v="24"/>
    <n v="0.79166666666666663"/>
    <n v="1"/>
    <n v="62.52"/>
    <n v="0"/>
    <n v="0"/>
    <n v="0"/>
    <n v="24"/>
    <n v="0"/>
    <n v="0"/>
    <n v="0"/>
    <n v="0"/>
    <n v="4"/>
    <n v="18"/>
    <n v="0"/>
    <n v="2"/>
    <n v="22"/>
    <n v="0.75"/>
    <n v="0.91666666666666663"/>
    <n v="53.92"/>
    <n v="4"/>
    <n v="20"/>
    <n v="0"/>
    <n v="0"/>
    <n v="24"/>
    <n v="0.83333333333333337"/>
    <n v="1"/>
    <n v="171.03"/>
    <n v="4"/>
    <n v="20"/>
    <n v="0"/>
    <n v="0"/>
    <n v="24"/>
    <n v="0.83333333333333337"/>
    <n v="1"/>
    <n v="171.27"/>
    <n v="1"/>
    <n v="23"/>
    <n v="0"/>
    <n v="0"/>
    <n v="24"/>
    <n v="0.95833333333333337"/>
    <n v="1"/>
    <n v="190.18"/>
    <n v="1"/>
    <n v="23"/>
    <n v="0"/>
    <n v="0"/>
    <n v="24"/>
    <n v="0.95833333333333337"/>
    <n v="1"/>
    <n v="187.42"/>
  </r>
  <r>
    <x v="20"/>
    <n v="0"/>
    <n v="24"/>
    <n v="0"/>
    <n v="0"/>
    <n v="24"/>
    <n v="1"/>
    <n v="1"/>
    <n v="186"/>
    <n v="3"/>
    <n v="21"/>
    <n v="0"/>
    <n v="0"/>
    <n v="24"/>
    <n v="0.875"/>
    <n v="1"/>
    <n v="155.19999999999999"/>
    <n v="0"/>
    <n v="24"/>
    <n v="0"/>
    <n v="0"/>
    <n v="24"/>
    <n v="1"/>
    <n v="1"/>
    <n v="189.58"/>
    <n v="0"/>
    <n v="0"/>
    <n v="16"/>
    <n v="8"/>
    <n v="0"/>
    <n v="0"/>
    <n v="0"/>
    <n v="0.01"/>
    <n v="0"/>
    <n v="0"/>
    <n v="0"/>
    <n v="24"/>
    <n v="0"/>
    <n v="0"/>
    <n v="0"/>
    <n v="0"/>
    <n v="0"/>
    <n v="24"/>
    <n v="0"/>
    <n v="0"/>
    <n v="24"/>
    <n v="1"/>
    <n v="1"/>
    <n v="74.7"/>
    <n v="0"/>
    <n v="24"/>
    <n v="0"/>
    <n v="0"/>
    <n v="24"/>
    <n v="1"/>
    <n v="1"/>
    <n v="181.79"/>
    <n v="0"/>
    <n v="24"/>
    <n v="0"/>
    <n v="0"/>
    <n v="24"/>
    <n v="1"/>
    <n v="1"/>
    <n v="189.45"/>
    <n v="1"/>
    <n v="23"/>
    <n v="0"/>
    <n v="0"/>
    <n v="24"/>
    <n v="0.95833333333333337"/>
    <n v="1"/>
    <n v="189.87"/>
    <n v="0"/>
    <n v="24"/>
    <n v="0"/>
    <n v="0"/>
    <n v="24"/>
    <n v="1"/>
    <n v="1"/>
    <n v="185.96"/>
  </r>
  <r>
    <x v="21"/>
    <n v="0"/>
    <n v="24"/>
    <n v="0"/>
    <n v="0"/>
    <n v="24"/>
    <n v="1"/>
    <n v="1"/>
    <n v="190.4"/>
    <n v="0"/>
    <n v="24"/>
    <n v="0"/>
    <n v="0"/>
    <n v="24"/>
    <n v="1"/>
    <n v="1"/>
    <n v="188.8"/>
    <n v="6"/>
    <n v="18"/>
    <n v="0"/>
    <n v="0"/>
    <n v="24"/>
    <n v="0.75"/>
    <n v="1"/>
    <n v="132.06"/>
    <n v="15"/>
    <n v="1"/>
    <n v="8"/>
    <n v="0"/>
    <n v="16"/>
    <n v="4.1666666666666664E-2"/>
    <n v="0.66666666666666663"/>
    <n v="0"/>
    <n v="0"/>
    <n v="0"/>
    <n v="0"/>
    <n v="24"/>
    <n v="0"/>
    <n v="0"/>
    <n v="0"/>
    <n v="0"/>
    <n v="0"/>
    <n v="24"/>
    <n v="0"/>
    <n v="0"/>
    <n v="24"/>
    <n v="1"/>
    <n v="1"/>
    <n v="69.67"/>
    <n v="0"/>
    <n v="24"/>
    <n v="0"/>
    <n v="0"/>
    <n v="24"/>
    <n v="1"/>
    <n v="1"/>
    <n v="189.87"/>
    <n v="0"/>
    <n v="24"/>
    <n v="0"/>
    <n v="0"/>
    <n v="24"/>
    <n v="1"/>
    <n v="1"/>
    <n v="193.58"/>
    <n v="0"/>
    <n v="24"/>
    <n v="0"/>
    <n v="0"/>
    <n v="24"/>
    <n v="1"/>
    <n v="1"/>
    <n v="192.01"/>
    <n v="1"/>
    <n v="23"/>
    <n v="0"/>
    <n v="0"/>
    <n v="24"/>
    <n v="0.95833333333333337"/>
    <n v="1"/>
    <n v="190.7"/>
  </r>
  <r>
    <x v="22"/>
    <n v="0"/>
    <n v="24"/>
    <n v="0"/>
    <n v="0"/>
    <n v="24"/>
    <n v="1"/>
    <n v="1"/>
    <n v="203.4"/>
    <n v="0"/>
    <n v="24"/>
    <n v="0"/>
    <n v="0"/>
    <n v="24"/>
    <n v="1"/>
    <n v="1"/>
    <n v="203.4"/>
    <n v="9"/>
    <n v="0"/>
    <n v="12"/>
    <n v="3"/>
    <n v="9"/>
    <n v="0"/>
    <n v="0.375"/>
    <n v="0"/>
    <n v="1"/>
    <n v="23"/>
    <n v="0"/>
    <n v="0"/>
    <n v="24"/>
    <n v="0.95833333333333337"/>
    <n v="1"/>
    <n v="78.8"/>
    <n v="0"/>
    <n v="0"/>
    <n v="0"/>
    <n v="24"/>
    <n v="0"/>
    <n v="0"/>
    <n v="0"/>
    <n v="0"/>
    <n v="8"/>
    <n v="16"/>
    <n v="0"/>
    <n v="0"/>
    <n v="24"/>
    <n v="0.66666666666666663"/>
    <n v="1"/>
    <n v="49.12"/>
    <n v="0"/>
    <n v="24"/>
    <n v="0"/>
    <n v="0"/>
    <n v="24"/>
    <n v="1"/>
    <n v="1"/>
    <n v="204.17"/>
    <n v="0"/>
    <n v="24"/>
    <n v="0"/>
    <n v="0"/>
    <n v="24"/>
    <n v="1"/>
    <n v="1"/>
    <n v="207.34"/>
    <n v="0"/>
    <n v="24"/>
    <n v="0"/>
    <n v="0"/>
    <n v="24"/>
    <n v="1"/>
    <n v="1"/>
    <n v="205.09"/>
    <n v="0"/>
    <n v="24"/>
    <n v="0"/>
    <n v="0"/>
    <n v="24"/>
    <n v="1"/>
    <n v="1"/>
    <n v="205.09"/>
  </r>
  <r>
    <x v="23"/>
    <n v="0"/>
    <n v="24"/>
    <n v="0"/>
    <n v="0"/>
    <n v="24"/>
    <n v="1"/>
    <n v="1"/>
    <n v="205.4"/>
    <n v="1"/>
    <n v="23"/>
    <n v="0"/>
    <n v="0"/>
    <n v="24"/>
    <n v="0.95833333333333337"/>
    <n v="1"/>
    <n v="205"/>
    <n v="1"/>
    <n v="23"/>
    <n v="0"/>
    <n v="0"/>
    <n v="24"/>
    <n v="0.95833333333333337"/>
    <n v="1"/>
    <n v="198.83"/>
    <n v="0"/>
    <n v="24"/>
    <n v="0"/>
    <n v="0"/>
    <n v="24"/>
    <n v="1"/>
    <n v="1"/>
    <n v="75.23"/>
    <n v="0"/>
    <n v="0"/>
    <n v="0"/>
    <n v="24"/>
    <n v="0"/>
    <n v="0"/>
    <n v="0"/>
    <n v="0"/>
    <n v="6"/>
    <n v="18"/>
    <n v="0"/>
    <n v="0"/>
    <n v="24"/>
    <n v="0.75"/>
    <n v="1"/>
    <n v="61.13"/>
    <n v="0"/>
    <n v="24"/>
    <n v="0"/>
    <n v="0"/>
    <n v="24"/>
    <n v="1"/>
    <n v="1"/>
    <n v="204.13"/>
    <n v="0"/>
    <n v="24"/>
    <n v="0"/>
    <n v="0"/>
    <n v="24"/>
    <n v="1"/>
    <n v="1"/>
    <n v="199.21"/>
    <n v="0"/>
    <n v="24"/>
    <n v="0"/>
    <n v="0"/>
    <n v="24"/>
    <n v="1"/>
    <n v="1"/>
    <n v="209.3"/>
    <n v="4"/>
    <n v="0"/>
    <n v="4"/>
    <n v="16"/>
    <n v="4"/>
    <n v="0"/>
    <n v="0.16666666666666666"/>
    <n v="0"/>
  </r>
  <r>
    <x v="24"/>
    <n v="1"/>
    <n v="23"/>
    <n v="0"/>
    <n v="0"/>
    <n v="24"/>
    <n v="0.95833333333333337"/>
    <n v="1"/>
    <n v="194.7"/>
    <n v="2"/>
    <n v="22"/>
    <n v="0"/>
    <n v="0"/>
    <n v="24"/>
    <n v="0.91666666666666663"/>
    <n v="1"/>
    <n v="187.1"/>
    <n v="1"/>
    <n v="21"/>
    <n v="0"/>
    <n v="2"/>
    <n v="22"/>
    <n v="0.875"/>
    <n v="0.91666666666666663"/>
    <n v="168.84"/>
    <n v="3"/>
    <n v="21"/>
    <n v="0"/>
    <n v="0"/>
    <n v="24"/>
    <n v="0.875"/>
    <n v="1"/>
    <n v="63.13"/>
    <n v="0"/>
    <n v="0"/>
    <n v="0"/>
    <n v="24"/>
    <n v="0"/>
    <n v="0"/>
    <n v="0"/>
    <n v="0"/>
    <n v="4"/>
    <n v="20"/>
    <n v="0"/>
    <n v="0"/>
    <n v="24"/>
    <n v="0.83333333333333337"/>
    <n v="1"/>
    <n v="81.88"/>
    <n v="0"/>
    <n v="20"/>
    <n v="2"/>
    <n v="2"/>
    <n v="20"/>
    <n v="0.83333333333333337"/>
    <n v="0.83333333333333337"/>
    <n v="167.59"/>
    <n v="3"/>
    <n v="21"/>
    <n v="0"/>
    <n v="0"/>
    <n v="24"/>
    <n v="0.875"/>
    <n v="1"/>
    <n v="177.63"/>
    <n v="3"/>
    <n v="21"/>
    <n v="0"/>
    <n v="0"/>
    <n v="24"/>
    <n v="0.875"/>
    <n v="1"/>
    <n v="188.93"/>
    <n v="0"/>
    <n v="21"/>
    <n v="0"/>
    <n v="3"/>
    <n v="21"/>
    <n v="0.875"/>
    <n v="0.875"/>
    <n v="171.04"/>
  </r>
  <r>
    <x v="25"/>
    <n v="0"/>
    <n v="24"/>
    <n v="0"/>
    <n v="0"/>
    <n v="24"/>
    <n v="1"/>
    <n v="1"/>
    <n v="207.4"/>
    <n v="0"/>
    <n v="15"/>
    <n v="4"/>
    <n v="5"/>
    <n v="15"/>
    <n v="0.625"/>
    <n v="0.625"/>
    <n v="122.3"/>
    <n v="0"/>
    <n v="24"/>
    <n v="0"/>
    <n v="0"/>
    <n v="24"/>
    <n v="1"/>
    <n v="1"/>
    <n v="207.12"/>
    <n v="0"/>
    <n v="24"/>
    <n v="0"/>
    <n v="0"/>
    <n v="24"/>
    <n v="1"/>
    <n v="1"/>
    <n v="70.16"/>
    <n v="0"/>
    <n v="0"/>
    <n v="0"/>
    <n v="24"/>
    <n v="0"/>
    <n v="0"/>
    <n v="0"/>
    <n v="0"/>
    <n v="2"/>
    <n v="22"/>
    <n v="0"/>
    <n v="0"/>
    <n v="24"/>
    <n v="0.91666666666666663"/>
    <n v="1"/>
    <n v="116.66"/>
    <n v="0"/>
    <n v="24"/>
    <n v="0"/>
    <n v="0"/>
    <n v="24"/>
    <n v="1"/>
    <n v="1"/>
    <n v="207.53"/>
    <n v="0"/>
    <n v="24"/>
    <n v="0"/>
    <n v="0"/>
    <n v="24"/>
    <n v="1"/>
    <n v="1"/>
    <n v="205.47"/>
    <n v="0"/>
    <n v="24"/>
    <n v="0"/>
    <n v="0"/>
    <n v="24"/>
    <n v="1"/>
    <n v="1"/>
    <n v="210.66"/>
    <n v="0"/>
    <n v="24"/>
    <n v="0"/>
    <n v="0"/>
    <n v="24"/>
    <n v="1"/>
    <n v="1"/>
    <n v="212.64"/>
  </r>
  <r>
    <x v="26"/>
    <n v="0"/>
    <n v="24"/>
    <n v="0"/>
    <n v="0"/>
    <n v="24"/>
    <n v="1"/>
    <n v="1"/>
    <n v="207.6"/>
    <n v="0"/>
    <n v="24"/>
    <n v="0"/>
    <n v="0"/>
    <n v="24"/>
    <n v="1"/>
    <n v="1"/>
    <n v="208.2"/>
    <n v="0"/>
    <n v="24"/>
    <n v="0"/>
    <n v="0"/>
    <n v="24"/>
    <n v="1"/>
    <n v="1"/>
    <n v="210.12"/>
    <n v="0"/>
    <n v="24"/>
    <n v="0"/>
    <n v="0"/>
    <n v="24"/>
    <n v="1"/>
    <n v="1"/>
    <n v="69.52"/>
    <n v="0"/>
    <n v="0"/>
    <n v="0"/>
    <n v="24"/>
    <n v="0"/>
    <n v="0"/>
    <n v="0"/>
    <n v="0"/>
    <n v="1"/>
    <n v="23"/>
    <n v="0"/>
    <n v="0"/>
    <n v="24"/>
    <n v="0.95833333333333337"/>
    <n v="1"/>
    <n v="139.44"/>
    <n v="0"/>
    <n v="24"/>
    <n v="0"/>
    <n v="0"/>
    <n v="24"/>
    <n v="1"/>
    <n v="1"/>
    <n v="211.98"/>
    <n v="0"/>
    <n v="24"/>
    <n v="0"/>
    <n v="0"/>
    <n v="24"/>
    <n v="1"/>
    <n v="1"/>
    <n v="209.83"/>
    <n v="0"/>
    <n v="24"/>
    <n v="0"/>
    <n v="0"/>
    <n v="24"/>
    <n v="1"/>
    <n v="1"/>
    <n v="205.23"/>
    <n v="4"/>
    <n v="14"/>
    <n v="0"/>
    <n v="6"/>
    <n v="18"/>
    <n v="0.58333333333333337"/>
    <n v="0.75"/>
    <n v="107.41"/>
  </r>
  <r>
    <x v="27"/>
    <n v="0"/>
    <n v="24"/>
    <n v="0"/>
    <n v="0"/>
    <n v="24"/>
    <n v="1"/>
    <n v="1"/>
    <n v="189"/>
    <n v="0"/>
    <n v="24"/>
    <n v="0"/>
    <n v="0"/>
    <n v="24"/>
    <n v="1"/>
    <n v="1"/>
    <n v="187.6"/>
    <n v="0"/>
    <n v="21"/>
    <n v="0"/>
    <n v="3"/>
    <n v="21"/>
    <n v="0.875"/>
    <n v="0.875"/>
    <n v="163.06"/>
    <n v="3"/>
    <n v="20"/>
    <n v="0"/>
    <n v="1"/>
    <n v="23"/>
    <n v="0.83333333333333337"/>
    <n v="0.95833333333333337"/>
    <n v="57.13"/>
    <n v="0"/>
    <n v="0"/>
    <n v="0"/>
    <n v="24"/>
    <n v="0"/>
    <n v="0"/>
    <n v="0"/>
    <n v="0"/>
    <n v="6"/>
    <n v="0"/>
    <n v="18"/>
    <n v="0"/>
    <n v="6"/>
    <n v="0"/>
    <n v="0.25"/>
    <n v="0.11"/>
    <n v="0"/>
    <n v="24"/>
    <n v="0"/>
    <n v="0"/>
    <n v="24"/>
    <n v="1"/>
    <n v="1"/>
    <n v="189.83"/>
    <n v="0"/>
    <n v="24"/>
    <n v="0"/>
    <n v="0"/>
    <n v="24"/>
    <n v="1"/>
    <n v="1"/>
    <n v="190.73"/>
    <n v="0"/>
    <n v="24"/>
    <n v="0"/>
    <n v="0"/>
    <n v="24"/>
    <n v="1"/>
    <n v="1"/>
    <n v="189.99"/>
    <n v="0"/>
    <n v="24"/>
    <n v="0"/>
    <n v="0"/>
    <n v="24"/>
    <n v="1"/>
    <n v="1"/>
    <n v="188.26"/>
  </r>
  <r>
    <x v="28"/>
    <n v="3"/>
    <n v="21"/>
    <n v="0"/>
    <n v="0"/>
    <n v="24"/>
    <n v="0.875"/>
    <n v="1"/>
    <n v="179.3"/>
    <n v="6"/>
    <n v="18"/>
    <n v="0"/>
    <n v="0"/>
    <n v="24"/>
    <n v="0.75"/>
    <n v="1"/>
    <n v="156.1"/>
    <n v="6"/>
    <n v="18"/>
    <n v="0"/>
    <n v="0"/>
    <n v="24"/>
    <n v="0.75"/>
    <n v="1"/>
    <n v="121.34"/>
    <n v="7"/>
    <n v="17"/>
    <n v="0"/>
    <n v="0"/>
    <n v="24"/>
    <n v="0.70833333333333337"/>
    <n v="1"/>
    <n v="57.24"/>
    <n v="0"/>
    <n v="0"/>
    <n v="0"/>
    <n v="24"/>
    <n v="0"/>
    <n v="0"/>
    <n v="0"/>
    <n v="0"/>
    <n v="7"/>
    <n v="17"/>
    <n v="0"/>
    <n v="0"/>
    <n v="24"/>
    <n v="0.70833333333333337"/>
    <n v="1"/>
    <n v="59.01"/>
    <n v="5"/>
    <n v="17"/>
    <n v="2"/>
    <n v="0"/>
    <n v="22"/>
    <n v="0.70833333333333337"/>
    <n v="0.91666666666666663"/>
    <n v="151.05000000000001"/>
    <n v="6"/>
    <n v="0"/>
    <n v="16"/>
    <n v="2"/>
    <n v="6"/>
    <n v="0"/>
    <n v="0.25"/>
    <n v="0.03"/>
    <n v="6"/>
    <n v="18"/>
    <n v="0"/>
    <n v="0"/>
    <n v="24"/>
    <n v="0.75"/>
    <n v="1"/>
    <n v="157.49"/>
    <n v="4"/>
    <n v="20"/>
    <n v="0"/>
    <n v="0"/>
    <n v="24"/>
    <n v="0.83333333333333337"/>
    <n v="1"/>
    <n v="176.61"/>
  </r>
  <r>
    <x v="29"/>
    <n v="0"/>
    <n v="22"/>
    <n v="0"/>
    <n v="2"/>
    <n v="22"/>
    <n v="0.91666666666666663"/>
    <n v="0.91666666666666663"/>
    <n v="195.9"/>
    <n v="4"/>
    <n v="20"/>
    <n v="0"/>
    <n v="0"/>
    <n v="24"/>
    <n v="0.83333333333333337"/>
    <n v="1"/>
    <n v="169.4"/>
    <n v="3"/>
    <n v="21"/>
    <n v="0"/>
    <n v="0"/>
    <n v="24"/>
    <n v="0.875"/>
    <n v="1"/>
    <n v="146.94"/>
    <n v="6"/>
    <n v="18"/>
    <n v="0"/>
    <n v="0"/>
    <n v="24"/>
    <n v="0.75"/>
    <n v="1"/>
    <n v="58.17"/>
    <n v="0"/>
    <n v="0"/>
    <n v="0"/>
    <n v="24"/>
    <n v="0"/>
    <n v="0"/>
    <n v="0"/>
    <n v="0"/>
    <n v="4"/>
    <n v="18"/>
    <n v="0"/>
    <n v="2"/>
    <n v="22"/>
    <n v="0.75"/>
    <n v="0.91666666666666663"/>
    <n v="51.1"/>
    <n v="4"/>
    <n v="20"/>
    <n v="0"/>
    <n v="0"/>
    <n v="24"/>
    <n v="0.83333333333333337"/>
    <n v="1"/>
    <n v="170.43"/>
    <n v="3"/>
    <n v="21"/>
    <n v="0"/>
    <n v="0"/>
    <n v="24"/>
    <n v="0.875"/>
    <n v="1"/>
    <n v="183.66"/>
    <n v="0"/>
    <n v="21"/>
    <n v="3"/>
    <n v="0"/>
    <n v="21"/>
    <n v="0.875"/>
    <n v="0.875"/>
    <n v="177.04"/>
    <n v="1"/>
    <n v="23"/>
    <n v="0"/>
    <n v="0"/>
    <n v="24"/>
    <n v="0.95833333333333337"/>
    <n v="1"/>
    <n v="197.75"/>
  </r>
  <r>
    <x v="30"/>
    <n v="1"/>
    <n v="23"/>
    <n v="0"/>
    <n v="0"/>
    <n v="24"/>
    <n v="0.95833333333333337"/>
    <n v="1"/>
    <n v="182"/>
    <n v="0"/>
    <n v="24"/>
    <n v="0"/>
    <n v="0"/>
    <n v="24"/>
    <n v="1"/>
    <n v="1"/>
    <n v="204.7"/>
    <n v="0"/>
    <n v="24"/>
    <n v="0"/>
    <n v="0"/>
    <n v="24"/>
    <n v="1"/>
    <n v="1"/>
    <n v="164.99"/>
    <n v="0"/>
    <n v="24"/>
    <n v="0"/>
    <n v="0"/>
    <n v="24"/>
    <n v="1"/>
    <n v="1"/>
    <n v="79.33"/>
    <n v="0"/>
    <n v="0"/>
    <n v="0"/>
    <n v="24"/>
    <n v="0"/>
    <n v="0"/>
    <n v="0"/>
    <n v="0"/>
    <n v="2"/>
    <n v="20"/>
    <n v="0"/>
    <n v="2"/>
    <n v="22"/>
    <n v="0.83333333333333337"/>
    <n v="0.91666666666666663"/>
    <n v="82.92"/>
    <n v="0"/>
    <n v="24"/>
    <n v="0"/>
    <n v="0"/>
    <n v="24"/>
    <n v="1"/>
    <n v="1"/>
    <n v="211.62"/>
    <n v="0"/>
    <n v="24"/>
    <n v="0"/>
    <n v="0"/>
    <n v="24"/>
    <n v="1"/>
    <n v="1"/>
    <n v="209.38"/>
    <n v="1"/>
    <n v="23"/>
    <n v="0"/>
    <n v="0"/>
    <n v="24"/>
    <n v="0.95833333333333337"/>
    <n v="1"/>
    <n v="213.93"/>
    <n v="0"/>
    <n v="24"/>
    <n v="0"/>
    <n v="0"/>
    <n v="24"/>
    <n v="1"/>
    <n v="1"/>
    <n v="208.45"/>
  </r>
  <r>
    <x v="31"/>
    <n v="0"/>
    <n v="24"/>
    <n v="0"/>
    <n v="0"/>
    <n v="24"/>
    <n v="1"/>
    <n v="1"/>
    <n v="194"/>
    <n v="0"/>
    <n v="24"/>
    <n v="0"/>
    <n v="0"/>
    <n v="24"/>
    <n v="1"/>
    <n v="1"/>
    <n v="188.8"/>
    <n v="2"/>
    <n v="22"/>
    <n v="0"/>
    <n v="0"/>
    <n v="24"/>
    <n v="0.91666666666666663"/>
    <n v="1"/>
    <n v="177.96"/>
    <n v="6"/>
    <n v="6"/>
    <n v="5"/>
    <n v="7"/>
    <n v="12"/>
    <n v="0.25"/>
    <n v="0.5"/>
    <n v="21.12"/>
    <n v="0"/>
    <n v="0"/>
    <n v="0"/>
    <n v="24"/>
    <n v="0"/>
    <n v="0"/>
    <n v="0"/>
    <n v="0"/>
    <n v="0"/>
    <n v="22"/>
    <n v="0"/>
    <n v="2"/>
    <n v="22"/>
    <n v="0.91666666666666663"/>
    <n v="0.91666666666666663"/>
    <n v="122.69"/>
    <n v="0"/>
    <n v="24"/>
    <n v="0"/>
    <n v="0"/>
    <n v="24"/>
    <n v="1"/>
    <n v="1"/>
    <n v="197.27"/>
    <n v="0"/>
    <n v="24"/>
    <n v="0"/>
    <n v="0"/>
    <n v="24"/>
    <n v="1"/>
    <n v="1"/>
    <n v="192.51"/>
    <n v="0"/>
    <n v="24"/>
    <n v="0"/>
    <n v="0"/>
    <n v="24"/>
    <n v="1"/>
    <n v="1"/>
    <n v="193.36"/>
    <n v="0"/>
    <n v="24"/>
    <n v="0"/>
    <n v="0"/>
    <n v="24"/>
    <n v="1"/>
    <n v="1"/>
    <n v="193.88"/>
  </r>
  <r>
    <x v="32"/>
    <n v="2"/>
    <n v="22"/>
    <n v="0"/>
    <n v="0"/>
    <n v="24"/>
    <n v="0.91666666666666663"/>
    <n v="1"/>
    <n v="156.9"/>
    <n v="5"/>
    <n v="19"/>
    <n v="0"/>
    <n v="0"/>
    <n v="24"/>
    <n v="0.79166666666666663"/>
    <n v="1"/>
    <n v="134.5"/>
    <n v="4"/>
    <n v="20"/>
    <n v="0"/>
    <n v="0"/>
    <n v="24"/>
    <n v="0.83333333333333337"/>
    <n v="1"/>
    <n v="128.84"/>
    <n v="9"/>
    <n v="15"/>
    <n v="0"/>
    <n v="0"/>
    <n v="24"/>
    <n v="0.625"/>
    <n v="1"/>
    <n v="97.93"/>
    <n v="0"/>
    <n v="0"/>
    <n v="0"/>
    <n v="24"/>
    <n v="0"/>
    <n v="0"/>
    <n v="0"/>
    <n v="0"/>
    <n v="4"/>
    <n v="20"/>
    <n v="0"/>
    <n v="0"/>
    <n v="24"/>
    <n v="0.83333333333333337"/>
    <n v="1"/>
    <n v="144.77000000000001"/>
    <n v="4"/>
    <n v="20"/>
    <n v="0"/>
    <n v="0"/>
    <n v="24"/>
    <n v="0.83333333333333337"/>
    <n v="1"/>
    <n v="144.13"/>
    <n v="6"/>
    <n v="16"/>
    <n v="0"/>
    <n v="2"/>
    <n v="22"/>
    <n v="0.66666666666666663"/>
    <n v="0.91666666666666663"/>
    <n v="100.95"/>
    <n v="3"/>
    <n v="21"/>
    <n v="0"/>
    <n v="0"/>
    <n v="24"/>
    <n v="0.875"/>
    <n v="1"/>
    <n v="145.65"/>
    <n v="4"/>
    <n v="16"/>
    <n v="0"/>
    <n v="4"/>
    <n v="20"/>
    <n v="0.66666666666666663"/>
    <n v="0.83333333333333337"/>
    <n v="108.75"/>
  </r>
  <r>
    <x v="33"/>
    <n v="2"/>
    <n v="22"/>
    <n v="0"/>
    <n v="0"/>
    <n v="24"/>
    <n v="0.91666666666666663"/>
    <n v="1"/>
    <n v="172.4"/>
    <n v="5"/>
    <n v="19"/>
    <n v="0"/>
    <n v="0"/>
    <n v="24"/>
    <n v="0.79166666666666663"/>
    <n v="1"/>
    <n v="127"/>
    <n v="7"/>
    <n v="17"/>
    <n v="0"/>
    <n v="0"/>
    <n v="24"/>
    <n v="0.70833333333333337"/>
    <n v="1"/>
    <n v="122.4"/>
    <n v="5"/>
    <n v="19"/>
    <n v="0"/>
    <n v="0"/>
    <n v="24"/>
    <n v="0.79166666666666663"/>
    <n v="1"/>
    <n v="144.35"/>
    <n v="0"/>
    <n v="0"/>
    <n v="0"/>
    <n v="24"/>
    <n v="0"/>
    <n v="0"/>
    <n v="0"/>
    <n v="0"/>
    <n v="0"/>
    <n v="20"/>
    <n v="0"/>
    <n v="4"/>
    <n v="20"/>
    <n v="0.83333333333333337"/>
    <n v="0.83333333333333337"/>
    <n v="144.11000000000001"/>
    <n v="4"/>
    <n v="20"/>
    <n v="0"/>
    <n v="0"/>
    <n v="24"/>
    <n v="0.83333333333333337"/>
    <n v="1"/>
    <n v="149.80000000000001"/>
    <n v="3"/>
    <n v="21"/>
    <n v="0"/>
    <n v="0"/>
    <n v="24"/>
    <n v="0.875"/>
    <n v="1"/>
    <n v="158.72"/>
    <n v="4"/>
    <n v="20"/>
    <n v="0"/>
    <n v="0"/>
    <n v="24"/>
    <n v="0.83333333333333337"/>
    <n v="1"/>
    <n v="150.4"/>
    <n v="1"/>
    <n v="23"/>
    <n v="0"/>
    <n v="0"/>
    <n v="24"/>
    <n v="0.95833333333333337"/>
    <n v="1"/>
    <n v="176.25"/>
  </r>
  <r>
    <x v="34"/>
    <n v="2"/>
    <n v="22"/>
    <n v="0"/>
    <n v="0"/>
    <n v="24"/>
    <n v="0.91666666666666663"/>
    <n v="1"/>
    <n v="167.1"/>
    <n v="7"/>
    <n v="17"/>
    <n v="0"/>
    <n v="0"/>
    <n v="24"/>
    <n v="0.70833333333333337"/>
    <n v="1"/>
    <n v="129.80000000000001"/>
    <n v="6"/>
    <n v="17"/>
    <n v="0"/>
    <n v="1"/>
    <n v="23"/>
    <n v="0.70833333333333337"/>
    <n v="0.95833333333333337"/>
    <n v="120.64"/>
    <n v="5"/>
    <n v="19"/>
    <n v="0"/>
    <n v="0"/>
    <n v="24"/>
    <n v="0.79166666666666663"/>
    <n v="1"/>
    <n v="149.56"/>
    <n v="0"/>
    <n v="0"/>
    <n v="0"/>
    <n v="24"/>
    <n v="0"/>
    <n v="0"/>
    <n v="0"/>
    <n v="0"/>
    <n v="5"/>
    <n v="19"/>
    <n v="0"/>
    <n v="0"/>
    <n v="24"/>
    <n v="0.79166666666666663"/>
    <n v="1"/>
    <n v="150.91"/>
    <n v="1"/>
    <n v="19"/>
    <n v="4"/>
    <n v="0"/>
    <n v="20"/>
    <n v="0.79166666666666663"/>
    <n v="0.83333333333333337"/>
    <n v="145.33000000000001"/>
    <n v="3"/>
    <n v="21"/>
    <n v="0"/>
    <n v="0"/>
    <n v="24"/>
    <n v="0.875"/>
    <n v="1"/>
    <n v="159.4"/>
    <n v="2"/>
    <n v="20"/>
    <n v="0"/>
    <n v="2"/>
    <n v="22"/>
    <n v="0.83333333333333337"/>
    <n v="0.91666666666666663"/>
    <n v="154.06"/>
    <n v="2"/>
    <n v="16"/>
    <n v="6"/>
    <n v="0"/>
    <n v="18"/>
    <n v="0.66666666666666663"/>
    <n v="0.75"/>
    <n v="112.57"/>
  </r>
  <r>
    <x v="35"/>
    <n v="4"/>
    <n v="19"/>
    <n v="0"/>
    <n v="1"/>
    <n v="23"/>
    <n v="0.79166666666666663"/>
    <n v="0.95833333333333337"/>
    <n v="146.19999999999999"/>
    <n v="11"/>
    <n v="13"/>
    <n v="0"/>
    <n v="0"/>
    <n v="24"/>
    <n v="0.54166666666666663"/>
    <n v="1"/>
    <n v="93.4"/>
    <n v="9"/>
    <n v="15"/>
    <n v="0"/>
    <n v="0"/>
    <n v="24"/>
    <n v="0.625"/>
    <n v="1"/>
    <n v="94.23"/>
    <n v="6"/>
    <n v="18"/>
    <n v="0"/>
    <n v="0"/>
    <n v="24"/>
    <n v="0.75"/>
    <n v="1"/>
    <n v="132.91999999999999"/>
    <n v="0"/>
    <n v="0"/>
    <n v="0"/>
    <n v="24"/>
    <n v="0"/>
    <n v="0"/>
    <n v="0"/>
    <n v="0"/>
    <n v="7"/>
    <n v="17"/>
    <n v="0"/>
    <n v="0"/>
    <n v="24"/>
    <n v="0.70833333333333337"/>
    <n v="1"/>
    <n v="121.06"/>
    <n v="0"/>
    <n v="14"/>
    <n v="10"/>
    <n v="0"/>
    <n v="14"/>
    <n v="0.58333333333333337"/>
    <n v="0.58333333333333337"/>
    <n v="91.71"/>
    <n v="8"/>
    <n v="16"/>
    <n v="0"/>
    <n v="0"/>
    <n v="24"/>
    <n v="0.66666666666666663"/>
    <n v="1"/>
    <n v="131.16999999999999"/>
    <n v="8"/>
    <n v="16"/>
    <n v="0"/>
    <n v="0"/>
    <n v="24"/>
    <n v="0.66666666666666663"/>
    <n v="1"/>
    <n v="124.86"/>
    <n v="5"/>
    <n v="19"/>
    <n v="0"/>
    <n v="0"/>
    <n v="24"/>
    <n v="0.79166666666666663"/>
    <n v="1"/>
    <n v="152.29"/>
  </r>
  <r>
    <x v="36"/>
    <n v="5"/>
    <n v="19"/>
    <n v="0"/>
    <n v="0"/>
    <n v="24"/>
    <n v="0.79166666666666663"/>
    <n v="1"/>
    <n v="143.5"/>
    <n v="5"/>
    <n v="17"/>
    <n v="2"/>
    <n v="0"/>
    <n v="22"/>
    <n v="0.70833333333333337"/>
    <n v="0.91666666666666663"/>
    <n v="117.1"/>
    <n v="4"/>
    <n v="20"/>
    <n v="0"/>
    <n v="0"/>
    <n v="24"/>
    <n v="0.83333333333333337"/>
    <n v="1"/>
    <n v="134.96"/>
    <n v="5"/>
    <n v="19"/>
    <n v="0"/>
    <n v="0"/>
    <n v="24"/>
    <n v="0.79166666666666663"/>
    <n v="1"/>
    <n v="143.63999999999999"/>
    <n v="0"/>
    <n v="0"/>
    <n v="0"/>
    <n v="24"/>
    <n v="0"/>
    <n v="0"/>
    <n v="0"/>
    <n v="0"/>
    <n v="5"/>
    <n v="19"/>
    <n v="0"/>
    <n v="0"/>
    <n v="24"/>
    <n v="0.79166666666666663"/>
    <n v="1"/>
    <n v="147.81"/>
    <n v="7"/>
    <n v="17"/>
    <n v="0"/>
    <n v="0"/>
    <n v="24"/>
    <n v="0.70833333333333337"/>
    <n v="1"/>
    <n v="134.13"/>
    <n v="6"/>
    <n v="18"/>
    <n v="0"/>
    <n v="0"/>
    <n v="24"/>
    <n v="0.75"/>
    <n v="1"/>
    <n v="146.41999999999999"/>
    <n v="5"/>
    <n v="19"/>
    <n v="0"/>
    <n v="0"/>
    <n v="24"/>
    <n v="0.79166666666666663"/>
    <n v="1"/>
    <n v="151.34"/>
    <n v="3"/>
    <n v="21"/>
    <n v="0"/>
    <n v="0"/>
    <n v="24"/>
    <n v="0.875"/>
    <n v="1"/>
    <n v="174.81"/>
  </r>
  <r>
    <x v="37"/>
    <n v="3"/>
    <n v="17"/>
    <n v="4"/>
    <n v="0"/>
    <n v="20"/>
    <n v="0.70833333333333337"/>
    <n v="0.83333333333333337"/>
    <n v="118.5"/>
    <n v="1"/>
    <n v="23"/>
    <n v="0"/>
    <n v="0"/>
    <n v="24"/>
    <n v="0.95833333333333337"/>
    <n v="1"/>
    <n v="185.5"/>
    <n v="0"/>
    <n v="24"/>
    <n v="0"/>
    <n v="0"/>
    <n v="24"/>
    <n v="1"/>
    <n v="1"/>
    <n v="150.33000000000001"/>
    <n v="0"/>
    <n v="24"/>
    <n v="0"/>
    <n v="0"/>
    <n v="24"/>
    <n v="1"/>
    <n v="1"/>
    <n v="187.24"/>
    <n v="0"/>
    <n v="0"/>
    <n v="0"/>
    <n v="24"/>
    <n v="0"/>
    <n v="0"/>
    <n v="0"/>
    <n v="0"/>
    <n v="0"/>
    <n v="24"/>
    <n v="0"/>
    <n v="0"/>
    <n v="24"/>
    <n v="1"/>
    <n v="1"/>
    <n v="188.19"/>
    <n v="0"/>
    <n v="24"/>
    <n v="0"/>
    <n v="0"/>
    <n v="24"/>
    <n v="1"/>
    <n v="1"/>
    <n v="188.91"/>
    <n v="0"/>
    <n v="24"/>
    <n v="0"/>
    <n v="0"/>
    <n v="24"/>
    <n v="1"/>
    <n v="1"/>
    <n v="188.58"/>
    <n v="0"/>
    <n v="24"/>
    <n v="0"/>
    <n v="0"/>
    <n v="24"/>
    <n v="1"/>
    <n v="1"/>
    <n v="188.79"/>
    <n v="0"/>
    <n v="24"/>
    <n v="0"/>
    <n v="0"/>
    <n v="24"/>
    <n v="1"/>
    <n v="1"/>
    <n v="191.79"/>
  </r>
  <r>
    <x v="38"/>
    <n v="2"/>
    <n v="22"/>
    <n v="0"/>
    <n v="0"/>
    <n v="24"/>
    <n v="0.91666666666666663"/>
    <n v="1"/>
    <n v="168.4"/>
    <n v="0"/>
    <n v="24"/>
    <n v="0"/>
    <n v="0"/>
    <n v="24"/>
    <n v="1"/>
    <n v="1"/>
    <n v="187.8"/>
    <n v="0"/>
    <n v="24"/>
    <n v="0"/>
    <n v="0"/>
    <n v="24"/>
    <n v="1"/>
    <n v="1"/>
    <n v="163.21"/>
    <n v="0"/>
    <n v="24"/>
    <n v="0"/>
    <n v="0"/>
    <n v="24"/>
    <n v="1"/>
    <n v="1"/>
    <n v="182.19"/>
    <n v="0"/>
    <n v="0"/>
    <n v="0"/>
    <n v="24"/>
    <n v="0"/>
    <n v="0"/>
    <n v="0"/>
    <n v="0"/>
    <n v="1"/>
    <n v="19"/>
    <n v="4"/>
    <n v="0"/>
    <n v="20"/>
    <n v="0.79166666666666663"/>
    <n v="0.83333333333333337"/>
    <n v="146.53"/>
    <n v="0"/>
    <n v="24"/>
    <n v="0"/>
    <n v="0"/>
    <n v="24"/>
    <n v="1"/>
    <n v="1"/>
    <n v="189.01"/>
    <n v="0"/>
    <n v="24"/>
    <n v="0"/>
    <n v="0"/>
    <n v="24"/>
    <n v="1"/>
    <n v="1"/>
    <n v="184.65"/>
    <n v="0"/>
    <n v="24"/>
    <n v="0"/>
    <n v="0"/>
    <n v="24"/>
    <n v="1"/>
    <n v="1"/>
    <n v="184.83"/>
    <n v="0"/>
    <n v="24"/>
    <n v="0"/>
    <n v="0"/>
    <n v="24"/>
    <n v="1"/>
    <n v="1"/>
    <n v="183.46"/>
  </r>
  <r>
    <x v="39"/>
    <n v="0"/>
    <n v="24"/>
    <n v="0"/>
    <n v="0"/>
    <n v="24"/>
    <n v="1"/>
    <n v="1"/>
    <n v="183"/>
    <n v="0"/>
    <n v="24"/>
    <n v="0"/>
    <n v="0"/>
    <n v="24"/>
    <n v="1"/>
    <n v="1"/>
    <n v="188.2"/>
    <n v="0"/>
    <n v="24"/>
    <n v="0"/>
    <n v="0"/>
    <n v="24"/>
    <n v="1"/>
    <n v="1"/>
    <n v="166.44"/>
    <n v="0"/>
    <n v="24"/>
    <n v="0"/>
    <n v="0"/>
    <n v="24"/>
    <n v="1"/>
    <n v="1"/>
    <n v="180.58"/>
    <n v="0"/>
    <n v="0"/>
    <n v="7"/>
    <n v="17"/>
    <n v="0"/>
    <n v="0"/>
    <n v="0"/>
    <n v="0"/>
    <n v="0"/>
    <n v="24"/>
    <n v="0"/>
    <n v="0"/>
    <n v="24"/>
    <n v="1"/>
    <n v="1"/>
    <n v="185.07"/>
    <n v="0"/>
    <n v="24"/>
    <n v="0"/>
    <n v="0"/>
    <n v="24"/>
    <n v="1"/>
    <n v="1"/>
    <n v="190.26"/>
    <n v="0"/>
    <n v="19"/>
    <n v="5"/>
    <n v="0"/>
    <n v="19"/>
    <n v="0.79166666666666663"/>
    <n v="0.79166666666666663"/>
    <n v="139.44999999999999"/>
    <n v="0"/>
    <n v="24"/>
    <n v="0"/>
    <n v="0"/>
    <n v="24"/>
    <n v="1"/>
    <n v="1"/>
    <n v="185.09"/>
    <n v="0"/>
    <n v="24"/>
    <n v="0"/>
    <n v="0"/>
    <n v="24"/>
    <n v="1"/>
    <n v="1"/>
    <n v="180.07"/>
  </r>
  <r>
    <x v="40"/>
    <n v="2"/>
    <n v="22"/>
    <n v="0"/>
    <n v="0"/>
    <n v="24"/>
    <n v="0.91666666666666663"/>
    <n v="1"/>
    <n v="162.80000000000001"/>
    <n v="0"/>
    <n v="24"/>
    <n v="0"/>
    <n v="0"/>
    <n v="24"/>
    <n v="1"/>
    <n v="1"/>
    <n v="178.9"/>
    <n v="0"/>
    <n v="24"/>
    <n v="0"/>
    <n v="0"/>
    <n v="24"/>
    <n v="1"/>
    <n v="1"/>
    <n v="172.65"/>
    <n v="0"/>
    <n v="24"/>
    <n v="0"/>
    <n v="0"/>
    <n v="24"/>
    <n v="1"/>
    <n v="1"/>
    <n v="177.9"/>
    <n v="0"/>
    <n v="0"/>
    <n v="7"/>
    <n v="17"/>
    <n v="0"/>
    <n v="0"/>
    <n v="0"/>
    <n v="0"/>
    <n v="0"/>
    <n v="24"/>
    <n v="0"/>
    <n v="0"/>
    <n v="24"/>
    <n v="1"/>
    <n v="1"/>
    <n v="182.25"/>
    <n v="2"/>
    <n v="22"/>
    <n v="0"/>
    <n v="0"/>
    <n v="24"/>
    <n v="0.91666666666666663"/>
    <n v="1"/>
    <n v="171.64"/>
    <n v="0"/>
    <n v="24"/>
    <n v="0"/>
    <n v="0"/>
    <n v="24"/>
    <n v="1"/>
    <n v="1"/>
    <n v="182.66"/>
    <n v="0"/>
    <n v="24"/>
    <n v="0"/>
    <n v="0"/>
    <n v="24"/>
    <n v="1"/>
    <n v="1"/>
    <n v="182.49"/>
    <n v="0"/>
    <n v="24"/>
    <n v="0"/>
    <n v="0"/>
    <n v="24"/>
    <n v="1"/>
    <n v="1"/>
    <n v="183.4"/>
  </r>
  <r>
    <x v="41"/>
    <n v="0"/>
    <n v="24"/>
    <n v="0"/>
    <n v="0"/>
    <n v="24"/>
    <n v="1"/>
    <n v="1"/>
    <n v="177.7"/>
    <n v="0"/>
    <n v="24"/>
    <n v="0"/>
    <n v="0"/>
    <n v="24"/>
    <n v="1"/>
    <n v="1"/>
    <n v="183"/>
    <n v="0"/>
    <n v="24"/>
    <n v="0"/>
    <n v="0"/>
    <n v="24"/>
    <n v="1"/>
    <n v="1"/>
    <n v="174.6"/>
    <n v="0"/>
    <n v="24"/>
    <n v="0"/>
    <n v="0"/>
    <n v="24"/>
    <n v="1"/>
    <n v="1"/>
    <n v="182.76"/>
    <n v="0"/>
    <n v="0"/>
    <n v="9"/>
    <n v="15"/>
    <n v="0"/>
    <n v="0"/>
    <n v="0"/>
    <n v="0"/>
    <n v="0"/>
    <n v="24"/>
    <n v="0"/>
    <n v="0"/>
    <n v="24"/>
    <n v="1"/>
    <n v="1"/>
    <n v="181.43"/>
    <n v="0"/>
    <n v="24"/>
    <n v="0"/>
    <n v="0"/>
    <n v="24"/>
    <n v="1"/>
    <n v="1"/>
    <n v="184.62"/>
    <n v="0"/>
    <n v="24"/>
    <n v="0"/>
    <n v="0"/>
    <n v="24"/>
    <n v="1"/>
    <n v="1"/>
    <n v="180.45"/>
    <n v="6"/>
    <n v="18"/>
    <n v="0"/>
    <n v="0"/>
    <n v="24"/>
    <n v="0.75"/>
    <n v="1"/>
    <n v="134.97999999999999"/>
    <n v="0"/>
    <n v="24"/>
    <n v="0"/>
    <n v="0"/>
    <n v="24"/>
    <n v="1"/>
    <n v="1"/>
    <n v="182.72"/>
  </r>
  <r>
    <x v="42"/>
    <n v="0"/>
    <n v="24"/>
    <n v="0"/>
    <n v="0"/>
    <n v="24"/>
    <n v="1"/>
    <n v="1"/>
    <n v="181.7"/>
    <n v="0"/>
    <n v="24"/>
    <n v="0"/>
    <n v="0"/>
    <n v="24"/>
    <n v="1"/>
    <n v="1"/>
    <n v="183.6"/>
    <n v="2"/>
    <n v="18"/>
    <n v="4"/>
    <n v="0"/>
    <n v="20"/>
    <n v="0.75"/>
    <n v="0.83333333333333337"/>
    <n v="113.21"/>
    <n v="0"/>
    <n v="24"/>
    <n v="0"/>
    <n v="0"/>
    <n v="24"/>
    <n v="1"/>
    <n v="1"/>
    <n v="188.58"/>
    <n v="0"/>
    <n v="0"/>
    <n v="12"/>
    <n v="12"/>
    <n v="0"/>
    <n v="0"/>
    <n v="0"/>
    <n v="0"/>
    <n v="0"/>
    <n v="24"/>
    <n v="0"/>
    <n v="0"/>
    <n v="24"/>
    <n v="1"/>
    <n v="1"/>
    <n v="183.57"/>
    <n v="0"/>
    <n v="24"/>
    <n v="0"/>
    <n v="0"/>
    <n v="24"/>
    <n v="1"/>
    <n v="1"/>
    <n v="185.76"/>
    <n v="0"/>
    <n v="24"/>
    <n v="0"/>
    <n v="0"/>
    <n v="24"/>
    <n v="1"/>
    <n v="1"/>
    <n v="185.26"/>
    <n v="0"/>
    <n v="24"/>
    <n v="0"/>
    <n v="0"/>
    <n v="24"/>
    <n v="1"/>
    <n v="1"/>
    <n v="188.18"/>
    <n v="0"/>
    <n v="24"/>
    <n v="0"/>
    <n v="0"/>
    <n v="24"/>
    <n v="1"/>
    <n v="1"/>
    <n v="187.49"/>
  </r>
  <r>
    <x v="43"/>
    <n v="0"/>
    <n v="24"/>
    <n v="0"/>
    <n v="0"/>
    <n v="24"/>
    <n v="1"/>
    <n v="1"/>
    <n v="178.4"/>
    <n v="0"/>
    <n v="24"/>
    <n v="0"/>
    <n v="0"/>
    <n v="24"/>
    <n v="1"/>
    <n v="1"/>
    <n v="176.5"/>
    <n v="0"/>
    <n v="24"/>
    <n v="0"/>
    <n v="0"/>
    <n v="24"/>
    <n v="1"/>
    <n v="1"/>
    <n v="149.75"/>
    <n v="0"/>
    <n v="20"/>
    <n v="4"/>
    <n v="0"/>
    <n v="20"/>
    <n v="0.83333333333333337"/>
    <n v="0.83333333333333337"/>
    <n v="146.80000000000001"/>
    <n v="0"/>
    <n v="0"/>
    <n v="10"/>
    <n v="14"/>
    <n v="0"/>
    <n v="0"/>
    <n v="0"/>
    <n v="0"/>
    <n v="0"/>
    <n v="24"/>
    <n v="0"/>
    <n v="0"/>
    <n v="24"/>
    <n v="1"/>
    <n v="1"/>
    <n v="181.17"/>
    <n v="0"/>
    <n v="24"/>
    <n v="0"/>
    <n v="0"/>
    <n v="24"/>
    <n v="1"/>
    <n v="1"/>
    <n v="183.85"/>
    <n v="0"/>
    <n v="24"/>
    <n v="0"/>
    <n v="0"/>
    <n v="24"/>
    <n v="1"/>
    <n v="1"/>
    <n v="181.32"/>
    <n v="0"/>
    <n v="24"/>
    <n v="0"/>
    <n v="0"/>
    <n v="24"/>
    <n v="1"/>
    <n v="1"/>
    <n v="184.5"/>
    <n v="0"/>
    <n v="24"/>
    <n v="0"/>
    <n v="0"/>
    <n v="24"/>
    <n v="1"/>
    <n v="1"/>
    <n v="183.04"/>
  </r>
  <r>
    <x v="44"/>
    <n v="4"/>
    <n v="19"/>
    <n v="0"/>
    <n v="1"/>
    <n v="23"/>
    <n v="0.79166666666666663"/>
    <n v="0.95833333333333337"/>
    <n v="137.69999999999999"/>
    <n v="0"/>
    <n v="24"/>
    <n v="0"/>
    <n v="0"/>
    <n v="24"/>
    <n v="1"/>
    <n v="1"/>
    <n v="182.5"/>
    <n v="0"/>
    <n v="24"/>
    <n v="0"/>
    <n v="0"/>
    <n v="24"/>
    <n v="1"/>
    <n v="1"/>
    <n v="169.93"/>
    <n v="1"/>
    <n v="19"/>
    <n v="4"/>
    <n v="0"/>
    <n v="20"/>
    <n v="0.79166666666666663"/>
    <n v="0.83333333333333337"/>
    <n v="141.97"/>
    <n v="0"/>
    <n v="0"/>
    <n v="10"/>
    <n v="14"/>
    <n v="0"/>
    <n v="0"/>
    <n v="0"/>
    <n v="0"/>
    <n v="0"/>
    <n v="24"/>
    <n v="0"/>
    <n v="0"/>
    <n v="24"/>
    <n v="1"/>
    <n v="1"/>
    <n v="184.71"/>
    <n v="0"/>
    <n v="24"/>
    <n v="0"/>
    <n v="0"/>
    <n v="24"/>
    <n v="1"/>
    <n v="1"/>
    <n v="188.18"/>
    <n v="0"/>
    <n v="24"/>
    <n v="0"/>
    <n v="0"/>
    <n v="24"/>
    <n v="1"/>
    <n v="1"/>
    <n v="185.14"/>
    <n v="0"/>
    <n v="24"/>
    <n v="0"/>
    <n v="0"/>
    <n v="24"/>
    <n v="1"/>
    <n v="1"/>
    <n v="189.96"/>
    <n v="0"/>
    <n v="24"/>
    <n v="0"/>
    <n v="0"/>
    <n v="24"/>
    <n v="1"/>
    <n v="1"/>
    <n v="187.22"/>
  </r>
  <r>
    <x v="45"/>
    <n v="0"/>
    <n v="24"/>
    <n v="0"/>
    <n v="0"/>
    <n v="24"/>
    <n v="1"/>
    <n v="1"/>
    <n v="190"/>
    <n v="0"/>
    <n v="19"/>
    <n v="5"/>
    <n v="0"/>
    <n v="19"/>
    <n v="0.79166666666666663"/>
    <n v="0.79166666666666663"/>
    <n v="97.5"/>
    <n v="0"/>
    <n v="24"/>
    <n v="0"/>
    <n v="0"/>
    <n v="24"/>
    <n v="1"/>
    <n v="1"/>
    <n v="177.8"/>
    <n v="0"/>
    <n v="24"/>
    <n v="0"/>
    <n v="0"/>
    <n v="24"/>
    <n v="1"/>
    <n v="1"/>
    <n v="192.05"/>
    <n v="0"/>
    <n v="0"/>
    <n v="7"/>
    <n v="17"/>
    <n v="0"/>
    <n v="0"/>
    <n v="0"/>
    <n v="0"/>
    <n v="1"/>
    <n v="23"/>
    <n v="0"/>
    <n v="0"/>
    <n v="24"/>
    <n v="0.95833333333333337"/>
    <n v="1"/>
    <n v="193.69"/>
    <n v="0"/>
    <n v="24"/>
    <n v="0"/>
    <n v="0"/>
    <n v="24"/>
    <n v="1"/>
    <n v="1"/>
    <n v="193.87"/>
    <n v="0"/>
    <n v="24"/>
    <n v="0"/>
    <n v="0"/>
    <n v="24"/>
    <n v="1"/>
    <n v="1"/>
    <n v="193.42"/>
    <n v="0"/>
    <n v="24"/>
    <n v="0"/>
    <n v="0"/>
    <n v="24"/>
    <n v="1"/>
    <n v="1"/>
    <n v="190.45"/>
    <n v="0"/>
    <n v="20"/>
    <n v="4"/>
    <n v="0"/>
    <n v="20"/>
    <n v="0.83333333333333337"/>
    <n v="0.83333333333333337"/>
    <n v="146.84"/>
  </r>
  <r>
    <x v="46"/>
    <n v="0"/>
    <n v="24"/>
    <n v="0"/>
    <n v="0"/>
    <n v="24"/>
    <n v="1"/>
    <n v="1"/>
    <n v="174.9"/>
    <n v="0"/>
    <n v="0"/>
    <n v="0"/>
    <n v="24"/>
    <n v="0"/>
    <n v="0"/>
    <n v="0"/>
    <n v="0"/>
    <n v="0"/>
    <n v="24"/>
    <n v="0"/>
    <n v="0"/>
    <n v="24"/>
    <n v="1"/>
    <n v="1"/>
    <n v="159.97999999999999"/>
    <n v="0"/>
    <n v="24"/>
    <n v="0"/>
    <n v="0"/>
    <n v="24"/>
    <n v="1"/>
    <n v="1"/>
    <n v="178.69"/>
    <n v="0"/>
    <n v="0"/>
    <n v="0"/>
    <n v="24"/>
    <n v="0"/>
    <n v="0"/>
    <n v="0"/>
    <n v="0"/>
    <n v="0"/>
    <n v="24"/>
    <n v="0"/>
    <n v="0"/>
    <n v="24"/>
    <n v="1"/>
    <n v="1"/>
    <n v="171.36"/>
    <n v="3"/>
    <n v="21"/>
    <n v="0"/>
    <n v="0"/>
    <n v="24"/>
    <n v="0.875"/>
    <n v="1"/>
    <n v="146.19999999999999"/>
    <n v="0"/>
    <n v="24"/>
    <n v="0"/>
    <n v="0"/>
    <n v="24"/>
    <n v="1"/>
    <n v="1"/>
    <n v="176.86"/>
    <n v="0"/>
    <n v="24"/>
    <n v="0"/>
    <n v="0"/>
    <n v="24"/>
    <n v="1"/>
    <n v="1"/>
    <n v="176.66"/>
    <n v="0"/>
    <n v="24"/>
    <n v="0"/>
    <n v="0"/>
    <n v="24"/>
    <n v="1"/>
    <n v="1"/>
    <n v="175.58"/>
  </r>
  <r>
    <x v="47"/>
    <n v="0"/>
    <n v="0"/>
    <n v="8"/>
    <n v="16"/>
    <n v="0"/>
    <n v="0"/>
    <n v="0"/>
    <n v="0.5"/>
    <n v="0"/>
    <n v="24"/>
    <n v="0"/>
    <n v="0"/>
    <n v="24"/>
    <n v="1"/>
    <n v="1"/>
    <n v="164"/>
    <n v="0"/>
    <n v="24"/>
    <n v="0"/>
    <n v="0"/>
    <n v="24"/>
    <n v="1"/>
    <n v="1"/>
    <n v="156.25"/>
    <n v="0"/>
    <n v="24"/>
    <n v="0"/>
    <n v="0"/>
    <n v="24"/>
    <n v="1"/>
    <n v="1"/>
    <n v="177.32"/>
    <n v="0"/>
    <n v="0"/>
    <n v="0"/>
    <n v="24"/>
    <n v="0"/>
    <n v="0"/>
    <n v="0"/>
    <n v="0"/>
    <n v="0"/>
    <n v="24"/>
    <n v="0"/>
    <n v="0"/>
    <n v="24"/>
    <n v="1"/>
    <n v="1"/>
    <n v="178.25"/>
    <n v="1"/>
    <n v="23"/>
    <n v="0"/>
    <n v="0"/>
    <n v="24"/>
    <n v="0.95833333333333337"/>
    <n v="1"/>
    <n v="171.05"/>
    <n v="0"/>
    <n v="24"/>
    <n v="0"/>
    <n v="0"/>
    <n v="24"/>
    <n v="1"/>
    <n v="1"/>
    <n v="174.1"/>
    <n v="3"/>
    <n v="21"/>
    <n v="0"/>
    <n v="0"/>
    <n v="24"/>
    <n v="0.875"/>
    <n v="1"/>
    <n v="148.29"/>
    <n v="0"/>
    <n v="24"/>
    <n v="0"/>
    <n v="0"/>
    <n v="24"/>
    <n v="1"/>
    <n v="1"/>
    <n v="177.61"/>
  </r>
  <r>
    <x v="48"/>
    <n v="0"/>
    <n v="24"/>
    <n v="0"/>
    <n v="0"/>
    <n v="24"/>
    <n v="1"/>
    <n v="1"/>
    <n v="184.1"/>
    <n v="1"/>
    <n v="23"/>
    <n v="0"/>
    <n v="0"/>
    <n v="24"/>
    <n v="0.95833333333333337"/>
    <n v="1"/>
    <n v="186.4"/>
    <n v="0"/>
    <n v="24"/>
    <n v="0"/>
    <n v="0"/>
    <n v="24"/>
    <n v="1"/>
    <n v="1"/>
    <n v="176"/>
    <n v="0"/>
    <n v="24"/>
    <n v="0"/>
    <n v="0"/>
    <n v="24"/>
    <n v="1"/>
    <n v="1"/>
    <n v="185.84"/>
    <n v="0"/>
    <n v="0"/>
    <n v="6"/>
    <n v="18"/>
    <n v="0"/>
    <n v="0"/>
    <n v="0"/>
    <n v="0"/>
    <n v="0"/>
    <n v="21"/>
    <n v="3"/>
    <n v="0"/>
    <n v="21"/>
    <n v="0.875"/>
    <n v="0.875"/>
    <n v="161.77000000000001"/>
    <n v="0"/>
    <n v="20"/>
    <n v="4"/>
    <n v="0"/>
    <n v="20"/>
    <n v="0.83333333333333337"/>
    <n v="0.83333333333333337"/>
    <n v="146.05000000000001"/>
    <n v="0"/>
    <n v="24"/>
    <n v="0"/>
    <n v="0"/>
    <n v="24"/>
    <n v="1"/>
    <n v="1"/>
    <n v="179.29"/>
    <n v="0"/>
    <n v="24"/>
    <n v="0"/>
    <n v="0"/>
    <n v="24"/>
    <n v="1"/>
    <n v="1"/>
    <n v="180.4"/>
    <n v="0"/>
    <n v="24"/>
    <n v="0"/>
    <n v="0"/>
    <n v="24"/>
    <n v="1"/>
    <n v="1"/>
    <n v="183.52"/>
  </r>
  <r>
    <x v="49"/>
    <n v="0"/>
    <n v="24"/>
    <n v="0"/>
    <n v="0"/>
    <n v="24"/>
    <n v="1"/>
    <n v="1"/>
    <n v="185.9"/>
    <n v="0"/>
    <n v="24"/>
    <n v="0"/>
    <n v="0"/>
    <n v="24"/>
    <n v="1"/>
    <n v="1"/>
    <n v="188.8"/>
    <n v="0"/>
    <n v="24"/>
    <n v="0"/>
    <n v="0"/>
    <n v="24"/>
    <n v="1"/>
    <n v="1"/>
    <n v="180.95"/>
    <n v="0"/>
    <n v="24"/>
    <n v="0"/>
    <n v="0"/>
    <n v="24"/>
    <n v="1"/>
    <n v="1"/>
    <n v="183.06"/>
    <n v="0"/>
    <n v="0"/>
    <n v="11"/>
    <n v="13"/>
    <n v="0"/>
    <n v="0"/>
    <n v="0"/>
    <n v="0"/>
    <n v="3"/>
    <n v="21"/>
    <n v="0"/>
    <n v="0"/>
    <n v="24"/>
    <n v="0.875"/>
    <n v="1"/>
    <n v="147.34"/>
    <n v="0"/>
    <n v="24"/>
    <n v="0"/>
    <n v="0"/>
    <n v="24"/>
    <n v="1"/>
    <n v="1"/>
    <n v="180.47"/>
    <n v="2"/>
    <n v="22"/>
    <n v="0"/>
    <n v="0"/>
    <n v="24"/>
    <n v="0.91666666666666663"/>
    <n v="1"/>
    <n v="161.75"/>
    <n v="0"/>
    <n v="24"/>
    <n v="0"/>
    <n v="0"/>
    <n v="24"/>
    <n v="1"/>
    <n v="1"/>
    <n v="183.83"/>
    <n v="0"/>
    <n v="24"/>
    <n v="0"/>
    <n v="0"/>
    <n v="24"/>
    <n v="1"/>
    <n v="1"/>
    <n v="179.73"/>
  </r>
  <r>
    <x v="50"/>
    <n v="0"/>
    <n v="24"/>
    <n v="0"/>
    <n v="0"/>
    <n v="24"/>
    <n v="1"/>
    <n v="1"/>
    <n v="175.3"/>
    <n v="0"/>
    <n v="24"/>
    <n v="0"/>
    <n v="0"/>
    <n v="24"/>
    <n v="1"/>
    <n v="1"/>
    <n v="174.2"/>
    <n v="0"/>
    <n v="24"/>
    <n v="0"/>
    <n v="0"/>
    <n v="24"/>
    <n v="1"/>
    <n v="1"/>
    <n v="166.59"/>
    <n v="0"/>
    <n v="24"/>
    <n v="0"/>
    <n v="0"/>
    <n v="24"/>
    <n v="1"/>
    <n v="1"/>
    <n v="179.01"/>
    <n v="0"/>
    <n v="0"/>
    <n v="4"/>
    <n v="20"/>
    <n v="0"/>
    <n v="0"/>
    <n v="0"/>
    <n v="0"/>
    <n v="0"/>
    <n v="24"/>
    <n v="0"/>
    <n v="0"/>
    <n v="24"/>
    <n v="1"/>
    <n v="1"/>
    <n v="171.96"/>
    <n v="0"/>
    <n v="24"/>
    <n v="0"/>
    <n v="0"/>
    <n v="24"/>
    <n v="1"/>
    <n v="1"/>
    <n v="170.46"/>
    <n v="3"/>
    <n v="19"/>
    <n v="2"/>
    <n v="0"/>
    <n v="22"/>
    <n v="0.79166666666666663"/>
    <n v="0.91666666666666663"/>
    <n v="137.49"/>
    <n v="0"/>
    <n v="0"/>
    <n v="6"/>
    <n v="18"/>
    <n v="0"/>
    <n v="0"/>
    <n v="0"/>
    <n v="0.02"/>
    <n v="0"/>
    <n v="24"/>
    <n v="0"/>
    <n v="0"/>
    <n v="24"/>
    <n v="1"/>
    <n v="1"/>
    <n v="178.12"/>
  </r>
  <r>
    <x v="51"/>
    <n v="0"/>
    <n v="24"/>
    <n v="0"/>
    <n v="0"/>
    <n v="24"/>
    <n v="1"/>
    <n v="1"/>
    <n v="72.099999999999994"/>
    <n v="0"/>
    <n v="24"/>
    <n v="0"/>
    <n v="0"/>
    <n v="24"/>
    <n v="1"/>
    <n v="1"/>
    <n v="169.8"/>
    <n v="0"/>
    <n v="24"/>
    <n v="0"/>
    <n v="0"/>
    <n v="24"/>
    <n v="1"/>
    <n v="1"/>
    <n v="171.09"/>
    <n v="0"/>
    <n v="24"/>
    <n v="0"/>
    <n v="0"/>
    <n v="24"/>
    <n v="1"/>
    <n v="1"/>
    <n v="175.98"/>
    <n v="0"/>
    <n v="0"/>
    <n v="0"/>
    <n v="24"/>
    <n v="0"/>
    <n v="0"/>
    <n v="0"/>
    <n v="0"/>
    <n v="0"/>
    <n v="24"/>
    <n v="0"/>
    <n v="0"/>
    <n v="24"/>
    <n v="1"/>
    <n v="1"/>
    <n v="175.79"/>
    <n v="5"/>
    <n v="12"/>
    <n v="3"/>
    <n v="4"/>
    <n v="17"/>
    <n v="0.5"/>
    <n v="0.70833333333333337"/>
    <n v="77.72"/>
    <n v="2"/>
    <n v="20"/>
    <n v="2"/>
    <n v="0"/>
    <n v="22"/>
    <n v="0.83333333333333337"/>
    <n v="0.91666666666666663"/>
    <n v="142.19999999999999"/>
    <n v="3"/>
    <n v="12"/>
    <n v="3"/>
    <n v="6"/>
    <n v="15"/>
    <n v="0.5"/>
    <n v="0.625"/>
    <n v="85.58"/>
    <n v="0"/>
    <n v="24"/>
    <n v="0"/>
    <n v="0"/>
    <n v="24"/>
    <n v="1"/>
    <n v="1"/>
    <n v="176.01"/>
  </r>
  <r>
    <x v="52"/>
    <n v="0"/>
    <n v="24"/>
    <n v="0"/>
    <n v="0"/>
    <n v="24"/>
    <n v="1"/>
    <n v="1"/>
    <n v="173.8"/>
    <n v="0"/>
    <n v="24"/>
    <n v="0"/>
    <n v="0"/>
    <n v="24"/>
    <n v="1"/>
    <n v="1"/>
    <n v="173.1"/>
    <n v="1"/>
    <n v="23"/>
    <n v="0"/>
    <n v="0"/>
    <n v="24"/>
    <n v="0.95833333333333337"/>
    <n v="1"/>
    <n v="155.68"/>
    <n v="0"/>
    <n v="24"/>
    <n v="0"/>
    <n v="0"/>
    <n v="24"/>
    <n v="1"/>
    <n v="1"/>
    <n v="176.25"/>
    <n v="0"/>
    <n v="0"/>
    <n v="0"/>
    <n v="24"/>
    <n v="0"/>
    <n v="0"/>
    <n v="0"/>
    <n v="0"/>
    <n v="0"/>
    <n v="24"/>
    <n v="0"/>
    <n v="0"/>
    <n v="24"/>
    <n v="1"/>
    <n v="1"/>
    <n v="177.03"/>
    <n v="2"/>
    <n v="12"/>
    <n v="4"/>
    <n v="6"/>
    <n v="14"/>
    <n v="0.5"/>
    <n v="0.58333333333333337"/>
    <n v="84.57"/>
    <n v="0"/>
    <n v="22"/>
    <n v="0"/>
    <n v="2"/>
    <n v="22"/>
    <n v="0.91666666666666663"/>
    <n v="0.91666666666666663"/>
    <n v="157.56"/>
    <n v="0"/>
    <n v="24"/>
    <n v="0"/>
    <n v="0"/>
    <n v="24"/>
    <n v="1"/>
    <n v="1"/>
    <n v="177.34"/>
    <n v="0"/>
    <n v="24"/>
    <n v="0"/>
    <n v="0"/>
    <n v="24"/>
    <n v="1"/>
    <n v="1"/>
    <n v="179.49"/>
  </r>
  <r>
    <x v="53"/>
    <n v="0"/>
    <n v="24"/>
    <n v="0"/>
    <n v="0"/>
    <n v="24"/>
    <n v="1"/>
    <n v="1"/>
    <n v="181.5"/>
    <n v="0"/>
    <n v="24"/>
    <n v="0"/>
    <n v="0"/>
    <n v="24"/>
    <n v="1"/>
    <n v="1"/>
    <n v="178.7"/>
    <n v="0"/>
    <n v="20"/>
    <n v="4"/>
    <n v="0"/>
    <n v="20"/>
    <n v="0.83333333333333337"/>
    <n v="0.83333333333333337"/>
    <n v="141.47"/>
    <n v="0"/>
    <n v="24"/>
    <n v="0"/>
    <n v="0"/>
    <n v="24"/>
    <n v="1"/>
    <n v="1"/>
    <n v="180.96"/>
    <n v="0"/>
    <n v="0"/>
    <n v="12"/>
    <n v="12"/>
    <n v="0"/>
    <n v="0"/>
    <n v="0"/>
    <n v="0"/>
    <n v="0"/>
    <n v="24"/>
    <n v="0"/>
    <n v="0"/>
    <n v="24"/>
    <n v="1"/>
    <n v="1"/>
    <n v="181.19"/>
    <n v="0"/>
    <n v="24"/>
    <n v="0"/>
    <n v="0"/>
    <n v="24"/>
    <n v="1"/>
    <n v="1"/>
    <n v="181.87"/>
    <n v="4"/>
    <n v="20"/>
    <n v="0"/>
    <n v="0"/>
    <n v="24"/>
    <n v="0.83333333333333337"/>
    <n v="1"/>
    <n v="147.99"/>
    <n v="0"/>
    <n v="24"/>
    <n v="0"/>
    <n v="0"/>
    <n v="24"/>
    <n v="1"/>
    <n v="1"/>
    <n v="183.39"/>
    <n v="0"/>
    <n v="24"/>
    <n v="0"/>
    <n v="0"/>
    <n v="24"/>
    <n v="1"/>
    <n v="1"/>
    <n v="187.82"/>
  </r>
  <r>
    <x v="54"/>
    <n v="0"/>
    <n v="24"/>
    <n v="0"/>
    <n v="0"/>
    <n v="24"/>
    <n v="1"/>
    <n v="1"/>
    <n v="187.7"/>
    <n v="0"/>
    <n v="24"/>
    <n v="0"/>
    <n v="0"/>
    <n v="24"/>
    <n v="1"/>
    <n v="1"/>
    <n v="189.4"/>
    <n v="4"/>
    <n v="20"/>
    <n v="0"/>
    <n v="0"/>
    <n v="24"/>
    <n v="0.83333333333333337"/>
    <n v="1"/>
    <n v="141.58000000000001"/>
    <n v="0"/>
    <n v="22"/>
    <n v="2"/>
    <n v="0"/>
    <n v="22"/>
    <n v="0.91666666666666663"/>
    <n v="0.91666666666666663"/>
    <n v="169.25"/>
    <n v="0"/>
    <n v="0"/>
    <n v="4"/>
    <n v="20"/>
    <n v="0"/>
    <n v="0"/>
    <n v="0"/>
    <n v="0"/>
    <n v="1"/>
    <n v="23"/>
    <n v="0"/>
    <n v="0"/>
    <n v="24"/>
    <n v="0.95833333333333337"/>
    <n v="1"/>
    <n v="185.32"/>
    <n v="0"/>
    <n v="24"/>
    <n v="0"/>
    <n v="0"/>
    <n v="24"/>
    <n v="1"/>
    <n v="1"/>
    <n v="187.69"/>
    <n v="1"/>
    <n v="17"/>
    <n v="6"/>
    <n v="0"/>
    <n v="18"/>
    <n v="0.70833333333333337"/>
    <n v="0.75"/>
    <n v="123.3"/>
    <n v="1"/>
    <n v="23"/>
    <n v="0"/>
    <n v="0"/>
    <n v="24"/>
    <n v="0.95833333333333337"/>
    <n v="1"/>
    <n v="187.01"/>
    <n v="0"/>
    <n v="24"/>
    <n v="0"/>
    <n v="0"/>
    <n v="24"/>
    <n v="1"/>
    <n v="1"/>
    <n v="191.48"/>
  </r>
  <r>
    <x v="55"/>
    <n v="0"/>
    <n v="24"/>
    <n v="0"/>
    <n v="0"/>
    <n v="24"/>
    <n v="1"/>
    <n v="1"/>
    <n v="177.8"/>
    <n v="0"/>
    <n v="24"/>
    <n v="0"/>
    <n v="0"/>
    <n v="24"/>
    <n v="1"/>
    <n v="1"/>
    <n v="175.5"/>
    <n v="0"/>
    <n v="24"/>
    <n v="0"/>
    <n v="0"/>
    <n v="24"/>
    <n v="1"/>
    <n v="1"/>
    <n v="167.15"/>
    <n v="0"/>
    <n v="21"/>
    <n v="3"/>
    <n v="0"/>
    <n v="21"/>
    <n v="0.875"/>
    <n v="0.875"/>
    <n v="142.57"/>
    <n v="0"/>
    <n v="0"/>
    <n v="6"/>
    <n v="18"/>
    <n v="0"/>
    <n v="0"/>
    <n v="0"/>
    <n v="0"/>
    <n v="10"/>
    <n v="0"/>
    <n v="4"/>
    <n v="10"/>
    <n v="10"/>
    <n v="0"/>
    <n v="0.41666666666666669"/>
    <n v="0.01"/>
    <n v="0"/>
    <n v="24"/>
    <n v="0"/>
    <n v="0"/>
    <n v="24"/>
    <n v="1"/>
    <n v="1"/>
    <n v="177.74"/>
    <n v="2"/>
    <n v="22"/>
    <n v="0"/>
    <n v="0"/>
    <n v="24"/>
    <n v="0.91666666666666663"/>
    <n v="1"/>
    <n v="156.80000000000001"/>
    <n v="0"/>
    <n v="24"/>
    <n v="0"/>
    <n v="0"/>
    <n v="24"/>
    <n v="1"/>
    <n v="1"/>
    <n v="178.21"/>
    <n v="0"/>
    <n v="24"/>
    <n v="0"/>
    <n v="0"/>
    <n v="24"/>
    <n v="1"/>
    <n v="1"/>
    <n v="172.79"/>
  </r>
  <r>
    <x v="56"/>
    <n v="1"/>
    <n v="23"/>
    <n v="0"/>
    <n v="0"/>
    <n v="24"/>
    <n v="0.95833333333333337"/>
    <n v="1"/>
    <n v="164.7"/>
    <n v="6"/>
    <n v="18"/>
    <n v="0"/>
    <n v="0"/>
    <n v="24"/>
    <n v="0.75"/>
    <n v="1"/>
    <n v="126.2"/>
    <n v="2"/>
    <n v="22"/>
    <n v="0"/>
    <n v="0"/>
    <n v="24"/>
    <n v="0.91666666666666663"/>
    <n v="1"/>
    <n v="134"/>
    <n v="2"/>
    <n v="22"/>
    <n v="0"/>
    <n v="0"/>
    <n v="24"/>
    <n v="0.91666666666666663"/>
    <n v="1"/>
    <n v="148.35"/>
    <n v="0"/>
    <n v="0"/>
    <n v="4"/>
    <n v="20"/>
    <n v="0"/>
    <n v="0"/>
    <n v="0"/>
    <n v="0"/>
    <n v="24"/>
    <n v="0"/>
    <n v="0"/>
    <n v="0"/>
    <n v="24"/>
    <n v="0"/>
    <n v="1"/>
    <n v="0"/>
    <n v="5"/>
    <n v="19"/>
    <n v="0"/>
    <n v="0"/>
    <n v="24"/>
    <n v="0.79166666666666663"/>
    <n v="1"/>
    <n v="135.13999999999999"/>
    <n v="2"/>
    <n v="22"/>
    <n v="0"/>
    <n v="0"/>
    <n v="24"/>
    <n v="0.91666666666666663"/>
    <n v="1"/>
    <n v="147.74"/>
    <n v="0"/>
    <n v="24"/>
    <n v="0"/>
    <n v="0"/>
    <n v="24"/>
    <n v="1"/>
    <n v="1"/>
    <n v="156.76"/>
    <n v="1"/>
    <n v="19"/>
    <n v="4"/>
    <n v="0"/>
    <n v="20"/>
    <n v="0.79166666666666663"/>
    <n v="0.83333333333333337"/>
    <n v="139.25"/>
  </r>
  <r>
    <x v="57"/>
    <n v="1"/>
    <n v="19"/>
    <n v="4"/>
    <n v="0"/>
    <n v="20"/>
    <n v="0.79166666666666663"/>
    <n v="0.83333333333333337"/>
    <n v="139.1"/>
    <n v="0"/>
    <n v="24"/>
    <n v="0"/>
    <n v="0"/>
    <n v="24"/>
    <n v="1"/>
    <n v="1"/>
    <n v="180.4"/>
    <n v="0"/>
    <n v="24"/>
    <n v="0"/>
    <n v="0"/>
    <n v="24"/>
    <n v="1"/>
    <n v="1"/>
    <n v="132.18"/>
    <n v="0"/>
    <n v="24"/>
    <n v="0"/>
    <n v="0"/>
    <n v="24"/>
    <n v="1"/>
    <n v="1"/>
    <n v="181.93"/>
    <n v="0"/>
    <n v="0"/>
    <n v="0"/>
    <n v="24"/>
    <n v="0"/>
    <n v="0"/>
    <n v="0"/>
    <n v="0"/>
    <n v="24"/>
    <n v="0"/>
    <n v="0"/>
    <n v="0"/>
    <n v="24"/>
    <n v="0"/>
    <n v="1"/>
    <n v="0"/>
    <n v="1"/>
    <n v="23"/>
    <n v="0"/>
    <n v="0"/>
    <n v="24"/>
    <n v="0.95833333333333337"/>
    <n v="1"/>
    <n v="164.84"/>
    <n v="0"/>
    <n v="24"/>
    <n v="0"/>
    <n v="0"/>
    <n v="24"/>
    <n v="1"/>
    <n v="1"/>
    <n v="183.53"/>
    <n v="0"/>
    <n v="24"/>
    <n v="0"/>
    <n v="0"/>
    <n v="24"/>
    <n v="1"/>
    <n v="1"/>
    <n v="184.67"/>
    <n v="0"/>
    <n v="24"/>
    <n v="0"/>
    <n v="0"/>
    <n v="24"/>
    <n v="1"/>
    <n v="1"/>
    <n v="177.03"/>
  </r>
  <r>
    <x v="58"/>
    <n v="0"/>
    <n v="24"/>
    <n v="0"/>
    <n v="0"/>
    <n v="24"/>
    <n v="1"/>
    <n v="1"/>
    <n v="178.7"/>
    <n v="0"/>
    <n v="21"/>
    <n v="3"/>
    <n v="0"/>
    <n v="21"/>
    <n v="0.875"/>
    <n v="0.875"/>
    <n v="139.9"/>
    <n v="0"/>
    <n v="24"/>
    <n v="0"/>
    <n v="0"/>
    <n v="24"/>
    <n v="1"/>
    <n v="1"/>
    <n v="164.95"/>
    <n v="0"/>
    <n v="24"/>
    <n v="0"/>
    <n v="0"/>
    <n v="24"/>
    <n v="1"/>
    <n v="1"/>
    <n v="169.65"/>
    <n v="0"/>
    <n v="0"/>
    <n v="0"/>
    <n v="24"/>
    <n v="0"/>
    <n v="0"/>
    <n v="0"/>
    <n v="0"/>
    <n v="-1"/>
    <n v="25"/>
    <n v="0"/>
    <n v="0"/>
    <n v="24"/>
    <n v="1.0416666666666667"/>
    <n v="1"/>
    <n v="175.71"/>
    <n v="1"/>
    <n v="23"/>
    <n v="0"/>
    <n v="0"/>
    <n v="24"/>
    <n v="0.95833333333333337"/>
    <n v="1"/>
    <n v="168.86"/>
    <n v="4"/>
    <n v="0"/>
    <n v="4"/>
    <n v="16"/>
    <n v="4"/>
    <n v="0"/>
    <n v="0.16666666666666666"/>
    <n v="7.0000000000000007E-2"/>
    <n v="0"/>
    <n v="24"/>
    <n v="0"/>
    <n v="0"/>
    <n v="24"/>
    <n v="1"/>
    <n v="1"/>
    <n v="177.79"/>
    <n v="0"/>
    <n v="24"/>
    <n v="0"/>
    <n v="0"/>
    <n v="24"/>
    <n v="1"/>
    <n v="1"/>
    <n v="170.54"/>
  </r>
  <r>
    <x v="59"/>
    <n v="0"/>
    <n v="24"/>
    <n v="0"/>
    <n v="0"/>
    <n v="24"/>
    <n v="1"/>
    <n v="1"/>
    <n v="184.5"/>
    <n v="0"/>
    <n v="24"/>
    <n v="0"/>
    <n v="0"/>
    <n v="24"/>
    <n v="1"/>
    <n v="1"/>
    <n v="182.3"/>
    <n v="0"/>
    <n v="24"/>
    <n v="0"/>
    <n v="0"/>
    <n v="24"/>
    <n v="1"/>
    <n v="1"/>
    <n v="182.94"/>
    <n v="0"/>
    <n v="24"/>
    <n v="0"/>
    <n v="0"/>
    <n v="24"/>
    <n v="1"/>
    <n v="1"/>
    <n v="185.96"/>
    <n v="0"/>
    <n v="0"/>
    <n v="2"/>
    <n v="22"/>
    <n v="0"/>
    <n v="0"/>
    <n v="0"/>
    <n v="0"/>
    <n v="0"/>
    <n v="24"/>
    <n v="0"/>
    <n v="0"/>
    <n v="24"/>
    <n v="1"/>
    <n v="1"/>
    <n v="184.64"/>
    <n v="5"/>
    <n v="16"/>
    <n v="3"/>
    <n v="0"/>
    <n v="21"/>
    <n v="0.66666666666666663"/>
    <n v="0.875"/>
    <n v="114.7"/>
    <n v="0"/>
    <n v="24"/>
    <n v="0"/>
    <n v="0"/>
    <n v="24"/>
    <n v="1"/>
    <n v="1"/>
    <n v="181.43"/>
    <n v="4"/>
    <n v="0"/>
    <n v="4"/>
    <n v="16"/>
    <n v="4"/>
    <n v="0"/>
    <n v="0.16666666666666666"/>
    <n v="0.04"/>
    <n v="0"/>
    <n v="24"/>
    <n v="0"/>
    <n v="0"/>
    <n v="24"/>
    <n v="1"/>
    <n v="1"/>
    <n v="181.41"/>
  </r>
  <r>
    <x v="60"/>
    <n v="0"/>
    <n v="24"/>
    <n v="0"/>
    <n v="0"/>
    <n v="24"/>
    <n v="1"/>
    <n v="1"/>
    <n v="177.2"/>
    <n v="0"/>
    <n v="24"/>
    <n v="0"/>
    <n v="0"/>
    <n v="24"/>
    <n v="1"/>
    <n v="1"/>
    <n v="176.6"/>
    <n v="3"/>
    <n v="20"/>
    <n v="0"/>
    <n v="1"/>
    <n v="23"/>
    <n v="0.83333333333333337"/>
    <n v="0.95833333333333337"/>
    <n v="140.38"/>
    <n v="0"/>
    <n v="24"/>
    <n v="0"/>
    <n v="0"/>
    <n v="24"/>
    <n v="1"/>
    <n v="1"/>
    <n v="180.07"/>
    <n v="0"/>
    <n v="0"/>
    <n v="0"/>
    <n v="24"/>
    <n v="0"/>
    <n v="0"/>
    <n v="0"/>
    <n v="0"/>
    <n v="8"/>
    <n v="8"/>
    <n v="6"/>
    <n v="2"/>
    <n v="16"/>
    <n v="0.33333333333333331"/>
    <n v="0.66666666666666663"/>
    <n v="61.56"/>
    <n v="0"/>
    <n v="24"/>
    <n v="0"/>
    <n v="0"/>
    <n v="24"/>
    <n v="1"/>
    <n v="1"/>
    <n v="177.75"/>
    <n v="0"/>
    <n v="23"/>
    <n v="0"/>
    <n v="1"/>
    <n v="23"/>
    <n v="0.95833333333333337"/>
    <n v="0.95833333333333337"/>
    <n v="163.26"/>
    <n v="8"/>
    <n v="16"/>
    <n v="0"/>
    <n v="0"/>
    <n v="24"/>
    <n v="0.66666666666666663"/>
    <n v="1"/>
    <n v="117.31"/>
    <n v="0"/>
    <n v="24"/>
    <n v="0"/>
    <n v="0"/>
    <n v="24"/>
    <n v="1"/>
    <n v="1"/>
    <n v="180.43"/>
  </r>
  <r>
    <x v="61"/>
    <n v="0"/>
    <n v="24"/>
    <n v="0"/>
    <n v="0"/>
    <n v="24"/>
    <n v="1"/>
    <n v="1"/>
    <n v="175.1"/>
    <n v="0"/>
    <n v="22"/>
    <n v="0"/>
    <n v="2"/>
    <n v="22"/>
    <n v="0.91666666666666663"/>
    <n v="0.91666666666666663"/>
    <n v="159.30000000000001"/>
    <n v="6"/>
    <n v="0"/>
    <n v="4"/>
    <n v="14"/>
    <n v="6"/>
    <n v="0"/>
    <n v="0.25"/>
    <n v="0.04"/>
    <n v="0"/>
    <n v="24"/>
    <n v="0"/>
    <n v="0"/>
    <n v="24"/>
    <n v="1"/>
    <n v="1"/>
    <n v="172.75"/>
    <n v="0"/>
    <n v="0"/>
    <n v="15"/>
    <n v="9"/>
    <n v="0"/>
    <n v="0"/>
    <n v="0"/>
    <n v="0"/>
    <n v="1"/>
    <n v="20"/>
    <n v="0"/>
    <n v="3"/>
    <n v="21"/>
    <n v="0.83333333333333337"/>
    <n v="0.875"/>
    <n v="140.41"/>
    <n v="1"/>
    <n v="23"/>
    <n v="0"/>
    <n v="0"/>
    <n v="24"/>
    <n v="0.95833333333333337"/>
    <n v="1"/>
    <n v="165.43"/>
    <n v="0"/>
    <n v="24"/>
    <n v="0"/>
    <n v="0"/>
    <n v="24"/>
    <n v="1"/>
    <n v="1"/>
    <n v="177.42"/>
    <n v="0"/>
    <n v="24"/>
    <n v="0"/>
    <n v="0"/>
    <n v="24"/>
    <n v="1"/>
    <n v="1"/>
    <n v="174.71"/>
    <n v="0"/>
    <n v="24"/>
    <n v="0"/>
    <n v="0"/>
    <n v="24"/>
    <n v="1"/>
    <n v="1"/>
    <n v="175.24"/>
  </r>
  <r>
    <x v="62"/>
    <n v="1"/>
    <n v="23"/>
    <n v="0"/>
    <n v="0"/>
    <n v="24"/>
    <n v="0.95833333333333337"/>
    <n v="1"/>
    <n v="166.9"/>
    <n v="0"/>
    <n v="24"/>
    <n v="0"/>
    <n v="0"/>
    <n v="24"/>
    <n v="1"/>
    <n v="1"/>
    <n v="171.8"/>
    <n v="0"/>
    <n v="24"/>
    <n v="0"/>
    <n v="0"/>
    <n v="24"/>
    <n v="1"/>
    <n v="1"/>
    <n v="170.16"/>
    <n v="0"/>
    <n v="24"/>
    <n v="0"/>
    <n v="0"/>
    <n v="24"/>
    <n v="1"/>
    <n v="1"/>
    <n v="173.51"/>
    <n v="0"/>
    <n v="0"/>
    <n v="24"/>
    <n v="0"/>
    <n v="0"/>
    <n v="0"/>
    <n v="0"/>
    <n v="0"/>
    <n v="0"/>
    <n v="24"/>
    <n v="0"/>
    <n v="0"/>
    <n v="24"/>
    <n v="1"/>
    <n v="1"/>
    <n v="173"/>
    <n v="0"/>
    <n v="24"/>
    <n v="0"/>
    <n v="0"/>
    <n v="24"/>
    <n v="1"/>
    <n v="1"/>
    <n v="176.09"/>
    <n v="0"/>
    <n v="24"/>
    <n v="0"/>
    <n v="0"/>
    <n v="24"/>
    <n v="1"/>
    <n v="1"/>
    <n v="178.43"/>
    <n v="12"/>
    <n v="0"/>
    <n v="12"/>
    <n v="0"/>
    <n v="12"/>
    <n v="0"/>
    <n v="0.5"/>
    <n v="0.03"/>
    <n v="0"/>
    <n v="20"/>
    <n v="4"/>
    <n v="0"/>
    <n v="20"/>
    <n v="0.83333333333333337"/>
    <n v="0.83333333333333337"/>
    <n v="136.66999999999999"/>
  </r>
  <r>
    <x v="63"/>
    <n v="0"/>
    <n v="24"/>
    <n v="0"/>
    <n v="0"/>
    <n v="24"/>
    <n v="1"/>
    <n v="1"/>
    <n v="177.7"/>
    <n v="0"/>
    <n v="18"/>
    <n v="2"/>
    <n v="4"/>
    <n v="18"/>
    <n v="0.75"/>
    <n v="0.75"/>
    <n v="126.2"/>
    <n v="0"/>
    <n v="24"/>
    <n v="0"/>
    <n v="0"/>
    <n v="24"/>
    <n v="1"/>
    <n v="1"/>
    <n v="176.92"/>
    <n v="0"/>
    <n v="24"/>
    <n v="0"/>
    <n v="0"/>
    <n v="24"/>
    <n v="1"/>
    <n v="1"/>
    <n v="178.03"/>
    <n v="0"/>
    <n v="0"/>
    <n v="24"/>
    <n v="0"/>
    <n v="0"/>
    <n v="0"/>
    <n v="0"/>
    <n v="0"/>
    <n v="20"/>
    <n v="0"/>
    <n v="4"/>
    <n v="0"/>
    <n v="20"/>
    <n v="0"/>
    <n v="0.83333333333333337"/>
    <n v="0.03"/>
    <n v="0"/>
    <n v="24"/>
    <n v="0"/>
    <n v="0"/>
    <n v="24"/>
    <n v="1"/>
    <n v="1"/>
    <n v="177.69"/>
    <n v="0"/>
    <n v="24"/>
    <n v="0"/>
    <n v="0"/>
    <n v="24"/>
    <n v="1"/>
    <n v="1"/>
    <n v="176.32"/>
    <n v="0"/>
    <n v="24"/>
    <n v="0"/>
    <n v="0"/>
    <n v="24"/>
    <n v="1"/>
    <n v="1"/>
    <n v="179.72"/>
    <n v="0"/>
    <n v="24"/>
    <n v="0"/>
    <n v="0"/>
    <n v="24"/>
    <n v="1"/>
    <n v="1"/>
    <n v="178.83"/>
  </r>
  <r>
    <x v="64"/>
    <n v="0"/>
    <n v="6"/>
    <n v="2"/>
    <n v="16"/>
    <n v="6"/>
    <n v="0.25"/>
    <n v="0.25"/>
    <n v="36.6"/>
    <n v="0"/>
    <n v="24"/>
    <n v="0"/>
    <n v="0"/>
    <n v="24"/>
    <n v="1"/>
    <n v="1"/>
    <n v="175.4"/>
    <n v="0"/>
    <n v="24"/>
    <n v="0"/>
    <n v="0"/>
    <n v="24"/>
    <n v="1"/>
    <n v="1"/>
    <n v="176.08"/>
    <n v="0"/>
    <n v="13"/>
    <n v="4"/>
    <n v="7"/>
    <n v="13"/>
    <n v="0.54166666666666663"/>
    <n v="0.54166666666666663"/>
    <n v="93.88"/>
    <n v="0"/>
    <n v="0"/>
    <n v="24"/>
    <n v="0"/>
    <n v="0"/>
    <n v="0"/>
    <n v="0"/>
    <n v="0"/>
    <n v="0"/>
    <n v="24"/>
    <n v="0"/>
    <n v="0"/>
    <n v="24"/>
    <n v="1"/>
    <n v="1"/>
    <n v="178.69"/>
    <n v="0"/>
    <n v="24"/>
    <n v="0"/>
    <n v="0"/>
    <n v="24"/>
    <n v="1"/>
    <n v="1"/>
    <n v="177.93"/>
    <n v="0"/>
    <n v="24"/>
    <n v="0"/>
    <n v="0"/>
    <n v="24"/>
    <n v="1"/>
    <n v="1"/>
    <n v="179.61"/>
    <n v="0"/>
    <n v="24"/>
    <n v="0"/>
    <n v="0"/>
    <n v="24"/>
    <n v="1"/>
    <n v="1"/>
    <n v="178.32"/>
    <n v="0"/>
    <n v="24"/>
    <n v="0"/>
    <n v="0"/>
    <n v="24"/>
    <n v="1"/>
    <n v="1"/>
    <n v="178.92"/>
  </r>
  <r>
    <x v="65"/>
    <n v="10"/>
    <n v="0"/>
    <n v="0"/>
    <n v="14"/>
    <n v="10"/>
    <n v="0"/>
    <n v="0.41666666666666669"/>
    <n v="0"/>
    <n v="0"/>
    <n v="24"/>
    <n v="0"/>
    <n v="0"/>
    <n v="24"/>
    <n v="1"/>
    <n v="1"/>
    <n v="168.1"/>
    <n v="0"/>
    <n v="24"/>
    <n v="0"/>
    <n v="0"/>
    <n v="24"/>
    <n v="1"/>
    <n v="1"/>
    <n v="174.09"/>
    <n v="0"/>
    <n v="22"/>
    <n v="0"/>
    <n v="2"/>
    <n v="22"/>
    <n v="0.91666666666666663"/>
    <n v="0.91666666666666663"/>
    <n v="154.30000000000001"/>
    <n v="0"/>
    <n v="0"/>
    <n v="24"/>
    <n v="0"/>
    <n v="0"/>
    <n v="0"/>
    <n v="0"/>
    <n v="0"/>
    <n v="0"/>
    <n v="24"/>
    <n v="0"/>
    <n v="0"/>
    <n v="24"/>
    <n v="1"/>
    <n v="1"/>
    <n v="175.22"/>
    <n v="0"/>
    <n v="24"/>
    <n v="0"/>
    <n v="0"/>
    <n v="24"/>
    <n v="1"/>
    <n v="1"/>
    <n v="171.74"/>
    <n v="0"/>
    <n v="24"/>
    <n v="0"/>
    <n v="0"/>
    <n v="24"/>
    <n v="1"/>
    <n v="1"/>
    <n v="174.69"/>
    <n v="0"/>
    <n v="24"/>
    <n v="0"/>
    <n v="0"/>
    <n v="24"/>
    <n v="1"/>
    <n v="1"/>
    <n v="176.42"/>
    <n v="0"/>
    <n v="24"/>
    <n v="0"/>
    <n v="0"/>
    <n v="24"/>
    <n v="1"/>
    <n v="1"/>
    <n v="173.54"/>
  </r>
  <r>
    <x v="66"/>
    <n v="0"/>
    <n v="23"/>
    <n v="0"/>
    <n v="1"/>
    <n v="23"/>
    <n v="0.95833333333333337"/>
    <n v="0.95833333333333337"/>
    <n v="169.8"/>
    <n v="0"/>
    <n v="24"/>
    <n v="0"/>
    <n v="0"/>
    <n v="24"/>
    <n v="1"/>
    <n v="1"/>
    <n v="173.6"/>
    <n v="0"/>
    <n v="24"/>
    <n v="0"/>
    <n v="0"/>
    <n v="24"/>
    <n v="1"/>
    <n v="1"/>
    <n v="171.46"/>
    <n v="14"/>
    <n v="0"/>
    <n v="0"/>
    <n v="10"/>
    <n v="14"/>
    <n v="0"/>
    <n v="0.58333333333333337"/>
    <n v="0.04"/>
    <n v="0"/>
    <n v="0"/>
    <n v="24"/>
    <n v="0"/>
    <n v="0"/>
    <n v="0"/>
    <n v="0"/>
    <n v="0"/>
    <n v="1"/>
    <n v="23"/>
    <n v="0"/>
    <n v="0"/>
    <n v="24"/>
    <n v="0.95833333333333337"/>
    <n v="1"/>
    <n v="175.3"/>
    <n v="0"/>
    <n v="20"/>
    <n v="4"/>
    <n v="0"/>
    <n v="20"/>
    <n v="0.83333333333333337"/>
    <n v="0.83333333333333337"/>
    <n v="139.97"/>
    <n v="0"/>
    <n v="24"/>
    <n v="0"/>
    <n v="0"/>
    <n v="24"/>
    <n v="1"/>
    <n v="1"/>
    <n v="176.72"/>
    <n v="0"/>
    <n v="24"/>
    <n v="0"/>
    <n v="0"/>
    <n v="24"/>
    <n v="1"/>
    <n v="1"/>
    <n v="173.87"/>
    <n v="0"/>
    <n v="24"/>
    <n v="0"/>
    <n v="0"/>
    <n v="24"/>
    <n v="1"/>
    <n v="1"/>
    <n v="174.92"/>
  </r>
  <r>
    <x v="67"/>
    <n v="1"/>
    <n v="23"/>
    <n v="0"/>
    <n v="0"/>
    <n v="24"/>
    <n v="0.95833333333333337"/>
    <n v="1"/>
    <n v="160.19999999999999"/>
    <n v="0"/>
    <n v="24"/>
    <n v="0"/>
    <n v="0"/>
    <n v="24"/>
    <n v="1"/>
    <n v="1"/>
    <n v="172.8"/>
    <n v="0"/>
    <n v="24"/>
    <n v="0"/>
    <n v="0"/>
    <n v="24"/>
    <n v="1"/>
    <n v="1"/>
    <n v="175.54"/>
    <n v="0"/>
    <n v="24"/>
    <n v="0"/>
    <n v="0"/>
    <n v="24"/>
    <n v="1"/>
    <n v="1"/>
    <n v="174.96"/>
    <n v="0"/>
    <n v="0"/>
    <n v="24"/>
    <n v="0"/>
    <n v="0"/>
    <n v="0"/>
    <n v="0"/>
    <n v="0"/>
    <n v="0"/>
    <n v="24"/>
    <n v="0"/>
    <n v="0"/>
    <n v="24"/>
    <n v="1"/>
    <n v="1"/>
    <n v="175.54"/>
    <n v="0"/>
    <n v="22"/>
    <n v="2"/>
    <n v="0"/>
    <n v="22"/>
    <n v="0.91666666666666663"/>
    <n v="0.91666666666666663"/>
    <n v="154.93"/>
    <n v="0"/>
    <n v="24"/>
    <n v="0"/>
    <n v="0"/>
    <n v="24"/>
    <n v="1"/>
    <n v="1"/>
    <n v="176.31"/>
    <n v="24"/>
    <n v="0"/>
    <n v="0"/>
    <n v="0"/>
    <n v="24"/>
    <n v="0"/>
    <n v="1"/>
    <n v="0.02"/>
    <n v="0"/>
    <n v="24"/>
    <n v="0"/>
    <n v="0"/>
    <n v="24"/>
    <n v="1"/>
    <n v="1"/>
    <n v="175.46"/>
  </r>
  <r>
    <x v="68"/>
    <n v="0"/>
    <n v="22"/>
    <n v="0"/>
    <n v="2"/>
    <n v="22"/>
    <n v="0.91666666666666663"/>
    <n v="0.91666666666666663"/>
    <n v="157.80000000000001"/>
    <n v="0"/>
    <n v="24"/>
    <n v="0"/>
    <n v="0"/>
    <n v="24"/>
    <n v="1"/>
    <n v="1"/>
    <n v="174.4"/>
    <n v="0"/>
    <n v="24"/>
    <n v="0"/>
    <n v="0"/>
    <n v="24"/>
    <n v="1"/>
    <n v="1"/>
    <n v="174.58"/>
    <n v="0"/>
    <n v="24"/>
    <n v="0"/>
    <n v="0"/>
    <n v="24"/>
    <n v="1"/>
    <n v="1"/>
    <n v="175.15"/>
    <n v="0"/>
    <n v="0"/>
    <n v="24"/>
    <n v="0"/>
    <n v="0"/>
    <n v="0"/>
    <n v="0"/>
    <n v="0"/>
    <n v="23"/>
    <n v="1"/>
    <n v="0"/>
    <n v="0"/>
    <n v="24"/>
    <n v="4.1666666666666664E-2"/>
    <n v="1"/>
    <n v="0.06"/>
    <n v="3"/>
    <n v="21"/>
    <n v="0"/>
    <n v="0"/>
    <n v="24"/>
    <n v="0.875"/>
    <n v="1"/>
    <n v="154.41"/>
    <n v="0"/>
    <n v="23"/>
    <n v="1"/>
    <n v="0"/>
    <n v="23"/>
    <n v="0.95833333333333337"/>
    <n v="0.95833333333333337"/>
    <n v="169.49"/>
    <n v="0"/>
    <n v="24"/>
    <n v="0"/>
    <n v="0"/>
    <n v="24"/>
    <n v="1"/>
    <n v="1"/>
    <n v="173.46"/>
    <n v="0"/>
    <n v="24"/>
    <n v="0"/>
    <n v="0"/>
    <n v="24"/>
    <n v="1"/>
    <n v="1"/>
    <n v="174.24"/>
  </r>
  <r>
    <x v="69"/>
    <n v="3"/>
    <n v="13"/>
    <n v="0"/>
    <n v="8"/>
    <n v="16"/>
    <n v="0.54166666666666663"/>
    <n v="0.66666666666666663"/>
    <n v="84.7"/>
    <n v="0"/>
    <n v="24"/>
    <n v="0"/>
    <n v="0"/>
    <n v="24"/>
    <n v="1"/>
    <n v="1"/>
    <n v="182.1"/>
    <n v="0"/>
    <n v="24"/>
    <n v="0"/>
    <n v="0"/>
    <n v="24"/>
    <n v="1"/>
    <n v="1"/>
    <n v="181.01"/>
    <n v="24"/>
    <n v="0"/>
    <n v="0"/>
    <n v="0"/>
    <n v="24"/>
    <n v="0"/>
    <n v="1"/>
    <n v="0.1"/>
    <n v="0"/>
    <n v="0"/>
    <n v="24"/>
    <n v="0"/>
    <n v="0"/>
    <n v="0"/>
    <n v="0"/>
    <n v="0"/>
    <n v="1"/>
    <n v="23"/>
    <n v="0"/>
    <n v="0"/>
    <n v="24"/>
    <n v="0.95833333333333337"/>
    <n v="1"/>
    <n v="182.26"/>
    <n v="0"/>
    <n v="24"/>
    <n v="0"/>
    <n v="0"/>
    <n v="24"/>
    <n v="1"/>
    <n v="1"/>
    <n v="182.48"/>
    <n v="0"/>
    <n v="21"/>
    <n v="3"/>
    <n v="0"/>
    <n v="21"/>
    <n v="0.875"/>
    <n v="0.875"/>
    <n v="153.79"/>
    <n v="0"/>
    <n v="24"/>
    <n v="0"/>
    <n v="0"/>
    <n v="24"/>
    <n v="1"/>
    <n v="1"/>
    <n v="184.93"/>
    <n v="0"/>
    <n v="24"/>
    <n v="0"/>
    <n v="0"/>
    <n v="24"/>
    <n v="1"/>
    <n v="1"/>
    <n v="184.69"/>
  </r>
  <r>
    <x v="70"/>
    <n v="0"/>
    <n v="24"/>
    <n v="0"/>
    <n v="0"/>
    <n v="24"/>
    <n v="1"/>
    <n v="1"/>
    <n v="191.9"/>
    <n v="0"/>
    <n v="24"/>
    <n v="0"/>
    <n v="0"/>
    <n v="24"/>
    <n v="1"/>
    <n v="1"/>
    <n v="188.8"/>
    <n v="0"/>
    <n v="24"/>
    <n v="0"/>
    <n v="0"/>
    <n v="24"/>
    <n v="1"/>
    <n v="1"/>
    <n v="176.46"/>
    <n v="7"/>
    <n v="7"/>
    <n v="0"/>
    <n v="10"/>
    <n v="14"/>
    <n v="0.29166666666666669"/>
    <n v="0.58333333333333337"/>
    <n v="48.93"/>
    <n v="0"/>
    <n v="0"/>
    <n v="24"/>
    <n v="0"/>
    <n v="0"/>
    <n v="0"/>
    <n v="0"/>
    <n v="0"/>
    <n v="24"/>
    <n v="0"/>
    <n v="0"/>
    <n v="0"/>
    <n v="24"/>
    <n v="0"/>
    <n v="1"/>
    <n v="0"/>
    <n v="0"/>
    <n v="24"/>
    <n v="0"/>
    <n v="0"/>
    <n v="24"/>
    <n v="1"/>
    <n v="1"/>
    <n v="186.49"/>
    <n v="0"/>
    <n v="24"/>
    <n v="0"/>
    <n v="0"/>
    <n v="24"/>
    <n v="1"/>
    <n v="1"/>
    <n v="190.63"/>
    <n v="0"/>
    <n v="20"/>
    <n v="0"/>
    <n v="4"/>
    <n v="20"/>
    <n v="0.83333333333333337"/>
    <n v="0.83333333333333337"/>
    <n v="159.22999999999999"/>
    <n v="0"/>
    <n v="24"/>
    <n v="0"/>
    <n v="0"/>
    <n v="24"/>
    <n v="1"/>
    <n v="1"/>
    <n v="186.55"/>
  </r>
  <r>
    <x v="71"/>
    <n v="0"/>
    <n v="24"/>
    <n v="0"/>
    <n v="0"/>
    <n v="24"/>
    <n v="1"/>
    <n v="1"/>
    <n v="170.3"/>
    <n v="0"/>
    <n v="24"/>
    <n v="0"/>
    <n v="0"/>
    <n v="24"/>
    <n v="1"/>
    <n v="1"/>
    <n v="171.2"/>
    <n v="0"/>
    <n v="24"/>
    <n v="0"/>
    <n v="0"/>
    <n v="24"/>
    <n v="1"/>
    <n v="1"/>
    <n v="165.85"/>
    <n v="0"/>
    <n v="24"/>
    <n v="0"/>
    <n v="0"/>
    <n v="24"/>
    <n v="1"/>
    <n v="1"/>
    <n v="171.8"/>
    <n v="0"/>
    <n v="0"/>
    <n v="24"/>
    <n v="0"/>
    <n v="0"/>
    <n v="0"/>
    <n v="0"/>
    <n v="0"/>
    <n v="0"/>
    <n v="24"/>
    <n v="0"/>
    <n v="0"/>
    <n v="24"/>
    <n v="1"/>
    <n v="1"/>
    <n v="170.21"/>
    <n v="2"/>
    <n v="20"/>
    <n v="0"/>
    <n v="2"/>
    <n v="22"/>
    <n v="0.83333333333333337"/>
    <n v="0.91666666666666663"/>
    <n v="140.16"/>
    <n v="0"/>
    <n v="24"/>
    <n v="0"/>
    <n v="0"/>
    <n v="24"/>
    <n v="1"/>
    <n v="1"/>
    <n v="170.55"/>
    <n v="20"/>
    <n v="0"/>
    <n v="4"/>
    <n v="0"/>
    <n v="20"/>
    <n v="0"/>
    <n v="0.83333333333333337"/>
    <n v="0.03"/>
    <n v="0"/>
    <n v="24"/>
    <n v="0"/>
    <n v="0"/>
    <n v="24"/>
    <n v="1"/>
    <n v="1"/>
    <n v="171.54"/>
  </r>
  <r>
    <x v="72"/>
    <n v="0"/>
    <n v="24"/>
    <n v="0"/>
    <n v="0"/>
    <n v="24"/>
    <n v="1"/>
    <n v="1"/>
    <n v="171.4"/>
    <n v="3"/>
    <n v="21"/>
    <n v="0"/>
    <n v="0"/>
    <n v="24"/>
    <n v="0.875"/>
    <n v="1"/>
    <n v="139.1"/>
    <n v="0"/>
    <n v="22"/>
    <n v="0"/>
    <n v="2"/>
    <n v="22"/>
    <n v="0.91666666666666663"/>
    <n v="0.91666666666666663"/>
    <n v="157.28"/>
    <n v="0"/>
    <n v="24"/>
    <n v="0"/>
    <n v="0"/>
    <n v="24"/>
    <n v="1"/>
    <n v="1"/>
    <n v="173.68"/>
    <n v="0"/>
    <n v="0"/>
    <n v="24"/>
    <n v="0"/>
    <n v="0"/>
    <n v="0"/>
    <n v="0"/>
    <n v="0"/>
    <n v="17"/>
    <n v="0"/>
    <n v="4"/>
    <n v="3"/>
    <n v="17"/>
    <n v="0"/>
    <n v="0.70833333333333337"/>
    <n v="0.01"/>
    <n v="0"/>
    <n v="24"/>
    <n v="0"/>
    <n v="0"/>
    <n v="24"/>
    <n v="1"/>
    <n v="1"/>
    <n v="174.4"/>
    <n v="0"/>
    <n v="24"/>
    <n v="0"/>
    <n v="0"/>
    <n v="24"/>
    <n v="1"/>
    <n v="1"/>
    <n v="173.89"/>
    <n v="0"/>
    <n v="24"/>
    <n v="0"/>
    <n v="0"/>
    <n v="24"/>
    <n v="1"/>
    <n v="1"/>
    <n v="175.92"/>
    <n v="0"/>
    <n v="24"/>
    <n v="0"/>
    <n v="0"/>
    <n v="24"/>
    <n v="1"/>
    <n v="1"/>
    <n v="174.44"/>
  </r>
  <r>
    <x v="73"/>
    <n v="0"/>
    <n v="24"/>
    <n v="0"/>
    <n v="0"/>
    <n v="24"/>
    <n v="1"/>
    <n v="1"/>
    <n v="169.7"/>
    <n v="0"/>
    <n v="20"/>
    <n v="4"/>
    <n v="0"/>
    <n v="20"/>
    <n v="0.83333333333333337"/>
    <n v="0.83333333333333337"/>
    <n v="141.9"/>
    <n v="3"/>
    <n v="13"/>
    <n v="8"/>
    <n v="0"/>
    <n v="16"/>
    <n v="0.54166666666666663"/>
    <n v="0.66666666666666663"/>
    <n v="80.680000000000007"/>
    <n v="0"/>
    <n v="24"/>
    <n v="0"/>
    <n v="0"/>
    <n v="24"/>
    <n v="1"/>
    <n v="1"/>
    <n v="185.34"/>
    <n v="0"/>
    <n v="0"/>
    <n v="24"/>
    <n v="0"/>
    <n v="0"/>
    <n v="0"/>
    <n v="0"/>
    <n v="0"/>
    <n v="8"/>
    <n v="16"/>
    <n v="0"/>
    <n v="0"/>
    <n v="24"/>
    <n v="0.66666666666666663"/>
    <n v="1"/>
    <n v="112.66"/>
    <n v="0"/>
    <n v="24"/>
    <n v="0"/>
    <n v="0"/>
    <n v="24"/>
    <n v="1"/>
    <n v="1"/>
    <n v="175.19"/>
    <n v="0"/>
    <n v="24"/>
    <n v="0"/>
    <n v="0"/>
    <n v="24"/>
    <n v="1"/>
    <n v="1"/>
    <n v="174.03"/>
    <n v="0"/>
    <n v="24"/>
    <n v="0"/>
    <n v="0"/>
    <n v="24"/>
    <n v="1"/>
    <n v="1"/>
    <n v="174.97"/>
    <n v="2"/>
    <n v="18"/>
    <n v="4"/>
    <n v="0"/>
    <n v="20"/>
    <n v="0.75"/>
    <n v="0.83333333333333337"/>
    <n v="129.4"/>
  </r>
  <r>
    <x v="74"/>
    <n v="6"/>
    <n v="6"/>
    <n v="4"/>
    <n v="8"/>
    <n v="12"/>
    <n v="0.25"/>
    <n v="0.5"/>
    <n v="46.7"/>
    <n v="8"/>
    <n v="16"/>
    <n v="0"/>
    <n v="0"/>
    <n v="24"/>
    <n v="0.66666666666666663"/>
    <n v="1"/>
    <n v="110.3"/>
    <n v="3"/>
    <n v="21"/>
    <n v="0"/>
    <n v="0"/>
    <n v="24"/>
    <n v="0.875"/>
    <n v="1"/>
    <n v="153.25"/>
    <n v="0"/>
    <n v="16"/>
    <n v="8"/>
    <n v="0"/>
    <n v="16"/>
    <n v="0.66666666666666663"/>
    <n v="0.66666666666666663"/>
    <n v="103.66"/>
    <n v="0"/>
    <n v="0"/>
    <n v="24"/>
    <n v="0"/>
    <n v="0"/>
    <n v="0"/>
    <n v="0"/>
    <n v="0"/>
    <n v="2"/>
    <n v="22"/>
    <n v="0"/>
    <n v="0"/>
    <n v="24"/>
    <n v="0.91666666666666663"/>
    <n v="1"/>
    <n v="157.97999999999999"/>
    <n v="4"/>
    <n v="20"/>
    <n v="0"/>
    <n v="0"/>
    <n v="24"/>
    <n v="0.83333333333333337"/>
    <n v="1"/>
    <n v="143.81"/>
    <n v="4"/>
    <n v="20"/>
    <n v="0"/>
    <n v="0"/>
    <n v="24"/>
    <n v="0.83333333333333337"/>
    <n v="1"/>
    <n v="144.22999999999999"/>
    <n v="1"/>
    <n v="23"/>
    <n v="0"/>
    <n v="0"/>
    <n v="24"/>
    <n v="0.95833333333333337"/>
    <n v="1"/>
    <n v="163.74"/>
    <n v="1"/>
    <n v="23"/>
    <n v="0"/>
    <n v="0"/>
    <n v="24"/>
    <n v="0.95833333333333337"/>
    <n v="1"/>
    <n v="170.68"/>
  </r>
  <r>
    <x v="75"/>
    <n v="16"/>
    <n v="0"/>
    <n v="0"/>
    <n v="8"/>
    <n v="16"/>
    <n v="0"/>
    <n v="0.66666666666666663"/>
    <n v="0"/>
    <n v="3"/>
    <n v="20"/>
    <n v="0"/>
    <n v="1"/>
    <n v="23"/>
    <n v="0.83333333333333337"/>
    <n v="0.95833333333333337"/>
    <n v="145.4"/>
    <n v="5"/>
    <n v="19"/>
    <n v="0"/>
    <n v="0"/>
    <n v="24"/>
    <n v="0.79166666666666663"/>
    <n v="1"/>
    <n v="131.18"/>
    <n v="3"/>
    <n v="21"/>
    <n v="0"/>
    <n v="0"/>
    <n v="24"/>
    <n v="0.875"/>
    <n v="1"/>
    <n v="154.6"/>
    <n v="0"/>
    <n v="0"/>
    <n v="24"/>
    <n v="0"/>
    <n v="0"/>
    <n v="0"/>
    <n v="0"/>
    <n v="0"/>
    <n v="3"/>
    <n v="21"/>
    <n v="0"/>
    <n v="0"/>
    <n v="24"/>
    <n v="0.875"/>
    <n v="1"/>
    <n v="155.47"/>
    <n v="4"/>
    <n v="20"/>
    <n v="0"/>
    <n v="0"/>
    <n v="24"/>
    <n v="0.83333333333333337"/>
    <n v="1"/>
    <n v="147.13999999999999"/>
    <n v="3"/>
    <n v="21"/>
    <n v="0"/>
    <n v="0"/>
    <n v="24"/>
    <n v="0.875"/>
    <n v="1"/>
    <n v="154.52000000000001"/>
    <n v="1"/>
    <n v="23"/>
    <n v="0"/>
    <n v="0"/>
    <n v="24"/>
    <n v="0.95833333333333337"/>
    <n v="1"/>
    <n v="170.5"/>
    <n v="1"/>
    <n v="23"/>
    <n v="0"/>
    <n v="0"/>
    <n v="24"/>
    <n v="0.95833333333333337"/>
    <n v="1"/>
    <n v="172.88"/>
  </r>
  <r>
    <x v="76"/>
    <n v="0"/>
    <n v="24"/>
    <n v="0"/>
    <n v="0"/>
    <n v="24"/>
    <n v="1"/>
    <n v="1"/>
    <n v="171.4"/>
    <n v="4"/>
    <n v="19"/>
    <n v="0"/>
    <n v="1"/>
    <n v="23"/>
    <n v="0.79166666666666663"/>
    <n v="0.95833333333333337"/>
    <n v="125.9"/>
    <n v="0"/>
    <n v="24"/>
    <n v="0"/>
    <n v="0"/>
    <n v="24"/>
    <n v="1"/>
    <n v="1"/>
    <n v="172.72"/>
    <n v="0"/>
    <n v="24"/>
    <n v="0"/>
    <n v="0"/>
    <n v="24"/>
    <n v="1"/>
    <n v="1"/>
    <n v="177.32"/>
    <n v="0"/>
    <n v="0"/>
    <n v="24"/>
    <n v="0"/>
    <n v="0"/>
    <n v="0"/>
    <n v="0"/>
    <n v="0"/>
    <n v="0"/>
    <n v="24"/>
    <n v="0"/>
    <n v="0"/>
    <n v="24"/>
    <n v="1"/>
    <n v="1"/>
    <n v="174.2"/>
    <n v="3"/>
    <n v="1"/>
    <n v="12"/>
    <n v="8"/>
    <n v="4"/>
    <n v="4.1666666666666664E-2"/>
    <n v="0.16666666666666666"/>
    <n v="0.03"/>
    <n v="0"/>
    <n v="24"/>
    <n v="0"/>
    <n v="0"/>
    <n v="24"/>
    <n v="1"/>
    <n v="1"/>
    <n v="178.4"/>
    <n v="0"/>
    <n v="24"/>
    <n v="0"/>
    <n v="0"/>
    <n v="24"/>
    <n v="1"/>
    <n v="1"/>
    <n v="178.16"/>
    <n v="0"/>
    <n v="24"/>
    <n v="0"/>
    <n v="0"/>
    <n v="24"/>
    <n v="1"/>
    <n v="1"/>
    <n v="176.2"/>
  </r>
  <r>
    <x v="77"/>
    <n v="0"/>
    <n v="24"/>
    <n v="0"/>
    <n v="0"/>
    <n v="24"/>
    <n v="1"/>
    <n v="1"/>
    <n v="181.3"/>
    <n v="8"/>
    <n v="16"/>
    <n v="0"/>
    <n v="0"/>
    <n v="24"/>
    <n v="0.66666666666666663"/>
    <n v="1"/>
    <n v="120.9"/>
    <n v="0"/>
    <n v="24"/>
    <n v="0"/>
    <n v="0"/>
    <n v="24"/>
    <n v="1"/>
    <n v="1"/>
    <n v="181.66"/>
    <n v="0"/>
    <n v="24"/>
    <n v="0"/>
    <n v="0"/>
    <n v="24"/>
    <n v="1"/>
    <n v="1"/>
    <n v="182.3"/>
    <n v="0"/>
    <n v="0"/>
    <n v="24"/>
    <n v="0"/>
    <n v="0"/>
    <n v="0"/>
    <n v="0"/>
    <n v="0"/>
    <n v="0"/>
    <n v="24"/>
    <n v="0"/>
    <n v="0"/>
    <n v="24"/>
    <n v="1"/>
    <n v="1"/>
    <n v="179.42"/>
    <n v="2"/>
    <n v="22"/>
    <n v="0"/>
    <n v="0"/>
    <n v="24"/>
    <n v="0.91666666666666663"/>
    <n v="1"/>
    <n v="167.07"/>
    <n v="0"/>
    <n v="24"/>
    <n v="0"/>
    <n v="0"/>
    <n v="24"/>
    <n v="1"/>
    <n v="1"/>
    <n v="177.3"/>
    <n v="24"/>
    <n v="0"/>
    <n v="0"/>
    <n v="0"/>
    <n v="24"/>
    <n v="0"/>
    <n v="1"/>
    <n v="0.04"/>
    <n v="0"/>
    <n v="24"/>
    <n v="0"/>
    <n v="0"/>
    <n v="24"/>
    <n v="1"/>
    <n v="1"/>
    <n v="177.41"/>
  </r>
  <r>
    <x v="78"/>
    <n v="0"/>
    <n v="24"/>
    <n v="0"/>
    <n v="0"/>
    <n v="24"/>
    <n v="1"/>
    <n v="1"/>
    <n v="170.4"/>
    <n v="4"/>
    <n v="19"/>
    <n v="0"/>
    <n v="1"/>
    <n v="23"/>
    <n v="0.79166666666666663"/>
    <n v="0.95833333333333337"/>
    <n v="125.6"/>
    <n v="0"/>
    <n v="24"/>
    <n v="0"/>
    <n v="0"/>
    <n v="24"/>
    <n v="1"/>
    <n v="1"/>
    <n v="168.85"/>
    <n v="0"/>
    <n v="24"/>
    <n v="0"/>
    <n v="0"/>
    <n v="24"/>
    <n v="1"/>
    <n v="1"/>
    <n v="177.12"/>
    <n v="0"/>
    <n v="0"/>
    <n v="24"/>
    <n v="0"/>
    <n v="0"/>
    <n v="0"/>
    <n v="0"/>
    <n v="0"/>
    <n v="0"/>
    <n v="24"/>
    <n v="0"/>
    <n v="0"/>
    <n v="24"/>
    <n v="1"/>
    <n v="1"/>
    <n v="175.58"/>
    <n v="0"/>
    <n v="24"/>
    <n v="0"/>
    <n v="0"/>
    <n v="24"/>
    <n v="1"/>
    <n v="1"/>
    <n v="171.65"/>
    <n v="0"/>
    <n v="24"/>
    <n v="0"/>
    <n v="0"/>
    <n v="24"/>
    <n v="1"/>
    <n v="1"/>
    <n v="173.52"/>
    <n v="0"/>
    <n v="24"/>
    <n v="0"/>
    <n v="0"/>
    <n v="24"/>
    <n v="1"/>
    <n v="1"/>
    <n v="174.63"/>
    <n v="7"/>
    <n v="0"/>
    <n v="7"/>
    <n v="10"/>
    <n v="7"/>
    <n v="0"/>
    <n v="0.29166666666666669"/>
    <n v="0"/>
  </r>
  <r>
    <x v="79"/>
    <n v="0"/>
    <n v="24"/>
    <n v="0"/>
    <n v="0"/>
    <n v="24"/>
    <n v="1"/>
    <n v="1"/>
    <n v="179.8"/>
    <n v="0"/>
    <n v="24"/>
    <n v="0"/>
    <n v="0"/>
    <n v="24"/>
    <n v="1"/>
    <n v="1"/>
    <n v="171.1"/>
    <n v="0"/>
    <n v="24"/>
    <n v="0"/>
    <n v="0"/>
    <n v="24"/>
    <n v="1"/>
    <n v="1"/>
    <n v="167.37"/>
    <n v="0"/>
    <n v="24"/>
    <n v="0"/>
    <n v="0"/>
    <n v="24"/>
    <n v="1"/>
    <n v="1"/>
    <n v="171.22"/>
    <n v="0"/>
    <n v="0"/>
    <n v="24"/>
    <n v="0"/>
    <n v="0"/>
    <n v="0"/>
    <n v="0"/>
    <n v="0"/>
    <n v="21"/>
    <n v="0"/>
    <n v="0"/>
    <n v="3"/>
    <n v="21"/>
    <n v="0"/>
    <n v="0.875"/>
    <n v="3.97"/>
    <n v="0"/>
    <n v="24"/>
    <n v="0"/>
    <n v="0"/>
    <n v="24"/>
    <n v="1"/>
    <n v="1"/>
    <n v="166.85"/>
    <n v="0"/>
    <n v="24"/>
    <n v="0"/>
    <n v="0"/>
    <n v="24"/>
    <n v="1"/>
    <n v="1"/>
    <n v="171.9"/>
    <n v="2"/>
    <n v="19"/>
    <n v="0"/>
    <n v="3"/>
    <n v="21"/>
    <n v="0.79166666666666663"/>
    <n v="0.875"/>
    <n v="130.41"/>
    <n v="0"/>
    <n v="24"/>
    <n v="0"/>
    <n v="0"/>
    <n v="24"/>
    <n v="1"/>
    <n v="1"/>
    <n v="172.42"/>
  </r>
  <r>
    <x v="80"/>
    <n v="15"/>
    <n v="6"/>
    <n v="0"/>
    <n v="3"/>
    <n v="21"/>
    <n v="0.25"/>
    <n v="0.875"/>
    <n v="37"/>
    <n v="0"/>
    <n v="24"/>
    <n v="0"/>
    <n v="0"/>
    <n v="24"/>
    <n v="1"/>
    <n v="1"/>
    <n v="193.3"/>
    <n v="0"/>
    <n v="24"/>
    <n v="0"/>
    <n v="0"/>
    <n v="24"/>
    <n v="1"/>
    <n v="1"/>
    <n v="194.15"/>
    <n v="16"/>
    <n v="6"/>
    <n v="0"/>
    <n v="2"/>
    <n v="22"/>
    <n v="0.25"/>
    <n v="0.91666666666666663"/>
    <n v="46.46"/>
    <n v="0"/>
    <n v="0"/>
    <n v="24"/>
    <n v="0"/>
    <n v="0"/>
    <n v="0"/>
    <n v="0"/>
    <n v="0"/>
    <n v="0"/>
    <n v="24"/>
    <n v="0"/>
    <n v="0"/>
    <n v="24"/>
    <n v="1"/>
    <n v="1"/>
    <n v="195.53"/>
    <n v="0"/>
    <n v="24"/>
    <n v="0"/>
    <n v="0"/>
    <n v="24"/>
    <n v="1"/>
    <n v="1"/>
    <n v="191.25"/>
    <n v="1"/>
    <n v="18"/>
    <n v="4"/>
    <n v="1"/>
    <n v="19"/>
    <n v="0.75"/>
    <n v="0.79166666666666663"/>
    <n v="144.21"/>
    <n v="2"/>
    <n v="18"/>
    <n v="4"/>
    <n v="0"/>
    <n v="20"/>
    <n v="0.75"/>
    <n v="0.83333333333333337"/>
    <n v="147.41"/>
    <n v="0"/>
    <n v="24"/>
    <n v="0"/>
    <n v="0"/>
    <n v="24"/>
    <n v="1"/>
    <n v="1"/>
    <n v="192.6"/>
  </r>
  <r>
    <x v="81"/>
    <n v="12"/>
    <n v="0"/>
    <n v="0"/>
    <n v="12"/>
    <n v="12"/>
    <n v="0"/>
    <n v="0.5"/>
    <n v="0"/>
    <n v="0"/>
    <n v="24"/>
    <n v="0"/>
    <n v="0"/>
    <n v="24"/>
    <n v="1"/>
    <n v="1"/>
    <n v="177.6"/>
    <n v="0"/>
    <n v="24"/>
    <n v="0"/>
    <n v="0"/>
    <n v="24"/>
    <n v="1"/>
    <n v="1"/>
    <n v="183.01"/>
    <n v="0"/>
    <n v="24"/>
    <n v="0"/>
    <n v="0"/>
    <n v="24"/>
    <n v="1"/>
    <n v="1"/>
    <n v="177.84"/>
    <n v="0"/>
    <n v="0"/>
    <n v="24"/>
    <n v="0"/>
    <n v="0"/>
    <n v="0"/>
    <n v="0"/>
    <n v="0"/>
    <n v="0"/>
    <n v="24"/>
    <n v="0"/>
    <n v="0"/>
    <n v="24"/>
    <n v="1"/>
    <n v="1"/>
    <n v="181.09"/>
    <n v="10"/>
    <n v="14"/>
    <n v="0"/>
    <n v="0"/>
    <n v="24"/>
    <n v="0.58333333333333337"/>
    <n v="1"/>
    <n v="99.53"/>
    <n v="0"/>
    <n v="24"/>
    <n v="0"/>
    <n v="0"/>
    <n v="24"/>
    <n v="1"/>
    <n v="1"/>
    <n v="179.92"/>
    <n v="0"/>
    <n v="24"/>
    <n v="0"/>
    <n v="0"/>
    <n v="24"/>
    <n v="1"/>
    <n v="1"/>
    <n v="181.31"/>
    <n v="0"/>
    <n v="24"/>
    <n v="0"/>
    <n v="0"/>
    <n v="24"/>
    <n v="1"/>
    <n v="1"/>
    <n v="181.3"/>
  </r>
  <r>
    <x v="82"/>
    <n v="13"/>
    <n v="11"/>
    <n v="0"/>
    <n v="0"/>
    <n v="24"/>
    <n v="0.45833333333333331"/>
    <n v="1"/>
    <n v="74.7"/>
    <n v="0"/>
    <n v="24"/>
    <n v="0"/>
    <n v="0"/>
    <n v="24"/>
    <n v="1"/>
    <n v="1"/>
    <n v="178.2"/>
    <n v="5"/>
    <n v="17"/>
    <n v="2"/>
    <n v="0"/>
    <n v="22"/>
    <n v="0.70833333333333337"/>
    <n v="0.91666666666666663"/>
    <n v="123.36"/>
    <n v="0"/>
    <n v="24"/>
    <n v="0"/>
    <n v="0"/>
    <n v="24"/>
    <n v="1"/>
    <n v="1"/>
    <n v="181.05"/>
    <n v="0"/>
    <n v="0"/>
    <n v="24"/>
    <n v="0"/>
    <n v="0"/>
    <n v="0"/>
    <n v="0"/>
    <n v="0"/>
    <n v="0"/>
    <n v="24"/>
    <n v="0"/>
    <n v="0"/>
    <n v="24"/>
    <n v="1"/>
    <n v="1"/>
    <n v="181.88"/>
    <n v="3"/>
    <n v="13"/>
    <n v="8"/>
    <n v="0"/>
    <n v="16"/>
    <n v="0.54166666666666663"/>
    <n v="0.66666666666666663"/>
    <n v="98.18"/>
    <n v="0"/>
    <n v="24"/>
    <n v="0"/>
    <n v="0"/>
    <n v="24"/>
    <n v="1"/>
    <n v="1"/>
    <n v="180.86"/>
    <n v="0"/>
    <n v="24"/>
    <n v="0"/>
    <n v="0"/>
    <n v="24"/>
    <n v="1"/>
    <n v="1"/>
    <n v="180.81"/>
    <n v="0"/>
    <n v="24"/>
    <n v="0"/>
    <n v="0"/>
    <n v="24"/>
    <n v="1"/>
    <n v="1"/>
    <n v="180.79"/>
  </r>
  <r>
    <x v="83"/>
    <n v="0"/>
    <n v="24"/>
    <n v="0"/>
    <n v="0"/>
    <n v="24"/>
    <n v="1"/>
    <n v="1"/>
    <n v="171.8"/>
    <n v="1"/>
    <n v="21"/>
    <n v="0"/>
    <n v="2"/>
    <n v="22"/>
    <n v="0.875"/>
    <n v="0.91666666666666663"/>
    <n v="155.1"/>
    <n v="0"/>
    <n v="24"/>
    <n v="0"/>
    <n v="0"/>
    <n v="24"/>
    <n v="1"/>
    <n v="1"/>
    <n v="176.09"/>
    <n v="0"/>
    <n v="24"/>
    <n v="0"/>
    <n v="0"/>
    <n v="24"/>
    <n v="1"/>
    <n v="1"/>
    <n v="174.23"/>
    <n v="0"/>
    <n v="0"/>
    <n v="24"/>
    <n v="0"/>
    <n v="0"/>
    <n v="0"/>
    <n v="0"/>
    <n v="0"/>
    <n v="1"/>
    <n v="19"/>
    <n v="4"/>
    <n v="0"/>
    <n v="20"/>
    <n v="0.79166666666666663"/>
    <n v="0.83333333333333337"/>
    <n v="138.25"/>
    <n v="24"/>
    <n v="0"/>
    <n v="0"/>
    <n v="0"/>
    <n v="24"/>
    <n v="0"/>
    <n v="1"/>
    <n v="0"/>
    <n v="0"/>
    <n v="24"/>
    <n v="0"/>
    <n v="0"/>
    <n v="24"/>
    <n v="1"/>
    <n v="1"/>
    <n v="179.5"/>
    <n v="0"/>
    <n v="24"/>
    <n v="0"/>
    <n v="0"/>
    <n v="24"/>
    <n v="1"/>
    <n v="1"/>
    <n v="179.56"/>
    <n v="0"/>
    <n v="24"/>
    <n v="0"/>
    <n v="0"/>
    <n v="24"/>
    <n v="1"/>
    <n v="1"/>
    <n v="175.48"/>
  </r>
  <r>
    <x v="84"/>
    <n v="2"/>
    <n v="22"/>
    <n v="0"/>
    <n v="0"/>
    <n v="24"/>
    <n v="0.91666666666666663"/>
    <n v="1"/>
    <n v="163"/>
    <n v="5"/>
    <n v="19"/>
    <n v="0"/>
    <n v="0"/>
    <n v="24"/>
    <n v="0.79166666666666663"/>
    <n v="1"/>
    <n v="138.30000000000001"/>
    <n v="1"/>
    <n v="23"/>
    <n v="0"/>
    <n v="0"/>
    <n v="24"/>
    <n v="0.95833333333333337"/>
    <n v="1"/>
    <n v="172.88"/>
    <n v="2"/>
    <n v="19"/>
    <n v="0"/>
    <n v="3"/>
    <n v="21"/>
    <n v="0.79166666666666663"/>
    <n v="0.875"/>
    <n v="138.41999999999999"/>
    <n v="0"/>
    <n v="0"/>
    <n v="24"/>
    <n v="0"/>
    <n v="0"/>
    <n v="0"/>
    <n v="0"/>
    <n v="0"/>
    <n v="2"/>
    <n v="20"/>
    <n v="0"/>
    <n v="2"/>
    <n v="22"/>
    <n v="0.83333333333333337"/>
    <n v="0.91666666666666663"/>
    <n v="151.08000000000001"/>
    <n v="23"/>
    <n v="0"/>
    <n v="0"/>
    <n v="1"/>
    <n v="23"/>
    <n v="0"/>
    <n v="0.95833333333333337"/>
    <n v="0"/>
    <n v="4"/>
    <n v="20"/>
    <n v="0"/>
    <n v="0"/>
    <n v="24"/>
    <n v="0.83333333333333337"/>
    <n v="1"/>
    <n v="139.97999999999999"/>
    <n v="3"/>
    <n v="21"/>
    <n v="0"/>
    <n v="0"/>
    <n v="24"/>
    <n v="0.875"/>
    <n v="1"/>
    <n v="156.86000000000001"/>
    <n v="1"/>
    <n v="19"/>
    <n v="4"/>
    <n v="0"/>
    <n v="20"/>
    <n v="0.79166666666666663"/>
    <n v="0.83333333333333337"/>
    <n v="142"/>
  </r>
  <r>
    <x v="85"/>
    <n v="0"/>
    <n v="24"/>
    <n v="0"/>
    <n v="0"/>
    <n v="24"/>
    <n v="1"/>
    <n v="1"/>
    <n v="181.3"/>
    <n v="7"/>
    <n v="17"/>
    <n v="0"/>
    <n v="0"/>
    <n v="24"/>
    <n v="0.70833333333333337"/>
    <n v="1"/>
    <n v="122.9"/>
    <n v="0"/>
    <n v="24"/>
    <n v="0"/>
    <n v="0"/>
    <n v="24"/>
    <n v="1"/>
    <n v="1"/>
    <n v="182.78"/>
    <n v="1"/>
    <n v="23"/>
    <n v="0"/>
    <n v="0"/>
    <n v="24"/>
    <n v="0.95833333333333337"/>
    <n v="1"/>
    <n v="177.8"/>
    <n v="0"/>
    <n v="1"/>
    <n v="23"/>
    <n v="0"/>
    <n v="1"/>
    <n v="4.1666666666666664E-2"/>
    <n v="4.1666666666666664E-2"/>
    <n v="0"/>
    <n v="0"/>
    <n v="24"/>
    <n v="0"/>
    <n v="0"/>
    <n v="24"/>
    <n v="1"/>
    <n v="1"/>
    <n v="179.22"/>
    <n v="24"/>
    <n v="0"/>
    <n v="0"/>
    <n v="0"/>
    <n v="24"/>
    <n v="0"/>
    <n v="1"/>
    <n v="0"/>
    <n v="0"/>
    <n v="24"/>
    <n v="0"/>
    <n v="0"/>
    <n v="24"/>
    <n v="1"/>
    <n v="1"/>
    <n v="183.91"/>
    <n v="0"/>
    <n v="24"/>
    <n v="0"/>
    <n v="0"/>
    <n v="24"/>
    <n v="1"/>
    <n v="1"/>
    <n v="184.47"/>
    <n v="0"/>
    <n v="24"/>
    <n v="0"/>
    <n v="0"/>
    <n v="24"/>
    <n v="1"/>
    <n v="1"/>
    <n v="186.34"/>
  </r>
  <r>
    <x v="86"/>
    <n v="0"/>
    <n v="24"/>
    <n v="0"/>
    <n v="0"/>
    <n v="24"/>
    <n v="1"/>
    <n v="1"/>
    <n v="178.7"/>
    <n v="2"/>
    <n v="22"/>
    <n v="0"/>
    <n v="0"/>
    <n v="24"/>
    <n v="0.91666666666666663"/>
    <n v="1"/>
    <n v="158.69999999999999"/>
    <n v="0"/>
    <n v="24"/>
    <n v="0"/>
    <n v="0"/>
    <n v="24"/>
    <n v="1"/>
    <n v="1"/>
    <n v="178.9"/>
    <n v="2"/>
    <n v="20"/>
    <n v="0"/>
    <n v="2"/>
    <n v="22"/>
    <n v="0.83333333333333337"/>
    <n v="0.91666666666666663"/>
    <n v="147.94999999999999"/>
    <n v="0"/>
    <n v="5"/>
    <n v="19"/>
    <n v="0"/>
    <n v="5"/>
    <n v="0.20833333333333334"/>
    <n v="0.20833333333333334"/>
    <n v="23.66"/>
    <n v="0"/>
    <n v="24"/>
    <n v="0"/>
    <n v="0"/>
    <n v="24"/>
    <n v="1"/>
    <n v="1"/>
    <n v="182.87"/>
    <n v="24"/>
    <n v="0"/>
    <n v="0"/>
    <n v="0"/>
    <n v="24"/>
    <n v="0"/>
    <n v="1"/>
    <n v="0"/>
    <n v="0"/>
    <n v="24"/>
    <n v="0"/>
    <n v="0"/>
    <n v="24"/>
    <n v="1"/>
    <n v="1"/>
    <n v="179.87"/>
    <n v="0"/>
    <n v="24"/>
    <n v="0"/>
    <n v="0"/>
    <n v="24"/>
    <n v="1"/>
    <n v="1"/>
    <n v="178.76"/>
    <n v="0"/>
    <n v="24"/>
    <n v="0"/>
    <n v="0"/>
    <n v="24"/>
    <n v="1"/>
    <n v="1"/>
    <n v="177.44"/>
  </r>
  <r>
    <x v="87"/>
    <n v="3"/>
    <n v="21"/>
    <n v="0"/>
    <n v="0"/>
    <n v="24"/>
    <n v="0.875"/>
    <n v="1"/>
    <n v="146.4"/>
    <n v="0"/>
    <n v="24"/>
    <n v="0"/>
    <n v="0"/>
    <n v="24"/>
    <n v="1"/>
    <n v="1"/>
    <n v="172.4"/>
    <n v="0"/>
    <n v="24"/>
    <n v="0"/>
    <n v="0"/>
    <n v="24"/>
    <n v="1"/>
    <n v="1"/>
    <n v="176.51"/>
    <n v="0"/>
    <n v="24"/>
    <n v="0"/>
    <n v="0"/>
    <n v="24"/>
    <n v="1"/>
    <n v="1"/>
    <n v="179.71"/>
    <n v="11"/>
    <n v="1"/>
    <n v="12"/>
    <n v="0"/>
    <n v="12"/>
    <n v="4.1666666666666664E-2"/>
    <n v="0.5"/>
    <n v="3.63"/>
    <n v="0"/>
    <n v="24"/>
    <n v="0"/>
    <n v="0"/>
    <n v="24"/>
    <n v="1"/>
    <n v="1"/>
    <n v="177.26"/>
    <n v="0"/>
    <n v="0"/>
    <n v="24"/>
    <n v="0"/>
    <n v="0"/>
    <n v="0"/>
    <n v="0"/>
    <n v="0"/>
    <n v="0"/>
    <n v="24"/>
    <n v="0"/>
    <n v="0"/>
    <n v="24"/>
    <n v="1"/>
    <n v="1"/>
    <n v="178.31"/>
    <n v="0"/>
    <n v="24"/>
    <n v="0"/>
    <n v="0"/>
    <n v="24"/>
    <n v="1"/>
    <n v="1"/>
    <n v="179.24"/>
    <n v="0"/>
    <n v="24"/>
    <n v="0"/>
    <n v="0"/>
    <n v="24"/>
    <n v="1"/>
    <n v="1"/>
    <n v="180.76"/>
  </r>
  <r>
    <x v="88"/>
    <n v="0"/>
    <n v="24"/>
    <n v="0"/>
    <n v="0"/>
    <n v="24"/>
    <n v="1"/>
    <n v="1"/>
    <n v="176.3"/>
    <n v="0"/>
    <n v="24"/>
    <n v="0"/>
    <n v="0"/>
    <n v="24"/>
    <n v="1"/>
    <n v="1"/>
    <n v="177.9"/>
    <n v="0"/>
    <n v="24"/>
    <n v="0"/>
    <n v="0"/>
    <n v="24"/>
    <n v="1"/>
    <n v="1"/>
    <n v="180.61"/>
    <n v="0"/>
    <n v="24"/>
    <n v="0"/>
    <n v="0"/>
    <n v="24"/>
    <n v="1"/>
    <n v="1"/>
    <n v="179.53"/>
    <n v="15"/>
    <n v="3"/>
    <n v="6"/>
    <n v="0"/>
    <n v="18"/>
    <n v="0.125"/>
    <n v="0.75"/>
    <n v="5.84"/>
    <n v="0"/>
    <n v="24"/>
    <n v="0"/>
    <n v="0"/>
    <n v="24"/>
    <n v="1"/>
    <n v="1"/>
    <n v="178.71"/>
    <n v="0"/>
    <n v="0"/>
    <n v="24"/>
    <n v="0"/>
    <n v="0"/>
    <n v="0"/>
    <n v="0"/>
    <n v="0"/>
    <n v="0"/>
    <n v="24"/>
    <n v="0"/>
    <n v="0"/>
    <n v="24"/>
    <n v="1"/>
    <n v="1"/>
    <n v="178.18"/>
    <n v="0"/>
    <n v="24"/>
    <n v="0"/>
    <n v="0"/>
    <n v="24"/>
    <n v="1"/>
    <n v="1"/>
    <n v="180.04"/>
    <n v="0"/>
    <n v="21"/>
    <n v="0"/>
    <n v="3"/>
    <n v="21"/>
    <n v="0.875"/>
    <n v="0.875"/>
    <n v="152.79"/>
  </r>
  <r>
    <x v="89"/>
    <n v="0"/>
    <n v="24"/>
    <n v="0"/>
    <n v="0"/>
    <n v="24"/>
    <n v="1"/>
    <n v="1"/>
    <n v="174"/>
    <n v="4"/>
    <n v="20"/>
    <n v="0"/>
    <n v="0"/>
    <n v="24"/>
    <n v="0.83333333333333337"/>
    <n v="1"/>
    <n v="144.30000000000001"/>
    <n v="0"/>
    <n v="24"/>
    <n v="0"/>
    <n v="0"/>
    <n v="24"/>
    <n v="1"/>
    <n v="1"/>
    <n v="175.29"/>
    <n v="0"/>
    <n v="24"/>
    <n v="0"/>
    <n v="0"/>
    <n v="24"/>
    <n v="1"/>
    <n v="1"/>
    <n v="174.62"/>
    <n v="0"/>
    <n v="1"/>
    <n v="23"/>
    <n v="0"/>
    <n v="1"/>
    <n v="4.1666666666666664E-2"/>
    <n v="4.1666666666666664E-2"/>
    <n v="6.72"/>
    <n v="0"/>
    <n v="24"/>
    <n v="0"/>
    <n v="0"/>
    <n v="24"/>
    <n v="1"/>
    <n v="1"/>
    <n v="174.51"/>
    <n v="0"/>
    <n v="0"/>
    <n v="24"/>
    <n v="0"/>
    <n v="0"/>
    <n v="0"/>
    <n v="0"/>
    <n v="0"/>
    <n v="0"/>
    <n v="24"/>
    <n v="0"/>
    <n v="0"/>
    <n v="24"/>
    <n v="1"/>
    <n v="1"/>
    <n v="175.17"/>
    <n v="0"/>
    <n v="24"/>
    <n v="0"/>
    <n v="0"/>
    <n v="24"/>
    <n v="1"/>
    <n v="1"/>
    <n v="176.24"/>
    <n v="0"/>
    <n v="24"/>
    <n v="0"/>
    <n v="0"/>
    <n v="24"/>
    <n v="1"/>
    <n v="1"/>
    <n v="174.3"/>
  </r>
  <r>
    <x v="90"/>
    <n v="2"/>
    <n v="18"/>
    <n v="4"/>
    <n v="0"/>
    <n v="20"/>
    <n v="0.75"/>
    <n v="0.83333333333333337"/>
    <n v="138.6"/>
    <n v="2"/>
    <n v="18"/>
    <n v="4"/>
    <n v="0"/>
    <n v="20"/>
    <n v="0.75"/>
    <n v="0.83333333333333337"/>
    <n v="144.1"/>
    <n v="2"/>
    <n v="18"/>
    <n v="4"/>
    <n v="0"/>
    <n v="20"/>
    <n v="0.75"/>
    <n v="0.83333333333333337"/>
    <n v="138.94999999999999"/>
    <n v="2"/>
    <n v="18"/>
    <n v="4"/>
    <n v="0"/>
    <n v="20"/>
    <n v="0.75"/>
    <n v="0.83333333333333337"/>
    <n v="138.24"/>
    <n v="12"/>
    <n v="6"/>
    <n v="0"/>
    <n v="6"/>
    <n v="18"/>
    <n v="0.25"/>
    <n v="0.75"/>
    <n v="24.11"/>
    <n v="1"/>
    <n v="23"/>
    <n v="0"/>
    <n v="0"/>
    <n v="24"/>
    <n v="0.95833333333333337"/>
    <n v="1"/>
    <n v="188.84"/>
    <n v="0"/>
    <n v="0"/>
    <n v="24"/>
    <n v="0"/>
    <n v="0"/>
    <n v="0"/>
    <n v="0"/>
    <n v="0"/>
    <n v="0"/>
    <n v="24"/>
    <n v="0"/>
    <n v="0"/>
    <n v="24"/>
    <n v="1"/>
    <n v="1"/>
    <n v="195.87"/>
    <n v="0"/>
    <n v="24"/>
    <n v="0"/>
    <n v="0"/>
    <n v="24"/>
    <n v="1"/>
    <n v="1"/>
    <n v="196.56"/>
    <n v="0"/>
    <n v="24"/>
    <n v="0"/>
    <n v="0"/>
    <n v="24"/>
    <n v="1"/>
    <n v="1"/>
    <n v="198.98"/>
  </r>
  <r>
    <x v="91"/>
    <n v="0"/>
    <n v="24"/>
    <n v="0"/>
    <n v="0"/>
    <n v="24"/>
    <n v="1"/>
    <n v="1"/>
    <n v="184.8"/>
    <n v="5"/>
    <n v="17"/>
    <n v="2"/>
    <n v="0"/>
    <n v="22"/>
    <n v="0.70833333333333337"/>
    <n v="0.91666666666666663"/>
    <n v="117.7"/>
    <n v="0"/>
    <n v="24"/>
    <n v="0"/>
    <n v="0"/>
    <n v="24"/>
    <n v="1"/>
    <n v="1"/>
    <n v="191.58"/>
    <n v="0"/>
    <n v="24"/>
    <n v="0"/>
    <n v="0"/>
    <n v="24"/>
    <n v="1"/>
    <n v="1"/>
    <n v="187.23"/>
    <n v="4"/>
    <n v="19"/>
    <n v="1"/>
    <n v="0"/>
    <n v="23"/>
    <n v="0.79166666666666663"/>
    <n v="0.95833333333333337"/>
    <n v="93.17"/>
    <n v="9"/>
    <n v="0"/>
    <n v="4"/>
    <n v="11"/>
    <n v="9"/>
    <n v="0"/>
    <n v="0.375"/>
    <n v="0.03"/>
    <n v="0"/>
    <n v="0"/>
    <n v="24"/>
    <n v="0"/>
    <n v="0"/>
    <n v="0"/>
    <n v="0"/>
    <n v="0"/>
    <n v="0"/>
    <n v="24"/>
    <n v="0"/>
    <n v="0"/>
    <n v="24"/>
    <n v="1"/>
    <n v="1"/>
    <n v="191.36"/>
    <n v="0"/>
    <n v="24"/>
    <n v="0"/>
    <n v="0"/>
    <n v="24"/>
    <n v="1"/>
    <n v="1"/>
    <n v="192.26"/>
    <n v="0"/>
    <n v="24"/>
    <n v="0"/>
    <n v="0"/>
    <n v="24"/>
    <n v="1"/>
    <n v="1"/>
    <n v="193.81"/>
  </r>
  <r>
    <x v="92"/>
    <n v="0"/>
    <n v="24"/>
    <n v="0"/>
    <n v="0"/>
    <n v="24"/>
    <n v="1"/>
    <n v="1"/>
    <n v="187.6"/>
    <n v="0"/>
    <n v="24"/>
    <n v="0"/>
    <n v="0"/>
    <n v="24"/>
    <n v="1"/>
    <n v="1"/>
    <n v="187"/>
    <n v="0"/>
    <n v="24"/>
    <n v="0"/>
    <n v="0"/>
    <n v="24"/>
    <n v="1"/>
    <n v="1"/>
    <n v="188.02"/>
    <n v="0"/>
    <n v="24"/>
    <n v="0"/>
    <n v="0"/>
    <n v="24"/>
    <n v="1"/>
    <n v="1"/>
    <n v="186.6"/>
    <n v="1"/>
    <n v="20"/>
    <n v="3"/>
    <n v="0"/>
    <n v="21"/>
    <n v="0.83333333333333337"/>
    <n v="0.875"/>
    <n v="99.69"/>
    <n v="2"/>
    <n v="21"/>
    <n v="0"/>
    <n v="1"/>
    <n v="23"/>
    <n v="0.875"/>
    <n v="0.95833333333333337"/>
    <n v="158.32"/>
    <n v="0"/>
    <n v="0"/>
    <n v="24"/>
    <n v="0"/>
    <n v="0"/>
    <n v="0"/>
    <n v="0"/>
    <n v="0"/>
    <n v="0"/>
    <n v="24"/>
    <n v="0"/>
    <n v="0"/>
    <n v="24"/>
    <n v="1"/>
    <n v="1"/>
    <n v="189.58"/>
    <n v="0"/>
    <n v="24"/>
    <n v="0"/>
    <n v="0"/>
    <n v="24"/>
    <n v="1"/>
    <n v="1"/>
    <n v="187.75"/>
    <n v="6"/>
    <n v="0"/>
    <n v="0"/>
    <n v="18"/>
    <n v="6"/>
    <n v="0"/>
    <n v="0.25"/>
    <n v="0.08"/>
  </r>
  <r>
    <x v="93"/>
    <n v="0"/>
    <n v="24"/>
    <n v="0"/>
    <n v="0"/>
    <n v="24"/>
    <n v="1"/>
    <n v="1"/>
    <n v="189.3"/>
    <n v="0"/>
    <n v="0"/>
    <n v="24"/>
    <n v="0"/>
    <n v="0"/>
    <n v="0"/>
    <n v="0"/>
    <n v="0.6"/>
    <n v="0"/>
    <n v="24"/>
    <n v="0"/>
    <n v="0"/>
    <n v="24"/>
    <n v="1"/>
    <n v="1"/>
    <n v="191.47"/>
    <n v="0"/>
    <n v="24"/>
    <n v="0"/>
    <n v="0"/>
    <n v="24"/>
    <n v="1"/>
    <n v="1"/>
    <n v="188.59"/>
    <n v="2"/>
    <n v="21"/>
    <n v="0"/>
    <n v="1"/>
    <n v="23"/>
    <n v="0.875"/>
    <n v="0.95833333333333337"/>
    <n v="146.41999999999999"/>
    <n v="1"/>
    <n v="23"/>
    <n v="0"/>
    <n v="0"/>
    <n v="24"/>
    <n v="0.95833333333333337"/>
    <n v="1"/>
    <n v="173.43"/>
    <n v="0"/>
    <n v="0"/>
    <n v="24"/>
    <n v="0"/>
    <n v="0"/>
    <n v="0"/>
    <n v="0"/>
    <n v="0"/>
    <n v="0"/>
    <n v="24"/>
    <n v="0"/>
    <n v="0"/>
    <n v="24"/>
    <n v="1"/>
    <n v="1"/>
    <n v="181.55"/>
    <n v="0"/>
    <n v="24"/>
    <n v="0"/>
    <n v="0"/>
    <n v="24"/>
    <n v="1"/>
    <n v="1"/>
    <n v="184.91"/>
    <n v="2"/>
    <n v="22"/>
    <n v="0"/>
    <n v="0"/>
    <n v="24"/>
    <n v="0.91666666666666663"/>
    <n v="1"/>
    <n v="166.44"/>
  </r>
  <r>
    <x v="94"/>
    <n v="0"/>
    <n v="24"/>
    <n v="0"/>
    <n v="0"/>
    <n v="24"/>
    <n v="1"/>
    <n v="1"/>
    <n v="198"/>
    <n v="0"/>
    <n v="0"/>
    <n v="24"/>
    <n v="0"/>
    <n v="0"/>
    <n v="0"/>
    <n v="0"/>
    <n v="0"/>
    <n v="0"/>
    <n v="24"/>
    <n v="0"/>
    <n v="0"/>
    <n v="24"/>
    <n v="1"/>
    <n v="1"/>
    <n v="198.2"/>
    <n v="0"/>
    <n v="24"/>
    <n v="0"/>
    <n v="0"/>
    <n v="24"/>
    <n v="1"/>
    <n v="1"/>
    <n v="201.28"/>
    <n v="0"/>
    <n v="24"/>
    <n v="0"/>
    <n v="0"/>
    <n v="24"/>
    <n v="1"/>
    <n v="1"/>
    <n v="169.62"/>
    <n v="0"/>
    <n v="24"/>
    <n v="0"/>
    <n v="0"/>
    <n v="24"/>
    <n v="1"/>
    <n v="1"/>
    <n v="190.22"/>
    <n v="0"/>
    <n v="0"/>
    <n v="24"/>
    <n v="0"/>
    <n v="0"/>
    <n v="0"/>
    <n v="0"/>
    <n v="0"/>
    <n v="1"/>
    <n v="19"/>
    <n v="4"/>
    <n v="0"/>
    <n v="20"/>
    <n v="0.79166666666666663"/>
    <n v="0.83333333333333337"/>
    <n v="155.66999999999999"/>
    <n v="0"/>
    <n v="24"/>
    <n v="0"/>
    <n v="0"/>
    <n v="24"/>
    <n v="1"/>
    <n v="1"/>
    <n v="198.08"/>
    <n v="0"/>
    <n v="24"/>
    <n v="0"/>
    <n v="0"/>
    <n v="24"/>
    <n v="1"/>
    <n v="1"/>
    <n v="199.28"/>
  </r>
  <r>
    <x v="95"/>
    <n v="0"/>
    <n v="24"/>
    <n v="0"/>
    <n v="0"/>
    <n v="24"/>
    <n v="1"/>
    <n v="1"/>
    <n v="179.9"/>
    <n v="0"/>
    <n v="0"/>
    <n v="24"/>
    <n v="0"/>
    <n v="0"/>
    <n v="0"/>
    <n v="0"/>
    <n v="0"/>
    <n v="0"/>
    <n v="24"/>
    <n v="0"/>
    <n v="0"/>
    <n v="24"/>
    <n v="1"/>
    <n v="1"/>
    <n v="180.05"/>
    <n v="0"/>
    <n v="24"/>
    <n v="0"/>
    <n v="0"/>
    <n v="24"/>
    <n v="1"/>
    <n v="1"/>
    <n v="184.44"/>
    <n v="0"/>
    <n v="24"/>
    <n v="0"/>
    <n v="0"/>
    <n v="24"/>
    <n v="1"/>
    <n v="1"/>
    <n v="126.36"/>
    <n v="2"/>
    <n v="21"/>
    <n v="0"/>
    <n v="1"/>
    <n v="23"/>
    <n v="0.875"/>
    <n v="0.95833333333333337"/>
    <n v="157.43"/>
    <n v="0"/>
    <n v="0"/>
    <n v="24"/>
    <n v="0"/>
    <n v="0"/>
    <n v="0"/>
    <n v="0"/>
    <n v="0"/>
    <n v="0"/>
    <n v="24"/>
    <n v="0"/>
    <n v="0"/>
    <n v="24"/>
    <n v="1"/>
    <n v="1"/>
    <n v="181.58"/>
    <n v="0"/>
    <n v="24"/>
    <n v="0"/>
    <n v="0"/>
    <n v="24"/>
    <n v="1"/>
    <n v="1"/>
    <n v="182.5"/>
    <n v="0"/>
    <n v="24"/>
    <n v="0"/>
    <n v="0"/>
    <n v="24"/>
    <n v="1"/>
    <n v="1"/>
    <n v="183.57"/>
  </r>
  <r>
    <x v="96"/>
    <n v="0"/>
    <n v="24"/>
    <n v="0"/>
    <n v="0"/>
    <n v="24"/>
    <n v="1"/>
    <n v="1"/>
    <n v="179.1"/>
    <n v="0"/>
    <n v="0"/>
    <n v="24"/>
    <n v="0"/>
    <n v="0"/>
    <n v="0"/>
    <n v="0"/>
    <n v="0"/>
    <n v="0"/>
    <n v="24"/>
    <n v="0"/>
    <n v="0"/>
    <n v="24"/>
    <n v="1"/>
    <n v="1"/>
    <n v="182.37"/>
    <n v="0"/>
    <n v="24"/>
    <n v="0"/>
    <n v="0"/>
    <n v="24"/>
    <n v="1"/>
    <n v="1"/>
    <n v="181.25"/>
    <n v="0"/>
    <n v="21"/>
    <n v="0"/>
    <n v="3"/>
    <n v="21"/>
    <n v="0.875"/>
    <n v="0.875"/>
    <n v="107.53"/>
    <n v="0"/>
    <n v="24"/>
    <n v="0"/>
    <n v="0"/>
    <n v="24"/>
    <n v="1"/>
    <n v="1"/>
    <n v="178.67"/>
    <n v="0"/>
    <n v="0"/>
    <n v="24"/>
    <n v="0"/>
    <n v="0"/>
    <n v="0"/>
    <n v="0"/>
    <n v="0"/>
    <n v="0"/>
    <n v="24"/>
    <n v="0"/>
    <n v="0"/>
    <n v="24"/>
    <n v="1"/>
    <n v="1"/>
    <n v="182.2"/>
    <n v="0"/>
    <n v="24"/>
    <n v="0"/>
    <n v="0"/>
    <n v="24"/>
    <n v="1"/>
    <n v="1"/>
    <n v="173.93"/>
    <n v="0"/>
    <n v="24"/>
    <n v="0"/>
    <n v="0"/>
    <n v="24"/>
    <n v="1"/>
    <n v="1"/>
    <n v="183.79"/>
  </r>
  <r>
    <x v="97"/>
    <n v="0"/>
    <n v="24"/>
    <n v="0"/>
    <n v="0"/>
    <n v="24"/>
    <n v="1"/>
    <n v="1"/>
    <n v="177.3"/>
    <n v="0"/>
    <n v="0"/>
    <n v="24"/>
    <n v="0"/>
    <n v="0"/>
    <n v="0"/>
    <n v="0"/>
    <n v="0"/>
    <n v="0"/>
    <n v="24"/>
    <n v="0"/>
    <n v="0"/>
    <n v="24"/>
    <n v="1"/>
    <n v="1"/>
    <n v="178.82"/>
    <n v="0"/>
    <n v="24"/>
    <n v="0"/>
    <n v="0"/>
    <n v="24"/>
    <n v="1"/>
    <n v="1"/>
    <n v="183.51"/>
    <n v="2"/>
    <n v="22"/>
    <n v="0"/>
    <n v="0"/>
    <n v="24"/>
    <n v="0.91666666666666663"/>
    <n v="1"/>
    <n v="120.55"/>
    <n v="0"/>
    <n v="22"/>
    <n v="0"/>
    <n v="2"/>
    <n v="22"/>
    <n v="0.91666666666666663"/>
    <n v="0.91666666666666663"/>
    <n v="166.29"/>
    <n v="0"/>
    <n v="0"/>
    <n v="24"/>
    <n v="0"/>
    <n v="0"/>
    <n v="0"/>
    <n v="0"/>
    <n v="0"/>
    <n v="0"/>
    <n v="24"/>
    <n v="0"/>
    <n v="0"/>
    <n v="24"/>
    <n v="1"/>
    <n v="1"/>
    <n v="180.02"/>
    <n v="0"/>
    <n v="24"/>
    <n v="0"/>
    <n v="0"/>
    <n v="24"/>
    <n v="1"/>
    <n v="1"/>
    <n v="181.12"/>
    <n v="0"/>
    <n v="24"/>
    <n v="0"/>
    <n v="0"/>
    <n v="24"/>
    <n v="1"/>
    <n v="1"/>
    <n v="180.82"/>
  </r>
  <r>
    <x v="98"/>
    <n v="0"/>
    <n v="24"/>
    <n v="0"/>
    <n v="0"/>
    <n v="24"/>
    <n v="1"/>
    <n v="1"/>
    <n v="184.4"/>
    <n v="0"/>
    <n v="0"/>
    <n v="24"/>
    <n v="0"/>
    <n v="0"/>
    <n v="0"/>
    <n v="0"/>
    <n v="0"/>
    <n v="0"/>
    <n v="24"/>
    <n v="0"/>
    <n v="0"/>
    <n v="24"/>
    <n v="1"/>
    <n v="1"/>
    <n v="182.21"/>
    <n v="0"/>
    <n v="24"/>
    <n v="0"/>
    <n v="0"/>
    <n v="24"/>
    <n v="1"/>
    <n v="1"/>
    <n v="188.02"/>
    <n v="0"/>
    <n v="24"/>
    <n v="0"/>
    <n v="0"/>
    <n v="24"/>
    <n v="1"/>
    <n v="1"/>
    <n v="125.31"/>
    <n v="2"/>
    <n v="22"/>
    <n v="0"/>
    <n v="0"/>
    <n v="24"/>
    <n v="0.91666666666666663"/>
    <n v="1"/>
    <n v="156.75"/>
    <n v="0"/>
    <n v="0"/>
    <n v="24"/>
    <n v="0"/>
    <n v="0"/>
    <n v="0"/>
    <n v="0"/>
    <n v="0"/>
    <n v="0"/>
    <n v="24"/>
    <n v="0"/>
    <n v="0"/>
    <n v="24"/>
    <n v="1"/>
    <n v="1"/>
    <n v="185.47"/>
    <n v="0"/>
    <n v="24"/>
    <n v="0"/>
    <n v="0"/>
    <n v="24"/>
    <n v="1"/>
    <n v="1"/>
    <n v="187.54"/>
    <n v="0"/>
    <n v="24"/>
    <n v="0"/>
    <n v="0"/>
    <n v="24"/>
    <n v="1"/>
    <n v="1"/>
    <n v="187.54"/>
  </r>
  <r>
    <x v="99"/>
    <n v="0"/>
    <n v="24"/>
    <n v="0"/>
    <n v="0"/>
    <n v="24"/>
    <n v="1"/>
    <n v="1"/>
    <n v="184.1"/>
    <n v="0"/>
    <n v="0"/>
    <n v="24"/>
    <n v="0"/>
    <n v="0"/>
    <n v="0"/>
    <n v="0"/>
    <n v="0"/>
    <n v="0"/>
    <n v="24"/>
    <n v="0"/>
    <n v="0"/>
    <n v="24"/>
    <n v="1"/>
    <n v="1"/>
    <n v="187.83"/>
    <n v="0"/>
    <n v="24"/>
    <n v="0"/>
    <n v="0"/>
    <n v="24"/>
    <n v="1"/>
    <n v="1"/>
    <n v="188.75"/>
    <n v="3"/>
    <n v="21"/>
    <n v="0"/>
    <n v="0"/>
    <n v="24"/>
    <n v="0.875"/>
    <n v="1"/>
    <n v="107.69"/>
    <n v="1"/>
    <n v="23"/>
    <n v="0"/>
    <n v="0"/>
    <n v="24"/>
    <n v="0.95833333333333337"/>
    <n v="1"/>
    <n v="175.32"/>
    <n v="0"/>
    <n v="0"/>
    <n v="24"/>
    <n v="0"/>
    <n v="0"/>
    <n v="0"/>
    <n v="0"/>
    <n v="0"/>
    <n v="0"/>
    <n v="24"/>
    <n v="0"/>
    <n v="0"/>
    <n v="24"/>
    <n v="1"/>
    <n v="1"/>
    <n v="185.2"/>
    <n v="0"/>
    <n v="24"/>
    <n v="0"/>
    <n v="0"/>
    <n v="24"/>
    <n v="1"/>
    <n v="1"/>
    <n v="187.02"/>
    <n v="0"/>
    <n v="24"/>
    <n v="0"/>
    <n v="0"/>
    <n v="24"/>
    <n v="1"/>
    <n v="1"/>
    <n v="188.13"/>
  </r>
  <r>
    <x v="100"/>
    <n v="0"/>
    <n v="24"/>
    <n v="0"/>
    <n v="0"/>
    <n v="24"/>
    <n v="1"/>
    <n v="1"/>
    <n v="181.7"/>
    <n v="0"/>
    <n v="0"/>
    <n v="24"/>
    <n v="0"/>
    <n v="0"/>
    <n v="0"/>
    <n v="0"/>
    <n v="0"/>
    <n v="0"/>
    <n v="24"/>
    <n v="0"/>
    <n v="0"/>
    <n v="24"/>
    <n v="1"/>
    <n v="1"/>
    <n v="179.7"/>
    <n v="0"/>
    <n v="24"/>
    <n v="0"/>
    <n v="0"/>
    <n v="24"/>
    <n v="1"/>
    <n v="1"/>
    <n v="183.75"/>
    <n v="3"/>
    <n v="21"/>
    <n v="0"/>
    <n v="0"/>
    <n v="24"/>
    <n v="0.875"/>
    <n v="1"/>
    <n v="103.34"/>
    <n v="0"/>
    <n v="24"/>
    <n v="0"/>
    <n v="0"/>
    <n v="24"/>
    <n v="1"/>
    <n v="1"/>
    <n v="180.78"/>
    <n v="0"/>
    <n v="0"/>
    <n v="24"/>
    <n v="0"/>
    <n v="0"/>
    <n v="0"/>
    <n v="0"/>
    <n v="0"/>
    <n v="0"/>
    <n v="23"/>
    <n v="0"/>
    <n v="1"/>
    <n v="23"/>
    <n v="0.95833333333333337"/>
    <n v="0.95833333333333337"/>
    <n v="177.91"/>
    <n v="0"/>
    <n v="24"/>
    <n v="0"/>
    <n v="0"/>
    <n v="24"/>
    <n v="1"/>
    <n v="1"/>
    <n v="183.29"/>
    <n v="0"/>
    <n v="24"/>
    <n v="0"/>
    <n v="0"/>
    <n v="24"/>
    <n v="1"/>
    <n v="1"/>
    <n v="183.01"/>
  </r>
  <r>
    <x v="101"/>
    <n v="0"/>
    <n v="19"/>
    <n v="4"/>
    <n v="1"/>
    <n v="19"/>
    <n v="0.79166666666666663"/>
    <n v="0.79166666666666663"/>
    <n v="141.4"/>
    <n v="0"/>
    <n v="0"/>
    <n v="24"/>
    <n v="0"/>
    <n v="0"/>
    <n v="0"/>
    <n v="0"/>
    <n v="0"/>
    <n v="5"/>
    <n v="13"/>
    <n v="4"/>
    <n v="2"/>
    <n v="18"/>
    <n v="0.54166666666666663"/>
    <n v="0.75"/>
    <n v="85.26"/>
    <n v="0"/>
    <n v="21"/>
    <n v="3"/>
    <n v="0"/>
    <n v="21"/>
    <n v="0.875"/>
    <n v="0.875"/>
    <n v="155.22999999999999"/>
    <n v="1"/>
    <n v="23"/>
    <n v="0"/>
    <n v="0"/>
    <n v="24"/>
    <n v="0.95833333333333337"/>
    <n v="1"/>
    <n v="165.06"/>
    <n v="0"/>
    <n v="24"/>
    <n v="0"/>
    <n v="0"/>
    <n v="24"/>
    <n v="1"/>
    <n v="1"/>
    <n v="177.98"/>
    <n v="0"/>
    <n v="0"/>
    <n v="24"/>
    <n v="0"/>
    <n v="0"/>
    <n v="0"/>
    <n v="0"/>
    <n v="0"/>
    <n v="0"/>
    <n v="24"/>
    <n v="0"/>
    <n v="0"/>
    <n v="24"/>
    <n v="1"/>
    <n v="1"/>
    <n v="183.12"/>
    <n v="1"/>
    <n v="18"/>
    <n v="4"/>
    <n v="1"/>
    <n v="19"/>
    <n v="0.75"/>
    <n v="0.79166666666666663"/>
    <n v="143.71"/>
    <n v="2"/>
    <n v="13"/>
    <n v="4"/>
    <n v="5"/>
    <n v="15"/>
    <n v="0.54166666666666663"/>
    <n v="0.625"/>
    <n v="93.98"/>
  </r>
  <r>
    <x v="102"/>
    <n v="0"/>
    <n v="23"/>
    <n v="0"/>
    <n v="1"/>
    <n v="23"/>
    <n v="0.95833333333333337"/>
    <n v="0.95833333333333337"/>
    <n v="174.6"/>
    <n v="0"/>
    <n v="0"/>
    <n v="24"/>
    <n v="0"/>
    <n v="0"/>
    <n v="0"/>
    <n v="0"/>
    <n v="0"/>
    <n v="0"/>
    <n v="24"/>
    <n v="0"/>
    <n v="0"/>
    <n v="24"/>
    <n v="1"/>
    <n v="1"/>
    <n v="182.49"/>
    <n v="3"/>
    <n v="21"/>
    <n v="0"/>
    <n v="0"/>
    <n v="24"/>
    <n v="0.875"/>
    <n v="1"/>
    <n v="161.41"/>
    <n v="0"/>
    <n v="24"/>
    <n v="0"/>
    <n v="0"/>
    <n v="24"/>
    <n v="1"/>
    <n v="1"/>
    <n v="142.58000000000001"/>
    <n v="1"/>
    <n v="23"/>
    <n v="0"/>
    <n v="0"/>
    <n v="24"/>
    <n v="0.95833333333333337"/>
    <n v="1"/>
    <n v="179.52"/>
    <n v="0"/>
    <n v="0"/>
    <n v="24"/>
    <n v="0"/>
    <n v="0"/>
    <n v="0"/>
    <n v="0"/>
    <n v="0"/>
    <n v="0"/>
    <n v="24"/>
    <n v="0"/>
    <n v="0"/>
    <n v="24"/>
    <n v="1"/>
    <n v="1"/>
    <n v="182.2"/>
    <n v="0"/>
    <n v="24"/>
    <n v="0"/>
    <n v="0"/>
    <n v="24"/>
    <n v="1"/>
    <n v="1"/>
    <n v="183.61"/>
    <n v="0"/>
    <n v="24"/>
    <n v="0"/>
    <n v="0"/>
    <n v="24"/>
    <n v="1"/>
    <n v="1"/>
    <n v="184.12"/>
  </r>
  <r>
    <x v="103"/>
    <n v="0"/>
    <n v="24"/>
    <n v="0"/>
    <n v="0"/>
    <n v="24"/>
    <n v="1"/>
    <n v="1"/>
    <n v="181.3"/>
    <n v="0"/>
    <n v="0"/>
    <n v="24"/>
    <n v="0"/>
    <n v="0"/>
    <n v="0"/>
    <n v="0"/>
    <n v="0"/>
    <n v="0"/>
    <n v="24"/>
    <n v="0"/>
    <n v="0"/>
    <n v="24"/>
    <n v="1"/>
    <n v="1"/>
    <n v="183.84"/>
    <n v="0"/>
    <n v="24"/>
    <n v="0"/>
    <n v="0"/>
    <n v="24"/>
    <n v="1"/>
    <n v="1"/>
    <n v="181.67"/>
    <n v="0"/>
    <n v="19"/>
    <n v="4"/>
    <n v="1"/>
    <n v="19"/>
    <n v="0.79166666666666663"/>
    <n v="0.79166666666666663"/>
    <n v="114.86"/>
    <n v="0"/>
    <n v="24"/>
    <n v="0"/>
    <n v="0"/>
    <n v="24"/>
    <n v="1"/>
    <n v="1"/>
    <n v="182.98"/>
    <n v="0"/>
    <n v="0"/>
    <n v="24"/>
    <n v="0"/>
    <n v="0"/>
    <n v="0"/>
    <n v="0"/>
    <n v="0"/>
    <n v="0"/>
    <n v="24"/>
    <n v="0"/>
    <n v="0"/>
    <n v="24"/>
    <n v="1"/>
    <n v="1"/>
    <n v="182.47"/>
    <n v="0"/>
    <n v="24"/>
    <n v="0"/>
    <n v="0"/>
    <n v="24"/>
    <n v="1"/>
    <n v="1"/>
    <n v="185.83"/>
    <n v="0"/>
    <n v="24"/>
    <n v="0"/>
    <n v="0"/>
    <n v="24"/>
    <n v="1"/>
    <n v="1"/>
    <n v="185.75"/>
  </r>
  <r>
    <x v="104"/>
    <n v="0"/>
    <n v="24"/>
    <n v="0"/>
    <n v="0"/>
    <n v="24"/>
    <n v="1"/>
    <n v="1"/>
    <n v="176.9"/>
    <n v="0"/>
    <n v="0"/>
    <n v="24"/>
    <n v="0"/>
    <n v="0"/>
    <n v="0"/>
    <n v="0"/>
    <n v="0"/>
    <n v="0"/>
    <n v="24"/>
    <n v="0"/>
    <n v="0"/>
    <n v="24"/>
    <n v="1"/>
    <n v="1"/>
    <n v="177.74"/>
    <n v="0"/>
    <n v="22"/>
    <n v="0"/>
    <n v="2"/>
    <n v="22"/>
    <n v="0.91666666666666663"/>
    <n v="0.91666666666666663"/>
    <n v="163.13999999999999"/>
    <n v="0"/>
    <n v="24"/>
    <n v="0"/>
    <n v="0"/>
    <n v="24"/>
    <n v="1"/>
    <n v="1"/>
    <n v="154.58000000000001"/>
    <n v="0"/>
    <n v="23"/>
    <n v="0"/>
    <n v="1"/>
    <n v="23"/>
    <n v="0.95833333333333337"/>
    <n v="0.95833333333333337"/>
    <n v="159.27000000000001"/>
    <n v="0"/>
    <n v="0"/>
    <n v="24"/>
    <n v="0"/>
    <n v="0"/>
    <n v="0"/>
    <n v="0"/>
    <n v="0"/>
    <n v="0"/>
    <n v="24"/>
    <n v="0"/>
    <n v="0"/>
    <n v="24"/>
    <n v="1"/>
    <n v="1"/>
    <n v="174.92"/>
    <n v="0"/>
    <n v="24"/>
    <n v="0"/>
    <n v="0"/>
    <n v="24"/>
    <n v="1"/>
    <n v="1"/>
    <n v="174.9"/>
    <n v="0"/>
    <n v="24"/>
    <n v="0"/>
    <n v="0"/>
    <n v="24"/>
    <n v="1"/>
    <n v="1"/>
    <n v="174.28"/>
  </r>
  <r>
    <x v="105"/>
    <n v="1"/>
    <n v="23"/>
    <n v="0"/>
    <n v="0"/>
    <n v="24"/>
    <n v="0.95833333333333337"/>
    <n v="1"/>
    <n v="161.80000000000001"/>
    <n v="0"/>
    <n v="0"/>
    <n v="24"/>
    <n v="0"/>
    <n v="0"/>
    <n v="0"/>
    <n v="0"/>
    <n v="0"/>
    <n v="0"/>
    <n v="24"/>
    <n v="0"/>
    <n v="0"/>
    <n v="24"/>
    <n v="1"/>
    <n v="1"/>
    <n v="165.81"/>
    <n v="0"/>
    <n v="24"/>
    <n v="0"/>
    <n v="0"/>
    <n v="24"/>
    <n v="1"/>
    <n v="1"/>
    <n v="163.63"/>
    <n v="22"/>
    <n v="0"/>
    <n v="0"/>
    <n v="2"/>
    <n v="22"/>
    <n v="0"/>
    <n v="0.91666666666666663"/>
    <n v="0.03"/>
    <n v="0"/>
    <n v="24"/>
    <n v="0"/>
    <n v="0"/>
    <n v="24"/>
    <n v="1"/>
    <n v="1"/>
    <n v="156.94999999999999"/>
    <n v="0"/>
    <n v="0"/>
    <n v="24"/>
    <n v="0"/>
    <n v="0"/>
    <n v="0"/>
    <n v="0"/>
    <n v="0"/>
    <n v="0"/>
    <n v="24"/>
    <n v="0"/>
    <n v="0"/>
    <n v="24"/>
    <n v="1"/>
    <n v="1"/>
    <n v="165.33"/>
    <n v="0"/>
    <n v="24"/>
    <n v="0"/>
    <n v="0"/>
    <n v="24"/>
    <n v="1"/>
    <n v="1"/>
    <n v="163.19"/>
    <n v="0"/>
    <n v="24"/>
    <n v="0"/>
    <n v="0"/>
    <n v="24"/>
    <n v="1"/>
    <n v="1"/>
    <n v="166.18"/>
  </r>
  <r>
    <x v="106"/>
    <n v="0"/>
    <n v="24"/>
    <n v="0"/>
    <n v="0"/>
    <n v="24"/>
    <n v="1"/>
    <n v="1"/>
    <n v="178.9"/>
    <n v="0"/>
    <n v="0"/>
    <n v="24"/>
    <n v="0"/>
    <n v="0"/>
    <n v="0"/>
    <n v="0"/>
    <n v="0"/>
    <n v="0"/>
    <n v="24"/>
    <n v="0"/>
    <n v="0"/>
    <n v="24"/>
    <n v="1"/>
    <n v="1"/>
    <n v="180.72"/>
    <n v="0"/>
    <n v="24"/>
    <n v="0"/>
    <n v="0"/>
    <n v="24"/>
    <n v="1"/>
    <n v="1"/>
    <n v="177.84"/>
    <n v="1"/>
    <n v="23"/>
    <n v="0"/>
    <n v="0"/>
    <n v="24"/>
    <n v="0.95833333333333337"/>
    <n v="1"/>
    <n v="136.66999999999999"/>
    <n v="0"/>
    <n v="21"/>
    <n v="3"/>
    <n v="0"/>
    <n v="21"/>
    <n v="0.875"/>
    <n v="0.875"/>
    <n v="152.66"/>
    <n v="0"/>
    <n v="0"/>
    <n v="24"/>
    <n v="0"/>
    <n v="0"/>
    <n v="0"/>
    <n v="0"/>
    <n v="0"/>
    <n v="0"/>
    <n v="24"/>
    <n v="0"/>
    <n v="0"/>
    <n v="24"/>
    <n v="1"/>
    <n v="1"/>
    <n v="182.69"/>
    <n v="0"/>
    <n v="24"/>
    <n v="0"/>
    <n v="0"/>
    <n v="24"/>
    <n v="1"/>
    <n v="1"/>
    <n v="183"/>
    <n v="0"/>
    <n v="24"/>
    <n v="0"/>
    <n v="0"/>
    <n v="24"/>
    <n v="1"/>
    <n v="1"/>
    <n v="183.87"/>
  </r>
  <r>
    <x v="107"/>
    <n v="0"/>
    <n v="24"/>
    <n v="0"/>
    <n v="0"/>
    <n v="24"/>
    <n v="1"/>
    <n v="1"/>
    <n v="175.6"/>
    <n v="0"/>
    <n v="0"/>
    <n v="24"/>
    <n v="0"/>
    <n v="0"/>
    <n v="0"/>
    <n v="0"/>
    <n v="0"/>
    <n v="0"/>
    <n v="24"/>
    <n v="0"/>
    <n v="0"/>
    <n v="24"/>
    <n v="1"/>
    <n v="1"/>
    <n v="177.3"/>
    <n v="0"/>
    <n v="24"/>
    <n v="0"/>
    <n v="0"/>
    <n v="24"/>
    <n v="1"/>
    <n v="1"/>
    <n v="174.17"/>
    <n v="0"/>
    <n v="24"/>
    <n v="0"/>
    <n v="0"/>
    <n v="24"/>
    <n v="1"/>
    <n v="1"/>
    <n v="163.22999999999999"/>
    <n v="0"/>
    <n v="24"/>
    <n v="0"/>
    <n v="0"/>
    <n v="24"/>
    <n v="1"/>
    <n v="1"/>
    <n v="174.97"/>
    <n v="0"/>
    <n v="0"/>
    <n v="24"/>
    <n v="0"/>
    <n v="0"/>
    <n v="0"/>
    <n v="0"/>
    <n v="0"/>
    <n v="0"/>
    <n v="22"/>
    <n v="0"/>
    <n v="2"/>
    <n v="22"/>
    <n v="0.91666666666666663"/>
    <n v="0.91666666666666663"/>
    <n v="161.69999999999999"/>
    <n v="0"/>
    <n v="24"/>
    <n v="0"/>
    <n v="0"/>
    <n v="24"/>
    <n v="1"/>
    <n v="1"/>
    <n v="180.28"/>
    <n v="0"/>
    <n v="24"/>
    <n v="0"/>
    <n v="0"/>
    <n v="24"/>
    <n v="1"/>
    <n v="1"/>
    <n v="180.48"/>
  </r>
  <r>
    <x v="108"/>
    <n v="0"/>
    <n v="24"/>
    <n v="0"/>
    <n v="0"/>
    <n v="24"/>
    <n v="1"/>
    <n v="1"/>
    <n v="173.9"/>
    <n v="0"/>
    <n v="0"/>
    <n v="24"/>
    <n v="0"/>
    <n v="0"/>
    <n v="0"/>
    <n v="0"/>
    <n v="0"/>
    <n v="0"/>
    <n v="24"/>
    <n v="0"/>
    <n v="0"/>
    <n v="24"/>
    <n v="1"/>
    <n v="1"/>
    <n v="174.78"/>
    <n v="0"/>
    <n v="24"/>
    <n v="0"/>
    <n v="0"/>
    <n v="24"/>
    <n v="1"/>
    <n v="1"/>
    <n v="176.3"/>
    <n v="0"/>
    <n v="22"/>
    <n v="0"/>
    <n v="2"/>
    <n v="22"/>
    <n v="0.91666666666666663"/>
    <n v="0.91666666666666663"/>
    <n v="144.85"/>
    <n v="0"/>
    <n v="23"/>
    <n v="0"/>
    <n v="1"/>
    <n v="23"/>
    <n v="0.95833333333333337"/>
    <n v="0.95833333333333337"/>
    <n v="166.25"/>
    <n v="0"/>
    <n v="0"/>
    <n v="24"/>
    <n v="0"/>
    <n v="0"/>
    <n v="0"/>
    <n v="0"/>
    <n v="0"/>
    <n v="0"/>
    <n v="24"/>
    <n v="0"/>
    <n v="0"/>
    <n v="24"/>
    <n v="1"/>
    <n v="1"/>
    <n v="176.35"/>
    <n v="0"/>
    <n v="24"/>
    <n v="0"/>
    <n v="0"/>
    <n v="24"/>
    <n v="1"/>
    <n v="1"/>
    <n v="179.56"/>
    <n v="0"/>
    <n v="24"/>
    <n v="0"/>
    <n v="0"/>
    <n v="24"/>
    <n v="1"/>
    <n v="1"/>
    <n v="179.76"/>
  </r>
  <r>
    <x v="109"/>
    <n v="0"/>
    <n v="24"/>
    <n v="0"/>
    <n v="0"/>
    <n v="24"/>
    <n v="1"/>
    <n v="1"/>
    <n v="172.3"/>
    <n v="0"/>
    <n v="0"/>
    <n v="24"/>
    <n v="0"/>
    <n v="0"/>
    <n v="0"/>
    <n v="0"/>
    <n v="0"/>
    <n v="0"/>
    <n v="24"/>
    <n v="0"/>
    <n v="0"/>
    <n v="24"/>
    <n v="1"/>
    <n v="1"/>
    <n v="174"/>
    <n v="0"/>
    <n v="24"/>
    <n v="0"/>
    <n v="0"/>
    <n v="24"/>
    <n v="1"/>
    <n v="1"/>
    <n v="174.42"/>
    <n v="0"/>
    <n v="24"/>
    <n v="0"/>
    <n v="0"/>
    <n v="24"/>
    <n v="1"/>
    <n v="1"/>
    <n v="169.39"/>
    <n v="0"/>
    <n v="24"/>
    <n v="0"/>
    <n v="0"/>
    <n v="24"/>
    <n v="1"/>
    <n v="1"/>
    <n v="173.26"/>
    <n v="0"/>
    <n v="0"/>
    <n v="24"/>
    <n v="0"/>
    <n v="0"/>
    <n v="0"/>
    <n v="0"/>
    <n v="0"/>
    <n v="2"/>
    <n v="22"/>
    <n v="0"/>
    <n v="0"/>
    <n v="24"/>
    <n v="0.91666666666666663"/>
    <n v="1"/>
    <n v="160.19999999999999"/>
    <n v="0"/>
    <n v="24"/>
    <n v="0"/>
    <n v="0"/>
    <n v="24"/>
    <n v="1"/>
    <n v="1"/>
    <n v="174.67"/>
    <n v="0"/>
    <n v="24"/>
    <n v="0"/>
    <n v="0"/>
    <n v="24"/>
    <n v="1"/>
    <n v="1"/>
    <n v="177.91"/>
  </r>
  <r>
    <x v="110"/>
    <n v="0"/>
    <n v="24"/>
    <n v="0"/>
    <n v="0"/>
    <n v="24"/>
    <n v="1"/>
    <n v="1"/>
    <n v="173.9"/>
    <n v="0"/>
    <n v="0"/>
    <n v="24"/>
    <n v="0"/>
    <n v="0"/>
    <n v="0"/>
    <n v="0"/>
    <n v="0"/>
    <n v="0"/>
    <n v="24"/>
    <n v="0"/>
    <n v="0"/>
    <n v="24"/>
    <n v="1"/>
    <n v="1"/>
    <n v="178.92"/>
    <n v="0"/>
    <n v="24"/>
    <n v="0"/>
    <n v="0"/>
    <n v="24"/>
    <n v="1"/>
    <n v="1"/>
    <n v="177.58"/>
    <n v="0"/>
    <n v="22"/>
    <n v="0"/>
    <n v="2"/>
    <n v="22"/>
    <n v="0.91666666666666663"/>
    <n v="0.91666666666666663"/>
    <n v="123.05"/>
    <n v="0"/>
    <n v="24"/>
    <n v="0"/>
    <n v="0"/>
    <n v="24"/>
    <n v="1"/>
    <n v="1"/>
    <n v="175.08"/>
    <n v="0"/>
    <n v="0"/>
    <n v="24"/>
    <n v="0"/>
    <n v="0"/>
    <n v="0"/>
    <n v="0"/>
    <n v="0"/>
    <n v="0"/>
    <n v="24"/>
    <n v="0"/>
    <n v="0"/>
    <n v="24"/>
    <n v="1"/>
    <n v="1"/>
    <n v="177.94"/>
    <n v="0"/>
    <n v="24"/>
    <n v="0"/>
    <n v="0"/>
    <n v="24"/>
    <n v="1"/>
    <n v="1"/>
    <n v="179.63"/>
    <n v="0"/>
    <n v="24"/>
    <n v="0"/>
    <n v="0"/>
    <n v="24"/>
    <n v="1"/>
    <n v="1"/>
    <n v="181.13"/>
  </r>
  <r>
    <x v="111"/>
    <n v="0"/>
    <n v="24"/>
    <n v="0"/>
    <n v="0"/>
    <n v="24"/>
    <n v="1"/>
    <n v="1"/>
    <n v="176.7"/>
    <n v="0"/>
    <n v="0"/>
    <n v="24"/>
    <n v="0"/>
    <n v="0"/>
    <n v="0"/>
    <n v="0"/>
    <n v="0"/>
    <n v="0"/>
    <n v="24"/>
    <n v="0"/>
    <n v="0"/>
    <n v="24"/>
    <n v="1"/>
    <n v="1"/>
    <n v="180.56"/>
    <n v="0"/>
    <n v="24"/>
    <n v="0"/>
    <n v="0"/>
    <n v="24"/>
    <n v="1"/>
    <n v="1"/>
    <n v="177.7"/>
    <n v="0"/>
    <n v="24"/>
    <n v="0"/>
    <n v="0"/>
    <n v="24"/>
    <n v="1"/>
    <n v="1"/>
    <n v="140.71"/>
    <n v="0"/>
    <n v="24"/>
    <n v="0"/>
    <n v="0"/>
    <n v="24"/>
    <n v="1"/>
    <n v="1"/>
    <n v="174.61"/>
    <n v="0"/>
    <n v="0"/>
    <n v="24"/>
    <n v="0"/>
    <n v="0"/>
    <n v="0"/>
    <n v="0"/>
    <n v="0"/>
    <n v="0"/>
    <n v="23"/>
    <n v="1"/>
    <n v="0"/>
    <n v="23"/>
    <n v="0.95833333333333337"/>
    <n v="0.95833333333333337"/>
    <n v="160.94999999999999"/>
    <n v="0"/>
    <n v="24"/>
    <n v="0"/>
    <n v="0"/>
    <n v="24"/>
    <n v="1"/>
    <n v="1"/>
    <n v="181.12"/>
    <n v="0"/>
    <n v="24"/>
    <n v="0"/>
    <n v="0"/>
    <n v="24"/>
    <n v="1"/>
    <n v="1"/>
    <n v="181.49"/>
  </r>
  <r>
    <x v="112"/>
    <n v="0"/>
    <n v="24"/>
    <n v="0"/>
    <n v="0"/>
    <n v="24"/>
    <n v="1"/>
    <n v="1"/>
    <n v="172.8"/>
    <n v="0"/>
    <n v="0"/>
    <n v="24"/>
    <n v="0"/>
    <n v="0"/>
    <n v="0"/>
    <n v="0"/>
    <n v="0"/>
    <n v="0"/>
    <n v="24"/>
    <n v="0"/>
    <n v="0"/>
    <n v="24"/>
    <n v="1"/>
    <n v="1"/>
    <n v="178.13"/>
    <n v="0"/>
    <n v="24"/>
    <n v="0"/>
    <n v="0"/>
    <n v="24"/>
    <n v="1"/>
    <n v="1"/>
    <n v="178.63"/>
    <n v="0"/>
    <n v="24"/>
    <n v="0"/>
    <n v="0"/>
    <n v="24"/>
    <n v="1"/>
    <n v="1"/>
    <n v="128.69999999999999"/>
    <n v="0"/>
    <n v="24"/>
    <n v="0"/>
    <n v="0"/>
    <n v="24"/>
    <n v="1"/>
    <n v="1"/>
    <n v="175.66"/>
    <n v="0"/>
    <n v="0"/>
    <n v="24"/>
    <n v="0"/>
    <n v="0"/>
    <n v="0"/>
    <n v="0"/>
    <n v="0"/>
    <n v="0"/>
    <n v="22"/>
    <n v="1"/>
    <n v="1"/>
    <n v="22"/>
    <n v="0.91666666666666663"/>
    <n v="0.91666666666666663"/>
    <n v="163.89"/>
    <n v="0"/>
    <n v="24"/>
    <n v="0"/>
    <n v="0"/>
    <n v="24"/>
    <n v="1"/>
    <n v="1"/>
    <n v="179.16"/>
    <n v="0"/>
    <n v="24"/>
    <n v="0"/>
    <n v="0"/>
    <n v="24"/>
    <n v="1"/>
    <n v="1"/>
    <n v="176.25"/>
  </r>
  <r>
    <x v="113"/>
    <n v="0"/>
    <n v="19"/>
    <n v="3"/>
    <n v="2"/>
    <n v="19"/>
    <n v="0.79166666666666663"/>
    <n v="0.79166666666666663"/>
    <n v="153.80000000000001"/>
    <n v="0"/>
    <n v="0"/>
    <n v="24"/>
    <n v="0"/>
    <n v="0"/>
    <n v="0"/>
    <n v="0"/>
    <n v="0"/>
    <n v="0"/>
    <n v="20"/>
    <n v="4"/>
    <n v="0"/>
    <n v="20"/>
    <n v="0.83333333333333337"/>
    <n v="0.83333333333333337"/>
    <n v="155.5"/>
    <n v="0"/>
    <n v="20"/>
    <n v="3"/>
    <n v="1"/>
    <n v="20"/>
    <n v="0.83333333333333337"/>
    <n v="0.83333333333333337"/>
    <n v="154.84"/>
    <n v="8"/>
    <n v="13"/>
    <n v="0"/>
    <n v="3"/>
    <n v="21"/>
    <n v="0.54166666666666663"/>
    <n v="0.875"/>
    <n v="102.4"/>
    <n v="0"/>
    <n v="23"/>
    <n v="0"/>
    <n v="1"/>
    <n v="23"/>
    <n v="0.95833333333333337"/>
    <n v="0.95833333333333337"/>
    <n v="192.39"/>
    <n v="0"/>
    <n v="0"/>
    <n v="24"/>
    <n v="0"/>
    <n v="0"/>
    <n v="0"/>
    <n v="0"/>
    <n v="0"/>
    <n v="0"/>
    <n v="24"/>
    <n v="0"/>
    <n v="0"/>
    <n v="24"/>
    <n v="1"/>
    <n v="1"/>
    <n v="201.23"/>
    <n v="0"/>
    <n v="22"/>
    <n v="2"/>
    <n v="0"/>
    <n v="22"/>
    <n v="0.91666666666666663"/>
    <n v="0.91666666666666663"/>
    <n v="175.44"/>
    <n v="3"/>
    <n v="17"/>
    <n v="4"/>
    <n v="0"/>
    <n v="20"/>
    <n v="0.70833333333333337"/>
    <n v="0.83333333333333337"/>
    <n v="135.08000000000001"/>
  </r>
  <r>
    <x v="114"/>
    <n v="0"/>
    <n v="24"/>
    <n v="0"/>
    <n v="0"/>
    <n v="24"/>
    <n v="1"/>
    <n v="1"/>
    <n v="177.7"/>
    <n v="0"/>
    <n v="0"/>
    <n v="24"/>
    <n v="0"/>
    <n v="0"/>
    <n v="0"/>
    <n v="0"/>
    <n v="0"/>
    <n v="0"/>
    <n v="24"/>
    <n v="0"/>
    <n v="0"/>
    <n v="24"/>
    <n v="1"/>
    <n v="1"/>
    <n v="181.14"/>
    <n v="0"/>
    <n v="24"/>
    <n v="0"/>
    <n v="0"/>
    <n v="24"/>
    <n v="1"/>
    <n v="1"/>
    <n v="179.61"/>
    <n v="0"/>
    <n v="20"/>
    <n v="2"/>
    <n v="2"/>
    <n v="20"/>
    <n v="0.83333333333333337"/>
    <n v="0.83333333333333337"/>
    <n v="148.29"/>
    <n v="0"/>
    <n v="21"/>
    <n v="2"/>
    <n v="1"/>
    <n v="21"/>
    <n v="0.875"/>
    <n v="0.875"/>
    <n v="156.29"/>
    <n v="0"/>
    <n v="0"/>
    <n v="24"/>
    <n v="0"/>
    <n v="0"/>
    <n v="0"/>
    <n v="0"/>
    <n v="0"/>
    <n v="0"/>
    <n v="24"/>
    <n v="0"/>
    <n v="0"/>
    <n v="24"/>
    <n v="1"/>
    <n v="1"/>
    <n v="179.61"/>
    <n v="0"/>
    <n v="24"/>
    <n v="0"/>
    <n v="0"/>
    <n v="24"/>
    <n v="1"/>
    <n v="1"/>
    <n v="183.69"/>
    <n v="0"/>
    <n v="24"/>
    <n v="0"/>
    <n v="0"/>
    <n v="24"/>
    <n v="1"/>
    <n v="1"/>
    <n v="183.64"/>
  </r>
  <r>
    <x v="115"/>
    <n v="0"/>
    <n v="24"/>
    <n v="0"/>
    <n v="0"/>
    <n v="24"/>
    <n v="1"/>
    <n v="1"/>
    <n v="184.8"/>
    <n v="0"/>
    <n v="0"/>
    <n v="24"/>
    <n v="0"/>
    <n v="0"/>
    <n v="0"/>
    <n v="0"/>
    <n v="0"/>
    <n v="0"/>
    <n v="24"/>
    <n v="0"/>
    <n v="0"/>
    <n v="24"/>
    <n v="1"/>
    <n v="1"/>
    <n v="185.9"/>
    <n v="2"/>
    <n v="22"/>
    <n v="0"/>
    <n v="0"/>
    <n v="24"/>
    <n v="0.91666666666666663"/>
    <n v="1"/>
    <n v="168.1"/>
    <n v="0"/>
    <n v="24"/>
    <n v="0"/>
    <n v="0"/>
    <n v="24"/>
    <n v="1"/>
    <n v="1"/>
    <n v="159.85"/>
    <n v="0"/>
    <n v="24"/>
    <n v="0"/>
    <n v="0"/>
    <n v="24"/>
    <n v="1"/>
    <n v="1"/>
    <n v="179.22"/>
    <n v="0"/>
    <n v="0"/>
    <n v="24"/>
    <n v="0"/>
    <n v="0"/>
    <n v="0"/>
    <n v="0"/>
    <n v="0"/>
    <n v="1"/>
    <n v="23"/>
    <n v="0"/>
    <n v="0"/>
    <n v="24"/>
    <n v="0.95833333333333337"/>
    <n v="1"/>
    <n v="174.16"/>
    <n v="0"/>
    <n v="24"/>
    <n v="0"/>
    <n v="0"/>
    <n v="24"/>
    <n v="1"/>
    <n v="1"/>
    <n v="178.18"/>
    <n v="0"/>
    <n v="24"/>
    <n v="0"/>
    <n v="0"/>
    <n v="24"/>
    <n v="1"/>
    <n v="1"/>
    <n v="183.9"/>
  </r>
  <r>
    <x v="116"/>
    <n v="0"/>
    <n v="24"/>
    <n v="0"/>
    <n v="0"/>
    <n v="24"/>
    <n v="1"/>
    <n v="1"/>
    <n v="186.1"/>
    <n v="0"/>
    <n v="0"/>
    <n v="24"/>
    <n v="0"/>
    <n v="0"/>
    <n v="0"/>
    <n v="0"/>
    <n v="0"/>
    <n v="0"/>
    <n v="24"/>
    <n v="0"/>
    <n v="0"/>
    <n v="24"/>
    <n v="1"/>
    <n v="1"/>
    <n v="187.3"/>
    <n v="0"/>
    <n v="24"/>
    <n v="0"/>
    <n v="0"/>
    <n v="24"/>
    <n v="1"/>
    <n v="1"/>
    <n v="180.35"/>
    <n v="0"/>
    <n v="24"/>
    <n v="0"/>
    <n v="0"/>
    <n v="24"/>
    <n v="1"/>
    <n v="1"/>
    <n v="136.63999999999999"/>
    <n v="0"/>
    <n v="24"/>
    <n v="0"/>
    <n v="0"/>
    <n v="24"/>
    <n v="1"/>
    <n v="1"/>
    <n v="184.11"/>
    <n v="0"/>
    <n v="0"/>
    <n v="24"/>
    <n v="0"/>
    <n v="0"/>
    <n v="0"/>
    <n v="0"/>
    <n v="0"/>
    <n v="0"/>
    <n v="24"/>
    <n v="0"/>
    <n v="0"/>
    <n v="24"/>
    <n v="1"/>
    <n v="1"/>
    <n v="185.16"/>
    <n v="6"/>
    <n v="0"/>
    <n v="0"/>
    <n v="18"/>
    <n v="6"/>
    <n v="0"/>
    <n v="0.25"/>
    <n v="0.03"/>
    <n v="3"/>
    <n v="21"/>
    <n v="0"/>
    <n v="0"/>
    <n v="24"/>
    <n v="0.875"/>
    <n v="1"/>
    <n v="155.21"/>
  </r>
  <r>
    <x v="117"/>
    <n v="0"/>
    <n v="24"/>
    <n v="0"/>
    <n v="0"/>
    <n v="24"/>
    <n v="1"/>
    <n v="1"/>
    <n v="185.5"/>
    <n v="0"/>
    <n v="0"/>
    <n v="24"/>
    <n v="0"/>
    <n v="0"/>
    <n v="0"/>
    <n v="0"/>
    <n v="0"/>
    <n v="0"/>
    <n v="24"/>
    <n v="0"/>
    <n v="0"/>
    <n v="24"/>
    <n v="1"/>
    <n v="1"/>
    <n v="187.59"/>
    <n v="0"/>
    <n v="24"/>
    <n v="0"/>
    <n v="0"/>
    <n v="24"/>
    <n v="1"/>
    <n v="1"/>
    <n v="190.22"/>
    <n v="1"/>
    <n v="23"/>
    <n v="0"/>
    <n v="0"/>
    <n v="24"/>
    <n v="0.95833333333333337"/>
    <n v="1"/>
    <n v="139.94999999999999"/>
    <n v="0"/>
    <n v="24"/>
    <n v="0"/>
    <n v="0"/>
    <n v="24"/>
    <n v="1"/>
    <n v="1"/>
    <n v="187.99"/>
    <n v="0"/>
    <n v="1"/>
    <n v="23"/>
    <n v="0"/>
    <n v="1"/>
    <n v="4.1666666666666664E-2"/>
    <n v="4.1666666666666664E-2"/>
    <n v="0"/>
    <n v="0"/>
    <n v="24"/>
    <n v="0"/>
    <n v="0"/>
    <n v="24"/>
    <n v="1"/>
    <n v="1"/>
    <n v="190.62"/>
    <n v="2"/>
    <n v="19"/>
    <n v="0"/>
    <n v="3"/>
    <n v="21"/>
    <n v="0.79166666666666663"/>
    <n v="0.875"/>
    <n v="143.75"/>
    <n v="0"/>
    <n v="24"/>
    <n v="0"/>
    <n v="0"/>
    <n v="24"/>
    <n v="1"/>
    <n v="1"/>
    <n v="186.27"/>
  </r>
  <r>
    <x v="118"/>
    <n v="0"/>
    <n v="24"/>
    <n v="0"/>
    <n v="0"/>
    <n v="24"/>
    <n v="1"/>
    <n v="1"/>
    <n v="173.6"/>
    <n v="0"/>
    <n v="0"/>
    <n v="24"/>
    <n v="0"/>
    <n v="0"/>
    <n v="0"/>
    <n v="0"/>
    <n v="0"/>
    <n v="0"/>
    <n v="24"/>
    <n v="0"/>
    <n v="0"/>
    <n v="24"/>
    <n v="1"/>
    <n v="1"/>
    <n v="175.88"/>
    <n v="0"/>
    <n v="24"/>
    <n v="0"/>
    <n v="0"/>
    <n v="24"/>
    <n v="1"/>
    <n v="1"/>
    <n v="174.1"/>
    <n v="0"/>
    <n v="24"/>
    <n v="0"/>
    <n v="0"/>
    <n v="24"/>
    <n v="1"/>
    <n v="1"/>
    <n v="144.04"/>
    <n v="0"/>
    <n v="24"/>
    <n v="0"/>
    <n v="0"/>
    <n v="24"/>
    <n v="1"/>
    <n v="1"/>
    <n v="173.51"/>
    <n v="8"/>
    <n v="4"/>
    <n v="12"/>
    <n v="0"/>
    <n v="12"/>
    <n v="0.16666666666666666"/>
    <n v="0.5"/>
    <n v="23.02"/>
    <n v="0"/>
    <n v="24"/>
    <n v="0"/>
    <n v="0"/>
    <n v="24"/>
    <n v="1"/>
    <n v="1"/>
    <n v="177.61"/>
    <n v="1"/>
    <n v="23"/>
    <n v="0"/>
    <n v="0"/>
    <n v="24"/>
    <n v="0.95833333333333337"/>
    <n v="1"/>
    <n v="161.82"/>
    <n v="0"/>
    <n v="24"/>
    <n v="0"/>
    <n v="0"/>
    <n v="24"/>
    <n v="1"/>
    <n v="1"/>
    <n v="175.33"/>
  </r>
  <r>
    <x v="119"/>
    <n v="0"/>
    <n v="23"/>
    <n v="0"/>
    <n v="1"/>
    <n v="23"/>
    <n v="0.95833333333333337"/>
    <n v="0.95833333333333337"/>
    <n v="167.9"/>
    <n v="0"/>
    <n v="0"/>
    <n v="24"/>
    <n v="0"/>
    <n v="0"/>
    <n v="0"/>
    <n v="0"/>
    <n v="0"/>
    <n v="0"/>
    <n v="23"/>
    <n v="0"/>
    <n v="1"/>
    <n v="23"/>
    <n v="0.95833333333333337"/>
    <n v="0.95833333333333337"/>
    <n v="171.48"/>
    <n v="0"/>
    <n v="24"/>
    <n v="0"/>
    <n v="0"/>
    <n v="24"/>
    <n v="1"/>
    <n v="1"/>
    <n v="173"/>
    <n v="2"/>
    <n v="22"/>
    <n v="0"/>
    <n v="0"/>
    <n v="24"/>
    <n v="0.91666666666666663"/>
    <n v="1"/>
    <n v="107.62"/>
    <n v="1"/>
    <n v="23"/>
    <n v="0"/>
    <n v="0"/>
    <n v="24"/>
    <n v="0.95833333333333337"/>
    <n v="1"/>
    <n v="166.06"/>
    <n v="8"/>
    <n v="4"/>
    <n v="12"/>
    <n v="0"/>
    <n v="12"/>
    <n v="0.16666666666666666"/>
    <n v="0.5"/>
    <n v="21.17"/>
    <n v="0"/>
    <n v="24"/>
    <n v="0"/>
    <n v="0"/>
    <n v="24"/>
    <n v="1"/>
    <n v="1"/>
    <n v="180.53"/>
    <n v="0"/>
    <n v="24"/>
    <n v="0"/>
    <n v="0"/>
    <n v="24"/>
    <n v="1"/>
    <n v="1"/>
    <n v="179.23"/>
    <n v="0"/>
    <n v="24"/>
    <n v="0"/>
    <n v="0"/>
    <n v="24"/>
    <n v="1"/>
    <n v="1"/>
    <n v="180.17"/>
  </r>
  <r>
    <x v="120"/>
    <n v="0"/>
    <n v="24"/>
    <n v="0"/>
    <n v="0"/>
    <n v="24"/>
    <n v="1"/>
    <n v="1"/>
    <n v="165.4"/>
    <n v="0"/>
    <n v="0"/>
    <n v="24"/>
    <n v="0"/>
    <n v="0"/>
    <n v="0"/>
    <n v="0"/>
    <n v="0"/>
    <n v="0"/>
    <n v="24"/>
    <n v="0"/>
    <n v="0"/>
    <n v="24"/>
    <n v="1"/>
    <n v="1"/>
    <n v="169.42"/>
    <n v="0"/>
    <n v="24"/>
    <n v="0"/>
    <n v="0"/>
    <n v="24"/>
    <n v="1"/>
    <n v="1"/>
    <n v="171.36"/>
    <n v="0"/>
    <n v="0"/>
    <n v="0"/>
    <n v="24"/>
    <n v="0"/>
    <n v="0"/>
    <n v="0"/>
    <n v="0.08"/>
    <n v="0"/>
    <n v="24"/>
    <n v="0"/>
    <n v="0"/>
    <n v="24"/>
    <n v="1"/>
    <n v="1"/>
    <n v="171.02"/>
    <n v="2"/>
    <n v="22"/>
    <n v="0"/>
    <n v="0"/>
    <n v="24"/>
    <n v="0.91666666666666663"/>
    <n v="1"/>
    <n v="158.38"/>
    <n v="0"/>
    <n v="24"/>
    <n v="0"/>
    <n v="0"/>
    <n v="24"/>
    <n v="1"/>
    <n v="1"/>
    <n v="168.78"/>
    <n v="0"/>
    <n v="24"/>
    <n v="0"/>
    <n v="0"/>
    <n v="24"/>
    <n v="1"/>
    <n v="1"/>
    <n v="168.99"/>
    <n v="0"/>
    <n v="24"/>
    <n v="0"/>
    <n v="0"/>
    <n v="24"/>
    <n v="1"/>
    <n v="1"/>
    <n v="169.66"/>
  </r>
  <r>
    <x v="121"/>
    <n v="0"/>
    <n v="24"/>
    <n v="0"/>
    <n v="0"/>
    <n v="24"/>
    <n v="1"/>
    <n v="1"/>
    <n v="180.4"/>
    <n v="0"/>
    <n v="0"/>
    <n v="24"/>
    <n v="0"/>
    <n v="0"/>
    <n v="0"/>
    <n v="0"/>
    <n v="0"/>
    <n v="0"/>
    <n v="24"/>
    <n v="0"/>
    <n v="0"/>
    <n v="24"/>
    <n v="1"/>
    <n v="1"/>
    <n v="183.32"/>
    <n v="0"/>
    <n v="24"/>
    <n v="0"/>
    <n v="0"/>
    <n v="24"/>
    <n v="1"/>
    <n v="1"/>
    <n v="183.9"/>
    <n v="0"/>
    <n v="0"/>
    <n v="0"/>
    <n v="24"/>
    <n v="0"/>
    <n v="0"/>
    <n v="0"/>
    <n v="0"/>
    <n v="0"/>
    <n v="24"/>
    <n v="0"/>
    <n v="0"/>
    <n v="24"/>
    <n v="1"/>
    <n v="1"/>
    <n v="178.86"/>
    <n v="0"/>
    <n v="24"/>
    <n v="0"/>
    <n v="0"/>
    <n v="24"/>
    <n v="1"/>
    <n v="1"/>
    <n v="181.45"/>
    <n v="0"/>
    <n v="23"/>
    <n v="1"/>
    <n v="0"/>
    <n v="23"/>
    <n v="0.95833333333333337"/>
    <n v="0.95833333333333337"/>
    <n v="167.94"/>
    <n v="1"/>
    <n v="23"/>
    <n v="0"/>
    <n v="0"/>
    <n v="24"/>
    <n v="0.95833333333333337"/>
    <n v="1"/>
    <n v="173.1"/>
    <n v="0"/>
    <n v="24"/>
    <n v="0"/>
    <n v="0"/>
    <n v="24"/>
    <n v="1"/>
    <n v="1"/>
    <n v="181.03"/>
  </r>
  <r>
    <x v="122"/>
    <n v="0"/>
    <n v="24"/>
    <n v="0"/>
    <n v="0"/>
    <n v="24"/>
    <n v="1"/>
    <n v="1"/>
    <n v="197.3"/>
    <n v="0"/>
    <n v="0"/>
    <n v="24"/>
    <n v="0"/>
    <n v="0"/>
    <n v="0"/>
    <n v="0"/>
    <n v="0"/>
    <n v="0"/>
    <n v="24"/>
    <n v="0"/>
    <n v="0"/>
    <n v="24"/>
    <n v="1"/>
    <n v="1"/>
    <n v="186.97"/>
    <n v="0"/>
    <n v="24"/>
    <n v="0"/>
    <n v="0"/>
    <n v="24"/>
    <n v="1"/>
    <n v="1"/>
    <n v="186.33"/>
    <n v="0"/>
    <n v="0"/>
    <n v="0"/>
    <n v="24"/>
    <n v="0"/>
    <n v="0"/>
    <n v="0"/>
    <n v="0"/>
    <n v="0"/>
    <n v="24"/>
    <n v="0"/>
    <n v="0"/>
    <n v="24"/>
    <n v="1"/>
    <n v="1"/>
    <n v="187.03"/>
    <n v="0"/>
    <n v="24"/>
    <n v="0"/>
    <n v="0"/>
    <n v="24"/>
    <n v="1"/>
    <n v="1"/>
    <n v="187.38"/>
    <n v="0"/>
    <n v="22"/>
    <n v="2"/>
    <n v="0"/>
    <n v="22"/>
    <n v="0.91666666666666663"/>
    <n v="0.91666666666666663"/>
    <n v="175.72"/>
    <n v="0"/>
    <n v="24"/>
    <n v="0"/>
    <n v="0"/>
    <n v="24"/>
    <n v="1"/>
    <n v="1"/>
    <n v="188.01"/>
    <n v="0"/>
    <n v="24"/>
    <n v="0"/>
    <n v="0"/>
    <n v="24"/>
    <n v="1"/>
    <n v="1"/>
    <n v="187.11"/>
  </r>
  <r>
    <x v="123"/>
    <n v="0"/>
    <n v="24"/>
    <n v="0"/>
    <n v="0"/>
    <n v="24"/>
    <n v="1"/>
    <n v="1"/>
    <n v="187.8"/>
    <n v="0"/>
    <n v="0"/>
    <n v="24"/>
    <n v="0"/>
    <n v="0"/>
    <n v="0"/>
    <n v="0"/>
    <n v="0"/>
    <n v="0"/>
    <n v="24"/>
    <n v="0"/>
    <n v="0"/>
    <n v="24"/>
    <n v="1"/>
    <n v="1"/>
    <n v="186.27"/>
    <n v="1"/>
    <n v="23"/>
    <n v="0"/>
    <n v="0"/>
    <n v="24"/>
    <n v="0.95833333333333337"/>
    <n v="1"/>
    <n v="186.3"/>
    <n v="0"/>
    <n v="0"/>
    <n v="0"/>
    <n v="24"/>
    <n v="0"/>
    <n v="0"/>
    <n v="0"/>
    <n v="0"/>
    <n v="0"/>
    <n v="24"/>
    <n v="0"/>
    <n v="0"/>
    <n v="24"/>
    <n v="1"/>
    <n v="1"/>
    <n v="181.34"/>
    <n v="0"/>
    <n v="24"/>
    <n v="0"/>
    <n v="0"/>
    <n v="24"/>
    <n v="1"/>
    <n v="1"/>
    <n v="191.21"/>
    <n v="1"/>
    <n v="23"/>
    <n v="0"/>
    <n v="0"/>
    <n v="24"/>
    <n v="0.95833333333333337"/>
    <n v="1"/>
    <n v="176.81"/>
    <n v="0"/>
    <n v="24"/>
    <n v="0"/>
    <n v="0"/>
    <n v="24"/>
    <n v="1"/>
    <n v="1"/>
    <n v="189.53"/>
    <n v="0"/>
    <n v="24"/>
    <n v="0"/>
    <n v="0"/>
    <n v="24"/>
    <n v="1"/>
    <n v="1"/>
    <n v="189.11"/>
  </r>
  <r>
    <x v="124"/>
    <n v="0"/>
    <n v="24"/>
    <n v="0"/>
    <n v="0"/>
    <n v="24"/>
    <n v="1"/>
    <n v="1"/>
    <n v="184.8"/>
    <n v="0"/>
    <n v="3"/>
    <n v="21"/>
    <n v="0"/>
    <n v="3"/>
    <n v="0.125"/>
    <n v="0.125"/>
    <n v="16.600000000000001"/>
    <n v="0"/>
    <n v="24"/>
    <n v="0"/>
    <n v="0"/>
    <n v="24"/>
    <n v="1"/>
    <n v="1"/>
    <n v="187.37"/>
    <n v="0"/>
    <n v="24"/>
    <n v="0"/>
    <n v="0"/>
    <n v="24"/>
    <n v="1"/>
    <n v="1"/>
    <n v="192.09"/>
    <n v="0"/>
    <n v="0"/>
    <n v="0"/>
    <n v="24"/>
    <n v="0"/>
    <n v="0"/>
    <n v="0"/>
    <n v="0"/>
    <n v="0"/>
    <n v="21"/>
    <n v="3"/>
    <n v="0"/>
    <n v="21"/>
    <n v="0.875"/>
    <n v="0.875"/>
    <n v="179.75"/>
    <n v="0"/>
    <n v="24"/>
    <n v="0"/>
    <n v="0"/>
    <n v="24"/>
    <n v="1"/>
    <n v="1"/>
    <n v="186.16"/>
    <n v="0"/>
    <n v="24"/>
    <n v="0"/>
    <n v="0"/>
    <n v="24"/>
    <n v="1"/>
    <n v="1"/>
    <n v="189.11"/>
    <n v="0"/>
    <n v="24"/>
    <n v="0"/>
    <n v="0"/>
    <n v="24"/>
    <n v="1"/>
    <n v="1"/>
    <n v="191.45"/>
    <n v="0"/>
    <n v="24"/>
    <n v="0"/>
    <n v="0"/>
    <n v="24"/>
    <n v="1"/>
    <n v="1"/>
    <n v="189.74"/>
  </r>
  <r>
    <x v="125"/>
    <n v="0"/>
    <n v="24"/>
    <n v="0"/>
    <n v="0"/>
    <n v="24"/>
    <n v="1"/>
    <n v="1"/>
    <n v="179.3"/>
    <n v="0"/>
    <n v="3"/>
    <n v="21"/>
    <n v="0"/>
    <n v="3"/>
    <n v="0.125"/>
    <n v="0.125"/>
    <n v="15.9"/>
    <n v="0"/>
    <n v="24"/>
    <n v="0"/>
    <n v="0"/>
    <n v="24"/>
    <n v="1"/>
    <n v="1"/>
    <n v="180.71"/>
    <n v="0"/>
    <n v="24"/>
    <n v="0"/>
    <n v="0"/>
    <n v="24"/>
    <n v="1"/>
    <n v="1"/>
    <n v="183.53"/>
    <n v="0"/>
    <n v="0"/>
    <n v="0"/>
    <n v="24"/>
    <n v="0"/>
    <n v="0"/>
    <n v="0"/>
    <n v="0"/>
    <n v="0"/>
    <n v="24"/>
    <n v="0"/>
    <n v="0"/>
    <n v="24"/>
    <n v="1"/>
    <n v="1"/>
    <n v="182.46"/>
    <n v="0"/>
    <n v="24"/>
    <n v="0"/>
    <n v="0"/>
    <n v="24"/>
    <n v="1"/>
    <n v="1"/>
    <n v="181.05"/>
    <n v="0"/>
    <n v="24"/>
    <n v="0"/>
    <n v="0"/>
    <n v="24"/>
    <n v="1"/>
    <n v="1"/>
    <n v="181.77"/>
    <n v="0"/>
    <n v="24"/>
    <n v="0"/>
    <n v="0"/>
    <n v="24"/>
    <n v="1"/>
    <n v="1"/>
    <n v="178.59"/>
    <n v="0"/>
    <n v="24"/>
    <n v="0"/>
    <n v="0"/>
    <n v="24"/>
    <n v="1"/>
    <n v="1"/>
    <n v="180.05"/>
  </r>
  <r>
    <x v="126"/>
    <n v="0"/>
    <n v="24"/>
    <n v="0"/>
    <n v="0"/>
    <n v="24"/>
    <n v="1"/>
    <n v="1"/>
    <n v="184.6"/>
    <n v="0"/>
    <n v="0"/>
    <n v="24"/>
    <n v="0"/>
    <n v="0"/>
    <n v="0"/>
    <n v="0"/>
    <n v="0"/>
    <n v="0"/>
    <n v="21"/>
    <n v="2"/>
    <n v="1"/>
    <n v="21"/>
    <n v="0.875"/>
    <n v="0.875"/>
    <n v="160.66"/>
    <n v="0"/>
    <n v="24"/>
    <n v="0"/>
    <n v="0"/>
    <n v="24"/>
    <n v="1"/>
    <n v="1"/>
    <n v="184.49"/>
    <n v="0"/>
    <n v="0"/>
    <n v="0"/>
    <n v="24"/>
    <n v="0"/>
    <n v="0"/>
    <n v="0"/>
    <n v="0"/>
    <n v="0"/>
    <n v="24"/>
    <n v="0"/>
    <n v="0"/>
    <n v="24"/>
    <n v="1"/>
    <n v="1"/>
    <n v="184.12"/>
    <n v="0"/>
    <n v="24"/>
    <n v="0"/>
    <n v="0"/>
    <n v="24"/>
    <n v="1"/>
    <n v="1"/>
    <n v="178.76"/>
    <n v="0"/>
    <n v="24"/>
    <n v="0"/>
    <n v="0"/>
    <n v="24"/>
    <n v="1"/>
    <n v="1"/>
    <n v="183.57"/>
    <n v="0"/>
    <n v="24"/>
    <n v="0"/>
    <n v="0"/>
    <n v="24"/>
    <n v="1"/>
    <n v="1"/>
    <n v="185.89"/>
    <n v="0"/>
    <n v="24"/>
    <n v="0"/>
    <n v="0"/>
    <n v="24"/>
    <n v="1"/>
    <n v="1"/>
    <n v="184.58"/>
  </r>
  <r>
    <x v="127"/>
    <n v="0"/>
    <n v="24"/>
    <n v="0"/>
    <n v="0"/>
    <n v="24"/>
    <n v="1"/>
    <n v="1"/>
    <n v="190.7"/>
    <n v="0"/>
    <n v="20"/>
    <n v="0"/>
    <n v="4"/>
    <n v="20"/>
    <n v="0.83333333333333337"/>
    <n v="0.83333333333333337"/>
    <n v="159.1"/>
    <n v="0"/>
    <n v="24"/>
    <n v="0"/>
    <n v="0"/>
    <n v="24"/>
    <n v="1"/>
    <n v="1"/>
    <n v="196.45"/>
    <n v="0"/>
    <n v="22"/>
    <n v="2"/>
    <n v="0"/>
    <n v="22"/>
    <n v="0.91666666666666663"/>
    <n v="0.91666666666666663"/>
    <n v="181.9"/>
    <n v="0"/>
    <n v="0"/>
    <n v="0"/>
    <n v="24"/>
    <n v="0"/>
    <n v="0"/>
    <n v="0"/>
    <n v="0"/>
    <n v="0"/>
    <n v="24"/>
    <n v="0"/>
    <n v="0"/>
    <n v="24"/>
    <n v="1"/>
    <n v="1"/>
    <n v="200.47"/>
    <n v="0"/>
    <n v="0"/>
    <n v="24"/>
    <n v="0"/>
    <n v="0"/>
    <n v="0"/>
    <n v="0"/>
    <n v="0.08"/>
    <n v="0"/>
    <n v="24"/>
    <n v="0"/>
    <n v="0"/>
    <n v="24"/>
    <n v="1"/>
    <n v="1"/>
    <n v="198.74"/>
    <n v="0"/>
    <n v="24"/>
    <n v="0"/>
    <n v="0"/>
    <n v="24"/>
    <n v="1"/>
    <n v="1"/>
    <n v="200.11"/>
    <n v="0"/>
    <n v="24"/>
    <n v="0"/>
    <n v="0"/>
    <n v="24"/>
    <n v="1"/>
    <n v="1"/>
    <n v="202.53"/>
  </r>
  <r>
    <x v="128"/>
    <n v="0"/>
    <n v="18"/>
    <n v="4"/>
    <n v="2"/>
    <n v="18"/>
    <n v="0.75"/>
    <n v="0.75"/>
    <n v="146.30000000000001"/>
    <n v="0"/>
    <n v="24"/>
    <n v="0"/>
    <n v="0"/>
    <n v="24"/>
    <n v="1"/>
    <n v="1"/>
    <n v="185.1"/>
    <n v="0"/>
    <n v="24"/>
    <n v="0"/>
    <n v="0"/>
    <n v="24"/>
    <n v="1"/>
    <n v="1"/>
    <n v="208.73"/>
    <n v="0"/>
    <n v="24"/>
    <n v="0"/>
    <n v="0"/>
    <n v="24"/>
    <n v="1"/>
    <n v="1"/>
    <n v="207.11"/>
    <n v="0"/>
    <n v="0"/>
    <n v="0"/>
    <n v="24"/>
    <n v="0"/>
    <n v="0"/>
    <n v="0"/>
    <n v="0"/>
    <n v="0"/>
    <n v="24"/>
    <n v="0"/>
    <n v="0"/>
    <n v="24"/>
    <n v="1"/>
    <n v="1"/>
    <n v="206.61"/>
    <n v="0"/>
    <n v="22"/>
    <n v="0"/>
    <n v="2"/>
    <n v="22"/>
    <n v="0.91666666666666663"/>
    <n v="0.91666666666666663"/>
    <n v="168.999"/>
    <n v="0"/>
    <n v="24"/>
    <n v="0"/>
    <n v="0"/>
    <n v="24"/>
    <n v="1"/>
    <n v="1"/>
    <n v="206.35"/>
    <n v="0"/>
    <n v="24"/>
    <n v="0"/>
    <n v="0"/>
    <n v="24"/>
    <n v="1"/>
    <n v="1"/>
    <n v="204.86"/>
    <n v="2"/>
    <n v="6"/>
    <n v="4"/>
    <n v="12"/>
    <n v="8"/>
    <n v="0.25"/>
    <n v="0.33333333333333331"/>
    <n v="52.27"/>
  </r>
  <r>
    <x v="129"/>
    <n v="0"/>
    <n v="24"/>
    <n v="0"/>
    <n v="0"/>
    <n v="24"/>
    <n v="1"/>
    <n v="1"/>
    <n v="197.3"/>
    <n v="0"/>
    <n v="16"/>
    <n v="8"/>
    <n v="0"/>
    <n v="16"/>
    <n v="0.66666666666666663"/>
    <n v="0.66666666666666663"/>
    <n v="131.19999999999999"/>
    <n v="0"/>
    <n v="24"/>
    <n v="0"/>
    <n v="0"/>
    <n v="24"/>
    <n v="1"/>
    <n v="1"/>
    <n v="198.74"/>
    <n v="0"/>
    <n v="24"/>
    <n v="0"/>
    <n v="0"/>
    <n v="24"/>
    <n v="1"/>
    <n v="1"/>
    <n v="200.62"/>
    <n v="0"/>
    <n v="0"/>
    <n v="0"/>
    <n v="24"/>
    <n v="0"/>
    <n v="0"/>
    <n v="0"/>
    <n v="0"/>
    <n v="3"/>
    <n v="14"/>
    <n v="7"/>
    <n v="0"/>
    <n v="17"/>
    <n v="0.58333333333333337"/>
    <n v="0.70833333333333337"/>
    <n v="120.58"/>
    <n v="0"/>
    <n v="24"/>
    <n v="0"/>
    <n v="0"/>
    <n v="24"/>
    <n v="1"/>
    <n v="1"/>
    <n v="198.47"/>
    <n v="0"/>
    <n v="24"/>
    <n v="0"/>
    <n v="0"/>
    <n v="24"/>
    <n v="1"/>
    <n v="1"/>
    <n v="196.93"/>
    <n v="2"/>
    <n v="16"/>
    <n v="6"/>
    <n v="0"/>
    <n v="18"/>
    <n v="0.66666666666666663"/>
    <n v="0.75"/>
    <n v="130.44"/>
    <n v="0"/>
    <n v="24"/>
    <n v="0"/>
    <n v="0"/>
    <n v="24"/>
    <n v="1"/>
    <n v="1"/>
    <n v="201.17"/>
  </r>
  <r>
    <x v="130"/>
    <n v="0"/>
    <n v="22"/>
    <n v="0"/>
    <n v="2"/>
    <n v="22"/>
    <n v="0.91666666666666663"/>
    <n v="0.91666666666666663"/>
    <n v="188.9"/>
    <n v="0"/>
    <n v="24"/>
    <n v="0"/>
    <n v="0"/>
    <n v="24"/>
    <n v="1"/>
    <n v="1"/>
    <n v="208"/>
    <n v="0"/>
    <n v="24"/>
    <n v="0"/>
    <n v="0"/>
    <n v="24"/>
    <n v="1"/>
    <n v="1"/>
    <n v="206.49"/>
    <n v="0"/>
    <n v="1"/>
    <n v="23"/>
    <n v="0"/>
    <n v="1"/>
    <n v="4.1666666666666664E-2"/>
    <n v="4.1666666666666664E-2"/>
    <n v="0.6"/>
    <n v="0"/>
    <n v="0"/>
    <n v="0"/>
    <n v="24"/>
    <n v="0"/>
    <n v="0"/>
    <n v="0"/>
    <n v="0"/>
    <n v="0"/>
    <n v="24"/>
    <n v="0"/>
    <n v="0"/>
    <n v="24"/>
    <n v="1"/>
    <n v="1"/>
    <n v="206.75"/>
    <n v="0"/>
    <n v="24"/>
    <n v="0"/>
    <n v="0"/>
    <n v="24"/>
    <n v="1"/>
    <n v="1"/>
    <n v="203.59"/>
    <n v="0"/>
    <n v="23"/>
    <n v="1"/>
    <n v="0"/>
    <n v="23"/>
    <n v="0.95833333333333337"/>
    <n v="0.95833333333333337"/>
    <n v="196.39"/>
    <n v="0"/>
    <n v="24"/>
    <n v="0"/>
    <n v="0"/>
    <n v="24"/>
    <n v="1"/>
    <n v="1"/>
    <n v="205.56"/>
    <n v="1"/>
    <n v="23"/>
    <n v="0"/>
    <n v="0"/>
    <n v="24"/>
    <n v="0.95833333333333337"/>
    <n v="1"/>
    <n v="197.4"/>
  </r>
  <r>
    <x v="131"/>
    <n v="0"/>
    <n v="24"/>
    <n v="0"/>
    <n v="0"/>
    <n v="24"/>
    <n v="1"/>
    <n v="1"/>
    <n v="208"/>
    <n v="0"/>
    <n v="24"/>
    <n v="0"/>
    <n v="0"/>
    <n v="24"/>
    <n v="1"/>
    <n v="1"/>
    <n v="203.9"/>
    <n v="0"/>
    <n v="24"/>
    <n v="0"/>
    <n v="0"/>
    <n v="24"/>
    <n v="1"/>
    <n v="1"/>
    <n v="207.51"/>
    <n v="0"/>
    <n v="0"/>
    <n v="24"/>
    <n v="0"/>
    <n v="0"/>
    <n v="0"/>
    <n v="0"/>
    <n v="0"/>
    <n v="0"/>
    <n v="0"/>
    <n v="0"/>
    <n v="24"/>
    <n v="0"/>
    <n v="0"/>
    <n v="0"/>
    <n v="0"/>
    <n v="0"/>
    <n v="24"/>
    <n v="0"/>
    <n v="0"/>
    <n v="24"/>
    <n v="1"/>
    <n v="1"/>
    <n v="208.51"/>
    <n v="0"/>
    <n v="24"/>
    <n v="0"/>
    <n v="0"/>
    <n v="24"/>
    <n v="1"/>
    <n v="1"/>
    <n v="206.34"/>
    <n v="0"/>
    <n v="24"/>
    <n v="0"/>
    <n v="0"/>
    <n v="24"/>
    <n v="1"/>
    <n v="1"/>
    <n v="188.99"/>
    <n v="0"/>
    <n v="24"/>
    <n v="0"/>
    <n v="0"/>
    <n v="24"/>
    <n v="1"/>
    <n v="1"/>
    <n v="206.24"/>
    <n v="0"/>
    <n v="24"/>
    <n v="0"/>
    <n v="0"/>
    <n v="24"/>
    <n v="1"/>
    <n v="1"/>
    <n v="207.48"/>
  </r>
  <r>
    <x v="132"/>
    <n v="1"/>
    <n v="23"/>
    <n v="0"/>
    <n v="0"/>
    <n v="24"/>
    <n v="0.95833333333333337"/>
    <n v="1"/>
    <n v="186.5"/>
    <n v="1"/>
    <n v="23"/>
    <n v="0"/>
    <n v="0"/>
    <n v="24"/>
    <n v="0.95833333333333337"/>
    <n v="1"/>
    <n v="156.9"/>
    <n v="1"/>
    <n v="23"/>
    <n v="0"/>
    <n v="0"/>
    <n v="24"/>
    <n v="0.95833333333333337"/>
    <n v="1"/>
    <n v="184.91"/>
    <n v="0"/>
    <n v="0"/>
    <n v="24"/>
    <n v="0"/>
    <n v="0"/>
    <n v="0"/>
    <n v="0"/>
    <n v="0"/>
    <n v="0"/>
    <n v="0"/>
    <n v="0"/>
    <n v="24"/>
    <n v="0"/>
    <n v="0"/>
    <n v="0"/>
    <n v="0"/>
    <n v="1"/>
    <n v="23"/>
    <n v="0"/>
    <n v="0"/>
    <n v="24"/>
    <n v="0.95833333333333337"/>
    <n v="1"/>
    <n v="182.96"/>
    <n v="0"/>
    <n v="22"/>
    <n v="0"/>
    <n v="2"/>
    <n v="22"/>
    <n v="0.91666666666666663"/>
    <n v="0.91666666666666663"/>
    <n v="171.66"/>
    <n v="2"/>
    <n v="22"/>
    <n v="0"/>
    <n v="0"/>
    <n v="24"/>
    <n v="0.91666666666666663"/>
    <n v="1"/>
    <n v="185.82"/>
    <n v="1"/>
    <n v="23"/>
    <n v="0"/>
    <n v="0"/>
    <n v="24"/>
    <n v="0.95833333333333337"/>
    <n v="1"/>
    <n v="184.03"/>
    <n v="2"/>
    <n v="22"/>
    <n v="0"/>
    <n v="0"/>
    <n v="24"/>
    <n v="0.91666666666666663"/>
    <n v="1"/>
    <n v="187.33"/>
  </r>
  <r>
    <x v="133"/>
    <n v="0"/>
    <n v="24"/>
    <n v="0"/>
    <n v="0"/>
    <n v="24"/>
    <n v="1"/>
    <n v="1"/>
    <n v="185.8"/>
    <n v="0"/>
    <n v="22"/>
    <n v="0"/>
    <n v="2"/>
    <n v="22"/>
    <n v="0.91666666666666663"/>
    <n v="0.91666666666666663"/>
    <n v="155.69999999999999"/>
    <n v="0"/>
    <n v="24"/>
    <n v="0"/>
    <n v="0"/>
    <n v="24"/>
    <n v="1"/>
    <n v="1"/>
    <n v="183.77"/>
    <n v="0"/>
    <n v="0"/>
    <n v="24"/>
    <n v="0"/>
    <n v="0"/>
    <n v="0"/>
    <n v="0"/>
    <n v="0"/>
    <n v="0"/>
    <n v="1"/>
    <n v="0"/>
    <n v="23"/>
    <n v="1"/>
    <n v="4.1666666666666664E-2"/>
    <n v="4.1666666666666664E-2"/>
    <n v="2.29"/>
    <n v="0"/>
    <n v="24"/>
    <n v="0"/>
    <n v="0"/>
    <n v="24"/>
    <n v="1"/>
    <n v="1"/>
    <n v="185.84"/>
    <n v="1"/>
    <n v="23"/>
    <n v="0"/>
    <n v="0"/>
    <n v="24"/>
    <n v="0.95833333333333337"/>
    <n v="1"/>
    <n v="170.86"/>
    <n v="0"/>
    <n v="24"/>
    <n v="0"/>
    <n v="0"/>
    <n v="24"/>
    <n v="1"/>
    <n v="1"/>
    <n v="186.49"/>
    <n v="0"/>
    <n v="24"/>
    <n v="0"/>
    <n v="0"/>
    <n v="24"/>
    <n v="1"/>
    <n v="1"/>
    <n v="187.37"/>
    <n v="0"/>
    <n v="24"/>
    <n v="0"/>
    <n v="0"/>
    <n v="24"/>
    <n v="1"/>
    <n v="1"/>
    <n v="185.62"/>
  </r>
  <r>
    <x v="134"/>
    <n v="0"/>
    <n v="24"/>
    <n v="0"/>
    <n v="0"/>
    <n v="24"/>
    <n v="1"/>
    <n v="1"/>
    <n v="183.3"/>
    <n v="0"/>
    <n v="24"/>
    <n v="0"/>
    <n v="0"/>
    <n v="24"/>
    <n v="1"/>
    <n v="1"/>
    <n v="170.5"/>
    <n v="0"/>
    <n v="24"/>
    <n v="0"/>
    <n v="0"/>
    <n v="24"/>
    <n v="1"/>
    <n v="1"/>
    <n v="182.82"/>
    <n v="0"/>
    <n v="0"/>
    <n v="24"/>
    <n v="0"/>
    <n v="0"/>
    <n v="0"/>
    <n v="0"/>
    <n v="0"/>
    <n v="8"/>
    <n v="4"/>
    <n v="0"/>
    <n v="12"/>
    <n v="12"/>
    <n v="0.16666666666666666"/>
    <n v="0.5"/>
    <n v="17.02"/>
    <n v="0"/>
    <n v="24"/>
    <n v="0"/>
    <n v="0"/>
    <n v="24"/>
    <n v="1"/>
    <n v="1"/>
    <n v="186"/>
    <n v="0"/>
    <n v="24"/>
    <n v="0"/>
    <n v="0"/>
    <n v="24"/>
    <n v="1"/>
    <n v="1"/>
    <n v="185.61"/>
    <n v="0"/>
    <n v="24"/>
    <n v="0"/>
    <n v="0"/>
    <n v="24"/>
    <n v="1"/>
    <n v="1"/>
    <n v="185.65"/>
    <n v="0"/>
    <n v="24"/>
    <n v="0"/>
    <n v="0"/>
    <n v="24"/>
    <n v="1"/>
    <n v="1"/>
    <n v="184.85"/>
    <n v="0"/>
    <n v="24"/>
    <n v="0"/>
    <n v="0"/>
    <n v="24"/>
    <n v="1"/>
    <n v="1"/>
    <n v="184.93"/>
  </r>
  <r>
    <x v="135"/>
    <n v="0"/>
    <n v="24"/>
    <n v="0"/>
    <n v="0"/>
    <n v="24"/>
    <n v="1"/>
    <n v="1"/>
    <n v="205.4"/>
    <n v="0"/>
    <n v="24"/>
    <n v="0"/>
    <n v="0"/>
    <n v="24"/>
    <n v="1"/>
    <n v="1"/>
    <n v="187.3"/>
    <n v="0"/>
    <n v="24"/>
    <n v="0"/>
    <n v="0"/>
    <n v="24"/>
    <n v="1"/>
    <n v="1"/>
    <n v="203.97"/>
    <n v="0"/>
    <n v="0"/>
    <n v="24"/>
    <n v="0"/>
    <n v="0"/>
    <n v="0"/>
    <n v="0"/>
    <n v="0"/>
    <n v="0"/>
    <n v="24"/>
    <n v="0"/>
    <n v="0"/>
    <n v="24"/>
    <n v="1"/>
    <n v="1"/>
    <n v="206.57"/>
    <n v="0"/>
    <n v="0"/>
    <n v="4"/>
    <n v="20"/>
    <n v="0"/>
    <n v="0"/>
    <n v="0"/>
    <n v="0.23"/>
    <n v="1"/>
    <n v="21"/>
    <n v="0"/>
    <n v="2"/>
    <n v="22"/>
    <n v="0.875"/>
    <n v="0.91666666666666663"/>
    <n v="178.86"/>
    <n v="0"/>
    <n v="24"/>
    <n v="0"/>
    <n v="0"/>
    <n v="24"/>
    <n v="1"/>
    <n v="1"/>
    <n v="209.28"/>
    <n v="0"/>
    <n v="24"/>
    <n v="0"/>
    <n v="0"/>
    <n v="24"/>
    <n v="1"/>
    <n v="1"/>
    <n v="206.42"/>
    <n v="0"/>
    <n v="24"/>
    <n v="0"/>
    <n v="0"/>
    <n v="24"/>
    <n v="1"/>
    <n v="1"/>
    <n v="207.13"/>
  </r>
  <r>
    <x v="136"/>
    <n v="0"/>
    <n v="22"/>
    <n v="0"/>
    <n v="2"/>
    <n v="22"/>
    <n v="0.91666666666666663"/>
    <n v="0.91666666666666663"/>
    <n v="187.8"/>
    <n v="1"/>
    <n v="23"/>
    <n v="0"/>
    <n v="0"/>
    <n v="24"/>
    <n v="0.95833333333333337"/>
    <n v="1"/>
    <n v="197"/>
    <n v="0"/>
    <n v="4"/>
    <n v="0"/>
    <n v="20"/>
    <n v="4"/>
    <n v="0.16666666666666666"/>
    <n v="0.16666666666666666"/>
    <n v="33.78"/>
    <n v="0"/>
    <n v="0"/>
    <n v="24"/>
    <n v="0"/>
    <n v="0"/>
    <n v="0"/>
    <n v="0"/>
    <n v="0"/>
    <n v="0"/>
    <n v="24"/>
    <n v="0"/>
    <n v="0"/>
    <n v="24"/>
    <n v="1"/>
    <n v="1"/>
    <n v="204.15"/>
    <n v="1"/>
    <n v="23"/>
    <n v="0"/>
    <n v="0"/>
    <n v="24"/>
    <n v="0.95833333333333337"/>
    <n v="1"/>
    <n v="194.75"/>
    <n v="2"/>
    <n v="22"/>
    <n v="0"/>
    <n v="0"/>
    <n v="24"/>
    <n v="0.91666666666666663"/>
    <n v="1"/>
    <n v="190.68"/>
    <n v="5"/>
    <n v="19"/>
    <n v="0"/>
    <n v="0"/>
    <n v="24"/>
    <n v="0.79166666666666663"/>
    <n v="1"/>
    <n v="165.22"/>
    <n v="0"/>
    <n v="24"/>
    <n v="0"/>
    <n v="0"/>
    <n v="24"/>
    <n v="1"/>
    <n v="1"/>
    <n v="207.67"/>
    <n v="0"/>
    <n v="24"/>
    <n v="0"/>
    <n v="0"/>
    <n v="24"/>
    <n v="1"/>
    <n v="1"/>
    <n v="206.69"/>
  </r>
  <r>
    <x v="137"/>
    <n v="0"/>
    <n v="4"/>
    <n v="4"/>
    <n v="16"/>
    <n v="4"/>
    <n v="0.16666666666666666"/>
    <n v="0.16666666666666666"/>
    <n v="25.4"/>
    <n v="0"/>
    <n v="19"/>
    <n v="0"/>
    <n v="5"/>
    <n v="19"/>
    <n v="0.79166666666666663"/>
    <n v="0.79166666666666663"/>
    <n v="142.69999999999999"/>
    <n v="0"/>
    <n v="24"/>
    <n v="0"/>
    <n v="0"/>
    <n v="24"/>
    <n v="1"/>
    <n v="1"/>
    <n v="188.5"/>
    <n v="0"/>
    <n v="0"/>
    <n v="24"/>
    <n v="0"/>
    <n v="0"/>
    <n v="0"/>
    <n v="0"/>
    <n v="0"/>
    <n v="0"/>
    <n v="24"/>
    <n v="0"/>
    <n v="0"/>
    <n v="24"/>
    <n v="1"/>
    <n v="1"/>
    <n v="184.37"/>
    <n v="0"/>
    <n v="24"/>
    <n v="0"/>
    <n v="0"/>
    <n v="24"/>
    <n v="1"/>
    <n v="1"/>
    <n v="187.1"/>
    <n v="0"/>
    <n v="24"/>
    <n v="0"/>
    <n v="0"/>
    <n v="24"/>
    <n v="1"/>
    <n v="1"/>
    <n v="186.68"/>
    <n v="-4"/>
    <n v="24"/>
    <n v="4"/>
    <n v="0"/>
    <n v="20"/>
    <n v="1"/>
    <n v="0.83333333333333337"/>
    <n v="186.86"/>
    <n v="1"/>
    <n v="21"/>
    <n v="0"/>
    <n v="2"/>
    <n v="22"/>
    <n v="0.875"/>
    <n v="0.91666666666666663"/>
    <n v="167.74"/>
    <n v="0"/>
    <n v="24"/>
    <n v="0"/>
    <n v="0"/>
    <n v="24"/>
    <n v="1"/>
    <n v="1"/>
    <n v="188.54"/>
  </r>
  <r>
    <x v="138"/>
    <n v="1"/>
    <n v="23"/>
    <n v="0"/>
    <n v="0"/>
    <n v="24"/>
    <n v="0.95833333333333337"/>
    <n v="1"/>
    <n v="171.6"/>
    <n v="0"/>
    <n v="24"/>
    <n v="0"/>
    <n v="0"/>
    <n v="24"/>
    <n v="1"/>
    <n v="1"/>
    <n v="173.2"/>
    <n v="0"/>
    <n v="24"/>
    <n v="0"/>
    <n v="0"/>
    <n v="24"/>
    <n v="1"/>
    <n v="1"/>
    <n v="178.41"/>
    <n v="0"/>
    <n v="0"/>
    <n v="24"/>
    <n v="0"/>
    <n v="0"/>
    <n v="0"/>
    <n v="0"/>
    <n v="0"/>
    <n v="0"/>
    <n v="24"/>
    <n v="0"/>
    <n v="0"/>
    <n v="24"/>
    <n v="1"/>
    <n v="1"/>
    <n v="181.4"/>
    <n v="0"/>
    <n v="24"/>
    <n v="0"/>
    <n v="0"/>
    <n v="24"/>
    <n v="1"/>
    <n v="1"/>
    <n v="181.5"/>
    <n v="0"/>
    <n v="17"/>
    <n v="4"/>
    <n v="3"/>
    <n v="17"/>
    <n v="0.70833333333333337"/>
    <n v="0.70833333333333337"/>
    <n v="116.89"/>
    <n v="0"/>
    <n v="24"/>
    <n v="0"/>
    <n v="0"/>
    <n v="24"/>
    <n v="1"/>
    <n v="1"/>
    <n v="181.19"/>
    <n v="0"/>
    <n v="24"/>
    <n v="0"/>
    <n v="0"/>
    <n v="24"/>
    <n v="1"/>
    <n v="1"/>
    <n v="181.23"/>
    <n v="0"/>
    <n v="5"/>
    <n v="4"/>
    <n v="15"/>
    <n v="5"/>
    <n v="0.20833333333333334"/>
    <n v="0.20833333333333334"/>
    <n v="36.72"/>
  </r>
  <r>
    <x v="139"/>
    <n v="0"/>
    <n v="24"/>
    <n v="0"/>
    <n v="0"/>
    <n v="24"/>
    <n v="1"/>
    <n v="1"/>
    <n v="189.5"/>
    <n v="0"/>
    <n v="24"/>
    <n v="0"/>
    <n v="0"/>
    <n v="24"/>
    <n v="1"/>
    <n v="1"/>
    <n v="157.5"/>
    <n v="0"/>
    <n v="24"/>
    <n v="0"/>
    <n v="0"/>
    <n v="24"/>
    <n v="1"/>
    <n v="1"/>
    <n v="186.94"/>
    <n v="0"/>
    <n v="0"/>
    <n v="24"/>
    <n v="0"/>
    <n v="0"/>
    <n v="0"/>
    <n v="0"/>
    <n v="0"/>
    <n v="2"/>
    <n v="18"/>
    <n v="4"/>
    <n v="0"/>
    <n v="20"/>
    <n v="0.75"/>
    <n v="0.83333333333333337"/>
    <n v="145.91999999999999"/>
    <n v="0"/>
    <n v="24"/>
    <n v="0"/>
    <n v="0"/>
    <n v="24"/>
    <n v="1"/>
    <n v="1"/>
    <n v="189.06"/>
    <n v="0"/>
    <n v="24"/>
    <n v="0"/>
    <n v="0"/>
    <n v="24"/>
    <n v="1"/>
    <n v="1"/>
    <n v="191.69"/>
    <n v="0"/>
    <n v="12"/>
    <n v="12"/>
    <n v="0"/>
    <n v="12"/>
    <n v="0.5"/>
    <n v="0.5"/>
    <n v="89.06"/>
    <n v="0"/>
    <n v="18"/>
    <n v="4"/>
    <n v="2"/>
    <n v="18"/>
    <n v="0.75"/>
    <n v="0.75"/>
    <n v="144.36000000000001"/>
    <n v="0"/>
    <n v="24"/>
    <n v="0"/>
    <n v="0"/>
    <n v="24"/>
    <n v="1"/>
    <n v="1"/>
    <n v="190.99"/>
  </r>
  <r>
    <x v="140"/>
    <n v="0"/>
    <n v="24"/>
    <n v="0"/>
    <n v="0"/>
    <n v="24"/>
    <n v="1"/>
    <n v="1"/>
    <n v="182.2"/>
    <n v="0"/>
    <n v="24"/>
    <n v="0"/>
    <n v="0"/>
    <n v="24"/>
    <n v="1"/>
    <n v="1"/>
    <n v="138.80000000000001"/>
    <n v="0"/>
    <n v="24"/>
    <n v="0"/>
    <n v="0"/>
    <n v="24"/>
    <n v="1"/>
    <n v="1"/>
    <n v="178.04"/>
    <n v="0"/>
    <n v="0"/>
    <n v="24"/>
    <n v="0"/>
    <n v="0"/>
    <n v="0"/>
    <n v="0"/>
    <n v="0"/>
    <n v="0"/>
    <n v="24"/>
    <n v="0"/>
    <n v="0"/>
    <n v="24"/>
    <n v="1"/>
    <n v="1"/>
    <n v="181.52"/>
    <n v="0"/>
    <n v="24"/>
    <n v="0"/>
    <n v="0"/>
    <n v="24"/>
    <n v="1"/>
    <n v="1"/>
    <n v="181.75"/>
    <n v="0"/>
    <n v="24"/>
    <n v="0"/>
    <n v="0"/>
    <n v="24"/>
    <n v="1"/>
    <n v="1"/>
    <n v="182.76"/>
    <n v="0"/>
    <n v="0"/>
    <n v="24"/>
    <n v="0"/>
    <n v="0"/>
    <n v="0"/>
    <n v="0"/>
    <n v="0"/>
    <n v="0"/>
    <n v="24"/>
    <n v="0"/>
    <n v="0"/>
    <n v="24"/>
    <n v="1"/>
    <n v="1"/>
    <n v="183.48"/>
    <n v="0"/>
    <n v="24"/>
    <n v="0"/>
    <n v="0"/>
    <n v="24"/>
    <n v="1"/>
    <n v="1"/>
    <n v="184.77"/>
  </r>
  <r>
    <x v="141"/>
    <n v="0"/>
    <n v="24"/>
    <n v="0"/>
    <n v="0"/>
    <n v="24"/>
    <n v="1"/>
    <n v="1"/>
    <n v="185.9"/>
    <n v="0"/>
    <n v="24"/>
    <n v="0"/>
    <n v="0"/>
    <n v="24"/>
    <n v="1"/>
    <n v="1"/>
    <n v="165.3"/>
    <n v="0"/>
    <n v="24"/>
    <n v="0"/>
    <n v="0"/>
    <n v="24"/>
    <n v="1"/>
    <n v="1"/>
    <n v="172.74"/>
    <n v="0"/>
    <n v="0"/>
    <n v="24"/>
    <n v="0"/>
    <n v="0"/>
    <n v="0"/>
    <n v="0"/>
    <n v="0"/>
    <n v="0"/>
    <n v="24"/>
    <n v="0"/>
    <n v="0"/>
    <n v="24"/>
    <n v="1"/>
    <n v="1"/>
    <n v="179.01"/>
    <n v="0"/>
    <n v="24"/>
    <n v="0"/>
    <n v="0"/>
    <n v="24"/>
    <n v="1"/>
    <n v="1"/>
    <n v="178.84"/>
    <n v="0"/>
    <n v="24"/>
    <n v="0"/>
    <n v="0"/>
    <n v="24"/>
    <n v="1"/>
    <n v="1"/>
    <n v="179.64"/>
    <n v="0"/>
    <n v="0"/>
    <n v="24"/>
    <n v="0"/>
    <n v="0"/>
    <n v="0"/>
    <n v="0"/>
    <n v="0"/>
    <n v="0"/>
    <n v="24"/>
    <n v="0"/>
    <n v="0"/>
    <n v="24"/>
    <n v="1"/>
    <n v="1"/>
    <n v="179.58"/>
    <n v="0"/>
    <n v="24"/>
    <n v="0"/>
    <n v="0"/>
    <n v="24"/>
    <n v="1"/>
    <n v="1"/>
    <n v="173.7"/>
  </r>
  <r>
    <x v="142"/>
    <n v="0"/>
    <n v="24"/>
    <n v="0"/>
    <n v="0"/>
    <n v="24"/>
    <n v="1"/>
    <n v="1"/>
    <n v="183.3"/>
    <n v="0"/>
    <n v="24"/>
    <n v="0"/>
    <n v="0"/>
    <n v="24"/>
    <n v="1"/>
    <n v="1"/>
    <n v="171"/>
    <n v="0"/>
    <n v="24"/>
    <n v="0"/>
    <n v="0"/>
    <n v="24"/>
    <n v="1"/>
    <n v="1"/>
    <n v="188.65"/>
    <n v="0"/>
    <n v="0"/>
    <n v="24"/>
    <n v="0"/>
    <n v="0"/>
    <n v="0"/>
    <n v="0"/>
    <n v="0"/>
    <n v="0"/>
    <n v="22"/>
    <n v="0"/>
    <n v="2"/>
    <n v="22"/>
    <n v="0.91666666666666663"/>
    <n v="0.91666666666666663"/>
    <n v="167.7"/>
    <n v="0"/>
    <n v="24"/>
    <n v="0"/>
    <n v="0"/>
    <n v="24"/>
    <n v="1"/>
    <n v="1"/>
    <n v="184.71"/>
    <n v="0"/>
    <n v="24"/>
    <n v="0"/>
    <n v="0"/>
    <n v="24"/>
    <n v="1"/>
    <n v="1"/>
    <n v="188.99"/>
    <n v="0"/>
    <n v="0"/>
    <n v="24"/>
    <n v="0"/>
    <n v="0"/>
    <n v="0"/>
    <n v="0"/>
    <n v="0"/>
    <n v="0"/>
    <n v="24"/>
    <n v="0"/>
    <n v="0"/>
    <n v="24"/>
    <n v="1"/>
    <n v="1"/>
    <n v="186.39"/>
    <n v="0"/>
    <n v="24"/>
    <n v="0"/>
    <n v="0"/>
    <n v="24"/>
    <n v="1"/>
    <n v="1"/>
    <n v="188.87"/>
  </r>
  <r>
    <x v="143"/>
    <n v="0"/>
    <n v="24"/>
    <n v="0"/>
    <n v="0"/>
    <n v="24"/>
    <n v="1"/>
    <n v="1"/>
    <n v="186.5"/>
    <n v="0"/>
    <n v="24"/>
    <n v="0"/>
    <n v="0"/>
    <n v="24"/>
    <n v="1"/>
    <n v="1"/>
    <n v="145.69999999999999"/>
    <n v="0"/>
    <n v="24"/>
    <n v="0"/>
    <n v="0"/>
    <n v="24"/>
    <n v="1"/>
    <n v="1"/>
    <n v="191.55"/>
    <n v="0"/>
    <n v="0"/>
    <n v="24"/>
    <n v="0"/>
    <n v="0"/>
    <n v="0"/>
    <n v="0"/>
    <n v="0"/>
    <n v="0"/>
    <n v="24"/>
    <n v="0"/>
    <n v="0"/>
    <n v="24"/>
    <n v="1"/>
    <n v="1"/>
    <n v="175.15"/>
    <n v="0"/>
    <n v="24"/>
    <n v="0"/>
    <n v="0"/>
    <n v="24"/>
    <n v="1"/>
    <n v="1"/>
    <n v="186.37"/>
    <n v="0"/>
    <n v="24"/>
    <n v="0"/>
    <n v="0"/>
    <n v="24"/>
    <n v="1"/>
    <n v="1"/>
    <n v="187.15"/>
    <n v="0"/>
    <n v="0"/>
    <n v="24"/>
    <n v="0"/>
    <n v="0"/>
    <n v="0"/>
    <n v="0"/>
    <n v="0"/>
    <n v="0"/>
    <n v="24"/>
    <n v="0"/>
    <n v="0"/>
    <n v="24"/>
    <n v="1"/>
    <n v="1"/>
    <n v="189.6"/>
    <n v="0"/>
    <n v="24"/>
    <n v="0"/>
    <n v="0"/>
    <n v="24"/>
    <n v="1"/>
    <n v="1"/>
    <n v="190.04"/>
  </r>
  <r>
    <x v="144"/>
    <n v="0"/>
    <n v="24"/>
    <n v="0"/>
    <n v="0"/>
    <n v="24"/>
    <n v="1"/>
    <n v="1"/>
    <n v="183.5"/>
    <n v="0"/>
    <n v="24"/>
    <n v="0"/>
    <n v="0"/>
    <n v="24"/>
    <n v="1"/>
    <n v="1"/>
    <n v="157.69999999999999"/>
    <n v="0"/>
    <n v="24"/>
    <n v="0"/>
    <n v="0"/>
    <n v="24"/>
    <n v="1"/>
    <n v="1"/>
    <n v="180.36"/>
    <n v="0"/>
    <n v="0"/>
    <n v="24"/>
    <n v="0"/>
    <n v="0"/>
    <n v="0"/>
    <n v="0"/>
    <n v="0"/>
    <n v="0"/>
    <n v="24"/>
    <n v="0"/>
    <n v="0"/>
    <n v="24"/>
    <n v="1"/>
    <n v="1"/>
    <n v="181.07"/>
    <n v="0"/>
    <n v="24"/>
    <n v="0"/>
    <n v="0"/>
    <n v="24"/>
    <n v="1"/>
    <n v="1"/>
    <n v="186.5"/>
    <n v="0"/>
    <n v="24"/>
    <n v="0"/>
    <n v="0"/>
    <n v="24"/>
    <n v="1"/>
    <n v="1"/>
    <n v="185.13"/>
    <n v="0"/>
    <n v="0"/>
    <n v="24"/>
    <n v="0"/>
    <n v="0"/>
    <n v="0"/>
    <n v="0"/>
    <n v="0"/>
    <n v="0"/>
    <n v="24"/>
    <n v="0"/>
    <n v="0"/>
    <n v="24"/>
    <n v="1"/>
    <n v="1"/>
    <n v="184"/>
    <n v="0"/>
    <n v="24"/>
    <n v="0"/>
    <n v="0"/>
    <n v="24"/>
    <n v="1"/>
    <n v="1"/>
    <n v="186.31"/>
  </r>
  <r>
    <x v="145"/>
    <n v="0"/>
    <n v="24"/>
    <n v="0"/>
    <n v="0"/>
    <n v="24"/>
    <n v="1"/>
    <n v="1"/>
    <n v="175.9"/>
    <n v="0"/>
    <n v="24"/>
    <n v="0"/>
    <n v="0"/>
    <n v="24"/>
    <n v="1"/>
    <n v="1"/>
    <n v="167.5"/>
    <n v="0"/>
    <n v="24"/>
    <n v="0"/>
    <n v="0"/>
    <n v="24"/>
    <n v="1"/>
    <n v="1"/>
    <n v="176.19"/>
    <n v="0"/>
    <n v="0"/>
    <n v="24"/>
    <n v="0"/>
    <n v="0"/>
    <n v="0"/>
    <n v="0"/>
    <n v="0"/>
    <n v="2"/>
    <n v="22"/>
    <n v="0"/>
    <n v="0"/>
    <n v="24"/>
    <n v="0.91666666666666663"/>
    <n v="1"/>
    <n v="159.62"/>
    <n v="0"/>
    <n v="24"/>
    <n v="0"/>
    <n v="0"/>
    <n v="24"/>
    <n v="1"/>
    <n v="1"/>
    <n v="177.47"/>
    <n v="0"/>
    <n v="24"/>
    <n v="0"/>
    <n v="0"/>
    <n v="24"/>
    <n v="1"/>
    <n v="1"/>
    <n v="177.07"/>
    <n v="0"/>
    <n v="0"/>
    <n v="24"/>
    <n v="0"/>
    <n v="0"/>
    <n v="0"/>
    <n v="0"/>
    <n v="0"/>
    <n v="0"/>
    <n v="24"/>
    <n v="0"/>
    <n v="0"/>
    <n v="24"/>
    <n v="1"/>
    <n v="1"/>
    <n v="178.06"/>
    <n v="0"/>
    <n v="24"/>
    <n v="0"/>
    <n v="0"/>
    <n v="24"/>
    <n v="1"/>
    <n v="1"/>
    <n v="179.54"/>
  </r>
  <r>
    <x v="146"/>
    <n v="0"/>
    <n v="24"/>
    <n v="0"/>
    <n v="0"/>
    <n v="24"/>
    <n v="1"/>
    <n v="1"/>
    <n v="172.4"/>
    <n v="1"/>
    <n v="23"/>
    <n v="0"/>
    <n v="0"/>
    <n v="24"/>
    <n v="0.95833333333333337"/>
    <n v="1"/>
    <n v="176.4"/>
    <n v="0"/>
    <n v="24"/>
    <n v="0"/>
    <n v="0"/>
    <n v="24"/>
    <n v="1"/>
    <n v="1"/>
    <n v="170.76"/>
    <n v="0"/>
    <n v="0"/>
    <n v="24"/>
    <n v="0"/>
    <n v="0"/>
    <n v="0"/>
    <n v="0"/>
    <n v="0"/>
    <n v="0"/>
    <n v="24"/>
    <n v="0"/>
    <n v="0"/>
    <n v="24"/>
    <n v="1"/>
    <n v="1"/>
    <n v="169.79"/>
    <n v="0"/>
    <n v="24"/>
    <n v="0"/>
    <n v="0"/>
    <n v="24"/>
    <n v="1"/>
    <n v="1"/>
    <n v="172.92"/>
    <n v="0"/>
    <n v="24"/>
    <n v="0"/>
    <n v="0"/>
    <n v="24"/>
    <n v="1"/>
    <n v="1"/>
    <n v="175.68"/>
    <n v="0"/>
    <n v="0"/>
    <n v="24"/>
    <n v="0"/>
    <n v="0"/>
    <n v="0"/>
    <n v="0"/>
    <n v="0"/>
    <n v="0"/>
    <n v="24"/>
    <n v="0"/>
    <n v="0"/>
    <n v="24"/>
    <n v="1"/>
    <n v="1"/>
    <n v="172.93"/>
    <n v="0"/>
    <n v="24"/>
    <n v="0"/>
    <n v="0"/>
    <n v="24"/>
    <n v="1"/>
    <n v="1"/>
    <n v="174.77"/>
  </r>
  <r>
    <x v="147"/>
    <n v="0"/>
    <n v="24"/>
    <n v="0"/>
    <n v="0"/>
    <n v="24"/>
    <n v="1"/>
    <n v="1"/>
    <n v="165.9"/>
    <n v="0"/>
    <n v="24"/>
    <n v="0"/>
    <n v="0"/>
    <n v="24"/>
    <n v="1"/>
    <n v="1"/>
    <n v="169.5"/>
    <n v="0"/>
    <n v="24"/>
    <n v="0"/>
    <n v="0"/>
    <n v="24"/>
    <n v="1"/>
    <n v="1"/>
    <n v="171.24"/>
    <n v="0"/>
    <n v="0"/>
    <n v="24"/>
    <n v="0"/>
    <n v="0"/>
    <n v="0"/>
    <n v="0"/>
    <n v="0"/>
    <n v="0"/>
    <n v="24"/>
    <n v="0"/>
    <n v="0"/>
    <n v="24"/>
    <n v="1"/>
    <n v="1"/>
    <n v="173.14"/>
    <n v="0"/>
    <n v="24"/>
    <n v="0"/>
    <n v="0"/>
    <n v="24"/>
    <n v="1"/>
    <n v="1"/>
    <n v="172.69"/>
    <n v="0"/>
    <n v="24"/>
    <n v="0"/>
    <n v="0"/>
    <n v="24"/>
    <n v="1"/>
    <n v="1"/>
    <n v="174.68"/>
    <n v="0"/>
    <n v="0"/>
    <n v="24"/>
    <n v="0"/>
    <n v="0"/>
    <n v="0"/>
    <n v="0"/>
    <n v="0"/>
    <n v="0"/>
    <n v="24"/>
    <n v="0"/>
    <n v="0"/>
    <n v="24"/>
    <n v="1"/>
    <n v="1"/>
    <n v="172.15"/>
    <n v="0"/>
    <n v="24"/>
    <n v="0"/>
    <n v="0"/>
    <n v="24"/>
    <n v="1"/>
    <n v="1"/>
    <n v="173.72"/>
  </r>
  <r>
    <x v="148"/>
    <n v="0"/>
    <n v="24"/>
    <n v="0"/>
    <n v="0"/>
    <n v="24"/>
    <n v="1"/>
    <n v="1"/>
    <n v="178.3"/>
    <n v="0"/>
    <n v="24"/>
    <n v="0"/>
    <n v="0"/>
    <n v="24"/>
    <n v="1"/>
    <n v="1"/>
    <n v="177"/>
    <n v="0"/>
    <n v="24"/>
    <n v="0"/>
    <n v="0"/>
    <n v="24"/>
    <n v="1"/>
    <n v="1"/>
    <n v="176.44"/>
    <n v="0"/>
    <n v="0"/>
    <n v="24"/>
    <n v="0"/>
    <n v="0"/>
    <n v="0"/>
    <n v="0"/>
    <n v="0"/>
    <n v="0"/>
    <n v="24"/>
    <n v="0"/>
    <n v="0"/>
    <n v="24"/>
    <n v="1"/>
    <n v="1"/>
    <n v="178.06"/>
    <n v="0"/>
    <n v="21"/>
    <n v="3"/>
    <n v="0"/>
    <n v="21"/>
    <n v="0.875"/>
    <n v="0.875"/>
    <n v="152.08000000000001"/>
    <n v="0"/>
    <n v="24"/>
    <n v="0"/>
    <n v="0"/>
    <n v="24"/>
    <n v="1"/>
    <n v="1"/>
    <n v="177.3"/>
    <n v="0"/>
    <n v="0"/>
    <n v="24"/>
    <n v="0"/>
    <n v="0"/>
    <n v="0"/>
    <n v="0"/>
    <n v="0"/>
    <n v="0"/>
    <n v="24"/>
    <n v="0"/>
    <n v="0"/>
    <n v="24"/>
    <n v="1"/>
    <n v="1"/>
    <n v="178.68"/>
    <n v="0"/>
    <n v="24"/>
    <n v="0"/>
    <n v="0"/>
    <n v="24"/>
    <n v="1"/>
    <n v="1"/>
    <n v="177.94"/>
  </r>
  <r>
    <x v="149"/>
    <n v="0"/>
    <n v="24"/>
    <n v="0"/>
    <n v="0"/>
    <n v="24"/>
    <n v="1"/>
    <n v="1"/>
    <n v="177.5"/>
    <n v="0"/>
    <n v="24"/>
    <n v="0"/>
    <n v="0"/>
    <n v="24"/>
    <n v="1"/>
    <n v="1"/>
    <n v="175.4"/>
    <n v="0"/>
    <n v="24"/>
    <n v="0"/>
    <n v="0"/>
    <n v="24"/>
    <n v="1"/>
    <n v="1"/>
    <n v="175.49"/>
    <n v="0"/>
    <n v="0"/>
    <n v="24"/>
    <n v="0"/>
    <n v="0"/>
    <n v="0"/>
    <n v="0"/>
    <n v="0"/>
    <n v="0"/>
    <n v="24"/>
    <n v="0"/>
    <n v="0"/>
    <n v="24"/>
    <n v="1"/>
    <n v="1"/>
    <n v="178.23"/>
    <n v="0"/>
    <n v="24"/>
    <n v="0"/>
    <n v="0"/>
    <n v="24"/>
    <n v="1"/>
    <n v="1"/>
    <n v="176.1"/>
    <n v="0"/>
    <n v="24"/>
    <n v="0"/>
    <n v="0"/>
    <n v="24"/>
    <n v="1"/>
    <n v="1"/>
    <n v="177.5"/>
    <n v="0"/>
    <n v="0"/>
    <n v="24"/>
    <n v="0"/>
    <n v="0"/>
    <n v="0"/>
    <n v="0"/>
    <n v="0"/>
    <n v="0"/>
    <n v="22"/>
    <n v="2"/>
    <n v="0"/>
    <n v="22"/>
    <n v="0.91666666666666663"/>
    <n v="0.91666666666666663"/>
    <n v="154.07"/>
    <n v="0"/>
    <n v="24"/>
    <n v="0"/>
    <n v="0"/>
    <n v="24"/>
    <n v="1"/>
    <n v="1"/>
    <n v="177.79"/>
  </r>
  <r>
    <x v="150"/>
    <n v="0"/>
    <n v="24"/>
    <n v="0"/>
    <n v="0"/>
    <n v="24"/>
    <n v="1"/>
    <n v="1"/>
    <n v="176.8"/>
    <n v="0"/>
    <n v="24"/>
    <n v="0"/>
    <n v="0"/>
    <n v="24"/>
    <n v="1"/>
    <n v="1"/>
    <n v="176"/>
    <n v="0"/>
    <n v="20"/>
    <n v="4"/>
    <n v="0"/>
    <n v="20"/>
    <n v="0.83333333333333337"/>
    <n v="0.83333333333333337"/>
    <n v="142.96"/>
    <n v="0"/>
    <n v="0"/>
    <n v="24"/>
    <n v="0"/>
    <n v="0"/>
    <n v="0"/>
    <n v="0"/>
    <n v="0"/>
    <n v="0"/>
    <n v="24"/>
    <n v="0"/>
    <n v="0"/>
    <n v="24"/>
    <n v="1"/>
    <n v="1"/>
    <n v="177.59"/>
    <n v="0"/>
    <n v="24"/>
    <n v="0"/>
    <n v="0"/>
    <n v="24"/>
    <n v="1"/>
    <n v="1"/>
    <n v="175.46"/>
    <n v="0"/>
    <n v="24"/>
    <n v="0"/>
    <n v="0"/>
    <n v="24"/>
    <n v="1"/>
    <n v="1"/>
    <n v="177.55"/>
    <n v="0"/>
    <n v="0"/>
    <n v="24"/>
    <n v="0"/>
    <n v="0"/>
    <n v="0"/>
    <n v="0"/>
    <n v="0"/>
    <n v="0"/>
    <n v="24"/>
    <n v="0"/>
    <n v="0"/>
    <n v="24"/>
    <n v="1"/>
    <n v="1"/>
    <n v="175.67"/>
    <n v="0"/>
    <n v="24"/>
    <n v="0"/>
    <n v="0"/>
    <n v="24"/>
    <n v="1"/>
    <n v="1"/>
    <n v="176.35"/>
  </r>
  <r>
    <x v="151"/>
    <n v="0"/>
    <n v="20"/>
    <n v="3"/>
    <n v="1"/>
    <n v="20"/>
    <n v="0.83333333333333337"/>
    <n v="0.83333333333333337"/>
    <n v="146.1"/>
    <n v="0"/>
    <n v="24"/>
    <n v="0"/>
    <n v="0"/>
    <n v="24"/>
    <n v="1"/>
    <n v="1"/>
    <n v="177.2"/>
    <n v="0"/>
    <n v="24"/>
    <n v="0"/>
    <n v="0"/>
    <n v="24"/>
    <n v="1"/>
    <n v="1"/>
    <n v="175.64"/>
    <n v="0"/>
    <n v="0"/>
    <n v="24"/>
    <n v="0"/>
    <n v="0"/>
    <n v="0"/>
    <n v="0"/>
    <n v="0"/>
    <n v="0"/>
    <n v="24"/>
    <n v="0"/>
    <n v="0"/>
    <n v="24"/>
    <n v="1"/>
    <n v="1"/>
    <n v="179.42"/>
    <n v="0"/>
    <n v="24"/>
    <n v="0"/>
    <n v="0"/>
    <n v="24"/>
    <n v="1"/>
    <n v="1"/>
    <n v="181.02"/>
    <n v="0"/>
    <n v="24"/>
    <n v="0"/>
    <n v="0"/>
    <n v="24"/>
    <n v="1"/>
    <n v="1"/>
    <n v="180.59"/>
    <n v="0"/>
    <n v="0"/>
    <n v="24"/>
    <n v="0"/>
    <n v="0"/>
    <n v="0"/>
    <n v="0"/>
    <n v="0"/>
    <n v="0"/>
    <n v="24"/>
    <n v="0"/>
    <n v="0"/>
    <n v="24"/>
    <n v="1"/>
    <n v="1"/>
    <n v="178.38"/>
    <n v="0"/>
    <n v="24"/>
    <n v="0"/>
    <n v="0"/>
    <n v="24"/>
    <n v="1"/>
    <n v="1"/>
    <n v="178.14"/>
  </r>
  <r>
    <x v="152"/>
    <n v="0"/>
    <n v="24"/>
    <n v="0"/>
    <n v="0"/>
    <n v="24"/>
    <n v="1"/>
    <n v="1"/>
    <n v="172.3"/>
    <n v="0"/>
    <n v="21"/>
    <n v="2"/>
    <n v="1"/>
    <n v="21"/>
    <n v="0.875"/>
    <n v="0.875"/>
    <n v="158.19999999999999"/>
    <n v="1"/>
    <n v="23"/>
    <n v="0"/>
    <n v="0"/>
    <n v="24"/>
    <n v="0.95833333333333337"/>
    <n v="1"/>
    <n v="165.36"/>
    <n v="0"/>
    <n v="0"/>
    <n v="24"/>
    <n v="0"/>
    <n v="0"/>
    <n v="0"/>
    <n v="0"/>
    <n v="0"/>
    <n v="0"/>
    <n v="24"/>
    <n v="0"/>
    <n v="0"/>
    <n v="24"/>
    <n v="1"/>
    <n v="1"/>
    <n v="176.86"/>
    <n v="0"/>
    <n v="24"/>
    <n v="0"/>
    <n v="0"/>
    <n v="24"/>
    <n v="1"/>
    <n v="1"/>
    <n v="177.53"/>
    <n v="0"/>
    <n v="24"/>
    <n v="0"/>
    <n v="0"/>
    <n v="24"/>
    <n v="1"/>
    <n v="1"/>
    <n v="176.39"/>
    <n v="0"/>
    <n v="0"/>
    <n v="24"/>
    <n v="0"/>
    <n v="0"/>
    <n v="0"/>
    <n v="0"/>
    <n v="0"/>
    <n v="0"/>
    <n v="24"/>
    <n v="0"/>
    <n v="0"/>
    <n v="24"/>
    <n v="1"/>
    <n v="1"/>
    <n v="176.46"/>
    <n v="0"/>
    <n v="24"/>
    <n v="0"/>
    <n v="0"/>
    <n v="24"/>
    <n v="1"/>
    <n v="1"/>
    <n v="177.47"/>
  </r>
  <r>
    <x v="153"/>
    <n v="0"/>
    <n v="24"/>
    <n v="0"/>
    <n v="0"/>
    <n v="24"/>
    <n v="1"/>
    <n v="1"/>
    <n v="185.6"/>
    <n v="1"/>
    <n v="23"/>
    <n v="0"/>
    <n v="0"/>
    <n v="24"/>
    <n v="0.95833333333333337"/>
    <n v="1"/>
    <n v="176.9"/>
    <n v="0"/>
    <n v="24"/>
    <n v="0"/>
    <n v="0"/>
    <n v="24"/>
    <n v="1"/>
    <n v="1"/>
    <n v="184.14"/>
    <n v="0"/>
    <n v="0"/>
    <n v="24"/>
    <n v="0"/>
    <n v="0"/>
    <n v="0"/>
    <n v="0"/>
    <n v="0"/>
    <n v="0"/>
    <n v="24"/>
    <n v="0"/>
    <n v="0"/>
    <n v="24"/>
    <n v="1"/>
    <n v="1"/>
    <n v="185.22"/>
    <n v="0"/>
    <n v="24"/>
    <n v="0"/>
    <n v="0"/>
    <n v="24"/>
    <n v="1"/>
    <n v="1"/>
    <n v="186.26"/>
    <n v="0"/>
    <n v="24"/>
    <n v="0"/>
    <n v="0"/>
    <n v="24"/>
    <n v="1"/>
    <n v="1"/>
    <n v="186.31"/>
    <n v="0"/>
    <n v="0"/>
    <n v="24"/>
    <n v="0"/>
    <n v="0"/>
    <n v="0"/>
    <n v="0"/>
    <n v="0"/>
    <n v="0"/>
    <n v="24"/>
    <n v="0"/>
    <n v="0"/>
    <n v="24"/>
    <n v="1"/>
    <n v="1"/>
    <n v="185.15"/>
    <n v="0"/>
    <n v="24"/>
    <n v="0"/>
    <n v="0"/>
    <n v="24"/>
    <n v="1"/>
    <n v="1"/>
    <n v="184.95"/>
  </r>
  <r>
    <x v="154"/>
    <n v="0"/>
    <n v="24"/>
    <n v="0"/>
    <n v="0"/>
    <n v="24"/>
    <n v="1"/>
    <n v="1"/>
    <n v="175.2"/>
    <n v="0"/>
    <n v="24"/>
    <n v="0"/>
    <n v="0"/>
    <n v="24"/>
    <n v="1"/>
    <n v="1"/>
    <n v="175.6"/>
    <n v="0"/>
    <n v="24"/>
    <n v="0"/>
    <n v="0"/>
    <n v="24"/>
    <n v="1"/>
    <n v="1"/>
    <n v="175.67"/>
    <n v="0"/>
    <n v="0"/>
    <n v="24"/>
    <n v="0"/>
    <n v="0"/>
    <n v="0"/>
    <n v="0"/>
    <n v="0"/>
    <n v="0"/>
    <n v="24"/>
    <n v="0"/>
    <n v="0"/>
    <n v="24"/>
    <n v="1"/>
    <n v="1"/>
    <n v="172.43"/>
    <n v="0"/>
    <n v="24"/>
    <n v="0"/>
    <n v="0"/>
    <n v="24"/>
    <n v="1"/>
    <n v="1"/>
    <n v="176.41"/>
    <n v="0"/>
    <n v="24"/>
    <n v="0"/>
    <n v="0"/>
    <n v="24"/>
    <n v="1"/>
    <n v="1"/>
    <n v="177.05"/>
    <n v="0"/>
    <n v="0"/>
    <n v="24"/>
    <n v="0"/>
    <n v="0"/>
    <n v="0"/>
    <n v="0"/>
    <n v="0"/>
    <n v="0"/>
    <n v="24"/>
    <n v="0"/>
    <n v="0"/>
    <n v="24"/>
    <n v="1"/>
    <n v="1"/>
    <n v="173.74"/>
    <n v="0"/>
    <n v="22"/>
    <n v="2"/>
    <n v="0"/>
    <n v="22"/>
    <n v="0.91666666666666663"/>
    <n v="0.91666666666666663"/>
    <n v="159.56"/>
  </r>
  <r>
    <x v="155"/>
    <n v="0"/>
    <n v="24"/>
    <n v="0"/>
    <n v="0"/>
    <n v="24"/>
    <n v="1"/>
    <n v="1"/>
    <n v="175.2"/>
    <n v="0"/>
    <n v="24"/>
    <n v="0"/>
    <n v="0"/>
    <n v="24"/>
    <n v="1"/>
    <n v="1"/>
    <n v="176.7"/>
    <n v="0"/>
    <n v="24"/>
    <n v="0"/>
    <n v="0"/>
    <n v="24"/>
    <n v="1"/>
    <n v="1"/>
    <n v="180.1"/>
    <n v="0"/>
    <n v="0"/>
    <n v="24"/>
    <n v="0"/>
    <n v="0"/>
    <n v="0"/>
    <n v="0"/>
    <n v="0"/>
    <n v="0"/>
    <n v="24"/>
    <n v="0"/>
    <n v="0"/>
    <n v="24"/>
    <n v="1"/>
    <n v="1"/>
    <n v="177.35"/>
    <n v="0"/>
    <n v="24"/>
    <n v="0"/>
    <n v="0"/>
    <n v="24"/>
    <n v="1"/>
    <n v="1"/>
    <n v="177.17"/>
    <n v="0"/>
    <n v="24"/>
    <n v="0"/>
    <n v="0"/>
    <n v="24"/>
    <n v="1"/>
    <n v="1"/>
    <n v="177.31"/>
    <n v="0"/>
    <n v="0"/>
    <n v="24"/>
    <n v="0"/>
    <n v="0"/>
    <n v="0"/>
    <n v="0"/>
    <n v="0"/>
    <n v="0"/>
    <n v="24"/>
    <n v="0"/>
    <n v="0"/>
    <n v="24"/>
    <n v="1"/>
    <n v="1"/>
    <n v="177.3"/>
    <n v="3"/>
    <n v="21"/>
    <n v="0"/>
    <n v="0"/>
    <n v="24"/>
    <n v="0.875"/>
    <n v="1"/>
    <n v="153.9"/>
  </r>
  <r>
    <x v="156"/>
    <n v="2"/>
    <n v="22"/>
    <n v="0"/>
    <n v="0"/>
    <n v="24"/>
    <n v="0.91666666666666663"/>
    <n v="1"/>
    <n v="157.19999999999999"/>
    <n v="1"/>
    <n v="23"/>
    <n v="0"/>
    <n v="0"/>
    <n v="24"/>
    <n v="0.95833333333333337"/>
    <n v="1"/>
    <n v="170.1"/>
    <n v="0"/>
    <n v="24"/>
    <n v="0"/>
    <n v="0"/>
    <n v="24"/>
    <n v="1"/>
    <n v="1"/>
    <n v="174.65"/>
    <n v="0"/>
    <n v="0"/>
    <n v="24"/>
    <n v="0"/>
    <n v="0"/>
    <n v="0"/>
    <n v="0"/>
    <n v="0"/>
    <n v="0"/>
    <n v="24"/>
    <n v="0"/>
    <n v="0"/>
    <n v="24"/>
    <n v="1"/>
    <n v="1"/>
    <n v="176.79"/>
    <n v="0"/>
    <n v="24"/>
    <n v="0"/>
    <n v="0"/>
    <n v="24"/>
    <n v="1"/>
    <n v="1"/>
    <n v="173.28"/>
    <n v="0"/>
    <n v="24"/>
    <n v="0"/>
    <n v="0"/>
    <n v="24"/>
    <n v="1"/>
    <n v="1"/>
    <n v="174.64"/>
    <n v="0"/>
    <n v="0"/>
    <n v="24"/>
    <n v="0"/>
    <n v="0"/>
    <n v="0"/>
    <n v="0"/>
    <n v="0"/>
    <n v="0"/>
    <n v="24"/>
    <n v="0"/>
    <n v="0"/>
    <n v="24"/>
    <n v="1"/>
    <n v="1"/>
    <n v="174.53"/>
    <n v="0"/>
    <n v="24"/>
    <n v="0"/>
    <n v="0"/>
    <n v="24"/>
    <n v="1"/>
    <n v="1"/>
    <n v="174.25"/>
  </r>
  <r>
    <x v="157"/>
    <n v="0"/>
    <n v="24"/>
    <n v="0"/>
    <n v="0"/>
    <n v="24"/>
    <n v="1"/>
    <n v="1"/>
    <n v="178.5"/>
    <n v="0"/>
    <n v="24"/>
    <n v="0"/>
    <n v="0"/>
    <n v="24"/>
    <n v="1"/>
    <n v="1"/>
    <n v="179.9"/>
    <n v="0"/>
    <n v="24"/>
    <n v="0"/>
    <n v="0"/>
    <n v="24"/>
    <n v="1"/>
    <n v="1"/>
    <n v="179.49"/>
    <n v="0"/>
    <n v="4"/>
    <n v="20"/>
    <n v="0"/>
    <n v="4"/>
    <n v="0.16666666666666666"/>
    <n v="0.16666666666666666"/>
    <n v="18.38"/>
    <n v="0"/>
    <n v="24"/>
    <n v="0"/>
    <n v="0"/>
    <n v="24"/>
    <n v="1"/>
    <n v="1"/>
    <n v="178.28"/>
    <n v="0"/>
    <n v="24"/>
    <n v="0"/>
    <n v="0"/>
    <n v="24"/>
    <n v="1"/>
    <n v="1"/>
    <n v="179.47"/>
    <n v="0"/>
    <n v="24"/>
    <n v="0"/>
    <n v="0"/>
    <n v="24"/>
    <n v="1"/>
    <n v="1"/>
    <n v="177.53"/>
    <n v="0"/>
    <n v="0"/>
    <n v="24"/>
    <n v="0"/>
    <n v="0"/>
    <n v="0"/>
    <n v="0"/>
    <n v="0"/>
    <n v="0"/>
    <n v="23"/>
    <n v="1"/>
    <n v="0"/>
    <n v="23"/>
    <n v="0.95833333333333337"/>
    <n v="0.95833333333333337"/>
    <n v="169.62"/>
    <n v="0"/>
    <n v="24"/>
    <n v="0"/>
    <n v="0"/>
    <n v="24"/>
    <n v="1"/>
    <n v="1"/>
    <n v="180.07"/>
  </r>
  <r>
    <x v="158"/>
    <n v="0"/>
    <n v="24"/>
    <n v="0"/>
    <n v="0"/>
    <n v="24"/>
    <n v="1"/>
    <n v="1"/>
    <n v="174.3"/>
    <n v="0"/>
    <n v="24"/>
    <n v="0"/>
    <n v="0"/>
    <n v="24"/>
    <n v="1"/>
    <n v="1"/>
    <n v="175"/>
    <n v="0"/>
    <n v="24"/>
    <n v="0"/>
    <n v="0"/>
    <n v="24"/>
    <n v="1"/>
    <n v="1"/>
    <n v="176.16"/>
    <n v="0"/>
    <n v="3"/>
    <n v="21"/>
    <n v="0"/>
    <n v="3"/>
    <n v="0.125"/>
    <n v="0.125"/>
    <n v="15.18"/>
    <n v="0"/>
    <n v="23"/>
    <n v="0"/>
    <n v="1"/>
    <n v="23"/>
    <n v="0.95833333333333337"/>
    <n v="0.95833333333333337"/>
    <n v="155.33000000000001"/>
    <n v="1"/>
    <n v="23"/>
    <n v="0"/>
    <n v="0"/>
    <n v="24"/>
    <n v="0.95833333333333337"/>
    <n v="1"/>
    <n v="161.22"/>
    <n v="2"/>
    <n v="22"/>
    <n v="0"/>
    <n v="0"/>
    <n v="24"/>
    <n v="0.91666666666666663"/>
    <n v="1"/>
    <n v="149.33000000000001"/>
    <n v="0"/>
    <n v="0"/>
    <n v="24"/>
    <n v="0"/>
    <n v="0"/>
    <n v="0"/>
    <n v="0"/>
    <n v="0"/>
    <n v="0"/>
    <n v="23"/>
    <n v="1"/>
    <n v="0"/>
    <n v="23"/>
    <n v="0.95833333333333337"/>
    <n v="0.95833333333333337"/>
    <n v="170.66"/>
    <n v="1"/>
    <n v="23"/>
    <n v="0"/>
    <n v="0"/>
    <n v="24"/>
    <n v="0.95833333333333337"/>
    <n v="1"/>
    <n v="178.25"/>
  </r>
  <r>
    <x v="159"/>
    <n v="0"/>
    <n v="24"/>
    <n v="0"/>
    <n v="0"/>
    <n v="24"/>
    <n v="1"/>
    <n v="1"/>
    <n v="172.4"/>
    <n v="0"/>
    <n v="24"/>
    <n v="0"/>
    <n v="0"/>
    <n v="24"/>
    <n v="1"/>
    <n v="1"/>
    <n v="169.9"/>
    <n v="0"/>
    <n v="24"/>
    <n v="0"/>
    <n v="0"/>
    <n v="24"/>
    <n v="1"/>
    <n v="1"/>
    <n v="171.02"/>
    <n v="5"/>
    <n v="9"/>
    <n v="10"/>
    <n v="0"/>
    <n v="14"/>
    <n v="0.375"/>
    <n v="0.58333333333333337"/>
    <n v="71.66"/>
    <n v="0"/>
    <n v="24"/>
    <n v="0"/>
    <n v="0"/>
    <n v="24"/>
    <n v="1"/>
    <n v="1"/>
    <n v="158.74"/>
    <n v="0"/>
    <n v="22"/>
    <n v="2"/>
    <n v="0"/>
    <n v="22"/>
    <n v="0.91666666666666663"/>
    <n v="0.91666666666666663"/>
    <n v="151.75"/>
    <n v="0"/>
    <n v="24"/>
    <n v="0"/>
    <n v="0"/>
    <n v="24"/>
    <n v="1"/>
    <n v="1"/>
    <n v="167.77"/>
    <n v="0"/>
    <n v="0"/>
    <n v="24"/>
    <n v="0"/>
    <n v="0"/>
    <n v="0"/>
    <n v="0"/>
    <n v="0"/>
    <n v="0"/>
    <n v="24"/>
    <n v="0"/>
    <n v="0"/>
    <n v="24"/>
    <n v="1"/>
    <n v="1"/>
    <n v="164.16"/>
    <n v="0"/>
    <n v="24"/>
    <n v="0"/>
    <n v="0"/>
    <n v="24"/>
    <n v="1"/>
    <n v="1"/>
    <n v="170.19"/>
  </r>
  <r>
    <x v="160"/>
    <n v="0"/>
    <n v="21"/>
    <n v="3"/>
    <n v="0"/>
    <n v="21"/>
    <n v="0.875"/>
    <n v="0.875"/>
    <n v="150.4"/>
    <n v="0"/>
    <n v="24"/>
    <n v="0"/>
    <n v="0"/>
    <n v="24"/>
    <n v="1"/>
    <n v="1"/>
    <n v="172.9"/>
    <n v="0"/>
    <n v="19"/>
    <n v="5"/>
    <n v="0"/>
    <n v="19"/>
    <n v="0.79166666666666663"/>
    <n v="0.79166666666666663"/>
    <n v="125.66"/>
    <n v="0"/>
    <n v="24"/>
    <n v="0"/>
    <n v="0"/>
    <n v="24"/>
    <n v="1"/>
    <n v="1"/>
    <n v="177.28"/>
    <n v="0"/>
    <n v="24"/>
    <n v="0"/>
    <n v="0"/>
    <n v="24"/>
    <n v="1"/>
    <n v="1"/>
    <n v="171.92"/>
    <n v="0"/>
    <n v="24"/>
    <n v="0"/>
    <n v="0"/>
    <n v="24"/>
    <n v="1"/>
    <n v="1"/>
    <n v="173.92"/>
    <n v="0"/>
    <n v="24"/>
    <n v="0"/>
    <n v="0"/>
    <n v="24"/>
    <n v="1"/>
    <n v="1"/>
    <n v="171.06"/>
    <n v="0"/>
    <n v="0"/>
    <n v="24"/>
    <n v="0"/>
    <n v="0"/>
    <n v="0"/>
    <n v="0"/>
    <n v="0"/>
    <n v="3"/>
    <n v="5"/>
    <n v="0"/>
    <n v="16"/>
    <n v="8"/>
    <n v="0.20833333333333334"/>
    <n v="0.33333333333333331"/>
    <n v="38.33"/>
    <n v="0"/>
    <n v="24"/>
    <n v="0"/>
    <n v="0"/>
    <n v="24"/>
    <n v="1"/>
    <n v="1"/>
    <n v="178.04"/>
  </r>
  <r>
    <x v="161"/>
    <n v="3"/>
    <n v="3"/>
    <n v="3"/>
    <n v="15"/>
    <n v="6"/>
    <n v="0.125"/>
    <n v="0.25"/>
    <n v="21.6"/>
    <n v="1"/>
    <n v="19"/>
    <n v="0"/>
    <n v="4"/>
    <n v="20"/>
    <n v="0.79166666666666663"/>
    <n v="0.83333333333333337"/>
    <n v="139.4"/>
    <n v="3"/>
    <n v="21"/>
    <n v="0"/>
    <n v="0"/>
    <n v="24"/>
    <n v="0.875"/>
    <n v="1"/>
    <n v="151.19"/>
    <n v="0"/>
    <n v="24"/>
    <n v="0"/>
    <n v="0"/>
    <n v="24"/>
    <n v="1"/>
    <n v="1"/>
    <n v="175.63"/>
    <n v="0"/>
    <n v="24"/>
    <n v="0"/>
    <n v="0"/>
    <n v="24"/>
    <n v="1"/>
    <n v="1"/>
    <n v="174.89"/>
    <n v="0"/>
    <n v="24"/>
    <n v="0"/>
    <n v="0"/>
    <n v="24"/>
    <n v="1"/>
    <n v="1"/>
    <n v="175.13"/>
    <n v="0"/>
    <n v="24"/>
    <n v="0"/>
    <n v="0"/>
    <n v="24"/>
    <n v="1"/>
    <n v="1"/>
    <n v="174.17"/>
    <n v="0"/>
    <n v="0"/>
    <n v="24"/>
    <n v="0"/>
    <n v="0"/>
    <n v="0"/>
    <n v="0"/>
    <n v="0"/>
    <n v="0"/>
    <n v="24"/>
    <n v="0"/>
    <n v="0"/>
    <n v="24"/>
    <n v="1"/>
    <n v="1"/>
    <n v="173.68"/>
    <n v="0"/>
    <n v="24"/>
    <n v="0"/>
    <n v="0"/>
    <n v="24"/>
    <n v="1"/>
    <n v="1"/>
    <n v="176.97"/>
  </r>
  <r>
    <x v="162"/>
    <n v="0"/>
    <n v="24"/>
    <n v="0"/>
    <n v="0"/>
    <n v="24"/>
    <n v="1"/>
    <n v="1"/>
    <n v="183.2"/>
    <n v="4"/>
    <n v="6"/>
    <n v="0"/>
    <n v="14"/>
    <n v="10"/>
    <n v="0.25"/>
    <n v="0.41666666666666669"/>
    <n v="50.2"/>
    <n v="3"/>
    <n v="21"/>
    <n v="0"/>
    <n v="0"/>
    <n v="24"/>
    <n v="0.875"/>
    <n v="1"/>
    <n v="155.4"/>
    <n v="0"/>
    <n v="24"/>
    <n v="0"/>
    <n v="0"/>
    <n v="24"/>
    <n v="1"/>
    <n v="1"/>
    <n v="183.17"/>
    <n v="0"/>
    <n v="24"/>
    <n v="0"/>
    <n v="0"/>
    <n v="24"/>
    <n v="1"/>
    <n v="1"/>
    <n v="180.27"/>
    <n v="0"/>
    <n v="24"/>
    <n v="0"/>
    <n v="0"/>
    <n v="24"/>
    <n v="1"/>
    <n v="1"/>
    <n v="183.17"/>
    <n v="0"/>
    <n v="24"/>
    <n v="0"/>
    <n v="0"/>
    <n v="24"/>
    <n v="1"/>
    <n v="1"/>
    <n v="181.16"/>
    <n v="0"/>
    <n v="0"/>
    <n v="24"/>
    <n v="0"/>
    <n v="0"/>
    <n v="0"/>
    <n v="0"/>
    <n v="0"/>
    <n v="5"/>
    <n v="19"/>
    <n v="0"/>
    <n v="0"/>
    <n v="24"/>
    <n v="0.79166666666666663"/>
    <n v="1"/>
    <n v="132.80000000000001"/>
    <n v="0"/>
    <n v="24"/>
    <n v="0"/>
    <n v="0"/>
    <n v="24"/>
    <n v="1"/>
    <n v="1"/>
    <n v="182.34"/>
  </r>
  <r>
    <x v="163"/>
    <n v="0"/>
    <n v="24"/>
    <n v="0"/>
    <n v="0"/>
    <n v="24"/>
    <n v="1"/>
    <n v="1"/>
    <n v="188.4"/>
    <n v="0"/>
    <n v="24"/>
    <n v="0"/>
    <n v="0"/>
    <n v="24"/>
    <n v="1"/>
    <n v="1"/>
    <n v="190.1"/>
    <n v="0"/>
    <n v="24"/>
    <n v="0"/>
    <n v="0"/>
    <n v="24"/>
    <n v="1"/>
    <n v="1"/>
    <n v="187.88"/>
    <n v="0"/>
    <n v="24"/>
    <n v="0"/>
    <n v="0"/>
    <n v="24"/>
    <n v="1"/>
    <n v="1"/>
    <n v="189.12"/>
    <n v="0"/>
    <n v="24"/>
    <n v="0"/>
    <n v="0"/>
    <n v="24"/>
    <n v="1"/>
    <n v="1"/>
    <n v="184.57"/>
    <n v="0"/>
    <n v="20"/>
    <n v="4"/>
    <n v="0"/>
    <n v="20"/>
    <n v="0.83333333333333337"/>
    <n v="0.83333333333333337"/>
    <n v="158.80000000000001"/>
    <n v="0"/>
    <n v="24"/>
    <n v="0"/>
    <n v="0"/>
    <n v="24"/>
    <n v="1"/>
    <n v="1"/>
    <n v="188.42"/>
    <n v="0"/>
    <n v="0"/>
    <n v="24"/>
    <n v="0"/>
    <n v="0"/>
    <n v="0"/>
    <n v="0"/>
    <n v="0"/>
    <n v="0"/>
    <n v="0"/>
    <n v="24"/>
    <n v="0"/>
    <n v="0"/>
    <n v="0"/>
    <n v="0"/>
    <n v="0"/>
    <n v="0"/>
    <n v="24"/>
    <n v="0"/>
    <n v="0"/>
    <n v="24"/>
    <n v="1"/>
    <n v="1"/>
    <n v="189.31"/>
  </r>
  <r>
    <x v="164"/>
    <n v="0"/>
    <n v="24"/>
    <n v="0"/>
    <n v="0"/>
    <n v="24"/>
    <n v="1"/>
    <n v="1"/>
    <n v="186.8"/>
    <n v="0"/>
    <n v="24"/>
    <n v="0"/>
    <n v="0"/>
    <n v="24"/>
    <n v="1"/>
    <n v="1"/>
    <n v="186.6"/>
    <n v="0"/>
    <n v="24"/>
    <n v="0"/>
    <n v="0"/>
    <n v="24"/>
    <n v="1"/>
    <n v="1"/>
    <n v="186.38"/>
    <n v="0"/>
    <n v="24"/>
    <n v="0"/>
    <n v="0"/>
    <n v="24"/>
    <n v="1"/>
    <n v="1"/>
    <n v="187.38"/>
    <n v="0"/>
    <n v="24"/>
    <n v="0"/>
    <n v="0"/>
    <n v="24"/>
    <n v="1"/>
    <n v="1"/>
    <n v="186.46"/>
    <n v="0"/>
    <n v="24"/>
    <n v="0"/>
    <n v="0"/>
    <n v="24"/>
    <n v="1"/>
    <n v="1"/>
    <n v="183.23"/>
    <n v="0"/>
    <n v="24"/>
    <n v="0"/>
    <n v="0"/>
    <n v="24"/>
    <n v="1"/>
    <n v="1"/>
    <n v="185.31"/>
    <n v="0"/>
    <n v="0"/>
    <n v="24"/>
    <n v="0"/>
    <n v="0"/>
    <n v="0"/>
    <n v="0"/>
    <n v="0"/>
    <n v="0"/>
    <n v="0"/>
    <n v="24"/>
    <n v="0"/>
    <n v="0"/>
    <n v="0"/>
    <n v="0"/>
    <n v="0"/>
    <n v="0"/>
    <n v="24"/>
    <n v="0"/>
    <n v="0"/>
    <n v="24"/>
    <n v="1"/>
    <n v="1"/>
    <n v="183.16"/>
  </r>
  <r>
    <x v="165"/>
    <n v="0"/>
    <n v="21"/>
    <n v="3"/>
    <n v="0"/>
    <n v="21"/>
    <n v="0.875"/>
    <n v="0.875"/>
    <n v="164.7"/>
    <n v="0"/>
    <n v="24"/>
    <n v="0"/>
    <n v="0"/>
    <n v="24"/>
    <n v="1"/>
    <n v="1"/>
    <n v="189.7"/>
    <n v="0"/>
    <n v="24"/>
    <n v="0"/>
    <n v="0"/>
    <n v="24"/>
    <n v="1"/>
    <n v="1"/>
    <n v="185.81"/>
    <n v="0"/>
    <n v="24"/>
    <n v="0"/>
    <n v="0"/>
    <n v="24"/>
    <n v="1"/>
    <n v="1"/>
    <n v="189.29"/>
    <n v="0"/>
    <n v="24"/>
    <n v="0"/>
    <n v="0"/>
    <n v="24"/>
    <n v="1"/>
    <n v="1"/>
    <n v="187.47"/>
    <n v="0"/>
    <n v="24"/>
    <n v="0"/>
    <n v="0"/>
    <n v="24"/>
    <n v="1"/>
    <n v="1"/>
    <n v="188.08"/>
    <n v="1"/>
    <n v="23"/>
    <n v="0"/>
    <n v="0"/>
    <n v="24"/>
    <n v="0.95833333333333337"/>
    <n v="1"/>
    <n v="183.77"/>
    <n v="0"/>
    <n v="1"/>
    <n v="23"/>
    <n v="0"/>
    <n v="1"/>
    <n v="4.1666666666666664E-2"/>
    <n v="4.1666666666666664E-2"/>
    <n v="0"/>
    <n v="0"/>
    <n v="0"/>
    <n v="24"/>
    <n v="0"/>
    <n v="0"/>
    <n v="0"/>
    <n v="0"/>
    <n v="0"/>
    <n v="0"/>
    <n v="24"/>
    <n v="0"/>
    <n v="0"/>
    <n v="24"/>
    <n v="1"/>
    <n v="1"/>
    <n v="189.33"/>
  </r>
  <r>
    <x v="166"/>
    <n v="0"/>
    <n v="24"/>
    <n v="0"/>
    <n v="0"/>
    <n v="24"/>
    <n v="1"/>
    <n v="1"/>
    <n v="192.8"/>
    <n v="0"/>
    <n v="24"/>
    <n v="0"/>
    <n v="0"/>
    <n v="24"/>
    <n v="1"/>
    <n v="1"/>
    <n v="195.8"/>
    <n v="0"/>
    <n v="24"/>
    <n v="0"/>
    <n v="0"/>
    <n v="24"/>
    <n v="1"/>
    <n v="1"/>
    <n v="184.09"/>
    <n v="3"/>
    <n v="8"/>
    <n v="3"/>
    <n v="10"/>
    <n v="11"/>
    <n v="0.33333333333333331"/>
    <n v="0.45833333333333331"/>
    <n v="61.32"/>
    <n v="0"/>
    <n v="24"/>
    <n v="0"/>
    <n v="0"/>
    <n v="24"/>
    <n v="1"/>
    <n v="1"/>
    <n v="190.13"/>
    <n v="0"/>
    <n v="24"/>
    <n v="0"/>
    <n v="0"/>
    <n v="24"/>
    <n v="1"/>
    <n v="1"/>
    <n v="188.94"/>
    <n v="0"/>
    <n v="24"/>
    <n v="0"/>
    <n v="0"/>
    <n v="24"/>
    <n v="1"/>
    <n v="1"/>
    <n v="190.84"/>
    <n v="11"/>
    <n v="3"/>
    <n v="10"/>
    <n v="0"/>
    <n v="14"/>
    <n v="0.125"/>
    <n v="0.58333333333333337"/>
    <n v="19.46"/>
    <n v="0"/>
    <n v="0"/>
    <n v="24"/>
    <n v="0"/>
    <n v="0"/>
    <n v="0"/>
    <n v="0"/>
    <n v="0"/>
    <n v="0"/>
    <n v="24"/>
    <n v="0"/>
    <n v="0"/>
    <n v="24"/>
    <n v="1"/>
    <n v="1"/>
    <n v="189.72"/>
  </r>
  <r>
    <x v="167"/>
    <n v="0"/>
    <n v="24"/>
    <n v="0"/>
    <n v="0"/>
    <n v="24"/>
    <n v="1"/>
    <n v="1"/>
    <n v="176.4"/>
    <n v="0"/>
    <n v="24"/>
    <n v="0"/>
    <n v="0"/>
    <n v="24"/>
    <n v="1"/>
    <n v="1"/>
    <n v="176.7"/>
    <n v="0"/>
    <n v="23"/>
    <n v="1"/>
    <n v="0"/>
    <n v="23"/>
    <n v="0.95833333333333337"/>
    <n v="0.95833333333333337"/>
    <n v="175.83"/>
    <n v="0"/>
    <n v="24"/>
    <n v="0"/>
    <n v="0"/>
    <n v="24"/>
    <n v="1"/>
    <n v="1"/>
    <n v="176.18"/>
    <n v="0"/>
    <n v="24"/>
    <n v="0"/>
    <n v="0"/>
    <n v="24"/>
    <n v="1"/>
    <n v="1"/>
    <n v="178.34"/>
    <n v="0"/>
    <n v="24"/>
    <n v="0"/>
    <n v="0"/>
    <n v="24"/>
    <n v="1"/>
    <n v="1"/>
    <n v="181.03"/>
    <n v="0"/>
    <n v="24"/>
    <n v="0"/>
    <n v="0"/>
    <n v="24"/>
    <n v="1"/>
    <n v="1"/>
    <n v="180.42"/>
    <n v="15"/>
    <n v="1"/>
    <n v="8"/>
    <n v="0"/>
    <n v="16"/>
    <n v="4.1666666666666664E-2"/>
    <n v="0.66666666666666663"/>
    <n v="3.47"/>
    <n v="0"/>
    <n v="0"/>
    <n v="24"/>
    <n v="0"/>
    <n v="0"/>
    <n v="0"/>
    <n v="0"/>
    <n v="0"/>
    <n v="0"/>
    <n v="24"/>
    <n v="0"/>
    <n v="0"/>
    <n v="24"/>
    <n v="1"/>
    <n v="1"/>
    <n v="178.26"/>
  </r>
  <r>
    <x v="168"/>
    <n v="0"/>
    <n v="24"/>
    <n v="0"/>
    <n v="0"/>
    <n v="24"/>
    <n v="1"/>
    <n v="1"/>
    <n v="184.6"/>
    <n v="0"/>
    <n v="24"/>
    <n v="0"/>
    <n v="0"/>
    <n v="24"/>
    <n v="1"/>
    <n v="1"/>
    <n v="182"/>
    <n v="4"/>
    <n v="1"/>
    <n v="4"/>
    <n v="15"/>
    <n v="5"/>
    <n v="4.1666666666666664E-2"/>
    <n v="0.20833333333333334"/>
    <n v="0.08"/>
    <n v="0"/>
    <n v="24"/>
    <n v="0"/>
    <n v="0"/>
    <n v="24"/>
    <n v="1"/>
    <n v="1"/>
    <n v="182.18"/>
    <n v="3"/>
    <n v="21"/>
    <n v="0"/>
    <n v="0"/>
    <n v="24"/>
    <n v="0.875"/>
    <n v="1"/>
    <n v="160.54"/>
    <n v="0"/>
    <n v="24"/>
    <n v="0"/>
    <n v="0"/>
    <n v="24"/>
    <n v="1"/>
    <n v="1"/>
    <n v="181.69"/>
    <n v="0"/>
    <n v="24"/>
    <n v="0"/>
    <n v="0"/>
    <n v="24"/>
    <n v="1"/>
    <n v="1"/>
    <n v="181"/>
    <n v="0"/>
    <n v="24"/>
    <n v="0"/>
    <n v="0"/>
    <n v="24"/>
    <n v="1"/>
    <n v="1"/>
    <n v="181.18"/>
    <n v="0"/>
    <n v="0"/>
    <n v="24"/>
    <n v="0"/>
    <n v="0"/>
    <n v="0"/>
    <n v="0"/>
    <n v="0"/>
    <n v="0"/>
    <n v="24"/>
    <n v="0"/>
    <n v="0"/>
    <n v="24"/>
    <n v="1"/>
    <n v="1"/>
    <n v="180.58"/>
  </r>
  <r>
    <x v="169"/>
    <n v="0"/>
    <n v="24"/>
    <n v="0"/>
    <n v="0"/>
    <n v="24"/>
    <n v="1"/>
    <n v="1"/>
    <n v="180.2"/>
    <n v="0"/>
    <n v="24"/>
    <n v="0"/>
    <n v="0"/>
    <n v="24"/>
    <n v="1"/>
    <n v="1"/>
    <n v="177.8"/>
    <n v="0"/>
    <n v="24"/>
    <n v="0"/>
    <n v="0"/>
    <n v="24"/>
    <n v="1"/>
    <n v="1"/>
    <n v="177.26"/>
    <n v="0"/>
    <n v="24"/>
    <n v="0"/>
    <n v="0"/>
    <n v="24"/>
    <n v="1"/>
    <n v="1"/>
    <n v="179.54"/>
    <n v="0"/>
    <n v="24"/>
    <n v="0"/>
    <n v="0"/>
    <n v="24"/>
    <n v="1"/>
    <n v="1"/>
    <n v="176.2"/>
    <n v="0"/>
    <n v="24"/>
    <n v="0"/>
    <n v="0"/>
    <n v="24"/>
    <n v="1"/>
    <n v="1"/>
    <n v="179.53"/>
    <n v="0"/>
    <n v="24"/>
    <n v="0"/>
    <n v="0"/>
    <n v="24"/>
    <n v="1"/>
    <n v="1"/>
    <n v="177.68"/>
    <n v="0"/>
    <n v="24"/>
    <n v="0"/>
    <n v="0"/>
    <n v="24"/>
    <n v="1"/>
    <n v="1"/>
    <n v="177.82"/>
    <n v="0"/>
    <n v="0"/>
    <n v="24"/>
    <n v="0"/>
    <n v="0"/>
    <n v="0"/>
    <n v="0"/>
    <n v="0"/>
    <n v="24"/>
    <n v="0"/>
    <n v="0"/>
    <n v="0"/>
    <n v="24"/>
    <n v="0"/>
    <n v="1"/>
    <n v="0.63"/>
  </r>
  <r>
    <x v="170"/>
    <n v="0"/>
    <n v="24"/>
    <n v="0"/>
    <n v="0"/>
    <n v="24"/>
    <n v="1"/>
    <n v="1"/>
    <n v="194"/>
    <n v="0"/>
    <n v="24"/>
    <n v="0"/>
    <n v="0"/>
    <n v="24"/>
    <n v="1"/>
    <n v="1"/>
    <n v="195.3"/>
    <n v="0"/>
    <n v="23"/>
    <n v="0"/>
    <n v="1"/>
    <n v="23"/>
    <n v="0.95833333333333337"/>
    <n v="0.95833333333333337"/>
    <n v="181.58"/>
    <n v="0"/>
    <n v="24"/>
    <n v="0"/>
    <n v="0"/>
    <n v="24"/>
    <n v="1"/>
    <n v="1"/>
    <n v="191.38"/>
    <n v="0"/>
    <n v="24"/>
    <n v="0"/>
    <n v="0"/>
    <n v="24"/>
    <n v="1"/>
    <n v="1"/>
    <n v="192.02"/>
    <n v="0"/>
    <n v="1"/>
    <n v="23"/>
    <n v="0"/>
    <n v="1"/>
    <n v="4.1666666666666664E-2"/>
    <n v="4.1666666666666664E-2"/>
    <n v="8.56"/>
    <n v="1.5"/>
    <n v="18"/>
    <n v="0"/>
    <n v="4.5"/>
    <n v="19.5"/>
    <n v="0.75"/>
    <n v="0.8125"/>
    <n v="135.97"/>
    <n v="0"/>
    <n v="24"/>
    <n v="0"/>
    <n v="0"/>
    <n v="24"/>
    <n v="1"/>
    <n v="1"/>
    <n v="192.91"/>
    <n v="0"/>
    <n v="0"/>
    <n v="24"/>
    <n v="0"/>
    <n v="0"/>
    <n v="0"/>
    <n v="0"/>
    <n v="0"/>
    <n v="1"/>
    <n v="23"/>
    <n v="0"/>
    <n v="0"/>
    <n v="24"/>
    <n v="0.95833333333333337"/>
    <n v="1"/>
    <n v="183.88"/>
  </r>
  <r>
    <x v="171"/>
    <n v="0"/>
    <n v="24"/>
    <n v="0"/>
    <n v="0"/>
    <n v="24"/>
    <n v="1"/>
    <n v="1"/>
    <n v="192.6"/>
    <n v="0"/>
    <n v="24"/>
    <n v="0"/>
    <n v="0"/>
    <n v="24"/>
    <n v="1"/>
    <n v="1"/>
    <n v="191.5"/>
    <n v="0"/>
    <n v="24"/>
    <n v="0"/>
    <n v="0"/>
    <n v="24"/>
    <n v="1"/>
    <n v="1"/>
    <n v="190.84"/>
    <n v="0"/>
    <n v="19"/>
    <n v="0"/>
    <n v="5"/>
    <n v="19"/>
    <n v="0.79166666666666663"/>
    <n v="0.79166666666666663"/>
    <n v="139.25"/>
    <n v="0"/>
    <n v="24"/>
    <n v="0"/>
    <n v="0"/>
    <n v="24"/>
    <n v="1"/>
    <n v="1"/>
    <n v="192.35"/>
    <n v="0"/>
    <n v="0"/>
    <n v="24"/>
    <n v="0"/>
    <n v="0"/>
    <n v="0"/>
    <n v="0"/>
    <n v="0"/>
    <n v="1"/>
    <n v="23"/>
    <n v="0"/>
    <n v="0"/>
    <n v="24"/>
    <n v="0.95833333333333337"/>
    <n v="1"/>
    <n v="173.2"/>
    <n v="0"/>
    <n v="24"/>
    <n v="0"/>
    <n v="0"/>
    <n v="24"/>
    <n v="1"/>
    <n v="1"/>
    <n v="191.1"/>
    <n v="0"/>
    <n v="0"/>
    <n v="24"/>
    <n v="0"/>
    <n v="0"/>
    <n v="0"/>
    <n v="0"/>
    <n v="0"/>
    <n v="0"/>
    <n v="24"/>
    <n v="0"/>
    <n v="0"/>
    <n v="24"/>
    <n v="1"/>
    <n v="1"/>
    <n v="190.22"/>
  </r>
  <r>
    <x v="172"/>
    <n v="0"/>
    <n v="24"/>
    <n v="0"/>
    <n v="0"/>
    <n v="24"/>
    <n v="1"/>
    <n v="1"/>
    <n v="185.6"/>
    <n v="0"/>
    <n v="24"/>
    <n v="0"/>
    <n v="0"/>
    <n v="24"/>
    <n v="1"/>
    <n v="1"/>
    <n v="185.3"/>
    <n v="0"/>
    <n v="24"/>
    <n v="0"/>
    <n v="0"/>
    <n v="24"/>
    <n v="1"/>
    <n v="1"/>
    <n v="186.88"/>
    <n v="3"/>
    <n v="13"/>
    <n v="0"/>
    <n v="8"/>
    <n v="16"/>
    <n v="0.54166666666666663"/>
    <n v="0.66666666666666663"/>
    <n v="107.15"/>
    <n v="1"/>
    <n v="23"/>
    <n v="0"/>
    <n v="0"/>
    <n v="24"/>
    <n v="0.95833333333333337"/>
    <n v="1"/>
    <n v="180.83"/>
    <n v="0"/>
    <n v="0"/>
    <n v="24"/>
    <n v="0"/>
    <n v="0"/>
    <n v="0"/>
    <n v="0"/>
    <n v="0"/>
    <n v="0"/>
    <n v="24"/>
    <n v="0"/>
    <n v="0"/>
    <n v="24"/>
    <n v="1"/>
    <n v="1"/>
    <n v="186.48"/>
    <n v="0"/>
    <n v="24"/>
    <n v="0"/>
    <n v="0"/>
    <n v="24"/>
    <n v="1"/>
    <n v="1"/>
    <n v="186.95"/>
    <n v="0"/>
    <n v="0"/>
    <n v="24"/>
    <n v="0"/>
    <n v="0"/>
    <n v="0"/>
    <n v="0"/>
    <n v="0"/>
    <n v="0"/>
    <n v="24"/>
    <n v="0"/>
    <n v="0"/>
    <n v="24"/>
    <n v="0"/>
    <n v="1"/>
    <n v="185.44"/>
  </r>
  <r>
    <x v="173"/>
    <n v="0"/>
    <n v="24"/>
    <n v="0"/>
    <n v="0"/>
    <n v="24"/>
    <n v="1"/>
    <n v="1"/>
    <n v="178.5"/>
    <n v="0"/>
    <n v="24"/>
    <n v="0"/>
    <n v="0"/>
    <n v="24"/>
    <n v="1"/>
    <n v="1"/>
    <n v="179.4"/>
    <n v="0"/>
    <n v="24"/>
    <n v="0"/>
    <n v="0"/>
    <n v="24"/>
    <n v="1"/>
    <n v="1"/>
    <n v="183.01"/>
    <n v="0"/>
    <n v="24"/>
    <n v="0"/>
    <n v="0"/>
    <n v="24"/>
    <n v="1"/>
    <n v="1"/>
    <n v="182.35"/>
    <n v="0"/>
    <n v="24"/>
    <n v="0"/>
    <n v="0"/>
    <n v="24"/>
    <n v="1"/>
    <n v="1"/>
    <n v="183.23"/>
    <n v="0"/>
    <n v="0"/>
    <n v="24"/>
    <n v="0"/>
    <n v="0"/>
    <n v="0"/>
    <n v="0"/>
    <n v="0"/>
    <n v="0"/>
    <n v="24"/>
    <n v="0"/>
    <n v="0"/>
    <n v="24"/>
    <n v="1"/>
    <n v="1"/>
    <n v="186.36"/>
    <n v="0"/>
    <n v="24"/>
    <n v="0"/>
    <n v="0"/>
    <n v="24"/>
    <n v="1"/>
    <n v="1"/>
    <n v="183.6"/>
    <n v="0"/>
    <n v="0"/>
    <n v="24"/>
    <n v="0"/>
    <n v="0"/>
    <n v="0"/>
    <n v="0"/>
    <n v="0"/>
    <n v="0"/>
    <n v="24"/>
    <n v="0"/>
    <n v="0"/>
    <n v="24"/>
    <n v="1"/>
    <n v="1"/>
    <n v="181.84"/>
  </r>
  <r>
    <x v="174"/>
    <n v="0"/>
    <n v="24"/>
    <n v="0"/>
    <n v="0"/>
    <n v="24"/>
    <n v="1"/>
    <n v="1"/>
    <n v="200.9"/>
    <n v="0"/>
    <n v="24"/>
    <n v="0"/>
    <n v="0"/>
    <n v="24"/>
    <n v="1"/>
    <n v="1"/>
    <n v="206.4"/>
    <n v="0"/>
    <n v="24"/>
    <n v="0"/>
    <n v="0"/>
    <n v="24"/>
    <n v="1"/>
    <n v="1"/>
    <n v="199.57"/>
    <n v="0"/>
    <n v="24"/>
    <n v="0"/>
    <n v="0"/>
    <n v="24"/>
    <n v="1"/>
    <n v="1"/>
    <n v="203.37"/>
    <n v="0"/>
    <n v="24"/>
    <n v="0"/>
    <n v="0"/>
    <n v="24"/>
    <n v="1"/>
    <n v="1"/>
    <n v="202.91"/>
    <n v="0"/>
    <n v="0"/>
    <n v="24"/>
    <n v="0"/>
    <n v="0"/>
    <n v="0"/>
    <n v="0"/>
    <n v="0"/>
    <n v="0"/>
    <n v="24"/>
    <n v="0"/>
    <n v="0"/>
    <n v="24"/>
    <n v="1"/>
    <n v="1"/>
    <n v="204.88"/>
    <n v="0"/>
    <n v="24"/>
    <n v="0"/>
    <n v="0"/>
    <n v="24"/>
    <n v="1"/>
    <n v="1"/>
    <n v="202.75"/>
    <n v="0"/>
    <n v="0"/>
    <n v="24"/>
    <n v="0"/>
    <n v="0"/>
    <n v="0"/>
    <n v="0"/>
    <n v="0"/>
    <n v="0"/>
    <n v="24"/>
    <n v="0"/>
    <n v="0"/>
    <n v="24"/>
    <n v="1"/>
    <n v="1"/>
    <n v="202.82"/>
  </r>
  <r>
    <x v="175"/>
    <n v="0"/>
    <n v="24"/>
    <n v="0"/>
    <n v="0"/>
    <n v="24"/>
    <n v="1"/>
    <n v="1"/>
    <n v="204.9"/>
    <n v="0"/>
    <n v="24"/>
    <n v="0"/>
    <n v="0"/>
    <n v="24"/>
    <n v="1"/>
    <n v="1"/>
    <n v="203.7"/>
    <n v="0"/>
    <n v="24"/>
    <n v="0"/>
    <n v="0"/>
    <n v="24"/>
    <n v="1"/>
    <n v="1"/>
    <n v="199.31"/>
    <n v="0"/>
    <n v="24"/>
    <n v="0"/>
    <n v="0"/>
    <n v="24"/>
    <n v="1"/>
    <n v="1"/>
    <n v="203.53"/>
    <n v="0"/>
    <n v="24"/>
    <n v="0"/>
    <n v="0"/>
    <n v="24"/>
    <n v="1"/>
    <n v="1"/>
    <n v="204.84"/>
    <n v="0"/>
    <n v="0"/>
    <n v="24"/>
    <n v="0"/>
    <n v="0"/>
    <n v="0"/>
    <n v="0"/>
    <n v="0"/>
    <n v="1"/>
    <n v="23"/>
    <n v="0"/>
    <n v="0"/>
    <n v="24"/>
    <n v="0.95833333333333337"/>
    <n v="1"/>
    <n v="196.72"/>
    <n v="0"/>
    <n v="24"/>
    <n v="0"/>
    <n v="0"/>
    <n v="24"/>
    <n v="1"/>
    <n v="1"/>
    <n v="204.95"/>
    <n v="0"/>
    <n v="0"/>
    <n v="24"/>
    <n v="0"/>
    <n v="0"/>
    <n v="0"/>
    <n v="0"/>
    <n v="0"/>
    <n v="0"/>
    <n v="24"/>
    <n v="0"/>
    <n v="0"/>
    <n v="24"/>
    <n v="1"/>
    <n v="1"/>
    <n v="199.49"/>
  </r>
  <r>
    <x v="176"/>
    <n v="0"/>
    <n v="24"/>
    <n v="0"/>
    <n v="0"/>
    <n v="24"/>
    <n v="1"/>
    <n v="1"/>
    <n v="207.4"/>
    <n v="0"/>
    <n v="24"/>
    <n v="0"/>
    <n v="0"/>
    <n v="24"/>
    <n v="1"/>
    <n v="1"/>
    <n v="207.2"/>
    <n v="0"/>
    <n v="24"/>
    <n v="0"/>
    <n v="0"/>
    <n v="24"/>
    <n v="1"/>
    <n v="1"/>
    <n v="203.21"/>
    <n v="0"/>
    <n v="24"/>
    <n v="0"/>
    <n v="0"/>
    <n v="24"/>
    <n v="1"/>
    <n v="1"/>
    <n v="210.5"/>
    <n v="0"/>
    <n v="24"/>
    <n v="0"/>
    <n v="0"/>
    <n v="24"/>
    <n v="1"/>
    <n v="1"/>
    <n v="210.46"/>
    <n v="0"/>
    <n v="0"/>
    <n v="24"/>
    <n v="0"/>
    <n v="0"/>
    <n v="0"/>
    <n v="0"/>
    <n v="0"/>
    <n v="0"/>
    <n v="24"/>
    <n v="0"/>
    <n v="0"/>
    <n v="24"/>
    <n v="1"/>
    <n v="1"/>
    <n v="209.82"/>
    <n v="0"/>
    <n v="24"/>
    <n v="0"/>
    <n v="0"/>
    <n v="24"/>
    <n v="1"/>
    <n v="1"/>
    <n v="203.22"/>
    <n v="0"/>
    <n v="0"/>
    <n v="24"/>
    <n v="0"/>
    <n v="0"/>
    <n v="0"/>
    <n v="0"/>
    <n v="0"/>
    <n v="0"/>
    <n v="24"/>
    <n v="0"/>
    <n v="0"/>
    <n v="24"/>
    <n v="1"/>
    <n v="1"/>
    <n v="205.88"/>
  </r>
  <r>
    <x v="177"/>
    <n v="0"/>
    <n v="24"/>
    <n v="0"/>
    <n v="0"/>
    <n v="24"/>
    <n v="1"/>
    <n v="1"/>
    <n v="206.3"/>
    <n v="0"/>
    <n v="24"/>
    <n v="0"/>
    <n v="0"/>
    <n v="24"/>
    <n v="1"/>
    <n v="1"/>
    <n v="204.7"/>
    <n v="0"/>
    <n v="24"/>
    <n v="0"/>
    <n v="0"/>
    <n v="24"/>
    <n v="1"/>
    <n v="1"/>
    <n v="201.48"/>
    <n v="0"/>
    <n v="24"/>
    <n v="0"/>
    <n v="0"/>
    <n v="24"/>
    <n v="1"/>
    <n v="1"/>
    <n v="208.11"/>
    <n v="0"/>
    <n v="24"/>
    <n v="0"/>
    <n v="0"/>
    <n v="24"/>
    <n v="1"/>
    <n v="1"/>
    <n v="208.89"/>
    <n v="0"/>
    <n v="0"/>
    <n v="24"/>
    <n v="0"/>
    <n v="0"/>
    <n v="0"/>
    <n v="0"/>
    <n v="0"/>
    <n v="0"/>
    <n v="24"/>
    <n v="0"/>
    <n v="0"/>
    <n v="24"/>
    <n v="1"/>
    <n v="1"/>
    <n v="204.22"/>
    <n v="0"/>
    <n v="24"/>
    <n v="0"/>
    <n v="0"/>
    <n v="24"/>
    <n v="1"/>
    <n v="1"/>
    <n v="204.45"/>
    <n v="0"/>
    <n v="0"/>
    <n v="24"/>
    <n v="0"/>
    <n v="0"/>
    <n v="0"/>
    <n v="0"/>
    <n v="0"/>
    <n v="0"/>
    <n v="24"/>
    <n v="0"/>
    <n v="0"/>
    <n v="24"/>
    <n v="1"/>
    <n v="1"/>
    <n v="204.59"/>
  </r>
  <r>
    <x v="178"/>
    <n v="0"/>
    <n v="24"/>
    <n v="0"/>
    <n v="0"/>
    <n v="24"/>
    <n v="1"/>
    <n v="1"/>
    <n v="168.5"/>
    <n v="0"/>
    <n v="24"/>
    <n v="0"/>
    <n v="0"/>
    <n v="24"/>
    <n v="1"/>
    <n v="1"/>
    <n v="169.1"/>
    <n v="0"/>
    <n v="24"/>
    <n v="0"/>
    <n v="0"/>
    <n v="24"/>
    <n v="1"/>
    <n v="1"/>
    <n v="167.98"/>
    <n v="0"/>
    <n v="22"/>
    <n v="0"/>
    <n v="2"/>
    <n v="22"/>
    <n v="0.91666666666666663"/>
    <n v="0.91666666666666663"/>
    <n v="154.02000000000001"/>
    <n v="0"/>
    <n v="24"/>
    <n v="0"/>
    <n v="0"/>
    <n v="24"/>
    <n v="1"/>
    <n v="1"/>
    <n v="166.23"/>
    <n v="0"/>
    <n v="0"/>
    <n v="24"/>
    <n v="0"/>
    <n v="0"/>
    <n v="0"/>
    <n v="0"/>
    <n v="0"/>
    <n v="0"/>
    <n v="24"/>
    <n v="0"/>
    <n v="0"/>
    <n v="24"/>
    <n v="1"/>
    <n v="1"/>
    <n v="169.85"/>
    <n v="0"/>
    <n v="24"/>
    <n v="0"/>
    <n v="0"/>
    <n v="24"/>
    <n v="1"/>
    <n v="1"/>
    <n v="167.89"/>
    <n v="0"/>
    <n v="0"/>
    <n v="24"/>
    <n v="0"/>
    <n v="0"/>
    <n v="0"/>
    <n v="0"/>
    <n v="0"/>
    <n v="0"/>
    <n v="24"/>
    <n v="0"/>
    <n v="0"/>
    <n v="24"/>
    <n v="1"/>
    <n v="1"/>
    <n v="169.76"/>
  </r>
  <r>
    <x v="179"/>
    <n v="0"/>
    <n v="24"/>
    <n v="0"/>
    <n v="0"/>
    <n v="24"/>
    <n v="1"/>
    <n v="1"/>
    <n v="168.9"/>
    <n v="2"/>
    <n v="9"/>
    <n v="4"/>
    <n v="9"/>
    <n v="11"/>
    <n v="0.375"/>
    <n v="0.45833333333333331"/>
    <n v="68.400000000000006"/>
    <n v="0"/>
    <n v="24"/>
    <n v="0"/>
    <n v="0"/>
    <n v="24"/>
    <n v="1"/>
    <n v="1"/>
    <n v="166.36"/>
    <n v="0"/>
    <n v="24"/>
    <n v="0"/>
    <n v="0"/>
    <n v="24"/>
    <n v="1"/>
    <n v="1"/>
    <n v="166.14"/>
    <n v="0"/>
    <n v="24"/>
    <n v="0"/>
    <n v="0"/>
    <n v="24"/>
    <n v="1"/>
    <n v="1"/>
    <n v="169.56"/>
    <n v="0"/>
    <n v="0"/>
    <n v="24"/>
    <n v="0"/>
    <n v="0"/>
    <n v="0"/>
    <n v="0"/>
    <n v="0"/>
    <n v="2"/>
    <n v="12"/>
    <n v="4"/>
    <n v="6"/>
    <n v="14"/>
    <n v="0.5"/>
    <n v="0.58333333333333337"/>
    <n v="81.37"/>
    <n v="0"/>
    <n v="24"/>
    <n v="0"/>
    <n v="0"/>
    <n v="24"/>
    <n v="1"/>
    <n v="1"/>
    <n v="160.63999999999999"/>
    <n v="0"/>
    <n v="0"/>
    <n v="24"/>
    <n v="0"/>
    <n v="0"/>
    <n v="0"/>
    <n v="0"/>
    <n v="0"/>
    <n v="0"/>
    <n v="24"/>
    <n v="0"/>
    <n v="0"/>
    <n v="24"/>
    <n v="1"/>
    <n v="1"/>
    <n v="166.9"/>
  </r>
  <r>
    <x v="180"/>
    <n v="0"/>
    <n v="17"/>
    <n v="4"/>
    <n v="3"/>
    <n v="17"/>
    <n v="0.70833333333333337"/>
    <n v="0.70833333333333337"/>
    <n v="115.9"/>
    <n v="0"/>
    <n v="24"/>
    <n v="0"/>
    <n v="0"/>
    <n v="24"/>
    <n v="1"/>
    <n v="1"/>
    <n v="166.2"/>
    <n v="0"/>
    <n v="16"/>
    <n v="4"/>
    <n v="4"/>
    <n v="16"/>
    <n v="0.66666666666666663"/>
    <n v="0.66666666666666663"/>
    <n v="111.33"/>
    <n v="0"/>
    <n v="24"/>
    <n v="0"/>
    <n v="0"/>
    <n v="24"/>
    <n v="1"/>
    <n v="1"/>
    <n v="168.13"/>
    <n v="0"/>
    <n v="24"/>
    <n v="0"/>
    <n v="0"/>
    <n v="24"/>
    <n v="1"/>
    <n v="1"/>
    <n v="161.62"/>
    <n v="0"/>
    <n v="0"/>
    <n v="24"/>
    <n v="0"/>
    <n v="0"/>
    <n v="0"/>
    <n v="0"/>
    <n v="0"/>
    <n v="0"/>
    <n v="24"/>
    <n v="0"/>
    <n v="0"/>
    <n v="24"/>
    <n v="1"/>
    <n v="1"/>
    <n v="161.16999999999999"/>
    <n v="0"/>
    <n v="24"/>
    <n v="0"/>
    <n v="0"/>
    <n v="24"/>
    <n v="1"/>
    <n v="1"/>
    <n v="156.94"/>
    <n v="0"/>
    <n v="0"/>
    <n v="24"/>
    <n v="0"/>
    <n v="0"/>
    <n v="0"/>
    <n v="0"/>
    <n v="0"/>
    <n v="0"/>
    <n v="16"/>
    <n v="4"/>
    <n v="4"/>
    <n v="16"/>
    <n v="0.66666666666666663"/>
    <n v="0.66666666666666663"/>
    <n v="111.45"/>
  </r>
  <r>
    <x v="181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2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3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-48"/>
    <n v="72"/>
    <m/>
    <m/>
    <n v="24"/>
    <n v="3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4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5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6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7"/>
    <n v="0"/>
    <n v="24"/>
    <m/>
    <m/>
    <n v="24"/>
    <n v="1"/>
    <n v="1"/>
    <m/>
    <n v="0"/>
    <n v="24"/>
    <m/>
    <m/>
    <n v="24"/>
    <n v="1"/>
    <n v="1"/>
    <m/>
    <n v="-292"/>
    <n v="316"/>
    <m/>
    <m/>
    <n v="24"/>
    <n v="13.166666666666666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8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89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90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91"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</r>
  <r>
    <x v="192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3"/>
    <n v="1"/>
    <m/>
    <m/>
    <n v="24"/>
    <n v="4.1666666666666664E-2"/>
    <n v="1"/>
    <m/>
    <n v="0"/>
    <n v="24"/>
    <m/>
    <m/>
    <n v="24"/>
    <n v="1"/>
    <n v="1"/>
    <m/>
  </r>
  <r>
    <x v="193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14"/>
    <n v="10"/>
    <m/>
    <m/>
    <n v="24"/>
    <n v="0.41666666666666669"/>
    <n v="1"/>
    <m/>
    <n v="0"/>
    <n v="24"/>
    <m/>
    <m/>
    <n v="24"/>
    <n v="1"/>
    <n v="1"/>
    <m/>
  </r>
  <r>
    <x v="194"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</r>
  <r>
    <x v="195"/>
    <n v="0"/>
    <n v="24"/>
    <m/>
    <m/>
    <n v="24"/>
    <n v="1"/>
    <n v="1"/>
    <m/>
    <n v="4"/>
    <n v="20"/>
    <m/>
    <m/>
    <n v="24"/>
    <n v="0.83333333333333337"/>
    <n v="1"/>
    <m/>
    <n v="12"/>
    <n v="12"/>
    <m/>
    <m/>
    <n v="24"/>
    <n v="0.5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16"/>
    <n v="8"/>
    <m/>
    <m/>
    <n v="24"/>
    <n v="0.33333333333333331"/>
    <n v="1"/>
    <m/>
    <n v="12"/>
    <n v="12"/>
    <m/>
    <m/>
    <n v="24"/>
    <n v="0.5"/>
    <n v="1"/>
    <m/>
    <n v="0"/>
    <n v="24"/>
    <m/>
    <m/>
    <n v="24"/>
    <n v="1"/>
    <n v="1"/>
    <m/>
  </r>
  <r>
    <x v="196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3"/>
    <n v="21"/>
    <m/>
    <m/>
    <n v="24"/>
    <n v="0.875"/>
    <n v="1"/>
    <m/>
  </r>
  <r>
    <x v="197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</r>
  <r>
    <x v="198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</r>
  <r>
    <x v="199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4"/>
    <n v="20"/>
    <m/>
    <m/>
    <n v="24"/>
    <n v="0.83333333333333337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</r>
  <r>
    <x v="200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2"/>
    <n v="22"/>
    <m/>
    <m/>
    <n v="24"/>
    <n v="0.91666666666666663"/>
    <n v="1"/>
    <m/>
    <n v="23"/>
    <n v="1"/>
    <m/>
    <m/>
    <n v="24"/>
    <n v="4.1666666666666664E-2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</r>
  <r>
    <x v="201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18"/>
    <n v="6"/>
    <m/>
    <m/>
    <n v="24"/>
    <n v="0.25"/>
    <n v="1"/>
    <m/>
    <n v="0"/>
    <n v="24"/>
    <m/>
    <m/>
    <n v="24"/>
    <n v="1"/>
    <n v="1"/>
    <m/>
    <n v="2"/>
    <n v="22"/>
    <m/>
    <m/>
    <n v="24"/>
    <n v="0.91666666666666663"/>
    <n v="1"/>
    <m/>
    <n v="1"/>
    <n v="23"/>
    <m/>
    <m/>
    <n v="24"/>
    <n v="0.95833333333333337"/>
    <n v="1"/>
    <m/>
    <n v="24"/>
    <n v="0"/>
    <m/>
    <m/>
    <n v="24"/>
    <n v="0"/>
    <n v="1"/>
    <m/>
  </r>
  <r>
    <x v="202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"/>
    <n v="22"/>
    <m/>
    <m/>
    <n v="24"/>
    <n v="0.91666666666666663"/>
    <n v="1"/>
    <m/>
    <n v="0"/>
    <n v="24"/>
    <m/>
    <m/>
    <n v="24"/>
    <n v="1"/>
    <n v="1"/>
    <m/>
    <n v="24"/>
    <n v="0"/>
    <m/>
    <m/>
    <n v="24"/>
    <n v="0"/>
    <n v="1"/>
    <m/>
  </r>
  <r>
    <x v="203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04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05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06"/>
    <n v="22"/>
    <n v="2"/>
    <m/>
    <m/>
    <n v="24"/>
    <n v="8.3333333333333329E-2"/>
    <n v="1"/>
    <m/>
    <n v="0"/>
    <n v="24"/>
    <m/>
    <m/>
    <n v="24"/>
    <n v="1"/>
    <n v="1"/>
    <m/>
    <n v="24"/>
    <n v="0"/>
    <m/>
    <m/>
    <n v="24"/>
    <n v="0"/>
    <n v="1"/>
    <m/>
    <n v="1"/>
    <n v="23"/>
    <m/>
    <m/>
    <n v="24"/>
    <n v="0.95833333333333337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5"/>
    <n v="19"/>
    <m/>
    <m/>
    <n v="24"/>
    <n v="0.79166666666666663"/>
    <n v="1"/>
    <m/>
    <n v="24"/>
    <n v="0"/>
    <m/>
    <m/>
    <n v="24"/>
    <n v="0"/>
    <n v="1"/>
    <m/>
  </r>
  <r>
    <x v="207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2"/>
    <n v="22"/>
    <m/>
    <m/>
    <n v="24"/>
    <n v="0.91666666666666663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</r>
  <r>
    <x v="208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09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0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1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6"/>
    <n v="18"/>
    <m/>
    <m/>
    <n v="24"/>
    <n v="0.75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2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3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7"/>
    <n v="17"/>
    <m/>
    <m/>
    <n v="24"/>
    <n v="0.70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4"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11"/>
    <n v="13"/>
    <m/>
    <m/>
    <n v="24"/>
    <n v="0.54166666666666663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5"/>
    <n v="2"/>
    <n v="22"/>
    <m/>
    <m/>
    <n v="24"/>
    <n v="0.91666666666666663"/>
    <n v="1"/>
    <m/>
    <n v="0"/>
    <n v="24"/>
    <m/>
    <m/>
    <n v="24"/>
    <n v="1"/>
    <n v="1"/>
    <m/>
    <n v="18"/>
    <n v="6"/>
    <m/>
    <m/>
    <n v="24"/>
    <n v="0.25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</r>
  <r>
    <x v="216"/>
    <n v="0"/>
    <n v="24"/>
    <m/>
    <m/>
    <n v="24"/>
    <n v="1"/>
    <n v="1"/>
    <m/>
    <n v="0"/>
    <n v="24"/>
    <m/>
    <m/>
    <n v="24"/>
    <n v="1"/>
    <n v="1"/>
    <m/>
    <n v="17"/>
    <n v="7"/>
    <m/>
    <m/>
    <n v="24"/>
    <n v="0.29166666666666669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7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18"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"/>
    <n v="22"/>
    <m/>
    <m/>
    <n v="24"/>
    <n v="0.91666666666666663"/>
    <n v="1"/>
    <m/>
    <n v="0"/>
    <n v="24"/>
    <m/>
    <m/>
    <n v="24"/>
    <n v="1"/>
    <n v="1"/>
    <m/>
    <n v="1"/>
    <n v="23"/>
    <m/>
    <m/>
    <n v="24"/>
    <n v="0.95833333333333337"/>
    <n v="1"/>
    <m/>
    <n v="24"/>
    <n v="0"/>
    <m/>
    <m/>
    <n v="24"/>
    <n v="0"/>
    <n v="1"/>
    <m/>
  </r>
  <r>
    <x v="219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20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21"/>
    <n v="5"/>
    <n v="19"/>
    <m/>
    <m/>
    <n v="24"/>
    <n v="0.79166666666666663"/>
    <n v="1"/>
    <m/>
    <n v="0"/>
    <n v="24"/>
    <m/>
    <m/>
    <n v="24"/>
    <n v="1"/>
    <n v="1"/>
    <m/>
    <n v="7"/>
    <n v="17"/>
    <m/>
    <m/>
    <n v="24"/>
    <n v="0.70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5"/>
    <n v="19"/>
    <m/>
    <m/>
    <n v="24"/>
    <n v="0.79166666666666663"/>
    <n v="1"/>
    <m/>
    <n v="5"/>
    <n v="19"/>
    <m/>
    <m/>
    <n v="24"/>
    <n v="0.79166666666666663"/>
    <n v="1"/>
    <m/>
    <n v="0"/>
    <n v="24"/>
    <m/>
    <m/>
    <n v="24"/>
    <n v="1"/>
    <n v="1"/>
    <m/>
    <n v="24"/>
    <n v="0"/>
    <m/>
    <m/>
    <n v="24"/>
    <n v="0"/>
    <n v="1"/>
    <m/>
  </r>
  <r>
    <x v="222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23"/>
    <n v="0"/>
    <n v="24"/>
    <m/>
    <m/>
    <n v="24"/>
    <n v="1"/>
    <n v="1"/>
    <m/>
    <n v="6"/>
    <n v="18"/>
    <m/>
    <m/>
    <n v="24"/>
    <n v="0.75"/>
    <n v="1"/>
    <m/>
    <n v="13"/>
    <n v="11"/>
    <m/>
    <m/>
    <n v="24"/>
    <n v="0.45833333333333331"/>
    <n v="1"/>
    <m/>
    <n v="8"/>
    <n v="16"/>
    <m/>
    <m/>
    <n v="24"/>
    <n v="0.66666666666666663"/>
    <n v="1"/>
    <m/>
    <n v="3"/>
    <n v="21"/>
    <m/>
    <m/>
    <n v="24"/>
    <n v="0.875"/>
    <n v="1"/>
    <m/>
    <n v="5"/>
    <n v="19"/>
    <m/>
    <m/>
    <n v="24"/>
    <n v="0.79166666666666663"/>
    <n v="1"/>
    <m/>
    <n v="1"/>
    <n v="23"/>
    <m/>
    <m/>
    <n v="24"/>
    <n v="0.95833333333333337"/>
    <n v="1"/>
    <m/>
    <n v="7"/>
    <n v="17"/>
    <m/>
    <m/>
    <n v="24"/>
    <n v="0.70833333333333337"/>
    <n v="1"/>
    <m/>
    <n v="0"/>
    <n v="24"/>
    <m/>
    <m/>
    <n v="24"/>
    <n v="1"/>
    <n v="1"/>
    <m/>
    <n v="24"/>
    <n v="0"/>
    <m/>
    <m/>
    <n v="24"/>
    <n v="0"/>
    <n v="1"/>
    <m/>
  </r>
  <r>
    <x v="224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3"/>
    <n v="21"/>
    <m/>
    <m/>
    <n v="24"/>
    <n v="0.875"/>
    <n v="1"/>
    <m/>
    <n v="3"/>
    <n v="21"/>
    <m/>
    <m/>
    <n v="24"/>
    <n v="0.875"/>
    <n v="1"/>
    <m/>
    <n v="16"/>
    <n v="8"/>
    <m/>
    <m/>
    <n v="24"/>
    <n v="0.33333333333333331"/>
    <n v="1"/>
    <m/>
    <n v="0"/>
    <n v="24"/>
    <m/>
    <m/>
    <n v="24"/>
    <n v="1"/>
    <n v="1"/>
    <m/>
    <n v="24"/>
    <n v="0"/>
    <m/>
    <m/>
    <n v="24"/>
    <n v="0"/>
    <n v="1"/>
    <m/>
  </r>
  <r>
    <x v="225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26"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"/>
    <n v="22"/>
    <m/>
    <m/>
    <n v="24"/>
    <n v="0.91666666666666663"/>
    <n v="1"/>
    <m/>
    <n v="0"/>
    <n v="24"/>
    <m/>
    <m/>
    <n v="24"/>
    <n v="1"/>
    <n v="1"/>
    <m/>
    <n v="24"/>
    <n v="0"/>
    <m/>
    <m/>
    <n v="24"/>
    <n v="0"/>
    <n v="1"/>
    <m/>
  </r>
  <r>
    <x v="227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</r>
  <r>
    <x v="228"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"/>
    <n v="22"/>
    <m/>
    <m/>
    <n v="24"/>
    <n v="0.91666666666666663"/>
    <n v="1"/>
    <m/>
    <n v="24"/>
    <n v="0"/>
    <m/>
    <m/>
    <n v="24"/>
    <n v="0"/>
    <n v="1"/>
    <m/>
    <n v="24"/>
    <n v="0"/>
    <m/>
    <m/>
    <n v="24"/>
    <n v="0"/>
    <n v="1"/>
    <m/>
  </r>
  <r>
    <x v="229"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"/>
    <n v="22"/>
    <m/>
    <m/>
    <n v="24"/>
    <n v="0.91666666666666663"/>
    <n v="1"/>
    <m/>
    <n v="0"/>
    <n v="24"/>
    <m/>
    <m/>
    <n v="24"/>
    <n v="1"/>
    <n v="1"/>
    <m/>
    <n v="24"/>
    <n v="0"/>
    <m/>
    <m/>
    <n v="24"/>
    <n v="0"/>
    <n v="1"/>
    <m/>
  </r>
  <r>
    <x v="230"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  <n v="0"/>
    <n v="24"/>
    <m/>
    <m/>
    <n v="24"/>
    <n v="1"/>
    <n v="1"/>
    <m/>
    <n v="0"/>
    <n v="24"/>
    <m/>
    <m/>
    <n v="24"/>
    <n v="1"/>
    <n v="1"/>
    <m/>
    <n v="22"/>
    <n v="2"/>
    <m/>
    <m/>
    <n v="24"/>
    <n v="8.3333333333333329E-2"/>
    <n v="1"/>
    <m/>
  </r>
  <r>
    <x v="231"/>
    <n v="24"/>
    <n v="0"/>
    <m/>
    <m/>
    <n v="24"/>
    <n v="0"/>
    <n v="1"/>
    <m/>
    <n v="2"/>
    <n v="22"/>
    <m/>
    <m/>
    <n v="24"/>
    <n v="0.91666666666666663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2"/>
    <n v="12"/>
    <m/>
    <m/>
    <n v="24"/>
    <n v="0.5"/>
    <n v="1"/>
    <m/>
  </r>
  <r>
    <x v="232"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1"/>
    <n v="23"/>
    <m/>
    <m/>
    <n v="24"/>
    <n v="0.95833333333333337"/>
    <n v="1"/>
    <m/>
  </r>
  <r>
    <x v="233"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24"/>
    <n v="0"/>
    <m/>
    <m/>
    <n v="24"/>
    <n v="0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  <n v="0"/>
    <n v="24"/>
    <m/>
    <m/>
    <n v="24"/>
    <n v="1"/>
    <n v="1"/>
    <m/>
  </r>
  <r>
    <x v="23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3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3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3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3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3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4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5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6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7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8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29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0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1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2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3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4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5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6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7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8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59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0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1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2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3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4"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  <n v="24"/>
    <n v="0"/>
    <m/>
    <m/>
    <n v="24"/>
    <n v="0"/>
    <n v="1"/>
    <m/>
  </r>
  <r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8804"/>
    <m/>
    <n v="15142"/>
    <m/>
    <n v="13876"/>
    <m/>
    <n v="14981"/>
    <m/>
    <n v="11967"/>
    <m/>
    <n v="14809"/>
    <m/>
    <n v="15156"/>
    <m/>
    <n v="14905"/>
    <m/>
    <n v="14144"/>
    <m/>
    <n v="11856"/>
    <m/>
  </r>
  <r>
    <x v="1"/>
    <n v="8814"/>
    <n v="10"/>
    <n v="15148"/>
    <n v="6"/>
    <n v="13884"/>
    <n v="8"/>
    <n v="14988"/>
    <n v="7"/>
    <n v="11967"/>
    <n v="0"/>
    <n v="14817"/>
    <n v="8"/>
    <n v="15162"/>
    <n v="6"/>
    <n v="14913"/>
    <n v="8"/>
    <n v="14144"/>
    <n v="0"/>
    <n v="11865"/>
    <n v="9"/>
  </r>
  <r>
    <x v="2"/>
    <n v="8832"/>
    <n v="18"/>
    <n v="15163"/>
    <n v="15"/>
    <n v="13900"/>
    <n v="16"/>
    <n v="14988"/>
    <n v="0"/>
    <n v="11967"/>
    <n v="0"/>
    <n v="14833"/>
    <n v="16"/>
    <n v="15176"/>
    <n v="14"/>
    <n v="14930"/>
    <n v="17"/>
    <n v="14159"/>
    <n v="15"/>
    <n v="11883"/>
    <n v="18"/>
  </r>
  <r>
    <x v="3"/>
    <n v="8856"/>
    <n v="24"/>
    <n v="15179"/>
    <n v="16"/>
    <n v="13924"/>
    <n v="24"/>
    <n v="15002"/>
    <n v="14"/>
    <n v="11967"/>
    <n v="0"/>
    <n v="14857"/>
    <n v="24"/>
    <n v="15176"/>
    <n v="0"/>
    <n v="14954"/>
    <n v="24"/>
    <n v="14183"/>
    <n v="24"/>
    <n v="11907"/>
    <n v="24"/>
  </r>
  <r>
    <x v="4"/>
    <n v="8880"/>
    <n v="24"/>
    <n v="15202"/>
    <n v="23"/>
    <n v="13948"/>
    <n v="24"/>
    <n v="15016"/>
    <n v="14"/>
    <n v="11967"/>
    <n v="0"/>
    <n v="14857"/>
    <n v="0"/>
    <n v="15197"/>
    <n v="21"/>
    <n v="14978"/>
    <n v="24"/>
    <n v="14207"/>
    <n v="24"/>
    <n v="11931"/>
    <n v="24"/>
  </r>
  <r>
    <x v="5"/>
    <n v="8904"/>
    <n v="24"/>
    <n v="15226"/>
    <n v="24"/>
    <n v="13972"/>
    <n v="24"/>
    <n v="15034"/>
    <n v="18"/>
    <n v="11967"/>
    <n v="0"/>
    <n v="14875"/>
    <n v="18"/>
    <n v="15221"/>
    <n v="24"/>
    <n v="15002"/>
    <n v="24"/>
    <n v="14207"/>
    <n v="0"/>
    <n v="11955"/>
    <n v="24"/>
  </r>
  <r>
    <x v="6"/>
    <n v="8928"/>
    <n v="24"/>
    <n v="15250"/>
    <n v="24"/>
    <n v="13996"/>
    <n v="24"/>
    <n v="15052"/>
    <n v="18"/>
    <n v="11967"/>
    <n v="0"/>
    <n v="14893"/>
    <n v="18"/>
    <n v="15245"/>
    <n v="24"/>
    <n v="15026"/>
    <n v="24"/>
    <n v="14207"/>
    <n v="0"/>
    <n v="11979"/>
    <n v="24"/>
  </r>
  <r>
    <x v="7"/>
    <n v="8950"/>
    <n v="22"/>
    <n v="15267"/>
    <n v="17"/>
    <n v="14017"/>
    <n v="21"/>
    <n v="15068"/>
    <n v="16"/>
    <n v="11967"/>
    <n v="0"/>
    <n v="14911"/>
    <n v="18"/>
    <n v="15265"/>
    <n v="20"/>
    <n v="15046"/>
    <n v="20"/>
    <n v="14227"/>
    <n v="20"/>
    <n v="12001"/>
    <n v="22"/>
  </r>
  <r>
    <x v="8"/>
    <n v="8971"/>
    <n v="21"/>
    <n v="15285"/>
    <n v="18"/>
    <n v="14017"/>
    <n v="0"/>
    <n v="15082"/>
    <n v="14"/>
    <n v="11967"/>
    <n v="0"/>
    <n v="14924"/>
    <n v="13"/>
    <n v="15282"/>
    <n v="17"/>
    <n v="15064"/>
    <n v="18"/>
    <n v="14246"/>
    <n v="19"/>
    <n v="12022"/>
    <n v="21"/>
  </r>
  <r>
    <x v="9"/>
    <n v="8994"/>
    <n v="23"/>
    <n v="15305"/>
    <n v="20"/>
    <n v="14039"/>
    <n v="22"/>
    <n v="15099"/>
    <n v="17"/>
    <n v="11967"/>
    <n v="0"/>
    <n v="14941"/>
    <n v="17"/>
    <n v="15301"/>
    <n v="19"/>
    <n v="15084"/>
    <n v="20"/>
    <n v="14266"/>
    <n v="20"/>
    <n v="12044"/>
    <n v="22"/>
  </r>
  <r>
    <x v="10"/>
    <n v="9018"/>
    <n v="24"/>
    <n v="15329"/>
    <n v="24"/>
    <n v="14063"/>
    <n v="24"/>
    <n v="15118"/>
    <n v="19"/>
    <n v="11967"/>
    <n v="0"/>
    <n v="14960"/>
    <n v="19"/>
    <n v="15325"/>
    <n v="24"/>
    <n v="15108"/>
    <n v="24"/>
    <n v="14290"/>
    <n v="24"/>
    <n v="12068"/>
    <n v="24"/>
  </r>
  <r>
    <x v="11"/>
    <n v="9018"/>
    <n v="0"/>
    <n v="15353"/>
    <n v="24"/>
    <n v="14086"/>
    <n v="23"/>
    <n v="15137"/>
    <n v="19"/>
    <n v="11967"/>
    <n v="0"/>
    <n v="14979"/>
    <n v="19"/>
    <n v="15349"/>
    <n v="24"/>
    <n v="15132"/>
    <n v="24"/>
    <n v="14314"/>
    <n v="24"/>
    <n v="12092"/>
    <n v="24"/>
  </r>
  <r>
    <x v="12"/>
    <n v="9042"/>
    <n v="24"/>
    <n v="15377"/>
    <n v="24"/>
    <n v="14110"/>
    <n v="24"/>
    <n v="15157"/>
    <n v="20"/>
    <n v="11967"/>
    <n v="0"/>
    <n v="14998"/>
    <n v="19"/>
    <n v="15349"/>
    <n v="0"/>
    <n v="15156"/>
    <n v="24"/>
    <n v="14338"/>
    <n v="24"/>
    <n v="12116"/>
    <n v="24"/>
  </r>
  <r>
    <x v="13"/>
    <n v="9066"/>
    <n v="24"/>
    <n v="15401"/>
    <n v="24"/>
    <n v="14134"/>
    <n v="24"/>
    <n v="15177"/>
    <n v="20"/>
    <n v="11967"/>
    <n v="0"/>
    <n v="15019"/>
    <n v="21"/>
    <n v="15373"/>
    <n v="24"/>
    <n v="15180"/>
    <n v="24"/>
    <n v="14362"/>
    <n v="24"/>
    <n v="12116"/>
    <n v="0"/>
  </r>
  <r>
    <x v="14"/>
    <n v="9090"/>
    <n v="24"/>
    <n v="15401"/>
    <n v="0"/>
    <n v="14158"/>
    <n v="24"/>
    <n v="15201"/>
    <n v="24"/>
    <n v="11967"/>
    <n v="0"/>
    <n v="15041"/>
    <n v="22"/>
    <n v="15397"/>
    <n v="24"/>
    <n v="15204"/>
    <n v="24"/>
    <n v="14386"/>
    <n v="24"/>
    <n v="12140"/>
    <n v="24"/>
  </r>
  <r>
    <x v="15"/>
    <n v="9109"/>
    <n v="19"/>
    <n v="15425"/>
    <n v="24"/>
    <n v="14182"/>
    <n v="24"/>
    <n v="15221"/>
    <n v="20"/>
    <n v="11967"/>
    <n v="0"/>
    <n v="15041"/>
    <n v="0"/>
    <n v="15421"/>
    <n v="24"/>
    <n v="15228"/>
    <n v="24"/>
    <n v="14410"/>
    <n v="24"/>
    <n v="12164"/>
    <n v="24"/>
  </r>
  <r>
    <x v="16"/>
    <n v="9133"/>
    <n v="24"/>
    <n v="15449"/>
    <n v="24"/>
    <n v="14206"/>
    <n v="24"/>
    <n v="15245"/>
    <n v="24"/>
    <n v="11967"/>
    <n v="0"/>
    <n v="15054"/>
    <n v="13"/>
    <n v="15445"/>
    <n v="24"/>
    <n v="15249"/>
    <n v="21"/>
    <n v="14434"/>
    <n v="24"/>
    <n v="12188"/>
    <n v="24"/>
  </r>
  <r>
    <x v="17"/>
    <n v="9157"/>
    <n v="24"/>
    <n v="15473"/>
    <n v="24"/>
    <n v="14230"/>
    <n v="24"/>
    <n v="15269"/>
    <n v="24"/>
    <n v="11967"/>
    <n v="0"/>
    <n v="15078"/>
    <n v="24"/>
    <n v="15469"/>
    <n v="24"/>
    <n v="15273"/>
    <n v="24"/>
    <n v="14458"/>
    <n v="24"/>
    <n v="12212"/>
    <n v="24"/>
  </r>
  <r>
    <x v="18"/>
    <n v="9157"/>
    <n v="0"/>
    <n v="15493"/>
    <n v="20"/>
    <n v="14252"/>
    <n v="22"/>
    <n v="15288"/>
    <n v="19"/>
    <n v="11967"/>
    <n v="0"/>
    <n v="15096"/>
    <n v="18"/>
    <n v="15490"/>
    <n v="21"/>
    <n v="15294"/>
    <n v="21"/>
    <n v="14478"/>
    <n v="20"/>
    <n v="12234"/>
    <n v="22"/>
  </r>
  <r>
    <x v="19"/>
    <n v="9169"/>
    <n v="12"/>
    <n v="15515"/>
    <n v="22"/>
    <n v="14274"/>
    <n v="22"/>
    <n v="15308"/>
    <n v="20"/>
    <n v="11967"/>
    <n v="0"/>
    <n v="15116"/>
    <n v="20"/>
    <n v="15511"/>
    <n v="21"/>
    <n v="15314"/>
    <n v="20"/>
    <n v="14482"/>
    <n v="4"/>
    <n v="12250"/>
    <n v="16"/>
  </r>
  <r>
    <x v="20"/>
    <n v="9188"/>
    <n v="19"/>
    <n v="15535"/>
    <n v="20"/>
    <n v="14274"/>
    <n v="0"/>
    <n v="15327"/>
    <n v="19"/>
    <n v="11967"/>
    <n v="0"/>
    <n v="15134"/>
    <n v="18"/>
    <n v="15531"/>
    <n v="20"/>
    <n v="15334"/>
    <n v="20"/>
    <n v="14505"/>
    <n v="23"/>
    <n v="12273"/>
    <n v="23"/>
  </r>
  <r>
    <x v="21"/>
    <n v="9212"/>
    <n v="24"/>
    <n v="15556"/>
    <n v="21"/>
    <n v="14298"/>
    <n v="24"/>
    <n v="15327"/>
    <n v="0"/>
    <n v="11967"/>
    <n v="0"/>
    <n v="15158"/>
    <n v="24"/>
    <n v="15555"/>
    <n v="24"/>
    <n v="15358"/>
    <n v="24"/>
    <n v="14528"/>
    <n v="23"/>
    <n v="12297"/>
    <n v="24"/>
  </r>
  <r>
    <x v="22"/>
    <n v="9236"/>
    <n v="24"/>
    <n v="15580"/>
    <n v="24"/>
    <n v="14316"/>
    <n v="18"/>
    <n v="15328"/>
    <n v="1"/>
    <n v="11967"/>
    <n v="0"/>
    <n v="15182"/>
    <n v="24"/>
    <n v="15579"/>
    <n v="24"/>
    <n v="15382"/>
    <n v="24"/>
    <n v="14552"/>
    <n v="24"/>
    <n v="12320"/>
    <n v="23"/>
  </r>
  <r>
    <x v="23"/>
    <n v="9260"/>
    <n v="24"/>
    <n v="15604"/>
    <n v="24"/>
    <n v="14316"/>
    <n v="0"/>
    <n v="15351"/>
    <n v="23"/>
    <n v="11967"/>
    <n v="0"/>
    <n v="15198"/>
    <n v="16"/>
    <n v="15603"/>
    <n v="24"/>
    <n v="15406"/>
    <n v="24"/>
    <n v="14576"/>
    <n v="24"/>
    <n v="12344"/>
    <n v="24"/>
  </r>
  <r>
    <x v="24"/>
    <n v="9284"/>
    <n v="24"/>
    <n v="15627"/>
    <n v="23"/>
    <n v="14339"/>
    <n v="23"/>
    <n v="15375"/>
    <n v="24"/>
    <n v="11967"/>
    <n v="0"/>
    <n v="15216"/>
    <n v="18"/>
    <n v="15627"/>
    <n v="24"/>
    <n v="15430"/>
    <n v="24"/>
    <n v="14600"/>
    <n v="24"/>
    <n v="12344"/>
    <n v="0"/>
  </r>
  <r>
    <x v="25"/>
    <n v="9307"/>
    <n v="23"/>
    <n v="15649"/>
    <n v="22"/>
    <n v="14360"/>
    <n v="21"/>
    <n v="15396"/>
    <n v="21"/>
    <n v="11967"/>
    <n v="0"/>
    <n v="15236"/>
    <n v="20"/>
    <n v="15647"/>
    <n v="20"/>
    <n v="15451"/>
    <n v="21"/>
    <n v="14621"/>
    <n v="21"/>
    <n v="12365"/>
    <n v="21"/>
  </r>
  <r>
    <x v="26"/>
    <n v="9331"/>
    <n v="24"/>
    <n v="15664"/>
    <n v="15"/>
    <n v="14384"/>
    <n v="24"/>
    <n v="15420"/>
    <n v="24"/>
    <n v="11967"/>
    <n v="0"/>
    <n v="15258"/>
    <n v="22"/>
    <n v="15671"/>
    <n v="24"/>
    <n v="15475"/>
    <n v="24"/>
    <n v="14645"/>
    <n v="24"/>
    <n v="12389"/>
    <n v="24"/>
  </r>
  <r>
    <x v="27"/>
    <n v="9355"/>
    <n v="24"/>
    <n v="15688"/>
    <n v="24"/>
    <n v="14408"/>
    <n v="24"/>
    <n v="15444"/>
    <n v="24"/>
    <n v="11967"/>
    <n v="0"/>
    <n v="15281"/>
    <n v="23"/>
    <n v="15695"/>
    <n v="24"/>
    <n v="15499"/>
    <n v="24"/>
    <n v="14669"/>
    <n v="24"/>
    <n v="12403"/>
    <n v="14"/>
  </r>
  <r>
    <x v="28"/>
    <n v="9379"/>
    <n v="24"/>
    <n v="15712"/>
    <n v="24"/>
    <n v="14429"/>
    <n v="21"/>
    <n v="15464"/>
    <n v="20"/>
    <n v="11967"/>
    <n v="0"/>
    <n v="15281"/>
    <n v="0"/>
    <n v="15719"/>
    <n v="24"/>
    <n v="15523"/>
    <n v="24"/>
    <n v="14693"/>
    <n v="24"/>
    <n v="12427"/>
    <n v="24"/>
  </r>
  <r>
    <x v="29"/>
    <n v="9400"/>
    <n v="21"/>
    <n v="15730"/>
    <n v="18"/>
    <n v="14447"/>
    <n v="18"/>
    <n v="15481"/>
    <n v="17"/>
    <n v="11967"/>
    <n v="0"/>
    <n v="15298"/>
    <n v="17"/>
    <n v="15736"/>
    <n v="17"/>
    <n v="15523"/>
    <n v="0"/>
    <n v="14711"/>
    <n v="18"/>
    <n v="12447"/>
    <n v="20"/>
  </r>
  <r>
    <x v="30"/>
    <n v="9422"/>
    <n v="22"/>
    <n v="15750"/>
    <n v="20"/>
    <n v="14468"/>
    <n v="21"/>
    <n v="15499"/>
    <n v="18"/>
    <n v="11967"/>
    <n v="0"/>
    <n v="15316"/>
    <n v="18"/>
    <n v="15756"/>
    <n v="20"/>
    <n v="15544"/>
    <n v="21"/>
    <n v="14732"/>
    <n v="21"/>
    <n v="12470"/>
    <n v="23"/>
  </r>
  <r>
    <x v="31"/>
    <n v="9445"/>
    <n v="23"/>
    <n v="15774"/>
    <n v="24"/>
    <n v="14492"/>
    <n v="24"/>
    <n v="15523"/>
    <n v="24"/>
    <n v="11967"/>
    <n v="0"/>
    <n v="15336"/>
    <n v="20"/>
    <n v="15780"/>
    <n v="24"/>
    <n v="15568"/>
    <n v="24"/>
    <n v="14755"/>
    <n v="23"/>
    <n v="12494"/>
    <n v="24"/>
  </r>
  <r>
    <x v="32"/>
    <n v="9469"/>
    <n v="24"/>
    <n v="15798"/>
    <n v="24"/>
    <n v="14514"/>
    <n v="22"/>
    <n v="15529"/>
    <n v="6"/>
    <n v="11967"/>
    <n v="0"/>
    <n v="15358"/>
    <n v="22"/>
    <n v="15804"/>
    <n v="24"/>
    <n v="15592"/>
    <n v="24"/>
    <n v="14779"/>
    <n v="24"/>
    <n v="12518"/>
    <n v="24"/>
  </r>
  <r>
    <x v="33"/>
    <n v="9491"/>
    <n v="22"/>
    <n v="15817"/>
    <n v="19"/>
    <n v="14534"/>
    <n v="20"/>
    <n v="15544"/>
    <n v="15"/>
    <n v="11967"/>
    <n v="0"/>
    <n v="15378"/>
    <n v="20"/>
    <n v="15824"/>
    <n v="20"/>
    <n v="15608"/>
    <n v="16"/>
    <n v="14800"/>
    <n v="21"/>
    <n v="12534"/>
    <n v="16"/>
  </r>
  <r>
    <x v="34"/>
    <n v="9513"/>
    <n v="22"/>
    <n v="15836"/>
    <n v="19"/>
    <n v="14551"/>
    <n v="17"/>
    <n v="15563"/>
    <n v="19"/>
    <n v="11967"/>
    <n v="0"/>
    <n v="15398"/>
    <n v="20"/>
    <n v="15844"/>
    <n v="20"/>
    <n v="15629"/>
    <n v="21"/>
    <n v="14820"/>
    <n v="20"/>
    <n v="12557"/>
    <n v="23"/>
  </r>
  <r>
    <x v="35"/>
    <n v="9535"/>
    <n v="22"/>
    <n v="15853"/>
    <n v="17"/>
    <n v="14568"/>
    <n v="17"/>
    <n v="15582"/>
    <n v="19"/>
    <n v="11967"/>
    <n v="0"/>
    <n v="15417"/>
    <n v="19"/>
    <n v="15863"/>
    <n v="19"/>
    <n v="15650"/>
    <n v="21"/>
    <n v="14840"/>
    <n v="20"/>
    <n v="12573"/>
    <n v="16"/>
  </r>
  <r>
    <x v="36"/>
    <n v="9554"/>
    <n v="19"/>
    <n v="15866"/>
    <n v="13"/>
    <n v="14583"/>
    <n v="15"/>
    <n v="15600"/>
    <n v="18"/>
    <n v="11967"/>
    <n v="0"/>
    <n v="15434"/>
    <n v="17"/>
    <n v="15877"/>
    <n v="14"/>
    <n v="15666"/>
    <n v="16"/>
    <n v="14856"/>
    <n v="16"/>
    <n v="12592"/>
    <n v="19"/>
  </r>
  <r>
    <x v="37"/>
    <n v="9573"/>
    <n v="19"/>
    <n v="15883"/>
    <n v="17"/>
    <n v="14603"/>
    <n v="20"/>
    <n v="15619"/>
    <n v="19"/>
    <n v="11967"/>
    <n v="0"/>
    <n v="15453"/>
    <n v="19"/>
    <n v="15894"/>
    <n v="17"/>
    <n v="15684"/>
    <n v="18"/>
    <n v="14875"/>
    <n v="19"/>
    <n v="12613"/>
    <n v="21"/>
  </r>
  <r>
    <x v="38"/>
    <n v="9590"/>
    <n v="17"/>
    <n v="15906"/>
    <n v="23"/>
    <n v="14627"/>
    <n v="24"/>
    <n v="15643"/>
    <n v="24"/>
    <n v="11967"/>
    <n v="0"/>
    <n v="15477"/>
    <n v="24"/>
    <n v="15918"/>
    <n v="24"/>
    <n v="15708"/>
    <n v="24"/>
    <n v="14899"/>
    <n v="24"/>
    <n v="12637"/>
    <n v="24"/>
  </r>
  <r>
    <x v="39"/>
    <n v="9612"/>
    <n v="22"/>
    <n v="15930"/>
    <n v="24"/>
    <n v="14651"/>
    <n v="24"/>
    <n v="15667"/>
    <n v="24"/>
    <n v="11967"/>
    <n v="0"/>
    <n v="15496"/>
    <n v="19"/>
    <n v="15942"/>
    <n v="24"/>
    <n v="15732"/>
    <n v="24"/>
    <n v="14923"/>
    <n v="24"/>
    <n v="12661"/>
    <n v="24"/>
  </r>
  <r>
    <x v="40"/>
    <n v="9636"/>
    <n v="24"/>
    <n v="15954"/>
    <n v="24"/>
    <n v="14675"/>
    <n v="24"/>
    <n v="15691"/>
    <n v="24"/>
    <n v="11967"/>
    <n v="0"/>
    <n v="15520"/>
    <n v="24"/>
    <n v="15966"/>
    <n v="24"/>
    <n v="15751"/>
    <n v="19"/>
    <n v="14947"/>
    <n v="24"/>
    <n v="12685"/>
    <n v="24"/>
  </r>
  <r>
    <x v="41"/>
    <n v="9658"/>
    <n v="22"/>
    <n v="15978"/>
    <n v="24"/>
    <n v="14699"/>
    <n v="24"/>
    <n v="15715"/>
    <n v="24"/>
    <n v="11967"/>
    <n v="0"/>
    <n v="15544"/>
    <n v="24"/>
    <n v="15988"/>
    <n v="22"/>
    <n v="15775"/>
    <n v="24"/>
    <n v="14971"/>
    <n v="24"/>
    <n v="12709"/>
    <n v="24"/>
  </r>
  <r>
    <x v="42"/>
    <n v="9682"/>
    <n v="24"/>
    <n v="16002"/>
    <n v="24"/>
    <n v="14723"/>
    <n v="24"/>
    <n v="15739"/>
    <n v="24"/>
    <n v="11967"/>
    <n v="0"/>
    <n v="15568"/>
    <n v="24"/>
    <n v="16012"/>
    <n v="24"/>
    <n v="15799"/>
    <n v="24"/>
    <n v="14989"/>
    <n v="18"/>
    <n v="12733"/>
    <n v="24"/>
  </r>
  <r>
    <x v="43"/>
    <n v="9706"/>
    <n v="24"/>
    <n v="16026"/>
    <n v="24"/>
    <n v="14741"/>
    <n v="18"/>
    <n v="15763"/>
    <n v="24"/>
    <n v="11967"/>
    <n v="0"/>
    <n v="15592"/>
    <n v="24"/>
    <n v="16036"/>
    <n v="24"/>
    <n v="15823"/>
    <n v="24"/>
    <n v="15013"/>
    <n v="24"/>
    <n v="12757"/>
    <n v="24"/>
  </r>
  <r>
    <x v="44"/>
    <n v="9730"/>
    <n v="24"/>
    <n v="16050"/>
    <n v="24"/>
    <n v="14765"/>
    <n v="24"/>
    <n v="15783"/>
    <n v="20"/>
    <n v="11967"/>
    <n v="0"/>
    <n v="15616"/>
    <n v="24"/>
    <n v="16060"/>
    <n v="24"/>
    <n v="15847"/>
    <n v="24"/>
    <n v="15037"/>
    <n v="24"/>
    <n v="12781"/>
    <n v="24"/>
  </r>
  <r>
    <x v="45"/>
    <n v="9749"/>
    <n v="19"/>
    <n v="16074"/>
    <n v="24"/>
    <n v="14789"/>
    <n v="24"/>
    <n v="15802"/>
    <n v="19"/>
    <n v="11967"/>
    <n v="0"/>
    <n v="15640"/>
    <n v="24"/>
    <n v="16084"/>
    <n v="24"/>
    <n v="15871"/>
    <n v="24"/>
    <n v="15061"/>
    <n v="24"/>
    <n v="12805"/>
    <n v="24"/>
  </r>
  <r>
    <x v="46"/>
    <n v="9773"/>
    <n v="24"/>
    <n v="16093"/>
    <n v="19"/>
    <n v="14813"/>
    <n v="24"/>
    <n v="15826"/>
    <n v="24"/>
    <n v="11967"/>
    <n v="0"/>
    <n v="15663"/>
    <n v="23"/>
    <n v="16108"/>
    <n v="24"/>
    <n v="15895"/>
    <n v="24"/>
    <n v="15085"/>
    <n v="24"/>
    <n v="12825"/>
    <n v="20"/>
  </r>
  <r>
    <x v="47"/>
    <n v="9797"/>
    <n v="24"/>
    <n v="16093"/>
    <n v="0"/>
    <n v="14837"/>
    <n v="24"/>
    <n v="15850"/>
    <n v="24"/>
    <n v="11967"/>
    <n v="0"/>
    <n v="15687"/>
    <n v="24"/>
    <n v="16129"/>
    <n v="21"/>
    <n v="15919"/>
    <n v="24"/>
    <n v="15109"/>
    <n v="24"/>
    <n v="12849"/>
    <n v="24"/>
  </r>
  <r>
    <x v="48"/>
    <n v="9797"/>
    <n v="0"/>
    <n v="16117"/>
    <n v="24"/>
    <n v="14861"/>
    <n v="24"/>
    <n v="15874"/>
    <n v="24"/>
    <n v="11967"/>
    <n v="0"/>
    <n v="15711"/>
    <n v="24"/>
    <n v="16152"/>
    <n v="23"/>
    <n v="15943"/>
    <n v="24"/>
    <n v="15130"/>
    <n v="21"/>
    <n v="12873"/>
    <n v="24"/>
  </r>
  <r>
    <x v="49"/>
    <n v="9821"/>
    <n v="24"/>
    <n v="16140"/>
    <n v="23"/>
    <n v="14885"/>
    <n v="24"/>
    <n v="15898"/>
    <n v="24"/>
    <n v="11967"/>
    <n v="0"/>
    <n v="15732"/>
    <n v="21"/>
    <n v="16172"/>
    <n v="20"/>
    <n v="15967"/>
    <n v="24"/>
    <n v="15154"/>
    <n v="24"/>
    <n v="12897"/>
    <n v="24"/>
  </r>
  <r>
    <x v="50"/>
    <n v="9845"/>
    <n v="24"/>
    <n v="16164"/>
    <n v="24"/>
    <n v="14909"/>
    <n v="24"/>
    <n v="15922"/>
    <n v="24"/>
    <n v="11967"/>
    <n v="0"/>
    <n v="15753"/>
    <n v="21"/>
    <n v="16196"/>
    <n v="24"/>
    <n v="15989"/>
    <n v="22"/>
    <n v="15178"/>
    <n v="24"/>
    <n v="12921"/>
    <n v="24"/>
  </r>
  <r>
    <x v="51"/>
    <n v="9869"/>
    <n v="24"/>
    <n v="16188"/>
    <n v="24"/>
    <n v="14933"/>
    <n v="24"/>
    <n v="15946"/>
    <n v="24"/>
    <n v="11967"/>
    <n v="0"/>
    <n v="15777"/>
    <n v="24"/>
    <n v="16220"/>
    <n v="24"/>
    <n v="16008"/>
    <n v="19"/>
    <n v="15178"/>
    <n v="0"/>
    <n v="12945"/>
    <n v="24"/>
  </r>
  <r>
    <x v="52"/>
    <n v="9893"/>
    <n v="24"/>
    <n v="16212"/>
    <n v="24"/>
    <n v="14957"/>
    <n v="24"/>
    <n v="15970"/>
    <n v="24"/>
    <n v="11967"/>
    <n v="0"/>
    <n v="15801"/>
    <n v="24"/>
    <n v="16232"/>
    <n v="12"/>
    <n v="16028"/>
    <n v="20"/>
    <n v="15190"/>
    <n v="12"/>
    <n v="12969"/>
    <n v="24"/>
  </r>
  <r>
    <x v="53"/>
    <n v="9917"/>
    <n v="24"/>
    <n v="16236"/>
    <n v="24"/>
    <n v="14980"/>
    <n v="23"/>
    <n v="15994"/>
    <n v="24"/>
    <n v="11967"/>
    <n v="0"/>
    <n v="15825"/>
    <n v="24"/>
    <n v="16244"/>
    <n v="12"/>
    <n v="16050"/>
    <n v="22"/>
    <n v="15214"/>
    <n v="24"/>
    <n v="12993"/>
    <n v="24"/>
  </r>
  <r>
    <x v="54"/>
    <n v="9941"/>
    <n v="24"/>
    <n v="16260"/>
    <n v="24"/>
    <n v="15000"/>
    <n v="20"/>
    <n v="16018"/>
    <n v="24"/>
    <n v="11967"/>
    <n v="0"/>
    <n v="15849"/>
    <n v="24"/>
    <n v="16268"/>
    <n v="24"/>
    <n v="16070"/>
    <n v="20"/>
    <n v="15238"/>
    <n v="24"/>
    <n v="13017"/>
    <n v="24"/>
  </r>
  <r>
    <x v="55"/>
    <n v="9965"/>
    <n v="24"/>
    <n v="16284"/>
    <n v="24"/>
    <n v="15020"/>
    <n v="20"/>
    <n v="16040"/>
    <n v="22"/>
    <n v="11967"/>
    <n v="0"/>
    <n v="15872"/>
    <n v="23"/>
    <n v="16292"/>
    <n v="24"/>
    <n v="16087"/>
    <n v="17"/>
    <n v="15261"/>
    <n v="23"/>
    <n v="13041"/>
    <n v="24"/>
  </r>
  <r>
    <x v="56"/>
    <n v="9989"/>
    <n v="24"/>
    <n v="16308"/>
    <n v="24"/>
    <n v="15044"/>
    <n v="24"/>
    <n v="16061"/>
    <n v="21"/>
    <n v="11967"/>
    <n v="0"/>
    <n v="15872"/>
    <n v="0"/>
    <n v="16316"/>
    <n v="24"/>
    <n v="16109"/>
    <n v="22"/>
    <n v="15285"/>
    <n v="24"/>
    <n v="13065"/>
    <n v="24"/>
  </r>
  <r>
    <x v="57"/>
    <n v="10012"/>
    <n v="23"/>
    <n v="16326"/>
    <n v="18"/>
    <n v="15066"/>
    <n v="22"/>
    <n v="16083"/>
    <n v="22"/>
    <n v="11967"/>
    <n v="0"/>
    <n v="15872"/>
    <n v="0"/>
    <n v="16335"/>
    <n v="19"/>
    <n v="16131"/>
    <n v="22"/>
    <n v="15309"/>
    <n v="24"/>
    <n v="13084"/>
    <n v="19"/>
  </r>
  <r>
    <x v="58"/>
    <n v="10031"/>
    <n v="19"/>
    <n v="16350"/>
    <n v="24"/>
    <n v="15090"/>
    <n v="24"/>
    <n v="16107"/>
    <n v="24"/>
    <n v="11967"/>
    <n v="0"/>
    <n v="15872"/>
    <n v="0"/>
    <n v="16358"/>
    <n v="23"/>
    <n v="16155"/>
    <n v="24"/>
    <n v="15333"/>
    <n v="24"/>
    <n v="13108"/>
    <n v="24"/>
  </r>
  <r>
    <x v="59"/>
    <n v="10055"/>
    <n v="24"/>
    <n v="16371"/>
    <n v="21"/>
    <n v="15114"/>
    <n v="24"/>
    <n v="16131"/>
    <n v="24"/>
    <n v="11967"/>
    <n v="0"/>
    <n v="15897"/>
    <n v="25"/>
    <n v="16381"/>
    <n v="23"/>
    <n v="16155"/>
    <n v="0"/>
    <n v="15357"/>
    <n v="24"/>
    <n v="13132"/>
    <n v="24"/>
  </r>
  <r>
    <x v="60"/>
    <n v="10079"/>
    <n v="24"/>
    <n v="16395"/>
    <n v="24"/>
    <n v="15138"/>
    <n v="24"/>
    <n v="16155"/>
    <n v="24"/>
    <n v="11967"/>
    <n v="0"/>
    <n v="15921"/>
    <n v="24"/>
    <n v="16397"/>
    <n v="16"/>
    <n v="16179"/>
    <n v="24"/>
    <n v="15357"/>
    <n v="0"/>
    <n v="13156"/>
    <n v="24"/>
  </r>
  <r>
    <x v="61"/>
    <n v="10103"/>
    <n v="24"/>
    <n v="16419"/>
    <n v="24"/>
    <n v="15158"/>
    <n v="20"/>
    <n v="16179"/>
    <n v="24"/>
    <n v="11967"/>
    <n v="0"/>
    <n v="15929"/>
    <n v="8"/>
    <n v="16421"/>
    <n v="24"/>
    <n v="16202"/>
    <n v="23"/>
    <n v="15373"/>
    <n v="16"/>
    <n v="13180"/>
    <n v="24"/>
  </r>
  <r>
    <x v="62"/>
    <n v="10127"/>
    <n v="24"/>
    <n v="16441"/>
    <n v="22"/>
    <n v="15158"/>
    <n v="0"/>
    <n v="16203"/>
    <n v="24"/>
    <n v="11967"/>
    <n v="0"/>
    <n v="15949"/>
    <n v="20"/>
    <n v="16444"/>
    <n v="23"/>
    <n v="16226"/>
    <n v="24"/>
    <n v="15397"/>
    <n v="24"/>
    <n v="13204"/>
    <n v="24"/>
  </r>
  <r>
    <x v="63"/>
    <n v="10150"/>
    <n v="23"/>
    <n v="16465"/>
    <n v="24"/>
    <n v="15182"/>
    <n v="24"/>
    <n v="16227"/>
    <n v="24"/>
    <n v="11967"/>
    <n v="0"/>
    <n v="15973"/>
    <n v="24"/>
    <n v="16468"/>
    <n v="24"/>
    <n v="16250"/>
    <n v="24"/>
    <n v="15397"/>
    <n v="0"/>
    <n v="13224"/>
    <n v="20"/>
  </r>
  <r>
    <x v="64"/>
    <n v="10174"/>
    <n v="24"/>
    <n v="16483"/>
    <n v="18"/>
    <n v="15206"/>
    <n v="24"/>
    <n v="16251"/>
    <n v="24"/>
    <n v="11967"/>
    <n v="0"/>
    <n v="15973"/>
    <n v="0"/>
    <n v="16492"/>
    <n v="24"/>
    <n v="16274"/>
    <n v="24"/>
    <n v="15421"/>
    <n v="24"/>
    <n v="13248"/>
    <n v="24"/>
  </r>
  <r>
    <x v="65"/>
    <n v="10180"/>
    <n v="6"/>
    <n v="16507"/>
    <n v="24"/>
    <n v="15230"/>
    <n v="24"/>
    <n v="16264"/>
    <n v="13"/>
    <n v="11967"/>
    <n v="0"/>
    <n v="15997"/>
    <n v="24"/>
    <n v="16516"/>
    <n v="24"/>
    <n v="16298"/>
    <n v="24"/>
    <n v="15445"/>
    <n v="24"/>
    <n v="13272"/>
    <n v="24"/>
  </r>
  <r>
    <x v="66"/>
    <n v="10180"/>
    <n v="0"/>
    <n v="16531"/>
    <n v="24"/>
    <n v="15254"/>
    <n v="24"/>
    <n v="16286"/>
    <n v="22"/>
    <n v="11967"/>
    <n v="0"/>
    <n v="16021"/>
    <n v="24"/>
    <n v="16540"/>
    <n v="24"/>
    <n v="16322"/>
    <n v="24"/>
    <n v="15469"/>
    <n v="24"/>
    <n v="13296"/>
    <n v="24"/>
  </r>
  <r>
    <x v="67"/>
    <n v="10203"/>
    <n v="23"/>
    <n v="16555"/>
    <n v="24"/>
    <n v="15278"/>
    <n v="24"/>
    <n v="16286"/>
    <n v="0"/>
    <n v="11967"/>
    <n v="0"/>
    <n v="16044"/>
    <n v="23"/>
    <n v="16560"/>
    <n v="20"/>
    <n v="16346"/>
    <n v="24"/>
    <n v="15493"/>
    <n v="24"/>
    <n v="13320"/>
    <n v="24"/>
  </r>
  <r>
    <x v="68"/>
    <n v="10226"/>
    <n v="23"/>
    <n v="16579"/>
    <n v="24"/>
    <n v="15302"/>
    <n v="24"/>
    <n v="16310"/>
    <n v="24"/>
    <n v="11967"/>
    <n v="0"/>
    <n v="16068"/>
    <n v="24"/>
    <n v="16582"/>
    <n v="22"/>
    <n v="16370"/>
    <n v="24"/>
    <n v="15493"/>
    <n v="0"/>
    <n v="13344"/>
    <n v="24"/>
  </r>
  <r>
    <x v="69"/>
    <n v="10248"/>
    <n v="22"/>
    <n v="16603"/>
    <n v="24"/>
    <n v="15326"/>
    <n v="24"/>
    <n v="16334"/>
    <n v="24"/>
    <n v="11967"/>
    <n v="0"/>
    <n v="16069"/>
    <n v="1"/>
    <n v="16603"/>
    <n v="21"/>
    <n v="16393"/>
    <n v="23"/>
    <n v="15517"/>
    <n v="24"/>
    <n v="13368"/>
    <n v="24"/>
  </r>
  <r>
    <x v="70"/>
    <n v="10261"/>
    <n v="13"/>
    <n v="16627"/>
    <n v="24"/>
    <n v="15350"/>
    <n v="24"/>
    <n v="16334"/>
    <n v="0"/>
    <n v="11967"/>
    <n v="0"/>
    <n v="16092"/>
    <n v="23"/>
    <n v="16627"/>
    <n v="24"/>
    <n v="16414"/>
    <n v="21"/>
    <n v="15541"/>
    <n v="24"/>
    <n v="13392"/>
    <n v="24"/>
  </r>
  <r>
    <x v="71"/>
    <n v="10285"/>
    <n v="24"/>
    <n v="16651"/>
    <n v="24"/>
    <n v="15374"/>
    <n v="24"/>
    <n v="16341"/>
    <n v="7"/>
    <n v="11967"/>
    <n v="0"/>
    <n v="16092"/>
    <n v="0"/>
    <n v="16651"/>
    <n v="24"/>
    <n v="16438"/>
    <n v="24"/>
    <n v="15561"/>
    <n v="20"/>
    <n v="13416"/>
    <n v="24"/>
  </r>
  <r>
    <x v="72"/>
    <n v="10309"/>
    <n v="24"/>
    <n v="16675"/>
    <n v="24"/>
    <n v="15398"/>
    <n v="24"/>
    <n v="16365"/>
    <n v="24"/>
    <n v="11967"/>
    <n v="0"/>
    <n v="16116"/>
    <n v="24"/>
    <n v="16671"/>
    <n v="20"/>
    <n v="16462"/>
    <n v="24"/>
    <n v="15561"/>
    <n v="0"/>
    <n v="13440"/>
    <n v="24"/>
  </r>
  <r>
    <x v="73"/>
    <n v="10333"/>
    <n v="24"/>
    <n v="16696"/>
    <n v="21"/>
    <n v="15420"/>
    <n v="22"/>
    <n v="16389"/>
    <n v="24"/>
    <n v="11967"/>
    <n v="0"/>
    <n v="16116"/>
    <n v="0"/>
    <n v="16695"/>
    <n v="24"/>
    <n v="16486"/>
    <n v="24"/>
    <n v="15585"/>
    <n v="24"/>
    <n v="13464"/>
    <n v="24"/>
  </r>
  <r>
    <x v="74"/>
    <n v="10357"/>
    <n v="24"/>
    <n v="16716"/>
    <n v="20"/>
    <n v="15433"/>
    <n v="13"/>
    <n v="16413"/>
    <n v="24"/>
    <n v="11967"/>
    <n v="0"/>
    <n v="16132"/>
    <n v="16"/>
    <n v="16719"/>
    <n v="24"/>
    <n v="16510"/>
    <n v="24"/>
    <n v="15609"/>
    <n v="24"/>
    <n v="13482"/>
    <n v="18"/>
  </r>
  <r>
    <x v="75"/>
    <n v="10363"/>
    <n v="6"/>
    <n v="16732"/>
    <n v="16"/>
    <n v="15454"/>
    <n v="21"/>
    <n v="16429"/>
    <n v="16"/>
    <n v="11967"/>
    <n v="0"/>
    <n v="16154"/>
    <n v="22"/>
    <n v="16739"/>
    <n v="20"/>
    <n v="16530"/>
    <n v="20"/>
    <n v="15632"/>
    <n v="23"/>
    <n v="13505"/>
    <n v="23"/>
  </r>
  <r>
    <x v="76"/>
    <n v="10363"/>
    <n v="0"/>
    <n v="16752"/>
    <n v="20"/>
    <n v="15473"/>
    <n v="19"/>
    <n v="16450"/>
    <n v="21"/>
    <n v="11967"/>
    <n v="0"/>
    <n v="16175"/>
    <n v="21"/>
    <n v="16759"/>
    <n v="20"/>
    <n v="16551"/>
    <n v="21"/>
    <n v="15655"/>
    <n v="23"/>
    <n v="13528"/>
    <n v="23"/>
  </r>
  <r>
    <x v="77"/>
    <n v="10387"/>
    <n v="24"/>
    <n v="16771"/>
    <n v="19"/>
    <n v="15497"/>
    <n v="24"/>
    <n v="16474"/>
    <n v="24"/>
    <n v="11967"/>
    <n v="0"/>
    <n v="16199"/>
    <n v="24"/>
    <n v="16760"/>
    <n v="1"/>
    <n v="16575"/>
    <n v="24"/>
    <n v="15679"/>
    <n v="24"/>
    <n v="13552"/>
    <n v="24"/>
  </r>
  <r>
    <x v="78"/>
    <n v="10411"/>
    <n v="24"/>
    <n v="16787"/>
    <n v="16"/>
    <n v="15521"/>
    <n v="24"/>
    <n v="16498"/>
    <n v="24"/>
    <n v="11967"/>
    <n v="0"/>
    <n v="16223"/>
    <n v="24"/>
    <n v="16782"/>
    <n v="22"/>
    <n v="16599"/>
    <n v="24"/>
    <n v="15679"/>
    <n v="0"/>
    <n v="13576"/>
    <n v="24"/>
  </r>
  <r>
    <x v="79"/>
    <n v="10435"/>
    <n v="24"/>
    <n v="16806"/>
    <n v="19"/>
    <n v="15545"/>
    <n v="24"/>
    <n v="16522"/>
    <n v="24"/>
    <n v="11967"/>
    <n v="0"/>
    <n v="16247"/>
    <n v="24"/>
    <n v="16806"/>
    <n v="24"/>
    <n v="16623"/>
    <n v="24"/>
    <n v="15703"/>
    <n v="24"/>
    <n v="13576"/>
    <n v="0"/>
  </r>
  <r>
    <x v="80"/>
    <n v="10459"/>
    <n v="24"/>
    <n v="16830"/>
    <n v="24"/>
    <n v="15569"/>
    <n v="24"/>
    <n v="16546"/>
    <n v="24"/>
    <n v="11967"/>
    <n v="0"/>
    <n v="16247"/>
    <n v="0"/>
    <n v="16830"/>
    <n v="24"/>
    <n v="16647"/>
    <n v="24"/>
    <n v="15722"/>
    <n v="19"/>
    <n v="13600"/>
    <n v="24"/>
  </r>
  <r>
    <x v="81"/>
    <n v="10465"/>
    <n v="6"/>
    <n v="16854"/>
    <n v="24"/>
    <n v="15593"/>
    <n v="24"/>
    <n v="16552"/>
    <n v="6"/>
    <n v="11967"/>
    <n v="0"/>
    <n v="16271"/>
    <n v="24"/>
    <n v="16854"/>
    <n v="24"/>
    <n v="16665"/>
    <n v="18"/>
    <n v="15740"/>
    <n v="18"/>
    <n v="13624"/>
    <n v="24"/>
  </r>
  <r>
    <x v="82"/>
    <n v="10465"/>
    <n v="0"/>
    <n v="16878"/>
    <n v="24"/>
    <n v="15617"/>
    <n v="24"/>
    <n v="16576"/>
    <n v="24"/>
    <n v="11967"/>
    <n v="0"/>
    <n v="16295"/>
    <n v="24"/>
    <n v="16868"/>
    <n v="14"/>
    <n v="16689"/>
    <n v="24"/>
    <n v="15764"/>
    <n v="24"/>
    <n v="13648"/>
    <n v="24"/>
  </r>
  <r>
    <x v="83"/>
    <n v="10476"/>
    <n v="11"/>
    <n v="16902"/>
    <n v="24"/>
    <n v="15634"/>
    <n v="17"/>
    <n v="16600"/>
    <n v="24"/>
    <n v="11967"/>
    <n v="0"/>
    <n v="16319"/>
    <n v="24"/>
    <n v="16881"/>
    <n v="13"/>
    <n v="16713"/>
    <n v="24"/>
    <n v="15788"/>
    <n v="24"/>
    <n v="13672"/>
    <n v="24"/>
  </r>
  <r>
    <x v="84"/>
    <n v="10500"/>
    <n v="24"/>
    <n v="16923"/>
    <n v="21"/>
    <n v="15658"/>
    <n v="24"/>
    <n v="16624"/>
    <n v="24"/>
    <n v="11967"/>
    <n v="0"/>
    <n v="16338"/>
    <n v="19"/>
    <n v="16881"/>
    <n v="0"/>
    <n v="16737"/>
    <n v="24"/>
    <n v="15812"/>
    <n v="24"/>
    <n v="13696"/>
    <n v="24"/>
  </r>
  <r>
    <x v="85"/>
    <n v="10522"/>
    <n v="22"/>
    <n v="16942"/>
    <n v="19"/>
    <n v="15681"/>
    <n v="23"/>
    <n v="16643"/>
    <n v="19"/>
    <n v="11967"/>
    <n v="0"/>
    <n v="16358"/>
    <n v="20"/>
    <n v="16881"/>
    <n v="0"/>
    <n v="16757"/>
    <n v="20"/>
    <n v="15833"/>
    <n v="21"/>
    <n v="13715"/>
    <n v="19"/>
  </r>
  <r>
    <x v="86"/>
    <n v="10546"/>
    <n v="24"/>
    <n v="16959"/>
    <n v="17"/>
    <n v="15705"/>
    <n v="24"/>
    <n v="16666"/>
    <n v="23"/>
    <n v="11968"/>
    <n v="1"/>
    <n v="16382"/>
    <n v="24"/>
    <n v="16881"/>
    <n v="0"/>
    <n v="16781"/>
    <n v="24"/>
    <n v="15857"/>
    <n v="24"/>
    <n v="13739"/>
    <n v="24"/>
  </r>
  <r>
    <x v="87"/>
    <n v="10570"/>
    <n v="24"/>
    <n v="16981"/>
    <n v="22"/>
    <n v="15729"/>
    <n v="24"/>
    <n v="16686"/>
    <n v="20"/>
    <n v="11973"/>
    <n v="5"/>
    <n v="16406"/>
    <n v="24"/>
    <n v="16881"/>
    <n v="0"/>
    <n v="16805"/>
    <n v="24"/>
    <n v="15881"/>
    <n v="24"/>
    <n v="13763"/>
    <n v="24"/>
  </r>
  <r>
    <x v="88"/>
    <n v="10591"/>
    <n v="21"/>
    <n v="17005"/>
    <n v="24"/>
    <n v="15753"/>
    <n v="24"/>
    <n v="16710"/>
    <n v="24"/>
    <n v="11974"/>
    <n v="1"/>
    <n v="16430"/>
    <n v="24"/>
    <n v="16881"/>
    <n v="0"/>
    <n v="16829"/>
    <n v="24"/>
    <n v="15905"/>
    <n v="24"/>
    <n v="13787"/>
    <n v="24"/>
  </r>
  <r>
    <x v="89"/>
    <n v="10615"/>
    <n v="24"/>
    <n v="17029"/>
    <n v="24"/>
    <n v="15777"/>
    <n v="24"/>
    <n v="16734"/>
    <n v="24"/>
    <n v="11977"/>
    <n v="3"/>
    <n v="16454"/>
    <n v="24"/>
    <n v="16881"/>
    <n v="0"/>
    <n v="16853"/>
    <n v="24"/>
    <n v="15929"/>
    <n v="24"/>
    <n v="13808"/>
    <n v="21"/>
  </r>
  <r>
    <x v="90"/>
    <n v="10639"/>
    <n v="24"/>
    <n v="17049"/>
    <n v="20"/>
    <n v="15801"/>
    <n v="24"/>
    <n v="16758"/>
    <n v="24"/>
    <n v="11978"/>
    <n v="1"/>
    <n v="16478"/>
    <n v="24"/>
    <n v="16881"/>
    <n v="0"/>
    <n v="16877"/>
    <n v="24"/>
    <n v="15953"/>
    <n v="24"/>
    <n v="13832"/>
    <n v="24"/>
  </r>
  <r>
    <x v="91"/>
    <n v="10657"/>
    <n v="18"/>
    <n v="17067"/>
    <n v="18"/>
    <n v="15819"/>
    <n v="18"/>
    <n v="16776"/>
    <n v="18"/>
    <n v="11984"/>
    <n v="6"/>
    <n v="16501"/>
    <n v="23"/>
    <n v="16881"/>
    <n v="0"/>
    <n v="16901"/>
    <n v="24"/>
    <n v="15977"/>
    <n v="24"/>
    <n v="13856"/>
    <n v="24"/>
  </r>
  <r>
    <x v="92"/>
    <n v="10681"/>
    <n v="24"/>
    <n v="17084"/>
    <n v="17"/>
    <n v="15843"/>
    <n v="24"/>
    <n v="16800"/>
    <n v="24"/>
    <n v="12003"/>
    <n v="19"/>
    <n v="16501"/>
    <n v="0"/>
    <n v="16881"/>
    <n v="0"/>
    <n v="16925"/>
    <n v="24"/>
    <n v="16001"/>
    <n v="24"/>
    <n v="13880"/>
    <n v="24"/>
  </r>
  <r>
    <x v="93"/>
    <n v="10705"/>
    <n v="24"/>
    <n v="17108"/>
    <n v="24"/>
    <n v="15867"/>
    <n v="24"/>
    <n v="16824"/>
    <n v="24"/>
    <n v="12023"/>
    <n v="20"/>
    <n v="16522"/>
    <n v="21"/>
    <n v="16881"/>
    <n v="0"/>
    <n v="16949"/>
    <n v="24"/>
    <n v="16025"/>
    <n v="24"/>
    <n v="13880"/>
    <n v="0"/>
  </r>
  <r>
    <x v="94"/>
    <n v="10729"/>
    <n v="24"/>
    <n v="17108"/>
    <n v="0"/>
    <n v="15891"/>
    <n v="24"/>
    <n v="16848"/>
    <n v="24"/>
    <n v="12044"/>
    <n v="21"/>
    <n v="16545"/>
    <n v="23"/>
    <n v="16881"/>
    <n v="0"/>
    <n v="16973"/>
    <n v="24"/>
    <n v="16049"/>
    <n v="24"/>
    <n v="13902"/>
    <n v="22"/>
  </r>
  <r>
    <x v="95"/>
    <n v="10753"/>
    <n v="24"/>
    <n v="17108"/>
    <n v="0"/>
    <n v="15915"/>
    <n v="24"/>
    <n v="16872"/>
    <n v="24"/>
    <n v="12068"/>
    <n v="24"/>
    <n v="16569"/>
    <n v="24"/>
    <n v="16881"/>
    <n v="0"/>
    <n v="16992"/>
    <n v="19"/>
    <n v="16073"/>
    <n v="24"/>
    <n v="13926"/>
    <n v="24"/>
  </r>
  <r>
    <x v="96"/>
    <n v="10777"/>
    <n v="24"/>
    <n v="17108"/>
    <n v="0"/>
    <n v="15939"/>
    <n v="24"/>
    <n v="16896"/>
    <n v="24"/>
    <n v="12092"/>
    <n v="24"/>
    <n v="16590"/>
    <n v="21"/>
    <n v="16881"/>
    <n v="0"/>
    <n v="17016"/>
    <n v="24"/>
    <n v="16097"/>
    <n v="24"/>
    <n v="13950"/>
    <n v="24"/>
  </r>
  <r>
    <x v="97"/>
    <n v="10801"/>
    <n v="24"/>
    <n v="17108"/>
    <n v="0"/>
    <n v="15963"/>
    <n v="24"/>
    <n v="16920"/>
    <n v="24"/>
    <n v="12113"/>
    <n v="21"/>
    <n v="16614"/>
    <n v="24"/>
    <n v="16881"/>
    <n v="0"/>
    <n v="17040"/>
    <n v="24"/>
    <n v="16121"/>
    <n v="24"/>
    <n v="13974"/>
    <n v="24"/>
  </r>
  <r>
    <x v="98"/>
    <n v="10825"/>
    <n v="24"/>
    <n v="17108"/>
    <n v="0"/>
    <n v="15987"/>
    <n v="24"/>
    <n v="16944"/>
    <n v="24"/>
    <n v="12135"/>
    <n v="22"/>
    <n v="16636"/>
    <n v="22"/>
    <n v="16881"/>
    <n v="0"/>
    <n v="17064"/>
    <n v="24"/>
    <n v="16145"/>
    <n v="24"/>
    <n v="13998"/>
    <n v="24"/>
  </r>
  <r>
    <x v="99"/>
    <n v="10849"/>
    <n v="24"/>
    <n v="17108"/>
    <n v="0"/>
    <n v="16011"/>
    <n v="24"/>
    <n v="16968"/>
    <n v="24"/>
    <n v="12159"/>
    <n v="24"/>
    <n v="16658"/>
    <n v="22"/>
    <n v="16881"/>
    <n v="0"/>
    <n v="17088"/>
    <n v="24"/>
    <n v="16169"/>
    <n v="24"/>
    <n v="14022"/>
    <n v="24"/>
  </r>
  <r>
    <x v="100"/>
    <n v="10873"/>
    <n v="24"/>
    <n v="17108"/>
    <n v="0"/>
    <n v="16035"/>
    <n v="24"/>
    <n v="16992"/>
    <n v="24"/>
    <n v="12180"/>
    <n v="21"/>
    <n v="16681"/>
    <n v="23"/>
    <n v="16881"/>
    <n v="0"/>
    <n v="17112"/>
    <n v="24"/>
    <n v="16193"/>
    <n v="24"/>
    <n v="14046"/>
    <n v="24"/>
  </r>
  <r>
    <x v="101"/>
    <n v="10897"/>
    <n v="24"/>
    <n v="17108"/>
    <n v="0"/>
    <n v="16059"/>
    <n v="24"/>
    <n v="17016"/>
    <n v="24"/>
    <n v="12201"/>
    <n v="21"/>
    <n v="16705"/>
    <n v="24"/>
    <n v="16881"/>
    <n v="0"/>
    <n v="17135"/>
    <n v="23"/>
    <n v="16217"/>
    <n v="24"/>
    <n v="14070"/>
    <n v="24"/>
  </r>
  <r>
    <x v="102"/>
    <n v="10916"/>
    <n v="19"/>
    <n v="17108"/>
    <n v="0"/>
    <n v="16072"/>
    <n v="13"/>
    <n v="17037"/>
    <n v="21"/>
    <n v="12224"/>
    <n v="23"/>
    <n v="16729"/>
    <n v="24"/>
    <n v="16881"/>
    <n v="0"/>
    <n v="17159"/>
    <n v="24"/>
    <n v="16235"/>
    <n v="18"/>
    <n v="14083"/>
    <n v="13"/>
  </r>
  <r>
    <x v="103"/>
    <n v="10939"/>
    <n v="23"/>
    <n v="17108"/>
    <n v="0"/>
    <n v="16096"/>
    <n v="24"/>
    <n v="17058"/>
    <n v="21"/>
    <n v="12248"/>
    <n v="24"/>
    <n v="16752"/>
    <n v="23"/>
    <n v="16881"/>
    <n v="0"/>
    <n v="17183"/>
    <n v="24"/>
    <n v="16259"/>
    <n v="24"/>
    <n v="14107"/>
    <n v="24"/>
  </r>
  <r>
    <x v="104"/>
    <n v="10963"/>
    <n v="24"/>
    <n v="17108"/>
    <n v="0"/>
    <n v="16120"/>
    <n v="24"/>
    <n v="17082"/>
    <n v="24"/>
    <n v="12267"/>
    <n v="19"/>
    <n v="16776"/>
    <n v="24"/>
    <n v="16881"/>
    <n v="0"/>
    <n v="17207"/>
    <n v="24"/>
    <n v="16283"/>
    <n v="24"/>
    <n v="14131"/>
    <n v="24"/>
  </r>
  <r>
    <x v="105"/>
    <n v="10987"/>
    <n v="24"/>
    <n v="17108"/>
    <n v="0"/>
    <n v="16144"/>
    <n v="24"/>
    <n v="17104"/>
    <n v="22"/>
    <n v="12291"/>
    <n v="24"/>
    <n v="16799"/>
    <n v="23"/>
    <n v="16881"/>
    <n v="0"/>
    <n v="17231"/>
    <n v="24"/>
    <n v="16307"/>
    <n v="24"/>
    <n v="14155"/>
    <n v="24"/>
  </r>
  <r>
    <x v="106"/>
    <n v="11010"/>
    <n v="23"/>
    <n v="17108"/>
    <n v="0"/>
    <n v="16168"/>
    <n v="24"/>
    <n v="17128"/>
    <n v="24"/>
    <n v="12291"/>
    <n v="0"/>
    <n v="16823"/>
    <n v="24"/>
    <n v="16881"/>
    <n v="0"/>
    <n v="17255"/>
    <n v="24"/>
    <n v="16331"/>
    <n v="24"/>
    <n v="14179"/>
    <n v="24"/>
  </r>
  <r>
    <x v="107"/>
    <n v="11034"/>
    <n v="24"/>
    <n v="17108"/>
    <n v="0"/>
    <n v="16192"/>
    <n v="24"/>
    <n v="17152"/>
    <n v="24"/>
    <n v="12314"/>
    <n v="23"/>
    <n v="16844"/>
    <n v="21"/>
    <n v="16881"/>
    <n v="0"/>
    <n v="17279"/>
    <n v="24"/>
    <n v="16355"/>
    <n v="24"/>
    <n v="14203"/>
    <n v="24"/>
  </r>
  <r>
    <x v="108"/>
    <n v="11058"/>
    <n v="24"/>
    <n v="17108"/>
    <n v="0"/>
    <n v="16216"/>
    <n v="24"/>
    <n v="17176"/>
    <n v="24"/>
    <n v="12338"/>
    <n v="24"/>
    <n v="16868"/>
    <n v="24"/>
    <n v="16881"/>
    <n v="0"/>
    <n v="17301"/>
    <n v="22"/>
    <n v="16379"/>
    <n v="24"/>
    <n v="14227"/>
    <n v="24"/>
  </r>
  <r>
    <x v="109"/>
    <n v="11082"/>
    <n v="24"/>
    <n v="17108"/>
    <n v="0"/>
    <n v="16240"/>
    <n v="24"/>
    <n v="17200"/>
    <n v="24"/>
    <n v="12360"/>
    <n v="22"/>
    <n v="16891"/>
    <n v="23"/>
    <n v="16881"/>
    <n v="0"/>
    <n v="17325"/>
    <n v="24"/>
    <n v="16403"/>
    <n v="24"/>
    <n v="14251"/>
    <n v="24"/>
  </r>
  <r>
    <x v="110"/>
    <n v="11106"/>
    <n v="24"/>
    <n v="17108"/>
    <n v="0"/>
    <n v="16264"/>
    <n v="24"/>
    <n v="17224"/>
    <n v="24"/>
    <n v="12384"/>
    <n v="24"/>
    <n v="16915"/>
    <n v="24"/>
    <n v="16881"/>
    <n v="0"/>
    <n v="17347"/>
    <n v="22"/>
    <n v="16427"/>
    <n v="24"/>
    <n v="14275"/>
    <n v="24"/>
  </r>
  <r>
    <x v="111"/>
    <n v="11130"/>
    <n v="24"/>
    <n v="17108"/>
    <n v="0"/>
    <n v="16288"/>
    <n v="24"/>
    <n v="17248"/>
    <n v="24"/>
    <n v="12406"/>
    <n v="22"/>
    <n v="16939"/>
    <n v="24"/>
    <n v="16881"/>
    <n v="0"/>
    <n v="17371"/>
    <n v="24"/>
    <n v="16451"/>
    <n v="24"/>
    <n v="14299"/>
    <n v="24"/>
  </r>
  <r>
    <x v="112"/>
    <n v="11154"/>
    <n v="24"/>
    <n v="17108"/>
    <n v="0"/>
    <n v="16312"/>
    <n v="24"/>
    <n v="17272"/>
    <n v="24"/>
    <n v="12430"/>
    <n v="24"/>
    <n v="16963"/>
    <n v="24"/>
    <n v="16881"/>
    <n v="0"/>
    <n v="17394"/>
    <n v="23"/>
    <n v="16475"/>
    <n v="24"/>
    <n v="14323"/>
    <n v="24"/>
  </r>
  <r>
    <x v="113"/>
    <n v="11178"/>
    <n v="24"/>
    <n v="17108"/>
    <n v="0"/>
    <n v="16336"/>
    <n v="24"/>
    <n v="17296"/>
    <n v="24"/>
    <n v="12454"/>
    <n v="24"/>
    <n v="16987"/>
    <n v="24"/>
    <n v="16881"/>
    <n v="0"/>
    <n v="17416"/>
    <n v="22"/>
    <n v="16499"/>
    <n v="24"/>
    <n v="14347"/>
    <n v="24"/>
  </r>
  <r>
    <x v="114"/>
    <n v="11197"/>
    <n v="19"/>
    <n v="17108"/>
    <n v="0"/>
    <n v="16356"/>
    <n v="20"/>
    <n v="17316"/>
    <n v="20"/>
    <n v="12467"/>
    <n v="13"/>
    <n v="17010"/>
    <n v="23"/>
    <n v="16881"/>
    <n v="0"/>
    <n v="17440"/>
    <n v="24"/>
    <n v="16521"/>
    <n v="22"/>
    <n v="14364"/>
    <n v="17"/>
  </r>
  <r>
    <x v="115"/>
    <n v="11221"/>
    <n v="24"/>
    <n v="17108"/>
    <n v="0"/>
    <n v="16380"/>
    <n v="24"/>
    <n v="17340"/>
    <n v="24"/>
    <n v="12487"/>
    <n v="20"/>
    <n v="17031"/>
    <n v="21"/>
    <n v="16881"/>
    <n v="0"/>
    <n v="17464"/>
    <n v="24"/>
    <n v="16545"/>
    <n v="24"/>
    <n v="14388"/>
    <n v="24"/>
  </r>
  <r>
    <x v="116"/>
    <n v="11245"/>
    <n v="24"/>
    <n v="17108"/>
    <n v="0"/>
    <n v="16404"/>
    <n v="24"/>
    <n v="17362"/>
    <n v="22"/>
    <n v="12511"/>
    <n v="24"/>
    <n v="17055"/>
    <n v="24"/>
    <n v="16881"/>
    <n v="0"/>
    <n v="17487"/>
    <n v="23"/>
    <n v="16569"/>
    <n v="24"/>
    <n v="14412"/>
    <n v="24"/>
  </r>
  <r>
    <x v="117"/>
    <n v="11269"/>
    <n v="24"/>
    <n v="17108"/>
    <n v="0"/>
    <n v="16428"/>
    <n v="24"/>
    <n v="17386"/>
    <n v="24"/>
    <n v="12535"/>
    <n v="24"/>
    <n v="17079"/>
    <n v="24"/>
    <n v="16881"/>
    <n v="0"/>
    <n v="17511"/>
    <n v="24"/>
    <n v="16569"/>
    <n v="0"/>
    <n v="14433"/>
    <n v="21"/>
  </r>
  <r>
    <x v="118"/>
    <n v="11293"/>
    <n v="24"/>
    <n v="17108"/>
    <n v="0"/>
    <n v="16452"/>
    <n v="24"/>
    <n v="17410"/>
    <n v="24"/>
    <n v="12558"/>
    <n v="23"/>
    <n v="17103"/>
    <n v="24"/>
    <n v="16882"/>
    <n v="1"/>
    <n v="17535"/>
    <n v="24"/>
    <n v="16588"/>
    <n v="19"/>
    <n v="14457"/>
    <n v="24"/>
  </r>
  <r>
    <x v="119"/>
    <n v="11317"/>
    <n v="24"/>
    <n v="17108"/>
    <n v="0"/>
    <n v="16476"/>
    <n v="24"/>
    <n v="17434"/>
    <n v="24"/>
    <n v="12582"/>
    <n v="24"/>
    <n v="17127"/>
    <n v="24"/>
    <n v="16886"/>
    <n v="4"/>
    <n v="17559"/>
    <n v="24"/>
    <n v="16611"/>
    <n v="23"/>
    <n v="14481"/>
    <n v="24"/>
  </r>
  <r>
    <x v="120"/>
    <n v="11340"/>
    <n v="23"/>
    <n v="17108"/>
    <n v="0"/>
    <n v="16499"/>
    <n v="23"/>
    <n v="17458"/>
    <n v="24"/>
    <n v="12604"/>
    <n v="22"/>
    <n v="17150"/>
    <n v="23"/>
    <n v="16890"/>
    <n v="4"/>
    <n v="17583"/>
    <n v="24"/>
    <n v="16635"/>
    <n v="24"/>
    <n v="14505"/>
    <n v="24"/>
  </r>
  <r>
    <x v="121"/>
    <n v="11364"/>
    <n v="24"/>
    <n v="17108"/>
    <n v="0"/>
    <n v="16523"/>
    <n v="24"/>
    <n v="17482"/>
    <n v="24"/>
    <n v="12604"/>
    <n v="0"/>
    <n v="17174"/>
    <n v="24"/>
    <n v="16912"/>
    <n v="22"/>
    <n v="17607"/>
    <n v="24"/>
    <n v="16659"/>
    <n v="24"/>
    <n v="14529"/>
    <n v="24"/>
  </r>
  <r>
    <x v="122"/>
    <n v="11388"/>
    <n v="24"/>
    <n v="17108"/>
    <n v="0"/>
    <n v="16547"/>
    <n v="24"/>
    <n v="17506"/>
    <n v="24"/>
    <n v="12604"/>
    <n v="0"/>
    <n v="17198"/>
    <n v="24"/>
    <n v="16936"/>
    <n v="24"/>
    <n v="17630"/>
    <n v="23"/>
    <n v="16682"/>
    <n v="23"/>
    <n v="14553"/>
    <n v="24"/>
  </r>
  <r>
    <x v="123"/>
    <n v="11412"/>
    <n v="24"/>
    <n v="17108"/>
    <n v="0"/>
    <n v="16571"/>
    <n v="24"/>
    <n v="17530"/>
    <n v="24"/>
    <n v="12604"/>
    <n v="0"/>
    <n v="17222"/>
    <n v="24"/>
    <n v="16960"/>
    <n v="24"/>
    <n v="17652"/>
    <n v="22"/>
    <n v="16706"/>
    <n v="24"/>
    <n v="14577"/>
    <n v="24"/>
  </r>
  <r>
    <x v="124"/>
    <n v="11436"/>
    <n v="24"/>
    <n v="17108"/>
    <n v="0"/>
    <n v="16595"/>
    <n v="24"/>
    <n v="17553"/>
    <n v="23"/>
    <n v="12604"/>
    <n v="0"/>
    <n v="17246"/>
    <n v="24"/>
    <n v="16984"/>
    <n v="24"/>
    <n v="17675"/>
    <n v="23"/>
    <n v="16730"/>
    <n v="24"/>
    <n v="14601"/>
    <n v="24"/>
  </r>
  <r>
    <x v="125"/>
    <n v="11460"/>
    <n v="24"/>
    <n v="17111"/>
    <n v="3"/>
    <n v="16619"/>
    <n v="24"/>
    <n v="17577"/>
    <n v="24"/>
    <n v="12604"/>
    <n v="0"/>
    <n v="17267"/>
    <n v="21"/>
    <n v="17008"/>
    <n v="24"/>
    <n v="17699"/>
    <n v="24"/>
    <n v="16754"/>
    <n v="24"/>
    <n v="14625"/>
    <n v="24"/>
  </r>
  <r>
    <x v="126"/>
    <n v="11484"/>
    <n v="24"/>
    <n v="17114"/>
    <n v="3"/>
    <n v="16643"/>
    <n v="24"/>
    <n v="17601"/>
    <n v="24"/>
    <n v="12604"/>
    <n v="0"/>
    <n v="17291"/>
    <n v="24"/>
    <n v="17032"/>
    <n v="24"/>
    <n v="17723"/>
    <n v="24"/>
    <n v="16778"/>
    <n v="24"/>
    <n v="14649"/>
    <n v="24"/>
  </r>
  <r>
    <x v="127"/>
    <n v="11508"/>
    <n v="24"/>
    <n v="17114"/>
    <n v="0"/>
    <n v="16664"/>
    <n v="21"/>
    <n v="17625"/>
    <n v="24"/>
    <n v="12604"/>
    <n v="0"/>
    <n v="17315"/>
    <n v="24"/>
    <n v="17056"/>
    <n v="24"/>
    <n v="17747"/>
    <n v="24"/>
    <n v="16802"/>
    <n v="24"/>
    <n v="14673"/>
    <n v="24"/>
  </r>
  <r>
    <x v="128"/>
    <n v="11532"/>
    <n v="24"/>
    <n v="17134"/>
    <n v="20"/>
    <n v="16688"/>
    <n v="24"/>
    <n v="17647"/>
    <n v="22"/>
    <n v="12604"/>
    <n v="0"/>
    <n v="17339"/>
    <n v="24"/>
    <n v="17056"/>
    <n v="0"/>
    <n v="17771"/>
    <n v="24"/>
    <n v="16826"/>
    <n v="24"/>
    <n v="14697"/>
    <n v="24"/>
  </r>
  <r>
    <x v="129"/>
    <n v="11550"/>
    <n v="18"/>
    <n v="17158"/>
    <n v="24"/>
    <n v="16712"/>
    <n v="24"/>
    <n v="17671"/>
    <n v="24"/>
    <n v="12604"/>
    <n v="0"/>
    <n v="17363"/>
    <n v="24"/>
    <n v="17078"/>
    <n v="22"/>
    <n v="17795"/>
    <n v="24"/>
    <n v="16850"/>
    <n v="24"/>
    <n v="14703"/>
    <n v="6"/>
  </r>
  <r>
    <x v="130"/>
    <n v="11574"/>
    <n v="24"/>
    <n v="17174"/>
    <n v="16"/>
    <n v="16736"/>
    <n v="24"/>
    <n v="17695"/>
    <n v="24"/>
    <n v="12604"/>
    <n v="0"/>
    <n v="17377"/>
    <n v="14"/>
    <n v="17102"/>
    <n v="24"/>
    <n v="17819"/>
    <n v="24"/>
    <n v="16866"/>
    <n v="16"/>
    <n v="14727"/>
    <n v="24"/>
  </r>
  <r>
    <x v="131"/>
    <n v="11596"/>
    <n v="22"/>
    <n v="17198"/>
    <n v="24"/>
    <n v="16760"/>
    <n v="24"/>
    <n v="17696"/>
    <n v="1"/>
    <n v="12604"/>
    <n v="0"/>
    <n v="17401"/>
    <n v="24"/>
    <n v="17126"/>
    <n v="24"/>
    <n v="17842"/>
    <n v="23"/>
    <n v="16890"/>
    <n v="24"/>
    <n v="14750"/>
    <n v="23"/>
  </r>
  <r>
    <x v="132"/>
    <n v="11620"/>
    <n v="24"/>
    <n v="17222"/>
    <n v="24"/>
    <n v="16784"/>
    <n v="24"/>
    <n v="17696"/>
    <n v="0"/>
    <n v="12604"/>
    <n v="0"/>
    <n v="17425"/>
    <n v="24"/>
    <n v="17150"/>
    <n v="24"/>
    <n v="17866"/>
    <n v="24"/>
    <n v="16914"/>
    <n v="24"/>
    <n v="14774"/>
    <n v="24"/>
  </r>
  <r>
    <x v="133"/>
    <n v="11643"/>
    <n v="23"/>
    <n v="17245"/>
    <n v="23"/>
    <n v="16807"/>
    <n v="23"/>
    <n v="17696"/>
    <n v="0"/>
    <n v="12604"/>
    <n v="0"/>
    <n v="17448"/>
    <n v="23"/>
    <n v="17172"/>
    <n v="22"/>
    <n v="17888"/>
    <n v="22"/>
    <n v="16937"/>
    <n v="23"/>
    <n v="14796"/>
    <n v="22"/>
  </r>
  <r>
    <x v="134"/>
    <n v="11667"/>
    <n v="24"/>
    <n v="17267"/>
    <n v="22"/>
    <n v="16831"/>
    <n v="24"/>
    <n v="17696"/>
    <n v="0"/>
    <n v="12605"/>
    <n v="1"/>
    <n v="17472"/>
    <n v="24"/>
    <n v="17195"/>
    <n v="23"/>
    <n v="17912"/>
    <n v="24"/>
    <n v="16961"/>
    <n v="24"/>
    <n v="14820"/>
    <n v="24"/>
  </r>
  <r>
    <x v="135"/>
    <n v="11691"/>
    <n v="24"/>
    <n v="17291"/>
    <n v="24"/>
    <n v="16855"/>
    <n v="24"/>
    <n v="17696"/>
    <n v="0"/>
    <n v="12609"/>
    <n v="4"/>
    <n v="17496"/>
    <n v="24"/>
    <n v="17219"/>
    <n v="24"/>
    <n v="17936"/>
    <n v="24"/>
    <n v="16985"/>
    <n v="24"/>
    <n v="14844"/>
    <n v="24"/>
  </r>
  <r>
    <x v="136"/>
    <n v="11715"/>
    <n v="24"/>
    <n v="17315"/>
    <n v="24"/>
    <n v="16879"/>
    <n v="24"/>
    <n v="17696"/>
    <n v="0"/>
    <n v="12633"/>
    <n v="24"/>
    <n v="17496"/>
    <n v="0"/>
    <n v="17240"/>
    <n v="21"/>
    <n v="17960"/>
    <n v="24"/>
    <n v="17009"/>
    <n v="24"/>
    <n v="14868"/>
    <n v="24"/>
  </r>
  <r>
    <x v="137"/>
    <n v="11737"/>
    <n v="22"/>
    <n v="17338"/>
    <n v="23"/>
    <n v="16883"/>
    <n v="4"/>
    <n v="17696"/>
    <n v="0"/>
    <n v="12657"/>
    <n v="24"/>
    <n v="17519"/>
    <n v="23"/>
    <n v="17262"/>
    <n v="22"/>
    <n v="17979"/>
    <n v="19"/>
    <n v="17033"/>
    <n v="24"/>
    <n v="14892"/>
    <n v="24"/>
  </r>
  <r>
    <x v="138"/>
    <n v="11741"/>
    <n v="4"/>
    <n v="17357"/>
    <n v="19"/>
    <n v="16907"/>
    <n v="24"/>
    <n v="17696"/>
    <n v="0"/>
    <n v="12681"/>
    <n v="24"/>
    <n v="17543"/>
    <n v="24"/>
    <n v="17286"/>
    <n v="24"/>
    <n v="18003"/>
    <n v="24"/>
    <n v="17054"/>
    <n v="21"/>
    <n v="14916"/>
    <n v="24"/>
  </r>
  <r>
    <x v="139"/>
    <n v="11764"/>
    <n v="23"/>
    <n v="17381"/>
    <n v="24"/>
    <n v="16931"/>
    <n v="24"/>
    <n v="17696"/>
    <n v="0"/>
    <n v="12705"/>
    <n v="24"/>
    <n v="17567"/>
    <n v="24"/>
    <n v="17303"/>
    <n v="17"/>
    <n v="18027"/>
    <n v="24"/>
    <n v="17078"/>
    <n v="24"/>
    <n v="14921"/>
    <n v="5"/>
  </r>
  <r>
    <x v="140"/>
    <n v="11788"/>
    <n v="24"/>
    <n v="17405"/>
    <n v="24"/>
    <n v="16955"/>
    <n v="24"/>
    <n v="17696"/>
    <n v="0"/>
    <n v="12723"/>
    <n v="18"/>
    <n v="17591"/>
    <n v="24"/>
    <n v="17327"/>
    <n v="24"/>
    <n v="18039"/>
    <n v="12"/>
    <n v="17096"/>
    <n v="18"/>
    <n v="14945"/>
    <n v="24"/>
  </r>
  <r>
    <x v="141"/>
    <n v="11812"/>
    <n v="24"/>
    <n v="17429"/>
    <n v="24"/>
    <n v="16979"/>
    <n v="24"/>
    <n v="17696"/>
    <n v="0"/>
    <n v="12747"/>
    <n v="24"/>
    <n v="17615"/>
    <n v="24"/>
    <n v="17351"/>
    <n v="24"/>
    <n v="18039"/>
    <n v="0"/>
    <n v="17120"/>
    <n v="24"/>
    <n v="14969"/>
    <n v="24"/>
  </r>
  <r>
    <x v="142"/>
    <n v="11836"/>
    <n v="24"/>
    <n v="17453"/>
    <n v="24"/>
    <n v="17003"/>
    <n v="24"/>
    <n v="17696"/>
    <n v="0"/>
    <n v="12771"/>
    <n v="24"/>
    <n v="17639"/>
    <n v="24"/>
    <n v="17375"/>
    <n v="24"/>
    <n v="18039"/>
    <n v="0"/>
    <n v="17144"/>
    <n v="24"/>
    <n v="14993"/>
    <n v="24"/>
  </r>
  <r>
    <x v="143"/>
    <n v="11860"/>
    <n v="24"/>
    <n v="17477"/>
    <n v="24"/>
    <n v="17027"/>
    <n v="24"/>
    <n v="17696"/>
    <n v="0"/>
    <n v="12793"/>
    <n v="22"/>
    <n v="17663"/>
    <n v="24"/>
    <n v="17399"/>
    <n v="24"/>
    <n v="18039"/>
    <n v="0"/>
    <n v="17168"/>
    <n v="24"/>
    <n v="15017"/>
    <n v="24"/>
  </r>
  <r>
    <x v="144"/>
    <n v="11884"/>
    <n v="24"/>
    <n v="17501"/>
    <n v="24"/>
    <n v="17051"/>
    <n v="24"/>
    <n v="17696"/>
    <n v="0"/>
    <n v="12817"/>
    <n v="24"/>
    <n v="17687"/>
    <n v="24"/>
    <n v="17423"/>
    <n v="24"/>
    <n v="18039"/>
    <n v="0"/>
    <n v="17192"/>
    <n v="24"/>
    <n v="15041"/>
    <n v="24"/>
  </r>
  <r>
    <x v="145"/>
    <n v="11908"/>
    <n v="24"/>
    <n v="17525"/>
    <n v="24"/>
    <n v="17075"/>
    <n v="24"/>
    <n v="17696"/>
    <n v="0"/>
    <n v="12841"/>
    <n v="24"/>
    <n v="17711"/>
    <n v="24"/>
    <n v="17447"/>
    <n v="24"/>
    <n v="18039"/>
    <n v="0"/>
    <n v="17216"/>
    <n v="24"/>
    <n v="15065"/>
    <n v="24"/>
  </r>
  <r>
    <x v="146"/>
    <n v="11932"/>
    <n v="24"/>
    <n v="17549"/>
    <n v="24"/>
    <n v="17099"/>
    <n v="24"/>
    <n v="17696"/>
    <n v="0"/>
    <n v="12863"/>
    <n v="22"/>
    <n v="17735"/>
    <n v="24"/>
    <n v="17471"/>
    <n v="24"/>
    <n v="18039"/>
    <n v="0"/>
    <n v="17240"/>
    <n v="24"/>
    <n v="15089"/>
    <n v="24"/>
  </r>
  <r>
    <x v="147"/>
    <n v="11956"/>
    <n v="24"/>
    <n v="17572"/>
    <n v="23"/>
    <n v="17123"/>
    <n v="24"/>
    <n v="17696"/>
    <n v="0"/>
    <n v="12887"/>
    <n v="24"/>
    <n v="17759"/>
    <n v="24"/>
    <n v="17495"/>
    <n v="24"/>
    <n v="18039"/>
    <n v="0"/>
    <n v="17264"/>
    <n v="24"/>
    <n v="15113"/>
    <n v="24"/>
  </r>
  <r>
    <x v="148"/>
    <n v="11980"/>
    <n v="24"/>
    <n v="17596"/>
    <n v="24"/>
    <n v="17147"/>
    <n v="24"/>
    <n v="17696"/>
    <n v="0"/>
    <n v="12911"/>
    <n v="24"/>
    <n v="17783"/>
    <n v="24"/>
    <n v="17519"/>
    <n v="24"/>
    <n v="18039"/>
    <n v="0"/>
    <n v="17288"/>
    <n v="24"/>
    <n v="15137"/>
    <n v="24"/>
  </r>
  <r>
    <x v="149"/>
    <n v="12004"/>
    <n v="24"/>
    <n v="17620"/>
    <n v="24"/>
    <n v="17171"/>
    <n v="24"/>
    <n v="17696"/>
    <n v="0"/>
    <n v="12935"/>
    <n v="24"/>
    <n v="17804"/>
    <n v="21"/>
    <n v="17543"/>
    <n v="24"/>
    <n v="18039"/>
    <n v="0"/>
    <n v="17312"/>
    <n v="24"/>
    <n v="15161"/>
    <n v="24"/>
  </r>
  <r>
    <x v="150"/>
    <n v="12028"/>
    <n v="24"/>
    <n v="17644"/>
    <n v="24"/>
    <n v="17195"/>
    <n v="24"/>
    <n v="17696"/>
    <n v="0"/>
    <n v="12959"/>
    <n v="24"/>
    <n v="17828"/>
    <n v="24"/>
    <n v="17567"/>
    <n v="24"/>
    <n v="18039"/>
    <n v="0"/>
    <n v="17334"/>
    <n v="22"/>
    <n v="15185"/>
    <n v="24"/>
  </r>
  <r>
    <x v="151"/>
    <n v="12052"/>
    <n v="24"/>
    <n v="17668"/>
    <n v="24"/>
    <n v="17215"/>
    <n v="20"/>
    <n v="17696"/>
    <n v="0"/>
    <n v="12983"/>
    <n v="24"/>
    <n v="17852"/>
    <n v="24"/>
    <n v="17591"/>
    <n v="24"/>
    <n v="18039"/>
    <n v="0"/>
    <n v="17358"/>
    <n v="24"/>
    <n v="15209"/>
    <n v="24"/>
  </r>
  <r>
    <x v="152"/>
    <n v="12072"/>
    <n v="20"/>
    <n v="17692"/>
    <n v="24"/>
    <n v="17239"/>
    <n v="24"/>
    <n v="17696"/>
    <n v="0"/>
    <n v="13007"/>
    <n v="24"/>
    <n v="17876"/>
    <n v="24"/>
    <n v="17615"/>
    <n v="24"/>
    <n v="18039"/>
    <n v="0"/>
    <n v="17382"/>
    <n v="24"/>
    <n v="15233"/>
    <n v="24"/>
  </r>
  <r>
    <x v="153"/>
    <n v="12096"/>
    <n v="24"/>
    <n v="17713"/>
    <n v="21"/>
    <n v="17262"/>
    <n v="23"/>
    <n v="17696"/>
    <n v="0"/>
    <n v="13031"/>
    <n v="24"/>
    <n v="17900"/>
    <n v="24"/>
    <n v="17639"/>
    <n v="24"/>
    <n v="18039"/>
    <n v="0"/>
    <n v="17406"/>
    <n v="24"/>
    <n v="15257"/>
    <n v="24"/>
  </r>
  <r>
    <x v="154"/>
    <n v="12120"/>
    <n v="24"/>
    <n v="17736"/>
    <n v="23"/>
    <n v="17286"/>
    <n v="24"/>
    <n v="17696"/>
    <n v="0"/>
    <n v="13055"/>
    <n v="24"/>
    <n v="17924"/>
    <n v="24"/>
    <n v="17663"/>
    <n v="24"/>
    <n v="18039"/>
    <n v="0"/>
    <n v="17430"/>
    <n v="24"/>
    <n v="15281"/>
    <n v="24"/>
  </r>
  <r>
    <x v="155"/>
    <n v="12144"/>
    <n v="24"/>
    <n v="17760"/>
    <n v="24"/>
    <n v="17310"/>
    <n v="24"/>
    <n v="17696"/>
    <n v="0"/>
    <n v="13079"/>
    <n v="24"/>
    <n v="17948"/>
    <n v="24"/>
    <n v="17687"/>
    <n v="24"/>
    <n v="18039"/>
    <n v="0"/>
    <n v="17454"/>
    <n v="24"/>
    <n v="15303"/>
    <n v="22"/>
  </r>
  <r>
    <x v="156"/>
    <n v="12168"/>
    <n v="24"/>
    <n v="17784"/>
    <n v="24"/>
    <n v="17334"/>
    <n v="24"/>
    <n v="17696"/>
    <n v="0"/>
    <n v="13103"/>
    <n v="24"/>
    <n v="17972"/>
    <n v="24"/>
    <n v="17711"/>
    <n v="24"/>
    <n v="18039"/>
    <n v="0"/>
    <n v="17478"/>
    <n v="24"/>
    <n v="15324"/>
    <n v="21"/>
  </r>
  <r>
    <x v="157"/>
    <n v="12190"/>
    <n v="22"/>
    <n v="17807"/>
    <n v="23"/>
    <n v="17358"/>
    <n v="24"/>
    <n v="17696"/>
    <n v="0"/>
    <n v="13127"/>
    <n v="24"/>
    <n v="17996"/>
    <n v="24"/>
    <n v="17735"/>
    <n v="24"/>
    <n v="18039"/>
    <n v="0"/>
    <n v="17502"/>
    <n v="24"/>
    <n v="15348"/>
    <n v="24"/>
  </r>
  <r>
    <x v="158"/>
    <n v="12214"/>
    <n v="24"/>
    <n v="17831"/>
    <n v="24"/>
    <n v="17382"/>
    <n v="24"/>
    <n v="17700"/>
    <n v="4"/>
    <n v="13151"/>
    <n v="24"/>
    <n v="18020"/>
    <n v="24"/>
    <n v="17759"/>
    <n v="24"/>
    <n v="18039"/>
    <n v="0"/>
    <n v="17525"/>
    <n v="23"/>
    <n v="15372"/>
    <n v="24"/>
  </r>
  <r>
    <x v="159"/>
    <n v="12238"/>
    <n v="24"/>
    <n v="17855"/>
    <n v="24"/>
    <n v="17406"/>
    <n v="24"/>
    <n v="17703"/>
    <n v="3"/>
    <n v="13174"/>
    <n v="23"/>
    <n v="18043"/>
    <n v="23"/>
    <n v="17781"/>
    <n v="22"/>
    <n v="18039"/>
    <n v="0"/>
    <n v="17548"/>
    <n v="23"/>
    <n v="15395"/>
    <n v="23"/>
  </r>
  <r>
    <x v="160"/>
    <n v="12262"/>
    <n v="24"/>
    <n v="17879"/>
    <n v="24"/>
    <n v="17430"/>
    <n v="24"/>
    <n v="17712"/>
    <n v="9"/>
    <n v="13198"/>
    <n v="24"/>
    <n v="18065"/>
    <n v="22"/>
    <n v="17805"/>
    <n v="24"/>
    <n v="18039"/>
    <n v="0"/>
    <n v="17572"/>
    <n v="24"/>
    <n v="15419"/>
    <n v="24"/>
  </r>
  <r>
    <x v="161"/>
    <n v="12283"/>
    <n v="21"/>
    <n v="17903"/>
    <n v="24"/>
    <n v="17449"/>
    <n v="19"/>
    <n v="17736"/>
    <n v="24"/>
    <n v="13222"/>
    <n v="24"/>
    <n v="18089"/>
    <n v="24"/>
    <n v="17829"/>
    <n v="24"/>
    <n v="18039"/>
    <n v="0"/>
    <n v="17577"/>
    <n v="5"/>
    <n v="15443"/>
    <n v="24"/>
  </r>
  <r>
    <x v="162"/>
    <n v="12286"/>
    <n v="3"/>
    <n v="17922"/>
    <n v="19"/>
    <n v="17470"/>
    <n v="21"/>
    <n v="17760"/>
    <n v="24"/>
    <n v="13246"/>
    <n v="24"/>
    <n v="18113"/>
    <n v="24"/>
    <n v="17853"/>
    <n v="24"/>
    <n v="18039"/>
    <n v="0"/>
    <n v="17601"/>
    <n v="24"/>
    <n v="15467"/>
    <n v="24"/>
  </r>
  <r>
    <x v="163"/>
    <n v="12310"/>
    <n v="24"/>
    <n v="17928"/>
    <n v="6"/>
    <n v="17491"/>
    <n v="21"/>
    <n v="17784"/>
    <n v="24"/>
    <n v="13270"/>
    <n v="24"/>
    <n v="18137"/>
    <n v="24"/>
    <n v="17877"/>
    <n v="24"/>
    <n v="18039"/>
    <n v="0"/>
    <n v="17620"/>
    <n v="19"/>
    <n v="15491"/>
    <n v="24"/>
  </r>
  <r>
    <x v="164"/>
    <n v="12334"/>
    <n v="24"/>
    <n v="17952"/>
    <n v="24"/>
    <n v="17515"/>
    <n v="24"/>
    <n v="17808"/>
    <n v="24"/>
    <n v="13294"/>
    <n v="24"/>
    <n v="18157"/>
    <n v="20"/>
    <n v="17901"/>
    <n v="24"/>
    <n v="18039"/>
    <n v="0"/>
    <n v="17620"/>
    <n v="0"/>
    <n v="15515"/>
    <n v="24"/>
  </r>
  <r>
    <x v="165"/>
    <n v="12358"/>
    <n v="24"/>
    <n v="17976"/>
    <n v="24"/>
    <n v="17539"/>
    <n v="24"/>
    <n v="17832"/>
    <n v="24"/>
    <n v="13318"/>
    <n v="24"/>
    <n v="18181"/>
    <n v="24"/>
    <n v="17925"/>
    <n v="24"/>
    <n v="18039"/>
    <n v="0"/>
    <n v="17620"/>
    <n v="0"/>
    <n v="15539"/>
    <n v="24"/>
  </r>
  <r>
    <x v="166"/>
    <n v="12379"/>
    <n v="21"/>
    <n v="18000"/>
    <n v="24"/>
    <n v="17563"/>
    <n v="24"/>
    <n v="17856"/>
    <n v="24"/>
    <n v="13342"/>
    <n v="24"/>
    <n v="18205"/>
    <n v="24"/>
    <n v="17948"/>
    <n v="23"/>
    <n v="18040"/>
    <n v="1"/>
    <n v="17620"/>
    <n v="0"/>
    <n v="15563"/>
    <n v="24"/>
  </r>
  <r>
    <x v="167"/>
    <n v="12403"/>
    <n v="24"/>
    <n v="18024"/>
    <n v="24"/>
    <n v="17587"/>
    <n v="24"/>
    <n v="17864"/>
    <n v="8"/>
    <n v="13366"/>
    <n v="24"/>
    <n v="18229"/>
    <n v="24"/>
    <n v="17972"/>
    <n v="24"/>
    <n v="18043"/>
    <n v="3"/>
    <n v="17620"/>
    <n v="0"/>
    <n v="15587"/>
    <n v="24"/>
  </r>
  <r>
    <x v="168"/>
    <n v="12427"/>
    <n v="24"/>
    <n v="18048"/>
    <n v="24"/>
    <n v="17610"/>
    <n v="23"/>
    <n v="17888"/>
    <n v="24"/>
    <n v="13390"/>
    <n v="24"/>
    <n v="18253"/>
    <n v="24"/>
    <n v="17996"/>
    <n v="24"/>
    <n v="18044"/>
    <n v="1"/>
    <n v="17620"/>
    <n v="0"/>
    <n v="15611"/>
    <n v="24"/>
  </r>
  <r>
    <x v="169"/>
    <n v="12451"/>
    <n v="24"/>
    <n v="18072"/>
    <n v="24"/>
    <n v="17611"/>
    <n v="1"/>
    <n v="17912"/>
    <n v="24"/>
    <n v="13411"/>
    <n v="21"/>
    <n v="18277"/>
    <n v="24"/>
    <n v="18020"/>
    <n v="24"/>
    <n v="18068"/>
    <n v="24"/>
    <n v="17620"/>
    <n v="0"/>
    <n v="15635"/>
    <n v="24"/>
  </r>
  <r>
    <x v="170"/>
    <n v="12475"/>
    <n v="24"/>
    <n v="18096"/>
    <n v="24"/>
    <n v="17635"/>
    <n v="24"/>
    <n v="17936"/>
    <n v="24"/>
    <n v="13435"/>
    <n v="24"/>
    <n v="18301"/>
    <n v="24"/>
    <n v="18044"/>
    <n v="24"/>
    <n v="18092"/>
    <n v="24"/>
    <n v="17620"/>
    <n v="0"/>
    <n v="15635"/>
    <n v="0"/>
  </r>
  <r>
    <x v="171"/>
    <n v="12499"/>
    <n v="24"/>
    <n v="18120"/>
    <n v="24"/>
    <n v="17658"/>
    <n v="23"/>
    <n v="17960"/>
    <n v="24"/>
    <n v="13459"/>
    <n v="24"/>
    <n v="18302"/>
    <n v="1"/>
    <n v="18062"/>
    <n v="18"/>
    <n v="18116"/>
    <n v="24"/>
    <n v="17620"/>
    <n v="0"/>
    <n v="15658"/>
    <n v="23"/>
  </r>
  <r>
    <x v="172"/>
    <n v="12523"/>
    <n v="24"/>
    <n v="18144"/>
    <n v="24"/>
    <n v="17682"/>
    <n v="24"/>
    <n v="17979"/>
    <n v="19"/>
    <n v="13483"/>
    <n v="24"/>
    <n v="18302"/>
    <n v="0"/>
    <n v="18085"/>
    <n v="23"/>
    <n v="18140"/>
    <n v="24"/>
    <n v="17620"/>
    <n v="0"/>
    <n v="15682"/>
    <n v="24"/>
  </r>
  <r>
    <x v="173"/>
    <n v="12547"/>
    <n v="24"/>
    <n v="18168"/>
    <n v="24"/>
    <n v="17706"/>
    <n v="24"/>
    <n v="17992"/>
    <n v="13"/>
    <n v="13506"/>
    <n v="23"/>
    <n v="18302"/>
    <n v="0"/>
    <n v="18109"/>
    <n v="24"/>
    <n v="18164"/>
    <n v="24"/>
    <n v="17620"/>
    <n v="0"/>
    <n v="15706"/>
    <n v="24"/>
  </r>
  <r>
    <x v="174"/>
    <n v="12571"/>
    <n v="24"/>
    <n v="18192"/>
    <n v="24"/>
    <n v="17730"/>
    <n v="24"/>
    <n v="18016"/>
    <n v="24"/>
    <n v="13530"/>
    <n v="24"/>
    <n v="18302"/>
    <n v="0"/>
    <n v="18133"/>
    <n v="24"/>
    <n v="18188"/>
    <n v="24"/>
    <n v="17620"/>
    <n v="0"/>
    <n v="15730"/>
    <n v="24"/>
  </r>
  <r>
    <x v="175"/>
    <n v="12595"/>
    <n v="24"/>
    <n v="18216"/>
    <n v="24"/>
    <n v="17754"/>
    <n v="24"/>
    <n v="18040"/>
    <n v="24"/>
    <n v="13554"/>
    <n v="24"/>
    <n v="18302"/>
    <n v="0"/>
    <n v="18157"/>
    <n v="24"/>
    <n v="18212"/>
    <n v="24"/>
    <n v="17620"/>
    <n v="0"/>
    <n v="15754"/>
    <n v="24"/>
  </r>
  <r>
    <x v="176"/>
    <n v="12619"/>
    <n v="24"/>
    <n v="18240"/>
    <n v="24"/>
    <n v="17778"/>
    <n v="24"/>
    <n v="18064"/>
    <n v="24"/>
    <n v="13578"/>
    <n v="24"/>
    <n v="18302"/>
    <n v="0"/>
    <n v="18180"/>
    <n v="23"/>
    <n v="18236"/>
    <n v="24"/>
    <n v="17620"/>
    <n v="0"/>
    <n v="15778"/>
    <n v="24"/>
  </r>
  <r>
    <x v="177"/>
    <n v="12643"/>
    <n v="24"/>
    <n v="18264"/>
    <n v="24"/>
    <n v="17802"/>
    <n v="24"/>
    <n v="18088"/>
    <n v="24"/>
    <n v="13602"/>
    <n v="24"/>
    <n v="18302"/>
    <n v="0"/>
    <n v="18204"/>
    <n v="24"/>
    <n v="18260"/>
    <n v="24"/>
    <n v="17620"/>
    <n v="0"/>
    <n v="15802"/>
    <n v="24"/>
  </r>
  <r>
    <x v="178"/>
    <n v="12667"/>
    <n v="24"/>
    <n v="18288"/>
    <n v="24"/>
    <n v="17826"/>
    <n v="24"/>
    <n v="18112"/>
    <n v="24"/>
    <n v="13626"/>
    <n v="24"/>
    <n v="18302"/>
    <n v="0"/>
    <n v="18228"/>
    <n v="24"/>
    <n v="18284"/>
    <n v="24"/>
    <n v="17620"/>
    <n v="0"/>
    <n v="15826"/>
    <n v="24"/>
  </r>
  <r>
    <x v="179"/>
    <n v="12691"/>
    <n v="24"/>
    <n v="18312"/>
    <n v="24"/>
    <n v="17850"/>
    <n v="24"/>
    <n v="18134"/>
    <n v="22"/>
    <n v="13650"/>
    <n v="24"/>
    <n v="18302"/>
    <n v="0"/>
    <n v="18252"/>
    <n v="24"/>
    <n v="18308"/>
    <n v="24"/>
    <n v="17620"/>
    <n v="0"/>
    <n v="15850"/>
    <n v="24"/>
  </r>
  <r>
    <x v="180"/>
    <n v="12715"/>
    <n v="24"/>
    <n v="18321"/>
    <n v="9"/>
    <n v="17874"/>
    <n v="24"/>
    <n v="18158"/>
    <n v="24"/>
    <n v="13674"/>
    <n v="24"/>
    <n v="18302"/>
    <n v="0"/>
    <n v="18264"/>
    <n v="12"/>
    <n v="18332"/>
    <n v="24"/>
    <n v="17620"/>
    <n v="0"/>
    <n v="15874"/>
    <n v="24"/>
  </r>
  <r>
    <x v="181"/>
    <n v="12732"/>
    <n v="17"/>
    <n v="18345"/>
    <n v="24"/>
    <n v="17890"/>
    <n v="16"/>
    <n v="18182"/>
    <n v="24"/>
    <n v="13698"/>
    <n v="24"/>
    <n v="18302"/>
    <n v="0"/>
    <n v="18288"/>
    <n v="24"/>
    <n v="18356"/>
    <n v="24"/>
    <n v="17620"/>
    <n v="0"/>
    <n v="15890"/>
    <n v="16"/>
  </r>
  <r>
    <x v="182"/>
    <n v="12756"/>
    <n v="24"/>
    <n v="18369"/>
    <n v="24"/>
    <n v="17914"/>
    <n v="24"/>
    <n v="18206"/>
    <n v="24"/>
    <n v="13722"/>
    <n v="24"/>
    <n v="18302"/>
    <n v="0"/>
    <n v="18312"/>
    <n v="24"/>
    <n v="18380"/>
    <n v="24"/>
    <n v="17620"/>
    <n v="0"/>
    <n v="15914"/>
    <n v="24"/>
  </r>
  <r>
    <x v="183"/>
    <n v="12780"/>
    <n v="24"/>
    <n v="18393"/>
    <n v="24"/>
    <n v="17938"/>
    <n v="24"/>
    <n v="18230"/>
    <n v="24"/>
    <n v="13746"/>
    <n v="24"/>
    <n v="18302"/>
    <n v="0"/>
    <n v="18336"/>
    <n v="24"/>
    <n v="18404"/>
    <n v="24"/>
    <n v="17620"/>
    <n v="0"/>
    <n v="15938"/>
    <n v="24"/>
  </r>
  <r>
    <x v="184"/>
    <n v="12804"/>
    <n v="24"/>
    <n v="18417"/>
    <n v="24"/>
    <n v="17962"/>
    <n v="24"/>
    <n v="18302"/>
    <n v="72"/>
    <n v="13770"/>
    <n v="24"/>
    <n v="18302"/>
    <n v="0"/>
    <n v="18360"/>
    <n v="24"/>
    <n v="18428"/>
    <n v="24"/>
    <n v="17620"/>
    <n v="0"/>
    <n v="15962"/>
    <n v="24"/>
  </r>
  <r>
    <x v="185"/>
    <n v="12828"/>
    <n v="24"/>
    <n v="18441"/>
    <n v="24"/>
    <n v="17986"/>
    <n v="24"/>
    <n v="18278"/>
    <n v="0"/>
    <n v="13794"/>
    <n v="24"/>
    <n v="18302"/>
    <n v="0"/>
    <n v="18384"/>
    <n v="24"/>
    <n v="18452"/>
    <n v="24"/>
    <n v="17620"/>
    <n v="0"/>
    <n v="15986"/>
    <n v="24"/>
  </r>
  <r>
    <x v="186"/>
    <n v="12852"/>
    <n v="24"/>
    <n v="18465"/>
    <n v="24"/>
    <n v="18010"/>
    <n v="24"/>
    <n v="18302"/>
    <n v="24"/>
    <n v="13818"/>
    <n v="24"/>
    <n v="18302"/>
    <n v="0"/>
    <n v="18408"/>
    <n v="24"/>
    <n v="18476"/>
    <n v="24"/>
    <n v="17620"/>
    <n v="0"/>
    <n v="16010"/>
    <n v="24"/>
  </r>
  <r>
    <x v="187"/>
    <n v="12876"/>
    <n v="24"/>
    <n v="18489"/>
    <n v="24"/>
    <n v="18034"/>
    <n v="24"/>
    <n v="18326"/>
    <n v="24"/>
    <n v="13842"/>
    <n v="24"/>
    <n v="18302"/>
    <n v="0"/>
    <n v="18432"/>
    <n v="24"/>
    <n v="18500"/>
    <n v="24"/>
    <n v="17620"/>
    <n v="0"/>
    <n v="16034"/>
    <n v="24"/>
  </r>
  <r>
    <x v="188"/>
    <n v="12900"/>
    <n v="24"/>
    <n v="18513"/>
    <n v="24"/>
    <n v="18350"/>
    <n v="316"/>
    <n v="18350"/>
    <n v="24"/>
    <n v="13866"/>
    <n v="24"/>
    <n v="18302"/>
    <n v="0"/>
    <n v="18456"/>
    <n v="24"/>
    <n v="18524"/>
    <n v="24"/>
    <n v="17620"/>
    <n v="0"/>
    <n v="16058"/>
    <n v="24"/>
  </r>
  <r>
    <x v="189"/>
    <n v="12924"/>
    <n v="24"/>
    <n v="18537"/>
    <n v="24"/>
    <n v="18082"/>
    <n v="0"/>
    <n v="18374"/>
    <n v="24"/>
    <n v="13890"/>
    <n v="24"/>
    <n v="18302"/>
    <n v="0"/>
    <n v="18480"/>
    <n v="24"/>
    <n v="18548"/>
    <n v="24"/>
    <n v="17620"/>
    <n v="0"/>
    <n v="16082"/>
    <n v="24"/>
  </r>
  <r>
    <x v="190"/>
    <n v="12948"/>
    <n v="24"/>
    <n v="18561"/>
    <n v="24"/>
    <n v="18106"/>
    <n v="24"/>
    <n v="18398"/>
    <n v="24"/>
    <n v="13914"/>
    <n v="24"/>
    <n v="18302"/>
    <n v="0"/>
    <n v="18504"/>
    <n v="24"/>
    <n v="18572"/>
    <n v="24"/>
    <n v="17620"/>
    <n v="0"/>
    <n v="16106"/>
    <n v="24"/>
  </r>
  <r>
    <x v="191"/>
    <n v="12972"/>
    <n v="24"/>
    <n v="18585"/>
    <n v="24"/>
    <n v="18130"/>
    <n v="24"/>
    <n v="18421"/>
    <n v="23"/>
    <n v="13938"/>
    <n v="24"/>
    <n v="18302"/>
    <n v="0"/>
    <n v="18528"/>
    <n v="24"/>
    <n v="18596"/>
    <n v="24"/>
    <n v="17620"/>
    <n v="0"/>
    <n v="16130"/>
    <n v="24"/>
  </r>
  <r>
    <x v="192"/>
    <n v="12996"/>
    <n v="24"/>
    <n v="18609"/>
    <n v="24"/>
    <n v="18153"/>
    <n v="23"/>
    <n v="18445"/>
    <n v="24"/>
    <n v="13962"/>
    <n v="24"/>
    <n v="18302"/>
    <n v="0"/>
    <n v="18552"/>
    <n v="24"/>
    <n v="18620"/>
    <n v="24"/>
    <n v="17620"/>
    <n v="0"/>
    <n v="16154"/>
    <n v="24"/>
  </r>
  <r>
    <x v="193"/>
    <n v="13020"/>
    <n v="24"/>
    <n v="18633"/>
    <n v="24"/>
    <n v="18177"/>
    <n v="24"/>
    <n v="18469"/>
    <n v="24"/>
    <n v="13986"/>
    <n v="24"/>
    <n v="18302"/>
    <n v="0"/>
    <n v="18576"/>
    <n v="24"/>
    <n v="18644"/>
    <n v="24"/>
    <n v="17621"/>
    <n v="1"/>
    <n v="16178"/>
    <n v="24"/>
  </r>
  <r>
    <x v="194"/>
    <n v="13044"/>
    <n v="24"/>
    <n v="18657"/>
    <n v="24"/>
    <n v="18201"/>
    <n v="24"/>
    <n v="18493"/>
    <n v="24"/>
    <n v="14010"/>
    <n v="24"/>
    <n v="18302"/>
    <n v="0"/>
    <n v="18600"/>
    <n v="24"/>
    <n v="18668"/>
    <n v="24"/>
    <n v="17631"/>
    <n v="10"/>
    <n v="16202"/>
    <n v="24"/>
  </r>
  <r>
    <x v="195"/>
    <n v="13044"/>
    <n v="0"/>
    <n v="18681"/>
    <n v="24"/>
    <n v="18225"/>
    <n v="24"/>
    <n v="18517"/>
    <n v="24"/>
    <n v="14034"/>
    <n v="24"/>
    <n v="18302"/>
    <n v="0"/>
    <n v="18624"/>
    <n v="24"/>
    <n v="18691"/>
    <n v="23"/>
    <n v="17655"/>
    <n v="24"/>
    <n v="16226"/>
    <n v="24"/>
  </r>
  <r>
    <x v="196"/>
    <n v="13068"/>
    <n v="24"/>
    <n v="18701"/>
    <n v="20"/>
    <n v="18237"/>
    <n v="12"/>
    <n v="18541"/>
    <n v="24"/>
    <n v="14058"/>
    <n v="24"/>
    <n v="18302"/>
    <n v="0"/>
    <n v="18648"/>
    <n v="24"/>
    <n v="18699"/>
    <n v="8"/>
    <n v="17667"/>
    <n v="12"/>
    <n v="16250"/>
    <n v="24"/>
  </r>
  <r>
    <x v="197"/>
    <n v="13092"/>
    <n v="24"/>
    <n v="18725"/>
    <n v="24"/>
    <n v="18237"/>
    <n v="0"/>
    <n v="18565"/>
    <n v="24"/>
    <n v="14081"/>
    <n v="23"/>
    <n v="18302"/>
    <n v="0"/>
    <n v="18672"/>
    <n v="24"/>
    <n v="18723"/>
    <n v="24"/>
    <n v="17691"/>
    <n v="24"/>
    <n v="16271"/>
    <n v="21"/>
  </r>
  <r>
    <x v="198"/>
    <n v="13116"/>
    <n v="24"/>
    <n v="18749"/>
    <n v="24"/>
    <n v="18237"/>
    <n v="0"/>
    <n v="18589"/>
    <n v="24"/>
    <n v="14104"/>
    <n v="23"/>
    <n v="18302"/>
    <n v="0"/>
    <n v="18696"/>
    <n v="24"/>
    <n v="18747"/>
    <n v="24"/>
    <n v="17715"/>
    <n v="24"/>
    <n v="16295"/>
    <n v="24"/>
  </r>
  <r>
    <x v="199"/>
    <n v="13140"/>
    <n v="24"/>
    <n v="18773"/>
    <n v="24"/>
    <n v="18237"/>
    <n v="0"/>
    <n v="18613"/>
    <n v="24"/>
    <n v="14127"/>
    <n v="23"/>
    <n v="18302"/>
    <n v="0"/>
    <n v="18720"/>
    <n v="24"/>
    <n v="18771"/>
    <n v="24"/>
    <n v="17739"/>
    <n v="24"/>
    <n v="16319"/>
    <n v="24"/>
  </r>
  <r>
    <x v="200"/>
    <n v="13164"/>
    <n v="24"/>
    <n v="18797"/>
    <n v="24"/>
    <n v="18237"/>
    <n v="0"/>
    <n v="18637"/>
    <n v="24"/>
    <n v="14147"/>
    <n v="20"/>
    <n v="18302"/>
    <n v="0"/>
    <n v="18744"/>
    <n v="24"/>
    <n v="18795"/>
    <n v="24"/>
    <n v="17763"/>
    <n v="24"/>
    <n v="16343"/>
    <n v="24"/>
  </r>
  <r>
    <x v="201"/>
    <n v="13188"/>
    <n v="24"/>
    <n v="18821"/>
    <n v="24"/>
    <n v="18237"/>
    <n v="0"/>
    <n v="18661"/>
    <n v="24"/>
    <n v="14169"/>
    <n v="22"/>
    <n v="18303"/>
    <n v="1"/>
    <n v="18768"/>
    <n v="24"/>
    <n v="18819"/>
    <n v="24"/>
    <n v="17787"/>
    <n v="24"/>
    <n v="16367"/>
    <n v="24"/>
  </r>
  <r>
    <x v="202"/>
    <n v="13212"/>
    <n v="24"/>
    <n v="18845"/>
    <n v="24"/>
    <n v="18237"/>
    <n v="0"/>
    <n v="18685"/>
    <n v="24"/>
    <n v="14193"/>
    <n v="24"/>
    <n v="18309"/>
    <n v="6"/>
    <n v="18792"/>
    <n v="24"/>
    <n v="18841"/>
    <n v="22"/>
    <n v="17810"/>
    <n v="23"/>
    <n v="16367"/>
    <n v="0"/>
  </r>
  <r>
    <x v="203"/>
    <n v="13236"/>
    <n v="24"/>
    <n v="18869"/>
    <n v="24"/>
    <n v="18237"/>
    <n v="0"/>
    <n v="18709"/>
    <n v="24"/>
    <n v="14217"/>
    <n v="24"/>
    <n v="18333"/>
    <n v="24"/>
    <n v="18816"/>
    <n v="24"/>
    <n v="18863"/>
    <n v="22"/>
    <n v="17834"/>
    <n v="24"/>
    <n v="16367"/>
    <n v="0"/>
  </r>
  <r>
    <x v="204"/>
    <n v="13260"/>
    <n v="24"/>
    <n v="18893"/>
    <n v="24"/>
    <n v="18237"/>
    <n v="0"/>
    <n v="18732"/>
    <n v="23"/>
    <n v="14241"/>
    <n v="24"/>
    <n v="18357"/>
    <n v="24"/>
    <n v="18840"/>
    <n v="24"/>
    <n v="18887"/>
    <n v="24"/>
    <n v="17858"/>
    <n v="24"/>
    <n v="16367"/>
    <n v="0"/>
  </r>
  <r>
    <x v="205"/>
    <n v="13284"/>
    <n v="24"/>
    <n v="18917"/>
    <n v="24"/>
    <n v="18237"/>
    <n v="0"/>
    <n v="18756"/>
    <n v="24"/>
    <n v="14265"/>
    <n v="24"/>
    <n v="18380"/>
    <n v="23"/>
    <n v="18864"/>
    <n v="24"/>
    <n v="18911"/>
    <n v="24"/>
    <n v="17882"/>
    <n v="24"/>
    <n v="16367"/>
    <n v="0"/>
  </r>
  <r>
    <x v="206"/>
    <n v="13308"/>
    <n v="24"/>
    <n v="18941"/>
    <n v="24"/>
    <n v="18237"/>
    <n v="0"/>
    <n v="18780"/>
    <n v="24"/>
    <n v="14289"/>
    <n v="24"/>
    <n v="18404"/>
    <n v="24"/>
    <n v="18888"/>
    <n v="24"/>
    <n v="18935"/>
    <n v="24"/>
    <n v="17906"/>
    <n v="24"/>
    <n v="16367"/>
    <n v="0"/>
  </r>
  <r>
    <x v="207"/>
    <n v="13310"/>
    <n v="2"/>
    <n v="18965"/>
    <n v="24"/>
    <n v="18237"/>
    <n v="0"/>
    <n v="18803"/>
    <n v="23"/>
    <n v="14312"/>
    <n v="23"/>
    <n v="18428"/>
    <n v="24"/>
    <n v="18912"/>
    <n v="24"/>
    <n v="18959"/>
    <n v="24"/>
    <n v="17925"/>
    <n v="19"/>
    <n v="16367"/>
    <n v="0"/>
  </r>
  <r>
    <x v="208"/>
    <n v="13334"/>
    <n v="24"/>
    <n v="18989"/>
    <n v="24"/>
    <n v="18237"/>
    <n v="0"/>
    <n v="18825"/>
    <n v="22"/>
    <n v="14336"/>
    <n v="24"/>
    <n v="18452"/>
    <n v="24"/>
    <n v="18936"/>
    <n v="24"/>
    <n v="18983"/>
    <n v="24"/>
    <n v="17948"/>
    <n v="23"/>
    <n v="16367"/>
    <n v="0"/>
  </r>
  <r>
    <x v="209"/>
    <n v="13358"/>
    <n v="24"/>
    <n v="19013"/>
    <n v="24"/>
    <n v="18237"/>
    <n v="0"/>
    <n v="18849"/>
    <n v="24"/>
    <n v="14360"/>
    <n v="24"/>
    <n v="18476"/>
    <n v="24"/>
    <n v="18960"/>
    <n v="24"/>
    <n v="19007"/>
    <n v="24"/>
    <n v="17972"/>
    <n v="24"/>
    <n v="16367"/>
    <n v="0"/>
  </r>
  <r>
    <x v="210"/>
    <n v="13382"/>
    <n v="24"/>
    <n v="19037"/>
    <n v="24"/>
    <n v="18237"/>
    <n v="0"/>
    <n v="18873"/>
    <n v="24"/>
    <n v="14384"/>
    <n v="24"/>
    <n v="18500"/>
    <n v="24"/>
    <n v="18984"/>
    <n v="24"/>
    <n v="19031"/>
    <n v="24"/>
    <n v="17996"/>
    <n v="24"/>
    <n v="16367"/>
    <n v="0"/>
  </r>
  <r>
    <x v="211"/>
    <n v="13406"/>
    <n v="24"/>
    <n v="19061"/>
    <n v="24"/>
    <n v="18237"/>
    <n v="0"/>
    <n v="18897"/>
    <n v="24"/>
    <n v="14408"/>
    <n v="24"/>
    <n v="18524"/>
    <n v="24"/>
    <n v="19008"/>
    <n v="24"/>
    <n v="19055"/>
    <n v="24"/>
    <n v="18020"/>
    <n v="24"/>
    <n v="16367"/>
    <n v="0"/>
  </r>
  <r>
    <x v="212"/>
    <n v="13430"/>
    <n v="24"/>
    <n v="19085"/>
    <n v="24"/>
    <n v="18237"/>
    <n v="0"/>
    <n v="18921"/>
    <n v="24"/>
    <n v="14432"/>
    <n v="24"/>
    <n v="18542"/>
    <n v="18"/>
    <n v="19032"/>
    <n v="24"/>
    <n v="19079"/>
    <n v="24"/>
    <n v="18044"/>
    <n v="24"/>
    <n v="16367"/>
    <n v="0"/>
  </r>
  <r>
    <x v="213"/>
    <n v="13454"/>
    <n v="24"/>
    <n v="19109"/>
    <n v="24"/>
    <n v="18237"/>
    <n v="0"/>
    <n v="18945"/>
    <n v="24"/>
    <n v="14456"/>
    <n v="24"/>
    <n v="18566"/>
    <n v="24"/>
    <n v="19056"/>
    <n v="24"/>
    <n v="19103"/>
    <n v="24"/>
    <n v="18068"/>
    <n v="24"/>
    <n v="16367"/>
    <n v="0"/>
  </r>
  <r>
    <x v="214"/>
    <n v="13478"/>
    <n v="24"/>
    <n v="19133"/>
    <n v="24"/>
    <n v="18237"/>
    <n v="0"/>
    <n v="18969"/>
    <n v="24"/>
    <n v="14480"/>
    <n v="24"/>
    <n v="18583"/>
    <n v="17"/>
    <n v="19080"/>
    <n v="24"/>
    <n v="19127"/>
    <n v="24"/>
    <n v="18092"/>
    <n v="24"/>
    <n v="16367"/>
    <n v="0"/>
  </r>
  <r>
    <x v="215"/>
    <n v="13502"/>
    <n v="24"/>
    <n v="19157"/>
    <n v="24"/>
    <n v="18237"/>
    <n v="0"/>
    <n v="18993"/>
    <n v="24"/>
    <n v="14504"/>
    <n v="24"/>
    <n v="18596"/>
    <n v="13"/>
    <n v="19104"/>
    <n v="24"/>
    <n v="19151"/>
    <n v="24"/>
    <n v="18116"/>
    <n v="24"/>
    <n v="16367"/>
    <n v="0"/>
  </r>
  <r>
    <x v="216"/>
    <n v="13524"/>
    <n v="22"/>
    <n v="19181"/>
    <n v="24"/>
    <n v="18243"/>
    <n v="6"/>
    <n v="19017"/>
    <n v="24"/>
    <n v="14528"/>
    <n v="24"/>
    <n v="18620"/>
    <n v="24"/>
    <n v="19128"/>
    <n v="24"/>
    <n v="19175"/>
    <n v="24"/>
    <n v="18139"/>
    <n v="23"/>
    <n v="16367"/>
    <n v="0"/>
  </r>
  <r>
    <x v="217"/>
    <n v="13548"/>
    <n v="24"/>
    <n v="19205"/>
    <n v="24"/>
    <n v="18250"/>
    <n v="7"/>
    <n v="19041"/>
    <n v="24"/>
    <n v="14552"/>
    <n v="24"/>
    <n v="18644"/>
    <n v="24"/>
    <n v="19152"/>
    <n v="24"/>
    <n v="19199"/>
    <n v="24"/>
    <n v="18163"/>
    <n v="24"/>
    <n v="16367"/>
    <n v="0"/>
  </r>
  <r>
    <x v="218"/>
    <n v="13572"/>
    <n v="24"/>
    <n v="19229"/>
    <n v="24"/>
    <n v="18274"/>
    <n v="24"/>
    <n v="19065"/>
    <n v="24"/>
    <n v="14576"/>
    <n v="24"/>
    <n v="18668"/>
    <n v="24"/>
    <n v="19176"/>
    <n v="24"/>
    <n v="19223"/>
    <n v="24"/>
    <n v="18187"/>
    <n v="24"/>
    <n v="16367"/>
    <n v="0"/>
  </r>
  <r>
    <x v="219"/>
    <n v="13596"/>
    <n v="24"/>
    <n v="19253"/>
    <n v="24"/>
    <n v="18297"/>
    <n v="23"/>
    <n v="19089"/>
    <n v="24"/>
    <n v="14600"/>
    <n v="24"/>
    <n v="18692"/>
    <n v="24"/>
    <n v="19198"/>
    <n v="22"/>
    <n v="19247"/>
    <n v="24"/>
    <n v="18210"/>
    <n v="23"/>
    <n v="16367"/>
    <n v="0"/>
  </r>
  <r>
    <x v="220"/>
    <n v="13620"/>
    <n v="24"/>
    <n v="19277"/>
    <n v="24"/>
    <n v="18321"/>
    <n v="24"/>
    <n v="19113"/>
    <n v="24"/>
    <n v="14624"/>
    <n v="24"/>
    <n v="18716"/>
    <n v="24"/>
    <n v="19222"/>
    <n v="24"/>
    <n v="19271"/>
    <n v="24"/>
    <n v="18234"/>
    <n v="24"/>
    <n v="16367"/>
    <n v="0"/>
  </r>
  <r>
    <x v="221"/>
    <n v="13644"/>
    <n v="24"/>
    <n v="19301"/>
    <n v="24"/>
    <n v="18345"/>
    <n v="24"/>
    <n v="19137"/>
    <n v="24"/>
    <n v="14648"/>
    <n v="24"/>
    <n v="18740"/>
    <n v="24"/>
    <n v="19246"/>
    <n v="24"/>
    <n v="19295"/>
    <n v="24"/>
    <n v="18258"/>
    <n v="24"/>
    <n v="16367"/>
    <n v="0"/>
  </r>
  <r>
    <x v="222"/>
    <n v="13663"/>
    <n v="19"/>
    <n v="19325"/>
    <n v="24"/>
    <n v="18362"/>
    <n v="17"/>
    <n v="19161"/>
    <n v="24"/>
    <n v="14672"/>
    <n v="24"/>
    <n v="18764"/>
    <n v="24"/>
    <n v="19265"/>
    <n v="19"/>
    <n v="19314"/>
    <n v="19"/>
    <n v="18282"/>
    <n v="24"/>
    <n v="16367"/>
    <n v="0"/>
  </r>
  <r>
    <x v="223"/>
    <n v="13687"/>
    <n v="24"/>
    <n v="19349"/>
    <n v="24"/>
    <n v="18386"/>
    <n v="24"/>
    <n v="19185"/>
    <n v="24"/>
    <n v="14695"/>
    <n v="23"/>
    <n v="18788"/>
    <n v="24"/>
    <n v="19265"/>
    <n v="0"/>
    <n v="19338"/>
    <n v="24"/>
    <n v="18306"/>
    <n v="24"/>
    <n v="16367"/>
    <n v="0"/>
  </r>
  <r>
    <x v="224"/>
    <n v="13711"/>
    <n v="24"/>
    <n v="19367"/>
    <n v="18"/>
    <n v="18397"/>
    <n v="11"/>
    <n v="19201"/>
    <n v="16"/>
    <n v="14716"/>
    <n v="21"/>
    <n v="18807"/>
    <n v="19"/>
    <n v="19288"/>
    <n v="23"/>
    <n v="19355"/>
    <n v="17"/>
    <n v="18330"/>
    <n v="24"/>
    <n v="16367"/>
    <n v="0"/>
  </r>
  <r>
    <x v="225"/>
    <n v="13735"/>
    <n v="24"/>
    <n v="19391"/>
    <n v="24"/>
    <n v="18421"/>
    <n v="24"/>
    <n v="19201"/>
    <n v="0"/>
    <n v="14740"/>
    <n v="24"/>
    <n v="18828"/>
    <n v="21"/>
    <n v="19309"/>
    <n v="21"/>
    <n v="19363"/>
    <n v="8"/>
    <n v="18354"/>
    <n v="24"/>
    <n v="16367"/>
    <n v="0"/>
  </r>
  <r>
    <x v="226"/>
    <n v="13759"/>
    <n v="24"/>
    <n v="19415"/>
    <n v="24"/>
    <n v="18445"/>
    <n v="24"/>
    <n v="19224"/>
    <n v="23"/>
    <n v="14764"/>
    <n v="24"/>
    <n v="18852"/>
    <n v="24"/>
    <n v="19333"/>
    <n v="24"/>
    <n v="19387"/>
    <n v="24"/>
    <n v="18378"/>
    <n v="24"/>
    <n v="16367"/>
    <n v="0"/>
  </r>
  <r>
    <x v="227"/>
    <n v="13783"/>
    <n v="24"/>
    <n v="19439"/>
    <n v="24"/>
    <n v="18468"/>
    <n v="23"/>
    <n v="19248"/>
    <n v="24"/>
    <n v="14788"/>
    <n v="24"/>
    <n v="18876"/>
    <n v="24"/>
    <n v="19357"/>
    <n v="24"/>
    <n v="19409"/>
    <n v="22"/>
    <n v="18402"/>
    <n v="24"/>
    <n v="16367"/>
    <n v="0"/>
  </r>
  <r>
    <x v="228"/>
    <n v="13807"/>
    <n v="24"/>
    <n v="19463"/>
    <n v="24"/>
    <n v="18492"/>
    <n v="24"/>
    <n v="19272"/>
    <n v="24"/>
    <n v="14812"/>
    <n v="24"/>
    <n v="18876"/>
    <n v="0"/>
    <n v="19381"/>
    <n v="24"/>
    <n v="19433"/>
    <n v="24"/>
    <n v="18426"/>
    <n v="24"/>
    <n v="16367"/>
    <n v="0"/>
  </r>
  <r>
    <x v="229"/>
    <n v="13831"/>
    <n v="24"/>
    <n v="19487"/>
    <n v="24"/>
    <n v="18516"/>
    <n v="24"/>
    <n v="19295"/>
    <n v="23"/>
    <n v="14836"/>
    <n v="24"/>
    <n v="18900"/>
    <n v="24"/>
    <n v="19405"/>
    <n v="24"/>
    <n v="19455"/>
    <n v="22"/>
    <n v="18426"/>
    <n v="0"/>
    <n v="16367"/>
    <n v="0"/>
  </r>
  <r>
    <x v="230"/>
    <n v="13831"/>
    <n v="0"/>
    <n v="19511"/>
    <n v="24"/>
    <n v="18540"/>
    <n v="24"/>
    <n v="19319"/>
    <n v="24"/>
    <n v="14860"/>
    <n v="24"/>
    <n v="18924"/>
    <n v="24"/>
    <n v="19429"/>
    <n v="24"/>
    <n v="19477"/>
    <n v="22"/>
    <n v="18450"/>
    <n v="24"/>
    <n v="16367"/>
    <n v="0"/>
  </r>
  <r>
    <x v="231"/>
    <n v="13831"/>
    <n v="0"/>
    <n v="19535"/>
    <n v="24"/>
    <n v="18564"/>
    <n v="24"/>
    <n v="19343"/>
    <n v="24"/>
    <n v="14884"/>
    <n v="24"/>
    <n v="18948"/>
    <n v="24"/>
    <n v="19452"/>
    <n v="23"/>
    <n v="19501"/>
    <n v="24"/>
    <n v="18474"/>
    <n v="24"/>
    <n v="16369"/>
    <n v="2"/>
  </r>
  <r>
    <x v="232"/>
    <n v="13831"/>
    <n v="0"/>
    <n v="19557"/>
    <n v="22"/>
    <n v="18588"/>
    <n v="24"/>
    <n v="19367"/>
    <n v="24"/>
    <n v="14908"/>
    <n v="24"/>
    <n v="18972"/>
    <n v="24"/>
    <n v="19476"/>
    <n v="24"/>
    <n v="19525"/>
    <n v="24"/>
    <n v="18498"/>
    <n v="24"/>
    <n v="16381"/>
    <n v="12"/>
  </r>
  <r>
    <x v="233"/>
    <n v="13831"/>
    <n v="0"/>
    <n v="19581"/>
    <n v="24"/>
    <n v="18612"/>
    <n v="24"/>
    <n v="19391"/>
    <n v="24"/>
    <n v="14932"/>
    <n v="24"/>
    <n v="18972"/>
    <n v="0"/>
    <n v="19500"/>
    <n v="24"/>
    <n v="19549"/>
    <n v="24"/>
    <n v="18522"/>
    <n v="24"/>
    <n v="16404"/>
    <n v="23"/>
  </r>
  <r>
    <x v="234"/>
    <n v="13831"/>
    <n v="0"/>
    <n v="19605"/>
    <n v="24"/>
    <n v="18636"/>
    <n v="24"/>
    <n v="19415"/>
    <n v="24"/>
    <n v="14956"/>
    <n v="24"/>
    <n v="18972"/>
    <n v="0"/>
    <n v="19524"/>
    <n v="24"/>
    <n v="19573"/>
    <n v="24"/>
    <n v="18546"/>
    <n v="24"/>
    <n v="16428"/>
    <n v="24"/>
  </r>
  <r>
    <x v="235"/>
    <m/>
    <n v="0"/>
    <m/>
    <n v="0"/>
    <m/>
    <n v="0"/>
    <m/>
    <n v="0"/>
    <m/>
    <n v="0"/>
    <m/>
    <n v="0"/>
    <m/>
    <n v="0"/>
    <m/>
    <n v="0"/>
    <m/>
    <n v="0"/>
    <m/>
    <n v="0"/>
  </r>
  <r>
    <x v="236"/>
    <m/>
    <n v="0"/>
    <m/>
    <n v="0"/>
    <m/>
    <n v="0"/>
    <m/>
    <n v="0"/>
    <m/>
    <n v="0"/>
    <m/>
    <n v="0"/>
    <m/>
    <n v="0"/>
    <m/>
    <n v="0"/>
    <m/>
    <n v="0"/>
    <m/>
    <n v="0"/>
  </r>
  <r>
    <x v="237"/>
    <m/>
    <n v="0"/>
    <m/>
    <n v="0"/>
    <m/>
    <n v="0"/>
    <m/>
    <n v="0"/>
    <m/>
    <n v="0"/>
    <m/>
    <n v="0"/>
    <m/>
    <n v="0"/>
    <m/>
    <n v="0"/>
    <m/>
    <n v="0"/>
    <m/>
    <n v="0"/>
  </r>
  <r>
    <x v="238"/>
    <m/>
    <n v="0"/>
    <m/>
    <n v="0"/>
    <m/>
    <n v="0"/>
    <m/>
    <n v="0"/>
    <m/>
    <n v="0"/>
    <m/>
    <n v="0"/>
    <m/>
    <n v="0"/>
    <m/>
    <n v="0"/>
    <m/>
    <n v="0"/>
    <m/>
    <n v="0"/>
  </r>
  <r>
    <x v="239"/>
    <m/>
    <n v="0"/>
    <m/>
    <n v="0"/>
    <m/>
    <n v="0"/>
    <m/>
    <n v="0"/>
    <m/>
    <n v="0"/>
    <m/>
    <n v="0"/>
    <m/>
    <n v="0"/>
    <m/>
    <n v="0"/>
    <m/>
    <n v="0"/>
    <m/>
    <n v="0"/>
  </r>
  <r>
    <x v="240"/>
    <m/>
    <n v="0"/>
    <m/>
    <n v="0"/>
    <m/>
    <n v="0"/>
    <m/>
    <n v="0"/>
    <m/>
    <n v="0"/>
    <m/>
    <n v="0"/>
    <m/>
    <n v="0"/>
    <m/>
    <n v="0"/>
    <m/>
    <n v="0"/>
    <m/>
    <n v="0"/>
  </r>
  <r>
    <x v="241"/>
    <m/>
    <n v="0"/>
    <m/>
    <n v="0"/>
    <m/>
    <n v="0"/>
    <m/>
    <n v="0"/>
    <m/>
    <n v="0"/>
    <m/>
    <n v="0"/>
    <m/>
    <n v="0"/>
    <m/>
    <n v="0"/>
    <m/>
    <n v="0"/>
    <m/>
    <n v="0"/>
  </r>
  <r>
    <x v="242"/>
    <m/>
    <n v="0"/>
    <m/>
    <n v="0"/>
    <m/>
    <n v="0"/>
    <m/>
    <n v="0"/>
    <m/>
    <n v="0"/>
    <m/>
    <n v="0"/>
    <m/>
    <n v="0"/>
    <m/>
    <n v="0"/>
    <m/>
    <n v="0"/>
    <m/>
    <n v="0"/>
  </r>
  <r>
    <x v="243"/>
    <m/>
    <n v="0"/>
    <m/>
    <n v="0"/>
    <m/>
    <n v="0"/>
    <m/>
    <n v="0"/>
    <m/>
    <n v="0"/>
    <m/>
    <n v="0"/>
    <m/>
    <n v="0"/>
    <m/>
    <n v="0"/>
    <m/>
    <n v="0"/>
    <m/>
    <n v="0"/>
  </r>
  <r>
    <x v="244"/>
    <m/>
    <n v="0"/>
    <m/>
    <n v="0"/>
    <m/>
    <n v="0"/>
    <m/>
    <n v="0"/>
    <m/>
    <n v="0"/>
    <m/>
    <n v="0"/>
    <m/>
    <n v="0"/>
    <m/>
    <n v="0"/>
    <m/>
    <n v="0"/>
    <m/>
    <n v="0"/>
  </r>
  <r>
    <x v="245"/>
    <m/>
    <n v="0"/>
    <m/>
    <n v="0"/>
    <m/>
    <n v="0"/>
    <m/>
    <n v="0"/>
    <m/>
    <n v="0"/>
    <m/>
    <n v="0"/>
    <m/>
    <n v="0"/>
    <m/>
    <n v="0"/>
    <m/>
    <n v="0"/>
    <m/>
    <n v="0"/>
  </r>
  <r>
    <x v="246"/>
    <m/>
    <n v="0"/>
    <m/>
    <n v="0"/>
    <m/>
    <n v="0"/>
    <m/>
    <n v="0"/>
    <m/>
    <n v="0"/>
    <m/>
    <n v="0"/>
    <m/>
    <n v="0"/>
    <m/>
    <n v="0"/>
    <m/>
    <n v="0"/>
    <m/>
    <n v="0"/>
  </r>
  <r>
    <x v="247"/>
    <m/>
    <n v="0"/>
    <m/>
    <n v="0"/>
    <m/>
    <n v="0"/>
    <m/>
    <n v="0"/>
    <m/>
    <n v="0"/>
    <m/>
    <n v="0"/>
    <m/>
    <n v="0"/>
    <m/>
    <n v="0"/>
    <m/>
    <n v="0"/>
    <m/>
    <n v="0"/>
  </r>
  <r>
    <x v="248"/>
    <m/>
    <n v="0"/>
    <m/>
    <n v="0"/>
    <m/>
    <n v="0"/>
    <m/>
    <n v="0"/>
    <m/>
    <n v="0"/>
    <m/>
    <n v="0"/>
    <m/>
    <n v="0"/>
    <m/>
    <n v="0"/>
    <m/>
    <n v="0"/>
    <m/>
    <n v="0"/>
  </r>
  <r>
    <x v="249"/>
    <m/>
    <n v="0"/>
    <m/>
    <n v="0"/>
    <m/>
    <n v="0"/>
    <m/>
    <n v="0"/>
    <m/>
    <n v="0"/>
    <m/>
    <n v="0"/>
    <m/>
    <n v="0"/>
    <m/>
    <n v="0"/>
    <m/>
    <n v="0"/>
    <m/>
    <n v="0"/>
  </r>
  <r>
    <x v="250"/>
    <m/>
    <n v="0"/>
    <m/>
    <n v="0"/>
    <m/>
    <n v="0"/>
    <m/>
    <n v="0"/>
    <m/>
    <n v="0"/>
    <m/>
    <n v="0"/>
    <m/>
    <n v="0"/>
    <m/>
    <n v="0"/>
    <m/>
    <n v="0"/>
    <m/>
    <n v="0"/>
  </r>
  <r>
    <x v="251"/>
    <m/>
    <n v="0"/>
    <m/>
    <n v="0"/>
    <m/>
    <n v="0"/>
    <m/>
    <n v="0"/>
    <m/>
    <n v="0"/>
    <m/>
    <n v="0"/>
    <m/>
    <n v="0"/>
    <m/>
    <n v="0"/>
    <m/>
    <n v="0"/>
    <m/>
    <n v="0"/>
  </r>
  <r>
    <x v="252"/>
    <m/>
    <n v="0"/>
    <m/>
    <n v="0"/>
    <m/>
    <n v="0"/>
    <m/>
    <n v="0"/>
    <m/>
    <n v="0"/>
    <m/>
    <n v="0"/>
    <m/>
    <n v="0"/>
    <m/>
    <n v="0"/>
    <m/>
    <n v="0"/>
    <m/>
    <n v="0"/>
  </r>
  <r>
    <x v="253"/>
    <m/>
    <n v="0"/>
    <m/>
    <n v="0"/>
    <m/>
    <n v="0"/>
    <m/>
    <n v="0"/>
    <m/>
    <n v="0"/>
    <m/>
    <n v="0"/>
    <m/>
    <n v="0"/>
    <m/>
    <n v="0"/>
    <m/>
    <n v="0"/>
    <m/>
    <n v="0"/>
  </r>
  <r>
    <x v="254"/>
    <m/>
    <n v="0"/>
    <m/>
    <n v="0"/>
    <m/>
    <n v="0"/>
    <m/>
    <n v="0"/>
    <m/>
    <n v="0"/>
    <m/>
    <n v="0"/>
    <m/>
    <n v="0"/>
    <m/>
    <n v="0"/>
    <m/>
    <n v="0"/>
    <m/>
    <n v="0"/>
  </r>
  <r>
    <x v="255"/>
    <m/>
    <n v="0"/>
    <m/>
    <n v="0"/>
    <m/>
    <n v="0"/>
    <m/>
    <n v="0"/>
    <m/>
    <n v="0"/>
    <m/>
    <n v="0"/>
    <m/>
    <n v="0"/>
    <m/>
    <n v="0"/>
    <m/>
    <n v="0"/>
    <m/>
    <n v="0"/>
  </r>
  <r>
    <x v="256"/>
    <m/>
    <n v="0"/>
    <m/>
    <n v="0"/>
    <m/>
    <n v="0"/>
    <m/>
    <n v="0"/>
    <m/>
    <n v="0"/>
    <m/>
    <n v="0"/>
    <m/>
    <n v="0"/>
    <m/>
    <n v="0"/>
    <m/>
    <n v="0"/>
    <m/>
    <n v="0"/>
  </r>
  <r>
    <x v="257"/>
    <m/>
    <n v="0"/>
    <m/>
    <n v="0"/>
    <m/>
    <n v="0"/>
    <m/>
    <n v="0"/>
    <m/>
    <n v="0"/>
    <m/>
    <n v="0"/>
    <m/>
    <n v="0"/>
    <m/>
    <n v="0"/>
    <m/>
    <n v="0"/>
    <m/>
    <n v="0"/>
  </r>
  <r>
    <x v="258"/>
    <m/>
    <n v="0"/>
    <m/>
    <n v="0"/>
    <m/>
    <n v="0"/>
    <m/>
    <n v="0"/>
    <m/>
    <n v="0"/>
    <m/>
    <n v="0"/>
    <m/>
    <n v="0"/>
    <m/>
    <n v="0"/>
    <m/>
    <n v="0"/>
    <m/>
    <n v="0"/>
  </r>
  <r>
    <x v="259"/>
    <m/>
    <n v="0"/>
    <m/>
    <n v="0"/>
    <m/>
    <n v="0"/>
    <m/>
    <n v="0"/>
    <m/>
    <n v="0"/>
    <m/>
    <n v="0"/>
    <m/>
    <n v="0"/>
    <m/>
    <n v="0"/>
    <m/>
    <n v="0"/>
    <m/>
    <n v="0"/>
  </r>
  <r>
    <x v="260"/>
    <m/>
    <n v="0"/>
    <m/>
    <n v="0"/>
    <m/>
    <n v="0"/>
    <m/>
    <n v="0"/>
    <m/>
    <n v="0"/>
    <m/>
    <n v="0"/>
    <m/>
    <n v="0"/>
    <m/>
    <n v="0"/>
    <m/>
    <n v="0"/>
    <m/>
    <n v="0"/>
  </r>
  <r>
    <x v="261"/>
    <m/>
    <n v="0"/>
    <m/>
    <n v="0"/>
    <m/>
    <n v="0"/>
    <m/>
    <n v="0"/>
    <m/>
    <n v="0"/>
    <m/>
    <n v="0"/>
    <m/>
    <n v="0"/>
    <m/>
    <n v="0"/>
    <m/>
    <n v="0"/>
    <m/>
    <n v="0"/>
  </r>
  <r>
    <x v="262"/>
    <m/>
    <n v="0"/>
    <m/>
    <n v="0"/>
    <m/>
    <n v="0"/>
    <m/>
    <n v="0"/>
    <m/>
    <n v="0"/>
    <m/>
    <n v="0"/>
    <m/>
    <n v="0"/>
    <m/>
    <n v="0"/>
    <m/>
    <n v="0"/>
    <m/>
    <n v="0"/>
  </r>
  <r>
    <x v="263"/>
    <m/>
    <n v="0"/>
    <m/>
    <n v="0"/>
    <m/>
    <n v="0"/>
    <m/>
    <n v="0"/>
    <m/>
    <n v="0"/>
    <m/>
    <n v="0"/>
    <m/>
    <n v="0"/>
    <m/>
    <n v="0"/>
    <m/>
    <n v="0"/>
    <m/>
    <n v="0"/>
  </r>
  <r>
    <x v="264"/>
    <m/>
    <n v="0"/>
    <m/>
    <n v="0"/>
    <m/>
    <n v="0"/>
    <m/>
    <n v="0"/>
    <m/>
    <n v="0"/>
    <m/>
    <n v="0"/>
    <m/>
    <n v="0"/>
    <m/>
    <n v="0"/>
    <m/>
    <n v="0"/>
    <m/>
    <n v="0"/>
  </r>
  <r>
    <x v="265"/>
    <m/>
    <n v="0"/>
    <m/>
    <n v="0"/>
    <m/>
    <n v="0"/>
    <m/>
    <n v="0"/>
    <m/>
    <n v="0"/>
    <m/>
    <n v="0"/>
    <m/>
    <n v="0"/>
    <m/>
    <n v="0"/>
    <m/>
    <n v="0"/>
    <m/>
    <n v="0"/>
  </r>
  <r>
    <x v="266"/>
    <m/>
    <n v="0"/>
    <m/>
    <n v="0"/>
    <m/>
    <n v="0"/>
    <m/>
    <n v="0"/>
    <m/>
    <n v="0"/>
    <m/>
    <n v="0"/>
    <m/>
    <n v="0"/>
    <m/>
    <n v="0"/>
    <m/>
    <n v="0"/>
    <m/>
    <n v="0"/>
  </r>
  <r>
    <x v="267"/>
    <m/>
    <n v="0"/>
    <m/>
    <n v="0"/>
    <m/>
    <n v="0"/>
    <m/>
    <n v="0"/>
    <m/>
    <n v="0"/>
    <m/>
    <n v="0"/>
    <m/>
    <n v="0"/>
    <m/>
    <n v="0"/>
    <m/>
    <n v="0"/>
    <m/>
    <n v="0"/>
  </r>
  <r>
    <x v="268"/>
    <m/>
    <n v="0"/>
    <m/>
    <n v="0"/>
    <m/>
    <n v="0"/>
    <m/>
    <n v="0"/>
    <m/>
    <n v="0"/>
    <m/>
    <n v="0"/>
    <m/>
    <n v="0"/>
    <m/>
    <n v="0"/>
    <m/>
    <n v="0"/>
    <m/>
    <n v="0"/>
  </r>
  <r>
    <x v="269"/>
    <m/>
    <n v="0"/>
    <m/>
    <n v="0"/>
    <m/>
    <n v="0"/>
    <m/>
    <n v="0"/>
    <m/>
    <n v="0"/>
    <m/>
    <n v="0"/>
    <m/>
    <n v="0"/>
    <m/>
    <n v="0"/>
    <m/>
    <n v="0"/>
    <m/>
    <n v="0"/>
  </r>
  <r>
    <x v="270"/>
    <m/>
    <n v="0"/>
    <m/>
    <n v="0"/>
    <m/>
    <n v="0"/>
    <m/>
    <n v="0"/>
    <m/>
    <n v="0"/>
    <m/>
    <n v="0"/>
    <m/>
    <n v="0"/>
    <m/>
    <n v="0"/>
    <m/>
    <n v="0"/>
    <m/>
    <n v="0"/>
  </r>
  <r>
    <x v="271"/>
    <m/>
    <n v="0"/>
    <m/>
    <n v="0"/>
    <m/>
    <n v="0"/>
    <m/>
    <n v="0"/>
    <m/>
    <n v="0"/>
    <m/>
    <n v="0"/>
    <m/>
    <n v="0"/>
    <m/>
    <n v="0"/>
    <m/>
    <n v="0"/>
    <m/>
    <n v="0"/>
  </r>
  <r>
    <x v="272"/>
    <m/>
    <n v="0"/>
    <m/>
    <n v="0"/>
    <m/>
    <n v="0"/>
    <m/>
    <n v="0"/>
    <m/>
    <n v="0"/>
    <m/>
    <n v="0"/>
    <m/>
    <n v="0"/>
    <m/>
    <n v="0"/>
    <m/>
    <n v="0"/>
    <m/>
    <n v="0"/>
  </r>
  <r>
    <x v="273"/>
    <m/>
    <n v="0"/>
    <m/>
    <n v="0"/>
    <m/>
    <n v="0"/>
    <m/>
    <n v="0"/>
    <m/>
    <n v="0"/>
    <m/>
    <n v="0"/>
    <m/>
    <n v="0"/>
    <m/>
    <n v="0"/>
    <m/>
    <n v="0"/>
    <m/>
    <n v="0"/>
  </r>
  <r>
    <x v="274"/>
    <m/>
    <n v="0"/>
    <m/>
    <n v="0"/>
    <m/>
    <n v="0"/>
    <m/>
    <n v="0"/>
    <m/>
    <n v="0"/>
    <m/>
    <n v="0"/>
    <m/>
    <n v="0"/>
    <m/>
    <n v="0"/>
    <m/>
    <n v="0"/>
    <m/>
    <n v="0"/>
  </r>
  <r>
    <x v="275"/>
    <m/>
    <n v="0"/>
    <m/>
    <n v="0"/>
    <m/>
    <n v="0"/>
    <m/>
    <n v="0"/>
    <m/>
    <n v="0"/>
    <m/>
    <n v="0"/>
    <m/>
    <n v="0"/>
    <m/>
    <n v="0"/>
    <m/>
    <n v="0"/>
    <m/>
    <n v="0"/>
  </r>
  <r>
    <x v="276"/>
    <m/>
    <n v="0"/>
    <m/>
    <n v="0"/>
    <m/>
    <n v="0"/>
    <m/>
    <n v="0"/>
    <m/>
    <n v="0"/>
    <m/>
    <n v="0"/>
    <m/>
    <n v="0"/>
    <m/>
    <n v="0"/>
    <m/>
    <n v="0"/>
    <m/>
    <n v="0"/>
  </r>
  <r>
    <x v="277"/>
    <m/>
    <n v="0"/>
    <m/>
    <n v="0"/>
    <m/>
    <n v="0"/>
    <m/>
    <n v="0"/>
    <m/>
    <n v="0"/>
    <m/>
    <n v="0"/>
    <m/>
    <n v="0"/>
    <m/>
    <n v="0"/>
    <m/>
    <n v="0"/>
    <m/>
    <n v="0"/>
  </r>
  <r>
    <x v="278"/>
    <m/>
    <n v="0"/>
    <m/>
    <n v="0"/>
    <m/>
    <n v="0"/>
    <m/>
    <n v="0"/>
    <m/>
    <n v="0"/>
    <m/>
    <n v="0"/>
    <m/>
    <n v="0"/>
    <m/>
    <n v="0"/>
    <m/>
    <n v="0"/>
    <m/>
    <n v="0"/>
  </r>
  <r>
    <x v="279"/>
    <m/>
    <n v="0"/>
    <m/>
    <n v="0"/>
    <m/>
    <n v="0"/>
    <m/>
    <n v="0"/>
    <m/>
    <n v="0"/>
    <m/>
    <n v="0"/>
    <m/>
    <n v="0"/>
    <m/>
    <n v="0"/>
    <m/>
    <n v="0"/>
    <m/>
    <n v="0"/>
  </r>
  <r>
    <x v="280"/>
    <m/>
    <n v="0"/>
    <m/>
    <n v="0"/>
    <m/>
    <n v="0"/>
    <m/>
    <n v="0"/>
    <m/>
    <n v="0"/>
    <m/>
    <n v="0"/>
    <m/>
    <n v="0"/>
    <m/>
    <n v="0"/>
    <m/>
    <n v="0"/>
    <m/>
    <n v="0"/>
  </r>
  <r>
    <x v="281"/>
    <m/>
    <n v="0"/>
    <m/>
    <n v="0"/>
    <m/>
    <n v="0"/>
    <m/>
    <n v="0"/>
    <m/>
    <n v="0"/>
    <m/>
    <n v="0"/>
    <m/>
    <n v="0"/>
    <m/>
    <n v="0"/>
    <m/>
    <n v="0"/>
    <m/>
    <n v="0"/>
  </r>
  <r>
    <x v="282"/>
    <m/>
    <n v="0"/>
    <m/>
    <n v="0"/>
    <m/>
    <n v="0"/>
    <m/>
    <n v="0"/>
    <m/>
    <n v="0"/>
    <m/>
    <n v="0"/>
    <m/>
    <n v="0"/>
    <m/>
    <n v="0"/>
    <m/>
    <n v="0"/>
    <m/>
    <n v="0"/>
  </r>
  <r>
    <x v="283"/>
    <m/>
    <n v="0"/>
    <m/>
    <n v="0"/>
    <m/>
    <n v="0"/>
    <m/>
    <n v="0"/>
    <m/>
    <n v="0"/>
    <m/>
    <n v="0"/>
    <m/>
    <n v="0"/>
    <m/>
    <n v="0"/>
    <m/>
    <n v="0"/>
    <m/>
    <n v="0"/>
  </r>
  <r>
    <x v="284"/>
    <m/>
    <n v="0"/>
    <m/>
    <n v="0"/>
    <m/>
    <n v="0"/>
    <m/>
    <n v="0"/>
    <m/>
    <n v="0"/>
    <m/>
    <n v="0"/>
    <m/>
    <n v="0"/>
    <m/>
    <n v="0"/>
    <m/>
    <n v="0"/>
    <m/>
    <n v="0"/>
  </r>
  <r>
    <x v="285"/>
    <m/>
    <n v="0"/>
    <m/>
    <n v="0"/>
    <m/>
    <n v="0"/>
    <m/>
    <n v="0"/>
    <m/>
    <n v="0"/>
    <m/>
    <n v="0"/>
    <m/>
    <n v="0"/>
    <m/>
    <n v="0"/>
    <m/>
    <n v="0"/>
    <m/>
    <n v="0"/>
  </r>
  <r>
    <x v="286"/>
    <m/>
    <n v="0"/>
    <m/>
    <n v="0"/>
    <m/>
    <n v="0"/>
    <m/>
    <n v="0"/>
    <m/>
    <n v="0"/>
    <m/>
    <n v="0"/>
    <m/>
    <n v="0"/>
    <m/>
    <n v="0"/>
    <m/>
    <n v="0"/>
    <m/>
    <n v="0"/>
  </r>
  <r>
    <x v="287"/>
    <m/>
    <n v="0"/>
    <m/>
    <n v="0"/>
    <m/>
    <n v="0"/>
    <m/>
    <n v="0"/>
    <m/>
    <n v="0"/>
    <m/>
    <n v="0"/>
    <m/>
    <n v="0"/>
    <m/>
    <n v="0"/>
    <m/>
    <n v="0"/>
    <m/>
    <n v="0"/>
  </r>
  <r>
    <x v="288"/>
    <m/>
    <n v="0"/>
    <m/>
    <n v="0"/>
    <m/>
    <n v="0"/>
    <m/>
    <n v="0"/>
    <m/>
    <n v="0"/>
    <m/>
    <n v="0"/>
    <m/>
    <n v="0"/>
    <m/>
    <n v="0"/>
    <m/>
    <n v="0"/>
    <m/>
    <n v="0"/>
  </r>
  <r>
    <x v="289"/>
    <m/>
    <n v="0"/>
    <m/>
    <n v="0"/>
    <m/>
    <n v="0"/>
    <m/>
    <n v="0"/>
    <m/>
    <n v="0"/>
    <m/>
    <n v="0"/>
    <m/>
    <n v="0"/>
    <m/>
    <n v="0"/>
    <m/>
    <n v="0"/>
    <m/>
    <n v="0"/>
  </r>
  <r>
    <x v="290"/>
    <m/>
    <n v="0"/>
    <m/>
    <n v="0"/>
    <m/>
    <n v="0"/>
    <m/>
    <n v="0"/>
    <m/>
    <n v="0"/>
    <m/>
    <n v="0"/>
    <m/>
    <n v="0"/>
    <m/>
    <n v="0"/>
    <m/>
    <n v="0"/>
    <m/>
    <n v="0"/>
  </r>
  <r>
    <x v="291"/>
    <m/>
    <n v="0"/>
    <m/>
    <n v="0"/>
    <m/>
    <n v="0"/>
    <m/>
    <n v="0"/>
    <m/>
    <n v="0"/>
    <m/>
    <n v="0"/>
    <m/>
    <n v="0"/>
    <m/>
    <n v="0"/>
    <m/>
    <n v="0"/>
    <m/>
    <n v="0"/>
  </r>
  <r>
    <x v="292"/>
    <m/>
    <n v="0"/>
    <m/>
    <n v="0"/>
    <m/>
    <n v="0"/>
    <m/>
    <n v="0"/>
    <m/>
    <n v="0"/>
    <m/>
    <n v="0"/>
    <m/>
    <n v="0"/>
    <m/>
    <n v="0"/>
    <m/>
    <n v="0"/>
    <m/>
    <n v="0"/>
  </r>
  <r>
    <x v="293"/>
    <m/>
    <n v="0"/>
    <m/>
    <n v="0"/>
    <m/>
    <n v="0"/>
    <m/>
    <n v="0"/>
    <m/>
    <n v="0"/>
    <m/>
    <n v="0"/>
    <m/>
    <n v="0"/>
    <m/>
    <n v="0"/>
    <m/>
    <n v="0"/>
    <m/>
    <n v="0"/>
  </r>
  <r>
    <x v="294"/>
    <m/>
    <n v="0"/>
    <m/>
    <n v="0"/>
    <m/>
    <n v="0"/>
    <m/>
    <n v="0"/>
    <m/>
    <n v="0"/>
    <m/>
    <n v="0"/>
    <m/>
    <n v="0"/>
    <m/>
    <n v="0"/>
    <m/>
    <n v="0"/>
    <m/>
    <n v="0"/>
  </r>
  <r>
    <x v="295"/>
    <m/>
    <n v="0"/>
    <m/>
    <n v="0"/>
    <m/>
    <n v="0"/>
    <m/>
    <n v="0"/>
    <m/>
    <n v="0"/>
    <m/>
    <n v="0"/>
    <m/>
    <n v="0"/>
    <m/>
    <n v="0"/>
    <m/>
    <n v="0"/>
    <m/>
    <n v="0"/>
  </r>
  <r>
    <x v="296"/>
    <m/>
    <n v="0"/>
    <m/>
    <n v="0"/>
    <m/>
    <n v="0"/>
    <m/>
    <n v="0"/>
    <m/>
    <n v="0"/>
    <m/>
    <n v="0"/>
    <m/>
    <n v="0"/>
    <m/>
    <n v="0"/>
    <m/>
    <n v="0"/>
    <m/>
    <n v="0"/>
  </r>
  <r>
    <x v="297"/>
    <m/>
    <n v="0"/>
    <m/>
    <n v="0"/>
    <m/>
    <n v="0"/>
    <m/>
    <n v="0"/>
    <m/>
    <n v="0"/>
    <m/>
    <n v="0"/>
    <m/>
    <n v="0"/>
    <m/>
    <n v="0"/>
    <m/>
    <n v="0"/>
    <m/>
    <n v="0"/>
  </r>
  <r>
    <x v="298"/>
    <m/>
    <n v="0"/>
    <m/>
    <n v="0"/>
    <m/>
    <n v="0"/>
    <m/>
    <n v="0"/>
    <m/>
    <n v="0"/>
    <m/>
    <n v="0"/>
    <m/>
    <n v="0"/>
    <m/>
    <n v="0"/>
    <m/>
    <n v="0"/>
    <m/>
    <n v="0"/>
  </r>
  <r>
    <x v="299"/>
    <m/>
    <n v="0"/>
    <m/>
    <n v="0"/>
    <m/>
    <n v="0"/>
    <m/>
    <n v="0"/>
    <m/>
    <n v="0"/>
    <m/>
    <n v="0"/>
    <m/>
    <n v="0"/>
    <m/>
    <n v="0"/>
    <m/>
    <n v="0"/>
    <m/>
    <n v="0"/>
  </r>
  <r>
    <x v="300"/>
    <m/>
    <n v="0"/>
    <m/>
    <n v="0"/>
    <m/>
    <n v="0"/>
    <m/>
    <n v="0"/>
    <m/>
    <n v="0"/>
    <m/>
    <n v="0"/>
    <m/>
    <n v="0"/>
    <m/>
    <n v="0"/>
    <m/>
    <n v="0"/>
    <m/>
    <n v="0"/>
  </r>
  <r>
    <x v="301"/>
    <m/>
    <n v="0"/>
    <m/>
    <n v="0"/>
    <m/>
    <n v="0"/>
    <m/>
    <n v="0"/>
    <m/>
    <n v="0"/>
    <m/>
    <n v="0"/>
    <m/>
    <n v="0"/>
    <m/>
    <n v="0"/>
    <m/>
    <n v="0"/>
    <m/>
    <n v="0"/>
  </r>
  <r>
    <x v="302"/>
    <m/>
    <n v="0"/>
    <m/>
    <n v="0"/>
    <m/>
    <n v="0"/>
    <m/>
    <n v="0"/>
    <m/>
    <n v="0"/>
    <m/>
    <n v="0"/>
    <m/>
    <n v="0"/>
    <m/>
    <n v="0"/>
    <m/>
    <n v="0"/>
    <m/>
    <n v="0"/>
  </r>
  <r>
    <x v="303"/>
    <m/>
    <n v="0"/>
    <m/>
    <n v="0"/>
    <m/>
    <n v="0"/>
    <m/>
    <n v="0"/>
    <m/>
    <n v="0"/>
    <m/>
    <n v="0"/>
    <m/>
    <n v="0"/>
    <m/>
    <n v="0"/>
    <m/>
    <n v="0"/>
    <m/>
    <n v="0"/>
  </r>
  <r>
    <x v="304"/>
    <m/>
    <n v="0"/>
    <m/>
    <n v="0"/>
    <m/>
    <n v="0"/>
    <m/>
    <n v="0"/>
    <m/>
    <n v="0"/>
    <m/>
    <n v="0"/>
    <m/>
    <n v="0"/>
    <m/>
    <n v="0"/>
    <m/>
    <n v="0"/>
    <m/>
    <n v="0"/>
  </r>
  <r>
    <x v="305"/>
    <m/>
    <n v="0"/>
    <m/>
    <n v="0"/>
    <m/>
    <n v="0"/>
    <m/>
    <n v="0"/>
    <m/>
    <n v="0"/>
    <m/>
    <n v="0"/>
    <m/>
    <n v="0"/>
    <m/>
    <n v="0"/>
    <m/>
    <n v="0"/>
    <m/>
    <n v="0"/>
  </r>
  <r>
    <x v="306"/>
    <m/>
    <n v="0"/>
    <m/>
    <n v="0"/>
    <m/>
    <n v="0"/>
    <m/>
    <n v="0"/>
    <m/>
    <n v="0"/>
    <m/>
    <n v="0"/>
    <m/>
    <n v="0"/>
    <m/>
    <n v="0"/>
    <m/>
    <n v="0"/>
    <m/>
    <n v="0"/>
  </r>
  <r>
    <x v="307"/>
    <m/>
    <n v="0"/>
    <m/>
    <n v="0"/>
    <m/>
    <n v="0"/>
    <m/>
    <n v="0"/>
    <m/>
    <n v="0"/>
    <m/>
    <n v="0"/>
    <m/>
    <n v="0"/>
    <m/>
    <n v="0"/>
    <m/>
    <n v="0"/>
    <m/>
    <n v="0"/>
  </r>
  <r>
    <x v="308"/>
    <m/>
    <n v="0"/>
    <m/>
    <n v="0"/>
    <m/>
    <n v="0"/>
    <m/>
    <n v="0"/>
    <m/>
    <n v="0"/>
    <m/>
    <n v="0"/>
    <m/>
    <n v="0"/>
    <m/>
    <n v="0"/>
    <m/>
    <n v="0"/>
    <m/>
    <n v="0"/>
  </r>
  <r>
    <x v="309"/>
    <m/>
    <n v="0"/>
    <m/>
    <n v="0"/>
    <m/>
    <n v="0"/>
    <m/>
    <n v="0"/>
    <m/>
    <n v="0"/>
    <m/>
    <n v="0"/>
    <m/>
    <n v="0"/>
    <m/>
    <n v="0"/>
    <m/>
    <n v="0"/>
    <m/>
    <n v="0"/>
  </r>
  <r>
    <x v="310"/>
    <m/>
    <n v="0"/>
    <m/>
    <n v="0"/>
    <m/>
    <n v="0"/>
    <m/>
    <n v="0"/>
    <m/>
    <n v="0"/>
    <m/>
    <n v="0"/>
    <m/>
    <n v="0"/>
    <m/>
    <n v="0"/>
    <m/>
    <n v="0"/>
    <m/>
    <n v="0"/>
  </r>
  <r>
    <x v="311"/>
    <m/>
    <n v="0"/>
    <m/>
    <n v="0"/>
    <m/>
    <n v="0"/>
    <m/>
    <n v="0"/>
    <m/>
    <n v="0"/>
    <m/>
    <n v="0"/>
    <m/>
    <n v="0"/>
    <m/>
    <n v="0"/>
    <m/>
    <n v="0"/>
    <m/>
    <n v="0"/>
  </r>
  <r>
    <x v="312"/>
    <m/>
    <n v="0"/>
    <m/>
    <n v="0"/>
    <m/>
    <n v="0"/>
    <m/>
    <n v="0"/>
    <m/>
    <n v="0"/>
    <m/>
    <n v="0"/>
    <m/>
    <n v="0"/>
    <m/>
    <n v="0"/>
    <m/>
    <n v="0"/>
    <m/>
    <n v="0"/>
  </r>
  <r>
    <x v="313"/>
    <m/>
    <n v="0"/>
    <m/>
    <n v="0"/>
    <m/>
    <n v="0"/>
    <m/>
    <n v="0"/>
    <m/>
    <n v="0"/>
    <m/>
    <n v="0"/>
    <m/>
    <n v="0"/>
    <m/>
    <n v="0"/>
    <m/>
    <n v="0"/>
    <m/>
    <n v="0"/>
  </r>
  <r>
    <x v="314"/>
    <m/>
    <n v="0"/>
    <m/>
    <n v="0"/>
    <m/>
    <n v="0"/>
    <m/>
    <n v="0"/>
    <m/>
    <n v="0"/>
    <m/>
    <n v="0"/>
    <m/>
    <n v="0"/>
    <m/>
    <n v="0"/>
    <m/>
    <n v="0"/>
    <m/>
    <n v="0"/>
  </r>
  <r>
    <x v="315"/>
    <m/>
    <n v="0"/>
    <m/>
    <n v="0"/>
    <m/>
    <n v="0"/>
    <m/>
    <n v="0"/>
    <m/>
    <n v="0"/>
    <m/>
    <n v="0"/>
    <m/>
    <n v="0"/>
    <m/>
    <n v="0"/>
    <m/>
    <n v="0"/>
    <m/>
    <n v="0"/>
  </r>
  <r>
    <x v="316"/>
    <m/>
    <n v="0"/>
    <m/>
    <n v="0"/>
    <m/>
    <n v="0"/>
    <m/>
    <n v="0"/>
    <m/>
    <n v="0"/>
    <m/>
    <n v="0"/>
    <m/>
    <n v="0"/>
    <m/>
    <n v="0"/>
    <m/>
    <n v="0"/>
    <m/>
    <n v="0"/>
  </r>
  <r>
    <x v="317"/>
    <m/>
    <n v="0"/>
    <m/>
    <n v="0"/>
    <m/>
    <n v="0"/>
    <m/>
    <n v="0"/>
    <m/>
    <n v="0"/>
    <m/>
    <n v="0"/>
    <m/>
    <n v="0"/>
    <m/>
    <n v="0"/>
    <m/>
    <n v="0"/>
    <m/>
    <n v="0"/>
  </r>
  <r>
    <x v="318"/>
    <m/>
    <n v="0"/>
    <m/>
    <n v="0"/>
    <m/>
    <n v="0"/>
    <m/>
    <n v="0"/>
    <m/>
    <n v="0"/>
    <m/>
    <n v="0"/>
    <m/>
    <n v="0"/>
    <m/>
    <n v="0"/>
    <m/>
    <n v="0"/>
    <m/>
    <n v="0"/>
  </r>
  <r>
    <x v="319"/>
    <m/>
    <n v="0"/>
    <m/>
    <n v="0"/>
    <m/>
    <n v="0"/>
    <m/>
    <n v="0"/>
    <m/>
    <n v="0"/>
    <m/>
    <n v="0"/>
    <m/>
    <n v="0"/>
    <m/>
    <n v="0"/>
    <m/>
    <n v="0"/>
    <m/>
    <n v="0"/>
  </r>
  <r>
    <x v="320"/>
    <m/>
    <n v="0"/>
    <m/>
    <n v="0"/>
    <m/>
    <n v="0"/>
    <m/>
    <n v="0"/>
    <m/>
    <n v="0"/>
    <m/>
    <n v="0"/>
    <m/>
    <n v="0"/>
    <m/>
    <n v="0"/>
    <m/>
    <n v="0"/>
    <m/>
    <n v="0"/>
  </r>
  <r>
    <x v="321"/>
    <m/>
    <n v="0"/>
    <m/>
    <n v="0"/>
    <m/>
    <n v="0"/>
    <m/>
    <n v="0"/>
    <m/>
    <n v="0"/>
    <m/>
    <n v="0"/>
    <m/>
    <n v="0"/>
    <m/>
    <n v="0"/>
    <m/>
    <n v="0"/>
    <m/>
    <n v="0"/>
  </r>
  <r>
    <x v="322"/>
    <m/>
    <n v="0"/>
    <m/>
    <n v="0"/>
    <m/>
    <n v="0"/>
    <m/>
    <n v="0"/>
    <m/>
    <n v="0"/>
    <m/>
    <n v="0"/>
    <m/>
    <n v="0"/>
    <m/>
    <n v="0"/>
    <m/>
    <n v="0"/>
    <m/>
    <n v="0"/>
  </r>
  <r>
    <x v="323"/>
    <m/>
    <n v="0"/>
    <m/>
    <n v="0"/>
    <m/>
    <n v="0"/>
    <m/>
    <n v="0"/>
    <m/>
    <n v="0"/>
    <m/>
    <n v="0"/>
    <m/>
    <n v="0"/>
    <m/>
    <n v="0"/>
    <m/>
    <n v="0"/>
    <m/>
    <n v="0"/>
  </r>
  <r>
    <x v="324"/>
    <m/>
    <n v="0"/>
    <m/>
    <n v="0"/>
    <m/>
    <n v="0"/>
    <m/>
    <n v="0"/>
    <m/>
    <n v="0"/>
    <m/>
    <n v="0"/>
    <m/>
    <n v="0"/>
    <m/>
    <n v="0"/>
    <m/>
    <n v="0"/>
    <m/>
    <n v="0"/>
  </r>
  <r>
    <x v="325"/>
    <m/>
    <n v="0"/>
    <m/>
    <n v="0"/>
    <m/>
    <n v="0"/>
    <m/>
    <n v="0"/>
    <m/>
    <n v="0"/>
    <m/>
    <n v="0"/>
    <m/>
    <n v="0"/>
    <m/>
    <n v="0"/>
    <m/>
    <n v="0"/>
    <m/>
    <n v="0"/>
  </r>
  <r>
    <x v="326"/>
    <m/>
    <n v="0"/>
    <m/>
    <n v="0"/>
    <m/>
    <n v="0"/>
    <m/>
    <n v="0"/>
    <m/>
    <n v="0"/>
    <m/>
    <n v="0"/>
    <m/>
    <n v="0"/>
    <m/>
    <n v="0"/>
    <m/>
    <n v="0"/>
    <m/>
    <n v="0"/>
  </r>
  <r>
    <x v="327"/>
    <m/>
    <n v="0"/>
    <m/>
    <n v="0"/>
    <m/>
    <n v="0"/>
    <m/>
    <n v="0"/>
    <m/>
    <n v="0"/>
    <m/>
    <n v="0"/>
    <m/>
    <n v="0"/>
    <m/>
    <n v="0"/>
    <m/>
    <n v="0"/>
    <m/>
    <n v="0"/>
  </r>
  <r>
    <x v="328"/>
    <m/>
    <n v="0"/>
    <m/>
    <n v="0"/>
    <m/>
    <n v="0"/>
    <m/>
    <n v="0"/>
    <m/>
    <n v="0"/>
    <m/>
    <n v="0"/>
    <m/>
    <n v="0"/>
    <m/>
    <n v="0"/>
    <m/>
    <n v="0"/>
    <m/>
    <n v="0"/>
  </r>
  <r>
    <x v="329"/>
    <m/>
    <n v="0"/>
    <m/>
    <n v="0"/>
    <m/>
    <n v="0"/>
    <m/>
    <n v="0"/>
    <m/>
    <n v="0"/>
    <m/>
    <n v="0"/>
    <m/>
    <n v="0"/>
    <m/>
    <n v="0"/>
    <m/>
    <n v="0"/>
    <m/>
    <n v="0"/>
  </r>
  <r>
    <x v="330"/>
    <m/>
    <n v="0"/>
    <m/>
    <n v="0"/>
    <m/>
    <n v="0"/>
    <m/>
    <n v="0"/>
    <m/>
    <n v="0"/>
    <m/>
    <n v="0"/>
    <m/>
    <n v="0"/>
    <m/>
    <n v="0"/>
    <m/>
    <n v="0"/>
    <m/>
    <n v="0"/>
  </r>
  <r>
    <x v="331"/>
    <m/>
    <n v="0"/>
    <m/>
    <n v="0"/>
    <m/>
    <n v="0"/>
    <m/>
    <n v="0"/>
    <m/>
    <n v="0"/>
    <m/>
    <n v="0"/>
    <m/>
    <n v="0"/>
    <m/>
    <n v="0"/>
    <m/>
    <n v="0"/>
    <m/>
    <n v="0"/>
  </r>
  <r>
    <x v="332"/>
    <m/>
    <n v="0"/>
    <m/>
    <n v="0"/>
    <m/>
    <n v="0"/>
    <m/>
    <n v="0"/>
    <m/>
    <n v="0"/>
    <m/>
    <n v="0"/>
    <m/>
    <n v="0"/>
    <m/>
    <n v="0"/>
    <m/>
    <n v="0"/>
    <m/>
    <n v="0"/>
  </r>
  <r>
    <x v="333"/>
    <m/>
    <n v="0"/>
    <m/>
    <n v="0"/>
    <m/>
    <n v="0"/>
    <m/>
    <n v="0"/>
    <m/>
    <n v="0"/>
    <m/>
    <n v="0"/>
    <m/>
    <n v="0"/>
    <m/>
    <n v="0"/>
    <m/>
    <n v="0"/>
    <m/>
    <n v="0"/>
  </r>
  <r>
    <x v="334"/>
    <m/>
    <n v="0"/>
    <m/>
    <n v="0"/>
    <m/>
    <n v="0"/>
    <m/>
    <n v="0"/>
    <m/>
    <n v="0"/>
    <m/>
    <n v="0"/>
    <m/>
    <n v="0"/>
    <m/>
    <n v="0"/>
    <m/>
    <n v="0"/>
    <m/>
    <n v="0"/>
  </r>
  <r>
    <x v="335"/>
    <m/>
    <n v="0"/>
    <m/>
    <n v="0"/>
    <m/>
    <n v="0"/>
    <m/>
    <n v="0"/>
    <m/>
    <n v="0"/>
    <m/>
    <n v="0"/>
    <m/>
    <n v="0"/>
    <m/>
    <n v="0"/>
    <m/>
    <n v="0"/>
    <m/>
    <n v="0"/>
  </r>
  <r>
    <x v="336"/>
    <m/>
    <n v="0"/>
    <m/>
    <n v="0"/>
    <m/>
    <n v="0"/>
    <m/>
    <n v="0"/>
    <m/>
    <n v="0"/>
    <m/>
    <n v="0"/>
    <m/>
    <n v="0"/>
    <m/>
    <n v="0"/>
    <m/>
    <n v="0"/>
    <m/>
    <n v="0"/>
  </r>
  <r>
    <x v="337"/>
    <m/>
    <n v="0"/>
    <m/>
    <n v="0"/>
    <m/>
    <n v="0"/>
    <m/>
    <n v="0"/>
    <m/>
    <n v="0"/>
    <m/>
    <n v="0"/>
    <m/>
    <n v="0"/>
    <m/>
    <n v="0"/>
    <m/>
    <n v="0"/>
    <m/>
    <n v="0"/>
  </r>
  <r>
    <x v="338"/>
    <m/>
    <n v="0"/>
    <m/>
    <n v="0"/>
    <m/>
    <n v="0"/>
    <m/>
    <n v="0"/>
    <m/>
    <n v="0"/>
    <m/>
    <n v="0"/>
    <m/>
    <n v="0"/>
    <m/>
    <n v="0"/>
    <m/>
    <n v="0"/>
    <m/>
    <n v="0"/>
  </r>
  <r>
    <x v="339"/>
    <m/>
    <n v="0"/>
    <m/>
    <n v="0"/>
    <m/>
    <n v="0"/>
    <m/>
    <n v="0"/>
    <m/>
    <n v="0"/>
    <m/>
    <n v="0"/>
    <m/>
    <n v="0"/>
    <m/>
    <n v="0"/>
    <m/>
    <n v="0"/>
    <m/>
    <n v="0"/>
  </r>
  <r>
    <x v="340"/>
    <m/>
    <n v="0"/>
    <m/>
    <n v="0"/>
    <m/>
    <n v="0"/>
    <m/>
    <n v="0"/>
    <m/>
    <n v="0"/>
    <m/>
    <n v="0"/>
    <m/>
    <n v="0"/>
    <m/>
    <n v="0"/>
    <m/>
    <n v="0"/>
    <m/>
    <n v="0"/>
  </r>
  <r>
    <x v="341"/>
    <m/>
    <n v="0"/>
    <m/>
    <n v="0"/>
    <m/>
    <n v="0"/>
    <m/>
    <n v="0"/>
    <m/>
    <n v="0"/>
    <m/>
    <n v="0"/>
    <m/>
    <n v="0"/>
    <m/>
    <n v="0"/>
    <m/>
    <n v="0"/>
    <m/>
    <n v="0"/>
  </r>
  <r>
    <x v="342"/>
    <m/>
    <n v="0"/>
    <m/>
    <n v="0"/>
    <m/>
    <n v="0"/>
    <m/>
    <n v="0"/>
    <m/>
    <n v="0"/>
    <m/>
    <n v="0"/>
    <m/>
    <n v="0"/>
    <m/>
    <n v="0"/>
    <m/>
    <n v="0"/>
    <m/>
    <n v="0"/>
  </r>
  <r>
    <x v="343"/>
    <m/>
    <n v="0"/>
    <m/>
    <n v="0"/>
    <m/>
    <n v="0"/>
    <m/>
    <n v="0"/>
    <m/>
    <n v="0"/>
    <m/>
    <n v="0"/>
    <m/>
    <n v="0"/>
    <m/>
    <n v="0"/>
    <m/>
    <n v="0"/>
    <m/>
    <n v="0"/>
  </r>
  <r>
    <x v="344"/>
    <m/>
    <n v="0"/>
    <m/>
    <n v="0"/>
    <m/>
    <n v="0"/>
    <m/>
    <n v="0"/>
    <m/>
    <n v="0"/>
    <m/>
    <n v="0"/>
    <m/>
    <n v="0"/>
    <m/>
    <n v="0"/>
    <m/>
    <n v="0"/>
    <m/>
    <n v="0"/>
  </r>
  <r>
    <x v="345"/>
    <m/>
    <n v="0"/>
    <m/>
    <n v="0"/>
    <m/>
    <n v="0"/>
    <m/>
    <n v="0"/>
    <m/>
    <n v="0"/>
    <m/>
    <n v="0"/>
    <m/>
    <n v="0"/>
    <m/>
    <n v="0"/>
    <m/>
    <n v="0"/>
    <m/>
    <n v="0"/>
  </r>
  <r>
    <x v="346"/>
    <m/>
    <n v="0"/>
    <m/>
    <n v="0"/>
    <m/>
    <n v="0"/>
    <m/>
    <n v="0"/>
    <m/>
    <n v="0"/>
    <m/>
    <n v="0"/>
    <m/>
    <n v="0"/>
    <m/>
    <n v="0"/>
    <m/>
    <n v="0"/>
    <m/>
    <n v="0"/>
  </r>
  <r>
    <x v="347"/>
    <m/>
    <n v="0"/>
    <m/>
    <n v="0"/>
    <m/>
    <n v="0"/>
    <m/>
    <n v="0"/>
    <m/>
    <n v="0"/>
    <m/>
    <n v="0"/>
    <m/>
    <n v="0"/>
    <m/>
    <n v="0"/>
    <m/>
    <n v="0"/>
    <m/>
    <n v="0"/>
  </r>
  <r>
    <x v="348"/>
    <m/>
    <n v="0"/>
    <m/>
    <n v="0"/>
    <m/>
    <n v="0"/>
    <m/>
    <n v="0"/>
    <m/>
    <n v="0"/>
    <m/>
    <n v="0"/>
    <m/>
    <n v="0"/>
    <m/>
    <n v="0"/>
    <m/>
    <n v="0"/>
    <m/>
    <n v="0"/>
  </r>
  <r>
    <x v="349"/>
    <m/>
    <n v="0"/>
    <m/>
    <n v="0"/>
    <m/>
    <n v="0"/>
    <m/>
    <n v="0"/>
    <m/>
    <n v="0"/>
    <m/>
    <n v="0"/>
    <m/>
    <n v="0"/>
    <m/>
    <n v="0"/>
    <m/>
    <n v="0"/>
    <m/>
    <n v="0"/>
  </r>
  <r>
    <x v="350"/>
    <m/>
    <n v="0"/>
    <m/>
    <n v="0"/>
    <m/>
    <n v="0"/>
    <m/>
    <n v="0"/>
    <m/>
    <n v="0"/>
    <m/>
    <n v="0"/>
    <m/>
    <n v="0"/>
    <m/>
    <n v="0"/>
    <m/>
    <n v="0"/>
    <m/>
    <n v="0"/>
  </r>
  <r>
    <x v="351"/>
    <m/>
    <n v="0"/>
    <m/>
    <n v="0"/>
    <m/>
    <n v="0"/>
    <m/>
    <n v="0"/>
    <m/>
    <n v="0"/>
    <m/>
    <n v="0"/>
    <m/>
    <n v="0"/>
    <m/>
    <n v="0"/>
    <m/>
    <n v="0"/>
    <m/>
    <n v="0"/>
  </r>
  <r>
    <x v="352"/>
    <m/>
    <n v="0"/>
    <m/>
    <n v="0"/>
    <m/>
    <n v="0"/>
    <m/>
    <n v="0"/>
    <m/>
    <n v="0"/>
    <m/>
    <n v="0"/>
    <m/>
    <n v="0"/>
    <m/>
    <n v="0"/>
    <m/>
    <n v="0"/>
    <m/>
    <n v="0"/>
  </r>
  <r>
    <x v="353"/>
    <m/>
    <n v="0"/>
    <m/>
    <n v="0"/>
    <m/>
    <n v="0"/>
    <m/>
    <n v="0"/>
    <m/>
    <n v="0"/>
    <m/>
    <n v="0"/>
    <m/>
    <n v="0"/>
    <m/>
    <n v="0"/>
    <m/>
    <n v="0"/>
    <m/>
    <n v="0"/>
  </r>
  <r>
    <x v="354"/>
    <m/>
    <n v="0"/>
    <m/>
    <n v="0"/>
    <m/>
    <n v="0"/>
    <m/>
    <n v="0"/>
    <m/>
    <n v="0"/>
    <m/>
    <n v="0"/>
    <m/>
    <n v="0"/>
    <m/>
    <n v="0"/>
    <m/>
    <n v="0"/>
    <m/>
    <n v="0"/>
  </r>
  <r>
    <x v="355"/>
    <m/>
    <n v="0"/>
    <m/>
    <n v="0"/>
    <m/>
    <n v="0"/>
    <m/>
    <n v="0"/>
    <m/>
    <n v="0"/>
    <m/>
    <n v="0"/>
    <m/>
    <n v="0"/>
    <m/>
    <n v="0"/>
    <m/>
    <n v="0"/>
    <m/>
    <n v="0"/>
  </r>
  <r>
    <x v="356"/>
    <m/>
    <n v="0"/>
    <m/>
    <n v="0"/>
    <m/>
    <n v="0"/>
    <m/>
    <n v="0"/>
    <m/>
    <n v="0"/>
    <m/>
    <n v="0"/>
    <m/>
    <n v="0"/>
    <m/>
    <n v="0"/>
    <m/>
    <n v="0"/>
    <m/>
    <n v="0"/>
  </r>
  <r>
    <x v="357"/>
    <m/>
    <n v="0"/>
    <m/>
    <n v="0"/>
    <m/>
    <n v="0"/>
    <m/>
    <n v="0"/>
    <m/>
    <n v="0"/>
    <m/>
    <n v="0"/>
    <m/>
    <n v="0"/>
    <m/>
    <n v="0"/>
    <m/>
    <n v="0"/>
    <m/>
    <n v="0"/>
  </r>
  <r>
    <x v="358"/>
    <m/>
    <n v="0"/>
    <m/>
    <n v="0"/>
    <m/>
    <n v="0"/>
    <m/>
    <n v="0"/>
    <m/>
    <n v="0"/>
    <m/>
    <n v="0"/>
    <m/>
    <n v="0"/>
    <m/>
    <n v="0"/>
    <m/>
    <n v="0"/>
    <m/>
    <n v="0"/>
  </r>
  <r>
    <x v="359"/>
    <m/>
    <n v="0"/>
    <m/>
    <n v="0"/>
    <m/>
    <n v="0"/>
    <m/>
    <n v="0"/>
    <m/>
    <n v="0"/>
    <m/>
    <n v="0"/>
    <m/>
    <n v="0"/>
    <m/>
    <n v="0"/>
    <m/>
    <n v="0"/>
    <m/>
    <n v="0"/>
  </r>
  <r>
    <x v="360"/>
    <m/>
    <n v="0"/>
    <m/>
    <n v="0"/>
    <m/>
    <n v="0"/>
    <m/>
    <n v="0"/>
    <m/>
    <n v="0"/>
    <m/>
    <n v="0"/>
    <m/>
    <n v="0"/>
    <m/>
    <n v="0"/>
    <m/>
    <n v="0"/>
    <m/>
    <n v="0"/>
  </r>
  <r>
    <x v="361"/>
    <m/>
    <n v="0"/>
    <m/>
    <n v="0"/>
    <m/>
    <n v="0"/>
    <m/>
    <n v="0"/>
    <m/>
    <n v="0"/>
    <m/>
    <n v="0"/>
    <m/>
    <n v="0"/>
    <m/>
    <n v="0"/>
    <m/>
    <n v="0"/>
    <m/>
    <n v="0"/>
  </r>
  <r>
    <x v="362"/>
    <m/>
    <n v="0"/>
    <m/>
    <n v="0"/>
    <m/>
    <n v="0"/>
    <m/>
    <n v="0"/>
    <m/>
    <n v="0"/>
    <m/>
    <n v="0"/>
    <m/>
    <n v="0"/>
    <m/>
    <n v="0"/>
    <m/>
    <n v="0"/>
    <m/>
    <n v="0"/>
  </r>
  <r>
    <x v="363"/>
    <m/>
    <n v="0"/>
    <m/>
    <n v="0"/>
    <m/>
    <n v="0"/>
    <m/>
    <n v="0"/>
    <m/>
    <n v="0"/>
    <m/>
    <n v="0"/>
    <m/>
    <n v="0"/>
    <m/>
    <n v="0"/>
    <m/>
    <n v="0"/>
    <m/>
    <n v="0"/>
  </r>
  <r>
    <x v="364"/>
    <m/>
    <n v="0"/>
    <m/>
    <n v="0"/>
    <m/>
    <n v="0"/>
    <m/>
    <n v="0"/>
    <m/>
    <n v="0"/>
    <m/>
    <n v="0"/>
    <m/>
    <n v="0"/>
    <m/>
    <n v="0"/>
    <m/>
    <n v="0"/>
    <m/>
    <n v="0"/>
  </r>
  <r>
    <x v="365"/>
    <m/>
    <n v="0"/>
    <m/>
    <n v="0"/>
    <m/>
    <n v="0"/>
    <m/>
    <n v="0"/>
    <m/>
    <n v="0"/>
    <m/>
    <n v="0"/>
    <m/>
    <n v="0"/>
    <m/>
    <n v="0"/>
    <m/>
    <n v="0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D000000}" name="P. Oferta - Disponi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26">
  <location ref="EQ3:EU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. oferta" fld="76" baseField="56" baseItem="5"/>
    <dataField name="GAS" fld="73" baseField="74" baseItem="5"/>
    <dataField name="DIESEL" fld="74" baseField="74" baseItem="5"/>
    <dataField name="HFO" fld="75" baseField="74" baseItem="5"/>
  </dataFields>
  <formats count="4">
    <format dxfId="396">
      <pivotArea type="origin" dataOnly="0" labelOnly="1" outline="0" fieldPosition="0"/>
    </format>
    <format dxfId="395">
      <pivotArea field="-2" type="button" dataOnly="0" labelOnly="1" outline="0" axis="axisCol" fieldPosition="0"/>
    </format>
    <format dxfId="394">
      <pivotArea outline="0" collapsedLevelsAreSubtotals="1" fieldPosition="0"/>
    </format>
    <format dxfId="393">
      <pivotArea outline="0" collapsedLevelsAreSubtotals="1" fieldPosition="0"/>
    </format>
  </formats>
  <chartFormats count="4">
    <chartFormat chart="23" format="6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" format="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2000000}" name="Reposiciones" cacheId="0" dataOnRows="1" applyNumberFormats="0" applyBorderFormats="0" applyFontFormats="0" applyPatternFormats="0" applyAlignmentFormats="0" applyWidthHeightFormats="1" dataCaption="Reposiciones [gal]" updatedVersion="8" minRefreshableVersion="3" useAutoFormatting="1" rowGrandTotals="0" colGrandTotals="0" itemPrintTitles="1" createdVersion="6" indent="0" outline="1" outlineData="1" multipleFieldFilters="0" chartFormat="11">
  <location ref="CQ3:DC7" firstHeaderRow="1" firstDataRow="2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dataField="1" numFmtId="4" showAll="0"/>
    <pivotField dataField="1" numFmtId="4" showAll="0"/>
    <pivotField showAll="0" defaultSubtotal="0"/>
    <pivotField numFmtId="4" showAll="0"/>
    <pivotField numFmtId="4" showAll="0"/>
    <pivotField dataField="1"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9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3">
    <dataField name="DO Storage" fld="43" baseField="53" baseItem="5"/>
    <dataField name="DO Pilot" fld="44" baseField="53" baseItem="5"/>
    <dataField name="HFO" fld="48" baseField="53" baseItem="5"/>
  </dataFields>
  <formats count="7">
    <format dxfId="403">
      <pivotArea type="origin" dataOnly="0" labelOnly="1" outline="0" fieldPosition="0"/>
    </format>
    <format dxfId="402">
      <pivotArea field="-2" type="button" dataOnly="0" labelOnly="1" outline="0" axis="axisRow" fieldPosition="0"/>
    </format>
    <format dxfId="40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0">
      <pivotArea outline="0" collapsedLevelsAreSubtotals="1" fieldPosition="0"/>
    </format>
    <format dxfId="3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8">
      <pivotArea field="-2" type="button" dataOnly="0" labelOnly="1" outline="0" axis="axisRow" fieldPosition="0"/>
    </format>
    <format dxfId="397">
      <pivotArea field="-2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Arr. x Combustibles" cacheId="0" applyNumberFormats="0" applyBorderFormats="0" applyFontFormats="0" applyPatternFormats="0" applyAlignmentFormats="0" applyWidthHeightFormats="1" dataCaption="Despachos" updatedVersion="8" minRefreshableVersion="3" useAutoFormatting="1" rowGrandTotals="0" colGrandTotals="0" itemPrintTitles="1" createdVersion="6" indent="0" outline="1" outlineData="1" multipleFieldFilters="0" chartFormat="25">
  <location ref="EW3:FB380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dataField="1"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377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>
      <x v="4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5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>
      <x v="6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>
      <x v="7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>
      <x v="8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>
      <x v="9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>
      <x v="10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>
      <x v="11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>
      <x v="12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. oferta" fld="76" baseField="75" baseItem="6"/>
    <dataField name="GAS" fld="73" baseField="74" baseItem="5"/>
    <dataField name="DIESEL" fld="74" baseField="74" baseItem="5"/>
    <dataField name="HFO" fld="75" baseField="74" baseItem="5"/>
    <dataField name="Arranque Planta" fld="34" baseField="75" baseItem="6"/>
  </dataFields>
  <formats count="4">
    <format dxfId="407">
      <pivotArea type="origin" dataOnly="0" labelOnly="1" outline="0" fieldPosition="0"/>
    </format>
    <format dxfId="406">
      <pivotArea field="-2" type="button" dataOnly="0" labelOnly="1" outline="0" axis="axisCol" fieldPosition="0"/>
    </format>
    <format dxfId="405">
      <pivotArea outline="0" collapsedLevelsAreSubtotals="1" fieldPosition="0"/>
    </format>
    <format dxfId="404">
      <pivotArea outline="0" collapsedLevelsAreSubtotals="1" fieldPosition="0"/>
    </format>
  </formats>
  <chartFormats count="3">
    <chartFormat chart="23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4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C000000}" name="P Despachados Total" cacheId="0" dataOnRows="1" applyNumberFormats="0" applyBorderFormats="0" applyFontFormats="0" applyPatternFormats="0" applyAlignmentFormats="0" applyWidthHeightFormats="1" dataCaption="P. D" updatedVersion="8" minRefreshableVersion="5" useAutoFormatting="1" rowGrandTotals="0" colGrandTotals="0" itemPrintTitles="1" createdVersion="6" indent="0" outline="1" outlineData="1" multipleFieldFilters="0">
  <location ref="O5:P7" firstHeaderRow="1" firstDataRow="1" firstDataCol="1" rowPageCount="1" colPageCount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 defaultSubtotal="0">
      <items count="24">
        <item x="4"/>
        <item x="5"/>
        <item x="0"/>
        <item x="1"/>
        <item x="2"/>
        <item x="3"/>
        <item x="6"/>
        <item x="7"/>
        <item x="8"/>
        <item x="9"/>
        <item x="10"/>
        <item x="11"/>
        <item h="1" m="1" x="19"/>
        <item h="1" m="1" x="14"/>
        <item h="1" m="1" x="13"/>
        <item h="1" m="1" x="21"/>
        <item h="1" m="1" x="22"/>
        <item h="1" m="1" x="12"/>
        <item h="1" m="1" x="23"/>
        <item h="1" m="1" x="15"/>
        <item h="1" m="1" x="17"/>
        <item h="1" m="1" x="16"/>
        <item h="1" m="1" x="18"/>
        <item h="1" m="1" x="2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3" showAll="0" defaultSubtotal="0"/>
    <pivotField dataField="1"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1">
    <pageField fld="1" hier="-1"/>
  </pageFields>
  <dataFields count="2">
    <dataField name="Suma de PO [h]" fld="10" baseField="0" baseItem="786714776"/>
    <dataField name="Suma de P. NO D" fld="12" baseField="0" baseItem="0"/>
  </dataFields>
  <formats count="5">
    <format dxfId="412">
      <pivotArea type="origin" dataOnly="0" labelOnly="1" outline="0" fieldPosition="0"/>
    </format>
    <format dxfId="411">
      <pivotArea field="-2" type="button" dataOnly="0" labelOnly="1" outline="0" axis="axisRow" fieldPosition="0"/>
    </format>
    <format dxfId="410">
      <pivotArea outline="0" collapsedLevelsAreSubtotals="1" fieldPosition="0"/>
    </format>
    <format dxfId="409">
      <pivotArea dataOnly="0" labelOnly="1" outline="0" axis="axisValues" fieldPosition="0"/>
    </format>
    <format dxfId="40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6000000}" name="TablaDinámica5" cacheId="0" dataOnRows="1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O14:P16" firstHeaderRow="1" firstDataRow="1" firstDataCol="1" rowPageCount="1" colPageCount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 defaultSubtotal="0">
      <items count="24">
        <item x="4"/>
        <item x="5"/>
        <item x="0"/>
        <item x="1"/>
        <item x="2"/>
        <item x="3"/>
        <item x="6"/>
        <item x="7"/>
        <item x="8"/>
        <item x="9"/>
        <item x="10"/>
        <item x="11"/>
        <item m="1" x="19"/>
        <item m="1" x="14"/>
        <item m="1" x="13"/>
        <item m="1" x="21"/>
        <item m="1" x="22"/>
        <item m="1" x="12"/>
        <item m="1" x="23"/>
        <item m="1" x="15"/>
        <item m="1" x="17"/>
        <item m="1" x="16"/>
        <item m="1" x="18"/>
        <item m="1" x="2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3" showAll="0" defaultSubtotal="0"/>
    <pivotField dataField="1"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1">
    <pageField fld="1" hier="-1"/>
  </pageFields>
  <dataFields count="2">
    <dataField name="Suma de PO [h]" fld="10" baseField="0" baseItem="786714776"/>
    <dataField name="Suma de P. NO D" fld="12" baseField="0" baseItem="0"/>
  </dataFields>
  <formats count="5">
    <format dxfId="417">
      <pivotArea type="origin" dataOnly="0" labelOnly="1" outline="0" fieldPosition="0"/>
    </format>
    <format dxfId="416">
      <pivotArea field="-2" type="button" dataOnly="0" labelOnly="1" outline="0" axis="axisRow" fieldPosition="0"/>
    </format>
    <format dxfId="415">
      <pivotArea outline="0" collapsedLevelsAreSubtotals="1" fieldPosition="0"/>
    </format>
    <format dxfId="414">
      <pivotArea dataOnly="0" labelOnly="1" outline="0" axis="axisValues" fieldPosition="0"/>
    </format>
    <format dxfId="41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dateBetween" evalOrder="-1" id="801" name="Fecha">
      <autoFilter ref="A1">
        <filterColumn colId="0">
          <customFilters and="1">
            <customFilter operator="greaterThanOrEqual" val="43983"/>
            <customFilter operator="lessThanOrEqual" val="440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F000000}" name="PreOp. Vs. Real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13">
  <location ref="BB3:BF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dataField="1"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eideal [MWh]" fld="2" baseField="50" baseItem="5"/>
    <dataField name="Nacional [MWh]" fld="3" baseField="50" baseItem="5"/>
    <dataField name="Programado [MWh]" fld="4" baseField="50" baseItem="5"/>
    <dataField name="XM [MWh]" fld="13" baseField="50" baseItem="5"/>
  </dataFields>
  <formats count="4">
    <format dxfId="421">
      <pivotArea type="origin" dataOnly="0" labelOnly="1" outline="0" fieldPosition="0"/>
    </format>
    <format dxfId="420">
      <pivotArea field="-2" type="button" dataOnly="0" labelOnly="1" outline="0" axis="axisCol" fieldPosition="0"/>
    </format>
    <format dxfId="419">
      <pivotArea outline="0" collapsedLevelsAreSubtotals="1" fieldPosition="0"/>
    </format>
    <format dxfId="4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6">
    <chartFormat chart="9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6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6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8000000}" name="Horas M2" cacheId="0" dataOnRows="1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X5:X6" firstHeaderRow="1" firstDataRow="1" firstDataCol="0" rowPageCount="1" colPageCount="1"/>
  <pivotFields count="92">
    <pivotField dataField="1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 defaultSubtotal="0">
      <items count="24">
        <item x="4"/>
        <item x="5"/>
        <item x="0"/>
        <item x="1"/>
        <item x="2"/>
        <item x="3"/>
        <item x="6"/>
        <item x="7"/>
        <item x="8"/>
        <item x="9"/>
        <item x="10"/>
        <item x="11"/>
        <item m="1" x="19"/>
        <item m="1" x="14"/>
        <item m="1" x="13"/>
        <item m="1" x="21"/>
        <item m="1" x="22"/>
        <item m="1" x="12"/>
        <item m="1" x="23"/>
        <item m="1" x="15"/>
        <item m="1" x="17"/>
        <item m="1" x="16"/>
        <item m="1" x="18"/>
        <item m="1" x="2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pageFields count="1">
    <pageField fld="1" hier="-1"/>
  </pageFields>
  <dataFields count="1">
    <dataField name="Cuenta de Fecha" fld="0" subtotal="count" baseField="0" baseItem="0"/>
  </dataFields>
  <formats count="7">
    <format dxfId="428">
      <pivotArea type="origin" dataOnly="0" labelOnly="1" outline="0" fieldPosition="0"/>
    </format>
    <format dxfId="427">
      <pivotArea field="-2" type="button" dataOnly="0" labelOnly="1" outline="0" axis="axisValues" fieldPosition="0"/>
    </format>
    <format dxfId="426">
      <pivotArea outline="0" collapsedLevelsAreSubtotals="1" fieldPosition="0"/>
    </format>
    <format dxfId="425">
      <pivotArea dataOnly="0" labelOnly="1" outline="0" axis="axisValues" fieldPosition="0"/>
    </format>
    <format dxfId="424">
      <pivotArea dataOnly="0" labelOnly="1" outline="0" axis="axisValues" fieldPosition="0"/>
    </format>
    <format dxfId="423">
      <pivotArea dataOnly="0" labelOnly="1" outline="0" axis="axisValues" fieldPosition="0"/>
    </format>
    <format dxfId="42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3000000}" name="TablaDinámica1" cacheId="0" dataOnRows="1" applyNumberFormats="0" applyBorderFormats="0" applyFontFormats="0" applyPatternFormats="0" applyAlignmentFormats="0" applyWidthHeightFormats="1" dataCaption="Parámetros" updatedVersion="8" minRefreshableVersion="3" useAutoFormatting="1" rowGrandTotals="0" colGrandTotals="0" itemPrintTitles="1" createdVersion="6" indent="0" outline="1" outlineData="1" multipleFieldFilters="0">
  <location ref="GK3:GW11" firstHeaderRow="1" firstDataRow="2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dataField="1"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dataField="1" numFmtId="4" showAll="0"/>
    <pivotField numFmtId="4" showAll="0"/>
    <pivotField numFmtId="4" showAll="0"/>
    <pivotField numFmtId="4" showAll="0"/>
    <pivotField dataField="1" showAll="0" defaultSubtotal="0"/>
    <pivotField dataField="1" numFmtId="4" showAll="0"/>
    <pivotField numFmtId="4" showAll="0"/>
    <pivotField numFmtId="4" showAll="0"/>
    <pivotField dataField="1"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dataField="1"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dataField="1"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9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7">
    <dataField name="E. Generada [kWh]" fld="24" baseField="80" baseItem="1"/>
    <dataField name="C. Gas [m3]" fld="58" baseField="89" baseItem="12"/>
    <dataField name="C. DO Total [m3]" fld="41" baseField="80" baseItem="1"/>
    <dataField name="R. DO Total [m3]" fld="45" baseField="80" baseItem="1"/>
    <dataField name="C. HFO [m3]" fld="46" baseField="80" baseItem="1"/>
    <dataField name="R. HFO [m3]" fld="49" baseField="80" baseItem="1"/>
    <dataField name="R. Aceite [m3]" fld="69" baseField="80" baseItem="1"/>
  </dataFields>
  <formats count="4">
    <format dxfId="432">
      <pivotArea type="origin" dataOnly="0" labelOnly="1" outline="0" fieldPosition="0"/>
    </format>
    <format dxfId="431">
      <pivotArea field="-2" type="button" dataOnly="0" labelOnly="1" outline="0" axis="axisRow" fieldPosition="0"/>
    </format>
    <format dxfId="430">
      <pivotArea outline="0" collapsedLevelsAreSubtotals="1" fieldPosition="0"/>
    </format>
    <format dxfId="429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6000000}" name="Despachos" cacheId="0" dataOnRows="1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A3:D8" firstHeaderRow="1" firstDataRow="2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dataField="1"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91"/>
  </colFields>
  <colItems count="3">
    <i>
      <x v="1"/>
    </i>
    <i>
      <x v="2"/>
    </i>
    <i>
      <x v="3"/>
    </i>
  </colItems>
  <dataFields count="4">
    <dataField name="Preideal [MWh]" fld="2" baseField="46" baseItem="5"/>
    <dataField name="Nacional [MWh]" fld="3" baseField="46" baseItem="5"/>
    <dataField name="Programado [MWh]" fld="4" baseField="46" baseItem="5"/>
    <dataField name="XM [MWh]" fld="13" baseField="46" baseItem="5"/>
  </dataFields>
  <formats count="4">
    <format dxfId="436">
      <pivotArea type="origin" dataOnly="0" labelOnly="1" outline="0" fieldPosition="0"/>
    </format>
    <format dxfId="435">
      <pivotArea field="-2" type="button" dataOnly="0" labelOnly="1" outline="0" axis="axisRow" fieldPosition="0"/>
    </format>
    <format dxfId="434">
      <pivotArea outline="0" collapsedLevelsAreSubtotals="1" fieldPosition="0"/>
    </format>
    <format dxfId="433">
      <pivotArea type="topRight" dataOnly="0" labelOnly="1" outline="0" fieldPosition="0"/>
    </format>
  </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3000000}" name="Consumo de gas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21">
  <location ref="EF3:EH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dataField="1" showAll="0"/>
    <pivotField showAll="0" defaultSubtotal="0"/>
    <pivotField showAll="0" defaultSubtotal="0"/>
    <pivotField dataField="1"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2">
    <i>
      <x/>
    </i>
    <i i="1">
      <x v="1"/>
    </i>
  </colItems>
  <dataFields count="2">
    <dataField name="C. Gas HGS [MBTU]" fld="56" baseField="51" baseItem="5"/>
    <dataField name="REP. Gas GC [MBTU]" fld="59" baseField="51" baseItem="5"/>
  </dataFields>
  <formats count="5">
    <format dxfId="441">
      <pivotArea type="origin" dataOnly="0" labelOnly="1" outline="0" fieldPosition="0"/>
    </format>
    <format dxfId="440">
      <pivotArea field="-2" type="button" dataOnly="0" labelOnly="1" outline="0" axis="axisCol" fieldPosition="0"/>
    </format>
    <format dxfId="4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8">
      <pivotArea outline="0" collapsedLevelsAreSubtotals="1" fieldPosition="0"/>
    </format>
    <format dxfId="4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17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C. Totales" cacheId="0" dataOnRows="1" applyNumberFormats="0" applyBorderFormats="0" applyFontFormats="0" applyPatternFormats="0" applyAlignmentFormats="0" applyWidthHeightFormats="1" dataCaption="Parámetros" updatedVersion="8" minRefreshableVersion="3" showDrill="0" useAutoFormatting="1" rowGrandTotals="0" colGrandTotals="0" itemPrintTitles="1" createdVersion="6" indent="0" showHeaders="0" outline="1" outlineData="1" multipleFieldFilters="0">
  <location ref="A12:M23" firstHeaderRow="0" firstDataRow="1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dataField="1"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dataField="1"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dataField="1" numFmtId="4" showAll="0" defaultSubtota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dataField="1"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dataField="1"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dataField="1" numFmtId="1" showAll="0" defaultSubtotal="0"/>
    <pivotField dataField="1" numFmtId="3" showAll="0" defaultSubtotal="0"/>
    <pivotField numFmtId="3" showAll="0" defaultSubtotal="0"/>
    <pivotField dataField="1"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9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1">
    <dataField name="XM [MWh]" fld="13" baseField="46" baseItem="5"/>
    <dataField name="REP. G.E. [MWh]" fld="20" baseField="75" baseItem="5"/>
    <dataField name="C. DO Storage [gal]" fld="38" baseField="0" baseItem="0"/>
    <dataField name="C. DO Pilot [gal]" fld="40" baseField="46" baseItem="5"/>
    <dataField name="C. HFO [gal]" fld="47" baseField="46" baseItem="5"/>
    <dataField name="REP. Gas GC [MBTU]" fld="59" baseField="46" baseItem="5"/>
    <dataField name="C. Aceite [gal]" fld="70" baseField="53" baseItem="5"/>
    <dataField name="C. Agua [m3]" fld="68" baseField="53" baseItem="5"/>
    <dataField name="G. A. Aceitosas [m3]" fld="67" baseField="53" baseItem="5"/>
    <dataField name=" C. DO Storage Ge [gal]" fld="88" subtotal="count" baseField="0" baseItem="0"/>
    <dataField name=" C. DO Storage Ar.[gal]" fld="87" subtotal="count" baseField="0" baseItem="0"/>
  </dataFields>
  <formats count="4">
    <format dxfId="445">
      <pivotArea type="origin" dataOnly="0" labelOnly="1" outline="0" fieldPosition="0"/>
    </format>
    <format dxfId="444">
      <pivotArea field="-2" type="button" dataOnly="0" labelOnly="1" outline="0" axis="axisRow" fieldPosition="0"/>
    </format>
    <format dxfId="443">
      <pivotArea outline="0" collapsedLevelsAreSubtotals="1" fieldPosition="0"/>
    </format>
    <format dxfId="44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B000000}" name="HR Total" cacheId="0" applyNumberFormats="0" applyBorderFormats="0" applyFontFormats="0" applyPatternFormats="0" applyAlignmentFormats="0" applyWidthHeightFormats="1" dataCaption="Despachos" updatedVersion="8" minRefreshableVersion="3" rowGrandTotals="0" colGrandTotals="0" itemPrintTitles="1" createdVersion="6" indent="0" outline="1" outlineData="1" multipleFieldFilters="0" chartFormat="14">
  <location ref="A25:C37" firstHeaderRow="0" firstDataRow="1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dataField="1"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dataField="1"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1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R. Gas GC [MBTU]" fld="59" baseField="51" baseItem="5"/>
    <dataField name="E.G. GAS [MWh]" fld="21" baseField="82" baseItem="1"/>
  </dataFields>
  <formats count="8">
    <format dxfId="453">
      <pivotArea type="origin" dataOnly="0" labelOnly="1" outline="0" fieldPosition="0"/>
    </format>
    <format dxfId="452">
      <pivotArea field="-2" type="button" dataOnly="0" labelOnly="1" outline="0" axis="axisCol" fieldPosition="0"/>
    </format>
    <format dxfId="4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0">
      <pivotArea outline="0" collapsedLevelsAreSubtotals="1" fieldPosition="0"/>
    </format>
    <format dxfId="449">
      <pivotArea outline="0" collapsedLevelsAreSubtotals="1" fieldPosition="0"/>
    </format>
    <format dxfId="448">
      <pivotArea outline="0" collapsedLevelsAreSubtotals="1" fieldPosition="0"/>
    </format>
    <format dxfId="447">
      <pivotArea field="91" type="button" dataOnly="0" labelOnly="1" outline="0" axis="axisRow" fieldPosition="0"/>
    </format>
    <format dxfId="4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">
    <chartFormat chart="1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1000000}" name="RDP - AUT MWh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rowHeaderCaption="Despacho Real">
  <location ref="BV5:BX6" firstHeaderRow="0" firstDataRow="1" firstDataCol="0" rowPageCount="1" colPageCount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9"/>
        <item m="1" x="14"/>
        <item m="1" x="13"/>
        <item m="1" x="21"/>
        <item m="1" x="22"/>
        <item m="1" x="12"/>
        <item m="1" x="23"/>
        <item m="1" x="15"/>
        <item m="1" x="17"/>
        <item m="1" x="16"/>
        <item m="1" x="18"/>
        <item m="1" x="20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RED[MWh]" fld="7" baseField="0" baseItem="1"/>
    <dataField name="AUT[MWh]" fld="9" baseField="0" baseItem="1"/>
    <dataField name="DPR[MWh]" fld="5" baseField="0" baseItem="2"/>
  </dataFields>
  <formats count="14">
    <format dxfId="467">
      <pivotArea type="origin" dataOnly="0" labelOnly="1" outline="0" fieldPosition="0"/>
    </format>
    <format dxfId="466">
      <pivotArea field="-2" type="button" dataOnly="0" labelOnly="1" outline="0" axis="axisCol" fieldPosition="0"/>
    </format>
    <format dxfId="46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6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63">
      <pivotArea outline="0" collapsedLevelsAreSubtotals="1" fieldPosition="0"/>
    </format>
    <format dxfId="4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1">
      <pivotArea outline="0" collapsedLevelsAreSubtotals="1" fieldPosition="0"/>
    </format>
    <format dxfId="460">
      <pivotArea outline="0" collapsedLevelsAreSubtotals="1" fieldPosition="0"/>
    </format>
    <format dxfId="459">
      <pivotArea outline="0" collapsedLevelsAreSubtotals="1" fieldPosition="0"/>
    </format>
    <format dxfId="458">
      <pivotArea outline="0" collapsedLevelsAreSubtotals="1" fieldPosition="0"/>
    </format>
    <format dxfId="457">
      <pivotArea outline="0" collapsedLevelsAreSubtotals="1" fieldPosition="0"/>
    </format>
    <format dxfId="456">
      <pivotArea outline="0" collapsedLevelsAreSubtotals="1" fieldPosition="0"/>
    </format>
    <format dxfId="4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Between" evalOrder="-1" id="7708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9000000}" name="Horas x Motor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AA5:AJ6" firstHeaderRow="0" firstDataRow="1" firstDataCol="0" rowPageCount="1" colPageCount="1"/>
  <pivotFields count="92">
    <pivotField axis="axisPage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-1"/>
  </pageFields>
  <dataFields count="10">
    <dataField name="H Motor 1" fld="77" baseField="0" baseItem="1"/>
    <dataField name="H Motor 2" fld="78" baseField="0" baseItem="1"/>
    <dataField name="H Motor 3" fld="79" baseField="0" baseItem="2"/>
    <dataField name="H Motor 4" fld="80" baseField="0" baseItem="3"/>
    <dataField name="H Motor 5" fld="81" baseField="0" baseItem="4"/>
    <dataField name="H Motor 6" fld="82" baseField="0" baseItem="5"/>
    <dataField name="H Motor 7" fld="83" baseField="0" baseItem="6"/>
    <dataField name="H Motor 8" fld="84" baseField="0" baseItem="7"/>
    <dataField name="H Motor 9" fld="85" baseField="0" baseItem="8"/>
    <dataField name="H Motor 10" fld="86" baseField="0" baseItem="4"/>
  </dataFields>
  <formats count="6">
    <format dxfId="473">
      <pivotArea type="origin" dataOnly="0" labelOnly="1" outline="0" fieldPosition="0"/>
    </format>
    <format dxfId="472">
      <pivotArea field="-2" type="button" dataOnly="0" labelOnly="1" outline="0" axis="axisCol" fieldPosition="0"/>
    </format>
    <format dxfId="471">
      <pivotArea outline="0" collapsedLevelsAreSubtotals="1" fieldPosition="0"/>
    </format>
    <format dxfId="47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Between" evalOrder="-1" id="7708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0000000}" name="Promedios" cacheId="0" applyNumberFormats="0" applyBorderFormats="0" applyFontFormats="0" applyPatternFormats="0" applyAlignmentFormats="0" applyWidthHeightFormats="1" dataCaption="Despachos" updatedVersion="8" minRefreshableVersion="3" useAutoFormatting="1" rowGrandTotals="0" colGrandTotals="0" itemPrintTitles="1" createdVersion="6" indent="0" outline="1" outlineData="1" multipleFieldFilters="0" chartFormat="11">
  <location ref="DF3:DO15" firstHeaderRow="0" firstDataRow="1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3" showAll="0" defaultSubtotal="0"/>
    <pivotField numFmtId="3" showAll="0" defaultSubtotal="0"/>
    <pivotField numFmtId="3" showAll="0" defaultSubtotal="0"/>
    <pivotField dataField="1"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dataField="1" numFmtId="169" showAll="0" defaultSubtotal="0"/>
    <pivotField numFmtId="4" showAll="0" defaultSubtotal="0"/>
    <pivotField dataField="1" numFmtId="3" showAll="0"/>
    <pivotField numFmtId="3" showAll="0"/>
    <pivotField numFmtId="3" showAll="0" defaultSubtotal="0"/>
    <pivotField showAll="0" defaultSubtotal="0"/>
    <pivotField showAll="0"/>
    <pivotField dataField="1" numFmtId="4" showAll="0"/>
    <pivotField numFmtId="4" showAll="0" defaultSubtota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dataField="1"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dataField="1" numFmtId="3" showAll="0" defaultSubtotal="0"/>
    <pivotField numFmtId="3" showAll="0" defaultSubtotal="0"/>
    <pivotField dataField="1"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1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G.Un.GE [MWh]" fld="30" baseField="47" baseItem="5"/>
    <dataField name="PG [h]" fld="10" baseField="47" baseItem="5"/>
    <dataField name="C. DO Storage [gal]" fld="37" baseField="47" baseItem="5"/>
    <dataField name="G. HGS [MWh]" fld="14" baseField="47" baseItem="5"/>
    <dataField name="Ar. HGS  [Un]" fld="32" baseField="47" baseItem="5"/>
    <dataField name="C. DO Pilot [gal]" fld="40" baseField="47" baseItem="5"/>
    <dataField name="LO Storage [gal]" fld="70" baseField="75" baseItem="5"/>
    <dataField name="C. Agua [m3]" fld="68" baseField="75" baseItem="5"/>
    <dataField name="C. HFO [gal]" fld="47" baseField="75" baseItem="5"/>
  </dataFields>
  <formats count="8">
    <format dxfId="481">
      <pivotArea type="origin" dataOnly="0" labelOnly="1" outline="0" fieldPosition="0"/>
    </format>
    <format dxfId="480">
      <pivotArea field="-2" type="button" dataOnly="0" labelOnly="1" outline="0" axis="axisCol" fieldPosition="0"/>
    </format>
    <format dxfId="479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478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477">
      <pivotArea outline="0" collapsedLevelsAreSubtotals="1" fieldPosition="0"/>
    </format>
    <format dxfId="47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75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474">
      <pivotArea dataOnly="0"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5000000}" name="Despacho Real-G HGS-R GE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9">
  <location ref="BI3:BL96" firstHeaderRow="0" firstDataRow="1" firstDataCol="1"/>
  <pivotFields count="92">
    <pivotField axis="axisRow" numFmtId="175" showAll="0" defaultSubtotal="0">
      <items count="36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dataField="1" numFmtId="3" showAll="0" defaultSubtotal="0"/>
    <pivotField dataField="1"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dataField="1"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3">
    <i>
      <x/>
    </i>
    <i i="1">
      <x v="1"/>
    </i>
    <i i="2">
      <x v="2"/>
    </i>
  </colItems>
  <dataFields count="3">
    <dataField name="G. HGS [MWh]" fld="14" baseField="51" baseItem="5"/>
    <dataField name="REP. G.E. [MWh]" fld="20" baseField="75" baseItem="5"/>
    <dataField name="XM [MWh]" fld="13" baseField="51" baseItem="5"/>
  </dataFields>
  <formats count="5">
    <format dxfId="486">
      <pivotArea type="origin" dataOnly="0" labelOnly="1" outline="0" fieldPosition="0"/>
    </format>
    <format dxfId="485">
      <pivotArea field="-2" type="button" dataOnly="0" labelOnly="1" outline="0" axis="axisCol" fieldPosition="0"/>
    </format>
    <format dxfId="484">
      <pivotArea outline="0" collapsedLevelsAreSubtotals="1" fieldPosition="0"/>
    </format>
    <format dxfId="4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2">
      <pivotArea field="0" type="button" dataOnly="0" labelOnly="1" outline="0" axis="axisRow" fieldPosition="1"/>
    </format>
  </formats>
  <chartFormats count="3">
    <chartFormat chart="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7000000}" name="Horas M" cacheId="0" dataOnRows="1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U5:U6" firstHeaderRow="1" firstDataRow="1" firstDataCol="0" rowPageCount="1" colPageCount="1"/>
  <pivotFields count="92">
    <pivotField dataField="1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 defaultSubtotal="0">
      <items count="24">
        <item x="4"/>
        <item x="5"/>
        <item x="0"/>
        <item x="1"/>
        <item x="2"/>
        <item x="3"/>
        <item x="6"/>
        <item x="7"/>
        <item x="8"/>
        <item x="9"/>
        <item x="10"/>
        <item x="11"/>
        <item m="1" x="19"/>
        <item m="1" x="14"/>
        <item m="1" x="13"/>
        <item m="1" x="21"/>
        <item m="1" x="22"/>
        <item m="1" x="12"/>
        <item m="1" x="23"/>
        <item m="1" x="15"/>
        <item m="1" x="17"/>
        <item m="1" x="16"/>
        <item m="1" x="18"/>
        <item m="1" x="2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pageFields count="1">
    <pageField fld="1" hier="-1"/>
  </pageFields>
  <dataFields count="1">
    <dataField name="Cuenta de Fecha" fld="0" subtotal="count" baseField="0" baseItem="590008584"/>
  </dataFields>
  <formats count="7">
    <format dxfId="493">
      <pivotArea type="origin" dataOnly="0" labelOnly="1" outline="0" fieldPosition="0"/>
    </format>
    <format dxfId="492">
      <pivotArea field="-2" type="button" dataOnly="0" labelOnly="1" outline="0" axis="axisValues" fieldPosition="0"/>
    </format>
    <format dxfId="491">
      <pivotArea outline="0" collapsedLevelsAreSubtotals="1" fieldPosition="0"/>
    </format>
    <format dxfId="490">
      <pivotArea dataOnly="0" labelOnly="1" outline="0" axis="axisValues" fieldPosition="0"/>
    </format>
    <format dxfId="489">
      <pivotArea dataOnly="0" labelOnly="1" outline="0" axis="axisValues" fieldPosition="0"/>
    </format>
    <format dxfId="488">
      <pivotArea dataOnly="0" labelOnly="1" outline="0" axis="axisValues" fieldPosition="0"/>
    </format>
    <format dxfId="487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E000000}" name="Periodos RDP - AUTO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>
  <location ref="BP5:BQ6" firstHeaderRow="0" firstDataRow="1" firstDataCol="0" rowPageCount="1" colPageCount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9"/>
        <item m="1" x="14"/>
        <item m="1" x="13"/>
        <item m="1" x="21"/>
        <item m="1" x="22"/>
        <item m="1" x="12"/>
        <item m="1" x="23"/>
        <item m="1" x="15"/>
        <item m="1" x="17"/>
        <item m="1" x="16"/>
        <item m="1" x="18"/>
        <item m="1" x="20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RDP [Un]" fld="6" baseField="46" baseItem="5"/>
    <dataField name="Suma de AUT [Un]" fld="8" baseField="46" baseItem="5"/>
  </dataFields>
  <formats count="8">
    <format dxfId="501">
      <pivotArea type="origin" dataOnly="0" labelOnly="1" outline="0" fieldPosition="0"/>
    </format>
    <format dxfId="500">
      <pivotArea field="-2" type="button" dataOnly="0" labelOnly="1" outline="0" axis="axisCol" fieldPosition="0"/>
    </format>
    <format dxfId="4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7">
      <pivotArea outline="0" collapsedLevelsAreSubtotals="1" fieldPosition="0"/>
    </format>
    <format dxfId="4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Between" evalOrder="-1" id="7708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4000000}" name="TablaDinámica2" cacheId="0" applyNumberFormats="0" applyBorderFormats="0" applyFontFormats="0" applyPatternFormats="0" applyAlignmentFormats="0" applyWidthHeightFormats="1" dataCaption="Despachos" updatedVersion="8" minRefreshableVersion="3" useAutoFormatting="1" rowGrandTotals="0" colGrandTotals="0" itemPrintTitles="1" createdVersion="6" indent="0" outline="1" outlineData="1" multipleFieldFilters="0" chartFormat="14">
  <location ref="A100:A112" firstHeaderRow="1" firstDataRow="1" firstDataCol="1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1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formats count="7">
    <format dxfId="508">
      <pivotArea type="origin" dataOnly="0" labelOnly="1" outline="0" fieldPosition="0"/>
    </format>
    <format dxfId="507">
      <pivotArea field="-2" type="button" dataOnly="0" labelOnly="1" outline="0"/>
    </format>
    <format dxfId="506">
      <pivotArea outline="0" collapsedLevelsAreSubtotals="1" fieldPosition="0"/>
    </format>
    <format dxfId="505">
      <pivotArea outline="0" collapsedLevelsAreSubtotals="1" fieldPosition="0"/>
    </format>
    <format dxfId="504">
      <pivotArea outline="0" collapsedLevelsAreSubtotals="1" fieldPosition="0"/>
    </format>
    <format dxfId="503">
      <pivotArea outline="0" collapsedLevelsAreSubtotals="1" fieldPosition="0"/>
    </format>
    <format dxfId="50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15000000}" name="TablaDinámica3" cacheId="0" applyNumberFormats="0" applyBorderFormats="0" applyFontFormats="0" applyPatternFormats="0" applyAlignmentFormats="0" applyWidthHeightFormats="1" dataCaption="Despachos" updatedVersion="8" minRefreshableVersion="3" useAutoFormatting="1" rowGrandTotals="0" colGrandTotals="0" itemPrintTitles="1" createdVersion="6" indent="0" outline="1" outlineData="1" multipleFieldFilters="0" chartFormat="14">
  <location ref="A115:C132" firstHeaderRow="1" firstDataRow="1" firstDataCol="0"/>
  <pivotFields count="92"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formats count="11">
    <format dxfId="519">
      <pivotArea type="origin" dataOnly="0" labelOnly="1" outline="0" fieldPosition="0"/>
    </format>
    <format dxfId="518">
      <pivotArea field="-2" type="button" dataOnly="0" labelOnly="1" outline="0"/>
    </format>
    <format dxfId="517">
      <pivotArea outline="0" collapsedLevelsAreSubtotals="1" fieldPosition="0"/>
    </format>
    <format dxfId="516">
      <pivotArea outline="0" collapsedLevelsAreSubtotals="1" fieldPosition="0"/>
    </format>
    <format dxfId="515">
      <pivotArea outline="0" collapsedLevelsAreSubtotals="1" fieldPosition="0"/>
    </format>
    <format dxfId="514">
      <pivotArea outline="0" collapsedLevelsAreSubtotals="1" fieldPosition="0"/>
    </format>
    <format dxfId="513">
      <pivotArea outline="0" collapsedLevelsAreSubtotals="1" fieldPosition="0"/>
    </format>
    <format dxfId="512">
      <pivotArea outline="0" collapsedLevelsAreSubtotals="1" fieldPosition="0"/>
    </format>
    <format dxfId="511">
      <pivotArea outline="0" collapsedLevelsAreSubtotals="1" fieldPosition="0"/>
    </format>
    <format dxfId="510">
      <pivotArea outline="0" collapsedLevelsAreSubtotals="1" fieldPosition="0"/>
    </format>
    <format dxfId="5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A000000}" name="HR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26">
  <location ref="EK3:EM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dataField="1" showAll="0"/>
    <pivotField showAll="0" defaultSubtotal="0"/>
    <pivotField numFmtId="3" showAll="0"/>
    <pivotField dataField="1"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2">
    <i>
      <x/>
    </i>
    <i i="1">
      <x v="1"/>
    </i>
  </colItems>
  <dataFields count="2">
    <dataField name="HR HGS  [BTU/kWh]" fld="62" baseField="50" baseItem="5" numFmtId="4"/>
    <dataField name="HR (GC/GE)  [BTU/kWh] " fld="65" baseField="50" baseItem="5" numFmtId="4"/>
  </dataFields>
  <formats count="6">
    <format dxfId="525">
      <pivotArea type="origin" dataOnly="0" labelOnly="1" outline="0" fieldPosition="0"/>
    </format>
    <format dxfId="524">
      <pivotArea field="-2" type="button" dataOnly="0" labelOnly="1" outline="0" axis="axisCol" fieldPosition="0"/>
    </format>
    <format dxfId="5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2">
      <pivotArea outline="0" fieldPosition="0">
        <references count="1">
          <reference field="4294967294" count="1">
            <x v="0"/>
          </reference>
        </references>
      </pivotArea>
    </format>
    <format dxfId="5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20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4000000}" name="Consumo Epecifico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12">
  <location ref="CH3:CJ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dataField="1"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dataField="1"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2">
    <i>
      <x/>
    </i>
    <i i="1">
      <x v="1"/>
    </i>
  </colItems>
  <dataFields count="2">
    <dataField name="G. Un.GE [MWh/Un]" fld="31" baseField="47" baseItem="5"/>
    <dataField name="C. Espe. DO Pilot [gal/Un]" fld="54" baseField="51" baseItem="5"/>
  </dataFields>
  <formats count="7">
    <format dxfId="532">
      <pivotArea type="origin" dataOnly="0" labelOnly="1" outline="0" fieldPosition="0"/>
    </format>
    <format dxfId="531">
      <pivotArea field="-2" type="button" dataOnly="0" labelOnly="1" outline="0" axis="axisCol" fieldPosition="0"/>
    </format>
    <format dxfId="530">
      <pivotArea dataOnly="0" labelOnly="1" outline="0" axis="axisValues" fieldPosition="0"/>
    </format>
    <format dxfId="529">
      <pivotArea dataOnly="0" labelOnly="1" outline="0" axis="axisValues" fieldPosition="0"/>
    </format>
    <format dxfId="528">
      <pivotArea dataOnly="0" outline="0" fieldPosition="0">
        <references count="1">
          <reference field="4294967294" count="1">
            <x v="1"/>
          </reference>
        </references>
      </pivotArea>
    </format>
    <format dxfId="527">
      <pivotArea outline="0" collapsedLevelsAreSubtotals="1" fieldPosition="0"/>
    </format>
    <format dxfId="5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Consumo combustibles" cacheId="0" applyNumberFormats="0" applyBorderFormats="0" applyFontFormats="0" applyPatternFormats="0" applyAlignmentFormats="0" applyWidthHeightFormats="1" dataCaption="Despachos" updatedVersion="8" minRefreshableVersion="5" useAutoFormatting="1" rowGrandTotals="0" colGrandTotals="0" itemPrintTitles="1" createdVersion="6" indent="0" outline="1" outlineData="1" multipleFieldFilters="0" chartFormat="49">
  <location ref="CL3:CO96" firstHeaderRow="0" firstDataRow="1" firstDataCol="1"/>
  <pivotFields count="92">
    <pivotField axis="axisRow"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 defaultSubtotal="0"/>
    <pivotField numFmtId="3" showAll="0" defaultSubtotal="0"/>
    <pivotField numFmtId="3" showAll="0" defaultSubtotal="0"/>
    <pivotField showAl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numFmtId="3" showAll="0" defaultSubtotal="0"/>
    <pivotField showAll="0"/>
    <pivotField numFmtId="4" showAll="0" defaultSubtotal="0"/>
    <pivotField numFmtId="4" showAll="0"/>
    <pivotField showAll="0"/>
    <pivotField showAll="0"/>
    <pivotField numFmtId="169" showAll="0" defaultSubtotal="0"/>
    <pivotField numFmtId="4" showAll="0" defaultSubtotal="0"/>
    <pivotField numFmtId="3" showAll="0"/>
    <pivotField numFmtId="3" showAll="0"/>
    <pivotField numFmtId="3" showAll="0" defaultSubtotal="0"/>
    <pivotField showAll="0" defaultSubtotal="0"/>
    <pivotField showAll="0"/>
    <pivotField numFmtId="4" showAll="0"/>
    <pivotField dataField="1" numFmtId="4" showAll="0" defaultSubtota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showAll="0" defaultSubtotal="0"/>
    <pivotField numFmtId="4" showAll="0"/>
    <pivotField dataField="1" numFmtId="4" showAll="0"/>
    <pivotField numFmtId="4" showAll="0"/>
    <pivotField numFmtId="4" showAll="0" defaultSubtota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showAll="0" defaultSubtotal="0"/>
    <pivotField showAll="0" defaultSubtotal="0"/>
    <pivotField numFmtId="3" showAll="0" defaultSubtotal="0"/>
    <pivotField numFmtId="4" showAll="0"/>
    <pivotField numFmtId="10" showAll="0"/>
    <pivotField showAll="0"/>
    <pivotField showAll="0" defaultSubtotal="0"/>
    <pivotField numFmtId="3" showAll="0"/>
    <pivotField numFmtId="3" showAll="0"/>
    <pivotField numFmtId="169" showAll="0" defaultSubtotal="0"/>
    <pivotField numFmtId="1" showAll="0" defaultSubtotal="0"/>
    <pivotField numFmtId="3" showAll="0" defaultSubtotal="0"/>
    <pivotField numFmtId="3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numFmtId="3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91"/>
    <field x="0"/>
  </rowFields>
  <rowItems count="93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3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</rowItems>
  <colFields count="1">
    <field x="-2"/>
  </colFields>
  <colItems count="3">
    <i>
      <x/>
    </i>
    <i i="1">
      <x v="1"/>
    </i>
    <i i="2">
      <x v="2"/>
    </i>
  </colItems>
  <dataFields count="3">
    <dataField name="C. DO Storage [gal]" fld="38" baseField="0" baseItem="0"/>
    <dataField name="C. DO Pilot [gal]" fld="40" baseField="51" baseItem="5"/>
    <dataField name="C. HFO [gal]" fld="47" baseField="51" baseItem="5"/>
  </dataFields>
  <formats count="5">
    <format dxfId="537">
      <pivotArea type="origin" dataOnly="0" labelOnly="1" outline="0" fieldPosition="0"/>
    </format>
    <format dxfId="536">
      <pivotArea field="-2" type="button" dataOnly="0" labelOnly="1" outline="0" axis="axisCol" fieldPosition="0"/>
    </format>
    <format dxfId="53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4">
      <pivotArea outline="0" collapsedLevelsAreSubtotals="1" fieldPosition="0"/>
    </format>
    <format dxfId="53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chartFormats count="3">
    <chartFormat chart="12" format="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6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707" name="Fecha">
      <autoFilter ref="A1">
        <filterColumn colId="0">
          <customFilters and="1">
            <customFilter operator="greaterThanOrEqual" val="44927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2" dataOnRows="1" applyNumberFormats="0" applyBorderFormats="0" applyFontFormats="0" applyPatternFormats="0" applyAlignmentFormats="0" applyWidthHeightFormats="1" dataCaption="Datos" updatedVersion="8" showMemberPropertyTips="0" useAutoFormatting="1" rowGrandTotals="0" itemPrintTitles="1" createdVersion="1" indent="0" compact="0" compactData="0" gridDropZones="1">
  <location ref="A3:Z369" firstHeaderRow="1" firstDataRow="2" firstDataCol="1"/>
  <pivotFields count="3">
    <pivotField axis="axisRow" compact="0" numFmtId="173" outline="0" subtotalTop="0" showAll="0" includeNewItemsInFilter="1" sortType="ascending">
      <items count="1463">
        <item m="1" x="930"/>
        <item m="1" x="396"/>
        <item m="1" x="942"/>
        <item m="1" x="408"/>
        <item m="1" x="951"/>
        <item m="1" x="417"/>
        <item m="1" x="963"/>
        <item m="1" x="426"/>
        <item m="1" x="972"/>
        <item m="1" x="435"/>
        <item m="1" x="984"/>
        <item m="1" x="447"/>
        <item m="1" x="993"/>
        <item m="1" x="456"/>
        <item m="1" x="1005"/>
        <item m="1" x="468"/>
        <item m="1" x="1017"/>
        <item m="1" x="480"/>
        <item m="1" x="1032"/>
        <item m="1" x="495"/>
        <item m="1" x="1047"/>
        <item m="1" x="510"/>
        <item m="1" x="1065"/>
        <item m="1" x="528"/>
        <item m="1" x="1083"/>
        <item m="1" x="546"/>
        <item m="1" x="1104"/>
        <item m="1" x="567"/>
        <item m="1" x="1125"/>
        <item m="1" x="588"/>
        <item m="1" x="1149"/>
        <item m="1" x="953"/>
        <item m="1" x="419"/>
        <item m="1" x="965"/>
        <item m="1" x="428"/>
        <item m="1" x="974"/>
        <item m="1" x="437"/>
        <item m="1" x="986"/>
        <item m="1" x="449"/>
        <item m="1" x="995"/>
        <item m="1" x="458"/>
        <item m="1" x="1007"/>
        <item m="1" x="470"/>
        <item m="1" x="1019"/>
        <item m="1" x="482"/>
        <item m="1" x="1034"/>
        <item m="1" x="497"/>
        <item m="1" x="1049"/>
        <item m="1" x="512"/>
        <item m="1" x="1067"/>
        <item m="1" x="530"/>
        <item m="1" x="1085"/>
        <item m="1" x="548"/>
        <item m="1" x="1106"/>
        <item m="1" x="569"/>
        <item m="1" x="1127"/>
        <item m="1" x="590"/>
        <item m="1" x="1151"/>
        <item m="1" x="612"/>
        <item m="1" x="1173"/>
        <item m="1" x="977"/>
        <item m="1" x="440"/>
        <item m="1" x="989"/>
        <item m="1" x="452"/>
        <item m="1" x="998"/>
        <item m="1" x="461"/>
        <item m="1" x="1010"/>
        <item m="1" x="473"/>
        <item m="1" x="1022"/>
        <item m="1" x="485"/>
        <item m="1" x="1037"/>
        <item m="1" x="500"/>
        <item m="1" x="1052"/>
        <item m="1" x="515"/>
        <item m="1" x="1070"/>
        <item m="1" x="533"/>
        <item m="1" x="1088"/>
        <item m="1" x="551"/>
        <item m="1" x="1109"/>
        <item m="1" x="572"/>
        <item m="1" x="1130"/>
        <item m="1" x="593"/>
        <item m="1" x="1154"/>
        <item m="1" x="614"/>
        <item m="1" x="1174"/>
        <item m="1" x="633"/>
        <item m="1" x="1195"/>
        <item m="1" x="654"/>
        <item m="1" x="1216"/>
        <item m="1" x="675"/>
        <item m="1" x="1240"/>
        <item m="1" x="1001"/>
        <item m="1" x="464"/>
        <item m="1" x="1013"/>
        <item m="1" x="476"/>
        <item m="1" x="1025"/>
        <item m="1" x="488"/>
        <item m="1" x="1040"/>
        <item m="1" x="503"/>
        <item m="1" x="1055"/>
        <item m="1" x="518"/>
        <item m="1" x="1073"/>
        <item m="1" x="536"/>
        <item m="1" x="1091"/>
        <item m="1" x="554"/>
        <item m="1" x="1112"/>
        <item m="1" x="575"/>
        <item m="1" x="1133"/>
        <item m="1" x="596"/>
        <item m="1" x="1157"/>
        <item m="1" x="617"/>
        <item m="1" x="1176"/>
        <item m="1" x="635"/>
        <item m="1" x="1197"/>
        <item m="1" x="656"/>
        <item m="1" x="1218"/>
        <item m="1" x="677"/>
        <item m="1" x="1242"/>
        <item m="1" x="699"/>
        <item m="1" x="1264"/>
        <item m="1" x="720"/>
        <item m="1" x="1028"/>
        <item m="1" x="491"/>
        <item m="1" x="1043"/>
        <item m="1" x="506"/>
        <item m="1" x="1058"/>
        <item m="1" x="521"/>
        <item m="1" x="1076"/>
        <item m="1" x="539"/>
        <item m="1" x="1094"/>
        <item m="1" x="557"/>
        <item m="1" x="1115"/>
        <item m="1" x="578"/>
        <item m="1" x="1136"/>
        <item m="1" x="599"/>
        <item m="1" x="1160"/>
        <item m="1" x="620"/>
        <item m="1" x="1179"/>
        <item m="1" x="638"/>
        <item m="1" x="1200"/>
        <item m="1" x="659"/>
        <item m="1" x="1221"/>
        <item m="1" x="680"/>
        <item m="1" x="1245"/>
        <item m="1" x="701"/>
        <item m="1" x="1266"/>
        <item m="1" x="722"/>
        <item m="1" x="1288"/>
        <item m="1" x="744"/>
        <item m="1" x="1309"/>
        <item m="1" x="765"/>
        <item m="1" x="1333"/>
        <item m="1" x="1061"/>
        <item m="1" x="524"/>
        <item m="1" x="1079"/>
        <item m="1" x="542"/>
        <item m="1" x="1097"/>
        <item m="1" x="560"/>
        <item m="1" x="1118"/>
        <item m="1" x="581"/>
        <item m="1" x="1139"/>
        <item m="1" x="602"/>
        <item m="1" x="1163"/>
        <item m="1" x="623"/>
        <item m="1" x="1182"/>
        <item m="1" x="641"/>
        <item m="1" x="1203"/>
        <item m="1" x="662"/>
        <item m="1" x="1224"/>
        <item m="1" x="683"/>
        <item m="1" x="1248"/>
        <item m="1" x="704"/>
        <item m="1" x="1269"/>
        <item m="1" x="725"/>
        <item m="1" x="1290"/>
        <item m="1" x="746"/>
        <item m="1" x="1311"/>
        <item m="1" x="767"/>
        <item m="1" x="1335"/>
        <item m="1" x="789"/>
        <item m="1" x="1357"/>
        <item m="1" x="810"/>
        <item m="1" x="1100"/>
        <item m="1" x="563"/>
        <item m="1" x="1121"/>
        <item m="1" x="584"/>
        <item m="1" x="1142"/>
        <item m="1" x="605"/>
        <item m="1" x="1166"/>
        <item m="1" x="626"/>
        <item m="1" x="1185"/>
        <item m="1" x="644"/>
        <item m="1" x="1206"/>
        <item m="1" x="665"/>
        <item m="1" x="1227"/>
        <item m="1" x="686"/>
        <item m="1" x="1251"/>
        <item m="1" x="707"/>
        <item m="1" x="1272"/>
        <item m="1" x="728"/>
        <item m="1" x="1293"/>
        <item m="1" x="749"/>
        <item m="1" x="1314"/>
        <item m="1" x="770"/>
        <item m="1" x="1338"/>
        <item m="1" x="791"/>
        <item m="1" x="1359"/>
        <item m="1" x="812"/>
        <item m="1" x="1378"/>
        <item m="1" x="831"/>
        <item m="1" x="1396"/>
        <item m="1" x="849"/>
        <item m="1" x="1414"/>
        <item m="1" x="1145"/>
        <item m="1" x="608"/>
        <item m="1" x="1169"/>
        <item m="1" x="629"/>
        <item m="1" x="1188"/>
        <item m="1" x="647"/>
        <item m="1" x="1209"/>
        <item m="1" x="668"/>
        <item m="1" x="1230"/>
        <item m="1" x="689"/>
        <item m="1" x="1254"/>
        <item m="1" x="710"/>
        <item m="1" x="1275"/>
        <item m="1" x="731"/>
        <item m="1" x="1296"/>
        <item m="1" x="752"/>
        <item m="1" x="1317"/>
        <item m="1" x="773"/>
        <item m="1" x="1341"/>
        <item m="1" x="794"/>
        <item m="1" x="1362"/>
        <item m="1" x="815"/>
        <item m="1" x="1380"/>
        <item m="1" x="833"/>
        <item m="1" x="1398"/>
        <item m="1" x="851"/>
        <item m="1" x="1416"/>
        <item m="1" x="867"/>
        <item m="1" x="1432"/>
        <item m="1" x="882"/>
        <item m="1" x="1447"/>
        <item m="1" x="1191"/>
        <item m="1" x="650"/>
        <item m="1" x="1212"/>
        <item m="1" x="671"/>
        <item m="1" x="1233"/>
        <item m="1" x="692"/>
        <item m="1" x="1257"/>
        <item m="1" x="713"/>
        <item m="1" x="1278"/>
        <item m="1" x="734"/>
        <item m="1" x="1299"/>
        <item m="1" x="755"/>
        <item m="1" x="1320"/>
        <item m="1" x="776"/>
        <item m="1" x="1344"/>
        <item m="1" x="797"/>
        <item m="1" x="1365"/>
        <item m="1" x="818"/>
        <item m="1" x="1383"/>
        <item m="1" x="836"/>
        <item m="1" x="1401"/>
        <item m="1" x="854"/>
        <item m="1" x="1419"/>
        <item m="1" x="869"/>
        <item m="1" x="1434"/>
        <item m="1" x="884"/>
        <item m="1" x="1449"/>
        <item m="1" x="897"/>
        <item m="1" x="366"/>
        <item m="1" x="909"/>
        <item m="1" x="1236"/>
        <item m="1" x="695"/>
        <item m="1" x="1260"/>
        <item m="1" x="716"/>
        <item m="1" x="1281"/>
        <item m="1" x="737"/>
        <item m="1" x="1302"/>
        <item m="1" x="758"/>
        <item m="1" x="1323"/>
        <item m="1" x="779"/>
        <item m="1" x="1347"/>
        <item m="1" x="800"/>
        <item m="1" x="1368"/>
        <item m="1" x="821"/>
        <item m="1" x="1386"/>
        <item m="1" x="839"/>
        <item m="1" x="1404"/>
        <item m="1" x="857"/>
        <item m="1" x="1422"/>
        <item m="1" x="872"/>
        <item m="1" x="1437"/>
        <item m="1" x="887"/>
        <item m="1" x="1452"/>
        <item m="1" x="899"/>
        <item m="1" x="368"/>
        <item m="1" x="911"/>
        <item m="1" x="378"/>
        <item m="1" x="921"/>
        <item m="1" x="387"/>
        <item m="1" x="933"/>
        <item m="1" x="399"/>
        <item m="1" x="1284"/>
        <item m="1" x="740"/>
        <item m="1" x="1305"/>
        <item m="1" x="761"/>
        <item m="1" x="1326"/>
        <item m="1" x="782"/>
        <item m="1" x="1350"/>
        <item m="1" x="803"/>
        <item m="1" x="1371"/>
        <item m="1" x="824"/>
        <item m="1" x="1389"/>
        <item m="1" x="842"/>
        <item m="1" x="1407"/>
        <item m="1" x="860"/>
        <item m="1" x="1425"/>
        <item m="1" x="875"/>
        <item m="1" x="1440"/>
        <item m="1" x="890"/>
        <item m="1" x="1455"/>
        <item m="1" x="902"/>
        <item m="1" x="371"/>
        <item m="1" x="914"/>
        <item m="1" x="380"/>
        <item m="1" x="923"/>
        <item m="1" x="389"/>
        <item m="1" x="935"/>
        <item m="1" x="401"/>
        <item m="1" x="945"/>
        <item m="1" x="411"/>
        <item m="1" x="957"/>
        <item m="1" x="1329"/>
        <item m="1" x="785"/>
        <item m="1" x="1353"/>
        <item m="1" x="806"/>
        <item m="1" x="1374"/>
        <item m="1" x="827"/>
        <item m="1" x="1392"/>
        <item m="1" x="845"/>
        <item m="1" x="1410"/>
        <item m="1" x="863"/>
        <item m="1" x="1428"/>
        <item m="1" x="878"/>
        <item m="1" x="1443"/>
        <item m="1" x="893"/>
        <item m="1" x="1458"/>
        <item m="1" x="905"/>
        <item m="1" x="374"/>
        <item m="1" x="917"/>
        <item m="1" x="383"/>
        <item m="1" x="926"/>
        <item m="1" x="392"/>
        <item m="1" x="938"/>
        <item m="1" x="404"/>
        <item m="1" x="947"/>
        <item m="1" x="413"/>
        <item m="1" x="959"/>
        <item m="1" x="423"/>
        <item m="1" x="969"/>
        <item m="1" x="432"/>
        <item m="1" x="981"/>
        <item m="1" x="444"/>
        <item m="1" x="931"/>
        <item m="1" x="397"/>
        <item m="1" x="943"/>
        <item m="1" x="409"/>
        <item m="1" x="952"/>
        <item m="1" x="418"/>
        <item m="1" x="964"/>
        <item m="1" x="427"/>
        <item m="1" x="973"/>
        <item m="1" x="436"/>
        <item m="1" x="985"/>
        <item m="1" x="448"/>
        <item m="1" x="994"/>
        <item m="1" x="457"/>
        <item m="1" x="1006"/>
        <item m="1" x="469"/>
        <item m="1" x="1018"/>
        <item m="1" x="481"/>
        <item m="1" x="1033"/>
        <item m="1" x="496"/>
        <item m="1" x="1048"/>
        <item m="1" x="511"/>
        <item m="1" x="1066"/>
        <item m="1" x="529"/>
        <item m="1" x="1084"/>
        <item m="1" x="547"/>
        <item m="1" x="1105"/>
        <item m="1" x="568"/>
        <item m="1" x="1126"/>
        <item m="1" x="589"/>
        <item m="1" x="1150"/>
        <item m="1" x="955"/>
        <item m="1" x="421"/>
        <item m="1" x="967"/>
        <item m="1" x="430"/>
        <item m="1" x="976"/>
        <item m="1" x="439"/>
        <item m="1" x="988"/>
        <item m="1" x="451"/>
        <item m="1" x="997"/>
        <item m="1" x="460"/>
        <item m="1" x="1009"/>
        <item m="1" x="472"/>
        <item m="1" x="1021"/>
        <item m="1" x="484"/>
        <item m="1" x="1036"/>
        <item m="1" x="499"/>
        <item m="1" x="1051"/>
        <item m="1" x="514"/>
        <item m="1" x="1069"/>
        <item m="1" x="532"/>
        <item m="1" x="1087"/>
        <item m="1" x="550"/>
        <item m="1" x="1108"/>
        <item m="1" x="571"/>
        <item m="1" x="1129"/>
        <item m="1" x="592"/>
        <item m="1" x="1153"/>
        <item m="1" x="613"/>
        <item m="1" x="979"/>
        <item m="1" x="442"/>
        <item m="1" x="991"/>
        <item m="1" x="454"/>
        <item m="1" x="1000"/>
        <item m="1" x="463"/>
        <item m="1" x="1012"/>
        <item m="1" x="475"/>
        <item m="1" x="1024"/>
        <item m="1" x="487"/>
        <item m="1" x="1039"/>
        <item m="1" x="502"/>
        <item m="1" x="1054"/>
        <item m="1" x="517"/>
        <item m="1" x="1072"/>
        <item m="1" x="535"/>
        <item m="1" x="1090"/>
        <item m="1" x="553"/>
        <item m="1" x="1111"/>
        <item m="1" x="574"/>
        <item m="1" x="1132"/>
        <item m="1" x="595"/>
        <item m="1" x="1156"/>
        <item m="1" x="616"/>
        <item m="1" x="1175"/>
        <item m="1" x="634"/>
        <item m="1" x="1196"/>
        <item m="1" x="655"/>
        <item m="1" x="1217"/>
        <item m="1" x="676"/>
        <item m="1" x="1241"/>
        <item m="1" x="1003"/>
        <item m="1" x="466"/>
        <item m="1" x="1015"/>
        <item m="1" x="478"/>
        <item m="1" x="1027"/>
        <item m="1" x="490"/>
        <item m="1" x="1042"/>
        <item m="1" x="505"/>
        <item m="1" x="1057"/>
        <item m="1" x="520"/>
        <item m="1" x="1075"/>
        <item m="1" x="538"/>
        <item m="1" x="1093"/>
        <item m="1" x="556"/>
        <item m="1" x="1114"/>
        <item m="1" x="577"/>
        <item m="1" x="1135"/>
        <item m="1" x="598"/>
        <item m="1" x="1159"/>
        <item m="1" x="619"/>
        <item m="1" x="1178"/>
        <item m="1" x="637"/>
        <item m="1" x="1199"/>
        <item m="1" x="658"/>
        <item m="1" x="1220"/>
        <item m="1" x="679"/>
        <item m="1" x="1244"/>
        <item m="1" x="700"/>
        <item m="1" x="1265"/>
        <item m="1" x="721"/>
        <item m="1" x="1030"/>
        <item m="1" x="493"/>
        <item m="1" x="1045"/>
        <item m="1" x="508"/>
        <item m="1" x="1060"/>
        <item m="1" x="523"/>
        <item m="1" x="1078"/>
        <item m="1" x="541"/>
        <item m="1" x="1096"/>
        <item m="1" x="559"/>
        <item m="1" x="1117"/>
        <item m="1" x="580"/>
        <item m="1" x="1138"/>
        <item m="1" x="601"/>
        <item m="1" x="1162"/>
        <item m="1" x="622"/>
        <item m="1" x="1181"/>
        <item m="1" x="640"/>
        <item m="1" x="1202"/>
        <item m="1" x="661"/>
        <item m="1" x="1223"/>
        <item m="1" x="682"/>
        <item m="1" x="1247"/>
        <item m="1" x="703"/>
        <item m="1" x="1268"/>
        <item m="1" x="724"/>
        <item m="1" x="1289"/>
        <item m="1" x="745"/>
        <item m="1" x="1310"/>
        <item m="1" x="766"/>
        <item m="1" x="1334"/>
        <item m="1" x="1063"/>
        <item m="1" x="526"/>
        <item m="1" x="1081"/>
        <item m="1" x="544"/>
        <item m="1" x="1099"/>
        <item m="1" x="562"/>
        <item m="1" x="1120"/>
        <item m="1" x="583"/>
        <item m="1" x="1141"/>
        <item m="1" x="604"/>
        <item m="1" x="1165"/>
        <item m="1" x="625"/>
        <item m="1" x="1184"/>
        <item m="1" x="643"/>
        <item m="1" x="1205"/>
        <item m="1" x="664"/>
        <item m="1" x="1226"/>
        <item m="1" x="685"/>
        <item m="1" x="1250"/>
        <item m="1" x="706"/>
        <item m="1" x="1271"/>
        <item m="1" x="727"/>
        <item m="1" x="1292"/>
        <item m="1" x="748"/>
        <item m="1" x="1313"/>
        <item m="1" x="769"/>
        <item m="1" x="1337"/>
        <item m="1" x="790"/>
        <item m="1" x="1358"/>
        <item m="1" x="811"/>
        <item m="1" x="1102"/>
        <item m="1" x="565"/>
        <item m="1" x="1123"/>
        <item m="1" x="586"/>
        <item m="1" x="1144"/>
        <item m="1" x="607"/>
        <item m="1" x="1168"/>
        <item m="1" x="628"/>
        <item m="1" x="1187"/>
        <item m="1" x="646"/>
        <item m="1" x="1208"/>
        <item m="1" x="667"/>
        <item m="1" x="1229"/>
        <item m="1" x="688"/>
        <item m="1" x="1253"/>
        <item m="1" x="709"/>
        <item m="1" x="1274"/>
        <item m="1" x="730"/>
        <item m="1" x="1295"/>
        <item m="1" x="751"/>
        <item m="1" x="1316"/>
        <item m="1" x="772"/>
        <item m="1" x="1340"/>
        <item m="1" x="793"/>
        <item m="1" x="1361"/>
        <item m="1" x="814"/>
        <item m="1" x="1379"/>
        <item m="1" x="832"/>
        <item m="1" x="1397"/>
        <item m="1" x="850"/>
        <item m="1" x="1415"/>
        <item m="1" x="1147"/>
        <item m="1" x="610"/>
        <item m="1" x="1171"/>
        <item m="1" x="631"/>
        <item m="1" x="1190"/>
        <item m="1" x="649"/>
        <item m="1" x="1211"/>
        <item m="1" x="670"/>
        <item m="1" x="1232"/>
        <item m="1" x="691"/>
        <item m="1" x="1256"/>
        <item m="1" x="712"/>
        <item m="1" x="1277"/>
        <item m="1" x="733"/>
        <item m="1" x="1298"/>
        <item m="1" x="754"/>
        <item m="1" x="1319"/>
        <item m="1" x="775"/>
        <item m="1" x="1343"/>
        <item m="1" x="796"/>
        <item m="1" x="1364"/>
        <item m="1" x="817"/>
        <item m="1" x="1382"/>
        <item m="1" x="835"/>
        <item m="1" x="1400"/>
        <item m="1" x="853"/>
        <item m="1" x="1418"/>
        <item m="1" x="868"/>
        <item m="1" x="1433"/>
        <item m="1" x="883"/>
        <item m="1" x="1448"/>
        <item m="1" x="1193"/>
        <item m="1" x="652"/>
        <item m="1" x="1214"/>
        <item m="1" x="673"/>
        <item m="1" x="1235"/>
        <item m="1" x="694"/>
        <item m="1" x="1259"/>
        <item m="1" x="715"/>
        <item m="1" x="1280"/>
        <item m="1" x="736"/>
        <item m="1" x="1301"/>
        <item m="1" x="757"/>
        <item m="1" x="1322"/>
        <item m="1" x="778"/>
        <item m="1" x="1346"/>
        <item m="1" x="799"/>
        <item m="1" x="1367"/>
        <item m="1" x="820"/>
        <item m="1" x="1385"/>
        <item m="1" x="838"/>
        <item m="1" x="1403"/>
        <item m="1" x="856"/>
        <item m="1" x="1421"/>
        <item m="1" x="871"/>
        <item m="1" x="1436"/>
        <item m="1" x="886"/>
        <item m="1" x="1451"/>
        <item m="1" x="898"/>
        <item m="1" x="367"/>
        <item m="1" x="910"/>
        <item m="1" x="1238"/>
        <item m="1" x="697"/>
        <item m="1" x="1262"/>
        <item m="1" x="718"/>
        <item m="1" x="1283"/>
        <item m="1" x="739"/>
        <item m="1" x="1304"/>
        <item m="1" x="760"/>
        <item m="1" x="1325"/>
        <item m="1" x="781"/>
        <item m="1" x="1349"/>
        <item m="1" x="802"/>
        <item m="1" x="1370"/>
        <item m="1" x="823"/>
        <item m="1" x="1388"/>
        <item m="1" x="841"/>
        <item m="1" x="1406"/>
        <item m="1" x="859"/>
        <item m="1" x="1424"/>
        <item m="1" x="874"/>
        <item m="1" x="1439"/>
        <item m="1" x="889"/>
        <item m="1" x="1454"/>
        <item m="1" x="901"/>
        <item m="1" x="370"/>
        <item m="1" x="913"/>
        <item m="1" x="379"/>
        <item m="1" x="922"/>
        <item m="1" x="388"/>
        <item m="1" x="934"/>
        <item m="1" x="400"/>
        <item m="1" x="1286"/>
        <item m="1" x="742"/>
        <item m="1" x="1307"/>
        <item m="1" x="763"/>
        <item m="1" x="1328"/>
        <item m="1" x="784"/>
        <item m="1" x="1352"/>
        <item m="1" x="805"/>
        <item m="1" x="1373"/>
        <item m="1" x="826"/>
        <item m="1" x="1391"/>
        <item m="1" x="844"/>
        <item m="1" x="1409"/>
        <item m="1" x="862"/>
        <item m="1" x="1427"/>
        <item m="1" x="877"/>
        <item m="1" x="1442"/>
        <item m="1" x="892"/>
        <item m="1" x="1457"/>
        <item m="1" x="904"/>
        <item m="1" x="373"/>
        <item m="1" x="916"/>
        <item m="1" x="382"/>
        <item m="1" x="925"/>
        <item m="1" x="391"/>
        <item m="1" x="937"/>
        <item m="1" x="403"/>
        <item m="1" x="946"/>
        <item m="1" x="412"/>
        <item m="1" x="958"/>
        <item m="1" x="1331"/>
        <item m="1" x="787"/>
        <item m="1" x="1355"/>
        <item m="1" x="808"/>
        <item m="1" x="1376"/>
        <item m="1" x="829"/>
        <item m="1" x="1394"/>
        <item m="1" x="847"/>
        <item m="1" x="1412"/>
        <item m="1" x="865"/>
        <item m="1" x="1430"/>
        <item m="1" x="880"/>
        <item m="1" x="1445"/>
        <item m="1" x="895"/>
        <item m="1" x="1460"/>
        <item m="1" x="907"/>
        <item m="1" x="376"/>
        <item m="1" x="919"/>
        <item m="1" x="385"/>
        <item m="1" x="928"/>
        <item m="1" x="394"/>
        <item m="1" x="940"/>
        <item m="1" x="406"/>
        <item m="1" x="949"/>
        <item m="1" x="415"/>
        <item m="1" x="961"/>
        <item m="1" x="424"/>
        <item m="1" x="970"/>
        <item m="1" x="433"/>
        <item m="1" x="982"/>
        <item m="1" x="445"/>
        <item m="1" x="932"/>
        <item m="1" x="398"/>
        <item m="1" x="944"/>
        <item m="1" x="410"/>
        <item m="1" x="954"/>
        <item m="1" x="420"/>
        <item m="1" x="966"/>
        <item m="1" x="429"/>
        <item m="1" x="975"/>
        <item m="1" x="438"/>
        <item m="1" x="987"/>
        <item m="1" x="450"/>
        <item m="1" x="996"/>
        <item m="1" x="459"/>
        <item m="1" x="1008"/>
        <item m="1" x="471"/>
        <item m="1" x="1020"/>
        <item m="1" x="483"/>
        <item m="1" x="1035"/>
        <item m="1" x="498"/>
        <item m="1" x="1050"/>
        <item m="1" x="513"/>
        <item m="1" x="1068"/>
        <item m="1" x="531"/>
        <item m="1" x="1086"/>
        <item m="1" x="549"/>
        <item m="1" x="1107"/>
        <item m="1" x="570"/>
        <item m="1" x="1128"/>
        <item m="1" x="591"/>
        <item m="1" x="1152"/>
        <item m="1" x="956"/>
        <item m="1" x="422"/>
        <item m="1" x="968"/>
        <item m="1" x="431"/>
        <item m="1" x="978"/>
        <item m="1" x="441"/>
        <item m="1" x="990"/>
        <item m="1" x="453"/>
        <item m="1" x="999"/>
        <item m="1" x="462"/>
        <item m="1" x="1011"/>
        <item m="1" x="474"/>
        <item m="1" x="1023"/>
        <item m="1" x="486"/>
        <item m="1" x="1038"/>
        <item m="1" x="501"/>
        <item m="1" x="1053"/>
        <item m="1" x="516"/>
        <item m="1" x="1071"/>
        <item m="1" x="534"/>
        <item m="1" x="1089"/>
        <item m="1" x="552"/>
        <item m="1" x="1110"/>
        <item m="1" x="573"/>
        <item m="1" x="1131"/>
        <item m="1" x="594"/>
        <item m="1" x="1155"/>
        <item m="1" x="615"/>
        <item m="1" x="980"/>
        <item m="1" x="443"/>
        <item m="1" x="992"/>
        <item m="1" x="455"/>
        <item m="1" x="1002"/>
        <item m="1" x="465"/>
        <item m="1" x="1014"/>
        <item m="1" x="477"/>
        <item m="1" x="1026"/>
        <item m="1" x="489"/>
        <item m="1" x="1041"/>
        <item m="1" x="504"/>
        <item m="1" x="1056"/>
        <item m="1" x="519"/>
        <item m="1" x="1074"/>
        <item m="1" x="537"/>
        <item m="1" x="1092"/>
        <item m="1" x="555"/>
        <item m="1" x="1113"/>
        <item m="1" x="576"/>
        <item m="1" x="1134"/>
        <item m="1" x="597"/>
        <item m="1" x="1158"/>
        <item m="1" x="618"/>
        <item m="1" x="1177"/>
        <item m="1" x="636"/>
        <item m="1" x="1198"/>
        <item m="1" x="657"/>
        <item m="1" x="1219"/>
        <item m="1" x="678"/>
        <item m="1" x="1243"/>
        <item m="1" x="1004"/>
        <item m="1" x="467"/>
        <item m="1" x="1016"/>
        <item m="1" x="479"/>
        <item m="1" x="1029"/>
        <item m="1" x="492"/>
        <item m="1" x="1044"/>
        <item m="1" x="507"/>
        <item m="1" x="1059"/>
        <item m="1" x="522"/>
        <item m="1" x="1077"/>
        <item m="1" x="540"/>
        <item m="1" x="1095"/>
        <item m="1" x="558"/>
        <item m="1" x="1116"/>
        <item m="1" x="579"/>
        <item m="1" x="1137"/>
        <item m="1" x="600"/>
        <item m="1" x="1161"/>
        <item m="1" x="621"/>
        <item m="1" x="1180"/>
        <item m="1" x="639"/>
        <item m="1" x="1201"/>
        <item m="1" x="660"/>
        <item m="1" x="1222"/>
        <item m="1" x="681"/>
        <item m="1" x="1246"/>
        <item m="1" x="702"/>
        <item m="1" x="1267"/>
        <item m="1" x="723"/>
        <item m="1" x="1031"/>
        <item m="1" x="494"/>
        <item m="1" x="1046"/>
        <item m="1" x="509"/>
        <item m="1" x="1062"/>
        <item m="1" x="525"/>
        <item m="1" x="1080"/>
        <item m="1" x="543"/>
        <item m="1" x="1098"/>
        <item m="1" x="561"/>
        <item m="1" x="1119"/>
        <item m="1" x="582"/>
        <item m="1" x="1140"/>
        <item m="1" x="603"/>
        <item m="1" x="1164"/>
        <item m="1" x="624"/>
        <item m="1" x="1183"/>
        <item m="1" x="642"/>
        <item m="1" x="1204"/>
        <item m="1" x="663"/>
        <item m="1" x="1225"/>
        <item m="1" x="684"/>
        <item m="1" x="1249"/>
        <item m="1" x="705"/>
        <item m="1" x="1270"/>
        <item m="1" x="726"/>
        <item m="1" x="1291"/>
        <item m="1" x="747"/>
        <item m="1" x="1312"/>
        <item m="1" x="768"/>
        <item m="1" x="1336"/>
        <item m="1" x="1064"/>
        <item m="1" x="527"/>
        <item m="1" x="1082"/>
        <item m="1" x="545"/>
        <item m="1" x="1101"/>
        <item m="1" x="564"/>
        <item m="1" x="1122"/>
        <item m="1" x="585"/>
        <item m="1" x="1143"/>
        <item m="1" x="606"/>
        <item m="1" x="1167"/>
        <item m="1" x="627"/>
        <item m="1" x="1186"/>
        <item m="1" x="645"/>
        <item m="1" x="1207"/>
        <item m="1" x="666"/>
        <item m="1" x="1228"/>
        <item m="1" x="687"/>
        <item m="1" x="1252"/>
        <item m="1" x="708"/>
        <item m="1" x="1273"/>
        <item m="1" x="729"/>
        <item m="1" x="1294"/>
        <item m="1" x="750"/>
        <item m="1" x="1315"/>
        <item m="1" x="771"/>
        <item m="1" x="1339"/>
        <item m="1" x="792"/>
        <item m="1" x="1360"/>
        <item m="1" x="813"/>
        <item m="1" x="1103"/>
        <item m="1" x="566"/>
        <item m="1" x="1124"/>
        <item m="1" x="587"/>
        <item m="1" x="1146"/>
        <item m="1" x="609"/>
        <item m="1" x="1170"/>
        <item m="1" x="630"/>
        <item m="1" x="1189"/>
        <item m="1" x="648"/>
        <item m="1" x="1210"/>
        <item m="1" x="669"/>
        <item m="1" x="1231"/>
        <item m="1" x="690"/>
        <item m="1" x="1255"/>
        <item m="1" x="711"/>
        <item m="1" x="1276"/>
        <item m="1" x="732"/>
        <item m="1" x="1297"/>
        <item m="1" x="753"/>
        <item m="1" x="1318"/>
        <item m="1" x="774"/>
        <item m="1" x="1342"/>
        <item m="1" x="795"/>
        <item m="1" x="1363"/>
        <item m="1" x="816"/>
        <item m="1" x="1381"/>
        <item m="1" x="834"/>
        <item m="1" x="1399"/>
        <item m="1" x="852"/>
        <item m="1" x="1417"/>
        <item m="1" x="1148"/>
        <item m="1" x="611"/>
        <item m="1" x="1172"/>
        <item m="1" x="632"/>
        <item m="1" x="1192"/>
        <item m="1" x="651"/>
        <item m="1" x="1213"/>
        <item m="1" x="672"/>
        <item m="1" x="1234"/>
        <item m="1" x="693"/>
        <item m="1" x="1258"/>
        <item m="1" x="714"/>
        <item m="1" x="1279"/>
        <item m="1" x="735"/>
        <item m="1" x="1300"/>
        <item m="1" x="756"/>
        <item m="1" x="1321"/>
        <item m="1" x="777"/>
        <item m="1" x="1345"/>
        <item m="1" x="798"/>
        <item m="1" x="1366"/>
        <item m="1" x="819"/>
        <item m="1" x="1384"/>
        <item m="1" x="837"/>
        <item m="1" x="1402"/>
        <item m="1" x="855"/>
        <item m="1" x="1420"/>
        <item m="1" x="870"/>
        <item m="1" x="1435"/>
        <item m="1" x="885"/>
        <item m="1" x="1450"/>
        <item m="1" x="1194"/>
        <item m="1" x="653"/>
        <item m="1" x="1215"/>
        <item m="1" x="674"/>
        <item m="1" x="1237"/>
        <item m="1" x="696"/>
        <item m="1" x="1261"/>
        <item m="1" x="717"/>
        <item m="1" x="1282"/>
        <item m="1" x="738"/>
        <item m="1" x="1303"/>
        <item m="1" x="759"/>
        <item m="1" x="1324"/>
        <item m="1" x="780"/>
        <item m="1" x="1348"/>
        <item m="1" x="801"/>
        <item m="1" x="1369"/>
        <item m="1" x="822"/>
        <item m="1" x="1387"/>
        <item m="1" x="840"/>
        <item m="1" x="1405"/>
        <item m="1" x="858"/>
        <item m="1" x="1423"/>
        <item m="1" x="873"/>
        <item m="1" x="1438"/>
        <item m="1" x="888"/>
        <item m="1" x="1453"/>
        <item m="1" x="900"/>
        <item m="1" x="369"/>
        <item m="1" x="912"/>
        <item m="1" x="1239"/>
        <item m="1" x="698"/>
        <item m="1" x="1263"/>
        <item m="1" x="719"/>
        <item m="1" x="1285"/>
        <item m="1" x="741"/>
        <item m="1" x="1306"/>
        <item m="1" x="762"/>
        <item m="1" x="1327"/>
        <item m="1" x="783"/>
        <item m="1" x="1351"/>
        <item m="1" x="804"/>
        <item m="1" x="1372"/>
        <item m="1" x="825"/>
        <item m="1" x="1390"/>
        <item m="1" x="843"/>
        <item m="1" x="1408"/>
        <item m="1" x="861"/>
        <item m="1" x="1426"/>
        <item m="1" x="876"/>
        <item m="1" x="1441"/>
        <item m="1" x="891"/>
        <item m="1" x="1456"/>
        <item m="1" x="903"/>
        <item m="1" x="372"/>
        <item m="1" x="915"/>
        <item m="1" x="381"/>
        <item m="1" x="924"/>
        <item m="1" x="390"/>
        <item m="1" x="936"/>
        <item m="1" x="402"/>
        <item m="1" x="1287"/>
        <item m="1" x="743"/>
        <item m="1" x="1308"/>
        <item m="1" x="764"/>
        <item m="1" x="1330"/>
        <item m="1" x="786"/>
        <item m="1" x="1354"/>
        <item m="1" x="807"/>
        <item m="1" x="1375"/>
        <item m="1" x="828"/>
        <item m="1" x="1393"/>
        <item m="1" x="846"/>
        <item m="1" x="1411"/>
        <item m="1" x="864"/>
        <item m="1" x="1429"/>
        <item m="1" x="879"/>
        <item m="1" x="1444"/>
        <item m="1" x="894"/>
        <item m="1" x="1459"/>
        <item m="1" x="906"/>
        <item m="1" x="375"/>
        <item m="1" x="918"/>
        <item m="1" x="384"/>
        <item m="1" x="927"/>
        <item m="1" x="393"/>
        <item m="1" x="939"/>
        <item m="1" x="405"/>
        <item m="1" x="948"/>
        <item m="1" x="414"/>
        <item m="1" x="960"/>
        <item m="1" x="1332"/>
        <item m="1" x="788"/>
        <item m="1" x="1356"/>
        <item m="1" x="809"/>
        <item m="1" x="1377"/>
        <item m="1" x="830"/>
        <item m="1" x="1395"/>
        <item m="1" x="848"/>
        <item m="1" x="1413"/>
        <item m="1" x="866"/>
        <item m="1" x="1431"/>
        <item m="1" x="881"/>
        <item m="1" x="1446"/>
        <item m="1" x="896"/>
        <item m="1" x="1461"/>
        <item m="1" x="908"/>
        <item m="1" x="377"/>
        <item m="1" x="920"/>
        <item m="1" x="386"/>
        <item m="1" x="929"/>
        <item m="1" x="395"/>
        <item m="1" x="941"/>
        <item m="1" x="407"/>
        <item m="1" x="950"/>
        <item m="1" x="416"/>
        <item m="1" x="962"/>
        <item m="1" x="425"/>
        <item m="1" x="971"/>
        <item m="1" x="434"/>
        <item m="1" x="983"/>
        <item m="1" x="4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h="1" x="365"/>
        <item t="default"/>
      </items>
    </pivotField>
    <pivotField axis="axisCol" compact="0" outline="0" subtotalTop="0" showAll="0" includeNewItemsInFilter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outline="0" subtotalTop="0" showAll="0" includeNewItemsInFilter="1" defaultSubtotal="0"/>
  </pivotFields>
  <rowFields count="1">
    <field x="0"/>
  </rowFields>
  <rowItems count="365"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CT TermoNorte Activa Entregada" fld="2" baseField="0" baseItem="0"/>
  </dataFields>
  <formats count="2">
    <format dxfId="209">
      <pivotArea grandCol="1" outline="0" fieldPosition="0"/>
    </format>
    <format dxfId="208">
      <pivotArea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1:C367" firstHeaderRow="0" firstDataRow="1" firstDataCol="1"/>
  <pivotFields count="4">
    <pivotField axis="axisRow" showAll="0" sortType="ascending">
      <items count="1096">
        <item m="1" x="741"/>
        <item m="1" x="385"/>
        <item m="1" x="749"/>
        <item m="1" x="393"/>
        <item m="1" x="755"/>
        <item m="1" x="399"/>
        <item m="1" x="763"/>
        <item m="1" x="405"/>
        <item m="1" x="769"/>
        <item m="1" x="411"/>
        <item m="1" x="777"/>
        <item m="1" x="419"/>
        <item m="1" x="783"/>
        <item m="1" x="425"/>
        <item m="1" x="791"/>
        <item m="1" x="433"/>
        <item m="1" x="799"/>
        <item m="1" x="441"/>
        <item m="1" x="809"/>
        <item m="1" x="451"/>
        <item m="1" x="819"/>
        <item m="1" x="461"/>
        <item m="1" x="831"/>
        <item m="1" x="473"/>
        <item m="1" x="843"/>
        <item m="1" x="485"/>
        <item m="1" x="857"/>
        <item m="1" x="499"/>
        <item m="1" x="871"/>
        <item m="1" x="513"/>
        <item m="1" x="887"/>
        <item m="1" x="757"/>
        <item m="1" x="401"/>
        <item m="1" x="765"/>
        <item m="1" x="407"/>
        <item m="1" x="771"/>
        <item m="1" x="413"/>
        <item m="1" x="779"/>
        <item m="1" x="421"/>
        <item m="1" x="785"/>
        <item m="1" x="427"/>
        <item m="1" x="793"/>
        <item m="1" x="435"/>
        <item m="1" x="801"/>
        <item m="1" x="443"/>
        <item m="1" x="811"/>
        <item m="1" x="453"/>
        <item m="1" x="821"/>
        <item m="1" x="463"/>
        <item m="1" x="833"/>
        <item m="1" x="475"/>
        <item m="1" x="845"/>
        <item m="1" x="487"/>
        <item m="1" x="859"/>
        <item m="1" x="501"/>
        <item m="1" x="873"/>
        <item m="1" x="515"/>
        <item m="1" x="889"/>
        <item m="1" x="529"/>
        <item m="1" x="773"/>
        <item m="1" x="415"/>
        <item m="1" x="781"/>
        <item m="1" x="423"/>
        <item m="1" x="787"/>
        <item m="1" x="429"/>
        <item m="1" x="795"/>
        <item m="1" x="437"/>
        <item m="1" x="803"/>
        <item m="1" x="445"/>
        <item m="1" x="813"/>
        <item m="1" x="455"/>
        <item m="1" x="823"/>
        <item m="1" x="465"/>
        <item m="1" x="835"/>
        <item m="1" x="477"/>
        <item m="1" x="847"/>
        <item m="1" x="489"/>
        <item m="1" x="861"/>
        <item m="1" x="503"/>
        <item m="1" x="875"/>
        <item m="1" x="517"/>
        <item m="1" x="891"/>
        <item m="1" x="531"/>
        <item m="1" x="903"/>
        <item m="1" x="543"/>
        <item m="1" x="917"/>
        <item m="1" x="557"/>
        <item m="1" x="931"/>
        <item m="1" x="571"/>
        <item m="1" x="947"/>
        <item m="1" x="789"/>
        <item m="1" x="431"/>
        <item m="1" x="797"/>
        <item m="1" x="439"/>
        <item m="1" x="805"/>
        <item m="1" x="447"/>
        <item m="1" x="815"/>
        <item m="1" x="457"/>
        <item m="1" x="825"/>
        <item m="1" x="467"/>
        <item m="1" x="837"/>
        <item m="1" x="479"/>
        <item m="1" x="849"/>
        <item m="1" x="491"/>
        <item m="1" x="863"/>
        <item m="1" x="505"/>
        <item m="1" x="877"/>
        <item m="1" x="519"/>
        <item m="1" x="893"/>
        <item m="1" x="533"/>
        <item m="1" x="905"/>
        <item m="1" x="545"/>
        <item m="1" x="919"/>
        <item m="1" x="559"/>
        <item m="1" x="933"/>
        <item m="1" x="573"/>
        <item m="1" x="949"/>
        <item m="1" x="587"/>
        <item m="1" x="963"/>
        <item m="1" x="601"/>
        <item m="1" x="807"/>
        <item m="1" x="449"/>
        <item m="1" x="817"/>
        <item m="1" x="459"/>
        <item m="1" x="827"/>
        <item m="1" x="469"/>
        <item m="1" x="839"/>
        <item m="1" x="481"/>
        <item m="1" x="851"/>
        <item m="1" x="493"/>
        <item m="1" x="865"/>
        <item m="1" x="507"/>
        <item m="1" x="879"/>
        <item m="1" x="521"/>
        <item m="1" x="895"/>
        <item m="1" x="535"/>
        <item m="1" x="907"/>
        <item m="1" x="547"/>
        <item m="1" x="921"/>
        <item m="1" x="561"/>
        <item m="1" x="935"/>
        <item m="1" x="575"/>
        <item m="1" x="951"/>
        <item m="1" x="589"/>
        <item m="1" x="965"/>
        <item m="1" x="603"/>
        <item m="1" x="979"/>
        <item m="1" x="617"/>
        <item m="1" x="993"/>
        <item m="1" x="631"/>
        <item m="1" x="1009"/>
        <item m="1" x="829"/>
        <item m="1" x="471"/>
        <item m="1" x="841"/>
        <item m="1" x="483"/>
        <item m="1" x="853"/>
        <item m="1" x="495"/>
        <item m="1" x="867"/>
        <item m="1" x="509"/>
        <item m="1" x="881"/>
        <item m="1" x="523"/>
        <item m="1" x="897"/>
        <item m="1" x="537"/>
        <item m="1" x="909"/>
        <item m="1" x="549"/>
        <item m="1" x="923"/>
        <item m="1" x="563"/>
        <item m="1" x="937"/>
        <item m="1" x="577"/>
        <item m="1" x="953"/>
        <item m="1" x="591"/>
        <item m="1" x="967"/>
        <item m="1" x="605"/>
        <item m="1" x="981"/>
        <item m="1" x="619"/>
        <item m="1" x="995"/>
        <item m="1" x="633"/>
        <item m="1" x="1011"/>
        <item m="1" x="647"/>
        <item m="1" x="1025"/>
        <item m="1" x="661"/>
        <item m="1" x="855"/>
        <item m="1" x="497"/>
        <item m="1" x="869"/>
        <item m="1" x="511"/>
        <item m="1" x="883"/>
        <item m="1" x="525"/>
        <item m="1" x="899"/>
        <item m="1" x="539"/>
        <item m="1" x="911"/>
        <item m="1" x="551"/>
        <item m="1" x="925"/>
        <item m="1" x="565"/>
        <item m="1" x="939"/>
        <item m="1" x="579"/>
        <item m="1" x="955"/>
        <item m="1" x="593"/>
        <item m="1" x="969"/>
        <item m="1" x="607"/>
        <item m="1" x="983"/>
        <item m="1" x="621"/>
        <item m="1" x="997"/>
        <item m="1" x="635"/>
        <item m="1" x="1013"/>
        <item m="1" x="649"/>
        <item m="1" x="1027"/>
        <item m="1" x="663"/>
        <item m="1" x="1039"/>
        <item m="1" x="675"/>
        <item m="1" x="1051"/>
        <item m="1" x="687"/>
        <item m="1" x="1063"/>
        <item m="1" x="885"/>
        <item m="1" x="527"/>
        <item m="1" x="901"/>
        <item m="1" x="541"/>
        <item m="1" x="913"/>
        <item m="1" x="553"/>
        <item m="1" x="927"/>
        <item m="1" x="567"/>
        <item m="1" x="941"/>
        <item m="1" x="581"/>
        <item m="1" x="957"/>
        <item m="1" x="595"/>
        <item m="1" x="971"/>
        <item m="1" x="609"/>
        <item m="1" x="985"/>
        <item m="1" x="623"/>
        <item m="1" x="999"/>
        <item m="1" x="637"/>
        <item m="1" x="1015"/>
        <item m="1" x="651"/>
        <item m="1" x="1029"/>
        <item m="1" x="665"/>
        <item m="1" x="1041"/>
        <item m="1" x="677"/>
        <item m="1" x="1053"/>
        <item m="1" x="689"/>
        <item m="1" x="1065"/>
        <item m="1" x="699"/>
        <item m="1" x="1075"/>
        <item m="1" x="709"/>
        <item m="1" x="1085"/>
        <item m="1" x="915"/>
        <item m="1" x="555"/>
        <item m="1" x="929"/>
        <item m="1" x="569"/>
        <item m="1" x="943"/>
        <item m="1" x="583"/>
        <item m="1" x="959"/>
        <item m="1" x="597"/>
        <item m="1" x="973"/>
        <item m="1" x="611"/>
        <item m="1" x="987"/>
        <item m="1" x="625"/>
        <item m="1" x="1001"/>
        <item m="1" x="639"/>
        <item m="1" x="1017"/>
        <item m="1" x="653"/>
        <item m="1" x="1031"/>
        <item m="1" x="667"/>
        <item m="1" x="1043"/>
        <item m="1" x="679"/>
        <item m="1" x="1055"/>
        <item m="1" x="691"/>
        <item m="1" x="1067"/>
        <item m="1" x="701"/>
        <item m="1" x="1077"/>
        <item m="1" x="711"/>
        <item m="1" x="1087"/>
        <item m="1" x="719"/>
        <item m="1" x="365"/>
        <item m="1" x="727"/>
        <item m="1" x="945"/>
        <item m="1" x="585"/>
        <item m="1" x="961"/>
        <item m="1" x="599"/>
        <item m="1" x="975"/>
        <item m="1" x="613"/>
        <item m="1" x="989"/>
        <item m="1" x="627"/>
        <item m="1" x="1003"/>
        <item m="1" x="641"/>
        <item m="1" x="1019"/>
        <item m="1" x="655"/>
        <item m="1" x="1033"/>
        <item m="1" x="669"/>
        <item m="1" x="1045"/>
        <item m="1" x="681"/>
        <item m="1" x="1057"/>
        <item m="1" x="693"/>
        <item m="1" x="1069"/>
        <item m="1" x="703"/>
        <item m="1" x="1079"/>
        <item m="1" x="713"/>
        <item m="1" x="1089"/>
        <item m="1" x="721"/>
        <item m="1" x="367"/>
        <item m="1" x="729"/>
        <item m="1" x="373"/>
        <item m="1" x="735"/>
        <item m="1" x="379"/>
        <item m="1" x="743"/>
        <item m="1" x="387"/>
        <item m="1" x="977"/>
        <item m="1" x="615"/>
        <item m="1" x="991"/>
        <item m="1" x="629"/>
        <item m="1" x="1005"/>
        <item m="1" x="643"/>
        <item m="1" x="1021"/>
        <item m="1" x="657"/>
        <item m="1" x="1035"/>
        <item m="1" x="671"/>
        <item m="1" x="1047"/>
        <item m="1" x="683"/>
        <item m="1" x="1059"/>
        <item m="1" x="695"/>
        <item m="1" x="1071"/>
        <item m="1" x="705"/>
        <item m="1" x="1081"/>
        <item m="1" x="715"/>
        <item m="1" x="1091"/>
        <item m="1" x="723"/>
        <item m="1" x="369"/>
        <item m="1" x="731"/>
        <item m="1" x="375"/>
        <item m="1" x="737"/>
        <item m="1" x="381"/>
        <item m="1" x="745"/>
        <item m="1" x="389"/>
        <item m="1" x="751"/>
        <item m="1" x="395"/>
        <item m="1" x="759"/>
        <item m="1" x="1007"/>
        <item m="1" x="645"/>
        <item m="1" x="1023"/>
        <item m="1" x="659"/>
        <item m="1" x="1037"/>
        <item m="1" x="673"/>
        <item m="1" x="1049"/>
        <item m="1" x="685"/>
        <item m="1" x="1061"/>
        <item m="1" x="697"/>
        <item m="1" x="1073"/>
        <item m="1" x="707"/>
        <item m="1" x="1083"/>
        <item m="1" x="717"/>
        <item m="1" x="1093"/>
        <item m="1" x="725"/>
        <item m="1" x="371"/>
        <item m="1" x="733"/>
        <item m="1" x="377"/>
        <item m="1" x="739"/>
        <item m="1" x="383"/>
        <item m="1" x="747"/>
        <item m="1" x="391"/>
        <item m="1" x="753"/>
        <item m="1" x="397"/>
        <item m="1" x="761"/>
        <item m="1" x="403"/>
        <item m="1" x="767"/>
        <item m="1" x="409"/>
        <item m="1" x="775"/>
        <item m="1" x="417"/>
        <item m="1" x="742"/>
        <item m="1" x="386"/>
        <item m="1" x="750"/>
        <item m="1" x="394"/>
        <item m="1" x="756"/>
        <item m="1" x="400"/>
        <item m="1" x="764"/>
        <item m="1" x="406"/>
        <item m="1" x="770"/>
        <item m="1" x="412"/>
        <item m="1" x="778"/>
        <item m="1" x="420"/>
        <item m="1" x="784"/>
        <item m="1" x="426"/>
        <item m="1" x="792"/>
        <item m="1" x="434"/>
        <item m="1" x="800"/>
        <item m="1" x="442"/>
        <item m="1" x="810"/>
        <item m="1" x="452"/>
        <item m="1" x="820"/>
        <item m="1" x="462"/>
        <item m="1" x="832"/>
        <item m="1" x="474"/>
        <item m="1" x="844"/>
        <item m="1" x="486"/>
        <item m="1" x="858"/>
        <item m="1" x="500"/>
        <item m="1" x="872"/>
        <item m="1" x="514"/>
        <item m="1" x="888"/>
        <item m="1" x="758"/>
        <item m="1" x="402"/>
        <item m="1" x="766"/>
        <item m="1" x="408"/>
        <item m="1" x="772"/>
        <item m="1" x="414"/>
        <item m="1" x="780"/>
        <item m="1" x="422"/>
        <item m="1" x="786"/>
        <item m="1" x="428"/>
        <item m="1" x="794"/>
        <item m="1" x="436"/>
        <item m="1" x="802"/>
        <item m="1" x="444"/>
        <item m="1" x="812"/>
        <item m="1" x="454"/>
        <item m="1" x="822"/>
        <item m="1" x="464"/>
        <item m="1" x="834"/>
        <item m="1" x="476"/>
        <item m="1" x="846"/>
        <item m="1" x="488"/>
        <item m="1" x="860"/>
        <item m="1" x="502"/>
        <item m="1" x="874"/>
        <item m="1" x="516"/>
        <item m="1" x="890"/>
        <item m="1" x="530"/>
        <item m="1" x="774"/>
        <item m="1" x="416"/>
        <item m="1" x="782"/>
        <item m="1" x="424"/>
        <item m="1" x="788"/>
        <item m="1" x="430"/>
        <item m="1" x="796"/>
        <item m="1" x="438"/>
        <item m="1" x="804"/>
        <item m="1" x="446"/>
        <item m="1" x="814"/>
        <item m="1" x="456"/>
        <item m="1" x="824"/>
        <item m="1" x="466"/>
        <item m="1" x="836"/>
        <item m="1" x="478"/>
        <item m="1" x="848"/>
        <item m="1" x="490"/>
        <item m="1" x="862"/>
        <item m="1" x="504"/>
        <item m="1" x="876"/>
        <item m="1" x="518"/>
        <item m="1" x="892"/>
        <item m="1" x="532"/>
        <item m="1" x="904"/>
        <item m="1" x="544"/>
        <item m="1" x="918"/>
        <item m="1" x="558"/>
        <item m="1" x="932"/>
        <item m="1" x="572"/>
        <item m="1" x="948"/>
        <item m="1" x="790"/>
        <item m="1" x="432"/>
        <item m="1" x="798"/>
        <item m="1" x="440"/>
        <item m="1" x="806"/>
        <item m="1" x="448"/>
        <item m="1" x="816"/>
        <item m="1" x="458"/>
        <item m="1" x="826"/>
        <item m="1" x="468"/>
        <item m="1" x="838"/>
        <item m="1" x="480"/>
        <item m="1" x="850"/>
        <item m="1" x="492"/>
        <item m="1" x="864"/>
        <item m="1" x="506"/>
        <item m="1" x="878"/>
        <item m="1" x="520"/>
        <item m="1" x="894"/>
        <item m="1" x="534"/>
        <item m="1" x="906"/>
        <item m="1" x="546"/>
        <item m="1" x="920"/>
        <item m="1" x="560"/>
        <item m="1" x="934"/>
        <item m="1" x="574"/>
        <item m="1" x="950"/>
        <item m="1" x="588"/>
        <item m="1" x="964"/>
        <item m="1" x="602"/>
        <item m="1" x="808"/>
        <item m="1" x="450"/>
        <item m="1" x="818"/>
        <item m="1" x="460"/>
        <item m="1" x="828"/>
        <item m="1" x="470"/>
        <item m="1" x="840"/>
        <item m="1" x="482"/>
        <item m="1" x="852"/>
        <item m="1" x="494"/>
        <item m="1" x="866"/>
        <item m="1" x="508"/>
        <item m="1" x="880"/>
        <item m="1" x="522"/>
        <item m="1" x="896"/>
        <item m="1" x="536"/>
        <item m="1" x="908"/>
        <item m="1" x="548"/>
        <item m="1" x="922"/>
        <item m="1" x="562"/>
        <item m="1" x="936"/>
        <item m="1" x="576"/>
        <item m="1" x="952"/>
        <item m="1" x="590"/>
        <item m="1" x="966"/>
        <item m="1" x="604"/>
        <item m="1" x="980"/>
        <item m="1" x="618"/>
        <item m="1" x="994"/>
        <item m="1" x="632"/>
        <item m="1" x="1010"/>
        <item m="1" x="830"/>
        <item m="1" x="472"/>
        <item m="1" x="842"/>
        <item m="1" x="484"/>
        <item m="1" x="854"/>
        <item m="1" x="496"/>
        <item m="1" x="868"/>
        <item m="1" x="510"/>
        <item m="1" x="882"/>
        <item m="1" x="524"/>
        <item m="1" x="898"/>
        <item m="1" x="538"/>
        <item m="1" x="910"/>
        <item m="1" x="550"/>
        <item m="1" x="924"/>
        <item m="1" x="564"/>
        <item m="1" x="938"/>
        <item m="1" x="578"/>
        <item m="1" x="954"/>
        <item m="1" x="592"/>
        <item m="1" x="968"/>
        <item m="1" x="606"/>
        <item m="1" x="982"/>
        <item m="1" x="620"/>
        <item m="1" x="996"/>
        <item m="1" x="634"/>
        <item m="1" x="1012"/>
        <item m="1" x="648"/>
        <item m="1" x="1026"/>
        <item m="1" x="662"/>
        <item m="1" x="856"/>
        <item m="1" x="498"/>
        <item m="1" x="870"/>
        <item m="1" x="512"/>
        <item m="1" x="884"/>
        <item m="1" x="526"/>
        <item m="1" x="900"/>
        <item m="1" x="540"/>
        <item m="1" x="912"/>
        <item m="1" x="552"/>
        <item m="1" x="926"/>
        <item m="1" x="566"/>
        <item m="1" x="940"/>
        <item m="1" x="580"/>
        <item m="1" x="956"/>
        <item m="1" x="594"/>
        <item m="1" x="970"/>
        <item m="1" x="608"/>
        <item m="1" x="984"/>
        <item m="1" x="622"/>
        <item m="1" x="998"/>
        <item m="1" x="636"/>
        <item m="1" x="1014"/>
        <item m="1" x="650"/>
        <item m="1" x="1028"/>
        <item m="1" x="664"/>
        <item m="1" x="1040"/>
        <item m="1" x="676"/>
        <item m="1" x="1052"/>
        <item m="1" x="688"/>
        <item m="1" x="1064"/>
        <item m="1" x="886"/>
        <item m="1" x="528"/>
        <item m="1" x="902"/>
        <item m="1" x="542"/>
        <item m="1" x="914"/>
        <item m="1" x="554"/>
        <item m="1" x="928"/>
        <item m="1" x="568"/>
        <item m="1" x="942"/>
        <item m="1" x="582"/>
        <item m="1" x="958"/>
        <item m="1" x="596"/>
        <item m="1" x="972"/>
        <item m="1" x="610"/>
        <item m="1" x="986"/>
        <item m="1" x="624"/>
        <item m="1" x="1000"/>
        <item m="1" x="638"/>
        <item m="1" x="1016"/>
        <item m="1" x="652"/>
        <item m="1" x="1030"/>
        <item m="1" x="666"/>
        <item m="1" x="1042"/>
        <item m="1" x="678"/>
        <item m="1" x="1054"/>
        <item m="1" x="690"/>
        <item m="1" x="1066"/>
        <item m="1" x="700"/>
        <item m="1" x="1076"/>
        <item m="1" x="710"/>
        <item m="1" x="1086"/>
        <item m="1" x="916"/>
        <item m="1" x="556"/>
        <item m="1" x="930"/>
        <item m="1" x="570"/>
        <item m="1" x="944"/>
        <item m="1" x="584"/>
        <item m="1" x="960"/>
        <item m="1" x="598"/>
        <item m="1" x="974"/>
        <item m="1" x="612"/>
        <item m="1" x="988"/>
        <item m="1" x="626"/>
        <item m="1" x="1002"/>
        <item m="1" x="640"/>
        <item m="1" x="1018"/>
        <item m="1" x="654"/>
        <item m="1" x="1032"/>
        <item m="1" x="668"/>
        <item m="1" x="1044"/>
        <item m="1" x="680"/>
        <item m="1" x="1056"/>
        <item m="1" x="692"/>
        <item m="1" x="1068"/>
        <item m="1" x="702"/>
        <item m="1" x="1078"/>
        <item m="1" x="712"/>
        <item m="1" x="1088"/>
        <item m="1" x="720"/>
        <item m="1" x="366"/>
        <item m="1" x="728"/>
        <item m="1" x="946"/>
        <item m="1" x="586"/>
        <item m="1" x="962"/>
        <item m="1" x="600"/>
        <item m="1" x="976"/>
        <item m="1" x="614"/>
        <item m="1" x="990"/>
        <item m="1" x="628"/>
        <item m="1" x="1004"/>
        <item m="1" x="642"/>
        <item m="1" x="1020"/>
        <item m="1" x="656"/>
        <item m="1" x="1034"/>
        <item m="1" x="670"/>
        <item m="1" x="1046"/>
        <item m="1" x="682"/>
        <item m="1" x="1058"/>
        <item m="1" x="694"/>
        <item m="1" x="1070"/>
        <item m="1" x="704"/>
        <item m="1" x="1080"/>
        <item m="1" x="714"/>
        <item m="1" x="1090"/>
        <item m="1" x="722"/>
        <item m="1" x="368"/>
        <item m="1" x="730"/>
        <item m="1" x="374"/>
        <item m="1" x="736"/>
        <item m="1" x="380"/>
        <item m="1" x="744"/>
        <item m="1" x="388"/>
        <item m="1" x="978"/>
        <item m="1" x="616"/>
        <item m="1" x="992"/>
        <item m="1" x="630"/>
        <item m="1" x="1006"/>
        <item m="1" x="644"/>
        <item m="1" x="1022"/>
        <item m="1" x="658"/>
        <item m="1" x="1036"/>
        <item m="1" x="672"/>
        <item m="1" x="1048"/>
        <item m="1" x="684"/>
        <item m="1" x="1060"/>
        <item m="1" x="696"/>
        <item m="1" x="1072"/>
        <item m="1" x="706"/>
        <item m="1" x="1082"/>
        <item m="1" x="716"/>
        <item m="1" x="1092"/>
        <item m="1" x="724"/>
        <item m="1" x="370"/>
        <item m="1" x="732"/>
        <item m="1" x="376"/>
        <item m="1" x="738"/>
        <item m="1" x="382"/>
        <item m="1" x="746"/>
        <item m="1" x="390"/>
        <item m="1" x="752"/>
        <item m="1" x="396"/>
        <item m="1" x="760"/>
        <item m="1" x="1008"/>
        <item m="1" x="646"/>
        <item m="1" x="1024"/>
        <item m="1" x="660"/>
        <item m="1" x="1038"/>
        <item m="1" x="674"/>
        <item m="1" x="1050"/>
        <item m="1" x="686"/>
        <item m="1" x="1062"/>
        <item m="1" x="698"/>
        <item m="1" x="1074"/>
        <item m="1" x="708"/>
        <item m="1" x="1084"/>
        <item m="1" x="718"/>
        <item m="1" x="1094"/>
        <item m="1" x="726"/>
        <item m="1" x="372"/>
        <item m="1" x="734"/>
        <item m="1" x="378"/>
        <item m="1" x="740"/>
        <item m="1" x="384"/>
        <item m="1" x="748"/>
        <item m="1" x="392"/>
        <item m="1" x="754"/>
        <item m="1" x="398"/>
        <item m="1" x="762"/>
        <item m="1" x="404"/>
        <item m="1" x="768"/>
        <item m="1" x="410"/>
        <item m="1" x="776"/>
        <item m="1" x="4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dataField="1" showAll="0" defaultSubtotal="0"/>
    <pivotField dataField="1" showAll="0" defaultSubtotal="0"/>
  </pivotFields>
  <rowFields count="1">
    <field x="0"/>
  </rowFields>
  <rowItems count="366"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 t="grand">
      <x/>
    </i>
  </rowItems>
  <colFields count="1">
    <field x="-2"/>
  </colFields>
  <colItems count="2">
    <i>
      <x/>
    </i>
    <i i="1">
      <x v="1"/>
    </i>
  </colItems>
  <dataFields count="2">
    <dataField name="CT TermoNorte Activa Recibida" fld="3" baseField="0" baseItem="0"/>
    <dataField name="Suma de  CT Termo Norte _x000a_Activa Entregada" fld="2" baseField="0" baseItem="0"/>
  </dataFields>
  <formats count="9">
    <format dxfId="207">
      <pivotArea grandRow="1" outline="0" collapsedLevelsAreSubtotals="1" fieldPosition="0"/>
    </format>
    <format dxfId="206">
      <pivotArea outline="0" collapsedLevelsAreSubtotals="1" fieldPosition="0"/>
    </format>
    <format dxfId="205">
      <pivotArea outline="0" collapsedLevelsAreSubtotals="1" fieldPosition="0"/>
    </format>
    <format dxfId="204">
      <pivotArea outline="0" collapsedLevelsAreSubtotals="1" fieldPosition="0"/>
    </format>
    <format dxfId="203">
      <pivotArea field="0" type="button" dataOnly="0" labelOnly="1" outline="0" axis="axisRow" fieldPosition="0"/>
    </format>
    <format dxfId="2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A3:AJ4" firstHeaderRow="0" firstDataRow="1" firstDataCol="0"/>
  <pivotFields count="21"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Motor1" fld="2" baseField="0" baseItem="0"/>
    <dataField name="Motor2" fld="4" baseField="0" baseItem="0"/>
    <dataField name="Motor3" fld="6" baseField="0" baseItem="0"/>
    <dataField name="Motor4" fld="8" baseField="0" baseItem="0"/>
    <dataField name="Motor5" fld="10" baseField="0" baseItem="0"/>
    <dataField name="Motor6" fld="12" baseField="0" baseItem="0"/>
    <dataField name="Motor7" fld="14" baseField="0" baseItem="0"/>
    <dataField name="Motor8" fld="16" baseField="0" baseItem="0"/>
    <dataField name="Motor9" fld="18" baseField="0" baseItem="0"/>
    <dataField name="Motor10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1000000}" name="Total Running Hours (h)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K370" firstHeaderRow="0" firstDataRow="1" firstDataCol="1"/>
  <pivotFields count="21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H1 " fld="1" baseField="0" baseItem="0"/>
    <dataField name="H2 " fld="3" baseField="0" baseItem="0"/>
    <dataField name="H3 " fld="5" baseField="0" baseItem="0"/>
    <dataField name="H4 " fld="7" baseField="0" baseItem="0"/>
    <dataField name="H5 " fld="9" baseField="0" baseItem="0"/>
    <dataField name="H6 " fld="11" baseField="0" baseItem="0"/>
    <dataField name="H7 " fld="13" baseField="0" baseItem="0"/>
    <dataField name="H8 " fld="15" baseField="0" baseItem="0"/>
    <dataField name="H9 " fld="17" baseField="0" baseItem="0"/>
    <dataField name="H10 " fld="19" baseField="0" baseItem="9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6" indent="0" outline="1" outlineData="1" multipleFieldFilters="0">
  <location ref="A3:K16" firstHeaderRow="0" firstDataRow="1" firstDataCol="1"/>
  <pivotFields count="82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8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a de #1 Ene. G. (MWh)" fld="8" baseField="0" baseItem="1"/>
    <dataField name="Suma de #2 Ene. G. (MWh)" fld="16" baseField="0" baseItem="1"/>
    <dataField name="Suma de #3 Ene. G. (MWh)" fld="24" baseField="0" baseItem="1"/>
    <dataField name="Suma de #4 Ene. G. (MWh)" fld="32" baseField="0" baseItem="1"/>
    <dataField name="Suma de #5 Ene. G. (MWh)" fld="40" baseField="0" baseItem="1"/>
    <dataField name="Suma de #6 Ene. G. (MWh)" fld="48" baseField="0" baseItem="1"/>
    <dataField name="Suma de #7 Ene. G. (MWh)" fld="56" baseField="0" baseItem="1"/>
    <dataField name="Suma de #8 Ene. G. (MWh)" fld="64" baseField="0" baseItem="1"/>
    <dataField name="Suma de #9 Ene. G. (MWh)" fld="72" baseField="0" baseItem="1"/>
    <dataField name="Suma de #10 Ene. G. (MWh)" fld="80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CM367" totalsRowCount="1" headerRowDxfId="392" dataDxfId="391">
  <autoFilter ref="A1:CM366" xr:uid="{00000000-0009-0000-0100-000001000000}"/>
  <tableColumns count="91">
    <tableColumn id="51" xr3:uid="{00000000-0010-0000-0100-000033000000}" name="Fecha" dataDxfId="390" totalsRowDxfId="389"/>
    <tableColumn id="1" xr3:uid="{00000000-0010-0000-0100-000001000000}" name="Mes" dataDxfId="388" totalsRowDxfId="387">
      <calculatedColumnFormula>TEXT(Tabla1[[#This Row],[Fecha]],"mmmm")</calculatedColumnFormula>
    </tableColumn>
    <tableColumn id="2" xr3:uid="{00000000-0010-0000-0100-000002000000}" name="DPI [MWh]" dataDxfId="386" totalsRowDxfId="385"/>
    <tableColumn id="3" xr3:uid="{00000000-0010-0000-0100-000003000000}" name="DN [MWh]" dataDxfId="384" totalsRowDxfId="383"/>
    <tableColumn id="4" xr3:uid="{00000000-0010-0000-0100-000004000000}" name="DP [MWh]" totalsRowFunction="sum" dataDxfId="382" totalsRowDxfId="381"/>
    <tableColumn id="5" xr3:uid="{00000000-0010-0000-0100-000005000000}" name="DPR [MWh]" dataDxfId="380" totalsRowDxfId="379"/>
    <tableColumn id="6" xr3:uid="{00000000-0010-0000-0100-000006000000}" name="RDP [Un]" dataDxfId="378" totalsRowDxfId="377"/>
    <tableColumn id="7" xr3:uid="{00000000-0010-0000-0100-000007000000}" name="RDP [MWh]" dataDxfId="376" totalsRowDxfId="375"/>
    <tableColumn id="8" xr3:uid="{00000000-0010-0000-0100-000008000000}" name="AUT [Un]" totalsRowFunction="sum" dataDxfId="374" totalsRowDxfId="373"/>
    <tableColumn id="9" xr3:uid="{00000000-0010-0000-0100-000009000000}" name="AUT [MWh]" dataDxfId="372" totalsRowDxfId="371"/>
    <tableColumn id="10" xr3:uid="{00000000-0010-0000-0100-00000A000000}" name="PO [h]" dataDxfId="370" totalsRowDxfId="369"/>
    <tableColumn id="53" xr3:uid="{00000000-0010-0000-0100-000035000000}" name="Columna1" dataDxfId="368" totalsRowDxfId="367"/>
    <tableColumn id="52" xr3:uid="{00000000-0010-0000-0100-000034000000}" name="P. NO D" dataDxfId="366" totalsRowDxfId="365">
      <calculatedColumnFormula>Tabla1[[#This Row],[Columna1]]-Tabla1[[#This Row],[PO '[h']]]</calculatedColumnFormula>
    </tableColumn>
    <tableColumn id="11" xr3:uid="{00000000-0010-0000-0100-00000B000000}" name="D. XM_x000a_[MWh]" dataDxfId="364" totalsRowDxfId="363">
      <calculatedColumnFormula>F2+H2+J2</calculatedColumnFormula>
    </tableColumn>
    <tableColumn id="12" xr3:uid="{00000000-0010-0000-0100-00000C000000}" name="G. HGS _x000a_[MWh]" dataDxfId="362" totalsRowDxfId="361"/>
    <tableColumn id="84" xr3:uid="{00000000-0010-0000-0100-000054000000}" name="G. HGS _x000a_Con Gas" dataDxfId="360" totalsRowDxfId="359"/>
    <tableColumn id="85" xr3:uid="{00000000-0010-0000-0100-000055000000}" name="G. HGS _x000a_Con DO" totalsRowFunction="sum" dataDxfId="358" totalsRowDxfId="357"/>
    <tableColumn id="86" xr3:uid="{00000000-0010-0000-0100-000056000000}" name="G. HGS _x000a_Con HFO" dataDxfId="356" totalsRowDxfId="355"/>
    <tableColumn id="93" xr3:uid="{00000000-0010-0000-0100-00005D000000}" name="G. HGS _x000a_Con Gas [kWh]" dataDxfId="354" totalsRowDxfId="353">
      <calculatedColumnFormula>Tabla1[[#This Row],[G. HGS 
Con Gas]]*1000</calculatedColumnFormula>
    </tableColumn>
    <tableColumn id="80" xr3:uid="{00000000-0010-0000-0100-000050000000}" name="G. HGS _x000a_[kWh]" dataDxfId="352" totalsRowDxfId="351">
      <calculatedColumnFormula>Tabla1[[#This Row],[G. HGS 
'[MWh']]]*1000</calculatedColumnFormula>
    </tableColumn>
    <tableColumn id="13" xr3:uid="{00000000-0010-0000-0100-00000D000000}" name="R. GE_x000a_[MWh]" totalsRowFunction="sum" dataDxfId="350" totalsRowDxfId="349">
      <calculatedColumnFormula>SUM('G. Un GE'!B2:Y2)</calculatedColumnFormula>
    </tableColumn>
    <tableColumn id="81" xr3:uid="{00000000-0010-0000-0100-000051000000}" name="E.G. GAS" dataDxfId="348" totalsRowDxfId="347"/>
    <tableColumn id="88" xr3:uid="{00000000-0010-0000-0100-000058000000}" name="E.G. DO" dataDxfId="346" totalsRowDxfId="345"/>
    <tableColumn id="87" xr3:uid="{00000000-0010-0000-0100-000057000000}" name="E.G. HFO" dataDxfId="344" totalsRowDxfId="343"/>
    <tableColumn id="82" xr3:uid="{00000000-0010-0000-0100-000052000000}" name="R. GE_x000a_[kWh]" totalsRowFunction="sum" dataDxfId="342" totalsRowDxfId="341">
      <calculatedColumnFormula>Tabla1[[#This Row],[R. GE
'[MWh']]]*1000</calculatedColumnFormula>
    </tableColumn>
    <tableColumn id="14" xr3:uid="{00000000-0010-0000-0100-00000E000000}" name="E. Con. Aux. [MWh]" dataDxfId="340" totalsRowDxfId="339"/>
    <tableColumn id="74" xr3:uid="{00000000-0010-0000-0100-00004A000000}" name="Con. Aux. [MWh]2" totalsRowDxfId="338">
      <calculatedColumnFormula>IF(Tabla1[[#This Row],[E. Con. Red '[MWh']]]=0,Tabla1[[#This Row],[E. Con. Aux. '[MWh']]],IF(Tabla1[[#This Row],[E. Con. Aux. '[MWh']]]&lt;Tabla1[[#This Row],[E. Con. Red '[MWh']]],0,Tabla1[[#This Row],[E. Con. Aux. '[MWh']]]-Tabla1[[#This Row],[E. Con. Red '[MWh']]]))</calculatedColumnFormula>
    </tableColumn>
    <tableColumn id="15" xr3:uid="{00000000-0010-0000-0100-00000F000000}" name="G. Neta HGS [MWh]" dataDxfId="337" totalsRowDxfId="336">
      <calculatedColumnFormula>IF(Tabla1[[#This Row],[G. HGS 
'[MWh']]]=0,0,Tabla1[[#This Row],[G. HGS 
'[MWh']]]+Tabla1[[#This Row],[Con. Aux. '[MWh']2]])</calculatedColumnFormula>
    </tableColumn>
    <tableColumn id="16" xr3:uid="{00000000-0010-0000-0100-000010000000}" name="E. Con. Red [MWh]" dataDxfId="335" totalsRowDxfId="334">
      <calculatedColumnFormula>'C. ENER. TN'!F2</calculatedColumnFormula>
    </tableColumn>
    <tableColumn id="18" xr3:uid="{00000000-0010-0000-0100-000012000000}" name="E. Con. TC 44kV-220kV [MWh]" dataDxfId="333" totalsRowDxfId="332">
      <calculatedColumnFormula>'C. ENER. TN'!G2</calculatedColumnFormula>
    </tableColumn>
    <tableColumn id="47" xr3:uid="{00000000-0010-0000-0100-00002F000000}" name="G. Un. GE [MWh]" totalsRowFunction="sum" dataDxfId="331" totalsRowDxfId="330">
      <calculatedColumnFormula>'G. Un GE'!AX2</calculatedColumnFormula>
    </tableColumn>
    <tableColumn id="19" xr3:uid="{00000000-0010-0000-0100-000013000000}" name="G. Un. GE [MWh/Un]" dataDxfId="329" totalsRowDxfId="328">
      <calculatedColumnFormula>IFERROR('G. Un GE'!AX2/Tabla1[[#This Row],[PO '[h']]],0)</calculatedColumnFormula>
    </tableColumn>
    <tableColumn id="20" xr3:uid="{00000000-0010-0000-0100-000014000000}" name="Ar. HGS [Un]" dataDxfId="327" totalsRowDxfId="326">
      <calculatedColumnFormula>'Ar-Pa'!AX2</calculatedColumnFormula>
    </tableColumn>
    <tableColumn id="21" xr3:uid="{00000000-0010-0000-0100-000015000000}" name="Pa. HGS [Un]" dataDxfId="325" totalsRowDxfId="324">
      <calculatedColumnFormula>'Ar-Pa'!AY2</calculatedColumnFormula>
    </tableColumn>
    <tableColumn id="75" xr3:uid="{00000000-0010-0000-0100-00004B000000}" name="Ar. Planta" totalsRowFunction="sum" dataDxfId="323" totalsRowDxfId="322">
      <calculatedColumnFormula>SUM('Cal. Arr'!AB5:AY5)</calculatedColumnFormula>
    </tableColumn>
    <tableColumn id="92" xr3:uid="{00000000-0010-0000-0100-00005C000000}" name="Con. DO Storage Gen. [m3]" totalsRowFunction="sum" dataDxfId="321" totalsRowDxfId="320"/>
    <tableColumn id="22" xr3:uid="{00000000-0010-0000-0100-000016000000}" name="Con. DO Storage [m3]" totalsRowFunction="sum" dataDxfId="319" totalsRowDxfId="318"/>
    <tableColumn id="23" xr3:uid="{00000000-0010-0000-0100-000017000000}" name="Con. DO Storage [gal]" totalsRowFunction="sum" dataDxfId="317" totalsRowDxfId="316">
      <calculatedColumnFormula>+CONVERT(AK2,"m^3","gal")</calculatedColumnFormula>
    </tableColumn>
    <tableColumn id="94" xr3:uid="{00000000-0010-0000-0100-00005E000000}" name="Con. DO Storage [gal]2" dataDxfId="315" totalsRowDxfId="314">
      <calculatedColumnFormula>+CONVERT(AK2+Tabla1[[#This Row],[Con. DO Storage Gen. '[m3']]],"m^3","gal")</calculatedColumnFormula>
    </tableColumn>
    <tableColumn id="24" xr3:uid="{00000000-0010-0000-0100-000018000000}" name="Con. DO Pilot [m3]" totalsRowFunction="sum" dataDxfId="313" totalsRowDxfId="312"/>
    <tableColumn id="25" xr3:uid="{00000000-0010-0000-0100-000019000000}" name="Con. DO Pilot [gal]" dataDxfId="311" totalsRowDxfId="310">
      <calculatedColumnFormula>+CONVERT(AN2,"m^3","gal")</calculatedColumnFormula>
    </tableColumn>
    <tableColumn id="26" xr3:uid="{00000000-0010-0000-0100-00001A000000}" name="Con. DO Total [m3]" totalsRowFunction="sum" dataDxfId="309" totalsRowDxfId="308"/>
    <tableColumn id="27" xr3:uid="{00000000-0010-0000-0100-00001B000000}" name="Con. DO Total [gal]" totalsRowFunction="sum" dataDxfId="307" totalsRowDxfId="306">
      <calculatedColumnFormula>+CONVERT(AP2,"m^3","gal")</calculatedColumnFormula>
    </tableColumn>
    <tableColumn id="28" xr3:uid="{00000000-0010-0000-0100-00001C000000}" name="Repo. DO Storage [gal]" totalsRowFunction="sum" dataDxfId="305" totalsRowDxfId="304"/>
    <tableColumn id="29" xr3:uid="{00000000-0010-0000-0100-00001D000000}" name="Repo. DO Pilot [gal]" totalsRowFunction="sum" dataDxfId="303" totalsRowDxfId="302"/>
    <tableColumn id="78" xr3:uid="{00000000-0010-0000-0100-00004E000000}" name="Repo. DO Total [m3]" totalsRowFunction="sum" dataDxfId="301" totalsRowDxfId="300">
      <calculatedColumnFormula>+CONVERT(SUM(Tabla1[[#This Row],[Repo. DO Storage '[gal']]:[Repo. DO Pilot '[gal']]]),"gal","m3")</calculatedColumnFormula>
    </tableColumn>
    <tableColumn id="30" xr3:uid="{00000000-0010-0000-0100-00001E000000}" name="Con. HFO [m3]" dataDxfId="299" totalsRowDxfId="298"/>
    <tableColumn id="31" xr3:uid="{00000000-0010-0000-0100-00001F000000}" name="Con. HFO [gal]" dataDxfId="297" totalsRowDxfId="296">
      <calculatedColumnFormula>+CONVERT(AU2,"m^3","gal")</calculatedColumnFormula>
    </tableColumn>
    <tableColumn id="32" xr3:uid="{00000000-0010-0000-0100-000020000000}" name="Repo. HFO [gal]" dataDxfId="295" totalsRowDxfId="294"/>
    <tableColumn id="79" xr3:uid="{00000000-0010-0000-0100-00004F000000}" name="Repo. HFO [m3]" dataDxfId="293" totalsRowDxfId="292">
      <calculatedColumnFormula>+CONVERT(AW2,"gal","m3")</calculatedColumnFormula>
    </tableColumn>
    <tableColumn id="33" xr3:uid="{00000000-0010-0000-0100-000021000000}" name="Con. Espe. DO Storage [gal/MWh]" dataDxfId="291" totalsRowDxfId="290">
      <calculatedColumnFormula>IFERROR(AL2/O2,0)</calculatedColumnFormula>
    </tableColumn>
    <tableColumn id="34" xr3:uid="{00000000-0010-0000-0100-000022000000}" name="Con. Espe. DO Storage - Ar. [gal/# ar]" dataDxfId="289" totalsRowDxfId="288">
      <calculatedColumnFormula>IFERROR(AL2/'Ar-Pa'!AX2,0)</calculatedColumnFormula>
    </tableColumn>
    <tableColumn id="35" xr3:uid="{00000000-0010-0000-0100-000023000000}" name="Con. Espe. DO Storage - Pa. [gal/# pa]" dataDxfId="287" totalsRowDxfId="286">
      <calculatedColumnFormula>IFERROR(AL2/'Ar-Pa'!AY2,0)</calculatedColumnFormula>
    </tableColumn>
    <tableColumn id="36" xr3:uid="{00000000-0010-0000-0100-000024000000}" name="Con. Espe. DO Pilot [gal/MWh]" dataDxfId="285" totalsRowDxfId="284">
      <calculatedColumnFormula>IFERROR(AO2/O2,0)</calculatedColumnFormula>
    </tableColumn>
    <tableColumn id="37" xr3:uid="{00000000-0010-0000-0100-000025000000}" name="Con. Espe. DO Pilot [gal/Un]" dataDxfId="283" totalsRowDxfId="282">
      <calculatedColumnFormula>IFERROR(AVERAGEIF('DO Pilot'!AX2:BU2,"&gt;0"),0)</calculatedColumnFormula>
    </tableColumn>
    <tableColumn id="38" xr3:uid="{00000000-0010-0000-0100-000026000000}" name=" Con. Gas HGS_x000a_ [m3]" dataDxfId="281" totalsRowDxfId="280"/>
    <tableColumn id="39" xr3:uid="{00000000-0010-0000-0100-000027000000}" name=" Con. Gas HGS_x000a_ [MBTU]" dataDxfId="279" totalsRowDxfId="278"/>
    <tableColumn id="90" xr3:uid="{00000000-0010-0000-0100-00005A000000}" name=" Re. Gas GC_x000a_ [m3]" totalsRowFunction="custom" dataDxfId="277" totalsRowDxfId="276">
      <totalsRowFormula>SUBTOTAL(109,Tabla1[] Tabla1[ Re. Gas GC
 '[m3']] )</totalsRowFormula>
    </tableColumn>
    <tableColumn id="40" xr3:uid="{00000000-0010-0000-0100-000028000000}" name=" Re. Gas GC_x000a_ [m3] Correg" totalsRowFunction="custom" dataDxfId="275" totalsRowDxfId="274">
      <totalsRowFormula>SUBTOTAL(109,Tabla1[] Tabla1[ Re. Gas GC
 '[m3'] Correg] )</totalsRowFormula>
    </tableColumn>
    <tableColumn id="41" xr3:uid="{00000000-0010-0000-0100-000029000000}" name=" Re. Gas GC_x000a_ [MBTU]" totalsRowFunction="sum" dataDxfId="273" totalsRowDxfId="272"/>
    <tableColumn id="42" xr3:uid="{00000000-0010-0000-0100-00002A000000}" name="Dif. MBTU" dataDxfId="271" totalsRowDxfId="270">
      <calculatedColumnFormula>BH2-BE2</calculatedColumnFormula>
    </tableColumn>
    <tableColumn id="43" xr3:uid="{00000000-0010-0000-0100-00002B000000}" name="%" dataDxfId="269" totalsRowDxfId="268">
      <calculatedColumnFormula>IFERROR(BI2/BH2,0)</calculatedColumnFormula>
    </tableColumn>
    <tableColumn id="89" xr3:uid="{00000000-0010-0000-0100-000059000000}" name="HR HGS [BTU/kWh]" dataDxfId="267" totalsRowDxfId="266">
      <calculatedColumnFormula>IFERROR((BE2/P2)*1000,0)</calculatedColumnFormula>
    </tableColumn>
    <tableColumn id="44" xr3:uid="{00000000-0010-0000-0100-00002C000000}" name="HR HGS [BTU/kWh]2" dataDxfId="265" totalsRowDxfId="264"/>
    <tableColumn id="45" xr3:uid="{00000000-0010-0000-0100-00002D000000}" name="HR (GC/G. neta) _x000a_[BTU/kWh]" dataDxfId="263" totalsRowDxfId="262">
      <calculatedColumnFormula>IFERROR((BH2/AB2)*1000,0)</calculatedColumnFormula>
    </tableColumn>
    <tableColumn id="46" xr3:uid="{00000000-0010-0000-0100-00002E000000}" name="HR (GC/GE) _x000a_[BTU/kWh]" dataDxfId="261" totalsRowDxfId="260"/>
    <tableColumn id="83" xr3:uid="{00000000-0010-0000-0100-000053000000}" name="HR HGS [m3/kWh]" dataDxfId="259" totalsRowDxfId="258">
      <calculatedColumnFormula>IFERROR(Tabla1[[#This Row],[ Re. Gas GC
 '[m3']]]/Tabla1[[#This Row],[G. HGS 
Con Gas '[kWh']]],0)</calculatedColumnFormula>
    </tableColumn>
    <tableColumn id="48" xr3:uid="{00000000-0010-0000-0100-000030000000}" name="Sludges Recogido por Carrotanque [m3]" dataDxfId="257" totalsRowDxfId="256">
      <calculatedColumnFormula>Tank!Y3</calculatedColumnFormula>
    </tableColumn>
    <tableColumn id="49" xr3:uid="{00000000-0010-0000-0100-000031000000}" name="Compra Agua [m3]" dataDxfId="255" totalsRowDxfId="254">
      <calculatedColumnFormula>Tank!AP3</calculatedColumnFormula>
    </tableColumn>
    <tableColumn id="76" xr3:uid="{00000000-0010-0000-0100-00004C000000}" name="Compra Aceite [m3]" dataDxfId="253" totalsRowDxfId="252">
      <calculatedColumnFormula>Tank!V3</calculatedColumnFormula>
    </tableColumn>
    <tableColumn id="50" xr3:uid="{00000000-0010-0000-0100-000032000000}" name="LO Storage Tank [gal]" dataDxfId="251" totalsRowDxfId="250">
      <calculatedColumnFormula>Tank!T3</calculatedColumnFormula>
    </tableColumn>
    <tableColumn id="55" xr3:uid="{00000000-0010-0000-0100-000037000000}" name="Combustible ofertado" dataDxfId="249" totalsRowDxfId="248"/>
    <tableColumn id="63" xr3:uid="{00000000-0010-0000-0100-00003F000000}" name="Disponibilidad" dataDxfId="247" totalsRowDxfId="246"/>
    <tableColumn id="57" xr3:uid="{00000000-0010-0000-0100-000039000000}" name="G" dataDxfId="245" totalsRowDxfId="244">
      <calculatedColumnFormula>IF(Tabla1[[#This Row],[Combustible ofertado]]="GAS",Tabla1[[#This Row],[Disponibilidad]],0)</calculatedColumnFormula>
    </tableColumn>
    <tableColumn id="59" xr3:uid="{00000000-0010-0000-0100-00003B000000}" name="D" dataDxfId="243" totalsRowDxfId="242">
      <calculatedColumnFormula>IF(Tabla1[[#This Row],[Combustible ofertado]]="DIESEL",Tabla1[[#This Row],[Disponibilidad]],0)</calculatedColumnFormula>
    </tableColumn>
    <tableColumn id="58" xr3:uid="{00000000-0010-0000-0100-00003A000000}" name="H" dataDxfId="241" totalsRowDxfId="240">
      <calculatedColumnFormula>IF(Tabla1[[#This Row],[Combustible ofertado]]="HFO",Tabla1[[#This Row],[Disponibilidad]],0)</calculatedColumnFormula>
    </tableColumn>
    <tableColumn id="56" xr3:uid="{00000000-0010-0000-0100-000038000000}" name="Precio oferta" dataDxfId="239" totalsRowDxfId="238"/>
    <tableColumn id="64" xr3:uid="{00000000-0010-0000-0100-000040000000}" name="H. Motor 1" dataDxfId="237" totalsRowDxfId="236">
      <calculatedColumnFormula>'Horo. M'!C3</calculatedColumnFormula>
    </tableColumn>
    <tableColumn id="65" xr3:uid="{00000000-0010-0000-0100-000041000000}" name="H. Motor 2" dataDxfId="235" totalsRowDxfId="234">
      <calculatedColumnFormula>'Horo. M'!E3</calculatedColumnFormula>
    </tableColumn>
    <tableColumn id="66" xr3:uid="{00000000-0010-0000-0100-000042000000}" name="H. Motor 3" dataDxfId="233" totalsRowDxfId="232">
      <calculatedColumnFormula>'Horo. M'!G3</calculatedColumnFormula>
    </tableColumn>
    <tableColumn id="67" xr3:uid="{00000000-0010-0000-0100-000043000000}" name="H. Motor 4" dataDxfId="231" totalsRowDxfId="230">
      <calculatedColumnFormula>'Horo. M'!I3</calculatedColumnFormula>
    </tableColumn>
    <tableColumn id="68" xr3:uid="{00000000-0010-0000-0100-000044000000}" name="H. Motor 5" dataDxfId="229" totalsRowDxfId="228">
      <calculatedColumnFormula>'Horo. M'!K3</calculatedColumnFormula>
    </tableColumn>
    <tableColumn id="69" xr3:uid="{00000000-0010-0000-0100-000045000000}" name="H. Motor 6" dataDxfId="227" totalsRowDxfId="226">
      <calculatedColumnFormula>'Horo. M'!M3</calculatedColumnFormula>
    </tableColumn>
    <tableColumn id="70" xr3:uid="{00000000-0010-0000-0100-000046000000}" name="H. Motor 7" dataDxfId="225" totalsRowDxfId="224">
      <calculatedColumnFormula>'Horo. M'!O3</calculatedColumnFormula>
    </tableColumn>
    <tableColumn id="71" xr3:uid="{00000000-0010-0000-0100-000047000000}" name="H. Motor 8" dataDxfId="223" totalsRowDxfId="222">
      <calculatedColumnFormula>'Horo. M'!Q3</calculatedColumnFormula>
    </tableColumn>
    <tableColumn id="72" xr3:uid="{00000000-0010-0000-0100-000048000000}" name="H. Motor 9" dataDxfId="221" totalsRowDxfId="220">
      <calculatedColumnFormula>'Horo. M'!S3</calculatedColumnFormula>
    </tableColumn>
    <tableColumn id="73" xr3:uid="{00000000-0010-0000-0100-000049000000}" name="H. Motor 10" dataDxfId="219" totalsRowDxfId="218">
      <calculatedColumnFormula>'Horo. M'!U3</calculatedColumnFormula>
    </tableColumn>
    <tableColumn id="17" xr3:uid="{00000000-0010-0000-0100-000011000000}" name="C. DO Storage Ar.[gal]" totalsRowFunction="sum" dataDxfId="217" totalsRowDxfId="216">
      <calculatedColumnFormula>Tabla1[[#This Row],[Con. DO Storage '[gal']]]-Tabla1[[#This Row],[C. DO Storage Ge '[gal']]]</calculatedColumnFormula>
    </tableColumn>
    <tableColumn id="54" xr3:uid="{00000000-0010-0000-0100-000036000000}" name="C. DO Storage Ge [gal]" totalsRowFunction="sum" dataDxfId="215" totalsRowDxfId="214"/>
    <tableColumn id="60" xr3:uid="{00000000-0010-0000-0100-00003C000000}" name="GEN  DO [MWH]" totalsRowFunction="sum" dataDxfId="213" totalsRowDxfId="212"/>
    <tableColumn id="61" xr3:uid="{00000000-0010-0000-0100-00003D000000}" name="MBTU Do" dataDxfId="211" totalsRowDxfId="210">
      <calculatedColumnFormula>Tabla1[[#This Row],[Con. DO Total '[gal']]]*131485.5/(1000000)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M367" totalsRowCount="1" headerRowDxfId="198" dataDxfId="196" headerRowBorderDxfId="197" tableBorderDxfId="195">
  <autoFilter ref="A1:M366" xr:uid="{00000000-0009-0000-0100-000002000000}"/>
  <tableColumns count="13">
    <tableColumn id="1" xr3:uid="{00000000-0010-0000-0000-000001000000}" name="Día" dataDxfId="194" totalsRowDxfId="193"/>
    <tableColumn id="2" xr3:uid="{00000000-0010-0000-0000-000002000000}" name="R. CGM_x000a_[kWh]" totalsRowFunction="sum" dataDxfId="192" totalsRowDxfId="191">
      <calculatedColumnFormula>Datos!Y2</calculatedColumnFormula>
    </tableColumn>
    <tableColumn id="3" xr3:uid="{00000000-0010-0000-0000-000003000000}" name="Con. DO Storage [m3]" totalsRowFunction="sum" dataDxfId="190" totalsRowDxfId="189">
      <calculatedColumnFormula>Datos!AJ2+Datos!AK2</calculatedColumnFormula>
    </tableColumn>
    <tableColumn id="4" xr3:uid="{00000000-0010-0000-0000-000004000000}" name="Con. DO Storage [gal]" totalsRowFunction="sum" dataDxfId="188" totalsRowDxfId="187">
      <calculatedColumnFormula>+CONVERT(C2,"m^3","gal")</calculatedColumnFormula>
    </tableColumn>
    <tableColumn id="5" xr3:uid="{00000000-0010-0000-0000-000005000000}" name="Con. DO Pilot [m3]" totalsRowFunction="sum" dataDxfId="186" totalsRowDxfId="185">
      <calculatedColumnFormula>Datos!AN2</calculatedColumnFormula>
    </tableColumn>
    <tableColumn id="6" xr3:uid="{00000000-0010-0000-0000-000006000000}" name="Con. DO Pilot [gal]" totalsRowFunction="sum" dataDxfId="184" totalsRowDxfId="183">
      <calculatedColumnFormula>+CONVERT(E2,"m^3","gal")</calculatedColumnFormula>
    </tableColumn>
    <tableColumn id="7" xr3:uid="{00000000-0010-0000-0000-000007000000}" name="Con. DO Total [m3]" totalsRowFunction="sum" dataDxfId="182" totalsRowDxfId="181"/>
    <tableColumn id="8" xr3:uid="{00000000-0010-0000-0000-000008000000}" name="Con. DO Total [gal]" totalsRowFunction="sum" dataDxfId="180" totalsRowDxfId="179"/>
    <tableColumn id="9" xr3:uid="{00000000-0010-0000-0000-000009000000}" name="Repo. DO Storage [gal]" totalsRowFunction="sum" dataDxfId="178" totalsRowDxfId="177">
      <calculatedColumnFormula>Datos!AR2</calculatedColumnFormula>
    </tableColumn>
    <tableColumn id="10" xr3:uid="{00000000-0010-0000-0000-00000A000000}" name="Repo. DO Pilot [gal]" totalsRowFunction="sum" dataDxfId="176" totalsRowDxfId="175">
      <calculatedColumnFormula>Datos!AS2</calculatedColumnFormula>
    </tableColumn>
    <tableColumn id="11" xr3:uid="{00000000-0010-0000-0000-00000B000000}" name="Con. HFO [m3]" totalsRowFunction="sum" dataDxfId="174" totalsRowDxfId="173">
      <calculatedColumnFormula>Datos!AU2</calculatedColumnFormula>
    </tableColumn>
    <tableColumn id="12" xr3:uid="{00000000-0010-0000-0000-00000C000000}" name="Con. HFO [gal]" totalsRowFunction="sum" dataDxfId="172" totalsRowDxfId="171">
      <calculatedColumnFormula>+CONVERT(K2,"m^3","gal")</calculatedColumnFormula>
    </tableColumn>
    <tableColumn id="13" xr3:uid="{00000000-0010-0000-0000-00000D000000}" name="Repo. HFO [gal]" totalsRowFunction="sum" dataDxfId="170" totalsRowDxfId="169">
      <calculatedColumnFormula>Datos!AX2</calculatedColumnFormula>
    </tableColumn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3" displayName="Tabla3" ref="A1:CC367" totalsRowCount="1" headerRowDxfId="168" headerRowBorderDxfId="167" tableBorderDxfId="166" totalsRowBorderDxfId="165" headerRowCellStyle="Normal 2 2">
  <autoFilter ref="A1:CC366" xr:uid="{00000000-0009-0000-0100-000003000000}"/>
  <tableColumns count="81">
    <tableColumn id="1" xr3:uid="{00000000-0010-0000-0200-000001000000}" name="Fecha" dataDxfId="164" totalsRowDxfId="163"/>
    <tableColumn id="2" xr3:uid="{00000000-0010-0000-0200-000002000000}" name="#1 Stand-by " dataDxfId="162" totalsRowDxfId="161">
      <calculatedColumnFormula>24-C2-D2-E2</calculatedColumnFormula>
    </tableColumn>
    <tableColumn id="3" xr3:uid="{00000000-0010-0000-0200-000003000000}" name="#1 Run" dataDxfId="160" totalsRowDxfId="159">
      <calculatedColumnFormula>IFERROR(INDEX('Horo. M'!$C$3:$C$367,MATCH(A2,'Horo. M'!$A$3:$A$367,0)),"")</calculatedColumnFormula>
    </tableColumn>
    <tableColumn id="4" xr3:uid="{00000000-0010-0000-0200-000004000000}" name="#1 Preventivo" dataDxfId="158" totalsRowDxfId="157"/>
    <tableColumn id="5" xr3:uid="{00000000-0010-0000-0200-000005000000}" name="#1 Correctivo" dataDxfId="156" totalsRowDxfId="155"/>
    <tableColumn id="6" xr3:uid="{00000000-0010-0000-0200-000006000000}" name="#1 Horas T. disponible " dataDxfId="154" totalsRowDxfId="153">
      <calculatedColumnFormula>24-D2-E2</calculatedColumnFormula>
    </tableColumn>
    <tableColumn id="7" xr3:uid="{00000000-0010-0000-0200-000007000000}" name="#1 (%) Operativo" dataDxfId="152" totalsRowDxfId="151">
      <calculatedColumnFormula>C2/24</calculatedColumnFormula>
    </tableColumn>
    <tableColumn id="8" xr3:uid="{00000000-0010-0000-0200-000008000000}" name="#1 Disponibilidad Diaria (%)" dataDxfId="150" totalsRowDxfId="149" dataCellStyle="Normal 2 2">
      <calculatedColumnFormula>(F2/24)*100%</calculatedColumnFormula>
    </tableColumn>
    <tableColumn id="9" xr3:uid="{00000000-0010-0000-0200-000009000000}" name="#1 Ene. G. (MWh)" dataDxfId="148" totalsRowDxfId="147" dataCellStyle="Normal 2 2"/>
    <tableColumn id="10" xr3:uid="{00000000-0010-0000-0200-00000A000000}" name="#2 Stand-by " dataDxfId="146" totalsRowDxfId="145">
      <calculatedColumnFormula>24-K2-L2-M2</calculatedColumnFormula>
    </tableColumn>
    <tableColumn id="11" xr3:uid="{00000000-0010-0000-0200-00000B000000}" name="#2 Run" dataDxfId="144" totalsRowDxfId="143">
      <calculatedColumnFormula>IFERROR(INDEX('Horo. M'!$E$3:$E$367,MATCH(A2,'Horo. M'!$A$3:$A$367,0)),"")</calculatedColumnFormula>
    </tableColumn>
    <tableColumn id="12" xr3:uid="{00000000-0010-0000-0200-00000C000000}" name="#2 Preventivo" dataDxfId="142" totalsRowDxfId="141" dataCellStyle="Normal 2 2"/>
    <tableColumn id="13" xr3:uid="{00000000-0010-0000-0200-00000D000000}" name="#2 Correctivo" dataDxfId="140" totalsRowDxfId="139" dataCellStyle="Normal 2 2"/>
    <tableColumn id="14" xr3:uid="{00000000-0010-0000-0200-00000E000000}" name="#2 Horas T. disponible " dataDxfId="138" totalsRowDxfId="137">
      <calculatedColumnFormula>24-L2-M2</calculatedColumnFormula>
    </tableColumn>
    <tableColumn id="15" xr3:uid="{00000000-0010-0000-0200-00000F000000}" name="#2 (%) Operativo" dataDxfId="136" totalsRowDxfId="135">
      <calculatedColumnFormula>K2/24</calculatedColumnFormula>
    </tableColumn>
    <tableColumn id="16" xr3:uid="{00000000-0010-0000-0200-000010000000}" name="#2 Disponibilidad Diaria (%)" dataDxfId="134" totalsRowDxfId="133" dataCellStyle="Normal 2 2">
      <calculatedColumnFormula>(N2/24)*100%</calculatedColumnFormula>
    </tableColumn>
    <tableColumn id="17" xr3:uid="{00000000-0010-0000-0200-000011000000}" name="#2 Ene. G. (MWh)" dataDxfId="132" totalsRowDxfId="131" dataCellStyle="Normal 2 2"/>
    <tableColumn id="18" xr3:uid="{00000000-0010-0000-0200-000012000000}" name="#3 Stand-by " dataDxfId="130" totalsRowDxfId="129">
      <calculatedColumnFormula>24-S2-T2-U2</calculatedColumnFormula>
    </tableColumn>
    <tableColumn id="19" xr3:uid="{00000000-0010-0000-0200-000013000000}" name="#3 Run" dataDxfId="128" totalsRowDxfId="127">
      <calculatedColumnFormula>IFERROR(INDEX('Horo. M'!G$3:$G$367,MATCH(A2,'Horo. M'!$A$3:$A$367,0)),"")</calculatedColumnFormula>
    </tableColumn>
    <tableColumn id="20" xr3:uid="{00000000-0010-0000-0200-000014000000}" name="#3 Preventivo" dataDxfId="126" totalsRowDxfId="125"/>
    <tableColumn id="21" xr3:uid="{00000000-0010-0000-0200-000015000000}" name="#3 Correctivo" dataDxfId="124" totalsRowDxfId="123"/>
    <tableColumn id="22" xr3:uid="{00000000-0010-0000-0200-000016000000}" name="#3 Horas T. disponible " dataDxfId="122" totalsRowDxfId="121">
      <calculatedColumnFormula>24-T2-U2</calculatedColumnFormula>
    </tableColumn>
    <tableColumn id="23" xr3:uid="{00000000-0010-0000-0200-000017000000}" name="#3 (%) Operativo" dataDxfId="120" totalsRowDxfId="119">
      <calculatedColumnFormula>S2/24</calculatedColumnFormula>
    </tableColumn>
    <tableColumn id="24" xr3:uid="{00000000-0010-0000-0200-000018000000}" name="#3 Disponibilidad Diaria (%)" dataDxfId="118" totalsRowDxfId="117" dataCellStyle="Normal 2 2">
      <calculatedColumnFormula>(V2/24)*100%</calculatedColumnFormula>
    </tableColumn>
    <tableColumn id="25" xr3:uid="{00000000-0010-0000-0200-000019000000}" name="#3 Ene. G. (MWh)" dataDxfId="116" totalsRowDxfId="115"/>
    <tableColumn id="26" xr3:uid="{00000000-0010-0000-0200-00001A000000}" name="#4 Stand-by " dataDxfId="114" totalsRowDxfId="113">
      <calculatedColumnFormula>24-AA2-AB2-AC2</calculatedColumnFormula>
    </tableColumn>
    <tableColumn id="27" xr3:uid="{00000000-0010-0000-0200-00001B000000}" name="#4 Run" dataDxfId="112" totalsRowDxfId="111">
      <calculatedColumnFormula>IFERROR(INDEX('Horo. M'!$I$3:I$367,MATCH(A2,'Horo. M'!$A$3:$A$367,0)),"")</calculatedColumnFormula>
    </tableColumn>
    <tableColumn id="28" xr3:uid="{00000000-0010-0000-0200-00001C000000}" name="#4 Preventivo" dataDxfId="110" totalsRowDxfId="109" dataCellStyle="Normal 2 2"/>
    <tableColumn id="29" xr3:uid="{00000000-0010-0000-0200-00001D000000}" name="#4 Correctivo" dataDxfId="108" totalsRowDxfId="107" dataCellStyle="Normal 2 2"/>
    <tableColumn id="30" xr3:uid="{00000000-0010-0000-0200-00001E000000}" name="#4 Horas T. disponible " dataDxfId="106" totalsRowDxfId="105">
      <calculatedColumnFormula>24-AB2-AC2</calculatedColumnFormula>
    </tableColumn>
    <tableColumn id="31" xr3:uid="{00000000-0010-0000-0200-00001F000000}" name="#4 (%) Operativo" dataDxfId="104" totalsRowDxfId="103">
      <calculatedColumnFormula>AA2/24</calculatedColumnFormula>
    </tableColumn>
    <tableColumn id="32" xr3:uid="{00000000-0010-0000-0200-000020000000}" name="#4 Disponibilidad Diaria (%)" dataDxfId="102" totalsRowDxfId="101" dataCellStyle="Normal 2 2">
      <calculatedColumnFormula>(AD2/24)*100%</calculatedColumnFormula>
    </tableColumn>
    <tableColumn id="33" xr3:uid="{00000000-0010-0000-0200-000021000000}" name="#4 Ene. G. (MWh)" dataDxfId="100" totalsRowDxfId="99"/>
    <tableColumn id="34" xr3:uid="{00000000-0010-0000-0200-000022000000}" name="#5 Stand-by " dataDxfId="98" totalsRowDxfId="97">
      <calculatedColumnFormula>24-AI2-AJ2-AK2</calculatedColumnFormula>
    </tableColumn>
    <tableColumn id="35" xr3:uid="{00000000-0010-0000-0200-000023000000}" name="#5 Run" dataDxfId="96" totalsRowDxfId="95">
      <calculatedColumnFormula>IFERROR(INDEX('Horo. M'!$K$3:K$367,MATCH(A2,'Horo. M'!$A$3:$A$367,0)),"")</calculatedColumnFormula>
    </tableColumn>
    <tableColumn id="36" xr3:uid="{00000000-0010-0000-0200-000024000000}" name="#5 Preventivo" dataDxfId="94" totalsRowDxfId="93"/>
    <tableColumn id="37" xr3:uid="{00000000-0010-0000-0200-000025000000}" name="#5 Correctivo" dataDxfId="92" totalsRowDxfId="91"/>
    <tableColumn id="38" xr3:uid="{00000000-0010-0000-0200-000026000000}" name="#5 Horas T. disponible " dataDxfId="90" totalsRowDxfId="89">
      <calculatedColumnFormula>24-AJ2-AK2</calculatedColumnFormula>
    </tableColumn>
    <tableColumn id="39" xr3:uid="{00000000-0010-0000-0200-000027000000}" name="#5 (%) Operativo" dataDxfId="88" totalsRowDxfId="87">
      <calculatedColumnFormula>AI2/24</calculatedColumnFormula>
    </tableColumn>
    <tableColumn id="40" xr3:uid="{00000000-0010-0000-0200-000028000000}" name="#5 Disponibilidad Diaria (%)" dataDxfId="86" totalsRowDxfId="85" dataCellStyle="Normal 2 2">
      <calculatedColumnFormula>(AL2/24)*100%</calculatedColumnFormula>
    </tableColumn>
    <tableColumn id="41" xr3:uid="{00000000-0010-0000-0200-000029000000}" name="#5 Ene. G. (MWh)" dataDxfId="84" totalsRowDxfId="83"/>
    <tableColumn id="42" xr3:uid="{00000000-0010-0000-0200-00002A000000}" name="#6 Stand-by " dataDxfId="82" totalsRowDxfId="81">
      <calculatedColumnFormula>24-AQ2-AR2-AS2</calculatedColumnFormula>
    </tableColumn>
    <tableColumn id="43" xr3:uid="{00000000-0010-0000-0200-00002B000000}" name="#6 Run" dataDxfId="80" totalsRowDxfId="79">
      <calculatedColumnFormula>IFERROR(INDEX('Horo. M'!$M$3:M$367,MATCH(A2,'Horo. M'!$A$3:$A$367,0)),"")</calculatedColumnFormula>
    </tableColumn>
    <tableColumn id="44" xr3:uid="{00000000-0010-0000-0200-00002C000000}" name="#6 Preventivo" dataDxfId="78" totalsRowDxfId="77"/>
    <tableColumn id="45" xr3:uid="{00000000-0010-0000-0200-00002D000000}" name="#6 Correctivo" dataDxfId="76" totalsRowDxfId="75"/>
    <tableColumn id="46" xr3:uid="{00000000-0010-0000-0200-00002E000000}" name="#6 Horas T. disponible " dataDxfId="74" totalsRowDxfId="73">
      <calculatedColumnFormula>24-AR2-AS2</calculatedColumnFormula>
    </tableColumn>
    <tableColumn id="47" xr3:uid="{00000000-0010-0000-0200-00002F000000}" name="#6 (%) Operativo" dataDxfId="72" totalsRowDxfId="71">
      <calculatedColumnFormula>AQ2/24</calculatedColumnFormula>
    </tableColumn>
    <tableColumn id="48" xr3:uid="{00000000-0010-0000-0200-000030000000}" name="#6 Disponibilidad Diaria (%)" dataDxfId="70" totalsRowDxfId="69" dataCellStyle="Normal 2 2">
      <calculatedColumnFormula>(AT2/24)*100%</calculatedColumnFormula>
    </tableColumn>
    <tableColumn id="49" xr3:uid="{00000000-0010-0000-0200-000031000000}" name="#6 Ene. G. (MWh)" dataDxfId="68" totalsRowDxfId="67"/>
    <tableColumn id="50" xr3:uid="{00000000-0010-0000-0200-000032000000}" name="#7 Stand-by " dataDxfId="66" totalsRowDxfId="65">
      <calculatedColumnFormula>24-AY2-AZ2-BA2</calculatedColumnFormula>
    </tableColumn>
    <tableColumn id="51" xr3:uid="{00000000-0010-0000-0200-000033000000}" name="#7 Run" dataDxfId="64" totalsRowDxfId="63">
      <calculatedColumnFormula>IFERROR(INDEX('Horo. M'!$O$3:O$367,MATCH(A2,'Horo. M'!$A$3:$A$367,0)),"")</calculatedColumnFormula>
    </tableColumn>
    <tableColumn id="52" xr3:uid="{00000000-0010-0000-0200-000034000000}" name="#7 Preventivo" dataDxfId="62" totalsRowDxfId="61"/>
    <tableColumn id="53" xr3:uid="{00000000-0010-0000-0200-000035000000}" name="#7 Correctivo" dataDxfId="60" totalsRowDxfId="59"/>
    <tableColumn id="54" xr3:uid="{00000000-0010-0000-0200-000036000000}" name="#7 Horas T. disponible " dataDxfId="58" totalsRowDxfId="57">
      <calculatedColumnFormula>24-AZ2-BA2</calculatedColumnFormula>
    </tableColumn>
    <tableColumn id="55" xr3:uid="{00000000-0010-0000-0200-000037000000}" name="#7 (%) Operativo" dataDxfId="56" totalsRowDxfId="55">
      <calculatedColumnFormula>AY2/24</calculatedColumnFormula>
    </tableColumn>
    <tableColumn id="56" xr3:uid="{00000000-0010-0000-0200-000038000000}" name="#7 Disponibilidad Diaria (%)" dataDxfId="54" totalsRowDxfId="53" dataCellStyle="Normal 2 2">
      <calculatedColumnFormula>(BB2/24)*100%</calculatedColumnFormula>
    </tableColumn>
    <tableColumn id="57" xr3:uid="{00000000-0010-0000-0200-000039000000}" name="#7 Ene. G. (MWh)" dataDxfId="52" totalsRowDxfId="51"/>
    <tableColumn id="58" xr3:uid="{00000000-0010-0000-0200-00003A000000}" name="#8 Stand-by " dataDxfId="50" totalsRowDxfId="49">
      <calculatedColumnFormula>24-BG2-BH2-BI2</calculatedColumnFormula>
    </tableColumn>
    <tableColumn id="59" xr3:uid="{00000000-0010-0000-0200-00003B000000}" name="#8 Run" dataDxfId="48" totalsRowDxfId="47">
      <calculatedColumnFormula>IFERROR(INDEX('Horo. M'!$Q$3:Q$367,MATCH(A2,'Horo. M'!$A$3:$A$367,0)),"")</calculatedColumnFormula>
    </tableColumn>
    <tableColumn id="60" xr3:uid="{00000000-0010-0000-0200-00003C000000}" name="#8 Preventivo" dataDxfId="46" totalsRowDxfId="45"/>
    <tableColumn id="61" xr3:uid="{00000000-0010-0000-0200-00003D000000}" name="#8 Correctivo" dataDxfId="44" totalsRowDxfId="43"/>
    <tableColumn id="62" xr3:uid="{00000000-0010-0000-0200-00003E000000}" name="#8 Horas T. disponible " dataDxfId="42" totalsRowDxfId="41">
      <calculatedColumnFormula>24-BH2-BI2</calculatedColumnFormula>
    </tableColumn>
    <tableColumn id="63" xr3:uid="{00000000-0010-0000-0200-00003F000000}" name="#8 (%) Operativo" dataDxfId="40" totalsRowDxfId="39">
      <calculatedColumnFormula>BG2/24</calculatedColumnFormula>
    </tableColumn>
    <tableColumn id="64" xr3:uid="{00000000-0010-0000-0200-000040000000}" name="#8 Disponibilidad Diaria (%)" dataDxfId="38" totalsRowDxfId="37" dataCellStyle="Normal 2 2">
      <calculatedColumnFormula>(BJ2/24)*100%</calculatedColumnFormula>
    </tableColumn>
    <tableColumn id="65" xr3:uid="{00000000-0010-0000-0200-000041000000}" name="#8 Ene. G. (MWh)" dataDxfId="36" totalsRowDxfId="35"/>
    <tableColumn id="66" xr3:uid="{00000000-0010-0000-0200-000042000000}" name="#9 Stand-by " dataDxfId="34" totalsRowDxfId="33">
      <calculatedColumnFormula>24-BO2-BP2-BQ2</calculatedColumnFormula>
    </tableColumn>
    <tableColumn id="67" xr3:uid="{00000000-0010-0000-0200-000043000000}" name="#9 Run" dataDxfId="32" totalsRowDxfId="31">
      <calculatedColumnFormula>IFERROR(INDEX('Horo. M'!$S$3:S$367,MATCH(A2,'Horo. M'!$A$3:$A$367,0)),"")</calculatedColumnFormula>
    </tableColumn>
    <tableColumn id="68" xr3:uid="{00000000-0010-0000-0200-000044000000}" name="#9 Preventivo" dataDxfId="30" totalsRowDxfId="29"/>
    <tableColumn id="69" xr3:uid="{00000000-0010-0000-0200-000045000000}" name="#9 Correctivo" dataDxfId="28" totalsRowDxfId="27"/>
    <tableColumn id="70" xr3:uid="{00000000-0010-0000-0200-000046000000}" name="#9 Horas T. disponible " dataDxfId="26" totalsRowDxfId="25">
      <calculatedColumnFormula>24-BP2-BQ2</calculatedColumnFormula>
    </tableColumn>
    <tableColumn id="71" xr3:uid="{00000000-0010-0000-0200-000047000000}" name="#9 (%) Operativo" dataDxfId="24" totalsRowDxfId="23">
      <calculatedColumnFormula>BO2/24</calculatedColumnFormula>
    </tableColumn>
    <tableColumn id="72" xr3:uid="{00000000-0010-0000-0200-000048000000}" name="#9 Disponibilidad Diaria (%)" dataDxfId="22" totalsRowDxfId="21" dataCellStyle="Normal 2 2">
      <calculatedColumnFormula>(BR2/24)*100%</calculatedColumnFormula>
    </tableColumn>
    <tableColumn id="73" xr3:uid="{00000000-0010-0000-0200-000049000000}" name="#9 Ene. G. (MWh)" dataDxfId="20" totalsRowDxfId="19"/>
    <tableColumn id="74" xr3:uid="{00000000-0010-0000-0200-00004A000000}" name="#10 Stand-by " dataDxfId="18" totalsRowDxfId="17">
      <calculatedColumnFormula>24-BW2-BX2-BY2</calculatedColumnFormula>
    </tableColumn>
    <tableColumn id="75" xr3:uid="{00000000-0010-0000-0200-00004B000000}" name="#10 Run" dataDxfId="16" totalsRowDxfId="15">
      <calculatedColumnFormula>IFERROR(INDEX('Horo. M'!$U$3:U$367,MATCH(A2,'Horo. M'!$A$3:$A$367,0)),"")</calculatedColumnFormula>
    </tableColumn>
    <tableColumn id="76" xr3:uid="{00000000-0010-0000-0200-00004C000000}" name="#10 Preventivo" dataDxfId="14" totalsRowDxfId="13"/>
    <tableColumn id="77" xr3:uid="{00000000-0010-0000-0200-00004D000000}" name="#10 Correctivo" dataDxfId="12" totalsRowDxfId="11"/>
    <tableColumn id="78" xr3:uid="{00000000-0010-0000-0200-00004E000000}" name="#10 Horas T. disponible " dataDxfId="10" totalsRowDxfId="9">
      <calculatedColumnFormula>24-BX2-BY2</calculatedColumnFormula>
    </tableColumn>
    <tableColumn id="79" xr3:uid="{00000000-0010-0000-0200-00004F000000}" name="#10 (%) Operativo" dataDxfId="8" totalsRowDxfId="7">
      <calculatedColumnFormula>BW2/24</calculatedColumnFormula>
    </tableColumn>
    <tableColumn id="80" xr3:uid="{00000000-0010-0000-0200-000050000000}" name="#10 Disponibilidad Diaria (%)" dataDxfId="6" totalsRowDxfId="5" dataCellStyle="Normal 2 2">
      <calculatedColumnFormula>(BZ2/24)*100%</calculatedColumnFormula>
    </tableColumn>
    <tableColumn id="81" xr3:uid="{00000000-0010-0000-0200-000051000000}" name="#10 Ene. G. (MWh)" dataDxfId="4" totalsRowDxfId="3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" xr10:uid="{00000000-0013-0000-FFFF-FFFF01000000}" sourceName="Fecha">
  <pivotTables>
    <pivotTable tabId="20" name="Consumo combustibles"/>
    <pivotTable tabId="20" name="Consumo de gas"/>
    <pivotTable tabId="20" name="Horas M"/>
    <pivotTable tabId="20" name="Horas M2"/>
    <pivotTable tabId="20" name="P Despachados Total"/>
    <pivotTable tabId="20" name="Despachos"/>
    <pivotTable tabId="20" name="PreOp. Vs. Real"/>
    <pivotTable tabId="20" name="Despacho Real-G HGS-R GE"/>
    <pivotTable tabId="20" name="HR"/>
    <pivotTable tabId="20" name="Consumo Epecifico"/>
    <pivotTable tabId="20" name="RDP - AUT MWh"/>
    <pivotTable tabId="20" name="Periodos RDP - AUTO"/>
    <pivotTable tabId="20" name="P. Oferta - Disponi"/>
    <pivotTable tabId="20" name="Horas x Motor"/>
  </pivotTables>
  <state minimalRefreshVersion="6" lastRefreshVersion="6" pivotCacheId="1" filterType="dateBetween">
    <selection startDate="2023-01-01T00:00:00" endDate="2023-03-31T00:00:00"/>
    <bounds startDate="2023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2" xr10:uid="{00000000-0014-0000-FFFF-FFFF01000000}" cache="NativeTimeline_Fecha" caption="Fecha" showTimeLevel="0" showHorizontalScrollbar="0" level="2" selectionLevel="1" scrollPosition="2023-01-01T00:00:00" style="TimeSlicerStyleDark1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1.xml"/><Relationship Id="rId16" Type="http://schemas.microsoft.com/office/2011/relationships/timeline" Target="../timelines/timeline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drawing" Target="../drawings/drawing6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24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4">
    <tabColor theme="4" tint="-0.499984740745262"/>
  </sheetPr>
  <dimension ref="B1:AB74"/>
  <sheetViews>
    <sheetView showGridLines="0" tabSelected="1" view="pageBreakPreview" topLeftCell="B1" zoomScale="90" zoomScaleNormal="80" zoomScaleSheetLayoutView="90" zoomScalePageLayoutView="20" workbookViewId="0">
      <selection activeCell="I7" sqref="I7"/>
    </sheetView>
  </sheetViews>
  <sheetFormatPr defaultColWidth="11.42578125" defaultRowHeight="15"/>
  <cols>
    <col min="1" max="1" width="0.85546875" customWidth="1"/>
    <col min="2" max="2" width="20.28515625" bestFit="1" customWidth="1"/>
    <col min="3" max="3" width="12.28515625" customWidth="1"/>
    <col min="4" max="4" width="1.42578125" customWidth="1"/>
    <col min="11" max="11" width="11.7109375" customWidth="1"/>
    <col min="12" max="12" width="26.7109375" bestFit="1" customWidth="1"/>
    <col min="13" max="13" width="10.85546875" customWidth="1"/>
    <col min="14" max="15" width="10.7109375" customWidth="1"/>
    <col min="16" max="16" width="3" customWidth="1"/>
    <col min="17" max="17" width="3.5703125" customWidth="1"/>
    <col min="18" max="18" width="11.140625" customWidth="1"/>
    <col min="19" max="19" width="11.7109375" customWidth="1"/>
    <col min="20" max="21" width="10.85546875" customWidth="1"/>
    <col min="22" max="22" width="9.28515625" customWidth="1"/>
    <col min="23" max="23" width="14" customWidth="1"/>
    <col min="24" max="24" width="11.5703125" customWidth="1"/>
    <col min="25" max="25" width="10.140625" customWidth="1"/>
    <col min="26" max="28" width="7.140625" customWidth="1"/>
    <col min="29" max="29" width="9.5703125" customWidth="1"/>
    <col min="30" max="30" width="11.42578125" customWidth="1"/>
    <col min="33" max="33" width="2" customWidth="1"/>
  </cols>
  <sheetData>
    <row r="1" spans="2:26" ht="19.5" customHeight="1">
      <c r="L1" s="148">
        <v>6</v>
      </c>
      <c r="M1" s="149"/>
      <c r="N1" s="149"/>
      <c r="O1" s="149"/>
      <c r="P1" s="110"/>
      <c r="T1" s="126">
        <v>3</v>
      </c>
    </row>
    <row r="2" spans="2:26">
      <c r="L2" s="460" t="s">
        <v>300</v>
      </c>
      <c r="M2" s="470" t="s">
        <v>153</v>
      </c>
      <c r="N2" s="471"/>
      <c r="O2" s="471"/>
      <c r="P2" s="110"/>
      <c r="R2" s="469" t="s">
        <v>757</v>
      </c>
      <c r="S2" s="469"/>
      <c r="T2" s="469"/>
      <c r="U2" s="464" t="s">
        <v>153</v>
      </c>
      <c r="V2" s="465"/>
      <c r="W2" s="466"/>
      <c r="X2" s="462" t="s">
        <v>758</v>
      </c>
    </row>
    <row r="3" spans="2:26">
      <c r="L3" s="461"/>
      <c r="M3" s="122">
        <f>INDEX('T. Dina'!B40:$M$40,$L$1)</f>
        <v>6</v>
      </c>
      <c r="N3" s="124">
        <f>INDEX('T. Dina'!C40:$M$40,$L$1)</f>
        <v>7</v>
      </c>
      <c r="O3" s="124">
        <f>INDEX('T. Dina'!D40:$M$40,$L$1)</f>
        <v>8</v>
      </c>
      <c r="P3" s="110"/>
      <c r="R3" s="469"/>
      <c r="S3" s="469"/>
      <c r="T3" s="469"/>
      <c r="U3" s="120">
        <f>INDEX('T. Dina'!DR3:$EC$3,$T$1)</f>
        <v>3</v>
      </c>
      <c r="V3" s="120">
        <f>INDEX('T. Dina'!DS3:$EC$3,$T$1)</f>
        <v>4</v>
      </c>
      <c r="W3" s="120">
        <f>INDEX('T. Dina'!DT3:$EC$3,$T$1)</f>
        <v>5</v>
      </c>
      <c r="X3" s="463"/>
    </row>
    <row r="4" spans="2:26">
      <c r="L4" s="127" t="s">
        <v>265</v>
      </c>
      <c r="M4" s="123">
        <f>IF(INDEX('T. Dina'!B41:$M$41,$L$1)=0,"",INDEX('T. Dina'!B41:$M$41,$L$1))</f>
        <v>50459</v>
      </c>
      <c r="N4" s="123">
        <f>IF(INDEX('T. Dina'!C41:$M$41,$L$1)=0,"",INDEX('T. Dina'!C41:$M$41,$L$1))</f>
        <v>40464</v>
      </c>
      <c r="O4" s="125" t="str">
        <f>IF(INDEX('T. Dina'!D41:$M$41,$L$1)=0,"",INDEX('T. Dina'!D41:$M$41,$L$1))</f>
        <v/>
      </c>
      <c r="P4" s="110"/>
      <c r="R4" s="467" t="s">
        <v>759</v>
      </c>
      <c r="S4" s="468"/>
      <c r="T4" s="468"/>
      <c r="U4" s="121">
        <f>IF(INDEX('T. Dina'!DR4:$EC$4,$T$1)=0,"",INDEX('T. Dina'!DR4:$EC$4,$T$1))</f>
        <v>7.0789770078180538</v>
      </c>
      <c r="V4" s="121">
        <f>IF(INDEX('T. Dina'!DS4:$EC$4,$T$1)=0,"",INDEX('T. Dina'!DS4:$EC$4,$T$1))</f>
        <v>7.483177403716442</v>
      </c>
      <c r="W4" s="121">
        <f>IF(INDEX('T. Dina'!DT4:$EC$4,$T$1)=0,"",INDEX('T. Dina'!DT4:$EC$4,$T$1))</f>
        <v>7.6873190545528232</v>
      </c>
      <c r="X4" s="146">
        <f>'T. Dina'!ED4</f>
        <v>4.2216895507901926</v>
      </c>
    </row>
    <row r="5" spans="2:26" ht="15" customHeight="1">
      <c r="L5" s="127" t="s">
        <v>267</v>
      </c>
      <c r="M5" s="123">
        <f>IF(INDEX('T. Dina'!B42:$M$42,$L$1)=0,"",INDEX('T. Dina'!B42:$M$42,$L$1))</f>
        <v>41183.197900000006</v>
      </c>
      <c r="N5" s="123">
        <f>IF(INDEX('T. Dina'!C42:$M$42,$L$1)=0,"",INDEX('T. Dina'!C42:$M$42,$L$1))</f>
        <v>39806.082800000011</v>
      </c>
      <c r="O5" s="125">
        <f>IF(INDEX('T. Dina'!D42:$M$42,$L$1)=0,"",INDEX('T. Dina'!D42:$M$42,$L$1))</f>
        <v>29018.486000000004</v>
      </c>
      <c r="P5" s="110"/>
      <c r="R5" s="467" t="s">
        <v>321</v>
      </c>
      <c r="S5" s="468"/>
      <c r="T5" s="468"/>
      <c r="U5" s="121">
        <f>IF(INDEX('T. Dina'!DR5:$EC$5,$T$1)=0,"",INDEX('T. Dina'!DR5:$EC$5,$T$1))</f>
        <v>9.1276995420703493</v>
      </c>
      <c r="V5" s="121">
        <f>IF(INDEX('T. Dina'!DS5:$EC$5,$T$1)=0,"",INDEX('T. Dina'!DS5:$EC$5,$T$1))</f>
        <v>8.645134072312926</v>
      </c>
      <c r="W5" s="121">
        <f>IF(INDEX('T. Dina'!DT5:$EC$5,$T$1)=0,"",INDEX('T. Dina'!DT5:$EC$5,$T$1))</f>
        <v>10.637589556587093</v>
      </c>
      <c r="X5" s="146">
        <f>'T. Dina'!ED5</f>
        <v>6.2779276769147003</v>
      </c>
    </row>
    <row r="6" spans="2:26">
      <c r="L6" s="127" t="s">
        <v>277</v>
      </c>
      <c r="M6" s="123">
        <f>IF(INDEX('T. Dina'!B43:$M$43,$L$1)=0,"",INDEX('T. Dina'!B43:$M$43,$L$1))</f>
        <v>36984.08733014077</v>
      </c>
      <c r="N6" s="123">
        <f>IF(INDEX('T. Dina'!C43:$M$43,$L$1)=0,"",INDEX('T. Dina'!C43:$M$43,$L$1))</f>
        <v>27368.224624304177</v>
      </c>
      <c r="O6" s="125" t="str">
        <f>IF(INDEX('T. Dina'!D43:$M$43,$L$1)=0,"",INDEX('T. Dina'!D43:$M$43,$L$1))</f>
        <v/>
      </c>
      <c r="P6" s="110"/>
      <c r="R6" s="467" t="s">
        <v>327</v>
      </c>
      <c r="S6" s="468"/>
      <c r="T6" s="468"/>
      <c r="U6" s="121">
        <f>IF(INDEX('T. Dina'!DR6:$EC$6,$T$1)=0,"",INDEX('T. Dina'!DR6:$EC$6,$T$1))</f>
        <v>0.32815591973619351</v>
      </c>
      <c r="V6" s="121">
        <f>IF(INDEX('T. Dina'!DS6:$EC$6,$T$1)=0,"",INDEX('T. Dina'!DS6:$EC$6,$T$1))</f>
        <v>0.20679882424475721</v>
      </c>
      <c r="W6" s="121">
        <f>IF(INDEX('T. Dina'!DT6:$EC$6,$T$1)=0,"",INDEX('T. Dina'!DT6:$EC$6,$T$1))</f>
        <v>0.26220714616799295</v>
      </c>
      <c r="X6" s="146">
        <f>'T. Dina'!ED6</f>
        <v>0.14983904182933105</v>
      </c>
    </row>
    <row r="7" spans="2:26">
      <c r="L7" s="127" t="s">
        <v>278</v>
      </c>
      <c r="M7" s="123">
        <f>IF(INDEX('T. Dina'!B44:M44,$L$1)=0,"",INDEX('T. Dina'!B44:M44,$L$1))</f>
        <v>55539.532287777103</v>
      </c>
      <c r="N7" s="123">
        <f>IF(INDEX('T. Dina'!C44:N44,$L$1)=0,"",INDEX('T. Dina'!C44:N44,$L$1))</f>
        <v>55555.382610918597</v>
      </c>
      <c r="O7" s="125">
        <f>IF(INDEX('T. Dina'!D44:O44,$L$1)=0,"",INDEX('T. Dina'!D44:O44,$L$1))</f>
        <v>37718.48563569643</v>
      </c>
      <c r="P7" s="110"/>
      <c r="R7" s="467" t="s">
        <v>332</v>
      </c>
      <c r="S7" s="468"/>
      <c r="T7" s="468"/>
      <c r="U7" s="121">
        <f>IF(INDEX('T. Dina'!DR7:$EC$7,$T$1)=0,"",INDEX('T. Dina'!DR7:$EC$7,$T$1))</f>
        <v>1.2846454451505325</v>
      </c>
      <c r="V7" s="121">
        <f>IF(INDEX('T. Dina'!DS7:$EC$7,$T$1)=0,"",INDEX('T. Dina'!DS7:$EC$7,$T$1))</f>
        <v>0.91451269956682035</v>
      </c>
      <c r="W7" s="121">
        <f>IF(INDEX('T. Dina'!DT7:$EC$7,$T$1)=0,"",INDEX('T. Dina'!DT7:$EC$7,$T$1))</f>
        <v>1.3636329148325395</v>
      </c>
      <c r="X7" s="146">
        <f>'T. Dina'!ED7</f>
        <v>0.74418401880064178</v>
      </c>
    </row>
    <row r="8" spans="2:26">
      <c r="L8" s="127" t="s">
        <v>279</v>
      </c>
      <c r="M8" s="123">
        <f>IF(INDEX('T. Dina'!B45:M45,$L$1)=0,0,INDEX('T. Dina'!B45:M45,$L$1))</f>
        <v>0</v>
      </c>
      <c r="N8" s="123">
        <f>IF(INDEX('T. Dina'!C45:N45,$L$1)=0,0,INDEX('T. Dina'!C45:N45,$L$1))</f>
        <v>0</v>
      </c>
      <c r="O8" s="125">
        <f>IF(INDEX('T. Dina'!D45:O45,$L$1)=0,0,INDEX('T. Dina'!D45:O45,$L$1))</f>
        <v>0</v>
      </c>
      <c r="P8" s="110"/>
      <c r="R8" s="467" t="s">
        <v>760</v>
      </c>
      <c r="S8" s="468"/>
      <c r="T8" s="468"/>
      <c r="U8" s="121">
        <f>IF(INDEX('T. Dina'!DR8:$EC$8,$T$1)=0,"",INDEX('T. Dina'!DR8:$EC$8,$T$1))</f>
        <v>200.93086406634927</v>
      </c>
      <c r="V8" s="121">
        <f>IF(INDEX('T. Dina'!DS8:$EC$8,$T$1)=0,"",INDEX('T. Dina'!DS8:$EC$8,$T$1))</f>
        <v>195.48731874502982</v>
      </c>
      <c r="W8" s="121">
        <f>IF(INDEX('T. Dina'!DT8:$EC$8,$T$1)=0,"",INDEX('T. Dina'!DT8:$EC$8,$T$1))</f>
        <v>398.71761143848806</v>
      </c>
      <c r="X8" s="146">
        <f>'T. Dina'!ED8</f>
        <v>150.24742194190847</v>
      </c>
    </row>
    <row r="9" spans="2:26" ht="12.75" customHeight="1">
      <c r="L9" s="127" t="s">
        <v>287</v>
      </c>
      <c r="M9" s="123">
        <f>IF(INDEX('T. Dina'!B46:M46,$L$1)=0,"",INDEX('T. Dina'!B46:M46,$L$1))</f>
        <v>388092.91527129599</v>
      </c>
      <c r="N9" s="123">
        <f>IF(INDEX('T. Dina'!C46:N46,$L$1)=0,"",INDEX('T. Dina'!C46:N46,$L$1))</f>
        <v>381052.56570910948</v>
      </c>
      <c r="O9" s="125" t="str">
        <f>IF(INDEX('T. Dina'!D46:O46,$L$1)=0,"",INDEX('T. Dina'!D46:O46,$L$1))</f>
        <v/>
      </c>
      <c r="P9" s="110"/>
      <c r="R9" s="467" t="s">
        <v>341</v>
      </c>
      <c r="S9" s="468"/>
      <c r="T9" s="468"/>
      <c r="U9" s="121">
        <f>IF(INDEX('T. Dina'!$DR$9:$EC9,$T$1)=0,0,INDEX('T. Dina'!DR$9:$EC9,$T$1))</f>
        <v>0</v>
      </c>
      <c r="V9" s="121">
        <f>IF(INDEX('T. Dina'!$DR$9:$EC9,$T$1)=0,0,INDEX('T. Dina'!DS$9:$EC9,$T$1))</f>
        <v>0</v>
      </c>
      <c r="W9" s="121">
        <f>IF(INDEX('T. Dina'!$DR$9:$EC9,$T$1)=0,0,INDEX('T. Dina'!DT$9:$EC9,$T$1))</f>
        <v>0</v>
      </c>
      <c r="X9" s="146">
        <f>'T. Dina'!ED9</f>
        <v>0</v>
      </c>
    </row>
    <row r="10" spans="2:26">
      <c r="L10" s="127" t="s">
        <v>358</v>
      </c>
      <c r="M10" s="123">
        <f>IF(INDEX('T. Dina'!B47:M47,$L$1)=0,"",INDEX('T. Dina'!B47:M47,$L$1))</f>
        <v>594</v>
      </c>
      <c r="N10" s="123">
        <f>IF(INDEX('T. Dina'!C47:N47,$L$1)=0,"",INDEX('T. Dina'!C47:N47,$L$1))</f>
        <v>740.47</v>
      </c>
      <c r="O10" s="125" t="str">
        <f>IF(INDEX('T. Dina'!D47:O47,$L$1)=0,"",INDEX('T. Dina'!D47:O47,$L$1))</f>
        <v/>
      </c>
      <c r="P10" s="110"/>
      <c r="R10" s="467" t="s">
        <v>345</v>
      </c>
      <c r="S10" s="468"/>
      <c r="T10" s="468"/>
      <c r="U10" s="147">
        <f>IF(INDEX('T. Dina'!DR$10:$EC10,$T$1)=0,0,INDEX('T. Dina'!DR10:$EC10,$T$1))</f>
        <v>0</v>
      </c>
      <c r="V10" s="147">
        <f>IF(INDEX('T. Dina'!DS$10:$EC10,$T$1)=0,0,INDEX('T. Dina'!DS10:$EC10,$T$1))</f>
        <v>2.1955649587832577E-4</v>
      </c>
      <c r="W10" s="147" t="str">
        <f>IF(INDEX('T. Dina'!DT$10:$EC10,$T$1)=0,"",INDEX('T. Dina'!DT10:$EC10,$T$1))</f>
        <v/>
      </c>
      <c r="X10" s="146">
        <f>'T. Dina'!ED10</f>
        <v>1.1564158666033225E-2</v>
      </c>
    </row>
    <row r="11" spans="2:26">
      <c r="L11" s="127" t="s">
        <v>284</v>
      </c>
      <c r="M11" s="123">
        <f>IF(INDEX('T. Dina'!B48:M48,$L$1)=0,"",INDEX('T. Dina'!B48:M48,$L$1))</f>
        <v>-74.129999999999967</v>
      </c>
      <c r="N11" s="123">
        <f>IF(INDEX('T. Dina'!C48:N48,$L$1)=0,"",INDEX('T. Dina'!C48:N48,$L$1))</f>
        <v>55.360000000000014</v>
      </c>
      <c r="O11" s="125">
        <f>IF(INDEX('T. Dina'!D48:O48,$L$1)=0,"",INDEX('T. Dina'!D48:O48,$L$1))</f>
        <v>121.44</v>
      </c>
      <c r="P11" s="110"/>
      <c r="R11" s="467" t="s">
        <v>348</v>
      </c>
      <c r="S11" s="468"/>
      <c r="T11" s="468"/>
      <c r="U11" s="147">
        <f>IF(INDEX('T. Dina'!DR$11:$EC11,$T$1)=0,0,INDEX('T. Dina'!DR$11:$EC11,$T$1))</f>
        <v>5.9734732257745223E-3</v>
      </c>
      <c r="V11" s="147">
        <f>IF(INDEX('T. Dina'!DS$11:$EC11,$T$1)=0,"",INDEX('T. Dina'!DS$11:$EC11,$T$1))</f>
        <v>8.5327638170894799E-3</v>
      </c>
      <c r="W11" s="147">
        <f>IF(INDEX('T. Dina'!DT$11:$EC11,$T$1)=0,"",INDEX('T. Dina'!DT$11:$EC11,$T$1))</f>
        <v>-6.8846659712458623E-3</v>
      </c>
      <c r="X11" s="146">
        <f>'T. Dina'!ED11</f>
        <v>1.1695416141150026E-3</v>
      </c>
    </row>
    <row r="12" spans="2:26">
      <c r="L12" s="127" t="s">
        <v>361</v>
      </c>
      <c r="M12" s="123">
        <f>IF(INDEX('T. Dina'!B49:M49,$L$1)=0,0,INDEX('T. Dina'!B49:M49,$L$1))</f>
        <v>44.7624943458</v>
      </c>
      <c r="N12" s="123">
        <f>IF(INDEX('T. Dina'!C49:N49,$L$1)=0,0,INDEX('T. Dina'!C49:N49,$L$1))</f>
        <v>0</v>
      </c>
      <c r="O12" s="125">
        <f>IF(INDEX('T. Dina'!D49:O49,$L$1)=0,0,INDEX('T. Dina'!D49:O49,$L$1))</f>
        <v>0</v>
      </c>
      <c r="P12" s="110"/>
      <c r="S12" s="126">
        <v>6</v>
      </c>
    </row>
    <row r="13" spans="2:26" ht="15" customHeight="1">
      <c r="B13" s="89" t="s">
        <v>234</v>
      </c>
      <c r="C13" s="104" t="str">
        <f>IF('T. Dina'!B4='T. Dina'!L2,'T. Dina'!L2 &amp;'T. Dina'!L3&amp;'T. Dina'!L4&amp;'T. Dina'!L5,"")</f>
        <v>ene</v>
      </c>
      <c r="L13" s="127" t="s">
        <v>398</v>
      </c>
      <c r="M13" s="123">
        <f>IF(INDEX('T. Dina'!B50:M50,$L$1)=0,"",INDEX('T. Dina'!B50:M50,$L$1))</f>
        <v>9423.574055945177</v>
      </c>
      <c r="N13" s="123">
        <f>IF(INDEX('T. Dina'!C50:N50,$L$1)=0,"",INDEX('T. Dina'!C50:N50,$L$1))</f>
        <v>9572.7220290339501</v>
      </c>
      <c r="O13" s="125" t="str">
        <f>IF(INDEX('T. Dina'!D50:O50,$L$1)=0,"",INDEX('T. Dina'!D50:O50,$L$1))</f>
        <v/>
      </c>
      <c r="P13" s="110"/>
      <c r="R13" s="476" t="s">
        <v>761</v>
      </c>
      <c r="S13" s="477"/>
      <c r="T13" s="474" t="s">
        <v>153</v>
      </c>
      <c r="U13" s="475"/>
      <c r="Z13" s="180"/>
    </row>
    <row r="14" spans="2:26">
      <c r="B14" s="90" t="s">
        <v>262</v>
      </c>
      <c r="C14" s="193">
        <f>IFERROR((VLOOKUP('T. Dina'!A5,'T. Dina'!$A$5:$B$11,2,0)),0)</f>
        <v>0</v>
      </c>
      <c r="L14" s="127" t="s">
        <v>224</v>
      </c>
      <c r="M14" s="123">
        <f>IF(INDEX('T. Dina'!B51:M51,$L$1)=0,"",INDEX('T. Dina'!B51:M51,$L$1))</f>
        <v>-12297.209069859229</v>
      </c>
      <c r="N14" s="123">
        <f>IF(INDEX('T. Dina'!C51:N51,$L$1)=0,"",INDEX('T. Dina'!C51:N51,$L$1))</f>
        <v>-6302.7753756958227</v>
      </c>
      <c r="O14" s="125">
        <f>IF(INDEX('T. Dina'!D51:O51,$L$1)=0,"",INDEX('T. Dina'!D51:O51,$L$1))</f>
        <v>-9846</v>
      </c>
      <c r="R14" s="478"/>
      <c r="S14" s="479"/>
      <c r="T14" s="181">
        <f>INDEX('T. Dina'!GL16:$GW$16,$S$12)</f>
        <v>6</v>
      </c>
      <c r="U14" s="182">
        <f>INDEX('T. Dina'!GM16:$GW$16,$S$12)</f>
        <v>7</v>
      </c>
    </row>
    <row r="15" spans="2:26">
      <c r="B15" s="90" t="s">
        <v>263</v>
      </c>
      <c r="C15" s="91">
        <f>IFERROR((VLOOKUP('T. Dina'!A6,'T. Dina'!$A$5:$B$11,2,0)),0)</f>
        <v>38230</v>
      </c>
      <c r="L15" s="127" t="s">
        <v>225</v>
      </c>
      <c r="M15" s="123">
        <f>IF(INDEX('T. Dina'!B52:M52,$L$1)=0,"",INDEX('T. Dina'!B52:M52,$L$1))</f>
        <v>49281.296399999999</v>
      </c>
      <c r="N15" s="123">
        <f>IF(INDEX('T. Dina'!C52:N52,$L$1)=0,"",INDEX('T. Dina'!C52:N52,$L$1))</f>
        <v>33671</v>
      </c>
      <c r="O15" s="125">
        <f>IF(INDEX('T. Dina'!D52:O52,$L$1)=0,"",INDEX('T. Dina'!D52:O52,$L$1))</f>
        <v>9846</v>
      </c>
      <c r="R15" s="457" t="s">
        <v>323</v>
      </c>
      <c r="S15" s="458"/>
      <c r="T15" s="183">
        <f>IF(INDEX('T. Dina'!GL17:GW17,$S$12)=0,0,INDEX('T. Dina'!GL17:GW17,$S$12))</f>
        <v>41183197.900000006</v>
      </c>
      <c r="U15" s="184">
        <f>IF(INDEX('T. Dina'!GM17:GX17,$S$12)=0,0,INDEX('T. Dina'!GM17:GX17,$S$12))</f>
        <v>39806082.799999997</v>
      </c>
      <c r="W15" s="126">
        <v>6</v>
      </c>
    </row>
    <row r="16" spans="2:26">
      <c r="B16" s="90" t="s">
        <v>264</v>
      </c>
      <c r="C16" s="91">
        <f>IFERROR((VLOOKUP('T. Dina'!A7,'T. Dina'!$A$5:$B$11,2,0)),0)</f>
        <v>38233</v>
      </c>
      <c r="L16" s="127" t="s">
        <v>762</v>
      </c>
      <c r="M16" s="123" t="str">
        <f>IF(INDEX('T. Dina'!B53:M53,$L$1)=0,"",INDEX('T. Dina'!B53:M53,$L$1))</f>
        <v>680,88</v>
      </c>
      <c r="N16" s="123" t="str">
        <f>IF(INDEX('T. Dina'!C53:N53,$L$1)=0,"",INDEX('T. Dina'!C53:N53,$L$1))</f>
        <v>433,23</v>
      </c>
      <c r="O16" s="125" t="str">
        <f>IF(INDEX('T. Dina'!D53:O53,$L$1)=0,"",INDEX('T. Dina'!D53:O53,$L$1))</f>
        <v>98,56</v>
      </c>
      <c r="R16" s="457" t="s">
        <v>329</v>
      </c>
      <c r="S16" s="458"/>
      <c r="T16" s="183">
        <f>IF(INDEX('T. Dina'!GL18:GW18,$S$12)=0,0,INDEX('T. Dina'!GL18:GW18,$S$12))</f>
        <v>11031710</v>
      </c>
      <c r="U16" s="184">
        <f>IF(INDEX('T. Dina'!GM18:GX18,$S$12)=0,0,INDEX('T. Dina'!GM18:GX18,$S$12))</f>
        <v>10831585</v>
      </c>
      <c r="W16" s="472" t="s">
        <v>294</v>
      </c>
      <c r="X16" s="473" t="s">
        <v>153</v>
      </c>
      <c r="Y16" s="473"/>
    </row>
    <row r="17" spans="2:25" ht="15" customHeight="1">
      <c r="B17" s="92" t="s">
        <v>265</v>
      </c>
      <c r="C17" s="93">
        <f>IFERROR((VLOOKUP('T. Dina'!A8,'T. Dina'!$A$5:$B$11,2,0)),0)</f>
        <v>39379</v>
      </c>
      <c r="R17" s="457" t="s">
        <v>334</v>
      </c>
      <c r="S17" s="458"/>
      <c r="T17" s="183">
        <f>IF(INDEX('T. Dina'!GL19:GW19,$S$12)=0,0,INDEX('T. Dina'!GL19:GW19,$S$12))</f>
        <v>350.24</v>
      </c>
      <c r="U17" s="184">
        <f>IF(INDEX('T. Dina'!GM19:GX19,$S$12)=0,0,INDEX('T. Dina'!GM19:GX19,$S$12))</f>
        <v>313.90000000000003</v>
      </c>
      <c r="W17" s="472"/>
      <c r="X17" s="171">
        <f>INDEX('T. Dina'!CR10:$DC$10,$W$15)</f>
        <v>6</v>
      </c>
      <c r="Y17" s="171">
        <f>INDEX('T. Dina'!CS10:$DC$10,$W$15)</f>
        <v>7</v>
      </c>
    </row>
    <row r="18" spans="2:25" ht="15" customHeight="1">
      <c r="R18" s="457" t="s">
        <v>338</v>
      </c>
      <c r="S18" s="458"/>
      <c r="T18" s="183">
        <f>IF(INDEX('T. Dina'!GL20:GW20,$S$12)=0,0,INDEX('T. Dina'!GL20:GW20,$S$12))</f>
        <v>292.05208995916797</v>
      </c>
      <c r="U18" s="184">
        <f>IF(INDEX('T. Dina'!GM20:GX20,$S$12)=0,0,INDEX('T. Dina'!GM20:GX20,$S$12))</f>
        <v>289.76191582984796</v>
      </c>
      <c r="W18" s="170" t="s">
        <v>320</v>
      </c>
      <c r="X18" s="108">
        <f>IF(INDEX('T. Dina'!CR11:$DC$11,$W$15)=0,0,INDEX('T. Dina'!CR11:$DC$11,$W$15))</f>
        <v>22044</v>
      </c>
      <c r="Y18" s="108">
        <f>IF(INDEX('T. Dina'!CS11:$DC$11,$W$15)=0,0,INDEX('T. Dina'!CS11:$DC$11,$W$15))</f>
        <v>21707</v>
      </c>
    </row>
    <row r="19" spans="2:25">
      <c r="R19" s="457" t="s">
        <v>342</v>
      </c>
      <c r="S19" s="458"/>
      <c r="T19" s="183">
        <f>IF(INDEX('T. Dina'!GL21:GW21,$S$12)=0,0,INDEX('T. Dina'!GL21:GW21,$S$12))</f>
        <v>0</v>
      </c>
      <c r="U19" s="184">
        <f>IF(INDEX('T. Dina'!GM21:GX21,$S$12)=0,0,INDEX('T. Dina'!GM21:GX21,$S$12))</f>
        <v>0</v>
      </c>
      <c r="W19" s="138" t="s">
        <v>326</v>
      </c>
      <c r="X19" s="108">
        <f>IF(INDEX('T. Dina'!CR12:$DC$12,$W$15)=0,0,INDEX('T. Dina'!CR12:$DC$12,$W$15))</f>
        <v>55108</v>
      </c>
      <c r="Y19" s="108">
        <f>IF(INDEX('T. Dina'!CS12:$DC$12,$W$15)=0,0,INDEX('T. Dina'!CS12:$DC$12,$W$15))</f>
        <v>54840</v>
      </c>
    </row>
    <row r="20" spans="2:25">
      <c r="R20" s="457" t="s">
        <v>346</v>
      </c>
      <c r="S20" s="458"/>
      <c r="T20" s="183">
        <f>IF(INDEX('T. Dina'!GL22:GW22,$S$12)=0,0,INDEX('T. Dina'!GL22:GW22,$S$12))</f>
        <v>0</v>
      </c>
      <c r="U20" s="184">
        <f>IF(INDEX('T. Dina'!GM22:GX22,$S$12)=0,0,INDEX('T. Dina'!GM22:GX22,$S$12))</f>
        <v>0</v>
      </c>
      <c r="W20" s="138" t="s">
        <v>292</v>
      </c>
      <c r="X20" s="108">
        <f>IF(INDEX('T. Dina'!CR13:$DC$13,$W$15)=0,0,INDEX('T. Dina'!CR13:$DC$13,$W$15))</f>
        <v>0</v>
      </c>
      <c r="Y20" s="108">
        <f>IF(INDEX('T. Dina'!CS13:$DC$13,$W$15)=0,0,INDEX('T. Dina'!CS13:$DC$13,$W$15))</f>
        <v>0</v>
      </c>
    </row>
    <row r="21" spans="2:25">
      <c r="R21" s="457" t="s">
        <v>349</v>
      </c>
      <c r="S21" s="458"/>
      <c r="T21" s="183">
        <f>IF(INDEX('T. Dina'!GL23:GW23,$S$12)=0,0,INDEX('T. Dina'!GL23:GW23,$S$12))</f>
        <v>22.659474939024001</v>
      </c>
      <c r="U21" s="184">
        <f>IF(INDEX('T. Dina'!GM23:GX23,$S$12)=0,0,INDEX('T. Dina'!GM23:GX23,$S$12))</f>
        <v>22.712470704000001</v>
      </c>
    </row>
    <row r="22" spans="2:25">
      <c r="R22" s="457" t="s">
        <v>371</v>
      </c>
      <c r="S22" s="458"/>
      <c r="T22" s="183">
        <f>IF(INDEX('T. Dina'!GL24:GW24,$S$12)=0,0,INDEX('T. Dina'!GL24:GW24,$S$12))</f>
        <v>19.734037283604906</v>
      </c>
      <c r="U22" s="184">
        <f>IF(INDEX('T. Dina'!GM24:GX24,$S$12)=0,0,INDEX('T. Dina'!GM24:GX24,$S$12))</f>
        <v>19.074155532964667</v>
      </c>
    </row>
    <row r="23" spans="2:25">
      <c r="T23" s="126">
        <v>5</v>
      </c>
    </row>
    <row r="24" spans="2:25">
      <c r="R24" s="459" t="s">
        <v>763</v>
      </c>
      <c r="S24" s="459"/>
      <c r="T24" s="473" t="s">
        <v>153</v>
      </c>
      <c r="U24" s="473"/>
    </row>
    <row r="25" spans="2:25">
      <c r="R25" s="459"/>
      <c r="S25" s="459"/>
      <c r="T25" s="171">
        <f>INDEX('T. Dina'!FU4:$GF$4,$T$23)</f>
        <v>5</v>
      </c>
      <c r="U25" s="171">
        <f>INDEX('T. Dina'!FV4:$GF$4,$T$23)</f>
        <v>6</v>
      </c>
    </row>
    <row r="26" spans="2:25">
      <c r="R26" s="480" t="s">
        <v>764</v>
      </c>
      <c r="S26" s="480"/>
      <c r="T26" s="108">
        <f>IF(INDEX('T. Dina'!FU5:$GF$5,$T$23)=0,0,INDEX('T. Dina'!FU5:$GF$5,$T$23))</f>
        <v>0</v>
      </c>
      <c r="U26" s="108">
        <f>IF(INDEX('T. Dina'!FV5:$GF$5,$T$23)=0,0,INDEX('T. Dina'!FV5:$GF$5,$T$23))</f>
        <v>0</v>
      </c>
    </row>
    <row r="27" spans="2:25">
      <c r="R27" s="481" t="s">
        <v>765</v>
      </c>
      <c r="S27" s="481"/>
      <c r="T27" s="108">
        <f>IF(INDEX('T. Dina'!FU$6:$GF6,$T$23)=0,0,INDEX('T. Dina'!FU$6:$GF6,$T$23))</f>
        <v>0</v>
      </c>
      <c r="U27" s="108">
        <f>IF(INDEX('T. Dina'!FV$6:$GF6,$T$23)=0,0,INDEX('T. Dina'!FV$6:$GF6,$T$23))</f>
        <v>1</v>
      </c>
    </row>
    <row r="28" spans="2:25">
      <c r="R28" s="481" t="s">
        <v>766</v>
      </c>
      <c r="S28" s="481"/>
      <c r="T28" s="108">
        <f>IF(INDEX('T. Dina'!FU$7:$GF7,$T$23)=0,0,INDEX('T. Dina'!FU$7:$GF7,$T$23))</f>
        <v>0</v>
      </c>
      <c r="U28" s="108">
        <f>IF(INDEX('T. Dina'!FV$7:$GF7,$T$23)=0,0,INDEX('T. Dina'!FV$7:$GF7,$T$23))</f>
        <v>0</v>
      </c>
    </row>
    <row r="29" spans="2:25">
      <c r="R29" s="481" t="s">
        <v>767</v>
      </c>
      <c r="S29" s="481"/>
      <c r="T29" s="108">
        <f>IF(INDEX('T. Dina'!FU8:$GF$8,$T$23)=0,0,INDEX('T. Dina'!FU8:$GF$8,$T$23))</f>
        <v>29</v>
      </c>
      <c r="U29" s="108">
        <f>IF(INDEX('T. Dina'!FV8:$GF$8,$T$23)=0,0,INDEX('T. Dina'!FV8:$GF$8,$T$23))</f>
        <v>28</v>
      </c>
    </row>
    <row r="30" spans="2:25" ht="15" customHeight="1">
      <c r="V30" s="47"/>
    </row>
    <row r="31" spans="2:25" ht="15" customHeight="1">
      <c r="S31" s="126">
        <v>2</v>
      </c>
    </row>
    <row r="32" spans="2:25">
      <c r="R32" s="484" t="s">
        <v>768</v>
      </c>
      <c r="S32" s="484"/>
      <c r="T32" s="483" t="s">
        <v>153</v>
      </c>
      <c r="U32" s="483"/>
    </row>
    <row r="33" spans="18:28">
      <c r="R33" s="484"/>
      <c r="S33" s="484"/>
      <c r="T33" s="111">
        <f>INDEX('T. Dina'!AN4:AY4,$S$31)</f>
        <v>2</v>
      </c>
      <c r="U33" s="111">
        <f>INDEX('T. Dina'!AO4:AZ4,$S$31)</f>
        <v>3</v>
      </c>
    </row>
    <row r="34" spans="18:28" ht="15" customHeight="1">
      <c r="R34" s="485" t="s">
        <v>130</v>
      </c>
      <c r="S34" s="485"/>
      <c r="T34" s="134">
        <f>IF(INDEX('T. Dina'!AN5:$AY$5,$S$31)=0,"",INDEX('T. Dina'!AN5:$AY$5,$S$31))</f>
        <v>10055</v>
      </c>
      <c r="U34" s="134">
        <f>IF(INDEX('T. Dina'!AO5:$AY$5,$S$31)=0,"",INDEX('T. Dina'!AO5:$AY$5,$S$31))</f>
        <v>10639</v>
      </c>
    </row>
    <row r="35" spans="18:28">
      <c r="R35" s="482" t="s">
        <v>132</v>
      </c>
      <c r="S35" s="482"/>
      <c r="T35" s="134">
        <f>IF(INDEX('T. Dina'!AN6:$AY$6,$S$31)=0,"",INDEX('T. Dina'!AN6:$AY$6,$S$31))</f>
        <v>16371</v>
      </c>
      <c r="U35" s="134">
        <f>IF(INDEX('T. Dina'!AO6:$AY$6,$S$31)=0,"",INDEX('T. Dina'!AO6:$AY$6,$S$31))</f>
        <v>17049</v>
      </c>
    </row>
    <row r="36" spans="18:28">
      <c r="R36" s="482" t="s">
        <v>134</v>
      </c>
      <c r="S36" s="482"/>
      <c r="T36" s="134">
        <f>IF(INDEX('T. Dina'!AN7:$AY$7,$S$31)=0,"",INDEX('T. Dina'!AN7:$AY$7,$S$31))</f>
        <v>15114</v>
      </c>
      <c r="U36" s="134">
        <f>IF(INDEX('T. Dina'!AO7:$AY$7,$S$31)=0,"",INDEX('T. Dina'!AO7:$AY$7,$S$31))</f>
        <v>15801</v>
      </c>
    </row>
    <row r="37" spans="18:28">
      <c r="R37" s="482" t="s">
        <v>136</v>
      </c>
      <c r="S37" s="482"/>
      <c r="T37" s="134">
        <f>IF(INDEX('T. Dina'!AN8:$AY$8,$S$31)=0,"",INDEX('T. Dina'!AN8:$AY$8,$S$31))</f>
        <v>16131</v>
      </c>
      <c r="U37" s="134">
        <f>IF(INDEX('T. Dina'!AO8:$AY$8,$S$31)=0,"",INDEX('T. Dina'!AO8:$AY$8,$S$31))</f>
        <v>16758</v>
      </c>
    </row>
    <row r="38" spans="18:28">
      <c r="R38" s="482" t="s">
        <v>138</v>
      </c>
      <c r="S38" s="482"/>
      <c r="T38" s="134">
        <f>IF(INDEX('T. Dina'!AN9:$AY$9,$S$31)=0,"",INDEX('T. Dina'!AN9:$AY$9,$S$31))</f>
        <v>11967</v>
      </c>
      <c r="U38" s="134">
        <f>IF(INDEX('T. Dina'!AO9:$AY$9,$S$31)=0,"",INDEX('T. Dina'!AO9:$AY$9,$S$31))</f>
        <v>11978</v>
      </c>
    </row>
    <row r="39" spans="18:28">
      <c r="R39" s="482" t="s">
        <v>140</v>
      </c>
      <c r="S39" s="482"/>
      <c r="T39" s="134">
        <f>IF(INDEX('T. Dina'!AN10:$AY$10,$S$31)=0,"",INDEX('T. Dina'!AN10:$AY$10,$S$31))</f>
        <v>15897</v>
      </c>
      <c r="U39" s="134">
        <f>IF(INDEX('T. Dina'!AO10:$AY$10,$S$31)=0,"",INDEX('T. Dina'!AO10:$AY$10,$S$31))</f>
        <v>16478</v>
      </c>
    </row>
    <row r="40" spans="18:28">
      <c r="R40" s="482" t="s">
        <v>142</v>
      </c>
      <c r="S40" s="482"/>
      <c r="T40" s="134">
        <f>IF(INDEX('T. Dina'!AN11:$AY$11,$S$31)=0,"",INDEX('T. Dina'!AN11:$AY$11,$S$31))</f>
        <v>16381</v>
      </c>
      <c r="U40" s="134">
        <f>IF(INDEX('T. Dina'!AO11:$AY$11,$S$31)=0,"",INDEX('T. Dina'!AO11:$AY$11,$S$31))</f>
        <v>16881</v>
      </c>
    </row>
    <row r="41" spans="18:28">
      <c r="R41" s="482" t="s">
        <v>144</v>
      </c>
      <c r="S41" s="482"/>
      <c r="T41" s="134">
        <f>IF(INDEX('T. Dina'!AN12:$AY$12,$S$31)=0,"",INDEX('T. Dina'!AN12:$AY$12,$S$31))</f>
        <v>16155</v>
      </c>
      <c r="U41" s="134">
        <f>IF(INDEX('T. Dina'!AO12:$AY$12,$S$31)=0,"",INDEX('T. Dina'!AO12:$AY$12,$S$31))</f>
        <v>16877</v>
      </c>
    </row>
    <row r="42" spans="18:28">
      <c r="R42" s="482" t="s">
        <v>146</v>
      </c>
      <c r="S42" s="482"/>
      <c r="T42" s="134">
        <f>IF(INDEX('T. Dina'!AN13:$AY$13,$S$31)=0,"",INDEX('T. Dina'!AN13:$AY$13,$S$31))</f>
        <v>15357</v>
      </c>
      <c r="U42" s="134">
        <f>IF(INDEX('T. Dina'!AO13:$AY$13,$S$31)=0,"",INDEX('T. Dina'!AO13:$AY$13,$S$31))</f>
        <v>15953</v>
      </c>
    </row>
    <row r="43" spans="18:28">
      <c r="R43" s="482" t="s">
        <v>148</v>
      </c>
      <c r="S43" s="482"/>
      <c r="T43" s="134">
        <f>IF(INDEX('T. Dina'!AN14:$AY$14,$S$31)=0,"",INDEX('T. Dina'!AN14:$AY$14,$S$31))</f>
        <v>13132</v>
      </c>
      <c r="U43" s="134">
        <f>IF(INDEX('T. Dina'!AO14:$AY$14,$S$31)=0,"",INDEX('T. Dina'!AO14:$AY$14,$S$31))</f>
        <v>13832</v>
      </c>
    </row>
    <row r="44" spans="18:28">
      <c r="Z44" s="135"/>
      <c r="AA44" s="136"/>
      <c r="AB44" s="136"/>
    </row>
    <row r="49" ht="10.5" customHeight="1"/>
    <row r="50" ht="10.5" customHeight="1"/>
    <row r="65" spans="25:27" ht="12" customHeight="1"/>
    <row r="66" spans="25:27" ht="12" customHeight="1"/>
    <row r="67" spans="25:27" ht="12" customHeight="1"/>
    <row r="68" spans="25:27" ht="12" customHeight="1"/>
    <row r="69" spans="25:27" ht="12" customHeight="1">
      <c r="Y69" s="118"/>
      <c r="Z69" s="118"/>
      <c r="AA69" s="118"/>
    </row>
    <row r="70" spans="25:27" ht="12" customHeight="1"/>
    <row r="71" spans="25:27" ht="12" customHeight="1"/>
    <row r="72" spans="25:27" ht="12" customHeight="1"/>
    <row r="73" spans="25:27" ht="12" customHeight="1"/>
    <row r="74" spans="25:27" ht="12" customHeight="1"/>
  </sheetData>
  <mergeCells count="43">
    <mergeCell ref="R41:S41"/>
    <mergeCell ref="R42:S42"/>
    <mergeCell ref="R43:S43"/>
    <mergeCell ref="T32:U32"/>
    <mergeCell ref="R36:S36"/>
    <mergeCell ref="R37:S37"/>
    <mergeCell ref="R38:S38"/>
    <mergeCell ref="R39:S39"/>
    <mergeCell ref="R40:S40"/>
    <mergeCell ref="R32:S33"/>
    <mergeCell ref="R34:S34"/>
    <mergeCell ref="R35:S35"/>
    <mergeCell ref="R26:S26"/>
    <mergeCell ref="R27:S27"/>
    <mergeCell ref="R28:S28"/>
    <mergeCell ref="R29:S29"/>
    <mergeCell ref="T24:U24"/>
    <mergeCell ref="T13:U13"/>
    <mergeCell ref="R13:S14"/>
    <mergeCell ref="R15:S15"/>
    <mergeCell ref="R16:S16"/>
    <mergeCell ref="R18:S18"/>
    <mergeCell ref="R19:S19"/>
    <mergeCell ref="R20:S20"/>
    <mergeCell ref="W16:W17"/>
    <mergeCell ref="X16:Y16"/>
    <mergeCell ref="R17:S17"/>
    <mergeCell ref="R21:S21"/>
    <mergeCell ref="R22:S22"/>
    <mergeCell ref="R24:S25"/>
    <mergeCell ref="L2:L3"/>
    <mergeCell ref="X2:X3"/>
    <mergeCell ref="U2:W2"/>
    <mergeCell ref="R10:T10"/>
    <mergeCell ref="R11:T11"/>
    <mergeCell ref="R5:T5"/>
    <mergeCell ref="R6:T6"/>
    <mergeCell ref="R7:T7"/>
    <mergeCell ref="R8:T8"/>
    <mergeCell ref="R9:T9"/>
    <mergeCell ref="R2:T3"/>
    <mergeCell ref="M2:O2"/>
    <mergeCell ref="R4:T4"/>
  </mergeCells>
  <conditionalFormatting sqref="C14:C17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{94D3D9FA-D306-479C-A9DF-1E4F16087DD7}</x14:id>
        </ext>
      </extLst>
    </cfRule>
  </conditionalFormatting>
  <conditionalFormatting sqref="M9:P9">
    <cfRule type="iconSet" priority="46">
      <iconSet iconSet="4Arrows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pageSetup paperSize="9" scale="32" orientation="portrait" horizontalDpi="300" verticalDpi="300" r:id="rId1"/>
  <colBreaks count="1" manualBreakCount="1">
    <brk id="25" max="57" man="1"/>
  </colBreaks>
  <ignoredErrors>
    <ignoredError sqref="U14 U22 Y17 N3:O3 V3:W3 U25 U33 N15:O15" formulaRange="1"/>
  </ignoredErrors>
  <drawing r:id="rId2"/>
  <legacyDrawing r:id="rId3"/>
  <controls>
    <mc:AlternateContent xmlns:mc="http://schemas.openxmlformats.org/markup-compatibility/2006">
      <mc:Choice Requires="x14">
        <control shapeId="9220" r:id="rId4" name="ScrollBar1">
          <controlPr defaultSize="0" autoLine="0" autoPict="0" linkedCell="L1" r:id="rId5">
            <anchor moveWithCells="1">
              <from>
                <xdr:col>11</xdr:col>
                <xdr:colOff>1743075</xdr:colOff>
                <xdr:row>0</xdr:row>
                <xdr:rowOff>38100</xdr:rowOff>
              </from>
              <to>
                <xdr:col>14</xdr:col>
                <xdr:colOff>342900</xdr:colOff>
                <xdr:row>0</xdr:row>
                <xdr:rowOff>219075</xdr:rowOff>
              </to>
            </anchor>
          </controlPr>
        </control>
      </mc:Choice>
      <mc:Fallback>
        <control shapeId="9220" r:id="rId4" name="ScrollBar1"/>
      </mc:Fallback>
    </mc:AlternateContent>
    <mc:AlternateContent xmlns:mc="http://schemas.openxmlformats.org/markup-compatibility/2006">
      <mc:Choice Requires="x14">
        <control shapeId="9221" r:id="rId6" name="ScrollBar2">
          <controlPr defaultSize="0" autoLine="0" autoPict="0" linkedCell="T1" r:id="rId7">
            <anchor moveWithCells="1">
              <from>
                <xdr:col>19</xdr:col>
                <xdr:colOff>666750</xdr:colOff>
                <xdr:row>0</xdr:row>
                <xdr:rowOff>95250</xdr:rowOff>
              </from>
              <to>
                <xdr:col>22</xdr:col>
                <xdr:colOff>876300</xdr:colOff>
                <xdr:row>1</xdr:row>
                <xdr:rowOff>9525</xdr:rowOff>
              </to>
            </anchor>
          </controlPr>
        </control>
      </mc:Choice>
      <mc:Fallback>
        <control shapeId="9221" r:id="rId6" name="ScrollBar2"/>
      </mc:Fallback>
    </mc:AlternateContent>
    <mc:AlternateContent xmlns:mc="http://schemas.openxmlformats.org/markup-compatibility/2006">
      <mc:Choice Requires="x14">
        <control shapeId="9222" r:id="rId8" name="ScrollBar3">
          <controlPr defaultSize="0" autoLine="0" linkedCell="S31" r:id="rId9">
            <anchor moveWithCells="1">
              <from>
                <xdr:col>19</xdr:col>
                <xdr:colOff>161925</xdr:colOff>
                <xdr:row>30</xdr:row>
                <xdr:rowOff>57150</xdr:rowOff>
              </from>
              <to>
                <xdr:col>21</xdr:col>
                <xdr:colOff>9525</xdr:colOff>
                <xdr:row>31</xdr:row>
                <xdr:rowOff>0</xdr:rowOff>
              </to>
            </anchor>
          </controlPr>
        </control>
      </mc:Choice>
      <mc:Fallback>
        <control shapeId="9222" r:id="rId8" name="ScrollBar3"/>
      </mc:Fallback>
    </mc:AlternateContent>
    <mc:AlternateContent xmlns:mc="http://schemas.openxmlformats.org/markup-compatibility/2006">
      <mc:Choice Requires="x14">
        <control shapeId="9223" r:id="rId10" name="ScrollBar4">
          <controlPr defaultSize="0" autoLine="0" linkedCell="W15" r:id="rId11">
            <anchor moveWithCells="1">
              <from>
                <xdr:col>23</xdr:col>
                <xdr:colOff>171450</xdr:colOff>
                <xdr:row>14</xdr:row>
                <xdr:rowOff>57150</xdr:rowOff>
              </from>
              <to>
                <xdr:col>25</xdr:col>
                <xdr:colOff>9525</xdr:colOff>
                <xdr:row>15</xdr:row>
                <xdr:rowOff>0</xdr:rowOff>
              </to>
            </anchor>
          </controlPr>
        </control>
      </mc:Choice>
      <mc:Fallback>
        <control shapeId="9223" r:id="rId10" name="ScrollBar4"/>
      </mc:Fallback>
    </mc:AlternateContent>
    <mc:AlternateContent xmlns:mc="http://schemas.openxmlformats.org/markup-compatibility/2006">
      <mc:Choice Requires="x14">
        <control shapeId="9224" r:id="rId12" name="ScrollBar5">
          <controlPr defaultSize="0" autoLine="0" linkedCell="T23" r:id="rId13">
            <anchor moveWithCells="1">
              <from>
                <xdr:col>19</xdr:col>
                <xdr:colOff>161925</xdr:colOff>
                <xdr:row>22</xdr:row>
                <xdr:rowOff>57150</xdr:rowOff>
              </from>
              <to>
                <xdr:col>20</xdr:col>
                <xdr:colOff>514350</xdr:colOff>
                <xdr:row>22</xdr:row>
                <xdr:rowOff>161925</xdr:rowOff>
              </to>
            </anchor>
          </controlPr>
        </control>
      </mc:Choice>
      <mc:Fallback>
        <control shapeId="9224" r:id="rId12" name="ScrollBar5"/>
      </mc:Fallback>
    </mc:AlternateContent>
    <mc:AlternateContent xmlns:mc="http://schemas.openxmlformats.org/markup-compatibility/2006">
      <mc:Choice Requires="x14">
        <control shapeId="9225" r:id="rId14" name="ScrollBar6">
          <controlPr defaultSize="0" autoLine="0" linkedCell="S12" r:id="rId15">
            <anchor moveWithCells="1">
              <from>
                <xdr:col>19</xdr:col>
                <xdr:colOff>161925</xdr:colOff>
                <xdr:row>11</xdr:row>
                <xdr:rowOff>57150</xdr:rowOff>
              </from>
              <to>
                <xdr:col>21</xdr:col>
                <xdr:colOff>9525</xdr:colOff>
                <xdr:row>12</xdr:row>
                <xdr:rowOff>0</xdr:rowOff>
              </to>
            </anchor>
          </controlPr>
        </control>
      </mc:Choice>
      <mc:Fallback>
        <control shapeId="9225" r:id="rId14" name="ScrollBar6"/>
      </mc:Fallback>
    </mc:AlternateContent>
  </control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D3D9FA-D306-479C-A9DF-1E4F16087D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C14:C17</xm:sqref>
        </x14:conditionalFormatting>
        <x14:conditionalFormatting xmlns:xm="http://schemas.microsoft.com/office/excel/2006/main">
          <x14:cfRule type="iconSet" priority="14" id="{645E45F9-63BB-4F43-B35C-A7272AE3BB4A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M4:O4</xm:sqref>
        </x14:conditionalFormatting>
        <x14:conditionalFormatting xmlns:xm="http://schemas.microsoft.com/office/excel/2006/main">
          <x14:cfRule type="iconSet" priority="13" id="{1D6F621E-D07A-4F36-8D1D-BA57C14E164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M5:O5</xm:sqref>
        </x14:conditionalFormatting>
        <x14:conditionalFormatting xmlns:xm="http://schemas.microsoft.com/office/excel/2006/main">
          <x14:cfRule type="iconSet" priority="4" id="{3DA98398-7899-4648-9544-11CFDD4F281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M9:O9</xm:sqref>
        </x14:conditionalFormatting>
        <x14:conditionalFormatting xmlns:xm="http://schemas.microsoft.com/office/excel/2006/main">
          <x14:cfRule type="iconSet" priority="3" id="{19658249-604E-4CA1-BBB1-B51D9A4FDB3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M13:O16</xm:sqref>
        </x14:conditionalFormatting>
        <x14:conditionalFormatting xmlns:xm="http://schemas.microsoft.com/office/excel/2006/main">
          <x14:cfRule type="iconSet" priority="51" id="{BBD019C0-6E1B-4CE2-99C9-4B5D5514B95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M4:P4</xm:sqref>
        </x14:conditionalFormatting>
        <x14:conditionalFormatting xmlns:xm="http://schemas.microsoft.com/office/excel/2006/main">
          <x14:cfRule type="iconSet" priority="50" id="{5B820C34-378C-43DD-9766-6D6D9CB2441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M5:P5 P1:P5</xm:sqref>
        </x14:conditionalFormatting>
        <x14:conditionalFormatting xmlns:xm="http://schemas.microsoft.com/office/excel/2006/main">
          <x14:cfRule type="iconSet" priority="49" id="{7F5E79EF-E3B4-4EF4-ABFB-58F3F0388A3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M6:P6</xm:sqref>
        </x14:conditionalFormatting>
        <x14:conditionalFormatting xmlns:xm="http://schemas.microsoft.com/office/excel/2006/main">
          <x14:cfRule type="iconSet" priority="48" id="{87E6E442-BFE9-45C8-A98B-3020E2D35F1F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M7:P7</xm:sqref>
        </x14:conditionalFormatting>
        <x14:conditionalFormatting xmlns:xm="http://schemas.microsoft.com/office/excel/2006/main">
          <x14:cfRule type="iconSet" priority="129" id="{A83FD076-611F-4CE1-AC9B-969E12A5533A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M7:P13 M14:O16</xm:sqref>
        </x14:conditionalFormatting>
        <x14:conditionalFormatting xmlns:xm="http://schemas.microsoft.com/office/excel/2006/main">
          <x14:cfRule type="iconSet" priority="47" id="{B3D855D8-FF9B-46B0-B0DC-C5C4D41D6FEF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M8:P8</xm:sqref>
        </x14:conditionalFormatting>
        <x14:conditionalFormatting xmlns:xm="http://schemas.microsoft.com/office/excel/2006/main">
          <x14:cfRule type="iconSet" priority="45" id="{CE1606FC-DC8E-4993-B4FE-9DAE48F272A5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M9:P9</xm:sqref>
        </x14:conditionalFormatting>
        <x14:conditionalFormatting xmlns:xm="http://schemas.microsoft.com/office/excel/2006/main">
          <x14:cfRule type="iconSet" priority="44" id="{DF9B01DC-C1BD-46C4-9C34-E9F332E3A57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M10:P10 M11:O11</xm:sqref>
        </x14:conditionalFormatting>
        <x14:conditionalFormatting xmlns:xm="http://schemas.microsoft.com/office/excel/2006/main">
          <x14:cfRule type="iconSet" priority="43" id="{0B056728-3DB5-4D6D-920F-4B0DDBA4333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M11:P11</xm:sqref>
        </x14:conditionalFormatting>
        <x14:conditionalFormatting xmlns:xm="http://schemas.microsoft.com/office/excel/2006/main">
          <x14:cfRule type="iconSet" priority="42" id="{F2C491A7-0118-4E18-8B34-2B00A5781D1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M12:P12</xm:sqref>
        </x14:conditionalFormatting>
        <x14:conditionalFormatting xmlns:xm="http://schemas.microsoft.com/office/excel/2006/main">
          <x14:cfRule type="iconSet" priority="41" id="{0E8C186E-FC56-4898-93B9-57F92EAE5DC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M13:P13 M14:O16</xm:sqref>
        </x14:conditionalFormatting>
        <x14:conditionalFormatting xmlns:xm="http://schemas.microsoft.com/office/excel/2006/main">
          <x14:cfRule type="iconSet" priority="125" id="{5E99B53E-74BD-4456-B854-A85E7ED0285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P1:P5 M4:P13 M14:O16</xm:sqref>
        </x14:conditionalFormatting>
        <x14:conditionalFormatting xmlns:xm="http://schemas.microsoft.com/office/excel/2006/main">
          <x14:cfRule type="iconSet" priority="5" id="{DB2629EA-B39D-47B7-8330-07AB2A4173E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U4:W4</xm:sqref>
        </x14:conditionalFormatting>
        <x14:conditionalFormatting xmlns:xm="http://schemas.microsoft.com/office/excel/2006/main">
          <x14:cfRule type="iconSet" priority="40" id="{777900B6-AC10-48EE-9521-1A5F2D5255A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U4:W8 U10:W11</xm:sqref>
        </x14:conditionalFormatting>
        <x14:conditionalFormatting xmlns:xm="http://schemas.microsoft.com/office/excel/2006/main">
          <x14:cfRule type="iconSet" priority="35" id="{9D68F700-ADC8-4C9A-8891-C4DBF832758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36" id="{996BB7A5-FA09-4EC5-98E2-FFE15FC6E2A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37" id="{F37991C7-C4E0-4BC2-901E-CEC2B2C869F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38" id="{2A269153-2C72-44F5-A194-FDF6E7CA6DF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39" id="{757FDFFA-15BC-4716-87EB-B53602D786F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34" id="{55613D8E-66DB-475F-8845-5238CAAFA65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U4:W8</xm:sqref>
        </x14:conditionalFormatting>
        <x14:conditionalFormatting xmlns:xm="http://schemas.microsoft.com/office/excel/2006/main">
          <x14:cfRule type="iconSet" priority="6" id="{E7C5D619-9CDC-45E4-A283-A7753709E41A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U5:W5</xm:sqref>
        </x14:conditionalFormatting>
        <x14:conditionalFormatting xmlns:xm="http://schemas.microsoft.com/office/excel/2006/main">
          <x14:cfRule type="iconSet" priority="7" id="{C2DCB30A-6778-42B2-9AFA-70DE45EF7B7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U6:W6</xm:sqref>
        </x14:conditionalFormatting>
        <x14:conditionalFormatting xmlns:xm="http://schemas.microsoft.com/office/excel/2006/main">
          <x14:cfRule type="iconSet" priority="8" id="{2A3A5436-25D9-4633-B48B-E693BA25D3C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U7:W7</xm:sqref>
        </x14:conditionalFormatting>
        <x14:conditionalFormatting xmlns:xm="http://schemas.microsoft.com/office/excel/2006/main">
          <x14:cfRule type="iconSet" priority="29" id="{4745F99E-A4DD-4B75-BAD5-37C473E9B2B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U8:W8 U10:W11</xm:sqref>
        </x14:conditionalFormatting>
        <x14:conditionalFormatting xmlns:xm="http://schemas.microsoft.com/office/excel/2006/main">
          <x14:cfRule type="iconSet" priority="9" id="{9C238B2F-5BCA-456B-9941-4B8AD2684534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U8:W8</xm:sqref>
        </x14:conditionalFormatting>
        <x14:conditionalFormatting xmlns:xm="http://schemas.microsoft.com/office/excel/2006/main">
          <x14:cfRule type="iconSet" priority="2" id="{BD4B78F0-6B14-4927-B7A6-EA94002AC5A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U9:W9</xm:sqref>
        </x14:conditionalFormatting>
        <x14:conditionalFormatting xmlns:xm="http://schemas.microsoft.com/office/excel/2006/main">
          <x14:cfRule type="iconSet" priority="10" id="{E9EEA0DC-A058-43A0-9768-1D8B6086849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U10:W10</xm:sqref>
        </x14:conditionalFormatting>
        <x14:conditionalFormatting xmlns:xm="http://schemas.microsoft.com/office/excel/2006/main">
          <x14:cfRule type="iconSet" priority="1" id="{F61D8FCB-B33A-42DE-B73E-F2713812E3A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U11:W11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16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/>
  <dimension ref="A1:HS492"/>
  <sheetViews>
    <sheetView showGridLines="0" topLeftCell="AU1" zoomScaleNormal="100" workbookViewId="0">
      <selection activeCell="BJ6" sqref="BJ6"/>
    </sheetView>
  </sheetViews>
  <sheetFormatPr defaultColWidth="5.5703125" defaultRowHeight="15"/>
  <cols>
    <col min="1" max="1" width="21.42578125" bestFit="1" customWidth="1"/>
    <col min="2" max="2" width="14" style="61" bestFit="1" customWidth="1"/>
    <col min="3" max="3" width="9.28515625" style="61" bestFit="1" customWidth="1"/>
    <col min="4" max="4" width="13.140625" style="61" bestFit="1" customWidth="1"/>
    <col min="5" max="6" width="9.28515625" bestFit="1" customWidth="1"/>
    <col min="7" max="7" width="11.42578125" bestFit="1" customWidth="1"/>
    <col min="8" max="8" width="12" bestFit="1" customWidth="1"/>
    <col min="9" max="13" width="9.28515625" bestFit="1" customWidth="1"/>
    <col min="14" max="14" width="6.7109375" customWidth="1"/>
    <col min="15" max="15" width="15.85546875" bestFit="1" customWidth="1"/>
    <col min="16" max="16" width="7.5703125" style="61" bestFit="1" customWidth="1"/>
    <col min="17" max="17" width="5" style="61" bestFit="1" customWidth="1"/>
    <col min="18" max="19" width="7.140625" style="61" bestFit="1" customWidth="1"/>
    <col min="20" max="20" width="9.28515625" style="61" bestFit="1" customWidth="1"/>
    <col min="21" max="21" width="10" bestFit="1" customWidth="1"/>
    <col min="22" max="22" width="6" bestFit="1" customWidth="1"/>
    <col min="23" max="23" width="9.28515625" bestFit="1" customWidth="1"/>
    <col min="24" max="24" width="8.85546875" bestFit="1" customWidth="1"/>
    <col min="25" max="25" width="6" bestFit="1" customWidth="1"/>
    <col min="26" max="26" width="11.85546875" bestFit="1" customWidth="1"/>
    <col min="27" max="32" width="9.7109375" bestFit="1" customWidth="1"/>
    <col min="33" max="33" width="10.42578125" bestFit="1" customWidth="1"/>
    <col min="34" max="35" width="9.7109375" bestFit="1" customWidth="1"/>
    <col min="36" max="36" width="10.7109375" bestFit="1" customWidth="1"/>
    <col min="37" max="37" width="11.140625" customWidth="1"/>
    <col min="38" max="38" width="4.28515625" bestFit="1" customWidth="1"/>
    <col min="39" max="39" width="7.7109375" bestFit="1" customWidth="1"/>
    <col min="40" max="40" width="10.7109375" customWidth="1"/>
    <col min="41" max="51" width="10.7109375" bestFit="1" customWidth="1"/>
    <col min="52" max="52" width="4.5703125" customWidth="1"/>
    <col min="54" max="54" width="10.85546875" bestFit="1" customWidth="1"/>
    <col min="55" max="55" width="8.42578125" style="61" bestFit="1" customWidth="1"/>
    <col min="56" max="56" width="15.7109375" style="61" bestFit="1" customWidth="1"/>
    <col min="57" max="57" width="18.85546875" style="61" bestFit="1" customWidth="1"/>
    <col min="58" max="58" width="10.85546875" style="61" bestFit="1" customWidth="1"/>
    <col min="59" max="59" width="10.28515625" customWidth="1"/>
    <col min="61" max="61" width="10.85546875" bestFit="1" customWidth="1"/>
    <col min="62" max="62" width="7.140625" style="61" bestFit="1" customWidth="1"/>
    <col min="63" max="63" width="15.85546875" style="61" bestFit="1" customWidth="1"/>
    <col min="64" max="64" width="10.85546875" style="61" bestFit="1" customWidth="1"/>
    <col min="65" max="65" width="10.85546875" bestFit="1" customWidth="1"/>
    <col min="67" max="67" width="15.5703125" bestFit="1" customWidth="1"/>
    <col min="68" max="68" width="7.28515625" bestFit="1" customWidth="1"/>
    <col min="69" max="69" width="9.140625" style="61" bestFit="1" customWidth="1"/>
    <col min="70" max="70" width="9.7109375" style="61" customWidth="1"/>
    <col min="71" max="72" width="8.85546875" bestFit="1" customWidth="1"/>
    <col min="73" max="73" width="9.7109375" customWidth="1"/>
    <col min="74" max="74" width="10.140625" bestFit="1" customWidth="1"/>
    <col min="75" max="75" width="9.28515625" style="32" bestFit="1" customWidth="1"/>
    <col min="76" max="76" width="9.140625" style="32" bestFit="1" customWidth="1"/>
    <col min="77" max="77" width="10.7109375" style="32" customWidth="1"/>
    <col min="78" max="78" width="7.140625" bestFit="1" customWidth="1"/>
    <col min="79" max="79" width="7.140625" customWidth="1"/>
    <col min="80" max="80" width="7" customWidth="1"/>
    <col min="81" max="81" width="13.140625" bestFit="1" customWidth="1"/>
    <col min="82" max="83" width="6.5703125" bestFit="1" customWidth="1"/>
    <col min="84" max="84" width="6.140625" bestFit="1" customWidth="1"/>
    <col min="85" max="85" width="6.5703125" bestFit="1" customWidth="1"/>
    <col min="86" max="86" width="10.85546875" bestFit="1" customWidth="1"/>
    <col min="87" max="87" width="10.140625" style="32" bestFit="1" customWidth="1"/>
    <col min="88" max="88" width="13.140625" style="32" bestFit="1" customWidth="1"/>
    <col min="89" max="89" width="8" customWidth="1"/>
    <col min="90" max="90" width="10.85546875" bestFit="1" customWidth="1"/>
    <col min="91" max="91" width="12.140625" style="32" bestFit="1" customWidth="1"/>
    <col min="92" max="92" width="9.5703125" style="32" bestFit="1" customWidth="1"/>
    <col min="93" max="93" width="5" style="32" bestFit="1" customWidth="1"/>
    <col min="94" max="94" width="11.28515625" customWidth="1"/>
    <col min="95" max="95" width="10.85546875" bestFit="1" customWidth="1"/>
    <col min="96" max="96" width="22.5703125" style="32" bestFit="1" customWidth="1"/>
    <col min="97" max="98" width="9.140625" style="32" bestFit="1" customWidth="1"/>
    <col min="99" max="100" width="10.140625" style="32" bestFit="1" customWidth="1"/>
    <col min="101" max="102" width="9.140625" style="32" bestFit="1" customWidth="1"/>
    <col min="103" max="107" width="4.5703125" style="32" bestFit="1" customWidth="1"/>
    <col min="108" max="109" width="7.140625" bestFit="1" customWidth="1"/>
    <col min="110" max="110" width="15.42578125" bestFit="1" customWidth="1"/>
    <col min="111" max="111" width="8.140625" style="32" bestFit="1" customWidth="1"/>
    <col min="112" max="112" width="6.5703125" style="32" bestFit="1" customWidth="1"/>
    <col min="113" max="113" width="12.140625" style="94" bestFit="1" customWidth="1"/>
    <col min="114" max="114" width="9.140625" style="94" bestFit="1" customWidth="1"/>
    <col min="115" max="115" width="6.5703125" style="94" bestFit="1" customWidth="1"/>
    <col min="116" max="116" width="9.5703125" style="94" bestFit="1" customWidth="1"/>
    <col min="117" max="117" width="8.140625" bestFit="1" customWidth="1"/>
    <col min="118" max="118" width="6.5703125" bestFit="1" customWidth="1"/>
    <col min="119" max="119" width="6.85546875" bestFit="1" customWidth="1"/>
    <col min="120" max="120" width="11.28515625" customWidth="1"/>
    <col min="121" max="121" width="23.5703125" bestFit="1" customWidth="1"/>
    <col min="122" max="122" width="5.5703125" bestFit="1" customWidth="1"/>
    <col min="123" max="128" width="6.5703125" bestFit="1" customWidth="1"/>
    <col min="129" max="133" width="5.5703125" bestFit="1" customWidth="1"/>
    <col min="134" max="134" width="6.5703125" bestFit="1" customWidth="1"/>
    <col min="135" max="135" width="15.5703125" customWidth="1"/>
    <col min="136" max="136" width="10.85546875" bestFit="1" customWidth="1"/>
    <col min="137" max="137" width="9.140625" style="32" bestFit="1" customWidth="1"/>
    <col min="138" max="138" width="10.85546875" style="32" bestFit="1" customWidth="1"/>
    <col min="141" max="141" width="10.85546875" bestFit="1" customWidth="1"/>
    <col min="142" max="143" width="10.28515625" bestFit="1" customWidth="1"/>
    <col min="144" max="144" width="5" customWidth="1"/>
    <col min="145" max="145" width="9" customWidth="1"/>
    <col min="147" max="147" width="10.85546875" bestFit="1" customWidth="1"/>
    <col min="148" max="148" width="6.42578125" bestFit="1" customWidth="1"/>
    <col min="149" max="149" width="4.7109375" bestFit="1" customWidth="1"/>
    <col min="150" max="150" width="6.7109375" bestFit="1" customWidth="1"/>
    <col min="151" max="151" width="4.7109375" bestFit="1" customWidth="1"/>
    <col min="152" max="152" width="8" customWidth="1"/>
    <col min="153" max="153" width="15.42578125" bestFit="1" customWidth="1"/>
    <col min="154" max="154" width="6.42578125" bestFit="1" customWidth="1"/>
    <col min="155" max="155" width="4.7109375" bestFit="1" customWidth="1"/>
    <col min="156" max="156" width="6.7109375" bestFit="1" customWidth="1"/>
    <col min="157" max="157" width="4.7109375" bestFit="1" customWidth="1"/>
    <col min="158" max="158" width="15.42578125" bestFit="1" customWidth="1"/>
    <col min="159" max="159" width="11.5703125" customWidth="1"/>
    <col min="160" max="160" width="9.7109375" bestFit="1" customWidth="1"/>
    <col min="161" max="161" width="8.140625" bestFit="1" customWidth="1"/>
    <col min="162" max="163" width="6.7109375" bestFit="1" customWidth="1"/>
    <col min="164" max="164" width="9.42578125" customWidth="1"/>
    <col min="165" max="165" width="9.7109375" bestFit="1" customWidth="1"/>
    <col min="166" max="166" width="8.140625" bestFit="1" customWidth="1"/>
    <col min="167" max="168" width="6.7109375" bestFit="1" customWidth="1"/>
    <col min="170" max="170" width="9.7109375" bestFit="1" customWidth="1"/>
    <col min="171" max="171" width="8.140625" bestFit="1" customWidth="1"/>
    <col min="172" max="173" width="6.7109375" bestFit="1" customWidth="1"/>
    <col min="176" max="176" width="8.42578125" bestFit="1" customWidth="1"/>
    <col min="177" max="177" width="4.42578125" bestFit="1" customWidth="1"/>
    <col min="178" max="179" width="3" bestFit="1" customWidth="1"/>
    <col min="180" max="180" width="2.7109375" bestFit="1" customWidth="1"/>
    <col min="181" max="184" width="3" bestFit="1" customWidth="1"/>
    <col min="185" max="185" width="2" bestFit="1" customWidth="1"/>
    <col min="186" max="188" width="3" bestFit="1" customWidth="1"/>
    <col min="191" max="191" width="29.85546875" bestFit="1" customWidth="1"/>
    <col min="192" max="192" width="10.140625" bestFit="1" customWidth="1"/>
    <col min="193" max="193" width="17.7109375" bestFit="1" customWidth="1"/>
    <col min="194" max="194" width="20.28515625" bestFit="1" customWidth="1"/>
    <col min="195" max="201" width="10.140625" bestFit="1" customWidth="1"/>
    <col min="202" max="202" width="4.140625" bestFit="1" customWidth="1"/>
    <col min="203" max="203" width="3.7109375" bestFit="1" customWidth="1"/>
    <col min="204" max="204" width="4.28515625" bestFit="1" customWidth="1"/>
    <col min="205" max="205" width="3.5703125" bestFit="1" customWidth="1"/>
    <col min="206" max="208" width="9.140625" bestFit="1" customWidth="1"/>
    <col min="209" max="210" width="7.5703125" bestFit="1" customWidth="1"/>
    <col min="211" max="216" width="7.5703125" customWidth="1"/>
    <col min="217" max="217" width="9.140625" customWidth="1"/>
    <col min="218" max="221" width="7.5703125" customWidth="1"/>
    <col min="222" max="223" width="9.140625" customWidth="1"/>
    <col min="224" max="224" width="9.140625" bestFit="1" customWidth="1"/>
    <col min="225" max="239" width="7.5703125" bestFit="1" customWidth="1"/>
    <col min="240" max="245" width="6.7109375" bestFit="1" customWidth="1"/>
    <col min="246" max="248" width="7.5703125" bestFit="1" customWidth="1"/>
    <col min="249" max="249" width="9.140625" bestFit="1" customWidth="1"/>
    <col min="250" max="253" width="7.5703125" bestFit="1" customWidth="1"/>
    <col min="254" max="255" width="9.140625" bestFit="1" customWidth="1"/>
    <col min="256" max="259" width="7.5703125" bestFit="1" customWidth="1"/>
    <col min="260" max="261" width="6.140625" bestFit="1" customWidth="1"/>
    <col min="262" max="283" width="7.140625" bestFit="1" customWidth="1"/>
    <col min="284" max="284" width="5.7109375" bestFit="1" customWidth="1"/>
    <col min="293" max="314" width="6.5703125" bestFit="1" customWidth="1"/>
    <col min="315" max="322" width="6.42578125" bestFit="1" customWidth="1"/>
    <col min="323" max="344" width="7.42578125" bestFit="1" customWidth="1"/>
    <col min="345" max="345" width="5.7109375" bestFit="1" customWidth="1"/>
    <col min="354" max="374" width="6.5703125" bestFit="1" customWidth="1"/>
    <col min="375" max="375" width="5.140625" customWidth="1"/>
    <col min="376" max="383" width="5" customWidth="1"/>
    <col min="384" max="406" width="6" bestFit="1" customWidth="1"/>
    <col min="407" max="414" width="5.85546875" bestFit="1" customWidth="1"/>
    <col min="415" max="436" width="6.85546875" bestFit="1" customWidth="1"/>
    <col min="437" max="437" width="6" bestFit="1" customWidth="1"/>
    <col min="438" max="445" width="5.85546875" bestFit="1" customWidth="1"/>
    <col min="446" max="466" width="6.85546875" bestFit="1" customWidth="1"/>
    <col min="468" max="475" width="5.42578125" customWidth="1"/>
    <col min="476" max="497" width="6.42578125" bestFit="1" customWidth="1"/>
    <col min="498" max="498" width="6.140625" bestFit="1" customWidth="1"/>
    <col min="499" max="506" width="6" bestFit="1" customWidth="1"/>
    <col min="507" max="527" width="7" bestFit="1" customWidth="1"/>
    <col min="528" max="528" width="5.42578125" customWidth="1"/>
    <col min="529" max="536" width="5.28515625" customWidth="1"/>
    <col min="537" max="558" width="6.28515625" bestFit="1" customWidth="1"/>
  </cols>
  <sheetData>
    <row r="1" spans="1:227">
      <c r="A1" s="486" t="s">
        <v>234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105"/>
      <c r="M1" s="105"/>
      <c r="N1" s="41"/>
      <c r="O1" s="486" t="s">
        <v>235</v>
      </c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487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41"/>
      <c r="BB1" s="488" t="s">
        <v>236</v>
      </c>
      <c r="BC1" s="488"/>
      <c r="BD1" s="488"/>
      <c r="BE1" s="488"/>
      <c r="BF1" s="488"/>
      <c r="BG1" s="41"/>
      <c r="BH1" s="41"/>
      <c r="BI1" s="486" t="s">
        <v>237</v>
      </c>
      <c r="BJ1" s="487"/>
      <c r="BK1" s="487"/>
      <c r="BL1" s="487"/>
      <c r="BM1" s="41"/>
      <c r="BN1" s="41"/>
      <c r="BO1" s="41"/>
      <c r="BP1" s="486" t="s">
        <v>238</v>
      </c>
      <c r="BQ1" s="487"/>
      <c r="BR1" s="487"/>
      <c r="BS1" s="487"/>
      <c r="BT1" s="487"/>
      <c r="BU1" s="487"/>
      <c r="BV1" s="487"/>
      <c r="BW1" s="487"/>
      <c r="BX1" s="487"/>
      <c r="BY1" s="487"/>
      <c r="BZ1" s="487"/>
      <c r="CA1" s="487"/>
      <c r="CB1" s="487"/>
      <c r="CC1" s="487"/>
      <c r="CD1" s="487"/>
      <c r="CE1" s="487"/>
      <c r="CF1" s="487"/>
      <c r="CH1" s="486" t="s">
        <v>239</v>
      </c>
      <c r="CI1" s="487"/>
      <c r="CJ1" s="487"/>
      <c r="CK1" s="41"/>
      <c r="CL1" s="486" t="s">
        <v>240</v>
      </c>
      <c r="CM1" s="487"/>
      <c r="CN1" s="487"/>
      <c r="CO1" s="487"/>
      <c r="CP1" s="487"/>
      <c r="CQ1" s="487"/>
      <c r="CR1" s="487"/>
      <c r="CS1" s="487"/>
      <c r="CT1" s="487"/>
      <c r="CU1" s="487"/>
      <c r="CV1" s="487"/>
      <c r="CW1" s="487"/>
      <c r="CX1" s="487"/>
      <c r="CY1" s="487"/>
      <c r="CZ1" s="487"/>
      <c r="DA1" s="487"/>
      <c r="DB1" s="487"/>
      <c r="DC1" s="487"/>
      <c r="DF1" s="486" t="s">
        <v>241</v>
      </c>
      <c r="DG1" s="487"/>
      <c r="DH1" s="487"/>
      <c r="DI1" s="487"/>
      <c r="DJ1" s="487"/>
      <c r="DK1" s="487"/>
      <c r="DL1" s="487"/>
      <c r="DM1" s="487"/>
      <c r="DN1" s="487"/>
      <c r="DO1" s="487"/>
      <c r="DP1" s="487"/>
      <c r="DQ1" s="487"/>
      <c r="DR1" s="487"/>
      <c r="DS1" s="487"/>
      <c r="DT1" s="487"/>
      <c r="DU1" s="487"/>
      <c r="DV1" s="487"/>
      <c r="DW1" s="487"/>
      <c r="DX1" s="105"/>
      <c r="DY1" s="105"/>
      <c r="DZ1" s="105"/>
      <c r="EA1" s="105"/>
      <c r="EB1" s="105"/>
      <c r="EC1" s="105"/>
      <c r="ED1" s="105"/>
      <c r="EE1" s="41"/>
      <c r="EF1" s="486" t="s">
        <v>242</v>
      </c>
      <c r="EG1" s="487"/>
      <c r="EH1" s="487"/>
      <c r="EI1" s="487"/>
      <c r="EJ1" s="487"/>
      <c r="EK1" s="487"/>
      <c r="EL1" s="487"/>
      <c r="EM1" s="487"/>
      <c r="EN1" s="487"/>
      <c r="EO1" s="487"/>
      <c r="EQ1" s="486" t="s">
        <v>243</v>
      </c>
      <c r="ER1" s="487"/>
      <c r="ES1" s="487"/>
      <c r="ET1" s="487"/>
      <c r="EU1" s="487"/>
      <c r="EW1" s="486" t="s">
        <v>244</v>
      </c>
      <c r="EX1" s="487"/>
      <c r="EY1" s="487"/>
      <c r="EZ1" s="487"/>
      <c r="FA1" s="487"/>
      <c r="FB1" s="487"/>
      <c r="FC1" s="487"/>
      <c r="FD1" s="487"/>
      <c r="FE1" s="487"/>
      <c r="FF1" s="487"/>
      <c r="FG1" s="487"/>
      <c r="FH1" s="487"/>
      <c r="FI1" s="487"/>
      <c r="FJ1" s="487"/>
      <c r="FK1" s="487"/>
      <c r="FL1" s="487"/>
      <c r="FM1" s="487"/>
      <c r="FN1" s="487"/>
      <c r="FO1" s="487"/>
      <c r="FP1" s="487"/>
      <c r="FQ1" s="487"/>
      <c r="FR1" s="487"/>
      <c r="FS1" s="487"/>
      <c r="FT1" s="487"/>
      <c r="FU1" s="487"/>
      <c r="FV1" s="487"/>
      <c r="FW1" s="487"/>
      <c r="FX1" s="487"/>
      <c r="FY1" s="487"/>
      <c r="FZ1" s="487"/>
      <c r="GA1" s="487"/>
      <c r="GB1" s="487"/>
      <c r="GC1" s="487"/>
      <c r="GD1" s="487"/>
      <c r="GE1" s="487"/>
      <c r="GF1" s="487"/>
      <c r="GJ1" s="486" t="s">
        <v>245</v>
      </c>
      <c r="GK1" s="487"/>
      <c r="GL1" s="487"/>
      <c r="GM1" s="487"/>
      <c r="GN1" s="487"/>
      <c r="GO1" s="487"/>
      <c r="GP1" s="487"/>
      <c r="GQ1" s="487"/>
      <c r="GR1" s="487"/>
      <c r="GS1" s="487"/>
      <c r="GT1" s="487"/>
      <c r="GU1" s="487"/>
      <c r="GV1" s="487"/>
      <c r="GW1" s="487"/>
      <c r="GX1" s="487"/>
      <c r="GY1" s="487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</row>
    <row r="2" spans="1:227">
      <c r="K2" s="103" t="str">
        <f>B4</f>
        <v>ene</v>
      </c>
      <c r="L2" s="98" t="str">
        <f>IF(0&lt;$K$2,K2,"Sin Datos")</f>
        <v>ene</v>
      </c>
      <c r="AN2" s="113">
        <v>44957</v>
      </c>
      <c r="AO2" s="113">
        <v>44985</v>
      </c>
      <c r="AP2" s="113">
        <v>45016</v>
      </c>
      <c r="AQ2" s="113">
        <v>45046</v>
      </c>
      <c r="AR2" s="113">
        <v>45077</v>
      </c>
      <c r="AS2" s="113">
        <v>45107</v>
      </c>
      <c r="AT2" s="113">
        <v>45138</v>
      </c>
      <c r="AU2" s="113">
        <v>45169</v>
      </c>
      <c r="AV2" s="113">
        <v>45199</v>
      </c>
      <c r="AW2" s="113">
        <v>45230</v>
      </c>
      <c r="AX2" s="113">
        <v>45260</v>
      </c>
      <c r="AY2" s="113">
        <v>45291</v>
      </c>
      <c r="BQ2"/>
      <c r="BW2"/>
      <c r="DR2" s="142" t="s">
        <v>246</v>
      </c>
      <c r="DS2" s="142" t="s">
        <v>247</v>
      </c>
      <c r="DT2" s="142" t="s">
        <v>248</v>
      </c>
      <c r="DU2" s="142" t="s">
        <v>249</v>
      </c>
      <c r="DV2" s="142" t="s">
        <v>250</v>
      </c>
      <c r="DW2" s="142" t="s">
        <v>251</v>
      </c>
      <c r="DX2" s="142" t="s">
        <v>252</v>
      </c>
      <c r="DY2" s="142" t="s">
        <v>253</v>
      </c>
      <c r="DZ2" s="142" t="s">
        <v>254</v>
      </c>
      <c r="EA2" s="142" t="s">
        <v>255</v>
      </c>
      <c r="EB2" s="142" t="s">
        <v>256</v>
      </c>
      <c r="EC2" s="142" t="s">
        <v>257</v>
      </c>
      <c r="ED2" s="10" t="s">
        <v>258</v>
      </c>
    </row>
    <row r="3" spans="1:227" ht="60">
      <c r="A3" s="85"/>
      <c r="B3" s="36" t="s">
        <v>1021</v>
      </c>
      <c r="O3" s="36" t="s">
        <v>153</v>
      </c>
      <c r="P3" t="s">
        <v>1020</v>
      </c>
      <c r="U3" s="36" t="s">
        <v>153</v>
      </c>
      <c r="V3" t="s">
        <v>1020</v>
      </c>
      <c r="X3" s="36" t="s">
        <v>153</v>
      </c>
      <c r="Y3" t="s">
        <v>1020</v>
      </c>
      <c r="AA3" s="36" t="s">
        <v>26</v>
      </c>
      <c r="AB3" t="s">
        <v>1020</v>
      </c>
      <c r="AC3" s="61"/>
      <c r="AH3" s="32"/>
      <c r="AI3" s="32"/>
      <c r="AM3" s="483" t="s">
        <v>261</v>
      </c>
      <c r="AN3" s="489" t="s">
        <v>153</v>
      </c>
      <c r="AO3" s="490"/>
      <c r="AP3" s="490"/>
      <c r="AQ3" s="490"/>
      <c r="AR3" s="490"/>
      <c r="AS3" s="490"/>
      <c r="AT3" s="490"/>
      <c r="AU3" s="490"/>
      <c r="AV3" s="490"/>
      <c r="AW3" s="490"/>
      <c r="AX3" s="490"/>
      <c r="AY3" s="490"/>
      <c r="BB3" s="36" t="s">
        <v>1019</v>
      </c>
      <c r="BC3" s="95" t="s">
        <v>262</v>
      </c>
      <c r="BD3" s="61" t="s">
        <v>263</v>
      </c>
      <c r="BE3" s="61" t="s">
        <v>264</v>
      </c>
      <c r="BF3" s="61" t="s">
        <v>265</v>
      </c>
      <c r="BI3" s="304" t="s">
        <v>1019</v>
      </c>
      <c r="BJ3" s="95" t="s">
        <v>266</v>
      </c>
      <c r="BK3" s="61" t="s">
        <v>267</v>
      </c>
      <c r="BL3" s="61" t="s">
        <v>265</v>
      </c>
      <c r="BP3" s="36" t="s">
        <v>153</v>
      </c>
      <c r="BQ3" t="s">
        <v>1020</v>
      </c>
      <c r="BV3" s="36" t="s">
        <v>153</v>
      </c>
      <c r="BW3" t="s">
        <v>1020</v>
      </c>
      <c r="BZ3" s="48" t="s">
        <v>268</v>
      </c>
      <c r="CA3" s="48" t="s">
        <v>269</v>
      </c>
      <c r="CB3" s="48" t="s">
        <v>270</v>
      </c>
      <c r="CC3" s="11" t="s">
        <v>271</v>
      </c>
      <c r="CD3" s="11" t="s">
        <v>272</v>
      </c>
      <c r="CE3" s="11" t="s">
        <v>273</v>
      </c>
      <c r="CF3" s="11" t="s">
        <v>274</v>
      </c>
      <c r="CH3" s="36" t="s">
        <v>1019</v>
      </c>
      <c r="CI3" s="94" t="s">
        <v>275</v>
      </c>
      <c r="CJ3" s="94" t="s">
        <v>276</v>
      </c>
      <c r="CL3" s="36" t="s">
        <v>1019</v>
      </c>
      <c r="CM3" s="85" t="s">
        <v>277</v>
      </c>
      <c r="CN3" s="94" t="s">
        <v>278</v>
      </c>
      <c r="CO3" s="94" t="s">
        <v>279</v>
      </c>
      <c r="CQ3" s="85"/>
      <c r="CR3" s="36" t="s">
        <v>259</v>
      </c>
      <c r="CS3"/>
      <c r="CT3"/>
      <c r="CU3"/>
      <c r="CV3"/>
      <c r="CW3"/>
      <c r="CX3"/>
      <c r="CY3"/>
      <c r="CZ3"/>
      <c r="DA3"/>
      <c r="DB3"/>
      <c r="DC3"/>
      <c r="DF3" s="36" t="s">
        <v>84</v>
      </c>
      <c r="DG3" s="94" t="s">
        <v>280</v>
      </c>
      <c r="DH3" s="32" t="s">
        <v>281</v>
      </c>
      <c r="DI3" s="94" t="s">
        <v>277</v>
      </c>
      <c r="DJ3" s="94" t="s">
        <v>266</v>
      </c>
      <c r="DK3" s="94" t="s">
        <v>282</v>
      </c>
      <c r="DL3" s="94" t="s">
        <v>278</v>
      </c>
      <c r="DM3" s="85" t="s">
        <v>283</v>
      </c>
      <c r="DN3" s="85" t="s">
        <v>284</v>
      </c>
      <c r="DO3" s="85" t="s">
        <v>279</v>
      </c>
      <c r="DQ3" s="11" t="s">
        <v>285</v>
      </c>
      <c r="DR3" s="11">
        <v>1</v>
      </c>
      <c r="DS3" s="11">
        <v>2</v>
      </c>
      <c r="DT3" s="11">
        <v>3</v>
      </c>
      <c r="DU3" s="11">
        <v>4</v>
      </c>
      <c r="DV3" s="11">
        <v>5</v>
      </c>
      <c r="DW3" s="11">
        <v>6</v>
      </c>
      <c r="DX3" s="11">
        <v>7</v>
      </c>
      <c r="DY3" s="11">
        <v>8</v>
      </c>
      <c r="DZ3" s="11">
        <v>9</v>
      </c>
      <c r="EA3" s="11">
        <v>10</v>
      </c>
      <c r="EB3" s="11">
        <v>11</v>
      </c>
      <c r="EC3" s="11">
        <v>12</v>
      </c>
      <c r="ED3" s="34"/>
      <c r="EF3" s="36" t="s">
        <v>1019</v>
      </c>
      <c r="EG3" s="94" t="s">
        <v>286</v>
      </c>
      <c r="EH3" s="94" t="s">
        <v>287</v>
      </c>
      <c r="EK3" s="36" t="s">
        <v>1019</v>
      </c>
      <c r="EL3" s="85" t="s">
        <v>288</v>
      </c>
      <c r="EM3" s="85" t="s">
        <v>289</v>
      </c>
      <c r="EQ3" s="36" t="s">
        <v>1019</v>
      </c>
      <c r="ER3" s="85" t="s">
        <v>290</v>
      </c>
      <c r="ES3" t="s">
        <v>291</v>
      </c>
      <c r="ET3" t="s">
        <v>228</v>
      </c>
      <c r="EU3" t="s">
        <v>292</v>
      </c>
      <c r="EW3" s="36" t="s">
        <v>84</v>
      </c>
      <c r="EX3" s="85" t="s">
        <v>290</v>
      </c>
      <c r="EY3" t="s">
        <v>291</v>
      </c>
      <c r="EZ3" t="s">
        <v>228</v>
      </c>
      <c r="FA3" t="s">
        <v>292</v>
      </c>
      <c r="FB3" t="s">
        <v>293</v>
      </c>
      <c r="GK3" s="85"/>
      <c r="GL3" s="36" t="s">
        <v>259</v>
      </c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</row>
    <row r="4" spans="1:227" ht="30">
      <c r="A4" s="39" t="s">
        <v>234</v>
      </c>
      <c r="B4" t="s">
        <v>246</v>
      </c>
      <c r="C4" t="s">
        <v>247</v>
      </c>
      <c r="D4" t="s">
        <v>248</v>
      </c>
      <c r="V4" s="61"/>
      <c r="Y4" s="61"/>
      <c r="AB4" s="61"/>
      <c r="AC4" s="61"/>
      <c r="AH4" s="32"/>
      <c r="AI4" s="32"/>
      <c r="AM4" s="491"/>
      <c r="AN4" s="116">
        <v>1</v>
      </c>
      <c r="AO4" s="116">
        <v>2</v>
      </c>
      <c r="AP4" s="116">
        <v>3</v>
      </c>
      <c r="AQ4" s="116">
        <v>4</v>
      </c>
      <c r="AR4" s="116">
        <v>5</v>
      </c>
      <c r="AS4" s="116">
        <v>6</v>
      </c>
      <c r="AT4" s="116">
        <v>7</v>
      </c>
      <c r="AU4" s="116">
        <v>8</v>
      </c>
      <c r="AV4" s="116">
        <v>9</v>
      </c>
      <c r="AW4" s="116">
        <v>10</v>
      </c>
      <c r="AX4" s="116">
        <v>11</v>
      </c>
      <c r="AY4" s="116">
        <v>12</v>
      </c>
      <c r="BB4" s="37" t="s">
        <v>246</v>
      </c>
      <c r="BI4" s="37" t="s">
        <v>246</v>
      </c>
      <c r="BZ4" s="11">
        <f>GETPIVOTDATA("RED[MWh]",$BV$5)</f>
        <v>3301</v>
      </c>
      <c r="CA4" s="11">
        <f>GETPIVOTDATA("AUT[MWh]",$BV$5)</f>
        <v>2609</v>
      </c>
      <c r="CB4" s="11">
        <f>GETPIVOTDATA("DPR[MWh]",$BV$5)</f>
        <v>118392</v>
      </c>
      <c r="CC4" s="44">
        <f>SUM(BZ4:CB4)</f>
        <v>124302</v>
      </c>
      <c r="CD4" s="40">
        <f>CA4/CC4</f>
        <v>2.0989203713536388E-2</v>
      </c>
      <c r="CE4" s="40">
        <f>BZ4/CC4</f>
        <v>2.6556290325175782E-2</v>
      </c>
      <c r="CF4" s="40">
        <f>CB4/CC4</f>
        <v>0.95245450596128778</v>
      </c>
      <c r="CH4" s="37" t="s">
        <v>246</v>
      </c>
      <c r="CJ4" s="94"/>
      <c r="CL4" s="37" t="s">
        <v>246</v>
      </c>
      <c r="CQ4" s="39" t="s">
        <v>294</v>
      </c>
      <c r="CR4" t="s">
        <v>246</v>
      </c>
      <c r="CS4" t="s">
        <v>247</v>
      </c>
      <c r="CT4" t="s">
        <v>248</v>
      </c>
      <c r="CU4" t="s">
        <v>249</v>
      </c>
      <c r="CV4" t="s">
        <v>250</v>
      </c>
      <c r="CW4" t="s">
        <v>251</v>
      </c>
      <c r="CX4" t="s">
        <v>252</v>
      </c>
      <c r="CY4" t="s">
        <v>253</v>
      </c>
      <c r="CZ4" t="s">
        <v>254</v>
      </c>
      <c r="DA4" t="s">
        <v>255</v>
      </c>
      <c r="DB4" t="s">
        <v>256</v>
      </c>
      <c r="DC4" t="s">
        <v>257</v>
      </c>
      <c r="DF4" s="37" t="s">
        <v>246</v>
      </c>
      <c r="DG4" s="32">
        <v>5054.3194336507922</v>
      </c>
      <c r="DH4" s="32">
        <v>699</v>
      </c>
      <c r="DI4" s="94">
        <v>10823.128985113344</v>
      </c>
      <c r="DJ4" s="94">
        <v>39025</v>
      </c>
      <c r="DK4" s="94">
        <v>136</v>
      </c>
      <c r="DL4" s="94">
        <v>52681.190681261964</v>
      </c>
      <c r="DM4" s="32">
        <v>4123.7257373106968</v>
      </c>
      <c r="DN4" s="32">
        <v>510.86000000000013</v>
      </c>
      <c r="DO4" s="94">
        <v>0</v>
      </c>
      <c r="DQ4" s="143" t="s">
        <v>295</v>
      </c>
      <c r="DR4" s="144">
        <f>GETPIVOTDATA("G.Un.GE [MWh]",$DF$3,"Meses",1)/GETPIVOTDATA("PG [h]",$DF$3,"Meses",1)</f>
        <v>7.2307860281127212</v>
      </c>
      <c r="DS4" s="144">
        <f>IFERROR(GETPIVOTDATA("G.Un.GE [MWh]",$DF$3,"Meses",2)/GETPIVOTDATA("PG [h]",$DF$3,"Meses",2),0)</f>
        <v>7.0809245962890497</v>
      </c>
      <c r="DT4" s="144">
        <f>IFERROR(GETPIVOTDATA("G.Un.GE [MWh]",$DF$3,"Meses",3)/GETPIVOTDATA("PG [h]",$DF$3,"Meses",3),0)</f>
        <v>7.0789770078180538</v>
      </c>
      <c r="DU4" s="144">
        <f>IFERROR(GETPIVOTDATA("G.Un.GE [MWh]",$DF$3,"Meses",4)/GETPIVOTDATA("PG [h]",$DF$3,"Meses",4),0)</f>
        <v>7.483177403716442</v>
      </c>
      <c r="DV4" s="144">
        <f>IFERROR(GETPIVOTDATA("G.Un.GE [MWh]",$DF$3,"Meses",5)/GETPIVOTDATA("PG [h]",$DF$3,"Meses",5),0)</f>
        <v>7.6873190545528232</v>
      </c>
      <c r="DW4" s="144">
        <f>IFERROR(GETPIVOTDATA("G.Un.GE [MWh]",$DF$3,"Meses",6)/GETPIVOTDATA("PG [h]",$DF$3,"Meses",6),0)</f>
        <v>7.2889165550595214</v>
      </c>
      <c r="DX4" s="144">
        <f>IFERROR(GETPIVOTDATA("G.Un.GE [MWh]",$DF$3,"Meses",7)/GETPIVOTDATA("PG [h]",$DF$3,"Meses",7),0)</f>
        <v>6.8101739639336918</v>
      </c>
      <c r="DY4" s="144">
        <f>IFERROR(GETPIVOTDATA("G.Un.GE [MWh]",$DF$3,"Meses",8)/GETPIVOTDATA("PG [h]",$DF$3,"Meses",8),0)</f>
        <v>0</v>
      </c>
      <c r="DZ4" s="144">
        <f>IFERROR(GETPIVOTDATA("G.Un.GE [MWh]",$DF$3,"Meses",9)/GETPIVOTDATA("PG [h]",$DF$3,"Meses",9),0)</f>
        <v>0</v>
      </c>
      <c r="EA4" s="144">
        <f>IFERROR(GETPIVOTDATA("G.Un.GE [MWh]",$DF$3,"Meses",10)/GETPIVOTDATA("PG [h]",$DF$3,"Meses",10),0)</f>
        <v>0</v>
      </c>
      <c r="EB4" s="144">
        <f>IFERROR(GETPIVOTDATA("G.Un.GE [MWh]",$DF$3,"Meses",11)/GETPIVOTDATA("PG [h]",$DF$3,"Meses",11),0)</f>
        <v>0</v>
      </c>
      <c r="EC4" s="144">
        <f>IFERROR(GETPIVOTDATA("G.Un.GE [MWh]",$DF$3,"Meses",12)/GETPIVOTDATA("PG [h]",$DF$3,"Meses",12),0)</f>
        <v>0</v>
      </c>
      <c r="ED4" s="34">
        <f t="shared" ref="ED4:ED11" si="0">SUM(DR4:EC4)/12</f>
        <v>4.2216895507901926</v>
      </c>
      <c r="EF4" s="37" t="s">
        <v>246</v>
      </c>
      <c r="EK4" s="37" t="s">
        <v>246</v>
      </c>
      <c r="EL4" s="32"/>
      <c r="EM4" s="32"/>
      <c r="EQ4" s="37" t="s">
        <v>246</v>
      </c>
      <c r="ER4" s="61"/>
      <c r="ES4" s="61"/>
      <c r="ET4" s="61"/>
      <c r="EU4" s="61"/>
      <c r="EW4" s="37" t="s">
        <v>246</v>
      </c>
      <c r="EX4" s="61"/>
      <c r="EY4" s="61"/>
      <c r="EZ4" s="61"/>
      <c r="FA4" s="61"/>
      <c r="FB4" s="61"/>
      <c r="FC4" s="61"/>
      <c r="FD4" s="140" t="s">
        <v>26</v>
      </c>
      <c r="FE4" s="140" t="s">
        <v>293</v>
      </c>
      <c r="FF4" s="140" t="s">
        <v>296</v>
      </c>
      <c r="FG4" s="140" t="s">
        <v>297</v>
      </c>
      <c r="FI4" s="140" t="s">
        <v>26</v>
      </c>
      <c r="FJ4" s="140" t="s">
        <v>293</v>
      </c>
      <c r="FK4" s="140" t="s">
        <v>298</v>
      </c>
      <c r="FL4" s="140" t="s">
        <v>297</v>
      </c>
      <c r="FN4" s="140" t="s">
        <v>26</v>
      </c>
      <c r="FO4" s="140" t="s">
        <v>293</v>
      </c>
      <c r="FP4" s="140" t="s">
        <v>299</v>
      </c>
      <c r="FQ4" s="140" t="s">
        <v>297</v>
      </c>
      <c r="FT4" s="11"/>
      <c r="FU4" s="11">
        <v>1</v>
      </c>
      <c r="FV4" s="11">
        <v>2</v>
      </c>
      <c r="FW4" s="11">
        <v>3</v>
      </c>
      <c r="FX4" s="11">
        <v>4</v>
      </c>
      <c r="FY4" s="11">
        <v>5</v>
      </c>
      <c r="FZ4" s="11">
        <v>6</v>
      </c>
      <c r="GA4" s="11">
        <v>7</v>
      </c>
      <c r="GB4" s="11">
        <v>8</v>
      </c>
      <c r="GC4" s="11">
        <v>9</v>
      </c>
      <c r="GD4" s="11">
        <v>10</v>
      </c>
      <c r="GE4" s="11">
        <v>11</v>
      </c>
      <c r="GF4" s="11">
        <v>12</v>
      </c>
      <c r="GK4" s="39" t="s">
        <v>300</v>
      </c>
      <c r="GL4" t="s">
        <v>246</v>
      </c>
      <c r="GM4" t="s">
        <v>247</v>
      </c>
      <c r="GN4" t="s">
        <v>248</v>
      </c>
      <c r="GO4" t="s">
        <v>249</v>
      </c>
      <c r="GP4" t="s">
        <v>250</v>
      </c>
      <c r="GQ4" t="s">
        <v>251</v>
      </c>
      <c r="GR4" t="s">
        <v>252</v>
      </c>
      <c r="GS4" t="s">
        <v>253</v>
      </c>
      <c r="GT4" t="s">
        <v>254</v>
      </c>
      <c r="GU4" t="s">
        <v>255</v>
      </c>
      <c r="GV4" t="s">
        <v>256</v>
      </c>
      <c r="GW4" t="s">
        <v>257</v>
      </c>
    </row>
    <row r="5" spans="1:227" ht="45">
      <c r="A5" s="37" t="s">
        <v>262</v>
      </c>
      <c r="B5" s="61">
        <v>0</v>
      </c>
      <c r="C5" s="61">
        <v>0</v>
      </c>
      <c r="D5" s="61">
        <v>0</v>
      </c>
      <c r="O5" s="39" t="s">
        <v>301</v>
      </c>
      <c r="P5"/>
      <c r="Q5"/>
      <c r="R5"/>
      <c r="S5"/>
      <c r="U5" s="95" t="s">
        <v>302</v>
      </c>
      <c r="V5" t="s">
        <v>303</v>
      </c>
      <c r="X5" s="95" t="s">
        <v>302</v>
      </c>
      <c r="Y5" t="s">
        <v>303</v>
      </c>
      <c r="AA5" t="s">
        <v>304</v>
      </c>
      <c r="AB5" t="s">
        <v>305</v>
      </c>
      <c r="AC5" t="s">
        <v>306</v>
      </c>
      <c r="AD5" t="s">
        <v>307</v>
      </c>
      <c r="AE5" t="s">
        <v>308</v>
      </c>
      <c r="AF5" t="s">
        <v>309</v>
      </c>
      <c r="AG5" t="s">
        <v>310</v>
      </c>
      <c r="AH5" t="s">
        <v>311</v>
      </c>
      <c r="AI5" t="s">
        <v>312</v>
      </c>
      <c r="AJ5" t="s">
        <v>313</v>
      </c>
      <c r="AL5" s="12" t="s">
        <v>129</v>
      </c>
      <c r="AM5" s="117" t="s">
        <v>130</v>
      </c>
      <c r="AN5" s="46">
        <f>IFERROR(INDEX('Horo. M'!$B$3:$U$367,MATCH($AN$2,'Horo. M'!$A$3:$A$367,0),MATCH(AL5,'Horo. M'!$B$1:$U$1,0)),"")</f>
        <v>9445</v>
      </c>
      <c r="AO5" s="46">
        <f>IFERROR(INDEX('Horo. M'!$B$3:$U$367,MATCH(AO2,'Horo. M'!$A$3:$A$367,0),MATCH($AL$5,'Horo. M'!$B$1:$U$1,0)),"")</f>
        <v>10055</v>
      </c>
      <c r="AP5" s="46">
        <f>IFERROR(INDEX('Horo. M'!$B$3:$U$367,MATCH(AP2,'Horo. M'!$A$3:$A$367,0),MATCH($AL$5,'Horo. M'!$B$1:$U$1,0)),"")</f>
        <v>10639</v>
      </c>
      <c r="AQ5" s="46">
        <f>IFERROR(INDEX('Horo. M'!$B$3:$U$367,MATCH(AQ2,'Horo. M'!$A$3:$A$367,0),MATCH($AL$5,'Horo. M'!$B$1:$U$1,0)),"")</f>
        <v>11340</v>
      </c>
      <c r="AR5" s="46">
        <f>IFERROR(INDEX('Horo. M'!$B$3:$U$367,MATCH(AR2,'Horo. M'!$A$3:$A$367,0),MATCH($AL$5,'Horo. M'!$B$1:$U$1,0)),"")</f>
        <v>12052</v>
      </c>
      <c r="AS5" s="46">
        <f>IFERROR(INDEX('Horo. M'!$B$3:$U$367,MATCH(AS2,'Horo. M'!$A$3:$A$367,0),MATCH($AL$5,'Horo. M'!$B$1:$U$1,0)),"")</f>
        <v>12732</v>
      </c>
      <c r="AT5" s="46">
        <f>IFERROR(INDEX('Horo. M'!$B$3:$U$367,MATCH(AT2,'Horo. M'!$A$3:$A$367,0),MATCH($AL$5,'Horo. M'!$B$1:$U$1,0)),"")</f>
        <v>13430</v>
      </c>
      <c r="AU5" s="46">
        <f>IFERROR(INDEX('Horo. M'!$B$3:$U$367,MATCH(AU2,'Horo. M'!$A$3:$A$367,0),MATCH($AL$5,'Horo. M'!$B$1:$U$1,0)),"")</f>
        <v>0</v>
      </c>
      <c r="AV5" s="46">
        <f>IFERROR(INDEX('Horo. M'!$B$3:$U$367,MATCH(AV2,'Horo. M'!$A$3:$A$367,0),MATCH($AL$5,'Horo. M'!$B$1:$U$1,0)),"")</f>
        <v>0</v>
      </c>
      <c r="AW5" s="46">
        <f>IFERROR(INDEX('Horo. M'!$B$3:$U$367,MATCH(AW2,'Horo. M'!$A$3:$A$367,0),MATCH($AL$5,'Horo. M'!$B$1:$U$1,0)),"")</f>
        <v>0</v>
      </c>
      <c r="AX5" s="46">
        <f>IFERROR(INDEX('Horo. M'!$B$3:$U$367,MATCH(AX2,'Horo. M'!$A$3:$A$367,0),MATCH($AL$5,'Horo. M'!$B$1:$U$1,0)),"")</f>
        <v>0</v>
      </c>
      <c r="AY5" s="46">
        <f>IFERROR(INDEX('Horo. M'!$B$3:$U$367,MATCH(AY2,'Horo. M'!$A$3:$A$367,0),MATCH($AL$5,'Horo. M'!$B$1:$U$1,0)),"")</f>
        <v>0</v>
      </c>
      <c r="BB5" s="43" t="s">
        <v>314</v>
      </c>
      <c r="BC5" s="61">
        <v>0</v>
      </c>
      <c r="BD5" s="61">
        <v>431</v>
      </c>
      <c r="BE5" s="61">
        <v>431</v>
      </c>
      <c r="BF5" s="61">
        <v>446</v>
      </c>
      <c r="BI5" s="421" t="s">
        <v>314</v>
      </c>
      <c r="BJ5" s="61">
        <v>446</v>
      </c>
      <c r="BK5" s="61">
        <v>433.01429999999999</v>
      </c>
      <c r="BL5" s="61">
        <v>446</v>
      </c>
      <c r="BP5" s="95" t="s">
        <v>315</v>
      </c>
      <c r="BQ5" s="96" t="s">
        <v>316</v>
      </c>
      <c r="BR5"/>
      <c r="BS5" s="84" t="s">
        <v>158</v>
      </c>
      <c r="BT5" s="84" t="s">
        <v>160</v>
      </c>
      <c r="BU5" s="85"/>
      <c r="BV5" s="94" t="s">
        <v>317</v>
      </c>
      <c r="BW5" s="94" t="s">
        <v>318</v>
      </c>
      <c r="BX5" s="94" t="s">
        <v>319</v>
      </c>
      <c r="CH5" s="43" t="s">
        <v>314</v>
      </c>
      <c r="CI5" s="32">
        <v>6.6592779629629639</v>
      </c>
      <c r="CJ5" s="94">
        <v>9.0148712867218155</v>
      </c>
      <c r="CL5" s="43" t="s">
        <v>314</v>
      </c>
      <c r="CM5" s="32">
        <v>369.84087330140778</v>
      </c>
      <c r="CN5" s="32">
        <v>634.01292565955623</v>
      </c>
      <c r="CO5" s="32">
        <v>0</v>
      </c>
      <c r="CQ5" s="106" t="s">
        <v>320</v>
      </c>
      <c r="CR5" s="32">
        <v>32088</v>
      </c>
      <c r="CS5" s="32">
        <v>33001</v>
      </c>
      <c r="CT5" s="32">
        <v>10981</v>
      </c>
      <c r="CU5" s="32">
        <v>354296</v>
      </c>
      <c r="CV5" s="32">
        <v>264081</v>
      </c>
      <c r="CW5" s="32">
        <v>22044</v>
      </c>
      <c r="CX5" s="32">
        <v>21707</v>
      </c>
      <c r="DF5" s="37" t="s">
        <v>247</v>
      </c>
      <c r="DG5" s="32">
        <v>4652.1674597619058</v>
      </c>
      <c r="DH5" s="32">
        <v>657</v>
      </c>
      <c r="DI5" s="94">
        <v>9774.3659372514921</v>
      </c>
      <c r="DJ5" s="94">
        <v>38975</v>
      </c>
      <c r="DK5" s="94">
        <v>81</v>
      </c>
      <c r="DL5" s="94">
        <v>50530.830175066629</v>
      </c>
      <c r="DM5" s="32">
        <v>5.2834410471629729</v>
      </c>
      <c r="DN5" s="32">
        <v>242.16000000000003</v>
      </c>
      <c r="DO5" s="94">
        <v>0</v>
      </c>
      <c r="DQ5" s="143" t="s">
        <v>321</v>
      </c>
      <c r="DR5" s="144">
        <f>IFERROR(AVERAGEIF('DO Pilot'!AX2:BU32,"&gt;0"),0)</f>
        <v>9.5427909391728019</v>
      </c>
      <c r="DS5" s="144">
        <f>IFERROR(AVERAGEIF('DO Pilot'!AX33:BU60,"&gt;0"),0)</f>
        <v>9.1606238578818715</v>
      </c>
      <c r="DT5" s="144">
        <f>IFERROR(AVERAGEIF('DO Pilot'!AX61:BU91,"&gt;0"),0)</f>
        <v>9.1276995420703493</v>
      </c>
      <c r="DU5" s="144">
        <f>IFERROR(AVERAGEIF('DO Pilot'!AX92:BU121,"&gt;0"),0)</f>
        <v>8.645134072312926</v>
      </c>
      <c r="DV5" s="144">
        <f>IFERROR(AVERAGEIF('DO Pilot'!AX122:BU152,"&gt;0"),0)</f>
        <v>10.637589556587093</v>
      </c>
      <c r="DW5" s="144">
        <f>IFERROR(AVERAGEIF('DO Pilot'!AX153:BU182,"&gt;0"),0)</f>
        <v>9.8631148760273266</v>
      </c>
      <c r="DX5" s="144">
        <f>IFERROR(AVERAGEIF('DO Pilot'!AX183:BU213,"&gt;0"),0)</f>
        <v>9.5002772880738071</v>
      </c>
      <c r="DY5" s="144">
        <f>IFERROR(AVERAGEIF('DO Pilot'!AX214:BU244,"&gt;0"),0)</f>
        <v>8.8579019908502268</v>
      </c>
      <c r="DZ5" s="144">
        <f>IFERROR(AVERAGEIF('DO Pilot'!AX245:BU274,"&gt;0"),0)</f>
        <v>0</v>
      </c>
      <c r="EA5" s="144">
        <f>IFERROR(AVERAGEIF('DO Pilot'!AX275:BU305,"&gt;0"),0)</f>
        <v>0</v>
      </c>
      <c r="EB5" s="144">
        <f>IFERROR(AVERAGEIF('DO Pilot'!AX306:BU335,"&gt;0"),0)</f>
        <v>0</v>
      </c>
      <c r="EC5" s="144">
        <f>IFERROR(AVERAGEIF('DO Pilot'!AX336:BU366,"&gt;0"),0)</f>
        <v>0</v>
      </c>
      <c r="ED5" s="34">
        <f t="shared" si="0"/>
        <v>6.2779276769147003</v>
      </c>
      <c r="EF5" s="43" t="s">
        <v>314</v>
      </c>
      <c r="EG5" s="32">
        <v>4173</v>
      </c>
      <c r="EH5" s="32">
        <v>4131.8313707209663</v>
      </c>
      <c r="EK5" s="43" t="s">
        <v>314</v>
      </c>
      <c r="EL5" s="32">
        <v>9356.5022421524664</v>
      </c>
      <c r="EM5" s="32">
        <v>9542.020600060936</v>
      </c>
      <c r="EQ5" s="43" t="s">
        <v>314</v>
      </c>
      <c r="ER5" s="61">
        <v>1495</v>
      </c>
      <c r="ES5" s="61">
        <v>0</v>
      </c>
      <c r="ET5" s="61">
        <v>71</v>
      </c>
      <c r="EU5" s="61">
        <v>0</v>
      </c>
      <c r="EW5" s="43" t="s">
        <v>314</v>
      </c>
      <c r="EX5" s="61">
        <v>1495</v>
      </c>
      <c r="EY5" s="61">
        <v>0</v>
      </c>
      <c r="EZ5" s="61">
        <v>71</v>
      </c>
      <c r="FA5" s="61">
        <v>0</v>
      </c>
      <c r="FB5" s="61">
        <v>1</v>
      </c>
      <c r="FC5" s="61"/>
      <c r="FD5" s="141" t="str">
        <f>EW5</f>
        <v>1-ene</v>
      </c>
      <c r="FE5" s="11" t="str">
        <f>IF(EY5&gt;0,IF(FB5&gt;0,FB5,""),"")</f>
        <v/>
      </c>
      <c r="FF5" s="11" t="str">
        <f>IF(FE5=1,EY5,"")</f>
        <v/>
      </c>
      <c r="FG5" s="11" t="str">
        <f>IF(FE5=1,GETPIVOTDATA("P. oferta",$EW$3,"Fecha",122,"Meses",5),"")</f>
        <v/>
      </c>
      <c r="FI5" s="141" t="str">
        <f>EW5</f>
        <v>1-ene</v>
      </c>
      <c r="FJ5" s="11">
        <f t="shared" ref="FJ5:FJ72" si="1">IF(EZ5&gt;0,IF(FB5&gt;0,FB5,""),"")</f>
        <v>1</v>
      </c>
      <c r="FK5" s="11">
        <f t="shared" ref="FK5:FK36" si="2">IF(FJ5=1,EZ5,"")</f>
        <v>71</v>
      </c>
      <c r="FL5" s="11">
        <f t="shared" ref="FL5:FL36" si="3">IF(FJ5=1,EX5,"")</f>
        <v>1495</v>
      </c>
      <c r="FN5" s="141" t="str">
        <f>EW5</f>
        <v>1-ene</v>
      </c>
      <c r="FO5" s="11" t="str">
        <f>IF(FA5&gt;0,IF(FB5&gt;0,FB5,""),"")</f>
        <v/>
      </c>
      <c r="FP5" s="11" t="str">
        <f>IF(FO5=1,FA5,"")</f>
        <v/>
      </c>
      <c r="FQ5" s="11" t="str">
        <f>IF(FO5=1,EX5,"")</f>
        <v/>
      </c>
      <c r="FT5" s="48" t="s">
        <v>322</v>
      </c>
      <c r="FU5" s="11">
        <f>SUM(FE5:FE35)</f>
        <v>0</v>
      </c>
      <c r="FV5" s="11">
        <f>SUM(FE37:FE69)</f>
        <v>0</v>
      </c>
      <c r="FW5" s="11">
        <f>SUM(FE70:FE100)</f>
        <v>0</v>
      </c>
      <c r="FX5" s="11">
        <f>SUM(FE103:FE132)</f>
        <v>0</v>
      </c>
      <c r="FY5" s="11">
        <f>SUM(FE134:FE164)</f>
        <v>0</v>
      </c>
      <c r="FZ5" s="11">
        <f>SUM(FE165:FE194)</f>
        <v>0</v>
      </c>
      <c r="GA5" s="11">
        <f>SUM(FE197:FE227)</f>
        <v>0</v>
      </c>
      <c r="GB5" s="11">
        <f>SUM(FE229:FE259)</f>
        <v>0</v>
      </c>
      <c r="GC5" s="11">
        <f>SUM(FE261:FE290)</f>
        <v>0</v>
      </c>
      <c r="GD5" s="11">
        <f>SUM(FE292:FE321)</f>
        <v>0</v>
      </c>
      <c r="GE5" s="11">
        <f>SUM(FE324:FE353)</f>
        <v>0</v>
      </c>
      <c r="GF5" s="11">
        <f>SUM(FE355:FE385)</f>
        <v>0</v>
      </c>
      <c r="GK5" s="37" t="s">
        <v>323</v>
      </c>
      <c r="GL5" s="61">
        <v>38507335.799999997</v>
      </c>
      <c r="GM5" s="61">
        <v>38632915.699999996</v>
      </c>
      <c r="GN5" s="61">
        <v>40041718.200000003</v>
      </c>
      <c r="GO5" s="61">
        <v>39108430</v>
      </c>
      <c r="GP5" s="61">
        <v>43698422.700000003</v>
      </c>
      <c r="GQ5" s="61">
        <v>41183197.900000006</v>
      </c>
      <c r="GR5" s="61">
        <v>39806082.799999997</v>
      </c>
      <c r="GS5" s="61">
        <v>29018486</v>
      </c>
      <c r="GT5" s="61">
        <v>0</v>
      </c>
      <c r="GU5" s="61">
        <v>0</v>
      </c>
      <c r="GV5" s="61">
        <v>0</v>
      </c>
      <c r="GW5" s="61">
        <v>0</v>
      </c>
    </row>
    <row r="6" spans="1:227" ht="45">
      <c r="A6" s="37" t="s">
        <v>263</v>
      </c>
      <c r="B6" s="61">
        <v>38230</v>
      </c>
      <c r="C6" s="61">
        <v>38623</v>
      </c>
      <c r="D6" s="61">
        <v>38741</v>
      </c>
      <c r="O6" s="37" t="s">
        <v>324</v>
      </c>
      <c r="P6" s="61">
        <v>2093</v>
      </c>
      <c r="Q6">
        <f>GETPIVOTDATA("Suma de PO [h]",$O$5)</f>
        <v>2093</v>
      </c>
      <c r="R6" s="102">
        <f>1-P7/(U6*24)</f>
        <v>0.97129629629629632</v>
      </c>
      <c r="S6" s="45">
        <f>1-R6</f>
        <v>2.8703703703703676E-2</v>
      </c>
      <c r="U6" s="61">
        <v>90</v>
      </c>
      <c r="V6">
        <f>GETPIVOTDATA("Fecha",$U$5)*24</f>
        <v>2160</v>
      </c>
      <c r="X6" s="61">
        <v>90</v>
      </c>
      <c r="Y6">
        <f>GETPIVOTDATA("Fecha",$X$5)*24</f>
        <v>2160</v>
      </c>
      <c r="AA6" s="61">
        <v>1835</v>
      </c>
      <c r="AB6" s="61">
        <v>1907</v>
      </c>
      <c r="AC6" s="61">
        <v>1925</v>
      </c>
      <c r="AD6" s="61">
        <v>1777</v>
      </c>
      <c r="AE6" s="61">
        <v>11</v>
      </c>
      <c r="AF6" s="61">
        <v>1669</v>
      </c>
      <c r="AG6" s="61">
        <v>1725</v>
      </c>
      <c r="AH6" s="61">
        <v>1972</v>
      </c>
      <c r="AI6" s="61">
        <v>1809</v>
      </c>
      <c r="AJ6" s="61">
        <v>1976</v>
      </c>
      <c r="AK6" s="61"/>
      <c r="AL6" s="12" t="s">
        <v>131</v>
      </c>
      <c r="AM6" s="117" t="s">
        <v>132</v>
      </c>
      <c r="AN6" s="46">
        <f>IFERROR(INDEX('Horo. M'!$B$3:$U$367,MATCH(AN2,'Horo. M'!$A$3:$A$367,0),MATCH($AL$6,'Horo. M'!$B$1:$U$1,0)),"")</f>
        <v>15774</v>
      </c>
      <c r="AO6" s="46">
        <f>IFERROR(INDEX('Horo. M'!$B$3:$U$367,MATCH(AO2,'Horo. M'!$A$3:$A$367,0),MATCH($AL$6,'Horo. M'!$B$1:$U$1,0)),"")</f>
        <v>16371</v>
      </c>
      <c r="AP6" s="46">
        <f>IFERROR(INDEX('Horo. M'!$B$3:$U$367,MATCH(AP2,'Horo. M'!$A$3:$A$367,0),MATCH($AL$6,'Horo. M'!$B$1:$U$1,0)),"")</f>
        <v>17049</v>
      </c>
      <c r="AQ6" s="46">
        <f>IFERROR(INDEX('Horo. M'!$B$3:$U$367,MATCH(AQ2,'Horo. M'!$A$3:$A$367,0),MATCH($AL$6,'Horo. M'!$B$1:$U$1,0)),"")</f>
        <v>17108</v>
      </c>
      <c r="AR6" s="46">
        <f>IFERROR(INDEX('Horo. M'!$B$3:$U$367,MATCH(AR2,'Horo. M'!$A$3:$A$367,0),MATCH($AL$6,'Horo. M'!$B$1:$U$1,0)),"")</f>
        <v>17668</v>
      </c>
      <c r="AS6" s="46">
        <f>IFERROR(INDEX('Horo. M'!$B$3:$U$367,MATCH(AS2,'Horo. M'!$A$3:$A$367,0),MATCH($AL$6,'Horo. M'!$B$1:$U$1,0)),"")</f>
        <v>18345</v>
      </c>
      <c r="AT6" s="46">
        <f>IFERROR(INDEX('Horo. M'!$B$3:$U$367,MATCH(AT2,'Horo. M'!$A$3:$A$367,0),MATCH($AL$6,'Horo. M'!$B$1:$U$1,0)),"")</f>
        <v>19085</v>
      </c>
      <c r="AU6" s="46">
        <f>IFERROR(INDEX('Horo. M'!$B$3:$U$367,MATCH(AU2,'Horo. M'!$A$3:$A$367,0),MATCH($AL$6,'Horo. M'!$B$1:$U$1,0)),"")</f>
        <v>0</v>
      </c>
      <c r="AV6" s="46">
        <f>IFERROR(INDEX('Horo. M'!$B$3:$U$367,MATCH(AV2,'Horo. M'!$A$3:$A$367,0),MATCH($AL$6,'Horo. M'!$B$1:$U$1,0)),"")</f>
        <v>0</v>
      </c>
      <c r="AW6" s="46">
        <f>IFERROR(INDEX('Horo. M'!$B$3:$U$367,MATCH(AW2,'Horo. M'!$A$3:$A$367,0),MATCH($AL$6,'Horo. M'!$B$1:$U$1,0)),"")</f>
        <v>0</v>
      </c>
      <c r="AX6" s="46">
        <f>IFERROR(INDEX('Horo. M'!$B$3:$U$367,MATCH(AX2,'Horo. M'!$A$3:$A$367,0),MATCH($AL$6,'Horo. M'!$B$1:$U$1,0)),"")</f>
        <v>0</v>
      </c>
      <c r="AY6" s="46">
        <f>IFERROR(INDEX('Horo. M'!$B$3:$U$367,MATCH(AY2,'Horo. M'!$A$3:$A$367,0),MATCH($AL$6,'Horo. M'!$B$1:$U$1,0)),"")</f>
        <v>0</v>
      </c>
      <c r="AZ6" s="61"/>
      <c r="BB6" s="43" t="s">
        <v>325</v>
      </c>
      <c r="BC6" s="61">
        <v>0</v>
      </c>
      <c r="BD6" s="61">
        <v>872</v>
      </c>
      <c r="BE6" s="61">
        <v>872</v>
      </c>
      <c r="BF6" s="61">
        <v>888</v>
      </c>
      <c r="BI6" s="421" t="s">
        <v>325</v>
      </c>
      <c r="BJ6" s="61">
        <v>888</v>
      </c>
      <c r="BK6" s="61">
        <v>878.12479999999982</v>
      </c>
      <c r="BL6" s="61">
        <v>888</v>
      </c>
      <c r="BP6" s="61">
        <v>60</v>
      </c>
      <c r="BQ6" s="61">
        <v>37</v>
      </c>
      <c r="BR6"/>
      <c r="BS6" s="28">
        <f>GETPIVOTDATA("Suma de RDP [Un]",$BP$5)</f>
        <v>60</v>
      </c>
      <c r="BT6" s="28">
        <f>GETPIVOTDATA("Suma de AUT [Un]",$BP$5)</f>
        <v>37</v>
      </c>
      <c r="BV6" s="35">
        <v>3301</v>
      </c>
      <c r="BW6" s="35">
        <v>2609</v>
      </c>
      <c r="BX6" s="35">
        <v>118392</v>
      </c>
      <c r="CH6" s="43" t="s">
        <v>325</v>
      </c>
      <c r="CI6" s="32">
        <v>6.6970725</v>
      </c>
      <c r="CJ6" s="94">
        <v>8.839335909825941</v>
      </c>
      <c r="CL6" s="43" t="s">
        <v>325</v>
      </c>
      <c r="CM6" s="32">
        <v>501.92689948048201</v>
      </c>
      <c r="CN6" s="32">
        <v>1241.6086460832978</v>
      </c>
      <c r="CO6" s="32">
        <v>0</v>
      </c>
      <c r="CQ6" s="107" t="s">
        <v>326</v>
      </c>
      <c r="CR6" s="32">
        <v>53694</v>
      </c>
      <c r="CS6" s="32">
        <v>54482</v>
      </c>
      <c r="CT6" s="32">
        <v>65964</v>
      </c>
      <c r="CU6" s="32">
        <v>55168</v>
      </c>
      <c r="CV6" s="32">
        <v>65899</v>
      </c>
      <c r="CW6" s="32">
        <v>55108</v>
      </c>
      <c r="CX6" s="32">
        <v>54840</v>
      </c>
      <c r="DF6" s="37" t="s">
        <v>248</v>
      </c>
      <c r="DG6" s="32">
        <v>5217.2060547619058</v>
      </c>
      <c r="DH6" s="32">
        <v>737</v>
      </c>
      <c r="DI6" s="94">
        <v>13261.437028379052</v>
      </c>
      <c r="DJ6" s="94">
        <v>40412</v>
      </c>
      <c r="DK6" s="94">
        <v>66</v>
      </c>
      <c r="DL6" s="94">
        <v>51915.091729423322</v>
      </c>
      <c r="DM6" s="32">
        <v>0</v>
      </c>
      <c r="DN6" s="32">
        <v>407.12999999999994</v>
      </c>
      <c r="DO6" s="94">
        <v>0</v>
      </c>
      <c r="DQ6" s="143" t="s">
        <v>327</v>
      </c>
      <c r="DR6" s="144">
        <f>GETPIVOTDATA("C. DO Storage [gal]",$DF$3,"Meses",1)/GETPIVOTDATA("G. HGS [MWh]",$DF$3,"Meses",1)</f>
        <v>0.27733834683186021</v>
      </c>
      <c r="DS6" s="144">
        <f>IFERROR(GETPIVOTDATA("C. DO Storage [gal]",$DF$3,"Meses",2)/GETPIVOTDATA("G. HGS [MWh]",$DF$3,"Meses",2),0)</f>
        <v>0.25078552757540712</v>
      </c>
      <c r="DT6" s="144">
        <f>IFERROR(GETPIVOTDATA("C. DO Storage [gal]",$DF$3,"Meses",3)/GETPIVOTDATA("G. HGS [MWh]",$DF$3,"Meses",3),0)</f>
        <v>0.32815591973619351</v>
      </c>
      <c r="DU6" s="144">
        <f>IFERROR(GETPIVOTDATA("C. DO Storage [gal]",$DF$3,"Meses",4)/GETPIVOTDATA("G. HGS [MWh]",$DF$3,"Meses",4),0)</f>
        <v>0.20679882424475721</v>
      </c>
      <c r="DV6" s="144">
        <f>IFERROR(GETPIVOTDATA("C. DO Storage [gal]",$DF$3,"Meses",5)/GETPIVOTDATA("G. HGS [MWh]",$DF$3,"Meses",5),0)</f>
        <v>0.26220714616799295</v>
      </c>
      <c r="DW6" s="144">
        <f>IFERROR(GETPIVOTDATA("C. DO Storage [gal]",$DF$3,"Meses",6)/GETPIVOTDATA("G. HGS [MWh]",$DF$3,"Meses",6),0)</f>
        <v>0.22466897621234855</v>
      </c>
      <c r="DX6" s="144">
        <f>IFERROR(GETPIVOTDATA("C. DO Storage [gal]",$DF$3,"Meses",7)/GETPIVOTDATA("G. HGS [MWh]",$DF$3,"Meses",7),0)</f>
        <v>0.24811376118341294</v>
      </c>
      <c r="DY6" s="144">
        <f>IFERROR(GETPIVOTDATA("C. DO Storage [gal]",$DF$3,"Meses",8)/GETPIVOTDATA("G. HGS [MWh]",$DF$3,"Meses",8),0)</f>
        <v>0</v>
      </c>
      <c r="DZ6" s="144">
        <f>IFERROR(GETPIVOTDATA("C. DO Storage [gal]",$DF$3,"Meses",9)/GETPIVOTDATA("G. HGS [MWh]",$DF$3,"Meses",9),0)</f>
        <v>0</v>
      </c>
      <c r="EA6" s="144">
        <f>IFERROR(GETPIVOTDATA("C. DO Storage [gal]",$DF$3,"Meses",10)/GETPIVOTDATA("G. HGS [MWh]",$DF$3,"Meses",10),0)</f>
        <v>0</v>
      </c>
      <c r="EB6" s="144">
        <f>IFERROR(GETPIVOTDATA("C. DO Storage [gal]",$DF$3,"Meses",11)/GETPIVOTDATA("G. HGS [MWh]",$DF$3,"Meses",11),0)</f>
        <v>0</v>
      </c>
      <c r="EC6" s="144">
        <f>IFERROR(GETPIVOTDATA("C. DO Storage [gal]",$DF$3,"Meses",12)/GETPIVOTDATA("G. HGS [MWh]",$DF$3,"Meses",12),0)</f>
        <v>0</v>
      </c>
      <c r="ED6" s="34">
        <f t="shared" si="0"/>
        <v>0.14983904182933105</v>
      </c>
      <c r="EF6" s="43" t="s">
        <v>325</v>
      </c>
      <c r="EG6" s="32">
        <v>8470</v>
      </c>
      <c r="EH6" s="32">
        <v>8440.5728769266352</v>
      </c>
      <c r="EK6" s="43" t="s">
        <v>325</v>
      </c>
      <c r="EL6" s="32">
        <v>9538.2882882882896</v>
      </c>
      <c r="EM6" s="32">
        <v>9612.0424761111826</v>
      </c>
      <c r="EQ6" s="43" t="s">
        <v>325</v>
      </c>
      <c r="ER6" s="61">
        <v>1495</v>
      </c>
      <c r="ES6" s="61">
        <v>0</v>
      </c>
      <c r="ET6" s="61">
        <v>71</v>
      </c>
      <c r="EU6" s="61">
        <v>0</v>
      </c>
      <c r="EW6" s="43" t="s">
        <v>325</v>
      </c>
      <c r="EX6" s="61">
        <v>1495</v>
      </c>
      <c r="EY6" s="61">
        <v>0</v>
      </c>
      <c r="EZ6" s="61">
        <v>71</v>
      </c>
      <c r="FA6" s="61">
        <v>0</v>
      </c>
      <c r="FB6" s="61">
        <v>1</v>
      </c>
      <c r="FC6" s="61"/>
      <c r="FD6" s="141" t="str">
        <f t="shared" ref="FD6:FD73" si="4">EW6</f>
        <v>2-ene</v>
      </c>
      <c r="FE6" s="11" t="str">
        <f t="shared" ref="FE6:FE73" si="5">IF(EY6&gt;0,IF(FB6&gt;0,FB6,""),"")</f>
        <v/>
      </c>
      <c r="FF6" s="11" t="str">
        <f t="shared" ref="FF6:FF70" si="6">IF(FE6=1,EY6,"")</f>
        <v/>
      </c>
      <c r="FG6" s="11" t="str">
        <f t="shared" ref="FG6:FG70" si="7">IF(FE6=1,GETPIVOTDATA("P. oferta",$EW$3,"Fecha",122,"Meses",5),"")</f>
        <v/>
      </c>
      <c r="FI6" s="141" t="str">
        <f t="shared" ref="FI6:FI34" si="8">EW6</f>
        <v>2-ene</v>
      </c>
      <c r="FJ6" s="11">
        <f t="shared" si="1"/>
        <v>1</v>
      </c>
      <c r="FK6" s="11">
        <f t="shared" si="2"/>
        <v>71</v>
      </c>
      <c r="FL6" s="11">
        <f t="shared" si="3"/>
        <v>1495</v>
      </c>
      <c r="FN6" s="141" t="str">
        <f t="shared" ref="FN6:FN73" si="9">EW6</f>
        <v>2-ene</v>
      </c>
      <c r="FO6" s="11" t="str">
        <f t="shared" ref="FO6:FO73" si="10">IF(FA6&gt;0,IF(FB6&gt;0,FB6,""),"")</f>
        <v/>
      </c>
      <c r="FP6" s="11" t="str">
        <f t="shared" ref="FP6:FP70" si="11">IF(FO6=1,FA6,"")</f>
        <v/>
      </c>
      <c r="FQ6" s="11" t="str">
        <f t="shared" ref="FQ6:FQ70" si="12">IF(FO6=1,EX6,"")</f>
        <v/>
      </c>
      <c r="FT6" s="48" t="s">
        <v>328</v>
      </c>
      <c r="FU6" s="11">
        <f>SUM(FJ5:FJ35)</f>
        <v>5</v>
      </c>
      <c r="FV6" s="11">
        <f>SUM(FJ37:FJ64)</f>
        <v>3</v>
      </c>
      <c r="FW6" s="11">
        <f>SUM(FJ70:FJ100)</f>
        <v>0</v>
      </c>
      <c r="FX6" s="11">
        <f>SUM(FJ103:FJ132)</f>
        <v>0</v>
      </c>
      <c r="FY6" s="11">
        <f>SUM(FJ133:FJ163)</f>
        <v>0</v>
      </c>
      <c r="FZ6" s="11">
        <f>SUM(FJ165:FJ195)</f>
        <v>1</v>
      </c>
      <c r="GA6" s="11">
        <f>SUM(FJ196:FJ227)</f>
        <v>0</v>
      </c>
      <c r="GB6" s="11">
        <f>SUM(FJ224:FJ254)</f>
        <v>0</v>
      </c>
      <c r="GC6" s="11">
        <f>SUM(FJ256:FJ285)</f>
        <v>0</v>
      </c>
      <c r="GD6" s="11">
        <f>SUM(FJ287:FJ317)</f>
        <v>0</v>
      </c>
      <c r="GE6" s="11">
        <f>SUM(FJ319:FJ348)</f>
        <v>0</v>
      </c>
      <c r="GF6" s="11">
        <f>SUM(FJ350:FJ380)</f>
        <v>0</v>
      </c>
      <c r="GK6" s="37" t="s">
        <v>329</v>
      </c>
      <c r="GL6" s="61">
        <v>10363704</v>
      </c>
      <c r="GM6" s="61">
        <v>10369433</v>
      </c>
      <c r="GN6" s="61">
        <v>10889124</v>
      </c>
      <c r="GO6" s="61">
        <v>9307947</v>
      </c>
      <c r="GP6" s="61">
        <v>10895177</v>
      </c>
      <c r="GQ6" s="61">
        <v>11031710</v>
      </c>
      <c r="GR6" s="61">
        <v>10831585</v>
      </c>
      <c r="GS6" s="61">
        <v>0</v>
      </c>
      <c r="GT6" s="61">
        <v>0</v>
      </c>
      <c r="GU6" s="61">
        <v>0</v>
      </c>
      <c r="GV6" s="61">
        <v>0</v>
      </c>
      <c r="GW6" s="61">
        <v>0</v>
      </c>
    </row>
    <row r="7" spans="1:227" ht="45">
      <c r="A7" s="37" t="s">
        <v>264</v>
      </c>
      <c r="B7" s="61">
        <v>38233</v>
      </c>
      <c r="C7" s="61">
        <v>38347</v>
      </c>
      <c r="D7" s="61">
        <v>38746</v>
      </c>
      <c r="O7" s="37" t="s">
        <v>330</v>
      </c>
      <c r="P7" s="61">
        <v>62</v>
      </c>
      <c r="Q7"/>
      <c r="R7" s="102">
        <f>P7/(U6*24)</f>
        <v>2.8703703703703703E-2</v>
      </c>
      <c r="S7" s="45">
        <f>1-R7</f>
        <v>0.97129629629629632</v>
      </c>
      <c r="AL7" s="12" t="s">
        <v>133</v>
      </c>
      <c r="AM7" s="117" t="s">
        <v>134</v>
      </c>
      <c r="AN7" s="46">
        <f>IFERROR(INDEX('Horo. M'!$B$3:$U$367,MATCH(AN2,'Horo. M'!$A$3:$A$367,0),MATCH($AL$7,'Horo. M'!$B$1:$U$1,0)),"")</f>
        <v>14492</v>
      </c>
      <c r="AO7" s="46">
        <f>IFERROR(INDEX('Horo. M'!$B$3:$U$367,MATCH(AO2,'Horo. M'!$A$3:$A$367,0),MATCH($AL$7,'Horo. M'!$B$1:$U$1,0)),"")</f>
        <v>15114</v>
      </c>
      <c r="AP7" s="46">
        <f>IFERROR(INDEX('Horo. M'!$B$3:$U$367,MATCH(AP2,'Horo. M'!$A$3:$A$367,0),MATCH($AL$7,'Horo. M'!$B$1:$U$1,0)),"")</f>
        <v>15801</v>
      </c>
      <c r="AQ7" s="46">
        <f>IFERROR(INDEX('Horo. M'!$B$3:$U$367,MATCH(AQ2,'Horo. M'!$A$3:$A$367,0),MATCH($AL$7,'Horo. M'!$B$1:$U$1,0)),"")</f>
        <v>16499</v>
      </c>
      <c r="AR7" s="46">
        <f>IFERROR(INDEX('Horo. M'!$B$3:$U$367,MATCH(AR2,'Horo. M'!$A$3:$A$367,0),MATCH($AL$7,'Horo. M'!$B$1:$U$1,0)),"")</f>
        <v>17215</v>
      </c>
      <c r="AS7" s="46">
        <f>IFERROR(INDEX('Horo. M'!$B$3:$U$367,MATCH(AS2,'Horo. M'!$A$3:$A$367,0),MATCH($AL$7,'Horo. M'!$B$1:$U$1,0)),"")</f>
        <v>17890</v>
      </c>
      <c r="AT7" s="46">
        <f>IFERROR(INDEX('Horo. M'!$B$3:$U$367,MATCH(AT2,'Horo. M'!$A$3:$A$367,0),MATCH($AL$7,'Horo. M'!$B$1:$U$1,0)),"")</f>
        <v>18237</v>
      </c>
      <c r="AU7" s="46">
        <f>IFERROR(INDEX('Horo. M'!$B$3:$U$367,MATCH(AU2,'Horo. M'!$A$3:$A$367,0),MATCH($AL$7,'Horo. M'!$B$1:$U$1,0)),"")</f>
        <v>0</v>
      </c>
      <c r="AV7" s="46">
        <f>IFERROR(INDEX('Horo. M'!$B$3:$U$367,MATCH(AV2,'Horo. M'!$A$3:$A$367,0),MATCH($AL$7,'Horo. M'!$B$1:$U$1,0)),"")</f>
        <v>0</v>
      </c>
      <c r="AW7" s="46">
        <f>IFERROR(INDEX('Horo. M'!$B$3:$U$367,MATCH(AW2,'Horo. M'!$A$3:$A$367,0),MATCH($AL$7,'Horo. M'!$B$1:$U$1,0)),"")</f>
        <v>0</v>
      </c>
      <c r="AX7" s="46">
        <f>IFERROR(INDEX('Horo. M'!$B$3:$U$367,MATCH(AX2,'Horo. M'!$A$3:$A$367,0),MATCH($AL$7,'Horo. M'!$B$1:$U$1,0)),"")</f>
        <v>0</v>
      </c>
      <c r="AY7" s="46">
        <f>IFERROR(INDEX('Horo. M'!$B$3:$U$367,MATCH(AY2,'Horo. M'!$A$3:$A$367,0),MATCH($AL$7,'Horo. M'!$B$1:$U$1,0)),"")</f>
        <v>0</v>
      </c>
      <c r="BB7" s="43" t="s">
        <v>331</v>
      </c>
      <c r="BC7" s="61">
        <v>0</v>
      </c>
      <c r="BD7" s="61">
        <v>1272</v>
      </c>
      <c r="BE7" s="61">
        <v>1272</v>
      </c>
      <c r="BF7" s="61">
        <v>1282</v>
      </c>
      <c r="BI7" s="421" t="s">
        <v>331</v>
      </c>
      <c r="BJ7" s="61">
        <v>1282</v>
      </c>
      <c r="BK7" s="61">
        <v>1282.1465000000001</v>
      </c>
      <c r="BL7" s="61">
        <v>1282</v>
      </c>
      <c r="CH7" s="43" t="s">
        <v>331</v>
      </c>
      <c r="CI7" s="32">
        <v>7.3802749255952387</v>
      </c>
      <c r="CJ7" s="94">
        <v>8.8267011145063865</v>
      </c>
      <c r="CL7" s="43" t="s">
        <v>331</v>
      </c>
      <c r="CM7" s="32">
        <v>1109.5226199042233</v>
      </c>
      <c r="CN7" s="32">
        <v>1532.1979036772611</v>
      </c>
      <c r="CO7" s="32">
        <v>0</v>
      </c>
      <c r="CQ7" s="107" t="s">
        <v>292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F7" s="37" t="s">
        <v>249</v>
      </c>
      <c r="DG7" s="32">
        <v>5283.1232470238083</v>
      </c>
      <c r="DH7" s="32">
        <v>706</v>
      </c>
      <c r="DI7" s="94">
        <v>10360.827893486581</v>
      </c>
      <c r="DJ7" s="94">
        <v>50101</v>
      </c>
      <c r="DK7" s="94">
        <v>53</v>
      </c>
      <c r="DL7" s="94">
        <v>45818.000760997267</v>
      </c>
      <c r="DM7" s="32">
        <v>11</v>
      </c>
      <c r="DN7" s="32">
        <v>295.58999999999997</v>
      </c>
      <c r="DO7" s="94">
        <v>0</v>
      </c>
      <c r="DQ7" s="143" t="s">
        <v>332</v>
      </c>
      <c r="DR7" s="144">
        <f>GETPIVOTDATA("C. DO Pilot [gal]",$DF$3,"Meses",1)/GETPIVOTDATA("G. HGS [MWh]",$DF$3,"Meses",1)</f>
        <v>1.349934418482049</v>
      </c>
      <c r="DS7" s="144">
        <f>IFERROR(GETPIVOTDATA("C. DO Pilot [gal]",$DF$3,"Meses",2)/GETPIVOTDATA("G. HGS [MWh]",$DF$3,"Meses",2),0)</f>
        <v>1.296493397692537</v>
      </c>
      <c r="DT7" s="144">
        <f>IFERROR(GETPIVOTDATA("C. DO Pilot [gal]",$DF$3,"Meses",3)/GETPIVOTDATA("G. HGS [MWh]",$DF$3,"Meses",3),0)</f>
        <v>1.2846454451505325</v>
      </c>
      <c r="DU7" s="144">
        <f>IFERROR(GETPIVOTDATA("C. DO Pilot [gal]",$DF$3,"Meses",4)/GETPIVOTDATA("G. HGS [MWh]",$DF$3,"Meses",4),0)</f>
        <v>0.91451269956682035</v>
      </c>
      <c r="DV7" s="144">
        <f>IFERROR(GETPIVOTDATA("C. DO Pilot [gal]",$DF$3,"Meses",5)/GETPIVOTDATA("G. HGS [MWh]",$DF$3,"Meses",5),0)</f>
        <v>1.3636329148325395</v>
      </c>
      <c r="DW7" s="144">
        <f>IFERROR(GETPIVOTDATA("C. DO Pilot [gal]",$DF$3,"Meses",6)/GETPIVOTDATA("G. HGS [MWh]",$DF$3,"Meses",6),0)</f>
        <v>1.3369489260935223</v>
      </c>
      <c r="DX7" s="144">
        <f>IFERROR(GETPIVOTDATA("C. DO Pilot [gal]",$DF$3,"Meses",7)/GETPIVOTDATA("G. HGS [MWh]",$DF$3,"Meses",7),0)</f>
        <v>1.384040423789701</v>
      </c>
      <c r="DY7" s="144">
        <f>IFERROR(GETPIVOTDATA("C. DO Pilot [gal]",$DF$3,"Meses",8)/GETPIVOTDATA("G. HGS [MWh]",$DF$3,"Meses",8),0)</f>
        <v>0</v>
      </c>
      <c r="DZ7" s="144">
        <f>IFERROR(GETPIVOTDATA("C. DO Pilot [gal]",$DF$3,"Meses",9)/GETPIVOTDATA("G. HGS [MWh]",$DF$3,"Meses",9),0)</f>
        <v>0</v>
      </c>
      <c r="EA7" s="144">
        <f>IFERROR(GETPIVOTDATA("C. DO Pilot [gal]",$DF$3,"Meses",10)/GETPIVOTDATA("G. HGS [MWh]",$DF$3,"Meses",10),0)</f>
        <v>0</v>
      </c>
      <c r="EB7" s="144">
        <f>IFERROR(GETPIVOTDATA("C. DO Pilot [gal]",$DF$3,"Meses",11)/GETPIVOTDATA("G. HGS [MWh]",$DF$3,"Meses",11),0)</f>
        <v>0</v>
      </c>
      <c r="EC7" s="144">
        <f>IFERROR(GETPIVOTDATA("C. DO Pilot [gal]",$DF$3,"Meses",12)/GETPIVOTDATA("G. HGS [MWh]",$DF$3,"Meses",12),0)</f>
        <v>0</v>
      </c>
      <c r="ED7" s="34">
        <f t="shared" si="0"/>
        <v>0.74418401880064178</v>
      </c>
      <c r="EF7" s="43" t="s">
        <v>331</v>
      </c>
      <c r="EG7" s="32">
        <v>12058</v>
      </c>
      <c r="EH7" s="32">
        <v>11870.743964812469</v>
      </c>
      <c r="EK7" s="43" t="s">
        <v>331</v>
      </c>
      <c r="EL7" s="32">
        <v>9405.6162246489857</v>
      </c>
      <c r="EM7" s="32">
        <v>9258.4926643035469</v>
      </c>
      <c r="EQ7" s="43" t="s">
        <v>331</v>
      </c>
      <c r="ER7" s="61">
        <v>1495</v>
      </c>
      <c r="ES7" s="61">
        <v>0</v>
      </c>
      <c r="ET7" s="61">
        <v>71</v>
      </c>
      <c r="EU7" s="61">
        <v>0</v>
      </c>
      <c r="EW7" s="43" t="s">
        <v>331</v>
      </c>
      <c r="EX7" s="61">
        <v>1495</v>
      </c>
      <c r="EY7" s="61">
        <v>0</v>
      </c>
      <c r="EZ7" s="61">
        <v>71</v>
      </c>
      <c r="FA7" s="61">
        <v>0</v>
      </c>
      <c r="FB7" s="61">
        <v>0</v>
      </c>
      <c r="FC7" s="61"/>
      <c r="FD7" s="141" t="str">
        <f t="shared" si="4"/>
        <v>3-ene</v>
      </c>
      <c r="FE7" s="11" t="str">
        <f t="shared" si="5"/>
        <v/>
      </c>
      <c r="FF7" s="11" t="str">
        <f t="shared" si="6"/>
        <v/>
      </c>
      <c r="FG7" s="11" t="str">
        <f t="shared" si="7"/>
        <v/>
      </c>
      <c r="FI7" s="141" t="str">
        <f t="shared" si="8"/>
        <v>3-ene</v>
      </c>
      <c r="FJ7" s="11" t="str">
        <f t="shared" si="1"/>
        <v/>
      </c>
      <c r="FK7" s="11" t="str">
        <f t="shared" si="2"/>
        <v/>
      </c>
      <c r="FL7" s="11" t="str">
        <f t="shared" si="3"/>
        <v/>
      </c>
      <c r="FN7" s="141" t="str">
        <f t="shared" si="9"/>
        <v>3-ene</v>
      </c>
      <c r="FO7" s="11" t="str">
        <f t="shared" si="10"/>
        <v/>
      </c>
      <c r="FP7" s="11" t="str">
        <f t="shared" si="11"/>
        <v/>
      </c>
      <c r="FQ7" s="11" t="str">
        <f t="shared" si="12"/>
        <v/>
      </c>
      <c r="FT7" s="48" t="s">
        <v>333</v>
      </c>
      <c r="FU7" s="11">
        <f>SUM(FO5:FO35)</f>
        <v>0</v>
      </c>
      <c r="FV7" s="11">
        <f>SUM(FO37:FO70)</f>
        <v>0</v>
      </c>
      <c r="FW7" s="11">
        <f>SUM(FO70:FO100)</f>
        <v>0</v>
      </c>
      <c r="FX7" s="11">
        <f>SUM(FO102:FO131)</f>
        <v>0</v>
      </c>
      <c r="FY7" s="11">
        <f>SUM(FO134:FO164)</f>
        <v>0</v>
      </c>
      <c r="FZ7" s="11">
        <f>SUM(FO166:FO195)</f>
        <v>0</v>
      </c>
      <c r="GA7" s="11">
        <f>SUM(FO197:FO227)</f>
        <v>0</v>
      </c>
      <c r="GB7" s="11">
        <f>SUM(FO229:FO259)</f>
        <v>0</v>
      </c>
      <c r="GC7" s="11">
        <f>SUM(FO261:FO290)</f>
        <v>0</v>
      </c>
      <c r="GD7" s="11">
        <f>SUM(FO292:FO322)</f>
        <v>0</v>
      </c>
      <c r="GE7" s="11">
        <f>SUM(FO324:FO353)</f>
        <v>0</v>
      </c>
      <c r="GF7" s="11">
        <f>SUM(FO356:FO385)</f>
        <v>0</v>
      </c>
      <c r="GK7" s="37" t="s">
        <v>334</v>
      </c>
      <c r="GL7" s="61">
        <v>349.12</v>
      </c>
      <c r="GM7" s="61">
        <v>321.77999999999992</v>
      </c>
      <c r="GN7" s="61">
        <v>261.71999999999997</v>
      </c>
      <c r="GO7" s="61">
        <v>1392.5099999999998</v>
      </c>
      <c r="GP7" s="61">
        <v>1012.0600000000001</v>
      </c>
      <c r="GQ7" s="61">
        <v>350.24</v>
      </c>
      <c r="GR7" s="61">
        <v>313.90000000000003</v>
      </c>
      <c r="GS7" s="61">
        <v>142.78</v>
      </c>
      <c r="GT7" s="61">
        <v>0</v>
      </c>
      <c r="GU7" s="61">
        <v>0</v>
      </c>
      <c r="GV7" s="61">
        <v>0</v>
      </c>
      <c r="GW7" s="61">
        <v>0</v>
      </c>
    </row>
    <row r="8" spans="1:227" ht="45">
      <c r="A8" s="37" t="s">
        <v>265</v>
      </c>
      <c r="B8" s="61">
        <v>39379</v>
      </c>
      <c r="C8" s="61">
        <v>41304</v>
      </c>
      <c r="D8" s="61">
        <v>43619</v>
      </c>
      <c r="P8"/>
      <c r="Q8"/>
      <c r="R8" s="102">
        <f>IF(0&lt;$Q$6,$R$6,"Sin Datos")</f>
        <v>0.97129629629629632</v>
      </c>
      <c r="S8" s="45"/>
      <c r="AL8" s="12" t="s">
        <v>135</v>
      </c>
      <c r="AM8" s="117" t="s">
        <v>136</v>
      </c>
      <c r="AN8" s="46">
        <f>IFERROR(INDEX('Horo. M'!$B$3:$U$367,MATCH(AN2,'Horo. M'!$A$3:$A$367,0),MATCH($AL$8,'Horo. M'!$B$1:$U$1,0)),"")</f>
        <v>15523</v>
      </c>
      <c r="AO8" s="46">
        <f>IFERROR(INDEX('Horo. M'!$B$3:$U$367,MATCH(AO2,'Horo. M'!$A$3:$A$367,0),MATCH($AL$8,'Horo. M'!$B$1:$U$1,0)),"")</f>
        <v>16131</v>
      </c>
      <c r="AP8" s="46">
        <f>IFERROR(INDEX('Horo. M'!$B$3:$U$367,MATCH(AP2,'Horo. M'!$A$3:$A$367,0),MATCH($AL$8,'Horo. M'!$B$1:$U$1,0)),"")</f>
        <v>16758</v>
      </c>
      <c r="AQ8" s="46">
        <f>IFERROR(INDEX('Horo. M'!$B$3:$U$367,MATCH(AQ2,'Horo. M'!$A$3:$A$367,0),MATCH($AL$8,'Horo. M'!$B$1:$U$1,0)),"")</f>
        <v>17458</v>
      </c>
      <c r="AR8" s="46">
        <f>IFERROR(INDEX('Horo. M'!$B$3:$U$367,MATCH(AR2,'Horo. M'!$A$3:$A$367,0),MATCH($AL$8,'Horo. M'!$B$1:$U$1,0)),"")</f>
        <v>17696</v>
      </c>
      <c r="AS8" s="46">
        <f>IFERROR(INDEX('Horo. M'!$B$3:$U$367,MATCH(AS2,'Horo. M'!$A$3:$A$367,0),MATCH($AL$8,'Horo. M'!$B$1:$U$1,0)),"")</f>
        <v>18182</v>
      </c>
      <c r="AT8" s="46">
        <f>IFERROR(INDEX('Horo. M'!$B$3:$U$367,MATCH(AT2,'Horo. M'!$A$3:$A$367,0),MATCH($AL$8,'Horo. M'!$B$1:$U$1,0)),"")</f>
        <v>18921</v>
      </c>
      <c r="AU8" s="46">
        <f>IFERROR(INDEX('Horo. M'!$B$3:$U$367,MATCH(AU2,'Horo. M'!$A$3:$A$367,0),MATCH($AL$8,'Horo. M'!$B$1:$U$1,0)),"")</f>
        <v>0</v>
      </c>
      <c r="AV8" s="46">
        <f>IFERROR(INDEX('Horo. M'!$B$3:$U$367,MATCH(AV2,'Horo. M'!$A$3:$A$367,0),MATCH($AL$8,'Horo. M'!$B$1:$U$1,0)),"")</f>
        <v>0</v>
      </c>
      <c r="AW8" s="46">
        <f>IFERROR(INDEX('Horo. M'!$B$3:$U$367,MATCH(AW2,'Horo. M'!$A$3:$A$367,0),MATCH($AL$8,'Horo. M'!$B$1:$U$1,0)),"")</f>
        <v>0</v>
      </c>
      <c r="AX8" s="46">
        <f>IFERROR(INDEX('Horo. M'!$B$3:$U$367,MATCH(AX2,'Horo. M'!$A$3:$A$367,0),MATCH($AL$8,'Horo. M'!$B$1:$U$1,0)),"")</f>
        <v>0</v>
      </c>
      <c r="AY8" s="46">
        <f>IFERROR(INDEX('Horo. M'!$B$3:$U$367,MATCH(AY2,'Horo. M'!$A$3:$A$367,0),MATCH($AL$8,'Horo. M'!$B$1:$U$1,0)),"")</f>
        <v>0</v>
      </c>
      <c r="BB8" s="43" t="s">
        <v>335</v>
      </c>
      <c r="BC8" s="61">
        <v>0</v>
      </c>
      <c r="BD8" s="61">
        <v>1272</v>
      </c>
      <c r="BE8" s="61">
        <v>1272</v>
      </c>
      <c r="BF8" s="61">
        <v>1287</v>
      </c>
      <c r="BI8" s="421" t="s">
        <v>335</v>
      </c>
      <c r="BJ8" s="61">
        <v>1287</v>
      </c>
      <c r="BK8" s="61">
        <v>1276.4812999999999</v>
      </c>
      <c r="BL8" s="61">
        <v>1287</v>
      </c>
      <c r="BQ8" s="166"/>
      <c r="CH8" s="43" t="s">
        <v>335</v>
      </c>
      <c r="CI8" s="32">
        <v>7.162539136904762</v>
      </c>
      <c r="CJ8" s="94">
        <v>8.5954195309686252</v>
      </c>
      <c r="CL8" s="43" t="s">
        <v>335</v>
      </c>
      <c r="CM8" s="32">
        <v>1585.0323141488905</v>
      </c>
      <c r="CN8" s="32">
        <v>1532.1979036772614</v>
      </c>
      <c r="CO8" s="32">
        <v>0</v>
      </c>
      <c r="CR8"/>
      <c r="CS8"/>
      <c r="CT8"/>
      <c r="CU8"/>
      <c r="CV8"/>
      <c r="CW8"/>
      <c r="CX8"/>
      <c r="CY8"/>
      <c r="CZ8"/>
      <c r="DA8"/>
      <c r="DB8"/>
      <c r="DC8"/>
      <c r="DF8" s="37" t="s">
        <v>250</v>
      </c>
      <c r="DG8" s="32">
        <v>5719.3653765873005</v>
      </c>
      <c r="DH8" s="32">
        <v>744</v>
      </c>
      <c r="DI8" s="94">
        <v>11562.810731716154</v>
      </c>
      <c r="DJ8" s="94">
        <v>44098</v>
      </c>
      <c r="DK8" s="94">
        <v>29</v>
      </c>
      <c r="DL8" s="94">
        <v>60133.484278285323</v>
      </c>
      <c r="DM8" s="32">
        <v>0</v>
      </c>
      <c r="DN8" s="32">
        <v>296.94</v>
      </c>
      <c r="DO8" s="94">
        <v>0</v>
      </c>
      <c r="DQ8" s="143" t="s">
        <v>336</v>
      </c>
      <c r="DR8" s="144">
        <f>GETPIVOTDATA("C. DO Storage [gal]",$DF$3,"Meses",1)/GETPIVOTDATA("Ar. HGS  [Un]",$DF$3,"Meses",1)</f>
        <v>79.581830772892232</v>
      </c>
      <c r="DS8" s="144">
        <f>IFERROR(GETPIVOTDATA("C. DO Storage [gal]",$DF$3,"Meses",2)/GETPIVOTDATA("Ar. HGS  [Un]",$DF$3,"Meses",2),0)</f>
        <v>120.67118441051225</v>
      </c>
      <c r="DT8" s="144">
        <f>IFERROR(GETPIVOTDATA("C. DO Storage [gal]",$DF$3,"Meses",3)/GETPIVOTDATA("Ar. HGS  [Un]",$DF$3,"Meses",3),0)</f>
        <v>200.93086406634927</v>
      </c>
      <c r="DU8" s="144">
        <f>IFERROR(GETPIVOTDATA("C. DO Storage [gal]",$DF$3,"Meses",4)/GETPIVOTDATA("Ar. HGS  [Un]",$DF$3,"Meses",4),0)</f>
        <v>195.48731874502982</v>
      </c>
      <c r="DV8" s="144">
        <f>IFERROR(GETPIVOTDATA("C. DO Storage [gal]",$DF$3,"Meses",5)/GETPIVOTDATA("Ar. HGS  [Un]",$DF$3,"Meses",5),0)</f>
        <v>398.71761143848806</v>
      </c>
      <c r="DW8" s="144">
        <f>IFERROR(GETPIVOTDATA("C. DO Storage [gal]",$DF$3,"Meses",6)/GETPIVOTDATA("Ar. HGS  [Un]",$DF$3,"Meses",6),0)</f>
        <v>333.32852177904942</v>
      </c>
      <c r="DX8" s="144">
        <f>IFERROR(GETPIVOTDATA("C. DO Storage [gal]",$DF$3,"Meses",7)/GETPIVOTDATA("Ar. HGS  [Un]",$DF$3,"Meses",7),0)</f>
        <v>474.25173209058073</v>
      </c>
      <c r="DY8" s="144">
        <f>IFERROR(GETPIVOTDATA("C. DO Storage [gal]",$DF$3,"Meses",8)/GETPIVOTDATA("Ar. HGS  [Un]",$DF$3,"Meses",8),0)</f>
        <v>0</v>
      </c>
      <c r="DZ8" s="144">
        <f>IFERROR(GETPIVOTDATA("C. DO Storage [gal]",$DF$3,"Meses",9)/GETPIVOTDATA("Ar. HGS  [Un]",$DF$3,"Meses",9),0)</f>
        <v>0</v>
      </c>
      <c r="EA8" s="144">
        <f>IFERROR(GETPIVOTDATA("C. DO Storage [gal]",$DF$3,"Meses",10)/GETPIVOTDATA("Ar. HGS  [Un]",$DF$3,"Meses",10),0)</f>
        <v>0</v>
      </c>
      <c r="EB8" s="144">
        <f>IFERROR(GETPIVOTDATA("C. DO Storage [gal]",$DF$3,"Meses",11)/GETPIVOTDATA("Ar. HGS  [Un]",$DF$3,"Meses",11),0)</f>
        <v>0</v>
      </c>
      <c r="EC8" s="144">
        <f>IFERROR(GETPIVOTDATA("C. DO Storage [gal]",$DF$3,"Meses",12)/GETPIVOTDATA("Ar. HGS  [Un]",$DF$3,"Meses",12),0)</f>
        <v>0</v>
      </c>
      <c r="ED8" s="34">
        <f t="shared" si="0"/>
        <v>150.24742194190847</v>
      </c>
      <c r="EF8" s="43" t="s">
        <v>335</v>
      </c>
      <c r="EG8" s="32">
        <v>12441</v>
      </c>
      <c r="EH8" s="32">
        <v>11929.35050402852</v>
      </c>
      <c r="EK8" s="43" t="s">
        <v>335</v>
      </c>
      <c r="EL8" s="32">
        <v>9666.6666666666661</v>
      </c>
      <c r="EM8" s="32">
        <v>9345.4957029362831</v>
      </c>
      <c r="EQ8" s="43" t="s">
        <v>335</v>
      </c>
      <c r="ER8" s="61">
        <v>1495</v>
      </c>
      <c r="ES8" s="61">
        <v>0</v>
      </c>
      <c r="ET8" s="61">
        <v>71</v>
      </c>
      <c r="EU8" s="61">
        <v>0</v>
      </c>
      <c r="EW8" s="43" t="s">
        <v>335</v>
      </c>
      <c r="EX8" s="61">
        <v>1495</v>
      </c>
      <c r="EY8" s="61">
        <v>0</v>
      </c>
      <c r="EZ8" s="61">
        <v>71</v>
      </c>
      <c r="FA8" s="61">
        <v>0</v>
      </c>
      <c r="FB8" s="61">
        <v>0</v>
      </c>
      <c r="FC8" s="61"/>
      <c r="FD8" s="141" t="str">
        <f t="shared" si="4"/>
        <v>4-ene</v>
      </c>
      <c r="FE8" s="11" t="str">
        <f t="shared" si="5"/>
        <v/>
      </c>
      <c r="FF8" s="11" t="str">
        <f t="shared" si="6"/>
        <v/>
      </c>
      <c r="FG8" s="11" t="str">
        <f t="shared" si="7"/>
        <v/>
      </c>
      <c r="FI8" s="141" t="str">
        <f t="shared" si="8"/>
        <v>4-ene</v>
      </c>
      <c r="FJ8" s="11" t="str">
        <f t="shared" si="1"/>
        <v/>
      </c>
      <c r="FK8" s="11" t="str">
        <f t="shared" si="2"/>
        <v/>
      </c>
      <c r="FL8" s="11" t="str">
        <f t="shared" si="3"/>
        <v/>
      </c>
      <c r="FN8" s="141" t="str">
        <f t="shared" si="9"/>
        <v>4-ene</v>
      </c>
      <c r="FO8" s="11" t="str">
        <f t="shared" si="10"/>
        <v/>
      </c>
      <c r="FP8" s="11" t="str">
        <f t="shared" si="11"/>
        <v/>
      </c>
      <c r="FQ8" s="11" t="str">
        <f t="shared" si="12"/>
        <v/>
      </c>
      <c r="FT8" s="48" t="s">
        <v>337</v>
      </c>
      <c r="FU8" s="178">
        <f>GETPIVOTDATA("Ar. HGS  [Un]",$DF$3,"Meses",1)</f>
        <v>136</v>
      </c>
      <c r="FV8" s="11">
        <f>GETPIVOTDATA("Ar. HGS  [Un]",$DF$3,"Meses",2)</f>
        <v>81</v>
      </c>
      <c r="FW8" s="11">
        <f>GETPIVOTDATA("Ar. HGS  [Un]",$DF$3,"Meses",3)</f>
        <v>66</v>
      </c>
      <c r="FX8" s="137">
        <f>GETPIVOTDATA("Ar. HGS  [Un]",$DF$3,"Meses",4)</f>
        <v>53</v>
      </c>
      <c r="FY8" s="64">
        <f>GETPIVOTDATA("Ar. HGS  [Un]",$DF$3,"Meses",5)</f>
        <v>29</v>
      </c>
      <c r="FZ8" s="64">
        <f>GETPIVOTDATA("Ar. HGS  [Un]",$DF$3,"Meses",6)</f>
        <v>28</v>
      </c>
      <c r="GA8" s="64">
        <f>GETPIVOTDATA("Ar. HGS  [Un]",$DF$3,"Meses",7)</f>
        <v>21</v>
      </c>
      <c r="GB8" s="64">
        <f>GETPIVOTDATA("Ar. HGS  [Un]",$DF$3,"Meses",8)</f>
        <v>27</v>
      </c>
      <c r="GC8" s="64">
        <f>GETPIVOTDATA("Ar. HGS  [Un]",$DF$3,"Meses",9)</f>
        <v>0</v>
      </c>
      <c r="GD8" s="64">
        <f>GETPIVOTDATA("Ar. HGS  [Un]",$DF$3,"Meses",10)</f>
        <v>0</v>
      </c>
      <c r="GE8" s="64">
        <f>GETPIVOTDATA("Ar. HGS  [Un]",$DF$3,"Meses",11)</f>
        <v>0</v>
      </c>
      <c r="GF8" s="64">
        <f>GETPIVOTDATA("Ar. HGS  [Un]",$DF$3,"Meses",12)</f>
        <v>0</v>
      </c>
      <c r="GK8" s="37" t="s">
        <v>338</v>
      </c>
      <c r="GL8" s="61">
        <v>324.720193655088</v>
      </c>
      <c r="GM8" s="61">
        <v>331.15917909967197</v>
      </c>
      <c r="GN8" s="61">
        <v>291.26850971988</v>
      </c>
      <c r="GO8" s="61">
        <v>1549.9898507237765</v>
      </c>
      <c r="GP8" s="61">
        <v>1249.1101804843199</v>
      </c>
      <c r="GQ8" s="61">
        <v>292.05208995916797</v>
      </c>
      <c r="GR8" s="61">
        <v>289.76191582984796</v>
      </c>
      <c r="GS8" s="61">
        <v>0</v>
      </c>
      <c r="GT8" s="61">
        <v>0</v>
      </c>
      <c r="GU8" s="61">
        <v>0</v>
      </c>
      <c r="GV8" s="61">
        <v>0</v>
      </c>
      <c r="GW8" s="61">
        <v>0</v>
      </c>
    </row>
    <row r="9" spans="1:227">
      <c r="B9"/>
      <c r="C9"/>
      <c r="D9"/>
      <c r="P9"/>
      <c r="Q9"/>
      <c r="R9"/>
      <c r="S9"/>
      <c r="AA9" s="98"/>
      <c r="AB9" s="11" t="s">
        <v>261</v>
      </c>
      <c r="AC9" s="11" t="s">
        <v>303</v>
      </c>
      <c r="AD9" s="28"/>
      <c r="AF9" s="11" t="s">
        <v>339</v>
      </c>
      <c r="AG9" s="11" t="s">
        <v>303</v>
      </c>
      <c r="AH9" s="28"/>
      <c r="AL9" s="12" t="s">
        <v>137</v>
      </c>
      <c r="AM9" s="117" t="s">
        <v>138</v>
      </c>
      <c r="AN9" s="46">
        <f>IFERROR(INDEX('Horo. M'!$B$3:$U$367,MATCH(AN2,'Horo. M'!$A$3:$A$367,0),MATCH($AL$9,'Horo. M'!$B$1:$U$1,0)),"")</f>
        <v>11967</v>
      </c>
      <c r="AO9" s="46">
        <f>IFERROR(INDEX('Horo. M'!$B$3:$U$367,MATCH(AO2,'Horo. M'!$A$3:$A$367,0),MATCH($AL$9,'Horo. M'!$B$1:$U$1,0)),"")</f>
        <v>11967</v>
      </c>
      <c r="AP9" s="46">
        <f>IFERROR(INDEX('Horo. M'!$B$3:$U$367,MATCH(AP2,'Horo. M'!$A$3:$A$367,0),MATCH($AL$9,'Horo. M'!$B$1:$U$1,0)),"")</f>
        <v>11978</v>
      </c>
      <c r="AQ9" s="46">
        <f>IFERROR(INDEX('Horo. M'!$B$3:$U$367,MATCH(AQ2,'Horo. M'!$A$3:$A$367,0),MATCH($AL$9,'Horo. M'!$B$1:$U$1,0)),"")</f>
        <v>12604</v>
      </c>
      <c r="AR9" s="46">
        <f>IFERROR(INDEX('Horo. M'!$B$3:$U$367,MATCH(AR2,'Horo. M'!$A$3:$A$367,0),MATCH($AL$9,'Horo. M'!$B$1:$U$1,0)),"")</f>
        <v>12983</v>
      </c>
      <c r="AS9" s="46">
        <f>IFERROR(INDEX('Horo. M'!$B$3:$U$367,MATCH(AS2,'Horo. M'!$A$3:$A$367,0),MATCH($AL$9,'Horo. M'!$B$1:$U$1,0)),"")</f>
        <v>13698</v>
      </c>
      <c r="AT9" s="46">
        <f>IFERROR(INDEX('Horo. M'!$B$3:$U$367,MATCH(AT2,'Horo. M'!$A$3:$A$367,0),MATCH($AL$9,'Horo. M'!$B$1:$U$1,0)),"")</f>
        <v>14432</v>
      </c>
      <c r="AU9" s="46">
        <f>IFERROR(INDEX('Horo. M'!$B$3:$U$367,MATCH(AU2,'Horo. M'!$A$3:$A$367,0),MATCH($AL$9,'Horo. M'!$B$1:$U$1,0)),"")</f>
        <v>0</v>
      </c>
      <c r="AV9" s="46">
        <f>IFERROR(INDEX('Horo. M'!$B$3:$U$367,MATCH(AV2,'Horo. M'!$A$3:$A$367,0),MATCH($AL$9,'Horo. M'!$B$1:$U$1,0)),"")</f>
        <v>0</v>
      </c>
      <c r="AW9" s="46">
        <f>IFERROR(INDEX('Horo. M'!$B$3:$U$367,MATCH(AW2,'Horo. M'!$A$3:$A$367,0),MATCH($AL$9,'Horo. M'!$B$1:$U$1,0)),"")</f>
        <v>0</v>
      </c>
      <c r="AX9" s="46">
        <f>IFERROR(INDEX('Horo. M'!$B$3:$U$367,MATCH(AX2,'Horo. M'!$A$3:$A$367,0),MATCH($AL$9,'Horo. M'!$B$1:$U$1,0)),"")</f>
        <v>0</v>
      </c>
      <c r="AY9" s="46">
        <f>IFERROR(INDEX('Horo. M'!$B$3:$U$367,MATCH(AY2,'Horo. M'!$A$3:$A$367,0),MATCH($AL$9,'Horo. M'!$B$1:$U$1,0)),"")</f>
        <v>0</v>
      </c>
      <c r="AZ9" s="46" t="str">
        <f>IFERROR(INDEX('Horo. M'!$B$3:$U$367,MATCH(AZ2,'Horo. M'!$A$3:$A$367,0),MATCH($AL$9,'Horo. M'!$B$1:$U$1,0)),"")</f>
        <v/>
      </c>
      <c r="BB9" s="43" t="s">
        <v>340</v>
      </c>
      <c r="BC9" s="61">
        <v>0</v>
      </c>
      <c r="BD9" s="61">
        <v>1272</v>
      </c>
      <c r="BE9" s="61">
        <v>1272</v>
      </c>
      <c r="BF9" s="61">
        <v>1272</v>
      </c>
      <c r="BI9" s="421" t="s">
        <v>340</v>
      </c>
      <c r="BJ9" s="61">
        <v>1272</v>
      </c>
      <c r="BK9" s="61">
        <v>1261.8854999999999</v>
      </c>
      <c r="BL9" s="61">
        <v>1272</v>
      </c>
      <c r="BO9" s="167"/>
      <c r="BQ9" s="165"/>
      <c r="CH9" s="43" t="s">
        <v>340</v>
      </c>
      <c r="CI9" s="32">
        <v>7.1087659722222201</v>
      </c>
      <c r="CJ9" s="94">
        <v>10.030282612973451</v>
      </c>
      <c r="CL9" s="43" t="s">
        <v>340</v>
      </c>
      <c r="CM9" s="32">
        <v>422.67528377303745</v>
      </c>
      <c r="CN9" s="32">
        <v>1780.5196328939212</v>
      </c>
      <c r="CO9" s="32">
        <v>0</v>
      </c>
      <c r="DF9" s="37" t="s">
        <v>251</v>
      </c>
      <c r="DG9" s="32">
        <v>5248.0199196428557</v>
      </c>
      <c r="DH9" s="32">
        <v>720</v>
      </c>
      <c r="DI9" s="94">
        <v>9333.1986098133839</v>
      </c>
      <c r="DJ9" s="94">
        <v>41542</v>
      </c>
      <c r="DK9" s="94">
        <v>28</v>
      </c>
      <c r="DL9" s="94">
        <v>55539.532287777103</v>
      </c>
      <c r="DM9" s="32">
        <v>594</v>
      </c>
      <c r="DN9" s="32">
        <v>327.87000000000006</v>
      </c>
      <c r="DO9" s="94">
        <v>0</v>
      </c>
      <c r="DQ9" s="143" t="s">
        <v>341</v>
      </c>
      <c r="DR9" s="11">
        <f>GETPIVOTDATA("C. HFO [gal]",$DF$3,"Meses",1)/GETPIVOTDATA("G. HGS [MWh]",$DF$3,"Meses",1)</f>
        <v>0</v>
      </c>
      <c r="DS9" s="11">
        <f>IFERROR(GETPIVOTDATA("C. HFO [gal]",$DF$3,"Meses",2)/GETPIVOTDATA("G. HGS [MWh]",$DF$3,"Meses",2),0)</f>
        <v>0</v>
      </c>
      <c r="DT9" s="11">
        <f>IFERROR(GETPIVOTDATA("C. HFO [gal]",$DF$3,"Meses",3)/GETPIVOTDATA("G. HGS [MWh]",$DF$3,"Meses",3),0)</f>
        <v>0</v>
      </c>
      <c r="DU9" s="11">
        <f>IFERROR(GETPIVOTDATA("C. HFO [gal]",$DF$3,"Meses",4)/GETPIVOTDATA("G. HGS [MWh]",$DF$3,"Meses",4),0)</f>
        <v>0</v>
      </c>
      <c r="DV9" s="11">
        <f>IFERROR(GETPIVOTDATA("C. HFO [gal]",$DF$3,"Meses",5)/GETPIVOTDATA("G. HGS [MWh]",$DF$3,"Meses",5),0)</f>
        <v>0</v>
      </c>
      <c r="DW9" s="11">
        <f>IFERROR(GETPIVOTDATA("C. HFO [gal]",$DF$3,"Meses",6)/GETPIVOTDATA("G. HGS [MWh]",$DF$3,"Meses",6),0)</f>
        <v>0</v>
      </c>
      <c r="DX9" s="11">
        <f>IFERROR(GETPIVOTDATA("C. HFO [gal]",$DF$3,"Meses",7)/GETPIVOTDATA("G. HGS [MWh]",$DF$3,"Meses",7),0)</f>
        <v>0</v>
      </c>
      <c r="DY9" s="11">
        <f>IFERROR(GETPIVOTDATA("C. HFO [gal]",$DF$3,"Meses",8)/GETPIVOTDATA("G. HGS [MWh]",$DF$3,"Meses",8),0)</f>
        <v>0</v>
      </c>
      <c r="DZ9" s="11">
        <f>IFERROR(GETPIVOTDATA("C. HFO [gal]",$DF$3,"Meses",9)/GETPIVOTDATA("G. HGS [MWh]",$DF$3,"Meses",9),0)</f>
        <v>0</v>
      </c>
      <c r="EA9" s="11">
        <f>IFERROR(GETPIVOTDATA("C. HFO [gal]",$DF$3,"Meses",10)/GETPIVOTDATA("G. HGS [MWh]",$DF$3,"Meses",10),0)</f>
        <v>0</v>
      </c>
      <c r="EB9" s="11">
        <f>IFERROR(GETPIVOTDATA("C. HFO [gal]",$DF$3,"Meses",11)/GETPIVOTDATA("G. HGS [MWh]",$DF$3,"Meses",11),0)</f>
        <v>0</v>
      </c>
      <c r="EC9" s="11">
        <f>IFERROR(GETPIVOTDATA("C. HFO [gal]",$DF$3,"Meses",12)/GETPIVOTDATA("G. HGS [MWh]",$DF$3,"Meses",12),0)</f>
        <v>0</v>
      </c>
      <c r="ED9" s="34">
        <f t="shared" si="0"/>
        <v>0</v>
      </c>
      <c r="EF9" s="43" t="s">
        <v>340</v>
      </c>
      <c r="EG9" s="32">
        <v>12168</v>
      </c>
      <c r="EH9" s="32">
        <v>12053.07151148521</v>
      </c>
      <c r="EK9" s="43" t="s">
        <v>340</v>
      </c>
      <c r="EL9" s="32">
        <v>9566.0377358490568</v>
      </c>
      <c r="EM9" s="32">
        <v>9551.6364293632123</v>
      </c>
      <c r="EQ9" s="43" t="s">
        <v>340</v>
      </c>
      <c r="ER9" s="61">
        <v>1495</v>
      </c>
      <c r="ES9" s="61">
        <v>0</v>
      </c>
      <c r="ET9" s="61">
        <v>71</v>
      </c>
      <c r="EU9" s="61">
        <v>0</v>
      </c>
      <c r="EW9" s="43" t="s">
        <v>340</v>
      </c>
      <c r="EX9" s="61">
        <v>1495</v>
      </c>
      <c r="EY9" s="61">
        <v>0</v>
      </c>
      <c r="EZ9" s="61">
        <v>71</v>
      </c>
      <c r="FA9" s="61">
        <v>0</v>
      </c>
      <c r="FB9" s="61">
        <v>0</v>
      </c>
      <c r="FC9" s="61"/>
      <c r="FD9" s="141" t="str">
        <f t="shared" si="4"/>
        <v>5-ene</v>
      </c>
      <c r="FE9" s="11" t="str">
        <f t="shared" si="5"/>
        <v/>
      </c>
      <c r="FF9" s="11" t="str">
        <f t="shared" si="6"/>
        <v/>
      </c>
      <c r="FG9" s="11" t="str">
        <f t="shared" si="7"/>
        <v/>
      </c>
      <c r="FI9" s="141" t="str">
        <f t="shared" si="8"/>
        <v>5-ene</v>
      </c>
      <c r="FJ9" s="11" t="str">
        <f t="shared" si="1"/>
        <v/>
      </c>
      <c r="FK9" s="11" t="str">
        <f t="shared" si="2"/>
        <v/>
      </c>
      <c r="FL9" s="11" t="str">
        <f t="shared" si="3"/>
        <v/>
      </c>
      <c r="FN9" s="141" t="str">
        <f t="shared" si="9"/>
        <v>5-ene</v>
      </c>
      <c r="FO9" s="11" t="str">
        <f t="shared" si="10"/>
        <v/>
      </c>
      <c r="FP9" s="11" t="str">
        <f t="shared" si="11"/>
        <v/>
      </c>
      <c r="FQ9" s="11" t="str">
        <f t="shared" si="12"/>
        <v/>
      </c>
      <c r="GK9" s="37" t="s">
        <v>342</v>
      </c>
      <c r="GL9" s="61">
        <v>0</v>
      </c>
      <c r="GM9" s="61">
        <v>0</v>
      </c>
      <c r="GN9" s="61">
        <v>0</v>
      </c>
      <c r="GO9" s="61">
        <v>0</v>
      </c>
      <c r="GP9" s="61">
        <v>0</v>
      </c>
      <c r="GQ9" s="61">
        <v>0</v>
      </c>
      <c r="GR9" s="61">
        <v>0</v>
      </c>
      <c r="GS9" s="61">
        <v>0</v>
      </c>
      <c r="GT9" s="61">
        <v>0</v>
      </c>
      <c r="GU9" s="61">
        <v>0</v>
      </c>
      <c r="GV9" s="61">
        <v>0</v>
      </c>
      <c r="GW9" s="61">
        <v>0</v>
      </c>
    </row>
    <row r="10" spans="1:227" ht="30">
      <c r="A10" s="486" t="s">
        <v>343</v>
      </c>
      <c r="B10" s="487"/>
      <c r="C10" s="487"/>
      <c r="D10" s="487"/>
      <c r="E10" s="487"/>
      <c r="F10" s="487"/>
      <c r="G10" s="487"/>
      <c r="H10" s="487"/>
      <c r="I10" s="487"/>
      <c r="J10" s="487"/>
      <c r="K10" s="487"/>
      <c r="L10" s="105"/>
      <c r="M10" s="105"/>
      <c r="P10"/>
      <c r="Q10"/>
      <c r="R10"/>
      <c r="S10"/>
      <c r="AA10" s="98"/>
      <c r="AB10" s="11" t="s">
        <v>130</v>
      </c>
      <c r="AC10" s="11">
        <f>GETPIVOTDATA("H Motor 1",$AA$5)</f>
        <v>1835</v>
      </c>
      <c r="AD10" s="66">
        <f>AC10/$Y$6</f>
        <v>0.84953703703703709</v>
      </c>
      <c r="AF10" s="11" t="s">
        <v>130</v>
      </c>
      <c r="AG10" s="115">
        <f>GETPIVOTDATA("H Motor 1",$AA$5)</f>
        <v>1835</v>
      </c>
      <c r="AH10" s="66">
        <f>AG10/$Y$6</f>
        <v>0.84953703703703709</v>
      </c>
      <c r="AL10" s="12" t="s">
        <v>139</v>
      </c>
      <c r="AM10" s="117" t="s">
        <v>140</v>
      </c>
      <c r="AN10" s="46">
        <f>IFERROR(INDEX('Horo. M'!$B$3:$U$367,MATCH(AN2,'Horo. M'!$A$3:$A$367,0),MATCH($AL$10,'Horo. M'!$B$1:$U$1,0)),"")</f>
        <v>15336</v>
      </c>
      <c r="AO10" s="46">
        <f>IFERROR(INDEX('Horo. M'!$B$3:$U$367,MATCH(AO2,'Horo. M'!$A$3:$A$367,0),MATCH($AL$10,'Horo. M'!$B$1:$U$1,0)),"")</f>
        <v>15897</v>
      </c>
      <c r="AP10" s="46">
        <f>IFERROR(INDEX('Horo. M'!$B$3:$U$367,MATCH(AP2,'Horo. M'!$A$3:$A$367,0),MATCH($AL$10,'Horo. M'!$B$1:$U$1,0)),"")</f>
        <v>16478</v>
      </c>
      <c r="AQ10" s="46">
        <f>IFERROR(INDEX('Horo. M'!$B$3:$U$367,MATCH(AQ2,'Horo. M'!$A$3:$A$367,0),MATCH($AL$10,'Horo. M'!$B$1:$U$1,0)),"")</f>
        <v>17150</v>
      </c>
      <c r="AR10" s="46">
        <f>IFERROR(INDEX('Horo. M'!$B$3:$U$367,MATCH(AR2,'Horo. M'!$A$3:$A$367,0),MATCH($AL$10,'Horo. M'!$B$1:$U$1,0)),"")</f>
        <v>17852</v>
      </c>
      <c r="AS10" s="46">
        <f>IFERROR(INDEX('Horo. M'!$B$3:$U$367,MATCH(AS2,'Horo. M'!$A$3:$A$367,0),MATCH($AL$10,'Horo. M'!$B$1:$U$1,0)),"")</f>
        <v>18302</v>
      </c>
      <c r="AT10" s="46">
        <f>IFERROR(INDEX('Horo. M'!$B$3:$U$367,MATCH(AT2,'Horo. M'!$A$3:$A$367,0),MATCH($AL$10,'Horo. M'!$B$1:$U$1,0)),"")</f>
        <v>18542</v>
      </c>
      <c r="AU10" s="46">
        <f>IFERROR(INDEX('Horo. M'!$B$3:$U$367,MATCH(AU2,'Horo. M'!$A$3:$A$367,0),MATCH($AL$10,'Horo. M'!$B$1:$U$1,0)),"")</f>
        <v>0</v>
      </c>
      <c r="AV10" s="46">
        <f>IFERROR(INDEX('Horo. M'!$B$3:$U$367,MATCH(AV2,'Horo. M'!$A$3:$A$367,0),MATCH($AL$10,'Horo. M'!$B$1:$U$1,0)),"")</f>
        <v>0</v>
      </c>
      <c r="AW10" s="46">
        <f>IFERROR(INDEX('Horo. M'!$B$3:$U$367,MATCH(AW2,'Horo. M'!$A$3:$A$367,0),MATCH($AL$10,'Horo. M'!$B$1:$U$1,0)),"")</f>
        <v>0</v>
      </c>
      <c r="AX10" s="46">
        <f>IFERROR(INDEX('Horo. M'!$B$3:$U$367,MATCH(AX2,'Horo. M'!$A$3:$A$367,0),MATCH($AL$10,'Horo. M'!$B$1:$U$1,0)),"")</f>
        <v>0</v>
      </c>
      <c r="AY10" s="46">
        <f>IFERROR(INDEX('Horo. M'!$B$3:$U$367,MATCH(AY2,'Horo. M'!$A$3:$A$367,0),MATCH($AL$10,'Horo. M'!$B$1:$U$1,0)),"")</f>
        <v>0</v>
      </c>
      <c r="BB10" s="43" t="s">
        <v>344</v>
      </c>
      <c r="BC10" s="61">
        <v>0</v>
      </c>
      <c r="BD10" s="61">
        <v>1272</v>
      </c>
      <c r="BE10" s="61">
        <v>1272</v>
      </c>
      <c r="BF10" s="61">
        <v>1278</v>
      </c>
      <c r="BI10" s="421" t="s">
        <v>344</v>
      </c>
      <c r="BJ10" s="61">
        <v>1278</v>
      </c>
      <c r="BK10" s="61">
        <v>1267.991</v>
      </c>
      <c r="BL10" s="61">
        <v>1278</v>
      </c>
      <c r="CH10" s="43" t="s">
        <v>344</v>
      </c>
      <c r="CI10" s="32">
        <v>7.0435220486111119</v>
      </c>
      <c r="CJ10" s="94">
        <v>10.378842959834891</v>
      </c>
      <c r="CL10" s="43" t="s">
        <v>344</v>
      </c>
      <c r="CM10" s="32">
        <v>290.58925759396328</v>
      </c>
      <c r="CN10" s="32">
        <v>1867.6964101721087</v>
      </c>
      <c r="CO10" s="32">
        <v>0</v>
      </c>
      <c r="CQ10" s="191" t="s">
        <v>294</v>
      </c>
      <c r="CR10" s="192">
        <v>1</v>
      </c>
      <c r="CS10" s="192">
        <v>2</v>
      </c>
      <c r="CT10" s="192">
        <v>3</v>
      </c>
      <c r="CU10" s="192">
        <v>4</v>
      </c>
      <c r="CV10" s="192">
        <v>5</v>
      </c>
      <c r="CW10" s="192">
        <v>6</v>
      </c>
      <c r="CX10" s="192">
        <v>7</v>
      </c>
      <c r="CY10" s="192">
        <v>8</v>
      </c>
      <c r="CZ10" s="192">
        <v>9</v>
      </c>
      <c r="DA10" s="192">
        <v>10</v>
      </c>
      <c r="DB10" s="192">
        <v>11</v>
      </c>
      <c r="DC10" s="192">
        <v>12</v>
      </c>
      <c r="DF10" s="37" t="s">
        <v>252</v>
      </c>
      <c r="DG10" s="32">
        <v>5066.7694291666667</v>
      </c>
      <c r="DH10" s="32">
        <v>744</v>
      </c>
      <c r="DI10" s="94">
        <v>9959.2863739021959</v>
      </c>
      <c r="DJ10" s="94">
        <v>40140</v>
      </c>
      <c r="DK10" s="94">
        <v>21</v>
      </c>
      <c r="DL10" s="94">
        <v>55555.382610918597</v>
      </c>
      <c r="DM10" s="32">
        <v>740.47</v>
      </c>
      <c r="DN10" s="32">
        <v>219.90000000000003</v>
      </c>
      <c r="DO10" s="94">
        <v>0</v>
      </c>
      <c r="DQ10" s="143" t="s">
        <v>345</v>
      </c>
      <c r="DR10" s="145">
        <f>GETPIVOTDATA("LO Storage [gal]",$DF$3,"Meses",1)/GETPIVOTDATA("G. HGS [MWh]",$DF$3,"Meses",1)</f>
        <v>0.10566882094325937</v>
      </c>
      <c r="DS10" s="145">
        <f>IFERROR(GETPIVOTDATA("LO Storage [gal]",$DF$3,"Meses",2)/GETPIVOTDATA("G. HGS [MWh]",$DF$3,"Meses",2),0)</f>
        <v>1.355597446353553E-4</v>
      </c>
      <c r="DT10" s="145">
        <f>IFERROR(GETPIVOTDATA("LO Storage [gal]",$DF$3,"Meses",3)/GETPIVOTDATA("G. HGS [MWh]",$DF$3,"Meses",3),0)</f>
        <v>0</v>
      </c>
      <c r="DU10" s="145">
        <f>IFERROR(GETPIVOTDATA("LO Storage [gal]",$DF$3,"Meses",4)/GETPIVOTDATA("G. HGS [MWh]",$DF$3,"Meses",4),0)</f>
        <v>2.1955649587832577E-4</v>
      </c>
      <c r="DV10" s="145">
        <f>IFERROR(GETPIVOTDATA("LO Storage [gal]",$DF$3,"Meses",5)/GETPIVOTDATA("G. HGS [MWh]",$DF$3,"Meses",5),0)</f>
        <v>0</v>
      </c>
      <c r="DW10" s="145">
        <f>IFERROR(GETPIVOTDATA("LO Storage [gal]",$DF$3,"Meses",6)/GETPIVOTDATA("G. HGS [MWh]",$DF$3,"Meses",6),0)</f>
        <v>1.4298781955611189E-2</v>
      </c>
      <c r="DX10" s="145">
        <f>IFERROR(GETPIVOTDATA("LO Storage [gal]",$DF$3,"Meses",7)/GETPIVOTDATA("G. HGS [MWh]",$DF$3,"Meses",7),0)</f>
        <v>1.8447184853014449E-2</v>
      </c>
      <c r="DY10" s="145">
        <f>IFERROR(GETPIVOTDATA("LO Storage [gal]",$DF$3,"Meses",8)/GETPIVOTDATA("G. HGS [MWh]",$DF$3,"Meses",8),0)</f>
        <v>0</v>
      </c>
      <c r="DZ10" s="145">
        <f>IFERROR(GETPIVOTDATA("LO Storage [gal]",$DF$3,"Meses",9)/GETPIVOTDATA("G. HGS [MWh]",$DF$3,"Meses",9),0)</f>
        <v>0</v>
      </c>
      <c r="EA10" s="145">
        <f>IFERROR(GETPIVOTDATA("LO Storage [gal]",$DF$3,"Meses",10)/GETPIVOTDATA("G. HGS [MWh]",$DF$3,"Meses",10),0)</f>
        <v>0</v>
      </c>
      <c r="EB10" s="145">
        <f>IFERROR(GETPIVOTDATA("LO Storage [gal]",$DF$3,"Meses",11)/GETPIVOTDATA("G. HGS [MWh]",$DF$3,"Meses",11),0)</f>
        <v>0</v>
      </c>
      <c r="EC10" s="145">
        <f>IFERROR(GETPIVOTDATA("LO Storage [gal]",$DF$3,"Meses",12)/GETPIVOTDATA("G. HGS [MWh]",$DF$3,"Meses",12),0)</f>
        <v>0</v>
      </c>
      <c r="ED10" s="34">
        <f t="shared" si="0"/>
        <v>1.1564158666033225E-2</v>
      </c>
      <c r="EF10" s="43" t="s">
        <v>344</v>
      </c>
      <c r="EG10" s="32">
        <v>12223</v>
      </c>
      <c r="EH10" s="32">
        <v>12125.362290650266</v>
      </c>
      <c r="EK10" s="43" t="s">
        <v>344</v>
      </c>
      <c r="EL10" s="32">
        <v>9564.1627543035993</v>
      </c>
      <c r="EM10" s="32">
        <v>9562.6564310395479</v>
      </c>
      <c r="EQ10" s="43" t="s">
        <v>344</v>
      </c>
      <c r="ER10" s="61">
        <v>1495</v>
      </c>
      <c r="ES10" s="61">
        <v>0</v>
      </c>
      <c r="ET10" s="61">
        <v>71</v>
      </c>
      <c r="EU10" s="61">
        <v>0</v>
      </c>
      <c r="EW10" s="43" t="s">
        <v>344</v>
      </c>
      <c r="EX10" s="61">
        <v>1495</v>
      </c>
      <c r="EY10" s="61">
        <v>0</v>
      </c>
      <c r="EZ10" s="61">
        <v>71</v>
      </c>
      <c r="FA10" s="61">
        <v>0</v>
      </c>
      <c r="FB10" s="61">
        <v>0</v>
      </c>
      <c r="FC10" s="61"/>
      <c r="FD10" s="141" t="str">
        <f t="shared" si="4"/>
        <v>6-ene</v>
      </c>
      <c r="FE10" s="11" t="str">
        <f t="shared" si="5"/>
        <v/>
      </c>
      <c r="FF10" s="11" t="str">
        <f t="shared" si="6"/>
        <v/>
      </c>
      <c r="FG10" s="11" t="str">
        <f t="shared" si="7"/>
        <v/>
      </c>
      <c r="FI10" s="141" t="str">
        <f t="shared" si="8"/>
        <v>6-ene</v>
      </c>
      <c r="FJ10" s="11" t="str">
        <f t="shared" si="1"/>
        <v/>
      </c>
      <c r="FK10" s="11" t="str">
        <f t="shared" si="2"/>
        <v/>
      </c>
      <c r="FL10" s="11" t="str">
        <f t="shared" si="3"/>
        <v/>
      </c>
      <c r="FN10" s="141" t="str">
        <f t="shared" si="9"/>
        <v>6-ene</v>
      </c>
      <c r="FO10" s="11" t="str">
        <f t="shared" si="10"/>
        <v/>
      </c>
      <c r="FP10" s="11" t="str">
        <f t="shared" si="11"/>
        <v/>
      </c>
      <c r="FQ10" s="11" t="str">
        <f t="shared" si="12"/>
        <v/>
      </c>
      <c r="GK10" s="37" t="s">
        <v>346</v>
      </c>
      <c r="GL10" s="61">
        <v>0</v>
      </c>
      <c r="GM10" s="61">
        <v>0</v>
      </c>
      <c r="GN10" s="61">
        <v>0</v>
      </c>
      <c r="GO10" s="61">
        <v>0</v>
      </c>
      <c r="GP10" s="61">
        <v>0</v>
      </c>
      <c r="GQ10" s="61">
        <v>0</v>
      </c>
      <c r="GR10" s="61">
        <v>0</v>
      </c>
      <c r="GS10" s="61">
        <v>0</v>
      </c>
      <c r="GT10" s="61">
        <v>0</v>
      </c>
      <c r="GU10" s="61">
        <v>0</v>
      </c>
      <c r="GV10" s="61">
        <v>0</v>
      </c>
      <c r="GW10" s="61">
        <v>0</v>
      </c>
    </row>
    <row r="11" spans="1:227">
      <c r="C11"/>
      <c r="D11"/>
      <c r="O11" t="s">
        <v>258</v>
      </c>
      <c r="P11"/>
      <c r="Q11"/>
      <c r="R11"/>
      <c r="S11"/>
      <c r="AB11" s="11" t="s">
        <v>132</v>
      </c>
      <c r="AC11" s="11">
        <f>GETPIVOTDATA("H Motor 2",$AA$5)</f>
        <v>1907</v>
      </c>
      <c r="AD11" s="66">
        <f t="shared" ref="AD11:AD19" si="13">AC11/$Y$6</f>
        <v>0.88287037037037042</v>
      </c>
      <c r="AF11" s="11" t="s">
        <v>132</v>
      </c>
      <c r="AG11" s="115">
        <f>GETPIVOTDATA("H Motor 2",$AA$5)</f>
        <v>1907</v>
      </c>
      <c r="AH11" s="66">
        <f>AG11/$Y$6</f>
        <v>0.88287037037037042</v>
      </c>
      <c r="AL11" s="12" t="s">
        <v>141</v>
      </c>
      <c r="AM11" s="117" t="s">
        <v>142</v>
      </c>
      <c r="AN11" s="46">
        <f>IFERROR(INDEX('Horo. M'!$B$3:$U$367,MATCH(AN2,'Horo. M'!$A$3:$A$367,0),MATCH($AL$11,'Horo. M'!$B$1:$U$1,0)),"")</f>
        <v>15780</v>
      </c>
      <c r="AO11" s="46">
        <f>IFERROR(INDEX('Horo. M'!$B$3:$U$367,MATCH(AO2,'Horo. M'!$A$3:$A$367,0),MATCH($AL$11,'Horo. M'!$B$1:$U$1,0)),"")</f>
        <v>16381</v>
      </c>
      <c r="AP11" s="46">
        <f>IFERROR(INDEX('Horo. M'!$B$3:$U$367,MATCH(AP2,'Horo. M'!$A$3:$A$367,0),MATCH($AL$11,'Horo. M'!$B$1:$U$1,0)),"")</f>
        <v>16881</v>
      </c>
      <c r="AQ11" s="46">
        <f>IFERROR(INDEX('Horo. M'!$B$3:$U$367,MATCH(AQ2,'Horo. M'!$A$3:$A$367,0),MATCH($AL$11,'Horo. M'!$B$1:$U$1,0)),"")</f>
        <v>16890</v>
      </c>
      <c r="AR11" s="46">
        <f>IFERROR(INDEX('Horo. M'!$B$3:$U$367,MATCH(AR2,'Horo. M'!$A$3:$A$367,0),MATCH($AL$11,'Horo. M'!$B$1:$U$1,0)),"")</f>
        <v>17591</v>
      </c>
      <c r="AS11" s="46">
        <f>IFERROR(INDEX('Horo. M'!$B$3:$U$367,MATCH(AS2,'Horo. M'!$A$3:$A$367,0),MATCH($AL$11,'Horo. M'!$B$1:$U$1,0)),"")</f>
        <v>18288</v>
      </c>
      <c r="AT11" s="46">
        <f>IFERROR(INDEX('Horo. M'!$B$3:$U$367,MATCH(AT2,'Horo. M'!$A$3:$A$367,0),MATCH($AL$11,'Horo. M'!$B$1:$U$1,0)),"")</f>
        <v>19032</v>
      </c>
      <c r="AU11" s="46">
        <f>IFERROR(INDEX('Horo. M'!$B$3:$U$367,MATCH(AU2,'Horo. M'!$A$3:$A$367,0),MATCH($AL$11,'Horo. M'!$B$1:$U$1,0)),"")</f>
        <v>0</v>
      </c>
      <c r="AV11" s="46">
        <f>IFERROR(INDEX('Horo. M'!$B$3:$U$367,MATCH(AV2,'Horo. M'!$A$3:$A$367,0),MATCH($AL$11,'Horo. M'!$B$1:$U$1,0)),"")</f>
        <v>0</v>
      </c>
      <c r="AW11" s="46">
        <f>IFERROR(INDEX('Horo. M'!$B$3:$U$367,MATCH(AW2,'Horo. M'!$A$3:$A$367,0),MATCH($AL$11,'Horo. M'!$B$1:$U$1,0)),"")</f>
        <v>0</v>
      </c>
      <c r="AX11" s="46">
        <f>IFERROR(INDEX('Horo. M'!$B$3:$U$367,MATCH(AX2,'Horo. M'!$A$3:$A$367,0),MATCH($AL$11,'Horo. M'!$B$1:$U$1,0)),"")</f>
        <v>0</v>
      </c>
      <c r="AY11" s="46">
        <f>IFERROR(INDEX('Horo. M'!$B$3:$U$367,MATCH(AY2,'Horo. M'!$A$3:$A$367,0),MATCH($AL$11,'Horo. M'!$B$1:$U$1,0)),"")</f>
        <v>0</v>
      </c>
      <c r="BB11" s="43" t="s">
        <v>347</v>
      </c>
      <c r="BC11" s="61">
        <v>0</v>
      </c>
      <c r="BD11" s="61">
        <v>1264</v>
      </c>
      <c r="BE11" s="61">
        <v>1264</v>
      </c>
      <c r="BF11" s="61">
        <v>1288</v>
      </c>
      <c r="BI11" s="421" t="s">
        <v>347</v>
      </c>
      <c r="BJ11" s="61">
        <v>1288</v>
      </c>
      <c r="BK11" s="61">
        <v>1277.5884000000001</v>
      </c>
      <c r="BL11" s="61">
        <v>1288</v>
      </c>
      <c r="CH11" s="43" t="s">
        <v>347</v>
      </c>
      <c r="CI11" s="32">
        <v>7.5502346230158714</v>
      </c>
      <c r="CJ11" s="94">
        <v>9.1774454234408989</v>
      </c>
      <c r="CL11" s="43" t="s">
        <v>347</v>
      </c>
      <c r="CM11" s="32">
        <v>1928.4559822144838</v>
      </c>
      <c r="CN11" s="32">
        <v>1693.3428556157312</v>
      </c>
      <c r="CO11" s="32">
        <v>0</v>
      </c>
      <c r="CQ11" s="177" t="s">
        <v>320</v>
      </c>
      <c r="CR11" s="178">
        <f>IFERROR((VLOOKUP(CQ11,$CQ$5:$CX$7,2,0)),"")</f>
        <v>32088</v>
      </c>
      <c r="CS11" s="178">
        <f>IFERROR((VLOOKUP(CQ11,$CQ$5:$CX$7,3,0)),"")</f>
        <v>33001</v>
      </c>
      <c r="CT11" s="178">
        <f>IFERROR((VLOOKUP(CQ11,$CQ$5:$CX$7,4,0)),"")</f>
        <v>10981</v>
      </c>
      <c r="CU11" s="178">
        <f>IFERROR((VLOOKUP(CQ11,$CQ$5:$CX$7,5,0)),"")</f>
        <v>354296</v>
      </c>
      <c r="CV11" s="178">
        <f>IFERROR((VLOOKUP(CQ11,$CQ$5:$CX$7,6,0)),"")</f>
        <v>264081</v>
      </c>
      <c r="CW11" s="178">
        <f>IFERROR((VLOOKUP(CQ11,$CQ$5:$CX$7,7,0)),"")</f>
        <v>22044</v>
      </c>
      <c r="CX11" s="178">
        <f>IFERROR((VLOOKUP(CQ11,$CQ$5:$CX$7,8,0)),"")</f>
        <v>21707</v>
      </c>
      <c r="CY11" s="178">
        <f>IFERROR((VLOOKUP($CQ$11,$CQ$5:CY7,9,0)),"")</f>
        <v>0</v>
      </c>
      <c r="CZ11" s="178">
        <f>IFERROR((VLOOKUP(CQ11,$CQ$5:CZ7,10,0)),"")</f>
        <v>0</v>
      </c>
      <c r="DA11" s="178">
        <f>IFERROR((VLOOKUP(CQ11,$CQ$5:DA7,11,0)),"")</f>
        <v>0</v>
      </c>
      <c r="DB11" s="178">
        <f>IFERROR((VLOOKUP($CQ$11,$CQ$5:DB7,12,0)),"")</f>
        <v>0</v>
      </c>
      <c r="DC11" s="178">
        <f>IFERROR((VLOOKUP($CQ$11,$CQ$5:DC7,13,0)),"")</f>
        <v>0</v>
      </c>
      <c r="DF11" s="37" t="s">
        <v>253</v>
      </c>
      <c r="DG11" s="32">
        <v>3598.6809789682538</v>
      </c>
      <c r="DI11" s="94">
        <v>0</v>
      </c>
      <c r="DK11" s="94">
        <v>27</v>
      </c>
      <c r="DL11" s="94">
        <v>37718.48563569643</v>
      </c>
      <c r="DM11" s="32">
        <v>0</v>
      </c>
      <c r="DN11" s="32">
        <v>0</v>
      </c>
      <c r="DO11" s="94">
        <v>0</v>
      </c>
      <c r="DQ11" s="143" t="s">
        <v>348</v>
      </c>
      <c r="DR11" s="145">
        <f>B48/GETPIVOTDATA("G. HGS [MWh]",$DF$3,"Meses",1)</f>
        <v>2.8017937219730936E-3</v>
      </c>
      <c r="DS11" s="145">
        <f>IFERROR(C48/GETPIVOTDATA("G. HGS [MWh]",$DF$3,"Meses",2),0)</f>
        <v>4.016420782552918E-3</v>
      </c>
      <c r="DT11" s="145">
        <f>IFERROR(D48/GETPIVOTDATA("G. HGS [MWh]",$DF$3,"Meses",3),0)</f>
        <v>5.9734732257745223E-3</v>
      </c>
      <c r="DU11" s="145">
        <f>IFERROR(E48/GETPIVOTDATA("G. HGS [MWh]",$DF$3,"Meses",4),0)</f>
        <v>8.5327638170894799E-3</v>
      </c>
      <c r="DV11" s="145">
        <f>IFERROR(F48/GETPIVOTDATA("G. HGS [MWh]",$DF$3,"Meses",5),0)</f>
        <v>-6.8846659712458623E-3</v>
      </c>
      <c r="DW11" s="145">
        <f>IFERROR(G48/GETPIVOTDATA("G. HGS [MWh]",$DF$3,"Meses",6),0)</f>
        <v>-1.7844591016320825E-3</v>
      </c>
      <c r="DX11" s="145">
        <f>IFERROR(H48/GETPIVOTDATA("G. HGS [MWh]",$DF$3,"Meses",7),0)</f>
        <v>1.3791728948679624E-3</v>
      </c>
      <c r="DY11" s="145">
        <f>IFERROR(I48/GETPIVOTDATA("G. HGS [MWh]",$DF$3,"Meses",8),0)</f>
        <v>0</v>
      </c>
      <c r="DZ11" s="145">
        <f>IFERROR(J48/GETPIVOTDATA("G. HGS [MWh]",$DF$3,"Meses",9),0)</f>
        <v>0</v>
      </c>
      <c r="EA11" s="145">
        <f>IFERROR(K48/GETPIVOTDATA("G. HGS [MWh]",$DF$3,"Meses",10),0)</f>
        <v>0</v>
      </c>
      <c r="EB11" s="145">
        <f>IFERROR(L48/GETPIVOTDATA("G. HGS [MWh]",$DF$3,"Meses",11),0)</f>
        <v>0</v>
      </c>
      <c r="EC11" s="145">
        <f>IFERROR(M48/GETPIVOTDATA("G. HGS [MWh]",$DF$3,"Meses",12),0)</f>
        <v>0</v>
      </c>
      <c r="ED11" s="34">
        <f t="shared" si="0"/>
        <v>1.1695416141150026E-3</v>
      </c>
      <c r="EF11" s="43" t="s">
        <v>347</v>
      </c>
      <c r="EG11" s="32">
        <v>11981</v>
      </c>
      <c r="EH11" s="32">
        <v>11876.689045921421</v>
      </c>
      <c r="EK11" s="43" t="s">
        <v>347</v>
      </c>
      <c r="EL11" s="32">
        <v>9302.0186335403723</v>
      </c>
      <c r="EM11" s="32">
        <v>9296.1778972957327</v>
      </c>
      <c r="EQ11" s="43" t="s">
        <v>347</v>
      </c>
      <c r="ER11" s="61">
        <v>1505</v>
      </c>
      <c r="ES11" s="61">
        <v>0</v>
      </c>
      <c r="ET11" s="61">
        <v>80</v>
      </c>
      <c r="EU11" s="61">
        <v>0</v>
      </c>
      <c r="EW11" s="43" t="s">
        <v>347</v>
      </c>
      <c r="EX11" s="61">
        <v>1505</v>
      </c>
      <c r="EY11" s="61">
        <v>0</v>
      </c>
      <c r="EZ11" s="61">
        <v>80</v>
      </c>
      <c r="FA11" s="61">
        <v>0</v>
      </c>
      <c r="FB11" s="61">
        <v>0</v>
      </c>
      <c r="FC11" s="61"/>
      <c r="FD11" s="141" t="str">
        <f t="shared" si="4"/>
        <v>7-ene</v>
      </c>
      <c r="FE11" s="11" t="str">
        <f t="shared" si="5"/>
        <v/>
      </c>
      <c r="FF11" s="11" t="str">
        <f t="shared" si="6"/>
        <v/>
      </c>
      <c r="FG11" s="11" t="str">
        <f t="shared" si="7"/>
        <v/>
      </c>
      <c r="FI11" s="141" t="str">
        <f t="shared" si="8"/>
        <v>7-ene</v>
      </c>
      <c r="FJ11" s="11" t="str">
        <f t="shared" si="1"/>
        <v/>
      </c>
      <c r="FK11" s="11" t="str">
        <f t="shared" si="2"/>
        <v/>
      </c>
      <c r="FL11" s="11" t="str">
        <f t="shared" si="3"/>
        <v/>
      </c>
      <c r="FN11" s="141" t="str">
        <f t="shared" si="9"/>
        <v>7-ene</v>
      </c>
      <c r="FO11" s="11" t="str">
        <f t="shared" si="10"/>
        <v/>
      </c>
      <c r="FP11" s="11" t="str">
        <f t="shared" si="11"/>
        <v/>
      </c>
      <c r="FQ11" s="11" t="str">
        <f t="shared" si="12"/>
        <v/>
      </c>
      <c r="GK11" s="37" t="s">
        <v>349</v>
      </c>
      <c r="GL11" s="61">
        <v>0</v>
      </c>
      <c r="GM11" s="61">
        <v>7.536754861943999</v>
      </c>
      <c r="GN11" s="61">
        <v>22.712470704000001</v>
      </c>
      <c r="GO11" s="61">
        <v>22.708685292216</v>
      </c>
      <c r="GP11" s="61">
        <v>0</v>
      </c>
      <c r="GQ11" s="61">
        <v>22.659474939024001</v>
      </c>
      <c r="GR11" s="61">
        <v>22.712470704000001</v>
      </c>
      <c r="GS11" s="61">
        <v>0</v>
      </c>
      <c r="GT11" s="61">
        <v>0</v>
      </c>
      <c r="GU11" s="61">
        <v>0</v>
      </c>
      <c r="GV11" s="61">
        <v>0</v>
      </c>
      <c r="GW11" s="61">
        <v>0</v>
      </c>
    </row>
    <row r="12" spans="1:227">
      <c r="B12" t="s">
        <v>246</v>
      </c>
      <c r="C12" s="61" t="s">
        <v>247</v>
      </c>
      <c r="D12" s="61" t="s">
        <v>248</v>
      </c>
      <c r="E12" s="61" t="s">
        <v>249</v>
      </c>
      <c r="F12" s="61" t="s">
        <v>250</v>
      </c>
      <c r="G12" s="61" t="s">
        <v>251</v>
      </c>
      <c r="H12" s="61" t="s">
        <v>252</v>
      </c>
      <c r="I12" s="61" t="s">
        <v>253</v>
      </c>
      <c r="J12" s="61" t="s">
        <v>254</v>
      </c>
      <c r="K12" s="61" t="s">
        <v>255</v>
      </c>
      <c r="L12" s="61" t="s">
        <v>256</v>
      </c>
      <c r="M12" s="61" t="s">
        <v>257</v>
      </c>
      <c r="O12" s="36" t="s">
        <v>153</v>
      </c>
      <c r="P12" t="s">
        <v>260</v>
      </c>
      <c r="Q12"/>
      <c r="R12"/>
      <c r="S12"/>
      <c r="AB12" s="11" t="s">
        <v>134</v>
      </c>
      <c r="AC12" s="11">
        <f>GETPIVOTDATA("H Motor 3",$AA$5)</f>
        <v>1925</v>
      </c>
      <c r="AD12" s="66">
        <f t="shared" si="13"/>
        <v>0.89120370370370372</v>
      </c>
      <c r="AF12" s="11" t="s">
        <v>134</v>
      </c>
      <c r="AG12" s="115">
        <f>GETPIVOTDATA("H Motor 3",$AA$5)</f>
        <v>1925</v>
      </c>
      <c r="AH12" s="66">
        <f>AG12/$Y$6</f>
        <v>0.89120370370370372</v>
      </c>
      <c r="AL12" s="12" t="s">
        <v>143</v>
      </c>
      <c r="AM12" s="117" t="s">
        <v>144</v>
      </c>
      <c r="AN12" s="46">
        <f>IFERROR(INDEX('Horo. M'!$B$3:$U$367,MATCH(AN2,'Horo. M'!$A$3:$A$367,0),MATCH($AL$12,'Horo. M'!$B$1:$U$1,0)),"")</f>
        <v>15568</v>
      </c>
      <c r="AO12" s="46">
        <f>IFERROR(INDEX('Horo. M'!$B$3:$U$367,MATCH(AO2,'Horo. M'!$A$3:$A$367,0),MATCH($AL$12,'Horo. M'!$B$1:$U$1,0)),"")</f>
        <v>16155</v>
      </c>
      <c r="AP12" s="46">
        <f>IFERROR(INDEX('Horo. M'!$B$3:$U$367,MATCH(AP2,'Horo. M'!$A$3:$A$367,0),MATCH($AL$12,'Horo. M'!$B$1:$U$1,0)),"")</f>
        <v>16877</v>
      </c>
      <c r="AQ12" s="46">
        <f>IFERROR(INDEX('Horo. M'!$B$3:$U$367,MATCH(AQ2,'Horo. M'!$A$3:$A$367,0),MATCH($AL$12,'Horo. M'!$B$1:$U$1,0)),"")</f>
        <v>17583</v>
      </c>
      <c r="AR12" s="46">
        <f>IFERROR(INDEX('Horo. M'!$B$3:$U$367,MATCH(AR2,'Horo. M'!$A$3:$A$367,0),MATCH($AL$12,'Horo. M'!$B$1:$U$1,0)),"")</f>
        <v>18039</v>
      </c>
      <c r="AS12" s="46">
        <f>IFERROR(INDEX('Horo. M'!$B$3:$U$367,MATCH(AS2,'Horo. M'!$A$3:$A$367,0),MATCH($AL$12,'Horo. M'!$B$1:$U$1,0)),"")</f>
        <v>18356</v>
      </c>
      <c r="AT12" s="46">
        <f>IFERROR(INDEX('Horo. M'!$B$3:$U$367,MATCH(AT2,'Horo. M'!$A$3:$A$367,0),MATCH($AL$12,'Horo. M'!$B$1:$U$1,0)),"")</f>
        <v>19079</v>
      </c>
      <c r="AU12" s="46">
        <f>IFERROR(INDEX('Horo. M'!$B$3:$U$367,MATCH(AU2,'Horo. M'!$A$3:$A$367,0),MATCH($AL$12,'Horo. M'!$B$1:$U$1,0)),"")</f>
        <v>0</v>
      </c>
      <c r="AV12" s="46">
        <f>IFERROR(INDEX('Horo. M'!$B$3:$U$367,MATCH(AV2,'Horo. M'!$A$3:$A$367,0),MATCH($AL$12,'Horo. M'!$B$1:$U$1,0)),"")</f>
        <v>0</v>
      </c>
      <c r="AW12" s="46">
        <f>IFERROR(INDEX('Horo. M'!$B$3:$U$367,MATCH(AW2,'Horo. M'!$A$3:$A$367,0),MATCH($AL$12,'Horo. M'!$B$1:$U$1,0)),"")</f>
        <v>0</v>
      </c>
      <c r="AX12" s="46">
        <f>IFERROR(INDEX('Horo. M'!$B$3:$U$367,MATCH(AX2,'Horo. M'!$A$3:$A$367,0),MATCH($AL$12,'Horo. M'!$B$1:$U$1,0)),"")</f>
        <v>0</v>
      </c>
      <c r="AY12" s="46">
        <f>IFERROR(INDEX('Horo. M'!$B$3:$U$367,MATCH(AY2,'Horo. M'!$A$3:$A$367,0),MATCH($AL$12,'Horo. M'!$B$1:$U$1,0)),"")</f>
        <v>0</v>
      </c>
      <c r="BB12" s="43" t="s">
        <v>350</v>
      </c>
      <c r="BC12" s="61">
        <v>0</v>
      </c>
      <c r="BD12" s="61">
        <v>978</v>
      </c>
      <c r="BE12" s="61">
        <v>978</v>
      </c>
      <c r="BF12" s="61">
        <v>997</v>
      </c>
      <c r="BI12" s="421" t="s">
        <v>350</v>
      </c>
      <c r="BJ12" s="61">
        <v>997</v>
      </c>
      <c r="BK12" s="61">
        <v>986.96830000000011</v>
      </c>
      <c r="BL12" s="61">
        <v>997</v>
      </c>
      <c r="CH12" s="43" t="s">
        <v>350</v>
      </c>
      <c r="CI12" s="32">
        <v>6.9479789583333327</v>
      </c>
      <c r="CJ12" s="94">
        <v>8.7106731658245558</v>
      </c>
      <c r="CL12" s="43" t="s">
        <v>350</v>
      </c>
      <c r="CM12" s="32">
        <v>501.92689948048201</v>
      </c>
      <c r="CN12" s="32">
        <v>1363.1277901680462</v>
      </c>
      <c r="CO12" s="32">
        <v>0</v>
      </c>
      <c r="CQ12" s="179" t="s">
        <v>326</v>
      </c>
      <c r="CR12" s="178">
        <f>IFERROR((VLOOKUP(CQ12,$CQ$5:$CX$7,2,0)),"")</f>
        <v>53694</v>
      </c>
      <c r="CS12" s="178">
        <f>IFERROR((VLOOKUP(CQ12,$CQ$5:$CX$7,3,0)),"")</f>
        <v>54482</v>
      </c>
      <c r="CT12" s="178">
        <f>IFERROR((VLOOKUP(CQ12,$CQ$5:$CX$7,4,0)),"")</f>
        <v>65964</v>
      </c>
      <c r="CU12" s="178">
        <f>IFERROR((VLOOKUP(CQ12,$CQ$5:$CX$7,5,0)),"")</f>
        <v>55168</v>
      </c>
      <c r="CV12" s="178">
        <f>IFERROR((VLOOKUP(CQ12,$CQ$5:$CX$7,6,0)),"")</f>
        <v>65899</v>
      </c>
      <c r="CW12" s="178">
        <f>IFERROR((VLOOKUP(CQ12,$CQ$5:$CX$7,7,0)),"")</f>
        <v>55108</v>
      </c>
      <c r="CX12" s="178">
        <f>IFERROR((VLOOKUP(CQ12,$CQ$5:$CX$7,8,0)),"")</f>
        <v>54840</v>
      </c>
      <c r="CY12" s="178">
        <f>IFERROR((VLOOKUP($CQ$12,$CQ$5:CY7,9,0)),"")</f>
        <v>0</v>
      </c>
      <c r="CZ12" s="178">
        <f>IFERROR((VLOOKUP(CQ12,$CQ$5:CZ7,10,0)),"")</f>
        <v>0</v>
      </c>
      <c r="DA12" s="178">
        <f>IFERROR((VLOOKUP(CQ12,$CQ$5:DA7,11,0)),"")</f>
        <v>0</v>
      </c>
      <c r="DB12" s="178">
        <f>IFERROR((VLOOKUP($CQ$12,$CQ$5:DB7,12,0)),"")</f>
        <v>0</v>
      </c>
      <c r="DC12" s="178">
        <f>IFERROR((VLOOKUP($CQ$12,$CQ$5:DC7,13,0)),"")</f>
        <v>0</v>
      </c>
      <c r="DF12" s="37" t="s">
        <v>254</v>
      </c>
      <c r="DG12" s="32">
        <v>0</v>
      </c>
      <c r="DI12" s="94">
        <v>0</v>
      </c>
      <c r="DK12" s="94">
        <v>0</v>
      </c>
      <c r="DL12" s="94">
        <v>0</v>
      </c>
      <c r="DM12" s="32">
        <v>0</v>
      </c>
      <c r="DN12" s="32">
        <v>0</v>
      </c>
      <c r="DO12" s="94">
        <v>0</v>
      </c>
      <c r="DQ12" s="143"/>
      <c r="DR12" s="145"/>
      <c r="DS12" s="145"/>
      <c r="DT12" s="145"/>
      <c r="DU12" s="145"/>
      <c r="DV12" s="145"/>
      <c r="DW12" s="145"/>
      <c r="DX12" s="145"/>
      <c r="DY12" s="145"/>
      <c r="DZ12" s="145"/>
      <c r="EA12" s="145"/>
      <c r="EB12" s="145"/>
      <c r="EC12" s="145"/>
      <c r="EF12" s="43" t="s">
        <v>350</v>
      </c>
      <c r="EG12" s="32">
        <v>9581</v>
      </c>
      <c r="EH12" s="32">
        <v>9451.9402253428616</v>
      </c>
      <c r="EK12" s="43" t="s">
        <v>350</v>
      </c>
      <c r="EL12" s="32">
        <v>9609.8294884653951</v>
      </c>
      <c r="EM12" s="32">
        <v>9576.7414468558527</v>
      </c>
      <c r="EN12" s="38"/>
      <c r="EQ12" s="43" t="s">
        <v>350</v>
      </c>
      <c r="ER12" s="61">
        <v>1505</v>
      </c>
      <c r="ES12" s="61">
        <v>0</v>
      </c>
      <c r="ET12" s="61">
        <v>71</v>
      </c>
      <c r="EU12" s="61">
        <v>0</v>
      </c>
      <c r="EW12" s="43" t="s">
        <v>350</v>
      </c>
      <c r="EX12" s="61">
        <v>1505</v>
      </c>
      <c r="EY12" s="61">
        <v>0</v>
      </c>
      <c r="EZ12" s="61">
        <v>71</v>
      </c>
      <c r="FA12" s="61">
        <v>0</v>
      </c>
      <c r="FB12" s="61">
        <v>1</v>
      </c>
      <c r="FC12" s="61"/>
      <c r="FD12" s="141" t="str">
        <f t="shared" si="4"/>
        <v>8-ene</v>
      </c>
      <c r="FE12" s="11" t="str">
        <f t="shared" si="5"/>
        <v/>
      </c>
      <c r="FF12" s="11" t="str">
        <f t="shared" si="6"/>
        <v/>
      </c>
      <c r="FG12" s="11" t="str">
        <f t="shared" si="7"/>
        <v/>
      </c>
      <c r="FI12" s="141" t="str">
        <f t="shared" si="8"/>
        <v>8-ene</v>
      </c>
      <c r="FJ12" s="11">
        <f t="shared" si="1"/>
        <v>1</v>
      </c>
      <c r="FK12" s="11">
        <f t="shared" si="2"/>
        <v>71</v>
      </c>
      <c r="FL12" s="11">
        <f t="shared" si="3"/>
        <v>1505</v>
      </c>
      <c r="FN12" s="141" t="str">
        <f t="shared" si="9"/>
        <v>8-ene</v>
      </c>
      <c r="FO12" s="11" t="str">
        <f t="shared" si="10"/>
        <v/>
      </c>
      <c r="FP12" s="11" t="str">
        <f t="shared" si="11"/>
        <v/>
      </c>
      <c r="FQ12" s="11" t="str">
        <f t="shared" si="12"/>
        <v/>
      </c>
    </row>
    <row r="13" spans="1:227">
      <c r="A13" s="37" t="s">
        <v>265</v>
      </c>
      <c r="B13" s="61">
        <v>39379</v>
      </c>
      <c r="C13" s="61">
        <v>41304</v>
      </c>
      <c r="D13" s="61">
        <v>43619</v>
      </c>
      <c r="E13" s="61">
        <v>45344</v>
      </c>
      <c r="F13" s="61">
        <v>56653</v>
      </c>
      <c r="G13" s="61">
        <v>50459</v>
      </c>
      <c r="H13" s="61">
        <v>40464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Q13"/>
      <c r="R13"/>
      <c r="S13"/>
      <c r="AB13" s="11" t="s">
        <v>136</v>
      </c>
      <c r="AC13" s="11">
        <f>GETPIVOTDATA("H Motor 4",$AA$5)</f>
        <v>1777</v>
      </c>
      <c r="AD13" s="66">
        <f t="shared" si="13"/>
        <v>0.82268518518518519</v>
      </c>
      <c r="AF13" s="11" t="s">
        <v>136</v>
      </c>
      <c r="AG13" s="115">
        <f>GETPIVOTDATA("H Motor 4",$AA$5)</f>
        <v>1777</v>
      </c>
      <c r="AH13" s="66">
        <f>AG13/$Y$6</f>
        <v>0.82268518518518519</v>
      </c>
      <c r="AL13" s="12" t="s">
        <v>145</v>
      </c>
      <c r="AM13" s="117" t="s">
        <v>146</v>
      </c>
      <c r="AN13" s="46">
        <f>IFERROR(INDEX('Horo. M'!$B$3:$U$367,MATCH(AN2,'Horo. M'!$A$3:$A$367,0),MATCH($AL$13,'Horo. M'!$B$1:$U$1,0)),"")</f>
        <v>14755</v>
      </c>
      <c r="AO13" s="46">
        <f>IFERROR(INDEX('Horo. M'!$B$3:$U$367,MATCH(AO2,'Horo. M'!$A$3:$A$367,0),MATCH($AL$13,'Horo. M'!$B$1:$U$1,0)),"")</f>
        <v>15357</v>
      </c>
      <c r="AP13" s="46">
        <f>IFERROR(INDEX('Horo. M'!$B$3:$U$367,MATCH(AP2,'Horo. M'!$A$3:$A$367,0),MATCH($AL$13,'Horo. M'!$B$1:$U$1,0)),"")</f>
        <v>15953</v>
      </c>
      <c r="AQ13" s="46">
        <f>IFERROR(INDEX('Horo. M'!$B$3:$U$367,MATCH(AQ2,'Horo. M'!$A$3:$A$367,0),MATCH($AL$13,'Horo. M'!$B$1:$U$1,0)),"")</f>
        <v>16635</v>
      </c>
      <c r="AR13" s="46">
        <f>IFERROR(INDEX('Horo. M'!$B$3:$U$367,MATCH(AR2,'Horo. M'!$A$3:$A$367,0),MATCH($AL$13,'Horo. M'!$B$1:$U$1,0)),"")</f>
        <v>17358</v>
      </c>
      <c r="AS13" s="46">
        <f>IFERROR(INDEX('Horo. M'!$B$3:$U$367,MATCH(AS2,'Horo. M'!$A$3:$A$367,0),MATCH($AL$13,'Horo. M'!$B$1:$U$1,0)),"")</f>
        <v>17620</v>
      </c>
      <c r="AT13" s="46">
        <f>IFERROR(INDEX('Horo. M'!$B$3:$U$367,MATCH(AT2,'Horo. M'!$A$3:$A$367,0),MATCH($AL$13,'Horo. M'!$B$1:$U$1,0)),"")</f>
        <v>18044</v>
      </c>
      <c r="AU13" s="46">
        <f>IFERROR(INDEX('Horo. M'!$B$3:$U$367,MATCH(AU2,'Horo. M'!$A$3:$A$367,0),MATCH($AL$13,'Horo. M'!$B$1:$U$1,0)),"")</f>
        <v>0</v>
      </c>
      <c r="AV13" s="46">
        <f>IFERROR(INDEX('Horo. M'!$B$3:$U$367,MATCH(AV2,'Horo. M'!$A$3:$A$367,0),MATCH($AL$13,'Horo. M'!$B$1:$U$1,0)),"")</f>
        <v>0</v>
      </c>
      <c r="AW13" s="46">
        <f>IFERROR(INDEX('Horo. M'!$B$3:$U$367,MATCH(AW2,'Horo. M'!$A$3:$A$367,0),MATCH($AL$13,'Horo. M'!$B$1:$U$1,0)),"")</f>
        <v>0</v>
      </c>
      <c r="AX13" s="46">
        <f>IFERROR(INDEX('Horo. M'!$B$3:$U$367,MATCH(AX2,'Horo. M'!$A$3:$A$367,0),MATCH($AL$13,'Horo. M'!$B$1:$U$1,0)),"")</f>
        <v>0</v>
      </c>
      <c r="AY13" s="46">
        <f>IFERROR(INDEX('Horo. M'!$B$3:$U$367,MATCH(AY2,'Horo. M'!$A$3:$A$367,0),MATCH($AL$13,'Horo. M'!$B$1:$U$1,0)),"")</f>
        <v>0</v>
      </c>
      <c r="BB13" s="43" t="s">
        <v>351</v>
      </c>
      <c r="BC13" s="61">
        <v>0</v>
      </c>
      <c r="BD13" s="61">
        <v>1264</v>
      </c>
      <c r="BE13" s="61">
        <v>1264</v>
      </c>
      <c r="BF13" s="61">
        <v>1293</v>
      </c>
      <c r="BI13" s="421" t="s">
        <v>351</v>
      </c>
      <c r="BJ13" s="61">
        <v>1293</v>
      </c>
      <c r="BK13" s="61">
        <v>1281.6406999999999</v>
      </c>
      <c r="BL13" s="61">
        <v>1293</v>
      </c>
      <c r="CH13" s="43" t="s">
        <v>351</v>
      </c>
      <c r="CI13" s="32">
        <v>7.1982469426406936</v>
      </c>
      <c r="CJ13" s="94">
        <v>9.2879539043380728</v>
      </c>
      <c r="CL13" s="43" t="s">
        <v>351</v>
      </c>
      <c r="CM13" s="32">
        <v>528.3441047162969</v>
      </c>
      <c r="CN13" s="32">
        <v>1722.4017813751279</v>
      </c>
      <c r="CO13" s="32">
        <v>0</v>
      </c>
      <c r="CQ13" s="179" t="s">
        <v>292</v>
      </c>
      <c r="CR13" s="178">
        <f>IFERROR((VLOOKUP(CQ13,$CQ$5:$CX$7,2,0)),"")</f>
        <v>0</v>
      </c>
      <c r="CS13" s="178">
        <f>IFERROR((VLOOKUP(CQ13,$CQ$5:$CX$7,3,0)),"")</f>
        <v>0</v>
      </c>
      <c r="CT13" s="178">
        <f>IFERROR((VLOOKUP(CQ13,$CQ$5:$CX$7,4,0)),"")</f>
        <v>0</v>
      </c>
      <c r="CU13" s="178">
        <f>IFERROR((VLOOKUP(CQ13,$CQ$5:$CX$7,5,0)),"")</f>
        <v>0</v>
      </c>
      <c r="CV13" s="178">
        <f>IFERROR((VLOOKUP(CQ13,$CQ$5:$CX$7,6,0)),"")</f>
        <v>0</v>
      </c>
      <c r="CW13" s="178">
        <f>IFERROR((VLOOKUP(CQ13,$CQ$5:$CX$7,7,0)),"")</f>
        <v>0</v>
      </c>
      <c r="CX13" s="178">
        <f>IFERROR((VLOOKUP(CQ13,$CQ$5:$CX$7,8,0)),"")</f>
        <v>0</v>
      </c>
      <c r="CY13" s="178">
        <f>IFERROR((VLOOKUP($CQ$13,$CQ$5:CY7,9,0)),"")</f>
        <v>0</v>
      </c>
      <c r="CZ13" s="178">
        <f>IFERROR((VLOOKUP(CQ13,$CQ$5:CZ7,10,0)),"")</f>
        <v>0</v>
      </c>
      <c r="DA13" s="178">
        <f>IFERROR((VLOOKUP(CQ13,$CQ$5:DA7,11,0)),"")</f>
        <v>0</v>
      </c>
      <c r="DB13" s="178">
        <f>IFERROR((VLOOKUP($CQ$13,$CQ$5:DB7,12,0)),"")</f>
        <v>0</v>
      </c>
      <c r="DC13" s="178">
        <f>IFERROR((VLOOKUP($CQ$13,$CQ$5:DC7,13,0)),"")</f>
        <v>0</v>
      </c>
      <c r="DF13" s="37" t="s">
        <v>255</v>
      </c>
      <c r="DG13" s="32">
        <v>0</v>
      </c>
      <c r="DI13" s="94">
        <v>0</v>
      </c>
      <c r="DK13" s="94">
        <v>0</v>
      </c>
      <c r="DL13" s="94">
        <v>0</v>
      </c>
      <c r="DM13" s="32">
        <v>0</v>
      </c>
      <c r="DN13" s="32">
        <v>0</v>
      </c>
      <c r="DO13" s="94">
        <v>0</v>
      </c>
      <c r="DT13" s="133"/>
      <c r="DU13" s="82"/>
      <c r="DV13" s="82"/>
      <c r="DW13" s="82"/>
      <c r="DX13" s="82"/>
      <c r="DY13" s="82"/>
      <c r="DZ13" s="82"/>
      <c r="EA13" s="82"/>
      <c r="EB13" s="82"/>
      <c r="EC13" s="82"/>
      <c r="EF13" s="43" t="s">
        <v>351</v>
      </c>
      <c r="EG13" s="32">
        <v>12335</v>
      </c>
      <c r="EH13" s="32">
        <v>12153.962000363741</v>
      </c>
      <c r="EK13" s="43" t="s">
        <v>351</v>
      </c>
      <c r="EL13" s="32">
        <v>9539.8298530549109</v>
      </c>
      <c r="EM13" s="32">
        <v>9483.127369756392</v>
      </c>
      <c r="EQ13" s="43" t="s">
        <v>351</v>
      </c>
      <c r="ER13" s="61">
        <v>1505</v>
      </c>
      <c r="ES13" s="61">
        <v>0</v>
      </c>
      <c r="ET13" s="61">
        <v>80</v>
      </c>
      <c r="EU13" s="61">
        <v>0</v>
      </c>
      <c r="EW13" s="43" t="s">
        <v>351</v>
      </c>
      <c r="EX13" s="61">
        <v>1505</v>
      </c>
      <c r="EY13" s="61">
        <v>0</v>
      </c>
      <c r="EZ13" s="61">
        <v>80</v>
      </c>
      <c r="FA13" s="61">
        <v>0</v>
      </c>
      <c r="FB13" s="61">
        <v>1</v>
      </c>
      <c r="FC13" s="61"/>
      <c r="FD13" s="141" t="str">
        <f t="shared" si="4"/>
        <v>9-ene</v>
      </c>
      <c r="FE13" s="11" t="str">
        <f t="shared" si="5"/>
        <v/>
      </c>
      <c r="FF13" s="11" t="str">
        <f t="shared" si="6"/>
        <v/>
      </c>
      <c r="FG13" s="11" t="str">
        <f t="shared" si="7"/>
        <v/>
      </c>
      <c r="FI13" s="141" t="str">
        <f t="shared" si="8"/>
        <v>9-ene</v>
      </c>
      <c r="FJ13" s="11">
        <f t="shared" si="1"/>
        <v>1</v>
      </c>
      <c r="FK13" s="11">
        <f t="shared" si="2"/>
        <v>80</v>
      </c>
      <c r="FL13" s="11">
        <f t="shared" si="3"/>
        <v>1505</v>
      </c>
      <c r="FN13" s="141" t="str">
        <f t="shared" si="9"/>
        <v>9-ene</v>
      </c>
      <c r="FO13" s="11" t="str">
        <f t="shared" si="10"/>
        <v/>
      </c>
      <c r="FP13" s="11" t="str">
        <f t="shared" si="11"/>
        <v/>
      </c>
      <c r="FQ13" s="11" t="str">
        <f t="shared" si="12"/>
        <v/>
      </c>
    </row>
    <row r="14" spans="1:227">
      <c r="A14" s="37" t="s">
        <v>267</v>
      </c>
      <c r="B14" s="61">
        <v>38507.335800000001</v>
      </c>
      <c r="C14" s="61">
        <v>38632.915699999983</v>
      </c>
      <c r="D14" s="61">
        <v>40041.718199999988</v>
      </c>
      <c r="E14" s="61">
        <v>39108.430000000008</v>
      </c>
      <c r="F14" s="61">
        <v>43698.422699999996</v>
      </c>
      <c r="G14" s="61">
        <v>41183.197900000006</v>
      </c>
      <c r="H14" s="61">
        <v>39806.082800000011</v>
      </c>
      <c r="I14" s="61">
        <v>29018.486000000004</v>
      </c>
      <c r="J14" s="61">
        <v>0</v>
      </c>
      <c r="K14" s="61">
        <v>0</v>
      </c>
      <c r="L14" s="61">
        <v>0</v>
      </c>
      <c r="M14" s="61">
        <v>0</v>
      </c>
      <c r="O14" s="39" t="s">
        <v>234</v>
      </c>
      <c r="P14"/>
      <c r="Q14"/>
      <c r="R14"/>
      <c r="S14"/>
      <c r="AB14" s="11" t="s">
        <v>138</v>
      </c>
      <c r="AC14" s="11">
        <f>GETPIVOTDATA("H Motor 5",$AA$5)</f>
        <v>11</v>
      </c>
      <c r="AD14" s="66">
        <f t="shared" si="13"/>
        <v>5.092592592592593E-3</v>
      </c>
      <c r="AF14" s="11" t="s">
        <v>138</v>
      </c>
      <c r="AG14" s="115">
        <f>GETPIVOTDATA("H Motor 5",$AA$5)</f>
        <v>11</v>
      </c>
      <c r="AH14" s="66">
        <f>AG14/$Y$6</f>
        <v>5.092592592592593E-3</v>
      </c>
      <c r="AL14" s="12" t="s">
        <v>147</v>
      </c>
      <c r="AM14" s="117" t="s">
        <v>148</v>
      </c>
      <c r="AN14" s="46">
        <f>IFERROR(INDEX('Horo. M'!$B$3:$U$367,MATCH(AN2,'Horo. M'!$A$3:$A$367,0),MATCH($AL$14,'Horo. M'!$B$1:$U$1,0)),"")</f>
        <v>12494</v>
      </c>
      <c r="AO14" s="46">
        <f>IFERROR(INDEX('Horo. M'!$B$3:$U$367,MATCH(AO2,'Horo. M'!$A$3:$A$367,0),MATCH($AL$14,'Horo. M'!$B$1:$U$1,0)),"")</f>
        <v>13132</v>
      </c>
      <c r="AP14" s="46">
        <f>IFERROR(INDEX('Horo. M'!$B$3:$U$367,MATCH(AP2,'Horo. M'!$A$3:$A$367,0),MATCH($AL$14,'Horo. M'!$B$1:$U$1,0)),"")</f>
        <v>13832</v>
      </c>
      <c r="AQ14" s="46">
        <f>IFERROR(INDEX('Horo. M'!$B$3:$U$367,MATCH(AQ2,'Horo. M'!$A$3:$A$367,0),MATCH($AL$14,'Horo. M'!$B$1:$U$1,0)),"")</f>
        <v>14505</v>
      </c>
      <c r="AR14" s="46">
        <f>IFERROR(INDEX('Horo. M'!$B$3:$U$367,MATCH(AR2,'Horo. M'!$A$3:$A$367,0),MATCH($AL$14,'Horo. M'!$B$1:$U$1,0)),"")</f>
        <v>15209</v>
      </c>
      <c r="AS14" s="46">
        <f>IFERROR(INDEX('Horo. M'!$B$3:$U$367,MATCH(AS2,'Horo. M'!$A$3:$A$367,0),MATCH($AL$14,'Horo. M'!$B$1:$U$1,0)),"")</f>
        <v>15890</v>
      </c>
      <c r="AT14" s="46">
        <f>IFERROR(INDEX('Horo. M'!$B$3:$U$367,MATCH(AT2,'Horo. M'!$A$3:$A$367,0),MATCH($AL$14,'Horo. M'!$B$1:$U$1,0)),"")</f>
        <v>16367</v>
      </c>
      <c r="AU14" s="46">
        <f>IFERROR(INDEX('Horo. M'!$B$3:$U$367,MATCH(AU2,'Horo. M'!$A$3:$A$367,0),MATCH($AL$14,'Horo. M'!$B$1:$U$1,0)),"")</f>
        <v>0</v>
      </c>
      <c r="AV14" s="46">
        <f>IFERROR(INDEX('Horo. M'!$B$3:$U$367,MATCH(AV2,'Horo. M'!$A$3:$A$367,0),MATCH($AL$14,'Horo. M'!$B$1:$U$1,0)),"")</f>
        <v>0</v>
      </c>
      <c r="AW14" s="46">
        <f>IFERROR(INDEX('Horo. M'!$B$3:$U$367,MATCH(AW2,'Horo. M'!$A$3:$A$367,0),MATCH($AL$14,'Horo. M'!$B$1:$U$1,0)),"")</f>
        <v>0</v>
      </c>
      <c r="AX14" s="46">
        <f>IFERROR(INDEX('Horo. M'!$B$3:$U$367,MATCH(AX2,'Horo. M'!$A$3:$A$367,0),MATCH($AL$14,'Horo. M'!$B$1:$U$1,0)),"")</f>
        <v>0</v>
      </c>
      <c r="AY14" s="46">
        <f>IFERROR(INDEX('Horo. M'!$B$3:$U$367,MATCH(AY2,'Horo. M'!$A$3:$A$367,0),MATCH($AL$14,'Horo. M'!$B$1:$U$1,0)),"")</f>
        <v>0</v>
      </c>
      <c r="BB14" s="43" t="s">
        <v>352</v>
      </c>
      <c r="BC14" s="61">
        <v>0</v>
      </c>
      <c r="BD14" s="61">
        <v>1488</v>
      </c>
      <c r="BE14" s="61">
        <v>1488</v>
      </c>
      <c r="BF14" s="61">
        <v>1513</v>
      </c>
      <c r="BI14" s="421" t="s">
        <v>352</v>
      </c>
      <c r="BJ14" s="61">
        <v>1513</v>
      </c>
      <c r="BK14" s="61">
        <v>1500.8139000000003</v>
      </c>
      <c r="BL14" s="61">
        <v>1513</v>
      </c>
      <c r="CH14" s="43" t="s">
        <v>352</v>
      </c>
      <c r="CI14" s="32">
        <v>7.2639311507936526</v>
      </c>
      <c r="CJ14" s="94">
        <v>9.361335029993116</v>
      </c>
      <c r="CL14" s="43" t="s">
        <v>352</v>
      </c>
      <c r="CM14" s="32">
        <v>317.00646282977812</v>
      </c>
      <c r="CN14" s="32">
        <v>1933.7394232616457</v>
      </c>
      <c r="CO14" s="32">
        <v>0</v>
      </c>
      <c r="DF14" s="37" t="s">
        <v>256</v>
      </c>
      <c r="DG14" s="32">
        <v>0</v>
      </c>
      <c r="DI14" s="94">
        <v>0</v>
      </c>
      <c r="DK14" s="94">
        <v>0</v>
      </c>
      <c r="DL14" s="94">
        <v>0</v>
      </c>
      <c r="DM14" s="32">
        <v>0</v>
      </c>
      <c r="DN14" s="32">
        <v>0</v>
      </c>
      <c r="DO14" s="94">
        <v>0</v>
      </c>
      <c r="DT14" s="133"/>
      <c r="DU14" s="82"/>
      <c r="DV14" s="82"/>
      <c r="DW14" s="82"/>
      <c r="DX14" s="82"/>
      <c r="DY14" s="82"/>
      <c r="DZ14" s="82"/>
      <c r="EA14" s="82"/>
      <c r="EB14" s="82"/>
      <c r="EC14" s="82"/>
      <c r="EF14" s="43" t="s">
        <v>352</v>
      </c>
      <c r="EG14" s="32">
        <v>14317</v>
      </c>
      <c r="EH14" s="32">
        <v>14222.709514299791</v>
      </c>
      <c r="EK14" s="43" t="s">
        <v>352</v>
      </c>
      <c r="EL14" s="32">
        <v>9462.6569729015209</v>
      </c>
      <c r="EM14" s="32">
        <v>9476.6643048147325</v>
      </c>
      <c r="EQ14" s="43" t="s">
        <v>352</v>
      </c>
      <c r="ER14" s="61">
        <v>1505</v>
      </c>
      <c r="ES14" s="61">
        <v>0</v>
      </c>
      <c r="ET14" s="61">
        <v>80</v>
      </c>
      <c r="EU14" s="61">
        <v>0</v>
      </c>
      <c r="EW14" s="43" t="s">
        <v>352</v>
      </c>
      <c r="EX14" s="61">
        <v>1505</v>
      </c>
      <c r="EY14" s="61">
        <v>0</v>
      </c>
      <c r="EZ14" s="61">
        <v>80</v>
      </c>
      <c r="FA14" s="61">
        <v>0</v>
      </c>
      <c r="FB14" s="61">
        <v>0</v>
      </c>
      <c r="FC14" s="61"/>
      <c r="FD14" s="141" t="str">
        <f t="shared" si="4"/>
        <v>10-ene</v>
      </c>
      <c r="FE14" s="11" t="str">
        <f t="shared" si="5"/>
        <v/>
      </c>
      <c r="FF14" s="11" t="str">
        <f t="shared" si="6"/>
        <v/>
      </c>
      <c r="FG14" s="11" t="str">
        <f t="shared" si="7"/>
        <v/>
      </c>
      <c r="FI14" s="141" t="str">
        <f t="shared" si="8"/>
        <v>10-ene</v>
      </c>
      <c r="FJ14" s="11" t="str">
        <f t="shared" si="1"/>
        <v/>
      </c>
      <c r="FK14" s="11" t="str">
        <f t="shared" si="2"/>
        <v/>
      </c>
      <c r="FL14" s="11" t="str">
        <f t="shared" si="3"/>
        <v/>
      </c>
      <c r="FN14" s="141" t="str">
        <f t="shared" si="9"/>
        <v>10-ene</v>
      </c>
      <c r="FO14" s="11" t="str">
        <f t="shared" si="10"/>
        <v/>
      </c>
      <c r="FP14" s="11" t="str">
        <f t="shared" si="11"/>
        <v/>
      </c>
      <c r="FQ14" s="11" t="str">
        <f t="shared" si="12"/>
        <v/>
      </c>
    </row>
    <row r="15" spans="1:227">
      <c r="A15" s="37" t="s">
        <v>277</v>
      </c>
      <c r="B15" s="61">
        <v>39546.556238014811</v>
      </c>
      <c r="C15" s="61">
        <v>34474.452832738367</v>
      </c>
      <c r="D15" s="61">
        <v>17224.01781375127</v>
      </c>
      <c r="E15" s="61">
        <v>322044.22386824805</v>
      </c>
      <c r="F15" s="61">
        <v>207224.48303130243</v>
      </c>
      <c r="G15" s="61">
        <v>36984.08733014077</v>
      </c>
      <c r="H15" s="61">
        <v>27368.224624304177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O15" s="37" t="s">
        <v>324</v>
      </c>
      <c r="P15" s="61">
        <v>5007</v>
      </c>
      <c r="Q15">
        <f>GETPIVOTDATA("Suma de PO [h]",$O$14)</f>
        <v>5007</v>
      </c>
      <c r="R15" s="100">
        <f>1-P16/(P15+P16)</f>
        <v>0.98504819988195946</v>
      </c>
      <c r="S15" s="101">
        <f>1-R15</f>
        <v>1.4951800118040537E-2</v>
      </c>
      <c r="AB15" s="11" t="s">
        <v>140</v>
      </c>
      <c r="AC15" s="11">
        <f>GETPIVOTDATA("H Motor 6",$AA$5)</f>
        <v>1669</v>
      </c>
      <c r="AD15" s="66">
        <f t="shared" si="13"/>
        <v>0.77268518518518514</v>
      </c>
      <c r="AG15" s="212">
        <f>SUM(AG10:AG14)</f>
        <v>7455</v>
      </c>
      <c r="BB15" s="43" t="s">
        <v>353</v>
      </c>
      <c r="BC15" s="61">
        <v>0</v>
      </c>
      <c r="BD15" s="61">
        <v>1272</v>
      </c>
      <c r="BE15" s="61">
        <v>1272</v>
      </c>
      <c r="BF15" s="61">
        <v>1282</v>
      </c>
      <c r="BI15" s="421" t="s">
        <v>353</v>
      </c>
      <c r="BJ15" s="61">
        <v>1282</v>
      </c>
      <c r="BK15" s="61">
        <v>1270.4966999999997</v>
      </c>
      <c r="BL15" s="61">
        <v>1282</v>
      </c>
      <c r="CH15" s="43" t="s">
        <v>353</v>
      </c>
      <c r="CI15" s="32">
        <v>6.9722390624999981</v>
      </c>
      <c r="CJ15" s="94">
        <v>10.122009020042249</v>
      </c>
      <c r="CL15" s="43" t="s">
        <v>353</v>
      </c>
      <c r="CM15" s="32">
        <v>264.17205235814845</v>
      </c>
      <c r="CN15" s="32">
        <v>1843.9209254598757</v>
      </c>
      <c r="CO15" s="32">
        <v>0</v>
      </c>
      <c r="DF15" s="37" t="s">
        <v>257</v>
      </c>
      <c r="DG15" s="32">
        <v>0</v>
      </c>
      <c r="DI15" s="94">
        <v>0</v>
      </c>
      <c r="DK15" s="94">
        <v>0</v>
      </c>
      <c r="DL15" s="94">
        <v>0</v>
      </c>
      <c r="DM15" s="32">
        <v>0</v>
      </c>
      <c r="DN15" s="32">
        <v>0</v>
      </c>
      <c r="DO15" s="94">
        <v>0</v>
      </c>
      <c r="EF15" s="43" t="s">
        <v>353</v>
      </c>
      <c r="EG15" s="32">
        <v>12259</v>
      </c>
      <c r="EH15" s="32">
        <v>12177.671968810091</v>
      </c>
      <c r="EK15" s="43" t="s">
        <v>353</v>
      </c>
      <c r="EL15" s="32">
        <v>9562.4024960998449</v>
      </c>
      <c r="EM15" s="32">
        <v>9584.9693815104711</v>
      </c>
      <c r="EQ15" s="43" t="s">
        <v>353</v>
      </c>
      <c r="ER15" s="61">
        <v>1505</v>
      </c>
      <c r="ES15" s="61">
        <v>0</v>
      </c>
      <c r="ET15" s="61">
        <v>71</v>
      </c>
      <c r="EU15" s="61">
        <v>0</v>
      </c>
      <c r="EW15" s="43" t="s">
        <v>353</v>
      </c>
      <c r="EX15" s="61">
        <v>1505</v>
      </c>
      <c r="EY15" s="61">
        <v>0</v>
      </c>
      <c r="EZ15" s="61">
        <v>71</v>
      </c>
      <c r="FA15" s="61">
        <v>0</v>
      </c>
      <c r="FB15" s="61">
        <v>0</v>
      </c>
      <c r="FC15" s="61"/>
      <c r="FD15" s="141" t="str">
        <f t="shared" si="4"/>
        <v>11-ene</v>
      </c>
      <c r="FE15" s="11" t="str">
        <f t="shared" si="5"/>
        <v/>
      </c>
      <c r="FF15" s="11" t="str">
        <f t="shared" si="6"/>
        <v/>
      </c>
      <c r="FG15" s="11" t="str">
        <f t="shared" si="7"/>
        <v/>
      </c>
      <c r="FI15" s="141" t="str">
        <f t="shared" si="8"/>
        <v>11-ene</v>
      </c>
      <c r="FJ15" s="11" t="str">
        <f t="shared" si="1"/>
        <v/>
      </c>
      <c r="FK15" s="11" t="str">
        <f t="shared" si="2"/>
        <v/>
      </c>
      <c r="FL15" s="11" t="str">
        <f t="shared" si="3"/>
        <v/>
      </c>
      <c r="FN15" s="141" t="str">
        <f t="shared" si="9"/>
        <v>11-ene</v>
      </c>
      <c r="FO15" s="11" t="str">
        <f t="shared" si="10"/>
        <v/>
      </c>
      <c r="FP15" s="11" t="str">
        <f t="shared" si="11"/>
        <v/>
      </c>
      <c r="FQ15" s="11" t="str">
        <f t="shared" si="12"/>
        <v/>
      </c>
      <c r="GK15" s="28"/>
      <c r="GL15" s="128" t="s">
        <v>246</v>
      </c>
      <c r="GM15" s="128" t="s">
        <v>247</v>
      </c>
      <c r="GN15" s="128" t="s">
        <v>248</v>
      </c>
      <c r="GO15" s="128" t="s">
        <v>249</v>
      </c>
      <c r="GP15" s="128" t="s">
        <v>250</v>
      </c>
      <c r="GQ15" s="128" t="s">
        <v>251</v>
      </c>
      <c r="GR15" s="128" t="s">
        <v>252</v>
      </c>
      <c r="GS15" s="128" t="s">
        <v>253</v>
      </c>
      <c r="GT15" s="128" t="s">
        <v>254</v>
      </c>
      <c r="GU15" s="128" t="s">
        <v>255</v>
      </c>
      <c r="GV15" s="128" t="s">
        <v>256</v>
      </c>
      <c r="GW15" s="128" t="s">
        <v>257</v>
      </c>
    </row>
    <row r="16" spans="1:227">
      <c r="A16" s="37" t="s">
        <v>278</v>
      </c>
      <c r="B16" s="61">
        <v>52681.190681261964</v>
      </c>
      <c r="C16" s="61">
        <v>50530.830175066629</v>
      </c>
      <c r="D16" s="61">
        <v>51915.091729423322</v>
      </c>
      <c r="E16" s="61">
        <v>45818.000760997267</v>
      </c>
      <c r="F16" s="61">
        <v>60133.484278285323</v>
      </c>
      <c r="G16" s="61">
        <v>55539.532287777103</v>
      </c>
      <c r="H16" s="61">
        <v>55555.382610918597</v>
      </c>
      <c r="I16" s="61">
        <v>37718.48563569643</v>
      </c>
      <c r="J16" s="61">
        <v>0</v>
      </c>
      <c r="K16" s="61">
        <v>0</v>
      </c>
      <c r="L16" s="61">
        <v>0</v>
      </c>
      <c r="M16" s="61">
        <v>0</v>
      </c>
      <c r="O16" s="37" t="s">
        <v>330</v>
      </c>
      <c r="P16" s="61">
        <v>76</v>
      </c>
      <c r="Q16"/>
      <c r="R16" s="100">
        <f>P16/(P15+P16)</f>
        <v>1.4951800118040526E-2</v>
      </c>
      <c r="S16" s="101">
        <f>1-R16</f>
        <v>0.98504819988195946</v>
      </c>
      <c r="AB16" s="11" t="s">
        <v>142</v>
      </c>
      <c r="AC16" s="11">
        <f>GETPIVOTDATA("H Motor 7",$AA$5)</f>
        <v>1725</v>
      </c>
      <c r="AD16" s="66">
        <f t="shared" si="13"/>
        <v>0.79861111111111116</v>
      </c>
      <c r="AQ16" s="119"/>
      <c r="AR16" s="119"/>
      <c r="AS16" s="119"/>
      <c r="AT16" s="119"/>
      <c r="AU16" s="119"/>
      <c r="AV16" s="119"/>
      <c r="AW16" s="119"/>
      <c r="AX16" s="119"/>
      <c r="AY16" s="119"/>
      <c r="BB16" s="43" t="s">
        <v>354</v>
      </c>
      <c r="BC16" s="61">
        <v>0</v>
      </c>
      <c r="BD16" s="61">
        <v>1272</v>
      </c>
      <c r="BE16" s="61">
        <v>1272</v>
      </c>
      <c r="BF16" s="61">
        <v>1288</v>
      </c>
      <c r="BI16" s="421" t="s">
        <v>354</v>
      </c>
      <c r="BJ16" s="61">
        <v>1288</v>
      </c>
      <c r="BK16" s="61">
        <v>1277.5336</v>
      </c>
      <c r="BL16" s="61">
        <v>1288</v>
      </c>
      <c r="CH16" s="43" t="s">
        <v>354</v>
      </c>
      <c r="CI16" s="32">
        <v>6.9185159722222211</v>
      </c>
      <c r="CJ16" s="94">
        <v>8.2828945583127798</v>
      </c>
      <c r="CL16" s="43" t="s">
        <v>354</v>
      </c>
      <c r="CM16" s="32">
        <v>317.00646282977812</v>
      </c>
      <c r="CN16" s="32">
        <v>1529.5561831536797</v>
      </c>
      <c r="CO16" s="32">
        <v>0</v>
      </c>
      <c r="CR16"/>
      <c r="DG16"/>
      <c r="DH16"/>
      <c r="DI16"/>
      <c r="DJ16"/>
      <c r="DK16"/>
      <c r="DL16"/>
      <c r="EF16" s="43" t="s">
        <v>354</v>
      </c>
      <c r="EG16" s="32">
        <v>12293</v>
      </c>
      <c r="EH16" s="32">
        <v>12215.769737099996</v>
      </c>
      <c r="EK16" s="43" t="s">
        <v>354</v>
      </c>
      <c r="EL16" s="32">
        <v>9544.2546583850926</v>
      </c>
      <c r="EM16" s="32">
        <v>9561.9948759860381</v>
      </c>
      <c r="EQ16" s="43" t="s">
        <v>354</v>
      </c>
      <c r="ER16" s="61">
        <v>1505</v>
      </c>
      <c r="ES16" s="61">
        <v>0</v>
      </c>
      <c r="ET16" s="61">
        <v>71</v>
      </c>
      <c r="EU16" s="61">
        <v>0</v>
      </c>
      <c r="EW16" s="43" t="s">
        <v>354</v>
      </c>
      <c r="EX16" s="61">
        <v>1505</v>
      </c>
      <c r="EY16" s="61">
        <v>0</v>
      </c>
      <c r="EZ16" s="61">
        <v>71</v>
      </c>
      <c r="FA16" s="61">
        <v>0</v>
      </c>
      <c r="FB16" s="61">
        <v>0</v>
      </c>
      <c r="FC16" s="61"/>
      <c r="FD16" s="141" t="str">
        <f t="shared" si="4"/>
        <v>12-ene</v>
      </c>
      <c r="FE16" s="11" t="str">
        <f t="shared" si="5"/>
        <v/>
      </c>
      <c r="FF16" s="11" t="str">
        <f t="shared" si="6"/>
        <v/>
      </c>
      <c r="FG16" s="11" t="str">
        <f t="shared" si="7"/>
        <v/>
      </c>
      <c r="FI16" s="141" t="str">
        <f t="shared" si="8"/>
        <v>12-ene</v>
      </c>
      <c r="FJ16" s="11" t="str">
        <f t="shared" si="1"/>
        <v/>
      </c>
      <c r="FK16" s="11" t="str">
        <f t="shared" si="2"/>
        <v/>
      </c>
      <c r="FL16" s="11" t="str">
        <f t="shared" si="3"/>
        <v/>
      </c>
      <c r="FN16" s="141" t="str">
        <f t="shared" si="9"/>
        <v>12-ene</v>
      </c>
      <c r="FO16" s="11" t="str">
        <f t="shared" si="10"/>
        <v/>
      </c>
      <c r="FP16" s="11" t="str">
        <f t="shared" si="11"/>
        <v/>
      </c>
      <c r="FQ16" s="11" t="str">
        <f t="shared" si="12"/>
        <v/>
      </c>
      <c r="GK16" s="129" t="s">
        <v>300</v>
      </c>
      <c r="GL16" s="130">
        <v>1</v>
      </c>
      <c r="GM16" s="130">
        <v>2</v>
      </c>
      <c r="GN16" s="130">
        <v>3</v>
      </c>
      <c r="GO16" s="130">
        <v>4</v>
      </c>
      <c r="GP16" s="130">
        <v>5</v>
      </c>
      <c r="GQ16" s="130">
        <v>6</v>
      </c>
      <c r="GR16" s="130">
        <v>7</v>
      </c>
      <c r="GS16" s="130">
        <v>8</v>
      </c>
      <c r="GT16" s="130">
        <v>9</v>
      </c>
      <c r="GU16" s="130">
        <v>10</v>
      </c>
      <c r="GV16" s="130">
        <v>11</v>
      </c>
      <c r="GW16" s="130">
        <v>12</v>
      </c>
    </row>
    <row r="17" spans="1:205">
      <c r="A17" s="37" t="s">
        <v>279</v>
      </c>
      <c r="B17" s="61">
        <v>0</v>
      </c>
      <c r="C17" s="61">
        <v>0</v>
      </c>
      <c r="D17" s="61">
        <v>0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P17"/>
      <c r="Q17"/>
      <c r="R17" s="100"/>
      <c r="S17"/>
      <c r="AB17" s="11" t="s">
        <v>144</v>
      </c>
      <c r="AC17" s="11">
        <f>GETPIVOTDATA("H Motor 8",$AA$5)</f>
        <v>1972</v>
      </c>
      <c r="AD17" s="66">
        <f t="shared" si="13"/>
        <v>0.91296296296296298</v>
      </c>
      <c r="AF17" s="11" t="s">
        <v>355</v>
      </c>
      <c r="AG17" s="11" t="s">
        <v>303</v>
      </c>
      <c r="AH17" s="28"/>
      <c r="AQ17" s="118"/>
      <c r="AR17" s="118"/>
      <c r="AS17" s="118"/>
      <c r="AT17" s="118"/>
      <c r="AU17" s="118"/>
      <c r="AV17" s="118"/>
      <c r="AW17" s="118"/>
      <c r="AX17" s="118"/>
      <c r="AY17" s="118"/>
      <c r="BB17" s="43" t="s">
        <v>356</v>
      </c>
      <c r="BC17" s="61">
        <v>0</v>
      </c>
      <c r="BD17" s="61">
        <v>1272</v>
      </c>
      <c r="BE17" s="61">
        <v>1272</v>
      </c>
      <c r="BF17" s="61">
        <v>1296</v>
      </c>
      <c r="BI17" s="421" t="s">
        <v>356</v>
      </c>
      <c r="BJ17" s="61">
        <v>1296</v>
      </c>
      <c r="BK17" s="61">
        <v>1285.124</v>
      </c>
      <c r="BL17" s="61">
        <v>1296</v>
      </c>
      <c r="CH17" s="43" t="s">
        <v>356</v>
      </c>
      <c r="CI17" s="32">
        <v>6.9581029513888888</v>
      </c>
      <c r="CJ17" s="94">
        <v>10.342152397007373</v>
      </c>
      <c r="CL17" s="43" t="s">
        <v>356</v>
      </c>
      <c r="CM17" s="32">
        <v>264.17205235814845</v>
      </c>
      <c r="CN17" s="32">
        <v>1909.9639385494124</v>
      </c>
      <c r="CO17" s="32">
        <v>0</v>
      </c>
      <c r="CR17"/>
      <c r="DG17"/>
      <c r="DH17"/>
      <c r="DI17"/>
      <c r="DJ17"/>
      <c r="DK17"/>
      <c r="DL17"/>
      <c r="DQ17" s="218"/>
      <c r="EF17" s="43" t="s">
        <v>356</v>
      </c>
      <c r="EG17" s="32">
        <v>12366</v>
      </c>
      <c r="EH17" s="32">
        <v>12284.190936845023</v>
      </c>
      <c r="EK17" s="43" t="s">
        <v>356</v>
      </c>
      <c r="EL17" s="32">
        <v>9541.6666666666661</v>
      </c>
      <c r="EM17" s="32">
        <v>9558.7592612425124</v>
      </c>
      <c r="EQ17" s="43" t="s">
        <v>356</v>
      </c>
      <c r="ER17" s="61">
        <v>1505</v>
      </c>
      <c r="ES17" s="61">
        <v>0</v>
      </c>
      <c r="ET17" s="61">
        <v>71</v>
      </c>
      <c r="EU17" s="61">
        <v>0</v>
      </c>
      <c r="EW17" s="43" t="s">
        <v>356</v>
      </c>
      <c r="EX17" s="61">
        <v>1505</v>
      </c>
      <c r="EY17" s="61">
        <v>0</v>
      </c>
      <c r="EZ17" s="61">
        <v>71</v>
      </c>
      <c r="FA17" s="61">
        <v>0</v>
      </c>
      <c r="FB17" s="61">
        <v>0</v>
      </c>
      <c r="FC17" s="61"/>
      <c r="FD17" s="141" t="str">
        <f t="shared" si="4"/>
        <v>13-ene</v>
      </c>
      <c r="FE17" s="11" t="str">
        <f t="shared" si="5"/>
        <v/>
      </c>
      <c r="FF17" s="11" t="str">
        <f t="shared" si="6"/>
        <v/>
      </c>
      <c r="FG17" s="11" t="str">
        <f t="shared" si="7"/>
        <v/>
      </c>
      <c r="FI17" s="141" t="str">
        <f t="shared" si="8"/>
        <v>13-ene</v>
      </c>
      <c r="FJ17" s="11" t="str">
        <f t="shared" si="1"/>
        <v/>
      </c>
      <c r="FK17" s="11" t="str">
        <f t="shared" si="2"/>
        <v/>
      </c>
      <c r="FL17" s="11" t="str">
        <f t="shared" si="3"/>
        <v/>
      </c>
      <c r="FN17" s="141" t="str">
        <f t="shared" si="9"/>
        <v>13-ene</v>
      </c>
      <c r="FO17" s="11" t="str">
        <f t="shared" si="10"/>
        <v/>
      </c>
      <c r="FP17" s="11" t="str">
        <f t="shared" si="11"/>
        <v/>
      </c>
      <c r="FQ17" s="11" t="str">
        <f t="shared" si="12"/>
        <v/>
      </c>
      <c r="GK17" s="11" t="s">
        <v>323</v>
      </c>
      <c r="GL17" s="132">
        <f>IFERROR((VLOOKUP(GK17,$GK$5:$GR$12,2,0)),"")</f>
        <v>38507335.799999997</v>
      </c>
      <c r="GM17" s="132">
        <f>IFERROR((VLOOKUP($GK$17,$GK$5:$GR$12,3,0)),"")</f>
        <v>38632915.699999996</v>
      </c>
      <c r="GN17" s="132">
        <f>IFERROR((VLOOKUP($GK$17,$GK$5:$GR$12,4,0)),"")</f>
        <v>40041718.200000003</v>
      </c>
      <c r="GO17" s="132">
        <f>IFERROR((VLOOKUP($GK$17,$GK$5:$GR$12,5,0)),"")</f>
        <v>39108430</v>
      </c>
      <c r="GP17" s="132">
        <f>IFERROR((VLOOKUP($GK$17,$GK$5:$GR$12,6,0)),"")</f>
        <v>43698422.700000003</v>
      </c>
      <c r="GQ17" s="132">
        <f>IFERROR((VLOOKUP($GK$17,$GK$5:$GR$12,7,0)),"")</f>
        <v>41183197.900000006</v>
      </c>
      <c r="GR17" s="132">
        <f>IFERROR((VLOOKUP($GK$17,$GK$5:$GR$12,8,0)),"")</f>
        <v>39806082.799999997</v>
      </c>
      <c r="GS17" s="132">
        <f t="shared" ref="GS17:GS23" si="14">IFERROR((VLOOKUP(GK17,$GK$5:$GS$12,9,0)),"")</f>
        <v>29018486</v>
      </c>
      <c r="GT17" s="132">
        <f t="shared" ref="GT17:GT23" si="15">IFERROR((VLOOKUP(GK17,$GK$5:$GT$12,10,0)),"")</f>
        <v>0</v>
      </c>
      <c r="GU17" s="132">
        <f>IFERROR((VLOOKUP(GK17,$GK$5:$GU$12,11,0)),"")</f>
        <v>0</v>
      </c>
      <c r="GV17" s="132">
        <f>IFERROR((VLOOKUP(GK17,$GK$5:$GV$12,12,0)),"")</f>
        <v>0</v>
      </c>
      <c r="GW17" s="132">
        <f>IFERROR((VLOOKUP(GK17,$GK$5:$GW$12,13,0)),"")</f>
        <v>0</v>
      </c>
    </row>
    <row r="18" spans="1:205">
      <c r="A18" s="37" t="s">
        <v>287</v>
      </c>
      <c r="B18" s="61">
        <v>364574.32466958725</v>
      </c>
      <c r="C18" s="61">
        <v>364794.16905270185</v>
      </c>
      <c r="D18" s="61">
        <v>383076.77394625463</v>
      </c>
      <c r="E18" s="61">
        <v>327451.34584037424</v>
      </c>
      <c r="F18" s="61">
        <v>383289.71703632281</v>
      </c>
      <c r="G18" s="61">
        <v>388092.91527129599</v>
      </c>
      <c r="H18" s="61">
        <v>381052.56570910948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P18"/>
      <c r="Q18"/>
      <c r="R18"/>
      <c r="S18"/>
      <c r="AB18" s="11" t="s">
        <v>146</v>
      </c>
      <c r="AC18" s="11">
        <f>GETPIVOTDATA("H Motor 9",$AA$5)</f>
        <v>1809</v>
      </c>
      <c r="AD18" s="66">
        <f t="shared" si="13"/>
        <v>0.83750000000000002</v>
      </c>
      <c r="AF18" s="11" t="s">
        <v>140</v>
      </c>
      <c r="AG18" s="115">
        <f>GETPIVOTDATA("H Motor 6",$AA$5)</f>
        <v>1669</v>
      </c>
      <c r="AH18" s="66">
        <f>AG18/$Y$6</f>
        <v>0.77268518518518514</v>
      </c>
      <c r="AQ18" s="110"/>
      <c r="AR18" s="110"/>
      <c r="AS18" s="110"/>
      <c r="AT18" s="110"/>
      <c r="AU18" s="110"/>
      <c r="AV18" s="110"/>
      <c r="AW18" s="110"/>
      <c r="AX18" s="110"/>
      <c r="AY18" s="110"/>
      <c r="BB18" s="43" t="s">
        <v>357</v>
      </c>
      <c r="BC18" s="61">
        <v>0</v>
      </c>
      <c r="BD18" s="61">
        <v>1272</v>
      </c>
      <c r="BE18" s="61">
        <v>1272</v>
      </c>
      <c r="BF18" s="61">
        <v>1287</v>
      </c>
      <c r="BI18" s="421" t="s">
        <v>357</v>
      </c>
      <c r="BJ18" s="61">
        <v>1287</v>
      </c>
      <c r="BK18" s="61">
        <v>1276.5210999999999</v>
      </c>
      <c r="BL18" s="61">
        <v>1287</v>
      </c>
      <c r="CC18" s="10"/>
      <c r="CD18" s="10"/>
      <c r="CE18" s="10"/>
      <c r="CF18" s="10"/>
      <c r="CH18" s="43" t="s">
        <v>357</v>
      </c>
      <c r="CI18" s="32">
        <v>6.6876043898809518</v>
      </c>
      <c r="CJ18" s="94">
        <v>10.089249588946249</v>
      </c>
      <c r="CL18" s="43" t="s">
        <v>357</v>
      </c>
      <c r="CM18" s="32">
        <v>343.42366806559295</v>
      </c>
      <c r="CN18" s="32">
        <v>1925.814261690901</v>
      </c>
      <c r="CO18" s="32">
        <v>0</v>
      </c>
      <c r="CR18"/>
      <c r="DG18"/>
      <c r="DH18"/>
      <c r="DI18"/>
      <c r="DJ18"/>
      <c r="DK18"/>
      <c r="DL18"/>
      <c r="DQ18" s="218"/>
      <c r="EF18" s="43" t="s">
        <v>357</v>
      </c>
      <c r="EG18" s="32">
        <v>12470</v>
      </c>
      <c r="EH18" s="32">
        <v>12292.63365557963</v>
      </c>
      <c r="EK18" s="43" t="s">
        <v>357</v>
      </c>
      <c r="EL18" s="32">
        <v>9689.1996891996896</v>
      </c>
      <c r="EM18" s="32">
        <v>9629.7927669034452</v>
      </c>
      <c r="EQ18" s="43" t="s">
        <v>357</v>
      </c>
      <c r="ER18" s="61">
        <v>1505</v>
      </c>
      <c r="ES18" s="61">
        <v>0</v>
      </c>
      <c r="ET18" s="61">
        <v>71</v>
      </c>
      <c r="EU18" s="61">
        <v>0</v>
      </c>
      <c r="EW18" s="43" t="s">
        <v>357</v>
      </c>
      <c r="EX18" s="61">
        <v>1505</v>
      </c>
      <c r="EY18" s="61">
        <v>0</v>
      </c>
      <c r="EZ18" s="61">
        <v>71</v>
      </c>
      <c r="FA18" s="61">
        <v>0</v>
      </c>
      <c r="FB18" s="61">
        <v>0</v>
      </c>
      <c r="FC18" s="61"/>
      <c r="FD18" s="141" t="str">
        <f t="shared" si="4"/>
        <v>14-ene</v>
      </c>
      <c r="FE18" s="11" t="str">
        <f t="shared" si="5"/>
        <v/>
      </c>
      <c r="FF18" s="11" t="str">
        <f t="shared" si="6"/>
        <v/>
      </c>
      <c r="FG18" s="11" t="str">
        <f t="shared" si="7"/>
        <v/>
      </c>
      <c r="FI18" s="141" t="str">
        <f t="shared" si="8"/>
        <v>14-ene</v>
      </c>
      <c r="FJ18" s="11" t="str">
        <f t="shared" si="1"/>
        <v/>
      </c>
      <c r="FK18" s="11" t="str">
        <f t="shared" si="2"/>
        <v/>
      </c>
      <c r="FL18" s="11" t="str">
        <f t="shared" si="3"/>
        <v/>
      </c>
      <c r="FN18" s="141" t="str">
        <f t="shared" si="9"/>
        <v>14-ene</v>
      </c>
      <c r="FO18" s="11" t="str">
        <f t="shared" si="10"/>
        <v/>
      </c>
      <c r="FP18" s="11" t="str">
        <f t="shared" si="11"/>
        <v/>
      </c>
      <c r="FQ18" s="11" t="str">
        <f t="shared" si="12"/>
        <v/>
      </c>
      <c r="GK18" s="11" t="s">
        <v>329</v>
      </c>
      <c r="GL18" s="132">
        <f>IFERROR((VLOOKUP($GK$18,$GK$5:$GR$12,2,0)),"")</f>
        <v>10363704</v>
      </c>
      <c r="GM18" s="132">
        <f>IFERROR((VLOOKUP($GK$18,$GK$5:$GR$12,3,0)),"")</f>
        <v>10369433</v>
      </c>
      <c r="GN18" s="132">
        <f>IFERROR((VLOOKUP($GK$18,$GK$5:$GR$12,4,0)),"")</f>
        <v>10889124</v>
      </c>
      <c r="GO18" s="132">
        <f>IFERROR((VLOOKUP($GK$18,$GK$5:$GR$12,5,0)),"")</f>
        <v>9307947</v>
      </c>
      <c r="GP18" s="132">
        <f>IFERROR((VLOOKUP($GK$18,$GK$5:$GR$12,6,0)),"")</f>
        <v>10895177</v>
      </c>
      <c r="GQ18" s="132">
        <f>IFERROR((VLOOKUP($GK$18,$GK$5:$GR$12,7,0)),"")</f>
        <v>11031710</v>
      </c>
      <c r="GR18" s="132">
        <f>IFERROR((VLOOKUP($GK$18,$GK$5:$GR$12,8,0)),"")</f>
        <v>10831585</v>
      </c>
      <c r="GS18" s="132">
        <f t="shared" si="14"/>
        <v>0</v>
      </c>
      <c r="GT18" s="132">
        <f t="shared" si="15"/>
        <v>0</v>
      </c>
      <c r="GU18" s="132">
        <f t="shared" ref="GU18:GU23" si="16">IFERROR((VLOOKUP(GK18,$GK$5:$GU$12,11,0)),"")</f>
        <v>0</v>
      </c>
      <c r="GV18" s="132">
        <f t="shared" ref="GV18:GV23" si="17">IFERROR((VLOOKUP(GK18,$GK$5:$GV$12,12,0)),"")</f>
        <v>0</v>
      </c>
      <c r="GW18" s="132">
        <f t="shared" ref="GW18:GW23" si="18">IFERROR((VLOOKUP(GK18,$GK$5:$GW$12,13,0)),"")</f>
        <v>0</v>
      </c>
    </row>
    <row r="19" spans="1:205">
      <c r="A19" s="37" t="s">
        <v>358</v>
      </c>
      <c r="B19" s="61">
        <v>4123.7257373106968</v>
      </c>
      <c r="C19" s="61">
        <v>5.2834410471629729</v>
      </c>
      <c r="D19" s="61">
        <v>0</v>
      </c>
      <c r="E19" s="61">
        <v>11</v>
      </c>
      <c r="F19" s="61">
        <v>0</v>
      </c>
      <c r="G19" s="61">
        <v>594</v>
      </c>
      <c r="H19" s="61">
        <v>740.47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AB19" s="11" t="s">
        <v>148</v>
      </c>
      <c r="AC19" s="11">
        <f>GETPIVOTDATA("H Motor 10",$AA$5)</f>
        <v>1976</v>
      </c>
      <c r="AD19" s="66">
        <f t="shared" si="13"/>
        <v>0.91481481481481486</v>
      </c>
      <c r="AF19" s="11" t="s">
        <v>142</v>
      </c>
      <c r="AG19" s="115">
        <f>GETPIVOTDATA("H Motor 7",$AA$5)</f>
        <v>1725</v>
      </c>
      <c r="AH19" s="66">
        <f>AG19/$Y$6</f>
        <v>0.79861111111111116</v>
      </c>
      <c r="AQ19" s="82"/>
      <c r="AR19" s="82"/>
      <c r="AS19" s="82"/>
      <c r="AT19" s="82"/>
      <c r="AU19" s="82"/>
      <c r="AV19" s="82"/>
      <c r="AW19" s="82"/>
      <c r="AX19" s="82"/>
      <c r="AY19" s="82"/>
      <c r="BB19" s="43" t="s">
        <v>359</v>
      </c>
      <c r="BC19" s="61">
        <v>0</v>
      </c>
      <c r="BD19" s="61">
        <v>1272</v>
      </c>
      <c r="BE19" s="61">
        <v>1272</v>
      </c>
      <c r="BF19" s="61">
        <v>1290</v>
      </c>
      <c r="BI19" s="421" t="s">
        <v>359</v>
      </c>
      <c r="BJ19" s="61">
        <v>1290</v>
      </c>
      <c r="BK19" s="61">
        <v>1279.1669000000002</v>
      </c>
      <c r="BL19" s="61">
        <v>1290</v>
      </c>
      <c r="BT19" s="38"/>
      <c r="CC19" s="83"/>
      <c r="CD19" s="83"/>
      <c r="CE19" s="83"/>
      <c r="CF19" s="83"/>
      <c r="CH19" s="43" t="s">
        <v>359</v>
      </c>
      <c r="CI19" s="32">
        <v>7.0574094990079361</v>
      </c>
      <c r="CJ19" s="94">
        <v>10.20194203191649</v>
      </c>
      <c r="CL19" s="43" t="s">
        <v>359</v>
      </c>
      <c r="CM19" s="32">
        <v>264.17205235814845</v>
      </c>
      <c r="CN19" s="32">
        <v>1849.2043665070389</v>
      </c>
      <c r="CO19" s="32">
        <v>0</v>
      </c>
      <c r="CR19"/>
      <c r="DG19"/>
      <c r="DH19"/>
      <c r="DI19"/>
      <c r="DJ19"/>
      <c r="DK19"/>
      <c r="DL19"/>
      <c r="DQ19" s="218"/>
      <c r="EF19" s="43" t="s">
        <v>359</v>
      </c>
      <c r="EG19" s="32">
        <v>12426</v>
      </c>
      <c r="EH19" s="32">
        <v>12226.956339423346</v>
      </c>
      <c r="EK19" s="43" t="s">
        <v>359</v>
      </c>
      <c r="EL19" s="32">
        <v>9632.5581395348836</v>
      </c>
      <c r="EM19" s="32">
        <v>9558.5308996217354</v>
      </c>
      <c r="EQ19" s="43" t="s">
        <v>359</v>
      </c>
      <c r="ER19" s="61">
        <v>1505</v>
      </c>
      <c r="ES19" s="61">
        <v>0</v>
      </c>
      <c r="ET19" s="61">
        <v>71</v>
      </c>
      <c r="EU19" s="61">
        <v>0</v>
      </c>
      <c r="EW19" s="43" t="s">
        <v>359</v>
      </c>
      <c r="EX19" s="61">
        <v>1505</v>
      </c>
      <c r="EY19" s="61">
        <v>0</v>
      </c>
      <c r="EZ19" s="61">
        <v>71</v>
      </c>
      <c r="FA19" s="61">
        <v>0</v>
      </c>
      <c r="FB19" s="61">
        <v>0</v>
      </c>
      <c r="FC19" s="61"/>
      <c r="FD19" s="141" t="str">
        <f t="shared" si="4"/>
        <v>15-ene</v>
      </c>
      <c r="FE19" s="11" t="str">
        <f t="shared" si="5"/>
        <v/>
      </c>
      <c r="FF19" s="11" t="str">
        <f t="shared" si="6"/>
        <v/>
      </c>
      <c r="FG19" s="11" t="str">
        <f t="shared" si="7"/>
        <v/>
      </c>
      <c r="FI19" s="141" t="str">
        <f t="shared" si="8"/>
        <v>15-ene</v>
      </c>
      <c r="FJ19" s="11" t="str">
        <f t="shared" si="1"/>
        <v/>
      </c>
      <c r="FK19" s="11" t="str">
        <f t="shared" si="2"/>
        <v/>
      </c>
      <c r="FL19" s="11" t="str">
        <f t="shared" si="3"/>
        <v/>
      </c>
      <c r="FN19" s="141" t="str">
        <f t="shared" si="9"/>
        <v>15-ene</v>
      </c>
      <c r="FO19" s="11" t="str">
        <f t="shared" si="10"/>
        <v/>
      </c>
      <c r="FP19" s="11" t="str">
        <f t="shared" si="11"/>
        <v/>
      </c>
      <c r="FQ19" s="11" t="str">
        <f t="shared" si="12"/>
        <v/>
      </c>
      <c r="GK19" s="11" t="s">
        <v>334</v>
      </c>
      <c r="GL19" s="132">
        <f>IFERROR((VLOOKUP($GK$19,$GK$5:$GR$12,2,0)),"")</f>
        <v>349.12</v>
      </c>
      <c r="GM19" s="132">
        <f>IFERROR((VLOOKUP($GK$19,$GK$5:$GR$12,3,0)),"")</f>
        <v>321.77999999999992</v>
      </c>
      <c r="GN19" s="132">
        <f>IFERROR((VLOOKUP($GK$19,$GK$5:$GR$12,4,0)),"")</f>
        <v>261.71999999999997</v>
      </c>
      <c r="GO19" s="132">
        <f>IFERROR((VLOOKUP($GK$19,$GK$5:$GR$12,5,0)),"")</f>
        <v>1392.5099999999998</v>
      </c>
      <c r="GP19" s="132">
        <f>IFERROR((VLOOKUP($GK$19,$GK$5:$GR$12,6,0)),"")</f>
        <v>1012.0600000000001</v>
      </c>
      <c r="GQ19" s="132">
        <f>IFERROR((VLOOKUP($GK$19,$GK$5:$GR$12,7,0)),"")</f>
        <v>350.24</v>
      </c>
      <c r="GR19" s="132">
        <f>IFERROR((VLOOKUP($GK$19,$GK$5:$GR$12,8,0)),"")</f>
        <v>313.90000000000003</v>
      </c>
      <c r="GS19" s="132">
        <f t="shared" si="14"/>
        <v>142.78</v>
      </c>
      <c r="GT19" s="132">
        <f t="shared" si="15"/>
        <v>0</v>
      </c>
      <c r="GU19" s="132">
        <f t="shared" si="16"/>
        <v>0</v>
      </c>
      <c r="GV19" s="132">
        <f t="shared" si="17"/>
        <v>0</v>
      </c>
      <c r="GW19" s="132">
        <f t="shared" si="18"/>
        <v>0</v>
      </c>
    </row>
    <row r="20" spans="1:205">
      <c r="A20" s="37" t="s">
        <v>284</v>
      </c>
      <c r="B20" s="61">
        <v>510.86000000000013</v>
      </c>
      <c r="C20" s="61">
        <v>242.16000000000003</v>
      </c>
      <c r="D20" s="61">
        <v>407.12999999999994</v>
      </c>
      <c r="E20" s="61">
        <v>295.58999999999997</v>
      </c>
      <c r="F20" s="61">
        <v>296.94</v>
      </c>
      <c r="G20" s="61">
        <v>327.87000000000006</v>
      </c>
      <c r="H20" s="61">
        <v>219.90000000000003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AC20" s="46">
        <f>AVERAGE(AC10:AC19)</f>
        <v>1660.6</v>
      </c>
      <c r="AD20" s="66">
        <f>AC20/$Y$6</f>
        <v>0.7687962962962962</v>
      </c>
      <c r="AE20" s="45">
        <f>100%-AD20</f>
        <v>0.2312037037037038</v>
      </c>
      <c r="AF20" s="11" t="s">
        <v>144</v>
      </c>
      <c r="AG20" s="115">
        <f>GETPIVOTDATA("H Motor 8",$AA$5)</f>
        <v>1972</v>
      </c>
      <c r="AH20" s="66">
        <f>AG20/$Y$6</f>
        <v>0.91296296296296298</v>
      </c>
      <c r="AQ20" s="82"/>
      <c r="AR20" s="82"/>
      <c r="AS20" s="82"/>
      <c r="AT20" s="82"/>
      <c r="AU20" s="82"/>
      <c r="AV20" s="82"/>
      <c r="AW20" s="82"/>
      <c r="AX20" s="82"/>
      <c r="AY20" s="82"/>
      <c r="BB20" s="43" t="s">
        <v>360</v>
      </c>
      <c r="BC20" s="61">
        <v>0</v>
      </c>
      <c r="BD20" s="61">
        <v>1488</v>
      </c>
      <c r="BE20" s="61">
        <v>1488</v>
      </c>
      <c r="BF20" s="61">
        <v>1483</v>
      </c>
      <c r="BI20" s="421" t="s">
        <v>360</v>
      </c>
      <c r="BJ20" s="61">
        <v>1483</v>
      </c>
      <c r="BK20" s="61">
        <v>1279.1669000000002</v>
      </c>
      <c r="BL20" s="61">
        <v>1483</v>
      </c>
      <c r="CH20" s="43" t="s">
        <v>360</v>
      </c>
      <c r="CI20" s="32">
        <v>6.5117880539021185</v>
      </c>
      <c r="CJ20" s="94">
        <v>9.9459816769530729</v>
      </c>
      <c r="CL20" s="43" t="s">
        <v>360</v>
      </c>
      <c r="CM20" s="32">
        <v>4173.9184272587445</v>
      </c>
      <c r="CN20" s="32">
        <v>1954.8731874502976</v>
      </c>
      <c r="CO20" s="32">
        <v>0</v>
      </c>
      <c r="DG20"/>
      <c r="DH20"/>
      <c r="DI20"/>
      <c r="DJ20"/>
      <c r="DK20"/>
      <c r="DL20"/>
      <c r="DQ20" s="218"/>
      <c r="EF20" s="43" t="s">
        <v>360</v>
      </c>
      <c r="EG20" s="32">
        <v>13569</v>
      </c>
      <c r="EH20" s="32">
        <v>13354.059290493116</v>
      </c>
      <c r="EK20" s="43" t="s">
        <v>360</v>
      </c>
      <c r="EL20" s="32">
        <v>9149.6965610249499</v>
      </c>
      <c r="EM20" s="32">
        <v>10439.653567093641</v>
      </c>
      <c r="EQ20" s="43" t="s">
        <v>360</v>
      </c>
      <c r="ER20" s="61">
        <v>1505</v>
      </c>
      <c r="ES20" s="61">
        <v>0</v>
      </c>
      <c r="ET20" s="61">
        <v>80</v>
      </c>
      <c r="EU20" s="61">
        <v>0</v>
      </c>
      <c r="EW20" s="43" t="s">
        <v>360</v>
      </c>
      <c r="EX20" s="61">
        <v>1505</v>
      </c>
      <c r="EY20" s="61">
        <v>0</v>
      </c>
      <c r="EZ20" s="61">
        <v>80</v>
      </c>
      <c r="FA20" s="61">
        <v>0</v>
      </c>
      <c r="FB20" s="61">
        <v>0</v>
      </c>
      <c r="FC20" s="61"/>
      <c r="FD20" s="141" t="str">
        <f t="shared" si="4"/>
        <v>16-ene</v>
      </c>
      <c r="FE20" s="11" t="str">
        <f t="shared" si="5"/>
        <v/>
      </c>
      <c r="FF20" s="11" t="str">
        <f t="shared" si="6"/>
        <v/>
      </c>
      <c r="FG20" s="11" t="str">
        <f t="shared" si="7"/>
        <v/>
      </c>
      <c r="FI20" s="141" t="str">
        <f t="shared" si="8"/>
        <v>16-ene</v>
      </c>
      <c r="FJ20" s="11" t="str">
        <f t="shared" si="1"/>
        <v/>
      </c>
      <c r="FK20" s="11" t="str">
        <f t="shared" si="2"/>
        <v/>
      </c>
      <c r="FL20" s="11" t="str">
        <f t="shared" si="3"/>
        <v/>
      </c>
      <c r="FN20" s="141" t="str">
        <f t="shared" si="9"/>
        <v>16-ene</v>
      </c>
      <c r="FO20" s="11" t="str">
        <f t="shared" si="10"/>
        <v/>
      </c>
      <c r="FP20" s="11" t="str">
        <f t="shared" si="11"/>
        <v/>
      </c>
      <c r="FQ20" s="11" t="str">
        <f t="shared" si="12"/>
        <v/>
      </c>
      <c r="GK20" s="11" t="s">
        <v>338</v>
      </c>
      <c r="GL20" s="132">
        <f>IFERROR((VLOOKUP($GK$20,$GK$5:$GR$12,2,0)),"")</f>
        <v>324.720193655088</v>
      </c>
      <c r="GM20" s="132">
        <f>IFERROR((VLOOKUP($GK$20,$GK$5:$GR$12,3,0)),"")</f>
        <v>331.15917909967197</v>
      </c>
      <c r="GN20" s="132">
        <f>IFERROR((VLOOKUP($GK$20,$GK$5:$GR$12,4,0)),"")</f>
        <v>291.26850971988</v>
      </c>
      <c r="GO20" s="132">
        <f>IFERROR((VLOOKUP($GK$20,$GK$5:$GR$12,5,0)),"")</f>
        <v>1549.9898507237765</v>
      </c>
      <c r="GP20" s="132">
        <f>IFERROR((VLOOKUP($GK$20,$GK$5:$GR$12,6,0)),"")</f>
        <v>1249.1101804843199</v>
      </c>
      <c r="GQ20" s="132">
        <f>IFERROR((VLOOKUP($GK$20,$GK$5:$GR$12,7,0)),"")</f>
        <v>292.05208995916797</v>
      </c>
      <c r="GR20" s="132">
        <f>IFERROR((VLOOKUP($GK$20,$GK$5:$GR$12,8,0)),"")</f>
        <v>289.76191582984796</v>
      </c>
      <c r="GS20" s="132">
        <f t="shared" si="14"/>
        <v>0</v>
      </c>
      <c r="GT20" s="132">
        <f t="shared" si="15"/>
        <v>0</v>
      </c>
      <c r="GU20" s="132">
        <f t="shared" si="16"/>
        <v>0</v>
      </c>
      <c r="GV20" s="132">
        <f t="shared" si="17"/>
        <v>0</v>
      </c>
      <c r="GW20" s="132">
        <f t="shared" si="18"/>
        <v>0</v>
      </c>
    </row>
    <row r="21" spans="1:205">
      <c r="A21" s="37" t="s">
        <v>361</v>
      </c>
      <c r="B21" s="61">
        <v>29.068177089336</v>
      </c>
      <c r="C21" s="61">
        <v>59.801935363631998</v>
      </c>
      <c r="D21" s="61">
        <v>27.641076846767998</v>
      </c>
      <c r="E21" s="61">
        <v>94.627723776432006</v>
      </c>
      <c r="F21" s="61">
        <v>88.355296450343999</v>
      </c>
      <c r="G21" s="61">
        <v>44.7624943458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AF21" s="11" t="s">
        <v>146</v>
      </c>
      <c r="AG21" s="115">
        <f>GETPIVOTDATA("H Motor 9",$AA$5)</f>
        <v>1809</v>
      </c>
      <c r="AH21" s="66">
        <f>AG21/$Y$6</f>
        <v>0.83750000000000002</v>
      </c>
      <c r="AQ21" s="82"/>
      <c r="AR21" s="82"/>
      <c r="AS21" s="82"/>
      <c r="AT21" s="82"/>
      <c r="AU21" s="82"/>
      <c r="AV21" s="82"/>
      <c r="AW21" s="82"/>
      <c r="AX21" s="82"/>
      <c r="AY21" s="82"/>
      <c r="AZ21" s="45"/>
      <c r="BB21" s="43" t="s">
        <v>362</v>
      </c>
      <c r="BC21" s="61">
        <v>0</v>
      </c>
      <c r="BD21" s="61">
        <v>1488</v>
      </c>
      <c r="BE21" s="61">
        <v>1488</v>
      </c>
      <c r="BF21" s="61">
        <v>1482</v>
      </c>
      <c r="BI21" s="421" t="s">
        <v>362</v>
      </c>
      <c r="BJ21" s="61">
        <v>1482</v>
      </c>
      <c r="BK21" s="61">
        <v>1471.0787999999998</v>
      </c>
      <c r="BL21" s="61">
        <v>1482</v>
      </c>
      <c r="BZ21" s="10"/>
      <c r="CA21" s="10"/>
      <c r="CB21" s="10"/>
      <c r="CC21" s="10"/>
      <c r="CD21" s="10"/>
      <c r="CE21" s="10"/>
      <c r="CF21" s="10"/>
      <c r="CH21" s="43" t="s">
        <v>362</v>
      </c>
      <c r="CI21" s="32">
        <v>6.8105500000000001</v>
      </c>
      <c r="CJ21" s="94">
        <v>9.0503388307884194</v>
      </c>
      <c r="CL21" s="43" t="s">
        <v>362</v>
      </c>
      <c r="CM21" s="32">
        <v>264.17205235814845</v>
      </c>
      <c r="CN21" s="32">
        <v>1954.8731874502973</v>
      </c>
      <c r="CO21" s="32">
        <v>0</v>
      </c>
      <c r="DG21"/>
      <c r="DH21"/>
      <c r="DI21"/>
      <c r="DJ21"/>
      <c r="DK21"/>
      <c r="DL21"/>
      <c r="DQ21" s="218"/>
      <c r="EF21" s="43" t="s">
        <v>362</v>
      </c>
      <c r="EG21" s="32">
        <v>14313</v>
      </c>
      <c r="EH21" s="32">
        <v>14100.184558663834</v>
      </c>
      <c r="EK21" s="43" t="s">
        <v>362</v>
      </c>
      <c r="EL21" s="32">
        <v>9657.894736842105</v>
      </c>
      <c r="EM21" s="32">
        <v>9584.9281212290152</v>
      </c>
      <c r="EQ21" s="43" t="s">
        <v>362</v>
      </c>
      <c r="ER21" s="61">
        <v>1505</v>
      </c>
      <c r="ES21" s="61">
        <v>0</v>
      </c>
      <c r="ET21" s="61">
        <v>80</v>
      </c>
      <c r="EU21" s="61">
        <v>0</v>
      </c>
      <c r="EW21" s="43" t="s">
        <v>362</v>
      </c>
      <c r="EX21" s="61">
        <v>1505</v>
      </c>
      <c r="EY21" s="61">
        <v>0</v>
      </c>
      <c r="EZ21" s="61">
        <v>80</v>
      </c>
      <c r="FA21" s="61">
        <v>0</v>
      </c>
      <c r="FB21" s="61">
        <v>0</v>
      </c>
      <c r="FC21" s="61"/>
      <c r="FD21" s="141" t="str">
        <f t="shared" si="4"/>
        <v>17-ene</v>
      </c>
      <c r="FE21" s="11" t="str">
        <f t="shared" si="5"/>
        <v/>
      </c>
      <c r="FF21" s="11" t="str">
        <f t="shared" si="6"/>
        <v/>
      </c>
      <c r="FG21" s="11" t="str">
        <f t="shared" si="7"/>
        <v/>
      </c>
      <c r="FI21" s="141" t="str">
        <f t="shared" si="8"/>
        <v>17-ene</v>
      </c>
      <c r="FJ21" s="11" t="str">
        <f t="shared" si="1"/>
        <v/>
      </c>
      <c r="FK21" s="11" t="str">
        <f t="shared" si="2"/>
        <v/>
      </c>
      <c r="FL21" s="11" t="str">
        <f t="shared" si="3"/>
        <v/>
      </c>
      <c r="FN21" s="141" t="str">
        <f t="shared" si="9"/>
        <v>17-ene</v>
      </c>
      <c r="FO21" s="11" t="str">
        <f t="shared" si="10"/>
        <v/>
      </c>
      <c r="FP21" s="11" t="str">
        <f t="shared" si="11"/>
        <v/>
      </c>
      <c r="FQ21" s="11" t="str">
        <f t="shared" si="12"/>
        <v/>
      </c>
      <c r="GK21" s="11" t="s">
        <v>342</v>
      </c>
      <c r="GL21" s="132">
        <f>IFERROR((VLOOKUP($GK$21,$GK$5:$GR$12,2,0)),"")</f>
        <v>0</v>
      </c>
      <c r="GM21" s="132">
        <f>IFERROR((VLOOKUP($GK$21,$GK$5:$GR$12,3,0)),"")</f>
        <v>0</v>
      </c>
      <c r="GN21" s="132">
        <f>IFERROR((VLOOKUP($GK$21,$GK$5:$GR$12,4,0)),"")</f>
        <v>0</v>
      </c>
      <c r="GO21" s="132">
        <f>IFERROR((VLOOKUP($GK$21,$GK$5:$GR$12,5,0)),"")</f>
        <v>0</v>
      </c>
      <c r="GP21" s="132">
        <f>IFERROR((VLOOKUP($GK$21,$GK$5:$GR$12,6,0)),"")</f>
        <v>0</v>
      </c>
      <c r="GQ21" s="132">
        <f>IFERROR((VLOOKUP($GK$21,$GK$5:$GR$12,7,0)),"")</f>
        <v>0</v>
      </c>
      <c r="GR21" s="132">
        <f>IFERROR((VLOOKUP($GK$21,$GK$5:$GR$12,8,0)),"")</f>
        <v>0</v>
      </c>
      <c r="GS21" s="132">
        <f t="shared" si="14"/>
        <v>0</v>
      </c>
      <c r="GT21" s="132">
        <f t="shared" si="15"/>
        <v>0</v>
      </c>
      <c r="GU21" s="132">
        <f t="shared" si="16"/>
        <v>0</v>
      </c>
      <c r="GV21" s="132">
        <f t="shared" si="17"/>
        <v>0</v>
      </c>
      <c r="GW21" s="132">
        <f t="shared" si="18"/>
        <v>0</v>
      </c>
    </row>
    <row r="22" spans="1:205">
      <c r="A22" s="37" t="s">
        <v>363</v>
      </c>
      <c r="E22" s="61">
        <v>1</v>
      </c>
      <c r="F22" s="61"/>
      <c r="G22" s="61">
        <v>1</v>
      </c>
      <c r="H22" s="61">
        <v>1</v>
      </c>
      <c r="I22" s="61">
        <v>2</v>
      </c>
      <c r="J22" s="61">
        <v>1</v>
      </c>
      <c r="K22" s="61">
        <v>3</v>
      </c>
      <c r="L22" s="61">
        <v>2</v>
      </c>
      <c r="M22" s="61">
        <v>1</v>
      </c>
      <c r="AF22" s="11" t="s">
        <v>148</v>
      </c>
      <c r="AG22" s="115">
        <f>GETPIVOTDATA("H Motor 10",$AA$5)</f>
        <v>1976</v>
      </c>
      <c r="AH22" s="66">
        <f>AG22/$Y$6</f>
        <v>0.91481481481481486</v>
      </c>
      <c r="AQ22" s="82"/>
      <c r="AR22" s="82"/>
      <c r="AS22" s="82"/>
      <c r="AT22" s="82"/>
      <c r="AU22" s="82"/>
      <c r="AV22" s="82"/>
      <c r="AW22" s="82"/>
      <c r="AX22" s="82"/>
      <c r="AY22" s="82"/>
      <c r="BB22" s="43" t="s">
        <v>364</v>
      </c>
      <c r="BC22" s="61">
        <v>0</v>
      </c>
      <c r="BD22" s="61">
        <v>1084</v>
      </c>
      <c r="BE22" s="61">
        <v>1084</v>
      </c>
      <c r="BF22" s="61">
        <v>1122</v>
      </c>
      <c r="BI22" s="421" t="s">
        <v>364</v>
      </c>
      <c r="BJ22" s="61">
        <v>1122</v>
      </c>
      <c r="BK22" s="61">
        <v>1469.0334999999998</v>
      </c>
      <c r="BL22" s="61">
        <v>1122</v>
      </c>
      <c r="BT22" s="10"/>
      <c r="BZ22" s="83"/>
      <c r="CA22" s="83"/>
      <c r="CB22" s="83"/>
      <c r="CC22" s="83"/>
      <c r="CD22" s="83"/>
      <c r="CE22" s="83"/>
      <c r="CF22" s="83"/>
      <c r="CH22" s="43" t="s">
        <v>364</v>
      </c>
      <c r="CI22" s="32">
        <v>11.234365016233765</v>
      </c>
      <c r="CJ22" s="94">
        <v>9.7095535393126919</v>
      </c>
      <c r="CL22" s="43" t="s">
        <v>364</v>
      </c>
      <c r="CM22" s="32">
        <v>396.25807853722262</v>
      </c>
      <c r="CN22" s="32">
        <v>1585.0323141488905</v>
      </c>
      <c r="CO22" s="32">
        <v>0</v>
      </c>
      <c r="DG22"/>
      <c r="DH22"/>
      <c r="DI22"/>
      <c r="DJ22"/>
      <c r="DK22"/>
      <c r="DL22"/>
      <c r="DQ22" s="218"/>
      <c r="EF22" s="43" t="s">
        <v>364</v>
      </c>
      <c r="EG22" s="32">
        <v>10801</v>
      </c>
      <c r="EH22" s="32">
        <v>10627.799877104973</v>
      </c>
      <c r="EK22" s="43" t="s">
        <v>364</v>
      </c>
      <c r="EL22" s="32">
        <v>9626.5597147950084</v>
      </c>
      <c r="EM22" s="32">
        <v>7234.5524299513763</v>
      </c>
      <c r="EQ22" s="43" t="s">
        <v>364</v>
      </c>
      <c r="ER22" s="61">
        <v>1505</v>
      </c>
      <c r="ES22" s="61">
        <v>0</v>
      </c>
      <c r="ET22" s="61">
        <v>71</v>
      </c>
      <c r="EU22" s="61">
        <v>0</v>
      </c>
      <c r="EW22" s="43" t="s">
        <v>364</v>
      </c>
      <c r="EX22" s="61">
        <v>1505</v>
      </c>
      <c r="EY22" s="61">
        <v>0</v>
      </c>
      <c r="EZ22" s="61">
        <v>71</v>
      </c>
      <c r="FA22" s="61">
        <v>0</v>
      </c>
      <c r="FB22" s="61">
        <v>0</v>
      </c>
      <c r="FC22" s="61"/>
      <c r="FD22" s="141" t="str">
        <f t="shared" si="4"/>
        <v>18-ene</v>
      </c>
      <c r="FE22" s="11" t="str">
        <f t="shared" si="5"/>
        <v/>
      </c>
      <c r="FF22" s="11" t="str">
        <f t="shared" si="6"/>
        <v/>
      </c>
      <c r="FG22" s="11" t="str">
        <f t="shared" si="7"/>
        <v/>
      </c>
      <c r="FI22" s="141" t="str">
        <f t="shared" si="8"/>
        <v>18-ene</v>
      </c>
      <c r="FJ22" s="11" t="str">
        <f t="shared" si="1"/>
        <v/>
      </c>
      <c r="FK22" s="11" t="str">
        <f t="shared" si="2"/>
        <v/>
      </c>
      <c r="FL22" s="11" t="str">
        <f t="shared" si="3"/>
        <v/>
      </c>
      <c r="FN22" s="141" t="str">
        <f t="shared" si="9"/>
        <v>18-ene</v>
      </c>
      <c r="FO22" s="11" t="str">
        <f t="shared" si="10"/>
        <v/>
      </c>
      <c r="FP22" s="11" t="str">
        <f t="shared" si="11"/>
        <v/>
      </c>
      <c r="FQ22" s="11" t="str">
        <f t="shared" si="12"/>
        <v/>
      </c>
      <c r="GI22" s="10" t="s">
        <v>365</v>
      </c>
      <c r="GJ22">
        <v>12</v>
      </c>
      <c r="GK22" s="11" t="s">
        <v>346</v>
      </c>
      <c r="GL22" s="132">
        <f>IFERROR((VLOOKUP($GK$22,$GK$5:$GR$12,2,0)),"")</f>
        <v>0</v>
      </c>
      <c r="GM22" s="132">
        <f>IFERROR((VLOOKUP($GK$22,$GK$5:$GR$12,3,0)),"")</f>
        <v>0</v>
      </c>
      <c r="GN22" s="132">
        <f>IFERROR((VLOOKUP($GK$22,$GK$5:$GR$12,4,0)),"")</f>
        <v>0</v>
      </c>
      <c r="GO22" s="132">
        <f>IFERROR((VLOOKUP($GK$22,$GK$5:$GR$12,5,0)),"")</f>
        <v>0</v>
      </c>
      <c r="GP22" s="132">
        <f>IFERROR((VLOOKUP($GK$22,$GK$5:$GR$12,6,0)),"")</f>
        <v>0</v>
      </c>
      <c r="GQ22" s="132">
        <f>IFERROR((VLOOKUP($GK$22,$GK$5:$GR$12,7,0)),"")</f>
        <v>0</v>
      </c>
      <c r="GR22" s="132">
        <f>IFERROR((VLOOKUP($GK$22,$GK$5:$GR$12,8,0)),"")</f>
        <v>0</v>
      </c>
      <c r="GS22" s="132">
        <f t="shared" si="14"/>
        <v>0</v>
      </c>
      <c r="GT22" s="132">
        <f t="shared" si="15"/>
        <v>0</v>
      </c>
      <c r="GU22" s="132">
        <f t="shared" si="16"/>
        <v>0</v>
      </c>
      <c r="GV22" s="132">
        <f t="shared" si="17"/>
        <v>0</v>
      </c>
      <c r="GW22" s="132">
        <f t="shared" si="18"/>
        <v>0</v>
      </c>
    </row>
    <row r="23" spans="1:205">
      <c r="A23" s="37" t="s">
        <v>366</v>
      </c>
      <c r="B23" s="61">
        <v>31</v>
      </c>
      <c r="C23" s="61">
        <v>28</v>
      </c>
      <c r="D23" s="61">
        <v>31</v>
      </c>
      <c r="E23" s="61">
        <v>30</v>
      </c>
      <c r="F23" s="61">
        <v>31</v>
      </c>
      <c r="G23" s="61">
        <v>30</v>
      </c>
      <c r="H23" s="61">
        <v>31</v>
      </c>
      <c r="I23" s="61">
        <v>31</v>
      </c>
      <c r="J23" s="61">
        <v>30</v>
      </c>
      <c r="K23" s="61">
        <v>31</v>
      </c>
      <c r="L23" s="61">
        <v>30</v>
      </c>
      <c r="M23" s="61">
        <v>31</v>
      </c>
      <c r="AG23" s="212">
        <f>SUM(AG18:AG22)</f>
        <v>9151</v>
      </c>
      <c r="AQ23" s="82"/>
      <c r="AR23" s="82"/>
      <c r="AS23" s="82"/>
      <c r="AT23" s="82"/>
      <c r="AU23" s="82"/>
      <c r="AV23" s="82"/>
      <c r="AW23" s="82"/>
      <c r="AX23" s="82"/>
      <c r="AY23" s="82"/>
      <c r="BB23" s="43" t="s">
        <v>367</v>
      </c>
      <c r="BC23" s="61">
        <v>0</v>
      </c>
      <c r="BD23" s="61">
        <v>1084</v>
      </c>
      <c r="BE23" s="61">
        <v>1084</v>
      </c>
      <c r="BF23" s="61">
        <v>1088</v>
      </c>
      <c r="BI23" s="421" t="s">
        <v>367</v>
      </c>
      <c r="BJ23" s="61">
        <v>1088</v>
      </c>
      <c r="BK23" s="61">
        <v>1112.6261999999999</v>
      </c>
      <c r="BL23" s="61">
        <v>1088</v>
      </c>
      <c r="BT23" s="10"/>
      <c r="BU23" s="10"/>
      <c r="CH23" s="43" t="s">
        <v>367</v>
      </c>
      <c r="CI23" s="32">
        <v>8.2662208712121199</v>
      </c>
      <c r="CJ23" s="94">
        <v>10.589853577139694</v>
      </c>
      <c r="CL23" s="43" t="s">
        <v>367</v>
      </c>
      <c r="CM23" s="32">
        <v>4306.0044534378194</v>
      </c>
      <c r="CN23" s="32">
        <v>1492.572095823539</v>
      </c>
      <c r="CO23" s="32">
        <v>0</v>
      </c>
      <c r="DG23"/>
      <c r="DH23"/>
      <c r="DI23"/>
      <c r="DJ23"/>
      <c r="DK23"/>
      <c r="DL23"/>
      <c r="DQ23" s="218"/>
      <c r="EF23" s="43" t="s">
        <v>367</v>
      </c>
      <c r="EG23" s="32">
        <v>9522</v>
      </c>
      <c r="EH23" s="32">
        <v>9456.1967627048907</v>
      </c>
      <c r="EK23" s="43" t="s">
        <v>367</v>
      </c>
      <c r="EL23" s="32">
        <v>8751.8382352941171</v>
      </c>
      <c r="EM23" s="32">
        <v>8498.9880363278262</v>
      </c>
      <c r="EQ23" s="43" t="s">
        <v>367</v>
      </c>
      <c r="ER23" s="61">
        <v>1505</v>
      </c>
      <c r="ES23" s="61">
        <v>0</v>
      </c>
      <c r="ET23" s="61">
        <v>71</v>
      </c>
      <c r="EU23" s="61">
        <v>0</v>
      </c>
      <c r="EW23" s="43" t="s">
        <v>367</v>
      </c>
      <c r="EX23" s="61">
        <v>1505</v>
      </c>
      <c r="EY23" s="61">
        <v>0</v>
      </c>
      <c r="EZ23" s="61">
        <v>71</v>
      </c>
      <c r="FA23" s="61">
        <v>0</v>
      </c>
      <c r="FB23" s="61">
        <v>0</v>
      </c>
      <c r="FC23" s="61"/>
      <c r="FD23" s="141" t="str">
        <f t="shared" si="4"/>
        <v>19-ene</v>
      </c>
      <c r="FE23" s="11" t="str">
        <f t="shared" si="5"/>
        <v/>
      </c>
      <c r="FF23" s="11" t="str">
        <f t="shared" si="6"/>
        <v/>
      </c>
      <c r="FG23" s="11" t="str">
        <f t="shared" si="7"/>
        <v/>
      </c>
      <c r="FI23" s="141" t="str">
        <f t="shared" si="8"/>
        <v>19-ene</v>
      </c>
      <c r="FJ23" s="11" t="str">
        <f t="shared" si="1"/>
        <v/>
      </c>
      <c r="FK23" s="11" t="str">
        <f t="shared" si="2"/>
        <v/>
      </c>
      <c r="FL23" s="11" t="str">
        <f t="shared" si="3"/>
        <v/>
      </c>
      <c r="FN23" s="141" t="str">
        <f t="shared" si="9"/>
        <v>19-ene</v>
      </c>
      <c r="FO23" s="11" t="str">
        <f t="shared" si="10"/>
        <v/>
      </c>
      <c r="FP23" s="11" t="str">
        <f t="shared" si="11"/>
        <v/>
      </c>
      <c r="FQ23" s="11" t="str">
        <f t="shared" si="12"/>
        <v/>
      </c>
      <c r="GI23" s="10" t="s">
        <v>368</v>
      </c>
      <c r="GJ23" s="61">
        <v>25042943.200000003</v>
      </c>
      <c r="GK23" s="11" t="s">
        <v>349</v>
      </c>
      <c r="GL23" s="132">
        <f>IFERROR((VLOOKUP($GK$23,$GK$5:$GR$12,2,0)),"")</f>
        <v>0</v>
      </c>
      <c r="GM23" s="132">
        <f>IFERROR((VLOOKUP($GK$23,$GK$5:$GR$12,3,0)),"")</f>
        <v>7.536754861943999</v>
      </c>
      <c r="GN23" s="132">
        <f>IFERROR((VLOOKUP($GK$23,$GK$5:$GR$12,4,0)),"")</f>
        <v>22.712470704000001</v>
      </c>
      <c r="GO23" s="132">
        <f>IFERROR((VLOOKUP($GK$23,$GK$5:$GR$12,5,0)),"")</f>
        <v>22.708685292216</v>
      </c>
      <c r="GP23" s="132">
        <f>IFERROR((VLOOKUP($GK$23,$GK$5:$GR$12,6,0)),"")</f>
        <v>0</v>
      </c>
      <c r="GQ23" s="132">
        <f>IFERROR((VLOOKUP($GK$23,$GK$5:$GR$12,7,0)),"")</f>
        <v>22.659474939024001</v>
      </c>
      <c r="GR23" s="132">
        <f>IFERROR((VLOOKUP($GK$23,$GK$5:$GR$12,8,0)),"")</f>
        <v>22.712470704000001</v>
      </c>
      <c r="GS23" s="132">
        <f t="shared" si="14"/>
        <v>0</v>
      </c>
      <c r="GT23" s="132">
        <f t="shared" si="15"/>
        <v>0</v>
      </c>
      <c r="GU23" s="132">
        <f t="shared" si="16"/>
        <v>0</v>
      </c>
      <c r="GV23" s="132">
        <f t="shared" si="17"/>
        <v>0</v>
      </c>
      <c r="GW23" s="132">
        <f t="shared" si="18"/>
        <v>0</v>
      </c>
    </row>
    <row r="24" spans="1:205">
      <c r="A24" t="s">
        <v>369</v>
      </c>
      <c r="B24">
        <v>357810</v>
      </c>
      <c r="C24">
        <v>0</v>
      </c>
      <c r="D24">
        <v>0</v>
      </c>
      <c r="E24">
        <v>186300</v>
      </c>
      <c r="F24">
        <v>0</v>
      </c>
      <c r="G24">
        <v>680880</v>
      </c>
      <c r="H24">
        <v>433230</v>
      </c>
      <c r="I24">
        <v>0</v>
      </c>
      <c r="P24"/>
      <c r="Q24"/>
      <c r="R24"/>
      <c r="S24"/>
      <c r="AQ24" s="82"/>
      <c r="AR24" s="82"/>
      <c r="AS24" s="82"/>
      <c r="AT24" s="82"/>
      <c r="AU24" s="82"/>
      <c r="AV24" s="82"/>
      <c r="AW24" s="82"/>
      <c r="AX24" s="82"/>
      <c r="AY24" s="82"/>
      <c r="BB24" s="43" t="s">
        <v>370</v>
      </c>
      <c r="BC24" s="61">
        <v>0</v>
      </c>
      <c r="BD24" s="61">
        <v>1084</v>
      </c>
      <c r="BE24" s="61">
        <v>1084</v>
      </c>
      <c r="BF24" s="61">
        <v>1121</v>
      </c>
      <c r="BI24" s="421" t="s">
        <v>370</v>
      </c>
      <c r="BJ24" s="61">
        <v>1121</v>
      </c>
      <c r="BK24" s="61">
        <v>1078.2340000000002</v>
      </c>
      <c r="BL24" s="61">
        <v>1121</v>
      </c>
      <c r="CH24" s="43" t="s">
        <v>370</v>
      </c>
      <c r="CI24" s="32">
        <v>6.9745471861471877</v>
      </c>
      <c r="CJ24" s="94">
        <v>9.8955131620906815</v>
      </c>
      <c r="CL24" s="43" t="s">
        <v>370</v>
      </c>
      <c r="CM24" s="32">
        <v>739.68174660281556</v>
      </c>
      <c r="CN24" s="32">
        <v>1603.5243578139607</v>
      </c>
      <c r="CO24" s="32">
        <v>0</v>
      </c>
      <c r="DG24"/>
      <c r="DH24"/>
      <c r="DI24"/>
      <c r="DJ24"/>
      <c r="DK24"/>
      <c r="DL24"/>
      <c r="DQ24" s="218"/>
      <c r="EF24" s="43" t="s">
        <v>370</v>
      </c>
      <c r="EG24" s="32">
        <v>10682</v>
      </c>
      <c r="EH24" s="32">
        <v>10581.153856096282</v>
      </c>
      <c r="EK24" s="43" t="s">
        <v>370</v>
      </c>
      <c r="EL24" s="32">
        <v>9528.9919714540574</v>
      </c>
      <c r="EM24" s="32">
        <v>9813.4114265514545</v>
      </c>
      <c r="EQ24" s="43" t="s">
        <v>370</v>
      </c>
      <c r="ER24" s="61">
        <v>1505</v>
      </c>
      <c r="ES24" s="61">
        <v>0</v>
      </c>
      <c r="ET24" s="61">
        <v>71</v>
      </c>
      <c r="EU24" s="61">
        <v>0</v>
      </c>
      <c r="EW24" s="43" t="s">
        <v>370</v>
      </c>
      <c r="EX24" s="61">
        <v>1505</v>
      </c>
      <c r="EY24" s="61">
        <v>0</v>
      </c>
      <c r="EZ24" s="61">
        <v>71</v>
      </c>
      <c r="FA24" s="61">
        <v>0</v>
      </c>
      <c r="FB24" s="61">
        <v>0</v>
      </c>
      <c r="FC24" s="61"/>
      <c r="FD24" s="141" t="str">
        <f t="shared" si="4"/>
        <v>20-ene</v>
      </c>
      <c r="FE24" s="11" t="str">
        <f t="shared" si="5"/>
        <v/>
      </c>
      <c r="FF24" s="11" t="str">
        <f t="shared" si="6"/>
        <v/>
      </c>
      <c r="FG24" s="11" t="str">
        <f t="shared" si="7"/>
        <v/>
      </c>
      <c r="FI24" s="141" t="str">
        <f t="shared" si="8"/>
        <v>20-ene</v>
      </c>
      <c r="FJ24" s="11" t="str">
        <f t="shared" si="1"/>
        <v/>
      </c>
      <c r="FK24" s="11" t="str">
        <f t="shared" si="2"/>
        <v/>
      </c>
      <c r="FL24" s="11" t="str">
        <f t="shared" si="3"/>
        <v/>
      </c>
      <c r="FN24" s="141" t="str">
        <f t="shared" si="9"/>
        <v>20-ene</v>
      </c>
      <c r="FO24" s="11" t="str">
        <f t="shared" si="10"/>
        <v/>
      </c>
      <c r="FP24" s="11" t="str">
        <f t="shared" si="11"/>
        <v/>
      </c>
      <c r="FQ24" s="11" t="str">
        <f t="shared" si="12"/>
        <v/>
      </c>
      <c r="GJ24" s="214">
        <f>GJ22/GJ23</f>
        <v>4.7917690441433408E-7</v>
      </c>
      <c r="GK24" s="11" t="s">
        <v>371</v>
      </c>
      <c r="GL24" s="132">
        <f t="shared" ref="GL24:GW24" si="19">$GJ$24*GL17</f>
        <v>18.451825965887263</v>
      </c>
      <c r="GM24" s="132">
        <f t="shared" si="19"/>
        <v>18.512000953625925</v>
      </c>
      <c r="GN24" s="132">
        <f t="shared" si="19"/>
        <v>19.187066574507103</v>
      </c>
      <c r="GO24" s="132">
        <f t="shared" si="19"/>
        <v>18.739856423904676</v>
      </c>
      <c r="GP24" s="132">
        <f t="shared" si="19"/>
        <v>20.939274917175069</v>
      </c>
      <c r="GQ24" s="132">
        <f t="shared" si="19"/>
        <v>19.734037283604906</v>
      </c>
      <c r="GR24" s="132">
        <f t="shared" si="19"/>
        <v>19.074155532964667</v>
      </c>
      <c r="GS24" s="132">
        <f t="shared" si="19"/>
        <v>13.904988292270692</v>
      </c>
      <c r="GT24" s="132">
        <f t="shared" si="19"/>
        <v>0</v>
      </c>
      <c r="GU24" s="132">
        <f t="shared" si="19"/>
        <v>0</v>
      </c>
      <c r="GV24" s="132">
        <f t="shared" si="19"/>
        <v>0</v>
      </c>
      <c r="GW24" s="132">
        <f t="shared" si="19"/>
        <v>0</v>
      </c>
    </row>
    <row r="25" spans="1:205" ht="60">
      <c r="A25" s="39" t="s">
        <v>84</v>
      </c>
      <c r="B25" s="85" t="s">
        <v>372</v>
      </c>
      <c r="C25" s="85" t="s">
        <v>373</v>
      </c>
      <c r="D25" s="28" t="s">
        <v>153</v>
      </c>
      <c r="E25" s="86" t="s">
        <v>206</v>
      </c>
      <c r="P25"/>
      <c r="Q25"/>
      <c r="R25"/>
      <c r="S25"/>
      <c r="AQ25" s="82"/>
      <c r="AR25" s="82"/>
      <c r="AS25" s="82"/>
      <c r="AT25" s="82"/>
      <c r="AU25" s="82"/>
      <c r="AV25" s="82"/>
      <c r="AW25" s="82"/>
      <c r="AX25" s="82"/>
      <c r="AY25" s="82"/>
      <c r="BB25" s="43" t="s">
        <v>374</v>
      </c>
      <c r="BC25" s="61">
        <v>0</v>
      </c>
      <c r="BD25" s="61">
        <v>1272</v>
      </c>
      <c r="BE25" s="61">
        <v>1272</v>
      </c>
      <c r="BF25" s="61">
        <v>1308</v>
      </c>
      <c r="BI25" s="421" t="s">
        <v>374</v>
      </c>
      <c r="BJ25" s="61">
        <v>1308</v>
      </c>
      <c r="BK25" s="61">
        <v>1111.0108</v>
      </c>
      <c r="BL25" s="61">
        <v>1308</v>
      </c>
      <c r="BT25" s="10"/>
      <c r="BU25" s="10"/>
      <c r="CH25" s="43" t="s">
        <v>374</v>
      </c>
      <c r="CI25" s="32">
        <v>6.3661161525974022</v>
      </c>
      <c r="CJ25" s="94">
        <v>9.8730373437126442</v>
      </c>
      <c r="CL25" s="43" t="s">
        <v>374</v>
      </c>
      <c r="CM25" s="32">
        <v>343.42366806559295</v>
      </c>
      <c r="CN25" s="32">
        <v>1862.4129691249461</v>
      </c>
      <c r="CO25" s="32">
        <v>0</v>
      </c>
      <c r="DG25"/>
      <c r="DH25"/>
      <c r="DI25"/>
      <c r="DJ25"/>
      <c r="DK25"/>
      <c r="DL25"/>
      <c r="EF25" s="43" t="s">
        <v>374</v>
      </c>
      <c r="EG25" s="32">
        <v>12549</v>
      </c>
      <c r="EH25" s="32">
        <v>12424.128999871102</v>
      </c>
      <c r="EK25" s="43" t="s">
        <v>374</v>
      </c>
      <c r="EL25" s="32">
        <v>9594.0366972477059</v>
      </c>
      <c r="EM25" s="32">
        <v>11182.725676358054</v>
      </c>
      <c r="EQ25" s="43" t="s">
        <v>374</v>
      </c>
      <c r="ER25" s="61">
        <v>1505</v>
      </c>
      <c r="ES25" s="61">
        <v>0</v>
      </c>
      <c r="ET25" s="61">
        <v>71</v>
      </c>
      <c r="EU25" s="61">
        <v>0</v>
      </c>
      <c r="EW25" s="43" t="s">
        <v>374</v>
      </c>
      <c r="EX25" s="61">
        <v>1505</v>
      </c>
      <c r="EY25" s="61">
        <v>0</v>
      </c>
      <c r="EZ25" s="61">
        <v>71</v>
      </c>
      <c r="FA25" s="61">
        <v>0</v>
      </c>
      <c r="FB25" s="61">
        <v>0</v>
      </c>
      <c r="FC25" s="61"/>
      <c r="FD25" s="141" t="str">
        <f t="shared" si="4"/>
        <v>21-ene</v>
      </c>
      <c r="FE25" s="11" t="str">
        <f t="shared" si="5"/>
        <v/>
      </c>
      <c r="FF25" s="11" t="str">
        <f t="shared" si="6"/>
        <v/>
      </c>
      <c r="FG25" s="11" t="str">
        <f t="shared" si="7"/>
        <v/>
      </c>
      <c r="FI25" s="141" t="str">
        <f t="shared" si="8"/>
        <v>21-ene</v>
      </c>
      <c r="FJ25" s="11" t="str">
        <f t="shared" si="1"/>
        <v/>
      </c>
      <c r="FK25" s="11" t="str">
        <f t="shared" si="2"/>
        <v/>
      </c>
      <c r="FL25" s="11" t="str">
        <f t="shared" si="3"/>
        <v/>
      </c>
      <c r="FN25" s="141" t="str">
        <f t="shared" si="9"/>
        <v>21-ene</v>
      </c>
      <c r="FO25" s="11" t="str">
        <f t="shared" si="10"/>
        <v/>
      </c>
      <c r="FP25" s="11" t="str">
        <f t="shared" si="11"/>
        <v/>
      </c>
      <c r="FQ25" s="11" t="str">
        <f t="shared" si="12"/>
        <v/>
      </c>
    </row>
    <row r="26" spans="1:205">
      <c r="A26" s="37" t="s">
        <v>246</v>
      </c>
      <c r="B26" s="32">
        <v>364574.32466958725</v>
      </c>
      <c r="C26" s="32">
        <v>38507.335800000001</v>
      </c>
      <c r="D26" s="28" t="s">
        <v>246</v>
      </c>
      <c r="E26" s="20">
        <f>(GETPIVOTDATA("R. Gas GC [MBTU]",$A$25,"Meses",1)/GETPIVOTDATA("E.G. GAS [MWh]",$A$25,"Meses",1))*1000</f>
        <v>9467.6590082242783</v>
      </c>
      <c r="P26"/>
      <c r="Q26"/>
      <c r="R26"/>
      <c r="S26"/>
      <c r="AQ26" s="82"/>
      <c r="AR26" s="82"/>
      <c r="AS26" s="82"/>
      <c r="AT26" s="82"/>
      <c r="AU26" s="82"/>
      <c r="AV26" s="82"/>
      <c r="AW26" s="82"/>
      <c r="AX26" s="82"/>
      <c r="AY26" s="82"/>
      <c r="BB26" s="43" t="s">
        <v>375</v>
      </c>
      <c r="BC26" s="61">
        <v>0</v>
      </c>
      <c r="BD26" s="61">
        <v>1272</v>
      </c>
      <c r="BE26" s="61">
        <v>1272</v>
      </c>
      <c r="BF26" s="61">
        <v>1302</v>
      </c>
      <c r="BI26" s="421" t="s">
        <v>375</v>
      </c>
      <c r="BJ26" s="61">
        <v>1302</v>
      </c>
      <c r="BK26" s="61">
        <v>1296.9073000000001</v>
      </c>
      <c r="BL26" s="61">
        <v>1302</v>
      </c>
      <c r="BT26" s="83"/>
      <c r="BU26" s="83"/>
      <c r="CH26" s="43" t="s">
        <v>375</v>
      </c>
      <c r="CI26" s="32">
        <v>6.9567375744047615</v>
      </c>
      <c r="CJ26" s="94">
        <v>9.5782024638486423</v>
      </c>
      <c r="CL26" s="43" t="s">
        <v>375</v>
      </c>
      <c r="CM26" s="32">
        <v>211.33764188651872</v>
      </c>
      <c r="CN26" s="32">
        <v>1785.8030739410842</v>
      </c>
      <c r="CO26" s="32">
        <v>0</v>
      </c>
      <c r="DG26"/>
      <c r="DH26"/>
      <c r="DI26"/>
      <c r="DJ26"/>
      <c r="DK26"/>
      <c r="DL26"/>
      <c r="EF26" s="43" t="s">
        <v>375</v>
      </c>
      <c r="EG26" s="32">
        <v>12457</v>
      </c>
      <c r="EH26" s="32">
        <v>12381.915406198075</v>
      </c>
      <c r="EK26" s="43" t="s">
        <v>375</v>
      </c>
      <c r="EL26" s="32">
        <v>9567.5883256528414</v>
      </c>
      <c r="EM26" s="32">
        <v>9547.263251735938</v>
      </c>
      <c r="EQ26" s="43" t="s">
        <v>375</v>
      </c>
      <c r="ER26" s="61">
        <v>1505</v>
      </c>
      <c r="ES26" s="61">
        <v>0</v>
      </c>
      <c r="ET26" s="61">
        <v>71</v>
      </c>
      <c r="EU26" s="61">
        <v>0</v>
      </c>
      <c r="EW26" s="43" t="s">
        <v>375</v>
      </c>
      <c r="EX26" s="61">
        <v>1505</v>
      </c>
      <c r="EY26" s="61">
        <v>0</v>
      </c>
      <c r="EZ26" s="61">
        <v>71</v>
      </c>
      <c r="FA26" s="61">
        <v>0</v>
      </c>
      <c r="FB26" s="61">
        <v>0</v>
      </c>
      <c r="FC26" s="61"/>
      <c r="FD26" s="141" t="str">
        <f t="shared" si="4"/>
        <v>22-ene</v>
      </c>
      <c r="FE26" s="11" t="str">
        <f t="shared" si="5"/>
        <v/>
      </c>
      <c r="FF26" s="11" t="str">
        <f t="shared" si="6"/>
        <v/>
      </c>
      <c r="FG26" s="11" t="str">
        <f t="shared" si="7"/>
        <v/>
      </c>
      <c r="FI26" s="141" t="str">
        <f t="shared" si="8"/>
        <v>22-ene</v>
      </c>
      <c r="FJ26" s="11" t="str">
        <f t="shared" si="1"/>
        <v/>
      </c>
      <c r="FK26" s="11" t="str">
        <f t="shared" si="2"/>
        <v/>
      </c>
      <c r="FL26" s="11" t="str">
        <f t="shared" si="3"/>
        <v/>
      </c>
      <c r="FN26" s="141" t="str">
        <f t="shared" si="9"/>
        <v>22-ene</v>
      </c>
      <c r="FO26" s="11" t="str">
        <f t="shared" si="10"/>
        <v/>
      </c>
      <c r="FP26" s="11" t="str">
        <f t="shared" si="11"/>
        <v/>
      </c>
      <c r="FQ26" s="11" t="str">
        <f t="shared" si="12"/>
        <v/>
      </c>
    </row>
    <row r="27" spans="1:205">
      <c r="A27" s="37" t="s">
        <v>247</v>
      </c>
      <c r="B27" s="32">
        <v>364794.16905270185</v>
      </c>
      <c r="C27" s="32">
        <v>38632.915699999983</v>
      </c>
      <c r="D27" s="28" t="s">
        <v>247</v>
      </c>
      <c r="E27" s="20">
        <f>(GETPIVOTDATA("R. Gas GC [MBTU]",$A$25,"Meses",2)/GETPIVOTDATA("E.G. GAS [MWh]",$A$25,"Meses",2))*1000</f>
        <v>9442.5740962829277</v>
      </c>
      <c r="P27"/>
      <c r="Q27"/>
      <c r="R27"/>
      <c r="S27"/>
      <c r="AQ27" s="82"/>
      <c r="AR27" s="82"/>
      <c r="AS27" s="82"/>
      <c r="AT27" s="82"/>
      <c r="AU27" s="82"/>
      <c r="AV27" s="82"/>
      <c r="AW27" s="82"/>
      <c r="AX27" s="82"/>
      <c r="AY27" s="82"/>
      <c r="BB27" s="43" t="s">
        <v>376</v>
      </c>
      <c r="BC27" s="61">
        <v>0</v>
      </c>
      <c r="BD27" s="61">
        <v>1272</v>
      </c>
      <c r="BE27" s="61">
        <v>1272</v>
      </c>
      <c r="BF27" s="61">
        <v>1312</v>
      </c>
      <c r="BI27" s="421" t="s">
        <v>376</v>
      </c>
      <c r="BJ27" s="61">
        <v>1312</v>
      </c>
      <c r="BK27" s="61">
        <v>1291.0401000000002</v>
      </c>
      <c r="BL27" s="61">
        <v>1312</v>
      </c>
      <c r="CH27" s="43" t="s">
        <v>376</v>
      </c>
      <c r="CI27" s="32">
        <v>7.0427497767857146</v>
      </c>
      <c r="CJ27" s="94">
        <v>9.6705840595393635</v>
      </c>
      <c r="CL27" s="43" t="s">
        <v>376</v>
      </c>
      <c r="CM27" s="32">
        <v>211.33764188651872</v>
      </c>
      <c r="CN27" s="32">
        <v>1772.5944713231768</v>
      </c>
      <c r="CO27" s="32">
        <v>0</v>
      </c>
      <c r="DG27"/>
      <c r="DH27"/>
      <c r="DI27"/>
      <c r="DJ27"/>
      <c r="DK27"/>
      <c r="DL27"/>
      <c r="EF27" s="43" t="s">
        <v>376</v>
      </c>
      <c r="EG27" s="32">
        <v>12472</v>
      </c>
      <c r="EH27" s="32">
        <v>12388.528869206852</v>
      </c>
      <c r="EK27" s="43" t="s">
        <v>376</v>
      </c>
      <c r="EL27" s="32">
        <v>9506.0975609756097</v>
      </c>
      <c r="EM27" s="32">
        <v>9595.7738796857284</v>
      </c>
      <c r="EQ27" s="43" t="s">
        <v>376</v>
      </c>
      <c r="ER27" s="61">
        <v>1505</v>
      </c>
      <c r="ES27" s="61">
        <v>0</v>
      </c>
      <c r="ET27" s="61">
        <v>71</v>
      </c>
      <c r="EU27" s="61">
        <v>0</v>
      </c>
      <c r="EW27" s="43" t="s">
        <v>376</v>
      </c>
      <c r="EX27" s="61">
        <v>1505</v>
      </c>
      <c r="EY27" s="61">
        <v>0</v>
      </c>
      <c r="EZ27" s="61">
        <v>71</v>
      </c>
      <c r="FA27" s="61">
        <v>0</v>
      </c>
      <c r="FB27" s="61">
        <v>0</v>
      </c>
      <c r="FC27" s="61"/>
      <c r="FD27" s="141" t="str">
        <f t="shared" si="4"/>
        <v>23-ene</v>
      </c>
      <c r="FE27" s="11" t="str">
        <f t="shared" si="5"/>
        <v/>
      </c>
      <c r="FF27" s="11" t="str">
        <f t="shared" si="6"/>
        <v/>
      </c>
      <c r="FG27" s="11" t="str">
        <f t="shared" si="7"/>
        <v/>
      </c>
      <c r="FI27" s="141" t="str">
        <f t="shared" si="8"/>
        <v>23-ene</v>
      </c>
      <c r="FJ27" s="11" t="str">
        <f t="shared" si="1"/>
        <v/>
      </c>
      <c r="FK27" s="11" t="str">
        <f t="shared" si="2"/>
        <v/>
      </c>
      <c r="FL27" s="11" t="str">
        <f t="shared" si="3"/>
        <v/>
      </c>
      <c r="FN27" s="141" t="str">
        <f t="shared" si="9"/>
        <v>23-ene</v>
      </c>
      <c r="FO27" s="11" t="str">
        <f t="shared" si="10"/>
        <v/>
      </c>
      <c r="FP27" s="11" t="str">
        <f t="shared" si="11"/>
        <v/>
      </c>
      <c r="FQ27" s="11" t="str">
        <f t="shared" si="12"/>
        <v/>
      </c>
    </row>
    <row r="28" spans="1:205">
      <c r="A28" s="37" t="s">
        <v>248</v>
      </c>
      <c r="B28" s="32">
        <v>383076.77394625463</v>
      </c>
      <c r="C28" s="32">
        <v>39920.353999999992</v>
      </c>
      <c r="D28" s="28" t="s">
        <v>248</v>
      </c>
      <c r="E28" s="20">
        <f>(GETPIVOTDATA("R. Gas GC [MBTU]",$A$25,"Meses",3)/GETPIVOTDATA("E.G. GAS [MWh]",$A$25,"Meses",3))*1000</f>
        <v>9596.026476775598</v>
      </c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10"/>
      <c r="BB28" s="43" t="s">
        <v>377</v>
      </c>
      <c r="BC28" s="61">
        <v>0</v>
      </c>
      <c r="BD28" s="61">
        <v>1272</v>
      </c>
      <c r="BE28" s="61">
        <v>1272</v>
      </c>
      <c r="BF28" s="61">
        <v>1314</v>
      </c>
      <c r="BI28" s="421" t="s">
        <v>377</v>
      </c>
      <c r="BJ28" s="61">
        <v>1314</v>
      </c>
      <c r="BK28" s="61">
        <v>1300.6960999999997</v>
      </c>
      <c r="BL28" s="61">
        <v>1314</v>
      </c>
      <c r="CH28" s="43" t="s">
        <v>377</v>
      </c>
      <c r="CI28" s="32">
        <v>7.0158732142857128</v>
      </c>
      <c r="CJ28" s="94">
        <v>9.8710717778468844</v>
      </c>
      <c r="CL28" s="43" t="s">
        <v>377</v>
      </c>
      <c r="CM28" s="32">
        <v>713.26454136700079</v>
      </c>
      <c r="CN28" s="32">
        <v>1830.7123228419689</v>
      </c>
      <c r="CO28" s="32">
        <v>0</v>
      </c>
      <c r="DG28"/>
      <c r="DH28"/>
      <c r="DI28"/>
      <c r="DJ28"/>
      <c r="DK28"/>
      <c r="DL28"/>
      <c r="EF28" s="43" t="s">
        <v>377</v>
      </c>
      <c r="EG28" s="32">
        <v>12484</v>
      </c>
      <c r="EH28" s="32">
        <v>12369.462396064535</v>
      </c>
      <c r="EK28" s="43" t="s">
        <v>377</v>
      </c>
      <c r="EL28" s="32">
        <v>9500.7610350076102</v>
      </c>
      <c r="EM28" s="32">
        <v>9509.8788995096857</v>
      </c>
      <c r="EQ28" s="43" t="s">
        <v>377</v>
      </c>
      <c r="ER28" s="61">
        <v>1505</v>
      </c>
      <c r="ES28" s="61">
        <v>0</v>
      </c>
      <c r="ET28" s="61">
        <v>71</v>
      </c>
      <c r="EU28" s="61">
        <v>0</v>
      </c>
      <c r="EW28" s="43" t="s">
        <v>377</v>
      </c>
      <c r="EX28" s="61">
        <v>1505</v>
      </c>
      <c r="EY28" s="61">
        <v>0</v>
      </c>
      <c r="EZ28" s="61">
        <v>71</v>
      </c>
      <c r="FA28" s="61">
        <v>0</v>
      </c>
      <c r="FB28" s="61">
        <v>0</v>
      </c>
      <c r="FC28" s="61"/>
      <c r="FD28" s="141" t="str">
        <f t="shared" si="4"/>
        <v>24-ene</v>
      </c>
      <c r="FE28" s="11" t="str">
        <f t="shared" si="5"/>
        <v/>
      </c>
      <c r="FF28" s="11" t="str">
        <f t="shared" si="6"/>
        <v/>
      </c>
      <c r="FG28" s="11" t="str">
        <f t="shared" si="7"/>
        <v/>
      </c>
      <c r="FI28" s="141" t="str">
        <f t="shared" si="8"/>
        <v>24-ene</v>
      </c>
      <c r="FJ28" s="11" t="str">
        <f t="shared" si="1"/>
        <v/>
      </c>
      <c r="FK28" s="11" t="str">
        <f t="shared" si="2"/>
        <v/>
      </c>
      <c r="FL28" s="11" t="str">
        <f t="shared" si="3"/>
        <v/>
      </c>
      <c r="FN28" s="141" t="str">
        <f t="shared" si="9"/>
        <v>24-ene</v>
      </c>
      <c r="FO28" s="11" t="str">
        <f t="shared" si="10"/>
        <v/>
      </c>
      <c r="FP28" s="11" t="str">
        <f t="shared" si="11"/>
        <v/>
      </c>
      <c r="FQ28" s="11" t="str">
        <f t="shared" si="12"/>
        <v/>
      </c>
    </row>
    <row r="29" spans="1:205">
      <c r="A29" s="37" t="s">
        <v>249</v>
      </c>
      <c r="B29" s="32">
        <v>327451.34584037424</v>
      </c>
      <c r="C29" s="32">
        <v>38928.645400000009</v>
      </c>
      <c r="D29" s="28" t="s">
        <v>249</v>
      </c>
      <c r="E29" s="20">
        <f>(GETPIVOTDATA("R. Gas GC [MBTU]",$A$25,"Meses",4)/GETPIVOTDATA("E.G. GAS [MWh]",$A$25,"Meses",4))*1000</f>
        <v>8411.5782215318013</v>
      </c>
      <c r="O29" s="42"/>
      <c r="P29" s="35"/>
      <c r="Q29" s="35"/>
      <c r="R29" s="35"/>
      <c r="S29" s="35"/>
      <c r="T29" s="35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3" t="s">
        <v>378</v>
      </c>
      <c r="BC29" s="61">
        <v>0</v>
      </c>
      <c r="BD29" s="61">
        <v>1326</v>
      </c>
      <c r="BE29" s="61">
        <v>1326</v>
      </c>
      <c r="BF29" s="61">
        <v>1325</v>
      </c>
      <c r="BI29" s="421" t="s">
        <v>378</v>
      </c>
      <c r="BJ29" s="61">
        <v>1325</v>
      </c>
      <c r="BK29" s="61">
        <v>1302.8917999999999</v>
      </c>
      <c r="BL29" s="61">
        <v>1325</v>
      </c>
      <c r="CH29" s="43" t="s">
        <v>378</v>
      </c>
      <c r="CI29" s="32">
        <v>6.5148574516908209</v>
      </c>
      <c r="CJ29" s="94">
        <v>9.0689499858458529</v>
      </c>
      <c r="CL29" s="43" t="s">
        <v>378</v>
      </c>
      <c r="CM29" s="32">
        <v>2219.0452398084467</v>
      </c>
      <c r="CN29" s="32">
        <v>1806.936838129735</v>
      </c>
      <c r="CO29" s="32">
        <v>0</v>
      </c>
      <c r="DG29"/>
      <c r="DH29"/>
      <c r="DI29"/>
      <c r="DJ29"/>
      <c r="DK29"/>
      <c r="DL29"/>
      <c r="EF29" s="43" t="s">
        <v>378</v>
      </c>
      <c r="EG29" s="32">
        <v>12915</v>
      </c>
      <c r="EH29" s="32">
        <v>12426.41556952839</v>
      </c>
      <c r="EK29" s="43" t="s">
        <v>378</v>
      </c>
      <c r="EL29" s="32">
        <v>9747.1698113207549</v>
      </c>
      <c r="EM29" s="32">
        <v>9537.5652602375649</v>
      </c>
      <c r="EQ29" s="43" t="s">
        <v>378</v>
      </c>
      <c r="ER29" s="61">
        <v>1505</v>
      </c>
      <c r="ES29" s="61">
        <v>0</v>
      </c>
      <c r="ET29" s="61">
        <v>71</v>
      </c>
      <c r="EU29" s="61">
        <v>0</v>
      </c>
      <c r="EW29" s="43" t="s">
        <v>378</v>
      </c>
      <c r="EX29" s="61">
        <v>1505</v>
      </c>
      <c r="EY29" s="61">
        <v>0</v>
      </c>
      <c r="EZ29" s="61">
        <v>71</v>
      </c>
      <c r="FA29" s="61">
        <v>0</v>
      </c>
      <c r="FB29" s="61">
        <v>0</v>
      </c>
      <c r="FC29" s="61"/>
      <c r="FD29" s="141" t="str">
        <f t="shared" si="4"/>
        <v>25-ene</v>
      </c>
      <c r="FE29" s="11" t="str">
        <f t="shared" si="5"/>
        <v/>
      </c>
      <c r="FF29" s="11" t="str">
        <f t="shared" si="6"/>
        <v/>
      </c>
      <c r="FG29" s="11" t="str">
        <f t="shared" si="7"/>
        <v/>
      </c>
      <c r="FI29" s="141" t="str">
        <f t="shared" si="8"/>
        <v>25-ene</v>
      </c>
      <c r="FJ29" s="11" t="str">
        <f t="shared" si="1"/>
        <v/>
      </c>
      <c r="FK29" s="11" t="str">
        <f t="shared" si="2"/>
        <v/>
      </c>
      <c r="FL29" s="11" t="str">
        <f t="shared" si="3"/>
        <v/>
      </c>
      <c r="FN29" s="141" t="str">
        <f t="shared" si="9"/>
        <v>25-ene</v>
      </c>
      <c r="FO29" s="11" t="str">
        <f t="shared" si="10"/>
        <v/>
      </c>
      <c r="FP29" s="11" t="str">
        <f t="shared" si="11"/>
        <v/>
      </c>
      <c r="FQ29" s="11" t="str">
        <f t="shared" si="12"/>
        <v/>
      </c>
    </row>
    <row r="30" spans="1:205">
      <c r="A30" s="37" t="s">
        <v>250</v>
      </c>
      <c r="B30" s="32">
        <v>383289.71703632281</v>
      </c>
      <c r="C30" s="32">
        <v>43698.422699999996</v>
      </c>
      <c r="D30" s="28" t="s">
        <v>250</v>
      </c>
      <c r="E30" s="20">
        <f>(GETPIVOTDATA("R. Gas GC [MBTU]",$A$25,"Meses",5)/GETPIVOTDATA("E.G. GAS [MWh]",$A$25,"Meses",5))*1000</f>
        <v>8771.2483278331874</v>
      </c>
      <c r="BB30" s="43" t="s">
        <v>379</v>
      </c>
      <c r="BC30" s="61">
        <v>0</v>
      </c>
      <c r="BD30" s="61">
        <v>1488</v>
      </c>
      <c r="BE30" s="61">
        <v>1488</v>
      </c>
      <c r="BF30" s="61">
        <v>1514</v>
      </c>
      <c r="BI30" s="421" t="s">
        <v>379</v>
      </c>
      <c r="BJ30" s="61">
        <v>1514</v>
      </c>
      <c r="BK30" s="61">
        <v>1344.9563000000001</v>
      </c>
      <c r="BL30" s="61">
        <v>1514</v>
      </c>
      <c r="CH30" s="43" t="s">
        <v>379</v>
      </c>
      <c r="CI30" s="32">
        <v>6.7043127149470898</v>
      </c>
      <c r="CJ30" s="94">
        <v>9.5358335996311485</v>
      </c>
      <c r="CL30" s="43" t="s">
        <v>379</v>
      </c>
      <c r="CM30" s="32">
        <v>5098.5206105122643</v>
      </c>
      <c r="CN30" s="32">
        <v>1875.6215717428536</v>
      </c>
      <c r="CO30" s="32">
        <v>0</v>
      </c>
      <c r="DG30"/>
      <c r="DH30"/>
      <c r="DI30"/>
      <c r="DJ30"/>
      <c r="DK30"/>
      <c r="DL30"/>
      <c r="EF30" s="43" t="s">
        <v>379</v>
      </c>
      <c r="EG30" s="32">
        <v>13609</v>
      </c>
      <c r="EH30" s="32">
        <v>13507.857483441838</v>
      </c>
      <c r="EK30" s="43" t="s">
        <v>379</v>
      </c>
      <c r="EL30" s="32">
        <v>8988.7714663143979</v>
      </c>
      <c r="EM30" s="32">
        <v>10043.343031622542</v>
      </c>
      <c r="EQ30" s="43" t="s">
        <v>379</v>
      </c>
      <c r="ER30" s="61">
        <v>1505</v>
      </c>
      <c r="ES30" s="61">
        <v>0</v>
      </c>
      <c r="ET30" s="61">
        <v>80</v>
      </c>
      <c r="EU30" s="61">
        <v>0</v>
      </c>
      <c r="EW30" s="43" t="s">
        <v>379</v>
      </c>
      <c r="EX30" s="61">
        <v>1505</v>
      </c>
      <c r="EY30" s="61">
        <v>0</v>
      </c>
      <c r="EZ30" s="61">
        <v>80</v>
      </c>
      <c r="FA30" s="61">
        <v>0</v>
      </c>
      <c r="FB30" s="61">
        <v>0</v>
      </c>
      <c r="FC30" s="61"/>
      <c r="FD30" s="141" t="str">
        <f t="shared" si="4"/>
        <v>26-ene</v>
      </c>
      <c r="FE30" s="11" t="str">
        <f t="shared" si="5"/>
        <v/>
      </c>
      <c r="FF30" s="11" t="str">
        <f t="shared" si="6"/>
        <v/>
      </c>
      <c r="FG30" s="11" t="str">
        <f t="shared" si="7"/>
        <v/>
      </c>
      <c r="FI30" s="141" t="str">
        <f t="shared" si="8"/>
        <v>26-ene</v>
      </c>
      <c r="FJ30" s="11" t="str">
        <f t="shared" si="1"/>
        <v/>
      </c>
      <c r="FK30" s="11" t="str">
        <f t="shared" si="2"/>
        <v/>
      </c>
      <c r="FL30" s="11" t="str">
        <f t="shared" si="3"/>
        <v/>
      </c>
      <c r="FN30" s="141" t="str">
        <f t="shared" si="9"/>
        <v>26-ene</v>
      </c>
      <c r="FO30" s="11" t="str">
        <f t="shared" si="10"/>
        <v/>
      </c>
      <c r="FP30" s="11" t="str">
        <f t="shared" si="11"/>
        <v/>
      </c>
      <c r="FQ30" s="11" t="str">
        <f t="shared" si="12"/>
        <v/>
      </c>
    </row>
    <row r="31" spans="1:205">
      <c r="A31" s="37" t="s">
        <v>251</v>
      </c>
      <c r="B31" s="32">
        <v>388092.91527129599</v>
      </c>
      <c r="C31" s="32">
        <v>41183.197900000006</v>
      </c>
      <c r="D31" s="28" t="s">
        <v>251</v>
      </c>
      <c r="E31" s="20">
        <f>(GETPIVOTDATA("R. Gas GC [MBTU]",$A$25,"Meses",6)/GETPIVOTDATA("E.G. GAS [MWh]",$A$25,"Meses",6))*1000</f>
        <v>9423.574055945177</v>
      </c>
      <c r="BB31" s="43" t="s">
        <v>380</v>
      </c>
      <c r="BC31" s="61">
        <v>0</v>
      </c>
      <c r="BD31" s="61">
        <v>1488</v>
      </c>
      <c r="BE31" s="61">
        <v>1488</v>
      </c>
      <c r="BF31" s="61">
        <v>1520</v>
      </c>
      <c r="BI31" s="421" t="s">
        <v>380</v>
      </c>
      <c r="BJ31" s="61">
        <v>1520</v>
      </c>
      <c r="BK31" s="61">
        <v>1500.9693000000002</v>
      </c>
      <c r="BL31" s="61">
        <v>1520</v>
      </c>
      <c r="CH31" s="43" t="s">
        <v>380</v>
      </c>
      <c r="CI31" s="32">
        <v>7.7640260499338609</v>
      </c>
      <c r="CJ31" s="94">
        <v>9.8319788567389921</v>
      </c>
      <c r="CL31" s="43" t="s">
        <v>380</v>
      </c>
      <c r="CM31" s="32">
        <v>6842.0561560760443</v>
      </c>
      <c r="CN31" s="32">
        <v>1902.038776978668</v>
      </c>
      <c r="CO31" s="32">
        <v>0</v>
      </c>
      <c r="DG31"/>
      <c r="DH31"/>
      <c r="DI31"/>
      <c r="DJ31"/>
      <c r="DK31"/>
      <c r="DL31"/>
      <c r="EF31" s="43" t="s">
        <v>380</v>
      </c>
      <c r="EG31" s="32">
        <v>13420</v>
      </c>
      <c r="EH31" s="32">
        <v>13300.166602570554</v>
      </c>
      <c r="EK31" s="43" t="s">
        <v>380</v>
      </c>
      <c r="EL31" s="32">
        <v>8828.9473684210534</v>
      </c>
      <c r="EM31" s="32">
        <v>8861.0517234233575</v>
      </c>
      <c r="EQ31" s="43" t="s">
        <v>380</v>
      </c>
      <c r="ER31" s="61">
        <v>1505</v>
      </c>
      <c r="ES31" s="61">
        <v>0</v>
      </c>
      <c r="ET31" s="61">
        <v>80</v>
      </c>
      <c r="EU31" s="61">
        <v>0</v>
      </c>
      <c r="EW31" s="43" t="s">
        <v>380</v>
      </c>
      <c r="EX31" s="61">
        <v>1505</v>
      </c>
      <c r="EY31" s="61">
        <v>0</v>
      </c>
      <c r="EZ31" s="61">
        <v>80</v>
      </c>
      <c r="FA31" s="61">
        <v>0</v>
      </c>
      <c r="FB31" s="61">
        <v>0</v>
      </c>
      <c r="FC31" s="61"/>
      <c r="FD31" s="141" t="str">
        <f t="shared" si="4"/>
        <v>27-ene</v>
      </c>
      <c r="FE31" s="11" t="str">
        <f t="shared" si="5"/>
        <v/>
      </c>
      <c r="FF31" s="11" t="str">
        <f t="shared" si="6"/>
        <v/>
      </c>
      <c r="FG31" s="11" t="str">
        <f t="shared" si="7"/>
        <v/>
      </c>
      <c r="FI31" s="141" t="str">
        <f t="shared" si="8"/>
        <v>27-ene</v>
      </c>
      <c r="FJ31" s="11" t="str">
        <f t="shared" si="1"/>
        <v/>
      </c>
      <c r="FK31" s="11" t="str">
        <f t="shared" si="2"/>
        <v/>
      </c>
      <c r="FL31" s="11" t="str">
        <f t="shared" si="3"/>
        <v/>
      </c>
      <c r="FN31" s="141" t="str">
        <f t="shared" si="9"/>
        <v>27-ene</v>
      </c>
      <c r="FO31" s="11" t="str">
        <f t="shared" si="10"/>
        <v/>
      </c>
      <c r="FP31" s="11" t="str">
        <f t="shared" si="11"/>
        <v/>
      </c>
      <c r="FQ31" s="11" t="str">
        <f t="shared" si="12"/>
        <v/>
      </c>
    </row>
    <row r="32" spans="1:205">
      <c r="A32" s="37" t="s">
        <v>252</v>
      </c>
      <c r="B32" s="32">
        <v>381052.56570910948</v>
      </c>
      <c r="C32" s="32">
        <v>39806.082800000011</v>
      </c>
      <c r="D32" s="28" t="s">
        <v>252</v>
      </c>
      <c r="E32" s="20">
        <f>(GETPIVOTDATA("R. Gas GC [MBTU]",$A$25,"Meses",7)/GETPIVOTDATA("E.G. GAS [MWh]",$A$25,"Meses",7))*1000</f>
        <v>9572.7220290339501</v>
      </c>
      <c r="BB32" s="43" t="s">
        <v>381</v>
      </c>
      <c r="BC32" s="61">
        <v>0</v>
      </c>
      <c r="BD32" s="61">
        <v>1137</v>
      </c>
      <c r="BE32" s="61">
        <v>1137</v>
      </c>
      <c r="BF32" s="61">
        <v>1522</v>
      </c>
      <c r="BI32" s="421" t="s">
        <v>381</v>
      </c>
      <c r="BJ32" s="61">
        <v>1310</v>
      </c>
      <c r="BK32" s="61">
        <v>1505.8325999999997</v>
      </c>
      <c r="BL32" s="61">
        <v>1522</v>
      </c>
      <c r="CH32" s="43" t="s">
        <v>381</v>
      </c>
      <c r="CI32" s="32">
        <v>8.4260081521739103</v>
      </c>
      <c r="CJ32" s="94">
        <v>9.8042425384110459</v>
      </c>
      <c r="CL32" s="43" t="s">
        <v>381</v>
      </c>
      <c r="CM32" s="32">
        <v>211.33764188651872</v>
      </c>
      <c r="CN32" s="32">
        <v>1828.0706023183873</v>
      </c>
      <c r="CO32" s="32">
        <v>0</v>
      </c>
      <c r="DG32"/>
      <c r="DH32"/>
      <c r="DI32"/>
      <c r="DJ32"/>
      <c r="DK32"/>
      <c r="DL32"/>
      <c r="EF32" s="43" t="s">
        <v>381</v>
      </c>
      <c r="EG32" s="32">
        <v>12603</v>
      </c>
      <c r="EH32" s="32">
        <v>12501.133630329645</v>
      </c>
      <c r="EK32" s="43" t="s">
        <v>381</v>
      </c>
      <c r="EL32" s="32">
        <v>9620.6106870228996</v>
      </c>
      <c r="EM32" s="32">
        <v>8301.8083353552356</v>
      </c>
      <c r="EQ32" s="43" t="s">
        <v>381</v>
      </c>
      <c r="ER32" s="61">
        <v>1505</v>
      </c>
      <c r="ES32" s="61">
        <v>0</v>
      </c>
      <c r="ET32" s="61">
        <v>71</v>
      </c>
      <c r="EU32" s="61">
        <v>0</v>
      </c>
      <c r="EW32" s="43" t="s">
        <v>381</v>
      </c>
      <c r="EX32" s="61">
        <v>1505</v>
      </c>
      <c r="EY32" s="61">
        <v>0</v>
      </c>
      <c r="EZ32" s="61">
        <v>71</v>
      </c>
      <c r="FA32" s="61">
        <v>0</v>
      </c>
      <c r="FB32" s="61">
        <v>0</v>
      </c>
      <c r="FC32" s="61"/>
      <c r="FD32" s="141" t="str">
        <f t="shared" si="4"/>
        <v>28-ene</v>
      </c>
      <c r="FE32" s="11" t="str">
        <f t="shared" si="5"/>
        <v/>
      </c>
      <c r="FF32" s="11" t="str">
        <f t="shared" si="6"/>
        <v/>
      </c>
      <c r="FG32" s="11" t="str">
        <f t="shared" si="7"/>
        <v/>
      </c>
      <c r="FI32" s="141" t="str">
        <f t="shared" si="8"/>
        <v>28-ene</v>
      </c>
      <c r="FJ32" s="11" t="str">
        <f t="shared" si="1"/>
        <v/>
      </c>
      <c r="FK32" s="11" t="str">
        <f t="shared" si="2"/>
        <v/>
      </c>
      <c r="FL32" s="11" t="str">
        <f t="shared" si="3"/>
        <v/>
      </c>
      <c r="FN32" s="141" t="str">
        <f t="shared" si="9"/>
        <v>28-ene</v>
      </c>
      <c r="FO32" s="11" t="str">
        <f t="shared" si="10"/>
        <v/>
      </c>
      <c r="FP32" s="11" t="str">
        <f t="shared" si="11"/>
        <v/>
      </c>
      <c r="FQ32" s="11" t="str">
        <f t="shared" si="12"/>
        <v/>
      </c>
    </row>
    <row r="33" spans="1:173">
      <c r="A33" s="37" t="s">
        <v>253</v>
      </c>
      <c r="B33" s="32">
        <v>0</v>
      </c>
      <c r="C33" s="32">
        <v>29018.486000000004</v>
      </c>
      <c r="D33" s="28" t="s">
        <v>253</v>
      </c>
      <c r="E33" s="20">
        <f>(GETPIVOTDATA("R. Gas GC [MBTU]",$A$25,"Meses",8)/GETPIVOTDATA("E.G. GAS [MWh]",$A$25,"Meses",8))*1000</f>
        <v>0</v>
      </c>
      <c r="BB33" s="43" t="s">
        <v>382</v>
      </c>
      <c r="BC33" s="61">
        <v>0</v>
      </c>
      <c r="BD33" s="61">
        <v>978</v>
      </c>
      <c r="BE33" s="61">
        <v>981</v>
      </c>
      <c r="BF33" s="61">
        <v>1164</v>
      </c>
      <c r="BI33" s="421" t="s">
        <v>382</v>
      </c>
      <c r="BJ33" s="61">
        <v>1022</v>
      </c>
      <c r="BK33" s="61">
        <v>1299.0276000000001</v>
      </c>
      <c r="BL33" s="61">
        <v>1164</v>
      </c>
      <c r="CH33" s="43" t="s">
        <v>382</v>
      </c>
      <c r="CI33" s="32">
        <v>10.368786666666669</v>
      </c>
      <c r="CJ33" s="94">
        <v>9.5657538800321635</v>
      </c>
      <c r="CL33" s="43" t="s">
        <v>382</v>
      </c>
      <c r="CM33" s="32">
        <v>2219.0452398084467</v>
      </c>
      <c r="CN33" s="32">
        <v>1397.4701569746057</v>
      </c>
      <c r="CO33" s="32">
        <v>0</v>
      </c>
      <c r="DG33"/>
      <c r="DH33"/>
      <c r="DI33"/>
      <c r="DJ33"/>
      <c r="DK33"/>
      <c r="DL33"/>
      <c r="EF33" s="43" t="s">
        <v>382</v>
      </c>
      <c r="EG33" s="32">
        <v>9552</v>
      </c>
      <c r="EH33" s="32">
        <v>9439.9797071355042</v>
      </c>
      <c r="EK33" s="43" t="s">
        <v>382</v>
      </c>
      <c r="EL33" s="32">
        <v>9346.3796477495107</v>
      </c>
      <c r="EM33" s="32">
        <v>7266.9585366280926</v>
      </c>
      <c r="EQ33" s="43" t="s">
        <v>382</v>
      </c>
      <c r="ER33" s="61">
        <v>1505</v>
      </c>
      <c r="ES33" s="61">
        <v>0</v>
      </c>
      <c r="ET33" s="61">
        <v>71</v>
      </c>
      <c r="EU33" s="61">
        <v>0</v>
      </c>
      <c r="EW33" s="43" t="s">
        <v>382</v>
      </c>
      <c r="EX33" s="61">
        <v>1505</v>
      </c>
      <c r="EY33" s="61">
        <v>0</v>
      </c>
      <c r="EZ33" s="61">
        <v>71</v>
      </c>
      <c r="FA33" s="61">
        <v>0</v>
      </c>
      <c r="FB33" s="61">
        <v>1</v>
      </c>
      <c r="FC33" s="61"/>
      <c r="FD33" s="141" t="str">
        <f t="shared" si="4"/>
        <v>29-ene</v>
      </c>
      <c r="FE33" s="11" t="str">
        <f t="shared" si="5"/>
        <v/>
      </c>
      <c r="FF33" s="11" t="str">
        <f t="shared" si="6"/>
        <v/>
      </c>
      <c r="FG33" s="11" t="str">
        <f t="shared" si="7"/>
        <v/>
      </c>
      <c r="FI33" s="141" t="str">
        <f t="shared" si="8"/>
        <v>29-ene</v>
      </c>
      <c r="FJ33" s="11">
        <f t="shared" si="1"/>
        <v>1</v>
      </c>
      <c r="FK33" s="11">
        <f t="shared" si="2"/>
        <v>71</v>
      </c>
      <c r="FL33" s="11">
        <f t="shared" si="3"/>
        <v>1505</v>
      </c>
      <c r="FN33" s="141" t="str">
        <f t="shared" si="9"/>
        <v>29-ene</v>
      </c>
      <c r="FO33" s="11" t="str">
        <f t="shared" si="10"/>
        <v/>
      </c>
      <c r="FP33" s="11" t="str">
        <f t="shared" si="11"/>
        <v/>
      </c>
      <c r="FQ33" s="11" t="str">
        <f t="shared" si="12"/>
        <v/>
      </c>
    </row>
    <row r="34" spans="1:173">
      <c r="A34" s="37" t="s">
        <v>254</v>
      </c>
      <c r="B34" s="32">
        <v>0</v>
      </c>
      <c r="C34" s="32">
        <v>0</v>
      </c>
      <c r="D34" s="28" t="s">
        <v>254</v>
      </c>
      <c r="E34" s="20" t="e">
        <f>(GETPIVOTDATA("R. Gas GC [MBTU]",$A$25,"Meses",9)/GETPIVOTDATA("E.G. GAS [MWh]",$A$25,"Meses",9))*1000</f>
        <v>#DIV/0!</v>
      </c>
      <c r="BB34" s="43" t="s">
        <v>383</v>
      </c>
      <c r="BC34" s="61">
        <v>0</v>
      </c>
      <c r="BD34" s="61">
        <v>1264</v>
      </c>
      <c r="BE34" s="61">
        <v>1264</v>
      </c>
      <c r="BF34" s="61">
        <v>1307</v>
      </c>
      <c r="BI34" s="421" t="s">
        <v>383</v>
      </c>
      <c r="BJ34" s="61">
        <v>1307</v>
      </c>
      <c r="BK34" s="61">
        <v>1013.6326999999999</v>
      </c>
      <c r="BL34" s="61">
        <v>1307</v>
      </c>
      <c r="CH34" s="43" t="s">
        <v>383</v>
      </c>
      <c r="CI34" s="32">
        <v>5.6452934343434338</v>
      </c>
      <c r="CJ34" s="94">
        <v>8.44494454413433</v>
      </c>
      <c r="CL34" s="43" t="s">
        <v>383</v>
      </c>
      <c r="CM34" s="32">
        <v>554.76130995211167</v>
      </c>
      <c r="CN34" s="32">
        <v>1648.4336067148454</v>
      </c>
      <c r="CO34" s="32">
        <v>0</v>
      </c>
      <c r="DG34"/>
      <c r="DH34"/>
      <c r="DI34"/>
      <c r="DJ34"/>
      <c r="DK34"/>
      <c r="DL34"/>
      <c r="EF34" s="43" t="s">
        <v>383</v>
      </c>
      <c r="EG34" s="32">
        <v>12411</v>
      </c>
      <c r="EH34" s="32">
        <v>12302.202070145515</v>
      </c>
      <c r="EK34" s="43" t="s">
        <v>383</v>
      </c>
      <c r="EL34" s="32">
        <v>9495.7918898240241</v>
      </c>
      <c r="EM34" s="32">
        <v>12136.745460308764</v>
      </c>
      <c r="EQ34" s="43" t="s">
        <v>383</v>
      </c>
      <c r="ER34" s="61">
        <v>1505</v>
      </c>
      <c r="ES34" s="61">
        <v>0</v>
      </c>
      <c r="ET34" s="61">
        <v>80</v>
      </c>
      <c r="EU34" s="61">
        <v>0</v>
      </c>
      <c r="EW34" s="43" t="s">
        <v>383</v>
      </c>
      <c r="EX34" s="61">
        <v>1505</v>
      </c>
      <c r="EY34" s="61">
        <v>0</v>
      </c>
      <c r="EZ34" s="61">
        <v>80</v>
      </c>
      <c r="FA34" s="61">
        <v>0</v>
      </c>
      <c r="FB34" s="61">
        <v>0</v>
      </c>
      <c r="FC34" s="61"/>
      <c r="FD34" s="141" t="str">
        <f t="shared" si="4"/>
        <v>30-ene</v>
      </c>
      <c r="FE34" s="11" t="str">
        <f t="shared" si="5"/>
        <v/>
      </c>
      <c r="FF34" s="11" t="str">
        <f t="shared" si="6"/>
        <v/>
      </c>
      <c r="FG34" s="11" t="str">
        <f t="shared" si="7"/>
        <v/>
      </c>
      <c r="FI34" s="141" t="str">
        <f t="shared" si="8"/>
        <v>30-ene</v>
      </c>
      <c r="FJ34" s="11" t="str">
        <f t="shared" si="1"/>
        <v/>
      </c>
      <c r="FK34" s="11" t="str">
        <f t="shared" si="2"/>
        <v/>
      </c>
      <c r="FL34" s="11" t="str">
        <f t="shared" si="3"/>
        <v/>
      </c>
      <c r="FN34" s="141" t="str">
        <f t="shared" si="9"/>
        <v>30-ene</v>
      </c>
      <c r="FO34" s="11" t="str">
        <f t="shared" si="10"/>
        <v/>
      </c>
      <c r="FP34" s="11" t="str">
        <f t="shared" si="11"/>
        <v/>
      </c>
      <c r="FQ34" s="11" t="str">
        <f t="shared" si="12"/>
        <v/>
      </c>
    </row>
    <row r="35" spans="1:173">
      <c r="A35" s="37" t="s">
        <v>255</v>
      </c>
      <c r="B35" s="32">
        <v>0</v>
      </c>
      <c r="C35" s="32">
        <v>0</v>
      </c>
      <c r="D35" s="28" t="s">
        <v>255</v>
      </c>
      <c r="E35" s="20" t="e">
        <f>(GETPIVOTDATA("R. Gas GC [MBTU]",$A$25,"Meses",10)/GETPIVOTDATA("E.G. GAS [MWh]",$A$25,"Meses",10))*1000</f>
        <v>#DIV/0!</v>
      </c>
      <c r="BB35" s="43" t="s">
        <v>384</v>
      </c>
      <c r="BC35" s="61">
        <v>0</v>
      </c>
      <c r="BD35" s="61">
        <v>1488</v>
      </c>
      <c r="BE35" s="61">
        <v>1488</v>
      </c>
      <c r="BF35" s="61">
        <v>1508</v>
      </c>
      <c r="BI35" s="421" t="s">
        <v>384</v>
      </c>
      <c r="BJ35" s="61">
        <v>1508</v>
      </c>
      <c r="BK35" s="61">
        <v>1294.7348</v>
      </c>
      <c r="BL35" s="61">
        <v>1508</v>
      </c>
      <c r="CH35" s="43" t="s">
        <v>384</v>
      </c>
      <c r="CI35" s="32">
        <v>6.1699271990740732</v>
      </c>
      <c r="CJ35" s="94">
        <v>9.6435029298333319</v>
      </c>
      <c r="CL35" s="43" t="s">
        <v>384</v>
      </c>
      <c r="CM35" s="32">
        <v>2034.1248031577429</v>
      </c>
      <c r="CN35" s="32">
        <v>2020.9162005398359</v>
      </c>
      <c r="CO35" s="32">
        <v>0</v>
      </c>
      <c r="DG35"/>
      <c r="DH35"/>
      <c r="DI35"/>
      <c r="DJ35"/>
      <c r="DK35"/>
      <c r="DL35"/>
      <c r="EF35" s="43" t="s">
        <v>384</v>
      </c>
      <c r="EG35" s="32">
        <v>14050</v>
      </c>
      <c r="EH35" s="32">
        <v>13959.683647722115</v>
      </c>
      <c r="EK35" s="43" t="s">
        <v>384</v>
      </c>
      <c r="EL35" s="32">
        <v>9316.9761273209533</v>
      </c>
      <c r="EM35" s="32">
        <v>10781.886489590081</v>
      </c>
      <c r="EQ35" s="43" t="s">
        <v>384</v>
      </c>
      <c r="ER35" s="61">
        <v>1505</v>
      </c>
      <c r="ES35" s="61">
        <v>0</v>
      </c>
      <c r="ET35" s="61">
        <v>80</v>
      </c>
      <c r="EU35" s="61">
        <v>0</v>
      </c>
      <c r="EW35" s="43" t="s">
        <v>384</v>
      </c>
      <c r="EX35" s="61">
        <v>1505</v>
      </c>
      <c r="EY35" s="61">
        <v>0</v>
      </c>
      <c r="EZ35" s="61">
        <v>80</v>
      </c>
      <c r="FA35" s="61">
        <v>0</v>
      </c>
      <c r="FB35" s="61">
        <v>0</v>
      </c>
      <c r="FD35" s="141" t="str">
        <f t="shared" si="4"/>
        <v>31-ene</v>
      </c>
      <c r="FE35" s="11" t="str">
        <f t="shared" si="5"/>
        <v/>
      </c>
      <c r="FF35" s="11" t="str">
        <f t="shared" si="6"/>
        <v/>
      </c>
      <c r="FG35" s="11" t="str">
        <f t="shared" si="7"/>
        <v/>
      </c>
      <c r="FI35" s="141" t="str">
        <f>EW35</f>
        <v>31-ene</v>
      </c>
      <c r="FJ35" s="11" t="str">
        <f t="shared" si="1"/>
        <v/>
      </c>
      <c r="FK35" s="11" t="str">
        <f t="shared" si="2"/>
        <v/>
      </c>
      <c r="FL35" s="11" t="str">
        <f t="shared" si="3"/>
        <v/>
      </c>
      <c r="FN35" s="141" t="str">
        <f t="shared" si="9"/>
        <v>31-ene</v>
      </c>
      <c r="FO35" s="11" t="str">
        <f t="shared" si="10"/>
        <v/>
      </c>
      <c r="FP35" s="11" t="str">
        <f t="shared" si="11"/>
        <v/>
      </c>
      <c r="FQ35" s="11" t="str">
        <f t="shared" si="12"/>
        <v/>
      </c>
    </row>
    <row r="36" spans="1:173">
      <c r="A36" s="37" t="s">
        <v>256</v>
      </c>
      <c r="B36" s="32">
        <v>0</v>
      </c>
      <c r="C36" s="32">
        <v>0</v>
      </c>
      <c r="D36" s="28" t="s">
        <v>256</v>
      </c>
      <c r="E36" s="20" t="e">
        <f>(GETPIVOTDATA("R. Gas GC [MBTU]",$A$25,"Meses",11)/GETPIVOTDATA("E.G. GAS [MWh]",$A$25,"Meses",11))*1000</f>
        <v>#DIV/0!</v>
      </c>
      <c r="BB36" s="37" t="s">
        <v>247</v>
      </c>
      <c r="BI36" s="37" t="s">
        <v>247</v>
      </c>
      <c r="CH36" s="37" t="s">
        <v>247</v>
      </c>
      <c r="CJ36" s="94"/>
      <c r="CL36" s="37" t="s">
        <v>247</v>
      </c>
      <c r="DG36"/>
      <c r="DH36"/>
      <c r="DI36"/>
      <c r="DJ36"/>
      <c r="DK36"/>
      <c r="DL36"/>
      <c r="EF36" s="37" t="s">
        <v>247</v>
      </c>
      <c r="EK36" s="37" t="s">
        <v>247</v>
      </c>
      <c r="EL36" s="32"/>
      <c r="EM36" s="32"/>
      <c r="EQ36" s="37" t="s">
        <v>247</v>
      </c>
      <c r="ER36" s="61"/>
      <c r="ES36" s="61"/>
      <c r="ET36" s="61"/>
      <c r="EU36" s="61"/>
      <c r="EW36" s="37" t="s">
        <v>247</v>
      </c>
      <c r="EX36" s="61"/>
      <c r="EY36" s="61"/>
      <c r="EZ36" s="61"/>
      <c r="FA36" s="61"/>
      <c r="FB36" s="61"/>
      <c r="FD36" s="141"/>
      <c r="FE36" s="11" t="str">
        <f t="shared" si="5"/>
        <v/>
      </c>
      <c r="FF36" s="11" t="str">
        <f t="shared" si="6"/>
        <v/>
      </c>
      <c r="FG36" s="11" t="str">
        <f t="shared" si="7"/>
        <v/>
      </c>
      <c r="FI36" s="141"/>
      <c r="FJ36" s="11" t="str">
        <f t="shared" si="1"/>
        <v/>
      </c>
      <c r="FK36" s="11" t="str">
        <f t="shared" si="2"/>
        <v/>
      </c>
      <c r="FL36" s="11" t="str">
        <f t="shared" si="3"/>
        <v/>
      </c>
      <c r="FN36" s="141"/>
      <c r="FO36" s="11" t="str">
        <f t="shared" si="10"/>
        <v/>
      </c>
      <c r="FP36" s="11" t="str">
        <f t="shared" si="11"/>
        <v/>
      </c>
      <c r="FQ36" s="11" t="str">
        <f t="shared" si="12"/>
        <v/>
      </c>
    </row>
    <row r="37" spans="1:173">
      <c r="A37" s="37" t="s">
        <v>257</v>
      </c>
      <c r="B37" s="32">
        <v>0</v>
      </c>
      <c r="C37" s="32">
        <v>0</v>
      </c>
      <c r="D37" s="28" t="s">
        <v>257</v>
      </c>
      <c r="E37" s="20" t="e">
        <f>(GETPIVOTDATA("R. Gas GC [MBTU]",$A$25,"Meses",12)/GETPIVOTDATA("E.G. GAS [MWh]",$A$25,"Meses",12))*1000</f>
        <v>#DIV/0!</v>
      </c>
      <c r="BB37" s="43" t="s">
        <v>385</v>
      </c>
      <c r="BC37" s="61">
        <v>0</v>
      </c>
      <c r="BD37" s="61">
        <v>1488</v>
      </c>
      <c r="BE37" s="61">
        <v>1434</v>
      </c>
      <c r="BF37" s="61">
        <v>2017</v>
      </c>
      <c r="BI37" s="421" t="s">
        <v>385</v>
      </c>
      <c r="BJ37" s="61">
        <v>1434</v>
      </c>
      <c r="BK37" s="61">
        <v>1421.8445000000002</v>
      </c>
      <c r="BL37" s="61">
        <v>2017</v>
      </c>
      <c r="CH37" s="43" t="s">
        <v>385</v>
      </c>
      <c r="CI37" s="32">
        <v>7.2201270254629621</v>
      </c>
      <c r="CJ37" s="94">
        <v>8.8531270555904911</v>
      </c>
      <c r="CL37" s="43" t="s">
        <v>385</v>
      </c>
      <c r="CM37" s="32">
        <v>1664.2839298563351</v>
      </c>
      <c r="CN37" s="32">
        <v>1743.5355455637796</v>
      </c>
      <c r="CO37" s="32">
        <v>0</v>
      </c>
      <c r="DG37"/>
      <c r="DH37"/>
      <c r="DI37"/>
      <c r="DJ37"/>
      <c r="DK37"/>
      <c r="DL37"/>
      <c r="EF37" s="43" t="s">
        <v>385</v>
      </c>
      <c r="EG37" s="32">
        <v>13448</v>
      </c>
      <c r="EH37" s="32">
        <v>13354.835126788468</v>
      </c>
      <c r="EK37" s="43" t="s">
        <v>385</v>
      </c>
      <c r="EL37" s="32">
        <v>9377.9637377963736</v>
      </c>
      <c r="EM37" s="32">
        <v>9392.6129944508466</v>
      </c>
      <c r="EQ37" s="43" t="s">
        <v>385</v>
      </c>
      <c r="ER37" s="61">
        <v>1505</v>
      </c>
      <c r="ES37" s="61">
        <v>0</v>
      </c>
      <c r="ET37" s="61">
        <v>80</v>
      </c>
      <c r="EU37" s="61">
        <v>0</v>
      </c>
      <c r="EW37" s="43" t="s">
        <v>385</v>
      </c>
      <c r="EX37" s="61">
        <v>1505</v>
      </c>
      <c r="EY37" s="61">
        <v>0</v>
      </c>
      <c r="EZ37" s="61">
        <v>80</v>
      </c>
      <c r="FA37" s="61">
        <v>0</v>
      </c>
      <c r="FB37" s="61">
        <v>0</v>
      </c>
      <c r="FD37" s="141" t="str">
        <f t="shared" si="4"/>
        <v>1-feb</v>
      </c>
      <c r="FE37" s="11" t="str">
        <f t="shared" si="5"/>
        <v/>
      </c>
      <c r="FF37" s="11" t="str">
        <f t="shared" si="6"/>
        <v/>
      </c>
      <c r="FG37" s="11" t="str">
        <f t="shared" si="7"/>
        <v/>
      </c>
      <c r="FI37" s="141" t="str">
        <f t="shared" ref="FI37:FI104" si="20">EW37</f>
        <v>1-feb</v>
      </c>
      <c r="FJ37" s="11" t="str">
        <f t="shared" si="1"/>
        <v/>
      </c>
      <c r="FK37" s="11" t="str">
        <f t="shared" ref="FK37:FK69" si="21">IF(FJ37=1,EZ37,"")</f>
        <v/>
      </c>
      <c r="FL37" s="11" t="str">
        <f t="shared" ref="FL37:FL69" si="22">IF(FJ37=1,EX37,"")</f>
        <v/>
      </c>
      <c r="FN37" s="141" t="str">
        <f t="shared" si="9"/>
        <v>1-feb</v>
      </c>
      <c r="FO37" s="11" t="str">
        <f t="shared" si="10"/>
        <v/>
      </c>
      <c r="FP37" s="11" t="str">
        <f t="shared" si="11"/>
        <v/>
      </c>
      <c r="FQ37" s="11" t="str">
        <f t="shared" si="12"/>
        <v/>
      </c>
    </row>
    <row r="38" spans="1:173">
      <c r="B38"/>
      <c r="C38"/>
      <c r="BB38" s="43" t="s">
        <v>386</v>
      </c>
      <c r="BC38" s="61">
        <v>0</v>
      </c>
      <c r="BD38" s="61">
        <v>1264</v>
      </c>
      <c r="BE38" s="61">
        <v>1123</v>
      </c>
      <c r="BF38" s="61">
        <v>2147</v>
      </c>
      <c r="BI38" s="421" t="s">
        <v>386</v>
      </c>
      <c r="BJ38" s="61">
        <v>1123</v>
      </c>
      <c r="BK38" s="61">
        <v>1111.9875999999997</v>
      </c>
      <c r="BL38" s="61">
        <v>2147</v>
      </c>
      <c r="CH38" s="43" t="s">
        <v>386</v>
      </c>
      <c r="CI38" s="32">
        <v>6.7034079996392482</v>
      </c>
      <c r="CJ38" s="94">
        <v>8.6559152803925734</v>
      </c>
      <c r="CL38" s="43" t="s">
        <v>386</v>
      </c>
      <c r="CM38" s="32">
        <v>871.76777278188979</v>
      </c>
      <c r="CN38" s="32">
        <v>1566.5402704838207</v>
      </c>
      <c r="CO38" s="32">
        <v>0</v>
      </c>
      <c r="DG38"/>
      <c r="DH38"/>
      <c r="DI38"/>
      <c r="DJ38"/>
      <c r="DK38"/>
      <c r="DL38"/>
      <c r="EF38" s="43" t="s">
        <v>386</v>
      </c>
      <c r="EG38" s="32">
        <v>10647</v>
      </c>
      <c r="EH38" s="32">
        <v>10576.267286085846</v>
      </c>
      <c r="EK38" s="43" t="s">
        <v>386</v>
      </c>
      <c r="EL38" s="32">
        <v>9480.8548530721273</v>
      </c>
      <c r="EM38" s="32">
        <v>9511.1377915417834</v>
      </c>
      <c r="EQ38" s="43" t="s">
        <v>386</v>
      </c>
      <c r="ER38" s="61">
        <v>1505</v>
      </c>
      <c r="ES38" s="61">
        <v>0</v>
      </c>
      <c r="ET38" s="61">
        <v>80</v>
      </c>
      <c r="EU38" s="61">
        <v>0</v>
      </c>
      <c r="EW38" s="43" t="s">
        <v>386</v>
      </c>
      <c r="EX38" s="61">
        <v>1505</v>
      </c>
      <c r="EY38" s="61">
        <v>0</v>
      </c>
      <c r="EZ38" s="61">
        <v>80</v>
      </c>
      <c r="FA38" s="61">
        <v>0</v>
      </c>
      <c r="FB38" s="61">
        <v>0</v>
      </c>
      <c r="FD38" s="141" t="str">
        <f t="shared" si="4"/>
        <v>2-feb</v>
      </c>
      <c r="FE38" s="11" t="str">
        <f t="shared" si="5"/>
        <v/>
      </c>
      <c r="FF38" s="11" t="str">
        <f t="shared" si="6"/>
        <v/>
      </c>
      <c r="FG38" s="11" t="str">
        <f t="shared" si="7"/>
        <v/>
      </c>
      <c r="FI38" s="141" t="str">
        <f t="shared" si="20"/>
        <v>2-feb</v>
      </c>
      <c r="FJ38" s="11" t="str">
        <f t="shared" si="1"/>
        <v/>
      </c>
      <c r="FK38" s="11" t="str">
        <f t="shared" si="21"/>
        <v/>
      </c>
      <c r="FL38" s="11" t="str">
        <f t="shared" si="22"/>
        <v/>
      </c>
      <c r="FN38" s="141" t="str">
        <f t="shared" si="9"/>
        <v>2-feb</v>
      </c>
      <c r="FO38" s="11" t="str">
        <f t="shared" si="10"/>
        <v/>
      </c>
      <c r="FP38" s="11" t="str">
        <f>IF(FO38=1,FA38,"")</f>
        <v/>
      </c>
      <c r="FQ38" s="11" t="str">
        <f t="shared" si="12"/>
        <v/>
      </c>
    </row>
    <row r="39" spans="1:173">
      <c r="A39" s="28"/>
      <c r="B39" s="128" t="s">
        <v>246</v>
      </c>
      <c r="C39" s="128" t="s">
        <v>247</v>
      </c>
      <c r="D39" s="128" t="s">
        <v>248</v>
      </c>
      <c r="E39" s="128" t="s">
        <v>249</v>
      </c>
      <c r="F39" s="128" t="s">
        <v>250</v>
      </c>
      <c r="G39" s="128" t="s">
        <v>251</v>
      </c>
      <c r="H39" s="128" t="s">
        <v>252</v>
      </c>
      <c r="I39" s="128" t="s">
        <v>253</v>
      </c>
      <c r="J39" s="128" t="s">
        <v>254</v>
      </c>
      <c r="K39" s="128" t="s">
        <v>255</v>
      </c>
      <c r="L39" s="128" t="s">
        <v>256</v>
      </c>
      <c r="M39" s="128" t="s">
        <v>257</v>
      </c>
      <c r="O39" s="118"/>
      <c r="P39" s="245"/>
      <c r="BB39" s="43" t="s">
        <v>387</v>
      </c>
      <c r="BC39" s="61">
        <v>0</v>
      </c>
      <c r="BD39" s="61">
        <v>1326</v>
      </c>
      <c r="BE39" s="61">
        <v>1264</v>
      </c>
      <c r="BF39" s="61">
        <v>1301</v>
      </c>
      <c r="BI39" s="421" t="s">
        <v>387</v>
      </c>
      <c r="BJ39" s="61">
        <v>1301</v>
      </c>
      <c r="BK39" s="61">
        <v>1289.2734999999998</v>
      </c>
      <c r="BL39" s="61">
        <v>1301</v>
      </c>
      <c r="CH39" s="43" t="s">
        <v>387</v>
      </c>
      <c r="CI39" s="32">
        <v>7.1192190710678211</v>
      </c>
      <c r="CJ39" s="94">
        <v>8.6439471682321649</v>
      </c>
      <c r="CL39" s="43" t="s">
        <v>387</v>
      </c>
      <c r="CM39" s="32">
        <v>12944.430565549274</v>
      </c>
      <c r="CN39" s="32">
        <v>1709.1931787572203</v>
      </c>
      <c r="CO39" s="32">
        <v>0</v>
      </c>
      <c r="DG39"/>
      <c r="DH39"/>
      <c r="DI39"/>
      <c r="DJ39"/>
      <c r="DK39"/>
      <c r="DL39"/>
      <c r="EF39" s="43" t="s">
        <v>387</v>
      </c>
      <c r="EG39" s="32">
        <v>10566</v>
      </c>
      <c r="EH39" s="32">
        <v>10476.321586617156</v>
      </c>
      <c r="EK39" s="43" t="s">
        <v>387</v>
      </c>
      <c r="EL39" s="32">
        <v>8121.4450422751734</v>
      </c>
      <c r="EM39" s="32">
        <v>8125.755773788228</v>
      </c>
      <c r="EQ39" s="43" t="s">
        <v>387</v>
      </c>
      <c r="ER39" s="61">
        <v>1505</v>
      </c>
      <c r="ES39" s="61">
        <v>0</v>
      </c>
      <c r="ET39" s="61">
        <v>80</v>
      </c>
      <c r="EU39" s="61">
        <v>0</v>
      </c>
      <c r="EW39" s="43" t="s">
        <v>387</v>
      </c>
      <c r="EX39" s="61">
        <v>1505</v>
      </c>
      <c r="EY39" s="61">
        <v>0</v>
      </c>
      <c r="EZ39" s="61">
        <v>80</v>
      </c>
      <c r="FA39" s="61">
        <v>0</v>
      </c>
      <c r="FB39" s="61">
        <v>0</v>
      </c>
      <c r="FD39" s="141" t="str">
        <f t="shared" si="4"/>
        <v>3-feb</v>
      </c>
      <c r="FE39" s="11" t="str">
        <f t="shared" si="5"/>
        <v/>
      </c>
      <c r="FF39" s="11" t="str">
        <f t="shared" si="6"/>
        <v/>
      </c>
      <c r="FG39" s="11" t="str">
        <f t="shared" si="7"/>
        <v/>
      </c>
      <c r="FI39" s="141" t="str">
        <f t="shared" si="20"/>
        <v>3-feb</v>
      </c>
      <c r="FJ39" s="11" t="str">
        <f t="shared" si="1"/>
        <v/>
      </c>
      <c r="FK39" s="11" t="str">
        <f t="shared" si="21"/>
        <v/>
      </c>
      <c r="FL39" s="11" t="str">
        <f t="shared" si="22"/>
        <v/>
      </c>
      <c r="FN39" s="141" t="str">
        <f t="shared" si="9"/>
        <v>3-feb</v>
      </c>
      <c r="FO39" s="11" t="str">
        <f t="shared" si="10"/>
        <v/>
      </c>
      <c r="FP39" s="11" t="str">
        <f t="shared" si="11"/>
        <v/>
      </c>
      <c r="FQ39" s="11" t="str">
        <f t="shared" si="12"/>
        <v/>
      </c>
    </row>
    <row r="40" spans="1:173">
      <c r="A40" s="129" t="s">
        <v>300</v>
      </c>
      <c r="B40" s="130">
        <v>1</v>
      </c>
      <c r="C40" s="130">
        <v>2</v>
      </c>
      <c r="D40" s="130">
        <v>3</v>
      </c>
      <c r="E40" s="130">
        <v>4</v>
      </c>
      <c r="F40" s="130">
        <v>5</v>
      </c>
      <c r="G40" s="130">
        <v>6</v>
      </c>
      <c r="H40" s="130">
        <v>7</v>
      </c>
      <c r="I40" s="130">
        <v>8</v>
      </c>
      <c r="J40" s="130">
        <v>9</v>
      </c>
      <c r="K40" s="130">
        <v>10</v>
      </c>
      <c r="L40" s="130">
        <v>11</v>
      </c>
      <c r="M40" s="130">
        <v>12</v>
      </c>
      <c r="O40" s="246"/>
      <c r="P40" s="247"/>
      <c r="BB40" s="43" t="s">
        <v>388</v>
      </c>
      <c r="BC40" s="61">
        <v>0</v>
      </c>
      <c r="BD40" s="61">
        <v>1202</v>
      </c>
      <c r="BE40" s="61">
        <v>1202</v>
      </c>
      <c r="BF40" s="61">
        <v>1248</v>
      </c>
      <c r="BI40" s="421" t="s">
        <v>388</v>
      </c>
      <c r="BJ40" s="61">
        <v>1248</v>
      </c>
      <c r="BK40" s="61">
        <v>1237.1931</v>
      </c>
      <c r="BL40" s="61">
        <v>1248</v>
      </c>
      <c r="CH40" s="43" t="s">
        <v>388</v>
      </c>
      <c r="CI40" s="32">
        <v>7.146428656462585</v>
      </c>
      <c r="CJ40" s="94">
        <v>7.9454439315621528</v>
      </c>
      <c r="CL40" s="43" t="s">
        <v>388</v>
      </c>
      <c r="CM40" s="32">
        <v>9246.0218325351943</v>
      </c>
      <c r="CN40" s="32">
        <v>1505.7806984414458</v>
      </c>
      <c r="CO40" s="32">
        <v>0</v>
      </c>
      <c r="DG40"/>
      <c r="DH40"/>
      <c r="DI40"/>
      <c r="DJ40"/>
      <c r="DK40"/>
      <c r="DL40"/>
      <c r="EF40" s="43" t="s">
        <v>388</v>
      </c>
      <c r="EG40" s="32">
        <v>10532</v>
      </c>
      <c r="EH40" s="32">
        <v>10464.290108539615</v>
      </c>
      <c r="EK40" s="43" t="s">
        <v>388</v>
      </c>
      <c r="EL40" s="32">
        <v>8439.1025641025644</v>
      </c>
      <c r="EM40" s="32">
        <v>8458.0896131247537</v>
      </c>
      <c r="EQ40" s="43" t="s">
        <v>388</v>
      </c>
      <c r="ER40" s="61">
        <v>1505</v>
      </c>
      <c r="ES40" s="61">
        <v>0</v>
      </c>
      <c r="ET40" s="61">
        <v>80</v>
      </c>
      <c r="EU40" s="61">
        <v>0</v>
      </c>
      <c r="EW40" s="43" t="s">
        <v>388</v>
      </c>
      <c r="EX40" s="61">
        <v>1505</v>
      </c>
      <c r="EY40" s="61">
        <v>0</v>
      </c>
      <c r="EZ40" s="61">
        <v>80</v>
      </c>
      <c r="FA40" s="61">
        <v>0</v>
      </c>
      <c r="FB40" s="61">
        <v>1</v>
      </c>
      <c r="FD40" s="141" t="str">
        <f t="shared" si="4"/>
        <v>4-feb</v>
      </c>
      <c r="FE40" s="11" t="str">
        <f>IF(EY40&gt;0,IF(FB40&gt;0,FB40,""),"")</f>
        <v/>
      </c>
      <c r="FF40" s="11" t="str">
        <f t="shared" si="6"/>
        <v/>
      </c>
      <c r="FG40" s="11" t="str">
        <f t="shared" si="7"/>
        <v/>
      </c>
      <c r="FI40" s="141" t="str">
        <f t="shared" si="20"/>
        <v>4-feb</v>
      </c>
      <c r="FJ40" s="11">
        <f t="shared" si="1"/>
        <v>1</v>
      </c>
      <c r="FK40" s="11">
        <f t="shared" si="21"/>
        <v>80</v>
      </c>
      <c r="FL40" s="11">
        <f t="shared" si="22"/>
        <v>1505</v>
      </c>
      <c r="FN40" s="141" t="str">
        <f t="shared" si="9"/>
        <v>4-feb</v>
      </c>
      <c r="FO40" s="11" t="str">
        <f t="shared" si="10"/>
        <v/>
      </c>
      <c r="FP40" s="11" t="str">
        <f t="shared" si="11"/>
        <v/>
      </c>
      <c r="FQ40" s="11" t="str">
        <f t="shared" si="12"/>
        <v/>
      </c>
    </row>
    <row r="41" spans="1:173">
      <c r="A41" s="131" t="s">
        <v>265</v>
      </c>
      <c r="B41" s="132">
        <f>IFERROR((VLOOKUP('T. Dina'!$A41,'T. Dina'!$A$13:$H$22,2,0)),"")</f>
        <v>39379</v>
      </c>
      <c r="C41" s="132">
        <f>IFERROR((VLOOKUP('T. Dina'!$A41,'T. Dina'!$A$13:$H$22,3,0)),"")</f>
        <v>41304</v>
      </c>
      <c r="D41" s="132">
        <f>IFERROR((VLOOKUP('T. Dina'!$A41,'T. Dina'!$A$13:$H$22,4,0)),"")</f>
        <v>43619</v>
      </c>
      <c r="E41" s="132">
        <f>IFERROR((VLOOKUP('T. Dina'!$A41,'T. Dina'!$A$13:$H$22,5,0)),"")</f>
        <v>45344</v>
      </c>
      <c r="F41" s="132">
        <f>IFERROR((VLOOKUP('T. Dina'!$A41,'T. Dina'!$A$13:$H$22,6,0)),"")</f>
        <v>56653</v>
      </c>
      <c r="G41" s="132">
        <f>IFERROR((VLOOKUP('T. Dina'!$A41,'T. Dina'!$A$13:$H$22,7,0)),"")</f>
        <v>50459</v>
      </c>
      <c r="H41" s="132">
        <f>IFERROR((VLOOKUP('T. Dina'!$A41,'T. Dina'!$A$13:$H$22,8,0)),"")</f>
        <v>40464</v>
      </c>
      <c r="I41" s="132">
        <f>IFERROR((VLOOKUP('T. Dina'!$A41,'T. Dina'!$A$13:$I$22,9,0)),"")</f>
        <v>0</v>
      </c>
      <c r="J41" s="132">
        <f>IFERROR((VLOOKUP('T. Dina'!$A41,'T. Dina'!$A$13:$J$22,10,0)),"")</f>
        <v>0</v>
      </c>
      <c r="K41" s="132">
        <f>IFERROR((VLOOKUP('T. Dina'!$A41,'T. Dina'!$A$13:$K$22,11,0)),"")</f>
        <v>0</v>
      </c>
      <c r="L41" s="132">
        <f>IFERROR((VLOOKUP('T. Dina'!$A41,'T. Dina'!$A$13:$L$22,12,0)),"")</f>
        <v>0</v>
      </c>
      <c r="M41" s="132">
        <f>IFERROR((VLOOKUP('T. Dina'!$A41,'T. Dina'!$A$13:$M$22,13,0)),"")</f>
        <v>0</v>
      </c>
      <c r="O41" s="246"/>
      <c r="P41" s="247"/>
      <c r="BB41" s="43" t="s">
        <v>389</v>
      </c>
      <c r="BC41" s="61">
        <v>0</v>
      </c>
      <c r="BD41" s="61">
        <v>1016</v>
      </c>
      <c r="BE41" s="61">
        <v>1016</v>
      </c>
      <c r="BF41" s="61">
        <v>1053</v>
      </c>
      <c r="BI41" s="421" t="s">
        <v>389</v>
      </c>
      <c r="BJ41" s="61">
        <v>1053</v>
      </c>
      <c r="BK41" s="61">
        <v>1043.2576999999999</v>
      </c>
      <c r="BL41" s="61">
        <v>1053</v>
      </c>
      <c r="CH41" s="43" t="s">
        <v>389</v>
      </c>
      <c r="CI41" s="32">
        <v>7.4190681657848323</v>
      </c>
      <c r="CJ41" s="94">
        <v>9.0231197666356699</v>
      </c>
      <c r="CL41" s="43" t="s">
        <v>389</v>
      </c>
      <c r="CM41" s="32">
        <v>1030.2710041967789</v>
      </c>
      <c r="CN41" s="32">
        <v>1341.9940259793934</v>
      </c>
      <c r="CO41" s="32">
        <v>0</v>
      </c>
      <c r="DG41"/>
      <c r="DH41"/>
      <c r="DI41"/>
      <c r="DJ41"/>
      <c r="DK41"/>
      <c r="DL41"/>
      <c r="EF41" s="43" t="s">
        <v>389</v>
      </c>
      <c r="EG41" s="32">
        <v>9926</v>
      </c>
      <c r="EH41" s="32">
        <v>9837.2108783286276</v>
      </c>
      <c r="EK41" s="43" t="s">
        <v>389</v>
      </c>
      <c r="EL41" s="32">
        <v>9426.4007597340933</v>
      </c>
      <c r="EM41" s="32">
        <v>9429.3201749947566</v>
      </c>
      <c r="EQ41" s="43" t="s">
        <v>389</v>
      </c>
      <c r="ER41" s="61">
        <v>1505</v>
      </c>
      <c r="ES41" s="61">
        <v>0</v>
      </c>
      <c r="ET41" s="61">
        <v>80</v>
      </c>
      <c r="EU41" s="61">
        <v>0</v>
      </c>
      <c r="EW41" s="43" t="s">
        <v>389</v>
      </c>
      <c r="EX41" s="61">
        <v>1505</v>
      </c>
      <c r="EY41" s="61">
        <v>0</v>
      </c>
      <c r="EZ41" s="61">
        <v>80</v>
      </c>
      <c r="FA41" s="61">
        <v>0</v>
      </c>
      <c r="FB41" s="61">
        <v>1</v>
      </c>
      <c r="FD41" s="141" t="str">
        <f t="shared" si="4"/>
        <v>5-feb</v>
      </c>
      <c r="FE41" s="11" t="str">
        <f t="shared" si="5"/>
        <v/>
      </c>
      <c r="FF41" s="11" t="str">
        <f t="shared" si="6"/>
        <v/>
      </c>
      <c r="FG41" s="11" t="str">
        <f t="shared" si="7"/>
        <v/>
      </c>
      <c r="FI41" s="141" t="str">
        <f t="shared" si="20"/>
        <v>5-feb</v>
      </c>
      <c r="FJ41" s="11">
        <f t="shared" si="1"/>
        <v>1</v>
      </c>
      <c r="FK41" s="11">
        <f t="shared" si="21"/>
        <v>80</v>
      </c>
      <c r="FL41" s="11">
        <f t="shared" si="22"/>
        <v>1505</v>
      </c>
      <c r="FN41" s="141" t="str">
        <f t="shared" si="9"/>
        <v>5-feb</v>
      </c>
      <c r="FO41" s="11" t="str">
        <f t="shared" si="10"/>
        <v/>
      </c>
      <c r="FP41" s="11" t="str">
        <f t="shared" si="11"/>
        <v/>
      </c>
      <c r="FQ41" s="11" t="str">
        <f t="shared" si="12"/>
        <v/>
      </c>
    </row>
    <row r="42" spans="1:173">
      <c r="A42" s="131" t="s">
        <v>267</v>
      </c>
      <c r="B42" s="132">
        <f>IFERROR((VLOOKUP('T. Dina'!$A42,'T. Dina'!$A$14:$H$22,2,0)),"")</f>
        <v>38507.335800000001</v>
      </c>
      <c r="C42" s="132">
        <f>IFERROR((VLOOKUP('T. Dina'!$A42,'T. Dina'!$A$14:$H$22,3,0)),"")</f>
        <v>38632.915699999983</v>
      </c>
      <c r="D42" s="132">
        <f>IFERROR((VLOOKUP('T. Dina'!$A42,'T. Dina'!$A$14:$H$22,4,0)),"")</f>
        <v>40041.718199999988</v>
      </c>
      <c r="E42" s="132">
        <f>IFERROR((VLOOKUP('T. Dina'!$A42,'T. Dina'!$A$14:$H$22,5,0)),"")</f>
        <v>39108.430000000008</v>
      </c>
      <c r="F42" s="132">
        <f>IFERROR((VLOOKUP('T. Dina'!$A42,'T. Dina'!$A$14:$H$22,6,0)),"")</f>
        <v>43698.422699999996</v>
      </c>
      <c r="G42" s="132">
        <f>IFERROR((VLOOKUP('T. Dina'!$A42,'T. Dina'!$A$14:$H$22,7,0)),"")</f>
        <v>41183.197900000006</v>
      </c>
      <c r="H42" s="132">
        <f>IFERROR((VLOOKUP('T. Dina'!$A42,'T. Dina'!$A$14:$H$22,8,0)),"")</f>
        <v>39806.082800000011</v>
      </c>
      <c r="I42" s="132">
        <f>IFERROR((VLOOKUP('T. Dina'!$A42,'T. Dina'!$A$14:$I$22,9,0)),"")</f>
        <v>29018.486000000004</v>
      </c>
      <c r="J42" s="132">
        <f>IFERROR((VLOOKUP('T. Dina'!$A42,'T. Dina'!$A$14:$J$22,10,0)),"")</f>
        <v>0</v>
      </c>
      <c r="K42" s="132">
        <f>IFERROR((VLOOKUP('T. Dina'!$A42,'T. Dina'!$A$14:$K$22,11,0)),"")</f>
        <v>0</v>
      </c>
      <c r="L42" s="132">
        <f>IFERROR((VLOOKUP('T. Dina'!$A42,'T. Dina'!$A$14:$L$22,12,0)),"")</f>
        <v>0</v>
      </c>
      <c r="M42" s="132">
        <f>IFERROR((VLOOKUP('T. Dina'!$A42,'T. Dina'!$A$14:$M$22,13,0)),"")</f>
        <v>0</v>
      </c>
      <c r="O42" s="246"/>
      <c r="P42" s="247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B42" s="43" t="s">
        <v>390</v>
      </c>
      <c r="BC42" s="61">
        <v>0</v>
      </c>
      <c r="BD42" s="61">
        <v>1488</v>
      </c>
      <c r="BE42" s="61">
        <v>1488</v>
      </c>
      <c r="BF42" s="61">
        <v>1337</v>
      </c>
      <c r="BI42" s="421" t="s">
        <v>390</v>
      </c>
      <c r="BJ42" s="61">
        <v>1251</v>
      </c>
      <c r="BK42" s="61">
        <v>1240.7678999999998</v>
      </c>
      <c r="BL42" s="61">
        <v>1337</v>
      </c>
      <c r="CH42" s="43" t="s">
        <v>390</v>
      </c>
      <c r="CI42" s="32">
        <v>6.554173346560848</v>
      </c>
      <c r="CJ42" s="94">
        <v>8.851313417521121</v>
      </c>
      <c r="CL42" s="43" t="s">
        <v>390</v>
      </c>
      <c r="CM42" s="32">
        <v>607.59572042374134</v>
      </c>
      <c r="CN42" s="32">
        <v>1608.8077988611235</v>
      </c>
      <c r="CO42" s="32">
        <v>0</v>
      </c>
      <c r="DG42"/>
      <c r="DH42"/>
      <c r="DI42"/>
      <c r="DJ42"/>
      <c r="DK42"/>
      <c r="DL42"/>
      <c r="EF42" s="43" t="s">
        <v>390</v>
      </c>
      <c r="EG42" s="32">
        <v>11819</v>
      </c>
      <c r="EH42" s="32">
        <v>11745.818422599972</v>
      </c>
      <c r="EK42" s="43" t="s">
        <v>390</v>
      </c>
      <c r="EL42" s="32">
        <v>9447.6418864908064</v>
      </c>
      <c r="EM42" s="32">
        <v>9466.5718081520117</v>
      </c>
      <c r="EQ42" s="43" t="s">
        <v>390</v>
      </c>
      <c r="ER42" s="61">
        <v>1505</v>
      </c>
      <c r="ES42" s="61">
        <v>0</v>
      </c>
      <c r="ET42" s="61">
        <v>80</v>
      </c>
      <c r="EU42" s="61">
        <v>0</v>
      </c>
      <c r="EW42" s="43" t="s">
        <v>390</v>
      </c>
      <c r="EX42" s="61">
        <v>1505</v>
      </c>
      <c r="EY42" s="61">
        <v>0</v>
      </c>
      <c r="EZ42" s="61">
        <v>80</v>
      </c>
      <c r="FA42" s="61">
        <v>0</v>
      </c>
      <c r="FB42" s="61">
        <v>1</v>
      </c>
      <c r="FD42" s="141" t="str">
        <f t="shared" si="4"/>
        <v>6-feb</v>
      </c>
      <c r="FE42" s="11" t="str">
        <f t="shared" si="5"/>
        <v/>
      </c>
      <c r="FF42" s="11" t="str">
        <f t="shared" si="6"/>
        <v/>
      </c>
      <c r="FG42" s="11" t="str">
        <f t="shared" si="7"/>
        <v/>
      </c>
      <c r="FI42" s="141" t="str">
        <f t="shared" si="20"/>
        <v>6-feb</v>
      </c>
      <c r="FJ42" s="11">
        <f t="shared" si="1"/>
        <v>1</v>
      </c>
      <c r="FK42" s="11">
        <f t="shared" si="21"/>
        <v>80</v>
      </c>
      <c r="FL42" s="11">
        <f t="shared" si="22"/>
        <v>1505</v>
      </c>
      <c r="FN42" s="141" t="str">
        <f t="shared" si="9"/>
        <v>6-feb</v>
      </c>
      <c r="FO42" s="11" t="str">
        <f t="shared" si="10"/>
        <v/>
      </c>
      <c r="FP42" s="11" t="str">
        <f t="shared" si="11"/>
        <v/>
      </c>
      <c r="FQ42" s="11" t="str">
        <f t="shared" si="12"/>
        <v/>
      </c>
    </row>
    <row r="43" spans="1:173">
      <c r="A43" s="131" t="s">
        <v>277</v>
      </c>
      <c r="B43" s="132">
        <f>IFERROR((VLOOKUP('T. Dina'!$A43,'T. Dina'!$A$14:$H$22,2,0)),"")</f>
        <v>39546.556238014811</v>
      </c>
      <c r="C43" s="132">
        <f>IFERROR((VLOOKUP('T. Dina'!$A43,'T. Dina'!$A$14:$H$22,3,0)),"")</f>
        <v>34474.452832738367</v>
      </c>
      <c r="D43" s="132">
        <f>IFERROR((VLOOKUP('T. Dina'!$A43,'T. Dina'!$A$14:$H$22,4,0)),"")</f>
        <v>17224.01781375127</v>
      </c>
      <c r="E43" s="132">
        <f>IFERROR((VLOOKUP('T. Dina'!$A43,'T. Dina'!$A$14:$H$22,5,0)),"")</f>
        <v>322044.22386824805</v>
      </c>
      <c r="F43" s="132">
        <f>IFERROR((VLOOKUP('T. Dina'!$A43,'T. Dina'!$A$14:$H$22,6,0)),"")</f>
        <v>207224.48303130243</v>
      </c>
      <c r="G43" s="132">
        <f>IFERROR((VLOOKUP('T. Dina'!$A43,'T. Dina'!$A$14:$H$22,7,0)),"")</f>
        <v>36984.08733014077</v>
      </c>
      <c r="H43" s="132">
        <f>IFERROR((VLOOKUP('T. Dina'!$A43,'T. Dina'!$A$14:$H$22,8,0)),"")</f>
        <v>27368.224624304177</v>
      </c>
      <c r="I43" s="132">
        <f>IFERROR((VLOOKUP('T. Dina'!$A43,'T. Dina'!$A$14:$I$22,9,0)),"")</f>
        <v>0</v>
      </c>
      <c r="J43" s="132">
        <f>IFERROR((VLOOKUP('T. Dina'!$A43,'T. Dina'!$A$14:$J$22,10,0)),"")</f>
        <v>0</v>
      </c>
      <c r="K43" s="132">
        <f>IFERROR((VLOOKUP('T. Dina'!$A43,'T. Dina'!$A$14:$K$22,11,0)),"")</f>
        <v>0</v>
      </c>
      <c r="L43" s="132">
        <f>IFERROR((VLOOKUP('T. Dina'!$A43,'T. Dina'!$A$14:$L$22,12,0)),"")</f>
        <v>0</v>
      </c>
      <c r="M43" s="132">
        <f>IFERROR((VLOOKUP('T. Dina'!$A43,'T. Dina'!$A$14:$M$22,13,0)),"")</f>
        <v>0</v>
      </c>
      <c r="O43" s="246"/>
      <c r="P43" s="247"/>
      <c r="BB43" s="43" t="s">
        <v>391</v>
      </c>
      <c r="BC43" s="61">
        <v>0</v>
      </c>
      <c r="BD43" s="61">
        <v>1488</v>
      </c>
      <c r="BE43" s="61">
        <v>1488</v>
      </c>
      <c r="BF43" s="61">
        <v>1539</v>
      </c>
      <c r="BI43" s="421" t="s">
        <v>391</v>
      </c>
      <c r="BJ43" s="61">
        <v>1539</v>
      </c>
      <c r="BK43" s="61">
        <v>1524.6209000000001</v>
      </c>
      <c r="BL43" s="61">
        <v>1539</v>
      </c>
      <c r="CH43" s="43" t="s">
        <v>391</v>
      </c>
      <c r="CI43" s="32">
        <v>7.3156628472222218</v>
      </c>
      <c r="CJ43" s="94">
        <v>9.4050142714544513</v>
      </c>
      <c r="CL43" s="43" t="s">
        <v>391</v>
      </c>
      <c r="CM43" s="32">
        <v>369.84087330140778</v>
      </c>
      <c r="CN43" s="32">
        <v>1960.1566284974608</v>
      </c>
      <c r="CO43" s="32">
        <v>0</v>
      </c>
      <c r="DG43"/>
      <c r="DH43"/>
      <c r="DI43"/>
      <c r="DJ43"/>
      <c r="DK43"/>
      <c r="DL43"/>
      <c r="EF43" s="43" t="s">
        <v>391</v>
      </c>
      <c r="EG43" s="32">
        <v>14466</v>
      </c>
      <c r="EH43" s="32">
        <v>14376.771988409728</v>
      </c>
      <c r="EK43" s="43" t="s">
        <v>391</v>
      </c>
      <c r="EL43" s="32">
        <v>9399.6101364522419</v>
      </c>
      <c r="EM43" s="32">
        <v>9429.7356073301416</v>
      </c>
      <c r="EQ43" s="43" t="s">
        <v>391</v>
      </c>
      <c r="ER43" s="61">
        <v>1505</v>
      </c>
      <c r="ES43" s="61">
        <v>0</v>
      </c>
      <c r="ET43" s="61">
        <v>80</v>
      </c>
      <c r="EU43" s="61">
        <v>0</v>
      </c>
      <c r="EW43" s="43" t="s">
        <v>391</v>
      </c>
      <c r="EX43" s="61">
        <v>1505</v>
      </c>
      <c r="EY43" s="61">
        <v>0</v>
      </c>
      <c r="EZ43" s="61">
        <v>80</v>
      </c>
      <c r="FA43" s="61">
        <v>0</v>
      </c>
      <c r="FB43" s="61">
        <v>0</v>
      </c>
      <c r="FD43" s="141" t="str">
        <f t="shared" si="4"/>
        <v>7-feb</v>
      </c>
      <c r="FE43" s="11" t="str">
        <f t="shared" si="5"/>
        <v/>
      </c>
      <c r="FF43" s="11" t="str">
        <f t="shared" si="6"/>
        <v/>
      </c>
      <c r="FG43" s="11" t="str">
        <f t="shared" si="7"/>
        <v/>
      </c>
      <c r="FI43" s="141" t="str">
        <f t="shared" si="20"/>
        <v>7-feb</v>
      </c>
      <c r="FJ43" s="11" t="str">
        <f t="shared" si="1"/>
        <v/>
      </c>
      <c r="FK43" s="11" t="str">
        <f t="shared" si="21"/>
        <v/>
      </c>
      <c r="FL43" s="11" t="str">
        <f t="shared" si="22"/>
        <v/>
      </c>
      <c r="FN43" s="141" t="str">
        <f t="shared" si="9"/>
        <v>7-feb</v>
      </c>
      <c r="FO43" s="11" t="str">
        <f t="shared" si="10"/>
        <v/>
      </c>
      <c r="FP43" s="11" t="str">
        <f t="shared" si="11"/>
        <v/>
      </c>
      <c r="FQ43" s="11" t="str">
        <f t="shared" si="12"/>
        <v/>
      </c>
    </row>
    <row r="44" spans="1:173">
      <c r="A44" s="131" t="s">
        <v>278</v>
      </c>
      <c r="B44" s="132">
        <f>IFERROR((VLOOKUP('T. Dina'!$A44,'T. Dina'!$A$14:$H$22,2,0)),"")</f>
        <v>52681.190681261964</v>
      </c>
      <c r="C44" s="132">
        <f>IFERROR((VLOOKUP('T. Dina'!$A44,'T. Dina'!$A$14:$H$22,3,0)),"")</f>
        <v>50530.830175066629</v>
      </c>
      <c r="D44" s="132">
        <f>IFERROR((VLOOKUP('T. Dina'!$A44,'T. Dina'!$A$14:$H$22,4,0)),"")</f>
        <v>51915.091729423322</v>
      </c>
      <c r="E44" s="132">
        <f>IFERROR((VLOOKUP('T. Dina'!$A44,'T. Dina'!$A$14:$H$22,5,0)),"")</f>
        <v>45818.000760997267</v>
      </c>
      <c r="F44" s="132">
        <f>IFERROR((VLOOKUP('T. Dina'!$A44,'T. Dina'!$A$14:$H$22,6,0)),"")</f>
        <v>60133.484278285323</v>
      </c>
      <c r="G44" s="132">
        <f>IFERROR((VLOOKUP('T. Dina'!$A44,'T. Dina'!$A$14:$H$22,7,0)),"")</f>
        <v>55539.532287777103</v>
      </c>
      <c r="H44" s="132">
        <f>IFERROR((VLOOKUP('T. Dina'!$A44,'T. Dina'!$A$14:$H$22,8,0)),"")</f>
        <v>55555.382610918597</v>
      </c>
      <c r="I44" s="132">
        <f>IFERROR((VLOOKUP('T. Dina'!$A44,'T. Dina'!$A$14:$I$22,9,0)),"")</f>
        <v>37718.48563569643</v>
      </c>
      <c r="J44" s="132">
        <f>IFERROR((VLOOKUP('T. Dina'!$A44,'T. Dina'!$A$14:$J$22,10,0)),"")</f>
        <v>0</v>
      </c>
      <c r="K44" s="132">
        <f>IFERROR((VLOOKUP('T. Dina'!$A44,'T. Dina'!$A$14:$K$22,11,0)),"")</f>
        <v>0</v>
      </c>
      <c r="L44" s="132">
        <f>IFERROR((VLOOKUP('T. Dina'!$A44,'T. Dina'!$A$14:$L$22,12,0)),"")</f>
        <v>0</v>
      </c>
      <c r="M44" s="132">
        <f>IFERROR((VLOOKUP('T. Dina'!$A44,'T. Dina'!$A$14:$M$22,13,0)),"")</f>
        <v>0</v>
      </c>
      <c r="O44" s="246"/>
      <c r="P44" s="247"/>
      <c r="BB44" s="43" t="s">
        <v>392</v>
      </c>
      <c r="BC44" s="61">
        <v>0</v>
      </c>
      <c r="BD44" s="61">
        <v>1488</v>
      </c>
      <c r="BE44" s="61">
        <v>1488</v>
      </c>
      <c r="BF44" s="61">
        <v>1541</v>
      </c>
      <c r="BI44" s="421" t="s">
        <v>392</v>
      </c>
      <c r="BJ44" s="61">
        <v>1541</v>
      </c>
      <c r="BK44" s="61">
        <v>1526.6874999999998</v>
      </c>
      <c r="BL44" s="61">
        <v>1541</v>
      </c>
      <c r="CH44" s="43" t="s">
        <v>392</v>
      </c>
      <c r="CI44" s="32">
        <v>7.2520946180555548</v>
      </c>
      <c r="CJ44" s="94">
        <v>8.2339738078760831</v>
      </c>
      <c r="CL44" s="43" t="s">
        <v>392</v>
      </c>
      <c r="CM44" s="32">
        <v>211.33764188651872</v>
      </c>
      <c r="CN44" s="32">
        <v>1732.9686634694538</v>
      </c>
      <c r="CO44" s="32">
        <v>0</v>
      </c>
      <c r="DG44"/>
      <c r="DH44"/>
      <c r="DI44"/>
      <c r="DJ44"/>
      <c r="DK44"/>
      <c r="DL44"/>
      <c r="EF44" s="43" t="s">
        <v>392</v>
      </c>
      <c r="EG44" s="32">
        <v>14589</v>
      </c>
      <c r="EH44" s="32">
        <v>14498.986476250007</v>
      </c>
      <c r="EK44" s="43" t="s">
        <v>392</v>
      </c>
      <c r="EL44" s="32">
        <v>9467.2290720311485</v>
      </c>
      <c r="EM44" s="32">
        <v>9497.0231145863254</v>
      </c>
      <c r="EQ44" s="43" t="s">
        <v>392</v>
      </c>
      <c r="ER44" s="61">
        <v>1505</v>
      </c>
      <c r="ES44" s="61">
        <v>0</v>
      </c>
      <c r="ET44" s="61">
        <v>80</v>
      </c>
      <c r="EU44" s="61">
        <v>0</v>
      </c>
      <c r="EW44" s="43" t="s">
        <v>392</v>
      </c>
      <c r="EX44" s="61">
        <v>1505</v>
      </c>
      <c r="EY44" s="61">
        <v>0</v>
      </c>
      <c r="EZ44" s="61">
        <v>80</v>
      </c>
      <c r="FA44" s="61">
        <v>0</v>
      </c>
      <c r="FB44" s="61">
        <v>0</v>
      </c>
      <c r="FD44" s="141" t="str">
        <f t="shared" si="4"/>
        <v>8-feb</v>
      </c>
      <c r="FE44" s="11" t="str">
        <f t="shared" si="5"/>
        <v/>
      </c>
      <c r="FF44" s="11" t="str">
        <f t="shared" si="6"/>
        <v/>
      </c>
      <c r="FG44" s="11" t="str">
        <f t="shared" si="7"/>
        <v/>
      </c>
      <c r="FI44" s="141" t="str">
        <f t="shared" si="20"/>
        <v>8-feb</v>
      </c>
      <c r="FJ44" s="11" t="str">
        <f t="shared" si="1"/>
        <v/>
      </c>
      <c r="FK44" s="11" t="str">
        <f t="shared" si="21"/>
        <v/>
      </c>
      <c r="FL44" s="11" t="str">
        <f t="shared" si="22"/>
        <v/>
      </c>
      <c r="FN44" s="141" t="str">
        <f t="shared" si="9"/>
        <v>8-feb</v>
      </c>
      <c r="FO44" s="11" t="str">
        <f t="shared" si="10"/>
        <v/>
      </c>
      <c r="FP44" s="11" t="str">
        <f t="shared" si="11"/>
        <v/>
      </c>
      <c r="FQ44" s="11" t="str">
        <f t="shared" si="12"/>
        <v/>
      </c>
    </row>
    <row r="45" spans="1:173">
      <c r="A45" s="131" t="s">
        <v>279</v>
      </c>
      <c r="B45" s="132">
        <f>IFERROR((VLOOKUP('T. Dina'!$A45,'T. Dina'!$A$14:$H$22,2,0)),"")</f>
        <v>0</v>
      </c>
      <c r="C45" s="132">
        <f>IFERROR((VLOOKUP('T. Dina'!$A45,'T. Dina'!$A$14:$H$22,3,0)),"")</f>
        <v>0</v>
      </c>
      <c r="D45" s="132">
        <f>IFERROR((VLOOKUP('T. Dina'!$A45,'T. Dina'!$A$14:$H$22,4,0)),"")</f>
        <v>0</v>
      </c>
      <c r="E45" s="132">
        <f>IFERROR((VLOOKUP('T. Dina'!$A45,'T. Dina'!$A$14:$H$22,5,0)),"")</f>
        <v>0</v>
      </c>
      <c r="F45" s="132">
        <f>IFERROR((VLOOKUP('T. Dina'!$A45,'T. Dina'!$A$14:$H$22,6,0)),"")</f>
        <v>0</v>
      </c>
      <c r="G45" s="132">
        <f>IFERROR((VLOOKUP('T. Dina'!$A45,'T. Dina'!$A$14:$H$22,7,0)),"")</f>
        <v>0</v>
      </c>
      <c r="H45" s="132">
        <f>IFERROR((VLOOKUP('T. Dina'!$A45,'T. Dina'!$A$14:$H$22,8,0)),"")</f>
        <v>0</v>
      </c>
      <c r="I45" s="132">
        <f>IFERROR((VLOOKUP('T. Dina'!$A45,'T. Dina'!$A$14:$I$22,9,0)),"")</f>
        <v>0</v>
      </c>
      <c r="J45" s="132">
        <f>IFERROR((VLOOKUP('T. Dina'!$A45,'T. Dina'!$A$14:$J$22,10,0)),"")</f>
        <v>0</v>
      </c>
      <c r="K45" s="132">
        <f>IFERROR((VLOOKUP('T. Dina'!$A45,'T. Dina'!$A$14:$K$22,11,0)),"")</f>
        <v>0</v>
      </c>
      <c r="L45" s="132">
        <f>IFERROR((VLOOKUP('T. Dina'!$A45,'T. Dina'!$A$14:$L$22,12,0)),"")</f>
        <v>0</v>
      </c>
      <c r="M45" s="132">
        <f>IFERROR((VLOOKUP('T. Dina'!$A45,'T. Dina'!$A$14:$M$22,13,0)),"")</f>
        <v>0</v>
      </c>
      <c r="O45" s="246"/>
      <c r="P45" s="247"/>
      <c r="BB45" s="43" t="s">
        <v>393</v>
      </c>
      <c r="BC45" s="61">
        <v>0</v>
      </c>
      <c r="BD45" s="61">
        <v>1488</v>
      </c>
      <c r="BE45" s="61">
        <v>1488</v>
      </c>
      <c r="BF45" s="61">
        <v>1548</v>
      </c>
      <c r="BI45" s="421" t="s">
        <v>393</v>
      </c>
      <c r="BJ45" s="61">
        <v>1548</v>
      </c>
      <c r="BK45" s="61">
        <v>1534.8798000000002</v>
      </c>
      <c r="BL45" s="61">
        <v>1548</v>
      </c>
      <c r="CH45" s="43" t="s">
        <v>393</v>
      </c>
      <c r="CI45" s="32">
        <v>7.2539958912037044</v>
      </c>
      <c r="CJ45" s="94">
        <v>9.2643671139489552</v>
      </c>
      <c r="CL45" s="43" t="s">
        <v>393</v>
      </c>
      <c r="CM45" s="32">
        <v>264.17205235814845</v>
      </c>
      <c r="CN45" s="32">
        <v>1960.1566284974604</v>
      </c>
      <c r="CO45" s="32">
        <v>0</v>
      </c>
      <c r="DG45"/>
      <c r="DH45"/>
      <c r="DI45"/>
      <c r="DJ45"/>
      <c r="DK45"/>
      <c r="DL45"/>
      <c r="EF45" s="43" t="s">
        <v>393</v>
      </c>
      <c r="EG45" s="32">
        <v>14696</v>
      </c>
      <c r="EH45" s="32">
        <v>14604.947914757468</v>
      </c>
      <c r="EK45" s="43" t="s">
        <v>393</v>
      </c>
      <c r="EL45" s="32">
        <v>9493.5400516795871</v>
      </c>
      <c r="EM45" s="32">
        <v>9515.3691609971465</v>
      </c>
      <c r="EQ45" s="43" t="s">
        <v>393</v>
      </c>
      <c r="ER45" s="61">
        <v>1505</v>
      </c>
      <c r="ES45" s="61">
        <v>0</v>
      </c>
      <c r="ET45" s="61">
        <v>80</v>
      </c>
      <c r="EU45" s="61">
        <v>0</v>
      </c>
      <c r="EW45" s="43" t="s">
        <v>393</v>
      </c>
      <c r="EX45" s="61">
        <v>1505</v>
      </c>
      <c r="EY45" s="61">
        <v>0</v>
      </c>
      <c r="EZ45" s="61">
        <v>80</v>
      </c>
      <c r="FA45" s="61">
        <v>0</v>
      </c>
      <c r="FB45" s="61">
        <v>0</v>
      </c>
      <c r="FD45" s="141" t="str">
        <f t="shared" si="4"/>
        <v>9-feb</v>
      </c>
      <c r="FE45" s="11" t="str">
        <f t="shared" si="5"/>
        <v/>
      </c>
      <c r="FF45" s="11" t="str">
        <f t="shared" si="6"/>
        <v/>
      </c>
      <c r="FG45" s="11" t="str">
        <f t="shared" si="7"/>
        <v/>
      </c>
      <c r="FI45" s="141" t="str">
        <f t="shared" si="20"/>
        <v>9-feb</v>
      </c>
      <c r="FJ45" s="11" t="str">
        <f t="shared" si="1"/>
        <v/>
      </c>
      <c r="FK45" s="11" t="str">
        <f t="shared" si="21"/>
        <v/>
      </c>
      <c r="FL45" s="11" t="str">
        <f t="shared" si="22"/>
        <v/>
      </c>
      <c r="FN45" s="141" t="str">
        <f t="shared" si="9"/>
        <v>9-feb</v>
      </c>
      <c r="FO45" s="11" t="str">
        <f t="shared" si="10"/>
        <v/>
      </c>
      <c r="FP45" s="11" t="str">
        <f t="shared" si="11"/>
        <v/>
      </c>
      <c r="FQ45" s="11" t="str">
        <f t="shared" si="12"/>
        <v/>
      </c>
    </row>
    <row r="46" spans="1:173">
      <c r="A46" s="131" t="s">
        <v>287</v>
      </c>
      <c r="B46" s="132">
        <f>IFERROR((VLOOKUP('T. Dina'!$A46,'T. Dina'!$A$14:$H$22,2,0)),"")</f>
        <v>364574.32466958725</v>
      </c>
      <c r="C46" s="132">
        <f>IFERROR((VLOOKUP('T. Dina'!$A46,'T. Dina'!$A$14:$H$22,3,0)),"")</f>
        <v>364794.16905270185</v>
      </c>
      <c r="D46" s="132">
        <f>IFERROR((VLOOKUP('T. Dina'!$A46,'T. Dina'!$A$14:$H$22,4,0)),"")</f>
        <v>383076.77394625463</v>
      </c>
      <c r="E46" s="132">
        <f>IFERROR((VLOOKUP('T. Dina'!$A46,'T. Dina'!$A$14:$H$22,5,0)),"")</f>
        <v>327451.34584037424</v>
      </c>
      <c r="F46" s="132">
        <f>IFERROR((VLOOKUP('T. Dina'!$A46,'T. Dina'!$A$14:$H$22,6,0)),"")</f>
        <v>383289.71703632281</v>
      </c>
      <c r="G46" s="132">
        <f>IFERROR((VLOOKUP('T. Dina'!$A46,'T. Dina'!$A$14:$H$22,7,0)),"")</f>
        <v>388092.91527129599</v>
      </c>
      <c r="H46" s="132">
        <f>IFERROR((VLOOKUP('T. Dina'!$A46,'T. Dina'!$A$14:$H$22,8,0)),"")</f>
        <v>381052.56570910948</v>
      </c>
      <c r="I46" s="132">
        <f>IFERROR((VLOOKUP('T. Dina'!$A46,'T. Dina'!$A$14:$I$22,9,0)),"")</f>
        <v>0</v>
      </c>
      <c r="J46" s="132">
        <f>IFERROR((VLOOKUP('T. Dina'!$A46,'T. Dina'!$A$14:$J$22,10,0)),"")</f>
        <v>0</v>
      </c>
      <c r="K46" s="132">
        <f>IFERROR((VLOOKUP('T. Dina'!$A46,'T. Dina'!$A$14:$K$22,11,0)),"")</f>
        <v>0</v>
      </c>
      <c r="L46" s="132">
        <f>IFERROR((VLOOKUP('T. Dina'!$A46,'T. Dina'!$A$14:$L$22,12,0)),"")</f>
        <v>0</v>
      </c>
      <c r="M46" s="132">
        <f>IFERROR((VLOOKUP('T. Dina'!$A46,'T. Dina'!$A$14:$M$22,13,0)),"")</f>
        <v>0</v>
      </c>
      <c r="O46" s="246"/>
      <c r="P46" s="247"/>
      <c r="BB46" s="43" t="s">
        <v>394</v>
      </c>
      <c r="BC46" s="61">
        <v>0</v>
      </c>
      <c r="BD46" s="61">
        <v>1488</v>
      </c>
      <c r="BE46" s="61">
        <v>1488</v>
      </c>
      <c r="BF46" s="61">
        <v>1545</v>
      </c>
      <c r="BI46" s="421" t="s">
        <v>394</v>
      </c>
      <c r="BJ46" s="61">
        <v>1545</v>
      </c>
      <c r="BK46" s="61">
        <v>1530.3915000000002</v>
      </c>
      <c r="BL46" s="61">
        <v>1545</v>
      </c>
      <c r="CH46" s="43" t="s">
        <v>394</v>
      </c>
      <c r="CI46" s="32">
        <v>7.1583727430555575</v>
      </c>
      <c r="CJ46" s="94">
        <v>9.00906194760746</v>
      </c>
      <c r="CL46" s="43" t="s">
        <v>394</v>
      </c>
      <c r="CM46" s="32">
        <v>369.84087330140778</v>
      </c>
      <c r="CN46" s="32">
        <v>1925.814261690901</v>
      </c>
      <c r="CO46" s="32">
        <v>0</v>
      </c>
      <c r="DG46"/>
      <c r="DH46"/>
      <c r="DI46"/>
      <c r="DJ46"/>
      <c r="DK46"/>
      <c r="DL46"/>
      <c r="EF46" s="43" t="s">
        <v>394</v>
      </c>
      <c r="EG46" s="32">
        <v>14685</v>
      </c>
      <c r="EH46" s="32">
        <v>14593.866290212365</v>
      </c>
      <c r="EK46" s="43" t="s">
        <v>394</v>
      </c>
      <c r="EL46" s="32">
        <v>9504.8543689320395</v>
      </c>
      <c r="EM46" s="32">
        <v>9536.0345965149208</v>
      </c>
      <c r="EQ46" s="43" t="s">
        <v>394</v>
      </c>
      <c r="ER46" s="61">
        <v>1505</v>
      </c>
      <c r="ES46" s="61">
        <v>0</v>
      </c>
      <c r="ET46" s="61">
        <v>80</v>
      </c>
      <c r="EU46" s="61">
        <v>0</v>
      </c>
      <c r="EW46" s="43" t="s">
        <v>394</v>
      </c>
      <c r="EX46" s="61">
        <v>1505</v>
      </c>
      <c r="EY46" s="61">
        <v>0</v>
      </c>
      <c r="EZ46" s="61">
        <v>80</v>
      </c>
      <c r="FA46" s="61">
        <v>0</v>
      </c>
      <c r="FB46" s="61">
        <v>0</v>
      </c>
      <c r="FD46" s="141" t="str">
        <f t="shared" si="4"/>
        <v>10-feb</v>
      </c>
      <c r="FE46" s="11" t="str">
        <f t="shared" si="5"/>
        <v/>
      </c>
      <c r="FF46" s="11" t="str">
        <f t="shared" si="6"/>
        <v/>
      </c>
      <c r="FG46" s="11" t="str">
        <f t="shared" si="7"/>
        <v/>
      </c>
      <c r="FI46" s="141" t="str">
        <f t="shared" si="20"/>
        <v>10-feb</v>
      </c>
      <c r="FJ46" s="11" t="str">
        <f t="shared" si="1"/>
        <v/>
      </c>
      <c r="FK46" s="11" t="str">
        <f t="shared" si="21"/>
        <v/>
      </c>
      <c r="FL46" s="11" t="str">
        <f t="shared" si="22"/>
        <v/>
      </c>
      <c r="FN46" s="141" t="str">
        <f t="shared" si="9"/>
        <v>10-feb</v>
      </c>
      <c r="FO46" s="11" t="str">
        <f t="shared" si="10"/>
        <v/>
      </c>
      <c r="FP46" s="11" t="str">
        <f t="shared" si="11"/>
        <v/>
      </c>
      <c r="FQ46" s="11" t="str">
        <f t="shared" si="12"/>
        <v/>
      </c>
    </row>
    <row r="47" spans="1:173">
      <c r="A47" s="131" t="s">
        <v>358</v>
      </c>
      <c r="B47" s="132">
        <f>IFERROR((VLOOKUP('T. Dina'!$A47,'T. Dina'!$A$14:$H$22,2,0)),"")</f>
        <v>4123.7257373106968</v>
      </c>
      <c r="C47" s="132">
        <f>IFERROR((VLOOKUP('T. Dina'!$A47,'T. Dina'!$A$14:$H$22,3,0)),"")</f>
        <v>5.2834410471629729</v>
      </c>
      <c r="D47" s="132">
        <f>IFERROR((VLOOKUP('T. Dina'!$A47,'T. Dina'!$A$14:$H$22,4,0)),"")</f>
        <v>0</v>
      </c>
      <c r="E47" s="132">
        <f>IFERROR((VLOOKUP('T. Dina'!$A47,'T. Dina'!$A$14:$H$22,5,0)),"")</f>
        <v>11</v>
      </c>
      <c r="F47" s="132">
        <f>IFERROR((VLOOKUP('T. Dina'!$A47,'T. Dina'!$A$14:$H$22,6,0)),"")</f>
        <v>0</v>
      </c>
      <c r="G47" s="132">
        <f>IFERROR((VLOOKUP('T. Dina'!$A47,'T. Dina'!$A$14:$H$22,7,0)),"")</f>
        <v>594</v>
      </c>
      <c r="H47" s="132">
        <f>IFERROR((VLOOKUP('T. Dina'!$A47,'T. Dina'!$A$14:$H$22,8,0)),"")</f>
        <v>740.47</v>
      </c>
      <c r="I47" s="132">
        <f>IFERROR((VLOOKUP('T. Dina'!$A47,'T. Dina'!$A$14:$I$22,9,0)),"")</f>
        <v>0</v>
      </c>
      <c r="J47" s="132">
        <f>IFERROR((VLOOKUP('T. Dina'!$A47,'T. Dina'!$A$14:$J$22,10,0)),"")</f>
        <v>0</v>
      </c>
      <c r="K47" s="132">
        <f>IFERROR((VLOOKUP('T. Dina'!$A47,'T. Dina'!$A$14:$K$22,11,0)),"")</f>
        <v>0</v>
      </c>
      <c r="L47" s="132">
        <f>IFERROR((VLOOKUP('T. Dina'!$A47,'T. Dina'!$A$14:$L$22,12,0)),"")</f>
        <v>0</v>
      </c>
      <c r="M47" s="132">
        <f>IFERROR((VLOOKUP('T. Dina'!$A47,'T. Dina'!$A$14:$M$22,13,0)),"")</f>
        <v>0</v>
      </c>
      <c r="O47" s="246"/>
      <c r="P47" s="247"/>
      <c r="BB47" s="43" t="s">
        <v>395</v>
      </c>
      <c r="BC47" s="61">
        <v>0</v>
      </c>
      <c r="BD47" s="61">
        <v>1488</v>
      </c>
      <c r="BE47" s="61">
        <v>1488</v>
      </c>
      <c r="BF47" s="61">
        <v>1532</v>
      </c>
      <c r="BI47" s="421" t="s">
        <v>395</v>
      </c>
      <c r="BJ47" s="61">
        <v>1532</v>
      </c>
      <c r="BK47" s="61">
        <v>1518.7914000000001</v>
      </c>
      <c r="BL47" s="61">
        <v>1532</v>
      </c>
      <c r="CH47" s="43" t="s">
        <v>395</v>
      </c>
      <c r="CI47" s="32">
        <v>7.2512810763888895</v>
      </c>
      <c r="CJ47" s="94">
        <v>9.4218307794170642</v>
      </c>
      <c r="CL47" s="43" t="s">
        <v>395</v>
      </c>
      <c r="CM47" s="32">
        <v>264.17205235814845</v>
      </c>
      <c r="CN47" s="32">
        <v>1973.3652311153678</v>
      </c>
      <c r="CO47" s="32">
        <v>0</v>
      </c>
      <c r="DG47"/>
      <c r="DH47"/>
      <c r="DI47"/>
      <c r="DJ47"/>
      <c r="DK47"/>
      <c r="DL47"/>
      <c r="EF47" s="43" t="s">
        <v>395</v>
      </c>
      <c r="EG47" s="32">
        <v>14554</v>
      </c>
      <c r="EH47" s="32">
        <v>14464.193693154428</v>
      </c>
      <c r="EK47" s="43" t="s">
        <v>395</v>
      </c>
      <c r="EL47" s="32">
        <v>9500</v>
      </c>
      <c r="EM47" s="32">
        <v>9523.4893304995185</v>
      </c>
      <c r="EQ47" s="43" t="s">
        <v>395</v>
      </c>
      <c r="ER47" s="61">
        <v>1505</v>
      </c>
      <c r="ES47" s="61">
        <v>0</v>
      </c>
      <c r="ET47" s="61">
        <v>80</v>
      </c>
      <c r="EU47" s="61">
        <v>0</v>
      </c>
      <c r="EW47" s="43" t="s">
        <v>395</v>
      </c>
      <c r="EX47" s="61">
        <v>1505</v>
      </c>
      <c r="EY47" s="61">
        <v>0</v>
      </c>
      <c r="EZ47" s="61">
        <v>80</v>
      </c>
      <c r="FA47" s="61">
        <v>0</v>
      </c>
      <c r="FB47" s="61">
        <v>0</v>
      </c>
      <c r="FD47" s="141" t="str">
        <f t="shared" si="4"/>
        <v>11-feb</v>
      </c>
      <c r="FE47" s="11" t="str">
        <f t="shared" si="5"/>
        <v/>
      </c>
      <c r="FF47" s="11" t="str">
        <f t="shared" si="6"/>
        <v/>
      </c>
      <c r="FG47" s="11" t="str">
        <f t="shared" si="7"/>
        <v/>
      </c>
      <c r="FI47" s="141" t="str">
        <f t="shared" si="20"/>
        <v>11-feb</v>
      </c>
      <c r="FJ47" s="11" t="str">
        <f t="shared" si="1"/>
        <v/>
      </c>
      <c r="FK47" s="11" t="str">
        <f t="shared" si="21"/>
        <v/>
      </c>
      <c r="FL47" s="11" t="str">
        <f t="shared" si="22"/>
        <v/>
      </c>
      <c r="FN47" s="141" t="str">
        <f t="shared" si="9"/>
        <v>11-feb</v>
      </c>
      <c r="FO47" s="11" t="str">
        <f t="shared" si="10"/>
        <v/>
      </c>
      <c r="FP47" s="11" t="str">
        <f t="shared" si="11"/>
        <v/>
      </c>
      <c r="FQ47" s="11" t="str">
        <f t="shared" si="12"/>
        <v/>
      </c>
    </row>
    <row r="48" spans="1:173">
      <c r="A48" s="131" t="s">
        <v>284</v>
      </c>
      <c r="B48" s="132">
        <f>B63+B71</f>
        <v>109.33999999999997</v>
      </c>
      <c r="C48" s="132">
        <f t="shared" ref="C48:M48" si="23">C63+C71</f>
        <v>156.54</v>
      </c>
      <c r="D48" s="132">
        <f t="shared" si="23"/>
        <v>241.4</v>
      </c>
      <c r="E48" s="132">
        <f t="shared" si="23"/>
        <v>427.5</v>
      </c>
      <c r="F48" s="132">
        <f t="shared" si="23"/>
        <v>-303.60000000000002</v>
      </c>
      <c r="G48" s="132">
        <f t="shared" si="23"/>
        <v>-74.129999999999967</v>
      </c>
      <c r="H48" s="132">
        <f t="shared" si="23"/>
        <v>55.360000000000014</v>
      </c>
      <c r="I48" s="132">
        <f t="shared" si="23"/>
        <v>121.44</v>
      </c>
      <c r="J48" s="132">
        <f t="shared" si="23"/>
        <v>136.71</v>
      </c>
      <c r="K48" s="132">
        <f t="shared" si="23"/>
        <v>215.55</v>
      </c>
      <c r="L48" s="132">
        <f t="shared" si="23"/>
        <v>377.61</v>
      </c>
      <c r="M48" s="132">
        <f t="shared" si="23"/>
        <v>315.51</v>
      </c>
      <c r="BB48" s="43" t="s">
        <v>396</v>
      </c>
      <c r="BC48" s="61">
        <v>0</v>
      </c>
      <c r="BD48" s="61">
        <v>1488</v>
      </c>
      <c r="BE48" s="61">
        <v>1488</v>
      </c>
      <c r="BF48" s="61">
        <v>1547</v>
      </c>
      <c r="BI48" s="421" t="s">
        <v>396</v>
      </c>
      <c r="BJ48" s="61">
        <v>1547</v>
      </c>
      <c r="BK48" s="61">
        <v>1533.1939</v>
      </c>
      <c r="BL48" s="61">
        <v>1547</v>
      </c>
      <c r="CH48" s="43" t="s">
        <v>396</v>
      </c>
      <c r="CI48" s="32">
        <v>7.2467513888888888</v>
      </c>
      <c r="CJ48" s="94">
        <v>9.5395463351553573</v>
      </c>
      <c r="CL48" s="43" t="s">
        <v>396</v>
      </c>
      <c r="CM48" s="32">
        <v>317.00646282977812</v>
      </c>
      <c r="CN48" s="32">
        <v>2018.2744800162545</v>
      </c>
      <c r="CO48" s="32">
        <v>0</v>
      </c>
      <c r="DG48"/>
      <c r="DH48"/>
      <c r="DI48"/>
      <c r="DJ48"/>
      <c r="DK48"/>
      <c r="DL48"/>
      <c r="EF48" s="43" t="s">
        <v>396</v>
      </c>
      <c r="EG48" s="32">
        <v>14710</v>
      </c>
      <c r="EH48" s="32">
        <v>14580.568340758242</v>
      </c>
      <c r="EK48" s="43" t="s">
        <v>396</v>
      </c>
      <c r="EL48" s="32">
        <v>9508.7265675500967</v>
      </c>
      <c r="EM48" s="32">
        <v>9509.9310927066981</v>
      </c>
      <c r="EQ48" s="43" t="s">
        <v>396</v>
      </c>
      <c r="ER48" s="61">
        <v>1505</v>
      </c>
      <c r="ES48" s="61">
        <v>0</v>
      </c>
      <c r="ET48" s="61">
        <v>80</v>
      </c>
      <c r="EU48" s="61">
        <v>0</v>
      </c>
      <c r="EW48" s="43" t="s">
        <v>396</v>
      </c>
      <c r="EX48" s="61">
        <v>1505</v>
      </c>
      <c r="EY48" s="61">
        <v>0</v>
      </c>
      <c r="EZ48" s="61">
        <v>80</v>
      </c>
      <c r="FA48" s="61">
        <v>0</v>
      </c>
      <c r="FB48" s="61">
        <v>0</v>
      </c>
      <c r="FD48" s="141" t="str">
        <f t="shared" si="4"/>
        <v>12-feb</v>
      </c>
      <c r="FE48" s="11" t="str">
        <f t="shared" si="5"/>
        <v/>
      </c>
      <c r="FF48" s="11" t="str">
        <f t="shared" si="6"/>
        <v/>
      </c>
      <c r="FG48" s="11" t="str">
        <f t="shared" si="7"/>
        <v/>
      </c>
      <c r="FI48" s="141" t="str">
        <f t="shared" si="20"/>
        <v>12-feb</v>
      </c>
      <c r="FJ48" s="11" t="str">
        <f t="shared" si="1"/>
        <v/>
      </c>
      <c r="FK48" s="11" t="str">
        <f t="shared" si="21"/>
        <v/>
      </c>
      <c r="FL48" s="11" t="str">
        <f t="shared" si="22"/>
        <v/>
      </c>
      <c r="FN48" s="141" t="str">
        <f t="shared" si="9"/>
        <v>12-feb</v>
      </c>
      <c r="FO48" s="11" t="str">
        <f t="shared" si="10"/>
        <v/>
      </c>
      <c r="FP48" s="11" t="str">
        <f t="shared" si="11"/>
        <v/>
      </c>
      <c r="FQ48" s="11" t="str">
        <f t="shared" si="12"/>
        <v/>
      </c>
    </row>
    <row r="49" spans="1:173">
      <c r="A49" s="131" t="s">
        <v>361</v>
      </c>
      <c r="B49" s="132">
        <f>IFERROR((VLOOKUP('T. Dina'!$A49,'T. Dina'!$A$14:$H$22,2,0)),"")</f>
        <v>29.068177089336</v>
      </c>
      <c r="C49" s="132">
        <f>IFERROR((VLOOKUP('T. Dina'!$A49,'T. Dina'!$A$14:$H$22,3,0)),"")</f>
        <v>59.801935363631998</v>
      </c>
      <c r="D49" s="132">
        <f>IFERROR((VLOOKUP('T. Dina'!$A49,'T. Dina'!$A$14:$H$22,4,0)),"")</f>
        <v>27.641076846767998</v>
      </c>
      <c r="E49" s="132">
        <f>IFERROR((VLOOKUP('T. Dina'!$A49,'T. Dina'!$A$14:$H$22,5,0)),"")</f>
        <v>94.627723776432006</v>
      </c>
      <c r="F49" s="132">
        <f>IFERROR((VLOOKUP('T. Dina'!$A49,'T. Dina'!$A$14:$H$22,6,0)),"")</f>
        <v>88.355296450343999</v>
      </c>
      <c r="G49" s="132">
        <f>IFERROR((VLOOKUP('T. Dina'!$A49,'T. Dina'!$A$14:$H$22,7,0)),"")</f>
        <v>44.7624943458</v>
      </c>
      <c r="H49" s="132">
        <f>IFERROR((VLOOKUP('T. Dina'!$A49,'T. Dina'!$A$14:$H$22,8,0)),"")</f>
        <v>0</v>
      </c>
      <c r="I49" s="132">
        <f>IFERROR((VLOOKUP('T. Dina'!$A49,'T. Dina'!$A$14:$I$22,9,0)),"")</f>
        <v>0</v>
      </c>
      <c r="J49" s="132">
        <f>IFERROR((VLOOKUP('T. Dina'!$A49,'T. Dina'!$A$14:$J$22,10,0)),"")</f>
        <v>0</v>
      </c>
      <c r="K49" s="132">
        <f>IFERROR((VLOOKUP('T. Dina'!$A49,'T. Dina'!$A$14:$K$22,11,0)),"")</f>
        <v>0</v>
      </c>
      <c r="L49" s="132">
        <f>IFERROR((VLOOKUP('T. Dina'!$A49,'T. Dina'!$A$14:$L$22,12,0)),"")</f>
        <v>0</v>
      </c>
      <c r="M49" s="132">
        <f>IFERROR((VLOOKUP('T. Dina'!$A49,'T. Dina'!$A$14:$M$22,13,0)),"")</f>
        <v>0</v>
      </c>
      <c r="BB49" s="43" t="s">
        <v>397</v>
      </c>
      <c r="BC49" s="61">
        <v>0</v>
      </c>
      <c r="BD49" s="61">
        <v>1488</v>
      </c>
      <c r="BE49" s="61">
        <v>1488</v>
      </c>
      <c r="BF49" s="61">
        <v>1515</v>
      </c>
      <c r="BI49" s="421" t="s">
        <v>397</v>
      </c>
      <c r="BJ49" s="61">
        <v>1515</v>
      </c>
      <c r="BK49" s="61">
        <v>1502.0784000000001</v>
      </c>
      <c r="BL49" s="61">
        <v>1515</v>
      </c>
      <c r="CH49" s="43" t="s">
        <v>397</v>
      </c>
      <c r="CI49" s="32">
        <v>7.101288368055557</v>
      </c>
      <c r="CJ49" s="94">
        <v>9.1772270272335952</v>
      </c>
      <c r="CL49" s="43" t="s">
        <v>397</v>
      </c>
      <c r="CM49" s="32">
        <v>211.33764188651872</v>
      </c>
      <c r="CN49" s="32">
        <v>1941.6645848323901</v>
      </c>
      <c r="CO49" s="32">
        <v>0</v>
      </c>
      <c r="DG49"/>
      <c r="DH49"/>
      <c r="DI49"/>
      <c r="DJ49"/>
      <c r="DK49"/>
      <c r="DL49"/>
      <c r="EF49" s="43" t="s">
        <v>397</v>
      </c>
      <c r="EG49" s="32">
        <v>14546</v>
      </c>
      <c r="EH49" s="32">
        <v>14370.158193443125</v>
      </c>
      <c r="EK49" s="43" t="s">
        <v>397</v>
      </c>
      <c r="EL49" s="32">
        <v>9601.3201320132011</v>
      </c>
      <c r="EM49" s="32">
        <v>9566.8496354405488</v>
      </c>
      <c r="EQ49" s="43" t="s">
        <v>397</v>
      </c>
      <c r="ER49" s="61">
        <v>1505</v>
      </c>
      <c r="ES49" s="61">
        <v>0</v>
      </c>
      <c r="ET49" s="61">
        <v>80</v>
      </c>
      <c r="EU49" s="61">
        <v>0</v>
      </c>
      <c r="EW49" s="43" t="s">
        <v>397</v>
      </c>
      <c r="EX49" s="61">
        <v>1505</v>
      </c>
      <c r="EY49" s="61">
        <v>0</v>
      </c>
      <c r="EZ49" s="61">
        <v>80</v>
      </c>
      <c r="FA49" s="61">
        <v>0</v>
      </c>
      <c r="FB49" s="61">
        <v>0</v>
      </c>
      <c r="FD49" s="141" t="str">
        <f t="shared" si="4"/>
        <v>13-feb</v>
      </c>
      <c r="FE49" s="11" t="str">
        <f t="shared" si="5"/>
        <v/>
      </c>
      <c r="FF49" s="11" t="str">
        <f t="shared" si="6"/>
        <v/>
      </c>
      <c r="FG49" s="11" t="str">
        <f t="shared" si="7"/>
        <v/>
      </c>
      <c r="FI49" s="141" t="str">
        <f t="shared" si="20"/>
        <v>13-feb</v>
      </c>
      <c r="FJ49" s="11" t="str">
        <f t="shared" si="1"/>
        <v/>
      </c>
      <c r="FK49" s="11" t="str">
        <f t="shared" si="21"/>
        <v/>
      </c>
      <c r="FL49" s="11" t="str">
        <f t="shared" si="22"/>
        <v/>
      </c>
      <c r="FN49" s="141" t="str">
        <f t="shared" si="9"/>
        <v>13-feb</v>
      </c>
      <c r="FO49" s="11" t="str">
        <f t="shared" si="10"/>
        <v/>
      </c>
      <c r="FP49" s="11" t="str">
        <f t="shared" si="11"/>
        <v/>
      </c>
      <c r="FQ49" s="11" t="str">
        <f t="shared" si="12"/>
        <v/>
      </c>
    </row>
    <row r="50" spans="1:173">
      <c r="A50" s="131" t="s">
        <v>398</v>
      </c>
      <c r="B50" s="132">
        <f>IF(E26="","",E26)</f>
        <v>9467.6590082242783</v>
      </c>
      <c r="C50" s="132">
        <f>IFERROR(IF(E27="","",E27),0)</f>
        <v>9442.5740962829277</v>
      </c>
      <c r="D50" s="132">
        <f>IFERROR(IF(E28="","",E28),0)</f>
        <v>9596.026476775598</v>
      </c>
      <c r="E50" s="132">
        <f>IFERROR(IF(E29="","",E29),0)</f>
        <v>8411.5782215318013</v>
      </c>
      <c r="F50" s="132">
        <f>IFERROR(IF(E30="","",E30),0)</f>
        <v>8771.2483278331874</v>
      </c>
      <c r="G50" s="132">
        <f>IFERROR(IF(E31="","",E31),0)</f>
        <v>9423.574055945177</v>
      </c>
      <c r="H50" s="132">
        <f>IFERROR(IF(E32="","",E32),0)</f>
        <v>9572.7220290339501</v>
      </c>
      <c r="I50" s="132">
        <f>IFERROR(IF(E33="","",E33),0)</f>
        <v>0</v>
      </c>
      <c r="J50" s="132">
        <f>IFERROR(IF(E34="","",E34),0)</f>
        <v>0</v>
      </c>
      <c r="K50" s="132">
        <f>IFERROR(IF(E35="","",E35),0)</f>
        <v>0</v>
      </c>
      <c r="L50" s="132">
        <f>IFERROR(IF(E36="","",E36),0)</f>
        <v>0</v>
      </c>
      <c r="M50" s="132">
        <f>IFERROR(IF(E37="","",E37),0)</f>
        <v>0</v>
      </c>
      <c r="BB50" s="43" t="s">
        <v>399</v>
      </c>
      <c r="BC50" s="61">
        <v>0</v>
      </c>
      <c r="BD50" s="61">
        <v>1488</v>
      </c>
      <c r="BE50" s="61">
        <v>1488</v>
      </c>
      <c r="BF50" s="61">
        <v>1519</v>
      </c>
      <c r="BI50" s="421" t="s">
        <v>399</v>
      </c>
      <c r="BJ50" s="61">
        <v>1519</v>
      </c>
      <c r="BK50" s="61">
        <v>1504.2514999999999</v>
      </c>
      <c r="BL50" s="61">
        <v>1519</v>
      </c>
      <c r="CH50" s="43" t="s">
        <v>399</v>
      </c>
      <c r="CI50" s="32">
        <v>7.3620773148148153</v>
      </c>
      <c r="CJ50" s="94">
        <v>9.6199161394442143</v>
      </c>
      <c r="CL50" s="43" t="s">
        <v>399</v>
      </c>
      <c r="CM50" s="32">
        <v>396.25807853722262</v>
      </c>
      <c r="CN50" s="32">
        <v>1965.4400695446238</v>
      </c>
      <c r="CO50" s="32">
        <v>0</v>
      </c>
      <c r="DG50"/>
      <c r="DH50"/>
      <c r="DI50"/>
      <c r="DJ50"/>
      <c r="DK50"/>
      <c r="DL50"/>
      <c r="EF50" s="43" t="s">
        <v>399</v>
      </c>
      <c r="EG50" s="32">
        <v>14506</v>
      </c>
      <c r="EH50" s="32">
        <v>14297.898965456961</v>
      </c>
      <c r="EK50" s="43" t="s">
        <v>399</v>
      </c>
      <c r="EL50" s="32">
        <v>9549.7037524687294</v>
      </c>
      <c r="EM50" s="32">
        <v>9504.9923270523341</v>
      </c>
      <c r="EQ50" s="43" t="s">
        <v>399</v>
      </c>
      <c r="ER50" s="61">
        <v>1505</v>
      </c>
      <c r="ES50" s="61">
        <v>0</v>
      </c>
      <c r="ET50" s="61">
        <v>80</v>
      </c>
      <c r="EU50" s="61">
        <v>0</v>
      </c>
      <c r="EW50" s="43" t="s">
        <v>399</v>
      </c>
      <c r="EX50" s="61">
        <v>1505</v>
      </c>
      <c r="EY50" s="61">
        <v>0</v>
      </c>
      <c r="EZ50" s="61">
        <v>80</v>
      </c>
      <c r="FA50" s="61">
        <v>0</v>
      </c>
      <c r="FB50" s="61">
        <v>0</v>
      </c>
      <c r="FD50" s="141" t="str">
        <f t="shared" si="4"/>
        <v>14-feb</v>
      </c>
      <c r="FE50" s="11" t="str">
        <f t="shared" si="5"/>
        <v/>
      </c>
      <c r="FF50" s="11" t="str">
        <f t="shared" si="6"/>
        <v/>
      </c>
      <c r="FG50" s="11" t="str">
        <f t="shared" si="7"/>
        <v/>
      </c>
      <c r="FI50" s="141" t="str">
        <f t="shared" si="20"/>
        <v>14-feb</v>
      </c>
      <c r="FJ50" s="11" t="str">
        <f t="shared" si="1"/>
        <v/>
      </c>
      <c r="FK50" s="11" t="str">
        <f t="shared" si="21"/>
        <v/>
      </c>
      <c r="FL50" s="11" t="str">
        <f t="shared" si="22"/>
        <v/>
      </c>
      <c r="FN50" s="141" t="str">
        <f t="shared" si="9"/>
        <v>14-feb</v>
      </c>
      <c r="FO50" s="11" t="str">
        <f t="shared" si="10"/>
        <v/>
      </c>
      <c r="FP50" s="11" t="str">
        <f t="shared" si="11"/>
        <v/>
      </c>
      <c r="FQ50" s="11" t="str">
        <f t="shared" si="12"/>
        <v/>
      </c>
    </row>
    <row r="51" spans="1:173">
      <c r="A51" s="131" t="s">
        <v>224</v>
      </c>
      <c r="B51" s="132">
        <f t="shared" ref="B51:M51" si="24">B43-B52</f>
        <v>14666.832238014813</v>
      </c>
      <c r="C51" s="132">
        <f t="shared" si="24"/>
        <v>34474.452832738367</v>
      </c>
      <c r="D51" s="132">
        <f t="shared" si="24"/>
        <v>17224.01781375127</v>
      </c>
      <c r="E51" s="132">
        <f t="shared" si="24"/>
        <v>310528.96386824804</v>
      </c>
      <c r="F51" s="132">
        <f t="shared" si="24"/>
        <v>207224.48303130243</v>
      </c>
      <c r="G51" s="132">
        <f t="shared" si="24"/>
        <v>-12297.209069859229</v>
      </c>
      <c r="H51" s="132">
        <f t="shared" si="24"/>
        <v>-6302.7753756958227</v>
      </c>
      <c r="I51" s="132">
        <f t="shared" si="24"/>
        <v>-9846</v>
      </c>
      <c r="J51" s="132">
        <f t="shared" si="24"/>
        <v>-8955</v>
      </c>
      <c r="K51" s="132">
        <f t="shared" si="24"/>
        <v>-20841</v>
      </c>
      <c r="L51" s="132">
        <f t="shared" si="24"/>
        <v>-1654</v>
      </c>
      <c r="M51" s="132">
        <f t="shared" si="24"/>
        <v>-9595</v>
      </c>
      <c r="BB51" s="43" t="s">
        <v>400</v>
      </c>
      <c r="BC51" s="61">
        <v>0</v>
      </c>
      <c r="BD51" s="61">
        <v>1488</v>
      </c>
      <c r="BE51" s="61">
        <v>1488</v>
      </c>
      <c r="BF51" s="61">
        <v>1526</v>
      </c>
      <c r="BI51" s="421" t="s">
        <v>400</v>
      </c>
      <c r="BJ51" s="61">
        <v>1526</v>
      </c>
      <c r="BK51" s="61">
        <v>1513.3906999999999</v>
      </c>
      <c r="BL51" s="61">
        <v>1526</v>
      </c>
      <c r="CH51" s="43" t="s">
        <v>400</v>
      </c>
      <c r="CI51" s="32">
        <v>7.3587273809523817</v>
      </c>
      <c r="CJ51" s="94">
        <v>9.6710208519539744</v>
      </c>
      <c r="CL51" s="43" t="s">
        <v>400</v>
      </c>
      <c r="CM51" s="32">
        <v>237.75484712233359</v>
      </c>
      <c r="CN51" s="32">
        <v>1989.2155542568576</v>
      </c>
      <c r="CO51" s="32">
        <v>0</v>
      </c>
      <c r="DG51"/>
      <c r="DH51"/>
      <c r="DI51"/>
      <c r="DJ51"/>
      <c r="DK51"/>
      <c r="DL51"/>
      <c r="EF51" s="43" t="s">
        <v>400</v>
      </c>
      <c r="EG51" s="32">
        <v>14437</v>
      </c>
      <c r="EH51" s="32">
        <v>14316.966395626632</v>
      </c>
      <c r="EK51" s="43" t="s">
        <v>400</v>
      </c>
      <c r="EL51" s="32">
        <v>9460.6815203145488</v>
      </c>
      <c r="EM51" s="32">
        <v>9460.1918695724999</v>
      </c>
      <c r="EQ51" s="43" t="s">
        <v>400</v>
      </c>
      <c r="ER51" s="61">
        <v>1505</v>
      </c>
      <c r="ES51" s="61">
        <v>0</v>
      </c>
      <c r="ET51" s="61">
        <v>80</v>
      </c>
      <c r="EU51" s="61">
        <v>0</v>
      </c>
      <c r="EW51" s="43" t="s">
        <v>400</v>
      </c>
      <c r="EX51" s="61">
        <v>1505</v>
      </c>
      <c r="EY51" s="61">
        <v>0</v>
      </c>
      <c r="EZ51" s="61">
        <v>80</v>
      </c>
      <c r="FA51" s="61">
        <v>0</v>
      </c>
      <c r="FB51" s="61">
        <v>0</v>
      </c>
      <c r="FD51" s="141" t="str">
        <f t="shared" si="4"/>
        <v>15-feb</v>
      </c>
      <c r="FE51" s="11" t="str">
        <f t="shared" si="5"/>
        <v/>
      </c>
      <c r="FF51" s="11" t="str">
        <f t="shared" si="6"/>
        <v/>
      </c>
      <c r="FG51" s="11" t="str">
        <f t="shared" si="7"/>
        <v/>
      </c>
      <c r="FI51" s="141" t="str">
        <f t="shared" si="20"/>
        <v>15-feb</v>
      </c>
      <c r="FJ51" s="11" t="str">
        <f t="shared" si="1"/>
        <v/>
      </c>
      <c r="FK51" s="11" t="str">
        <f t="shared" si="21"/>
        <v/>
      </c>
      <c r="FL51" s="11" t="str">
        <f t="shared" si="22"/>
        <v/>
      </c>
      <c r="FN51" s="141" t="str">
        <f t="shared" si="9"/>
        <v>15-feb</v>
      </c>
      <c r="FO51" s="11" t="str">
        <f t="shared" si="10"/>
        <v/>
      </c>
      <c r="FP51" s="11" t="str">
        <f t="shared" si="11"/>
        <v/>
      </c>
      <c r="FQ51" s="11" t="str">
        <f t="shared" si="12"/>
        <v/>
      </c>
    </row>
    <row r="52" spans="1:173">
      <c r="A52" s="131" t="s">
        <v>225</v>
      </c>
      <c r="B52" s="132">
        <v>24879.723999999998</v>
      </c>
      <c r="C52" s="132">
        <v>0</v>
      </c>
      <c r="D52" s="132">
        <v>0</v>
      </c>
      <c r="E52" s="132">
        <v>11515.26</v>
      </c>
      <c r="F52" s="132">
        <v>0</v>
      </c>
      <c r="G52" s="132">
        <v>49281.296399999999</v>
      </c>
      <c r="H52" s="132">
        <v>33671</v>
      </c>
      <c r="I52" s="132">
        <v>9846</v>
      </c>
      <c r="J52" s="132">
        <v>8955</v>
      </c>
      <c r="K52" s="132">
        <v>20841</v>
      </c>
      <c r="L52" s="132">
        <v>1654</v>
      </c>
      <c r="M52" s="132">
        <v>9595</v>
      </c>
      <c r="BB52" s="43" t="s">
        <v>401</v>
      </c>
      <c r="BC52" s="61">
        <v>0</v>
      </c>
      <c r="BD52" s="61">
        <v>1272</v>
      </c>
      <c r="BE52" s="61">
        <v>1272</v>
      </c>
      <c r="BF52" s="61">
        <v>1314</v>
      </c>
      <c r="BI52" s="421" t="s">
        <v>401</v>
      </c>
      <c r="BJ52" s="61">
        <v>1314</v>
      </c>
      <c r="BK52" s="61">
        <v>1303.9017000000001</v>
      </c>
      <c r="BL52" s="61">
        <v>1314</v>
      </c>
      <c r="CH52" s="43" t="s">
        <v>401</v>
      </c>
      <c r="CI52" s="32">
        <v>6.9118462053571434</v>
      </c>
      <c r="CJ52" s="94">
        <v>9.6469972691502424</v>
      </c>
      <c r="CL52" s="43" t="s">
        <v>401</v>
      </c>
      <c r="CM52" s="32">
        <v>105.66882094325936</v>
      </c>
      <c r="CN52" s="32">
        <v>1820.1454407476431</v>
      </c>
      <c r="CO52" s="32">
        <v>0</v>
      </c>
      <c r="DG52"/>
      <c r="DH52"/>
      <c r="DI52"/>
      <c r="DJ52"/>
      <c r="DK52"/>
      <c r="DL52"/>
      <c r="EF52" s="43" t="s">
        <v>401</v>
      </c>
      <c r="EG52" s="32">
        <v>12636</v>
      </c>
      <c r="EH52" s="32">
        <v>12528.49773332839</v>
      </c>
      <c r="EK52" s="43" t="s">
        <v>401</v>
      </c>
      <c r="EL52" s="32">
        <v>9616.4383561643845</v>
      </c>
      <c r="EM52" s="32">
        <v>9608.467979854915</v>
      </c>
      <c r="EQ52" s="43" t="s">
        <v>401</v>
      </c>
      <c r="ER52" s="61">
        <v>1505</v>
      </c>
      <c r="ES52" s="61">
        <v>0</v>
      </c>
      <c r="ET52" s="61">
        <v>71</v>
      </c>
      <c r="EU52" s="61">
        <v>0</v>
      </c>
      <c r="EW52" s="43" t="s">
        <v>401</v>
      </c>
      <c r="EX52" s="61">
        <v>1505</v>
      </c>
      <c r="EY52" s="61">
        <v>0</v>
      </c>
      <c r="EZ52" s="61">
        <v>71</v>
      </c>
      <c r="FA52" s="61">
        <v>0</v>
      </c>
      <c r="FB52" s="61">
        <v>0</v>
      </c>
      <c r="FD52" s="141" t="str">
        <f t="shared" si="4"/>
        <v>16-feb</v>
      </c>
      <c r="FE52" s="11" t="str">
        <f t="shared" si="5"/>
        <v/>
      </c>
      <c r="FF52" s="11" t="str">
        <f t="shared" si="6"/>
        <v/>
      </c>
      <c r="FG52" s="11" t="str">
        <f t="shared" si="7"/>
        <v/>
      </c>
      <c r="FI52" s="141" t="str">
        <f t="shared" si="20"/>
        <v>16-feb</v>
      </c>
      <c r="FJ52" s="11" t="str">
        <f t="shared" si="1"/>
        <v/>
      </c>
      <c r="FK52" s="11" t="str">
        <f t="shared" si="21"/>
        <v/>
      </c>
      <c r="FL52" s="11" t="str">
        <f t="shared" si="22"/>
        <v/>
      </c>
      <c r="FN52" s="141" t="str">
        <f t="shared" si="9"/>
        <v>16-feb</v>
      </c>
      <c r="FO52" s="11" t="str">
        <f t="shared" si="10"/>
        <v/>
      </c>
      <c r="FP52" s="11" t="str">
        <f t="shared" si="11"/>
        <v/>
      </c>
      <c r="FQ52" s="11" t="str">
        <f t="shared" si="12"/>
        <v/>
      </c>
    </row>
    <row r="53" spans="1:173">
      <c r="A53" s="131" t="s">
        <v>369</v>
      </c>
      <c r="B53" s="132" t="s">
        <v>402</v>
      </c>
      <c r="C53" s="132">
        <v>0</v>
      </c>
      <c r="D53" s="132">
        <v>0</v>
      </c>
      <c r="E53" s="132" t="s">
        <v>403</v>
      </c>
      <c r="F53" s="132">
        <v>0</v>
      </c>
      <c r="G53" s="132" t="s">
        <v>404</v>
      </c>
      <c r="H53" s="132" t="s">
        <v>405</v>
      </c>
      <c r="I53" s="132" t="s">
        <v>406</v>
      </c>
      <c r="J53" s="132">
        <v>127.97</v>
      </c>
      <c r="K53" s="132">
        <v>317</v>
      </c>
      <c r="L53" s="132" t="s">
        <v>407</v>
      </c>
      <c r="M53" s="132">
        <v>155</v>
      </c>
      <c r="BB53" s="43" t="s">
        <v>408</v>
      </c>
      <c r="BC53" s="61">
        <v>0</v>
      </c>
      <c r="BD53" s="61">
        <v>1272</v>
      </c>
      <c r="BE53" s="61">
        <v>1272</v>
      </c>
      <c r="BF53" s="61">
        <v>1303</v>
      </c>
      <c r="BI53" s="421" t="s">
        <v>408</v>
      </c>
      <c r="BJ53" s="61">
        <v>1303</v>
      </c>
      <c r="BK53" s="61">
        <v>1291.3788999999999</v>
      </c>
      <c r="BL53" s="61">
        <v>1303</v>
      </c>
      <c r="CH53" s="43" t="s">
        <v>408</v>
      </c>
      <c r="CI53" s="32">
        <v>6.8042625744047633</v>
      </c>
      <c r="CJ53" s="94">
        <v>9.4936831316209602</v>
      </c>
      <c r="CL53" s="43" t="s">
        <v>408</v>
      </c>
      <c r="CM53" s="32">
        <v>264.17205235814845</v>
      </c>
      <c r="CN53" s="32">
        <v>1801.6533970825724</v>
      </c>
      <c r="CO53" s="32">
        <v>0</v>
      </c>
      <c r="DG53"/>
      <c r="DH53"/>
      <c r="DI53"/>
      <c r="DJ53"/>
      <c r="DK53"/>
      <c r="DL53"/>
      <c r="EF53" s="43" t="s">
        <v>408</v>
      </c>
      <c r="EG53" s="32">
        <v>12461</v>
      </c>
      <c r="EH53" s="32">
        <v>12375.747213408273</v>
      </c>
      <c r="EK53" s="43" t="s">
        <v>408</v>
      </c>
      <c r="EL53" s="32">
        <v>9563.3154259401381</v>
      </c>
      <c r="EM53" s="32">
        <v>9583.3586977518935</v>
      </c>
      <c r="EQ53" s="43" t="s">
        <v>408</v>
      </c>
      <c r="ER53" s="61">
        <v>1505</v>
      </c>
      <c r="ES53" s="61">
        <v>0</v>
      </c>
      <c r="ET53" s="61">
        <v>71</v>
      </c>
      <c r="EU53" s="61">
        <v>0</v>
      </c>
      <c r="EW53" s="43" t="s">
        <v>408</v>
      </c>
      <c r="EX53" s="61">
        <v>1505</v>
      </c>
      <c r="EY53" s="61">
        <v>0</v>
      </c>
      <c r="EZ53" s="61">
        <v>71</v>
      </c>
      <c r="FA53" s="61">
        <v>0</v>
      </c>
      <c r="FB53" s="61">
        <v>0</v>
      </c>
      <c r="FD53" s="141"/>
      <c r="FE53" s="11"/>
      <c r="FF53" s="11"/>
      <c r="FG53" s="11"/>
      <c r="FI53" s="141"/>
      <c r="FJ53" s="11"/>
      <c r="FK53" s="11"/>
      <c r="FL53" s="11"/>
      <c r="FN53" s="141"/>
      <c r="FO53" s="11"/>
      <c r="FP53" s="11"/>
      <c r="FQ53" s="11"/>
    </row>
    <row r="54" spans="1:173">
      <c r="A54" s="131"/>
      <c r="B54" s="237"/>
      <c r="C54" s="391"/>
      <c r="D54" s="237"/>
      <c r="E54" s="28"/>
      <c r="F54" s="28"/>
      <c r="G54" s="28"/>
      <c r="H54" s="28"/>
      <c r="I54" s="28"/>
      <c r="J54" s="28"/>
      <c r="K54" s="28"/>
      <c r="L54" s="28"/>
      <c r="M54" s="28"/>
      <c r="BB54" s="43" t="s">
        <v>409</v>
      </c>
      <c r="BC54" s="61">
        <v>0</v>
      </c>
      <c r="BD54" s="61">
        <v>1488</v>
      </c>
      <c r="BE54" s="61">
        <v>1488</v>
      </c>
      <c r="BF54" s="61">
        <v>1534</v>
      </c>
      <c r="BI54" s="421" t="s">
        <v>409</v>
      </c>
      <c r="BJ54" s="61">
        <v>1534</v>
      </c>
      <c r="BK54" s="61">
        <v>1520.7452999999996</v>
      </c>
      <c r="BL54" s="61">
        <v>1534</v>
      </c>
      <c r="CH54" s="43" t="s">
        <v>409</v>
      </c>
      <c r="CI54" s="32">
        <v>7.2248140376984109</v>
      </c>
      <c r="CJ54" s="94">
        <v>9.4253251187339693</v>
      </c>
      <c r="CL54" s="43" t="s">
        <v>409</v>
      </c>
      <c r="CM54" s="32">
        <v>369.84087330140778</v>
      </c>
      <c r="CN54" s="32">
        <v>1983.932113209695</v>
      </c>
      <c r="CO54" s="32">
        <v>0</v>
      </c>
      <c r="DG54"/>
      <c r="DH54"/>
      <c r="DI54"/>
      <c r="DJ54"/>
      <c r="DK54"/>
      <c r="DL54"/>
      <c r="EF54" s="43" t="s">
        <v>409</v>
      </c>
      <c r="EG54" s="32">
        <v>14550</v>
      </c>
      <c r="EH54" s="32">
        <v>14440.658433406259</v>
      </c>
      <c r="EK54" s="43" t="s">
        <v>409</v>
      </c>
      <c r="EL54" s="32">
        <v>9485.0065189048237</v>
      </c>
      <c r="EM54" s="32">
        <v>9495.7771254701638</v>
      </c>
      <c r="EQ54" s="43" t="s">
        <v>409</v>
      </c>
      <c r="ER54" s="61">
        <v>1505</v>
      </c>
      <c r="ES54" s="61">
        <v>0</v>
      </c>
      <c r="ET54" s="61">
        <v>80</v>
      </c>
      <c r="EU54" s="61">
        <v>0</v>
      </c>
      <c r="EW54" s="43" t="s">
        <v>409</v>
      </c>
      <c r="EX54" s="61">
        <v>1505</v>
      </c>
      <c r="EY54" s="61">
        <v>0</v>
      </c>
      <c r="EZ54" s="61">
        <v>80</v>
      </c>
      <c r="FA54" s="61">
        <v>0</v>
      </c>
      <c r="FB54" s="61">
        <v>0</v>
      </c>
      <c r="FD54" s="141"/>
      <c r="FE54" s="11"/>
      <c r="FF54" s="11"/>
      <c r="FG54" s="11"/>
      <c r="FI54" s="141"/>
      <c r="FJ54" s="11"/>
      <c r="FK54" s="11"/>
      <c r="FL54" s="11"/>
      <c r="FN54" s="141"/>
      <c r="FO54" s="11"/>
      <c r="FP54" s="11"/>
      <c r="FQ54" s="11"/>
    </row>
    <row r="55" spans="1:173">
      <c r="A55" s="131"/>
      <c r="B55" s="237"/>
      <c r="C55" s="391"/>
      <c r="D55" s="237"/>
      <c r="E55" s="28"/>
      <c r="F55" s="28"/>
      <c r="G55" s="28"/>
      <c r="H55" s="28"/>
      <c r="I55" s="28"/>
      <c r="J55" s="28"/>
      <c r="K55" s="28"/>
      <c r="L55" s="28"/>
      <c r="M55" s="28"/>
      <c r="BB55" s="43" t="s">
        <v>410</v>
      </c>
      <c r="BC55" s="61">
        <v>0</v>
      </c>
      <c r="BD55" s="61">
        <v>1488</v>
      </c>
      <c r="BE55" s="61">
        <v>1488</v>
      </c>
      <c r="BF55" s="61">
        <v>1543</v>
      </c>
      <c r="BI55" s="421" t="s">
        <v>410</v>
      </c>
      <c r="BJ55" s="61">
        <v>1543</v>
      </c>
      <c r="BK55" s="61">
        <v>1529.2641000000001</v>
      </c>
      <c r="BL55" s="61">
        <v>1543</v>
      </c>
      <c r="CH55" s="43" t="s">
        <v>410</v>
      </c>
      <c r="CI55" s="32">
        <v>7.2249445601851834</v>
      </c>
      <c r="CJ55" s="94">
        <v>9.5227298271927427</v>
      </c>
      <c r="CL55" s="43" t="s">
        <v>410</v>
      </c>
      <c r="CM55" s="32">
        <v>396.25807853722262</v>
      </c>
      <c r="CN55" s="32">
        <v>2015.6327594926729</v>
      </c>
      <c r="CO55" s="32">
        <v>0</v>
      </c>
      <c r="DG55"/>
      <c r="DH55"/>
      <c r="DI55"/>
      <c r="DJ55"/>
      <c r="DK55"/>
      <c r="DL55"/>
      <c r="EF55" s="43" t="s">
        <v>410</v>
      </c>
      <c r="EG55" s="32">
        <v>14609</v>
      </c>
      <c r="EH55" s="32">
        <v>14518.792681389348</v>
      </c>
      <c r="EK55" s="43" t="s">
        <v>410</v>
      </c>
      <c r="EL55" s="32">
        <v>9467.9196370706413</v>
      </c>
      <c r="EM55" s="32">
        <v>9493.9733963475301</v>
      </c>
      <c r="EQ55" s="43" t="s">
        <v>410</v>
      </c>
      <c r="ER55" s="61">
        <v>1505</v>
      </c>
      <c r="ES55" s="61">
        <v>0</v>
      </c>
      <c r="ET55" s="61">
        <v>80</v>
      </c>
      <c r="EU55" s="61">
        <v>0</v>
      </c>
      <c r="EW55" s="43" t="s">
        <v>410</v>
      </c>
      <c r="EX55" s="61">
        <v>1505</v>
      </c>
      <c r="EY55" s="61">
        <v>0</v>
      </c>
      <c r="EZ55" s="61">
        <v>80</v>
      </c>
      <c r="FA55" s="61">
        <v>0</v>
      </c>
      <c r="FB55" s="61">
        <v>0</v>
      </c>
      <c r="FD55" s="141"/>
      <c r="FE55" s="11"/>
      <c r="FF55" s="11"/>
      <c r="FG55" s="11"/>
      <c r="FI55" s="141"/>
      <c r="FJ55" s="11"/>
      <c r="FK55" s="11"/>
      <c r="FL55" s="11"/>
      <c r="FN55" s="141"/>
      <c r="FO55" s="11"/>
      <c r="FP55" s="11"/>
      <c r="FQ55" s="11"/>
    </row>
    <row r="56" spans="1:173">
      <c r="A56" s="131"/>
      <c r="B56" s="237"/>
      <c r="C56" s="391"/>
      <c r="D56" s="237"/>
      <c r="E56" s="28"/>
      <c r="F56" s="28"/>
      <c r="G56" s="28"/>
      <c r="H56" s="28"/>
      <c r="I56" s="28"/>
      <c r="J56" s="28"/>
      <c r="K56" s="28"/>
      <c r="L56" s="28"/>
      <c r="M56" s="28"/>
      <c r="BB56" s="43" t="s">
        <v>411</v>
      </c>
      <c r="BC56" s="61">
        <v>0</v>
      </c>
      <c r="BD56" s="61">
        <v>1272</v>
      </c>
      <c r="BE56" s="61">
        <v>1272</v>
      </c>
      <c r="BF56" s="61">
        <v>1308</v>
      </c>
      <c r="BI56" s="421" t="s">
        <v>411</v>
      </c>
      <c r="BJ56" s="61">
        <v>1308</v>
      </c>
      <c r="BK56" s="61">
        <v>1297.0879</v>
      </c>
      <c r="BL56" s="61">
        <v>1308</v>
      </c>
      <c r="CH56" s="43" t="s">
        <v>411</v>
      </c>
      <c r="CI56" s="32">
        <v>6.9131669642857148</v>
      </c>
      <c r="CJ56" s="94">
        <v>8.7565959319609501</v>
      </c>
      <c r="CL56" s="43" t="s">
        <v>411</v>
      </c>
      <c r="CM56" s="32">
        <v>369.84087330140778</v>
      </c>
      <c r="CN56" s="32">
        <v>1643.150165667683</v>
      </c>
      <c r="CO56" s="32">
        <v>0</v>
      </c>
      <c r="DG56"/>
      <c r="DH56"/>
      <c r="DI56"/>
      <c r="DJ56"/>
      <c r="DK56"/>
      <c r="DL56"/>
      <c r="EF56" s="43" t="s">
        <v>411</v>
      </c>
      <c r="EG56" s="32">
        <v>12508</v>
      </c>
      <c r="EH56" s="32">
        <v>12425.139597095014</v>
      </c>
      <c r="EK56" s="43" t="s">
        <v>411</v>
      </c>
      <c r="EL56" s="32">
        <v>9562.6911314984718</v>
      </c>
      <c r="EM56" s="32">
        <v>9579.257964780194</v>
      </c>
      <c r="EQ56" s="43" t="s">
        <v>411</v>
      </c>
      <c r="ER56" s="61">
        <v>1505</v>
      </c>
      <c r="ES56" s="61">
        <v>0</v>
      </c>
      <c r="ET56" s="61">
        <v>71</v>
      </c>
      <c r="EU56" s="61">
        <v>0</v>
      </c>
      <c r="EW56" s="43" t="s">
        <v>411</v>
      </c>
      <c r="EX56" s="61">
        <v>1505</v>
      </c>
      <c r="EY56" s="61">
        <v>0</v>
      </c>
      <c r="EZ56" s="61">
        <v>71</v>
      </c>
      <c r="FA56" s="61">
        <v>0</v>
      </c>
      <c r="FB56" s="61">
        <v>0</v>
      </c>
      <c r="FD56" s="141"/>
      <c r="FE56" s="11"/>
      <c r="FF56" s="11"/>
      <c r="FG56" s="11"/>
      <c r="FI56" s="141"/>
      <c r="FJ56" s="11"/>
      <c r="FK56" s="11"/>
      <c r="FL56" s="11"/>
      <c r="FN56" s="141"/>
      <c r="FO56" s="11"/>
      <c r="FP56" s="11"/>
      <c r="FQ56" s="11"/>
    </row>
    <row r="57" spans="1:173">
      <c r="A57" s="255" t="s">
        <v>412</v>
      </c>
      <c r="B57" s="252" t="s">
        <v>413</v>
      </c>
      <c r="C57" s="252" t="s">
        <v>414</v>
      </c>
      <c r="D57" s="252" t="s">
        <v>415</v>
      </c>
      <c r="E57" s="252" t="s">
        <v>416</v>
      </c>
      <c r="F57" s="252" t="s">
        <v>417</v>
      </c>
      <c r="G57" s="252" t="s">
        <v>418</v>
      </c>
      <c r="H57" s="252" t="s">
        <v>419</v>
      </c>
      <c r="I57" s="252" t="s">
        <v>420</v>
      </c>
      <c r="J57" s="252" t="s">
        <v>421</v>
      </c>
      <c r="K57" s="252" t="s">
        <v>422</v>
      </c>
      <c r="L57" s="252" t="s">
        <v>423</v>
      </c>
      <c r="M57" s="252" t="s">
        <v>424</v>
      </c>
      <c r="O57" s="253"/>
      <c r="BB57" s="43" t="s">
        <v>425</v>
      </c>
      <c r="BC57" s="61">
        <v>0</v>
      </c>
      <c r="BD57" s="61">
        <v>1272</v>
      </c>
      <c r="BE57" s="61">
        <v>1272</v>
      </c>
      <c r="BF57" s="61">
        <v>1302</v>
      </c>
      <c r="BI57" s="421" t="s">
        <v>425</v>
      </c>
      <c r="BJ57" s="61">
        <v>1302</v>
      </c>
      <c r="BK57" s="61">
        <v>1289.8014000000001</v>
      </c>
      <c r="BL57" s="61">
        <v>1302</v>
      </c>
      <c r="CH57" s="43" t="s">
        <v>425</v>
      </c>
      <c r="CI57" s="32">
        <v>6.8776429315476184</v>
      </c>
      <c r="CJ57" s="94">
        <v>9.0573275094222296</v>
      </c>
      <c r="CL57" s="43" t="s">
        <v>425</v>
      </c>
      <c r="CM57" s="32">
        <v>396.25807853722262</v>
      </c>
      <c r="CN57" s="32">
        <v>1698.626296662894</v>
      </c>
      <c r="CO57" s="32">
        <v>0</v>
      </c>
      <c r="DG57"/>
      <c r="DH57"/>
      <c r="DI57"/>
      <c r="DJ57"/>
      <c r="DK57"/>
      <c r="DL57"/>
      <c r="EF57" s="43" t="s">
        <v>425</v>
      </c>
      <c r="EG57" s="32">
        <v>12503</v>
      </c>
      <c r="EH57" s="32">
        <v>12369.977732692725</v>
      </c>
      <c r="EK57" s="43" t="s">
        <v>425</v>
      </c>
      <c r="EL57" s="32">
        <v>9602.918586789554</v>
      </c>
      <c r="EM57" s="32">
        <v>9590.6065326745065</v>
      </c>
      <c r="EQ57" s="43" t="s">
        <v>425</v>
      </c>
      <c r="ER57" s="61">
        <v>1505</v>
      </c>
      <c r="ES57" s="61">
        <v>0</v>
      </c>
      <c r="ET57" s="61">
        <v>71</v>
      </c>
      <c r="EU57" s="61">
        <v>0</v>
      </c>
      <c r="EW57" s="43" t="s">
        <v>425</v>
      </c>
      <c r="EX57" s="61">
        <v>1505</v>
      </c>
      <c r="EY57" s="61">
        <v>0</v>
      </c>
      <c r="EZ57" s="61">
        <v>71</v>
      </c>
      <c r="FA57" s="61">
        <v>0</v>
      </c>
      <c r="FB57" s="61">
        <v>0</v>
      </c>
      <c r="FD57" s="141" t="str">
        <f t="shared" si="4"/>
        <v>21-feb</v>
      </c>
      <c r="FE57" s="11" t="str">
        <f t="shared" si="5"/>
        <v/>
      </c>
      <c r="FF57" s="11" t="str">
        <f t="shared" si="6"/>
        <v/>
      </c>
      <c r="FG57" s="11" t="str">
        <f t="shared" si="7"/>
        <v/>
      </c>
      <c r="FI57" s="141" t="str">
        <f t="shared" si="20"/>
        <v>21-feb</v>
      </c>
      <c r="FJ57" s="11" t="str">
        <f t="shared" si="1"/>
        <v/>
      </c>
      <c r="FK57" s="11" t="str">
        <f t="shared" si="21"/>
        <v/>
      </c>
      <c r="FL57" s="11" t="str">
        <f t="shared" si="22"/>
        <v/>
      </c>
      <c r="FN57" s="141" t="str">
        <f t="shared" si="9"/>
        <v>21-feb</v>
      </c>
      <c r="FO57" s="11" t="str">
        <f t="shared" si="10"/>
        <v/>
      </c>
      <c r="FP57" s="11" t="str">
        <f t="shared" si="11"/>
        <v/>
      </c>
      <c r="FQ57" s="11" t="str">
        <f t="shared" si="12"/>
        <v/>
      </c>
    </row>
    <row r="58" spans="1:173">
      <c r="A58" s="254" t="s">
        <v>110</v>
      </c>
      <c r="B58" s="251">
        <v>44926</v>
      </c>
      <c r="C58" s="250">
        <v>44957</v>
      </c>
      <c r="D58" s="250">
        <v>44985</v>
      </c>
      <c r="E58" s="250">
        <v>45016</v>
      </c>
      <c r="F58" s="250">
        <v>45046</v>
      </c>
      <c r="G58" s="251">
        <v>45078</v>
      </c>
      <c r="H58" s="251">
        <v>45108</v>
      </c>
      <c r="I58" s="251">
        <v>45139</v>
      </c>
      <c r="J58" s="251">
        <v>45170</v>
      </c>
      <c r="K58" s="251">
        <v>45200</v>
      </c>
      <c r="L58" s="251">
        <v>45231</v>
      </c>
      <c r="M58" s="250">
        <v>45261</v>
      </c>
      <c r="P58" s="256"/>
      <c r="BB58" s="43" t="s">
        <v>426</v>
      </c>
      <c r="BC58" s="61">
        <v>0</v>
      </c>
      <c r="BD58" s="61">
        <v>1488</v>
      </c>
      <c r="BE58" s="61">
        <v>1488</v>
      </c>
      <c r="BF58" s="61">
        <v>2043</v>
      </c>
      <c r="BI58" s="421" t="s">
        <v>426</v>
      </c>
      <c r="BJ58" s="61">
        <v>1407</v>
      </c>
      <c r="BK58" s="61">
        <v>1395.0833000000002</v>
      </c>
      <c r="BL58" s="61">
        <v>2043</v>
      </c>
      <c r="CH58" s="43" t="s">
        <v>426</v>
      </c>
      <c r="CI58" s="32">
        <v>6.9112075396825405</v>
      </c>
      <c r="CJ58" s="94">
        <v>8.7011232953050559</v>
      </c>
      <c r="CL58" s="43" t="s">
        <v>426</v>
      </c>
      <c r="CM58" s="32">
        <v>422.67528377303745</v>
      </c>
      <c r="CN58" s="32">
        <v>1756.7441481816863</v>
      </c>
      <c r="CO58" s="32">
        <v>0</v>
      </c>
      <c r="DG58"/>
      <c r="DH58"/>
      <c r="DI58"/>
      <c r="DJ58"/>
      <c r="DK58"/>
      <c r="DL58"/>
      <c r="EF58" s="43" t="s">
        <v>426</v>
      </c>
      <c r="EG58" s="32">
        <v>13463</v>
      </c>
      <c r="EH58" s="32">
        <v>13357.755046906701</v>
      </c>
      <c r="EK58" s="43" t="s">
        <v>426</v>
      </c>
      <c r="EL58" s="32">
        <v>9568.5856432125092</v>
      </c>
      <c r="EM58" s="32">
        <v>9574.8798992194224</v>
      </c>
      <c r="EQ58" s="43" t="s">
        <v>426</v>
      </c>
      <c r="ER58" s="61">
        <v>1505</v>
      </c>
      <c r="ES58" s="61">
        <v>0</v>
      </c>
      <c r="ET58" s="61">
        <v>80</v>
      </c>
      <c r="EU58" s="61">
        <v>0</v>
      </c>
      <c r="EW58" s="43" t="s">
        <v>426</v>
      </c>
      <c r="EX58" s="61">
        <v>1505</v>
      </c>
      <c r="EY58" s="61">
        <v>0</v>
      </c>
      <c r="EZ58" s="61">
        <v>80</v>
      </c>
      <c r="FA58" s="61">
        <v>0</v>
      </c>
      <c r="FB58" s="61">
        <v>0</v>
      </c>
      <c r="FD58" s="141" t="str">
        <f t="shared" si="4"/>
        <v>22-feb</v>
      </c>
      <c r="FE58" s="11" t="str">
        <f t="shared" si="5"/>
        <v/>
      </c>
      <c r="FF58" s="11" t="str">
        <f t="shared" si="6"/>
        <v/>
      </c>
      <c r="FG58" s="11" t="str">
        <f t="shared" si="7"/>
        <v/>
      </c>
      <c r="FI58" s="141" t="str">
        <f t="shared" si="20"/>
        <v>22-feb</v>
      </c>
      <c r="FJ58" s="11" t="str">
        <f t="shared" si="1"/>
        <v/>
      </c>
      <c r="FK58" s="11" t="str">
        <f t="shared" si="21"/>
        <v/>
      </c>
      <c r="FL58" s="11" t="str">
        <f t="shared" si="22"/>
        <v/>
      </c>
      <c r="FN58" s="141" t="str">
        <f t="shared" si="9"/>
        <v>22-feb</v>
      </c>
      <c r="FO58" s="11" t="str">
        <f t="shared" si="10"/>
        <v/>
      </c>
      <c r="FP58" s="11" t="str">
        <f t="shared" si="11"/>
        <v/>
      </c>
      <c r="FQ58" s="11" t="str">
        <f t="shared" si="12"/>
        <v/>
      </c>
    </row>
    <row r="59" spans="1:173">
      <c r="A59" s="248"/>
      <c r="B59" s="249">
        <f>IFERROR(INDEX(Tank!$AF$2:$AF$367,MATCH(B58,Tank!$A$2:$A$367,0)),"")</f>
        <v>271.56</v>
      </c>
      <c r="C59" s="249">
        <f>IFERROR(INDEX(Tank!$AF$3:$AF$367,MATCH(C58,Tank!$A$3:$A$367,0)),"")</f>
        <v>283.14</v>
      </c>
      <c r="D59" s="249">
        <f>IFERROR(INDEX(Tank!$AF$3:$AF$367,MATCH(D58,Tank!$A$3:$A$367,0)),"")</f>
        <v>277.23</v>
      </c>
      <c r="E59" s="249">
        <f>IFERROR(INDEX(Tank!$AF$3:$AF$367,MATCH(E58,Tank!$A$3:$A$367,0)),"")</f>
        <v>257.31</v>
      </c>
      <c r="F59" s="249">
        <f>IFERROR(INDEX(Tank!$AF$3:$AF$367,MATCH(F58,Tank!$A$3:$A$367,0)),"")</f>
        <v>0</v>
      </c>
      <c r="G59" s="249">
        <f>IFERROR(INDEX(Tank!$AF$3:$AF$367,MATCH(G58,Tank!$A$3:$A$367,0)),"")</f>
        <v>246.3</v>
      </c>
      <c r="H59" s="249">
        <f>IFERROR(INDEX(Tank!$AF$3:$AF$367,MATCH(H58,Tank!$A$3:$A$367,0)),"")</f>
        <v>243.87</v>
      </c>
      <c r="I59" s="249">
        <f>IFERROR(INDEX(Tank!$AF$3:$AF$367,MATCH(I58,Tank!$A$3:$A$367,0)),"")</f>
        <v>0</v>
      </c>
      <c r="J59" s="249">
        <f>IFERROR(INDEX(Tank!$AF$3:$AF$367,MATCH(J58,Tank!$A$3:$A$367,0)),"")</f>
        <v>0</v>
      </c>
      <c r="K59" s="249">
        <f>IFERROR(INDEX(Tank!$AF$3:$AF$367,MATCH(K58,Tank!$A$3:$A$367,0)),"")</f>
        <v>0</v>
      </c>
      <c r="L59" s="249">
        <f>IFERROR(INDEX(Tank!$AF$3:$AF$367,MATCH(L58,Tank!$A$3:$A$367,0)),"")</f>
        <v>0</v>
      </c>
      <c r="M59" s="249">
        <f>IFERROR(INDEX(Tank!$AF$3:$AF$367,MATCH(M58,Tank!$A$3:$A$367,0)),"")</f>
        <v>0</v>
      </c>
      <c r="BB59" s="43" t="s">
        <v>427</v>
      </c>
      <c r="BC59" s="61">
        <v>0</v>
      </c>
      <c r="BD59" s="61">
        <v>1488</v>
      </c>
      <c r="BE59" s="61">
        <v>1488</v>
      </c>
      <c r="BF59" s="61">
        <v>1516</v>
      </c>
      <c r="BI59" s="421" t="s">
        <v>427</v>
      </c>
      <c r="BJ59" s="61">
        <v>1516</v>
      </c>
      <c r="BK59" s="61">
        <v>1502.3188999999995</v>
      </c>
      <c r="BL59" s="61">
        <v>1516</v>
      </c>
      <c r="CH59" s="43" t="s">
        <v>427</v>
      </c>
      <c r="CI59" s="32">
        <v>7.2283339947089971</v>
      </c>
      <c r="CJ59" s="94">
        <v>9.7861156532045879</v>
      </c>
      <c r="CL59" s="43" t="s">
        <v>427</v>
      </c>
      <c r="CM59" s="32">
        <v>686.8473361311859</v>
      </c>
      <c r="CN59" s="32">
        <v>2034.1248031577436</v>
      </c>
      <c r="CO59" s="32">
        <v>0</v>
      </c>
      <c r="DG59"/>
      <c r="DH59"/>
      <c r="DI59"/>
      <c r="DJ59"/>
      <c r="DK59"/>
      <c r="DL59"/>
      <c r="EF59" s="43" t="s">
        <v>427</v>
      </c>
      <c r="EG59" s="32">
        <v>14518</v>
      </c>
      <c r="EH59" s="32">
        <v>14285.902667139882</v>
      </c>
      <c r="EK59" s="43" t="s">
        <v>427</v>
      </c>
      <c r="EL59" s="32">
        <v>9576.517150395779</v>
      </c>
      <c r="EM59" s="32">
        <v>9509.234468886656</v>
      </c>
      <c r="EQ59" s="43" t="s">
        <v>427</v>
      </c>
      <c r="ER59" s="61">
        <v>1505</v>
      </c>
      <c r="ES59" s="61">
        <v>0</v>
      </c>
      <c r="ET59" s="61">
        <v>80</v>
      </c>
      <c r="EU59" s="61">
        <v>0</v>
      </c>
      <c r="EW59" s="43" t="s">
        <v>427</v>
      </c>
      <c r="EX59" s="61">
        <v>1505</v>
      </c>
      <c r="EY59" s="61">
        <v>0</v>
      </c>
      <c r="EZ59" s="61">
        <v>80</v>
      </c>
      <c r="FA59" s="61">
        <v>0</v>
      </c>
      <c r="FB59" s="61">
        <v>0</v>
      </c>
      <c r="FD59" s="141" t="str">
        <f t="shared" si="4"/>
        <v>23-feb</v>
      </c>
      <c r="FE59" s="11" t="str">
        <f t="shared" si="5"/>
        <v/>
      </c>
      <c r="FF59" s="11" t="str">
        <f t="shared" si="6"/>
        <v/>
      </c>
      <c r="FG59" s="11" t="str">
        <f t="shared" si="7"/>
        <v/>
      </c>
      <c r="FI59" s="141" t="str">
        <f t="shared" si="20"/>
        <v>23-feb</v>
      </c>
      <c r="FJ59" s="11" t="str">
        <f t="shared" si="1"/>
        <v/>
      </c>
      <c r="FK59" s="11" t="str">
        <f t="shared" si="21"/>
        <v/>
      </c>
      <c r="FL59" s="11" t="str">
        <f t="shared" si="22"/>
        <v/>
      </c>
      <c r="FN59" s="141" t="str">
        <f t="shared" si="9"/>
        <v>23-feb</v>
      </c>
      <c r="FO59" s="11" t="str">
        <f t="shared" si="10"/>
        <v/>
      </c>
      <c r="FP59" s="11" t="str">
        <f t="shared" si="11"/>
        <v/>
      </c>
      <c r="FQ59" s="11" t="str">
        <f t="shared" si="12"/>
        <v/>
      </c>
    </row>
    <row r="60" spans="1:173">
      <c r="B60" s="250">
        <v>44957</v>
      </c>
      <c r="C60" s="250">
        <v>44985</v>
      </c>
      <c r="D60" s="250">
        <v>45016</v>
      </c>
      <c r="E60" s="250">
        <v>45046</v>
      </c>
      <c r="F60" s="250">
        <v>45077</v>
      </c>
      <c r="G60" s="250">
        <v>45107</v>
      </c>
      <c r="H60" s="250">
        <v>45138</v>
      </c>
      <c r="I60" s="250">
        <v>45169</v>
      </c>
      <c r="J60" s="250">
        <v>45199</v>
      </c>
      <c r="K60" s="250">
        <v>45230</v>
      </c>
      <c r="L60" s="250">
        <v>45260</v>
      </c>
      <c r="M60" s="250">
        <v>45291</v>
      </c>
      <c r="BB60" s="43" t="s">
        <v>428</v>
      </c>
      <c r="BC60" s="61">
        <v>0</v>
      </c>
      <c r="BD60" s="61">
        <v>1488</v>
      </c>
      <c r="BE60" s="61">
        <v>1488</v>
      </c>
      <c r="BF60" s="61">
        <v>1514</v>
      </c>
      <c r="BI60" s="421" t="s">
        <v>428</v>
      </c>
      <c r="BJ60" s="61">
        <v>1514</v>
      </c>
      <c r="BK60" s="61">
        <v>1501.5897999999997</v>
      </c>
      <c r="BL60" s="61">
        <v>1514</v>
      </c>
      <c r="CH60" s="43" t="s">
        <v>428</v>
      </c>
      <c r="CI60" s="32">
        <v>7.3341610449735439</v>
      </c>
      <c r="CJ60" s="94">
        <v>9.6258128370414919</v>
      </c>
      <c r="CL60" s="43" t="s">
        <v>428</v>
      </c>
      <c r="CM60" s="32">
        <v>528.3441047162969</v>
      </c>
      <c r="CN60" s="32">
        <v>1970.7235105917878</v>
      </c>
      <c r="CO60" s="32">
        <v>0</v>
      </c>
      <c r="DG60"/>
      <c r="DH60"/>
      <c r="DI60"/>
      <c r="DJ60"/>
      <c r="DK60"/>
      <c r="DL60"/>
      <c r="EF60" s="43" t="s">
        <v>428</v>
      </c>
      <c r="EG60" s="32">
        <v>14310</v>
      </c>
      <c r="EH60" s="32">
        <v>14194.646368504971</v>
      </c>
      <c r="EK60" s="43" t="s">
        <v>428</v>
      </c>
      <c r="EL60" s="32">
        <v>9451.7833553500659</v>
      </c>
      <c r="EM60" s="32">
        <v>9453.0785761231018</v>
      </c>
      <c r="EQ60" s="43" t="s">
        <v>428</v>
      </c>
      <c r="ER60" s="61">
        <v>1505</v>
      </c>
      <c r="ES60" s="61">
        <v>0</v>
      </c>
      <c r="ET60" s="61">
        <v>80</v>
      </c>
      <c r="EU60" s="61">
        <v>0</v>
      </c>
      <c r="EW60" s="43" t="s">
        <v>428</v>
      </c>
      <c r="EX60" s="61">
        <v>1505</v>
      </c>
      <c r="EY60" s="61">
        <v>0</v>
      </c>
      <c r="EZ60" s="61">
        <v>80</v>
      </c>
      <c r="FA60" s="61">
        <v>0</v>
      </c>
      <c r="FB60" s="61">
        <v>0</v>
      </c>
      <c r="FD60" s="141" t="str">
        <f t="shared" si="4"/>
        <v>24-feb</v>
      </c>
      <c r="FE60" s="11" t="str">
        <f t="shared" si="5"/>
        <v/>
      </c>
      <c r="FF60" s="11" t="str">
        <f t="shared" si="6"/>
        <v/>
      </c>
      <c r="FG60" s="11" t="str">
        <f t="shared" si="7"/>
        <v/>
      </c>
      <c r="FI60" s="141" t="str">
        <f t="shared" si="20"/>
        <v>24-feb</v>
      </c>
      <c r="FJ60" s="11" t="str">
        <f t="shared" si="1"/>
        <v/>
      </c>
      <c r="FK60" s="11" t="str">
        <f t="shared" si="21"/>
        <v/>
      </c>
      <c r="FL60" s="11" t="str">
        <f t="shared" si="22"/>
        <v/>
      </c>
      <c r="FN60" s="141" t="str">
        <f t="shared" si="9"/>
        <v>24-feb</v>
      </c>
      <c r="FO60" s="11" t="str">
        <f t="shared" si="10"/>
        <v/>
      </c>
      <c r="FP60" s="11" t="str">
        <f t="shared" si="11"/>
        <v/>
      </c>
      <c r="FQ60" s="11" t="str">
        <f t="shared" si="12"/>
        <v/>
      </c>
    </row>
    <row r="61" spans="1:173">
      <c r="B61" s="249">
        <f>IFERROR(INDEX(Tank!$AF$3:$AF$367,MATCH(B60,Tank!$A$3:$A$367,0)),"")</f>
        <v>283.14</v>
      </c>
      <c r="C61" s="249">
        <f>IFERROR(INDEX(Tank!$AF$3:$AF$367,MATCH(C60,Tank!$A$3:$A$367,0)),"")</f>
        <v>277.23</v>
      </c>
      <c r="D61" s="249">
        <f>IFERROR(INDEX(Tank!$AF$3:$AF$367,MATCH(D60,Tank!$A$3:$A$367,0)),"")</f>
        <v>257.31</v>
      </c>
      <c r="E61" s="249">
        <f>IFERROR(INDEX(Tank!$AF$3:$AF$367,MATCH(E60,Tank!$A$3:$A$367,0)),"")</f>
        <v>0</v>
      </c>
      <c r="F61" s="249">
        <f>IFERROR(INDEX(Tank!$AF$3:$AF$367,MATCH(F60,Tank!$A$3:$A$367,0)),"")</f>
        <v>246.93</v>
      </c>
      <c r="G61" s="249">
        <f>IFERROR(INDEX(Tank!$AF$3:$AF$367,MATCH(G60,Tank!$A$3:$A$367,0)),"")</f>
        <v>244.41</v>
      </c>
      <c r="H61" s="249">
        <f>IFERROR(INDEX(Tank!$AF$3:$AF$367,MATCH(H60,Tank!$A$3:$A$367,0)),"")</f>
        <v>275.01</v>
      </c>
      <c r="I61" s="249">
        <f>IFERROR(INDEX(Tank!$AF$3:$AF$367,MATCH(I60,Tank!$A$3:$A$367,0)),"")</f>
        <v>0</v>
      </c>
      <c r="J61" s="249">
        <f>IFERROR(INDEX(Tank!$AF$3:$AF$367,MATCH(J60,Tank!$A$3:$A$367,0)),"")</f>
        <v>0</v>
      </c>
      <c r="K61" s="249">
        <f>IFERROR(INDEX(Tank!$AF$3:$AF$367,MATCH(K60,Tank!$A$3:$A$367,0)),"")</f>
        <v>0</v>
      </c>
      <c r="L61" s="249">
        <f>IFERROR(INDEX(Tank!$AF$3:$AF$367,MATCH(L60,Tank!$A$3:$A$367,0)),"")</f>
        <v>0</v>
      </c>
      <c r="M61" s="249">
        <f>IFERROR(INDEX(Tank!$AF$3:$AF$367,MATCH(M60,Tank!$A$3:$A$367,0)),"")</f>
        <v>0</v>
      </c>
      <c r="BB61" s="43" t="s">
        <v>429</v>
      </c>
      <c r="BC61" s="61">
        <v>0</v>
      </c>
      <c r="BD61" s="61">
        <v>1272</v>
      </c>
      <c r="BE61" s="61">
        <v>1272</v>
      </c>
      <c r="BF61" s="61">
        <v>1302</v>
      </c>
      <c r="BI61" s="421" t="s">
        <v>429</v>
      </c>
      <c r="BJ61" s="61">
        <v>1302</v>
      </c>
      <c r="BK61" s="61">
        <v>1291.3181</v>
      </c>
      <c r="BL61" s="61">
        <v>1302</v>
      </c>
      <c r="CH61" s="43" t="s">
        <v>429</v>
      </c>
      <c r="CI61" s="32">
        <v>6.893605009920635</v>
      </c>
      <c r="CJ61" s="94">
        <v>9.5369255806676829</v>
      </c>
      <c r="CL61" s="43" t="s">
        <v>429</v>
      </c>
      <c r="CM61" s="32">
        <v>264.17205235814845</v>
      </c>
      <c r="CN61" s="32">
        <v>1785.8030739410842</v>
      </c>
      <c r="CO61" s="32">
        <v>0</v>
      </c>
      <c r="DG61"/>
      <c r="DH61"/>
      <c r="DI61"/>
      <c r="DJ61"/>
      <c r="DK61"/>
      <c r="DL61"/>
      <c r="EF61" s="43" t="s">
        <v>429</v>
      </c>
      <c r="EG61" s="32">
        <v>12535</v>
      </c>
      <c r="EH61" s="32">
        <v>12423.028811467377</v>
      </c>
      <c r="EK61" s="43" t="s">
        <v>429</v>
      </c>
      <c r="EL61" s="32">
        <v>9627.4961597542242</v>
      </c>
      <c r="EM61" s="32">
        <v>9620.4249065101594</v>
      </c>
      <c r="EQ61" s="43" t="s">
        <v>429</v>
      </c>
      <c r="ER61" s="61">
        <v>1440</v>
      </c>
      <c r="ES61" s="61">
        <v>0</v>
      </c>
      <c r="ET61" s="61">
        <v>71</v>
      </c>
      <c r="EU61" s="61">
        <v>0</v>
      </c>
      <c r="EW61" s="43" t="s">
        <v>429</v>
      </c>
      <c r="EX61" s="61">
        <v>1440</v>
      </c>
      <c r="EY61" s="61">
        <v>0</v>
      </c>
      <c r="EZ61" s="61">
        <v>71</v>
      </c>
      <c r="FA61" s="61">
        <v>0</v>
      </c>
      <c r="FB61" s="61">
        <v>0</v>
      </c>
      <c r="FD61" s="141" t="str">
        <f t="shared" si="4"/>
        <v>25-feb</v>
      </c>
      <c r="FE61" s="11" t="str">
        <f t="shared" si="5"/>
        <v/>
      </c>
      <c r="FF61" s="11" t="str">
        <f t="shared" si="6"/>
        <v/>
      </c>
      <c r="FG61" s="11" t="str">
        <f t="shared" si="7"/>
        <v/>
      </c>
      <c r="FI61" s="141" t="str">
        <f t="shared" si="20"/>
        <v>25-feb</v>
      </c>
      <c r="FJ61" s="11" t="str">
        <f t="shared" si="1"/>
        <v/>
      </c>
      <c r="FK61" s="11" t="str">
        <f t="shared" si="21"/>
        <v/>
      </c>
      <c r="FL61" s="11" t="str">
        <f t="shared" si="22"/>
        <v/>
      </c>
      <c r="FN61" s="141" t="str">
        <f t="shared" si="9"/>
        <v>25-feb</v>
      </c>
      <c r="FO61" s="11" t="str">
        <f t="shared" si="10"/>
        <v/>
      </c>
      <c r="FP61" s="11" t="str">
        <f t="shared" si="11"/>
        <v/>
      </c>
      <c r="FQ61" s="11" t="str">
        <f t="shared" si="12"/>
        <v/>
      </c>
    </row>
    <row r="62" spans="1:173">
      <c r="A62" s="248" t="s">
        <v>430</v>
      </c>
      <c r="B62" s="256">
        <v>0</v>
      </c>
      <c r="C62" s="256">
        <v>0</v>
      </c>
      <c r="D62" s="256">
        <v>0</v>
      </c>
      <c r="E62" s="256">
        <v>26.1</v>
      </c>
      <c r="F62" s="256">
        <v>0</v>
      </c>
      <c r="G62" s="256">
        <v>15.9</v>
      </c>
      <c r="H62" s="256">
        <v>38.5</v>
      </c>
      <c r="I62" s="256">
        <v>0</v>
      </c>
      <c r="J62" s="256">
        <v>20.399999999999999</v>
      </c>
      <c r="K62" s="256">
        <v>0</v>
      </c>
      <c r="L62" s="256">
        <v>0</v>
      </c>
      <c r="M62" s="256">
        <v>196.71</v>
      </c>
      <c r="BB62" s="43" t="s">
        <v>431</v>
      </c>
      <c r="BC62" s="61">
        <v>0</v>
      </c>
      <c r="BD62" s="61">
        <v>1103</v>
      </c>
      <c r="BE62" s="61">
        <v>1084</v>
      </c>
      <c r="BF62" s="61">
        <v>1112</v>
      </c>
      <c r="BI62" s="421" t="s">
        <v>431</v>
      </c>
      <c r="BJ62" s="61">
        <v>1112</v>
      </c>
      <c r="BK62" s="61">
        <v>1101.6325999999999</v>
      </c>
      <c r="BL62" s="61">
        <v>1112</v>
      </c>
      <c r="CH62" s="43" t="s">
        <v>431</v>
      </c>
      <c r="CI62" s="32">
        <v>6.8716251136363642</v>
      </c>
      <c r="CJ62" s="94">
        <v>8.8001004564564358</v>
      </c>
      <c r="CL62" s="43" t="s">
        <v>431</v>
      </c>
      <c r="CM62" s="32">
        <v>792.51615707444523</v>
      </c>
      <c r="CN62" s="32">
        <v>1542.7647857715872</v>
      </c>
      <c r="CO62" s="32">
        <v>0</v>
      </c>
      <c r="DG62"/>
      <c r="DH62"/>
      <c r="DI62"/>
      <c r="DJ62"/>
      <c r="DK62"/>
      <c r="DL62"/>
      <c r="EF62" s="43" t="s">
        <v>431</v>
      </c>
      <c r="EG62" s="32">
        <v>10699</v>
      </c>
      <c r="EH62" s="32">
        <v>10592.238897334979</v>
      </c>
      <c r="EK62" s="43" t="s">
        <v>431</v>
      </c>
      <c r="EL62" s="32">
        <v>9621.4028776978412</v>
      </c>
      <c r="EM62" s="32">
        <v>9615.0376244629842</v>
      </c>
      <c r="EQ62" s="43" t="s">
        <v>431</v>
      </c>
      <c r="ER62" s="61">
        <v>1440</v>
      </c>
      <c r="ES62" s="61">
        <v>0</v>
      </c>
      <c r="ET62" s="61">
        <v>71</v>
      </c>
      <c r="EU62" s="61">
        <v>0</v>
      </c>
      <c r="EW62" s="43" t="s">
        <v>431</v>
      </c>
      <c r="EX62" s="61">
        <v>1440</v>
      </c>
      <c r="EY62" s="61">
        <v>0</v>
      </c>
      <c r="EZ62" s="61">
        <v>71</v>
      </c>
      <c r="FA62" s="61">
        <v>0</v>
      </c>
      <c r="FB62" s="61">
        <v>0</v>
      </c>
      <c r="FD62" s="141" t="str">
        <f t="shared" si="4"/>
        <v>26-feb</v>
      </c>
      <c r="FE62" s="11" t="str">
        <f t="shared" si="5"/>
        <v/>
      </c>
      <c r="FF62" s="11" t="str">
        <f t="shared" si="6"/>
        <v/>
      </c>
      <c r="FG62" s="11" t="str">
        <f t="shared" si="7"/>
        <v/>
      </c>
      <c r="FI62" s="141" t="str">
        <f t="shared" si="20"/>
        <v>26-feb</v>
      </c>
      <c r="FJ62" s="11" t="str">
        <f t="shared" si="1"/>
        <v/>
      </c>
      <c r="FK62" s="11" t="str">
        <f t="shared" si="21"/>
        <v/>
      </c>
      <c r="FL62" s="11" t="str">
        <f t="shared" si="22"/>
        <v/>
      </c>
      <c r="FN62" s="141" t="str">
        <f t="shared" si="9"/>
        <v>26-feb</v>
      </c>
      <c r="FO62" s="11" t="str">
        <f t="shared" si="10"/>
        <v/>
      </c>
      <c r="FP62" s="11" t="str">
        <f t="shared" si="11"/>
        <v/>
      </c>
      <c r="FQ62" s="11" t="str">
        <f t="shared" si="12"/>
        <v/>
      </c>
    </row>
    <row r="63" spans="1:173">
      <c r="A63" s="248" t="s">
        <v>432</v>
      </c>
      <c r="B63" s="234">
        <f>IFERROR((B59-B61)+B62,0)</f>
        <v>-11.579999999999984</v>
      </c>
      <c r="C63" s="234">
        <f>IFERROR((C59-C61)+C62,0)</f>
        <v>5.9099999999999682</v>
      </c>
      <c r="D63" s="234">
        <f>IFERROR((D59-D61)+D62,0)</f>
        <v>19.920000000000016</v>
      </c>
      <c r="E63" s="234">
        <f t="shared" ref="E63:M63" si="25">IFERROR((E59-E61)+E62,0)</f>
        <v>283.41000000000003</v>
      </c>
      <c r="F63" s="234">
        <f t="shared" si="25"/>
        <v>-246.93</v>
      </c>
      <c r="G63" s="234">
        <f t="shared" si="25"/>
        <v>17.790000000000013</v>
      </c>
      <c r="H63" s="234">
        <f t="shared" si="25"/>
        <v>7.3600000000000136</v>
      </c>
      <c r="I63" s="234">
        <f t="shared" si="25"/>
        <v>0</v>
      </c>
      <c r="J63" s="234">
        <f t="shared" si="25"/>
        <v>20.399999999999999</v>
      </c>
      <c r="K63" s="234">
        <f t="shared" si="25"/>
        <v>0</v>
      </c>
      <c r="L63" s="234">
        <f t="shared" si="25"/>
        <v>0</v>
      </c>
      <c r="M63" s="234">
        <f t="shared" si="25"/>
        <v>196.71</v>
      </c>
      <c r="BB63" s="43" t="s">
        <v>433</v>
      </c>
      <c r="BC63" s="61">
        <v>0</v>
      </c>
      <c r="BD63" s="61">
        <v>1272</v>
      </c>
      <c r="BE63" s="61">
        <v>1272</v>
      </c>
      <c r="BF63" s="61">
        <v>1297</v>
      </c>
      <c r="BI63" s="421" t="s">
        <v>433</v>
      </c>
      <c r="BJ63" s="61">
        <v>1297</v>
      </c>
      <c r="BK63" s="61">
        <v>1286.3764000000001</v>
      </c>
      <c r="BL63" s="61">
        <v>1297</v>
      </c>
      <c r="CH63" s="43" t="s">
        <v>433</v>
      </c>
      <c r="CI63" s="32">
        <v>6.8173889136904764</v>
      </c>
      <c r="CJ63" s="94">
        <v>9.2696086229243182</v>
      </c>
      <c r="CL63" s="43" t="s">
        <v>433</v>
      </c>
      <c r="CM63" s="32">
        <v>396.25807853722262</v>
      </c>
      <c r="CN63" s="32">
        <v>1748.8189866109431</v>
      </c>
      <c r="CO63" s="32">
        <v>0</v>
      </c>
      <c r="DG63"/>
      <c r="DH63"/>
      <c r="DI63"/>
      <c r="DJ63"/>
      <c r="DK63"/>
      <c r="DL63"/>
      <c r="EF63" s="43" t="s">
        <v>433</v>
      </c>
      <c r="EG63" s="32">
        <v>12463</v>
      </c>
      <c r="EH63" s="32">
        <v>12373.49570873879</v>
      </c>
      <c r="EK63" s="43" t="s">
        <v>433</v>
      </c>
      <c r="EL63" s="32">
        <v>9609.097918272937</v>
      </c>
      <c r="EM63" s="32">
        <v>9618.8764880471917</v>
      </c>
      <c r="EQ63" s="43" t="s">
        <v>433</v>
      </c>
      <c r="ER63" s="61">
        <v>1440</v>
      </c>
      <c r="ES63" s="61">
        <v>0</v>
      </c>
      <c r="ET63" s="61">
        <v>71</v>
      </c>
      <c r="EU63" s="61">
        <v>0</v>
      </c>
      <c r="EW63" s="43" t="s">
        <v>433</v>
      </c>
      <c r="EX63" s="61">
        <v>1440</v>
      </c>
      <c r="EY63" s="61">
        <v>0</v>
      </c>
      <c r="EZ63" s="61">
        <v>71</v>
      </c>
      <c r="FA63" s="61">
        <v>0</v>
      </c>
      <c r="FB63" s="61">
        <v>0</v>
      </c>
      <c r="FD63" s="141" t="str">
        <f t="shared" si="4"/>
        <v>27-feb</v>
      </c>
      <c r="FE63" s="11" t="str">
        <f t="shared" si="5"/>
        <v/>
      </c>
      <c r="FF63" s="11" t="str">
        <f t="shared" si="6"/>
        <v/>
      </c>
      <c r="FG63" s="11" t="str">
        <f t="shared" si="7"/>
        <v/>
      </c>
      <c r="FI63" s="141" t="str">
        <f t="shared" si="20"/>
        <v>27-feb</v>
      </c>
      <c r="FJ63" s="11" t="str">
        <f t="shared" si="1"/>
        <v/>
      </c>
      <c r="FK63" s="11" t="str">
        <f t="shared" si="21"/>
        <v/>
      </c>
      <c r="FL63" s="11" t="str">
        <f t="shared" si="22"/>
        <v/>
      </c>
      <c r="FN63" s="141" t="str">
        <f t="shared" si="9"/>
        <v>27-feb</v>
      </c>
      <c r="FO63" s="11" t="str">
        <f t="shared" si="10"/>
        <v/>
      </c>
      <c r="FP63" s="11" t="str">
        <f t="shared" si="11"/>
        <v/>
      </c>
      <c r="FQ63" s="11" t="str">
        <f t="shared" si="12"/>
        <v/>
      </c>
    </row>
    <row r="64" spans="1:173">
      <c r="BB64" s="43" t="s">
        <v>434</v>
      </c>
      <c r="BC64" s="61">
        <v>0</v>
      </c>
      <c r="BD64" s="61">
        <v>1272</v>
      </c>
      <c r="BE64" s="61">
        <v>1272</v>
      </c>
      <c r="BF64" s="61">
        <v>1301</v>
      </c>
      <c r="BI64" s="421" t="s">
        <v>434</v>
      </c>
      <c r="BJ64" s="61">
        <v>1301</v>
      </c>
      <c r="BK64" s="61">
        <v>1289.8073999999997</v>
      </c>
      <c r="BL64" s="61">
        <v>1301</v>
      </c>
      <c r="CH64" s="43" t="s">
        <v>434</v>
      </c>
      <c r="CI64" s="32">
        <v>6.8372276785714279</v>
      </c>
      <c r="CJ64" s="94">
        <v>9.4681307753660811</v>
      </c>
      <c r="CL64" s="43" t="s">
        <v>434</v>
      </c>
      <c r="CM64" s="32">
        <v>475.50969424466717</v>
      </c>
      <c r="CN64" s="32">
        <v>1785.803073941084</v>
      </c>
      <c r="CO64" s="32">
        <v>0</v>
      </c>
      <c r="DG64"/>
      <c r="DH64"/>
      <c r="DI64"/>
      <c r="DJ64"/>
      <c r="DK64"/>
      <c r="DL64"/>
      <c r="EF64" s="43" t="s">
        <v>434</v>
      </c>
      <c r="EG64" s="32">
        <v>12427</v>
      </c>
      <c r="EH64" s="32">
        <v>12349.186494260484</v>
      </c>
      <c r="EK64" s="43" t="s">
        <v>434</v>
      </c>
      <c r="EL64" s="32">
        <v>9551.8831667947743</v>
      </c>
      <c r="EM64" s="32">
        <v>9574.4422727459059</v>
      </c>
      <c r="EQ64" s="43" t="s">
        <v>434</v>
      </c>
      <c r="ER64" s="61">
        <v>1440</v>
      </c>
      <c r="ES64" s="61">
        <v>0</v>
      </c>
      <c r="ET64" s="61">
        <v>71</v>
      </c>
      <c r="EU64" s="61">
        <v>0</v>
      </c>
      <c r="EW64" s="43" t="s">
        <v>434</v>
      </c>
      <c r="EX64" s="61">
        <v>1440</v>
      </c>
      <c r="EY64" s="61">
        <v>0</v>
      </c>
      <c r="EZ64" s="61">
        <v>71</v>
      </c>
      <c r="FA64" s="61">
        <v>0</v>
      </c>
      <c r="FB64" s="61">
        <v>0</v>
      </c>
      <c r="FD64" s="141" t="str">
        <f t="shared" si="4"/>
        <v>28-feb</v>
      </c>
      <c r="FE64" s="11" t="str">
        <f t="shared" si="5"/>
        <v/>
      </c>
      <c r="FF64" s="11" t="str">
        <f t="shared" si="6"/>
        <v/>
      </c>
      <c r="FG64" s="11" t="str">
        <f t="shared" si="7"/>
        <v/>
      </c>
      <c r="FI64" s="141" t="str">
        <f t="shared" si="20"/>
        <v>28-feb</v>
      </c>
      <c r="FJ64" s="11" t="str">
        <f t="shared" si="1"/>
        <v/>
      </c>
      <c r="FK64" s="11" t="str">
        <f t="shared" si="21"/>
        <v/>
      </c>
      <c r="FL64" s="11" t="str">
        <f t="shared" si="22"/>
        <v/>
      </c>
      <c r="FN64" s="141" t="str">
        <f t="shared" si="9"/>
        <v>28-feb</v>
      </c>
      <c r="FO64" s="11" t="str">
        <f t="shared" si="10"/>
        <v/>
      </c>
      <c r="FP64" s="11" t="str">
        <f t="shared" si="11"/>
        <v/>
      </c>
      <c r="FQ64" s="11" t="str">
        <f t="shared" si="12"/>
        <v/>
      </c>
    </row>
    <row r="65" spans="1:173">
      <c r="A65" s="255" t="s">
        <v>412</v>
      </c>
      <c r="B65" s="252" t="s">
        <v>413</v>
      </c>
      <c r="C65" s="252" t="s">
        <v>414</v>
      </c>
      <c r="D65" s="252" t="s">
        <v>415</v>
      </c>
      <c r="E65" s="252" t="s">
        <v>416</v>
      </c>
      <c r="F65" s="252" t="s">
        <v>417</v>
      </c>
      <c r="G65" s="252" t="s">
        <v>418</v>
      </c>
      <c r="H65" s="252" t="s">
        <v>419</v>
      </c>
      <c r="I65" s="252" t="s">
        <v>420</v>
      </c>
      <c r="J65" s="252" t="s">
        <v>421</v>
      </c>
      <c r="K65" s="252" t="s">
        <v>422</v>
      </c>
      <c r="L65" s="252" t="s">
        <v>423</v>
      </c>
      <c r="M65" s="252" t="s">
        <v>424</v>
      </c>
      <c r="BB65" s="37" t="s">
        <v>248</v>
      </c>
      <c r="BI65" s="37" t="s">
        <v>248</v>
      </c>
      <c r="CH65" s="37" t="s">
        <v>248</v>
      </c>
      <c r="CJ65" s="94"/>
      <c r="CL65" s="37" t="s">
        <v>248</v>
      </c>
      <c r="DG65"/>
      <c r="DH65"/>
      <c r="DI65"/>
      <c r="DJ65"/>
      <c r="DK65"/>
      <c r="DL65"/>
      <c r="EF65" s="37" t="s">
        <v>248</v>
      </c>
      <c r="EK65" s="37" t="s">
        <v>248</v>
      </c>
      <c r="EL65" s="32"/>
      <c r="EM65" s="32"/>
      <c r="EQ65" s="37" t="s">
        <v>248</v>
      </c>
      <c r="ER65" s="61"/>
      <c r="ES65" s="61"/>
      <c r="ET65" s="61"/>
      <c r="EU65" s="61"/>
      <c r="EW65" s="37" t="s">
        <v>248</v>
      </c>
      <c r="EX65" s="61"/>
      <c r="EY65" s="61"/>
      <c r="EZ65" s="61"/>
      <c r="FA65" s="61"/>
      <c r="FB65" s="61"/>
      <c r="FD65" s="141" t="str">
        <f t="shared" si="4"/>
        <v>mar</v>
      </c>
      <c r="FE65" s="11" t="str">
        <f t="shared" si="5"/>
        <v/>
      </c>
      <c r="FF65" s="11" t="str">
        <f t="shared" si="6"/>
        <v/>
      </c>
      <c r="FG65" s="11" t="str">
        <f t="shared" si="7"/>
        <v/>
      </c>
      <c r="FI65" s="141" t="str">
        <f t="shared" si="20"/>
        <v>mar</v>
      </c>
      <c r="FJ65" s="11" t="str">
        <f t="shared" si="1"/>
        <v/>
      </c>
      <c r="FK65" s="11" t="str">
        <f t="shared" si="21"/>
        <v/>
      </c>
      <c r="FL65" s="11" t="str">
        <f t="shared" si="22"/>
        <v/>
      </c>
      <c r="FN65" s="141" t="str">
        <f t="shared" si="9"/>
        <v>mar</v>
      </c>
      <c r="FO65" s="11" t="str">
        <f t="shared" si="10"/>
        <v/>
      </c>
      <c r="FP65" s="11" t="str">
        <f t="shared" si="11"/>
        <v/>
      </c>
      <c r="FQ65" s="11" t="str">
        <f t="shared" si="12"/>
        <v/>
      </c>
    </row>
    <row r="66" spans="1:173">
      <c r="A66" s="254" t="s">
        <v>111</v>
      </c>
      <c r="B66" s="251">
        <v>44926</v>
      </c>
      <c r="C66" s="250">
        <v>44957</v>
      </c>
      <c r="D66" s="250">
        <v>44985</v>
      </c>
      <c r="E66" s="250">
        <v>45016</v>
      </c>
      <c r="F66" s="250">
        <v>45046</v>
      </c>
      <c r="G66" s="251">
        <v>45078</v>
      </c>
      <c r="H66" s="251">
        <v>45108</v>
      </c>
      <c r="I66" s="251">
        <v>45139</v>
      </c>
      <c r="J66" s="251">
        <v>45170</v>
      </c>
      <c r="K66" s="251">
        <v>45200</v>
      </c>
      <c r="L66" s="251">
        <v>45231</v>
      </c>
      <c r="M66" s="250">
        <v>45261</v>
      </c>
      <c r="BB66" s="43" t="s">
        <v>435</v>
      </c>
      <c r="BC66" s="61">
        <v>0</v>
      </c>
      <c r="BD66" s="61">
        <v>978</v>
      </c>
      <c r="BE66" s="61">
        <v>978</v>
      </c>
      <c r="BF66" s="61">
        <v>2307</v>
      </c>
      <c r="BI66" s="421" t="s">
        <v>435</v>
      </c>
      <c r="BJ66" s="61">
        <v>1352</v>
      </c>
      <c r="BK66" s="61">
        <v>1341.0007000000001</v>
      </c>
      <c r="BL66" s="61">
        <v>2307</v>
      </c>
      <c r="CH66" s="43" t="s">
        <v>435</v>
      </c>
      <c r="CI66" s="32">
        <v>8.7664216071428562</v>
      </c>
      <c r="CJ66" s="94">
        <v>9.2401251349379141</v>
      </c>
      <c r="CL66" s="43" t="s">
        <v>435</v>
      </c>
      <c r="CM66" s="32">
        <v>501.92689948048201</v>
      </c>
      <c r="CN66" s="32">
        <v>1695.9845761393126</v>
      </c>
      <c r="CO66" s="32">
        <v>0</v>
      </c>
      <c r="DG66"/>
      <c r="DH66"/>
      <c r="DI66"/>
      <c r="DJ66"/>
      <c r="DK66"/>
      <c r="DL66"/>
      <c r="EF66" s="43" t="s">
        <v>435</v>
      </c>
      <c r="EG66" s="32">
        <v>12795</v>
      </c>
      <c r="EH66" s="32">
        <v>12715.231901853491</v>
      </c>
      <c r="EK66" s="43" t="s">
        <v>435</v>
      </c>
      <c r="EL66" s="32">
        <v>9463.7573964497042</v>
      </c>
      <c r="EM66" s="32">
        <v>9481.8980346941571</v>
      </c>
      <c r="EQ66" s="43" t="s">
        <v>435</v>
      </c>
      <c r="ER66" s="61">
        <v>1440</v>
      </c>
      <c r="ES66" s="61">
        <v>0</v>
      </c>
      <c r="ET66" s="61">
        <v>71</v>
      </c>
      <c r="EU66" s="61">
        <v>0</v>
      </c>
      <c r="EW66" s="43" t="s">
        <v>435</v>
      </c>
      <c r="EX66" s="61">
        <v>1440</v>
      </c>
      <c r="EY66" s="61">
        <v>0</v>
      </c>
      <c r="EZ66" s="61">
        <v>71</v>
      </c>
      <c r="FA66" s="61">
        <v>0</v>
      </c>
      <c r="FB66" s="61">
        <v>0</v>
      </c>
      <c r="FD66" s="141" t="str">
        <f t="shared" si="4"/>
        <v>1-mar</v>
      </c>
      <c r="FE66" s="11" t="str">
        <f t="shared" si="5"/>
        <v/>
      </c>
      <c r="FF66" s="11" t="str">
        <f t="shared" si="6"/>
        <v/>
      </c>
      <c r="FG66" s="11" t="str">
        <f t="shared" si="7"/>
        <v/>
      </c>
      <c r="FI66" s="141" t="str">
        <f t="shared" si="20"/>
        <v>1-mar</v>
      </c>
      <c r="FJ66" s="11" t="str">
        <f t="shared" si="1"/>
        <v/>
      </c>
      <c r="FK66" s="11" t="str">
        <f t="shared" si="21"/>
        <v/>
      </c>
      <c r="FL66" s="11" t="str">
        <f t="shared" si="22"/>
        <v/>
      </c>
      <c r="FN66" s="141" t="str">
        <f t="shared" si="9"/>
        <v>1-mar</v>
      </c>
      <c r="FO66" s="11" t="str">
        <f t="shared" si="10"/>
        <v/>
      </c>
      <c r="FP66" s="11" t="str">
        <f t="shared" si="11"/>
        <v/>
      </c>
      <c r="FQ66" s="11" t="str">
        <f t="shared" si="12"/>
        <v/>
      </c>
    </row>
    <row r="67" spans="1:173">
      <c r="A67" s="248"/>
      <c r="B67" s="249">
        <f>IFERROR(INDEX(Tank!$AI$2:$AI$367,MATCH(B66,Tank!$A$2:$A$367,0)),"")</f>
        <v>113.61</v>
      </c>
      <c r="C67" s="249">
        <f>IFERROR(INDEX(Tank!$AI$3:$AI$367,MATCH(C66,Tank!$A$3:$A$367,0)),"")</f>
        <v>261.60000000000002</v>
      </c>
      <c r="D67" s="249">
        <f>IFERROR(INDEX(Tank!$AI$3:$AI$367,MATCH(D66,Tank!$A$3:$A$367,0)),"")</f>
        <v>144.87</v>
      </c>
      <c r="E67" s="249">
        <f>IFERROR(INDEX(Tank!$AI$3:$AI$367,MATCH(E66,Tank!$A$3:$A$367,0)),"")</f>
        <v>144.09</v>
      </c>
      <c r="F67" s="249">
        <f>IFERROR(INDEX(Tank!$AI$3:$AI$367,MATCH(F66,Tank!$A$3:$A$367,0)),"")</f>
        <v>0</v>
      </c>
      <c r="G67" s="249">
        <f>IFERROR(INDEX(Tank!$AI$3:$AI$367,MATCH(G66,Tank!$A$3:$A$367,0)),"")</f>
        <v>81.12</v>
      </c>
      <c r="H67" s="249">
        <f>IFERROR(INDEX(Tank!$AI$3:$AI$367,MATCH(H66,Tank!$A$3:$A$367,0)),"")</f>
        <v>216.33</v>
      </c>
      <c r="I67" s="249">
        <f>IFERROR(INDEX(Tank!$AI$3:$AI$367,MATCH(I66,Tank!$A$3:$A$367,0)),"")</f>
        <v>0</v>
      </c>
      <c r="J67" s="249">
        <f>IFERROR(INDEX(Tank!$AI$3:$AI$367,MATCH(J66,Tank!$A$3:$A$367,0)),"")</f>
        <v>0</v>
      </c>
      <c r="K67" s="249">
        <f>IFERROR(INDEX(Tank!$AI$3:$AI$367,MATCH(K66,Tank!$A$3:$A$367,0)),"")</f>
        <v>0</v>
      </c>
      <c r="L67" s="249">
        <f>IFERROR(INDEX(Tank!$AI$3:$AI$367,MATCH(L66,Tank!$A$3:$A$367,0)),"")</f>
        <v>0</v>
      </c>
      <c r="M67" s="249">
        <f>IFERROR(INDEX(Tank!$AI$3:$AI$367,MATCH(M66,Tank!$A$3:$A$367,0)),"")</f>
        <v>0</v>
      </c>
      <c r="BB67" s="43" t="s">
        <v>436</v>
      </c>
      <c r="BC67" s="61">
        <v>0</v>
      </c>
      <c r="BD67" s="61">
        <v>1272</v>
      </c>
      <c r="BE67" s="61">
        <v>1272</v>
      </c>
      <c r="BF67" s="61">
        <v>1542</v>
      </c>
      <c r="BI67" s="421" t="s">
        <v>436</v>
      </c>
      <c r="BJ67" s="61">
        <v>1329</v>
      </c>
      <c r="BK67" s="61">
        <v>1317.2660000000003</v>
      </c>
      <c r="BL67" s="61">
        <v>1542</v>
      </c>
      <c r="CH67" s="43" t="s">
        <v>436</v>
      </c>
      <c r="CI67" s="32">
        <v>7.0591191964285729</v>
      </c>
      <c r="CJ67" s="94">
        <v>9.2302973056091151</v>
      </c>
      <c r="CL67" s="43" t="s">
        <v>436</v>
      </c>
      <c r="CM67" s="32">
        <v>951.01938848933435</v>
      </c>
      <c r="CN67" s="32">
        <v>1722.4017813751273</v>
      </c>
      <c r="CO67" s="32">
        <v>0</v>
      </c>
      <c r="DG67"/>
      <c r="DH67"/>
      <c r="DI67"/>
      <c r="DJ67"/>
      <c r="DK67"/>
      <c r="DL67"/>
      <c r="EF67" s="43" t="s">
        <v>436</v>
      </c>
      <c r="EG67" s="32">
        <v>12682</v>
      </c>
      <c r="EH67" s="32">
        <v>12490.855389635501</v>
      </c>
      <c r="EK67" s="43" t="s">
        <v>436</v>
      </c>
      <c r="EL67" s="32">
        <v>9542.5131677953341</v>
      </c>
      <c r="EM67" s="32">
        <v>9482.4093156852887</v>
      </c>
      <c r="EQ67" s="43" t="s">
        <v>436</v>
      </c>
      <c r="ER67" s="61">
        <v>1440</v>
      </c>
      <c r="ES67" s="61">
        <v>0</v>
      </c>
      <c r="ET67" s="61">
        <v>71</v>
      </c>
      <c r="EU67" s="61">
        <v>0</v>
      </c>
      <c r="EW67" s="43" t="s">
        <v>436</v>
      </c>
      <c r="EX67" s="61">
        <v>1440</v>
      </c>
      <c r="EY67" s="61">
        <v>0</v>
      </c>
      <c r="EZ67" s="61">
        <v>71</v>
      </c>
      <c r="FA67" s="61">
        <v>0</v>
      </c>
      <c r="FB67" s="61">
        <v>0</v>
      </c>
      <c r="FD67" s="141" t="str">
        <f t="shared" si="4"/>
        <v>2-mar</v>
      </c>
      <c r="FE67" s="11" t="str">
        <f t="shared" si="5"/>
        <v/>
      </c>
      <c r="FF67" s="11" t="str">
        <f t="shared" si="6"/>
        <v/>
      </c>
      <c r="FG67" s="11" t="str">
        <f t="shared" si="7"/>
        <v/>
      </c>
      <c r="FI67" s="141" t="str">
        <f t="shared" si="20"/>
        <v>2-mar</v>
      </c>
      <c r="FJ67" s="11" t="str">
        <f t="shared" si="1"/>
        <v/>
      </c>
      <c r="FK67" s="11" t="str">
        <f t="shared" si="21"/>
        <v/>
      </c>
      <c r="FL67" s="11" t="str">
        <f t="shared" si="22"/>
        <v/>
      </c>
      <c r="FN67" s="141" t="str">
        <f t="shared" si="9"/>
        <v>2-mar</v>
      </c>
      <c r="FO67" s="11" t="str">
        <f t="shared" si="10"/>
        <v/>
      </c>
      <c r="FP67" s="11" t="str">
        <f t="shared" si="11"/>
        <v/>
      </c>
      <c r="FQ67" s="11" t="str">
        <f t="shared" si="12"/>
        <v/>
      </c>
    </row>
    <row r="68" spans="1:173">
      <c r="B68" s="250">
        <v>44957</v>
      </c>
      <c r="C68" s="250">
        <v>44985</v>
      </c>
      <c r="D68" s="250">
        <v>45016</v>
      </c>
      <c r="E68" s="250">
        <v>45046</v>
      </c>
      <c r="F68" s="250">
        <v>45077</v>
      </c>
      <c r="G68" s="250">
        <v>45107</v>
      </c>
      <c r="H68" s="250">
        <v>45138</v>
      </c>
      <c r="I68" s="250">
        <v>45169</v>
      </c>
      <c r="J68" s="250">
        <v>45199</v>
      </c>
      <c r="K68" s="250">
        <v>45230</v>
      </c>
      <c r="L68" s="250">
        <v>45260</v>
      </c>
      <c r="M68" s="250">
        <v>45291</v>
      </c>
      <c r="BB68" s="43" t="s">
        <v>437</v>
      </c>
      <c r="BC68" s="61">
        <v>0</v>
      </c>
      <c r="BD68" s="61">
        <v>1272</v>
      </c>
      <c r="BE68" s="61">
        <v>1272</v>
      </c>
      <c r="BF68" s="61">
        <v>1295</v>
      </c>
      <c r="BI68" s="421" t="s">
        <v>437</v>
      </c>
      <c r="BJ68" s="61">
        <v>1295</v>
      </c>
      <c r="BK68" s="61">
        <v>1283.8994999999998</v>
      </c>
      <c r="BL68" s="61">
        <v>1295</v>
      </c>
      <c r="CH68" s="43" t="s">
        <v>437</v>
      </c>
      <c r="CI68" s="32">
        <v>6.93547757936508</v>
      </c>
      <c r="CJ68" s="94">
        <v>9.4569925687934386</v>
      </c>
      <c r="CL68" s="43" t="s">
        <v>437</v>
      </c>
      <c r="CM68" s="32">
        <v>581.17851518792656</v>
      </c>
      <c r="CN68" s="32">
        <v>1751.4607071345245</v>
      </c>
      <c r="CO68" s="32">
        <v>0</v>
      </c>
      <c r="DG68"/>
      <c r="DH68"/>
      <c r="DI68"/>
      <c r="DJ68"/>
      <c r="DK68"/>
      <c r="DL68"/>
      <c r="EF68" s="43" t="s">
        <v>437</v>
      </c>
      <c r="EG68" s="32">
        <v>12498</v>
      </c>
      <c r="EH68" s="32">
        <v>12333.848118699643</v>
      </c>
      <c r="EK68" s="43" t="s">
        <v>437</v>
      </c>
      <c r="EL68" s="32">
        <v>9650.9652509652515</v>
      </c>
      <c r="EM68" s="32">
        <v>9606.5526302484323</v>
      </c>
      <c r="EQ68" s="43" t="s">
        <v>437</v>
      </c>
      <c r="ER68" s="61">
        <v>1440</v>
      </c>
      <c r="ES68" s="61">
        <v>0</v>
      </c>
      <c r="ET68" s="61">
        <v>71</v>
      </c>
      <c r="EU68" s="61">
        <v>0</v>
      </c>
      <c r="EW68" s="43" t="s">
        <v>437</v>
      </c>
      <c r="EX68" s="61">
        <v>1440</v>
      </c>
      <c r="EY68" s="61">
        <v>0</v>
      </c>
      <c r="EZ68" s="61">
        <v>71</v>
      </c>
      <c r="FA68" s="61">
        <v>0</v>
      </c>
      <c r="FB68" s="61">
        <v>0</v>
      </c>
      <c r="FD68" s="141" t="str">
        <f t="shared" si="4"/>
        <v>3-mar</v>
      </c>
      <c r="FE68" s="11" t="str">
        <f t="shared" si="5"/>
        <v/>
      </c>
      <c r="FF68" s="11" t="str">
        <f t="shared" si="6"/>
        <v/>
      </c>
      <c r="FG68" s="11" t="str">
        <f t="shared" si="7"/>
        <v/>
      </c>
      <c r="FI68" s="141" t="str">
        <f t="shared" si="20"/>
        <v>3-mar</v>
      </c>
      <c r="FJ68" s="11" t="str">
        <f t="shared" si="1"/>
        <v/>
      </c>
      <c r="FK68" s="11" t="str">
        <f t="shared" si="21"/>
        <v/>
      </c>
      <c r="FL68" s="11" t="str">
        <f t="shared" si="22"/>
        <v/>
      </c>
      <c r="FN68" s="141" t="str">
        <f t="shared" si="9"/>
        <v>3-mar</v>
      </c>
      <c r="FO68" s="11" t="str">
        <f t="shared" si="10"/>
        <v/>
      </c>
      <c r="FP68" s="11" t="str">
        <f t="shared" si="11"/>
        <v/>
      </c>
      <c r="FQ68" s="11" t="str">
        <f t="shared" si="12"/>
        <v/>
      </c>
    </row>
    <row r="69" spans="1:173">
      <c r="B69" s="249">
        <f>IFERROR(INDEX(Tank!$AI$3:$AI$367,MATCH(B68,Tank!$A$3:$A$367,0)),"")</f>
        <v>261.60000000000002</v>
      </c>
      <c r="C69" s="249">
        <f>IFERROR(INDEX(Tank!$AI$3:$AI$367,MATCH(C68,Tank!$A$3:$A$367,0)),"")</f>
        <v>144.87</v>
      </c>
      <c r="D69" s="249">
        <f>IFERROR(INDEX(Tank!$AI$3:$AI$367,MATCH(D68,Tank!$A$3:$A$367,0)),"")</f>
        <v>144.09</v>
      </c>
      <c r="E69" s="249">
        <f>IFERROR(INDEX(Tank!$AI$3:$AI$367,MATCH(E68,Tank!$A$3:$A$367,0)),"")</f>
        <v>0</v>
      </c>
      <c r="F69" s="249">
        <f>IFERROR(INDEX(Tank!$AI$3:$AI$367,MATCH(F68,Tank!$A$3:$A$367,0)),"")</f>
        <v>72.569999999999993</v>
      </c>
      <c r="G69" s="249">
        <f>IFERROR(INDEX(Tank!$AI$3:$AI$367,MATCH(G68,Tank!$A$3:$A$367,0)),"")</f>
        <v>222.54</v>
      </c>
      <c r="H69" s="249">
        <f>IFERROR(INDEX(Tank!$AI$3:$AI$367,MATCH(H68,Tank!$A$3:$A$367,0)),"")</f>
        <v>248.43</v>
      </c>
      <c r="I69" s="249">
        <f>IFERROR(INDEX(Tank!$AI$3:$AI$367,MATCH(I68,Tank!$A$3:$A$367,0)),"")</f>
        <v>0</v>
      </c>
      <c r="J69" s="249">
        <f>IFERROR(INDEX(Tank!$AI$3:$AI$367,MATCH(J68,Tank!$A$3:$A$367,0)),"")</f>
        <v>0</v>
      </c>
      <c r="K69" s="249">
        <f>IFERROR(INDEX(Tank!$AI$3:$AI$367,MATCH(K68,Tank!$A$3:$A$367,0)),"")</f>
        <v>0</v>
      </c>
      <c r="L69" s="249">
        <f>IFERROR(INDEX(Tank!$AI$3:$AI$367,MATCH(L68,Tank!$A$3:$A$367,0)),"")</f>
        <v>0</v>
      </c>
      <c r="M69" s="249">
        <f>IFERROR(INDEX(Tank!$AI$3:$AI$367,MATCH(M68,Tank!$A$3:$A$367,0)),"")</f>
        <v>0</v>
      </c>
      <c r="BB69" s="43" t="s">
        <v>438</v>
      </c>
      <c r="BC69" s="61">
        <v>0</v>
      </c>
      <c r="BD69" s="61">
        <v>1272</v>
      </c>
      <c r="BE69" s="61">
        <v>1272</v>
      </c>
      <c r="BF69" s="61">
        <v>1301</v>
      </c>
      <c r="BI69" s="421" t="s">
        <v>438</v>
      </c>
      <c r="BJ69" s="61">
        <v>1301</v>
      </c>
      <c r="BK69" s="61">
        <v>1290.1676999999997</v>
      </c>
      <c r="BL69" s="61">
        <v>1301</v>
      </c>
      <c r="CH69" s="43" t="s">
        <v>438</v>
      </c>
      <c r="CI69" s="32">
        <v>6.8803773809523809</v>
      </c>
      <c r="CJ69" s="94">
        <v>9.4366817215139207</v>
      </c>
      <c r="CL69" s="43" t="s">
        <v>438</v>
      </c>
      <c r="CM69" s="32">
        <v>343.42366806559295</v>
      </c>
      <c r="CN69" s="32">
        <v>1769.9527507995949</v>
      </c>
      <c r="CO69" s="32">
        <v>0</v>
      </c>
      <c r="DG69"/>
      <c r="DH69"/>
      <c r="DI69"/>
      <c r="DJ69"/>
      <c r="DK69"/>
      <c r="DL69"/>
      <c r="EF69" s="43" t="s">
        <v>438</v>
      </c>
      <c r="EG69" s="32">
        <v>12602</v>
      </c>
      <c r="EH69" s="32">
        <v>12401.745056388687</v>
      </c>
      <c r="EK69" s="43" t="s">
        <v>438</v>
      </c>
      <c r="EL69" s="32">
        <v>9686.3950807071487</v>
      </c>
      <c r="EM69" s="32">
        <v>9612.5062318555083</v>
      </c>
      <c r="EQ69" s="43" t="s">
        <v>438</v>
      </c>
      <c r="ER69" s="61">
        <v>1440</v>
      </c>
      <c r="ES69" s="61">
        <v>0</v>
      </c>
      <c r="ET69" s="61">
        <v>71</v>
      </c>
      <c r="EU69" s="61">
        <v>0</v>
      </c>
      <c r="EW69" s="43" t="s">
        <v>438</v>
      </c>
      <c r="EX69" s="61">
        <v>1440</v>
      </c>
      <c r="EY69" s="61">
        <v>0</v>
      </c>
      <c r="EZ69" s="61">
        <v>71</v>
      </c>
      <c r="FA69" s="61">
        <v>0</v>
      </c>
      <c r="FB69" s="61">
        <v>0</v>
      </c>
      <c r="FD69" s="141" t="str">
        <f t="shared" si="4"/>
        <v>4-mar</v>
      </c>
      <c r="FE69" s="11" t="str">
        <f t="shared" si="5"/>
        <v/>
      </c>
      <c r="FF69" s="11" t="str">
        <f t="shared" si="6"/>
        <v/>
      </c>
      <c r="FG69" s="11" t="str">
        <f t="shared" si="7"/>
        <v/>
      </c>
      <c r="FI69" s="141" t="str">
        <f t="shared" si="20"/>
        <v>4-mar</v>
      </c>
      <c r="FJ69" s="11" t="str">
        <f t="shared" si="1"/>
        <v/>
      </c>
      <c r="FK69" s="11" t="str">
        <f t="shared" si="21"/>
        <v/>
      </c>
      <c r="FL69" s="11" t="str">
        <f t="shared" si="22"/>
        <v/>
      </c>
      <c r="FN69" s="141" t="str">
        <f t="shared" si="9"/>
        <v>4-mar</v>
      </c>
      <c r="FO69" s="11" t="str">
        <f t="shared" si="10"/>
        <v/>
      </c>
      <c r="FP69" s="11" t="str">
        <f t="shared" si="11"/>
        <v/>
      </c>
      <c r="FQ69" s="11" t="str">
        <f t="shared" si="12"/>
        <v/>
      </c>
    </row>
    <row r="70" spans="1:173">
      <c r="A70" s="248" t="s">
        <v>430</v>
      </c>
      <c r="B70" s="256">
        <f>SUM(Tank!AP8:AP21)</f>
        <v>268.90999999999997</v>
      </c>
      <c r="C70" s="256">
        <v>33.900000000000006</v>
      </c>
      <c r="D70" s="256">
        <v>220.7</v>
      </c>
      <c r="E70" s="256">
        <v>0</v>
      </c>
      <c r="F70" s="256">
        <v>15.9</v>
      </c>
      <c r="G70" s="256">
        <v>49.5</v>
      </c>
      <c r="H70" s="256">
        <v>80.099999999999994</v>
      </c>
      <c r="I70" s="256">
        <v>121.44</v>
      </c>
      <c r="J70" s="256">
        <v>116.31</v>
      </c>
      <c r="K70" s="256">
        <v>215.55</v>
      </c>
      <c r="L70" s="256">
        <v>377.61</v>
      </c>
      <c r="M70" s="256">
        <v>118.8</v>
      </c>
      <c r="BB70" s="43" t="s">
        <v>439</v>
      </c>
      <c r="BC70" s="61">
        <v>0</v>
      </c>
      <c r="BD70" s="61">
        <v>1272</v>
      </c>
      <c r="BE70" s="61">
        <v>1272</v>
      </c>
      <c r="BF70" s="61">
        <v>1469</v>
      </c>
      <c r="BI70" s="421" t="s">
        <v>439</v>
      </c>
      <c r="BJ70" s="61">
        <v>1327</v>
      </c>
      <c r="BK70" s="61">
        <v>1315.4151000000002</v>
      </c>
      <c r="BL70" s="61">
        <v>1469</v>
      </c>
      <c r="CH70" s="43" t="s">
        <v>439</v>
      </c>
      <c r="CI70" s="32">
        <v>7.052626116071429</v>
      </c>
      <c r="CJ70" s="94">
        <v>9.5899958590432028</v>
      </c>
      <c r="CL70" s="43" t="s">
        <v>439</v>
      </c>
      <c r="CM70" s="32">
        <v>317.00646282977812</v>
      </c>
      <c r="CN70" s="32">
        <v>1788.4447944646654</v>
      </c>
      <c r="CO70" s="32">
        <v>0</v>
      </c>
      <c r="DG70"/>
      <c r="DH70"/>
      <c r="DI70"/>
      <c r="DJ70"/>
      <c r="DK70"/>
      <c r="DL70"/>
      <c r="EF70" s="43" t="s">
        <v>439</v>
      </c>
      <c r="EG70" s="32">
        <v>12744</v>
      </c>
      <c r="EH70" s="32">
        <v>12629.920982736428</v>
      </c>
      <c r="EK70" s="43" t="s">
        <v>439</v>
      </c>
      <c r="EL70" s="32">
        <v>9603.6171816126607</v>
      </c>
      <c r="EM70" s="32">
        <v>9601.4717960409816</v>
      </c>
      <c r="EQ70" s="43" t="s">
        <v>439</v>
      </c>
      <c r="ER70" s="61">
        <v>1440</v>
      </c>
      <c r="ES70" s="61">
        <v>0</v>
      </c>
      <c r="ET70" s="61">
        <v>71</v>
      </c>
      <c r="EU70" s="61">
        <v>0</v>
      </c>
      <c r="EW70" s="43" t="s">
        <v>439</v>
      </c>
      <c r="EX70" s="61">
        <v>1440</v>
      </c>
      <c r="EY70" s="61">
        <v>0</v>
      </c>
      <c r="EZ70" s="61">
        <v>71</v>
      </c>
      <c r="FA70" s="61">
        <v>0</v>
      </c>
      <c r="FB70" s="61">
        <v>0</v>
      </c>
      <c r="FD70" s="141" t="str">
        <f t="shared" si="4"/>
        <v>5-mar</v>
      </c>
      <c r="FE70" s="11" t="str">
        <f t="shared" si="5"/>
        <v/>
      </c>
      <c r="FF70" s="11" t="str">
        <f t="shared" si="6"/>
        <v/>
      </c>
      <c r="FG70" s="11" t="str">
        <f t="shared" si="7"/>
        <v/>
      </c>
      <c r="FI70" s="141" t="str">
        <f t="shared" si="20"/>
        <v>5-mar</v>
      </c>
      <c r="FJ70" s="11" t="str">
        <f t="shared" si="1"/>
        <v/>
      </c>
      <c r="FK70" s="11" t="str">
        <f>IF(FJ70=1,EZ70,"")</f>
        <v/>
      </c>
      <c r="FL70" s="11" t="str">
        <f>IF(FJ70=1,EX70,"")</f>
        <v/>
      </c>
      <c r="FN70" s="141" t="str">
        <f t="shared" si="9"/>
        <v>5-mar</v>
      </c>
      <c r="FO70" s="11" t="str">
        <f t="shared" si="10"/>
        <v/>
      </c>
      <c r="FP70" s="11" t="str">
        <f t="shared" si="11"/>
        <v/>
      </c>
      <c r="FQ70" s="11" t="str">
        <f t="shared" si="12"/>
        <v/>
      </c>
    </row>
    <row r="71" spans="1:173">
      <c r="A71" s="248" t="s">
        <v>432</v>
      </c>
      <c r="B71" s="234">
        <f>IFERROR((B67-B69)+B70,0)</f>
        <v>120.91999999999996</v>
      </c>
      <c r="C71" s="234">
        <f>IFERROR((C67-C69)+C70,0)</f>
        <v>150.63000000000002</v>
      </c>
      <c r="D71" s="234">
        <f t="shared" ref="D71:M71" si="26">IFERROR((D67-D69)+D70,0)</f>
        <v>221.48</v>
      </c>
      <c r="E71" s="234">
        <f t="shared" si="26"/>
        <v>144.09</v>
      </c>
      <c r="F71" s="234">
        <f t="shared" si="26"/>
        <v>-56.669999999999995</v>
      </c>
      <c r="G71" s="234">
        <f t="shared" si="26"/>
        <v>-91.919999999999987</v>
      </c>
      <c r="H71" s="234">
        <f t="shared" si="26"/>
        <v>48</v>
      </c>
      <c r="I71" s="234">
        <f t="shared" si="26"/>
        <v>121.44</v>
      </c>
      <c r="J71" s="234">
        <f>IFERROR((J67-J69)+J70,0)</f>
        <v>116.31</v>
      </c>
      <c r="K71" s="234">
        <f t="shared" si="26"/>
        <v>215.55</v>
      </c>
      <c r="L71" s="234">
        <f t="shared" si="26"/>
        <v>377.61</v>
      </c>
      <c r="M71" s="234">
        <f t="shared" si="26"/>
        <v>118.8</v>
      </c>
      <c r="BB71" s="43" t="s">
        <v>440</v>
      </c>
      <c r="BC71" s="61">
        <v>0</v>
      </c>
      <c r="BD71" s="61">
        <v>1272</v>
      </c>
      <c r="BE71" s="61">
        <v>1272</v>
      </c>
      <c r="BF71" s="61">
        <v>1472</v>
      </c>
      <c r="BI71" s="421" t="s">
        <v>440</v>
      </c>
      <c r="BJ71" s="61">
        <v>1330</v>
      </c>
      <c r="BK71" s="61">
        <v>1319.0060000000001</v>
      </c>
      <c r="BL71" s="61">
        <v>1472</v>
      </c>
      <c r="CH71" s="43" t="s">
        <v>440</v>
      </c>
      <c r="CI71" s="32">
        <v>7.0305887648809522</v>
      </c>
      <c r="CJ71" s="94">
        <v>9.3934392724671998</v>
      </c>
      <c r="CL71" s="43" t="s">
        <v>440</v>
      </c>
      <c r="CM71" s="32">
        <v>184.92043665070389</v>
      </c>
      <c r="CN71" s="32">
        <v>1762.0275892288503</v>
      </c>
      <c r="CO71" s="32">
        <v>0</v>
      </c>
      <c r="DG71"/>
      <c r="DH71"/>
      <c r="DI71"/>
      <c r="DJ71"/>
      <c r="DK71"/>
      <c r="DL71"/>
      <c r="EF71" s="43" t="s">
        <v>440</v>
      </c>
      <c r="EG71" s="32">
        <v>12724</v>
      </c>
      <c r="EH71" s="32">
        <v>12643.007853627785</v>
      </c>
      <c r="EK71" s="43" t="s">
        <v>440</v>
      </c>
      <c r="EL71" s="32">
        <v>9566.9172932330821</v>
      </c>
      <c r="EM71" s="32">
        <v>9585.2542396530298</v>
      </c>
      <c r="EQ71" s="43" t="s">
        <v>440</v>
      </c>
      <c r="ER71" s="61">
        <v>1440</v>
      </c>
      <c r="ES71" s="61">
        <v>0</v>
      </c>
      <c r="ET71" s="61">
        <v>71</v>
      </c>
      <c r="EU71" s="61">
        <v>0</v>
      </c>
      <c r="EW71" s="43" t="s">
        <v>440</v>
      </c>
      <c r="EX71" s="61">
        <v>1440</v>
      </c>
      <c r="EY71" s="61">
        <v>0</v>
      </c>
      <c r="EZ71" s="61">
        <v>71</v>
      </c>
      <c r="FA71" s="61">
        <v>0</v>
      </c>
      <c r="FB71" s="61">
        <v>0</v>
      </c>
      <c r="FD71" s="141" t="str">
        <f t="shared" si="4"/>
        <v>6-mar</v>
      </c>
      <c r="FE71" s="11" t="str">
        <f t="shared" si="5"/>
        <v/>
      </c>
      <c r="FF71" s="11" t="str">
        <f>IF(FE71=1,EY71,"")</f>
        <v/>
      </c>
      <c r="FG71" s="11" t="str">
        <f>IF(FE71=1,GETPIVOTDATA("P. oferta",$EW$3,"Fecha",122,"Meses",5),"")</f>
        <v/>
      </c>
      <c r="FI71" s="141" t="str">
        <f t="shared" si="20"/>
        <v>6-mar</v>
      </c>
      <c r="FJ71" s="11" t="str">
        <f t="shared" si="1"/>
        <v/>
      </c>
      <c r="FK71" s="11" t="str">
        <f>IF(FJ71=1,EZ71,"")</f>
        <v/>
      </c>
      <c r="FL71" s="11" t="str">
        <f>IF(FJ71=1,EX71,"")</f>
        <v/>
      </c>
      <c r="FN71" s="141" t="str">
        <f t="shared" si="9"/>
        <v>6-mar</v>
      </c>
      <c r="FO71" s="11" t="str">
        <f t="shared" si="10"/>
        <v/>
      </c>
      <c r="FP71" s="11" t="str">
        <f t="shared" ref="FP71:FP134" si="27">IF(FO71=1,FA71,"")</f>
        <v/>
      </c>
      <c r="FQ71" s="11" t="str">
        <f t="shared" ref="FQ71:FQ134" si="28">IF(FO71=1,EX71,"")</f>
        <v/>
      </c>
    </row>
    <row r="72" spans="1:173">
      <c r="B72"/>
      <c r="C72"/>
      <c r="L72" s="218"/>
      <c r="BB72" s="43" t="s">
        <v>441</v>
      </c>
      <c r="BC72" s="61">
        <v>0</v>
      </c>
      <c r="BD72" s="61">
        <v>1272</v>
      </c>
      <c r="BE72" s="61">
        <v>1272</v>
      </c>
      <c r="BF72" s="61">
        <v>1394</v>
      </c>
      <c r="BI72" s="421" t="s">
        <v>441</v>
      </c>
      <c r="BJ72" s="61">
        <v>1323</v>
      </c>
      <c r="BK72" s="61">
        <v>1311.1144000000002</v>
      </c>
      <c r="BL72" s="61">
        <v>1394</v>
      </c>
      <c r="CH72" s="43" t="s">
        <v>441</v>
      </c>
      <c r="CI72" s="32">
        <v>6.8689041666666668</v>
      </c>
      <c r="CJ72" s="94">
        <v>9.0927076950059131</v>
      </c>
      <c r="CL72" s="43" t="s">
        <v>441</v>
      </c>
      <c r="CM72" s="32">
        <v>184.92043665070389</v>
      </c>
      <c r="CN72" s="32">
        <v>1735.6103839930352</v>
      </c>
      <c r="CO72" s="32">
        <v>0</v>
      </c>
      <c r="DG72"/>
      <c r="DH72"/>
      <c r="DI72"/>
      <c r="DJ72"/>
      <c r="DK72"/>
      <c r="DL72"/>
      <c r="EF72" s="43" t="s">
        <v>441</v>
      </c>
      <c r="EG72" s="32">
        <v>12743</v>
      </c>
      <c r="EH72" s="32">
        <v>12647.968199852739</v>
      </c>
      <c r="EK72" s="43" t="s">
        <v>441</v>
      </c>
      <c r="EL72" s="32">
        <v>9631.8972033257742</v>
      </c>
      <c r="EM72" s="32">
        <v>9646.7312080873635</v>
      </c>
      <c r="EQ72" s="43" t="s">
        <v>441</v>
      </c>
      <c r="ER72" s="61">
        <v>1440</v>
      </c>
      <c r="ES72" s="61">
        <v>0</v>
      </c>
      <c r="ET72" s="61">
        <v>71</v>
      </c>
      <c r="EU72" s="61">
        <v>0</v>
      </c>
      <c r="EW72" s="43" t="s">
        <v>441</v>
      </c>
      <c r="EX72" s="61">
        <v>1440</v>
      </c>
      <c r="EY72" s="61">
        <v>0</v>
      </c>
      <c r="EZ72" s="61">
        <v>71</v>
      </c>
      <c r="FA72" s="61">
        <v>0</v>
      </c>
      <c r="FB72" s="61">
        <v>0</v>
      </c>
      <c r="FD72" s="141" t="str">
        <f t="shared" si="4"/>
        <v>7-mar</v>
      </c>
      <c r="FE72" s="11" t="str">
        <f t="shared" si="5"/>
        <v/>
      </c>
      <c r="FF72" s="11" t="str">
        <f t="shared" ref="FF72:FF135" si="29">IF(FE72=1,EY72,"")</f>
        <v/>
      </c>
      <c r="FG72" s="11" t="str">
        <f t="shared" ref="FG72:FG135" si="30">IF(FE72=1,GETPIVOTDATA("P. oferta",$EW$3,"Fecha",122,"Meses",5),"")</f>
        <v/>
      </c>
      <c r="FI72" s="141" t="str">
        <f t="shared" si="20"/>
        <v>7-mar</v>
      </c>
      <c r="FJ72" s="11" t="str">
        <f t="shared" si="1"/>
        <v/>
      </c>
      <c r="FK72" s="11" t="str">
        <f>IF(FJ72=1,EZ72,"")</f>
        <v/>
      </c>
      <c r="FL72" s="11" t="str">
        <f>IF(FJ72=1,EX72,"")</f>
        <v/>
      </c>
      <c r="FN72" s="141" t="str">
        <f t="shared" si="9"/>
        <v>7-mar</v>
      </c>
      <c r="FO72" s="11" t="str">
        <f t="shared" si="10"/>
        <v/>
      </c>
      <c r="FP72" s="11" t="str">
        <f t="shared" si="27"/>
        <v/>
      </c>
      <c r="FQ72" s="11" t="str">
        <f t="shared" si="28"/>
        <v/>
      </c>
    </row>
    <row r="73" spans="1:173">
      <c r="B73"/>
      <c r="C73"/>
      <c r="L73" s="218"/>
      <c r="BB73" s="43" t="s">
        <v>442</v>
      </c>
      <c r="BC73" s="61">
        <v>0</v>
      </c>
      <c r="BD73" s="61">
        <v>1272</v>
      </c>
      <c r="BE73" s="61">
        <v>1280</v>
      </c>
      <c r="BF73" s="61">
        <v>1311</v>
      </c>
      <c r="BI73" s="421" t="s">
        <v>442</v>
      </c>
      <c r="BJ73" s="61">
        <v>1311</v>
      </c>
      <c r="BK73" s="61">
        <v>1299.5696</v>
      </c>
      <c r="BL73" s="61">
        <v>1311</v>
      </c>
      <c r="CH73" s="43" t="s">
        <v>442</v>
      </c>
      <c r="CI73" s="32">
        <v>6.8869596726190485</v>
      </c>
      <c r="CJ73" s="94">
        <v>9.5487189758622417</v>
      </c>
      <c r="CL73" s="43" t="s">
        <v>442</v>
      </c>
      <c r="CM73" s="32">
        <v>369.84087330140778</v>
      </c>
      <c r="CN73" s="32">
        <v>1801.6533970825728</v>
      </c>
      <c r="CO73" s="32">
        <v>0</v>
      </c>
      <c r="DG73"/>
      <c r="DH73"/>
      <c r="DI73"/>
      <c r="DJ73"/>
      <c r="DK73"/>
      <c r="DL73"/>
      <c r="EF73" s="43" t="s">
        <v>442</v>
      </c>
      <c r="EG73" s="32">
        <v>12555</v>
      </c>
      <c r="EH73" s="32">
        <v>12539.403459071191</v>
      </c>
      <c r="EK73" s="43" t="s">
        <v>442</v>
      </c>
      <c r="EL73" s="32">
        <v>9576.6590389016019</v>
      </c>
      <c r="EM73" s="32">
        <v>9648.8894931608047</v>
      </c>
      <c r="EQ73" s="43" t="s">
        <v>442</v>
      </c>
      <c r="ER73" s="61">
        <v>1440</v>
      </c>
      <c r="ES73" s="61">
        <v>0</v>
      </c>
      <c r="ET73" s="61">
        <v>71</v>
      </c>
      <c r="EU73" s="61">
        <v>0</v>
      </c>
      <c r="EW73" s="43" t="s">
        <v>442</v>
      </c>
      <c r="EX73" s="61">
        <v>1440</v>
      </c>
      <c r="EY73" s="61">
        <v>0</v>
      </c>
      <c r="EZ73" s="61">
        <v>71</v>
      </c>
      <c r="FA73" s="61">
        <v>0</v>
      </c>
      <c r="FB73" s="61">
        <v>0</v>
      </c>
      <c r="FD73" s="141" t="str">
        <f t="shared" si="4"/>
        <v>8-mar</v>
      </c>
      <c r="FE73" s="11" t="str">
        <f t="shared" si="5"/>
        <v/>
      </c>
      <c r="FF73" s="11" t="str">
        <f t="shared" si="29"/>
        <v/>
      </c>
      <c r="FG73" s="11" t="str">
        <f t="shared" si="30"/>
        <v/>
      </c>
      <c r="FI73" s="141" t="str">
        <f t="shared" si="20"/>
        <v>8-mar</v>
      </c>
      <c r="FJ73" s="11" t="str">
        <f t="shared" ref="FJ73:FJ136" si="31">IF(EZ73&gt;0,IF(FB73&gt;0,FB73,""),"")</f>
        <v/>
      </c>
      <c r="FK73" s="11" t="str">
        <f t="shared" ref="FK73:FK136" si="32">IF(FJ73=1,EZ73,"")</f>
        <v/>
      </c>
      <c r="FL73" s="11" t="str">
        <f t="shared" ref="FL73:FL136" si="33">IF(FJ73=1,EX73,"")</f>
        <v/>
      </c>
      <c r="FN73" s="141" t="str">
        <f t="shared" si="9"/>
        <v>8-mar</v>
      </c>
      <c r="FO73" s="11" t="str">
        <f t="shared" si="10"/>
        <v/>
      </c>
      <c r="FP73" s="11" t="str">
        <f t="shared" si="27"/>
        <v/>
      </c>
      <c r="FQ73" s="11" t="str">
        <f t="shared" si="28"/>
        <v/>
      </c>
    </row>
    <row r="74" spans="1:173">
      <c r="B74"/>
      <c r="C74"/>
      <c r="BB74" s="43" t="s">
        <v>443</v>
      </c>
      <c r="BC74" s="61">
        <v>0</v>
      </c>
      <c r="BD74" s="61">
        <v>1280</v>
      </c>
      <c r="BE74" s="61">
        <v>1277</v>
      </c>
      <c r="BF74" s="61">
        <v>1322</v>
      </c>
      <c r="BI74" s="421" t="s">
        <v>443</v>
      </c>
      <c r="BJ74" s="61">
        <v>1322</v>
      </c>
      <c r="BK74" s="61">
        <v>1310.1997000000001</v>
      </c>
      <c r="BL74" s="61">
        <v>1322</v>
      </c>
      <c r="CH74" s="43" t="s">
        <v>443</v>
      </c>
      <c r="CI74" s="32">
        <v>6.9445380952380953</v>
      </c>
      <c r="CJ74" s="94">
        <v>9.4936831316209602</v>
      </c>
      <c r="CL74" s="43" t="s">
        <v>443</v>
      </c>
      <c r="CM74" s="32">
        <v>607.59572042374134</v>
      </c>
      <c r="CN74" s="32">
        <v>1791.0865149882468</v>
      </c>
      <c r="CO74" s="32">
        <v>0</v>
      </c>
      <c r="DG74"/>
      <c r="DH74"/>
      <c r="DI74"/>
      <c r="DJ74"/>
      <c r="DK74"/>
      <c r="DL74"/>
      <c r="EF74" s="43" t="s">
        <v>443</v>
      </c>
      <c r="EG74" s="32">
        <v>12716</v>
      </c>
      <c r="EH74" s="32">
        <v>12595.268918682692</v>
      </c>
      <c r="EK74" s="43" t="s">
        <v>443</v>
      </c>
      <c r="EL74" s="32">
        <v>9618.7594553706513</v>
      </c>
      <c r="EM74" s="32">
        <v>9613.2436289541893</v>
      </c>
      <c r="EQ74" s="43" t="s">
        <v>443</v>
      </c>
      <c r="ER74" s="61">
        <v>1440</v>
      </c>
      <c r="ES74" s="61">
        <v>0</v>
      </c>
      <c r="ET74" s="61">
        <v>71</v>
      </c>
      <c r="EU74" s="61">
        <v>0</v>
      </c>
      <c r="EW74" s="43" t="s">
        <v>443</v>
      </c>
      <c r="EX74" s="61">
        <v>1440</v>
      </c>
      <c r="EY74" s="61">
        <v>0</v>
      </c>
      <c r="EZ74" s="61">
        <v>71</v>
      </c>
      <c r="FA74" s="61">
        <v>0</v>
      </c>
      <c r="FB74" s="61">
        <v>0</v>
      </c>
      <c r="FD74" s="141" t="str">
        <f t="shared" ref="FD74:FD137" si="34">EW74</f>
        <v>9-mar</v>
      </c>
      <c r="FE74" s="11" t="str">
        <f t="shared" ref="FE74:FE137" si="35">IF(EY74&gt;0,IF(FB74&gt;0,FB74,""),"")</f>
        <v/>
      </c>
      <c r="FF74" s="11" t="str">
        <f t="shared" si="29"/>
        <v/>
      </c>
      <c r="FG74" s="11" t="str">
        <f t="shared" si="30"/>
        <v/>
      </c>
      <c r="FI74" s="141" t="str">
        <f t="shared" si="20"/>
        <v>9-mar</v>
      </c>
      <c r="FJ74" s="11" t="str">
        <f t="shared" si="31"/>
        <v/>
      </c>
      <c r="FK74" s="11" t="str">
        <f t="shared" si="32"/>
        <v/>
      </c>
      <c r="FL74" s="11" t="str">
        <f t="shared" si="33"/>
        <v/>
      </c>
      <c r="FN74" s="141" t="str">
        <f t="shared" ref="FN74:FN137" si="36">EW74</f>
        <v>9-mar</v>
      </c>
      <c r="FO74" s="11" t="str">
        <f t="shared" ref="FO74:FO137" si="37">IF(FA74&gt;0,IF(FB74&gt;0,FB74,""),"")</f>
        <v/>
      </c>
      <c r="FP74" s="11" t="str">
        <f t="shared" si="27"/>
        <v/>
      </c>
      <c r="FQ74" s="11" t="str">
        <f t="shared" si="28"/>
        <v/>
      </c>
    </row>
    <row r="75" spans="1:173">
      <c r="B75"/>
      <c r="C75"/>
      <c r="BB75" s="43" t="s">
        <v>444</v>
      </c>
      <c r="BC75" s="61">
        <v>0</v>
      </c>
      <c r="BD75" s="61">
        <v>1272</v>
      </c>
      <c r="BE75" s="61">
        <v>1272</v>
      </c>
      <c r="BF75" s="61">
        <v>1308</v>
      </c>
      <c r="BI75" s="421" t="s">
        <v>444</v>
      </c>
      <c r="BJ75" s="61">
        <v>1308</v>
      </c>
      <c r="BK75" s="61">
        <v>1297.0120000000004</v>
      </c>
      <c r="BL75" s="61">
        <v>1308</v>
      </c>
      <c r="CH75" s="43" t="s">
        <v>444</v>
      </c>
      <c r="CI75" s="32">
        <v>6.8746963541666686</v>
      </c>
      <c r="CJ75" s="94">
        <v>9.0887765632743935</v>
      </c>
      <c r="CL75" s="43" t="s">
        <v>444</v>
      </c>
      <c r="CM75" s="32">
        <v>343.42366806559295</v>
      </c>
      <c r="CN75" s="32">
        <v>1714.4766198043833</v>
      </c>
      <c r="CO75" s="32">
        <v>0</v>
      </c>
      <c r="DG75"/>
      <c r="DH75"/>
      <c r="DI75"/>
      <c r="DJ75"/>
      <c r="DK75"/>
      <c r="DL75"/>
      <c r="EF75" s="43" t="s">
        <v>444</v>
      </c>
      <c r="EG75" s="32">
        <v>12633</v>
      </c>
      <c r="EH75" s="32">
        <v>12499.861408313423</v>
      </c>
      <c r="EK75" s="43" t="s">
        <v>444</v>
      </c>
      <c r="EL75" s="32">
        <v>9658.2568807339449</v>
      </c>
      <c r="EM75" s="32">
        <v>9637.42926689454</v>
      </c>
      <c r="EQ75" s="43" t="s">
        <v>444</v>
      </c>
      <c r="ER75" s="61">
        <v>1440</v>
      </c>
      <c r="ES75" s="61">
        <v>0</v>
      </c>
      <c r="ET75" s="61">
        <v>71</v>
      </c>
      <c r="EU75" s="61">
        <v>0</v>
      </c>
      <c r="EW75" s="43" t="s">
        <v>444</v>
      </c>
      <c r="EX75" s="61">
        <v>1440</v>
      </c>
      <c r="EY75" s="61">
        <v>0</v>
      </c>
      <c r="EZ75" s="61">
        <v>71</v>
      </c>
      <c r="FA75" s="61">
        <v>0</v>
      </c>
      <c r="FB75" s="61">
        <v>0</v>
      </c>
      <c r="FD75" s="141" t="str">
        <f t="shared" si="34"/>
        <v>10-mar</v>
      </c>
      <c r="FE75" s="11" t="str">
        <f t="shared" si="35"/>
        <v/>
      </c>
      <c r="FF75" s="11" t="str">
        <f t="shared" si="29"/>
        <v/>
      </c>
      <c r="FG75" s="11" t="str">
        <f t="shared" si="30"/>
        <v/>
      </c>
      <c r="FI75" s="141" t="str">
        <f t="shared" si="20"/>
        <v>10-mar</v>
      </c>
      <c r="FJ75" s="11" t="str">
        <f t="shared" si="31"/>
        <v/>
      </c>
      <c r="FK75" s="11" t="str">
        <f t="shared" si="32"/>
        <v/>
      </c>
      <c r="FL75" s="11" t="str">
        <f t="shared" si="33"/>
        <v/>
      </c>
      <c r="FN75" s="141" t="str">
        <f t="shared" si="36"/>
        <v>10-mar</v>
      </c>
      <c r="FO75" s="11" t="str">
        <f t="shared" si="37"/>
        <v/>
      </c>
      <c r="FP75" s="11" t="str">
        <f t="shared" si="27"/>
        <v/>
      </c>
      <c r="FQ75" s="11" t="str">
        <f t="shared" si="28"/>
        <v/>
      </c>
    </row>
    <row r="76" spans="1:173">
      <c r="B76"/>
      <c r="C76"/>
      <c r="BB76" s="43" t="s">
        <v>445</v>
      </c>
      <c r="BC76" s="61">
        <v>0</v>
      </c>
      <c r="BD76" s="61">
        <v>1272</v>
      </c>
      <c r="BE76" s="61">
        <v>1272</v>
      </c>
      <c r="BF76" s="61">
        <v>1292</v>
      </c>
      <c r="BI76" s="421" t="s">
        <v>445</v>
      </c>
      <c r="BJ76" s="61">
        <v>1292</v>
      </c>
      <c r="BK76" s="61">
        <v>1281.1267</v>
      </c>
      <c r="BL76" s="61">
        <v>1292</v>
      </c>
      <c r="CH76" s="43" t="s">
        <v>445</v>
      </c>
      <c r="CI76" s="32">
        <v>7.2620048363095222</v>
      </c>
      <c r="CJ76" s="94">
        <v>9.4491303053303977</v>
      </c>
      <c r="CL76" s="43" t="s">
        <v>445</v>
      </c>
      <c r="CM76" s="32">
        <v>475.50969424466717</v>
      </c>
      <c r="CN76" s="32">
        <v>1666.9256503799163</v>
      </c>
      <c r="CO76" s="32">
        <v>0</v>
      </c>
      <c r="DG76"/>
      <c r="DH76"/>
      <c r="DI76"/>
      <c r="DJ76"/>
      <c r="DK76"/>
      <c r="DL76"/>
      <c r="EF76" s="43" t="s">
        <v>445</v>
      </c>
      <c r="EG76" s="32">
        <v>12432</v>
      </c>
      <c r="EH76" s="32">
        <v>12248.888997187189</v>
      </c>
      <c r="EK76" s="43" t="s">
        <v>445</v>
      </c>
      <c r="EL76" s="32">
        <v>9622.2910216718265</v>
      </c>
      <c r="EM76" s="32">
        <v>9561.0285830333487</v>
      </c>
      <c r="EQ76" s="43" t="s">
        <v>445</v>
      </c>
      <c r="ER76" s="61">
        <v>1440</v>
      </c>
      <c r="ES76" s="61">
        <v>0</v>
      </c>
      <c r="ET76" s="61">
        <v>71</v>
      </c>
      <c r="EU76" s="61">
        <v>0</v>
      </c>
      <c r="EW76" s="43" t="s">
        <v>445</v>
      </c>
      <c r="EX76" s="61">
        <v>1440</v>
      </c>
      <c r="EY76" s="61">
        <v>0</v>
      </c>
      <c r="EZ76" s="61">
        <v>71</v>
      </c>
      <c r="FA76" s="61">
        <v>0</v>
      </c>
      <c r="FB76" s="61">
        <v>0</v>
      </c>
      <c r="FD76" s="141" t="str">
        <f t="shared" si="34"/>
        <v>11-mar</v>
      </c>
      <c r="FE76" s="11" t="str">
        <f t="shared" si="35"/>
        <v/>
      </c>
      <c r="FF76" s="11" t="str">
        <f t="shared" si="29"/>
        <v/>
      </c>
      <c r="FG76" s="11" t="str">
        <f t="shared" si="30"/>
        <v/>
      </c>
      <c r="FI76" s="141" t="str">
        <f t="shared" si="20"/>
        <v>11-mar</v>
      </c>
      <c r="FJ76" s="11" t="str">
        <f t="shared" si="31"/>
        <v/>
      </c>
      <c r="FK76" s="11" t="str">
        <f t="shared" si="32"/>
        <v/>
      </c>
      <c r="FL76" s="11" t="str">
        <f t="shared" si="33"/>
        <v/>
      </c>
      <c r="FN76" s="141" t="str">
        <f t="shared" si="36"/>
        <v>11-mar</v>
      </c>
      <c r="FO76" s="11" t="str">
        <f t="shared" si="37"/>
        <v/>
      </c>
      <c r="FP76" s="11" t="str">
        <f t="shared" si="27"/>
        <v/>
      </c>
      <c r="FQ76" s="11" t="str">
        <f t="shared" si="28"/>
        <v/>
      </c>
    </row>
    <row r="77" spans="1:173">
      <c r="B77"/>
      <c r="C77"/>
      <c r="BB77" s="43" t="s">
        <v>446</v>
      </c>
      <c r="BC77" s="61">
        <v>0</v>
      </c>
      <c r="BD77" s="61">
        <v>1272</v>
      </c>
      <c r="BE77" s="61">
        <v>1272</v>
      </c>
      <c r="BF77" s="61">
        <v>1285</v>
      </c>
      <c r="BI77" s="421" t="s">
        <v>446</v>
      </c>
      <c r="BJ77" s="61">
        <v>1285</v>
      </c>
      <c r="BK77" s="61">
        <v>1274.3511000000001</v>
      </c>
      <c r="BL77" s="61">
        <v>1285</v>
      </c>
      <c r="CH77" s="43" t="s">
        <v>446</v>
      </c>
      <c r="CI77" s="32">
        <v>7.3830514136904766</v>
      </c>
      <c r="CJ77" s="94">
        <v>9.643066137418721</v>
      </c>
      <c r="CL77" s="43" t="s">
        <v>446</v>
      </c>
      <c r="CM77" s="32">
        <v>554.76130995211167</v>
      </c>
      <c r="CN77" s="32">
        <v>1664.2839298563345</v>
      </c>
      <c r="CO77" s="32">
        <v>0</v>
      </c>
      <c r="DG77"/>
      <c r="DH77"/>
      <c r="DI77"/>
      <c r="DJ77"/>
      <c r="DK77"/>
      <c r="DL77"/>
      <c r="EF77" s="43" t="s">
        <v>446</v>
      </c>
      <c r="EG77" s="32">
        <v>12281</v>
      </c>
      <c r="EH77" s="32">
        <v>12133.253124553048</v>
      </c>
      <c r="EK77" s="43" t="s">
        <v>446</v>
      </c>
      <c r="EL77" s="32">
        <v>9557.1984435797658</v>
      </c>
      <c r="EM77" s="32">
        <v>9521.1226517974883</v>
      </c>
      <c r="EQ77" s="43" t="s">
        <v>446</v>
      </c>
      <c r="ER77" s="61">
        <v>1440</v>
      </c>
      <c r="ES77" s="61">
        <v>0</v>
      </c>
      <c r="ET77" s="61">
        <v>71</v>
      </c>
      <c r="EU77" s="61">
        <v>0</v>
      </c>
      <c r="EW77" s="43" t="s">
        <v>446</v>
      </c>
      <c r="EX77" s="61">
        <v>1440</v>
      </c>
      <c r="EY77" s="61">
        <v>0</v>
      </c>
      <c r="EZ77" s="61">
        <v>71</v>
      </c>
      <c r="FA77" s="61">
        <v>0</v>
      </c>
      <c r="FB77" s="61">
        <v>0</v>
      </c>
      <c r="FD77" s="141" t="str">
        <f t="shared" si="34"/>
        <v>12-mar</v>
      </c>
      <c r="FE77" s="11" t="str">
        <f t="shared" si="35"/>
        <v/>
      </c>
      <c r="FF77" s="11" t="str">
        <f t="shared" si="29"/>
        <v/>
      </c>
      <c r="FG77" s="11" t="str">
        <f t="shared" si="30"/>
        <v/>
      </c>
      <c r="FI77" s="141" t="str">
        <f t="shared" si="20"/>
        <v>12-mar</v>
      </c>
      <c r="FJ77" s="11" t="str">
        <f t="shared" si="31"/>
        <v/>
      </c>
      <c r="FK77" s="11" t="str">
        <f t="shared" si="32"/>
        <v/>
      </c>
      <c r="FL77" s="11" t="str">
        <f t="shared" si="33"/>
        <v/>
      </c>
      <c r="FN77" s="141" t="str">
        <f t="shared" si="36"/>
        <v>12-mar</v>
      </c>
      <c r="FO77" s="11" t="str">
        <f t="shared" si="37"/>
        <v/>
      </c>
      <c r="FP77" s="11" t="str">
        <f t="shared" si="27"/>
        <v/>
      </c>
      <c r="FQ77" s="11" t="str">
        <f t="shared" si="28"/>
        <v/>
      </c>
    </row>
    <row r="78" spans="1:173">
      <c r="B78"/>
      <c r="C78"/>
      <c r="BB78" s="43" t="s">
        <v>447</v>
      </c>
      <c r="BC78" s="61">
        <v>0</v>
      </c>
      <c r="BD78" s="61">
        <v>1272</v>
      </c>
      <c r="BE78" s="61">
        <v>1272</v>
      </c>
      <c r="BF78" s="61">
        <v>1287</v>
      </c>
      <c r="BI78" s="421" t="s">
        <v>447</v>
      </c>
      <c r="BJ78" s="61">
        <v>1287</v>
      </c>
      <c r="BK78" s="61">
        <v>1275.2791000000002</v>
      </c>
      <c r="BL78" s="61">
        <v>1287</v>
      </c>
      <c r="CH78" s="43" t="s">
        <v>447</v>
      </c>
      <c r="CI78" s="32">
        <v>6.7586353422619041</v>
      </c>
      <c r="CJ78" s="94">
        <v>9.0278440214358309</v>
      </c>
      <c r="CL78" s="43" t="s">
        <v>447</v>
      </c>
      <c r="CM78" s="32">
        <v>264.17205235814845</v>
      </c>
      <c r="CN78" s="32">
        <v>1703.9097377100566</v>
      </c>
      <c r="CO78" s="32">
        <v>0</v>
      </c>
      <c r="DG78"/>
      <c r="DH78"/>
      <c r="DI78"/>
      <c r="DJ78"/>
      <c r="DK78"/>
      <c r="DL78"/>
      <c r="EF78" s="43" t="s">
        <v>447</v>
      </c>
      <c r="EG78" s="32">
        <v>12538</v>
      </c>
      <c r="EH78" s="32">
        <v>12133.253124553048</v>
      </c>
      <c r="EK78" s="43" t="s">
        <v>447</v>
      </c>
      <c r="EL78" s="32">
        <v>9742.0357420357432</v>
      </c>
      <c r="EM78" s="32">
        <v>9514.1942846495695</v>
      </c>
      <c r="EQ78" s="43" t="s">
        <v>447</v>
      </c>
      <c r="ER78" s="61">
        <v>1440</v>
      </c>
      <c r="ES78" s="61">
        <v>0</v>
      </c>
      <c r="ET78" s="61">
        <v>71</v>
      </c>
      <c r="EU78" s="61">
        <v>0</v>
      </c>
      <c r="EW78" s="43" t="s">
        <v>447</v>
      </c>
      <c r="EX78" s="61">
        <v>1440</v>
      </c>
      <c r="EY78" s="61">
        <v>0</v>
      </c>
      <c r="EZ78" s="61">
        <v>71</v>
      </c>
      <c r="FA78" s="61">
        <v>0</v>
      </c>
      <c r="FB78" s="61">
        <v>0</v>
      </c>
      <c r="FD78" s="141" t="str">
        <f t="shared" si="34"/>
        <v>13-mar</v>
      </c>
      <c r="FE78" s="11" t="str">
        <f t="shared" si="35"/>
        <v/>
      </c>
      <c r="FF78" s="11" t="str">
        <f t="shared" si="29"/>
        <v/>
      </c>
      <c r="FG78" s="11" t="str">
        <f t="shared" si="30"/>
        <v/>
      </c>
      <c r="FI78" s="141" t="str">
        <f t="shared" si="20"/>
        <v>13-mar</v>
      </c>
      <c r="FJ78" s="11" t="str">
        <f t="shared" si="31"/>
        <v/>
      </c>
      <c r="FK78" s="11" t="str">
        <f t="shared" si="32"/>
        <v/>
      </c>
      <c r="FL78" s="11" t="str">
        <f t="shared" si="33"/>
        <v/>
      </c>
      <c r="FN78" s="141" t="str">
        <f t="shared" si="36"/>
        <v>13-mar</v>
      </c>
      <c r="FO78" s="11" t="str">
        <f t="shared" si="37"/>
        <v/>
      </c>
      <c r="FP78" s="11" t="str">
        <f t="shared" si="27"/>
        <v/>
      </c>
      <c r="FQ78" s="11" t="str">
        <f t="shared" si="28"/>
        <v/>
      </c>
    </row>
    <row r="79" spans="1:173">
      <c r="B79"/>
      <c r="C79"/>
      <c r="BB79" s="43" t="s">
        <v>448</v>
      </c>
      <c r="BC79" s="61">
        <v>0</v>
      </c>
      <c r="BD79" s="61">
        <v>1272</v>
      </c>
      <c r="BE79" s="61">
        <v>1272</v>
      </c>
      <c r="BF79" s="61">
        <v>1293</v>
      </c>
      <c r="BI79" s="421" t="s">
        <v>448</v>
      </c>
      <c r="BJ79" s="61">
        <v>1293</v>
      </c>
      <c r="BK79" s="61">
        <v>1283.1853000000003</v>
      </c>
      <c r="BL79" s="61">
        <v>1293</v>
      </c>
      <c r="CH79" s="43" t="s">
        <v>448</v>
      </c>
      <c r="CI79" s="32">
        <v>6.841457142857144</v>
      </c>
      <c r="CJ79" s="94">
        <v>9.4484751167084795</v>
      </c>
      <c r="CL79" s="43" t="s">
        <v>448</v>
      </c>
      <c r="CM79" s="32">
        <v>475.50969424466717</v>
      </c>
      <c r="CN79" s="32">
        <v>1772.5944713231763</v>
      </c>
      <c r="CO79" s="32">
        <v>0</v>
      </c>
      <c r="DG79"/>
      <c r="DH79"/>
      <c r="DI79"/>
      <c r="DJ79"/>
      <c r="DK79"/>
      <c r="DL79"/>
      <c r="EF79" s="43" t="s">
        <v>448</v>
      </c>
      <c r="EG79" s="32">
        <v>12522</v>
      </c>
      <c r="EH79" s="32">
        <v>12341.622845761447</v>
      </c>
      <c r="EK79" s="43" t="s">
        <v>448</v>
      </c>
      <c r="EL79" s="32">
        <v>9684.4547563805099</v>
      </c>
      <c r="EM79" s="32">
        <v>9617.9584084710477</v>
      </c>
      <c r="EQ79" s="43" t="s">
        <v>448</v>
      </c>
      <c r="ER79" s="61">
        <v>1440</v>
      </c>
      <c r="ES79" s="61">
        <v>0</v>
      </c>
      <c r="ET79" s="61">
        <v>71</v>
      </c>
      <c r="EU79" s="61">
        <v>0</v>
      </c>
      <c r="EW79" s="43" t="s">
        <v>448</v>
      </c>
      <c r="EX79" s="61">
        <v>1440</v>
      </c>
      <c r="EY79" s="61">
        <v>0</v>
      </c>
      <c r="EZ79" s="61">
        <v>71</v>
      </c>
      <c r="FA79" s="61">
        <v>0</v>
      </c>
      <c r="FB79" s="61">
        <v>0</v>
      </c>
      <c r="FD79" s="141" t="str">
        <f t="shared" si="34"/>
        <v>14-mar</v>
      </c>
      <c r="FE79" s="11" t="str">
        <f t="shared" si="35"/>
        <v/>
      </c>
      <c r="FF79" s="11" t="str">
        <f t="shared" si="29"/>
        <v/>
      </c>
      <c r="FG79" s="11" t="str">
        <f t="shared" si="30"/>
        <v/>
      </c>
      <c r="FI79" s="141" t="str">
        <f t="shared" si="20"/>
        <v>14-mar</v>
      </c>
      <c r="FJ79" s="11" t="str">
        <f t="shared" si="31"/>
        <v/>
      </c>
      <c r="FK79" s="11" t="str">
        <f t="shared" si="32"/>
        <v/>
      </c>
      <c r="FL79" s="11" t="str">
        <f t="shared" si="33"/>
        <v/>
      </c>
      <c r="FN79" s="141" t="str">
        <f t="shared" si="36"/>
        <v>14-mar</v>
      </c>
      <c r="FO79" s="11" t="str">
        <f t="shared" si="37"/>
        <v/>
      </c>
      <c r="FP79" s="11" t="str">
        <f t="shared" si="27"/>
        <v/>
      </c>
      <c r="FQ79" s="11" t="str">
        <f t="shared" si="28"/>
        <v/>
      </c>
    </row>
    <row r="80" spans="1:173">
      <c r="B80"/>
      <c r="C80"/>
      <c r="BB80" s="43" t="s">
        <v>449</v>
      </c>
      <c r="BC80" s="61">
        <v>0</v>
      </c>
      <c r="BD80" s="61">
        <v>1272</v>
      </c>
      <c r="BE80" s="61">
        <v>1272</v>
      </c>
      <c r="BF80" s="61">
        <v>1298</v>
      </c>
      <c r="BI80" s="421" t="s">
        <v>449</v>
      </c>
      <c r="BJ80" s="61">
        <v>1298</v>
      </c>
      <c r="BK80" s="61">
        <v>1287.0416000000002</v>
      </c>
      <c r="BL80" s="61">
        <v>1298</v>
      </c>
      <c r="CH80" s="43" t="s">
        <v>449</v>
      </c>
      <c r="CI80" s="32">
        <v>6.9026796875000009</v>
      </c>
      <c r="CJ80" s="94">
        <v>9.0828798656771124</v>
      </c>
      <c r="CL80" s="43" t="s">
        <v>449</v>
      </c>
      <c r="CM80" s="32">
        <v>264.17205235814845</v>
      </c>
      <c r="CN80" s="32">
        <v>1693.342855615731</v>
      </c>
      <c r="CO80" s="32">
        <v>0</v>
      </c>
      <c r="DG80"/>
      <c r="DH80"/>
      <c r="DI80"/>
      <c r="DJ80"/>
      <c r="DK80"/>
      <c r="DL80"/>
      <c r="EF80" s="43" t="s">
        <v>449</v>
      </c>
      <c r="EG80" s="32">
        <v>12517</v>
      </c>
      <c r="EH80" s="32">
        <v>12415.992859375248</v>
      </c>
      <c r="EK80" s="43" t="s">
        <v>449</v>
      </c>
      <c r="EL80" s="32">
        <v>9643.2973805855163</v>
      </c>
      <c r="EM80" s="32">
        <v>9646.9242791959841</v>
      </c>
      <c r="EQ80" s="43" t="s">
        <v>449</v>
      </c>
      <c r="ER80" s="61">
        <v>1440</v>
      </c>
      <c r="ES80" s="61">
        <v>0</v>
      </c>
      <c r="ET80" s="61">
        <v>71</v>
      </c>
      <c r="EU80" s="61">
        <v>0</v>
      </c>
      <c r="EW80" s="43" t="s">
        <v>449</v>
      </c>
      <c r="EX80" s="61">
        <v>1440</v>
      </c>
      <c r="EY80" s="61">
        <v>0</v>
      </c>
      <c r="EZ80" s="61">
        <v>71</v>
      </c>
      <c r="FA80" s="61">
        <v>0</v>
      </c>
      <c r="FB80" s="61">
        <v>0</v>
      </c>
      <c r="FD80" s="141" t="str">
        <f t="shared" si="34"/>
        <v>15-mar</v>
      </c>
      <c r="FE80" s="11" t="str">
        <f t="shared" si="35"/>
        <v/>
      </c>
      <c r="FF80" s="11" t="str">
        <f t="shared" si="29"/>
        <v/>
      </c>
      <c r="FG80" s="11" t="str">
        <f t="shared" si="30"/>
        <v/>
      </c>
      <c r="FI80" s="141" t="str">
        <f t="shared" si="20"/>
        <v>15-mar</v>
      </c>
      <c r="FJ80" s="11" t="str">
        <f t="shared" si="31"/>
        <v/>
      </c>
      <c r="FK80" s="11" t="str">
        <f t="shared" si="32"/>
        <v/>
      </c>
      <c r="FL80" s="11" t="str">
        <f t="shared" si="33"/>
        <v/>
      </c>
      <c r="FN80" s="141" t="str">
        <f t="shared" si="36"/>
        <v>15-mar</v>
      </c>
      <c r="FO80" s="11" t="str">
        <f t="shared" si="37"/>
        <v/>
      </c>
      <c r="FP80" s="11" t="str">
        <f t="shared" si="27"/>
        <v/>
      </c>
      <c r="FQ80" s="11" t="str">
        <f t="shared" si="28"/>
        <v/>
      </c>
    </row>
    <row r="81" spans="2:173">
      <c r="B81"/>
      <c r="C81"/>
      <c r="BB81" s="43" t="s">
        <v>450</v>
      </c>
      <c r="BC81" s="61">
        <v>0</v>
      </c>
      <c r="BD81" s="61">
        <v>1137</v>
      </c>
      <c r="BE81" s="61">
        <v>1137</v>
      </c>
      <c r="BF81" s="61">
        <v>1154</v>
      </c>
      <c r="BI81" s="421" t="s">
        <v>450</v>
      </c>
      <c r="BJ81" s="61">
        <v>1154</v>
      </c>
      <c r="BK81" s="61">
        <v>1143.0885000000001</v>
      </c>
      <c r="BL81" s="61">
        <v>1154</v>
      </c>
      <c r="CH81" s="43" t="s">
        <v>450</v>
      </c>
      <c r="CI81" s="32">
        <v>7.133327096273292</v>
      </c>
      <c r="CJ81" s="94">
        <v>9.5709042323296849</v>
      </c>
      <c r="CL81" s="43" t="s">
        <v>450</v>
      </c>
      <c r="CM81" s="32">
        <v>607.59572042374134</v>
      </c>
      <c r="CN81" s="32">
        <v>1532.1979036772607</v>
      </c>
      <c r="CO81" s="32">
        <v>0</v>
      </c>
      <c r="DG81"/>
      <c r="DH81"/>
      <c r="DI81"/>
      <c r="DJ81"/>
      <c r="DK81"/>
      <c r="DL81"/>
      <c r="EF81" s="43" t="s">
        <v>450</v>
      </c>
      <c r="EG81" s="32">
        <v>11099</v>
      </c>
      <c r="EH81" s="32">
        <v>12424.89333877179</v>
      </c>
      <c r="EK81" s="43" t="s">
        <v>450</v>
      </c>
      <c r="EL81" s="32">
        <v>9617.8509532062399</v>
      </c>
      <c r="EM81" s="32">
        <v>10869.581260568879</v>
      </c>
      <c r="EQ81" s="43" t="s">
        <v>450</v>
      </c>
      <c r="ER81" s="61">
        <v>1440</v>
      </c>
      <c r="ES81" s="61">
        <v>0</v>
      </c>
      <c r="ET81" s="61">
        <v>71</v>
      </c>
      <c r="EU81" s="61">
        <v>0</v>
      </c>
      <c r="EW81" s="43" t="s">
        <v>450</v>
      </c>
      <c r="EX81" s="61">
        <v>1440</v>
      </c>
      <c r="EY81" s="61">
        <v>0</v>
      </c>
      <c r="EZ81" s="61">
        <v>71</v>
      </c>
      <c r="FA81" s="61">
        <v>0</v>
      </c>
      <c r="FB81" s="61">
        <v>0</v>
      </c>
      <c r="FD81" s="141" t="str">
        <f t="shared" si="34"/>
        <v>16-mar</v>
      </c>
      <c r="FE81" s="11" t="str">
        <f t="shared" si="35"/>
        <v/>
      </c>
      <c r="FF81" s="11" t="str">
        <f t="shared" si="29"/>
        <v/>
      </c>
      <c r="FG81" s="11" t="str">
        <f t="shared" si="30"/>
        <v/>
      </c>
      <c r="FI81" s="141" t="str">
        <f t="shared" si="20"/>
        <v>16-mar</v>
      </c>
      <c r="FJ81" s="11" t="str">
        <f t="shared" si="31"/>
        <v/>
      </c>
      <c r="FK81" s="11" t="str">
        <f t="shared" si="32"/>
        <v/>
      </c>
      <c r="FL81" s="11" t="str">
        <f t="shared" si="33"/>
        <v/>
      </c>
      <c r="FN81" s="141" t="str">
        <f t="shared" si="36"/>
        <v>16-mar</v>
      </c>
      <c r="FO81" s="11" t="str">
        <f t="shared" si="37"/>
        <v/>
      </c>
      <c r="FP81" s="11" t="str">
        <f t="shared" si="27"/>
        <v/>
      </c>
      <c r="FQ81" s="11" t="str">
        <f t="shared" si="28"/>
        <v/>
      </c>
    </row>
    <row r="82" spans="2:173">
      <c r="B82"/>
      <c r="C82"/>
      <c r="BB82" s="43" t="s">
        <v>451</v>
      </c>
      <c r="BC82" s="61">
        <v>0</v>
      </c>
      <c r="BD82" s="61">
        <v>1137</v>
      </c>
      <c r="BE82" s="61">
        <v>1137</v>
      </c>
      <c r="BF82" s="61">
        <v>1404</v>
      </c>
      <c r="BI82" s="421" t="s">
        <v>451</v>
      </c>
      <c r="BJ82" s="61">
        <v>1191</v>
      </c>
      <c r="BK82" s="61">
        <v>1179.6959000000002</v>
      </c>
      <c r="BL82" s="61">
        <v>1404</v>
      </c>
      <c r="CH82" s="43" t="s">
        <v>451</v>
      </c>
      <c r="CI82" s="32">
        <v>6.9148449016563163</v>
      </c>
      <c r="CJ82" s="94">
        <v>9.5208592161997299</v>
      </c>
      <c r="CL82" s="43" t="s">
        <v>451</v>
      </c>
      <c r="CM82" s="32">
        <v>739.68174660281556</v>
      </c>
      <c r="CN82" s="32">
        <v>1622.0164014790321</v>
      </c>
      <c r="CO82" s="32">
        <v>0</v>
      </c>
      <c r="DG82"/>
      <c r="DH82"/>
      <c r="DI82"/>
      <c r="DJ82"/>
      <c r="DK82"/>
      <c r="DL82"/>
      <c r="EF82" s="43" t="s">
        <v>451</v>
      </c>
      <c r="EG82" s="32">
        <v>11393</v>
      </c>
      <c r="EH82" s="32">
        <v>11012.425956276917</v>
      </c>
      <c r="EK82" s="43" t="s">
        <v>451</v>
      </c>
      <c r="EL82" s="32">
        <v>10667.602996254682</v>
      </c>
      <c r="EM82" s="32">
        <v>10405.457907267555</v>
      </c>
      <c r="EQ82" s="43" t="s">
        <v>451</v>
      </c>
      <c r="ER82" s="61">
        <v>1440</v>
      </c>
      <c r="ES82" s="61">
        <v>0</v>
      </c>
      <c r="ET82" s="61">
        <v>71</v>
      </c>
      <c r="EU82" s="61">
        <v>0</v>
      </c>
      <c r="EW82" s="43" t="s">
        <v>451</v>
      </c>
      <c r="EX82" s="61">
        <v>1440</v>
      </c>
      <c r="EY82" s="61">
        <v>0</v>
      </c>
      <c r="EZ82" s="61">
        <v>71</v>
      </c>
      <c r="FA82" s="61">
        <v>0</v>
      </c>
      <c r="FB82" s="61">
        <v>0</v>
      </c>
      <c r="FD82" s="141" t="str">
        <f t="shared" si="34"/>
        <v>17-mar</v>
      </c>
      <c r="FE82" s="11" t="str">
        <f t="shared" si="35"/>
        <v/>
      </c>
      <c r="FF82" s="11" t="str">
        <f t="shared" si="29"/>
        <v/>
      </c>
      <c r="FG82" s="11" t="str">
        <f t="shared" si="30"/>
        <v/>
      </c>
      <c r="FI82" s="141" t="str">
        <f t="shared" si="20"/>
        <v>17-mar</v>
      </c>
      <c r="FJ82" s="11" t="str">
        <f t="shared" si="31"/>
        <v/>
      </c>
      <c r="FK82" s="11" t="str">
        <f t="shared" si="32"/>
        <v/>
      </c>
      <c r="FL82" s="11" t="str">
        <f t="shared" si="33"/>
        <v/>
      </c>
      <c r="FN82" s="141" t="str">
        <f t="shared" si="36"/>
        <v>17-mar</v>
      </c>
      <c r="FO82" s="11" t="str">
        <f t="shared" si="37"/>
        <v/>
      </c>
      <c r="FP82" s="11" t="str">
        <f t="shared" si="27"/>
        <v/>
      </c>
      <c r="FQ82" s="11" t="str">
        <f t="shared" si="28"/>
        <v/>
      </c>
    </row>
    <row r="83" spans="2:173">
      <c r="B83"/>
      <c r="C83"/>
      <c r="BB83" s="43" t="s">
        <v>452</v>
      </c>
      <c r="BC83" s="61">
        <v>0</v>
      </c>
      <c r="BD83" s="61">
        <v>1272</v>
      </c>
      <c r="BE83" s="61">
        <v>1272</v>
      </c>
      <c r="BF83" s="61">
        <v>1309</v>
      </c>
      <c r="BI83" s="421" t="s">
        <v>452</v>
      </c>
      <c r="BJ83" s="61">
        <v>1309</v>
      </c>
      <c r="BK83" s="61">
        <v>1297.9580000000001</v>
      </c>
      <c r="BL83" s="61">
        <v>1309</v>
      </c>
      <c r="CH83" s="43" t="s">
        <v>452</v>
      </c>
      <c r="CI83" s="32">
        <v>6.9602006696428589</v>
      </c>
      <c r="CJ83" s="94">
        <v>8.3025502169703795</v>
      </c>
      <c r="CL83" s="43" t="s">
        <v>452</v>
      </c>
      <c r="CM83" s="32">
        <v>264.17205235814845</v>
      </c>
      <c r="CN83" s="32">
        <v>1548.04822681875</v>
      </c>
      <c r="CO83" s="32">
        <v>0</v>
      </c>
      <c r="DG83"/>
      <c r="DH83"/>
      <c r="DI83"/>
      <c r="DJ83"/>
      <c r="DK83"/>
      <c r="DL83"/>
      <c r="EF83" s="43" t="s">
        <v>452</v>
      </c>
      <c r="EG83" s="32">
        <v>12595</v>
      </c>
      <c r="EH83" s="32">
        <v>11314.162761747864</v>
      </c>
      <c r="EK83" s="43" t="s">
        <v>452</v>
      </c>
      <c r="EL83" s="32">
        <v>9621.8487394957974</v>
      </c>
      <c r="EM83" s="32">
        <v>8716.8943538603435</v>
      </c>
      <c r="EQ83" s="43" t="s">
        <v>452</v>
      </c>
      <c r="ER83" s="61">
        <v>1440</v>
      </c>
      <c r="ES83" s="61">
        <v>0</v>
      </c>
      <c r="ET83" s="61">
        <v>71</v>
      </c>
      <c r="EU83" s="61">
        <v>0</v>
      </c>
      <c r="EW83" s="43" t="s">
        <v>452</v>
      </c>
      <c r="EX83" s="61">
        <v>1440</v>
      </c>
      <c r="EY83" s="61">
        <v>0</v>
      </c>
      <c r="EZ83" s="61">
        <v>71</v>
      </c>
      <c r="FA83" s="61">
        <v>0</v>
      </c>
      <c r="FB83" s="61">
        <v>0</v>
      </c>
      <c r="FD83" s="141" t="str">
        <f t="shared" si="34"/>
        <v>18-mar</v>
      </c>
      <c r="FE83" s="11" t="str">
        <f t="shared" si="35"/>
        <v/>
      </c>
      <c r="FF83" s="11" t="str">
        <f t="shared" si="29"/>
        <v/>
      </c>
      <c r="FG83" s="11" t="str">
        <f t="shared" si="30"/>
        <v/>
      </c>
      <c r="FI83" s="141" t="str">
        <f t="shared" si="20"/>
        <v>18-mar</v>
      </c>
      <c r="FJ83" s="11" t="str">
        <f t="shared" si="31"/>
        <v/>
      </c>
      <c r="FK83" s="11" t="str">
        <f t="shared" si="32"/>
        <v/>
      </c>
      <c r="FL83" s="11" t="str">
        <f t="shared" si="33"/>
        <v/>
      </c>
      <c r="FN83" s="141" t="str">
        <f t="shared" si="36"/>
        <v>18-mar</v>
      </c>
      <c r="FO83" s="11" t="str">
        <f t="shared" si="37"/>
        <v/>
      </c>
      <c r="FP83" s="11" t="str">
        <f t="shared" si="27"/>
        <v/>
      </c>
      <c r="FQ83" s="11" t="str">
        <f t="shared" si="28"/>
        <v/>
      </c>
    </row>
    <row r="84" spans="2:173">
      <c r="B84"/>
      <c r="C84"/>
      <c r="BB84" s="43" t="s">
        <v>453</v>
      </c>
      <c r="BC84" s="61">
        <v>0</v>
      </c>
      <c r="BD84" s="61">
        <v>1272</v>
      </c>
      <c r="BE84" s="61">
        <v>1272</v>
      </c>
      <c r="BF84" s="61">
        <v>1322</v>
      </c>
      <c r="BI84" s="421" t="s">
        <v>453</v>
      </c>
      <c r="BJ84" s="61">
        <v>1322</v>
      </c>
      <c r="BK84" s="61">
        <v>1310.9650000000001</v>
      </c>
      <c r="BL84" s="61">
        <v>1322</v>
      </c>
      <c r="CH84" s="43" t="s">
        <v>453</v>
      </c>
      <c r="CI84" s="32">
        <v>7.1119697916666667</v>
      </c>
      <c r="CJ84" s="94">
        <v>9.1732958955020738</v>
      </c>
      <c r="CL84" s="43" t="s">
        <v>453</v>
      </c>
      <c r="CM84" s="32">
        <v>634.01292565955623</v>
      </c>
      <c r="CN84" s="32">
        <v>1690.7011350921489</v>
      </c>
      <c r="CO84" s="32">
        <v>0</v>
      </c>
      <c r="DG84"/>
      <c r="DH84"/>
      <c r="DI84"/>
      <c r="DJ84"/>
      <c r="DK84"/>
      <c r="DL84"/>
      <c r="EF84" s="43" t="s">
        <v>453</v>
      </c>
      <c r="EG84" s="32">
        <v>12641</v>
      </c>
      <c r="EH84" s="32">
        <v>12497.152566757955</v>
      </c>
      <c r="EK84" s="43" t="s">
        <v>453</v>
      </c>
      <c r="EL84" s="32">
        <v>9562.027231467473</v>
      </c>
      <c r="EM84" s="32">
        <v>9453.2167675930068</v>
      </c>
      <c r="EQ84" s="43" t="s">
        <v>453</v>
      </c>
      <c r="ER84" s="61">
        <v>1440</v>
      </c>
      <c r="ES84" s="61">
        <v>0</v>
      </c>
      <c r="ET84" s="61">
        <v>71</v>
      </c>
      <c r="EU84" s="61">
        <v>0</v>
      </c>
      <c r="EW84" s="43" t="s">
        <v>453</v>
      </c>
      <c r="EX84" s="61">
        <v>1440</v>
      </c>
      <c r="EY84" s="61">
        <v>0</v>
      </c>
      <c r="EZ84" s="61">
        <v>71</v>
      </c>
      <c r="FA84" s="61">
        <v>0</v>
      </c>
      <c r="FB84" s="61">
        <v>0</v>
      </c>
      <c r="FD84" s="141" t="str">
        <f t="shared" si="34"/>
        <v>19-mar</v>
      </c>
      <c r="FE84" s="11" t="str">
        <f t="shared" si="35"/>
        <v/>
      </c>
      <c r="FF84" s="11" t="str">
        <f t="shared" si="29"/>
        <v/>
      </c>
      <c r="FG84" s="11" t="str">
        <f t="shared" si="30"/>
        <v/>
      </c>
      <c r="FI84" s="141" t="str">
        <f t="shared" si="20"/>
        <v>19-mar</v>
      </c>
      <c r="FJ84" s="11" t="str">
        <f t="shared" si="31"/>
        <v/>
      </c>
      <c r="FK84" s="11" t="str">
        <f t="shared" si="32"/>
        <v/>
      </c>
      <c r="FL84" s="11" t="str">
        <f t="shared" si="33"/>
        <v/>
      </c>
      <c r="FN84" s="141" t="str">
        <f t="shared" si="36"/>
        <v>19-mar</v>
      </c>
      <c r="FO84" s="11" t="str">
        <f t="shared" si="37"/>
        <v/>
      </c>
      <c r="FP84" s="11" t="str">
        <f t="shared" si="27"/>
        <v/>
      </c>
      <c r="FQ84" s="11" t="str">
        <f t="shared" si="28"/>
        <v/>
      </c>
    </row>
    <row r="85" spans="2:173">
      <c r="B85"/>
      <c r="C85"/>
      <c r="BB85" s="43" t="s">
        <v>454</v>
      </c>
      <c r="BC85" s="61">
        <v>0</v>
      </c>
      <c r="BD85" s="61">
        <v>1272</v>
      </c>
      <c r="BE85" s="61">
        <v>1272</v>
      </c>
      <c r="BF85" s="61">
        <v>1292</v>
      </c>
      <c r="BI85" s="421" t="s">
        <v>454</v>
      </c>
      <c r="BJ85" s="61">
        <v>1292</v>
      </c>
      <c r="BK85" s="61">
        <v>1280.3627999999999</v>
      </c>
      <c r="BL85" s="61">
        <v>1292</v>
      </c>
      <c r="CH85" s="43" t="s">
        <v>454</v>
      </c>
      <c r="CI85" s="32">
        <v>6.9054406249999998</v>
      </c>
      <c r="CJ85" s="94">
        <v>9.4445439849769581</v>
      </c>
      <c r="CL85" s="43" t="s">
        <v>454</v>
      </c>
      <c r="CM85" s="32">
        <v>475.50969424466717</v>
      </c>
      <c r="CN85" s="32">
        <v>1751.4607071345245</v>
      </c>
      <c r="CO85" s="32">
        <v>0</v>
      </c>
      <c r="DG85"/>
      <c r="DH85"/>
      <c r="DI85"/>
      <c r="DJ85"/>
      <c r="DK85"/>
      <c r="DL85"/>
      <c r="EF85" s="43" t="s">
        <v>454</v>
      </c>
      <c r="EG85" s="32">
        <v>12421</v>
      </c>
      <c r="EH85" s="32">
        <v>12548.831634874643</v>
      </c>
      <c r="EK85" s="43" t="s">
        <v>454</v>
      </c>
      <c r="EL85" s="32">
        <v>9613.7770897832816</v>
      </c>
      <c r="EM85" s="32">
        <v>9800.9967447309809</v>
      </c>
      <c r="EQ85" s="43" t="s">
        <v>454</v>
      </c>
      <c r="ER85" s="61">
        <v>1440</v>
      </c>
      <c r="ES85" s="61">
        <v>0</v>
      </c>
      <c r="ET85" s="61">
        <v>71</v>
      </c>
      <c r="EU85" s="61">
        <v>0</v>
      </c>
      <c r="EW85" s="43" t="s">
        <v>454</v>
      </c>
      <c r="EX85" s="61">
        <v>1440</v>
      </c>
      <c r="EY85" s="61">
        <v>0</v>
      </c>
      <c r="EZ85" s="61">
        <v>71</v>
      </c>
      <c r="FA85" s="61">
        <v>0</v>
      </c>
      <c r="FB85" s="61">
        <v>0</v>
      </c>
      <c r="FD85" s="141" t="str">
        <f t="shared" si="34"/>
        <v>20-mar</v>
      </c>
      <c r="FE85" s="11" t="str">
        <f t="shared" si="35"/>
        <v/>
      </c>
      <c r="FF85" s="11" t="str">
        <f t="shared" si="29"/>
        <v/>
      </c>
      <c r="FG85" s="11" t="str">
        <f t="shared" si="30"/>
        <v/>
      </c>
      <c r="FI85" s="141" t="str">
        <f t="shared" si="20"/>
        <v>20-mar</v>
      </c>
      <c r="FJ85" s="11" t="str">
        <f t="shared" si="31"/>
        <v/>
      </c>
      <c r="FK85" s="11" t="str">
        <f t="shared" si="32"/>
        <v/>
      </c>
      <c r="FL85" s="11" t="str">
        <f t="shared" si="33"/>
        <v/>
      </c>
      <c r="FN85" s="141" t="str">
        <f t="shared" si="36"/>
        <v>20-mar</v>
      </c>
      <c r="FO85" s="11" t="str">
        <f t="shared" si="37"/>
        <v/>
      </c>
      <c r="FP85" s="11" t="str">
        <f t="shared" si="27"/>
        <v/>
      </c>
      <c r="FQ85" s="11" t="str">
        <f t="shared" si="28"/>
        <v/>
      </c>
    </row>
    <row r="86" spans="2:173">
      <c r="B86"/>
      <c r="C86"/>
      <c r="F86" s="61"/>
      <c r="BB86" s="43" t="s">
        <v>455</v>
      </c>
      <c r="BC86" s="61">
        <v>0</v>
      </c>
      <c r="BD86" s="61">
        <v>1272</v>
      </c>
      <c r="BE86" s="61">
        <v>1272</v>
      </c>
      <c r="BF86" s="61">
        <v>1291</v>
      </c>
      <c r="BI86" s="421" t="s">
        <v>455</v>
      </c>
      <c r="BJ86" s="61">
        <v>1291</v>
      </c>
      <c r="BK86" s="61">
        <v>1280.0310000000002</v>
      </c>
      <c r="BL86" s="61">
        <v>1291</v>
      </c>
      <c r="CH86" s="43" t="s">
        <v>455</v>
      </c>
      <c r="CI86" s="32">
        <v>6.8664376488095238</v>
      </c>
      <c r="CJ86" s="94">
        <v>9.5506845417280015</v>
      </c>
      <c r="CL86" s="43" t="s">
        <v>455</v>
      </c>
      <c r="CM86" s="32">
        <v>317.00646282977812</v>
      </c>
      <c r="CN86" s="32">
        <v>1780.5196328939214</v>
      </c>
      <c r="CO86" s="32">
        <v>0</v>
      </c>
      <c r="DG86"/>
      <c r="DH86"/>
      <c r="DI86"/>
      <c r="DJ86"/>
      <c r="DK86"/>
      <c r="DL86"/>
      <c r="EF86" s="43" t="s">
        <v>455</v>
      </c>
      <c r="EG86" s="32">
        <v>12571</v>
      </c>
      <c r="EH86" s="32">
        <v>12307.815095958767</v>
      </c>
      <c r="EK86" s="43" t="s">
        <v>455</v>
      </c>
      <c r="EL86" s="32">
        <v>9737.4128582494195</v>
      </c>
      <c r="EM86" s="32">
        <v>9615.2476744381711</v>
      </c>
      <c r="EQ86" s="43" t="s">
        <v>455</v>
      </c>
      <c r="ER86" s="61">
        <v>1440</v>
      </c>
      <c r="ES86" s="61">
        <v>0</v>
      </c>
      <c r="ET86" s="61">
        <v>71</v>
      </c>
      <c r="EU86" s="61">
        <v>0</v>
      </c>
      <c r="EW86" s="43" t="s">
        <v>455</v>
      </c>
      <c r="EX86" s="61">
        <v>1440</v>
      </c>
      <c r="EY86" s="61">
        <v>0</v>
      </c>
      <c r="EZ86" s="61">
        <v>71</v>
      </c>
      <c r="FA86" s="61">
        <v>0</v>
      </c>
      <c r="FB86" s="61">
        <v>0</v>
      </c>
      <c r="FD86" s="141" t="str">
        <f t="shared" si="34"/>
        <v>21-mar</v>
      </c>
      <c r="FE86" s="11" t="str">
        <f t="shared" si="35"/>
        <v/>
      </c>
      <c r="FF86" s="11" t="str">
        <f t="shared" si="29"/>
        <v/>
      </c>
      <c r="FG86" s="11" t="str">
        <f t="shared" si="30"/>
        <v/>
      </c>
      <c r="FI86" s="141" t="str">
        <f t="shared" si="20"/>
        <v>21-mar</v>
      </c>
      <c r="FJ86" s="11" t="str">
        <f t="shared" si="31"/>
        <v/>
      </c>
      <c r="FK86" s="11" t="str">
        <f t="shared" si="32"/>
        <v/>
      </c>
      <c r="FL86" s="11" t="str">
        <f t="shared" si="33"/>
        <v/>
      </c>
      <c r="FN86" s="141" t="str">
        <f t="shared" si="36"/>
        <v>21-mar</v>
      </c>
      <c r="FO86" s="11" t="str">
        <f t="shared" si="37"/>
        <v/>
      </c>
      <c r="FP86" s="11" t="str">
        <f t="shared" si="27"/>
        <v/>
      </c>
      <c r="FQ86" s="11" t="str">
        <f t="shared" si="28"/>
        <v/>
      </c>
    </row>
    <row r="87" spans="2:173">
      <c r="B87"/>
      <c r="C87"/>
      <c r="BB87" s="43" t="s">
        <v>456</v>
      </c>
      <c r="BC87" s="61">
        <v>0</v>
      </c>
      <c r="BD87" s="61">
        <v>1272</v>
      </c>
      <c r="BE87" s="61">
        <v>1272</v>
      </c>
      <c r="BF87" s="61">
        <v>1299</v>
      </c>
      <c r="BI87" s="421" t="s">
        <v>456</v>
      </c>
      <c r="BJ87" s="61">
        <v>1319</v>
      </c>
      <c r="BK87" s="61">
        <v>1287.7526</v>
      </c>
      <c r="BL87" s="61">
        <v>1299</v>
      </c>
      <c r="CH87" s="43" t="s">
        <v>456</v>
      </c>
      <c r="CI87" s="32">
        <v>7.5463727678571439</v>
      </c>
      <c r="CJ87" s="94">
        <v>9.6764807571366429</v>
      </c>
      <c r="CL87" s="43" t="s">
        <v>456</v>
      </c>
      <c r="CM87" s="32">
        <v>818.93336231026001</v>
      </c>
      <c r="CN87" s="32">
        <v>1651.0753272384272</v>
      </c>
      <c r="CO87" s="32">
        <v>0</v>
      </c>
      <c r="DG87"/>
      <c r="DH87"/>
      <c r="DI87"/>
      <c r="DJ87"/>
      <c r="DK87"/>
      <c r="DL87"/>
      <c r="EF87" s="43" t="s">
        <v>456</v>
      </c>
      <c r="EG87" s="32">
        <v>12328</v>
      </c>
      <c r="EH87" s="32">
        <v>12379.441088256639</v>
      </c>
      <c r="EK87" s="43" t="s">
        <v>456</v>
      </c>
      <c r="EL87" s="32">
        <v>9346.4746019711893</v>
      </c>
      <c r="EM87" s="32">
        <v>9613.2138178223358</v>
      </c>
      <c r="EQ87" s="43" t="s">
        <v>456</v>
      </c>
      <c r="ER87" s="61">
        <v>1440</v>
      </c>
      <c r="ES87" s="61">
        <v>0</v>
      </c>
      <c r="ET87" s="61">
        <v>71</v>
      </c>
      <c r="EU87" s="61">
        <v>0</v>
      </c>
      <c r="EW87" s="43" t="s">
        <v>456</v>
      </c>
      <c r="EX87" s="61">
        <v>1440</v>
      </c>
      <c r="EY87" s="61">
        <v>0</v>
      </c>
      <c r="EZ87" s="61">
        <v>71</v>
      </c>
      <c r="FA87" s="61">
        <v>0</v>
      </c>
      <c r="FB87" s="61">
        <v>0</v>
      </c>
      <c r="FD87" s="141" t="str">
        <f t="shared" si="34"/>
        <v>22-mar</v>
      </c>
      <c r="FE87" s="11" t="str">
        <f t="shared" si="35"/>
        <v/>
      </c>
      <c r="FF87" s="11" t="str">
        <f t="shared" si="29"/>
        <v/>
      </c>
      <c r="FG87" s="11" t="str">
        <f t="shared" si="30"/>
        <v/>
      </c>
      <c r="FI87" s="141" t="str">
        <f t="shared" si="20"/>
        <v>22-mar</v>
      </c>
      <c r="FJ87" s="11" t="str">
        <f t="shared" si="31"/>
        <v/>
      </c>
      <c r="FK87" s="11" t="str">
        <f t="shared" si="32"/>
        <v/>
      </c>
      <c r="FL87" s="11" t="str">
        <f t="shared" si="33"/>
        <v/>
      </c>
      <c r="FN87" s="141" t="str">
        <f t="shared" si="36"/>
        <v>22-mar</v>
      </c>
      <c r="FO87" s="11" t="str">
        <f t="shared" si="37"/>
        <v/>
      </c>
      <c r="FP87" s="11" t="str">
        <f t="shared" si="27"/>
        <v/>
      </c>
      <c r="FQ87" s="11" t="str">
        <f t="shared" si="28"/>
        <v/>
      </c>
    </row>
    <row r="88" spans="2:173">
      <c r="B88"/>
      <c r="C88"/>
      <c r="BB88" s="43" t="s">
        <v>457</v>
      </c>
      <c r="BC88" s="61">
        <v>0</v>
      </c>
      <c r="BD88" s="61">
        <v>1272</v>
      </c>
      <c r="BE88" s="61">
        <v>1272</v>
      </c>
      <c r="BF88" s="61">
        <v>1319</v>
      </c>
      <c r="BI88" s="421" t="s">
        <v>457</v>
      </c>
      <c r="BJ88" s="61">
        <v>1319</v>
      </c>
      <c r="BK88" s="61">
        <v>1307.5301999999997</v>
      </c>
      <c r="BL88" s="61">
        <v>1319</v>
      </c>
      <c r="CH88" s="43" t="s">
        <v>457</v>
      </c>
      <c r="CI88" s="32">
        <v>7.2149739583333323</v>
      </c>
      <c r="CJ88" s="94">
        <v>8.8332530007255841</v>
      </c>
      <c r="CL88" s="43" t="s">
        <v>457</v>
      </c>
      <c r="CM88" s="32">
        <v>554.76130995211167</v>
      </c>
      <c r="CN88" s="32">
        <v>1600.8826372903795</v>
      </c>
      <c r="CO88" s="32">
        <v>0</v>
      </c>
      <c r="DG88"/>
      <c r="DH88"/>
      <c r="DI88"/>
      <c r="DJ88"/>
      <c r="DK88"/>
      <c r="DL88"/>
      <c r="EF88" s="43" t="s">
        <v>457</v>
      </c>
      <c r="EG88" s="32">
        <v>12568</v>
      </c>
      <c r="EH88" s="32">
        <v>12137.545055329248</v>
      </c>
      <c r="EK88" s="43" t="s">
        <v>457</v>
      </c>
      <c r="EL88" s="32">
        <v>9528.4306292645942</v>
      </c>
      <c r="EM88" s="32">
        <v>9282.8028410580901</v>
      </c>
      <c r="EQ88" s="43" t="s">
        <v>457</v>
      </c>
      <c r="ER88" s="61">
        <v>1440</v>
      </c>
      <c r="ES88" s="61">
        <v>0</v>
      </c>
      <c r="ET88" s="61">
        <v>71</v>
      </c>
      <c r="EU88" s="61">
        <v>0</v>
      </c>
      <c r="EW88" s="43" t="s">
        <v>457</v>
      </c>
      <c r="EX88" s="61">
        <v>1440</v>
      </c>
      <c r="EY88" s="61">
        <v>0</v>
      </c>
      <c r="EZ88" s="61">
        <v>71</v>
      </c>
      <c r="FA88" s="61">
        <v>0</v>
      </c>
      <c r="FB88" s="61">
        <v>0</v>
      </c>
      <c r="FD88" s="141" t="str">
        <f t="shared" si="34"/>
        <v>23-mar</v>
      </c>
      <c r="FE88" s="11" t="str">
        <f t="shared" si="35"/>
        <v/>
      </c>
      <c r="FF88" s="11" t="str">
        <f t="shared" si="29"/>
        <v/>
      </c>
      <c r="FG88" s="11" t="str">
        <f t="shared" si="30"/>
        <v/>
      </c>
      <c r="FI88" s="141" t="str">
        <f t="shared" si="20"/>
        <v>23-mar</v>
      </c>
      <c r="FJ88" s="11" t="str">
        <f t="shared" si="31"/>
        <v/>
      </c>
      <c r="FK88" s="11" t="str">
        <f t="shared" si="32"/>
        <v/>
      </c>
      <c r="FL88" s="11" t="str">
        <f t="shared" si="33"/>
        <v/>
      </c>
      <c r="FN88" s="141" t="str">
        <f t="shared" si="36"/>
        <v>23-mar</v>
      </c>
      <c r="FO88" s="11" t="str">
        <f t="shared" si="37"/>
        <v/>
      </c>
      <c r="FP88" s="11" t="str">
        <f t="shared" si="27"/>
        <v/>
      </c>
      <c r="FQ88" s="11" t="str">
        <f t="shared" si="28"/>
        <v/>
      </c>
    </row>
    <row r="89" spans="2:173">
      <c r="B89"/>
      <c r="C89"/>
      <c r="BB89" s="43" t="s">
        <v>458</v>
      </c>
      <c r="BC89" s="61">
        <v>0</v>
      </c>
      <c r="BD89" s="61">
        <v>1272</v>
      </c>
      <c r="BE89" s="61">
        <v>1272</v>
      </c>
      <c r="BF89" s="61">
        <v>1548</v>
      </c>
      <c r="BI89" s="421" t="s">
        <v>458</v>
      </c>
      <c r="BJ89" s="61">
        <v>1335</v>
      </c>
      <c r="BK89" s="61">
        <v>1323.4137999999998</v>
      </c>
      <c r="BL89" s="61">
        <v>1548</v>
      </c>
      <c r="CH89" s="43" t="s">
        <v>458</v>
      </c>
      <c r="CI89" s="32">
        <v>7.0506061011904748</v>
      </c>
      <c r="CJ89" s="94">
        <v>8.9511869526711934</v>
      </c>
      <c r="CL89" s="43" t="s">
        <v>458</v>
      </c>
      <c r="CM89" s="32">
        <v>343.42366806559295</v>
      </c>
      <c r="CN89" s="32">
        <v>1680.1342529978231</v>
      </c>
      <c r="CO89" s="32">
        <v>0</v>
      </c>
      <c r="DG89"/>
      <c r="DH89"/>
      <c r="DI89"/>
      <c r="DJ89"/>
      <c r="DK89"/>
      <c r="DL89"/>
      <c r="EF89" s="43" t="s">
        <v>458</v>
      </c>
      <c r="EG89" s="32">
        <v>12797</v>
      </c>
      <c r="EH89" s="32">
        <v>12470.873285693855</v>
      </c>
      <c r="EK89" s="43" t="s">
        <v>458</v>
      </c>
      <c r="EL89" s="32">
        <v>9585.7677902621726</v>
      </c>
      <c r="EM89" s="32">
        <v>9423.2607259300585</v>
      </c>
      <c r="EQ89" s="43" t="s">
        <v>458</v>
      </c>
      <c r="ER89" s="61">
        <v>1440</v>
      </c>
      <c r="ES89" s="61">
        <v>0</v>
      </c>
      <c r="ET89" s="61">
        <v>71</v>
      </c>
      <c r="EU89" s="61">
        <v>0</v>
      </c>
      <c r="EW89" s="43" t="s">
        <v>458</v>
      </c>
      <c r="EX89" s="61">
        <v>1440</v>
      </c>
      <c r="EY89" s="61">
        <v>0</v>
      </c>
      <c r="EZ89" s="61">
        <v>71</v>
      </c>
      <c r="FA89" s="61">
        <v>0</v>
      </c>
      <c r="FB89" s="61">
        <v>0</v>
      </c>
      <c r="FD89" s="141" t="str">
        <f t="shared" si="34"/>
        <v>24-mar</v>
      </c>
      <c r="FE89" s="11" t="str">
        <f t="shared" si="35"/>
        <v/>
      </c>
      <c r="FF89" s="11" t="str">
        <f t="shared" si="29"/>
        <v/>
      </c>
      <c r="FG89" s="11" t="str">
        <f t="shared" si="30"/>
        <v/>
      </c>
      <c r="FI89" s="141" t="str">
        <f t="shared" si="20"/>
        <v>24-mar</v>
      </c>
      <c r="FJ89" s="11" t="str">
        <f t="shared" si="31"/>
        <v/>
      </c>
      <c r="FK89" s="11" t="str">
        <f t="shared" si="32"/>
        <v/>
      </c>
      <c r="FL89" s="11" t="str">
        <f t="shared" si="33"/>
        <v/>
      </c>
      <c r="FN89" s="141" t="str">
        <f t="shared" si="36"/>
        <v>24-mar</v>
      </c>
      <c r="FO89" s="11" t="str">
        <f t="shared" si="37"/>
        <v/>
      </c>
      <c r="FP89" s="11" t="str">
        <f t="shared" si="27"/>
        <v/>
      </c>
      <c r="FQ89" s="11" t="str">
        <f t="shared" si="28"/>
        <v/>
      </c>
    </row>
    <row r="90" spans="2:173">
      <c r="B90"/>
      <c r="C90"/>
      <c r="BB90" s="43" t="s">
        <v>459</v>
      </c>
      <c r="BC90" s="61">
        <v>0</v>
      </c>
      <c r="BD90" s="61">
        <v>1272</v>
      </c>
      <c r="BE90" s="61">
        <v>1272</v>
      </c>
      <c r="BF90" s="61">
        <v>1306</v>
      </c>
      <c r="BI90" s="421" t="s">
        <v>459</v>
      </c>
      <c r="BJ90" s="61">
        <v>1306</v>
      </c>
      <c r="BK90" s="61">
        <v>1294.2051000000001</v>
      </c>
      <c r="BL90" s="61">
        <v>1306</v>
      </c>
      <c r="CH90" s="43" t="s">
        <v>459</v>
      </c>
      <c r="CI90" s="32">
        <v>6.9788375</v>
      </c>
      <c r="CJ90" s="94">
        <v>8.3615171929431824</v>
      </c>
      <c r="CL90" s="43" t="s">
        <v>459</v>
      </c>
      <c r="CM90" s="32">
        <v>317.00646282977812</v>
      </c>
      <c r="CN90" s="32">
        <v>1550.6899473423314</v>
      </c>
      <c r="CO90" s="32">
        <v>0</v>
      </c>
      <c r="DG90"/>
      <c r="DH90"/>
      <c r="DI90"/>
      <c r="DJ90"/>
      <c r="DK90"/>
      <c r="DL90"/>
      <c r="EF90" s="43" t="s">
        <v>459</v>
      </c>
      <c r="EG90" s="32">
        <v>12567</v>
      </c>
      <c r="EH90" s="32">
        <v>12654.863432903025</v>
      </c>
      <c r="EK90" s="43" t="s">
        <v>459</v>
      </c>
      <c r="EL90" s="32">
        <v>9622.5114854517615</v>
      </c>
      <c r="EM90" s="32">
        <v>9778.0973300932164</v>
      </c>
      <c r="EQ90" s="43" t="s">
        <v>459</v>
      </c>
      <c r="ER90" s="61">
        <v>1440</v>
      </c>
      <c r="ES90" s="61">
        <v>0</v>
      </c>
      <c r="ET90" s="61">
        <v>71</v>
      </c>
      <c r="EU90" s="61">
        <v>0</v>
      </c>
      <c r="EW90" s="43" t="s">
        <v>459</v>
      </c>
      <c r="EX90" s="61">
        <v>1440</v>
      </c>
      <c r="EY90" s="61">
        <v>0</v>
      </c>
      <c r="EZ90" s="61">
        <v>71</v>
      </c>
      <c r="FA90" s="61">
        <v>0</v>
      </c>
      <c r="FB90" s="61">
        <v>0</v>
      </c>
      <c r="FD90" s="141" t="str">
        <f t="shared" si="34"/>
        <v>25-mar</v>
      </c>
      <c r="FE90" s="11" t="str">
        <f t="shared" si="35"/>
        <v/>
      </c>
      <c r="FF90" s="11" t="str">
        <f t="shared" si="29"/>
        <v/>
      </c>
      <c r="FG90" s="11" t="str">
        <f t="shared" si="30"/>
        <v/>
      </c>
      <c r="FI90" s="141" t="str">
        <f t="shared" si="20"/>
        <v>25-mar</v>
      </c>
      <c r="FJ90" s="11" t="str">
        <f t="shared" si="31"/>
        <v/>
      </c>
      <c r="FK90" s="11" t="str">
        <f t="shared" si="32"/>
        <v/>
      </c>
      <c r="FL90" s="11" t="str">
        <f t="shared" si="33"/>
        <v/>
      </c>
      <c r="FN90" s="141" t="str">
        <f t="shared" si="36"/>
        <v>25-mar</v>
      </c>
      <c r="FO90" s="11" t="str">
        <f t="shared" si="37"/>
        <v/>
      </c>
      <c r="FP90" s="11" t="str">
        <f t="shared" si="27"/>
        <v/>
      </c>
      <c r="FQ90" s="11" t="str">
        <f t="shared" si="28"/>
        <v/>
      </c>
    </row>
    <row r="91" spans="2:173">
      <c r="B91"/>
      <c r="C91"/>
      <c r="BB91" s="43" t="s">
        <v>460</v>
      </c>
      <c r="BC91" s="61">
        <v>0</v>
      </c>
      <c r="BD91" s="61">
        <v>1137</v>
      </c>
      <c r="BE91" s="61">
        <v>1137</v>
      </c>
      <c r="BF91" s="61">
        <v>1162</v>
      </c>
      <c r="BI91" s="421" t="s">
        <v>460</v>
      </c>
      <c r="BJ91" s="61">
        <v>1162</v>
      </c>
      <c r="BK91" s="61">
        <v>1151.9914000000001</v>
      </c>
      <c r="BL91" s="61">
        <v>1162</v>
      </c>
      <c r="CH91" s="43" t="s">
        <v>460</v>
      </c>
      <c r="CI91" s="32">
        <v>6.8517267598343707</v>
      </c>
      <c r="CJ91" s="94">
        <v>7.9237942205769665</v>
      </c>
      <c r="CL91" s="43" t="s">
        <v>460</v>
      </c>
      <c r="CM91" s="32">
        <v>634.01292565955623</v>
      </c>
      <c r="CN91" s="32">
        <v>1331.4271438850687</v>
      </c>
      <c r="CO91" s="32">
        <v>0</v>
      </c>
      <c r="DG91"/>
      <c r="DH91"/>
      <c r="DI91"/>
      <c r="DJ91"/>
      <c r="DK91"/>
      <c r="DL91"/>
      <c r="EF91" s="43" t="s">
        <v>460</v>
      </c>
      <c r="EG91" s="32">
        <v>11090</v>
      </c>
      <c r="EH91" s="32">
        <v>12458.103032646639</v>
      </c>
      <c r="EK91" s="43" t="s">
        <v>460</v>
      </c>
      <c r="EL91" s="32">
        <v>9543.8898450946654</v>
      </c>
      <c r="EM91" s="32">
        <v>10814.406281719323</v>
      </c>
      <c r="EQ91" s="43" t="s">
        <v>460</v>
      </c>
      <c r="ER91" s="61">
        <v>1440</v>
      </c>
      <c r="ES91" s="61">
        <v>0</v>
      </c>
      <c r="ET91" s="61">
        <v>71</v>
      </c>
      <c r="EU91" s="61">
        <v>0</v>
      </c>
      <c r="EW91" s="43" t="s">
        <v>460</v>
      </c>
      <c r="EX91" s="61">
        <v>1440</v>
      </c>
      <c r="EY91" s="61">
        <v>0</v>
      </c>
      <c r="EZ91" s="61">
        <v>71</v>
      </c>
      <c r="FA91" s="61">
        <v>0</v>
      </c>
      <c r="FB91" s="61">
        <v>0</v>
      </c>
      <c r="FD91" s="141" t="str">
        <f t="shared" si="34"/>
        <v>26-mar</v>
      </c>
      <c r="FE91" s="11" t="str">
        <f t="shared" si="35"/>
        <v/>
      </c>
      <c r="FF91" s="11" t="str">
        <f t="shared" si="29"/>
        <v/>
      </c>
      <c r="FG91" s="11" t="str">
        <f t="shared" si="30"/>
        <v/>
      </c>
      <c r="FI91" s="141" t="str">
        <f t="shared" si="20"/>
        <v>26-mar</v>
      </c>
      <c r="FJ91" s="11" t="str">
        <f t="shared" si="31"/>
        <v/>
      </c>
      <c r="FK91" s="11" t="str">
        <f t="shared" si="32"/>
        <v/>
      </c>
      <c r="FL91" s="11" t="str">
        <f t="shared" si="33"/>
        <v/>
      </c>
      <c r="FN91" s="141" t="str">
        <f t="shared" si="36"/>
        <v>26-mar</v>
      </c>
      <c r="FO91" s="11" t="str">
        <f t="shared" si="37"/>
        <v/>
      </c>
      <c r="FP91" s="11" t="str">
        <f t="shared" si="27"/>
        <v/>
      </c>
      <c r="FQ91" s="11" t="str">
        <f t="shared" si="28"/>
        <v/>
      </c>
    </row>
    <row r="92" spans="2:173">
      <c r="B92"/>
      <c r="C92"/>
      <c r="BB92" s="43" t="s">
        <v>461</v>
      </c>
      <c r="BC92" s="61">
        <v>0</v>
      </c>
      <c r="BD92" s="61">
        <v>1272</v>
      </c>
      <c r="BE92" s="61">
        <v>1272</v>
      </c>
      <c r="BF92" s="61">
        <v>1567</v>
      </c>
      <c r="BI92" s="421" t="s">
        <v>461</v>
      </c>
      <c r="BJ92" s="61">
        <v>1354</v>
      </c>
      <c r="BK92" s="61">
        <v>1341.8279000000002</v>
      </c>
      <c r="BL92" s="61">
        <v>1567</v>
      </c>
      <c r="CH92" s="43" t="s">
        <v>461</v>
      </c>
      <c r="CI92" s="32">
        <v>7.2699832589285691</v>
      </c>
      <c r="CJ92" s="94">
        <v>7.9015747803553325</v>
      </c>
      <c r="CL92" s="43" t="s">
        <v>461</v>
      </c>
      <c r="CM92" s="32">
        <v>554.76130995211167</v>
      </c>
      <c r="CN92" s="32">
        <v>1458.2297290169795</v>
      </c>
      <c r="CO92" s="32">
        <v>0</v>
      </c>
      <c r="DG92"/>
      <c r="DH92"/>
      <c r="DI92"/>
      <c r="DJ92"/>
      <c r="DK92"/>
      <c r="DL92"/>
      <c r="EF92" s="43" t="s">
        <v>461</v>
      </c>
      <c r="EG92" s="32">
        <v>12860</v>
      </c>
      <c r="EH92" s="32">
        <v>11017.59738106463</v>
      </c>
      <c r="EK92" s="43" t="s">
        <v>461</v>
      </c>
      <c r="EL92" s="32">
        <v>9497.7843426883301</v>
      </c>
      <c r="EM92" s="32">
        <v>8210.8870899648373</v>
      </c>
      <c r="EQ92" s="43" t="s">
        <v>461</v>
      </c>
      <c r="ER92" s="61">
        <v>1440</v>
      </c>
      <c r="ES92" s="61">
        <v>0</v>
      </c>
      <c r="ET92" s="61">
        <v>71</v>
      </c>
      <c r="EU92" s="61">
        <v>0</v>
      </c>
      <c r="EW92" s="43" t="s">
        <v>461</v>
      </c>
      <c r="EX92" s="61">
        <v>1440</v>
      </c>
      <c r="EY92" s="61">
        <v>0</v>
      </c>
      <c r="EZ92" s="61">
        <v>71</v>
      </c>
      <c r="FA92" s="61">
        <v>0</v>
      </c>
      <c r="FB92" s="61">
        <v>0</v>
      </c>
      <c r="FD92" s="141" t="str">
        <f t="shared" si="34"/>
        <v>27-mar</v>
      </c>
      <c r="FE92" s="11" t="str">
        <f t="shared" si="35"/>
        <v/>
      </c>
      <c r="FF92" s="11" t="str">
        <f t="shared" si="29"/>
        <v/>
      </c>
      <c r="FG92" s="11" t="str">
        <f t="shared" si="30"/>
        <v/>
      </c>
      <c r="FI92" s="141" t="str">
        <f t="shared" si="20"/>
        <v>27-mar</v>
      </c>
      <c r="FJ92" s="11" t="str">
        <f t="shared" si="31"/>
        <v/>
      </c>
      <c r="FK92" s="11" t="str">
        <f t="shared" si="32"/>
        <v/>
      </c>
      <c r="FL92" s="11" t="str">
        <f t="shared" si="33"/>
        <v/>
      </c>
      <c r="FN92" s="141" t="str">
        <f t="shared" si="36"/>
        <v>27-mar</v>
      </c>
      <c r="FO92" s="11" t="str">
        <f t="shared" si="37"/>
        <v/>
      </c>
      <c r="FP92" s="11" t="str">
        <f t="shared" si="27"/>
        <v/>
      </c>
      <c r="FQ92" s="11" t="str">
        <f t="shared" si="28"/>
        <v/>
      </c>
    </row>
    <row r="93" spans="2:173">
      <c r="B93"/>
      <c r="C93"/>
      <c r="BB93" s="43" t="s">
        <v>462</v>
      </c>
      <c r="BC93" s="61">
        <v>0</v>
      </c>
      <c r="BD93" s="61">
        <v>1272</v>
      </c>
      <c r="BE93" s="61">
        <v>1272</v>
      </c>
      <c r="BF93" s="61">
        <v>1716</v>
      </c>
      <c r="BI93" s="421" t="s">
        <v>462</v>
      </c>
      <c r="BJ93" s="61">
        <v>1361</v>
      </c>
      <c r="BK93" s="61">
        <v>1349.3969999999997</v>
      </c>
      <c r="BL93" s="61">
        <v>1716</v>
      </c>
      <c r="CH93" s="43" t="s">
        <v>462</v>
      </c>
      <c r="CI93" s="32">
        <v>7.1893590029761896</v>
      </c>
      <c r="CJ93" s="94">
        <v>9.1634680661732748</v>
      </c>
      <c r="CL93" s="43" t="s">
        <v>462</v>
      </c>
      <c r="CM93" s="32">
        <v>2139.793624101002</v>
      </c>
      <c r="CN93" s="32">
        <v>1719.7600608515463</v>
      </c>
      <c r="CO93" s="32">
        <v>0</v>
      </c>
      <c r="DG93"/>
      <c r="DH93"/>
      <c r="DI93"/>
      <c r="DJ93"/>
      <c r="DK93"/>
      <c r="DL93"/>
      <c r="EF93" s="43" t="s">
        <v>462</v>
      </c>
      <c r="EG93" s="32">
        <v>10574</v>
      </c>
      <c r="EH93" s="32">
        <v>12774.333899427373</v>
      </c>
      <c r="EK93" s="43" t="s">
        <v>462</v>
      </c>
      <c r="EL93" s="32">
        <v>7769.2872887582653</v>
      </c>
      <c r="EM93" s="32">
        <v>9466.6980135774538</v>
      </c>
      <c r="EQ93" s="43" t="s">
        <v>462</v>
      </c>
      <c r="ER93" s="61">
        <v>1440</v>
      </c>
      <c r="ES93" s="61">
        <v>0</v>
      </c>
      <c r="ET93" s="61">
        <v>71</v>
      </c>
      <c r="EU93" s="61">
        <v>0</v>
      </c>
      <c r="EW93" s="43" t="s">
        <v>462</v>
      </c>
      <c r="EX93" s="61">
        <v>1440</v>
      </c>
      <c r="EY93" s="61">
        <v>0</v>
      </c>
      <c r="EZ93" s="61">
        <v>71</v>
      </c>
      <c r="FA93" s="61">
        <v>0</v>
      </c>
      <c r="FB93" s="61">
        <v>0</v>
      </c>
      <c r="FD93" s="141" t="str">
        <f t="shared" si="34"/>
        <v>28-mar</v>
      </c>
      <c r="FE93" s="11" t="str">
        <f t="shared" si="35"/>
        <v/>
      </c>
      <c r="FF93" s="11" t="str">
        <f t="shared" si="29"/>
        <v/>
      </c>
      <c r="FG93" s="11" t="str">
        <f t="shared" si="30"/>
        <v/>
      </c>
      <c r="FI93" s="141" t="str">
        <f t="shared" si="20"/>
        <v>28-mar</v>
      </c>
      <c r="FJ93" s="11" t="str">
        <f t="shared" si="31"/>
        <v/>
      </c>
      <c r="FK93" s="11" t="str">
        <f t="shared" si="32"/>
        <v/>
      </c>
      <c r="FL93" s="11" t="str">
        <f t="shared" si="33"/>
        <v/>
      </c>
      <c r="FN93" s="141" t="str">
        <f t="shared" si="36"/>
        <v>28-mar</v>
      </c>
      <c r="FO93" s="11" t="str">
        <f t="shared" si="37"/>
        <v/>
      </c>
      <c r="FP93" s="11" t="str">
        <f t="shared" si="27"/>
        <v/>
      </c>
      <c r="FQ93" s="11" t="str">
        <f t="shared" si="28"/>
        <v/>
      </c>
    </row>
    <row r="94" spans="2:173">
      <c r="B94"/>
      <c r="C94"/>
      <c r="BB94" s="43" t="s">
        <v>463</v>
      </c>
      <c r="BC94" s="61">
        <v>0</v>
      </c>
      <c r="BD94" s="61">
        <v>1272</v>
      </c>
      <c r="BE94" s="61">
        <v>1272</v>
      </c>
      <c r="BF94" s="61">
        <v>1632</v>
      </c>
      <c r="BI94" s="421" t="s">
        <v>463</v>
      </c>
      <c r="BJ94" s="61">
        <v>1348</v>
      </c>
      <c r="BK94" s="61">
        <v>1336.5957000000001</v>
      </c>
      <c r="BL94" s="61">
        <v>1632</v>
      </c>
      <c r="CH94" s="43" t="s">
        <v>463</v>
      </c>
      <c r="CI94" s="32">
        <v>7.0815331845238099</v>
      </c>
      <c r="CJ94" s="94">
        <v>8.6622487704044655</v>
      </c>
      <c r="CL94" s="43" t="s">
        <v>463</v>
      </c>
      <c r="CM94" s="32">
        <v>396.25807853722262</v>
      </c>
      <c r="CN94" s="32">
        <v>1635.2250040969388</v>
      </c>
      <c r="CO94" s="32">
        <v>0</v>
      </c>
      <c r="DG94"/>
      <c r="DH94"/>
      <c r="DI94"/>
      <c r="DJ94"/>
      <c r="DK94"/>
      <c r="DL94"/>
      <c r="EF94" s="43" t="s">
        <v>463</v>
      </c>
      <c r="EG94" s="32">
        <v>12990</v>
      </c>
      <c r="EH94" s="32">
        <v>12817.569825033504</v>
      </c>
      <c r="EK94" s="43" t="s">
        <v>463</v>
      </c>
      <c r="EL94" s="32">
        <v>9636.4985163204747</v>
      </c>
      <c r="EM94" s="32">
        <v>9589.7134975322042</v>
      </c>
      <c r="EQ94" s="43" t="s">
        <v>463</v>
      </c>
      <c r="ER94" s="61">
        <v>1440</v>
      </c>
      <c r="ES94" s="61">
        <v>0</v>
      </c>
      <c r="ET94" s="61">
        <v>71</v>
      </c>
      <c r="EU94" s="61">
        <v>0</v>
      </c>
      <c r="EW94" s="43" t="s">
        <v>463</v>
      </c>
      <c r="EX94" s="61">
        <v>1440</v>
      </c>
      <c r="EY94" s="61">
        <v>0</v>
      </c>
      <c r="EZ94" s="61">
        <v>71</v>
      </c>
      <c r="FA94" s="61">
        <v>0</v>
      </c>
      <c r="FB94" s="61">
        <v>0</v>
      </c>
      <c r="FD94" s="141" t="str">
        <f t="shared" si="34"/>
        <v>29-mar</v>
      </c>
      <c r="FE94" s="11" t="str">
        <f t="shared" si="35"/>
        <v/>
      </c>
      <c r="FF94" s="11" t="str">
        <f t="shared" si="29"/>
        <v/>
      </c>
      <c r="FG94" s="11" t="str">
        <f t="shared" si="30"/>
        <v/>
      </c>
      <c r="FI94" s="141" t="str">
        <f t="shared" si="20"/>
        <v>29-mar</v>
      </c>
      <c r="FJ94" s="11" t="str">
        <f t="shared" si="31"/>
        <v/>
      </c>
      <c r="FK94" s="11" t="str">
        <f t="shared" si="32"/>
        <v/>
      </c>
      <c r="FL94" s="11" t="str">
        <f t="shared" si="33"/>
        <v/>
      </c>
      <c r="FN94" s="141" t="str">
        <f t="shared" si="36"/>
        <v>29-mar</v>
      </c>
      <c r="FO94" s="11" t="str">
        <f t="shared" si="37"/>
        <v/>
      </c>
      <c r="FP94" s="11" t="str">
        <f t="shared" si="27"/>
        <v/>
      </c>
      <c r="FQ94" s="11" t="str">
        <f t="shared" si="28"/>
        <v/>
      </c>
    </row>
    <row r="95" spans="2:173">
      <c r="B95"/>
      <c r="C95"/>
      <c r="BB95" s="43" t="s">
        <v>464</v>
      </c>
      <c r="BC95" s="61">
        <v>0</v>
      </c>
      <c r="BD95" s="61">
        <v>1272</v>
      </c>
      <c r="BE95" s="61">
        <v>1272</v>
      </c>
      <c r="BF95" s="61">
        <v>1720</v>
      </c>
      <c r="BI95" s="421" t="s">
        <v>464</v>
      </c>
      <c r="BJ95" s="61">
        <v>1365</v>
      </c>
      <c r="BK95" s="61">
        <v>1352.5559999999998</v>
      </c>
      <c r="BL95" s="61">
        <v>1720</v>
      </c>
      <c r="CH95" s="43" t="s">
        <v>464</v>
      </c>
      <c r="CI95" s="32">
        <v>7.1636046874999986</v>
      </c>
      <c r="CJ95" s="94">
        <v>8.6740421655990279</v>
      </c>
      <c r="CL95" s="43" t="s">
        <v>464</v>
      </c>
      <c r="CM95" s="32">
        <v>766.09895183863057</v>
      </c>
      <c r="CN95" s="32">
        <v>1637.8667246205202</v>
      </c>
      <c r="CO95" s="32">
        <v>0</v>
      </c>
      <c r="DG95"/>
      <c r="DH95"/>
      <c r="DI95"/>
      <c r="DJ95"/>
      <c r="DK95"/>
      <c r="DL95"/>
      <c r="EF95" s="43" t="s">
        <v>464</v>
      </c>
      <c r="EG95" s="32">
        <v>13104</v>
      </c>
      <c r="EH95" s="32">
        <v>12922.053713601619</v>
      </c>
      <c r="EK95" s="43" t="s">
        <v>464</v>
      </c>
      <c r="EL95" s="32">
        <v>9600</v>
      </c>
      <c r="EM95" s="32">
        <v>9553.8031058245433</v>
      </c>
      <c r="EQ95" s="43" t="s">
        <v>464</v>
      </c>
      <c r="ER95" s="61">
        <v>1440</v>
      </c>
      <c r="ES95" s="61">
        <v>0</v>
      </c>
      <c r="ET95" s="61">
        <v>71</v>
      </c>
      <c r="EU95" s="61">
        <v>0</v>
      </c>
      <c r="EW95" s="43" t="s">
        <v>464</v>
      </c>
      <c r="EX95" s="61">
        <v>1440</v>
      </c>
      <c r="EY95" s="61">
        <v>0</v>
      </c>
      <c r="EZ95" s="61">
        <v>71</v>
      </c>
      <c r="FA95" s="61">
        <v>0</v>
      </c>
      <c r="FB95" s="61">
        <v>0</v>
      </c>
      <c r="FD95" s="141" t="str">
        <f t="shared" si="34"/>
        <v>30-mar</v>
      </c>
      <c r="FE95" s="11" t="str">
        <f t="shared" si="35"/>
        <v/>
      </c>
      <c r="FF95" s="11" t="str">
        <f t="shared" si="29"/>
        <v/>
      </c>
      <c r="FG95" s="11" t="str">
        <f t="shared" si="30"/>
        <v/>
      </c>
      <c r="FI95" s="141" t="str">
        <f t="shared" si="20"/>
        <v>30-mar</v>
      </c>
      <c r="FJ95" s="11" t="str">
        <f t="shared" si="31"/>
        <v/>
      </c>
      <c r="FK95" s="11" t="str">
        <f t="shared" si="32"/>
        <v/>
      </c>
      <c r="FL95" s="11" t="str">
        <f t="shared" si="33"/>
        <v/>
      </c>
      <c r="FN95" s="141" t="str">
        <f t="shared" si="36"/>
        <v>30-mar</v>
      </c>
      <c r="FO95" s="11" t="str">
        <f t="shared" si="37"/>
        <v/>
      </c>
      <c r="FP95" s="11" t="str">
        <f t="shared" si="27"/>
        <v/>
      </c>
      <c r="FQ95" s="11" t="str">
        <f t="shared" si="28"/>
        <v/>
      </c>
    </row>
    <row r="96" spans="2:173">
      <c r="B96"/>
      <c r="C96"/>
      <c r="BB96" s="43" t="s">
        <v>465</v>
      </c>
      <c r="BC96" s="61">
        <v>0</v>
      </c>
      <c r="BD96" s="61">
        <v>1272</v>
      </c>
      <c r="BE96" s="61">
        <v>1272</v>
      </c>
      <c r="BF96" s="61">
        <v>1402</v>
      </c>
      <c r="BI96" s="421" t="s">
        <v>465</v>
      </c>
      <c r="BJ96" s="61">
        <v>1331</v>
      </c>
      <c r="BK96" s="61">
        <v>1318.7128</v>
      </c>
      <c r="BL96" s="61">
        <v>1402</v>
      </c>
      <c r="CH96" s="43" t="s">
        <v>465</v>
      </c>
      <c r="CI96" s="32">
        <v>7.0287296875000003</v>
      </c>
      <c r="CJ96" s="94">
        <v>9.0101539286439891</v>
      </c>
      <c r="CL96" s="43" t="s">
        <v>465</v>
      </c>
      <c r="CM96" s="32">
        <v>1241.6086460832973</v>
      </c>
      <c r="CN96" s="32">
        <v>1690.7011350921493</v>
      </c>
      <c r="CO96" s="32">
        <v>0</v>
      </c>
      <c r="DG96"/>
      <c r="DH96"/>
      <c r="DI96"/>
      <c r="DJ96"/>
      <c r="DK96"/>
      <c r="DL96"/>
      <c r="EF96" s="43" t="s">
        <v>465</v>
      </c>
      <c r="EG96" s="32">
        <v>12773</v>
      </c>
      <c r="EH96" s="32">
        <v>12568.989637618592</v>
      </c>
      <c r="EK96" s="43" t="s">
        <v>465</v>
      </c>
      <c r="EL96" s="32">
        <v>9596.5439519158535</v>
      </c>
      <c r="EM96" s="32">
        <v>9531.2562656695154</v>
      </c>
      <c r="EQ96" s="43" t="s">
        <v>465</v>
      </c>
      <c r="ER96" s="61">
        <v>1440</v>
      </c>
      <c r="ES96" s="61">
        <v>0</v>
      </c>
      <c r="ET96" s="61">
        <v>71</v>
      </c>
      <c r="EU96" s="61">
        <v>0</v>
      </c>
      <c r="EW96" s="43" t="s">
        <v>465</v>
      </c>
      <c r="EX96" s="61">
        <v>1440</v>
      </c>
      <c r="EY96" s="61">
        <v>0</v>
      </c>
      <c r="EZ96" s="61">
        <v>71</v>
      </c>
      <c r="FA96" s="61">
        <v>0</v>
      </c>
      <c r="FB96" s="61">
        <v>0</v>
      </c>
      <c r="FD96" s="141" t="str">
        <f t="shared" si="34"/>
        <v>31-mar</v>
      </c>
      <c r="FE96" s="11" t="str">
        <f t="shared" si="35"/>
        <v/>
      </c>
      <c r="FF96" s="11" t="str">
        <f t="shared" si="29"/>
        <v/>
      </c>
      <c r="FG96" s="11" t="str">
        <f t="shared" si="30"/>
        <v/>
      </c>
      <c r="FI96" s="141" t="str">
        <f t="shared" si="20"/>
        <v>31-mar</v>
      </c>
      <c r="FJ96" s="11" t="str">
        <f t="shared" si="31"/>
        <v/>
      </c>
      <c r="FK96" s="11" t="str">
        <f t="shared" si="32"/>
        <v/>
      </c>
      <c r="FL96" s="11" t="str">
        <f t="shared" si="33"/>
        <v/>
      </c>
      <c r="FN96" s="141" t="str">
        <f t="shared" si="36"/>
        <v>31-mar</v>
      </c>
      <c r="FO96" s="11" t="str">
        <f t="shared" si="37"/>
        <v/>
      </c>
      <c r="FP96" s="11" t="str">
        <f t="shared" si="27"/>
        <v/>
      </c>
      <c r="FQ96" s="11" t="str">
        <f t="shared" si="28"/>
        <v/>
      </c>
    </row>
    <row r="97" spans="1:173">
      <c r="B97"/>
      <c r="C97"/>
      <c r="BC97"/>
      <c r="BD97"/>
      <c r="BE97"/>
      <c r="BF97"/>
      <c r="BJ97"/>
      <c r="BK97"/>
      <c r="BL97"/>
      <c r="CI97"/>
      <c r="CJ97"/>
      <c r="CM97"/>
      <c r="CN97"/>
      <c r="CO97"/>
      <c r="DG97"/>
      <c r="DH97"/>
      <c r="DI97"/>
      <c r="DJ97"/>
      <c r="DK97"/>
      <c r="DL97"/>
      <c r="EG97"/>
      <c r="EH97"/>
      <c r="EW97" s="37" t="s">
        <v>249</v>
      </c>
      <c r="EX97" s="61"/>
      <c r="EY97" s="61"/>
      <c r="EZ97" s="61"/>
      <c r="FA97" s="61"/>
      <c r="FB97" s="61"/>
      <c r="FD97" s="141" t="str">
        <f t="shared" si="34"/>
        <v>abr</v>
      </c>
      <c r="FE97" s="11" t="str">
        <f t="shared" si="35"/>
        <v/>
      </c>
      <c r="FF97" s="11" t="str">
        <f t="shared" si="29"/>
        <v/>
      </c>
      <c r="FG97" s="11" t="str">
        <f t="shared" si="30"/>
        <v/>
      </c>
      <c r="FI97" s="141" t="str">
        <f t="shared" si="20"/>
        <v>abr</v>
      </c>
      <c r="FJ97" s="11" t="str">
        <f t="shared" si="31"/>
        <v/>
      </c>
      <c r="FK97" s="11" t="str">
        <f t="shared" si="32"/>
        <v/>
      </c>
      <c r="FL97" s="11" t="str">
        <f t="shared" si="33"/>
        <v/>
      </c>
      <c r="FN97" s="141" t="str">
        <f t="shared" si="36"/>
        <v>abr</v>
      </c>
      <c r="FO97" s="11" t="str">
        <f t="shared" si="37"/>
        <v/>
      </c>
      <c r="FP97" s="11" t="str">
        <f t="shared" si="27"/>
        <v/>
      </c>
      <c r="FQ97" s="11" t="str">
        <f t="shared" si="28"/>
        <v/>
      </c>
    </row>
    <row r="98" spans="1:173">
      <c r="B98"/>
      <c r="C98"/>
      <c r="BC98"/>
      <c r="BD98"/>
      <c r="BE98"/>
      <c r="BF98"/>
      <c r="BJ98"/>
      <c r="BK98"/>
      <c r="BL98"/>
      <c r="CI98"/>
      <c r="CJ98"/>
      <c r="CM98"/>
      <c r="CN98"/>
      <c r="CO98"/>
      <c r="DG98"/>
      <c r="DH98"/>
      <c r="DI98"/>
      <c r="DJ98"/>
      <c r="DK98"/>
      <c r="DL98"/>
      <c r="EG98"/>
      <c r="EH98"/>
      <c r="EW98" s="43" t="s">
        <v>466</v>
      </c>
      <c r="EX98" s="61">
        <v>1440</v>
      </c>
      <c r="EY98" s="61">
        <v>0</v>
      </c>
      <c r="EZ98" s="61">
        <v>71</v>
      </c>
      <c r="FA98" s="61">
        <v>0</v>
      </c>
      <c r="FB98" s="61">
        <v>0</v>
      </c>
      <c r="FD98" s="141" t="str">
        <f t="shared" si="34"/>
        <v>1-abr</v>
      </c>
      <c r="FE98" s="11" t="str">
        <f t="shared" si="35"/>
        <v/>
      </c>
      <c r="FF98" s="11" t="str">
        <f t="shared" si="29"/>
        <v/>
      </c>
      <c r="FG98" s="11" t="str">
        <f t="shared" si="30"/>
        <v/>
      </c>
      <c r="FI98" s="141" t="str">
        <f t="shared" si="20"/>
        <v>1-abr</v>
      </c>
      <c r="FJ98" s="11" t="str">
        <f t="shared" si="31"/>
        <v/>
      </c>
      <c r="FK98" s="11" t="str">
        <f t="shared" si="32"/>
        <v/>
      </c>
      <c r="FL98" s="11" t="str">
        <f t="shared" si="33"/>
        <v/>
      </c>
      <c r="FN98" s="141" t="str">
        <f t="shared" si="36"/>
        <v>1-abr</v>
      </c>
      <c r="FO98" s="11" t="str">
        <f t="shared" si="37"/>
        <v/>
      </c>
      <c r="FP98" s="11" t="str">
        <f t="shared" si="27"/>
        <v/>
      </c>
      <c r="FQ98" s="11" t="str">
        <f t="shared" si="28"/>
        <v/>
      </c>
    </row>
    <row r="99" spans="1:173">
      <c r="B99"/>
      <c r="C99"/>
      <c r="BC99"/>
      <c r="BD99"/>
      <c r="BE99"/>
      <c r="BF99"/>
      <c r="BJ99"/>
      <c r="BK99"/>
      <c r="BL99"/>
      <c r="CI99"/>
      <c r="CJ99"/>
      <c r="CM99"/>
      <c r="CN99"/>
      <c r="CO99"/>
      <c r="DG99"/>
      <c r="DH99"/>
      <c r="DI99"/>
      <c r="DJ99"/>
      <c r="DK99"/>
      <c r="DL99"/>
      <c r="EG99"/>
      <c r="EH99"/>
      <c r="EW99" s="43" t="s">
        <v>467</v>
      </c>
      <c r="EX99" s="61">
        <v>1440</v>
      </c>
      <c r="EY99" s="61">
        <v>0</v>
      </c>
      <c r="EZ99" s="61">
        <v>71</v>
      </c>
      <c r="FA99" s="61">
        <v>0</v>
      </c>
      <c r="FB99" s="61">
        <v>0</v>
      </c>
      <c r="FD99" s="141" t="str">
        <f t="shared" si="34"/>
        <v>2-abr</v>
      </c>
      <c r="FE99" s="11" t="str">
        <f t="shared" si="35"/>
        <v/>
      </c>
      <c r="FF99" s="11" t="str">
        <f t="shared" si="29"/>
        <v/>
      </c>
      <c r="FG99" s="11" t="str">
        <f t="shared" si="30"/>
        <v/>
      </c>
      <c r="FI99" s="141" t="str">
        <f t="shared" si="20"/>
        <v>2-abr</v>
      </c>
      <c r="FJ99" s="11" t="str">
        <f t="shared" si="31"/>
        <v/>
      </c>
      <c r="FK99" s="11" t="str">
        <f t="shared" si="32"/>
        <v/>
      </c>
      <c r="FL99" s="11" t="str">
        <f t="shared" si="33"/>
        <v/>
      </c>
      <c r="FN99" s="141" t="str">
        <f t="shared" si="36"/>
        <v>2-abr</v>
      </c>
      <c r="FO99" s="11" t="str">
        <f t="shared" si="37"/>
        <v/>
      </c>
      <c r="FP99" s="11" t="str">
        <f t="shared" si="27"/>
        <v/>
      </c>
      <c r="FQ99" s="11" t="str">
        <f t="shared" si="28"/>
        <v/>
      </c>
    </row>
    <row r="100" spans="1:173">
      <c r="A100" s="36" t="s">
        <v>84</v>
      </c>
      <c r="B100"/>
      <c r="C100"/>
      <c r="D100" s="226" t="s">
        <v>468</v>
      </c>
      <c r="BC100"/>
      <c r="BD100"/>
      <c r="BE100"/>
      <c r="BF100"/>
      <c r="BJ100"/>
      <c r="BK100"/>
      <c r="BL100"/>
      <c r="CI100"/>
      <c r="CJ100"/>
      <c r="CM100"/>
      <c r="CN100"/>
      <c r="CO100"/>
      <c r="DG100"/>
      <c r="DH100"/>
      <c r="DI100"/>
      <c r="DJ100"/>
      <c r="DK100"/>
      <c r="DL100"/>
      <c r="EG100"/>
      <c r="EH100"/>
      <c r="EW100" s="43" t="s">
        <v>469</v>
      </c>
      <c r="EX100" s="61">
        <v>1440</v>
      </c>
      <c r="EY100" s="61">
        <v>0</v>
      </c>
      <c r="EZ100" s="61">
        <v>71</v>
      </c>
      <c r="FA100" s="61">
        <v>0</v>
      </c>
      <c r="FB100" s="61">
        <v>0</v>
      </c>
      <c r="FD100" s="141" t="str">
        <f t="shared" si="34"/>
        <v>3-abr</v>
      </c>
      <c r="FE100" s="11" t="str">
        <f t="shared" si="35"/>
        <v/>
      </c>
      <c r="FF100" s="11" t="str">
        <f t="shared" si="29"/>
        <v/>
      </c>
      <c r="FG100" s="11" t="str">
        <f t="shared" si="30"/>
        <v/>
      </c>
      <c r="FI100" s="141" t="str">
        <f t="shared" si="20"/>
        <v>3-abr</v>
      </c>
      <c r="FJ100" s="11" t="str">
        <f t="shared" si="31"/>
        <v/>
      </c>
      <c r="FK100" s="11" t="str">
        <f t="shared" si="32"/>
        <v/>
      </c>
      <c r="FL100" s="11" t="str">
        <f t="shared" si="33"/>
        <v/>
      </c>
      <c r="FN100" s="141" t="str">
        <f t="shared" si="36"/>
        <v>3-abr</v>
      </c>
      <c r="FO100" s="11" t="str">
        <f t="shared" si="37"/>
        <v/>
      </c>
      <c r="FP100" s="11" t="str">
        <f t="shared" si="27"/>
        <v/>
      </c>
      <c r="FQ100" s="11" t="str">
        <f t="shared" si="28"/>
        <v/>
      </c>
    </row>
    <row r="101" spans="1:173">
      <c r="A101" s="37" t="s">
        <v>246</v>
      </c>
      <c r="B101"/>
      <c r="C101"/>
      <c r="D101" s="227" t="e">
        <f>GETPIVOTDATA("Re. Gas GC (m3)",$A$100,"Meses",1)/GETPIVOTDATA("G. HGS Gas (kWh)",$A$100,"Meses",1)</f>
        <v>#REF!</v>
      </c>
      <c r="BC101"/>
      <c r="BD101"/>
      <c r="BE101"/>
      <c r="BF101"/>
      <c r="BJ101"/>
      <c r="BK101"/>
      <c r="BL101"/>
      <c r="CI101"/>
      <c r="CJ101"/>
      <c r="CM101"/>
      <c r="CN101"/>
      <c r="CO101"/>
      <c r="DG101"/>
      <c r="DH101"/>
      <c r="DI101"/>
      <c r="DJ101"/>
      <c r="DK101"/>
      <c r="DL101"/>
      <c r="EG101"/>
      <c r="EH101"/>
      <c r="EW101" s="43" t="s">
        <v>470</v>
      </c>
      <c r="EX101" s="61">
        <v>1440</v>
      </c>
      <c r="EY101" s="61">
        <v>0</v>
      </c>
      <c r="EZ101" s="61">
        <v>71</v>
      </c>
      <c r="FA101" s="61">
        <v>0</v>
      </c>
      <c r="FB101" s="61">
        <v>0</v>
      </c>
      <c r="FD101" s="141" t="str">
        <f t="shared" si="34"/>
        <v>4-abr</v>
      </c>
      <c r="FE101" s="11" t="str">
        <f t="shared" si="35"/>
        <v/>
      </c>
      <c r="FF101" s="11" t="str">
        <f t="shared" si="29"/>
        <v/>
      </c>
      <c r="FG101" s="11" t="str">
        <f t="shared" si="30"/>
        <v/>
      </c>
      <c r="FI101" s="141" t="str">
        <f t="shared" si="20"/>
        <v>4-abr</v>
      </c>
      <c r="FJ101" s="11" t="str">
        <f t="shared" si="31"/>
        <v/>
      </c>
      <c r="FK101" s="11" t="str">
        <f t="shared" si="32"/>
        <v/>
      </c>
      <c r="FL101" s="11" t="str">
        <f t="shared" si="33"/>
        <v/>
      </c>
      <c r="FN101" s="141" t="str">
        <f t="shared" si="36"/>
        <v>4-abr</v>
      </c>
      <c r="FO101" s="11" t="str">
        <f t="shared" si="37"/>
        <v/>
      </c>
      <c r="FP101" s="11" t="str">
        <f t="shared" si="27"/>
        <v/>
      </c>
      <c r="FQ101" s="11" t="str">
        <f t="shared" si="28"/>
        <v/>
      </c>
    </row>
    <row r="102" spans="1:173">
      <c r="A102" s="37" t="s">
        <v>247</v>
      </c>
      <c r="B102"/>
      <c r="C102"/>
      <c r="D102" s="227" t="e">
        <f>GETPIVOTDATA("Re. Gas GC (m3)",$A$100,"Meses",2)/GETPIVOTDATA("G. HGS Gas (kWh)",$A$100,"Meses",2)</f>
        <v>#REF!</v>
      </c>
      <c r="BC102"/>
      <c r="BD102"/>
      <c r="BE102"/>
      <c r="BF102"/>
      <c r="BJ102"/>
      <c r="BK102"/>
      <c r="BL102"/>
      <c r="CI102"/>
      <c r="CJ102"/>
      <c r="CM102"/>
      <c r="CN102"/>
      <c r="CO102"/>
      <c r="DG102"/>
      <c r="DH102"/>
      <c r="DI102"/>
      <c r="DJ102"/>
      <c r="DK102"/>
      <c r="DL102"/>
      <c r="EG102"/>
      <c r="EH102"/>
      <c r="EW102" s="43" t="s">
        <v>471</v>
      </c>
      <c r="EX102" s="61">
        <v>1440</v>
      </c>
      <c r="EY102" s="61">
        <v>0</v>
      </c>
      <c r="EZ102" s="61">
        <v>71</v>
      </c>
      <c r="FA102" s="61">
        <v>0</v>
      </c>
      <c r="FB102" s="61">
        <v>0</v>
      </c>
      <c r="FD102" s="141" t="str">
        <f t="shared" si="34"/>
        <v>5-abr</v>
      </c>
      <c r="FE102" s="11" t="str">
        <f t="shared" si="35"/>
        <v/>
      </c>
      <c r="FF102" s="11" t="str">
        <f t="shared" si="29"/>
        <v/>
      </c>
      <c r="FG102" s="11" t="str">
        <f t="shared" si="30"/>
        <v/>
      </c>
      <c r="FI102" s="141" t="str">
        <f t="shared" si="20"/>
        <v>5-abr</v>
      </c>
      <c r="FJ102" s="11" t="str">
        <f t="shared" si="31"/>
        <v/>
      </c>
      <c r="FK102" s="11" t="str">
        <f t="shared" si="32"/>
        <v/>
      </c>
      <c r="FL102" s="11" t="str">
        <f t="shared" si="33"/>
        <v/>
      </c>
      <c r="FN102" s="141" t="str">
        <f t="shared" si="36"/>
        <v>5-abr</v>
      </c>
      <c r="FO102" s="11" t="str">
        <f t="shared" si="37"/>
        <v/>
      </c>
      <c r="FP102" s="11" t="str">
        <f t="shared" si="27"/>
        <v/>
      </c>
      <c r="FQ102" s="11" t="str">
        <f t="shared" si="28"/>
        <v/>
      </c>
    </row>
    <row r="103" spans="1:173">
      <c r="A103" s="37" t="s">
        <v>248</v>
      </c>
      <c r="B103"/>
      <c r="C103"/>
      <c r="D103" s="227" t="e">
        <f>GETPIVOTDATA("Re. Gas GC (m3)",$A$100,"Meses",3)/GETPIVOTDATA("G. HGS Gas (kWh)",$A$100,"Meses",3)</f>
        <v>#REF!</v>
      </c>
      <c r="BC103"/>
      <c r="BD103"/>
      <c r="BE103"/>
      <c r="BF103"/>
      <c r="BJ103"/>
      <c r="BK103"/>
      <c r="BL103"/>
      <c r="CI103"/>
      <c r="CJ103"/>
      <c r="CM103"/>
      <c r="CN103"/>
      <c r="CO103"/>
      <c r="DG103"/>
      <c r="DH103"/>
      <c r="DI103"/>
      <c r="DJ103"/>
      <c r="DK103"/>
      <c r="DL103"/>
      <c r="EG103"/>
      <c r="EH103"/>
      <c r="EW103" s="43" t="s">
        <v>472</v>
      </c>
      <c r="EX103" s="61">
        <v>1440</v>
      </c>
      <c r="EY103" s="61">
        <v>0</v>
      </c>
      <c r="EZ103" s="61">
        <v>71</v>
      </c>
      <c r="FA103" s="61">
        <v>0</v>
      </c>
      <c r="FB103" s="61">
        <v>0</v>
      </c>
      <c r="FD103" s="141" t="str">
        <f t="shared" si="34"/>
        <v>6-abr</v>
      </c>
      <c r="FE103" s="11" t="str">
        <f t="shared" si="35"/>
        <v/>
      </c>
      <c r="FF103" s="11" t="str">
        <f t="shared" si="29"/>
        <v/>
      </c>
      <c r="FG103" s="11" t="str">
        <f t="shared" si="30"/>
        <v/>
      </c>
      <c r="FI103" s="141" t="str">
        <f t="shared" si="20"/>
        <v>6-abr</v>
      </c>
      <c r="FJ103" s="11" t="str">
        <f t="shared" si="31"/>
        <v/>
      </c>
      <c r="FK103" s="11" t="str">
        <f t="shared" si="32"/>
        <v/>
      </c>
      <c r="FL103" s="11" t="str">
        <f t="shared" si="33"/>
        <v/>
      </c>
      <c r="FN103" s="141" t="str">
        <f t="shared" si="36"/>
        <v>6-abr</v>
      </c>
      <c r="FO103" s="11" t="str">
        <f t="shared" si="37"/>
        <v/>
      </c>
      <c r="FP103" s="11" t="str">
        <f t="shared" si="27"/>
        <v/>
      </c>
      <c r="FQ103" s="11" t="str">
        <f t="shared" si="28"/>
        <v/>
      </c>
    </row>
    <row r="104" spans="1:173">
      <c r="A104" s="37" t="s">
        <v>249</v>
      </c>
      <c r="B104"/>
      <c r="C104"/>
      <c r="D104" s="227" t="e">
        <f>GETPIVOTDATA("Re. Gas GC (m3)",$A$100,"Meses",4)/GETPIVOTDATA("G. HGS Gas (kWh)",$A$100,"Meses",4)</f>
        <v>#REF!</v>
      </c>
      <c r="BC104"/>
      <c r="BD104"/>
      <c r="BE104"/>
      <c r="BF104"/>
      <c r="BJ104"/>
      <c r="BK104"/>
      <c r="BL104"/>
      <c r="CI104"/>
      <c r="CJ104"/>
      <c r="CM104"/>
      <c r="CN104"/>
      <c r="CO104"/>
      <c r="DG104"/>
      <c r="DH104"/>
      <c r="DI104"/>
      <c r="DJ104"/>
      <c r="DK104"/>
      <c r="DL104"/>
      <c r="EG104"/>
      <c r="EH104"/>
      <c r="EW104" s="43" t="s">
        <v>473</v>
      </c>
      <c r="EX104" s="61">
        <v>1440</v>
      </c>
      <c r="EY104" s="61">
        <v>0</v>
      </c>
      <c r="EZ104" s="61">
        <v>71</v>
      </c>
      <c r="FA104" s="61">
        <v>0</v>
      </c>
      <c r="FB104" s="61">
        <v>0</v>
      </c>
      <c r="FD104" s="141" t="str">
        <f t="shared" si="34"/>
        <v>7-abr</v>
      </c>
      <c r="FE104" s="11" t="str">
        <f t="shared" si="35"/>
        <v/>
      </c>
      <c r="FF104" s="11" t="str">
        <f t="shared" si="29"/>
        <v/>
      </c>
      <c r="FG104" s="11" t="str">
        <f t="shared" si="30"/>
        <v/>
      </c>
      <c r="FI104" s="141" t="str">
        <f t="shared" si="20"/>
        <v>7-abr</v>
      </c>
      <c r="FJ104" s="11" t="str">
        <f t="shared" si="31"/>
        <v/>
      </c>
      <c r="FK104" s="11" t="str">
        <f t="shared" si="32"/>
        <v/>
      </c>
      <c r="FL104" s="11" t="str">
        <f t="shared" si="33"/>
        <v/>
      </c>
      <c r="FN104" s="141" t="str">
        <f t="shared" si="36"/>
        <v>7-abr</v>
      </c>
      <c r="FO104" s="11" t="str">
        <f t="shared" si="37"/>
        <v/>
      </c>
      <c r="FP104" s="11" t="str">
        <f t="shared" si="27"/>
        <v/>
      </c>
      <c r="FQ104" s="11" t="str">
        <f t="shared" si="28"/>
        <v/>
      </c>
    </row>
    <row r="105" spans="1:173">
      <c r="A105" s="37" t="s">
        <v>250</v>
      </c>
      <c r="B105"/>
      <c r="C105"/>
      <c r="D105" s="227" t="e">
        <f>GETPIVOTDATA("Re. Gas GC (m3)",$A$100,"Meses",5)/GETPIVOTDATA("G. HGS Gas (kWh)",$A$100,"Meses",5)</f>
        <v>#REF!</v>
      </c>
      <c r="BC105"/>
      <c r="BD105"/>
      <c r="BE105"/>
      <c r="BF105"/>
      <c r="BJ105"/>
      <c r="BK105"/>
      <c r="BL105"/>
      <c r="CI105"/>
      <c r="CJ105"/>
      <c r="CM105"/>
      <c r="CN105"/>
      <c r="CO105"/>
      <c r="DG105"/>
      <c r="DH105"/>
      <c r="DI105"/>
      <c r="DJ105"/>
      <c r="DK105"/>
      <c r="DL105"/>
      <c r="EG105"/>
      <c r="EH105"/>
      <c r="EW105" s="43" t="s">
        <v>474</v>
      </c>
      <c r="EX105" s="61">
        <v>1440</v>
      </c>
      <c r="EY105" s="61">
        <v>0</v>
      </c>
      <c r="EZ105" s="61">
        <v>71</v>
      </c>
      <c r="FA105" s="61">
        <v>0</v>
      </c>
      <c r="FB105" s="61">
        <v>0</v>
      </c>
      <c r="FD105" s="141" t="str">
        <f t="shared" si="34"/>
        <v>8-abr</v>
      </c>
      <c r="FE105" s="11" t="str">
        <f t="shared" si="35"/>
        <v/>
      </c>
      <c r="FF105" s="11" t="str">
        <f t="shared" si="29"/>
        <v/>
      </c>
      <c r="FG105" s="11" t="str">
        <f t="shared" si="30"/>
        <v/>
      </c>
      <c r="FI105" s="141" t="str">
        <f t="shared" ref="FI105:FI168" si="38">EW105</f>
        <v>8-abr</v>
      </c>
      <c r="FJ105" s="11" t="str">
        <f t="shared" si="31"/>
        <v/>
      </c>
      <c r="FK105" s="11" t="str">
        <f t="shared" si="32"/>
        <v/>
      </c>
      <c r="FL105" s="11" t="str">
        <f t="shared" si="33"/>
        <v/>
      </c>
      <c r="FN105" s="141" t="str">
        <f t="shared" si="36"/>
        <v>8-abr</v>
      </c>
      <c r="FO105" s="11" t="str">
        <f t="shared" si="37"/>
        <v/>
      </c>
      <c r="FP105" s="11" t="str">
        <f t="shared" si="27"/>
        <v/>
      </c>
      <c r="FQ105" s="11" t="str">
        <f t="shared" si="28"/>
        <v/>
      </c>
    </row>
    <row r="106" spans="1:173">
      <c r="A106" s="37" t="s">
        <v>251</v>
      </c>
      <c r="B106"/>
      <c r="C106"/>
      <c r="D106" s="227" t="e">
        <f>GETPIVOTDATA("Re. Gas GC (m3)",$A$100,"Meses",6)/GETPIVOTDATA("G. HGS Gas (kWh)",$A$100,"Meses",6)</f>
        <v>#REF!</v>
      </c>
      <c r="BC106"/>
      <c r="BD106"/>
      <c r="BE106"/>
      <c r="BF106"/>
      <c r="BJ106"/>
      <c r="BK106"/>
      <c r="BL106"/>
      <c r="CI106"/>
      <c r="CJ106"/>
      <c r="CM106"/>
      <c r="CN106"/>
      <c r="CO106"/>
      <c r="DG106"/>
      <c r="DH106"/>
      <c r="DI106"/>
      <c r="DJ106"/>
      <c r="DK106"/>
      <c r="DL106"/>
      <c r="EG106"/>
      <c r="EH106"/>
      <c r="EW106" s="43" t="s">
        <v>475</v>
      </c>
      <c r="EX106" s="61">
        <v>1440</v>
      </c>
      <c r="EY106" s="61">
        <v>0</v>
      </c>
      <c r="EZ106" s="61">
        <v>71</v>
      </c>
      <c r="FA106" s="61">
        <v>0</v>
      </c>
      <c r="FB106" s="61">
        <v>0</v>
      </c>
      <c r="FD106" s="141" t="str">
        <f t="shared" si="34"/>
        <v>9-abr</v>
      </c>
      <c r="FE106" s="11" t="str">
        <f t="shared" si="35"/>
        <v/>
      </c>
      <c r="FF106" s="11" t="str">
        <f t="shared" si="29"/>
        <v/>
      </c>
      <c r="FG106" s="11" t="str">
        <f t="shared" si="30"/>
        <v/>
      </c>
      <c r="FI106" s="141" t="str">
        <f t="shared" si="38"/>
        <v>9-abr</v>
      </c>
      <c r="FJ106" s="11" t="str">
        <f t="shared" si="31"/>
        <v/>
      </c>
      <c r="FK106" s="11" t="str">
        <f t="shared" si="32"/>
        <v/>
      </c>
      <c r="FL106" s="11" t="str">
        <f t="shared" si="33"/>
        <v/>
      </c>
      <c r="FN106" s="141" t="str">
        <f t="shared" si="36"/>
        <v>9-abr</v>
      </c>
      <c r="FO106" s="11" t="str">
        <f t="shared" si="37"/>
        <v/>
      </c>
      <c r="FP106" s="11" t="str">
        <f t="shared" si="27"/>
        <v/>
      </c>
      <c r="FQ106" s="11" t="str">
        <f t="shared" si="28"/>
        <v/>
      </c>
    </row>
    <row r="107" spans="1:173">
      <c r="A107" s="37" t="s">
        <v>252</v>
      </c>
      <c r="B107"/>
      <c r="C107"/>
      <c r="D107" s="227" t="e">
        <f>GETPIVOTDATA("Re. Gas GC (m3)",$A$100,"Meses",7)/GETPIVOTDATA("G. HGS Gas (kWh)",$A$100,"Meses",7)</f>
        <v>#REF!</v>
      </c>
      <c r="BC107"/>
      <c r="BD107"/>
      <c r="BE107"/>
      <c r="BF107"/>
      <c r="BJ107"/>
      <c r="BK107"/>
      <c r="BL107"/>
      <c r="CI107"/>
      <c r="CJ107"/>
      <c r="CM107"/>
      <c r="CN107"/>
      <c r="CO107"/>
      <c r="DG107"/>
      <c r="DH107"/>
      <c r="DI107"/>
      <c r="DJ107"/>
      <c r="DK107"/>
      <c r="DL107"/>
      <c r="EG107"/>
      <c r="EH107"/>
      <c r="EW107" s="43" t="s">
        <v>476</v>
      </c>
      <c r="EX107" s="61">
        <v>1440</v>
      </c>
      <c r="EY107" s="61">
        <v>0</v>
      </c>
      <c r="EZ107" s="61">
        <v>71</v>
      </c>
      <c r="FA107" s="61">
        <v>0</v>
      </c>
      <c r="FB107" s="61">
        <v>0</v>
      </c>
      <c r="FD107" s="141" t="str">
        <f t="shared" si="34"/>
        <v>10-abr</v>
      </c>
      <c r="FE107" s="11" t="str">
        <f t="shared" si="35"/>
        <v/>
      </c>
      <c r="FF107" s="11" t="str">
        <f t="shared" si="29"/>
        <v/>
      </c>
      <c r="FG107" s="11" t="str">
        <f t="shared" si="30"/>
        <v/>
      </c>
      <c r="FI107" s="141" t="str">
        <f t="shared" si="38"/>
        <v>10-abr</v>
      </c>
      <c r="FJ107" s="11" t="str">
        <f t="shared" si="31"/>
        <v/>
      </c>
      <c r="FK107" s="11" t="str">
        <f t="shared" si="32"/>
        <v/>
      </c>
      <c r="FL107" s="11" t="str">
        <f t="shared" si="33"/>
        <v/>
      </c>
      <c r="FN107" s="141" t="str">
        <f t="shared" si="36"/>
        <v>10-abr</v>
      </c>
      <c r="FO107" s="11" t="str">
        <f t="shared" si="37"/>
        <v/>
      </c>
      <c r="FP107" s="11" t="str">
        <f t="shared" si="27"/>
        <v/>
      </c>
      <c r="FQ107" s="11" t="str">
        <f t="shared" si="28"/>
        <v/>
      </c>
    </row>
    <row r="108" spans="1:173">
      <c r="A108" s="37" t="s">
        <v>253</v>
      </c>
      <c r="B108"/>
      <c r="C108"/>
      <c r="D108" s="227" t="e">
        <f>GETPIVOTDATA("Re. Gas GC (m3)",$A$100,"Meses",8)/GETPIVOTDATA("G. HGS Gas (kWh)",$A$100,"Meses",8)</f>
        <v>#REF!</v>
      </c>
      <c r="BC108"/>
      <c r="BD108"/>
      <c r="BE108"/>
      <c r="BF108"/>
      <c r="BJ108"/>
      <c r="BK108"/>
      <c r="BL108"/>
      <c r="CI108"/>
      <c r="CJ108"/>
      <c r="CM108"/>
      <c r="CN108"/>
      <c r="CO108"/>
      <c r="DG108"/>
      <c r="DH108"/>
      <c r="DI108"/>
      <c r="DJ108"/>
      <c r="DK108"/>
      <c r="DL108"/>
      <c r="EG108"/>
      <c r="EH108"/>
      <c r="EW108" s="43" t="s">
        <v>477</v>
      </c>
      <c r="EX108" s="61">
        <v>1440</v>
      </c>
      <c r="EY108" s="61">
        <v>0</v>
      </c>
      <c r="EZ108" s="61">
        <v>71</v>
      </c>
      <c r="FA108" s="61">
        <v>0</v>
      </c>
      <c r="FB108" s="61">
        <v>0</v>
      </c>
      <c r="FD108" s="141" t="str">
        <f t="shared" si="34"/>
        <v>11-abr</v>
      </c>
      <c r="FE108" s="11" t="str">
        <f t="shared" si="35"/>
        <v/>
      </c>
      <c r="FF108" s="11" t="str">
        <f t="shared" si="29"/>
        <v/>
      </c>
      <c r="FG108" s="11" t="str">
        <f t="shared" si="30"/>
        <v/>
      </c>
      <c r="FI108" s="141" t="str">
        <f t="shared" si="38"/>
        <v>11-abr</v>
      </c>
      <c r="FJ108" s="11" t="str">
        <f t="shared" si="31"/>
        <v/>
      </c>
      <c r="FK108" s="11" t="str">
        <f t="shared" si="32"/>
        <v/>
      </c>
      <c r="FL108" s="11" t="str">
        <f t="shared" si="33"/>
        <v/>
      </c>
      <c r="FN108" s="141" t="str">
        <f t="shared" si="36"/>
        <v>11-abr</v>
      </c>
      <c r="FO108" s="11" t="str">
        <f t="shared" si="37"/>
        <v/>
      </c>
      <c r="FP108" s="11" t="str">
        <f t="shared" si="27"/>
        <v/>
      </c>
      <c r="FQ108" s="11" t="str">
        <f t="shared" si="28"/>
        <v/>
      </c>
    </row>
    <row r="109" spans="1:173">
      <c r="A109" s="37" t="s">
        <v>254</v>
      </c>
      <c r="B109"/>
      <c r="C109"/>
      <c r="D109" s="227" t="e">
        <f>GETPIVOTDATA("Re. Gas GC (m3)",$A$100,"Meses",9)/GETPIVOTDATA("G. HGS Gas (kWh)",$A$100,"Meses",9)</f>
        <v>#REF!</v>
      </c>
      <c r="BC109"/>
      <c r="BD109"/>
      <c r="BE109"/>
      <c r="BF109"/>
      <c r="BJ109"/>
      <c r="BK109"/>
      <c r="BL109"/>
      <c r="CI109"/>
      <c r="CJ109"/>
      <c r="CM109"/>
      <c r="CN109"/>
      <c r="CO109"/>
      <c r="DG109"/>
      <c r="DH109"/>
      <c r="DI109"/>
      <c r="DJ109"/>
      <c r="DK109"/>
      <c r="DL109"/>
      <c r="EG109"/>
      <c r="EH109"/>
      <c r="EW109" s="43" t="s">
        <v>478</v>
      </c>
      <c r="EX109" s="61">
        <v>1440</v>
      </c>
      <c r="EY109" s="61">
        <v>0</v>
      </c>
      <c r="EZ109" s="61">
        <v>62</v>
      </c>
      <c r="FA109" s="61">
        <v>0</v>
      </c>
      <c r="FB109" s="61">
        <v>0</v>
      </c>
      <c r="FD109" s="141" t="str">
        <f t="shared" si="34"/>
        <v>12-abr</v>
      </c>
      <c r="FE109" s="11" t="str">
        <f t="shared" si="35"/>
        <v/>
      </c>
      <c r="FF109" s="11" t="str">
        <f t="shared" si="29"/>
        <v/>
      </c>
      <c r="FG109" s="11" t="str">
        <f t="shared" si="30"/>
        <v/>
      </c>
      <c r="FI109" s="141" t="str">
        <f t="shared" si="38"/>
        <v>12-abr</v>
      </c>
      <c r="FJ109" s="11" t="str">
        <f t="shared" si="31"/>
        <v/>
      </c>
      <c r="FK109" s="11" t="str">
        <f t="shared" si="32"/>
        <v/>
      </c>
      <c r="FL109" s="11" t="str">
        <f t="shared" si="33"/>
        <v/>
      </c>
      <c r="FN109" s="141" t="str">
        <f t="shared" si="36"/>
        <v>12-abr</v>
      </c>
      <c r="FO109" s="11" t="str">
        <f t="shared" si="37"/>
        <v/>
      </c>
      <c r="FP109" s="11" t="str">
        <f t="shared" si="27"/>
        <v/>
      </c>
      <c r="FQ109" s="11" t="str">
        <f t="shared" si="28"/>
        <v/>
      </c>
    </row>
    <row r="110" spans="1:173">
      <c r="A110" s="37" t="s">
        <v>255</v>
      </c>
      <c r="B110"/>
      <c r="C110"/>
      <c r="D110" s="227" t="e">
        <f>GETPIVOTDATA("Re. Gas GC (m3)",$A$100,"Meses",10)/GETPIVOTDATA("G. HGS Gas (kWh)",$A$100,"Meses",10)</f>
        <v>#REF!</v>
      </c>
      <c r="BC110"/>
      <c r="BD110"/>
      <c r="BE110"/>
      <c r="BF110"/>
      <c r="BJ110"/>
      <c r="BK110"/>
      <c r="BL110"/>
      <c r="CI110"/>
      <c r="CJ110"/>
      <c r="CM110"/>
      <c r="CN110"/>
      <c r="CO110"/>
      <c r="DG110"/>
      <c r="DH110"/>
      <c r="DI110"/>
      <c r="DJ110"/>
      <c r="DK110"/>
      <c r="DL110"/>
      <c r="EG110"/>
      <c r="EH110"/>
      <c r="EW110" s="43" t="s">
        <v>479</v>
      </c>
      <c r="EX110" s="61">
        <v>1440</v>
      </c>
      <c r="EY110" s="61">
        <v>0</v>
      </c>
      <c r="EZ110" s="61">
        <v>71</v>
      </c>
      <c r="FA110" s="61">
        <v>0</v>
      </c>
      <c r="FB110" s="61">
        <v>0</v>
      </c>
      <c r="FD110" s="141" t="str">
        <f t="shared" si="34"/>
        <v>13-abr</v>
      </c>
      <c r="FE110" s="11" t="str">
        <f t="shared" si="35"/>
        <v/>
      </c>
      <c r="FF110" s="11" t="str">
        <f t="shared" si="29"/>
        <v/>
      </c>
      <c r="FG110" s="11" t="str">
        <f t="shared" si="30"/>
        <v/>
      </c>
      <c r="FI110" s="141" t="str">
        <f t="shared" si="38"/>
        <v>13-abr</v>
      </c>
      <c r="FJ110" s="11" t="str">
        <f t="shared" si="31"/>
        <v/>
      </c>
      <c r="FK110" s="11" t="str">
        <f t="shared" si="32"/>
        <v/>
      </c>
      <c r="FL110" s="11" t="str">
        <f t="shared" si="33"/>
        <v/>
      </c>
      <c r="FN110" s="141" t="str">
        <f t="shared" si="36"/>
        <v>13-abr</v>
      </c>
      <c r="FO110" s="11" t="str">
        <f t="shared" si="37"/>
        <v/>
      </c>
      <c r="FP110" s="11" t="str">
        <f t="shared" si="27"/>
        <v/>
      </c>
      <c r="FQ110" s="11" t="str">
        <f t="shared" si="28"/>
        <v/>
      </c>
    </row>
    <row r="111" spans="1:173">
      <c r="A111" s="37" t="s">
        <v>256</v>
      </c>
      <c r="B111"/>
      <c r="C111"/>
      <c r="D111" s="227" t="e">
        <f>GETPIVOTDATA("Re. Gas GC (m3)",$A$100,"Meses",11)/GETPIVOTDATA("G. HGS Gas (kWh)",$A$100,"Meses",11)</f>
        <v>#REF!</v>
      </c>
      <c r="BC111"/>
      <c r="BD111"/>
      <c r="BE111"/>
      <c r="BF111"/>
      <c r="BJ111"/>
      <c r="BK111"/>
      <c r="BL111"/>
      <c r="CI111"/>
      <c r="CJ111"/>
      <c r="CM111"/>
      <c r="CN111"/>
      <c r="CO111"/>
      <c r="DG111"/>
      <c r="DH111"/>
      <c r="DI111"/>
      <c r="DJ111"/>
      <c r="DK111"/>
      <c r="DL111"/>
      <c r="EG111"/>
      <c r="EH111"/>
      <c r="EW111" s="43" t="s">
        <v>480</v>
      </c>
      <c r="EX111" s="61">
        <v>1440</v>
      </c>
      <c r="EY111" s="61">
        <v>0</v>
      </c>
      <c r="EZ111" s="61">
        <v>71</v>
      </c>
      <c r="FA111" s="61">
        <v>0</v>
      </c>
      <c r="FB111" s="61">
        <v>0</v>
      </c>
      <c r="FD111" s="141" t="str">
        <f t="shared" si="34"/>
        <v>14-abr</v>
      </c>
      <c r="FE111" s="11" t="str">
        <f t="shared" si="35"/>
        <v/>
      </c>
      <c r="FF111" s="11" t="str">
        <f t="shared" si="29"/>
        <v/>
      </c>
      <c r="FG111" s="11" t="str">
        <f t="shared" si="30"/>
        <v/>
      </c>
      <c r="FI111" s="141" t="str">
        <f t="shared" si="38"/>
        <v>14-abr</v>
      </c>
      <c r="FJ111" s="11" t="str">
        <f t="shared" si="31"/>
        <v/>
      </c>
      <c r="FK111" s="11" t="str">
        <f t="shared" si="32"/>
        <v/>
      </c>
      <c r="FL111" s="11" t="str">
        <f t="shared" si="33"/>
        <v/>
      </c>
      <c r="FN111" s="141" t="str">
        <f t="shared" si="36"/>
        <v>14-abr</v>
      </c>
      <c r="FO111" s="11" t="str">
        <f t="shared" si="37"/>
        <v/>
      </c>
      <c r="FP111" s="11" t="str">
        <f t="shared" si="27"/>
        <v/>
      </c>
      <c r="FQ111" s="11" t="str">
        <f t="shared" si="28"/>
        <v/>
      </c>
    </row>
    <row r="112" spans="1:173">
      <c r="A112" s="37" t="s">
        <v>257</v>
      </c>
      <c r="B112"/>
      <c r="C112"/>
      <c r="D112" s="228" t="e">
        <f>AVERAGEIF(D101:D111,"&lt;&gt;0")</f>
        <v>#REF!</v>
      </c>
      <c r="BC112"/>
      <c r="BD112"/>
      <c r="BE112"/>
      <c r="BF112"/>
      <c r="BJ112"/>
      <c r="BK112"/>
      <c r="BL112"/>
      <c r="CI112"/>
      <c r="CJ112"/>
      <c r="CM112"/>
      <c r="CN112"/>
      <c r="CO112"/>
      <c r="DG112"/>
      <c r="DH112"/>
      <c r="DI112"/>
      <c r="DJ112"/>
      <c r="DK112"/>
      <c r="DL112"/>
      <c r="EG112"/>
      <c r="EH112"/>
      <c r="EW112" s="43" t="s">
        <v>481</v>
      </c>
      <c r="EX112" s="61">
        <v>1440</v>
      </c>
      <c r="EY112" s="61">
        <v>0</v>
      </c>
      <c r="EZ112" s="61">
        <v>71</v>
      </c>
      <c r="FA112" s="61">
        <v>0</v>
      </c>
      <c r="FB112" s="61">
        <v>0</v>
      </c>
      <c r="FD112" s="141" t="str">
        <f t="shared" si="34"/>
        <v>15-abr</v>
      </c>
      <c r="FE112" s="11" t="str">
        <f t="shared" si="35"/>
        <v/>
      </c>
      <c r="FF112" s="11" t="str">
        <f t="shared" si="29"/>
        <v/>
      </c>
      <c r="FG112" s="11" t="str">
        <f t="shared" si="30"/>
        <v/>
      </c>
      <c r="FI112" s="141" t="str">
        <f t="shared" si="38"/>
        <v>15-abr</v>
      </c>
      <c r="FJ112" s="11" t="str">
        <f t="shared" si="31"/>
        <v/>
      </c>
      <c r="FK112" s="11" t="str">
        <f t="shared" si="32"/>
        <v/>
      </c>
      <c r="FL112" s="11" t="str">
        <f t="shared" si="33"/>
        <v/>
      </c>
      <c r="FN112" s="141" t="str">
        <f t="shared" si="36"/>
        <v>15-abr</v>
      </c>
      <c r="FO112" s="11" t="str">
        <f t="shared" si="37"/>
        <v/>
      </c>
      <c r="FP112" s="11" t="str">
        <f t="shared" si="27"/>
        <v/>
      </c>
      <c r="FQ112" s="11" t="str">
        <f t="shared" si="28"/>
        <v/>
      </c>
    </row>
    <row r="113" spans="1:173">
      <c r="B113"/>
      <c r="C113"/>
      <c r="D113" s="228"/>
      <c r="BC113"/>
      <c r="BD113"/>
      <c r="BE113"/>
      <c r="BF113"/>
      <c r="BJ113"/>
      <c r="BK113"/>
      <c r="BL113"/>
      <c r="CI113"/>
      <c r="CJ113"/>
      <c r="CM113"/>
      <c r="CN113"/>
      <c r="CO113"/>
      <c r="DG113"/>
      <c r="DH113"/>
      <c r="DI113"/>
      <c r="DJ113"/>
      <c r="DK113"/>
      <c r="DL113"/>
      <c r="EG113"/>
      <c r="EH113"/>
      <c r="EW113" s="43" t="s">
        <v>482</v>
      </c>
      <c r="EX113" s="61">
        <v>1440</v>
      </c>
      <c r="EY113" s="61">
        <v>0</v>
      </c>
      <c r="EZ113" s="61">
        <v>62</v>
      </c>
      <c r="FA113" s="61">
        <v>0</v>
      </c>
      <c r="FB113" s="61">
        <v>0</v>
      </c>
      <c r="FD113" s="141" t="str">
        <f t="shared" si="34"/>
        <v>16-abr</v>
      </c>
      <c r="FE113" s="11" t="str">
        <f t="shared" si="35"/>
        <v/>
      </c>
      <c r="FF113" s="11" t="str">
        <f t="shared" si="29"/>
        <v/>
      </c>
      <c r="FG113" s="11" t="str">
        <f t="shared" si="30"/>
        <v/>
      </c>
      <c r="FI113" s="141" t="str">
        <f t="shared" si="38"/>
        <v>16-abr</v>
      </c>
      <c r="FJ113" s="11" t="str">
        <f t="shared" si="31"/>
        <v/>
      </c>
      <c r="FK113" s="11" t="str">
        <f t="shared" si="32"/>
        <v/>
      </c>
      <c r="FL113" s="11" t="str">
        <f t="shared" si="33"/>
        <v/>
      </c>
      <c r="FN113" s="141" t="str">
        <f t="shared" si="36"/>
        <v>16-abr</v>
      </c>
      <c r="FO113" s="11" t="str">
        <f t="shared" si="37"/>
        <v/>
      </c>
      <c r="FP113" s="11" t="str">
        <f t="shared" si="27"/>
        <v/>
      </c>
      <c r="FQ113" s="11" t="str">
        <f t="shared" si="28"/>
        <v/>
      </c>
    </row>
    <row r="114" spans="1:173">
      <c r="B114"/>
      <c r="C114"/>
      <c r="BC114"/>
      <c r="BD114"/>
      <c r="BE114"/>
      <c r="BF114"/>
      <c r="BJ114"/>
      <c r="BK114"/>
      <c r="BL114"/>
      <c r="CI114"/>
      <c r="CJ114"/>
      <c r="CM114"/>
      <c r="CN114"/>
      <c r="CO114"/>
      <c r="DG114"/>
      <c r="DH114"/>
      <c r="DI114"/>
      <c r="DJ114"/>
      <c r="DK114"/>
      <c r="DL114"/>
      <c r="EG114"/>
      <c r="EH114"/>
      <c r="EW114" s="43" t="s">
        <v>483</v>
      </c>
      <c r="EX114" s="61">
        <v>1440</v>
      </c>
      <c r="EY114" s="61">
        <v>0</v>
      </c>
      <c r="EZ114" s="61">
        <v>71</v>
      </c>
      <c r="FA114" s="61">
        <v>0</v>
      </c>
      <c r="FB114" s="61">
        <v>0</v>
      </c>
      <c r="FD114" s="141" t="str">
        <f t="shared" si="34"/>
        <v>17-abr</v>
      </c>
      <c r="FE114" s="11" t="str">
        <f t="shared" si="35"/>
        <v/>
      </c>
      <c r="FF114" s="11" t="str">
        <f t="shared" si="29"/>
        <v/>
      </c>
      <c r="FG114" s="11" t="str">
        <f t="shared" si="30"/>
        <v/>
      </c>
      <c r="FI114" s="141" t="str">
        <f t="shared" si="38"/>
        <v>17-abr</v>
      </c>
      <c r="FJ114" s="11" t="str">
        <f t="shared" si="31"/>
        <v/>
      </c>
      <c r="FK114" s="11" t="str">
        <f t="shared" si="32"/>
        <v/>
      </c>
      <c r="FL114" s="11" t="str">
        <f t="shared" si="33"/>
        <v/>
      </c>
      <c r="FN114" s="141" t="str">
        <f t="shared" si="36"/>
        <v>17-abr</v>
      </c>
      <c r="FO114" s="11" t="str">
        <f t="shared" si="37"/>
        <v/>
      </c>
      <c r="FP114" s="11" t="str">
        <f t="shared" si="27"/>
        <v/>
      </c>
      <c r="FQ114" s="11" t="str">
        <f t="shared" si="28"/>
        <v/>
      </c>
    </row>
    <row r="115" spans="1:173" ht="60">
      <c r="A115" s="55"/>
      <c r="B115" s="56"/>
      <c r="C115" s="57"/>
      <c r="G115" s="13" t="s">
        <v>484</v>
      </c>
      <c r="H115" s="233" t="s">
        <v>485</v>
      </c>
      <c r="I115" s="233" t="s">
        <v>486</v>
      </c>
      <c r="BC115"/>
      <c r="BD115"/>
      <c r="BE115"/>
      <c r="BF115"/>
      <c r="BJ115"/>
      <c r="BK115"/>
      <c r="BL115"/>
      <c r="CI115"/>
      <c r="CJ115"/>
      <c r="CM115"/>
      <c r="CN115"/>
      <c r="CO115"/>
      <c r="DG115"/>
      <c r="DH115"/>
      <c r="DI115"/>
      <c r="DJ115"/>
      <c r="DK115"/>
      <c r="DL115"/>
      <c r="EG115"/>
      <c r="EH115"/>
      <c r="EW115" s="43" t="s">
        <v>487</v>
      </c>
      <c r="EX115" s="61">
        <v>1440</v>
      </c>
      <c r="EY115" s="61">
        <v>0</v>
      </c>
      <c r="EZ115" s="61">
        <v>71</v>
      </c>
      <c r="FA115" s="61">
        <v>0</v>
      </c>
      <c r="FB115" s="61">
        <v>0</v>
      </c>
      <c r="FD115" s="141" t="str">
        <f t="shared" si="34"/>
        <v>18-abr</v>
      </c>
      <c r="FE115" s="11" t="str">
        <f t="shared" si="35"/>
        <v/>
      </c>
      <c r="FF115" s="11" t="str">
        <f t="shared" si="29"/>
        <v/>
      </c>
      <c r="FG115" s="11" t="str">
        <f t="shared" si="30"/>
        <v/>
      </c>
      <c r="FI115" s="141" t="str">
        <f t="shared" si="38"/>
        <v>18-abr</v>
      </c>
      <c r="FJ115" s="11" t="str">
        <f t="shared" si="31"/>
        <v/>
      </c>
      <c r="FK115" s="11" t="str">
        <f t="shared" si="32"/>
        <v/>
      </c>
      <c r="FL115" s="11" t="str">
        <f t="shared" si="33"/>
        <v/>
      </c>
      <c r="FN115" s="141" t="str">
        <f t="shared" si="36"/>
        <v>18-abr</v>
      </c>
      <c r="FO115" s="11" t="str">
        <f t="shared" si="37"/>
        <v/>
      </c>
      <c r="FP115" s="11" t="str">
        <f t="shared" si="27"/>
        <v/>
      </c>
      <c r="FQ115" s="11" t="str">
        <f t="shared" si="28"/>
        <v/>
      </c>
    </row>
    <row r="116" spans="1:173">
      <c r="A116" s="385"/>
      <c r="B116" s="386"/>
      <c r="C116" s="387"/>
      <c r="G116" s="237" t="s">
        <v>488</v>
      </c>
      <c r="H116" s="28">
        <v>921.9604627299384</v>
      </c>
      <c r="I116" s="64">
        <v>11877</v>
      </c>
      <c r="BC116"/>
      <c r="BD116"/>
      <c r="BE116"/>
      <c r="BF116"/>
      <c r="BJ116"/>
      <c r="BK116"/>
      <c r="BL116"/>
      <c r="CI116"/>
      <c r="CJ116"/>
      <c r="CM116"/>
      <c r="CN116"/>
      <c r="CO116"/>
      <c r="DG116"/>
      <c r="DH116"/>
      <c r="DI116"/>
      <c r="DJ116"/>
      <c r="DK116"/>
      <c r="DL116"/>
      <c r="EG116"/>
      <c r="EH116"/>
      <c r="EW116" s="43" t="s">
        <v>489</v>
      </c>
      <c r="EX116" s="61">
        <v>1440</v>
      </c>
      <c r="EY116" s="61">
        <v>0</v>
      </c>
      <c r="EZ116" s="61">
        <v>71</v>
      </c>
      <c r="FA116" s="61">
        <v>0</v>
      </c>
      <c r="FB116" s="61">
        <v>0</v>
      </c>
      <c r="FD116" s="141" t="str">
        <f t="shared" si="34"/>
        <v>19-abr</v>
      </c>
      <c r="FE116" s="11" t="str">
        <f t="shared" si="35"/>
        <v/>
      </c>
      <c r="FF116" s="11" t="str">
        <f t="shared" si="29"/>
        <v/>
      </c>
      <c r="FG116" s="11" t="str">
        <f t="shared" si="30"/>
        <v/>
      </c>
      <c r="FI116" s="141" t="str">
        <f t="shared" si="38"/>
        <v>19-abr</v>
      </c>
      <c r="FJ116" s="11" t="str">
        <f t="shared" si="31"/>
        <v/>
      </c>
      <c r="FK116" s="11" t="str">
        <f t="shared" si="32"/>
        <v/>
      </c>
      <c r="FL116" s="11" t="str">
        <f t="shared" si="33"/>
        <v/>
      </c>
      <c r="FN116" s="141" t="str">
        <f t="shared" si="36"/>
        <v>19-abr</v>
      </c>
      <c r="FO116" s="11" t="str">
        <f t="shared" si="37"/>
        <v/>
      </c>
      <c r="FP116" s="11" t="str">
        <f t="shared" si="27"/>
        <v/>
      </c>
      <c r="FQ116" s="11" t="str">
        <f t="shared" si="28"/>
        <v/>
      </c>
    </row>
    <row r="117" spans="1:173">
      <c r="A117" s="385"/>
      <c r="B117" s="386"/>
      <c r="C117" s="387"/>
      <c r="G117" s="237" t="s">
        <v>490</v>
      </c>
      <c r="H117" s="28">
        <v>2541.3351436853877</v>
      </c>
      <c r="I117" s="64">
        <v>12158</v>
      </c>
      <c r="BC117"/>
      <c r="BD117"/>
      <c r="BE117"/>
      <c r="BF117"/>
      <c r="BJ117"/>
      <c r="BK117"/>
      <c r="BL117"/>
      <c r="CI117"/>
      <c r="CJ117"/>
      <c r="CM117"/>
      <c r="CN117"/>
      <c r="CO117"/>
      <c r="DG117"/>
      <c r="DH117"/>
      <c r="DI117"/>
      <c r="DJ117"/>
      <c r="DK117"/>
      <c r="DL117"/>
      <c r="EG117"/>
      <c r="EH117"/>
      <c r="EW117" s="43" t="s">
        <v>491</v>
      </c>
      <c r="EX117" s="61">
        <v>1440</v>
      </c>
      <c r="EY117" s="61">
        <v>0</v>
      </c>
      <c r="EZ117" s="61">
        <v>71</v>
      </c>
      <c r="FA117" s="61">
        <v>0</v>
      </c>
      <c r="FB117" s="61">
        <v>0</v>
      </c>
      <c r="FD117" s="141" t="str">
        <f t="shared" si="34"/>
        <v>20-abr</v>
      </c>
      <c r="FE117" s="11" t="str">
        <f t="shared" si="35"/>
        <v/>
      </c>
      <c r="FF117" s="11" t="str">
        <f t="shared" si="29"/>
        <v/>
      </c>
      <c r="FG117" s="11" t="str">
        <f t="shared" si="30"/>
        <v/>
      </c>
      <c r="FI117" s="141" t="str">
        <f t="shared" si="38"/>
        <v>20-abr</v>
      </c>
      <c r="FJ117" s="11" t="str">
        <f t="shared" si="31"/>
        <v/>
      </c>
      <c r="FK117" s="11" t="str">
        <f t="shared" si="32"/>
        <v/>
      </c>
      <c r="FL117" s="11" t="str">
        <f t="shared" si="33"/>
        <v/>
      </c>
      <c r="FN117" s="141" t="str">
        <f t="shared" si="36"/>
        <v>20-abr</v>
      </c>
      <c r="FO117" s="11" t="str">
        <f t="shared" si="37"/>
        <v/>
      </c>
      <c r="FP117" s="11" t="str">
        <f t="shared" si="27"/>
        <v/>
      </c>
      <c r="FQ117" s="11" t="str">
        <f t="shared" si="28"/>
        <v/>
      </c>
    </row>
    <row r="118" spans="1:173">
      <c r="A118" s="385"/>
      <c r="B118" s="386"/>
      <c r="C118" s="387"/>
      <c r="G118" s="237" t="s">
        <v>492</v>
      </c>
      <c r="H118" s="28">
        <v>0</v>
      </c>
      <c r="I118" s="64">
        <v>1069</v>
      </c>
      <c r="BC118"/>
      <c r="BD118"/>
      <c r="BE118"/>
      <c r="BF118"/>
      <c r="BJ118"/>
      <c r="BK118"/>
      <c r="BL118"/>
      <c r="CI118"/>
      <c r="CJ118"/>
      <c r="CM118"/>
      <c r="CN118"/>
      <c r="CO118"/>
      <c r="DG118"/>
      <c r="DH118"/>
      <c r="DI118"/>
      <c r="DJ118"/>
      <c r="DK118"/>
      <c r="DL118"/>
      <c r="EG118"/>
      <c r="EH118"/>
      <c r="EW118" s="43" t="s">
        <v>493</v>
      </c>
      <c r="EX118" s="61">
        <v>1440</v>
      </c>
      <c r="EY118" s="61">
        <v>0</v>
      </c>
      <c r="EZ118" s="61">
        <v>71</v>
      </c>
      <c r="FA118" s="61">
        <v>0</v>
      </c>
      <c r="FB118" s="61">
        <v>0</v>
      </c>
      <c r="FD118" s="141" t="str">
        <f t="shared" si="34"/>
        <v>21-abr</v>
      </c>
      <c r="FE118" s="11" t="str">
        <f t="shared" si="35"/>
        <v/>
      </c>
      <c r="FF118" s="11" t="str">
        <f t="shared" si="29"/>
        <v/>
      </c>
      <c r="FG118" s="11" t="str">
        <f t="shared" si="30"/>
        <v/>
      </c>
      <c r="FI118" s="141" t="str">
        <f t="shared" si="38"/>
        <v>21-abr</v>
      </c>
      <c r="FJ118" s="11" t="str">
        <f t="shared" si="31"/>
        <v/>
      </c>
      <c r="FK118" s="11" t="str">
        <f t="shared" si="32"/>
        <v/>
      </c>
      <c r="FL118" s="11" t="str">
        <f t="shared" si="33"/>
        <v/>
      </c>
      <c r="FN118" s="141" t="str">
        <f t="shared" si="36"/>
        <v>21-abr</v>
      </c>
      <c r="FO118" s="11" t="str">
        <f t="shared" si="37"/>
        <v/>
      </c>
      <c r="FP118" s="11" t="str">
        <f t="shared" si="27"/>
        <v/>
      </c>
      <c r="FQ118" s="11" t="str">
        <f t="shared" si="28"/>
        <v/>
      </c>
    </row>
    <row r="119" spans="1:173">
      <c r="A119" s="385"/>
      <c r="B119" s="386"/>
      <c r="C119" s="387"/>
      <c r="G119" s="237" t="s">
        <v>494</v>
      </c>
      <c r="H119" s="28">
        <v>0</v>
      </c>
      <c r="I119" s="64">
        <v>5498</v>
      </c>
      <c r="BC119"/>
      <c r="BD119"/>
      <c r="BE119"/>
      <c r="BF119"/>
      <c r="BJ119"/>
      <c r="BK119"/>
      <c r="BL119"/>
      <c r="CI119"/>
      <c r="CJ119"/>
      <c r="CM119"/>
      <c r="CN119"/>
      <c r="CO119"/>
      <c r="DG119"/>
      <c r="DH119"/>
      <c r="DI119"/>
      <c r="DJ119"/>
      <c r="DK119"/>
      <c r="DL119"/>
      <c r="EG119"/>
      <c r="EH119"/>
      <c r="EW119" s="43" t="s">
        <v>495</v>
      </c>
      <c r="EX119" s="61">
        <v>1440</v>
      </c>
      <c r="EY119" s="61">
        <v>0</v>
      </c>
      <c r="EZ119" s="61">
        <v>71</v>
      </c>
      <c r="FA119" s="61">
        <v>0</v>
      </c>
      <c r="FB119" s="61">
        <v>0</v>
      </c>
      <c r="FD119" s="141" t="str">
        <f t="shared" si="34"/>
        <v>22-abr</v>
      </c>
      <c r="FE119" s="11" t="str">
        <f t="shared" si="35"/>
        <v/>
      </c>
      <c r="FF119" s="11" t="str">
        <f t="shared" si="29"/>
        <v/>
      </c>
      <c r="FG119" s="11" t="str">
        <f t="shared" si="30"/>
        <v/>
      </c>
      <c r="FI119" s="141" t="str">
        <f t="shared" si="38"/>
        <v>22-abr</v>
      </c>
      <c r="FJ119" s="11" t="str">
        <f t="shared" si="31"/>
        <v/>
      </c>
      <c r="FK119" s="11" t="str">
        <f t="shared" si="32"/>
        <v/>
      </c>
      <c r="FL119" s="11" t="str">
        <f t="shared" si="33"/>
        <v/>
      </c>
      <c r="FN119" s="141" t="str">
        <f t="shared" si="36"/>
        <v>22-abr</v>
      </c>
      <c r="FO119" s="11" t="str">
        <f t="shared" si="37"/>
        <v/>
      </c>
      <c r="FP119" s="11" t="str">
        <f t="shared" si="27"/>
        <v/>
      </c>
      <c r="FQ119" s="11" t="str">
        <f t="shared" si="28"/>
        <v/>
      </c>
    </row>
    <row r="120" spans="1:173">
      <c r="A120" s="385"/>
      <c r="B120" s="386"/>
      <c r="C120" s="387"/>
      <c r="G120" s="237" t="s">
        <v>496</v>
      </c>
      <c r="H120" s="28">
        <v>1256.5653959691272</v>
      </c>
      <c r="I120" s="64">
        <v>20757</v>
      </c>
      <c r="BC120"/>
      <c r="BD120"/>
      <c r="BE120"/>
      <c r="BF120"/>
      <c r="BJ120"/>
      <c r="BK120"/>
      <c r="BL120"/>
      <c r="CI120"/>
      <c r="CJ120"/>
      <c r="CM120"/>
      <c r="CN120"/>
      <c r="CO120"/>
      <c r="DG120"/>
      <c r="DH120"/>
      <c r="DI120"/>
      <c r="DJ120"/>
      <c r="DK120"/>
      <c r="DL120"/>
      <c r="EG120"/>
      <c r="EH120"/>
      <c r="EW120" s="43" t="s">
        <v>497</v>
      </c>
      <c r="EX120" s="61">
        <v>1440</v>
      </c>
      <c r="EY120" s="61">
        <v>0</v>
      </c>
      <c r="EZ120" s="61">
        <v>71</v>
      </c>
      <c r="FA120" s="61">
        <v>0</v>
      </c>
      <c r="FB120" s="61">
        <v>0</v>
      </c>
      <c r="FD120" s="141" t="str">
        <f t="shared" si="34"/>
        <v>23-abr</v>
      </c>
      <c r="FE120" s="11" t="str">
        <f t="shared" si="35"/>
        <v/>
      </c>
      <c r="FF120" s="11" t="str">
        <f t="shared" si="29"/>
        <v/>
      </c>
      <c r="FG120" s="11" t="str">
        <f t="shared" si="30"/>
        <v/>
      </c>
      <c r="FI120" s="141" t="str">
        <f t="shared" si="38"/>
        <v>23-abr</v>
      </c>
      <c r="FJ120" s="11" t="str">
        <f t="shared" si="31"/>
        <v/>
      </c>
      <c r="FK120" s="11" t="str">
        <f t="shared" si="32"/>
        <v/>
      </c>
      <c r="FL120" s="11" t="str">
        <f t="shared" si="33"/>
        <v/>
      </c>
      <c r="FN120" s="141" t="str">
        <f t="shared" si="36"/>
        <v>23-abr</v>
      </c>
      <c r="FO120" s="11" t="str">
        <f t="shared" si="37"/>
        <v/>
      </c>
      <c r="FP120" s="11" t="str">
        <f t="shared" si="27"/>
        <v/>
      </c>
      <c r="FQ120" s="11" t="str">
        <f t="shared" si="28"/>
        <v/>
      </c>
    </row>
    <row r="121" spans="1:173">
      <c r="A121" s="385"/>
      <c r="B121" s="386"/>
      <c r="C121" s="387"/>
      <c r="G121" s="237" t="s">
        <v>498</v>
      </c>
      <c r="H121" s="28">
        <v>314</v>
      </c>
      <c r="I121" s="64">
        <v>8202</v>
      </c>
      <c r="BC121"/>
      <c r="BD121"/>
      <c r="BE121"/>
      <c r="BF121"/>
      <c r="BJ121"/>
      <c r="BK121"/>
      <c r="BL121"/>
      <c r="CI121"/>
      <c r="CJ121"/>
      <c r="CM121"/>
      <c r="CN121"/>
      <c r="CO121"/>
      <c r="DG121"/>
      <c r="DH121"/>
      <c r="DI121"/>
      <c r="DJ121"/>
      <c r="DK121"/>
      <c r="DL121"/>
      <c r="EG121"/>
      <c r="EH121"/>
      <c r="EW121" s="43" t="s">
        <v>499</v>
      </c>
      <c r="EX121" s="61">
        <v>1440</v>
      </c>
      <c r="EY121" s="61">
        <v>0</v>
      </c>
      <c r="EZ121" s="61">
        <v>71</v>
      </c>
      <c r="FA121" s="61">
        <v>0</v>
      </c>
      <c r="FB121" s="61">
        <v>0</v>
      </c>
      <c r="FD121" s="141" t="str">
        <f t="shared" si="34"/>
        <v>24-abr</v>
      </c>
      <c r="FE121" s="11" t="str">
        <f t="shared" si="35"/>
        <v/>
      </c>
      <c r="FF121" s="11" t="str">
        <f t="shared" si="29"/>
        <v/>
      </c>
      <c r="FG121" s="11" t="str">
        <f t="shared" si="30"/>
        <v/>
      </c>
      <c r="FI121" s="141" t="str">
        <f t="shared" si="38"/>
        <v>24-abr</v>
      </c>
      <c r="FJ121" s="11" t="str">
        <f t="shared" si="31"/>
        <v/>
      </c>
      <c r="FK121" s="11" t="str">
        <f t="shared" si="32"/>
        <v/>
      </c>
      <c r="FL121" s="11" t="str">
        <f t="shared" si="33"/>
        <v/>
      </c>
      <c r="FN121" s="141" t="str">
        <f t="shared" si="36"/>
        <v>24-abr</v>
      </c>
      <c r="FO121" s="11" t="str">
        <f t="shared" si="37"/>
        <v/>
      </c>
      <c r="FP121" s="11" t="str">
        <f t="shared" si="27"/>
        <v/>
      </c>
      <c r="FQ121" s="11" t="str">
        <f t="shared" si="28"/>
        <v/>
      </c>
    </row>
    <row r="122" spans="1:173">
      <c r="A122" s="385"/>
      <c r="B122" s="386"/>
      <c r="C122" s="387"/>
      <c r="G122" s="237" t="s">
        <v>500</v>
      </c>
      <c r="H122" s="28">
        <v>0</v>
      </c>
      <c r="I122" s="64">
        <v>8724</v>
      </c>
      <c r="BC122"/>
      <c r="BD122"/>
      <c r="BE122"/>
      <c r="BF122"/>
      <c r="BJ122"/>
      <c r="BK122"/>
      <c r="BL122"/>
      <c r="CI122"/>
      <c r="CJ122"/>
      <c r="CM122"/>
      <c r="CN122"/>
      <c r="CO122"/>
      <c r="DG122"/>
      <c r="DH122"/>
      <c r="DI122"/>
      <c r="DJ122"/>
      <c r="DK122"/>
      <c r="DL122"/>
      <c r="EG122"/>
      <c r="EH122"/>
      <c r="EW122" s="43" t="s">
        <v>501</v>
      </c>
      <c r="EX122" s="61">
        <v>1440</v>
      </c>
      <c r="EY122" s="61">
        <v>0</v>
      </c>
      <c r="EZ122" s="61">
        <v>71</v>
      </c>
      <c r="FA122" s="61">
        <v>0</v>
      </c>
      <c r="FB122" s="61">
        <v>0</v>
      </c>
      <c r="FD122" s="141" t="str">
        <f t="shared" si="34"/>
        <v>25-abr</v>
      </c>
      <c r="FE122" s="11" t="str">
        <f t="shared" si="35"/>
        <v/>
      </c>
      <c r="FF122" s="11" t="str">
        <f t="shared" si="29"/>
        <v/>
      </c>
      <c r="FG122" s="11" t="str">
        <f t="shared" si="30"/>
        <v/>
      </c>
      <c r="FI122" s="141" t="str">
        <f t="shared" si="38"/>
        <v>25-abr</v>
      </c>
      <c r="FJ122" s="11" t="str">
        <f t="shared" si="31"/>
        <v/>
      </c>
      <c r="FK122" s="11" t="str">
        <f t="shared" si="32"/>
        <v/>
      </c>
      <c r="FL122" s="11" t="str">
        <f t="shared" si="33"/>
        <v/>
      </c>
      <c r="FN122" s="141" t="str">
        <f t="shared" si="36"/>
        <v>25-abr</v>
      </c>
      <c r="FO122" s="11" t="str">
        <f t="shared" si="37"/>
        <v/>
      </c>
      <c r="FP122" s="11" t="str">
        <f t="shared" si="27"/>
        <v/>
      </c>
      <c r="FQ122" s="11" t="str">
        <f t="shared" si="28"/>
        <v/>
      </c>
    </row>
    <row r="123" spans="1:173">
      <c r="A123" s="385"/>
      <c r="B123" s="386"/>
      <c r="C123" s="387"/>
      <c r="G123" s="237" t="s">
        <v>502</v>
      </c>
      <c r="H123" s="28">
        <v>737.04002607923439</v>
      </c>
      <c r="I123" s="64">
        <v>12821</v>
      </c>
      <c r="BC123"/>
      <c r="BD123"/>
      <c r="BE123"/>
      <c r="BF123"/>
      <c r="BJ123"/>
      <c r="BK123"/>
      <c r="BL123"/>
      <c r="CI123"/>
      <c r="CJ123"/>
      <c r="CM123"/>
      <c r="CN123"/>
      <c r="CO123"/>
      <c r="DG123"/>
      <c r="DH123"/>
      <c r="DI123"/>
      <c r="DJ123"/>
      <c r="DK123"/>
      <c r="DL123"/>
      <c r="EG123"/>
      <c r="EH123"/>
      <c r="EW123" s="43" t="s">
        <v>503</v>
      </c>
      <c r="EX123" s="61">
        <v>1440</v>
      </c>
      <c r="EY123" s="61">
        <v>0</v>
      </c>
      <c r="EZ123" s="61">
        <v>71</v>
      </c>
      <c r="FA123" s="61">
        <v>0</v>
      </c>
      <c r="FB123" s="61">
        <v>0</v>
      </c>
      <c r="FD123" s="141" t="str">
        <f t="shared" si="34"/>
        <v>26-abr</v>
      </c>
      <c r="FE123" s="11" t="str">
        <f t="shared" si="35"/>
        <v/>
      </c>
      <c r="FF123" s="11" t="str">
        <f t="shared" si="29"/>
        <v/>
      </c>
      <c r="FG123" s="11" t="str">
        <f t="shared" si="30"/>
        <v/>
      </c>
      <c r="FI123" s="141" t="str">
        <f t="shared" si="38"/>
        <v>26-abr</v>
      </c>
      <c r="FJ123" s="11" t="str">
        <f t="shared" si="31"/>
        <v/>
      </c>
      <c r="FK123" s="11" t="str">
        <f t="shared" si="32"/>
        <v/>
      </c>
      <c r="FL123" s="11" t="str">
        <f t="shared" si="33"/>
        <v/>
      </c>
      <c r="FN123" s="141" t="str">
        <f t="shared" si="36"/>
        <v>26-abr</v>
      </c>
      <c r="FO123" s="11" t="str">
        <f t="shared" si="37"/>
        <v/>
      </c>
      <c r="FP123" s="11" t="str">
        <f t="shared" si="27"/>
        <v/>
      </c>
      <c r="FQ123" s="11" t="str">
        <f t="shared" si="28"/>
        <v/>
      </c>
    </row>
    <row r="124" spans="1:173">
      <c r="A124" s="385"/>
      <c r="B124" s="386"/>
      <c r="C124" s="387"/>
      <c r="G124" s="237" t="s">
        <v>504</v>
      </c>
      <c r="H124" s="28">
        <v>1030.2710041967787</v>
      </c>
      <c r="I124" s="64">
        <v>12282</v>
      </c>
      <c r="BC124"/>
      <c r="BD124"/>
      <c r="BE124"/>
      <c r="BF124"/>
      <c r="BJ124"/>
      <c r="BK124"/>
      <c r="BL124"/>
      <c r="CI124"/>
      <c r="CJ124"/>
      <c r="CM124"/>
      <c r="CN124"/>
      <c r="CO124"/>
      <c r="DG124"/>
      <c r="DH124"/>
      <c r="DI124"/>
      <c r="DJ124"/>
      <c r="DK124"/>
      <c r="DL124"/>
      <c r="EG124"/>
      <c r="EH124"/>
      <c r="EW124" s="43" t="s">
        <v>505</v>
      </c>
      <c r="EX124" s="61">
        <v>1440</v>
      </c>
      <c r="EY124" s="61">
        <v>0</v>
      </c>
      <c r="EZ124" s="61">
        <v>62</v>
      </c>
      <c r="FA124" s="61">
        <v>0</v>
      </c>
      <c r="FB124" s="61">
        <v>0</v>
      </c>
      <c r="FD124" s="141" t="str">
        <f t="shared" si="34"/>
        <v>27-abr</v>
      </c>
      <c r="FE124" s="11" t="str">
        <f t="shared" si="35"/>
        <v/>
      </c>
      <c r="FF124" s="11" t="str">
        <f t="shared" si="29"/>
        <v/>
      </c>
      <c r="FG124" s="11" t="str">
        <f t="shared" si="30"/>
        <v/>
      </c>
      <c r="FI124" s="141" t="str">
        <f t="shared" si="38"/>
        <v>27-abr</v>
      </c>
      <c r="FJ124" s="11" t="str">
        <f t="shared" si="31"/>
        <v/>
      </c>
      <c r="FK124" s="11" t="str">
        <f t="shared" si="32"/>
        <v/>
      </c>
      <c r="FL124" s="11" t="str">
        <f t="shared" si="33"/>
        <v/>
      </c>
      <c r="FN124" s="141" t="str">
        <f t="shared" si="36"/>
        <v>27-abr</v>
      </c>
      <c r="FO124" s="11" t="str">
        <f t="shared" si="37"/>
        <v/>
      </c>
      <c r="FP124" s="11" t="str">
        <f t="shared" si="27"/>
        <v/>
      </c>
      <c r="FQ124" s="11" t="str">
        <f t="shared" si="28"/>
        <v/>
      </c>
    </row>
    <row r="125" spans="1:173">
      <c r="A125" s="385"/>
      <c r="B125" s="386"/>
      <c r="C125" s="387"/>
      <c r="G125" s="237" t="s">
        <v>506</v>
      </c>
      <c r="H125" s="28">
        <v>1567.0523195454816</v>
      </c>
      <c r="I125" s="64">
        <v>11116</v>
      </c>
      <c r="BC125"/>
      <c r="BD125"/>
      <c r="BE125"/>
      <c r="BF125"/>
      <c r="BJ125"/>
      <c r="BK125"/>
      <c r="BL125"/>
      <c r="CI125"/>
      <c r="CJ125"/>
      <c r="CM125"/>
      <c r="CN125"/>
      <c r="CO125"/>
      <c r="DG125"/>
      <c r="DH125"/>
      <c r="DI125"/>
      <c r="DJ125"/>
      <c r="DK125"/>
      <c r="DL125"/>
      <c r="EG125"/>
      <c r="EH125"/>
      <c r="EW125" s="43" t="s">
        <v>507</v>
      </c>
      <c r="EX125" s="61">
        <v>1440</v>
      </c>
      <c r="EY125" s="61">
        <v>0</v>
      </c>
      <c r="EZ125" s="61">
        <v>71</v>
      </c>
      <c r="FA125" s="61">
        <v>0</v>
      </c>
      <c r="FB125" s="61">
        <v>0</v>
      </c>
      <c r="FD125" s="141" t="str">
        <f t="shared" si="34"/>
        <v>28-abr</v>
      </c>
      <c r="FE125" s="11" t="str">
        <f t="shared" si="35"/>
        <v/>
      </c>
      <c r="FF125" s="11" t="str">
        <f t="shared" si="29"/>
        <v/>
      </c>
      <c r="FG125" s="11" t="str">
        <f t="shared" si="30"/>
        <v/>
      </c>
      <c r="FI125" s="141" t="str">
        <f t="shared" si="38"/>
        <v>28-abr</v>
      </c>
      <c r="FJ125" s="11" t="str">
        <f t="shared" si="31"/>
        <v/>
      </c>
      <c r="FK125" s="11" t="str">
        <f t="shared" si="32"/>
        <v/>
      </c>
      <c r="FL125" s="11" t="str">
        <f t="shared" si="33"/>
        <v/>
      </c>
      <c r="FN125" s="141" t="str">
        <f t="shared" si="36"/>
        <v>28-abr</v>
      </c>
      <c r="FO125" s="11" t="str">
        <f t="shared" si="37"/>
        <v/>
      </c>
      <c r="FP125" s="11" t="str">
        <f t="shared" si="27"/>
        <v/>
      </c>
      <c r="FQ125" s="11" t="str">
        <f t="shared" si="28"/>
        <v/>
      </c>
    </row>
    <row r="126" spans="1:173">
      <c r="A126" s="385"/>
      <c r="B126" s="386"/>
      <c r="C126" s="387"/>
      <c r="G126" s="237" t="s">
        <v>508</v>
      </c>
      <c r="H126" s="239">
        <v>831.60555056379553</v>
      </c>
      <c r="I126" s="64">
        <v>17281</v>
      </c>
      <c r="BC126"/>
      <c r="BD126"/>
      <c r="BE126"/>
      <c r="BF126"/>
      <c r="BJ126"/>
      <c r="BK126"/>
      <c r="BL126"/>
      <c r="CI126"/>
      <c r="CJ126"/>
      <c r="CM126"/>
      <c r="CN126"/>
      <c r="CO126"/>
      <c r="DG126"/>
      <c r="DH126"/>
      <c r="DI126"/>
      <c r="DJ126"/>
      <c r="DK126"/>
      <c r="DL126"/>
      <c r="EG126"/>
      <c r="EH126"/>
      <c r="EW126" s="43" t="s">
        <v>509</v>
      </c>
      <c r="EX126" s="61">
        <v>1440</v>
      </c>
      <c r="EY126" s="61">
        <v>0</v>
      </c>
      <c r="EZ126" s="61">
        <v>71</v>
      </c>
      <c r="FA126" s="61">
        <v>0</v>
      </c>
      <c r="FB126" s="61">
        <v>0</v>
      </c>
      <c r="FD126" s="141" t="str">
        <f t="shared" si="34"/>
        <v>29-abr</v>
      </c>
      <c r="FE126" s="11" t="str">
        <f t="shared" si="35"/>
        <v/>
      </c>
      <c r="FF126" s="11" t="str">
        <f t="shared" si="29"/>
        <v/>
      </c>
      <c r="FG126" s="11" t="str">
        <f t="shared" si="30"/>
        <v/>
      </c>
      <c r="FI126" s="141" t="str">
        <f t="shared" si="38"/>
        <v>29-abr</v>
      </c>
      <c r="FJ126" s="11" t="str">
        <f t="shared" si="31"/>
        <v/>
      </c>
      <c r="FK126" s="11" t="str">
        <f t="shared" si="32"/>
        <v/>
      </c>
      <c r="FL126" s="11" t="str">
        <f t="shared" si="33"/>
        <v/>
      </c>
      <c r="FN126" s="141" t="str">
        <f t="shared" si="36"/>
        <v>29-abr</v>
      </c>
      <c r="FO126" s="11" t="str">
        <f t="shared" si="37"/>
        <v/>
      </c>
      <c r="FP126" s="11" t="str">
        <f t="shared" si="27"/>
        <v/>
      </c>
      <c r="FQ126" s="11" t="str">
        <f t="shared" si="28"/>
        <v/>
      </c>
    </row>
    <row r="127" spans="1:173">
      <c r="A127" s="385"/>
      <c r="B127" s="386"/>
      <c r="C127" s="387"/>
      <c r="G127" s="237" t="s">
        <v>510</v>
      </c>
      <c r="H127" s="28" t="e">
        <f>GETPIVOTDATA("Suma de LO Storage Tank [gal]",$A$115,"Meses",12)</f>
        <v>#REF!</v>
      </c>
      <c r="I127" s="64" t="e">
        <f>GETPIVOTDATA("Suma de G. HGS  [MWh]",$A$115,"Meses",12)</f>
        <v>#REF!</v>
      </c>
      <c r="BC127"/>
      <c r="BD127"/>
      <c r="BE127"/>
      <c r="BF127"/>
      <c r="BJ127"/>
      <c r="BK127"/>
      <c r="BL127"/>
      <c r="CI127"/>
      <c r="CJ127"/>
      <c r="CM127"/>
      <c r="CN127"/>
      <c r="CO127"/>
      <c r="DG127"/>
      <c r="DH127"/>
      <c r="DI127"/>
      <c r="DJ127"/>
      <c r="DK127"/>
      <c r="DL127"/>
      <c r="EG127"/>
      <c r="EH127"/>
      <c r="EW127" s="43" t="s">
        <v>511</v>
      </c>
      <c r="EX127" s="61">
        <v>1440</v>
      </c>
      <c r="EY127" s="61">
        <v>0</v>
      </c>
      <c r="EZ127" s="61">
        <v>71</v>
      </c>
      <c r="FA127" s="61">
        <v>0</v>
      </c>
      <c r="FB127" s="61">
        <v>0</v>
      </c>
      <c r="FD127" s="141" t="str">
        <f t="shared" si="34"/>
        <v>30-abr</v>
      </c>
      <c r="FE127" s="11" t="str">
        <f t="shared" si="35"/>
        <v/>
      </c>
      <c r="FF127" s="11" t="str">
        <f t="shared" si="29"/>
        <v/>
      </c>
      <c r="FG127" s="11" t="str">
        <f t="shared" si="30"/>
        <v/>
      </c>
      <c r="FI127" s="141" t="str">
        <f t="shared" si="38"/>
        <v>30-abr</v>
      </c>
      <c r="FJ127" s="11" t="str">
        <f t="shared" si="31"/>
        <v/>
      </c>
      <c r="FK127" s="11" t="str">
        <f t="shared" si="32"/>
        <v/>
      </c>
      <c r="FL127" s="11" t="str">
        <f t="shared" si="33"/>
        <v/>
      </c>
      <c r="FN127" s="141" t="str">
        <f t="shared" si="36"/>
        <v>30-abr</v>
      </c>
      <c r="FO127" s="11" t="str">
        <f t="shared" si="37"/>
        <v/>
      </c>
      <c r="FP127" s="11" t="str">
        <f t="shared" si="27"/>
        <v/>
      </c>
      <c r="FQ127" s="11" t="str">
        <f t="shared" si="28"/>
        <v/>
      </c>
    </row>
    <row r="128" spans="1:173">
      <c r="A128" s="385"/>
      <c r="B128" s="386"/>
      <c r="C128" s="387"/>
      <c r="BC128"/>
      <c r="BD128"/>
      <c r="BE128"/>
      <c r="BF128"/>
      <c r="BJ128"/>
      <c r="BK128"/>
      <c r="BL128"/>
      <c r="CI128"/>
      <c r="CJ128"/>
      <c r="CM128"/>
      <c r="CN128"/>
      <c r="CO128"/>
      <c r="DG128"/>
      <c r="DH128"/>
      <c r="DI128"/>
      <c r="DJ128"/>
      <c r="DK128"/>
      <c r="DL128"/>
      <c r="EG128"/>
      <c r="EH128"/>
      <c r="EW128" s="37" t="s">
        <v>250</v>
      </c>
      <c r="EX128" s="61"/>
      <c r="EY128" s="61"/>
      <c r="EZ128" s="61"/>
      <c r="FA128" s="61"/>
      <c r="FB128" s="61"/>
      <c r="FD128" s="141" t="str">
        <f t="shared" si="34"/>
        <v>may</v>
      </c>
      <c r="FE128" s="11" t="str">
        <f t="shared" si="35"/>
        <v/>
      </c>
      <c r="FF128" s="11" t="str">
        <f t="shared" si="29"/>
        <v/>
      </c>
      <c r="FG128" s="11" t="str">
        <f t="shared" si="30"/>
        <v/>
      </c>
      <c r="FI128" s="141" t="str">
        <f t="shared" si="38"/>
        <v>may</v>
      </c>
      <c r="FJ128" s="11" t="str">
        <f t="shared" si="31"/>
        <v/>
      </c>
      <c r="FK128" s="11" t="str">
        <f t="shared" si="32"/>
        <v/>
      </c>
      <c r="FL128" s="11" t="str">
        <f t="shared" si="33"/>
        <v/>
      </c>
      <c r="FN128" s="141" t="str">
        <f t="shared" si="36"/>
        <v>may</v>
      </c>
      <c r="FO128" s="11" t="str">
        <f t="shared" si="37"/>
        <v/>
      </c>
      <c r="FP128" s="11" t="str">
        <f t="shared" si="27"/>
        <v/>
      </c>
      <c r="FQ128" s="11" t="str">
        <f t="shared" si="28"/>
        <v/>
      </c>
    </row>
    <row r="129" spans="1:173">
      <c r="A129" s="385"/>
      <c r="B129" s="386"/>
      <c r="C129" s="387"/>
      <c r="BC129"/>
      <c r="BD129"/>
      <c r="BE129"/>
      <c r="BF129"/>
      <c r="BJ129"/>
      <c r="BK129"/>
      <c r="BL129"/>
      <c r="CI129"/>
      <c r="CJ129"/>
      <c r="CM129"/>
      <c r="CN129"/>
      <c r="CO129"/>
      <c r="DG129"/>
      <c r="DH129"/>
      <c r="DI129"/>
      <c r="DJ129"/>
      <c r="DK129"/>
      <c r="DL129"/>
      <c r="EG129"/>
      <c r="EH129"/>
      <c r="EW129" s="43" t="s">
        <v>512</v>
      </c>
      <c r="EX129" s="61">
        <v>1440</v>
      </c>
      <c r="EY129" s="61">
        <v>0</v>
      </c>
      <c r="EZ129" s="61">
        <v>71</v>
      </c>
      <c r="FA129" s="61">
        <v>0</v>
      </c>
      <c r="FB129" s="61">
        <v>0</v>
      </c>
      <c r="FD129" s="141" t="str">
        <f t="shared" si="34"/>
        <v>1-may</v>
      </c>
      <c r="FE129" s="11" t="str">
        <f t="shared" si="35"/>
        <v/>
      </c>
      <c r="FF129" s="11" t="str">
        <f t="shared" si="29"/>
        <v/>
      </c>
      <c r="FG129" s="11" t="str">
        <f t="shared" si="30"/>
        <v/>
      </c>
      <c r="FI129" s="141" t="str">
        <f t="shared" si="38"/>
        <v>1-may</v>
      </c>
      <c r="FJ129" s="11" t="str">
        <f t="shared" si="31"/>
        <v/>
      </c>
      <c r="FK129" s="11" t="str">
        <f t="shared" si="32"/>
        <v/>
      </c>
      <c r="FL129" s="11" t="str">
        <f t="shared" si="33"/>
        <v/>
      </c>
      <c r="FN129" s="141" t="str">
        <f t="shared" si="36"/>
        <v>1-may</v>
      </c>
      <c r="FO129" s="11" t="str">
        <f t="shared" si="37"/>
        <v/>
      </c>
      <c r="FP129" s="11" t="str">
        <f t="shared" si="27"/>
        <v/>
      </c>
      <c r="FQ129" s="11" t="str">
        <f t="shared" si="28"/>
        <v/>
      </c>
    </row>
    <row r="130" spans="1:173">
      <c r="A130" s="385"/>
      <c r="B130" s="386"/>
      <c r="C130" s="387"/>
      <c r="BC130"/>
      <c r="BD130"/>
      <c r="BE130"/>
      <c r="BF130"/>
      <c r="BJ130"/>
      <c r="BK130"/>
      <c r="BL130"/>
      <c r="CI130"/>
      <c r="CJ130"/>
      <c r="CM130"/>
      <c r="CN130"/>
      <c r="CO130"/>
      <c r="DG130"/>
      <c r="DH130"/>
      <c r="DI130"/>
      <c r="DJ130"/>
      <c r="DK130"/>
      <c r="DL130"/>
      <c r="EG130"/>
      <c r="EH130"/>
      <c r="EW130" s="43" t="s">
        <v>513</v>
      </c>
      <c r="EX130" s="61">
        <v>1440</v>
      </c>
      <c r="EY130" s="61">
        <v>0</v>
      </c>
      <c r="EZ130" s="61">
        <v>71</v>
      </c>
      <c r="FA130" s="61">
        <v>0</v>
      </c>
      <c r="FB130" s="61">
        <v>0</v>
      </c>
      <c r="FD130" s="141" t="str">
        <f t="shared" si="34"/>
        <v>2-may</v>
      </c>
      <c r="FE130" s="11" t="str">
        <f t="shared" si="35"/>
        <v/>
      </c>
      <c r="FF130" s="11" t="str">
        <f t="shared" si="29"/>
        <v/>
      </c>
      <c r="FG130" s="11" t="str">
        <f t="shared" si="30"/>
        <v/>
      </c>
      <c r="FI130" s="141" t="str">
        <f t="shared" si="38"/>
        <v>2-may</v>
      </c>
      <c r="FJ130" s="11" t="str">
        <f t="shared" si="31"/>
        <v/>
      </c>
      <c r="FK130" s="11" t="str">
        <f t="shared" si="32"/>
        <v/>
      </c>
      <c r="FL130" s="11" t="str">
        <f t="shared" si="33"/>
        <v/>
      </c>
      <c r="FN130" s="141" t="str">
        <f t="shared" si="36"/>
        <v>2-may</v>
      </c>
      <c r="FO130" s="11" t="str">
        <f t="shared" si="37"/>
        <v/>
      </c>
      <c r="FP130" s="11" t="str">
        <f t="shared" si="27"/>
        <v/>
      </c>
      <c r="FQ130" s="11" t="str">
        <f t="shared" si="28"/>
        <v/>
      </c>
    </row>
    <row r="131" spans="1:173">
      <c r="A131" s="385"/>
      <c r="B131" s="386"/>
      <c r="C131" s="387"/>
      <c r="BC131"/>
      <c r="BD131"/>
      <c r="BE131"/>
      <c r="BF131"/>
      <c r="BJ131"/>
      <c r="BK131"/>
      <c r="BL131"/>
      <c r="CI131"/>
      <c r="CJ131"/>
      <c r="CM131"/>
      <c r="CN131"/>
      <c r="CO131"/>
      <c r="DG131"/>
      <c r="DH131"/>
      <c r="DI131"/>
      <c r="DJ131"/>
      <c r="DK131"/>
      <c r="DL131"/>
      <c r="EG131"/>
      <c r="EH131"/>
      <c r="EW131" s="43" t="s">
        <v>514</v>
      </c>
      <c r="EX131" s="61">
        <v>1440</v>
      </c>
      <c r="EY131" s="61">
        <v>0</v>
      </c>
      <c r="EZ131" s="61">
        <v>71</v>
      </c>
      <c r="FA131" s="61">
        <v>0</v>
      </c>
      <c r="FB131" s="61">
        <v>0</v>
      </c>
      <c r="FD131" s="141" t="str">
        <f t="shared" si="34"/>
        <v>3-may</v>
      </c>
      <c r="FE131" s="11" t="str">
        <f t="shared" si="35"/>
        <v/>
      </c>
      <c r="FF131" s="11" t="str">
        <f t="shared" si="29"/>
        <v/>
      </c>
      <c r="FG131" s="11" t="str">
        <f t="shared" si="30"/>
        <v/>
      </c>
      <c r="FI131" s="141" t="str">
        <f t="shared" si="38"/>
        <v>3-may</v>
      </c>
      <c r="FJ131" s="11" t="str">
        <f t="shared" si="31"/>
        <v/>
      </c>
      <c r="FK131" s="11" t="str">
        <f t="shared" si="32"/>
        <v/>
      </c>
      <c r="FL131" s="11" t="str">
        <f t="shared" si="33"/>
        <v/>
      </c>
      <c r="FN131" s="141" t="str">
        <f t="shared" si="36"/>
        <v>3-may</v>
      </c>
      <c r="FO131" s="11" t="str">
        <f t="shared" si="37"/>
        <v/>
      </c>
      <c r="FP131" s="11" t="str">
        <f t="shared" si="27"/>
        <v/>
      </c>
      <c r="FQ131" s="11" t="str">
        <f t="shared" si="28"/>
        <v/>
      </c>
    </row>
    <row r="132" spans="1:173">
      <c r="A132" s="388"/>
      <c r="B132" s="389"/>
      <c r="C132" s="390"/>
      <c r="BC132"/>
      <c r="BD132"/>
      <c r="BE132"/>
      <c r="BF132"/>
      <c r="BJ132"/>
      <c r="BK132"/>
      <c r="BL132"/>
      <c r="CI132"/>
      <c r="CJ132"/>
      <c r="CM132"/>
      <c r="CN132"/>
      <c r="CO132"/>
      <c r="DG132"/>
      <c r="DH132"/>
      <c r="DI132"/>
      <c r="DJ132"/>
      <c r="DK132"/>
      <c r="DL132"/>
      <c r="EG132"/>
      <c r="EH132"/>
      <c r="EW132" s="43" t="s">
        <v>515</v>
      </c>
      <c r="EX132" s="61">
        <v>1440</v>
      </c>
      <c r="EY132" s="61">
        <v>0</v>
      </c>
      <c r="EZ132" s="61">
        <v>71</v>
      </c>
      <c r="FA132" s="61">
        <v>0</v>
      </c>
      <c r="FB132" s="61">
        <v>0</v>
      </c>
      <c r="FD132" s="141" t="str">
        <f t="shared" si="34"/>
        <v>4-may</v>
      </c>
      <c r="FE132" s="11" t="str">
        <f t="shared" si="35"/>
        <v/>
      </c>
      <c r="FF132" s="11" t="str">
        <f t="shared" si="29"/>
        <v/>
      </c>
      <c r="FG132" s="11" t="str">
        <f t="shared" si="30"/>
        <v/>
      </c>
      <c r="FI132" s="141" t="str">
        <f t="shared" si="38"/>
        <v>4-may</v>
      </c>
      <c r="FJ132" s="11" t="str">
        <f t="shared" si="31"/>
        <v/>
      </c>
      <c r="FK132" s="11" t="str">
        <f t="shared" si="32"/>
        <v/>
      </c>
      <c r="FL132" s="11" t="str">
        <f t="shared" si="33"/>
        <v/>
      </c>
      <c r="FN132" s="141" t="str">
        <f t="shared" si="36"/>
        <v>4-may</v>
      </c>
      <c r="FO132" s="11" t="str">
        <f t="shared" si="37"/>
        <v/>
      </c>
      <c r="FP132" s="11" t="str">
        <f t="shared" si="27"/>
        <v/>
      </c>
      <c r="FQ132" s="11" t="str">
        <f t="shared" si="28"/>
        <v/>
      </c>
    </row>
    <row r="133" spans="1:173">
      <c r="B133"/>
      <c r="C133"/>
      <c r="BC133"/>
      <c r="BD133"/>
      <c r="BE133"/>
      <c r="BF133"/>
      <c r="BJ133"/>
      <c r="BK133"/>
      <c r="BL133"/>
      <c r="CI133"/>
      <c r="CJ133"/>
      <c r="CM133"/>
      <c r="CN133"/>
      <c r="CO133"/>
      <c r="DG133"/>
      <c r="DH133"/>
      <c r="DI133"/>
      <c r="DJ133"/>
      <c r="DK133"/>
      <c r="DL133"/>
      <c r="EG133"/>
      <c r="EH133"/>
      <c r="EW133" s="43" t="s">
        <v>516</v>
      </c>
      <c r="EX133" s="61">
        <v>1440</v>
      </c>
      <c r="EY133" s="61">
        <v>0</v>
      </c>
      <c r="EZ133" s="61">
        <v>71</v>
      </c>
      <c r="FA133" s="61">
        <v>0</v>
      </c>
      <c r="FB133" s="61">
        <v>0</v>
      </c>
      <c r="FD133" s="141" t="str">
        <f t="shared" si="34"/>
        <v>5-may</v>
      </c>
      <c r="FE133" s="11" t="str">
        <f t="shared" si="35"/>
        <v/>
      </c>
      <c r="FF133" s="11" t="str">
        <f t="shared" si="29"/>
        <v/>
      </c>
      <c r="FG133" s="11" t="str">
        <f t="shared" si="30"/>
        <v/>
      </c>
      <c r="FI133" s="141" t="str">
        <f t="shared" si="38"/>
        <v>5-may</v>
      </c>
      <c r="FJ133" s="11" t="str">
        <f t="shared" si="31"/>
        <v/>
      </c>
      <c r="FK133" s="11" t="str">
        <f t="shared" si="32"/>
        <v/>
      </c>
      <c r="FL133" s="11" t="str">
        <f t="shared" si="33"/>
        <v/>
      </c>
      <c r="FN133" s="141" t="str">
        <f t="shared" si="36"/>
        <v>5-may</v>
      </c>
      <c r="FO133" s="11" t="str">
        <f t="shared" si="37"/>
        <v/>
      </c>
      <c r="FP133" s="11" t="str">
        <f t="shared" si="27"/>
        <v/>
      </c>
      <c r="FQ133" s="11" t="str">
        <f t="shared" si="28"/>
        <v/>
      </c>
    </row>
    <row r="134" spans="1:173">
      <c r="B134"/>
      <c r="C134"/>
      <c r="BC134"/>
      <c r="BD134"/>
      <c r="BE134"/>
      <c r="BF134"/>
      <c r="BJ134"/>
      <c r="BK134"/>
      <c r="BL134"/>
      <c r="CI134"/>
      <c r="CJ134"/>
      <c r="CM134"/>
      <c r="CN134"/>
      <c r="CO134"/>
      <c r="DG134"/>
      <c r="DH134"/>
      <c r="DI134"/>
      <c r="DJ134"/>
      <c r="DK134"/>
      <c r="DL134"/>
      <c r="EG134"/>
      <c r="EH134"/>
      <c r="EW134" s="43" t="s">
        <v>517</v>
      </c>
      <c r="EX134" s="61">
        <v>1440</v>
      </c>
      <c r="EY134" s="61">
        <v>0</v>
      </c>
      <c r="EZ134" s="61">
        <v>71</v>
      </c>
      <c r="FA134" s="61">
        <v>0</v>
      </c>
      <c r="FB134" s="61">
        <v>0</v>
      </c>
      <c r="FD134" s="141" t="str">
        <f t="shared" si="34"/>
        <v>6-may</v>
      </c>
      <c r="FE134" s="11" t="str">
        <f t="shared" si="35"/>
        <v/>
      </c>
      <c r="FF134" s="11" t="str">
        <f t="shared" si="29"/>
        <v/>
      </c>
      <c r="FG134" s="11" t="str">
        <f t="shared" si="30"/>
        <v/>
      </c>
      <c r="FI134" s="141" t="str">
        <f t="shared" si="38"/>
        <v>6-may</v>
      </c>
      <c r="FJ134" s="11" t="str">
        <f t="shared" si="31"/>
        <v/>
      </c>
      <c r="FK134" s="11" t="str">
        <f t="shared" si="32"/>
        <v/>
      </c>
      <c r="FL134" s="11" t="str">
        <f t="shared" si="33"/>
        <v/>
      </c>
      <c r="FN134" s="141" t="str">
        <f t="shared" si="36"/>
        <v>6-may</v>
      </c>
      <c r="FO134" s="11" t="str">
        <f t="shared" si="37"/>
        <v/>
      </c>
      <c r="FP134" s="11" t="str">
        <f t="shared" si="27"/>
        <v/>
      </c>
      <c r="FQ134" s="11" t="str">
        <f t="shared" si="28"/>
        <v/>
      </c>
    </row>
    <row r="135" spans="1:173">
      <c r="B135"/>
      <c r="C135"/>
      <c r="BC135"/>
      <c r="BD135"/>
      <c r="BE135"/>
      <c r="BF135"/>
      <c r="BJ135"/>
      <c r="BK135"/>
      <c r="BL135"/>
      <c r="CI135"/>
      <c r="CJ135"/>
      <c r="CM135"/>
      <c r="CN135"/>
      <c r="CO135"/>
      <c r="DG135"/>
      <c r="DH135"/>
      <c r="DI135"/>
      <c r="DJ135"/>
      <c r="DK135"/>
      <c r="DL135"/>
      <c r="EG135"/>
      <c r="EH135"/>
      <c r="EW135" s="43" t="s">
        <v>518</v>
      </c>
      <c r="EX135" s="61">
        <v>1440</v>
      </c>
      <c r="EY135" s="61">
        <v>0</v>
      </c>
      <c r="EZ135" s="61">
        <v>71</v>
      </c>
      <c r="FA135" s="61">
        <v>0</v>
      </c>
      <c r="FB135" s="61">
        <v>0</v>
      </c>
      <c r="FD135" s="141" t="str">
        <f t="shared" si="34"/>
        <v>7-may</v>
      </c>
      <c r="FE135" s="11" t="str">
        <f t="shared" si="35"/>
        <v/>
      </c>
      <c r="FF135" s="11" t="str">
        <f t="shared" si="29"/>
        <v/>
      </c>
      <c r="FG135" s="11" t="str">
        <f t="shared" si="30"/>
        <v/>
      </c>
      <c r="FI135" s="141" t="str">
        <f t="shared" si="38"/>
        <v>7-may</v>
      </c>
      <c r="FJ135" s="11" t="str">
        <f t="shared" si="31"/>
        <v/>
      </c>
      <c r="FK135" s="11" t="str">
        <f t="shared" si="32"/>
        <v/>
      </c>
      <c r="FL135" s="11" t="str">
        <f t="shared" si="33"/>
        <v/>
      </c>
      <c r="FN135" s="141" t="str">
        <f t="shared" si="36"/>
        <v>7-may</v>
      </c>
      <c r="FO135" s="11" t="str">
        <f t="shared" si="37"/>
        <v/>
      </c>
      <c r="FP135" s="11" t="str">
        <f t="shared" ref="FP135:FP198" si="39">IF(FO135=1,FA135,"")</f>
        <v/>
      </c>
      <c r="FQ135" s="11" t="str">
        <f t="shared" ref="FQ135:FQ198" si="40">IF(FO135=1,EX135,"")</f>
        <v/>
      </c>
    </row>
    <row r="136" spans="1:173">
      <c r="B136"/>
      <c r="C136"/>
      <c r="BC136"/>
      <c r="BD136"/>
      <c r="BE136"/>
      <c r="BF136"/>
      <c r="BJ136"/>
      <c r="BK136"/>
      <c r="BL136"/>
      <c r="CI136"/>
      <c r="CJ136"/>
      <c r="CM136"/>
      <c r="CN136"/>
      <c r="CO136"/>
      <c r="DG136"/>
      <c r="DH136"/>
      <c r="DI136"/>
      <c r="DJ136"/>
      <c r="DK136"/>
      <c r="DL136"/>
      <c r="EG136"/>
      <c r="EH136"/>
      <c r="EW136" s="43" t="s">
        <v>519</v>
      </c>
      <c r="EX136" s="61">
        <v>1440</v>
      </c>
      <c r="EY136" s="61">
        <v>0</v>
      </c>
      <c r="EZ136" s="61">
        <v>71</v>
      </c>
      <c r="FA136" s="61">
        <v>0</v>
      </c>
      <c r="FB136" s="61">
        <v>0</v>
      </c>
      <c r="FD136" s="141" t="str">
        <f t="shared" si="34"/>
        <v>8-may</v>
      </c>
      <c r="FE136" s="11" t="str">
        <f t="shared" si="35"/>
        <v/>
      </c>
      <c r="FF136" s="11" t="str">
        <f t="shared" ref="FF136:FF199" si="41">IF(FE136=1,EY136,"")</f>
        <v/>
      </c>
      <c r="FG136" s="11" t="str">
        <f t="shared" ref="FG136:FG199" si="42">IF(FE136=1,GETPIVOTDATA("P. oferta",$EW$3,"Fecha",122,"Meses",5),"")</f>
        <v/>
      </c>
      <c r="FI136" s="141" t="str">
        <f t="shared" si="38"/>
        <v>8-may</v>
      </c>
      <c r="FJ136" s="11" t="str">
        <f t="shared" si="31"/>
        <v/>
      </c>
      <c r="FK136" s="11" t="str">
        <f t="shared" si="32"/>
        <v/>
      </c>
      <c r="FL136" s="11" t="str">
        <f t="shared" si="33"/>
        <v/>
      </c>
      <c r="FN136" s="141" t="str">
        <f t="shared" si="36"/>
        <v>8-may</v>
      </c>
      <c r="FO136" s="11" t="str">
        <f t="shared" si="37"/>
        <v/>
      </c>
      <c r="FP136" s="11" t="str">
        <f t="shared" si="39"/>
        <v/>
      </c>
      <c r="FQ136" s="11" t="str">
        <f t="shared" si="40"/>
        <v/>
      </c>
    </row>
    <row r="137" spans="1:173">
      <c r="B137"/>
      <c r="C137"/>
      <c r="BC137"/>
      <c r="BD137"/>
      <c r="BE137"/>
      <c r="BF137"/>
      <c r="BJ137"/>
      <c r="BK137"/>
      <c r="BL137"/>
      <c r="CI137"/>
      <c r="CJ137"/>
      <c r="CM137"/>
      <c r="CN137"/>
      <c r="CO137"/>
      <c r="DG137"/>
      <c r="DH137"/>
      <c r="DI137"/>
      <c r="DJ137"/>
      <c r="DK137"/>
      <c r="DL137"/>
      <c r="EG137"/>
      <c r="EH137"/>
      <c r="EW137" s="43" t="s">
        <v>520</v>
      </c>
      <c r="EX137" s="61">
        <v>1440</v>
      </c>
      <c r="EY137" s="61">
        <v>0</v>
      </c>
      <c r="EZ137" s="61">
        <v>71</v>
      </c>
      <c r="FA137" s="61">
        <v>0</v>
      </c>
      <c r="FB137" s="61">
        <v>0</v>
      </c>
      <c r="FD137" s="141" t="str">
        <f t="shared" si="34"/>
        <v>9-may</v>
      </c>
      <c r="FE137" s="11" t="str">
        <f t="shared" si="35"/>
        <v/>
      </c>
      <c r="FF137" s="11" t="str">
        <f t="shared" si="41"/>
        <v/>
      </c>
      <c r="FG137" s="11" t="str">
        <f t="shared" si="42"/>
        <v/>
      </c>
      <c r="FI137" s="141" t="str">
        <f t="shared" si="38"/>
        <v>9-may</v>
      </c>
      <c r="FJ137" s="11" t="str">
        <f t="shared" ref="FJ137:FJ200" si="43">IF(EZ137&gt;0,IF(FB137&gt;0,FB137,""),"")</f>
        <v/>
      </c>
      <c r="FK137" s="11" t="str">
        <f t="shared" ref="FK137:FK200" si="44">IF(FJ137=1,EZ137,"")</f>
        <v/>
      </c>
      <c r="FL137" s="11" t="str">
        <f t="shared" ref="FL137:FL200" si="45">IF(FJ137=1,EX137,"")</f>
        <v/>
      </c>
      <c r="FN137" s="141" t="str">
        <f t="shared" si="36"/>
        <v>9-may</v>
      </c>
      <c r="FO137" s="11" t="str">
        <f t="shared" si="37"/>
        <v/>
      </c>
      <c r="FP137" s="11" t="str">
        <f t="shared" si="39"/>
        <v/>
      </c>
      <c r="FQ137" s="11" t="str">
        <f t="shared" si="40"/>
        <v/>
      </c>
    </row>
    <row r="138" spans="1:173">
      <c r="B138"/>
      <c r="C138"/>
      <c r="BC138"/>
      <c r="BD138"/>
      <c r="BE138"/>
      <c r="BF138"/>
      <c r="BJ138"/>
      <c r="BK138"/>
      <c r="BL138"/>
      <c r="CI138"/>
      <c r="CJ138"/>
      <c r="CM138"/>
      <c r="CN138"/>
      <c r="CO138"/>
      <c r="DG138"/>
      <c r="DH138"/>
      <c r="DI138"/>
      <c r="DJ138"/>
      <c r="DK138"/>
      <c r="DL138"/>
      <c r="EG138"/>
      <c r="EH138"/>
      <c r="EW138" s="43" t="s">
        <v>521</v>
      </c>
      <c r="EX138" s="61">
        <v>1440</v>
      </c>
      <c r="EY138" s="61">
        <v>0</v>
      </c>
      <c r="EZ138" s="61">
        <v>71</v>
      </c>
      <c r="FA138" s="61">
        <v>0</v>
      </c>
      <c r="FB138" s="61">
        <v>0</v>
      </c>
      <c r="FD138" s="141" t="str">
        <f t="shared" ref="FD138:FD201" si="46">EW138</f>
        <v>10-may</v>
      </c>
      <c r="FE138" s="11" t="str">
        <f t="shared" ref="FE138:FE201" si="47">IF(EY138&gt;0,IF(FB138&gt;0,FB138,""),"")</f>
        <v/>
      </c>
      <c r="FF138" s="11" t="str">
        <f t="shared" si="41"/>
        <v/>
      </c>
      <c r="FG138" s="11" t="str">
        <f t="shared" si="42"/>
        <v/>
      </c>
      <c r="FI138" s="141" t="str">
        <f t="shared" si="38"/>
        <v>10-may</v>
      </c>
      <c r="FJ138" s="11" t="str">
        <f t="shared" si="43"/>
        <v/>
      </c>
      <c r="FK138" s="11" t="str">
        <f t="shared" si="44"/>
        <v/>
      </c>
      <c r="FL138" s="11" t="str">
        <f t="shared" si="45"/>
        <v/>
      </c>
      <c r="FN138" s="141" t="str">
        <f t="shared" ref="FN138:FN201" si="48">EW138</f>
        <v>10-may</v>
      </c>
      <c r="FO138" s="11" t="str">
        <f t="shared" ref="FO138:FO201" si="49">IF(FA138&gt;0,IF(FB138&gt;0,FB138,""),"")</f>
        <v/>
      </c>
      <c r="FP138" s="11" t="str">
        <f t="shared" si="39"/>
        <v/>
      </c>
      <c r="FQ138" s="11" t="str">
        <f t="shared" si="40"/>
        <v/>
      </c>
    </row>
    <row r="139" spans="1:173">
      <c r="B139"/>
      <c r="C139"/>
      <c r="BC139"/>
      <c r="BD139"/>
      <c r="BE139"/>
      <c r="BF139"/>
      <c r="BJ139"/>
      <c r="BK139"/>
      <c r="BL139"/>
      <c r="CI139"/>
      <c r="CJ139"/>
      <c r="CM139"/>
      <c r="CN139"/>
      <c r="CO139"/>
      <c r="DG139"/>
      <c r="DH139"/>
      <c r="DI139"/>
      <c r="DJ139"/>
      <c r="DK139"/>
      <c r="DL139"/>
      <c r="EG139"/>
      <c r="EH139"/>
      <c r="EW139" s="43" t="s">
        <v>522</v>
      </c>
      <c r="EX139" s="61">
        <v>1440</v>
      </c>
      <c r="EY139" s="61">
        <v>0</v>
      </c>
      <c r="EZ139" s="61">
        <v>71</v>
      </c>
      <c r="FA139" s="61">
        <v>0</v>
      </c>
      <c r="FB139" s="61">
        <v>0</v>
      </c>
      <c r="FD139" s="141" t="str">
        <f t="shared" si="46"/>
        <v>11-may</v>
      </c>
      <c r="FE139" s="11" t="str">
        <f t="shared" si="47"/>
        <v/>
      </c>
      <c r="FF139" s="11" t="str">
        <f t="shared" si="41"/>
        <v/>
      </c>
      <c r="FG139" s="11" t="str">
        <f t="shared" si="42"/>
        <v/>
      </c>
      <c r="FI139" s="141" t="str">
        <f t="shared" si="38"/>
        <v>11-may</v>
      </c>
      <c r="FJ139" s="11" t="str">
        <f t="shared" si="43"/>
        <v/>
      </c>
      <c r="FK139" s="11" t="str">
        <f t="shared" si="44"/>
        <v/>
      </c>
      <c r="FL139" s="11" t="str">
        <f t="shared" si="45"/>
        <v/>
      </c>
      <c r="FN139" s="141" t="str">
        <f t="shared" si="48"/>
        <v>11-may</v>
      </c>
      <c r="FO139" s="11" t="str">
        <f t="shared" si="49"/>
        <v/>
      </c>
      <c r="FP139" s="11" t="str">
        <f t="shared" si="39"/>
        <v/>
      </c>
      <c r="FQ139" s="11" t="str">
        <f t="shared" si="40"/>
        <v/>
      </c>
    </row>
    <row r="140" spans="1:173">
      <c r="B140"/>
      <c r="C140"/>
      <c r="BC140"/>
      <c r="BD140"/>
      <c r="BE140"/>
      <c r="BF140"/>
      <c r="BJ140"/>
      <c r="BK140"/>
      <c r="BL140"/>
      <c r="CI140"/>
      <c r="CJ140"/>
      <c r="CM140"/>
      <c r="CN140"/>
      <c r="CO140"/>
      <c r="DG140"/>
      <c r="DH140"/>
      <c r="DI140"/>
      <c r="DJ140"/>
      <c r="DK140"/>
      <c r="DL140"/>
      <c r="EG140"/>
      <c r="EH140"/>
      <c r="EW140" s="43" t="s">
        <v>523</v>
      </c>
      <c r="EX140" s="61">
        <v>1440</v>
      </c>
      <c r="EY140" s="61">
        <v>0</v>
      </c>
      <c r="EZ140" s="61">
        <v>71</v>
      </c>
      <c r="FA140" s="61">
        <v>0</v>
      </c>
      <c r="FB140" s="61">
        <v>0</v>
      </c>
      <c r="FD140" s="141" t="str">
        <f t="shared" si="46"/>
        <v>12-may</v>
      </c>
      <c r="FE140" s="11" t="str">
        <f t="shared" si="47"/>
        <v/>
      </c>
      <c r="FF140" s="11" t="str">
        <f t="shared" si="41"/>
        <v/>
      </c>
      <c r="FG140" s="11" t="str">
        <f t="shared" si="42"/>
        <v/>
      </c>
      <c r="FI140" s="141" t="str">
        <f t="shared" si="38"/>
        <v>12-may</v>
      </c>
      <c r="FJ140" s="11" t="str">
        <f t="shared" si="43"/>
        <v/>
      </c>
      <c r="FK140" s="11" t="str">
        <f t="shared" si="44"/>
        <v/>
      </c>
      <c r="FL140" s="11" t="str">
        <f t="shared" si="45"/>
        <v/>
      </c>
      <c r="FN140" s="141" t="str">
        <f t="shared" si="48"/>
        <v>12-may</v>
      </c>
      <c r="FO140" s="11" t="str">
        <f t="shared" si="49"/>
        <v/>
      </c>
      <c r="FP140" s="11" t="str">
        <f t="shared" si="39"/>
        <v/>
      </c>
      <c r="FQ140" s="11" t="str">
        <f t="shared" si="40"/>
        <v/>
      </c>
    </row>
    <row r="141" spans="1:173">
      <c r="B141"/>
      <c r="C141"/>
      <c r="BC141"/>
      <c r="BD141"/>
      <c r="BE141"/>
      <c r="BF141"/>
      <c r="BJ141"/>
      <c r="BK141"/>
      <c r="BL141"/>
      <c r="CI141"/>
      <c r="CJ141"/>
      <c r="CM141"/>
      <c r="CN141"/>
      <c r="CO141"/>
      <c r="DG141"/>
      <c r="DH141"/>
      <c r="DI141"/>
      <c r="DJ141"/>
      <c r="DK141"/>
      <c r="DL141"/>
      <c r="EG141"/>
      <c r="EH141"/>
      <c r="EW141" s="43" t="s">
        <v>524</v>
      </c>
      <c r="EX141" s="61">
        <v>1440</v>
      </c>
      <c r="EY141" s="61">
        <v>0</v>
      </c>
      <c r="EZ141" s="61">
        <v>71</v>
      </c>
      <c r="FA141" s="61">
        <v>0</v>
      </c>
      <c r="FB141" s="61">
        <v>0</v>
      </c>
      <c r="FD141" s="141" t="str">
        <f t="shared" si="46"/>
        <v>13-may</v>
      </c>
      <c r="FE141" s="11" t="str">
        <f t="shared" si="47"/>
        <v/>
      </c>
      <c r="FF141" s="11" t="str">
        <f t="shared" si="41"/>
        <v/>
      </c>
      <c r="FG141" s="11" t="str">
        <f t="shared" si="42"/>
        <v/>
      </c>
      <c r="FI141" s="141" t="str">
        <f t="shared" si="38"/>
        <v>13-may</v>
      </c>
      <c r="FJ141" s="11" t="str">
        <f t="shared" si="43"/>
        <v/>
      </c>
      <c r="FK141" s="11" t="str">
        <f t="shared" si="44"/>
        <v/>
      </c>
      <c r="FL141" s="11" t="str">
        <f t="shared" si="45"/>
        <v/>
      </c>
      <c r="FN141" s="141" t="str">
        <f t="shared" si="48"/>
        <v>13-may</v>
      </c>
      <c r="FO141" s="11" t="str">
        <f t="shared" si="49"/>
        <v/>
      </c>
      <c r="FP141" s="11" t="str">
        <f t="shared" si="39"/>
        <v/>
      </c>
      <c r="FQ141" s="11" t="str">
        <f t="shared" si="40"/>
        <v/>
      </c>
    </row>
    <row r="142" spans="1:173">
      <c r="B142"/>
      <c r="C142"/>
      <c r="BC142"/>
      <c r="BD142"/>
      <c r="BE142"/>
      <c r="BF142"/>
      <c r="BJ142"/>
      <c r="BK142"/>
      <c r="BL142"/>
      <c r="CI142"/>
      <c r="CJ142"/>
      <c r="CM142"/>
      <c r="CN142"/>
      <c r="CO142"/>
      <c r="DG142"/>
      <c r="DH142"/>
      <c r="DI142"/>
      <c r="DJ142"/>
      <c r="DK142"/>
      <c r="DL142"/>
      <c r="EG142"/>
      <c r="EH142"/>
      <c r="EW142" s="43" t="s">
        <v>525</v>
      </c>
      <c r="EX142" s="61">
        <v>1440</v>
      </c>
      <c r="EY142" s="61">
        <v>0</v>
      </c>
      <c r="EZ142" s="61">
        <v>71</v>
      </c>
      <c r="FA142" s="61">
        <v>0</v>
      </c>
      <c r="FB142" s="61">
        <v>0</v>
      </c>
      <c r="FD142" s="141" t="str">
        <f t="shared" si="46"/>
        <v>14-may</v>
      </c>
      <c r="FE142" s="11" t="str">
        <f t="shared" si="47"/>
        <v/>
      </c>
      <c r="FF142" s="11" t="str">
        <f t="shared" si="41"/>
        <v/>
      </c>
      <c r="FG142" s="11" t="str">
        <f t="shared" si="42"/>
        <v/>
      </c>
      <c r="FI142" s="141" t="str">
        <f t="shared" si="38"/>
        <v>14-may</v>
      </c>
      <c r="FJ142" s="11" t="str">
        <f t="shared" si="43"/>
        <v/>
      </c>
      <c r="FK142" s="11" t="str">
        <f t="shared" si="44"/>
        <v/>
      </c>
      <c r="FL142" s="11" t="str">
        <f t="shared" si="45"/>
        <v/>
      </c>
      <c r="FN142" s="141" t="str">
        <f t="shared" si="48"/>
        <v>14-may</v>
      </c>
      <c r="FO142" s="11" t="str">
        <f t="shared" si="49"/>
        <v/>
      </c>
      <c r="FP142" s="11" t="str">
        <f t="shared" si="39"/>
        <v/>
      </c>
      <c r="FQ142" s="11" t="str">
        <f t="shared" si="40"/>
        <v/>
      </c>
    </row>
    <row r="143" spans="1:173">
      <c r="B143"/>
      <c r="C143"/>
      <c r="BC143"/>
      <c r="BD143"/>
      <c r="BE143"/>
      <c r="BF143"/>
      <c r="BJ143"/>
      <c r="BK143"/>
      <c r="BL143"/>
      <c r="CI143"/>
      <c r="CJ143"/>
      <c r="CM143"/>
      <c r="CN143"/>
      <c r="CO143"/>
      <c r="DG143"/>
      <c r="DH143"/>
      <c r="DI143"/>
      <c r="DJ143"/>
      <c r="DK143"/>
      <c r="DL143"/>
      <c r="EG143"/>
      <c r="EH143"/>
      <c r="EW143" s="43" t="s">
        <v>526</v>
      </c>
      <c r="EX143" s="61">
        <v>1440</v>
      </c>
      <c r="EY143" s="61">
        <v>0</v>
      </c>
      <c r="EZ143" s="61">
        <v>71</v>
      </c>
      <c r="FA143" s="61">
        <v>0</v>
      </c>
      <c r="FB143" s="61">
        <v>0</v>
      </c>
      <c r="FD143" s="141" t="str">
        <f t="shared" si="46"/>
        <v>15-may</v>
      </c>
      <c r="FE143" s="11" t="str">
        <f t="shared" si="47"/>
        <v/>
      </c>
      <c r="FF143" s="11" t="str">
        <f t="shared" si="41"/>
        <v/>
      </c>
      <c r="FG143" s="11" t="str">
        <f t="shared" si="42"/>
        <v/>
      </c>
      <c r="FI143" s="141" t="str">
        <f t="shared" si="38"/>
        <v>15-may</v>
      </c>
      <c r="FJ143" s="11" t="str">
        <f t="shared" si="43"/>
        <v/>
      </c>
      <c r="FK143" s="11" t="str">
        <f t="shared" si="44"/>
        <v/>
      </c>
      <c r="FL143" s="11" t="str">
        <f t="shared" si="45"/>
        <v/>
      </c>
      <c r="FN143" s="141" t="str">
        <f t="shared" si="48"/>
        <v>15-may</v>
      </c>
      <c r="FO143" s="11" t="str">
        <f t="shared" si="49"/>
        <v/>
      </c>
      <c r="FP143" s="11" t="str">
        <f t="shared" si="39"/>
        <v/>
      </c>
      <c r="FQ143" s="11" t="str">
        <f t="shared" si="40"/>
        <v/>
      </c>
    </row>
    <row r="144" spans="1:173">
      <c r="B144"/>
      <c r="C144"/>
      <c r="BC144"/>
      <c r="BD144"/>
      <c r="BE144"/>
      <c r="BF144"/>
      <c r="BJ144"/>
      <c r="BK144"/>
      <c r="BL144"/>
      <c r="CI144"/>
      <c r="CJ144"/>
      <c r="CM144"/>
      <c r="CN144"/>
      <c r="CO144"/>
      <c r="DG144"/>
      <c r="DH144"/>
      <c r="DI144"/>
      <c r="DJ144"/>
      <c r="DK144"/>
      <c r="DL144"/>
      <c r="EG144"/>
      <c r="EH144"/>
      <c r="EW144" s="43" t="s">
        <v>527</v>
      </c>
      <c r="EX144" s="61">
        <v>1440</v>
      </c>
      <c r="EY144" s="61">
        <v>0</v>
      </c>
      <c r="EZ144" s="61">
        <v>71</v>
      </c>
      <c r="FA144" s="61">
        <v>0</v>
      </c>
      <c r="FB144" s="61">
        <v>0</v>
      </c>
      <c r="FD144" s="141" t="str">
        <f t="shared" si="46"/>
        <v>16-may</v>
      </c>
      <c r="FE144" s="11" t="str">
        <f t="shared" si="47"/>
        <v/>
      </c>
      <c r="FF144" s="11" t="str">
        <f t="shared" si="41"/>
        <v/>
      </c>
      <c r="FG144" s="11" t="str">
        <f t="shared" si="42"/>
        <v/>
      </c>
      <c r="FI144" s="141" t="str">
        <f t="shared" si="38"/>
        <v>16-may</v>
      </c>
      <c r="FJ144" s="11" t="str">
        <f t="shared" si="43"/>
        <v/>
      </c>
      <c r="FK144" s="11" t="str">
        <f t="shared" si="44"/>
        <v/>
      </c>
      <c r="FL144" s="11" t="str">
        <f t="shared" si="45"/>
        <v/>
      </c>
      <c r="FN144" s="141" t="str">
        <f t="shared" si="48"/>
        <v>16-may</v>
      </c>
      <c r="FO144" s="11" t="str">
        <f t="shared" si="49"/>
        <v/>
      </c>
      <c r="FP144" s="11" t="str">
        <f t="shared" si="39"/>
        <v/>
      </c>
      <c r="FQ144" s="11" t="str">
        <f t="shared" si="40"/>
        <v/>
      </c>
    </row>
    <row r="145" spans="2:173">
      <c r="B145"/>
      <c r="C145"/>
      <c r="BC145"/>
      <c r="BD145"/>
      <c r="BE145"/>
      <c r="BF145"/>
      <c r="BJ145"/>
      <c r="BK145"/>
      <c r="BL145"/>
      <c r="CI145"/>
      <c r="CJ145"/>
      <c r="CM145"/>
      <c r="CN145"/>
      <c r="CO145"/>
      <c r="DG145"/>
      <c r="DH145"/>
      <c r="DI145"/>
      <c r="DJ145"/>
      <c r="DK145"/>
      <c r="DL145"/>
      <c r="EG145"/>
      <c r="EH145"/>
      <c r="EW145" s="43" t="s">
        <v>528</v>
      </c>
      <c r="EX145" s="61">
        <v>1440</v>
      </c>
      <c r="EY145" s="61">
        <v>0</v>
      </c>
      <c r="EZ145" s="61">
        <v>71</v>
      </c>
      <c r="FA145" s="61">
        <v>0</v>
      </c>
      <c r="FB145" s="61">
        <v>0</v>
      </c>
      <c r="FD145" s="141" t="str">
        <f t="shared" si="46"/>
        <v>17-may</v>
      </c>
      <c r="FE145" s="11" t="str">
        <f t="shared" si="47"/>
        <v/>
      </c>
      <c r="FF145" s="11" t="str">
        <f t="shared" si="41"/>
        <v/>
      </c>
      <c r="FG145" s="11" t="str">
        <f t="shared" si="42"/>
        <v/>
      </c>
      <c r="FI145" s="141" t="str">
        <f t="shared" si="38"/>
        <v>17-may</v>
      </c>
      <c r="FJ145" s="11" t="str">
        <f t="shared" si="43"/>
        <v/>
      </c>
      <c r="FK145" s="11" t="str">
        <f t="shared" si="44"/>
        <v/>
      </c>
      <c r="FL145" s="11" t="str">
        <f t="shared" si="45"/>
        <v/>
      </c>
      <c r="FN145" s="141" t="str">
        <f t="shared" si="48"/>
        <v>17-may</v>
      </c>
      <c r="FO145" s="11" t="str">
        <f t="shared" si="49"/>
        <v/>
      </c>
      <c r="FP145" s="11" t="str">
        <f t="shared" si="39"/>
        <v/>
      </c>
      <c r="FQ145" s="11" t="str">
        <f t="shared" si="40"/>
        <v/>
      </c>
    </row>
    <row r="146" spans="2:173">
      <c r="B146"/>
      <c r="C146"/>
      <c r="BC146"/>
      <c r="BD146"/>
      <c r="BE146"/>
      <c r="BF146"/>
      <c r="BJ146"/>
      <c r="BK146"/>
      <c r="BL146"/>
      <c r="CI146"/>
      <c r="CJ146"/>
      <c r="CM146"/>
      <c r="CN146"/>
      <c r="CO146"/>
      <c r="DG146"/>
      <c r="DH146"/>
      <c r="DI146"/>
      <c r="DJ146"/>
      <c r="DK146"/>
      <c r="DL146"/>
      <c r="EG146"/>
      <c r="EH146"/>
      <c r="EW146" s="43" t="s">
        <v>529</v>
      </c>
      <c r="EX146" s="61">
        <v>1440</v>
      </c>
      <c r="EY146" s="61">
        <v>0</v>
      </c>
      <c r="EZ146" s="61">
        <v>71</v>
      </c>
      <c r="FA146" s="61">
        <v>0</v>
      </c>
      <c r="FB146" s="61">
        <v>0</v>
      </c>
      <c r="FD146" s="141" t="str">
        <f t="shared" si="46"/>
        <v>18-may</v>
      </c>
      <c r="FE146" s="11" t="str">
        <f t="shared" si="47"/>
        <v/>
      </c>
      <c r="FF146" s="11" t="str">
        <f t="shared" si="41"/>
        <v/>
      </c>
      <c r="FG146" s="11" t="str">
        <f t="shared" si="42"/>
        <v/>
      </c>
      <c r="FI146" s="141" t="str">
        <f t="shared" si="38"/>
        <v>18-may</v>
      </c>
      <c r="FJ146" s="11" t="str">
        <f t="shared" si="43"/>
        <v/>
      </c>
      <c r="FK146" s="11" t="str">
        <f t="shared" si="44"/>
        <v/>
      </c>
      <c r="FL146" s="11" t="str">
        <f t="shared" si="45"/>
        <v/>
      </c>
      <c r="FN146" s="141" t="str">
        <f t="shared" si="48"/>
        <v>18-may</v>
      </c>
      <c r="FO146" s="11" t="str">
        <f t="shared" si="49"/>
        <v/>
      </c>
      <c r="FP146" s="11" t="str">
        <f t="shared" si="39"/>
        <v/>
      </c>
      <c r="FQ146" s="11" t="str">
        <f t="shared" si="40"/>
        <v/>
      </c>
    </row>
    <row r="147" spans="2:173">
      <c r="B147"/>
      <c r="C147"/>
      <c r="BC147"/>
      <c r="BD147"/>
      <c r="BE147"/>
      <c r="BF147"/>
      <c r="BJ147"/>
      <c r="BK147"/>
      <c r="BL147"/>
      <c r="CI147"/>
      <c r="CJ147"/>
      <c r="CM147"/>
      <c r="CN147"/>
      <c r="CO147"/>
      <c r="DG147"/>
      <c r="DH147"/>
      <c r="DI147"/>
      <c r="DJ147"/>
      <c r="DK147"/>
      <c r="DL147"/>
      <c r="EG147"/>
      <c r="EH147"/>
      <c r="EW147" s="43" t="s">
        <v>530</v>
      </c>
      <c r="EX147" s="61">
        <v>1440</v>
      </c>
      <c r="EY147" s="61">
        <v>0</v>
      </c>
      <c r="EZ147" s="61">
        <v>71</v>
      </c>
      <c r="FA147" s="61">
        <v>0</v>
      </c>
      <c r="FB147" s="61">
        <v>0</v>
      </c>
      <c r="FD147" s="141" t="str">
        <f t="shared" si="46"/>
        <v>19-may</v>
      </c>
      <c r="FE147" s="11" t="str">
        <f t="shared" si="47"/>
        <v/>
      </c>
      <c r="FF147" s="11" t="str">
        <f t="shared" si="41"/>
        <v/>
      </c>
      <c r="FG147" s="11" t="str">
        <f t="shared" si="42"/>
        <v/>
      </c>
      <c r="FI147" s="141" t="str">
        <f t="shared" si="38"/>
        <v>19-may</v>
      </c>
      <c r="FJ147" s="11" t="str">
        <f t="shared" si="43"/>
        <v/>
      </c>
      <c r="FK147" s="11" t="str">
        <f t="shared" si="44"/>
        <v/>
      </c>
      <c r="FL147" s="11" t="str">
        <f t="shared" si="45"/>
        <v/>
      </c>
      <c r="FN147" s="141" t="str">
        <f t="shared" si="48"/>
        <v>19-may</v>
      </c>
      <c r="FO147" s="11" t="str">
        <f t="shared" si="49"/>
        <v/>
      </c>
      <c r="FP147" s="11" t="str">
        <f t="shared" si="39"/>
        <v/>
      </c>
      <c r="FQ147" s="11" t="str">
        <f t="shared" si="40"/>
        <v/>
      </c>
    </row>
    <row r="148" spans="2:173">
      <c r="B148"/>
      <c r="C148"/>
      <c r="BC148"/>
      <c r="BD148"/>
      <c r="BE148"/>
      <c r="BF148"/>
      <c r="BJ148"/>
      <c r="BK148"/>
      <c r="BL148"/>
      <c r="CI148"/>
      <c r="CJ148"/>
      <c r="CM148"/>
      <c r="CN148"/>
      <c r="CO148"/>
      <c r="DG148"/>
      <c r="DH148"/>
      <c r="DI148"/>
      <c r="DJ148"/>
      <c r="DK148"/>
      <c r="DL148"/>
      <c r="EG148"/>
      <c r="EH148"/>
      <c r="EW148" s="43" t="s">
        <v>531</v>
      </c>
      <c r="EX148" s="61">
        <v>1440</v>
      </c>
      <c r="EY148" s="61">
        <v>0</v>
      </c>
      <c r="EZ148" s="61">
        <v>71</v>
      </c>
      <c r="FA148" s="61">
        <v>0</v>
      </c>
      <c r="FB148" s="61">
        <v>0</v>
      </c>
      <c r="FD148" s="141" t="str">
        <f t="shared" si="46"/>
        <v>20-may</v>
      </c>
      <c r="FE148" s="11" t="str">
        <f t="shared" si="47"/>
        <v/>
      </c>
      <c r="FF148" s="11" t="str">
        <f t="shared" si="41"/>
        <v/>
      </c>
      <c r="FG148" s="11" t="str">
        <f t="shared" si="42"/>
        <v/>
      </c>
      <c r="FI148" s="141" t="str">
        <f t="shared" si="38"/>
        <v>20-may</v>
      </c>
      <c r="FJ148" s="11" t="str">
        <f t="shared" si="43"/>
        <v/>
      </c>
      <c r="FK148" s="11" t="str">
        <f t="shared" si="44"/>
        <v/>
      </c>
      <c r="FL148" s="11" t="str">
        <f t="shared" si="45"/>
        <v/>
      </c>
      <c r="FN148" s="141" t="str">
        <f t="shared" si="48"/>
        <v>20-may</v>
      </c>
      <c r="FO148" s="11" t="str">
        <f t="shared" si="49"/>
        <v/>
      </c>
      <c r="FP148" s="11" t="str">
        <f t="shared" si="39"/>
        <v/>
      </c>
      <c r="FQ148" s="11" t="str">
        <f t="shared" si="40"/>
        <v/>
      </c>
    </row>
    <row r="149" spans="2:173">
      <c r="B149"/>
      <c r="C149"/>
      <c r="BC149"/>
      <c r="BD149"/>
      <c r="BE149"/>
      <c r="BF149"/>
      <c r="BJ149"/>
      <c r="BK149"/>
      <c r="BL149"/>
      <c r="CI149"/>
      <c r="CJ149"/>
      <c r="CM149"/>
      <c r="CN149"/>
      <c r="CO149"/>
      <c r="DG149"/>
      <c r="DH149"/>
      <c r="DI149"/>
      <c r="DJ149"/>
      <c r="DK149"/>
      <c r="DL149"/>
      <c r="EG149"/>
      <c r="EH149"/>
      <c r="EW149" s="43" t="s">
        <v>532</v>
      </c>
      <c r="EX149" s="61">
        <v>1440</v>
      </c>
      <c r="EY149" s="61">
        <v>0</v>
      </c>
      <c r="EZ149" s="61">
        <v>71</v>
      </c>
      <c r="FA149" s="61">
        <v>0</v>
      </c>
      <c r="FB149" s="61">
        <v>0</v>
      </c>
      <c r="FD149" s="141" t="str">
        <f t="shared" si="46"/>
        <v>21-may</v>
      </c>
      <c r="FE149" s="11" t="str">
        <f t="shared" si="47"/>
        <v/>
      </c>
      <c r="FF149" s="11" t="str">
        <f t="shared" si="41"/>
        <v/>
      </c>
      <c r="FG149" s="11" t="str">
        <f t="shared" si="42"/>
        <v/>
      </c>
      <c r="FI149" s="141" t="str">
        <f t="shared" si="38"/>
        <v>21-may</v>
      </c>
      <c r="FJ149" s="11" t="str">
        <f t="shared" si="43"/>
        <v/>
      </c>
      <c r="FK149" s="11" t="str">
        <f t="shared" si="44"/>
        <v/>
      </c>
      <c r="FL149" s="11" t="str">
        <f t="shared" si="45"/>
        <v/>
      </c>
      <c r="FN149" s="141" t="str">
        <f t="shared" si="48"/>
        <v>21-may</v>
      </c>
      <c r="FO149" s="11" t="str">
        <f t="shared" si="49"/>
        <v/>
      </c>
      <c r="FP149" s="11" t="str">
        <f t="shared" si="39"/>
        <v/>
      </c>
      <c r="FQ149" s="11" t="str">
        <f t="shared" si="40"/>
        <v/>
      </c>
    </row>
    <row r="150" spans="2:173">
      <c r="B150"/>
      <c r="C150"/>
      <c r="BC150"/>
      <c r="BD150"/>
      <c r="BE150"/>
      <c r="BF150"/>
      <c r="BJ150"/>
      <c r="BK150"/>
      <c r="BL150"/>
      <c r="CI150"/>
      <c r="CJ150"/>
      <c r="CM150"/>
      <c r="CN150"/>
      <c r="CO150"/>
      <c r="DG150"/>
      <c r="DH150"/>
      <c r="DI150"/>
      <c r="DJ150"/>
      <c r="DK150"/>
      <c r="DL150"/>
      <c r="EG150"/>
      <c r="EH150"/>
      <c r="EW150" s="43" t="s">
        <v>533</v>
      </c>
      <c r="EX150" s="61">
        <v>1440</v>
      </c>
      <c r="EY150" s="61">
        <v>0</v>
      </c>
      <c r="EZ150" s="61">
        <v>71</v>
      </c>
      <c r="FA150" s="61">
        <v>0</v>
      </c>
      <c r="FB150" s="61">
        <v>0</v>
      </c>
      <c r="FD150" s="141" t="str">
        <f t="shared" si="46"/>
        <v>22-may</v>
      </c>
      <c r="FE150" s="11" t="str">
        <f t="shared" si="47"/>
        <v/>
      </c>
      <c r="FF150" s="11" t="str">
        <f t="shared" si="41"/>
        <v/>
      </c>
      <c r="FG150" s="11" t="str">
        <f t="shared" si="42"/>
        <v/>
      </c>
      <c r="FI150" s="141" t="str">
        <f t="shared" si="38"/>
        <v>22-may</v>
      </c>
      <c r="FJ150" s="11" t="str">
        <f t="shared" si="43"/>
        <v/>
      </c>
      <c r="FK150" s="11" t="str">
        <f t="shared" si="44"/>
        <v/>
      </c>
      <c r="FL150" s="11" t="str">
        <f t="shared" si="45"/>
        <v/>
      </c>
      <c r="FN150" s="141" t="str">
        <f t="shared" si="48"/>
        <v>22-may</v>
      </c>
      <c r="FO150" s="11" t="str">
        <f t="shared" si="49"/>
        <v/>
      </c>
      <c r="FP150" s="11" t="str">
        <f t="shared" si="39"/>
        <v/>
      </c>
      <c r="FQ150" s="11" t="str">
        <f t="shared" si="40"/>
        <v/>
      </c>
    </row>
    <row r="151" spans="2:173">
      <c r="B151"/>
      <c r="C151"/>
      <c r="BC151"/>
      <c r="BD151"/>
      <c r="BE151"/>
      <c r="BF151"/>
      <c r="BJ151"/>
      <c r="BK151"/>
      <c r="BL151"/>
      <c r="CI151"/>
      <c r="CJ151"/>
      <c r="CM151"/>
      <c r="CN151"/>
      <c r="CO151"/>
      <c r="DG151"/>
      <c r="DH151"/>
      <c r="DI151"/>
      <c r="DJ151"/>
      <c r="DK151"/>
      <c r="DL151"/>
      <c r="EG151"/>
      <c r="EH151"/>
      <c r="EW151" s="43" t="s">
        <v>534</v>
      </c>
      <c r="EX151" s="61">
        <v>1440</v>
      </c>
      <c r="EY151" s="61">
        <v>0</v>
      </c>
      <c r="EZ151" s="61">
        <v>71</v>
      </c>
      <c r="FA151" s="61">
        <v>0</v>
      </c>
      <c r="FB151" s="61">
        <v>0</v>
      </c>
      <c r="FD151" s="141" t="str">
        <f t="shared" si="46"/>
        <v>23-may</v>
      </c>
      <c r="FE151" s="11" t="str">
        <f t="shared" si="47"/>
        <v/>
      </c>
      <c r="FF151" s="11" t="str">
        <f t="shared" si="41"/>
        <v/>
      </c>
      <c r="FG151" s="11" t="str">
        <f t="shared" si="42"/>
        <v/>
      </c>
      <c r="FI151" s="141" t="str">
        <f t="shared" si="38"/>
        <v>23-may</v>
      </c>
      <c r="FJ151" s="11" t="str">
        <f t="shared" si="43"/>
        <v/>
      </c>
      <c r="FK151" s="11" t="str">
        <f t="shared" si="44"/>
        <v/>
      </c>
      <c r="FL151" s="11" t="str">
        <f t="shared" si="45"/>
        <v/>
      </c>
      <c r="FN151" s="141" t="str">
        <f t="shared" si="48"/>
        <v>23-may</v>
      </c>
      <c r="FO151" s="11" t="str">
        <f t="shared" si="49"/>
        <v/>
      </c>
      <c r="FP151" s="11" t="str">
        <f t="shared" si="39"/>
        <v/>
      </c>
      <c r="FQ151" s="11" t="str">
        <f t="shared" si="40"/>
        <v/>
      </c>
    </row>
    <row r="152" spans="2:173">
      <c r="B152"/>
      <c r="C152"/>
      <c r="BC152"/>
      <c r="BD152"/>
      <c r="BE152"/>
      <c r="BF152"/>
      <c r="BJ152"/>
      <c r="BK152"/>
      <c r="BL152"/>
      <c r="CI152"/>
      <c r="CJ152"/>
      <c r="CM152"/>
      <c r="CN152"/>
      <c r="CO152"/>
      <c r="DG152"/>
      <c r="DH152"/>
      <c r="DI152"/>
      <c r="DJ152"/>
      <c r="DK152"/>
      <c r="DL152"/>
      <c r="EG152"/>
      <c r="EH152"/>
      <c r="EW152" s="43" t="s">
        <v>535</v>
      </c>
      <c r="EX152" s="61">
        <v>1440</v>
      </c>
      <c r="EY152" s="61">
        <v>0</v>
      </c>
      <c r="EZ152" s="61">
        <v>71</v>
      </c>
      <c r="FA152" s="61">
        <v>0</v>
      </c>
      <c r="FB152" s="61">
        <v>0</v>
      </c>
      <c r="FD152" s="141" t="str">
        <f t="shared" si="46"/>
        <v>24-may</v>
      </c>
      <c r="FE152" s="11" t="str">
        <f t="shared" si="47"/>
        <v/>
      </c>
      <c r="FF152" s="11" t="str">
        <f t="shared" si="41"/>
        <v/>
      </c>
      <c r="FG152" s="11" t="str">
        <f t="shared" si="42"/>
        <v/>
      </c>
      <c r="FI152" s="141" t="str">
        <f t="shared" si="38"/>
        <v>24-may</v>
      </c>
      <c r="FJ152" s="11" t="str">
        <f t="shared" si="43"/>
        <v/>
      </c>
      <c r="FK152" s="11" t="str">
        <f t="shared" si="44"/>
        <v/>
      </c>
      <c r="FL152" s="11" t="str">
        <f t="shared" si="45"/>
        <v/>
      </c>
      <c r="FN152" s="141" t="str">
        <f t="shared" si="48"/>
        <v>24-may</v>
      </c>
      <c r="FO152" s="11" t="str">
        <f t="shared" si="49"/>
        <v/>
      </c>
      <c r="FP152" s="11" t="str">
        <f t="shared" si="39"/>
        <v/>
      </c>
      <c r="FQ152" s="11" t="str">
        <f t="shared" si="40"/>
        <v/>
      </c>
    </row>
    <row r="153" spans="2:173">
      <c r="B153"/>
      <c r="C153"/>
      <c r="BC153"/>
      <c r="BD153"/>
      <c r="BE153"/>
      <c r="BF153"/>
      <c r="BJ153"/>
      <c r="BK153"/>
      <c r="BL153"/>
      <c r="CI153"/>
      <c r="CJ153"/>
      <c r="CM153"/>
      <c r="CN153"/>
      <c r="CO153"/>
      <c r="DG153"/>
      <c r="DH153"/>
      <c r="DI153"/>
      <c r="DJ153"/>
      <c r="DK153"/>
      <c r="DL153"/>
      <c r="EG153"/>
      <c r="EH153"/>
      <c r="EW153" s="43" t="s">
        <v>536</v>
      </c>
      <c r="EX153" s="61">
        <v>1440</v>
      </c>
      <c r="EY153" s="61">
        <v>0</v>
      </c>
      <c r="EZ153" s="61">
        <v>71</v>
      </c>
      <c r="FA153" s="61">
        <v>0</v>
      </c>
      <c r="FB153" s="61">
        <v>0</v>
      </c>
      <c r="FD153" s="141" t="str">
        <f t="shared" si="46"/>
        <v>25-may</v>
      </c>
      <c r="FE153" s="11" t="str">
        <f t="shared" si="47"/>
        <v/>
      </c>
      <c r="FF153" s="11" t="str">
        <f t="shared" si="41"/>
        <v/>
      </c>
      <c r="FG153" s="11" t="str">
        <f t="shared" si="42"/>
        <v/>
      </c>
      <c r="FI153" s="141" t="str">
        <f t="shared" si="38"/>
        <v>25-may</v>
      </c>
      <c r="FJ153" s="11" t="str">
        <f t="shared" si="43"/>
        <v/>
      </c>
      <c r="FK153" s="11" t="str">
        <f t="shared" si="44"/>
        <v/>
      </c>
      <c r="FL153" s="11" t="str">
        <f t="shared" si="45"/>
        <v/>
      </c>
      <c r="FN153" s="141" t="str">
        <f t="shared" si="48"/>
        <v>25-may</v>
      </c>
      <c r="FO153" s="11" t="str">
        <f t="shared" si="49"/>
        <v/>
      </c>
      <c r="FP153" s="11" t="str">
        <f t="shared" si="39"/>
        <v/>
      </c>
      <c r="FQ153" s="11" t="str">
        <f t="shared" si="40"/>
        <v/>
      </c>
    </row>
    <row r="154" spans="2:173">
      <c r="B154"/>
      <c r="C154"/>
      <c r="BC154"/>
      <c r="BD154"/>
      <c r="BE154"/>
      <c r="BF154"/>
      <c r="BJ154"/>
      <c r="BK154"/>
      <c r="BL154"/>
      <c r="CI154"/>
      <c r="CJ154"/>
      <c r="CM154"/>
      <c r="CN154"/>
      <c r="CO154"/>
      <c r="DG154"/>
      <c r="DH154"/>
      <c r="DI154"/>
      <c r="DJ154"/>
      <c r="DK154"/>
      <c r="DL154"/>
      <c r="EG154"/>
      <c r="EH154"/>
      <c r="EW154" s="43" t="s">
        <v>537</v>
      </c>
      <c r="EX154" s="61">
        <v>1440</v>
      </c>
      <c r="EY154" s="61">
        <v>0</v>
      </c>
      <c r="EZ154" s="61">
        <v>71</v>
      </c>
      <c r="FA154" s="61">
        <v>0</v>
      </c>
      <c r="FB154" s="61">
        <v>0</v>
      </c>
      <c r="FD154" s="141" t="str">
        <f t="shared" si="46"/>
        <v>26-may</v>
      </c>
      <c r="FE154" s="11" t="str">
        <f t="shared" si="47"/>
        <v/>
      </c>
      <c r="FF154" s="11" t="str">
        <f t="shared" si="41"/>
        <v/>
      </c>
      <c r="FG154" s="11" t="str">
        <f t="shared" si="42"/>
        <v/>
      </c>
      <c r="FI154" s="141" t="str">
        <f t="shared" si="38"/>
        <v>26-may</v>
      </c>
      <c r="FJ154" s="11" t="str">
        <f t="shared" si="43"/>
        <v/>
      </c>
      <c r="FK154" s="11" t="str">
        <f t="shared" si="44"/>
        <v/>
      </c>
      <c r="FL154" s="11" t="str">
        <f t="shared" si="45"/>
        <v/>
      </c>
      <c r="FN154" s="141" t="str">
        <f t="shared" si="48"/>
        <v>26-may</v>
      </c>
      <c r="FO154" s="11" t="str">
        <f t="shared" si="49"/>
        <v/>
      </c>
      <c r="FP154" s="11" t="str">
        <f t="shared" si="39"/>
        <v/>
      </c>
      <c r="FQ154" s="11" t="str">
        <f t="shared" si="40"/>
        <v/>
      </c>
    </row>
    <row r="155" spans="2:173">
      <c r="B155"/>
      <c r="C155"/>
      <c r="BC155"/>
      <c r="BD155"/>
      <c r="BE155"/>
      <c r="BF155"/>
      <c r="BJ155"/>
      <c r="BK155"/>
      <c r="BL155"/>
      <c r="CI155"/>
      <c r="CJ155"/>
      <c r="CM155"/>
      <c r="CN155"/>
      <c r="CO155"/>
      <c r="DG155"/>
      <c r="DH155"/>
      <c r="DI155"/>
      <c r="DJ155"/>
      <c r="DK155"/>
      <c r="DL155"/>
      <c r="EG155"/>
      <c r="EH155"/>
      <c r="EW155" s="43" t="s">
        <v>538</v>
      </c>
      <c r="EX155" s="61">
        <v>1440</v>
      </c>
      <c r="EY155" s="61">
        <v>0</v>
      </c>
      <c r="EZ155" s="61">
        <v>71</v>
      </c>
      <c r="FA155" s="61">
        <v>0</v>
      </c>
      <c r="FB155" s="61">
        <v>0</v>
      </c>
      <c r="FD155" s="141" t="str">
        <f t="shared" si="46"/>
        <v>27-may</v>
      </c>
      <c r="FE155" s="11" t="str">
        <f t="shared" si="47"/>
        <v/>
      </c>
      <c r="FF155" s="11" t="str">
        <f t="shared" si="41"/>
        <v/>
      </c>
      <c r="FG155" s="11" t="str">
        <f t="shared" si="42"/>
        <v/>
      </c>
      <c r="FI155" s="141" t="str">
        <f t="shared" si="38"/>
        <v>27-may</v>
      </c>
      <c r="FJ155" s="11" t="str">
        <f t="shared" si="43"/>
        <v/>
      </c>
      <c r="FK155" s="11" t="str">
        <f t="shared" si="44"/>
        <v/>
      </c>
      <c r="FL155" s="11" t="str">
        <f t="shared" si="45"/>
        <v/>
      </c>
      <c r="FN155" s="141" t="str">
        <f t="shared" si="48"/>
        <v>27-may</v>
      </c>
      <c r="FO155" s="11" t="str">
        <f t="shared" si="49"/>
        <v/>
      </c>
      <c r="FP155" s="11" t="str">
        <f t="shared" si="39"/>
        <v/>
      </c>
      <c r="FQ155" s="11" t="str">
        <f t="shared" si="40"/>
        <v/>
      </c>
    </row>
    <row r="156" spans="2:173">
      <c r="B156"/>
      <c r="C156"/>
      <c r="BC156"/>
      <c r="BD156"/>
      <c r="BE156"/>
      <c r="BF156"/>
      <c r="BJ156"/>
      <c r="BK156"/>
      <c r="BL156"/>
      <c r="CI156"/>
      <c r="CJ156"/>
      <c r="CM156"/>
      <c r="CN156"/>
      <c r="CO156"/>
      <c r="DG156"/>
      <c r="DH156"/>
      <c r="DI156"/>
      <c r="DJ156"/>
      <c r="DK156"/>
      <c r="DL156"/>
      <c r="EG156"/>
      <c r="EH156"/>
      <c r="EW156" s="43" t="s">
        <v>539</v>
      </c>
      <c r="EX156" s="61">
        <v>1440</v>
      </c>
      <c r="EY156" s="61">
        <v>0</v>
      </c>
      <c r="EZ156" s="61">
        <v>71</v>
      </c>
      <c r="FA156" s="61">
        <v>0</v>
      </c>
      <c r="FB156" s="61">
        <v>0</v>
      </c>
      <c r="FD156" s="141" t="str">
        <f t="shared" si="46"/>
        <v>28-may</v>
      </c>
      <c r="FE156" s="11" t="str">
        <f t="shared" si="47"/>
        <v/>
      </c>
      <c r="FF156" s="11" t="str">
        <f t="shared" si="41"/>
        <v/>
      </c>
      <c r="FG156" s="11" t="str">
        <f t="shared" si="42"/>
        <v/>
      </c>
      <c r="FI156" s="141" t="str">
        <f t="shared" si="38"/>
        <v>28-may</v>
      </c>
      <c r="FJ156" s="11" t="str">
        <f t="shared" si="43"/>
        <v/>
      </c>
      <c r="FK156" s="11" t="str">
        <f t="shared" si="44"/>
        <v/>
      </c>
      <c r="FL156" s="11" t="str">
        <f t="shared" si="45"/>
        <v/>
      </c>
      <c r="FN156" s="141" t="str">
        <f t="shared" si="48"/>
        <v>28-may</v>
      </c>
      <c r="FO156" s="11" t="str">
        <f t="shared" si="49"/>
        <v/>
      </c>
      <c r="FP156" s="11" t="str">
        <f t="shared" si="39"/>
        <v/>
      </c>
      <c r="FQ156" s="11" t="str">
        <f t="shared" si="40"/>
        <v/>
      </c>
    </row>
    <row r="157" spans="2:173">
      <c r="B157"/>
      <c r="C157"/>
      <c r="BC157"/>
      <c r="BD157"/>
      <c r="BE157"/>
      <c r="BF157"/>
      <c r="BJ157"/>
      <c r="BK157"/>
      <c r="BL157"/>
      <c r="CI157"/>
      <c r="CJ157"/>
      <c r="CM157"/>
      <c r="CN157"/>
      <c r="CO157"/>
      <c r="DG157"/>
      <c r="DH157"/>
      <c r="DI157"/>
      <c r="DJ157"/>
      <c r="DK157"/>
      <c r="DL157"/>
      <c r="EG157"/>
      <c r="EH157"/>
      <c r="EW157" s="43" t="s">
        <v>540</v>
      </c>
      <c r="EX157" s="61">
        <v>1440</v>
      </c>
      <c r="EY157" s="61">
        <v>0</v>
      </c>
      <c r="EZ157" s="61">
        <v>71</v>
      </c>
      <c r="FA157" s="61">
        <v>0</v>
      </c>
      <c r="FB157" s="61">
        <v>0</v>
      </c>
      <c r="FD157" s="141" t="str">
        <f t="shared" si="46"/>
        <v>29-may</v>
      </c>
      <c r="FE157" s="11" t="str">
        <f t="shared" si="47"/>
        <v/>
      </c>
      <c r="FF157" s="11" t="str">
        <f t="shared" si="41"/>
        <v/>
      </c>
      <c r="FG157" s="11" t="str">
        <f t="shared" si="42"/>
        <v/>
      </c>
      <c r="FI157" s="141" t="str">
        <f t="shared" si="38"/>
        <v>29-may</v>
      </c>
      <c r="FJ157" s="11" t="str">
        <f t="shared" si="43"/>
        <v/>
      </c>
      <c r="FK157" s="11" t="str">
        <f t="shared" si="44"/>
        <v/>
      </c>
      <c r="FL157" s="11" t="str">
        <f t="shared" si="45"/>
        <v/>
      </c>
      <c r="FN157" s="141" t="str">
        <f t="shared" si="48"/>
        <v>29-may</v>
      </c>
      <c r="FO157" s="11" t="str">
        <f t="shared" si="49"/>
        <v/>
      </c>
      <c r="FP157" s="11" t="str">
        <f t="shared" si="39"/>
        <v/>
      </c>
      <c r="FQ157" s="11" t="str">
        <f t="shared" si="40"/>
        <v/>
      </c>
    </row>
    <row r="158" spans="2:173">
      <c r="B158"/>
      <c r="C158"/>
      <c r="BC158"/>
      <c r="BD158"/>
      <c r="BE158"/>
      <c r="BF158"/>
      <c r="BJ158"/>
      <c r="BK158"/>
      <c r="BL158"/>
      <c r="CI158"/>
      <c r="CJ158"/>
      <c r="CM158"/>
      <c r="CN158"/>
      <c r="CO158"/>
      <c r="DG158"/>
      <c r="DH158"/>
      <c r="DI158"/>
      <c r="DJ158"/>
      <c r="DK158"/>
      <c r="DL158"/>
      <c r="EG158"/>
      <c r="EH158"/>
      <c r="EW158" s="43" t="s">
        <v>541</v>
      </c>
      <c r="EX158" s="61">
        <v>1440</v>
      </c>
      <c r="EY158" s="61">
        <v>0</v>
      </c>
      <c r="EZ158" s="61">
        <v>71</v>
      </c>
      <c r="FA158" s="61">
        <v>0</v>
      </c>
      <c r="FB158" s="61">
        <v>0</v>
      </c>
      <c r="FD158" s="141" t="str">
        <f t="shared" si="46"/>
        <v>30-may</v>
      </c>
      <c r="FE158" s="11" t="str">
        <f t="shared" si="47"/>
        <v/>
      </c>
      <c r="FF158" s="11" t="str">
        <f t="shared" si="41"/>
        <v/>
      </c>
      <c r="FG158" s="11" t="str">
        <f t="shared" si="42"/>
        <v/>
      </c>
      <c r="FI158" s="141" t="str">
        <f t="shared" si="38"/>
        <v>30-may</v>
      </c>
      <c r="FJ158" s="11" t="str">
        <f t="shared" si="43"/>
        <v/>
      </c>
      <c r="FK158" s="11" t="str">
        <f t="shared" si="44"/>
        <v/>
      </c>
      <c r="FL158" s="11" t="str">
        <f t="shared" si="45"/>
        <v/>
      </c>
      <c r="FN158" s="141" t="str">
        <f t="shared" si="48"/>
        <v>30-may</v>
      </c>
      <c r="FO158" s="11" t="str">
        <f t="shared" si="49"/>
        <v/>
      </c>
      <c r="FP158" s="11" t="str">
        <f t="shared" si="39"/>
        <v/>
      </c>
      <c r="FQ158" s="11" t="str">
        <f t="shared" si="40"/>
        <v/>
      </c>
    </row>
    <row r="159" spans="2:173">
      <c r="B159"/>
      <c r="C159"/>
      <c r="BC159"/>
      <c r="BD159"/>
      <c r="BE159"/>
      <c r="BF159"/>
      <c r="BJ159"/>
      <c r="BK159"/>
      <c r="BL159"/>
      <c r="CI159"/>
      <c r="CJ159"/>
      <c r="CM159"/>
      <c r="CN159"/>
      <c r="CO159"/>
      <c r="DG159"/>
      <c r="DH159"/>
      <c r="DI159"/>
      <c r="DJ159"/>
      <c r="DK159"/>
      <c r="DL159"/>
      <c r="EG159"/>
      <c r="EH159"/>
      <c r="EW159" s="43" t="s">
        <v>542</v>
      </c>
      <c r="EX159" s="61">
        <v>1440</v>
      </c>
      <c r="EY159" s="61">
        <v>0</v>
      </c>
      <c r="EZ159" s="61">
        <v>71</v>
      </c>
      <c r="FA159" s="61">
        <v>0</v>
      </c>
      <c r="FB159" s="61">
        <v>0</v>
      </c>
      <c r="FD159" s="141" t="str">
        <f t="shared" si="46"/>
        <v>31-may</v>
      </c>
      <c r="FE159" s="11" t="str">
        <f t="shared" si="47"/>
        <v/>
      </c>
      <c r="FF159" s="11" t="str">
        <f t="shared" si="41"/>
        <v/>
      </c>
      <c r="FG159" s="11" t="str">
        <f t="shared" si="42"/>
        <v/>
      </c>
      <c r="FI159" s="141" t="str">
        <f t="shared" si="38"/>
        <v>31-may</v>
      </c>
      <c r="FJ159" s="11" t="str">
        <f t="shared" si="43"/>
        <v/>
      </c>
      <c r="FK159" s="11" t="str">
        <f t="shared" si="44"/>
        <v/>
      </c>
      <c r="FL159" s="11" t="str">
        <f t="shared" si="45"/>
        <v/>
      </c>
      <c r="FN159" s="141" t="str">
        <f t="shared" si="48"/>
        <v>31-may</v>
      </c>
      <c r="FO159" s="11" t="str">
        <f t="shared" si="49"/>
        <v/>
      </c>
      <c r="FP159" s="11" t="str">
        <f t="shared" si="39"/>
        <v/>
      </c>
      <c r="FQ159" s="11" t="str">
        <f t="shared" si="40"/>
        <v/>
      </c>
    </row>
    <row r="160" spans="2:173">
      <c r="B160"/>
      <c r="C160"/>
      <c r="BC160"/>
      <c r="BD160"/>
      <c r="BE160"/>
      <c r="BF160"/>
      <c r="BJ160"/>
      <c r="BK160"/>
      <c r="BL160"/>
      <c r="CI160"/>
      <c r="CJ160"/>
      <c r="CM160"/>
      <c r="CN160"/>
      <c r="CO160"/>
      <c r="DG160"/>
      <c r="DH160"/>
      <c r="DI160"/>
      <c r="DJ160"/>
      <c r="DK160"/>
      <c r="DL160"/>
      <c r="EG160"/>
      <c r="EH160"/>
      <c r="EW160" s="37" t="s">
        <v>251</v>
      </c>
      <c r="EX160" s="61"/>
      <c r="EY160" s="61"/>
      <c r="EZ160" s="61"/>
      <c r="FA160" s="61"/>
      <c r="FB160" s="61"/>
      <c r="FD160" s="141" t="str">
        <f t="shared" si="46"/>
        <v>jun</v>
      </c>
      <c r="FE160" s="11" t="str">
        <f t="shared" si="47"/>
        <v/>
      </c>
      <c r="FF160" s="11" t="str">
        <f t="shared" si="41"/>
        <v/>
      </c>
      <c r="FG160" s="11" t="str">
        <f t="shared" si="42"/>
        <v/>
      </c>
      <c r="FI160" s="141" t="str">
        <f t="shared" si="38"/>
        <v>jun</v>
      </c>
      <c r="FJ160" s="11" t="str">
        <f t="shared" si="43"/>
        <v/>
      </c>
      <c r="FK160" s="11" t="str">
        <f t="shared" si="44"/>
        <v/>
      </c>
      <c r="FL160" s="11" t="str">
        <f t="shared" si="45"/>
        <v/>
      </c>
      <c r="FN160" s="141" t="str">
        <f t="shared" si="48"/>
        <v>jun</v>
      </c>
      <c r="FO160" s="11" t="str">
        <f t="shared" si="49"/>
        <v/>
      </c>
      <c r="FP160" s="11" t="str">
        <f t="shared" si="39"/>
        <v/>
      </c>
      <c r="FQ160" s="11" t="str">
        <f t="shared" si="40"/>
        <v/>
      </c>
    </row>
    <row r="161" spans="2:173">
      <c r="B161"/>
      <c r="C161"/>
      <c r="BC161"/>
      <c r="BD161"/>
      <c r="BE161"/>
      <c r="BF161"/>
      <c r="BJ161"/>
      <c r="BK161"/>
      <c r="BL161"/>
      <c r="CI161"/>
      <c r="CJ161"/>
      <c r="CM161"/>
      <c r="CN161"/>
      <c r="CO161"/>
      <c r="DG161"/>
      <c r="DH161"/>
      <c r="DI161"/>
      <c r="DJ161"/>
      <c r="DK161"/>
      <c r="DL161"/>
      <c r="EG161"/>
      <c r="EH161"/>
      <c r="EW161" s="43" t="s">
        <v>543</v>
      </c>
      <c r="EX161" s="61">
        <v>1440</v>
      </c>
      <c r="EY161" s="61">
        <v>0</v>
      </c>
      <c r="EZ161" s="61">
        <v>71</v>
      </c>
      <c r="FA161" s="61">
        <v>0</v>
      </c>
      <c r="FB161" s="61">
        <v>0</v>
      </c>
      <c r="FD161" s="141" t="str">
        <f t="shared" si="46"/>
        <v>1-jun</v>
      </c>
      <c r="FE161" s="11" t="str">
        <f t="shared" si="47"/>
        <v/>
      </c>
      <c r="FF161" s="11" t="str">
        <f t="shared" si="41"/>
        <v/>
      </c>
      <c r="FG161" s="11" t="str">
        <f t="shared" si="42"/>
        <v/>
      </c>
      <c r="FI161" s="141" t="str">
        <f t="shared" si="38"/>
        <v>1-jun</v>
      </c>
      <c r="FJ161" s="11" t="str">
        <f t="shared" si="43"/>
        <v/>
      </c>
      <c r="FK161" s="11" t="str">
        <f t="shared" si="44"/>
        <v/>
      </c>
      <c r="FL161" s="11" t="str">
        <f t="shared" si="45"/>
        <v/>
      </c>
      <c r="FN161" s="141" t="str">
        <f t="shared" si="48"/>
        <v>1-jun</v>
      </c>
      <c r="FO161" s="11" t="str">
        <f t="shared" si="49"/>
        <v/>
      </c>
      <c r="FP161" s="11" t="str">
        <f t="shared" si="39"/>
        <v/>
      </c>
      <c r="FQ161" s="11" t="str">
        <f t="shared" si="40"/>
        <v/>
      </c>
    </row>
    <row r="162" spans="2:173">
      <c r="B162"/>
      <c r="C162"/>
      <c r="BC162"/>
      <c r="BD162"/>
      <c r="BE162"/>
      <c r="BF162"/>
      <c r="BJ162"/>
      <c r="BK162"/>
      <c r="BL162"/>
      <c r="CI162"/>
      <c r="CJ162"/>
      <c r="CM162"/>
      <c r="CN162"/>
      <c r="CO162"/>
      <c r="DG162"/>
      <c r="DH162"/>
      <c r="DI162"/>
      <c r="DJ162"/>
      <c r="DK162"/>
      <c r="DL162"/>
      <c r="EG162"/>
      <c r="EH162"/>
      <c r="EW162" s="43" t="s">
        <v>544</v>
      </c>
      <c r="EX162" s="61">
        <v>1440</v>
      </c>
      <c r="EY162" s="61">
        <v>0</v>
      </c>
      <c r="EZ162" s="61">
        <v>71</v>
      </c>
      <c r="FA162" s="61">
        <v>0</v>
      </c>
      <c r="FB162" s="61">
        <v>0</v>
      </c>
      <c r="FD162" s="141" t="str">
        <f t="shared" si="46"/>
        <v>2-jun</v>
      </c>
      <c r="FE162" s="11" t="str">
        <f t="shared" si="47"/>
        <v/>
      </c>
      <c r="FF162" s="11" t="str">
        <f t="shared" si="41"/>
        <v/>
      </c>
      <c r="FG162" s="11" t="str">
        <f t="shared" si="42"/>
        <v/>
      </c>
      <c r="FI162" s="141" t="str">
        <f t="shared" si="38"/>
        <v>2-jun</v>
      </c>
      <c r="FJ162" s="11" t="str">
        <f t="shared" si="43"/>
        <v/>
      </c>
      <c r="FK162" s="11" t="str">
        <f t="shared" si="44"/>
        <v/>
      </c>
      <c r="FL162" s="11" t="str">
        <f t="shared" si="45"/>
        <v/>
      </c>
      <c r="FN162" s="141" t="str">
        <f t="shared" si="48"/>
        <v>2-jun</v>
      </c>
      <c r="FO162" s="11" t="str">
        <f t="shared" si="49"/>
        <v/>
      </c>
      <c r="FP162" s="11" t="str">
        <f t="shared" si="39"/>
        <v/>
      </c>
      <c r="FQ162" s="11" t="str">
        <f t="shared" si="40"/>
        <v/>
      </c>
    </row>
    <row r="163" spans="2:173">
      <c r="B163"/>
      <c r="C163"/>
      <c r="BC163"/>
      <c r="BD163"/>
      <c r="BE163"/>
      <c r="BF163"/>
      <c r="BJ163"/>
      <c r="BK163"/>
      <c r="BL163"/>
      <c r="CI163"/>
      <c r="CJ163"/>
      <c r="CM163"/>
      <c r="CN163"/>
      <c r="CO163"/>
      <c r="DG163"/>
      <c r="DH163"/>
      <c r="DI163"/>
      <c r="DJ163"/>
      <c r="DK163"/>
      <c r="DL163"/>
      <c r="EG163"/>
      <c r="EH163"/>
      <c r="EW163" s="43" t="s">
        <v>545</v>
      </c>
      <c r="EX163" s="61">
        <v>1440</v>
      </c>
      <c r="EY163" s="61">
        <v>0</v>
      </c>
      <c r="EZ163" s="61">
        <v>71</v>
      </c>
      <c r="FA163" s="61">
        <v>0</v>
      </c>
      <c r="FB163" s="61">
        <v>0</v>
      </c>
      <c r="FD163" s="141" t="str">
        <f t="shared" si="46"/>
        <v>3-jun</v>
      </c>
      <c r="FE163" s="11" t="str">
        <f t="shared" si="47"/>
        <v/>
      </c>
      <c r="FF163" s="11" t="str">
        <f t="shared" si="41"/>
        <v/>
      </c>
      <c r="FG163" s="11" t="str">
        <f t="shared" si="42"/>
        <v/>
      </c>
      <c r="FI163" s="141" t="str">
        <f t="shared" si="38"/>
        <v>3-jun</v>
      </c>
      <c r="FJ163" s="11" t="str">
        <f t="shared" si="43"/>
        <v/>
      </c>
      <c r="FK163" s="11" t="str">
        <f t="shared" si="44"/>
        <v/>
      </c>
      <c r="FL163" s="11" t="str">
        <f t="shared" si="45"/>
        <v/>
      </c>
      <c r="FN163" s="141" t="str">
        <f t="shared" si="48"/>
        <v>3-jun</v>
      </c>
      <c r="FO163" s="11" t="str">
        <f t="shared" si="49"/>
        <v/>
      </c>
      <c r="FP163" s="11" t="str">
        <f t="shared" si="39"/>
        <v/>
      </c>
      <c r="FQ163" s="11" t="str">
        <f t="shared" si="40"/>
        <v/>
      </c>
    </row>
    <row r="164" spans="2:173">
      <c r="B164"/>
      <c r="C164"/>
      <c r="BC164"/>
      <c r="BD164"/>
      <c r="BE164"/>
      <c r="BF164"/>
      <c r="BJ164"/>
      <c r="BK164"/>
      <c r="BL164"/>
      <c r="CI164"/>
      <c r="CJ164"/>
      <c r="CM164"/>
      <c r="CN164"/>
      <c r="CO164"/>
      <c r="DG164"/>
      <c r="DH164"/>
      <c r="DI164"/>
      <c r="DJ164"/>
      <c r="DK164"/>
      <c r="DL164"/>
      <c r="EG164"/>
      <c r="EH164"/>
      <c r="EW164" s="43" t="s">
        <v>546</v>
      </c>
      <c r="EX164" s="61">
        <v>1440</v>
      </c>
      <c r="EY164" s="61">
        <v>0</v>
      </c>
      <c r="EZ164" s="61">
        <v>71</v>
      </c>
      <c r="FA164" s="61">
        <v>0</v>
      </c>
      <c r="FB164" s="61">
        <v>0</v>
      </c>
      <c r="FD164" s="141" t="str">
        <f t="shared" si="46"/>
        <v>4-jun</v>
      </c>
      <c r="FE164" s="11" t="str">
        <f t="shared" si="47"/>
        <v/>
      </c>
      <c r="FF164" s="11" t="str">
        <f t="shared" si="41"/>
        <v/>
      </c>
      <c r="FG164" s="11" t="str">
        <f t="shared" si="42"/>
        <v/>
      </c>
      <c r="FI164" s="141" t="str">
        <f t="shared" si="38"/>
        <v>4-jun</v>
      </c>
      <c r="FJ164" s="11" t="str">
        <f t="shared" si="43"/>
        <v/>
      </c>
      <c r="FK164" s="11" t="str">
        <f t="shared" si="44"/>
        <v/>
      </c>
      <c r="FL164" s="11" t="str">
        <f t="shared" si="45"/>
        <v/>
      </c>
      <c r="FN164" s="141" t="str">
        <f t="shared" si="48"/>
        <v>4-jun</v>
      </c>
      <c r="FO164" s="11" t="str">
        <f t="shared" si="49"/>
        <v/>
      </c>
      <c r="FP164" s="11" t="str">
        <f t="shared" si="39"/>
        <v/>
      </c>
      <c r="FQ164" s="11" t="str">
        <f t="shared" si="40"/>
        <v/>
      </c>
    </row>
    <row r="165" spans="2:173">
      <c r="B165"/>
      <c r="C165"/>
      <c r="BC165"/>
      <c r="BD165"/>
      <c r="BE165"/>
      <c r="BF165"/>
      <c r="BJ165"/>
      <c r="BK165"/>
      <c r="BL165"/>
      <c r="CI165"/>
      <c r="CJ165"/>
      <c r="CM165"/>
      <c r="CN165"/>
      <c r="CO165"/>
      <c r="DG165"/>
      <c r="DH165"/>
      <c r="DI165"/>
      <c r="DJ165"/>
      <c r="DK165"/>
      <c r="DL165"/>
      <c r="EG165"/>
      <c r="EH165"/>
      <c r="EW165" s="43" t="s">
        <v>547</v>
      </c>
      <c r="EX165" s="61">
        <v>1440</v>
      </c>
      <c r="EY165" s="61">
        <v>0</v>
      </c>
      <c r="EZ165" s="61">
        <v>71</v>
      </c>
      <c r="FA165" s="61">
        <v>0</v>
      </c>
      <c r="FB165" s="61">
        <v>0</v>
      </c>
      <c r="FD165" s="141" t="str">
        <f t="shared" si="46"/>
        <v>5-jun</v>
      </c>
      <c r="FE165" s="11" t="str">
        <f t="shared" si="47"/>
        <v/>
      </c>
      <c r="FF165" s="11" t="str">
        <f t="shared" si="41"/>
        <v/>
      </c>
      <c r="FG165" s="11" t="str">
        <f t="shared" si="42"/>
        <v/>
      </c>
      <c r="FI165" s="141" t="str">
        <f t="shared" si="38"/>
        <v>5-jun</v>
      </c>
      <c r="FJ165" s="11" t="str">
        <f>IF(EZ165&gt;0,IF(FB165&gt;0,FB165,""),"")</f>
        <v/>
      </c>
      <c r="FK165" s="11" t="str">
        <f t="shared" si="44"/>
        <v/>
      </c>
      <c r="FL165" s="11" t="str">
        <f t="shared" si="45"/>
        <v/>
      </c>
      <c r="FN165" s="141" t="str">
        <f t="shared" si="48"/>
        <v>5-jun</v>
      </c>
      <c r="FO165" s="11" t="str">
        <f t="shared" si="49"/>
        <v/>
      </c>
      <c r="FP165" s="11" t="str">
        <f t="shared" si="39"/>
        <v/>
      </c>
      <c r="FQ165" s="11" t="str">
        <f t="shared" si="40"/>
        <v/>
      </c>
    </row>
    <row r="166" spans="2:173">
      <c r="B166"/>
      <c r="C166"/>
      <c r="BC166"/>
      <c r="BD166"/>
      <c r="BE166"/>
      <c r="BF166"/>
      <c r="BJ166"/>
      <c r="BK166"/>
      <c r="BL166"/>
      <c r="CI166"/>
      <c r="CJ166"/>
      <c r="CM166"/>
      <c r="CN166"/>
      <c r="CO166"/>
      <c r="DG166"/>
      <c r="DH166"/>
      <c r="DI166"/>
      <c r="DJ166"/>
      <c r="DK166"/>
      <c r="DL166"/>
      <c r="EG166"/>
      <c r="EH166"/>
      <c r="EW166" s="43" t="s">
        <v>548</v>
      </c>
      <c r="EX166" s="61">
        <v>1440</v>
      </c>
      <c r="EY166" s="61">
        <v>0</v>
      </c>
      <c r="EZ166" s="61">
        <v>71</v>
      </c>
      <c r="FA166" s="61">
        <v>0</v>
      </c>
      <c r="FB166" s="61">
        <v>0</v>
      </c>
      <c r="FD166" s="141" t="str">
        <f t="shared" si="46"/>
        <v>6-jun</v>
      </c>
      <c r="FE166" s="11" t="str">
        <f t="shared" si="47"/>
        <v/>
      </c>
      <c r="FF166" s="11" t="str">
        <f t="shared" si="41"/>
        <v/>
      </c>
      <c r="FG166" s="11" t="str">
        <f t="shared" si="42"/>
        <v/>
      </c>
      <c r="FI166" s="141" t="str">
        <f t="shared" si="38"/>
        <v>6-jun</v>
      </c>
      <c r="FJ166" s="11" t="str">
        <f t="shared" si="43"/>
        <v/>
      </c>
      <c r="FK166" s="11" t="str">
        <f t="shared" si="44"/>
        <v/>
      </c>
      <c r="FL166" s="11" t="str">
        <f t="shared" si="45"/>
        <v/>
      </c>
      <c r="FN166" s="141" t="str">
        <f t="shared" si="48"/>
        <v>6-jun</v>
      </c>
      <c r="FO166" s="11" t="str">
        <f t="shared" si="49"/>
        <v/>
      </c>
      <c r="FP166" s="11" t="str">
        <f t="shared" si="39"/>
        <v/>
      </c>
      <c r="FQ166" s="11" t="str">
        <f t="shared" si="40"/>
        <v/>
      </c>
    </row>
    <row r="167" spans="2:173">
      <c r="B167"/>
      <c r="C167"/>
      <c r="BC167"/>
      <c r="BD167"/>
      <c r="BE167"/>
      <c r="BF167"/>
      <c r="BJ167"/>
      <c r="BK167"/>
      <c r="BL167"/>
      <c r="CI167"/>
      <c r="CJ167"/>
      <c r="CM167"/>
      <c r="CN167"/>
      <c r="CO167"/>
      <c r="DG167"/>
      <c r="DH167"/>
      <c r="DI167"/>
      <c r="DJ167"/>
      <c r="DK167"/>
      <c r="DL167"/>
      <c r="EG167"/>
      <c r="EH167"/>
      <c r="EW167" s="43" t="s">
        <v>549</v>
      </c>
      <c r="EX167" s="61">
        <v>1440</v>
      </c>
      <c r="EY167" s="61">
        <v>0</v>
      </c>
      <c r="EZ167" s="61">
        <v>71</v>
      </c>
      <c r="FA167" s="61">
        <v>0</v>
      </c>
      <c r="FB167" s="61">
        <v>0</v>
      </c>
      <c r="FD167" s="141" t="str">
        <f t="shared" si="46"/>
        <v>7-jun</v>
      </c>
      <c r="FE167" s="11" t="str">
        <f t="shared" si="47"/>
        <v/>
      </c>
      <c r="FF167" s="11" t="str">
        <f t="shared" si="41"/>
        <v/>
      </c>
      <c r="FG167" s="11" t="str">
        <f t="shared" si="42"/>
        <v/>
      </c>
      <c r="FI167" s="141" t="str">
        <f t="shared" si="38"/>
        <v>7-jun</v>
      </c>
      <c r="FJ167" s="11" t="str">
        <f t="shared" si="43"/>
        <v/>
      </c>
      <c r="FK167" s="11" t="str">
        <f t="shared" si="44"/>
        <v/>
      </c>
      <c r="FL167" s="11" t="str">
        <f t="shared" si="45"/>
        <v/>
      </c>
      <c r="FN167" s="141" t="str">
        <f t="shared" si="48"/>
        <v>7-jun</v>
      </c>
      <c r="FO167" s="11" t="str">
        <f t="shared" si="49"/>
        <v/>
      </c>
      <c r="FP167" s="11" t="str">
        <f t="shared" si="39"/>
        <v/>
      </c>
      <c r="FQ167" s="11" t="str">
        <f t="shared" si="40"/>
        <v/>
      </c>
    </row>
    <row r="168" spans="2:173">
      <c r="B168"/>
      <c r="C168"/>
      <c r="BC168"/>
      <c r="BD168"/>
      <c r="BE168"/>
      <c r="BF168"/>
      <c r="BJ168"/>
      <c r="BK168"/>
      <c r="BL168"/>
      <c r="CI168"/>
      <c r="CJ168"/>
      <c r="CM168"/>
      <c r="CN168"/>
      <c r="CO168"/>
      <c r="DG168"/>
      <c r="DH168"/>
      <c r="DI168"/>
      <c r="DJ168"/>
      <c r="DK168"/>
      <c r="DL168"/>
      <c r="EG168"/>
      <c r="EH168"/>
      <c r="EW168" s="43" t="s">
        <v>550</v>
      </c>
      <c r="EX168" s="61">
        <v>1440</v>
      </c>
      <c r="EY168" s="61">
        <v>0</v>
      </c>
      <c r="EZ168" s="61">
        <v>71</v>
      </c>
      <c r="FA168" s="61">
        <v>0</v>
      </c>
      <c r="FB168" s="61">
        <v>0</v>
      </c>
      <c r="FD168" s="141" t="str">
        <f t="shared" si="46"/>
        <v>8-jun</v>
      </c>
      <c r="FE168" s="11" t="str">
        <f t="shared" si="47"/>
        <v/>
      </c>
      <c r="FF168" s="11" t="str">
        <f t="shared" si="41"/>
        <v/>
      </c>
      <c r="FG168" s="11" t="str">
        <f t="shared" si="42"/>
        <v/>
      </c>
      <c r="FI168" s="141" t="str">
        <f t="shared" si="38"/>
        <v>8-jun</v>
      </c>
      <c r="FJ168" s="11" t="str">
        <f t="shared" si="43"/>
        <v/>
      </c>
      <c r="FK168" s="11" t="str">
        <f t="shared" si="44"/>
        <v/>
      </c>
      <c r="FL168" s="11" t="str">
        <f t="shared" si="45"/>
        <v/>
      </c>
      <c r="FN168" s="141" t="str">
        <f t="shared" si="48"/>
        <v>8-jun</v>
      </c>
      <c r="FO168" s="11" t="str">
        <f t="shared" si="49"/>
        <v/>
      </c>
      <c r="FP168" s="11" t="str">
        <f t="shared" si="39"/>
        <v/>
      </c>
      <c r="FQ168" s="11" t="str">
        <f t="shared" si="40"/>
        <v/>
      </c>
    </row>
    <row r="169" spans="2:173">
      <c r="B169"/>
      <c r="C169"/>
      <c r="BC169"/>
      <c r="BD169"/>
      <c r="BE169"/>
      <c r="BF169"/>
      <c r="BJ169"/>
      <c r="BK169"/>
      <c r="BL169"/>
      <c r="CI169"/>
      <c r="CJ169"/>
      <c r="CM169"/>
      <c r="CN169"/>
      <c r="CO169"/>
      <c r="DG169"/>
      <c r="DH169"/>
      <c r="DI169"/>
      <c r="DJ169"/>
      <c r="DK169"/>
      <c r="DL169"/>
      <c r="EG169"/>
      <c r="EH169"/>
      <c r="EW169" s="43" t="s">
        <v>551</v>
      </c>
      <c r="EX169" s="61">
        <v>1440</v>
      </c>
      <c r="EY169" s="61">
        <v>0</v>
      </c>
      <c r="EZ169" s="61">
        <v>71</v>
      </c>
      <c r="FA169" s="61">
        <v>0</v>
      </c>
      <c r="FB169" s="61">
        <v>0</v>
      </c>
      <c r="FD169" s="141" t="str">
        <f t="shared" si="46"/>
        <v>9-jun</v>
      </c>
      <c r="FE169" s="11" t="str">
        <f t="shared" si="47"/>
        <v/>
      </c>
      <c r="FF169" s="11" t="str">
        <f t="shared" si="41"/>
        <v/>
      </c>
      <c r="FG169" s="11" t="str">
        <f t="shared" si="42"/>
        <v/>
      </c>
      <c r="FI169" s="141" t="str">
        <f t="shared" ref="FI169:FI227" si="50">EW169</f>
        <v>9-jun</v>
      </c>
      <c r="FJ169" s="11" t="str">
        <f t="shared" si="43"/>
        <v/>
      </c>
      <c r="FK169" s="11" t="str">
        <f t="shared" si="44"/>
        <v/>
      </c>
      <c r="FL169" s="11" t="str">
        <f t="shared" si="45"/>
        <v/>
      </c>
      <c r="FN169" s="141" t="str">
        <f t="shared" si="48"/>
        <v>9-jun</v>
      </c>
      <c r="FO169" s="11" t="str">
        <f t="shared" si="49"/>
        <v/>
      </c>
      <c r="FP169" s="11" t="str">
        <f t="shared" si="39"/>
        <v/>
      </c>
      <c r="FQ169" s="11" t="str">
        <f t="shared" si="40"/>
        <v/>
      </c>
    </row>
    <row r="170" spans="2:173">
      <c r="B170"/>
      <c r="C170"/>
      <c r="BC170"/>
      <c r="BD170"/>
      <c r="BE170"/>
      <c r="BF170"/>
      <c r="BJ170"/>
      <c r="BK170"/>
      <c r="BL170"/>
      <c r="CI170"/>
      <c r="CJ170"/>
      <c r="CM170"/>
      <c r="CN170"/>
      <c r="CO170"/>
      <c r="DG170"/>
      <c r="DH170"/>
      <c r="DI170"/>
      <c r="DJ170"/>
      <c r="DK170"/>
      <c r="DL170"/>
      <c r="EG170"/>
      <c r="EH170"/>
      <c r="EW170" s="43" t="s">
        <v>552</v>
      </c>
      <c r="EX170" s="61">
        <v>1440</v>
      </c>
      <c r="EY170" s="61">
        <v>0</v>
      </c>
      <c r="EZ170" s="61">
        <v>71</v>
      </c>
      <c r="FA170" s="61">
        <v>0</v>
      </c>
      <c r="FB170" s="61">
        <v>0</v>
      </c>
      <c r="FD170" s="141" t="str">
        <f t="shared" si="46"/>
        <v>10-jun</v>
      </c>
      <c r="FE170" s="11" t="str">
        <f t="shared" si="47"/>
        <v/>
      </c>
      <c r="FF170" s="11" t="str">
        <f t="shared" si="41"/>
        <v/>
      </c>
      <c r="FG170" s="11" t="str">
        <f t="shared" si="42"/>
        <v/>
      </c>
      <c r="FI170" s="141" t="str">
        <f t="shared" si="50"/>
        <v>10-jun</v>
      </c>
      <c r="FJ170" s="11" t="str">
        <f t="shared" si="43"/>
        <v/>
      </c>
      <c r="FK170" s="11" t="str">
        <f t="shared" si="44"/>
        <v/>
      </c>
      <c r="FL170" s="11" t="str">
        <f t="shared" si="45"/>
        <v/>
      </c>
      <c r="FN170" s="141" t="str">
        <f t="shared" si="48"/>
        <v>10-jun</v>
      </c>
      <c r="FO170" s="11" t="str">
        <f t="shared" si="49"/>
        <v/>
      </c>
      <c r="FP170" s="11" t="str">
        <f t="shared" si="39"/>
        <v/>
      </c>
      <c r="FQ170" s="11" t="str">
        <f t="shared" si="40"/>
        <v/>
      </c>
    </row>
    <row r="171" spans="2:173">
      <c r="B171"/>
      <c r="C171"/>
      <c r="BC171"/>
      <c r="BD171"/>
      <c r="BE171"/>
      <c r="BF171"/>
      <c r="BJ171"/>
      <c r="BK171"/>
      <c r="BL171"/>
      <c r="CI171"/>
      <c r="CJ171"/>
      <c r="CM171"/>
      <c r="CN171"/>
      <c r="CO171"/>
      <c r="DG171"/>
      <c r="DH171"/>
      <c r="DI171"/>
      <c r="DJ171"/>
      <c r="DK171"/>
      <c r="DL171"/>
      <c r="EG171"/>
      <c r="EH171"/>
      <c r="EW171" s="43" t="s">
        <v>553</v>
      </c>
      <c r="EX171" s="61">
        <v>1440</v>
      </c>
      <c r="EY171" s="61">
        <v>0</v>
      </c>
      <c r="EZ171" s="61">
        <v>71</v>
      </c>
      <c r="FA171" s="61">
        <v>0</v>
      </c>
      <c r="FB171" s="61">
        <v>0</v>
      </c>
      <c r="FD171" s="141" t="str">
        <f t="shared" si="46"/>
        <v>11-jun</v>
      </c>
      <c r="FE171" s="11" t="str">
        <f t="shared" si="47"/>
        <v/>
      </c>
      <c r="FF171" s="11" t="str">
        <f t="shared" si="41"/>
        <v/>
      </c>
      <c r="FG171" s="11" t="str">
        <f t="shared" si="42"/>
        <v/>
      </c>
      <c r="FI171" s="141" t="str">
        <f t="shared" si="50"/>
        <v>11-jun</v>
      </c>
      <c r="FJ171" s="11" t="str">
        <f t="shared" si="43"/>
        <v/>
      </c>
      <c r="FK171" s="11" t="str">
        <f t="shared" si="44"/>
        <v/>
      </c>
      <c r="FL171" s="11" t="str">
        <f t="shared" si="45"/>
        <v/>
      </c>
      <c r="FN171" s="141" t="str">
        <f t="shared" si="48"/>
        <v>11-jun</v>
      </c>
      <c r="FO171" s="11" t="str">
        <f t="shared" si="49"/>
        <v/>
      </c>
      <c r="FP171" s="11" t="str">
        <f t="shared" si="39"/>
        <v/>
      </c>
      <c r="FQ171" s="11" t="str">
        <f t="shared" si="40"/>
        <v/>
      </c>
    </row>
    <row r="172" spans="2:173">
      <c r="B172"/>
      <c r="C172"/>
      <c r="BC172"/>
      <c r="BD172"/>
      <c r="BE172"/>
      <c r="BF172"/>
      <c r="BJ172"/>
      <c r="BK172"/>
      <c r="BL172"/>
      <c r="CI172"/>
      <c r="CJ172"/>
      <c r="CM172"/>
      <c r="CN172"/>
      <c r="CO172"/>
      <c r="DG172"/>
      <c r="DH172"/>
      <c r="DI172"/>
      <c r="DJ172"/>
      <c r="DK172"/>
      <c r="DL172"/>
      <c r="EG172"/>
      <c r="EH172"/>
      <c r="EW172" s="43" t="s">
        <v>554</v>
      </c>
      <c r="EX172" s="61">
        <v>1440</v>
      </c>
      <c r="EY172" s="61">
        <v>0</v>
      </c>
      <c r="EZ172" s="61">
        <v>71</v>
      </c>
      <c r="FA172" s="61">
        <v>0</v>
      </c>
      <c r="FB172" s="61">
        <v>0</v>
      </c>
      <c r="FD172" s="141" t="str">
        <f t="shared" si="46"/>
        <v>12-jun</v>
      </c>
      <c r="FE172" s="11" t="str">
        <f t="shared" si="47"/>
        <v/>
      </c>
      <c r="FF172" s="11" t="str">
        <f t="shared" si="41"/>
        <v/>
      </c>
      <c r="FG172" s="11" t="str">
        <f t="shared" si="42"/>
        <v/>
      </c>
      <c r="FI172" s="141" t="str">
        <f t="shared" si="50"/>
        <v>12-jun</v>
      </c>
      <c r="FJ172" s="11" t="str">
        <f t="shared" si="43"/>
        <v/>
      </c>
      <c r="FK172" s="11" t="str">
        <f t="shared" si="44"/>
        <v/>
      </c>
      <c r="FL172" s="11" t="str">
        <f t="shared" si="45"/>
        <v/>
      </c>
      <c r="FN172" s="141" t="str">
        <f t="shared" si="48"/>
        <v>12-jun</v>
      </c>
      <c r="FO172" s="11" t="str">
        <f t="shared" si="49"/>
        <v/>
      </c>
      <c r="FP172" s="11" t="str">
        <f t="shared" si="39"/>
        <v/>
      </c>
      <c r="FQ172" s="11" t="str">
        <f t="shared" si="40"/>
        <v/>
      </c>
    </row>
    <row r="173" spans="2:173">
      <c r="B173"/>
      <c r="C173"/>
      <c r="BC173"/>
      <c r="BD173"/>
      <c r="BE173"/>
      <c r="BF173"/>
      <c r="BJ173"/>
      <c r="BK173"/>
      <c r="BL173"/>
      <c r="CI173"/>
      <c r="CJ173"/>
      <c r="CM173"/>
      <c r="CN173"/>
      <c r="CO173"/>
      <c r="DG173"/>
      <c r="DH173"/>
      <c r="DI173"/>
      <c r="DJ173"/>
      <c r="DK173"/>
      <c r="DL173"/>
      <c r="EG173"/>
      <c r="EH173"/>
      <c r="EW173" s="43" t="s">
        <v>555</v>
      </c>
      <c r="EX173" s="61">
        <v>1440</v>
      </c>
      <c r="EY173" s="61">
        <v>0</v>
      </c>
      <c r="EZ173" s="61">
        <v>71</v>
      </c>
      <c r="FA173" s="61">
        <v>0</v>
      </c>
      <c r="FB173" s="61">
        <v>0</v>
      </c>
      <c r="FD173" s="141" t="str">
        <f t="shared" si="46"/>
        <v>13-jun</v>
      </c>
      <c r="FE173" s="11" t="str">
        <f t="shared" si="47"/>
        <v/>
      </c>
      <c r="FF173" s="11" t="str">
        <f t="shared" si="41"/>
        <v/>
      </c>
      <c r="FG173" s="11" t="str">
        <f t="shared" si="42"/>
        <v/>
      </c>
      <c r="FI173" s="141" t="str">
        <f t="shared" si="50"/>
        <v>13-jun</v>
      </c>
      <c r="FJ173" s="11" t="str">
        <f t="shared" si="43"/>
        <v/>
      </c>
      <c r="FK173" s="11" t="str">
        <f t="shared" si="44"/>
        <v/>
      </c>
      <c r="FL173" s="11" t="str">
        <f t="shared" si="45"/>
        <v/>
      </c>
      <c r="FN173" s="141" t="str">
        <f t="shared" si="48"/>
        <v>13-jun</v>
      </c>
      <c r="FO173" s="11" t="str">
        <f t="shared" si="49"/>
        <v/>
      </c>
      <c r="FP173" s="11" t="str">
        <f t="shared" si="39"/>
        <v/>
      </c>
      <c r="FQ173" s="11" t="str">
        <f t="shared" si="40"/>
        <v/>
      </c>
    </row>
    <row r="174" spans="2:173">
      <c r="B174"/>
      <c r="C174"/>
      <c r="BC174"/>
      <c r="BD174"/>
      <c r="BE174"/>
      <c r="BF174"/>
      <c r="BJ174"/>
      <c r="BK174"/>
      <c r="BL174"/>
      <c r="CI174"/>
      <c r="CJ174"/>
      <c r="CM174"/>
      <c r="CN174"/>
      <c r="CO174"/>
      <c r="DG174"/>
      <c r="DH174"/>
      <c r="DI174"/>
      <c r="DJ174"/>
      <c r="DK174"/>
      <c r="DL174"/>
      <c r="EG174"/>
      <c r="EH174"/>
      <c r="EW174" s="43" t="s">
        <v>556</v>
      </c>
      <c r="EX174" s="61">
        <v>1440</v>
      </c>
      <c r="EY174" s="61">
        <v>0</v>
      </c>
      <c r="EZ174" s="61">
        <v>71</v>
      </c>
      <c r="FA174" s="61">
        <v>0</v>
      </c>
      <c r="FB174" s="61">
        <v>0</v>
      </c>
      <c r="FD174" s="141" t="str">
        <f t="shared" si="46"/>
        <v>14-jun</v>
      </c>
      <c r="FE174" s="11" t="str">
        <f t="shared" si="47"/>
        <v/>
      </c>
      <c r="FF174" s="11" t="str">
        <f t="shared" si="41"/>
        <v/>
      </c>
      <c r="FG174" s="11" t="str">
        <f t="shared" si="42"/>
        <v/>
      </c>
      <c r="FI174" s="141" t="str">
        <f t="shared" si="50"/>
        <v>14-jun</v>
      </c>
      <c r="FJ174" s="11" t="str">
        <f t="shared" si="43"/>
        <v/>
      </c>
      <c r="FK174" s="11" t="str">
        <f t="shared" si="44"/>
        <v/>
      </c>
      <c r="FL174" s="11" t="str">
        <f t="shared" si="45"/>
        <v/>
      </c>
      <c r="FN174" s="141" t="str">
        <f t="shared" si="48"/>
        <v>14-jun</v>
      </c>
      <c r="FO174" s="11" t="str">
        <f t="shared" si="49"/>
        <v/>
      </c>
      <c r="FP174" s="11" t="str">
        <f t="shared" si="39"/>
        <v/>
      </c>
      <c r="FQ174" s="11" t="str">
        <f t="shared" si="40"/>
        <v/>
      </c>
    </row>
    <row r="175" spans="2:173">
      <c r="B175"/>
      <c r="C175"/>
      <c r="BC175"/>
      <c r="BD175"/>
      <c r="BE175"/>
      <c r="BF175"/>
      <c r="BJ175"/>
      <c r="BK175"/>
      <c r="BL175"/>
      <c r="CI175"/>
      <c r="CJ175"/>
      <c r="CM175"/>
      <c r="CN175"/>
      <c r="CO175"/>
      <c r="DG175"/>
      <c r="DH175"/>
      <c r="DI175"/>
      <c r="DJ175"/>
      <c r="DK175"/>
      <c r="DL175"/>
      <c r="EG175"/>
      <c r="EH175"/>
      <c r="EW175" s="43" t="s">
        <v>557</v>
      </c>
      <c r="EX175" s="61">
        <v>1440</v>
      </c>
      <c r="EY175" s="61">
        <v>0</v>
      </c>
      <c r="EZ175" s="61">
        <v>71</v>
      </c>
      <c r="FA175" s="61">
        <v>0</v>
      </c>
      <c r="FB175" s="61">
        <v>0</v>
      </c>
      <c r="FD175" s="141" t="str">
        <f t="shared" si="46"/>
        <v>15-jun</v>
      </c>
      <c r="FE175" s="11" t="str">
        <f t="shared" si="47"/>
        <v/>
      </c>
      <c r="FF175" s="11" t="str">
        <f t="shared" si="41"/>
        <v/>
      </c>
      <c r="FG175" s="11" t="str">
        <f t="shared" si="42"/>
        <v/>
      </c>
      <c r="FI175" s="141" t="str">
        <f t="shared" si="50"/>
        <v>15-jun</v>
      </c>
      <c r="FJ175" s="11" t="str">
        <f t="shared" si="43"/>
        <v/>
      </c>
      <c r="FK175" s="11" t="str">
        <f t="shared" si="44"/>
        <v/>
      </c>
      <c r="FL175" s="11" t="str">
        <f t="shared" si="45"/>
        <v/>
      </c>
      <c r="FN175" s="141" t="str">
        <f t="shared" si="48"/>
        <v>15-jun</v>
      </c>
      <c r="FO175" s="11" t="str">
        <f t="shared" si="49"/>
        <v/>
      </c>
      <c r="FP175" s="11" t="str">
        <f t="shared" si="39"/>
        <v/>
      </c>
      <c r="FQ175" s="11" t="str">
        <f t="shared" si="40"/>
        <v/>
      </c>
    </row>
    <row r="176" spans="2:173">
      <c r="B176"/>
      <c r="C176"/>
      <c r="BC176"/>
      <c r="BD176"/>
      <c r="BE176"/>
      <c r="BF176"/>
      <c r="BJ176"/>
      <c r="BK176"/>
      <c r="BL176"/>
      <c r="CI176"/>
      <c r="CJ176"/>
      <c r="CM176"/>
      <c r="CN176"/>
      <c r="CO176"/>
      <c r="DG176"/>
      <c r="DH176"/>
      <c r="DI176"/>
      <c r="DJ176"/>
      <c r="DK176"/>
      <c r="DL176"/>
      <c r="EG176"/>
      <c r="EH176"/>
      <c r="EW176" s="43" t="s">
        <v>558</v>
      </c>
      <c r="EX176" s="61">
        <v>1390</v>
      </c>
      <c r="EY176" s="61">
        <v>0</v>
      </c>
      <c r="EZ176" s="61">
        <v>71</v>
      </c>
      <c r="FA176" s="61">
        <v>0</v>
      </c>
      <c r="FB176" s="61">
        <v>1</v>
      </c>
      <c r="FD176" s="141" t="str">
        <f t="shared" si="46"/>
        <v>16-jun</v>
      </c>
      <c r="FE176" s="11" t="str">
        <f t="shared" si="47"/>
        <v/>
      </c>
      <c r="FF176" s="11" t="str">
        <f t="shared" si="41"/>
        <v/>
      </c>
      <c r="FG176" s="11" t="str">
        <f t="shared" si="42"/>
        <v/>
      </c>
      <c r="FI176" s="141" t="str">
        <f t="shared" si="50"/>
        <v>16-jun</v>
      </c>
      <c r="FJ176" s="11">
        <f t="shared" si="43"/>
        <v>1</v>
      </c>
      <c r="FK176" s="11">
        <f t="shared" si="44"/>
        <v>71</v>
      </c>
      <c r="FL176" s="11">
        <f t="shared" si="45"/>
        <v>1390</v>
      </c>
      <c r="FN176" s="141" t="str">
        <f t="shared" si="48"/>
        <v>16-jun</v>
      </c>
      <c r="FO176" s="11" t="str">
        <f t="shared" si="49"/>
        <v/>
      </c>
      <c r="FP176" s="11" t="str">
        <f t="shared" si="39"/>
        <v/>
      </c>
      <c r="FQ176" s="11" t="str">
        <f t="shared" si="40"/>
        <v/>
      </c>
    </row>
    <row r="177" spans="2:173">
      <c r="B177"/>
      <c r="C177"/>
      <c r="BC177"/>
      <c r="BD177"/>
      <c r="BE177"/>
      <c r="BF177"/>
      <c r="BJ177"/>
      <c r="BK177"/>
      <c r="BL177"/>
      <c r="CI177"/>
      <c r="CJ177"/>
      <c r="CM177"/>
      <c r="CN177"/>
      <c r="CO177"/>
      <c r="DG177"/>
      <c r="DH177"/>
      <c r="DI177"/>
      <c r="DJ177"/>
      <c r="DK177"/>
      <c r="DL177"/>
      <c r="EG177"/>
      <c r="EH177"/>
      <c r="EW177" s="43" t="s">
        <v>559</v>
      </c>
      <c r="EX177" s="61">
        <v>1390</v>
      </c>
      <c r="EY177" s="61">
        <v>0</v>
      </c>
      <c r="EZ177" s="61">
        <v>71</v>
      </c>
      <c r="FA177" s="61">
        <v>0</v>
      </c>
      <c r="FB177" s="61">
        <v>0</v>
      </c>
      <c r="FD177" s="141" t="str">
        <f t="shared" si="46"/>
        <v>17-jun</v>
      </c>
      <c r="FE177" s="11" t="str">
        <f t="shared" si="47"/>
        <v/>
      </c>
      <c r="FF177" s="11" t="str">
        <f t="shared" si="41"/>
        <v/>
      </c>
      <c r="FG177" s="11" t="str">
        <f t="shared" si="42"/>
        <v/>
      </c>
      <c r="FI177" s="141" t="str">
        <f t="shared" si="50"/>
        <v>17-jun</v>
      </c>
      <c r="FJ177" s="11" t="str">
        <f t="shared" si="43"/>
        <v/>
      </c>
      <c r="FK177" s="11" t="str">
        <f t="shared" si="44"/>
        <v/>
      </c>
      <c r="FL177" s="11" t="str">
        <f t="shared" si="45"/>
        <v/>
      </c>
      <c r="FN177" s="141" t="str">
        <f t="shared" si="48"/>
        <v>17-jun</v>
      </c>
      <c r="FO177" s="11" t="str">
        <f t="shared" si="49"/>
        <v/>
      </c>
      <c r="FP177" s="11" t="str">
        <f t="shared" si="39"/>
        <v/>
      </c>
      <c r="FQ177" s="11" t="str">
        <f t="shared" si="40"/>
        <v/>
      </c>
    </row>
    <row r="178" spans="2:173">
      <c r="B178"/>
      <c r="C178"/>
      <c r="BC178"/>
      <c r="BD178"/>
      <c r="BE178"/>
      <c r="BF178"/>
      <c r="BJ178"/>
      <c r="BK178"/>
      <c r="BL178"/>
      <c r="CI178"/>
      <c r="CJ178"/>
      <c r="CM178"/>
      <c r="CN178"/>
      <c r="CO178"/>
      <c r="DG178"/>
      <c r="DH178"/>
      <c r="DI178"/>
      <c r="DJ178"/>
      <c r="DK178"/>
      <c r="DL178"/>
      <c r="EG178"/>
      <c r="EH178"/>
      <c r="EW178" s="43" t="s">
        <v>560</v>
      </c>
      <c r="EX178" s="61">
        <v>1390</v>
      </c>
      <c r="EY178" s="61">
        <v>0</v>
      </c>
      <c r="EZ178" s="61">
        <v>71</v>
      </c>
      <c r="FA178" s="61">
        <v>0</v>
      </c>
      <c r="FB178" s="61">
        <v>0</v>
      </c>
      <c r="FD178" s="141" t="str">
        <f t="shared" si="46"/>
        <v>18-jun</v>
      </c>
      <c r="FE178" s="11" t="str">
        <f t="shared" si="47"/>
        <v/>
      </c>
      <c r="FF178" s="11" t="str">
        <f t="shared" si="41"/>
        <v/>
      </c>
      <c r="FG178" s="11" t="str">
        <f t="shared" si="42"/>
        <v/>
      </c>
      <c r="FI178" s="141" t="str">
        <f t="shared" si="50"/>
        <v>18-jun</v>
      </c>
      <c r="FJ178" s="11" t="str">
        <f t="shared" si="43"/>
        <v/>
      </c>
      <c r="FK178" s="11" t="str">
        <f t="shared" si="44"/>
        <v/>
      </c>
      <c r="FL178" s="11" t="str">
        <f t="shared" si="45"/>
        <v/>
      </c>
      <c r="FN178" s="141" t="str">
        <f t="shared" si="48"/>
        <v>18-jun</v>
      </c>
      <c r="FO178" s="11" t="str">
        <f t="shared" si="49"/>
        <v/>
      </c>
      <c r="FP178" s="11" t="str">
        <f t="shared" si="39"/>
        <v/>
      </c>
      <c r="FQ178" s="11" t="str">
        <f t="shared" si="40"/>
        <v/>
      </c>
    </row>
    <row r="179" spans="2:173">
      <c r="B179"/>
      <c r="C179"/>
      <c r="BC179"/>
      <c r="BD179"/>
      <c r="BE179"/>
      <c r="BF179"/>
      <c r="BJ179"/>
      <c r="BK179"/>
      <c r="BL179"/>
      <c r="CI179"/>
      <c r="CJ179"/>
      <c r="CM179"/>
      <c r="CN179"/>
      <c r="CO179"/>
      <c r="DG179"/>
      <c r="DH179"/>
      <c r="DI179"/>
      <c r="DJ179"/>
      <c r="DK179"/>
      <c r="DL179"/>
      <c r="EG179"/>
      <c r="EH179"/>
      <c r="EW179" s="43" t="s">
        <v>561</v>
      </c>
      <c r="EX179" s="61">
        <v>1390</v>
      </c>
      <c r="EY179" s="61">
        <v>0</v>
      </c>
      <c r="EZ179" s="61">
        <v>71</v>
      </c>
      <c r="FA179" s="61">
        <v>0</v>
      </c>
      <c r="FB179" s="61">
        <v>0</v>
      </c>
      <c r="FD179" s="141" t="str">
        <f t="shared" si="46"/>
        <v>19-jun</v>
      </c>
      <c r="FE179" s="11" t="str">
        <f t="shared" si="47"/>
        <v/>
      </c>
      <c r="FF179" s="11" t="str">
        <f t="shared" si="41"/>
        <v/>
      </c>
      <c r="FG179" s="11" t="str">
        <f t="shared" si="42"/>
        <v/>
      </c>
      <c r="FI179" s="141" t="str">
        <f t="shared" si="50"/>
        <v>19-jun</v>
      </c>
      <c r="FJ179" s="11" t="str">
        <f t="shared" si="43"/>
        <v/>
      </c>
      <c r="FK179" s="11" t="str">
        <f t="shared" si="44"/>
        <v/>
      </c>
      <c r="FL179" s="11" t="str">
        <f t="shared" si="45"/>
        <v/>
      </c>
      <c r="FN179" s="141" t="str">
        <f t="shared" si="48"/>
        <v>19-jun</v>
      </c>
      <c r="FO179" s="11" t="str">
        <f t="shared" si="49"/>
        <v/>
      </c>
      <c r="FP179" s="11" t="str">
        <f t="shared" si="39"/>
        <v/>
      </c>
      <c r="FQ179" s="11" t="str">
        <f t="shared" si="40"/>
        <v/>
      </c>
    </row>
    <row r="180" spans="2:173">
      <c r="B180"/>
      <c r="C180"/>
      <c r="BC180"/>
      <c r="BD180"/>
      <c r="BE180"/>
      <c r="BF180"/>
      <c r="BJ180"/>
      <c r="BK180"/>
      <c r="BL180"/>
      <c r="CI180"/>
      <c r="CJ180"/>
      <c r="CM180"/>
      <c r="CN180"/>
      <c r="CO180"/>
      <c r="DG180"/>
      <c r="DH180"/>
      <c r="DI180"/>
      <c r="DJ180"/>
      <c r="DK180"/>
      <c r="DL180"/>
      <c r="EG180"/>
      <c r="EH180"/>
      <c r="EW180" s="43" t="s">
        <v>562</v>
      </c>
      <c r="EX180" s="61">
        <v>1390</v>
      </c>
      <c r="EY180" s="61">
        <v>0</v>
      </c>
      <c r="EZ180" s="61">
        <v>71</v>
      </c>
      <c r="FA180" s="61">
        <v>0</v>
      </c>
      <c r="FB180" s="61">
        <v>0</v>
      </c>
      <c r="FD180" s="141" t="str">
        <f t="shared" si="46"/>
        <v>20-jun</v>
      </c>
      <c r="FE180" s="11" t="str">
        <f t="shared" si="47"/>
        <v/>
      </c>
      <c r="FF180" s="11" t="str">
        <f t="shared" si="41"/>
        <v/>
      </c>
      <c r="FG180" s="11" t="str">
        <f t="shared" si="42"/>
        <v/>
      </c>
      <c r="FI180" s="141" t="str">
        <f t="shared" si="50"/>
        <v>20-jun</v>
      </c>
      <c r="FJ180" s="11" t="str">
        <f t="shared" si="43"/>
        <v/>
      </c>
      <c r="FK180" s="11" t="str">
        <f t="shared" si="44"/>
        <v/>
      </c>
      <c r="FL180" s="11" t="str">
        <f t="shared" si="45"/>
        <v/>
      </c>
      <c r="FN180" s="141" t="str">
        <f t="shared" si="48"/>
        <v>20-jun</v>
      </c>
      <c r="FO180" s="11" t="str">
        <f t="shared" si="49"/>
        <v/>
      </c>
      <c r="FP180" s="11" t="str">
        <f t="shared" si="39"/>
        <v/>
      </c>
      <c r="FQ180" s="11" t="str">
        <f t="shared" si="40"/>
        <v/>
      </c>
    </row>
    <row r="181" spans="2:173">
      <c r="B181"/>
      <c r="C181"/>
      <c r="BC181"/>
      <c r="BD181"/>
      <c r="BE181"/>
      <c r="BF181"/>
      <c r="BJ181"/>
      <c r="BK181"/>
      <c r="BL181"/>
      <c r="CI181"/>
      <c r="CJ181"/>
      <c r="CM181"/>
      <c r="CN181"/>
      <c r="CO181"/>
      <c r="DG181"/>
      <c r="DH181"/>
      <c r="DI181"/>
      <c r="DJ181"/>
      <c r="DK181"/>
      <c r="DL181"/>
      <c r="EG181"/>
      <c r="EH181"/>
      <c r="EW181" s="43" t="s">
        <v>563</v>
      </c>
      <c r="EX181" s="61">
        <v>1390</v>
      </c>
      <c r="EY181" s="61">
        <v>0</v>
      </c>
      <c r="EZ181" s="61">
        <v>71</v>
      </c>
      <c r="FA181" s="61">
        <v>0</v>
      </c>
      <c r="FB181" s="61">
        <v>0</v>
      </c>
      <c r="FD181" s="141" t="str">
        <f t="shared" si="46"/>
        <v>21-jun</v>
      </c>
      <c r="FE181" s="11" t="str">
        <f t="shared" si="47"/>
        <v/>
      </c>
      <c r="FF181" s="11" t="str">
        <f t="shared" si="41"/>
        <v/>
      </c>
      <c r="FG181" s="11" t="str">
        <f t="shared" si="42"/>
        <v/>
      </c>
      <c r="FI181" s="141" t="str">
        <f t="shared" si="50"/>
        <v>21-jun</v>
      </c>
      <c r="FJ181" s="11" t="str">
        <f t="shared" si="43"/>
        <v/>
      </c>
      <c r="FK181" s="11" t="str">
        <f t="shared" si="44"/>
        <v/>
      </c>
      <c r="FL181" s="11" t="str">
        <f t="shared" si="45"/>
        <v/>
      </c>
      <c r="FN181" s="141" t="str">
        <f t="shared" si="48"/>
        <v>21-jun</v>
      </c>
      <c r="FO181" s="11" t="str">
        <f t="shared" si="49"/>
        <v/>
      </c>
      <c r="FP181" s="11" t="str">
        <f t="shared" si="39"/>
        <v/>
      </c>
      <c r="FQ181" s="11" t="str">
        <f t="shared" si="40"/>
        <v/>
      </c>
    </row>
    <row r="182" spans="2:173">
      <c r="B182"/>
      <c r="C182"/>
      <c r="BC182"/>
      <c r="BD182"/>
      <c r="BE182"/>
      <c r="BF182"/>
      <c r="BJ182"/>
      <c r="BK182"/>
      <c r="BL182"/>
      <c r="CI182"/>
      <c r="CJ182"/>
      <c r="CM182"/>
      <c r="CN182"/>
      <c r="CO182"/>
      <c r="DG182"/>
      <c r="DH182"/>
      <c r="DI182"/>
      <c r="DJ182"/>
      <c r="DK182"/>
      <c r="DL182"/>
      <c r="EG182"/>
      <c r="EH182"/>
      <c r="EW182" s="43" t="s">
        <v>564</v>
      </c>
      <c r="EX182" s="61">
        <v>1390</v>
      </c>
      <c r="EY182" s="61">
        <v>0</v>
      </c>
      <c r="EZ182" s="61">
        <v>71</v>
      </c>
      <c r="FA182" s="61">
        <v>0</v>
      </c>
      <c r="FB182" s="61">
        <v>0</v>
      </c>
      <c r="FD182" s="141" t="str">
        <f t="shared" si="46"/>
        <v>22-jun</v>
      </c>
      <c r="FE182" s="11" t="str">
        <f t="shared" si="47"/>
        <v/>
      </c>
      <c r="FF182" s="11" t="str">
        <f t="shared" si="41"/>
        <v/>
      </c>
      <c r="FG182" s="11" t="str">
        <f t="shared" si="42"/>
        <v/>
      </c>
      <c r="FI182" s="141" t="str">
        <f t="shared" si="50"/>
        <v>22-jun</v>
      </c>
      <c r="FJ182" s="11" t="str">
        <f t="shared" si="43"/>
        <v/>
      </c>
      <c r="FK182" s="11" t="str">
        <f t="shared" si="44"/>
        <v/>
      </c>
      <c r="FL182" s="11" t="str">
        <f t="shared" si="45"/>
        <v/>
      </c>
      <c r="FN182" s="141" t="str">
        <f t="shared" si="48"/>
        <v>22-jun</v>
      </c>
      <c r="FO182" s="11" t="str">
        <f t="shared" si="49"/>
        <v/>
      </c>
      <c r="FP182" s="11" t="str">
        <f t="shared" si="39"/>
        <v/>
      </c>
      <c r="FQ182" s="11" t="str">
        <f t="shared" si="40"/>
        <v/>
      </c>
    </row>
    <row r="183" spans="2:173">
      <c r="B183"/>
      <c r="C183"/>
      <c r="BC183"/>
      <c r="BD183"/>
      <c r="BE183"/>
      <c r="BF183"/>
      <c r="BJ183"/>
      <c r="BK183"/>
      <c r="BL183"/>
      <c r="CI183"/>
      <c r="CJ183"/>
      <c r="CM183"/>
      <c r="CN183"/>
      <c r="CO183"/>
      <c r="DG183"/>
      <c r="DH183"/>
      <c r="DI183"/>
      <c r="DJ183"/>
      <c r="DK183"/>
      <c r="DL183"/>
      <c r="EG183"/>
      <c r="EH183"/>
      <c r="EW183" s="43" t="s">
        <v>565</v>
      </c>
      <c r="EX183" s="61">
        <v>1390</v>
      </c>
      <c r="EY183" s="61">
        <v>0</v>
      </c>
      <c r="EZ183" s="61">
        <v>71</v>
      </c>
      <c r="FA183" s="61">
        <v>0</v>
      </c>
      <c r="FB183" s="61">
        <v>0</v>
      </c>
      <c r="FD183" s="141" t="str">
        <f t="shared" si="46"/>
        <v>23-jun</v>
      </c>
      <c r="FE183" s="11" t="str">
        <f t="shared" si="47"/>
        <v/>
      </c>
      <c r="FF183" s="11" t="str">
        <f t="shared" si="41"/>
        <v/>
      </c>
      <c r="FG183" s="11" t="str">
        <f t="shared" si="42"/>
        <v/>
      </c>
      <c r="FI183" s="141" t="str">
        <f t="shared" si="50"/>
        <v>23-jun</v>
      </c>
      <c r="FJ183" s="11" t="str">
        <f t="shared" si="43"/>
        <v/>
      </c>
      <c r="FK183" s="11" t="str">
        <f t="shared" si="44"/>
        <v/>
      </c>
      <c r="FL183" s="11" t="str">
        <f t="shared" si="45"/>
        <v/>
      </c>
      <c r="FN183" s="141" t="str">
        <f t="shared" si="48"/>
        <v>23-jun</v>
      </c>
      <c r="FO183" s="11" t="str">
        <f t="shared" si="49"/>
        <v/>
      </c>
      <c r="FP183" s="11" t="str">
        <f t="shared" si="39"/>
        <v/>
      </c>
      <c r="FQ183" s="11" t="str">
        <f t="shared" si="40"/>
        <v/>
      </c>
    </row>
    <row r="184" spans="2:173">
      <c r="B184"/>
      <c r="C184"/>
      <c r="BC184"/>
      <c r="BD184"/>
      <c r="BE184"/>
      <c r="BF184"/>
      <c r="BJ184"/>
      <c r="BK184"/>
      <c r="BL184"/>
      <c r="CI184"/>
      <c r="CJ184"/>
      <c r="CM184"/>
      <c r="CN184"/>
      <c r="CO184"/>
      <c r="DG184"/>
      <c r="DH184"/>
      <c r="DI184"/>
      <c r="DJ184"/>
      <c r="DK184"/>
      <c r="DL184"/>
      <c r="EG184"/>
      <c r="EH184"/>
      <c r="EW184" s="43" t="s">
        <v>566</v>
      </c>
      <c r="EX184" s="61">
        <v>1390</v>
      </c>
      <c r="EY184" s="61">
        <v>0</v>
      </c>
      <c r="EZ184" s="61">
        <v>71</v>
      </c>
      <c r="FA184" s="61">
        <v>0</v>
      </c>
      <c r="FB184" s="61">
        <v>0</v>
      </c>
      <c r="FD184" s="141" t="str">
        <f t="shared" si="46"/>
        <v>24-jun</v>
      </c>
      <c r="FE184" s="11" t="str">
        <f t="shared" si="47"/>
        <v/>
      </c>
      <c r="FF184" s="11" t="str">
        <f t="shared" si="41"/>
        <v/>
      </c>
      <c r="FG184" s="11" t="str">
        <f t="shared" si="42"/>
        <v/>
      </c>
      <c r="FI184" s="141" t="str">
        <f t="shared" si="50"/>
        <v>24-jun</v>
      </c>
      <c r="FJ184" s="11" t="str">
        <f t="shared" si="43"/>
        <v/>
      </c>
      <c r="FK184" s="11" t="str">
        <f t="shared" si="44"/>
        <v/>
      </c>
      <c r="FL184" s="11" t="str">
        <f t="shared" si="45"/>
        <v/>
      </c>
      <c r="FN184" s="141" t="str">
        <f t="shared" si="48"/>
        <v>24-jun</v>
      </c>
      <c r="FO184" s="11" t="str">
        <f t="shared" si="49"/>
        <v/>
      </c>
      <c r="FP184" s="11" t="str">
        <f t="shared" si="39"/>
        <v/>
      </c>
      <c r="FQ184" s="11" t="str">
        <f t="shared" si="40"/>
        <v/>
      </c>
    </row>
    <row r="185" spans="2:173">
      <c r="B185"/>
      <c r="C185"/>
      <c r="BC185"/>
      <c r="BD185"/>
      <c r="BE185"/>
      <c r="BF185"/>
      <c r="BJ185"/>
      <c r="BK185"/>
      <c r="BL185"/>
      <c r="CI185"/>
      <c r="CJ185"/>
      <c r="CM185"/>
      <c r="CN185"/>
      <c r="CO185"/>
      <c r="DG185"/>
      <c r="DH185"/>
      <c r="DI185"/>
      <c r="DJ185"/>
      <c r="DK185"/>
      <c r="DL185"/>
      <c r="EG185"/>
      <c r="EH185"/>
      <c r="EW185" s="43" t="s">
        <v>567</v>
      </c>
      <c r="EX185" s="61">
        <v>1390</v>
      </c>
      <c r="EY185" s="61">
        <v>0</v>
      </c>
      <c r="EZ185" s="61">
        <v>71</v>
      </c>
      <c r="FA185" s="61">
        <v>0</v>
      </c>
      <c r="FB185" s="61">
        <v>0</v>
      </c>
      <c r="FD185" s="141" t="str">
        <f t="shared" si="46"/>
        <v>25-jun</v>
      </c>
      <c r="FE185" s="11" t="str">
        <f t="shared" si="47"/>
        <v/>
      </c>
      <c r="FF185" s="11" t="str">
        <f t="shared" si="41"/>
        <v/>
      </c>
      <c r="FG185" s="11" t="str">
        <f t="shared" si="42"/>
        <v/>
      </c>
      <c r="FI185" s="141" t="str">
        <f t="shared" si="50"/>
        <v>25-jun</v>
      </c>
      <c r="FJ185" s="11" t="str">
        <f t="shared" si="43"/>
        <v/>
      </c>
      <c r="FK185" s="11" t="str">
        <f t="shared" si="44"/>
        <v/>
      </c>
      <c r="FL185" s="11" t="str">
        <f t="shared" si="45"/>
        <v/>
      </c>
      <c r="FN185" s="141" t="str">
        <f t="shared" si="48"/>
        <v>25-jun</v>
      </c>
      <c r="FO185" s="11" t="str">
        <f t="shared" si="49"/>
        <v/>
      </c>
      <c r="FP185" s="11" t="str">
        <f t="shared" si="39"/>
        <v/>
      </c>
      <c r="FQ185" s="11" t="str">
        <f t="shared" si="40"/>
        <v/>
      </c>
    </row>
    <row r="186" spans="2:173">
      <c r="B186"/>
      <c r="C186"/>
      <c r="BC186"/>
      <c r="BD186"/>
      <c r="BE186"/>
      <c r="BF186"/>
      <c r="BJ186"/>
      <c r="BK186"/>
      <c r="BL186"/>
      <c r="CI186"/>
      <c r="CJ186"/>
      <c r="CM186"/>
      <c r="CN186"/>
      <c r="CO186"/>
      <c r="DG186"/>
      <c r="DH186"/>
      <c r="DI186"/>
      <c r="DJ186"/>
      <c r="DK186"/>
      <c r="DL186"/>
      <c r="EG186"/>
      <c r="EH186"/>
      <c r="EW186" s="43" t="s">
        <v>568</v>
      </c>
      <c r="EX186" s="61">
        <v>1390</v>
      </c>
      <c r="EY186" s="61">
        <v>0</v>
      </c>
      <c r="EZ186" s="61">
        <v>71</v>
      </c>
      <c r="FA186" s="61">
        <v>0</v>
      </c>
      <c r="FB186" s="61">
        <v>0</v>
      </c>
      <c r="FD186" s="141" t="str">
        <f t="shared" si="46"/>
        <v>26-jun</v>
      </c>
      <c r="FE186" s="11" t="str">
        <f t="shared" si="47"/>
        <v/>
      </c>
      <c r="FF186" s="11" t="str">
        <f t="shared" si="41"/>
        <v/>
      </c>
      <c r="FG186" s="11" t="str">
        <f t="shared" si="42"/>
        <v/>
      </c>
      <c r="FI186" s="141" t="str">
        <f t="shared" si="50"/>
        <v>26-jun</v>
      </c>
      <c r="FJ186" s="11" t="str">
        <f t="shared" si="43"/>
        <v/>
      </c>
      <c r="FK186" s="11" t="str">
        <f t="shared" si="44"/>
        <v/>
      </c>
      <c r="FL186" s="11" t="str">
        <f t="shared" si="45"/>
        <v/>
      </c>
      <c r="FN186" s="141" t="str">
        <f t="shared" si="48"/>
        <v>26-jun</v>
      </c>
      <c r="FO186" s="11" t="str">
        <f t="shared" si="49"/>
        <v/>
      </c>
      <c r="FP186" s="11" t="str">
        <f t="shared" si="39"/>
        <v/>
      </c>
      <c r="FQ186" s="11" t="str">
        <f t="shared" si="40"/>
        <v/>
      </c>
    </row>
    <row r="187" spans="2:173">
      <c r="B187"/>
      <c r="C187"/>
      <c r="BC187"/>
      <c r="BD187"/>
      <c r="BE187"/>
      <c r="BF187"/>
      <c r="BJ187"/>
      <c r="BK187"/>
      <c r="BL187"/>
      <c r="CI187"/>
      <c r="CJ187"/>
      <c r="CM187"/>
      <c r="CN187"/>
      <c r="CO187"/>
      <c r="DG187"/>
      <c r="DH187"/>
      <c r="DI187"/>
      <c r="DJ187"/>
      <c r="DK187"/>
      <c r="DL187"/>
      <c r="EG187"/>
      <c r="EH187"/>
      <c r="EW187" s="43" t="s">
        <v>569</v>
      </c>
      <c r="EX187" s="61">
        <v>1390</v>
      </c>
      <c r="EY187" s="61">
        <v>0</v>
      </c>
      <c r="EZ187" s="61">
        <v>71</v>
      </c>
      <c r="FA187" s="61">
        <v>0</v>
      </c>
      <c r="FB187" s="61">
        <v>0</v>
      </c>
      <c r="FD187" s="141" t="str">
        <f t="shared" si="46"/>
        <v>27-jun</v>
      </c>
      <c r="FE187" s="11" t="str">
        <f t="shared" si="47"/>
        <v/>
      </c>
      <c r="FF187" s="11" t="str">
        <f t="shared" si="41"/>
        <v/>
      </c>
      <c r="FG187" s="11" t="str">
        <f t="shared" si="42"/>
        <v/>
      </c>
      <c r="FI187" s="141" t="str">
        <f t="shared" si="50"/>
        <v>27-jun</v>
      </c>
      <c r="FJ187" s="11" t="str">
        <f t="shared" si="43"/>
        <v/>
      </c>
      <c r="FK187" s="11" t="str">
        <f t="shared" si="44"/>
        <v/>
      </c>
      <c r="FL187" s="11" t="str">
        <f t="shared" si="45"/>
        <v/>
      </c>
      <c r="FN187" s="141" t="str">
        <f t="shared" si="48"/>
        <v>27-jun</v>
      </c>
      <c r="FO187" s="11" t="str">
        <f t="shared" si="49"/>
        <v/>
      </c>
      <c r="FP187" s="11" t="str">
        <f t="shared" si="39"/>
        <v/>
      </c>
      <c r="FQ187" s="11" t="str">
        <f t="shared" si="40"/>
        <v/>
      </c>
    </row>
    <row r="188" spans="2:173">
      <c r="B188"/>
      <c r="C188"/>
      <c r="BC188"/>
      <c r="BD188"/>
      <c r="BE188"/>
      <c r="BF188"/>
      <c r="BJ188"/>
      <c r="BK188"/>
      <c r="BL188"/>
      <c r="CI188"/>
      <c r="CJ188"/>
      <c r="CM188"/>
      <c r="CN188"/>
      <c r="CO188"/>
      <c r="DG188"/>
      <c r="DH188"/>
      <c r="DI188"/>
      <c r="DJ188"/>
      <c r="DK188"/>
      <c r="DL188"/>
      <c r="EG188"/>
      <c r="EH188"/>
      <c r="EW188" s="43" t="s">
        <v>570</v>
      </c>
      <c r="EX188" s="61">
        <v>1390</v>
      </c>
      <c r="EY188" s="61">
        <v>0</v>
      </c>
      <c r="EZ188" s="61">
        <v>71</v>
      </c>
      <c r="FA188" s="61">
        <v>0</v>
      </c>
      <c r="FB188" s="61">
        <v>0</v>
      </c>
      <c r="FD188" s="141" t="str">
        <f t="shared" si="46"/>
        <v>28-jun</v>
      </c>
      <c r="FE188" s="11" t="str">
        <f t="shared" si="47"/>
        <v/>
      </c>
      <c r="FF188" s="11" t="str">
        <f t="shared" si="41"/>
        <v/>
      </c>
      <c r="FG188" s="11" t="str">
        <f t="shared" si="42"/>
        <v/>
      </c>
      <c r="FI188" s="141" t="str">
        <f t="shared" si="50"/>
        <v>28-jun</v>
      </c>
      <c r="FJ188" s="11" t="str">
        <f t="shared" si="43"/>
        <v/>
      </c>
      <c r="FK188" s="11" t="str">
        <f t="shared" si="44"/>
        <v/>
      </c>
      <c r="FL188" s="11" t="str">
        <f t="shared" si="45"/>
        <v/>
      </c>
      <c r="FN188" s="141" t="str">
        <f t="shared" si="48"/>
        <v>28-jun</v>
      </c>
      <c r="FO188" s="11" t="str">
        <f t="shared" si="49"/>
        <v/>
      </c>
      <c r="FP188" s="11" t="str">
        <f t="shared" si="39"/>
        <v/>
      </c>
      <c r="FQ188" s="11" t="str">
        <f t="shared" si="40"/>
        <v/>
      </c>
    </row>
    <row r="189" spans="2:173">
      <c r="B189"/>
      <c r="C189"/>
      <c r="BC189"/>
      <c r="BD189"/>
      <c r="BE189"/>
      <c r="BF189"/>
      <c r="BJ189"/>
      <c r="BK189"/>
      <c r="BL189"/>
      <c r="CI189"/>
      <c r="CJ189"/>
      <c r="CM189"/>
      <c r="CN189"/>
      <c r="CO189"/>
      <c r="DG189"/>
      <c r="DH189"/>
      <c r="DI189"/>
      <c r="DJ189"/>
      <c r="DK189"/>
      <c r="DL189"/>
      <c r="EG189"/>
      <c r="EH189"/>
      <c r="EW189" s="43" t="s">
        <v>571</v>
      </c>
      <c r="EX189" s="61">
        <v>1390</v>
      </c>
      <c r="EY189" s="61">
        <v>0</v>
      </c>
      <c r="EZ189" s="61">
        <v>62</v>
      </c>
      <c r="FA189" s="61">
        <v>0</v>
      </c>
      <c r="FB189" s="61">
        <v>0</v>
      </c>
      <c r="FD189" s="141" t="str">
        <f t="shared" si="46"/>
        <v>29-jun</v>
      </c>
      <c r="FE189" s="11" t="str">
        <f t="shared" si="47"/>
        <v/>
      </c>
      <c r="FF189" s="11" t="str">
        <f t="shared" si="41"/>
        <v/>
      </c>
      <c r="FG189" s="11" t="str">
        <f t="shared" si="42"/>
        <v/>
      </c>
      <c r="FI189" s="141" t="str">
        <f t="shared" si="50"/>
        <v>29-jun</v>
      </c>
      <c r="FJ189" s="11" t="str">
        <f t="shared" si="43"/>
        <v/>
      </c>
      <c r="FK189" s="11" t="str">
        <f t="shared" si="44"/>
        <v/>
      </c>
      <c r="FL189" s="11" t="str">
        <f t="shared" si="45"/>
        <v/>
      </c>
      <c r="FN189" s="141" t="str">
        <f t="shared" si="48"/>
        <v>29-jun</v>
      </c>
      <c r="FO189" s="11" t="str">
        <f t="shared" si="49"/>
        <v/>
      </c>
      <c r="FP189" s="11" t="str">
        <f t="shared" si="39"/>
        <v/>
      </c>
      <c r="FQ189" s="11" t="str">
        <f t="shared" si="40"/>
        <v/>
      </c>
    </row>
    <row r="190" spans="2:173">
      <c r="B190"/>
      <c r="C190"/>
      <c r="BC190"/>
      <c r="BD190"/>
      <c r="BE190"/>
      <c r="BF190"/>
      <c r="BJ190"/>
      <c r="BK190"/>
      <c r="BL190"/>
      <c r="CI190"/>
      <c r="CJ190"/>
      <c r="CM190"/>
      <c r="CN190"/>
      <c r="CO190"/>
      <c r="DG190"/>
      <c r="DH190"/>
      <c r="DI190"/>
      <c r="DJ190"/>
      <c r="DK190"/>
      <c r="DL190"/>
      <c r="EG190"/>
      <c r="EH190"/>
      <c r="EW190" s="43" t="s">
        <v>572</v>
      </c>
      <c r="EX190" s="61">
        <v>1390</v>
      </c>
      <c r="EY190" s="61">
        <v>0</v>
      </c>
      <c r="EZ190" s="61">
        <v>62</v>
      </c>
      <c r="FA190" s="61">
        <v>0</v>
      </c>
      <c r="FB190" s="61">
        <v>0</v>
      </c>
      <c r="FD190" s="141" t="str">
        <f t="shared" si="46"/>
        <v>30-jun</v>
      </c>
      <c r="FE190" s="11" t="str">
        <f t="shared" si="47"/>
        <v/>
      </c>
      <c r="FF190" s="11" t="str">
        <f t="shared" si="41"/>
        <v/>
      </c>
      <c r="FG190" s="11" t="str">
        <f t="shared" si="42"/>
        <v/>
      </c>
      <c r="FI190" s="141" t="str">
        <f t="shared" si="50"/>
        <v>30-jun</v>
      </c>
      <c r="FJ190" s="11" t="str">
        <f t="shared" si="43"/>
        <v/>
      </c>
      <c r="FK190" s="11" t="str">
        <f t="shared" si="44"/>
        <v/>
      </c>
      <c r="FL190" s="11" t="str">
        <f t="shared" si="45"/>
        <v/>
      </c>
      <c r="FN190" s="141" t="str">
        <f t="shared" si="48"/>
        <v>30-jun</v>
      </c>
      <c r="FO190" s="11" t="str">
        <f t="shared" si="49"/>
        <v/>
      </c>
      <c r="FP190" s="11" t="str">
        <f t="shared" si="39"/>
        <v/>
      </c>
      <c r="FQ190" s="11" t="str">
        <f t="shared" si="40"/>
        <v/>
      </c>
    </row>
    <row r="191" spans="2:173">
      <c r="B191"/>
      <c r="C191"/>
      <c r="BC191"/>
      <c r="BD191"/>
      <c r="BE191"/>
      <c r="BF191"/>
      <c r="BJ191"/>
      <c r="BK191"/>
      <c r="BL191"/>
      <c r="CI191"/>
      <c r="CJ191"/>
      <c r="CM191"/>
      <c r="CN191"/>
      <c r="CO191"/>
      <c r="DG191"/>
      <c r="DH191"/>
      <c r="DI191"/>
      <c r="DJ191"/>
      <c r="DK191"/>
      <c r="DL191"/>
      <c r="EG191"/>
      <c r="EH191"/>
      <c r="EW191" s="37" t="s">
        <v>252</v>
      </c>
      <c r="EX191" s="61"/>
      <c r="EY191" s="61"/>
      <c r="EZ191" s="61"/>
      <c r="FA191" s="61"/>
      <c r="FB191" s="61"/>
      <c r="FD191" s="141" t="str">
        <f t="shared" si="46"/>
        <v>jul</v>
      </c>
      <c r="FE191" s="11" t="str">
        <f t="shared" si="47"/>
        <v/>
      </c>
      <c r="FF191" s="11" t="str">
        <f t="shared" si="41"/>
        <v/>
      </c>
      <c r="FG191" s="11" t="str">
        <f t="shared" si="42"/>
        <v/>
      </c>
      <c r="FI191" s="141" t="str">
        <f t="shared" si="50"/>
        <v>jul</v>
      </c>
      <c r="FJ191" s="11" t="str">
        <f t="shared" si="43"/>
        <v/>
      </c>
      <c r="FK191" s="11" t="str">
        <f t="shared" si="44"/>
        <v/>
      </c>
      <c r="FL191" s="11" t="str">
        <f t="shared" si="45"/>
        <v/>
      </c>
      <c r="FN191" s="141" t="str">
        <f t="shared" si="48"/>
        <v>jul</v>
      </c>
      <c r="FO191" s="11" t="str">
        <f t="shared" si="49"/>
        <v/>
      </c>
      <c r="FP191" s="11" t="str">
        <f t="shared" si="39"/>
        <v/>
      </c>
      <c r="FQ191" s="11" t="str">
        <f t="shared" si="40"/>
        <v/>
      </c>
    </row>
    <row r="192" spans="2:173">
      <c r="B192"/>
      <c r="C192"/>
      <c r="BC192"/>
      <c r="BD192"/>
      <c r="BE192"/>
      <c r="BF192"/>
      <c r="BJ192"/>
      <c r="BK192"/>
      <c r="BL192"/>
      <c r="CI192"/>
      <c r="CJ192"/>
      <c r="CM192"/>
      <c r="CN192"/>
      <c r="CO192"/>
      <c r="DG192"/>
      <c r="DH192"/>
      <c r="DI192"/>
      <c r="DJ192"/>
      <c r="DK192"/>
      <c r="DL192"/>
      <c r="EG192"/>
      <c r="EH192"/>
      <c r="EW192" s="43" t="s">
        <v>573</v>
      </c>
      <c r="EX192" s="61">
        <v>1340</v>
      </c>
      <c r="EY192" s="61">
        <v>0</v>
      </c>
      <c r="EZ192" s="61">
        <v>71</v>
      </c>
      <c r="FA192" s="61">
        <v>0</v>
      </c>
      <c r="FB192" s="61">
        <v>0</v>
      </c>
      <c r="FD192" s="141" t="str">
        <f t="shared" si="46"/>
        <v>1-jul</v>
      </c>
      <c r="FE192" s="11" t="str">
        <f t="shared" si="47"/>
        <v/>
      </c>
      <c r="FF192" s="11" t="str">
        <f t="shared" si="41"/>
        <v/>
      </c>
      <c r="FG192" s="11" t="str">
        <f t="shared" si="42"/>
        <v/>
      </c>
      <c r="FI192" s="141" t="str">
        <f t="shared" si="50"/>
        <v>1-jul</v>
      </c>
      <c r="FJ192" s="11" t="str">
        <f t="shared" si="43"/>
        <v/>
      </c>
      <c r="FK192" s="11" t="str">
        <f t="shared" si="44"/>
        <v/>
      </c>
      <c r="FL192" s="11" t="str">
        <f t="shared" si="45"/>
        <v/>
      </c>
      <c r="FN192" s="141" t="str">
        <f t="shared" si="48"/>
        <v>1-jul</v>
      </c>
      <c r="FO192" s="11" t="str">
        <f t="shared" si="49"/>
        <v/>
      </c>
      <c r="FP192" s="11" t="str">
        <f t="shared" si="39"/>
        <v/>
      </c>
      <c r="FQ192" s="11" t="str">
        <f t="shared" si="40"/>
        <v/>
      </c>
    </row>
    <row r="193" spans="2:173">
      <c r="B193"/>
      <c r="C193"/>
      <c r="BC193"/>
      <c r="BD193"/>
      <c r="BE193"/>
      <c r="BF193"/>
      <c r="BJ193"/>
      <c r="BK193"/>
      <c r="BL193"/>
      <c r="CI193"/>
      <c r="CJ193"/>
      <c r="CM193"/>
      <c r="CN193"/>
      <c r="CO193"/>
      <c r="DG193"/>
      <c r="DH193"/>
      <c r="DI193"/>
      <c r="DJ193"/>
      <c r="DK193"/>
      <c r="DL193"/>
      <c r="EG193"/>
      <c r="EH193"/>
      <c r="EW193" s="43" t="s">
        <v>574</v>
      </c>
      <c r="EX193" s="61">
        <v>1340</v>
      </c>
      <c r="EY193" s="61">
        <v>0</v>
      </c>
      <c r="EZ193" s="61">
        <v>71</v>
      </c>
      <c r="FA193" s="61">
        <v>0</v>
      </c>
      <c r="FB193" s="61">
        <v>0</v>
      </c>
      <c r="FD193" s="141" t="str">
        <f t="shared" si="46"/>
        <v>2-jul</v>
      </c>
      <c r="FE193" s="11" t="str">
        <f t="shared" si="47"/>
        <v/>
      </c>
      <c r="FF193" s="11" t="str">
        <f t="shared" si="41"/>
        <v/>
      </c>
      <c r="FG193" s="11" t="str">
        <f t="shared" si="42"/>
        <v/>
      </c>
      <c r="FI193" s="141" t="str">
        <f t="shared" si="50"/>
        <v>2-jul</v>
      </c>
      <c r="FJ193" s="11" t="str">
        <f t="shared" si="43"/>
        <v/>
      </c>
      <c r="FK193" s="11" t="str">
        <f t="shared" si="44"/>
        <v/>
      </c>
      <c r="FL193" s="11" t="str">
        <f t="shared" si="45"/>
        <v/>
      </c>
      <c r="FN193" s="141" t="str">
        <f t="shared" si="48"/>
        <v>2-jul</v>
      </c>
      <c r="FO193" s="11" t="str">
        <f t="shared" si="49"/>
        <v/>
      </c>
      <c r="FP193" s="11" t="str">
        <f t="shared" si="39"/>
        <v/>
      </c>
      <c r="FQ193" s="11" t="str">
        <f t="shared" si="40"/>
        <v/>
      </c>
    </row>
    <row r="194" spans="2:173">
      <c r="B194"/>
      <c r="C194"/>
      <c r="BC194"/>
      <c r="BD194"/>
      <c r="BE194"/>
      <c r="BF194"/>
      <c r="BJ194"/>
      <c r="BK194"/>
      <c r="BL194"/>
      <c r="CI194"/>
      <c r="CJ194"/>
      <c r="CM194"/>
      <c r="CN194"/>
      <c r="CO194"/>
      <c r="DG194"/>
      <c r="DH194"/>
      <c r="DI194"/>
      <c r="DJ194"/>
      <c r="DK194"/>
      <c r="DL194"/>
      <c r="EG194"/>
      <c r="EH194"/>
      <c r="EW194" s="43" t="s">
        <v>575</v>
      </c>
      <c r="EX194" s="61">
        <v>1340</v>
      </c>
      <c r="EY194" s="61">
        <v>0</v>
      </c>
      <c r="EZ194" s="61">
        <v>71</v>
      </c>
      <c r="FA194" s="61">
        <v>0</v>
      </c>
      <c r="FB194" s="61">
        <v>0</v>
      </c>
      <c r="FD194" s="141" t="str">
        <f t="shared" si="46"/>
        <v>3-jul</v>
      </c>
      <c r="FE194" s="11" t="str">
        <f t="shared" si="47"/>
        <v/>
      </c>
      <c r="FF194" s="11" t="str">
        <f t="shared" si="41"/>
        <v/>
      </c>
      <c r="FG194" s="11" t="str">
        <f t="shared" si="42"/>
        <v/>
      </c>
      <c r="FI194" s="141" t="str">
        <f t="shared" si="50"/>
        <v>3-jul</v>
      </c>
      <c r="FJ194" s="11" t="str">
        <f t="shared" si="43"/>
        <v/>
      </c>
      <c r="FK194" s="11" t="str">
        <f t="shared" si="44"/>
        <v/>
      </c>
      <c r="FL194" s="11" t="str">
        <f t="shared" si="45"/>
        <v/>
      </c>
      <c r="FN194" s="141" t="str">
        <f t="shared" si="48"/>
        <v>3-jul</v>
      </c>
      <c r="FO194" s="11" t="str">
        <f t="shared" si="49"/>
        <v/>
      </c>
      <c r="FP194" s="11" t="str">
        <f t="shared" si="39"/>
        <v/>
      </c>
      <c r="FQ194" s="11" t="str">
        <f t="shared" si="40"/>
        <v/>
      </c>
    </row>
    <row r="195" spans="2:173">
      <c r="B195"/>
      <c r="C195"/>
      <c r="BC195"/>
      <c r="BD195"/>
      <c r="BE195"/>
      <c r="BF195"/>
      <c r="BJ195"/>
      <c r="BK195"/>
      <c r="BL195"/>
      <c r="CI195"/>
      <c r="CJ195"/>
      <c r="CM195"/>
      <c r="CN195"/>
      <c r="CO195"/>
      <c r="DG195"/>
      <c r="DH195"/>
      <c r="DI195"/>
      <c r="DJ195"/>
      <c r="DK195"/>
      <c r="DL195"/>
      <c r="EG195"/>
      <c r="EH195"/>
      <c r="EW195" s="43" t="s">
        <v>576</v>
      </c>
      <c r="EX195" s="61">
        <v>1340</v>
      </c>
      <c r="EY195" s="61">
        <v>0</v>
      </c>
      <c r="EZ195" s="61">
        <v>71</v>
      </c>
      <c r="FA195" s="61">
        <v>0</v>
      </c>
      <c r="FB195" s="61">
        <v>0</v>
      </c>
      <c r="FD195" s="141" t="str">
        <f t="shared" si="46"/>
        <v>4-jul</v>
      </c>
      <c r="FE195" s="11" t="str">
        <f t="shared" si="47"/>
        <v/>
      </c>
      <c r="FF195" s="11" t="str">
        <f t="shared" si="41"/>
        <v/>
      </c>
      <c r="FG195" s="11" t="str">
        <f t="shared" si="42"/>
        <v/>
      </c>
      <c r="FI195" s="141" t="str">
        <f t="shared" si="50"/>
        <v>4-jul</v>
      </c>
      <c r="FJ195" s="11" t="str">
        <f t="shared" si="43"/>
        <v/>
      </c>
      <c r="FK195" s="11" t="str">
        <f t="shared" si="44"/>
        <v/>
      </c>
      <c r="FL195" s="11" t="str">
        <f t="shared" si="45"/>
        <v/>
      </c>
      <c r="FN195" s="141" t="str">
        <f t="shared" si="48"/>
        <v>4-jul</v>
      </c>
      <c r="FO195" s="11" t="str">
        <f t="shared" si="49"/>
        <v/>
      </c>
      <c r="FP195" s="11" t="str">
        <f t="shared" si="39"/>
        <v/>
      </c>
      <c r="FQ195" s="11" t="str">
        <f t="shared" si="40"/>
        <v/>
      </c>
    </row>
    <row r="196" spans="2:173">
      <c r="B196"/>
      <c r="C196"/>
      <c r="BC196"/>
      <c r="BD196"/>
      <c r="BE196"/>
      <c r="BF196"/>
      <c r="BJ196"/>
      <c r="BK196"/>
      <c r="BL196"/>
      <c r="CI196"/>
      <c r="CJ196"/>
      <c r="CM196"/>
      <c r="CN196"/>
      <c r="CO196"/>
      <c r="DG196"/>
      <c r="DH196"/>
      <c r="DI196"/>
      <c r="DJ196"/>
      <c r="DK196"/>
      <c r="DL196"/>
      <c r="EG196"/>
      <c r="EH196"/>
      <c r="EW196" s="43" t="s">
        <v>577</v>
      </c>
      <c r="EX196" s="61">
        <v>1340</v>
      </c>
      <c r="EY196" s="61">
        <v>0</v>
      </c>
      <c r="EZ196" s="61">
        <v>71</v>
      </c>
      <c r="FA196" s="61">
        <v>0</v>
      </c>
      <c r="FB196" s="61">
        <v>0</v>
      </c>
      <c r="FD196" s="141" t="str">
        <f t="shared" si="46"/>
        <v>5-jul</v>
      </c>
      <c r="FE196" s="11" t="str">
        <f t="shared" si="47"/>
        <v/>
      </c>
      <c r="FF196" s="11" t="str">
        <f t="shared" si="41"/>
        <v/>
      </c>
      <c r="FG196" s="11" t="str">
        <f t="shared" si="42"/>
        <v/>
      </c>
      <c r="FI196" s="141" t="str">
        <f t="shared" si="50"/>
        <v>5-jul</v>
      </c>
      <c r="FJ196" s="11" t="str">
        <f t="shared" si="43"/>
        <v/>
      </c>
      <c r="FK196" s="11" t="str">
        <f t="shared" si="44"/>
        <v/>
      </c>
      <c r="FL196" s="11" t="str">
        <f t="shared" si="45"/>
        <v/>
      </c>
      <c r="FN196" s="141" t="str">
        <f t="shared" si="48"/>
        <v>5-jul</v>
      </c>
      <c r="FO196" s="11" t="str">
        <f t="shared" si="49"/>
        <v/>
      </c>
      <c r="FP196" s="11" t="str">
        <f t="shared" si="39"/>
        <v/>
      </c>
      <c r="FQ196" s="11" t="str">
        <f t="shared" si="40"/>
        <v/>
      </c>
    </row>
    <row r="197" spans="2:173">
      <c r="B197"/>
      <c r="C197"/>
      <c r="BC197"/>
      <c r="BD197"/>
      <c r="BE197"/>
      <c r="BF197"/>
      <c r="BJ197"/>
      <c r="BK197"/>
      <c r="BL197"/>
      <c r="CI197"/>
      <c r="CJ197"/>
      <c r="CM197"/>
      <c r="CN197"/>
      <c r="CO197"/>
      <c r="DG197"/>
      <c r="DH197"/>
      <c r="DI197"/>
      <c r="DJ197"/>
      <c r="DK197"/>
      <c r="DL197"/>
      <c r="EG197"/>
      <c r="EH197"/>
      <c r="EW197" s="43" t="s">
        <v>578</v>
      </c>
      <c r="EX197" s="61">
        <v>1290</v>
      </c>
      <c r="EY197" s="61">
        <v>0</v>
      </c>
      <c r="EZ197" s="61">
        <v>71</v>
      </c>
      <c r="FA197" s="61">
        <v>0</v>
      </c>
      <c r="FB197" s="61">
        <v>0</v>
      </c>
      <c r="FD197" s="141" t="str">
        <f t="shared" si="46"/>
        <v>6-jul</v>
      </c>
      <c r="FE197" s="11" t="str">
        <f t="shared" si="47"/>
        <v/>
      </c>
      <c r="FF197" s="11" t="str">
        <f t="shared" si="41"/>
        <v/>
      </c>
      <c r="FG197" s="11" t="str">
        <f t="shared" si="42"/>
        <v/>
      </c>
      <c r="FI197" s="141" t="str">
        <f t="shared" si="50"/>
        <v>6-jul</v>
      </c>
      <c r="FJ197" s="11" t="str">
        <f t="shared" si="43"/>
        <v/>
      </c>
      <c r="FK197" s="11" t="str">
        <f t="shared" si="44"/>
        <v/>
      </c>
      <c r="FL197" s="11" t="str">
        <f t="shared" si="45"/>
        <v/>
      </c>
      <c r="FN197" s="141" t="str">
        <f t="shared" si="48"/>
        <v>6-jul</v>
      </c>
      <c r="FO197" s="11" t="str">
        <f t="shared" si="49"/>
        <v/>
      </c>
      <c r="FP197" s="11" t="str">
        <f t="shared" si="39"/>
        <v/>
      </c>
      <c r="FQ197" s="11" t="str">
        <f t="shared" si="40"/>
        <v/>
      </c>
    </row>
    <row r="198" spans="2:173">
      <c r="B198"/>
      <c r="C198"/>
      <c r="BC198"/>
      <c r="BD198"/>
      <c r="BE198"/>
      <c r="BF198"/>
      <c r="BJ198"/>
      <c r="BK198"/>
      <c r="BL198"/>
      <c r="CI198"/>
      <c r="CJ198"/>
      <c r="CM198"/>
      <c r="CN198"/>
      <c r="CO198"/>
      <c r="DG198"/>
      <c r="DH198"/>
      <c r="DI198"/>
      <c r="DJ198"/>
      <c r="DK198"/>
      <c r="DL198"/>
      <c r="EG198"/>
      <c r="EH198"/>
      <c r="EW198" s="43" t="s">
        <v>579</v>
      </c>
      <c r="EX198" s="61">
        <v>1290</v>
      </c>
      <c r="EY198" s="61">
        <v>0</v>
      </c>
      <c r="EZ198" s="61">
        <v>71</v>
      </c>
      <c r="FA198" s="61">
        <v>0</v>
      </c>
      <c r="FB198" s="61">
        <v>0</v>
      </c>
      <c r="FD198" s="141" t="str">
        <f t="shared" si="46"/>
        <v>7-jul</v>
      </c>
      <c r="FE198" s="11" t="str">
        <f t="shared" si="47"/>
        <v/>
      </c>
      <c r="FF198" s="11" t="str">
        <f t="shared" si="41"/>
        <v/>
      </c>
      <c r="FG198" s="11" t="str">
        <f t="shared" si="42"/>
        <v/>
      </c>
      <c r="FI198" s="141" t="str">
        <f t="shared" si="50"/>
        <v>7-jul</v>
      </c>
      <c r="FJ198" s="11" t="str">
        <f t="shared" si="43"/>
        <v/>
      </c>
      <c r="FK198" s="11" t="str">
        <f t="shared" si="44"/>
        <v/>
      </c>
      <c r="FL198" s="11" t="str">
        <f t="shared" si="45"/>
        <v/>
      </c>
      <c r="FN198" s="141" t="str">
        <f t="shared" si="48"/>
        <v>7-jul</v>
      </c>
      <c r="FO198" s="11" t="str">
        <f t="shared" si="49"/>
        <v/>
      </c>
      <c r="FP198" s="11" t="str">
        <f t="shared" si="39"/>
        <v/>
      </c>
      <c r="FQ198" s="11" t="str">
        <f t="shared" si="40"/>
        <v/>
      </c>
    </row>
    <row r="199" spans="2:173">
      <c r="B199"/>
      <c r="C199"/>
      <c r="BC199"/>
      <c r="BD199"/>
      <c r="BE199"/>
      <c r="BF199"/>
      <c r="BJ199"/>
      <c r="BK199"/>
      <c r="BL199"/>
      <c r="CI199"/>
      <c r="CJ199"/>
      <c r="CM199"/>
      <c r="CN199"/>
      <c r="CO199"/>
      <c r="DG199"/>
      <c r="DH199"/>
      <c r="DI199"/>
      <c r="DJ199"/>
      <c r="DK199"/>
      <c r="DL199"/>
      <c r="EG199"/>
      <c r="EH199"/>
      <c r="EW199" s="43" t="s">
        <v>580</v>
      </c>
      <c r="EX199" s="61">
        <v>1290</v>
      </c>
      <c r="EY199" s="61">
        <v>0</v>
      </c>
      <c r="EZ199" s="61">
        <v>71</v>
      </c>
      <c r="FA199" s="61">
        <v>0</v>
      </c>
      <c r="FB199" s="61">
        <v>0</v>
      </c>
      <c r="FD199" s="141" t="str">
        <f t="shared" si="46"/>
        <v>8-jul</v>
      </c>
      <c r="FE199" s="11" t="str">
        <f t="shared" si="47"/>
        <v/>
      </c>
      <c r="FF199" s="11" t="str">
        <f t="shared" si="41"/>
        <v/>
      </c>
      <c r="FG199" s="11" t="str">
        <f t="shared" si="42"/>
        <v/>
      </c>
      <c r="FI199" s="141" t="str">
        <f t="shared" si="50"/>
        <v>8-jul</v>
      </c>
      <c r="FJ199" s="11" t="str">
        <f t="shared" si="43"/>
        <v/>
      </c>
      <c r="FK199" s="11" t="str">
        <f t="shared" si="44"/>
        <v/>
      </c>
      <c r="FL199" s="11" t="str">
        <f t="shared" si="45"/>
        <v/>
      </c>
      <c r="FN199" s="141" t="str">
        <f t="shared" si="48"/>
        <v>8-jul</v>
      </c>
      <c r="FO199" s="11" t="str">
        <f t="shared" si="49"/>
        <v/>
      </c>
      <c r="FP199" s="11" t="str">
        <f t="shared" ref="FP199:FP226" si="51">IF(FO199=1,FA199,"")</f>
        <v/>
      </c>
      <c r="FQ199" s="11" t="str">
        <f t="shared" ref="FQ199:FQ226" si="52">IF(FO199=1,EX199,"")</f>
        <v/>
      </c>
    </row>
    <row r="200" spans="2:173">
      <c r="B200"/>
      <c r="C200"/>
      <c r="BC200"/>
      <c r="BD200"/>
      <c r="BE200"/>
      <c r="BF200"/>
      <c r="BJ200"/>
      <c r="BK200"/>
      <c r="BL200"/>
      <c r="CI200"/>
      <c r="CJ200"/>
      <c r="CM200"/>
      <c r="CN200"/>
      <c r="CO200"/>
      <c r="DG200"/>
      <c r="DH200"/>
      <c r="DI200"/>
      <c r="DJ200"/>
      <c r="DK200"/>
      <c r="DL200"/>
      <c r="EG200"/>
      <c r="EH200"/>
      <c r="EW200" s="43" t="s">
        <v>581</v>
      </c>
      <c r="EX200" s="61">
        <v>1290</v>
      </c>
      <c r="EY200" s="61">
        <v>0</v>
      </c>
      <c r="EZ200" s="61">
        <v>71</v>
      </c>
      <c r="FA200" s="61">
        <v>0</v>
      </c>
      <c r="FB200" s="61">
        <v>0</v>
      </c>
      <c r="FD200" s="141" t="str">
        <f t="shared" si="46"/>
        <v>9-jul</v>
      </c>
      <c r="FE200" s="11" t="str">
        <f t="shared" si="47"/>
        <v/>
      </c>
      <c r="FF200" s="11" t="str">
        <f t="shared" ref="FF200:FF227" si="53">IF(FE200=1,EY200,"")</f>
        <v/>
      </c>
      <c r="FG200" s="11" t="str">
        <f t="shared" ref="FG200:FG227" si="54">IF(FE200=1,GETPIVOTDATA("P. oferta",$EW$3,"Fecha",122,"Meses",5),"")</f>
        <v/>
      </c>
      <c r="FI200" s="141" t="str">
        <f t="shared" si="50"/>
        <v>9-jul</v>
      </c>
      <c r="FJ200" s="11" t="str">
        <f t="shared" si="43"/>
        <v/>
      </c>
      <c r="FK200" s="11" t="str">
        <f t="shared" si="44"/>
        <v/>
      </c>
      <c r="FL200" s="11" t="str">
        <f t="shared" si="45"/>
        <v/>
      </c>
      <c r="FN200" s="141" t="str">
        <f t="shared" si="48"/>
        <v>9-jul</v>
      </c>
      <c r="FO200" s="11" t="str">
        <f t="shared" si="49"/>
        <v/>
      </c>
      <c r="FP200" s="11" t="str">
        <f t="shared" si="51"/>
        <v/>
      </c>
      <c r="FQ200" s="11" t="str">
        <f t="shared" si="52"/>
        <v/>
      </c>
    </row>
    <row r="201" spans="2:173">
      <c r="B201"/>
      <c r="C201"/>
      <c r="BC201"/>
      <c r="BD201"/>
      <c r="BE201"/>
      <c r="BF201"/>
      <c r="BJ201"/>
      <c r="BK201"/>
      <c r="BL201"/>
      <c r="CI201"/>
      <c r="CJ201"/>
      <c r="CM201"/>
      <c r="CN201"/>
      <c r="CO201"/>
      <c r="DG201"/>
      <c r="DH201"/>
      <c r="DI201"/>
      <c r="DJ201"/>
      <c r="DK201"/>
      <c r="DL201"/>
      <c r="EG201"/>
      <c r="EH201"/>
      <c r="EW201" s="43" t="s">
        <v>582</v>
      </c>
      <c r="EX201" s="61">
        <v>1290</v>
      </c>
      <c r="EY201" s="61">
        <v>0</v>
      </c>
      <c r="EZ201" s="61">
        <v>71</v>
      </c>
      <c r="FA201" s="61">
        <v>0</v>
      </c>
      <c r="FB201" s="61">
        <v>0</v>
      </c>
      <c r="FD201" s="141" t="str">
        <f t="shared" si="46"/>
        <v>10-jul</v>
      </c>
      <c r="FE201" s="11" t="str">
        <f t="shared" si="47"/>
        <v/>
      </c>
      <c r="FF201" s="11" t="str">
        <f t="shared" si="53"/>
        <v/>
      </c>
      <c r="FG201" s="11" t="str">
        <f t="shared" si="54"/>
        <v/>
      </c>
      <c r="FI201" s="141" t="str">
        <f t="shared" si="50"/>
        <v>10-jul</v>
      </c>
      <c r="FJ201" s="11" t="str">
        <f t="shared" ref="FJ201:FJ264" si="55">IF(EZ201&gt;0,IF(FB201&gt;0,FB201,""),"")</f>
        <v/>
      </c>
      <c r="FK201" s="11" t="str">
        <f t="shared" ref="FK201:FK227" si="56">IF(FJ201=1,EZ201,"")</f>
        <v/>
      </c>
      <c r="FL201" s="11" t="str">
        <f t="shared" ref="FL201:FL227" si="57">IF(FJ201=1,EX201,"")</f>
        <v/>
      </c>
      <c r="FN201" s="141" t="str">
        <f t="shared" si="48"/>
        <v>10-jul</v>
      </c>
      <c r="FO201" s="11" t="str">
        <f t="shared" si="49"/>
        <v/>
      </c>
      <c r="FP201" s="11" t="str">
        <f t="shared" si="51"/>
        <v/>
      </c>
      <c r="FQ201" s="11" t="str">
        <f t="shared" si="52"/>
        <v/>
      </c>
    </row>
    <row r="202" spans="2:173">
      <c r="B202"/>
      <c r="C202"/>
      <c r="BC202"/>
      <c r="BD202"/>
      <c r="BE202"/>
      <c r="BF202"/>
      <c r="BJ202"/>
      <c r="BK202"/>
      <c r="BL202"/>
      <c r="CI202"/>
      <c r="CJ202"/>
      <c r="CM202"/>
      <c r="CN202"/>
      <c r="CO202"/>
      <c r="DG202"/>
      <c r="DH202"/>
      <c r="DI202"/>
      <c r="DJ202"/>
      <c r="DK202"/>
      <c r="DL202"/>
      <c r="EG202"/>
      <c r="EH202"/>
      <c r="EW202" s="43" t="s">
        <v>583</v>
      </c>
      <c r="EX202" s="61">
        <v>1290</v>
      </c>
      <c r="EY202" s="61">
        <v>0</v>
      </c>
      <c r="EZ202" s="61">
        <v>71</v>
      </c>
      <c r="FA202" s="61">
        <v>0</v>
      </c>
      <c r="FB202" s="61">
        <v>0</v>
      </c>
      <c r="FD202" s="141" t="str">
        <f t="shared" ref="FD202:FD227" si="58">EW202</f>
        <v>11-jul</v>
      </c>
      <c r="FE202" s="11" t="str">
        <f t="shared" ref="FE202:FE265" si="59">IF(EY202&gt;0,IF(FB202&gt;0,FB202,""),"")</f>
        <v/>
      </c>
      <c r="FF202" s="11" t="str">
        <f t="shared" si="53"/>
        <v/>
      </c>
      <c r="FG202" s="11" t="str">
        <f t="shared" si="54"/>
        <v/>
      </c>
      <c r="FI202" s="141" t="str">
        <f t="shared" si="50"/>
        <v>11-jul</v>
      </c>
      <c r="FJ202" s="11" t="str">
        <f t="shared" si="55"/>
        <v/>
      </c>
      <c r="FK202" s="11" t="str">
        <f t="shared" si="56"/>
        <v/>
      </c>
      <c r="FL202" s="11" t="str">
        <f t="shared" si="57"/>
        <v/>
      </c>
      <c r="FN202" s="141" t="str">
        <f t="shared" ref="FN202:FN226" si="60">EW202</f>
        <v>11-jul</v>
      </c>
      <c r="FO202" s="11" t="str">
        <f t="shared" ref="FO202:FO265" si="61">IF(FA202&gt;0,IF(FB202&gt;0,FB202,""),"")</f>
        <v/>
      </c>
      <c r="FP202" s="11" t="str">
        <f t="shared" si="51"/>
        <v/>
      </c>
      <c r="FQ202" s="11" t="str">
        <f t="shared" si="52"/>
        <v/>
      </c>
    </row>
    <row r="203" spans="2:173">
      <c r="B203"/>
      <c r="C203"/>
      <c r="BC203"/>
      <c r="BD203"/>
      <c r="BE203"/>
      <c r="BF203"/>
      <c r="BJ203"/>
      <c r="BK203"/>
      <c r="BL203"/>
      <c r="CI203"/>
      <c r="CJ203"/>
      <c r="CM203"/>
      <c r="CN203"/>
      <c r="CO203"/>
      <c r="DG203"/>
      <c r="DH203"/>
      <c r="DI203"/>
      <c r="DJ203"/>
      <c r="DK203"/>
      <c r="DL203"/>
      <c r="EG203"/>
      <c r="EH203"/>
      <c r="EW203" s="43" t="s">
        <v>584</v>
      </c>
      <c r="EX203" s="61">
        <v>1240</v>
      </c>
      <c r="EY203" s="61">
        <v>0</v>
      </c>
      <c r="EZ203" s="61">
        <v>71</v>
      </c>
      <c r="FA203" s="61">
        <v>0</v>
      </c>
      <c r="FB203" s="61">
        <v>0</v>
      </c>
      <c r="FD203" s="141" t="str">
        <f t="shared" si="58"/>
        <v>12-jul</v>
      </c>
      <c r="FE203" s="11" t="str">
        <f t="shared" si="59"/>
        <v/>
      </c>
      <c r="FF203" s="11" t="str">
        <f t="shared" si="53"/>
        <v/>
      </c>
      <c r="FG203" s="11" t="str">
        <f t="shared" si="54"/>
        <v/>
      </c>
      <c r="FI203" s="141" t="str">
        <f t="shared" si="50"/>
        <v>12-jul</v>
      </c>
      <c r="FJ203" s="11" t="str">
        <f t="shared" si="55"/>
        <v/>
      </c>
      <c r="FK203" s="11" t="str">
        <f t="shared" si="56"/>
        <v/>
      </c>
      <c r="FL203" s="11" t="str">
        <f t="shared" si="57"/>
        <v/>
      </c>
      <c r="FN203" s="141" t="str">
        <f t="shared" si="60"/>
        <v>12-jul</v>
      </c>
      <c r="FO203" s="11" t="str">
        <f t="shared" si="61"/>
        <v/>
      </c>
      <c r="FP203" s="11" t="str">
        <f t="shared" si="51"/>
        <v/>
      </c>
      <c r="FQ203" s="11" t="str">
        <f t="shared" si="52"/>
        <v/>
      </c>
    </row>
    <row r="204" spans="2:173">
      <c r="B204"/>
      <c r="C204"/>
      <c r="BC204"/>
      <c r="BD204"/>
      <c r="BE204"/>
      <c r="BF204"/>
      <c r="BJ204"/>
      <c r="BK204"/>
      <c r="BL204"/>
      <c r="CI204"/>
      <c r="CJ204"/>
      <c r="CM204"/>
      <c r="CN204"/>
      <c r="CO204"/>
      <c r="DG204"/>
      <c r="DH204"/>
      <c r="DI204"/>
      <c r="DJ204"/>
      <c r="DK204"/>
      <c r="DL204"/>
      <c r="EG204"/>
      <c r="EH204"/>
      <c r="EW204" s="43" t="s">
        <v>585</v>
      </c>
      <c r="EX204" s="61">
        <v>1240</v>
      </c>
      <c r="EY204" s="61">
        <v>0</v>
      </c>
      <c r="EZ204" s="61">
        <v>71</v>
      </c>
      <c r="FA204" s="61">
        <v>0</v>
      </c>
      <c r="FB204" s="61">
        <v>0</v>
      </c>
      <c r="FD204" s="141" t="str">
        <f t="shared" si="58"/>
        <v>13-jul</v>
      </c>
      <c r="FE204" s="11" t="str">
        <f t="shared" si="59"/>
        <v/>
      </c>
      <c r="FF204" s="11" t="str">
        <f t="shared" si="53"/>
        <v/>
      </c>
      <c r="FG204" s="11" t="str">
        <f t="shared" si="54"/>
        <v/>
      </c>
      <c r="FI204" s="141" t="str">
        <f t="shared" si="50"/>
        <v>13-jul</v>
      </c>
      <c r="FJ204" s="11" t="str">
        <f t="shared" si="55"/>
        <v/>
      </c>
      <c r="FK204" s="11" t="str">
        <f t="shared" si="56"/>
        <v/>
      </c>
      <c r="FL204" s="11" t="str">
        <f t="shared" si="57"/>
        <v/>
      </c>
      <c r="FN204" s="141" t="str">
        <f t="shared" si="60"/>
        <v>13-jul</v>
      </c>
      <c r="FO204" s="11" t="str">
        <f t="shared" si="61"/>
        <v/>
      </c>
      <c r="FP204" s="11" t="str">
        <f t="shared" si="51"/>
        <v/>
      </c>
      <c r="FQ204" s="11" t="str">
        <f t="shared" si="52"/>
        <v/>
      </c>
    </row>
    <row r="205" spans="2:173">
      <c r="B205"/>
      <c r="C205"/>
      <c r="BC205"/>
      <c r="BD205"/>
      <c r="BE205"/>
      <c r="BF205"/>
      <c r="BJ205"/>
      <c r="BK205"/>
      <c r="BL205"/>
      <c r="CI205"/>
      <c r="CJ205"/>
      <c r="CM205"/>
      <c r="CN205"/>
      <c r="CO205"/>
      <c r="DG205"/>
      <c r="DH205"/>
      <c r="DI205"/>
      <c r="DJ205"/>
      <c r="DK205"/>
      <c r="DL205"/>
      <c r="EG205"/>
      <c r="EH205"/>
      <c r="EW205" s="43" t="s">
        <v>586</v>
      </c>
      <c r="EX205" s="61">
        <v>1240</v>
      </c>
      <c r="EY205" s="61">
        <v>0</v>
      </c>
      <c r="EZ205" s="61">
        <v>71</v>
      </c>
      <c r="FA205" s="61">
        <v>0</v>
      </c>
      <c r="FB205" s="61">
        <v>0</v>
      </c>
      <c r="FD205" s="141" t="str">
        <f t="shared" si="58"/>
        <v>14-jul</v>
      </c>
      <c r="FE205" s="11" t="str">
        <f t="shared" si="59"/>
        <v/>
      </c>
      <c r="FF205" s="11" t="str">
        <f t="shared" si="53"/>
        <v/>
      </c>
      <c r="FG205" s="11" t="str">
        <f t="shared" si="54"/>
        <v/>
      </c>
      <c r="FI205" s="141" t="str">
        <f t="shared" si="50"/>
        <v>14-jul</v>
      </c>
      <c r="FJ205" s="11" t="str">
        <f t="shared" si="55"/>
        <v/>
      </c>
      <c r="FK205" s="11" t="str">
        <f t="shared" si="56"/>
        <v/>
      </c>
      <c r="FL205" s="11" t="str">
        <f t="shared" si="57"/>
        <v/>
      </c>
      <c r="FN205" s="141" t="str">
        <f t="shared" si="60"/>
        <v>14-jul</v>
      </c>
      <c r="FO205" s="11" t="str">
        <f t="shared" si="61"/>
        <v/>
      </c>
      <c r="FP205" s="11" t="str">
        <f t="shared" si="51"/>
        <v/>
      </c>
      <c r="FQ205" s="11" t="str">
        <f t="shared" si="52"/>
        <v/>
      </c>
    </row>
    <row r="206" spans="2:173">
      <c r="B206"/>
      <c r="C206"/>
      <c r="BC206"/>
      <c r="BD206"/>
      <c r="BE206"/>
      <c r="BF206"/>
      <c r="BJ206"/>
      <c r="BK206"/>
      <c r="BL206"/>
      <c r="CI206"/>
      <c r="CJ206"/>
      <c r="CM206"/>
      <c r="CN206"/>
      <c r="CO206"/>
      <c r="DG206"/>
      <c r="DH206"/>
      <c r="DI206"/>
      <c r="DJ206"/>
      <c r="DK206"/>
      <c r="DL206"/>
      <c r="EG206"/>
      <c r="EH206"/>
      <c r="EW206" s="43" t="s">
        <v>587</v>
      </c>
      <c r="EX206" s="61">
        <v>1240</v>
      </c>
      <c r="EY206" s="61">
        <v>0</v>
      </c>
      <c r="EZ206" s="61">
        <v>71</v>
      </c>
      <c r="FA206" s="61">
        <v>0</v>
      </c>
      <c r="FB206" s="61">
        <v>0</v>
      </c>
      <c r="FD206" s="141" t="str">
        <f t="shared" si="58"/>
        <v>15-jul</v>
      </c>
      <c r="FE206" s="11" t="str">
        <f t="shared" si="59"/>
        <v/>
      </c>
      <c r="FF206" s="11" t="str">
        <f t="shared" si="53"/>
        <v/>
      </c>
      <c r="FG206" s="11" t="str">
        <f t="shared" si="54"/>
        <v/>
      </c>
      <c r="FI206" s="141" t="str">
        <f t="shared" si="50"/>
        <v>15-jul</v>
      </c>
      <c r="FJ206" s="11" t="str">
        <f t="shared" si="55"/>
        <v/>
      </c>
      <c r="FK206" s="11" t="str">
        <f t="shared" si="56"/>
        <v/>
      </c>
      <c r="FL206" s="11" t="str">
        <f t="shared" si="57"/>
        <v/>
      </c>
      <c r="FN206" s="141" t="str">
        <f t="shared" si="60"/>
        <v>15-jul</v>
      </c>
      <c r="FO206" s="11" t="str">
        <f t="shared" si="61"/>
        <v/>
      </c>
      <c r="FP206" s="11" t="str">
        <f t="shared" si="51"/>
        <v/>
      </c>
      <c r="FQ206" s="11" t="str">
        <f t="shared" si="52"/>
        <v/>
      </c>
    </row>
    <row r="207" spans="2:173">
      <c r="B207"/>
      <c r="C207"/>
      <c r="BC207"/>
      <c r="BD207"/>
      <c r="BE207"/>
      <c r="BF207"/>
      <c r="BJ207"/>
      <c r="BK207"/>
      <c r="BL207"/>
      <c r="CI207"/>
      <c r="CJ207"/>
      <c r="CM207"/>
      <c r="CN207"/>
      <c r="CO207"/>
      <c r="DG207"/>
      <c r="DH207"/>
      <c r="DI207"/>
      <c r="DJ207"/>
      <c r="DK207"/>
      <c r="DL207"/>
      <c r="EG207"/>
      <c r="EH207"/>
      <c r="EW207" s="43" t="s">
        <v>588</v>
      </c>
      <c r="EX207" s="61">
        <v>1200</v>
      </c>
      <c r="EY207" s="61">
        <v>0</v>
      </c>
      <c r="EZ207" s="61">
        <v>71</v>
      </c>
      <c r="FA207" s="61">
        <v>0</v>
      </c>
      <c r="FB207" s="61">
        <v>0</v>
      </c>
      <c r="FD207" s="141" t="str">
        <f t="shared" si="58"/>
        <v>16-jul</v>
      </c>
      <c r="FE207" s="11" t="str">
        <f t="shared" si="59"/>
        <v/>
      </c>
      <c r="FF207" s="11" t="str">
        <f t="shared" si="53"/>
        <v/>
      </c>
      <c r="FG207" s="11" t="str">
        <f t="shared" si="54"/>
        <v/>
      </c>
      <c r="FI207" s="141" t="str">
        <f t="shared" si="50"/>
        <v>16-jul</v>
      </c>
      <c r="FJ207" s="11" t="str">
        <f t="shared" si="55"/>
        <v/>
      </c>
      <c r="FK207" s="11" t="str">
        <f t="shared" si="56"/>
        <v/>
      </c>
      <c r="FL207" s="11" t="str">
        <f t="shared" si="57"/>
        <v/>
      </c>
      <c r="FN207" s="141" t="str">
        <f t="shared" si="60"/>
        <v>16-jul</v>
      </c>
      <c r="FO207" s="11" t="str">
        <f t="shared" si="61"/>
        <v/>
      </c>
      <c r="FP207" s="11" t="str">
        <f t="shared" si="51"/>
        <v/>
      </c>
      <c r="FQ207" s="11" t="str">
        <f t="shared" si="52"/>
        <v/>
      </c>
    </row>
    <row r="208" spans="2:173">
      <c r="B208"/>
      <c r="C208"/>
      <c r="BC208"/>
      <c r="BD208"/>
      <c r="BE208"/>
      <c r="BF208"/>
      <c r="BJ208"/>
      <c r="BK208"/>
      <c r="BL208"/>
      <c r="CI208"/>
      <c r="CJ208"/>
      <c r="CM208"/>
      <c r="CN208"/>
      <c r="CO208"/>
      <c r="DG208"/>
      <c r="DH208"/>
      <c r="DI208"/>
      <c r="DJ208"/>
      <c r="DK208"/>
      <c r="DL208"/>
      <c r="EG208"/>
      <c r="EH208"/>
      <c r="EW208" s="43" t="s">
        <v>589</v>
      </c>
      <c r="EX208" s="61">
        <v>1200</v>
      </c>
      <c r="EY208" s="61">
        <v>0</v>
      </c>
      <c r="EZ208" s="61">
        <v>71</v>
      </c>
      <c r="FA208" s="61">
        <v>0</v>
      </c>
      <c r="FB208" s="61">
        <v>0</v>
      </c>
      <c r="FD208" s="141" t="str">
        <f t="shared" si="58"/>
        <v>17-jul</v>
      </c>
      <c r="FE208" s="11" t="str">
        <f t="shared" si="59"/>
        <v/>
      </c>
      <c r="FF208" s="11" t="str">
        <f t="shared" si="53"/>
        <v/>
      </c>
      <c r="FG208" s="11" t="str">
        <f t="shared" si="54"/>
        <v/>
      </c>
      <c r="FI208" s="141" t="str">
        <f t="shared" si="50"/>
        <v>17-jul</v>
      </c>
      <c r="FJ208" s="11" t="str">
        <f t="shared" si="55"/>
        <v/>
      </c>
      <c r="FK208" s="11" t="str">
        <f t="shared" si="56"/>
        <v/>
      </c>
      <c r="FL208" s="11" t="str">
        <f t="shared" si="57"/>
        <v/>
      </c>
      <c r="FN208" s="141" t="str">
        <f t="shared" si="60"/>
        <v>17-jul</v>
      </c>
      <c r="FO208" s="11" t="str">
        <f t="shared" si="61"/>
        <v/>
      </c>
      <c r="FP208" s="11" t="str">
        <f t="shared" si="51"/>
        <v/>
      </c>
      <c r="FQ208" s="11" t="str">
        <f t="shared" si="52"/>
        <v/>
      </c>
    </row>
    <row r="209" spans="2:173">
      <c r="B209"/>
      <c r="C209"/>
      <c r="BC209"/>
      <c r="BD209"/>
      <c r="BE209"/>
      <c r="BF209"/>
      <c r="BJ209"/>
      <c r="BK209"/>
      <c r="BL209"/>
      <c r="CI209"/>
      <c r="CJ209"/>
      <c r="CM209"/>
      <c r="CN209"/>
      <c r="CO209"/>
      <c r="DG209"/>
      <c r="DH209"/>
      <c r="DI209"/>
      <c r="DJ209"/>
      <c r="DK209"/>
      <c r="DL209"/>
      <c r="EG209"/>
      <c r="EH209"/>
      <c r="EW209" s="43" t="s">
        <v>590</v>
      </c>
      <c r="EX209" s="61">
        <v>1200</v>
      </c>
      <c r="EY209" s="61">
        <v>0</v>
      </c>
      <c r="EZ209" s="61">
        <v>71</v>
      </c>
      <c r="FA209" s="61">
        <v>0</v>
      </c>
      <c r="FB209" s="61">
        <v>0</v>
      </c>
      <c r="FD209" s="141" t="str">
        <f t="shared" si="58"/>
        <v>18-jul</v>
      </c>
      <c r="FE209" s="11" t="str">
        <f t="shared" si="59"/>
        <v/>
      </c>
      <c r="FF209" s="11" t="str">
        <f t="shared" si="53"/>
        <v/>
      </c>
      <c r="FG209" s="11" t="str">
        <f t="shared" si="54"/>
        <v/>
      </c>
      <c r="FI209" s="141" t="str">
        <f t="shared" si="50"/>
        <v>18-jul</v>
      </c>
      <c r="FJ209" s="11" t="str">
        <f t="shared" si="55"/>
        <v/>
      </c>
      <c r="FK209" s="11" t="str">
        <f t="shared" si="56"/>
        <v/>
      </c>
      <c r="FL209" s="11" t="str">
        <f t="shared" si="57"/>
        <v/>
      </c>
      <c r="FN209" s="141" t="str">
        <f t="shared" si="60"/>
        <v>18-jul</v>
      </c>
      <c r="FO209" s="11" t="str">
        <f t="shared" si="61"/>
        <v/>
      </c>
      <c r="FP209" s="11" t="str">
        <f t="shared" si="51"/>
        <v/>
      </c>
      <c r="FQ209" s="11" t="str">
        <f t="shared" si="52"/>
        <v/>
      </c>
    </row>
    <row r="210" spans="2:173">
      <c r="B210"/>
      <c r="C210"/>
      <c r="BC210"/>
      <c r="BD210"/>
      <c r="BE210"/>
      <c r="BF210"/>
      <c r="BJ210"/>
      <c r="BK210"/>
      <c r="BL210"/>
      <c r="CI210"/>
      <c r="CJ210"/>
      <c r="CM210"/>
      <c r="CN210"/>
      <c r="CO210"/>
      <c r="DG210"/>
      <c r="DH210"/>
      <c r="DI210"/>
      <c r="DJ210"/>
      <c r="DK210"/>
      <c r="DL210"/>
      <c r="EG210"/>
      <c r="EH210"/>
      <c r="EW210" s="43" t="s">
        <v>591</v>
      </c>
      <c r="EX210" s="61">
        <v>1200</v>
      </c>
      <c r="EY210" s="61">
        <v>0</v>
      </c>
      <c r="EZ210" s="61">
        <v>71</v>
      </c>
      <c r="FA210" s="61">
        <v>0</v>
      </c>
      <c r="FB210" s="61">
        <v>0</v>
      </c>
      <c r="FD210" s="141" t="str">
        <f t="shared" si="58"/>
        <v>19-jul</v>
      </c>
      <c r="FE210" s="11" t="str">
        <f t="shared" si="59"/>
        <v/>
      </c>
      <c r="FF210" s="11" t="str">
        <f t="shared" si="53"/>
        <v/>
      </c>
      <c r="FG210" s="11" t="str">
        <f t="shared" si="54"/>
        <v/>
      </c>
      <c r="FI210" s="141" t="str">
        <f t="shared" si="50"/>
        <v>19-jul</v>
      </c>
      <c r="FJ210" s="11" t="str">
        <f t="shared" si="55"/>
        <v/>
      </c>
      <c r="FK210" s="11" t="str">
        <f t="shared" si="56"/>
        <v/>
      </c>
      <c r="FL210" s="11" t="str">
        <f t="shared" si="57"/>
        <v/>
      </c>
      <c r="FN210" s="141" t="str">
        <f t="shared" si="60"/>
        <v>19-jul</v>
      </c>
      <c r="FO210" s="11" t="str">
        <f t="shared" si="61"/>
        <v/>
      </c>
      <c r="FP210" s="11" t="str">
        <f t="shared" si="51"/>
        <v/>
      </c>
      <c r="FQ210" s="11" t="str">
        <f t="shared" si="52"/>
        <v/>
      </c>
    </row>
    <row r="211" spans="2:173">
      <c r="B211"/>
      <c r="C211"/>
      <c r="BC211"/>
      <c r="BD211"/>
      <c r="BE211"/>
      <c r="BF211"/>
      <c r="BJ211"/>
      <c r="BK211"/>
      <c r="BL211"/>
      <c r="CI211"/>
      <c r="CJ211"/>
      <c r="CM211"/>
      <c r="CN211"/>
      <c r="CO211"/>
      <c r="DG211"/>
      <c r="DH211"/>
      <c r="DI211"/>
      <c r="DJ211"/>
      <c r="DK211"/>
      <c r="DL211"/>
      <c r="EG211"/>
      <c r="EH211"/>
      <c r="EW211" s="43" t="s">
        <v>592</v>
      </c>
      <c r="EX211" s="61">
        <v>1200</v>
      </c>
      <c r="EY211" s="61">
        <v>0</v>
      </c>
      <c r="EZ211" s="61">
        <v>71</v>
      </c>
      <c r="FA211" s="61">
        <v>0</v>
      </c>
      <c r="FB211" s="61">
        <v>0</v>
      </c>
      <c r="FD211" s="141" t="str">
        <f t="shared" si="58"/>
        <v>20-jul</v>
      </c>
      <c r="FE211" s="11" t="str">
        <f t="shared" si="59"/>
        <v/>
      </c>
      <c r="FF211" s="11" t="str">
        <f t="shared" si="53"/>
        <v/>
      </c>
      <c r="FG211" s="11" t="str">
        <f t="shared" si="54"/>
        <v/>
      </c>
      <c r="FI211" s="141" t="str">
        <f t="shared" si="50"/>
        <v>20-jul</v>
      </c>
      <c r="FJ211" s="11" t="str">
        <f t="shared" si="55"/>
        <v/>
      </c>
      <c r="FK211" s="11" t="str">
        <f t="shared" si="56"/>
        <v/>
      </c>
      <c r="FL211" s="11" t="str">
        <f t="shared" si="57"/>
        <v/>
      </c>
      <c r="FN211" s="141" t="str">
        <f t="shared" si="60"/>
        <v>20-jul</v>
      </c>
      <c r="FO211" s="11" t="str">
        <f t="shared" si="61"/>
        <v/>
      </c>
      <c r="FP211" s="11" t="str">
        <f t="shared" si="51"/>
        <v/>
      </c>
      <c r="FQ211" s="11" t="str">
        <f t="shared" si="52"/>
        <v/>
      </c>
    </row>
    <row r="212" spans="2:173">
      <c r="B212"/>
      <c r="C212"/>
      <c r="BC212"/>
      <c r="BD212"/>
      <c r="BE212"/>
      <c r="BF212"/>
      <c r="BJ212"/>
      <c r="BK212"/>
      <c r="BL212"/>
      <c r="CI212"/>
      <c r="CJ212"/>
      <c r="CM212"/>
      <c r="CN212"/>
      <c r="CO212"/>
      <c r="DG212"/>
      <c r="DH212"/>
      <c r="DI212"/>
      <c r="DJ212"/>
      <c r="DK212"/>
      <c r="DL212"/>
      <c r="EG212"/>
      <c r="EH212"/>
      <c r="EW212" s="43" t="s">
        <v>593</v>
      </c>
      <c r="EX212" s="61">
        <v>1200</v>
      </c>
      <c r="EY212" s="61">
        <v>0</v>
      </c>
      <c r="EZ212" s="61">
        <v>62</v>
      </c>
      <c r="FA212" s="61">
        <v>0</v>
      </c>
      <c r="FB212" s="61">
        <v>0</v>
      </c>
      <c r="FD212" s="141" t="str">
        <f t="shared" si="58"/>
        <v>21-jul</v>
      </c>
      <c r="FE212" s="11" t="str">
        <f t="shared" si="59"/>
        <v/>
      </c>
      <c r="FF212" s="11" t="str">
        <f t="shared" si="53"/>
        <v/>
      </c>
      <c r="FG212" s="11" t="str">
        <f t="shared" si="54"/>
        <v/>
      </c>
      <c r="FI212" s="141" t="str">
        <f t="shared" si="50"/>
        <v>21-jul</v>
      </c>
      <c r="FJ212" s="11" t="str">
        <f t="shared" si="55"/>
        <v/>
      </c>
      <c r="FK212" s="11" t="str">
        <f t="shared" si="56"/>
        <v/>
      </c>
      <c r="FL212" s="11" t="str">
        <f t="shared" si="57"/>
        <v/>
      </c>
      <c r="FN212" s="141" t="str">
        <f t="shared" si="60"/>
        <v>21-jul</v>
      </c>
      <c r="FO212" s="11" t="str">
        <f t="shared" si="61"/>
        <v/>
      </c>
      <c r="FP212" s="11" t="str">
        <f t="shared" si="51"/>
        <v/>
      </c>
      <c r="FQ212" s="11" t="str">
        <f t="shared" si="52"/>
        <v/>
      </c>
    </row>
    <row r="213" spans="2:173">
      <c r="B213"/>
      <c r="C213"/>
      <c r="BC213"/>
      <c r="BD213"/>
      <c r="BE213"/>
      <c r="BF213"/>
      <c r="BJ213"/>
      <c r="BK213"/>
      <c r="BL213"/>
      <c r="CI213"/>
      <c r="CJ213"/>
      <c r="CM213"/>
      <c r="CN213"/>
      <c r="CO213"/>
      <c r="DG213"/>
      <c r="DH213"/>
      <c r="DI213"/>
      <c r="DJ213"/>
      <c r="DK213"/>
      <c r="DL213"/>
      <c r="EG213"/>
      <c r="EH213"/>
      <c r="EW213" s="43" t="s">
        <v>594</v>
      </c>
      <c r="EX213" s="61">
        <v>1200</v>
      </c>
      <c r="EY213" s="61">
        <v>0</v>
      </c>
      <c r="EZ213" s="61">
        <v>71</v>
      </c>
      <c r="FA213" s="61">
        <v>0</v>
      </c>
      <c r="FB213" s="61">
        <v>0</v>
      </c>
      <c r="FD213" s="141" t="str">
        <f t="shared" si="58"/>
        <v>22-jul</v>
      </c>
      <c r="FE213" s="11" t="str">
        <f t="shared" si="59"/>
        <v/>
      </c>
      <c r="FF213" s="11" t="str">
        <f t="shared" si="53"/>
        <v/>
      </c>
      <c r="FG213" s="11" t="str">
        <f t="shared" si="54"/>
        <v/>
      </c>
      <c r="FI213" s="141" t="str">
        <f t="shared" si="50"/>
        <v>22-jul</v>
      </c>
      <c r="FJ213" s="11" t="str">
        <f t="shared" si="55"/>
        <v/>
      </c>
      <c r="FK213" s="11" t="str">
        <f t="shared" si="56"/>
        <v/>
      </c>
      <c r="FL213" s="11" t="str">
        <f t="shared" si="57"/>
        <v/>
      </c>
      <c r="FN213" s="141" t="str">
        <f t="shared" si="60"/>
        <v>22-jul</v>
      </c>
      <c r="FO213" s="11" t="str">
        <f t="shared" si="61"/>
        <v/>
      </c>
      <c r="FP213" s="11" t="str">
        <f t="shared" si="51"/>
        <v/>
      </c>
      <c r="FQ213" s="11" t="str">
        <f t="shared" si="52"/>
        <v/>
      </c>
    </row>
    <row r="214" spans="2:173">
      <c r="B214"/>
      <c r="C214"/>
      <c r="BC214"/>
      <c r="BD214"/>
      <c r="BE214"/>
      <c r="BF214"/>
      <c r="BJ214"/>
      <c r="BK214"/>
      <c r="BL214"/>
      <c r="CI214"/>
      <c r="CJ214"/>
      <c r="CM214"/>
      <c r="CN214"/>
      <c r="CO214"/>
      <c r="DG214"/>
      <c r="DH214"/>
      <c r="DI214"/>
      <c r="DJ214"/>
      <c r="DK214"/>
      <c r="DL214"/>
      <c r="EG214"/>
      <c r="EH214"/>
      <c r="EW214" s="43" t="s">
        <v>595</v>
      </c>
      <c r="EX214" s="61">
        <v>1150</v>
      </c>
      <c r="EY214" s="61">
        <v>0</v>
      </c>
      <c r="EZ214" s="61">
        <v>71</v>
      </c>
      <c r="FA214" s="61">
        <v>0</v>
      </c>
      <c r="FB214" s="61">
        <v>0</v>
      </c>
      <c r="FD214" s="141" t="str">
        <f t="shared" si="58"/>
        <v>23-jul</v>
      </c>
      <c r="FE214" s="11" t="str">
        <f t="shared" si="59"/>
        <v/>
      </c>
      <c r="FF214" s="11" t="str">
        <f t="shared" si="53"/>
        <v/>
      </c>
      <c r="FG214" s="11" t="str">
        <f t="shared" si="54"/>
        <v/>
      </c>
      <c r="FI214" s="141" t="str">
        <f t="shared" si="50"/>
        <v>23-jul</v>
      </c>
      <c r="FJ214" s="11" t="str">
        <f t="shared" si="55"/>
        <v/>
      </c>
      <c r="FK214" s="11" t="str">
        <f t="shared" si="56"/>
        <v/>
      </c>
      <c r="FL214" s="11" t="str">
        <f t="shared" si="57"/>
        <v/>
      </c>
      <c r="FN214" s="141" t="str">
        <f t="shared" si="60"/>
        <v>23-jul</v>
      </c>
      <c r="FO214" s="11" t="str">
        <f t="shared" si="61"/>
        <v/>
      </c>
      <c r="FP214" s="11" t="str">
        <f t="shared" si="51"/>
        <v/>
      </c>
      <c r="FQ214" s="11" t="str">
        <f t="shared" si="52"/>
        <v/>
      </c>
    </row>
    <row r="215" spans="2:173">
      <c r="B215"/>
      <c r="C215"/>
      <c r="BC215"/>
      <c r="BD215"/>
      <c r="BE215"/>
      <c r="BF215"/>
      <c r="BJ215"/>
      <c r="BK215"/>
      <c r="BL215"/>
      <c r="CI215"/>
      <c r="CJ215"/>
      <c r="CM215"/>
      <c r="CN215"/>
      <c r="CO215"/>
      <c r="DG215"/>
      <c r="DH215"/>
      <c r="DI215"/>
      <c r="DJ215"/>
      <c r="DK215"/>
      <c r="DL215"/>
      <c r="EG215"/>
      <c r="EH215"/>
      <c r="EW215" s="43" t="s">
        <v>596</v>
      </c>
      <c r="EX215" s="61">
        <v>1150</v>
      </c>
      <c r="EY215" s="61">
        <v>0</v>
      </c>
      <c r="EZ215" s="61">
        <v>71</v>
      </c>
      <c r="FA215" s="61">
        <v>0</v>
      </c>
      <c r="FB215" s="61">
        <v>0</v>
      </c>
      <c r="FD215" s="141" t="str">
        <f t="shared" si="58"/>
        <v>24-jul</v>
      </c>
      <c r="FE215" s="11" t="str">
        <f t="shared" si="59"/>
        <v/>
      </c>
      <c r="FF215" s="11" t="str">
        <f t="shared" si="53"/>
        <v/>
      </c>
      <c r="FG215" s="11" t="str">
        <f t="shared" si="54"/>
        <v/>
      </c>
      <c r="FI215" s="141" t="str">
        <f t="shared" si="50"/>
        <v>24-jul</v>
      </c>
      <c r="FJ215" s="11" t="str">
        <f t="shared" si="55"/>
        <v/>
      </c>
      <c r="FK215" s="11" t="str">
        <f t="shared" si="56"/>
        <v/>
      </c>
      <c r="FL215" s="11" t="str">
        <f t="shared" si="57"/>
        <v/>
      </c>
      <c r="FN215" s="141" t="str">
        <f t="shared" si="60"/>
        <v>24-jul</v>
      </c>
      <c r="FO215" s="11" t="str">
        <f t="shared" si="61"/>
        <v/>
      </c>
      <c r="FP215" s="11" t="str">
        <f t="shared" si="51"/>
        <v/>
      </c>
      <c r="FQ215" s="11" t="str">
        <f t="shared" si="52"/>
        <v/>
      </c>
    </row>
    <row r="216" spans="2:173">
      <c r="B216"/>
      <c r="C216"/>
      <c r="BC216"/>
      <c r="BD216"/>
      <c r="BE216"/>
      <c r="BF216"/>
      <c r="BJ216"/>
      <c r="BK216"/>
      <c r="BL216"/>
      <c r="CI216"/>
      <c r="CJ216"/>
      <c r="CM216"/>
      <c r="CN216"/>
      <c r="CO216"/>
      <c r="DG216"/>
      <c r="DH216"/>
      <c r="DI216"/>
      <c r="DJ216"/>
      <c r="DK216"/>
      <c r="DL216"/>
      <c r="EG216"/>
      <c r="EH216"/>
      <c r="EW216" s="43" t="s">
        <v>597</v>
      </c>
      <c r="EX216" s="61">
        <v>1150</v>
      </c>
      <c r="EY216" s="61">
        <v>0</v>
      </c>
      <c r="EZ216" s="61">
        <v>71</v>
      </c>
      <c r="FA216" s="61">
        <v>0</v>
      </c>
      <c r="FB216" s="61">
        <v>0</v>
      </c>
      <c r="FD216" s="141" t="str">
        <f t="shared" si="58"/>
        <v>25-jul</v>
      </c>
      <c r="FE216" s="11" t="str">
        <f t="shared" si="59"/>
        <v/>
      </c>
      <c r="FF216" s="11" t="str">
        <f t="shared" si="53"/>
        <v/>
      </c>
      <c r="FG216" s="11" t="str">
        <f t="shared" si="54"/>
        <v/>
      </c>
      <c r="FI216" s="141" t="str">
        <f t="shared" si="50"/>
        <v>25-jul</v>
      </c>
      <c r="FJ216" s="11" t="str">
        <f t="shared" si="55"/>
        <v/>
      </c>
      <c r="FK216" s="11" t="str">
        <f t="shared" si="56"/>
        <v/>
      </c>
      <c r="FL216" s="11" t="str">
        <f t="shared" si="57"/>
        <v/>
      </c>
      <c r="FN216" s="141" t="str">
        <f t="shared" si="60"/>
        <v>25-jul</v>
      </c>
      <c r="FO216" s="11" t="str">
        <f t="shared" si="61"/>
        <v/>
      </c>
      <c r="FP216" s="11" t="str">
        <f t="shared" si="51"/>
        <v/>
      </c>
      <c r="FQ216" s="11" t="str">
        <f t="shared" si="52"/>
        <v/>
      </c>
    </row>
    <row r="217" spans="2:173">
      <c r="B217"/>
      <c r="C217"/>
      <c r="BC217"/>
      <c r="BD217"/>
      <c r="BE217"/>
      <c r="BF217"/>
      <c r="BJ217"/>
      <c r="BK217"/>
      <c r="BL217"/>
      <c r="CI217"/>
      <c r="CJ217"/>
      <c r="CM217"/>
      <c r="CN217"/>
      <c r="CO217"/>
      <c r="DG217"/>
      <c r="DH217"/>
      <c r="DI217"/>
      <c r="DJ217"/>
      <c r="DK217"/>
      <c r="DL217"/>
      <c r="EG217"/>
      <c r="EH217"/>
      <c r="EW217" s="43" t="s">
        <v>598</v>
      </c>
      <c r="EX217" s="61">
        <v>1150</v>
      </c>
      <c r="EY217" s="61">
        <v>0</v>
      </c>
      <c r="EZ217" s="61">
        <v>62</v>
      </c>
      <c r="FA217" s="61">
        <v>0</v>
      </c>
      <c r="FB217" s="61">
        <v>0</v>
      </c>
      <c r="FD217" s="141" t="str">
        <f t="shared" si="58"/>
        <v>26-jul</v>
      </c>
      <c r="FE217" s="11" t="str">
        <f t="shared" si="59"/>
        <v/>
      </c>
      <c r="FF217" s="11" t="str">
        <f t="shared" si="53"/>
        <v/>
      </c>
      <c r="FG217" s="11" t="str">
        <f t="shared" si="54"/>
        <v/>
      </c>
      <c r="FI217" s="141" t="str">
        <f t="shared" si="50"/>
        <v>26-jul</v>
      </c>
      <c r="FJ217" s="11" t="str">
        <f t="shared" si="55"/>
        <v/>
      </c>
      <c r="FK217" s="11" t="str">
        <f t="shared" si="56"/>
        <v/>
      </c>
      <c r="FL217" s="11" t="str">
        <f t="shared" si="57"/>
        <v/>
      </c>
      <c r="FN217" s="141" t="str">
        <f t="shared" si="60"/>
        <v>26-jul</v>
      </c>
      <c r="FO217" s="11" t="str">
        <f t="shared" si="61"/>
        <v/>
      </c>
      <c r="FP217" s="11" t="str">
        <f t="shared" si="51"/>
        <v/>
      </c>
      <c r="FQ217" s="11" t="str">
        <f t="shared" si="52"/>
        <v/>
      </c>
    </row>
    <row r="218" spans="2:173">
      <c r="B218"/>
      <c r="C218"/>
      <c r="BC218"/>
      <c r="BD218"/>
      <c r="BE218"/>
      <c r="BF218"/>
      <c r="BJ218"/>
      <c r="BK218"/>
      <c r="BL218"/>
      <c r="CI218"/>
      <c r="CJ218"/>
      <c r="CM218"/>
      <c r="CN218"/>
      <c r="CO218"/>
      <c r="DG218"/>
      <c r="DH218"/>
      <c r="DI218"/>
      <c r="DJ218"/>
      <c r="DK218"/>
      <c r="DL218"/>
      <c r="EG218"/>
      <c r="EH218"/>
      <c r="EW218" s="43" t="s">
        <v>599</v>
      </c>
      <c r="EX218" s="61">
        <v>1150</v>
      </c>
      <c r="EY218" s="61">
        <v>0</v>
      </c>
      <c r="EZ218" s="61">
        <v>71</v>
      </c>
      <c r="FA218" s="61">
        <v>0</v>
      </c>
      <c r="FB218" s="61">
        <v>0</v>
      </c>
      <c r="FD218" s="141" t="str">
        <f t="shared" si="58"/>
        <v>27-jul</v>
      </c>
      <c r="FE218" s="11" t="str">
        <f t="shared" si="59"/>
        <v/>
      </c>
      <c r="FF218" s="11" t="str">
        <f t="shared" si="53"/>
        <v/>
      </c>
      <c r="FG218" s="11" t="str">
        <f t="shared" si="54"/>
        <v/>
      </c>
      <c r="FI218" s="141" t="str">
        <f t="shared" si="50"/>
        <v>27-jul</v>
      </c>
      <c r="FJ218" s="11" t="str">
        <f t="shared" si="55"/>
        <v/>
      </c>
      <c r="FK218" s="11" t="str">
        <f t="shared" si="56"/>
        <v/>
      </c>
      <c r="FL218" s="11" t="str">
        <f t="shared" si="57"/>
        <v/>
      </c>
      <c r="FN218" s="141" t="str">
        <f t="shared" si="60"/>
        <v>27-jul</v>
      </c>
      <c r="FO218" s="11" t="str">
        <f t="shared" si="61"/>
        <v/>
      </c>
      <c r="FP218" s="11" t="str">
        <f t="shared" si="51"/>
        <v/>
      </c>
      <c r="FQ218" s="11" t="str">
        <f t="shared" si="52"/>
        <v/>
      </c>
    </row>
    <row r="219" spans="2:173">
      <c r="B219"/>
      <c r="C219"/>
      <c r="BC219"/>
      <c r="BD219"/>
      <c r="BE219"/>
      <c r="BF219"/>
      <c r="BJ219"/>
      <c r="BK219"/>
      <c r="BL219"/>
      <c r="CI219"/>
      <c r="CJ219"/>
      <c r="CM219"/>
      <c r="CN219"/>
      <c r="CO219"/>
      <c r="DG219"/>
      <c r="DH219"/>
      <c r="DI219"/>
      <c r="DJ219"/>
      <c r="DK219"/>
      <c r="DL219"/>
      <c r="EG219"/>
      <c r="EH219"/>
      <c r="EW219" s="43" t="s">
        <v>600</v>
      </c>
      <c r="EX219" s="61">
        <v>1150</v>
      </c>
      <c r="EY219" s="61">
        <v>0</v>
      </c>
      <c r="EZ219" s="61">
        <v>71</v>
      </c>
      <c r="FA219" s="61">
        <v>0</v>
      </c>
      <c r="FB219" s="61">
        <v>0</v>
      </c>
      <c r="FD219" s="141" t="str">
        <f t="shared" si="58"/>
        <v>28-jul</v>
      </c>
      <c r="FE219" s="11" t="str">
        <f t="shared" si="59"/>
        <v/>
      </c>
      <c r="FF219" s="11" t="str">
        <f t="shared" si="53"/>
        <v/>
      </c>
      <c r="FG219" s="11" t="str">
        <f t="shared" si="54"/>
        <v/>
      </c>
      <c r="FI219" s="141" t="str">
        <f t="shared" si="50"/>
        <v>28-jul</v>
      </c>
      <c r="FJ219" s="11" t="str">
        <f t="shared" si="55"/>
        <v/>
      </c>
      <c r="FK219" s="11" t="str">
        <f t="shared" si="56"/>
        <v/>
      </c>
      <c r="FL219" s="11" t="str">
        <f t="shared" si="57"/>
        <v/>
      </c>
      <c r="FN219" s="141" t="str">
        <f t="shared" si="60"/>
        <v>28-jul</v>
      </c>
      <c r="FO219" s="11" t="str">
        <f t="shared" si="61"/>
        <v/>
      </c>
      <c r="FP219" s="11" t="str">
        <f t="shared" si="51"/>
        <v/>
      </c>
      <c r="FQ219" s="11" t="str">
        <f t="shared" si="52"/>
        <v/>
      </c>
    </row>
    <row r="220" spans="2:173">
      <c r="B220"/>
      <c r="C220"/>
      <c r="BC220"/>
      <c r="BD220"/>
      <c r="BE220"/>
      <c r="BF220"/>
      <c r="BJ220"/>
      <c r="BK220"/>
      <c r="BL220"/>
      <c r="CI220"/>
      <c r="CJ220"/>
      <c r="CM220"/>
      <c r="CN220"/>
      <c r="CO220"/>
      <c r="DG220"/>
      <c r="DH220"/>
      <c r="DI220"/>
      <c r="DJ220"/>
      <c r="DK220"/>
      <c r="DL220"/>
      <c r="EG220"/>
      <c r="EH220"/>
      <c r="EW220" s="43" t="s">
        <v>601</v>
      </c>
      <c r="EX220" s="61">
        <v>1150</v>
      </c>
      <c r="EY220" s="61">
        <v>0</v>
      </c>
      <c r="EZ220" s="61">
        <v>71</v>
      </c>
      <c r="FA220" s="61">
        <v>0</v>
      </c>
      <c r="FB220" s="61">
        <v>0</v>
      </c>
      <c r="FD220" s="141" t="str">
        <f t="shared" si="58"/>
        <v>29-jul</v>
      </c>
      <c r="FE220" s="11" t="str">
        <f t="shared" si="59"/>
        <v/>
      </c>
      <c r="FF220" s="11" t="str">
        <f t="shared" si="53"/>
        <v/>
      </c>
      <c r="FG220" s="11" t="str">
        <f t="shared" si="54"/>
        <v/>
      </c>
      <c r="FI220" s="141" t="str">
        <f t="shared" si="50"/>
        <v>29-jul</v>
      </c>
      <c r="FJ220" s="11" t="str">
        <f t="shared" si="55"/>
        <v/>
      </c>
      <c r="FK220" s="11" t="str">
        <f t="shared" si="56"/>
        <v/>
      </c>
      <c r="FL220" s="11" t="str">
        <f t="shared" si="57"/>
        <v/>
      </c>
      <c r="FN220" s="141" t="str">
        <f t="shared" si="60"/>
        <v>29-jul</v>
      </c>
      <c r="FO220" s="11" t="str">
        <f t="shared" si="61"/>
        <v/>
      </c>
      <c r="FP220" s="11" t="str">
        <f t="shared" si="51"/>
        <v/>
      </c>
      <c r="FQ220" s="11" t="str">
        <f t="shared" si="52"/>
        <v/>
      </c>
    </row>
    <row r="221" spans="2:173">
      <c r="B221"/>
      <c r="C221"/>
      <c r="BC221"/>
      <c r="BD221"/>
      <c r="BE221"/>
      <c r="BF221"/>
      <c r="BJ221"/>
      <c r="BK221"/>
      <c r="BL221"/>
      <c r="CI221"/>
      <c r="CJ221"/>
      <c r="CM221"/>
      <c r="CN221"/>
      <c r="CO221"/>
      <c r="DG221"/>
      <c r="DH221"/>
      <c r="DI221"/>
      <c r="DJ221"/>
      <c r="DK221"/>
      <c r="DL221"/>
      <c r="EG221"/>
      <c r="EH221"/>
      <c r="EW221" s="43" t="s">
        <v>602</v>
      </c>
      <c r="EX221" s="61">
        <v>1150</v>
      </c>
      <c r="EY221" s="61">
        <v>0</v>
      </c>
      <c r="EZ221" s="61">
        <v>71</v>
      </c>
      <c r="FA221" s="61">
        <v>0</v>
      </c>
      <c r="FB221" s="61">
        <v>0</v>
      </c>
      <c r="FD221" s="141" t="str">
        <f t="shared" si="58"/>
        <v>30-jul</v>
      </c>
      <c r="FE221" s="11" t="str">
        <f t="shared" si="59"/>
        <v/>
      </c>
      <c r="FF221" s="11" t="str">
        <f t="shared" si="53"/>
        <v/>
      </c>
      <c r="FG221" s="11" t="str">
        <f t="shared" si="54"/>
        <v/>
      </c>
      <c r="FI221" s="141" t="str">
        <f t="shared" si="50"/>
        <v>30-jul</v>
      </c>
      <c r="FJ221" s="11" t="str">
        <f t="shared" si="55"/>
        <v/>
      </c>
      <c r="FK221" s="11" t="str">
        <f t="shared" si="56"/>
        <v/>
      </c>
      <c r="FL221" s="11" t="str">
        <f t="shared" si="57"/>
        <v/>
      </c>
      <c r="FN221" s="141" t="str">
        <f t="shared" si="60"/>
        <v>30-jul</v>
      </c>
      <c r="FO221" s="11" t="str">
        <f t="shared" si="61"/>
        <v/>
      </c>
      <c r="FP221" s="11" t="str">
        <f t="shared" si="51"/>
        <v/>
      </c>
      <c r="FQ221" s="11" t="str">
        <f t="shared" si="52"/>
        <v/>
      </c>
    </row>
    <row r="222" spans="2:173">
      <c r="B222"/>
      <c r="C222"/>
      <c r="BC222"/>
      <c r="BD222"/>
      <c r="BE222"/>
      <c r="BF222"/>
      <c r="BJ222"/>
      <c r="BK222"/>
      <c r="BL222"/>
      <c r="CI222"/>
      <c r="CJ222"/>
      <c r="CM222"/>
      <c r="CN222"/>
      <c r="CO222"/>
      <c r="DG222"/>
      <c r="DH222"/>
      <c r="DI222"/>
      <c r="DJ222"/>
      <c r="DK222"/>
      <c r="DL222"/>
      <c r="EG222"/>
      <c r="EH222"/>
      <c r="EW222" s="43" t="s">
        <v>603</v>
      </c>
      <c r="EX222" s="61">
        <v>1150</v>
      </c>
      <c r="EY222" s="61">
        <v>0</v>
      </c>
      <c r="EZ222" s="61">
        <v>71</v>
      </c>
      <c r="FA222" s="61">
        <v>0</v>
      </c>
      <c r="FB222" s="61">
        <v>0</v>
      </c>
      <c r="FD222" s="141" t="str">
        <f t="shared" si="58"/>
        <v>31-jul</v>
      </c>
      <c r="FE222" s="11" t="str">
        <f t="shared" si="59"/>
        <v/>
      </c>
      <c r="FF222" s="11" t="str">
        <f t="shared" si="53"/>
        <v/>
      </c>
      <c r="FG222" s="11" t="str">
        <f t="shared" si="54"/>
        <v/>
      </c>
      <c r="FI222" s="141" t="str">
        <f t="shared" si="50"/>
        <v>31-jul</v>
      </c>
      <c r="FJ222" s="11" t="str">
        <f t="shared" si="55"/>
        <v/>
      </c>
      <c r="FK222" s="11" t="str">
        <f t="shared" si="56"/>
        <v/>
      </c>
      <c r="FL222" s="11" t="str">
        <f t="shared" si="57"/>
        <v/>
      </c>
      <c r="FN222" s="141" t="str">
        <f t="shared" si="60"/>
        <v>31-jul</v>
      </c>
      <c r="FO222" s="11" t="str">
        <f t="shared" si="61"/>
        <v/>
      </c>
      <c r="FP222" s="11" t="str">
        <f t="shared" si="51"/>
        <v/>
      </c>
      <c r="FQ222" s="11" t="str">
        <f t="shared" si="52"/>
        <v/>
      </c>
    </row>
    <row r="223" spans="2:173">
      <c r="B223"/>
      <c r="C223"/>
      <c r="BC223"/>
      <c r="BD223"/>
      <c r="BE223"/>
      <c r="BF223"/>
      <c r="BJ223"/>
      <c r="BK223"/>
      <c r="BL223"/>
      <c r="CI223"/>
      <c r="CJ223"/>
      <c r="CM223"/>
      <c r="CN223"/>
      <c r="CO223"/>
      <c r="DG223"/>
      <c r="DH223"/>
      <c r="DI223"/>
      <c r="DJ223"/>
      <c r="DK223"/>
      <c r="DL223"/>
      <c r="EG223"/>
      <c r="EH223"/>
      <c r="EW223" s="37" t="s">
        <v>253</v>
      </c>
      <c r="EX223" s="61"/>
      <c r="EY223" s="61"/>
      <c r="EZ223" s="61"/>
      <c r="FA223" s="61"/>
      <c r="FB223" s="61"/>
      <c r="FD223" s="141" t="str">
        <f t="shared" si="58"/>
        <v>ago</v>
      </c>
      <c r="FE223" s="11" t="str">
        <f t="shared" si="59"/>
        <v/>
      </c>
      <c r="FF223" s="11" t="str">
        <f t="shared" si="53"/>
        <v/>
      </c>
      <c r="FG223" s="11" t="str">
        <f t="shared" si="54"/>
        <v/>
      </c>
      <c r="FI223" s="141" t="str">
        <f t="shared" si="50"/>
        <v>ago</v>
      </c>
      <c r="FJ223" s="11" t="str">
        <f t="shared" si="55"/>
        <v/>
      </c>
      <c r="FK223" s="11" t="str">
        <f t="shared" si="56"/>
        <v/>
      </c>
      <c r="FL223" s="11" t="str">
        <f t="shared" si="57"/>
        <v/>
      </c>
      <c r="FN223" s="141" t="str">
        <f t="shared" si="60"/>
        <v>ago</v>
      </c>
      <c r="FO223" s="11" t="str">
        <f t="shared" si="61"/>
        <v/>
      </c>
      <c r="FP223" s="11" t="str">
        <f t="shared" si="51"/>
        <v/>
      </c>
      <c r="FQ223" s="11" t="str">
        <f t="shared" si="52"/>
        <v/>
      </c>
    </row>
    <row r="224" spans="2:173">
      <c r="B224"/>
      <c r="C224"/>
      <c r="BC224"/>
      <c r="BD224"/>
      <c r="BE224"/>
      <c r="BF224"/>
      <c r="BJ224"/>
      <c r="BK224"/>
      <c r="BL224"/>
      <c r="CI224"/>
      <c r="CJ224"/>
      <c r="CM224"/>
      <c r="CN224"/>
      <c r="CO224"/>
      <c r="DG224"/>
      <c r="DH224"/>
      <c r="DI224"/>
      <c r="DJ224"/>
      <c r="DK224"/>
      <c r="DL224"/>
      <c r="EG224"/>
      <c r="EH224"/>
      <c r="EW224" s="43" t="s">
        <v>604</v>
      </c>
      <c r="EX224" s="61"/>
      <c r="EY224" s="61">
        <v>0</v>
      </c>
      <c r="EZ224" s="61">
        <v>0</v>
      </c>
      <c r="FA224" s="61">
        <v>0</v>
      </c>
      <c r="FB224" s="61">
        <v>0</v>
      </c>
      <c r="FD224" s="141" t="str">
        <f t="shared" si="58"/>
        <v>1-ago</v>
      </c>
      <c r="FE224" s="11" t="str">
        <f t="shared" si="59"/>
        <v/>
      </c>
      <c r="FF224" s="11" t="str">
        <f t="shared" si="53"/>
        <v/>
      </c>
      <c r="FG224" s="11" t="str">
        <f t="shared" si="54"/>
        <v/>
      </c>
      <c r="FI224" s="141" t="str">
        <f t="shared" si="50"/>
        <v>1-ago</v>
      </c>
      <c r="FJ224" s="11" t="str">
        <f t="shared" si="55"/>
        <v/>
      </c>
      <c r="FK224" s="11" t="str">
        <f t="shared" si="56"/>
        <v/>
      </c>
      <c r="FL224" s="11" t="str">
        <f t="shared" si="57"/>
        <v/>
      </c>
      <c r="FN224" s="141" t="str">
        <f t="shared" si="60"/>
        <v>1-ago</v>
      </c>
      <c r="FO224" s="11" t="str">
        <f t="shared" si="61"/>
        <v/>
      </c>
      <c r="FP224" s="11" t="str">
        <f t="shared" si="51"/>
        <v/>
      </c>
      <c r="FQ224" s="11" t="str">
        <f t="shared" si="52"/>
        <v/>
      </c>
    </row>
    <row r="225" spans="2:173">
      <c r="B225"/>
      <c r="C225"/>
      <c r="BC225"/>
      <c r="BD225"/>
      <c r="BE225"/>
      <c r="BF225"/>
      <c r="BJ225"/>
      <c r="BK225"/>
      <c r="BL225"/>
      <c r="CI225"/>
      <c r="CJ225"/>
      <c r="CM225"/>
      <c r="CN225"/>
      <c r="CO225"/>
      <c r="DG225"/>
      <c r="DH225"/>
      <c r="DI225"/>
      <c r="DJ225"/>
      <c r="DK225"/>
      <c r="DL225"/>
      <c r="EG225"/>
      <c r="EH225"/>
      <c r="EW225" s="43" t="s">
        <v>605</v>
      </c>
      <c r="EX225" s="61"/>
      <c r="EY225" s="61">
        <v>0</v>
      </c>
      <c r="EZ225" s="61">
        <v>0</v>
      </c>
      <c r="FA225" s="61">
        <v>0</v>
      </c>
      <c r="FB225" s="61">
        <v>0</v>
      </c>
      <c r="FD225" s="141" t="str">
        <f t="shared" si="58"/>
        <v>2-ago</v>
      </c>
      <c r="FE225" s="11" t="str">
        <f t="shared" si="59"/>
        <v/>
      </c>
      <c r="FF225" s="11" t="str">
        <f t="shared" si="53"/>
        <v/>
      </c>
      <c r="FG225" s="11" t="str">
        <f t="shared" si="54"/>
        <v/>
      </c>
      <c r="FI225" s="141" t="str">
        <f t="shared" si="50"/>
        <v>2-ago</v>
      </c>
      <c r="FJ225" s="11" t="str">
        <f t="shared" si="55"/>
        <v/>
      </c>
      <c r="FK225" s="11" t="str">
        <f t="shared" si="56"/>
        <v/>
      </c>
      <c r="FL225" s="11" t="str">
        <f t="shared" si="57"/>
        <v/>
      </c>
      <c r="FN225" s="141" t="str">
        <f t="shared" si="60"/>
        <v>2-ago</v>
      </c>
      <c r="FO225" s="11" t="str">
        <f t="shared" si="61"/>
        <v/>
      </c>
      <c r="FP225" s="11" t="str">
        <f t="shared" si="51"/>
        <v/>
      </c>
      <c r="FQ225" s="11" t="str">
        <f t="shared" si="52"/>
        <v/>
      </c>
    </row>
    <row r="226" spans="2:173">
      <c r="B226"/>
      <c r="C226"/>
      <c r="BC226"/>
      <c r="BD226"/>
      <c r="BE226"/>
      <c r="BF226"/>
      <c r="BJ226"/>
      <c r="BK226"/>
      <c r="BL226"/>
      <c r="CI226"/>
      <c r="CJ226"/>
      <c r="CM226"/>
      <c r="CN226"/>
      <c r="CO226"/>
      <c r="DG226"/>
      <c r="DH226"/>
      <c r="DI226"/>
      <c r="DJ226"/>
      <c r="DK226"/>
      <c r="DL226"/>
      <c r="EG226"/>
      <c r="EH226"/>
      <c r="EW226" s="43" t="s">
        <v>606</v>
      </c>
      <c r="EX226" s="61"/>
      <c r="EY226" s="61">
        <v>0</v>
      </c>
      <c r="EZ226" s="61">
        <v>0</v>
      </c>
      <c r="FA226" s="61">
        <v>0</v>
      </c>
      <c r="FB226" s="61">
        <v>0</v>
      </c>
      <c r="FD226" s="141" t="str">
        <f t="shared" si="58"/>
        <v>3-ago</v>
      </c>
      <c r="FE226" s="11" t="str">
        <f t="shared" si="59"/>
        <v/>
      </c>
      <c r="FF226" s="11" t="str">
        <f t="shared" si="53"/>
        <v/>
      </c>
      <c r="FG226" s="11" t="str">
        <f t="shared" si="54"/>
        <v/>
      </c>
      <c r="FI226" s="141" t="str">
        <f t="shared" si="50"/>
        <v>3-ago</v>
      </c>
      <c r="FJ226" s="11" t="str">
        <f t="shared" si="55"/>
        <v/>
      </c>
      <c r="FK226" s="11" t="str">
        <f t="shared" si="56"/>
        <v/>
      </c>
      <c r="FL226" s="11" t="str">
        <f t="shared" si="57"/>
        <v/>
      </c>
      <c r="FN226" s="141" t="str">
        <f t="shared" si="60"/>
        <v>3-ago</v>
      </c>
      <c r="FO226" s="11" t="str">
        <f t="shared" si="61"/>
        <v/>
      </c>
      <c r="FP226" s="11" t="str">
        <f t="shared" si="51"/>
        <v/>
      </c>
      <c r="FQ226" s="11" t="str">
        <f t="shared" si="52"/>
        <v/>
      </c>
    </row>
    <row r="227" spans="2:173">
      <c r="B227"/>
      <c r="C227"/>
      <c r="BC227"/>
      <c r="BD227"/>
      <c r="BE227"/>
      <c r="BF227"/>
      <c r="BJ227"/>
      <c r="BK227"/>
      <c r="BL227"/>
      <c r="CI227"/>
      <c r="CJ227"/>
      <c r="CM227"/>
      <c r="CN227"/>
      <c r="CO227"/>
      <c r="DG227"/>
      <c r="DH227"/>
      <c r="DI227"/>
      <c r="DJ227"/>
      <c r="DK227"/>
      <c r="DL227"/>
      <c r="EG227"/>
      <c r="EH227"/>
      <c r="EW227" s="43" t="s">
        <v>607</v>
      </c>
      <c r="EX227" s="61"/>
      <c r="EY227" s="61">
        <v>0</v>
      </c>
      <c r="EZ227" s="61">
        <v>0</v>
      </c>
      <c r="FA227" s="61">
        <v>0</v>
      </c>
      <c r="FB227" s="61">
        <v>0</v>
      </c>
      <c r="FD227" s="141" t="str">
        <f t="shared" si="58"/>
        <v>4-ago</v>
      </c>
      <c r="FE227" s="11" t="str">
        <f t="shared" si="59"/>
        <v/>
      </c>
      <c r="FF227" s="11" t="str">
        <f t="shared" si="53"/>
        <v/>
      </c>
      <c r="FG227" s="11" t="str">
        <f t="shared" si="54"/>
        <v/>
      </c>
      <c r="FI227" s="141" t="str">
        <f t="shared" si="50"/>
        <v>4-ago</v>
      </c>
      <c r="FJ227" s="11" t="str">
        <f t="shared" si="55"/>
        <v/>
      </c>
      <c r="FK227" s="11" t="str">
        <f t="shared" si="56"/>
        <v/>
      </c>
      <c r="FL227" s="11" t="str">
        <f t="shared" si="57"/>
        <v/>
      </c>
      <c r="FN227" s="141" t="str">
        <f t="shared" ref="FN227:FN290" si="62">EW227</f>
        <v>4-ago</v>
      </c>
      <c r="FO227" s="11" t="str">
        <f t="shared" si="61"/>
        <v/>
      </c>
      <c r="FP227" s="11" t="str">
        <f t="shared" ref="FP227:FP259" si="63">IF(FO227=1,FA227,"")</f>
        <v/>
      </c>
      <c r="FQ227" s="11" t="str">
        <f t="shared" ref="FQ227:FQ259" si="64">IF(FO227=1,EX227,"")</f>
        <v/>
      </c>
    </row>
    <row r="228" spans="2:173">
      <c r="B228"/>
      <c r="C228"/>
      <c r="BC228"/>
      <c r="BD228"/>
      <c r="BE228"/>
      <c r="BF228"/>
      <c r="BJ228"/>
      <c r="BK228"/>
      <c r="BL228"/>
      <c r="CI228"/>
      <c r="CJ228"/>
      <c r="CM228"/>
      <c r="CN228"/>
      <c r="CO228"/>
      <c r="DG228"/>
      <c r="DH228"/>
      <c r="DI228"/>
      <c r="DJ228"/>
      <c r="DK228"/>
      <c r="DL228"/>
      <c r="EG228"/>
      <c r="EH228"/>
      <c r="EW228" s="43" t="s">
        <v>608</v>
      </c>
      <c r="EX228" s="61"/>
      <c r="EY228" s="61">
        <v>0</v>
      </c>
      <c r="EZ228" s="61">
        <v>0</v>
      </c>
      <c r="FA228" s="61">
        <v>0</v>
      </c>
      <c r="FB228" s="61">
        <v>0</v>
      </c>
      <c r="FD228" s="141" t="str">
        <f t="shared" ref="FD228:FD290" si="65">EW228</f>
        <v>5-ago</v>
      </c>
      <c r="FE228" s="11" t="str">
        <f t="shared" si="59"/>
        <v/>
      </c>
      <c r="FF228" s="11" t="str">
        <f t="shared" ref="FF228:FF259" si="66">IF(FE228=1,EY228,"")</f>
        <v/>
      </c>
      <c r="FG228" s="11" t="str">
        <f t="shared" ref="FG228:FG259" si="67">IF(FE228=1,GETPIVOTDATA("P. oferta",$EW$3,"Fecha",122,"Meses",5),"")</f>
        <v/>
      </c>
      <c r="FI228" s="141" t="str">
        <f t="shared" ref="FI228:FI290" si="68">EW228</f>
        <v>5-ago</v>
      </c>
      <c r="FJ228" s="11" t="str">
        <f t="shared" si="55"/>
        <v/>
      </c>
      <c r="FK228" s="11" t="str">
        <f t="shared" ref="FK228:FK259" si="69">IF(FJ228=1,EZ228,"")</f>
        <v/>
      </c>
      <c r="FL228" s="11" t="str">
        <f t="shared" ref="FL228:FL259" si="70">IF(FJ228=1,EX228,"")</f>
        <v/>
      </c>
      <c r="FN228" s="141" t="str">
        <f t="shared" si="62"/>
        <v>5-ago</v>
      </c>
      <c r="FO228" s="11" t="str">
        <f t="shared" si="61"/>
        <v/>
      </c>
      <c r="FP228" s="11" t="str">
        <f t="shared" si="63"/>
        <v/>
      </c>
      <c r="FQ228" s="11" t="str">
        <f t="shared" si="64"/>
        <v/>
      </c>
    </row>
    <row r="229" spans="2:173">
      <c r="B229"/>
      <c r="C229"/>
      <c r="BC229"/>
      <c r="BD229"/>
      <c r="BE229"/>
      <c r="BF229"/>
      <c r="BJ229"/>
      <c r="BK229"/>
      <c r="BL229"/>
      <c r="CI229"/>
      <c r="CJ229"/>
      <c r="CM229"/>
      <c r="CN229"/>
      <c r="CO229"/>
      <c r="DG229"/>
      <c r="DH229"/>
      <c r="DI229"/>
      <c r="DJ229"/>
      <c r="DK229"/>
      <c r="DL229"/>
      <c r="EG229"/>
      <c r="EH229"/>
      <c r="EW229" s="43" t="s">
        <v>609</v>
      </c>
      <c r="EX229" s="61"/>
      <c r="EY229" s="61">
        <v>0</v>
      </c>
      <c r="EZ229" s="61">
        <v>0</v>
      </c>
      <c r="FA229" s="61">
        <v>0</v>
      </c>
      <c r="FB229" s="61">
        <v>0</v>
      </c>
      <c r="FD229" s="141" t="str">
        <f t="shared" si="65"/>
        <v>6-ago</v>
      </c>
      <c r="FE229" s="11" t="str">
        <f t="shared" si="59"/>
        <v/>
      </c>
      <c r="FF229" s="11" t="str">
        <f t="shared" si="66"/>
        <v/>
      </c>
      <c r="FG229" s="11" t="str">
        <f t="shared" si="67"/>
        <v/>
      </c>
      <c r="FI229" s="141" t="str">
        <f t="shared" si="68"/>
        <v>6-ago</v>
      </c>
      <c r="FJ229" s="11" t="str">
        <f t="shared" si="55"/>
        <v/>
      </c>
      <c r="FK229" s="11" t="str">
        <f t="shared" si="69"/>
        <v/>
      </c>
      <c r="FL229" s="11" t="str">
        <f t="shared" si="70"/>
        <v/>
      </c>
      <c r="FN229" s="141" t="str">
        <f t="shared" si="62"/>
        <v>6-ago</v>
      </c>
      <c r="FO229" s="11" t="str">
        <f t="shared" si="61"/>
        <v/>
      </c>
      <c r="FP229" s="11" t="str">
        <f t="shared" si="63"/>
        <v/>
      </c>
      <c r="FQ229" s="11" t="str">
        <f t="shared" si="64"/>
        <v/>
      </c>
    </row>
    <row r="230" spans="2:173">
      <c r="B230"/>
      <c r="C230"/>
      <c r="BC230"/>
      <c r="BD230"/>
      <c r="BE230"/>
      <c r="BF230"/>
      <c r="BJ230"/>
      <c r="BK230"/>
      <c r="BL230"/>
      <c r="CI230"/>
      <c r="CJ230"/>
      <c r="CM230"/>
      <c r="CN230"/>
      <c r="CO230"/>
      <c r="DG230"/>
      <c r="DH230"/>
      <c r="DI230"/>
      <c r="DJ230"/>
      <c r="DK230"/>
      <c r="DL230"/>
      <c r="EG230"/>
      <c r="EH230"/>
      <c r="EW230" s="43" t="s">
        <v>610</v>
      </c>
      <c r="EX230" s="61"/>
      <c r="EY230" s="61">
        <v>0</v>
      </c>
      <c r="EZ230" s="61">
        <v>0</v>
      </c>
      <c r="FA230" s="61">
        <v>0</v>
      </c>
      <c r="FB230" s="61">
        <v>0</v>
      </c>
      <c r="FD230" s="141" t="str">
        <f t="shared" si="65"/>
        <v>7-ago</v>
      </c>
      <c r="FE230" s="11" t="str">
        <f t="shared" si="59"/>
        <v/>
      </c>
      <c r="FF230" s="11" t="str">
        <f t="shared" si="66"/>
        <v/>
      </c>
      <c r="FG230" s="11" t="str">
        <f t="shared" si="67"/>
        <v/>
      </c>
      <c r="FI230" s="141" t="str">
        <f t="shared" si="68"/>
        <v>7-ago</v>
      </c>
      <c r="FJ230" s="11" t="str">
        <f t="shared" si="55"/>
        <v/>
      </c>
      <c r="FK230" s="11" t="str">
        <f t="shared" si="69"/>
        <v/>
      </c>
      <c r="FL230" s="11" t="str">
        <f t="shared" si="70"/>
        <v/>
      </c>
      <c r="FN230" s="141" t="str">
        <f t="shared" si="62"/>
        <v>7-ago</v>
      </c>
      <c r="FO230" s="11" t="str">
        <f t="shared" si="61"/>
        <v/>
      </c>
      <c r="FP230" s="11" t="str">
        <f t="shared" si="63"/>
        <v/>
      </c>
      <c r="FQ230" s="11" t="str">
        <f t="shared" si="64"/>
        <v/>
      </c>
    </row>
    <row r="231" spans="2:173">
      <c r="B231"/>
      <c r="C231"/>
      <c r="BC231"/>
      <c r="BD231"/>
      <c r="BE231"/>
      <c r="BF231"/>
      <c r="BJ231"/>
      <c r="BK231"/>
      <c r="BL231"/>
      <c r="CI231"/>
      <c r="CJ231"/>
      <c r="CM231"/>
      <c r="CN231"/>
      <c r="CO231"/>
      <c r="DG231"/>
      <c r="DH231"/>
      <c r="DI231"/>
      <c r="DJ231"/>
      <c r="DK231"/>
      <c r="DL231"/>
      <c r="EG231"/>
      <c r="EH231"/>
      <c r="EW231" s="43" t="s">
        <v>611</v>
      </c>
      <c r="EX231" s="61"/>
      <c r="EY231" s="61">
        <v>0</v>
      </c>
      <c r="EZ231" s="61">
        <v>0</v>
      </c>
      <c r="FA231" s="61">
        <v>0</v>
      </c>
      <c r="FB231" s="61">
        <v>0</v>
      </c>
      <c r="FD231" s="141" t="str">
        <f t="shared" si="65"/>
        <v>8-ago</v>
      </c>
      <c r="FE231" s="11" t="str">
        <f t="shared" si="59"/>
        <v/>
      </c>
      <c r="FF231" s="11" t="str">
        <f t="shared" si="66"/>
        <v/>
      </c>
      <c r="FG231" s="11" t="str">
        <f t="shared" si="67"/>
        <v/>
      </c>
      <c r="FI231" s="141" t="str">
        <f t="shared" si="68"/>
        <v>8-ago</v>
      </c>
      <c r="FJ231" s="11" t="str">
        <f t="shared" si="55"/>
        <v/>
      </c>
      <c r="FK231" s="11" t="str">
        <f t="shared" si="69"/>
        <v/>
      </c>
      <c r="FL231" s="11" t="str">
        <f t="shared" si="70"/>
        <v/>
      </c>
      <c r="FN231" s="141" t="str">
        <f t="shared" si="62"/>
        <v>8-ago</v>
      </c>
      <c r="FO231" s="11" t="str">
        <f t="shared" si="61"/>
        <v/>
      </c>
      <c r="FP231" s="11" t="str">
        <f t="shared" si="63"/>
        <v/>
      </c>
      <c r="FQ231" s="11" t="str">
        <f t="shared" si="64"/>
        <v/>
      </c>
    </row>
    <row r="232" spans="2:173">
      <c r="B232"/>
      <c r="C232"/>
      <c r="BC232"/>
      <c r="BD232"/>
      <c r="BE232"/>
      <c r="BF232"/>
      <c r="BJ232"/>
      <c r="BK232"/>
      <c r="BL232"/>
      <c r="CI232"/>
      <c r="CJ232"/>
      <c r="CM232"/>
      <c r="CN232"/>
      <c r="CO232"/>
      <c r="DG232"/>
      <c r="DH232"/>
      <c r="DI232"/>
      <c r="DJ232"/>
      <c r="DK232"/>
      <c r="DL232"/>
      <c r="EG232"/>
      <c r="EH232"/>
      <c r="EW232" s="43" t="s">
        <v>612</v>
      </c>
      <c r="EX232" s="61"/>
      <c r="EY232" s="61">
        <v>0</v>
      </c>
      <c r="EZ232" s="61">
        <v>0</v>
      </c>
      <c r="FA232" s="61">
        <v>0</v>
      </c>
      <c r="FB232" s="61">
        <v>0</v>
      </c>
      <c r="FD232" s="141" t="str">
        <f t="shared" si="65"/>
        <v>9-ago</v>
      </c>
      <c r="FE232" s="11" t="str">
        <f t="shared" si="59"/>
        <v/>
      </c>
      <c r="FF232" s="11" t="str">
        <f t="shared" si="66"/>
        <v/>
      </c>
      <c r="FG232" s="11" t="str">
        <f t="shared" si="67"/>
        <v/>
      </c>
      <c r="FI232" s="141" t="str">
        <f t="shared" si="68"/>
        <v>9-ago</v>
      </c>
      <c r="FJ232" s="11" t="str">
        <f t="shared" si="55"/>
        <v/>
      </c>
      <c r="FK232" s="11" t="str">
        <f t="shared" si="69"/>
        <v/>
      </c>
      <c r="FL232" s="11" t="str">
        <f t="shared" si="70"/>
        <v/>
      </c>
      <c r="FN232" s="141" t="str">
        <f t="shared" si="62"/>
        <v>9-ago</v>
      </c>
      <c r="FO232" s="11" t="str">
        <f t="shared" si="61"/>
        <v/>
      </c>
      <c r="FP232" s="11" t="str">
        <f t="shared" si="63"/>
        <v/>
      </c>
      <c r="FQ232" s="11" t="str">
        <f t="shared" si="64"/>
        <v/>
      </c>
    </row>
    <row r="233" spans="2:173">
      <c r="B233"/>
      <c r="C233"/>
      <c r="BC233"/>
      <c r="BD233"/>
      <c r="BE233"/>
      <c r="BF233"/>
      <c r="BJ233"/>
      <c r="BK233"/>
      <c r="BL233"/>
      <c r="CI233"/>
      <c r="CJ233"/>
      <c r="CM233"/>
      <c r="CN233"/>
      <c r="CO233"/>
      <c r="DG233"/>
      <c r="DH233"/>
      <c r="DI233"/>
      <c r="DJ233"/>
      <c r="DK233"/>
      <c r="DL233"/>
      <c r="EG233"/>
      <c r="EH233"/>
      <c r="EW233" s="43" t="s">
        <v>613</v>
      </c>
      <c r="EX233" s="61"/>
      <c r="EY233" s="61">
        <v>0</v>
      </c>
      <c r="EZ233" s="61">
        <v>0</v>
      </c>
      <c r="FA233" s="61">
        <v>0</v>
      </c>
      <c r="FB233" s="61">
        <v>0</v>
      </c>
      <c r="FD233" s="141" t="str">
        <f t="shared" si="65"/>
        <v>10-ago</v>
      </c>
      <c r="FE233" s="11" t="str">
        <f t="shared" si="59"/>
        <v/>
      </c>
      <c r="FF233" s="11" t="str">
        <f t="shared" si="66"/>
        <v/>
      </c>
      <c r="FG233" s="11" t="str">
        <f t="shared" si="67"/>
        <v/>
      </c>
      <c r="FI233" s="141" t="str">
        <f t="shared" si="68"/>
        <v>10-ago</v>
      </c>
      <c r="FJ233" s="11" t="str">
        <f t="shared" si="55"/>
        <v/>
      </c>
      <c r="FK233" s="11" t="str">
        <f t="shared" si="69"/>
        <v/>
      </c>
      <c r="FL233" s="11" t="str">
        <f t="shared" si="70"/>
        <v/>
      </c>
      <c r="FN233" s="141" t="str">
        <f t="shared" si="62"/>
        <v>10-ago</v>
      </c>
      <c r="FO233" s="11" t="str">
        <f t="shared" si="61"/>
        <v/>
      </c>
      <c r="FP233" s="11" t="str">
        <f t="shared" si="63"/>
        <v/>
      </c>
      <c r="FQ233" s="11" t="str">
        <f t="shared" si="64"/>
        <v/>
      </c>
    </row>
    <row r="234" spans="2:173">
      <c r="B234"/>
      <c r="C234"/>
      <c r="BC234"/>
      <c r="BD234"/>
      <c r="BE234"/>
      <c r="BF234"/>
      <c r="BJ234"/>
      <c r="BK234"/>
      <c r="BL234"/>
      <c r="CI234"/>
      <c r="CJ234"/>
      <c r="CM234"/>
      <c r="CN234"/>
      <c r="CO234"/>
      <c r="DG234"/>
      <c r="DH234"/>
      <c r="DI234"/>
      <c r="DJ234"/>
      <c r="DK234"/>
      <c r="DL234"/>
      <c r="EG234"/>
      <c r="EH234"/>
      <c r="EW234" s="43" t="s">
        <v>614</v>
      </c>
      <c r="EX234" s="61"/>
      <c r="EY234" s="61">
        <v>0</v>
      </c>
      <c r="EZ234" s="61">
        <v>0</v>
      </c>
      <c r="FA234" s="61">
        <v>0</v>
      </c>
      <c r="FB234" s="61">
        <v>0</v>
      </c>
      <c r="FD234" s="141" t="str">
        <f t="shared" si="65"/>
        <v>11-ago</v>
      </c>
      <c r="FE234" s="11" t="str">
        <f t="shared" si="59"/>
        <v/>
      </c>
      <c r="FF234" s="11" t="str">
        <f t="shared" si="66"/>
        <v/>
      </c>
      <c r="FG234" s="11" t="str">
        <f t="shared" si="67"/>
        <v/>
      </c>
      <c r="FI234" s="141" t="str">
        <f t="shared" si="68"/>
        <v>11-ago</v>
      </c>
      <c r="FJ234" s="11" t="str">
        <f t="shared" si="55"/>
        <v/>
      </c>
      <c r="FK234" s="11" t="str">
        <f t="shared" si="69"/>
        <v/>
      </c>
      <c r="FL234" s="11" t="str">
        <f t="shared" si="70"/>
        <v/>
      </c>
      <c r="FN234" s="141" t="str">
        <f t="shared" si="62"/>
        <v>11-ago</v>
      </c>
      <c r="FO234" s="11" t="str">
        <f t="shared" si="61"/>
        <v/>
      </c>
      <c r="FP234" s="11" t="str">
        <f t="shared" si="63"/>
        <v/>
      </c>
      <c r="FQ234" s="11" t="str">
        <f t="shared" si="64"/>
        <v/>
      </c>
    </row>
    <row r="235" spans="2:173">
      <c r="B235"/>
      <c r="C235"/>
      <c r="BC235"/>
      <c r="BD235"/>
      <c r="BE235"/>
      <c r="BF235"/>
      <c r="BJ235"/>
      <c r="BK235"/>
      <c r="BL235"/>
      <c r="CI235"/>
      <c r="CJ235"/>
      <c r="CM235"/>
      <c r="CN235"/>
      <c r="CO235"/>
      <c r="DG235"/>
      <c r="DH235"/>
      <c r="DI235"/>
      <c r="DJ235"/>
      <c r="DK235"/>
      <c r="DL235"/>
      <c r="EG235"/>
      <c r="EH235"/>
      <c r="EW235" s="43" t="s">
        <v>615</v>
      </c>
      <c r="EX235" s="61"/>
      <c r="EY235" s="61">
        <v>0</v>
      </c>
      <c r="EZ235" s="61">
        <v>0</v>
      </c>
      <c r="FA235" s="61">
        <v>0</v>
      </c>
      <c r="FB235" s="61">
        <v>0</v>
      </c>
      <c r="FD235" s="141" t="str">
        <f t="shared" si="65"/>
        <v>12-ago</v>
      </c>
      <c r="FE235" s="11" t="str">
        <f t="shared" si="59"/>
        <v/>
      </c>
      <c r="FF235" s="11" t="str">
        <f t="shared" si="66"/>
        <v/>
      </c>
      <c r="FG235" s="11" t="str">
        <f t="shared" si="67"/>
        <v/>
      </c>
      <c r="FI235" s="141" t="str">
        <f t="shared" si="68"/>
        <v>12-ago</v>
      </c>
      <c r="FJ235" s="11" t="str">
        <f t="shared" si="55"/>
        <v/>
      </c>
      <c r="FK235" s="11" t="str">
        <f t="shared" si="69"/>
        <v/>
      </c>
      <c r="FL235" s="11" t="str">
        <f t="shared" si="70"/>
        <v/>
      </c>
      <c r="FN235" s="141" t="str">
        <f t="shared" si="62"/>
        <v>12-ago</v>
      </c>
      <c r="FO235" s="11" t="str">
        <f t="shared" si="61"/>
        <v/>
      </c>
      <c r="FP235" s="11" t="str">
        <f t="shared" si="63"/>
        <v/>
      </c>
      <c r="FQ235" s="11" t="str">
        <f t="shared" si="64"/>
        <v/>
      </c>
    </row>
    <row r="236" spans="2:173">
      <c r="B236"/>
      <c r="C236"/>
      <c r="BC236"/>
      <c r="BD236"/>
      <c r="BE236"/>
      <c r="BF236"/>
      <c r="BJ236"/>
      <c r="BK236"/>
      <c r="BL236"/>
      <c r="CI236"/>
      <c r="CJ236"/>
      <c r="CM236"/>
      <c r="CN236"/>
      <c r="CO236"/>
      <c r="DG236"/>
      <c r="DH236"/>
      <c r="DI236"/>
      <c r="DJ236"/>
      <c r="DK236"/>
      <c r="DL236"/>
      <c r="EG236"/>
      <c r="EH236"/>
      <c r="EW236" s="43" t="s">
        <v>616</v>
      </c>
      <c r="EX236" s="61"/>
      <c r="EY236" s="61">
        <v>0</v>
      </c>
      <c r="EZ236" s="61">
        <v>0</v>
      </c>
      <c r="FA236" s="61">
        <v>0</v>
      </c>
      <c r="FB236" s="61">
        <v>0</v>
      </c>
      <c r="FD236" s="141" t="str">
        <f t="shared" si="65"/>
        <v>13-ago</v>
      </c>
      <c r="FE236" s="11" t="str">
        <f t="shared" si="59"/>
        <v/>
      </c>
      <c r="FF236" s="11" t="str">
        <f t="shared" si="66"/>
        <v/>
      </c>
      <c r="FG236" s="11" t="str">
        <f t="shared" si="67"/>
        <v/>
      </c>
      <c r="FI236" s="141" t="str">
        <f t="shared" si="68"/>
        <v>13-ago</v>
      </c>
      <c r="FJ236" s="11" t="str">
        <f t="shared" si="55"/>
        <v/>
      </c>
      <c r="FK236" s="11" t="str">
        <f t="shared" si="69"/>
        <v/>
      </c>
      <c r="FL236" s="11" t="str">
        <f t="shared" si="70"/>
        <v/>
      </c>
      <c r="FN236" s="141" t="str">
        <f t="shared" si="62"/>
        <v>13-ago</v>
      </c>
      <c r="FO236" s="11" t="str">
        <f t="shared" si="61"/>
        <v/>
      </c>
      <c r="FP236" s="11" t="str">
        <f t="shared" si="63"/>
        <v/>
      </c>
      <c r="FQ236" s="11" t="str">
        <f t="shared" si="64"/>
        <v/>
      </c>
    </row>
    <row r="237" spans="2:173">
      <c r="B237"/>
      <c r="C237"/>
      <c r="BC237"/>
      <c r="BD237"/>
      <c r="BE237"/>
      <c r="BF237"/>
      <c r="BJ237"/>
      <c r="BK237"/>
      <c r="BL237"/>
      <c r="CI237"/>
      <c r="CJ237"/>
      <c r="CM237"/>
      <c r="CN237"/>
      <c r="CO237"/>
      <c r="DG237"/>
      <c r="DH237"/>
      <c r="DI237"/>
      <c r="DJ237"/>
      <c r="DK237"/>
      <c r="DL237"/>
      <c r="EG237"/>
      <c r="EH237"/>
      <c r="EW237" s="43" t="s">
        <v>617</v>
      </c>
      <c r="EX237" s="61"/>
      <c r="EY237" s="61">
        <v>0</v>
      </c>
      <c r="EZ237" s="61">
        <v>0</v>
      </c>
      <c r="FA237" s="61">
        <v>0</v>
      </c>
      <c r="FB237" s="61">
        <v>0</v>
      </c>
      <c r="FD237" s="141" t="str">
        <f t="shared" si="65"/>
        <v>14-ago</v>
      </c>
      <c r="FE237" s="11" t="str">
        <f t="shared" si="59"/>
        <v/>
      </c>
      <c r="FF237" s="11" t="str">
        <f t="shared" si="66"/>
        <v/>
      </c>
      <c r="FG237" s="11" t="str">
        <f t="shared" si="67"/>
        <v/>
      </c>
      <c r="FI237" s="141" t="str">
        <f t="shared" si="68"/>
        <v>14-ago</v>
      </c>
      <c r="FJ237" s="11" t="str">
        <f t="shared" si="55"/>
        <v/>
      </c>
      <c r="FK237" s="11" t="str">
        <f t="shared" si="69"/>
        <v/>
      </c>
      <c r="FL237" s="11" t="str">
        <f t="shared" si="70"/>
        <v/>
      </c>
      <c r="FN237" s="141" t="str">
        <f t="shared" si="62"/>
        <v>14-ago</v>
      </c>
      <c r="FO237" s="11" t="str">
        <f t="shared" si="61"/>
        <v/>
      </c>
      <c r="FP237" s="11" t="str">
        <f t="shared" si="63"/>
        <v/>
      </c>
      <c r="FQ237" s="11" t="str">
        <f t="shared" si="64"/>
        <v/>
      </c>
    </row>
    <row r="238" spans="2:173">
      <c r="B238"/>
      <c r="C238"/>
      <c r="BC238"/>
      <c r="BD238"/>
      <c r="BE238"/>
      <c r="BF238"/>
      <c r="BJ238"/>
      <c r="BK238"/>
      <c r="BL238"/>
      <c r="CI238"/>
      <c r="CJ238"/>
      <c r="CM238"/>
      <c r="CN238"/>
      <c r="CO238"/>
      <c r="DG238"/>
      <c r="DH238"/>
      <c r="DI238"/>
      <c r="DJ238"/>
      <c r="DK238"/>
      <c r="DL238"/>
      <c r="EG238"/>
      <c r="EH238"/>
      <c r="EW238" s="43" t="s">
        <v>618</v>
      </c>
      <c r="EX238" s="61"/>
      <c r="EY238" s="61">
        <v>0</v>
      </c>
      <c r="EZ238" s="61">
        <v>0</v>
      </c>
      <c r="FA238" s="61">
        <v>0</v>
      </c>
      <c r="FB238" s="61">
        <v>0</v>
      </c>
      <c r="FD238" s="141" t="str">
        <f t="shared" si="65"/>
        <v>15-ago</v>
      </c>
      <c r="FE238" s="11" t="str">
        <f t="shared" si="59"/>
        <v/>
      </c>
      <c r="FF238" s="11" t="str">
        <f t="shared" si="66"/>
        <v/>
      </c>
      <c r="FG238" s="11" t="str">
        <f t="shared" si="67"/>
        <v/>
      </c>
      <c r="FI238" s="141" t="str">
        <f t="shared" si="68"/>
        <v>15-ago</v>
      </c>
      <c r="FJ238" s="11" t="str">
        <f t="shared" si="55"/>
        <v/>
      </c>
      <c r="FK238" s="11" t="str">
        <f t="shared" si="69"/>
        <v/>
      </c>
      <c r="FL238" s="11" t="str">
        <f t="shared" si="70"/>
        <v/>
      </c>
      <c r="FN238" s="141" t="str">
        <f t="shared" si="62"/>
        <v>15-ago</v>
      </c>
      <c r="FO238" s="11" t="str">
        <f t="shared" si="61"/>
        <v/>
      </c>
      <c r="FP238" s="11" t="str">
        <f t="shared" si="63"/>
        <v/>
      </c>
      <c r="FQ238" s="11" t="str">
        <f t="shared" si="64"/>
        <v/>
      </c>
    </row>
    <row r="239" spans="2:173">
      <c r="B239"/>
      <c r="C239"/>
      <c r="BC239"/>
      <c r="BD239"/>
      <c r="BE239"/>
      <c r="BF239"/>
      <c r="BJ239"/>
      <c r="BK239"/>
      <c r="BL239"/>
      <c r="CI239"/>
      <c r="CJ239"/>
      <c r="CM239"/>
      <c r="CN239"/>
      <c r="CO239"/>
      <c r="DG239"/>
      <c r="DH239"/>
      <c r="DI239"/>
      <c r="DJ239"/>
      <c r="DK239"/>
      <c r="DL239"/>
      <c r="EG239"/>
      <c r="EH239"/>
      <c r="EW239" s="43" t="s">
        <v>619</v>
      </c>
      <c r="EX239" s="61"/>
      <c r="EY239" s="61">
        <v>0</v>
      </c>
      <c r="EZ239" s="61">
        <v>0</v>
      </c>
      <c r="FA239" s="61">
        <v>0</v>
      </c>
      <c r="FB239" s="61">
        <v>0</v>
      </c>
      <c r="FD239" s="141" t="str">
        <f t="shared" si="65"/>
        <v>16-ago</v>
      </c>
      <c r="FE239" s="11" t="str">
        <f t="shared" si="59"/>
        <v/>
      </c>
      <c r="FF239" s="11" t="str">
        <f t="shared" si="66"/>
        <v/>
      </c>
      <c r="FG239" s="11" t="str">
        <f t="shared" si="67"/>
        <v/>
      </c>
      <c r="FI239" s="141" t="str">
        <f t="shared" si="68"/>
        <v>16-ago</v>
      </c>
      <c r="FJ239" s="11" t="str">
        <f t="shared" si="55"/>
        <v/>
      </c>
      <c r="FK239" s="11" t="str">
        <f t="shared" si="69"/>
        <v/>
      </c>
      <c r="FL239" s="11" t="str">
        <f t="shared" si="70"/>
        <v/>
      </c>
      <c r="FN239" s="141" t="str">
        <f t="shared" si="62"/>
        <v>16-ago</v>
      </c>
      <c r="FO239" s="11" t="str">
        <f t="shared" si="61"/>
        <v/>
      </c>
      <c r="FP239" s="11" t="str">
        <f t="shared" si="63"/>
        <v/>
      </c>
      <c r="FQ239" s="11" t="str">
        <f t="shared" si="64"/>
        <v/>
      </c>
    </row>
    <row r="240" spans="2:173">
      <c r="B240"/>
      <c r="C240"/>
      <c r="BC240"/>
      <c r="BD240"/>
      <c r="BE240"/>
      <c r="BF240"/>
      <c r="BJ240"/>
      <c r="BK240"/>
      <c r="BL240"/>
      <c r="CI240"/>
      <c r="CJ240"/>
      <c r="CM240"/>
      <c r="CN240"/>
      <c r="CO240"/>
      <c r="DG240"/>
      <c r="DH240"/>
      <c r="DI240"/>
      <c r="DJ240"/>
      <c r="DK240"/>
      <c r="DL240"/>
      <c r="EG240"/>
      <c r="EH240"/>
      <c r="EW240" s="43" t="s">
        <v>620</v>
      </c>
      <c r="EX240" s="61"/>
      <c r="EY240" s="61">
        <v>0</v>
      </c>
      <c r="EZ240" s="61">
        <v>0</v>
      </c>
      <c r="FA240" s="61">
        <v>0</v>
      </c>
      <c r="FB240" s="61">
        <v>0</v>
      </c>
      <c r="FD240" s="141" t="str">
        <f t="shared" si="65"/>
        <v>17-ago</v>
      </c>
      <c r="FE240" s="11" t="str">
        <f t="shared" si="59"/>
        <v/>
      </c>
      <c r="FF240" s="11" t="str">
        <f t="shared" si="66"/>
        <v/>
      </c>
      <c r="FG240" s="11" t="str">
        <f t="shared" si="67"/>
        <v/>
      </c>
      <c r="FI240" s="141" t="str">
        <f t="shared" si="68"/>
        <v>17-ago</v>
      </c>
      <c r="FJ240" s="11" t="str">
        <f t="shared" si="55"/>
        <v/>
      </c>
      <c r="FK240" s="11" t="str">
        <f t="shared" si="69"/>
        <v/>
      </c>
      <c r="FL240" s="11" t="str">
        <f t="shared" si="70"/>
        <v/>
      </c>
      <c r="FN240" s="141" t="str">
        <f t="shared" si="62"/>
        <v>17-ago</v>
      </c>
      <c r="FO240" s="11" t="str">
        <f t="shared" si="61"/>
        <v/>
      </c>
      <c r="FP240" s="11" t="str">
        <f t="shared" si="63"/>
        <v/>
      </c>
      <c r="FQ240" s="11" t="str">
        <f t="shared" si="64"/>
        <v/>
      </c>
    </row>
    <row r="241" spans="2:173">
      <c r="B241"/>
      <c r="C241"/>
      <c r="BC241"/>
      <c r="BD241"/>
      <c r="BE241"/>
      <c r="BF241"/>
      <c r="BJ241"/>
      <c r="BK241"/>
      <c r="BL241"/>
      <c r="CI241"/>
      <c r="CJ241"/>
      <c r="CM241"/>
      <c r="CN241"/>
      <c r="CO241"/>
      <c r="DG241"/>
      <c r="DH241"/>
      <c r="DI241"/>
      <c r="DJ241"/>
      <c r="DK241"/>
      <c r="DL241"/>
      <c r="EG241"/>
      <c r="EH241"/>
      <c r="EW241" s="43" t="s">
        <v>621</v>
      </c>
      <c r="EX241" s="61"/>
      <c r="EY241" s="61">
        <v>0</v>
      </c>
      <c r="EZ241" s="61">
        <v>0</v>
      </c>
      <c r="FA241" s="61">
        <v>0</v>
      </c>
      <c r="FB241" s="61">
        <v>0</v>
      </c>
      <c r="FD241" s="141" t="str">
        <f t="shared" si="65"/>
        <v>18-ago</v>
      </c>
      <c r="FE241" s="11" t="str">
        <f t="shared" si="59"/>
        <v/>
      </c>
      <c r="FF241" s="11" t="str">
        <f t="shared" si="66"/>
        <v/>
      </c>
      <c r="FG241" s="11" t="str">
        <f t="shared" si="67"/>
        <v/>
      </c>
      <c r="FI241" s="141" t="str">
        <f t="shared" si="68"/>
        <v>18-ago</v>
      </c>
      <c r="FJ241" s="11" t="str">
        <f t="shared" si="55"/>
        <v/>
      </c>
      <c r="FK241" s="11" t="str">
        <f t="shared" si="69"/>
        <v/>
      </c>
      <c r="FL241" s="11" t="str">
        <f t="shared" si="70"/>
        <v/>
      </c>
      <c r="FN241" s="141" t="str">
        <f t="shared" si="62"/>
        <v>18-ago</v>
      </c>
      <c r="FO241" s="11" t="str">
        <f t="shared" si="61"/>
        <v/>
      </c>
      <c r="FP241" s="11" t="str">
        <f t="shared" si="63"/>
        <v/>
      </c>
      <c r="FQ241" s="11" t="str">
        <f t="shared" si="64"/>
        <v/>
      </c>
    </row>
    <row r="242" spans="2:173">
      <c r="B242"/>
      <c r="C242"/>
      <c r="BC242"/>
      <c r="BD242"/>
      <c r="BE242"/>
      <c r="BF242"/>
      <c r="BJ242"/>
      <c r="BK242"/>
      <c r="BL242"/>
      <c r="CI242"/>
      <c r="CJ242"/>
      <c r="CM242"/>
      <c r="CN242"/>
      <c r="CO242"/>
      <c r="DG242"/>
      <c r="DH242"/>
      <c r="DI242"/>
      <c r="DJ242"/>
      <c r="DK242"/>
      <c r="DL242"/>
      <c r="EG242"/>
      <c r="EH242"/>
      <c r="EW242" s="43" t="s">
        <v>622</v>
      </c>
      <c r="EX242" s="61"/>
      <c r="EY242" s="61">
        <v>0</v>
      </c>
      <c r="EZ242" s="61">
        <v>0</v>
      </c>
      <c r="FA242" s="61">
        <v>0</v>
      </c>
      <c r="FB242" s="61">
        <v>0</v>
      </c>
      <c r="FD242" s="141" t="str">
        <f t="shared" si="65"/>
        <v>19-ago</v>
      </c>
      <c r="FE242" s="11" t="str">
        <f t="shared" si="59"/>
        <v/>
      </c>
      <c r="FF242" s="11" t="str">
        <f t="shared" si="66"/>
        <v/>
      </c>
      <c r="FG242" s="11" t="str">
        <f t="shared" si="67"/>
        <v/>
      </c>
      <c r="FI242" s="141" t="str">
        <f t="shared" si="68"/>
        <v>19-ago</v>
      </c>
      <c r="FJ242" s="11" t="str">
        <f t="shared" si="55"/>
        <v/>
      </c>
      <c r="FK242" s="11" t="str">
        <f t="shared" si="69"/>
        <v/>
      </c>
      <c r="FL242" s="11" t="str">
        <f t="shared" si="70"/>
        <v/>
      </c>
      <c r="FN242" s="141" t="str">
        <f t="shared" si="62"/>
        <v>19-ago</v>
      </c>
      <c r="FO242" s="11" t="str">
        <f t="shared" si="61"/>
        <v/>
      </c>
      <c r="FP242" s="11" t="str">
        <f t="shared" si="63"/>
        <v/>
      </c>
      <c r="FQ242" s="11" t="str">
        <f t="shared" si="64"/>
        <v/>
      </c>
    </row>
    <row r="243" spans="2:173">
      <c r="B243"/>
      <c r="C243"/>
      <c r="BC243"/>
      <c r="BD243"/>
      <c r="BE243"/>
      <c r="BF243"/>
      <c r="BJ243"/>
      <c r="BK243"/>
      <c r="BL243"/>
      <c r="CI243"/>
      <c r="CJ243"/>
      <c r="CM243"/>
      <c r="CN243"/>
      <c r="CO243"/>
      <c r="DG243"/>
      <c r="DH243"/>
      <c r="DI243"/>
      <c r="DJ243"/>
      <c r="DK243"/>
      <c r="DL243"/>
      <c r="EG243"/>
      <c r="EH243"/>
      <c r="EW243" s="43" t="s">
        <v>623</v>
      </c>
      <c r="EX243" s="61"/>
      <c r="EY243" s="61">
        <v>0</v>
      </c>
      <c r="EZ243" s="61">
        <v>0</v>
      </c>
      <c r="FA243" s="61">
        <v>0</v>
      </c>
      <c r="FB243" s="61">
        <v>0</v>
      </c>
      <c r="FD243" s="141" t="str">
        <f t="shared" si="65"/>
        <v>20-ago</v>
      </c>
      <c r="FE243" s="11" t="str">
        <f t="shared" si="59"/>
        <v/>
      </c>
      <c r="FF243" s="11" t="str">
        <f t="shared" si="66"/>
        <v/>
      </c>
      <c r="FG243" s="11" t="str">
        <f t="shared" si="67"/>
        <v/>
      </c>
      <c r="FI243" s="141" t="str">
        <f t="shared" si="68"/>
        <v>20-ago</v>
      </c>
      <c r="FJ243" s="11" t="str">
        <f t="shared" si="55"/>
        <v/>
      </c>
      <c r="FK243" s="11" t="str">
        <f t="shared" si="69"/>
        <v/>
      </c>
      <c r="FL243" s="11" t="str">
        <f t="shared" si="70"/>
        <v/>
      </c>
      <c r="FN243" s="141" t="str">
        <f t="shared" si="62"/>
        <v>20-ago</v>
      </c>
      <c r="FO243" s="11" t="str">
        <f t="shared" si="61"/>
        <v/>
      </c>
      <c r="FP243" s="11" t="str">
        <f t="shared" si="63"/>
        <v/>
      </c>
      <c r="FQ243" s="11" t="str">
        <f t="shared" si="64"/>
        <v/>
      </c>
    </row>
    <row r="244" spans="2:173">
      <c r="B244"/>
      <c r="C244"/>
      <c r="BC244"/>
      <c r="BD244"/>
      <c r="BE244"/>
      <c r="BF244"/>
      <c r="BJ244"/>
      <c r="BK244"/>
      <c r="BL244"/>
      <c r="CI244"/>
      <c r="CJ244"/>
      <c r="CM244"/>
      <c r="CN244"/>
      <c r="CO244"/>
      <c r="DG244"/>
      <c r="DH244"/>
      <c r="DI244"/>
      <c r="DJ244"/>
      <c r="DK244"/>
      <c r="DL244"/>
      <c r="EG244"/>
      <c r="EH244"/>
      <c r="EW244" s="43" t="s">
        <v>624</v>
      </c>
      <c r="EX244" s="61"/>
      <c r="EY244" s="61">
        <v>0</v>
      </c>
      <c r="EZ244" s="61">
        <v>0</v>
      </c>
      <c r="FA244" s="61">
        <v>0</v>
      </c>
      <c r="FB244" s="61">
        <v>0</v>
      </c>
      <c r="FD244" s="141" t="str">
        <f t="shared" si="65"/>
        <v>21-ago</v>
      </c>
      <c r="FE244" s="11" t="str">
        <f t="shared" si="59"/>
        <v/>
      </c>
      <c r="FF244" s="11" t="str">
        <f t="shared" si="66"/>
        <v/>
      </c>
      <c r="FG244" s="11" t="str">
        <f t="shared" si="67"/>
        <v/>
      </c>
      <c r="FI244" s="141" t="str">
        <f t="shared" si="68"/>
        <v>21-ago</v>
      </c>
      <c r="FJ244" s="11" t="str">
        <f t="shared" si="55"/>
        <v/>
      </c>
      <c r="FK244" s="11" t="str">
        <f t="shared" si="69"/>
        <v/>
      </c>
      <c r="FL244" s="11" t="str">
        <f t="shared" si="70"/>
        <v/>
      </c>
      <c r="FN244" s="141" t="str">
        <f t="shared" si="62"/>
        <v>21-ago</v>
      </c>
      <c r="FO244" s="11" t="str">
        <f t="shared" si="61"/>
        <v/>
      </c>
      <c r="FP244" s="11" t="str">
        <f t="shared" si="63"/>
        <v/>
      </c>
      <c r="FQ244" s="11" t="str">
        <f t="shared" si="64"/>
        <v/>
      </c>
    </row>
    <row r="245" spans="2:173">
      <c r="B245"/>
      <c r="C245"/>
      <c r="BC245"/>
      <c r="BD245"/>
      <c r="BE245"/>
      <c r="BF245"/>
      <c r="BJ245"/>
      <c r="BK245"/>
      <c r="BL245"/>
      <c r="CI245"/>
      <c r="CJ245"/>
      <c r="CM245"/>
      <c r="CN245"/>
      <c r="CO245"/>
      <c r="DG245"/>
      <c r="DH245"/>
      <c r="DI245"/>
      <c r="DJ245"/>
      <c r="DK245"/>
      <c r="DL245"/>
      <c r="EG245"/>
      <c r="EH245"/>
      <c r="EW245" s="43" t="s">
        <v>625</v>
      </c>
      <c r="EX245" s="61"/>
      <c r="EY245" s="61">
        <v>0</v>
      </c>
      <c r="EZ245" s="61">
        <v>0</v>
      </c>
      <c r="FA245" s="61">
        <v>0</v>
      </c>
      <c r="FB245" s="61">
        <v>0</v>
      </c>
      <c r="FD245" s="141" t="str">
        <f t="shared" si="65"/>
        <v>22-ago</v>
      </c>
      <c r="FE245" s="11" t="str">
        <f t="shared" si="59"/>
        <v/>
      </c>
      <c r="FF245" s="11" t="str">
        <f t="shared" si="66"/>
        <v/>
      </c>
      <c r="FG245" s="11" t="str">
        <f t="shared" si="67"/>
        <v/>
      </c>
      <c r="FI245" s="141" t="str">
        <f t="shared" si="68"/>
        <v>22-ago</v>
      </c>
      <c r="FJ245" s="11" t="str">
        <f t="shared" si="55"/>
        <v/>
      </c>
      <c r="FK245" s="11" t="str">
        <f t="shared" si="69"/>
        <v/>
      </c>
      <c r="FL245" s="11" t="str">
        <f t="shared" si="70"/>
        <v/>
      </c>
      <c r="FN245" s="141" t="str">
        <f t="shared" si="62"/>
        <v>22-ago</v>
      </c>
      <c r="FO245" s="11" t="str">
        <f t="shared" si="61"/>
        <v/>
      </c>
      <c r="FP245" s="11" t="str">
        <f t="shared" si="63"/>
        <v/>
      </c>
      <c r="FQ245" s="11" t="str">
        <f t="shared" si="64"/>
        <v/>
      </c>
    </row>
    <row r="246" spans="2:173">
      <c r="B246"/>
      <c r="C246"/>
      <c r="BC246"/>
      <c r="BD246"/>
      <c r="BE246"/>
      <c r="BF246"/>
      <c r="BJ246"/>
      <c r="BK246"/>
      <c r="BL246"/>
      <c r="CI246"/>
      <c r="CJ246"/>
      <c r="CM246"/>
      <c r="CN246"/>
      <c r="CO246"/>
      <c r="DG246"/>
      <c r="DH246"/>
      <c r="DI246"/>
      <c r="DJ246"/>
      <c r="DK246"/>
      <c r="DL246"/>
      <c r="EG246"/>
      <c r="EH246"/>
      <c r="EW246" s="43" t="s">
        <v>626</v>
      </c>
      <c r="EX246" s="61"/>
      <c r="EY246" s="61">
        <v>0</v>
      </c>
      <c r="EZ246" s="61">
        <v>0</v>
      </c>
      <c r="FA246" s="61">
        <v>0</v>
      </c>
      <c r="FB246" s="61">
        <v>0</v>
      </c>
      <c r="FD246" s="141" t="str">
        <f t="shared" si="65"/>
        <v>23-ago</v>
      </c>
      <c r="FE246" s="11" t="str">
        <f t="shared" si="59"/>
        <v/>
      </c>
      <c r="FF246" s="11" t="str">
        <f t="shared" si="66"/>
        <v/>
      </c>
      <c r="FG246" s="11" t="str">
        <f t="shared" si="67"/>
        <v/>
      </c>
      <c r="FI246" s="141" t="str">
        <f t="shared" si="68"/>
        <v>23-ago</v>
      </c>
      <c r="FJ246" s="11" t="str">
        <f t="shared" si="55"/>
        <v/>
      </c>
      <c r="FK246" s="11" t="str">
        <f t="shared" si="69"/>
        <v/>
      </c>
      <c r="FL246" s="11" t="str">
        <f t="shared" si="70"/>
        <v/>
      </c>
      <c r="FN246" s="141" t="str">
        <f t="shared" si="62"/>
        <v>23-ago</v>
      </c>
      <c r="FO246" s="11" t="str">
        <f t="shared" si="61"/>
        <v/>
      </c>
      <c r="FP246" s="11" t="str">
        <f t="shared" si="63"/>
        <v/>
      </c>
      <c r="FQ246" s="11" t="str">
        <f t="shared" si="64"/>
        <v/>
      </c>
    </row>
    <row r="247" spans="2:173">
      <c r="B247"/>
      <c r="C247"/>
      <c r="BC247"/>
      <c r="BD247"/>
      <c r="BE247"/>
      <c r="BF247"/>
      <c r="BJ247"/>
      <c r="BK247"/>
      <c r="BL247"/>
      <c r="CI247"/>
      <c r="CJ247"/>
      <c r="CM247"/>
      <c r="CN247"/>
      <c r="CO247"/>
      <c r="DG247"/>
      <c r="DH247"/>
      <c r="DI247"/>
      <c r="DJ247"/>
      <c r="DK247"/>
      <c r="DL247"/>
      <c r="EG247"/>
      <c r="EH247"/>
      <c r="EW247" s="43" t="s">
        <v>627</v>
      </c>
      <c r="EX247" s="61"/>
      <c r="EY247" s="61">
        <v>0</v>
      </c>
      <c r="EZ247" s="61">
        <v>0</v>
      </c>
      <c r="FA247" s="61">
        <v>0</v>
      </c>
      <c r="FB247" s="61">
        <v>0</v>
      </c>
      <c r="FD247" s="141" t="str">
        <f t="shared" si="65"/>
        <v>24-ago</v>
      </c>
      <c r="FE247" s="11" t="str">
        <f t="shared" si="59"/>
        <v/>
      </c>
      <c r="FF247" s="11" t="str">
        <f t="shared" si="66"/>
        <v/>
      </c>
      <c r="FG247" s="11" t="str">
        <f t="shared" si="67"/>
        <v/>
      </c>
      <c r="FI247" s="141" t="str">
        <f t="shared" si="68"/>
        <v>24-ago</v>
      </c>
      <c r="FJ247" s="11" t="str">
        <f t="shared" si="55"/>
        <v/>
      </c>
      <c r="FK247" s="11" t="str">
        <f t="shared" si="69"/>
        <v/>
      </c>
      <c r="FL247" s="11" t="str">
        <f t="shared" si="70"/>
        <v/>
      </c>
      <c r="FN247" s="141" t="str">
        <f t="shared" si="62"/>
        <v>24-ago</v>
      </c>
      <c r="FO247" s="11" t="str">
        <f t="shared" si="61"/>
        <v/>
      </c>
      <c r="FP247" s="11" t="str">
        <f t="shared" si="63"/>
        <v/>
      </c>
      <c r="FQ247" s="11" t="str">
        <f t="shared" si="64"/>
        <v/>
      </c>
    </row>
    <row r="248" spans="2:173">
      <c r="B248"/>
      <c r="C248"/>
      <c r="BC248"/>
      <c r="BD248"/>
      <c r="BE248"/>
      <c r="BF248"/>
      <c r="BJ248"/>
      <c r="BK248"/>
      <c r="BL248"/>
      <c r="CI248"/>
      <c r="CJ248"/>
      <c r="CM248"/>
      <c r="CN248"/>
      <c r="CO248"/>
      <c r="DG248"/>
      <c r="DH248"/>
      <c r="DI248"/>
      <c r="DJ248"/>
      <c r="DK248"/>
      <c r="DL248"/>
      <c r="EG248"/>
      <c r="EH248"/>
      <c r="EW248" s="43" t="s">
        <v>628</v>
      </c>
      <c r="EX248" s="61"/>
      <c r="EY248" s="61">
        <v>0</v>
      </c>
      <c r="EZ248" s="61">
        <v>0</v>
      </c>
      <c r="FA248" s="61">
        <v>0</v>
      </c>
      <c r="FB248" s="61">
        <v>0</v>
      </c>
      <c r="FD248" s="141" t="str">
        <f t="shared" si="65"/>
        <v>25-ago</v>
      </c>
      <c r="FE248" s="11" t="str">
        <f t="shared" si="59"/>
        <v/>
      </c>
      <c r="FF248" s="11" t="str">
        <f t="shared" si="66"/>
        <v/>
      </c>
      <c r="FG248" s="11" t="str">
        <f t="shared" si="67"/>
        <v/>
      </c>
      <c r="FI248" s="141" t="str">
        <f t="shared" si="68"/>
        <v>25-ago</v>
      </c>
      <c r="FJ248" s="11" t="str">
        <f t="shared" si="55"/>
        <v/>
      </c>
      <c r="FK248" s="11" t="str">
        <f t="shared" si="69"/>
        <v/>
      </c>
      <c r="FL248" s="11" t="str">
        <f t="shared" si="70"/>
        <v/>
      </c>
      <c r="FN248" s="141" t="str">
        <f t="shared" si="62"/>
        <v>25-ago</v>
      </c>
      <c r="FO248" s="11" t="str">
        <f t="shared" si="61"/>
        <v/>
      </c>
      <c r="FP248" s="11" t="str">
        <f t="shared" si="63"/>
        <v/>
      </c>
      <c r="FQ248" s="11" t="str">
        <f t="shared" si="64"/>
        <v/>
      </c>
    </row>
    <row r="249" spans="2:173">
      <c r="B249"/>
      <c r="C249"/>
      <c r="BC249"/>
      <c r="BD249"/>
      <c r="BE249"/>
      <c r="BF249"/>
      <c r="BJ249"/>
      <c r="BK249"/>
      <c r="BL249"/>
      <c r="CI249"/>
      <c r="CJ249"/>
      <c r="CM249"/>
      <c r="CN249"/>
      <c r="CO249"/>
      <c r="DG249"/>
      <c r="DH249"/>
      <c r="DI249"/>
      <c r="DJ249"/>
      <c r="DK249"/>
      <c r="DL249"/>
      <c r="EG249"/>
      <c r="EH249"/>
      <c r="EW249" s="43" t="s">
        <v>629</v>
      </c>
      <c r="EX249" s="61"/>
      <c r="EY249" s="61">
        <v>0</v>
      </c>
      <c r="EZ249" s="61">
        <v>0</v>
      </c>
      <c r="FA249" s="61">
        <v>0</v>
      </c>
      <c r="FB249" s="61">
        <v>0</v>
      </c>
      <c r="FD249" s="141" t="str">
        <f t="shared" si="65"/>
        <v>26-ago</v>
      </c>
      <c r="FE249" s="11" t="str">
        <f t="shared" si="59"/>
        <v/>
      </c>
      <c r="FF249" s="11" t="str">
        <f t="shared" si="66"/>
        <v/>
      </c>
      <c r="FG249" s="11" t="str">
        <f t="shared" si="67"/>
        <v/>
      </c>
      <c r="FI249" s="141" t="str">
        <f t="shared" si="68"/>
        <v>26-ago</v>
      </c>
      <c r="FJ249" s="11" t="str">
        <f t="shared" si="55"/>
        <v/>
      </c>
      <c r="FK249" s="11" t="str">
        <f t="shared" si="69"/>
        <v/>
      </c>
      <c r="FL249" s="11" t="str">
        <f t="shared" si="70"/>
        <v/>
      </c>
      <c r="FN249" s="141" t="str">
        <f t="shared" si="62"/>
        <v>26-ago</v>
      </c>
      <c r="FO249" s="11" t="str">
        <f t="shared" si="61"/>
        <v/>
      </c>
      <c r="FP249" s="11" t="str">
        <f t="shared" si="63"/>
        <v/>
      </c>
      <c r="FQ249" s="11" t="str">
        <f t="shared" si="64"/>
        <v/>
      </c>
    </row>
    <row r="250" spans="2:173">
      <c r="B250"/>
      <c r="C250"/>
      <c r="BC250"/>
      <c r="BD250"/>
      <c r="BE250"/>
      <c r="BF250"/>
      <c r="BJ250"/>
      <c r="BK250"/>
      <c r="BL250"/>
      <c r="CI250"/>
      <c r="CJ250"/>
      <c r="CM250"/>
      <c r="CN250"/>
      <c r="CO250"/>
      <c r="DG250"/>
      <c r="DH250"/>
      <c r="DI250"/>
      <c r="DJ250"/>
      <c r="DK250"/>
      <c r="DL250"/>
      <c r="EG250"/>
      <c r="EH250"/>
      <c r="EW250" s="43" t="s">
        <v>630</v>
      </c>
      <c r="EX250" s="61"/>
      <c r="EY250" s="61">
        <v>0</v>
      </c>
      <c r="EZ250" s="61">
        <v>0</v>
      </c>
      <c r="FA250" s="61">
        <v>0</v>
      </c>
      <c r="FB250" s="61">
        <v>0</v>
      </c>
      <c r="FD250" s="141" t="str">
        <f t="shared" si="65"/>
        <v>27-ago</v>
      </c>
      <c r="FE250" s="11" t="str">
        <f t="shared" si="59"/>
        <v/>
      </c>
      <c r="FF250" s="11" t="str">
        <f t="shared" si="66"/>
        <v/>
      </c>
      <c r="FG250" s="11" t="str">
        <f t="shared" si="67"/>
        <v/>
      </c>
      <c r="FI250" s="141" t="str">
        <f t="shared" si="68"/>
        <v>27-ago</v>
      </c>
      <c r="FJ250" s="11" t="str">
        <f t="shared" si="55"/>
        <v/>
      </c>
      <c r="FK250" s="11" t="str">
        <f t="shared" si="69"/>
        <v/>
      </c>
      <c r="FL250" s="11" t="str">
        <f t="shared" si="70"/>
        <v/>
      </c>
      <c r="FN250" s="141" t="str">
        <f t="shared" si="62"/>
        <v>27-ago</v>
      </c>
      <c r="FO250" s="11" t="str">
        <f t="shared" si="61"/>
        <v/>
      </c>
      <c r="FP250" s="11" t="str">
        <f t="shared" si="63"/>
        <v/>
      </c>
      <c r="FQ250" s="11" t="str">
        <f t="shared" si="64"/>
        <v/>
      </c>
    </row>
    <row r="251" spans="2:173">
      <c r="B251"/>
      <c r="C251"/>
      <c r="BC251"/>
      <c r="BD251"/>
      <c r="BE251"/>
      <c r="BF251"/>
      <c r="BJ251"/>
      <c r="BK251"/>
      <c r="BL251"/>
      <c r="CI251"/>
      <c r="CJ251"/>
      <c r="CM251"/>
      <c r="CN251"/>
      <c r="CO251"/>
      <c r="DG251"/>
      <c r="DH251"/>
      <c r="DI251"/>
      <c r="DJ251"/>
      <c r="DK251"/>
      <c r="DL251"/>
      <c r="EG251"/>
      <c r="EH251"/>
      <c r="EW251" s="43" t="s">
        <v>631</v>
      </c>
      <c r="EX251" s="61"/>
      <c r="EY251" s="61">
        <v>0</v>
      </c>
      <c r="EZ251" s="61">
        <v>0</v>
      </c>
      <c r="FA251" s="61">
        <v>0</v>
      </c>
      <c r="FB251" s="61">
        <v>0</v>
      </c>
      <c r="FD251" s="141" t="str">
        <f t="shared" si="65"/>
        <v>28-ago</v>
      </c>
      <c r="FE251" s="11" t="str">
        <f t="shared" si="59"/>
        <v/>
      </c>
      <c r="FF251" s="11" t="str">
        <f t="shared" si="66"/>
        <v/>
      </c>
      <c r="FG251" s="11" t="str">
        <f t="shared" si="67"/>
        <v/>
      </c>
      <c r="FI251" s="141" t="str">
        <f t="shared" si="68"/>
        <v>28-ago</v>
      </c>
      <c r="FJ251" s="11" t="str">
        <f t="shared" si="55"/>
        <v/>
      </c>
      <c r="FK251" s="11" t="str">
        <f t="shared" si="69"/>
        <v/>
      </c>
      <c r="FL251" s="11" t="str">
        <f t="shared" si="70"/>
        <v/>
      </c>
      <c r="FN251" s="141" t="str">
        <f t="shared" si="62"/>
        <v>28-ago</v>
      </c>
      <c r="FO251" s="11" t="str">
        <f t="shared" si="61"/>
        <v/>
      </c>
      <c r="FP251" s="11" t="str">
        <f t="shared" si="63"/>
        <v/>
      </c>
      <c r="FQ251" s="11" t="str">
        <f t="shared" si="64"/>
        <v/>
      </c>
    </row>
    <row r="252" spans="2:173">
      <c r="B252"/>
      <c r="C252"/>
      <c r="BC252"/>
      <c r="BD252"/>
      <c r="BE252"/>
      <c r="BF252"/>
      <c r="BJ252"/>
      <c r="BK252"/>
      <c r="BL252"/>
      <c r="CI252"/>
      <c r="CJ252"/>
      <c r="CM252"/>
      <c r="CN252"/>
      <c r="CO252"/>
      <c r="DG252"/>
      <c r="DH252"/>
      <c r="DI252"/>
      <c r="DJ252"/>
      <c r="DK252"/>
      <c r="DL252"/>
      <c r="EG252"/>
      <c r="EH252"/>
      <c r="EW252" s="43" t="s">
        <v>632</v>
      </c>
      <c r="EX252" s="61"/>
      <c r="EY252" s="61">
        <v>0</v>
      </c>
      <c r="EZ252" s="61">
        <v>0</v>
      </c>
      <c r="FA252" s="61">
        <v>0</v>
      </c>
      <c r="FB252" s="61">
        <v>0</v>
      </c>
      <c r="FD252" s="141" t="str">
        <f t="shared" si="65"/>
        <v>29-ago</v>
      </c>
      <c r="FE252" s="11" t="str">
        <f t="shared" si="59"/>
        <v/>
      </c>
      <c r="FF252" s="11" t="str">
        <f t="shared" si="66"/>
        <v/>
      </c>
      <c r="FG252" s="11" t="str">
        <f t="shared" si="67"/>
        <v/>
      </c>
      <c r="FI252" s="141" t="str">
        <f t="shared" si="68"/>
        <v>29-ago</v>
      </c>
      <c r="FJ252" s="11" t="str">
        <f t="shared" si="55"/>
        <v/>
      </c>
      <c r="FK252" s="11" t="str">
        <f t="shared" si="69"/>
        <v/>
      </c>
      <c r="FL252" s="11" t="str">
        <f t="shared" si="70"/>
        <v/>
      </c>
      <c r="FN252" s="141" t="str">
        <f t="shared" si="62"/>
        <v>29-ago</v>
      </c>
      <c r="FO252" s="11" t="str">
        <f t="shared" si="61"/>
        <v/>
      </c>
      <c r="FP252" s="11" t="str">
        <f t="shared" si="63"/>
        <v/>
      </c>
      <c r="FQ252" s="11" t="str">
        <f t="shared" si="64"/>
        <v/>
      </c>
    </row>
    <row r="253" spans="2:173">
      <c r="B253"/>
      <c r="C253"/>
      <c r="BC253"/>
      <c r="BD253"/>
      <c r="BE253"/>
      <c r="BF253"/>
      <c r="BJ253"/>
      <c r="BK253"/>
      <c r="BL253"/>
      <c r="CI253"/>
      <c r="CJ253"/>
      <c r="CM253"/>
      <c r="CN253"/>
      <c r="CO253"/>
      <c r="DG253"/>
      <c r="DH253"/>
      <c r="DI253"/>
      <c r="DJ253"/>
      <c r="DK253"/>
      <c r="DL253"/>
      <c r="EG253"/>
      <c r="EH253"/>
      <c r="EW253" s="43" t="s">
        <v>633</v>
      </c>
      <c r="EX253" s="61"/>
      <c r="EY253" s="61">
        <v>0</v>
      </c>
      <c r="EZ253" s="61">
        <v>0</v>
      </c>
      <c r="FA253" s="61">
        <v>0</v>
      </c>
      <c r="FB253" s="61">
        <v>0</v>
      </c>
      <c r="FD253" s="141" t="str">
        <f t="shared" si="65"/>
        <v>30-ago</v>
      </c>
      <c r="FE253" s="11" t="str">
        <f t="shared" si="59"/>
        <v/>
      </c>
      <c r="FF253" s="11" t="str">
        <f t="shared" si="66"/>
        <v/>
      </c>
      <c r="FG253" s="11" t="str">
        <f t="shared" si="67"/>
        <v/>
      </c>
      <c r="FI253" s="141" t="str">
        <f t="shared" si="68"/>
        <v>30-ago</v>
      </c>
      <c r="FJ253" s="11" t="str">
        <f t="shared" si="55"/>
        <v/>
      </c>
      <c r="FK253" s="11" t="str">
        <f t="shared" si="69"/>
        <v/>
      </c>
      <c r="FL253" s="11" t="str">
        <f t="shared" si="70"/>
        <v/>
      </c>
      <c r="FN253" s="141" t="str">
        <f t="shared" si="62"/>
        <v>30-ago</v>
      </c>
      <c r="FO253" s="11" t="str">
        <f t="shared" si="61"/>
        <v/>
      </c>
      <c r="FP253" s="11" t="str">
        <f t="shared" si="63"/>
        <v/>
      </c>
      <c r="FQ253" s="11" t="str">
        <f t="shared" si="64"/>
        <v/>
      </c>
    </row>
    <row r="254" spans="2:173">
      <c r="B254"/>
      <c r="C254"/>
      <c r="BC254"/>
      <c r="BD254"/>
      <c r="BE254"/>
      <c r="BF254"/>
      <c r="BJ254"/>
      <c r="BK254"/>
      <c r="BL254"/>
      <c r="CI254"/>
      <c r="CJ254"/>
      <c r="CM254"/>
      <c r="CN254"/>
      <c r="CO254"/>
      <c r="DG254"/>
      <c r="DH254"/>
      <c r="DI254"/>
      <c r="DJ254"/>
      <c r="DK254"/>
      <c r="DL254"/>
      <c r="EG254"/>
      <c r="EH254"/>
      <c r="EW254" s="43" t="s">
        <v>634</v>
      </c>
      <c r="EX254" s="61"/>
      <c r="EY254" s="61">
        <v>0</v>
      </c>
      <c r="EZ254" s="61">
        <v>0</v>
      </c>
      <c r="FA254" s="61">
        <v>0</v>
      </c>
      <c r="FB254" s="61">
        <v>0</v>
      </c>
      <c r="FD254" s="141" t="str">
        <f t="shared" si="65"/>
        <v>31-ago</v>
      </c>
      <c r="FE254" s="11" t="str">
        <f t="shared" si="59"/>
        <v/>
      </c>
      <c r="FF254" s="11" t="str">
        <f t="shared" si="66"/>
        <v/>
      </c>
      <c r="FG254" s="11" t="str">
        <f t="shared" si="67"/>
        <v/>
      </c>
      <c r="FI254" s="141" t="str">
        <f t="shared" si="68"/>
        <v>31-ago</v>
      </c>
      <c r="FJ254" s="11" t="str">
        <f t="shared" si="55"/>
        <v/>
      </c>
      <c r="FK254" s="11" t="str">
        <f t="shared" si="69"/>
        <v/>
      </c>
      <c r="FL254" s="11" t="str">
        <f t="shared" si="70"/>
        <v/>
      </c>
      <c r="FN254" s="141" t="str">
        <f t="shared" si="62"/>
        <v>31-ago</v>
      </c>
      <c r="FO254" s="11" t="str">
        <f t="shared" si="61"/>
        <v/>
      </c>
      <c r="FP254" s="11" t="str">
        <f t="shared" si="63"/>
        <v/>
      </c>
      <c r="FQ254" s="11" t="str">
        <f t="shared" si="64"/>
        <v/>
      </c>
    </row>
    <row r="255" spans="2:173">
      <c r="B255"/>
      <c r="C255"/>
      <c r="BC255"/>
      <c r="BD255"/>
      <c r="BE255"/>
      <c r="BF255"/>
      <c r="BJ255"/>
      <c r="BK255"/>
      <c r="BL255"/>
      <c r="CI255"/>
      <c r="CJ255"/>
      <c r="CM255"/>
      <c r="CN255"/>
      <c r="CO255"/>
      <c r="DG255"/>
      <c r="DH255"/>
      <c r="DI255"/>
      <c r="DJ255"/>
      <c r="DK255"/>
      <c r="DL255"/>
      <c r="EG255"/>
      <c r="EH255"/>
      <c r="EW255" s="37" t="s">
        <v>254</v>
      </c>
      <c r="EX255" s="61"/>
      <c r="EY255" s="61"/>
      <c r="EZ255" s="61"/>
      <c r="FA255" s="61"/>
      <c r="FB255" s="61"/>
      <c r="FD255" s="141" t="str">
        <f t="shared" si="65"/>
        <v>sep</v>
      </c>
      <c r="FE255" s="11" t="str">
        <f t="shared" si="59"/>
        <v/>
      </c>
      <c r="FF255" s="11" t="str">
        <f t="shared" si="66"/>
        <v/>
      </c>
      <c r="FG255" s="11" t="str">
        <f t="shared" si="67"/>
        <v/>
      </c>
      <c r="FI255" s="141" t="str">
        <f t="shared" si="68"/>
        <v>sep</v>
      </c>
      <c r="FJ255" s="11" t="str">
        <f t="shared" si="55"/>
        <v/>
      </c>
      <c r="FK255" s="11" t="str">
        <f t="shared" si="69"/>
        <v/>
      </c>
      <c r="FL255" s="11" t="str">
        <f t="shared" si="70"/>
        <v/>
      </c>
      <c r="FN255" s="141" t="str">
        <f t="shared" si="62"/>
        <v>sep</v>
      </c>
      <c r="FO255" s="11" t="str">
        <f t="shared" si="61"/>
        <v/>
      </c>
      <c r="FP255" s="11" t="str">
        <f t="shared" si="63"/>
        <v/>
      </c>
      <c r="FQ255" s="11" t="str">
        <f t="shared" si="64"/>
        <v/>
      </c>
    </row>
    <row r="256" spans="2:173">
      <c r="B256"/>
      <c r="C256"/>
      <c r="BC256"/>
      <c r="BD256"/>
      <c r="BE256"/>
      <c r="BF256"/>
      <c r="BJ256"/>
      <c r="BK256"/>
      <c r="BL256"/>
      <c r="CI256"/>
      <c r="CJ256"/>
      <c r="CM256"/>
      <c r="CN256"/>
      <c r="CO256"/>
      <c r="DG256"/>
      <c r="DH256"/>
      <c r="DI256"/>
      <c r="DJ256"/>
      <c r="DK256"/>
      <c r="DL256"/>
      <c r="EG256"/>
      <c r="EH256"/>
      <c r="EW256" s="43" t="s">
        <v>635</v>
      </c>
      <c r="EX256" s="61"/>
      <c r="EY256" s="61">
        <v>0</v>
      </c>
      <c r="EZ256" s="61">
        <v>0</v>
      </c>
      <c r="FA256" s="61">
        <v>0</v>
      </c>
      <c r="FB256" s="61">
        <v>0</v>
      </c>
      <c r="FD256" s="141" t="str">
        <f t="shared" si="65"/>
        <v>1-sep</v>
      </c>
      <c r="FE256" s="11" t="str">
        <f t="shared" si="59"/>
        <v/>
      </c>
      <c r="FF256" s="11" t="str">
        <f t="shared" si="66"/>
        <v/>
      </c>
      <c r="FG256" s="11" t="str">
        <f t="shared" si="67"/>
        <v/>
      </c>
      <c r="FI256" s="141" t="str">
        <f t="shared" si="68"/>
        <v>1-sep</v>
      </c>
      <c r="FJ256" s="11" t="str">
        <f t="shared" si="55"/>
        <v/>
      </c>
      <c r="FK256" s="11" t="str">
        <f t="shared" si="69"/>
        <v/>
      </c>
      <c r="FL256" s="11" t="str">
        <f t="shared" si="70"/>
        <v/>
      </c>
      <c r="FN256" s="141" t="str">
        <f t="shared" si="62"/>
        <v>1-sep</v>
      </c>
      <c r="FO256" s="11" t="str">
        <f t="shared" si="61"/>
        <v/>
      </c>
      <c r="FP256" s="11" t="str">
        <f t="shared" si="63"/>
        <v/>
      </c>
      <c r="FQ256" s="11" t="str">
        <f t="shared" si="64"/>
        <v/>
      </c>
    </row>
    <row r="257" spans="2:173">
      <c r="B257"/>
      <c r="C257"/>
      <c r="BC257"/>
      <c r="BD257"/>
      <c r="BE257"/>
      <c r="BF257"/>
      <c r="BJ257"/>
      <c r="BK257"/>
      <c r="BL257"/>
      <c r="CI257"/>
      <c r="CJ257"/>
      <c r="CM257"/>
      <c r="CN257"/>
      <c r="CO257"/>
      <c r="DG257"/>
      <c r="DH257"/>
      <c r="DI257"/>
      <c r="DJ257"/>
      <c r="DK257"/>
      <c r="DL257"/>
      <c r="EG257"/>
      <c r="EH257"/>
      <c r="EW257" s="43" t="s">
        <v>636</v>
      </c>
      <c r="EX257" s="61"/>
      <c r="EY257" s="61">
        <v>0</v>
      </c>
      <c r="EZ257" s="61">
        <v>0</v>
      </c>
      <c r="FA257" s="61">
        <v>0</v>
      </c>
      <c r="FB257" s="61">
        <v>0</v>
      </c>
      <c r="FD257" s="141" t="str">
        <f t="shared" si="65"/>
        <v>2-sep</v>
      </c>
      <c r="FE257" s="11" t="str">
        <f t="shared" si="59"/>
        <v/>
      </c>
      <c r="FF257" s="11" t="str">
        <f t="shared" si="66"/>
        <v/>
      </c>
      <c r="FG257" s="11" t="str">
        <f t="shared" si="67"/>
        <v/>
      </c>
      <c r="FI257" s="141" t="str">
        <f t="shared" si="68"/>
        <v>2-sep</v>
      </c>
      <c r="FJ257" s="11" t="str">
        <f t="shared" si="55"/>
        <v/>
      </c>
      <c r="FK257" s="11" t="str">
        <f t="shared" si="69"/>
        <v/>
      </c>
      <c r="FL257" s="11" t="str">
        <f t="shared" si="70"/>
        <v/>
      </c>
      <c r="FN257" s="141" t="str">
        <f t="shared" si="62"/>
        <v>2-sep</v>
      </c>
      <c r="FO257" s="11" t="str">
        <f t="shared" si="61"/>
        <v/>
      </c>
      <c r="FP257" s="11" t="str">
        <f t="shared" si="63"/>
        <v/>
      </c>
      <c r="FQ257" s="11" t="str">
        <f t="shared" si="64"/>
        <v/>
      </c>
    </row>
    <row r="258" spans="2:173">
      <c r="B258"/>
      <c r="C258"/>
      <c r="BC258"/>
      <c r="BD258"/>
      <c r="BE258"/>
      <c r="BF258"/>
      <c r="BJ258"/>
      <c r="BK258"/>
      <c r="BL258"/>
      <c r="CI258"/>
      <c r="CJ258"/>
      <c r="CM258"/>
      <c r="CN258"/>
      <c r="CO258"/>
      <c r="DG258"/>
      <c r="DH258"/>
      <c r="DI258"/>
      <c r="DJ258"/>
      <c r="DK258"/>
      <c r="DL258"/>
      <c r="EG258"/>
      <c r="EH258"/>
      <c r="EW258" s="43" t="s">
        <v>637</v>
      </c>
      <c r="EX258" s="61"/>
      <c r="EY258" s="61">
        <v>0</v>
      </c>
      <c r="EZ258" s="61">
        <v>0</v>
      </c>
      <c r="FA258" s="61">
        <v>0</v>
      </c>
      <c r="FB258" s="61">
        <v>0</v>
      </c>
      <c r="FD258" s="141" t="str">
        <f t="shared" si="65"/>
        <v>3-sep</v>
      </c>
      <c r="FE258" s="11" t="str">
        <f t="shared" si="59"/>
        <v/>
      </c>
      <c r="FF258" s="11" t="str">
        <f t="shared" si="66"/>
        <v/>
      </c>
      <c r="FG258" s="11" t="str">
        <f t="shared" si="67"/>
        <v/>
      </c>
      <c r="FI258" s="141" t="str">
        <f t="shared" si="68"/>
        <v>3-sep</v>
      </c>
      <c r="FJ258" s="11" t="str">
        <f t="shared" si="55"/>
        <v/>
      </c>
      <c r="FK258" s="11" t="str">
        <f t="shared" si="69"/>
        <v/>
      </c>
      <c r="FL258" s="11" t="str">
        <f t="shared" si="70"/>
        <v/>
      </c>
      <c r="FN258" s="141" t="str">
        <f t="shared" si="62"/>
        <v>3-sep</v>
      </c>
      <c r="FO258" s="11" t="str">
        <f t="shared" si="61"/>
        <v/>
      </c>
      <c r="FP258" s="11" t="str">
        <f t="shared" si="63"/>
        <v/>
      </c>
      <c r="FQ258" s="11" t="str">
        <f t="shared" si="64"/>
        <v/>
      </c>
    </row>
    <row r="259" spans="2:173">
      <c r="B259"/>
      <c r="C259"/>
      <c r="BC259"/>
      <c r="BD259"/>
      <c r="BE259"/>
      <c r="BF259"/>
      <c r="BJ259"/>
      <c r="BK259"/>
      <c r="BL259"/>
      <c r="CI259"/>
      <c r="CJ259"/>
      <c r="CM259"/>
      <c r="CN259"/>
      <c r="CO259"/>
      <c r="DG259"/>
      <c r="DH259"/>
      <c r="DI259"/>
      <c r="DJ259"/>
      <c r="DK259"/>
      <c r="DL259"/>
      <c r="EG259"/>
      <c r="EH259"/>
      <c r="EW259" s="43" t="s">
        <v>638</v>
      </c>
      <c r="EX259" s="61"/>
      <c r="EY259" s="61">
        <v>0</v>
      </c>
      <c r="EZ259" s="61">
        <v>0</v>
      </c>
      <c r="FA259" s="61">
        <v>0</v>
      </c>
      <c r="FB259" s="61">
        <v>0</v>
      </c>
      <c r="FD259" s="141" t="str">
        <f t="shared" si="65"/>
        <v>4-sep</v>
      </c>
      <c r="FE259" s="11" t="str">
        <f t="shared" si="59"/>
        <v/>
      </c>
      <c r="FF259" s="11" t="str">
        <f t="shared" si="66"/>
        <v/>
      </c>
      <c r="FG259" s="11" t="str">
        <f t="shared" si="67"/>
        <v/>
      </c>
      <c r="FI259" s="141" t="str">
        <f t="shared" si="68"/>
        <v>4-sep</v>
      </c>
      <c r="FJ259" s="11" t="str">
        <f t="shared" si="55"/>
        <v/>
      </c>
      <c r="FK259" s="11" t="str">
        <f t="shared" si="69"/>
        <v/>
      </c>
      <c r="FL259" s="11" t="str">
        <f t="shared" si="70"/>
        <v/>
      </c>
      <c r="FN259" s="141" t="str">
        <f t="shared" si="62"/>
        <v>4-sep</v>
      </c>
      <c r="FO259" s="11" t="str">
        <f t="shared" si="61"/>
        <v/>
      </c>
      <c r="FP259" s="11" t="str">
        <f t="shared" si="63"/>
        <v/>
      </c>
      <c r="FQ259" s="11" t="str">
        <f t="shared" si="64"/>
        <v/>
      </c>
    </row>
    <row r="260" spans="2:173">
      <c r="B260"/>
      <c r="C260"/>
      <c r="BC260"/>
      <c r="BD260"/>
      <c r="BE260"/>
      <c r="BF260"/>
      <c r="BJ260"/>
      <c r="BK260"/>
      <c r="BL260"/>
      <c r="CI260"/>
      <c r="CJ260"/>
      <c r="CM260"/>
      <c r="CN260"/>
      <c r="CO260"/>
      <c r="DG260"/>
      <c r="DH260"/>
      <c r="DI260"/>
      <c r="DJ260"/>
      <c r="DK260"/>
      <c r="DL260"/>
      <c r="EG260"/>
      <c r="EH260"/>
      <c r="EW260" s="43" t="s">
        <v>639</v>
      </c>
      <c r="EX260" s="61"/>
      <c r="EY260" s="61">
        <v>0</v>
      </c>
      <c r="EZ260" s="61">
        <v>0</v>
      </c>
      <c r="FA260" s="61">
        <v>0</v>
      </c>
      <c r="FB260" s="61">
        <v>0</v>
      </c>
      <c r="FD260" s="141" t="str">
        <f t="shared" si="65"/>
        <v>5-sep</v>
      </c>
      <c r="FE260" s="11" t="str">
        <f t="shared" si="59"/>
        <v/>
      </c>
      <c r="FF260" s="11" t="str">
        <f t="shared" ref="FF260:FF290" si="71">IF(FE260=1,EY260,"")</f>
        <v/>
      </c>
      <c r="FG260" s="11" t="str">
        <f t="shared" ref="FG260:FG290" si="72">IF(FE260=1,GETPIVOTDATA("P. oferta",$EW$3,"Fecha",122,"Meses",5),"")</f>
        <v/>
      </c>
      <c r="FI260" s="141" t="str">
        <f t="shared" si="68"/>
        <v>5-sep</v>
      </c>
      <c r="FJ260" s="11" t="str">
        <f t="shared" si="55"/>
        <v/>
      </c>
      <c r="FK260" s="11" t="str">
        <f t="shared" ref="FK260:FK290" si="73">IF(FJ260=1,EZ260,"")</f>
        <v/>
      </c>
      <c r="FL260" s="11" t="str">
        <f t="shared" ref="FL260:FL290" si="74">IF(FJ260=1,EX260,"")</f>
        <v/>
      </c>
      <c r="FN260" s="141" t="str">
        <f t="shared" si="62"/>
        <v>5-sep</v>
      </c>
      <c r="FO260" s="11" t="str">
        <f t="shared" si="61"/>
        <v/>
      </c>
      <c r="FP260" s="11" t="str">
        <f t="shared" ref="FP260:FP290" si="75">IF(FO260=1,FA260,"")</f>
        <v/>
      </c>
      <c r="FQ260" s="11" t="str">
        <f t="shared" ref="FQ260:FQ290" si="76">IF(FO260=1,EX260,"")</f>
        <v/>
      </c>
    </row>
    <row r="261" spans="2:173">
      <c r="B261"/>
      <c r="C261"/>
      <c r="BC261"/>
      <c r="BD261"/>
      <c r="BE261"/>
      <c r="BF261"/>
      <c r="BJ261"/>
      <c r="BK261"/>
      <c r="BL261"/>
      <c r="CI261"/>
      <c r="CJ261"/>
      <c r="CM261"/>
      <c r="CN261"/>
      <c r="CO261"/>
      <c r="DG261"/>
      <c r="DH261"/>
      <c r="DI261"/>
      <c r="DJ261"/>
      <c r="DK261"/>
      <c r="DL261"/>
      <c r="EG261"/>
      <c r="EH261"/>
      <c r="EW261" s="43" t="s">
        <v>640</v>
      </c>
      <c r="EX261" s="61"/>
      <c r="EY261" s="61">
        <v>0</v>
      </c>
      <c r="EZ261" s="61">
        <v>0</v>
      </c>
      <c r="FA261" s="61">
        <v>0</v>
      </c>
      <c r="FB261" s="61">
        <v>0</v>
      </c>
      <c r="FD261" s="141" t="str">
        <f t="shared" si="65"/>
        <v>6-sep</v>
      </c>
      <c r="FE261" s="11" t="str">
        <f t="shared" si="59"/>
        <v/>
      </c>
      <c r="FF261" s="11" t="str">
        <f t="shared" si="71"/>
        <v/>
      </c>
      <c r="FG261" s="11" t="str">
        <f t="shared" si="72"/>
        <v/>
      </c>
      <c r="FI261" s="141" t="str">
        <f t="shared" si="68"/>
        <v>6-sep</v>
      </c>
      <c r="FJ261" s="11" t="str">
        <f t="shared" si="55"/>
        <v/>
      </c>
      <c r="FK261" s="11" t="str">
        <f t="shared" si="73"/>
        <v/>
      </c>
      <c r="FL261" s="11" t="str">
        <f t="shared" si="74"/>
        <v/>
      </c>
      <c r="FN261" s="141" t="str">
        <f t="shared" si="62"/>
        <v>6-sep</v>
      </c>
      <c r="FO261" s="11" t="str">
        <f t="shared" si="61"/>
        <v/>
      </c>
      <c r="FP261" s="11" t="str">
        <f t="shared" si="75"/>
        <v/>
      </c>
      <c r="FQ261" s="11" t="str">
        <f t="shared" si="76"/>
        <v/>
      </c>
    </row>
    <row r="262" spans="2:173">
      <c r="B262"/>
      <c r="C262"/>
      <c r="BC262"/>
      <c r="BD262"/>
      <c r="BE262"/>
      <c r="BF262"/>
      <c r="BJ262"/>
      <c r="BK262"/>
      <c r="BL262"/>
      <c r="CI262"/>
      <c r="CJ262"/>
      <c r="CM262"/>
      <c r="CN262"/>
      <c r="CO262"/>
      <c r="DG262"/>
      <c r="DH262"/>
      <c r="DI262"/>
      <c r="DJ262"/>
      <c r="DK262"/>
      <c r="DL262"/>
      <c r="EG262"/>
      <c r="EH262"/>
      <c r="EW262" s="43" t="s">
        <v>641</v>
      </c>
      <c r="EX262" s="61"/>
      <c r="EY262" s="61">
        <v>0</v>
      </c>
      <c r="EZ262" s="61">
        <v>0</v>
      </c>
      <c r="FA262" s="61">
        <v>0</v>
      </c>
      <c r="FB262" s="61">
        <v>1</v>
      </c>
      <c r="FD262" s="141" t="str">
        <f t="shared" si="65"/>
        <v>7-sep</v>
      </c>
      <c r="FE262" s="11" t="str">
        <f t="shared" si="59"/>
        <v/>
      </c>
      <c r="FF262" s="11" t="str">
        <f t="shared" si="71"/>
        <v/>
      </c>
      <c r="FG262" s="11" t="str">
        <f t="shared" si="72"/>
        <v/>
      </c>
      <c r="FI262" s="141" t="str">
        <f t="shared" si="68"/>
        <v>7-sep</v>
      </c>
      <c r="FJ262" s="11" t="str">
        <f t="shared" si="55"/>
        <v/>
      </c>
      <c r="FK262" s="11" t="str">
        <f t="shared" si="73"/>
        <v/>
      </c>
      <c r="FL262" s="11" t="str">
        <f t="shared" si="74"/>
        <v/>
      </c>
      <c r="FN262" s="141" t="str">
        <f t="shared" si="62"/>
        <v>7-sep</v>
      </c>
      <c r="FO262" s="11" t="str">
        <f t="shared" si="61"/>
        <v/>
      </c>
      <c r="FP262" s="11" t="str">
        <f t="shared" si="75"/>
        <v/>
      </c>
      <c r="FQ262" s="11" t="str">
        <f t="shared" si="76"/>
        <v/>
      </c>
    </row>
    <row r="263" spans="2:173">
      <c r="B263"/>
      <c r="C263"/>
      <c r="BC263"/>
      <c r="BD263"/>
      <c r="BE263"/>
      <c r="BF263"/>
      <c r="BJ263"/>
      <c r="BK263"/>
      <c r="BL263"/>
      <c r="CI263"/>
      <c r="CJ263"/>
      <c r="CM263"/>
      <c r="CN263"/>
      <c r="CO263"/>
      <c r="DG263"/>
      <c r="DH263"/>
      <c r="DI263"/>
      <c r="DJ263"/>
      <c r="DK263"/>
      <c r="DL263"/>
      <c r="EG263"/>
      <c r="EH263"/>
      <c r="EW263" s="43" t="s">
        <v>642</v>
      </c>
      <c r="EX263" s="61"/>
      <c r="EY263" s="61">
        <v>0</v>
      </c>
      <c r="EZ263" s="61">
        <v>0</v>
      </c>
      <c r="FA263" s="61">
        <v>0</v>
      </c>
      <c r="FB263" s="61">
        <v>0</v>
      </c>
      <c r="FD263" s="141" t="str">
        <f t="shared" si="65"/>
        <v>8-sep</v>
      </c>
      <c r="FE263" s="11" t="str">
        <f t="shared" si="59"/>
        <v/>
      </c>
      <c r="FF263" s="11" t="str">
        <f t="shared" si="71"/>
        <v/>
      </c>
      <c r="FG263" s="11" t="str">
        <f t="shared" si="72"/>
        <v/>
      </c>
      <c r="FI263" s="141" t="str">
        <f t="shared" si="68"/>
        <v>8-sep</v>
      </c>
      <c r="FJ263" s="11" t="str">
        <f t="shared" si="55"/>
        <v/>
      </c>
      <c r="FK263" s="11" t="str">
        <f t="shared" si="73"/>
        <v/>
      </c>
      <c r="FL263" s="11" t="str">
        <f t="shared" si="74"/>
        <v/>
      </c>
      <c r="FN263" s="141" t="str">
        <f t="shared" si="62"/>
        <v>8-sep</v>
      </c>
      <c r="FO263" s="11" t="str">
        <f t="shared" si="61"/>
        <v/>
      </c>
      <c r="FP263" s="11" t="str">
        <f t="shared" si="75"/>
        <v/>
      </c>
      <c r="FQ263" s="11" t="str">
        <f t="shared" si="76"/>
        <v/>
      </c>
    </row>
    <row r="264" spans="2:173">
      <c r="B264"/>
      <c r="C264"/>
      <c r="BC264"/>
      <c r="BD264"/>
      <c r="BE264"/>
      <c r="BF264"/>
      <c r="BJ264"/>
      <c r="BK264"/>
      <c r="BL264"/>
      <c r="CI264"/>
      <c r="CJ264"/>
      <c r="CM264"/>
      <c r="CN264"/>
      <c r="CO264"/>
      <c r="DG264"/>
      <c r="DH264"/>
      <c r="DI264"/>
      <c r="DJ264"/>
      <c r="DK264"/>
      <c r="DL264"/>
      <c r="EG264"/>
      <c r="EH264"/>
      <c r="EW264" s="43" t="s">
        <v>643</v>
      </c>
      <c r="EX264" s="61"/>
      <c r="EY264" s="61">
        <v>0</v>
      </c>
      <c r="EZ264" s="61">
        <v>0</v>
      </c>
      <c r="FA264" s="61">
        <v>0</v>
      </c>
      <c r="FB264" s="61">
        <v>0</v>
      </c>
      <c r="FD264" s="141" t="str">
        <f t="shared" si="65"/>
        <v>9-sep</v>
      </c>
      <c r="FE264" s="11" t="str">
        <f t="shared" si="59"/>
        <v/>
      </c>
      <c r="FF264" s="11" t="str">
        <f t="shared" si="71"/>
        <v/>
      </c>
      <c r="FG264" s="11" t="str">
        <f t="shared" si="72"/>
        <v/>
      </c>
      <c r="FI264" s="141" t="str">
        <f t="shared" si="68"/>
        <v>9-sep</v>
      </c>
      <c r="FJ264" s="11" t="str">
        <f t="shared" si="55"/>
        <v/>
      </c>
      <c r="FK264" s="11" t="str">
        <f t="shared" si="73"/>
        <v/>
      </c>
      <c r="FL264" s="11" t="str">
        <f t="shared" si="74"/>
        <v/>
      </c>
      <c r="FN264" s="141" t="str">
        <f t="shared" si="62"/>
        <v>9-sep</v>
      </c>
      <c r="FO264" s="11" t="str">
        <f t="shared" si="61"/>
        <v/>
      </c>
      <c r="FP264" s="11" t="str">
        <f t="shared" si="75"/>
        <v/>
      </c>
      <c r="FQ264" s="11" t="str">
        <f t="shared" si="76"/>
        <v/>
      </c>
    </row>
    <row r="265" spans="2:173">
      <c r="B265"/>
      <c r="C265"/>
      <c r="BC265"/>
      <c r="BD265"/>
      <c r="BE265"/>
      <c r="BF265"/>
      <c r="BJ265"/>
      <c r="BK265"/>
      <c r="BL265"/>
      <c r="CI265"/>
      <c r="CJ265"/>
      <c r="CM265"/>
      <c r="CN265"/>
      <c r="CO265"/>
      <c r="DG265"/>
      <c r="DH265"/>
      <c r="DI265"/>
      <c r="DJ265"/>
      <c r="DK265"/>
      <c r="DL265"/>
      <c r="EG265"/>
      <c r="EH265"/>
      <c r="EW265" s="43" t="s">
        <v>644</v>
      </c>
      <c r="EX265" s="61"/>
      <c r="EY265" s="61">
        <v>0</v>
      </c>
      <c r="EZ265" s="61">
        <v>0</v>
      </c>
      <c r="FA265" s="61">
        <v>0</v>
      </c>
      <c r="FB265" s="61">
        <v>0</v>
      </c>
      <c r="FD265" s="141" t="str">
        <f t="shared" si="65"/>
        <v>10-sep</v>
      </c>
      <c r="FE265" s="11" t="str">
        <f t="shared" si="59"/>
        <v/>
      </c>
      <c r="FF265" s="11" t="str">
        <f t="shared" si="71"/>
        <v/>
      </c>
      <c r="FG265" s="11" t="str">
        <f t="shared" si="72"/>
        <v/>
      </c>
      <c r="FI265" s="141" t="str">
        <f t="shared" si="68"/>
        <v>10-sep</v>
      </c>
      <c r="FJ265" s="11" t="str">
        <f t="shared" ref="FJ265:FJ328" si="77">IF(EZ265&gt;0,IF(FB265&gt;0,FB265,""),"")</f>
        <v/>
      </c>
      <c r="FK265" s="11" t="str">
        <f t="shared" si="73"/>
        <v/>
      </c>
      <c r="FL265" s="11" t="str">
        <f t="shared" si="74"/>
        <v/>
      </c>
      <c r="FN265" s="141" t="str">
        <f t="shared" si="62"/>
        <v>10-sep</v>
      </c>
      <c r="FO265" s="11" t="str">
        <f t="shared" si="61"/>
        <v/>
      </c>
      <c r="FP265" s="11" t="str">
        <f t="shared" si="75"/>
        <v/>
      </c>
      <c r="FQ265" s="11" t="str">
        <f t="shared" si="76"/>
        <v/>
      </c>
    </row>
    <row r="266" spans="2:173">
      <c r="B266"/>
      <c r="C266"/>
      <c r="BC266"/>
      <c r="BD266"/>
      <c r="BE266"/>
      <c r="BF266"/>
      <c r="BJ266"/>
      <c r="BK266"/>
      <c r="BL266"/>
      <c r="CI266"/>
      <c r="CJ266"/>
      <c r="CM266"/>
      <c r="CN266"/>
      <c r="CO266"/>
      <c r="DG266"/>
      <c r="DH266"/>
      <c r="DI266"/>
      <c r="DJ266"/>
      <c r="DK266"/>
      <c r="DL266"/>
      <c r="EG266"/>
      <c r="EH266"/>
      <c r="EW266" s="43" t="s">
        <v>645</v>
      </c>
      <c r="EX266" s="61"/>
      <c r="EY266" s="61">
        <v>0</v>
      </c>
      <c r="EZ266" s="61">
        <v>0</v>
      </c>
      <c r="FA266" s="61">
        <v>0</v>
      </c>
      <c r="FB266" s="61">
        <v>0</v>
      </c>
      <c r="FD266" s="141" t="str">
        <f t="shared" si="65"/>
        <v>11-sep</v>
      </c>
      <c r="FE266" s="11" t="str">
        <f t="shared" ref="FE266:FE329" si="78">IF(EY266&gt;0,IF(FB266&gt;0,FB266,""),"")</f>
        <v/>
      </c>
      <c r="FF266" s="11" t="str">
        <f t="shared" si="71"/>
        <v/>
      </c>
      <c r="FG266" s="11" t="str">
        <f t="shared" si="72"/>
        <v/>
      </c>
      <c r="FI266" s="141" t="str">
        <f t="shared" si="68"/>
        <v>11-sep</v>
      </c>
      <c r="FJ266" s="11" t="str">
        <f t="shared" si="77"/>
        <v/>
      </c>
      <c r="FK266" s="11" t="str">
        <f t="shared" si="73"/>
        <v/>
      </c>
      <c r="FL266" s="11" t="str">
        <f t="shared" si="74"/>
        <v/>
      </c>
      <c r="FN266" s="141" t="str">
        <f t="shared" si="62"/>
        <v>11-sep</v>
      </c>
      <c r="FO266" s="11" t="str">
        <f t="shared" ref="FO266:FO329" si="79">IF(FA266&gt;0,IF(FB266&gt;0,FB266,""),"")</f>
        <v/>
      </c>
      <c r="FP266" s="11" t="str">
        <f t="shared" si="75"/>
        <v/>
      </c>
      <c r="FQ266" s="11" t="str">
        <f t="shared" si="76"/>
        <v/>
      </c>
    </row>
    <row r="267" spans="2:173">
      <c r="B267"/>
      <c r="C267"/>
      <c r="BC267"/>
      <c r="BD267"/>
      <c r="BE267"/>
      <c r="BF267"/>
      <c r="BJ267"/>
      <c r="BK267"/>
      <c r="BL267"/>
      <c r="CI267"/>
      <c r="CJ267"/>
      <c r="CM267"/>
      <c r="CN267"/>
      <c r="CO267"/>
      <c r="DG267"/>
      <c r="DH267"/>
      <c r="DI267"/>
      <c r="DJ267"/>
      <c r="DK267"/>
      <c r="DL267"/>
      <c r="EG267"/>
      <c r="EH267"/>
      <c r="EW267" s="43" t="s">
        <v>646</v>
      </c>
      <c r="EX267" s="61"/>
      <c r="EY267" s="61">
        <v>0</v>
      </c>
      <c r="EZ267" s="61">
        <v>0</v>
      </c>
      <c r="FA267" s="61">
        <v>0</v>
      </c>
      <c r="FB267" s="61">
        <v>0</v>
      </c>
      <c r="FD267" s="141" t="str">
        <f t="shared" si="65"/>
        <v>12-sep</v>
      </c>
      <c r="FE267" s="11" t="str">
        <f t="shared" si="78"/>
        <v/>
      </c>
      <c r="FF267" s="11" t="str">
        <f t="shared" si="71"/>
        <v/>
      </c>
      <c r="FG267" s="11" t="str">
        <f t="shared" si="72"/>
        <v/>
      </c>
      <c r="FI267" s="141" t="str">
        <f t="shared" si="68"/>
        <v>12-sep</v>
      </c>
      <c r="FJ267" s="11" t="str">
        <f t="shared" si="77"/>
        <v/>
      </c>
      <c r="FK267" s="11" t="str">
        <f t="shared" si="73"/>
        <v/>
      </c>
      <c r="FL267" s="11" t="str">
        <f t="shared" si="74"/>
        <v/>
      </c>
      <c r="FN267" s="141" t="str">
        <f t="shared" si="62"/>
        <v>12-sep</v>
      </c>
      <c r="FO267" s="11" t="str">
        <f t="shared" si="79"/>
        <v/>
      </c>
      <c r="FP267" s="11" t="str">
        <f t="shared" si="75"/>
        <v/>
      </c>
      <c r="FQ267" s="11" t="str">
        <f t="shared" si="76"/>
        <v/>
      </c>
    </row>
    <row r="268" spans="2:173">
      <c r="B268"/>
      <c r="C268"/>
      <c r="BC268"/>
      <c r="BD268"/>
      <c r="BE268"/>
      <c r="BF268"/>
      <c r="BJ268"/>
      <c r="BK268"/>
      <c r="BL268"/>
      <c r="CI268"/>
      <c r="CJ268"/>
      <c r="CM268"/>
      <c r="CN268"/>
      <c r="CO268"/>
      <c r="DG268"/>
      <c r="DH268"/>
      <c r="DI268"/>
      <c r="DJ268"/>
      <c r="DK268"/>
      <c r="DL268"/>
      <c r="EG268"/>
      <c r="EH268"/>
      <c r="EW268" s="43" t="s">
        <v>647</v>
      </c>
      <c r="EX268" s="61"/>
      <c r="EY268" s="61">
        <v>0</v>
      </c>
      <c r="EZ268" s="61">
        <v>0</v>
      </c>
      <c r="FA268" s="61">
        <v>0</v>
      </c>
      <c r="FB268" s="61">
        <v>0</v>
      </c>
      <c r="FD268" s="141" t="str">
        <f t="shared" si="65"/>
        <v>13-sep</v>
      </c>
      <c r="FE268" s="11" t="str">
        <f t="shared" si="78"/>
        <v/>
      </c>
      <c r="FF268" s="11" t="str">
        <f t="shared" si="71"/>
        <v/>
      </c>
      <c r="FG268" s="11" t="str">
        <f t="shared" si="72"/>
        <v/>
      </c>
      <c r="FI268" s="141" t="str">
        <f t="shared" si="68"/>
        <v>13-sep</v>
      </c>
      <c r="FJ268" s="11" t="str">
        <f t="shared" si="77"/>
        <v/>
      </c>
      <c r="FK268" s="11" t="str">
        <f t="shared" si="73"/>
        <v/>
      </c>
      <c r="FL268" s="11" t="str">
        <f t="shared" si="74"/>
        <v/>
      </c>
      <c r="FN268" s="141" t="str">
        <f t="shared" si="62"/>
        <v>13-sep</v>
      </c>
      <c r="FO268" s="11" t="str">
        <f t="shared" si="79"/>
        <v/>
      </c>
      <c r="FP268" s="11" t="str">
        <f t="shared" si="75"/>
        <v/>
      </c>
      <c r="FQ268" s="11" t="str">
        <f t="shared" si="76"/>
        <v/>
      </c>
    </row>
    <row r="269" spans="2:173">
      <c r="B269"/>
      <c r="C269"/>
      <c r="BC269"/>
      <c r="BD269"/>
      <c r="BE269"/>
      <c r="BF269"/>
      <c r="BJ269"/>
      <c r="BK269"/>
      <c r="BL269"/>
      <c r="CI269"/>
      <c r="CJ269"/>
      <c r="CM269"/>
      <c r="CN269"/>
      <c r="CO269"/>
      <c r="DG269"/>
      <c r="DH269"/>
      <c r="DI269"/>
      <c r="DJ269"/>
      <c r="DK269"/>
      <c r="DL269"/>
      <c r="EG269"/>
      <c r="EH269"/>
      <c r="EW269" s="43" t="s">
        <v>648</v>
      </c>
      <c r="EX269" s="61"/>
      <c r="EY269" s="61">
        <v>0</v>
      </c>
      <c r="EZ269" s="61">
        <v>0</v>
      </c>
      <c r="FA269" s="61">
        <v>0</v>
      </c>
      <c r="FB269" s="61">
        <v>0</v>
      </c>
      <c r="FD269" s="141" t="str">
        <f t="shared" si="65"/>
        <v>14-sep</v>
      </c>
      <c r="FE269" s="11" t="str">
        <f t="shared" si="78"/>
        <v/>
      </c>
      <c r="FF269" s="11" t="str">
        <f t="shared" si="71"/>
        <v/>
      </c>
      <c r="FG269" s="11" t="str">
        <f t="shared" si="72"/>
        <v/>
      </c>
      <c r="FI269" s="141" t="str">
        <f t="shared" si="68"/>
        <v>14-sep</v>
      </c>
      <c r="FJ269" s="11" t="str">
        <f t="shared" si="77"/>
        <v/>
      </c>
      <c r="FK269" s="11" t="str">
        <f t="shared" si="73"/>
        <v/>
      </c>
      <c r="FL269" s="11" t="str">
        <f t="shared" si="74"/>
        <v/>
      </c>
      <c r="FN269" s="141" t="str">
        <f t="shared" si="62"/>
        <v>14-sep</v>
      </c>
      <c r="FO269" s="11" t="str">
        <f t="shared" si="79"/>
        <v/>
      </c>
      <c r="FP269" s="11" t="str">
        <f t="shared" si="75"/>
        <v/>
      </c>
      <c r="FQ269" s="11" t="str">
        <f t="shared" si="76"/>
        <v/>
      </c>
    </row>
    <row r="270" spans="2:173">
      <c r="B270"/>
      <c r="C270"/>
      <c r="BC270"/>
      <c r="BD270"/>
      <c r="BE270"/>
      <c r="BF270"/>
      <c r="BJ270"/>
      <c r="BK270"/>
      <c r="BL270"/>
      <c r="CI270"/>
      <c r="CJ270"/>
      <c r="CM270"/>
      <c r="CN270"/>
      <c r="CO270"/>
      <c r="DG270"/>
      <c r="DH270"/>
      <c r="DI270"/>
      <c r="DJ270"/>
      <c r="DK270"/>
      <c r="DL270"/>
      <c r="EG270"/>
      <c r="EH270"/>
      <c r="EW270" s="43" t="s">
        <v>649</v>
      </c>
      <c r="EX270" s="61"/>
      <c r="EY270" s="61">
        <v>0</v>
      </c>
      <c r="EZ270" s="61">
        <v>0</v>
      </c>
      <c r="FA270" s="61">
        <v>0</v>
      </c>
      <c r="FB270" s="61">
        <v>0</v>
      </c>
      <c r="FD270" s="141" t="str">
        <f t="shared" si="65"/>
        <v>15-sep</v>
      </c>
      <c r="FE270" s="11" t="str">
        <f t="shared" si="78"/>
        <v/>
      </c>
      <c r="FF270" s="11" t="str">
        <f t="shared" si="71"/>
        <v/>
      </c>
      <c r="FG270" s="11" t="str">
        <f t="shared" si="72"/>
        <v/>
      </c>
      <c r="FI270" s="141" t="str">
        <f t="shared" si="68"/>
        <v>15-sep</v>
      </c>
      <c r="FJ270" s="11" t="str">
        <f t="shared" si="77"/>
        <v/>
      </c>
      <c r="FK270" s="11" t="str">
        <f t="shared" si="73"/>
        <v/>
      </c>
      <c r="FL270" s="11" t="str">
        <f t="shared" si="74"/>
        <v/>
      </c>
      <c r="FN270" s="141" t="str">
        <f t="shared" si="62"/>
        <v>15-sep</v>
      </c>
      <c r="FO270" s="11" t="str">
        <f t="shared" si="79"/>
        <v/>
      </c>
      <c r="FP270" s="11" t="str">
        <f t="shared" si="75"/>
        <v/>
      </c>
      <c r="FQ270" s="11" t="str">
        <f t="shared" si="76"/>
        <v/>
      </c>
    </row>
    <row r="271" spans="2:173">
      <c r="B271"/>
      <c r="C271"/>
      <c r="BC271"/>
      <c r="BD271"/>
      <c r="BE271"/>
      <c r="BF271"/>
      <c r="BJ271"/>
      <c r="BK271"/>
      <c r="BL271"/>
      <c r="CI271"/>
      <c r="CJ271"/>
      <c r="CM271"/>
      <c r="CN271"/>
      <c r="CO271"/>
      <c r="DG271"/>
      <c r="DH271"/>
      <c r="DI271"/>
      <c r="DJ271"/>
      <c r="DK271"/>
      <c r="DL271"/>
      <c r="EG271"/>
      <c r="EH271"/>
      <c r="EW271" s="43" t="s">
        <v>650</v>
      </c>
      <c r="EX271" s="61"/>
      <c r="EY271" s="61">
        <v>0</v>
      </c>
      <c r="EZ271" s="61">
        <v>0</v>
      </c>
      <c r="FA271" s="61">
        <v>0</v>
      </c>
      <c r="FB271" s="61">
        <v>0</v>
      </c>
      <c r="FD271" s="141" t="str">
        <f t="shared" si="65"/>
        <v>16-sep</v>
      </c>
      <c r="FE271" s="11" t="str">
        <f t="shared" si="78"/>
        <v/>
      </c>
      <c r="FF271" s="11" t="str">
        <f t="shared" si="71"/>
        <v/>
      </c>
      <c r="FG271" s="11" t="str">
        <f t="shared" si="72"/>
        <v/>
      </c>
      <c r="FI271" s="141" t="str">
        <f t="shared" si="68"/>
        <v>16-sep</v>
      </c>
      <c r="FJ271" s="11" t="str">
        <f t="shared" si="77"/>
        <v/>
      </c>
      <c r="FK271" s="11" t="str">
        <f t="shared" si="73"/>
        <v/>
      </c>
      <c r="FL271" s="11" t="str">
        <f t="shared" si="74"/>
        <v/>
      </c>
      <c r="FN271" s="141" t="str">
        <f t="shared" si="62"/>
        <v>16-sep</v>
      </c>
      <c r="FO271" s="11" t="str">
        <f t="shared" si="79"/>
        <v/>
      </c>
      <c r="FP271" s="11" t="str">
        <f t="shared" si="75"/>
        <v/>
      </c>
      <c r="FQ271" s="11" t="str">
        <f t="shared" si="76"/>
        <v/>
      </c>
    </row>
    <row r="272" spans="2:173">
      <c r="B272"/>
      <c r="C272"/>
      <c r="BC272"/>
      <c r="BD272"/>
      <c r="BE272"/>
      <c r="BF272"/>
      <c r="BJ272"/>
      <c r="BK272"/>
      <c r="BL272"/>
      <c r="CI272"/>
      <c r="CJ272"/>
      <c r="CM272"/>
      <c r="CN272"/>
      <c r="CO272"/>
      <c r="DG272"/>
      <c r="DH272"/>
      <c r="DI272"/>
      <c r="DJ272"/>
      <c r="DK272"/>
      <c r="DL272"/>
      <c r="EG272"/>
      <c r="EH272"/>
      <c r="EW272" s="43" t="s">
        <v>651</v>
      </c>
      <c r="EX272" s="61"/>
      <c r="EY272" s="61">
        <v>0</v>
      </c>
      <c r="EZ272" s="61">
        <v>0</v>
      </c>
      <c r="FA272" s="61">
        <v>0</v>
      </c>
      <c r="FB272" s="61">
        <v>0</v>
      </c>
      <c r="FD272" s="141" t="str">
        <f t="shared" si="65"/>
        <v>17-sep</v>
      </c>
      <c r="FE272" s="11" t="str">
        <f t="shared" si="78"/>
        <v/>
      </c>
      <c r="FF272" s="11" t="str">
        <f t="shared" si="71"/>
        <v/>
      </c>
      <c r="FG272" s="11" t="str">
        <f t="shared" si="72"/>
        <v/>
      </c>
      <c r="FI272" s="141" t="str">
        <f t="shared" si="68"/>
        <v>17-sep</v>
      </c>
      <c r="FJ272" s="11" t="str">
        <f t="shared" si="77"/>
        <v/>
      </c>
      <c r="FK272" s="11" t="str">
        <f t="shared" si="73"/>
        <v/>
      </c>
      <c r="FL272" s="11" t="str">
        <f t="shared" si="74"/>
        <v/>
      </c>
      <c r="FN272" s="141" t="str">
        <f t="shared" si="62"/>
        <v>17-sep</v>
      </c>
      <c r="FO272" s="11" t="str">
        <f t="shared" si="79"/>
        <v/>
      </c>
      <c r="FP272" s="11" t="str">
        <f t="shared" si="75"/>
        <v/>
      </c>
      <c r="FQ272" s="11" t="str">
        <f t="shared" si="76"/>
        <v/>
      </c>
    </row>
    <row r="273" spans="2:173">
      <c r="B273"/>
      <c r="C273"/>
      <c r="BC273"/>
      <c r="BD273"/>
      <c r="BE273"/>
      <c r="BF273"/>
      <c r="BJ273"/>
      <c r="BK273"/>
      <c r="BL273"/>
      <c r="CI273"/>
      <c r="CJ273"/>
      <c r="CM273"/>
      <c r="CN273"/>
      <c r="CO273"/>
      <c r="DG273"/>
      <c r="DH273"/>
      <c r="DI273"/>
      <c r="DJ273"/>
      <c r="DK273"/>
      <c r="DL273"/>
      <c r="EG273"/>
      <c r="EH273"/>
      <c r="EW273" s="43" t="s">
        <v>652</v>
      </c>
      <c r="EX273" s="61"/>
      <c r="EY273" s="61">
        <v>0</v>
      </c>
      <c r="EZ273" s="61">
        <v>0</v>
      </c>
      <c r="FA273" s="61">
        <v>0</v>
      </c>
      <c r="FB273" s="61">
        <v>0</v>
      </c>
      <c r="FD273" s="141" t="str">
        <f t="shared" si="65"/>
        <v>18-sep</v>
      </c>
      <c r="FE273" s="11" t="str">
        <f t="shared" si="78"/>
        <v/>
      </c>
      <c r="FF273" s="11" t="str">
        <f t="shared" si="71"/>
        <v/>
      </c>
      <c r="FG273" s="11" t="str">
        <f t="shared" si="72"/>
        <v/>
      </c>
      <c r="FI273" s="141" t="str">
        <f t="shared" si="68"/>
        <v>18-sep</v>
      </c>
      <c r="FJ273" s="11" t="str">
        <f t="shared" si="77"/>
        <v/>
      </c>
      <c r="FK273" s="11" t="str">
        <f t="shared" si="73"/>
        <v/>
      </c>
      <c r="FL273" s="11" t="str">
        <f t="shared" si="74"/>
        <v/>
      </c>
      <c r="FN273" s="141" t="str">
        <f t="shared" si="62"/>
        <v>18-sep</v>
      </c>
      <c r="FO273" s="11" t="str">
        <f t="shared" si="79"/>
        <v/>
      </c>
      <c r="FP273" s="11" t="str">
        <f t="shared" si="75"/>
        <v/>
      </c>
      <c r="FQ273" s="11" t="str">
        <f t="shared" si="76"/>
        <v/>
      </c>
    </row>
    <row r="274" spans="2:173">
      <c r="B274"/>
      <c r="C274"/>
      <c r="BC274"/>
      <c r="BD274"/>
      <c r="BE274"/>
      <c r="BF274"/>
      <c r="BJ274"/>
      <c r="BK274"/>
      <c r="BL274"/>
      <c r="CI274"/>
      <c r="CJ274"/>
      <c r="CM274"/>
      <c r="CN274"/>
      <c r="CO274"/>
      <c r="DG274"/>
      <c r="DH274"/>
      <c r="DI274"/>
      <c r="DJ274"/>
      <c r="DK274"/>
      <c r="DL274"/>
      <c r="EG274"/>
      <c r="EH274"/>
      <c r="EW274" s="43" t="s">
        <v>653</v>
      </c>
      <c r="EX274" s="61"/>
      <c r="EY274" s="61">
        <v>0</v>
      </c>
      <c r="EZ274" s="61">
        <v>0</v>
      </c>
      <c r="FA274" s="61">
        <v>0</v>
      </c>
      <c r="FB274" s="61">
        <v>0</v>
      </c>
      <c r="FD274" s="141" t="str">
        <f t="shared" si="65"/>
        <v>19-sep</v>
      </c>
      <c r="FE274" s="11" t="str">
        <f t="shared" si="78"/>
        <v/>
      </c>
      <c r="FF274" s="11" t="str">
        <f t="shared" si="71"/>
        <v/>
      </c>
      <c r="FG274" s="11" t="str">
        <f t="shared" si="72"/>
        <v/>
      </c>
      <c r="FI274" s="141" t="str">
        <f t="shared" si="68"/>
        <v>19-sep</v>
      </c>
      <c r="FJ274" s="11" t="str">
        <f t="shared" si="77"/>
        <v/>
      </c>
      <c r="FK274" s="11" t="str">
        <f t="shared" si="73"/>
        <v/>
      </c>
      <c r="FL274" s="11" t="str">
        <f t="shared" si="74"/>
        <v/>
      </c>
      <c r="FN274" s="141" t="str">
        <f t="shared" si="62"/>
        <v>19-sep</v>
      </c>
      <c r="FO274" s="11" t="str">
        <f t="shared" si="79"/>
        <v/>
      </c>
      <c r="FP274" s="11" t="str">
        <f t="shared" si="75"/>
        <v/>
      </c>
      <c r="FQ274" s="11" t="str">
        <f t="shared" si="76"/>
        <v/>
      </c>
    </row>
    <row r="275" spans="2:173">
      <c r="B275"/>
      <c r="C275"/>
      <c r="BC275"/>
      <c r="BD275"/>
      <c r="BE275"/>
      <c r="BF275"/>
      <c r="BJ275"/>
      <c r="BK275"/>
      <c r="BL275"/>
      <c r="CI275"/>
      <c r="CJ275"/>
      <c r="CM275"/>
      <c r="CN275"/>
      <c r="CO275"/>
      <c r="DG275"/>
      <c r="DH275"/>
      <c r="DI275"/>
      <c r="DJ275"/>
      <c r="DK275"/>
      <c r="DL275"/>
      <c r="EG275"/>
      <c r="EH275"/>
      <c r="EW275" s="43" t="s">
        <v>654</v>
      </c>
      <c r="EX275" s="61"/>
      <c r="EY275" s="61">
        <v>0</v>
      </c>
      <c r="EZ275" s="61">
        <v>0</v>
      </c>
      <c r="FA275" s="61">
        <v>0</v>
      </c>
      <c r="FB275" s="61">
        <v>0</v>
      </c>
      <c r="FD275" s="141" t="str">
        <f t="shared" si="65"/>
        <v>20-sep</v>
      </c>
      <c r="FE275" s="11" t="str">
        <f t="shared" si="78"/>
        <v/>
      </c>
      <c r="FF275" s="11" t="str">
        <f t="shared" si="71"/>
        <v/>
      </c>
      <c r="FG275" s="11" t="str">
        <f t="shared" si="72"/>
        <v/>
      </c>
      <c r="FI275" s="141" t="str">
        <f t="shared" si="68"/>
        <v>20-sep</v>
      </c>
      <c r="FJ275" s="11" t="str">
        <f t="shared" si="77"/>
        <v/>
      </c>
      <c r="FK275" s="11" t="str">
        <f t="shared" si="73"/>
        <v/>
      </c>
      <c r="FL275" s="11" t="str">
        <f t="shared" si="74"/>
        <v/>
      </c>
      <c r="FN275" s="141" t="str">
        <f t="shared" si="62"/>
        <v>20-sep</v>
      </c>
      <c r="FO275" s="11" t="str">
        <f t="shared" si="79"/>
        <v/>
      </c>
      <c r="FP275" s="11" t="str">
        <f t="shared" si="75"/>
        <v/>
      </c>
      <c r="FQ275" s="11" t="str">
        <f t="shared" si="76"/>
        <v/>
      </c>
    </row>
    <row r="276" spans="2:173">
      <c r="B276"/>
      <c r="C276"/>
      <c r="BC276"/>
      <c r="BD276"/>
      <c r="BE276"/>
      <c r="BF276"/>
      <c r="BJ276"/>
      <c r="BK276"/>
      <c r="BL276"/>
      <c r="CI276"/>
      <c r="CJ276"/>
      <c r="CM276"/>
      <c r="CN276"/>
      <c r="CO276"/>
      <c r="DG276"/>
      <c r="DH276"/>
      <c r="DI276"/>
      <c r="DJ276"/>
      <c r="DK276"/>
      <c r="DL276"/>
      <c r="EG276"/>
      <c r="EH276"/>
      <c r="EW276" s="43" t="s">
        <v>655</v>
      </c>
      <c r="EX276" s="61"/>
      <c r="EY276" s="61">
        <v>0</v>
      </c>
      <c r="EZ276" s="61">
        <v>0</v>
      </c>
      <c r="FA276" s="61">
        <v>0</v>
      </c>
      <c r="FB276" s="61">
        <v>0</v>
      </c>
      <c r="FD276" s="141" t="str">
        <f t="shared" si="65"/>
        <v>21-sep</v>
      </c>
      <c r="FE276" s="11" t="str">
        <f t="shared" si="78"/>
        <v/>
      </c>
      <c r="FF276" s="11" t="str">
        <f t="shared" si="71"/>
        <v/>
      </c>
      <c r="FG276" s="11" t="str">
        <f t="shared" si="72"/>
        <v/>
      </c>
      <c r="FI276" s="141" t="str">
        <f t="shared" si="68"/>
        <v>21-sep</v>
      </c>
      <c r="FJ276" s="11" t="str">
        <f t="shared" si="77"/>
        <v/>
      </c>
      <c r="FK276" s="11" t="str">
        <f t="shared" si="73"/>
        <v/>
      </c>
      <c r="FL276" s="11" t="str">
        <f t="shared" si="74"/>
        <v/>
      </c>
      <c r="FN276" s="141" t="str">
        <f t="shared" si="62"/>
        <v>21-sep</v>
      </c>
      <c r="FO276" s="11" t="str">
        <f t="shared" si="79"/>
        <v/>
      </c>
      <c r="FP276" s="11" t="str">
        <f t="shared" si="75"/>
        <v/>
      </c>
      <c r="FQ276" s="11" t="str">
        <f t="shared" si="76"/>
        <v/>
      </c>
    </row>
    <row r="277" spans="2:173">
      <c r="B277"/>
      <c r="C277"/>
      <c r="BC277"/>
      <c r="BD277"/>
      <c r="BE277"/>
      <c r="BF277"/>
      <c r="BJ277"/>
      <c r="BK277"/>
      <c r="BL277"/>
      <c r="CI277"/>
      <c r="CJ277"/>
      <c r="CM277"/>
      <c r="CN277"/>
      <c r="CO277"/>
      <c r="DG277"/>
      <c r="DH277"/>
      <c r="DI277"/>
      <c r="DJ277"/>
      <c r="DK277"/>
      <c r="DL277"/>
      <c r="EG277"/>
      <c r="EH277"/>
      <c r="EW277" s="43" t="s">
        <v>656</v>
      </c>
      <c r="EX277" s="61"/>
      <c r="EY277" s="61">
        <v>0</v>
      </c>
      <c r="EZ277" s="61">
        <v>0</v>
      </c>
      <c r="FA277" s="61">
        <v>0</v>
      </c>
      <c r="FB277" s="61">
        <v>0</v>
      </c>
      <c r="FD277" s="141" t="str">
        <f t="shared" si="65"/>
        <v>22-sep</v>
      </c>
      <c r="FE277" s="11" t="str">
        <f t="shared" si="78"/>
        <v/>
      </c>
      <c r="FF277" s="11" t="str">
        <f t="shared" si="71"/>
        <v/>
      </c>
      <c r="FG277" s="11" t="str">
        <f t="shared" si="72"/>
        <v/>
      </c>
      <c r="FI277" s="141" t="str">
        <f t="shared" si="68"/>
        <v>22-sep</v>
      </c>
      <c r="FJ277" s="11" t="str">
        <f t="shared" si="77"/>
        <v/>
      </c>
      <c r="FK277" s="11" t="str">
        <f t="shared" si="73"/>
        <v/>
      </c>
      <c r="FL277" s="11" t="str">
        <f t="shared" si="74"/>
        <v/>
      </c>
      <c r="FN277" s="141" t="str">
        <f t="shared" si="62"/>
        <v>22-sep</v>
      </c>
      <c r="FO277" s="11" t="str">
        <f t="shared" si="79"/>
        <v/>
      </c>
      <c r="FP277" s="11" t="str">
        <f t="shared" si="75"/>
        <v/>
      </c>
      <c r="FQ277" s="11" t="str">
        <f t="shared" si="76"/>
        <v/>
      </c>
    </row>
    <row r="278" spans="2:173">
      <c r="B278"/>
      <c r="C278"/>
      <c r="BC278"/>
      <c r="BD278"/>
      <c r="BE278"/>
      <c r="BF278"/>
      <c r="BJ278"/>
      <c r="BK278"/>
      <c r="BL278"/>
      <c r="CI278"/>
      <c r="CJ278"/>
      <c r="CM278"/>
      <c r="CN278"/>
      <c r="CO278"/>
      <c r="DG278"/>
      <c r="DH278"/>
      <c r="DI278"/>
      <c r="DJ278"/>
      <c r="DK278"/>
      <c r="DL278"/>
      <c r="EG278"/>
      <c r="EH278"/>
      <c r="EW278" s="43" t="s">
        <v>657</v>
      </c>
      <c r="EX278" s="61"/>
      <c r="EY278" s="61">
        <v>0</v>
      </c>
      <c r="EZ278" s="61">
        <v>0</v>
      </c>
      <c r="FA278" s="61">
        <v>0</v>
      </c>
      <c r="FB278" s="61">
        <v>0</v>
      </c>
      <c r="FD278" s="141" t="str">
        <f t="shared" si="65"/>
        <v>23-sep</v>
      </c>
      <c r="FE278" s="11" t="str">
        <f t="shared" si="78"/>
        <v/>
      </c>
      <c r="FF278" s="11" t="str">
        <f t="shared" si="71"/>
        <v/>
      </c>
      <c r="FG278" s="11" t="str">
        <f t="shared" si="72"/>
        <v/>
      </c>
      <c r="FI278" s="141" t="str">
        <f t="shared" si="68"/>
        <v>23-sep</v>
      </c>
      <c r="FJ278" s="11" t="str">
        <f t="shared" si="77"/>
        <v/>
      </c>
      <c r="FK278" s="11" t="str">
        <f t="shared" si="73"/>
        <v/>
      </c>
      <c r="FL278" s="11" t="str">
        <f t="shared" si="74"/>
        <v/>
      </c>
      <c r="FN278" s="141" t="str">
        <f t="shared" si="62"/>
        <v>23-sep</v>
      </c>
      <c r="FO278" s="11" t="str">
        <f t="shared" si="79"/>
        <v/>
      </c>
      <c r="FP278" s="11" t="str">
        <f t="shared" si="75"/>
        <v/>
      </c>
      <c r="FQ278" s="11" t="str">
        <f t="shared" si="76"/>
        <v/>
      </c>
    </row>
    <row r="279" spans="2:173">
      <c r="B279"/>
      <c r="C279"/>
      <c r="BC279"/>
      <c r="BD279"/>
      <c r="BE279"/>
      <c r="BF279"/>
      <c r="BJ279"/>
      <c r="BK279"/>
      <c r="BL279"/>
      <c r="CI279"/>
      <c r="CJ279"/>
      <c r="CM279"/>
      <c r="CN279"/>
      <c r="CO279"/>
      <c r="DG279"/>
      <c r="DH279"/>
      <c r="DI279"/>
      <c r="DJ279"/>
      <c r="DK279"/>
      <c r="DL279"/>
      <c r="EG279"/>
      <c r="EH279"/>
      <c r="EW279" s="43" t="s">
        <v>658</v>
      </c>
      <c r="EX279" s="61"/>
      <c r="EY279" s="61">
        <v>0</v>
      </c>
      <c r="EZ279" s="61">
        <v>0</v>
      </c>
      <c r="FA279" s="61">
        <v>0</v>
      </c>
      <c r="FB279" s="61">
        <v>0</v>
      </c>
      <c r="FD279" s="141" t="str">
        <f t="shared" si="65"/>
        <v>24-sep</v>
      </c>
      <c r="FE279" s="11" t="str">
        <f t="shared" si="78"/>
        <v/>
      </c>
      <c r="FF279" s="11" t="str">
        <f t="shared" si="71"/>
        <v/>
      </c>
      <c r="FG279" s="11" t="str">
        <f t="shared" si="72"/>
        <v/>
      </c>
      <c r="FI279" s="141" t="str">
        <f t="shared" si="68"/>
        <v>24-sep</v>
      </c>
      <c r="FJ279" s="11" t="str">
        <f t="shared" si="77"/>
        <v/>
      </c>
      <c r="FK279" s="11" t="str">
        <f t="shared" si="73"/>
        <v/>
      </c>
      <c r="FL279" s="11" t="str">
        <f t="shared" si="74"/>
        <v/>
      </c>
      <c r="FN279" s="141" t="str">
        <f t="shared" si="62"/>
        <v>24-sep</v>
      </c>
      <c r="FO279" s="11" t="str">
        <f t="shared" si="79"/>
        <v/>
      </c>
      <c r="FP279" s="11" t="str">
        <f t="shared" si="75"/>
        <v/>
      </c>
      <c r="FQ279" s="11" t="str">
        <f t="shared" si="76"/>
        <v/>
      </c>
    </row>
    <row r="280" spans="2:173">
      <c r="B280"/>
      <c r="C280"/>
      <c r="BC280"/>
      <c r="BD280"/>
      <c r="BE280"/>
      <c r="BF280"/>
      <c r="BJ280"/>
      <c r="BK280"/>
      <c r="BL280"/>
      <c r="CI280"/>
      <c r="CJ280"/>
      <c r="CM280"/>
      <c r="CN280"/>
      <c r="CO280"/>
      <c r="DG280"/>
      <c r="DH280"/>
      <c r="DI280"/>
      <c r="DJ280"/>
      <c r="DK280"/>
      <c r="DL280"/>
      <c r="EG280"/>
      <c r="EH280"/>
      <c r="EW280" s="43" t="s">
        <v>659</v>
      </c>
      <c r="EX280" s="61"/>
      <c r="EY280" s="61">
        <v>0</v>
      </c>
      <c r="EZ280" s="61">
        <v>0</v>
      </c>
      <c r="FA280" s="61">
        <v>0</v>
      </c>
      <c r="FB280" s="61">
        <v>0</v>
      </c>
      <c r="FD280" s="141" t="str">
        <f t="shared" si="65"/>
        <v>25-sep</v>
      </c>
      <c r="FE280" s="11" t="str">
        <f t="shared" si="78"/>
        <v/>
      </c>
      <c r="FF280" s="11" t="str">
        <f t="shared" si="71"/>
        <v/>
      </c>
      <c r="FG280" s="11" t="str">
        <f t="shared" si="72"/>
        <v/>
      </c>
      <c r="FI280" s="141" t="str">
        <f t="shared" si="68"/>
        <v>25-sep</v>
      </c>
      <c r="FJ280" s="11" t="str">
        <f t="shared" si="77"/>
        <v/>
      </c>
      <c r="FK280" s="11" t="str">
        <f t="shared" si="73"/>
        <v/>
      </c>
      <c r="FL280" s="11" t="str">
        <f t="shared" si="74"/>
        <v/>
      </c>
      <c r="FN280" s="141" t="str">
        <f t="shared" si="62"/>
        <v>25-sep</v>
      </c>
      <c r="FO280" s="11" t="str">
        <f t="shared" si="79"/>
        <v/>
      </c>
      <c r="FP280" s="11" t="str">
        <f t="shared" si="75"/>
        <v/>
      </c>
      <c r="FQ280" s="11" t="str">
        <f t="shared" si="76"/>
        <v/>
      </c>
    </row>
    <row r="281" spans="2:173">
      <c r="B281"/>
      <c r="C281"/>
      <c r="BC281"/>
      <c r="BD281"/>
      <c r="BE281"/>
      <c r="BF281"/>
      <c r="BJ281"/>
      <c r="BK281"/>
      <c r="BL281"/>
      <c r="CI281"/>
      <c r="CJ281"/>
      <c r="CM281"/>
      <c r="CN281"/>
      <c r="CO281"/>
      <c r="DG281"/>
      <c r="DH281"/>
      <c r="DI281"/>
      <c r="DJ281"/>
      <c r="DK281"/>
      <c r="DL281"/>
      <c r="EG281"/>
      <c r="EH281"/>
      <c r="EW281" s="43" t="s">
        <v>660</v>
      </c>
      <c r="EX281" s="61"/>
      <c r="EY281" s="61">
        <v>0</v>
      </c>
      <c r="EZ281" s="61">
        <v>0</v>
      </c>
      <c r="FA281" s="61">
        <v>0</v>
      </c>
      <c r="FB281" s="61">
        <v>0</v>
      </c>
      <c r="FD281" s="141" t="str">
        <f t="shared" si="65"/>
        <v>26-sep</v>
      </c>
      <c r="FE281" s="11" t="str">
        <f t="shared" si="78"/>
        <v/>
      </c>
      <c r="FF281" s="11" t="str">
        <f t="shared" si="71"/>
        <v/>
      </c>
      <c r="FG281" s="11" t="str">
        <f t="shared" si="72"/>
        <v/>
      </c>
      <c r="FI281" s="141" t="str">
        <f t="shared" si="68"/>
        <v>26-sep</v>
      </c>
      <c r="FJ281" s="11" t="str">
        <f t="shared" si="77"/>
        <v/>
      </c>
      <c r="FK281" s="11" t="str">
        <f t="shared" si="73"/>
        <v/>
      </c>
      <c r="FL281" s="11" t="str">
        <f t="shared" si="74"/>
        <v/>
      </c>
      <c r="FN281" s="141" t="str">
        <f t="shared" si="62"/>
        <v>26-sep</v>
      </c>
      <c r="FO281" s="11" t="str">
        <f t="shared" si="79"/>
        <v/>
      </c>
      <c r="FP281" s="11" t="str">
        <f t="shared" si="75"/>
        <v/>
      </c>
      <c r="FQ281" s="11" t="str">
        <f t="shared" si="76"/>
        <v/>
      </c>
    </row>
    <row r="282" spans="2:173">
      <c r="B282"/>
      <c r="C282"/>
      <c r="BC282"/>
      <c r="BD282"/>
      <c r="BE282"/>
      <c r="BF282"/>
      <c r="BJ282"/>
      <c r="BK282"/>
      <c r="BL282"/>
      <c r="CI282"/>
      <c r="CJ282"/>
      <c r="CM282"/>
      <c r="CN282"/>
      <c r="CO282"/>
      <c r="DG282"/>
      <c r="DH282"/>
      <c r="DI282"/>
      <c r="DJ282"/>
      <c r="DK282"/>
      <c r="DL282"/>
      <c r="EG282"/>
      <c r="EH282"/>
      <c r="EW282" s="43" t="s">
        <v>661</v>
      </c>
      <c r="EX282" s="61"/>
      <c r="EY282" s="61">
        <v>0</v>
      </c>
      <c r="EZ282" s="61">
        <v>0</v>
      </c>
      <c r="FA282" s="61">
        <v>0</v>
      </c>
      <c r="FB282" s="61">
        <v>0</v>
      </c>
      <c r="FD282" s="141" t="str">
        <f t="shared" si="65"/>
        <v>27-sep</v>
      </c>
      <c r="FE282" s="11" t="str">
        <f t="shared" si="78"/>
        <v/>
      </c>
      <c r="FF282" s="11" t="str">
        <f t="shared" si="71"/>
        <v/>
      </c>
      <c r="FG282" s="11" t="str">
        <f t="shared" si="72"/>
        <v/>
      </c>
      <c r="FI282" s="141" t="str">
        <f t="shared" si="68"/>
        <v>27-sep</v>
      </c>
      <c r="FJ282" s="11" t="str">
        <f t="shared" si="77"/>
        <v/>
      </c>
      <c r="FK282" s="11" t="str">
        <f t="shared" si="73"/>
        <v/>
      </c>
      <c r="FL282" s="11" t="str">
        <f t="shared" si="74"/>
        <v/>
      </c>
      <c r="FN282" s="141" t="str">
        <f t="shared" si="62"/>
        <v>27-sep</v>
      </c>
      <c r="FO282" s="11" t="str">
        <f t="shared" si="79"/>
        <v/>
      </c>
      <c r="FP282" s="11" t="str">
        <f t="shared" si="75"/>
        <v/>
      </c>
      <c r="FQ282" s="11" t="str">
        <f t="shared" si="76"/>
        <v/>
      </c>
    </row>
    <row r="283" spans="2:173">
      <c r="B283"/>
      <c r="C283"/>
      <c r="BC283"/>
      <c r="BD283"/>
      <c r="BE283"/>
      <c r="BF283"/>
      <c r="BJ283"/>
      <c r="BK283"/>
      <c r="BL283"/>
      <c r="CI283"/>
      <c r="CJ283"/>
      <c r="CM283"/>
      <c r="CN283"/>
      <c r="CO283"/>
      <c r="DG283"/>
      <c r="DH283"/>
      <c r="DI283"/>
      <c r="DJ283"/>
      <c r="DK283"/>
      <c r="DL283"/>
      <c r="EG283"/>
      <c r="EH283"/>
      <c r="EW283" s="43" t="s">
        <v>662</v>
      </c>
      <c r="EX283" s="61"/>
      <c r="EY283" s="61">
        <v>0</v>
      </c>
      <c r="EZ283" s="61">
        <v>0</v>
      </c>
      <c r="FA283" s="61">
        <v>0</v>
      </c>
      <c r="FB283" s="61">
        <v>0</v>
      </c>
      <c r="FD283" s="141" t="str">
        <f t="shared" si="65"/>
        <v>28-sep</v>
      </c>
      <c r="FE283" s="11" t="str">
        <f t="shared" si="78"/>
        <v/>
      </c>
      <c r="FF283" s="11" t="str">
        <f t="shared" si="71"/>
        <v/>
      </c>
      <c r="FG283" s="11" t="str">
        <f t="shared" si="72"/>
        <v/>
      </c>
      <c r="FI283" s="141" t="str">
        <f t="shared" si="68"/>
        <v>28-sep</v>
      </c>
      <c r="FJ283" s="11" t="str">
        <f t="shared" si="77"/>
        <v/>
      </c>
      <c r="FK283" s="11" t="str">
        <f t="shared" si="73"/>
        <v/>
      </c>
      <c r="FL283" s="11" t="str">
        <f t="shared" si="74"/>
        <v/>
      </c>
      <c r="FN283" s="141" t="str">
        <f t="shared" si="62"/>
        <v>28-sep</v>
      </c>
      <c r="FO283" s="11" t="str">
        <f t="shared" si="79"/>
        <v/>
      </c>
      <c r="FP283" s="11" t="str">
        <f t="shared" si="75"/>
        <v/>
      </c>
      <c r="FQ283" s="11" t="str">
        <f t="shared" si="76"/>
        <v/>
      </c>
    </row>
    <row r="284" spans="2:173">
      <c r="B284"/>
      <c r="C284"/>
      <c r="BC284"/>
      <c r="BD284"/>
      <c r="BE284"/>
      <c r="BF284"/>
      <c r="BJ284"/>
      <c r="BK284"/>
      <c r="BL284"/>
      <c r="CI284"/>
      <c r="CJ284"/>
      <c r="CM284"/>
      <c r="CN284"/>
      <c r="CO284"/>
      <c r="DG284"/>
      <c r="DH284"/>
      <c r="DI284"/>
      <c r="DJ284"/>
      <c r="DK284"/>
      <c r="DL284"/>
      <c r="EG284"/>
      <c r="EH284"/>
      <c r="EW284" s="43" t="s">
        <v>663</v>
      </c>
      <c r="EX284" s="61"/>
      <c r="EY284" s="61">
        <v>0</v>
      </c>
      <c r="EZ284" s="61">
        <v>0</v>
      </c>
      <c r="FA284" s="61">
        <v>0</v>
      </c>
      <c r="FB284" s="61">
        <v>0</v>
      </c>
      <c r="FD284" s="141" t="str">
        <f t="shared" si="65"/>
        <v>29-sep</v>
      </c>
      <c r="FE284" s="11" t="str">
        <f t="shared" si="78"/>
        <v/>
      </c>
      <c r="FF284" s="11" t="str">
        <f t="shared" si="71"/>
        <v/>
      </c>
      <c r="FG284" s="11" t="str">
        <f t="shared" si="72"/>
        <v/>
      </c>
      <c r="FI284" s="141" t="str">
        <f t="shared" si="68"/>
        <v>29-sep</v>
      </c>
      <c r="FJ284" s="11" t="str">
        <f t="shared" si="77"/>
        <v/>
      </c>
      <c r="FK284" s="11" t="str">
        <f t="shared" si="73"/>
        <v/>
      </c>
      <c r="FL284" s="11" t="str">
        <f t="shared" si="74"/>
        <v/>
      </c>
      <c r="FN284" s="141" t="str">
        <f t="shared" si="62"/>
        <v>29-sep</v>
      </c>
      <c r="FO284" s="11" t="str">
        <f t="shared" si="79"/>
        <v/>
      </c>
      <c r="FP284" s="11" t="str">
        <f t="shared" si="75"/>
        <v/>
      </c>
      <c r="FQ284" s="11" t="str">
        <f t="shared" si="76"/>
        <v/>
      </c>
    </row>
    <row r="285" spans="2:173">
      <c r="B285"/>
      <c r="C285"/>
      <c r="BC285"/>
      <c r="BD285"/>
      <c r="BE285"/>
      <c r="BF285"/>
      <c r="BJ285"/>
      <c r="BK285"/>
      <c r="BL285"/>
      <c r="CI285"/>
      <c r="CJ285"/>
      <c r="CM285"/>
      <c r="CN285"/>
      <c r="CO285"/>
      <c r="DG285"/>
      <c r="DH285"/>
      <c r="DI285"/>
      <c r="DJ285"/>
      <c r="DK285"/>
      <c r="DL285"/>
      <c r="EG285"/>
      <c r="EH285"/>
      <c r="EW285" s="43" t="s">
        <v>664</v>
      </c>
      <c r="EX285" s="61"/>
      <c r="EY285" s="61">
        <v>0</v>
      </c>
      <c r="EZ285" s="61">
        <v>0</v>
      </c>
      <c r="FA285" s="61">
        <v>0</v>
      </c>
      <c r="FB285" s="61">
        <v>0</v>
      </c>
      <c r="FD285" s="141" t="str">
        <f t="shared" si="65"/>
        <v>30-sep</v>
      </c>
      <c r="FE285" s="11" t="str">
        <f t="shared" si="78"/>
        <v/>
      </c>
      <c r="FF285" s="11" t="str">
        <f t="shared" si="71"/>
        <v/>
      </c>
      <c r="FG285" s="11" t="str">
        <f t="shared" si="72"/>
        <v/>
      </c>
      <c r="FI285" s="141" t="str">
        <f t="shared" si="68"/>
        <v>30-sep</v>
      </c>
      <c r="FJ285" s="11" t="str">
        <f t="shared" si="77"/>
        <v/>
      </c>
      <c r="FK285" s="11" t="str">
        <f t="shared" si="73"/>
        <v/>
      </c>
      <c r="FL285" s="11" t="str">
        <f t="shared" si="74"/>
        <v/>
      </c>
      <c r="FN285" s="141" t="str">
        <f t="shared" si="62"/>
        <v>30-sep</v>
      </c>
      <c r="FO285" s="11" t="str">
        <f t="shared" si="79"/>
        <v/>
      </c>
      <c r="FP285" s="11" t="str">
        <f t="shared" si="75"/>
        <v/>
      </c>
      <c r="FQ285" s="11" t="str">
        <f t="shared" si="76"/>
        <v/>
      </c>
    </row>
    <row r="286" spans="2:173">
      <c r="B286"/>
      <c r="C286"/>
      <c r="BC286"/>
      <c r="BD286"/>
      <c r="BE286"/>
      <c r="BF286"/>
      <c r="BJ286"/>
      <c r="BK286"/>
      <c r="BL286"/>
      <c r="CI286"/>
      <c r="CJ286"/>
      <c r="CM286"/>
      <c r="CN286"/>
      <c r="CO286"/>
      <c r="DG286"/>
      <c r="DH286"/>
      <c r="DI286"/>
      <c r="DJ286"/>
      <c r="DK286"/>
      <c r="DL286"/>
      <c r="EG286"/>
      <c r="EH286"/>
      <c r="EW286" s="37" t="s">
        <v>255</v>
      </c>
      <c r="EX286" s="61"/>
      <c r="EY286" s="61"/>
      <c r="EZ286" s="61"/>
      <c r="FA286" s="61"/>
      <c r="FB286" s="61"/>
      <c r="FD286" s="141" t="str">
        <f t="shared" si="65"/>
        <v>oct</v>
      </c>
      <c r="FE286" s="11" t="str">
        <f t="shared" si="78"/>
        <v/>
      </c>
      <c r="FF286" s="11" t="str">
        <f t="shared" si="71"/>
        <v/>
      </c>
      <c r="FG286" s="11" t="str">
        <f t="shared" si="72"/>
        <v/>
      </c>
      <c r="FI286" s="141" t="str">
        <f t="shared" si="68"/>
        <v>oct</v>
      </c>
      <c r="FJ286" s="11" t="str">
        <f>IF(EZ286&gt;0,IF(FB286&gt;0,FB286,""),"")</f>
        <v/>
      </c>
      <c r="FK286" s="11" t="str">
        <f t="shared" si="73"/>
        <v/>
      </c>
      <c r="FL286" s="11" t="str">
        <f t="shared" si="74"/>
        <v/>
      </c>
      <c r="FN286" s="141" t="str">
        <f t="shared" si="62"/>
        <v>oct</v>
      </c>
      <c r="FO286" s="11" t="str">
        <f t="shared" si="79"/>
        <v/>
      </c>
      <c r="FP286" s="11" t="str">
        <f t="shared" si="75"/>
        <v/>
      </c>
      <c r="FQ286" s="11" t="str">
        <f t="shared" si="76"/>
        <v/>
      </c>
    </row>
    <row r="287" spans="2:173">
      <c r="B287"/>
      <c r="C287"/>
      <c r="BC287"/>
      <c r="BD287"/>
      <c r="BE287"/>
      <c r="BF287"/>
      <c r="BJ287"/>
      <c r="BK287"/>
      <c r="BL287"/>
      <c r="CI287"/>
      <c r="CJ287"/>
      <c r="CM287"/>
      <c r="CN287"/>
      <c r="CO287"/>
      <c r="DG287"/>
      <c r="DH287"/>
      <c r="DI287"/>
      <c r="DJ287"/>
      <c r="DK287"/>
      <c r="DL287"/>
      <c r="EG287"/>
      <c r="EH287"/>
      <c r="EW287" s="43" t="s">
        <v>665</v>
      </c>
      <c r="EX287" s="61"/>
      <c r="EY287" s="61">
        <v>0</v>
      </c>
      <c r="EZ287" s="61">
        <v>0</v>
      </c>
      <c r="FA287" s="61">
        <v>0</v>
      </c>
      <c r="FB287" s="61">
        <v>0</v>
      </c>
      <c r="FD287" s="141" t="str">
        <f t="shared" si="65"/>
        <v>1-oct</v>
      </c>
      <c r="FE287" s="11" t="str">
        <f t="shared" si="78"/>
        <v/>
      </c>
      <c r="FF287" s="11" t="str">
        <f t="shared" si="71"/>
        <v/>
      </c>
      <c r="FG287" s="11" t="str">
        <f t="shared" si="72"/>
        <v/>
      </c>
      <c r="FI287" s="141" t="str">
        <f t="shared" si="68"/>
        <v>1-oct</v>
      </c>
      <c r="FJ287" s="11" t="str">
        <f t="shared" si="77"/>
        <v/>
      </c>
      <c r="FK287" s="11" t="str">
        <f t="shared" si="73"/>
        <v/>
      </c>
      <c r="FL287" s="11" t="str">
        <f t="shared" si="74"/>
        <v/>
      </c>
      <c r="FN287" s="141" t="str">
        <f t="shared" si="62"/>
        <v>1-oct</v>
      </c>
      <c r="FO287" s="11" t="str">
        <f t="shared" si="79"/>
        <v/>
      </c>
      <c r="FP287" s="11" t="str">
        <f t="shared" si="75"/>
        <v/>
      </c>
      <c r="FQ287" s="11" t="str">
        <f t="shared" si="76"/>
        <v/>
      </c>
    </row>
    <row r="288" spans="2:173">
      <c r="B288"/>
      <c r="C288"/>
      <c r="BC288"/>
      <c r="BD288"/>
      <c r="BE288"/>
      <c r="BF288"/>
      <c r="BJ288"/>
      <c r="BK288"/>
      <c r="BL288"/>
      <c r="CI288"/>
      <c r="CJ288"/>
      <c r="CM288"/>
      <c r="CN288"/>
      <c r="CO288"/>
      <c r="DG288"/>
      <c r="DH288"/>
      <c r="DI288"/>
      <c r="DJ288"/>
      <c r="DK288"/>
      <c r="DL288"/>
      <c r="EG288"/>
      <c r="EH288"/>
      <c r="EW288" s="43" t="s">
        <v>666</v>
      </c>
      <c r="EX288" s="61"/>
      <c r="EY288" s="61">
        <v>0</v>
      </c>
      <c r="EZ288" s="61">
        <v>0</v>
      </c>
      <c r="FA288" s="61">
        <v>0</v>
      </c>
      <c r="FB288" s="61">
        <v>0</v>
      </c>
      <c r="FD288" s="141" t="str">
        <f t="shared" si="65"/>
        <v>2-oct</v>
      </c>
      <c r="FE288" s="11" t="str">
        <f t="shared" si="78"/>
        <v/>
      </c>
      <c r="FF288" s="11" t="str">
        <f t="shared" si="71"/>
        <v/>
      </c>
      <c r="FG288" s="11" t="str">
        <f t="shared" si="72"/>
        <v/>
      </c>
      <c r="FI288" s="141" t="str">
        <f t="shared" si="68"/>
        <v>2-oct</v>
      </c>
      <c r="FJ288" s="11" t="str">
        <f t="shared" si="77"/>
        <v/>
      </c>
      <c r="FK288" s="11" t="str">
        <f t="shared" si="73"/>
        <v/>
      </c>
      <c r="FL288" s="11" t="str">
        <f t="shared" si="74"/>
        <v/>
      </c>
      <c r="FN288" s="141" t="str">
        <f t="shared" si="62"/>
        <v>2-oct</v>
      </c>
      <c r="FO288" s="11" t="str">
        <f t="shared" si="79"/>
        <v/>
      </c>
      <c r="FP288" s="11" t="str">
        <f t="shared" si="75"/>
        <v/>
      </c>
      <c r="FQ288" s="11" t="str">
        <f t="shared" si="76"/>
        <v/>
      </c>
    </row>
    <row r="289" spans="2:173">
      <c r="B289"/>
      <c r="C289"/>
      <c r="BC289"/>
      <c r="BD289"/>
      <c r="BE289"/>
      <c r="BF289"/>
      <c r="BJ289"/>
      <c r="BK289"/>
      <c r="BL289"/>
      <c r="CI289"/>
      <c r="CJ289"/>
      <c r="CM289"/>
      <c r="CN289"/>
      <c r="CO289"/>
      <c r="DG289"/>
      <c r="DH289"/>
      <c r="DI289"/>
      <c r="DJ289"/>
      <c r="DK289"/>
      <c r="DL289"/>
      <c r="EG289"/>
      <c r="EH289"/>
      <c r="EW289" s="43" t="s">
        <v>667</v>
      </c>
      <c r="EX289" s="61"/>
      <c r="EY289" s="61">
        <v>0</v>
      </c>
      <c r="EZ289" s="61">
        <v>0</v>
      </c>
      <c r="FA289" s="61">
        <v>0</v>
      </c>
      <c r="FB289" s="61">
        <v>0</v>
      </c>
      <c r="FD289" s="141" t="str">
        <f t="shared" si="65"/>
        <v>3-oct</v>
      </c>
      <c r="FE289" s="11" t="str">
        <f t="shared" si="78"/>
        <v/>
      </c>
      <c r="FF289" s="11" t="str">
        <f t="shared" si="71"/>
        <v/>
      </c>
      <c r="FG289" s="11" t="str">
        <f t="shared" si="72"/>
        <v/>
      </c>
      <c r="FI289" s="141" t="str">
        <f t="shared" si="68"/>
        <v>3-oct</v>
      </c>
      <c r="FJ289" s="11" t="str">
        <f t="shared" si="77"/>
        <v/>
      </c>
      <c r="FK289" s="11" t="str">
        <f t="shared" si="73"/>
        <v/>
      </c>
      <c r="FL289" s="11" t="str">
        <f t="shared" si="74"/>
        <v/>
      </c>
      <c r="FN289" s="141" t="str">
        <f t="shared" si="62"/>
        <v>3-oct</v>
      </c>
      <c r="FO289" s="11" t="str">
        <f t="shared" si="79"/>
        <v/>
      </c>
      <c r="FP289" s="11" t="str">
        <f t="shared" si="75"/>
        <v/>
      </c>
      <c r="FQ289" s="11" t="str">
        <f t="shared" si="76"/>
        <v/>
      </c>
    </row>
    <row r="290" spans="2:173">
      <c r="B290"/>
      <c r="C290"/>
      <c r="BC290"/>
      <c r="BD290"/>
      <c r="BE290"/>
      <c r="BF290"/>
      <c r="BJ290"/>
      <c r="BK290"/>
      <c r="BL290"/>
      <c r="CI290"/>
      <c r="CJ290"/>
      <c r="CM290"/>
      <c r="CN290"/>
      <c r="CO290"/>
      <c r="DG290"/>
      <c r="DH290"/>
      <c r="DI290"/>
      <c r="DJ290"/>
      <c r="DK290"/>
      <c r="DL290"/>
      <c r="EG290"/>
      <c r="EH290"/>
      <c r="EW290" s="43" t="s">
        <v>668</v>
      </c>
      <c r="EX290" s="61"/>
      <c r="EY290" s="61">
        <v>0</v>
      </c>
      <c r="EZ290" s="61">
        <v>0</v>
      </c>
      <c r="FA290" s="61">
        <v>0</v>
      </c>
      <c r="FB290" s="61">
        <v>0</v>
      </c>
      <c r="FD290" s="141" t="str">
        <f t="shared" si="65"/>
        <v>4-oct</v>
      </c>
      <c r="FE290" s="11" t="str">
        <f t="shared" si="78"/>
        <v/>
      </c>
      <c r="FF290" s="11" t="str">
        <f t="shared" si="71"/>
        <v/>
      </c>
      <c r="FG290" s="11" t="str">
        <f t="shared" si="72"/>
        <v/>
      </c>
      <c r="FI290" s="141" t="str">
        <f t="shared" si="68"/>
        <v>4-oct</v>
      </c>
      <c r="FJ290" s="11" t="str">
        <f t="shared" si="77"/>
        <v/>
      </c>
      <c r="FK290" s="11" t="str">
        <f t="shared" si="73"/>
        <v/>
      </c>
      <c r="FL290" s="11" t="str">
        <f t="shared" si="74"/>
        <v/>
      </c>
      <c r="FN290" s="141" t="str">
        <f t="shared" si="62"/>
        <v>4-oct</v>
      </c>
      <c r="FO290" s="11" t="str">
        <f t="shared" si="79"/>
        <v/>
      </c>
      <c r="FP290" s="11" t="str">
        <f t="shared" si="75"/>
        <v/>
      </c>
      <c r="FQ290" s="11" t="str">
        <f t="shared" si="76"/>
        <v/>
      </c>
    </row>
    <row r="291" spans="2:173">
      <c r="B291"/>
      <c r="C291"/>
      <c r="BC291"/>
      <c r="BD291"/>
      <c r="BE291"/>
      <c r="BF291"/>
      <c r="BJ291"/>
      <c r="BK291"/>
      <c r="BL291"/>
      <c r="CI291"/>
      <c r="CJ291"/>
      <c r="CM291"/>
      <c r="CN291"/>
      <c r="CO291"/>
      <c r="DG291"/>
      <c r="DH291"/>
      <c r="DI291"/>
      <c r="DJ291"/>
      <c r="DK291"/>
      <c r="DL291"/>
      <c r="EG291"/>
      <c r="EH291"/>
      <c r="EW291" s="43" t="s">
        <v>669</v>
      </c>
      <c r="EX291" s="61"/>
      <c r="EY291" s="61">
        <v>0</v>
      </c>
      <c r="EZ291" s="61">
        <v>0</v>
      </c>
      <c r="FA291" s="61">
        <v>0</v>
      </c>
      <c r="FB291" s="61">
        <v>0</v>
      </c>
      <c r="FD291" s="141" t="str">
        <f t="shared" ref="FD291:FD322" si="80">EW291</f>
        <v>5-oct</v>
      </c>
      <c r="FE291" s="11" t="str">
        <f t="shared" si="78"/>
        <v/>
      </c>
      <c r="FF291" s="11" t="str">
        <f t="shared" ref="FF291:FF322" si="81">IF(FE291=1,EY291,"")</f>
        <v/>
      </c>
      <c r="FG291" s="11" t="str">
        <f t="shared" ref="FG291:FG322" si="82">IF(FE291=1,GETPIVOTDATA("P. oferta",$EW$3,"Fecha",122,"Meses",5),"")</f>
        <v/>
      </c>
      <c r="FI291" s="141" t="str">
        <f t="shared" ref="FI291:FI322" si="83">EW291</f>
        <v>5-oct</v>
      </c>
      <c r="FJ291" s="11" t="str">
        <f t="shared" si="77"/>
        <v/>
      </c>
      <c r="FK291" s="11" t="str">
        <f t="shared" ref="FK291:FK322" si="84">IF(FJ291=1,EZ291,"")</f>
        <v/>
      </c>
      <c r="FL291" s="11" t="str">
        <f t="shared" ref="FL291:FL322" si="85">IF(FJ291=1,EX291,"")</f>
        <v/>
      </c>
      <c r="FN291" s="141" t="str">
        <f t="shared" ref="FN291:FN322" si="86">EW291</f>
        <v>5-oct</v>
      </c>
      <c r="FO291" s="11" t="str">
        <f t="shared" si="79"/>
        <v/>
      </c>
      <c r="FP291" s="11" t="str">
        <f t="shared" ref="FP291:FP322" si="87">IF(FO291=1,FA291,"")</f>
        <v/>
      </c>
      <c r="FQ291" s="11" t="str">
        <f t="shared" ref="FQ291:FQ322" si="88">IF(FO291=1,EX291,"")</f>
        <v/>
      </c>
    </row>
    <row r="292" spans="2:173">
      <c r="B292"/>
      <c r="C292"/>
      <c r="BC292"/>
      <c r="BD292"/>
      <c r="BE292"/>
      <c r="BF292"/>
      <c r="BJ292"/>
      <c r="BK292"/>
      <c r="BL292"/>
      <c r="CI292"/>
      <c r="CJ292"/>
      <c r="CM292"/>
      <c r="CN292"/>
      <c r="CO292"/>
      <c r="DG292"/>
      <c r="DH292"/>
      <c r="DI292"/>
      <c r="DJ292"/>
      <c r="DK292"/>
      <c r="DL292"/>
      <c r="EG292"/>
      <c r="EH292"/>
      <c r="EW292" s="43" t="s">
        <v>670</v>
      </c>
      <c r="EX292" s="61"/>
      <c r="EY292" s="61">
        <v>0</v>
      </c>
      <c r="EZ292" s="61">
        <v>0</v>
      </c>
      <c r="FA292" s="61">
        <v>0</v>
      </c>
      <c r="FB292" s="61">
        <v>0</v>
      </c>
      <c r="FD292" s="141" t="str">
        <f t="shared" si="80"/>
        <v>6-oct</v>
      </c>
      <c r="FE292" s="11" t="str">
        <f t="shared" si="78"/>
        <v/>
      </c>
      <c r="FF292" s="11" t="str">
        <f t="shared" si="81"/>
        <v/>
      </c>
      <c r="FG292" s="11" t="str">
        <f t="shared" si="82"/>
        <v/>
      </c>
      <c r="FI292" s="141" t="str">
        <f t="shared" si="83"/>
        <v>6-oct</v>
      </c>
      <c r="FJ292" s="11" t="str">
        <f t="shared" si="77"/>
        <v/>
      </c>
      <c r="FK292" s="11" t="str">
        <f t="shared" si="84"/>
        <v/>
      </c>
      <c r="FL292" s="11" t="str">
        <f t="shared" si="85"/>
        <v/>
      </c>
      <c r="FN292" s="141" t="str">
        <f t="shared" si="86"/>
        <v>6-oct</v>
      </c>
      <c r="FO292" s="11" t="str">
        <f t="shared" si="79"/>
        <v/>
      </c>
      <c r="FP292" s="11" t="str">
        <f t="shared" si="87"/>
        <v/>
      </c>
      <c r="FQ292" s="11" t="str">
        <f t="shared" si="88"/>
        <v/>
      </c>
    </row>
    <row r="293" spans="2:173">
      <c r="B293"/>
      <c r="C293"/>
      <c r="BC293"/>
      <c r="BD293"/>
      <c r="BE293"/>
      <c r="BF293"/>
      <c r="BJ293"/>
      <c r="BK293"/>
      <c r="BL293"/>
      <c r="CI293"/>
      <c r="CJ293"/>
      <c r="CM293"/>
      <c r="CN293"/>
      <c r="CO293"/>
      <c r="DG293"/>
      <c r="DH293"/>
      <c r="DI293"/>
      <c r="DJ293"/>
      <c r="DK293"/>
      <c r="DL293"/>
      <c r="EG293"/>
      <c r="EH293"/>
      <c r="EW293" s="43" t="s">
        <v>671</v>
      </c>
      <c r="EX293" s="61"/>
      <c r="EY293" s="61">
        <v>0</v>
      </c>
      <c r="EZ293" s="61">
        <v>0</v>
      </c>
      <c r="FA293" s="61">
        <v>0</v>
      </c>
      <c r="FB293" s="61">
        <v>0</v>
      </c>
      <c r="FD293" s="141" t="str">
        <f t="shared" si="80"/>
        <v>7-oct</v>
      </c>
      <c r="FE293" s="11" t="str">
        <f t="shared" si="78"/>
        <v/>
      </c>
      <c r="FF293" s="11" t="str">
        <f t="shared" si="81"/>
        <v/>
      </c>
      <c r="FG293" s="11" t="str">
        <f t="shared" si="82"/>
        <v/>
      </c>
      <c r="FI293" s="141" t="str">
        <f t="shared" si="83"/>
        <v>7-oct</v>
      </c>
      <c r="FJ293" s="11" t="str">
        <f t="shared" si="77"/>
        <v/>
      </c>
      <c r="FK293" s="11" t="str">
        <f t="shared" si="84"/>
        <v/>
      </c>
      <c r="FL293" s="11" t="str">
        <f t="shared" si="85"/>
        <v/>
      </c>
      <c r="FN293" s="141" t="str">
        <f t="shared" si="86"/>
        <v>7-oct</v>
      </c>
      <c r="FO293" s="11" t="str">
        <f t="shared" si="79"/>
        <v/>
      </c>
      <c r="FP293" s="11" t="str">
        <f t="shared" si="87"/>
        <v/>
      </c>
      <c r="FQ293" s="11" t="str">
        <f t="shared" si="88"/>
        <v/>
      </c>
    </row>
    <row r="294" spans="2:173">
      <c r="B294"/>
      <c r="C294"/>
      <c r="BC294"/>
      <c r="BD294"/>
      <c r="BE294"/>
      <c r="BF294"/>
      <c r="BJ294"/>
      <c r="BK294"/>
      <c r="BL294"/>
      <c r="CI294"/>
      <c r="CJ294"/>
      <c r="CM294"/>
      <c r="CN294"/>
      <c r="CO294"/>
      <c r="DG294"/>
      <c r="DH294"/>
      <c r="DI294"/>
      <c r="DJ294"/>
      <c r="DK294"/>
      <c r="DL294"/>
      <c r="EG294"/>
      <c r="EH294"/>
      <c r="EW294" s="43" t="s">
        <v>672</v>
      </c>
      <c r="EX294" s="61"/>
      <c r="EY294" s="61">
        <v>0</v>
      </c>
      <c r="EZ294" s="61">
        <v>0</v>
      </c>
      <c r="FA294" s="61">
        <v>0</v>
      </c>
      <c r="FB294" s="61">
        <v>0</v>
      </c>
      <c r="FD294" s="141" t="str">
        <f t="shared" si="80"/>
        <v>8-oct</v>
      </c>
      <c r="FE294" s="11" t="str">
        <f t="shared" si="78"/>
        <v/>
      </c>
      <c r="FF294" s="11" t="str">
        <f t="shared" si="81"/>
        <v/>
      </c>
      <c r="FG294" s="11" t="str">
        <f t="shared" si="82"/>
        <v/>
      </c>
      <c r="FI294" s="141" t="str">
        <f t="shared" si="83"/>
        <v>8-oct</v>
      </c>
      <c r="FJ294" s="11" t="str">
        <f t="shared" si="77"/>
        <v/>
      </c>
      <c r="FK294" s="11" t="str">
        <f t="shared" si="84"/>
        <v/>
      </c>
      <c r="FL294" s="11" t="str">
        <f t="shared" si="85"/>
        <v/>
      </c>
      <c r="FN294" s="141" t="str">
        <f t="shared" si="86"/>
        <v>8-oct</v>
      </c>
      <c r="FO294" s="11" t="str">
        <f t="shared" si="79"/>
        <v/>
      </c>
      <c r="FP294" s="11" t="str">
        <f t="shared" si="87"/>
        <v/>
      </c>
      <c r="FQ294" s="11" t="str">
        <f t="shared" si="88"/>
        <v/>
      </c>
    </row>
    <row r="295" spans="2:173">
      <c r="B295"/>
      <c r="C295"/>
      <c r="BC295"/>
      <c r="BD295"/>
      <c r="BE295"/>
      <c r="BF295"/>
      <c r="BJ295"/>
      <c r="BK295"/>
      <c r="BL295"/>
      <c r="CI295"/>
      <c r="CJ295"/>
      <c r="CM295"/>
      <c r="CN295"/>
      <c r="CO295"/>
      <c r="DG295"/>
      <c r="DH295"/>
      <c r="DI295"/>
      <c r="DJ295"/>
      <c r="DK295"/>
      <c r="DL295"/>
      <c r="EG295"/>
      <c r="EH295"/>
      <c r="EW295" s="43" t="s">
        <v>673</v>
      </c>
      <c r="EX295" s="61"/>
      <c r="EY295" s="61">
        <v>0</v>
      </c>
      <c r="EZ295" s="61">
        <v>0</v>
      </c>
      <c r="FA295" s="61">
        <v>0</v>
      </c>
      <c r="FB295" s="61">
        <v>0</v>
      </c>
      <c r="FD295" s="141" t="str">
        <f t="shared" si="80"/>
        <v>9-oct</v>
      </c>
      <c r="FE295" s="11" t="str">
        <f t="shared" si="78"/>
        <v/>
      </c>
      <c r="FF295" s="11" t="str">
        <f t="shared" si="81"/>
        <v/>
      </c>
      <c r="FG295" s="11" t="str">
        <f t="shared" si="82"/>
        <v/>
      </c>
      <c r="FI295" s="141" t="str">
        <f t="shared" si="83"/>
        <v>9-oct</v>
      </c>
      <c r="FJ295" s="11" t="str">
        <f t="shared" si="77"/>
        <v/>
      </c>
      <c r="FK295" s="11" t="str">
        <f t="shared" si="84"/>
        <v/>
      </c>
      <c r="FL295" s="11" t="str">
        <f t="shared" si="85"/>
        <v/>
      </c>
      <c r="FN295" s="141" t="str">
        <f t="shared" si="86"/>
        <v>9-oct</v>
      </c>
      <c r="FO295" s="11" t="str">
        <f t="shared" si="79"/>
        <v/>
      </c>
      <c r="FP295" s="11" t="str">
        <f t="shared" si="87"/>
        <v/>
      </c>
      <c r="FQ295" s="11" t="str">
        <f t="shared" si="88"/>
        <v/>
      </c>
    </row>
    <row r="296" spans="2:173">
      <c r="B296"/>
      <c r="C296"/>
      <c r="BC296"/>
      <c r="BD296"/>
      <c r="BE296"/>
      <c r="BF296"/>
      <c r="BJ296"/>
      <c r="BK296"/>
      <c r="BL296"/>
      <c r="CI296"/>
      <c r="CJ296"/>
      <c r="CM296"/>
      <c r="CN296"/>
      <c r="CO296"/>
      <c r="DG296"/>
      <c r="DH296"/>
      <c r="DI296"/>
      <c r="DJ296"/>
      <c r="DK296"/>
      <c r="DL296"/>
      <c r="EG296"/>
      <c r="EH296"/>
      <c r="EW296" s="43" t="s">
        <v>674</v>
      </c>
      <c r="EX296" s="61"/>
      <c r="EY296" s="61">
        <v>0</v>
      </c>
      <c r="EZ296" s="61">
        <v>0</v>
      </c>
      <c r="FA296" s="61">
        <v>0</v>
      </c>
      <c r="FB296" s="61">
        <v>0</v>
      </c>
      <c r="FD296" s="141" t="str">
        <f t="shared" si="80"/>
        <v>10-oct</v>
      </c>
      <c r="FE296" s="11" t="str">
        <f t="shared" si="78"/>
        <v/>
      </c>
      <c r="FF296" s="11" t="str">
        <f t="shared" si="81"/>
        <v/>
      </c>
      <c r="FG296" s="11" t="str">
        <f t="shared" si="82"/>
        <v/>
      </c>
      <c r="FI296" s="141" t="str">
        <f t="shared" si="83"/>
        <v>10-oct</v>
      </c>
      <c r="FJ296" s="11" t="str">
        <f t="shared" si="77"/>
        <v/>
      </c>
      <c r="FK296" s="11" t="str">
        <f t="shared" si="84"/>
        <v/>
      </c>
      <c r="FL296" s="11" t="str">
        <f t="shared" si="85"/>
        <v/>
      </c>
      <c r="FN296" s="141" t="str">
        <f t="shared" si="86"/>
        <v>10-oct</v>
      </c>
      <c r="FO296" s="11" t="str">
        <f t="shared" si="79"/>
        <v/>
      </c>
      <c r="FP296" s="11" t="str">
        <f t="shared" si="87"/>
        <v/>
      </c>
      <c r="FQ296" s="11" t="str">
        <f t="shared" si="88"/>
        <v/>
      </c>
    </row>
    <row r="297" spans="2:173">
      <c r="B297"/>
      <c r="C297"/>
      <c r="BC297"/>
      <c r="BD297"/>
      <c r="BE297"/>
      <c r="BF297"/>
      <c r="BJ297"/>
      <c r="BK297"/>
      <c r="BL297"/>
      <c r="CI297"/>
      <c r="CJ297"/>
      <c r="CM297"/>
      <c r="CN297"/>
      <c r="CO297"/>
      <c r="DG297"/>
      <c r="DH297"/>
      <c r="DI297"/>
      <c r="DJ297"/>
      <c r="DK297"/>
      <c r="DL297"/>
      <c r="EG297"/>
      <c r="EH297"/>
      <c r="EW297" s="43" t="s">
        <v>675</v>
      </c>
      <c r="EX297" s="61"/>
      <c r="EY297" s="61">
        <v>0</v>
      </c>
      <c r="EZ297" s="61">
        <v>0</v>
      </c>
      <c r="FA297" s="61">
        <v>0</v>
      </c>
      <c r="FB297" s="61">
        <v>0</v>
      </c>
      <c r="FD297" s="141" t="str">
        <f t="shared" si="80"/>
        <v>11-oct</v>
      </c>
      <c r="FE297" s="11" t="str">
        <f t="shared" si="78"/>
        <v/>
      </c>
      <c r="FF297" s="11" t="str">
        <f t="shared" si="81"/>
        <v/>
      </c>
      <c r="FG297" s="11" t="str">
        <f t="shared" si="82"/>
        <v/>
      </c>
      <c r="FI297" s="141" t="str">
        <f t="shared" si="83"/>
        <v>11-oct</v>
      </c>
      <c r="FJ297" s="11" t="str">
        <f t="shared" si="77"/>
        <v/>
      </c>
      <c r="FK297" s="11" t="str">
        <f t="shared" si="84"/>
        <v/>
      </c>
      <c r="FL297" s="11" t="str">
        <f t="shared" si="85"/>
        <v/>
      </c>
      <c r="FN297" s="141" t="str">
        <f t="shared" si="86"/>
        <v>11-oct</v>
      </c>
      <c r="FO297" s="11" t="str">
        <f t="shared" si="79"/>
        <v/>
      </c>
      <c r="FP297" s="11" t="str">
        <f t="shared" si="87"/>
        <v/>
      </c>
      <c r="FQ297" s="11" t="str">
        <f t="shared" si="88"/>
        <v/>
      </c>
    </row>
    <row r="298" spans="2:173">
      <c r="B298"/>
      <c r="C298"/>
      <c r="BC298"/>
      <c r="BD298"/>
      <c r="BE298"/>
      <c r="BF298"/>
      <c r="BJ298"/>
      <c r="BK298"/>
      <c r="BL298"/>
      <c r="CI298"/>
      <c r="CJ298"/>
      <c r="CM298"/>
      <c r="CN298"/>
      <c r="CO298"/>
      <c r="DG298"/>
      <c r="DH298"/>
      <c r="DI298"/>
      <c r="DJ298"/>
      <c r="DK298"/>
      <c r="DL298"/>
      <c r="EG298"/>
      <c r="EH298"/>
      <c r="EW298" s="43" t="s">
        <v>676</v>
      </c>
      <c r="EX298" s="61"/>
      <c r="EY298" s="61">
        <v>0</v>
      </c>
      <c r="EZ298" s="61">
        <v>0</v>
      </c>
      <c r="FA298" s="61">
        <v>0</v>
      </c>
      <c r="FB298" s="61">
        <v>0</v>
      </c>
      <c r="FD298" s="141" t="str">
        <f t="shared" si="80"/>
        <v>12-oct</v>
      </c>
      <c r="FE298" s="11" t="str">
        <f t="shared" si="78"/>
        <v/>
      </c>
      <c r="FF298" s="11" t="str">
        <f t="shared" si="81"/>
        <v/>
      </c>
      <c r="FG298" s="11" t="str">
        <f t="shared" si="82"/>
        <v/>
      </c>
      <c r="FI298" s="141" t="str">
        <f t="shared" si="83"/>
        <v>12-oct</v>
      </c>
      <c r="FJ298" s="11" t="str">
        <f t="shared" si="77"/>
        <v/>
      </c>
      <c r="FK298" s="11" t="str">
        <f t="shared" si="84"/>
        <v/>
      </c>
      <c r="FL298" s="11" t="str">
        <f t="shared" si="85"/>
        <v/>
      </c>
      <c r="FN298" s="141" t="str">
        <f t="shared" si="86"/>
        <v>12-oct</v>
      </c>
      <c r="FO298" s="11" t="str">
        <f t="shared" si="79"/>
        <v/>
      </c>
      <c r="FP298" s="11" t="str">
        <f t="shared" si="87"/>
        <v/>
      </c>
      <c r="FQ298" s="11" t="str">
        <f t="shared" si="88"/>
        <v/>
      </c>
    </row>
    <row r="299" spans="2:173">
      <c r="B299"/>
      <c r="C299"/>
      <c r="BC299"/>
      <c r="BD299"/>
      <c r="BE299"/>
      <c r="BF299"/>
      <c r="BJ299"/>
      <c r="BK299"/>
      <c r="BL299"/>
      <c r="CI299"/>
      <c r="CJ299"/>
      <c r="CM299"/>
      <c r="CN299"/>
      <c r="CO299"/>
      <c r="DG299"/>
      <c r="DH299"/>
      <c r="DI299"/>
      <c r="DJ299"/>
      <c r="DK299"/>
      <c r="DL299"/>
      <c r="EG299"/>
      <c r="EH299"/>
      <c r="EW299" s="43" t="s">
        <v>677</v>
      </c>
      <c r="EX299" s="61"/>
      <c r="EY299" s="61">
        <v>0</v>
      </c>
      <c r="EZ299" s="61">
        <v>0</v>
      </c>
      <c r="FA299" s="61">
        <v>0</v>
      </c>
      <c r="FB299" s="61">
        <v>0</v>
      </c>
      <c r="FD299" s="141" t="str">
        <f t="shared" si="80"/>
        <v>13-oct</v>
      </c>
      <c r="FE299" s="11" t="str">
        <f t="shared" si="78"/>
        <v/>
      </c>
      <c r="FF299" s="11" t="str">
        <f t="shared" si="81"/>
        <v/>
      </c>
      <c r="FG299" s="11" t="str">
        <f t="shared" si="82"/>
        <v/>
      </c>
      <c r="FI299" s="141" t="str">
        <f t="shared" si="83"/>
        <v>13-oct</v>
      </c>
      <c r="FJ299" s="11" t="str">
        <f t="shared" si="77"/>
        <v/>
      </c>
      <c r="FK299" s="11" t="str">
        <f t="shared" si="84"/>
        <v/>
      </c>
      <c r="FL299" s="11" t="str">
        <f t="shared" si="85"/>
        <v/>
      </c>
      <c r="FN299" s="141" t="str">
        <f t="shared" si="86"/>
        <v>13-oct</v>
      </c>
      <c r="FO299" s="11" t="str">
        <f t="shared" si="79"/>
        <v/>
      </c>
      <c r="FP299" s="11" t="str">
        <f t="shared" si="87"/>
        <v/>
      </c>
      <c r="FQ299" s="11" t="str">
        <f t="shared" si="88"/>
        <v/>
      </c>
    </row>
    <row r="300" spans="2:173">
      <c r="B300"/>
      <c r="C300"/>
      <c r="BC300"/>
      <c r="BD300"/>
      <c r="BE300"/>
      <c r="BF300"/>
      <c r="BJ300"/>
      <c r="BK300"/>
      <c r="BL300"/>
      <c r="CI300"/>
      <c r="CJ300"/>
      <c r="CM300"/>
      <c r="CN300"/>
      <c r="CO300"/>
      <c r="DG300"/>
      <c r="DH300"/>
      <c r="DI300"/>
      <c r="DJ300"/>
      <c r="DK300"/>
      <c r="DL300"/>
      <c r="EG300"/>
      <c r="EH300"/>
      <c r="EW300" s="43" t="s">
        <v>678</v>
      </c>
      <c r="EX300" s="61"/>
      <c r="EY300" s="61">
        <v>0</v>
      </c>
      <c r="EZ300" s="61">
        <v>0</v>
      </c>
      <c r="FA300" s="61">
        <v>0</v>
      </c>
      <c r="FB300" s="61">
        <v>0</v>
      </c>
      <c r="FD300" s="141" t="str">
        <f t="shared" si="80"/>
        <v>14-oct</v>
      </c>
      <c r="FE300" s="11" t="str">
        <f t="shared" si="78"/>
        <v/>
      </c>
      <c r="FF300" s="11" t="str">
        <f t="shared" si="81"/>
        <v/>
      </c>
      <c r="FG300" s="11" t="str">
        <f t="shared" si="82"/>
        <v/>
      </c>
      <c r="FI300" s="141" t="str">
        <f t="shared" si="83"/>
        <v>14-oct</v>
      </c>
      <c r="FJ300" s="11" t="str">
        <f t="shared" si="77"/>
        <v/>
      </c>
      <c r="FK300" s="11" t="str">
        <f t="shared" si="84"/>
        <v/>
      </c>
      <c r="FL300" s="11" t="str">
        <f t="shared" si="85"/>
        <v/>
      </c>
      <c r="FN300" s="141" t="str">
        <f t="shared" si="86"/>
        <v>14-oct</v>
      </c>
      <c r="FO300" s="11" t="str">
        <f t="shared" si="79"/>
        <v/>
      </c>
      <c r="FP300" s="11" t="str">
        <f t="shared" si="87"/>
        <v/>
      </c>
      <c r="FQ300" s="11" t="str">
        <f t="shared" si="88"/>
        <v/>
      </c>
    </row>
    <row r="301" spans="2:173">
      <c r="B301"/>
      <c r="C301"/>
      <c r="BC301"/>
      <c r="BD301"/>
      <c r="BE301"/>
      <c r="BF301"/>
      <c r="BJ301"/>
      <c r="BK301"/>
      <c r="BL301"/>
      <c r="CI301"/>
      <c r="CJ301"/>
      <c r="CM301"/>
      <c r="CN301"/>
      <c r="CO301"/>
      <c r="DG301"/>
      <c r="DH301"/>
      <c r="DI301"/>
      <c r="DJ301"/>
      <c r="DK301"/>
      <c r="DL301"/>
      <c r="EG301"/>
      <c r="EH301"/>
      <c r="EW301" s="43" t="s">
        <v>679</v>
      </c>
      <c r="EX301" s="61"/>
      <c r="EY301" s="61">
        <v>0</v>
      </c>
      <c r="EZ301" s="61">
        <v>0</v>
      </c>
      <c r="FA301" s="61">
        <v>0</v>
      </c>
      <c r="FB301" s="61">
        <v>0</v>
      </c>
      <c r="FD301" s="141" t="str">
        <f t="shared" si="80"/>
        <v>15-oct</v>
      </c>
      <c r="FE301" s="11" t="str">
        <f t="shared" si="78"/>
        <v/>
      </c>
      <c r="FF301" s="11" t="str">
        <f t="shared" si="81"/>
        <v/>
      </c>
      <c r="FG301" s="11" t="str">
        <f t="shared" si="82"/>
        <v/>
      </c>
      <c r="FI301" s="141" t="str">
        <f t="shared" si="83"/>
        <v>15-oct</v>
      </c>
      <c r="FJ301" s="11" t="str">
        <f t="shared" si="77"/>
        <v/>
      </c>
      <c r="FK301" s="11" t="str">
        <f t="shared" si="84"/>
        <v/>
      </c>
      <c r="FL301" s="11" t="str">
        <f t="shared" si="85"/>
        <v/>
      </c>
      <c r="FN301" s="141" t="str">
        <f t="shared" si="86"/>
        <v>15-oct</v>
      </c>
      <c r="FO301" s="11" t="str">
        <f t="shared" si="79"/>
        <v/>
      </c>
      <c r="FP301" s="11" t="str">
        <f t="shared" si="87"/>
        <v/>
      </c>
      <c r="FQ301" s="11" t="str">
        <f t="shared" si="88"/>
        <v/>
      </c>
    </row>
    <row r="302" spans="2:173">
      <c r="B302"/>
      <c r="C302"/>
      <c r="BC302"/>
      <c r="BD302"/>
      <c r="BE302"/>
      <c r="BF302"/>
      <c r="BJ302"/>
      <c r="BK302"/>
      <c r="BL302"/>
      <c r="CI302"/>
      <c r="CJ302"/>
      <c r="CM302"/>
      <c r="CN302"/>
      <c r="CO302"/>
      <c r="DG302"/>
      <c r="DH302"/>
      <c r="DI302"/>
      <c r="DJ302"/>
      <c r="DK302"/>
      <c r="DL302"/>
      <c r="EG302"/>
      <c r="EH302"/>
      <c r="EW302" s="43" t="s">
        <v>680</v>
      </c>
      <c r="EX302" s="61"/>
      <c r="EY302" s="61">
        <v>0</v>
      </c>
      <c r="EZ302" s="61">
        <v>0</v>
      </c>
      <c r="FA302" s="61">
        <v>0</v>
      </c>
      <c r="FB302" s="61">
        <v>0</v>
      </c>
      <c r="FD302" s="141" t="str">
        <f t="shared" si="80"/>
        <v>16-oct</v>
      </c>
      <c r="FE302" s="11" t="str">
        <f t="shared" si="78"/>
        <v/>
      </c>
      <c r="FF302" s="11" t="str">
        <f t="shared" si="81"/>
        <v/>
      </c>
      <c r="FG302" s="11" t="str">
        <f t="shared" si="82"/>
        <v/>
      </c>
      <c r="FI302" s="141" t="str">
        <f t="shared" si="83"/>
        <v>16-oct</v>
      </c>
      <c r="FJ302" s="11" t="str">
        <f t="shared" si="77"/>
        <v/>
      </c>
      <c r="FK302" s="11" t="str">
        <f t="shared" si="84"/>
        <v/>
      </c>
      <c r="FL302" s="11" t="str">
        <f t="shared" si="85"/>
        <v/>
      </c>
      <c r="FN302" s="141" t="str">
        <f t="shared" si="86"/>
        <v>16-oct</v>
      </c>
      <c r="FO302" s="11" t="str">
        <f t="shared" si="79"/>
        <v/>
      </c>
      <c r="FP302" s="11" t="str">
        <f t="shared" si="87"/>
        <v/>
      </c>
      <c r="FQ302" s="11" t="str">
        <f t="shared" si="88"/>
        <v/>
      </c>
    </row>
    <row r="303" spans="2:173">
      <c r="B303"/>
      <c r="C303"/>
      <c r="BC303"/>
      <c r="BD303"/>
      <c r="BE303"/>
      <c r="BF303"/>
      <c r="BJ303"/>
      <c r="BK303"/>
      <c r="BL303"/>
      <c r="CI303"/>
      <c r="CJ303"/>
      <c r="CM303"/>
      <c r="CN303"/>
      <c r="CO303"/>
      <c r="DG303"/>
      <c r="DH303"/>
      <c r="DI303"/>
      <c r="DJ303"/>
      <c r="DK303"/>
      <c r="DL303"/>
      <c r="EG303"/>
      <c r="EH303"/>
      <c r="EW303" s="43" t="s">
        <v>681</v>
      </c>
      <c r="EX303" s="61"/>
      <c r="EY303" s="61">
        <v>0</v>
      </c>
      <c r="EZ303" s="61">
        <v>0</v>
      </c>
      <c r="FA303" s="61">
        <v>0</v>
      </c>
      <c r="FB303" s="61">
        <v>0</v>
      </c>
      <c r="FD303" s="141" t="str">
        <f t="shared" si="80"/>
        <v>17-oct</v>
      </c>
      <c r="FE303" s="11" t="str">
        <f t="shared" si="78"/>
        <v/>
      </c>
      <c r="FF303" s="11" t="str">
        <f t="shared" si="81"/>
        <v/>
      </c>
      <c r="FG303" s="11" t="str">
        <f t="shared" si="82"/>
        <v/>
      </c>
      <c r="FI303" s="141" t="str">
        <f t="shared" si="83"/>
        <v>17-oct</v>
      </c>
      <c r="FJ303" s="11" t="str">
        <f t="shared" si="77"/>
        <v/>
      </c>
      <c r="FK303" s="11" t="str">
        <f t="shared" si="84"/>
        <v/>
      </c>
      <c r="FL303" s="11" t="str">
        <f t="shared" si="85"/>
        <v/>
      </c>
      <c r="FN303" s="141" t="str">
        <f t="shared" si="86"/>
        <v>17-oct</v>
      </c>
      <c r="FO303" s="11" t="str">
        <f t="shared" si="79"/>
        <v/>
      </c>
      <c r="FP303" s="11" t="str">
        <f t="shared" si="87"/>
        <v/>
      </c>
      <c r="FQ303" s="11" t="str">
        <f t="shared" si="88"/>
        <v/>
      </c>
    </row>
    <row r="304" spans="2:173">
      <c r="B304"/>
      <c r="C304"/>
      <c r="BC304"/>
      <c r="BD304"/>
      <c r="BE304"/>
      <c r="BF304"/>
      <c r="BJ304"/>
      <c r="BK304"/>
      <c r="BL304"/>
      <c r="CI304"/>
      <c r="CJ304"/>
      <c r="CM304"/>
      <c r="CN304"/>
      <c r="CO304"/>
      <c r="DG304"/>
      <c r="DH304"/>
      <c r="DI304"/>
      <c r="DJ304"/>
      <c r="DK304"/>
      <c r="DL304"/>
      <c r="EG304"/>
      <c r="EH304"/>
      <c r="EW304" s="43" t="s">
        <v>682</v>
      </c>
      <c r="EX304" s="61"/>
      <c r="EY304" s="61">
        <v>0</v>
      </c>
      <c r="EZ304" s="61">
        <v>0</v>
      </c>
      <c r="FA304" s="61">
        <v>0</v>
      </c>
      <c r="FB304" s="61">
        <v>0</v>
      </c>
      <c r="FD304" s="141" t="str">
        <f t="shared" si="80"/>
        <v>18-oct</v>
      </c>
      <c r="FE304" s="11" t="str">
        <f t="shared" si="78"/>
        <v/>
      </c>
      <c r="FF304" s="11" t="str">
        <f t="shared" si="81"/>
        <v/>
      </c>
      <c r="FG304" s="11" t="str">
        <f t="shared" si="82"/>
        <v/>
      </c>
      <c r="FI304" s="141" t="str">
        <f t="shared" si="83"/>
        <v>18-oct</v>
      </c>
      <c r="FJ304" s="11" t="str">
        <f t="shared" si="77"/>
        <v/>
      </c>
      <c r="FK304" s="11" t="str">
        <f t="shared" si="84"/>
        <v/>
      </c>
      <c r="FL304" s="11" t="str">
        <f t="shared" si="85"/>
        <v/>
      </c>
      <c r="FN304" s="141" t="str">
        <f t="shared" si="86"/>
        <v>18-oct</v>
      </c>
      <c r="FO304" s="11" t="str">
        <f t="shared" si="79"/>
        <v/>
      </c>
      <c r="FP304" s="11" t="str">
        <f t="shared" si="87"/>
        <v/>
      </c>
      <c r="FQ304" s="11" t="str">
        <f t="shared" si="88"/>
        <v/>
      </c>
    </row>
    <row r="305" spans="2:173">
      <c r="B305"/>
      <c r="C305"/>
      <c r="BC305"/>
      <c r="BD305"/>
      <c r="BE305"/>
      <c r="BF305"/>
      <c r="BJ305"/>
      <c r="BK305"/>
      <c r="BL305"/>
      <c r="CI305"/>
      <c r="CJ305"/>
      <c r="CM305"/>
      <c r="CN305"/>
      <c r="CO305"/>
      <c r="DG305"/>
      <c r="DH305"/>
      <c r="DI305"/>
      <c r="DJ305"/>
      <c r="DK305"/>
      <c r="DL305"/>
      <c r="EG305"/>
      <c r="EH305"/>
      <c r="EW305" s="43" t="s">
        <v>683</v>
      </c>
      <c r="EX305" s="61"/>
      <c r="EY305" s="61">
        <v>0</v>
      </c>
      <c r="EZ305" s="61">
        <v>0</v>
      </c>
      <c r="FA305" s="61">
        <v>0</v>
      </c>
      <c r="FB305" s="61">
        <v>0</v>
      </c>
      <c r="FD305" s="141" t="str">
        <f t="shared" si="80"/>
        <v>19-oct</v>
      </c>
      <c r="FE305" s="11" t="str">
        <f t="shared" si="78"/>
        <v/>
      </c>
      <c r="FF305" s="11" t="str">
        <f t="shared" si="81"/>
        <v/>
      </c>
      <c r="FG305" s="11" t="str">
        <f t="shared" si="82"/>
        <v/>
      </c>
      <c r="FI305" s="141" t="str">
        <f t="shared" si="83"/>
        <v>19-oct</v>
      </c>
      <c r="FJ305" s="11" t="str">
        <f t="shared" si="77"/>
        <v/>
      </c>
      <c r="FK305" s="11" t="str">
        <f t="shared" si="84"/>
        <v/>
      </c>
      <c r="FL305" s="11" t="str">
        <f t="shared" si="85"/>
        <v/>
      </c>
      <c r="FN305" s="141" t="str">
        <f t="shared" si="86"/>
        <v>19-oct</v>
      </c>
      <c r="FO305" s="11" t="str">
        <f t="shared" si="79"/>
        <v/>
      </c>
      <c r="FP305" s="11" t="str">
        <f t="shared" si="87"/>
        <v/>
      </c>
      <c r="FQ305" s="11" t="str">
        <f t="shared" si="88"/>
        <v/>
      </c>
    </row>
    <row r="306" spans="2:173">
      <c r="B306"/>
      <c r="C306"/>
      <c r="BC306"/>
      <c r="BD306"/>
      <c r="BE306"/>
      <c r="BF306"/>
      <c r="BJ306"/>
      <c r="BK306"/>
      <c r="BL306"/>
      <c r="CI306"/>
      <c r="CJ306"/>
      <c r="CM306"/>
      <c r="CN306"/>
      <c r="CO306"/>
      <c r="DG306"/>
      <c r="DH306"/>
      <c r="DI306"/>
      <c r="DJ306"/>
      <c r="DK306"/>
      <c r="DL306"/>
      <c r="EG306"/>
      <c r="EH306"/>
      <c r="EW306" s="43" t="s">
        <v>684</v>
      </c>
      <c r="EX306" s="61"/>
      <c r="EY306" s="61">
        <v>0</v>
      </c>
      <c r="EZ306" s="61">
        <v>0</v>
      </c>
      <c r="FA306" s="61">
        <v>0</v>
      </c>
      <c r="FB306" s="61">
        <v>0</v>
      </c>
      <c r="FD306" s="141" t="str">
        <f t="shared" si="80"/>
        <v>20-oct</v>
      </c>
      <c r="FE306" s="11" t="str">
        <f t="shared" si="78"/>
        <v/>
      </c>
      <c r="FF306" s="11" t="str">
        <f t="shared" si="81"/>
        <v/>
      </c>
      <c r="FG306" s="11" t="str">
        <f t="shared" si="82"/>
        <v/>
      </c>
      <c r="FI306" s="141" t="str">
        <f t="shared" si="83"/>
        <v>20-oct</v>
      </c>
      <c r="FJ306" s="11" t="str">
        <f t="shared" si="77"/>
        <v/>
      </c>
      <c r="FK306" s="11" t="str">
        <f t="shared" si="84"/>
        <v/>
      </c>
      <c r="FL306" s="11" t="str">
        <f t="shared" si="85"/>
        <v/>
      </c>
      <c r="FN306" s="141" t="str">
        <f t="shared" si="86"/>
        <v>20-oct</v>
      </c>
      <c r="FO306" s="11" t="str">
        <f t="shared" si="79"/>
        <v/>
      </c>
      <c r="FP306" s="11" t="str">
        <f t="shared" si="87"/>
        <v/>
      </c>
      <c r="FQ306" s="11" t="str">
        <f t="shared" si="88"/>
        <v/>
      </c>
    </row>
    <row r="307" spans="2:173">
      <c r="B307"/>
      <c r="C307"/>
      <c r="BC307"/>
      <c r="BD307"/>
      <c r="BE307"/>
      <c r="BF307"/>
      <c r="BJ307"/>
      <c r="BK307"/>
      <c r="BL307"/>
      <c r="CI307"/>
      <c r="CJ307"/>
      <c r="CM307"/>
      <c r="CN307"/>
      <c r="CO307"/>
      <c r="DG307"/>
      <c r="DH307"/>
      <c r="DI307"/>
      <c r="DJ307"/>
      <c r="DK307"/>
      <c r="DL307"/>
      <c r="EG307"/>
      <c r="EH307"/>
      <c r="EW307" s="43" t="s">
        <v>685</v>
      </c>
      <c r="EX307" s="61"/>
      <c r="EY307" s="61">
        <v>0</v>
      </c>
      <c r="EZ307" s="61">
        <v>0</v>
      </c>
      <c r="FA307" s="61">
        <v>0</v>
      </c>
      <c r="FB307" s="61">
        <v>0</v>
      </c>
      <c r="FD307" s="141" t="str">
        <f t="shared" si="80"/>
        <v>21-oct</v>
      </c>
      <c r="FE307" s="11" t="str">
        <f t="shared" si="78"/>
        <v/>
      </c>
      <c r="FF307" s="11" t="str">
        <f t="shared" si="81"/>
        <v/>
      </c>
      <c r="FG307" s="11" t="str">
        <f t="shared" si="82"/>
        <v/>
      </c>
      <c r="FI307" s="141" t="str">
        <f t="shared" si="83"/>
        <v>21-oct</v>
      </c>
      <c r="FJ307" s="11" t="str">
        <f t="shared" si="77"/>
        <v/>
      </c>
      <c r="FK307" s="11" t="str">
        <f t="shared" si="84"/>
        <v/>
      </c>
      <c r="FL307" s="11" t="str">
        <f t="shared" si="85"/>
        <v/>
      </c>
      <c r="FN307" s="141" t="str">
        <f t="shared" si="86"/>
        <v>21-oct</v>
      </c>
      <c r="FO307" s="11" t="str">
        <f t="shared" si="79"/>
        <v/>
      </c>
      <c r="FP307" s="11" t="str">
        <f t="shared" si="87"/>
        <v/>
      </c>
      <c r="FQ307" s="11" t="str">
        <f t="shared" si="88"/>
        <v/>
      </c>
    </row>
    <row r="308" spans="2:173">
      <c r="B308"/>
      <c r="C308"/>
      <c r="BC308"/>
      <c r="BD308"/>
      <c r="BE308"/>
      <c r="BF308"/>
      <c r="BJ308"/>
      <c r="BK308"/>
      <c r="BL308"/>
      <c r="CI308"/>
      <c r="CJ308"/>
      <c r="CM308"/>
      <c r="CN308"/>
      <c r="CO308"/>
      <c r="DG308"/>
      <c r="DH308"/>
      <c r="DI308"/>
      <c r="DJ308"/>
      <c r="DK308"/>
      <c r="DL308"/>
      <c r="EG308"/>
      <c r="EH308"/>
      <c r="EW308" s="43" t="s">
        <v>686</v>
      </c>
      <c r="EX308" s="61"/>
      <c r="EY308" s="61">
        <v>0</v>
      </c>
      <c r="EZ308" s="61">
        <v>0</v>
      </c>
      <c r="FA308" s="61">
        <v>0</v>
      </c>
      <c r="FB308" s="61">
        <v>0</v>
      </c>
      <c r="FD308" s="141" t="str">
        <f t="shared" si="80"/>
        <v>22-oct</v>
      </c>
      <c r="FE308" s="11" t="str">
        <f t="shared" si="78"/>
        <v/>
      </c>
      <c r="FF308" s="11" t="str">
        <f t="shared" si="81"/>
        <v/>
      </c>
      <c r="FG308" s="11" t="str">
        <f t="shared" si="82"/>
        <v/>
      </c>
      <c r="FI308" s="141" t="str">
        <f t="shared" si="83"/>
        <v>22-oct</v>
      </c>
      <c r="FJ308" s="11" t="str">
        <f t="shared" si="77"/>
        <v/>
      </c>
      <c r="FK308" s="11" t="str">
        <f t="shared" si="84"/>
        <v/>
      </c>
      <c r="FL308" s="11" t="str">
        <f t="shared" si="85"/>
        <v/>
      </c>
      <c r="FN308" s="141" t="str">
        <f t="shared" si="86"/>
        <v>22-oct</v>
      </c>
      <c r="FO308" s="11" t="str">
        <f t="shared" si="79"/>
        <v/>
      </c>
      <c r="FP308" s="11" t="str">
        <f t="shared" si="87"/>
        <v/>
      </c>
      <c r="FQ308" s="11" t="str">
        <f t="shared" si="88"/>
        <v/>
      </c>
    </row>
    <row r="309" spans="2:173">
      <c r="B309"/>
      <c r="C309"/>
      <c r="BC309"/>
      <c r="BD309"/>
      <c r="BE309"/>
      <c r="BF309"/>
      <c r="BJ309"/>
      <c r="BK309"/>
      <c r="BL309"/>
      <c r="CI309"/>
      <c r="CJ309"/>
      <c r="CM309"/>
      <c r="CN309"/>
      <c r="CO309"/>
      <c r="DG309"/>
      <c r="DH309"/>
      <c r="DI309"/>
      <c r="DJ309"/>
      <c r="DK309"/>
      <c r="DL309"/>
      <c r="EG309"/>
      <c r="EH309"/>
      <c r="EW309" s="43" t="s">
        <v>687</v>
      </c>
      <c r="EX309" s="61"/>
      <c r="EY309" s="61">
        <v>0</v>
      </c>
      <c r="EZ309" s="61">
        <v>0</v>
      </c>
      <c r="FA309" s="61">
        <v>0</v>
      </c>
      <c r="FB309" s="61">
        <v>0</v>
      </c>
      <c r="FD309" s="141" t="str">
        <f t="shared" si="80"/>
        <v>23-oct</v>
      </c>
      <c r="FE309" s="11" t="str">
        <f t="shared" si="78"/>
        <v/>
      </c>
      <c r="FF309" s="11" t="str">
        <f t="shared" si="81"/>
        <v/>
      </c>
      <c r="FG309" s="11" t="str">
        <f t="shared" si="82"/>
        <v/>
      </c>
      <c r="FI309" s="141" t="str">
        <f t="shared" si="83"/>
        <v>23-oct</v>
      </c>
      <c r="FJ309" s="11" t="str">
        <f t="shared" si="77"/>
        <v/>
      </c>
      <c r="FK309" s="11" t="str">
        <f t="shared" si="84"/>
        <v/>
      </c>
      <c r="FL309" s="11" t="str">
        <f t="shared" si="85"/>
        <v/>
      </c>
      <c r="FN309" s="141" t="str">
        <f t="shared" si="86"/>
        <v>23-oct</v>
      </c>
      <c r="FO309" s="11" t="str">
        <f t="shared" si="79"/>
        <v/>
      </c>
      <c r="FP309" s="11" t="str">
        <f t="shared" si="87"/>
        <v/>
      </c>
      <c r="FQ309" s="11" t="str">
        <f t="shared" si="88"/>
        <v/>
      </c>
    </row>
    <row r="310" spans="2:173">
      <c r="B310"/>
      <c r="C310"/>
      <c r="BC310"/>
      <c r="BD310"/>
      <c r="BE310"/>
      <c r="BF310"/>
      <c r="BJ310"/>
      <c r="BK310"/>
      <c r="BL310"/>
      <c r="CI310"/>
      <c r="CJ310"/>
      <c r="CM310"/>
      <c r="CN310"/>
      <c r="CO310"/>
      <c r="DG310"/>
      <c r="DH310"/>
      <c r="DI310"/>
      <c r="DJ310"/>
      <c r="DK310"/>
      <c r="DL310"/>
      <c r="EG310"/>
      <c r="EH310"/>
      <c r="EW310" s="43" t="s">
        <v>688</v>
      </c>
      <c r="EX310" s="61"/>
      <c r="EY310" s="61">
        <v>0</v>
      </c>
      <c r="EZ310" s="61">
        <v>0</v>
      </c>
      <c r="FA310" s="61">
        <v>0</v>
      </c>
      <c r="FB310" s="61">
        <v>0</v>
      </c>
      <c r="FD310" s="141" t="str">
        <f t="shared" si="80"/>
        <v>24-oct</v>
      </c>
      <c r="FE310" s="11" t="str">
        <f t="shared" si="78"/>
        <v/>
      </c>
      <c r="FF310" s="11" t="str">
        <f t="shared" si="81"/>
        <v/>
      </c>
      <c r="FG310" s="11" t="str">
        <f t="shared" si="82"/>
        <v/>
      </c>
      <c r="FI310" s="141" t="str">
        <f t="shared" si="83"/>
        <v>24-oct</v>
      </c>
      <c r="FJ310" s="11" t="str">
        <f t="shared" si="77"/>
        <v/>
      </c>
      <c r="FK310" s="11" t="str">
        <f t="shared" si="84"/>
        <v/>
      </c>
      <c r="FL310" s="11" t="str">
        <f t="shared" si="85"/>
        <v/>
      </c>
      <c r="FN310" s="141" t="str">
        <f t="shared" si="86"/>
        <v>24-oct</v>
      </c>
      <c r="FO310" s="11" t="str">
        <f t="shared" si="79"/>
        <v/>
      </c>
      <c r="FP310" s="11" t="str">
        <f t="shared" si="87"/>
        <v/>
      </c>
      <c r="FQ310" s="11" t="str">
        <f t="shared" si="88"/>
        <v/>
      </c>
    </row>
    <row r="311" spans="2:173">
      <c r="B311"/>
      <c r="C311"/>
      <c r="BC311"/>
      <c r="BD311"/>
      <c r="BE311"/>
      <c r="BF311"/>
      <c r="BJ311"/>
      <c r="BK311"/>
      <c r="BL311"/>
      <c r="CI311"/>
      <c r="CJ311"/>
      <c r="CM311"/>
      <c r="CN311"/>
      <c r="CO311"/>
      <c r="DG311"/>
      <c r="DH311"/>
      <c r="DI311"/>
      <c r="DJ311"/>
      <c r="DK311"/>
      <c r="DL311"/>
      <c r="EG311"/>
      <c r="EH311"/>
      <c r="EW311" s="43" t="s">
        <v>689</v>
      </c>
      <c r="EX311" s="61"/>
      <c r="EY311" s="61">
        <v>0</v>
      </c>
      <c r="EZ311" s="61">
        <v>0</v>
      </c>
      <c r="FA311" s="61">
        <v>0</v>
      </c>
      <c r="FB311" s="61">
        <v>0</v>
      </c>
      <c r="FD311" s="141" t="str">
        <f t="shared" si="80"/>
        <v>25-oct</v>
      </c>
      <c r="FE311" s="11" t="str">
        <f t="shared" si="78"/>
        <v/>
      </c>
      <c r="FF311" s="11" t="str">
        <f t="shared" si="81"/>
        <v/>
      </c>
      <c r="FG311" s="11" t="str">
        <f t="shared" si="82"/>
        <v/>
      </c>
      <c r="FI311" s="141" t="str">
        <f t="shared" si="83"/>
        <v>25-oct</v>
      </c>
      <c r="FJ311" s="11" t="str">
        <f t="shared" si="77"/>
        <v/>
      </c>
      <c r="FK311" s="11" t="str">
        <f t="shared" si="84"/>
        <v/>
      </c>
      <c r="FL311" s="11" t="str">
        <f t="shared" si="85"/>
        <v/>
      </c>
      <c r="FN311" s="141" t="str">
        <f t="shared" si="86"/>
        <v>25-oct</v>
      </c>
      <c r="FO311" s="11" t="str">
        <f t="shared" si="79"/>
        <v/>
      </c>
      <c r="FP311" s="11" t="str">
        <f t="shared" si="87"/>
        <v/>
      </c>
      <c r="FQ311" s="11" t="str">
        <f t="shared" si="88"/>
        <v/>
      </c>
    </row>
    <row r="312" spans="2:173">
      <c r="B312"/>
      <c r="C312"/>
      <c r="BC312"/>
      <c r="BD312"/>
      <c r="BE312"/>
      <c r="BF312"/>
      <c r="BJ312"/>
      <c r="BK312"/>
      <c r="BL312"/>
      <c r="CI312"/>
      <c r="CJ312"/>
      <c r="CM312"/>
      <c r="CN312"/>
      <c r="CO312"/>
      <c r="DG312"/>
      <c r="DH312"/>
      <c r="DI312"/>
      <c r="DJ312"/>
      <c r="DK312"/>
      <c r="DL312"/>
      <c r="EG312"/>
      <c r="EH312"/>
      <c r="EW312" s="43" t="s">
        <v>690</v>
      </c>
      <c r="EX312" s="61"/>
      <c r="EY312" s="61">
        <v>0</v>
      </c>
      <c r="EZ312" s="61">
        <v>0</v>
      </c>
      <c r="FA312" s="61">
        <v>0</v>
      </c>
      <c r="FB312" s="61">
        <v>0</v>
      </c>
      <c r="FD312" s="141" t="str">
        <f t="shared" si="80"/>
        <v>26-oct</v>
      </c>
      <c r="FE312" s="11" t="str">
        <f t="shared" si="78"/>
        <v/>
      </c>
      <c r="FF312" s="11" t="str">
        <f t="shared" si="81"/>
        <v/>
      </c>
      <c r="FG312" s="11" t="str">
        <f t="shared" si="82"/>
        <v/>
      </c>
      <c r="FI312" s="141" t="str">
        <f t="shared" si="83"/>
        <v>26-oct</v>
      </c>
      <c r="FJ312" s="11" t="str">
        <f t="shared" si="77"/>
        <v/>
      </c>
      <c r="FK312" s="11" t="str">
        <f t="shared" si="84"/>
        <v/>
      </c>
      <c r="FL312" s="11" t="str">
        <f t="shared" si="85"/>
        <v/>
      </c>
      <c r="FN312" s="141" t="str">
        <f t="shared" si="86"/>
        <v>26-oct</v>
      </c>
      <c r="FO312" s="11" t="str">
        <f t="shared" si="79"/>
        <v/>
      </c>
      <c r="FP312" s="11" t="str">
        <f t="shared" si="87"/>
        <v/>
      </c>
      <c r="FQ312" s="11" t="str">
        <f t="shared" si="88"/>
        <v/>
      </c>
    </row>
    <row r="313" spans="2:173">
      <c r="B313"/>
      <c r="C313"/>
      <c r="BC313"/>
      <c r="BD313"/>
      <c r="BE313"/>
      <c r="BF313"/>
      <c r="BJ313"/>
      <c r="BK313"/>
      <c r="BL313"/>
      <c r="CI313"/>
      <c r="CJ313"/>
      <c r="CM313"/>
      <c r="CN313"/>
      <c r="CO313"/>
      <c r="DG313"/>
      <c r="DH313"/>
      <c r="DI313"/>
      <c r="DJ313"/>
      <c r="DK313"/>
      <c r="DL313"/>
      <c r="EG313"/>
      <c r="EH313"/>
      <c r="EW313" s="43" t="s">
        <v>691</v>
      </c>
      <c r="EX313" s="61"/>
      <c r="EY313" s="61">
        <v>0</v>
      </c>
      <c r="EZ313" s="61">
        <v>0</v>
      </c>
      <c r="FA313" s="61">
        <v>0</v>
      </c>
      <c r="FB313" s="61">
        <v>0</v>
      </c>
      <c r="FD313" s="141" t="str">
        <f t="shared" si="80"/>
        <v>27-oct</v>
      </c>
      <c r="FE313" s="11" t="str">
        <f t="shared" si="78"/>
        <v/>
      </c>
      <c r="FF313" s="11" t="str">
        <f t="shared" si="81"/>
        <v/>
      </c>
      <c r="FG313" s="11" t="str">
        <f t="shared" si="82"/>
        <v/>
      </c>
      <c r="FI313" s="141" t="str">
        <f t="shared" si="83"/>
        <v>27-oct</v>
      </c>
      <c r="FJ313" s="11" t="str">
        <f t="shared" si="77"/>
        <v/>
      </c>
      <c r="FK313" s="11" t="str">
        <f t="shared" si="84"/>
        <v/>
      </c>
      <c r="FL313" s="11" t="str">
        <f t="shared" si="85"/>
        <v/>
      </c>
      <c r="FN313" s="141" t="str">
        <f t="shared" si="86"/>
        <v>27-oct</v>
      </c>
      <c r="FO313" s="11" t="str">
        <f t="shared" si="79"/>
        <v/>
      </c>
      <c r="FP313" s="11" t="str">
        <f t="shared" si="87"/>
        <v/>
      </c>
      <c r="FQ313" s="11" t="str">
        <f t="shared" si="88"/>
        <v/>
      </c>
    </row>
    <row r="314" spans="2:173">
      <c r="B314"/>
      <c r="C314"/>
      <c r="BC314"/>
      <c r="BD314"/>
      <c r="BE314"/>
      <c r="BF314"/>
      <c r="BJ314"/>
      <c r="BK314"/>
      <c r="BL314"/>
      <c r="CI314"/>
      <c r="CJ314"/>
      <c r="CM314"/>
      <c r="CN314"/>
      <c r="CO314"/>
      <c r="DG314"/>
      <c r="DH314"/>
      <c r="DI314"/>
      <c r="DJ314"/>
      <c r="DK314"/>
      <c r="DL314"/>
      <c r="EG314"/>
      <c r="EH314"/>
      <c r="EW314" s="43" t="s">
        <v>692</v>
      </c>
      <c r="EX314" s="61"/>
      <c r="EY314" s="61">
        <v>0</v>
      </c>
      <c r="EZ314" s="61">
        <v>0</v>
      </c>
      <c r="FA314" s="61">
        <v>0</v>
      </c>
      <c r="FB314" s="61">
        <v>0</v>
      </c>
      <c r="FD314" s="141" t="str">
        <f t="shared" si="80"/>
        <v>28-oct</v>
      </c>
      <c r="FE314" s="11" t="str">
        <f t="shared" si="78"/>
        <v/>
      </c>
      <c r="FF314" s="11" t="str">
        <f t="shared" si="81"/>
        <v/>
      </c>
      <c r="FG314" s="11" t="str">
        <f t="shared" si="82"/>
        <v/>
      </c>
      <c r="FI314" s="141" t="str">
        <f t="shared" si="83"/>
        <v>28-oct</v>
      </c>
      <c r="FJ314" s="11" t="str">
        <f t="shared" si="77"/>
        <v/>
      </c>
      <c r="FK314" s="11" t="str">
        <f t="shared" si="84"/>
        <v/>
      </c>
      <c r="FL314" s="11" t="str">
        <f t="shared" si="85"/>
        <v/>
      </c>
      <c r="FN314" s="141" t="str">
        <f t="shared" si="86"/>
        <v>28-oct</v>
      </c>
      <c r="FO314" s="11" t="str">
        <f t="shared" si="79"/>
        <v/>
      </c>
      <c r="FP314" s="11" t="str">
        <f t="shared" si="87"/>
        <v/>
      </c>
      <c r="FQ314" s="11" t="str">
        <f t="shared" si="88"/>
        <v/>
      </c>
    </row>
    <row r="315" spans="2:173">
      <c r="B315"/>
      <c r="C315"/>
      <c r="BC315"/>
      <c r="BD315"/>
      <c r="BE315"/>
      <c r="BF315"/>
      <c r="BJ315"/>
      <c r="BK315"/>
      <c r="BL315"/>
      <c r="CI315"/>
      <c r="CJ315"/>
      <c r="CM315"/>
      <c r="CN315"/>
      <c r="CO315"/>
      <c r="DG315"/>
      <c r="DH315"/>
      <c r="DI315"/>
      <c r="DJ315"/>
      <c r="DK315"/>
      <c r="DL315"/>
      <c r="EG315"/>
      <c r="EH315"/>
      <c r="EW315" s="43" t="s">
        <v>693</v>
      </c>
      <c r="EX315" s="61"/>
      <c r="EY315" s="61">
        <v>0</v>
      </c>
      <c r="EZ315" s="61">
        <v>0</v>
      </c>
      <c r="FA315" s="61">
        <v>0</v>
      </c>
      <c r="FB315" s="61">
        <v>0</v>
      </c>
      <c r="FD315" s="141" t="str">
        <f t="shared" si="80"/>
        <v>29-oct</v>
      </c>
      <c r="FE315" s="11" t="str">
        <f t="shared" si="78"/>
        <v/>
      </c>
      <c r="FF315" s="11" t="str">
        <f t="shared" si="81"/>
        <v/>
      </c>
      <c r="FG315" s="11" t="str">
        <f t="shared" si="82"/>
        <v/>
      </c>
      <c r="FI315" s="141" t="str">
        <f t="shared" si="83"/>
        <v>29-oct</v>
      </c>
      <c r="FJ315" s="11" t="str">
        <f t="shared" si="77"/>
        <v/>
      </c>
      <c r="FK315" s="11" t="str">
        <f t="shared" si="84"/>
        <v/>
      </c>
      <c r="FL315" s="11" t="str">
        <f t="shared" si="85"/>
        <v/>
      </c>
      <c r="FN315" s="141" t="str">
        <f t="shared" si="86"/>
        <v>29-oct</v>
      </c>
      <c r="FO315" s="11" t="str">
        <f t="shared" si="79"/>
        <v/>
      </c>
      <c r="FP315" s="11" t="str">
        <f t="shared" si="87"/>
        <v/>
      </c>
      <c r="FQ315" s="11" t="str">
        <f t="shared" si="88"/>
        <v/>
      </c>
    </row>
    <row r="316" spans="2:173">
      <c r="B316"/>
      <c r="C316"/>
      <c r="BC316"/>
      <c r="BD316"/>
      <c r="BE316"/>
      <c r="BF316"/>
      <c r="BJ316"/>
      <c r="BK316"/>
      <c r="BL316"/>
      <c r="CI316"/>
      <c r="CJ316"/>
      <c r="CM316"/>
      <c r="CN316"/>
      <c r="CO316"/>
      <c r="DG316"/>
      <c r="DH316"/>
      <c r="DI316"/>
      <c r="DJ316"/>
      <c r="DK316"/>
      <c r="DL316"/>
      <c r="EG316"/>
      <c r="EH316"/>
      <c r="EW316" s="43" t="s">
        <v>694</v>
      </c>
      <c r="EX316" s="61"/>
      <c r="EY316" s="61">
        <v>0</v>
      </c>
      <c r="EZ316" s="61">
        <v>0</v>
      </c>
      <c r="FA316" s="61">
        <v>0</v>
      </c>
      <c r="FB316" s="61">
        <v>0</v>
      </c>
      <c r="FD316" s="141" t="str">
        <f t="shared" si="80"/>
        <v>30-oct</v>
      </c>
      <c r="FE316" s="11" t="str">
        <f t="shared" si="78"/>
        <v/>
      </c>
      <c r="FF316" s="11" t="str">
        <f t="shared" si="81"/>
        <v/>
      </c>
      <c r="FG316" s="11" t="str">
        <f t="shared" si="82"/>
        <v/>
      </c>
      <c r="FI316" s="141" t="str">
        <f t="shared" si="83"/>
        <v>30-oct</v>
      </c>
      <c r="FJ316" s="11" t="str">
        <f t="shared" si="77"/>
        <v/>
      </c>
      <c r="FK316" s="11" t="str">
        <f t="shared" si="84"/>
        <v/>
      </c>
      <c r="FL316" s="11" t="str">
        <f t="shared" si="85"/>
        <v/>
      </c>
      <c r="FN316" s="141" t="str">
        <f t="shared" si="86"/>
        <v>30-oct</v>
      </c>
      <c r="FO316" s="11" t="str">
        <f t="shared" si="79"/>
        <v/>
      </c>
      <c r="FP316" s="11" t="str">
        <f t="shared" si="87"/>
        <v/>
      </c>
      <c r="FQ316" s="11" t="str">
        <f t="shared" si="88"/>
        <v/>
      </c>
    </row>
    <row r="317" spans="2:173">
      <c r="B317"/>
      <c r="C317"/>
      <c r="BC317"/>
      <c r="BD317"/>
      <c r="BE317"/>
      <c r="BF317"/>
      <c r="BJ317"/>
      <c r="BK317"/>
      <c r="BL317"/>
      <c r="CI317"/>
      <c r="CJ317"/>
      <c r="CM317"/>
      <c r="CN317"/>
      <c r="CO317"/>
      <c r="DG317"/>
      <c r="DH317"/>
      <c r="DI317"/>
      <c r="DJ317"/>
      <c r="DK317"/>
      <c r="DL317"/>
      <c r="EG317"/>
      <c r="EH317"/>
      <c r="EW317" s="43" t="s">
        <v>695</v>
      </c>
      <c r="EX317" s="61"/>
      <c r="EY317" s="61">
        <v>0</v>
      </c>
      <c r="EZ317" s="61">
        <v>0</v>
      </c>
      <c r="FA317" s="61">
        <v>0</v>
      </c>
      <c r="FB317" s="61">
        <v>0</v>
      </c>
      <c r="FD317" s="141" t="str">
        <f t="shared" si="80"/>
        <v>31-oct</v>
      </c>
      <c r="FE317" s="11" t="str">
        <f t="shared" si="78"/>
        <v/>
      </c>
      <c r="FF317" s="11" t="str">
        <f t="shared" si="81"/>
        <v/>
      </c>
      <c r="FG317" s="11" t="str">
        <f t="shared" si="82"/>
        <v/>
      </c>
      <c r="FI317" s="141" t="str">
        <f t="shared" si="83"/>
        <v>31-oct</v>
      </c>
      <c r="FJ317" s="11" t="str">
        <f t="shared" si="77"/>
        <v/>
      </c>
      <c r="FK317" s="11" t="str">
        <f t="shared" si="84"/>
        <v/>
      </c>
      <c r="FL317" s="11" t="str">
        <f t="shared" si="85"/>
        <v/>
      </c>
      <c r="FN317" s="141" t="str">
        <f t="shared" si="86"/>
        <v>31-oct</v>
      </c>
      <c r="FO317" s="11" t="str">
        <f t="shared" si="79"/>
        <v/>
      </c>
      <c r="FP317" s="11" t="str">
        <f t="shared" si="87"/>
        <v/>
      </c>
      <c r="FQ317" s="11" t="str">
        <f t="shared" si="88"/>
        <v/>
      </c>
    </row>
    <row r="318" spans="2:173">
      <c r="B318"/>
      <c r="C318"/>
      <c r="BC318"/>
      <c r="BD318"/>
      <c r="BE318"/>
      <c r="BF318"/>
      <c r="BJ318"/>
      <c r="BK318"/>
      <c r="BL318"/>
      <c r="CI318"/>
      <c r="CJ318"/>
      <c r="CM318"/>
      <c r="CN318"/>
      <c r="CO318"/>
      <c r="DG318"/>
      <c r="DH318"/>
      <c r="DI318"/>
      <c r="DJ318"/>
      <c r="DK318"/>
      <c r="DL318"/>
      <c r="EG318"/>
      <c r="EH318"/>
      <c r="EW318" s="37" t="s">
        <v>256</v>
      </c>
      <c r="EX318" s="61"/>
      <c r="EY318" s="61"/>
      <c r="EZ318" s="61"/>
      <c r="FA318" s="61"/>
      <c r="FB318" s="61"/>
      <c r="FD318" s="141" t="str">
        <f t="shared" si="80"/>
        <v>nov</v>
      </c>
      <c r="FE318" s="11" t="str">
        <f t="shared" si="78"/>
        <v/>
      </c>
      <c r="FF318" s="11" t="str">
        <f t="shared" si="81"/>
        <v/>
      </c>
      <c r="FG318" s="11" t="str">
        <f t="shared" si="82"/>
        <v/>
      </c>
      <c r="FI318" s="141" t="str">
        <f t="shared" si="83"/>
        <v>nov</v>
      </c>
      <c r="FJ318" s="11" t="str">
        <f t="shared" si="77"/>
        <v/>
      </c>
      <c r="FK318" s="11" t="str">
        <f t="shared" si="84"/>
        <v/>
      </c>
      <c r="FL318" s="11" t="str">
        <f t="shared" si="85"/>
        <v/>
      </c>
      <c r="FN318" s="141" t="str">
        <f t="shared" si="86"/>
        <v>nov</v>
      </c>
      <c r="FO318" s="11" t="str">
        <f t="shared" si="79"/>
        <v/>
      </c>
      <c r="FP318" s="11" t="str">
        <f t="shared" si="87"/>
        <v/>
      </c>
      <c r="FQ318" s="11" t="str">
        <f t="shared" si="88"/>
        <v/>
      </c>
    </row>
    <row r="319" spans="2:173">
      <c r="B319"/>
      <c r="C319"/>
      <c r="BC319"/>
      <c r="BD319"/>
      <c r="BE319"/>
      <c r="BF319"/>
      <c r="BJ319"/>
      <c r="BK319"/>
      <c r="BL319"/>
      <c r="CI319"/>
      <c r="CJ319"/>
      <c r="CM319"/>
      <c r="CN319"/>
      <c r="CO319"/>
      <c r="DG319"/>
      <c r="DH319"/>
      <c r="DI319"/>
      <c r="DJ319"/>
      <c r="DK319"/>
      <c r="DL319"/>
      <c r="EG319"/>
      <c r="EH319"/>
      <c r="EW319" s="43" t="s">
        <v>696</v>
      </c>
      <c r="EX319" s="61"/>
      <c r="EY319" s="61">
        <v>0</v>
      </c>
      <c r="EZ319" s="61">
        <v>0</v>
      </c>
      <c r="FA319" s="61">
        <v>0</v>
      </c>
      <c r="FB319" s="61">
        <v>0</v>
      </c>
      <c r="FD319" s="141" t="str">
        <f t="shared" si="80"/>
        <v>1-nov</v>
      </c>
      <c r="FE319" s="11" t="str">
        <f t="shared" si="78"/>
        <v/>
      </c>
      <c r="FF319" s="11" t="str">
        <f t="shared" si="81"/>
        <v/>
      </c>
      <c r="FG319" s="11" t="str">
        <f t="shared" si="82"/>
        <v/>
      </c>
      <c r="FI319" s="141" t="str">
        <f t="shared" si="83"/>
        <v>1-nov</v>
      </c>
      <c r="FJ319" s="11" t="str">
        <f t="shared" si="77"/>
        <v/>
      </c>
      <c r="FK319" s="11" t="str">
        <f t="shared" si="84"/>
        <v/>
      </c>
      <c r="FL319" s="11" t="str">
        <f t="shared" si="85"/>
        <v/>
      </c>
      <c r="FN319" s="141" t="str">
        <f t="shared" si="86"/>
        <v>1-nov</v>
      </c>
      <c r="FO319" s="11" t="str">
        <f t="shared" si="79"/>
        <v/>
      </c>
      <c r="FP319" s="11" t="str">
        <f t="shared" si="87"/>
        <v/>
      </c>
      <c r="FQ319" s="11" t="str">
        <f t="shared" si="88"/>
        <v/>
      </c>
    </row>
    <row r="320" spans="2:173">
      <c r="B320"/>
      <c r="C320"/>
      <c r="BC320"/>
      <c r="BD320"/>
      <c r="BE320"/>
      <c r="BF320"/>
      <c r="BJ320"/>
      <c r="BK320"/>
      <c r="BL320"/>
      <c r="CI320"/>
      <c r="CJ320"/>
      <c r="CM320"/>
      <c r="CN320"/>
      <c r="CO320"/>
      <c r="DG320"/>
      <c r="DH320"/>
      <c r="DI320"/>
      <c r="DJ320"/>
      <c r="DK320"/>
      <c r="DL320"/>
      <c r="EG320"/>
      <c r="EH320"/>
      <c r="EW320" s="43" t="s">
        <v>697</v>
      </c>
      <c r="EX320" s="61"/>
      <c r="EY320" s="61">
        <v>0</v>
      </c>
      <c r="EZ320" s="61">
        <v>0</v>
      </c>
      <c r="FA320" s="61">
        <v>0</v>
      </c>
      <c r="FB320" s="61">
        <v>0</v>
      </c>
      <c r="FD320" s="141" t="str">
        <f t="shared" si="80"/>
        <v>2-nov</v>
      </c>
      <c r="FE320" s="11" t="str">
        <f t="shared" si="78"/>
        <v/>
      </c>
      <c r="FF320" s="11" t="str">
        <f t="shared" si="81"/>
        <v/>
      </c>
      <c r="FG320" s="11" t="str">
        <f t="shared" si="82"/>
        <v/>
      </c>
      <c r="FI320" s="141" t="str">
        <f t="shared" si="83"/>
        <v>2-nov</v>
      </c>
      <c r="FJ320" s="11" t="str">
        <f t="shared" si="77"/>
        <v/>
      </c>
      <c r="FK320" s="11" t="str">
        <f t="shared" si="84"/>
        <v/>
      </c>
      <c r="FL320" s="11" t="str">
        <f t="shared" si="85"/>
        <v/>
      </c>
      <c r="FN320" s="141" t="str">
        <f t="shared" si="86"/>
        <v>2-nov</v>
      </c>
      <c r="FO320" s="11" t="str">
        <f t="shared" si="79"/>
        <v/>
      </c>
      <c r="FP320" s="11" t="str">
        <f t="shared" si="87"/>
        <v/>
      </c>
      <c r="FQ320" s="11" t="str">
        <f t="shared" si="88"/>
        <v/>
      </c>
    </row>
    <row r="321" spans="2:173">
      <c r="B321"/>
      <c r="C321"/>
      <c r="BC321"/>
      <c r="BD321"/>
      <c r="BE321"/>
      <c r="BF321"/>
      <c r="BJ321"/>
      <c r="BK321"/>
      <c r="BL321"/>
      <c r="CI321"/>
      <c r="CJ321"/>
      <c r="CM321"/>
      <c r="CN321"/>
      <c r="CO321"/>
      <c r="DG321"/>
      <c r="DH321"/>
      <c r="DI321"/>
      <c r="DJ321"/>
      <c r="DK321"/>
      <c r="DL321"/>
      <c r="EG321"/>
      <c r="EH321"/>
      <c r="EW321" s="43" t="s">
        <v>698</v>
      </c>
      <c r="EX321" s="61"/>
      <c r="EY321" s="61">
        <v>0</v>
      </c>
      <c r="EZ321" s="61">
        <v>0</v>
      </c>
      <c r="FA321" s="61">
        <v>0</v>
      </c>
      <c r="FB321" s="61">
        <v>0</v>
      </c>
      <c r="FD321" s="141" t="str">
        <f t="shared" si="80"/>
        <v>3-nov</v>
      </c>
      <c r="FE321" s="11" t="str">
        <f t="shared" si="78"/>
        <v/>
      </c>
      <c r="FF321" s="11" t="str">
        <f t="shared" si="81"/>
        <v/>
      </c>
      <c r="FG321" s="11" t="str">
        <f t="shared" si="82"/>
        <v/>
      </c>
      <c r="FI321" s="141" t="str">
        <f t="shared" si="83"/>
        <v>3-nov</v>
      </c>
      <c r="FJ321" s="11" t="str">
        <f t="shared" si="77"/>
        <v/>
      </c>
      <c r="FK321" s="11" t="str">
        <f t="shared" si="84"/>
        <v/>
      </c>
      <c r="FL321" s="11" t="str">
        <f t="shared" si="85"/>
        <v/>
      </c>
      <c r="FN321" s="141" t="str">
        <f t="shared" si="86"/>
        <v>3-nov</v>
      </c>
      <c r="FO321" s="11" t="str">
        <f t="shared" si="79"/>
        <v/>
      </c>
      <c r="FP321" s="11" t="str">
        <f t="shared" si="87"/>
        <v/>
      </c>
      <c r="FQ321" s="11" t="str">
        <f t="shared" si="88"/>
        <v/>
      </c>
    </row>
    <row r="322" spans="2:173">
      <c r="B322"/>
      <c r="C322"/>
      <c r="BC322"/>
      <c r="BD322"/>
      <c r="BE322"/>
      <c r="BF322"/>
      <c r="BJ322"/>
      <c r="BK322"/>
      <c r="BL322"/>
      <c r="CI322"/>
      <c r="CJ322"/>
      <c r="CM322"/>
      <c r="CN322"/>
      <c r="CO322"/>
      <c r="DG322"/>
      <c r="DH322"/>
      <c r="DI322"/>
      <c r="DJ322"/>
      <c r="DK322"/>
      <c r="DL322"/>
      <c r="EG322"/>
      <c r="EH322"/>
      <c r="EW322" s="43" t="s">
        <v>699</v>
      </c>
      <c r="EX322" s="61"/>
      <c r="EY322" s="61">
        <v>0</v>
      </c>
      <c r="EZ322" s="61">
        <v>0</v>
      </c>
      <c r="FA322" s="61">
        <v>0</v>
      </c>
      <c r="FB322" s="61">
        <v>0</v>
      </c>
      <c r="FD322" s="141" t="str">
        <f t="shared" si="80"/>
        <v>4-nov</v>
      </c>
      <c r="FE322" s="11" t="str">
        <f t="shared" si="78"/>
        <v/>
      </c>
      <c r="FF322" s="11" t="str">
        <f t="shared" si="81"/>
        <v/>
      </c>
      <c r="FG322" s="11" t="str">
        <f t="shared" si="82"/>
        <v/>
      </c>
      <c r="FI322" s="141" t="str">
        <f t="shared" si="83"/>
        <v>4-nov</v>
      </c>
      <c r="FJ322" s="11" t="str">
        <f t="shared" si="77"/>
        <v/>
      </c>
      <c r="FK322" s="11" t="str">
        <f t="shared" si="84"/>
        <v/>
      </c>
      <c r="FL322" s="11" t="str">
        <f t="shared" si="85"/>
        <v/>
      </c>
      <c r="FN322" s="141" t="str">
        <f t="shared" si="86"/>
        <v>4-nov</v>
      </c>
      <c r="FO322" s="11" t="str">
        <f t="shared" si="79"/>
        <v/>
      </c>
      <c r="FP322" s="11" t="str">
        <f t="shared" si="87"/>
        <v/>
      </c>
      <c r="FQ322" s="11" t="str">
        <f t="shared" si="88"/>
        <v/>
      </c>
    </row>
    <row r="323" spans="2:173">
      <c r="B323"/>
      <c r="C323"/>
      <c r="BC323"/>
      <c r="BD323"/>
      <c r="BE323"/>
      <c r="BF323"/>
      <c r="BJ323"/>
      <c r="BK323"/>
      <c r="BL323"/>
      <c r="CI323"/>
      <c r="CJ323"/>
      <c r="CM323"/>
      <c r="CN323"/>
      <c r="CO323"/>
      <c r="DG323"/>
      <c r="DH323"/>
      <c r="DI323"/>
      <c r="DJ323"/>
      <c r="DK323"/>
      <c r="DL323"/>
      <c r="EG323"/>
      <c r="EH323"/>
      <c r="EW323" s="43" t="s">
        <v>700</v>
      </c>
      <c r="EX323" s="61"/>
      <c r="EY323" s="61">
        <v>0</v>
      </c>
      <c r="EZ323" s="61">
        <v>0</v>
      </c>
      <c r="FA323" s="61">
        <v>0</v>
      </c>
      <c r="FB323" s="61">
        <v>0</v>
      </c>
      <c r="FD323" s="141" t="str">
        <f t="shared" ref="FD323:FD385" si="89">EW323</f>
        <v>5-nov</v>
      </c>
      <c r="FE323" s="11" t="str">
        <f t="shared" si="78"/>
        <v/>
      </c>
      <c r="FF323" s="11" t="str">
        <f t="shared" ref="FF323:FF385" si="90">IF(FE323=1,EY323,"")</f>
        <v/>
      </c>
      <c r="FG323" s="11" t="str">
        <f t="shared" ref="FG323:FG385" si="91">IF(FE323=1,GETPIVOTDATA("P. oferta",$EW$3,"Fecha",122,"Meses",5),"")</f>
        <v/>
      </c>
      <c r="FI323" s="141" t="str">
        <f t="shared" ref="FI323:FI385" si="92">EW323</f>
        <v>5-nov</v>
      </c>
      <c r="FJ323" s="11" t="str">
        <f t="shared" si="77"/>
        <v/>
      </c>
      <c r="FK323" s="11" t="str">
        <f t="shared" ref="FK323:FK385" si="93">IF(FJ323=1,EZ323,"")</f>
        <v/>
      </c>
      <c r="FL323" s="11" t="str">
        <f t="shared" ref="FL323:FL385" si="94">IF(FJ323=1,EX323,"")</f>
        <v/>
      </c>
      <c r="FN323" s="141" t="str">
        <f t="shared" ref="FN323:FN385" si="95">EW323</f>
        <v>5-nov</v>
      </c>
      <c r="FO323" s="11" t="str">
        <f t="shared" si="79"/>
        <v/>
      </c>
      <c r="FP323" s="11" t="str">
        <f t="shared" ref="FP323:FP385" si="96">IF(FO323=1,FA323,"")</f>
        <v/>
      </c>
      <c r="FQ323" s="11" t="str">
        <f t="shared" ref="FQ323:FQ385" si="97">IF(FO323=1,EX323,"")</f>
        <v/>
      </c>
    </row>
    <row r="324" spans="2:173">
      <c r="B324"/>
      <c r="C324"/>
      <c r="BC324"/>
      <c r="BD324"/>
      <c r="BE324"/>
      <c r="BF324"/>
      <c r="BJ324"/>
      <c r="BK324"/>
      <c r="BL324"/>
      <c r="CI324"/>
      <c r="CJ324"/>
      <c r="CM324"/>
      <c r="CN324"/>
      <c r="CO324"/>
      <c r="DG324"/>
      <c r="DH324"/>
      <c r="DI324"/>
      <c r="DJ324"/>
      <c r="DK324"/>
      <c r="DL324"/>
      <c r="EG324"/>
      <c r="EH324"/>
      <c r="EW324" s="43" t="s">
        <v>701</v>
      </c>
      <c r="EX324" s="61"/>
      <c r="EY324" s="61">
        <v>0</v>
      </c>
      <c r="EZ324" s="61">
        <v>0</v>
      </c>
      <c r="FA324" s="61">
        <v>0</v>
      </c>
      <c r="FB324" s="61">
        <v>0</v>
      </c>
      <c r="FD324" s="141" t="str">
        <f t="shared" si="89"/>
        <v>6-nov</v>
      </c>
      <c r="FE324" s="11" t="str">
        <f t="shared" si="78"/>
        <v/>
      </c>
      <c r="FF324" s="11" t="str">
        <f t="shared" si="90"/>
        <v/>
      </c>
      <c r="FG324" s="11" t="str">
        <f t="shared" si="91"/>
        <v/>
      </c>
      <c r="FI324" s="141" t="str">
        <f t="shared" si="92"/>
        <v>6-nov</v>
      </c>
      <c r="FJ324" s="11" t="str">
        <f t="shared" si="77"/>
        <v/>
      </c>
      <c r="FK324" s="11" t="str">
        <f t="shared" si="93"/>
        <v/>
      </c>
      <c r="FL324" s="11" t="str">
        <f t="shared" si="94"/>
        <v/>
      </c>
      <c r="FN324" s="141" t="str">
        <f t="shared" si="95"/>
        <v>6-nov</v>
      </c>
      <c r="FO324" s="11" t="str">
        <f t="shared" si="79"/>
        <v/>
      </c>
      <c r="FP324" s="11" t="str">
        <f t="shared" si="96"/>
        <v/>
      </c>
      <c r="FQ324" s="11" t="str">
        <f t="shared" si="97"/>
        <v/>
      </c>
    </row>
    <row r="325" spans="2:173">
      <c r="B325"/>
      <c r="C325"/>
      <c r="BC325"/>
      <c r="BD325"/>
      <c r="BE325"/>
      <c r="BF325"/>
      <c r="BJ325"/>
      <c r="BK325"/>
      <c r="BL325"/>
      <c r="CI325"/>
      <c r="CJ325"/>
      <c r="CM325"/>
      <c r="CN325"/>
      <c r="CO325"/>
      <c r="DG325"/>
      <c r="DH325"/>
      <c r="DI325"/>
      <c r="DJ325"/>
      <c r="DK325"/>
      <c r="DL325"/>
      <c r="EG325"/>
      <c r="EH325"/>
      <c r="EW325" s="43" t="s">
        <v>702</v>
      </c>
      <c r="EX325" s="61"/>
      <c r="EY325" s="61">
        <v>0</v>
      </c>
      <c r="EZ325" s="61">
        <v>0</v>
      </c>
      <c r="FA325" s="61">
        <v>0</v>
      </c>
      <c r="FB325" s="61">
        <v>0</v>
      </c>
      <c r="FD325" s="141" t="str">
        <f t="shared" si="89"/>
        <v>7-nov</v>
      </c>
      <c r="FE325" s="11" t="str">
        <f t="shared" si="78"/>
        <v/>
      </c>
      <c r="FF325" s="11" t="str">
        <f t="shared" si="90"/>
        <v/>
      </c>
      <c r="FG325" s="11" t="str">
        <f t="shared" si="91"/>
        <v/>
      </c>
      <c r="FI325" s="141" t="str">
        <f t="shared" si="92"/>
        <v>7-nov</v>
      </c>
      <c r="FJ325" s="11" t="str">
        <f t="shared" si="77"/>
        <v/>
      </c>
      <c r="FK325" s="11" t="str">
        <f t="shared" si="93"/>
        <v/>
      </c>
      <c r="FL325" s="11" t="str">
        <f t="shared" si="94"/>
        <v/>
      </c>
      <c r="FN325" s="141" t="str">
        <f t="shared" si="95"/>
        <v>7-nov</v>
      </c>
      <c r="FO325" s="11" t="str">
        <f t="shared" si="79"/>
        <v/>
      </c>
      <c r="FP325" s="11" t="str">
        <f t="shared" si="96"/>
        <v/>
      </c>
      <c r="FQ325" s="11" t="str">
        <f t="shared" si="97"/>
        <v/>
      </c>
    </row>
    <row r="326" spans="2:173">
      <c r="B326"/>
      <c r="C326"/>
      <c r="BC326"/>
      <c r="BD326"/>
      <c r="BE326"/>
      <c r="BF326"/>
      <c r="BJ326"/>
      <c r="BK326"/>
      <c r="BL326"/>
      <c r="CI326"/>
      <c r="CJ326"/>
      <c r="CM326"/>
      <c r="CN326"/>
      <c r="CO326"/>
      <c r="DG326"/>
      <c r="DH326"/>
      <c r="DI326"/>
      <c r="DJ326"/>
      <c r="DK326"/>
      <c r="DL326"/>
      <c r="EG326"/>
      <c r="EH326"/>
      <c r="EW326" s="43" t="s">
        <v>703</v>
      </c>
      <c r="EX326" s="61"/>
      <c r="EY326" s="61">
        <v>0</v>
      </c>
      <c r="EZ326" s="61">
        <v>0</v>
      </c>
      <c r="FA326" s="61">
        <v>0</v>
      </c>
      <c r="FB326" s="61">
        <v>0</v>
      </c>
      <c r="FD326" s="141" t="str">
        <f t="shared" si="89"/>
        <v>8-nov</v>
      </c>
      <c r="FE326" s="11" t="str">
        <f t="shared" si="78"/>
        <v/>
      </c>
      <c r="FF326" s="11" t="str">
        <f t="shared" si="90"/>
        <v/>
      </c>
      <c r="FG326" s="11" t="str">
        <f t="shared" si="91"/>
        <v/>
      </c>
      <c r="FI326" s="141" t="str">
        <f t="shared" si="92"/>
        <v>8-nov</v>
      </c>
      <c r="FJ326" s="11" t="str">
        <f t="shared" si="77"/>
        <v/>
      </c>
      <c r="FK326" s="11" t="str">
        <f t="shared" si="93"/>
        <v/>
      </c>
      <c r="FL326" s="11" t="str">
        <f t="shared" si="94"/>
        <v/>
      </c>
      <c r="FN326" s="141" t="str">
        <f t="shared" si="95"/>
        <v>8-nov</v>
      </c>
      <c r="FO326" s="11" t="str">
        <f t="shared" si="79"/>
        <v/>
      </c>
      <c r="FP326" s="11" t="str">
        <f t="shared" si="96"/>
        <v/>
      </c>
      <c r="FQ326" s="11" t="str">
        <f t="shared" si="97"/>
        <v/>
      </c>
    </row>
    <row r="327" spans="2:173">
      <c r="B327"/>
      <c r="C327"/>
      <c r="BC327"/>
      <c r="BD327"/>
      <c r="BE327"/>
      <c r="BF327"/>
      <c r="BJ327"/>
      <c r="BK327"/>
      <c r="BL327"/>
      <c r="CI327"/>
      <c r="CJ327"/>
      <c r="CM327"/>
      <c r="CN327"/>
      <c r="CO327"/>
      <c r="DG327"/>
      <c r="DH327"/>
      <c r="DI327"/>
      <c r="DJ327"/>
      <c r="DK327"/>
      <c r="DL327"/>
      <c r="EG327"/>
      <c r="EH327"/>
      <c r="EW327" s="43" t="s">
        <v>704</v>
      </c>
      <c r="EX327" s="61"/>
      <c r="EY327" s="61">
        <v>0</v>
      </c>
      <c r="EZ327" s="61">
        <v>0</v>
      </c>
      <c r="FA327" s="61">
        <v>0</v>
      </c>
      <c r="FB327" s="61">
        <v>0</v>
      </c>
      <c r="FD327" s="141" t="str">
        <f t="shared" si="89"/>
        <v>9-nov</v>
      </c>
      <c r="FE327" s="11" t="str">
        <f t="shared" si="78"/>
        <v/>
      </c>
      <c r="FF327" s="11" t="str">
        <f t="shared" si="90"/>
        <v/>
      </c>
      <c r="FG327" s="11" t="str">
        <f t="shared" si="91"/>
        <v/>
      </c>
      <c r="FI327" s="141" t="str">
        <f t="shared" si="92"/>
        <v>9-nov</v>
      </c>
      <c r="FJ327" s="11" t="str">
        <f t="shared" si="77"/>
        <v/>
      </c>
      <c r="FK327" s="11" t="str">
        <f t="shared" si="93"/>
        <v/>
      </c>
      <c r="FL327" s="11" t="str">
        <f t="shared" si="94"/>
        <v/>
      </c>
      <c r="FN327" s="141" t="str">
        <f t="shared" si="95"/>
        <v>9-nov</v>
      </c>
      <c r="FO327" s="11" t="str">
        <f t="shared" si="79"/>
        <v/>
      </c>
      <c r="FP327" s="11" t="str">
        <f t="shared" si="96"/>
        <v/>
      </c>
      <c r="FQ327" s="11" t="str">
        <f t="shared" si="97"/>
        <v/>
      </c>
    </row>
    <row r="328" spans="2:173">
      <c r="B328"/>
      <c r="C328"/>
      <c r="BC328"/>
      <c r="BD328"/>
      <c r="BE328"/>
      <c r="BF328"/>
      <c r="BJ328"/>
      <c r="BK328"/>
      <c r="BL328"/>
      <c r="CI328"/>
      <c r="CJ328"/>
      <c r="CM328"/>
      <c r="CN328"/>
      <c r="CO328"/>
      <c r="DG328"/>
      <c r="DH328"/>
      <c r="DI328"/>
      <c r="DJ328"/>
      <c r="DK328"/>
      <c r="DL328"/>
      <c r="EG328"/>
      <c r="EH328"/>
      <c r="EW328" s="43" t="s">
        <v>705</v>
      </c>
      <c r="EX328" s="61"/>
      <c r="EY328" s="61">
        <v>0</v>
      </c>
      <c r="EZ328" s="61">
        <v>0</v>
      </c>
      <c r="FA328" s="61">
        <v>0</v>
      </c>
      <c r="FB328" s="61">
        <v>0</v>
      </c>
      <c r="FD328" s="141" t="str">
        <f t="shared" si="89"/>
        <v>10-nov</v>
      </c>
      <c r="FE328" s="11" t="str">
        <f t="shared" si="78"/>
        <v/>
      </c>
      <c r="FF328" s="11" t="str">
        <f t="shared" si="90"/>
        <v/>
      </c>
      <c r="FG328" s="11" t="str">
        <f t="shared" si="91"/>
        <v/>
      </c>
      <c r="FI328" s="141" t="str">
        <f t="shared" si="92"/>
        <v>10-nov</v>
      </c>
      <c r="FJ328" s="11" t="str">
        <f t="shared" si="77"/>
        <v/>
      </c>
      <c r="FK328" s="11" t="str">
        <f t="shared" si="93"/>
        <v/>
      </c>
      <c r="FL328" s="11" t="str">
        <f t="shared" si="94"/>
        <v/>
      </c>
      <c r="FN328" s="141" t="str">
        <f t="shared" si="95"/>
        <v>10-nov</v>
      </c>
      <c r="FO328" s="11" t="str">
        <f t="shared" si="79"/>
        <v/>
      </c>
      <c r="FP328" s="11" t="str">
        <f t="shared" si="96"/>
        <v/>
      </c>
      <c r="FQ328" s="11" t="str">
        <f t="shared" si="97"/>
        <v/>
      </c>
    </row>
    <row r="329" spans="2:173">
      <c r="B329"/>
      <c r="C329"/>
      <c r="BC329"/>
      <c r="BD329"/>
      <c r="BE329"/>
      <c r="BF329"/>
      <c r="BJ329"/>
      <c r="BK329"/>
      <c r="BL329"/>
      <c r="CI329"/>
      <c r="CJ329"/>
      <c r="CM329"/>
      <c r="CN329"/>
      <c r="CO329"/>
      <c r="DG329"/>
      <c r="DH329"/>
      <c r="DI329"/>
      <c r="DJ329"/>
      <c r="DK329"/>
      <c r="DL329"/>
      <c r="EG329"/>
      <c r="EH329"/>
      <c r="EW329" s="43" t="s">
        <v>706</v>
      </c>
      <c r="EX329" s="61"/>
      <c r="EY329" s="61">
        <v>0</v>
      </c>
      <c r="EZ329" s="61">
        <v>0</v>
      </c>
      <c r="FA329" s="61">
        <v>0</v>
      </c>
      <c r="FB329" s="61">
        <v>0</v>
      </c>
      <c r="FD329" s="141" t="str">
        <f t="shared" si="89"/>
        <v>11-nov</v>
      </c>
      <c r="FE329" s="11" t="str">
        <f t="shared" si="78"/>
        <v/>
      </c>
      <c r="FF329" s="11" t="str">
        <f t="shared" si="90"/>
        <v/>
      </c>
      <c r="FG329" s="11" t="str">
        <f t="shared" si="91"/>
        <v/>
      </c>
      <c r="FI329" s="141" t="str">
        <f t="shared" si="92"/>
        <v>11-nov</v>
      </c>
      <c r="FJ329" s="11" t="str">
        <f t="shared" ref="FJ329:FJ340" si="98">IF(EZ329&gt;0,IF(FB329&gt;0,FB329,""),"")</f>
        <v/>
      </c>
      <c r="FK329" s="11" t="str">
        <f t="shared" si="93"/>
        <v/>
      </c>
      <c r="FL329" s="11" t="str">
        <f t="shared" si="94"/>
        <v/>
      </c>
      <c r="FN329" s="141" t="str">
        <f t="shared" si="95"/>
        <v>11-nov</v>
      </c>
      <c r="FO329" s="11" t="str">
        <f t="shared" si="79"/>
        <v/>
      </c>
      <c r="FP329" s="11" t="str">
        <f t="shared" si="96"/>
        <v/>
      </c>
      <c r="FQ329" s="11" t="str">
        <f t="shared" si="97"/>
        <v/>
      </c>
    </row>
    <row r="330" spans="2:173">
      <c r="B330"/>
      <c r="C330"/>
      <c r="BC330"/>
      <c r="BD330"/>
      <c r="BE330"/>
      <c r="BF330"/>
      <c r="BJ330"/>
      <c r="BK330"/>
      <c r="BL330"/>
      <c r="CI330"/>
      <c r="CJ330"/>
      <c r="CM330"/>
      <c r="CN330"/>
      <c r="CO330"/>
      <c r="DG330"/>
      <c r="DH330"/>
      <c r="DI330"/>
      <c r="DJ330"/>
      <c r="DK330"/>
      <c r="DL330"/>
      <c r="EG330"/>
      <c r="EH330"/>
      <c r="EW330" s="43" t="s">
        <v>707</v>
      </c>
      <c r="EX330" s="61"/>
      <c r="EY330" s="61">
        <v>0</v>
      </c>
      <c r="EZ330" s="61">
        <v>0</v>
      </c>
      <c r="FA330" s="61">
        <v>0</v>
      </c>
      <c r="FB330" s="61">
        <v>0</v>
      </c>
      <c r="FD330" s="141" t="str">
        <f t="shared" si="89"/>
        <v>12-nov</v>
      </c>
      <c r="FE330" s="11" t="str">
        <f t="shared" ref="FE330:FE385" si="99">IF(EY330&gt;0,IF(FB330&gt;0,FB330,""),"")</f>
        <v/>
      </c>
      <c r="FF330" s="11" t="str">
        <f t="shared" si="90"/>
        <v/>
      </c>
      <c r="FG330" s="11" t="str">
        <f t="shared" si="91"/>
        <v/>
      </c>
      <c r="FI330" s="141" t="str">
        <f t="shared" si="92"/>
        <v>12-nov</v>
      </c>
      <c r="FJ330" s="11" t="str">
        <f t="shared" si="98"/>
        <v/>
      </c>
      <c r="FK330" s="11" t="str">
        <f t="shared" si="93"/>
        <v/>
      </c>
      <c r="FL330" s="11" t="str">
        <f t="shared" si="94"/>
        <v/>
      </c>
      <c r="FN330" s="141" t="str">
        <f t="shared" si="95"/>
        <v>12-nov</v>
      </c>
      <c r="FO330" s="11" t="str">
        <f t="shared" ref="FO330:FO385" si="100">IF(FA330&gt;0,IF(FB330&gt;0,FB330,""),"")</f>
        <v/>
      </c>
      <c r="FP330" s="11" t="str">
        <f t="shared" si="96"/>
        <v/>
      </c>
      <c r="FQ330" s="11" t="str">
        <f t="shared" si="97"/>
        <v/>
      </c>
    </row>
    <row r="331" spans="2:173">
      <c r="B331"/>
      <c r="C331"/>
      <c r="BC331"/>
      <c r="BD331"/>
      <c r="BE331"/>
      <c r="BF331"/>
      <c r="BJ331"/>
      <c r="BK331"/>
      <c r="BL331"/>
      <c r="CI331"/>
      <c r="CJ331"/>
      <c r="CM331"/>
      <c r="CN331"/>
      <c r="CO331"/>
      <c r="DG331"/>
      <c r="DH331"/>
      <c r="DI331"/>
      <c r="DJ331"/>
      <c r="DK331"/>
      <c r="DL331"/>
      <c r="EG331"/>
      <c r="EH331"/>
      <c r="EW331" s="43" t="s">
        <v>708</v>
      </c>
      <c r="EX331" s="61"/>
      <c r="EY331" s="61">
        <v>0</v>
      </c>
      <c r="EZ331" s="61">
        <v>0</v>
      </c>
      <c r="FA331" s="61">
        <v>0</v>
      </c>
      <c r="FB331" s="61">
        <v>0</v>
      </c>
      <c r="FD331" s="141" t="str">
        <f t="shared" si="89"/>
        <v>13-nov</v>
      </c>
      <c r="FE331" s="11" t="str">
        <f t="shared" si="99"/>
        <v/>
      </c>
      <c r="FF331" s="11" t="str">
        <f t="shared" si="90"/>
        <v/>
      </c>
      <c r="FG331" s="11" t="str">
        <f t="shared" si="91"/>
        <v/>
      </c>
      <c r="FI331" s="141" t="str">
        <f t="shared" si="92"/>
        <v>13-nov</v>
      </c>
      <c r="FJ331" s="11" t="str">
        <f t="shared" si="98"/>
        <v/>
      </c>
      <c r="FK331" s="11" t="str">
        <f t="shared" si="93"/>
        <v/>
      </c>
      <c r="FL331" s="11" t="str">
        <f t="shared" si="94"/>
        <v/>
      </c>
      <c r="FN331" s="141" t="str">
        <f t="shared" si="95"/>
        <v>13-nov</v>
      </c>
      <c r="FO331" s="11" t="str">
        <f t="shared" si="100"/>
        <v/>
      </c>
      <c r="FP331" s="11" t="str">
        <f t="shared" si="96"/>
        <v/>
      </c>
      <c r="FQ331" s="11" t="str">
        <f t="shared" si="97"/>
        <v/>
      </c>
    </row>
    <row r="332" spans="2:173">
      <c r="B332"/>
      <c r="C332"/>
      <c r="BC332"/>
      <c r="BD332"/>
      <c r="BE332"/>
      <c r="BF332"/>
      <c r="BJ332"/>
      <c r="BK332"/>
      <c r="BL332"/>
      <c r="CI332"/>
      <c r="CJ332"/>
      <c r="CM332"/>
      <c r="CN332"/>
      <c r="CO332"/>
      <c r="DG332"/>
      <c r="DH332"/>
      <c r="DI332"/>
      <c r="DJ332"/>
      <c r="DK332"/>
      <c r="DL332"/>
      <c r="EG332"/>
      <c r="EH332"/>
      <c r="EW332" s="43" t="s">
        <v>709</v>
      </c>
      <c r="EX332" s="61"/>
      <c r="EY332" s="61">
        <v>0</v>
      </c>
      <c r="EZ332" s="61">
        <v>0</v>
      </c>
      <c r="FA332" s="61">
        <v>0</v>
      </c>
      <c r="FB332" s="61">
        <v>0</v>
      </c>
      <c r="FD332" s="141" t="str">
        <f t="shared" si="89"/>
        <v>14-nov</v>
      </c>
      <c r="FE332" s="11" t="str">
        <f t="shared" si="99"/>
        <v/>
      </c>
      <c r="FF332" s="11" t="str">
        <f t="shared" si="90"/>
        <v/>
      </c>
      <c r="FG332" s="11" t="str">
        <f t="shared" si="91"/>
        <v/>
      </c>
      <c r="FI332" s="141" t="str">
        <f t="shared" si="92"/>
        <v>14-nov</v>
      </c>
      <c r="FJ332" s="11" t="str">
        <f t="shared" si="98"/>
        <v/>
      </c>
      <c r="FK332" s="11" t="str">
        <f t="shared" si="93"/>
        <v/>
      </c>
      <c r="FL332" s="11" t="str">
        <f t="shared" si="94"/>
        <v/>
      </c>
      <c r="FN332" s="141" t="str">
        <f t="shared" si="95"/>
        <v>14-nov</v>
      </c>
      <c r="FO332" s="11" t="str">
        <f t="shared" si="100"/>
        <v/>
      </c>
      <c r="FP332" s="11" t="str">
        <f t="shared" si="96"/>
        <v/>
      </c>
      <c r="FQ332" s="11" t="str">
        <f t="shared" si="97"/>
        <v/>
      </c>
    </row>
    <row r="333" spans="2:173">
      <c r="B333"/>
      <c r="C333"/>
      <c r="BC333"/>
      <c r="BD333"/>
      <c r="BE333"/>
      <c r="BF333"/>
      <c r="BJ333"/>
      <c r="BK333"/>
      <c r="BL333"/>
      <c r="CI333"/>
      <c r="CJ333"/>
      <c r="CM333"/>
      <c r="CN333"/>
      <c r="CO333"/>
      <c r="DG333"/>
      <c r="DH333"/>
      <c r="DI333"/>
      <c r="DJ333"/>
      <c r="DK333"/>
      <c r="DL333"/>
      <c r="EG333"/>
      <c r="EH333"/>
      <c r="EW333" s="43" t="s">
        <v>710</v>
      </c>
      <c r="EX333" s="61"/>
      <c r="EY333" s="61">
        <v>0</v>
      </c>
      <c r="EZ333" s="61">
        <v>0</v>
      </c>
      <c r="FA333" s="61">
        <v>0</v>
      </c>
      <c r="FB333" s="61">
        <v>0</v>
      </c>
      <c r="FD333" s="141" t="str">
        <f t="shared" si="89"/>
        <v>15-nov</v>
      </c>
      <c r="FE333" s="11" t="str">
        <f t="shared" si="99"/>
        <v/>
      </c>
      <c r="FF333" s="11" t="str">
        <f t="shared" si="90"/>
        <v/>
      </c>
      <c r="FG333" s="11" t="str">
        <f t="shared" si="91"/>
        <v/>
      </c>
      <c r="FI333" s="141" t="str">
        <f t="shared" si="92"/>
        <v>15-nov</v>
      </c>
      <c r="FJ333" s="11" t="str">
        <f t="shared" si="98"/>
        <v/>
      </c>
      <c r="FK333" s="11" t="str">
        <f t="shared" si="93"/>
        <v/>
      </c>
      <c r="FL333" s="11" t="str">
        <f t="shared" si="94"/>
        <v/>
      </c>
      <c r="FN333" s="141" t="str">
        <f t="shared" si="95"/>
        <v>15-nov</v>
      </c>
      <c r="FO333" s="11" t="str">
        <f t="shared" si="100"/>
        <v/>
      </c>
      <c r="FP333" s="11" t="str">
        <f t="shared" si="96"/>
        <v/>
      </c>
      <c r="FQ333" s="11" t="str">
        <f t="shared" si="97"/>
        <v/>
      </c>
    </row>
    <row r="334" spans="2:173">
      <c r="B334"/>
      <c r="C334"/>
      <c r="BC334"/>
      <c r="BD334"/>
      <c r="BE334"/>
      <c r="BF334"/>
      <c r="BJ334"/>
      <c r="BK334"/>
      <c r="BL334"/>
      <c r="CI334"/>
      <c r="CJ334"/>
      <c r="CM334"/>
      <c r="CN334"/>
      <c r="CO334"/>
      <c r="DG334"/>
      <c r="DH334"/>
      <c r="DI334"/>
      <c r="DJ334"/>
      <c r="DK334"/>
      <c r="DL334"/>
      <c r="EG334"/>
      <c r="EH334"/>
      <c r="EW334" s="43" t="s">
        <v>711</v>
      </c>
      <c r="EX334" s="61"/>
      <c r="EY334" s="61">
        <v>0</v>
      </c>
      <c r="EZ334" s="61">
        <v>0</v>
      </c>
      <c r="FA334" s="61">
        <v>0</v>
      </c>
      <c r="FB334" s="61">
        <v>0</v>
      </c>
      <c r="FD334" s="141" t="str">
        <f t="shared" si="89"/>
        <v>16-nov</v>
      </c>
      <c r="FE334" s="11" t="str">
        <f t="shared" si="99"/>
        <v/>
      </c>
      <c r="FF334" s="11" t="str">
        <f t="shared" si="90"/>
        <v/>
      </c>
      <c r="FG334" s="11" t="str">
        <f t="shared" si="91"/>
        <v/>
      </c>
      <c r="FI334" s="141" t="str">
        <f t="shared" si="92"/>
        <v>16-nov</v>
      </c>
      <c r="FJ334" s="11" t="str">
        <f t="shared" si="98"/>
        <v/>
      </c>
      <c r="FK334" s="11" t="str">
        <f t="shared" si="93"/>
        <v/>
      </c>
      <c r="FL334" s="11" t="str">
        <f t="shared" si="94"/>
        <v/>
      </c>
      <c r="FN334" s="141" t="str">
        <f t="shared" si="95"/>
        <v>16-nov</v>
      </c>
      <c r="FO334" s="11" t="str">
        <f t="shared" si="100"/>
        <v/>
      </c>
      <c r="FP334" s="11" t="str">
        <f t="shared" si="96"/>
        <v/>
      </c>
      <c r="FQ334" s="11" t="str">
        <f t="shared" si="97"/>
        <v/>
      </c>
    </row>
    <row r="335" spans="2:173">
      <c r="B335"/>
      <c r="C335"/>
      <c r="BC335"/>
      <c r="BD335"/>
      <c r="BE335"/>
      <c r="BF335"/>
      <c r="BJ335"/>
      <c r="BK335"/>
      <c r="BL335"/>
      <c r="CI335"/>
      <c r="CJ335"/>
      <c r="CM335"/>
      <c r="CN335"/>
      <c r="CO335"/>
      <c r="DG335"/>
      <c r="DH335"/>
      <c r="DI335"/>
      <c r="DJ335"/>
      <c r="DK335"/>
      <c r="DL335"/>
      <c r="EG335"/>
      <c r="EH335"/>
      <c r="EW335" s="43" t="s">
        <v>712</v>
      </c>
      <c r="EX335" s="61"/>
      <c r="EY335" s="61">
        <v>0</v>
      </c>
      <c r="EZ335" s="61">
        <v>0</v>
      </c>
      <c r="FA335" s="61">
        <v>0</v>
      </c>
      <c r="FB335" s="61">
        <v>0</v>
      </c>
      <c r="FD335" s="141" t="str">
        <f t="shared" si="89"/>
        <v>17-nov</v>
      </c>
      <c r="FE335" s="11" t="str">
        <f t="shared" si="99"/>
        <v/>
      </c>
      <c r="FF335" s="11" t="str">
        <f t="shared" si="90"/>
        <v/>
      </c>
      <c r="FG335" s="11" t="str">
        <f t="shared" si="91"/>
        <v/>
      </c>
      <c r="FI335" s="141" t="str">
        <f t="shared" si="92"/>
        <v>17-nov</v>
      </c>
      <c r="FJ335" s="11" t="str">
        <f t="shared" si="98"/>
        <v/>
      </c>
      <c r="FK335" s="11" t="str">
        <f t="shared" si="93"/>
        <v/>
      </c>
      <c r="FL335" s="11" t="str">
        <f t="shared" si="94"/>
        <v/>
      </c>
      <c r="FN335" s="141" t="str">
        <f t="shared" si="95"/>
        <v>17-nov</v>
      </c>
      <c r="FO335" s="11" t="str">
        <f t="shared" si="100"/>
        <v/>
      </c>
      <c r="FP335" s="11" t="str">
        <f t="shared" si="96"/>
        <v/>
      </c>
      <c r="FQ335" s="11" t="str">
        <f t="shared" si="97"/>
        <v/>
      </c>
    </row>
    <row r="336" spans="2:173">
      <c r="B336"/>
      <c r="C336"/>
      <c r="BC336"/>
      <c r="BD336"/>
      <c r="BE336"/>
      <c r="BF336"/>
      <c r="BJ336"/>
      <c r="BK336"/>
      <c r="BL336"/>
      <c r="CI336"/>
      <c r="CJ336"/>
      <c r="CM336"/>
      <c r="CN336"/>
      <c r="CO336"/>
      <c r="DG336"/>
      <c r="DH336"/>
      <c r="DI336"/>
      <c r="DJ336"/>
      <c r="DK336"/>
      <c r="DL336"/>
      <c r="EG336"/>
      <c r="EH336"/>
      <c r="EW336" s="43" t="s">
        <v>713</v>
      </c>
      <c r="EX336" s="61"/>
      <c r="EY336" s="61">
        <v>0</v>
      </c>
      <c r="EZ336" s="61">
        <v>0</v>
      </c>
      <c r="FA336" s="61">
        <v>0</v>
      </c>
      <c r="FB336" s="61">
        <v>0</v>
      </c>
      <c r="FD336" s="141" t="str">
        <f t="shared" si="89"/>
        <v>18-nov</v>
      </c>
      <c r="FE336" s="11" t="str">
        <f t="shared" si="99"/>
        <v/>
      </c>
      <c r="FF336" s="11" t="str">
        <f t="shared" si="90"/>
        <v/>
      </c>
      <c r="FG336" s="11" t="str">
        <f t="shared" si="91"/>
        <v/>
      </c>
      <c r="FI336" s="141" t="str">
        <f t="shared" si="92"/>
        <v>18-nov</v>
      </c>
      <c r="FJ336" s="11" t="str">
        <f t="shared" si="98"/>
        <v/>
      </c>
      <c r="FK336" s="11" t="str">
        <f t="shared" si="93"/>
        <v/>
      </c>
      <c r="FL336" s="11" t="str">
        <f t="shared" si="94"/>
        <v/>
      </c>
      <c r="FN336" s="141" t="str">
        <f t="shared" si="95"/>
        <v>18-nov</v>
      </c>
      <c r="FO336" s="11" t="str">
        <f t="shared" si="100"/>
        <v/>
      </c>
      <c r="FP336" s="11" t="str">
        <f t="shared" si="96"/>
        <v/>
      </c>
      <c r="FQ336" s="11" t="str">
        <f t="shared" si="97"/>
        <v/>
      </c>
    </row>
    <row r="337" spans="2:173">
      <c r="B337"/>
      <c r="C337"/>
      <c r="BC337"/>
      <c r="BD337"/>
      <c r="BE337"/>
      <c r="BF337"/>
      <c r="BJ337"/>
      <c r="BK337"/>
      <c r="BL337"/>
      <c r="CI337"/>
      <c r="CJ337"/>
      <c r="CM337"/>
      <c r="CN337"/>
      <c r="CO337"/>
      <c r="DG337"/>
      <c r="DH337"/>
      <c r="DI337"/>
      <c r="DJ337"/>
      <c r="DK337"/>
      <c r="DL337"/>
      <c r="EG337"/>
      <c r="EH337"/>
      <c r="EW337" s="43" t="s">
        <v>714</v>
      </c>
      <c r="EX337" s="61"/>
      <c r="EY337" s="61">
        <v>0</v>
      </c>
      <c r="EZ337" s="61">
        <v>0</v>
      </c>
      <c r="FA337" s="61">
        <v>0</v>
      </c>
      <c r="FB337" s="61">
        <v>0</v>
      </c>
      <c r="FD337" s="141" t="str">
        <f t="shared" si="89"/>
        <v>19-nov</v>
      </c>
      <c r="FE337" s="11" t="str">
        <f t="shared" si="99"/>
        <v/>
      </c>
      <c r="FF337" s="11" t="str">
        <f t="shared" si="90"/>
        <v/>
      </c>
      <c r="FG337" s="11" t="str">
        <f t="shared" si="91"/>
        <v/>
      </c>
      <c r="FI337" s="141" t="str">
        <f t="shared" si="92"/>
        <v>19-nov</v>
      </c>
      <c r="FJ337" s="11" t="str">
        <f t="shared" si="98"/>
        <v/>
      </c>
      <c r="FK337" s="11" t="str">
        <f t="shared" si="93"/>
        <v/>
      </c>
      <c r="FL337" s="11" t="str">
        <f t="shared" si="94"/>
        <v/>
      </c>
      <c r="FN337" s="141" t="str">
        <f t="shared" si="95"/>
        <v>19-nov</v>
      </c>
      <c r="FO337" s="11" t="str">
        <f t="shared" si="100"/>
        <v/>
      </c>
      <c r="FP337" s="11" t="str">
        <f t="shared" si="96"/>
        <v/>
      </c>
      <c r="FQ337" s="11" t="str">
        <f t="shared" si="97"/>
        <v/>
      </c>
    </row>
    <row r="338" spans="2:173">
      <c r="B338"/>
      <c r="C338"/>
      <c r="BC338"/>
      <c r="BD338"/>
      <c r="BE338"/>
      <c r="BF338"/>
      <c r="BJ338"/>
      <c r="BK338"/>
      <c r="BL338"/>
      <c r="CI338"/>
      <c r="CJ338"/>
      <c r="CM338"/>
      <c r="CN338"/>
      <c r="CO338"/>
      <c r="DG338"/>
      <c r="DH338"/>
      <c r="DI338"/>
      <c r="DJ338"/>
      <c r="DK338"/>
      <c r="DL338"/>
      <c r="EG338"/>
      <c r="EH338"/>
      <c r="EW338" s="43" t="s">
        <v>715</v>
      </c>
      <c r="EX338" s="61"/>
      <c r="EY338" s="61">
        <v>0</v>
      </c>
      <c r="EZ338" s="61">
        <v>0</v>
      </c>
      <c r="FA338" s="61">
        <v>0</v>
      </c>
      <c r="FB338" s="61">
        <v>0</v>
      </c>
      <c r="FD338" s="141" t="str">
        <f t="shared" si="89"/>
        <v>20-nov</v>
      </c>
      <c r="FE338" s="11" t="str">
        <f t="shared" si="99"/>
        <v/>
      </c>
      <c r="FF338" s="11" t="str">
        <f t="shared" si="90"/>
        <v/>
      </c>
      <c r="FG338" s="11" t="str">
        <f t="shared" si="91"/>
        <v/>
      </c>
      <c r="FI338" s="141" t="str">
        <f t="shared" si="92"/>
        <v>20-nov</v>
      </c>
      <c r="FJ338" s="11" t="str">
        <f t="shared" si="98"/>
        <v/>
      </c>
      <c r="FK338" s="11" t="str">
        <f t="shared" si="93"/>
        <v/>
      </c>
      <c r="FL338" s="11" t="str">
        <f t="shared" si="94"/>
        <v/>
      </c>
      <c r="FN338" s="141" t="str">
        <f t="shared" si="95"/>
        <v>20-nov</v>
      </c>
      <c r="FO338" s="11" t="str">
        <f t="shared" si="100"/>
        <v/>
      </c>
      <c r="FP338" s="11" t="str">
        <f t="shared" si="96"/>
        <v/>
      </c>
      <c r="FQ338" s="11" t="str">
        <f t="shared" si="97"/>
        <v/>
      </c>
    </row>
    <row r="339" spans="2:173">
      <c r="B339"/>
      <c r="C339"/>
      <c r="BC339"/>
      <c r="BD339"/>
      <c r="BE339"/>
      <c r="BF339"/>
      <c r="BJ339"/>
      <c r="BK339"/>
      <c r="BL339"/>
      <c r="CI339"/>
      <c r="CJ339"/>
      <c r="CM339"/>
      <c r="CN339"/>
      <c r="CO339"/>
      <c r="DG339"/>
      <c r="DH339"/>
      <c r="DI339"/>
      <c r="DJ339"/>
      <c r="DK339"/>
      <c r="DL339"/>
      <c r="EG339"/>
      <c r="EH339"/>
      <c r="EW339" s="43" t="s">
        <v>716</v>
      </c>
      <c r="EX339" s="61"/>
      <c r="EY339" s="61">
        <v>0</v>
      </c>
      <c r="EZ339" s="61">
        <v>0</v>
      </c>
      <c r="FA339" s="61">
        <v>0</v>
      </c>
      <c r="FB339" s="61">
        <v>0</v>
      </c>
      <c r="FD339" s="141" t="str">
        <f t="shared" si="89"/>
        <v>21-nov</v>
      </c>
      <c r="FE339" s="11" t="str">
        <f t="shared" si="99"/>
        <v/>
      </c>
      <c r="FF339" s="11" t="str">
        <f t="shared" si="90"/>
        <v/>
      </c>
      <c r="FG339" s="11" t="str">
        <f t="shared" si="91"/>
        <v/>
      </c>
      <c r="FI339" s="141" t="str">
        <f t="shared" si="92"/>
        <v>21-nov</v>
      </c>
      <c r="FJ339" s="11" t="str">
        <f t="shared" si="98"/>
        <v/>
      </c>
      <c r="FK339" s="11" t="str">
        <f t="shared" si="93"/>
        <v/>
      </c>
      <c r="FL339" s="11" t="str">
        <f t="shared" si="94"/>
        <v/>
      </c>
      <c r="FN339" s="141" t="str">
        <f t="shared" si="95"/>
        <v>21-nov</v>
      </c>
      <c r="FO339" s="11" t="str">
        <f t="shared" si="100"/>
        <v/>
      </c>
      <c r="FP339" s="11" t="str">
        <f t="shared" si="96"/>
        <v/>
      </c>
      <c r="FQ339" s="11" t="str">
        <f t="shared" si="97"/>
        <v/>
      </c>
    </row>
    <row r="340" spans="2:173">
      <c r="B340"/>
      <c r="C340"/>
      <c r="BC340"/>
      <c r="BD340"/>
      <c r="BE340"/>
      <c r="BF340"/>
      <c r="BJ340"/>
      <c r="BK340"/>
      <c r="BL340"/>
      <c r="CI340"/>
      <c r="CJ340"/>
      <c r="CM340"/>
      <c r="CN340"/>
      <c r="CO340"/>
      <c r="DG340"/>
      <c r="DH340"/>
      <c r="DI340"/>
      <c r="DJ340"/>
      <c r="DK340"/>
      <c r="DL340"/>
      <c r="EG340"/>
      <c r="EH340"/>
      <c r="EW340" s="43" t="s">
        <v>717</v>
      </c>
      <c r="EX340" s="61"/>
      <c r="EY340" s="61">
        <v>0</v>
      </c>
      <c r="EZ340" s="61">
        <v>0</v>
      </c>
      <c r="FA340" s="61">
        <v>0</v>
      </c>
      <c r="FB340" s="61">
        <v>0</v>
      </c>
      <c r="FD340" s="141" t="str">
        <f t="shared" si="89"/>
        <v>22-nov</v>
      </c>
      <c r="FE340" s="11" t="str">
        <f t="shared" si="99"/>
        <v/>
      </c>
      <c r="FF340" s="11" t="str">
        <f t="shared" si="90"/>
        <v/>
      </c>
      <c r="FG340" s="11" t="str">
        <f t="shared" si="91"/>
        <v/>
      </c>
      <c r="FI340" s="141" t="str">
        <f t="shared" si="92"/>
        <v>22-nov</v>
      </c>
      <c r="FJ340" s="11" t="str">
        <f t="shared" si="98"/>
        <v/>
      </c>
      <c r="FK340" s="11" t="str">
        <f t="shared" si="93"/>
        <v/>
      </c>
      <c r="FL340" s="11" t="str">
        <f t="shared" si="94"/>
        <v/>
      </c>
      <c r="FN340" s="141" t="str">
        <f t="shared" si="95"/>
        <v>22-nov</v>
      </c>
      <c r="FO340" s="11" t="str">
        <f t="shared" si="100"/>
        <v/>
      </c>
      <c r="FP340" s="11" t="str">
        <f t="shared" si="96"/>
        <v/>
      </c>
      <c r="FQ340" s="11" t="str">
        <f t="shared" si="97"/>
        <v/>
      </c>
    </row>
    <row r="341" spans="2:173">
      <c r="B341"/>
      <c r="C341"/>
      <c r="BC341"/>
      <c r="BD341"/>
      <c r="BE341"/>
      <c r="BF341"/>
      <c r="BJ341"/>
      <c r="BK341"/>
      <c r="BL341"/>
      <c r="CI341"/>
      <c r="CJ341"/>
      <c r="CM341"/>
      <c r="CN341"/>
      <c r="CO341"/>
      <c r="DG341"/>
      <c r="DH341"/>
      <c r="DI341"/>
      <c r="DJ341"/>
      <c r="DK341"/>
      <c r="DL341"/>
      <c r="EG341"/>
      <c r="EH341"/>
      <c r="EW341" s="43" t="s">
        <v>718</v>
      </c>
      <c r="EX341" s="61"/>
      <c r="EY341" s="61">
        <v>0</v>
      </c>
      <c r="EZ341" s="61">
        <v>0</v>
      </c>
      <c r="FA341" s="61">
        <v>0</v>
      </c>
      <c r="FB341" s="61">
        <v>0</v>
      </c>
      <c r="FD341" s="141" t="str">
        <f t="shared" si="89"/>
        <v>23-nov</v>
      </c>
      <c r="FE341" s="11" t="str">
        <f t="shared" si="99"/>
        <v/>
      </c>
      <c r="FF341" s="11" t="str">
        <f t="shared" si="90"/>
        <v/>
      </c>
      <c r="FG341" s="11" t="str">
        <f t="shared" si="91"/>
        <v/>
      </c>
      <c r="FI341" s="141" t="str">
        <f t="shared" si="92"/>
        <v>23-nov</v>
      </c>
      <c r="FJ341" s="11" t="str">
        <f>IF(EZ341&gt;0,IF(FB341&gt;0,FB341,""),"")</f>
        <v/>
      </c>
      <c r="FK341" s="11">
        <f>IF(FJ341&gt;0,EZ341,"")</f>
        <v>0</v>
      </c>
      <c r="FL341" s="11">
        <f>IF(FJ341&gt;0,EX341,"")</f>
        <v>0</v>
      </c>
      <c r="FN341" s="141" t="str">
        <f t="shared" si="95"/>
        <v>23-nov</v>
      </c>
      <c r="FO341" s="11" t="str">
        <f t="shared" si="100"/>
        <v/>
      </c>
      <c r="FP341" s="11" t="str">
        <f t="shared" si="96"/>
        <v/>
      </c>
      <c r="FQ341" s="11" t="str">
        <f t="shared" si="97"/>
        <v/>
      </c>
    </row>
    <row r="342" spans="2:173">
      <c r="B342"/>
      <c r="C342"/>
      <c r="BC342"/>
      <c r="BD342"/>
      <c r="BE342"/>
      <c r="BF342"/>
      <c r="BJ342"/>
      <c r="BK342"/>
      <c r="BL342"/>
      <c r="CI342"/>
      <c r="CJ342"/>
      <c r="CM342"/>
      <c r="CN342"/>
      <c r="CO342"/>
      <c r="DG342"/>
      <c r="DH342"/>
      <c r="DI342"/>
      <c r="DJ342"/>
      <c r="DK342"/>
      <c r="DL342"/>
      <c r="EG342"/>
      <c r="EH342"/>
      <c r="EW342" s="43" t="s">
        <v>719</v>
      </c>
      <c r="EX342" s="61"/>
      <c r="EY342" s="61">
        <v>0</v>
      </c>
      <c r="EZ342" s="61">
        <v>0</v>
      </c>
      <c r="FA342" s="61">
        <v>0</v>
      </c>
      <c r="FB342" s="61">
        <v>0</v>
      </c>
      <c r="FD342" s="141" t="str">
        <f t="shared" si="89"/>
        <v>24-nov</v>
      </c>
      <c r="FE342" s="11" t="str">
        <f t="shared" si="99"/>
        <v/>
      </c>
      <c r="FF342" s="11" t="str">
        <f t="shared" si="90"/>
        <v/>
      </c>
      <c r="FG342" s="11" t="str">
        <f t="shared" si="91"/>
        <v/>
      </c>
      <c r="FI342" s="141" t="str">
        <f t="shared" si="92"/>
        <v>24-nov</v>
      </c>
      <c r="FJ342" s="11" t="str">
        <f t="shared" ref="FJ342:FJ385" si="101">IF(EZ342&gt;0,IF(FB342&gt;0,FB342,""),"")</f>
        <v/>
      </c>
      <c r="FK342" s="11" t="str">
        <f t="shared" si="93"/>
        <v/>
      </c>
      <c r="FL342" s="11" t="str">
        <f t="shared" si="94"/>
        <v/>
      </c>
      <c r="FN342" s="141" t="str">
        <f t="shared" si="95"/>
        <v>24-nov</v>
      </c>
      <c r="FO342" s="11" t="str">
        <f t="shared" si="100"/>
        <v/>
      </c>
      <c r="FP342" s="11" t="str">
        <f t="shared" si="96"/>
        <v/>
      </c>
      <c r="FQ342" s="11" t="str">
        <f t="shared" si="97"/>
        <v/>
      </c>
    </row>
    <row r="343" spans="2:173">
      <c r="B343"/>
      <c r="C343"/>
      <c r="BC343"/>
      <c r="BD343"/>
      <c r="BE343"/>
      <c r="BF343"/>
      <c r="BJ343"/>
      <c r="BK343"/>
      <c r="BL343"/>
      <c r="CI343"/>
      <c r="CJ343"/>
      <c r="CM343"/>
      <c r="CN343"/>
      <c r="CO343"/>
      <c r="DG343"/>
      <c r="DH343"/>
      <c r="DI343"/>
      <c r="DJ343"/>
      <c r="DK343"/>
      <c r="DL343"/>
      <c r="EG343"/>
      <c r="EH343"/>
      <c r="EW343" s="43" t="s">
        <v>720</v>
      </c>
      <c r="EX343" s="61"/>
      <c r="EY343" s="61">
        <v>0</v>
      </c>
      <c r="EZ343" s="61">
        <v>0</v>
      </c>
      <c r="FA343" s="61">
        <v>0</v>
      </c>
      <c r="FB343" s="61">
        <v>0</v>
      </c>
      <c r="FD343" s="141" t="str">
        <f t="shared" si="89"/>
        <v>25-nov</v>
      </c>
      <c r="FE343" s="11" t="str">
        <f t="shared" si="99"/>
        <v/>
      </c>
      <c r="FF343" s="11" t="str">
        <f t="shared" si="90"/>
        <v/>
      </c>
      <c r="FG343" s="11" t="str">
        <f t="shared" si="91"/>
        <v/>
      </c>
      <c r="FI343" s="141" t="str">
        <f t="shared" si="92"/>
        <v>25-nov</v>
      </c>
      <c r="FJ343" s="11" t="str">
        <f t="shared" si="101"/>
        <v/>
      </c>
      <c r="FK343" s="11" t="str">
        <f t="shared" si="93"/>
        <v/>
      </c>
      <c r="FL343" s="11" t="str">
        <f t="shared" si="94"/>
        <v/>
      </c>
      <c r="FN343" s="141" t="str">
        <f t="shared" si="95"/>
        <v>25-nov</v>
      </c>
      <c r="FO343" s="11" t="str">
        <f t="shared" si="100"/>
        <v/>
      </c>
      <c r="FP343" s="11" t="str">
        <f t="shared" si="96"/>
        <v/>
      </c>
      <c r="FQ343" s="11" t="str">
        <f t="shared" si="97"/>
        <v/>
      </c>
    </row>
    <row r="344" spans="2:173">
      <c r="B344"/>
      <c r="C344"/>
      <c r="BC344"/>
      <c r="BD344"/>
      <c r="BE344"/>
      <c r="BF344"/>
      <c r="BJ344"/>
      <c r="BK344"/>
      <c r="BL344"/>
      <c r="CI344"/>
      <c r="CJ344"/>
      <c r="CM344"/>
      <c r="CN344"/>
      <c r="CO344"/>
      <c r="DG344"/>
      <c r="DH344"/>
      <c r="DI344"/>
      <c r="DJ344"/>
      <c r="DK344"/>
      <c r="DL344"/>
      <c r="EG344"/>
      <c r="EH344"/>
      <c r="EW344" s="43" t="s">
        <v>721</v>
      </c>
      <c r="EX344" s="61"/>
      <c r="EY344" s="61">
        <v>0</v>
      </c>
      <c r="EZ344" s="61">
        <v>0</v>
      </c>
      <c r="FA344" s="61">
        <v>0</v>
      </c>
      <c r="FB344" s="61">
        <v>0</v>
      </c>
      <c r="FD344" s="141" t="str">
        <f t="shared" si="89"/>
        <v>26-nov</v>
      </c>
      <c r="FE344" s="11" t="str">
        <f t="shared" si="99"/>
        <v/>
      </c>
      <c r="FF344" s="11" t="str">
        <f t="shared" si="90"/>
        <v/>
      </c>
      <c r="FG344" s="11" t="str">
        <f t="shared" si="91"/>
        <v/>
      </c>
      <c r="FI344" s="141" t="str">
        <f t="shared" si="92"/>
        <v>26-nov</v>
      </c>
      <c r="FJ344" s="11" t="str">
        <f t="shared" si="101"/>
        <v/>
      </c>
      <c r="FK344" s="11" t="str">
        <f t="shared" si="93"/>
        <v/>
      </c>
      <c r="FL344" s="11" t="str">
        <f t="shared" si="94"/>
        <v/>
      </c>
      <c r="FN344" s="141" t="str">
        <f t="shared" si="95"/>
        <v>26-nov</v>
      </c>
      <c r="FO344" s="11" t="str">
        <f t="shared" si="100"/>
        <v/>
      </c>
      <c r="FP344" s="11" t="str">
        <f t="shared" si="96"/>
        <v/>
      </c>
      <c r="FQ344" s="11" t="str">
        <f t="shared" si="97"/>
        <v/>
      </c>
    </row>
    <row r="345" spans="2:173">
      <c r="B345"/>
      <c r="C345"/>
      <c r="BC345"/>
      <c r="BD345"/>
      <c r="BE345"/>
      <c r="BF345"/>
      <c r="BJ345"/>
      <c r="BK345"/>
      <c r="BL345"/>
      <c r="CI345"/>
      <c r="CJ345"/>
      <c r="CM345"/>
      <c r="CN345"/>
      <c r="CO345"/>
      <c r="DG345"/>
      <c r="DH345"/>
      <c r="DI345"/>
      <c r="DJ345"/>
      <c r="DK345"/>
      <c r="DL345"/>
      <c r="EG345"/>
      <c r="EH345"/>
      <c r="EW345" s="43" t="s">
        <v>722</v>
      </c>
      <c r="EX345" s="61"/>
      <c r="EY345" s="61">
        <v>0</v>
      </c>
      <c r="EZ345" s="61">
        <v>0</v>
      </c>
      <c r="FA345" s="61">
        <v>0</v>
      </c>
      <c r="FB345" s="61">
        <v>0</v>
      </c>
      <c r="FD345" s="141" t="str">
        <f t="shared" si="89"/>
        <v>27-nov</v>
      </c>
      <c r="FE345" s="11" t="str">
        <f t="shared" si="99"/>
        <v/>
      </c>
      <c r="FF345" s="11" t="str">
        <f t="shared" si="90"/>
        <v/>
      </c>
      <c r="FG345" s="11" t="str">
        <f t="shared" si="91"/>
        <v/>
      </c>
      <c r="FI345" s="141" t="str">
        <f t="shared" si="92"/>
        <v>27-nov</v>
      </c>
      <c r="FJ345" s="11" t="str">
        <f t="shared" si="101"/>
        <v/>
      </c>
      <c r="FK345" s="11" t="str">
        <f t="shared" si="93"/>
        <v/>
      </c>
      <c r="FL345" s="11" t="str">
        <f t="shared" si="94"/>
        <v/>
      </c>
      <c r="FN345" s="141" t="str">
        <f t="shared" si="95"/>
        <v>27-nov</v>
      </c>
      <c r="FO345" s="11" t="str">
        <f t="shared" si="100"/>
        <v/>
      </c>
      <c r="FP345" s="11" t="str">
        <f t="shared" si="96"/>
        <v/>
      </c>
      <c r="FQ345" s="11" t="str">
        <f t="shared" si="97"/>
        <v/>
      </c>
    </row>
    <row r="346" spans="2:173">
      <c r="B346"/>
      <c r="C346"/>
      <c r="BC346"/>
      <c r="BD346"/>
      <c r="BE346"/>
      <c r="BF346"/>
      <c r="BJ346"/>
      <c r="BK346"/>
      <c r="BL346"/>
      <c r="CI346"/>
      <c r="CJ346"/>
      <c r="CM346"/>
      <c r="CN346"/>
      <c r="CO346"/>
      <c r="DG346"/>
      <c r="DH346"/>
      <c r="DI346"/>
      <c r="DJ346"/>
      <c r="DK346"/>
      <c r="DL346"/>
      <c r="EG346"/>
      <c r="EH346"/>
      <c r="EW346" s="43" t="s">
        <v>723</v>
      </c>
      <c r="EX346" s="61"/>
      <c r="EY346" s="61">
        <v>0</v>
      </c>
      <c r="EZ346" s="61">
        <v>0</v>
      </c>
      <c r="FA346" s="61">
        <v>0</v>
      </c>
      <c r="FB346" s="61">
        <v>0</v>
      </c>
      <c r="FD346" s="141" t="str">
        <f t="shared" si="89"/>
        <v>28-nov</v>
      </c>
      <c r="FE346" s="11" t="str">
        <f t="shared" si="99"/>
        <v/>
      </c>
      <c r="FF346" s="11" t="str">
        <f t="shared" si="90"/>
        <v/>
      </c>
      <c r="FG346" s="11" t="str">
        <f t="shared" si="91"/>
        <v/>
      </c>
      <c r="FI346" s="141" t="str">
        <f t="shared" si="92"/>
        <v>28-nov</v>
      </c>
      <c r="FJ346" s="11" t="str">
        <f t="shared" si="101"/>
        <v/>
      </c>
      <c r="FK346" s="11" t="str">
        <f t="shared" si="93"/>
        <v/>
      </c>
      <c r="FL346" s="11" t="str">
        <f t="shared" si="94"/>
        <v/>
      </c>
      <c r="FN346" s="141" t="str">
        <f t="shared" si="95"/>
        <v>28-nov</v>
      </c>
      <c r="FO346" s="11" t="str">
        <f t="shared" si="100"/>
        <v/>
      </c>
      <c r="FP346" s="11" t="str">
        <f t="shared" si="96"/>
        <v/>
      </c>
      <c r="FQ346" s="11" t="str">
        <f t="shared" si="97"/>
        <v/>
      </c>
    </row>
    <row r="347" spans="2:173">
      <c r="B347"/>
      <c r="C347"/>
      <c r="BC347"/>
      <c r="BD347"/>
      <c r="BE347"/>
      <c r="BF347"/>
      <c r="BJ347"/>
      <c r="BK347"/>
      <c r="BL347"/>
      <c r="CI347"/>
      <c r="CJ347"/>
      <c r="CM347"/>
      <c r="CN347"/>
      <c r="CO347"/>
      <c r="DG347"/>
      <c r="DH347"/>
      <c r="DI347"/>
      <c r="DJ347"/>
      <c r="DK347"/>
      <c r="DL347"/>
      <c r="EG347"/>
      <c r="EH347"/>
      <c r="EW347" s="43" t="s">
        <v>724</v>
      </c>
      <c r="EX347" s="61"/>
      <c r="EY347" s="61">
        <v>0</v>
      </c>
      <c r="EZ347" s="61">
        <v>0</v>
      </c>
      <c r="FA347" s="61">
        <v>0</v>
      </c>
      <c r="FB347" s="61">
        <v>0</v>
      </c>
      <c r="FD347" s="141" t="str">
        <f t="shared" si="89"/>
        <v>29-nov</v>
      </c>
      <c r="FE347" s="11" t="str">
        <f t="shared" si="99"/>
        <v/>
      </c>
      <c r="FF347" s="11" t="str">
        <f t="shared" si="90"/>
        <v/>
      </c>
      <c r="FG347" s="11" t="str">
        <f t="shared" si="91"/>
        <v/>
      </c>
      <c r="FI347" s="141" t="str">
        <f t="shared" si="92"/>
        <v>29-nov</v>
      </c>
      <c r="FJ347" s="11" t="str">
        <f t="shared" si="101"/>
        <v/>
      </c>
      <c r="FK347" s="11" t="str">
        <f t="shared" si="93"/>
        <v/>
      </c>
      <c r="FL347" s="11" t="str">
        <f t="shared" si="94"/>
        <v/>
      </c>
      <c r="FN347" s="141" t="str">
        <f t="shared" si="95"/>
        <v>29-nov</v>
      </c>
      <c r="FO347" s="11" t="str">
        <f t="shared" si="100"/>
        <v/>
      </c>
      <c r="FP347" s="11" t="str">
        <f t="shared" si="96"/>
        <v/>
      </c>
      <c r="FQ347" s="11" t="str">
        <f t="shared" si="97"/>
        <v/>
      </c>
    </row>
    <row r="348" spans="2:173">
      <c r="B348"/>
      <c r="C348"/>
      <c r="BC348"/>
      <c r="BD348"/>
      <c r="BE348"/>
      <c r="BF348"/>
      <c r="BJ348"/>
      <c r="BK348"/>
      <c r="BL348"/>
      <c r="CI348"/>
      <c r="CJ348"/>
      <c r="CM348"/>
      <c r="CN348"/>
      <c r="CO348"/>
      <c r="DG348"/>
      <c r="DH348"/>
      <c r="DI348"/>
      <c r="DJ348"/>
      <c r="DK348"/>
      <c r="DL348"/>
      <c r="EG348"/>
      <c r="EH348"/>
      <c r="EW348" s="43" t="s">
        <v>725</v>
      </c>
      <c r="EX348" s="61"/>
      <c r="EY348" s="61">
        <v>0</v>
      </c>
      <c r="EZ348" s="61">
        <v>0</v>
      </c>
      <c r="FA348" s="61">
        <v>0</v>
      </c>
      <c r="FB348" s="61">
        <v>0</v>
      </c>
      <c r="FD348" s="141" t="str">
        <f t="shared" si="89"/>
        <v>30-nov</v>
      </c>
      <c r="FE348" s="11" t="str">
        <f t="shared" si="99"/>
        <v/>
      </c>
      <c r="FF348" s="11" t="str">
        <f t="shared" si="90"/>
        <v/>
      </c>
      <c r="FG348" s="11" t="str">
        <f t="shared" si="91"/>
        <v/>
      </c>
      <c r="FI348" s="141" t="str">
        <f t="shared" si="92"/>
        <v>30-nov</v>
      </c>
      <c r="FJ348" s="11" t="str">
        <f t="shared" si="101"/>
        <v/>
      </c>
      <c r="FK348" s="11" t="str">
        <f t="shared" si="93"/>
        <v/>
      </c>
      <c r="FL348" s="11" t="str">
        <f t="shared" si="94"/>
        <v/>
      </c>
      <c r="FN348" s="141" t="str">
        <f t="shared" si="95"/>
        <v>30-nov</v>
      </c>
      <c r="FO348" s="11" t="str">
        <f t="shared" si="100"/>
        <v/>
      </c>
      <c r="FP348" s="11" t="str">
        <f t="shared" si="96"/>
        <v/>
      </c>
      <c r="FQ348" s="11" t="str">
        <f t="shared" si="97"/>
        <v/>
      </c>
    </row>
    <row r="349" spans="2:173">
      <c r="B349"/>
      <c r="C349"/>
      <c r="BC349"/>
      <c r="BD349"/>
      <c r="BE349"/>
      <c r="BF349"/>
      <c r="BJ349"/>
      <c r="BK349"/>
      <c r="BL349"/>
      <c r="CI349"/>
      <c r="CJ349"/>
      <c r="CM349"/>
      <c r="CN349"/>
      <c r="CO349"/>
      <c r="DG349"/>
      <c r="DH349"/>
      <c r="DI349"/>
      <c r="DJ349"/>
      <c r="DK349"/>
      <c r="DL349"/>
      <c r="EG349"/>
      <c r="EH349"/>
      <c r="EW349" s="37" t="s">
        <v>257</v>
      </c>
      <c r="EX349" s="61"/>
      <c r="EY349" s="61"/>
      <c r="EZ349" s="61"/>
      <c r="FA349" s="61"/>
      <c r="FB349" s="61"/>
      <c r="FD349" s="141" t="str">
        <f t="shared" si="89"/>
        <v>dic</v>
      </c>
      <c r="FE349" s="11" t="str">
        <f t="shared" si="99"/>
        <v/>
      </c>
      <c r="FF349" s="11" t="str">
        <f t="shared" si="90"/>
        <v/>
      </c>
      <c r="FG349" s="11" t="str">
        <f t="shared" si="91"/>
        <v/>
      </c>
      <c r="FI349" s="141" t="str">
        <f t="shared" si="92"/>
        <v>dic</v>
      </c>
      <c r="FJ349" s="11" t="str">
        <f t="shared" si="101"/>
        <v/>
      </c>
      <c r="FK349" s="11" t="str">
        <f t="shared" si="93"/>
        <v/>
      </c>
      <c r="FL349" s="11" t="str">
        <f t="shared" si="94"/>
        <v/>
      </c>
      <c r="FN349" s="141" t="str">
        <f t="shared" si="95"/>
        <v>dic</v>
      </c>
      <c r="FO349" s="11" t="str">
        <f t="shared" si="100"/>
        <v/>
      </c>
      <c r="FP349" s="11" t="str">
        <f t="shared" si="96"/>
        <v/>
      </c>
      <c r="FQ349" s="11" t="str">
        <f t="shared" si="97"/>
        <v/>
      </c>
    </row>
    <row r="350" spans="2:173">
      <c r="B350"/>
      <c r="C350"/>
      <c r="BC350"/>
      <c r="BD350"/>
      <c r="BE350"/>
      <c r="BF350"/>
      <c r="BJ350"/>
      <c r="BK350"/>
      <c r="BL350"/>
      <c r="CI350"/>
      <c r="CJ350"/>
      <c r="CM350"/>
      <c r="CN350"/>
      <c r="CO350"/>
      <c r="DG350"/>
      <c r="DH350"/>
      <c r="DI350"/>
      <c r="DJ350"/>
      <c r="DK350"/>
      <c r="DL350"/>
      <c r="EG350"/>
      <c r="EH350"/>
      <c r="EW350" s="43" t="s">
        <v>726</v>
      </c>
      <c r="EX350" s="61"/>
      <c r="EY350" s="61">
        <v>0</v>
      </c>
      <c r="EZ350" s="61">
        <v>0</v>
      </c>
      <c r="FA350" s="61">
        <v>0</v>
      </c>
      <c r="FB350" s="61">
        <v>0</v>
      </c>
      <c r="FD350" s="141" t="str">
        <f t="shared" si="89"/>
        <v>1-dic</v>
      </c>
      <c r="FE350" s="11" t="str">
        <f t="shared" si="99"/>
        <v/>
      </c>
      <c r="FF350" s="11" t="str">
        <f t="shared" si="90"/>
        <v/>
      </c>
      <c r="FG350" s="11" t="str">
        <f t="shared" si="91"/>
        <v/>
      </c>
      <c r="FI350" s="141" t="str">
        <f t="shared" si="92"/>
        <v>1-dic</v>
      </c>
      <c r="FJ350" s="11" t="str">
        <f t="shared" si="101"/>
        <v/>
      </c>
      <c r="FK350" s="11" t="str">
        <f t="shared" si="93"/>
        <v/>
      </c>
      <c r="FL350" s="11" t="str">
        <f t="shared" si="94"/>
        <v/>
      </c>
      <c r="FN350" s="141" t="str">
        <f t="shared" si="95"/>
        <v>1-dic</v>
      </c>
      <c r="FO350" s="11" t="str">
        <f t="shared" si="100"/>
        <v/>
      </c>
      <c r="FP350" s="11" t="str">
        <f t="shared" si="96"/>
        <v/>
      </c>
      <c r="FQ350" s="11" t="str">
        <f t="shared" si="97"/>
        <v/>
      </c>
    </row>
    <row r="351" spans="2:173">
      <c r="B351"/>
      <c r="C351"/>
      <c r="BC351"/>
      <c r="BD351"/>
      <c r="BE351"/>
      <c r="BF351"/>
      <c r="BJ351"/>
      <c r="BK351"/>
      <c r="BL351"/>
      <c r="CI351"/>
      <c r="CJ351"/>
      <c r="CM351"/>
      <c r="CN351"/>
      <c r="CO351"/>
      <c r="DG351"/>
      <c r="DH351"/>
      <c r="DI351"/>
      <c r="DJ351"/>
      <c r="DK351"/>
      <c r="DL351"/>
      <c r="EG351"/>
      <c r="EH351"/>
      <c r="EW351" s="43" t="s">
        <v>727</v>
      </c>
      <c r="EX351" s="61"/>
      <c r="EY351" s="61">
        <v>0</v>
      </c>
      <c r="EZ351" s="61">
        <v>0</v>
      </c>
      <c r="FA351" s="61">
        <v>0</v>
      </c>
      <c r="FB351" s="61">
        <v>0</v>
      </c>
      <c r="FD351" s="141" t="str">
        <f t="shared" si="89"/>
        <v>2-dic</v>
      </c>
      <c r="FE351" s="11" t="str">
        <f t="shared" si="99"/>
        <v/>
      </c>
      <c r="FF351" s="11" t="str">
        <f t="shared" si="90"/>
        <v/>
      </c>
      <c r="FG351" s="11" t="str">
        <f t="shared" si="91"/>
        <v/>
      </c>
      <c r="FI351" s="141" t="str">
        <f t="shared" si="92"/>
        <v>2-dic</v>
      </c>
      <c r="FJ351" s="11" t="str">
        <f t="shared" si="101"/>
        <v/>
      </c>
      <c r="FK351" s="11" t="str">
        <f t="shared" si="93"/>
        <v/>
      </c>
      <c r="FL351" s="11" t="str">
        <f t="shared" si="94"/>
        <v/>
      </c>
      <c r="FN351" s="141" t="str">
        <f t="shared" si="95"/>
        <v>2-dic</v>
      </c>
      <c r="FO351" s="11" t="str">
        <f t="shared" si="100"/>
        <v/>
      </c>
      <c r="FP351" s="11" t="str">
        <f t="shared" si="96"/>
        <v/>
      </c>
      <c r="FQ351" s="11" t="str">
        <f t="shared" si="97"/>
        <v/>
      </c>
    </row>
    <row r="352" spans="2:173">
      <c r="B352"/>
      <c r="C352"/>
      <c r="BC352"/>
      <c r="BD352"/>
      <c r="BE352"/>
      <c r="BF352"/>
      <c r="BJ352"/>
      <c r="BK352"/>
      <c r="BL352"/>
      <c r="CI352"/>
      <c r="CJ352"/>
      <c r="CM352"/>
      <c r="CN352"/>
      <c r="CO352"/>
      <c r="DG352"/>
      <c r="DH352"/>
      <c r="DI352"/>
      <c r="DJ352"/>
      <c r="DK352"/>
      <c r="DL352"/>
      <c r="EG352"/>
      <c r="EH352"/>
      <c r="EW352" s="43" t="s">
        <v>728</v>
      </c>
      <c r="EX352" s="61"/>
      <c r="EY352" s="61">
        <v>0</v>
      </c>
      <c r="EZ352" s="61">
        <v>0</v>
      </c>
      <c r="FA352" s="61">
        <v>0</v>
      </c>
      <c r="FB352" s="61">
        <v>0</v>
      </c>
      <c r="FD352" s="141" t="str">
        <f t="shared" si="89"/>
        <v>3-dic</v>
      </c>
      <c r="FE352" s="11" t="str">
        <f t="shared" si="99"/>
        <v/>
      </c>
      <c r="FF352" s="11" t="str">
        <f t="shared" si="90"/>
        <v/>
      </c>
      <c r="FG352" s="11" t="str">
        <f t="shared" si="91"/>
        <v/>
      </c>
      <c r="FI352" s="141" t="str">
        <f t="shared" si="92"/>
        <v>3-dic</v>
      </c>
      <c r="FJ352" s="11" t="str">
        <f t="shared" si="101"/>
        <v/>
      </c>
      <c r="FK352" s="11" t="str">
        <f t="shared" si="93"/>
        <v/>
      </c>
      <c r="FL352" s="11" t="str">
        <f t="shared" si="94"/>
        <v/>
      </c>
      <c r="FN352" s="141" t="str">
        <f t="shared" si="95"/>
        <v>3-dic</v>
      </c>
      <c r="FO352" s="11" t="str">
        <f t="shared" si="100"/>
        <v/>
      </c>
      <c r="FP352" s="11" t="str">
        <f t="shared" si="96"/>
        <v/>
      </c>
      <c r="FQ352" s="11" t="str">
        <f t="shared" si="97"/>
        <v/>
      </c>
    </row>
    <row r="353" spans="2:173">
      <c r="B353"/>
      <c r="C353"/>
      <c r="BC353"/>
      <c r="BD353"/>
      <c r="BE353"/>
      <c r="BF353"/>
      <c r="BJ353"/>
      <c r="BK353"/>
      <c r="BL353"/>
      <c r="CI353"/>
      <c r="CJ353"/>
      <c r="CM353"/>
      <c r="CN353"/>
      <c r="CO353"/>
      <c r="DG353"/>
      <c r="DH353"/>
      <c r="DI353"/>
      <c r="DJ353"/>
      <c r="DK353"/>
      <c r="DL353"/>
      <c r="EG353"/>
      <c r="EH353"/>
      <c r="EW353" s="43" t="s">
        <v>729</v>
      </c>
      <c r="EX353" s="61"/>
      <c r="EY353" s="61">
        <v>0</v>
      </c>
      <c r="EZ353" s="61">
        <v>0</v>
      </c>
      <c r="FA353" s="61">
        <v>0</v>
      </c>
      <c r="FB353" s="61">
        <v>0</v>
      </c>
      <c r="FD353" s="141" t="str">
        <f t="shared" si="89"/>
        <v>4-dic</v>
      </c>
      <c r="FE353" s="11" t="str">
        <f t="shared" si="99"/>
        <v/>
      </c>
      <c r="FF353" s="11" t="str">
        <f t="shared" si="90"/>
        <v/>
      </c>
      <c r="FG353" s="11" t="str">
        <f t="shared" si="91"/>
        <v/>
      </c>
      <c r="FI353" s="141" t="str">
        <f t="shared" si="92"/>
        <v>4-dic</v>
      </c>
      <c r="FJ353" s="11" t="str">
        <f t="shared" si="101"/>
        <v/>
      </c>
      <c r="FK353" s="11" t="str">
        <f t="shared" si="93"/>
        <v/>
      </c>
      <c r="FL353" s="11" t="str">
        <f t="shared" si="94"/>
        <v/>
      </c>
      <c r="FN353" s="141" t="str">
        <f t="shared" si="95"/>
        <v>4-dic</v>
      </c>
      <c r="FO353" s="11" t="str">
        <f t="shared" si="100"/>
        <v/>
      </c>
      <c r="FP353" s="11" t="str">
        <f t="shared" si="96"/>
        <v/>
      </c>
      <c r="FQ353" s="11" t="str">
        <f t="shared" si="97"/>
        <v/>
      </c>
    </row>
    <row r="354" spans="2:173">
      <c r="B354"/>
      <c r="C354"/>
      <c r="BC354"/>
      <c r="BD354"/>
      <c r="BE354"/>
      <c r="BF354"/>
      <c r="BJ354"/>
      <c r="BK354"/>
      <c r="BL354"/>
      <c r="CI354"/>
      <c r="CJ354"/>
      <c r="CM354"/>
      <c r="CN354"/>
      <c r="CO354"/>
      <c r="DG354"/>
      <c r="DH354"/>
      <c r="DI354"/>
      <c r="DJ354"/>
      <c r="DK354"/>
      <c r="DL354"/>
      <c r="EG354"/>
      <c r="EH354"/>
      <c r="EW354" s="43" t="s">
        <v>730</v>
      </c>
      <c r="EX354" s="61"/>
      <c r="EY354" s="61">
        <v>0</v>
      </c>
      <c r="EZ354" s="61">
        <v>0</v>
      </c>
      <c r="FA354" s="61">
        <v>0</v>
      </c>
      <c r="FB354" s="61">
        <v>0</v>
      </c>
      <c r="FD354" s="141" t="str">
        <f t="shared" si="89"/>
        <v>5-dic</v>
      </c>
      <c r="FE354" s="11" t="str">
        <f t="shared" si="99"/>
        <v/>
      </c>
      <c r="FF354" s="11" t="str">
        <f t="shared" si="90"/>
        <v/>
      </c>
      <c r="FG354" s="11" t="str">
        <f t="shared" si="91"/>
        <v/>
      </c>
      <c r="FI354" s="141" t="str">
        <f t="shared" si="92"/>
        <v>5-dic</v>
      </c>
      <c r="FJ354" s="11" t="str">
        <f t="shared" si="101"/>
        <v/>
      </c>
      <c r="FK354" s="11" t="str">
        <f t="shared" si="93"/>
        <v/>
      </c>
      <c r="FL354" s="11" t="str">
        <f t="shared" si="94"/>
        <v/>
      </c>
      <c r="FN354" s="141" t="str">
        <f t="shared" si="95"/>
        <v>5-dic</v>
      </c>
      <c r="FO354" s="11" t="str">
        <f t="shared" si="100"/>
        <v/>
      </c>
      <c r="FP354" s="11" t="str">
        <f t="shared" si="96"/>
        <v/>
      </c>
      <c r="FQ354" s="11" t="str">
        <f t="shared" si="97"/>
        <v/>
      </c>
    </row>
    <row r="355" spans="2:173">
      <c r="B355"/>
      <c r="C355"/>
      <c r="BC355"/>
      <c r="BD355"/>
      <c r="BE355"/>
      <c r="BF355"/>
      <c r="BJ355"/>
      <c r="BK355"/>
      <c r="BL355"/>
      <c r="CI355"/>
      <c r="CJ355"/>
      <c r="CM355"/>
      <c r="CN355"/>
      <c r="CO355"/>
      <c r="DG355"/>
      <c r="DH355"/>
      <c r="DI355"/>
      <c r="DJ355"/>
      <c r="DK355"/>
      <c r="DL355"/>
      <c r="EG355"/>
      <c r="EH355"/>
      <c r="EW355" s="43" t="s">
        <v>731</v>
      </c>
      <c r="EX355" s="61"/>
      <c r="EY355" s="61">
        <v>0</v>
      </c>
      <c r="EZ355" s="61">
        <v>0</v>
      </c>
      <c r="FA355" s="61">
        <v>0</v>
      </c>
      <c r="FB355" s="61">
        <v>0</v>
      </c>
      <c r="FD355" s="141" t="str">
        <f t="shared" si="89"/>
        <v>6-dic</v>
      </c>
      <c r="FE355" s="11" t="str">
        <f t="shared" si="99"/>
        <v/>
      </c>
      <c r="FF355" s="11" t="str">
        <f t="shared" si="90"/>
        <v/>
      </c>
      <c r="FG355" s="11" t="str">
        <f t="shared" si="91"/>
        <v/>
      </c>
      <c r="FI355" s="141" t="str">
        <f t="shared" si="92"/>
        <v>6-dic</v>
      </c>
      <c r="FJ355" s="11" t="str">
        <f t="shared" si="101"/>
        <v/>
      </c>
      <c r="FK355" s="11" t="str">
        <f t="shared" si="93"/>
        <v/>
      </c>
      <c r="FL355" s="11" t="str">
        <f t="shared" si="94"/>
        <v/>
      </c>
      <c r="FN355" s="141" t="str">
        <f t="shared" si="95"/>
        <v>6-dic</v>
      </c>
      <c r="FO355" s="11" t="str">
        <f t="shared" si="100"/>
        <v/>
      </c>
      <c r="FP355" s="11" t="str">
        <f t="shared" si="96"/>
        <v/>
      </c>
      <c r="FQ355" s="11" t="str">
        <f t="shared" si="97"/>
        <v/>
      </c>
    </row>
    <row r="356" spans="2:173">
      <c r="B356"/>
      <c r="C356"/>
      <c r="BC356"/>
      <c r="BD356"/>
      <c r="BE356"/>
      <c r="BF356"/>
      <c r="BJ356"/>
      <c r="BK356"/>
      <c r="BL356"/>
      <c r="CI356"/>
      <c r="CJ356"/>
      <c r="CM356"/>
      <c r="CN356"/>
      <c r="CO356"/>
      <c r="DG356"/>
      <c r="DH356"/>
      <c r="DI356"/>
      <c r="DJ356"/>
      <c r="DK356"/>
      <c r="DL356"/>
      <c r="EG356"/>
      <c r="EH356"/>
      <c r="EW356" s="43" t="s">
        <v>732</v>
      </c>
      <c r="EX356" s="61"/>
      <c r="EY356" s="61">
        <v>0</v>
      </c>
      <c r="EZ356" s="61">
        <v>0</v>
      </c>
      <c r="FA356" s="61">
        <v>0</v>
      </c>
      <c r="FB356" s="61">
        <v>0</v>
      </c>
      <c r="FD356" s="141" t="str">
        <f t="shared" si="89"/>
        <v>7-dic</v>
      </c>
      <c r="FE356" s="11" t="str">
        <f t="shared" si="99"/>
        <v/>
      </c>
      <c r="FF356" s="11" t="str">
        <f t="shared" si="90"/>
        <v/>
      </c>
      <c r="FG356" s="11" t="str">
        <f t="shared" si="91"/>
        <v/>
      </c>
      <c r="FI356" s="141" t="str">
        <f t="shared" si="92"/>
        <v>7-dic</v>
      </c>
      <c r="FJ356" s="11" t="str">
        <f t="shared" si="101"/>
        <v/>
      </c>
      <c r="FK356" s="11" t="str">
        <f t="shared" si="93"/>
        <v/>
      </c>
      <c r="FL356" s="11" t="str">
        <f t="shared" si="94"/>
        <v/>
      </c>
      <c r="FN356" s="141" t="str">
        <f t="shared" si="95"/>
        <v>7-dic</v>
      </c>
      <c r="FO356" s="11" t="str">
        <f t="shared" si="100"/>
        <v/>
      </c>
      <c r="FP356" s="11" t="str">
        <f t="shared" si="96"/>
        <v/>
      </c>
      <c r="FQ356" s="11" t="str">
        <f t="shared" si="97"/>
        <v/>
      </c>
    </row>
    <row r="357" spans="2:173">
      <c r="B357"/>
      <c r="C357"/>
      <c r="BC357"/>
      <c r="BD357"/>
      <c r="BE357"/>
      <c r="BF357"/>
      <c r="BJ357"/>
      <c r="BK357"/>
      <c r="BL357"/>
      <c r="CI357"/>
      <c r="CJ357"/>
      <c r="CM357"/>
      <c r="CN357"/>
      <c r="CO357"/>
      <c r="DG357"/>
      <c r="DH357"/>
      <c r="DI357"/>
      <c r="DJ357"/>
      <c r="DK357"/>
      <c r="DL357"/>
      <c r="EG357"/>
      <c r="EH357"/>
      <c r="EW357" s="43" t="s">
        <v>733</v>
      </c>
      <c r="EX357" s="61"/>
      <c r="EY357" s="61">
        <v>0</v>
      </c>
      <c r="EZ357" s="61">
        <v>0</v>
      </c>
      <c r="FA357" s="61">
        <v>0</v>
      </c>
      <c r="FB357" s="61">
        <v>0</v>
      </c>
      <c r="FD357" s="141" t="str">
        <f t="shared" si="89"/>
        <v>8-dic</v>
      </c>
      <c r="FE357" s="11" t="str">
        <f t="shared" si="99"/>
        <v/>
      </c>
      <c r="FF357" s="11" t="str">
        <f t="shared" si="90"/>
        <v/>
      </c>
      <c r="FG357" s="11" t="str">
        <f t="shared" si="91"/>
        <v/>
      </c>
      <c r="FI357" s="141" t="str">
        <f t="shared" si="92"/>
        <v>8-dic</v>
      </c>
      <c r="FJ357" s="11" t="str">
        <f t="shared" si="101"/>
        <v/>
      </c>
      <c r="FK357" s="11" t="str">
        <f t="shared" si="93"/>
        <v/>
      </c>
      <c r="FL357" s="11" t="str">
        <f t="shared" si="94"/>
        <v/>
      </c>
      <c r="FN357" s="141" t="str">
        <f t="shared" si="95"/>
        <v>8-dic</v>
      </c>
      <c r="FO357" s="11" t="str">
        <f t="shared" si="100"/>
        <v/>
      </c>
      <c r="FP357" s="11" t="str">
        <f t="shared" si="96"/>
        <v/>
      </c>
      <c r="FQ357" s="11" t="str">
        <f t="shared" si="97"/>
        <v/>
      </c>
    </row>
    <row r="358" spans="2:173">
      <c r="B358"/>
      <c r="C358"/>
      <c r="BC358"/>
      <c r="BD358"/>
      <c r="BE358"/>
      <c r="BF358"/>
      <c r="BJ358"/>
      <c r="BK358"/>
      <c r="BL358"/>
      <c r="CI358"/>
      <c r="CJ358"/>
      <c r="CM358"/>
      <c r="CN358"/>
      <c r="CO358"/>
      <c r="DG358"/>
      <c r="DH358"/>
      <c r="DI358"/>
      <c r="DJ358"/>
      <c r="DK358"/>
      <c r="DL358"/>
      <c r="EG358"/>
      <c r="EH358"/>
      <c r="EW358" s="43" t="s">
        <v>734</v>
      </c>
      <c r="EX358" s="61"/>
      <c r="EY358" s="61">
        <v>0</v>
      </c>
      <c r="EZ358" s="61">
        <v>0</v>
      </c>
      <c r="FA358" s="61">
        <v>0</v>
      </c>
      <c r="FB358" s="61">
        <v>0</v>
      </c>
      <c r="FD358" s="141" t="str">
        <f t="shared" si="89"/>
        <v>9-dic</v>
      </c>
      <c r="FE358" s="11" t="str">
        <f t="shared" si="99"/>
        <v/>
      </c>
      <c r="FF358" s="11" t="str">
        <f t="shared" si="90"/>
        <v/>
      </c>
      <c r="FG358" s="11" t="str">
        <f t="shared" si="91"/>
        <v/>
      </c>
      <c r="FI358" s="141" t="str">
        <f t="shared" si="92"/>
        <v>9-dic</v>
      </c>
      <c r="FJ358" s="11" t="str">
        <f t="shared" si="101"/>
        <v/>
      </c>
      <c r="FK358" s="11" t="str">
        <f t="shared" si="93"/>
        <v/>
      </c>
      <c r="FL358" s="11" t="str">
        <f t="shared" si="94"/>
        <v/>
      </c>
      <c r="FN358" s="141" t="str">
        <f t="shared" si="95"/>
        <v>9-dic</v>
      </c>
      <c r="FO358" s="11" t="str">
        <f t="shared" si="100"/>
        <v/>
      </c>
      <c r="FP358" s="11" t="str">
        <f t="shared" si="96"/>
        <v/>
      </c>
      <c r="FQ358" s="11" t="str">
        <f t="shared" si="97"/>
        <v/>
      </c>
    </row>
    <row r="359" spans="2:173">
      <c r="B359"/>
      <c r="C359"/>
      <c r="BC359"/>
      <c r="BD359"/>
      <c r="BE359"/>
      <c r="BF359"/>
      <c r="BJ359"/>
      <c r="BK359"/>
      <c r="BL359"/>
      <c r="CI359"/>
      <c r="CJ359"/>
      <c r="CM359"/>
      <c r="CN359"/>
      <c r="CO359"/>
      <c r="DG359"/>
      <c r="DH359"/>
      <c r="DI359"/>
      <c r="DJ359"/>
      <c r="DK359"/>
      <c r="DL359"/>
      <c r="EG359"/>
      <c r="EH359"/>
      <c r="EW359" s="43" t="s">
        <v>735</v>
      </c>
      <c r="EX359" s="61"/>
      <c r="EY359" s="61">
        <v>0</v>
      </c>
      <c r="EZ359" s="61">
        <v>0</v>
      </c>
      <c r="FA359" s="61">
        <v>0</v>
      </c>
      <c r="FB359" s="61">
        <v>0</v>
      </c>
      <c r="FD359" s="141" t="str">
        <f t="shared" si="89"/>
        <v>10-dic</v>
      </c>
      <c r="FE359" s="11" t="str">
        <f t="shared" si="99"/>
        <v/>
      </c>
      <c r="FF359" s="11" t="str">
        <f t="shared" si="90"/>
        <v/>
      </c>
      <c r="FG359" s="11" t="str">
        <f t="shared" si="91"/>
        <v/>
      </c>
      <c r="FI359" s="141" t="str">
        <f t="shared" si="92"/>
        <v>10-dic</v>
      </c>
      <c r="FJ359" s="11" t="str">
        <f t="shared" si="101"/>
        <v/>
      </c>
      <c r="FK359" s="11" t="str">
        <f t="shared" si="93"/>
        <v/>
      </c>
      <c r="FL359" s="11" t="str">
        <f t="shared" si="94"/>
        <v/>
      </c>
      <c r="FN359" s="141" t="str">
        <f t="shared" si="95"/>
        <v>10-dic</v>
      </c>
      <c r="FO359" s="11" t="str">
        <f t="shared" si="100"/>
        <v/>
      </c>
      <c r="FP359" s="11" t="str">
        <f t="shared" si="96"/>
        <v/>
      </c>
      <c r="FQ359" s="11" t="str">
        <f t="shared" si="97"/>
        <v/>
      </c>
    </row>
    <row r="360" spans="2:173">
      <c r="B360"/>
      <c r="C360"/>
      <c r="BC360"/>
      <c r="BD360"/>
      <c r="BE360"/>
      <c r="BF360"/>
      <c r="BJ360"/>
      <c r="BK360"/>
      <c r="BL360"/>
      <c r="CI360"/>
      <c r="CJ360"/>
      <c r="CM360"/>
      <c r="CN360"/>
      <c r="CO360"/>
      <c r="DG360"/>
      <c r="DH360"/>
      <c r="DI360"/>
      <c r="DJ360"/>
      <c r="DK360"/>
      <c r="DL360"/>
      <c r="EG360"/>
      <c r="EH360"/>
      <c r="EW360" s="43" t="s">
        <v>736</v>
      </c>
      <c r="EX360" s="61"/>
      <c r="EY360" s="61">
        <v>0</v>
      </c>
      <c r="EZ360" s="61">
        <v>0</v>
      </c>
      <c r="FA360" s="61">
        <v>0</v>
      </c>
      <c r="FB360" s="61">
        <v>0</v>
      </c>
      <c r="FD360" s="141" t="str">
        <f t="shared" si="89"/>
        <v>11-dic</v>
      </c>
      <c r="FE360" s="11" t="str">
        <f t="shared" si="99"/>
        <v/>
      </c>
      <c r="FF360" s="11" t="str">
        <f t="shared" si="90"/>
        <v/>
      </c>
      <c r="FG360" s="11" t="str">
        <f t="shared" si="91"/>
        <v/>
      </c>
      <c r="FI360" s="141" t="str">
        <f t="shared" si="92"/>
        <v>11-dic</v>
      </c>
      <c r="FJ360" s="11" t="str">
        <f t="shared" si="101"/>
        <v/>
      </c>
      <c r="FK360" s="11" t="str">
        <f t="shared" si="93"/>
        <v/>
      </c>
      <c r="FL360" s="11" t="str">
        <f t="shared" si="94"/>
        <v/>
      </c>
      <c r="FN360" s="141" t="str">
        <f t="shared" si="95"/>
        <v>11-dic</v>
      </c>
      <c r="FO360" s="11" t="str">
        <f t="shared" si="100"/>
        <v/>
      </c>
      <c r="FP360" s="11" t="str">
        <f t="shared" si="96"/>
        <v/>
      </c>
      <c r="FQ360" s="11" t="str">
        <f t="shared" si="97"/>
        <v/>
      </c>
    </row>
    <row r="361" spans="2:173">
      <c r="B361"/>
      <c r="C361"/>
      <c r="BC361"/>
      <c r="BD361"/>
      <c r="BE361"/>
      <c r="BF361"/>
      <c r="BJ361"/>
      <c r="BK361"/>
      <c r="BL361"/>
      <c r="CI361"/>
      <c r="CJ361"/>
      <c r="CM361"/>
      <c r="CN361"/>
      <c r="CO361"/>
      <c r="DG361"/>
      <c r="DH361"/>
      <c r="DI361"/>
      <c r="DJ361"/>
      <c r="DK361"/>
      <c r="DL361"/>
      <c r="EG361"/>
      <c r="EH361"/>
      <c r="EW361" s="43" t="s">
        <v>737</v>
      </c>
      <c r="EX361" s="61"/>
      <c r="EY361" s="61">
        <v>0</v>
      </c>
      <c r="EZ361" s="61">
        <v>0</v>
      </c>
      <c r="FA361" s="61">
        <v>0</v>
      </c>
      <c r="FB361" s="61">
        <v>0</v>
      </c>
      <c r="FD361" s="141" t="str">
        <f t="shared" si="89"/>
        <v>12-dic</v>
      </c>
      <c r="FE361" s="11" t="str">
        <f t="shared" si="99"/>
        <v/>
      </c>
      <c r="FF361" s="11" t="str">
        <f t="shared" si="90"/>
        <v/>
      </c>
      <c r="FG361" s="11" t="str">
        <f t="shared" si="91"/>
        <v/>
      </c>
      <c r="FI361" s="141" t="str">
        <f t="shared" si="92"/>
        <v>12-dic</v>
      </c>
      <c r="FJ361" s="11" t="str">
        <f t="shared" si="101"/>
        <v/>
      </c>
      <c r="FK361" s="11" t="str">
        <f t="shared" si="93"/>
        <v/>
      </c>
      <c r="FL361" s="11" t="str">
        <f t="shared" si="94"/>
        <v/>
      </c>
      <c r="FN361" s="141" t="str">
        <f t="shared" si="95"/>
        <v>12-dic</v>
      </c>
      <c r="FO361" s="11" t="str">
        <f t="shared" si="100"/>
        <v/>
      </c>
      <c r="FP361" s="11" t="str">
        <f t="shared" si="96"/>
        <v/>
      </c>
      <c r="FQ361" s="11" t="str">
        <f t="shared" si="97"/>
        <v/>
      </c>
    </row>
    <row r="362" spans="2:173">
      <c r="B362"/>
      <c r="C362"/>
      <c r="BC362"/>
      <c r="BD362"/>
      <c r="BE362"/>
      <c r="BF362"/>
      <c r="BJ362"/>
      <c r="BK362"/>
      <c r="BL362"/>
      <c r="CI362"/>
      <c r="CJ362"/>
      <c r="CM362"/>
      <c r="CN362"/>
      <c r="CO362"/>
      <c r="DG362"/>
      <c r="DH362"/>
      <c r="DI362"/>
      <c r="DJ362"/>
      <c r="DK362"/>
      <c r="DL362"/>
      <c r="EG362"/>
      <c r="EH362"/>
      <c r="EW362" s="43" t="s">
        <v>738</v>
      </c>
      <c r="EX362" s="61"/>
      <c r="EY362" s="61">
        <v>0</v>
      </c>
      <c r="EZ362" s="61">
        <v>0</v>
      </c>
      <c r="FA362" s="61">
        <v>0</v>
      </c>
      <c r="FB362" s="61">
        <v>0</v>
      </c>
      <c r="FD362" s="141" t="str">
        <f t="shared" si="89"/>
        <v>13-dic</v>
      </c>
      <c r="FE362" s="11" t="str">
        <f t="shared" si="99"/>
        <v/>
      </c>
      <c r="FF362" s="11" t="str">
        <f t="shared" si="90"/>
        <v/>
      </c>
      <c r="FG362" s="11" t="str">
        <f t="shared" si="91"/>
        <v/>
      </c>
      <c r="FI362" s="141" t="str">
        <f t="shared" si="92"/>
        <v>13-dic</v>
      </c>
      <c r="FJ362" s="11" t="str">
        <f t="shared" si="101"/>
        <v/>
      </c>
      <c r="FK362" s="11" t="str">
        <f t="shared" si="93"/>
        <v/>
      </c>
      <c r="FL362" s="11" t="str">
        <f t="shared" si="94"/>
        <v/>
      </c>
      <c r="FN362" s="141" t="str">
        <f t="shared" si="95"/>
        <v>13-dic</v>
      </c>
      <c r="FO362" s="11" t="str">
        <f t="shared" si="100"/>
        <v/>
      </c>
      <c r="FP362" s="11" t="str">
        <f t="shared" si="96"/>
        <v/>
      </c>
      <c r="FQ362" s="11" t="str">
        <f t="shared" si="97"/>
        <v/>
      </c>
    </row>
    <row r="363" spans="2:173">
      <c r="B363"/>
      <c r="C363"/>
      <c r="BC363"/>
      <c r="BD363"/>
      <c r="BE363"/>
      <c r="BF363"/>
      <c r="BJ363"/>
      <c r="BK363"/>
      <c r="BL363"/>
      <c r="CI363"/>
      <c r="CJ363"/>
      <c r="CM363"/>
      <c r="CN363"/>
      <c r="CO363"/>
      <c r="DG363"/>
      <c r="DH363"/>
      <c r="DI363"/>
      <c r="DJ363"/>
      <c r="DK363"/>
      <c r="DL363"/>
      <c r="EG363"/>
      <c r="EH363"/>
      <c r="EW363" s="43" t="s">
        <v>739</v>
      </c>
      <c r="EX363" s="61"/>
      <c r="EY363" s="61">
        <v>0</v>
      </c>
      <c r="EZ363" s="61">
        <v>0</v>
      </c>
      <c r="FA363" s="61">
        <v>0</v>
      </c>
      <c r="FB363" s="61">
        <v>0</v>
      </c>
      <c r="FD363" s="141" t="str">
        <f t="shared" si="89"/>
        <v>14-dic</v>
      </c>
      <c r="FE363" s="11" t="str">
        <f t="shared" si="99"/>
        <v/>
      </c>
      <c r="FF363" s="11" t="str">
        <f t="shared" si="90"/>
        <v/>
      </c>
      <c r="FG363" s="11" t="str">
        <f t="shared" si="91"/>
        <v/>
      </c>
      <c r="FI363" s="141" t="str">
        <f t="shared" si="92"/>
        <v>14-dic</v>
      </c>
      <c r="FJ363" s="11" t="str">
        <f t="shared" si="101"/>
        <v/>
      </c>
      <c r="FK363" s="11" t="str">
        <f t="shared" si="93"/>
        <v/>
      </c>
      <c r="FL363" s="11" t="str">
        <f t="shared" si="94"/>
        <v/>
      </c>
      <c r="FN363" s="141" t="str">
        <f t="shared" si="95"/>
        <v>14-dic</v>
      </c>
      <c r="FO363" s="11" t="str">
        <f t="shared" si="100"/>
        <v/>
      </c>
      <c r="FP363" s="11" t="str">
        <f t="shared" si="96"/>
        <v/>
      </c>
      <c r="FQ363" s="11" t="str">
        <f t="shared" si="97"/>
        <v/>
      </c>
    </row>
    <row r="364" spans="2:173">
      <c r="B364"/>
      <c r="C364"/>
      <c r="BC364"/>
      <c r="BD364"/>
      <c r="BE364"/>
      <c r="BF364"/>
      <c r="BJ364"/>
      <c r="BK364"/>
      <c r="BL364"/>
      <c r="CI364"/>
      <c r="CJ364"/>
      <c r="CM364"/>
      <c r="CN364"/>
      <c r="CO364"/>
      <c r="DG364"/>
      <c r="DH364"/>
      <c r="DI364"/>
      <c r="DJ364"/>
      <c r="DK364"/>
      <c r="DL364"/>
      <c r="EG364"/>
      <c r="EH364"/>
      <c r="EW364" s="43" t="s">
        <v>740</v>
      </c>
      <c r="EX364" s="61"/>
      <c r="EY364" s="61">
        <v>0</v>
      </c>
      <c r="EZ364" s="61">
        <v>0</v>
      </c>
      <c r="FA364" s="61">
        <v>0</v>
      </c>
      <c r="FB364" s="61">
        <v>0</v>
      </c>
      <c r="FD364" s="141" t="str">
        <f t="shared" si="89"/>
        <v>15-dic</v>
      </c>
      <c r="FE364" s="11" t="str">
        <f t="shared" si="99"/>
        <v/>
      </c>
      <c r="FF364" s="11" t="str">
        <f t="shared" si="90"/>
        <v/>
      </c>
      <c r="FG364" s="11" t="str">
        <f t="shared" si="91"/>
        <v/>
      </c>
      <c r="FI364" s="141" t="str">
        <f t="shared" si="92"/>
        <v>15-dic</v>
      </c>
      <c r="FJ364" s="11" t="str">
        <f t="shared" si="101"/>
        <v/>
      </c>
      <c r="FK364" s="11" t="str">
        <f t="shared" si="93"/>
        <v/>
      </c>
      <c r="FL364" s="11" t="str">
        <f t="shared" si="94"/>
        <v/>
      </c>
      <c r="FN364" s="141" t="str">
        <f t="shared" si="95"/>
        <v>15-dic</v>
      </c>
      <c r="FO364" s="11" t="str">
        <f t="shared" si="100"/>
        <v/>
      </c>
      <c r="FP364" s="11" t="str">
        <f t="shared" si="96"/>
        <v/>
      </c>
      <c r="FQ364" s="11" t="str">
        <f t="shared" si="97"/>
        <v/>
      </c>
    </row>
    <row r="365" spans="2:173">
      <c r="B365"/>
      <c r="C365"/>
      <c r="BC365"/>
      <c r="BD365"/>
      <c r="BE365"/>
      <c r="BF365"/>
      <c r="BJ365"/>
      <c r="BK365"/>
      <c r="BL365"/>
      <c r="CI365"/>
      <c r="CJ365"/>
      <c r="CM365"/>
      <c r="CN365"/>
      <c r="CO365"/>
      <c r="DG365"/>
      <c r="DH365"/>
      <c r="DI365"/>
      <c r="DJ365"/>
      <c r="DK365"/>
      <c r="DL365"/>
      <c r="EG365"/>
      <c r="EH365"/>
      <c r="EW365" s="43" t="s">
        <v>741</v>
      </c>
      <c r="EX365" s="61"/>
      <c r="EY365" s="61">
        <v>0</v>
      </c>
      <c r="EZ365" s="61">
        <v>0</v>
      </c>
      <c r="FA365" s="61">
        <v>0</v>
      </c>
      <c r="FB365" s="61">
        <v>0</v>
      </c>
      <c r="FD365" s="141" t="str">
        <f t="shared" si="89"/>
        <v>16-dic</v>
      </c>
      <c r="FE365" s="11" t="str">
        <f t="shared" si="99"/>
        <v/>
      </c>
      <c r="FF365" s="11" t="str">
        <f t="shared" si="90"/>
        <v/>
      </c>
      <c r="FG365" s="11" t="str">
        <f t="shared" si="91"/>
        <v/>
      </c>
      <c r="FI365" s="141" t="str">
        <f t="shared" si="92"/>
        <v>16-dic</v>
      </c>
      <c r="FJ365" s="11" t="str">
        <f t="shared" si="101"/>
        <v/>
      </c>
      <c r="FK365" s="11" t="str">
        <f t="shared" si="93"/>
        <v/>
      </c>
      <c r="FL365" s="11" t="str">
        <f t="shared" si="94"/>
        <v/>
      </c>
      <c r="FN365" s="141" t="str">
        <f t="shared" si="95"/>
        <v>16-dic</v>
      </c>
      <c r="FO365" s="11" t="str">
        <f t="shared" si="100"/>
        <v/>
      </c>
      <c r="FP365" s="11" t="str">
        <f t="shared" si="96"/>
        <v/>
      </c>
      <c r="FQ365" s="11" t="str">
        <f t="shared" si="97"/>
        <v/>
      </c>
    </row>
    <row r="366" spans="2:173">
      <c r="B366"/>
      <c r="C366"/>
      <c r="BC366"/>
      <c r="BD366"/>
      <c r="BE366"/>
      <c r="BF366"/>
      <c r="BJ366"/>
      <c r="BK366"/>
      <c r="BL366"/>
      <c r="CI366"/>
      <c r="CJ366"/>
      <c r="CM366"/>
      <c r="CN366"/>
      <c r="CO366"/>
      <c r="DG366"/>
      <c r="DH366"/>
      <c r="DI366"/>
      <c r="DJ366"/>
      <c r="DK366"/>
      <c r="DL366"/>
      <c r="EG366"/>
      <c r="EH366"/>
      <c r="EW366" s="43" t="s">
        <v>742</v>
      </c>
      <c r="EX366" s="61"/>
      <c r="EY366" s="61">
        <v>0</v>
      </c>
      <c r="EZ366" s="61">
        <v>0</v>
      </c>
      <c r="FA366" s="61">
        <v>0</v>
      </c>
      <c r="FB366" s="61">
        <v>0</v>
      </c>
      <c r="FD366" s="141" t="str">
        <f t="shared" si="89"/>
        <v>17-dic</v>
      </c>
      <c r="FE366" s="11" t="str">
        <f t="shared" si="99"/>
        <v/>
      </c>
      <c r="FF366" s="11" t="str">
        <f t="shared" si="90"/>
        <v/>
      </c>
      <c r="FG366" s="11" t="str">
        <f t="shared" si="91"/>
        <v/>
      </c>
      <c r="FI366" s="141" t="str">
        <f t="shared" si="92"/>
        <v>17-dic</v>
      </c>
      <c r="FJ366" s="11" t="str">
        <f t="shared" si="101"/>
        <v/>
      </c>
      <c r="FK366" s="11" t="str">
        <f t="shared" si="93"/>
        <v/>
      </c>
      <c r="FL366" s="11" t="str">
        <f t="shared" si="94"/>
        <v/>
      </c>
      <c r="FN366" s="141" t="str">
        <f t="shared" si="95"/>
        <v>17-dic</v>
      </c>
      <c r="FO366" s="11" t="str">
        <f t="shared" si="100"/>
        <v/>
      </c>
      <c r="FP366" s="11" t="str">
        <f t="shared" si="96"/>
        <v/>
      </c>
      <c r="FQ366" s="11" t="str">
        <f t="shared" si="97"/>
        <v/>
      </c>
    </row>
    <row r="367" spans="2:173">
      <c r="B367"/>
      <c r="C367"/>
      <c r="BC367"/>
      <c r="BD367"/>
      <c r="BE367"/>
      <c r="BF367"/>
      <c r="BJ367"/>
      <c r="BK367"/>
      <c r="BL367"/>
      <c r="CI367"/>
      <c r="CJ367"/>
      <c r="CM367"/>
      <c r="CN367"/>
      <c r="CO367"/>
      <c r="DG367"/>
      <c r="DH367"/>
      <c r="DI367"/>
      <c r="DJ367"/>
      <c r="DK367"/>
      <c r="DL367"/>
      <c r="EG367"/>
      <c r="EH367"/>
      <c r="EW367" s="43" t="s">
        <v>743</v>
      </c>
      <c r="EX367" s="61"/>
      <c r="EY367" s="61">
        <v>0</v>
      </c>
      <c r="EZ367" s="61">
        <v>0</v>
      </c>
      <c r="FA367" s="61">
        <v>0</v>
      </c>
      <c r="FB367" s="61">
        <v>0</v>
      </c>
      <c r="FD367" s="141" t="str">
        <f t="shared" si="89"/>
        <v>18-dic</v>
      </c>
      <c r="FE367" s="11" t="str">
        <f t="shared" si="99"/>
        <v/>
      </c>
      <c r="FF367" s="11" t="str">
        <f t="shared" si="90"/>
        <v/>
      </c>
      <c r="FG367" s="11" t="str">
        <f t="shared" si="91"/>
        <v/>
      </c>
      <c r="FI367" s="141" t="str">
        <f t="shared" si="92"/>
        <v>18-dic</v>
      </c>
      <c r="FJ367" s="11" t="str">
        <f t="shared" si="101"/>
        <v/>
      </c>
      <c r="FK367" s="11" t="str">
        <f t="shared" si="93"/>
        <v/>
      </c>
      <c r="FL367" s="11" t="str">
        <f t="shared" si="94"/>
        <v/>
      </c>
      <c r="FN367" s="141" t="str">
        <f t="shared" si="95"/>
        <v>18-dic</v>
      </c>
      <c r="FO367" s="11" t="str">
        <f t="shared" si="100"/>
        <v/>
      </c>
      <c r="FP367" s="11" t="str">
        <f t="shared" si="96"/>
        <v/>
      </c>
      <c r="FQ367" s="11" t="str">
        <f t="shared" si="97"/>
        <v/>
      </c>
    </row>
    <row r="368" spans="2:173">
      <c r="B368"/>
      <c r="C368"/>
      <c r="BC368"/>
      <c r="BD368"/>
      <c r="BE368"/>
      <c r="BF368"/>
      <c r="BJ368"/>
      <c r="BK368"/>
      <c r="BL368"/>
      <c r="CI368"/>
      <c r="CJ368"/>
      <c r="CM368"/>
      <c r="CN368"/>
      <c r="CO368"/>
      <c r="DG368"/>
      <c r="DH368"/>
      <c r="DI368"/>
      <c r="DJ368"/>
      <c r="DK368"/>
      <c r="DL368"/>
      <c r="EG368"/>
      <c r="EH368"/>
      <c r="EW368" s="43" t="s">
        <v>744</v>
      </c>
      <c r="EX368" s="61"/>
      <c r="EY368" s="61">
        <v>0</v>
      </c>
      <c r="EZ368" s="61">
        <v>0</v>
      </c>
      <c r="FA368" s="61">
        <v>0</v>
      </c>
      <c r="FB368" s="61">
        <v>0</v>
      </c>
      <c r="FD368" s="141" t="str">
        <f t="shared" si="89"/>
        <v>19-dic</v>
      </c>
      <c r="FE368" s="11" t="str">
        <f t="shared" si="99"/>
        <v/>
      </c>
      <c r="FF368" s="11" t="str">
        <f t="shared" si="90"/>
        <v/>
      </c>
      <c r="FG368" s="11" t="str">
        <f t="shared" si="91"/>
        <v/>
      </c>
      <c r="FI368" s="141" t="str">
        <f t="shared" si="92"/>
        <v>19-dic</v>
      </c>
      <c r="FJ368" s="11" t="str">
        <f t="shared" si="101"/>
        <v/>
      </c>
      <c r="FK368" s="11" t="str">
        <f t="shared" si="93"/>
        <v/>
      </c>
      <c r="FL368" s="11" t="str">
        <f t="shared" si="94"/>
        <v/>
      </c>
      <c r="FN368" s="141" t="str">
        <f t="shared" si="95"/>
        <v>19-dic</v>
      </c>
      <c r="FO368" s="11" t="str">
        <f t="shared" si="100"/>
        <v/>
      </c>
      <c r="FP368" s="11" t="str">
        <f t="shared" si="96"/>
        <v/>
      </c>
      <c r="FQ368" s="11" t="str">
        <f t="shared" si="97"/>
        <v/>
      </c>
    </row>
    <row r="369" spans="2:173">
      <c r="B369"/>
      <c r="C369"/>
      <c r="BC369"/>
      <c r="BD369"/>
      <c r="BE369"/>
      <c r="BF369"/>
      <c r="BJ369"/>
      <c r="BK369"/>
      <c r="BL369"/>
      <c r="CI369"/>
      <c r="CJ369"/>
      <c r="CM369"/>
      <c r="CN369"/>
      <c r="CO369"/>
      <c r="DG369"/>
      <c r="DH369"/>
      <c r="DI369"/>
      <c r="DJ369"/>
      <c r="DK369"/>
      <c r="DL369"/>
      <c r="EG369"/>
      <c r="EH369"/>
      <c r="EW369" s="43" t="s">
        <v>745</v>
      </c>
      <c r="EX369" s="61"/>
      <c r="EY369" s="61">
        <v>0</v>
      </c>
      <c r="EZ369" s="61">
        <v>0</v>
      </c>
      <c r="FA369" s="61">
        <v>0</v>
      </c>
      <c r="FB369" s="61">
        <v>0</v>
      </c>
      <c r="FD369" s="141" t="str">
        <f t="shared" si="89"/>
        <v>20-dic</v>
      </c>
      <c r="FE369" s="11" t="str">
        <f t="shared" si="99"/>
        <v/>
      </c>
      <c r="FF369" s="11" t="str">
        <f t="shared" si="90"/>
        <v/>
      </c>
      <c r="FG369" s="11" t="str">
        <f t="shared" si="91"/>
        <v/>
      </c>
      <c r="FI369" s="141" t="str">
        <f t="shared" si="92"/>
        <v>20-dic</v>
      </c>
      <c r="FJ369" s="11" t="str">
        <f t="shared" si="101"/>
        <v/>
      </c>
      <c r="FK369" s="11" t="str">
        <f t="shared" si="93"/>
        <v/>
      </c>
      <c r="FL369" s="11" t="str">
        <f t="shared" si="94"/>
        <v/>
      </c>
      <c r="FN369" s="141" t="str">
        <f t="shared" si="95"/>
        <v>20-dic</v>
      </c>
      <c r="FO369" s="11" t="str">
        <f t="shared" si="100"/>
        <v/>
      </c>
      <c r="FP369" s="11" t="str">
        <f t="shared" si="96"/>
        <v/>
      </c>
      <c r="FQ369" s="11" t="str">
        <f t="shared" si="97"/>
        <v/>
      </c>
    </row>
    <row r="370" spans="2:173">
      <c r="B370"/>
      <c r="C370"/>
      <c r="BC370"/>
      <c r="BD370"/>
      <c r="BE370"/>
      <c r="BF370"/>
      <c r="BJ370"/>
      <c r="BK370"/>
      <c r="BL370"/>
      <c r="CI370"/>
      <c r="CJ370"/>
      <c r="CM370"/>
      <c r="CN370"/>
      <c r="CO370"/>
      <c r="DG370"/>
      <c r="DH370"/>
      <c r="DI370"/>
      <c r="DJ370"/>
      <c r="DK370"/>
      <c r="DL370"/>
      <c r="EG370"/>
      <c r="EH370"/>
      <c r="EW370" s="43" t="s">
        <v>746</v>
      </c>
      <c r="EX370" s="61"/>
      <c r="EY370" s="61">
        <v>0</v>
      </c>
      <c r="EZ370" s="61">
        <v>0</v>
      </c>
      <c r="FA370" s="61">
        <v>0</v>
      </c>
      <c r="FB370" s="61">
        <v>0</v>
      </c>
      <c r="FD370" s="141" t="str">
        <f t="shared" si="89"/>
        <v>21-dic</v>
      </c>
      <c r="FE370" s="11" t="str">
        <f t="shared" si="99"/>
        <v/>
      </c>
      <c r="FF370" s="11" t="str">
        <f t="shared" si="90"/>
        <v/>
      </c>
      <c r="FG370" s="11" t="str">
        <f t="shared" si="91"/>
        <v/>
      </c>
      <c r="FI370" s="141" t="str">
        <f t="shared" si="92"/>
        <v>21-dic</v>
      </c>
      <c r="FJ370" s="11" t="str">
        <f t="shared" si="101"/>
        <v/>
      </c>
      <c r="FK370" s="11" t="str">
        <f t="shared" si="93"/>
        <v/>
      </c>
      <c r="FL370" s="11" t="str">
        <f t="shared" si="94"/>
        <v/>
      </c>
      <c r="FN370" s="141" t="str">
        <f t="shared" si="95"/>
        <v>21-dic</v>
      </c>
      <c r="FO370" s="11" t="str">
        <f t="shared" si="100"/>
        <v/>
      </c>
      <c r="FP370" s="11" t="str">
        <f t="shared" si="96"/>
        <v/>
      </c>
      <c r="FQ370" s="11" t="str">
        <f t="shared" si="97"/>
        <v/>
      </c>
    </row>
    <row r="371" spans="2:173">
      <c r="B371"/>
      <c r="C371"/>
      <c r="BC371"/>
      <c r="BD371"/>
      <c r="BE371"/>
      <c r="BF371"/>
      <c r="BJ371"/>
      <c r="BK371"/>
      <c r="BL371"/>
      <c r="CI371"/>
      <c r="CJ371"/>
      <c r="CM371"/>
      <c r="CN371"/>
      <c r="CO371"/>
      <c r="DG371"/>
      <c r="DH371"/>
      <c r="DI371"/>
      <c r="DJ371"/>
      <c r="DK371"/>
      <c r="DL371"/>
      <c r="EG371"/>
      <c r="EH371"/>
      <c r="EW371" s="43" t="s">
        <v>747</v>
      </c>
      <c r="EX371" s="61"/>
      <c r="EY371" s="61">
        <v>0</v>
      </c>
      <c r="EZ371" s="61">
        <v>0</v>
      </c>
      <c r="FA371" s="61">
        <v>0</v>
      </c>
      <c r="FB371" s="61">
        <v>0</v>
      </c>
      <c r="FD371" s="141" t="str">
        <f t="shared" si="89"/>
        <v>22-dic</v>
      </c>
      <c r="FE371" s="11" t="str">
        <f t="shared" si="99"/>
        <v/>
      </c>
      <c r="FF371" s="11" t="str">
        <f t="shared" si="90"/>
        <v/>
      </c>
      <c r="FG371" s="11" t="str">
        <f t="shared" si="91"/>
        <v/>
      </c>
      <c r="FI371" s="141" t="str">
        <f t="shared" si="92"/>
        <v>22-dic</v>
      </c>
      <c r="FJ371" s="11" t="str">
        <f t="shared" si="101"/>
        <v/>
      </c>
      <c r="FK371" s="11" t="str">
        <f t="shared" si="93"/>
        <v/>
      </c>
      <c r="FL371" s="11" t="str">
        <f t="shared" si="94"/>
        <v/>
      </c>
      <c r="FN371" s="141" t="str">
        <f t="shared" si="95"/>
        <v>22-dic</v>
      </c>
      <c r="FO371" s="11" t="str">
        <f t="shared" si="100"/>
        <v/>
      </c>
      <c r="FP371" s="11" t="str">
        <f t="shared" si="96"/>
        <v/>
      </c>
      <c r="FQ371" s="11" t="str">
        <f t="shared" si="97"/>
        <v/>
      </c>
    </row>
    <row r="372" spans="2:173">
      <c r="B372"/>
      <c r="C372"/>
      <c r="BC372"/>
      <c r="BD372"/>
      <c r="BE372"/>
      <c r="BF372"/>
      <c r="BJ372"/>
      <c r="BK372"/>
      <c r="BL372"/>
      <c r="CI372"/>
      <c r="CJ372"/>
      <c r="CM372"/>
      <c r="CN372"/>
      <c r="CO372"/>
      <c r="DG372"/>
      <c r="DH372"/>
      <c r="DI372"/>
      <c r="DJ372"/>
      <c r="DK372"/>
      <c r="DL372"/>
      <c r="EG372"/>
      <c r="EH372"/>
      <c r="EW372" s="43" t="s">
        <v>748</v>
      </c>
      <c r="EX372" s="61"/>
      <c r="EY372" s="61">
        <v>0</v>
      </c>
      <c r="EZ372" s="61">
        <v>0</v>
      </c>
      <c r="FA372" s="61">
        <v>0</v>
      </c>
      <c r="FB372" s="61">
        <v>0</v>
      </c>
      <c r="FD372" s="141" t="str">
        <f t="shared" si="89"/>
        <v>23-dic</v>
      </c>
      <c r="FE372" s="11" t="str">
        <f t="shared" si="99"/>
        <v/>
      </c>
      <c r="FF372" s="11" t="str">
        <f t="shared" si="90"/>
        <v/>
      </c>
      <c r="FG372" s="11" t="str">
        <f t="shared" si="91"/>
        <v/>
      </c>
      <c r="FI372" s="141" t="str">
        <f t="shared" si="92"/>
        <v>23-dic</v>
      </c>
      <c r="FJ372" s="11" t="str">
        <f t="shared" si="101"/>
        <v/>
      </c>
      <c r="FK372" s="11" t="str">
        <f t="shared" si="93"/>
        <v/>
      </c>
      <c r="FL372" s="11" t="str">
        <f t="shared" si="94"/>
        <v/>
      </c>
      <c r="FN372" s="141" t="str">
        <f t="shared" si="95"/>
        <v>23-dic</v>
      </c>
      <c r="FO372" s="11" t="str">
        <f t="shared" si="100"/>
        <v/>
      </c>
      <c r="FP372" s="11" t="str">
        <f t="shared" si="96"/>
        <v/>
      </c>
      <c r="FQ372" s="11" t="str">
        <f t="shared" si="97"/>
        <v/>
      </c>
    </row>
    <row r="373" spans="2:173">
      <c r="B373"/>
      <c r="C373"/>
      <c r="BC373"/>
      <c r="BD373"/>
      <c r="BE373"/>
      <c r="BF373"/>
      <c r="BJ373"/>
      <c r="BK373"/>
      <c r="BL373"/>
      <c r="CI373"/>
      <c r="CJ373"/>
      <c r="CM373"/>
      <c r="CN373"/>
      <c r="CO373"/>
      <c r="DG373"/>
      <c r="DH373"/>
      <c r="DI373"/>
      <c r="DJ373"/>
      <c r="DK373"/>
      <c r="DL373"/>
      <c r="EG373"/>
      <c r="EH373"/>
      <c r="EW373" s="43" t="s">
        <v>749</v>
      </c>
      <c r="EX373" s="61"/>
      <c r="EY373" s="61">
        <v>0</v>
      </c>
      <c r="EZ373" s="61">
        <v>0</v>
      </c>
      <c r="FA373" s="61">
        <v>0</v>
      </c>
      <c r="FB373" s="61">
        <v>0</v>
      </c>
      <c r="FD373" s="141" t="str">
        <f t="shared" si="89"/>
        <v>24-dic</v>
      </c>
      <c r="FE373" s="11" t="str">
        <f t="shared" si="99"/>
        <v/>
      </c>
      <c r="FF373" s="11" t="str">
        <f t="shared" si="90"/>
        <v/>
      </c>
      <c r="FG373" s="11" t="str">
        <f t="shared" si="91"/>
        <v/>
      </c>
      <c r="FI373" s="141" t="str">
        <f t="shared" si="92"/>
        <v>24-dic</v>
      </c>
      <c r="FJ373" s="11" t="str">
        <f t="shared" si="101"/>
        <v/>
      </c>
      <c r="FK373" s="11" t="str">
        <f t="shared" si="93"/>
        <v/>
      </c>
      <c r="FL373" s="11" t="str">
        <f t="shared" si="94"/>
        <v/>
      </c>
      <c r="FN373" s="141" t="str">
        <f t="shared" si="95"/>
        <v>24-dic</v>
      </c>
      <c r="FO373" s="11" t="str">
        <f t="shared" si="100"/>
        <v/>
      </c>
      <c r="FP373" s="11" t="str">
        <f t="shared" si="96"/>
        <v/>
      </c>
      <c r="FQ373" s="11" t="str">
        <f t="shared" si="97"/>
        <v/>
      </c>
    </row>
    <row r="374" spans="2:173">
      <c r="B374"/>
      <c r="C374"/>
      <c r="BC374"/>
      <c r="BD374"/>
      <c r="BE374"/>
      <c r="BF374"/>
      <c r="BJ374"/>
      <c r="BK374"/>
      <c r="BL374"/>
      <c r="CI374"/>
      <c r="CJ374"/>
      <c r="CM374"/>
      <c r="CN374"/>
      <c r="CO374"/>
      <c r="DG374"/>
      <c r="DH374"/>
      <c r="DI374"/>
      <c r="DJ374"/>
      <c r="DK374"/>
      <c r="DL374"/>
      <c r="EG374"/>
      <c r="EH374"/>
      <c r="EW374" s="43" t="s">
        <v>750</v>
      </c>
      <c r="EX374" s="61"/>
      <c r="EY374" s="61">
        <v>0</v>
      </c>
      <c r="EZ374" s="61">
        <v>0</v>
      </c>
      <c r="FA374" s="61">
        <v>0</v>
      </c>
      <c r="FB374" s="61">
        <v>0</v>
      </c>
      <c r="FD374" s="141" t="str">
        <f t="shared" si="89"/>
        <v>25-dic</v>
      </c>
      <c r="FE374" s="11" t="str">
        <f t="shared" si="99"/>
        <v/>
      </c>
      <c r="FF374" s="11" t="str">
        <f t="shared" si="90"/>
        <v/>
      </c>
      <c r="FG374" s="11" t="str">
        <f t="shared" si="91"/>
        <v/>
      </c>
      <c r="FI374" s="141" t="str">
        <f t="shared" si="92"/>
        <v>25-dic</v>
      </c>
      <c r="FJ374" s="11" t="str">
        <f t="shared" si="101"/>
        <v/>
      </c>
      <c r="FK374" s="11" t="str">
        <f t="shared" si="93"/>
        <v/>
      </c>
      <c r="FL374" s="11" t="str">
        <f t="shared" si="94"/>
        <v/>
      </c>
      <c r="FN374" s="141" t="str">
        <f t="shared" si="95"/>
        <v>25-dic</v>
      </c>
      <c r="FO374" s="11" t="str">
        <f t="shared" si="100"/>
        <v/>
      </c>
      <c r="FP374" s="11" t="str">
        <f t="shared" si="96"/>
        <v/>
      </c>
      <c r="FQ374" s="11" t="str">
        <f t="shared" si="97"/>
        <v/>
      </c>
    </row>
    <row r="375" spans="2:173">
      <c r="B375"/>
      <c r="C375"/>
      <c r="BC375"/>
      <c r="BD375"/>
      <c r="BE375"/>
      <c r="BF375"/>
      <c r="BJ375"/>
      <c r="BK375"/>
      <c r="BL375"/>
      <c r="CI375"/>
      <c r="CJ375"/>
      <c r="CM375"/>
      <c r="CN375"/>
      <c r="CO375"/>
      <c r="DG375"/>
      <c r="DH375"/>
      <c r="DI375"/>
      <c r="DJ375"/>
      <c r="DK375"/>
      <c r="DL375"/>
      <c r="EG375"/>
      <c r="EH375"/>
      <c r="EW375" s="43" t="s">
        <v>751</v>
      </c>
      <c r="EX375" s="61"/>
      <c r="EY375" s="61">
        <v>0</v>
      </c>
      <c r="EZ375" s="61">
        <v>0</v>
      </c>
      <c r="FA375" s="61">
        <v>0</v>
      </c>
      <c r="FB375" s="61">
        <v>0</v>
      </c>
      <c r="FD375" s="141" t="str">
        <f t="shared" si="89"/>
        <v>26-dic</v>
      </c>
      <c r="FE375" s="11" t="str">
        <f t="shared" si="99"/>
        <v/>
      </c>
      <c r="FF375" s="11" t="str">
        <f t="shared" si="90"/>
        <v/>
      </c>
      <c r="FG375" s="11" t="str">
        <f t="shared" si="91"/>
        <v/>
      </c>
      <c r="FI375" s="141" t="str">
        <f t="shared" si="92"/>
        <v>26-dic</v>
      </c>
      <c r="FJ375" s="11" t="str">
        <f t="shared" si="101"/>
        <v/>
      </c>
      <c r="FK375" s="11" t="str">
        <f t="shared" si="93"/>
        <v/>
      </c>
      <c r="FL375" s="11" t="str">
        <f t="shared" si="94"/>
        <v/>
      </c>
      <c r="FN375" s="141" t="str">
        <f t="shared" si="95"/>
        <v>26-dic</v>
      </c>
      <c r="FO375" s="11" t="str">
        <f t="shared" si="100"/>
        <v/>
      </c>
      <c r="FP375" s="11" t="str">
        <f t="shared" si="96"/>
        <v/>
      </c>
      <c r="FQ375" s="11" t="str">
        <f t="shared" si="97"/>
        <v/>
      </c>
    </row>
    <row r="376" spans="2:173">
      <c r="B376"/>
      <c r="C376"/>
      <c r="BC376"/>
      <c r="BD376"/>
      <c r="BE376"/>
      <c r="BF376"/>
      <c r="BJ376"/>
      <c r="BK376"/>
      <c r="BL376"/>
      <c r="CI376"/>
      <c r="CJ376"/>
      <c r="CM376"/>
      <c r="CN376"/>
      <c r="CO376"/>
      <c r="DG376"/>
      <c r="DH376"/>
      <c r="DI376"/>
      <c r="DJ376"/>
      <c r="DK376"/>
      <c r="DL376"/>
      <c r="EG376"/>
      <c r="EH376"/>
      <c r="EW376" s="43" t="s">
        <v>752</v>
      </c>
      <c r="EX376" s="61"/>
      <c r="EY376" s="61">
        <v>0</v>
      </c>
      <c r="EZ376" s="61">
        <v>0</v>
      </c>
      <c r="FA376" s="61">
        <v>0</v>
      </c>
      <c r="FB376" s="61">
        <v>0</v>
      </c>
      <c r="FD376" s="141" t="str">
        <f t="shared" si="89"/>
        <v>27-dic</v>
      </c>
      <c r="FE376" s="11" t="str">
        <f t="shared" si="99"/>
        <v/>
      </c>
      <c r="FF376" s="11" t="str">
        <f t="shared" si="90"/>
        <v/>
      </c>
      <c r="FG376" s="11" t="str">
        <f t="shared" si="91"/>
        <v/>
      </c>
      <c r="FI376" s="141" t="str">
        <f t="shared" si="92"/>
        <v>27-dic</v>
      </c>
      <c r="FJ376" s="11" t="str">
        <f t="shared" si="101"/>
        <v/>
      </c>
      <c r="FK376" s="11" t="str">
        <f t="shared" si="93"/>
        <v/>
      </c>
      <c r="FL376" s="11" t="str">
        <f t="shared" si="94"/>
        <v/>
      </c>
      <c r="FN376" s="141" t="str">
        <f t="shared" si="95"/>
        <v>27-dic</v>
      </c>
      <c r="FO376" s="11" t="str">
        <f t="shared" si="100"/>
        <v/>
      </c>
      <c r="FP376" s="11" t="str">
        <f t="shared" si="96"/>
        <v/>
      </c>
      <c r="FQ376" s="11" t="str">
        <f t="shared" si="97"/>
        <v/>
      </c>
    </row>
    <row r="377" spans="2:173">
      <c r="B377"/>
      <c r="C377"/>
      <c r="BC377"/>
      <c r="BD377"/>
      <c r="BE377"/>
      <c r="BF377"/>
      <c r="BJ377"/>
      <c r="BK377"/>
      <c r="BL377"/>
      <c r="CI377"/>
      <c r="CJ377"/>
      <c r="CM377"/>
      <c r="CN377"/>
      <c r="CO377"/>
      <c r="DG377"/>
      <c r="DH377"/>
      <c r="DI377"/>
      <c r="DJ377"/>
      <c r="DK377"/>
      <c r="DL377"/>
      <c r="EG377"/>
      <c r="EH377"/>
      <c r="EW377" s="43" t="s">
        <v>753</v>
      </c>
      <c r="EX377" s="61"/>
      <c r="EY377" s="61">
        <v>0</v>
      </c>
      <c r="EZ377" s="61">
        <v>0</v>
      </c>
      <c r="FA377" s="61">
        <v>0</v>
      </c>
      <c r="FB377" s="61">
        <v>0</v>
      </c>
      <c r="FD377" s="141" t="str">
        <f t="shared" si="89"/>
        <v>28-dic</v>
      </c>
      <c r="FE377" s="11" t="str">
        <f t="shared" si="99"/>
        <v/>
      </c>
      <c r="FF377" s="11" t="str">
        <f t="shared" si="90"/>
        <v/>
      </c>
      <c r="FG377" s="11" t="str">
        <f t="shared" si="91"/>
        <v/>
      </c>
      <c r="FI377" s="141" t="str">
        <f t="shared" si="92"/>
        <v>28-dic</v>
      </c>
      <c r="FJ377" s="11" t="str">
        <f t="shared" si="101"/>
        <v/>
      </c>
      <c r="FK377" s="11" t="str">
        <f t="shared" si="93"/>
        <v/>
      </c>
      <c r="FL377" s="11" t="str">
        <f t="shared" si="94"/>
        <v/>
      </c>
      <c r="FN377" s="141" t="str">
        <f t="shared" si="95"/>
        <v>28-dic</v>
      </c>
      <c r="FO377" s="11" t="str">
        <f t="shared" si="100"/>
        <v/>
      </c>
      <c r="FP377" s="11" t="str">
        <f t="shared" si="96"/>
        <v/>
      </c>
      <c r="FQ377" s="11" t="str">
        <f t="shared" si="97"/>
        <v/>
      </c>
    </row>
    <row r="378" spans="2:173">
      <c r="B378"/>
      <c r="C378"/>
      <c r="BC378"/>
      <c r="BD378"/>
      <c r="BE378"/>
      <c r="BF378"/>
      <c r="BJ378"/>
      <c r="BK378"/>
      <c r="BL378"/>
      <c r="CI378"/>
      <c r="CJ378"/>
      <c r="CM378"/>
      <c r="CN378"/>
      <c r="CO378"/>
      <c r="DG378"/>
      <c r="DH378"/>
      <c r="DI378"/>
      <c r="DJ378"/>
      <c r="DK378"/>
      <c r="DL378"/>
      <c r="EG378"/>
      <c r="EH378"/>
      <c r="EW378" s="43" t="s">
        <v>754</v>
      </c>
      <c r="EX378" s="61"/>
      <c r="EY378" s="61">
        <v>0</v>
      </c>
      <c r="EZ378" s="61">
        <v>0</v>
      </c>
      <c r="FA378" s="61">
        <v>0</v>
      </c>
      <c r="FB378" s="61">
        <v>0</v>
      </c>
      <c r="FD378" s="141" t="str">
        <f t="shared" si="89"/>
        <v>29-dic</v>
      </c>
      <c r="FE378" s="11" t="str">
        <f t="shared" si="99"/>
        <v/>
      </c>
      <c r="FF378" s="11" t="str">
        <f t="shared" si="90"/>
        <v/>
      </c>
      <c r="FG378" s="11" t="str">
        <f t="shared" si="91"/>
        <v/>
      </c>
      <c r="FI378" s="141" t="str">
        <f t="shared" si="92"/>
        <v>29-dic</v>
      </c>
      <c r="FJ378" s="11" t="str">
        <f t="shared" si="101"/>
        <v/>
      </c>
      <c r="FK378" s="11" t="str">
        <f t="shared" si="93"/>
        <v/>
      </c>
      <c r="FL378" s="11" t="str">
        <f t="shared" si="94"/>
        <v/>
      </c>
      <c r="FN378" s="141" t="str">
        <f t="shared" si="95"/>
        <v>29-dic</v>
      </c>
      <c r="FO378" s="11" t="str">
        <f t="shared" si="100"/>
        <v/>
      </c>
      <c r="FP378" s="11" t="str">
        <f t="shared" si="96"/>
        <v/>
      </c>
      <c r="FQ378" s="11" t="str">
        <f t="shared" si="97"/>
        <v/>
      </c>
    </row>
    <row r="379" spans="2:173">
      <c r="B379"/>
      <c r="C379"/>
      <c r="BC379"/>
      <c r="BD379"/>
      <c r="BE379"/>
      <c r="BF379"/>
      <c r="BJ379"/>
      <c r="BK379"/>
      <c r="BL379"/>
      <c r="CI379"/>
      <c r="CJ379"/>
      <c r="CM379"/>
      <c r="CN379"/>
      <c r="CO379"/>
      <c r="DG379"/>
      <c r="DH379"/>
      <c r="DI379"/>
      <c r="DJ379"/>
      <c r="DK379"/>
      <c r="DL379"/>
      <c r="EG379"/>
      <c r="EH379"/>
      <c r="EW379" s="43" t="s">
        <v>755</v>
      </c>
      <c r="EX379" s="61"/>
      <c r="EY379" s="61">
        <v>0</v>
      </c>
      <c r="EZ379" s="61">
        <v>0</v>
      </c>
      <c r="FA379" s="61">
        <v>0</v>
      </c>
      <c r="FB379" s="61">
        <v>0</v>
      </c>
      <c r="FD379" s="141" t="str">
        <f t="shared" si="89"/>
        <v>30-dic</v>
      </c>
      <c r="FE379" s="11" t="str">
        <f t="shared" si="99"/>
        <v/>
      </c>
      <c r="FF379" s="11" t="str">
        <f t="shared" si="90"/>
        <v/>
      </c>
      <c r="FG379" s="11" t="str">
        <f t="shared" si="91"/>
        <v/>
      </c>
      <c r="FI379" s="141" t="str">
        <f t="shared" si="92"/>
        <v>30-dic</v>
      </c>
      <c r="FJ379" s="11" t="str">
        <f t="shared" si="101"/>
        <v/>
      </c>
      <c r="FK379" s="11" t="str">
        <f t="shared" si="93"/>
        <v/>
      </c>
      <c r="FL379" s="11" t="str">
        <f t="shared" si="94"/>
        <v/>
      </c>
      <c r="FN379" s="141" t="str">
        <f t="shared" si="95"/>
        <v>30-dic</v>
      </c>
      <c r="FO379" s="11" t="str">
        <f t="shared" si="100"/>
        <v/>
      </c>
      <c r="FP379" s="11" t="str">
        <f t="shared" si="96"/>
        <v/>
      </c>
      <c r="FQ379" s="11" t="str">
        <f t="shared" si="97"/>
        <v/>
      </c>
    </row>
    <row r="380" spans="2:173">
      <c r="B380"/>
      <c r="C380"/>
      <c r="BC380"/>
      <c r="BD380"/>
      <c r="BE380"/>
      <c r="BF380"/>
      <c r="BJ380"/>
      <c r="BK380"/>
      <c r="BL380"/>
      <c r="CI380"/>
      <c r="CJ380"/>
      <c r="CM380"/>
      <c r="CN380"/>
      <c r="CO380"/>
      <c r="DG380"/>
      <c r="DH380"/>
      <c r="DI380"/>
      <c r="DJ380"/>
      <c r="DK380"/>
      <c r="DL380"/>
      <c r="EG380"/>
      <c r="EH380"/>
      <c r="EW380" s="43" t="s">
        <v>756</v>
      </c>
      <c r="EX380" s="61"/>
      <c r="EY380" s="61">
        <v>0</v>
      </c>
      <c r="EZ380" s="61">
        <v>0</v>
      </c>
      <c r="FA380" s="61">
        <v>0</v>
      </c>
      <c r="FB380" s="61">
        <v>0</v>
      </c>
      <c r="FD380" s="141" t="str">
        <f t="shared" si="89"/>
        <v>31-dic</v>
      </c>
      <c r="FE380" s="11" t="str">
        <f t="shared" si="99"/>
        <v/>
      </c>
      <c r="FF380" s="11" t="str">
        <f t="shared" si="90"/>
        <v/>
      </c>
      <c r="FG380" s="11" t="str">
        <f t="shared" si="91"/>
        <v/>
      </c>
      <c r="FI380" s="141" t="str">
        <f t="shared" si="92"/>
        <v>31-dic</v>
      </c>
      <c r="FJ380" s="11" t="str">
        <f t="shared" si="101"/>
        <v/>
      </c>
      <c r="FK380" s="11" t="str">
        <f t="shared" si="93"/>
        <v/>
      </c>
      <c r="FL380" s="11" t="str">
        <f t="shared" si="94"/>
        <v/>
      </c>
      <c r="FN380" s="141" t="str">
        <f t="shared" si="95"/>
        <v>31-dic</v>
      </c>
      <c r="FO380" s="11" t="str">
        <f t="shared" si="100"/>
        <v/>
      </c>
      <c r="FP380" s="11" t="str">
        <f t="shared" si="96"/>
        <v/>
      </c>
      <c r="FQ380" s="11" t="str">
        <f t="shared" si="97"/>
        <v/>
      </c>
    </row>
    <row r="381" spans="2:173">
      <c r="B381"/>
      <c r="C381"/>
      <c r="BC381"/>
      <c r="BD381"/>
      <c r="BE381"/>
      <c r="BF381"/>
      <c r="BJ381"/>
      <c r="BK381"/>
      <c r="BL381"/>
      <c r="CI381"/>
      <c r="CJ381"/>
      <c r="CM381"/>
      <c r="CN381"/>
      <c r="CO381"/>
      <c r="DG381"/>
      <c r="DH381"/>
      <c r="DI381"/>
      <c r="DJ381"/>
      <c r="DK381"/>
      <c r="DL381"/>
      <c r="EG381"/>
      <c r="EH381"/>
      <c r="FD381" s="141">
        <f t="shared" si="89"/>
        <v>0</v>
      </c>
      <c r="FE381" s="11" t="str">
        <f t="shared" si="99"/>
        <v/>
      </c>
      <c r="FF381" s="11" t="str">
        <f t="shared" si="90"/>
        <v/>
      </c>
      <c r="FG381" s="11" t="str">
        <f t="shared" si="91"/>
        <v/>
      </c>
      <c r="FI381" s="141">
        <f t="shared" si="92"/>
        <v>0</v>
      </c>
      <c r="FJ381" s="11" t="str">
        <f t="shared" si="101"/>
        <v/>
      </c>
      <c r="FK381" s="11" t="str">
        <f t="shared" si="93"/>
        <v/>
      </c>
      <c r="FL381" s="11" t="str">
        <f t="shared" si="94"/>
        <v/>
      </c>
      <c r="FN381" s="141">
        <f t="shared" si="95"/>
        <v>0</v>
      </c>
      <c r="FO381" s="11" t="str">
        <f t="shared" si="100"/>
        <v/>
      </c>
      <c r="FP381" s="11" t="str">
        <f t="shared" si="96"/>
        <v/>
      </c>
      <c r="FQ381" s="11" t="str">
        <f t="shared" si="97"/>
        <v/>
      </c>
    </row>
    <row r="382" spans="2:173">
      <c r="B382"/>
      <c r="C382"/>
      <c r="BC382"/>
      <c r="BD382"/>
      <c r="BE382"/>
      <c r="BF382"/>
      <c r="BJ382"/>
      <c r="BK382"/>
      <c r="BL382"/>
      <c r="CI382"/>
      <c r="CJ382"/>
      <c r="CM382"/>
      <c r="CN382"/>
      <c r="CO382"/>
      <c r="DG382"/>
      <c r="DH382"/>
      <c r="DI382"/>
      <c r="DJ382"/>
      <c r="DK382"/>
      <c r="DL382"/>
      <c r="EG382"/>
      <c r="EH382"/>
      <c r="FD382" s="141">
        <f t="shared" si="89"/>
        <v>0</v>
      </c>
      <c r="FE382" s="11" t="str">
        <f t="shared" si="99"/>
        <v/>
      </c>
      <c r="FF382" s="11" t="str">
        <f t="shared" si="90"/>
        <v/>
      </c>
      <c r="FG382" s="11" t="str">
        <f t="shared" si="91"/>
        <v/>
      </c>
      <c r="FI382" s="141">
        <f t="shared" si="92"/>
        <v>0</v>
      </c>
      <c r="FJ382" s="11" t="str">
        <f t="shared" si="101"/>
        <v/>
      </c>
      <c r="FK382" s="11" t="str">
        <f t="shared" si="93"/>
        <v/>
      </c>
      <c r="FL382" s="11" t="str">
        <f t="shared" si="94"/>
        <v/>
      </c>
      <c r="FN382" s="141">
        <f t="shared" si="95"/>
        <v>0</v>
      </c>
      <c r="FO382" s="11" t="str">
        <f t="shared" si="100"/>
        <v/>
      </c>
      <c r="FP382" s="11" t="str">
        <f t="shared" si="96"/>
        <v/>
      </c>
      <c r="FQ382" s="11" t="str">
        <f t="shared" si="97"/>
        <v/>
      </c>
    </row>
    <row r="383" spans="2:173">
      <c r="B383"/>
      <c r="C383"/>
      <c r="BC383"/>
      <c r="BD383"/>
      <c r="BE383"/>
      <c r="BF383"/>
      <c r="BJ383"/>
      <c r="BK383"/>
      <c r="BL383"/>
      <c r="CI383"/>
      <c r="CJ383"/>
      <c r="CM383"/>
      <c r="CN383"/>
      <c r="CO383"/>
      <c r="DG383"/>
      <c r="DH383"/>
      <c r="DI383"/>
      <c r="DJ383"/>
      <c r="DK383"/>
      <c r="DL383"/>
      <c r="EG383"/>
      <c r="EH383"/>
      <c r="FD383" s="141">
        <f t="shared" si="89"/>
        <v>0</v>
      </c>
      <c r="FE383" s="11" t="str">
        <f t="shared" si="99"/>
        <v/>
      </c>
      <c r="FF383" s="11" t="str">
        <f t="shared" si="90"/>
        <v/>
      </c>
      <c r="FG383" s="11" t="str">
        <f t="shared" si="91"/>
        <v/>
      </c>
      <c r="FI383" s="141">
        <f t="shared" si="92"/>
        <v>0</v>
      </c>
      <c r="FJ383" s="11" t="str">
        <f t="shared" si="101"/>
        <v/>
      </c>
      <c r="FK383" s="11" t="str">
        <f t="shared" si="93"/>
        <v/>
      </c>
      <c r="FL383" s="11" t="str">
        <f t="shared" si="94"/>
        <v/>
      </c>
      <c r="FN383" s="141">
        <f t="shared" si="95"/>
        <v>0</v>
      </c>
      <c r="FO383" s="11" t="str">
        <f t="shared" si="100"/>
        <v/>
      </c>
      <c r="FP383" s="11" t="str">
        <f t="shared" si="96"/>
        <v/>
      </c>
      <c r="FQ383" s="11" t="str">
        <f t="shared" si="97"/>
        <v/>
      </c>
    </row>
    <row r="384" spans="2:173">
      <c r="B384"/>
      <c r="C384"/>
      <c r="BC384"/>
      <c r="BD384"/>
      <c r="BE384"/>
      <c r="BF384"/>
      <c r="BJ384"/>
      <c r="BK384"/>
      <c r="BL384"/>
      <c r="CI384"/>
      <c r="CJ384"/>
      <c r="CM384"/>
      <c r="CN384"/>
      <c r="CO384"/>
      <c r="DG384"/>
      <c r="DH384"/>
      <c r="DI384"/>
      <c r="DJ384"/>
      <c r="DK384"/>
      <c r="DL384"/>
      <c r="EG384"/>
      <c r="EH384"/>
      <c r="FD384" s="141">
        <f t="shared" si="89"/>
        <v>0</v>
      </c>
      <c r="FE384" s="11" t="str">
        <f t="shared" si="99"/>
        <v/>
      </c>
      <c r="FF384" s="11" t="str">
        <f t="shared" si="90"/>
        <v/>
      </c>
      <c r="FG384" s="11" t="str">
        <f t="shared" si="91"/>
        <v/>
      </c>
      <c r="FI384" s="141">
        <f t="shared" si="92"/>
        <v>0</v>
      </c>
      <c r="FJ384" s="11" t="str">
        <f t="shared" si="101"/>
        <v/>
      </c>
      <c r="FK384" s="11" t="str">
        <f t="shared" si="93"/>
        <v/>
      </c>
      <c r="FL384" s="11" t="str">
        <f t="shared" si="94"/>
        <v/>
      </c>
      <c r="FN384" s="141">
        <f t="shared" si="95"/>
        <v>0</v>
      </c>
      <c r="FO384" s="11" t="str">
        <f t="shared" si="100"/>
        <v/>
      </c>
      <c r="FP384" s="11" t="str">
        <f t="shared" si="96"/>
        <v/>
      </c>
      <c r="FQ384" s="11" t="str">
        <f t="shared" si="97"/>
        <v/>
      </c>
    </row>
    <row r="385" spans="2:173">
      <c r="B385"/>
      <c r="C385"/>
      <c r="FD385" s="141">
        <f t="shared" si="89"/>
        <v>0</v>
      </c>
      <c r="FE385" s="11" t="str">
        <f t="shared" si="99"/>
        <v/>
      </c>
      <c r="FF385" s="11" t="str">
        <f t="shared" si="90"/>
        <v/>
      </c>
      <c r="FG385" s="11" t="str">
        <f t="shared" si="91"/>
        <v/>
      </c>
      <c r="FI385" s="141">
        <f t="shared" si="92"/>
        <v>0</v>
      </c>
      <c r="FJ385" s="11" t="str">
        <f t="shared" si="101"/>
        <v/>
      </c>
      <c r="FK385" s="11" t="str">
        <f t="shared" si="93"/>
        <v/>
      </c>
      <c r="FL385" s="11" t="str">
        <f t="shared" si="94"/>
        <v/>
      </c>
      <c r="FN385" s="141">
        <f t="shared" si="95"/>
        <v>0</v>
      </c>
      <c r="FO385" s="11" t="str">
        <f t="shared" si="100"/>
        <v/>
      </c>
      <c r="FP385" s="11" t="str">
        <f t="shared" si="96"/>
        <v/>
      </c>
      <c r="FQ385" s="11" t="str">
        <f t="shared" si="97"/>
        <v/>
      </c>
    </row>
    <row r="386" spans="2:173">
      <c r="B386"/>
      <c r="C386"/>
    </row>
    <row r="387" spans="2:173">
      <c r="B387"/>
      <c r="C387"/>
    </row>
    <row r="388" spans="2:173">
      <c r="B388"/>
      <c r="C388"/>
    </row>
    <row r="389" spans="2:173">
      <c r="B389"/>
      <c r="C389"/>
    </row>
    <row r="390" spans="2:173">
      <c r="B390"/>
      <c r="C390"/>
    </row>
    <row r="391" spans="2:173">
      <c r="B391"/>
      <c r="C391"/>
    </row>
    <row r="392" spans="2:173">
      <c r="B392"/>
      <c r="C392"/>
    </row>
    <row r="393" spans="2:173">
      <c r="B393"/>
      <c r="C393"/>
    </row>
    <row r="394" spans="2:173">
      <c r="B394"/>
      <c r="C394"/>
    </row>
    <row r="395" spans="2:173">
      <c r="B395"/>
      <c r="C395"/>
    </row>
    <row r="396" spans="2:173">
      <c r="B396"/>
      <c r="C396"/>
    </row>
    <row r="397" spans="2:173">
      <c r="B397"/>
      <c r="C397"/>
    </row>
    <row r="398" spans="2:173">
      <c r="B398"/>
      <c r="C398"/>
    </row>
    <row r="399" spans="2:173">
      <c r="B399"/>
      <c r="C399"/>
    </row>
    <row r="400" spans="2:17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</sheetData>
  <mergeCells count="15">
    <mergeCell ref="EW1:GF1"/>
    <mergeCell ref="GJ1:GY1"/>
    <mergeCell ref="EQ1:EU1"/>
    <mergeCell ref="EF1:EO1"/>
    <mergeCell ref="BP1:CF1"/>
    <mergeCell ref="DF1:DW1"/>
    <mergeCell ref="CL1:DC1"/>
    <mergeCell ref="A10:K10"/>
    <mergeCell ref="CH1:CJ1"/>
    <mergeCell ref="BI1:BL1"/>
    <mergeCell ref="A1:K1"/>
    <mergeCell ref="BB1:BF1"/>
    <mergeCell ref="O1:AJ1"/>
    <mergeCell ref="AN3:AY3"/>
    <mergeCell ref="AM3:AM4"/>
  </mergeCells>
  <conditionalFormatting sqref="P40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{33A5AB1F-F89D-4692-8A40-E709197CB644}</x14:id>
        </ext>
      </extLst>
    </cfRule>
  </conditionalFormatting>
  <conditionalFormatting sqref="P41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{A7208401-936C-4D0E-B866-63B7E691EF5C}</x14:id>
        </ext>
      </extLst>
    </cfRule>
  </conditionalFormatting>
  <conditionalFormatting sqref="P42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{8D38C777-8C44-49E3-A9D5-6A5A185065E3}</x14:id>
        </ext>
      </extLst>
    </cfRule>
  </conditionalFormatting>
  <conditionalFormatting sqref="P43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{A45C2FC3-6A47-451F-B792-03D2066A5B04}</x14:id>
        </ext>
      </extLst>
    </cfRule>
  </conditionalFormatting>
  <conditionalFormatting sqref="P44">
    <cfRule type="dataBar" priority="1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{9EECF5B9-28C9-4D28-81A2-01C09A239E7B}</x14:id>
        </ext>
      </extLst>
    </cfRule>
  </conditionalFormatting>
  <conditionalFormatting sqref="P45">
    <cfRule type="dataBar" priority="1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{1C1FA039-45C6-42B1-9E6A-1DD504B93BA8}</x14:id>
        </ext>
      </extLst>
    </cfRule>
  </conditionalFormatting>
  <conditionalFormatting sqref="P46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{A0BB061C-D544-4378-9750-6D362CE903A3}</x14:id>
        </ext>
      </extLst>
    </cfRule>
  </conditionalFormatting>
  <conditionalFormatting sqref="P47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{F65D77AF-13AC-46E2-A65C-9517486CA4EC}</x14:id>
        </ext>
      </extLst>
    </cfRule>
  </conditionalFormatting>
  <pageMargins left="0.7" right="0.7" top="0.75" bottom="0.75" header="0.3" footer="0.3"/>
  <pageSetup orientation="portrait" horizontalDpi="300" verticalDpi="300" r:id="rId24"/>
  <drawing r:id="rId2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A5AB1F-F89D-4692-8A40-E709197CB6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P40</xm:sqref>
        </x14:conditionalFormatting>
        <x14:conditionalFormatting xmlns:xm="http://schemas.microsoft.com/office/excel/2006/main">
          <x14:cfRule type="dataBar" id="{A7208401-936C-4D0E-B866-63B7E691EF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P41</xm:sqref>
        </x14:conditionalFormatting>
        <x14:conditionalFormatting xmlns:xm="http://schemas.microsoft.com/office/excel/2006/main">
          <x14:cfRule type="dataBar" id="{8D38C777-8C44-49E3-A9D5-6A5A185065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P42</xm:sqref>
        </x14:conditionalFormatting>
        <x14:conditionalFormatting xmlns:xm="http://schemas.microsoft.com/office/excel/2006/main">
          <x14:cfRule type="dataBar" id="{A45C2FC3-6A47-451F-B792-03D2066A5B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P43</xm:sqref>
        </x14:conditionalFormatting>
        <x14:conditionalFormatting xmlns:xm="http://schemas.microsoft.com/office/excel/2006/main">
          <x14:cfRule type="dataBar" id="{9EECF5B9-28C9-4D28-81A2-01C09A239E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P44</xm:sqref>
        </x14:conditionalFormatting>
        <x14:conditionalFormatting xmlns:xm="http://schemas.microsoft.com/office/excel/2006/main">
          <x14:cfRule type="dataBar" id="{1C1FA039-45C6-42B1-9E6A-1DD504B93B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P45</xm:sqref>
        </x14:conditionalFormatting>
        <x14:conditionalFormatting xmlns:xm="http://schemas.microsoft.com/office/excel/2006/main">
          <x14:cfRule type="dataBar" id="{A0BB061C-D544-4378-9750-6D362CE903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P46</xm:sqref>
        </x14:conditionalFormatting>
        <x14:conditionalFormatting xmlns:xm="http://schemas.microsoft.com/office/excel/2006/main">
          <x14:cfRule type="dataBar" id="{F65D77AF-13AC-46E2-A65C-9517486CA4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P47</xm:sqref>
        </x14:conditionalFormatting>
        <x14:conditionalFormatting xmlns:xm="http://schemas.microsoft.com/office/excel/2006/main">
          <x14:cfRule type="iconSet" priority="13" id="{5FBBF61A-4913-4A75-BC95-21B37317019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DT13</xm:sqref>
        </x14:conditionalFormatting>
        <x14:conditionalFormatting xmlns:xm="http://schemas.microsoft.com/office/excel/2006/main">
          <x14:cfRule type="iconSet" priority="21" id="{1D522E55-01DF-4F53-8CDE-3A1A88B45DE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DT13:DT14</xm:sqref>
        </x14:conditionalFormatting>
        <x14:conditionalFormatting xmlns:xm="http://schemas.microsoft.com/office/excel/2006/main">
          <x14:cfRule type="iconSet" priority="12" id="{D4E1FE09-198A-4401-A6CC-C6ED3CEF514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DT14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CU384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ColWidth="11.42578125" defaultRowHeight="15"/>
  <cols>
    <col min="1" max="1" width="11" bestFit="1" customWidth="1"/>
    <col min="2" max="2" width="10.42578125" style="10" bestFit="1" customWidth="1"/>
    <col min="3" max="3" width="7.28515625" style="10" customWidth="1"/>
    <col min="4" max="4" width="15" style="10" bestFit="1" customWidth="1"/>
    <col min="5" max="5" width="14.7109375" style="10" bestFit="1" customWidth="1"/>
    <col min="6" max="6" width="15.7109375" style="10" bestFit="1" customWidth="1"/>
    <col min="7" max="7" width="13.5703125" style="10" bestFit="1" customWidth="1"/>
    <col min="8" max="8" width="15.7109375" style="10" bestFit="1" customWidth="1"/>
    <col min="9" max="9" width="13.5703125" style="10" bestFit="1" customWidth="1"/>
    <col min="10" max="10" width="15.7109375" style="10" bestFit="1" customWidth="1"/>
    <col min="11" max="11" width="11.7109375" style="10" bestFit="1" customWidth="1"/>
    <col min="12" max="12" width="14.7109375" style="10" bestFit="1" customWidth="1"/>
    <col min="13" max="13" width="12.5703125" style="10" bestFit="1" customWidth="1"/>
    <col min="14" max="15" width="12.28515625" style="10" bestFit="1" customWidth="1"/>
    <col min="16" max="16" width="12.5703125" style="10" bestFit="1" customWidth="1"/>
    <col min="17" max="17" width="12.28515625" style="10" bestFit="1" customWidth="1"/>
    <col min="18" max="18" width="13.140625" style="10" bestFit="1" customWidth="1"/>
    <col min="19" max="19" width="13.140625" style="10" customWidth="1"/>
    <col min="20" max="20" width="11.7109375" style="10" bestFit="1" customWidth="1"/>
    <col min="21" max="21" width="11.42578125" style="10" customWidth="1"/>
    <col min="22" max="22" width="10.28515625" style="10" customWidth="1"/>
    <col min="23" max="23" width="13.85546875" style="10" bestFit="1" customWidth="1"/>
    <col min="24" max="24" width="13.28515625" style="10" customWidth="1"/>
    <col min="25" max="25" width="12.28515625" style="10" bestFit="1" customWidth="1"/>
    <col min="26" max="26" width="15.42578125" style="10" customWidth="1"/>
    <col min="27" max="27" width="20.42578125" style="10" customWidth="1"/>
    <col min="28" max="28" width="16.140625" style="10" customWidth="1"/>
    <col min="29" max="29" width="21" style="10" customWidth="1"/>
    <col min="30" max="30" width="18.85546875" style="10" customWidth="1"/>
    <col min="31" max="31" width="19.85546875" style="10" customWidth="1"/>
    <col min="32" max="32" width="23" style="10" customWidth="1"/>
    <col min="33" max="33" width="16.28515625" style="10" customWidth="1"/>
    <col min="34" max="34" width="16.42578125" style="10" customWidth="1"/>
    <col min="35" max="36" width="13.85546875" style="10" customWidth="1"/>
    <col min="37" max="37" width="25" style="10" bestFit="1" customWidth="1"/>
    <col min="38" max="38" width="24.5703125" style="10" bestFit="1" customWidth="1"/>
    <col min="39" max="39" width="24.5703125" style="10" customWidth="1"/>
    <col min="40" max="40" width="22.140625" style="10" bestFit="1" customWidth="1"/>
    <col min="41" max="41" width="21.85546875" style="10" bestFit="1" customWidth="1"/>
    <col min="42" max="42" width="22.5703125" style="10" bestFit="1" customWidth="1"/>
    <col min="43" max="43" width="22.140625" style="10" bestFit="1" customWidth="1"/>
    <col min="44" max="44" width="25.7109375" style="10" bestFit="1" customWidth="1"/>
    <col min="45" max="45" width="23" style="10" bestFit="1" customWidth="1"/>
    <col min="46" max="46" width="23.85546875" style="10" bestFit="1" customWidth="1"/>
    <col min="47" max="47" width="18.7109375" style="10" bestFit="1" customWidth="1"/>
    <col min="48" max="48" width="18.28515625" style="10" bestFit="1" customWidth="1"/>
    <col min="49" max="49" width="19.28515625" style="10" bestFit="1" customWidth="1"/>
    <col min="50" max="50" width="19.85546875" style="10" bestFit="1" customWidth="1"/>
    <col min="51" max="51" width="25.42578125" style="10" bestFit="1" customWidth="1"/>
    <col min="52" max="53" width="22.42578125" style="10" bestFit="1" customWidth="1"/>
    <col min="54" max="55" width="22.5703125" style="10" bestFit="1" customWidth="1"/>
    <col min="56" max="56" width="11.42578125" style="10"/>
    <col min="57" max="57" width="15.42578125" style="10" bestFit="1" customWidth="1"/>
    <col min="58" max="59" width="11.42578125" style="10"/>
    <col min="60" max="60" width="11.42578125" style="10" customWidth="1"/>
    <col min="61" max="61" width="12.140625" style="10" customWidth="1"/>
    <col min="62" max="63" width="11.42578125" style="10"/>
    <col min="64" max="64" width="12.42578125" style="10" customWidth="1"/>
    <col min="65" max="65" width="15.140625" style="10" customWidth="1"/>
    <col min="66" max="70" width="11.42578125" style="10"/>
    <col min="71" max="71" width="10.85546875"/>
    <col min="72" max="72" width="11.28515625" style="10" customWidth="1"/>
    <col min="73" max="73" width="12.7109375" style="10" customWidth="1"/>
    <col min="74" max="77" width="11.28515625" style="10" customWidth="1"/>
    <col min="78" max="90" width="11.42578125" style="10"/>
    <col min="91" max="91" width="15.28515625" style="10" customWidth="1"/>
    <col min="92" max="16384" width="11.42578125" style="10"/>
  </cols>
  <sheetData>
    <row r="1" spans="1:91" s="5" customFormat="1" ht="51">
      <c r="A1" s="349" t="s">
        <v>26</v>
      </c>
      <c r="B1" s="350" t="s">
        <v>153</v>
      </c>
      <c r="C1" s="350" t="s">
        <v>154</v>
      </c>
      <c r="D1" s="350" t="s">
        <v>155</v>
      </c>
      <c r="E1" s="350" t="s">
        <v>156</v>
      </c>
      <c r="F1" s="351" t="s">
        <v>157</v>
      </c>
      <c r="G1" s="352" t="s">
        <v>158</v>
      </c>
      <c r="H1" s="352" t="s">
        <v>159</v>
      </c>
      <c r="I1" s="353" t="s">
        <v>160</v>
      </c>
      <c r="J1" s="353" t="s">
        <v>161</v>
      </c>
      <c r="K1" s="354" t="s">
        <v>162</v>
      </c>
      <c r="L1" s="355" t="s">
        <v>163</v>
      </c>
      <c r="M1" s="354" t="s">
        <v>164</v>
      </c>
      <c r="N1" s="351" t="s">
        <v>165</v>
      </c>
      <c r="O1" s="350" t="s">
        <v>166</v>
      </c>
      <c r="P1" s="356" t="s">
        <v>167</v>
      </c>
      <c r="Q1" s="356" t="s">
        <v>168</v>
      </c>
      <c r="R1" s="356" t="s">
        <v>169</v>
      </c>
      <c r="S1" s="356" t="s">
        <v>170</v>
      </c>
      <c r="T1" s="350" t="s">
        <v>171</v>
      </c>
      <c r="U1" s="357" t="s">
        <v>172</v>
      </c>
      <c r="V1" s="356" t="s">
        <v>173</v>
      </c>
      <c r="W1" s="356" t="s">
        <v>174</v>
      </c>
      <c r="X1" s="356" t="s">
        <v>175</v>
      </c>
      <c r="Y1" s="357" t="s">
        <v>176</v>
      </c>
      <c r="Z1" s="351" t="s">
        <v>177</v>
      </c>
      <c r="AA1" s="350" t="s">
        <v>178</v>
      </c>
      <c r="AB1" s="350" t="s">
        <v>179</v>
      </c>
      <c r="AC1" s="357" t="s">
        <v>180</v>
      </c>
      <c r="AD1" s="357" t="s">
        <v>181</v>
      </c>
      <c r="AE1" s="357" t="s">
        <v>182</v>
      </c>
      <c r="AF1" s="357" t="s">
        <v>183</v>
      </c>
      <c r="AG1" s="350" t="s">
        <v>184</v>
      </c>
      <c r="AH1" s="350" t="s">
        <v>185</v>
      </c>
      <c r="AI1" s="350" t="s">
        <v>186</v>
      </c>
      <c r="AJ1" s="358" t="s">
        <v>187</v>
      </c>
      <c r="AK1" s="358" t="s">
        <v>118</v>
      </c>
      <c r="AL1" s="358" t="s">
        <v>119</v>
      </c>
      <c r="AM1" s="358" t="s">
        <v>188</v>
      </c>
      <c r="AN1" s="359" t="s">
        <v>120</v>
      </c>
      <c r="AO1" s="359" t="s">
        <v>121</v>
      </c>
      <c r="AP1" s="69" t="s">
        <v>122</v>
      </c>
      <c r="AQ1" s="69" t="s">
        <v>123</v>
      </c>
      <c r="AR1" s="358" t="s">
        <v>124</v>
      </c>
      <c r="AS1" s="359" t="s">
        <v>125</v>
      </c>
      <c r="AT1" s="360" t="s">
        <v>189</v>
      </c>
      <c r="AU1" s="69" t="s">
        <v>126</v>
      </c>
      <c r="AV1" s="69" t="s">
        <v>127</v>
      </c>
      <c r="AW1" s="69" t="s">
        <v>128</v>
      </c>
      <c r="AX1" s="69" t="s">
        <v>190</v>
      </c>
      <c r="AY1" s="358" t="s">
        <v>191</v>
      </c>
      <c r="AZ1" s="358" t="s">
        <v>192</v>
      </c>
      <c r="BA1" s="358" t="s">
        <v>193</v>
      </c>
      <c r="BB1" s="359" t="s">
        <v>194</v>
      </c>
      <c r="BC1" s="359" t="s">
        <v>195</v>
      </c>
      <c r="BD1" s="71" t="s">
        <v>196</v>
      </c>
      <c r="BE1" s="71" t="s">
        <v>197</v>
      </c>
      <c r="BF1" s="69" t="s">
        <v>198</v>
      </c>
      <c r="BG1" s="69" t="s">
        <v>199</v>
      </c>
      <c r="BH1" s="69" t="s">
        <v>200</v>
      </c>
      <c r="BI1" s="72" t="s">
        <v>201</v>
      </c>
      <c r="BJ1" s="72" t="s">
        <v>202</v>
      </c>
      <c r="BK1" s="222" t="s">
        <v>203</v>
      </c>
      <c r="BL1" s="71" t="s">
        <v>204</v>
      </c>
      <c r="BM1" s="69" t="s">
        <v>205</v>
      </c>
      <c r="BN1" s="69" t="s">
        <v>206</v>
      </c>
      <c r="BO1" s="69" t="s">
        <v>207</v>
      </c>
      <c r="BP1" s="361" t="s">
        <v>107</v>
      </c>
      <c r="BQ1" s="361" t="s">
        <v>114</v>
      </c>
      <c r="BR1" s="361" t="s">
        <v>104</v>
      </c>
      <c r="BS1" s="361" t="s">
        <v>102</v>
      </c>
      <c r="BT1" s="351" t="s">
        <v>208</v>
      </c>
      <c r="BU1" s="351" t="s">
        <v>209</v>
      </c>
      <c r="BV1" s="351" t="s">
        <v>210</v>
      </c>
      <c r="BW1" s="351" t="s">
        <v>211</v>
      </c>
      <c r="BX1" s="351" t="s">
        <v>212</v>
      </c>
      <c r="BY1" s="351" t="s">
        <v>213</v>
      </c>
      <c r="BZ1" s="357" t="s">
        <v>214</v>
      </c>
      <c r="CA1" s="357" t="s">
        <v>215</v>
      </c>
      <c r="CB1" s="357" t="s">
        <v>216</v>
      </c>
      <c r="CC1" s="357" t="s">
        <v>217</v>
      </c>
      <c r="CD1" s="357" t="s">
        <v>218</v>
      </c>
      <c r="CE1" s="357" t="s">
        <v>219</v>
      </c>
      <c r="CF1" s="357" t="s">
        <v>220</v>
      </c>
      <c r="CG1" s="357" t="s">
        <v>221</v>
      </c>
      <c r="CH1" s="357" t="s">
        <v>222</v>
      </c>
      <c r="CI1" s="357" t="s">
        <v>223</v>
      </c>
      <c r="CJ1" s="394" t="s">
        <v>224</v>
      </c>
      <c r="CK1" s="394" t="s">
        <v>225</v>
      </c>
      <c r="CL1" s="394" t="s">
        <v>226</v>
      </c>
      <c r="CM1" s="394" t="s">
        <v>227</v>
      </c>
    </row>
    <row r="2" spans="1:91" s="5" customFormat="1" ht="15" customHeight="1">
      <c r="A2" s="362">
        <v>44927</v>
      </c>
      <c r="B2" s="363" t="str">
        <f>TEXT(Tabla1[[#This Row],[Fecha]],"mmmm")</f>
        <v>enero</v>
      </c>
      <c r="C2" s="429">
        <v>0</v>
      </c>
      <c r="D2" s="430">
        <v>431</v>
      </c>
      <c r="E2" s="430">
        <v>431</v>
      </c>
      <c r="F2" s="430">
        <v>446</v>
      </c>
      <c r="G2" s="431">
        <v>0</v>
      </c>
      <c r="H2" s="431">
        <v>0</v>
      </c>
      <c r="I2" s="432">
        <v>0</v>
      </c>
      <c r="J2" s="432">
        <v>0</v>
      </c>
      <c r="K2" s="430">
        <v>9</v>
      </c>
      <c r="L2" s="430">
        <v>24</v>
      </c>
      <c r="M2" s="365">
        <f>Tabla1[[#This Row],[Columna1]]-Tabla1[[#This Row],[PO '[h']]]</f>
        <v>15</v>
      </c>
      <c r="N2" s="365">
        <f>F2+H2+J2</f>
        <v>446</v>
      </c>
      <c r="O2" s="430">
        <v>446</v>
      </c>
      <c r="P2" s="367">
        <f>Tabla1[[#This Row],[G. HGS 
'[MWh']]]</f>
        <v>446</v>
      </c>
      <c r="Q2" s="430">
        <v>0</v>
      </c>
      <c r="R2" s="367">
        <v>0</v>
      </c>
      <c r="S2" s="367">
        <f>Tabla1[[#This Row],[G. HGS 
Con Gas]]*1000</f>
        <v>446000</v>
      </c>
      <c r="T2" s="365">
        <f>Tabla1[[#This Row],[G. HGS 
'[MWh']]]*1000</f>
        <v>446000</v>
      </c>
      <c r="U2" s="368">
        <f>SUM('G. Un GE'!B2:Y2)</f>
        <v>433.01429999999999</v>
      </c>
      <c r="V2" s="369">
        <f>Tabla1[[#This Row],[R. GE
'[MWh']]]</f>
        <v>433.01429999999999</v>
      </c>
      <c r="W2" s="434">
        <v>0</v>
      </c>
      <c r="X2" s="369">
        <v>0</v>
      </c>
      <c r="Y2" s="365">
        <f>Tabla1[[#This Row],[R. GE
'[MWh']]]*1000</f>
        <v>433014.3</v>
      </c>
      <c r="Z2" s="434">
        <v>15.82</v>
      </c>
      <c r="AA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10.682700000000001</v>
      </c>
      <c r="AB2" s="368">
        <f>IF(Tabla1[[#This Row],[G. HGS 
'[MWh']]]=0,0,Tabla1[[#This Row],[G. HGS 
'[MWh']]]+Tabla1[[#This Row],[Con. Aux. '[MWh']2]])</f>
        <v>456.68270000000001</v>
      </c>
      <c r="AC2" s="368">
        <f>'C. ENER. TN'!F2</f>
        <v>5.1372999999999998</v>
      </c>
      <c r="AD2" s="370">
        <f>'C. ENER. TN'!G2</f>
        <v>433.01429999999999</v>
      </c>
      <c r="AE2" s="370">
        <f>'G. Un GE'!AX2</f>
        <v>59.933501666666672</v>
      </c>
      <c r="AF2" s="368">
        <f>IFERROR('G. Un GE'!AX2/Tabla1[[#This Row],[PO '[h']]],0)</f>
        <v>6.6592779629629639</v>
      </c>
      <c r="AG2" s="365">
        <f>'Ar-Pa'!AX2</f>
        <v>8</v>
      </c>
      <c r="AH2" s="365">
        <f>'Ar-Pa'!AY2</f>
        <v>2</v>
      </c>
      <c r="AI2" s="365">
        <f>SUM('Cal. Arr'!AB5:AY5)</f>
        <v>1</v>
      </c>
      <c r="AJ2" s="442">
        <v>0</v>
      </c>
      <c r="AK2" s="442">
        <v>1.4</v>
      </c>
      <c r="AL2" s="267">
        <f>+CONVERT(AK2,"m^3","gal")</f>
        <v>369.84087330140778</v>
      </c>
      <c r="AM2" s="267">
        <f>+CONVERT(AK2+Tabla1[[#This Row],[Con. DO Storage Gen. '[m3']]],"m^3","gal")</f>
        <v>369.84087330140778</v>
      </c>
      <c r="AN2" s="372">
        <f>SUM('DO Pilot'!B2:Y2)</f>
        <v>2.4</v>
      </c>
      <c r="AO2" s="372">
        <f t="shared" ref="AO2:AO65" si="0">+CONVERT(AN2,"m^3","gal")</f>
        <v>634.01292565955623</v>
      </c>
      <c r="AP2" s="267">
        <f>AK2+AN2+Tabla1[[#This Row],[Con. DO Storage Gen. '[m3']]]</f>
        <v>3.8</v>
      </c>
      <c r="AQ2" s="372">
        <f>+CONVERT(AP2,"m^3","gal")</f>
        <v>1003.853798960964</v>
      </c>
      <c r="AR2" s="442">
        <v>0</v>
      </c>
      <c r="AS2" s="442">
        <v>0</v>
      </c>
      <c r="AT2" s="267">
        <f>+CONVERT(SUM(Tabla1[[#This Row],[Repo. DO Storage '[gal']]:[Repo. DO Pilot '[gal']]]),"gal","m3")</f>
        <v>0</v>
      </c>
      <c r="AU2" s="442">
        <v>0</v>
      </c>
      <c r="AV2" s="267">
        <f t="shared" ref="AV2:AV18" si="1">+CONVERT(AU2,"m^3","gal")</f>
        <v>0</v>
      </c>
      <c r="AW2" s="442">
        <v>0</v>
      </c>
      <c r="AX2" s="267">
        <f t="shared" ref="AX2:AX65" si="2">+CONVERT(AW2,"gal","m3")</f>
        <v>0</v>
      </c>
      <c r="AY2" s="372">
        <f t="shared" ref="AY2:AY65" si="3">IFERROR(AL2/O2,0)</f>
        <v>0.82923962623634029</v>
      </c>
      <c r="AZ2" s="372">
        <f>IFERROR(AL2/'Ar-Pa'!AX2,0)</f>
        <v>46.230109162675973</v>
      </c>
      <c r="BA2" s="372">
        <f>IFERROR(AL2/'Ar-Pa'!AY2,0)</f>
        <v>184.92043665070389</v>
      </c>
      <c r="BB2" s="372">
        <f t="shared" ref="BB2:BB65" si="4">IFERROR(AO2/O2,0)</f>
        <v>1.4215536449765835</v>
      </c>
      <c r="BC2" s="372">
        <f>IFERROR(AVERAGEIF('DO Pilot'!AX2:BU2,"&gt;0"),0)</f>
        <v>9.0148712867218155</v>
      </c>
      <c r="BD2" s="445">
        <v>117892</v>
      </c>
      <c r="BE2" s="445">
        <v>4173</v>
      </c>
      <c r="BF2" s="445">
        <v>117455</v>
      </c>
      <c r="BG2" s="223">
        <f>Tabla1[[#This Row],[ Re. Gas GC
 '[m3']]]</f>
        <v>117455</v>
      </c>
      <c r="BH2" s="150">
        <f>IFERROR((BG2*Gas!$B$2)/28.31685,0)</f>
        <v>4131.8313707209663</v>
      </c>
      <c r="BI2" s="151">
        <f t="shared" ref="BI2:BI18" si="5">BH2-BE2</f>
        <v>-41.168629279033667</v>
      </c>
      <c r="BJ2" s="74">
        <f>IFERROR(BI2/BH2,0)</f>
        <v>-9.9637728612942209E-3</v>
      </c>
      <c r="BK2" s="223">
        <f t="shared" ref="BK2:BK65" si="6">IFERROR((BE2/P2)*1000,0)</f>
        <v>9356.5022421524664</v>
      </c>
      <c r="BL2" s="442">
        <v>8957.59</v>
      </c>
      <c r="BM2" s="150">
        <f t="shared" ref="BM2:BM65" si="7">IFERROR((BH2/AB2)*1000,0)</f>
        <v>9047.4882685964822</v>
      </c>
      <c r="BN2" s="150">
        <f t="shared" ref="BN2:BN33" si="8">IFERROR((BH2/V2)*1000,0)</f>
        <v>9542.020600060936</v>
      </c>
      <c r="BO2" s="373">
        <f>IFERROR(Tabla1[[#This Row],[ Re. Gas GC
 '[m3']]]/Tabla1[[#This Row],[G. HGS 
Con Gas '[kWh']]],0)</f>
        <v>0.26335201793721974</v>
      </c>
      <c r="BP2" s="374">
        <f>Tank!Y3</f>
        <v>0</v>
      </c>
      <c r="BQ2" s="70">
        <f>Tank!AP3</f>
        <v>0</v>
      </c>
      <c r="BR2" s="70">
        <f>Tank!V3</f>
        <v>0</v>
      </c>
      <c r="BS2" s="372">
        <f>Tank!T3</f>
        <v>0</v>
      </c>
      <c r="BT2" s="375" t="s">
        <v>228</v>
      </c>
      <c r="BU2" s="449">
        <v>71</v>
      </c>
      <c r="BV2" s="375">
        <f>IF(Tabla1[[#This Row],[Combustible ofertado]]="GAS",Tabla1[[#This Row],[Disponibilidad]],0)</f>
        <v>0</v>
      </c>
      <c r="BW2" s="375">
        <f>IF(Tabla1[[#This Row],[Combustible ofertado]]="DIESEL",Tabla1[[#This Row],[Disponibilidad]],0)</f>
        <v>71</v>
      </c>
      <c r="BX2" s="375">
        <f>IF(Tabla1[[#This Row],[Combustible ofertado]]="HFO",Tabla1[[#This Row],[Disponibilidad]],0)</f>
        <v>0</v>
      </c>
      <c r="BY2" s="454">
        <v>1495</v>
      </c>
      <c r="BZ2" s="446">
        <f>'Horo. M'!C3</f>
        <v>10</v>
      </c>
      <c r="CA2" s="446">
        <f>'Horo. M'!E3</f>
        <v>6</v>
      </c>
      <c r="CB2" s="446">
        <f>'Horo. M'!G3</f>
        <v>8</v>
      </c>
      <c r="CC2" s="446">
        <f>'Horo. M'!I3</f>
        <v>7</v>
      </c>
      <c r="CD2" s="446">
        <f>'Horo. M'!K3</f>
        <v>0</v>
      </c>
      <c r="CE2" s="446">
        <f>'Horo. M'!M3</f>
        <v>8</v>
      </c>
      <c r="CF2" s="446">
        <f>'Horo. M'!O3</f>
        <v>6</v>
      </c>
      <c r="CG2" s="446">
        <f>'Horo. M'!Q3</f>
        <v>8</v>
      </c>
      <c r="CH2" s="446">
        <f>'Horo. M'!S3</f>
        <v>0</v>
      </c>
      <c r="CI2" s="446">
        <f>'Horo. M'!U3</f>
        <v>9</v>
      </c>
      <c r="CJ2" s="392">
        <f>Tabla1[[#This Row],[Con. DO Storage '[gal']]]-Tabla1[[#This Row],[C. DO Storage Ge '[gal']]]</f>
        <v>369.84087330140778</v>
      </c>
      <c r="CK2" s="392"/>
      <c r="CL2" s="392">
        <v>0</v>
      </c>
      <c r="CM2" s="395">
        <f>Tabla1[[#This Row],[Con. DO Total '[gal']]]*131485.5/(1000000)</f>
        <v>131.99221868328183</v>
      </c>
    </row>
    <row r="3" spans="1:91" s="5" customFormat="1" ht="15" customHeight="1">
      <c r="A3" s="362">
        <v>44928</v>
      </c>
      <c r="B3" s="363" t="str">
        <f>TEXT(Tabla1[[#This Row],[Fecha]],"mmmm")</f>
        <v>enero</v>
      </c>
      <c r="C3" s="429">
        <v>0</v>
      </c>
      <c r="D3" s="430">
        <v>872</v>
      </c>
      <c r="E3" s="430">
        <v>872</v>
      </c>
      <c r="F3" s="430">
        <v>888</v>
      </c>
      <c r="G3" s="431">
        <v>0</v>
      </c>
      <c r="H3" s="431">
        <v>0</v>
      </c>
      <c r="I3" s="432">
        <v>0</v>
      </c>
      <c r="J3" s="432">
        <v>0</v>
      </c>
      <c r="K3" s="430">
        <v>18</v>
      </c>
      <c r="L3" s="430">
        <v>24</v>
      </c>
      <c r="M3" s="365">
        <f>Tabla1[[#This Row],[Columna1]]-Tabla1[[#This Row],[PO '[h']]]</f>
        <v>6</v>
      </c>
      <c r="N3" s="365">
        <f t="shared" ref="N3:N18" si="9">F3+H3+J3</f>
        <v>888</v>
      </c>
      <c r="O3" s="430">
        <v>888</v>
      </c>
      <c r="P3" s="367">
        <f>Tabla1[[#This Row],[G. HGS 
'[MWh']]]</f>
        <v>888</v>
      </c>
      <c r="Q3" s="430">
        <v>0</v>
      </c>
      <c r="R3" s="367">
        <v>0</v>
      </c>
      <c r="S3" s="367">
        <f>Tabla1[[#This Row],[G. HGS 
Con Gas]]*1000</f>
        <v>888000</v>
      </c>
      <c r="T3" s="365">
        <f>Tabla1[[#This Row],[G. HGS 
'[MWh']]]*1000</f>
        <v>888000</v>
      </c>
      <c r="U3" s="368">
        <f>SUM('G. Un GE'!B3:Y3)</f>
        <v>878.12479999999982</v>
      </c>
      <c r="V3" s="369">
        <f>Tabla1[[#This Row],[R. GE
'[MWh']]]</f>
        <v>878.12479999999982</v>
      </c>
      <c r="W3" s="434">
        <v>0</v>
      </c>
      <c r="X3" s="369">
        <v>0</v>
      </c>
      <c r="Y3" s="365">
        <f>Tabla1[[#This Row],[R. GE
'[MWh']]]*1000</f>
        <v>878124.79999999981</v>
      </c>
      <c r="Z3" s="434">
        <v>30.54</v>
      </c>
      <c r="AA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26.730499999999999</v>
      </c>
      <c r="AB3" s="368">
        <f>IF(Tabla1[[#This Row],[G. HGS 
'[MWh']]]=0,0,Tabla1[[#This Row],[G. HGS 
'[MWh']]]+Tabla1[[#This Row],[Con. Aux. '[MWh']2]])</f>
        <v>914.73050000000001</v>
      </c>
      <c r="AC3" s="368">
        <f>'C. ENER. TN'!F3</f>
        <v>3.8094999999999999</v>
      </c>
      <c r="AD3" s="370">
        <f>'C. ENER. TN'!G3</f>
        <v>878.12479999999982</v>
      </c>
      <c r="AE3" s="370">
        <f>'G. Un GE'!AX3</f>
        <v>120.54730499999999</v>
      </c>
      <c r="AF3" s="368">
        <f>IFERROR('G. Un GE'!AX3/Tabla1[[#This Row],[PO '[h']]],0)</f>
        <v>6.6970725</v>
      </c>
      <c r="AG3" s="365">
        <f>'Ar-Pa'!AX3</f>
        <v>8</v>
      </c>
      <c r="AH3" s="365">
        <f>'Ar-Pa'!AY3</f>
        <v>6</v>
      </c>
      <c r="AI3" s="365">
        <f>SUM('Cal. Arr'!AB6:AY6)</f>
        <v>1</v>
      </c>
      <c r="AJ3" s="442">
        <v>0</v>
      </c>
      <c r="AK3" s="442">
        <v>1.9</v>
      </c>
      <c r="AL3" s="267">
        <f t="shared" ref="AL3:AL65" si="10">+CONVERT(AK3,"m^3","gal")</f>
        <v>501.92689948048201</v>
      </c>
      <c r="AM3" s="267">
        <f>+CONVERT(AK3+Tabla1[[#This Row],[Con. DO Storage Gen. '[m3']]],"m^3","gal")</f>
        <v>501.92689948048201</v>
      </c>
      <c r="AN3" s="372">
        <f>SUM('DO Pilot'!B3:Y3)</f>
        <v>4.7000000000000011</v>
      </c>
      <c r="AO3" s="372">
        <f t="shared" si="0"/>
        <v>1241.6086460832978</v>
      </c>
      <c r="AP3" s="267">
        <f>AK3+AN3+Tabla1[[#This Row],[Con. DO Storage Gen. '[m3']]]</f>
        <v>6.6000000000000014</v>
      </c>
      <c r="AQ3" s="372">
        <f t="shared" ref="AQ3:AQ66" si="11">+CONVERT(AP3,"m^3","gal")</f>
        <v>1743.53554556378</v>
      </c>
      <c r="AR3" s="442">
        <v>0</v>
      </c>
      <c r="AS3" s="442">
        <v>0</v>
      </c>
      <c r="AT3" s="267">
        <f>+CONVERT(SUM(Tabla1[[#This Row],[Repo. DO Storage '[gal']]:[Repo. DO Pilot '[gal']]]),"gal","m3")</f>
        <v>0</v>
      </c>
      <c r="AU3" s="442">
        <v>0</v>
      </c>
      <c r="AV3" s="267">
        <f t="shared" si="1"/>
        <v>0</v>
      </c>
      <c r="AW3" s="442">
        <v>0</v>
      </c>
      <c r="AX3" s="267">
        <f t="shared" si="2"/>
        <v>0</v>
      </c>
      <c r="AY3" s="372">
        <f t="shared" si="3"/>
        <v>0.56523299491045276</v>
      </c>
      <c r="AZ3" s="372">
        <f>IFERROR(AL3/'Ar-Pa'!AX3,0)</f>
        <v>62.740862435060251</v>
      </c>
      <c r="BA3" s="372">
        <f>IFERROR(AL3/'Ar-Pa'!AY3,0)</f>
        <v>83.654483246747006</v>
      </c>
      <c r="BB3" s="372">
        <f t="shared" si="4"/>
        <v>1.3982079347784886</v>
      </c>
      <c r="BC3" s="372">
        <f>IFERROR(AVERAGEIF('DO Pilot'!AX3:BU3,"&gt;0"),0)</f>
        <v>8.839335909825941</v>
      </c>
      <c r="BD3" s="445">
        <v>239280</v>
      </c>
      <c r="BE3" s="445">
        <v>8470</v>
      </c>
      <c r="BF3" s="445">
        <v>239939</v>
      </c>
      <c r="BG3" s="223">
        <f>Tabla1[[#This Row],[ Re. Gas GC
 '[m3']]]</f>
        <v>239939</v>
      </c>
      <c r="BH3" s="150">
        <f>IFERROR((BG3*Gas!$B$2)/28.31685,0)</f>
        <v>8440.5728769266352</v>
      </c>
      <c r="BI3" s="151">
        <f>BH3-BE3</f>
        <v>-29.427123073364783</v>
      </c>
      <c r="BJ3" s="74">
        <f t="shared" ref="BJ3:BJ66" si="12">IFERROR(BI3/BH3,0)</f>
        <v>-3.4863893129585453E-3</v>
      </c>
      <c r="BK3" s="223">
        <f t="shared" si="6"/>
        <v>9538.2882882882896</v>
      </c>
      <c r="BL3" s="442">
        <v>8913.2800000000007</v>
      </c>
      <c r="BM3" s="150">
        <f t="shared" si="7"/>
        <v>9227.3876042469728</v>
      </c>
      <c r="BN3" s="150">
        <f t="shared" si="8"/>
        <v>9612.0424761111826</v>
      </c>
      <c r="BO3" s="373">
        <f>IFERROR(Tabla1[[#This Row],[ Re. Gas GC
 '[m3']]]/Tabla1[[#This Row],[G. HGS 
Con Gas '[kWh']]],0)</f>
        <v>0.27020157657657656</v>
      </c>
      <c r="BP3" s="374">
        <f>Tank!Y4</f>
        <v>0</v>
      </c>
      <c r="BQ3" s="70">
        <f>Tank!AP4</f>
        <v>0</v>
      </c>
      <c r="BR3" s="70">
        <f>Tank!V4</f>
        <v>0</v>
      </c>
      <c r="BS3" s="372">
        <f>Tank!T4</f>
        <v>0</v>
      </c>
      <c r="BT3" s="375" t="s">
        <v>228</v>
      </c>
      <c r="BU3" s="449">
        <v>71</v>
      </c>
      <c r="BV3" s="375">
        <f>IF(Tabla1[[#This Row],[Combustible ofertado]]="GAS",Tabla1[[#This Row],[Disponibilidad]],0)</f>
        <v>0</v>
      </c>
      <c r="BW3" s="375">
        <f>IF(Tabla1[[#This Row],[Combustible ofertado]]="DIESEL",Tabla1[[#This Row],[Disponibilidad]],0)</f>
        <v>71</v>
      </c>
      <c r="BX3" s="375">
        <f>IF(Tabla1[[#This Row],[Combustible ofertado]]="HFO",Tabla1[[#This Row],[Disponibilidad]],0)</f>
        <v>0</v>
      </c>
      <c r="BY3" s="454">
        <v>1495</v>
      </c>
      <c r="BZ3" s="446">
        <f>'Horo. M'!C4</f>
        <v>18</v>
      </c>
      <c r="CA3" s="446">
        <f>'Horo. M'!E4</f>
        <v>15</v>
      </c>
      <c r="CB3" s="446">
        <f>'Horo. M'!G4</f>
        <v>16</v>
      </c>
      <c r="CC3" s="446">
        <f>'Horo. M'!I4</f>
        <v>0</v>
      </c>
      <c r="CD3" s="446">
        <f>'Horo. M'!K4</f>
        <v>0</v>
      </c>
      <c r="CE3" s="446">
        <f>'Horo. M'!M4</f>
        <v>16</v>
      </c>
      <c r="CF3" s="446">
        <f>'Horo. M'!O4</f>
        <v>14</v>
      </c>
      <c r="CG3" s="446">
        <f>'Horo. M'!Q4</f>
        <v>17</v>
      </c>
      <c r="CH3" s="446">
        <f>'Horo. M'!S4</f>
        <v>15</v>
      </c>
      <c r="CI3" s="446">
        <f>'Horo. M'!U4</f>
        <v>18</v>
      </c>
      <c r="CJ3" s="70">
        <f>Tabla1[[#This Row],[Con. DO Storage '[gal']]]-Tabla1[[#This Row],[C. DO Storage Ge '[gal']]]</f>
        <v>501.92689948048201</v>
      </c>
      <c r="CK3" s="70"/>
      <c r="CL3" s="392">
        <v>0</v>
      </c>
      <c r="CM3" s="372">
        <f>Tabla1[[#This Row],[Con. DO Total '[gal']]]*131485.5/(1000000)</f>
        <v>229.2496429762264</v>
      </c>
    </row>
    <row r="4" spans="1:91" s="5" customFormat="1" ht="15" customHeight="1">
      <c r="A4" s="362">
        <v>44929</v>
      </c>
      <c r="B4" s="363" t="str">
        <f>TEXT(Tabla1[[#This Row],[Fecha]],"mmmm")</f>
        <v>enero</v>
      </c>
      <c r="C4" s="429">
        <v>0</v>
      </c>
      <c r="D4" s="430">
        <v>1272</v>
      </c>
      <c r="E4" s="430">
        <v>1272</v>
      </c>
      <c r="F4" s="430">
        <v>1282</v>
      </c>
      <c r="G4" s="431">
        <v>0</v>
      </c>
      <c r="H4" s="431">
        <v>0</v>
      </c>
      <c r="I4" s="432">
        <v>0</v>
      </c>
      <c r="J4" s="432">
        <v>0</v>
      </c>
      <c r="K4" s="430">
        <v>24</v>
      </c>
      <c r="L4" s="430">
        <v>24</v>
      </c>
      <c r="M4" s="365">
        <f>Tabla1[[#This Row],[Columna1]]-Tabla1[[#This Row],[PO '[h']]]</f>
        <v>0</v>
      </c>
      <c r="N4" s="365">
        <f t="shared" si="9"/>
        <v>1282</v>
      </c>
      <c r="O4" s="430">
        <v>1282</v>
      </c>
      <c r="P4" s="367">
        <f>Tabla1[[#This Row],[G. HGS 
'[MWh']]]</f>
        <v>1282</v>
      </c>
      <c r="Q4" s="434">
        <v>161.95759999999999</v>
      </c>
      <c r="R4" s="367">
        <v>0</v>
      </c>
      <c r="S4" s="367">
        <f>Tabla1[[#This Row],[G. HGS 
Con Gas]]*1000</f>
        <v>1282000</v>
      </c>
      <c r="T4" s="365">
        <f>Tabla1[[#This Row],[G. HGS 
'[MWh']]]*1000</f>
        <v>1282000</v>
      </c>
      <c r="U4" s="368">
        <f>SUM('G. Un GE'!B4:Y4)</f>
        <v>1282.1465000000001</v>
      </c>
      <c r="V4" s="369">
        <f>Tabla1[[#This Row],[R. GE
'[MWh']]]</f>
        <v>1282.1465000000001</v>
      </c>
      <c r="W4" s="434">
        <f>SUM('G. Un GE'!B4:D4)</f>
        <v>161.95759999999999</v>
      </c>
      <c r="X4" s="369">
        <v>0</v>
      </c>
      <c r="Y4" s="365">
        <f>Tabla1[[#This Row],[R. GE
'[MWh']]]*1000</f>
        <v>1282146.5</v>
      </c>
      <c r="Z4" s="434">
        <v>38.07</v>
      </c>
      <c r="AA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38.07</v>
      </c>
      <c r="AB4" s="368">
        <f>IF(Tabla1[[#This Row],[G. HGS 
'[MWh']]]=0,0,Tabla1[[#This Row],[G. HGS 
'[MWh']]]+Tabla1[[#This Row],[Con. Aux. '[MWh']2]])</f>
        <v>1320.07</v>
      </c>
      <c r="AC4" s="368">
        <f>'C. ENER. TN'!F4</f>
        <v>0</v>
      </c>
      <c r="AD4" s="370">
        <f>'C. ENER. TN'!G4</f>
        <v>1282.1465000000001</v>
      </c>
      <c r="AE4" s="370">
        <f>'G. Un GE'!AX4</f>
        <v>177.12659821428574</v>
      </c>
      <c r="AF4" s="368">
        <f>IFERROR('G. Un GE'!AX4/Tabla1[[#This Row],[PO '[h']]],0)</f>
        <v>7.3802749255952387</v>
      </c>
      <c r="AG4" s="365">
        <f>'Ar-Pa'!AX4</f>
        <v>2</v>
      </c>
      <c r="AH4" s="365">
        <f>'Ar-Pa'!AY4</f>
        <v>2</v>
      </c>
      <c r="AI4" s="365">
        <f>SUM('Cal. Arr'!AB7:AY7)</f>
        <v>0</v>
      </c>
      <c r="AJ4" s="442">
        <v>3.6</v>
      </c>
      <c r="AK4" s="442">
        <v>0.6</v>
      </c>
      <c r="AL4" s="267">
        <f>+CONVERT(AK4,"m^3","gal")</f>
        <v>158.50323141488906</v>
      </c>
      <c r="AM4" s="267">
        <f>+CONVERT(AK4+Tabla1[[#This Row],[Con. DO Storage Gen. '[m3']]],"m^3","gal")</f>
        <v>1109.5226199042233</v>
      </c>
      <c r="AN4" s="372">
        <f>SUM('DO Pilot'!B4:Y4)</f>
        <v>5.8000000000000007</v>
      </c>
      <c r="AO4" s="372">
        <f t="shared" si="0"/>
        <v>1532.1979036772611</v>
      </c>
      <c r="AP4" s="267">
        <f>AK4+AN4+Tabla1[[#This Row],[Con. DO Storage Gen. '[m3']]]</f>
        <v>10</v>
      </c>
      <c r="AQ4" s="372">
        <f t="shared" si="11"/>
        <v>2641.720523581484</v>
      </c>
      <c r="AR4" s="442">
        <v>0</v>
      </c>
      <c r="AS4" s="442">
        <v>0</v>
      </c>
      <c r="AT4" s="267">
        <f>+CONVERT(SUM(Tabla1[[#This Row],[Repo. DO Storage '[gal']]:[Repo. DO Pilot '[gal']]]),"gal","m3")</f>
        <v>0</v>
      </c>
      <c r="AU4" s="442">
        <v>0</v>
      </c>
      <c r="AV4" s="267">
        <f t="shared" si="1"/>
        <v>0</v>
      </c>
      <c r="AW4" s="442">
        <v>0</v>
      </c>
      <c r="AX4" s="267">
        <f t="shared" si="2"/>
        <v>0</v>
      </c>
      <c r="AY4" s="372">
        <f t="shared" si="3"/>
        <v>0.12363746600225356</v>
      </c>
      <c r="AZ4" s="372">
        <f>IFERROR(AL4/'Ar-Pa'!AX4,0)</f>
        <v>79.251615707444529</v>
      </c>
      <c r="BA4" s="372">
        <f>IFERROR(AL4/'Ar-Pa'!AY4,0)</f>
        <v>79.251615707444529</v>
      </c>
      <c r="BB4" s="372">
        <f t="shared" si="4"/>
        <v>1.1951621713551179</v>
      </c>
      <c r="BC4" s="372">
        <f>IFERROR(AVERAGEIF('DO Pilot'!AX4:BU4,"&gt;0"),0)</f>
        <v>8.8267011145063865</v>
      </c>
      <c r="BD4" s="445">
        <v>340627</v>
      </c>
      <c r="BE4" s="445">
        <v>12058</v>
      </c>
      <c r="BF4" s="445">
        <v>337448</v>
      </c>
      <c r="BG4" s="223">
        <f>Tabla1[[#This Row],[ Re. Gas GC
 '[m3']]]</f>
        <v>337448</v>
      </c>
      <c r="BH4" s="150">
        <f>IFERROR((BG4*Gas!$B$2)/28.31685,0)</f>
        <v>11870.743964812469</v>
      </c>
      <c r="BI4" s="151">
        <f t="shared" si="5"/>
        <v>-187.25603518753087</v>
      </c>
      <c r="BJ4" s="74">
        <f t="shared" si="12"/>
        <v>-1.5774582936216929E-2</v>
      </c>
      <c r="BK4" s="223">
        <f t="shared" si="6"/>
        <v>9405.6162246489857</v>
      </c>
      <c r="BL4" s="442">
        <v>8857.2199999999993</v>
      </c>
      <c r="BM4" s="150">
        <f t="shared" si="7"/>
        <v>8992.5109765485686</v>
      </c>
      <c r="BN4" s="150">
        <f t="shared" si="8"/>
        <v>9258.4926643035469</v>
      </c>
      <c r="BO4" s="373">
        <f>IFERROR(Tabla1[[#This Row],[ Re. Gas GC
 '[m3']]]/Tabla1[[#This Row],[G. HGS 
Con Gas '[kWh']]],0)</f>
        <v>0.26321996879875192</v>
      </c>
      <c r="BP4" s="374">
        <f>Tank!Y5</f>
        <v>0</v>
      </c>
      <c r="BQ4" s="70">
        <f>Tank!AP5</f>
        <v>0</v>
      </c>
      <c r="BR4" s="70">
        <f>Tank!V5</f>
        <v>0</v>
      </c>
      <c r="BS4" s="372">
        <f>Tank!T5</f>
        <v>0</v>
      </c>
      <c r="BT4" s="375" t="s">
        <v>228</v>
      </c>
      <c r="BU4" s="449">
        <v>71</v>
      </c>
      <c r="BV4" s="375">
        <f>IF(Tabla1[[#This Row],[Combustible ofertado]]="GAS",Tabla1[[#This Row],[Disponibilidad]],0)</f>
        <v>0</v>
      </c>
      <c r="BW4" s="375">
        <f>IF(Tabla1[[#This Row],[Combustible ofertado]]="DIESEL",Tabla1[[#This Row],[Disponibilidad]],0)</f>
        <v>71</v>
      </c>
      <c r="BX4" s="375">
        <f>IF(Tabla1[[#This Row],[Combustible ofertado]]="HFO",Tabla1[[#This Row],[Disponibilidad]],0)</f>
        <v>0</v>
      </c>
      <c r="BY4" s="454">
        <v>1495</v>
      </c>
      <c r="BZ4" s="446">
        <f>'Horo. M'!C5</f>
        <v>24</v>
      </c>
      <c r="CA4" s="446">
        <f>'Horo. M'!E5</f>
        <v>16</v>
      </c>
      <c r="CB4" s="446">
        <f>'Horo. M'!G5</f>
        <v>24</v>
      </c>
      <c r="CC4" s="446">
        <f>'Horo. M'!I5</f>
        <v>14</v>
      </c>
      <c r="CD4" s="446">
        <f>'Horo. M'!K5</f>
        <v>0</v>
      </c>
      <c r="CE4" s="446">
        <f>'Horo. M'!M5</f>
        <v>24</v>
      </c>
      <c r="CF4" s="446">
        <f>'Horo. M'!O5</f>
        <v>0</v>
      </c>
      <c r="CG4" s="446">
        <f>'Horo. M'!Q5</f>
        <v>24</v>
      </c>
      <c r="CH4" s="446">
        <f>'Horo. M'!S5</f>
        <v>24</v>
      </c>
      <c r="CI4" s="446">
        <f>'Horo. M'!U5</f>
        <v>24</v>
      </c>
      <c r="CJ4" s="70">
        <f>Tabla1[[#This Row],[Con. DO Storage '[gal']]]-Tabla1[[#This Row],[C. DO Storage Ge '[gal']]]</f>
        <v>158.50323141488906</v>
      </c>
      <c r="CK4" s="70"/>
      <c r="CL4" s="392">
        <v>0</v>
      </c>
      <c r="CM4" s="372">
        <f>Tabla1[[#This Row],[Con. DO Total '[gal']]]*131485.5/(1000000)</f>
        <v>347.34794390337322</v>
      </c>
    </row>
    <row r="5" spans="1:91" s="5" customFormat="1" ht="15" customHeight="1">
      <c r="A5" s="362">
        <v>44930</v>
      </c>
      <c r="B5" s="363" t="str">
        <f>TEXT(Tabla1[[#This Row],[Fecha]],"mmmm")</f>
        <v>enero</v>
      </c>
      <c r="C5" s="429">
        <v>0</v>
      </c>
      <c r="D5" s="430">
        <v>1272</v>
      </c>
      <c r="E5" s="430">
        <v>1272</v>
      </c>
      <c r="F5" s="430">
        <v>1287</v>
      </c>
      <c r="G5" s="431">
        <v>0</v>
      </c>
      <c r="H5" s="431">
        <v>0</v>
      </c>
      <c r="I5" s="432">
        <v>0</v>
      </c>
      <c r="J5" s="432">
        <v>0</v>
      </c>
      <c r="K5" s="430">
        <v>24</v>
      </c>
      <c r="L5" s="430">
        <v>24</v>
      </c>
      <c r="M5" s="365">
        <f>Tabla1[[#This Row],[Columna1]]-Tabla1[[#This Row],[PO '[h']]]</f>
        <v>0</v>
      </c>
      <c r="N5" s="365">
        <f t="shared" si="9"/>
        <v>1287</v>
      </c>
      <c r="O5" s="430">
        <v>1287</v>
      </c>
      <c r="P5" s="367">
        <f>Tabla1[[#This Row],[G. HGS 
'[MWh']]]</f>
        <v>1287</v>
      </c>
      <c r="Q5" s="434">
        <v>215.26999999999998</v>
      </c>
      <c r="R5" s="367">
        <v>0</v>
      </c>
      <c r="S5" s="367">
        <f>Tabla1[[#This Row],[G. HGS 
Con Gas]]*1000</f>
        <v>1287000</v>
      </c>
      <c r="T5" s="365">
        <f>Tabla1[[#This Row],[G. HGS 
'[MWh']]]*1000</f>
        <v>1287000</v>
      </c>
      <c r="U5" s="368">
        <f>SUM('G. Un GE'!B5:Y5)</f>
        <v>1276.4812999999999</v>
      </c>
      <c r="V5" s="369">
        <f>Tabla1[[#This Row],[R. GE
'[MWh']]]</f>
        <v>1276.4812999999999</v>
      </c>
      <c r="W5" s="434">
        <f>SUM('G. Un GE'!B5:E5)</f>
        <v>215.26999999999998</v>
      </c>
      <c r="X5" s="369">
        <v>0</v>
      </c>
      <c r="Y5" s="365">
        <f>Tabla1[[#This Row],[R. GE
'[MWh']]]*1000</f>
        <v>1276481.2999999998</v>
      </c>
      <c r="Z5" s="434">
        <v>39.85</v>
      </c>
      <c r="AA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39.85</v>
      </c>
      <c r="AB5" s="368">
        <f>IF(Tabla1[[#This Row],[G. HGS 
'[MWh']]]=0,0,Tabla1[[#This Row],[G. HGS 
'[MWh']]]+Tabla1[[#This Row],[Con. Aux. '[MWh']2]])</f>
        <v>1326.85</v>
      </c>
      <c r="AC5" s="368">
        <f>'C. ENER. TN'!F5</f>
        <v>0</v>
      </c>
      <c r="AD5" s="370">
        <f>'C. ENER. TN'!G5</f>
        <v>1276.4813000000001</v>
      </c>
      <c r="AE5" s="370">
        <f>'G. Un GE'!AX5</f>
        <v>171.90093928571429</v>
      </c>
      <c r="AF5" s="368">
        <f>IFERROR('G. Un GE'!AX5/Tabla1[[#This Row],[PO '[h']]],0)</f>
        <v>7.162539136904762</v>
      </c>
      <c r="AG5" s="365">
        <f>'Ar-Pa'!AX5</f>
        <v>1</v>
      </c>
      <c r="AH5" s="365">
        <f>'Ar-Pa'!AY5</f>
        <v>1</v>
      </c>
      <c r="AI5" s="365">
        <f>SUM('Cal. Arr'!AB8:AY8)</f>
        <v>0</v>
      </c>
      <c r="AJ5" s="442">
        <v>4.4000000000000004</v>
      </c>
      <c r="AK5" s="442">
        <v>1.6</v>
      </c>
      <c r="AL5" s="267">
        <f t="shared" si="10"/>
        <v>422.67528377303745</v>
      </c>
      <c r="AM5" s="267">
        <f>+CONVERT(AK5+Tabla1[[#This Row],[Con. DO Storage Gen. '[m3']]],"m^3","gal")</f>
        <v>1585.0323141488905</v>
      </c>
      <c r="AN5" s="372">
        <f>SUM('DO Pilot'!B5:Y5)</f>
        <v>5.8000000000000016</v>
      </c>
      <c r="AO5" s="372">
        <f t="shared" si="0"/>
        <v>1532.1979036772614</v>
      </c>
      <c r="AP5" s="267">
        <f>AK5+AN5+Tabla1[[#This Row],[Con. DO Storage Gen. '[m3']]]</f>
        <v>11.800000000000002</v>
      </c>
      <c r="AQ5" s="372">
        <f t="shared" si="11"/>
        <v>3117.2302178261521</v>
      </c>
      <c r="AR5" s="442">
        <v>0</v>
      </c>
      <c r="AS5" s="442">
        <v>0</v>
      </c>
      <c r="AT5" s="267">
        <f>+CONVERT(SUM(Tabla1[[#This Row],[Repo. DO Storage '[gal']]:[Repo. DO Pilot '[gal']]]),"gal","m3")</f>
        <v>0</v>
      </c>
      <c r="AU5" s="442">
        <v>0</v>
      </c>
      <c r="AV5" s="267">
        <f t="shared" si="1"/>
        <v>0</v>
      </c>
      <c r="AW5" s="442">
        <v>0</v>
      </c>
      <c r="AX5" s="267">
        <f t="shared" si="2"/>
        <v>0</v>
      </c>
      <c r="AY5" s="372">
        <f t="shared" si="3"/>
        <v>0.32841902391067401</v>
      </c>
      <c r="AZ5" s="372">
        <f>IFERROR(AL5/'Ar-Pa'!AX5,0)</f>
        <v>422.67528377303745</v>
      </c>
      <c r="BA5" s="372">
        <f>IFERROR(AL5/'Ar-Pa'!AY5,0)</f>
        <v>422.67528377303745</v>
      </c>
      <c r="BB5" s="372">
        <f t="shared" si="4"/>
        <v>1.1905189616761938</v>
      </c>
      <c r="BC5" s="372">
        <f>IFERROR(AVERAGEIF('DO Pilot'!AX5:BU5,"&gt;0"),0)</f>
        <v>8.5954195309686252</v>
      </c>
      <c r="BD5" s="445">
        <v>340441</v>
      </c>
      <c r="BE5" s="445">
        <v>12441</v>
      </c>
      <c r="BF5" s="445">
        <v>339114</v>
      </c>
      <c r="BG5" s="223">
        <f>Tabla1[[#This Row],[ Re. Gas GC
 '[m3']]]</f>
        <v>339114</v>
      </c>
      <c r="BH5" s="150">
        <f>IFERROR((BG5*Gas!$B$2)/28.31685,0)</f>
        <v>11929.35050402852</v>
      </c>
      <c r="BI5" s="151">
        <f t="shared" si="5"/>
        <v>-511.64949597148006</v>
      </c>
      <c r="BJ5" s="74">
        <f t="shared" si="12"/>
        <v>-4.2889970899815291E-2</v>
      </c>
      <c r="BK5" s="223">
        <f t="shared" si="6"/>
        <v>9666.6666666666661</v>
      </c>
      <c r="BL5" s="442">
        <v>8967.11</v>
      </c>
      <c r="BM5" s="150">
        <f t="shared" si="7"/>
        <v>8990.730304125198</v>
      </c>
      <c r="BN5" s="150">
        <f t="shared" si="8"/>
        <v>9345.4957029362831</v>
      </c>
      <c r="BO5" s="373">
        <f>IFERROR(Tabla1[[#This Row],[ Re. Gas GC
 '[m3']]]/Tabla1[[#This Row],[G. HGS 
Con Gas '[kWh']]],0)</f>
        <v>0.26349184149184152</v>
      </c>
      <c r="BP5" s="374">
        <f>Tank!Y6</f>
        <v>0</v>
      </c>
      <c r="BQ5" s="70">
        <f>Tank!AP6</f>
        <v>35.1</v>
      </c>
      <c r="BR5" s="70">
        <f>Tank!V6</f>
        <v>0</v>
      </c>
      <c r="BS5" s="372">
        <f>Tank!T6</f>
        <v>0</v>
      </c>
      <c r="BT5" s="375" t="s">
        <v>228</v>
      </c>
      <c r="BU5" s="449">
        <v>71</v>
      </c>
      <c r="BV5" s="375">
        <f>IF(Tabla1[[#This Row],[Combustible ofertado]]="GAS",Tabla1[[#This Row],[Disponibilidad]],0)</f>
        <v>0</v>
      </c>
      <c r="BW5" s="375">
        <f>IF(Tabla1[[#This Row],[Combustible ofertado]]="DIESEL",Tabla1[[#This Row],[Disponibilidad]],0)</f>
        <v>71</v>
      </c>
      <c r="BX5" s="375">
        <f>IF(Tabla1[[#This Row],[Combustible ofertado]]="HFO",Tabla1[[#This Row],[Disponibilidad]],0)</f>
        <v>0</v>
      </c>
      <c r="BY5" s="454">
        <v>1495</v>
      </c>
      <c r="BZ5" s="446">
        <f>'Horo. M'!C6</f>
        <v>24</v>
      </c>
      <c r="CA5" s="446">
        <f>'Horo. M'!E6</f>
        <v>23</v>
      </c>
      <c r="CB5" s="446">
        <f>'Horo. M'!G6</f>
        <v>24</v>
      </c>
      <c r="CC5" s="446">
        <f>'Horo. M'!I6</f>
        <v>14</v>
      </c>
      <c r="CD5" s="446">
        <f>'Horo. M'!K6</f>
        <v>0</v>
      </c>
      <c r="CE5" s="446">
        <f>'Horo. M'!M6</f>
        <v>0</v>
      </c>
      <c r="CF5" s="446">
        <f>'Horo. M'!O6</f>
        <v>21</v>
      </c>
      <c r="CG5" s="446">
        <f>'Horo. M'!Q6</f>
        <v>24</v>
      </c>
      <c r="CH5" s="446">
        <f>'Horo. M'!S6</f>
        <v>24</v>
      </c>
      <c r="CI5" s="446">
        <f>'Horo. M'!U6</f>
        <v>24</v>
      </c>
      <c r="CJ5" s="70">
        <f>Tabla1[[#This Row],[Con. DO Storage '[gal']]]-Tabla1[[#This Row],[C. DO Storage Ge '[gal']]]</f>
        <v>422.67528377303745</v>
      </c>
      <c r="CK5" s="70"/>
      <c r="CL5" s="392">
        <v>0</v>
      </c>
      <c r="CM5" s="372">
        <f>Tabla1[[#This Row],[Con. DO Total '[gal']]]*131485.5/(1000000)</f>
        <v>409.87057380598048</v>
      </c>
    </row>
    <row r="6" spans="1:91" s="5" customFormat="1" ht="15" customHeight="1">
      <c r="A6" s="362">
        <v>44931</v>
      </c>
      <c r="B6" s="363" t="str">
        <f>TEXT(Tabla1[[#This Row],[Fecha]],"mmmm")</f>
        <v>enero</v>
      </c>
      <c r="C6" s="429">
        <v>0</v>
      </c>
      <c r="D6" s="430">
        <v>1272</v>
      </c>
      <c r="E6" s="430">
        <v>1272</v>
      </c>
      <c r="F6" s="430">
        <v>1272</v>
      </c>
      <c r="G6" s="431">
        <v>0</v>
      </c>
      <c r="H6" s="431">
        <v>0</v>
      </c>
      <c r="I6" s="432">
        <v>0</v>
      </c>
      <c r="J6" s="432">
        <v>0</v>
      </c>
      <c r="K6" s="430">
        <v>24</v>
      </c>
      <c r="L6" s="430">
        <v>24</v>
      </c>
      <c r="M6" s="365">
        <f>Tabla1[[#This Row],[Columna1]]-Tabla1[[#This Row],[PO '[h']]]</f>
        <v>0</v>
      </c>
      <c r="N6" s="365">
        <f t="shared" si="9"/>
        <v>1272</v>
      </c>
      <c r="O6" s="430">
        <v>1272</v>
      </c>
      <c r="P6" s="367">
        <f>Tabla1[[#This Row],[G. HGS 
'[MWh']]]</f>
        <v>1272</v>
      </c>
      <c r="Q6" s="430">
        <v>0</v>
      </c>
      <c r="R6" s="367">
        <v>0</v>
      </c>
      <c r="S6" s="367">
        <f>Tabla1[[#This Row],[G. HGS 
Con Gas]]*1000</f>
        <v>1272000</v>
      </c>
      <c r="T6" s="365">
        <f>Tabla1[[#This Row],[G. HGS 
'[MWh']]]*1000</f>
        <v>1272000</v>
      </c>
      <c r="U6" s="368">
        <f>SUM('G. Un GE'!B6:Y6)</f>
        <v>1261.8854999999999</v>
      </c>
      <c r="V6" s="369">
        <f>Tabla1[[#This Row],[R. GE
'[MWh']]]</f>
        <v>1261.8854999999999</v>
      </c>
      <c r="W6" s="434">
        <v>0</v>
      </c>
      <c r="X6" s="369">
        <v>0</v>
      </c>
      <c r="Y6" s="365">
        <f>Tabla1[[#This Row],[R. GE
'[MWh']]]*1000</f>
        <v>1261885.4999999998</v>
      </c>
      <c r="Z6" s="434">
        <v>40.14</v>
      </c>
      <c r="AA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40.14</v>
      </c>
      <c r="AB6" s="368">
        <f>IF(Tabla1[[#This Row],[G. HGS 
'[MWh']]]=0,0,Tabla1[[#This Row],[G. HGS 
'[MWh']]]+Tabla1[[#This Row],[Con. Aux. '[MWh']2]])</f>
        <v>1312.14</v>
      </c>
      <c r="AC6" s="368">
        <f>'C. ENER. TN'!F6</f>
        <v>0</v>
      </c>
      <c r="AD6" s="370">
        <f>'C. ENER. TN'!G6</f>
        <v>1261.8855000000001</v>
      </c>
      <c r="AE6" s="370">
        <f>'G. Un GE'!AX6</f>
        <v>170.61038333333329</v>
      </c>
      <c r="AF6" s="368">
        <f>IFERROR('G. Un GE'!AX6/Tabla1[[#This Row],[PO '[h']]],0)</f>
        <v>7.1087659722222201</v>
      </c>
      <c r="AG6" s="365">
        <f>'Ar-Pa'!AX6</f>
        <v>2</v>
      </c>
      <c r="AH6" s="365">
        <f>'Ar-Pa'!AY6</f>
        <v>2</v>
      </c>
      <c r="AI6" s="365">
        <f>SUM('Cal. Arr'!AB9:AY9)</f>
        <v>0</v>
      </c>
      <c r="AJ6" s="442">
        <v>0</v>
      </c>
      <c r="AK6" s="442">
        <v>1.6</v>
      </c>
      <c r="AL6" s="267">
        <f t="shared" si="10"/>
        <v>422.67528377303745</v>
      </c>
      <c r="AM6" s="267">
        <f>+CONVERT(AK6+Tabla1[[#This Row],[Con. DO Storage Gen. '[m3']]],"m^3","gal")</f>
        <v>422.67528377303745</v>
      </c>
      <c r="AN6" s="372">
        <f>SUM('DO Pilot'!B6:Y6)</f>
        <v>6.7400000000000029</v>
      </c>
      <c r="AO6" s="372">
        <f t="shared" si="0"/>
        <v>1780.5196328939212</v>
      </c>
      <c r="AP6" s="267">
        <f>AK6+AN6+Tabla1[[#This Row],[Con. DO Storage Gen. '[m3']]]</f>
        <v>8.3400000000000034</v>
      </c>
      <c r="AQ6" s="372">
        <f t="shared" si="11"/>
        <v>2203.1949166669588</v>
      </c>
      <c r="AR6" s="442">
        <v>0</v>
      </c>
      <c r="AS6" s="442">
        <v>0</v>
      </c>
      <c r="AT6" s="267">
        <f>+CONVERT(SUM(Tabla1[[#This Row],[Repo. DO Storage '[gal']]:[Repo. DO Pilot '[gal']]]),"gal","m3")</f>
        <v>0</v>
      </c>
      <c r="AU6" s="442">
        <v>0</v>
      </c>
      <c r="AV6" s="267">
        <f t="shared" si="1"/>
        <v>0</v>
      </c>
      <c r="AW6" s="442">
        <v>0</v>
      </c>
      <c r="AX6" s="267">
        <f t="shared" si="2"/>
        <v>0</v>
      </c>
      <c r="AY6" s="372">
        <f t="shared" si="3"/>
        <v>0.33229188975867724</v>
      </c>
      <c r="AZ6" s="372">
        <f>IFERROR(AL6/'Ar-Pa'!AX6,0)</f>
        <v>211.33764188651872</v>
      </c>
      <c r="BA6" s="372">
        <f>IFERROR(AL6/'Ar-Pa'!AY6,0)</f>
        <v>211.33764188651872</v>
      </c>
      <c r="BB6" s="372">
        <f t="shared" si="4"/>
        <v>1.3997795856084285</v>
      </c>
      <c r="BC6" s="372">
        <f>IFERROR(AVERAGEIF('DO Pilot'!AX6:BU6,"&gt;0"),0)</f>
        <v>10.030282612973451</v>
      </c>
      <c r="BD6" s="445">
        <v>343751</v>
      </c>
      <c r="BE6" s="445">
        <v>12168</v>
      </c>
      <c r="BF6" s="445">
        <v>342631</v>
      </c>
      <c r="BG6" s="223">
        <f>Tabla1[[#This Row],[ Re. Gas GC
 '[m3']]]</f>
        <v>342631</v>
      </c>
      <c r="BH6" s="150">
        <f>IFERROR((BG6*Gas!$B$2)/28.31685,0)</f>
        <v>12053.07151148521</v>
      </c>
      <c r="BI6" s="151">
        <f>BH6-BE6</f>
        <v>-114.92848851478993</v>
      </c>
      <c r="BJ6" s="74">
        <f>IFERROR(BI6/BH6,0)</f>
        <v>-9.5352034048147901E-3</v>
      </c>
      <c r="BK6" s="223">
        <f t="shared" si="6"/>
        <v>9566.0377358490568</v>
      </c>
      <c r="BL6" s="442">
        <v>8945.73</v>
      </c>
      <c r="BM6" s="150">
        <f t="shared" si="7"/>
        <v>9185.8121172170722</v>
      </c>
      <c r="BN6" s="150">
        <f t="shared" si="8"/>
        <v>9551.6364293632123</v>
      </c>
      <c r="BO6" s="373">
        <f>IFERROR(Tabla1[[#This Row],[ Re. Gas GC
 '[m3']]]/Tabla1[[#This Row],[G. HGS 
Con Gas '[kWh']]],0)</f>
        <v>0.26936399371069181</v>
      </c>
      <c r="BP6" s="374">
        <f>Tank!Y7</f>
        <v>0</v>
      </c>
      <c r="BQ6" s="70">
        <f>Tank!AP7</f>
        <v>25.8</v>
      </c>
      <c r="BR6" s="70">
        <f>Tank!V7</f>
        <v>0</v>
      </c>
      <c r="BS6" s="372">
        <f>Tank!T7</f>
        <v>0</v>
      </c>
      <c r="BT6" s="375" t="s">
        <v>228</v>
      </c>
      <c r="BU6" s="449">
        <v>71</v>
      </c>
      <c r="BV6" s="375">
        <f>IF(Tabla1[[#This Row],[Combustible ofertado]]="GAS",Tabla1[[#This Row],[Disponibilidad]],0)</f>
        <v>0</v>
      </c>
      <c r="BW6" s="375">
        <f>IF(Tabla1[[#This Row],[Combustible ofertado]]="DIESEL",Tabla1[[#This Row],[Disponibilidad]],0)</f>
        <v>71</v>
      </c>
      <c r="BX6" s="375">
        <f>IF(Tabla1[[#This Row],[Combustible ofertado]]="HFO",Tabla1[[#This Row],[Disponibilidad]],0)</f>
        <v>0</v>
      </c>
      <c r="BY6" s="454">
        <v>1495</v>
      </c>
      <c r="BZ6" s="446">
        <f>'Horo. M'!C7</f>
        <v>24</v>
      </c>
      <c r="CA6" s="446">
        <f>'Horo. M'!E7</f>
        <v>24</v>
      </c>
      <c r="CB6" s="446">
        <f>'Horo. M'!G7</f>
        <v>24</v>
      </c>
      <c r="CC6" s="446">
        <f>'Horo. M'!I7</f>
        <v>18</v>
      </c>
      <c r="CD6" s="446">
        <f>'Horo. M'!K7</f>
        <v>0</v>
      </c>
      <c r="CE6" s="446">
        <f>'Horo. M'!M7</f>
        <v>18</v>
      </c>
      <c r="CF6" s="446">
        <f>'Horo. M'!O7</f>
        <v>24</v>
      </c>
      <c r="CG6" s="446">
        <f>'Horo. M'!Q7</f>
        <v>24</v>
      </c>
      <c r="CH6" s="446">
        <f>'Horo. M'!S7</f>
        <v>0</v>
      </c>
      <c r="CI6" s="446">
        <f>'Horo. M'!U7</f>
        <v>24</v>
      </c>
      <c r="CJ6" s="70">
        <f>Tabla1[[#This Row],[Con. DO Storage '[gal']]]-Tabla1[[#This Row],[C. DO Storage Ge '[gal']]]</f>
        <v>422.67528377303745</v>
      </c>
      <c r="CK6" s="70"/>
      <c r="CL6" s="392">
        <v>0</v>
      </c>
      <c r="CM6" s="372">
        <f>Tabla1[[#This Row],[Con. DO Total '[gal']]]*131485.5/(1000000)</f>
        <v>289.6881852154134</v>
      </c>
    </row>
    <row r="7" spans="1:91" s="5" customFormat="1" ht="15" customHeight="1">
      <c r="A7" s="362">
        <v>44932</v>
      </c>
      <c r="B7" s="363" t="str">
        <f>TEXT(Tabla1[[#This Row],[Fecha]],"mmmm")</f>
        <v>enero</v>
      </c>
      <c r="C7" s="429">
        <v>0</v>
      </c>
      <c r="D7" s="430">
        <v>1272</v>
      </c>
      <c r="E7" s="430">
        <v>1272</v>
      </c>
      <c r="F7" s="430">
        <v>1278</v>
      </c>
      <c r="G7" s="431">
        <v>0</v>
      </c>
      <c r="H7" s="431">
        <v>0</v>
      </c>
      <c r="I7" s="432">
        <v>0</v>
      </c>
      <c r="J7" s="432">
        <v>0</v>
      </c>
      <c r="K7" s="430">
        <v>24</v>
      </c>
      <c r="L7" s="430">
        <v>24</v>
      </c>
      <c r="M7" s="365">
        <f>Tabla1[[#This Row],[Columna1]]-Tabla1[[#This Row],[PO '[h']]]</f>
        <v>0</v>
      </c>
      <c r="N7" s="365">
        <f t="shared" si="9"/>
        <v>1278</v>
      </c>
      <c r="O7" s="430">
        <v>1278</v>
      </c>
      <c r="P7" s="367">
        <f>Tabla1[[#This Row],[G. HGS 
'[MWh']]]</f>
        <v>1278</v>
      </c>
      <c r="Q7" s="430">
        <v>0</v>
      </c>
      <c r="R7" s="367">
        <v>0</v>
      </c>
      <c r="S7" s="367">
        <f>Tabla1[[#This Row],[G. HGS 
Con Gas]]*1000</f>
        <v>1278000</v>
      </c>
      <c r="T7" s="365">
        <f>Tabla1[[#This Row],[G. HGS 
'[MWh']]]*1000</f>
        <v>1278000</v>
      </c>
      <c r="U7" s="368">
        <f>SUM('G. Un GE'!B7:Y7)</f>
        <v>1267.991</v>
      </c>
      <c r="V7" s="369">
        <f>Tabla1[[#This Row],[R. GE
'[MWh']]]</f>
        <v>1267.991</v>
      </c>
      <c r="W7" s="434">
        <v>0</v>
      </c>
      <c r="X7" s="369">
        <v>0</v>
      </c>
      <c r="Y7" s="365">
        <f>Tabla1[[#This Row],[R. GE
'[MWh']]]*1000</f>
        <v>1267991</v>
      </c>
      <c r="Z7" s="434">
        <v>38.89</v>
      </c>
      <c r="AA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38.89</v>
      </c>
      <c r="AB7" s="368">
        <f>IF(Tabla1[[#This Row],[G. HGS 
'[MWh']]]=0,0,Tabla1[[#This Row],[G. HGS 
'[MWh']]]+Tabla1[[#This Row],[Con. Aux. '[MWh']2]])</f>
        <v>1316.89</v>
      </c>
      <c r="AC7" s="368">
        <f>'C. ENER. TN'!F7</f>
        <v>0</v>
      </c>
      <c r="AD7" s="370">
        <f>'C. ENER. TN'!G7</f>
        <v>1267.9910000000002</v>
      </c>
      <c r="AE7" s="370">
        <f>'G. Un GE'!AX7</f>
        <v>169.04452916666668</v>
      </c>
      <c r="AF7" s="368">
        <f>IFERROR('G. Un GE'!AX7/Tabla1[[#This Row],[PO '[h']]],0)</f>
        <v>7.0435220486111119</v>
      </c>
      <c r="AG7" s="365">
        <f>'Ar-Pa'!AX7</f>
        <v>2</v>
      </c>
      <c r="AH7" s="365">
        <f>'Ar-Pa'!AY7</f>
        <v>2</v>
      </c>
      <c r="AI7" s="365">
        <f>SUM('Cal. Arr'!AB10:AY10)</f>
        <v>0</v>
      </c>
      <c r="AJ7" s="442">
        <v>0</v>
      </c>
      <c r="AK7" s="442">
        <v>1.1000000000000001</v>
      </c>
      <c r="AL7" s="267">
        <f t="shared" si="10"/>
        <v>290.58925759396328</v>
      </c>
      <c r="AM7" s="267">
        <f>+CONVERT(AK7+Tabla1[[#This Row],[Con. DO Storage Gen. '[m3']]],"m^3","gal")</f>
        <v>290.58925759396328</v>
      </c>
      <c r="AN7" s="372">
        <f>SUM('DO Pilot'!B7:Y7)</f>
        <v>7.0699999999999976</v>
      </c>
      <c r="AO7" s="372">
        <f t="shared" si="0"/>
        <v>1867.6964101721087</v>
      </c>
      <c r="AP7" s="267">
        <f>AK7+AN7+Tabla1[[#This Row],[Con. DO Storage Gen. '[m3']]]</f>
        <v>8.1699999999999982</v>
      </c>
      <c r="AQ7" s="372">
        <f t="shared" si="11"/>
        <v>2158.285667766072</v>
      </c>
      <c r="AR7" s="442">
        <v>0</v>
      </c>
      <c r="AS7" s="442">
        <v>10634</v>
      </c>
      <c r="AT7" s="267">
        <f>+CONVERT(SUM(Tabla1[[#This Row],[Repo. DO Storage '[gal']]:[Repo. DO Pilot '[gal']]]),"gal","m3")</f>
        <v>40.254068911055995</v>
      </c>
      <c r="AU7" s="442">
        <v>0</v>
      </c>
      <c r="AV7" s="267">
        <f t="shared" si="1"/>
        <v>0</v>
      </c>
      <c r="AW7" s="442">
        <v>0</v>
      </c>
      <c r="AX7" s="267">
        <f t="shared" si="2"/>
        <v>0</v>
      </c>
      <c r="AY7" s="372">
        <f t="shared" si="3"/>
        <v>0.22737813583252214</v>
      </c>
      <c r="AZ7" s="372">
        <f>IFERROR(AL7/'Ar-Pa'!AX7,0)</f>
        <v>145.29462879698164</v>
      </c>
      <c r="BA7" s="372">
        <f>IFERROR(AL7/'Ar-Pa'!AY7,0)</f>
        <v>145.29462879698164</v>
      </c>
      <c r="BB7" s="372">
        <f t="shared" si="4"/>
        <v>1.4614212912144826</v>
      </c>
      <c r="BC7" s="372">
        <f>IFERROR(AVERAGEIF('DO Pilot'!AX7:BU7,"&gt;0"),0)</f>
        <v>10.378842959834891</v>
      </c>
      <c r="BD7" s="445">
        <v>345297</v>
      </c>
      <c r="BE7" s="445">
        <v>12223</v>
      </c>
      <c r="BF7" s="445">
        <v>344686</v>
      </c>
      <c r="BG7" s="223">
        <f>Tabla1[[#This Row],[ Re. Gas GC
 '[m3']]]</f>
        <v>344686</v>
      </c>
      <c r="BH7" s="150">
        <f>IFERROR((BG7*Gas!$B$2)/28.31685,0)</f>
        <v>12125.362290650266</v>
      </c>
      <c r="BI7" s="151">
        <f t="shared" si="5"/>
        <v>-97.637709349733996</v>
      </c>
      <c r="BJ7" s="74">
        <f t="shared" si="12"/>
        <v>-8.0523539840967363E-3</v>
      </c>
      <c r="BK7" s="223">
        <f t="shared" si="6"/>
        <v>9564.1627543035993</v>
      </c>
      <c r="BL7" s="442">
        <v>8953.2900000000009</v>
      </c>
      <c r="BM7" s="150">
        <f t="shared" si="7"/>
        <v>9207.5741258953021</v>
      </c>
      <c r="BN7" s="150">
        <f t="shared" si="8"/>
        <v>9562.6564310395479</v>
      </c>
      <c r="BO7" s="373">
        <f>IFERROR(Tabla1[[#This Row],[ Re. Gas GC
 '[m3']]]/Tabla1[[#This Row],[G. HGS 
Con Gas '[kWh']]],0)</f>
        <v>0.2697073552425665</v>
      </c>
      <c r="BP7" s="374">
        <f>Tank!Y8</f>
        <v>0</v>
      </c>
      <c r="BQ7" s="70">
        <f>Tank!AP8</f>
        <v>0</v>
      </c>
      <c r="BR7" s="70">
        <f>Tank!V8</f>
        <v>0</v>
      </c>
      <c r="BS7" s="372">
        <f>Tank!T8</f>
        <v>0</v>
      </c>
      <c r="BT7" s="375" t="s">
        <v>228</v>
      </c>
      <c r="BU7" s="449">
        <v>71</v>
      </c>
      <c r="BV7" s="375">
        <f>IF(Tabla1[[#This Row],[Combustible ofertado]]="GAS",Tabla1[[#This Row],[Disponibilidad]],0)</f>
        <v>0</v>
      </c>
      <c r="BW7" s="375">
        <f>IF(Tabla1[[#This Row],[Combustible ofertado]]="DIESEL",Tabla1[[#This Row],[Disponibilidad]],0)</f>
        <v>71</v>
      </c>
      <c r="BX7" s="375">
        <f>IF(Tabla1[[#This Row],[Combustible ofertado]]="HFO",Tabla1[[#This Row],[Disponibilidad]],0)</f>
        <v>0</v>
      </c>
      <c r="BY7" s="454">
        <v>1495</v>
      </c>
      <c r="BZ7" s="446">
        <f>'Horo. M'!C8</f>
        <v>24</v>
      </c>
      <c r="CA7" s="446">
        <f>'Horo. M'!E8</f>
        <v>24</v>
      </c>
      <c r="CB7" s="446">
        <f>'Horo. M'!G8</f>
        <v>24</v>
      </c>
      <c r="CC7" s="446">
        <f>'Horo. M'!I8</f>
        <v>18</v>
      </c>
      <c r="CD7" s="446">
        <f>'Horo. M'!K8</f>
        <v>0</v>
      </c>
      <c r="CE7" s="446">
        <f>'Horo. M'!M8</f>
        <v>18</v>
      </c>
      <c r="CF7" s="446">
        <f>'Horo. M'!O8</f>
        <v>24</v>
      </c>
      <c r="CG7" s="446">
        <f>'Horo. M'!Q8</f>
        <v>24</v>
      </c>
      <c r="CH7" s="446">
        <f>'Horo. M'!S8</f>
        <v>0</v>
      </c>
      <c r="CI7" s="446">
        <f>'Horo. M'!U8</f>
        <v>24</v>
      </c>
      <c r="CJ7" s="70">
        <f>Tabla1[[#This Row],[Con. DO Storage '[gal']]]-Tabla1[[#This Row],[C. DO Storage Ge '[gal']]]</f>
        <v>290.58925759396328</v>
      </c>
      <c r="CK7" s="70"/>
      <c r="CL7" s="392">
        <v>0</v>
      </c>
      <c r="CM7" s="372">
        <f>Tabla1[[#This Row],[Con. DO Total '[gal']]]*131485.5/(1000000)</f>
        <v>283.78327016905587</v>
      </c>
    </row>
    <row r="8" spans="1:91" s="5" customFormat="1" ht="15" customHeight="1">
      <c r="A8" s="362">
        <v>44933</v>
      </c>
      <c r="B8" s="363" t="str">
        <f>TEXT(Tabla1[[#This Row],[Fecha]],"mmmm")</f>
        <v>enero</v>
      </c>
      <c r="C8" s="429">
        <v>0</v>
      </c>
      <c r="D8" s="430">
        <v>1264</v>
      </c>
      <c r="E8" s="430">
        <v>1264</v>
      </c>
      <c r="F8" s="430">
        <v>1288</v>
      </c>
      <c r="G8" s="431">
        <v>0</v>
      </c>
      <c r="H8" s="431">
        <v>0</v>
      </c>
      <c r="I8" s="432">
        <v>0</v>
      </c>
      <c r="J8" s="432">
        <v>0</v>
      </c>
      <c r="K8" s="430">
        <v>22</v>
      </c>
      <c r="L8" s="430">
        <v>24</v>
      </c>
      <c r="M8" s="365">
        <f>Tabla1[[#This Row],[Columna1]]-Tabla1[[#This Row],[PO '[h']]]</f>
        <v>2</v>
      </c>
      <c r="N8" s="365">
        <f t="shared" si="9"/>
        <v>1288</v>
      </c>
      <c r="O8" s="430">
        <v>1288</v>
      </c>
      <c r="P8" s="367">
        <f>Tabla1[[#This Row],[G. HGS 
'[MWh']]]</f>
        <v>1288</v>
      </c>
      <c r="Q8" s="434">
        <v>212.84289999999999</v>
      </c>
      <c r="R8" s="367">
        <v>0</v>
      </c>
      <c r="S8" s="367">
        <f>Tabla1[[#This Row],[G. HGS 
Con Gas]]*1000</f>
        <v>1288000</v>
      </c>
      <c r="T8" s="365">
        <f>Tabla1[[#This Row],[G. HGS 
'[MWh']]]*1000</f>
        <v>1288000</v>
      </c>
      <c r="U8" s="368">
        <f>SUM('G. Un GE'!B8:Y8)</f>
        <v>1277.5884000000001</v>
      </c>
      <c r="V8" s="369">
        <f>Tabla1[[#This Row],[R. GE
'[MWh']]]</f>
        <v>1277.5884000000001</v>
      </c>
      <c r="W8" s="434">
        <f>SUM('G. Un GE'!K7:N7)</f>
        <v>212.84289999999999</v>
      </c>
      <c r="X8" s="369">
        <v>0</v>
      </c>
      <c r="Y8" s="365">
        <f>Tabla1[[#This Row],[R. GE
'[MWh']]]*1000</f>
        <v>1277588.4000000001</v>
      </c>
      <c r="Z8" s="434">
        <v>36.4</v>
      </c>
      <c r="AA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35.403700000000001</v>
      </c>
      <c r="AB8" s="368">
        <f>IF(Tabla1[[#This Row],[G. HGS 
'[MWh']]]=0,0,Tabla1[[#This Row],[G. HGS 
'[MWh']]]+Tabla1[[#This Row],[Con. Aux. '[MWh']2]])</f>
        <v>1323.4037000000001</v>
      </c>
      <c r="AC8" s="368">
        <f>'C. ENER. TN'!F8</f>
        <v>0.99629999999999996</v>
      </c>
      <c r="AD8" s="370">
        <f>'C. ENER. TN'!G8</f>
        <v>1277.5884000000003</v>
      </c>
      <c r="AE8" s="370">
        <f>'G. Un GE'!AX8</f>
        <v>166.10516170634918</v>
      </c>
      <c r="AF8" s="368">
        <f>IFERROR('G. Un GE'!AX8/Tabla1[[#This Row],[PO '[h']]],0)</f>
        <v>7.5502346230158714</v>
      </c>
      <c r="AG8" s="365">
        <f>'Ar-Pa'!AX8</f>
        <v>9</v>
      </c>
      <c r="AH8" s="365">
        <f>'Ar-Pa'!AY8</f>
        <v>8</v>
      </c>
      <c r="AI8" s="365">
        <f>SUM('Cal. Arr'!AB11:AY11)</f>
        <v>0</v>
      </c>
      <c r="AJ8" s="442">
        <v>5.9</v>
      </c>
      <c r="AK8" s="442">
        <v>1.4</v>
      </c>
      <c r="AL8" s="267">
        <f t="shared" si="10"/>
        <v>369.84087330140778</v>
      </c>
      <c r="AM8" s="267">
        <f>+CONVERT(AK8+Tabla1[[#This Row],[Con. DO Storage Gen. '[m3']]],"m^3","gal")</f>
        <v>1928.4559822144838</v>
      </c>
      <c r="AN8" s="372">
        <f>SUM('DO Pilot'!B8:Y8)</f>
        <v>6.4099999999999993</v>
      </c>
      <c r="AO8" s="372">
        <f t="shared" si="0"/>
        <v>1693.3428556157312</v>
      </c>
      <c r="AP8" s="267">
        <f>AK8+AN8+Tabla1[[#This Row],[Con. DO Storage Gen. '[m3']]]</f>
        <v>13.709999999999999</v>
      </c>
      <c r="AQ8" s="372">
        <f t="shared" si="11"/>
        <v>3621.7988378302143</v>
      </c>
      <c r="AR8" s="442">
        <v>0</v>
      </c>
      <c r="AS8" s="442">
        <v>0</v>
      </c>
      <c r="AT8" s="267">
        <f>+CONVERT(SUM(Tabla1[[#This Row],[Repo. DO Storage '[gal']]:[Repo. DO Pilot '[gal']]]),"gal","m3")</f>
        <v>0</v>
      </c>
      <c r="AU8" s="442">
        <v>0</v>
      </c>
      <c r="AV8" s="267">
        <f t="shared" si="1"/>
        <v>0</v>
      </c>
      <c r="AW8" s="442">
        <v>0</v>
      </c>
      <c r="AX8" s="267">
        <f t="shared" si="2"/>
        <v>0</v>
      </c>
      <c r="AY8" s="372">
        <f t="shared" si="3"/>
        <v>0.28714353517190044</v>
      </c>
      <c r="AZ8" s="372">
        <f>IFERROR(AL8/'Ar-Pa'!AX8,0)</f>
        <v>41.093430366823085</v>
      </c>
      <c r="BA8" s="372">
        <f>IFERROR(AL8/'Ar-Pa'!AY8,0)</f>
        <v>46.230109162675973</v>
      </c>
      <c r="BB8" s="372">
        <f t="shared" si="4"/>
        <v>1.3147071860370583</v>
      </c>
      <c r="BC8" s="372">
        <f>IFERROR(AVERAGEIF('DO Pilot'!AX8:BU8,"&gt;0"),0)</f>
        <v>9.1774454234408989</v>
      </c>
      <c r="BD8" s="445">
        <v>338468</v>
      </c>
      <c r="BE8" s="445">
        <v>11981</v>
      </c>
      <c r="BF8" s="445">
        <v>337617</v>
      </c>
      <c r="BG8" s="223">
        <f>Tabla1[[#This Row],[ Re. Gas GC
 '[m3']]]</f>
        <v>337617</v>
      </c>
      <c r="BH8" s="150">
        <f>IFERROR((BG8*Gas!$B$2)/28.31685,0)</f>
        <v>11876.689045921421</v>
      </c>
      <c r="BI8" s="151">
        <f t="shared" si="5"/>
        <v>-104.31095407857902</v>
      </c>
      <c r="BJ8" s="74">
        <f t="shared" si="12"/>
        <v>-8.7828311135585788E-3</v>
      </c>
      <c r="BK8" s="223">
        <f t="shared" si="6"/>
        <v>9302.0186335403723</v>
      </c>
      <c r="BL8" s="442">
        <v>8962.2000000000007</v>
      </c>
      <c r="BM8" s="150">
        <f t="shared" si="7"/>
        <v>8974.3507940331583</v>
      </c>
      <c r="BN8" s="150">
        <f t="shared" si="8"/>
        <v>9296.1778972957327</v>
      </c>
      <c r="BO8" s="373">
        <f>IFERROR(Tabla1[[#This Row],[ Re. Gas GC
 '[m3']]]/Tabla1[[#This Row],[G. HGS 
Con Gas '[kWh']]],0)</f>
        <v>0.262125</v>
      </c>
      <c r="BP8" s="374">
        <f>Tank!Y9</f>
        <v>0</v>
      </c>
      <c r="BQ8" s="70">
        <f>Tank!AP9</f>
        <v>0</v>
      </c>
      <c r="BR8" s="70">
        <f>Tank!V9</f>
        <v>0</v>
      </c>
      <c r="BS8" s="372">
        <f>Tank!T9</f>
        <v>-10.566882094325711</v>
      </c>
      <c r="BT8" s="375" t="s">
        <v>228</v>
      </c>
      <c r="BU8" s="449">
        <v>80</v>
      </c>
      <c r="BV8" s="375">
        <f>IF(Tabla1[[#This Row],[Combustible ofertado]]="GAS",Tabla1[[#This Row],[Disponibilidad]],0)</f>
        <v>0</v>
      </c>
      <c r="BW8" s="375">
        <f>IF(Tabla1[[#This Row],[Combustible ofertado]]="DIESEL",Tabla1[[#This Row],[Disponibilidad]],0)</f>
        <v>80</v>
      </c>
      <c r="BX8" s="375">
        <f>IF(Tabla1[[#This Row],[Combustible ofertado]]="HFO",Tabla1[[#This Row],[Disponibilidad]],0)</f>
        <v>0</v>
      </c>
      <c r="BY8" s="454">
        <v>1505</v>
      </c>
      <c r="BZ8" s="446">
        <f>'Horo. M'!C9</f>
        <v>22</v>
      </c>
      <c r="CA8" s="446">
        <f>'Horo. M'!E9</f>
        <v>17</v>
      </c>
      <c r="CB8" s="446">
        <f>'Horo. M'!G9</f>
        <v>21</v>
      </c>
      <c r="CC8" s="446">
        <f>'Horo. M'!I9</f>
        <v>16</v>
      </c>
      <c r="CD8" s="446">
        <f>'Horo. M'!K9</f>
        <v>0</v>
      </c>
      <c r="CE8" s="446">
        <f>'Horo. M'!M9</f>
        <v>18</v>
      </c>
      <c r="CF8" s="446">
        <f>'Horo. M'!O9</f>
        <v>20</v>
      </c>
      <c r="CG8" s="446">
        <f>'Horo. M'!Q9</f>
        <v>20</v>
      </c>
      <c r="CH8" s="446">
        <f>'Horo. M'!S9</f>
        <v>20</v>
      </c>
      <c r="CI8" s="446">
        <f>'Horo. M'!U9</f>
        <v>22</v>
      </c>
      <c r="CJ8" s="70">
        <f>Tabla1[[#This Row],[Con. DO Storage '[gal']]]-Tabla1[[#This Row],[C. DO Storage Ge '[gal']]]</f>
        <v>369.84087330140778</v>
      </c>
      <c r="CK8" s="70"/>
      <c r="CL8" s="392">
        <v>0</v>
      </c>
      <c r="CM8" s="372">
        <f>Tabla1[[#This Row],[Con. DO Total '[gal']]]*131485.5/(1000000)</f>
        <v>476.21403109152465</v>
      </c>
    </row>
    <row r="9" spans="1:91" s="5" customFormat="1" ht="15" customHeight="1">
      <c r="A9" s="362">
        <v>44934</v>
      </c>
      <c r="B9" s="363" t="str">
        <f>TEXT(Tabla1[[#This Row],[Fecha]],"mmmm")</f>
        <v>enero</v>
      </c>
      <c r="C9" s="429">
        <v>0</v>
      </c>
      <c r="D9" s="430">
        <v>978</v>
      </c>
      <c r="E9" s="430">
        <v>978</v>
      </c>
      <c r="F9" s="430">
        <v>997</v>
      </c>
      <c r="G9" s="431">
        <v>0</v>
      </c>
      <c r="H9" s="431">
        <v>0</v>
      </c>
      <c r="I9" s="432">
        <v>0</v>
      </c>
      <c r="J9" s="432">
        <v>0</v>
      </c>
      <c r="K9" s="430">
        <v>20</v>
      </c>
      <c r="L9" s="430">
        <v>24</v>
      </c>
      <c r="M9" s="365">
        <f>Tabla1[[#This Row],[Columna1]]-Tabla1[[#This Row],[PO '[h']]]</f>
        <v>4</v>
      </c>
      <c r="N9" s="365">
        <f t="shared" si="9"/>
        <v>997</v>
      </c>
      <c r="O9" s="430">
        <v>997</v>
      </c>
      <c r="P9" s="367">
        <f>Tabla1[[#This Row],[G. HGS 
'[MWh']]]</f>
        <v>997</v>
      </c>
      <c r="Q9" s="430">
        <v>0</v>
      </c>
      <c r="R9" s="367">
        <v>0</v>
      </c>
      <c r="S9" s="367">
        <f>Tabla1[[#This Row],[G. HGS 
Con Gas]]*1000</f>
        <v>997000</v>
      </c>
      <c r="T9" s="365">
        <f>Tabla1[[#This Row],[G. HGS 
'[MWh']]]*1000</f>
        <v>997000</v>
      </c>
      <c r="U9" s="368">
        <f>SUM('G. Un GE'!B9:Y9)</f>
        <v>986.96830000000011</v>
      </c>
      <c r="V9" s="369">
        <f>Tabla1[[#This Row],[R. GE
'[MWh']]]</f>
        <v>986.96830000000011</v>
      </c>
      <c r="W9" s="434">
        <v>0</v>
      </c>
      <c r="X9" s="369">
        <v>0</v>
      </c>
      <c r="Y9" s="365">
        <f>Tabla1[[#This Row],[R. GE
'[MWh']]]*1000</f>
        <v>986968.30000000016</v>
      </c>
      <c r="Z9" s="434">
        <v>34.76</v>
      </c>
      <c r="AA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32.119599999999998</v>
      </c>
      <c r="AB9" s="368">
        <f>IF(Tabla1[[#This Row],[G. HGS 
'[MWh']]]=0,0,Tabla1[[#This Row],[G. HGS 
'[MWh']]]+Tabla1[[#This Row],[Con. Aux. '[MWh']2]])</f>
        <v>1029.1196</v>
      </c>
      <c r="AC9" s="368">
        <f>'C. ENER. TN'!F9</f>
        <v>2.6404000000000001</v>
      </c>
      <c r="AD9" s="370">
        <f>'C. ENER. TN'!G9</f>
        <v>986.9683</v>
      </c>
      <c r="AE9" s="370">
        <f>'G. Un GE'!AX9</f>
        <v>138.95957916666666</v>
      </c>
      <c r="AF9" s="368">
        <f>IFERROR('G. Un GE'!AX9/Tabla1[[#This Row],[PO '[h']]],0)</f>
        <v>6.9479789583333327</v>
      </c>
      <c r="AG9" s="365">
        <f>'Ar-Pa'!AX9</f>
        <v>8</v>
      </c>
      <c r="AH9" s="365">
        <f>'Ar-Pa'!AY9</f>
        <v>9</v>
      </c>
      <c r="AI9" s="365">
        <f>SUM('Cal. Arr'!AB12:AY12)</f>
        <v>1</v>
      </c>
      <c r="AJ9" s="442">
        <v>0</v>
      </c>
      <c r="AK9" s="442">
        <v>1.9</v>
      </c>
      <c r="AL9" s="267">
        <f t="shared" si="10"/>
        <v>501.92689948048201</v>
      </c>
      <c r="AM9" s="267">
        <f>+CONVERT(AK9+Tabla1[[#This Row],[Con. DO Storage Gen. '[m3']]],"m^3","gal")</f>
        <v>501.92689948048201</v>
      </c>
      <c r="AN9" s="372">
        <f>SUM('DO Pilot'!B9:Y9)</f>
        <v>5.160000000000001</v>
      </c>
      <c r="AO9" s="372">
        <f t="shared" si="0"/>
        <v>1363.1277901680462</v>
      </c>
      <c r="AP9" s="267">
        <f>AK9+AN9+Tabla1[[#This Row],[Con. DO Storage Gen. '[m3']]]</f>
        <v>7.0600000000000005</v>
      </c>
      <c r="AQ9" s="372">
        <f t="shared" si="11"/>
        <v>1865.0546896485282</v>
      </c>
      <c r="AR9" s="442">
        <v>0</v>
      </c>
      <c r="AS9" s="442">
        <v>0</v>
      </c>
      <c r="AT9" s="267">
        <f>+CONVERT(SUM(Tabla1[[#This Row],[Repo. DO Storage '[gal']]:[Repo. DO Pilot '[gal']]]),"gal","m3")</f>
        <v>0</v>
      </c>
      <c r="AU9" s="442">
        <v>0</v>
      </c>
      <c r="AV9" s="267">
        <f t="shared" si="1"/>
        <v>0</v>
      </c>
      <c r="AW9" s="442">
        <v>0</v>
      </c>
      <c r="AX9" s="267">
        <f t="shared" si="2"/>
        <v>0</v>
      </c>
      <c r="AY9" s="372">
        <f t="shared" si="3"/>
        <v>0.50343721111382345</v>
      </c>
      <c r="AZ9" s="372">
        <f>IFERROR(AL9/'Ar-Pa'!AX9,0)</f>
        <v>62.740862435060251</v>
      </c>
      <c r="BA9" s="372">
        <f>IFERROR(AL9/'Ar-Pa'!AY9,0)</f>
        <v>55.769655497831337</v>
      </c>
      <c r="BB9" s="372">
        <f t="shared" si="4"/>
        <v>1.3672294786038577</v>
      </c>
      <c r="BC9" s="372">
        <f>IFERROR(AVERAGEIF('DO Pilot'!AX9:BU9,"&gt;0"),0)</f>
        <v>8.7106731658245558</v>
      </c>
      <c r="BD9" s="445">
        <v>270655</v>
      </c>
      <c r="BE9" s="445">
        <v>9581</v>
      </c>
      <c r="BF9" s="445">
        <v>268689</v>
      </c>
      <c r="BG9" s="223">
        <f>Tabla1[[#This Row],[ Re. Gas GC
 '[m3']]]</f>
        <v>268689</v>
      </c>
      <c r="BH9" s="150">
        <f>IFERROR((BG9*Gas!$B$2)/28.31685,0)</f>
        <v>9451.9402253428616</v>
      </c>
      <c r="BI9" s="151">
        <f t="shared" si="5"/>
        <v>-129.05977465713841</v>
      </c>
      <c r="BJ9" s="74">
        <f t="shared" si="12"/>
        <v>-1.3654315577567765E-2</v>
      </c>
      <c r="BK9" s="223">
        <f t="shared" si="6"/>
        <v>9609.8294884653951</v>
      </c>
      <c r="BL9" s="442">
        <v>8961.1200000000008</v>
      </c>
      <c r="BM9" s="150">
        <f t="shared" si="7"/>
        <v>9184.4915064710276</v>
      </c>
      <c r="BN9" s="150">
        <f t="shared" si="8"/>
        <v>9576.7414468558527</v>
      </c>
      <c r="BO9" s="373">
        <f>IFERROR(Tabla1[[#This Row],[ Re. Gas GC
 '[m3']]]/Tabla1[[#This Row],[G. HGS 
Con Gas '[kWh']]],0)</f>
        <v>0.26949749247743232</v>
      </c>
      <c r="BP9" s="374">
        <f>Tank!Y10</f>
        <v>0</v>
      </c>
      <c r="BQ9" s="70">
        <f>Tank!AP10</f>
        <v>0</v>
      </c>
      <c r="BR9" s="70">
        <f>Tank!V10</f>
        <v>0</v>
      </c>
      <c r="BS9" s="372">
        <f>Tank!T10</f>
        <v>0</v>
      </c>
      <c r="BT9" s="375" t="s">
        <v>228</v>
      </c>
      <c r="BU9" s="449">
        <v>71</v>
      </c>
      <c r="BV9" s="375">
        <f>IF(Tabla1[[#This Row],[Combustible ofertado]]="GAS",Tabla1[[#This Row],[Disponibilidad]],0)</f>
        <v>0</v>
      </c>
      <c r="BW9" s="375">
        <f>IF(Tabla1[[#This Row],[Combustible ofertado]]="DIESEL",Tabla1[[#This Row],[Disponibilidad]],0)</f>
        <v>71</v>
      </c>
      <c r="BX9" s="375">
        <f>IF(Tabla1[[#This Row],[Combustible ofertado]]="HFO",Tabla1[[#This Row],[Disponibilidad]],0)</f>
        <v>0</v>
      </c>
      <c r="BY9" s="454">
        <v>1505</v>
      </c>
      <c r="BZ9" s="446">
        <f>'Horo. M'!C10</f>
        <v>21</v>
      </c>
      <c r="CA9" s="446">
        <f>'Horo. M'!E10</f>
        <v>18</v>
      </c>
      <c r="CB9" s="446">
        <f>'Horo. M'!G10</f>
        <v>0</v>
      </c>
      <c r="CC9" s="446">
        <f>'Horo. M'!I10</f>
        <v>14</v>
      </c>
      <c r="CD9" s="446">
        <f>'Horo. M'!K10</f>
        <v>0</v>
      </c>
      <c r="CE9" s="446">
        <f>'Horo. M'!M10</f>
        <v>13</v>
      </c>
      <c r="CF9" s="446">
        <f>'Horo. M'!O10</f>
        <v>17</v>
      </c>
      <c r="CG9" s="446">
        <f>'Horo. M'!Q10</f>
        <v>18</v>
      </c>
      <c r="CH9" s="446">
        <f>'Horo. M'!S10</f>
        <v>19</v>
      </c>
      <c r="CI9" s="446">
        <f>'Horo. M'!U10</f>
        <v>21</v>
      </c>
      <c r="CJ9" s="70">
        <f>Tabla1[[#This Row],[Con. DO Storage '[gal']]]-Tabla1[[#This Row],[C. DO Storage Ge '[gal']]]</f>
        <v>501.92689948048201</v>
      </c>
      <c r="CK9" s="70"/>
      <c r="CL9" s="70"/>
      <c r="CM9" s="372">
        <f>Tabla1[[#This Row],[Con. DO Total '[gal']]]*131485.5/(1000000)</f>
        <v>245.22764839578156</v>
      </c>
    </row>
    <row r="10" spans="1:91" s="5" customFormat="1" ht="15" customHeight="1">
      <c r="A10" s="362">
        <v>44935</v>
      </c>
      <c r="B10" s="363" t="str">
        <f>TEXT(Tabla1[[#This Row],[Fecha]],"mmmm")</f>
        <v>enero</v>
      </c>
      <c r="C10" s="429">
        <v>0</v>
      </c>
      <c r="D10" s="430">
        <v>1264</v>
      </c>
      <c r="E10" s="430">
        <v>1264</v>
      </c>
      <c r="F10" s="430">
        <v>1293</v>
      </c>
      <c r="G10" s="431">
        <v>0</v>
      </c>
      <c r="H10" s="431">
        <v>0</v>
      </c>
      <c r="I10" s="432">
        <v>0</v>
      </c>
      <c r="J10" s="432">
        <v>0</v>
      </c>
      <c r="K10" s="430">
        <v>22</v>
      </c>
      <c r="L10" s="430">
        <v>24</v>
      </c>
      <c r="M10" s="365">
        <f>Tabla1[[#This Row],[Columna1]]-Tabla1[[#This Row],[PO '[h']]]</f>
        <v>2</v>
      </c>
      <c r="N10" s="365">
        <f t="shared" si="9"/>
        <v>1293</v>
      </c>
      <c r="O10" s="430">
        <v>1293</v>
      </c>
      <c r="P10" s="367">
        <f>Tabla1[[#This Row],[G. HGS 
'[MWh']]]-Tabla1[[#This Row],[G. HGS 
Con DO]]</f>
        <v>1293</v>
      </c>
      <c r="Q10" s="430">
        <v>0</v>
      </c>
      <c r="R10" s="367">
        <v>0</v>
      </c>
      <c r="S10" s="367">
        <f>Tabla1[[#This Row],[G. HGS 
Con Gas]]*1000</f>
        <v>1293000</v>
      </c>
      <c r="T10" s="365">
        <f>Tabla1[[#This Row],[G. HGS 
'[MWh']]]*1000</f>
        <v>1293000</v>
      </c>
      <c r="U10" s="368">
        <f>SUM('G. Un GE'!B10:Y10)</f>
        <v>1281.6406999999999</v>
      </c>
      <c r="V10" s="369">
        <f>Tabla1[[#This Row],[R. GE
'[MWh']]]-Tabla1[[#This Row],[E.G. DO]]</f>
        <v>1281.6406999999999</v>
      </c>
      <c r="W10" s="434">
        <v>0</v>
      </c>
      <c r="X10" s="369">
        <v>0</v>
      </c>
      <c r="Y10" s="365">
        <f>Tabla1[[#This Row],[R. GE
'[MWh']]]*1000</f>
        <v>1281640.7</v>
      </c>
      <c r="Z10" s="434">
        <v>36.56</v>
      </c>
      <c r="AA1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35.7241</v>
      </c>
      <c r="AB10" s="368">
        <f>IF(Tabla1[[#This Row],[G. HGS 
'[MWh']]]=0,0,Tabla1[[#This Row],[G. HGS 
'[MWh']]]+Tabla1[[#This Row],[Con. Aux. '[MWh']2]])</f>
        <v>1328.7240999999999</v>
      </c>
      <c r="AC10" s="368">
        <f>'C. ENER. TN'!F10</f>
        <v>0.83590000000000009</v>
      </c>
      <c r="AD10" s="370">
        <f>'C. ENER. TN'!G10</f>
        <v>1281.6406999999999</v>
      </c>
      <c r="AE10" s="370">
        <f>'G. Un GE'!AX10</f>
        <v>158.36143273809526</v>
      </c>
      <c r="AF10" s="368">
        <f>IFERROR('G. Un GE'!AX10/Tabla1[[#This Row],[PO '[h']]],0)</f>
        <v>7.1982469426406936</v>
      </c>
      <c r="AG10" s="365">
        <f>'Ar-Pa'!AX10</f>
        <v>10</v>
      </c>
      <c r="AH10" s="365">
        <f>'Ar-Pa'!AY10</f>
        <v>9</v>
      </c>
      <c r="AI10" s="365">
        <f>SUM('Cal. Arr'!AB13:AY13)</f>
        <v>1</v>
      </c>
      <c r="AJ10" s="442">
        <v>0</v>
      </c>
      <c r="AK10" s="442">
        <v>2</v>
      </c>
      <c r="AL10" s="267">
        <f>+CONVERT(AK10,"m^3","gal")</f>
        <v>528.3441047162969</v>
      </c>
      <c r="AM10" s="267">
        <f>+CONVERT(AK10+Tabla1[[#This Row],[Con. DO Storage Gen. '[m3']]],"m^3","gal")</f>
        <v>528.3441047162969</v>
      </c>
      <c r="AN10" s="372">
        <f>SUM('DO Pilot'!B10:Y10)</f>
        <v>6.5200000000000014</v>
      </c>
      <c r="AO10" s="372">
        <f t="shared" si="0"/>
        <v>1722.4017813751279</v>
      </c>
      <c r="AP10" s="267">
        <f>AK10+AN10+Tabla1[[#This Row],[Con. DO Storage Gen. '[m3']]]</f>
        <v>8.5200000000000014</v>
      </c>
      <c r="AQ10" s="372">
        <f t="shared" si="11"/>
        <v>2250.7458860914248</v>
      </c>
      <c r="AR10" s="442">
        <v>0</v>
      </c>
      <c r="AS10" s="442">
        <v>0</v>
      </c>
      <c r="AT10" s="267">
        <f>+CONVERT(SUM(Tabla1[[#This Row],[Repo. DO Storage '[gal']]:[Repo. DO Pilot '[gal']]]),"gal","m3")</f>
        <v>0</v>
      </c>
      <c r="AU10" s="442">
        <v>0</v>
      </c>
      <c r="AV10" s="267">
        <f t="shared" si="1"/>
        <v>0</v>
      </c>
      <c r="AW10" s="442">
        <v>0</v>
      </c>
      <c r="AX10" s="267">
        <f t="shared" si="2"/>
        <v>0</v>
      </c>
      <c r="AY10" s="372">
        <f t="shared" si="3"/>
        <v>0.40861879715104166</v>
      </c>
      <c r="AZ10" s="372">
        <f>IFERROR(AL10/'Ar-Pa'!AX10,0)</f>
        <v>52.834410471629688</v>
      </c>
      <c r="BA10" s="372">
        <f>IFERROR(AL10/'Ar-Pa'!AY10,0)</f>
        <v>58.704900524032986</v>
      </c>
      <c r="BB10" s="372">
        <f t="shared" si="4"/>
        <v>1.3320972787123959</v>
      </c>
      <c r="BC10" s="372">
        <f>IFERROR(AVERAGEIF('DO Pilot'!AX10:BU10,"&gt;0"),0)</f>
        <v>9.2879539043380728</v>
      </c>
      <c r="BD10" s="445">
        <v>348471</v>
      </c>
      <c r="BE10" s="445">
        <v>12335</v>
      </c>
      <c r="BF10" s="445">
        <v>345499</v>
      </c>
      <c r="BG10" s="223">
        <f>Tabla1[[#This Row],[ Re. Gas GC
 '[m3']]]</f>
        <v>345499</v>
      </c>
      <c r="BH10" s="150">
        <f>IFERROR((BG10*Gas!$B$2)/28.31685,0)</f>
        <v>12153.962000363741</v>
      </c>
      <c r="BI10" s="151">
        <f t="shared" si="5"/>
        <v>-181.03799963625897</v>
      </c>
      <c r="BJ10" s="74">
        <f t="shared" si="12"/>
        <v>-1.4895389637621125E-2</v>
      </c>
      <c r="BK10" s="223">
        <f t="shared" si="6"/>
        <v>9539.8298530549109</v>
      </c>
      <c r="BL10" s="442">
        <v>8763.15</v>
      </c>
      <c r="BM10" s="150">
        <f t="shared" si="7"/>
        <v>9147.0923123647281</v>
      </c>
      <c r="BN10" s="150">
        <f t="shared" si="8"/>
        <v>9483.127369756392</v>
      </c>
      <c r="BO10" s="373">
        <f>IFERROR(Tabla1[[#This Row],[ Re. Gas GC
 '[m3']]]/Tabla1[[#This Row],[G. HGS 
Con Gas '[kWh']]],0)</f>
        <v>0.26720726991492655</v>
      </c>
      <c r="BP10" s="374">
        <f>Tank!Y11</f>
        <v>0</v>
      </c>
      <c r="BQ10" s="70">
        <f>Tank!AP11</f>
        <v>0</v>
      </c>
      <c r="BR10" s="70">
        <f>Tank!V11</f>
        <v>0</v>
      </c>
      <c r="BS10" s="372">
        <f>Tank!T11</f>
        <v>0</v>
      </c>
      <c r="BT10" s="375" t="s">
        <v>228</v>
      </c>
      <c r="BU10" s="449">
        <v>80</v>
      </c>
      <c r="BV10" s="375">
        <f>IF(Tabla1[[#This Row],[Combustible ofertado]]="GAS",Tabla1[[#This Row],[Disponibilidad]],0)</f>
        <v>0</v>
      </c>
      <c r="BW10" s="375">
        <f>IF(Tabla1[[#This Row],[Combustible ofertado]]="DIESEL",Tabla1[[#This Row],[Disponibilidad]],0)</f>
        <v>80</v>
      </c>
      <c r="BX10" s="375">
        <f>IF(Tabla1[[#This Row],[Combustible ofertado]]="HFO",Tabla1[[#This Row],[Disponibilidad]],0)</f>
        <v>0</v>
      </c>
      <c r="BY10" s="454">
        <v>1505</v>
      </c>
      <c r="BZ10" s="446">
        <f>'Horo. M'!C11</f>
        <v>23</v>
      </c>
      <c r="CA10" s="446">
        <f>'Horo. M'!E11</f>
        <v>20</v>
      </c>
      <c r="CB10" s="446">
        <f>'Horo. M'!G11</f>
        <v>22</v>
      </c>
      <c r="CC10" s="446">
        <f>'Horo. M'!I11</f>
        <v>17</v>
      </c>
      <c r="CD10" s="446">
        <f>'Horo. M'!K11</f>
        <v>0</v>
      </c>
      <c r="CE10" s="446">
        <f>'Horo. M'!M11</f>
        <v>17</v>
      </c>
      <c r="CF10" s="446">
        <f>'Horo. M'!O11</f>
        <v>19</v>
      </c>
      <c r="CG10" s="446">
        <f>'Horo. M'!Q11</f>
        <v>20</v>
      </c>
      <c r="CH10" s="446">
        <f>'Horo. M'!S11</f>
        <v>20</v>
      </c>
      <c r="CI10" s="446">
        <f>'Horo. M'!U11</f>
        <v>22</v>
      </c>
      <c r="CJ10" s="70">
        <f>Tabla1[[#This Row],[Con. DO Storage '[gal']]]-Tabla1[[#This Row],[C. DO Storage Ge '[gal']]]</f>
        <v>528.3441047162969</v>
      </c>
      <c r="CK10" s="70"/>
      <c r="CL10" s="70"/>
      <c r="CM10" s="372">
        <f>Tabla1[[#This Row],[Con. DO Total '[gal']]]*131485.5/(1000000)</f>
        <v>295.94044820567404</v>
      </c>
    </row>
    <row r="11" spans="1:91" s="5" customFormat="1" ht="15" customHeight="1">
      <c r="A11" s="362">
        <v>44936</v>
      </c>
      <c r="B11" s="363" t="str">
        <f>TEXT(Tabla1[[#This Row],[Fecha]],"mmmm")</f>
        <v>enero</v>
      </c>
      <c r="C11" s="429">
        <v>0</v>
      </c>
      <c r="D11" s="430">
        <v>1488</v>
      </c>
      <c r="E11" s="430">
        <v>1488</v>
      </c>
      <c r="F11" s="430">
        <v>1513</v>
      </c>
      <c r="G11" s="431">
        <v>0</v>
      </c>
      <c r="H11" s="431">
        <v>0</v>
      </c>
      <c r="I11" s="432">
        <v>0</v>
      </c>
      <c r="J11" s="432">
        <v>0</v>
      </c>
      <c r="K11" s="430">
        <v>24</v>
      </c>
      <c r="L11" s="430">
        <v>24</v>
      </c>
      <c r="M11" s="365">
        <f>Tabla1[[#This Row],[Columna1]]-Tabla1[[#This Row],[PO '[h']]]</f>
        <v>0</v>
      </c>
      <c r="N11" s="365">
        <f t="shared" si="9"/>
        <v>1513</v>
      </c>
      <c r="O11" s="430">
        <v>1513</v>
      </c>
      <c r="P11" s="367">
        <f>Tabla1[[#This Row],[G. HGS 
'[MWh']]]</f>
        <v>1513</v>
      </c>
      <c r="Q11" s="430">
        <v>0</v>
      </c>
      <c r="R11" s="367">
        <v>0</v>
      </c>
      <c r="S11" s="367">
        <f>Tabla1[[#This Row],[G. HGS 
Con Gas]]*1000</f>
        <v>1513000</v>
      </c>
      <c r="T11" s="365">
        <f>Tabla1[[#This Row],[G. HGS 
'[MWh']]]*1000</f>
        <v>1513000</v>
      </c>
      <c r="U11" s="368">
        <f>SUM('G. Un GE'!B11:Y11)</f>
        <v>1500.8139000000003</v>
      </c>
      <c r="V11" s="369">
        <f>Tabla1[[#This Row],[R. GE
'[MWh']]]</f>
        <v>1500.8139000000003</v>
      </c>
      <c r="W11" s="434">
        <v>0</v>
      </c>
      <c r="X11" s="369">
        <v>0</v>
      </c>
      <c r="Y11" s="365">
        <f>Tabla1[[#This Row],[R. GE
'[MWh']]]*1000</f>
        <v>1500813.9000000004</v>
      </c>
      <c r="Z11" s="434">
        <v>39.97</v>
      </c>
      <c r="AA1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39.97</v>
      </c>
      <c r="AB11" s="368">
        <f>IF(Tabla1[[#This Row],[G. HGS 
'[MWh']]]=0,0,Tabla1[[#This Row],[G. HGS 
'[MWh']]]+Tabla1[[#This Row],[Con. Aux. '[MWh']2]])</f>
        <v>1552.97</v>
      </c>
      <c r="AC11" s="368">
        <f>'C. ENER. TN'!F11</f>
        <v>0</v>
      </c>
      <c r="AD11" s="370">
        <f>'C. ENER. TN'!G11</f>
        <v>1500.8138999999999</v>
      </c>
      <c r="AE11" s="370">
        <f>'G. Un GE'!AX11</f>
        <v>174.33434761904766</v>
      </c>
      <c r="AF11" s="368">
        <f>IFERROR('G. Un GE'!AX11/Tabla1[[#This Row],[PO '[h']]],0)</f>
        <v>7.2639311507936526</v>
      </c>
      <c r="AG11" s="365">
        <f>'Ar-Pa'!AX11</f>
        <v>2</v>
      </c>
      <c r="AH11" s="365">
        <f>'Ar-Pa'!AY11</f>
        <v>2</v>
      </c>
      <c r="AI11" s="365">
        <f>SUM('Cal. Arr'!AB14:AY14)</f>
        <v>0</v>
      </c>
      <c r="AJ11" s="442">
        <v>0</v>
      </c>
      <c r="AK11" s="442">
        <v>1.2</v>
      </c>
      <c r="AL11" s="267">
        <f t="shared" si="10"/>
        <v>317.00646282977812</v>
      </c>
      <c r="AM11" s="267">
        <f>+CONVERT(AK11+Tabla1[[#This Row],[Con. DO Storage Gen. '[m3']]],"m^3","gal")</f>
        <v>317.00646282977812</v>
      </c>
      <c r="AN11" s="372">
        <f>SUM('DO Pilot'!B11:Y11)</f>
        <v>7.3199999999999976</v>
      </c>
      <c r="AO11" s="372">
        <f t="shared" si="0"/>
        <v>1933.7394232616457</v>
      </c>
      <c r="AP11" s="267">
        <f>AK11+AN11+Tabla1[[#This Row],[Con. DO Storage Gen. '[m3']]]</f>
        <v>8.5199999999999978</v>
      </c>
      <c r="AQ11" s="372">
        <f t="shared" si="11"/>
        <v>2250.7458860914239</v>
      </c>
      <c r="AR11" s="442">
        <v>0</v>
      </c>
      <c r="AS11" s="442">
        <v>0</v>
      </c>
      <c r="AT11" s="267">
        <f>+CONVERT(SUM(Tabla1[[#This Row],[Repo. DO Storage '[gal']]:[Repo. DO Pilot '[gal']]]),"gal","m3")</f>
        <v>0</v>
      </c>
      <c r="AU11" s="442">
        <v>0</v>
      </c>
      <c r="AV11" s="267">
        <f t="shared" si="1"/>
        <v>0</v>
      </c>
      <c r="AW11" s="442">
        <v>0</v>
      </c>
      <c r="AX11" s="267">
        <f t="shared" si="2"/>
        <v>0</v>
      </c>
      <c r="AY11" s="372">
        <f t="shared" si="3"/>
        <v>0.20952178640434774</v>
      </c>
      <c r="AZ11" s="372">
        <f>IFERROR(AL11/'Ar-Pa'!AX11,0)</f>
        <v>158.50323141488906</v>
      </c>
      <c r="BA11" s="372">
        <f>IFERROR(AL11/'Ar-Pa'!AY11,0)</f>
        <v>158.50323141488906</v>
      </c>
      <c r="BB11" s="372">
        <f t="shared" si="4"/>
        <v>1.2780828970665206</v>
      </c>
      <c r="BC11" s="372">
        <f>IFERROR(AVERAGEIF('DO Pilot'!AX11:BU11,"&gt;0"),0)</f>
        <v>9.361335029993116</v>
      </c>
      <c r="BD11" s="445">
        <v>404460</v>
      </c>
      <c r="BE11" s="445">
        <v>14317</v>
      </c>
      <c r="BF11" s="445">
        <v>404307</v>
      </c>
      <c r="BG11" s="223">
        <f>Tabla1[[#This Row],[ Re. Gas GC
 '[m3']]]</f>
        <v>404307</v>
      </c>
      <c r="BH11" s="150">
        <f>IFERROR((BG11*Gas!$B$2)/28.31685,0)</f>
        <v>14222.709514299791</v>
      </c>
      <c r="BI11" s="151">
        <f t="shared" si="5"/>
        <v>-94.290485700208592</v>
      </c>
      <c r="BJ11" s="74">
        <f t="shared" si="12"/>
        <v>-6.6295726285773527E-3</v>
      </c>
      <c r="BK11" s="223">
        <f t="shared" si="6"/>
        <v>9462.6569729015209</v>
      </c>
      <c r="BL11" s="442">
        <v>8916.73</v>
      </c>
      <c r="BM11" s="150">
        <f t="shared" si="7"/>
        <v>9158.3929594903911</v>
      </c>
      <c r="BN11" s="150">
        <f t="shared" si="8"/>
        <v>9476.6643048147325</v>
      </c>
      <c r="BO11" s="373">
        <f>IFERROR(Tabla1[[#This Row],[ Re. Gas GC
 '[m3']]]/Tabla1[[#This Row],[G. HGS 
Con Gas '[kWh']]],0)</f>
        <v>0.26722207534699272</v>
      </c>
      <c r="BP11" s="374">
        <f>Tank!Y12</f>
        <v>0</v>
      </c>
      <c r="BQ11" s="70">
        <f>Tank!AP12</f>
        <v>47.31</v>
      </c>
      <c r="BR11" s="70">
        <f>Tank!V12</f>
        <v>0</v>
      </c>
      <c r="BS11" s="372">
        <f>Tank!T12</f>
        <v>0</v>
      </c>
      <c r="BT11" s="375" t="s">
        <v>228</v>
      </c>
      <c r="BU11" s="449">
        <v>80</v>
      </c>
      <c r="BV11" s="375">
        <f>IF(Tabla1[[#This Row],[Combustible ofertado]]="GAS",Tabla1[[#This Row],[Disponibilidad]],0)</f>
        <v>0</v>
      </c>
      <c r="BW11" s="375">
        <f>IF(Tabla1[[#This Row],[Combustible ofertado]]="DIESEL",Tabla1[[#This Row],[Disponibilidad]],0)</f>
        <v>80</v>
      </c>
      <c r="BX11" s="375">
        <f>IF(Tabla1[[#This Row],[Combustible ofertado]]="HFO",Tabla1[[#This Row],[Disponibilidad]],0)</f>
        <v>0</v>
      </c>
      <c r="BY11" s="454">
        <v>1505</v>
      </c>
      <c r="BZ11" s="446">
        <f>'Horo. M'!C12</f>
        <v>24</v>
      </c>
      <c r="CA11" s="446">
        <f>'Horo. M'!E12</f>
        <v>24</v>
      </c>
      <c r="CB11" s="446">
        <f>'Horo. M'!G12</f>
        <v>24</v>
      </c>
      <c r="CC11" s="446">
        <f>'Horo. M'!I12</f>
        <v>19</v>
      </c>
      <c r="CD11" s="446">
        <f>'Horo. M'!K12</f>
        <v>0</v>
      </c>
      <c r="CE11" s="446">
        <f>'Horo. M'!M12</f>
        <v>19</v>
      </c>
      <c r="CF11" s="446">
        <f>'Horo. M'!O12</f>
        <v>24</v>
      </c>
      <c r="CG11" s="446">
        <f>'Horo. M'!Q12</f>
        <v>24</v>
      </c>
      <c r="CH11" s="446">
        <f>'Horo. M'!S12</f>
        <v>24</v>
      </c>
      <c r="CI11" s="446">
        <f>'Horo. M'!U12</f>
        <v>24</v>
      </c>
      <c r="CJ11" s="70">
        <f>Tabla1[[#This Row],[Con. DO Storage '[gal']]]-Tabla1[[#This Row],[C. DO Storage Ge '[gal']]]</f>
        <v>317.00646282977812</v>
      </c>
      <c r="CK11" s="70"/>
      <c r="CL11" s="70"/>
      <c r="CM11" s="372">
        <f>Tabla1[[#This Row],[Con. DO Total '[gal']]]*131485.5/(1000000)</f>
        <v>295.94044820567393</v>
      </c>
    </row>
    <row r="12" spans="1:91" s="5" customFormat="1" ht="15" customHeight="1">
      <c r="A12" s="362">
        <v>44937</v>
      </c>
      <c r="B12" s="363" t="str">
        <f>TEXT(Tabla1[[#This Row],[Fecha]],"mmmm")</f>
        <v>enero</v>
      </c>
      <c r="C12" s="429">
        <v>0</v>
      </c>
      <c r="D12" s="430">
        <v>1272</v>
      </c>
      <c r="E12" s="430">
        <v>1272</v>
      </c>
      <c r="F12" s="430">
        <v>1282</v>
      </c>
      <c r="G12" s="431">
        <v>0</v>
      </c>
      <c r="H12" s="431">
        <v>0</v>
      </c>
      <c r="I12" s="432">
        <v>0</v>
      </c>
      <c r="J12" s="432">
        <v>0</v>
      </c>
      <c r="K12" s="430">
        <v>24</v>
      </c>
      <c r="L12" s="430">
        <v>24</v>
      </c>
      <c r="M12" s="365">
        <f>Tabla1[[#This Row],[Columna1]]-Tabla1[[#This Row],[PO '[h']]]</f>
        <v>0</v>
      </c>
      <c r="N12" s="365">
        <f t="shared" si="9"/>
        <v>1282</v>
      </c>
      <c r="O12" s="430">
        <v>1282</v>
      </c>
      <c r="P12" s="367">
        <f>Tabla1[[#This Row],[G. HGS 
'[MWh']]]</f>
        <v>1282</v>
      </c>
      <c r="Q12" s="430">
        <v>0</v>
      </c>
      <c r="R12" s="367">
        <v>0</v>
      </c>
      <c r="S12" s="367">
        <f>Tabla1[[#This Row],[G. HGS 
Con Gas]]*1000</f>
        <v>1282000</v>
      </c>
      <c r="T12" s="365">
        <f>Tabla1[[#This Row],[G. HGS 
'[MWh']]]*1000</f>
        <v>1282000</v>
      </c>
      <c r="U12" s="368">
        <f>SUM('G. Un GE'!B12:Y12)</f>
        <v>1270.4966999999997</v>
      </c>
      <c r="V12" s="369">
        <f>Tabla1[[#This Row],[R. GE
'[MWh']]]</f>
        <v>1270.4966999999997</v>
      </c>
      <c r="W12" s="434">
        <v>0</v>
      </c>
      <c r="X12" s="369">
        <v>0</v>
      </c>
      <c r="Y12" s="365">
        <f>Tabla1[[#This Row],[R. GE
'[MWh']]]*1000</f>
        <v>1270496.6999999997</v>
      </c>
      <c r="Z12" s="434">
        <v>36.92</v>
      </c>
      <c r="AA1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36.92</v>
      </c>
      <c r="AB12" s="368">
        <f>IF(Tabla1[[#This Row],[G. HGS 
'[MWh']]]=0,0,Tabla1[[#This Row],[G. HGS 
'[MWh']]]+Tabla1[[#This Row],[Con. Aux. '[MWh']2]])</f>
        <v>1318.92</v>
      </c>
      <c r="AC12" s="368">
        <f>'C. ENER. TN'!F12</f>
        <v>0</v>
      </c>
      <c r="AD12" s="370">
        <f>'C. ENER. TN'!G12</f>
        <v>1270.4966999999999</v>
      </c>
      <c r="AE12" s="370">
        <f>'G. Un GE'!AX12</f>
        <v>167.33373749999996</v>
      </c>
      <c r="AF12" s="368">
        <f>IFERROR('G. Un GE'!AX12/Tabla1[[#This Row],[PO '[h']]],0)</f>
        <v>6.9722390624999981</v>
      </c>
      <c r="AG12" s="365">
        <f>'Ar-Pa'!AX12</f>
        <v>2</v>
      </c>
      <c r="AH12" s="365">
        <f>'Ar-Pa'!AY12</f>
        <v>3</v>
      </c>
      <c r="AI12" s="365">
        <f>SUM('Cal. Arr'!AB15:AY15)</f>
        <v>0</v>
      </c>
      <c r="AJ12" s="442">
        <v>0</v>
      </c>
      <c r="AK12" s="442">
        <v>1</v>
      </c>
      <c r="AL12" s="267">
        <f t="shared" si="10"/>
        <v>264.17205235814845</v>
      </c>
      <c r="AM12" s="267">
        <f>+CONVERT(AK12+Tabla1[[#This Row],[Con. DO Storage Gen. '[m3']]],"m^3","gal")</f>
        <v>264.17205235814845</v>
      </c>
      <c r="AN12" s="372">
        <f>SUM('DO Pilot'!B12:Y12)</f>
        <v>6.9799999999999995</v>
      </c>
      <c r="AO12" s="372">
        <f t="shared" si="0"/>
        <v>1843.9209254598757</v>
      </c>
      <c r="AP12" s="267">
        <f>AK12+AN12+Tabla1[[#This Row],[Con. DO Storage Gen. '[m3']]]</f>
        <v>7.9799999999999995</v>
      </c>
      <c r="AQ12" s="372">
        <f t="shared" si="11"/>
        <v>2108.0929778180243</v>
      </c>
      <c r="AR12" s="442">
        <v>0</v>
      </c>
      <c r="AS12" s="442">
        <v>0</v>
      </c>
      <c r="AT12" s="267">
        <f>+CONVERT(SUM(Tabla1[[#This Row],[Repo. DO Storage '[gal']]:[Repo. DO Pilot '[gal']]]),"gal","m3")</f>
        <v>0</v>
      </c>
      <c r="AU12" s="442">
        <v>0</v>
      </c>
      <c r="AV12" s="267">
        <f t="shared" si="1"/>
        <v>0</v>
      </c>
      <c r="AW12" s="442">
        <v>0</v>
      </c>
      <c r="AX12" s="267">
        <f t="shared" si="2"/>
        <v>0</v>
      </c>
      <c r="AY12" s="372">
        <f t="shared" si="3"/>
        <v>0.20606244333708928</v>
      </c>
      <c r="AZ12" s="372">
        <f>IFERROR(AL12/'Ar-Pa'!AX12,0)</f>
        <v>132.08602617907422</v>
      </c>
      <c r="BA12" s="372">
        <f>IFERROR(AL12/'Ar-Pa'!AY12,0)</f>
        <v>88.057350786049483</v>
      </c>
      <c r="BB12" s="372">
        <f t="shared" si="4"/>
        <v>1.4383158544928827</v>
      </c>
      <c r="BC12" s="372">
        <f>IFERROR(AVERAGEIF('DO Pilot'!AX12:BU12,"&gt;0"),0)</f>
        <v>10.122009020042249</v>
      </c>
      <c r="BD12" s="445">
        <v>346327</v>
      </c>
      <c r="BE12" s="445">
        <v>12259</v>
      </c>
      <c r="BF12" s="445">
        <v>346173</v>
      </c>
      <c r="BG12" s="223">
        <f>Tabla1[[#This Row],[ Re. Gas GC
 '[m3']]]</f>
        <v>346173</v>
      </c>
      <c r="BH12" s="150">
        <f>IFERROR((BG12*Gas!$B$2)/28.31685,0)</f>
        <v>12177.671968810091</v>
      </c>
      <c r="BI12" s="151">
        <f t="shared" si="5"/>
        <v>-81.32803118990887</v>
      </c>
      <c r="BJ12" s="74">
        <f t="shared" si="12"/>
        <v>-6.6784547488394552E-3</v>
      </c>
      <c r="BK12" s="223">
        <f t="shared" si="6"/>
        <v>9562.4024960998449</v>
      </c>
      <c r="BL12" s="442">
        <v>8794.36</v>
      </c>
      <c r="BM12" s="150">
        <f t="shared" si="7"/>
        <v>9233.0633918737221</v>
      </c>
      <c r="BN12" s="150">
        <f t="shared" si="8"/>
        <v>9584.9693815104711</v>
      </c>
      <c r="BO12" s="373">
        <f>IFERROR(Tabla1[[#This Row],[ Re. Gas GC
 '[m3']]]/Tabla1[[#This Row],[G. HGS 
Con Gas '[kWh']]],0)</f>
        <v>0.27002574102964116</v>
      </c>
      <c r="BP12" s="374">
        <f>Tank!Y13</f>
        <v>0</v>
      </c>
      <c r="BQ12" s="70">
        <f>Tank!AP13</f>
        <v>12.18</v>
      </c>
      <c r="BR12" s="70">
        <f>Tank!V13</f>
        <v>0</v>
      </c>
      <c r="BS12" s="372">
        <f>Tank!T13</f>
        <v>0</v>
      </c>
      <c r="BT12" s="375" t="s">
        <v>228</v>
      </c>
      <c r="BU12" s="449">
        <v>71</v>
      </c>
      <c r="BV12" s="375">
        <f>IF(Tabla1[[#This Row],[Combustible ofertado]]="GAS",Tabla1[[#This Row],[Disponibilidad]],0)</f>
        <v>0</v>
      </c>
      <c r="BW12" s="375">
        <f>IF(Tabla1[[#This Row],[Combustible ofertado]]="DIESEL",Tabla1[[#This Row],[Disponibilidad]],0)</f>
        <v>71</v>
      </c>
      <c r="BX12" s="375">
        <f>IF(Tabla1[[#This Row],[Combustible ofertado]]="HFO",Tabla1[[#This Row],[Disponibilidad]],0)</f>
        <v>0</v>
      </c>
      <c r="BY12" s="454">
        <v>1505</v>
      </c>
      <c r="BZ12" s="446">
        <f>'Horo. M'!C13</f>
        <v>0</v>
      </c>
      <c r="CA12" s="446">
        <f>'Horo. M'!E13</f>
        <v>24</v>
      </c>
      <c r="CB12" s="446">
        <f>'Horo. M'!G13</f>
        <v>23</v>
      </c>
      <c r="CC12" s="446">
        <f>'Horo. M'!I13</f>
        <v>19</v>
      </c>
      <c r="CD12" s="446">
        <f>'Horo. M'!K13</f>
        <v>0</v>
      </c>
      <c r="CE12" s="446">
        <f>'Horo. M'!M13</f>
        <v>19</v>
      </c>
      <c r="CF12" s="446">
        <f>'Horo. M'!O13</f>
        <v>24</v>
      </c>
      <c r="CG12" s="446">
        <f>'Horo. M'!Q13</f>
        <v>24</v>
      </c>
      <c r="CH12" s="446">
        <f>'Horo. M'!S13</f>
        <v>24</v>
      </c>
      <c r="CI12" s="446">
        <f>'Horo. M'!U13</f>
        <v>24</v>
      </c>
      <c r="CJ12" s="70">
        <f>Tabla1[[#This Row],[Con. DO Storage '[gal']]]-Tabla1[[#This Row],[C. DO Storage Ge '[gal']]]</f>
        <v>264.17205235814845</v>
      </c>
      <c r="CK12" s="70"/>
      <c r="CL12" s="70"/>
      <c r="CM12" s="372">
        <f>Tabla1[[#This Row],[Con. DO Total '[gal']]]*131485.5/(1000000)</f>
        <v>277.18365923489182</v>
      </c>
    </row>
    <row r="13" spans="1:91" s="5" customFormat="1" ht="15" customHeight="1">
      <c r="A13" s="362">
        <v>44938</v>
      </c>
      <c r="B13" s="363" t="str">
        <f>TEXT(Tabla1[[#This Row],[Fecha]],"mmmm")</f>
        <v>enero</v>
      </c>
      <c r="C13" s="429">
        <v>0</v>
      </c>
      <c r="D13" s="430">
        <v>1272</v>
      </c>
      <c r="E13" s="430">
        <v>1272</v>
      </c>
      <c r="F13" s="430">
        <v>1288</v>
      </c>
      <c r="G13" s="431">
        <v>0</v>
      </c>
      <c r="H13" s="431">
        <v>0</v>
      </c>
      <c r="I13" s="432">
        <v>0</v>
      </c>
      <c r="J13" s="432">
        <v>0</v>
      </c>
      <c r="K13" s="430">
        <v>24</v>
      </c>
      <c r="L13" s="430">
        <v>24</v>
      </c>
      <c r="M13" s="365">
        <f>Tabla1[[#This Row],[Columna1]]-Tabla1[[#This Row],[PO '[h']]]</f>
        <v>0</v>
      </c>
      <c r="N13" s="365">
        <f t="shared" si="9"/>
        <v>1288</v>
      </c>
      <c r="O13" s="430">
        <v>1288</v>
      </c>
      <c r="P13" s="367">
        <f>Tabla1[[#This Row],[G. HGS 
'[MWh']]]</f>
        <v>1288</v>
      </c>
      <c r="Q13" s="430">
        <v>0</v>
      </c>
      <c r="R13" s="367">
        <v>0</v>
      </c>
      <c r="S13" s="367">
        <f>Tabla1[[#This Row],[G. HGS 
Con Gas]]*1000</f>
        <v>1288000</v>
      </c>
      <c r="T13" s="365">
        <f>Tabla1[[#This Row],[G. HGS 
'[MWh']]]*1000</f>
        <v>1288000</v>
      </c>
      <c r="U13" s="368">
        <f>SUM('G. Un GE'!B13:Y13)</f>
        <v>1277.5336</v>
      </c>
      <c r="V13" s="369">
        <f>Tabla1[[#This Row],[R. GE
'[MWh']]]</f>
        <v>1277.5336</v>
      </c>
      <c r="W13" s="434">
        <v>0</v>
      </c>
      <c r="X13" s="369">
        <v>0</v>
      </c>
      <c r="Y13" s="365">
        <f>Tabla1[[#This Row],[R. GE
'[MWh']]]*1000</f>
        <v>1277533.6000000001</v>
      </c>
      <c r="Z13" s="434">
        <v>36.68</v>
      </c>
      <c r="AA1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36.68</v>
      </c>
      <c r="AB13" s="368">
        <f>IF(Tabla1[[#This Row],[G. HGS 
'[MWh']]]=0,0,Tabla1[[#This Row],[G. HGS 
'[MWh']]]+Tabla1[[#This Row],[Con. Aux. '[MWh']2]])</f>
        <v>1324.68</v>
      </c>
      <c r="AC13" s="368">
        <f>'C. ENER. TN'!F13</f>
        <v>0</v>
      </c>
      <c r="AD13" s="370">
        <f>'C. ENER. TN'!G13</f>
        <v>1277.5336000000002</v>
      </c>
      <c r="AE13" s="370">
        <f>'G. Un GE'!AX13</f>
        <v>166.04438333333331</v>
      </c>
      <c r="AF13" s="368">
        <f>IFERROR('G. Un GE'!AX13/Tabla1[[#This Row],[PO '[h']]],0)</f>
        <v>6.9185159722222211</v>
      </c>
      <c r="AG13" s="365">
        <f>'Ar-Pa'!AX13</f>
        <v>2</v>
      </c>
      <c r="AH13" s="365">
        <f>'Ar-Pa'!AY13</f>
        <v>2</v>
      </c>
      <c r="AI13" s="365">
        <f>SUM('Cal. Arr'!AB16:AY16)</f>
        <v>0</v>
      </c>
      <c r="AJ13" s="442">
        <v>0</v>
      </c>
      <c r="AK13" s="442">
        <v>1.2</v>
      </c>
      <c r="AL13" s="267">
        <f t="shared" si="10"/>
        <v>317.00646282977812</v>
      </c>
      <c r="AM13" s="267">
        <f>+CONVERT(AK13+Tabla1[[#This Row],[Con. DO Storage Gen. '[m3']]],"m^3","gal")</f>
        <v>317.00646282977812</v>
      </c>
      <c r="AN13" s="372">
        <f>SUM('DO Pilot'!B13:Y13)</f>
        <v>5.7900000000000018</v>
      </c>
      <c r="AO13" s="372">
        <f t="shared" si="0"/>
        <v>1529.5561831536797</v>
      </c>
      <c r="AP13" s="267">
        <f>AK13+AN13+Tabla1[[#This Row],[Con. DO Storage Gen. '[m3']]]</f>
        <v>6.990000000000002</v>
      </c>
      <c r="AQ13" s="372">
        <f t="shared" si="11"/>
        <v>1846.562645983458</v>
      </c>
      <c r="AR13" s="442">
        <v>0</v>
      </c>
      <c r="AS13" s="442">
        <v>0</v>
      </c>
      <c r="AT13" s="267">
        <f>+CONVERT(SUM(Tabla1[[#This Row],[Repo. DO Storage '[gal']]:[Repo. DO Pilot '[gal']]]),"gal","m3")</f>
        <v>0</v>
      </c>
      <c r="AU13" s="442">
        <v>0</v>
      </c>
      <c r="AV13" s="267">
        <f t="shared" si="1"/>
        <v>0</v>
      </c>
      <c r="AW13" s="442">
        <v>0</v>
      </c>
      <c r="AX13" s="267">
        <f t="shared" si="2"/>
        <v>0</v>
      </c>
      <c r="AY13" s="372">
        <f t="shared" si="3"/>
        <v>0.24612303014734327</v>
      </c>
      <c r="AZ13" s="372">
        <f>IFERROR(AL13/'Ar-Pa'!AX13,0)</f>
        <v>158.50323141488906</v>
      </c>
      <c r="BA13" s="372">
        <f>IFERROR(AL13/'Ar-Pa'!AY13,0)</f>
        <v>158.50323141488906</v>
      </c>
      <c r="BB13" s="372">
        <f t="shared" si="4"/>
        <v>1.1875436204609315</v>
      </c>
      <c r="BC13" s="372">
        <f>IFERROR(AVERAGEIF('DO Pilot'!AX13:BU13,"&gt;0"),0)</f>
        <v>8.2828945583127798</v>
      </c>
      <c r="BD13" s="445">
        <v>347265</v>
      </c>
      <c r="BE13" s="445">
        <v>12293</v>
      </c>
      <c r="BF13" s="445">
        <v>347256</v>
      </c>
      <c r="BG13" s="223">
        <f>Tabla1[[#This Row],[ Re. Gas GC
 '[m3']]]</f>
        <v>347256</v>
      </c>
      <c r="BH13" s="150">
        <f>IFERROR((BG13*Gas!$B$2)/28.31685,0)</f>
        <v>12215.769737099996</v>
      </c>
      <c r="BI13" s="151">
        <f t="shared" si="5"/>
        <v>-77.230262900004163</v>
      </c>
      <c r="BJ13" s="74">
        <f t="shared" si="12"/>
        <v>-6.322177362712675E-3</v>
      </c>
      <c r="BK13" s="223">
        <f t="shared" si="6"/>
        <v>9544.2546583850926</v>
      </c>
      <c r="BL13" s="442">
        <v>8926.2800000000007</v>
      </c>
      <c r="BM13" s="150">
        <f t="shared" si="7"/>
        <v>9221.6759799347728</v>
      </c>
      <c r="BN13" s="150">
        <f t="shared" si="8"/>
        <v>9561.9948759860381</v>
      </c>
      <c r="BO13" s="373">
        <f>IFERROR(Tabla1[[#This Row],[ Re. Gas GC
 '[m3']]]/Tabla1[[#This Row],[G. HGS 
Con Gas '[kWh']]],0)</f>
        <v>0.26960869565217394</v>
      </c>
      <c r="BP13" s="374">
        <f>Tank!Y14</f>
        <v>0</v>
      </c>
      <c r="BQ13" s="70">
        <f>Tank!AP14</f>
        <v>34.200000000000003</v>
      </c>
      <c r="BR13" s="70">
        <f>Tank!V14</f>
        <v>0</v>
      </c>
      <c r="BS13" s="372">
        <f>Tank!T14</f>
        <v>0</v>
      </c>
      <c r="BT13" s="375" t="s">
        <v>228</v>
      </c>
      <c r="BU13" s="449">
        <v>71</v>
      </c>
      <c r="BV13" s="375">
        <f>IF(Tabla1[[#This Row],[Combustible ofertado]]="GAS",Tabla1[[#This Row],[Disponibilidad]],0)</f>
        <v>0</v>
      </c>
      <c r="BW13" s="375">
        <f>IF(Tabla1[[#This Row],[Combustible ofertado]]="DIESEL",Tabla1[[#This Row],[Disponibilidad]],0)</f>
        <v>71</v>
      </c>
      <c r="BX13" s="375">
        <f>IF(Tabla1[[#This Row],[Combustible ofertado]]="HFO",Tabla1[[#This Row],[Disponibilidad]],0)</f>
        <v>0</v>
      </c>
      <c r="BY13" s="454">
        <v>1505</v>
      </c>
      <c r="BZ13" s="446">
        <f>'Horo. M'!C14</f>
        <v>24</v>
      </c>
      <c r="CA13" s="446">
        <f>'Horo. M'!E14</f>
        <v>24</v>
      </c>
      <c r="CB13" s="446">
        <f>'Horo. M'!G14</f>
        <v>24</v>
      </c>
      <c r="CC13" s="446">
        <f>'Horo. M'!I14</f>
        <v>20</v>
      </c>
      <c r="CD13" s="446">
        <f>'Horo. M'!K14</f>
        <v>0</v>
      </c>
      <c r="CE13" s="446">
        <f>'Horo. M'!M14</f>
        <v>19</v>
      </c>
      <c r="CF13" s="446">
        <f>'Horo. M'!O14</f>
        <v>0</v>
      </c>
      <c r="CG13" s="446">
        <f>'Horo. M'!Q14</f>
        <v>24</v>
      </c>
      <c r="CH13" s="446">
        <f>'Horo. M'!S14</f>
        <v>24</v>
      </c>
      <c r="CI13" s="446">
        <f>'Horo. M'!U14</f>
        <v>24</v>
      </c>
      <c r="CJ13" s="70">
        <f>Tabla1[[#This Row],[Con. DO Storage '[gal']]]-Tabla1[[#This Row],[C. DO Storage Ge '[gal']]]</f>
        <v>317.00646282977812</v>
      </c>
      <c r="CK13" s="70"/>
      <c r="CL13" s="70"/>
      <c r="CM13" s="372">
        <f>Tabla1[[#This Row],[Con. DO Total '[gal']]]*131485.5/(1000000)</f>
        <v>242.79621278845795</v>
      </c>
    </row>
    <row r="14" spans="1:91" s="5" customFormat="1" ht="15" customHeight="1">
      <c r="A14" s="362">
        <v>44939</v>
      </c>
      <c r="B14" s="363" t="str">
        <f>TEXT(Tabla1[[#This Row],[Fecha]],"mmmm")</f>
        <v>enero</v>
      </c>
      <c r="C14" s="429">
        <v>0</v>
      </c>
      <c r="D14" s="430">
        <v>1272</v>
      </c>
      <c r="E14" s="430">
        <v>1272</v>
      </c>
      <c r="F14" s="430">
        <v>1296</v>
      </c>
      <c r="G14" s="431">
        <v>0</v>
      </c>
      <c r="H14" s="431">
        <v>0</v>
      </c>
      <c r="I14" s="432">
        <v>0</v>
      </c>
      <c r="J14" s="432">
        <v>0</v>
      </c>
      <c r="K14" s="430">
        <v>24</v>
      </c>
      <c r="L14" s="430">
        <v>24</v>
      </c>
      <c r="M14" s="365">
        <f>Tabla1[[#This Row],[Columna1]]-Tabla1[[#This Row],[PO '[h']]]</f>
        <v>0</v>
      </c>
      <c r="N14" s="365">
        <f t="shared" si="9"/>
        <v>1296</v>
      </c>
      <c r="O14" s="430">
        <v>1296</v>
      </c>
      <c r="P14" s="367">
        <f>Tabla1[[#This Row],[G. HGS 
'[MWh']]]</f>
        <v>1296</v>
      </c>
      <c r="Q14" s="430">
        <v>0</v>
      </c>
      <c r="R14" s="367">
        <v>0</v>
      </c>
      <c r="S14" s="367">
        <f>Tabla1[[#This Row],[G. HGS 
Con Gas]]*1000</f>
        <v>1296000</v>
      </c>
      <c r="T14" s="365">
        <f>Tabla1[[#This Row],[G. HGS 
'[MWh']]]*1000</f>
        <v>1296000</v>
      </c>
      <c r="U14" s="368">
        <f>SUM('G. Un GE'!B14:Y14)</f>
        <v>1285.124</v>
      </c>
      <c r="V14" s="369">
        <f>Tabla1[[#This Row],[R. GE
'[MWh']]]</f>
        <v>1285.124</v>
      </c>
      <c r="W14" s="434">
        <v>0</v>
      </c>
      <c r="X14" s="369">
        <v>0</v>
      </c>
      <c r="Y14" s="365">
        <f>Tabla1[[#This Row],[R. GE
'[MWh']]]*1000</f>
        <v>1285124</v>
      </c>
      <c r="Z14" s="434">
        <v>36.369999999999997</v>
      </c>
      <c r="AA1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36.369999999999997</v>
      </c>
      <c r="AB14" s="368">
        <f>IF(Tabla1[[#This Row],[G. HGS 
'[MWh']]]=0,0,Tabla1[[#This Row],[G. HGS 
'[MWh']]]+Tabla1[[#This Row],[Con. Aux. '[MWh']2]])</f>
        <v>1332.37</v>
      </c>
      <c r="AC14" s="368">
        <f>'C. ENER. TN'!F14</f>
        <v>0</v>
      </c>
      <c r="AD14" s="370">
        <f>'C. ENER. TN'!G14</f>
        <v>1285.1239999999998</v>
      </c>
      <c r="AE14" s="370">
        <f>'G. Un GE'!AX14</f>
        <v>166.99447083333334</v>
      </c>
      <c r="AF14" s="368">
        <f>IFERROR('G. Un GE'!AX14/Tabla1[[#This Row],[PO '[h']]],0)</f>
        <v>6.9581029513888888</v>
      </c>
      <c r="AG14" s="365">
        <f>'Ar-Pa'!AX14</f>
        <v>2</v>
      </c>
      <c r="AH14" s="365">
        <f>'Ar-Pa'!AY14</f>
        <v>2</v>
      </c>
      <c r="AI14" s="365">
        <f>SUM('Cal. Arr'!AB17:AY17)</f>
        <v>0</v>
      </c>
      <c r="AJ14" s="442">
        <v>0</v>
      </c>
      <c r="AK14" s="442">
        <v>1</v>
      </c>
      <c r="AL14" s="267">
        <f t="shared" si="10"/>
        <v>264.17205235814845</v>
      </c>
      <c r="AM14" s="267">
        <f>+CONVERT(AK14+Tabla1[[#This Row],[Con. DO Storage Gen. '[m3']]],"m^3","gal")</f>
        <v>264.17205235814845</v>
      </c>
      <c r="AN14" s="372">
        <f>SUM('DO Pilot'!B14:Y14)</f>
        <v>7.2299999999999969</v>
      </c>
      <c r="AO14" s="372">
        <f t="shared" si="0"/>
        <v>1909.9639385494124</v>
      </c>
      <c r="AP14" s="267">
        <f>AK14+AN14+Tabla1[[#This Row],[Con. DO Storage Gen. '[m3']]]</f>
        <v>8.2299999999999969</v>
      </c>
      <c r="AQ14" s="372">
        <f t="shared" si="11"/>
        <v>2174.1359909075604</v>
      </c>
      <c r="AR14" s="442">
        <v>0</v>
      </c>
      <c r="AS14" s="442">
        <v>11015</v>
      </c>
      <c r="AT14" s="267">
        <f>+CONVERT(SUM(Tabla1[[#This Row],[Repo. DO Storage '[gal']]:[Repo. DO Pilot '[gal']]]),"gal","m3")</f>
        <v>41.696310800760003</v>
      </c>
      <c r="AU14" s="442">
        <v>0</v>
      </c>
      <c r="AV14" s="267">
        <f t="shared" si="1"/>
        <v>0</v>
      </c>
      <c r="AW14" s="442">
        <v>0</v>
      </c>
      <c r="AX14" s="267">
        <f t="shared" si="2"/>
        <v>0</v>
      </c>
      <c r="AY14" s="372">
        <f t="shared" si="3"/>
        <v>0.20383646015289233</v>
      </c>
      <c r="AZ14" s="372">
        <f>IFERROR(AL14/'Ar-Pa'!AX14,0)</f>
        <v>132.08602617907422</v>
      </c>
      <c r="BA14" s="372">
        <f>IFERROR(AL14/'Ar-Pa'!AY14,0)</f>
        <v>132.08602617907422</v>
      </c>
      <c r="BB14" s="372">
        <f t="shared" si="4"/>
        <v>1.4737376069054109</v>
      </c>
      <c r="BC14" s="372">
        <f>IFERROR(AVERAGEIF('DO Pilot'!AX14:BU14,"&gt;0"),0)</f>
        <v>10.342152397007373</v>
      </c>
      <c r="BD14" s="445">
        <v>349332</v>
      </c>
      <c r="BE14" s="445">
        <v>12366</v>
      </c>
      <c r="BF14" s="445">
        <v>349201</v>
      </c>
      <c r="BG14" s="223">
        <f>Tabla1[[#This Row],[ Re. Gas GC
 '[m3']]]</f>
        <v>349201</v>
      </c>
      <c r="BH14" s="150">
        <f>IFERROR((BG14*Gas!$B$2)/28.31685,0)</f>
        <v>12284.190936845023</v>
      </c>
      <c r="BI14" s="151">
        <f t="shared" si="5"/>
        <v>-81.809063154976684</v>
      </c>
      <c r="BJ14" s="74">
        <f t="shared" si="12"/>
        <v>-6.6597029935117477E-3</v>
      </c>
      <c r="BK14" s="223">
        <f t="shared" si="6"/>
        <v>9541.6666666666661</v>
      </c>
      <c r="BL14" s="442">
        <v>8911.7800000000007</v>
      </c>
      <c r="BM14" s="150">
        <f t="shared" si="7"/>
        <v>9219.8045113932494</v>
      </c>
      <c r="BN14" s="150">
        <f t="shared" si="8"/>
        <v>9558.7592612425124</v>
      </c>
      <c r="BO14" s="373">
        <f>IFERROR(Tabla1[[#This Row],[ Re. Gas GC
 '[m3']]]/Tabla1[[#This Row],[G. HGS 
Con Gas '[kWh']]],0)</f>
        <v>0.26944521604938271</v>
      </c>
      <c r="BP14" s="374">
        <f>Tank!Y15</f>
        <v>0</v>
      </c>
      <c r="BQ14" s="70">
        <f>Tank!AP15</f>
        <v>34.28</v>
      </c>
      <c r="BR14" s="70">
        <f>Tank!V15</f>
        <v>0</v>
      </c>
      <c r="BS14" s="372">
        <f>Tank!T15</f>
        <v>0</v>
      </c>
      <c r="BT14" s="375" t="s">
        <v>228</v>
      </c>
      <c r="BU14" s="449">
        <v>71</v>
      </c>
      <c r="BV14" s="375">
        <f>IF(Tabla1[[#This Row],[Combustible ofertado]]="GAS",Tabla1[[#This Row],[Disponibilidad]],0)</f>
        <v>0</v>
      </c>
      <c r="BW14" s="375">
        <f>IF(Tabla1[[#This Row],[Combustible ofertado]]="DIESEL",Tabla1[[#This Row],[Disponibilidad]],0)</f>
        <v>71</v>
      </c>
      <c r="BX14" s="375">
        <f>IF(Tabla1[[#This Row],[Combustible ofertado]]="HFO",Tabla1[[#This Row],[Disponibilidad]],0)</f>
        <v>0</v>
      </c>
      <c r="BY14" s="454">
        <v>1505</v>
      </c>
      <c r="BZ14" s="446">
        <f>'Horo. M'!C15</f>
        <v>24</v>
      </c>
      <c r="CA14" s="446">
        <f>'Horo. M'!E15</f>
        <v>24</v>
      </c>
      <c r="CB14" s="446">
        <f>'Horo. M'!G15</f>
        <v>24</v>
      </c>
      <c r="CC14" s="446">
        <f>'Horo. M'!I15</f>
        <v>20</v>
      </c>
      <c r="CD14" s="446">
        <f>'Horo. M'!K15</f>
        <v>0</v>
      </c>
      <c r="CE14" s="446">
        <f>'Horo. M'!M15</f>
        <v>21</v>
      </c>
      <c r="CF14" s="446">
        <f>'Horo. M'!O15</f>
        <v>24</v>
      </c>
      <c r="CG14" s="446">
        <f>'Horo. M'!Q15</f>
        <v>24</v>
      </c>
      <c r="CH14" s="446">
        <f>'Horo. M'!S15</f>
        <v>24</v>
      </c>
      <c r="CI14" s="446">
        <f>'Horo. M'!U15</f>
        <v>0</v>
      </c>
      <c r="CJ14" s="70">
        <f>Tabla1[[#This Row],[Con. DO Storage '[gal']]]-Tabla1[[#This Row],[C. DO Storage Ge '[gal']]]</f>
        <v>264.17205235814845</v>
      </c>
      <c r="CK14" s="70"/>
      <c r="CL14" s="70"/>
      <c r="CM14" s="372">
        <f>Tabla1[[#This Row],[Con. DO Total '[gal']]]*131485.5/(1000000)</f>
        <v>285.86735783247605</v>
      </c>
    </row>
    <row r="15" spans="1:91" s="5" customFormat="1" ht="15" customHeight="1">
      <c r="A15" s="362">
        <v>44940</v>
      </c>
      <c r="B15" s="363" t="str">
        <f>TEXT(Tabla1[[#This Row],[Fecha]],"mmmm")</f>
        <v>enero</v>
      </c>
      <c r="C15" s="429">
        <v>0</v>
      </c>
      <c r="D15" s="430">
        <v>1272</v>
      </c>
      <c r="E15" s="430">
        <v>1272</v>
      </c>
      <c r="F15" s="430">
        <v>1287</v>
      </c>
      <c r="G15" s="431">
        <v>0</v>
      </c>
      <c r="H15" s="431">
        <v>0</v>
      </c>
      <c r="I15" s="432">
        <v>0</v>
      </c>
      <c r="J15" s="432">
        <v>0</v>
      </c>
      <c r="K15" s="430">
        <v>24</v>
      </c>
      <c r="L15" s="430">
        <v>24</v>
      </c>
      <c r="M15" s="365">
        <f>Tabla1[[#This Row],[Columna1]]-Tabla1[[#This Row],[PO '[h']]]</f>
        <v>0</v>
      </c>
      <c r="N15" s="365">
        <f t="shared" si="9"/>
        <v>1287</v>
      </c>
      <c r="O15" s="430">
        <v>1287</v>
      </c>
      <c r="P15" s="367">
        <f>Tabla1[[#This Row],[G. HGS 
'[MWh']]]</f>
        <v>1287</v>
      </c>
      <c r="Q15" s="430">
        <v>0</v>
      </c>
      <c r="R15" s="367">
        <v>0</v>
      </c>
      <c r="S15" s="367">
        <f>Tabla1[[#This Row],[G. HGS 
Con Gas]]*1000</f>
        <v>1287000</v>
      </c>
      <c r="T15" s="365">
        <f>Tabla1[[#This Row],[G. HGS 
'[MWh']]]*1000</f>
        <v>1287000</v>
      </c>
      <c r="U15" s="368">
        <f>SUM('G. Un GE'!B15:Y15)</f>
        <v>1276.5210999999999</v>
      </c>
      <c r="V15" s="369">
        <f>Tabla1[[#This Row],[R. GE
'[MWh']]]</f>
        <v>1276.5210999999999</v>
      </c>
      <c r="W15" s="434">
        <v>0</v>
      </c>
      <c r="X15" s="369">
        <v>0</v>
      </c>
      <c r="Y15" s="365">
        <f>Tabla1[[#This Row],[R. GE
'[MWh']]]*1000</f>
        <v>1276521.0999999999</v>
      </c>
      <c r="Z15" s="434">
        <v>37.380000000000003</v>
      </c>
      <c r="AA1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37.380000000000003</v>
      </c>
      <c r="AB15" s="368">
        <f>IF(Tabla1[[#This Row],[G. HGS 
'[MWh']]]=0,0,Tabla1[[#This Row],[G. HGS 
'[MWh']]]+Tabla1[[#This Row],[Con. Aux. '[MWh']2]])</f>
        <v>1324.38</v>
      </c>
      <c r="AC15" s="368">
        <f>'C. ENER. TN'!F15</f>
        <v>0</v>
      </c>
      <c r="AD15" s="370">
        <f>'C. ENER. TN'!G15</f>
        <v>1276.5211000000002</v>
      </c>
      <c r="AE15" s="370">
        <f>'G. Un GE'!AX15</f>
        <v>160.50250535714284</v>
      </c>
      <c r="AF15" s="368">
        <f>IFERROR('G. Un GE'!AX15/Tabla1[[#This Row],[PO '[h']]],0)</f>
        <v>6.6876043898809518</v>
      </c>
      <c r="AG15" s="365">
        <f>'Ar-Pa'!AX15</f>
        <v>1</v>
      </c>
      <c r="AH15" s="365">
        <f>'Ar-Pa'!AY15</f>
        <v>1</v>
      </c>
      <c r="AI15" s="365">
        <f>SUM('Cal. Arr'!AB18:AY18)</f>
        <v>0</v>
      </c>
      <c r="AJ15" s="442">
        <v>0</v>
      </c>
      <c r="AK15" s="442">
        <v>1.3</v>
      </c>
      <c r="AL15" s="267">
        <f t="shared" si="10"/>
        <v>343.42366806559295</v>
      </c>
      <c r="AM15" s="267">
        <f>+CONVERT(AK15+Tabla1[[#This Row],[Con. DO Storage Gen. '[m3']]],"m^3","gal")</f>
        <v>343.42366806559295</v>
      </c>
      <c r="AN15" s="372">
        <f>SUM('DO Pilot'!B15:Y15)</f>
        <v>7.2899999999999965</v>
      </c>
      <c r="AO15" s="372">
        <f t="shared" si="0"/>
        <v>1925.814261690901</v>
      </c>
      <c r="AP15" s="267">
        <f>AK15+AN15+Tabla1[[#This Row],[Con. DO Storage Gen. '[m3']]]</f>
        <v>8.5899999999999963</v>
      </c>
      <c r="AQ15" s="372">
        <f t="shared" si="11"/>
        <v>2269.2379297564939</v>
      </c>
      <c r="AR15" s="442">
        <v>0</v>
      </c>
      <c r="AS15" s="442">
        <v>0</v>
      </c>
      <c r="AT15" s="267">
        <f>+CONVERT(SUM(Tabla1[[#This Row],[Repo. DO Storage '[gal']]:[Repo. DO Pilot '[gal']]]),"gal","m3")</f>
        <v>0</v>
      </c>
      <c r="AU15" s="442">
        <v>0</v>
      </c>
      <c r="AV15" s="267">
        <f t="shared" si="1"/>
        <v>0</v>
      </c>
      <c r="AW15" s="442">
        <v>0</v>
      </c>
      <c r="AX15" s="267">
        <f t="shared" si="2"/>
        <v>0</v>
      </c>
      <c r="AY15" s="372">
        <f t="shared" si="3"/>
        <v>0.26684045692742264</v>
      </c>
      <c r="AZ15" s="372">
        <f>IFERROR(AL15/'Ar-Pa'!AX15,0)</f>
        <v>343.42366806559295</v>
      </c>
      <c r="BA15" s="372">
        <f>IFERROR(AL15/'Ar-Pa'!AY15,0)</f>
        <v>343.42366806559295</v>
      </c>
      <c r="BB15" s="372">
        <f t="shared" si="4"/>
        <v>1.4963591776930079</v>
      </c>
      <c r="BC15" s="372">
        <f>IFERROR(AVERAGEIF('DO Pilot'!AX15:BU15,"&gt;0"),0)</f>
        <v>10.089249588946249</v>
      </c>
      <c r="BD15" s="445">
        <v>352267</v>
      </c>
      <c r="BE15" s="445">
        <v>12470</v>
      </c>
      <c r="BF15" s="445">
        <v>349441</v>
      </c>
      <c r="BG15" s="223">
        <f>Tabla1[[#This Row],[ Re. Gas GC
 '[m3']]]</f>
        <v>349441</v>
      </c>
      <c r="BH15" s="150">
        <f>IFERROR((BG15*Gas!$B$2)/28.31685,0)</f>
        <v>12292.63365557963</v>
      </c>
      <c r="BI15" s="151">
        <f t="shared" si="5"/>
        <v>-177.3663444203703</v>
      </c>
      <c r="BJ15" s="74">
        <f t="shared" si="12"/>
        <v>-1.4428669184317851E-2</v>
      </c>
      <c r="BK15" s="223">
        <f t="shared" si="6"/>
        <v>9689.1996891996896</v>
      </c>
      <c r="BL15" s="442">
        <v>8929.5300000000007</v>
      </c>
      <c r="BM15" s="150">
        <f t="shared" si="7"/>
        <v>9281.8025457796321</v>
      </c>
      <c r="BN15" s="150">
        <f t="shared" si="8"/>
        <v>9629.7927669034452</v>
      </c>
      <c r="BO15" s="373">
        <f>IFERROR(Tabla1[[#This Row],[ Re. Gas GC
 '[m3']]]/Tabla1[[#This Row],[G. HGS 
Con Gas '[kWh']]],0)</f>
        <v>0.27151592851592854</v>
      </c>
      <c r="BP15" s="374">
        <f>Tank!Y16</f>
        <v>0</v>
      </c>
      <c r="BQ15" s="70">
        <f>Tank!AP16</f>
        <v>11.64</v>
      </c>
      <c r="BR15" s="70">
        <f>Tank!V16</f>
        <v>0</v>
      </c>
      <c r="BS15" s="372">
        <f>Tank!T16</f>
        <v>0</v>
      </c>
      <c r="BT15" s="375" t="s">
        <v>228</v>
      </c>
      <c r="BU15" s="449">
        <v>71</v>
      </c>
      <c r="BV15" s="375">
        <f>IF(Tabla1[[#This Row],[Combustible ofertado]]="GAS",Tabla1[[#This Row],[Disponibilidad]],0)</f>
        <v>0</v>
      </c>
      <c r="BW15" s="375">
        <f>IF(Tabla1[[#This Row],[Combustible ofertado]]="DIESEL",Tabla1[[#This Row],[Disponibilidad]],0)</f>
        <v>71</v>
      </c>
      <c r="BX15" s="375">
        <f>IF(Tabla1[[#This Row],[Combustible ofertado]]="HFO",Tabla1[[#This Row],[Disponibilidad]],0)</f>
        <v>0</v>
      </c>
      <c r="BY15" s="454">
        <v>1505</v>
      </c>
      <c r="BZ15" s="446">
        <f>'Horo. M'!C16</f>
        <v>24</v>
      </c>
      <c r="CA15" s="446">
        <f>'Horo. M'!E16</f>
        <v>0</v>
      </c>
      <c r="CB15" s="446">
        <f>'Horo. M'!G16</f>
        <v>24</v>
      </c>
      <c r="CC15" s="446">
        <f>'Horo. M'!I16</f>
        <v>24</v>
      </c>
      <c r="CD15" s="446">
        <f>'Horo. M'!K16</f>
        <v>0</v>
      </c>
      <c r="CE15" s="446">
        <f>'Horo. M'!M16</f>
        <v>22</v>
      </c>
      <c r="CF15" s="446">
        <f>'Horo. M'!O16</f>
        <v>24</v>
      </c>
      <c r="CG15" s="446">
        <f>'Horo. M'!Q16</f>
        <v>24</v>
      </c>
      <c r="CH15" s="446">
        <f>'Horo. M'!S16</f>
        <v>24</v>
      </c>
      <c r="CI15" s="446">
        <f>'Horo. M'!U16</f>
        <v>24</v>
      </c>
      <c r="CJ15" s="70">
        <f>Tabla1[[#This Row],[Con. DO Storage '[gal']]]-Tabla1[[#This Row],[C. DO Storage Ge '[gal']]]</f>
        <v>343.42366806559295</v>
      </c>
      <c r="CK15" s="70"/>
      <c r="CL15" s="70"/>
      <c r="CM15" s="372">
        <f>Tabla1[[#This Row],[Con. DO Total '[gal']]]*131485.5/(1000000)</f>
        <v>298.37188381299745</v>
      </c>
    </row>
    <row r="16" spans="1:91" s="5" customFormat="1" ht="15" customHeight="1">
      <c r="A16" s="362">
        <v>44941</v>
      </c>
      <c r="B16" s="363" t="str">
        <f>TEXT(Tabla1[[#This Row],[Fecha]],"mmmm")</f>
        <v>enero</v>
      </c>
      <c r="C16" s="429">
        <v>0</v>
      </c>
      <c r="D16" s="430">
        <v>1272</v>
      </c>
      <c r="E16" s="430">
        <v>1272</v>
      </c>
      <c r="F16" s="430">
        <v>1290</v>
      </c>
      <c r="G16" s="431">
        <v>0</v>
      </c>
      <c r="H16" s="431">
        <v>0</v>
      </c>
      <c r="I16" s="432">
        <v>0</v>
      </c>
      <c r="J16" s="432">
        <v>0</v>
      </c>
      <c r="K16" s="430">
        <v>24</v>
      </c>
      <c r="L16" s="430">
        <v>24</v>
      </c>
      <c r="M16" s="365">
        <f>Tabla1[[#This Row],[Columna1]]-Tabla1[[#This Row],[PO '[h']]]</f>
        <v>0</v>
      </c>
      <c r="N16" s="365">
        <f t="shared" si="9"/>
        <v>1290</v>
      </c>
      <c r="O16" s="430">
        <v>1290</v>
      </c>
      <c r="P16" s="367">
        <f>Tabla1[[#This Row],[G. HGS 
'[MWh']]]</f>
        <v>1290</v>
      </c>
      <c r="Q16" s="430">
        <v>0</v>
      </c>
      <c r="R16" s="367">
        <v>0</v>
      </c>
      <c r="S16" s="367">
        <f>Tabla1[[#This Row],[G. HGS 
Con Gas]]*1000</f>
        <v>1290000</v>
      </c>
      <c r="T16" s="365">
        <f>Tabla1[[#This Row],[G. HGS 
'[MWh']]]*1000</f>
        <v>1290000</v>
      </c>
      <c r="U16" s="368">
        <f>SUM('G. Un GE'!B16:Y16)</f>
        <v>1279.1669000000002</v>
      </c>
      <c r="V16" s="369">
        <f>Tabla1[[#This Row],[R. GE
'[MWh']]]</f>
        <v>1279.1669000000002</v>
      </c>
      <c r="W16" s="434">
        <v>0</v>
      </c>
      <c r="X16" s="369">
        <v>0</v>
      </c>
      <c r="Y16" s="365">
        <f>Tabla1[[#This Row],[R. GE
'[MWh']]]*1000</f>
        <v>1279166.9000000001</v>
      </c>
      <c r="Z16" s="434">
        <v>36.29</v>
      </c>
      <c r="AA1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36.29</v>
      </c>
      <c r="AB16" s="368">
        <f>IF(Tabla1[[#This Row],[G. HGS 
'[MWh']]]=0,0,Tabla1[[#This Row],[G. HGS 
'[MWh']]]+Tabla1[[#This Row],[Con. Aux. '[MWh']2]])</f>
        <v>1326.29</v>
      </c>
      <c r="AC16" s="368">
        <f>'C. ENER. TN'!F16</f>
        <v>0</v>
      </c>
      <c r="AD16" s="370">
        <f>'C. ENER. TN'!G16</f>
        <v>1279.1669000000002</v>
      </c>
      <c r="AE16" s="370">
        <f>'G. Un GE'!AX16</f>
        <v>169.37782797619047</v>
      </c>
      <c r="AF16" s="368">
        <f>IFERROR('G. Un GE'!AX16/Tabla1[[#This Row],[PO '[h']]],0)</f>
        <v>7.0574094990079361</v>
      </c>
      <c r="AG16" s="365">
        <f>'Ar-Pa'!AX16</f>
        <v>2</v>
      </c>
      <c r="AH16" s="365">
        <f>'Ar-Pa'!AY16</f>
        <v>2</v>
      </c>
      <c r="AI16" s="365">
        <f>SUM('Cal. Arr'!AB19:AY19)</f>
        <v>0</v>
      </c>
      <c r="AJ16" s="442">
        <v>0</v>
      </c>
      <c r="AK16" s="442">
        <v>1</v>
      </c>
      <c r="AL16" s="267">
        <f t="shared" si="10"/>
        <v>264.17205235814845</v>
      </c>
      <c r="AM16" s="267">
        <f>+CONVERT(AK16+Tabla1[[#This Row],[Con. DO Storage Gen. '[m3']]],"m^3","gal")</f>
        <v>264.17205235814845</v>
      </c>
      <c r="AN16" s="372">
        <f>SUM('DO Pilot'!B16:Y16)</f>
        <v>7</v>
      </c>
      <c r="AO16" s="372">
        <f t="shared" si="0"/>
        <v>1849.2043665070389</v>
      </c>
      <c r="AP16" s="267">
        <f>AK16+AN16+Tabla1[[#This Row],[Con. DO Storage Gen. '[m3']]]</f>
        <v>8</v>
      </c>
      <c r="AQ16" s="372">
        <f t="shared" si="11"/>
        <v>2113.3764188651876</v>
      </c>
      <c r="AR16" s="442">
        <v>0</v>
      </c>
      <c r="AS16" s="442">
        <v>0</v>
      </c>
      <c r="AT16" s="267">
        <f>+CONVERT(SUM(Tabla1[[#This Row],[Repo. DO Storage '[gal']]:[Repo. DO Pilot '[gal']]]),"gal","m3")</f>
        <v>0</v>
      </c>
      <c r="AU16" s="442">
        <v>0</v>
      </c>
      <c r="AV16" s="267">
        <f t="shared" si="1"/>
        <v>0</v>
      </c>
      <c r="AW16" s="442">
        <v>0</v>
      </c>
      <c r="AX16" s="267">
        <f t="shared" si="2"/>
        <v>0</v>
      </c>
      <c r="AY16" s="372">
        <f t="shared" si="3"/>
        <v>0.20478453671174299</v>
      </c>
      <c r="AZ16" s="372">
        <f>IFERROR(AL16/'Ar-Pa'!AX16,0)</f>
        <v>132.08602617907422</v>
      </c>
      <c r="BA16" s="372">
        <f>IFERROR(AL16/'Ar-Pa'!AY16,0)</f>
        <v>132.08602617907422</v>
      </c>
      <c r="BB16" s="372">
        <f t="shared" si="4"/>
        <v>1.4334917569822008</v>
      </c>
      <c r="BC16" s="372">
        <f>IFERROR(AVERAGEIF('DO Pilot'!AX16:BU16,"&gt;0"),0)</f>
        <v>10.20194203191649</v>
      </c>
      <c r="BD16" s="445">
        <v>351032</v>
      </c>
      <c r="BE16" s="445">
        <v>12426</v>
      </c>
      <c r="BF16" s="445">
        <v>347574</v>
      </c>
      <c r="BG16" s="223">
        <f>Tabla1[[#This Row],[ Re. Gas GC
 '[m3']]]</f>
        <v>347574</v>
      </c>
      <c r="BH16" s="150">
        <f>IFERROR((BG16*Gas!$B$2)/28.31685,0)</f>
        <v>12226.956339423346</v>
      </c>
      <c r="BI16" s="151">
        <f t="shared" si="5"/>
        <v>-199.04366057665356</v>
      </c>
      <c r="BJ16" s="74">
        <f t="shared" si="12"/>
        <v>-1.6279084921148983E-2</v>
      </c>
      <c r="BK16" s="223">
        <f t="shared" si="6"/>
        <v>9632.5581395348836</v>
      </c>
      <c r="BL16" s="442">
        <v>8931.75</v>
      </c>
      <c r="BM16" s="150">
        <f t="shared" si="7"/>
        <v>9218.9161792845807</v>
      </c>
      <c r="BN16" s="150">
        <f t="shared" si="8"/>
        <v>9558.5308996217354</v>
      </c>
      <c r="BO16" s="373">
        <f>IFERROR(Tabla1[[#This Row],[ Re. Gas GC
 '[m3']]]/Tabla1[[#This Row],[G. HGS 
Con Gas '[kWh']]],0)</f>
        <v>0.26943720930232556</v>
      </c>
      <c r="BP16" s="374">
        <f>Tank!Y17</f>
        <v>0</v>
      </c>
      <c r="BQ16" s="70">
        <f>Tank!AP17</f>
        <v>0</v>
      </c>
      <c r="BR16" s="70">
        <f>Tank!V17</f>
        <v>0</v>
      </c>
      <c r="BS16" s="372">
        <f>Tank!T17</f>
        <v>1275.9510128898564</v>
      </c>
      <c r="BT16" s="375" t="s">
        <v>228</v>
      </c>
      <c r="BU16" s="449">
        <v>71</v>
      </c>
      <c r="BV16" s="375">
        <f>IF(Tabla1[[#This Row],[Combustible ofertado]]="GAS",Tabla1[[#This Row],[Disponibilidad]],0)</f>
        <v>0</v>
      </c>
      <c r="BW16" s="375">
        <f>IF(Tabla1[[#This Row],[Combustible ofertado]]="DIESEL",Tabla1[[#This Row],[Disponibilidad]],0)</f>
        <v>71</v>
      </c>
      <c r="BX16" s="375">
        <f>IF(Tabla1[[#This Row],[Combustible ofertado]]="HFO",Tabla1[[#This Row],[Disponibilidad]],0)</f>
        <v>0</v>
      </c>
      <c r="BY16" s="454">
        <v>1505</v>
      </c>
      <c r="BZ16" s="446">
        <f>'Horo. M'!C17</f>
        <v>19</v>
      </c>
      <c r="CA16" s="446">
        <f>'Horo. M'!E17</f>
        <v>24</v>
      </c>
      <c r="CB16" s="446">
        <f>'Horo. M'!G17</f>
        <v>24</v>
      </c>
      <c r="CC16" s="446">
        <f>'Horo. M'!I17</f>
        <v>20</v>
      </c>
      <c r="CD16" s="446">
        <f>'Horo. M'!K17</f>
        <v>0</v>
      </c>
      <c r="CE16" s="446">
        <f>'Horo. M'!M17</f>
        <v>0</v>
      </c>
      <c r="CF16" s="446">
        <f>'Horo. M'!O17</f>
        <v>24</v>
      </c>
      <c r="CG16" s="446">
        <f>'Horo. M'!Q17</f>
        <v>24</v>
      </c>
      <c r="CH16" s="446">
        <f>'Horo. M'!S17</f>
        <v>24</v>
      </c>
      <c r="CI16" s="446">
        <f>'Horo. M'!U17</f>
        <v>24</v>
      </c>
      <c r="CJ16" s="70">
        <f>Tabla1[[#This Row],[Con. DO Storage '[gal']]]-Tabla1[[#This Row],[C. DO Storage Ge '[gal']]]</f>
        <v>264.17205235814845</v>
      </c>
      <c r="CK16" s="70"/>
      <c r="CL16" s="70"/>
      <c r="CM16" s="372">
        <f>Tabla1[[#This Row],[Con. DO Total '[gal']]]*131485.5/(1000000)</f>
        <v>277.87835512269862</v>
      </c>
    </row>
    <row r="17" spans="1:91" s="5" customFormat="1" ht="15" customHeight="1">
      <c r="A17" s="362">
        <v>44942</v>
      </c>
      <c r="B17" s="363" t="str">
        <f>TEXT(Tabla1[[#This Row],[Fecha]],"mmmm")</f>
        <v>enero</v>
      </c>
      <c r="C17" s="429">
        <v>0</v>
      </c>
      <c r="D17" s="430">
        <v>1488</v>
      </c>
      <c r="E17" s="430">
        <v>1488</v>
      </c>
      <c r="F17" s="430">
        <v>1483</v>
      </c>
      <c r="G17" s="431">
        <v>0</v>
      </c>
      <c r="H17" s="431">
        <v>0</v>
      </c>
      <c r="I17" s="432">
        <v>0</v>
      </c>
      <c r="J17" s="432">
        <v>0</v>
      </c>
      <c r="K17" s="430">
        <v>24</v>
      </c>
      <c r="L17" s="430">
        <v>24</v>
      </c>
      <c r="M17" s="365">
        <f>Tabla1[[#This Row],[Columna1]]-Tabla1[[#This Row],[PO '[h']]]</f>
        <v>0</v>
      </c>
      <c r="N17" s="365">
        <f t="shared" si="9"/>
        <v>1483</v>
      </c>
      <c r="O17" s="430">
        <v>1483</v>
      </c>
      <c r="P17" s="367">
        <f>Tabla1[[#This Row],[G. HGS 
'[MWh']]]</f>
        <v>1483</v>
      </c>
      <c r="Q17" s="434">
        <v>537.73289999999997</v>
      </c>
      <c r="R17" s="367">
        <v>0</v>
      </c>
      <c r="S17" s="367">
        <f>Tabla1[[#This Row],[G. HGS 
Con Gas]]*1000</f>
        <v>1483000</v>
      </c>
      <c r="T17" s="365">
        <f>Tabla1[[#This Row],[G. HGS 
'[MWh']]]*1000</f>
        <v>1483000</v>
      </c>
      <c r="U17" s="368">
        <f>SUM('G. Un GE'!B17:Y17)</f>
        <v>1279.1669000000002</v>
      </c>
      <c r="V17" s="369">
        <f>Tabla1[[#This Row],[R. GE
'[MWh']]]</f>
        <v>1279.1669000000002</v>
      </c>
      <c r="W17" s="434">
        <f>SUM('G. Un GE'!B17:G17,'G. Un GE'!N17:Q17)</f>
        <v>537.73289999999997</v>
      </c>
      <c r="X17" s="369">
        <v>0</v>
      </c>
      <c r="Y17" s="365">
        <f>Tabla1[[#This Row],[R. GE
'[MWh']]]*1000</f>
        <v>1279166.9000000001</v>
      </c>
      <c r="Z17" s="434">
        <v>39.200000000000003</v>
      </c>
      <c r="AA1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39.200000000000003</v>
      </c>
      <c r="AB17" s="368">
        <f>IF(Tabla1[[#This Row],[G. HGS 
'[MWh']]]=0,0,Tabla1[[#This Row],[G. HGS 
'[MWh']]]+Tabla1[[#This Row],[Con. Aux. '[MWh']2]])</f>
        <v>1522.2</v>
      </c>
      <c r="AC17" s="368">
        <f>'C. ENER. TN'!F17</f>
        <v>0</v>
      </c>
      <c r="AD17" s="370">
        <f>'C. ENER. TN'!G17</f>
        <v>1471.0788</v>
      </c>
      <c r="AE17" s="370">
        <f>'G. Un GE'!AX17</f>
        <v>156.28291329365084</v>
      </c>
      <c r="AF17" s="368">
        <f>IFERROR('G. Un GE'!AX17/Tabla1[[#This Row],[PO '[h']]],0)</f>
        <v>6.5117880539021185</v>
      </c>
      <c r="AG17" s="365">
        <f>'Ar-Pa'!AX17</f>
        <v>4</v>
      </c>
      <c r="AH17" s="365">
        <f>'Ar-Pa'!AY17</f>
        <v>3</v>
      </c>
      <c r="AI17" s="365">
        <f>SUM('Cal. Arr'!AB20:AY20)</f>
        <v>0</v>
      </c>
      <c r="AJ17" s="442">
        <v>15.03</v>
      </c>
      <c r="AK17" s="442">
        <v>0.77</v>
      </c>
      <c r="AL17" s="267">
        <f t="shared" si="10"/>
        <v>203.41248031577427</v>
      </c>
      <c r="AM17" s="267">
        <f>+CONVERT(AK17+Tabla1[[#This Row],[Con. DO Storage Gen. '[m3']]],"m^3","gal")</f>
        <v>4173.9184272587445</v>
      </c>
      <c r="AN17" s="372">
        <f>SUM('DO Pilot'!B17:Y17)</f>
        <v>7.3999999999999977</v>
      </c>
      <c r="AO17" s="372">
        <f t="shared" si="0"/>
        <v>1954.8731874502976</v>
      </c>
      <c r="AP17" s="267">
        <f>AK17+AN17+Tabla1[[#This Row],[Con. DO Storage Gen. '[m3']]]</f>
        <v>23.199999999999996</v>
      </c>
      <c r="AQ17" s="372">
        <f t="shared" si="11"/>
        <v>6128.7916147090427</v>
      </c>
      <c r="AR17" s="442">
        <v>0</v>
      </c>
      <c r="AS17" s="442">
        <v>0</v>
      </c>
      <c r="AT17" s="267">
        <f>+CONVERT(SUM(Tabla1[[#This Row],[Repo. DO Storage '[gal']]:[Repo. DO Pilot '[gal']]]),"gal","m3")</f>
        <v>0</v>
      </c>
      <c r="AU17" s="442">
        <v>0</v>
      </c>
      <c r="AV17" s="267">
        <f t="shared" si="1"/>
        <v>0</v>
      </c>
      <c r="AW17" s="442">
        <v>0</v>
      </c>
      <c r="AX17" s="267">
        <f t="shared" si="2"/>
        <v>0</v>
      </c>
      <c r="AY17" s="372">
        <f t="shared" si="3"/>
        <v>0.13716283231002985</v>
      </c>
      <c r="AZ17" s="372">
        <f>IFERROR(AL17/'Ar-Pa'!AX17,0)</f>
        <v>50.853120078943569</v>
      </c>
      <c r="BA17" s="372">
        <f>IFERROR(AL17/'Ar-Pa'!AY17,0)</f>
        <v>67.804160105258092</v>
      </c>
      <c r="BB17" s="372">
        <f t="shared" si="4"/>
        <v>1.3181882585639229</v>
      </c>
      <c r="BC17" s="372">
        <f>IFERROR(AVERAGEIF('DO Pilot'!AX17:BU17,"&gt;0"),0)</f>
        <v>9.9459816769530729</v>
      </c>
      <c r="BD17" s="445">
        <v>383311</v>
      </c>
      <c r="BE17" s="445">
        <v>13569</v>
      </c>
      <c r="BF17" s="445">
        <v>379614</v>
      </c>
      <c r="BG17" s="223">
        <f>Tabla1[[#This Row],[ Re. Gas GC
 '[m3']]]</f>
        <v>379614</v>
      </c>
      <c r="BH17" s="150">
        <f>IFERROR((BG17*Gas!$B$2)/28.31685,0)</f>
        <v>13354.059290493116</v>
      </c>
      <c r="BI17" s="151">
        <f>BH17-BE17</f>
        <v>-214.94070950688365</v>
      </c>
      <c r="BJ17" s="74">
        <f t="shared" si="12"/>
        <v>-1.6095533562585123E-2</v>
      </c>
      <c r="BK17" s="223">
        <f t="shared" si="6"/>
        <v>9149.6965610249499</v>
      </c>
      <c r="BL17" s="442">
        <v>8775.91</v>
      </c>
      <c r="BM17" s="150">
        <f t="shared" si="7"/>
        <v>8772.8677509480458</v>
      </c>
      <c r="BN17" s="150">
        <f t="shared" si="8"/>
        <v>10439.653567093641</v>
      </c>
      <c r="BO17" s="373">
        <f>IFERROR(Tabla1[[#This Row],[ Re. Gas GC
 '[m3']]]/Tabla1[[#This Row],[G. HGS 
Con Gas '[kWh']]],0)</f>
        <v>0.25597707349966287</v>
      </c>
      <c r="BP17" s="374">
        <f>Tank!Y18</f>
        <v>29.068177089336</v>
      </c>
      <c r="BQ17" s="70">
        <f>Tank!AP18</f>
        <v>0</v>
      </c>
      <c r="BR17" s="70">
        <f>Tank!V18</f>
        <v>0</v>
      </c>
      <c r="BS17" s="372">
        <f>Tank!T18</f>
        <v>0</v>
      </c>
      <c r="BT17" s="375" t="s">
        <v>228</v>
      </c>
      <c r="BU17" s="449">
        <v>80</v>
      </c>
      <c r="BV17" s="375">
        <f>IF(Tabla1[[#This Row],[Combustible ofertado]]="GAS",Tabla1[[#This Row],[Disponibilidad]],0)</f>
        <v>0</v>
      </c>
      <c r="BW17" s="375">
        <f>IF(Tabla1[[#This Row],[Combustible ofertado]]="DIESEL",Tabla1[[#This Row],[Disponibilidad]],0)</f>
        <v>80</v>
      </c>
      <c r="BX17" s="375">
        <f>IF(Tabla1[[#This Row],[Combustible ofertado]]="HFO",Tabla1[[#This Row],[Disponibilidad]],0)</f>
        <v>0</v>
      </c>
      <c r="BY17" s="454">
        <v>1505</v>
      </c>
      <c r="BZ17" s="446">
        <f>'Horo. M'!C18</f>
        <v>24</v>
      </c>
      <c r="CA17" s="446">
        <f>'Horo. M'!E18</f>
        <v>24</v>
      </c>
      <c r="CB17" s="446">
        <f>'Horo. M'!G18</f>
        <v>24</v>
      </c>
      <c r="CC17" s="446">
        <f>'Horo. M'!I18</f>
        <v>24</v>
      </c>
      <c r="CD17" s="446">
        <f>'Horo. M'!K18</f>
        <v>0</v>
      </c>
      <c r="CE17" s="446">
        <f>'Horo. M'!M18</f>
        <v>13</v>
      </c>
      <c r="CF17" s="446">
        <f>'Horo. M'!O18</f>
        <v>24</v>
      </c>
      <c r="CG17" s="446">
        <f>'Horo. M'!Q18</f>
        <v>21</v>
      </c>
      <c r="CH17" s="446">
        <f>'Horo. M'!S18</f>
        <v>24</v>
      </c>
      <c r="CI17" s="446">
        <f>'Horo. M'!U18</f>
        <v>24</v>
      </c>
      <c r="CJ17" s="70">
        <f>Tabla1[[#This Row],[Con. DO Storage '[gal']]]-Tabla1[[#This Row],[C. DO Storage Ge '[gal']]]</f>
        <v>203.41248031577427</v>
      </c>
      <c r="CK17" s="70"/>
      <c r="CL17" s="70"/>
      <c r="CM17" s="372">
        <f>Tabla1[[#This Row],[Con. DO Total '[gal']]]*131485.5/(1000000)</f>
        <v>805.84722985582573</v>
      </c>
    </row>
    <row r="18" spans="1:91" s="5" customFormat="1" ht="15" customHeight="1">
      <c r="A18" s="362">
        <v>44943</v>
      </c>
      <c r="B18" s="363" t="str">
        <f>TEXT(Tabla1[[#This Row],[Fecha]],"mmmm")</f>
        <v>enero</v>
      </c>
      <c r="C18" s="429">
        <v>0</v>
      </c>
      <c r="D18" s="430">
        <v>1488</v>
      </c>
      <c r="E18" s="430">
        <v>1488</v>
      </c>
      <c r="F18" s="430">
        <v>1482</v>
      </c>
      <c r="G18" s="431">
        <v>0</v>
      </c>
      <c r="H18" s="431">
        <v>0</v>
      </c>
      <c r="I18" s="432">
        <v>0</v>
      </c>
      <c r="J18" s="432">
        <v>0</v>
      </c>
      <c r="K18" s="430">
        <v>24</v>
      </c>
      <c r="L18" s="430">
        <v>24</v>
      </c>
      <c r="M18" s="365">
        <f>Tabla1[[#This Row],[Columna1]]-Tabla1[[#This Row],[PO '[h']]]</f>
        <v>0</v>
      </c>
      <c r="N18" s="365">
        <f t="shared" si="9"/>
        <v>1482</v>
      </c>
      <c r="O18" s="430">
        <v>1482</v>
      </c>
      <c r="P18" s="367">
        <f>Tabla1[[#This Row],[G. HGS 
'[MWh']]]</f>
        <v>1482</v>
      </c>
      <c r="Q18" s="430">
        <v>0</v>
      </c>
      <c r="R18" s="367">
        <v>0</v>
      </c>
      <c r="S18" s="367">
        <f>Tabla1[[#This Row],[G. HGS 
Con Gas]]*1000</f>
        <v>1482000</v>
      </c>
      <c r="T18" s="365">
        <f>Tabla1[[#This Row],[G. HGS 
'[MWh']]]*1000</f>
        <v>1482000</v>
      </c>
      <c r="U18" s="368">
        <f>SUM('G. Un GE'!B18:Y18)</f>
        <v>1471.0787999999998</v>
      </c>
      <c r="V18" s="369">
        <f>Tabla1[[#This Row],[R. GE
'[MWh']]]</f>
        <v>1471.0787999999998</v>
      </c>
      <c r="W18" s="434">
        <v>0</v>
      </c>
      <c r="X18" s="369">
        <v>0</v>
      </c>
      <c r="Y18" s="365">
        <f>Tabla1[[#This Row],[R. GE
'[MWh']]]*1000</f>
        <v>1471078.7999999998</v>
      </c>
      <c r="Z18" s="434">
        <v>41.17</v>
      </c>
      <c r="AA1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41.17</v>
      </c>
      <c r="AB18" s="368">
        <f>IF(Tabla1[[#This Row],[G. HGS 
'[MWh']]]=0,0,Tabla1[[#This Row],[G. HGS 
'[MWh']]]+Tabla1[[#This Row],[Con. Aux. '[MWh']2]])</f>
        <v>1523.17</v>
      </c>
      <c r="AC18" s="368">
        <f>'C. ENER. TN'!F18</f>
        <v>0</v>
      </c>
      <c r="AD18" s="370">
        <f>'C. ENER. TN'!G18</f>
        <v>1469.0334999999998</v>
      </c>
      <c r="AE18" s="370">
        <f>'G. Un GE'!AX18</f>
        <v>163.45320000000001</v>
      </c>
      <c r="AF18" s="368">
        <f>IFERROR('G. Un GE'!AX18/Tabla1[[#This Row],[PO '[h']]],0)</f>
        <v>6.8105500000000001</v>
      </c>
      <c r="AG18" s="365">
        <f>'Ar-Pa'!AX18</f>
        <v>0</v>
      </c>
      <c r="AH18" s="365">
        <f>'Ar-Pa'!AY18</f>
        <v>0</v>
      </c>
      <c r="AI18" s="365">
        <f>SUM('Cal. Arr'!AB21:AY21)</f>
        <v>0</v>
      </c>
      <c r="AJ18" s="442">
        <v>0</v>
      </c>
      <c r="AK18" s="442">
        <v>1</v>
      </c>
      <c r="AL18" s="267">
        <f t="shared" si="10"/>
        <v>264.17205235814845</v>
      </c>
      <c r="AM18" s="267">
        <f>+CONVERT(AK18+Tabla1[[#This Row],[Con. DO Storage Gen. '[m3']]],"m^3","gal")</f>
        <v>264.17205235814845</v>
      </c>
      <c r="AN18" s="372">
        <f>SUM('DO Pilot'!B18:Y18)</f>
        <v>7.3999999999999968</v>
      </c>
      <c r="AO18" s="372">
        <f t="shared" si="0"/>
        <v>1954.8731874502973</v>
      </c>
      <c r="AP18" s="267">
        <f>AK18+AN18+Tabla1[[#This Row],[Con. DO Storage Gen. '[m3']]]</f>
        <v>8.3999999999999968</v>
      </c>
      <c r="AQ18" s="372">
        <f t="shared" si="11"/>
        <v>2219.0452398084458</v>
      </c>
      <c r="AR18" s="442">
        <v>0</v>
      </c>
      <c r="AS18" s="442">
        <v>10611</v>
      </c>
      <c r="AT18" s="267">
        <f>+CONVERT(SUM(Tabla1[[#This Row],[Repo. DO Storage '[gal']]:[Repo. DO Pilot '[gal']]]),"gal","m3")</f>
        <v>40.167004440024002</v>
      </c>
      <c r="AU18" s="442">
        <v>0</v>
      </c>
      <c r="AV18" s="267">
        <f t="shared" si="1"/>
        <v>0</v>
      </c>
      <c r="AW18" s="442">
        <v>0</v>
      </c>
      <c r="AX18" s="267">
        <f t="shared" si="2"/>
        <v>0</v>
      </c>
      <c r="AY18" s="372">
        <f t="shared" si="3"/>
        <v>0.17825374653046455</v>
      </c>
      <c r="AZ18" s="372">
        <f>IFERROR(AL18/'Ar-Pa'!AX18,0)</f>
        <v>0</v>
      </c>
      <c r="BA18" s="372">
        <f>IFERROR(AL18/'Ar-Pa'!AY18,0)</f>
        <v>0</v>
      </c>
      <c r="BB18" s="372">
        <f t="shared" si="4"/>
        <v>1.3190777243254368</v>
      </c>
      <c r="BC18" s="372">
        <f>IFERROR(AVERAGEIF('DO Pilot'!AX18:BU18,"&gt;0"),0)</f>
        <v>9.0503388307884194</v>
      </c>
      <c r="BD18" s="445">
        <v>404338</v>
      </c>
      <c r="BE18" s="445">
        <v>14313</v>
      </c>
      <c r="BF18" s="445">
        <v>400824</v>
      </c>
      <c r="BG18" s="223">
        <f>Tabla1[[#This Row],[ Re. Gas GC
 '[m3']]]</f>
        <v>400824</v>
      </c>
      <c r="BH18" s="150">
        <f>IFERROR((BG18*Gas!$B$2)/28.31685,0)</f>
        <v>14100.184558663834</v>
      </c>
      <c r="BI18" s="151">
        <f t="shared" si="5"/>
        <v>-212.81544133616626</v>
      </c>
      <c r="BJ18" s="74">
        <f t="shared" si="12"/>
        <v>-1.5093096154220349E-2</v>
      </c>
      <c r="BK18" s="223">
        <f t="shared" si="6"/>
        <v>9657.894736842105</v>
      </c>
      <c r="BL18" s="442">
        <v>8733.11</v>
      </c>
      <c r="BM18" s="150">
        <f t="shared" si="7"/>
        <v>9257.1312188815646</v>
      </c>
      <c r="BN18" s="150">
        <f t="shared" si="8"/>
        <v>9584.9281212290152</v>
      </c>
      <c r="BO18" s="373">
        <f>IFERROR(Tabla1[[#This Row],[ Re. Gas GC
 '[m3']]]/Tabla1[[#This Row],[G. HGS 
Con Gas '[kWh']]],0)</f>
        <v>0.27046153846153848</v>
      </c>
      <c r="BP18" s="374">
        <f>Tank!Y19</f>
        <v>0</v>
      </c>
      <c r="BQ18" s="70">
        <f>Tank!AP19</f>
        <v>46.2</v>
      </c>
      <c r="BR18" s="70">
        <f>Tank!V19</f>
        <v>0</v>
      </c>
      <c r="BS18" s="372">
        <f>Tank!T19</f>
        <v>0</v>
      </c>
      <c r="BT18" s="375" t="s">
        <v>228</v>
      </c>
      <c r="BU18" s="449">
        <v>80</v>
      </c>
      <c r="BV18" s="375">
        <f>IF(Tabla1[[#This Row],[Combustible ofertado]]="GAS",Tabla1[[#This Row],[Disponibilidad]],0)</f>
        <v>0</v>
      </c>
      <c r="BW18" s="375">
        <f>IF(Tabla1[[#This Row],[Combustible ofertado]]="DIESEL",Tabla1[[#This Row],[Disponibilidad]],0)</f>
        <v>80</v>
      </c>
      <c r="BX18" s="375">
        <f>IF(Tabla1[[#This Row],[Combustible ofertado]]="HFO",Tabla1[[#This Row],[Disponibilidad]],0)</f>
        <v>0</v>
      </c>
      <c r="BY18" s="454">
        <v>1505</v>
      </c>
      <c r="BZ18" s="446">
        <f>'Horo. M'!C19</f>
        <v>24</v>
      </c>
      <c r="CA18" s="446">
        <f>'Horo. M'!E19</f>
        <v>24</v>
      </c>
      <c r="CB18" s="446">
        <f>'Horo. M'!G19</f>
        <v>24</v>
      </c>
      <c r="CC18" s="446">
        <f>'Horo. M'!I19</f>
        <v>24</v>
      </c>
      <c r="CD18" s="446">
        <f>'Horo. M'!K19</f>
        <v>0</v>
      </c>
      <c r="CE18" s="446">
        <f>'Horo. M'!M19</f>
        <v>24</v>
      </c>
      <c r="CF18" s="446">
        <f>'Horo. M'!O19</f>
        <v>24</v>
      </c>
      <c r="CG18" s="446">
        <f>'Horo. M'!Q19</f>
        <v>24</v>
      </c>
      <c r="CH18" s="446">
        <f>'Horo. M'!S19</f>
        <v>24</v>
      </c>
      <c r="CI18" s="446">
        <f>'Horo. M'!U19</f>
        <v>24</v>
      </c>
      <c r="CJ18" s="70">
        <f>Tabla1[[#This Row],[Con. DO Storage '[gal']]]-Tabla1[[#This Row],[C. DO Storage Ge '[gal']]]</f>
        <v>264.17205235814845</v>
      </c>
      <c r="CK18" s="70"/>
      <c r="CL18" s="70"/>
      <c r="CM18" s="372">
        <f>Tabla1[[#This Row],[Con. DO Total '[gal']]]*131485.5/(1000000)</f>
        <v>291.77227287883341</v>
      </c>
    </row>
    <row r="19" spans="1:91" s="5" customFormat="1" ht="15" customHeight="1">
      <c r="A19" s="362">
        <v>44944</v>
      </c>
      <c r="B19" s="363" t="str">
        <f>TEXT(Tabla1[[#This Row],[Fecha]],"mmmm")</f>
        <v>enero</v>
      </c>
      <c r="C19" s="429">
        <v>0</v>
      </c>
      <c r="D19" s="430">
        <v>1084</v>
      </c>
      <c r="E19" s="430">
        <v>1084</v>
      </c>
      <c r="F19" s="430">
        <v>1122</v>
      </c>
      <c r="G19" s="431">
        <v>0</v>
      </c>
      <c r="H19" s="431">
        <v>0</v>
      </c>
      <c r="I19" s="432">
        <v>0</v>
      </c>
      <c r="J19" s="432">
        <v>0</v>
      </c>
      <c r="K19" s="430">
        <v>22</v>
      </c>
      <c r="L19" s="430">
        <v>24</v>
      </c>
      <c r="M19" s="365">
        <f>Tabla1[[#This Row],[Columna1]]-Tabla1[[#This Row],[PO '[h']]]</f>
        <v>2</v>
      </c>
      <c r="N19" s="365">
        <f t="shared" ref="N19:N55" si="13">F19+H19+J19</f>
        <v>1122</v>
      </c>
      <c r="O19" s="430">
        <v>1122</v>
      </c>
      <c r="P19" s="367">
        <f>Tabla1[[#This Row],[G. HGS 
'[MWh']]]</f>
        <v>1122</v>
      </c>
      <c r="Q19" s="430">
        <v>0</v>
      </c>
      <c r="R19" s="367">
        <v>0</v>
      </c>
      <c r="S19" s="367">
        <f>Tabla1[[#This Row],[G. HGS 
Con Gas]]*1000</f>
        <v>1122000</v>
      </c>
      <c r="T19" s="365">
        <f>Tabla1[[#This Row],[G. HGS 
'[MWh']]]*1000</f>
        <v>1122000</v>
      </c>
      <c r="U19" s="368">
        <f>SUM('G. Un GE'!B19:Y19)</f>
        <v>1469.0334999999998</v>
      </c>
      <c r="V19" s="369">
        <f>Tabla1[[#This Row],[R. GE
'[MWh']]]</f>
        <v>1469.0334999999998</v>
      </c>
      <c r="W19" s="434">
        <v>0</v>
      </c>
      <c r="X19" s="369">
        <v>0</v>
      </c>
      <c r="Y19" s="365">
        <f>Tabla1[[#This Row],[R. GE
'[MWh']]]*1000</f>
        <v>1469033.4999999998</v>
      </c>
      <c r="Z19" s="434">
        <v>33.79</v>
      </c>
      <c r="AA1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33.023899999999998</v>
      </c>
      <c r="AB19" s="368">
        <f>IF(Tabla1[[#This Row],[G. HGS 
'[MWh']]]=0,0,Tabla1[[#This Row],[G. HGS 
'[MWh']]]+Tabla1[[#This Row],[Con. Aux. '[MWh']2]])</f>
        <v>1155.0238999999999</v>
      </c>
      <c r="AC19" s="368">
        <f>'C. ENER. TN'!F19</f>
        <v>0.7661</v>
      </c>
      <c r="AD19" s="370">
        <f>'C. ENER. TN'!G19</f>
        <v>1112.6262000000002</v>
      </c>
      <c r="AE19" s="370">
        <f>'G. Un GE'!AX19</f>
        <v>247.15603035714284</v>
      </c>
      <c r="AF19" s="368">
        <f>IFERROR('G. Un GE'!AX19/Tabla1[[#This Row],[PO '[h']]],0)</f>
        <v>11.234365016233765</v>
      </c>
      <c r="AG19" s="365">
        <f>'Ar-Pa'!AX19</f>
        <v>8</v>
      </c>
      <c r="AH19" s="365">
        <f>'Ar-Pa'!AY19</f>
        <v>9</v>
      </c>
      <c r="AI19" s="365">
        <f>SUM('Cal. Arr'!AB22:AY22)</f>
        <v>0</v>
      </c>
      <c r="AJ19" s="442">
        <v>0</v>
      </c>
      <c r="AK19" s="442">
        <v>1.5</v>
      </c>
      <c r="AL19" s="267">
        <f t="shared" si="10"/>
        <v>396.25807853722262</v>
      </c>
      <c r="AM19" s="267">
        <f>+CONVERT(AK19+Tabla1[[#This Row],[Con. DO Storage Gen. '[m3']]],"m^3","gal")</f>
        <v>396.25807853722262</v>
      </c>
      <c r="AN19" s="372">
        <f>SUM('DO Pilot'!B19:Y19)</f>
        <v>6</v>
      </c>
      <c r="AO19" s="372">
        <f t="shared" si="0"/>
        <v>1585.0323141488905</v>
      </c>
      <c r="AP19" s="267">
        <f>AK19+AN19+Tabla1[[#This Row],[Con. DO Storage Gen. '[m3']]]</f>
        <v>7.5</v>
      </c>
      <c r="AQ19" s="372">
        <f t="shared" si="11"/>
        <v>1981.2903926861131</v>
      </c>
      <c r="AR19" s="442">
        <v>0</v>
      </c>
      <c r="AS19" s="442">
        <v>0</v>
      </c>
      <c r="AT19" s="267">
        <f>+CONVERT(SUM(Tabla1[[#This Row],[Repo. DO Storage '[gal']]:[Repo. DO Pilot '[gal']]]),"gal","m3")</f>
        <v>0</v>
      </c>
      <c r="AU19" s="442">
        <v>0</v>
      </c>
      <c r="AV19" s="267">
        <f t="shared" ref="AV19:AV55" si="14">+CONVERT(AU19,"m^3","gal")</f>
        <v>0</v>
      </c>
      <c r="AW19" s="442">
        <v>0</v>
      </c>
      <c r="AX19" s="267">
        <f t="shared" si="2"/>
        <v>0</v>
      </c>
      <c r="AY19" s="372">
        <f t="shared" si="3"/>
        <v>0.35317119299217703</v>
      </c>
      <c r="AZ19" s="372">
        <f>IFERROR(AL19/'Ar-Pa'!AX19,0)</f>
        <v>49.532259817152827</v>
      </c>
      <c r="BA19" s="372">
        <f>IFERROR(AL19/'Ar-Pa'!AY19,0)</f>
        <v>44.028675393024734</v>
      </c>
      <c r="BB19" s="372">
        <f t="shared" si="4"/>
        <v>1.4126847719687081</v>
      </c>
      <c r="BC19" s="372">
        <f>IFERROR(AVERAGEIF('DO Pilot'!AX19:BU19,"&gt;0"),0)</f>
        <v>9.7095535393126919</v>
      </c>
      <c r="BD19" s="445">
        <v>305127</v>
      </c>
      <c r="BE19" s="445">
        <v>10801</v>
      </c>
      <c r="BF19" s="445">
        <v>302115</v>
      </c>
      <c r="BG19" s="223">
        <f>Tabla1[[#This Row],[ Re. Gas GC
 '[m3']]]</f>
        <v>302115</v>
      </c>
      <c r="BH19" s="150">
        <f>IFERROR((BG19*Gas!$B$2)/28.31685,0)</f>
        <v>10627.799877104973</v>
      </c>
      <c r="BI19" s="151">
        <f t="shared" ref="BI19:BI55" si="15">BH19-BE19</f>
        <v>-173.20012289502665</v>
      </c>
      <c r="BJ19" s="74">
        <f t="shared" si="12"/>
        <v>-1.6296893514916897E-2</v>
      </c>
      <c r="BK19" s="223">
        <f t="shared" si="6"/>
        <v>9626.5597147950084</v>
      </c>
      <c r="BL19" s="442">
        <v>8772.36</v>
      </c>
      <c r="BM19" s="150">
        <f t="shared" si="7"/>
        <v>9201.3679345552719</v>
      </c>
      <c r="BN19" s="150">
        <f t="shared" si="8"/>
        <v>7234.5524299513763</v>
      </c>
      <c r="BO19" s="373">
        <f>IFERROR(Tabla1[[#This Row],[ Re. Gas GC
 '[m3']]]/Tabla1[[#This Row],[G. HGS 
Con Gas '[kWh']]],0)</f>
        <v>0.26926470588235296</v>
      </c>
      <c r="BP19" s="374">
        <f>Tank!Y20</f>
        <v>0</v>
      </c>
      <c r="BQ19" s="70">
        <f>Tank!AP20</f>
        <v>35.1</v>
      </c>
      <c r="BR19" s="70">
        <f>Tank!V20</f>
        <v>0</v>
      </c>
      <c r="BS19" s="372">
        <f>Tank!T20</f>
        <v>0</v>
      </c>
      <c r="BT19" s="375" t="s">
        <v>228</v>
      </c>
      <c r="BU19" s="449">
        <v>71</v>
      </c>
      <c r="BV19" s="375">
        <f>IF(Tabla1[[#This Row],[Combustible ofertado]]="GAS",Tabla1[[#This Row],[Disponibilidad]],0)</f>
        <v>0</v>
      </c>
      <c r="BW19" s="375">
        <f>IF(Tabla1[[#This Row],[Combustible ofertado]]="DIESEL",Tabla1[[#This Row],[Disponibilidad]],0)</f>
        <v>71</v>
      </c>
      <c r="BX19" s="375">
        <f>IF(Tabla1[[#This Row],[Combustible ofertado]]="HFO",Tabla1[[#This Row],[Disponibilidad]],0)</f>
        <v>0</v>
      </c>
      <c r="BY19" s="454">
        <v>1505</v>
      </c>
      <c r="BZ19" s="446">
        <f>'Horo. M'!C20</f>
        <v>0</v>
      </c>
      <c r="CA19" s="446">
        <f>'Horo. M'!E20</f>
        <v>20</v>
      </c>
      <c r="CB19" s="446">
        <f>'Horo. M'!G20</f>
        <v>22</v>
      </c>
      <c r="CC19" s="446">
        <f>'Horo. M'!I20</f>
        <v>19</v>
      </c>
      <c r="CD19" s="446">
        <f>'Horo. M'!K20</f>
        <v>0</v>
      </c>
      <c r="CE19" s="446">
        <f>'Horo. M'!M20</f>
        <v>18</v>
      </c>
      <c r="CF19" s="446">
        <f>'Horo. M'!O20</f>
        <v>21</v>
      </c>
      <c r="CG19" s="446">
        <f>'Horo. M'!Q20</f>
        <v>21</v>
      </c>
      <c r="CH19" s="446">
        <f>'Horo. M'!S20</f>
        <v>20</v>
      </c>
      <c r="CI19" s="446">
        <f>'Horo. M'!U20</f>
        <v>22</v>
      </c>
      <c r="CJ19" s="70">
        <f>Tabla1[[#This Row],[Con. DO Storage '[gal']]]-Tabla1[[#This Row],[C. DO Storage Ge '[gal']]]</f>
        <v>396.25807853722262</v>
      </c>
      <c r="CK19" s="70"/>
      <c r="CL19" s="70"/>
      <c r="CM19" s="372">
        <f>Tabla1[[#This Row],[Con. DO Total '[gal']]]*131485.5/(1000000)</f>
        <v>260.51095792752994</v>
      </c>
    </row>
    <row r="20" spans="1:91" s="5" customFormat="1" ht="15" customHeight="1">
      <c r="A20" s="362">
        <v>44945</v>
      </c>
      <c r="B20" s="363" t="str">
        <f>TEXT(Tabla1[[#This Row],[Fecha]],"mmmm")</f>
        <v>enero</v>
      </c>
      <c r="C20" s="429">
        <v>0</v>
      </c>
      <c r="D20" s="430">
        <v>1084</v>
      </c>
      <c r="E20" s="430">
        <v>1084</v>
      </c>
      <c r="F20" s="430">
        <v>1088</v>
      </c>
      <c r="G20" s="431">
        <v>0</v>
      </c>
      <c r="H20" s="431">
        <v>0</v>
      </c>
      <c r="I20" s="432">
        <v>0</v>
      </c>
      <c r="J20" s="432">
        <v>0</v>
      </c>
      <c r="K20" s="430">
        <v>22</v>
      </c>
      <c r="L20" s="430">
        <v>24</v>
      </c>
      <c r="M20" s="365">
        <f>Tabla1[[#This Row],[Columna1]]-Tabla1[[#This Row],[PO '[h']]]</f>
        <v>2</v>
      </c>
      <c r="N20" s="365">
        <f t="shared" si="13"/>
        <v>1088</v>
      </c>
      <c r="O20" s="430">
        <v>1088</v>
      </c>
      <c r="P20" s="367">
        <f>Tabla1[[#This Row],[G. HGS 
'[MWh']]]</f>
        <v>1088</v>
      </c>
      <c r="Q20" s="434">
        <v>313.2183</v>
      </c>
      <c r="R20" s="367">
        <v>0</v>
      </c>
      <c r="S20" s="367">
        <f>Tabla1[[#This Row],[G. HGS 
Con Gas]]*1000</f>
        <v>1088000</v>
      </c>
      <c r="T20" s="365">
        <f>Tabla1[[#This Row],[G. HGS 
'[MWh']]]*1000</f>
        <v>1088000</v>
      </c>
      <c r="U20" s="368">
        <f>SUM('G. Un GE'!B20:Y20)</f>
        <v>1112.6261999999999</v>
      </c>
      <c r="V20" s="369">
        <f>Tabla1[[#This Row],[R. GE
'[MWh']]]</f>
        <v>1112.6261999999999</v>
      </c>
      <c r="W20" s="434">
        <f>SUM('G. Un GE'!J20:O20)</f>
        <v>313.2183</v>
      </c>
      <c r="X20" s="369">
        <v>0</v>
      </c>
      <c r="Y20" s="365">
        <f>Tabla1[[#This Row],[R. GE
'[MWh']]]*1000</f>
        <v>1112626.2</v>
      </c>
      <c r="Z20" s="434">
        <v>32.07</v>
      </c>
      <c r="AA2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31.3217</v>
      </c>
      <c r="AB20" s="368">
        <f>IF(Tabla1[[#This Row],[G. HGS 
'[MWh']]]=0,0,Tabla1[[#This Row],[G. HGS 
'[MWh']]]+Tabla1[[#This Row],[Con. Aux. '[MWh']2]])</f>
        <v>1119.3217</v>
      </c>
      <c r="AC20" s="368">
        <f>'C. ENER. TN'!F20</f>
        <v>0.74829999999999997</v>
      </c>
      <c r="AD20" s="370">
        <f>'C. ENER. TN'!G20</f>
        <v>1078.2339999999999</v>
      </c>
      <c r="AE20" s="370">
        <f>'G. Un GE'!AX20</f>
        <v>181.85685916666665</v>
      </c>
      <c r="AF20" s="368">
        <f>IFERROR('G. Un GE'!AX20/Tabla1[[#This Row],[PO '[h']]],0)</f>
        <v>8.2662208712121199</v>
      </c>
      <c r="AG20" s="365">
        <f>'Ar-Pa'!AX20</f>
        <v>9</v>
      </c>
      <c r="AH20" s="365">
        <f>'Ar-Pa'!AY20</f>
        <v>9</v>
      </c>
      <c r="AI20" s="365">
        <f>SUM('Cal. Arr'!AB23:AY23)</f>
        <v>0</v>
      </c>
      <c r="AJ20" s="442">
        <v>14.8</v>
      </c>
      <c r="AK20" s="442">
        <v>1.5</v>
      </c>
      <c r="AL20" s="267">
        <f t="shared" si="10"/>
        <v>396.25807853722262</v>
      </c>
      <c r="AM20" s="267">
        <f>+CONVERT(AK20+Tabla1[[#This Row],[Con. DO Storage Gen. '[m3']]],"m^3","gal")</f>
        <v>4306.0044534378194</v>
      </c>
      <c r="AN20" s="372">
        <f>SUM('DO Pilot'!B20:Y20)</f>
        <v>5.6500000000000021</v>
      </c>
      <c r="AO20" s="372">
        <f t="shared" si="0"/>
        <v>1492.572095823539</v>
      </c>
      <c r="AP20" s="267">
        <f>AK20+AN20+Tabla1[[#This Row],[Con. DO Storage Gen. '[m3']]]</f>
        <v>21.950000000000003</v>
      </c>
      <c r="AQ20" s="372">
        <f t="shared" si="11"/>
        <v>5798.5765492613591</v>
      </c>
      <c r="AR20" s="442">
        <v>10649</v>
      </c>
      <c r="AS20" s="442">
        <v>0</v>
      </c>
      <c r="AT20" s="267">
        <f>+CONVERT(SUM(Tabla1[[#This Row],[Repo. DO Storage '[gal']]:[Repo. DO Pilot '[gal']]]),"gal","m3")</f>
        <v>40.310850087816</v>
      </c>
      <c r="AU20" s="442">
        <v>0</v>
      </c>
      <c r="AV20" s="267">
        <f t="shared" si="14"/>
        <v>0</v>
      </c>
      <c r="AW20" s="442">
        <v>0</v>
      </c>
      <c r="AX20" s="267">
        <f t="shared" si="2"/>
        <v>0</v>
      </c>
      <c r="AY20" s="372">
        <f t="shared" si="3"/>
        <v>0.36420779277318255</v>
      </c>
      <c r="AZ20" s="372">
        <f>IFERROR(AL20/'Ar-Pa'!AX20,0)</f>
        <v>44.028675393024734</v>
      </c>
      <c r="BA20" s="372">
        <f>IFERROR(AL20/'Ar-Pa'!AY20,0)</f>
        <v>44.028675393024734</v>
      </c>
      <c r="BB20" s="372">
        <f t="shared" si="4"/>
        <v>1.3718493527789881</v>
      </c>
      <c r="BC20" s="372">
        <f>IFERROR(AVERAGEIF('DO Pilot'!AX20:BU20,"&gt;0"),0)</f>
        <v>10.589853577139694</v>
      </c>
      <c r="BD20" s="445">
        <v>269003</v>
      </c>
      <c r="BE20" s="445">
        <v>9522</v>
      </c>
      <c r="BF20" s="445">
        <v>268810</v>
      </c>
      <c r="BG20" s="223">
        <f>Tabla1[[#This Row],[ Re. Gas GC
 '[m3']]]</f>
        <v>268810</v>
      </c>
      <c r="BH20" s="150">
        <f>IFERROR((BG20*Gas!$B$2)/28.31685,0)</f>
        <v>9456.1967627048907</v>
      </c>
      <c r="BI20" s="151">
        <f t="shared" si="15"/>
        <v>-65.803237295109284</v>
      </c>
      <c r="BJ20" s="74">
        <f t="shared" si="12"/>
        <v>-6.9587423936266152E-3</v>
      </c>
      <c r="BK20" s="223">
        <f t="shared" si="6"/>
        <v>8751.8382352941171</v>
      </c>
      <c r="BL20" s="442">
        <v>8864.9599999999991</v>
      </c>
      <c r="BM20" s="150">
        <f t="shared" si="7"/>
        <v>8448.1492342236306</v>
      </c>
      <c r="BN20" s="150">
        <f t="shared" si="8"/>
        <v>8498.9880363278262</v>
      </c>
      <c r="BO20" s="373">
        <f>IFERROR(Tabla1[[#This Row],[ Re. Gas GC
 '[m3']]]/Tabla1[[#This Row],[G. HGS 
Con Gas '[kWh']]],0)</f>
        <v>0.24706801470588236</v>
      </c>
      <c r="BP20" s="374">
        <f>Tank!Y21</f>
        <v>0</v>
      </c>
      <c r="BQ20" s="70">
        <f>Tank!AP21</f>
        <v>48</v>
      </c>
      <c r="BR20" s="70">
        <f>Tank!V21</f>
        <v>0</v>
      </c>
      <c r="BS20" s="372">
        <f>Tank!T21</f>
        <v>0</v>
      </c>
      <c r="BT20" s="375" t="s">
        <v>228</v>
      </c>
      <c r="BU20" s="449">
        <v>71</v>
      </c>
      <c r="BV20" s="375">
        <f>IF(Tabla1[[#This Row],[Combustible ofertado]]="GAS",Tabla1[[#This Row],[Disponibilidad]],0)</f>
        <v>0</v>
      </c>
      <c r="BW20" s="375">
        <f>IF(Tabla1[[#This Row],[Combustible ofertado]]="DIESEL",Tabla1[[#This Row],[Disponibilidad]],0)</f>
        <v>71</v>
      </c>
      <c r="BX20" s="375">
        <f>IF(Tabla1[[#This Row],[Combustible ofertado]]="HFO",Tabla1[[#This Row],[Disponibilidad]],0)</f>
        <v>0</v>
      </c>
      <c r="BY20" s="454">
        <v>1505</v>
      </c>
      <c r="BZ20" s="446">
        <f>'Horo. M'!C21</f>
        <v>12</v>
      </c>
      <c r="CA20" s="446">
        <f>'Horo. M'!E21</f>
        <v>22</v>
      </c>
      <c r="CB20" s="446">
        <f>'Horo. M'!G21</f>
        <v>22</v>
      </c>
      <c r="CC20" s="446">
        <f>'Horo. M'!I21</f>
        <v>20</v>
      </c>
      <c r="CD20" s="446">
        <f>'Horo. M'!K21</f>
        <v>0</v>
      </c>
      <c r="CE20" s="446">
        <f>'Horo. M'!M21</f>
        <v>20</v>
      </c>
      <c r="CF20" s="446">
        <f>'Horo. M'!O21</f>
        <v>21</v>
      </c>
      <c r="CG20" s="446">
        <f>'Horo. M'!Q21</f>
        <v>20</v>
      </c>
      <c r="CH20" s="446">
        <f>'Horo. M'!S21</f>
        <v>4</v>
      </c>
      <c r="CI20" s="446">
        <f>'Horo. M'!U21</f>
        <v>16</v>
      </c>
      <c r="CJ20" s="70">
        <f>Tabla1[[#This Row],[Con. DO Storage '[gal']]]-Tabla1[[#This Row],[C. DO Storage Ge '[gal']]]</f>
        <v>396.25807853722262</v>
      </c>
      <c r="CK20" s="70"/>
      <c r="CL20" s="70"/>
      <c r="CM20" s="372">
        <f>Tabla1[[#This Row],[Con. DO Total '[gal']]]*131485.5/(1000000)</f>
        <v>762.42873686790438</v>
      </c>
    </row>
    <row r="21" spans="1:91" s="5" customFormat="1" ht="15" customHeight="1">
      <c r="A21" s="362">
        <v>44946</v>
      </c>
      <c r="B21" s="363" t="str">
        <f>TEXT(Tabla1[[#This Row],[Fecha]],"mmmm")</f>
        <v>enero</v>
      </c>
      <c r="C21" s="429">
        <v>0</v>
      </c>
      <c r="D21" s="430">
        <v>1084</v>
      </c>
      <c r="E21" s="430">
        <v>1084</v>
      </c>
      <c r="F21" s="430">
        <v>1121</v>
      </c>
      <c r="G21" s="431">
        <v>0</v>
      </c>
      <c r="H21" s="431">
        <v>0</v>
      </c>
      <c r="I21" s="432">
        <v>0</v>
      </c>
      <c r="J21" s="432">
        <v>0</v>
      </c>
      <c r="K21" s="430">
        <v>22</v>
      </c>
      <c r="L21" s="430">
        <v>24</v>
      </c>
      <c r="M21" s="365">
        <f>Tabla1[[#This Row],[Columna1]]-Tabla1[[#This Row],[PO '[h']]]</f>
        <v>2</v>
      </c>
      <c r="N21" s="365">
        <f t="shared" si="13"/>
        <v>1121</v>
      </c>
      <c r="O21" s="430">
        <v>1121</v>
      </c>
      <c r="P21" s="367">
        <f>Tabla1[[#This Row],[G. HGS 
'[MWh']]]</f>
        <v>1121</v>
      </c>
      <c r="Q21" s="430">
        <v>0</v>
      </c>
      <c r="R21" s="367">
        <v>0</v>
      </c>
      <c r="S21" s="367">
        <f>Tabla1[[#This Row],[G. HGS 
Con Gas]]*1000</f>
        <v>1121000</v>
      </c>
      <c r="T21" s="365">
        <f>Tabla1[[#This Row],[G. HGS 
'[MWh']]]*1000</f>
        <v>1121000</v>
      </c>
      <c r="U21" s="368">
        <f>SUM('G. Un GE'!B21:Y21)</f>
        <v>1078.2340000000002</v>
      </c>
      <c r="V21" s="369">
        <f>Tabla1[[#This Row],[R. GE
'[MWh']]]</f>
        <v>1078.2340000000002</v>
      </c>
      <c r="W21" s="434">
        <v>0</v>
      </c>
      <c r="X21" s="369">
        <v>0</v>
      </c>
      <c r="Y21" s="365">
        <f>Tabla1[[#This Row],[R. GE
'[MWh']]]*1000</f>
        <v>1078234.0000000002</v>
      </c>
      <c r="Z21" s="434">
        <v>33.85</v>
      </c>
      <c r="AA2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33.025400000000005</v>
      </c>
      <c r="AB21" s="368">
        <f>IF(Tabla1[[#This Row],[G. HGS 
'[MWh']]]=0,0,Tabla1[[#This Row],[G. HGS 
'[MWh']]]+Tabla1[[#This Row],[Con. Aux. '[MWh']2]])</f>
        <v>1154.0254</v>
      </c>
      <c r="AC21" s="368">
        <f>'C. ENER. TN'!F21</f>
        <v>0.8246</v>
      </c>
      <c r="AD21" s="370">
        <f>'C. ENER. TN'!G21</f>
        <v>1111.0107999999998</v>
      </c>
      <c r="AE21" s="370">
        <f>'G. Un GE'!AX21</f>
        <v>153.44003809523812</v>
      </c>
      <c r="AF21" s="368">
        <f>IFERROR('G. Un GE'!AX21/Tabla1[[#This Row],[PO '[h']]],0)</f>
        <v>6.9745471861471877</v>
      </c>
      <c r="AG21" s="365">
        <f>'Ar-Pa'!AX21</f>
        <v>9</v>
      </c>
      <c r="AH21" s="365">
        <f>'Ar-Pa'!AY21</f>
        <v>9</v>
      </c>
      <c r="AI21" s="365">
        <f>SUM('Cal. Arr'!AB24:AY24)</f>
        <v>0</v>
      </c>
      <c r="AJ21" s="442">
        <v>1.6</v>
      </c>
      <c r="AK21" s="442">
        <v>1.2</v>
      </c>
      <c r="AL21" s="267">
        <f t="shared" si="10"/>
        <v>317.00646282977812</v>
      </c>
      <c r="AM21" s="267">
        <f>+CONVERT(AK21+Tabla1[[#This Row],[Con. DO Storage Gen. '[m3']]],"m^3","gal")</f>
        <v>739.68174660281556</v>
      </c>
      <c r="AN21" s="372">
        <f>SUM('DO Pilot'!B21:Y21)</f>
        <v>6.0699999999999994</v>
      </c>
      <c r="AO21" s="372">
        <f t="shared" si="0"/>
        <v>1603.5243578139607</v>
      </c>
      <c r="AP21" s="267">
        <f>AK21+AN21+Tabla1[[#This Row],[Con. DO Storage Gen. '[m3']]]</f>
        <v>8.8699999999999992</v>
      </c>
      <c r="AQ21" s="372">
        <f t="shared" si="11"/>
        <v>2343.2061044167767</v>
      </c>
      <c r="AR21" s="442">
        <v>0</v>
      </c>
      <c r="AS21" s="442">
        <v>0</v>
      </c>
      <c r="AT21" s="267">
        <f>+CONVERT(SUM(Tabla1[[#This Row],[Repo. DO Storage '[gal']]:[Repo. DO Pilot '[gal']]]),"gal","m3")</f>
        <v>0</v>
      </c>
      <c r="AU21" s="442">
        <v>0</v>
      </c>
      <c r="AV21" s="267">
        <f t="shared" si="14"/>
        <v>0</v>
      </c>
      <c r="AW21" s="442">
        <v>0</v>
      </c>
      <c r="AX21" s="267">
        <f t="shared" si="2"/>
        <v>0</v>
      </c>
      <c r="AY21" s="372">
        <f t="shared" si="3"/>
        <v>0.28278899449578782</v>
      </c>
      <c r="AZ21" s="372">
        <f>IFERROR(AL21/'Ar-Pa'!AX21,0)</f>
        <v>35.222940314419787</v>
      </c>
      <c r="BA21" s="372">
        <f>IFERROR(AL21/'Ar-Pa'!AY21,0)</f>
        <v>35.222940314419787</v>
      </c>
      <c r="BB21" s="372">
        <f t="shared" si="4"/>
        <v>1.4304409971578598</v>
      </c>
      <c r="BC21" s="372">
        <f>IFERROR(AVERAGEIF('DO Pilot'!AX21:BU21,"&gt;0"),0)</f>
        <v>9.8955131620906815</v>
      </c>
      <c r="BD21" s="445">
        <v>301765</v>
      </c>
      <c r="BE21" s="445">
        <v>10682</v>
      </c>
      <c r="BF21" s="445">
        <v>300789</v>
      </c>
      <c r="BG21" s="223">
        <f>Tabla1[[#This Row],[ Re. Gas GC
 '[m3']]]</f>
        <v>300789</v>
      </c>
      <c r="BH21" s="150">
        <f>IFERROR((BG21*Gas!$B$2)/28.31685,0)</f>
        <v>10581.153856096282</v>
      </c>
      <c r="BI21" s="151">
        <f t="shared" si="15"/>
        <v>-100.84614390371826</v>
      </c>
      <c r="BJ21" s="74">
        <f t="shared" si="12"/>
        <v>-9.5307322126892829E-3</v>
      </c>
      <c r="BK21" s="223">
        <f t="shared" si="6"/>
        <v>9528.9919714540574</v>
      </c>
      <c r="BL21" s="442">
        <v>8791.3799999999992</v>
      </c>
      <c r="BM21" s="150">
        <f t="shared" si="7"/>
        <v>9168.9089825027095</v>
      </c>
      <c r="BN21" s="150">
        <f t="shared" si="8"/>
        <v>9813.4114265514545</v>
      </c>
      <c r="BO21" s="373">
        <f>IFERROR(Tabla1[[#This Row],[ Re. Gas GC
 '[m3']]]/Tabla1[[#This Row],[G. HGS 
Con Gas '[kWh']]],0)</f>
        <v>0.26832203389830511</v>
      </c>
      <c r="BP21" s="374">
        <f>Tank!Y22</f>
        <v>0</v>
      </c>
      <c r="BQ21" s="70">
        <f>Tank!AP22</f>
        <v>47.1</v>
      </c>
      <c r="BR21" s="70">
        <f>Tank!V22</f>
        <v>0</v>
      </c>
      <c r="BS21" s="372">
        <f>Tank!T22</f>
        <v>0</v>
      </c>
      <c r="BT21" s="375" t="s">
        <v>228</v>
      </c>
      <c r="BU21" s="449">
        <v>71</v>
      </c>
      <c r="BV21" s="375">
        <f>IF(Tabla1[[#This Row],[Combustible ofertado]]="GAS",Tabla1[[#This Row],[Disponibilidad]],0)</f>
        <v>0</v>
      </c>
      <c r="BW21" s="375">
        <f>IF(Tabla1[[#This Row],[Combustible ofertado]]="DIESEL",Tabla1[[#This Row],[Disponibilidad]],0)</f>
        <v>71</v>
      </c>
      <c r="BX21" s="375">
        <f>IF(Tabla1[[#This Row],[Combustible ofertado]]="HFO",Tabla1[[#This Row],[Disponibilidad]],0)</f>
        <v>0</v>
      </c>
      <c r="BY21" s="454">
        <v>1505</v>
      </c>
      <c r="BZ21" s="446">
        <f>'Horo. M'!C22</f>
        <v>19</v>
      </c>
      <c r="CA21" s="446">
        <f>'Horo. M'!E22</f>
        <v>20</v>
      </c>
      <c r="CB21" s="446">
        <f>'Horo. M'!G22</f>
        <v>0</v>
      </c>
      <c r="CC21" s="446">
        <f>'Horo. M'!I22</f>
        <v>19</v>
      </c>
      <c r="CD21" s="446">
        <f>'Horo. M'!K22</f>
        <v>0</v>
      </c>
      <c r="CE21" s="446">
        <f>'Horo. M'!M22</f>
        <v>18</v>
      </c>
      <c r="CF21" s="446">
        <f>'Horo. M'!O22</f>
        <v>20</v>
      </c>
      <c r="CG21" s="446">
        <f>'Horo. M'!Q22</f>
        <v>20</v>
      </c>
      <c r="CH21" s="446">
        <f>'Horo. M'!S22</f>
        <v>23</v>
      </c>
      <c r="CI21" s="446">
        <f>'Horo. M'!U22</f>
        <v>23</v>
      </c>
      <c r="CJ21" s="70">
        <f>Tabla1[[#This Row],[Con. DO Storage '[gal']]]-Tabla1[[#This Row],[C. DO Storage Ge '[gal']]]</f>
        <v>317.00646282977812</v>
      </c>
      <c r="CK21" s="70"/>
      <c r="CL21" s="70"/>
      <c r="CM21" s="372">
        <f>Tabla1[[#This Row],[Con. DO Total '[gal']]]*131485.5/(1000000)</f>
        <v>308.09762624229211</v>
      </c>
    </row>
    <row r="22" spans="1:91" s="5" customFormat="1" ht="15" customHeight="1">
      <c r="A22" s="362">
        <v>44947</v>
      </c>
      <c r="B22" s="363" t="str">
        <f>TEXT(Tabla1[[#This Row],[Fecha]],"mmmm")</f>
        <v>enero</v>
      </c>
      <c r="C22" s="429">
        <v>0</v>
      </c>
      <c r="D22" s="430">
        <v>1272</v>
      </c>
      <c r="E22" s="430">
        <v>1272</v>
      </c>
      <c r="F22" s="430">
        <v>1308</v>
      </c>
      <c r="G22" s="431">
        <v>0</v>
      </c>
      <c r="H22" s="431">
        <v>0</v>
      </c>
      <c r="I22" s="432">
        <v>0</v>
      </c>
      <c r="J22" s="432">
        <v>0</v>
      </c>
      <c r="K22" s="430">
        <v>22</v>
      </c>
      <c r="L22" s="430">
        <v>24</v>
      </c>
      <c r="M22" s="365">
        <f>Tabla1[[#This Row],[Columna1]]-Tabla1[[#This Row],[PO '[h']]]</f>
        <v>2</v>
      </c>
      <c r="N22" s="365">
        <f t="shared" si="13"/>
        <v>1308</v>
      </c>
      <c r="O22" s="430">
        <v>1308</v>
      </c>
      <c r="P22" s="367">
        <f>Tabla1[[#This Row],[G. HGS 
'[MWh']]]</f>
        <v>1308</v>
      </c>
      <c r="Q22" s="430">
        <v>0</v>
      </c>
      <c r="R22" s="367">
        <v>0</v>
      </c>
      <c r="S22" s="367">
        <f>Tabla1[[#This Row],[G. HGS 
Con Gas]]*1000</f>
        <v>1308000</v>
      </c>
      <c r="T22" s="365">
        <f>Tabla1[[#This Row],[G. HGS 
'[MWh']]]*1000</f>
        <v>1308000</v>
      </c>
      <c r="U22" s="368">
        <f>SUM('G. Un GE'!B22:Y22)</f>
        <v>1111.0108</v>
      </c>
      <c r="V22" s="369">
        <f>Tabla1[[#This Row],[R. GE
'[MWh']]]</f>
        <v>1111.0108</v>
      </c>
      <c r="W22" s="434">
        <v>0</v>
      </c>
      <c r="X22" s="369">
        <v>0</v>
      </c>
      <c r="Y22" s="365">
        <f>Tabla1[[#This Row],[R. GE
'[MWh']]]*1000</f>
        <v>1111010.8</v>
      </c>
      <c r="Z22" s="434">
        <v>37.35</v>
      </c>
      <c r="AA2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37.35</v>
      </c>
      <c r="AB22" s="368">
        <f>IF(Tabla1[[#This Row],[G. HGS 
'[MWh']]]=0,0,Tabla1[[#This Row],[G. HGS 
'[MWh']]]+Tabla1[[#This Row],[Con. Aux. '[MWh']2]])</f>
        <v>1345.35</v>
      </c>
      <c r="AC22" s="368">
        <f>'C. ENER. TN'!F22</f>
        <v>0</v>
      </c>
      <c r="AD22" s="370">
        <f>'C. ENER. TN'!G22</f>
        <v>1296.9072999999999</v>
      </c>
      <c r="AE22" s="370">
        <f>'G. Un GE'!AX22</f>
        <v>140.05455535714285</v>
      </c>
      <c r="AF22" s="368">
        <f>IFERROR('G. Un GE'!AX22/Tabla1[[#This Row],[PO '[h']]],0)</f>
        <v>6.3661161525974022</v>
      </c>
      <c r="AG22" s="365">
        <f>'Ar-Pa'!AX22</f>
        <v>1</v>
      </c>
      <c r="AH22" s="365">
        <f>'Ar-Pa'!AY22</f>
        <v>1</v>
      </c>
      <c r="AI22" s="365">
        <f>SUM('Cal. Arr'!AB25:AY25)</f>
        <v>0</v>
      </c>
      <c r="AJ22" s="442">
        <v>0</v>
      </c>
      <c r="AK22" s="442">
        <v>1.3</v>
      </c>
      <c r="AL22" s="267">
        <f t="shared" si="10"/>
        <v>343.42366806559295</v>
      </c>
      <c r="AM22" s="267">
        <f>+CONVERT(AK22+Tabla1[[#This Row],[Con. DO Storage Gen. '[m3']]],"m^3","gal")</f>
        <v>343.42366806559295</v>
      </c>
      <c r="AN22" s="372">
        <f>SUM('DO Pilot'!B22:Y22)</f>
        <v>7.0499999999999989</v>
      </c>
      <c r="AO22" s="372">
        <f t="shared" si="0"/>
        <v>1862.4129691249461</v>
      </c>
      <c r="AP22" s="267">
        <f>AK22+AN22+Tabla1[[#This Row],[Con. DO Storage Gen. '[m3']]]</f>
        <v>8.35</v>
      </c>
      <c r="AQ22" s="372">
        <f t="shared" si="11"/>
        <v>2205.8366371905395</v>
      </c>
      <c r="AR22" s="442">
        <v>0</v>
      </c>
      <c r="AS22" s="442">
        <v>0</v>
      </c>
      <c r="AT22" s="267">
        <f>+CONVERT(SUM(Tabla1[[#This Row],[Repo. DO Storage '[gal']]:[Repo. DO Pilot '[gal']]]),"gal","m3")</f>
        <v>0</v>
      </c>
      <c r="AU22" s="442">
        <v>0</v>
      </c>
      <c r="AV22" s="267">
        <f t="shared" si="14"/>
        <v>0</v>
      </c>
      <c r="AW22" s="442">
        <v>0</v>
      </c>
      <c r="AX22" s="267">
        <f t="shared" si="2"/>
        <v>0</v>
      </c>
      <c r="AY22" s="372">
        <f t="shared" si="3"/>
        <v>0.26255632115106492</v>
      </c>
      <c r="AZ22" s="372">
        <f>IFERROR(AL22/'Ar-Pa'!AX22,0)</f>
        <v>343.42366806559295</v>
      </c>
      <c r="BA22" s="372">
        <f>IFERROR(AL22/'Ar-Pa'!AY22,0)</f>
        <v>343.42366806559295</v>
      </c>
      <c r="BB22" s="372">
        <f t="shared" si="4"/>
        <v>1.4238631262423136</v>
      </c>
      <c r="BC22" s="372">
        <f>IFERROR(AVERAGEIF('DO Pilot'!AX22:BU22,"&gt;0"),0)</f>
        <v>9.8730373437126442</v>
      </c>
      <c r="BD22" s="445">
        <v>354517</v>
      </c>
      <c r="BE22" s="445">
        <v>12549</v>
      </c>
      <c r="BF22" s="445">
        <v>353179</v>
      </c>
      <c r="BG22" s="223">
        <f>Tabla1[[#This Row],[ Re. Gas GC
 '[m3']]]</f>
        <v>353179</v>
      </c>
      <c r="BH22" s="150">
        <f>IFERROR((BG22*Gas!$B$2)/28.31685,0)</f>
        <v>12424.128999871102</v>
      </c>
      <c r="BI22" s="151">
        <f t="shared" si="15"/>
        <v>-124.87100012889823</v>
      </c>
      <c r="BJ22" s="74">
        <f t="shared" si="12"/>
        <v>-1.0050684448800697E-2</v>
      </c>
      <c r="BK22" s="223">
        <f t="shared" si="6"/>
        <v>9594.0366972477059</v>
      </c>
      <c r="BL22" s="442">
        <v>8707.4500000000007</v>
      </c>
      <c r="BM22" s="150">
        <f t="shared" si="7"/>
        <v>9234.8675065009866</v>
      </c>
      <c r="BN22" s="150">
        <f t="shared" si="8"/>
        <v>11182.725676358054</v>
      </c>
      <c r="BO22" s="373">
        <f>IFERROR(Tabla1[[#This Row],[ Re. Gas GC
 '[m3']]]/Tabla1[[#This Row],[G. HGS 
Con Gas '[kWh']]],0)</f>
        <v>0.27001452599388381</v>
      </c>
      <c r="BP22" s="374">
        <f>Tank!Y23</f>
        <v>0</v>
      </c>
      <c r="BQ22" s="70">
        <f>Tank!AP23</f>
        <v>0</v>
      </c>
      <c r="BR22" s="70">
        <f>Tank!V23</f>
        <v>0</v>
      </c>
      <c r="BS22" s="372">
        <f>Tank!T23</f>
        <v>0</v>
      </c>
      <c r="BT22" s="375" t="s">
        <v>228</v>
      </c>
      <c r="BU22" s="449">
        <v>71</v>
      </c>
      <c r="BV22" s="375">
        <f>IF(Tabla1[[#This Row],[Combustible ofertado]]="GAS",Tabla1[[#This Row],[Disponibilidad]],0)</f>
        <v>0</v>
      </c>
      <c r="BW22" s="375">
        <f>IF(Tabla1[[#This Row],[Combustible ofertado]]="DIESEL",Tabla1[[#This Row],[Disponibilidad]],0)</f>
        <v>71</v>
      </c>
      <c r="BX22" s="375">
        <f>IF(Tabla1[[#This Row],[Combustible ofertado]]="HFO",Tabla1[[#This Row],[Disponibilidad]],0)</f>
        <v>0</v>
      </c>
      <c r="BY22" s="454">
        <v>1505</v>
      </c>
      <c r="BZ22" s="446">
        <f>'Horo. M'!C23</f>
        <v>24</v>
      </c>
      <c r="CA22" s="446">
        <f>'Horo. M'!E23</f>
        <v>21</v>
      </c>
      <c r="CB22" s="446">
        <f>'Horo. M'!G23</f>
        <v>24</v>
      </c>
      <c r="CC22" s="446">
        <f>'Horo. M'!I23</f>
        <v>0</v>
      </c>
      <c r="CD22" s="446">
        <f>'Horo. M'!K23</f>
        <v>0</v>
      </c>
      <c r="CE22" s="446">
        <f>'Horo. M'!M23</f>
        <v>24</v>
      </c>
      <c r="CF22" s="446">
        <f>'Horo. M'!O23</f>
        <v>24</v>
      </c>
      <c r="CG22" s="446">
        <f>'Horo. M'!Q23</f>
        <v>24</v>
      </c>
      <c r="CH22" s="446">
        <f>'Horo. M'!S23</f>
        <v>23</v>
      </c>
      <c r="CI22" s="446">
        <f>'Horo. M'!U23</f>
        <v>24</v>
      </c>
      <c r="CJ22" s="70">
        <f>Tabla1[[#This Row],[Con. DO Storage '[gal']]]-Tabla1[[#This Row],[C. DO Storage Ge '[gal']]]</f>
        <v>343.42366806559295</v>
      </c>
      <c r="CK22" s="70"/>
      <c r="CL22" s="70"/>
      <c r="CM22" s="372">
        <f>Tabla1[[#This Row],[Con. DO Total '[gal']]]*131485.5/(1000000)</f>
        <v>290.03553315931669</v>
      </c>
    </row>
    <row r="23" spans="1:91" s="5" customFormat="1" ht="15" customHeight="1">
      <c r="A23" s="362">
        <v>44948</v>
      </c>
      <c r="B23" s="363" t="str">
        <f>TEXT(Tabla1[[#This Row],[Fecha]],"mmmm")</f>
        <v>enero</v>
      </c>
      <c r="C23" s="429">
        <v>0</v>
      </c>
      <c r="D23" s="430">
        <v>1272</v>
      </c>
      <c r="E23" s="430">
        <v>1272</v>
      </c>
      <c r="F23" s="430">
        <v>1302</v>
      </c>
      <c r="G23" s="431">
        <v>0</v>
      </c>
      <c r="H23" s="431">
        <v>0</v>
      </c>
      <c r="I23" s="432">
        <v>0</v>
      </c>
      <c r="J23" s="432">
        <v>0</v>
      </c>
      <c r="K23" s="430">
        <v>24</v>
      </c>
      <c r="L23" s="430">
        <v>24</v>
      </c>
      <c r="M23" s="365">
        <f>Tabla1[[#This Row],[Columna1]]-Tabla1[[#This Row],[PO '[h']]]</f>
        <v>0</v>
      </c>
      <c r="N23" s="365">
        <f t="shared" si="13"/>
        <v>1302</v>
      </c>
      <c r="O23" s="430">
        <v>1302</v>
      </c>
      <c r="P23" s="367">
        <f>Tabla1[[#This Row],[G. HGS 
'[MWh']]]</f>
        <v>1302</v>
      </c>
      <c r="Q23" s="430">
        <v>0</v>
      </c>
      <c r="R23" s="367">
        <v>0</v>
      </c>
      <c r="S23" s="367">
        <f>Tabla1[[#This Row],[G. HGS 
Con Gas]]*1000</f>
        <v>1302000</v>
      </c>
      <c r="T23" s="365">
        <f>Tabla1[[#This Row],[G. HGS 
'[MWh']]]*1000</f>
        <v>1302000</v>
      </c>
      <c r="U23" s="368">
        <f>SUM('G. Un GE'!B23:Y23)</f>
        <v>1296.9073000000001</v>
      </c>
      <c r="V23" s="369">
        <f>Tabla1[[#This Row],[R. GE
'[MWh']]]</f>
        <v>1296.9073000000001</v>
      </c>
      <c r="W23" s="434">
        <v>0</v>
      </c>
      <c r="X23" s="369">
        <v>0</v>
      </c>
      <c r="Y23" s="365">
        <f>Tabla1[[#This Row],[R. GE
'[MWh']]]*1000</f>
        <v>1296907.3</v>
      </c>
      <c r="Z23" s="434">
        <v>37.5</v>
      </c>
      <c r="AA2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</v>
      </c>
      <c r="AB23" s="368">
        <f>IF(Tabla1[[#This Row],[G. HGS 
'[MWh']]]=0,0,Tabla1[[#This Row],[G. HGS 
'[MWh']]]+Tabla1[[#This Row],[Con. Aux. '[MWh']2]])</f>
        <v>1339.5</v>
      </c>
      <c r="AC23" s="368">
        <f>'C. ENER. TN'!F23</f>
        <v>0</v>
      </c>
      <c r="AD23" s="370">
        <f>'C. ENER. TN'!G23</f>
        <v>1291.0401000000004</v>
      </c>
      <c r="AE23" s="370">
        <f>'G. Un GE'!AX23</f>
        <v>166.96170178571427</v>
      </c>
      <c r="AF23" s="368">
        <f>IFERROR('G. Un GE'!AX23/Tabla1[[#This Row],[PO '[h']]],0)</f>
        <v>6.9567375744047615</v>
      </c>
      <c r="AG23" s="365">
        <f>'Ar-Pa'!AX23</f>
        <v>1</v>
      </c>
      <c r="AH23" s="365">
        <f>'Ar-Pa'!AY23</f>
        <v>1</v>
      </c>
      <c r="AI23" s="365">
        <f>SUM('Cal. Arr'!AB26:AY26)</f>
        <v>0</v>
      </c>
      <c r="AJ23" s="442">
        <v>0</v>
      </c>
      <c r="AK23" s="442">
        <v>0.8</v>
      </c>
      <c r="AL23" s="267">
        <f t="shared" si="10"/>
        <v>211.33764188651872</v>
      </c>
      <c r="AM23" s="267">
        <f>+CONVERT(AK23+Tabla1[[#This Row],[Con. DO Storage Gen. '[m3']]],"m^3","gal")</f>
        <v>211.33764188651872</v>
      </c>
      <c r="AN23" s="372">
        <f>SUM('DO Pilot'!B23:Y23)</f>
        <v>6.7600000000000033</v>
      </c>
      <c r="AO23" s="372">
        <f t="shared" si="0"/>
        <v>1785.8030739410842</v>
      </c>
      <c r="AP23" s="267">
        <f>AK23+AN23+Tabla1[[#This Row],[Con. DO Storage Gen. '[m3']]]</f>
        <v>7.5600000000000032</v>
      </c>
      <c r="AQ23" s="372">
        <f t="shared" si="11"/>
        <v>1997.1407158276029</v>
      </c>
      <c r="AR23" s="442">
        <v>0</v>
      </c>
      <c r="AS23" s="442">
        <v>0</v>
      </c>
      <c r="AT23" s="267">
        <f>+CONVERT(SUM(Tabla1[[#This Row],[Repo. DO Storage '[gal']]:[Repo. DO Pilot '[gal']]]),"gal","m3")</f>
        <v>0</v>
      </c>
      <c r="AU23" s="442">
        <v>0</v>
      </c>
      <c r="AV23" s="267">
        <f t="shared" si="14"/>
        <v>0</v>
      </c>
      <c r="AW23" s="442">
        <v>0</v>
      </c>
      <c r="AX23" s="267">
        <f t="shared" si="2"/>
        <v>0</v>
      </c>
      <c r="AY23" s="372">
        <f t="shared" si="3"/>
        <v>0.16231769730147366</v>
      </c>
      <c r="AZ23" s="372">
        <f>IFERROR(AL23/'Ar-Pa'!AX23,0)</f>
        <v>211.33764188651872</v>
      </c>
      <c r="BA23" s="372">
        <f>IFERROR(AL23/'Ar-Pa'!AY23,0)</f>
        <v>211.33764188651872</v>
      </c>
      <c r="BB23" s="372">
        <f t="shared" si="4"/>
        <v>1.3715845421974533</v>
      </c>
      <c r="BC23" s="372">
        <f>IFERROR(AVERAGEIF('DO Pilot'!AX23:BU23,"&gt;0"),0)</f>
        <v>9.5782024638486423</v>
      </c>
      <c r="BD23" s="445">
        <v>351901</v>
      </c>
      <c r="BE23" s="445">
        <v>12457</v>
      </c>
      <c r="BF23" s="445">
        <v>351979</v>
      </c>
      <c r="BG23" s="223">
        <f>Tabla1[[#This Row],[ Re. Gas GC
 '[m3']]]</f>
        <v>351979</v>
      </c>
      <c r="BH23" s="150">
        <f>IFERROR((BG23*Gas!$B$2)/28.31685,0)</f>
        <v>12381.915406198075</v>
      </c>
      <c r="BI23" s="151">
        <f t="shared" si="15"/>
        <v>-75.084593801924711</v>
      </c>
      <c r="BJ23" s="74">
        <f t="shared" si="12"/>
        <v>-6.0640532049136154E-3</v>
      </c>
      <c r="BK23" s="223">
        <f t="shared" si="6"/>
        <v>9567.5883256528414</v>
      </c>
      <c r="BL23" s="442">
        <v>8848.1</v>
      </c>
      <c r="BM23" s="150">
        <f t="shared" si="7"/>
        <v>9243.6845137723594</v>
      </c>
      <c r="BN23" s="150">
        <f t="shared" si="8"/>
        <v>9547.263251735938</v>
      </c>
      <c r="BO23" s="373">
        <f>IFERROR(Tabla1[[#This Row],[ Re. Gas GC
 '[m3']]]/Tabla1[[#This Row],[G. HGS 
Con Gas '[kWh']]],0)</f>
        <v>0.27033717357910908</v>
      </c>
      <c r="BP23" s="374">
        <f>Tank!Y24</f>
        <v>0</v>
      </c>
      <c r="BQ23" s="70">
        <f>Tank!AP24</f>
        <v>0</v>
      </c>
      <c r="BR23" s="70">
        <f>Tank!V24</f>
        <v>0</v>
      </c>
      <c r="BS23" s="372">
        <f>Tank!T24</f>
        <v>0</v>
      </c>
      <c r="BT23" s="375" t="s">
        <v>228</v>
      </c>
      <c r="BU23" s="449">
        <v>71</v>
      </c>
      <c r="BV23" s="375">
        <f>IF(Tabla1[[#This Row],[Combustible ofertado]]="GAS",Tabla1[[#This Row],[Disponibilidad]],0)</f>
        <v>0</v>
      </c>
      <c r="BW23" s="375">
        <f>IF(Tabla1[[#This Row],[Combustible ofertado]]="DIESEL",Tabla1[[#This Row],[Disponibilidad]],0)</f>
        <v>71</v>
      </c>
      <c r="BX23" s="375">
        <f>IF(Tabla1[[#This Row],[Combustible ofertado]]="HFO",Tabla1[[#This Row],[Disponibilidad]],0)</f>
        <v>0</v>
      </c>
      <c r="BY23" s="454">
        <v>1505</v>
      </c>
      <c r="BZ23" s="446">
        <f>'Horo. M'!C24</f>
        <v>24</v>
      </c>
      <c r="CA23" s="446">
        <f>'Horo. M'!E24</f>
        <v>24</v>
      </c>
      <c r="CB23" s="446">
        <f>'Horo. M'!G24</f>
        <v>18</v>
      </c>
      <c r="CC23" s="446">
        <f>'Horo. M'!I24</f>
        <v>1</v>
      </c>
      <c r="CD23" s="446">
        <f>'Horo. M'!K24</f>
        <v>0</v>
      </c>
      <c r="CE23" s="446">
        <f>'Horo. M'!M24</f>
        <v>24</v>
      </c>
      <c r="CF23" s="446">
        <f>'Horo. M'!O24</f>
        <v>24</v>
      </c>
      <c r="CG23" s="446">
        <f>'Horo. M'!Q24</f>
        <v>24</v>
      </c>
      <c r="CH23" s="446">
        <f>'Horo. M'!S24</f>
        <v>24</v>
      </c>
      <c r="CI23" s="446">
        <f>'Horo. M'!U24</f>
        <v>23</v>
      </c>
      <c r="CJ23" s="70">
        <f>Tabla1[[#This Row],[Con. DO Storage '[gal']]]-Tabla1[[#This Row],[C. DO Storage Ge '[gal']]]</f>
        <v>211.33764188651872</v>
      </c>
      <c r="CK23" s="70"/>
      <c r="CL23" s="70"/>
      <c r="CM23" s="372">
        <f>Tabla1[[#This Row],[Con. DO Total '[gal']]]*131485.5/(1000000)</f>
        <v>262.59504559095029</v>
      </c>
    </row>
    <row r="24" spans="1:91" s="5" customFormat="1" ht="15" customHeight="1">
      <c r="A24" s="362">
        <v>44949</v>
      </c>
      <c r="B24" s="363" t="str">
        <f>TEXT(Tabla1[[#This Row],[Fecha]],"mmmm")</f>
        <v>enero</v>
      </c>
      <c r="C24" s="429">
        <v>0</v>
      </c>
      <c r="D24" s="430">
        <v>1272</v>
      </c>
      <c r="E24" s="430">
        <v>1272</v>
      </c>
      <c r="F24" s="430">
        <v>1312</v>
      </c>
      <c r="G24" s="431">
        <v>0</v>
      </c>
      <c r="H24" s="431">
        <v>0</v>
      </c>
      <c r="I24" s="432">
        <v>0</v>
      </c>
      <c r="J24" s="432">
        <v>0</v>
      </c>
      <c r="K24" s="430">
        <v>24</v>
      </c>
      <c r="L24" s="430">
        <v>24</v>
      </c>
      <c r="M24" s="365">
        <f>Tabla1[[#This Row],[Columna1]]-Tabla1[[#This Row],[PO '[h']]]</f>
        <v>0</v>
      </c>
      <c r="N24" s="365">
        <f t="shared" si="13"/>
        <v>1312</v>
      </c>
      <c r="O24" s="430">
        <v>1312</v>
      </c>
      <c r="P24" s="367">
        <f>Tabla1[[#This Row],[G. HGS 
'[MWh']]]</f>
        <v>1312</v>
      </c>
      <c r="Q24" s="430">
        <v>0</v>
      </c>
      <c r="R24" s="367">
        <v>0</v>
      </c>
      <c r="S24" s="367">
        <f>Tabla1[[#This Row],[G. HGS 
Con Gas]]*1000</f>
        <v>1312000</v>
      </c>
      <c r="T24" s="365">
        <f>Tabla1[[#This Row],[G. HGS 
'[MWh']]]*1000</f>
        <v>1312000</v>
      </c>
      <c r="U24" s="368">
        <f>SUM('G. Un GE'!B24:Y24)</f>
        <v>1291.0401000000002</v>
      </c>
      <c r="V24" s="369">
        <f>Tabla1[[#This Row],[R. GE
'[MWh']]]</f>
        <v>1291.0401000000002</v>
      </c>
      <c r="W24" s="434">
        <v>0</v>
      </c>
      <c r="X24" s="369">
        <v>0</v>
      </c>
      <c r="Y24" s="365">
        <f>Tabla1[[#This Row],[R. GE
'[MWh']]]*1000</f>
        <v>1291040.1000000001</v>
      </c>
      <c r="Z24" s="434">
        <v>37.049999999999997</v>
      </c>
      <c r="AA2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37.049999999999997</v>
      </c>
      <c r="AB24" s="368">
        <f>IF(Tabla1[[#This Row],[G. HGS 
'[MWh']]]=0,0,Tabla1[[#This Row],[G. HGS 
'[MWh']]]+Tabla1[[#This Row],[Con. Aux. '[MWh']2]])</f>
        <v>1349.05</v>
      </c>
      <c r="AC24" s="368">
        <f>'C. ENER. TN'!F24</f>
        <v>0</v>
      </c>
      <c r="AD24" s="370">
        <f>'C. ENER. TN'!G24</f>
        <v>1300.6961000000001</v>
      </c>
      <c r="AE24" s="370">
        <f>'G. Un GE'!AX24</f>
        <v>169.02599464285714</v>
      </c>
      <c r="AF24" s="368">
        <f>IFERROR('G. Un GE'!AX24/Tabla1[[#This Row],[PO '[h']]],0)</f>
        <v>7.0427497767857146</v>
      </c>
      <c r="AG24" s="365">
        <f>'Ar-Pa'!AX24</f>
        <v>1</v>
      </c>
      <c r="AH24" s="365">
        <f>'Ar-Pa'!AY24</f>
        <v>1</v>
      </c>
      <c r="AI24" s="365">
        <f>SUM('Cal. Arr'!AB27:AY27)</f>
        <v>0</v>
      </c>
      <c r="AJ24" s="442">
        <v>0</v>
      </c>
      <c r="AK24" s="442">
        <v>0.8</v>
      </c>
      <c r="AL24" s="267">
        <f t="shared" si="10"/>
        <v>211.33764188651872</v>
      </c>
      <c r="AM24" s="267">
        <f>+CONVERT(AK24+Tabla1[[#This Row],[Con. DO Storage Gen. '[m3']]],"m^3","gal")</f>
        <v>211.33764188651872</v>
      </c>
      <c r="AN24" s="372">
        <f>SUM('DO Pilot'!B24:Y24)</f>
        <v>6.7100000000000035</v>
      </c>
      <c r="AO24" s="372">
        <f t="shared" si="0"/>
        <v>1772.5944713231768</v>
      </c>
      <c r="AP24" s="267">
        <f>AK24+AN24+Tabla1[[#This Row],[Con. DO Storage Gen. '[m3']]]</f>
        <v>7.5100000000000033</v>
      </c>
      <c r="AQ24" s="372">
        <f t="shared" si="11"/>
        <v>1983.9321132096957</v>
      </c>
      <c r="AR24" s="442">
        <v>0</v>
      </c>
      <c r="AS24" s="442">
        <v>10844</v>
      </c>
      <c r="AT24" s="267">
        <f>+CONVERT(SUM(Tabla1[[#This Row],[Repo. DO Storage '[gal']]:[Repo. DO Pilot '[gal']]]),"gal","m3")</f>
        <v>41.049005385695999</v>
      </c>
      <c r="AU24" s="442">
        <v>0</v>
      </c>
      <c r="AV24" s="267">
        <f t="shared" si="14"/>
        <v>0</v>
      </c>
      <c r="AW24" s="442">
        <v>0</v>
      </c>
      <c r="AX24" s="267">
        <f t="shared" si="2"/>
        <v>0</v>
      </c>
      <c r="AY24" s="372">
        <f t="shared" si="3"/>
        <v>0.1610805197305783</v>
      </c>
      <c r="AZ24" s="372">
        <f>IFERROR(AL24/'Ar-Pa'!AX24,0)</f>
        <v>211.33764188651872</v>
      </c>
      <c r="BA24" s="372">
        <f>IFERROR(AL24/'Ar-Pa'!AY24,0)</f>
        <v>211.33764188651872</v>
      </c>
      <c r="BB24" s="372">
        <f t="shared" si="4"/>
        <v>1.3510628592402263</v>
      </c>
      <c r="BC24" s="372">
        <f>IFERROR(AVERAGEIF('DO Pilot'!AX24:BU24,"&gt;0"),0)</f>
        <v>9.6705840595393635</v>
      </c>
      <c r="BD24" s="445">
        <v>352331</v>
      </c>
      <c r="BE24" s="445">
        <v>12472</v>
      </c>
      <c r="BF24" s="445">
        <v>352167</v>
      </c>
      <c r="BG24" s="223">
        <f>Tabla1[[#This Row],[ Re. Gas GC
 '[m3']]]</f>
        <v>352167</v>
      </c>
      <c r="BH24" s="150">
        <f>IFERROR((BG24*Gas!$B$2)/28.31685,0)</f>
        <v>12388.528869206852</v>
      </c>
      <c r="BI24" s="151">
        <f t="shared" si="15"/>
        <v>-83.471130793148404</v>
      </c>
      <c r="BJ24" s="74">
        <f t="shared" si="12"/>
        <v>-6.7377758630103157E-3</v>
      </c>
      <c r="BK24" s="223">
        <f t="shared" si="6"/>
        <v>9506.0975609756097</v>
      </c>
      <c r="BL24" s="442">
        <v>8759.2900000000009</v>
      </c>
      <c r="BM24" s="150">
        <f t="shared" si="7"/>
        <v>9183.150268119678</v>
      </c>
      <c r="BN24" s="150">
        <f t="shared" si="8"/>
        <v>9595.7738796857284</v>
      </c>
      <c r="BO24" s="373">
        <f>IFERROR(Tabla1[[#This Row],[ Re. Gas GC
 '[m3']]]/Tabla1[[#This Row],[G. HGS 
Con Gas '[kWh']]],0)</f>
        <v>0.2684199695121951</v>
      </c>
      <c r="BP24" s="374">
        <f>Tank!Y25</f>
        <v>0</v>
      </c>
      <c r="BQ24" s="70">
        <f>Tank!AP25</f>
        <v>10.17</v>
      </c>
      <c r="BR24" s="70">
        <f>Tank!V25</f>
        <v>0</v>
      </c>
      <c r="BS24" s="372">
        <f>Tank!T25</f>
        <v>0</v>
      </c>
      <c r="BT24" s="375" t="s">
        <v>228</v>
      </c>
      <c r="BU24" s="449">
        <v>71</v>
      </c>
      <c r="BV24" s="375">
        <f>IF(Tabla1[[#This Row],[Combustible ofertado]]="GAS",Tabla1[[#This Row],[Disponibilidad]],0)</f>
        <v>0</v>
      </c>
      <c r="BW24" s="375">
        <f>IF(Tabla1[[#This Row],[Combustible ofertado]]="DIESEL",Tabla1[[#This Row],[Disponibilidad]],0)</f>
        <v>71</v>
      </c>
      <c r="BX24" s="375">
        <f>IF(Tabla1[[#This Row],[Combustible ofertado]]="HFO",Tabla1[[#This Row],[Disponibilidad]],0)</f>
        <v>0</v>
      </c>
      <c r="BY24" s="454">
        <v>1505</v>
      </c>
      <c r="BZ24" s="446">
        <f>'Horo. M'!C25</f>
        <v>24</v>
      </c>
      <c r="CA24" s="446">
        <f>'Horo. M'!E25</f>
        <v>24</v>
      </c>
      <c r="CB24" s="446">
        <f>'Horo. M'!G25</f>
        <v>0</v>
      </c>
      <c r="CC24" s="446">
        <f>'Horo. M'!I25</f>
        <v>23</v>
      </c>
      <c r="CD24" s="446">
        <f>'Horo. M'!K25</f>
        <v>0</v>
      </c>
      <c r="CE24" s="446">
        <f>'Horo. M'!M25</f>
        <v>16</v>
      </c>
      <c r="CF24" s="446">
        <f>'Horo. M'!O25</f>
        <v>24</v>
      </c>
      <c r="CG24" s="446">
        <f>'Horo. M'!Q25</f>
        <v>24</v>
      </c>
      <c r="CH24" s="446">
        <f>'Horo. M'!S25</f>
        <v>24</v>
      </c>
      <c r="CI24" s="446">
        <f>'Horo. M'!U25</f>
        <v>24</v>
      </c>
      <c r="CJ24" s="70">
        <f>Tabla1[[#This Row],[Con. DO Storage '[gal']]]-Tabla1[[#This Row],[C. DO Storage Ge '[gal']]]</f>
        <v>211.33764188651872</v>
      </c>
      <c r="CK24" s="70"/>
      <c r="CL24" s="70"/>
      <c r="CM24" s="372">
        <f>Tabla1[[#This Row],[Con. DO Total '[gal']]]*131485.5/(1000000)</f>
        <v>260.85830587143346</v>
      </c>
    </row>
    <row r="25" spans="1:91" s="5" customFormat="1" ht="15" customHeight="1">
      <c r="A25" s="362">
        <v>44950</v>
      </c>
      <c r="B25" s="363" t="str">
        <f>TEXT(Tabla1[[#This Row],[Fecha]],"mmmm")</f>
        <v>enero</v>
      </c>
      <c r="C25" s="429">
        <v>0</v>
      </c>
      <c r="D25" s="430">
        <v>1272</v>
      </c>
      <c r="E25" s="430">
        <v>1272</v>
      </c>
      <c r="F25" s="430">
        <v>1314</v>
      </c>
      <c r="G25" s="431">
        <v>0</v>
      </c>
      <c r="H25" s="431">
        <v>0</v>
      </c>
      <c r="I25" s="432">
        <v>0</v>
      </c>
      <c r="J25" s="432">
        <v>0</v>
      </c>
      <c r="K25" s="430">
        <v>24</v>
      </c>
      <c r="L25" s="430">
        <v>24</v>
      </c>
      <c r="M25" s="365">
        <f>Tabla1[[#This Row],[Columna1]]-Tabla1[[#This Row],[PO '[h']]]</f>
        <v>0</v>
      </c>
      <c r="N25" s="365">
        <f t="shared" si="13"/>
        <v>1314</v>
      </c>
      <c r="O25" s="430">
        <v>1314</v>
      </c>
      <c r="P25" s="367">
        <f>Tabla1[[#This Row],[G. HGS 
'[MWh']]]</f>
        <v>1314</v>
      </c>
      <c r="Q25" s="430">
        <v>0</v>
      </c>
      <c r="R25" s="367">
        <v>0</v>
      </c>
      <c r="S25" s="367">
        <f>Tabla1[[#This Row],[G. HGS 
Con Gas]]*1000</f>
        <v>1314000</v>
      </c>
      <c r="T25" s="365">
        <f>Tabla1[[#This Row],[G. HGS 
'[MWh']]]*1000</f>
        <v>1314000</v>
      </c>
      <c r="U25" s="368">
        <f>SUM('G. Un GE'!B25:Y25)</f>
        <v>1300.6960999999997</v>
      </c>
      <c r="V25" s="369">
        <f>Tabla1[[#This Row],[R. GE
'[MWh']]]</f>
        <v>1300.6960999999997</v>
      </c>
      <c r="W25" s="434">
        <v>0</v>
      </c>
      <c r="X25" s="369">
        <v>0</v>
      </c>
      <c r="Y25" s="365">
        <f>Tabla1[[#This Row],[R. GE
'[MWh']]]*1000</f>
        <v>1300696.0999999996</v>
      </c>
      <c r="Z25" s="434">
        <v>37.049999999999997</v>
      </c>
      <c r="AA2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37.049999999999997</v>
      </c>
      <c r="AB25" s="368">
        <f>IF(Tabla1[[#This Row],[G. HGS 
'[MWh']]]=0,0,Tabla1[[#This Row],[G. HGS 
'[MWh']]]+Tabla1[[#This Row],[Con. Aux. '[MWh']2]])</f>
        <v>1351.05</v>
      </c>
      <c r="AC25" s="368">
        <f>'C. ENER. TN'!F25</f>
        <v>0</v>
      </c>
      <c r="AD25" s="370">
        <f>'C. ENER. TN'!G25</f>
        <v>1302.8917999999999</v>
      </c>
      <c r="AE25" s="370">
        <f>'G. Un GE'!AX25</f>
        <v>168.38095714285711</v>
      </c>
      <c r="AF25" s="368">
        <f>IFERROR('G. Un GE'!AX25/Tabla1[[#This Row],[PO '[h']]],0)</f>
        <v>7.0158732142857128</v>
      </c>
      <c r="AG25" s="365">
        <f>'Ar-Pa'!AX25</f>
        <v>1</v>
      </c>
      <c r="AH25" s="365">
        <f>'Ar-Pa'!AY25</f>
        <v>1</v>
      </c>
      <c r="AI25" s="365">
        <f>SUM('Cal. Arr'!AB28:AY28)</f>
        <v>0</v>
      </c>
      <c r="AJ25" s="442">
        <v>1.5</v>
      </c>
      <c r="AK25" s="442">
        <v>1.2</v>
      </c>
      <c r="AL25" s="267">
        <f t="shared" si="10"/>
        <v>317.00646282977812</v>
      </c>
      <c r="AM25" s="267">
        <f>+CONVERT(AK25+Tabla1[[#This Row],[Con. DO Storage Gen. '[m3']]],"m^3","gal")</f>
        <v>713.26454136700079</v>
      </c>
      <c r="AN25" s="372">
        <f>SUM('DO Pilot'!B25:Y25)</f>
        <v>6.9300000000000006</v>
      </c>
      <c r="AO25" s="372">
        <f t="shared" si="0"/>
        <v>1830.7123228419689</v>
      </c>
      <c r="AP25" s="267">
        <f>AK25+AN25+Tabla1[[#This Row],[Con. DO Storage Gen. '[m3']]]</f>
        <v>9.6300000000000008</v>
      </c>
      <c r="AQ25" s="372">
        <f t="shared" si="11"/>
        <v>2543.9768642089693</v>
      </c>
      <c r="AR25" s="442">
        <v>0</v>
      </c>
      <c r="AS25" s="442">
        <v>0</v>
      </c>
      <c r="AT25" s="267">
        <f>+CONVERT(SUM(Tabla1[[#This Row],[Repo. DO Storage '[gal']]:[Repo. DO Pilot '[gal']]]),"gal","m3")</f>
        <v>0</v>
      </c>
      <c r="AU25" s="442">
        <v>0</v>
      </c>
      <c r="AV25" s="267">
        <f t="shared" si="14"/>
        <v>0</v>
      </c>
      <c r="AW25" s="442">
        <v>0</v>
      </c>
      <c r="AX25" s="267">
        <f t="shared" si="2"/>
        <v>0</v>
      </c>
      <c r="AY25" s="372">
        <f t="shared" si="3"/>
        <v>0.24125301585219033</v>
      </c>
      <c r="AZ25" s="372">
        <f>IFERROR(AL25/'Ar-Pa'!AX25,0)</f>
        <v>317.00646282977812</v>
      </c>
      <c r="BA25" s="372">
        <f>IFERROR(AL25/'Ar-Pa'!AY25,0)</f>
        <v>317.00646282977812</v>
      </c>
      <c r="BB25" s="372">
        <f t="shared" si="4"/>
        <v>1.3932361665463995</v>
      </c>
      <c r="BC25" s="372">
        <f>IFERROR(AVERAGEIF('DO Pilot'!AX25:BU25,"&gt;0"),0)</f>
        <v>9.8710717778468844</v>
      </c>
      <c r="BD25" s="445">
        <v>352655</v>
      </c>
      <c r="BE25" s="445">
        <v>12484</v>
      </c>
      <c r="BF25" s="445">
        <v>351625</v>
      </c>
      <c r="BG25" s="223">
        <f>Tabla1[[#This Row],[ Re. Gas GC
 '[m3']]]</f>
        <v>351625</v>
      </c>
      <c r="BH25" s="150">
        <f>IFERROR((BG25*Gas!$B$2)/28.31685,0)</f>
        <v>12369.462396064535</v>
      </c>
      <c r="BI25" s="151">
        <f t="shared" si="15"/>
        <v>-114.53760393546509</v>
      </c>
      <c r="BJ25" s="74">
        <f t="shared" si="12"/>
        <v>-9.2597075174347381E-3</v>
      </c>
      <c r="BK25" s="223">
        <f t="shared" si="6"/>
        <v>9500.7610350076102</v>
      </c>
      <c r="BL25" s="442">
        <v>8875.7900000000009</v>
      </c>
      <c r="BM25" s="150">
        <f t="shared" si="7"/>
        <v>9155.4438370634216</v>
      </c>
      <c r="BN25" s="150">
        <f t="shared" si="8"/>
        <v>9509.8788995096857</v>
      </c>
      <c r="BO25" s="373">
        <f>IFERROR(Tabla1[[#This Row],[ Re. Gas GC
 '[m3']]]/Tabla1[[#This Row],[G. HGS 
Con Gas '[kWh']]],0)</f>
        <v>0.26759893455098932</v>
      </c>
      <c r="BP25" s="374">
        <f>Tank!Y26</f>
        <v>0</v>
      </c>
      <c r="BQ25" s="70">
        <f>Tank!AP26</f>
        <v>37.380000000000003</v>
      </c>
      <c r="BR25" s="70">
        <f>Tank!V26</f>
        <v>0</v>
      </c>
      <c r="BS25" s="372">
        <f>Tank!T26</f>
        <v>0</v>
      </c>
      <c r="BT25" s="375" t="s">
        <v>228</v>
      </c>
      <c r="BU25" s="449">
        <v>71</v>
      </c>
      <c r="BV25" s="375">
        <f>IF(Tabla1[[#This Row],[Combustible ofertado]]="GAS",Tabla1[[#This Row],[Disponibilidad]],0)</f>
        <v>0</v>
      </c>
      <c r="BW25" s="375">
        <f>IF(Tabla1[[#This Row],[Combustible ofertado]]="DIESEL",Tabla1[[#This Row],[Disponibilidad]],0)</f>
        <v>71</v>
      </c>
      <c r="BX25" s="375">
        <f>IF(Tabla1[[#This Row],[Combustible ofertado]]="HFO",Tabla1[[#This Row],[Disponibilidad]],0)</f>
        <v>0</v>
      </c>
      <c r="BY25" s="454">
        <v>1505</v>
      </c>
      <c r="BZ25" s="446">
        <f>'Horo. M'!C26</f>
        <v>24</v>
      </c>
      <c r="CA25" s="446">
        <f>'Horo. M'!E26</f>
        <v>23</v>
      </c>
      <c r="CB25" s="446">
        <f>'Horo. M'!G26</f>
        <v>23</v>
      </c>
      <c r="CC25" s="446">
        <f>'Horo. M'!I26</f>
        <v>24</v>
      </c>
      <c r="CD25" s="446">
        <f>'Horo. M'!K26</f>
        <v>0</v>
      </c>
      <c r="CE25" s="446">
        <f>'Horo. M'!M26</f>
        <v>18</v>
      </c>
      <c r="CF25" s="446">
        <f>'Horo. M'!O26</f>
        <v>24</v>
      </c>
      <c r="CG25" s="446">
        <f>'Horo. M'!Q26</f>
        <v>24</v>
      </c>
      <c r="CH25" s="446">
        <f>'Horo. M'!S26</f>
        <v>24</v>
      </c>
      <c r="CI25" s="446">
        <f>'Horo. M'!U26</f>
        <v>0</v>
      </c>
      <c r="CJ25" s="70">
        <f>Tabla1[[#This Row],[Con. DO Storage '[gal']]]-Tabla1[[#This Row],[C. DO Storage Ge '[gal']]]</f>
        <v>317.00646282977812</v>
      </c>
      <c r="CK25" s="70"/>
      <c r="CL25" s="70"/>
      <c r="CM25" s="372">
        <f>Tabla1[[#This Row],[Con. DO Total '[gal']]]*131485.5/(1000000)</f>
        <v>334.49606997894841</v>
      </c>
    </row>
    <row r="26" spans="1:91" s="5" customFormat="1" ht="15" customHeight="1">
      <c r="A26" s="362">
        <v>44951</v>
      </c>
      <c r="B26" s="363" t="str">
        <f>TEXT(Tabla1[[#This Row],[Fecha]],"mmmm")</f>
        <v>enero</v>
      </c>
      <c r="C26" s="429">
        <v>0</v>
      </c>
      <c r="D26" s="430">
        <v>1326</v>
      </c>
      <c r="E26" s="430">
        <v>1326</v>
      </c>
      <c r="F26" s="430">
        <v>1325</v>
      </c>
      <c r="G26" s="431">
        <v>0</v>
      </c>
      <c r="H26" s="431">
        <v>0</v>
      </c>
      <c r="I26" s="432">
        <v>0</v>
      </c>
      <c r="J26" s="432">
        <v>0</v>
      </c>
      <c r="K26" s="430">
        <v>23</v>
      </c>
      <c r="L26" s="430">
        <v>24</v>
      </c>
      <c r="M26" s="365">
        <f>Tabla1[[#This Row],[Columna1]]-Tabla1[[#This Row],[PO '[h']]]</f>
        <v>1</v>
      </c>
      <c r="N26" s="365">
        <f t="shared" si="13"/>
        <v>1325</v>
      </c>
      <c r="O26" s="430">
        <v>1325</v>
      </c>
      <c r="P26" s="367">
        <f>Tabla1[[#This Row],[G. HGS 
'[MWh']]]</f>
        <v>1325</v>
      </c>
      <c r="Q26" s="434">
        <v>270.28639999999996</v>
      </c>
      <c r="R26" s="367">
        <v>0</v>
      </c>
      <c r="S26" s="367">
        <f>Tabla1[[#This Row],[G. HGS 
Con Gas]]*1000</f>
        <v>1325000</v>
      </c>
      <c r="T26" s="365">
        <f>Tabla1[[#This Row],[G. HGS 
'[MWh']]]*1000</f>
        <v>1325000</v>
      </c>
      <c r="U26" s="368">
        <f>SUM('G. Un GE'!B26:Y26)</f>
        <v>1302.8917999999999</v>
      </c>
      <c r="V26" s="369">
        <f>Tabla1[[#This Row],[R. GE
'[MWh']]]</f>
        <v>1302.8917999999999</v>
      </c>
      <c r="W26" s="434">
        <f>SUM('G. Un GE'!B26:C26,'G. Un GE'!K26,'G. Un GE'!V26:W26)</f>
        <v>270.28639999999996</v>
      </c>
      <c r="X26" s="369">
        <v>0</v>
      </c>
      <c r="Y26" s="365">
        <f>Tabla1[[#This Row],[R. GE
'[MWh']]]*1000</f>
        <v>1302891.7999999998</v>
      </c>
      <c r="Z26" s="434">
        <v>37.869999999999997</v>
      </c>
      <c r="AA2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37.220700000000001</v>
      </c>
      <c r="AB26" s="368">
        <f>IF(Tabla1[[#This Row],[G. HGS 
'[MWh']]]=0,0,Tabla1[[#This Row],[G. HGS 
'[MWh']]]+Tabla1[[#This Row],[Con. Aux. '[MWh']2]])</f>
        <v>1362.2207000000001</v>
      </c>
      <c r="AC26" s="368">
        <f>'C. ENER. TN'!F26</f>
        <v>0.6493000000000001</v>
      </c>
      <c r="AD26" s="370">
        <f>'C. ENER. TN'!G26</f>
        <v>1344.9562999999998</v>
      </c>
      <c r="AE26" s="370">
        <f>'G. Un GE'!AX26</f>
        <v>149.84172138888889</v>
      </c>
      <c r="AF26" s="368">
        <f>IFERROR('G. Un GE'!AX26/Tabla1[[#This Row],[PO '[h']]],0)</f>
        <v>6.5148574516908209</v>
      </c>
      <c r="AG26" s="365">
        <f>'Ar-Pa'!AX26</f>
        <v>11</v>
      </c>
      <c r="AH26" s="365">
        <f>'Ar-Pa'!AY26</f>
        <v>10</v>
      </c>
      <c r="AI26" s="365">
        <f>SUM('Cal. Arr'!AB29:AY29)</f>
        <v>0</v>
      </c>
      <c r="AJ26" s="442">
        <v>6.6</v>
      </c>
      <c r="AK26" s="442">
        <v>1.8</v>
      </c>
      <c r="AL26" s="267">
        <f t="shared" si="10"/>
        <v>475.50969424466717</v>
      </c>
      <c r="AM26" s="267">
        <f>+CONVERT(AK26+Tabla1[[#This Row],[Con. DO Storage Gen. '[m3']]],"m^3","gal")</f>
        <v>2219.0452398084467</v>
      </c>
      <c r="AN26" s="372">
        <f>SUM('DO Pilot'!B26:Y26)</f>
        <v>6.839999999999999</v>
      </c>
      <c r="AO26" s="372">
        <f t="shared" si="0"/>
        <v>1806.936838129735</v>
      </c>
      <c r="AP26" s="267">
        <f>AK26+AN26+Tabla1[[#This Row],[Con. DO Storage Gen. '[m3']]]</f>
        <v>15.239999999999998</v>
      </c>
      <c r="AQ26" s="372">
        <f t="shared" si="11"/>
        <v>4025.9820779381816</v>
      </c>
      <c r="AR26" s="442">
        <v>10830</v>
      </c>
      <c r="AS26" s="442">
        <v>0</v>
      </c>
      <c r="AT26" s="267">
        <f>+CONVERT(SUM(Tabla1[[#This Row],[Repo. DO Storage '[gal']]:[Repo. DO Pilot '[gal']]]),"gal","m3")</f>
        <v>40.996009620719995</v>
      </c>
      <c r="AU26" s="442">
        <v>0</v>
      </c>
      <c r="AV26" s="267">
        <f t="shared" si="14"/>
        <v>0</v>
      </c>
      <c r="AW26" s="442">
        <v>0</v>
      </c>
      <c r="AX26" s="267">
        <f t="shared" si="2"/>
        <v>0</v>
      </c>
      <c r="AY26" s="372">
        <f t="shared" si="3"/>
        <v>0.35887524093937145</v>
      </c>
      <c r="AZ26" s="372">
        <f>IFERROR(AL26/'Ar-Pa'!AX26,0)</f>
        <v>43.228154022242471</v>
      </c>
      <c r="BA26" s="372">
        <f>IFERROR(AL26/'Ar-Pa'!AY26,0)</f>
        <v>47.550969424466714</v>
      </c>
      <c r="BB26" s="372">
        <f t="shared" si="4"/>
        <v>1.3637259155696113</v>
      </c>
      <c r="BC26" s="372">
        <f>IFERROR(AVERAGEIF('DO Pilot'!AX26:BU26,"&gt;0"),0)</f>
        <v>9.0689499858458529</v>
      </c>
      <c r="BD26" s="445">
        <v>364843</v>
      </c>
      <c r="BE26" s="445">
        <v>12915</v>
      </c>
      <c r="BF26" s="445">
        <v>353244</v>
      </c>
      <c r="BG26" s="223">
        <f>Tabla1[[#This Row],[ Re. Gas GC
 '[m3']]]</f>
        <v>353244</v>
      </c>
      <c r="BH26" s="150">
        <f>IFERROR((BG26*Gas!$B$2)/28.31685,0)</f>
        <v>12426.41556952839</v>
      </c>
      <c r="BI26" s="151">
        <f t="shared" si="15"/>
        <v>-488.58443047161018</v>
      </c>
      <c r="BJ26" s="74">
        <f t="shared" si="12"/>
        <v>-3.9318211091354402E-2</v>
      </c>
      <c r="BK26" s="223">
        <f t="shared" si="6"/>
        <v>9747.1698113207549</v>
      </c>
      <c r="BL26" s="442">
        <v>8792.25</v>
      </c>
      <c r="BM26" s="150">
        <f t="shared" si="7"/>
        <v>9122.1749673370759</v>
      </c>
      <c r="BN26" s="150">
        <f t="shared" si="8"/>
        <v>9537.5652602375649</v>
      </c>
      <c r="BO26" s="373">
        <f>IFERROR(Tabla1[[#This Row],[ Re. Gas GC
 '[m3']]]/Tabla1[[#This Row],[G. HGS 
Con Gas '[kWh']]],0)</f>
        <v>0.26659924528301887</v>
      </c>
      <c r="BP26" s="374">
        <f>Tank!Y27</f>
        <v>0</v>
      </c>
      <c r="BQ26" s="70">
        <f>Tank!AP27</f>
        <v>39.6</v>
      </c>
      <c r="BR26" s="70">
        <f>Tank!V27</f>
        <v>0</v>
      </c>
      <c r="BS26" s="372">
        <f>Tank!T27</f>
        <v>0</v>
      </c>
      <c r="BT26" s="375" t="s">
        <v>228</v>
      </c>
      <c r="BU26" s="449">
        <v>71</v>
      </c>
      <c r="BV26" s="375">
        <f>IF(Tabla1[[#This Row],[Combustible ofertado]]="GAS",Tabla1[[#This Row],[Disponibilidad]],0)</f>
        <v>0</v>
      </c>
      <c r="BW26" s="375">
        <f>IF(Tabla1[[#This Row],[Combustible ofertado]]="DIESEL",Tabla1[[#This Row],[Disponibilidad]],0)</f>
        <v>71</v>
      </c>
      <c r="BX26" s="375">
        <f>IF(Tabla1[[#This Row],[Combustible ofertado]]="HFO",Tabla1[[#This Row],[Disponibilidad]],0)</f>
        <v>0</v>
      </c>
      <c r="BY26" s="454">
        <v>1505</v>
      </c>
      <c r="BZ26" s="446">
        <f>'Horo. M'!C27</f>
        <v>23</v>
      </c>
      <c r="CA26" s="446">
        <f>'Horo. M'!E27</f>
        <v>22</v>
      </c>
      <c r="CB26" s="446">
        <f>'Horo. M'!G27</f>
        <v>21</v>
      </c>
      <c r="CC26" s="446">
        <f>'Horo. M'!I27</f>
        <v>21</v>
      </c>
      <c r="CD26" s="446">
        <f>'Horo. M'!K27</f>
        <v>0</v>
      </c>
      <c r="CE26" s="446">
        <f>'Horo. M'!M27</f>
        <v>20</v>
      </c>
      <c r="CF26" s="446">
        <f>'Horo. M'!O27</f>
        <v>20</v>
      </c>
      <c r="CG26" s="446">
        <f>'Horo. M'!Q27</f>
        <v>21</v>
      </c>
      <c r="CH26" s="446">
        <f>'Horo. M'!S27</f>
        <v>21</v>
      </c>
      <c r="CI26" s="446">
        <f>'Horo. M'!U27</f>
        <v>21</v>
      </c>
      <c r="CJ26" s="70">
        <f>Tabla1[[#This Row],[Con. DO Storage '[gal']]]-Tabla1[[#This Row],[C. DO Storage Ge '[gal']]]</f>
        <v>475.50969424466717</v>
      </c>
      <c r="CK26" s="70"/>
      <c r="CL26" s="70"/>
      <c r="CM26" s="372">
        <f>Tabla1[[#This Row],[Con. DO Total '[gal']]]*131485.5/(1000000)</f>
        <v>529.35826650874083</v>
      </c>
    </row>
    <row r="27" spans="1:91" s="5" customFormat="1" ht="15" customHeight="1">
      <c r="A27" s="362">
        <v>44952</v>
      </c>
      <c r="B27" s="363" t="str">
        <f>TEXT(Tabla1[[#This Row],[Fecha]],"mmmm")</f>
        <v>enero</v>
      </c>
      <c r="C27" s="429">
        <v>0</v>
      </c>
      <c r="D27" s="430">
        <v>1488</v>
      </c>
      <c r="E27" s="430">
        <v>1488</v>
      </c>
      <c r="F27" s="430">
        <v>1514</v>
      </c>
      <c r="G27" s="431">
        <v>0</v>
      </c>
      <c r="H27" s="431">
        <v>0</v>
      </c>
      <c r="I27" s="432">
        <v>0</v>
      </c>
      <c r="J27" s="432">
        <v>0</v>
      </c>
      <c r="K27" s="430">
        <v>24</v>
      </c>
      <c r="L27" s="430">
        <v>24</v>
      </c>
      <c r="M27" s="365">
        <f>Tabla1[[#This Row],[Columna1]]-Tabla1[[#This Row],[PO '[h']]]</f>
        <v>0</v>
      </c>
      <c r="N27" s="365">
        <f t="shared" si="13"/>
        <v>1514</v>
      </c>
      <c r="O27" s="430">
        <v>1514</v>
      </c>
      <c r="P27" s="367">
        <f>Tabla1[[#This Row],[G. HGS 
'[MWh']]]</f>
        <v>1514</v>
      </c>
      <c r="Q27" s="434">
        <v>467.2509</v>
      </c>
      <c r="R27" s="367">
        <v>0</v>
      </c>
      <c r="S27" s="367">
        <f>Tabla1[[#This Row],[G. HGS 
Con Gas]]*1000</f>
        <v>1514000</v>
      </c>
      <c r="T27" s="365">
        <f>Tabla1[[#This Row],[G. HGS 
'[MWh']]]*1000</f>
        <v>1514000</v>
      </c>
      <c r="U27" s="368">
        <f>SUM('G. Un GE'!B27:Y27)</f>
        <v>1344.9563000000001</v>
      </c>
      <c r="V27" s="369">
        <f>Tabla1[[#This Row],[R. GE
'[MWh']]]</f>
        <v>1344.9563000000001</v>
      </c>
      <c r="W27" s="434">
        <f>SUM('G. Un GE'!F27:O27)</f>
        <v>467.2509</v>
      </c>
      <c r="X27" s="369">
        <v>0</v>
      </c>
      <c r="Y27" s="365">
        <f>Tabla1[[#This Row],[R. GE
'[MWh']]]*1000</f>
        <v>1344956.3</v>
      </c>
      <c r="Z27" s="434">
        <v>39.71</v>
      </c>
      <c r="AA2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39.71</v>
      </c>
      <c r="AB27" s="368">
        <f>IF(Tabla1[[#This Row],[G. HGS 
'[MWh']]]=0,0,Tabla1[[#This Row],[G. HGS 
'[MWh']]]+Tabla1[[#This Row],[Con. Aux. '[MWh']2]])</f>
        <v>1553.71</v>
      </c>
      <c r="AC27" s="368">
        <f>'C. ENER. TN'!F27</f>
        <v>0</v>
      </c>
      <c r="AD27" s="370">
        <f>'C. ENER. TN'!G27</f>
        <v>1500.9693000000002</v>
      </c>
      <c r="AE27" s="370">
        <f>'G. Un GE'!AX27</f>
        <v>160.90350515873016</v>
      </c>
      <c r="AF27" s="368">
        <f>IFERROR('G. Un GE'!AX27/Tabla1[[#This Row],[PO '[h']]],0)</f>
        <v>6.7043127149470898</v>
      </c>
      <c r="AG27" s="365">
        <f>'Ar-Pa'!AX27</f>
        <v>3</v>
      </c>
      <c r="AH27" s="365">
        <f>'Ar-Pa'!AY27</f>
        <v>3</v>
      </c>
      <c r="AI27" s="365">
        <f>SUM('Cal. Arr'!AB30:AY30)</f>
        <v>0</v>
      </c>
      <c r="AJ27" s="442">
        <v>18.3</v>
      </c>
      <c r="AK27" s="442">
        <v>1</v>
      </c>
      <c r="AL27" s="267">
        <f t="shared" si="10"/>
        <v>264.17205235814845</v>
      </c>
      <c r="AM27" s="267">
        <f>+CONVERT(AK27+Tabla1[[#This Row],[Con. DO Storage Gen. '[m3']]],"m^3","gal")</f>
        <v>5098.5206105122643</v>
      </c>
      <c r="AN27" s="372">
        <f>SUM('DO Pilot'!B27:Y27)</f>
        <v>7.0999999999999988</v>
      </c>
      <c r="AO27" s="372">
        <f t="shared" si="0"/>
        <v>1875.6215717428536</v>
      </c>
      <c r="AP27" s="267">
        <f>AK27+AN27+Tabla1[[#This Row],[Con. DO Storage Gen. '[m3']]]</f>
        <v>26.4</v>
      </c>
      <c r="AQ27" s="372">
        <f t="shared" si="11"/>
        <v>6974.1421822551183</v>
      </c>
      <c r="AR27" s="442">
        <v>0</v>
      </c>
      <c r="AS27" s="442">
        <v>10590</v>
      </c>
      <c r="AT27" s="267">
        <f>+CONVERT(SUM(Tabla1[[#This Row],[Repo. DO Storage '[gal']]:[Repo. DO Pilot '[gal']]]),"gal","m3")</f>
        <v>40.087510792560003</v>
      </c>
      <c r="AU27" s="442">
        <v>0</v>
      </c>
      <c r="AV27" s="267">
        <f t="shared" si="14"/>
        <v>0</v>
      </c>
      <c r="AW27" s="442">
        <v>0</v>
      </c>
      <c r="AX27" s="267">
        <f t="shared" si="2"/>
        <v>0</v>
      </c>
      <c r="AY27" s="372">
        <f t="shared" si="3"/>
        <v>0.17448616404104916</v>
      </c>
      <c r="AZ27" s="372">
        <f>IFERROR(AL27/'Ar-Pa'!AX27,0)</f>
        <v>88.057350786049483</v>
      </c>
      <c r="BA27" s="372">
        <f>IFERROR(AL27/'Ar-Pa'!AY27,0)</f>
        <v>88.057350786049483</v>
      </c>
      <c r="BB27" s="372">
        <f t="shared" si="4"/>
        <v>1.2388517646914488</v>
      </c>
      <c r="BC27" s="372">
        <f>IFERROR(AVERAGEIF('DO Pilot'!AX27:BU27,"&gt;0"),0)</f>
        <v>9.5358335996311485</v>
      </c>
      <c r="BD27" s="445">
        <v>384449</v>
      </c>
      <c r="BE27" s="445">
        <v>13609</v>
      </c>
      <c r="BF27" s="445">
        <v>383986</v>
      </c>
      <c r="BG27" s="223">
        <f>Tabla1[[#This Row],[ Re. Gas GC
 '[m3']]]</f>
        <v>383986</v>
      </c>
      <c r="BH27" s="150">
        <f>IFERROR((BG27*Gas!$B$2)/28.31685,0)</f>
        <v>13507.857483441838</v>
      </c>
      <c r="BI27" s="151">
        <f t="shared" si="15"/>
        <v>-101.14251655816224</v>
      </c>
      <c r="BJ27" s="74">
        <f t="shared" si="12"/>
        <v>-7.4876801655735905E-3</v>
      </c>
      <c r="BK27" s="223">
        <f t="shared" si="6"/>
        <v>8988.7714663143979</v>
      </c>
      <c r="BL27" s="442">
        <v>8667.36</v>
      </c>
      <c r="BM27" s="150">
        <f t="shared" si="7"/>
        <v>8693.9374036608097</v>
      </c>
      <c r="BN27" s="150">
        <f t="shared" si="8"/>
        <v>10043.343031622542</v>
      </c>
      <c r="BO27" s="373">
        <f>IFERROR(Tabla1[[#This Row],[ Re. Gas GC
 '[m3']]]/Tabla1[[#This Row],[G. HGS 
Con Gas '[kWh']]],0)</f>
        <v>0.25362351387054161</v>
      </c>
      <c r="BP27" s="374">
        <f>Tank!Y28</f>
        <v>0</v>
      </c>
      <c r="BQ27" s="70">
        <f>Tank!AP28</f>
        <v>0</v>
      </c>
      <c r="BR27" s="70">
        <f>Tank!V28</f>
        <v>0</v>
      </c>
      <c r="BS27" s="372">
        <f>Tank!T28</f>
        <v>0</v>
      </c>
      <c r="BT27" s="375" t="s">
        <v>228</v>
      </c>
      <c r="BU27" s="449">
        <v>80</v>
      </c>
      <c r="BV27" s="375">
        <f>IF(Tabla1[[#This Row],[Combustible ofertado]]="GAS",Tabla1[[#This Row],[Disponibilidad]],0)</f>
        <v>0</v>
      </c>
      <c r="BW27" s="375">
        <f>IF(Tabla1[[#This Row],[Combustible ofertado]]="DIESEL",Tabla1[[#This Row],[Disponibilidad]],0)</f>
        <v>80</v>
      </c>
      <c r="BX27" s="375">
        <f>IF(Tabla1[[#This Row],[Combustible ofertado]]="HFO",Tabla1[[#This Row],[Disponibilidad]],0)</f>
        <v>0</v>
      </c>
      <c r="BY27" s="454">
        <v>1505</v>
      </c>
      <c r="BZ27" s="446">
        <f>'Horo. M'!C28</f>
        <v>24</v>
      </c>
      <c r="CA27" s="446">
        <f>'Horo. M'!E28</f>
        <v>15</v>
      </c>
      <c r="CB27" s="446">
        <f>'Horo. M'!G28</f>
        <v>24</v>
      </c>
      <c r="CC27" s="446">
        <f>'Horo. M'!I28</f>
        <v>24</v>
      </c>
      <c r="CD27" s="446">
        <f>'Horo. M'!K28</f>
        <v>0</v>
      </c>
      <c r="CE27" s="446">
        <f>'Horo. M'!M28</f>
        <v>22</v>
      </c>
      <c r="CF27" s="446">
        <f>'Horo. M'!O28</f>
        <v>24</v>
      </c>
      <c r="CG27" s="446">
        <f>'Horo. M'!Q28</f>
        <v>24</v>
      </c>
      <c r="CH27" s="446">
        <f>'Horo. M'!S28</f>
        <v>24</v>
      </c>
      <c r="CI27" s="446">
        <f>'Horo. M'!U28</f>
        <v>24</v>
      </c>
      <c r="CJ27" s="70">
        <f>Tabla1[[#This Row],[Con. DO Storage '[gal']]]-Tabla1[[#This Row],[C. DO Storage Ge '[gal']]]</f>
        <v>264.17205235814845</v>
      </c>
      <c r="CK27" s="70"/>
      <c r="CL27" s="70"/>
      <c r="CM27" s="372">
        <f>Tabla1[[#This Row],[Con. DO Total '[gal']]]*131485.5/(1000000)</f>
        <v>916.99857190490536</v>
      </c>
    </row>
    <row r="28" spans="1:91" s="5" customFormat="1" ht="15" customHeight="1">
      <c r="A28" s="362">
        <v>44953</v>
      </c>
      <c r="B28" s="363" t="str">
        <f>TEXT(Tabla1[[#This Row],[Fecha]],"mmmm")</f>
        <v>enero</v>
      </c>
      <c r="C28" s="429">
        <v>0</v>
      </c>
      <c r="D28" s="430">
        <v>1488</v>
      </c>
      <c r="E28" s="430">
        <v>1488</v>
      </c>
      <c r="F28" s="430">
        <v>1520</v>
      </c>
      <c r="G28" s="431">
        <v>0</v>
      </c>
      <c r="H28" s="431">
        <v>0</v>
      </c>
      <c r="I28" s="432">
        <v>0</v>
      </c>
      <c r="J28" s="432">
        <v>0</v>
      </c>
      <c r="K28" s="430">
        <v>24</v>
      </c>
      <c r="L28" s="430">
        <v>24</v>
      </c>
      <c r="M28" s="365">
        <f>Tabla1[[#This Row],[Columna1]]-Tabla1[[#This Row],[PO '[h']]]</f>
        <v>0</v>
      </c>
      <c r="N28" s="365">
        <f t="shared" si="13"/>
        <v>1520</v>
      </c>
      <c r="O28" s="430">
        <v>1520</v>
      </c>
      <c r="P28" s="367">
        <f>Tabla1[[#This Row],[G. HGS 
'[MWh']]]</f>
        <v>1520</v>
      </c>
      <c r="Q28" s="434">
        <v>875.48629999999991</v>
      </c>
      <c r="R28" s="367">
        <v>0</v>
      </c>
      <c r="S28" s="367">
        <f>Tabla1[[#This Row],[G. HGS 
Con Gas]]*1000</f>
        <v>1520000</v>
      </c>
      <c r="T28" s="365">
        <f>Tabla1[[#This Row],[G. HGS 
'[MWh']]]*1000</f>
        <v>1520000</v>
      </c>
      <c r="U28" s="368">
        <f>SUM('G. Un GE'!B28:Y28)</f>
        <v>1500.9693000000002</v>
      </c>
      <c r="V28" s="369">
        <f>Tabla1[[#This Row],[R. GE
'[MWh']]]</f>
        <v>1500.9693000000002</v>
      </c>
      <c r="W28" s="434">
        <f>SUM('G. Un GE'!G28:Q28,'G. Un GE'!V28:W28,'G. Un GE'!Y28)</f>
        <v>875.48629999999991</v>
      </c>
      <c r="X28" s="369">
        <v>0</v>
      </c>
      <c r="Y28" s="365">
        <f>Tabla1[[#This Row],[R. GE
'[MWh']]]*1000</f>
        <v>1500969.3000000003</v>
      </c>
      <c r="Z28" s="434">
        <v>39.950000000000003</v>
      </c>
      <c r="AA2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39.950000000000003</v>
      </c>
      <c r="AB28" s="368">
        <f>IF(Tabla1[[#This Row],[G. HGS 
'[MWh']]]=0,0,Tabla1[[#This Row],[G. HGS 
'[MWh']]]+Tabla1[[#This Row],[Con. Aux. '[MWh']2]])</f>
        <v>1559.95</v>
      </c>
      <c r="AC28" s="368">
        <f>'C. ENER. TN'!F28</f>
        <v>0</v>
      </c>
      <c r="AD28" s="370">
        <f>'C. ENER. TN'!G28</f>
        <v>1505.8326000000002</v>
      </c>
      <c r="AE28" s="370">
        <f>'G. Un GE'!AX28</f>
        <v>186.33662519841266</v>
      </c>
      <c r="AF28" s="368">
        <f>IFERROR('G. Un GE'!AX28/Tabla1[[#This Row],[PO '[h']]],0)</f>
        <v>7.7640260499338609</v>
      </c>
      <c r="AG28" s="365">
        <f>'Ar-Pa'!AX28</f>
        <v>3</v>
      </c>
      <c r="AH28" s="365">
        <f>'Ar-Pa'!AY28</f>
        <v>3</v>
      </c>
      <c r="AI28" s="365">
        <f>SUM('Cal. Arr'!AB31:AY31)</f>
        <v>0</v>
      </c>
      <c r="AJ28" s="442">
        <v>24.7</v>
      </c>
      <c r="AK28" s="442">
        <v>1.2</v>
      </c>
      <c r="AL28" s="267">
        <f t="shared" si="10"/>
        <v>317.00646282977812</v>
      </c>
      <c r="AM28" s="267">
        <f>+CONVERT(AK28+Tabla1[[#This Row],[Con. DO Storage Gen. '[m3']]],"m^3","gal")</f>
        <v>6842.0561560760443</v>
      </c>
      <c r="AN28" s="372">
        <f>SUM('DO Pilot'!B28:Y28)</f>
        <v>7.1999999999999975</v>
      </c>
      <c r="AO28" s="372">
        <f t="shared" si="0"/>
        <v>1902.038776978668</v>
      </c>
      <c r="AP28" s="267">
        <f>AK28+AN28+Tabla1[[#This Row],[Con. DO Storage Gen. '[m3']]]</f>
        <v>33.099999999999994</v>
      </c>
      <c r="AQ28" s="372">
        <f t="shared" si="11"/>
        <v>8744.0949330547101</v>
      </c>
      <c r="AR28" s="442">
        <v>0</v>
      </c>
      <c r="AS28" s="442">
        <v>0</v>
      </c>
      <c r="AT28" s="267">
        <f>+CONVERT(SUM(Tabla1[[#This Row],[Repo. DO Storage '[gal']]:[Repo. DO Pilot '[gal']]]),"gal","m3")</f>
        <v>0</v>
      </c>
      <c r="AU28" s="442">
        <v>0</v>
      </c>
      <c r="AV28" s="267">
        <f t="shared" si="14"/>
        <v>0</v>
      </c>
      <c r="AW28" s="442">
        <v>0</v>
      </c>
      <c r="AX28" s="267">
        <f t="shared" si="2"/>
        <v>0</v>
      </c>
      <c r="AY28" s="372">
        <f t="shared" si="3"/>
        <v>0.20855688344064349</v>
      </c>
      <c r="AZ28" s="372">
        <f>IFERROR(AL28/'Ar-Pa'!AX28,0)</f>
        <v>105.66882094325938</v>
      </c>
      <c r="BA28" s="372">
        <f>IFERROR(AL28/'Ar-Pa'!AY28,0)</f>
        <v>105.66882094325938</v>
      </c>
      <c r="BB28" s="372">
        <f t="shared" si="4"/>
        <v>1.2513413006438605</v>
      </c>
      <c r="BC28" s="372">
        <f>IFERROR(AVERAGEIF('DO Pilot'!AX28:BU28,"&gt;0"),0)</f>
        <v>9.8319788567389921</v>
      </c>
      <c r="BD28" s="445">
        <v>379116</v>
      </c>
      <c r="BE28" s="445">
        <v>13420</v>
      </c>
      <c r="BF28" s="445">
        <v>378082</v>
      </c>
      <c r="BG28" s="223">
        <f>Tabla1[[#This Row],[ Re. Gas GC
 '[m3']]]</f>
        <v>378082</v>
      </c>
      <c r="BH28" s="150">
        <f>IFERROR((BG28*Gas!$B$2)/28.31685,0)</f>
        <v>13300.166602570554</v>
      </c>
      <c r="BI28" s="151">
        <f t="shared" si="15"/>
        <v>-119.83339742944554</v>
      </c>
      <c r="BJ28" s="74">
        <f t="shared" si="12"/>
        <v>-9.0099170191059903E-3</v>
      </c>
      <c r="BK28" s="223">
        <f t="shared" si="6"/>
        <v>8828.9473684210534</v>
      </c>
      <c r="BL28" s="442">
        <v>8697.34</v>
      </c>
      <c r="BM28" s="150">
        <f t="shared" si="7"/>
        <v>8526.0210920674072</v>
      </c>
      <c r="BN28" s="150">
        <f t="shared" si="8"/>
        <v>8861.0517234233575</v>
      </c>
      <c r="BO28" s="373">
        <f>IFERROR(Tabla1[[#This Row],[ Re. Gas GC
 '[m3']]]/Tabla1[[#This Row],[G. HGS 
Con Gas '[kWh']]],0)</f>
        <v>0.24873815789473686</v>
      </c>
      <c r="BP28" s="374">
        <f>Tank!Y29</f>
        <v>0</v>
      </c>
      <c r="BQ28" s="70">
        <f>Tank!AP29</f>
        <v>0</v>
      </c>
      <c r="BR28" s="70">
        <f>Tank!V29</f>
        <v>0</v>
      </c>
      <c r="BS28" s="372">
        <f>Tank!T29</f>
        <v>2858.3416065151659</v>
      </c>
      <c r="BT28" s="375" t="s">
        <v>228</v>
      </c>
      <c r="BU28" s="449">
        <v>80</v>
      </c>
      <c r="BV28" s="375">
        <f>IF(Tabla1[[#This Row],[Combustible ofertado]]="GAS",Tabla1[[#This Row],[Disponibilidad]],0)</f>
        <v>0</v>
      </c>
      <c r="BW28" s="375">
        <f>IF(Tabla1[[#This Row],[Combustible ofertado]]="DIESEL",Tabla1[[#This Row],[Disponibilidad]],0)</f>
        <v>80</v>
      </c>
      <c r="BX28" s="375">
        <f>IF(Tabla1[[#This Row],[Combustible ofertado]]="HFO",Tabla1[[#This Row],[Disponibilidad]],0)</f>
        <v>0</v>
      </c>
      <c r="BY28" s="454">
        <v>1505</v>
      </c>
      <c r="BZ28" s="446">
        <f>'Horo. M'!C29</f>
        <v>24</v>
      </c>
      <c r="CA28" s="446">
        <f>'Horo. M'!E29</f>
        <v>24</v>
      </c>
      <c r="CB28" s="446">
        <f>'Horo. M'!G29</f>
        <v>24</v>
      </c>
      <c r="CC28" s="446">
        <f>'Horo. M'!I29</f>
        <v>24</v>
      </c>
      <c r="CD28" s="446">
        <f>'Horo. M'!K29</f>
        <v>0</v>
      </c>
      <c r="CE28" s="446">
        <f>'Horo. M'!M29</f>
        <v>23</v>
      </c>
      <c r="CF28" s="446">
        <f>'Horo. M'!O29</f>
        <v>24</v>
      </c>
      <c r="CG28" s="446">
        <f>'Horo. M'!Q29</f>
        <v>24</v>
      </c>
      <c r="CH28" s="446">
        <f>'Horo. M'!S29</f>
        <v>24</v>
      </c>
      <c r="CI28" s="446">
        <f>'Horo. M'!U29</f>
        <v>14</v>
      </c>
      <c r="CJ28" s="70">
        <f>Tabla1[[#This Row],[Con. DO Storage '[gal']]]-Tabla1[[#This Row],[C. DO Storage Ge '[gal']]]</f>
        <v>317.00646282977812</v>
      </c>
      <c r="CK28" s="70"/>
      <c r="CL28" s="70"/>
      <c r="CM28" s="372">
        <f>Tabla1[[#This Row],[Con. DO Total '[gal']]]*131485.5/(1000000)</f>
        <v>1149.7216943201652</v>
      </c>
    </row>
    <row r="29" spans="1:91" s="5" customFormat="1" ht="15" customHeight="1">
      <c r="A29" s="362">
        <v>44954</v>
      </c>
      <c r="B29" s="363" t="str">
        <f>TEXT(Tabla1[[#This Row],[Fecha]],"mmmm")</f>
        <v>enero</v>
      </c>
      <c r="C29" s="429">
        <v>0</v>
      </c>
      <c r="D29" s="430">
        <v>1137</v>
      </c>
      <c r="E29" s="430">
        <v>1137</v>
      </c>
      <c r="F29" s="430">
        <v>1310</v>
      </c>
      <c r="G29" s="431">
        <v>4</v>
      </c>
      <c r="H29" s="431">
        <v>212</v>
      </c>
      <c r="I29" s="432">
        <v>0</v>
      </c>
      <c r="J29" s="432">
        <v>0</v>
      </c>
      <c r="K29" s="430">
        <v>23</v>
      </c>
      <c r="L29" s="430">
        <v>24</v>
      </c>
      <c r="M29" s="365">
        <f>Tabla1[[#This Row],[Columna1]]-Tabla1[[#This Row],[PO '[h']]]</f>
        <v>1</v>
      </c>
      <c r="N29" s="365">
        <f t="shared" si="13"/>
        <v>1522</v>
      </c>
      <c r="O29" s="430">
        <v>1310</v>
      </c>
      <c r="P29" s="367">
        <f>Tabla1[[#This Row],[G. HGS 
'[MWh']]]</f>
        <v>1310</v>
      </c>
      <c r="Q29" s="430">
        <v>0</v>
      </c>
      <c r="R29" s="367">
        <v>0</v>
      </c>
      <c r="S29" s="367">
        <f>Tabla1[[#This Row],[G. HGS 
Con Gas]]*1000</f>
        <v>1310000</v>
      </c>
      <c r="T29" s="365">
        <f>Tabla1[[#This Row],[G. HGS 
'[MWh']]]*1000</f>
        <v>1310000</v>
      </c>
      <c r="U29" s="368">
        <f>SUM('G. Un GE'!B29:Y29)</f>
        <v>1505.8325999999997</v>
      </c>
      <c r="V29" s="369">
        <f>Tabla1[[#This Row],[R. GE
'[MWh']]]</f>
        <v>1505.8325999999997</v>
      </c>
      <c r="W29" s="434">
        <v>0</v>
      </c>
      <c r="X29" s="369">
        <v>0</v>
      </c>
      <c r="Y29" s="365">
        <f>Tabla1[[#This Row],[R. GE
'[MWh']]]*1000</f>
        <v>1505832.5999999996</v>
      </c>
      <c r="Z29" s="434">
        <v>37.68</v>
      </c>
      <c r="AA2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37.68</v>
      </c>
      <c r="AB29" s="368">
        <f>IF(Tabla1[[#This Row],[G. HGS 
'[MWh']]]=0,0,Tabla1[[#This Row],[G. HGS 
'[MWh']]]+Tabla1[[#This Row],[Con. Aux. '[MWh']2]])</f>
        <v>1347.68</v>
      </c>
      <c r="AC29" s="368">
        <f>'C. ENER. TN'!F29</f>
        <v>0</v>
      </c>
      <c r="AD29" s="370">
        <f>'C. ENER. TN'!G29</f>
        <v>1299.0275999999999</v>
      </c>
      <c r="AE29" s="370">
        <f>'G. Un GE'!AX29</f>
        <v>193.79818749999995</v>
      </c>
      <c r="AF29" s="368">
        <f>IFERROR('G. Un GE'!AX29/Tabla1[[#This Row],[PO '[h']]],0)</f>
        <v>8.4260081521739103</v>
      </c>
      <c r="AG29" s="365">
        <f>'Ar-Pa'!AX29</f>
        <v>2</v>
      </c>
      <c r="AH29" s="365">
        <f>'Ar-Pa'!AY29</f>
        <v>3</v>
      </c>
      <c r="AI29" s="365">
        <f>SUM('Cal. Arr'!AB32:AY32)</f>
        <v>0</v>
      </c>
      <c r="AJ29" s="442">
        <v>0</v>
      </c>
      <c r="AK29" s="442">
        <v>0.8</v>
      </c>
      <c r="AL29" s="267">
        <f t="shared" si="10"/>
        <v>211.33764188651872</v>
      </c>
      <c r="AM29" s="267">
        <f>+CONVERT(AK29+Tabla1[[#This Row],[Con. DO Storage Gen. '[m3']]],"m^3","gal")</f>
        <v>211.33764188651872</v>
      </c>
      <c r="AN29" s="372">
        <f>SUM('DO Pilot'!B29:Y29)</f>
        <v>6.9200000000000008</v>
      </c>
      <c r="AO29" s="372">
        <f t="shared" si="0"/>
        <v>1828.0706023183873</v>
      </c>
      <c r="AP29" s="267">
        <f>AK29+AN29+Tabla1[[#This Row],[Con. DO Storage Gen. '[m3']]]</f>
        <v>7.7200000000000006</v>
      </c>
      <c r="AQ29" s="372">
        <f t="shared" si="11"/>
        <v>2039.4082442049062</v>
      </c>
      <c r="AR29" s="442">
        <v>0</v>
      </c>
      <c r="AS29" s="442">
        <v>0</v>
      </c>
      <c r="AT29" s="267">
        <f>+CONVERT(SUM(Tabla1[[#This Row],[Repo. DO Storage '[gal']]:[Repo. DO Pilot '[gal']]]),"gal","m3")</f>
        <v>0</v>
      </c>
      <c r="AU29" s="442">
        <v>0</v>
      </c>
      <c r="AV29" s="267">
        <f t="shared" si="14"/>
        <v>0</v>
      </c>
      <c r="AW29" s="442">
        <v>0</v>
      </c>
      <c r="AX29" s="267">
        <f t="shared" si="2"/>
        <v>0</v>
      </c>
      <c r="AY29" s="372">
        <f t="shared" si="3"/>
        <v>0.16132644418818223</v>
      </c>
      <c r="AZ29" s="372">
        <f>IFERROR(AL29/'Ar-Pa'!AX29,0)</f>
        <v>105.66882094325936</v>
      </c>
      <c r="BA29" s="372">
        <f>IFERROR(AL29/'Ar-Pa'!AY29,0)</f>
        <v>70.445880628839575</v>
      </c>
      <c r="BB29" s="372">
        <f t="shared" si="4"/>
        <v>1.3954737422277765</v>
      </c>
      <c r="BC29" s="372">
        <f>IFERROR(AVERAGEIF('DO Pilot'!AX29:BU29,"&gt;0"),0)</f>
        <v>9.8042425384110459</v>
      </c>
      <c r="BD29" s="445">
        <v>356028</v>
      </c>
      <c r="BE29" s="445">
        <v>12603</v>
      </c>
      <c r="BF29" s="445">
        <v>355368</v>
      </c>
      <c r="BG29" s="223">
        <f>Tabla1[[#This Row],[ Re. Gas GC
 '[m3']]]</f>
        <v>355368</v>
      </c>
      <c r="BH29" s="150">
        <f>IFERROR((BG29*Gas!$B$2)/28.31685,0)</f>
        <v>12501.133630329645</v>
      </c>
      <c r="BI29" s="151">
        <f t="shared" si="15"/>
        <v>-101.8663696703552</v>
      </c>
      <c r="BJ29" s="74">
        <f t="shared" si="12"/>
        <v>-8.1485705762885333E-3</v>
      </c>
      <c r="BK29" s="223">
        <f t="shared" si="6"/>
        <v>9620.6106870228996</v>
      </c>
      <c r="BL29" s="442">
        <v>8838.81</v>
      </c>
      <c r="BM29" s="150">
        <f t="shared" si="7"/>
        <v>9276.0400320028821</v>
      </c>
      <c r="BN29" s="150">
        <f t="shared" si="8"/>
        <v>8301.8083353552356</v>
      </c>
      <c r="BO29" s="373">
        <f>IFERROR(Tabla1[[#This Row],[ Re. Gas GC
 '[m3']]]/Tabla1[[#This Row],[G. HGS 
Con Gas '[kWh']]],0)</f>
        <v>0.27127328244274806</v>
      </c>
      <c r="BP29" s="374">
        <f>Tank!Y30</f>
        <v>0</v>
      </c>
      <c r="BQ29" s="70">
        <f>Tank!AP30</f>
        <v>0</v>
      </c>
      <c r="BR29" s="70">
        <f>Tank!V30</f>
        <v>0</v>
      </c>
      <c r="BS29" s="372">
        <f>Tank!T30</f>
        <v>0</v>
      </c>
      <c r="BT29" s="375" t="s">
        <v>228</v>
      </c>
      <c r="BU29" s="449">
        <v>71</v>
      </c>
      <c r="BV29" s="375">
        <f>IF(Tabla1[[#This Row],[Combustible ofertado]]="GAS",Tabla1[[#This Row],[Disponibilidad]],0)</f>
        <v>0</v>
      </c>
      <c r="BW29" s="375">
        <f>IF(Tabla1[[#This Row],[Combustible ofertado]]="DIESEL",Tabla1[[#This Row],[Disponibilidad]],0)</f>
        <v>71</v>
      </c>
      <c r="BX29" s="375">
        <f>IF(Tabla1[[#This Row],[Combustible ofertado]]="HFO",Tabla1[[#This Row],[Disponibilidad]],0)</f>
        <v>0</v>
      </c>
      <c r="BY29" s="454">
        <v>1505</v>
      </c>
      <c r="BZ29" s="446">
        <f>'Horo. M'!C30</f>
        <v>24</v>
      </c>
      <c r="CA29" s="446">
        <f>'Horo. M'!E30</f>
        <v>24</v>
      </c>
      <c r="CB29" s="446">
        <f>'Horo. M'!G30</f>
        <v>21</v>
      </c>
      <c r="CC29" s="446">
        <f>'Horo. M'!I30</f>
        <v>20</v>
      </c>
      <c r="CD29" s="446">
        <f>'Horo. M'!K30</f>
        <v>0</v>
      </c>
      <c r="CE29" s="446">
        <f>'Horo. M'!M30</f>
        <v>0</v>
      </c>
      <c r="CF29" s="446">
        <f>'Horo. M'!O30</f>
        <v>24</v>
      </c>
      <c r="CG29" s="446">
        <f>'Horo. M'!Q30</f>
        <v>24</v>
      </c>
      <c r="CH29" s="446">
        <f>'Horo. M'!S30</f>
        <v>24</v>
      </c>
      <c r="CI29" s="446">
        <f>'Horo. M'!U30</f>
        <v>24</v>
      </c>
      <c r="CJ29" s="70">
        <f>Tabla1[[#This Row],[Con. DO Storage '[gal']]]-Tabla1[[#This Row],[C. DO Storage Ge '[gal']]]</f>
        <v>211.33764188651872</v>
      </c>
      <c r="CK29" s="70"/>
      <c r="CL29" s="70"/>
      <c r="CM29" s="372">
        <f>Tabla1[[#This Row],[Con. DO Total '[gal']]]*131485.5/(1000000)</f>
        <v>268.15261269340419</v>
      </c>
    </row>
    <row r="30" spans="1:91" s="5" customFormat="1" ht="15" customHeight="1">
      <c r="A30" s="362">
        <v>44955</v>
      </c>
      <c r="B30" s="363" t="str">
        <f>TEXT(Tabla1[[#This Row],[Fecha]],"mmmm")</f>
        <v>enero</v>
      </c>
      <c r="C30" s="429">
        <v>0</v>
      </c>
      <c r="D30" s="430">
        <v>978</v>
      </c>
      <c r="E30" s="430">
        <v>981</v>
      </c>
      <c r="F30" s="430">
        <v>1022</v>
      </c>
      <c r="G30" s="431">
        <v>0</v>
      </c>
      <c r="H30" s="431">
        <v>0</v>
      </c>
      <c r="I30" s="432">
        <v>2</v>
      </c>
      <c r="J30" s="432">
        <v>142</v>
      </c>
      <c r="K30" s="430">
        <v>20</v>
      </c>
      <c r="L30" s="430">
        <v>24</v>
      </c>
      <c r="M30" s="365">
        <f>Tabla1[[#This Row],[Columna1]]-Tabla1[[#This Row],[PO '[h']]]</f>
        <v>4</v>
      </c>
      <c r="N30" s="365">
        <f t="shared" si="13"/>
        <v>1164</v>
      </c>
      <c r="O30" s="430">
        <v>1022</v>
      </c>
      <c r="P30" s="367">
        <f>Tabla1[[#This Row],[G. HGS 
'[MWh']]]</f>
        <v>1022</v>
      </c>
      <c r="Q30" s="430">
        <v>0</v>
      </c>
      <c r="R30" s="367">
        <v>0</v>
      </c>
      <c r="S30" s="367">
        <f>Tabla1[[#This Row],[G. HGS 
Con Gas]]*1000</f>
        <v>1022000</v>
      </c>
      <c r="T30" s="365">
        <f>Tabla1[[#This Row],[G. HGS 
'[MWh']]]*1000</f>
        <v>1022000</v>
      </c>
      <c r="U30" s="368">
        <f>SUM('G. Un GE'!B30:Y30)</f>
        <v>1299.0276000000001</v>
      </c>
      <c r="V30" s="369">
        <f>Tabla1[[#This Row],[R. GE
'[MWh']]]</f>
        <v>1299.0276000000001</v>
      </c>
      <c r="W30" s="434">
        <v>0</v>
      </c>
      <c r="X30" s="369">
        <v>0</v>
      </c>
      <c r="Y30" s="365">
        <f>Tabla1[[#This Row],[R. GE
'[MWh']]]*1000</f>
        <v>1299027.6000000001</v>
      </c>
      <c r="Z30" s="434">
        <v>31.81</v>
      </c>
      <c r="AA3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29.768599999999999</v>
      </c>
      <c r="AB30" s="368">
        <f>IF(Tabla1[[#This Row],[G. HGS 
'[MWh']]]=0,0,Tabla1[[#This Row],[G. HGS 
'[MWh']]]+Tabla1[[#This Row],[Con. Aux. '[MWh']2]])</f>
        <v>1051.7686000000001</v>
      </c>
      <c r="AC30" s="368">
        <f>'C. ENER. TN'!F30</f>
        <v>2.0413999999999999</v>
      </c>
      <c r="AD30" s="370">
        <f>'C. ENER. TN'!G30</f>
        <v>1013.6327</v>
      </c>
      <c r="AE30" s="370">
        <f>'G. Un GE'!AX30</f>
        <v>207.37573333333336</v>
      </c>
      <c r="AF30" s="368">
        <f>IFERROR('G. Un GE'!AX30/Tabla1[[#This Row],[PO '[h']]],0)</f>
        <v>10.368786666666669</v>
      </c>
      <c r="AG30" s="365">
        <f>'Ar-Pa'!AX30</f>
        <v>10</v>
      </c>
      <c r="AH30" s="365">
        <f>'Ar-Pa'!AY30</f>
        <v>10</v>
      </c>
      <c r="AI30" s="365">
        <f>SUM('Cal. Arr'!AB33:AY33)</f>
        <v>1</v>
      </c>
      <c r="AJ30" s="442">
        <v>6.6</v>
      </c>
      <c r="AK30" s="442">
        <v>1.8</v>
      </c>
      <c r="AL30" s="267">
        <f t="shared" si="10"/>
        <v>475.50969424466717</v>
      </c>
      <c r="AM30" s="267">
        <f>+CONVERT(AK30+Tabla1[[#This Row],[Con. DO Storage Gen. '[m3']]],"m^3","gal")</f>
        <v>2219.0452398084467</v>
      </c>
      <c r="AN30" s="372">
        <f>SUM('DO Pilot'!B30:Y30)</f>
        <v>5.2900000000000018</v>
      </c>
      <c r="AO30" s="372">
        <f t="shared" si="0"/>
        <v>1397.4701569746057</v>
      </c>
      <c r="AP30" s="267">
        <f>AK30+AN30+Tabla1[[#This Row],[Con. DO Storage Gen. '[m3']]]</f>
        <v>13.690000000000001</v>
      </c>
      <c r="AQ30" s="372">
        <f t="shared" si="11"/>
        <v>3616.5153967830524</v>
      </c>
      <c r="AR30" s="442">
        <v>10609</v>
      </c>
      <c r="AS30" s="442">
        <v>0</v>
      </c>
      <c r="AT30" s="267">
        <f>+CONVERT(SUM(Tabla1[[#This Row],[Repo. DO Storage '[gal']]:[Repo. DO Pilot '[gal']]]),"gal","m3")</f>
        <v>40.159433616455999</v>
      </c>
      <c r="AU30" s="442">
        <v>0</v>
      </c>
      <c r="AV30" s="267">
        <f t="shared" si="14"/>
        <v>0</v>
      </c>
      <c r="AW30" s="442">
        <v>0</v>
      </c>
      <c r="AX30" s="267">
        <f t="shared" si="2"/>
        <v>0</v>
      </c>
      <c r="AY30" s="372">
        <f t="shared" si="3"/>
        <v>0.46527367342922427</v>
      </c>
      <c r="AZ30" s="372">
        <f>IFERROR(AL30/'Ar-Pa'!AX30,0)</f>
        <v>47.550969424466714</v>
      </c>
      <c r="BA30" s="372">
        <f>IFERROR(AL30/'Ar-Pa'!AY30,0)</f>
        <v>47.550969424466714</v>
      </c>
      <c r="BB30" s="372">
        <f t="shared" si="4"/>
        <v>1.3673876291336651</v>
      </c>
      <c r="BC30" s="372">
        <f>IFERROR(AVERAGEIF('DO Pilot'!AX30:BU30,"&gt;0"),0)</f>
        <v>9.5657538800321635</v>
      </c>
      <c r="BD30" s="445">
        <v>269831</v>
      </c>
      <c r="BE30" s="445">
        <v>9552</v>
      </c>
      <c r="BF30" s="445">
        <v>268349</v>
      </c>
      <c r="BG30" s="223">
        <f>Tabla1[[#This Row],[ Re. Gas GC
 '[m3']]]</f>
        <v>268349</v>
      </c>
      <c r="BH30" s="150">
        <f>IFERROR((BG30*Gas!$B$2)/28.31685,0)</f>
        <v>9439.9797071355042</v>
      </c>
      <c r="BI30" s="151">
        <f t="shared" si="15"/>
        <v>-112.02029286449579</v>
      </c>
      <c r="BJ30" s="74">
        <f t="shared" si="12"/>
        <v>-1.1866581956719859E-2</v>
      </c>
      <c r="BK30" s="223">
        <f t="shared" si="6"/>
        <v>9346.3796477495107</v>
      </c>
      <c r="BL30" s="442">
        <v>8950.4500000000007</v>
      </c>
      <c r="BM30" s="150">
        <f t="shared" si="7"/>
        <v>8975.3389739297254</v>
      </c>
      <c r="BN30" s="150">
        <f t="shared" si="8"/>
        <v>7266.9585366280926</v>
      </c>
      <c r="BO30" s="373">
        <f>IFERROR(Tabla1[[#This Row],[ Re. Gas GC
 '[m3']]]/Tabla1[[#This Row],[G. HGS 
Con Gas '[kWh']]],0)</f>
        <v>0.26257240704500978</v>
      </c>
      <c r="BP30" s="374">
        <f>Tank!Y31</f>
        <v>0</v>
      </c>
      <c r="BQ30" s="70">
        <f>Tank!AP31</f>
        <v>0</v>
      </c>
      <c r="BR30" s="70">
        <f>Tank!V31</f>
        <v>0</v>
      </c>
      <c r="BS30" s="372">
        <f>Tank!T31</f>
        <v>0</v>
      </c>
      <c r="BT30" s="375" t="s">
        <v>228</v>
      </c>
      <c r="BU30" s="449">
        <v>71</v>
      </c>
      <c r="BV30" s="375">
        <f>IF(Tabla1[[#This Row],[Combustible ofertado]]="GAS",Tabla1[[#This Row],[Disponibilidad]],0)</f>
        <v>0</v>
      </c>
      <c r="BW30" s="375">
        <f>IF(Tabla1[[#This Row],[Combustible ofertado]]="DIESEL",Tabla1[[#This Row],[Disponibilidad]],0)</f>
        <v>71</v>
      </c>
      <c r="BX30" s="375">
        <f>IF(Tabla1[[#This Row],[Combustible ofertado]]="HFO",Tabla1[[#This Row],[Disponibilidad]],0)</f>
        <v>0</v>
      </c>
      <c r="BY30" s="454">
        <v>1505</v>
      </c>
      <c r="BZ30" s="446">
        <f>'Horo. M'!C31</f>
        <v>21</v>
      </c>
      <c r="CA30" s="446">
        <f>'Horo. M'!E31</f>
        <v>18</v>
      </c>
      <c r="CB30" s="446">
        <f>'Horo. M'!G31</f>
        <v>18</v>
      </c>
      <c r="CC30" s="446">
        <f>'Horo. M'!I31</f>
        <v>17</v>
      </c>
      <c r="CD30" s="446">
        <f>'Horo. M'!K31</f>
        <v>0</v>
      </c>
      <c r="CE30" s="446">
        <f>'Horo. M'!M31</f>
        <v>17</v>
      </c>
      <c r="CF30" s="446">
        <f>'Horo. M'!O31</f>
        <v>17</v>
      </c>
      <c r="CG30" s="446">
        <f>'Horo. M'!Q31</f>
        <v>0</v>
      </c>
      <c r="CH30" s="446">
        <f>'Horo. M'!S31</f>
        <v>18</v>
      </c>
      <c r="CI30" s="446">
        <f>'Horo. M'!U31</f>
        <v>20</v>
      </c>
      <c r="CJ30" s="70">
        <f>Tabla1[[#This Row],[Con. DO Storage '[gal']]]-Tabla1[[#This Row],[C. DO Storage Ge '[gal']]]</f>
        <v>475.50969424466717</v>
      </c>
      <c r="CK30" s="70"/>
      <c r="CL30" s="70"/>
      <c r="CM30" s="372">
        <f>Tabla1[[#This Row],[Con. DO Total '[gal']]]*131485.5/(1000000)</f>
        <v>475.51933520371807</v>
      </c>
    </row>
    <row r="31" spans="1:91" s="5" customFormat="1" ht="15" customHeight="1">
      <c r="A31" s="362">
        <v>44956</v>
      </c>
      <c r="B31" s="363" t="str">
        <f>TEXT(Tabla1[[#This Row],[Fecha]],"mmmm")</f>
        <v>enero</v>
      </c>
      <c r="C31" s="429">
        <v>0</v>
      </c>
      <c r="D31" s="430">
        <v>1264</v>
      </c>
      <c r="E31" s="430">
        <v>1264</v>
      </c>
      <c r="F31" s="430">
        <v>1307</v>
      </c>
      <c r="G31" s="431">
        <v>0</v>
      </c>
      <c r="H31" s="431">
        <v>0</v>
      </c>
      <c r="I31" s="432">
        <v>0</v>
      </c>
      <c r="J31" s="432">
        <v>0</v>
      </c>
      <c r="K31" s="430">
        <v>22</v>
      </c>
      <c r="L31" s="430">
        <v>24</v>
      </c>
      <c r="M31" s="365">
        <f>Tabla1[[#This Row],[Columna1]]-Tabla1[[#This Row],[PO '[h']]]</f>
        <v>2</v>
      </c>
      <c r="N31" s="365">
        <f t="shared" si="13"/>
        <v>1307</v>
      </c>
      <c r="O31" s="430">
        <v>1307</v>
      </c>
      <c r="P31" s="367">
        <f>Tabla1[[#This Row],[G. HGS 
'[MWh']]]</f>
        <v>1307</v>
      </c>
      <c r="Q31" s="430">
        <v>0</v>
      </c>
      <c r="R31" s="367">
        <v>0</v>
      </c>
      <c r="S31" s="367">
        <f>Tabla1[[#This Row],[G. HGS 
Con Gas]]*1000</f>
        <v>1307000</v>
      </c>
      <c r="T31" s="365">
        <f>Tabla1[[#This Row],[G. HGS 
'[MWh']]]*1000</f>
        <v>1307000</v>
      </c>
      <c r="U31" s="368">
        <f>SUM('G. Un GE'!B31:Y31)</f>
        <v>1013.6326999999999</v>
      </c>
      <c r="V31" s="369">
        <f>Tabla1[[#This Row],[R. GE
'[MWh']]]</f>
        <v>1013.6326999999999</v>
      </c>
      <c r="W31" s="434">
        <v>0</v>
      </c>
      <c r="X31" s="369">
        <v>0</v>
      </c>
      <c r="Y31" s="365">
        <f>Tabla1[[#This Row],[R. GE
'[MWh']]]*1000</f>
        <v>1013632.6999999998</v>
      </c>
      <c r="Z31" s="434">
        <v>37.450000000000003</v>
      </c>
      <c r="AA3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36.492000000000004</v>
      </c>
      <c r="AB31" s="368">
        <f>IF(Tabla1[[#This Row],[G. HGS 
'[MWh']]]=0,0,Tabla1[[#This Row],[G. HGS 
'[MWh']]]+Tabla1[[#This Row],[Con. Aux. '[MWh']2]])</f>
        <v>1343.492</v>
      </c>
      <c r="AC31" s="368">
        <f>'C. ENER. TN'!F31</f>
        <v>0.95799999999999996</v>
      </c>
      <c r="AD31" s="370">
        <f>'C. ENER. TN'!G31</f>
        <v>1294.7347999999997</v>
      </c>
      <c r="AE31" s="370">
        <f>'G. Un GE'!AX31</f>
        <v>124.19645555555554</v>
      </c>
      <c r="AF31" s="368">
        <f>IFERROR('G. Un GE'!AX31/Tabla1[[#This Row],[PO '[h']]],0)</f>
        <v>5.6452934343434338</v>
      </c>
      <c r="AG31" s="365">
        <f>'Ar-Pa'!AX31</f>
        <v>8</v>
      </c>
      <c r="AH31" s="365">
        <f>'Ar-Pa'!AY31</f>
        <v>7</v>
      </c>
      <c r="AI31" s="365">
        <f>SUM('Cal. Arr'!AB34:AY34)</f>
        <v>0</v>
      </c>
      <c r="AJ31" s="442">
        <v>0</v>
      </c>
      <c r="AK31" s="442">
        <v>2.1</v>
      </c>
      <c r="AL31" s="267">
        <f t="shared" si="10"/>
        <v>554.76130995211167</v>
      </c>
      <c r="AM31" s="267">
        <f>+CONVERT(AK31+Tabla1[[#This Row],[Con. DO Storage Gen. '[m3']]],"m^3","gal")</f>
        <v>554.76130995211167</v>
      </c>
      <c r="AN31" s="372">
        <f>SUM('DO Pilot'!B31:Y31)</f>
        <v>6.2399999999999975</v>
      </c>
      <c r="AO31" s="372">
        <f t="shared" si="0"/>
        <v>1648.4336067148454</v>
      </c>
      <c r="AP31" s="267">
        <f>AK31+AN31+Tabla1[[#This Row],[Con. DO Storage Gen. '[m3']]]</f>
        <v>8.3399999999999981</v>
      </c>
      <c r="AQ31" s="372">
        <f t="shared" si="11"/>
        <v>2203.1949166669574</v>
      </c>
      <c r="AR31" s="442">
        <v>0</v>
      </c>
      <c r="AS31" s="442">
        <v>0</v>
      </c>
      <c r="AT31" s="267">
        <f>+CONVERT(SUM(Tabla1[[#This Row],[Repo. DO Storage '[gal']]:[Repo. DO Pilot '[gal']]]),"gal","m3")</f>
        <v>0</v>
      </c>
      <c r="AU31" s="442">
        <v>0</v>
      </c>
      <c r="AV31" s="267">
        <f t="shared" si="14"/>
        <v>0</v>
      </c>
      <c r="AW31" s="442">
        <v>0</v>
      </c>
      <c r="AX31" s="267">
        <f t="shared" si="2"/>
        <v>0</v>
      </c>
      <c r="AY31" s="372">
        <f t="shared" si="3"/>
        <v>0.42445394793581614</v>
      </c>
      <c r="AZ31" s="372">
        <f>IFERROR(AL31/'Ar-Pa'!AX31,0)</f>
        <v>69.345163744013959</v>
      </c>
      <c r="BA31" s="372">
        <f>IFERROR(AL31/'Ar-Pa'!AY31,0)</f>
        <v>79.251615707444529</v>
      </c>
      <c r="BB31" s="372">
        <f t="shared" si="4"/>
        <v>1.2612345881521387</v>
      </c>
      <c r="BC31" s="372">
        <f>IFERROR(AVERAGEIF('DO Pilot'!AX31:BU31,"&gt;0"),0)</f>
        <v>8.44494454413433</v>
      </c>
      <c r="BD31" s="445">
        <v>350621</v>
      </c>
      <c r="BE31" s="445">
        <v>12411</v>
      </c>
      <c r="BF31" s="445">
        <v>349713</v>
      </c>
      <c r="BG31" s="223">
        <f>Tabla1[[#This Row],[ Re. Gas GC
 '[m3']]]</f>
        <v>349713</v>
      </c>
      <c r="BH31" s="150">
        <f>IFERROR((BG31*Gas!$B$2)/28.31685,0)</f>
        <v>12302.202070145515</v>
      </c>
      <c r="BI31" s="151">
        <f t="shared" si="15"/>
        <v>-108.79792985448512</v>
      </c>
      <c r="BJ31" s="74">
        <f t="shared" si="12"/>
        <v>-8.8437768485783146E-3</v>
      </c>
      <c r="BK31" s="223">
        <f t="shared" si="6"/>
        <v>9495.7918898240241</v>
      </c>
      <c r="BL31" s="442">
        <v>8954.0499999999993</v>
      </c>
      <c r="BM31" s="150">
        <f t="shared" si="7"/>
        <v>9156.8852439355906</v>
      </c>
      <c r="BN31" s="150">
        <f t="shared" si="8"/>
        <v>12136.745460308764</v>
      </c>
      <c r="BO31" s="373">
        <f>IFERROR(Tabla1[[#This Row],[ Re. Gas GC
 '[m3']]]/Tabla1[[#This Row],[G. HGS 
Con Gas '[kWh']]],0)</f>
        <v>0.26756924254016834</v>
      </c>
      <c r="BP31" s="374">
        <f>Tank!Y32</f>
        <v>0</v>
      </c>
      <c r="BQ31" s="70">
        <f>Tank!AP32</f>
        <v>46.8</v>
      </c>
      <c r="BR31" s="70">
        <f>Tank!V32</f>
        <v>0</v>
      </c>
      <c r="BS31" s="372">
        <f>Tank!T32</f>
        <v>0</v>
      </c>
      <c r="BT31" s="375" t="s">
        <v>228</v>
      </c>
      <c r="BU31" s="449">
        <v>80</v>
      </c>
      <c r="BV31" s="375">
        <f>IF(Tabla1[[#This Row],[Combustible ofertado]]="GAS",Tabla1[[#This Row],[Disponibilidad]],0)</f>
        <v>0</v>
      </c>
      <c r="BW31" s="375">
        <f>IF(Tabla1[[#This Row],[Combustible ofertado]]="DIESEL",Tabla1[[#This Row],[Disponibilidad]],0)</f>
        <v>80</v>
      </c>
      <c r="BX31" s="375">
        <f>IF(Tabla1[[#This Row],[Combustible ofertado]]="HFO",Tabla1[[#This Row],[Disponibilidad]],0)</f>
        <v>0</v>
      </c>
      <c r="BY31" s="454">
        <v>1505</v>
      </c>
      <c r="BZ31" s="446">
        <f>'Horo. M'!C32</f>
        <v>22</v>
      </c>
      <c r="CA31" s="446">
        <f>'Horo. M'!E32</f>
        <v>20</v>
      </c>
      <c r="CB31" s="446">
        <f>'Horo. M'!G32</f>
        <v>21</v>
      </c>
      <c r="CC31" s="446">
        <f>'Horo. M'!I32</f>
        <v>18</v>
      </c>
      <c r="CD31" s="446">
        <f>'Horo. M'!K32</f>
        <v>0</v>
      </c>
      <c r="CE31" s="446">
        <f>'Horo. M'!M32</f>
        <v>18</v>
      </c>
      <c r="CF31" s="446">
        <f>'Horo. M'!O32</f>
        <v>20</v>
      </c>
      <c r="CG31" s="446">
        <f>'Horo. M'!Q32</f>
        <v>21</v>
      </c>
      <c r="CH31" s="446">
        <f>'Horo. M'!S32</f>
        <v>21</v>
      </c>
      <c r="CI31" s="446">
        <f>'Horo. M'!U32</f>
        <v>23</v>
      </c>
      <c r="CJ31" s="70">
        <f>Tabla1[[#This Row],[Con. DO Storage '[gal']]]-Tabla1[[#This Row],[C. DO Storage Ge '[gal']]]</f>
        <v>554.76130995211167</v>
      </c>
      <c r="CK31" s="70"/>
      <c r="CL31" s="70"/>
      <c r="CM31" s="372">
        <f>Tabla1[[#This Row],[Con. DO Total '[gal']]]*131485.5/(1000000)</f>
        <v>289.68818521541323</v>
      </c>
    </row>
    <row r="32" spans="1:91" s="5" customFormat="1" ht="15" customHeight="1">
      <c r="A32" s="362">
        <v>44957</v>
      </c>
      <c r="B32" s="363" t="str">
        <f>TEXT(Tabla1[[#This Row],[Fecha]],"mmmm")</f>
        <v>enero</v>
      </c>
      <c r="C32" s="429">
        <v>0</v>
      </c>
      <c r="D32" s="430">
        <v>1488</v>
      </c>
      <c r="E32" s="430">
        <v>1488</v>
      </c>
      <c r="F32" s="430">
        <v>1508</v>
      </c>
      <c r="G32" s="431">
        <v>0</v>
      </c>
      <c r="H32" s="431">
        <v>0</v>
      </c>
      <c r="I32" s="432">
        <v>0</v>
      </c>
      <c r="J32" s="432">
        <v>0</v>
      </c>
      <c r="K32" s="430">
        <v>24</v>
      </c>
      <c r="L32" s="430">
        <v>24</v>
      </c>
      <c r="M32" s="365">
        <f>Tabla1[[#This Row],[Columna1]]-Tabla1[[#This Row],[PO '[h']]]</f>
        <v>0</v>
      </c>
      <c r="N32" s="365">
        <f t="shared" si="13"/>
        <v>1508</v>
      </c>
      <c r="O32" s="430">
        <v>1508</v>
      </c>
      <c r="P32" s="367">
        <f>Tabla1[[#This Row],[G. HGS 
'[MWh']]]</f>
        <v>1508</v>
      </c>
      <c r="Q32" s="434">
        <v>311.75880000000001</v>
      </c>
      <c r="R32" s="367">
        <v>0</v>
      </c>
      <c r="S32" s="367">
        <f>Tabla1[[#This Row],[G. HGS 
Con Gas]]*1000</f>
        <v>1508000</v>
      </c>
      <c r="T32" s="365">
        <f>Tabla1[[#This Row],[G. HGS 
'[MWh']]]*1000</f>
        <v>1508000</v>
      </c>
      <c r="U32" s="368">
        <f>SUM('G. Un GE'!B32:Y32)</f>
        <v>1294.7348</v>
      </c>
      <c r="V32" s="369">
        <f>Tabla1[[#This Row],[R. GE
'[MWh']]]</f>
        <v>1294.7348</v>
      </c>
      <c r="W32" s="434">
        <f>SUM('G. Un GE'!I32:K32,'G. Un GE'!P32:R32)</f>
        <v>311.75880000000001</v>
      </c>
      <c r="X32" s="369">
        <v>0</v>
      </c>
      <c r="Y32" s="365">
        <f>Tabla1[[#This Row],[R. GE
'[MWh']]]*1000</f>
        <v>1294734.8</v>
      </c>
      <c r="Z32" s="434">
        <v>40.9</v>
      </c>
      <c r="AA3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40.9</v>
      </c>
      <c r="AB32" s="368">
        <f>IF(Tabla1[[#This Row],[G. HGS 
'[MWh']]]=0,0,Tabla1[[#This Row],[G. HGS 
'[MWh']]]+Tabla1[[#This Row],[Con. Aux. '[MWh']2]])</f>
        <v>1548.9</v>
      </c>
      <c r="AC32" s="368">
        <f>'C. ENER. TN'!F32</f>
        <v>0</v>
      </c>
      <c r="AD32" s="370">
        <f>'C. ENER. TN'!G32</f>
        <v>1494.2703000000001</v>
      </c>
      <c r="AE32" s="370">
        <f>'G. Un GE'!AX32</f>
        <v>148.07825277777775</v>
      </c>
      <c r="AF32" s="368">
        <f>IFERROR('G. Un GE'!AX32/Tabla1[[#This Row],[PO '[h']]],0)</f>
        <v>6.1699271990740732</v>
      </c>
      <c r="AG32" s="365">
        <f>'Ar-Pa'!AX32</f>
        <v>4</v>
      </c>
      <c r="AH32" s="365">
        <f>'Ar-Pa'!AY32</f>
        <v>5</v>
      </c>
      <c r="AI32" s="365">
        <f>SUM('Cal. Arr'!AB35:AY35)</f>
        <v>0</v>
      </c>
      <c r="AJ32" s="442">
        <v>5.7</v>
      </c>
      <c r="AK32" s="442">
        <v>2</v>
      </c>
      <c r="AL32" s="267">
        <f t="shared" si="10"/>
        <v>528.3441047162969</v>
      </c>
      <c r="AM32" s="267">
        <f>+CONVERT(AK32+Tabla1[[#This Row],[Con. DO Storage Gen. '[m3']]],"m^3","gal")</f>
        <v>2034.1248031577429</v>
      </c>
      <c r="AN32" s="372">
        <f>SUM('DO Pilot'!B32:Y32)</f>
        <v>7.6500000000000021</v>
      </c>
      <c r="AO32" s="372">
        <f t="shared" si="0"/>
        <v>2020.9162005398359</v>
      </c>
      <c r="AP32" s="267">
        <f>AK32+AN32+Tabla1[[#This Row],[Con. DO Storage Gen. '[m3']]]</f>
        <v>15.350000000000001</v>
      </c>
      <c r="AQ32" s="372">
        <f t="shared" si="11"/>
        <v>4055.0410036975786</v>
      </c>
      <c r="AR32" s="442">
        <v>0</v>
      </c>
      <c r="AS32" s="442">
        <v>0</v>
      </c>
      <c r="AT32" s="267">
        <f>+CONVERT(SUM(Tabla1[[#This Row],[Repo. DO Storage '[gal']]:[Repo. DO Pilot '[gal']]]),"gal","m3")</f>
        <v>0</v>
      </c>
      <c r="AU32" s="442">
        <v>0</v>
      </c>
      <c r="AV32" s="267">
        <f t="shared" si="14"/>
        <v>0</v>
      </c>
      <c r="AW32" s="442">
        <v>0</v>
      </c>
      <c r="AX32" s="267">
        <f t="shared" si="2"/>
        <v>0</v>
      </c>
      <c r="AY32" s="372">
        <f t="shared" si="3"/>
        <v>0.3503608121460855</v>
      </c>
      <c r="AZ32" s="372">
        <f>IFERROR(AL32/'Ar-Pa'!AX32,0)</f>
        <v>132.08602617907422</v>
      </c>
      <c r="BA32" s="372">
        <f>IFERROR(AL32/'Ar-Pa'!AY32,0)</f>
        <v>105.66882094325938</v>
      </c>
      <c r="BB32" s="372">
        <f t="shared" si="4"/>
        <v>1.3401301064587772</v>
      </c>
      <c r="BC32" s="372">
        <f>IFERROR(AVERAGEIF('DO Pilot'!AX32:BU32,"&gt;0"),0)</f>
        <v>9.6435029298333319</v>
      </c>
      <c r="BD32" s="445">
        <v>396922</v>
      </c>
      <c r="BE32" s="445">
        <v>14050</v>
      </c>
      <c r="BF32" s="445">
        <v>396830</v>
      </c>
      <c r="BG32" s="223">
        <f>Tabla1[[#This Row],[ Re. Gas GC
 '[m3']]]</f>
        <v>396830</v>
      </c>
      <c r="BH32" s="150">
        <f>IFERROR((BG32*Gas!$B$2)/28.31685,0)</f>
        <v>13959.683647722115</v>
      </c>
      <c r="BI32" s="151">
        <f>BH32-BE32</f>
        <v>-90.316352277885017</v>
      </c>
      <c r="BJ32" s="74">
        <f t="shared" si="12"/>
        <v>-6.4697993562785701E-3</v>
      </c>
      <c r="BK32" s="223">
        <f t="shared" si="6"/>
        <v>9316.9761273209533</v>
      </c>
      <c r="BL32" s="442">
        <v>8989.51</v>
      </c>
      <c r="BM32" s="150">
        <f t="shared" si="7"/>
        <v>9012.6435842998999</v>
      </c>
      <c r="BN32" s="150">
        <f t="shared" si="8"/>
        <v>10781.886489590081</v>
      </c>
      <c r="BO32" s="373">
        <f>IFERROR(Tabla1[[#This Row],[ Re. Gas GC
 '[m3']]]/Tabla1[[#This Row],[G. HGS 
Con Gas '[kWh']]],0)</f>
        <v>0.26314986737400531</v>
      </c>
      <c r="BP32" s="374">
        <f>Tank!Y33</f>
        <v>0</v>
      </c>
      <c r="BQ32" s="70">
        <f>Tank!AP33</f>
        <v>0</v>
      </c>
      <c r="BR32" s="70">
        <f>Tank!V33</f>
        <v>0</v>
      </c>
      <c r="BS32" s="372">
        <f>Tank!T33</f>
        <v>0</v>
      </c>
      <c r="BT32" s="375" t="s">
        <v>228</v>
      </c>
      <c r="BU32" s="449">
        <v>80</v>
      </c>
      <c r="BV32" s="375">
        <f>IF(Tabla1[[#This Row],[Combustible ofertado]]="GAS",Tabla1[[#This Row],[Disponibilidad]],0)</f>
        <v>0</v>
      </c>
      <c r="BW32" s="375">
        <f>IF(Tabla1[[#This Row],[Combustible ofertado]]="DIESEL",Tabla1[[#This Row],[Disponibilidad]],0)</f>
        <v>80</v>
      </c>
      <c r="BX32" s="375">
        <f>IF(Tabla1[[#This Row],[Combustible ofertado]]="HFO",Tabla1[[#This Row],[Disponibilidad]],0)</f>
        <v>0</v>
      </c>
      <c r="BY32" s="454">
        <v>1505</v>
      </c>
      <c r="BZ32" s="446">
        <f>'Horo. M'!C33</f>
        <v>23</v>
      </c>
      <c r="CA32" s="446">
        <f>'Horo. M'!E33</f>
        <v>24</v>
      </c>
      <c r="CB32" s="446">
        <f>'Horo. M'!G33</f>
        <v>24</v>
      </c>
      <c r="CC32" s="446">
        <f>'Horo. M'!I33</f>
        <v>24</v>
      </c>
      <c r="CD32" s="446">
        <f>'Horo. M'!K33</f>
        <v>0</v>
      </c>
      <c r="CE32" s="446">
        <f>'Horo. M'!M33</f>
        <v>20</v>
      </c>
      <c r="CF32" s="446">
        <f>'Horo. M'!O33</f>
        <v>24</v>
      </c>
      <c r="CG32" s="446">
        <f>'Horo. M'!Q33</f>
        <v>24</v>
      </c>
      <c r="CH32" s="446">
        <f>'Horo. M'!S33</f>
        <v>23</v>
      </c>
      <c r="CI32" s="446">
        <f>'Horo. M'!U33</f>
        <v>24</v>
      </c>
      <c r="CJ32" s="70">
        <f>Tabla1[[#This Row],[Con. DO Storage '[gal']]]-Tabla1[[#This Row],[C. DO Storage Ge '[gal']]]</f>
        <v>528.3441047162969</v>
      </c>
      <c r="CK32" s="70"/>
      <c r="CL32" s="70"/>
      <c r="CM32" s="372">
        <f>Tabla1[[#This Row],[Con. DO Total '[gal']]]*131485.5/(1000000)</f>
        <v>533.17909389167801</v>
      </c>
    </row>
    <row r="33" spans="1:91" s="5" customFormat="1" ht="15" customHeight="1">
      <c r="A33" s="362">
        <v>44958</v>
      </c>
      <c r="B33" s="363" t="str">
        <f>TEXT(Tabla1[[#This Row],[Fecha]],"mmmm")</f>
        <v>febrero</v>
      </c>
      <c r="C33" s="429">
        <v>0</v>
      </c>
      <c r="D33" s="430">
        <v>1488</v>
      </c>
      <c r="E33" s="430">
        <v>1434</v>
      </c>
      <c r="F33" s="430">
        <v>1434</v>
      </c>
      <c r="G33" s="431">
        <v>10</v>
      </c>
      <c r="H33" s="431">
        <v>530</v>
      </c>
      <c r="I33" s="432">
        <v>1</v>
      </c>
      <c r="J33" s="432">
        <v>53</v>
      </c>
      <c r="K33" s="430">
        <v>24</v>
      </c>
      <c r="L33" s="430">
        <v>24</v>
      </c>
      <c r="M33" s="365">
        <f>Tabla1[[#This Row],[Columna1]]-Tabla1[[#This Row],[PO '[h']]]</f>
        <v>0</v>
      </c>
      <c r="N33" s="365">
        <f t="shared" si="13"/>
        <v>2017</v>
      </c>
      <c r="O33" s="430">
        <v>1434</v>
      </c>
      <c r="P33" s="367">
        <f>Tabla1[[#This Row],[G. HGS 
'[MWh']]]</f>
        <v>1434</v>
      </c>
      <c r="Q33" s="430">
        <v>0</v>
      </c>
      <c r="R33" s="367">
        <v>0</v>
      </c>
      <c r="S33" s="367">
        <f>Tabla1[[#This Row],[G. HGS 
Con Gas]]*1000</f>
        <v>1434000</v>
      </c>
      <c r="T33" s="365">
        <f>Tabla1[[#This Row],[G. HGS 
'[MWh']]]*1000</f>
        <v>1434000</v>
      </c>
      <c r="U33" s="368">
        <f>SUM('G. Un GE'!B33:Y33)</f>
        <v>1421.8445000000002</v>
      </c>
      <c r="V33" s="369">
        <f>Tabla1[[#This Row],[R. GE
'[MWh']]]</f>
        <v>1421.8445000000002</v>
      </c>
      <c r="W33" s="434">
        <v>0</v>
      </c>
      <c r="X33" s="369">
        <v>0</v>
      </c>
      <c r="Y33" s="365">
        <f>Tabla1[[#This Row],[R. GE
'[MWh']]]*1000</f>
        <v>1421844.5000000002</v>
      </c>
      <c r="Z33" s="434">
        <v>38.53</v>
      </c>
      <c r="AA3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38.53</v>
      </c>
      <c r="AB33" s="368">
        <f>IF(Tabla1[[#This Row],[G. HGS 
'[MWh']]]=0,0,Tabla1[[#This Row],[G. HGS 
'[MWh']]]+Tabla1[[#This Row],[Con. Aux. '[MWh']2]])</f>
        <v>1472.53</v>
      </c>
      <c r="AC33" s="368">
        <f>'C. ENER. TN'!F33</f>
        <v>0</v>
      </c>
      <c r="AD33" s="370">
        <f>'C. ENER. TN'!G33</f>
        <v>1421.8444999999999</v>
      </c>
      <c r="AE33" s="370">
        <f>'G. Un GE'!AX33</f>
        <v>173.2830486111111</v>
      </c>
      <c r="AF33" s="368">
        <f>IFERROR('G. Un GE'!AX33/Tabla1[[#This Row],[PO '[h']]],0)</f>
        <v>7.2201270254629621</v>
      </c>
      <c r="AG33" s="365">
        <f>'Ar-Pa'!AX33</f>
        <v>1</v>
      </c>
      <c r="AH33" s="365">
        <f>'Ar-Pa'!AY33</f>
        <v>1</v>
      </c>
      <c r="AI33" s="365">
        <f>SUM('Cal. Arr'!AB36:AY36)</f>
        <v>0</v>
      </c>
      <c r="AJ33" s="442">
        <v>3.9</v>
      </c>
      <c r="AK33" s="442">
        <v>2.4</v>
      </c>
      <c r="AL33" s="267">
        <f t="shared" si="10"/>
        <v>634.01292565955623</v>
      </c>
      <c r="AM33" s="267">
        <f>+CONVERT(AK33+Tabla1[[#This Row],[Con. DO Storage Gen. '[m3']]],"m^3","gal")</f>
        <v>1664.2839298563351</v>
      </c>
      <c r="AN33" s="372">
        <f>SUM('DO Pilot'!B33:Y33)</f>
        <v>6.6</v>
      </c>
      <c r="AO33" s="372">
        <f t="shared" si="0"/>
        <v>1743.5355455637796</v>
      </c>
      <c r="AP33" s="267">
        <f>AK33+AN33+Tabla1[[#This Row],[Con. DO Storage Gen. '[m3']]]</f>
        <v>12.9</v>
      </c>
      <c r="AQ33" s="372">
        <f t="shared" si="11"/>
        <v>3407.8194754201145</v>
      </c>
      <c r="AR33" s="442">
        <v>0</v>
      </c>
      <c r="AS33" s="442">
        <v>0</v>
      </c>
      <c r="AT33" s="267">
        <f>+CONVERT(SUM(Tabla1[[#This Row],[Repo. DO Storage '[gal']]:[Repo. DO Pilot '[gal']]]),"gal","m3")</f>
        <v>0</v>
      </c>
      <c r="AU33" s="442">
        <v>0</v>
      </c>
      <c r="AV33" s="267">
        <f t="shared" si="14"/>
        <v>0</v>
      </c>
      <c r="AW33" s="442">
        <v>0</v>
      </c>
      <c r="AX33" s="267">
        <f t="shared" si="2"/>
        <v>0</v>
      </c>
      <c r="AY33" s="372">
        <f t="shared" si="3"/>
        <v>0.44212895792158735</v>
      </c>
      <c r="AZ33" s="372">
        <f>IFERROR(AL33/'Ar-Pa'!AX33,0)</f>
        <v>634.01292565955623</v>
      </c>
      <c r="BA33" s="372">
        <f>IFERROR(AL33/'Ar-Pa'!AY33,0)</f>
        <v>634.01292565955623</v>
      </c>
      <c r="BB33" s="372">
        <f t="shared" si="4"/>
        <v>1.215854634284365</v>
      </c>
      <c r="BC33" s="372">
        <f>IFERROR(AVERAGEIF('DO Pilot'!AX33:BU33,"&gt;0"),0)</f>
        <v>8.8531270555904911</v>
      </c>
      <c r="BD33" s="445">
        <v>379907</v>
      </c>
      <c r="BE33" s="445">
        <v>13448</v>
      </c>
      <c r="BF33" s="445">
        <v>379617</v>
      </c>
      <c r="BG33" s="223">
        <f>Tabla1[[#This Row],[ Re. Gas GC
 '[m3']]]</f>
        <v>379617</v>
      </c>
      <c r="BH33" s="150">
        <f>IFERROR((BG33*Gas!$B$3)/28.31685,0)</f>
        <v>13354.835126788468</v>
      </c>
      <c r="BI33" s="151">
        <f t="shared" si="15"/>
        <v>-93.164873211531813</v>
      </c>
      <c r="BJ33" s="74">
        <f t="shared" si="12"/>
        <v>-6.9761155661631769E-3</v>
      </c>
      <c r="BK33" s="223">
        <f t="shared" si="6"/>
        <v>9377.9637377963736</v>
      </c>
      <c r="BL33" s="442">
        <v>8427.5499999999993</v>
      </c>
      <c r="BM33" s="150">
        <f t="shared" si="7"/>
        <v>9069.3127656404067</v>
      </c>
      <c r="BN33" s="150">
        <f t="shared" si="8"/>
        <v>9392.6129944508466</v>
      </c>
      <c r="BO33" s="373">
        <f>IFERROR(Tabla1[[#This Row],[ Re. Gas GC
 '[m3']]]/Tabla1[[#This Row],[G. HGS 
Con Gas '[kWh']]],0)</f>
        <v>0.26472594142259415</v>
      </c>
      <c r="BP33" s="374">
        <f>Tank!Y34</f>
        <v>0</v>
      </c>
      <c r="BQ33" s="70">
        <f>Tank!AP34</f>
        <v>0</v>
      </c>
      <c r="BR33" s="70">
        <f>Tank!V34</f>
        <v>0</v>
      </c>
      <c r="BS33" s="372">
        <f>Tank!T34</f>
        <v>0</v>
      </c>
      <c r="BT33" s="375" t="s">
        <v>228</v>
      </c>
      <c r="BU33" s="449">
        <v>80</v>
      </c>
      <c r="BV33" s="375">
        <f>IF(Tabla1[[#This Row],[Combustible ofertado]]="GAS",Tabla1[[#This Row],[Disponibilidad]],0)</f>
        <v>0</v>
      </c>
      <c r="BW33" s="375">
        <f>IF(Tabla1[[#This Row],[Combustible ofertado]]="DIESEL",Tabla1[[#This Row],[Disponibilidad]],0)</f>
        <v>80</v>
      </c>
      <c r="BX33" s="375">
        <f>IF(Tabla1[[#This Row],[Combustible ofertado]]="HFO",Tabla1[[#This Row],[Disponibilidad]],0)</f>
        <v>0</v>
      </c>
      <c r="BY33" s="454">
        <v>1505</v>
      </c>
      <c r="BZ33" s="446">
        <f>'Horo. M'!C34</f>
        <v>24</v>
      </c>
      <c r="CA33" s="446">
        <f>'Horo. M'!E34</f>
        <v>24</v>
      </c>
      <c r="CB33" s="446">
        <f>'Horo. M'!G34</f>
        <v>22</v>
      </c>
      <c r="CC33" s="446">
        <f>'Horo. M'!I34</f>
        <v>6</v>
      </c>
      <c r="CD33" s="446">
        <f>'Horo. M'!K34</f>
        <v>0</v>
      </c>
      <c r="CE33" s="446">
        <f>'Horo. M'!M34</f>
        <v>22</v>
      </c>
      <c r="CF33" s="446">
        <f>'Horo. M'!O34</f>
        <v>24</v>
      </c>
      <c r="CG33" s="446">
        <f>'Horo. M'!Q34</f>
        <v>24</v>
      </c>
      <c r="CH33" s="446">
        <f>'Horo. M'!S34</f>
        <v>24</v>
      </c>
      <c r="CI33" s="446">
        <f>'Horo. M'!U34</f>
        <v>24</v>
      </c>
      <c r="CJ33" s="70">
        <f>Tabla1[[#This Row],[Con. DO Storage '[gal']]]-Tabla1[[#This Row],[C. DO Storage Ge '[gal']]]</f>
        <v>634.01292565955623</v>
      </c>
      <c r="CK33" s="70"/>
      <c r="CL33" s="70"/>
      <c r="CM33" s="372">
        <f>Tabla1[[#This Row],[Con. DO Total '[gal']]]*131485.5/(1000000)</f>
        <v>448.07884763535145</v>
      </c>
    </row>
    <row r="34" spans="1:91" s="5" customFormat="1" ht="15" customHeight="1">
      <c r="A34" s="362">
        <v>44959</v>
      </c>
      <c r="B34" s="363" t="str">
        <f>TEXT(Tabla1[[#This Row],[Fecha]],"mmmm")</f>
        <v>febrero</v>
      </c>
      <c r="C34" s="429">
        <v>0</v>
      </c>
      <c r="D34" s="430">
        <v>1264</v>
      </c>
      <c r="E34" s="430">
        <v>1123</v>
      </c>
      <c r="F34" s="430">
        <v>1123</v>
      </c>
      <c r="G34" s="431">
        <v>20</v>
      </c>
      <c r="H34" s="431">
        <v>1024</v>
      </c>
      <c r="I34" s="432">
        <v>0</v>
      </c>
      <c r="J34" s="432">
        <v>0</v>
      </c>
      <c r="K34" s="430">
        <v>22</v>
      </c>
      <c r="L34" s="430">
        <v>22</v>
      </c>
      <c r="M34" s="365">
        <f>Tabla1[[#This Row],[Columna1]]-Tabla1[[#This Row],[PO '[h']]]</f>
        <v>0</v>
      </c>
      <c r="N34" s="365">
        <f t="shared" si="13"/>
        <v>2147</v>
      </c>
      <c r="O34" s="430">
        <v>1123</v>
      </c>
      <c r="P34" s="367">
        <f>Tabla1[[#This Row],[G. HGS 
'[MWh']]]</f>
        <v>1123</v>
      </c>
      <c r="Q34" s="430">
        <v>0</v>
      </c>
      <c r="R34" s="367">
        <v>0</v>
      </c>
      <c r="S34" s="367">
        <f>Tabla1[[#This Row],[G. HGS 
Con Gas]]*1000</f>
        <v>1123000</v>
      </c>
      <c r="T34" s="365">
        <f>Tabla1[[#This Row],[G. HGS 
'[MWh']]]*1000</f>
        <v>1123000</v>
      </c>
      <c r="U34" s="368">
        <f>SUM('G. Un GE'!B34:Y34)</f>
        <v>1111.9875999999997</v>
      </c>
      <c r="V34" s="369">
        <f>Tabla1[[#This Row],[R. GE
'[MWh']]]</f>
        <v>1111.9875999999997</v>
      </c>
      <c r="W34" s="434">
        <v>0</v>
      </c>
      <c r="X34" s="369">
        <v>0</v>
      </c>
      <c r="Y34" s="365">
        <f>Tabla1[[#This Row],[R. GE
'[MWh']]]*1000</f>
        <v>1111987.5999999996</v>
      </c>
      <c r="Z34" s="434">
        <v>35.17</v>
      </c>
      <c r="AA3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34.3247</v>
      </c>
      <c r="AB34" s="368">
        <f>IF(Tabla1[[#This Row],[G. HGS 
'[MWh']]]=0,0,Tabla1[[#This Row],[G. HGS 
'[MWh']]]+Tabla1[[#This Row],[Con. Aux. '[MWh']2]])</f>
        <v>1157.3246999999999</v>
      </c>
      <c r="AC34" s="368">
        <f>'C. ENER. TN'!F34</f>
        <v>0.84530000000000005</v>
      </c>
      <c r="AD34" s="370">
        <f>'C. ENER. TN'!G34</f>
        <v>1111.9875999999999</v>
      </c>
      <c r="AE34" s="370">
        <f>'G. Un GE'!AX34</f>
        <v>147.47497599206346</v>
      </c>
      <c r="AF34" s="368">
        <f>IFERROR('G. Un GE'!AX34/Tabla1[[#This Row],[PO '[h']]],0)</f>
        <v>6.7034079996392482</v>
      </c>
      <c r="AG34" s="365">
        <f>'Ar-Pa'!AX34</f>
        <v>8</v>
      </c>
      <c r="AH34" s="365">
        <f>'Ar-Pa'!AY34</f>
        <v>7</v>
      </c>
      <c r="AI34" s="365">
        <f>SUM('Cal. Arr'!AB37:AY37)</f>
        <v>0</v>
      </c>
      <c r="AJ34" s="442">
        <v>2.6</v>
      </c>
      <c r="AK34" s="442">
        <v>0.7</v>
      </c>
      <c r="AL34" s="267">
        <f t="shared" si="10"/>
        <v>184.92043665070389</v>
      </c>
      <c r="AM34" s="267">
        <f>+CONVERT(AK34+Tabla1[[#This Row],[Con. DO Storage Gen. '[m3']]],"m^3","gal")</f>
        <v>871.76777278188979</v>
      </c>
      <c r="AN34" s="372">
        <f>SUM('DO Pilot'!B34:Y34)</f>
        <v>5.9300000000000015</v>
      </c>
      <c r="AO34" s="372">
        <f t="shared" si="0"/>
        <v>1566.5402704838207</v>
      </c>
      <c r="AP34" s="267">
        <f>AK34+AN34+Tabla1[[#This Row],[Con. DO Storage Gen. '[m3']]]</f>
        <v>9.2300000000000022</v>
      </c>
      <c r="AQ34" s="372">
        <f t="shared" si="11"/>
        <v>2438.3080432657102</v>
      </c>
      <c r="AR34" s="442">
        <v>0</v>
      </c>
      <c r="AS34" s="442">
        <v>10509</v>
      </c>
      <c r="AT34" s="267">
        <f>+CONVERT(SUM(Tabla1[[#This Row],[Repo. DO Storage '[gal']]:[Repo. DO Pilot '[gal']]]),"gal","m3")</f>
        <v>39.780892438056</v>
      </c>
      <c r="AU34" s="442">
        <v>0</v>
      </c>
      <c r="AV34" s="267">
        <f t="shared" si="14"/>
        <v>0</v>
      </c>
      <c r="AW34" s="442">
        <v>0</v>
      </c>
      <c r="AX34" s="267">
        <f t="shared" si="2"/>
        <v>0</v>
      </c>
      <c r="AY34" s="372">
        <f t="shared" si="3"/>
        <v>0.16466646184390374</v>
      </c>
      <c r="AZ34" s="372">
        <f>IFERROR(AL34/'Ar-Pa'!AX34,0)</f>
        <v>23.115054581337986</v>
      </c>
      <c r="BA34" s="372">
        <f>IFERROR(AL34/'Ar-Pa'!AY34,0)</f>
        <v>26.417205235814841</v>
      </c>
      <c r="BB34" s="372">
        <f t="shared" si="4"/>
        <v>1.3949601696204992</v>
      </c>
      <c r="BC34" s="372">
        <f>IFERROR(AVERAGEIF('DO Pilot'!AX34:BU34,"&gt;0"),0)</f>
        <v>8.6559152803925734</v>
      </c>
      <c r="BD34" s="445">
        <v>300776</v>
      </c>
      <c r="BE34" s="445">
        <v>10647</v>
      </c>
      <c r="BF34" s="445">
        <v>300635</v>
      </c>
      <c r="BG34" s="223">
        <f>Tabla1[[#This Row],[ Re. Gas GC
 '[m3']]]</f>
        <v>300635</v>
      </c>
      <c r="BH34" s="150">
        <f>IFERROR((BG34*Gas!$B$3)/28.31685,0)</f>
        <v>10576.267286085846</v>
      </c>
      <c r="BI34" s="151">
        <f t="shared" ref="BI34:BI41" si="16">BH34-BE34</f>
        <v>-70.732713914154374</v>
      </c>
      <c r="BJ34" s="74">
        <f>IFERROR(BI34/BH34,0)</f>
        <v>-6.6878712499267535E-3</v>
      </c>
      <c r="BK34" s="223">
        <f t="shared" si="6"/>
        <v>9480.8548530721273</v>
      </c>
      <c r="BL34" s="442">
        <v>8868.4599999999991</v>
      </c>
      <c r="BM34" s="150">
        <f t="shared" si="7"/>
        <v>9138.5479685051632</v>
      </c>
      <c r="BN34" s="150">
        <f t="shared" ref="BN34:BN65" si="17">IFERROR((BH34/V34)*1000,0)</f>
        <v>9511.1377915417834</v>
      </c>
      <c r="BO34" s="373">
        <f>IFERROR(Tabla1[[#This Row],[ Re. Gas GC
 '[m3']]]/Tabla1[[#This Row],[G. HGS 
Con Gas '[kWh']]],0)</f>
        <v>0.26770703472840607</v>
      </c>
      <c r="BP34" s="374">
        <f>Tank!Y35</f>
        <v>31.100943217344</v>
      </c>
      <c r="BQ34" s="70">
        <f>Tank!AP35</f>
        <v>0</v>
      </c>
      <c r="BR34" s="70">
        <f>Tank!V35</f>
        <v>0</v>
      </c>
      <c r="BS34" s="372">
        <f>Tank!T35</f>
        <v>0</v>
      </c>
      <c r="BT34" s="375" t="s">
        <v>228</v>
      </c>
      <c r="BU34" s="449">
        <v>80</v>
      </c>
      <c r="BV34" s="375">
        <f>IF(Tabla1[[#This Row],[Combustible ofertado]]="GAS",Tabla1[[#This Row],[Disponibilidad]],0)</f>
        <v>0</v>
      </c>
      <c r="BW34" s="375">
        <f>IF(Tabla1[[#This Row],[Combustible ofertado]]="DIESEL",Tabla1[[#This Row],[Disponibilidad]],0)</f>
        <v>80</v>
      </c>
      <c r="BX34" s="375">
        <f>IF(Tabla1[[#This Row],[Combustible ofertado]]="HFO",Tabla1[[#This Row],[Disponibilidad]],0)</f>
        <v>0</v>
      </c>
      <c r="BY34" s="454">
        <v>1505</v>
      </c>
      <c r="BZ34" s="446">
        <f>'Horo. M'!C35</f>
        <v>22</v>
      </c>
      <c r="CA34" s="446">
        <f>'Horo. M'!E35</f>
        <v>19</v>
      </c>
      <c r="CB34" s="446">
        <f>'Horo. M'!G35</f>
        <v>20</v>
      </c>
      <c r="CC34" s="446">
        <f>'Horo. M'!I35</f>
        <v>15</v>
      </c>
      <c r="CD34" s="446">
        <f>'Horo. M'!K35</f>
        <v>0</v>
      </c>
      <c r="CE34" s="446">
        <f>'Horo. M'!M35</f>
        <v>20</v>
      </c>
      <c r="CF34" s="446">
        <f>'Horo. M'!O35</f>
        <v>20</v>
      </c>
      <c r="CG34" s="446">
        <f>'Horo. M'!Q35</f>
        <v>16</v>
      </c>
      <c r="CH34" s="446">
        <f>'Horo. M'!S35</f>
        <v>21</v>
      </c>
      <c r="CI34" s="446">
        <f>'Horo. M'!U35</f>
        <v>16</v>
      </c>
      <c r="CJ34" s="70">
        <f>Tabla1[[#This Row],[Con. DO Storage '[gal']]]-Tabla1[[#This Row],[C. DO Storage Ge '[gal']]]</f>
        <v>184.92043665070389</v>
      </c>
      <c r="CK34" s="70"/>
      <c r="CL34" s="70"/>
      <c r="CM34" s="372">
        <f>Tabla1[[#This Row],[Con. DO Total '[gal']]]*131485.5/(1000000)</f>
        <v>320.60215222281357</v>
      </c>
    </row>
    <row r="35" spans="1:91" s="5" customFormat="1" ht="15" customHeight="1">
      <c r="A35" s="362">
        <v>44960</v>
      </c>
      <c r="B35" s="363" t="str">
        <f>TEXT(Tabla1[[#This Row],[Fecha]],"mmmm")</f>
        <v>febrero</v>
      </c>
      <c r="C35" s="429">
        <v>0</v>
      </c>
      <c r="D35" s="430">
        <v>1326</v>
      </c>
      <c r="E35" s="430">
        <v>1264</v>
      </c>
      <c r="F35" s="430">
        <v>1301</v>
      </c>
      <c r="G35" s="431">
        <v>0</v>
      </c>
      <c r="H35" s="431">
        <v>0</v>
      </c>
      <c r="I35" s="432">
        <v>0</v>
      </c>
      <c r="J35" s="432">
        <v>0</v>
      </c>
      <c r="K35" s="430">
        <v>22</v>
      </c>
      <c r="L35" s="430">
        <v>24</v>
      </c>
      <c r="M35" s="365">
        <f>Tabla1[[#This Row],[Columna1]]-Tabla1[[#This Row],[PO '[h']]]</f>
        <v>2</v>
      </c>
      <c r="N35" s="365">
        <f t="shared" si="13"/>
        <v>1301</v>
      </c>
      <c r="O35" s="430">
        <v>1301</v>
      </c>
      <c r="P35" s="367">
        <f>Tabla1[[#This Row],[G. HGS 
'[MWh']]]</f>
        <v>1301</v>
      </c>
      <c r="Q35" s="430">
        <v>0</v>
      </c>
      <c r="R35" s="367">
        <v>0</v>
      </c>
      <c r="S35" s="367">
        <f>Tabla1[[#This Row],[G. HGS 
Con Gas]]*1000</f>
        <v>1301000</v>
      </c>
      <c r="T35" s="365">
        <f>Tabla1[[#This Row],[G. HGS 
'[MWh']]]*1000</f>
        <v>1301000</v>
      </c>
      <c r="U35" s="368">
        <f>SUM('G. Un GE'!B35:Y35)</f>
        <v>1289.2734999999998</v>
      </c>
      <c r="V35" s="369">
        <f>Tabla1[[#This Row],[R. GE
'[MWh']]]</f>
        <v>1289.2734999999998</v>
      </c>
      <c r="W35" s="434">
        <v>0</v>
      </c>
      <c r="X35" s="369">
        <v>0</v>
      </c>
      <c r="Y35" s="365">
        <f>Tabla1[[#This Row],[R. GE
'[MWh']]]*1000</f>
        <v>1289273.4999999998</v>
      </c>
      <c r="Z35" s="434">
        <v>37.270000000000003</v>
      </c>
      <c r="AA3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36.292100000000005</v>
      </c>
      <c r="AB35" s="368">
        <f>IF(Tabla1[[#This Row],[G. HGS 
'[MWh']]]=0,0,Tabla1[[#This Row],[G. HGS 
'[MWh']]]+Tabla1[[#This Row],[Con. Aux. '[MWh']2]])</f>
        <v>1337.2921000000001</v>
      </c>
      <c r="AC35" s="368">
        <f>'C. ENER. TN'!F35</f>
        <v>0.9779000000000001</v>
      </c>
      <c r="AD35" s="370">
        <f>'C. ENER. TN'!G35</f>
        <v>1289.2735</v>
      </c>
      <c r="AE35" s="370">
        <f>'G. Un GE'!AX35</f>
        <v>156.62281956349207</v>
      </c>
      <c r="AF35" s="368">
        <f>IFERROR('G. Un GE'!AX35/Tabla1[[#This Row],[PO '[h']]],0)</f>
        <v>7.1192190710678211</v>
      </c>
      <c r="AG35" s="365">
        <f>'Ar-Pa'!AX35</f>
        <v>7</v>
      </c>
      <c r="AH35" s="365">
        <f>'Ar-Pa'!AY35</f>
        <v>7</v>
      </c>
      <c r="AI35" s="365">
        <f>SUM('Cal. Arr'!AB38:AY38)</f>
        <v>0</v>
      </c>
      <c r="AJ35" s="442">
        <v>46.8</v>
      </c>
      <c r="AK35" s="442">
        <v>2.2000000000000002</v>
      </c>
      <c r="AL35" s="267">
        <f t="shared" si="10"/>
        <v>581.17851518792656</v>
      </c>
      <c r="AM35" s="267">
        <f>+CONVERT(AK35+Tabla1[[#This Row],[Con. DO Storage Gen. '[m3']]],"m^3","gal")</f>
        <v>12944.430565549274</v>
      </c>
      <c r="AN35" s="372">
        <f>SUM('DO Pilot'!B35:Y35)</f>
        <v>6.47</v>
      </c>
      <c r="AO35" s="372">
        <f t="shared" si="0"/>
        <v>1709.1931787572203</v>
      </c>
      <c r="AP35" s="267">
        <f>AK35+AN35+Tabla1[[#This Row],[Con. DO Storage Gen. '[m3']]]</f>
        <v>55.47</v>
      </c>
      <c r="AQ35" s="372">
        <f t="shared" si="11"/>
        <v>14653.623744306493</v>
      </c>
      <c r="AR35" s="442">
        <v>0</v>
      </c>
      <c r="AS35" s="442">
        <v>0</v>
      </c>
      <c r="AT35" s="267">
        <f>+CONVERT(SUM(Tabla1[[#This Row],[Repo. DO Storage '[gal']]:[Repo. DO Pilot '[gal']]]),"gal","m3")</f>
        <v>0</v>
      </c>
      <c r="AU35" s="442">
        <v>0</v>
      </c>
      <c r="AV35" s="267">
        <f t="shared" si="14"/>
        <v>0</v>
      </c>
      <c r="AW35" s="442">
        <v>0</v>
      </c>
      <c r="AX35" s="267">
        <f t="shared" si="2"/>
        <v>0</v>
      </c>
      <c r="AY35" s="372">
        <f t="shared" si="3"/>
        <v>0.44671676801531635</v>
      </c>
      <c r="AZ35" s="372">
        <f>IFERROR(AL35/'Ar-Pa'!AX35,0)</f>
        <v>83.025502169703799</v>
      </c>
      <c r="BA35" s="372">
        <f>IFERROR(AL35/'Ar-Pa'!AY35,0)</f>
        <v>83.025502169703799</v>
      </c>
      <c r="BB35" s="372">
        <f t="shared" si="4"/>
        <v>1.3137534041177712</v>
      </c>
      <c r="BC35" s="372">
        <f>IFERROR(AVERAGEIF('DO Pilot'!AX35:BU35,"&gt;0"),0)</f>
        <v>8.6439471682321649</v>
      </c>
      <c r="BD35" s="445">
        <v>298486</v>
      </c>
      <c r="BE35" s="445">
        <v>10566</v>
      </c>
      <c r="BF35" s="445">
        <v>297794</v>
      </c>
      <c r="BG35" s="223">
        <f>Tabla1[[#This Row],[ Re. Gas GC
 '[m3']]]</f>
        <v>297794</v>
      </c>
      <c r="BH35" s="150">
        <f>IFERROR((BG35*Gas!$B$3)/28.31685,0)</f>
        <v>10476.321586617156</v>
      </c>
      <c r="BI35" s="151">
        <f t="shared" si="16"/>
        <v>-89.678413382844155</v>
      </c>
      <c r="BJ35" s="74">
        <f>IFERROR(BI35/BH35,0)</f>
        <v>-8.5601050560917026E-3</v>
      </c>
      <c r="BK35" s="223">
        <f t="shared" si="6"/>
        <v>8121.4450422751734</v>
      </c>
      <c r="BL35" s="442">
        <v>8629.76</v>
      </c>
      <c r="BM35" s="150">
        <f t="shared" si="7"/>
        <v>7833.9815113071818</v>
      </c>
      <c r="BN35" s="150">
        <f t="shared" si="17"/>
        <v>8125.755773788228</v>
      </c>
      <c r="BO35" s="373">
        <f>IFERROR(Tabla1[[#This Row],[ Re. Gas GC
 '[m3']]]/Tabla1[[#This Row],[G. HGS 
Con Gas '[kWh']]],0)</f>
        <v>0.22889623366641046</v>
      </c>
      <c r="BP35" s="374">
        <f>Tank!Y36</f>
        <v>0</v>
      </c>
      <c r="BQ35" s="70">
        <f>Tank!AP36</f>
        <v>0</v>
      </c>
      <c r="BR35" s="70">
        <f>Tank!V36</f>
        <v>0</v>
      </c>
      <c r="BS35" s="372">
        <f>Tank!T36</f>
        <v>0</v>
      </c>
      <c r="BT35" s="375" t="s">
        <v>228</v>
      </c>
      <c r="BU35" s="449">
        <v>80</v>
      </c>
      <c r="BV35" s="375">
        <f>IF(Tabla1[[#This Row],[Combustible ofertado]]="GAS",Tabla1[[#This Row],[Disponibilidad]],0)</f>
        <v>0</v>
      </c>
      <c r="BW35" s="375">
        <f>IF(Tabla1[[#This Row],[Combustible ofertado]]="DIESEL",Tabla1[[#This Row],[Disponibilidad]],0)</f>
        <v>80</v>
      </c>
      <c r="BX35" s="375">
        <f>IF(Tabla1[[#This Row],[Combustible ofertado]]="HFO",Tabla1[[#This Row],[Disponibilidad]],0)</f>
        <v>0</v>
      </c>
      <c r="BY35" s="454">
        <v>1505</v>
      </c>
      <c r="BZ35" s="446">
        <f>'Horo. M'!C36</f>
        <v>22</v>
      </c>
      <c r="CA35" s="446">
        <f>'Horo. M'!E36</f>
        <v>19</v>
      </c>
      <c r="CB35" s="446">
        <f>'Horo. M'!G36</f>
        <v>17</v>
      </c>
      <c r="CC35" s="446">
        <f>'Horo. M'!I36</f>
        <v>19</v>
      </c>
      <c r="CD35" s="446">
        <f>'Horo. M'!K36</f>
        <v>0</v>
      </c>
      <c r="CE35" s="446">
        <f>'Horo. M'!M36</f>
        <v>20</v>
      </c>
      <c r="CF35" s="446">
        <f>'Horo. M'!O36</f>
        <v>20</v>
      </c>
      <c r="CG35" s="446">
        <f>'Horo. M'!Q36</f>
        <v>21</v>
      </c>
      <c r="CH35" s="446">
        <f>'Horo. M'!S36</f>
        <v>20</v>
      </c>
      <c r="CI35" s="446">
        <f>'Horo. M'!U36</f>
        <v>23</v>
      </c>
      <c r="CJ35" s="70">
        <f>Tabla1[[#This Row],[Con. DO Storage '[gal']]]-Tabla1[[#This Row],[C. DO Storage Ge '[gal']]]</f>
        <v>581.17851518792656</v>
      </c>
      <c r="CK35" s="70"/>
      <c r="CL35" s="70"/>
      <c r="CM35" s="372">
        <f>Tabla1[[#This Row],[Con. DO Total '[gal']]]*131485.5/(1000000)</f>
        <v>1926.7390448320114</v>
      </c>
    </row>
    <row r="36" spans="1:91" s="5" customFormat="1" ht="15" customHeight="1">
      <c r="A36" s="362">
        <v>44961</v>
      </c>
      <c r="B36" s="363" t="str">
        <f>TEXT(Tabla1[[#This Row],[Fecha]],"mmmm")</f>
        <v>febrero</v>
      </c>
      <c r="C36" s="429">
        <v>0</v>
      </c>
      <c r="D36" s="430">
        <v>1202</v>
      </c>
      <c r="E36" s="430">
        <v>1202</v>
      </c>
      <c r="F36" s="430">
        <v>1248</v>
      </c>
      <c r="G36" s="431">
        <v>0</v>
      </c>
      <c r="H36" s="431">
        <v>0</v>
      </c>
      <c r="I36" s="432">
        <v>0</v>
      </c>
      <c r="J36" s="432">
        <v>0</v>
      </c>
      <c r="K36" s="430">
        <v>21</v>
      </c>
      <c r="L36" s="430">
        <v>24</v>
      </c>
      <c r="M36" s="365">
        <f>Tabla1[[#This Row],[Columna1]]-Tabla1[[#This Row],[PO '[h']]]</f>
        <v>3</v>
      </c>
      <c r="N36" s="365">
        <f t="shared" si="13"/>
        <v>1248</v>
      </c>
      <c r="O36" s="430">
        <v>1248</v>
      </c>
      <c r="P36" s="367">
        <f>Tabla1[[#This Row],[G. HGS 
'[MWh']]]</f>
        <v>1248</v>
      </c>
      <c r="Q36" s="430">
        <v>0</v>
      </c>
      <c r="R36" s="367">
        <v>0</v>
      </c>
      <c r="S36" s="367">
        <f>Tabla1[[#This Row],[G. HGS 
Con Gas]]*1000</f>
        <v>1248000</v>
      </c>
      <c r="T36" s="365">
        <f>Tabla1[[#This Row],[G. HGS 
'[MWh']]]*1000</f>
        <v>1248000</v>
      </c>
      <c r="U36" s="368">
        <f>SUM('G. Un GE'!B36:Y36)</f>
        <v>1237.1931</v>
      </c>
      <c r="V36" s="369">
        <f>Tabla1[[#This Row],[R. GE
'[MWh']]]</f>
        <v>1237.1931</v>
      </c>
      <c r="W36" s="434">
        <v>0</v>
      </c>
      <c r="X36" s="369">
        <v>0</v>
      </c>
      <c r="Y36" s="365">
        <f>Tabla1[[#This Row],[R. GE
'[MWh']]]*1000</f>
        <v>1237193.0999999999</v>
      </c>
      <c r="Z36" s="434">
        <v>35.979999999999997</v>
      </c>
      <c r="AA3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34.0625</v>
      </c>
      <c r="AB36" s="368">
        <f>IF(Tabla1[[#This Row],[G. HGS 
'[MWh']]]=0,0,Tabla1[[#This Row],[G. HGS 
'[MWh']]]+Tabla1[[#This Row],[Con. Aux. '[MWh']2]])</f>
        <v>1282.0625</v>
      </c>
      <c r="AC36" s="368">
        <f>'C. ENER. TN'!F36</f>
        <v>1.9174999999999998</v>
      </c>
      <c r="AD36" s="370">
        <f>'C. ENER. TN'!G36</f>
        <v>1237.1931000000002</v>
      </c>
      <c r="AE36" s="370">
        <f>'G. Un GE'!AX36</f>
        <v>150.07500178571428</v>
      </c>
      <c r="AF36" s="368">
        <f>IFERROR('G. Un GE'!AX36/Tabla1[[#This Row],[PO '[h']]],0)</f>
        <v>7.146428656462585</v>
      </c>
      <c r="AG36" s="365">
        <f>'Ar-Pa'!AX36</f>
        <v>9</v>
      </c>
      <c r="AH36" s="365">
        <f>'Ar-Pa'!AY36</f>
        <v>9</v>
      </c>
      <c r="AI36" s="365">
        <f>SUM('Cal. Arr'!AB39:AY39)</f>
        <v>1</v>
      </c>
      <c r="AJ36" s="442">
        <v>33</v>
      </c>
      <c r="AK36" s="442">
        <v>2</v>
      </c>
      <c r="AL36" s="267">
        <f t="shared" si="10"/>
        <v>528.3441047162969</v>
      </c>
      <c r="AM36" s="267">
        <f>+CONVERT(AK36+Tabla1[[#This Row],[Con. DO Storage Gen. '[m3']]],"m^3","gal")</f>
        <v>9246.0218325351943</v>
      </c>
      <c r="AN36" s="372">
        <f>SUM('DO Pilot'!B36:Y36)</f>
        <v>5.6999999999999993</v>
      </c>
      <c r="AO36" s="372">
        <f t="shared" si="0"/>
        <v>1505.7806984414458</v>
      </c>
      <c r="AP36" s="267">
        <f>AK36+AN36+Tabla1[[#This Row],[Con. DO Storage Gen. '[m3']]]</f>
        <v>40.700000000000003</v>
      </c>
      <c r="AQ36" s="372">
        <f t="shared" si="11"/>
        <v>10751.802530976642</v>
      </c>
      <c r="AR36" s="442">
        <v>0</v>
      </c>
      <c r="AS36" s="442">
        <v>0</v>
      </c>
      <c r="AT36" s="267">
        <f>+CONVERT(SUM(Tabla1[[#This Row],[Repo. DO Storage '[gal']]:[Repo. DO Pilot '[gal']]]),"gal","m3")</f>
        <v>0</v>
      </c>
      <c r="AU36" s="442">
        <v>0</v>
      </c>
      <c r="AV36" s="267">
        <f t="shared" si="14"/>
        <v>0</v>
      </c>
      <c r="AW36" s="442">
        <v>0</v>
      </c>
      <c r="AX36" s="267">
        <f t="shared" si="2"/>
        <v>0</v>
      </c>
      <c r="AY36" s="372">
        <f t="shared" si="3"/>
        <v>0.42335264800985328</v>
      </c>
      <c r="AZ36" s="372">
        <f>IFERROR(AL36/'Ar-Pa'!AX36,0)</f>
        <v>58.704900524032986</v>
      </c>
      <c r="BA36" s="372">
        <f>IFERROR(AL36/'Ar-Pa'!AY36,0)</f>
        <v>58.704900524032986</v>
      </c>
      <c r="BB36" s="372">
        <f t="shared" si="4"/>
        <v>1.2065550468280815</v>
      </c>
      <c r="BC36" s="372">
        <f>IFERROR(AVERAGEIF('DO Pilot'!AX36:BU36,"&gt;0"),0)</f>
        <v>7.9454439315621528</v>
      </c>
      <c r="BD36" s="445">
        <v>297518</v>
      </c>
      <c r="BE36" s="445">
        <v>10532</v>
      </c>
      <c r="BF36" s="445">
        <v>297452</v>
      </c>
      <c r="BG36" s="223">
        <f>Tabla1[[#This Row],[ Re. Gas GC
 '[m3']]]</f>
        <v>297452</v>
      </c>
      <c r="BH36" s="150">
        <f>IFERROR((BG36*Gas!$B$3)/28.31685,0)</f>
        <v>10464.290108539615</v>
      </c>
      <c r="BI36" s="151">
        <f t="shared" si="16"/>
        <v>-67.709891460384824</v>
      </c>
      <c r="BJ36" s="74">
        <f t="shared" si="12"/>
        <v>-6.4705671152148845E-3</v>
      </c>
      <c r="BK36" s="223">
        <f t="shared" si="6"/>
        <v>8439.1025641025644</v>
      </c>
      <c r="BL36" s="442">
        <v>8591.3700000000008</v>
      </c>
      <c r="BM36" s="150">
        <f t="shared" si="7"/>
        <v>8162.074866505819</v>
      </c>
      <c r="BN36" s="150">
        <f t="shared" si="17"/>
        <v>8458.0896131247537</v>
      </c>
      <c r="BO36" s="373">
        <f>IFERROR(Tabla1[[#This Row],[ Re. Gas GC
 '[m3']]]/Tabla1[[#This Row],[G. HGS 
Con Gas '[kWh']]],0)</f>
        <v>0.23834294871794873</v>
      </c>
      <c r="BP36" s="374">
        <f>Tank!Y37</f>
        <v>0</v>
      </c>
      <c r="BQ36" s="70">
        <f>Tank!AP37</f>
        <v>0</v>
      </c>
      <c r="BR36" s="70">
        <f>Tank!V37</f>
        <v>0</v>
      </c>
      <c r="BS36" s="372">
        <f>Tank!T37</f>
        <v>0</v>
      </c>
      <c r="BT36" s="375" t="s">
        <v>228</v>
      </c>
      <c r="BU36" s="449">
        <v>80</v>
      </c>
      <c r="BV36" s="375">
        <f>IF(Tabla1[[#This Row],[Combustible ofertado]]="GAS",Tabla1[[#This Row],[Disponibilidad]],0)</f>
        <v>0</v>
      </c>
      <c r="BW36" s="375">
        <f>IF(Tabla1[[#This Row],[Combustible ofertado]]="DIESEL",Tabla1[[#This Row],[Disponibilidad]],0)</f>
        <v>80</v>
      </c>
      <c r="BX36" s="375">
        <f>IF(Tabla1[[#This Row],[Combustible ofertado]]="HFO",Tabla1[[#This Row],[Disponibilidad]],0)</f>
        <v>0</v>
      </c>
      <c r="BY36" s="454">
        <v>1505</v>
      </c>
      <c r="BZ36" s="446">
        <f>'Horo. M'!C37</f>
        <v>22</v>
      </c>
      <c r="CA36" s="446">
        <f>'Horo. M'!E37</f>
        <v>17</v>
      </c>
      <c r="CB36" s="446">
        <f>'Horo. M'!G37</f>
        <v>17</v>
      </c>
      <c r="CC36" s="446">
        <f>'Horo. M'!I37</f>
        <v>19</v>
      </c>
      <c r="CD36" s="446">
        <f>'Horo. M'!K37</f>
        <v>0</v>
      </c>
      <c r="CE36" s="446">
        <f>'Horo. M'!M37</f>
        <v>19</v>
      </c>
      <c r="CF36" s="446">
        <f>'Horo. M'!O37</f>
        <v>19</v>
      </c>
      <c r="CG36" s="446">
        <f>'Horo. M'!Q37</f>
        <v>21</v>
      </c>
      <c r="CH36" s="446">
        <f>'Horo. M'!S37</f>
        <v>20</v>
      </c>
      <c r="CI36" s="446">
        <f>'Horo. M'!U37</f>
        <v>16</v>
      </c>
      <c r="CJ36" s="70">
        <f>Tabla1[[#This Row],[Con. DO Storage '[gal']]]-Tabla1[[#This Row],[C. DO Storage Ge '[gal']]]</f>
        <v>528.3441047162969</v>
      </c>
      <c r="CK36" s="70"/>
      <c r="CL36" s="70"/>
      <c r="CM36" s="372">
        <f>Tabla1[[#This Row],[Con. DO Total '[gal']]]*131485.5/(1000000)</f>
        <v>1413.7061316867291</v>
      </c>
    </row>
    <row r="37" spans="1:91" s="5" customFormat="1" ht="15" customHeight="1">
      <c r="A37" s="362">
        <v>44962</v>
      </c>
      <c r="B37" s="363" t="str">
        <f>TEXT(Tabla1[[#This Row],[Fecha]],"mmmm")</f>
        <v>febrero</v>
      </c>
      <c r="C37" s="429">
        <v>0</v>
      </c>
      <c r="D37" s="430">
        <v>1016</v>
      </c>
      <c r="E37" s="430">
        <v>1016</v>
      </c>
      <c r="F37" s="430">
        <v>1053</v>
      </c>
      <c r="G37" s="431">
        <v>0</v>
      </c>
      <c r="H37" s="431">
        <v>0</v>
      </c>
      <c r="I37" s="432">
        <v>0</v>
      </c>
      <c r="J37" s="432">
        <v>0</v>
      </c>
      <c r="K37" s="430">
        <v>18</v>
      </c>
      <c r="L37" s="430">
        <v>24</v>
      </c>
      <c r="M37" s="365">
        <f>Tabla1[[#This Row],[Columna1]]-Tabla1[[#This Row],[PO '[h']]]</f>
        <v>6</v>
      </c>
      <c r="N37" s="365">
        <f t="shared" si="13"/>
        <v>1053</v>
      </c>
      <c r="O37" s="430">
        <v>1053</v>
      </c>
      <c r="P37" s="367">
        <f>Tabla1[[#This Row],[G. HGS 
'[MWh']]]</f>
        <v>1053</v>
      </c>
      <c r="Q37" s="430">
        <v>0</v>
      </c>
      <c r="R37" s="367">
        <v>0</v>
      </c>
      <c r="S37" s="367">
        <f>Tabla1[[#This Row],[G. HGS 
Con Gas]]*1000</f>
        <v>1053000</v>
      </c>
      <c r="T37" s="365">
        <f>Tabla1[[#This Row],[G. HGS 
'[MWh']]]*1000</f>
        <v>1053000</v>
      </c>
      <c r="U37" s="368">
        <f>SUM('G. Un GE'!B37:Y37)</f>
        <v>1043.2576999999999</v>
      </c>
      <c r="V37" s="369">
        <f>Tabla1[[#This Row],[R. GE
'[MWh']]]</f>
        <v>1043.2576999999999</v>
      </c>
      <c r="W37" s="434">
        <v>0</v>
      </c>
      <c r="X37" s="369">
        <v>0</v>
      </c>
      <c r="Y37" s="365">
        <f>Tabla1[[#This Row],[R. GE
'[MWh']]]*1000</f>
        <v>1043257.6999999998</v>
      </c>
      <c r="Z37" s="434">
        <v>29.25</v>
      </c>
      <c r="AA3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27.3215</v>
      </c>
      <c r="AB37" s="368">
        <f>IF(Tabla1[[#This Row],[G. HGS 
'[MWh']]]=0,0,Tabla1[[#This Row],[G. HGS 
'[MWh']]]+Tabla1[[#This Row],[Con. Aux. '[MWh']2]])</f>
        <v>1080.3215</v>
      </c>
      <c r="AC37" s="368">
        <f>'C. ENER. TN'!F37</f>
        <v>1.9285000000000001</v>
      </c>
      <c r="AD37" s="370">
        <f>'C. ENER. TN'!G37</f>
        <v>1043.2576999999999</v>
      </c>
      <c r="AE37" s="370">
        <f>'G. Un GE'!AX37</f>
        <v>133.54322698412699</v>
      </c>
      <c r="AF37" s="368">
        <f>IFERROR('G. Un GE'!AX37/Tabla1[[#This Row],[PO '[h']]],0)</f>
        <v>7.4190681657848323</v>
      </c>
      <c r="AG37" s="365">
        <f>'Ar-Pa'!AX37</f>
        <v>9</v>
      </c>
      <c r="AH37" s="365">
        <f>'Ar-Pa'!AY37</f>
        <v>9</v>
      </c>
      <c r="AI37" s="365">
        <f>SUM('Cal. Arr'!AB40:AY40)</f>
        <v>1</v>
      </c>
      <c r="AJ37" s="442">
        <v>2.2000000000000002</v>
      </c>
      <c r="AK37" s="442">
        <v>1.7</v>
      </c>
      <c r="AL37" s="267">
        <f t="shared" si="10"/>
        <v>449.09248900885234</v>
      </c>
      <c r="AM37" s="267">
        <f>+CONVERT(AK37+Tabla1[[#This Row],[Con. DO Storage Gen. '[m3']]],"m^3","gal")</f>
        <v>1030.2710041967789</v>
      </c>
      <c r="AN37" s="372">
        <f>SUM('DO Pilot'!B37:Y37)</f>
        <v>5.0799999999999983</v>
      </c>
      <c r="AO37" s="372">
        <f t="shared" si="0"/>
        <v>1341.9940259793934</v>
      </c>
      <c r="AP37" s="267">
        <f>AK37+AN37+Tabla1[[#This Row],[Con. DO Storage Gen. '[m3']]]</f>
        <v>8.9799999999999986</v>
      </c>
      <c r="AQ37" s="372">
        <f t="shared" si="11"/>
        <v>2372.2650301761723</v>
      </c>
      <c r="AR37" s="442">
        <v>0</v>
      </c>
      <c r="AS37" s="442">
        <v>0</v>
      </c>
      <c r="AT37" s="267">
        <f>+CONVERT(SUM(Tabla1[[#This Row],[Repo. DO Storage '[gal']]:[Repo. DO Pilot '[gal']]]),"gal","m3")</f>
        <v>0</v>
      </c>
      <c r="AU37" s="442">
        <v>0</v>
      </c>
      <c r="AV37" s="267">
        <f t="shared" si="14"/>
        <v>0</v>
      </c>
      <c r="AW37" s="442">
        <v>0</v>
      </c>
      <c r="AX37" s="267">
        <f t="shared" si="2"/>
        <v>0</v>
      </c>
      <c r="AY37" s="372">
        <f t="shared" si="3"/>
        <v>0.42648859355066698</v>
      </c>
      <c r="AZ37" s="372">
        <f>IFERROR(AL37/'Ar-Pa'!AX37,0)</f>
        <v>49.899165445428039</v>
      </c>
      <c r="BA37" s="372">
        <f>IFERROR(AL37/'Ar-Pa'!AY37,0)</f>
        <v>49.899165445428039</v>
      </c>
      <c r="BB37" s="372">
        <f t="shared" si="4"/>
        <v>1.2744482677866984</v>
      </c>
      <c r="BC37" s="372">
        <f>IFERROR(AVERAGEIF('DO Pilot'!AX37:BU37,"&gt;0"),0)</f>
        <v>9.0231197666356699</v>
      </c>
      <c r="BD37" s="445">
        <v>280393</v>
      </c>
      <c r="BE37" s="445">
        <v>9926</v>
      </c>
      <c r="BF37" s="445">
        <v>279627</v>
      </c>
      <c r="BG37" s="223">
        <f>Tabla1[[#This Row],[ Re. Gas GC
 '[m3']]]</f>
        <v>279627</v>
      </c>
      <c r="BH37" s="150">
        <f>IFERROR((BG37*Gas!$B$3)/28.31685,0)</f>
        <v>9837.2108783286276</v>
      </c>
      <c r="BI37" s="151">
        <f t="shared" si="16"/>
        <v>-88.789121671372413</v>
      </c>
      <c r="BJ37" s="74">
        <f t="shared" si="12"/>
        <v>-9.0258430737694996E-3</v>
      </c>
      <c r="BK37" s="223">
        <f t="shared" si="6"/>
        <v>9426.4007597340933</v>
      </c>
      <c r="BL37" s="442">
        <v>8616.43</v>
      </c>
      <c r="BM37" s="150">
        <f t="shared" si="7"/>
        <v>9105.8179239500714</v>
      </c>
      <c r="BN37" s="150">
        <f t="shared" si="17"/>
        <v>9429.3201749947566</v>
      </c>
      <c r="BO37" s="373">
        <f>IFERROR(Tabla1[[#This Row],[ Re. Gas GC
 '[m3']]]/Tabla1[[#This Row],[G. HGS 
Con Gas '[kWh']]],0)</f>
        <v>0.26555270655270657</v>
      </c>
      <c r="BP37" s="374">
        <f>Tank!Y38</f>
        <v>0</v>
      </c>
      <c r="BQ37" s="70">
        <f>Tank!AP38</f>
        <v>0</v>
      </c>
      <c r="BR37" s="70">
        <f>Tank!V38</f>
        <v>0</v>
      </c>
      <c r="BS37" s="372">
        <f>Tank!T38</f>
        <v>0</v>
      </c>
      <c r="BT37" s="375" t="s">
        <v>228</v>
      </c>
      <c r="BU37" s="449">
        <v>80</v>
      </c>
      <c r="BV37" s="375">
        <f>IF(Tabla1[[#This Row],[Combustible ofertado]]="GAS",Tabla1[[#This Row],[Disponibilidad]],0)</f>
        <v>0</v>
      </c>
      <c r="BW37" s="375">
        <f>IF(Tabla1[[#This Row],[Combustible ofertado]]="DIESEL",Tabla1[[#This Row],[Disponibilidad]],0)</f>
        <v>80</v>
      </c>
      <c r="BX37" s="375">
        <f>IF(Tabla1[[#This Row],[Combustible ofertado]]="HFO",Tabla1[[#This Row],[Disponibilidad]],0)</f>
        <v>0</v>
      </c>
      <c r="BY37" s="454">
        <v>1505</v>
      </c>
      <c r="BZ37" s="446">
        <f>'Horo. M'!C38</f>
        <v>19</v>
      </c>
      <c r="CA37" s="446">
        <f>'Horo. M'!E38</f>
        <v>13</v>
      </c>
      <c r="CB37" s="446">
        <f>'Horo. M'!G38</f>
        <v>15</v>
      </c>
      <c r="CC37" s="446">
        <f>'Horo. M'!I38</f>
        <v>18</v>
      </c>
      <c r="CD37" s="446">
        <f>'Horo. M'!K38</f>
        <v>0</v>
      </c>
      <c r="CE37" s="446">
        <f>'Horo. M'!M38</f>
        <v>17</v>
      </c>
      <c r="CF37" s="446">
        <f>'Horo. M'!O38</f>
        <v>14</v>
      </c>
      <c r="CG37" s="446">
        <f>'Horo. M'!Q38</f>
        <v>16</v>
      </c>
      <c r="CH37" s="446">
        <f>'Horo. M'!S38</f>
        <v>16</v>
      </c>
      <c r="CI37" s="446">
        <f>'Horo. M'!U38</f>
        <v>19</v>
      </c>
      <c r="CJ37" s="70">
        <f>Tabla1[[#This Row],[Con. DO Storage '[gal']]]-Tabla1[[#This Row],[C. DO Storage Ge '[gal']]]</f>
        <v>449.09248900885234</v>
      </c>
      <c r="CK37" s="70"/>
      <c r="CL37" s="70"/>
      <c r="CM37" s="372">
        <f>Tabla1[[#This Row],[Con. DO Total '[gal']]]*131485.5/(1000000)</f>
        <v>311.91845362522912</v>
      </c>
    </row>
    <row r="38" spans="1:91" s="5" customFormat="1" ht="15" customHeight="1">
      <c r="A38" s="362">
        <v>44963</v>
      </c>
      <c r="B38" s="363" t="str">
        <f>TEXT(Tabla1[[#This Row],[Fecha]],"mmmm")</f>
        <v>febrero</v>
      </c>
      <c r="C38" s="429">
        <v>0</v>
      </c>
      <c r="D38" s="430">
        <v>1488</v>
      </c>
      <c r="E38" s="430">
        <v>1488</v>
      </c>
      <c r="F38" s="430">
        <v>1251</v>
      </c>
      <c r="G38" s="431">
        <v>6</v>
      </c>
      <c r="H38" s="431">
        <v>86</v>
      </c>
      <c r="I38" s="432">
        <v>0</v>
      </c>
      <c r="J38" s="432">
        <v>0</v>
      </c>
      <c r="K38" s="430">
        <v>24</v>
      </c>
      <c r="L38" s="430">
        <v>21</v>
      </c>
      <c r="M38" s="365">
        <f>Tabla1[[#This Row],[Columna1]]-Tabla1[[#This Row],[PO '[h']]]</f>
        <v>-3</v>
      </c>
      <c r="N38" s="365">
        <f t="shared" si="13"/>
        <v>1337</v>
      </c>
      <c r="O38" s="430">
        <v>1251</v>
      </c>
      <c r="P38" s="367">
        <f>Tabla1[[#This Row],[G. HGS 
'[MWh']]]</f>
        <v>1251</v>
      </c>
      <c r="Q38" s="430">
        <v>0</v>
      </c>
      <c r="R38" s="367">
        <v>0</v>
      </c>
      <c r="S38" s="367">
        <f>Tabla1[[#This Row],[G. HGS 
Con Gas]]*1000</f>
        <v>1251000</v>
      </c>
      <c r="T38" s="365">
        <f>Tabla1[[#This Row],[G. HGS 
'[MWh']]]*1000</f>
        <v>1251000</v>
      </c>
      <c r="U38" s="368">
        <f>SUM('G. Un GE'!B38:Y38)</f>
        <v>1240.7678999999998</v>
      </c>
      <c r="V38" s="369">
        <f>Tabla1[[#This Row],[R. GE
'[MWh']]]</f>
        <v>1240.7678999999998</v>
      </c>
      <c r="W38" s="434">
        <v>0</v>
      </c>
      <c r="X38" s="369">
        <v>0</v>
      </c>
      <c r="Y38" s="365">
        <f>Tabla1[[#This Row],[R. GE
'[MWh']]]*1000</f>
        <v>1240767.8999999999</v>
      </c>
      <c r="Z38" s="434">
        <v>35.4</v>
      </c>
      <c r="AA3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34.0717</v>
      </c>
      <c r="AB38" s="368">
        <f>IF(Tabla1[[#This Row],[G. HGS 
'[MWh']]]=0,0,Tabla1[[#This Row],[G. HGS 
'[MWh']]]+Tabla1[[#This Row],[Con. Aux. '[MWh']2]])</f>
        <v>1285.0717</v>
      </c>
      <c r="AC38" s="368">
        <f>'C. ENER. TN'!F38</f>
        <v>1.3283</v>
      </c>
      <c r="AD38" s="370">
        <f>'C. ENER. TN'!G38</f>
        <v>1240.7679000000001</v>
      </c>
      <c r="AE38" s="370">
        <f>'G. Un GE'!AX38</f>
        <v>157.30016031746035</v>
      </c>
      <c r="AF38" s="368">
        <f>IFERROR('G. Un GE'!AX38/Tabla1[[#This Row],[PO '[h']]],0)</f>
        <v>6.554173346560848</v>
      </c>
      <c r="AG38" s="365">
        <f>'Ar-Pa'!AX38</f>
        <v>9</v>
      </c>
      <c r="AH38" s="365">
        <f>'Ar-Pa'!AY38</f>
        <v>9</v>
      </c>
      <c r="AI38" s="365">
        <f>SUM('Cal. Arr'!AB41:AY41)</f>
        <v>1</v>
      </c>
      <c r="AJ38" s="442">
        <v>1.3</v>
      </c>
      <c r="AK38" s="442">
        <v>1</v>
      </c>
      <c r="AL38" s="267">
        <f t="shared" si="10"/>
        <v>264.17205235814845</v>
      </c>
      <c r="AM38" s="267">
        <f>+CONVERT(AK38+Tabla1[[#This Row],[Con. DO Storage Gen. '[m3']]],"m^3","gal")</f>
        <v>607.59572042374134</v>
      </c>
      <c r="AN38" s="372">
        <f>SUM('DO Pilot'!B38:Y38)</f>
        <v>6.0899999999999981</v>
      </c>
      <c r="AO38" s="372">
        <f t="shared" si="0"/>
        <v>1608.8077988611235</v>
      </c>
      <c r="AP38" s="267">
        <f>AK38+AN38+Tabla1[[#This Row],[Con. DO Storage Gen. '[m3']]]</f>
        <v>8.3899999999999988</v>
      </c>
      <c r="AQ38" s="372">
        <f t="shared" si="11"/>
        <v>2216.4035192848646</v>
      </c>
      <c r="AR38" s="442">
        <v>0</v>
      </c>
      <c r="AS38" s="442">
        <v>0</v>
      </c>
      <c r="AT38" s="267">
        <f>+CONVERT(SUM(Tabla1[[#This Row],[Repo. DO Storage '[gal']]:[Repo. DO Pilot '[gal']]]),"gal","m3")</f>
        <v>0</v>
      </c>
      <c r="AU38" s="442">
        <v>0</v>
      </c>
      <c r="AV38" s="267">
        <f t="shared" si="14"/>
        <v>0</v>
      </c>
      <c r="AW38" s="442">
        <v>0</v>
      </c>
      <c r="AX38" s="267">
        <f t="shared" si="2"/>
        <v>0</v>
      </c>
      <c r="AY38" s="372">
        <f t="shared" si="3"/>
        <v>0.21116870692098197</v>
      </c>
      <c r="AZ38" s="372">
        <f>IFERROR(AL38/'Ar-Pa'!AX38,0)</f>
        <v>29.352450262016493</v>
      </c>
      <c r="BA38" s="372">
        <f>IFERROR(AL38/'Ar-Pa'!AY38,0)</f>
        <v>29.352450262016493</v>
      </c>
      <c r="BB38" s="372">
        <f t="shared" si="4"/>
        <v>1.2860174251487797</v>
      </c>
      <c r="BC38" s="372">
        <f>IFERROR(AVERAGEIF('DO Pilot'!AX38:BU38,"&gt;0"),0)</f>
        <v>8.851313417521121</v>
      </c>
      <c r="BD38" s="445">
        <v>333881</v>
      </c>
      <c r="BE38" s="445">
        <v>11819</v>
      </c>
      <c r="BF38" s="445">
        <v>333880</v>
      </c>
      <c r="BG38" s="223">
        <f>Tabla1[[#This Row],[ Re. Gas GC
 '[m3']]]</f>
        <v>333880</v>
      </c>
      <c r="BH38" s="150">
        <f>IFERROR((BG38*Gas!$B$3)/28.31685,0)</f>
        <v>11745.818422599972</v>
      </c>
      <c r="BI38" s="151">
        <f t="shared" si="16"/>
        <v>-73.181577400027891</v>
      </c>
      <c r="BJ38" s="74">
        <f t="shared" si="12"/>
        <v>-6.2304366343021444E-3</v>
      </c>
      <c r="BK38" s="223">
        <f t="shared" si="6"/>
        <v>9447.6418864908064</v>
      </c>
      <c r="BL38" s="442">
        <v>8944.67</v>
      </c>
      <c r="BM38" s="150">
        <f t="shared" si="7"/>
        <v>9140.2047236741528</v>
      </c>
      <c r="BN38" s="150">
        <f t="shared" si="17"/>
        <v>9466.5718081520117</v>
      </c>
      <c r="BO38" s="373">
        <f>IFERROR(Tabla1[[#This Row],[ Re. Gas GC
 '[m3']]]/Tabla1[[#This Row],[G. HGS 
Con Gas '[kWh']]],0)</f>
        <v>0.26689048760991207</v>
      </c>
      <c r="BP38" s="374">
        <f>Tank!Y39</f>
        <v>0</v>
      </c>
      <c r="BQ38" s="70">
        <f>Tank!AP39</f>
        <v>30.3</v>
      </c>
      <c r="BR38" s="70">
        <f>Tank!V39</f>
        <v>0</v>
      </c>
      <c r="BS38" s="372">
        <f>Tank!T39</f>
        <v>0</v>
      </c>
      <c r="BT38" s="375" t="s">
        <v>228</v>
      </c>
      <c r="BU38" s="449">
        <v>80</v>
      </c>
      <c r="BV38" s="375">
        <f>IF(Tabla1[[#This Row],[Combustible ofertado]]="GAS",Tabla1[[#This Row],[Disponibilidad]],0)</f>
        <v>0</v>
      </c>
      <c r="BW38" s="375">
        <f>IF(Tabla1[[#This Row],[Combustible ofertado]]="DIESEL",Tabla1[[#This Row],[Disponibilidad]],0)</f>
        <v>80</v>
      </c>
      <c r="BX38" s="375">
        <f>IF(Tabla1[[#This Row],[Combustible ofertado]]="HFO",Tabla1[[#This Row],[Disponibilidad]],0)</f>
        <v>0</v>
      </c>
      <c r="BY38" s="454">
        <v>1505</v>
      </c>
      <c r="BZ38" s="446">
        <f>'Horo. M'!C39</f>
        <v>19</v>
      </c>
      <c r="CA38" s="446">
        <f>'Horo. M'!E39</f>
        <v>17</v>
      </c>
      <c r="CB38" s="446">
        <f>'Horo. M'!G39</f>
        <v>20</v>
      </c>
      <c r="CC38" s="446">
        <f>'Horo. M'!I39</f>
        <v>19</v>
      </c>
      <c r="CD38" s="446">
        <f>'Horo. M'!K39</f>
        <v>0</v>
      </c>
      <c r="CE38" s="446">
        <f>'Horo. M'!M39</f>
        <v>19</v>
      </c>
      <c r="CF38" s="446">
        <f>'Horo. M'!O39</f>
        <v>17</v>
      </c>
      <c r="CG38" s="446">
        <f>'Horo. M'!Q39</f>
        <v>18</v>
      </c>
      <c r="CH38" s="446">
        <f>'Horo. M'!S39</f>
        <v>19</v>
      </c>
      <c r="CI38" s="446">
        <f>'Horo. M'!U39</f>
        <v>21</v>
      </c>
      <c r="CJ38" s="70">
        <f>Tabla1[[#This Row],[Con. DO Storage '[gal']]]-Tabla1[[#This Row],[C. DO Storage Ge '[gal']]]</f>
        <v>264.17205235814845</v>
      </c>
      <c r="CK38" s="70"/>
      <c r="CL38" s="70"/>
      <c r="CM38" s="372">
        <f>Tabla1[[#This Row],[Con. DO Total '[gal']]]*131485.5/(1000000)</f>
        <v>291.42492493493006</v>
      </c>
    </row>
    <row r="39" spans="1:91" s="5" customFormat="1" ht="15" customHeight="1">
      <c r="A39" s="362">
        <v>44964</v>
      </c>
      <c r="B39" s="363" t="str">
        <f>TEXT(Tabla1[[#This Row],[Fecha]],"mmmm")</f>
        <v>febrero</v>
      </c>
      <c r="C39" s="429">
        <v>0</v>
      </c>
      <c r="D39" s="430">
        <v>1488</v>
      </c>
      <c r="E39" s="430">
        <v>1488</v>
      </c>
      <c r="F39" s="430">
        <v>1539</v>
      </c>
      <c r="G39" s="431">
        <v>0</v>
      </c>
      <c r="H39" s="431">
        <v>0</v>
      </c>
      <c r="I39" s="432">
        <v>0</v>
      </c>
      <c r="J39" s="432">
        <v>0</v>
      </c>
      <c r="K39" s="430">
        <v>24</v>
      </c>
      <c r="L39" s="430">
        <v>24</v>
      </c>
      <c r="M39" s="365">
        <f>Tabla1[[#This Row],[Columna1]]-Tabla1[[#This Row],[PO '[h']]]</f>
        <v>0</v>
      </c>
      <c r="N39" s="365">
        <f t="shared" si="13"/>
        <v>1539</v>
      </c>
      <c r="O39" s="430">
        <v>1539</v>
      </c>
      <c r="P39" s="367">
        <f>Tabla1[[#This Row],[G. HGS 
'[MWh']]]</f>
        <v>1539</v>
      </c>
      <c r="Q39" s="430">
        <v>0</v>
      </c>
      <c r="R39" s="367">
        <v>0</v>
      </c>
      <c r="S39" s="367">
        <f>Tabla1[[#This Row],[G. HGS 
Con Gas]]*1000</f>
        <v>1539000</v>
      </c>
      <c r="T39" s="365">
        <f>Tabla1[[#This Row],[G. HGS 
'[MWh']]]*1000</f>
        <v>1539000</v>
      </c>
      <c r="U39" s="368">
        <f>SUM('G. Un GE'!B39:Y39)</f>
        <v>1524.6209000000001</v>
      </c>
      <c r="V39" s="369">
        <f>Tabla1[[#This Row],[R. GE
'[MWh']]]</f>
        <v>1524.6209000000001</v>
      </c>
      <c r="W39" s="434">
        <v>0</v>
      </c>
      <c r="X39" s="369">
        <v>0</v>
      </c>
      <c r="Y39" s="365">
        <f>Tabla1[[#This Row],[R. GE
'[MWh']]]*1000</f>
        <v>1524620.9000000001</v>
      </c>
      <c r="Z39" s="434">
        <v>39.880000000000003</v>
      </c>
      <c r="AA3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39.880000000000003</v>
      </c>
      <c r="AB39" s="368">
        <f>IF(Tabla1[[#This Row],[G. HGS 
'[MWh']]]=0,0,Tabla1[[#This Row],[G. HGS 
'[MWh']]]+Tabla1[[#This Row],[Con. Aux. '[MWh']2]])</f>
        <v>1578.88</v>
      </c>
      <c r="AC39" s="368">
        <f>'C. ENER. TN'!F39</f>
        <v>0</v>
      </c>
      <c r="AD39" s="370">
        <f>'C. ENER. TN'!G39</f>
        <v>1524.6209000000001</v>
      </c>
      <c r="AE39" s="370">
        <f>'G. Un GE'!AX39</f>
        <v>175.57590833333333</v>
      </c>
      <c r="AF39" s="368">
        <f>IFERROR('G. Un GE'!AX39/Tabla1[[#This Row],[PO '[h']]],0)</f>
        <v>7.3156628472222218</v>
      </c>
      <c r="AG39" s="365">
        <f>'Ar-Pa'!AX39</f>
        <v>1</v>
      </c>
      <c r="AH39" s="365">
        <f>'Ar-Pa'!AY39</f>
        <v>1</v>
      </c>
      <c r="AI39" s="365">
        <f>SUM('Cal. Arr'!AB42:AY42)</f>
        <v>0</v>
      </c>
      <c r="AJ39" s="442">
        <v>0</v>
      </c>
      <c r="AK39" s="442">
        <v>1.4</v>
      </c>
      <c r="AL39" s="267">
        <f t="shared" si="10"/>
        <v>369.84087330140778</v>
      </c>
      <c r="AM39" s="267">
        <f>+CONVERT(AK39+Tabla1[[#This Row],[Con. DO Storage Gen. '[m3']]],"m^3","gal")</f>
        <v>369.84087330140778</v>
      </c>
      <c r="AN39" s="372">
        <f>SUM('DO Pilot'!B39:Y39)</f>
        <v>7.4199999999999982</v>
      </c>
      <c r="AO39" s="372">
        <f t="shared" si="0"/>
        <v>1960.1566284974608</v>
      </c>
      <c r="AP39" s="267">
        <f>AK39+AN39+Tabla1[[#This Row],[Con. DO Storage Gen. '[m3']]]</f>
        <v>8.8199999999999985</v>
      </c>
      <c r="AQ39" s="372">
        <f t="shared" si="11"/>
        <v>2329.9975017988686</v>
      </c>
      <c r="AR39" s="442">
        <v>11007</v>
      </c>
      <c r="AS39" s="442">
        <v>0</v>
      </c>
      <c r="AT39" s="267">
        <f>+CONVERT(SUM(Tabla1[[#This Row],[Repo. DO Storage '[gal']]:[Repo. DO Pilot '[gal']]]),"gal","m3")</f>
        <v>41.666027506488</v>
      </c>
      <c r="AU39" s="442">
        <v>0</v>
      </c>
      <c r="AV39" s="267">
        <f t="shared" si="14"/>
        <v>0</v>
      </c>
      <c r="AW39" s="442">
        <v>0</v>
      </c>
      <c r="AX39" s="267">
        <f t="shared" si="2"/>
        <v>0</v>
      </c>
      <c r="AY39" s="372">
        <f t="shared" si="3"/>
        <v>0.24031245828551512</v>
      </c>
      <c r="AZ39" s="372">
        <f>IFERROR(AL39/'Ar-Pa'!AX39,0)</f>
        <v>369.84087330140778</v>
      </c>
      <c r="BA39" s="372">
        <f>IFERROR(AL39/'Ar-Pa'!AY39,0)</f>
        <v>369.84087330140778</v>
      </c>
      <c r="BB39" s="372">
        <f t="shared" si="4"/>
        <v>1.2736560289132299</v>
      </c>
      <c r="BC39" s="372">
        <f>IFERROR(AVERAGEIF('DO Pilot'!AX39:BU39,"&gt;0"),0)</f>
        <v>9.4050142714544513</v>
      </c>
      <c r="BD39" s="445">
        <v>408666</v>
      </c>
      <c r="BE39" s="445">
        <v>14466</v>
      </c>
      <c r="BF39" s="445">
        <v>408666</v>
      </c>
      <c r="BG39" s="223">
        <f>Tabla1[[#This Row],[ Re. Gas GC
 '[m3']]]</f>
        <v>408666</v>
      </c>
      <c r="BH39" s="150">
        <f>IFERROR((BG39*Gas!$B$3)/28.31685,0)</f>
        <v>14376.771988409728</v>
      </c>
      <c r="BI39" s="151">
        <f t="shared" si="16"/>
        <v>-89.228011590272217</v>
      </c>
      <c r="BJ39" s="74">
        <f t="shared" si="12"/>
        <v>-6.2064009683262759E-3</v>
      </c>
      <c r="BK39" s="223">
        <f t="shared" si="6"/>
        <v>9399.6101364522419</v>
      </c>
      <c r="BL39" s="442">
        <v>8661.2800000000007</v>
      </c>
      <c r="BM39" s="150">
        <f t="shared" si="7"/>
        <v>9105.6774348967156</v>
      </c>
      <c r="BN39" s="150">
        <f t="shared" si="17"/>
        <v>9429.7356073301416</v>
      </c>
      <c r="BO39" s="373">
        <f>IFERROR(Tabla1[[#This Row],[ Re. Gas GC
 '[m3']]]/Tabla1[[#This Row],[G. HGS 
Con Gas '[kWh']]],0)</f>
        <v>0.26553996101364524</v>
      </c>
      <c r="BP39" s="374">
        <f>Tank!Y40</f>
        <v>0</v>
      </c>
      <c r="BQ39" s="70">
        <f>Tank!AP40</f>
        <v>32.700000000000003</v>
      </c>
      <c r="BR39" s="70">
        <f>Tank!V40</f>
        <v>0</v>
      </c>
      <c r="BS39" s="372">
        <f>Tank!T40</f>
        <v>0</v>
      </c>
      <c r="BT39" s="375" t="s">
        <v>228</v>
      </c>
      <c r="BU39" s="449">
        <v>80</v>
      </c>
      <c r="BV39" s="375">
        <f>IF(Tabla1[[#This Row],[Combustible ofertado]]="GAS",Tabla1[[#This Row],[Disponibilidad]],0)</f>
        <v>0</v>
      </c>
      <c r="BW39" s="375">
        <f>IF(Tabla1[[#This Row],[Combustible ofertado]]="DIESEL",Tabla1[[#This Row],[Disponibilidad]],0)</f>
        <v>80</v>
      </c>
      <c r="BX39" s="375">
        <f>IF(Tabla1[[#This Row],[Combustible ofertado]]="HFO",Tabla1[[#This Row],[Disponibilidad]],0)</f>
        <v>0</v>
      </c>
      <c r="BY39" s="454">
        <v>1505</v>
      </c>
      <c r="BZ39" s="446">
        <f>'Horo. M'!C40</f>
        <v>17</v>
      </c>
      <c r="CA39" s="446">
        <f>'Horo. M'!E40</f>
        <v>23</v>
      </c>
      <c r="CB39" s="446">
        <f>'Horo. M'!G40</f>
        <v>24</v>
      </c>
      <c r="CC39" s="446">
        <f>'Horo. M'!I40</f>
        <v>24</v>
      </c>
      <c r="CD39" s="446">
        <f>'Horo. M'!K40</f>
        <v>0</v>
      </c>
      <c r="CE39" s="446">
        <f>'Horo. M'!M40</f>
        <v>24</v>
      </c>
      <c r="CF39" s="446">
        <f>'Horo. M'!O40</f>
        <v>24</v>
      </c>
      <c r="CG39" s="446">
        <f>'Horo. M'!Q40</f>
        <v>24</v>
      </c>
      <c r="CH39" s="446">
        <f>'Horo. M'!S40</f>
        <v>24</v>
      </c>
      <c r="CI39" s="446">
        <f>'Horo. M'!U40</f>
        <v>24</v>
      </c>
      <c r="CJ39" s="70">
        <f>Tabla1[[#This Row],[Con. DO Storage '[gal']]]-Tabla1[[#This Row],[C. DO Storage Ge '[gal']]]</f>
        <v>369.84087330140778</v>
      </c>
      <c r="CK39" s="70"/>
      <c r="CL39" s="70"/>
      <c r="CM39" s="372">
        <f>Tabla1[[#This Row],[Con. DO Total '[gal']]]*131485.5/(1000000)</f>
        <v>306.3608865227751</v>
      </c>
    </row>
    <row r="40" spans="1:91" s="5" customFormat="1" ht="15" customHeight="1">
      <c r="A40" s="362">
        <v>44965</v>
      </c>
      <c r="B40" s="363" t="str">
        <f>TEXT(Tabla1[[#This Row],[Fecha]],"mmmm")</f>
        <v>febrero</v>
      </c>
      <c r="C40" s="429">
        <v>0</v>
      </c>
      <c r="D40" s="430">
        <v>1488</v>
      </c>
      <c r="E40" s="430">
        <v>1488</v>
      </c>
      <c r="F40" s="430">
        <v>1541</v>
      </c>
      <c r="G40" s="431">
        <v>0</v>
      </c>
      <c r="H40" s="431">
        <v>0</v>
      </c>
      <c r="I40" s="432">
        <v>0</v>
      </c>
      <c r="J40" s="432">
        <v>0</v>
      </c>
      <c r="K40" s="430">
        <v>24</v>
      </c>
      <c r="L40" s="430">
        <v>24</v>
      </c>
      <c r="M40" s="365">
        <f>Tabla1[[#This Row],[Columna1]]-Tabla1[[#This Row],[PO '[h']]]</f>
        <v>0</v>
      </c>
      <c r="N40" s="365">
        <f t="shared" si="13"/>
        <v>1541</v>
      </c>
      <c r="O40" s="430">
        <v>1541</v>
      </c>
      <c r="P40" s="367">
        <f>Tabla1[[#This Row],[G. HGS 
'[MWh']]]</f>
        <v>1541</v>
      </c>
      <c r="Q40" s="430">
        <v>0</v>
      </c>
      <c r="R40" s="367">
        <v>0</v>
      </c>
      <c r="S40" s="367">
        <f>Tabla1[[#This Row],[G. HGS 
Con Gas]]*1000</f>
        <v>1541000</v>
      </c>
      <c r="T40" s="365">
        <f>Tabla1[[#This Row],[G. HGS 
'[MWh']]]*1000</f>
        <v>1541000</v>
      </c>
      <c r="U40" s="368">
        <f>SUM('G. Un GE'!B40:Y40)</f>
        <v>1526.6874999999998</v>
      </c>
      <c r="V40" s="369">
        <f>Tabla1[[#This Row],[R. GE
'[MWh']]]</f>
        <v>1526.6874999999998</v>
      </c>
      <c r="W40" s="434">
        <v>0</v>
      </c>
      <c r="X40" s="369">
        <v>0</v>
      </c>
      <c r="Y40" s="365">
        <f>Tabla1[[#This Row],[R. GE
'[MWh']]]*1000</f>
        <v>1526687.4999999998</v>
      </c>
      <c r="Z40" s="434">
        <v>40.479999999999997</v>
      </c>
      <c r="AA4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40.479999999999997</v>
      </c>
      <c r="AB40" s="368">
        <f>IF(Tabla1[[#This Row],[G. HGS 
'[MWh']]]=0,0,Tabla1[[#This Row],[G. HGS 
'[MWh']]]+Tabla1[[#This Row],[Con. Aux. '[MWh']2]])</f>
        <v>1581.48</v>
      </c>
      <c r="AC40" s="368">
        <f>'C. ENER. TN'!F40</f>
        <v>0</v>
      </c>
      <c r="AD40" s="370">
        <f>'C. ENER. TN'!G40</f>
        <v>1526.6874999999998</v>
      </c>
      <c r="AE40" s="370">
        <f>'G. Un GE'!AX40</f>
        <v>174.05027083333331</v>
      </c>
      <c r="AF40" s="368">
        <f>IFERROR('G. Un GE'!AX40/Tabla1[[#This Row],[PO '[h']]],0)</f>
        <v>7.2520946180555548</v>
      </c>
      <c r="AG40" s="365">
        <f>'Ar-Pa'!AX40</f>
        <v>2</v>
      </c>
      <c r="AH40" s="365">
        <f>'Ar-Pa'!AY40</f>
        <v>2</v>
      </c>
      <c r="AI40" s="365">
        <f>SUM('Cal. Arr'!AB43:AY43)</f>
        <v>0</v>
      </c>
      <c r="AJ40" s="442">
        <v>0</v>
      </c>
      <c r="AK40" s="442">
        <v>0.8</v>
      </c>
      <c r="AL40" s="267">
        <f t="shared" si="10"/>
        <v>211.33764188651872</v>
      </c>
      <c r="AM40" s="267">
        <f>+CONVERT(AK40+Tabla1[[#This Row],[Con. DO Storage Gen. '[m3']]],"m^3","gal")</f>
        <v>211.33764188651872</v>
      </c>
      <c r="AN40" s="372">
        <f>SUM('DO Pilot'!B40:Y40)</f>
        <v>6.56</v>
      </c>
      <c r="AO40" s="372">
        <f t="shared" si="0"/>
        <v>1732.9686634694538</v>
      </c>
      <c r="AP40" s="267">
        <f>AK40+AN40+Tabla1[[#This Row],[Con. DO Storage Gen. '[m3']]]</f>
        <v>7.3599999999999994</v>
      </c>
      <c r="AQ40" s="372">
        <f t="shared" si="11"/>
        <v>1944.3063053559722</v>
      </c>
      <c r="AR40" s="442">
        <v>0</v>
      </c>
      <c r="AS40" s="442">
        <v>11015</v>
      </c>
      <c r="AT40" s="267">
        <f>+CONVERT(SUM(Tabla1[[#This Row],[Repo. DO Storage '[gal']]:[Repo. DO Pilot '[gal']]]),"gal","m3")</f>
        <v>41.696310800760003</v>
      </c>
      <c r="AU40" s="442">
        <v>0</v>
      </c>
      <c r="AV40" s="267">
        <f t="shared" si="14"/>
        <v>0</v>
      </c>
      <c r="AW40" s="442">
        <v>0</v>
      </c>
      <c r="AX40" s="267">
        <f t="shared" si="2"/>
        <v>0</v>
      </c>
      <c r="AY40" s="372">
        <f t="shared" si="3"/>
        <v>0.1371431809776241</v>
      </c>
      <c r="AZ40" s="372">
        <f>IFERROR(AL40/'Ar-Pa'!AX40,0)</f>
        <v>105.66882094325936</v>
      </c>
      <c r="BA40" s="372">
        <f>IFERROR(AL40/'Ar-Pa'!AY40,0)</f>
        <v>105.66882094325936</v>
      </c>
      <c r="BB40" s="372">
        <f t="shared" si="4"/>
        <v>1.1245740840165177</v>
      </c>
      <c r="BC40" s="372">
        <f>IFERROR(AVERAGEIF('DO Pilot'!AX40:BU40,"&gt;0"),0)</f>
        <v>8.2339738078760831</v>
      </c>
      <c r="BD40" s="445">
        <v>412143</v>
      </c>
      <c r="BE40" s="445">
        <v>14589</v>
      </c>
      <c r="BF40" s="445">
        <v>412140</v>
      </c>
      <c r="BG40" s="223">
        <f>Tabla1[[#This Row],[ Re. Gas GC
 '[m3']]]</f>
        <v>412140</v>
      </c>
      <c r="BH40" s="150">
        <f>IFERROR((BG40*Gas!$B$3)/28.31685,0)</f>
        <v>14498.986476250007</v>
      </c>
      <c r="BI40" s="151">
        <f t="shared" si="16"/>
        <v>-90.013523749992601</v>
      </c>
      <c r="BJ40" s="74">
        <f t="shared" si="12"/>
        <v>-6.2082631704939379E-3</v>
      </c>
      <c r="BK40" s="223">
        <f t="shared" si="6"/>
        <v>9467.2290720311485</v>
      </c>
      <c r="BL40" s="442">
        <v>8736.1299999999992</v>
      </c>
      <c r="BM40" s="150">
        <f t="shared" si="7"/>
        <v>9167.9859854376955</v>
      </c>
      <c r="BN40" s="150">
        <f t="shared" si="17"/>
        <v>9497.0231145863254</v>
      </c>
      <c r="BO40" s="373">
        <f>IFERROR(Tabla1[[#This Row],[ Re. Gas GC
 '[m3']]]/Tabla1[[#This Row],[G. HGS 
Con Gas '[kWh']]],0)</f>
        <v>0.26744970798182999</v>
      </c>
      <c r="BP40" s="374">
        <f>Tank!Y41</f>
        <v>0</v>
      </c>
      <c r="BQ40" s="70">
        <f>Tank!AP41</f>
        <v>0</v>
      </c>
      <c r="BR40" s="70">
        <f>Tank!V41</f>
        <v>0</v>
      </c>
      <c r="BS40" s="372">
        <f>Tank!T41</f>
        <v>0</v>
      </c>
      <c r="BT40" s="375" t="s">
        <v>228</v>
      </c>
      <c r="BU40" s="449">
        <v>80</v>
      </c>
      <c r="BV40" s="375">
        <f>IF(Tabla1[[#This Row],[Combustible ofertado]]="GAS",Tabla1[[#This Row],[Disponibilidad]],0)</f>
        <v>0</v>
      </c>
      <c r="BW40" s="375">
        <f>IF(Tabla1[[#This Row],[Combustible ofertado]]="DIESEL",Tabla1[[#This Row],[Disponibilidad]],0)</f>
        <v>80</v>
      </c>
      <c r="BX40" s="375">
        <f>IF(Tabla1[[#This Row],[Combustible ofertado]]="HFO",Tabla1[[#This Row],[Disponibilidad]],0)</f>
        <v>0</v>
      </c>
      <c r="BY40" s="454">
        <v>1505</v>
      </c>
      <c r="BZ40" s="446">
        <f>'Horo. M'!C41</f>
        <v>22</v>
      </c>
      <c r="CA40" s="446">
        <f>'Horo. M'!E41</f>
        <v>24</v>
      </c>
      <c r="CB40" s="446">
        <f>'Horo. M'!G41</f>
        <v>24</v>
      </c>
      <c r="CC40" s="446">
        <f>'Horo. M'!I41</f>
        <v>24</v>
      </c>
      <c r="CD40" s="446">
        <f>'Horo. M'!K41</f>
        <v>0</v>
      </c>
      <c r="CE40" s="446">
        <f>'Horo. M'!M41</f>
        <v>19</v>
      </c>
      <c r="CF40" s="446">
        <f>'Horo. M'!O41</f>
        <v>24</v>
      </c>
      <c r="CG40" s="446">
        <f>'Horo. M'!Q41</f>
        <v>24</v>
      </c>
      <c r="CH40" s="446">
        <f>'Horo. M'!S41</f>
        <v>24</v>
      </c>
      <c r="CI40" s="446">
        <f>'Horo. M'!U41</f>
        <v>24</v>
      </c>
      <c r="CJ40" s="70">
        <f>Tabla1[[#This Row],[Con. DO Storage '[gal']]]-Tabla1[[#This Row],[C. DO Storage Ge '[gal']]]</f>
        <v>211.33764188651872</v>
      </c>
      <c r="CK40" s="70"/>
      <c r="CL40" s="70"/>
      <c r="CM40" s="372">
        <f>Tabla1[[#This Row],[Con. DO Total '[gal']]]*131485.5/(1000000)</f>
        <v>255.64808671288267</v>
      </c>
    </row>
    <row r="41" spans="1:91" s="5" customFormat="1" ht="15" customHeight="1">
      <c r="A41" s="362">
        <v>44966</v>
      </c>
      <c r="B41" s="363" t="str">
        <f>TEXT(Tabla1[[#This Row],[Fecha]],"mmmm")</f>
        <v>febrero</v>
      </c>
      <c r="C41" s="429">
        <v>0</v>
      </c>
      <c r="D41" s="430">
        <v>1488</v>
      </c>
      <c r="E41" s="430">
        <v>1488</v>
      </c>
      <c r="F41" s="430">
        <v>1548</v>
      </c>
      <c r="G41" s="431">
        <v>0</v>
      </c>
      <c r="H41" s="431">
        <v>0</v>
      </c>
      <c r="I41" s="432">
        <v>0</v>
      </c>
      <c r="J41" s="432">
        <v>0</v>
      </c>
      <c r="K41" s="430">
        <v>24</v>
      </c>
      <c r="L41" s="430">
        <v>24</v>
      </c>
      <c r="M41" s="365">
        <f>Tabla1[[#This Row],[Columna1]]-Tabla1[[#This Row],[PO '[h']]]</f>
        <v>0</v>
      </c>
      <c r="N41" s="365">
        <f t="shared" si="13"/>
        <v>1548</v>
      </c>
      <c r="O41" s="430">
        <v>1548</v>
      </c>
      <c r="P41" s="367">
        <f>Tabla1[[#This Row],[G. HGS 
'[MWh']]]</f>
        <v>1548</v>
      </c>
      <c r="Q41" s="430">
        <v>0</v>
      </c>
      <c r="R41" s="367">
        <v>0</v>
      </c>
      <c r="S41" s="367">
        <f>Tabla1[[#This Row],[G. HGS 
Con Gas]]*1000</f>
        <v>1548000</v>
      </c>
      <c r="T41" s="365">
        <f>Tabla1[[#This Row],[G. HGS 
'[MWh']]]*1000</f>
        <v>1548000</v>
      </c>
      <c r="U41" s="368">
        <f>SUM('G. Un GE'!B41:Y41)</f>
        <v>1534.8798000000002</v>
      </c>
      <c r="V41" s="369">
        <f>Tabla1[[#This Row],[R. GE
'[MWh']]]</f>
        <v>1534.8798000000002</v>
      </c>
      <c r="W41" s="434">
        <v>0</v>
      </c>
      <c r="X41" s="369">
        <v>0</v>
      </c>
      <c r="Y41" s="365">
        <f>Tabla1[[#This Row],[R. GE
'[MWh']]]*1000</f>
        <v>1534879.8</v>
      </c>
      <c r="Z41" s="434">
        <v>40.81</v>
      </c>
      <c r="AA4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40.81</v>
      </c>
      <c r="AB41" s="368">
        <f>IF(Tabla1[[#This Row],[G. HGS 
'[MWh']]]=0,0,Tabla1[[#This Row],[G. HGS 
'[MWh']]]+Tabla1[[#This Row],[Con. Aux. '[MWh']2]])</f>
        <v>1588.81</v>
      </c>
      <c r="AC41" s="368">
        <f>'C. ENER. TN'!F41</f>
        <v>0</v>
      </c>
      <c r="AD41" s="370">
        <f>'C. ENER. TN'!G41</f>
        <v>1534.8798000000004</v>
      </c>
      <c r="AE41" s="370">
        <f>'G. Un GE'!AX41</f>
        <v>174.0959013888889</v>
      </c>
      <c r="AF41" s="368">
        <f>IFERROR('G. Un GE'!AX41/Tabla1[[#This Row],[PO '[h']]],0)</f>
        <v>7.2539958912037044</v>
      </c>
      <c r="AG41" s="365">
        <f>'Ar-Pa'!AX41</f>
        <v>1</v>
      </c>
      <c r="AH41" s="365">
        <f>'Ar-Pa'!AY41</f>
        <v>1</v>
      </c>
      <c r="AI41" s="365">
        <f>SUM('Cal. Arr'!AB44:AY44)</f>
        <v>0</v>
      </c>
      <c r="AJ41" s="442">
        <v>0</v>
      </c>
      <c r="AK41" s="442">
        <v>1</v>
      </c>
      <c r="AL41" s="267">
        <f t="shared" si="10"/>
        <v>264.17205235814845</v>
      </c>
      <c r="AM41" s="267">
        <f>+CONVERT(AK41+Tabla1[[#This Row],[Con. DO Storage Gen. '[m3']]],"m^3","gal")</f>
        <v>264.17205235814845</v>
      </c>
      <c r="AN41" s="372">
        <f>SUM('DO Pilot'!B41:Y41)</f>
        <v>7.4199999999999964</v>
      </c>
      <c r="AO41" s="372">
        <f t="shared" si="0"/>
        <v>1960.1566284974604</v>
      </c>
      <c r="AP41" s="267">
        <f>AK41+AN41+Tabla1[[#This Row],[Con. DO Storage Gen. '[m3']]]</f>
        <v>8.4199999999999964</v>
      </c>
      <c r="AQ41" s="372">
        <f t="shared" si="11"/>
        <v>2224.3286808556086</v>
      </c>
      <c r="AR41" s="442">
        <v>11002</v>
      </c>
      <c r="AS41" s="442">
        <v>0</v>
      </c>
      <c r="AT41" s="267">
        <f>+CONVERT(SUM(Tabla1[[#This Row],[Repo. DO Storage '[gal']]:[Repo. DO Pilot '[gal']]]),"gal","m3")</f>
        <v>41.647100447568</v>
      </c>
      <c r="AU41" s="442">
        <v>0</v>
      </c>
      <c r="AV41" s="267">
        <f t="shared" si="14"/>
        <v>0</v>
      </c>
      <c r="AW41" s="442">
        <v>0</v>
      </c>
      <c r="AX41" s="267">
        <f t="shared" si="2"/>
        <v>0</v>
      </c>
      <c r="AY41" s="372">
        <f t="shared" si="3"/>
        <v>0.17065378059311914</v>
      </c>
      <c r="AZ41" s="372">
        <f>IFERROR(AL41/'Ar-Pa'!AX41,0)</f>
        <v>264.17205235814845</v>
      </c>
      <c r="BA41" s="372">
        <f>IFERROR(AL41/'Ar-Pa'!AY41,0)</f>
        <v>264.17205235814845</v>
      </c>
      <c r="BB41" s="372">
        <f t="shared" si="4"/>
        <v>1.2662510520009433</v>
      </c>
      <c r="BC41" s="372">
        <f>IFERROR(AVERAGEIF('DO Pilot'!AX41:BU41,"&gt;0"),0)</f>
        <v>9.2643671139489552</v>
      </c>
      <c r="BD41" s="445">
        <v>415157</v>
      </c>
      <c r="BE41" s="445">
        <v>14696</v>
      </c>
      <c r="BF41" s="445">
        <v>415152</v>
      </c>
      <c r="BG41" s="223">
        <f>Tabla1[[#This Row],[ Re. Gas GC
 '[m3']]]</f>
        <v>415152</v>
      </c>
      <c r="BH41" s="150">
        <f>IFERROR((BG41*Gas!$B$3)/28.31685,0)</f>
        <v>14604.947914757468</v>
      </c>
      <c r="BI41" s="151">
        <f t="shared" si="16"/>
        <v>-91.052085242532485</v>
      </c>
      <c r="BJ41" s="74">
        <f t="shared" si="12"/>
        <v>-6.2343313905645322E-3</v>
      </c>
      <c r="BK41" s="223">
        <f t="shared" si="6"/>
        <v>9493.5400516795871</v>
      </c>
      <c r="BL41" s="442">
        <v>8871.89</v>
      </c>
      <c r="BM41" s="150">
        <f t="shared" si="7"/>
        <v>9192.3816660000048</v>
      </c>
      <c r="BN41" s="150">
        <f t="shared" si="17"/>
        <v>9515.3691609971465</v>
      </c>
      <c r="BO41" s="373">
        <f>IFERROR(Tabla1[[#This Row],[ Re. Gas GC
 '[m3']]]/Tabla1[[#This Row],[G. HGS 
Con Gas '[kWh']]],0)</f>
        <v>0.26818604651162792</v>
      </c>
      <c r="BP41" s="374">
        <f>Tank!Y42</f>
        <v>0</v>
      </c>
      <c r="BQ41" s="70">
        <f>Tank!AP42</f>
        <v>0</v>
      </c>
      <c r="BR41" s="70">
        <f>Tank!V42</f>
        <v>0</v>
      </c>
      <c r="BS41" s="372">
        <f>Tank!T42</f>
        <v>0</v>
      </c>
      <c r="BT41" s="375" t="s">
        <v>228</v>
      </c>
      <c r="BU41" s="449">
        <v>80</v>
      </c>
      <c r="BV41" s="375">
        <f>IF(Tabla1[[#This Row],[Combustible ofertado]]="GAS",Tabla1[[#This Row],[Disponibilidad]],0)</f>
        <v>0</v>
      </c>
      <c r="BW41" s="375">
        <f>IF(Tabla1[[#This Row],[Combustible ofertado]]="DIESEL",Tabla1[[#This Row],[Disponibilidad]],0)</f>
        <v>80</v>
      </c>
      <c r="BX41" s="375">
        <f>IF(Tabla1[[#This Row],[Combustible ofertado]]="HFO",Tabla1[[#This Row],[Disponibilidad]],0)</f>
        <v>0</v>
      </c>
      <c r="BY41" s="454">
        <v>1505</v>
      </c>
      <c r="BZ41" s="446">
        <f>'Horo. M'!C42</f>
        <v>24</v>
      </c>
      <c r="CA41" s="446">
        <f>'Horo. M'!E42</f>
        <v>24</v>
      </c>
      <c r="CB41" s="446">
        <f>'Horo. M'!G42</f>
        <v>24</v>
      </c>
      <c r="CC41" s="446">
        <f>'Horo. M'!I42</f>
        <v>24</v>
      </c>
      <c r="CD41" s="446">
        <f>'Horo. M'!K42</f>
        <v>0</v>
      </c>
      <c r="CE41" s="446">
        <f>'Horo. M'!M42</f>
        <v>24</v>
      </c>
      <c r="CF41" s="446">
        <f>'Horo. M'!O42</f>
        <v>24</v>
      </c>
      <c r="CG41" s="446">
        <f>'Horo. M'!Q42</f>
        <v>19</v>
      </c>
      <c r="CH41" s="446">
        <f>'Horo. M'!S42</f>
        <v>24</v>
      </c>
      <c r="CI41" s="446">
        <f>'Horo. M'!U42</f>
        <v>24</v>
      </c>
      <c r="CJ41" s="70">
        <f>Tabla1[[#This Row],[Con. DO Storage '[gal']]]-Tabla1[[#This Row],[C. DO Storage Ge '[gal']]]</f>
        <v>264.17205235814845</v>
      </c>
      <c r="CK41" s="70"/>
      <c r="CL41" s="70"/>
      <c r="CM41" s="372">
        <f>Tabla1[[#This Row],[Con. DO Total '[gal']]]*131485.5/(1000000)</f>
        <v>292.46696876664015</v>
      </c>
    </row>
    <row r="42" spans="1:91" s="5" customFormat="1" ht="15" customHeight="1">
      <c r="A42" s="362">
        <v>44967</v>
      </c>
      <c r="B42" s="363" t="str">
        <f>TEXT(Tabla1[[#This Row],[Fecha]],"mmmm")</f>
        <v>febrero</v>
      </c>
      <c r="C42" s="429">
        <v>0</v>
      </c>
      <c r="D42" s="430">
        <v>1488</v>
      </c>
      <c r="E42" s="430">
        <v>1488</v>
      </c>
      <c r="F42" s="430">
        <v>1545</v>
      </c>
      <c r="G42" s="431">
        <v>0</v>
      </c>
      <c r="H42" s="431">
        <v>0</v>
      </c>
      <c r="I42" s="432">
        <v>0</v>
      </c>
      <c r="J42" s="432">
        <v>0</v>
      </c>
      <c r="K42" s="430">
        <v>24</v>
      </c>
      <c r="L42" s="430">
        <v>24</v>
      </c>
      <c r="M42" s="365">
        <f>Tabla1[[#This Row],[Columna1]]-Tabla1[[#This Row],[PO '[h']]]</f>
        <v>0</v>
      </c>
      <c r="N42" s="365">
        <f t="shared" si="13"/>
        <v>1545</v>
      </c>
      <c r="O42" s="430">
        <v>1545</v>
      </c>
      <c r="P42" s="367">
        <f>Tabla1[[#This Row],[G. HGS 
'[MWh']]]</f>
        <v>1545</v>
      </c>
      <c r="Q42" s="430">
        <v>0</v>
      </c>
      <c r="R42" s="367">
        <v>0</v>
      </c>
      <c r="S42" s="367">
        <f>Tabla1[[#This Row],[G. HGS 
Con Gas]]*1000</f>
        <v>1545000</v>
      </c>
      <c r="T42" s="365">
        <f>Tabla1[[#This Row],[G. HGS 
'[MWh']]]*1000</f>
        <v>1545000</v>
      </c>
      <c r="U42" s="368">
        <f>SUM('G. Un GE'!B42:Y42)</f>
        <v>1530.3915000000002</v>
      </c>
      <c r="V42" s="369">
        <f>Tabla1[[#This Row],[R. GE
'[MWh']]]</f>
        <v>1530.3915000000002</v>
      </c>
      <c r="W42" s="434">
        <v>0</v>
      </c>
      <c r="X42" s="369">
        <v>0</v>
      </c>
      <c r="Y42" s="365">
        <f>Tabla1[[#This Row],[R. GE
'[MWh']]]*1000</f>
        <v>1530391.5000000002</v>
      </c>
      <c r="Z42" s="434">
        <v>41.11</v>
      </c>
      <c r="AA4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41.11</v>
      </c>
      <c r="AB42" s="368">
        <f>IF(Tabla1[[#This Row],[G. HGS 
'[MWh']]]=0,0,Tabla1[[#This Row],[G. HGS 
'[MWh']]]+Tabla1[[#This Row],[Con. Aux. '[MWh']2]])</f>
        <v>1586.11</v>
      </c>
      <c r="AC42" s="368">
        <f>'C. ENER. TN'!F42</f>
        <v>0</v>
      </c>
      <c r="AD42" s="370">
        <f>'C. ENER. TN'!G42</f>
        <v>1530.3915</v>
      </c>
      <c r="AE42" s="370">
        <f>'G. Un GE'!AX42</f>
        <v>171.80094583333337</v>
      </c>
      <c r="AF42" s="368">
        <f>IFERROR('G. Un GE'!AX42/Tabla1[[#This Row],[PO '[h']]],0)</f>
        <v>7.1583727430555575</v>
      </c>
      <c r="AG42" s="365">
        <f>'Ar-Pa'!AX42</f>
        <v>2</v>
      </c>
      <c r="AH42" s="365">
        <f>'Ar-Pa'!AY42</f>
        <v>2</v>
      </c>
      <c r="AI42" s="365">
        <f>SUM('Cal. Arr'!AB45:AY45)</f>
        <v>0</v>
      </c>
      <c r="AJ42" s="442">
        <v>0</v>
      </c>
      <c r="AK42" s="442">
        <v>1.4</v>
      </c>
      <c r="AL42" s="267">
        <f t="shared" si="10"/>
        <v>369.84087330140778</v>
      </c>
      <c r="AM42" s="267">
        <f>+CONVERT(AK42+Tabla1[[#This Row],[Con. DO Storage Gen. '[m3']]],"m^3","gal")</f>
        <v>369.84087330140778</v>
      </c>
      <c r="AN42" s="372">
        <f>SUM('DO Pilot'!B42:Y42)</f>
        <v>7.2899999999999965</v>
      </c>
      <c r="AO42" s="372">
        <f t="shared" si="0"/>
        <v>1925.814261690901</v>
      </c>
      <c r="AP42" s="267">
        <f>AK42+AN42+Tabla1[[#This Row],[Con. DO Storage Gen. '[m3']]]</f>
        <v>8.6899999999999959</v>
      </c>
      <c r="AQ42" s="372">
        <f t="shared" si="11"/>
        <v>2295.6551349923088</v>
      </c>
      <c r="AR42" s="442">
        <v>0</v>
      </c>
      <c r="AS42" s="442">
        <v>0</v>
      </c>
      <c r="AT42" s="267">
        <f>+CONVERT(SUM(Tabla1[[#This Row],[Repo. DO Storage '[gal']]:[Repo. DO Pilot '[gal']]]),"gal","m3")</f>
        <v>0</v>
      </c>
      <c r="AU42" s="442">
        <v>0</v>
      </c>
      <c r="AV42" s="267">
        <f t="shared" si="14"/>
        <v>0</v>
      </c>
      <c r="AW42" s="442">
        <v>0</v>
      </c>
      <c r="AX42" s="267">
        <f t="shared" si="2"/>
        <v>0</v>
      </c>
      <c r="AY42" s="372">
        <f t="shared" si="3"/>
        <v>0.23937920602032867</v>
      </c>
      <c r="AZ42" s="372">
        <f>IFERROR(AL42/'Ar-Pa'!AX42,0)</f>
        <v>184.92043665070389</v>
      </c>
      <c r="BA42" s="372">
        <f>IFERROR(AL42/'Ar-Pa'!AY42,0)</f>
        <v>184.92043665070389</v>
      </c>
      <c r="BB42" s="372">
        <f t="shared" si="4"/>
        <v>1.2464817227772822</v>
      </c>
      <c r="BC42" s="372">
        <f>IFERROR(AVERAGEIF('DO Pilot'!AX42:BU42,"&gt;0"),0)</f>
        <v>9.00906194760746</v>
      </c>
      <c r="BD42" s="445">
        <v>414838</v>
      </c>
      <c r="BE42" s="445">
        <v>14685</v>
      </c>
      <c r="BF42" s="445">
        <v>414837</v>
      </c>
      <c r="BG42" s="223">
        <f>Tabla1[[#This Row],[ Re. Gas GC
 '[m3']]]</f>
        <v>414837</v>
      </c>
      <c r="BH42" s="150">
        <f>IFERROR((BG42*Gas!$B$3)/28.31685,0)</f>
        <v>14593.866290212365</v>
      </c>
      <c r="BI42" s="151">
        <f t="shared" si="15"/>
        <v>-91.133709787634871</v>
      </c>
      <c r="BJ42" s="74">
        <f t="shared" si="12"/>
        <v>-6.244658404795397E-3</v>
      </c>
      <c r="BK42" s="223">
        <f t="shared" si="6"/>
        <v>9504.8543689320395</v>
      </c>
      <c r="BL42" s="442">
        <v>8823.77</v>
      </c>
      <c r="BM42" s="150">
        <f t="shared" si="7"/>
        <v>9201.042985803233</v>
      </c>
      <c r="BN42" s="150">
        <f t="shared" si="17"/>
        <v>9536.0345965149208</v>
      </c>
      <c r="BO42" s="373">
        <f>IFERROR(Tabla1[[#This Row],[ Re. Gas GC
 '[m3']]]/Tabla1[[#This Row],[G. HGS 
Con Gas '[kWh']]],0)</f>
        <v>0.26850291262135922</v>
      </c>
      <c r="BP42" s="374">
        <f>Tank!Y43</f>
        <v>0</v>
      </c>
      <c r="BQ42" s="70">
        <f>Tank!AP43</f>
        <v>0</v>
      </c>
      <c r="BR42" s="70">
        <f>Tank!V43</f>
        <v>0</v>
      </c>
      <c r="BS42" s="372">
        <f>Tank!T43</f>
        <v>5.2834410471629729</v>
      </c>
      <c r="BT42" s="375" t="s">
        <v>228</v>
      </c>
      <c r="BU42" s="449">
        <v>80</v>
      </c>
      <c r="BV42" s="375">
        <f>IF(Tabla1[[#This Row],[Combustible ofertado]]="GAS",Tabla1[[#This Row],[Disponibilidad]],0)</f>
        <v>0</v>
      </c>
      <c r="BW42" s="375">
        <f>IF(Tabla1[[#This Row],[Combustible ofertado]]="DIESEL",Tabla1[[#This Row],[Disponibilidad]],0)</f>
        <v>80</v>
      </c>
      <c r="BX42" s="375">
        <f>IF(Tabla1[[#This Row],[Combustible ofertado]]="HFO",Tabla1[[#This Row],[Disponibilidad]],0)</f>
        <v>0</v>
      </c>
      <c r="BY42" s="454">
        <v>1505</v>
      </c>
      <c r="BZ42" s="446">
        <f>'Horo. M'!C43</f>
        <v>22</v>
      </c>
      <c r="CA42" s="446">
        <f>'Horo. M'!E43</f>
        <v>24</v>
      </c>
      <c r="CB42" s="446">
        <f>'Horo. M'!G43</f>
        <v>24</v>
      </c>
      <c r="CC42" s="446">
        <f>'Horo. M'!I43</f>
        <v>24</v>
      </c>
      <c r="CD42" s="446">
        <f>'Horo. M'!K43</f>
        <v>0</v>
      </c>
      <c r="CE42" s="446">
        <f>'Horo. M'!M43</f>
        <v>24</v>
      </c>
      <c r="CF42" s="446">
        <f>'Horo. M'!O43</f>
        <v>22</v>
      </c>
      <c r="CG42" s="446">
        <f>'Horo. M'!Q43</f>
        <v>24</v>
      </c>
      <c r="CH42" s="446">
        <f>'Horo. M'!S43</f>
        <v>24</v>
      </c>
      <c r="CI42" s="446">
        <f>'Horo. M'!U43</f>
        <v>24</v>
      </c>
      <c r="CJ42" s="70">
        <f>Tabla1[[#This Row],[Con. DO Storage '[gal']]]-Tabla1[[#This Row],[C. DO Storage Ge '[gal']]]</f>
        <v>369.84087330140778</v>
      </c>
      <c r="CK42" s="70"/>
      <c r="CL42" s="70"/>
      <c r="CM42" s="372">
        <f>Tabla1[[#This Row],[Con. DO Total '[gal']]]*131485.5/(1000000)</f>
        <v>301.84536325203123</v>
      </c>
    </row>
    <row r="43" spans="1:91" s="5" customFormat="1" ht="15" customHeight="1">
      <c r="A43" s="362">
        <v>44968</v>
      </c>
      <c r="B43" s="363" t="str">
        <f>TEXT(Tabla1[[#This Row],[Fecha]],"mmmm")</f>
        <v>febrero</v>
      </c>
      <c r="C43" s="429">
        <v>0</v>
      </c>
      <c r="D43" s="430">
        <v>1488</v>
      </c>
      <c r="E43" s="430">
        <v>1488</v>
      </c>
      <c r="F43" s="430">
        <v>1532</v>
      </c>
      <c r="G43" s="431">
        <v>0</v>
      </c>
      <c r="H43" s="431">
        <v>0</v>
      </c>
      <c r="I43" s="432">
        <v>0</v>
      </c>
      <c r="J43" s="432">
        <v>0</v>
      </c>
      <c r="K43" s="430">
        <v>24</v>
      </c>
      <c r="L43" s="430">
        <v>24</v>
      </c>
      <c r="M43" s="365">
        <f>Tabla1[[#This Row],[Columna1]]-Tabla1[[#This Row],[PO '[h']]]</f>
        <v>0</v>
      </c>
      <c r="N43" s="365">
        <f t="shared" si="13"/>
        <v>1532</v>
      </c>
      <c r="O43" s="430">
        <v>1532</v>
      </c>
      <c r="P43" s="367">
        <f>Tabla1[[#This Row],[G. HGS 
'[MWh']]]</f>
        <v>1532</v>
      </c>
      <c r="Q43" s="430">
        <v>0</v>
      </c>
      <c r="R43" s="367">
        <v>0</v>
      </c>
      <c r="S43" s="367">
        <f>Tabla1[[#This Row],[G. HGS 
Con Gas]]*1000</f>
        <v>1532000</v>
      </c>
      <c r="T43" s="365">
        <f>Tabla1[[#This Row],[G. HGS 
'[MWh']]]*1000</f>
        <v>1532000</v>
      </c>
      <c r="U43" s="368">
        <f>SUM('G. Un GE'!B43:Y43)</f>
        <v>1518.7914000000001</v>
      </c>
      <c r="V43" s="369">
        <f>Tabla1[[#This Row],[R. GE
'[MWh']]]</f>
        <v>1518.7914000000001</v>
      </c>
      <c r="W43" s="434">
        <v>0</v>
      </c>
      <c r="X43" s="369">
        <v>0</v>
      </c>
      <c r="Y43" s="365">
        <f>Tabla1[[#This Row],[R. GE
'[MWh']]]*1000</f>
        <v>1518791.4000000001</v>
      </c>
      <c r="Z43" s="434">
        <v>40.53</v>
      </c>
      <c r="AA4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40.53</v>
      </c>
      <c r="AB43" s="368">
        <f>IF(Tabla1[[#This Row],[G. HGS 
'[MWh']]]=0,0,Tabla1[[#This Row],[G. HGS 
'[MWh']]]+Tabla1[[#This Row],[Con. Aux. '[MWh']2]])</f>
        <v>1572.53</v>
      </c>
      <c r="AC43" s="368">
        <f>'C. ENER. TN'!F43</f>
        <v>0</v>
      </c>
      <c r="AD43" s="370">
        <f>'C. ENER. TN'!G43</f>
        <v>1518.7913999999998</v>
      </c>
      <c r="AE43" s="370">
        <f>'G. Un GE'!AX43</f>
        <v>174.03074583333336</v>
      </c>
      <c r="AF43" s="368">
        <f>IFERROR('G. Un GE'!AX43/Tabla1[[#This Row],[PO '[h']]],0)</f>
        <v>7.2512810763888895</v>
      </c>
      <c r="AG43" s="365">
        <f>'Ar-Pa'!AX43</f>
        <v>1</v>
      </c>
      <c r="AH43" s="365">
        <f>'Ar-Pa'!AY43</f>
        <v>1</v>
      </c>
      <c r="AI43" s="365">
        <f>SUM('Cal. Arr'!AB46:AY46)</f>
        <v>0</v>
      </c>
      <c r="AJ43" s="442">
        <v>0</v>
      </c>
      <c r="AK43" s="442">
        <v>1</v>
      </c>
      <c r="AL43" s="267">
        <f t="shared" si="10"/>
        <v>264.17205235814845</v>
      </c>
      <c r="AM43" s="267">
        <f>+CONVERT(AK43+Tabla1[[#This Row],[Con. DO Storage Gen. '[m3']]],"m^3","gal")</f>
        <v>264.17205235814845</v>
      </c>
      <c r="AN43" s="372">
        <f>SUM('DO Pilot'!B43:Y43)</f>
        <v>7.4699999999999962</v>
      </c>
      <c r="AO43" s="372">
        <f t="shared" si="0"/>
        <v>1973.3652311153678</v>
      </c>
      <c r="AP43" s="267">
        <f>AK43+AN43+Tabla1[[#This Row],[Con. DO Storage Gen. '[m3']]]</f>
        <v>8.4699999999999953</v>
      </c>
      <c r="AQ43" s="372">
        <f t="shared" si="11"/>
        <v>2237.5372834735158</v>
      </c>
      <c r="AR43" s="442">
        <v>0</v>
      </c>
      <c r="AS43" s="442">
        <v>0</v>
      </c>
      <c r="AT43" s="267">
        <f>+CONVERT(SUM(Tabla1[[#This Row],[Repo. DO Storage '[gal']]:[Repo. DO Pilot '[gal']]]),"gal","m3")</f>
        <v>0</v>
      </c>
      <c r="AU43" s="442">
        <v>0</v>
      </c>
      <c r="AV43" s="267">
        <f t="shared" si="14"/>
        <v>0</v>
      </c>
      <c r="AW43" s="442">
        <v>0</v>
      </c>
      <c r="AX43" s="267">
        <f t="shared" si="2"/>
        <v>0</v>
      </c>
      <c r="AY43" s="372">
        <f t="shared" si="3"/>
        <v>0.17243606550792981</v>
      </c>
      <c r="AZ43" s="372">
        <f>IFERROR(AL43/'Ar-Pa'!AX43,0)</f>
        <v>264.17205235814845</v>
      </c>
      <c r="BA43" s="372">
        <f>IFERROR(AL43/'Ar-Pa'!AY43,0)</f>
        <v>264.17205235814845</v>
      </c>
      <c r="BB43" s="372">
        <f t="shared" si="4"/>
        <v>1.2880974093442348</v>
      </c>
      <c r="BC43" s="372">
        <f>IFERROR(AVERAGEIF('DO Pilot'!AX43:BU43,"&gt;0"),0)</f>
        <v>9.4218307794170642</v>
      </c>
      <c r="BD43" s="445">
        <v>411156</v>
      </c>
      <c r="BE43" s="445">
        <v>14554</v>
      </c>
      <c r="BF43" s="445">
        <v>411151</v>
      </c>
      <c r="BG43" s="223">
        <f>Tabla1[[#This Row],[ Re. Gas GC
 '[m3']]]</f>
        <v>411151</v>
      </c>
      <c r="BH43" s="150">
        <f>IFERROR((BG43*Gas!$B$3)/28.31685,0)</f>
        <v>14464.193693154428</v>
      </c>
      <c r="BI43" s="151">
        <f t="shared" si="15"/>
        <v>-89.80630684557218</v>
      </c>
      <c r="BJ43" s="74">
        <f t="shared" si="12"/>
        <v>-6.2088705911118609E-3</v>
      </c>
      <c r="BK43" s="223">
        <f t="shared" si="6"/>
        <v>9500</v>
      </c>
      <c r="BL43" s="442">
        <v>8506.61</v>
      </c>
      <c r="BM43" s="150">
        <f t="shared" si="7"/>
        <v>9198.0399058551684</v>
      </c>
      <c r="BN43" s="150">
        <f t="shared" si="17"/>
        <v>9523.4893304995185</v>
      </c>
      <c r="BO43" s="373">
        <f>IFERROR(Tabla1[[#This Row],[ Re. Gas GC
 '[m3']]]/Tabla1[[#This Row],[G. HGS 
Con Gas '[kWh']]],0)</f>
        <v>0.26837532637075717</v>
      </c>
      <c r="BP43" s="374">
        <f>Tank!Y44</f>
        <v>0</v>
      </c>
      <c r="BQ43" s="70">
        <f>Tank!AP44</f>
        <v>0</v>
      </c>
      <c r="BR43" s="70">
        <f>Tank!V44</f>
        <v>0</v>
      </c>
      <c r="BS43" s="372">
        <f>Tank!T44</f>
        <v>0</v>
      </c>
      <c r="BT43" s="375" t="s">
        <v>228</v>
      </c>
      <c r="BU43" s="449">
        <v>80</v>
      </c>
      <c r="BV43" s="375">
        <f>IF(Tabla1[[#This Row],[Combustible ofertado]]="GAS",Tabla1[[#This Row],[Disponibilidad]],0)</f>
        <v>0</v>
      </c>
      <c r="BW43" s="375">
        <f>IF(Tabla1[[#This Row],[Combustible ofertado]]="DIESEL",Tabla1[[#This Row],[Disponibilidad]],0)</f>
        <v>80</v>
      </c>
      <c r="BX43" s="375">
        <f>IF(Tabla1[[#This Row],[Combustible ofertado]]="HFO",Tabla1[[#This Row],[Disponibilidad]],0)</f>
        <v>0</v>
      </c>
      <c r="BY43" s="454">
        <v>1505</v>
      </c>
      <c r="BZ43" s="446">
        <f>'Horo. M'!C44</f>
        <v>24</v>
      </c>
      <c r="CA43" s="446">
        <f>'Horo. M'!E44</f>
        <v>24</v>
      </c>
      <c r="CB43" s="446">
        <f>'Horo. M'!G44</f>
        <v>24</v>
      </c>
      <c r="CC43" s="446">
        <f>'Horo. M'!I44</f>
        <v>24</v>
      </c>
      <c r="CD43" s="446">
        <f>'Horo. M'!K44</f>
        <v>0</v>
      </c>
      <c r="CE43" s="446">
        <f>'Horo. M'!M44</f>
        <v>24</v>
      </c>
      <c r="CF43" s="446">
        <f>'Horo. M'!O44</f>
        <v>24</v>
      </c>
      <c r="CG43" s="446">
        <f>'Horo. M'!Q44</f>
        <v>24</v>
      </c>
      <c r="CH43" s="446">
        <f>'Horo. M'!S44</f>
        <v>18</v>
      </c>
      <c r="CI43" s="446">
        <f>'Horo. M'!U44</f>
        <v>24</v>
      </c>
      <c r="CJ43" s="70">
        <f>Tabla1[[#This Row],[Con. DO Storage '[gal']]]-Tabla1[[#This Row],[C. DO Storage Ge '[gal']]]</f>
        <v>264.17205235814845</v>
      </c>
      <c r="CK43" s="70"/>
      <c r="CL43" s="70"/>
      <c r="CM43" s="372">
        <f>Tabla1[[#This Row],[Con. DO Total '[gal']]]*131485.5/(1000000)</f>
        <v>294.20370848615693</v>
      </c>
    </row>
    <row r="44" spans="1:91" s="5" customFormat="1" ht="15" customHeight="1">
      <c r="A44" s="362">
        <v>44969</v>
      </c>
      <c r="B44" s="363" t="str">
        <f>TEXT(Tabla1[[#This Row],[Fecha]],"mmmm")</f>
        <v>febrero</v>
      </c>
      <c r="C44" s="429">
        <v>0</v>
      </c>
      <c r="D44" s="430">
        <v>1488</v>
      </c>
      <c r="E44" s="430">
        <v>1488</v>
      </c>
      <c r="F44" s="430">
        <v>1547</v>
      </c>
      <c r="G44" s="431">
        <v>0</v>
      </c>
      <c r="H44" s="431">
        <v>0</v>
      </c>
      <c r="I44" s="432">
        <v>0</v>
      </c>
      <c r="J44" s="432">
        <v>0</v>
      </c>
      <c r="K44" s="430">
        <v>24</v>
      </c>
      <c r="L44" s="430">
        <v>24</v>
      </c>
      <c r="M44" s="365">
        <f>Tabla1[[#This Row],[Columna1]]-Tabla1[[#This Row],[PO '[h']]]</f>
        <v>0</v>
      </c>
      <c r="N44" s="365">
        <f t="shared" si="13"/>
        <v>1547</v>
      </c>
      <c r="O44" s="430">
        <v>1547</v>
      </c>
      <c r="P44" s="367">
        <f>Tabla1[[#This Row],[G. HGS 
'[MWh']]]</f>
        <v>1547</v>
      </c>
      <c r="Q44" s="430">
        <v>0</v>
      </c>
      <c r="R44" s="367">
        <v>0</v>
      </c>
      <c r="S44" s="367">
        <f>Tabla1[[#This Row],[G. HGS 
Con Gas]]*1000</f>
        <v>1547000</v>
      </c>
      <c r="T44" s="365">
        <f>Tabla1[[#This Row],[G. HGS 
'[MWh']]]*1000</f>
        <v>1547000</v>
      </c>
      <c r="U44" s="368">
        <f>SUM('G. Un GE'!B44:Y44)</f>
        <v>1533.1939</v>
      </c>
      <c r="V44" s="369">
        <f>Tabla1[[#This Row],[R. GE
'[MWh']]]</f>
        <v>1533.1939</v>
      </c>
      <c r="W44" s="434">
        <v>0</v>
      </c>
      <c r="X44" s="369">
        <v>0</v>
      </c>
      <c r="Y44" s="365">
        <f>Tabla1[[#This Row],[R. GE
'[MWh']]]*1000</f>
        <v>1533193.9</v>
      </c>
      <c r="Z44" s="434">
        <v>41.02</v>
      </c>
      <c r="AA4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41.02</v>
      </c>
      <c r="AB44" s="368">
        <f>IF(Tabla1[[#This Row],[G. HGS 
'[MWh']]]=0,0,Tabla1[[#This Row],[G. HGS 
'[MWh']]]+Tabla1[[#This Row],[Con. Aux. '[MWh']2]])</f>
        <v>1588.02</v>
      </c>
      <c r="AC44" s="368">
        <f>'C. ENER. TN'!F44</f>
        <v>0</v>
      </c>
      <c r="AD44" s="370">
        <f>'C. ENER. TN'!G44</f>
        <v>1533.1939000000002</v>
      </c>
      <c r="AE44" s="370">
        <f>'G. Un GE'!AX44</f>
        <v>173.92203333333333</v>
      </c>
      <c r="AF44" s="368">
        <f>IFERROR('G. Un GE'!AX44/Tabla1[[#This Row],[PO '[h']]],0)</f>
        <v>7.2467513888888888</v>
      </c>
      <c r="AG44" s="365">
        <f>'Ar-Pa'!AX44</f>
        <v>1</v>
      </c>
      <c r="AH44" s="365">
        <f>'Ar-Pa'!AY44</f>
        <v>1</v>
      </c>
      <c r="AI44" s="365">
        <f>SUM('Cal. Arr'!AB47:AY47)</f>
        <v>0</v>
      </c>
      <c r="AJ44" s="442">
        <v>0</v>
      </c>
      <c r="AK44" s="442">
        <v>1.2</v>
      </c>
      <c r="AL44" s="267">
        <f t="shared" si="10"/>
        <v>317.00646282977812</v>
      </c>
      <c r="AM44" s="267">
        <f>+CONVERT(AK44+Tabla1[[#This Row],[Con. DO Storage Gen. '[m3']]],"m^3","gal")</f>
        <v>317.00646282977812</v>
      </c>
      <c r="AN44" s="372">
        <f>SUM('DO Pilot'!B44:Y44)</f>
        <v>7.6400000000000015</v>
      </c>
      <c r="AO44" s="372">
        <f t="shared" si="0"/>
        <v>2018.2744800162545</v>
      </c>
      <c r="AP44" s="267">
        <f>AK44+AN44+Tabla1[[#This Row],[Con. DO Storage Gen. '[m3']]]</f>
        <v>8.8400000000000016</v>
      </c>
      <c r="AQ44" s="372">
        <f t="shared" si="11"/>
        <v>2335.2809428460328</v>
      </c>
      <c r="AR44" s="442">
        <v>0</v>
      </c>
      <c r="AS44" s="442">
        <v>0</v>
      </c>
      <c r="AT44" s="267">
        <f>+CONVERT(SUM(Tabla1[[#This Row],[Repo. DO Storage '[gal']]:[Repo. DO Pilot '[gal']]]),"gal","m3")</f>
        <v>0</v>
      </c>
      <c r="AU44" s="442">
        <v>0</v>
      </c>
      <c r="AV44" s="267">
        <f t="shared" si="14"/>
        <v>0</v>
      </c>
      <c r="AW44" s="442">
        <v>0</v>
      </c>
      <c r="AX44" s="267">
        <f t="shared" si="2"/>
        <v>0</v>
      </c>
      <c r="AY44" s="372">
        <f t="shared" si="3"/>
        <v>0.20491691197787854</v>
      </c>
      <c r="AZ44" s="372">
        <f>IFERROR(AL44/'Ar-Pa'!AX44,0)</f>
        <v>317.00646282977812</v>
      </c>
      <c r="BA44" s="372">
        <f>IFERROR(AL44/'Ar-Pa'!AY44,0)</f>
        <v>317.00646282977812</v>
      </c>
      <c r="BB44" s="372">
        <f t="shared" si="4"/>
        <v>1.3046376729258271</v>
      </c>
      <c r="BC44" s="372">
        <f>IFERROR(AVERAGEIF('DO Pilot'!AX44:BU44,"&gt;0"),0)</f>
        <v>9.5395463351553573</v>
      </c>
      <c r="BD44" s="445">
        <v>415561</v>
      </c>
      <c r="BE44" s="445">
        <v>14710</v>
      </c>
      <c r="BF44" s="445">
        <v>414459</v>
      </c>
      <c r="BG44" s="223">
        <f>Tabla1[[#This Row],[ Re. Gas GC
 '[m3']]]</f>
        <v>414459</v>
      </c>
      <c r="BH44" s="150">
        <f>IFERROR((BG44*Gas!$B$3)/28.31685,0)</f>
        <v>14580.568340758242</v>
      </c>
      <c r="BI44" s="151">
        <f t="shared" si="15"/>
        <v>-129.4316592417581</v>
      </c>
      <c r="BJ44" s="74">
        <f t="shared" si="12"/>
        <v>-8.876996850660979E-3</v>
      </c>
      <c r="BK44" s="223">
        <f t="shared" si="6"/>
        <v>9508.7265675500967</v>
      </c>
      <c r="BL44" s="442">
        <v>8902.02</v>
      </c>
      <c r="BM44" s="150">
        <f t="shared" si="7"/>
        <v>9181.6024614036614</v>
      </c>
      <c r="BN44" s="150">
        <f t="shared" si="17"/>
        <v>9509.9310927066981</v>
      </c>
      <c r="BO44" s="373">
        <f>IFERROR(Tabla1[[#This Row],[ Re. Gas GC
 '[m3']]]/Tabla1[[#This Row],[G. HGS 
Con Gas '[kWh']]],0)</f>
        <v>0.26791144149967677</v>
      </c>
      <c r="BP44" s="374">
        <f>Tank!Y45</f>
        <v>0</v>
      </c>
      <c r="BQ44" s="70">
        <f>Tank!AP45</f>
        <v>0</v>
      </c>
      <c r="BR44" s="70">
        <f>Tank!V45</f>
        <v>0</v>
      </c>
      <c r="BS44" s="372">
        <f>Tank!T45</f>
        <v>0</v>
      </c>
      <c r="BT44" s="375" t="s">
        <v>228</v>
      </c>
      <c r="BU44" s="449">
        <v>80</v>
      </c>
      <c r="BV44" s="375">
        <f>IF(Tabla1[[#This Row],[Combustible ofertado]]="GAS",Tabla1[[#This Row],[Disponibilidad]],0)</f>
        <v>0</v>
      </c>
      <c r="BW44" s="375">
        <f>IF(Tabla1[[#This Row],[Combustible ofertado]]="DIESEL",Tabla1[[#This Row],[Disponibilidad]],0)</f>
        <v>80</v>
      </c>
      <c r="BX44" s="375">
        <f>IF(Tabla1[[#This Row],[Combustible ofertado]]="HFO",Tabla1[[#This Row],[Disponibilidad]],0)</f>
        <v>0</v>
      </c>
      <c r="BY44" s="454">
        <v>1505</v>
      </c>
      <c r="BZ44" s="446">
        <f>'Horo. M'!C45</f>
        <v>24</v>
      </c>
      <c r="CA44" s="446">
        <f>'Horo. M'!E45</f>
        <v>24</v>
      </c>
      <c r="CB44" s="446">
        <f>'Horo. M'!G45</f>
        <v>18</v>
      </c>
      <c r="CC44" s="446">
        <f>'Horo. M'!I45</f>
        <v>24</v>
      </c>
      <c r="CD44" s="446">
        <f>'Horo. M'!K45</f>
        <v>0</v>
      </c>
      <c r="CE44" s="446">
        <f>'Horo. M'!M45</f>
        <v>24</v>
      </c>
      <c r="CF44" s="446">
        <f>'Horo. M'!O45</f>
        <v>24</v>
      </c>
      <c r="CG44" s="446">
        <f>'Horo. M'!Q45</f>
        <v>24</v>
      </c>
      <c r="CH44" s="446">
        <f>'Horo. M'!S45</f>
        <v>24</v>
      </c>
      <c r="CI44" s="446">
        <f>'Horo. M'!U45</f>
        <v>24</v>
      </c>
      <c r="CJ44" s="70">
        <f>Tabla1[[#This Row],[Con. DO Storage '[gal']]]-Tabla1[[#This Row],[C. DO Storage Ge '[gal']]]</f>
        <v>317.00646282977812</v>
      </c>
      <c r="CK44" s="70"/>
      <c r="CL44" s="70"/>
      <c r="CM44" s="372">
        <f>Tabla1[[#This Row],[Con. DO Total '[gal']]]*131485.5/(1000000)</f>
        <v>307.05558241058208</v>
      </c>
    </row>
    <row r="45" spans="1:91" s="5" customFormat="1" ht="15" customHeight="1">
      <c r="A45" s="362">
        <v>44970</v>
      </c>
      <c r="B45" s="363" t="str">
        <f>TEXT(Tabla1[[#This Row],[Fecha]],"mmmm")</f>
        <v>febrero</v>
      </c>
      <c r="C45" s="429">
        <v>0</v>
      </c>
      <c r="D45" s="430">
        <v>1488</v>
      </c>
      <c r="E45" s="430">
        <v>1488</v>
      </c>
      <c r="F45" s="430">
        <v>1515</v>
      </c>
      <c r="G45" s="431">
        <v>0</v>
      </c>
      <c r="H45" s="431">
        <v>0</v>
      </c>
      <c r="I45" s="432">
        <v>0</v>
      </c>
      <c r="J45" s="432">
        <v>0</v>
      </c>
      <c r="K45" s="430">
        <v>24</v>
      </c>
      <c r="L45" s="430">
        <v>24</v>
      </c>
      <c r="M45" s="365">
        <f>Tabla1[[#This Row],[Columna1]]-Tabla1[[#This Row],[PO '[h']]]</f>
        <v>0</v>
      </c>
      <c r="N45" s="365">
        <f t="shared" si="13"/>
        <v>1515</v>
      </c>
      <c r="O45" s="430">
        <v>1515</v>
      </c>
      <c r="P45" s="367">
        <f>Tabla1[[#This Row],[G. HGS 
'[MWh']]]</f>
        <v>1515</v>
      </c>
      <c r="Q45" s="430">
        <v>0</v>
      </c>
      <c r="R45" s="367">
        <v>0</v>
      </c>
      <c r="S45" s="367">
        <f>Tabla1[[#This Row],[G. HGS 
Con Gas]]*1000</f>
        <v>1515000</v>
      </c>
      <c r="T45" s="365">
        <f>Tabla1[[#This Row],[G. HGS 
'[MWh']]]*1000</f>
        <v>1515000</v>
      </c>
      <c r="U45" s="368">
        <f>SUM('G. Un GE'!B45:Y45)</f>
        <v>1502.0784000000001</v>
      </c>
      <c r="V45" s="369">
        <f>Tabla1[[#This Row],[R. GE
'[MWh']]]</f>
        <v>1502.0784000000001</v>
      </c>
      <c r="W45" s="434">
        <v>0</v>
      </c>
      <c r="X45" s="369">
        <v>0</v>
      </c>
      <c r="Y45" s="365">
        <f>Tabla1[[#This Row],[R. GE
'[MWh']]]*1000</f>
        <v>1502078.4000000001</v>
      </c>
      <c r="Z45" s="434">
        <v>41.34</v>
      </c>
      <c r="AA4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41.34</v>
      </c>
      <c r="AB45" s="368">
        <f>IF(Tabla1[[#This Row],[G. HGS 
'[MWh']]]=0,0,Tabla1[[#This Row],[G. HGS 
'[MWh']]]+Tabla1[[#This Row],[Con. Aux. '[MWh']2]])</f>
        <v>1556.34</v>
      </c>
      <c r="AC45" s="368">
        <f>'C. ENER. TN'!F45</f>
        <v>0</v>
      </c>
      <c r="AD45" s="370">
        <f>'C. ENER. TN'!G45</f>
        <v>1502.0784000000001</v>
      </c>
      <c r="AE45" s="370">
        <f>'G. Un GE'!AX45</f>
        <v>170.43092083333337</v>
      </c>
      <c r="AF45" s="368">
        <f>IFERROR('G. Un GE'!AX45/Tabla1[[#This Row],[PO '[h']]],0)</f>
        <v>7.101288368055557</v>
      </c>
      <c r="AG45" s="365">
        <f>'Ar-Pa'!AX45</f>
        <v>1</v>
      </c>
      <c r="AH45" s="365">
        <f>'Ar-Pa'!AY45</f>
        <v>1</v>
      </c>
      <c r="AI45" s="365">
        <f>SUM('Cal. Arr'!AB48:AY48)</f>
        <v>0</v>
      </c>
      <c r="AJ45" s="442">
        <v>0</v>
      </c>
      <c r="AK45" s="442">
        <v>0.8</v>
      </c>
      <c r="AL45" s="267">
        <f t="shared" si="10"/>
        <v>211.33764188651872</v>
      </c>
      <c r="AM45" s="267">
        <f>+CONVERT(AK45+Tabla1[[#This Row],[Con. DO Storage Gen. '[m3']]],"m^3","gal")</f>
        <v>211.33764188651872</v>
      </c>
      <c r="AN45" s="372">
        <f>SUM('DO Pilot'!B45:Y45)</f>
        <v>7.349999999999997</v>
      </c>
      <c r="AO45" s="372">
        <f t="shared" si="0"/>
        <v>1941.6645848323901</v>
      </c>
      <c r="AP45" s="267">
        <f>AK45+AN45+Tabla1[[#This Row],[Con. DO Storage Gen. '[m3']]]</f>
        <v>8.1499999999999968</v>
      </c>
      <c r="AQ45" s="372">
        <f t="shared" si="11"/>
        <v>2153.0022267189088</v>
      </c>
      <c r="AR45" s="442">
        <v>0</v>
      </c>
      <c r="AS45" s="442">
        <v>10989</v>
      </c>
      <c r="AT45" s="267">
        <f>+CONVERT(SUM(Tabla1[[#This Row],[Repo. DO Storage '[gal']]:[Repo. DO Pilot '[gal']]]),"gal","m3")</f>
        <v>41.597890094376005</v>
      </c>
      <c r="AU45" s="442">
        <v>0</v>
      </c>
      <c r="AV45" s="267">
        <f t="shared" si="14"/>
        <v>0</v>
      </c>
      <c r="AW45" s="442">
        <v>0</v>
      </c>
      <c r="AX45" s="267">
        <f t="shared" si="2"/>
        <v>0</v>
      </c>
      <c r="AY45" s="372">
        <f t="shared" si="3"/>
        <v>0.13949679332443479</v>
      </c>
      <c r="AZ45" s="372">
        <f>IFERROR(AL45/'Ar-Pa'!AX45,0)</f>
        <v>211.33764188651872</v>
      </c>
      <c r="BA45" s="372">
        <f>IFERROR(AL45/'Ar-Pa'!AY45,0)</f>
        <v>211.33764188651872</v>
      </c>
      <c r="BB45" s="372">
        <f t="shared" si="4"/>
        <v>1.2816267886682442</v>
      </c>
      <c r="BC45" s="372">
        <f>IFERROR(AVERAGEIF('DO Pilot'!AX45:BU45,"&gt;0"),0)</f>
        <v>9.1772270272335952</v>
      </c>
      <c r="BD45" s="445">
        <v>410932</v>
      </c>
      <c r="BE45" s="445">
        <v>14546</v>
      </c>
      <c r="BF45" s="445">
        <v>408478</v>
      </c>
      <c r="BG45" s="223">
        <f>Tabla1[[#This Row],[ Re. Gas GC
 '[m3']]]</f>
        <v>408478</v>
      </c>
      <c r="BH45" s="150">
        <f>IFERROR((BG45*Gas!$B$3)/28.31685,0)</f>
        <v>14370.158193443125</v>
      </c>
      <c r="BI45" s="151">
        <f t="shared" si="15"/>
        <v>-175.84180655687487</v>
      </c>
      <c r="BJ45" s="74">
        <f t="shared" si="12"/>
        <v>-1.2236595045774006E-2</v>
      </c>
      <c r="BK45" s="223">
        <f t="shared" si="6"/>
        <v>9601.3201320132011</v>
      </c>
      <c r="BL45" s="442">
        <v>8925.33</v>
      </c>
      <c r="BM45" s="150">
        <f t="shared" si="7"/>
        <v>9233.3026160370646</v>
      </c>
      <c r="BN45" s="150">
        <f t="shared" si="17"/>
        <v>9566.8496354405488</v>
      </c>
      <c r="BO45" s="373">
        <f>IFERROR(Tabla1[[#This Row],[ Re. Gas GC
 '[m3']]]/Tabla1[[#This Row],[G. HGS 
Con Gas '[kWh']]],0)</f>
        <v>0.26962244224422444</v>
      </c>
      <c r="BP45" s="374">
        <f>Tank!Y46</f>
        <v>0</v>
      </c>
      <c r="BQ45" s="70">
        <f>Tank!AP46</f>
        <v>0</v>
      </c>
      <c r="BR45" s="70">
        <f>Tank!V46</f>
        <v>7.536754861943999</v>
      </c>
      <c r="BS45" s="372">
        <f>Tank!T46</f>
        <v>0</v>
      </c>
      <c r="BT45" s="375" t="s">
        <v>228</v>
      </c>
      <c r="BU45" s="449">
        <v>80</v>
      </c>
      <c r="BV45" s="375">
        <f>IF(Tabla1[[#This Row],[Combustible ofertado]]="GAS",Tabla1[[#This Row],[Disponibilidad]],0)</f>
        <v>0</v>
      </c>
      <c r="BW45" s="375">
        <f>IF(Tabla1[[#This Row],[Combustible ofertado]]="DIESEL",Tabla1[[#This Row],[Disponibilidad]],0)</f>
        <v>80</v>
      </c>
      <c r="BX45" s="375">
        <f>IF(Tabla1[[#This Row],[Combustible ofertado]]="HFO",Tabla1[[#This Row],[Disponibilidad]],0)</f>
        <v>0</v>
      </c>
      <c r="BY45" s="454">
        <v>1505</v>
      </c>
      <c r="BZ45" s="446">
        <f>'Horo. M'!C46</f>
        <v>24</v>
      </c>
      <c r="CA45" s="446">
        <f>'Horo. M'!E46</f>
        <v>24</v>
      </c>
      <c r="CB45" s="446">
        <f>'Horo. M'!G46</f>
        <v>24</v>
      </c>
      <c r="CC45" s="446">
        <f>'Horo. M'!I46</f>
        <v>20</v>
      </c>
      <c r="CD45" s="446">
        <f>'Horo. M'!K46</f>
        <v>0</v>
      </c>
      <c r="CE45" s="446">
        <f>'Horo. M'!M46</f>
        <v>24</v>
      </c>
      <c r="CF45" s="446">
        <f>'Horo. M'!O46</f>
        <v>24</v>
      </c>
      <c r="CG45" s="446">
        <f>'Horo. M'!Q46</f>
        <v>24</v>
      </c>
      <c r="CH45" s="446">
        <f>'Horo. M'!S46</f>
        <v>24</v>
      </c>
      <c r="CI45" s="446">
        <f>'Horo. M'!U46</f>
        <v>24</v>
      </c>
      <c r="CJ45" s="70">
        <f>Tabla1[[#This Row],[Con. DO Storage '[gal']]]-Tabla1[[#This Row],[C. DO Storage Ge '[gal']]]</f>
        <v>211.33764188651872</v>
      </c>
      <c r="CK45" s="70"/>
      <c r="CL45" s="70"/>
      <c r="CM45" s="372">
        <f>Tabla1[[#This Row],[Con. DO Total '[gal']]]*131485.5/(1000000)</f>
        <v>283.08857428124912</v>
      </c>
    </row>
    <row r="46" spans="1:91" s="5" customFormat="1" ht="15" customHeight="1">
      <c r="A46" s="362">
        <v>44971</v>
      </c>
      <c r="B46" s="363" t="str">
        <f>TEXT(Tabla1[[#This Row],[Fecha]],"mmmm")</f>
        <v>febrero</v>
      </c>
      <c r="C46" s="429">
        <v>0</v>
      </c>
      <c r="D46" s="430">
        <v>1488</v>
      </c>
      <c r="E46" s="430">
        <v>1488</v>
      </c>
      <c r="F46" s="430">
        <v>1519</v>
      </c>
      <c r="G46" s="431">
        <v>0</v>
      </c>
      <c r="H46" s="431">
        <v>0</v>
      </c>
      <c r="I46" s="432">
        <v>0</v>
      </c>
      <c r="J46" s="432">
        <v>0</v>
      </c>
      <c r="K46" s="430">
        <v>24</v>
      </c>
      <c r="L46" s="430">
        <v>24</v>
      </c>
      <c r="M46" s="365">
        <f>Tabla1[[#This Row],[Columna1]]-Tabla1[[#This Row],[PO '[h']]]</f>
        <v>0</v>
      </c>
      <c r="N46" s="365">
        <f t="shared" si="13"/>
        <v>1519</v>
      </c>
      <c r="O46" s="430">
        <v>1519</v>
      </c>
      <c r="P46" s="367">
        <f>Tabla1[[#This Row],[G. HGS 
'[MWh']]]</f>
        <v>1519</v>
      </c>
      <c r="Q46" s="430">
        <v>0</v>
      </c>
      <c r="R46" s="367">
        <v>0</v>
      </c>
      <c r="S46" s="367">
        <f>Tabla1[[#This Row],[G. HGS 
Con Gas]]*1000</f>
        <v>1519000</v>
      </c>
      <c r="T46" s="365">
        <f>Tabla1[[#This Row],[G. HGS 
'[MWh']]]*1000</f>
        <v>1519000</v>
      </c>
      <c r="U46" s="368">
        <f>SUM('G. Un GE'!B46:Y46)</f>
        <v>1504.2514999999999</v>
      </c>
      <c r="V46" s="369">
        <f>Tabla1[[#This Row],[R. GE
'[MWh']]]</f>
        <v>1504.2514999999999</v>
      </c>
      <c r="W46" s="434">
        <v>0</v>
      </c>
      <c r="X46" s="369">
        <v>0</v>
      </c>
      <c r="Y46" s="365">
        <f>Tabla1[[#This Row],[R. GE
'[MWh']]]*1000</f>
        <v>1504251.4999999998</v>
      </c>
      <c r="Z46" s="434">
        <v>40.659999999999997</v>
      </c>
      <c r="AA4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40.659999999999997</v>
      </c>
      <c r="AB46" s="368">
        <f>IF(Tabla1[[#This Row],[G. HGS 
'[MWh']]]=0,0,Tabla1[[#This Row],[G. HGS 
'[MWh']]]+Tabla1[[#This Row],[Con. Aux. '[MWh']2]])</f>
        <v>1559.66</v>
      </c>
      <c r="AC46" s="368">
        <f>'C. ENER. TN'!F46</f>
        <v>0</v>
      </c>
      <c r="AD46" s="370">
        <f>'C. ENER. TN'!G46</f>
        <v>1504.2515000000003</v>
      </c>
      <c r="AE46" s="370">
        <f>'G. Un GE'!AX46</f>
        <v>176.68985555555557</v>
      </c>
      <c r="AF46" s="368">
        <f>IFERROR('G. Un GE'!AX46/Tabla1[[#This Row],[PO '[h']]],0)</f>
        <v>7.3620773148148153</v>
      </c>
      <c r="AG46" s="365">
        <f>'Ar-Pa'!AX46</f>
        <v>2</v>
      </c>
      <c r="AH46" s="365">
        <f>'Ar-Pa'!AY46</f>
        <v>2</v>
      </c>
      <c r="AI46" s="365">
        <f>SUM('Cal. Arr'!AB49:AY49)</f>
        <v>0</v>
      </c>
      <c r="AJ46" s="442">
        <v>0</v>
      </c>
      <c r="AK46" s="442">
        <v>1.5</v>
      </c>
      <c r="AL46" s="267">
        <f t="shared" si="10"/>
        <v>396.25807853722262</v>
      </c>
      <c r="AM46" s="267">
        <f>+CONVERT(AK46+Tabla1[[#This Row],[Con. DO Storage Gen. '[m3']]],"m^3","gal")</f>
        <v>396.25807853722262</v>
      </c>
      <c r="AN46" s="372">
        <f>SUM('DO Pilot'!B46:Y46)</f>
        <v>7.4399999999999986</v>
      </c>
      <c r="AO46" s="372">
        <f t="shared" si="0"/>
        <v>1965.4400695446238</v>
      </c>
      <c r="AP46" s="267">
        <f>AK46+AN46+Tabla1[[#This Row],[Con. DO Storage Gen. '[m3']]]</f>
        <v>8.9399999999999977</v>
      </c>
      <c r="AQ46" s="372">
        <f t="shared" si="11"/>
        <v>2361.6981480818463</v>
      </c>
      <c r="AR46" s="442">
        <v>0</v>
      </c>
      <c r="AS46" s="442">
        <v>0</v>
      </c>
      <c r="AT46" s="267">
        <f>+CONVERT(SUM(Tabla1[[#This Row],[Repo. DO Storage '[gal']]:[Repo. DO Pilot '[gal']]]),"gal","m3")</f>
        <v>0</v>
      </c>
      <c r="AU46" s="442">
        <v>0</v>
      </c>
      <c r="AV46" s="267">
        <f t="shared" si="14"/>
        <v>0</v>
      </c>
      <c r="AW46" s="442">
        <v>0</v>
      </c>
      <c r="AX46" s="267">
        <f t="shared" si="2"/>
        <v>0</v>
      </c>
      <c r="AY46" s="372">
        <f t="shared" si="3"/>
        <v>0.26086772780593986</v>
      </c>
      <c r="AZ46" s="372">
        <f>IFERROR(AL46/'Ar-Pa'!AX46,0)</f>
        <v>198.12903926861131</v>
      </c>
      <c r="BA46" s="372">
        <f>IFERROR(AL46/'Ar-Pa'!AY46,0)</f>
        <v>198.12903926861131</v>
      </c>
      <c r="BB46" s="372">
        <f t="shared" si="4"/>
        <v>1.2939039299174613</v>
      </c>
      <c r="BC46" s="372">
        <f>IFERROR(AVERAGEIF('DO Pilot'!AX46:BU46,"&gt;0"),0)</f>
        <v>9.6199161394442143</v>
      </c>
      <c r="BD46" s="445">
        <v>409797</v>
      </c>
      <c r="BE46" s="445">
        <v>14506</v>
      </c>
      <c r="BF46" s="445">
        <v>406424</v>
      </c>
      <c r="BG46" s="223">
        <f>Tabla1[[#This Row],[ Re. Gas GC
 '[m3']]]</f>
        <v>406424</v>
      </c>
      <c r="BH46" s="150">
        <f>IFERROR((BG46*Gas!$B$3)/28.31685,0)</f>
        <v>14297.898965456961</v>
      </c>
      <c r="BI46" s="151">
        <f t="shared" si="15"/>
        <v>-208.10103454303862</v>
      </c>
      <c r="BJ46" s="74">
        <f t="shared" si="12"/>
        <v>-1.4554658348460899E-2</v>
      </c>
      <c r="BK46" s="223">
        <f t="shared" si="6"/>
        <v>9549.7037524687294</v>
      </c>
      <c r="BL46" s="442">
        <v>8870.16</v>
      </c>
      <c r="BM46" s="150">
        <f t="shared" si="7"/>
        <v>9167.3178548253854</v>
      </c>
      <c r="BN46" s="150">
        <f t="shared" si="17"/>
        <v>9504.9923270523341</v>
      </c>
      <c r="BO46" s="373">
        <f>IFERROR(Tabla1[[#This Row],[ Re. Gas GC
 '[m3']]]/Tabla1[[#This Row],[G. HGS 
Con Gas '[kWh']]],0)</f>
        <v>0.267560236998025</v>
      </c>
      <c r="BP46" s="374">
        <f>Tank!Y47</f>
        <v>0</v>
      </c>
      <c r="BQ46" s="70">
        <f>Tank!AP47</f>
        <v>46.8</v>
      </c>
      <c r="BR46" s="70">
        <f>Tank!V47</f>
        <v>0</v>
      </c>
      <c r="BS46" s="372">
        <f>Tank!T47</f>
        <v>0</v>
      </c>
      <c r="BT46" s="375" t="s">
        <v>228</v>
      </c>
      <c r="BU46" s="449">
        <v>80</v>
      </c>
      <c r="BV46" s="375">
        <f>IF(Tabla1[[#This Row],[Combustible ofertado]]="GAS",Tabla1[[#This Row],[Disponibilidad]],0)</f>
        <v>0</v>
      </c>
      <c r="BW46" s="375">
        <f>IF(Tabla1[[#This Row],[Combustible ofertado]]="DIESEL",Tabla1[[#This Row],[Disponibilidad]],0)</f>
        <v>80</v>
      </c>
      <c r="BX46" s="375">
        <f>IF(Tabla1[[#This Row],[Combustible ofertado]]="HFO",Tabla1[[#This Row],[Disponibilidad]],0)</f>
        <v>0</v>
      </c>
      <c r="BY46" s="454">
        <v>1505</v>
      </c>
      <c r="BZ46" s="446">
        <f>'Horo. M'!C47</f>
        <v>19</v>
      </c>
      <c r="CA46" s="446">
        <f>'Horo. M'!E47</f>
        <v>24</v>
      </c>
      <c r="CB46" s="446">
        <f>'Horo. M'!G47</f>
        <v>24</v>
      </c>
      <c r="CC46" s="446">
        <f>'Horo. M'!I47</f>
        <v>19</v>
      </c>
      <c r="CD46" s="446">
        <f>'Horo. M'!K47</f>
        <v>0</v>
      </c>
      <c r="CE46" s="446">
        <f>'Horo. M'!M47</f>
        <v>24</v>
      </c>
      <c r="CF46" s="446">
        <f>'Horo. M'!O47</f>
        <v>24</v>
      </c>
      <c r="CG46" s="446">
        <f>'Horo. M'!Q47</f>
        <v>24</v>
      </c>
      <c r="CH46" s="446">
        <f>'Horo. M'!S47</f>
        <v>24</v>
      </c>
      <c r="CI46" s="446">
        <f>'Horo. M'!U47</f>
        <v>24</v>
      </c>
      <c r="CJ46" s="70">
        <f>Tabla1[[#This Row],[Con. DO Storage '[gal']]]-Tabla1[[#This Row],[C. DO Storage Ge '[gal']]]</f>
        <v>396.25807853722262</v>
      </c>
      <c r="CK46" s="70"/>
      <c r="CL46" s="70"/>
      <c r="CM46" s="372">
        <f>Tabla1[[#This Row],[Con. DO Total '[gal']]]*131485.5/(1000000)</f>
        <v>310.52906184961557</v>
      </c>
    </row>
    <row r="47" spans="1:91" s="5" customFormat="1" ht="15" customHeight="1">
      <c r="A47" s="362">
        <v>44972</v>
      </c>
      <c r="B47" s="363" t="str">
        <f>TEXT(Tabla1[[#This Row],[Fecha]],"mmmm")</f>
        <v>febrero</v>
      </c>
      <c r="C47" s="429">
        <v>0</v>
      </c>
      <c r="D47" s="430">
        <v>1488</v>
      </c>
      <c r="E47" s="430">
        <v>1488</v>
      </c>
      <c r="F47" s="430">
        <v>1526</v>
      </c>
      <c r="G47" s="431">
        <v>0</v>
      </c>
      <c r="H47" s="431">
        <v>0</v>
      </c>
      <c r="I47" s="432">
        <v>0</v>
      </c>
      <c r="J47" s="432">
        <v>0</v>
      </c>
      <c r="K47" s="430">
        <v>24</v>
      </c>
      <c r="L47" s="430">
        <v>24</v>
      </c>
      <c r="M47" s="365">
        <f>Tabla1[[#This Row],[Columna1]]-Tabla1[[#This Row],[PO '[h']]]</f>
        <v>0</v>
      </c>
      <c r="N47" s="365">
        <f t="shared" si="13"/>
        <v>1526</v>
      </c>
      <c r="O47" s="430">
        <v>1526</v>
      </c>
      <c r="P47" s="367">
        <f>Tabla1[[#This Row],[G. HGS 
'[MWh']]]</f>
        <v>1526</v>
      </c>
      <c r="Q47" s="430">
        <v>0</v>
      </c>
      <c r="R47" s="367">
        <v>0</v>
      </c>
      <c r="S47" s="367">
        <f>Tabla1[[#This Row],[G. HGS 
Con Gas]]*1000</f>
        <v>1526000</v>
      </c>
      <c r="T47" s="365">
        <f>Tabla1[[#This Row],[G. HGS 
'[MWh']]]*1000</f>
        <v>1526000</v>
      </c>
      <c r="U47" s="368">
        <f>SUM('G. Un GE'!B47:Y47)</f>
        <v>1513.3906999999999</v>
      </c>
      <c r="V47" s="369">
        <f>Tabla1[[#This Row],[R. GE
'[MWh']]]</f>
        <v>1513.3906999999999</v>
      </c>
      <c r="W47" s="434">
        <v>0</v>
      </c>
      <c r="X47" s="369">
        <v>0</v>
      </c>
      <c r="Y47" s="365">
        <f>Tabla1[[#This Row],[R. GE
'[MWh']]]*1000</f>
        <v>1513390.7</v>
      </c>
      <c r="Z47" s="434">
        <v>40.4</v>
      </c>
      <c r="AA4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40.4</v>
      </c>
      <c r="AB47" s="368">
        <f>IF(Tabla1[[#This Row],[G. HGS 
'[MWh']]]=0,0,Tabla1[[#This Row],[G. HGS 
'[MWh']]]+Tabla1[[#This Row],[Con. Aux. '[MWh']2]])</f>
        <v>1566.4</v>
      </c>
      <c r="AC47" s="368">
        <f>'C. ENER. TN'!F47</f>
        <v>0</v>
      </c>
      <c r="AD47" s="370">
        <f>'C. ENER. TN'!G47</f>
        <v>1513.3907000000002</v>
      </c>
      <c r="AE47" s="370">
        <f>'G. Un GE'!AX47</f>
        <v>176.60945714285717</v>
      </c>
      <c r="AF47" s="368">
        <f>IFERROR('G. Un GE'!AX47/Tabla1[[#This Row],[PO '[h']]],0)</f>
        <v>7.3587273809523817</v>
      </c>
      <c r="AG47" s="365">
        <f>'Ar-Pa'!AX47</f>
        <v>2</v>
      </c>
      <c r="AH47" s="365">
        <f>'Ar-Pa'!AY47</f>
        <v>2</v>
      </c>
      <c r="AI47" s="365">
        <f>SUM('Cal. Arr'!AB50:AY50)</f>
        <v>0</v>
      </c>
      <c r="AJ47" s="442">
        <v>0</v>
      </c>
      <c r="AK47" s="442">
        <v>0.9</v>
      </c>
      <c r="AL47" s="267">
        <f t="shared" si="10"/>
        <v>237.75484712233359</v>
      </c>
      <c r="AM47" s="267">
        <f>+CONVERT(AK47+Tabla1[[#This Row],[Con. DO Storage Gen. '[m3']]],"m^3","gal")</f>
        <v>237.75484712233359</v>
      </c>
      <c r="AN47" s="372">
        <f>SUM('DO Pilot'!B47:Y47)</f>
        <v>7.53</v>
      </c>
      <c r="AO47" s="372">
        <f t="shared" si="0"/>
        <v>1989.2155542568576</v>
      </c>
      <c r="AP47" s="267">
        <f>AK47+AN47+Tabla1[[#This Row],[Con. DO Storage Gen. '[m3']]]</f>
        <v>8.43</v>
      </c>
      <c r="AQ47" s="372">
        <f t="shared" si="11"/>
        <v>2226.9704013791911</v>
      </c>
      <c r="AR47" s="442">
        <v>10992</v>
      </c>
      <c r="AS47" s="442">
        <v>0</v>
      </c>
      <c r="AT47" s="267">
        <f>+CONVERT(SUM(Tabla1[[#This Row],[Repo. DO Storage '[gal']]:[Repo. DO Pilot '[gal']]]),"gal","m3")</f>
        <v>41.609246329727995</v>
      </c>
      <c r="AU47" s="442">
        <v>0</v>
      </c>
      <c r="AV47" s="267">
        <f t="shared" si="14"/>
        <v>0</v>
      </c>
      <c r="AW47" s="442">
        <v>0</v>
      </c>
      <c r="AX47" s="267">
        <f t="shared" si="2"/>
        <v>0</v>
      </c>
      <c r="AY47" s="372">
        <f t="shared" si="3"/>
        <v>0.15580265211162095</v>
      </c>
      <c r="AZ47" s="372">
        <f>IFERROR(AL47/'Ar-Pa'!AX47,0)</f>
        <v>118.87742356116679</v>
      </c>
      <c r="BA47" s="372">
        <f>IFERROR(AL47/'Ar-Pa'!AY47,0)</f>
        <v>118.87742356116679</v>
      </c>
      <c r="BB47" s="372">
        <f t="shared" si="4"/>
        <v>1.3035488560005619</v>
      </c>
      <c r="BC47" s="372">
        <f>IFERROR(AVERAGEIF('DO Pilot'!AX47:BU47,"&gt;0"),0)</f>
        <v>9.6710208519539744</v>
      </c>
      <c r="BD47" s="445">
        <v>407847</v>
      </c>
      <c r="BE47" s="445">
        <v>14437</v>
      </c>
      <c r="BF47" s="445">
        <v>406966</v>
      </c>
      <c r="BG47" s="223">
        <f>Tabla1[[#This Row],[ Re. Gas GC
 '[m3']]]</f>
        <v>406966</v>
      </c>
      <c r="BH47" s="150">
        <f>IFERROR((BG47*Gas!$B$3)/28.31685,0)</f>
        <v>14316.966395626632</v>
      </c>
      <c r="BI47" s="151">
        <f t="shared" si="15"/>
        <v>-120.03360437336778</v>
      </c>
      <c r="BJ47" s="74">
        <f t="shared" si="12"/>
        <v>-8.3840110437106378E-3</v>
      </c>
      <c r="BK47" s="223">
        <f t="shared" si="6"/>
        <v>9460.6815203145488</v>
      </c>
      <c r="BL47" s="442">
        <v>8886.26</v>
      </c>
      <c r="BM47" s="150">
        <f t="shared" si="7"/>
        <v>9140.0449410282381</v>
      </c>
      <c r="BN47" s="150">
        <f t="shared" si="17"/>
        <v>9460.1918695724999</v>
      </c>
      <c r="BO47" s="373">
        <f>IFERROR(Tabla1[[#This Row],[ Re. Gas GC
 '[m3']]]/Tabla1[[#This Row],[G. HGS 
Con Gas '[kWh']]],0)</f>
        <v>0.26668807339449541</v>
      </c>
      <c r="BP47" s="374">
        <f>Tank!Y48</f>
        <v>0</v>
      </c>
      <c r="BQ47" s="70">
        <f>Tank!AP48</f>
        <v>11.4</v>
      </c>
      <c r="BR47" s="70">
        <f>Tank!V48</f>
        <v>0</v>
      </c>
      <c r="BS47" s="372">
        <f>Tank!T48</f>
        <v>0</v>
      </c>
      <c r="BT47" s="375" t="s">
        <v>228</v>
      </c>
      <c r="BU47" s="449">
        <v>80</v>
      </c>
      <c r="BV47" s="375">
        <f>IF(Tabla1[[#This Row],[Combustible ofertado]]="GAS",Tabla1[[#This Row],[Disponibilidad]],0)</f>
        <v>0</v>
      </c>
      <c r="BW47" s="375">
        <f>IF(Tabla1[[#This Row],[Combustible ofertado]]="DIESEL",Tabla1[[#This Row],[Disponibilidad]],0)</f>
        <v>80</v>
      </c>
      <c r="BX47" s="375">
        <f>IF(Tabla1[[#This Row],[Combustible ofertado]]="HFO",Tabla1[[#This Row],[Disponibilidad]],0)</f>
        <v>0</v>
      </c>
      <c r="BY47" s="454">
        <v>1505</v>
      </c>
      <c r="BZ47" s="446">
        <f>'Horo. M'!C48</f>
        <v>24</v>
      </c>
      <c r="CA47" s="446">
        <f>'Horo. M'!E48</f>
        <v>19</v>
      </c>
      <c r="CB47" s="446">
        <f>'Horo. M'!G48</f>
        <v>24</v>
      </c>
      <c r="CC47" s="446">
        <f>'Horo. M'!I48</f>
        <v>24</v>
      </c>
      <c r="CD47" s="446">
        <f>'Horo. M'!K48</f>
        <v>0</v>
      </c>
      <c r="CE47" s="446">
        <f>'Horo. M'!M48</f>
        <v>23</v>
      </c>
      <c r="CF47" s="446">
        <f>'Horo. M'!O48</f>
        <v>24</v>
      </c>
      <c r="CG47" s="446">
        <f>'Horo. M'!Q48</f>
        <v>24</v>
      </c>
      <c r="CH47" s="446">
        <f>'Horo. M'!S48</f>
        <v>24</v>
      </c>
      <c r="CI47" s="446">
        <f>'Horo. M'!U48</f>
        <v>20</v>
      </c>
      <c r="CJ47" s="70">
        <f>Tabla1[[#This Row],[Con. DO Storage '[gal']]]-Tabla1[[#This Row],[C. DO Storage Ge '[gal']]]</f>
        <v>237.75484712233359</v>
      </c>
      <c r="CK47" s="70"/>
      <c r="CL47" s="70"/>
      <c r="CM47" s="372">
        <f>Tabla1[[#This Row],[Con. DO Total '[gal']]]*131485.5/(1000000)</f>
        <v>292.81431671054361</v>
      </c>
    </row>
    <row r="48" spans="1:91" s="5" customFormat="1" ht="15" customHeight="1">
      <c r="A48" s="362">
        <v>44973</v>
      </c>
      <c r="B48" s="363" t="str">
        <f>TEXT(Tabla1[[#This Row],[Fecha]],"mmmm")</f>
        <v>febrero</v>
      </c>
      <c r="C48" s="429">
        <v>0</v>
      </c>
      <c r="D48" s="430">
        <v>1272</v>
      </c>
      <c r="E48" s="430">
        <v>1272</v>
      </c>
      <c r="F48" s="430">
        <v>1314</v>
      </c>
      <c r="G48" s="431">
        <v>0</v>
      </c>
      <c r="H48" s="431">
        <v>0</v>
      </c>
      <c r="I48" s="432">
        <v>0</v>
      </c>
      <c r="J48" s="432">
        <v>0</v>
      </c>
      <c r="K48" s="430">
        <v>24</v>
      </c>
      <c r="L48" s="430">
        <v>24</v>
      </c>
      <c r="M48" s="365">
        <f>Tabla1[[#This Row],[Columna1]]-Tabla1[[#This Row],[PO '[h']]]</f>
        <v>0</v>
      </c>
      <c r="N48" s="365">
        <f t="shared" si="13"/>
        <v>1314</v>
      </c>
      <c r="O48" s="430">
        <v>1314</v>
      </c>
      <c r="P48" s="367">
        <f>Tabla1[[#This Row],[G. HGS 
'[MWh']]]</f>
        <v>1314</v>
      </c>
      <c r="Q48" s="430">
        <v>0</v>
      </c>
      <c r="R48" s="367">
        <v>0</v>
      </c>
      <c r="S48" s="367">
        <f>Tabla1[[#This Row],[G. HGS 
Con Gas]]*1000</f>
        <v>1314000</v>
      </c>
      <c r="T48" s="365">
        <f>Tabla1[[#This Row],[G. HGS 
'[MWh']]]*1000</f>
        <v>1314000</v>
      </c>
      <c r="U48" s="368">
        <f>SUM('G. Un GE'!B48:Y48)</f>
        <v>1303.9017000000001</v>
      </c>
      <c r="V48" s="369">
        <f>Tabla1[[#This Row],[R. GE
'[MWh']]]</f>
        <v>1303.9017000000001</v>
      </c>
      <c r="W48" s="434">
        <v>0</v>
      </c>
      <c r="X48" s="369">
        <v>0</v>
      </c>
      <c r="Y48" s="365">
        <f>Tabla1[[#This Row],[R. GE
'[MWh']]]*1000</f>
        <v>1303901.7000000002</v>
      </c>
      <c r="Z48" s="434">
        <v>38.090000000000003</v>
      </c>
      <c r="AA4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38.090000000000003</v>
      </c>
      <c r="AB48" s="368">
        <f>IF(Tabla1[[#This Row],[G. HGS 
'[MWh']]]=0,0,Tabla1[[#This Row],[G. HGS 
'[MWh']]]+Tabla1[[#This Row],[Con. Aux. '[MWh']2]])</f>
        <v>1352.09</v>
      </c>
      <c r="AC48" s="368">
        <f>'C. ENER. TN'!F48</f>
        <v>0</v>
      </c>
      <c r="AD48" s="370">
        <f>'C. ENER. TN'!G48</f>
        <v>1303.9016999999997</v>
      </c>
      <c r="AE48" s="370">
        <f>'G. Un GE'!AX48</f>
        <v>165.88430892857144</v>
      </c>
      <c r="AF48" s="368">
        <f>IFERROR('G. Un GE'!AX48/Tabla1[[#This Row],[PO '[h']]],0)</f>
        <v>6.9118462053571434</v>
      </c>
      <c r="AG48" s="365">
        <f>'Ar-Pa'!AX48</f>
        <v>1</v>
      </c>
      <c r="AH48" s="365">
        <f>'Ar-Pa'!AY48</f>
        <v>2</v>
      </c>
      <c r="AI48" s="365">
        <f>SUM('Cal. Arr'!AB51:AY51)</f>
        <v>0</v>
      </c>
      <c r="AJ48" s="442">
        <v>0</v>
      </c>
      <c r="AK48" s="442">
        <v>0.4</v>
      </c>
      <c r="AL48" s="267">
        <f t="shared" si="10"/>
        <v>105.66882094325936</v>
      </c>
      <c r="AM48" s="267">
        <f>+CONVERT(AK48+Tabla1[[#This Row],[Con. DO Storage Gen. '[m3']]],"m^3","gal")</f>
        <v>105.66882094325936</v>
      </c>
      <c r="AN48" s="372">
        <f>SUM('DO Pilot'!B48:Y48)</f>
        <v>6.8900000000000015</v>
      </c>
      <c r="AO48" s="372">
        <f t="shared" si="0"/>
        <v>1820.1454407476431</v>
      </c>
      <c r="AP48" s="267">
        <f>AK48+AN48+Tabla1[[#This Row],[Con. DO Storage Gen. '[m3']]]</f>
        <v>7.2900000000000018</v>
      </c>
      <c r="AQ48" s="372">
        <f t="shared" si="11"/>
        <v>1925.8142616909024</v>
      </c>
      <c r="AR48" s="442">
        <v>0</v>
      </c>
      <c r="AS48" s="442">
        <v>0</v>
      </c>
      <c r="AT48" s="267">
        <f>+CONVERT(SUM(Tabla1[[#This Row],[Repo. DO Storage '[gal']]:[Repo. DO Pilot '[gal']]]),"gal","m3")</f>
        <v>0</v>
      </c>
      <c r="AU48" s="442">
        <v>0</v>
      </c>
      <c r="AV48" s="267">
        <f t="shared" si="14"/>
        <v>0</v>
      </c>
      <c r="AW48" s="442">
        <v>0</v>
      </c>
      <c r="AX48" s="267">
        <f t="shared" si="2"/>
        <v>0</v>
      </c>
      <c r="AY48" s="372">
        <f t="shared" si="3"/>
        <v>8.0417671950730102E-2</v>
      </c>
      <c r="AZ48" s="372">
        <f>IFERROR(AL48/'Ar-Pa'!AX48,0)</f>
        <v>105.66882094325936</v>
      </c>
      <c r="BA48" s="372">
        <f>IFERROR(AL48/'Ar-Pa'!AY48,0)</f>
        <v>52.834410471629681</v>
      </c>
      <c r="BB48" s="372">
        <f t="shared" si="4"/>
        <v>1.3851943993513265</v>
      </c>
      <c r="BC48" s="372">
        <f>IFERROR(AVERAGEIF('DO Pilot'!AX48:BU48,"&gt;0"),0)</f>
        <v>9.6469972691502424</v>
      </c>
      <c r="BD48" s="445">
        <v>356977</v>
      </c>
      <c r="BE48" s="445">
        <v>12636</v>
      </c>
      <c r="BF48" s="445">
        <v>356128</v>
      </c>
      <c r="BG48" s="223">
        <f>Tabla1[[#This Row],[ Re. Gas GC
 '[m3']]]</f>
        <v>356128</v>
      </c>
      <c r="BH48" s="150">
        <f>IFERROR((BG48*Gas!$B$3)/28.31685,0)</f>
        <v>12528.49773332839</v>
      </c>
      <c r="BI48" s="151">
        <f t="shared" si="15"/>
        <v>-107.50226667161041</v>
      </c>
      <c r="BJ48" s="74">
        <f t="shared" si="12"/>
        <v>-8.5806190781862225E-3</v>
      </c>
      <c r="BK48" s="223">
        <f t="shared" si="6"/>
        <v>9616.4383561643845</v>
      </c>
      <c r="BL48" s="442">
        <v>8948.36</v>
      </c>
      <c r="BM48" s="150">
        <f t="shared" si="7"/>
        <v>9266.023514210141</v>
      </c>
      <c r="BN48" s="150">
        <f t="shared" si="17"/>
        <v>9608.467979854915</v>
      </c>
      <c r="BO48" s="373">
        <f>IFERROR(Tabla1[[#This Row],[ Re. Gas GC
 '[m3']]]/Tabla1[[#This Row],[G. HGS 
Con Gas '[kWh']]],0)</f>
        <v>0.27102587519025872</v>
      </c>
      <c r="BP48" s="374">
        <f>Tank!Y49</f>
        <v>0</v>
      </c>
      <c r="BQ48" s="70">
        <f>Tank!AP49</f>
        <v>36.51</v>
      </c>
      <c r="BR48" s="70">
        <f>Tank!V49</f>
        <v>0</v>
      </c>
      <c r="BS48" s="372">
        <f>Tank!T49</f>
        <v>0</v>
      </c>
      <c r="BT48" s="375" t="s">
        <v>228</v>
      </c>
      <c r="BU48" s="449">
        <v>71</v>
      </c>
      <c r="BV48" s="375">
        <f>IF(Tabla1[[#This Row],[Combustible ofertado]]="GAS",Tabla1[[#This Row],[Disponibilidad]],0)</f>
        <v>0</v>
      </c>
      <c r="BW48" s="375">
        <f>IF(Tabla1[[#This Row],[Combustible ofertado]]="DIESEL",Tabla1[[#This Row],[Disponibilidad]],0)</f>
        <v>71</v>
      </c>
      <c r="BX48" s="375">
        <f>IF(Tabla1[[#This Row],[Combustible ofertado]]="HFO",Tabla1[[#This Row],[Disponibilidad]],0)</f>
        <v>0</v>
      </c>
      <c r="BY48" s="454">
        <v>1505</v>
      </c>
      <c r="BZ48" s="446">
        <f>'Horo. M'!C49</f>
        <v>24</v>
      </c>
      <c r="CA48" s="446">
        <f>'Horo. M'!E49</f>
        <v>0</v>
      </c>
      <c r="CB48" s="446">
        <f>'Horo. M'!G49</f>
        <v>24</v>
      </c>
      <c r="CC48" s="446">
        <f>'Horo. M'!I49</f>
        <v>24</v>
      </c>
      <c r="CD48" s="446">
        <f>'Horo. M'!K49</f>
        <v>0</v>
      </c>
      <c r="CE48" s="446">
        <f>'Horo. M'!M49</f>
        <v>24</v>
      </c>
      <c r="CF48" s="446">
        <f>'Horo. M'!O49</f>
        <v>21</v>
      </c>
      <c r="CG48" s="446">
        <f>'Horo. M'!Q49</f>
        <v>24</v>
      </c>
      <c r="CH48" s="446">
        <f>'Horo. M'!S49</f>
        <v>24</v>
      </c>
      <c r="CI48" s="446">
        <f>'Horo. M'!U49</f>
        <v>24</v>
      </c>
      <c r="CJ48" s="70">
        <f>Tabla1[[#This Row],[Con. DO Storage '[gal']]]-Tabla1[[#This Row],[C. DO Storage Ge '[gal']]]</f>
        <v>105.66882094325936</v>
      </c>
      <c r="CK48" s="70"/>
      <c r="CL48" s="70"/>
      <c r="CM48" s="372">
        <f>Tabla1[[#This Row],[Con. DO Total '[gal']]]*131485.5/(1000000)</f>
        <v>253.21665110555915</v>
      </c>
    </row>
    <row r="49" spans="1:91" s="5" customFormat="1" ht="15" customHeight="1">
      <c r="A49" s="362">
        <v>44974</v>
      </c>
      <c r="B49" s="363" t="str">
        <f>TEXT(Tabla1[[#This Row],[Fecha]],"mmmm")</f>
        <v>febrero</v>
      </c>
      <c r="C49" s="429">
        <v>0</v>
      </c>
      <c r="D49" s="430">
        <v>1272</v>
      </c>
      <c r="E49" s="430">
        <v>1272</v>
      </c>
      <c r="F49" s="430">
        <v>1303</v>
      </c>
      <c r="G49" s="431">
        <v>0</v>
      </c>
      <c r="H49" s="431">
        <v>0</v>
      </c>
      <c r="I49" s="432">
        <v>0</v>
      </c>
      <c r="J49" s="432">
        <v>0</v>
      </c>
      <c r="K49" s="430">
        <v>24</v>
      </c>
      <c r="L49" s="430">
        <v>24</v>
      </c>
      <c r="M49" s="365">
        <f>Tabla1[[#This Row],[Columna1]]-Tabla1[[#This Row],[PO '[h']]]</f>
        <v>0</v>
      </c>
      <c r="N49" s="365">
        <f t="shared" si="13"/>
        <v>1303</v>
      </c>
      <c r="O49" s="430">
        <v>1303</v>
      </c>
      <c r="P49" s="367">
        <f>Tabla1[[#This Row],[G. HGS 
'[MWh']]]</f>
        <v>1303</v>
      </c>
      <c r="Q49" s="430">
        <v>0</v>
      </c>
      <c r="R49" s="367">
        <v>0</v>
      </c>
      <c r="S49" s="367">
        <f>Tabla1[[#This Row],[G. HGS 
Con Gas]]*1000</f>
        <v>1303000</v>
      </c>
      <c r="T49" s="365">
        <f>Tabla1[[#This Row],[G. HGS 
'[MWh']]]*1000</f>
        <v>1303000</v>
      </c>
      <c r="U49" s="368">
        <f>SUM('G. Un GE'!B49:Y49)</f>
        <v>1291.3788999999999</v>
      </c>
      <c r="V49" s="369">
        <f>Tabla1[[#This Row],[R. GE
'[MWh']]]</f>
        <v>1291.3788999999999</v>
      </c>
      <c r="W49" s="434">
        <v>0</v>
      </c>
      <c r="X49" s="369">
        <v>0</v>
      </c>
      <c r="Y49" s="365">
        <f>Tabla1[[#This Row],[R. GE
'[MWh']]]*1000</f>
        <v>1291378.8999999999</v>
      </c>
      <c r="Z49" s="434">
        <v>37.479999999999997</v>
      </c>
      <c r="AA4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37.479999999999997</v>
      </c>
      <c r="AB49" s="368">
        <f>IF(Tabla1[[#This Row],[G. HGS 
'[MWh']]]=0,0,Tabla1[[#This Row],[G. HGS 
'[MWh']]]+Tabla1[[#This Row],[Con. Aux. '[MWh']2]])</f>
        <v>1340.48</v>
      </c>
      <c r="AC49" s="368">
        <f>'C. ENER. TN'!F49</f>
        <v>0</v>
      </c>
      <c r="AD49" s="370">
        <f>'C. ENER. TN'!G49</f>
        <v>1291.3789000000002</v>
      </c>
      <c r="AE49" s="370">
        <f>'G. Un GE'!AX49</f>
        <v>163.30230178571432</v>
      </c>
      <c r="AF49" s="368">
        <f>IFERROR('G. Un GE'!AX49/Tabla1[[#This Row],[PO '[h']]],0)</f>
        <v>6.8042625744047633</v>
      </c>
      <c r="AG49" s="365">
        <f>'Ar-Pa'!AX49</f>
        <v>1</v>
      </c>
      <c r="AH49" s="365">
        <f>'Ar-Pa'!AY49</f>
        <v>1</v>
      </c>
      <c r="AI49" s="365">
        <f>SUM('Cal. Arr'!AB52:AY52)</f>
        <v>0</v>
      </c>
      <c r="AJ49" s="442">
        <v>0</v>
      </c>
      <c r="AK49" s="442">
        <v>1</v>
      </c>
      <c r="AL49" s="267">
        <f t="shared" si="10"/>
        <v>264.17205235814845</v>
      </c>
      <c r="AM49" s="267">
        <f>+CONVERT(AK49+Tabla1[[#This Row],[Con. DO Storage Gen. '[m3']]],"m^3","gal")</f>
        <v>264.17205235814845</v>
      </c>
      <c r="AN49" s="372">
        <f>SUM('DO Pilot'!B49:Y49)</f>
        <v>6.8200000000000012</v>
      </c>
      <c r="AO49" s="372">
        <f t="shared" si="0"/>
        <v>1801.6533970825724</v>
      </c>
      <c r="AP49" s="267">
        <f>AK49+AN49+Tabla1[[#This Row],[Con. DO Storage Gen. '[m3']]]</f>
        <v>7.8200000000000012</v>
      </c>
      <c r="AQ49" s="372">
        <f t="shared" si="11"/>
        <v>2065.8254494407211</v>
      </c>
      <c r="AR49" s="442">
        <v>0</v>
      </c>
      <c r="AS49" s="442">
        <v>0</v>
      </c>
      <c r="AT49" s="267">
        <f>+CONVERT(SUM(Tabla1[[#This Row],[Repo. DO Storage '[gal']]:[Repo. DO Pilot '[gal']]]),"gal","m3")</f>
        <v>0</v>
      </c>
      <c r="AU49" s="442">
        <v>0</v>
      </c>
      <c r="AV49" s="267">
        <f t="shared" si="14"/>
        <v>0</v>
      </c>
      <c r="AW49" s="442">
        <v>0</v>
      </c>
      <c r="AX49" s="267">
        <f t="shared" si="2"/>
        <v>0</v>
      </c>
      <c r="AY49" s="372">
        <f t="shared" si="3"/>
        <v>0.20274140626105022</v>
      </c>
      <c r="AZ49" s="372">
        <f>IFERROR(AL49/'Ar-Pa'!AX49,0)</f>
        <v>264.17205235814845</v>
      </c>
      <c r="BA49" s="372">
        <f>IFERROR(AL49/'Ar-Pa'!AY49,0)</f>
        <v>264.17205235814845</v>
      </c>
      <c r="BB49" s="372">
        <f t="shared" si="4"/>
        <v>1.3826963907003624</v>
      </c>
      <c r="BC49" s="372">
        <f>IFERROR(AVERAGEIF('DO Pilot'!AX49:BU49,"&gt;0"),0)</f>
        <v>9.4936831316209602</v>
      </c>
      <c r="BD49" s="445">
        <v>352009</v>
      </c>
      <c r="BE49" s="445">
        <v>12461</v>
      </c>
      <c r="BF49" s="445">
        <v>351786</v>
      </c>
      <c r="BG49" s="223">
        <f>Tabla1[[#This Row],[ Re. Gas GC
 '[m3']]]</f>
        <v>351786</v>
      </c>
      <c r="BH49" s="150">
        <f>IFERROR((BG49*Gas!$B$3)/28.31685,0)</f>
        <v>12375.747213408273</v>
      </c>
      <c r="BI49" s="151">
        <f t="shared" si="15"/>
        <v>-85.252786591727272</v>
      </c>
      <c r="BJ49" s="74">
        <f t="shared" si="12"/>
        <v>-6.8886981223535114E-3</v>
      </c>
      <c r="BK49" s="223">
        <f t="shared" si="6"/>
        <v>9563.3154259401381</v>
      </c>
      <c r="BL49" s="442">
        <v>0</v>
      </c>
      <c r="BM49" s="150">
        <f t="shared" si="7"/>
        <v>9232.3251472668544</v>
      </c>
      <c r="BN49" s="150">
        <f t="shared" si="17"/>
        <v>9583.3586977518935</v>
      </c>
      <c r="BO49" s="373">
        <f>IFERROR(Tabla1[[#This Row],[ Re. Gas GC
 '[m3']]]/Tabla1[[#This Row],[G. HGS 
Con Gas '[kWh']]],0)</f>
        <v>0.26998158096699926</v>
      </c>
      <c r="BP49" s="374">
        <f>Tank!Y50</f>
        <v>0</v>
      </c>
      <c r="BQ49" s="70">
        <f>Tank!AP50</f>
        <v>0</v>
      </c>
      <c r="BR49" s="70">
        <f>Tank!V50</f>
        <v>0</v>
      </c>
      <c r="BS49" s="372">
        <f>Tank!T50</f>
        <v>0</v>
      </c>
      <c r="BT49" s="375" t="s">
        <v>228</v>
      </c>
      <c r="BU49" s="449">
        <v>71</v>
      </c>
      <c r="BV49" s="375">
        <f>IF(Tabla1[[#This Row],[Combustible ofertado]]="GAS",Tabla1[[#This Row],[Disponibilidad]],0)</f>
        <v>0</v>
      </c>
      <c r="BW49" s="375">
        <f>IF(Tabla1[[#This Row],[Combustible ofertado]]="DIESEL",Tabla1[[#This Row],[Disponibilidad]],0)</f>
        <v>71</v>
      </c>
      <c r="BX49" s="375">
        <f>IF(Tabla1[[#This Row],[Combustible ofertado]]="HFO",Tabla1[[#This Row],[Disponibilidad]],0)</f>
        <v>0</v>
      </c>
      <c r="BY49" s="454">
        <v>1505</v>
      </c>
      <c r="BZ49" s="446">
        <f>'Horo. M'!C50</f>
        <v>0</v>
      </c>
      <c r="CA49" s="446">
        <f>'Horo. M'!E50</f>
        <v>24</v>
      </c>
      <c r="CB49" s="446">
        <f>'Horo. M'!G50</f>
        <v>24</v>
      </c>
      <c r="CC49" s="446">
        <f>'Horo. M'!I50</f>
        <v>24</v>
      </c>
      <c r="CD49" s="446">
        <f>'Horo. M'!K50</f>
        <v>0</v>
      </c>
      <c r="CE49" s="446">
        <f>'Horo. M'!M50</f>
        <v>24</v>
      </c>
      <c r="CF49" s="446">
        <f>'Horo. M'!O50</f>
        <v>23</v>
      </c>
      <c r="CG49" s="446">
        <f>'Horo. M'!Q50</f>
        <v>24</v>
      </c>
      <c r="CH49" s="446">
        <f>'Horo. M'!S50</f>
        <v>21</v>
      </c>
      <c r="CI49" s="446">
        <f>'Horo. M'!U50</f>
        <v>24</v>
      </c>
      <c r="CJ49" s="70">
        <f>Tabla1[[#This Row],[Con. DO Storage '[gal']]]-Tabla1[[#This Row],[C. DO Storage Ge '[gal']]]</f>
        <v>264.17205235814845</v>
      </c>
      <c r="CK49" s="70"/>
      <c r="CL49" s="70"/>
      <c r="CM49" s="372">
        <f>Tabla1[[#This Row],[Con. DO Total '[gal']]]*131485.5/(1000000)</f>
        <v>271.62609213243792</v>
      </c>
    </row>
    <row r="50" spans="1:91" s="5" customFormat="1" ht="15" customHeight="1">
      <c r="A50" s="362">
        <v>44975</v>
      </c>
      <c r="B50" s="363" t="str">
        <f>TEXT(Tabla1[[#This Row],[Fecha]],"mmmm")</f>
        <v>febrero</v>
      </c>
      <c r="C50" s="429">
        <v>0</v>
      </c>
      <c r="D50" s="430">
        <v>1488</v>
      </c>
      <c r="E50" s="430">
        <v>1488</v>
      </c>
      <c r="F50" s="430">
        <v>1534</v>
      </c>
      <c r="G50" s="431">
        <v>0</v>
      </c>
      <c r="H50" s="431">
        <v>0</v>
      </c>
      <c r="I50" s="432">
        <v>0</v>
      </c>
      <c r="J50" s="432">
        <v>0</v>
      </c>
      <c r="K50" s="430">
        <v>24</v>
      </c>
      <c r="L50" s="430">
        <v>24</v>
      </c>
      <c r="M50" s="365">
        <f>Tabla1[[#This Row],[Columna1]]-Tabla1[[#This Row],[PO '[h']]]</f>
        <v>0</v>
      </c>
      <c r="N50" s="365">
        <f t="shared" si="13"/>
        <v>1534</v>
      </c>
      <c r="O50" s="430">
        <v>1534</v>
      </c>
      <c r="P50" s="367">
        <f>Tabla1[[#This Row],[G. HGS 
'[MWh']]]</f>
        <v>1534</v>
      </c>
      <c r="Q50" s="430">
        <v>0</v>
      </c>
      <c r="R50" s="367">
        <v>0</v>
      </c>
      <c r="S50" s="367">
        <f>Tabla1[[#This Row],[G. HGS 
Con Gas]]*1000</f>
        <v>1534000</v>
      </c>
      <c r="T50" s="365">
        <f>Tabla1[[#This Row],[G. HGS 
'[MWh']]]*1000</f>
        <v>1534000</v>
      </c>
      <c r="U50" s="368">
        <f>SUM('G. Un GE'!B50:Y50)</f>
        <v>1520.7452999999996</v>
      </c>
      <c r="V50" s="369">
        <f>Tabla1[[#This Row],[R. GE
'[MWh']]]</f>
        <v>1520.7452999999996</v>
      </c>
      <c r="W50" s="434">
        <v>0</v>
      </c>
      <c r="X50" s="369">
        <v>0</v>
      </c>
      <c r="Y50" s="365">
        <f>Tabla1[[#This Row],[R. GE
'[MWh']]]*1000</f>
        <v>1520745.2999999996</v>
      </c>
      <c r="Z50" s="434">
        <v>40.25</v>
      </c>
      <c r="AA5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40.25</v>
      </c>
      <c r="AB50" s="368">
        <f>IF(Tabla1[[#This Row],[G. HGS 
'[MWh']]]=0,0,Tabla1[[#This Row],[G. HGS 
'[MWh']]]+Tabla1[[#This Row],[Con. Aux. '[MWh']2]])</f>
        <v>1574.25</v>
      </c>
      <c r="AC50" s="368">
        <f>'C. ENER. TN'!F50</f>
        <v>0</v>
      </c>
      <c r="AD50" s="370">
        <f>'C. ENER. TN'!G50</f>
        <v>1520.7453</v>
      </c>
      <c r="AE50" s="370">
        <f>'G. Un GE'!AX50</f>
        <v>173.39553690476185</v>
      </c>
      <c r="AF50" s="368">
        <f>IFERROR('G. Un GE'!AX50/Tabla1[[#This Row],[PO '[h']]],0)</f>
        <v>7.2248140376984109</v>
      </c>
      <c r="AG50" s="365">
        <f>'Ar-Pa'!AX50</f>
        <v>3</v>
      </c>
      <c r="AH50" s="365">
        <f>'Ar-Pa'!AY50</f>
        <v>2</v>
      </c>
      <c r="AI50" s="365">
        <f>SUM('Cal. Arr'!AB53:AY53)</f>
        <v>0</v>
      </c>
      <c r="AJ50" s="442">
        <v>0</v>
      </c>
      <c r="AK50" s="442">
        <v>1.4</v>
      </c>
      <c r="AL50" s="267">
        <f t="shared" si="10"/>
        <v>369.84087330140778</v>
      </c>
      <c r="AM50" s="267">
        <f>+CONVERT(AK50+Tabla1[[#This Row],[Con. DO Storage Gen. '[m3']]],"m^3","gal")</f>
        <v>369.84087330140778</v>
      </c>
      <c r="AN50" s="372">
        <f>SUM('DO Pilot'!B50:Y50)</f>
        <v>7.5100000000000007</v>
      </c>
      <c r="AO50" s="372">
        <f t="shared" si="0"/>
        <v>1983.932113209695</v>
      </c>
      <c r="AP50" s="267">
        <f>AK50+AN50+Tabla1[[#This Row],[Con. DO Storage Gen. '[m3']]]</f>
        <v>8.91</v>
      </c>
      <c r="AQ50" s="372">
        <f t="shared" si="11"/>
        <v>2353.7729865111023</v>
      </c>
      <c r="AR50" s="442">
        <v>0</v>
      </c>
      <c r="AS50" s="442">
        <v>0</v>
      </c>
      <c r="AT50" s="267">
        <f>+CONVERT(SUM(Tabla1[[#This Row],[Repo. DO Storage '[gal']]:[Repo. DO Pilot '[gal']]]),"gal","m3")</f>
        <v>0</v>
      </c>
      <c r="AU50" s="442">
        <v>0</v>
      </c>
      <c r="AV50" s="267">
        <f t="shared" si="14"/>
        <v>0</v>
      </c>
      <c r="AW50" s="442">
        <v>0</v>
      </c>
      <c r="AX50" s="267">
        <f t="shared" si="2"/>
        <v>0</v>
      </c>
      <c r="AY50" s="372">
        <f t="shared" si="3"/>
        <v>0.24109574530730624</v>
      </c>
      <c r="AZ50" s="372">
        <f>IFERROR(AL50/'Ar-Pa'!AX50,0)</f>
        <v>123.28029110046926</v>
      </c>
      <c r="BA50" s="372">
        <f>IFERROR(AL50/'Ar-Pa'!AY50,0)</f>
        <v>184.92043665070389</v>
      </c>
      <c r="BB50" s="372">
        <f t="shared" si="4"/>
        <v>1.2933064623270503</v>
      </c>
      <c r="BC50" s="372">
        <f>IFERROR(AVERAGEIF('DO Pilot'!AX50:BU50,"&gt;0"),0)</f>
        <v>9.4253251187339693</v>
      </c>
      <c r="BD50" s="445">
        <v>411031</v>
      </c>
      <c r="BE50" s="445">
        <v>14550</v>
      </c>
      <c r="BF50" s="445">
        <v>410482</v>
      </c>
      <c r="BG50" s="223">
        <f>Tabla1[[#This Row],[ Re. Gas GC
 '[m3']]]</f>
        <v>410482</v>
      </c>
      <c r="BH50" s="150">
        <f>IFERROR((BG50*Gas!$B$3)/28.31685,0)</f>
        <v>14440.658433406259</v>
      </c>
      <c r="BI50" s="151">
        <f t="shared" si="15"/>
        <v>-109.34156659374094</v>
      </c>
      <c r="BJ50" s="74">
        <f t="shared" si="12"/>
        <v>-7.5717853931643389E-3</v>
      </c>
      <c r="BK50" s="223">
        <f t="shared" si="6"/>
        <v>9485.0065189048237</v>
      </c>
      <c r="BL50" s="442">
        <v>0</v>
      </c>
      <c r="BM50" s="150">
        <f t="shared" si="7"/>
        <v>9173.04013556059</v>
      </c>
      <c r="BN50" s="150">
        <f t="shared" si="17"/>
        <v>9495.7771254701638</v>
      </c>
      <c r="BO50" s="373">
        <f>IFERROR(Tabla1[[#This Row],[ Re. Gas GC
 '[m3']]]/Tabla1[[#This Row],[G. HGS 
Con Gas '[kWh']]],0)</f>
        <v>0.26758930899608868</v>
      </c>
      <c r="BP50" s="374">
        <f>Tank!Y51</f>
        <v>0</v>
      </c>
      <c r="BQ50" s="70">
        <f>Tank!AP51</f>
        <v>0</v>
      </c>
      <c r="BR50" s="70">
        <f>Tank!V51</f>
        <v>0</v>
      </c>
      <c r="BS50" s="372">
        <f>Tank!T51</f>
        <v>0</v>
      </c>
      <c r="BT50" s="375" t="s">
        <v>228</v>
      </c>
      <c r="BU50" s="449">
        <v>80</v>
      </c>
      <c r="BV50" s="375">
        <f>IF(Tabla1[[#This Row],[Combustible ofertado]]="GAS",Tabla1[[#This Row],[Disponibilidad]],0)</f>
        <v>0</v>
      </c>
      <c r="BW50" s="375">
        <f>IF(Tabla1[[#This Row],[Combustible ofertado]]="DIESEL",Tabla1[[#This Row],[Disponibilidad]],0)</f>
        <v>80</v>
      </c>
      <c r="BX50" s="375">
        <f>IF(Tabla1[[#This Row],[Combustible ofertado]]="HFO",Tabla1[[#This Row],[Disponibilidad]],0)</f>
        <v>0</v>
      </c>
      <c r="BY50" s="454">
        <v>1505</v>
      </c>
      <c r="BZ50" s="446">
        <f>'Horo. M'!C51</f>
        <v>24</v>
      </c>
      <c r="CA50" s="446">
        <f>'Horo. M'!E51</f>
        <v>23</v>
      </c>
      <c r="CB50" s="446">
        <f>'Horo. M'!G51</f>
        <v>24</v>
      </c>
      <c r="CC50" s="446">
        <f>'Horo. M'!I51</f>
        <v>24</v>
      </c>
      <c r="CD50" s="446">
        <f>'Horo. M'!K51</f>
        <v>0</v>
      </c>
      <c r="CE50" s="446">
        <f>'Horo. M'!M51</f>
        <v>21</v>
      </c>
      <c r="CF50" s="446">
        <f>'Horo. M'!O51</f>
        <v>20</v>
      </c>
      <c r="CG50" s="446">
        <f>'Horo. M'!Q51</f>
        <v>24</v>
      </c>
      <c r="CH50" s="446">
        <f>'Horo. M'!S51</f>
        <v>24</v>
      </c>
      <c r="CI50" s="446">
        <f>'Horo. M'!U51</f>
        <v>24</v>
      </c>
      <c r="CJ50" s="70">
        <f>Tabla1[[#This Row],[Con. DO Storage '[gal']]]-Tabla1[[#This Row],[C. DO Storage Ge '[gal']]]</f>
        <v>369.84087330140778</v>
      </c>
      <c r="CK50" s="70"/>
      <c r="CL50" s="70"/>
      <c r="CM50" s="372">
        <f>Tabla1[[#This Row],[Con. DO Total '[gal']]]*131485.5/(1000000)</f>
        <v>309.48701801790554</v>
      </c>
    </row>
    <row r="51" spans="1:91" s="5" customFormat="1" ht="15" customHeight="1">
      <c r="A51" s="362">
        <v>44976</v>
      </c>
      <c r="B51" s="363" t="str">
        <f>TEXT(Tabla1[[#This Row],[Fecha]],"mmmm")</f>
        <v>febrero</v>
      </c>
      <c r="C51" s="429">
        <v>0</v>
      </c>
      <c r="D51" s="430">
        <v>1488</v>
      </c>
      <c r="E51" s="430">
        <v>1488</v>
      </c>
      <c r="F51" s="430">
        <v>1543</v>
      </c>
      <c r="G51" s="431">
        <v>0</v>
      </c>
      <c r="H51" s="431">
        <v>0</v>
      </c>
      <c r="I51" s="432">
        <v>0</v>
      </c>
      <c r="J51" s="432">
        <v>0</v>
      </c>
      <c r="K51" s="430">
        <v>24</v>
      </c>
      <c r="L51" s="430">
        <v>24</v>
      </c>
      <c r="M51" s="365">
        <f>Tabla1[[#This Row],[Columna1]]-Tabla1[[#This Row],[PO '[h']]]</f>
        <v>0</v>
      </c>
      <c r="N51" s="365">
        <f t="shared" si="13"/>
        <v>1543</v>
      </c>
      <c r="O51" s="430">
        <v>1543</v>
      </c>
      <c r="P51" s="367">
        <f>Tabla1[[#This Row],[G. HGS 
'[MWh']]]</f>
        <v>1543</v>
      </c>
      <c r="Q51" s="430">
        <v>0</v>
      </c>
      <c r="R51" s="367">
        <v>0</v>
      </c>
      <c r="S51" s="367">
        <f>Tabla1[[#This Row],[G. HGS 
Con Gas]]*1000</f>
        <v>1543000</v>
      </c>
      <c r="T51" s="365">
        <f>Tabla1[[#This Row],[G. HGS 
'[MWh']]]*1000</f>
        <v>1543000</v>
      </c>
      <c r="U51" s="368">
        <f>SUM('G. Un GE'!B51:Y51)</f>
        <v>1529.2641000000001</v>
      </c>
      <c r="V51" s="369">
        <f>Tabla1[[#This Row],[R. GE
'[MWh']]]</f>
        <v>1529.2641000000001</v>
      </c>
      <c r="W51" s="434">
        <v>0</v>
      </c>
      <c r="X51" s="369">
        <v>0</v>
      </c>
      <c r="Y51" s="365">
        <f>Tabla1[[#This Row],[R. GE
'[MWh']]]*1000</f>
        <v>1529264.1</v>
      </c>
      <c r="Z51" s="434">
        <v>40.409999999999997</v>
      </c>
      <c r="AA5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40.409999999999997</v>
      </c>
      <c r="AB51" s="368">
        <f>IF(Tabla1[[#This Row],[G. HGS 
'[MWh']]]=0,0,Tabla1[[#This Row],[G. HGS 
'[MWh']]]+Tabla1[[#This Row],[Con. Aux. '[MWh']2]])</f>
        <v>1583.41</v>
      </c>
      <c r="AC51" s="368">
        <f>'C. ENER. TN'!F51</f>
        <v>0</v>
      </c>
      <c r="AD51" s="370">
        <f>'C. ENER. TN'!G51</f>
        <v>1529.2641000000003</v>
      </c>
      <c r="AE51" s="370">
        <f>'G. Un GE'!AX51</f>
        <v>173.39866944444441</v>
      </c>
      <c r="AF51" s="368">
        <f>IFERROR('G. Un GE'!AX51/Tabla1[[#This Row],[PO '[h']]],0)</f>
        <v>7.2249445601851834</v>
      </c>
      <c r="AG51" s="365">
        <f>'Ar-Pa'!AX51</f>
        <v>1</v>
      </c>
      <c r="AH51" s="365">
        <f>'Ar-Pa'!AY51</f>
        <v>1</v>
      </c>
      <c r="AI51" s="365">
        <f>SUM('Cal. Arr'!AB54:AY54)</f>
        <v>0</v>
      </c>
      <c r="AJ51" s="442">
        <v>0</v>
      </c>
      <c r="AK51" s="442">
        <v>1.5</v>
      </c>
      <c r="AL51" s="267">
        <f t="shared" si="10"/>
        <v>396.25807853722262</v>
      </c>
      <c r="AM51" s="267">
        <f>+CONVERT(AK51+Tabla1[[#This Row],[Con. DO Storage Gen. '[m3']]],"m^3","gal")</f>
        <v>396.25807853722262</v>
      </c>
      <c r="AN51" s="372">
        <f>SUM('DO Pilot'!B51:Y51)</f>
        <v>7.6300000000000017</v>
      </c>
      <c r="AO51" s="372">
        <f t="shared" si="0"/>
        <v>2015.6327594926729</v>
      </c>
      <c r="AP51" s="267">
        <f>AK51+AN51+Tabla1[[#This Row],[Con. DO Storage Gen. '[m3']]]</f>
        <v>9.1300000000000026</v>
      </c>
      <c r="AQ51" s="372">
        <f t="shared" si="11"/>
        <v>2411.8908380298958</v>
      </c>
      <c r="AR51" s="442">
        <v>0</v>
      </c>
      <c r="AS51" s="442">
        <v>0</v>
      </c>
      <c r="AT51" s="267">
        <f>+CONVERT(SUM(Tabla1[[#This Row],[Repo. DO Storage '[gal']]:[Repo. DO Pilot '[gal']]]),"gal","m3")</f>
        <v>0</v>
      </c>
      <c r="AU51" s="442">
        <v>0</v>
      </c>
      <c r="AV51" s="267">
        <f t="shared" si="14"/>
        <v>0</v>
      </c>
      <c r="AW51" s="442">
        <v>0</v>
      </c>
      <c r="AX51" s="267">
        <f t="shared" si="2"/>
        <v>0</v>
      </c>
      <c r="AY51" s="372">
        <f t="shared" si="3"/>
        <v>0.25681016107402632</v>
      </c>
      <c r="AZ51" s="372">
        <f>IFERROR(AL51/'Ar-Pa'!AX51,0)</f>
        <v>396.25807853722262</v>
      </c>
      <c r="BA51" s="372">
        <f>IFERROR(AL51/'Ar-Pa'!AY51,0)</f>
        <v>396.25807853722262</v>
      </c>
      <c r="BB51" s="372">
        <f t="shared" si="4"/>
        <v>1.3063076859965477</v>
      </c>
      <c r="BC51" s="372">
        <f>IFERROR(AVERAGEIF('DO Pilot'!AX51:BU51,"&gt;0"),0)</f>
        <v>9.5227298271927427</v>
      </c>
      <c r="BD51" s="445">
        <v>412710</v>
      </c>
      <c r="BE51" s="445">
        <v>14609</v>
      </c>
      <c r="BF51" s="445">
        <v>412703</v>
      </c>
      <c r="BG51" s="223">
        <f>Tabla1[[#This Row],[ Re. Gas GC
 '[m3']]]</f>
        <v>412703</v>
      </c>
      <c r="BH51" s="150">
        <f>IFERROR((BG51*Gas!$B$3)/28.31685,0)</f>
        <v>14518.792681389348</v>
      </c>
      <c r="BI51" s="151">
        <f t="shared" si="15"/>
        <v>-90.207318610651782</v>
      </c>
      <c r="BJ51" s="74">
        <f t="shared" si="12"/>
        <v>-6.2131418631166486E-3</v>
      </c>
      <c r="BK51" s="223">
        <f t="shared" si="6"/>
        <v>9467.9196370706413</v>
      </c>
      <c r="BL51" s="442">
        <v>0</v>
      </c>
      <c r="BM51" s="150">
        <f t="shared" si="7"/>
        <v>9169.3198106550717</v>
      </c>
      <c r="BN51" s="150">
        <f t="shared" si="17"/>
        <v>9493.9733963475301</v>
      </c>
      <c r="BO51" s="373">
        <f>IFERROR(Tabla1[[#This Row],[ Re. Gas GC
 '[m3']]]/Tabla1[[#This Row],[G. HGS 
Con Gas '[kWh']]],0)</f>
        <v>0.26746791963707062</v>
      </c>
      <c r="BP51" s="374">
        <f>Tank!Y52</f>
        <v>0</v>
      </c>
      <c r="BQ51" s="70">
        <f>Tank!AP52</f>
        <v>0</v>
      </c>
      <c r="BR51" s="70">
        <f>Tank!V52</f>
        <v>0</v>
      </c>
      <c r="BS51" s="372">
        <f>Tank!T52</f>
        <v>0</v>
      </c>
      <c r="BT51" s="375" t="s">
        <v>228</v>
      </c>
      <c r="BU51" s="449">
        <v>80</v>
      </c>
      <c r="BV51" s="375">
        <f>IF(Tabla1[[#This Row],[Combustible ofertado]]="GAS",Tabla1[[#This Row],[Disponibilidad]],0)</f>
        <v>0</v>
      </c>
      <c r="BW51" s="375">
        <f>IF(Tabla1[[#This Row],[Combustible ofertado]]="DIESEL",Tabla1[[#This Row],[Disponibilidad]],0)</f>
        <v>80</v>
      </c>
      <c r="BX51" s="375">
        <f>IF(Tabla1[[#This Row],[Combustible ofertado]]="HFO",Tabla1[[#This Row],[Disponibilidad]],0)</f>
        <v>0</v>
      </c>
      <c r="BY51" s="454">
        <v>1505</v>
      </c>
      <c r="BZ51" s="446">
        <f>'Horo. M'!C52</f>
        <v>24</v>
      </c>
      <c r="CA51" s="446">
        <f>'Horo. M'!E52</f>
        <v>24</v>
      </c>
      <c r="CB51" s="446">
        <f>'Horo. M'!G52</f>
        <v>24</v>
      </c>
      <c r="CC51" s="446">
        <f>'Horo. M'!I52</f>
        <v>24</v>
      </c>
      <c r="CD51" s="446">
        <f>'Horo. M'!K52</f>
        <v>0</v>
      </c>
      <c r="CE51" s="446">
        <f>'Horo. M'!M52</f>
        <v>21</v>
      </c>
      <c r="CF51" s="446">
        <f>'Horo. M'!O52</f>
        <v>24</v>
      </c>
      <c r="CG51" s="446">
        <f>'Horo. M'!Q52</f>
        <v>22</v>
      </c>
      <c r="CH51" s="446">
        <f>'Horo. M'!S52</f>
        <v>24</v>
      </c>
      <c r="CI51" s="446">
        <f>'Horo. M'!U52</f>
        <v>24</v>
      </c>
      <c r="CJ51" s="70">
        <f>Tabla1[[#This Row],[Con. DO Storage '[gal']]]-Tabla1[[#This Row],[C. DO Storage Ge '[gal']]]</f>
        <v>396.25807853722262</v>
      </c>
      <c r="CK51" s="70"/>
      <c r="CL51" s="70"/>
      <c r="CM51" s="372">
        <f>Tabla1[[#This Row],[Con. DO Total '[gal']]]*131485.5/(1000000)</f>
        <v>317.12867278377985</v>
      </c>
    </row>
    <row r="52" spans="1:91" s="5" customFormat="1" ht="15" customHeight="1">
      <c r="A52" s="362">
        <v>44977</v>
      </c>
      <c r="B52" s="363" t="str">
        <f>TEXT(Tabla1[[#This Row],[Fecha]],"mmmm")</f>
        <v>febrero</v>
      </c>
      <c r="C52" s="429">
        <v>0</v>
      </c>
      <c r="D52" s="430">
        <v>1272</v>
      </c>
      <c r="E52" s="430">
        <v>1272</v>
      </c>
      <c r="F52" s="430">
        <v>1308</v>
      </c>
      <c r="G52" s="431">
        <v>0</v>
      </c>
      <c r="H52" s="431">
        <v>0</v>
      </c>
      <c r="I52" s="432">
        <v>0</v>
      </c>
      <c r="J52" s="432">
        <v>0</v>
      </c>
      <c r="K52" s="430">
        <v>24</v>
      </c>
      <c r="L52" s="430">
        <v>24</v>
      </c>
      <c r="M52" s="365">
        <f>Tabla1[[#This Row],[Columna1]]-Tabla1[[#This Row],[PO '[h']]]</f>
        <v>0</v>
      </c>
      <c r="N52" s="365">
        <f t="shared" si="13"/>
        <v>1308</v>
      </c>
      <c r="O52" s="430">
        <v>1308</v>
      </c>
      <c r="P52" s="367">
        <f>Tabla1[[#This Row],[G. HGS 
'[MWh']]]</f>
        <v>1308</v>
      </c>
      <c r="Q52" s="430">
        <v>0</v>
      </c>
      <c r="R52" s="367">
        <v>0</v>
      </c>
      <c r="S52" s="367">
        <f>Tabla1[[#This Row],[G. HGS 
Con Gas]]*1000</f>
        <v>1308000</v>
      </c>
      <c r="T52" s="365">
        <f>Tabla1[[#This Row],[G. HGS 
'[MWh']]]*1000</f>
        <v>1308000</v>
      </c>
      <c r="U52" s="368">
        <f>SUM('G. Un GE'!B52:Y52)</f>
        <v>1297.0879</v>
      </c>
      <c r="V52" s="369">
        <f>Tabla1[[#This Row],[R. GE
'[MWh']]]</f>
        <v>1297.0879</v>
      </c>
      <c r="W52" s="434">
        <v>0</v>
      </c>
      <c r="X52" s="369">
        <v>0</v>
      </c>
      <c r="Y52" s="365">
        <f>Tabla1[[#This Row],[R. GE
'[MWh']]]*1000</f>
        <v>1297087.8999999999</v>
      </c>
      <c r="Z52" s="434">
        <v>37.340000000000003</v>
      </c>
      <c r="AA5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37.340000000000003</v>
      </c>
      <c r="AB52" s="368">
        <f>IF(Tabla1[[#This Row],[G. HGS 
'[MWh']]]=0,0,Tabla1[[#This Row],[G. HGS 
'[MWh']]]+Tabla1[[#This Row],[Con. Aux. '[MWh']2]])</f>
        <v>1345.34</v>
      </c>
      <c r="AC52" s="368">
        <f>'C. ENER. TN'!F52</f>
        <v>0</v>
      </c>
      <c r="AD52" s="370">
        <f>'C. ENER. TN'!G52</f>
        <v>1297.0879000000002</v>
      </c>
      <c r="AE52" s="370">
        <f>'G. Un GE'!AX52</f>
        <v>165.91600714285715</v>
      </c>
      <c r="AF52" s="368">
        <f>IFERROR('G. Un GE'!AX52/Tabla1[[#This Row],[PO '[h']]],0)</f>
        <v>6.9131669642857148</v>
      </c>
      <c r="AG52" s="365">
        <f>'Ar-Pa'!AX52</f>
        <v>1</v>
      </c>
      <c r="AH52" s="365">
        <f>'Ar-Pa'!AY52</f>
        <v>2</v>
      </c>
      <c r="AI52" s="365">
        <f>SUM('Cal. Arr'!AB55:AY55)</f>
        <v>0</v>
      </c>
      <c r="AJ52" s="442">
        <v>0</v>
      </c>
      <c r="AK52" s="442">
        <v>1.4</v>
      </c>
      <c r="AL52" s="267">
        <f t="shared" si="10"/>
        <v>369.84087330140778</v>
      </c>
      <c r="AM52" s="267">
        <f>+CONVERT(AK52+Tabla1[[#This Row],[Con. DO Storage Gen. '[m3']]],"m^3","gal")</f>
        <v>369.84087330140778</v>
      </c>
      <c r="AN52" s="372">
        <f>SUM('DO Pilot'!B52:Y52)</f>
        <v>6.2199999999999989</v>
      </c>
      <c r="AO52" s="372">
        <f t="shared" si="0"/>
        <v>1643.150165667683</v>
      </c>
      <c r="AP52" s="267">
        <f>AK52+AN52+Tabla1[[#This Row],[Con. DO Storage Gen. '[m3']]]</f>
        <v>7.6199999999999992</v>
      </c>
      <c r="AQ52" s="372">
        <f t="shared" si="11"/>
        <v>2012.9910389690908</v>
      </c>
      <c r="AR52" s="442">
        <v>0</v>
      </c>
      <c r="AS52" s="442">
        <v>10985</v>
      </c>
      <c r="AT52" s="267">
        <f>+CONVERT(SUM(Tabla1[[#This Row],[Repo. DO Storage '[gal']]:[Repo. DO Pilot '[gal']]]),"gal","m3")</f>
        <v>41.582748447239993</v>
      </c>
      <c r="AU52" s="442">
        <v>0</v>
      </c>
      <c r="AV52" s="267">
        <f t="shared" si="14"/>
        <v>0</v>
      </c>
      <c r="AW52" s="442">
        <v>0</v>
      </c>
      <c r="AX52" s="267">
        <f t="shared" si="2"/>
        <v>0</v>
      </c>
      <c r="AY52" s="372">
        <f t="shared" si="3"/>
        <v>0.28275296123960841</v>
      </c>
      <c r="AZ52" s="372">
        <f>IFERROR(AL52/'Ar-Pa'!AX52,0)</f>
        <v>369.84087330140778</v>
      </c>
      <c r="BA52" s="372">
        <f>IFERROR(AL52/'Ar-Pa'!AY52,0)</f>
        <v>184.92043665070389</v>
      </c>
      <c r="BB52" s="372">
        <f t="shared" si="4"/>
        <v>1.2562310135074028</v>
      </c>
      <c r="BC52" s="372">
        <f>IFERROR(AVERAGEIF('DO Pilot'!AX52:BU52,"&gt;0"),0)</f>
        <v>8.7565959319609501</v>
      </c>
      <c r="BD52" s="445">
        <v>353346</v>
      </c>
      <c r="BE52" s="445">
        <v>12508</v>
      </c>
      <c r="BF52" s="445">
        <v>353190</v>
      </c>
      <c r="BG52" s="223">
        <f>Tabla1[[#This Row],[ Re. Gas GC
 '[m3']]]</f>
        <v>353190</v>
      </c>
      <c r="BH52" s="150">
        <f>IFERROR((BG52*Gas!$B$3)/28.31685,0)</f>
        <v>12425.139597095014</v>
      </c>
      <c r="BI52" s="151">
        <f t="shared" si="15"/>
        <v>-82.860402904985676</v>
      </c>
      <c r="BJ52" s="74">
        <f t="shared" si="12"/>
        <v>-6.6687703793974562E-3</v>
      </c>
      <c r="BK52" s="223">
        <f t="shared" si="6"/>
        <v>9562.6911314984718</v>
      </c>
      <c r="BL52" s="442">
        <v>0</v>
      </c>
      <c r="BM52" s="150">
        <f t="shared" si="7"/>
        <v>9235.6873333841359</v>
      </c>
      <c r="BN52" s="150">
        <f t="shared" si="17"/>
        <v>9579.257964780194</v>
      </c>
      <c r="BO52" s="373">
        <f>IFERROR(Tabla1[[#This Row],[ Re. Gas GC
 '[m3']]]/Tabla1[[#This Row],[G. HGS 
Con Gas '[kWh']]],0)</f>
        <v>0.27002293577981651</v>
      </c>
      <c r="BP52" s="374">
        <f>Tank!Y53</f>
        <v>0</v>
      </c>
      <c r="BQ52" s="70">
        <f>Tank!AP53</f>
        <v>0</v>
      </c>
      <c r="BR52" s="70">
        <f>Tank!V53</f>
        <v>0</v>
      </c>
      <c r="BS52" s="372">
        <f>Tank!T53</f>
        <v>0</v>
      </c>
      <c r="BT52" s="375" t="s">
        <v>228</v>
      </c>
      <c r="BU52" s="449">
        <v>71</v>
      </c>
      <c r="BV52" s="375">
        <f>IF(Tabla1[[#This Row],[Combustible ofertado]]="GAS",Tabla1[[#This Row],[Disponibilidad]],0)</f>
        <v>0</v>
      </c>
      <c r="BW52" s="375">
        <f>IF(Tabla1[[#This Row],[Combustible ofertado]]="DIESEL",Tabla1[[#This Row],[Disponibilidad]],0)</f>
        <v>71</v>
      </c>
      <c r="BX52" s="375">
        <f>IF(Tabla1[[#This Row],[Combustible ofertado]]="HFO",Tabla1[[#This Row],[Disponibilidad]],0)</f>
        <v>0</v>
      </c>
      <c r="BY52" s="454">
        <v>1505</v>
      </c>
      <c r="BZ52" s="446">
        <f>'Horo. M'!C53</f>
        <v>24</v>
      </c>
      <c r="CA52" s="446">
        <f>'Horo. M'!E53</f>
        <v>24</v>
      </c>
      <c r="CB52" s="446">
        <f>'Horo. M'!G53</f>
        <v>24</v>
      </c>
      <c r="CC52" s="446">
        <f>'Horo. M'!I53</f>
        <v>24</v>
      </c>
      <c r="CD52" s="446">
        <f>'Horo. M'!K53</f>
        <v>0</v>
      </c>
      <c r="CE52" s="446">
        <f>'Horo. M'!M53</f>
        <v>24</v>
      </c>
      <c r="CF52" s="446">
        <f>'Horo. M'!O53</f>
        <v>24</v>
      </c>
      <c r="CG52" s="446">
        <f>'Horo. M'!Q53</f>
        <v>19</v>
      </c>
      <c r="CH52" s="446">
        <f>'Horo. M'!S53</f>
        <v>0</v>
      </c>
      <c r="CI52" s="446">
        <f>'Horo. M'!U53</f>
        <v>24</v>
      </c>
      <c r="CJ52" s="70">
        <f>Tabla1[[#This Row],[Con. DO Storage '[gal']]]-Tabla1[[#This Row],[C. DO Storage Ge '[gal']]]</f>
        <v>369.84087330140778</v>
      </c>
      <c r="CK52" s="70"/>
      <c r="CL52" s="70"/>
      <c r="CM52" s="372">
        <f>Tabla1[[#This Row],[Con. DO Total '[gal']]]*131485.5/(1000000)</f>
        <v>264.67913325437041</v>
      </c>
    </row>
    <row r="53" spans="1:91" s="5" customFormat="1" ht="15" customHeight="1">
      <c r="A53" s="362">
        <v>44978</v>
      </c>
      <c r="B53" s="363" t="str">
        <f>TEXT(Tabla1[[#This Row],[Fecha]],"mmmm")</f>
        <v>febrero</v>
      </c>
      <c r="C53" s="429">
        <v>0</v>
      </c>
      <c r="D53" s="430">
        <v>1272</v>
      </c>
      <c r="E53" s="430">
        <v>1272</v>
      </c>
      <c r="F53" s="430">
        <v>1302</v>
      </c>
      <c r="G53" s="431">
        <v>0</v>
      </c>
      <c r="H53" s="431">
        <v>0</v>
      </c>
      <c r="I53" s="432">
        <v>0</v>
      </c>
      <c r="J53" s="432">
        <v>0</v>
      </c>
      <c r="K53" s="430">
        <v>24</v>
      </c>
      <c r="L53" s="430">
        <v>24</v>
      </c>
      <c r="M53" s="365">
        <f>Tabla1[[#This Row],[Columna1]]-Tabla1[[#This Row],[PO '[h']]]</f>
        <v>0</v>
      </c>
      <c r="N53" s="365">
        <f t="shared" si="13"/>
        <v>1302</v>
      </c>
      <c r="O53" s="430">
        <v>1302</v>
      </c>
      <c r="P53" s="367">
        <f>Tabla1[[#This Row],[G. HGS 
'[MWh']]]</f>
        <v>1302</v>
      </c>
      <c r="Q53" s="430">
        <v>0</v>
      </c>
      <c r="R53" s="367">
        <v>0</v>
      </c>
      <c r="S53" s="367">
        <f>Tabla1[[#This Row],[G. HGS 
Con Gas]]*1000</f>
        <v>1302000</v>
      </c>
      <c r="T53" s="365">
        <f>Tabla1[[#This Row],[G. HGS 
'[MWh']]]*1000</f>
        <v>1302000</v>
      </c>
      <c r="U53" s="368">
        <f>SUM('G. Un GE'!B53:Y53)</f>
        <v>1289.8014000000001</v>
      </c>
      <c r="V53" s="369">
        <f>Tabla1[[#This Row],[R. GE
'[MWh']]]</f>
        <v>1289.8014000000001</v>
      </c>
      <c r="W53" s="434">
        <v>0</v>
      </c>
      <c r="X53" s="369">
        <v>0</v>
      </c>
      <c r="Y53" s="365">
        <f>Tabla1[[#This Row],[R. GE
'[MWh']]]*1000</f>
        <v>1289801.4000000001</v>
      </c>
      <c r="Z53" s="434">
        <v>38.14</v>
      </c>
      <c r="AA5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38.14</v>
      </c>
      <c r="AB53" s="368">
        <f>IF(Tabla1[[#This Row],[G. HGS 
'[MWh']]]=0,0,Tabla1[[#This Row],[G. HGS 
'[MWh']]]+Tabla1[[#This Row],[Con. Aux. '[MWh']2]])</f>
        <v>1340.14</v>
      </c>
      <c r="AC53" s="368">
        <f>'C. ENER. TN'!F53</f>
        <v>0</v>
      </c>
      <c r="AD53" s="370">
        <f>'C. ENER. TN'!G53</f>
        <v>1289.8013999999998</v>
      </c>
      <c r="AE53" s="370">
        <f>'G. Un GE'!AX53</f>
        <v>165.06343035714283</v>
      </c>
      <c r="AF53" s="368">
        <f>IFERROR('G. Un GE'!AX53/Tabla1[[#This Row],[PO '[h']]],0)</f>
        <v>6.8776429315476184</v>
      </c>
      <c r="AG53" s="365">
        <f>'Ar-Pa'!AX53</f>
        <v>1</v>
      </c>
      <c r="AH53" s="365">
        <f>'Ar-Pa'!AY53</f>
        <v>1</v>
      </c>
      <c r="AI53" s="365">
        <f>SUM('Cal. Arr'!AB56:AY56)</f>
        <v>0</v>
      </c>
      <c r="AJ53" s="442">
        <v>0</v>
      </c>
      <c r="AK53" s="442">
        <v>1.5</v>
      </c>
      <c r="AL53" s="267">
        <f t="shared" si="10"/>
        <v>396.25807853722262</v>
      </c>
      <c r="AM53" s="267">
        <f>+CONVERT(AK53+Tabla1[[#This Row],[Con. DO Storage Gen. '[m3']]],"m^3","gal")</f>
        <v>396.25807853722262</v>
      </c>
      <c r="AN53" s="372">
        <f>SUM('DO Pilot'!B53:Y53)</f>
        <v>6.4299999999999979</v>
      </c>
      <c r="AO53" s="372">
        <f t="shared" si="0"/>
        <v>1698.626296662894</v>
      </c>
      <c r="AP53" s="267">
        <f>AK53+AN53+Tabla1[[#This Row],[Con. DO Storage Gen. '[m3']]]</f>
        <v>7.9299999999999979</v>
      </c>
      <c r="AQ53" s="372">
        <f t="shared" si="11"/>
        <v>2094.8843752001167</v>
      </c>
      <c r="AR53" s="442">
        <v>0</v>
      </c>
      <c r="AS53" s="442">
        <v>0</v>
      </c>
      <c r="AT53" s="267">
        <f>+CONVERT(SUM(Tabla1[[#This Row],[Repo. DO Storage '[gal']]:[Repo. DO Pilot '[gal']]]),"gal","m3")</f>
        <v>0</v>
      </c>
      <c r="AU53" s="442">
        <v>0</v>
      </c>
      <c r="AV53" s="267">
        <f t="shared" si="14"/>
        <v>0</v>
      </c>
      <c r="AW53" s="442">
        <v>0</v>
      </c>
      <c r="AX53" s="267">
        <f t="shared" si="2"/>
        <v>0</v>
      </c>
      <c r="AY53" s="372">
        <f t="shared" si="3"/>
        <v>0.30434568244026317</v>
      </c>
      <c r="AZ53" s="372">
        <f>IFERROR(AL53/'Ar-Pa'!AX53,0)</f>
        <v>396.25807853722262</v>
      </c>
      <c r="BA53" s="372">
        <f>IFERROR(AL53/'Ar-Pa'!AY53,0)</f>
        <v>396.25807853722262</v>
      </c>
      <c r="BB53" s="372">
        <f t="shared" si="4"/>
        <v>1.3046284920605944</v>
      </c>
      <c r="BC53" s="372">
        <f>IFERROR(AVERAGEIF('DO Pilot'!AX53:BU53,"&gt;0"),0)</f>
        <v>9.0573275094222296</v>
      </c>
      <c r="BD53" s="445">
        <v>353200</v>
      </c>
      <c r="BE53" s="445">
        <v>12503</v>
      </c>
      <c r="BF53" s="445">
        <v>351622</v>
      </c>
      <c r="BG53" s="223">
        <f>Tabla1[[#This Row],[ Re. Gas GC
 '[m3']]]</f>
        <v>351622</v>
      </c>
      <c r="BH53" s="150">
        <f>IFERROR((BG53*Gas!$B$3)/28.31685,0)</f>
        <v>12369.977732692725</v>
      </c>
      <c r="BI53" s="151">
        <f t="shared" si="15"/>
        <v>-133.02226730727489</v>
      </c>
      <c r="BJ53" s="74">
        <f t="shared" si="12"/>
        <v>-1.0753638380100648E-2</v>
      </c>
      <c r="BK53" s="223">
        <f t="shared" si="6"/>
        <v>9602.918586789554</v>
      </c>
      <c r="BL53" s="442">
        <v>0</v>
      </c>
      <c r="BM53" s="150">
        <f t="shared" si="7"/>
        <v>9230.3622999781546</v>
      </c>
      <c r="BN53" s="150">
        <f t="shared" si="17"/>
        <v>9590.6065326745065</v>
      </c>
      <c r="BO53" s="373">
        <f>IFERROR(Tabla1[[#This Row],[ Re. Gas GC
 '[m3']]]/Tabla1[[#This Row],[G. HGS 
Con Gas '[kWh']]],0)</f>
        <v>0.27006298003072199</v>
      </c>
      <c r="BP53" s="374">
        <f>Tank!Y54</f>
        <v>0</v>
      </c>
      <c r="BQ53" s="70">
        <f>Tank!AP54</f>
        <v>33.6</v>
      </c>
      <c r="BR53" s="70">
        <f>Tank!V54</f>
        <v>0</v>
      </c>
      <c r="BS53" s="372">
        <f>Tank!T54</f>
        <v>0</v>
      </c>
      <c r="BT53" s="375" t="s">
        <v>228</v>
      </c>
      <c r="BU53" s="449">
        <v>71</v>
      </c>
      <c r="BV53" s="375">
        <f>IF(Tabla1[[#This Row],[Combustible ofertado]]="GAS",Tabla1[[#This Row],[Disponibilidad]],0)</f>
        <v>0</v>
      </c>
      <c r="BW53" s="375">
        <f>IF(Tabla1[[#This Row],[Combustible ofertado]]="DIESEL",Tabla1[[#This Row],[Disponibilidad]],0)</f>
        <v>71</v>
      </c>
      <c r="BX53" s="375">
        <f>IF(Tabla1[[#This Row],[Combustible ofertado]]="HFO",Tabla1[[#This Row],[Disponibilidad]],0)</f>
        <v>0</v>
      </c>
      <c r="BY53" s="454">
        <v>1505</v>
      </c>
      <c r="BZ53" s="446">
        <f>'Horo. M'!C54</f>
        <v>24</v>
      </c>
      <c r="CA53" s="446">
        <f>'Horo. M'!E54</f>
        <v>24</v>
      </c>
      <c r="CB53" s="446">
        <f>'Horo. M'!G54</f>
        <v>24</v>
      </c>
      <c r="CC53" s="446">
        <f>'Horo. M'!I54</f>
        <v>24</v>
      </c>
      <c r="CD53" s="446">
        <f>'Horo. M'!K54</f>
        <v>0</v>
      </c>
      <c r="CE53" s="446">
        <f>'Horo. M'!M54</f>
        <v>24</v>
      </c>
      <c r="CF53" s="446">
        <f>'Horo. M'!O54</f>
        <v>12</v>
      </c>
      <c r="CG53" s="446">
        <f>'Horo. M'!Q54</f>
        <v>20</v>
      </c>
      <c r="CH53" s="446">
        <f>'Horo. M'!S54</f>
        <v>12</v>
      </c>
      <c r="CI53" s="446">
        <f>'Horo. M'!U54</f>
        <v>24</v>
      </c>
      <c r="CJ53" s="70">
        <f>Tabla1[[#This Row],[Con. DO Storage '[gal']]]-Tabla1[[#This Row],[C. DO Storage Ge '[gal']]]</f>
        <v>396.25807853722262</v>
      </c>
      <c r="CK53" s="70"/>
      <c r="CL53" s="70"/>
      <c r="CM53" s="372">
        <f>Tabla1[[#This Row],[Con. DO Total '[gal']]]*131485.5/(1000000)</f>
        <v>275.44691951537499</v>
      </c>
    </row>
    <row r="54" spans="1:91" s="5" customFormat="1" ht="15" customHeight="1">
      <c r="A54" s="362">
        <v>44979</v>
      </c>
      <c r="B54" s="363" t="str">
        <f>TEXT(Tabla1[[#This Row],[Fecha]],"mmmm")</f>
        <v>febrero</v>
      </c>
      <c r="C54" s="429">
        <v>0</v>
      </c>
      <c r="D54" s="430">
        <v>1488</v>
      </c>
      <c r="E54" s="430">
        <v>1488</v>
      </c>
      <c r="F54" s="430">
        <v>1407</v>
      </c>
      <c r="G54" s="431">
        <v>12</v>
      </c>
      <c r="H54" s="431">
        <v>636</v>
      </c>
      <c r="I54" s="432">
        <v>0</v>
      </c>
      <c r="J54" s="432">
        <v>0</v>
      </c>
      <c r="K54" s="430">
        <v>24</v>
      </c>
      <c r="L54" s="430">
        <v>24</v>
      </c>
      <c r="M54" s="365">
        <f>Tabla1[[#This Row],[Columna1]]-Tabla1[[#This Row],[PO '[h']]]</f>
        <v>0</v>
      </c>
      <c r="N54" s="365">
        <f t="shared" si="13"/>
        <v>2043</v>
      </c>
      <c r="O54" s="430">
        <v>1407</v>
      </c>
      <c r="P54" s="367">
        <f>Tabla1[[#This Row],[G. HGS 
'[MWh']]]</f>
        <v>1407</v>
      </c>
      <c r="Q54" s="430">
        <v>0</v>
      </c>
      <c r="R54" s="367">
        <v>0</v>
      </c>
      <c r="S54" s="367">
        <f>Tabla1[[#This Row],[G. HGS 
Con Gas]]*1000</f>
        <v>1407000</v>
      </c>
      <c r="T54" s="365">
        <f>Tabla1[[#This Row],[G. HGS 
'[MWh']]]*1000</f>
        <v>1407000</v>
      </c>
      <c r="U54" s="368">
        <f>SUM('G. Un GE'!B54:Y54)</f>
        <v>1395.0833000000002</v>
      </c>
      <c r="V54" s="369">
        <f>Tabla1[[#This Row],[R. GE
'[MWh']]]</f>
        <v>1395.0833000000002</v>
      </c>
      <c r="W54" s="434">
        <v>0</v>
      </c>
      <c r="X54" s="369">
        <v>0</v>
      </c>
      <c r="Y54" s="365">
        <f>Tabla1[[#This Row],[R. GE
'[MWh']]]*1000</f>
        <v>1395083.3000000003</v>
      </c>
      <c r="Z54" s="434">
        <v>39.86</v>
      </c>
      <c r="AA5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39.86</v>
      </c>
      <c r="AB54" s="368">
        <f>IF(Tabla1[[#This Row],[G. HGS 
'[MWh']]]=0,0,Tabla1[[#This Row],[G. HGS 
'[MWh']]]+Tabla1[[#This Row],[Con. Aux. '[MWh']2]])</f>
        <v>1446.86</v>
      </c>
      <c r="AC54" s="368">
        <f>'C. ENER. TN'!F54</f>
        <v>0</v>
      </c>
      <c r="AD54" s="370">
        <f>'C. ENER. TN'!G54</f>
        <v>1395.0833</v>
      </c>
      <c r="AE54" s="370">
        <f>'G. Un GE'!AX54</f>
        <v>165.86898095238098</v>
      </c>
      <c r="AF54" s="368">
        <f>IFERROR('G. Un GE'!AX54/Tabla1[[#This Row],[PO '[h']]],0)</f>
        <v>6.9112075396825405</v>
      </c>
      <c r="AG54" s="365">
        <f>'Ar-Pa'!AX54</f>
        <v>3</v>
      </c>
      <c r="AH54" s="365">
        <f>'Ar-Pa'!AY54</f>
        <v>2</v>
      </c>
      <c r="AI54" s="365">
        <f>SUM('Cal. Arr'!AB57:AY57)</f>
        <v>0</v>
      </c>
      <c r="AJ54" s="442">
        <v>0</v>
      </c>
      <c r="AK54" s="442">
        <v>1.6</v>
      </c>
      <c r="AL54" s="267">
        <f t="shared" si="10"/>
        <v>422.67528377303745</v>
      </c>
      <c r="AM54" s="267">
        <f>+CONVERT(AK54+Tabla1[[#This Row],[Con. DO Storage Gen. '[m3']]],"m^3","gal")</f>
        <v>422.67528377303745</v>
      </c>
      <c r="AN54" s="372">
        <f>SUM('DO Pilot'!B54:Y54)</f>
        <v>6.6499999999999977</v>
      </c>
      <c r="AO54" s="372">
        <f t="shared" si="0"/>
        <v>1756.7441481816863</v>
      </c>
      <c r="AP54" s="267">
        <f>AK54+AN54+Tabla1[[#This Row],[Con. DO Storage Gen. '[m3']]]</f>
        <v>8.2499999999999982</v>
      </c>
      <c r="AQ54" s="372">
        <f t="shared" si="11"/>
        <v>2179.4194319547241</v>
      </c>
      <c r="AR54" s="442">
        <v>0</v>
      </c>
      <c r="AS54" s="442">
        <v>0</v>
      </c>
      <c r="AT54" s="267">
        <f>+CONVERT(SUM(Tabla1[[#This Row],[Repo. DO Storage '[gal']]:[Repo. DO Pilot '[gal']]]),"gal","m3")</f>
        <v>0</v>
      </c>
      <c r="AU54" s="442">
        <v>0</v>
      </c>
      <c r="AV54" s="267">
        <f t="shared" si="14"/>
        <v>0</v>
      </c>
      <c r="AW54" s="442">
        <v>0</v>
      </c>
      <c r="AX54" s="267">
        <f t="shared" si="2"/>
        <v>0</v>
      </c>
      <c r="AY54" s="372">
        <f t="shared" si="3"/>
        <v>0.30040887261765276</v>
      </c>
      <c r="AZ54" s="372">
        <f>IFERROR(AL54/'Ar-Pa'!AX54,0)</f>
        <v>140.89176125767915</v>
      </c>
      <c r="BA54" s="372">
        <f>IFERROR(AL54/'Ar-Pa'!AY54,0)</f>
        <v>211.33764188651872</v>
      </c>
      <c r="BB54" s="372">
        <f t="shared" si="4"/>
        <v>1.2485743768171189</v>
      </c>
      <c r="BC54" s="372">
        <f>IFERROR(AVERAGEIF('DO Pilot'!AX54:BU54,"&gt;0"),0)</f>
        <v>8.7011232953050559</v>
      </c>
      <c r="BD54" s="445">
        <v>380315</v>
      </c>
      <c r="BE54" s="445">
        <v>13463</v>
      </c>
      <c r="BF54" s="445">
        <v>379700</v>
      </c>
      <c r="BG54" s="223">
        <f>Tabla1[[#This Row],[ Re. Gas GC
 '[m3']]]</f>
        <v>379700</v>
      </c>
      <c r="BH54" s="150">
        <f>IFERROR((BG54*Gas!$B$3)/28.31685,0)</f>
        <v>13357.755046906701</v>
      </c>
      <c r="BI54" s="151">
        <f t="shared" si="15"/>
        <v>-105.24495309329905</v>
      </c>
      <c r="BJ54" s="74">
        <f t="shared" si="12"/>
        <v>-7.8789401904529582E-3</v>
      </c>
      <c r="BK54" s="223">
        <f t="shared" si="6"/>
        <v>9568.5856432125092</v>
      </c>
      <c r="BL54" s="442">
        <v>8859.59</v>
      </c>
      <c r="BM54" s="150">
        <f t="shared" si="7"/>
        <v>9232.2374292652385</v>
      </c>
      <c r="BN54" s="150">
        <f t="shared" si="17"/>
        <v>9574.8798992194224</v>
      </c>
      <c r="BO54" s="373">
        <f>IFERROR(Tabla1[[#This Row],[ Re. Gas GC
 '[m3']]]/Tabla1[[#This Row],[G. HGS 
Con Gas '[kWh']]],0)</f>
        <v>0.26986496090973705</v>
      </c>
      <c r="BP54" s="374">
        <f>Tank!Y55</f>
        <v>28.700992146287998</v>
      </c>
      <c r="BQ54" s="70">
        <f>Tank!AP55</f>
        <v>0</v>
      </c>
      <c r="BR54" s="70">
        <f>Tank!V55</f>
        <v>0</v>
      </c>
      <c r="BS54" s="372">
        <f>Tank!T55</f>
        <v>0</v>
      </c>
      <c r="BT54" s="375" t="s">
        <v>228</v>
      </c>
      <c r="BU54" s="449">
        <v>80</v>
      </c>
      <c r="BV54" s="375">
        <f>IF(Tabla1[[#This Row],[Combustible ofertado]]="GAS",Tabla1[[#This Row],[Disponibilidad]],0)</f>
        <v>0</v>
      </c>
      <c r="BW54" s="375">
        <f>IF(Tabla1[[#This Row],[Combustible ofertado]]="DIESEL",Tabla1[[#This Row],[Disponibilidad]],0)</f>
        <v>80</v>
      </c>
      <c r="BX54" s="375">
        <f>IF(Tabla1[[#This Row],[Combustible ofertado]]="HFO",Tabla1[[#This Row],[Disponibilidad]],0)</f>
        <v>0</v>
      </c>
      <c r="BY54" s="454">
        <v>1505</v>
      </c>
      <c r="BZ54" s="446">
        <f>'Horo. M'!C55</f>
        <v>24</v>
      </c>
      <c r="CA54" s="446">
        <f>'Horo. M'!E55</f>
        <v>24</v>
      </c>
      <c r="CB54" s="446">
        <f>'Horo. M'!G55</f>
        <v>23</v>
      </c>
      <c r="CC54" s="446">
        <f>'Horo. M'!I55</f>
        <v>24</v>
      </c>
      <c r="CD54" s="446">
        <f>'Horo. M'!K55</f>
        <v>0</v>
      </c>
      <c r="CE54" s="446">
        <f>'Horo. M'!M55</f>
        <v>24</v>
      </c>
      <c r="CF54" s="446">
        <f>'Horo. M'!O55</f>
        <v>12</v>
      </c>
      <c r="CG54" s="446">
        <f>'Horo. M'!Q55</f>
        <v>22</v>
      </c>
      <c r="CH54" s="446">
        <f>'Horo. M'!S55</f>
        <v>24</v>
      </c>
      <c r="CI54" s="446">
        <f>'Horo. M'!U55</f>
        <v>24</v>
      </c>
      <c r="CJ54" s="70">
        <f>Tabla1[[#This Row],[Con. DO Storage '[gal']]]-Tabla1[[#This Row],[C. DO Storage Ge '[gal']]]</f>
        <v>422.67528377303745</v>
      </c>
      <c r="CK54" s="70"/>
      <c r="CL54" s="70"/>
      <c r="CM54" s="372">
        <f>Tabla1[[#This Row],[Con. DO Total '[gal']]]*131485.5/(1000000)</f>
        <v>286.56205372028285</v>
      </c>
    </row>
    <row r="55" spans="1:91" s="5" customFormat="1" ht="15" customHeight="1">
      <c r="A55" s="362">
        <v>44980</v>
      </c>
      <c r="B55" s="363" t="str">
        <f>TEXT(Tabla1[[#This Row],[Fecha]],"mmmm")</f>
        <v>febrero</v>
      </c>
      <c r="C55" s="429">
        <v>0</v>
      </c>
      <c r="D55" s="430">
        <v>1488</v>
      </c>
      <c r="E55" s="430">
        <v>1488</v>
      </c>
      <c r="F55" s="430">
        <v>1516</v>
      </c>
      <c r="G55" s="431">
        <v>0</v>
      </c>
      <c r="H55" s="431">
        <v>0</v>
      </c>
      <c r="I55" s="432">
        <v>0</v>
      </c>
      <c r="J55" s="432">
        <v>0</v>
      </c>
      <c r="K55" s="430">
        <v>24</v>
      </c>
      <c r="L55" s="430">
        <v>24</v>
      </c>
      <c r="M55" s="365">
        <f>Tabla1[[#This Row],[Columna1]]-Tabla1[[#This Row],[PO '[h']]]</f>
        <v>0</v>
      </c>
      <c r="N55" s="365">
        <f t="shared" si="13"/>
        <v>1516</v>
      </c>
      <c r="O55" s="430">
        <v>1516</v>
      </c>
      <c r="P55" s="367">
        <f>Tabla1[[#This Row],[G. HGS 
'[MWh']]]</f>
        <v>1516</v>
      </c>
      <c r="Q55" s="430">
        <v>0</v>
      </c>
      <c r="R55" s="367">
        <v>0</v>
      </c>
      <c r="S55" s="367">
        <f>Tabla1[[#This Row],[G. HGS 
Con Gas]]*1000</f>
        <v>1516000</v>
      </c>
      <c r="T55" s="365">
        <f>Tabla1[[#This Row],[G. HGS 
'[MWh']]]*1000</f>
        <v>1516000</v>
      </c>
      <c r="U55" s="368">
        <f>SUM('G. Un GE'!B55:Y55)</f>
        <v>1502.3188999999995</v>
      </c>
      <c r="V55" s="369">
        <f>Tabla1[[#This Row],[R. GE
'[MWh']]]</f>
        <v>1502.3188999999995</v>
      </c>
      <c r="W55" s="434">
        <v>0</v>
      </c>
      <c r="X55" s="369">
        <v>0</v>
      </c>
      <c r="Y55" s="365">
        <f>Tabla1[[#This Row],[R. GE
'[MWh']]]*1000</f>
        <v>1502318.8999999994</v>
      </c>
      <c r="Z55" s="434">
        <v>40.49</v>
      </c>
      <c r="AA5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40.49</v>
      </c>
      <c r="AB55" s="368">
        <f>IF(Tabla1[[#This Row],[G. HGS 
'[MWh']]]=0,0,Tabla1[[#This Row],[G. HGS 
'[MWh']]]+Tabla1[[#This Row],[Con. Aux. '[MWh']2]])</f>
        <v>1556.49</v>
      </c>
      <c r="AC55" s="368">
        <f>'C. ENER. TN'!F55</f>
        <v>0</v>
      </c>
      <c r="AD55" s="370">
        <f>'C. ENER. TN'!G55</f>
        <v>1502.3189</v>
      </c>
      <c r="AE55" s="370">
        <f>'G. Un GE'!AX55</f>
        <v>173.48001587301593</v>
      </c>
      <c r="AF55" s="368">
        <f>IFERROR('G. Un GE'!AX55/Tabla1[[#This Row],[PO '[h']]],0)</f>
        <v>7.2283339947089971</v>
      </c>
      <c r="AG55" s="365">
        <f>'Ar-Pa'!AX55</f>
        <v>2</v>
      </c>
      <c r="AH55" s="365">
        <f>'Ar-Pa'!AY55</f>
        <v>2</v>
      </c>
      <c r="AI55" s="365">
        <f>SUM('Cal. Arr'!AB58:AY58)</f>
        <v>0</v>
      </c>
      <c r="AJ55" s="442">
        <v>1.5</v>
      </c>
      <c r="AK55" s="442">
        <v>1.1000000000000001</v>
      </c>
      <c r="AL55" s="267">
        <f t="shared" si="10"/>
        <v>290.58925759396328</v>
      </c>
      <c r="AM55" s="267">
        <f>+CONVERT(AK55+Tabla1[[#This Row],[Con. DO Storage Gen. '[m3']]],"m^3","gal")</f>
        <v>686.8473361311859</v>
      </c>
      <c r="AN55" s="372">
        <f>SUM('DO Pilot'!B55:Y55)</f>
        <v>7.7000000000000028</v>
      </c>
      <c r="AO55" s="372">
        <f t="shared" si="0"/>
        <v>2034.1248031577436</v>
      </c>
      <c r="AP55" s="267">
        <f>AK55+AN55+Tabla1[[#This Row],[Con. DO Storage Gen. '[m3']]]</f>
        <v>10.300000000000002</v>
      </c>
      <c r="AQ55" s="372">
        <f t="shared" si="11"/>
        <v>2720.9721392889292</v>
      </c>
      <c r="AR55" s="442">
        <v>0</v>
      </c>
      <c r="AS55" s="442">
        <v>0</v>
      </c>
      <c r="AT55" s="267">
        <f>+CONVERT(SUM(Tabla1[[#This Row],[Repo. DO Storage '[gal']]:[Repo. DO Pilot '[gal']]]),"gal","m3")</f>
        <v>0</v>
      </c>
      <c r="AU55" s="442">
        <v>0</v>
      </c>
      <c r="AV55" s="267">
        <f t="shared" si="14"/>
        <v>0</v>
      </c>
      <c r="AW55" s="442">
        <v>0</v>
      </c>
      <c r="AX55" s="267">
        <f t="shared" si="2"/>
        <v>0</v>
      </c>
      <c r="AY55" s="372">
        <f t="shared" si="3"/>
        <v>0.19168156833374886</v>
      </c>
      <c r="AZ55" s="372">
        <f>IFERROR(AL55/'Ar-Pa'!AX55,0)</f>
        <v>145.29462879698164</v>
      </c>
      <c r="BA55" s="372">
        <f>IFERROR(AL55/'Ar-Pa'!AY55,0)</f>
        <v>145.29462879698164</v>
      </c>
      <c r="BB55" s="372">
        <f t="shared" si="4"/>
        <v>1.3417709783362424</v>
      </c>
      <c r="BC55" s="372">
        <f>IFERROR(AVERAGEIF('DO Pilot'!AX55:BU55,"&gt;0"),0)</f>
        <v>9.7861156532045879</v>
      </c>
      <c r="BD55" s="445">
        <v>410131</v>
      </c>
      <c r="BE55" s="445">
        <v>14518</v>
      </c>
      <c r="BF55" s="445">
        <v>406083</v>
      </c>
      <c r="BG55" s="223">
        <f>Tabla1[[#This Row],[ Re. Gas GC
 '[m3']]]</f>
        <v>406083</v>
      </c>
      <c r="BH55" s="150">
        <f>IFERROR((BG55*Gas!$B$3)/28.31685,0)</f>
        <v>14285.902667139882</v>
      </c>
      <c r="BI55" s="151">
        <f t="shared" si="15"/>
        <v>-232.0973328601176</v>
      </c>
      <c r="BJ55" s="74">
        <f t="shared" si="12"/>
        <v>-1.6246599061183774E-2</v>
      </c>
      <c r="BK55" s="223">
        <f>IFERROR((BE55/P55)*1000,0)</f>
        <v>9576.517150395779</v>
      </c>
      <c r="BL55" s="442">
        <v>8861.66</v>
      </c>
      <c r="BM55" s="150">
        <f t="shared" si="7"/>
        <v>9178.2810471894354</v>
      </c>
      <c r="BN55" s="150">
        <f t="shared" si="17"/>
        <v>9509.234468886656</v>
      </c>
      <c r="BO55" s="373">
        <f>IFERROR(Tabla1[[#This Row],[ Re. Gas GC
 '[m3']]]/Tabla1[[#This Row],[G. HGS 
Con Gas '[kWh']]],0)</f>
        <v>0.26786477572559364</v>
      </c>
      <c r="BP55" s="374">
        <f>Tank!Y56</f>
        <v>0</v>
      </c>
      <c r="BQ55" s="70">
        <f>Tank!AP56</f>
        <v>0</v>
      </c>
      <c r="BR55" s="70">
        <f>Tank!V56</f>
        <v>0</v>
      </c>
      <c r="BS55" s="372">
        <f>Tank!T56</f>
        <v>0</v>
      </c>
      <c r="BT55" s="375" t="s">
        <v>228</v>
      </c>
      <c r="BU55" s="449">
        <v>80</v>
      </c>
      <c r="BV55" s="375">
        <f>IF(Tabla1[[#This Row],[Combustible ofertado]]="GAS",Tabla1[[#This Row],[Disponibilidad]],0)</f>
        <v>0</v>
      </c>
      <c r="BW55" s="375">
        <f>IF(Tabla1[[#This Row],[Combustible ofertado]]="DIESEL",Tabla1[[#This Row],[Disponibilidad]],0)</f>
        <v>80</v>
      </c>
      <c r="BX55" s="375">
        <f>IF(Tabla1[[#This Row],[Combustible ofertado]]="HFO",Tabla1[[#This Row],[Disponibilidad]],0)</f>
        <v>0</v>
      </c>
      <c r="BY55" s="454">
        <v>1505</v>
      </c>
      <c r="BZ55" s="446">
        <f>'Horo. M'!C56</f>
        <v>24</v>
      </c>
      <c r="CA55" s="446">
        <f>'Horo. M'!E56</f>
        <v>24</v>
      </c>
      <c r="CB55" s="446">
        <f>'Horo. M'!G56</f>
        <v>20</v>
      </c>
      <c r="CC55" s="446">
        <f>'Horo. M'!I56</f>
        <v>24</v>
      </c>
      <c r="CD55" s="446">
        <f>'Horo. M'!K56</f>
        <v>0</v>
      </c>
      <c r="CE55" s="446">
        <f>'Horo. M'!M56</f>
        <v>24</v>
      </c>
      <c r="CF55" s="446">
        <f>'Horo. M'!O56</f>
        <v>24</v>
      </c>
      <c r="CG55" s="446">
        <f>'Horo. M'!Q56</f>
        <v>20</v>
      </c>
      <c r="CH55" s="446">
        <f>'Horo. M'!S56</f>
        <v>24</v>
      </c>
      <c r="CI55" s="446">
        <f>'Horo. M'!U56</f>
        <v>24</v>
      </c>
      <c r="CJ55" s="70">
        <f>Tabla1[[#This Row],[Con. DO Storage '[gal']]]-Tabla1[[#This Row],[C. DO Storage Ge '[gal']]]</f>
        <v>290.58925759396328</v>
      </c>
      <c r="CK55" s="70"/>
      <c r="CL55" s="70"/>
      <c r="CM55" s="372">
        <f>Tabla1[[#This Row],[Con. DO Total '[gal']]]*131485.5/(1000000)</f>
        <v>357.76838222047451</v>
      </c>
    </row>
    <row r="56" spans="1:91" s="5" customFormat="1" ht="15" customHeight="1">
      <c r="A56" s="362">
        <v>44981</v>
      </c>
      <c r="B56" s="363" t="str">
        <f>TEXT(Tabla1[[#This Row],[Fecha]],"mmmm")</f>
        <v>febrero</v>
      </c>
      <c r="C56" s="429">
        <v>0</v>
      </c>
      <c r="D56" s="430">
        <v>1488</v>
      </c>
      <c r="E56" s="430">
        <v>1488</v>
      </c>
      <c r="F56" s="430">
        <v>1514</v>
      </c>
      <c r="G56" s="431">
        <v>0</v>
      </c>
      <c r="H56" s="431">
        <v>0</v>
      </c>
      <c r="I56" s="432">
        <v>0</v>
      </c>
      <c r="J56" s="432">
        <v>0</v>
      </c>
      <c r="K56" s="430">
        <v>24</v>
      </c>
      <c r="L56" s="430">
        <v>24</v>
      </c>
      <c r="M56" s="365">
        <f>Tabla1[[#This Row],[Columna1]]-Tabla1[[#This Row],[PO '[h']]]</f>
        <v>0</v>
      </c>
      <c r="N56" s="365">
        <f t="shared" ref="N56:N92" si="18">F56+H56+J56</f>
        <v>1514</v>
      </c>
      <c r="O56" s="430">
        <v>1514</v>
      </c>
      <c r="P56" s="367">
        <f>Tabla1[[#This Row],[G. HGS 
'[MWh']]]</f>
        <v>1514</v>
      </c>
      <c r="Q56" s="430">
        <v>0</v>
      </c>
      <c r="R56" s="367">
        <v>0</v>
      </c>
      <c r="S56" s="367">
        <f>Tabla1[[#This Row],[G. HGS 
Con Gas]]*1000</f>
        <v>1514000</v>
      </c>
      <c r="T56" s="365">
        <f>Tabla1[[#This Row],[G. HGS 
'[MWh']]]*1000</f>
        <v>1514000</v>
      </c>
      <c r="U56" s="368">
        <f>SUM('G. Un GE'!B56:Y56)</f>
        <v>1501.5897999999997</v>
      </c>
      <c r="V56" s="369">
        <f>Tabla1[[#This Row],[R. GE
'[MWh']]]</f>
        <v>1501.5897999999997</v>
      </c>
      <c r="W56" s="434">
        <v>0</v>
      </c>
      <c r="X56" s="369">
        <v>0</v>
      </c>
      <c r="Y56" s="365">
        <f>Tabla1[[#This Row],[R. GE
'[MWh']]]*1000</f>
        <v>1501589.7999999998</v>
      </c>
      <c r="Z56" s="434">
        <v>39.409999999999997</v>
      </c>
      <c r="AA5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39.409999999999997</v>
      </c>
      <c r="AB56" s="368">
        <f>IF(Tabla1[[#This Row],[G. HGS 
'[MWh']]]=0,0,Tabla1[[#This Row],[G. HGS 
'[MWh']]]+Tabla1[[#This Row],[Con. Aux. '[MWh']2]])</f>
        <v>1553.41</v>
      </c>
      <c r="AC56" s="368">
        <f>'C. ENER. TN'!F56</f>
        <v>0</v>
      </c>
      <c r="AD56" s="370">
        <f>'C. ENER. TN'!G56</f>
        <v>1501.5898000000002</v>
      </c>
      <c r="AE56" s="370">
        <f>'G. Un GE'!AX56</f>
        <v>176.01986507936505</v>
      </c>
      <c r="AF56" s="368">
        <f>IFERROR('G. Un GE'!AX56/Tabla1[[#This Row],[PO '[h']]],0)</f>
        <v>7.3341610449735439</v>
      </c>
      <c r="AG56" s="365">
        <f>'Ar-Pa'!AX56</f>
        <v>2</v>
      </c>
      <c r="AH56" s="365">
        <f>'Ar-Pa'!AY56</f>
        <v>2</v>
      </c>
      <c r="AI56" s="365">
        <f>SUM('Cal. Arr'!AB59:AY59)</f>
        <v>0</v>
      </c>
      <c r="AJ56" s="442">
        <v>0</v>
      </c>
      <c r="AK56" s="442">
        <v>2</v>
      </c>
      <c r="AL56" s="267">
        <f t="shared" si="10"/>
        <v>528.3441047162969</v>
      </c>
      <c r="AM56" s="267">
        <f>+CONVERT(AK56+Tabla1[[#This Row],[Con. DO Storage Gen. '[m3']]],"m^3","gal")</f>
        <v>528.3441047162969</v>
      </c>
      <c r="AN56" s="372">
        <f>SUM('DO Pilot'!B56:Y56)</f>
        <v>7.4600000000000017</v>
      </c>
      <c r="AO56" s="372">
        <f t="shared" si="0"/>
        <v>1970.7235105917878</v>
      </c>
      <c r="AP56" s="267">
        <f>AK56+AN56+Tabla1[[#This Row],[Con. DO Storage Gen. '[m3']]]</f>
        <v>9.4600000000000009</v>
      </c>
      <c r="AQ56" s="372">
        <f t="shared" si="11"/>
        <v>2499.067615308084</v>
      </c>
      <c r="AR56" s="442">
        <v>0</v>
      </c>
      <c r="AS56" s="442">
        <v>10984</v>
      </c>
      <c r="AT56" s="267">
        <f>+CONVERT(SUM(Tabla1[[#This Row],[Repo. DO Storage '[gal']]:[Repo. DO Pilot '[gal']]]),"gal","m3")</f>
        <v>41.578963035455999</v>
      </c>
      <c r="AU56" s="442">
        <v>0</v>
      </c>
      <c r="AV56" s="267">
        <f t="shared" ref="AV56:AV92" si="19">+CONVERT(AU56,"m^3","gal")</f>
        <v>0</v>
      </c>
      <c r="AW56" s="442">
        <v>0</v>
      </c>
      <c r="AX56" s="267">
        <f t="shared" si="2"/>
        <v>0</v>
      </c>
      <c r="AY56" s="372">
        <f t="shared" si="3"/>
        <v>0.34897232808209833</v>
      </c>
      <c r="AZ56" s="372">
        <f>IFERROR(AL56/'Ar-Pa'!AX56,0)</f>
        <v>264.17205235814845</v>
      </c>
      <c r="BA56" s="372">
        <f>IFERROR(AL56/'Ar-Pa'!AY56,0)</f>
        <v>264.17205235814845</v>
      </c>
      <c r="BB56" s="372">
        <f t="shared" si="4"/>
        <v>1.301666783746227</v>
      </c>
      <c r="BC56" s="372">
        <f>IFERROR(AVERAGEIF('DO Pilot'!AX56:BU56,"&gt;0"),0)</f>
        <v>9.6258128370414919</v>
      </c>
      <c r="BD56" s="445">
        <v>404265</v>
      </c>
      <c r="BE56" s="445">
        <v>14310</v>
      </c>
      <c r="BF56" s="445">
        <v>403489</v>
      </c>
      <c r="BG56" s="223">
        <f>Tabla1[[#This Row],[ Re. Gas GC
 '[m3']]]</f>
        <v>403489</v>
      </c>
      <c r="BH56" s="150">
        <f>IFERROR((BG56*Gas!$B$3)/28.31685,0)</f>
        <v>14194.646368504971</v>
      </c>
      <c r="BI56" s="151">
        <f t="shared" ref="BI56:BI92" si="20">BH56-BE56</f>
        <v>-115.35363149502882</v>
      </c>
      <c r="BJ56" s="74">
        <f t="shared" si="12"/>
        <v>-8.1265590209401075E-3</v>
      </c>
      <c r="BK56" s="223">
        <f t="shared" si="6"/>
        <v>9451.7833553500659</v>
      </c>
      <c r="BL56" s="442">
        <v>8847.75</v>
      </c>
      <c r="BM56" s="150">
        <f t="shared" si="7"/>
        <v>9137.733353399919</v>
      </c>
      <c r="BN56" s="150">
        <f t="shared" si="17"/>
        <v>9453.0785761231018</v>
      </c>
      <c r="BO56" s="373">
        <f>IFERROR(Tabla1[[#This Row],[ Re. Gas GC
 '[m3']]]/Tabla1[[#This Row],[G. HGS 
Con Gas '[kWh']]],0)</f>
        <v>0.26650528401585205</v>
      </c>
      <c r="BP56" s="374">
        <f>Tank!Y57</f>
        <v>0</v>
      </c>
      <c r="BQ56" s="70">
        <f>Tank!AP57</f>
        <v>0</v>
      </c>
      <c r="BR56" s="70">
        <f>Tank!V57</f>
        <v>0</v>
      </c>
      <c r="BS56" s="372">
        <f>Tank!T57</f>
        <v>0</v>
      </c>
      <c r="BT56" s="375" t="s">
        <v>228</v>
      </c>
      <c r="BU56" s="449">
        <v>80</v>
      </c>
      <c r="BV56" s="375">
        <f>IF(Tabla1[[#This Row],[Combustible ofertado]]="GAS",Tabla1[[#This Row],[Disponibilidad]],0)</f>
        <v>0</v>
      </c>
      <c r="BW56" s="375">
        <f>IF(Tabla1[[#This Row],[Combustible ofertado]]="DIESEL",Tabla1[[#This Row],[Disponibilidad]],0)</f>
        <v>80</v>
      </c>
      <c r="BX56" s="375">
        <f>IF(Tabla1[[#This Row],[Combustible ofertado]]="HFO",Tabla1[[#This Row],[Disponibilidad]],0)</f>
        <v>0</v>
      </c>
      <c r="BY56" s="454">
        <v>1505</v>
      </c>
      <c r="BZ56" s="446">
        <f>'Horo. M'!C57</f>
        <v>24</v>
      </c>
      <c r="CA56" s="446">
        <f>'Horo. M'!E57</f>
        <v>24</v>
      </c>
      <c r="CB56" s="446">
        <f>'Horo. M'!G57</f>
        <v>20</v>
      </c>
      <c r="CC56" s="446">
        <f>'Horo. M'!I57</f>
        <v>22</v>
      </c>
      <c r="CD56" s="446">
        <f>'Horo. M'!K57</f>
        <v>0</v>
      </c>
      <c r="CE56" s="446">
        <f>'Horo. M'!M57</f>
        <v>23</v>
      </c>
      <c r="CF56" s="446">
        <f>'Horo. M'!O57</f>
        <v>24</v>
      </c>
      <c r="CG56" s="446">
        <f>'Horo. M'!Q57</f>
        <v>17</v>
      </c>
      <c r="CH56" s="446">
        <f>'Horo. M'!S57</f>
        <v>23</v>
      </c>
      <c r="CI56" s="446">
        <f>'Horo. M'!U57</f>
        <v>24</v>
      </c>
      <c r="CJ56" s="70">
        <f>Tabla1[[#This Row],[Con. DO Storage '[gal']]]-Tabla1[[#This Row],[C. DO Storage Ge '[gal']]]</f>
        <v>528.3441047162969</v>
      </c>
      <c r="CK56" s="70"/>
      <c r="CL56" s="70"/>
      <c r="CM56" s="372">
        <f>Tabla1[[#This Row],[Con. DO Total '[gal']]]*131485.5/(1000000)</f>
        <v>328.59115493259105</v>
      </c>
    </row>
    <row r="57" spans="1:91" s="5" customFormat="1" ht="15" customHeight="1">
      <c r="A57" s="362">
        <v>44982</v>
      </c>
      <c r="B57" s="363" t="str">
        <f>TEXT(Tabla1[[#This Row],[Fecha]],"mmmm")</f>
        <v>febrero</v>
      </c>
      <c r="C57" s="429">
        <v>0</v>
      </c>
      <c r="D57" s="430">
        <v>1272</v>
      </c>
      <c r="E57" s="430">
        <v>1272</v>
      </c>
      <c r="F57" s="430">
        <v>1302</v>
      </c>
      <c r="G57" s="431">
        <v>0</v>
      </c>
      <c r="H57" s="431">
        <v>0</v>
      </c>
      <c r="I57" s="432">
        <v>0</v>
      </c>
      <c r="J57" s="432">
        <v>0</v>
      </c>
      <c r="K57" s="430">
        <v>24</v>
      </c>
      <c r="L57" s="430">
        <v>24</v>
      </c>
      <c r="M57" s="365">
        <f>Tabla1[[#This Row],[Columna1]]-Tabla1[[#This Row],[PO '[h']]]</f>
        <v>0</v>
      </c>
      <c r="N57" s="365">
        <f t="shared" si="18"/>
        <v>1302</v>
      </c>
      <c r="O57" s="430">
        <v>1302</v>
      </c>
      <c r="P57" s="367">
        <f>Tabla1[[#This Row],[G. HGS 
'[MWh']]]</f>
        <v>1302</v>
      </c>
      <c r="Q57" s="430">
        <v>0</v>
      </c>
      <c r="R57" s="367">
        <v>0</v>
      </c>
      <c r="S57" s="367">
        <f>Tabla1[[#This Row],[G. HGS 
Con Gas]]*1000</f>
        <v>1302000</v>
      </c>
      <c r="T57" s="365">
        <f>Tabla1[[#This Row],[G. HGS 
'[MWh']]]*1000</f>
        <v>1302000</v>
      </c>
      <c r="U57" s="368">
        <f>SUM('G. Un GE'!B57:Y57)</f>
        <v>1291.3181</v>
      </c>
      <c r="V57" s="369">
        <f>Tabla1[[#This Row],[R. GE
'[MWh']]]</f>
        <v>1291.3181</v>
      </c>
      <c r="W57" s="434">
        <v>0</v>
      </c>
      <c r="X57" s="369">
        <v>0</v>
      </c>
      <c r="Y57" s="365">
        <f>Tabla1[[#This Row],[R. GE
'[MWh']]]*1000</f>
        <v>1291318.0999999999</v>
      </c>
      <c r="Z57" s="434">
        <v>37.54</v>
      </c>
      <c r="AA5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37.54</v>
      </c>
      <c r="AB57" s="368">
        <f>IF(Tabla1[[#This Row],[G. HGS 
'[MWh']]]=0,0,Tabla1[[#This Row],[G. HGS 
'[MWh']]]+Tabla1[[#This Row],[Con. Aux. '[MWh']2]])</f>
        <v>1339.54</v>
      </c>
      <c r="AC57" s="368">
        <f>'C. ENER. TN'!F57</f>
        <v>0</v>
      </c>
      <c r="AD57" s="370">
        <f>'C. ENER. TN'!G57</f>
        <v>1291.3180999999997</v>
      </c>
      <c r="AE57" s="370">
        <f>'G. Un GE'!AX57</f>
        <v>165.44652023809525</v>
      </c>
      <c r="AF57" s="368">
        <f>IFERROR('G. Un GE'!AX57/Tabla1[[#This Row],[PO '[h']]],0)</f>
        <v>6.893605009920635</v>
      </c>
      <c r="AG57" s="365">
        <f>'Ar-Pa'!AX57</f>
        <v>2</v>
      </c>
      <c r="AH57" s="365">
        <f>'Ar-Pa'!AY57</f>
        <v>3</v>
      </c>
      <c r="AI57" s="365">
        <f>SUM('Cal. Arr'!AB60:AY60)</f>
        <v>0</v>
      </c>
      <c r="AJ57" s="442">
        <v>0</v>
      </c>
      <c r="AK57" s="442">
        <v>1</v>
      </c>
      <c r="AL57" s="267">
        <f t="shared" si="10"/>
        <v>264.17205235814845</v>
      </c>
      <c r="AM57" s="267">
        <f>+CONVERT(AK57+Tabla1[[#This Row],[Con. DO Storage Gen. '[m3']]],"m^3","gal")</f>
        <v>264.17205235814845</v>
      </c>
      <c r="AN57" s="372">
        <f>SUM('DO Pilot'!B57:Y57)</f>
        <v>6.7600000000000033</v>
      </c>
      <c r="AO57" s="372">
        <f t="shared" si="0"/>
        <v>1785.8030739410842</v>
      </c>
      <c r="AP57" s="267">
        <f>AK57+AN57+Tabla1[[#This Row],[Con. DO Storage Gen. '[m3']]]</f>
        <v>7.7600000000000033</v>
      </c>
      <c r="AQ57" s="372">
        <f t="shared" si="11"/>
        <v>2049.9751262992327</v>
      </c>
      <c r="AR57" s="442">
        <v>0</v>
      </c>
      <c r="AS57" s="442">
        <v>0</v>
      </c>
      <c r="AT57" s="267">
        <f>+CONVERT(SUM(Tabla1[[#This Row],[Repo. DO Storage '[gal']]:[Repo. DO Pilot '[gal']]]),"gal","m3")</f>
        <v>0</v>
      </c>
      <c r="AU57" s="442">
        <v>0</v>
      </c>
      <c r="AV57" s="267">
        <f t="shared" si="19"/>
        <v>0</v>
      </c>
      <c r="AW57" s="442">
        <v>0</v>
      </c>
      <c r="AX57" s="267">
        <f t="shared" si="2"/>
        <v>0</v>
      </c>
      <c r="AY57" s="372">
        <f t="shared" si="3"/>
        <v>0.20289712162684212</v>
      </c>
      <c r="AZ57" s="372">
        <f>IFERROR(AL57/'Ar-Pa'!AX57,0)</f>
        <v>132.08602617907422</v>
      </c>
      <c r="BA57" s="372">
        <f>IFERROR(AL57/'Ar-Pa'!AY57,0)</f>
        <v>88.057350786049483</v>
      </c>
      <c r="BB57" s="372">
        <f t="shared" si="4"/>
        <v>1.3715845421974533</v>
      </c>
      <c r="BC57" s="372">
        <f>IFERROR(AVERAGEIF('DO Pilot'!AX57:BU57,"&gt;0"),0)</f>
        <v>9.5369255806676829</v>
      </c>
      <c r="BD57" s="445">
        <v>354124</v>
      </c>
      <c r="BE57" s="445">
        <v>12535</v>
      </c>
      <c r="BF57" s="445">
        <v>353130</v>
      </c>
      <c r="BG57" s="223">
        <f>Tabla1[[#This Row],[ Re. Gas GC
 '[m3']]]</f>
        <v>353130</v>
      </c>
      <c r="BH57" s="150">
        <f>IFERROR((BG57*Gas!$B$3)/28.31685,0)</f>
        <v>12423.028811467377</v>
      </c>
      <c r="BI57" s="151">
        <f t="shared" si="20"/>
        <v>-111.97118853262327</v>
      </c>
      <c r="BJ57" s="74">
        <f t="shared" si="12"/>
        <v>-9.0131955927901866E-3</v>
      </c>
      <c r="BK57" s="223">
        <f t="shared" si="6"/>
        <v>9627.4961597542242</v>
      </c>
      <c r="BL57" s="442">
        <v>8985.0400000000009</v>
      </c>
      <c r="BM57" s="150">
        <f t="shared" si="7"/>
        <v>9274.1006699817681</v>
      </c>
      <c r="BN57" s="150">
        <f t="shared" si="17"/>
        <v>9620.4249065101594</v>
      </c>
      <c r="BO57" s="373">
        <f>IFERROR(Tabla1[[#This Row],[ Re. Gas GC
 '[m3']]]/Tabla1[[#This Row],[G. HGS 
Con Gas '[kWh']]],0)</f>
        <v>0.27122119815668205</v>
      </c>
      <c r="BP57" s="374">
        <f>Tank!Y58</f>
        <v>0</v>
      </c>
      <c r="BQ57" s="70">
        <f>Tank!AP58</f>
        <v>0</v>
      </c>
      <c r="BR57" s="70">
        <f>Tank!V58</f>
        <v>0</v>
      </c>
      <c r="BS57" s="372">
        <f>Tank!T58</f>
        <v>0</v>
      </c>
      <c r="BT57" s="375" t="s">
        <v>228</v>
      </c>
      <c r="BU57" s="449">
        <v>71</v>
      </c>
      <c r="BV57" s="375">
        <f>IF(Tabla1[[#This Row],[Combustible ofertado]]="GAS",Tabla1[[#This Row],[Disponibilidad]],0)</f>
        <v>0</v>
      </c>
      <c r="BW57" s="375">
        <f>IF(Tabla1[[#This Row],[Combustible ofertado]]="DIESEL",Tabla1[[#This Row],[Disponibilidad]],0)</f>
        <v>71</v>
      </c>
      <c r="BX57" s="375">
        <f>IF(Tabla1[[#This Row],[Combustible ofertado]]="HFO",Tabla1[[#This Row],[Disponibilidad]],0)</f>
        <v>0</v>
      </c>
      <c r="BY57" s="454">
        <v>1440</v>
      </c>
      <c r="BZ57" s="446">
        <f>'Horo. M'!C58</f>
        <v>24</v>
      </c>
      <c r="CA57" s="446">
        <f>'Horo. M'!E58</f>
        <v>24</v>
      </c>
      <c r="CB57" s="446">
        <f>'Horo. M'!G58</f>
        <v>24</v>
      </c>
      <c r="CC57" s="446">
        <f>'Horo. M'!I58</f>
        <v>21</v>
      </c>
      <c r="CD57" s="446">
        <f>'Horo. M'!K58</f>
        <v>0</v>
      </c>
      <c r="CE57" s="446">
        <f>'Horo. M'!M58</f>
        <v>0</v>
      </c>
      <c r="CF57" s="446">
        <f>'Horo. M'!O58</f>
        <v>24</v>
      </c>
      <c r="CG57" s="446">
        <f>'Horo. M'!Q58</f>
        <v>22</v>
      </c>
      <c r="CH57" s="446">
        <f>'Horo. M'!S58</f>
        <v>24</v>
      </c>
      <c r="CI57" s="446">
        <f>'Horo. M'!U58</f>
        <v>24</v>
      </c>
      <c r="CJ57" s="70">
        <f>Tabla1[[#This Row],[Con. DO Storage '[gal']]]-Tabla1[[#This Row],[C. DO Storage Ge '[gal']]]</f>
        <v>264.17205235814845</v>
      </c>
      <c r="CK57" s="70"/>
      <c r="CL57" s="70"/>
      <c r="CM57" s="372">
        <f>Tabla1[[#This Row],[Con. DO Total '[gal']]]*131485.5/(1000000)</f>
        <v>269.54200446901774</v>
      </c>
    </row>
    <row r="58" spans="1:91" s="5" customFormat="1" ht="15" customHeight="1">
      <c r="A58" s="362">
        <v>44983</v>
      </c>
      <c r="B58" s="363" t="str">
        <f>TEXT(Tabla1[[#This Row],[Fecha]],"mmmm")</f>
        <v>febrero</v>
      </c>
      <c r="C58" s="429">
        <v>0</v>
      </c>
      <c r="D58" s="430">
        <v>1103</v>
      </c>
      <c r="E58" s="430">
        <v>1084</v>
      </c>
      <c r="F58" s="430">
        <v>1112</v>
      </c>
      <c r="G58" s="431">
        <v>0</v>
      </c>
      <c r="H58" s="431">
        <v>0</v>
      </c>
      <c r="I58" s="432">
        <v>0</v>
      </c>
      <c r="J58" s="432">
        <v>0</v>
      </c>
      <c r="K58" s="430">
        <v>22</v>
      </c>
      <c r="L58" s="430">
        <v>24</v>
      </c>
      <c r="M58" s="365">
        <f>Tabla1[[#This Row],[Columna1]]-Tabla1[[#This Row],[PO '[h']]]</f>
        <v>2</v>
      </c>
      <c r="N58" s="365">
        <f t="shared" si="18"/>
        <v>1112</v>
      </c>
      <c r="O58" s="430">
        <v>1112</v>
      </c>
      <c r="P58" s="367">
        <f>Tabla1[[#This Row],[G. HGS 
'[MWh']]]</f>
        <v>1112</v>
      </c>
      <c r="Q58" s="430">
        <v>0</v>
      </c>
      <c r="R58" s="367">
        <v>0</v>
      </c>
      <c r="S58" s="367">
        <f>Tabla1[[#This Row],[G. HGS 
Con Gas]]*1000</f>
        <v>1112000</v>
      </c>
      <c r="T58" s="365">
        <f>Tabla1[[#This Row],[G. HGS 
'[MWh']]]*1000</f>
        <v>1112000</v>
      </c>
      <c r="U58" s="368">
        <f>SUM('G. Un GE'!B58:Y58)</f>
        <v>1101.6325999999999</v>
      </c>
      <c r="V58" s="369">
        <f>Tabla1[[#This Row],[R. GE
'[MWh']]]</f>
        <v>1101.6325999999999</v>
      </c>
      <c r="W58" s="434">
        <v>0</v>
      </c>
      <c r="X58" s="369">
        <v>0</v>
      </c>
      <c r="Y58" s="365">
        <f>Tabla1[[#This Row],[R. GE
'[MWh']]]*1000</f>
        <v>1101632.5999999999</v>
      </c>
      <c r="Z58" s="434">
        <v>35.89</v>
      </c>
      <c r="AA5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34.955300000000001</v>
      </c>
      <c r="AB58" s="368">
        <f>IF(Tabla1[[#This Row],[G. HGS 
'[MWh']]]=0,0,Tabla1[[#This Row],[G. HGS 
'[MWh']]]+Tabla1[[#This Row],[Con. Aux. '[MWh']2]])</f>
        <v>1146.9553000000001</v>
      </c>
      <c r="AC58" s="368">
        <f>'C. ENER. TN'!F58</f>
        <v>0.93470000000000009</v>
      </c>
      <c r="AD58" s="370">
        <f>'C. ENER. TN'!G58</f>
        <v>1101.6326000000001</v>
      </c>
      <c r="AE58" s="370">
        <f>'G. Un GE'!AX58</f>
        <v>151.17575250000002</v>
      </c>
      <c r="AF58" s="368">
        <f>IFERROR('G. Un GE'!AX58/Tabla1[[#This Row],[PO '[h']]],0)</f>
        <v>6.8716251136363642</v>
      </c>
      <c r="AG58" s="365">
        <f>'Ar-Pa'!AX58</f>
        <v>6</v>
      </c>
      <c r="AH58" s="365">
        <f>'Ar-Pa'!AY58</f>
        <v>6</v>
      </c>
      <c r="AI58" s="365">
        <f>SUM('Cal. Arr'!AB61:AY61)</f>
        <v>0</v>
      </c>
      <c r="AJ58" s="442">
        <v>2.2000000000000002</v>
      </c>
      <c r="AK58" s="442">
        <v>0.8</v>
      </c>
      <c r="AL58" s="267">
        <f t="shared" si="10"/>
        <v>211.33764188651872</v>
      </c>
      <c r="AM58" s="267">
        <f>+CONVERT(AK58+Tabla1[[#This Row],[Con. DO Storage Gen. '[m3']]],"m^3","gal")</f>
        <v>792.51615707444523</v>
      </c>
      <c r="AN58" s="372">
        <f>SUM('DO Pilot'!B58:Y58)</f>
        <v>5.8400000000000016</v>
      </c>
      <c r="AO58" s="372">
        <f t="shared" si="0"/>
        <v>1542.7647857715872</v>
      </c>
      <c r="AP58" s="267">
        <f>AK58+AN58+Tabla1[[#This Row],[Con. DO Storage Gen. '[m3']]]</f>
        <v>8.8400000000000016</v>
      </c>
      <c r="AQ58" s="372">
        <f t="shared" si="11"/>
        <v>2335.2809428460328</v>
      </c>
      <c r="AR58" s="442">
        <v>0</v>
      </c>
      <c r="AS58" s="442">
        <v>0</v>
      </c>
      <c r="AT58" s="267">
        <f>+CONVERT(SUM(Tabla1[[#This Row],[Repo. DO Storage '[gal']]:[Repo. DO Pilot '[gal']]]),"gal","m3")</f>
        <v>0</v>
      </c>
      <c r="AU58" s="442">
        <v>0</v>
      </c>
      <c r="AV58" s="267">
        <f t="shared" si="19"/>
        <v>0</v>
      </c>
      <c r="AW58" s="442">
        <v>0</v>
      </c>
      <c r="AX58" s="267">
        <f t="shared" si="2"/>
        <v>0</v>
      </c>
      <c r="AY58" s="372">
        <f t="shared" si="3"/>
        <v>0.19005183622888375</v>
      </c>
      <c r="AZ58" s="372">
        <f>IFERROR(AL58/'Ar-Pa'!AX58,0)</f>
        <v>35.222940314419787</v>
      </c>
      <c r="BA58" s="372">
        <f>IFERROR(AL58/'Ar-Pa'!AY58,0)</f>
        <v>35.222940314419787</v>
      </c>
      <c r="BB58" s="372">
        <f t="shared" si="4"/>
        <v>1.3873784044708517</v>
      </c>
      <c r="BC58" s="372">
        <f>IFERROR(AVERAGEIF('DO Pilot'!AX58:BU58,"&gt;0"),0)</f>
        <v>8.8001004564564358</v>
      </c>
      <c r="BD58" s="445">
        <v>302233</v>
      </c>
      <c r="BE58" s="445">
        <v>10699</v>
      </c>
      <c r="BF58" s="445">
        <v>301089</v>
      </c>
      <c r="BG58" s="223">
        <f>Tabla1[[#This Row],[ Re. Gas GC
 '[m3']]]</f>
        <v>301089</v>
      </c>
      <c r="BH58" s="150">
        <f>IFERROR((BG58*Gas!$B$3)/28.31685,0)</f>
        <v>10592.238897334979</v>
      </c>
      <c r="BI58" s="151">
        <f t="shared" si="20"/>
        <v>-106.7611026650211</v>
      </c>
      <c r="BJ58" s="74">
        <f t="shared" si="12"/>
        <v>-1.0079181908546486E-2</v>
      </c>
      <c r="BK58" s="223">
        <f t="shared" si="6"/>
        <v>9621.4028776978412</v>
      </c>
      <c r="BL58" s="442">
        <v>8909.98</v>
      </c>
      <c r="BM58" s="150">
        <f t="shared" si="7"/>
        <v>9235.0930305086677</v>
      </c>
      <c r="BN58" s="150">
        <f t="shared" si="17"/>
        <v>9615.0376244629842</v>
      </c>
      <c r="BO58" s="373">
        <f>IFERROR(Tabla1[[#This Row],[ Re. Gas GC
 '[m3']]]/Tabla1[[#This Row],[G. HGS 
Con Gas '[kWh']]],0)</f>
        <v>0.27076348920863308</v>
      </c>
      <c r="BP58" s="374">
        <f>Tank!Y59</f>
        <v>0</v>
      </c>
      <c r="BQ58" s="70">
        <f>Tank!AP59</f>
        <v>0</v>
      </c>
      <c r="BR58" s="70">
        <f>Tank!V59</f>
        <v>0</v>
      </c>
      <c r="BS58" s="372">
        <f>Tank!T59</f>
        <v>0</v>
      </c>
      <c r="BT58" s="375" t="s">
        <v>228</v>
      </c>
      <c r="BU58" s="449">
        <v>71</v>
      </c>
      <c r="BV58" s="375">
        <f>IF(Tabla1[[#This Row],[Combustible ofertado]]="GAS",Tabla1[[#This Row],[Disponibilidad]],0)</f>
        <v>0</v>
      </c>
      <c r="BW58" s="375">
        <f>IF(Tabla1[[#This Row],[Combustible ofertado]]="DIESEL",Tabla1[[#This Row],[Disponibilidad]],0)</f>
        <v>71</v>
      </c>
      <c r="BX58" s="375">
        <f>IF(Tabla1[[#This Row],[Combustible ofertado]]="HFO",Tabla1[[#This Row],[Disponibilidad]],0)</f>
        <v>0</v>
      </c>
      <c r="BY58" s="454">
        <v>1440</v>
      </c>
      <c r="BZ58" s="446">
        <f>'Horo. M'!C59</f>
        <v>23</v>
      </c>
      <c r="CA58" s="446">
        <f>'Horo. M'!E59</f>
        <v>18</v>
      </c>
      <c r="CB58" s="446">
        <f>'Horo. M'!G59</f>
        <v>22</v>
      </c>
      <c r="CC58" s="446">
        <f>'Horo. M'!I59</f>
        <v>22</v>
      </c>
      <c r="CD58" s="446">
        <f>'Horo. M'!K59</f>
        <v>0</v>
      </c>
      <c r="CE58" s="446">
        <f>'Horo. M'!M59</f>
        <v>0</v>
      </c>
      <c r="CF58" s="446">
        <f>'Horo. M'!O59</f>
        <v>19</v>
      </c>
      <c r="CG58" s="446">
        <f>'Horo. M'!Q59</f>
        <v>22</v>
      </c>
      <c r="CH58" s="446">
        <f>'Horo. M'!S59</f>
        <v>24</v>
      </c>
      <c r="CI58" s="446">
        <f>'Horo. M'!U59</f>
        <v>19</v>
      </c>
      <c r="CJ58" s="70">
        <f>Tabla1[[#This Row],[Con. DO Storage '[gal']]]-Tabla1[[#This Row],[C. DO Storage Ge '[gal']]]</f>
        <v>211.33764188651872</v>
      </c>
      <c r="CK58" s="70"/>
      <c r="CL58" s="70"/>
      <c r="CM58" s="372">
        <f>Tabla1[[#This Row],[Con. DO Total '[gal']]]*131485.5/(1000000)</f>
        <v>307.05558241058208</v>
      </c>
    </row>
    <row r="59" spans="1:91" s="5" customFormat="1" ht="15" customHeight="1">
      <c r="A59" s="362">
        <v>44984</v>
      </c>
      <c r="B59" s="363" t="str">
        <f>TEXT(Tabla1[[#This Row],[Fecha]],"mmmm")</f>
        <v>febrero</v>
      </c>
      <c r="C59" s="429">
        <v>0</v>
      </c>
      <c r="D59" s="430">
        <v>1272</v>
      </c>
      <c r="E59" s="430">
        <v>1272</v>
      </c>
      <c r="F59" s="430">
        <v>1297</v>
      </c>
      <c r="G59" s="431">
        <v>0</v>
      </c>
      <c r="H59" s="431">
        <v>0</v>
      </c>
      <c r="I59" s="432">
        <v>0</v>
      </c>
      <c r="J59" s="432">
        <v>0</v>
      </c>
      <c r="K59" s="430">
        <v>24</v>
      </c>
      <c r="L59" s="430">
        <v>24</v>
      </c>
      <c r="M59" s="365">
        <f>Tabla1[[#This Row],[Columna1]]-Tabla1[[#This Row],[PO '[h']]]</f>
        <v>0</v>
      </c>
      <c r="N59" s="365">
        <f t="shared" si="18"/>
        <v>1297</v>
      </c>
      <c r="O59" s="430">
        <v>1297</v>
      </c>
      <c r="P59" s="367">
        <f>Tabla1[[#This Row],[G. HGS 
'[MWh']]]</f>
        <v>1297</v>
      </c>
      <c r="Q59" s="430">
        <v>0</v>
      </c>
      <c r="R59" s="367">
        <v>0</v>
      </c>
      <c r="S59" s="367">
        <f>Tabla1[[#This Row],[G. HGS 
Con Gas]]*1000</f>
        <v>1297000</v>
      </c>
      <c r="T59" s="365">
        <f>Tabla1[[#This Row],[G. HGS 
'[MWh']]]*1000</f>
        <v>1297000</v>
      </c>
      <c r="U59" s="368">
        <f>SUM('G. Un GE'!B59:Y59)</f>
        <v>1286.3764000000001</v>
      </c>
      <c r="V59" s="369">
        <f>Tabla1[[#This Row],[R. GE
'[MWh']]]</f>
        <v>1286.3764000000001</v>
      </c>
      <c r="W59" s="434">
        <v>0</v>
      </c>
      <c r="X59" s="369">
        <v>0</v>
      </c>
      <c r="Y59" s="365">
        <f>Tabla1[[#This Row],[R. GE
'[MWh']]]*1000</f>
        <v>1286376.4000000001</v>
      </c>
      <c r="Z59" s="434">
        <v>38.61</v>
      </c>
      <c r="AA5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38.61</v>
      </c>
      <c r="AB59" s="368">
        <f>IF(Tabla1[[#This Row],[G. HGS 
'[MWh']]]=0,0,Tabla1[[#This Row],[G. HGS 
'[MWh']]]+Tabla1[[#This Row],[Con. Aux. '[MWh']2]])</f>
        <v>1335.61</v>
      </c>
      <c r="AC59" s="368">
        <f>'C. ENER. TN'!F59</f>
        <v>0</v>
      </c>
      <c r="AD59" s="370">
        <f>'C. ENER. TN'!G59</f>
        <v>1286.3763999999999</v>
      </c>
      <c r="AE59" s="370">
        <f>'G. Un GE'!AX59</f>
        <v>163.61733392857144</v>
      </c>
      <c r="AF59" s="368">
        <f>IFERROR('G. Un GE'!AX59/Tabla1[[#This Row],[PO '[h']]],0)</f>
        <v>6.8173889136904764</v>
      </c>
      <c r="AG59" s="365">
        <f>'Ar-Pa'!AX59</f>
        <v>1</v>
      </c>
      <c r="AH59" s="365">
        <f>'Ar-Pa'!AY59</f>
        <v>1</v>
      </c>
      <c r="AI59" s="365">
        <f>SUM('Cal. Arr'!AB62:AY62)</f>
        <v>0</v>
      </c>
      <c r="AJ59" s="442">
        <v>0</v>
      </c>
      <c r="AK59" s="442">
        <v>1.5</v>
      </c>
      <c r="AL59" s="267">
        <f t="shared" si="10"/>
        <v>396.25807853722262</v>
      </c>
      <c r="AM59" s="267">
        <f>+CONVERT(AK59+Tabla1[[#This Row],[Con. DO Storage Gen. '[m3']]],"m^3","gal")</f>
        <v>396.25807853722262</v>
      </c>
      <c r="AN59" s="372">
        <f>SUM('DO Pilot'!B59:Y59)</f>
        <v>6.6200000000000019</v>
      </c>
      <c r="AO59" s="372">
        <f t="shared" si="0"/>
        <v>1748.8189866109431</v>
      </c>
      <c r="AP59" s="267">
        <f>AK59+AN59+Tabla1[[#This Row],[Con. DO Storage Gen. '[m3']]]</f>
        <v>8.120000000000001</v>
      </c>
      <c r="AQ59" s="372">
        <f t="shared" si="11"/>
        <v>2145.0770651481653</v>
      </c>
      <c r="AR59" s="442">
        <v>0</v>
      </c>
      <c r="AS59" s="442">
        <v>0</v>
      </c>
      <c r="AT59" s="267">
        <f>+CONVERT(SUM(Tabla1[[#This Row],[Repo. DO Storage '[gal']]:[Repo. DO Pilot '[gal']]]),"gal","m3")</f>
        <v>0</v>
      </c>
      <c r="AU59" s="442">
        <v>0</v>
      </c>
      <c r="AV59" s="267">
        <f t="shared" si="19"/>
        <v>0</v>
      </c>
      <c r="AW59" s="442">
        <v>0</v>
      </c>
      <c r="AX59" s="267">
        <f t="shared" si="2"/>
        <v>0</v>
      </c>
      <c r="AY59" s="372">
        <f t="shared" si="3"/>
        <v>0.30551895029855253</v>
      </c>
      <c r="AZ59" s="372">
        <f>IFERROR(AL59/'Ar-Pa'!AX59,0)</f>
        <v>396.25807853722262</v>
      </c>
      <c r="BA59" s="372">
        <f>IFERROR(AL59/'Ar-Pa'!AY59,0)</f>
        <v>396.25807853722262</v>
      </c>
      <c r="BB59" s="372">
        <f t="shared" si="4"/>
        <v>1.3483569673176121</v>
      </c>
      <c r="BC59" s="372">
        <f>IFERROR(AVERAGEIF('DO Pilot'!AX59:BU59,"&gt;0"),0)</f>
        <v>9.2696086229243182</v>
      </c>
      <c r="BD59" s="445">
        <v>352080</v>
      </c>
      <c r="BE59" s="445">
        <v>12463</v>
      </c>
      <c r="BF59" s="445">
        <v>351722</v>
      </c>
      <c r="BG59" s="223">
        <f>Tabla1[[#This Row],[ Re. Gas GC
 '[m3']]]</f>
        <v>351722</v>
      </c>
      <c r="BH59" s="150">
        <f>IFERROR((BG59*Gas!$B$3)/28.31685,0)</f>
        <v>12373.49570873879</v>
      </c>
      <c r="BI59" s="151">
        <f t="shared" si="20"/>
        <v>-89.504291261209801</v>
      </c>
      <c r="BJ59" s="74">
        <f t="shared" si="12"/>
        <v>-7.2335493031284066E-3</v>
      </c>
      <c r="BK59" s="223">
        <f t="shared" si="6"/>
        <v>9609.097918272937</v>
      </c>
      <c r="BL59" s="442">
        <v>8877.18</v>
      </c>
      <c r="BM59" s="150">
        <f t="shared" si="7"/>
        <v>9264.302984208558</v>
      </c>
      <c r="BN59" s="150">
        <f t="shared" si="17"/>
        <v>9618.8764880471917</v>
      </c>
      <c r="BO59" s="373">
        <f>IFERROR(Tabla1[[#This Row],[ Re. Gas GC
 '[m3']]]/Tabla1[[#This Row],[G. HGS 
Con Gas '[kWh']]],0)</f>
        <v>0.27118118735543562</v>
      </c>
      <c r="BP59" s="374">
        <f>Tank!Y60</f>
        <v>0</v>
      </c>
      <c r="BQ59" s="70">
        <f>Tank!AP60</f>
        <v>30.42</v>
      </c>
      <c r="BR59" s="70">
        <f>Tank!V60</f>
        <v>0</v>
      </c>
      <c r="BS59" s="372">
        <f>Tank!T60</f>
        <v>0</v>
      </c>
      <c r="BT59" s="375" t="s">
        <v>228</v>
      </c>
      <c r="BU59" s="449">
        <v>71</v>
      </c>
      <c r="BV59" s="375">
        <f>IF(Tabla1[[#This Row],[Combustible ofertado]]="GAS",Tabla1[[#This Row],[Disponibilidad]],0)</f>
        <v>0</v>
      </c>
      <c r="BW59" s="375">
        <f>IF(Tabla1[[#This Row],[Combustible ofertado]]="DIESEL",Tabla1[[#This Row],[Disponibilidad]],0)</f>
        <v>71</v>
      </c>
      <c r="BX59" s="375">
        <f>IF(Tabla1[[#This Row],[Combustible ofertado]]="HFO",Tabla1[[#This Row],[Disponibilidad]],0)</f>
        <v>0</v>
      </c>
      <c r="BY59" s="454">
        <v>1440</v>
      </c>
      <c r="BZ59" s="446">
        <f>'Horo. M'!C60</f>
        <v>19</v>
      </c>
      <c r="CA59" s="446">
        <f>'Horo. M'!E60</f>
        <v>24</v>
      </c>
      <c r="CB59" s="446">
        <f>'Horo. M'!G60</f>
        <v>24</v>
      </c>
      <c r="CC59" s="446">
        <f>'Horo. M'!I60</f>
        <v>24</v>
      </c>
      <c r="CD59" s="446">
        <f>'Horo. M'!K60</f>
        <v>0</v>
      </c>
      <c r="CE59" s="446">
        <f>'Horo. M'!M60</f>
        <v>0</v>
      </c>
      <c r="CF59" s="446">
        <f>'Horo. M'!O60</f>
        <v>23</v>
      </c>
      <c r="CG59" s="446">
        <f>'Horo. M'!Q60</f>
        <v>24</v>
      </c>
      <c r="CH59" s="446">
        <f>'Horo. M'!S60</f>
        <v>24</v>
      </c>
      <c r="CI59" s="446">
        <f>'Horo. M'!U60</f>
        <v>24</v>
      </c>
      <c r="CJ59" s="70">
        <f>Tabla1[[#This Row],[Con. DO Storage '[gal']]]-Tabla1[[#This Row],[C. DO Storage Ge '[gal']]]</f>
        <v>396.25807853722262</v>
      </c>
      <c r="CK59" s="70"/>
      <c r="CL59" s="70"/>
      <c r="CM59" s="372">
        <f>Tabla1[[#This Row],[Con. DO Total '[gal']]]*131485.5/(1000000)</f>
        <v>282.04653044953909</v>
      </c>
    </row>
    <row r="60" spans="1:91" s="5" customFormat="1" ht="15" customHeight="1">
      <c r="A60" s="362">
        <v>44985</v>
      </c>
      <c r="B60" s="363" t="str">
        <f>TEXT(Tabla1[[#This Row],[Fecha]],"mmmm")</f>
        <v>febrero</v>
      </c>
      <c r="C60" s="429">
        <v>0</v>
      </c>
      <c r="D60" s="430">
        <v>1272</v>
      </c>
      <c r="E60" s="430">
        <v>1272</v>
      </c>
      <c r="F60" s="430">
        <v>1301</v>
      </c>
      <c r="G60" s="431">
        <v>0</v>
      </c>
      <c r="H60" s="431">
        <v>0</v>
      </c>
      <c r="I60" s="432">
        <v>0</v>
      </c>
      <c r="J60" s="432">
        <v>0</v>
      </c>
      <c r="K60" s="430">
        <v>24</v>
      </c>
      <c r="L60" s="430">
        <v>24</v>
      </c>
      <c r="M60" s="365">
        <f>Tabla1[[#This Row],[Columna1]]-Tabla1[[#This Row],[PO '[h']]]</f>
        <v>0</v>
      </c>
      <c r="N60" s="365">
        <f t="shared" si="18"/>
        <v>1301</v>
      </c>
      <c r="O60" s="430">
        <v>1301</v>
      </c>
      <c r="P60" s="367">
        <f>Tabla1[[#This Row],[G. HGS 
'[MWh']]]</f>
        <v>1301</v>
      </c>
      <c r="Q60" s="430">
        <v>0</v>
      </c>
      <c r="R60" s="367">
        <v>0</v>
      </c>
      <c r="S60" s="367">
        <f>Tabla1[[#This Row],[G. HGS 
Con Gas]]*1000</f>
        <v>1301000</v>
      </c>
      <c r="T60" s="365">
        <f>Tabla1[[#This Row],[G. HGS 
'[MWh']]]*1000</f>
        <v>1301000</v>
      </c>
      <c r="U60" s="368">
        <f>SUM('G. Un GE'!B60:Y60)</f>
        <v>1289.8073999999997</v>
      </c>
      <c r="V60" s="369">
        <f>Tabla1[[#This Row],[R. GE
'[MWh']]]</f>
        <v>1289.8073999999997</v>
      </c>
      <c r="W60" s="434">
        <v>0</v>
      </c>
      <c r="X60" s="369">
        <v>0</v>
      </c>
      <c r="Y60" s="365">
        <f>Tabla1[[#This Row],[R. GE
'[MWh']]]*1000</f>
        <v>1289807.3999999997</v>
      </c>
      <c r="Z60" s="434">
        <v>38.07</v>
      </c>
      <c r="AA6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38.07</v>
      </c>
      <c r="AB60" s="368">
        <f>IF(Tabla1[[#This Row],[G. HGS 
'[MWh']]]=0,0,Tabla1[[#This Row],[G. HGS 
'[MWh']]]+Tabla1[[#This Row],[Con. Aux. '[MWh']2]])</f>
        <v>1339.07</v>
      </c>
      <c r="AC60" s="368">
        <f>'C. ENER. TN'!F60</f>
        <v>0</v>
      </c>
      <c r="AD60" s="370">
        <f>'C. ENER. TN'!G60</f>
        <v>1289.8073999999999</v>
      </c>
      <c r="AE60" s="370">
        <f>'G. Un GE'!AX60</f>
        <v>164.09346428571428</v>
      </c>
      <c r="AF60" s="368">
        <f>IFERROR('G. Un GE'!AX60/Tabla1[[#This Row],[PO '[h']]],0)</f>
        <v>6.8372276785714279</v>
      </c>
      <c r="AG60" s="365">
        <f>'Ar-Pa'!AX60</f>
        <v>1</v>
      </c>
      <c r="AH60" s="365">
        <f>'Ar-Pa'!AY60</f>
        <v>1</v>
      </c>
      <c r="AI60" s="365">
        <f>SUM('Cal. Arr'!AB63:AY63)</f>
        <v>0</v>
      </c>
      <c r="AJ60" s="442">
        <v>0</v>
      </c>
      <c r="AK60" s="442">
        <v>1.8</v>
      </c>
      <c r="AL60" s="267">
        <f t="shared" si="10"/>
        <v>475.50969424466717</v>
      </c>
      <c r="AM60" s="267">
        <f>+CONVERT(AK60+Tabla1[[#This Row],[Con. DO Storage Gen. '[m3']]],"m^3","gal")</f>
        <v>475.50969424466717</v>
      </c>
      <c r="AN60" s="372">
        <f>SUM('DO Pilot'!B60:Y60)</f>
        <v>6.7600000000000025</v>
      </c>
      <c r="AO60" s="372">
        <f t="shared" si="0"/>
        <v>1785.803073941084</v>
      </c>
      <c r="AP60" s="267">
        <f>AK60+AN60+Tabla1[[#This Row],[Con. DO Storage Gen. '[m3']]]</f>
        <v>8.5600000000000023</v>
      </c>
      <c r="AQ60" s="372">
        <f t="shared" si="11"/>
        <v>2261.3127681857509</v>
      </c>
      <c r="AR60" s="442">
        <v>0</v>
      </c>
      <c r="AS60" s="442">
        <v>0</v>
      </c>
      <c r="AT60" s="267">
        <f>+CONVERT(SUM(Tabla1[[#This Row],[Repo. DO Storage '[gal']]:[Repo. DO Pilot '[gal']]]),"gal","m3")</f>
        <v>0</v>
      </c>
      <c r="AU60" s="442">
        <v>0</v>
      </c>
      <c r="AV60" s="267">
        <f t="shared" si="19"/>
        <v>0</v>
      </c>
      <c r="AW60" s="442">
        <v>0</v>
      </c>
      <c r="AX60" s="267">
        <f t="shared" si="2"/>
        <v>0</v>
      </c>
      <c r="AY60" s="372">
        <f t="shared" si="3"/>
        <v>0.36549553746707697</v>
      </c>
      <c r="AZ60" s="372">
        <f>IFERROR(AL60/'Ar-Pa'!AX60,0)</f>
        <v>475.50969424466717</v>
      </c>
      <c r="BA60" s="372">
        <f>IFERROR(AL60/'Ar-Pa'!AY60,0)</f>
        <v>475.50969424466717</v>
      </c>
      <c r="BB60" s="372">
        <f t="shared" si="4"/>
        <v>1.3726387962652451</v>
      </c>
      <c r="BC60" s="372">
        <f>IFERROR(AVERAGEIF('DO Pilot'!AX60:BU60,"&gt;0"),0)</f>
        <v>9.4681307753660811</v>
      </c>
      <c r="BD60" s="445">
        <v>351049</v>
      </c>
      <c r="BE60" s="445">
        <v>12427</v>
      </c>
      <c r="BF60" s="445">
        <v>351031</v>
      </c>
      <c r="BG60" s="223">
        <f>Tabla1[[#This Row],[ Re. Gas GC
 '[m3']]]</f>
        <v>351031</v>
      </c>
      <c r="BH60" s="150">
        <f>IFERROR((BG60*Gas!$B$3)/28.31685,0)</f>
        <v>12349.186494260484</v>
      </c>
      <c r="BI60" s="151">
        <f t="shared" si="20"/>
        <v>-77.813505739515676</v>
      </c>
      <c r="BJ60" s="74">
        <f t="shared" si="12"/>
        <v>-6.3011037832881511E-3</v>
      </c>
      <c r="BK60" s="223">
        <f t="shared" si="6"/>
        <v>9551.8831667947743</v>
      </c>
      <c r="BL60" s="442">
        <v>8994.7199999999993</v>
      </c>
      <c r="BM60" s="150">
        <f t="shared" si="7"/>
        <v>9222.2113065489375</v>
      </c>
      <c r="BN60" s="150">
        <f t="shared" si="17"/>
        <v>9574.4422727459059</v>
      </c>
      <c r="BO60" s="373">
        <f>IFERROR(Tabla1[[#This Row],[ Re. Gas GC
 '[m3']]]/Tabla1[[#This Row],[G. HGS 
Con Gas '[kWh']]],0)</f>
        <v>0.26981629515757111</v>
      </c>
      <c r="BP60" s="374">
        <f>Tank!Y61</f>
        <v>0</v>
      </c>
      <c r="BQ60" s="70">
        <f>Tank!AP61</f>
        <v>20.43</v>
      </c>
      <c r="BR60" s="70">
        <f>Tank!V61</f>
        <v>0</v>
      </c>
      <c r="BS60" s="372">
        <f>Tank!T61</f>
        <v>0</v>
      </c>
      <c r="BT60" s="375" t="s">
        <v>228</v>
      </c>
      <c r="BU60" s="449">
        <v>71</v>
      </c>
      <c r="BV60" s="375">
        <f>IF(Tabla1[[#This Row],[Combustible ofertado]]="GAS",Tabla1[[#This Row],[Disponibilidad]],0)</f>
        <v>0</v>
      </c>
      <c r="BW60" s="375">
        <f>IF(Tabla1[[#This Row],[Combustible ofertado]]="DIESEL",Tabla1[[#This Row],[Disponibilidad]],0)</f>
        <v>71</v>
      </c>
      <c r="BX60" s="375">
        <f>IF(Tabla1[[#This Row],[Combustible ofertado]]="HFO",Tabla1[[#This Row],[Disponibilidad]],0)</f>
        <v>0</v>
      </c>
      <c r="BY60" s="454">
        <v>1440</v>
      </c>
      <c r="BZ60" s="446">
        <f>'Horo. M'!C61</f>
        <v>24</v>
      </c>
      <c r="CA60" s="446">
        <f>'Horo. M'!E61</f>
        <v>21</v>
      </c>
      <c r="CB60" s="446">
        <f>'Horo. M'!G61</f>
        <v>24</v>
      </c>
      <c r="CC60" s="446">
        <f>'Horo. M'!I61</f>
        <v>24</v>
      </c>
      <c r="CD60" s="446">
        <f>'Horo. M'!K61</f>
        <v>0</v>
      </c>
      <c r="CE60" s="446">
        <f>'Horo. M'!M61</f>
        <v>25</v>
      </c>
      <c r="CF60" s="446">
        <f>'Horo. M'!O61</f>
        <v>23</v>
      </c>
      <c r="CG60" s="446">
        <f>'Horo. M'!Q61</f>
        <v>0</v>
      </c>
      <c r="CH60" s="446">
        <f>'Horo. M'!S61</f>
        <v>24</v>
      </c>
      <c r="CI60" s="446">
        <f>'Horo. M'!U61</f>
        <v>24</v>
      </c>
      <c r="CJ60" s="70">
        <f>Tabla1[[#This Row],[Con. DO Storage '[gal']]]-Tabla1[[#This Row],[C. DO Storage Ge '[gal']]]</f>
        <v>475.50969424466717</v>
      </c>
      <c r="CK60" s="70"/>
      <c r="CL60" s="70"/>
      <c r="CM60" s="372">
        <f>Tabla1[[#This Row],[Con. DO Total '[gal']]]*131485.5/(1000000)</f>
        <v>297.32983998128753</v>
      </c>
    </row>
    <row r="61" spans="1:91" s="5" customFormat="1" ht="15" customHeight="1">
      <c r="A61" s="362">
        <v>44986</v>
      </c>
      <c r="B61" s="363" t="str">
        <f>TEXT(Tabla1[[#This Row],[Fecha]],"mmmm")</f>
        <v>marzo</v>
      </c>
      <c r="C61" s="429">
        <v>0</v>
      </c>
      <c r="D61" s="430">
        <v>978</v>
      </c>
      <c r="E61" s="430">
        <v>978</v>
      </c>
      <c r="F61" s="430">
        <v>1352</v>
      </c>
      <c r="G61" s="431">
        <v>7</v>
      </c>
      <c r="H61" s="431">
        <v>742</v>
      </c>
      <c r="I61" s="432">
        <v>3</v>
      </c>
      <c r="J61" s="432">
        <v>213</v>
      </c>
      <c r="K61" s="430">
        <v>20</v>
      </c>
      <c r="L61" s="430">
        <v>24</v>
      </c>
      <c r="M61" s="365">
        <f>Tabla1[[#This Row],[Columna1]]-Tabla1[[#This Row],[PO '[h']]]</f>
        <v>4</v>
      </c>
      <c r="N61" s="365">
        <f t="shared" si="18"/>
        <v>2307</v>
      </c>
      <c r="O61" s="430">
        <v>1352</v>
      </c>
      <c r="P61" s="367">
        <f>Tabla1[[#This Row],[G. HGS 
'[MWh']]]</f>
        <v>1352</v>
      </c>
      <c r="Q61" s="430">
        <v>0</v>
      </c>
      <c r="R61" s="367">
        <v>0</v>
      </c>
      <c r="S61" s="367">
        <f>Tabla1[[#This Row],[G. HGS 
Con Gas]]*1000</f>
        <v>1352000</v>
      </c>
      <c r="T61" s="365">
        <f>Tabla1[[#This Row],[G. HGS 
'[MWh']]]*1000</f>
        <v>1352000</v>
      </c>
      <c r="U61" s="368">
        <f>SUM('G. Un GE'!B61:Y61)</f>
        <v>1341.0007000000001</v>
      </c>
      <c r="V61" s="369">
        <f>Tabla1[[#This Row],[R. GE
'[MWh']]]</f>
        <v>1341.0007000000001</v>
      </c>
      <c r="W61" s="434">
        <v>0</v>
      </c>
      <c r="X61" s="369">
        <v>0</v>
      </c>
      <c r="Y61" s="365">
        <f>Tabla1[[#This Row],[R. GE
'[MWh']]]*1000</f>
        <v>1341000.7</v>
      </c>
      <c r="Z61" s="434">
        <v>37.14</v>
      </c>
      <c r="AA6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37.14</v>
      </c>
      <c r="AB61" s="368">
        <f>IF(Tabla1[[#This Row],[G. HGS 
'[MWh']]]=0,0,Tabla1[[#This Row],[G. HGS 
'[MWh']]]+Tabla1[[#This Row],[Con. Aux. '[MWh']2]])</f>
        <v>1389.14</v>
      </c>
      <c r="AC61" s="368">
        <f>'C. ENER. TN'!F61</f>
        <v>0</v>
      </c>
      <c r="AD61" s="370">
        <f>'C. ENER. TN'!G61</f>
        <v>1341.0007000000001</v>
      </c>
      <c r="AE61" s="370">
        <f>'G. Un GE'!AX61</f>
        <v>175.32843214285714</v>
      </c>
      <c r="AF61" s="368">
        <f>IFERROR('G. Un GE'!AX61/Tabla1[[#This Row],[PO '[h']]],0)</f>
        <v>8.7664216071428562</v>
      </c>
      <c r="AG61" s="365">
        <f>'Ar-Pa'!AX61</f>
        <v>1</v>
      </c>
      <c r="AH61" s="365">
        <f>'Ar-Pa'!AY61</f>
        <v>1</v>
      </c>
      <c r="AI61" s="365">
        <f>SUM('Cal. Arr'!AB64:AY64)</f>
        <v>0</v>
      </c>
      <c r="AJ61" s="442">
        <v>0</v>
      </c>
      <c r="AK61" s="442">
        <v>1.9</v>
      </c>
      <c r="AL61" s="267">
        <f t="shared" si="10"/>
        <v>501.92689948048201</v>
      </c>
      <c r="AM61" s="267">
        <f>+CONVERT(AK61+Tabla1[[#This Row],[Con. DO Storage Gen. '[m3']]],"m^3","gal")</f>
        <v>501.92689948048201</v>
      </c>
      <c r="AN61" s="372">
        <f>SUM('DO Pilot'!B61:Y61)</f>
        <v>6.419999999999999</v>
      </c>
      <c r="AO61" s="372">
        <f t="shared" si="0"/>
        <v>1695.9845761393126</v>
      </c>
      <c r="AP61" s="267">
        <f>AK61+AN61+Tabla1[[#This Row],[Con. DO Storage Gen. '[m3']]]</f>
        <v>8.3199999999999985</v>
      </c>
      <c r="AQ61" s="372">
        <f t="shared" si="11"/>
        <v>2197.9114756197946</v>
      </c>
      <c r="AR61" s="442">
        <v>10981</v>
      </c>
      <c r="AS61" s="442">
        <v>0</v>
      </c>
      <c r="AT61" s="267">
        <f>+CONVERT(SUM(Tabla1[[#This Row],[Repo. DO Storage '[gal']]:[Repo. DO Pilot '[gal']]]),"gal","m3")</f>
        <v>41.567606800103995</v>
      </c>
      <c r="AU61" s="442">
        <v>0</v>
      </c>
      <c r="AV61" s="267">
        <f t="shared" si="19"/>
        <v>0</v>
      </c>
      <c r="AW61" s="442">
        <v>0</v>
      </c>
      <c r="AX61" s="267">
        <f t="shared" si="2"/>
        <v>0</v>
      </c>
      <c r="AY61" s="372">
        <f t="shared" si="3"/>
        <v>0.37124770671633284</v>
      </c>
      <c r="AZ61" s="372">
        <f>IFERROR(AL61/'Ar-Pa'!AX61,0)</f>
        <v>501.92689948048201</v>
      </c>
      <c r="BA61" s="372">
        <f>IFERROR(AL61/'Ar-Pa'!AY61,0)</f>
        <v>501.92689948048201</v>
      </c>
      <c r="BB61" s="372">
        <f t="shared" si="4"/>
        <v>1.2544264616415033</v>
      </c>
      <c r="BC61" s="372">
        <f>IFERROR(AVERAGEIF('DO Pilot'!AX61:BU61,"&gt;0"),0)</f>
        <v>9.2401251349379141</v>
      </c>
      <c r="BD61" s="445">
        <v>361449</v>
      </c>
      <c r="BE61" s="445">
        <v>12795</v>
      </c>
      <c r="BF61" s="445">
        <v>361436</v>
      </c>
      <c r="BG61" s="223">
        <f>Tabla1[[#This Row],[ Re. Gas GC
 '[m3']]]</f>
        <v>361436</v>
      </c>
      <c r="BH61" s="150">
        <f>IFERROR((BG61*Gas!$B$3)/28.31685,0)</f>
        <v>12715.231901853491</v>
      </c>
      <c r="BI61" s="151">
        <f t="shared" si="20"/>
        <v>-79.768098146509146</v>
      </c>
      <c r="BJ61" s="74">
        <f t="shared" si="12"/>
        <v>-6.2734284960136201E-3</v>
      </c>
      <c r="BK61" s="223">
        <f t="shared" si="6"/>
        <v>9463.7573964497042</v>
      </c>
      <c r="BL61" s="442">
        <v>8887.35</v>
      </c>
      <c r="BM61" s="150">
        <f t="shared" si="7"/>
        <v>9153.3120505157804</v>
      </c>
      <c r="BN61" s="150">
        <f t="shared" si="17"/>
        <v>9481.8980346941571</v>
      </c>
      <c r="BO61" s="373">
        <f>IFERROR(Tabla1[[#This Row],[ Re. Gas GC
 '[m3']]]/Tabla1[[#This Row],[G. HGS 
Con Gas '[kWh']]],0)</f>
        <v>0.26733431952662723</v>
      </c>
      <c r="BP61" s="374">
        <f>Tank!Y62</f>
        <v>0</v>
      </c>
      <c r="BQ61" s="70">
        <f>Tank!AP62</f>
        <v>0</v>
      </c>
      <c r="BR61" s="70">
        <f>Tank!V62</f>
        <v>0</v>
      </c>
      <c r="BS61" s="372">
        <f>Tank!T62</f>
        <v>0</v>
      </c>
      <c r="BT61" s="375" t="s">
        <v>228</v>
      </c>
      <c r="BU61" s="449">
        <v>71</v>
      </c>
      <c r="BV61" s="375">
        <f>IF(Tabla1[[#This Row],[Combustible ofertado]]="GAS",Tabla1[[#This Row],[Disponibilidad]],0)</f>
        <v>0</v>
      </c>
      <c r="BW61" s="375">
        <f>IF(Tabla1[[#This Row],[Combustible ofertado]]="DIESEL",Tabla1[[#This Row],[Disponibilidad]],0)</f>
        <v>71</v>
      </c>
      <c r="BX61" s="375">
        <f>IF(Tabla1[[#This Row],[Combustible ofertado]]="HFO",Tabla1[[#This Row],[Disponibilidad]],0)</f>
        <v>0</v>
      </c>
      <c r="BY61" s="454">
        <v>1440</v>
      </c>
      <c r="BZ61" s="446">
        <f>'Horo. M'!C62</f>
        <v>24</v>
      </c>
      <c r="CA61" s="446">
        <f>'Horo. M'!E62</f>
        <v>24</v>
      </c>
      <c r="CB61" s="446">
        <f>'Horo. M'!G62</f>
        <v>24</v>
      </c>
      <c r="CC61" s="446">
        <f>'Horo. M'!I62</f>
        <v>24</v>
      </c>
      <c r="CD61" s="446">
        <f>'Horo. M'!K62</f>
        <v>0</v>
      </c>
      <c r="CE61" s="446">
        <f>'Horo. M'!M62</f>
        <v>24</v>
      </c>
      <c r="CF61" s="446">
        <f>'Horo. M'!O62</f>
        <v>16</v>
      </c>
      <c r="CG61" s="446">
        <f>'Horo. M'!Q62</f>
        <v>24</v>
      </c>
      <c r="CH61" s="446">
        <f>'Horo. M'!S62</f>
        <v>0</v>
      </c>
      <c r="CI61" s="446">
        <f>'Horo. M'!U62</f>
        <v>24</v>
      </c>
      <c r="CJ61" s="70">
        <f>Tabla1[[#This Row],[Con. DO Storage '[gal']]]-Tabla1[[#This Row],[C. DO Storage Ge '[gal']]]</f>
        <v>501.92689948048201</v>
      </c>
      <c r="CK61" s="70"/>
      <c r="CL61" s="70"/>
      <c r="CM61" s="372">
        <f>Tabla1[[#This Row],[Con. DO Total '[gal']]]*131485.5/(1000000)</f>
        <v>288.99348932760648</v>
      </c>
    </row>
    <row r="62" spans="1:91" s="5" customFormat="1" ht="15" customHeight="1">
      <c r="A62" s="362">
        <v>44987</v>
      </c>
      <c r="B62" s="363" t="str">
        <f>TEXT(Tabla1[[#This Row],[Fecha]],"mmmm")</f>
        <v>marzo</v>
      </c>
      <c r="C62" s="429">
        <v>0</v>
      </c>
      <c r="D62" s="430">
        <v>1272</v>
      </c>
      <c r="E62" s="430">
        <v>1272</v>
      </c>
      <c r="F62" s="430">
        <v>1329</v>
      </c>
      <c r="G62" s="431">
        <v>1</v>
      </c>
      <c r="H62" s="431">
        <v>71</v>
      </c>
      <c r="I62" s="432">
        <v>2</v>
      </c>
      <c r="J62" s="432">
        <v>142</v>
      </c>
      <c r="K62" s="430">
        <v>24</v>
      </c>
      <c r="L62" s="430">
        <v>24</v>
      </c>
      <c r="M62" s="365">
        <f>Tabla1[[#This Row],[Columna1]]-Tabla1[[#This Row],[PO '[h']]]</f>
        <v>0</v>
      </c>
      <c r="N62" s="365">
        <f t="shared" si="18"/>
        <v>1542</v>
      </c>
      <c r="O62" s="430">
        <v>1329</v>
      </c>
      <c r="P62" s="367">
        <f>Tabla1[[#This Row],[G. HGS 
'[MWh']]]</f>
        <v>1329</v>
      </c>
      <c r="Q62" s="430">
        <v>0</v>
      </c>
      <c r="R62" s="367">
        <v>0</v>
      </c>
      <c r="S62" s="367">
        <f>Tabla1[[#This Row],[G. HGS 
Con Gas]]*1000</f>
        <v>1329000</v>
      </c>
      <c r="T62" s="365">
        <f>Tabla1[[#This Row],[G. HGS 
'[MWh']]]*1000</f>
        <v>1329000</v>
      </c>
      <c r="U62" s="368">
        <f>SUM('G. Un GE'!B62:Y62)</f>
        <v>1317.2660000000003</v>
      </c>
      <c r="V62" s="369">
        <f>Tabla1[[#This Row],[R. GE
'[MWh']]]</f>
        <v>1317.2660000000003</v>
      </c>
      <c r="W62" s="434">
        <v>0</v>
      </c>
      <c r="X62" s="369">
        <v>0</v>
      </c>
      <c r="Y62" s="365">
        <f>Tabla1[[#This Row],[R. GE
'[MWh']]]*1000</f>
        <v>1317266.0000000002</v>
      </c>
      <c r="Z62" s="434">
        <v>38.299999999999997</v>
      </c>
      <c r="AA6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38.299999999999997</v>
      </c>
      <c r="AB62" s="368">
        <f>IF(Tabla1[[#This Row],[G. HGS 
'[MWh']]]=0,0,Tabla1[[#This Row],[G. HGS 
'[MWh']]]+Tabla1[[#This Row],[Con. Aux. '[MWh']2]])</f>
        <v>1367.3</v>
      </c>
      <c r="AC62" s="368">
        <f>'C. ENER. TN'!F62</f>
        <v>0</v>
      </c>
      <c r="AD62" s="370">
        <f>'C. ENER. TN'!G62</f>
        <v>1317.2660000000003</v>
      </c>
      <c r="AE62" s="370">
        <f>'G. Un GE'!AX62</f>
        <v>169.41886071428576</v>
      </c>
      <c r="AF62" s="368">
        <f>IFERROR('G. Un GE'!AX62/Tabla1[[#This Row],[PO '[h']]],0)</f>
        <v>7.0591191964285729</v>
      </c>
      <c r="AG62" s="365">
        <f>'Ar-Pa'!AX62</f>
        <v>2</v>
      </c>
      <c r="AH62" s="365">
        <f>'Ar-Pa'!AY62</f>
        <v>2</v>
      </c>
      <c r="AI62" s="365">
        <f>SUM('Cal. Arr'!AB65:AY65)</f>
        <v>0</v>
      </c>
      <c r="AJ62" s="442">
        <v>2.2000000000000002</v>
      </c>
      <c r="AK62" s="442">
        <v>1.4</v>
      </c>
      <c r="AL62" s="267">
        <f t="shared" si="10"/>
        <v>369.84087330140778</v>
      </c>
      <c r="AM62" s="267">
        <f>+CONVERT(AK62+Tabla1[[#This Row],[Con. DO Storage Gen. '[m3']]],"m^3","gal")</f>
        <v>951.01938848933435</v>
      </c>
      <c r="AN62" s="372">
        <f>SUM('DO Pilot'!B62:Y62)</f>
        <v>6.5199999999999978</v>
      </c>
      <c r="AO62" s="372">
        <f t="shared" si="0"/>
        <v>1722.4017813751273</v>
      </c>
      <c r="AP62" s="267">
        <f>AK62+AN62+Tabla1[[#This Row],[Con. DO Storage Gen. '[m3']]]</f>
        <v>10.119999999999997</v>
      </c>
      <c r="AQ62" s="372">
        <f t="shared" si="11"/>
        <v>2673.4211698644617</v>
      </c>
      <c r="AR62" s="442">
        <v>0</v>
      </c>
      <c r="AS62" s="442">
        <v>10998</v>
      </c>
      <c r="AT62" s="267">
        <f>+CONVERT(SUM(Tabla1[[#This Row],[Repo. DO Storage '[gal']]:[Repo. DO Pilot '[gal']]]),"gal","m3")</f>
        <v>41.631958800431995</v>
      </c>
      <c r="AU62" s="442">
        <v>0</v>
      </c>
      <c r="AV62" s="267">
        <f t="shared" si="19"/>
        <v>0</v>
      </c>
      <c r="AW62" s="442">
        <v>0</v>
      </c>
      <c r="AX62" s="267">
        <f t="shared" si="2"/>
        <v>0</v>
      </c>
      <c r="AY62" s="372">
        <f t="shared" si="3"/>
        <v>0.27828508149090125</v>
      </c>
      <c r="AZ62" s="372">
        <f>IFERROR(AL62/'Ar-Pa'!AX62,0)</f>
        <v>184.92043665070389</v>
      </c>
      <c r="BA62" s="372">
        <f>IFERROR(AL62/'Ar-Pa'!AY62,0)</f>
        <v>184.92043665070389</v>
      </c>
      <c r="BB62" s="372">
        <f t="shared" si="4"/>
        <v>1.2960133795147684</v>
      </c>
      <c r="BC62" s="372">
        <f>IFERROR(AVERAGEIF('DO Pilot'!AX62:BU62,"&gt;0"),0)</f>
        <v>9.2302973056091151</v>
      </c>
      <c r="BD62" s="445">
        <v>358252</v>
      </c>
      <c r="BE62" s="445">
        <v>12682</v>
      </c>
      <c r="BF62" s="445">
        <v>355058</v>
      </c>
      <c r="BG62" s="223">
        <f>Tabla1[[#This Row],[ Re. Gas GC
 '[m3']]]</f>
        <v>355058</v>
      </c>
      <c r="BH62" s="150">
        <f>IFERROR((BG62*Gas!$B$3)/28.31685,0)</f>
        <v>12490.855389635501</v>
      </c>
      <c r="BI62" s="151">
        <f>BH62-BE62</f>
        <v>-191.14461036449939</v>
      </c>
      <c r="BJ62" s="74">
        <f>IFERROR(BI62/BH62,0)</f>
        <v>-1.5302763854195676E-2</v>
      </c>
      <c r="BK62" s="223">
        <f t="shared" si="6"/>
        <v>9542.5131677953341</v>
      </c>
      <c r="BL62" s="442">
        <v>8855.61</v>
      </c>
      <c r="BM62" s="150">
        <f t="shared" si="7"/>
        <v>9135.416799265342</v>
      </c>
      <c r="BN62" s="150">
        <f t="shared" si="17"/>
        <v>9482.4093156852887</v>
      </c>
      <c r="BO62" s="373">
        <f>IFERROR(Tabla1[[#This Row],[ Re. Gas GC
 '[m3']]]/Tabla1[[#This Row],[G. HGS 
Con Gas '[kWh']]],0)</f>
        <v>0.2671617757712566</v>
      </c>
      <c r="BP62" s="374">
        <f>Tank!Y63</f>
        <v>0</v>
      </c>
      <c r="BQ62" s="70">
        <f>Tank!AP63</f>
        <v>0</v>
      </c>
      <c r="BR62" s="70">
        <f>Tank!V63</f>
        <v>0</v>
      </c>
      <c r="BS62" s="372">
        <f>Tank!T63</f>
        <v>0</v>
      </c>
      <c r="BT62" s="375" t="s">
        <v>228</v>
      </c>
      <c r="BU62" s="449">
        <v>71</v>
      </c>
      <c r="BV62" s="375">
        <f>IF(Tabla1[[#This Row],[Combustible ofertado]]="GAS",Tabla1[[#This Row],[Disponibilidad]],0)</f>
        <v>0</v>
      </c>
      <c r="BW62" s="375">
        <f>IF(Tabla1[[#This Row],[Combustible ofertado]]="DIESEL",Tabla1[[#This Row],[Disponibilidad]],0)</f>
        <v>71</v>
      </c>
      <c r="BX62" s="375">
        <f>IF(Tabla1[[#This Row],[Combustible ofertado]]="HFO",Tabla1[[#This Row],[Disponibilidad]],0)</f>
        <v>0</v>
      </c>
      <c r="BY62" s="454">
        <v>1440</v>
      </c>
      <c r="BZ62" s="446">
        <f>'Horo. M'!C63</f>
        <v>24</v>
      </c>
      <c r="CA62" s="446">
        <f>'Horo. M'!E63</f>
        <v>24</v>
      </c>
      <c r="CB62" s="446">
        <f>'Horo. M'!G63</f>
        <v>20</v>
      </c>
      <c r="CC62" s="446">
        <f>'Horo. M'!I63</f>
        <v>24</v>
      </c>
      <c r="CD62" s="446">
        <f>'Horo. M'!K63</f>
        <v>0</v>
      </c>
      <c r="CE62" s="446">
        <f>'Horo. M'!M63</f>
        <v>8</v>
      </c>
      <c r="CF62" s="446">
        <f>'Horo. M'!O63</f>
        <v>24</v>
      </c>
      <c r="CG62" s="446">
        <f>'Horo. M'!Q63</f>
        <v>23</v>
      </c>
      <c r="CH62" s="446">
        <f>'Horo. M'!S63</f>
        <v>16</v>
      </c>
      <c r="CI62" s="446">
        <f>'Horo. M'!U63</f>
        <v>24</v>
      </c>
      <c r="CJ62" s="70">
        <f>Tabla1[[#This Row],[Con. DO Storage '[gal']]]-Tabla1[[#This Row],[C. DO Storage Ge '[gal']]]</f>
        <v>369.84087330140778</v>
      </c>
      <c r="CK62" s="70"/>
      <c r="CL62" s="70"/>
      <c r="CM62" s="372">
        <f>Tabla1[[#This Row],[Con. DO Total '[gal']]]*131485.5/(1000000)</f>
        <v>351.51611923021369</v>
      </c>
    </row>
    <row r="63" spans="1:91" s="5" customFormat="1" ht="15" customHeight="1">
      <c r="A63" s="362">
        <v>44988</v>
      </c>
      <c r="B63" s="363" t="str">
        <f>TEXT(Tabla1[[#This Row],[Fecha]],"mmmm")</f>
        <v>marzo</v>
      </c>
      <c r="C63" s="429">
        <v>0</v>
      </c>
      <c r="D63" s="430">
        <v>1272</v>
      </c>
      <c r="E63" s="430">
        <v>1272</v>
      </c>
      <c r="F63" s="430">
        <v>1295</v>
      </c>
      <c r="G63" s="431">
        <v>0</v>
      </c>
      <c r="H63" s="431">
        <v>0</v>
      </c>
      <c r="I63" s="432">
        <v>0</v>
      </c>
      <c r="J63" s="432">
        <v>0</v>
      </c>
      <c r="K63" s="430">
        <v>24</v>
      </c>
      <c r="L63" s="430">
        <v>24</v>
      </c>
      <c r="M63" s="365">
        <f>Tabla1[[#This Row],[Columna1]]-Tabla1[[#This Row],[PO '[h']]]</f>
        <v>0</v>
      </c>
      <c r="N63" s="365">
        <f t="shared" si="18"/>
        <v>1295</v>
      </c>
      <c r="O63" s="430">
        <v>1295</v>
      </c>
      <c r="P63" s="367">
        <f>Tabla1[[#This Row],[G. HGS 
'[MWh']]]</f>
        <v>1295</v>
      </c>
      <c r="Q63" s="430">
        <v>0</v>
      </c>
      <c r="R63" s="367">
        <v>0</v>
      </c>
      <c r="S63" s="367">
        <f>Tabla1[[#This Row],[G. HGS 
Con Gas]]*1000</f>
        <v>1295000</v>
      </c>
      <c r="T63" s="365">
        <f>Tabla1[[#This Row],[G. HGS 
'[MWh']]]*1000</f>
        <v>1295000</v>
      </c>
      <c r="U63" s="368">
        <f>SUM('G. Un GE'!B63:Y63)</f>
        <v>1283.8994999999998</v>
      </c>
      <c r="V63" s="369">
        <f>Tabla1[[#This Row],[R. GE
'[MWh']]]</f>
        <v>1283.8994999999998</v>
      </c>
      <c r="W63" s="434">
        <v>0</v>
      </c>
      <c r="X63" s="369">
        <v>0</v>
      </c>
      <c r="Y63" s="365">
        <f>Tabla1[[#This Row],[R. GE
'[MWh']]]*1000</f>
        <v>1283899.4999999998</v>
      </c>
      <c r="Z63" s="434">
        <v>37.729999999999997</v>
      </c>
      <c r="AA6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37.729999999999997</v>
      </c>
      <c r="AB63" s="368">
        <f>IF(Tabla1[[#This Row],[G. HGS 
'[MWh']]]=0,0,Tabla1[[#This Row],[G. HGS 
'[MWh']]]+Tabla1[[#This Row],[Con. Aux. '[MWh']2]])</f>
        <v>1332.73</v>
      </c>
      <c r="AC63" s="368">
        <f>'C. ENER. TN'!F63</f>
        <v>0</v>
      </c>
      <c r="AD63" s="370">
        <f>'C. ENER. TN'!G63</f>
        <v>1283.8995</v>
      </c>
      <c r="AE63" s="370">
        <f>'G. Un GE'!AX63</f>
        <v>166.45146190476191</v>
      </c>
      <c r="AF63" s="368">
        <f>IFERROR('G. Un GE'!AX63/Tabla1[[#This Row],[PO '[h']]],0)</f>
        <v>6.93547757936508</v>
      </c>
      <c r="AG63" s="365">
        <f>'Ar-Pa'!AX63</f>
        <v>2</v>
      </c>
      <c r="AH63" s="365">
        <f>'Ar-Pa'!AY63</f>
        <v>2</v>
      </c>
      <c r="AI63" s="365">
        <f>SUM('Cal. Arr'!AB66:AY66)</f>
        <v>0</v>
      </c>
      <c r="AJ63" s="442">
        <v>0</v>
      </c>
      <c r="AK63" s="442">
        <v>2.2000000000000002</v>
      </c>
      <c r="AL63" s="267">
        <f t="shared" si="10"/>
        <v>581.17851518792656</v>
      </c>
      <c r="AM63" s="267">
        <f>+CONVERT(AK63+Tabla1[[#This Row],[Con. DO Storage Gen. '[m3']]],"m^3","gal")</f>
        <v>581.17851518792656</v>
      </c>
      <c r="AN63" s="372">
        <f>SUM('DO Pilot'!B63:Y63)</f>
        <v>6.6300000000000017</v>
      </c>
      <c r="AO63" s="372">
        <f t="shared" si="0"/>
        <v>1751.4607071345245</v>
      </c>
      <c r="AP63" s="267">
        <f>AK63+AN63+Tabla1[[#This Row],[Con. DO Storage Gen. '[m3']]]</f>
        <v>8.8300000000000018</v>
      </c>
      <c r="AQ63" s="372">
        <f t="shared" si="11"/>
        <v>2332.6392223224511</v>
      </c>
      <c r="AR63" s="442">
        <v>0</v>
      </c>
      <c r="AS63" s="442">
        <v>0</v>
      </c>
      <c r="AT63" s="267">
        <f>+CONVERT(SUM(Tabla1[[#This Row],[Repo. DO Storage '[gal']]:[Repo. DO Pilot '[gal']]]),"gal","m3")</f>
        <v>0</v>
      </c>
      <c r="AU63" s="442">
        <v>0</v>
      </c>
      <c r="AV63" s="267">
        <f t="shared" si="19"/>
        <v>0</v>
      </c>
      <c r="AW63" s="442">
        <v>0</v>
      </c>
      <c r="AX63" s="267">
        <f t="shared" si="2"/>
        <v>0</v>
      </c>
      <c r="AY63" s="372">
        <f t="shared" si="3"/>
        <v>0.44878649821461508</v>
      </c>
      <c r="AZ63" s="372">
        <f>IFERROR(AL63/'Ar-Pa'!AX63,0)</f>
        <v>290.58925759396328</v>
      </c>
      <c r="BA63" s="372">
        <f>IFERROR(AL63/'Ar-Pa'!AY63,0)</f>
        <v>290.58925759396328</v>
      </c>
      <c r="BB63" s="372">
        <f t="shared" si="4"/>
        <v>1.3524793105285904</v>
      </c>
      <c r="BC63" s="372">
        <f>IFERROR(AVERAGEIF('DO Pilot'!AX63:BU63,"&gt;0"),0)</f>
        <v>9.4569925687934386</v>
      </c>
      <c r="BD63" s="445">
        <v>353051</v>
      </c>
      <c r="BE63" s="445">
        <v>12498</v>
      </c>
      <c r="BF63" s="445">
        <v>350595</v>
      </c>
      <c r="BG63" s="223">
        <f>Tabla1[[#This Row],[ Re. Gas GC
 '[m3']]]</f>
        <v>350595</v>
      </c>
      <c r="BH63" s="150">
        <f>IFERROR((BG63*Gas!$B$3)/28.31685,0)</f>
        <v>12333.848118699643</v>
      </c>
      <c r="BI63" s="151">
        <f t="shared" si="20"/>
        <v>-164.15188130035676</v>
      </c>
      <c r="BJ63" s="74">
        <f t="shared" si="12"/>
        <v>-1.3309056485905819E-2</v>
      </c>
      <c r="BK63" s="223">
        <f t="shared" si="6"/>
        <v>9650.9652509652515</v>
      </c>
      <c r="BL63" s="442">
        <v>8882.8799999999992</v>
      </c>
      <c r="BM63" s="150">
        <f t="shared" si="7"/>
        <v>9254.5737836618391</v>
      </c>
      <c r="BN63" s="150">
        <f t="shared" si="17"/>
        <v>9606.5526302484323</v>
      </c>
      <c r="BO63" s="373">
        <f>IFERROR(Tabla1[[#This Row],[ Re. Gas GC
 '[m3']]]/Tabla1[[#This Row],[G. HGS 
Con Gas '[kWh']]],0)</f>
        <v>0.27072972972972975</v>
      </c>
      <c r="BP63" s="374">
        <f>Tank!Y64</f>
        <v>0</v>
      </c>
      <c r="BQ63" s="70">
        <f>Tank!AP64</f>
        <v>30.9</v>
      </c>
      <c r="BR63" s="70">
        <f>Tank!V64</f>
        <v>0</v>
      </c>
      <c r="BS63" s="372">
        <f>Tank!T64</f>
        <v>0</v>
      </c>
      <c r="BT63" s="375" t="s">
        <v>228</v>
      </c>
      <c r="BU63" s="449">
        <v>71</v>
      </c>
      <c r="BV63" s="375">
        <f>IF(Tabla1[[#This Row],[Combustible ofertado]]="GAS",Tabla1[[#This Row],[Disponibilidad]],0)</f>
        <v>0</v>
      </c>
      <c r="BW63" s="375">
        <f>IF(Tabla1[[#This Row],[Combustible ofertado]]="DIESEL",Tabla1[[#This Row],[Disponibilidad]],0)</f>
        <v>71</v>
      </c>
      <c r="BX63" s="375">
        <f>IF(Tabla1[[#This Row],[Combustible ofertado]]="HFO",Tabla1[[#This Row],[Disponibilidad]],0)</f>
        <v>0</v>
      </c>
      <c r="BY63" s="454">
        <v>1440</v>
      </c>
      <c r="BZ63" s="446">
        <f>'Horo. M'!C64</f>
        <v>24</v>
      </c>
      <c r="CA63" s="446">
        <f>'Horo. M'!E64</f>
        <v>22</v>
      </c>
      <c r="CB63" s="446">
        <f>'Horo. M'!G64</f>
        <v>0</v>
      </c>
      <c r="CC63" s="446">
        <f>'Horo. M'!I64</f>
        <v>24</v>
      </c>
      <c r="CD63" s="446">
        <f>'Horo. M'!K64</f>
        <v>0</v>
      </c>
      <c r="CE63" s="446">
        <f>'Horo. M'!M64</f>
        <v>20</v>
      </c>
      <c r="CF63" s="446">
        <f>'Horo. M'!O64</f>
        <v>23</v>
      </c>
      <c r="CG63" s="446">
        <f>'Horo. M'!Q64</f>
        <v>24</v>
      </c>
      <c r="CH63" s="446">
        <f>'Horo. M'!S64</f>
        <v>24</v>
      </c>
      <c r="CI63" s="446">
        <f>'Horo. M'!U64</f>
        <v>24</v>
      </c>
      <c r="CJ63" s="70">
        <f>Tabla1[[#This Row],[Con. DO Storage '[gal']]]-Tabla1[[#This Row],[C. DO Storage Ge '[gal']]]</f>
        <v>581.17851518792656</v>
      </c>
      <c r="CK63" s="70"/>
      <c r="CL63" s="70"/>
      <c r="CM63" s="372">
        <f>Tabla1[[#This Row],[Con. DO Total '[gal']]]*131485.5/(1000000)</f>
        <v>306.70823446667862</v>
      </c>
    </row>
    <row r="64" spans="1:91" s="5" customFormat="1" ht="15" customHeight="1">
      <c r="A64" s="362">
        <v>44989</v>
      </c>
      <c r="B64" s="363" t="str">
        <f>TEXT(Tabla1[[#This Row],[Fecha]],"mmmm")</f>
        <v>marzo</v>
      </c>
      <c r="C64" s="429">
        <v>0</v>
      </c>
      <c r="D64" s="430">
        <v>1272</v>
      </c>
      <c r="E64" s="430">
        <v>1272</v>
      </c>
      <c r="F64" s="430">
        <v>1301</v>
      </c>
      <c r="G64" s="431">
        <v>0</v>
      </c>
      <c r="H64" s="431">
        <v>0</v>
      </c>
      <c r="I64" s="432">
        <v>0</v>
      </c>
      <c r="J64" s="432">
        <v>0</v>
      </c>
      <c r="K64" s="430">
        <v>24</v>
      </c>
      <c r="L64" s="430">
        <v>24</v>
      </c>
      <c r="M64" s="365">
        <f>Tabla1[[#This Row],[Columna1]]-Tabla1[[#This Row],[PO '[h']]]</f>
        <v>0</v>
      </c>
      <c r="N64" s="365">
        <f t="shared" si="18"/>
        <v>1301</v>
      </c>
      <c r="O64" s="430">
        <v>1301</v>
      </c>
      <c r="P64" s="367">
        <f>Tabla1[[#This Row],[G. HGS 
'[MWh']]]</f>
        <v>1301</v>
      </c>
      <c r="Q64" s="430">
        <v>0</v>
      </c>
      <c r="R64" s="367">
        <v>0</v>
      </c>
      <c r="S64" s="367">
        <f>Tabla1[[#This Row],[G. HGS 
Con Gas]]*1000</f>
        <v>1301000</v>
      </c>
      <c r="T64" s="365">
        <f>Tabla1[[#This Row],[G. HGS 
'[MWh']]]*1000</f>
        <v>1301000</v>
      </c>
      <c r="U64" s="368">
        <f>SUM('G. Un GE'!B64:Y64)</f>
        <v>1290.1676999999997</v>
      </c>
      <c r="V64" s="369">
        <f>Tabla1[[#This Row],[R. GE
'[MWh']]]</f>
        <v>1290.1676999999997</v>
      </c>
      <c r="W64" s="434">
        <v>0</v>
      </c>
      <c r="X64" s="369">
        <v>0</v>
      </c>
      <c r="Y64" s="365">
        <f>Tabla1[[#This Row],[R. GE
'[MWh']]]*1000</f>
        <v>1290167.6999999997</v>
      </c>
      <c r="Z64" s="434">
        <v>37.450000000000003</v>
      </c>
      <c r="AA6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37.450000000000003</v>
      </c>
      <c r="AB64" s="368">
        <f>IF(Tabla1[[#This Row],[G. HGS 
'[MWh']]]=0,0,Tabla1[[#This Row],[G. HGS 
'[MWh']]]+Tabla1[[#This Row],[Con. Aux. '[MWh']2]])</f>
        <v>1338.45</v>
      </c>
      <c r="AC64" s="368">
        <f>'C. ENER. TN'!F64</f>
        <v>0</v>
      </c>
      <c r="AD64" s="370">
        <f>'C. ENER. TN'!G64</f>
        <v>1290.1677000000002</v>
      </c>
      <c r="AE64" s="370">
        <f>'G. Un GE'!AX64</f>
        <v>165.12905714285714</v>
      </c>
      <c r="AF64" s="368">
        <f>IFERROR('G. Un GE'!AX64/Tabla1[[#This Row],[PO '[h']]],0)</f>
        <v>6.8803773809523809</v>
      </c>
      <c r="AG64" s="365">
        <f>'Ar-Pa'!AX64</f>
        <v>2</v>
      </c>
      <c r="AH64" s="365">
        <f>'Ar-Pa'!AY64</f>
        <v>2</v>
      </c>
      <c r="AI64" s="365">
        <f>SUM('Cal. Arr'!AB67:AY67)</f>
        <v>0</v>
      </c>
      <c r="AJ64" s="442">
        <v>0</v>
      </c>
      <c r="AK64" s="442">
        <v>1.3</v>
      </c>
      <c r="AL64" s="267">
        <f t="shared" si="10"/>
        <v>343.42366806559295</v>
      </c>
      <c r="AM64" s="267">
        <f>+CONVERT(AK64+Tabla1[[#This Row],[Con. DO Storage Gen. '[m3']]],"m^3","gal")</f>
        <v>343.42366806559295</v>
      </c>
      <c r="AN64" s="372">
        <f>SUM('DO Pilot'!B64:Y64)</f>
        <v>6.700000000000002</v>
      </c>
      <c r="AO64" s="372">
        <f t="shared" si="0"/>
        <v>1769.9527507995949</v>
      </c>
      <c r="AP64" s="267">
        <f>AK64+AN64+Tabla1[[#This Row],[Con. DO Storage Gen. '[m3']]]</f>
        <v>8.0000000000000018</v>
      </c>
      <c r="AQ64" s="372">
        <f t="shared" si="11"/>
        <v>2113.376418865188</v>
      </c>
      <c r="AR64" s="442">
        <v>0</v>
      </c>
      <c r="AS64" s="442">
        <v>0</v>
      </c>
      <c r="AT64" s="267">
        <f>+CONVERT(SUM(Tabla1[[#This Row],[Repo. DO Storage '[gal']]:[Repo. DO Pilot '[gal']]]),"gal","m3")</f>
        <v>0</v>
      </c>
      <c r="AU64" s="442">
        <v>0</v>
      </c>
      <c r="AV64" s="267">
        <f t="shared" si="19"/>
        <v>0</v>
      </c>
      <c r="AW64" s="442">
        <v>0</v>
      </c>
      <c r="AX64" s="267">
        <f t="shared" si="2"/>
        <v>0</v>
      </c>
      <c r="AY64" s="372">
        <f t="shared" si="3"/>
        <v>0.26396899928177781</v>
      </c>
      <c r="AZ64" s="372">
        <f>IFERROR(AL64/'Ar-Pa'!AX64,0)</f>
        <v>171.71183403279647</v>
      </c>
      <c r="BA64" s="372">
        <f>IFERROR(AL64/'Ar-Pa'!AY64,0)</f>
        <v>171.71183403279647</v>
      </c>
      <c r="BB64" s="372">
        <f t="shared" si="4"/>
        <v>1.3604556116830091</v>
      </c>
      <c r="BC64" s="372">
        <f>IFERROR(AVERAGEIF('DO Pilot'!AX64:BU64,"&gt;0"),0)</f>
        <v>9.4366817215139207</v>
      </c>
      <c r="BD64" s="445">
        <v>356015</v>
      </c>
      <c r="BE64" s="445">
        <v>12602</v>
      </c>
      <c r="BF64" s="445">
        <v>352525</v>
      </c>
      <c r="BG64" s="223">
        <f>Tabla1[[#This Row],[ Re. Gas GC
 '[m3']]]</f>
        <v>352525</v>
      </c>
      <c r="BH64" s="150">
        <f>IFERROR((BG64*Gas!$B$3)/28.31685,0)</f>
        <v>12401.745056388687</v>
      </c>
      <c r="BI64" s="151">
        <f t="shared" si="20"/>
        <v>-200.25494361131314</v>
      </c>
      <c r="BJ64" s="74">
        <f t="shared" si="12"/>
        <v>-1.6147319808687163E-2</v>
      </c>
      <c r="BK64" s="223">
        <f t="shared" si="6"/>
        <v>9686.3950807071487</v>
      </c>
      <c r="BL64" s="442">
        <v>8904.25</v>
      </c>
      <c r="BM64" s="150">
        <f t="shared" si="7"/>
        <v>9265.7514710214709</v>
      </c>
      <c r="BN64" s="150">
        <f t="shared" si="17"/>
        <v>9612.5062318555083</v>
      </c>
      <c r="BO64" s="373">
        <f>IFERROR(Tabla1[[#This Row],[ Re. Gas GC
 '[m3']]]/Tabla1[[#This Row],[G. HGS 
Con Gas '[kWh']]],0)</f>
        <v>0.27096464258262876</v>
      </c>
      <c r="BP64" s="374">
        <f>Tank!Y65</f>
        <v>0</v>
      </c>
      <c r="BQ64" s="70">
        <f>Tank!AP65</f>
        <v>0</v>
      </c>
      <c r="BR64" s="70">
        <f>Tank!V65</f>
        <v>0</v>
      </c>
      <c r="BS64" s="372">
        <f>Tank!T65</f>
        <v>0</v>
      </c>
      <c r="BT64" s="375" t="s">
        <v>228</v>
      </c>
      <c r="BU64" s="449">
        <v>71</v>
      </c>
      <c r="BV64" s="375">
        <f>IF(Tabla1[[#This Row],[Combustible ofertado]]="GAS",Tabla1[[#This Row],[Disponibilidad]],0)</f>
        <v>0</v>
      </c>
      <c r="BW64" s="375">
        <f>IF(Tabla1[[#This Row],[Combustible ofertado]]="DIESEL",Tabla1[[#This Row],[Disponibilidad]],0)</f>
        <v>71</v>
      </c>
      <c r="BX64" s="375">
        <f>IF(Tabla1[[#This Row],[Combustible ofertado]]="HFO",Tabla1[[#This Row],[Disponibilidad]],0)</f>
        <v>0</v>
      </c>
      <c r="BY64" s="454">
        <v>1440</v>
      </c>
      <c r="BZ64" s="446">
        <f>'Horo. M'!C65</f>
        <v>23</v>
      </c>
      <c r="CA64" s="446">
        <f>'Horo. M'!E65</f>
        <v>24</v>
      </c>
      <c r="CB64" s="446">
        <f>'Horo. M'!G65</f>
        <v>24</v>
      </c>
      <c r="CC64" s="446">
        <f>'Horo. M'!I65</f>
        <v>24</v>
      </c>
      <c r="CD64" s="446">
        <f>'Horo. M'!K65</f>
        <v>0</v>
      </c>
      <c r="CE64" s="446">
        <f>'Horo. M'!M65</f>
        <v>24</v>
      </c>
      <c r="CF64" s="446">
        <f>'Horo. M'!O65</f>
        <v>24</v>
      </c>
      <c r="CG64" s="446">
        <f>'Horo. M'!Q65</f>
        <v>24</v>
      </c>
      <c r="CH64" s="446">
        <f>'Horo. M'!S65</f>
        <v>0</v>
      </c>
      <c r="CI64" s="446">
        <f>'Horo. M'!U65</f>
        <v>20</v>
      </c>
      <c r="CJ64" s="70">
        <f>Tabla1[[#This Row],[Con. DO Storage '[gal']]]-Tabla1[[#This Row],[C. DO Storage Ge '[gal']]]</f>
        <v>343.42366806559295</v>
      </c>
      <c r="CK64" s="70"/>
      <c r="CL64" s="70"/>
      <c r="CM64" s="372">
        <f>Tabla1[[#This Row],[Con. DO Total '[gal']]]*131485.5/(1000000)</f>
        <v>277.87835512269868</v>
      </c>
    </row>
    <row r="65" spans="1:91" s="5" customFormat="1" ht="15" customHeight="1">
      <c r="A65" s="362">
        <v>44990</v>
      </c>
      <c r="B65" s="363" t="str">
        <f>TEXT(Tabla1[[#This Row],[Fecha]],"mmmm")</f>
        <v>marzo</v>
      </c>
      <c r="C65" s="429">
        <v>0</v>
      </c>
      <c r="D65" s="430">
        <v>1272</v>
      </c>
      <c r="E65" s="430">
        <v>1272</v>
      </c>
      <c r="F65" s="430">
        <v>1327</v>
      </c>
      <c r="G65" s="431">
        <v>0</v>
      </c>
      <c r="H65" s="431">
        <v>0</v>
      </c>
      <c r="I65" s="432">
        <v>2</v>
      </c>
      <c r="J65" s="432">
        <v>142</v>
      </c>
      <c r="K65" s="430">
        <v>24</v>
      </c>
      <c r="L65" s="430">
        <v>24</v>
      </c>
      <c r="M65" s="365">
        <f>Tabla1[[#This Row],[Columna1]]-Tabla1[[#This Row],[PO '[h']]]</f>
        <v>0</v>
      </c>
      <c r="N65" s="365">
        <f t="shared" si="18"/>
        <v>1469</v>
      </c>
      <c r="O65" s="430">
        <v>1327</v>
      </c>
      <c r="P65" s="367">
        <f>Tabla1[[#This Row],[G. HGS 
'[MWh']]]</f>
        <v>1327</v>
      </c>
      <c r="Q65" s="430">
        <v>0</v>
      </c>
      <c r="R65" s="367">
        <v>0</v>
      </c>
      <c r="S65" s="367">
        <f>Tabla1[[#This Row],[G. HGS 
Con Gas]]*1000</f>
        <v>1327000</v>
      </c>
      <c r="T65" s="365">
        <f>Tabla1[[#This Row],[G. HGS 
'[MWh']]]*1000</f>
        <v>1327000</v>
      </c>
      <c r="U65" s="368">
        <f>SUM('G. Un GE'!B65:Y65)</f>
        <v>1315.4151000000002</v>
      </c>
      <c r="V65" s="369">
        <f>Tabla1[[#This Row],[R. GE
'[MWh']]]</f>
        <v>1315.4151000000002</v>
      </c>
      <c r="W65" s="434">
        <v>0</v>
      </c>
      <c r="X65" s="369">
        <v>0</v>
      </c>
      <c r="Y65" s="365">
        <f>Tabla1[[#This Row],[R. GE
'[MWh']]]*1000</f>
        <v>1315415.1000000001</v>
      </c>
      <c r="Z65" s="434">
        <v>37.270000000000003</v>
      </c>
      <c r="AA6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37.270000000000003</v>
      </c>
      <c r="AB65" s="368">
        <f>IF(Tabla1[[#This Row],[G. HGS 
'[MWh']]]=0,0,Tabla1[[#This Row],[G. HGS 
'[MWh']]]+Tabla1[[#This Row],[Con. Aux. '[MWh']2]])</f>
        <v>1364.27</v>
      </c>
      <c r="AC65" s="368">
        <f>'C. ENER. TN'!F65</f>
        <v>0</v>
      </c>
      <c r="AD65" s="370">
        <f>'C. ENER. TN'!G65</f>
        <v>1315.4150999999999</v>
      </c>
      <c r="AE65" s="370">
        <f>'G. Un GE'!AX65</f>
        <v>169.26302678571429</v>
      </c>
      <c r="AF65" s="368">
        <f>IFERROR('G. Un GE'!AX65/Tabla1[[#This Row],[PO '[h']]],0)</f>
        <v>7.052626116071429</v>
      </c>
      <c r="AG65" s="365">
        <f>'Ar-Pa'!AX65</f>
        <v>1</v>
      </c>
      <c r="AH65" s="365">
        <f>'Ar-Pa'!AY65</f>
        <v>1</v>
      </c>
      <c r="AI65" s="365">
        <f>SUM('Cal. Arr'!AB68:AY68)</f>
        <v>0</v>
      </c>
      <c r="AJ65" s="442">
        <v>0</v>
      </c>
      <c r="AK65" s="442">
        <v>1.2</v>
      </c>
      <c r="AL65" s="267">
        <f t="shared" si="10"/>
        <v>317.00646282977812</v>
      </c>
      <c r="AM65" s="267">
        <f>+CONVERT(AK65+Tabla1[[#This Row],[Con. DO Storage Gen. '[m3']]],"m^3","gal")</f>
        <v>317.00646282977812</v>
      </c>
      <c r="AN65" s="372">
        <f>SUM('DO Pilot'!B65:Y65)</f>
        <v>6.7700000000000022</v>
      </c>
      <c r="AO65" s="372">
        <f t="shared" si="0"/>
        <v>1788.4447944646654</v>
      </c>
      <c r="AP65" s="267">
        <f>AK65+AN65+Tabla1[[#This Row],[Con. DO Storage Gen. '[m3']]]</f>
        <v>7.9700000000000024</v>
      </c>
      <c r="AQ65" s="372">
        <f t="shared" si="11"/>
        <v>2105.4512572944436</v>
      </c>
      <c r="AR65" s="442">
        <v>0</v>
      </c>
      <c r="AS65" s="442">
        <v>0</v>
      </c>
      <c r="AT65" s="267">
        <f>+CONVERT(SUM(Tabla1[[#This Row],[Repo. DO Storage '[gal']]:[Repo. DO Pilot '[gal']]]),"gal","m3")</f>
        <v>0</v>
      </c>
      <c r="AU65" s="442">
        <v>0</v>
      </c>
      <c r="AV65" s="267">
        <f t="shared" si="19"/>
        <v>0</v>
      </c>
      <c r="AW65" s="442">
        <v>0</v>
      </c>
      <c r="AX65" s="267">
        <f t="shared" si="2"/>
        <v>0</v>
      </c>
      <c r="AY65" s="372">
        <f t="shared" si="3"/>
        <v>0.23888957259214627</v>
      </c>
      <c r="AZ65" s="372">
        <f>IFERROR(AL65/'Ar-Pa'!AX65,0)</f>
        <v>317.00646282977812</v>
      </c>
      <c r="BA65" s="372">
        <f>IFERROR(AL65/'Ar-Pa'!AY65,0)</f>
        <v>317.00646282977812</v>
      </c>
      <c r="BB65" s="372">
        <f t="shared" si="4"/>
        <v>1.347735338707359</v>
      </c>
      <c r="BC65" s="372">
        <f>IFERROR(AVERAGEIF('DO Pilot'!AX65:BU65,"&gt;0"),0)</f>
        <v>9.5899958590432028</v>
      </c>
      <c r="BD65" s="445">
        <v>360024</v>
      </c>
      <c r="BE65" s="445">
        <v>12744</v>
      </c>
      <c r="BF65" s="445">
        <v>359011</v>
      </c>
      <c r="BG65" s="223">
        <f>Tabla1[[#This Row],[ Re. Gas GC
 '[m3']]]</f>
        <v>359011</v>
      </c>
      <c r="BH65" s="150">
        <f>IFERROR((BG65*Gas!$B$3)/28.31685,0)</f>
        <v>12629.920982736428</v>
      </c>
      <c r="BI65" s="151">
        <f t="shared" si="20"/>
        <v>-114.07901726357159</v>
      </c>
      <c r="BJ65" s="74">
        <f t="shared" si="12"/>
        <v>-9.0324410912391122E-3</v>
      </c>
      <c r="BK65" s="223">
        <f t="shared" si="6"/>
        <v>9603.6171816126607</v>
      </c>
      <c r="BL65" s="442">
        <v>8915.2900000000009</v>
      </c>
      <c r="BM65" s="150">
        <f t="shared" si="7"/>
        <v>9257.6403371300603</v>
      </c>
      <c r="BN65" s="150">
        <f t="shared" si="17"/>
        <v>9601.4717960409816</v>
      </c>
      <c r="BO65" s="373">
        <f>IFERROR(Tabla1[[#This Row],[ Re. Gas GC
 '[m3']]]/Tabla1[[#This Row],[G. HGS 
Con Gas '[kWh']]],0)</f>
        <v>0.27054333082140164</v>
      </c>
      <c r="BP65" s="374">
        <f>Tank!Y66</f>
        <v>0</v>
      </c>
      <c r="BQ65" s="70">
        <f>Tank!AP66</f>
        <v>0</v>
      </c>
      <c r="BR65" s="70">
        <f>Tank!V66</f>
        <v>0</v>
      </c>
      <c r="BS65" s="372">
        <f>Tank!T66</f>
        <v>0</v>
      </c>
      <c r="BT65" s="375" t="s">
        <v>228</v>
      </c>
      <c r="BU65" s="449">
        <v>71</v>
      </c>
      <c r="BV65" s="375">
        <f>IF(Tabla1[[#This Row],[Combustible ofertado]]="GAS",Tabla1[[#This Row],[Disponibilidad]],0)</f>
        <v>0</v>
      </c>
      <c r="BW65" s="375">
        <f>IF(Tabla1[[#This Row],[Combustible ofertado]]="DIESEL",Tabla1[[#This Row],[Disponibilidad]],0)</f>
        <v>71</v>
      </c>
      <c r="BX65" s="375">
        <f>IF(Tabla1[[#This Row],[Combustible ofertado]]="HFO",Tabla1[[#This Row],[Disponibilidad]],0)</f>
        <v>0</v>
      </c>
      <c r="BY65" s="454">
        <v>1440</v>
      </c>
      <c r="BZ65" s="446">
        <f>'Horo. M'!C66</f>
        <v>24</v>
      </c>
      <c r="CA65" s="446">
        <f>'Horo. M'!E66</f>
        <v>18</v>
      </c>
      <c r="CB65" s="446">
        <f>'Horo. M'!G66</f>
        <v>24</v>
      </c>
      <c r="CC65" s="446">
        <f>'Horo. M'!I66</f>
        <v>24</v>
      </c>
      <c r="CD65" s="446">
        <f>'Horo. M'!K66</f>
        <v>0</v>
      </c>
      <c r="CE65" s="446">
        <f>'Horo. M'!M66</f>
        <v>0</v>
      </c>
      <c r="CF65" s="446">
        <f>'Horo. M'!O66</f>
        <v>24</v>
      </c>
      <c r="CG65" s="446">
        <f>'Horo. M'!Q66</f>
        <v>24</v>
      </c>
      <c r="CH65" s="446">
        <f>'Horo. M'!S66</f>
        <v>24</v>
      </c>
      <c r="CI65" s="446">
        <f>'Horo. M'!U66</f>
        <v>24</v>
      </c>
      <c r="CJ65" s="70">
        <f>Tabla1[[#This Row],[Con. DO Storage '[gal']]]-Tabla1[[#This Row],[C. DO Storage Ge '[gal']]]</f>
        <v>317.00646282977812</v>
      </c>
      <c r="CK65" s="70"/>
      <c r="CL65" s="70"/>
      <c r="CM65" s="372">
        <f>Tabla1[[#This Row],[Con. DO Total '[gal']]]*131485.5/(1000000)</f>
        <v>276.83631129098859</v>
      </c>
    </row>
    <row r="66" spans="1:91" s="5" customFormat="1" ht="15" customHeight="1">
      <c r="A66" s="362">
        <v>44991</v>
      </c>
      <c r="B66" s="363" t="str">
        <f>TEXT(Tabla1[[#This Row],[Fecha]],"mmmm")</f>
        <v>marzo</v>
      </c>
      <c r="C66" s="429">
        <v>0</v>
      </c>
      <c r="D66" s="430">
        <v>1272</v>
      </c>
      <c r="E66" s="430">
        <v>1272</v>
      </c>
      <c r="F66" s="430">
        <v>1330</v>
      </c>
      <c r="G66" s="431">
        <v>0</v>
      </c>
      <c r="H66" s="431">
        <v>0</v>
      </c>
      <c r="I66" s="432">
        <v>2</v>
      </c>
      <c r="J66" s="432">
        <v>142</v>
      </c>
      <c r="K66" s="430">
        <v>24</v>
      </c>
      <c r="L66" s="430">
        <v>24</v>
      </c>
      <c r="M66" s="365">
        <f>Tabla1[[#This Row],[Columna1]]-Tabla1[[#This Row],[PO '[h']]]</f>
        <v>0</v>
      </c>
      <c r="N66" s="365">
        <f t="shared" si="18"/>
        <v>1472</v>
      </c>
      <c r="O66" s="430">
        <v>1330</v>
      </c>
      <c r="P66" s="367">
        <f>Tabla1[[#This Row],[G. HGS 
'[MWh']]]</f>
        <v>1330</v>
      </c>
      <c r="Q66" s="430">
        <v>0</v>
      </c>
      <c r="R66" s="367">
        <v>0</v>
      </c>
      <c r="S66" s="367">
        <f>Tabla1[[#This Row],[G. HGS 
Con Gas]]*1000</f>
        <v>1330000</v>
      </c>
      <c r="T66" s="365">
        <f>Tabla1[[#This Row],[G. HGS 
'[MWh']]]*1000</f>
        <v>1330000</v>
      </c>
      <c r="U66" s="368">
        <f>SUM('G. Un GE'!B66:Y66)</f>
        <v>1319.0060000000001</v>
      </c>
      <c r="V66" s="369">
        <f>Tabla1[[#This Row],[R. GE
'[MWh']]]</f>
        <v>1319.0060000000001</v>
      </c>
      <c r="W66" s="434">
        <v>0</v>
      </c>
      <c r="X66" s="369">
        <v>0</v>
      </c>
      <c r="Y66" s="365">
        <f>Tabla1[[#This Row],[R. GE
'[MWh']]]*1000</f>
        <v>1319006</v>
      </c>
      <c r="Z66" s="434">
        <v>37.119999999999997</v>
      </c>
      <c r="AA6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37.119999999999997</v>
      </c>
      <c r="AB66" s="368">
        <f>IF(Tabla1[[#This Row],[G. HGS 
'[MWh']]]=0,0,Tabla1[[#This Row],[G. HGS 
'[MWh']]]+Tabla1[[#This Row],[Con. Aux. '[MWh']2]])</f>
        <v>1367.12</v>
      </c>
      <c r="AC66" s="368">
        <f>'C. ENER. TN'!F66</f>
        <v>0</v>
      </c>
      <c r="AD66" s="370">
        <f>'C. ENER. TN'!G66</f>
        <v>1319.0060000000001</v>
      </c>
      <c r="AE66" s="370">
        <f>'G. Un GE'!AX66</f>
        <v>168.73413035714285</v>
      </c>
      <c r="AF66" s="368">
        <f>IFERROR('G. Un GE'!AX66/Tabla1[[#This Row],[PO '[h']]],0)</f>
        <v>7.0305887648809522</v>
      </c>
      <c r="AG66" s="365">
        <f>'Ar-Pa'!AX66</f>
        <v>1</v>
      </c>
      <c r="AH66" s="365">
        <f>'Ar-Pa'!AY66</f>
        <v>1</v>
      </c>
      <c r="AI66" s="365">
        <f>SUM('Cal. Arr'!AB69:AY69)</f>
        <v>0</v>
      </c>
      <c r="AJ66" s="442">
        <v>0</v>
      </c>
      <c r="AK66" s="442">
        <v>0.7</v>
      </c>
      <c r="AL66" s="267">
        <f t="shared" ref="AL66:AL129" si="21">+CONVERT(AK66,"m^3","gal")</f>
        <v>184.92043665070389</v>
      </c>
      <c r="AM66" s="267">
        <f>+CONVERT(AK66+Tabla1[[#This Row],[Con. DO Storage Gen. '[m3']]],"m^3","gal")</f>
        <v>184.92043665070389</v>
      </c>
      <c r="AN66" s="372">
        <f>SUM('DO Pilot'!B66:Y66)</f>
        <v>6.6700000000000008</v>
      </c>
      <c r="AO66" s="372">
        <f t="shared" ref="AO66:AO129" si="22">+CONVERT(AN66,"m^3","gal")</f>
        <v>1762.0275892288503</v>
      </c>
      <c r="AP66" s="267">
        <f>AK66+AN66+Tabla1[[#This Row],[Con. DO Storage Gen. '[m3']]]</f>
        <v>7.370000000000001</v>
      </c>
      <c r="AQ66" s="372">
        <f t="shared" si="11"/>
        <v>1946.9480258795541</v>
      </c>
      <c r="AR66" s="442">
        <v>0</v>
      </c>
      <c r="AS66" s="442">
        <v>0</v>
      </c>
      <c r="AT66" s="267">
        <f>+CONVERT(SUM(Tabla1[[#This Row],[Repo. DO Storage '[gal']]:[Repo. DO Pilot '[gal']]]),"gal","m3")</f>
        <v>0</v>
      </c>
      <c r="AU66" s="442">
        <v>0</v>
      </c>
      <c r="AV66" s="267">
        <f t="shared" si="19"/>
        <v>0</v>
      </c>
      <c r="AW66" s="442">
        <v>0</v>
      </c>
      <c r="AX66" s="267">
        <f t="shared" ref="AX66:AX129" si="23">+CONVERT(AW66,"gal","m3")</f>
        <v>0</v>
      </c>
      <c r="AY66" s="372">
        <f t="shared" ref="AY66:AY129" si="24">IFERROR(AL66/O66,0)</f>
        <v>0.13903792229376233</v>
      </c>
      <c r="AZ66" s="372">
        <f>IFERROR(AL66/'Ar-Pa'!AX66,0)</f>
        <v>184.92043665070389</v>
      </c>
      <c r="BA66" s="372">
        <f>IFERROR(AL66/'Ar-Pa'!AY66,0)</f>
        <v>184.92043665070389</v>
      </c>
      <c r="BB66" s="372">
        <f t="shared" ref="BB66:BB129" si="25">IFERROR(AO66/O66,0)</f>
        <v>1.3248327738562784</v>
      </c>
      <c r="BC66" s="372">
        <f>IFERROR(AVERAGEIF('DO Pilot'!AX66:BU66,"&gt;0"),0)</f>
        <v>9.3934392724671998</v>
      </c>
      <c r="BD66" s="445">
        <v>359446</v>
      </c>
      <c r="BE66" s="445">
        <v>12724</v>
      </c>
      <c r="BF66" s="445">
        <v>359383</v>
      </c>
      <c r="BG66" s="223">
        <f>Tabla1[[#This Row],[ Re. Gas GC
 '[m3']]]</f>
        <v>359383</v>
      </c>
      <c r="BH66" s="150">
        <f>IFERROR((BG66*Gas!$B$3)/28.31685,0)</f>
        <v>12643.007853627785</v>
      </c>
      <c r="BI66" s="151">
        <f t="shared" si="20"/>
        <v>-80.992146372214847</v>
      </c>
      <c r="BJ66" s="74">
        <f t="shared" si="12"/>
        <v>-6.4060821056102528E-3</v>
      </c>
      <c r="BK66" s="223">
        <f t="shared" ref="BK66:BK129" si="26">IFERROR((BE66/P66)*1000,0)</f>
        <v>9566.9172932330821</v>
      </c>
      <c r="BL66" s="442">
        <v>8958.77</v>
      </c>
      <c r="BM66" s="150">
        <f t="shared" ref="BM66:BM129" si="27">IFERROR((BH66/AB66)*1000,0)</f>
        <v>9247.913755652602</v>
      </c>
      <c r="BN66" s="150">
        <f t="shared" ref="BN66:BN78" si="28">IFERROR((BH66/V66)*1000,0)</f>
        <v>9585.2542396530298</v>
      </c>
      <c r="BO66" s="373">
        <f>IFERROR(Tabla1[[#This Row],[ Re. Gas GC
 '[m3']]]/Tabla1[[#This Row],[G. HGS 
Con Gas '[kWh']]],0)</f>
        <v>0.27021278195488724</v>
      </c>
      <c r="BP66" s="374">
        <f>Tank!Y67</f>
        <v>0</v>
      </c>
      <c r="BQ66" s="70">
        <f>Tank!AP67</f>
        <v>0</v>
      </c>
      <c r="BR66" s="70">
        <f>Tank!V67</f>
        <v>22.712470704000001</v>
      </c>
      <c r="BS66" s="372">
        <f>Tank!T67</f>
        <v>0</v>
      </c>
      <c r="BT66" s="375" t="s">
        <v>228</v>
      </c>
      <c r="BU66" s="449">
        <v>71</v>
      </c>
      <c r="BV66" s="375">
        <f>IF(Tabla1[[#This Row],[Combustible ofertado]]="GAS",Tabla1[[#This Row],[Disponibilidad]],0)</f>
        <v>0</v>
      </c>
      <c r="BW66" s="375">
        <f>IF(Tabla1[[#This Row],[Combustible ofertado]]="DIESEL",Tabla1[[#This Row],[Disponibilidad]],0)</f>
        <v>71</v>
      </c>
      <c r="BX66" s="375">
        <f>IF(Tabla1[[#This Row],[Combustible ofertado]]="HFO",Tabla1[[#This Row],[Disponibilidad]],0)</f>
        <v>0</v>
      </c>
      <c r="BY66" s="454">
        <v>1440</v>
      </c>
      <c r="BZ66" s="446">
        <f>'Horo. M'!C67</f>
        <v>6</v>
      </c>
      <c r="CA66" s="446">
        <f>'Horo. M'!E67</f>
        <v>24</v>
      </c>
      <c r="CB66" s="446">
        <f>'Horo. M'!G67</f>
        <v>24</v>
      </c>
      <c r="CC66" s="446">
        <f>'Horo. M'!I67</f>
        <v>13</v>
      </c>
      <c r="CD66" s="446">
        <f>'Horo. M'!K67</f>
        <v>0</v>
      </c>
      <c r="CE66" s="446">
        <f>'Horo. M'!M67</f>
        <v>24</v>
      </c>
      <c r="CF66" s="446">
        <f>'Horo. M'!O67</f>
        <v>24</v>
      </c>
      <c r="CG66" s="446">
        <f>'Horo. M'!Q67</f>
        <v>24</v>
      </c>
      <c r="CH66" s="446">
        <f>'Horo. M'!S67</f>
        <v>24</v>
      </c>
      <c r="CI66" s="446">
        <f>'Horo. M'!U67</f>
        <v>24</v>
      </c>
      <c r="CJ66" s="70">
        <f>Tabla1[[#This Row],[Con. DO Storage '[gal']]]-Tabla1[[#This Row],[C. DO Storage Ge '[gal']]]</f>
        <v>184.92043665070389</v>
      </c>
      <c r="CK66" s="70"/>
      <c r="CL66" s="70"/>
      <c r="CM66" s="372">
        <f>Tabla1[[#This Row],[Con. DO Total '[gal']]]*131485.5/(1000000)</f>
        <v>255.9954346567861</v>
      </c>
    </row>
    <row r="67" spans="1:91" s="5" customFormat="1" ht="15" customHeight="1">
      <c r="A67" s="362">
        <v>44992</v>
      </c>
      <c r="B67" s="363" t="str">
        <f>TEXT(Tabla1[[#This Row],[Fecha]],"mmmm")</f>
        <v>marzo</v>
      </c>
      <c r="C67" s="429">
        <v>0</v>
      </c>
      <c r="D67" s="430">
        <v>1272</v>
      </c>
      <c r="E67" s="430">
        <v>1272</v>
      </c>
      <c r="F67" s="430">
        <v>1323</v>
      </c>
      <c r="G67" s="431">
        <v>0</v>
      </c>
      <c r="H67" s="431">
        <v>0</v>
      </c>
      <c r="I67" s="432">
        <v>1</v>
      </c>
      <c r="J67" s="432">
        <v>71</v>
      </c>
      <c r="K67" s="430">
        <v>24</v>
      </c>
      <c r="L67" s="430">
        <v>24</v>
      </c>
      <c r="M67" s="365">
        <f>Tabla1[[#This Row],[Columna1]]-Tabla1[[#This Row],[PO '[h']]]</f>
        <v>0</v>
      </c>
      <c r="N67" s="365">
        <f t="shared" si="18"/>
        <v>1394</v>
      </c>
      <c r="O67" s="430">
        <v>1323</v>
      </c>
      <c r="P67" s="367">
        <f>Tabla1[[#This Row],[G. HGS 
'[MWh']]]</f>
        <v>1323</v>
      </c>
      <c r="Q67" s="430">
        <v>0</v>
      </c>
      <c r="R67" s="367">
        <v>0</v>
      </c>
      <c r="S67" s="367">
        <f>Tabla1[[#This Row],[G. HGS 
Con Gas]]*1000</f>
        <v>1323000</v>
      </c>
      <c r="T67" s="365">
        <f>Tabla1[[#This Row],[G. HGS 
'[MWh']]]*1000</f>
        <v>1323000</v>
      </c>
      <c r="U67" s="368">
        <f>SUM('G. Un GE'!B67:Y67)</f>
        <v>1311.1144000000002</v>
      </c>
      <c r="V67" s="369">
        <f>Tabla1[[#This Row],[R. GE
'[MWh']]]</f>
        <v>1311.1144000000002</v>
      </c>
      <c r="W67" s="434">
        <v>0</v>
      </c>
      <c r="X67" s="369">
        <v>0</v>
      </c>
      <c r="Y67" s="365">
        <f>Tabla1[[#This Row],[R. GE
'[MWh']]]*1000</f>
        <v>1311114.4000000001</v>
      </c>
      <c r="Z67" s="434">
        <v>38.14</v>
      </c>
      <c r="AA6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38.14</v>
      </c>
      <c r="AB67" s="368">
        <f>IF(Tabla1[[#This Row],[G. HGS 
'[MWh']]]=0,0,Tabla1[[#This Row],[G. HGS 
'[MWh']]]+Tabla1[[#This Row],[Con. Aux. '[MWh']2]])</f>
        <v>1361.14</v>
      </c>
      <c r="AC67" s="368">
        <f>'C. ENER. TN'!F67</f>
        <v>0</v>
      </c>
      <c r="AD67" s="370">
        <f>'C. ENER. TN'!G67</f>
        <v>1311.1143999999999</v>
      </c>
      <c r="AE67" s="370">
        <f>'G. Un GE'!AX67</f>
        <v>164.8537</v>
      </c>
      <c r="AF67" s="368">
        <f>IFERROR('G. Un GE'!AX67/Tabla1[[#This Row],[PO '[h']]],0)</f>
        <v>6.8689041666666668</v>
      </c>
      <c r="AG67" s="365">
        <f>'Ar-Pa'!AX67</f>
        <v>1</v>
      </c>
      <c r="AH67" s="365">
        <f>'Ar-Pa'!AY67</f>
        <v>1</v>
      </c>
      <c r="AI67" s="365">
        <f>SUM('Cal. Arr'!AB70:AY70)</f>
        <v>0</v>
      </c>
      <c r="AJ67" s="442">
        <v>0</v>
      </c>
      <c r="AK67" s="442">
        <v>0.7</v>
      </c>
      <c r="AL67" s="267">
        <f t="shared" si="21"/>
        <v>184.92043665070389</v>
      </c>
      <c r="AM67" s="267">
        <f>+CONVERT(AK67+Tabla1[[#This Row],[Con. DO Storage Gen. '[m3']]],"m^3","gal")</f>
        <v>184.92043665070389</v>
      </c>
      <c r="AN67" s="372">
        <f>SUM('DO Pilot'!B67:Y67)</f>
        <v>6.57</v>
      </c>
      <c r="AO67" s="372">
        <f t="shared" si="22"/>
        <v>1735.6103839930352</v>
      </c>
      <c r="AP67" s="267">
        <f>AK67+AN67+Tabla1[[#This Row],[Con. DO Storage Gen. '[m3']]]</f>
        <v>7.2700000000000005</v>
      </c>
      <c r="AQ67" s="372">
        <f t="shared" ref="AQ67:AQ130" si="29">+CONVERT(AP67,"m^3","gal")</f>
        <v>1920.5308206437394</v>
      </c>
      <c r="AR67" s="442">
        <v>0</v>
      </c>
      <c r="AS67" s="442">
        <v>10992</v>
      </c>
      <c r="AT67" s="267">
        <f>+CONVERT(SUM(Tabla1[[#This Row],[Repo. DO Storage '[gal']]:[Repo. DO Pilot '[gal']]]),"gal","m3")</f>
        <v>41.609246329727995</v>
      </c>
      <c r="AU67" s="442">
        <v>0</v>
      </c>
      <c r="AV67" s="267">
        <f t="shared" si="19"/>
        <v>0</v>
      </c>
      <c r="AW67" s="442">
        <v>0</v>
      </c>
      <c r="AX67" s="267">
        <f t="shared" si="23"/>
        <v>0</v>
      </c>
      <c r="AY67" s="372">
        <f t="shared" si="24"/>
        <v>0.139773572676269</v>
      </c>
      <c r="AZ67" s="372">
        <f>IFERROR(AL67/'Ar-Pa'!AX67,0)</f>
        <v>184.92043665070389</v>
      </c>
      <c r="BA67" s="372">
        <f>IFERROR(AL67/'Ar-Pa'!AY67,0)</f>
        <v>184.92043665070389</v>
      </c>
      <c r="BB67" s="372">
        <f t="shared" si="25"/>
        <v>1.311874817832982</v>
      </c>
      <c r="BC67" s="372">
        <f>IFERROR(AVERAGEIF('DO Pilot'!AX67:BU67,"&gt;0"),0)</f>
        <v>9.0927076950059131</v>
      </c>
      <c r="BD67" s="445">
        <v>359995</v>
      </c>
      <c r="BE67" s="445">
        <v>12743</v>
      </c>
      <c r="BF67" s="445">
        <v>359524</v>
      </c>
      <c r="BG67" s="223">
        <f>Tabla1[[#This Row],[ Re. Gas GC
 '[m3']]]</f>
        <v>359524</v>
      </c>
      <c r="BH67" s="150">
        <f>IFERROR((BG67*Gas!$B$3)/28.31685,0)</f>
        <v>12647.968199852739</v>
      </c>
      <c r="BI67" s="151">
        <f t="shared" si="20"/>
        <v>-95.031800147260583</v>
      </c>
      <c r="BJ67" s="74">
        <f t="shared" ref="BJ67:BJ130" si="30">IFERROR(BI67/BH67,0)</f>
        <v>-7.5136020778710563E-3</v>
      </c>
      <c r="BK67" s="223">
        <f t="shared" si="26"/>
        <v>9631.8972033257742</v>
      </c>
      <c r="BL67" s="442">
        <v>8807.91</v>
      </c>
      <c r="BM67" s="150">
        <f t="shared" si="27"/>
        <v>9292.1875779513775</v>
      </c>
      <c r="BN67" s="150">
        <f t="shared" si="28"/>
        <v>9646.7312080873635</v>
      </c>
      <c r="BO67" s="373">
        <f>IFERROR(Tabla1[[#This Row],[ Re. Gas GC
 '[m3']]]/Tabla1[[#This Row],[G. HGS 
Con Gas '[kWh']]],0)</f>
        <v>0.2717490551776266</v>
      </c>
      <c r="BP67" s="374">
        <f>Tank!Y68</f>
        <v>0</v>
      </c>
      <c r="BQ67" s="70">
        <f>Tank!AP68</f>
        <v>58.05</v>
      </c>
      <c r="BR67" s="70">
        <f>Tank!V68</f>
        <v>0</v>
      </c>
      <c r="BS67" s="372">
        <f>Tank!T68</f>
        <v>0</v>
      </c>
      <c r="BT67" s="375" t="s">
        <v>228</v>
      </c>
      <c r="BU67" s="449">
        <v>71</v>
      </c>
      <c r="BV67" s="375">
        <f>IF(Tabla1[[#This Row],[Combustible ofertado]]="GAS",Tabla1[[#This Row],[Disponibilidad]],0)</f>
        <v>0</v>
      </c>
      <c r="BW67" s="375">
        <f>IF(Tabla1[[#This Row],[Combustible ofertado]]="DIESEL",Tabla1[[#This Row],[Disponibilidad]],0)</f>
        <v>71</v>
      </c>
      <c r="BX67" s="375">
        <f>IF(Tabla1[[#This Row],[Combustible ofertado]]="HFO",Tabla1[[#This Row],[Disponibilidad]],0)</f>
        <v>0</v>
      </c>
      <c r="BY67" s="454">
        <v>1440</v>
      </c>
      <c r="BZ67" s="446">
        <f>'Horo. M'!C68</f>
        <v>0</v>
      </c>
      <c r="CA67" s="446">
        <f>'Horo. M'!E68</f>
        <v>24</v>
      </c>
      <c r="CB67" s="446">
        <f>'Horo. M'!G68</f>
        <v>24</v>
      </c>
      <c r="CC67" s="446">
        <f>'Horo. M'!I68</f>
        <v>22</v>
      </c>
      <c r="CD67" s="446">
        <f>'Horo. M'!K68</f>
        <v>0</v>
      </c>
      <c r="CE67" s="446">
        <f>'Horo. M'!M68</f>
        <v>24</v>
      </c>
      <c r="CF67" s="446">
        <f>'Horo. M'!O68</f>
        <v>24</v>
      </c>
      <c r="CG67" s="446">
        <f>'Horo. M'!Q68</f>
        <v>24</v>
      </c>
      <c r="CH67" s="446">
        <f>'Horo. M'!S68</f>
        <v>24</v>
      </c>
      <c r="CI67" s="446">
        <f>'Horo. M'!U68</f>
        <v>24</v>
      </c>
      <c r="CJ67" s="70">
        <f>Tabla1[[#This Row],[Con. DO Storage '[gal']]]-Tabla1[[#This Row],[C. DO Storage Ge '[gal']]]</f>
        <v>184.92043665070389</v>
      </c>
      <c r="CK67" s="70"/>
      <c r="CL67" s="70"/>
      <c r="CM67" s="372">
        <f>Tabla1[[#This Row],[Con. DO Total '[gal']]]*131485.5/(1000000)</f>
        <v>252.52195521775241</v>
      </c>
    </row>
    <row r="68" spans="1:91" s="5" customFormat="1" ht="15" customHeight="1">
      <c r="A68" s="362">
        <v>44993</v>
      </c>
      <c r="B68" s="363" t="str">
        <f>TEXT(Tabla1[[#This Row],[Fecha]],"mmmm")</f>
        <v>marzo</v>
      </c>
      <c r="C68" s="429">
        <v>0</v>
      </c>
      <c r="D68" s="430">
        <v>1272</v>
      </c>
      <c r="E68" s="430">
        <v>1280</v>
      </c>
      <c r="F68" s="430">
        <v>1311</v>
      </c>
      <c r="G68" s="431">
        <v>0</v>
      </c>
      <c r="H68" s="431">
        <v>0</v>
      </c>
      <c r="I68" s="432">
        <v>0</v>
      </c>
      <c r="J68" s="432">
        <v>0</v>
      </c>
      <c r="K68" s="430">
        <v>24</v>
      </c>
      <c r="L68" s="430">
        <v>24</v>
      </c>
      <c r="M68" s="365">
        <f>Tabla1[[#This Row],[Columna1]]-Tabla1[[#This Row],[PO '[h']]]</f>
        <v>0</v>
      </c>
      <c r="N68" s="365">
        <f t="shared" si="18"/>
        <v>1311</v>
      </c>
      <c r="O68" s="430">
        <v>1311</v>
      </c>
      <c r="P68" s="367">
        <f>Tabla1[[#This Row],[G. HGS 
'[MWh']]]</f>
        <v>1311</v>
      </c>
      <c r="Q68" s="430">
        <v>0</v>
      </c>
      <c r="R68" s="367">
        <v>0</v>
      </c>
      <c r="S68" s="367">
        <f>Tabla1[[#This Row],[G. HGS 
Con Gas]]*1000</f>
        <v>1311000</v>
      </c>
      <c r="T68" s="365">
        <f>Tabla1[[#This Row],[G. HGS 
'[MWh']]]*1000</f>
        <v>1311000</v>
      </c>
      <c r="U68" s="368">
        <f>SUM('G. Un GE'!B68:Y68)</f>
        <v>1299.5696</v>
      </c>
      <c r="V68" s="369">
        <f>Tabla1[[#This Row],[R. GE
'[MWh']]]</f>
        <v>1299.5696</v>
      </c>
      <c r="W68" s="434">
        <v>0</v>
      </c>
      <c r="X68" s="369">
        <v>0</v>
      </c>
      <c r="Y68" s="365">
        <f>Tabla1[[#This Row],[R. GE
'[MWh']]]*1000</f>
        <v>1299569.6000000001</v>
      </c>
      <c r="Z68" s="434">
        <v>37.64</v>
      </c>
      <c r="AA6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37.64</v>
      </c>
      <c r="AB68" s="368">
        <f>IF(Tabla1[[#This Row],[G. HGS 
'[MWh']]]=0,0,Tabla1[[#This Row],[G. HGS 
'[MWh']]]+Tabla1[[#This Row],[Con. Aux. '[MWh']2]])</f>
        <v>1348.64</v>
      </c>
      <c r="AC68" s="368">
        <f>'C. ENER. TN'!F68</f>
        <v>0</v>
      </c>
      <c r="AD68" s="370">
        <f>'C. ENER. TN'!G68</f>
        <v>1299.5695999999998</v>
      </c>
      <c r="AE68" s="370">
        <f>'G. Un GE'!AX68</f>
        <v>165.28703214285716</v>
      </c>
      <c r="AF68" s="368">
        <f>IFERROR('G. Un GE'!AX68/Tabla1[[#This Row],[PO '[h']]],0)</f>
        <v>6.8869596726190485</v>
      </c>
      <c r="AG68" s="365">
        <f>'Ar-Pa'!AX68</f>
        <v>1</v>
      </c>
      <c r="AH68" s="365">
        <f>'Ar-Pa'!AY68</f>
        <v>1</v>
      </c>
      <c r="AI68" s="365">
        <f>SUM('Cal. Arr'!AB71:AY71)</f>
        <v>0</v>
      </c>
      <c r="AJ68" s="442">
        <v>0</v>
      </c>
      <c r="AK68" s="442">
        <v>1.4</v>
      </c>
      <c r="AL68" s="267">
        <f t="shared" si="21"/>
        <v>369.84087330140778</v>
      </c>
      <c r="AM68" s="267">
        <f>+CONVERT(AK68+Tabla1[[#This Row],[Con. DO Storage Gen. '[m3']]],"m^3","gal")</f>
        <v>369.84087330140778</v>
      </c>
      <c r="AN68" s="372">
        <f>SUM('DO Pilot'!B68:Y68)</f>
        <v>6.8200000000000021</v>
      </c>
      <c r="AO68" s="372">
        <f t="shared" si="22"/>
        <v>1801.6533970825728</v>
      </c>
      <c r="AP68" s="267">
        <f>AK68+AN68+Tabla1[[#This Row],[Con. DO Storage Gen. '[m3']]]</f>
        <v>8.2200000000000024</v>
      </c>
      <c r="AQ68" s="372">
        <f t="shared" si="29"/>
        <v>2171.4942703839806</v>
      </c>
      <c r="AR68" s="442">
        <v>0</v>
      </c>
      <c r="AS68" s="442">
        <v>0</v>
      </c>
      <c r="AT68" s="267">
        <f>+CONVERT(SUM(Tabla1[[#This Row],[Repo. DO Storage '[gal']]:[Repo. DO Pilot '[gal']]]),"gal","m3")</f>
        <v>0</v>
      </c>
      <c r="AU68" s="442">
        <v>0</v>
      </c>
      <c r="AV68" s="267">
        <f t="shared" si="19"/>
        <v>0</v>
      </c>
      <c r="AW68" s="442">
        <v>0</v>
      </c>
      <c r="AX68" s="267">
        <f t="shared" si="23"/>
        <v>0</v>
      </c>
      <c r="AY68" s="372">
        <f t="shared" si="24"/>
        <v>0.28210592929169165</v>
      </c>
      <c r="AZ68" s="372">
        <f>IFERROR(AL68/'Ar-Pa'!AX68,0)</f>
        <v>369.84087330140778</v>
      </c>
      <c r="BA68" s="372">
        <f>IFERROR(AL68/'Ar-Pa'!AY68,0)</f>
        <v>369.84087330140778</v>
      </c>
      <c r="BB68" s="372">
        <f t="shared" si="25"/>
        <v>1.3742588841209555</v>
      </c>
      <c r="BC68" s="372">
        <f>IFERROR(AVERAGEIF('DO Pilot'!AX68:BU68,"&gt;0"),0)</f>
        <v>9.5487189758622417</v>
      </c>
      <c r="BD68" s="445">
        <v>354677</v>
      </c>
      <c r="BE68" s="445">
        <v>12555</v>
      </c>
      <c r="BF68" s="445">
        <v>356438</v>
      </c>
      <c r="BG68" s="223">
        <f>Tabla1[[#This Row],[ Re. Gas GC
 '[m3']]]</f>
        <v>356438</v>
      </c>
      <c r="BH68" s="150">
        <f>IFERROR((BG68*Gas!$B$3)/28.31685,0)</f>
        <v>12539.403459071191</v>
      </c>
      <c r="BI68" s="151">
        <f t="shared" si="20"/>
        <v>-15.596540928809191</v>
      </c>
      <c r="BJ68" s="74">
        <f t="shared" si="30"/>
        <v>-1.2438024647437611E-3</v>
      </c>
      <c r="BK68" s="223">
        <f t="shared" si="26"/>
        <v>9576.6590389016019</v>
      </c>
      <c r="BL68" s="442">
        <v>0</v>
      </c>
      <c r="BM68" s="150">
        <f t="shared" si="27"/>
        <v>9297.8136931065292</v>
      </c>
      <c r="BN68" s="150">
        <f t="shared" si="28"/>
        <v>9648.8894931608047</v>
      </c>
      <c r="BO68" s="373">
        <f>IFERROR(Tabla1[[#This Row],[ Re. Gas GC
 '[m3']]]/Tabla1[[#This Row],[G. HGS 
Con Gas '[kWh']]],0)</f>
        <v>0.27188253241800153</v>
      </c>
      <c r="BP68" s="374">
        <f>Tank!Y69</f>
        <v>0</v>
      </c>
      <c r="BQ68" s="70">
        <f>Tank!AP69</f>
        <v>0</v>
      </c>
      <c r="BR68" s="70">
        <f>Tank!V69</f>
        <v>0</v>
      </c>
      <c r="BS68" s="372">
        <f>Tank!T69</f>
        <v>0</v>
      </c>
      <c r="BT68" s="375" t="s">
        <v>228</v>
      </c>
      <c r="BU68" s="449">
        <v>71</v>
      </c>
      <c r="BV68" s="375">
        <f>IF(Tabla1[[#This Row],[Combustible ofertado]]="GAS",Tabla1[[#This Row],[Disponibilidad]],0)</f>
        <v>0</v>
      </c>
      <c r="BW68" s="375">
        <f>IF(Tabla1[[#This Row],[Combustible ofertado]]="DIESEL",Tabla1[[#This Row],[Disponibilidad]],0)</f>
        <v>71</v>
      </c>
      <c r="BX68" s="375">
        <f>IF(Tabla1[[#This Row],[Combustible ofertado]]="HFO",Tabla1[[#This Row],[Disponibilidad]],0)</f>
        <v>0</v>
      </c>
      <c r="BY68" s="454">
        <v>1440</v>
      </c>
      <c r="BZ68" s="446">
        <f>'Horo. M'!C69</f>
        <v>23</v>
      </c>
      <c r="CA68" s="446">
        <f>'Horo. M'!E69</f>
        <v>24</v>
      </c>
      <c r="CB68" s="446">
        <f>'Horo. M'!G69</f>
        <v>24</v>
      </c>
      <c r="CC68" s="446">
        <f>'Horo. M'!I69</f>
        <v>0</v>
      </c>
      <c r="CD68" s="446">
        <f>'Horo. M'!K69</f>
        <v>0</v>
      </c>
      <c r="CE68" s="446">
        <f>'Horo. M'!M69</f>
        <v>23</v>
      </c>
      <c r="CF68" s="446">
        <f>'Horo. M'!O69</f>
        <v>20</v>
      </c>
      <c r="CG68" s="446">
        <f>'Horo. M'!Q69</f>
        <v>24</v>
      </c>
      <c r="CH68" s="446">
        <f>'Horo. M'!S69</f>
        <v>24</v>
      </c>
      <c r="CI68" s="446">
        <f>'Horo. M'!U69</f>
        <v>24</v>
      </c>
      <c r="CJ68" s="70">
        <f>Tabla1[[#This Row],[Con. DO Storage '[gal']]]-Tabla1[[#This Row],[C. DO Storage Ge '[gal']]]</f>
        <v>369.84087330140778</v>
      </c>
      <c r="CK68" s="70"/>
      <c r="CL68" s="70"/>
      <c r="CM68" s="372">
        <f>Tabla1[[#This Row],[Con. DO Total '[gal']]]*131485.5/(1000000)</f>
        <v>285.52000988857287</v>
      </c>
    </row>
    <row r="69" spans="1:91" s="5" customFormat="1" ht="15" customHeight="1">
      <c r="A69" s="362">
        <v>44994</v>
      </c>
      <c r="B69" s="363" t="str">
        <f>TEXT(Tabla1[[#This Row],[Fecha]],"mmmm")</f>
        <v>marzo</v>
      </c>
      <c r="C69" s="429">
        <v>0</v>
      </c>
      <c r="D69" s="430">
        <v>1280</v>
      </c>
      <c r="E69" s="430">
        <v>1277</v>
      </c>
      <c r="F69" s="430">
        <v>1322</v>
      </c>
      <c r="G69" s="431">
        <v>0</v>
      </c>
      <c r="H69" s="431">
        <v>0</v>
      </c>
      <c r="I69" s="432">
        <v>0</v>
      </c>
      <c r="J69" s="432">
        <v>0</v>
      </c>
      <c r="K69" s="430">
        <v>24</v>
      </c>
      <c r="L69" s="430">
        <v>24</v>
      </c>
      <c r="M69" s="365">
        <f>Tabla1[[#This Row],[Columna1]]-Tabla1[[#This Row],[PO '[h']]]</f>
        <v>0</v>
      </c>
      <c r="N69" s="365">
        <f t="shared" si="18"/>
        <v>1322</v>
      </c>
      <c r="O69" s="430">
        <v>1322</v>
      </c>
      <c r="P69" s="367">
        <f>Tabla1[[#This Row],[G. HGS 
'[MWh']]]</f>
        <v>1322</v>
      </c>
      <c r="Q69" s="430">
        <v>0</v>
      </c>
      <c r="R69" s="367">
        <v>0</v>
      </c>
      <c r="S69" s="367">
        <f>Tabla1[[#This Row],[G. HGS 
Con Gas]]*1000</f>
        <v>1322000</v>
      </c>
      <c r="T69" s="365">
        <f>Tabla1[[#This Row],[G. HGS 
'[MWh']]]*1000</f>
        <v>1322000</v>
      </c>
      <c r="U69" s="368">
        <f>SUM('G. Un GE'!B69:Y69)</f>
        <v>1310.1997000000001</v>
      </c>
      <c r="V69" s="369">
        <f>Tabla1[[#This Row],[R. GE
'[MWh']]]</f>
        <v>1310.1997000000001</v>
      </c>
      <c r="W69" s="434">
        <v>0</v>
      </c>
      <c r="X69" s="369">
        <v>0</v>
      </c>
      <c r="Y69" s="365">
        <f>Tabla1[[#This Row],[R. GE
'[MWh']]]*1000</f>
        <v>1310199.7000000002</v>
      </c>
      <c r="Z69" s="434">
        <v>37</v>
      </c>
      <c r="AA6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</v>
      </c>
      <c r="AB69" s="368">
        <f>IF(Tabla1[[#This Row],[G. HGS 
'[MWh']]]=0,0,Tabla1[[#This Row],[G. HGS 
'[MWh']]]+Tabla1[[#This Row],[Con. Aux. '[MWh']2]])</f>
        <v>1359</v>
      </c>
      <c r="AC69" s="368">
        <f>'C. ENER. TN'!F69</f>
        <v>0</v>
      </c>
      <c r="AD69" s="370">
        <f>'C. ENER. TN'!G69</f>
        <v>1310.1997000000001</v>
      </c>
      <c r="AE69" s="370">
        <f>'G. Un GE'!AX69</f>
        <v>166.66891428571429</v>
      </c>
      <c r="AF69" s="368">
        <f>IFERROR('G. Un GE'!AX69/Tabla1[[#This Row],[PO '[h']]],0)</f>
        <v>6.9445380952380953</v>
      </c>
      <c r="AG69" s="365">
        <f>'Ar-Pa'!AX69</f>
        <v>2</v>
      </c>
      <c r="AH69" s="365">
        <f>'Ar-Pa'!AY69</f>
        <v>2</v>
      </c>
      <c r="AI69" s="365">
        <f>SUM('Cal. Arr'!AB72:AY72)</f>
        <v>0</v>
      </c>
      <c r="AJ69" s="442">
        <v>0</v>
      </c>
      <c r="AK69" s="442">
        <v>2.2999999999999998</v>
      </c>
      <c r="AL69" s="267">
        <f t="shared" si="21"/>
        <v>607.59572042374134</v>
      </c>
      <c r="AM69" s="267">
        <f>+CONVERT(AK69+Tabla1[[#This Row],[Con. DO Storage Gen. '[m3']]],"m^3","gal")</f>
        <v>607.59572042374134</v>
      </c>
      <c r="AN69" s="372">
        <f>SUM('DO Pilot'!B69:Y69)</f>
        <v>6.780000000000002</v>
      </c>
      <c r="AO69" s="372">
        <f t="shared" si="22"/>
        <v>1791.0865149882468</v>
      </c>
      <c r="AP69" s="267">
        <f>AK69+AN69+Tabla1[[#This Row],[Con. DO Storage Gen. '[m3']]]</f>
        <v>9.0800000000000018</v>
      </c>
      <c r="AQ69" s="372">
        <f t="shared" si="29"/>
        <v>2398.6822354119881</v>
      </c>
      <c r="AR69" s="442">
        <v>0</v>
      </c>
      <c r="AS69" s="442">
        <v>0</v>
      </c>
      <c r="AT69" s="267">
        <f>+CONVERT(SUM(Tabla1[[#This Row],[Repo. DO Storage '[gal']]:[Repo. DO Pilot '[gal']]]),"gal","m3")</f>
        <v>0</v>
      </c>
      <c r="AU69" s="442">
        <v>0</v>
      </c>
      <c r="AV69" s="267">
        <f t="shared" si="19"/>
        <v>0</v>
      </c>
      <c r="AW69" s="442">
        <v>0</v>
      </c>
      <c r="AX69" s="267">
        <f t="shared" si="23"/>
        <v>0</v>
      </c>
      <c r="AY69" s="372">
        <f t="shared" si="24"/>
        <v>0.45960341938255772</v>
      </c>
      <c r="AZ69" s="372">
        <f>IFERROR(AL69/'Ar-Pa'!AX69,0)</f>
        <v>303.79786021187067</v>
      </c>
      <c r="BA69" s="372">
        <f>IFERROR(AL69/'Ar-Pa'!AY69,0)</f>
        <v>303.79786021187067</v>
      </c>
      <c r="BB69" s="372">
        <f t="shared" si="25"/>
        <v>1.3548309493103228</v>
      </c>
      <c r="BC69" s="372">
        <f>IFERROR(AVERAGEIF('DO Pilot'!AX69:BU69,"&gt;0"),0)</f>
        <v>9.4936831316209602</v>
      </c>
      <c r="BD69" s="445">
        <v>359234</v>
      </c>
      <c r="BE69" s="445">
        <v>12716</v>
      </c>
      <c r="BF69" s="445">
        <v>358026</v>
      </c>
      <c r="BG69" s="223">
        <f>Tabla1[[#This Row],[ Re. Gas GC
 '[m3']]]</f>
        <v>358026</v>
      </c>
      <c r="BH69" s="150">
        <f>IFERROR((BG69*Gas!$B$3)/28.31685,0)</f>
        <v>12595.268918682692</v>
      </c>
      <c r="BI69" s="151">
        <f t="shared" si="20"/>
        <v>-120.73108131730805</v>
      </c>
      <c r="BJ69" s="74">
        <f t="shared" si="30"/>
        <v>-9.5854310135630692E-3</v>
      </c>
      <c r="BK69" s="223">
        <f t="shared" si="26"/>
        <v>9618.7594553706513</v>
      </c>
      <c r="BL69" s="442">
        <v>0</v>
      </c>
      <c r="BM69" s="150">
        <f t="shared" si="27"/>
        <v>9268.0418827687208</v>
      </c>
      <c r="BN69" s="150">
        <f t="shared" si="28"/>
        <v>9613.2436289541893</v>
      </c>
      <c r="BO69" s="373">
        <f>IFERROR(Tabla1[[#This Row],[ Re. Gas GC
 '[m3']]]/Tabla1[[#This Row],[G. HGS 
Con Gas '[kWh']]],0)</f>
        <v>0.27082148260211802</v>
      </c>
      <c r="BP69" s="374">
        <f>Tank!Y70</f>
        <v>0</v>
      </c>
      <c r="BQ69" s="70">
        <f>Tank!AP70</f>
        <v>0</v>
      </c>
      <c r="BR69" s="70">
        <f>Tank!V70</f>
        <v>0</v>
      </c>
      <c r="BS69" s="372">
        <f>Tank!T70</f>
        <v>0</v>
      </c>
      <c r="BT69" s="375" t="s">
        <v>228</v>
      </c>
      <c r="BU69" s="449">
        <v>71</v>
      </c>
      <c r="BV69" s="375">
        <f>IF(Tabla1[[#This Row],[Combustible ofertado]]="GAS",Tabla1[[#This Row],[Disponibilidad]],0)</f>
        <v>0</v>
      </c>
      <c r="BW69" s="375">
        <f>IF(Tabla1[[#This Row],[Combustible ofertado]]="DIESEL",Tabla1[[#This Row],[Disponibilidad]],0)</f>
        <v>71</v>
      </c>
      <c r="BX69" s="375">
        <f>IF(Tabla1[[#This Row],[Combustible ofertado]]="HFO",Tabla1[[#This Row],[Disponibilidad]],0)</f>
        <v>0</v>
      </c>
      <c r="BY69" s="454">
        <v>1440</v>
      </c>
      <c r="BZ69" s="446">
        <f>'Horo. M'!C70</f>
        <v>23</v>
      </c>
      <c r="CA69" s="446">
        <f>'Horo. M'!E70</f>
        <v>24</v>
      </c>
      <c r="CB69" s="446">
        <f>'Horo. M'!G70</f>
        <v>24</v>
      </c>
      <c r="CC69" s="446">
        <f>'Horo. M'!I70</f>
        <v>24</v>
      </c>
      <c r="CD69" s="446">
        <f>'Horo. M'!K70</f>
        <v>0</v>
      </c>
      <c r="CE69" s="446">
        <f>'Horo. M'!M70</f>
        <v>24</v>
      </c>
      <c r="CF69" s="446">
        <f>'Horo. M'!O70</f>
        <v>22</v>
      </c>
      <c r="CG69" s="446">
        <f>'Horo. M'!Q70</f>
        <v>24</v>
      </c>
      <c r="CH69" s="446">
        <f>'Horo. M'!S70</f>
        <v>0</v>
      </c>
      <c r="CI69" s="446">
        <f>'Horo. M'!U70</f>
        <v>24</v>
      </c>
      <c r="CJ69" s="70">
        <f>Tabla1[[#This Row],[Con. DO Storage '[gal']]]-Tabla1[[#This Row],[C. DO Storage Ge '[gal']]]</f>
        <v>607.59572042374134</v>
      </c>
      <c r="CK69" s="70"/>
      <c r="CL69" s="70"/>
      <c r="CM69" s="372">
        <f>Tabla1[[#This Row],[Con. DO Total '[gal']]]*131485.5/(1000000)</f>
        <v>315.39193306426301</v>
      </c>
    </row>
    <row r="70" spans="1:91" s="5" customFormat="1" ht="15" customHeight="1">
      <c r="A70" s="362">
        <v>44995</v>
      </c>
      <c r="B70" s="363" t="str">
        <f>TEXT(Tabla1[[#This Row],[Fecha]],"mmmm")</f>
        <v>marzo</v>
      </c>
      <c r="C70" s="429">
        <v>0</v>
      </c>
      <c r="D70" s="430">
        <v>1272</v>
      </c>
      <c r="E70" s="430">
        <v>1272</v>
      </c>
      <c r="F70" s="430">
        <v>1308</v>
      </c>
      <c r="G70" s="431">
        <v>0</v>
      </c>
      <c r="H70" s="431">
        <v>0</v>
      </c>
      <c r="I70" s="432">
        <v>0</v>
      </c>
      <c r="J70" s="432">
        <v>0</v>
      </c>
      <c r="K70" s="430">
        <v>24</v>
      </c>
      <c r="L70" s="430">
        <v>24</v>
      </c>
      <c r="M70" s="365">
        <f>Tabla1[[#This Row],[Columna1]]-Tabla1[[#This Row],[PO '[h']]]</f>
        <v>0</v>
      </c>
      <c r="N70" s="365">
        <f t="shared" si="18"/>
        <v>1308</v>
      </c>
      <c r="O70" s="430">
        <v>1308</v>
      </c>
      <c r="P70" s="367">
        <f>Tabla1[[#This Row],[G. HGS 
'[MWh']]]</f>
        <v>1308</v>
      </c>
      <c r="Q70" s="430">
        <v>0</v>
      </c>
      <c r="R70" s="367">
        <v>0</v>
      </c>
      <c r="S70" s="367">
        <f>Tabla1[[#This Row],[G. HGS 
Con Gas]]*1000</f>
        <v>1308000</v>
      </c>
      <c r="T70" s="365">
        <f>Tabla1[[#This Row],[G. HGS 
'[MWh']]]*1000</f>
        <v>1308000</v>
      </c>
      <c r="U70" s="368">
        <f>SUM('G. Un GE'!B70:Y70)</f>
        <v>1297.0120000000004</v>
      </c>
      <c r="V70" s="369">
        <f>Tabla1[[#This Row],[R. GE
'[MWh']]]</f>
        <v>1297.0120000000004</v>
      </c>
      <c r="W70" s="434">
        <v>0</v>
      </c>
      <c r="X70" s="369">
        <v>0</v>
      </c>
      <c r="Y70" s="365">
        <f>Tabla1[[#This Row],[R. GE
'[MWh']]]*1000</f>
        <v>1297012.0000000005</v>
      </c>
      <c r="Z70" s="434">
        <v>38.03</v>
      </c>
      <c r="AA7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38.03</v>
      </c>
      <c r="AB70" s="368">
        <f>IF(Tabla1[[#This Row],[G. HGS 
'[MWh']]]=0,0,Tabla1[[#This Row],[G. HGS 
'[MWh']]]+Tabla1[[#This Row],[Con. Aux. '[MWh']2]])</f>
        <v>1346.03</v>
      </c>
      <c r="AC70" s="368">
        <f>'C. ENER. TN'!F70</f>
        <v>0</v>
      </c>
      <c r="AD70" s="370">
        <f>'C. ENER. TN'!G70</f>
        <v>1297.0119999999999</v>
      </c>
      <c r="AE70" s="370">
        <f>'G. Un GE'!AX70</f>
        <v>164.99271250000004</v>
      </c>
      <c r="AF70" s="368">
        <f>IFERROR('G. Un GE'!AX70/Tabla1[[#This Row],[PO '[h']]],0)</f>
        <v>6.8746963541666686</v>
      </c>
      <c r="AG70" s="365">
        <f>'Ar-Pa'!AX70</f>
        <v>1</v>
      </c>
      <c r="AH70" s="365">
        <f>'Ar-Pa'!AY70</f>
        <v>1</v>
      </c>
      <c r="AI70" s="365">
        <f>SUM('Cal. Arr'!AB73:AY73)</f>
        <v>0</v>
      </c>
      <c r="AJ70" s="442">
        <v>0</v>
      </c>
      <c r="AK70" s="442">
        <v>1.3</v>
      </c>
      <c r="AL70" s="267">
        <f t="shared" si="21"/>
        <v>343.42366806559295</v>
      </c>
      <c r="AM70" s="267">
        <f>+CONVERT(AK70+Tabla1[[#This Row],[Con. DO Storage Gen. '[m3']]],"m^3","gal")</f>
        <v>343.42366806559295</v>
      </c>
      <c r="AN70" s="372">
        <f>SUM('DO Pilot'!B70:Y70)</f>
        <v>6.49</v>
      </c>
      <c r="AO70" s="372">
        <f t="shared" si="22"/>
        <v>1714.4766198043833</v>
      </c>
      <c r="AP70" s="267">
        <f>AK70+AN70+Tabla1[[#This Row],[Con. DO Storage Gen. '[m3']]]</f>
        <v>7.79</v>
      </c>
      <c r="AQ70" s="372">
        <f t="shared" si="29"/>
        <v>2057.9002878699762</v>
      </c>
      <c r="AR70" s="442">
        <v>0</v>
      </c>
      <c r="AS70" s="442">
        <v>0</v>
      </c>
      <c r="AT70" s="267">
        <f>+CONVERT(SUM(Tabla1[[#This Row],[Repo. DO Storage '[gal']]:[Repo. DO Pilot '[gal']]]),"gal","m3")</f>
        <v>0</v>
      </c>
      <c r="AU70" s="442">
        <v>0</v>
      </c>
      <c r="AV70" s="267">
        <f t="shared" si="19"/>
        <v>0</v>
      </c>
      <c r="AW70" s="442">
        <v>0</v>
      </c>
      <c r="AX70" s="267">
        <f t="shared" si="23"/>
        <v>0</v>
      </c>
      <c r="AY70" s="372">
        <f t="shared" si="24"/>
        <v>0.26255632115106492</v>
      </c>
      <c r="AZ70" s="372">
        <f>IFERROR(AL70/'Ar-Pa'!AX70,0)</f>
        <v>343.42366806559295</v>
      </c>
      <c r="BA70" s="372">
        <f>IFERROR(AL70/'Ar-Pa'!AY70,0)</f>
        <v>343.42366806559295</v>
      </c>
      <c r="BB70" s="372">
        <f t="shared" si="25"/>
        <v>1.3107619417464704</v>
      </c>
      <c r="BC70" s="372">
        <f>IFERROR(AVERAGEIF('DO Pilot'!AX70:BU70,"&gt;0"),0)</f>
        <v>9.0887765632743935</v>
      </c>
      <c r="BD70" s="445">
        <v>356874</v>
      </c>
      <c r="BE70" s="445">
        <v>12633</v>
      </c>
      <c r="BF70" s="445">
        <v>355314</v>
      </c>
      <c r="BG70" s="223">
        <f>Tabla1[[#This Row],[ Re. Gas GC
 '[m3']]]</f>
        <v>355314</v>
      </c>
      <c r="BH70" s="150">
        <f>IFERROR((BG70*Gas!$B$3)/28.31685,0)</f>
        <v>12499.861408313423</v>
      </c>
      <c r="BI70" s="151">
        <f t="shared" si="20"/>
        <v>-133.13859168657655</v>
      </c>
      <c r="BJ70" s="74">
        <f t="shared" si="30"/>
        <v>-1.0651205428408075E-2</v>
      </c>
      <c r="BK70" s="223">
        <f t="shared" si="26"/>
        <v>9658.2568807339449</v>
      </c>
      <c r="BL70" s="442">
        <v>0</v>
      </c>
      <c r="BM70" s="150">
        <f t="shared" si="27"/>
        <v>9286.4656867331523</v>
      </c>
      <c r="BN70" s="150">
        <f t="shared" si="28"/>
        <v>9637.42926689454</v>
      </c>
      <c r="BO70" s="373">
        <f>IFERROR(Tabla1[[#This Row],[ Re. Gas GC
 '[m3']]]/Tabla1[[#This Row],[G. HGS 
Con Gas '[kWh']]],0)</f>
        <v>0.27164678899082567</v>
      </c>
      <c r="BP70" s="374">
        <f>Tank!Y71</f>
        <v>0</v>
      </c>
      <c r="BQ70" s="70">
        <f>Tank!AP71</f>
        <v>36.69</v>
      </c>
      <c r="BR70" s="70">
        <f>Tank!V71</f>
        <v>0</v>
      </c>
      <c r="BS70" s="372">
        <f>Tank!T71</f>
        <v>0</v>
      </c>
      <c r="BT70" s="375" t="s">
        <v>228</v>
      </c>
      <c r="BU70" s="449">
        <v>71</v>
      </c>
      <c r="BV70" s="375">
        <f>IF(Tabla1[[#This Row],[Combustible ofertado]]="GAS",Tabla1[[#This Row],[Disponibilidad]],0)</f>
        <v>0</v>
      </c>
      <c r="BW70" s="375">
        <f>IF(Tabla1[[#This Row],[Combustible ofertado]]="DIESEL",Tabla1[[#This Row],[Disponibilidad]],0)</f>
        <v>71</v>
      </c>
      <c r="BX70" s="375">
        <f>IF(Tabla1[[#This Row],[Combustible ofertado]]="HFO",Tabla1[[#This Row],[Disponibilidad]],0)</f>
        <v>0</v>
      </c>
      <c r="BY70" s="454">
        <v>1440</v>
      </c>
      <c r="BZ70" s="446">
        <f>'Horo. M'!C71</f>
        <v>22</v>
      </c>
      <c r="CA70" s="446">
        <f>'Horo. M'!E71</f>
        <v>24</v>
      </c>
      <c r="CB70" s="446">
        <f>'Horo. M'!G71</f>
        <v>24</v>
      </c>
      <c r="CC70" s="446">
        <f>'Horo. M'!I71</f>
        <v>24</v>
      </c>
      <c r="CD70" s="446">
        <f>'Horo. M'!K71</f>
        <v>0</v>
      </c>
      <c r="CE70" s="446">
        <f>'Horo. M'!M71</f>
        <v>1</v>
      </c>
      <c r="CF70" s="446">
        <f>'Horo. M'!O71</f>
        <v>21</v>
      </c>
      <c r="CG70" s="446">
        <f>'Horo. M'!Q71</f>
        <v>23</v>
      </c>
      <c r="CH70" s="446">
        <f>'Horo. M'!S71</f>
        <v>24</v>
      </c>
      <c r="CI70" s="446">
        <f>'Horo. M'!U71</f>
        <v>24</v>
      </c>
      <c r="CJ70" s="70">
        <f>Tabla1[[#This Row],[Con. DO Storage '[gal']]]-Tabla1[[#This Row],[C. DO Storage Ge '[gal']]]</f>
        <v>343.42366806559295</v>
      </c>
      <c r="CK70" s="70"/>
      <c r="CL70" s="70"/>
      <c r="CM70" s="372">
        <f>Tabla1[[#This Row],[Con. DO Total '[gal']]]*131485.5/(1000000)</f>
        <v>270.58404830072772</v>
      </c>
    </row>
    <row r="71" spans="1:91" s="5" customFormat="1" ht="15" customHeight="1">
      <c r="A71" s="362">
        <v>44996</v>
      </c>
      <c r="B71" s="363" t="str">
        <f>TEXT(Tabla1[[#This Row],[Fecha]],"mmmm")</f>
        <v>marzo</v>
      </c>
      <c r="C71" s="429">
        <v>0</v>
      </c>
      <c r="D71" s="430">
        <v>1272</v>
      </c>
      <c r="E71" s="430">
        <v>1272</v>
      </c>
      <c r="F71" s="430">
        <v>1292</v>
      </c>
      <c r="G71" s="431">
        <v>0</v>
      </c>
      <c r="H71" s="431">
        <v>0</v>
      </c>
      <c r="I71" s="432">
        <v>0</v>
      </c>
      <c r="J71" s="432">
        <v>0</v>
      </c>
      <c r="K71" s="430">
        <v>24</v>
      </c>
      <c r="L71" s="430">
        <v>24</v>
      </c>
      <c r="M71" s="365">
        <f>Tabla1[[#This Row],[Columna1]]-Tabla1[[#This Row],[PO '[h']]]</f>
        <v>0</v>
      </c>
      <c r="N71" s="365">
        <f t="shared" si="18"/>
        <v>1292</v>
      </c>
      <c r="O71" s="430">
        <v>1292</v>
      </c>
      <c r="P71" s="367">
        <f>Tabla1[[#This Row],[G. HGS 
'[MWh']]]</f>
        <v>1292</v>
      </c>
      <c r="Q71" s="430">
        <v>0</v>
      </c>
      <c r="R71" s="367">
        <v>0</v>
      </c>
      <c r="S71" s="367">
        <f>Tabla1[[#This Row],[G. HGS 
Con Gas]]*1000</f>
        <v>1292000</v>
      </c>
      <c r="T71" s="365">
        <f>Tabla1[[#This Row],[G. HGS 
'[MWh']]]*1000</f>
        <v>1292000</v>
      </c>
      <c r="U71" s="368">
        <f>SUM('G. Un GE'!B71:Y71)</f>
        <v>1281.1267</v>
      </c>
      <c r="V71" s="369">
        <f>Tabla1[[#This Row],[R. GE
'[MWh']]]</f>
        <v>1281.1267</v>
      </c>
      <c r="W71" s="434">
        <v>0</v>
      </c>
      <c r="X71" s="369">
        <v>0</v>
      </c>
      <c r="Y71" s="365">
        <f>Tabla1[[#This Row],[R. GE
'[MWh']]]*1000</f>
        <v>1281126.7</v>
      </c>
      <c r="Z71" s="434">
        <v>36.549999999999997</v>
      </c>
      <c r="AA7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36.549999999999997</v>
      </c>
      <c r="AB71" s="368">
        <f>IF(Tabla1[[#This Row],[G. HGS 
'[MWh']]]=0,0,Tabla1[[#This Row],[G. HGS 
'[MWh']]]+Tabla1[[#This Row],[Con. Aux. '[MWh']2]])</f>
        <v>1328.55</v>
      </c>
      <c r="AC71" s="368">
        <f>'C. ENER. TN'!F71</f>
        <v>0</v>
      </c>
      <c r="AD71" s="370">
        <f>'C. ENER. TN'!G71</f>
        <v>1281.1267000000003</v>
      </c>
      <c r="AE71" s="370">
        <f>'G. Un GE'!AX71</f>
        <v>174.28811607142853</v>
      </c>
      <c r="AF71" s="368">
        <f>IFERROR('G. Un GE'!AX71/Tabla1[[#This Row],[PO '[h']]],0)</f>
        <v>7.2620048363095222</v>
      </c>
      <c r="AG71" s="365">
        <f>'Ar-Pa'!AX71</f>
        <v>2</v>
      </c>
      <c r="AH71" s="365">
        <f>'Ar-Pa'!AY71</f>
        <v>2</v>
      </c>
      <c r="AI71" s="365">
        <f>SUM('Cal. Arr'!AB74:AY74)</f>
        <v>0</v>
      </c>
      <c r="AJ71" s="442">
        <v>0</v>
      </c>
      <c r="AK71" s="442">
        <v>1.8</v>
      </c>
      <c r="AL71" s="267">
        <f t="shared" si="21"/>
        <v>475.50969424466717</v>
      </c>
      <c r="AM71" s="267">
        <f>+CONVERT(AK71+Tabla1[[#This Row],[Con. DO Storage Gen. '[m3']]],"m^3","gal")</f>
        <v>475.50969424466717</v>
      </c>
      <c r="AN71" s="372">
        <f>SUM('DO Pilot'!B71:Y71)</f>
        <v>6.3099999999999987</v>
      </c>
      <c r="AO71" s="372">
        <f t="shared" si="22"/>
        <v>1666.9256503799163</v>
      </c>
      <c r="AP71" s="267">
        <f>AK71+AN71+Tabla1[[#This Row],[Con. DO Storage Gen. '[m3']]]</f>
        <v>8.11</v>
      </c>
      <c r="AQ71" s="372">
        <f t="shared" si="29"/>
        <v>2142.4353446245836</v>
      </c>
      <c r="AR71" s="442">
        <v>0</v>
      </c>
      <c r="AS71" s="442">
        <v>0</v>
      </c>
      <c r="AT71" s="267">
        <f>+CONVERT(SUM(Tabla1[[#This Row],[Repo. DO Storage '[gal']]:[Repo. DO Pilot '[gal']]]),"gal","m3")</f>
        <v>0</v>
      </c>
      <c r="AU71" s="442">
        <v>0</v>
      </c>
      <c r="AV71" s="267">
        <f t="shared" si="19"/>
        <v>0</v>
      </c>
      <c r="AW71" s="442">
        <v>0</v>
      </c>
      <c r="AX71" s="267">
        <f t="shared" si="23"/>
        <v>0</v>
      </c>
      <c r="AY71" s="372">
        <f t="shared" si="24"/>
        <v>0.36804155901290031</v>
      </c>
      <c r="AZ71" s="372">
        <f>IFERROR(AL71/'Ar-Pa'!AX71,0)</f>
        <v>237.75484712233359</v>
      </c>
      <c r="BA71" s="372">
        <f>IFERROR(AL71/'Ar-Pa'!AY71,0)</f>
        <v>237.75484712233359</v>
      </c>
      <c r="BB71" s="372">
        <f t="shared" si="25"/>
        <v>1.2901901318730002</v>
      </c>
      <c r="BC71" s="372">
        <f>IFERROR(AVERAGEIF('DO Pilot'!AX71:BU71,"&gt;0"),0)</f>
        <v>9.4491303053303977</v>
      </c>
      <c r="BD71" s="445">
        <v>351214</v>
      </c>
      <c r="BE71" s="445">
        <v>12432</v>
      </c>
      <c r="BF71" s="445">
        <v>348180</v>
      </c>
      <c r="BG71" s="223">
        <f>Tabla1[[#This Row],[ Re. Gas GC
 '[m3']]]</f>
        <v>348180</v>
      </c>
      <c r="BH71" s="150">
        <f>IFERROR((BG71*Gas!$B$3)/28.31685,0)</f>
        <v>12248.888997187189</v>
      </c>
      <c r="BI71" s="151">
        <f t="shared" si="20"/>
        <v>-183.11100281281142</v>
      </c>
      <c r="BJ71" s="74">
        <f t="shared" si="30"/>
        <v>-1.4949192768002117E-2</v>
      </c>
      <c r="BK71" s="223">
        <f t="shared" si="26"/>
        <v>9622.2910216718265</v>
      </c>
      <c r="BL71" s="442">
        <v>0</v>
      </c>
      <c r="BM71" s="150">
        <f t="shared" si="27"/>
        <v>9219.742574375965</v>
      </c>
      <c r="BN71" s="150">
        <f t="shared" si="28"/>
        <v>9561.0285830333487</v>
      </c>
      <c r="BO71" s="373">
        <f>IFERROR(Tabla1[[#This Row],[ Re. Gas GC
 '[m3']]]/Tabla1[[#This Row],[G. HGS 
Con Gas '[kWh']]],0)</f>
        <v>0.26948916408668733</v>
      </c>
      <c r="BP71" s="374">
        <f>Tank!Y72</f>
        <v>0</v>
      </c>
      <c r="BQ71" s="70">
        <f>Tank!AP72</f>
        <v>0</v>
      </c>
      <c r="BR71" s="70">
        <f>Tank!V72</f>
        <v>0</v>
      </c>
      <c r="BS71" s="372">
        <f>Tank!T72</f>
        <v>0</v>
      </c>
      <c r="BT71" s="375" t="s">
        <v>228</v>
      </c>
      <c r="BU71" s="449">
        <v>71</v>
      </c>
      <c r="BV71" s="375">
        <f>IF(Tabla1[[#This Row],[Combustible ofertado]]="GAS",Tabla1[[#This Row],[Disponibilidad]],0)</f>
        <v>0</v>
      </c>
      <c r="BW71" s="375">
        <f>IF(Tabla1[[#This Row],[Combustible ofertado]]="DIESEL",Tabla1[[#This Row],[Disponibilidad]],0)</f>
        <v>71</v>
      </c>
      <c r="BX71" s="375">
        <f>IF(Tabla1[[#This Row],[Combustible ofertado]]="HFO",Tabla1[[#This Row],[Disponibilidad]],0)</f>
        <v>0</v>
      </c>
      <c r="BY71" s="454">
        <v>1440</v>
      </c>
      <c r="BZ71" s="446">
        <f>'Horo. M'!C72</f>
        <v>13</v>
      </c>
      <c r="CA71" s="446">
        <f>'Horo. M'!E72</f>
        <v>24</v>
      </c>
      <c r="CB71" s="446">
        <f>'Horo. M'!G72</f>
        <v>24</v>
      </c>
      <c r="CC71" s="446">
        <f>'Horo. M'!I72</f>
        <v>0</v>
      </c>
      <c r="CD71" s="446">
        <f>'Horo. M'!K72</f>
        <v>0</v>
      </c>
      <c r="CE71" s="446">
        <f>'Horo. M'!M72</f>
        <v>23</v>
      </c>
      <c r="CF71" s="446">
        <f>'Horo. M'!O72</f>
        <v>24</v>
      </c>
      <c r="CG71" s="446">
        <f>'Horo. M'!Q72</f>
        <v>21</v>
      </c>
      <c r="CH71" s="446">
        <f>'Horo. M'!S72</f>
        <v>24</v>
      </c>
      <c r="CI71" s="446">
        <f>'Horo. M'!U72</f>
        <v>24</v>
      </c>
      <c r="CJ71" s="70">
        <f>Tabla1[[#This Row],[Con. DO Storage '[gal']]]-Tabla1[[#This Row],[C. DO Storage Ge '[gal']]]</f>
        <v>475.50969424466717</v>
      </c>
      <c r="CK71" s="70"/>
      <c r="CL71" s="70"/>
      <c r="CM71" s="372">
        <f>Tabla1[[#This Row],[Con. DO Total '[gal']]]*131485.5/(1000000)</f>
        <v>281.69918250563569</v>
      </c>
    </row>
    <row r="72" spans="1:91" s="5" customFormat="1" ht="15" customHeight="1">
      <c r="A72" s="362">
        <v>44997</v>
      </c>
      <c r="B72" s="363" t="str">
        <f>TEXT(Tabla1[[#This Row],[Fecha]],"mmmm")</f>
        <v>marzo</v>
      </c>
      <c r="C72" s="429">
        <v>0</v>
      </c>
      <c r="D72" s="430">
        <v>1272</v>
      </c>
      <c r="E72" s="430">
        <v>1272</v>
      </c>
      <c r="F72" s="430">
        <v>1285</v>
      </c>
      <c r="G72" s="431">
        <v>0</v>
      </c>
      <c r="H72" s="431">
        <v>0</v>
      </c>
      <c r="I72" s="432">
        <v>0</v>
      </c>
      <c r="J72" s="432">
        <v>0</v>
      </c>
      <c r="K72" s="430">
        <v>24</v>
      </c>
      <c r="L72" s="430">
        <v>24</v>
      </c>
      <c r="M72" s="365">
        <f>Tabla1[[#This Row],[Columna1]]-Tabla1[[#This Row],[PO '[h']]]</f>
        <v>0</v>
      </c>
      <c r="N72" s="365">
        <f t="shared" si="18"/>
        <v>1285</v>
      </c>
      <c r="O72" s="430">
        <v>1285</v>
      </c>
      <c r="P72" s="367">
        <f>Tabla1[[#This Row],[G. HGS 
'[MWh']]]</f>
        <v>1285</v>
      </c>
      <c r="Q72" s="430">
        <v>0</v>
      </c>
      <c r="R72" s="367">
        <v>0</v>
      </c>
      <c r="S72" s="367">
        <f>Tabla1[[#This Row],[G. HGS 
Con Gas]]*1000</f>
        <v>1285000</v>
      </c>
      <c r="T72" s="365">
        <f>Tabla1[[#This Row],[G. HGS 
'[MWh']]]*1000</f>
        <v>1285000</v>
      </c>
      <c r="U72" s="368">
        <f>SUM('G. Un GE'!B72:Y72)</f>
        <v>1274.3511000000001</v>
      </c>
      <c r="V72" s="369">
        <f>Tabla1[[#This Row],[R. GE
'[MWh']]]</f>
        <v>1274.3511000000001</v>
      </c>
      <c r="W72" s="434">
        <v>0</v>
      </c>
      <c r="X72" s="369">
        <v>0</v>
      </c>
      <c r="Y72" s="365">
        <f>Tabla1[[#This Row],[R. GE
'[MWh']]]*1000</f>
        <v>1274351.1000000001</v>
      </c>
      <c r="Z72" s="434">
        <v>36.14</v>
      </c>
      <c r="AA7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36.14</v>
      </c>
      <c r="AB72" s="368">
        <f>IF(Tabla1[[#This Row],[G. HGS 
'[MWh']]]=0,0,Tabla1[[#This Row],[G. HGS 
'[MWh']]]+Tabla1[[#This Row],[Con. Aux. '[MWh']2]])</f>
        <v>1321.14</v>
      </c>
      <c r="AC72" s="368">
        <f>'C. ENER. TN'!F72</f>
        <v>0</v>
      </c>
      <c r="AD72" s="370">
        <f>'C. ENER. TN'!G72</f>
        <v>1274.3511000000001</v>
      </c>
      <c r="AE72" s="370">
        <f>'G. Un GE'!AX72</f>
        <v>177.19323392857143</v>
      </c>
      <c r="AF72" s="368">
        <f>IFERROR('G. Un GE'!AX72/Tabla1[[#This Row],[PO '[h']]],0)</f>
        <v>7.3830514136904766</v>
      </c>
      <c r="AG72" s="365">
        <f>'Ar-Pa'!AX72</f>
        <v>1</v>
      </c>
      <c r="AH72" s="365">
        <f>'Ar-Pa'!AY72</f>
        <v>1</v>
      </c>
      <c r="AI72" s="365">
        <f>SUM('Cal. Arr'!AB75:AY75)</f>
        <v>0</v>
      </c>
      <c r="AJ72" s="442">
        <v>0</v>
      </c>
      <c r="AK72" s="442">
        <v>2.1</v>
      </c>
      <c r="AL72" s="267">
        <f t="shared" si="21"/>
        <v>554.76130995211167</v>
      </c>
      <c r="AM72" s="267">
        <f>+CONVERT(AK72+Tabla1[[#This Row],[Con. DO Storage Gen. '[m3']]],"m^3","gal")</f>
        <v>554.76130995211167</v>
      </c>
      <c r="AN72" s="372">
        <f>SUM('DO Pilot'!B72:Y72)</f>
        <v>6.2999999999999972</v>
      </c>
      <c r="AO72" s="372">
        <f t="shared" si="22"/>
        <v>1664.2839298563345</v>
      </c>
      <c r="AP72" s="267">
        <f>AK72+AN72+Tabla1[[#This Row],[Con. DO Storage Gen. '[m3']]]</f>
        <v>8.3999999999999968</v>
      </c>
      <c r="AQ72" s="372">
        <f t="shared" si="29"/>
        <v>2219.0452398084458</v>
      </c>
      <c r="AR72" s="442">
        <v>0</v>
      </c>
      <c r="AS72" s="442">
        <v>0</v>
      </c>
      <c r="AT72" s="267">
        <f>+CONVERT(SUM(Tabla1[[#This Row],[Repo. DO Storage '[gal']]:[Repo. DO Pilot '[gal']]]),"gal","m3")</f>
        <v>0</v>
      </c>
      <c r="AU72" s="442">
        <v>0</v>
      </c>
      <c r="AV72" s="267">
        <f t="shared" si="19"/>
        <v>0</v>
      </c>
      <c r="AW72" s="442">
        <v>0</v>
      </c>
      <c r="AX72" s="267">
        <f t="shared" si="23"/>
        <v>0</v>
      </c>
      <c r="AY72" s="372">
        <f t="shared" si="24"/>
        <v>0.43172086377596242</v>
      </c>
      <c r="AZ72" s="372">
        <f>IFERROR(AL72/'Ar-Pa'!AX72,0)</f>
        <v>554.76130995211167</v>
      </c>
      <c r="BA72" s="372">
        <f>IFERROR(AL72/'Ar-Pa'!AY72,0)</f>
        <v>554.76130995211167</v>
      </c>
      <c r="BB72" s="372">
        <f t="shared" si="25"/>
        <v>1.2951625913278868</v>
      </c>
      <c r="BC72" s="372">
        <f>IFERROR(AVERAGEIF('DO Pilot'!AX72:BU72,"&gt;0"),0)</f>
        <v>9.643066137418721</v>
      </c>
      <c r="BD72" s="445">
        <v>346925</v>
      </c>
      <c r="BE72" s="445">
        <v>12281</v>
      </c>
      <c r="BF72" s="445">
        <v>344893</v>
      </c>
      <c r="BG72" s="223">
        <f>Tabla1[[#This Row],[ Re. Gas GC
 '[m3']]]</f>
        <v>344893</v>
      </c>
      <c r="BH72" s="150">
        <f>IFERROR((BG72*Gas!$B$3)/28.31685,0)</f>
        <v>12133.253124553048</v>
      </c>
      <c r="BI72" s="151">
        <f t="shared" si="20"/>
        <v>-147.74687544695189</v>
      </c>
      <c r="BJ72" s="74">
        <f t="shared" si="30"/>
        <v>-1.2177020781670574E-2</v>
      </c>
      <c r="BK72" s="223">
        <f t="shared" si="26"/>
        <v>9557.1984435797658</v>
      </c>
      <c r="BL72" s="442">
        <v>0</v>
      </c>
      <c r="BM72" s="150">
        <f t="shared" si="27"/>
        <v>9183.926854499181</v>
      </c>
      <c r="BN72" s="150">
        <f t="shared" si="28"/>
        <v>9521.1226517974883</v>
      </c>
      <c r="BO72" s="373">
        <f>IFERROR(Tabla1[[#This Row],[ Re. Gas GC
 '[m3']]]/Tabla1[[#This Row],[G. HGS 
Con Gas '[kWh']]],0)</f>
        <v>0.26839922178988329</v>
      </c>
      <c r="BP72" s="374">
        <f>Tank!Y73</f>
        <v>0</v>
      </c>
      <c r="BQ72" s="70">
        <f>Tank!AP73</f>
        <v>0</v>
      </c>
      <c r="BR72" s="70">
        <f>Tank!V73</f>
        <v>0</v>
      </c>
      <c r="BS72" s="372">
        <f>Tank!T73</f>
        <v>0</v>
      </c>
      <c r="BT72" s="375" t="s">
        <v>228</v>
      </c>
      <c r="BU72" s="449">
        <v>71</v>
      </c>
      <c r="BV72" s="375">
        <f>IF(Tabla1[[#This Row],[Combustible ofertado]]="GAS",Tabla1[[#This Row],[Disponibilidad]],0)</f>
        <v>0</v>
      </c>
      <c r="BW72" s="375">
        <f>IF(Tabla1[[#This Row],[Combustible ofertado]]="DIESEL",Tabla1[[#This Row],[Disponibilidad]],0)</f>
        <v>71</v>
      </c>
      <c r="BX72" s="375">
        <f>IF(Tabla1[[#This Row],[Combustible ofertado]]="HFO",Tabla1[[#This Row],[Disponibilidad]],0)</f>
        <v>0</v>
      </c>
      <c r="BY72" s="454">
        <v>1440</v>
      </c>
      <c r="BZ72" s="446">
        <f>'Horo. M'!C73</f>
        <v>24</v>
      </c>
      <c r="CA72" s="446">
        <f>'Horo. M'!E73</f>
        <v>24</v>
      </c>
      <c r="CB72" s="446">
        <f>'Horo. M'!G73</f>
        <v>24</v>
      </c>
      <c r="CC72" s="446">
        <f>'Horo. M'!I73</f>
        <v>7</v>
      </c>
      <c r="CD72" s="446">
        <f>'Horo. M'!K73</f>
        <v>0</v>
      </c>
      <c r="CE72" s="446">
        <f>'Horo. M'!M73</f>
        <v>0</v>
      </c>
      <c r="CF72" s="446">
        <f>'Horo. M'!O73</f>
        <v>24</v>
      </c>
      <c r="CG72" s="446">
        <f>'Horo. M'!Q73</f>
        <v>24</v>
      </c>
      <c r="CH72" s="446">
        <f>'Horo. M'!S73</f>
        <v>20</v>
      </c>
      <c r="CI72" s="446">
        <f>'Horo. M'!U73</f>
        <v>24</v>
      </c>
      <c r="CJ72" s="70">
        <f>Tabla1[[#This Row],[Con. DO Storage '[gal']]]-Tabla1[[#This Row],[C. DO Storage Ge '[gal']]]</f>
        <v>554.76130995211167</v>
      </c>
      <c r="CK72" s="70"/>
      <c r="CL72" s="70"/>
      <c r="CM72" s="372">
        <f>Tabla1[[#This Row],[Con. DO Total '[gal']]]*131485.5/(1000000)</f>
        <v>291.77227287883341</v>
      </c>
    </row>
    <row r="73" spans="1:91" s="5" customFormat="1" ht="15" customHeight="1">
      <c r="A73" s="362">
        <v>44998</v>
      </c>
      <c r="B73" s="363" t="str">
        <f>TEXT(Tabla1[[#This Row],[Fecha]],"mmmm")</f>
        <v>marzo</v>
      </c>
      <c r="C73" s="429">
        <v>0</v>
      </c>
      <c r="D73" s="430">
        <v>1272</v>
      </c>
      <c r="E73" s="430">
        <v>1272</v>
      </c>
      <c r="F73" s="430">
        <v>1287</v>
      </c>
      <c r="G73" s="431">
        <v>0</v>
      </c>
      <c r="H73" s="431">
        <v>0</v>
      </c>
      <c r="I73" s="432">
        <v>0</v>
      </c>
      <c r="J73" s="432">
        <v>0</v>
      </c>
      <c r="K73" s="430">
        <v>24</v>
      </c>
      <c r="L73" s="430">
        <v>24</v>
      </c>
      <c r="M73" s="365">
        <f>Tabla1[[#This Row],[Columna1]]-Tabla1[[#This Row],[PO '[h']]]</f>
        <v>0</v>
      </c>
      <c r="N73" s="365">
        <f t="shared" si="18"/>
        <v>1287</v>
      </c>
      <c r="O73" s="430">
        <v>1287</v>
      </c>
      <c r="P73" s="367">
        <f>Tabla1[[#This Row],[G. HGS 
'[MWh']]]</f>
        <v>1287</v>
      </c>
      <c r="Q73" s="430">
        <v>0</v>
      </c>
      <c r="R73" s="367">
        <v>0</v>
      </c>
      <c r="S73" s="367">
        <f>Tabla1[[#This Row],[G. HGS 
Con Gas]]*1000</f>
        <v>1287000</v>
      </c>
      <c r="T73" s="365">
        <f>Tabla1[[#This Row],[G. HGS 
'[MWh']]]*1000</f>
        <v>1287000</v>
      </c>
      <c r="U73" s="368">
        <f>SUM('G. Un GE'!B73:Y73)</f>
        <v>1275.2791000000002</v>
      </c>
      <c r="V73" s="369">
        <f>Tabla1[[#This Row],[R. GE
'[MWh']]]</f>
        <v>1275.2791000000002</v>
      </c>
      <c r="W73" s="434">
        <v>0</v>
      </c>
      <c r="X73" s="369">
        <v>0</v>
      </c>
      <c r="Y73" s="365">
        <f>Tabla1[[#This Row],[R. GE
'[MWh']]]*1000</f>
        <v>1275279.1000000001</v>
      </c>
      <c r="Z73" s="434">
        <v>38.26</v>
      </c>
      <c r="AA7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38.26</v>
      </c>
      <c r="AB73" s="368">
        <f>IF(Tabla1[[#This Row],[G. HGS 
'[MWh']]]=0,0,Tabla1[[#This Row],[G. HGS 
'[MWh']]]+Tabla1[[#This Row],[Con. Aux. '[MWh']2]])</f>
        <v>1325.26</v>
      </c>
      <c r="AC73" s="368">
        <f>'C. ENER. TN'!F73</f>
        <v>0</v>
      </c>
      <c r="AD73" s="370">
        <f>'C. ENER. TN'!G73</f>
        <v>1275.2790999999995</v>
      </c>
      <c r="AE73" s="370">
        <f>'G. Un GE'!AX73</f>
        <v>162.2072482142857</v>
      </c>
      <c r="AF73" s="368">
        <f>IFERROR('G. Un GE'!AX73/Tabla1[[#This Row],[PO '[h']]],0)</f>
        <v>6.7586353422619041</v>
      </c>
      <c r="AG73" s="365">
        <f>'Ar-Pa'!AX73</f>
        <v>1</v>
      </c>
      <c r="AH73" s="365">
        <f>'Ar-Pa'!AY73</f>
        <v>1</v>
      </c>
      <c r="AI73" s="365">
        <f>SUM('Cal. Arr'!AB76:AY76)</f>
        <v>0</v>
      </c>
      <c r="AJ73" s="442">
        <v>0</v>
      </c>
      <c r="AK73" s="442">
        <v>1</v>
      </c>
      <c r="AL73" s="267">
        <f t="shared" si="21"/>
        <v>264.17205235814845</v>
      </c>
      <c r="AM73" s="267">
        <f>+CONVERT(AK73+Tabla1[[#This Row],[Con. DO Storage Gen. '[m3']]],"m^3","gal")</f>
        <v>264.17205235814845</v>
      </c>
      <c r="AN73" s="372">
        <f>SUM('DO Pilot'!B73:Y73)</f>
        <v>6.4499999999999975</v>
      </c>
      <c r="AO73" s="372">
        <f t="shared" si="22"/>
        <v>1703.9097377100566</v>
      </c>
      <c r="AP73" s="267">
        <f>AK73+AN73+Tabla1[[#This Row],[Con. DO Storage Gen. '[m3']]]</f>
        <v>7.4499999999999975</v>
      </c>
      <c r="AQ73" s="372">
        <f t="shared" si="29"/>
        <v>1968.081790068205</v>
      </c>
      <c r="AR73" s="442">
        <v>0</v>
      </c>
      <c r="AS73" s="442">
        <v>0</v>
      </c>
      <c r="AT73" s="267">
        <f>+CONVERT(SUM(Tabla1[[#This Row],[Repo. DO Storage '[gal']]:[Repo. DO Pilot '[gal']]]),"gal","m3")</f>
        <v>0</v>
      </c>
      <c r="AU73" s="442">
        <v>0</v>
      </c>
      <c r="AV73" s="267">
        <f t="shared" si="19"/>
        <v>0</v>
      </c>
      <c r="AW73" s="442">
        <v>0</v>
      </c>
      <c r="AX73" s="267">
        <f t="shared" si="23"/>
        <v>0</v>
      </c>
      <c r="AY73" s="372">
        <f t="shared" si="24"/>
        <v>0.2052618899441713</v>
      </c>
      <c r="AZ73" s="372">
        <f>IFERROR(AL73/'Ar-Pa'!AX73,0)</f>
        <v>264.17205235814845</v>
      </c>
      <c r="BA73" s="372">
        <f>IFERROR(AL73/'Ar-Pa'!AY73,0)</f>
        <v>264.17205235814845</v>
      </c>
      <c r="BB73" s="372">
        <f t="shared" si="25"/>
        <v>1.323939190139904</v>
      </c>
      <c r="BC73" s="372">
        <f>IFERROR(AVERAGEIF('DO Pilot'!AX73:BU73,"&gt;0"),0)</f>
        <v>9.0278440214358309</v>
      </c>
      <c r="BD73" s="445">
        <v>354206</v>
      </c>
      <c r="BE73" s="445">
        <v>12538</v>
      </c>
      <c r="BF73" s="445">
        <v>344893</v>
      </c>
      <c r="BG73" s="223">
        <f>Tabla1[[#This Row],[ Re. Gas GC
 '[m3']]]</f>
        <v>344893</v>
      </c>
      <c r="BH73" s="150">
        <f>IFERROR((BG73*Gas!$B$3)/28.31685,0)</f>
        <v>12133.253124553048</v>
      </c>
      <c r="BI73" s="151">
        <f t="shared" si="20"/>
        <v>-404.74687544695189</v>
      </c>
      <c r="BJ73" s="74">
        <f t="shared" si="30"/>
        <v>-3.3358479485431615E-2</v>
      </c>
      <c r="BK73" s="223">
        <f t="shared" si="26"/>
        <v>9742.0357420357432</v>
      </c>
      <c r="BL73" s="442">
        <v>0</v>
      </c>
      <c r="BM73" s="150">
        <f t="shared" si="27"/>
        <v>9155.3756429327441</v>
      </c>
      <c r="BN73" s="150">
        <f t="shared" si="28"/>
        <v>9514.1942846495695</v>
      </c>
      <c r="BO73" s="373">
        <f>IFERROR(Tabla1[[#This Row],[ Re. Gas GC
 '[m3']]]/Tabla1[[#This Row],[G. HGS 
Con Gas '[kWh']]],0)</f>
        <v>0.26798212898212898</v>
      </c>
      <c r="BP73" s="374">
        <f>Tank!Y74</f>
        <v>0</v>
      </c>
      <c r="BQ73" s="70">
        <f>Tank!AP74</f>
        <v>27.6</v>
      </c>
      <c r="BR73" s="70">
        <f>Tank!V74</f>
        <v>0</v>
      </c>
      <c r="BS73" s="372">
        <f>Tank!T74</f>
        <v>0</v>
      </c>
      <c r="BT73" s="375" t="s">
        <v>228</v>
      </c>
      <c r="BU73" s="449">
        <v>71</v>
      </c>
      <c r="BV73" s="375">
        <f>IF(Tabla1[[#This Row],[Combustible ofertado]]="GAS",Tabla1[[#This Row],[Disponibilidad]],0)</f>
        <v>0</v>
      </c>
      <c r="BW73" s="375">
        <f>IF(Tabla1[[#This Row],[Combustible ofertado]]="DIESEL",Tabla1[[#This Row],[Disponibilidad]],0)</f>
        <v>71</v>
      </c>
      <c r="BX73" s="375">
        <f>IF(Tabla1[[#This Row],[Combustible ofertado]]="HFO",Tabla1[[#This Row],[Disponibilidad]],0)</f>
        <v>0</v>
      </c>
      <c r="BY73" s="454">
        <v>1440</v>
      </c>
      <c r="BZ73" s="446">
        <f>'Horo. M'!C74</f>
        <v>24</v>
      </c>
      <c r="CA73" s="446">
        <f>'Horo. M'!E74</f>
        <v>24</v>
      </c>
      <c r="CB73" s="446">
        <f>'Horo. M'!G74</f>
        <v>24</v>
      </c>
      <c r="CC73" s="446">
        <f>'Horo. M'!I74</f>
        <v>24</v>
      </c>
      <c r="CD73" s="446">
        <f>'Horo. M'!K74</f>
        <v>0</v>
      </c>
      <c r="CE73" s="446">
        <f>'Horo. M'!M74</f>
        <v>24</v>
      </c>
      <c r="CF73" s="446">
        <f>'Horo. M'!O74</f>
        <v>20</v>
      </c>
      <c r="CG73" s="446">
        <f>'Horo. M'!Q74</f>
        <v>24</v>
      </c>
      <c r="CH73" s="446">
        <f>'Horo. M'!S74</f>
        <v>0</v>
      </c>
      <c r="CI73" s="446">
        <f>'Horo. M'!U74</f>
        <v>24</v>
      </c>
      <c r="CJ73" s="70">
        <f>Tabla1[[#This Row],[Con. DO Storage '[gal']]]-Tabla1[[#This Row],[C. DO Storage Ge '[gal']]]</f>
        <v>264.17205235814845</v>
      </c>
      <c r="CK73" s="70"/>
      <c r="CL73" s="70"/>
      <c r="CM73" s="372">
        <f>Tabla1[[#This Row],[Con. DO Total '[gal']]]*131485.5/(1000000)</f>
        <v>258.774218208013</v>
      </c>
    </row>
    <row r="74" spans="1:91" s="5" customFormat="1" ht="15" customHeight="1">
      <c r="A74" s="362">
        <v>44999</v>
      </c>
      <c r="B74" s="363" t="str">
        <f>TEXT(Tabla1[[#This Row],[Fecha]],"mmmm")</f>
        <v>marzo</v>
      </c>
      <c r="C74" s="429">
        <v>0</v>
      </c>
      <c r="D74" s="430">
        <v>1272</v>
      </c>
      <c r="E74" s="430">
        <v>1272</v>
      </c>
      <c r="F74" s="430">
        <v>1293</v>
      </c>
      <c r="G74" s="431">
        <v>0</v>
      </c>
      <c r="H74" s="431">
        <v>0</v>
      </c>
      <c r="I74" s="432">
        <v>0</v>
      </c>
      <c r="J74" s="432">
        <v>0</v>
      </c>
      <c r="K74" s="430">
        <v>24</v>
      </c>
      <c r="L74" s="430">
        <v>24</v>
      </c>
      <c r="M74" s="365">
        <f>Tabla1[[#This Row],[Columna1]]-Tabla1[[#This Row],[PO '[h']]]</f>
        <v>0</v>
      </c>
      <c r="N74" s="365">
        <f t="shared" si="18"/>
        <v>1293</v>
      </c>
      <c r="O74" s="430">
        <v>1293</v>
      </c>
      <c r="P74" s="367">
        <f>Tabla1[[#This Row],[G. HGS 
'[MWh']]]</f>
        <v>1293</v>
      </c>
      <c r="Q74" s="430">
        <v>0</v>
      </c>
      <c r="R74" s="367">
        <v>0</v>
      </c>
      <c r="S74" s="367">
        <f>Tabla1[[#This Row],[G. HGS 
Con Gas]]*1000</f>
        <v>1293000</v>
      </c>
      <c r="T74" s="365">
        <f>Tabla1[[#This Row],[G. HGS 
'[MWh']]]*1000</f>
        <v>1293000</v>
      </c>
      <c r="U74" s="368">
        <f>SUM('G. Un GE'!B74:Y74)</f>
        <v>1283.1853000000003</v>
      </c>
      <c r="V74" s="369">
        <f>Tabla1[[#This Row],[R. GE
'[MWh']]]</f>
        <v>1283.1853000000003</v>
      </c>
      <c r="W74" s="434">
        <v>0</v>
      </c>
      <c r="X74" s="369">
        <v>0</v>
      </c>
      <c r="Y74" s="365">
        <f>Tabla1[[#This Row],[R. GE
'[MWh']]]*1000</f>
        <v>1283185.3000000003</v>
      </c>
      <c r="Z74" s="434">
        <v>38.5</v>
      </c>
      <c r="AA7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38.5</v>
      </c>
      <c r="AB74" s="368">
        <f>IF(Tabla1[[#This Row],[G. HGS 
'[MWh']]]=0,0,Tabla1[[#This Row],[G. HGS 
'[MWh']]]+Tabla1[[#This Row],[Con. Aux. '[MWh']2]])</f>
        <v>1331.5</v>
      </c>
      <c r="AC74" s="368">
        <f>'C. ENER. TN'!F74</f>
        <v>0</v>
      </c>
      <c r="AD74" s="370">
        <f>'C. ENER. TN'!G74</f>
        <v>1283.1852999999999</v>
      </c>
      <c r="AE74" s="370">
        <f>'G. Un GE'!AX74</f>
        <v>164.19497142857145</v>
      </c>
      <c r="AF74" s="368">
        <f>IFERROR('G. Un GE'!AX74/Tabla1[[#This Row],[PO '[h']]],0)</f>
        <v>6.841457142857144</v>
      </c>
      <c r="AG74" s="365">
        <f>'Ar-Pa'!AX74</f>
        <v>2</v>
      </c>
      <c r="AH74" s="365">
        <f>'Ar-Pa'!AY74</f>
        <v>2</v>
      </c>
      <c r="AI74" s="365">
        <f>SUM('Cal. Arr'!AB77:AY77)</f>
        <v>0</v>
      </c>
      <c r="AJ74" s="442">
        <v>0</v>
      </c>
      <c r="AK74" s="442">
        <v>1.8</v>
      </c>
      <c r="AL74" s="267">
        <f t="shared" si="21"/>
        <v>475.50969424466717</v>
      </c>
      <c r="AM74" s="267">
        <f>+CONVERT(AK74+Tabla1[[#This Row],[Con. DO Storage Gen. '[m3']]],"m^3","gal")</f>
        <v>475.50969424466717</v>
      </c>
      <c r="AN74" s="372">
        <f>SUM('DO Pilot'!B74:Y74)</f>
        <v>6.7100000000000017</v>
      </c>
      <c r="AO74" s="372">
        <f t="shared" si="22"/>
        <v>1772.5944713231763</v>
      </c>
      <c r="AP74" s="267">
        <f>AK74+AN74+Tabla1[[#This Row],[Con. DO Storage Gen. '[m3']]]</f>
        <v>8.5100000000000016</v>
      </c>
      <c r="AQ74" s="372">
        <f t="shared" si="29"/>
        <v>2248.1041655678437</v>
      </c>
      <c r="AR74" s="442">
        <v>0</v>
      </c>
      <c r="AS74" s="442">
        <v>10992</v>
      </c>
      <c r="AT74" s="267">
        <f>+CONVERT(SUM(Tabla1[[#This Row],[Repo. DO Storage '[gal']]:[Repo. DO Pilot '[gal']]]),"gal","m3")</f>
        <v>41.609246329727995</v>
      </c>
      <c r="AU74" s="442">
        <v>0</v>
      </c>
      <c r="AV74" s="267">
        <f t="shared" si="19"/>
        <v>0</v>
      </c>
      <c r="AW74" s="442">
        <v>0</v>
      </c>
      <c r="AX74" s="267">
        <f t="shared" si="23"/>
        <v>0</v>
      </c>
      <c r="AY74" s="372">
        <f t="shared" si="24"/>
        <v>0.36775691743593747</v>
      </c>
      <c r="AZ74" s="372">
        <f>IFERROR(AL74/'Ar-Pa'!AX74,0)</f>
        <v>237.75484712233359</v>
      </c>
      <c r="BA74" s="372">
        <f>IFERROR(AL74/'Ar-Pa'!AY74,0)</f>
        <v>237.75484712233359</v>
      </c>
      <c r="BB74" s="372">
        <f t="shared" si="25"/>
        <v>1.3709160644417451</v>
      </c>
      <c r="BC74" s="372">
        <f>IFERROR(AVERAGEIF('DO Pilot'!AX74:BU74,"&gt;0"),0)</f>
        <v>9.4484751167084795</v>
      </c>
      <c r="BD74" s="445">
        <v>353755</v>
      </c>
      <c r="BE74" s="445">
        <v>12522</v>
      </c>
      <c r="BF74" s="445">
        <v>350816</v>
      </c>
      <c r="BG74" s="223">
        <f>Tabla1[[#This Row],[ Re. Gas GC
 '[m3']]]</f>
        <v>350816</v>
      </c>
      <c r="BH74" s="150">
        <f>IFERROR((BG74*Gas!$B$3)/28.31685,0)</f>
        <v>12341.622845761447</v>
      </c>
      <c r="BI74" s="151">
        <f t="shared" si="20"/>
        <v>-180.37715423855298</v>
      </c>
      <c r="BJ74" s="74">
        <f t="shared" si="30"/>
        <v>-1.4615351359606725E-2</v>
      </c>
      <c r="BK74" s="223">
        <f t="shared" si="26"/>
        <v>9684.4547563805099</v>
      </c>
      <c r="BL74" s="442">
        <v>0</v>
      </c>
      <c r="BM74" s="150">
        <f t="shared" si="27"/>
        <v>9268.9619570119758</v>
      </c>
      <c r="BN74" s="150">
        <f t="shared" si="28"/>
        <v>9617.9584084710477</v>
      </c>
      <c r="BO74" s="373">
        <f>IFERROR(Tabla1[[#This Row],[ Re. Gas GC
 '[m3']]]/Tabla1[[#This Row],[G. HGS 
Con Gas '[kWh']]],0)</f>
        <v>0.27131941221964423</v>
      </c>
      <c r="BP74" s="374">
        <f>Tank!Y75</f>
        <v>27.641076846767998</v>
      </c>
      <c r="BQ74" s="70">
        <f>Tank!AP75</f>
        <v>31.8</v>
      </c>
      <c r="BR74" s="70">
        <f>Tank!V75</f>
        <v>0</v>
      </c>
      <c r="BS74" s="372">
        <f>Tank!T75</f>
        <v>0</v>
      </c>
      <c r="BT74" s="375" t="s">
        <v>228</v>
      </c>
      <c r="BU74" s="449">
        <v>71</v>
      </c>
      <c r="BV74" s="375">
        <f>IF(Tabla1[[#This Row],[Combustible ofertado]]="GAS",Tabla1[[#This Row],[Disponibilidad]],0)</f>
        <v>0</v>
      </c>
      <c r="BW74" s="375">
        <f>IF(Tabla1[[#This Row],[Combustible ofertado]]="DIESEL",Tabla1[[#This Row],[Disponibilidad]],0)</f>
        <v>71</v>
      </c>
      <c r="BX74" s="375">
        <f>IF(Tabla1[[#This Row],[Combustible ofertado]]="HFO",Tabla1[[#This Row],[Disponibilidad]],0)</f>
        <v>0</v>
      </c>
      <c r="BY74" s="454">
        <v>1440</v>
      </c>
      <c r="BZ74" s="446">
        <f>'Horo. M'!C75</f>
        <v>24</v>
      </c>
      <c r="CA74" s="446">
        <f>'Horo. M'!E75</f>
        <v>21</v>
      </c>
      <c r="CB74" s="446">
        <f>'Horo. M'!G75</f>
        <v>22</v>
      </c>
      <c r="CC74" s="446">
        <f>'Horo. M'!I75</f>
        <v>24</v>
      </c>
      <c r="CD74" s="446">
        <f>'Horo. M'!K75</f>
        <v>0</v>
      </c>
      <c r="CE74" s="446">
        <f>'Horo. M'!M75</f>
        <v>0</v>
      </c>
      <c r="CF74" s="446">
        <f>'Horo. M'!O75</f>
        <v>24</v>
      </c>
      <c r="CG74" s="446">
        <f>'Horo. M'!Q75</f>
        <v>24</v>
      </c>
      <c r="CH74" s="446">
        <f>'Horo. M'!S75</f>
        <v>24</v>
      </c>
      <c r="CI74" s="446">
        <f>'Horo. M'!U75</f>
        <v>24</v>
      </c>
      <c r="CJ74" s="70">
        <f>Tabla1[[#This Row],[Con. DO Storage '[gal']]]-Tabla1[[#This Row],[C. DO Storage Ge '[gal']]]</f>
        <v>475.50969424466717</v>
      </c>
      <c r="CK74" s="70"/>
      <c r="CL74" s="70"/>
      <c r="CM74" s="372">
        <f>Tabla1[[#This Row],[Con. DO Total '[gal']]]*131485.5/(1000000)</f>
        <v>295.5931002617707</v>
      </c>
    </row>
    <row r="75" spans="1:91" s="5" customFormat="1" ht="15" customHeight="1">
      <c r="A75" s="362">
        <v>45000</v>
      </c>
      <c r="B75" s="363" t="str">
        <f>TEXT(Tabla1[[#This Row],[Fecha]],"mmmm")</f>
        <v>marzo</v>
      </c>
      <c r="C75" s="429">
        <v>0</v>
      </c>
      <c r="D75" s="430">
        <v>1272</v>
      </c>
      <c r="E75" s="430">
        <v>1272</v>
      </c>
      <c r="F75" s="430">
        <v>1298</v>
      </c>
      <c r="G75" s="431">
        <v>0</v>
      </c>
      <c r="H75" s="431">
        <v>0</v>
      </c>
      <c r="I75" s="432">
        <v>0</v>
      </c>
      <c r="J75" s="432">
        <v>0</v>
      </c>
      <c r="K75" s="430">
        <v>24</v>
      </c>
      <c r="L75" s="430">
        <v>24</v>
      </c>
      <c r="M75" s="365">
        <f>Tabla1[[#This Row],[Columna1]]-Tabla1[[#This Row],[PO '[h']]]</f>
        <v>0</v>
      </c>
      <c r="N75" s="365">
        <f t="shared" si="18"/>
        <v>1298</v>
      </c>
      <c r="O75" s="430">
        <v>1298</v>
      </c>
      <c r="P75" s="367">
        <f>Tabla1[[#This Row],[G. HGS 
'[MWh']]]</f>
        <v>1298</v>
      </c>
      <c r="Q75" s="430">
        <v>0</v>
      </c>
      <c r="R75" s="367">
        <v>0</v>
      </c>
      <c r="S75" s="367">
        <f>Tabla1[[#This Row],[G. HGS 
Con Gas]]*1000</f>
        <v>1298000</v>
      </c>
      <c r="T75" s="365">
        <f>Tabla1[[#This Row],[G. HGS 
'[MWh']]]*1000</f>
        <v>1298000</v>
      </c>
      <c r="U75" s="368">
        <f>SUM('G. Un GE'!B75:Y75)</f>
        <v>1287.0416000000002</v>
      </c>
      <c r="V75" s="369">
        <f>Tabla1[[#This Row],[R. GE
'[MWh']]]</f>
        <v>1287.0416000000002</v>
      </c>
      <c r="W75" s="434">
        <v>0</v>
      </c>
      <c r="X75" s="369">
        <v>0</v>
      </c>
      <c r="Y75" s="365">
        <f>Tabla1[[#This Row],[R. GE
'[MWh']]]*1000</f>
        <v>1287041.6000000003</v>
      </c>
      <c r="Z75" s="434">
        <v>38.42</v>
      </c>
      <c r="AA7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38.42</v>
      </c>
      <c r="AB75" s="368">
        <f>IF(Tabla1[[#This Row],[G. HGS 
'[MWh']]]=0,0,Tabla1[[#This Row],[G. HGS 
'[MWh']]]+Tabla1[[#This Row],[Con. Aux. '[MWh']2]])</f>
        <v>1336.42</v>
      </c>
      <c r="AC75" s="368">
        <f>'C. ENER. TN'!F75</f>
        <v>0</v>
      </c>
      <c r="AD75" s="370">
        <f>'C. ENER. TN'!G75</f>
        <v>1287.0416000000002</v>
      </c>
      <c r="AE75" s="370">
        <f>'G. Un GE'!AX75</f>
        <v>165.66431250000002</v>
      </c>
      <c r="AF75" s="368">
        <f>IFERROR('G. Un GE'!AX75/Tabla1[[#This Row],[PO '[h']]],0)</f>
        <v>6.9026796875000009</v>
      </c>
      <c r="AG75" s="365">
        <f>'Ar-Pa'!AX75</f>
        <v>1</v>
      </c>
      <c r="AH75" s="365">
        <f>'Ar-Pa'!AY75</f>
        <v>1</v>
      </c>
      <c r="AI75" s="365">
        <f>SUM('Cal. Arr'!AB78:AY78)</f>
        <v>0</v>
      </c>
      <c r="AJ75" s="442">
        <v>0</v>
      </c>
      <c r="AK75" s="442">
        <v>1</v>
      </c>
      <c r="AL75" s="267">
        <f t="shared" si="21"/>
        <v>264.17205235814845</v>
      </c>
      <c r="AM75" s="267">
        <f>+CONVERT(AK75+Tabla1[[#This Row],[Con. DO Storage Gen. '[m3']]],"m^3","gal")</f>
        <v>264.17205235814845</v>
      </c>
      <c r="AN75" s="372">
        <f>SUM('DO Pilot'!B75:Y75)</f>
        <v>6.4099999999999984</v>
      </c>
      <c r="AO75" s="372">
        <f t="shared" si="22"/>
        <v>1693.342855615731</v>
      </c>
      <c r="AP75" s="267">
        <f>AK75+AN75+Tabla1[[#This Row],[Con. DO Storage Gen. '[m3']]]</f>
        <v>7.4099999999999984</v>
      </c>
      <c r="AQ75" s="372">
        <f t="shared" si="29"/>
        <v>1957.5149079738794</v>
      </c>
      <c r="AR75" s="442">
        <v>0</v>
      </c>
      <c r="AS75" s="442">
        <v>0</v>
      </c>
      <c r="AT75" s="267">
        <f>+CONVERT(SUM(Tabla1[[#This Row],[Repo. DO Storage '[gal']]:[Repo. DO Pilot '[gal']]]),"gal","m3")</f>
        <v>0</v>
      </c>
      <c r="AU75" s="442">
        <v>0</v>
      </c>
      <c r="AV75" s="267">
        <f t="shared" si="19"/>
        <v>0</v>
      </c>
      <c r="AW75" s="442">
        <v>0</v>
      </c>
      <c r="AX75" s="267">
        <f t="shared" si="23"/>
        <v>0</v>
      </c>
      <c r="AY75" s="372">
        <f t="shared" si="24"/>
        <v>0.20352238240227152</v>
      </c>
      <c r="AZ75" s="372">
        <f>IFERROR(AL75/'Ar-Pa'!AX75,0)</f>
        <v>264.17205235814845</v>
      </c>
      <c r="BA75" s="372">
        <f>IFERROR(AL75/'Ar-Pa'!AY75,0)</f>
        <v>264.17205235814845</v>
      </c>
      <c r="BB75" s="372">
        <f t="shared" si="25"/>
        <v>1.30457847119856</v>
      </c>
      <c r="BC75" s="372">
        <f>IFERROR(AVERAGEIF('DO Pilot'!AX75:BU75,"&gt;0"),0)</f>
        <v>9.0828798656771124</v>
      </c>
      <c r="BD75" s="445">
        <v>353598</v>
      </c>
      <c r="BE75" s="445">
        <v>12517</v>
      </c>
      <c r="BF75" s="445">
        <v>352930</v>
      </c>
      <c r="BG75" s="223">
        <f>Tabla1[[#This Row],[ Re. Gas GC
 '[m3']]]</f>
        <v>352930</v>
      </c>
      <c r="BH75" s="150">
        <f>IFERROR((BG75*Gas!$B$3)/28.31685,0)</f>
        <v>12415.992859375248</v>
      </c>
      <c r="BI75" s="151">
        <f t="shared" si="20"/>
        <v>-101.00714062475163</v>
      </c>
      <c r="BJ75" s="74">
        <f t="shared" si="30"/>
        <v>-8.135244741904123E-3</v>
      </c>
      <c r="BK75" s="223">
        <f t="shared" si="26"/>
        <v>9643.2973805855163</v>
      </c>
      <c r="BL75" s="442">
        <v>0</v>
      </c>
      <c r="BM75" s="150">
        <f t="shared" si="27"/>
        <v>9290.4871667404313</v>
      </c>
      <c r="BN75" s="150">
        <f t="shared" si="28"/>
        <v>9646.9242791959841</v>
      </c>
      <c r="BO75" s="373">
        <f>IFERROR(Tabla1[[#This Row],[ Re. Gas GC
 '[m3']]]/Tabla1[[#This Row],[G. HGS 
Con Gas '[kWh']]],0)</f>
        <v>0.27190292758089368</v>
      </c>
      <c r="BP75" s="374">
        <f>Tank!Y76</f>
        <v>0</v>
      </c>
      <c r="BQ75" s="70">
        <f>Tank!AP76</f>
        <v>24.3</v>
      </c>
      <c r="BR75" s="70">
        <f>Tank!V76</f>
        <v>0</v>
      </c>
      <c r="BS75" s="372">
        <f>Tank!T76</f>
        <v>0</v>
      </c>
      <c r="BT75" s="375" t="s">
        <v>228</v>
      </c>
      <c r="BU75" s="449">
        <v>71</v>
      </c>
      <c r="BV75" s="375">
        <f>IF(Tabla1[[#This Row],[Combustible ofertado]]="GAS",Tabla1[[#This Row],[Disponibilidad]],0)</f>
        <v>0</v>
      </c>
      <c r="BW75" s="375">
        <f>IF(Tabla1[[#This Row],[Combustible ofertado]]="DIESEL",Tabla1[[#This Row],[Disponibilidad]],0)</f>
        <v>71</v>
      </c>
      <c r="BX75" s="375">
        <f>IF(Tabla1[[#This Row],[Combustible ofertado]]="HFO",Tabla1[[#This Row],[Disponibilidad]],0)</f>
        <v>0</v>
      </c>
      <c r="BY75" s="454">
        <v>1440</v>
      </c>
      <c r="BZ75" s="446">
        <f>'Horo. M'!C76</f>
        <v>24</v>
      </c>
      <c r="CA75" s="446">
        <f>'Horo. M'!E76</f>
        <v>20</v>
      </c>
      <c r="CB75" s="446">
        <f>'Horo. M'!G76</f>
        <v>13</v>
      </c>
      <c r="CC75" s="446">
        <f>'Horo. M'!I76</f>
        <v>24</v>
      </c>
      <c r="CD75" s="446">
        <f>'Horo. M'!K76</f>
        <v>0</v>
      </c>
      <c r="CE75" s="446">
        <f>'Horo. M'!M76</f>
        <v>16</v>
      </c>
      <c r="CF75" s="446">
        <f>'Horo. M'!O76</f>
        <v>24</v>
      </c>
      <c r="CG75" s="446">
        <f>'Horo. M'!Q76</f>
        <v>24</v>
      </c>
      <c r="CH75" s="446">
        <f>'Horo. M'!S76</f>
        <v>24</v>
      </c>
      <c r="CI75" s="446">
        <f>'Horo. M'!U76</f>
        <v>18</v>
      </c>
      <c r="CJ75" s="70">
        <f>Tabla1[[#This Row],[Con. DO Storage '[gal']]]-Tabla1[[#This Row],[C. DO Storage Ge '[gal']]]</f>
        <v>264.17205235814845</v>
      </c>
      <c r="CK75" s="70"/>
      <c r="CL75" s="70"/>
      <c r="CM75" s="372">
        <f>Tabla1[[#This Row],[Con. DO Total '[gal']]]*131485.5/(1000000)</f>
        <v>257.38482643239951</v>
      </c>
    </row>
    <row r="76" spans="1:91" s="5" customFormat="1" ht="15" customHeight="1">
      <c r="A76" s="362">
        <v>45001</v>
      </c>
      <c r="B76" s="363" t="str">
        <f>TEXT(Tabla1[[#This Row],[Fecha]],"mmmm")</f>
        <v>marzo</v>
      </c>
      <c r="C76" s="429">
        <v>0</v>
      </c>
      <c r="D76" s="430">
        <v>1137</v>
      </c>
      <c r="E76" s="430">
        <v>1137</v>
      </c>
      <c r="F76" s="430">
        <v>1154</v>
      </c>
      <c r="G76" s="431">
        <v>0</v>
      </c>
      <c r="H76" s="431">
        <v>0</v>
      </c>
      <c r="I76" s="432">
        <v>0</v>
      </c>
      <c r="J76" s="432">
        <v>0</v>
      </c>
      <c r="K76" s="430">
        <v>23</v>
      </c>
      <c r="L76" s="430">
        <v>24</v>
      </c>
      <c r="M76" s="365">
        <f>Tabla1[[#This Row],[Columna1]]-Tabla1[[#This Row],[PO '[h']]]</f>
        <v>1</v>
      </c>
      <c r="N76" s="365">
        <f t="shared" si="18"/>
        <v>1154</v>
      </c>
      <c r="O76" s="430">
        <v>1154</v>
      </c>
      <c r="P76" s="367">
        <f>Tabla1[[#This Row],[G. HGS 
'[MWh']]]</f>
        <v>1154</v>
      </c>
      <c r="Q76" s="430">
        <v>0</v>
      </c>
      <c r="R76" s="367">
        <v>0</v>
      </c>
      <c r="S76" s="367">
        <f>Tabla1[[#This Row],[G. HGS 
Con Gas]]*1000</f>
        <v>1154000</v>
      </c>
      <c r="T76" s="365">
        <f>Tabla1[[#This Row],[G. HGS 
'[MWh']]]*1000</f>
        <v>1154000</v>
      </c>
      <c r="U76" s="368">
        <f>SUM('G. Un GE'!B76:Y76)</f>
        <v>1143.0885000000001</v>
      </c>
      <c r="V76" s="369">
        <f>Tabla1[[#This Row],[R. GE
'[MWh']]]</f>
        <v>1143.0885000000001</v>
      </c>
      <c r="W76" s="434">
        <v>0</v>
      </c>
      <c r="X76" s="369">
        <v>0</v>
      </c>
      <c r="Y76" s="365">
        <f>Tabla1[[#This Row],[R. GE
'[MWh']]]*1000</f>
        <v>1143088.5</v>
      </c>
      <c r="Z76" s="434">
        <v>34.97</v>
      </c>
      <c r="AA7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34.261099999999999</v>
      </c>
      <c r="AB76" s="368">
        <f>IF(Tabla1[[#This Row],[G. HGS 
'[MWh']]]=0,0,Tabla1[[#This Row],[G. HGS 
'[MWh']]]+Tabla1[[#This Row],[Con. Aux. '[MWh']2]])</f>
        <v>1188.2610999999999</v>
      </c>
      <c r="AC76" s="368">
        <f>'C. ENER. TN'!F76</f>
        <v>0.70889999999999997</v>
      </c>
      <c r="AD76" s="370">
        <f>'C. ENER. TN'!G76</f>
        <v>1143.0885000000001</v>
      </c>
      <c r="AE76" s="370">
        <f>'G. Un GE'!AX76</f>
        <v>164.06652321428572</v>
      </c>
      <c r="AF76" s="368">
        <f>IFERROR('G. Un GE'!AX76/Tabla1[[#This Row],[PO '[h']]],0)</f>
        <v>7.133327096273292</v>
      </c>
      <c r="AG76" s="365">
        <f>'Ar-Pa'!AX76</f>
        <v>8</v>
      </c>
      <c r="AH76" s="365">
        <f>'Ar-Pa'!AY76</f>
        <v>8</v>
      </c>
      <c r="AI76" s="365">
        <f>SUM('Cal. Arr'!AB79:AY79)</f>
        <v>0</v>
      </c>
      <c r="AJ76" s="442">
        <v>0</v>
      </c>
      <c r="AK76" s="442">
        <v>2.2999999999999998</v>
      </c>
      <c r="AL76" s="267">
        <f t="shared" si="21"/>
        <v>607.59572042374134</v>
      </c>
      <c r="AM76" s="267">
        <f>+CONVERT(AK76+Tabla1[[#This Row],[Con. DO Storage Gen. '[m3']]],"m^3","gal")</f>
        <v>607.59572042374134</v>
      </c>
      <c r="AN76" s="372">
        <f>SUM('DO Pilot'!B76:Y76)</f>
        <v>5.7999999999999989</v>
      </c>
      <c r="AO76" s="372">
        <f t="shared" si="22"/>
        <v>1532.1979036772607</v>
      </c>
      <c r="AP76" s="267">
        <f>AK76+AN76+Tabla1[[#This Row],[Con. DO Storage Gen. '[m3']]]</f>
        <v>8.0999999999999979</v>
      </c>
      <c r="AQ76" s="372">
        <f t="shared" si="29"/>
        <v>2139.7936241010016</v>
      </c>
      <c r="AR76" s="442">
        <v>0</v>
      </c>
      <c r="AS76" s="442">
        <v>0</v>
      </c>
      <c r="AT76" s="267">
        <f>+CONVERT(SUM(Tabla1[[#This Row],[Repo. DO Storage '[gal']]:[Repo. DO Pilot '[gal']]]),"gal","m3")</f>
        <v>0</v>
      </c>
      <c r="AU76" s="442">
        <v>0</v>
      </c>
      <c r="AV76" s="267">
        <f t="shared" si="19"/>
        <v>0</v>
      </c>
      <c r="AW76" s="442">
        <v>0</v>
      </c>
      <c r="AX76" s="267">
        <f t="shared" si="23"/>
        <v>0</v>
      </c>
      <c r="AY76" s="372">
        <f t="shared" si="24"/>
        <v>0.52651275599977587</v>
      </c>
      <c r="AZ76" s="372">
        <f>IFERROR(AL76/'Ar-Pa'!AX76,0)</f>
        <v>75.949465052967668</v>
      </c>
      <c r="BA76" s="372">
        <f>IFERROR(AL76/'Ar-Pa'!AY76,0)</f>
        <v>75.949465052967668</v>
      </c>
      <c r="BB76" s="372">
        <f t="shared" si="25"/>
        <v>1.3277278194776956</v>
      </c>
      <c r="BC76" s="372">
        <f>IFERROR(AVERAGEIF('DO Pilot'!AX76:BU76,"&gt;0"),0)</f>
        <v>9.5709042323296849</v>
      </c>
      <c r="BD76" s="445">
        <v>313554</v>
      </c>
      <c r="BE76" s="445">
        <v>11099</v>
      </c>
      <c r="BF76" s="445">
        <v>353183</v>
      </c>
      <c r="BG76" s="223">
        <f>Tabla1[[#This Row],[ Re. Gas GC
 '[m3']]]</f>
        <v>353183</v>
      </c>
      <c r="BH76" s="150">
        <f>IFERROR((BG76*Gas!$B$3)/28.31685,0)</f>
        <v>12424.89333877179</v>
      </c>
      <c r="BI76" s="151">
        <f t="shared" si="20"/>
        <v>1325.8933387717898</v>
      </c>
      <c r="BJ76" s="74">
        <f t="shared" si="30"/>
        <v>0.10671265359150804</v>
      </c>
      <c r="BK76" s="223">
        <f t="shared" si="26"/>
        <v>9617.8509532062399</v>
      </c>
      <c r="BL76" s="442">
        <v>8123.82</v>
      </c>
      <c r="BM76" s="150">
        <f t="shared" si="27"/>
        <v>10456.366314416748</v>
      </c>
      <c r="BN76" s="150">
        <f t="shared" si="28"/>
        <v>10869.581260568879</v>
      </c>
      <c r="BO76" s="373">
        <f>IFERROR(Tabla1[[#This Row],[ Re. Gas GC
 '[m3']]]/Tabla1[[#This Row],[G. HGS 
Con Gas '[kWh']]],0)</f>
        <v>0.30605112651646449</v>
      </c>
      <c r="BP76" s="374">
        <f>Tank!Y77</f>
        <v>0</v>
      </c>
      <c r="BQ76" s="70">
        <f>Tank!AP77</f>
        <v>0</v>
      </c>
      <c r="BR76" s="70">
        <f>Tank!V77</f>
        <v>0</v>
      </c>
      <c r="BS76" s="372">
        <f>Tank!T77</f>
        <v>0</v>
      </c>
      <c r="BT76" s="375" t="s">
        <v>228</v>
      </c>
      <c r="BU76" s="449">
        <v>71</v>
      </c>
      <c r="BV76" s="375">
        <f>IF(Tabla1[[#This Row],[Combustible ofertado]]="GAS",Tabla1[[#This Row],[Disponibilidad]],0)</f>
        <v>0</v>
      </c>
      <c r="BW76" s="375">
        <f>IF(Tabla1[[#This Row],[Combustible ofertado]]="DIESEL",Tabla1[[#This Row],[Disponibilidad]],0)</f>
        <v>71</v>
      </c>
      <c r="BX76" s="375">
        <f>IF(Tabla1[[#This Row],[Combustible ofertado]]="HFO",Tabla1[[#This Row],[Disponibilidad]],0)</f>
        <v>0</v>
      </c>
      <c r="BY76" s="454">
        <v>1440</v>
      </c>
      <c r="BZ76" s="446">
        <f>'Horo. M'!C77</f>
        <v>6</v>
      </c>
      <c r="CA76" s="446">
        <f>'Horo. M'!E77</f>
        <v>16</v>
      </c>
      <c r="CB76" s="446">
        <f>'Horo. M'!G77</f>
        <v>21</v>
      </c>
      <c r="CC76" s="446">
        <f>'Horo. M'!I77</f>
        <v>16</v>
      </c>
      <c r="CD76" s="446">
        <f>'Horo. M'!K77</f>
        <v>0</v>
      </c>
      <c r="CE76" s="446">
        <f>'Horo. M'!M77</f>
        <v>22</v>
      </c>
      <c r="CF76" s="446">
        <f>'Horo. M'!O77</f>
        <v>20</v>
      </c>
      <c r="CG76" s="446">
        <f>'Horo. M'!Q77</f>
        <v>20</v>
      </c>
      <c r="CH76" s="446">
        <f>'Horo. M'!S77</f>
        <v>23</v>
      </c>
      <c r="CI76" s="446">
        <f>'Horo. M'!U77</f>
        <v>23</v>
      </c>
      <c r="CJ76" s="70">
        <f>Tabla1[[#This Row],[Con. DO Storage '[gal']]]-Tabla1[[#This Row],[C. DO Storage Ge '[gal']]]</f>
        <v>607.59572042374134</v>
      </c>
      <c r="CK76" s="70"/>
      <c r="CL76" s="70"/>
      <c r="CM76" s="372">
        <f>Tabla1[[#This Row],[Con. DO Total '[gal']]]*131485.5/(1000000)</f>
        <v>281.35183456173223</v>
      </c>
    </row>
    <row r="77" spans="1:91" s="5" customFormat="1" ht="15" customHeight="1">
      <c r="A77" s="362">
        <v>45002</v>
      </c>
      <c r="B77" s="363" t="str">
        <f>TEXT(Tabla1[[#This Row],[Fecha]],"mmmm")</f>
        <v>marzo</v>
      </c>
      <c r="C77" s="429">
        <v>0</v>
      </c>
      <c r="D77" s="430">
        <v>1137</v>
      </c>
      <c r="E77" s="430">
        <v>1137</v>
      </c>
      <c r="F77" s="430">
        <v>1191</v>
      </c>
      <c r="G77" s="431">
        <v>0</v>
      </c>
      <c r="H77" s="431">
        <v>0</v>
      </c>
      <c r="I77" s="432">
        <v>3</v>
      </c>
      <c r="J77" s="432">
        <v>213</v>
      </c>
      <c r="K77" s="430">
        <v>23</v>
      </c>
      <c r="L77" s="430">
        <v>24</v>
      </c>
      <c r="M77" s="365">
        <f>Tabla1[[#This Row],[Columna1]]-Tabla1[[#This Row],[PO '[h']]]</f>
        <v>1</v>
      </c>
      <c r="N77" s="365">
        <f t="shared" si="18"/>
        <v>1404</v>
      </c>
      <c r="O77" s="430">
        <v>1191</v>
      </c>
      <c r="P77" s="367">
        <f>Tabla1[[#This Row],[G. HGS 
'[MWh']]]-Tabla1[[#This Row],[G. HGS 
Con DO]]</f>
        <v>1068</v>
      </c>
      <c r="Q77" s="430">
        <v>123</v>
      </c>
      <c r="R77" s="367">
        <v>0</v>
      </c>
      <c r="S77" s="367">
        <f>Tabla1[[#This Row],[G. HGS 
Con Gas]]*1000</f>
        <v>1068000</v>
      </c>
      <c r="T77" s="365">
        <f>Tabla1[[#This Row],[G. HGS 
'[MWh']]]*1000</f>
        <v>1191000</v>
      </c>
      <c r="U77" s="368">
        <f>SUM('G. Un GE'!B77:Y77)</f>
        <v>1179.6959000000002</v>
      </c>
      <c r="V77" s="369">
        <f>Tabla1[[#This Row],[R. GE
'[MWh']]]-Tabla1[[#This Row],[E.G. DO]]</f>
        <v>1058.3317000000002</v>
      </c>
      <c r="W77" s="434">
        <v>121.36420000000001</v>
      </c>
      <c r="X77" s="369">
        <v>0</v>
      </c>
      <c r="Y77" s="365">
        <f>Tabla1[[#This Row],[R. GE
'[MWh']]]*1000</f>
        <v>1179695.9000000001</v>
      </c>
      <c r="Z77" s="434">
        <v>35.14</v>
      </c>
      <c r="AA7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34.446100000000001</v>
      </c>
      <c r="AB77" s="368">
        <f>IF(Tabla1[[#This Row],[G. HGS 
'[MWh']]]=0,0,Tabla1[[#This Row],[G. HGS 
'[MWh']]]+Tabla1[[#This Row],[Con. Aux. '[MWh']2]])</f>
        <v>1225.4461000000001</v>
      </c>
      <c r="AC77" s="368">
        <f>'C. ENER. TN'!F77</f>
        <v>0.69389999999999996</v>
      </c>
      <c r="AD77" s="370">
        <f>'C. ENER. TN'!G77</f>
        <v>1179.6959000000002</v>
      </c>
      <c r="AE77" s="370">
        <f>'G. Un GE'!AX77</f>
        <v>159.04143273809527</v>
      </c>
      <c r="AF77" s="368">
        <f>IFERROR('G. Un GE'!AX77/Tabla1[[#This Row],[PO '[h']]],0)</f>
        <v>6.9148449016563163</v>
      </c>
      <c r="AG77" s="365">
        <f>'Ar-Pa'!AX77</f>
        <v>8</v>
      </c>
      <c r="AH77" s="365">
        <f>'Ar-Pa'!AY77</f>
        <v>8</v>
      </c>
      <c r="AI77" s="365">
        <f>SUM('Cal. Arr'!AB80:AY80)</f>
        <v>0</v>
      </c>
      <c r="AJ77" s="442">
        <v>0</v>
      </c>
      <c r="AK77" s="442">
        <v>2.8</v>
      </c>
      <c r="AL77" s="267">
        <f t="shared" si="21"/>
        <v>739.68174660281556</v>
      </c>
      <c r="AM77" s="267">
        <f>+CONVERT(AK77+Tabla1[[#This Row],[Con. DO Storage Gen. '[m3']]],"m^3","gal")</f>
        <v>739.68174660281556</v>
      </c>
      <c r="AN77" s="372">
        <f>SUM('DO Pilot'!B77:Y77)</f>
        <v>6.1400000000000023</v>
      </c>
      <c r="AO77" s="372">
        <f t="shared" si="22"/>
        <v>1622.0164014790321</v>
      </c>
      <c r="AP77" s="267">
        <f>AK77+AN77+Tabla1[[#This Row],[Con. DO Storage Gen. '[m3']]]</f>
        <v>8.9400000000000013</v>
      </c>
      <c r="AQ77" s="372">
        <f t="shared" si="29"/>
        <v>2361.6981480818472</v>
      </c>
      <c r="AR77" s="442">
        <v>0</v>
      </c>
      <c r="AS77" s="442">
        <v>0</v>
      </c>
      <c r="AT77" s="267">
        <f>+CONVERT(SUM(Tabla1[[#This Row],[Repo. DO Storage '[gal']]:[Repo. DO Pilot '[gal']]]),"gal","m3")</f>
        <v>0</v>
      </c>
      <c r="AU77" s="442">
        <v>0</v>
      </c>
      <c r="AV77" s="267">
        <f t="shared" si="19"/>
        <v>0</v>
      </c>
      <c r="AW77" s="442">
        <v>0</v>
      </c>
      <c r="AX77" s="267">
        <f t="shared" si="23"/>
        <v>0</v>
      </c>
      <c r="AY77" s="372">
        <f t="shared" si="24"/>
        <v>0.62105940100992074</v>
      </c>
      <c r="AZ77" s="372">
        <f>IFERROR(AL77/'Ar-Pa'!AX77,0)</f>
        <v>92.460218325351946</v>
      </c>
      <c r="BA77" s="372">
        <f>IFERROR(AL77/'Ar-Pa'!AY77,0)</f>
        <v>92.460218325351946</v>
      </c>
      <c r="BB77" s="372">
        <f t="shared" si="25"/>
        <v>1.361894543643184</v>
      </c>
      <c r="BC77" s="372">
        <f>IFERROR(AVERAGEIF('DO Pilot'!AX77:BU77,"&gt;0"),0)</f>
        <v>9.5208592161997299</v>
      </c>
      <c r="BD77" s="445">
        <v>321856</v>
      </c>
      <c r="BE77" s="445">
        <v>11393</v>
      </c>
      <c r="BF77" s="445">
        <v>313033</v>
      </c>
      <c r="BG77" s="223">
        <f>Tabla1[[#This Row],[ Re. Gas GC
 '[m3']]]</f>
        <v>313033</v>
      </c>
      <c r="BH77" s="150">
        <f>IFERROR((BG77*Gas!$B$3)/28.31685,0)</f>
        <v>11012.425956276917</v>
      </c>
      <c r="BI77" s="151">
        <f t="shared" si="20"/>
        <v>-380.57404372308338</v>
      </c>
      <c r="BJ77" s="74">
        <f t="shared" si="30"/>
        <v>-3.4558601822531385E-2</v>
      </c>
      <c r="BK77" s="223">
        <f t="shared" si="26"/>
        <v>10667.602996254682</v>
      </c>
      <c r="BL77" s="442">
        <v>8686.27</v>
      </c>
      <c r="BM77" s="150">
        <f t="shared" si="27"/>
        <v>8986.4629348258695</v>
      </c>
      <c r="BN77" s="150">
        <f t="shared" si="28"/>
        <v>10405.457907267555</v>
      </c>
      <c r="BO77" s="373">
        <f>IFERROR(Tabla1[[#This Row],[ Re. Gas GC
 '[m3']]]/Tabla1[[#This Row],[G. HGS 
Con Gas '[kWh']]],0)</f>
        <v>0.29310205992509364</v>
      </c>
      <c r="BP77" s="374">
        <f>Tank!Y78</f>
        <v>0</v>
      </c>
      <c r="BQ77" s="70">
        <f>Tank!AP78</f>
        <v>35.28</v>
      </c>
      <c r="BR77" s="70">
        <f>Tank!V78</f>
        <v>0</v>
      </c>
      <c r="BS77" s="372">
        <f>Tank!T78</f>
        <v>0</v>
      </c>
      <c r="BT77" s="375" t="s">
        <v>228</v>
      </c>
      <c r="BU77" s="449">
        <v>71</v>
      </c>
      <c r="BV77" s="375">
        <f>IF(Tabla1[[#This Row],[Combustible ofertado]]="GAS",Tabla1[[#This Row],[Disponibilidad]],0)</f>
        <v>0</v>
      </c>
      <c r="BW77" s="375">
        <f>IF(Tabla1[[#This Row],[Combustible ofertado]]="DIESEL",Tabla1[[#This Row],[Disponibilidad]],0)</f>
        <v>71</v>
      </c>
      <c r="BX77" s="375">
        <f>IF(Tabla1[[#This Row],[Combustible ofertado]]="HFO",Tabla1[[#This Row],[Disponibilidad]],0)</f>
        <v>0</v>
      </c>
      <c r="BY77" s="454">
        <v>1440</v>
      </c>
      <c r="BZ77" s="446">
        <f>'Horo. M'!C78</f>
        <v>0</v>
      </c>
      <c r="CA77" s="446">
        <f>'Horo. M'!E78</f>
        <v>20</v>
      </c>
      <c r="CB77" s="446">
        <f>'Horo. M'!G78</f>
        <v>19</v>
      </c>
      <c r="CC77" s="446">
        <f>'Horo. M'!I78</f>
        <v>21</v>
      </c>
      <c r="CD77" s="446">
        <f>'Horo. M'!K78</f>
        <v>0</v>
      </c>
      <c r="CE77" s="446">
        <f>'Horo. M'!M78</f>
        <v>21</v>
      </c>
      <c r="CF77" s="446">
        <f>'Horo. M'!O78</f>
        <v>20</v>
      </c>
      <c r="CG77" s="446">
        <f>'Horo. M'!Q78</f>
        <v>21</v>
      </c>
      <c r="CH77" s="446">
        <f>'Horo. M'!S78</f>
        <v>23</v>
      </c>
      <c r="CI77" s="446">
        <f>'Horo. M'!U78</f>
        <v>23</v>
      </c>
      <c r="CJ77" s="70">
        <f>Tabla1[[#This Row],[Con. DO Storage '[gal']]]-Tabla1[[#This Row],[C. DO Storage Ge '[gal']]]</f>
        <v>739.68174660281556</v>
      </c>
      <c r="CK77" s="70"/>
      <c r="CL77" s="70"/>
      <c r="CM77" s="372">
        <f>Tabla1[[#This Row],[Con. DO Total '[gal']]]*131485.5/(1000000)</f>
        <v>310.52906184961569</v>
      </c>
    </row>
    <row r="78" spans="1:91" s="5" customFormat="1" ht="15" customHeight="1">
      <c r="A78" s="362">
        <v>45003</v>
      </c>
      <c r="B78" s="363" t="str">
        <f>TEXT(Tabla1[[#This Row],[Fecha]],"mmmm")</f>
        <v>marzo</v>
      </c>
      <c r="C78" s="429">
        <v>0</v>
      </c>
      <c r="D78" s="430">
        <v>1272</v>
      </c>
      <c r="E78" s="430">
        <v>1272</v>
      </c>
      <c r="F78" s="430">
        <v>1309</v>
      </c>
      <c r="G78" s="431">
        <v>0</v>
      </c>
      <c r="H78" s="431">
        <v>0</v>
      </c>
      <c r="I78" s="432">
        <v>0</v>
      </c>
      <c r="J78" s="432">
        <v>0</v>
      </c>
      <c r="K78" s="430">
        <v>24</v>
      </c>
      <c r="L78" s="430">
        <v>24</v>
      </c>
      <c r="M78" s="365">
        <f>Tabla1[[#This Row],[Columna1]]-Tabla1[[#This Row],[PO '[h']]]</f>
        <v>0</v>
      </c>
      <c r="N78" s="365">
        <f t="shared" si="18"/>
        <v>1309</v>
      </c>
      <c r="O78" s="430">
        <v>1309</v>
      </c>
      <c r="P78" s="367">
        <f>Tabla1[[#This Row],[G. HGS 
'[MWh']]]</f>
        <v>1309</v>
      </c>
      <c r="Q78" s="430">
        <v>0</v>
      </c>
      <c r="R78" s="367">
        <v>0</v>
      </c>
      <c r="S78" s="367">
        <f>Tabla1[[#This Row],[G. HGS 
Con Gas]]*1000</f>
        <v>1309000</v>
      </c>
      <c r="T78" s="365">
        <f>Tabla1[[#This Row],[G. HGS 
'[MWh']]]*1000</f>
        <v>1309000</v>
      </c>
      <c r="U78" s="368">
        <f>SUM('G. Un GE'!B78:Y78)</f>
        <v>1297.9580000000001</v>
      </c>
      <c r="V78" s="369">
        <f>Tabla1[[#This Row],[R. GE
'[MWh']]]</f>
        <v>1297.9580000000001</v>
      </c>
      <c r="W78" s="434">
        <v>0</v>
      </c>
      <c r="X78" s="369">
        <v>0</v>
      </c>
      <c r="Y78" s="365">
        <f>Tabla1[[#This Row],[R. GE
'[MWh']]]*1000</f>
        <v>1297958</v>
      </c>
      <c r="Z78" s="434">
        <v>37.79</v>
      </c>
      <c r="AA7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37.79</v>
      </c>
      <c r="AB78" s="368">
        <f>IF(Tabla1[[#This Row],[G. HGS 
'[MWh']]]=0,0,Tabla1[[#This Row],[G. HGS 
'[MWh']]]+Tabla1[[#This Row],[Con. Aux. '[MWh']2]])</f>
        <v>1346.79</v>
      </c>
      <c r="AC78" s="368">
        <f>'C. ENER. TN'!F78</f>
        <v>0</v>
      </c>
      <c r="AD78" s="370">
        <f>'C. ENER. TN'!G78</f>
        <v>1297.9579999999999</v>
      </c>
      <c r="AE78" s="370">
        <f>'G. Un GE'!AX78</f>
        <v>167.04481607142861</v>
      </c>
      <c r="AF78" s="368">
        <f>IFERROR('G. Un GE'!AX78/Tabla1[[#This Row],[PO '[h']]],0)</f>
        <v>6.9602006696428589</v>
      </c>
      <c r="AG78" s="365">
        <f>'Ar-Pa'!AX78</f>
        <v>1</v>
      </c>
      <c r="AH78" s="365">
        <f>'Ar-Pa'!AY78</f>
        <v>1</v>
      </c>
      <c r="AI78" s="365">
        <f>SUM('Cal. Arr'!AB81:AY81)</f>
        <v>0</v>
      </c>
      <c r="AJ78" s="442">
        <v>0</v>
      </c>
      <c r="AK78" s="442">
        <v>1</v>
      </c>
      <c r="AL78" s="267">
        <f t="shared" si="21"/>
        <v>264.17205235814845</v>
      </c>
      <c r="AM78" s="267">
        <f>+CONVERT(AK78+Tabla1[[#This Row],[Con. DO Storage Gen. '[m3']]],"m^3","gal")</f>
        <v>264.17205235814845</v>
      </c>
      <c r="AN78" s="372">
        <f>SUM('DO Pilot'!B78:Y78)</f>
        <v>5.8600000000000012</v>
      </c>
      <c r="AO78" s="372">
        <f t="shared" si="22"/>
        <v>1548.04822681875</v>
      </c>
      <c r="AP78" s="267">
        <f>AK78+AN78+Tabla1[[#This Row],[Con. DO Storage Gen. '[m3']]]</f>
        <v>6.8600000000000012</v>
      </c>
      <c r="AQ78" s="372">
        <f t="shared" si="29"/>
        <v>1812.2202791768984</v>
      </c>
      <c r="AR78" s="442">
        <v>0</v>
      </c>
      <c r="AS78" s="442">
        <v>0</v>
      </c>
      <c r="AT78" s="267">
        <f>+CONVERT(SUM(Tabla1[[#This Row],[Repo. DO Storage '[gal']]:[Repo. DO Pilot '[gal']]]),"gal","m3")</f>
        <v>0</v>
      </c>
      <c r="AU78" s="442">
        <v>0</v>
      </c>
      <c r="AV78" s="267">
        <f t="shared" si="19"/>
        <v>0</v>
      </c>
      <c r="AW78" s="442">
        <v>0</v>
      </c>
      <c r="AX78" s="267">
        <f t="shared" si="23"/>
        <v>0</v>
      </c>
      <c r="AY78" s="372">
        <f t="shared" si="24"/>
        <v>0.20181211028124404</v>
      </c>
      <c r="AZ78" s="372">
        <f>IFERROR(AL78/'Ar-Pa'!AX78,0)</f>
        <v>264.17205235814845</v>
      </c>
      <c r="BA78" s="372">
        <f>IFERROR(AL78/'Ar-Pa'!AY78,0)</f>
        <v>264.17205235814845</v>
      </c>
      <c r="BB78" s="372">
        <f t="shared" si="25"/>
        <v>1.1826189662480902</v>
      </c>
      <c r="BC78" s="372">
        <f>IFERROR(AVERAGEIF('DO Pilot'!AX78:BU78,"&gt;0"),0)</f>
        <v>8.3025502169703795</v>
      </c>
      <c r="BD78" s="445">
        <v>355792</v>
      </c>
      <c r="BE78" s="445">
        <v>12595</v>
      </c>
      <c r="BF78" s="445">
        <v>321610</v>
      </c>
      <c r="BG78" s="223">
        <f>Tabla1[[#This Row],[ Re. Gas GC
 '[m3']]]</f>
        <v>321610</v>
      </c>
      <c r="BH78" s="150">
        <f>IFERROR((BG78*Gas!$B$3)/28.31685,0)</f>
        <v>11314.162761747864</v>
      </c>
      <c r="BI78" s="151">
        <f t="shared" si="20"/>
        <v>-1280.8372382521356</v>
      </c>
      <c r="BJ78" s="74">
        <f t="shared" si="30"/>
        <v>-0.1132065416791181</v>
      </c>
      <c r="BK78" s="223">
        <f t="shared" si="26"/>
        <v>9621.8487394957974</v>
      </c>
      <c r="BL78" s="442">
        <v>8901.41</v>
      </c>
      <c r="BM78" s="150">
        <f t="shared" si="27"/>
        <v>8400.8366276463767</v>
      </c>
      <c r="BN78" s="150">
        <f t="shared" si="28"/>
        <v>8716.8943538603435</v>
      </c>
      <c r="BO78" s="373">
        <f>IFERROR(Tabla1[[#This Row],[ Re. Gas GC
 '[m3']]]/Tabla1[[#This Row],[G. HGS 
Con Gas '[kWh']]],0)</f>
        <v>0.24569136745607334</v>
      </c>
      <c r="BP78" s="374">
        <f>Tank!Y79</f>
        <v>0</v>
      </c>
      <c r="BQ78" s="70">
        <f>Tank!AP79</f>
        <v>0</v>
      </c>
      <c r="BR78" s="70">
        <f>Tank!V79</f>
        <v>0</v>
      </c>
      <c r="BS78" s="372">
        <f>Tank!T79</f>
        <v>0</v>
      </c>
      <c r="BT78" s="375" t="s">
        <v>228</v>
      </c>
      <c r="BU78" s="449">
        <v>71</v>
      </c>
      <c r="BV78" s="375">
        <f>IF(Tabla1[[#This Row],[Combustible ofertado]]="GAS",Tabla1[[#This Row],[Disponibilidad]],0)</f>
        <v>0</v>
      </c>
      <c r="BW78" s="375">
        <f>IF(Tabla1[[#This Row],[Combustible ofertado]]="DIESEL",Tabla1[[#This Row],[Disponibilidad]],0)</f>
        <v>71</v>
      </c>
      <c r="BX78" s="375">
        <f>IF(Tabla1[[#This Row],[Combustible ofertado]]="HFO",Tabla1[[#This Row],[Disponibilidad]],0)</f>
        <v>0</v>
      </c>
      <c r="BY78" s="454">
        <v>1440</v>
      </c>
      <c r="BZ78" s="446">
        <f>'Horo. M'!C79</f>
        <v>24</v>
      </c>
      <c r="CA78" s="446">
        <f>'Horo. M'!E79</f>
        <v>19</v>
      </c>
      <c r="CB78" s="446">
        <f>'Horo. M'!G79</f>
        <v>24</v>
      </c>
      <c r="CC78" s="446">
        <f>'Horo. M'!I79</f>
        <v>24</v>
      </c>
      <c r="CD78" s="446">
        <f>'Horo. M'!K79</f>
        <v>0</v>
      </c>
      <c r="CE78" s="446">
        <f>'Horo. M'!M79</f>
        <v>24</v>
      </c>
      <c r="CF78" s="446">
        <f>'Horo. M'!O79</f>
        <v>1</v>
      </c>
      <c r="CG78" s="446">
        <f>'Horo. M'!Q79</f>
        <v>24</v>
      </c>
      <c r="CH78" s="446">
        <f>'Horo. M'!S79</f>
        <v>24</v>
      </c>
      <c r="CI78" s="446">
        <f>'Horo. M'!U79</f>
        <v>24</v>
      </c>
      <c r="CJ78" s="70">
        <f>Tabla1[[#This Row],[Con. DO Storage '[gal']]]-Tabla1[[#This Row],[C. DO Storage Ge '[gal']]]</f>
        <v>264.17205235814845</v>
      </c>
      <c r="CK78" s="70"/>
      <c r="CL78" s="70"/>
      <c r="CM78" s="372">
        <f>Tabla1[[#This Row],[Con. DO Total '[gal']]]*131485.5/(1000000)</f>
        <v>238.28068951771408</v>
      </c>
    </row>
    <row r="79" spans="1:91" s="5" customFormat="1" ht="15" customHeight="1">
      <c r="A79" s="362">
        <v>45004</v>
      </c>
      <c r="B79" s="363" t="str">
        <f>TEXT(Tabla1[[#This Row],[Fecha]],"mmmm")</f>
        <v>marzo</v>
      </c>
      <c r="C79" s="429">
        <v>0</v>
      </c>
      <c r="D79" s="430">
        <v>1272</v>
      </c>
      <c r="E79" s="430">
        <v>1272</v>
      </c>
      <c r="F79" s="430">
        <v>1322</v>
      </c>
      <c r="G79" s="431">
        <v>0</v>
      </c>
      <c r="H79" s="431">
        <v>0</v>
      </c>
      <c r="I79" s="432">
        <v>0</v>
      </c>
      <c r="J79" s="432">
        <v>0</v>
      </c>
      <c r="K79" s="430">
        <v>24</v>
      </c>
      <c r="L79" s="430">
        <v>24</v>
      </c>
      <c r="M79" s="365">
        <f>Tabla1[[#This Row],[Columna1]]-Tabla1[[#This Row],[PO '[h']]]</f>
        <v>0</v>
      </c>
      <c r="N79" s="365">
        <f t="shared" si="18"/>
        <v>1322</v>
      </c>
      <c r="O79" s="430">
        <v>1322</v>
      </c>
      <c r="P79" s="367">
        <f>Tabla1[[#This Row],[G. HGS 
'[MWh']]]</f>
        <v>1322</v>
      </c>
      <c r="Q79" s="430">
        <v>0</v>
      </c>
      <c r="R79" s="367">
        <v>0</v>
      </c>
      <c r="S79" s="367">
        <f>Tabla1[[#This Row],[G. HGS 
Con Gas]]*1000</f>
        <v>1322000</v>
      </c>
      <c r="T79" s="365">
        <f>Tabla1[[#This Row],[G. HGS 
'[MWh']]]*1000</f>
        <v>1322000</v>
      </c>
      <c r="U79" s="368">
        <f>SUM('G. Un GE'!B79:Y79)</f>
        <v>1310.9650000000001</v>
      </c>
      <c r="V79" s="369">
        <f>Tabla1[[#This Row],[R. GE
'[MWh']]]</f>
        <v>1310.9650000000001</v>
      </c>
      <c r="W79" s="434">
        <v>0</v>
      </c>
      <c r="X79" s="369">
        <v>0</v>
      </c>
      <c r="Y79" s="365">
        <f>Tabla1[[#This Row],[R. GE
'[MWh']]]*1000</f>
        <v>1310965.0000000002</v>
      </c>
      <c r="Z79" s="434">
        <v>37.450000000000003</v>
      </c>
      <c r="AA7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37.450000000000003</v>
      </c>
      <c r="AB79" s="368">
        <f>IF(Tabla1[[#This Row],[G. HGS 
'[MWh']]]=0,0,Tabla1[[#This Row],[G. HGS 
'[MWh']]]+Tabla1[[#This Row],[Con. Aux. '[MWh']2]])</f>
        <v>1359.45</v>
      </c>
      <c r="AC79" s="368">
        <f>'C. ENER. TN'!F79</f>
        <v>0</v>
      </c>
      <c r="AD79" s="370">
        <f>'C. ENER. TN'!G79</f>
        <v>1310.9649999999999</v>
      </c>
      <c r="AE79" s="370">
        <f>'G. Un GE'!AX79</f>
        <v>170.687275</v>
      </c>
      <c r="AF79" s="368">
        <f>IFERROR('G. Un GE'!AX79/Tabla1[[#This Row],[PO '[h']]],0)</f>
        <v>7.1119697916666667</v>
      </c>
      <c r="AG79" s="365">
        <f>'Ar-Pa'!AX79</f>
        <v>2</v>
      </c>
      <c r="AH79" s="365">
        <f>'Ar-Pa'!AY79</f>
        <v>2</v>
      </c>
      <c r="AI79" s="365">
        <f>SUM('Cal. Arr'!AB82:AY82)</f>
        <v>0</v>
      </c>
      <c r="AJ79" s="442">
        <v>0</v>
      </c>
      <c r="AK79" s="442">
        <v>2.4</v>
      </c>
      <c r="AL79" s="267">
        <f t="shared" si="21"/>
        <v>634.01292565955623</v>
      </c>
      <c r="AM79" s="267">
        <f>+CONVERT(AK79+Tabla1[[#This Row],[Con. DO Storage Gen. '[m3']]],"m^3","gal")</f>
        <v>634.01292565955623</v>
      </c>
      <c r="AN79" s="372">
        <f>SUM('DO Pilot'!B79:Y79)</f>
        <v>6.3999999999999968</v>
      </c>
      <c r="AO79" s="372">
        <f t="shared" si="22"/>
        <v>1690.7011350921489</v>
      </c>
      <c r="AP79" s="267">
        <f>AK79+AN79+Tabla1[[#This Row],[Con. DO Storage Gen. '[m3']]]</f>
        <v>8.7999999999999972</v>
      </c>
      <c r="AQ79" s="372">
        <f t="shared" si="29"/>
        <v>2324.7140607517053</v>
      </c>
      <c r="AR79" s="442">
        <v>0</v>
      </c>
      <c r="AS79" s="442">
        <v>0</v>
      </c>
      <c r="AT79" s="267">
        <f>+CONVERT(SUM(Tabla1[[#This Row],[Repo. DO Storage '[gal']]:[Repo. DO Pilot '[gal']]]),"gal","m3")</f>
        <v>0</v>
      </c>
      <c r="AU79" s="442">
        <v>0</v>
      </c>
      <c r="AV79" s="267">
        <f t="shared" si="19"/>
        <v>0</v>
      </c>
      <c r="AW79" s="442">
        <v>0</v>
      </c>
      <c r="AX79" s="267">
        <f t="shared" si="23"/>
        <v>0</v>
      </c>
      <c r="AY79" s="372">
        <f t="shared" si="24"/>
        <v>0.47958617674701681</v>
      </c>
      <c r="AZ79" s="372">
        <f>IFERROR(AL79/'Ar-Pa'!AX79,0)</f>
        <v>317.00646282977812</v>
      </c>
      <c r="BA79" s="372">
        <f>IFERROR(AL79/'Ar-Pa'!AY79,0)</f>
        <v>317.00646282977812</v>
      </c>
      <c r="BB79" s="372">
        <f t="shared" si="25"/>
        <v>1.2788964713253774</v>
      </c>
      <c r="BC79" s="372">
        <f>IFERROR(AVERAGEIF('DO Pilot'!AX79:BU79,"&gt;0"),0)</f>
        <v>9.1732958955020738</v>
      </c>
      <c r="BD79" s="445">
        <v>357117</v>
      </c>
      <c r="BE79" s="445">
        <v>12641</v>
      </c>
      <c r="BF79" s="445">
        <v>355237</v>
      </c>
      <c r="BG79" s="223">
        <f>Tabla1[[#This Row],[ Re. Gas GC
 '[m3']]]</f>
        <v>355237</v>
      </c>
      <c r="BH79" s="150">
        <f>IFERROR((BG79*Gas!$B$3)/28.31685,0)</f>
        <v>12497.152566757955</v>
      </c>
      <c r="BI79" s="151">
        <f t="shared" si="20"/>
        <v>-143.84743324204464</v>
      </c>
      <c r="BJ79" s="74">
        <f t="shared" si="30"/>
        <v>-1.1510416670808231E-2</v>
      </c>
      <c r="BK79" s="223">
        <f t="shared" si="26"/>
        <v>9562.027231467473</v>
      </c>
      <c r="BL79" s="442">
        <v>8946.68</v>
      </c>
      <c r="BM79" s="150">
        <f t="shared" si="27"/>
        <v>9192.800446326055</v>
      </c>
      <c r="BN79" s="150">
        <f>IFERROR((BH79/P79)*1000,0)</f>
        <v>9453.2167675930068</v>
      </c>
      <c r="BO79" s="373">
        <f>IFERROR(Tabla1[[#This Row],[ Re. Gas GC
 '[m3']]]/Tabla1[[#This Row],[G. HGS 
Con Gas '[kWh']]],0)</f>
        <v>0.26871180030257186</v>
      </c>
      <c r="BP79" s="374">
        <f>Tank!Y80</f>
        <v>0</v>
      </c>
      <c r="BQ79" s="70">
        <f>Tank!AP80</f>
        <v>0</v>
      </c>
      <c r="BR79" s="70">
        <f>Tank!V80</f>
        <v>0</v>
      </c>
      <c r="BS79" s="372">
        <f>Tank!T80</f>
        <v>0</v>
      </c>
      <c r="BT79" s="375" t="s">
        <v>228</v>
      </c>
      <c r="BU79" s="449">
        <v>71</v>
      </c>
      <c r="BV79" s="375">
        <f>IF(Tabla1[[#This Row],[Combustible ofertado]]="GAS",Tabla1[[#This Row],[Disponibilidad]],0)</f>
        <v>0</v>
      </c>
      <c r="BW79" s="375">
        <f>IF(Tabla1[[#This Row],[Combustible ofertado]]="DIESEL",Tabla1[[#This Row],[Disponibilidad]],0)</f>
        <v>71</v>
      </c>
      <c r="BX79" s="375">
        <f>IF(Tabla1[[#This Row],[Combustible ofertado]]="HFO",Tabla1[[#This Row],[Disponibilidad]],0)</f>
        <v>0</v>
      </c>
      <c r="BY79" s="454">
        <v>1440</v>
      </c>
      <c r="BZ79" s="446">
        <f>'Horo. M'!C80</f>
        <v>24</v>
      </c>
      <c r="CA79" s="446">
        <f>'Horo. M'!E80</f>
        <v>16</v>
      </c>
      <c r="CB79" s="446">
        <f>'Horo. M'!G80</f>
        <v>24</v>
      </c>
      <c r="CC79" s="446">
        <f>'Horo. M'!I80</f>
        <v>24</v>
      </c>
      <c r="CD79" s="446">
        <f>'Horo. M'!K80</f>
        <v>0</v>
      </c>
      <c r="CE79" s="446">
        <f>'Horo. M'!M80</f>
        <v>24</v>
      </c>
      <c r="CF79" s="446">
        <f>'Horo. M'!O80</f>
        <v>22</v>
      </c>
      <c r="CG79" s="446">
        <f>'Horo. M'!Q80</f>
        <v>24</v>
      </c>
      <c r="CH79" s="446">
        <f>'Horo. M'!S80</f>
        <v>0</v>
      </c>
      <c r="CI79" s="446">
        <f>'Horo. M'!U80</f>
        <v>24</v>
      </c>
      <c r="CJ79" s="70">
        <f>Tabla1[[#This Row],[Con. DO Storage '[gal']]]-Tabla1[[#This Row],[C. DO Storage Ge '[gal']]]</f>
        <v>634.01292565955623</v>
      </c>
      <c r="CK79" s="70"/>
      <c r="CL79" s="70"/>
      <c r="CM79" s="372">
        <f>Tabla1[[#This Row],[Con. DO Total '[gal']]]*131485.5/(1000000)</f>
        <v>305.66619063496836</v>
      </c>
    </row>
    <row r="80" spans="1:91" s="5" customFormat="1" ht="15" customHeight="1">
      <c r="A80" s="362">
        <v>45005</v>
      </c>
      <c r="B80" s="363" t="str">
        <f>TEXT(Tabla1[[#This Row],[Fecha]],"mmmm")</f>
        <v>marzo</v>
      </c>
      <c r="C80" s="429">
        <v>0</v>
      </c>
      <c r="D80" s="430">
        <v>1272</v>
      </c>
      <c r="E80" s="430">
        <v>1272</v>
      </c>
      <c r="F80" s="430">
        <v>1292</v>
      </c>
      <c r="G80" s="431">
        <v>0</v>
      </c>
      <c r="H80" s="431">
        <v>0</v>
      </c>
      <c r="I80" s="432">
        <v>0</v>
      </c>
      <c r="J80" s="432">
        <v>0</v>
      </c>
      <c r="K80" s="430">
        <v>24</v>
      </c>
      <c r="L80" s="430">
        <v>24</v>
      </c>
      <c r="M80" s="365">
        <f>Tabla1[[#This Row],[Columna1]]-Tabla1[[#This Row],[PO '[h']]]</f>
        <v>0</v>
      </c>
      <c r="N80" s="365">
        <f t="shared" si="18"/>
        <v>1292</v>
      </c>
      <c r="O80" s="430">
        <v>1292</v>
      </c>
      <c r="P80" s="367">
        <f>Tabla1[[#This Row],[G. HGS 
'[MWh']]]</f>
        <v>1292</v>
      </c>
      <c r="Q80" s="430">
        <v>0</v>
      </c>
      <c r="R80" s="367">
        <v>0</v>
      </c>
      <c r="S80" s="367">
        <f>Tabla1[[#This Row],[G. HGS 
Con Gas]]*1000</f>
        <v>1292000</v>
      </c>
      <c r="T80" s="365">
        <f>Tabla1[[#This Row],[G. HGS 
'[MWh']]]*1000</f>
        <v>1292000</v>
      </c>
      <c r="U80" s="368">
        <f>SUM('G. Un GE'!B80:Y80)</f>
        <v>1280.3627999999999</v>
      </c>
      <c r="V80" s="369">
        <f>Tabla1[[#This Row],[R. GE
'[MWh']]]</f>
        <v>1280.3627999999999</v>
      </c>
      <c r="W80" s="434">
        <v>0</v>
      </c>
      <c r="X80" s="369">
        <v>0</v>
      </c>
      <c r="Y80" s="365">
        <f>Tabla1[[#This Row],[R. GE
'[MWh']]]*1000</f>
        <v>1280362.7999999998</v>
      </c>
      <c r="Z80" s="434">
        <v>37.159999999999997</v>
      </c>
      <c r="AA8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37.159999999999997</v>
      </c>
      <c r="AB80" s="368">
        <f>IF(Tabla1[[#This Row],[G. HGS 
'[MWh']]]=0,0,Tabla1[[#This Row],[G. HGS 
'[MWh']]]+Tabla1[[#This Row],[Con. Aux. '[MWh']2]])</f>
        <v>1329.16</v>
      </c>
      <c r="AC80" s="368">
        <f>'C. ENER. TN'!F80</f>
        <v>0</v>
      </c>
      <c r="AD80" s="370">
        <f>'C. ENER. TN'!G80</f>
        <v>1280.3628000000001</v>
      </c>
      <c r="AE80" s="370">
        <f>'G. Un GE'!AX80</f>
        <v>165.73057499999999</v>
      </c>
      <c r="AF80" s="368">
        <f>IFERROR('G. Un GE'!AX80/Tabla1[[#This Row],[PO '[h']]],0)</f>
        <v>6.9054406249999998</v>
      </c>
      <c r="AG80" s="365">
        <f>'Ar-Pa'!AX80</f>
        <v>1</v>
      </c>
      <c r="AH80" s="365">
        <f>'Ar-Pa'!AY80</f>
        <v>1</v>
      </c>
      <c r="AI80" s="365">
        <f>SUM('Cal. Arr'!AB83:AY83)</f>
        <v>0</v>
      </c>
      <c r="AJ80" s="442">
        <v>0</v>
      </c>
      <c r="AK80" s="442">
        <v>1.8</v>
      </c>
      <c r="AL80" s="267">
        <f t="shared" si="21"/>
        <v>475.50969424466717</v>
      </c>
      <c r="AM80" s="267">
        <f>+CONVERT(AK80+Tabla1[[#This Row],[Con. DO Storage Gen. '[m3']]],"m^3","gal")</f>
        <v>475.50969424466717</v>
      </c>
      <c r="AN80" s="372">
        <f>SUM('DO Pilot'!B80:Y80)</f>
        <v>6.6300000000000017</v>
      </c>
      <c r="AO80" s="372">
        <f t="shared" si="22"/>
        <v>1751.4607071345245</v>
      </c>
      <c r="AP80" s="267">
        <f>AK80+AN80+Tabla1[[#This Row],[Con. DO Storage Gen. '[m3']]]</f>
        <v>8.4300000000000015</v>
      </c>
      <c r="AQ80" s="372">
        <f t="shared" si="29"/>
        <v>2226.9704013791916</v>
      </c>
      <c r="AR80" s="442">
        <v>0</v>
      </c>
      <c r="AS80" s="442">
        <v>0</v>
      </c>
      <c r="AT80" s="267">
        <f>+CONVERT(SUM(Tabla1[[#This Row],[Repo. DO Storage '[gal']]:[Repo. DO Pilot '[gal']]]),"gal","m3")</f>
        <v>0</v>
      </c>
      <c r="AU80" s="442">
        <v>0</v>
      </c>
      <c r="AV80" s="267">
        <f t="shared" si="19"/>
        <v>0</v>
      </c>
      <c r="AW80" s="442">
        <v>0</v>
      </c>
      <c r="AX80" s="267">
        <f t="shared" si="23"/>
        <v>0</v>
      </c>
      <c r="AY80" s="372">
        <f t="shared" si="24"/>
        <v>0.36804155901290031</v>
      </c>
      <c r="AZ80" s="372">
        <f>IFERROR(AL80/'Ar-Pa'!AX80,0)</f>
        <v>475.50969424466717</v>
      </c>
      <c r="BA80" s="372">
        <f>IFERROR(AL80/'Ar-Pa'!AY80,0)</f>
        <v>475.50969424466717</v>
      </c>
      <c r="BB80" s="372">
        <f t="shared" si="25"/>
        <v>1.3556197423641829</v>
      </c>
      <c r="BC80" s="372">
        <f>IFERROR(AVERAGEIF('DO Pilot'!AX80:BU80,"&gt;0"),0)</f>
        <v>9.4445439849769581</v>
      </c>
      <c r="BD80" s="445">
        <v>350878</v>
      </c>
      <c r="BE80" s="445">
        <v>12421</v>
      </c>
      <c r="BF80" s="445">
        <v>356706</v>
      </c>
      <c r="BG80" s="223">
        <f>Tabla1[[#This Row],[ Re. Gas GC
 '[m3']]]</f>
        <v>356706</v>
      </c>
      <c r="BH80" s="150">
        <f>IFERROR((BG80*Gas!$B$3)/28.31685,0)</f>
        <v>12548.831634874643</v>
      </c>
      <c r="BI80" s="151">
        <f t="shared" si="20"/>
        <v>127.83163487464299</v>
      </c>
      <c r="BJ80" s="74">
        <f t="shared" si="30"/>
        <v>1.0186735992168721E-2</v>
      </c>
      <c r="BK80" s="223">
        <f t="shared" si="26"/>
        <v>9613.7770897832816</v>
      </c>
      <c r="BL80" s="442">
        <v>0</v>
      </c>
      <c r="BM80" s="150">
        <f t="shared" si="27"/>
        <v>9441.174602662315</v>
      </c>
      <c r="BN80" s="150">
        <f t="shared" ref="BN80:BN143" si="31">IFERROR((BH80/V80)*1000,0)</f>
        <v>9800.9967447309809</v>
      </c>
      <c r="BO80" s="373">
        <f>IFERROR(Tabla1[[#This Row],[ Re. Gas GC
 '[m3']]]/Tabla1[[#This Row],[G. HGS 
Con Gas '[kWh']]],0)</f>
        <v>0.27608823529411763</v>
      </c>
      <c r="BP80" s="374">
        <f>Tank!Y81</f>
        <v>0</v>
      </c>
      <c r="BQ80" s="70">
        <f>Tank!AP81</f>
        <v>0</v>
      </c>
      <c r="BR80" s="70">
        <f>Tank!V81</f>
        <v>0</v>
      </c>
      <c r="BS80" s="372">
        <f>Tank!T81</f>
        <v>0</v>
      </c>
      <c r="BT80" s="375" t="s">
        <v>228</v>
      </c>
      <c r="BU80" s="449">
        <v>71</v>
      </c>
      <c r="BV80" s="375">
        <f>IF(Tabla1[[#This Row],[Combustible ofertado]]="GAS",Tabla1[[#This Row],[Disponibilidad]],0)</f>
        <v>0</v>
      </c>
      <c r="BW80" s="375">
        <f>IF(Tabla1[[#This Row],[Combustible ofertado]]="DIESEL",Tabla1[[#This Row],[Disponibilidad]],0)</f>
        <v>71</v>
      </c>
      <c r="BX80" s="375">
        <f>IF(Tabla1[[#This Row],[Combustible ofertado]]="HFO",Tabla1[[#This Row],[Disponibilidad]],0)</f>
        <v>0</v>
      </c>
      <c r="BY80" s="454">
        <v>1440</v>
      </c>
      <c r="BZ80" s="446">
        <f>'Horo. M'!C81</f>
        <v>24</v>
      </c>
      <c r="CA80" s="446">
        <f>'Horo. M'!E81</f>
        <v>19</v>
      </c>
      <c r="CB80" s="446">
        <f>'Horo. M'!G81</f>
        <v>24</v>
      </c>
      <c r="CC80" s="446">
        <f>'Horo. M'!I81</f>
        <v>24</v>
      </c>
      <c r="CD80" s="446">
        <f>'Horo. M'!K81</f>
        <v>0</v>
      </c>
      <c r="CE80" s="446">
        <f>'Horo. M'!M81</f>
        <v>24</v>
      </c>
      <c r="CF80" s="446">
        <f>'Horo. M'!O81</f>
        <v>24</v>
      </c>
      <c r="CG80" s="446">
        <f>'Horo. M'!Q81</f>
        <v>24</v>
      </c>
      <c r="CH80" s="446">
        <f>'Horo. M'!S81</f>
        <v>24</v>
      </c>
      <c r="CI80" s="446">
        <f>'Horo. M'!U81</f>
        <v>0</v>
      </c>
      <c r="CJ80" s="70">
        <f>Tabla1[[#This Row],[Con. DO Storage '[gal']]]-Tabla1[[#This Row],[C. DO Storage Ge '[gal']]]</f>
        <v>475.50969424466717</v>
      </c>
      <c r="CK80" s="70"/>
      <c r="CL80" s="70"/>
      <c r="CM80" s="372">
        <f>Tabla1[[#This Row],[Con. DO Total '[gal']]]*131485.5/(1000000)</f>
        <v>292.81431671054366</v>
      </c>
    </row>
    <row r="81" spans="1:91" s="5" customFormat="1" ht="15" customHeight="1">
      <c r="A81" s="362">
        <v>45006</v>
      </c>
      <c r="B81" s="363" t="str">
        <f>TEXT(Tabla1[[#This Row],[Fecha]],"mmmm")</f>
        <v>marzo</v>
      </c>
      <c r="C81" s="429">
        <v>0</v>
      </c>
      <c r="D81" s="430">
        <v>1272</v>
      </c>
      <c r="E81" s="430">
        <v>1272</v>
      </c>
      <c r="F81" s="430">
        <v>1291</v>
      </c>
      <c r="G81" s="431">
        <v>0</v>
      </c>
      <c r="H81" s="431">
        <v>0</v>
      </c>
      <c r="I81" s="432">
        <v>0</v>
      </c>
      <c r="J81" s="432">
        <v>0</v>
      </c>
      <c r="K81" s="430">
        <v>24</v>
      </c>
      <c r="L81" s="430">
        <v>24</v>
      </c>
      <c r="M81" s="365">
        <f>Tabla1[[#This Row],[Columna1]]-Tabla1[[#This Row],[PO '[h']]]</f>
        <v>0</v>
      </c>
      <c r="N81" s="365">
        <f t="shared" si="18"/>
        <v>1291</v>
      </c>
      <c r="O81" s="430">
        <v>1291</v>
      </c>
      <c r="P81" s="367">
        <f>Tabla1[[#This Row],[G. HGS 
'[MWh']]]</f>
        <v>1291</v>
      </c>
      <c r="Q81" s="430">
        <v>0</v>
      </c>
      <c r="R81" s="367">
        <v>0</v>
      </c>
      <c r="S81" s="367">
        <f>Tabla1[[#This Row],[G. HGS 
Con Gas]]*1000</f>
        <v>1291000</v>
      </c>
      <c r="T81" s="365">
        <f>Tabla1[[#This Row],[G. HGS 
'[MWh']]]*1000</f>
        <v>1291000</v>
      </c>
      <c r="U81" s="368">
        <f>SUM('G. Un GE'!B81:Y81)</f>
        <v>1280.0310000000002</v>
      </c>
      <c r="V81" s="369">
        <f>Tabla1[[#This Row],[R. GE
'[MWh']]]</f>
        <v>1280.0310000000002</v>
      </c>
      <c r="W81" s="434">
        <v>0</v>
      </c>
      <c r="X81" s="369">
        <v>0</v>
      </c>
      <c r="Y81" s="365">
        <f>Tabla1[[#This Row],[R. GE
'[MWh']]]*1000</f>
        <v>1280031.0000000002</v>
      </c>
      <c r="Z81" s="434">
        <v>37.94</v>
      </c>
      <c r="AA8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37.94</v>
      </c>
      <c r="AB81" s="368">
        <f>IF(Tabla1[[#This Row],[G. HGS 
'[MWh']]]=0,0,Tabla1[[#This Row],[G. HGS 
'[MWh']]]+Tabla1[[#This Row],[Con. Aux. '[MWh']2]])</f>
        <v>1328.94</v>
      </c>
      <c r="AC81" s="368">
        <f>'C. ENER. TN'!F81</f>
        <v>0</v>
      </c>
      <c r="AD81" s="370">
        <f>'C. ENER. TN'!G81</f>
        <v>1280.0309999999999</v>
      </c>
      <c r="AE81" s="370">
        <f>'G. Un GE'!AX81</f>
        <v>164.79450357142858</v>
      </c>
      <c r="AF81" s="368">
        <f>IFERROR('G. Un GE'!AX81/Tabla1[[#This Row],[PO '[h']]],0)</f>
        <v>6.8664376488095238</v>
      </c>
      <c r="AG81" s="365">
        <f>'Ar-Pa'!AX81</f>
        <v>1</v>
      </c>
      <c r="AH81" s="365">
        <f>'Ar-Pa'!AY81</f>
        <v>1</v>
      </c>
      <c r="AI81" s="365">
        <f>SUM('Cal. Arr'!AB84:AY84)</f>
        <v>0</v>
      </c>
      <c r="AJ81" s="442">
        <v>0</v>
      </c>
      <c r="AK81" s="442">
        <v>1.2</v>
      </c>
      <c r="AL81" s="267">
        <f t="shared" si="21"/>
        <v>317.00646282977812</v>
      </c>
      <c r="AM81" s="267">
        <f>+CONVERT(AK81+Tabla1[[#This Row],[Con. DO Storage Gen. '[m3']]],"m^3","gal")</f>
        <v>317.00646282977812</v>
      </c>
      <c r="AN81" s="372">
        <f>SUM('DO Pilot'!B81:Y81)</f>
        <v>6.7400000000000038</v>
      </c>
      <c r="AO81" s="372">
        <f t="shared" si="22"/>
        <v>1780.5196328939214</v>
      </c>
      <c r="AP81" s="267">
        <f>AK81+AN81+Tabla1[[#This Row],[Con. DO Storage Gen. '[m3']]]</f>
        <v>7.9400000000000039</v>
      </c>
      <c r="AQ81" s="372">
        <f t="shared" si="29"/>
        <v>2097.5260957236997</v>
      </c>
      <c r="AR81" s="442">
        <v>0</v>
      </c>
      <c r="AS81" s="442">
        <v>11001</v>
      </c>
      <c r="AT81" s="267">
        <f>+CONVERT(SUM(Tabla1[[#This Row],[Repo. DO Storage '[gal']]:[Repo. DO Pilot '[gal']]]),"gal","m3")</f>
        <v>41.643315035783999</v>
      </c>
      <c r="AU81" s="442">
        <v>0</v>
      </c>
      <c r="AV81" s="267">
        <f t="shared" si="19"/>
        <v>0</v>
      </c>
      <c r="AW81" s="442">
        <v>0</v>
      </c>
      <c r="AX81" s="267">
        <f t="shared" si="23"/>
        <v>0</v>
      </c>
      <c r="AY81" s="372">
        <f t="shared" si="24"/>
        <v>0.24555109436853456</v>
      </c>
      <c r="AZ81" s="372">
        <f>IFERROR(AL81/'Ar-Pa'!AX81,0)</f>
        <v>317.00646282977812</v>
      </c>
      <c r="BA81" s="372">
        <f>IFERROR(AL81/'Ar-Pa'!AY81,0)</f>
        <v>317.00646282977812</v>
      </c>
      <c r="BB81" s="372">
        <f t="shared" si="25"/>
        <v>1.3791786467032698</v>
      </c>
      <c r="BC81" s="372">
        <f>IFERROR(AVERAGEIF('DO Pilot'!AX81:BU81,"&gt;0"),0)</f>
        <v>9.5506845417280015</v>
      </c>
      <c r="BD81" s="445">
        <v>355137</v>
      </c>
      <c r="BE81" s="445">
        <v>12571</v>
      </c>
      <c r="BF81" s="445">
        <v>349855</v>
      </c>
      <c r="BG81" s="223">
        <f>Tabla1[[#This Row],[ Re. Gas GC
 '[m3']]]</f>
        <v>349855</v>
      </c>
      <c r="BH81" s="150">
        <f>IFERROR((BG81*Gas!$B$3)/28.31685,0)</f>
        <v>12307.815095958767</v>
      </c>
      <c r="BI81" s="151">
        <f t="shared" si="20"/>
        <v>-263.18490404123258</v>
      </c>
      <c r="BJ81" s="74">
        <f t="shared" si="30"/>
        <v>-2.1383560119265076E-2</v>
      </c>
      <c r="BK81" s="223">
        <f t="shared" si="26"/>
        <v>9737.4128582494195</v>
      </c>
      <c r="BL81" s="442">
        <v>0</v>
      </c>
      <c r="BM81" s="150">
        <f t="shared" si="27"/>
        <v>9261.3775610326775</v>
      </c>
      <c r="BN81" s="150">
        <f t="shared" si="31"/>
        <v>9615.2476744381711</v>
      </c>
      <c r="BO81" s="373">
        <f>IFERROR(Tabla1[[#This Row],[ Re. Gas GC
 '[m3']]]/Tabla1[[#This Row],[G. HGS 
Con Gas '[kWh']]],0)</f>
        <v>0.27099535243996903</v>
      </c>
      <c r="BP81" s="374">
        <f>Tank!Y82</f>
        <v>0</v>
      </c>
      <c r="BQ81" s="70">
        <f>Tank!AP82</f>
        <v>0</v>
      </c>
      <c r="BR81" s="70">
        <f>Tank!V82</f>
        <v>0</v>
      </c>
      <c r="BS81" s="372">
        <f>Tank!T82</f>
        <v>0</v>
      </c>
      <c r="BT81" s="375" t="s">
        <v>228</v>
      </c>
      <c r="BU81" s="449">
        <v>71</v>
      </c>
      <c r="BV81" s="375">
        <f>IF(Tabla1[[#This Row],[Combustible ofertado]]="GAS",Tabla1[[#This Row],[Disponibilidad]],0)</f>
        <v>0</v>
      </c>
      <c r="BW81" s="375">
        <f>IF(Tabla1[[#This Row],[Combustible ofertado]]="DIESEL",Tabla1[[#This Row],[Disponibilidad]],0)</f>
        <v>71</v>
      </c>
      <c r="BX81" s="375">
        <f>IF(Tabla1[[#This Row],[Combustible ofertado]]="HFO",Tabla1[[#This Row],[Disponibilidad]],0)</f>
        <v>0</v>
      </c>
      <c r="BY81" s="454">
        <v>1440</v>
      </c>
      <c r="BZ81" s="446">
        <f>'Horo. M'!C82</f>
        <v>24</v>
      </c>
      <c r="CA81" s="446">
        <f>'Horo. M'!E82</f>
        <v>24</v>
      </c>
      <c r="CB81" s="446">
        <f>'Horo. M'!G82</f>
        <v>24</v>
      </c>
      <c r="CC81" s="446">
        <f>'Horo. M'!I82</f>
        <v>24</v>
      </c>
      <c r="CD81" s="446">
        <f>'Horo. M'!K82</f>
        <v>0</v>
      </c>
      <c r="CE81" s="446">
        <f>'Horo. M'!M82</f>
        <v>0</v>
      </c>
      <c r="CF81" s="446">
        <f>'Horo. M'!O82</f>
        <v>24</v>
      </c>
      <c r="CG81" s="446">
        <f>'Horo. M'!Q82</f>
        <v>24</v>
      </c>
      <c r="CH81" s="446">
        <f>'Horo. M'!S82</f>
        <v>19</v>
      </c>
      <c r="CI81" s="446">
        <f>'Horo. M'!U82</f>
        <v>24</v>
      </c>
      <c r="CJ81" s="70">
        <f>Tabla1[[#This Row],[Con. DO Storage '[gal']]]-Tabla1[[#This Row],[C. DO Storage Ge '[gal']]]</f>
        <v>317.00646282977812</v>
      </c>
      <c r="CK81" s="70"/>
      <c r="CL81" s="70"/>
      <c r="CM81" s="372">
        <f>Tabla1[[#This Row],[Con. DO Total '[gal']]]*131485.5/(1000000)</f>
        <v>275.7942674592785</v>
      </c>
    </row>
    <row r="82" spans="1:91" s="5" customFormat="1" ht="15" customHeight="1">
      <c r="A82" s="362">
        <v>45007</v>
      </c>
      <c r="B82" s="363" t="str">
        <f>TEXT(Tabla1[[#This Row],[Fecha]],"mmmm")</f>
        <v>marzo</v>
      </c>
      <c r="C82" s="429">
        <v>0</v>
      </c>
      <c r="D82" s="430">
        <v>1272</v>
      </c>
      <c r="E82" s="430">
        <v>1272</v>
      </c>
      <c r="F82" s="430">
        <v>1299</v>
      </c>
      <c r="G82" s="431">
        <v>0</v>
      </c>
      <c r="H82" s="431">
        <v>0</v>
      </c>
      <c r="I82" s="432">
        <v>0</v>
      </c>
      <c r="J82" s="432">
        <v>0</v>
      </c>
      <c r="K82" s="430">
        <v>24</v>
      </c>
      <c r="L82" s="430">
        <v>24</v>
      </c>
      <c r="M82" s="365">
        <f>Tabla1[[#This Row],[Columna1]]-Tabla1[[#This Row],[PO '[h']]]</f>
        <v>0</v>
      </c>
      <c r="N82" s="365">
        <f t="shared" si="18"/>
        <v>1299</v>
      </c>
      <c r="O82" s="430">
        <v>1319</v>
      </c>
      <c r="P82" s="367">
        <f>Tabla1[[#This Row],[G. HGS 
'[MWh']]]</f>
        <v>1319</v>
      </c>
      <c r="Q82" s="430">
        <v>0</v>
      </c>
      <c r="R82" s="367">
        <v>0</v>
      </c>
      <c r="S82" s="367">
        <f>Tabla1[[#This Row],[G. HGS 
Con Gas]]*1000</f>
        <v>1319000</v>
      </c>
      <c r="T82" s="365">
        <f>Tabla1[[#This Row],[G. HGS 
'[MWh']]]*1000</f>
        <v>1319000</v>
      </c>
      <c r="U82" s="368">
        <f>SUM('G. Un GE'!B82:Y82)</f>
        <v>1287.7526</v>
      </c>
      <c r="V82" s="369">
        <f>Tabla1[[#This Row],[R. GE
'[MWh']]]</f>
        <v>1287.7526</v>
      </c>
      <c r="W82" s="434">
        <v>0</v>
      </c>
      <c r="X82" s="369">
        <v>0</v>
      </c>
      <c r="Y82" s="365">
        <f>Tabla1[[#This Row],[R. GE
'[MWh']]]*1000</f>
        <v>1287752.6000000001</v>
      </c>
      <c r="Z82" s="434">
        <v>35.43</v>
      </c>
      <c r="AA8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35.43</v>
      </c>
      <c r="AB82" s="368">
        <f>IF(Tabla1[[#This Row],[G. HGS 
'[MWh']]]=0,0,Tabla1[[#This Row],[G. HGS 
'[MWh']]]+Tabla1[[#This Row],[Con. Aux. '[MWh']2]])</f>
        <v>1354.43</v>
      </c>
      <c r="AC82" s="368">
        <f>'C. ENER. TN'!F82</f>
        <v>0</v>
      </c>
      <c r="AD82" s="370">
        <f>'C. ENER. TN'!G82</f>
        <v>1287.7525999999996</v>
      </c>
      <c r="AE82" s="370">
        <f>'G. Un GE'!AX82</f>
        <v>181.11294642857146</v>
      </c>
      <c r="AF82" s="368">
        <f>IFERROR('G. Un GE'!AX82/Tabla1[[#This Row],[PO '[h']]],0)</f>
        <v>7.5463727678571439</v>
      </c>
      <c r="AG82" s="365">
        <f>'Ar-Pa'!AX82</f>
        <v>2</v>
      </c>
      <c r="AH82" s="365">
        <f>'Ar-Pa'!AY82</f>
        <v>3</v>
      </c>
      <c r="AI82" s="365">
        <f>SUM('Cal. Arr'!AB85:AY85)</f>
        <v>0</v>
      </c>
      <c r="AJ82" s="442">
        <v>1.9</v>
      </c>
      <c r="AK82" s="442">
        <v>1.2</v>
      </c>
      <c r="AL82" s="267">
        <f t="shared" si="21"/>
        <v>317.00646282977812</v>
      </c>
      <c r="AM82" s="267">
        <f>+CONVERT(AK82+Tabla1[[#This Row],[Con. DO Storage Gen. '[m3']]],"m^3","gal")</f>
        <v>818.93336231026001</v>
      </c>
      <c r="AN82" s="372">
        <f>SUM('DO Pilot'!B82:Y82)</f>
        <v>6.2499999999999982</v>
      </c>
      <c r="AO82" s="372">
        <f t="shared" si="22"/>
        <v>1651.0753272384272</v>
      </c>
      <c r="AP82" s="267">
        <f>AK82+AN82+Tabla1[[#This Row],[Con. DO Storage Gen. '[m3']]]</f>
        <v>9.3499999999999979</v>
      </c>
      <c r="AQ82" s="372">
        <f t="shared" si="29"/>
        <v>2470.0086895486875</v>
      </c>
      <c r="AR82" s="442">
        <v>0</v>
      </c>
      <c r="AS82" s="442">
        <v>0</v>
      </c>
      <c r="AT82" s="267">
        <f>+CONVERT(SUM(Tabla1[[#This Row],[Repo. DO Storage '[gal']]:[Repo. DO Pilot '[gal']]]),"gal","m3")</f>
        <v>0</v>
      </c>
      <c r="AU82" s="442">
        <v>0</v>
      </c>
      <c r="AV82" s="267">
        <f t="shared" si="19"/>
        <v>0</v>
      </c>
      <c r="AW82" s="442">
        <v>0</v>
      </c>
      <c r="AX82" s="267">
        <f t="shared" si="23"/>
        <v>0</v>
      </c>
      <c r="AY82" s="372">
        <f t="shared" si="24"/>
        <v>0.24033848584516915</v>
      </c>
      <c r="AZ82" s="372">
        <f>IFERROR(AL82/'Ar-Pa'!AX82,0)</f>
        <v>158.50323141488906</v>
      </c>
      <c r="BA82" s="372">
        <f>IFERROR(AL82/'Ar-Pa'!AY82,0)</f>
        <v>105.66882094325938</v>
      </c>
      <c r="BB82" s="372">
        <f t="shared" si="25"/>
        <v>1.2517629471102556</v>
      </c>
      <c r="BC82" s="372">
        <f>IFERROR(AVERAGEIF('DO Pilot'!AX82:BU82,"&gt;0"),0)</f>
        <v>9.6764807571366429</v>
      </c>
      <c r="BD82" s="445">
        <v>348267</v>
      </c>
      <c r="BE82" s="445">
        <v>12328</v>
      </c>
      <c r="BF82" s="445">
        <v>351891</v>
      </c>
      <c r="BG82" s="223">
        <f>Tabla1[[#This Row],[ Re. Gas GC
 '[m3']]]</f>
        <v>351891</v>
      </c>
      <c r="BH82" s="150">
        <f>IFERROR((BG82*Gas!$B$3)/28.31685,0)</f>
        <v>12379.441088256639</v>
      </c>
      <c r="BI82" s="151">
        <f t="shared" si="20"/>
        <v>51.441088256638977</v>
      </c>
      <c r="BJ82" s="74">
        <f t="shared" si="30"/>
        <v>4.1553643569124396E-3</v>
      </c>
      <c r="BK82" s="223">
        <f t="shared" si="26"/>
        <v>9346.4746019711893</v>
      </c>
      <c r="BL82" s="442">
        <v>0</v>
      </c>
      <c r="BM82" s="150">
        <f t="shared" si="27"/>
        <v>9139.9637399176336</v>
      </c>
      <c r="BN82" s="150">
        <f t="shared" si="31"/>
        <v>9613.2138178223358</v>
      </c>
      <c r="BO82" s="373">
        <f>IFERROR(Tabla1[[#This Row],[ Re. Gas GC
 '[m3']]]/Tabla1[[#This Row],[G. HGS 
Con Gas '[kWh']]],0)</f>
        <v>0.26678620166793027</v>
      </c>
      <c r="BP82" s="374">
        <f>Tank!Y83</f>
        <v>0</v>
      </c>
      <c r="BQ82" s="70">
        <f>Tank!AP83</f>
        <v>12.9</v>
      </c>
      <c r="BR82" s="70">
        <f>Tank!V83</f>
        <v>0</v>
      </c>
      <c r="BS82" s="372">
        <f>Tank!T83</f>
        <v>0</v>
      </c>
      <c r="BT82" s="375" t="s">
        <v>228</v>
      </c>
      <c r="BU82" s="449">
        <v>71</v>
      </c>
      <c r="BV82" s="375">
        <f>IF(Tabla1[[#This Row],[Combustible ofertado]]="GAS",Tabla1[[#This Row],[Disponibilidad]],0)</f>
        <v>0</v>
      </c>
      <c r="BW82" s="375">
        <f>IF(Tabla1[[#This Row],[Combustible ofertado]]="DIESEL",Tabla1[[#This Row],[Disponibilidad]],0)</f>
        <v>71</v>
      </c>
      <c r="BX82" s="375">
        <f>IF(Tabla1[[#This Row],[Combustible ofertado]]="HFO",Tabla1[[#This Row],[Disponibilidad]],0)</f>
        <v>0</v>
      </c>
      <c r="BY82" s="454">
        <v>1440</v>
      </c>
      <c r="BZ82" s="446">
        <f>'Horo. M'!C83</f>
        <v>6</v>
      </c>
      <c r="CA82" s="446">
        <f>'Horo. M'!E83</f>
        <v>24</v>
      </c>
      <c r="CB82" s="446">
        <f>'Horo. M'!G83</f>
        <v>24</v>
      </c>
      <c r="CC82" s="446">
        <f>'Horo. M'!I83</f>
        <v>6</v>
      </c>
      <c r="CD82" s="446">
        <f>'Horo. M'!K83</f>
        <v>0</v>
      </c>
      <c r="CE82" s="446">
        <f>'Horo. M'!M83</f>
        <v>24</v>
      </c>
      <c r="CF82" s="446">
        <f>'Horo. M'!O83</f>
        <v>24</v>
      </c>
      <c r="CG82" s="446">
        <f>'Horo. M'!Q83</f>
        <v>18</v>
      </c>
      <c r="CH82" s="446">
        <f>'Horo. M'!S83</f>
        <v>18</v>
      </c>
      <c r="CI82" s="446">
        <f>'Horo. M'!U83</f>
        <v>24</v>
      </c>
      <c r="CJ82" s="70">
        <f>Tabla1[[#This Row],[Con. DO Storage '[gal']]]-Tabla1[[#This Row],[C. DO Storage Ge '[gal']]]</f>
        <v>317.00646282977812</v>
      </c>
      <c r="CK82" s="70"/>
      <c r="CL82" s="70"/>
      <c r="CM82" s="372">
        <f>Tabla1[[#This Row],[Con. DO Total '[gal']]]*131485.5/(1000000)</f>
        <v>324.77032754965393</v>
      </c>
    </row>
    <row r="83" spans="1:91" s="5" customFormat="1" ht="15" customHeight="1">
      <c r="A83" s="362">
        <v>45008</v>
      </c>
      <c r="B83" s="363" t="str">
        <f>TEXT(Tabla1[[#This Row],[Fecha]],"mmmm")</f>
        <v>marzo</v>
      </c>
      <c r="C83" s="429">
        <v>0</v>
      </c>
      <c r="D83" s="430">
        <v>1272</v>
      </c>
      <c r="E83" s="430">
        <v>1272</v>
      </c>
      <c r="F83" s="430">
        <v>1319</v>
      </c>
      <c r="G83" s="431">
        <v>0</v>
      </c>
      <c r="H83" s="431">
        <v>0</v>
      </c>
      <c r="I83" s="432">
        <v>0</v>
      </c>
      <c r="J83" s="432">
        <v>0</v>
      </c>
      <c r="K83" s="430">
        <v>24</v>
      </c>
      <c r="L83" s="430">
        <v>24</v>
      </c>
      <c r="M83" s="365">
        <f>Tabla1[[#This Row],[Columna1]]-Tabla1[[#This Row],[PO '[h']]]</f>
        <v>0</v>
      </c>
      <c r="N83" s="365">
        <f t="shared" si="18"/>
        <v>1319</v>
      </c>
      <c r="O83" s="430">
        <v>1319</v>
      </c>
      <c r="P83" s="367">
        <f>Tabla1[[#This Row],[G. HGS 
'[MWh']]]</f>
        <v>1319</v>
      </c>
      <c r="Q83" s="430">
        <v>0</v>
      </c>
      <c r="R83" s="367">
        <v>0</v>
      </c>
      <c r="S83" s="367">
        <f>Tabla1[[#This Row],[G. HGS 
Con Gas]]*1000</f>
        <v>1319000</v>
      </c>
      <c r="T83" s="365">
        <f>Tabla1[[#This Row],[G. HGS 
'[MWh']]]*1000</f>
        <v>1319000</v>
      </c>
      <c r="U83" s="368">
        <f>SUM('G. Un GE'!B83:Y83)</f>
        <v>1307.5301999999997</v>
      </c>
      <c r="V83" s="369">
        <f>Tabla1[[#This Row],[R. GE
'[MWh']]]</f>
        <v>1307.5301999999997</v>
      </c>
      <c r="W83" s="434">
        <v>0</v>
      </c>
      <c r="X83" s="369">
        <v>0</v>
      </c>
      <c r="Y83" s="365">
        <f>Tabla1[[#This Row],[R. GE
'[MWh']]]*1000</f>
        <v>1307530.1999999997</v>
      </c>
      <c r="Z83" s="434">
        <v>36.130000000000003</v>
      </c>
      <c r="AA8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36.130000000000003</v>
      </c>
      <c r="AB83" s="368">
        <f>IF(Tabla1[[#This Row],[G. HGS 
'[MWh']]]=0,0,Tabla1[[#This Row],[G. HGS 
'[MWh']]]+Tabla1[[#This Row],[Con. Aux. '[MWh']2]])</f>
        <v>1355.13</v>
      </c>
      <c r="AC83" s="368">
        <f>'C. ENER. TN'!F83</f>
        <v>0</v>
      </c>
      <c r="AD83" s="370">
        <f>'C. ENER. TN'!G83</f>
        <v>1307.5301999999997</v>
      </c>
      <c r="AE83" s="370">
        <f>'G. Un GE'!AX83</f>
        <v>173.15937499999998</v>
      </c>
      <c r="AF83" s="368">
        <f>IFERROR('G. Un GE'!AX83/Tabla1[[#This Row],[PO '[h']]],0)</f>
        <v>7.2149739583333323</v>
      </c>
      <c r="AG83" s="365">
        <f>'Ar-Pa'!AX83</f>
        <v>1</v>
      </c>
      <c r="AH83" s="365">
        <f>'Ar-Pa'!AY83</f>
        <v>0</v>
      </c>
      <c r="AI83" s="365">
        <f>SUM('Cal. Arr'!AB86:AY86)</f>
        <v>0</v>
      </c>
      <c r="AJ83" s="442">
        <v>0.9</v>
      </c>
      <c r="AK83" s="442">
        <v>1.2</v>
      </c>
      <c r="AL83" s="267">
        <f t="shared" si="21"/>
        <v>317.00646282977812</v>
      </c>
      <c r="AM83" s="267">
        <f>+CONVERT(AK83+Tabla1[[#This Row],[Con. DO Storage Gen. '[m3']]],"m^3","gal")</f>
        <v>554.76130995211167</v>
      </c>
      <c r="AN83" s="372">
        <f>SUM('DO Pilot'!B83:Y83)</f>
        <v>6.06</v>
      </c>
      <c r="AO83" s="372">
        <f t="shared" si="22"/>
        <v>1600.8826372903795</v>
      </c>
      <c r="AP83" s="267">
        <f>AK83+AN83+Tabla1[[#This Row],[Con. DO Storage Gen. '[m3']]]</f>
        <v>8.16</v>
      </c>
      <c r="AQ83" s="372">
        <f t="shared" si="29"/>
        <v>2155.6439472424913</v>
      </c>
      <c r="AR83" s="442">
        <v>0</v>
      </c>
      <c r="AS83" s="442">
        <v>10984</v>
      </c>
      <c r="AT83" s="267">
        <f>+CONVERT(SUM(Tabla1[[#This Row],[Repo. DO Storage '[gal']]:[Repo. DO Pilot '[gal']]]),"gal","m3")</f>
        <v>41.578963035455999</v>
      </c>
      <c r="AU83" s="442">
        <v>0</v>
      </c>
      <c r="AV83" s="267">
        <f t="shared" si="19"/>
        <v>0</v>
      </c>
      <c r="AW83" s="442">
        <v>0</v>
      </c>
      <c r="AX83" s="267">
        <f t="shared" si="23"/>
        <v>0</v>
      </c>
      <c r="AY83" s="372">
        <f t="shared" si="24"/>
        <v>0.24033848584516915</v>
      </c>
      <c r="AZ83" s="372">
        <f>IFERROR(AL83/'Ar-Pa'!AX83,0)</f>
        <v>317.00646282977812</v>
      </c>
      <c r="BA83" s="372">
        <f>IFERROR(AL83/'Ar-Pa'!AY83,0)</f>
        <v>0</v>
      </c>
      <c r="BB83" s="372">
        <f t="shared" si="25"/>
        <v>1.2137093535181043</v>
      </c>
      <c r="BC83" s="372">
        <f>IFERROR(AVERAGEIF('DO Pilot'!AX83:BU83,"&gt;0"),0)</f>
        <v>8.8332530007255841</v>
      </c>
      <c r="BD83" s="445">
        <v>355030</v>
      </c>
      <c r="BE83" s="445">
        <v>12568</v>
      </c>
      <c r="BF83" s="445">
        <v>345015</v>
      </c>
      <c r="BG83" s="223">
        <f>Tabla1[[#This Row],[ Re. Gas GC
 '[m3']]]</f>
        <v>345015</v>
      </c>
      <c r="BH83" s="150">
        <f>IFERROR((BG83*Gas!$B$3)/28.31685,0)</f>
        <v>12137.545055329248</v>
      </c>
      <c r="BI83" s="151">
        <f t="shared" si="20"/>
        <v>-430.4549446707515</v>
      </c>
      <c r="BJ83" s="74">
        <f t="shared" si="30"/>
        <v>-3.5464745359009071E-2</v>
      </c>
      <c r="BK83" s="223">
        <f t="shared" si="26"/>
        <v>9528.4306292645942</v>
      </c>
      <c r="BL83" s="442">
        <v>0</v>
      </c>
      <c r="BM83" s="150">
        <f t="shared" si="27"/>
        <v>8956.7385087255443</v>
      </c>
      <c r="BN83" s="150">
        <f t="shared" si="31"/>
        <v>9282.8028410580901</v>
      </c>
      <c r="BO83" s="373">
        <f>IFERROR(Tabla1[[#This Row],[ Re. Gas GC
 '[m3']]]/Tabla1[[#This Row],[G. HGS 
Con Gas '[kWh']]],0)</f>
        <v>0.2615731614859742</v>
      </c>
      <c r="BP83" s="374">
        <f>Tank!Y84</f>
        <v>0</v>
      </c>
      <c r="BQ83" s="70">
        <f>Tank!AP84</f>
        <v>31.2</v>
      </c>
      <c r="BR83" s="70">
        <f>Tank!V84</f>
        <v>0</v>
      </c>
      <c r="BS83" s="372">
        <f>Tank!T84</f>
        <v>0</v>
      </c>
      <c r="BT83" s="375" t="s">
        <v>228</v>
      </c>
      <c r="BU83" s="449">
        <v>71</v>
      </c>
      <c r="BV83" s="375">
        <f>IF(Tabla1[[#This Row],[Combustible ofertado]]="GAS",Tabla1[[#This Row],[Disponibilidad]],0)</f>
        <v>0</v>
      </c>
      <c r="BW83" s="375">
        <f>IF(Tabla1[[#This Row],[Combustible ofertado]]="DIESEL",Tabla1[[#This Row],[Disponibilidad]],0)</f>
        <v>71</v>
      </c>
      <c r="BX83" s="375">
        <f>IF(Tabla1[[#This Row],[Combustible ofertado]]="HFO",Tabla1[[#This Row],[Disponibilidad]],0)</f>
        <v>0</v>
      </c>
      <c r="BY83" s="454">
        <v>1440</v>
      </c>
      <c r="BZ83" s="446">
        <f>'Horo. M'!C84</f>
        <v>0</v>
      </c>
      <c r="CA83" s="446">
        <f>'Horo. M'!E84</f>
        <v>24</v>
      </c>
      <c r="CB83" s="446">
        <f>'Horo. M'!G84</f>
        <v>24</v>
      </c>
      <c r="CC83" s="446">
        <f>'Horo. M'!I84</f>
        <v>24</v>
      </c>
      <c r="CD83" s="446">
        <f>'Horo. M'!K84</f>
        <v>0</v>
      </c>
      <c r="CE83" s="446">
        <f>'Horo. M'!M84</f>
        <v>24</v>
      </c>
      <c r="CF83" s="446">
        <f>'Horo. M'!O84</f>
        <v>14</v>
      </c>
      <c r="CG83" s="446">
        <f>'Horo. M'!Q84</f>
        <v>24</v>
      </c>
      <c r="CH83" s="446">
        <f>'Horo. M'!S84</f>
        <v>24</v>
      </c>
      <c r="CI83" s="446">
        <f>'Horo. M'!U84</f>
        <v>24</v>
      </c>
      <c r="CJ83" s="70">
        <f>Tabla1[[#This Row],[Con. DO Storage '[gal']]]-Tabla1[[#This Row],[C. DO Storage Ge '[gal']]]</f>
        <v>317.00646282977812</v>
      </c>
      <c r="CK83" s="70"/>
      <c r="CL83" s="70"/>
      <c r="CM83" s="372">
        <f>Tabla1[[#This Row],[Con. DO Total '[gal']]]*131485.5/(1000000)</f>
        <v>283.43592222515264</v>
      </c>
    </row>
    <row r="84" spans="1:91" s="5" customFormat="1" ht="15" customHeight="1">
      <c r="A84" s="362">
        <v>45009</v>
      </c>
      <c r="B84" s="363" t="str">
        <f>TEXT(Tabla1[[#This Row],[Fecha]],"mmmm")</f>
        <v>marzo</v>
      </c>
      <c r="C84" s="429">
        <v>0</v>
      </c>
      <c r="D84" s="430">
        <v>1272</v>
      </c>
      <c r="E84" s="430">
        <v>1272</v>
      </c>
      <c r="F84" s="430">
        <v>1335</v>
      </c>
      <c r="G84" s="431">
        <v>0</v>
      </c>
      <c r="H84" s="431">
        <v>0</v>
      </c>
      <c r="I84" s="432">
        <v>3</v>
      </c>
      <c r="J84" s="432">
        <v>213</v>
      </c>
      <c r="K84" s="430">
        <v>24</v>
      </c>
      <c r="L84" s="430">
        <v>24</v>
      </c>
      <c r="M84" s="365">
        <f>Tabla1[[#This Row],[Columna1]]-Tabla1[[#This Row],[PO '[h']]]</f>
        <v>0</v>
      </c>
      <c r="N84" s="365">
        <f t="shared" si="18"/>
        <v>1548</v>
      </c>
      <c r="O84" s="430">
        <v>1335</v>
      </c>
      <c r="P84" s="367">
        <f>Tabla1[[#This Row],[G. HGS 
'[MWh']]]</f>
        <v>1335</v>
      </c>
      <c r="Q84" s="430">
        <v>0</v>
      </c>
      <c r="R84" s="367">
        <v>0</v>
      </c>
      <c r="S84" s="367">
        <f>Tabla1[[#This Row],[G. HGS 
Con Gas]]*1000</f>
        <v>1335000</v>
      </c>
      <c r="T84" s="365">
        <f>Tabla1[[#This Row],[G. HGS 
'[MWh']]]*1000</f>
        <v>1335000</v>
      </c>
      <c r="U84" s="368">
        <f>SUM('G. Un GE'!B84:Y84)</f>
        <v>1323.4137999999998</v>
      </c>
      <c r="V84" s="369">
        <f>Tabla1[[#This Row],[R. GE
'[MWh']]]</f>
        <v>1323.4137999999998</v>
      </c>
      <c r="W84" s="434">
        <v>0</v>
      </c>
      <c r="X84" s="369">
        <v>0</v>
      </c>
      <c r="Y84" s="365">
        <f>Tabla1[[#This Row],[R. GE
'[MWh']]]*1000</f>
        <v>1323413.7999999998</v>
      </c>
      <c r="Z84" s="434">
        <v>36.770000000000003</v>
      </c>
      <c r="AA8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36.770000000000003</v>
      </c>
      <c r="AB84" s="368">
        <f>IF(Tabla1[[#This Row],[G. HGS 
'[MWh']]]=0,0,Tabla1[[#This Row],[G. HGS 
'[MWh']]]+Tabla1[[#This Row],[Con. Aux. '[MWh']2]])</f>
        <v>1371.77</v>
      </c>
      <c r="AC84" s="368">
        <f>'C. ENER. TN'!F84</f>
        <v>0</v>
      </c>
      <c r="AD84" s="370">
        <f>'C. ENER. TN'!G84</f>
        <v>1323.4138</v>
      </c>
      <c r="AE84" s="370">
        <f>'G. Un GE'!AX84</f>
        <v>169.2145464285714</v>
      </c>
      <c r="AF84" s="368">
        <f>IFERROR('G. Un GE'!AX84/Tabla1[[#This Row],[PO '[h']]],0)</f>
        <v>7.0506061011904748</v>
      </c>
      <c r="AG84" s="365">
        <f>'Ar-Pa'!AX84</f>
        <v>2</v>
      </c>
      <c r="AH84" s="365">
        <f>'Ar-Pa'!AY84</f>
        <v>2</v>
      </c>
      <c r="AI84" s="365">
        <f>SUM('Cal. Arr'!AB87:AY87)</f>
        <v>0</v>
      </c>
      <c r="AJ84" s="442">
        <v>0</v>
      </c>
      <c r="AK84" s="442">
        <v>1.3</v>
      </c>
      <c r="AL84" s="267">
        <f t="shared" si="21"/>
        <v>343.42366806559295</v>
      </c>
      <c r="AM84" s="267">
        <f>+CONVERT(AK84+Tabla1[[#This Row],[Con. DO Storage Gen. '[m3']]],"m^3","gal")</f>
        <v>343.42366806559295</v>
      </c>
      <c r="AN84" s="372">
        <f>SUM('DO Pilot'!B84:Y84)</f>
        <v>6.3599999999999968</v>
      </c>
      <c r="AO84" s="372">
        <f t="shared" si="22"/>
        <v>1680.1342529978231</v>
      </c>
      <c r="AP84" s="267">
        <f>AK84+AN84+Tabla1[[#This Row],[Con. DO Storage Gen. '[m3']]]</f>
        <v>7.6599999999999966</v>
      </c>
      <c r="AQ84" s="372">
        <f t="shared" si="29"/>
        <v>2023.557921063416</v>
      </c>
      <c r="AR84" s="442">
        <v>0</v>
      </c>
      <c r="AS84" s="442">
        <v>0</v>
      </c>
      <c r="AT84" s="267">
        <f>+CONVERT(SUM(Tabla1[[#This Row],[Repo. DO Storage '[gal']]:[Repo. DO Pilot '[gal']]]),"gal","m3")</f>
        <v>0</v>
      </c>
      <c r="AU84" s="442">
        <v>0</v>
      </c>
      <c r="AV84" s="267">
        <f t="shared" si="19"/>
        <v>0</v>
      </c>
      <c r="AW84" s="442">
        <v>0</v>
      </c>
      <c r="AX84" s="267">
        <f t="shared" si="23"/>
        <v>0</v>
      </c>
      <c r="AY84" s="372">
        <f t="shared" si="24"/>
        <v>0.25724619330756027</v>
      </c>
      <c r="AZ84" s="372">
        <f>IFERROR(AL84/'Ar-Pa'!AX84,0)</f>
        <v>171.71183403279647</v>
      </c>
      <c r="BA84" s="372">
        <f>IFERROR(AL84/'Ar-Pa'!AY84,0)</f>
        <v>171.71183403279647</v>
      </c>
      <c r="BB84" s="372">
        <f t="shared" si="25"/>
        <v>1.258527530335448</v>
      </c>
      <c r="BC84" s="372">
        <f>IFERROR(AVERAGEIF('DO Pilot'!AX84:BU84,"&gt;0"),0)</f>
        <v>8.9511869526711934</v>
      </c>
      <c r="BD84" s="445">
        <v>361524</v>
      </c>
      <c r="BE84" s="445">
        <v>12797</v>
      </c>
      <c r="BF84" s="445">
        <v>354490</v>
      </c>
      <c r="BG84" s="223">
        <f>Tabla1[[#This Row],[ Re. Gas GC
 '[m3']]]</f>
        <v>354490</v>
      </c>
      <c r="BH84" s="150">
        <f>IFERROR((BG84*Gas!$B$3)/28.31685,0)</f>
        <v>12470.873285693855</v>
      </c>
      <c r="BI84" s="151">
        <f t="shared" si="20"/>
        <v>-326.126714306145</v>
      </c>
      <c r="BJ84" s="74">
        <f t="shared" si="30"/>
        <v>-2.6151072730429076E-2</v>
      </c>
      <c r="BK84" s="223">
        <f t="shared" si="26"/>
        <v>9585.7677902621726</v>
      </c>
      <c r="BL84" s="442">
        <v>0</v>
      </c>
      <c r="BM84" s="150">
        <f t="shared" si="27"/>
        <v>9091.0818035777538</v>
      </c>
      <c r="BN84" s="150">
        <f t="shared" si="31"/>
        <v>9423.2607259300585</v>
      </c>
      <c r="BO84" s="373">
        <f>IFERROR(Tabla1[[#This Row],[ Re. Gas GC
 '[m3']]]/Tabla1[[#This Row],[G. HGS 
Con Gas '[kWh']]],0)</f>
        <v>0.26553558052434456</v>
      </c>
      <c r="BP84" s="374">
        <f>Tank!Y85</f>
        <v>0</v>
      </c>
      <c r="BQ84" s="70">
        <f>Tank!AP85</f>
        <v>12.9</v>
      </c>
      <c r="BR84" s="70">
        <f>Tank!V85</f>
        <v>0</v>
      </c>
      <c r="BS84" s="372">
        <f>Tank!T85</f>
        <v>0</v>
      </c>
      <c r="BT84" s="375" t="s">
        <v>228</v>
      </c>
      <c r="BU84" s="449">
        <v>71</v>
      </c>
      <c r="BV84" s="375">
        <f>IF(Tabla1[[#This Row],[Combustible ofertado]]="GAS",Tabla1[[#This Row],[Disponibilidad]],0)</f>
        <v>0</v>
      </c>
      <c r="BW84" s="375">
        <f>IF(Tabla1[[#This Row],[Combustible ofertado]]="DIESEL",Tabla1[[#This Row],[Disponibilidad]],0)</f>
        <v>71</v>
      </c>
      <c r="BX84" s="375">
        <f>IF(Tabla1[[#This Row],[Combustible ofertado]]="HFO",Tabla1[[#This Row],[Disponibilidad]],0)</f>
        <v>0</v>
      </c>
      <c r="BY84" s="454">
        <v>1440</v>
      </c>
      <c r="BZ84" s="446">
        <f>'Horo. M'!C85</f>
        <v>11</v>
      </c>
      <c r="CA84" s="446">
        <f>'Horo. M'!E85</f>
        <v>24</v>
      </c>
      <c r="CB84" s="446">
        <f>'Horo. M'!G85</f>
        <v>17</v>
      </c>
      <c r="CC84" s="446">
        <f>'Horo. M'!I85</f>
        <v>24</v>
      </c>
      <c r="CD84" s="446">
        <f>'Horo. M'!K85</f>
        <v>0</v>
      </c>
      <c r="CE84" s="446">
        <f>'Horo. M'!M85</f>
        <v>24</v>
      </c>
      <c r="CF84" s="446">
        <f>'Horo. M'!O85</f>
        <v>13</v>
      </c>
      <c r="CG84" s="446">
        <f>'Horo. M'!Q85</f>
        <v>24</v>
      </c>
      <c r="CH84" s="446">
        <f>'Horo. M'!S85</f>
        <v>24</v>
      </c>
      <c r="CI84" s="446">
        <f>'Horo. M'!U85</f>
        <v>24</v>
      </c>
      <c r="CJ84" s="70">
        <f>Tabla1[[#This Row],[Con. DO Storage '[gal']]]-Tabla1[[#This Row],[C. DO Storage Ge '[gal']]]</f>
        <v>343.42366806559295</v>
      </c>
      <c r="CK84" s="70"/>
      <c r="CL84" s="70"/>
      <c r="CM84" s="372">
        <f>Tabla1[[#This Row],[Con. DO Total '[gal']]]*131485.5/(1000000)</f>
        <v>266.06852502998379</v>
      </c>
    </row>
    <row r="85" spans="1:91" s="5" customFormat="1" ht="15" customHeight="1">
      <c r="A85" s="362">
        <v>45010</v>
      </c>
      <c r="B85" s="363" t="str">
        <f>TEXT(Tabla1[[#This Row],[Fecha]],"mmmm")</f>
        <v>marzo</v>
      </c>
      <c r="C85" s="429">
        <v>0</v>
      </c>
      <c r="D85" s="430">
        <v>1272</v>
      </c>
      <c r="E85" s="430">
        <v>1272</v>
      </c>
      <c r="F85" s="430">
        <v>1306</v>
      </c>
      <c r="G85" s="431">
        <v>0</v>
      </c>
      <c r="H85" s="431">
        <v>0</v>
      </c>
      <c r="I85" s="432">
        <v>0</v>
      </c>
      <c r="J85" s="432">
        <v>0</v>
      </c>
      <c r="K85" s="430">
        <v>24</v>
      </c>
      <c r="L85" s="430">
        <v>24</v>
      </c>
      <c r="M85" s="365">
        <f>Tabla1[[#This Row],[Columna1]]-Tabla1[[#This Row],[PO '[h']]]</f>
        <v>0</v>
      </c>
      <c r="N85" s="365">
        <f t="shared" si="18"/>
        <v>1306</v>
      </c>
      <c r="O85" s="430">
        <v>1306</v>
      </c>
      <c r="P85" s="367">
        <f>Tabla1[[#This Row],[G. HGS 
'[MWh']]]</f>
        <v>1306</v>
      </c>
      <c r="Q85" s="430">
        <v>0</v>
      </c>
      <c r="R85" s="367">
        <v>0</v>
      </c>
      <c r="S85" s="367">
        <f>Tabla1[[#This Row],[G. HGS 
Con Gas]]*1000</f>
        <v>1306000</v>
      </c>
      <c r="T85" s="365">
        <f>Tabla1[[#This Row],[G. HGS 
'[MWh']]]*1000</f>
        <v>1306000</v>
      </c>
      <c r="U85" s="368">
        <f>SUM('G. Un GE'!B85:Y85)</f>
        <v>1294.2051000000001</v>
      </c>
      <c r="V85" s="369">
        <f>Tabla1[[#This Row],[R. GE
'[MWh']]]</f>
        <v>1294.2051000000001</v>
      </c>
      <c r="W85" s="434">
        <v>0</v>
      </c>
      <c r="X85" s="369">
        <v>0</v>
      </c>
      <c r="Y85" s="365">
        <f>Tabla1[[#This Row],[R. GE
'[MWh']]]*1000</f>
        <v>1294205.1000000001</v>
      </c>
      <c r="Z85" s="434">
        <v>37</v>
      </c>
      <c r="AA8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</v>
      </c>
      <c r="AB85" s="368">
        <f>IF(Tabla1[[#This Row],[G. HGS 
'[MWh']]]=0,0,Tabla1[[#This Row],[G. HGS 
'[MWh']]]+Tabla1[[#This Row],[Con. Aux. '[MWh']2]])</f>
        <v>1343</v>
      </c>
      <c r="AC85" s="368">
        <f>'C. ENER. TN'!F85</f>
        <v>0</v>
      </c>
      <c r="AD85" s="370">
        <f>'C. ENER. TN'!G85</f>
        <v>1294.2051000000001</v>
      </c>
      <c r="AE85" s="370">
        <f>'G. Un GE'!AX85</f>
        <v>167.49209999999999</v>
      </c>
      <c r="AF85" s="368">
        <f>IFERROR('G. Un GE'!AX85/Tabla1[[#This Row],[PO '[h']]],0)</f>
        <v>6.9788375</v>
      </c>
      <c r="AG85" s="365">
        <f>'Ar-Pa'!AX85</f>
        <v>2</v>
      </c>
      <c r="AH85" s="365">
        <f>'Ar-Pa'!AY85</f>
        <v>2</v>
      </c>
      <c r="AI85" s="365">
        <f>SUM('Cal. Arr'!AB88:AY88)</f>
        <v>0</v>
      </c>
      <c r="AJ85" s="442">
        <v>0</v>
      </c>
      <c r="AK85" s="442">
        <v>1.2</v>
      </c>
      <c r="AL85" s="267">
        <f t="shared" si="21"/>
        <v>317.00646282977812</v>
      </c>
      <c r="AM85" s="267">
        <f>+CONVERT(AK85+Tabla1[[#This Row],[Con. DO Storage Gen. '[m3']]],"m^3","gal")</f>
        <v>317.00646282977812</v>
      </c>
      <c r="AN85" s="372">
        <f>SUM('DO Pilot'!B85:Y85)</f>
        <v>5.870000000000001</v>
      </c>
      <c r="AO85" s="372">
        <f t="shared" si="22"/>
        <v>1550.6899473423314</v>
      </c>
      <c r="AP85" s="267">
        <f>AK85+AN85+Tabla1[[#This Row],[Con. DO Storage Gen. '[m3']]]</f>
        <v>7.0700000000000012</v>
      </c>
      <c r="AQ85" s="372">
        <f t="shared" si="29"/>
        <v>1867.6964101721096</v>
      </c>
      <c r="AR85" s="442">
        <v>0</v>
      </c>
      <c r="AS85" s="442">
        <v>0</v>
      </c>
      <c r="AT85" s="267">
        <f>+CONVERT(SUM(Tabla1[[#This Row],[Repo. DO Storage '[gal']]:[Repo. DO Pilot '[gal']]]),"gal","m3")</f>
        <v>0</v>
      </c>
      <c r="AU85" s="442">
        <v>0</v>
      </c>
      <c r="AV85" s="267">
        <f t="shared" si="19"/>
        <v>0</v>
      </c>
      <c r="AW85" s="442">
        <v>0</v>
      </c>
      <c r="AX85" s="267">
        <f t="shared" si="23"/>
        <v>0</v>
      </c>
      <c r="AY85" s="372">
        <f t="shared" si="24"/>
        <v>0.24273082911927879</v>
      </c>
      <c r="AZ85" s="372">
        <f>IFERROR(AL85/'Ar-Pa'!AX85,0)</f>
        <v>158.50323141488906</v>
      </c>
      <c r="BA85" s="372">
        <f>IFERROR(AL85/'Ar-Pa'!AY85,0)</f>
        <v>158.50323141488906</v>
      </c>
      <c r="BB85" s="372">
        <f t="shared" si="25"/>
        <v>1.1873583057751389</v>
      </c>
      <c r="BC85" s="372">
        <f>IFERROR(AVERAGEIF('DO Pilot'!AX85:BU85,"&gt;0"),0)</f>
        <v>8.3615171929431824</v>
      </c>
      <c r="BD85" s="445">
        <v>355007</v>
      </c>
      <c r="BE85" s="445">
        <v>12567</v>
      </c>
      <c r="BF85" s="445">
        <v>359720</v>
      </c>
      <c r="BG85" s="223">
        <f>Tabla1[[#This Row],[ Re. Gas GC
 '[m3']]]</f>
        <v>359720</v>
      </c>
      <c r="BH85" s="150">
        <f>IFERROR((BG85*Gas!$B$3)/28.31685,0)</f>
        <v>12654.863432903025</v>
      </c>
      <c r="BI85" s="151">
        <f t="shared" si="20"/>
        <v>87.863432903024659</v>
      </c>
      <c r="BJ85" s="74">
        <f t="shared" si="30"/>
        <v>6.9430565860218686E-3</v>
      </c>
      <c r="BK85" s="223">
        <f t="shared" si="26"/>
        <v>9622.5114854517615</v>
      </c>
      <c r="BL85" s="442">
        <v>0</v>
      </c>
      <c r="BM85" s="150">
        <f t="shared" si="27"/>
        <v>9422.8320423700861</v>
      </c>
      <c r="BN85" s="150">
        <f t="shared" si="31"/>
        <v>9778.0973300932164</v>
      </c>
      <c r="BO85" s="373">
        <f>IFERROR(Tabla1[[#This Row],[ Re. Gas GC
 '[m3']]]/Tabla1[[#This Row],[G. HGS 
Con Gas '[kWh']]],0)</f>
        <v>0.27543644716692189</v>
      </c>
      <c r="BP85" s="374">
        <f>Tank!Y86</f>
        <v>0</v>
      </c>
      <c r="BQ85" s="70">
        <f>Tank!AP86</f>
        <v>0</v>
      </c>
      <c r="BR85" s="70">
        <f>Tank!V86</f>
        <v>0</v>
      </c>
      <c r="BS85" s="372">
        <f>Tank!T86</f>
        <v>0</v>
      </c>
      <c r="BT85" s="375" t="s">
        <v>228</v>
      </c>
      <c r="BU85" s="449">
        <v>71</v>
      </c>
      <c r="BV85" s="375">
        <f>IF(Tabla1[[#This Row],[Combustible ofertado]]="GAS",Tabla1[[#This Row],[Disponibilidad]],0)</f>
        <v>0</v>
      </c>
      <c r="BW85" s="375">
        <f>IF(Tabla1[[#This Row],[Combustible ofertado]]="DIESEL",Tabla1[[#This Row],[Disponibilidad]],0)</f>
        <v>71</v>
      </c>
      <c r="BX85" s="375">
        <f>IF(Tabla1[[#This Row],[Combustible ofertado]]="HFO",Tabla1[[#This Row],[Disponibilidad]],0)</f>
        <v>0</v>
      </c>
      <c r="BY85" s="454">
        <v>1440</v>
      </c>
      <c r="BZ85" s="446">
        <f>'Horo. M'!C86</f>
        <v>24</v>
      </c>
      <c r="CA85" s="446">
        <f>'Horo. M'!E86</f>
        <v>21</v>
      </c>
      <c r="CB85" s="446">
        <f>'Horo. M'!G86</f>
        <v>24</v>
      </c>
      <c r="CC85" s="446">
        <f>'Horo. M'!I86</f>
        <v>24</v>
      </c>
      <c r="CD85" s="446">
        <f>'Horo. M'!K86</f>
        <v>0</v>
      </c>
      <c r="CE85" s="446">
        <f>'Horo. M'!M86</f>
        <v>19</v>
      </c>
      <c r="CF85" s="446">
        <f>'Horo. M'!O86</f>
        <v>0</v>
      </c>
      <c r="CG85" s="446">
        <f>'Horo. M'!Q86</f>
        <v>24</v>
      </c>
      <c r="CH85" s="446">
        <f>'Horo. M'!S86</f>
        <v>24</v>
      </c>
      <c r="CI85" s="446">
        <f>'Horo. M'!U86</f>
        <v>24</v>
      </c>
      <c r="CJ85" s="70">
        <f>Tabla1[[#This Row],[Con. DO Storage '[gal']]]-Tabla1[[#This Row],[C. DO Storage Ge '[gal']]]</f>
        <v>317.00646282977812</v>
      </c>
      <c r="CK85" s="70"/>
      <c r="CL85" s="70"/>
      <c r="CM85" s="372">
        <f>Tabla1[[#This Row],[Con. DO Total '[gal']]]*131485.5/(1000000)</f>
        <v>245.5749963396849</v>
      </c>
    </row>
    <row r="86" spans="1:91" s="5" customFormat="1" ht="15" customHeight="1">
      <c r="A86" s="362">
        <v>45011</v>
      </c>
      <c r="B86" s="363" t="str">
        <f>TEXT(Tabla1[[#This Row],[Fecha]],"mmmm")</f>
        <v>marzo</v>
      </c>
      <c r="C86" s="429">
        <v>0</v>
      </c>
      <c r="D86" s="430">
        <v>1137</v>
      </c>
      <c r="E86" s="430">
        <v>1137</v>
      </c>
      <c r="F86" s="430">
        <v>1162</v>
      </c>
      <c r="G86" s="431">
        <v>0</v>
      </c>
      <c r="H86" s="431">
        <v>0</v>
      </c>
      <c r="I86" s="432">
        <v>0</v>
      </c>
      <c r="J86" s="432">
        <v>0</v>
      </c>
      <c r="K86" s="430">
        <v>23</v>
      </c>
      <c r="L86" s="430">
        <v>24</v>
      </c>
      <c r="M86" s="365">
        <f>Tabla1[[#This Row],[Columna1]]-Tabla1[[#This Row],[PO '[h']]]</f>
        <v>1</v>
      </c>
      <c r="N86" s="365">
        <f t="shared" si="18"/>
        <v>1162</v>
      </c>
      <c r="O86" s="430">
        <v>1162</v>
      </c>
      <c r="P86" s="367">
        <f>Tabla1[[#This Row],[G. HGS 
'[MWh']]]</f>
        <v>1162</v>
      </c>
      <c r="Q86" s="430">
        <v>0</v>
      </c>
      <c r="R86" s="367">
        <v>0</v>
      </c>
      <c r="S86" s="367">
        <f>Tabla1[[#This Row],[G. HGS 
Con Gas]]*1000</f>
        <v>1162000</v>
      </c>
      <c r="T86" s="365">
        <f>Tabla1[[#This Row],[G. HGS 
'[MWh']]]*1000</f>
        <v>1162000</v>
      </c>
      <c r="U86" s="368">
        <f>SUM('G. Un GE'!B86:Y86)</f>
        <v>1151.9914000000001</v>
      </c>
      <c r="V86" s="369">
        <f>Tabla1[[#This Row],[R. GE
'[MWh']]]</f>
        <v>1151.9914000000001</v>
      </c>
      <c r="W86" s="434">
        <v>0</v>
      </c>
      <c r="X86" s="369">
        <v>0</v>
      </c>
      <c r="Y86" s="365">
        <f>Tabla1[[#This Row],[R. GE
'[MWh']]]*1000</f>
        <v>1151991.4000000001</v>
      </c>
      <c r="Z86" s="434">
        <v>33.96</v>
      </c>
      <c r="AA8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33.248600000000003</v>
      </c>
      <c r="AB86" s="368">
        <f>IF(Tabla1[[#This Row],[G. HGS 
'[MWh']]]=0,0,Tabla1[[#This Row],[G. HGS 
'[MWh']]]+Tabla1[[#This Row],[Con. Aux. '[MWh']2]])</f>
        <v>1195.2485999999999</v>
      </c>
      <c r="AC86" s="368">
        <f>'C. ENER. TN'!F86</f>
        <v>0.71140000000000003</v>
      </c>
      <c r="AD86" s="370">
        <f>'C. ENER. TN'!G86</f>
        <v>1151.9913999999999</v>
      </c>
      <c r="AE86" s="370">
        <f>'G. Un GE'!AX86</f>
        <v>157.58971547619052</v>
      </c>
      <c r="AF86" s="368">
        <f>IFERROR('G. Un GE'!AX86/Tabla1[[#This Row],[PO '[h']]],0)</f>
        <v>6.8517267598343707</v>
      </c>
      <c r="AG86" s="365">
        <f>'Ar-Pa'!AX86</f>
        <v>9</v>
      </c>
      <c r="AH86" s="365">
        <f>'Ar-Pa'!AY86</f>
        <v>10</v>
      </c>
      <c r="AI86" s="365">
        <f>SUM('Cal. Arr'!AB89:AY89)</f>
        <v>0</v>
      </c>
      <c r="AJ86" s="442">
        <v>0</v>
      </c>
      <c r="AK86" s="442">
        <v>2.4</v>
      </c>
      <c r="AL86" s="267">
        <f t="shared" si="21"/>
        <v>634.01292565955623</v>
      </c>
      <c r="AM86" s="267">
        <f>+CONVERT(AK86+Tabla1[[#This Row],[Con. DO Storage Gen. '[m3']]],"m^3","gal")</f>
        <v>634.01292565955623</v>
      </c>
      <c r="AN86" s="372">
        <f>SUM('DO Pilot'!B86:Y86)</f>
        <v>5.0400000000000027</v>
      </c>
      <c r="AO86" s="372">
        <f t="shared" si="22"/>
        <v>1331.4271438850687</v>
      </c>
      <c r="AP86" s="267">
        <f>AK86+AN86+Tabla1[[#This Row],[Con. DO Storage Gen. '[m3']]]</f>
        <v>7.4400000000000031</v>
      </c>
      <c r="AQ86" s="372">
        <f t="shared" si="29"/>
        <v>1965.440069544625</v>
      </c>
      <c r="AR86" s="442">
        <v>0</v>
      </c>
      <c r="AS86" s="442">
        <v>0</v>
      </c>
      <c r="AT86" s="267">
        <f>+CONVERT(SUM(Tabla1[[#This Row],[Repo. DO Storage '[gal']]:[Repo. DO Pilot '[gal']]]),"gal","m3")</f>
        <v>0</v>
      </c>
      <c r="AU86" s="442">
        <v>0</v>
      </c>
      <c r="AV86" s="267">
        <f t="shared" si="19"/>
        <v>0</v>
      </c>
      <c r="AW86" s="442">
        <v>0</v>
      </c>
      <c r="AX86" s="267">
        <f t="shared" si="23"/>
        <v>0</v>
      </c>
      <c r="AY86" s="372">
        <f t="shared" si="24"/>
        <v>0.54562213912182123</v>
      </c>
      <c r="AZ86" s="372">
        <f>IFERROR(AL86/'Ar-Pa'!AX86,0)</f>
        <v>70.445880628839575</v>
      </c>
      <c r="BA86" s="372">
        <f>IFERROR(AL86/'Ar-Pa'!AY86,0)</f>
        <v>63.401292565955622</v>
      </c>
      <c r="BB86" s="372">
        <f t="shared" si="25"/>
        <v>1.1458064921558251</v>
      </c>
      <c r="BC86" s="372">
        <f>IFERROR(AVERAGEIF('DO Pilot'!AX86:BU86,"&gt;0"),0)</f>
        <v>7.9237942205769665</v>
      </c>
      <c r="BD86" s="445">
        <v>313289</v>
      </c>
      <c r="BE86" s="445">
        <v>11090</v>
      </c>
      <c r="BF86" s="445">
        <v>354127</v>
      </c>
      <c r="BG86" s="223">
        <f>Tabla1[[#This Row],[ Re. Gas GC
 '[m3']]]</f>
        <v>354127</v>
      </c>
      <c r="BH86" s="150">
        <f>IFERROR((BG86*Gas!$B$3)/28.31685,0)</f>
        <v>12458.103032646639</v>
      </c>
      <c r="BI86" s="151">
        <f t="shared" si="20"/>
        <v>1368.1030326466389</v>
      </c>
      <c r="BJ86" s="74">
        <f t="shared" si="30"/>
        <v>0.10981632027456388</v>
      </c>
      <c r="BK86" s="223">
        <f t="shared" si="26"/>
        <v>9543.8898450946654</v>
      </c>
      <c r="BL86" s="442">
        <v>0</v>
      </c>
      <c r="BM86" s="150">
        <f t="shared" si="27"/>
        <v>10423.022484733836</v>
      </c>
      <c r="BN86" s="150">
        <f t="shared" si="31"/>
        <v>10814.406281719323</v>
      </c>
      <c r="BO86" s="373">
        <f>IFERROR(Tabla1[[#This Row],[ Re. Gas GC
 '[m3']]]/Tabla1[[#This Row],[G. HGS 
Con Gas '[kWh']]],0)</f>
        <v>0.30475645438898452</v>
      </c>
      <c r="BP86" s="374">
        <f>Tank!Y87</f>
        <v>0</v>
      </c>
      <c r="BQ86" s="70">
        <f>Tank!AP87</f>
        <v>0</v>
      </c>
      <c r="BR86" s="70">
        <f>Tank!V87</f>
        <v>0</v>
      </c>
      <c r="BS86" s="372">
        <f>Tank!T87</f>
        <v>0</v>
      </c>
      <c r="BT86" s="375" t="s">
        <v>228</v>
      </c>
      <c r="BU86" s="449">
        <v>71</v>
      </c>
      <c r="BV86" s="375">
        <f>IF(Tabla1[[#This Row],[Combustible ofertado]]="GAS",Tabla1[[#This Row],[Disponibilidad]],0)</f>
        <v>0</v>
      </c>
      <c r="BW86" s="375">
        <f>IF(Tabla1[[#This Row],[Combustible ofertado]]="DIESEL",Tabla1[[#This Row],[Disponibilidad]],0)</f>
        <v>71</v>
      </c>
      <c r="BX86" s="375">
        <f>IF(Tabla1[[#This Row],[Combustible ofertado]]="HFO",Tabla1[[#This Row],[Disponibilidad]],0)</f>
        <v>0</v>
      </c>
      <c r="BY86" s="454">
        <v>1440</v>
      </c>
      <c r="BZ86" s="446">
        <f>'Horo. M'!C87</f>
        <v>22</v>
      </c>
      <c r="CA86" s="446">
        <f>'Horo. M'!E87</f>
        <v>19</v>
      </c>
      <c r="CB86" s="446">
        <f>'Horo. M'!G87</f>
        <v>23</v>
      </c>
      <c r="CC86" s="446">
        <f>'Horo. M'!I87</f>
        <v>19</v>
      </c>
      <c r="CD86" s="446">
        <f>'Horo. M'!K87</f>
        <v>0</v>
      </c>
      <c r="CE86" s="446">
        <f>'Horo. M'!M87</f>
        <v>20</v>
      </c>
      <c r="CF86" s="446">
        <f>'Horo. M'!O87</f>
        <v>0</v>
      </c>
      <c r="CG86" s="446">
        <f>'Horo. M'!Q87</f>
        <v>20</v>
      </c>
      <c r="CH86" s="446">
        <f>'Horo. M'!S87</f>
        <v>21</v>
      </c>
      <c r="CI86" s="446">
        <f>'Horo. M'!U87</f>
        <v>19</v>
      </c>
      <c r="CJ86" s="70">
        <f>Tabla1[[#This Row],[Con. DO Storage '[gal']]]-Tabla1[[#This Row],[C. DO Storage Ge '[gal']]]</f>
        <v>634.01292565955623</v>
      </c>
      <c r="CK86" s="70"/>
      <c r="CL86" s="70"/>
      <c r="CM86" s="372">
        <f>Tabla1[[#This Row],[Con. DO Total '[gal']]]*131485.5/(1000000)</f>
        <v>258.42687026410977</v>
      </c>
    </row>
    <row r="87" spans="1:91" s="5" customFormat="1" ht="15" customHeight="1">
      <c r="A87" s="362">
        <v>45012</v>
      </c>
      <c r="B87" s="363" t="str">
        <f>TEXT(Tabla1[[#This Row],[Fecha]],"mmmm")</f>
        <v>marzo</v>
      </c>
      <c r="C87" s="429">
        <v>0</v>
      </c>
      <c r="D87" s="430">
        <v>1272</v>
      </c>
      <c r="E87" s="430">
        <v>1272</v>
      </c>
      <c r="F87" s="430">
        <v>1354</v>
      </c>
      <c r="G87" s="431">
        <v>0</v>
      </c>
      <c r="H87" s="431">
        <v>0</v>
      </c>
      <c r="I87" s="432">
        <v>3</v>
      </c>
      <c r="J87" s="432">
        <v>213</v>
      </c>
      <c r="K87" s="430">
        <v>24</v>
      </c>
      <c r="L87" s="430">
        <v>24</v>
      </c>
      <c r="M87" s="365">
        <f>Tabla1[[#This Row],[Columna1]]-Tabla1[[#This Row],[PO '[h']]]</f>
        <v>0</v>
      </c>
      <c r="N87" s="365">
        <f t="shared" si="18"/>
        <v>1567</v>
      </c>
      <c r="O87" s="430">
        <v>1354</v>
      </c>
      <c r="P87" s="367">
        <f>Tabla1[[#This Row],[G. HGS 
'[MWh']]]</f>
        <v>1354</v>
      </c>
      <c r="Q87" s="430">
        <v>0</v>
      </c>
      <c r="R87" s="367">
        <v>0</v>
      </c>
      <c r="S87" s="367">
        <f>Tabla1[[#This Row],[G. HGS 
Con Gas]]*1000</f>
        <v>1354000</v>
      </c>
      <c r="T87" s="365">
        <f>Tabla1[[#This Row],[G. HGS 
'[MWh']]]*1000</f>
        <v>1354000</v>
      </c>
      <c r="U87" s="368">
        <f>SUM('G. Un GE'!B87:Y87)</f>
        <v>1341.8279000000002</v>
      </c>
      <c r="V87" s="369">
        <f>Tabla1[[#This Row],[R. GE
'[MWh']]]</f>
        <v>1341.8279000000002</v>
      </c>
      <c r="W87" s="434">
        <v>0</v>
      </c>
      <c r="X87" s="369">
        <v>0</v>
      </c>
      <c r="Y87" s="365">
        <f>Tabla1[[#This Row],[R. GE
'[MWh']]]*1000</f>
        <v>1341827.9000000001</v>
      </c>
      <c r="Z87" s="434">
        <v>37.46</v>
      </c>
      <c r="AA8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37.46</v>
      </c>
      <c r="AB87" s="368">
        <f>IF(Tabla1[[#This Row],[G. HGS 
'[MWh']]]=0,0,Tabla1[[#This Row],[G. HGS 
'[MWh']]]+Tabla1[[#This Row],[Con. Aux. '[MWh']2]])</f>
        <v>1391.46</v>
      </c>
      <c r="AC87" s="368">
        <f>'C. ENER. TN'!F87</f>
        <v>0</v>
      </c>
      <c r="AD87" s="370">
        <f>'C. ENER. TN'!G87</f>
        <v>1341.8279</v>
      </c>
      <c r="AE87" s="370">
        <f>'G. Un GE'!AX87</f>
        <v>174.47959821428566</v>
      </c>
      <c r="AF87" s="368">
        <f>IFERROR('G. Un GE'!AX87/Tabla1[[#This Row],[PO '[h']]],0)</f>
        <v>7.2699832589285691</v>
      </c>
      <c r="AG87" s="365">
        <f>'Ar-Pa'!AX87</f>
        <v>3</v>
      </c>
      <c r="AH87" s="365">
        <f>'Ar-Pa'!AY87</f>
        <v>2</v>
      </c>
      <c r="AI87" s="365">
        <f>SUM('Cal. Arr'!AB90:AY90)</f>
        <v>0</v>
      </c>
      <c r="AJ87" s="442">
        <v>0</v>
      </c>
      <c r="AK87" s="442">
        <v>2.1</v>
      </c>
      <c r="AL87" s="267">
        <f t="shared" si="21"/>
        <v>554.76130995211167</v>
      </c>
      <c r="AM87" s="267">
        <f>+CONVERT(AK87+Tabla1[[#This Row],[Con. DO Storage Gen. '[m3']]],"m^3","gal")</f>
        <v>554.76130995211167</v>
      </c>
      <c r="AN87" s="372">
        <f>SUM('DO Pilot'!B87:Y87)</f>
        <v>5.5200000000000014</v>
      </c>
      <c r="AO87" s="372">
        <f t="shared" si="22"/>
        <v>1458.2297290169795</v>
      </c>
      <c r="AP87" s="267">
        <f>AK87+AN87+Tabla1[[#This Row],[Con. DO Storage Gen. '[m3']]]</f>
        <v>7.620000000000001</v>
      </c>
      <c r="AQ87" s="372">
        <f t="shared" si="29"/>
        <v>2012.9910389690913</v>
      </c>
      <c r="AR87" s="442">
        <v>0</v>
      </c>
      <c r="AS87" s="442">
        <v>10997</v>
      </c>
      <c r="AT87" s="267">
        <f>+CONVERT(SUM(Tabla1[[#This Row],[Repo. DO Storage '[gal']]:[Repo. DO Pilot '[gal']]]),"gal","m3")</f>
        <v>41.628173388648001</v>
      </c>
      <c r="AU87" s="442">
        <v>0</v>
      </c>
      <c r="AV87" s="267">
        <f t="shared" si="19"/>
        <v>0</v>
      </c>
      <c r="AW87" s="442">
        <v>0</v>
      </c>
      <c r="AX87" s="267">
        <f t="shared" si="23"/>
        <v>0</v>
      </c>
      <c r="AY87" s="372">
        <f t="shared" si="24"/>
        <v>0.40972031754217997</v>
      </c>
      <c r="AZ87" s="372">
        <f>IFERROR(AL87/'Ar-Pa'!AX87,0)</f>
        <v>184.92043665070389</v>
      </c>
      <c r="BA87" s="372">
        <f>IFERROR(AL87/'Ar-Pa'!AY87,0)</f>
        <v>277.38065497605584</v>
      </c>
      <c r="BB87" s="372">
        <f t="shared" si="25"/>
        <v>1.0769791203965875</v>
      </c>
      <c r="BC87" s="372">
        <f>IFERROR(AVERAGEIF('DO Pilot'!AX87:BU87,"&gt;0"),0)</f>
        <v>7.9015747803553325</v>
      </c>
      <c r="BD87" s="445">
        <v>363280</v>
      </c>
      <c r="BE87" s="445">
        <v>12860</v>
      </c>
      <c r="BF87" s="445">
        <v>313180</v>
      </c>
      <c r="BG87" s="223">
        <f>Tabla1[[#This Row],[ Re. Gas GC
 '[m3']]]</f>
        <v>313180</v>
      </c>
      <c r="BH87" s="150">
        <f>IFERROR((BG87*Gas!$B$3)/28.31685,0)</f>
        <v>11017.59738106463</v>
      </c>
      <c r="BI87" s="151">
        <f t="shared" si="20"/>
        <v>-1842.4026189353699</v>
      </c>
      <c r="BJ87" s="74">
        <f t="shared" si="30"/>
        <v>-0.16722362918269379</v>
      </c>
      <c r="BK87" s="223">
        <f t="shared" si="26"/>
        <v>9497.7843426883301</v>
      </c>
      <c r="BL87" s="442">
        <v>0</v>
      </c>
      <c r="BM87" s="150">
        <f t="shared" si="27"/>
        <v>7918.0122900152573</v>
      </c>
      <c r="BN87" s="150">
        <f t="shared" si="31"/>
        <v>8210.8870899648373</v>
      </c>
      <c r="BO87" s="373">
        <f>IFERROR(Tabla1[[#This Row],[ Re. Gas GC
 '[m3']]]/Tabla1[[#This Row],[G. HGS 
Con Gas '[kWh']]],0)</f>
        <v>0.23129985228951255</v>
      </c>
      <c r="BP87" s="374">
        <f>Tank!Y88</f>
        <v>0</v>
      </c>
      <c r="BQ87" s="70">
        <f>Tank!AP88</f>
        <v>12.51</v>
      </c>
      <c r="BR87" s="70">
        <f>Tank!V88</f>
        <v>0</v>
      </c>
      <c r="BS87" s="372">
        <f>Tank!T88</f>
        <v>0</v>
      </c>
      <c r="BT87" s="375" t="s">
        <v>228</v>
      </c>
      <c r="BU87" s="449">
        <v>71</v>
      </c>
      <c r="BV87" s="375">
        <f>IF(Tabla1[[#This Row],[Combustible ofertado]]="GAS",Tabla1[[#This Row],[Disponibilidad]],0)</f>
        <v>0</v>
      </c>
      <c r="BW87" s="375">
        <f>IF(Tabla1[[#This Row],[Combustible ofertado]]="DIESEL",Tabla1[[#This Row],[Disponibilidad]],0)</f>
        <v>71</v>
      </c>
      <c r="BX87" s="375">
        <f>IF(Tabla1[[#This Row],[Combustible ofertado]]="HFO",Tabla1[[#This Row],[Disponibilidad]],0)</f>
        <v>0</v>
      </c>
      <c r="BY87" s="454">
        <v>1440</v>
      </c>
      <c r="BZ87" s="446">
        <f>'Horo. M'!C88</f>
        <v>24</v>
      </c>
      <c r="CA87" s="446">
        <f>'Horo. M'!E88</f>
        <v>17</v>
      </c>
      <c r="CB87" s="446">
        <f>'Horo. M'!G88</f>
        <v>24</v>
      </c>
      <c r="CC87" s="446">
        <f>'Horo. M'!I88</f>
        <v>23</v>
      </c>
      <c r="CD87" s="446">
        <f>'Horo. M'!K88</f>
        <v>1</v>
      </c>
      <c r="CE87" s="446">
        <f>'Horo. M'!M88</f>
        <v>24</v>
      </c>
      <c r="CF87" s="446">
        <f>'Horo. M'!O88</f>
        <v>0</v>
      </c>
      <c r="CG87" s="446">
        <f>'Horo. M'!Q88</f>
        <v>24</v>
      </c>
      <c r="CH87" s="446">
        <f>'Horo. M'!S88</f>
        <v>24</v>
      </c>
      <c r="CI87" s="446">
        <f>'Horo. M'!U88</f>
        <v>24</v>
      </c>
      <c r="CJ87" s="70">
        <f>Tabla1[[#This Row],[Con. DO Storage '[gal']]]-Tabla1[[#This Row],[C. DO Storage Ge '[gal']]]</f>
        <v>554.76130995211167</v>
      </c>
      <c r="CK87" s="70"/>
      <c r="CL87" s="70"/>
      <c r="CM87" s="372">
        <f>Tabla1[[#This Row],[Con. DO Total '[gal']]]*131485.5/(1000000)</f>
        <v>264.67913325437047</v>
      </c>
    </row>
    <row r="88" spans="1:91" s="5" customFormat="1" ht="15" customHeight="1">
      <c r="A88" s="362">
        <v>45013</v>
      </c>
      <c r="B88" s="363" t="str">
        <f>TEXT(Tabla1[[#This Row],[Fecha]],"mmmm")</f>
        <v>marzo</v>
      </c>
      <c r="C88" s="429">
        <v>0</v>
      </c>
      <c r="D88" s="430">
        <v>1272</v>
      </c>
      <c r="E88" s="430">
        <v>1272</v>
      </c>
      <c r="F88" s="430">
        <v>1361</v>
      </c>
      <c r="G88" s="431">
        <v>0</v>
      </c>
      <c r="H88" s="431">
        <v>0</v>
      </c>
      <c r="I88" s="432">
        <v>5</v>
      </c>
      <c r="J88" s="432">
        <v>355</v>
      </c>
      <c r="K88" s="430">
        <v>24</v>
      </c>
      <c r="L88" s="430">
        <v>24</v>
      </c>
      <c r="M88" s="365">
        <f>Tabla1[[#This Row],[Columna1]]-Tabla1[[#This Row],[PO '[h']]]</f>
        <v>0</v>
      </c>
      <c r="N88" s="365">
        <f t="shared" si="18"/>
        <v>1716</v>
      </c>
      <c r="O88" s="430">
        <v>1361</v>
      </c>
      <c r="P88" s="367">
        <f>Tabla1[[#This Row],[G. HGS 
'[MWh']]]</f>
        <v>1361</v>
      </c>
      <c r="Q88" s="430">
        <v>0</v>
      </c>
      <c r="R88" s="367">
        <v>0</v>
      </c>
      <c r="S88" s="367">
        <f>Tabla1[[#This Row],[G. HGS 
Con Gas]]*1000</f>
        <v>1361000</v>
      </c>
      <c r="T88" s="365">
        <f>Tabla1[[#This Row],[G. HGS 
'[MWh']]]*1000</f>
        <v>1361000</v>
      </c>
      <c r="U88" s="368">
        <f>SUM('G. Un GE'!B88:Y88)</f>
        <v>1349.3969999999997</v>
      </c>
      <c r="V88" s="369">
        <f>Tabla1[[#This Row],[R. GE
'[MWh']]]</f>
        <v>1349.3969999999997</v>
      </c>
      <c r="W88" s="434">
        <v>0</v>
      </c>
      <c r="X88" s="369">
        <v>0</v>
      </c>
      <c r="Y88" s="365">
        <f>Tabla1[[#This Row],[R. GE
'[MWh']]]*1000</f>
        <v>1349396.9999999998</v>
      </c>
      <c r="Z88" s="434">
        <v>38.049999999999997</v>
      </c>
      <c r="AA8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38.049999999999997</v>
      </c>
      <c r="AB88" s="368">
        <f>IF(Tabla1[[#This Row],[G. HGS 
'[MWh']]]=0,0,Tabla1[[#This Row],[G. HGS 
'[MWh']]]+Tabla1[[#This Row],[Con. Aux. '[MWh']2]])</f>
        <v>1399.05</v>
      </c>
      <c r="AC88" s="368">
        <f>'C. ENER. TN'!F88</f>
        <v>0</v>
      </c>
      <c r="AD88" s="370">
        <f>'C. ENER. TN'!G88</f>
        <v>1349.3969999999997</v>
      </c>
      <c r="AE88" s="370">
        <f>'G. Un GE'!AX88</f>
        <v>172.54461607142855</v>
      </c>
      <c r="AF88" s="368">
        <f>IFERROR('G. Un GE'!AX88/Tabla1[[#This Row],[PO '[h']]],0)</f>
        <v>7.1893590029761896</v>
      </c>
      <c r="AG88" s="365">
        <f>'Ar-Pa'!AX88</f>
        <v>2</v>
      </c>
      <c r="AH88" s="365">
        <f>'Ar-Pa'!AY88</f>
        <v>2</v>
      </c>
      <c r="AI88" s="365">
        <f>SUM('Cal. Arr'!AB91:AY91)</f>
        <v>0</v>
      </c>
      <c r="AJ88" s="442">
        <v>6.1</v>
      </c>
      <c r="AK88" s="442">
        <v>2</v>
      </c>
      <c r="AL88" s="267">
        <f t="shared" si="21"/>
        <v>528.3441047162969</v>
      </c>
      <c r="AM88" s="267">
        <f>+CONVERT(AK88+Tabla1[[#This Row],[Con. DO Storage Gen. '[m3']]],"m^3","gal")</f>
        <v>2139.793624101002</v>
      </c>
      <c r="AN88" s="372">
        <f>SUM('DO Pilot'!B88:Y88)</f>
        <v>6.51</v>
      </c>
      <c r="AO88" s="372">
        <f t="shared" si="22"/>
        <v>1719.7600608515463</v>
      </c>
      <c r="AP88" s="267">
        <f>AK88+AN88+Tabla1[[#This Row],[Con. DO Storage Gen. '[m3']]]</f>
        <v>14.61</v>
      </c>
      <c r="AQ88" s="372">
        <f t="shared" si="29"/>
        <v>3859.5536849525483</v>
      </c>
      <c r="AR88" s="442">
        <v>0</v>
      </c>
      <c r="AS88" s="442">
        <v>0</v>
      </c>
      <c r="AT88" s="267">
        <f>+CONVERT(SUM(Tabla1[[#This Row],[Repo. DO Storage '[gal']]:[Repo. DO Pilot '[gal']]]),"gal","m3")</f>
        <v>0</v>
      </c>
      <c r="AU88" s="442">
        <v>0</v>
      </c>
      <c r="AV88" s="267">
        <f t="shared" si="19"/>
        <v>0</v>
      </c>
      <c r="AW88" s="442">
        <v>0</v>
      </c>
      <c r="AX88" s="267">
        <f t="shared" si="23"/>
        <v>0</v>
      </c>
      <c r="AY88" s="372">
        <f t="shared" si="24"/>
        <v>0.38820286900536144</v>
      </c>
      <c r="AZ88" s="372">
        <f>IFERROR(AL88/'Ar-Pa'!AX88,0)</f>
        <v>264.17205235814845</v>
      </c>
      <c r="BA88" s="372">
        <f>IFERROR(AL88/'Ar-Pa'!AY88,0)</f>
        <v>264.17205235814845</v>
      </c>
      <c r="BB88" s="372">
        <f t="shared" si="25"/>
        <v>1.2636003386124515</v>
      </c>
      <c r="BC88" s="372">
        <f>IFERROR(AVERAGEIF('DO Pilot'!AX88:BU88,"&gt;0"),0)</f>
        <v>9.1634680661732748</v>
      </c>
      <c r="BD88" s="445">
        <v>298698</v>
      </c>
      <c r="BE88" s="445">
        <v>10574</v>
      </c>
      <c r="BF88" s="445">
        <v>363116</v>
      </c>
      <c r="BG88" s="223">
        <f>Tabla1[[#This Row],[ Re. Gas GC
 '[m3']]]</f>
        <v>363116</v>
      </c>
      <c r="BH88" s="150">
        <f>IFERROR((BG88*Gas!$B$3)/28.31685,0)</f>
        <v>12774.333899427373</v>
      </c>
      <c r="BI88" s="151">
        <f t="shared" si="20"/>
        <v>2200.3338994273727</v>
      </c>
      <c r="BJ88" s="74">
        <f t="shared" si="30"/>
        <v>0.17224646832865437</v>
      </c>
      <c r="BK88" s="223">
        <f t="shared" si="26"/>
        <v>7769.2872887582653</v>
      </c>
      <c r="BL88" s="442">
        <v>0</v>
      </c>
      <c r="BM88" s="150">
        <f t="shared" si="27"/>
        <v>9130.7200596314451</v>
      </c>
      <c r="BN88" s="150">
        <f t="shared" si="31"/>
        <v>9466.6980135774538</v>
      </c>
      <c r="BO88" s="373">
        <f>IFERROR(Tabla1[[#This Row],[ Re. Gas GC
 '[m3']]]/Tabla1[[#This Row],[G. HGS 
Con Gas '[kWh']]],0)</f>
        <v>0.26680088170462896</v>
      </c>
      <c r="BP88" s="374">
        <f>Tank!Y89</f>
        <v>0</v>
      </c>
      <c r="BQ88" s="70">
        <f>Tank!AP89</f>
        <v>0</v>
      </c>
      <c r="BR88" s="70">
        <f>Tank!V89</f>
        <v>0</v>
      </c>
      <c r="BS88" s="372">
        <f>Tank!T89</f>
        <v>0</v>
      </c>
      <c r="BT88" s="375" t="s">
        <v>228</v>
      </c>
      <c r="BU88" s="449">
        <v>71</v>
      </c>
      <c r="BV88" s="375">
        <f>IF(Tabla1[[#This Row],[Combustible ofertado]]="GAS",Tabla1[[#This Row],[Disponibilidad]],0)</f>
        <v>0</v>
      </c>
      <c r="BW88" s="375">
        <f>IF(Tabla1[[#This Row],[Combustible ofertado]]="DIESEL",Tabla1[[#This Row],[Disponibilidad]],0)</f>
        <v>71</v>
      </c>
      <c r="BX88" s="375">
        <f>IF(Tabla1[[#This Row],[Combustible ofertado]]="HFO",Tabla1[[#This Row],[Disponibilidad]],0)</f>
        <v>0</v>
      </c>
      <c r="BY88" s="454">
        <v>1440</v>
      </c>
      <c r="BZ88" s="446">
        <f>'Horo. M'!C89</f>
        <v>24</v>
      </c>
      <c r="CA88" s="446">
        <f>'Horo. M'!E89</f>
        <v>22</v>
      </c>
      <c r="CB88" s="446">
        <f>'Horo. M'!G89</f>
        <v>24</v>
      </c>
      <c r="CC88" s="446">
        <f>'Horo. M'!I89</f>
        <v>20</v>
      </c>
      <c r="CD88" s="446">
        <f>'Horo. M'!K89</f>
        <v>5</v>
      </c>
      <c r="CE88" s="446">
        <f>'Horo. M'!M89</f>
        <v>24</v>
      </c>
      <c r="CF88" s="446">
        <f>'Horo. M'!O89</f>
        <v>0</v>
      </c>
      <c r="CG88" s="446">
        <f>'Horo. M'!Q89</f>
        <v>24</v>
      </c>
      <c r="CH88" s="446">
        <f>'Horo. M'!S89</f>
        <v>24</v>
      </c>
      <c r="CI88" s="446">
        <f>'Horo. M'!U89</f>
        <v>24</v>
      </c>
      <c r="CJ88" s="70">
        <f>Tabla1[[#This Row],[Con. DO Storage '[gal']]]-Tabla1[[#This Row],[C. DO Storage Ge '[gal']]]</f>
        <v>528.3441047162969</v>
      </c>
      <c r="CK88" s="70"/>
      <c r="CL88" s="70"/>
      <c r="CM88" s="372">
        <f>Tabla1[[#This Row],[Con. DO Total '[gal']]]*131485.5/(1000000)</f>
        <v>507.47534604282833</v>
      </c>
    </row>
    <row r="89" spans="1:91" s="5" customFormat="1" ht="15" customHeight="1">
      <c r="A89" s="362">
        <v>45014</v>
      </c>
      <c r="B89" s="363" t="str">
        <f>TEXT(Tabla1[[#This Row],[Fecha]],"mmmm")</f>
        <v>marzo</v>
      </c>
      <c r="C89" s="429">
        <v>0</v>
      </c>
      <c r="D89" s="430">
        <v>1272</v>
      </c>
      <c r="E89" s="430">
        <v>1272</v>
      </c>
      <c r="F89" s="430">
        <v>1348</v>
      </c>
      <c r="G89" s="431">
        <v>0</v>
      </c>
      <c r="H89" s="431">
        <v>0</v>
      </c>
      <c r="I89" s="432">
        <v>4</v>
      </c>
      <c r="J89" s="432">
        <v>284</v>
      </c>
      <c r="K89" s="430">
        <v>24</v>
      </c>
      <c r="L89" s="430">
        <v>24</v>
      </c>
      <c r="M89" s="365">
        <f>Tabla1[[#This Row],[Columna1]]-Tabla1[[#This Row],[PO '[h']]]</f>
        <v>0</v>
      </c>
      <c r="N89" s="365">
        <f t="shared" si="18"/>
        <v>1632</v>
      </c>
      <c r="O89" s="430">
        <v>1348</v>
      </c>
      <c r="P89" s="367">
        <f>Tabla1[[#This Row],[G. HGS 
'[MWh']]]</f>
        <v>1348</v>
      </c>
      <c r="Q89" s="430">
        <v>0</v>
      </c>
      <c r="R89" s="367">
        <v>0</v>
      </c>
      <c r="S89" s="367">
        <f>Tabla1[[#This Row],[G. HGS 
Con Gas]]*1000</f>
        <v>1348000</v>
      </c>
      <c r="T89" s="365">
        <f>Tabla1[[#This Row],[G. HGS 
'[MWh']]]*1000</f>
        <v>1348000</v>
      </c>
      <c r="U89" s="368">
        <f>SUM('G. Un GE'!B89:Y89)</f>
        <v>1336.5957000000001</v>
      </c>
      <c r="V89" s="369">
        <f>Tabla1[[#This Row],[R. GE
'[MWh']]]</f>
        <v>1336.5957000000001</v>
      </c>
      <c r="W89" s="434">
        <v>0</v>
      </c>
      <c r="X89" s="369">
        <v>0</v>
      </c>
      <c r="Y89" s="365">
        <f>Tabla1[[#This Row],[R. GE
'[MWh']]]*1000</f>
        <v>1336595.7000000002</v>
      </c>
      <c r="Z89" s="434">
        <v>37.83</v>
      </c>
      <c r="AA8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37.83</v>
      </c>
      <c r="AB89" s="368">
        <f>IF(Tabla1[[#This Row],[G. HGS 
'[MWh']]]=0,0,Tabla1[[#This Row],[G. HGS 
'[MWh']]]+Tabla1[[#This Row],[Con. Aux. '[MWh']2]])</f>
        <v>1385.83</v>
      </c>
      <c r="AC89" s="368">
        <f>'C. ENER. TN'!F89</f>
        <v>0</v>
      </c>
      <c r="AD89" s="370">
        <f>'C. ENER. TN'!G89</f>
        <v>1336.5957000000001</v>
      </c>
      <c r="AE89" s="370">
        <f>'G. Un GE'!AX89</f>
        <v>169.95679642857144</v>
      </c>
      <c r="AF89" s="368">
        <f>IFERROR('G. Un GE'!AX89/Tabla1[[#This Row],[PO '[h']]],0)</f>
        <v>7.0815331845238099</v>
      </c>
      <c r="AG89" s="365">
        <f>'Ar-Pa'!AX89</f>
        <v>1</v>
      </c>
      <c r="AH89" s="365">
        <f>'Ar-Pa'!AY89</f>
        <v>1</v>
      </c>
      <c r="AI89" s="365">
        <f>SUM('Cal. Arr'!AB92:AY92)</f>
        <v>0</v>
      </c>
      <c r="AJ89" s="442">
        <v>0</v>
      </c>
      <c r="AK89" s="442">
        <v>1.5</v>
      </c>
      <c r="AL89" s="267">
        <f t="shared" si="21"/>
        <v>396.25807853722262</v>
      </c>
      <c r="AM89" s="267">
        <f>+CONVERT(AK89+Tabla1[[#This Row],[Con. DO Storage Gen. '[m3']]],"m^3","gal")</f>
        <v>396.25807853722262</v>
      </c>
      <c r="AN89" s="372">
        <f>SUM('DO Pilot'!B89:Y89)</f>
        <v>6.19</v>
      </c>
      <c r="AO89" s="372">
        <f t="shared" si="22"/>
        <v>1635.2250040969388</v>
      </c>
      <c r="AP89" s="267">
        <f>AK89+AN89+Tabla1[[#This Row],[Con. DO Storage Gen. '[m3']]]</f>
        <v>7.69</v>
      </c>
      <c r="AQ89" s="372">
        <f t="shared" si="29"/>
        <v>2031.4830826341613</v>
      </c>
      <c r="AR89" s="442">
        <v>0</v>
      </c>
      <c r="AS89" s="442">
        <v>0</v>
      </c>
      <c r="AT89" s="267">
        <f>+CONVERT(SUM(Tabla1[[#This Row],[Repo. DO Storage '[gal']]:[Repo. DO Pilot '[gal']]]),"gal","m3")</f>
        <v>0</v>
      </c>
      <c r="AU89" s="442">
        <v>0</v>
      </c>
      <c r="AV89" s="267">
        <f t="shared" si="19"/>
        <v>0</v>
      </c>
      <c r="AW89" s="442">
        <v>0</v>
      </c>
      <c r="AX89" s="267">
        <f t="shared" si="23"/>
        <v>0</v>
      </c>
      <c r="AY89" s="372">
        <f t="shared" si="24"/>
        <v>0.29395999891485358</v>
      </c>
      <c r="AZ89" s="372">
        <f>IFERROR(AL89/'Ar-Pa'!AX89,0)</f>
        <v>396.25807853722262</v>
      </c>
      <c r="BA89" s="372">
        <f>IFERROR(AL89/'Ar-Pa'!AY89,0)</f>
        <v>396.25807853722262</v>
      </c>
      <c r="BB89" s="372">
        <f t="shared" si="25"/>
        <v>1.2130749288552958</v>
      </c>
      <c r="BC89" s="372">
        <f>IFERROR(AVERAGEIF('DO Pilot'!AX89:BU89,"&gt;0"),0)</f>
        <v>8.6622487704044655</v>
      </c>
      <c r="BD89" s="445">
        <v>366952</v>
      </c>
      <c r="BE89" s="445">
        <v>12990</v>
      </c>
      <c r="BF89" s="445">
        <v>364345</v>
      </c>
      <c r="BG89" s="223">
        <f>Tabla1[[#This Row],[ Re. Gas GC
 '[m3']]]</f>
        <v>364345</v>
      </c>
      <c r="BH89" s="150">
        <f>IFERROR((BG89*Gas!$B$3)/28.31685,0)</f>
        <v>12817.569825033504</v>
      </c>
      <c r="BI89" s="151">
        <f t="shared" si="20"/>
        <v>-172.43017496649554</v>
      </c>
      <c r="BJ89" s="74">
        <f t="shared" si="30"/>
        <v>-1.3452641750367434E-2</v>
      </c>
      <c r="BK89" s="223">
        <f t="shared" si="26"/>
        <v>9636.4985163204747</v>
      </c>
      <c r="BL89" s="442">
        <v>0</v>
      </c>
      <c r="BM89" s="150">
        <f t="shared" si="27"/>
        <v>9249.0203163688948</v>
      </c>
      <c r="BN89" s="150">
        <f t="shared" si="31"/>
        <v>9589.7134975322042</v>
      </c>
      <c r="BO89" s="373">
        <f>IFERROR(Tabla1[[#This Row],[ Re. Gas GC
 '[m3']]]/Tabla1[[#This Row],[G. HGS 
Con Gas '[kWh']]],0)</f>
        <v>0.27028560830860532</v>
      </c>
      <c r="BP89" s="374">
        <f>Tank!Y90</f>
        <v>0</v>
      </c>
      <c r="BQ89" s="70">
        <f>Tank!AP90</f>
        <v>24.6</v>
      </c>
      <c r="BR89" s="70">
        <f>Tank!V90</f>
        <v>0</v>
      </c>
      <c r="BS89" s="372">
        <f>Tank!T90</f>
        <v>0</v>
      </c>
      <c r="BT89" s="375" t="s">
        <v>228</v>
      </c>
      <c r="BU89" s="449">
        <v>71</v>
      </c>
      <c r="BV89" s="375">
        <f>IF(Tabla1[[#This Row],[Combustible ofertado]]="GAS",Tabla1[[#This Row],[Disponibilidad]],0)</f>
        <v>0</v>
      </c>
      <c r="BW89" s="375">
        <f>IF(Tabla1[[#This Row],[Combustible ofertado]]="DIESEL",Tabla1[[#This Row],[Disponibilidad]],0)</f>
        <v>71</v>
      </c>
      <c r="BX89" s="375">
        <f>IF(Tabla1[[#This Row],[Combustible ofertado]]="HFO",Tabla1[[#This Row],[Disponibilidad]],0)</f>
        <v>0</v>
      </c>
      <c r="BY89" s="454">
        <v>1440</v>
      </c>
      <c r="BZ89" s="446">
        <f>'Horo. M'!C90</f>
        <v>21</v>
      </c>
      <c r="CA89" s="446">
        <f>'Horo. M'!E90</f>
        <v>24</v>
      </c>
      <c r="CB89" s="446">
        <f>'Horo. M'!G90</f>
        <v>24</v>
      </c>
      <c r="CC89" s="446">
        <f>'Horo. M'!I90</f>
        <v>24</v>
      </c>
      <c r="CD89" s="446">
        <f>'Horo. M'!K90</f>
        <v>1</v>
      </c>
      <c r="CE89" s="446">
        <f>'Horo. M'!M90</f>
        <v>24</v>
      </c>
      <c r="CF89" s="446">
        <f>'Horo. M'!O90</f>
        <v>0</v>
      </c>
      <c r="CG89" s="446">
        <f>'Horo. M'!Q90</f>
        <v>24</v>
      </c>
      <c r="CH89" s="446">
        <f>'Horo. M'!S90</f>
        <v>24</v>
      </c>
      <c r="CI89" s="446">
        <f>'Horo. M'!U90</f>
        <v>24</v>
      </c>
      <c r="CJ89" s="70">
        <f>Tabla1[[#This Row],[Con. DO Storage '[gal']]]-Tabla1[[#This Row],[C. DO Storage Ge '[gal']]]</f>
        <v>396.25807853722262</v>
      </c>
      <c r="CK89" s="70"/>
      <c r="CL89" s="70"/>
      <c r="CM89" s="372">
        <f>Tabla1[[#This Row],[Con. DO Total '[gal']]]*131485.5/(1000000)</f>
        <v>267.11056886169399</v>
      </c>
    </row>
    <row r="90" spans="1:91" s="5" customFormat="1" ht="15" customHeight="1">
      <c r="A90" s="362">
        <v>45015</v>
      </c>
      <c r="B90" s="363" t="str">
        <f>TEXT(Tabla1[[#This Row],[Fecha]],"mmmm")</f>
        <v>marzo</v>
      </c>
      <c r="C90" s="429">
        <v>0</v>
      </c>
      <c r="D90" s="430">
        <v>1272</v>
      </c>
      <c r="E90" s="430">
        <v>1272</v>
      </c>
      <c r="F90" s="430">
        <v>1365</v>
      </c>
      <c r="G90" s="431">
        <v>0</v>
      </c>
      <c r="H90" s="431">
        <v>0</v>
      </c>
      <c r="I90" s="432">
        <v>5</v>
      </c>
      <c r="J90" s="432">
        <v>355</v>
      </c>
      <c r="K90" s="430">
        <v>24</v>
      </c>
      <c r="L90" s="430">
        <v>24</v>
      </c>
      <c r="M90" s="365">
        <f>Tabla1[[#This Row],[Columna1]]-Tabla1[[#This Row],[PO '[h']]]</f>
        <v>0</v>
      </c>
      <c r="N90" s="365">
        <f t="shared" si="18"/>
        <v>1720</v>
      </c>
      <c r="O90" s="430">
        <v>1365</v>
      </c>
      <c r="P90" s="367">
        <f>Tabla1[[#This Row],[G. HGS 
'[MWh']]]</f>
        <v>1365</v>
      </c>
      <c r="Q90" s="430">
        <v>0</v>
      </c>
      <c r="R90" s="367">
        <v>0</v>
      </c>
      <c r="S90" s="367">
        <f>Tabla1[[#This Row],[G. HGS 
Con Gas]]*1000</f>
        <v>1365000</v>
      </c>
      <c r="T90" s="365">
        <f>Tabla1[[#This Row],[G. HGS 
'[MWh']]]*1000</f>
        <v>1365000</v>
      </c>
      <c r="U90" s="368">
        <f>SUM('G. Un GE'!B90:Y90)</f>
        <v>1352.5559999999998</v>
      </c>
      <c r="V90" s="369">
        <f>Tabla1[[#This Row],[R. GE
'[MWh']]]</f>
        <v>1352.5559999999998</v>
      </c>
      <c r="W90" s="434">
        <v>0</v>
      </c>
      <c r="X90" s="369">
        <v>0</v>
      </c>
      <c r="Y90" s="365">
        <f>Tabla1[[#This Row],[R. GE
'[MWh']]]*1000</f>
        <v>1352555.9999999998</v>
      </c>
      <c r="Z90" s="434">
        <v>37.76</v>
      </c>
      <c r="AA9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37.76</v>
      </c>
      <c r="AB90" s="368">
        <f>IF(Tabla1[[#This Row],[G. HGS 
'[MWh']]]=0,0,Tabla1[[#This Row],[G. HGS 
'[MWh']]]+Tabla1[[#This Row],[Con. Aux. '[MWh']2]])</f>
        <v>1402.76</v>
      </c>
      <c r="AC90" s="368">
        <f>'C. ENER. TN'!F90</f>
        <v>0</v>
      </c>
      <c r="AD90" s="370">
        <f>'C. ENER. TN'!G90</f>
        <v>1352.5560000000005</v>
      </c>
      <c r="AE90" s="370">
        <f>'G. Un GE'!AX90</f>
        <v>171.92651249999997</v>
      </c>
      <c r="AF90" s="368">
        <f>IFERROR('G. Un GE'!AX90/Tabla1[[#This Row],[PO '[h']]],0)</f>
        <v>7.1636046874999986</v>
      </c>
      <c r="AG90" s="365">
        <f>'Ar-Pa'!AX90</f>
        <v>1</v>
      </c>
      <c r="AH90" s="365">
        <f>'Ar-Pa'!AY90</f>
        <v>1</v>
      </c>
      <c r="AI90" s="365">
        <f>SUM('Cal. Arr'!AB93:AY93)</f>
        <v>0</v>
      </c>
      <c r="AJ90" s="442">
        <v>1.1000000000000001</v>
      </c>
      <c r="AK90" s="442">
        <v>1.8</v>
      </c>
      <c r="AL90" s="267">
        <f t="shared" si="21"/>
        <v>475.50969424466717</v>
      </c>
      <c r="AM90" s="267">
        <f>+CONVERT(AK90+Tabla1[[#This Row],[Con. DO Storage Gen. '[m3']]],"m^3","gal")</f>
        <v>766.09895183863057</v>
      </c>
      <c r="AN90" s="372">
        <f>SUM('DO Pilot'!B90:Y90)</f>
        <v>6.2</v>
      </c>
      <c r="AO90" s="372">
        <f t="shared" si="22"/>
        <v>1637.8667246205202</v>
      </c>
      <c r="AP90" s="267">
        <f>AK90+AN90+Tabla1[[#This Row],[Con. DO Storage Gen. '[m3']]]</f>
        <v>9.1</v>
      </c>
      <c r="AQ90" s="372">
        <f t="shared" si="29"/>
        <v>2403.9656764591505</v>
      </c>
      <c r="AR90" s="442">
        <v>0</v>
      </c>
      <c r="AS90" s="442">
        <v>0</v>
      </c>
      <c r="AT90" s="267">
        <f>+CONVERT(SUM(Tabla1[[#This Row],[Repo. DO Storage '[gal']]:[Repo. DO Pilot '[gal']]]),"gal","m3")</f>
        <v>0</v>
      </c>
      <c r="AU90" s="442">
        <v>0</v>
      </c>
      <c r="AV90" s="267">
        <f t="shared" si="19"/>
        <v>0</v>
      </c>
      <c r="AW90" s="442">
        <v>0</v>
      </c>
      <c r="AX90" s="267">
        <f t="shared" si="23"/>
        <v>0</v>
      </c>
      <c r="AY90" s="372">
        <f t="shared" si="24"/>
        <v>0.34835875036239355</v>
      </c>
      <c r="AZ90" s="372">
        <f>IFERROR(AL90/'Ar-Pa'!AX90,0)</f>
        <v>475.50969424466717</v>
      </c>
      <c r="BA90" s="372">
        <f>IFERROR(AL90/'Ar-Pa'!AY90,0)</f>
        <v>475.50969424466717</v>
      </c>
      <c r="BB90" s="372">
        <f t="shared" si="25"/>
        <v>1.1999023623593554</v>
      </c>
      <c r="BC90" s="372">
        <f>IFERROR(AVERAGEIF('DO Pilot'!AX90:BU90,"&gt;0"),0)</f>
        <v>8.6740421655990279</v>
      </c>
      <c r="BD90" s="445">
        <v>370170</v>
      </c>
      <c r="BE90" s="445">
        <v>13104</v>
      </c>
      <c r="BF90" s="445">
        <v>367315</v>
      </c>
      <c r="BG90" s="223">
        <f>Tabla1[[#This Row],[ Re. Gas GC
 '[m3']]]</f>
        <v>367315</v>
      </c>
      <c r="BH90" s="150">
        <f>IFERROR((BG90*Gas!$B$3)/28.31685,0)</f>
        <v>12922.053713601619</v>
      </c>
      <c r="BI90" s="151">
        <f t="shared" si="20"/>
        <v>-181.94628639838083</v>
      </c>
      <c r="BJ90" s="74">
        <f t="shared" si="30"/>
        <v>-1.4080291757870195E-2</v>
      </c>
      <c r="BK90" s="223">
        <f t="shared" si="26"/>
        <v>9600</v>
      </c>
      <c r="BL90" s="442">
        <v>0</v>
      </c>
      <c r="BM90" s="150">
        <f t="shared" si="27"/>
        <v>9211.877807751589</v>
      </c>
      <c r="BN90" s="150">
        <f t="shared" si="31"/>
        <v>9553.8031058245433</v>
      </c>
      <c r="BO90" s="373">
        <f>IFERROR(Tabla1[[#This Row],[ Re. Gas GC
 '[m3']]]/Tabla1[[#This Row],[G. HGS 
Con Gas '[kWh']]],0)</f>
        <v>0.26909523809523811</v>
      </c>
      <c r="BP90" s="374">
        <f>Tank!Y91</f>
        <v>0</v>
      </c>
      <c r="BQ90" s="70">
        <f>Tank!AP91</f>
        <v>49.2</v>
      </c>
      <c r="BR90" s="70">
        <f>Tank!V91</f>
        <v>0</v>
      </c>
      <c r="BS90" s="372">
        <f>Tank!T91</f>
        <v>0</v>
      </c>
      <c r="BT90" s="375" t="s">
        <v>228</v>
      </c>
      <c r="BU90" s="449">
        <v>71</v>
      </c>
      <c r="BV90" s="375">
        <f>IF(Tabla1[[#This Row],[Combustible ofertado]]="GAS",Tabla1[[#This Row],[Disponibilidad]],0)</f>
        <v>0</v>
      </c>
      <c r="BW90" s="375">
        <f>IF(Tabla1[[#This Row],[Combustible ofertado]]="DIESEL",Tabla1[[#This Row],[Disponibilidad]],0)</f>
        <v>71</v>
      </c>
      <c r="BX90" s="375">
        <f>IF(Tabla1[[#This Row],[Combustible ofertado]]="HFO",Tabla1[[#This Row],[Disponibilidad]],0)</f>
        <v>0</v>
      </c>
      <c r="BY90" s="454">
        <v>1440</v>
      </c>
      <c r="BZ90" s="446">
        <f>'Horo. M'!C91</f>
        <v>24</v>
      </c>
      <c r="CA90" s="446">
        <f>'Horo. M'!E91</f>
        <v>24</v>
      </c>
      <c r="CB90" s="446">
        <f>'Horo. M'!G91</f>
        <v>24</v>
      </c>
      <c r="CC90" s="446">
        <f>'Horo. M'!I91</f>
        <v>24</v>
      </c>
      <c r="CD90" s="446">
        <f>'Horo. M'!K91</f>
        <v>3</v>
      </c>
      <c r="CE90" s="446">
        <f>'Horo. M'!M91</f>
        <v>24</v>
      </c>
      <c r="CF90" s="446">
        <f>'Horo. M'!O91</f>
        <v>0</v>
      </c>
      <c r="CG90" s="446">
        <f>'Horo. M'!Q91</f>
        <v>24</v>
      </c>
      <c r="CH90" s="446">
        <f>'Horo. M'!S91</f>
        <v>24</v>
      </c>
      <c r="CI90" s="446">
        <f>'Horo. M'!U91</f>
        <v>21</v>
      </c>
      <c r="CJ90" s="70">
        <f>Tabla1[[#This Row],[Con. DO Storage '[gal']]]-Tabla1[[#This Row],[C. DO Storage Ge '[gal']]]</f>
        <v>475.50969424466717</v>
      </c>
      <c r="CK90" s="70"/>
      <c r="CL90" s="70"/>
      <c r="CM90" s="372">
        <f>Tabla1[[#This Row],[Con. DO Total '[gal']]]*131485.5/(1000000)</f>
        <v>316.08662895206965</v>
      </c>
    </row>
    <row r="91" spans="1:91" s="5" customFormat="1" ht="15" customHeight="1">
      <c r="A91" s="362">
        <v>45016</v>
      </c>
      <c r="B91" s="363" t="str">
        <f>TEXT(Tabla1[[#This Row],[Fecha]],"mmmm")</f>
        <v>marzo</v>
      </c>
      <c r="C91" s="429">
        <v>0</v>
      </c>
      <c r="D91" s="430">
        <v>1272</v>
      </c>
      <c r="E91" s="430">
        <v>1272</v>
      </c>
      <c r="F91" s="430">
        <v>1331</v>
      </c>
      <c r="G91" s="431">
        <v>0</v>
      </c>
      <c r="H91" s="431">
        <v>0</v>
      </c>
      <c r="I91" s="432">
        <v>1</v>
      </c>
      <c r="J91" s="432">
        <v>71</v>
      </c>
      <c r="K91" s="430">
        <v>24</v>
      </c>
      <c r="L91" s="430">
        <v>24</v>
      </c>
      <c r="M91" s="365">
        <f>Tabla1[[#This Row],[Columna1]]-Tabla1[[#This Row],[PO '[h']]]</f>
        <v>0</v>
      </c>
      <c r="N91" s="365">
        <f>F91+H91+J91</f>
        <v>1402</v>
      </c>
      <c r="O91" s="430">
        <v>1331</v>
      </c>
      <c r="P91" s="367">
        <f>Tabla1[[#This Row],[G. HGS 
'[MWh']]]</f>
        <v>1331</v>
      </c>
      <c r="Q91" s="430">
        <v>0</v>
      </c>
      <c r="R91" s="367">
        <v>0</v>
      </c>
      <c r="S91" s="367">
        <f>Tabla1[[#This Row],[G. HGS 
Con Gas]]*1000</f>
        <v>1331000</v>
      </c>
      <c r="T91" s="365">
        <f>Tabla1[[#This Row],[G. HGS 
'[MWh']]]*1000</f>
        <v>1331000</v>
      </c>
      <c r="U91" s="368">
        <f>SUM('G. Un GE'!B91:Y91)</f>
        <v>1318.7128</v>
      </c>
      <c r="V91" s="369">
        <f>Tabla1[[#This Row],[R. GE
'[MWh']]]</f>
        <v>1318.7128</v>
      </c>
      <c r="W91" s="434">
        <v>0</v>
      </c>
      <c r="X91" s="369">
        <v>0</v>
      </c>
      <c r="Y91" s="365">
        <f>Tabla1[[#This Row],[R. GE
'[MWh']]]*1000</f>
        <v>1318712.8</v>
      </c>
      <c r="Z91" s="434">
        <v>37.46</v>
      </c>
      <c r="AA9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37.46</v>
      </c>
      <c r="AB91" s="368">
        <f>IF(Tabla1[[#This Row],[G. HGS 
'[MWh']]]=0,0,Tabla1[[#This Row],[G. HGS 
'[MWh']]]+Tabla1[[#This Row],[Con. Aux. '[MWh']2]])</f>
        <v>1368.46</v>
      </c>
      <c r="AC91" s="368">
        <f>'C. ENER. TN'!F91</f>
        <v>0</v>
      </c>
      <c r="AD91" s="370">
        <f>'C. ENER. TN'!G91</f>
        <v>1318.7128</v>
      </c>
      <c r="AE91" s="370">
        <f>'G. Un GE'!AX91</f>
        <v>168.68951250000001</v>
      </c>
      <c r="AF91" s="368">
        <f>IFERROR('G. Un GE'!AX91/Tabla1[[#This Row],[PO '[h']]],0)</f>
        <v>7.0287296875000003</v>
      </c>
      <c r="AG91" s="365">
        <f>'Ar-Pa'!AX91</f>
        <v>1</v>
      </c>
      <c r="AH91" s="365">
        <f>'Ar-Pa'!AY91</f>
        <v>1</v>
      </c>
      <c r="AI91" s="365">
        <f>SUM('Cal. Arr'!AB94:AY94)</f>
        <v>0</v>
      </c>
      <c r="AJ91" s="442">
        <v>2.8</v>
      </c>
      <c r="AK91" s="442">
        <v>1.9</v>
      </c>
      <c r="AL91" s="267">
        <f t="shared" si="21"/>
        <v>501.92689948048201</v>
      </c>
      <c r="AM91" s="267">
        <f>+CONVERT(AK91+Tabla1[[#This Row],[Con. DO Storage Gen. '[m3']]],"m^3","gal")</f>
        <v>1241.6086460832973</v>
      </c>
      <c r="AN91" s="372">
        <f>SUM('DO Pilot'!B91:Y91)</f>
        <v>6.3999999999999986</v>
      </c>
      <c r="AO91" s="372">
        <f t="shared" si="22"/>
        <v>1690.7011350921493</v>
      </c>
      <c r="AP91" s="267">
        <f>AK91+AN91+Tabla1[[#This Row],[Con. DO Storage Gen. '[m3']]]</f>
        <v>11.099999999999998</v>
      </c>
      <c r="AQ91" s="372">
        <f t="shared" si="29"/>
        <v>2932.3097811754469</v>
      </c>
      <c r="AR91" s="442">
        <v>0</v>
      </c>
      <c r="AS91" s="442">
        <v>0</v>
      </c>
      <c r="AT91" s="267">
        <f>+CONVERT(SUM(Tabla1[[#This Row],[Repo. DO Storage '[gal']]:[Repo. DO Pilot '[gal']]]),"gal","m3")</f>
        <v>0</v>
      </c>
      <c r="AU91" s="442">
        <v>0</v>
      </c>
      <c r="AV91" s="267">
        <f t="shared" si="19"/>
        <v>0</v>
      </c>
      <c r="AW91" s="442">
        <v>0</v>
      </c>
      <c r="AX91" s="267">
        <f t="shared" si="23"/>
        <v>0</v>
      </c>
      <c r="AY91" s="372">
        <f t="shared" si="24"/>
        <v>0.37710510855032459</v>
      </c>
      <c r="AZ91" s="372">
        <f>IFERROR(AL91/'Ar-Pa'!AX91,0)</f>
        <v>501.92689948048201</v>
      </c>
      <c r="BA91" s="372">
        <f>IFERROR(AL91/'Ar-Pa'!AY91,0)</f>
        <v>501.92689948048201</v>
      </c>
      <c r="BB91" s="372">
        <f t="shared" si="25"/>
        <v>1.2702487866958296</v>
      </c>
      <c r="BC91" s="372">
        <f>IFERROR(AVERAGEIF('DO Pilot'!AX91:BU91,"&gt;0"),0)</f>
        <v>9.0101539286439891</v>
      </c>
      <c r="BD91" s="445">
        <v>360845</v>
      </c>
      <c r="BE91" s="445">
        <v>12773</v>
      </c>
      <c r="BF91" s="445">
        <v>357279</v>
      </c>
      <c r="BG91" s="223">
        <f>Tabla1[[#This Row],[ Re. Gas GC
 '[m3']]]</f>
        <v>357279</v>
      </c>
      <c r="BH91" s="150">
        <f>IFERROR((BG91*Gas!$B$3)/28.31685,0)</f>
        <v>12568.989637618592</v>
      </c>
      <c r="BI91" s="151">
        <f t="shared" si="20"/>
        <v>-204.01036238140841</v>
      </c>
      <c r="BJ91" s="74">
        <f t="shared" si="30"/>
        <v>-1.6231245968316484E-2</v>
      </c>
      <c r="BK91" s="223">
        <f t="shared" si="26"/>
        <v>9596.5439519158535</v>
      </c>
      <c r="BL91" s="442">
        <v>0</v>
      </c>
      <c r="BM91" s="150">
        <f t="shared" si="27"/>
        <v>9184.769476359259</v>
      </c>
      <c r="BN91" s="150">
        <f t="shared" si="31"/>
        <v>9531.2562656695154</v>
      </c>
      <c r="BO91" s="373">
        <f>IFERROR(Tabla1[[#This Row],[ Re. Gas GC
 '[m3']]]/Tabla1[[#This Row],[G. HGS 
Con Gas '[kWh']]],0)</f>
        <v>0.26842900075131482</v>
      </c>
      <c r="BP91" s="374">
        <f>Tank!Y92</f>
        <v>0</v>
      </c>
      <c r="BQ91" s="70">
        <f>Tank!AP92</f>
        <v>19.2</v>
      </c>
      <c r="BR91" s="70">
        <f>Tank!V92</f>
        <v>0</v>
      </c>
      <c r="BS91" s="372">
        <f>Tank!T92</f>
        <v>0</v>
      </c>
      <c r="BT91" s="375" t="s">
        <v>228</v>
      </c>
      <c r="BU91" s="449">
        <v>71</v>
      </c>
      <c r="BV91" s="375">
        <f>IF(Tabla1[[#This Row],[Combustible ofertado]]="GAS",Tabla1[[#This Row],[Disponibilidad]],0)</f>
        <v>0</v>
      </c>
      <c r="BW91" s="375">
        <f>IF(Tabla1[[#This Row],[Combustible ofertado]]="DIESEL",Tabla1[[#This Row],[Disponibilidad]],0)</f>
        <v>71</v>
      </c>
      <c r="BX91" s="375">
        <f>IF(Tabla1[[#This Row],[Combustible ofertado]]="HFO",Tabla1[[#This Row],[Disponibilidad]],0)</f>
        <v>0</v>
      </c>
      <c r="BY91" s="454">
        <v>1440</v>
      </c>
      <c r="BZ91" s="446">
        <f>'Horo. M'!C92</f>
        <v>24</v>
      </c>
      <c r="CA91" s="446">
        <f>'Horo. M'!E92</f>
        <v>20</v>
      </c>
      <c r="CB91" s="446">
        <f>'Horo. M'!G92</f>
        <v>24</v>
      </c>
      <c r="CC91" s="446">
        <f>'Horo. M'!I92</f>
        <v>24</v>
      </c>
      <c r="CD91" s="446">
        <f>'Horo. M'!K92</f>
        <v>1</v>
      </c>
      <c r="CE91" s="446">
        <f>'Horo. M'!M92</f>
        <v>24</v>
      </c>
      <c r="CF91" s="446">
        <f>'Horo. M'!O92</f>
        <v>0</v>
      </c>
      <c r="CG91" s="446">
        <f>'Horo. M'!Q92</f>
        <v>24</v>
      </c>
      <c r="CH91" s="446">
        <f>'Horo. M'!S92</f>
        <v>24</v>
      </c>
      <c r="CI91" s="446">
        <f>'Horo. M'!U92</f>
        <v>24</v>
      </c>
      <c r="CJ91" s="70">
        <f>Tabla1[[#This Row],[Con. DO Storage '[gal']]]-Tabla1[[#This Row],[C. DO Storage Ge '[gal']]]</f>
        <v>501.92689948048201</v>
      </c>
      <c r="CK91" s="70"/>
      <c r="CL91" s="70"/>
      <c r="CM91" s="372">
        <f>Tabla1[[#This Row],[Con. DO Total '[gal']]]*131485.5/(1000000)</f>
        <v>385.55621773274424</v>
      </c>
    </row>
    <row r="92" spans="1:91" s="5" customFormat="1" ht="15" customHeight="1">
      <c r="A92" s="362">
        <v>45017</v>
      </c>
      <c r="B92" s="363" t="str">
        <f>TEXT(Tabla1[[#This Row],[Fecha]],"mmmm")</f>
        <v>abril</v>
      </c>
      <c r="C92" s="429">
        <v>0</v>
      </c>
      <c r="D92" s="430">
        <v>1272</v>
      </c>
      <c r="E92" s="430">
        <v>1272</v>
      </c>
      <c r="F92" s="430">
        <v>1320</v>
      </c>
      <c r="G92" s="431">
        <v>0</v>
      </c>
      <c r="H92" s="431">
        <v>0</v>
      </c>
      <c r="I92" s="432">
        <v>0</v>
      </c>
      <c r="J92" s="432">
        <v>0</v>
      </c>
      <c r="K92" s="430">
        <v>24</v>
      </c>
      <c r="L92" s="430">
        <v>24</v>
      </c>
      <c r="M92" s="365">
        <f>Tabla1[[#This Row],[Columna1]]-Tabla1[[#This Row],[PO '[h']]]</f>
        <v>0</v>
      </c>
      <c r="N92" s="365">
        <f t="shared" si="18"/>
        <v>1320</v>
      </c>
      <c r="O92" s="430">
        <v>1320</v>
      </c>
      <c r="P92" s="367">
        <f>Tabla1[[#This Row],[G. HGS 
'[MWh']]]</f>
        <v>1320</v>
      </c>
      <c r="Q92" s="430">
        <v>0</v>
      </c>
      <c r="R92" s="367">
        <v>0</v>
      </c>
      <c r="S92" s="367">
        <f>Tabla1[[#This Row],[G. HGS 
Con Gas]]*1000</f>
        <v>1320000</v>
      </c>
      <c r="T92" s="365">
        <f>Tabla1[[#This Row],[G. HGS 
'[MWh']]]*1000</f>
        <v>1320000</v>
      </c>
      <c r="U92" s="368">
        <f>SUM('G. Un GE'!B92:Y92)</f>
        <v>1309.7710999999999</v>
      </c>
      <c r="V92" s="369">
        <f>Tabla1[[#This Row],[R. GE
'[MWh']]]</f>
        <v>1309.7710999999999</v>
      </c>
      <c r="W92" s="434">
        <v>0</v>
      </c>
      <c r="X92" s="369">
        <v>0</v>
      </c>
      <c r="Y92" s="365">
        <f>Tabla1[[#This Row],[R. GE
'[MWh']]]*1000</f>
        <v>1309771.0999999999</v>
      </c>
      <c r="Z92" s="434">
        <v>35.76</v>
      </c>
      <c r="AA9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35.76</v>
      </c>
      <c r="AB92" s="368">
        <f>IF(Tabla1[[#This Row],[G. HGS 
'[MWh']]]=0,0,Tabla1[[#This Row],[G. HGS 
'[MWh']]]+Tabla1[[#This Row],[Con. Aux. '[MWh']2]])</f>
        <v>1355.76</v>
      </c>
      <c r="AC92" s="368">
        <f>'C. ENER. TN'!F92</f>
        <v>0</v>
      </c>
      <c r="AD92" s="370">
        <f>'C. ENER. TN'!G92</f>
        <v>1309.7711000000002</v>
      </c>
      <c r="AE92" s="370">
        <f>'G. Un GE'!AX92</f>
        <v>183.23414999999997</v>
      </c>
      <c r="AF92" s="368">
        <f>IFERROR('G. Un GE'!AX92/Tabla1[[#This Row],[PO '[h']]],0)</f>
        <v>7.6347562499999988</v>
      </c>
      <c r="AG92" s="365">
        <f>'Ar-Pa'!AX92</f>
        <v>1</v>
      </c>
      <c r="AH92" s="365">
        <f>'Ar-Pa'!AY92</f>
        <v>1</v>
      </c>
      <c r="AI92" s="365">
        <f>SUM('Cal. Arr'!AB95:AY95)</f>
        <v>0</v>
      </c>
      <c r="AJ92" s="442">
        <v>6.3</v>
      </c>
      <c r="AK92" s="442">
        <v>1.2</v>
      </c>
      <c r="AL92" s="267">
        <f t="shared" si="21"/>
        <v>317.00646282977812</v>
      </c>
      <c r="AM92" s="267">
        <f>+CONVERT(AK92+Tabla1[[#This Row],[Con. DO Storage Gen. '[m3']]],"m^3","gal")</f>
        <v>1981.2903926861131</v>
      </c>
      <c r="AN92" s="372">
        <f>SUM('DO Pilot'!B92:Y92)</f>
        <v>5.6000000000000023</v>
      </c>
      <c r="AO92" s="372">
        <f t="shared" si="22"/>
        <v>1479.3634932056318</v>
      </c>
      <c r="AP92" s="267">
        <f>AK92+AN92+Tabla1[[#This Row],[Con. DO Storage Gen. '[m3']]]</f>
        <v>13.100000000000001</v>
      </c>
      <c r="AQ92" s="372">
        <f t="shared" si="29"/>
        <v>3460.6538858917447</v>
      </c>
      <c r="AR92" s="442">
        <v>0</v>
      </c>
      <c r="AS92" s="442">
        <v>0</v>
      </c>
      <c r="AT92" s="267">
        <f>+CONVERT(SUM(Tabla1[[#This Row],[Repo. DO Storage '[gal']]:[Repo. DO Pilot '[gal']]]),"gal","m3")</f>
        <v>0</v>
      </c>
      <c r="AU92" s="442">
        <v>0</v>
      </c>
      <c r="AV92" s="267">
        <f t="shared" si="19"/>
        <v>0</v>
      </c>
      <c r="AW92" s="442">
        <v>0</v>
      </c>
      <c r="AX92" s="267">
        <f t="shared" si="23"/>
        <v>0</v>
      </c>
      <c r="AY92" s="372">
        <f t="shared" si="24"/>
        <v>0.2401564112346804</v>
      </c>
      <c r="AZ92" s="372">
        <f>IFERROR(AL92/'Ar-Pa'!AX92,0)</f>
        <v>317.00646282977812</v>
      </c>
      <c r="BA92" s="372">
        <f>IFERROR(AL92/'Ar-Pa'!AY92,0)</f>
        <v>317.00646282977812</v>
      </c>
      <c r="BB92" s="372">
        <f t="shared" si="25"/>
        <v>1.1207299190951756</v>
      </c>
      <c r="BC92" s="372">
        <f>IFERROR(AVERAGEIF('DO Pilot'!AX92:BU92,"&gt;0"),0)</f>
        <v>8.624903018955024</v>
      </c>
      <c r="BD92" s="445">
        <v>346695</v>
      </c>
      <c r="BE92" s="445">
        <v>12273</v>
      </c>
      <c r="BF92" s="446">
        <v>346218</v>
      </c>
      <c r="BG92" s="223">
        <f>Tabla1[[#This Row],[ Re. Gas GC
 '[m3']]]</f>
        <v>346218</v>
      </c>
      <c r="BH92" s="150">
        <f>IFERROR((BG92*Gas!$B$3)/28.31685,0)</f>
        <v>12179.866307163404</v>
      </c>
      <c r="BI92" s="151">
        <f t="shared" si="20"/>
        <v>-93.13369283659631</v>
      </c>
      <c r="BJ92" s="74">
        <f t="shared" si="30"/>
        <v>-7.646528335193724E-3</v>
      </c>
      <c r="BK92" s="223">
        <f t="shared" si="26"/>
        <v>9297.7272727272721</v>
      </c>
      <c r="BL92" s="442">
        <v>0</v>
      </c>
      <c r="BM92" s="150">
        <f t="shared" si="27"/>
        <v>8983.7923431605905</v>
      </c>
      <c r="BN92" s="150">
        <f t="shared" si="31"/>
        <v>9299.2327492669556</v>
      </c>
      <c r="BO92" s="373">
        <f>IFERROR(Tabla1[[#This Row],[ Re. Gas GC
 '[m3']]]/Tabla1[[#This Row],[G. HGS 
Con Gas '[kWh']]],0)</f>
        <v>0.26228636363636365</v>
      </c>
      <c r="BP92" s="374">
        <f>Tank!Y93</f>
        <v>0</v>
      </c>
      <c r="BQ92" s="70">
        <f>Tank!AP93</f>
        <v>0</v>
      </c>
      <c r="BR92" s="70">
        <f>Tank!V93</f>
        <v>0</v>
      </c>
      <c r="BS92" s="372">
        <f>Tank!T93</f>
        <v>0</v>
      </c>
      <c r="BT92" s="375" t="s">
        <v>228</v>
      </c>
      <c r="BU92" s="449">
        <v>71</v>
      </c>
      <c r="BV92" s="375">
        <f>IF(Tabla1[[#This Row],[Combustible ofertado]]="GAS",Tabla1[[#This Row],[Disponibilidad]],0)</f>
        <v>0</v>
      </c>
      <c r="BW92" s="375">
        <f>IF(Tabla1[[#This Row],[Combustible ofertado]]="DIESEL",Tabla1[[#This Row],[Disponibilidad]],0)</f>
        <v>71</v>
      </c>
      <c r="BX92" s="375">
        <f>IF(Tabla1[[#This Row],[Combustible ofertado]]="HFO",Tabla1[[#This Row],[Disponibilidad]],0)</f>
        <v>0</v>
      </c>
      <c r="BY92" s="454">
        <v>1440</v>
      </c>
      <c r="BZ92" s="446">
        <f>'Horo. M'!C93</f>
        <v>18</v>
      </c>
      <c r="CA92" s="446">
        <f>'Horo. M'!E93</f>
        <v>18</v>
      </c>
      <c r="CB92" s="446">
        <f>'Horo. M'!G93</f>
        <v>18</v>
      </c>
      <c r="CC92" s="446">
        <f>'Horo. M'!I93</f>
        <v>18</v>
      </c>
      <c r="CD92" s="446">
        <f>'Horo. M'!K93</f>
        <v>6</v>
      </c>
      <c r="CE92" s="446">
        <f>'Horo. M'!M93</f>
        <v>23</v>
      </c>
      <c r="CF92" s="446">
        <f>'Horo. M'!O93</f>
        <v>0</v>
      </c>
      <c r="CG92" s="446">
        <f>'Horo. M'!Q93</f>
        <v>24</v>
      </c>
      <c r="CH92" s="446">
        <f>'Horo. M'!S93</f>
        <v>24</v>
      </c>
      <c r="CI92" s="446">
        <f>'Horo. M'!U93</f>
        <v>24</v>
      </c>
      <c r="CJ92" s="70">
        <f>Tabla1[[#This Row],[Con. DO Storage '[gal']]]-Tabla1[[#This Row],[C. DO Storage Ge '[gal']]]</f>
        <v>317.00646282977812</v>
      </c>
      <c r="CK92" s="70"/>
      <c r="CL92" s="70"/>
      <c r="CM92" s="372">
        <f>Tabla1[[#This Row],[Con. DO Total '[gal']]]*131485.5/(1000000)</f>
        <v>455.02580651341896</v>
      </c>
    </row>
    <row r="93" spans="1:91" s="5" customFormat="1" ht="15" customHeight="1">
      <c r="A93" s="362">
        <v>45018</v>
      </c>
      <c r="B93" s="363" t="str">
        <f>TEXT(Tabla1[[#This Row],[Fecha]],"mmmm")</f>
        <v>abril</v>
      </c>
      <c r="C93" s="429">
        <v>0</v>
      </c>
      <c r="D93" s="430">
        <v>1272</v>
      </c>
      <c r="E93" s="430">
        <v>1272</v>
      </c>
      <c r="F93" s="430">
        <v>1309</v>
      </c>
      <c r="G93" s="431">
        <v>0</v>
      </c>
      <c r="H93" s="431">
        <v>0</v>
      </c>
      <c r="I93" s="432">
        <v>0</v>
      </c>
      <c r="J93" s="432">
        <v>0</v>
      </c>
      <c r="K93" s="430">
        <v>24</v>
      </c>
      <c r="L93" s="430">
        <v>24</v>
      </c>
      <c r="M93" s="365">
        <f>Tabla1[[#This Row],[Columna1]]-Tabla1[[#This Row],[PO '[h']]]</f>
        <v>0</v>
      </c>
      <c r="N93" s="365">
        <f t="shared" ref="N93:N105" si="32">F93+H93+J93</f>
        <v>1309</v>
      </c>
      <c r="O93" s="430">
        <v>1309</v>
      </c>
      <c r="P93" s="367">
        <f>Tabla1[[#This Row],[G. HGS 
'[MWh']]]</f>
        <v>1309</v>
      </c>
      <c r="Q93" s="430">
        <v>0</v>
      </c>
      <c r="R93" s="367">
        <v>0</v>
      </c>
      <c r="S93" s="367">
        <f>Tabla1[[#This Row],[G. HGS 
Con Gas]]*1000</f>
        <v>1309000</v>
      </c>
      <c r="T93" s="365">
        <f>Tabla1[[#This Row],[G. HGS 
'[MWh']]]*1000</f>
        <v>1309000</v>
      </c>
      <c r="U93" s="368">
        <f>SUM('G. Un GE'!B93:Y93)</f>
        <v>1296.7916</v>
      </c>
      <c r="V93" s="369">
        <f>Tabla1[[#This Row],[R. GE
'[MWh']]]</f>
        <v>1296.7916</v>
      </c>
      <c r="W93" s="434">
        <v>0</v>
      </c>
      <c r="X93" s="369">
        <v>0</v>
      </c>
      <c r="Y93" s="365">
        <f>Tabla1[[#This Row],[R. GE
'[MWh']]]*1000</f>
        <v>1296791.6000000001</v>
      </c>
      <c r="Z93" s="434">
        <v>36.26</v>
      </c>
      <c r="AA9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36.26</v>
      </c>
      <c r="AB93" s="368">
        <f>IF(Tabla1[[#This Row],[G. HGS 
'[MWh']]]=0,0,Tabla1[[#This Row],[G. HGS 
'[MWh']]]+Tabla1[[#This Row],[Con. Aux. '[MWh']2]])</f>
        <v>1345.26</v>
      </c>
      <c r="AC93" s="368">
        <f>'C. ENER. TN'!F93</f>
        <v>0</v>
      </c>
      <c r="AD93" s="370">
        <f>'C. ENER. TN'!G93</f>
        <v>1296.7915999999998</v>
      </c>
      <c r="AE93" s="370">
        <f>'G. Un GE'!AX93</f>
        <v>173.60151250000001</v>
      </c>
      <c r="AF93" s="368">
        <f>IFERROR('G. Un GE'!AX93/Tabla1[[#This Row],[PO '[h']]],0)</f>
        <v>7.2333963541666675</v>
      </c>
      <c r="AG93" s="365">
        <f>'Ar-Pa'!AX93</f>
        <v>3</v>
      </c>
      <c r="AH93" s="365">
        <f>'Ar-Pa'!AY93</f>
        <v>3</v>
      </c>
      <c r="AI93" s="365">
        <f>SUM('Cal. Arr'!AB96:AY96)</f>
        <v>0</v>
      </c>
      <c r="AJ93" s="442">
        <v>22.8</v>
      </c>
      <c r="AK93" s="442">
        <v>0.5</v>
      </c>
      <c r="AL93" s="267">
        <f t="shared" si="21"/>
        <v>132.08602617907422</v>
      </c>
      <c r="AM93" s="267">
        <f>+CONVERT(AK93+Tabla1[[#This Row],[Con. DO Storage Gen. '[m3']]],"m^3","gal")</f>
        <v>6155.2088199448581</v>
      </c>
      <c r="AN93" s="372">
        <f>SUM('DO Pilot'!B93:Y93)</f>
        <v>5.5100000000000025</v>
      </c>
      <c r="AO93" s="372">
        <f t="shared" si="22"/>
        <v>1455.5880084933985</v>
      </c>
      <c r="AP93" s="267">
        <f>AK93+AN93+Tabla1[[#This Row],[Con. DO Storage Gen. '[m3']]]</f>
        <v>28.810000000000002</v>
      </c>
      <c r="AQ93" s="372">
        <f t="shared" si="29"/>
        <v>7610.7968284382569</v>
      </c>
      <c r="AR93" s="442">
        <v>0</v>
      </c>
      <c r="AS93" s="442">
        <v>0</v>
      </c>
      <c r="AT93" s="267">
        <f>+CONVERT(SUM(Tabla1[[#This Row],[Repo. DO Storage '[gal']]:[Repo. DO Pilot '[gal']]]),"gal","m3")</f>
        <v>0</v>
      </c>
      <c r="AU93" s="442">
        <v>0</v>
      </c>
      <c r="AV93" s="267">
        <f t="shared" ref="AV93:AV105" si="33">+CONVERT(AU93,"m^3","gal")</f>
        <v>0</v>
      </c>
      <c r="AW93" s="442">
        <v>0</v>
      </c>
      <c r="AX93" s="267">
        <f t="shared" si="23"/>
        <v>0</v>
      </c>
      <c r="AY93" s="372">
        <f t="shared" si="24"/>
        <v>0.10090605514062202</v>
      </c>
      <c r="AZ93" s="372">
        <f>IFERROR(AL93/'Ar-Pa'!AX93,0)</f>
        <v>44.028675393024741</v>
      </c>
      <c r="BA93" s="372">
        <f>IFERROR(AL93/'Ar-Pa'!AY93,0)</f>
        <v>44.028675393024741</v>
      </c>
      <c r="BB93" s="372">
        <f t="shared" si="25"/>
        <v>1.1119847276496551</v>
      </c>
      <c r="BC93" s="372">
        <f>IFERROR(AVERAGEIF('DO Pilot'!AX93:BU93,"&gt;0"),0)</f>
        <v>8.1177870255889371</v>
      </c>
      <c r="BD93" s="445">
        <v>326434</v>
      </c>
      <c r="BE93" s="445">
        <v>11555</v>
      </c>
      <c r="BF93" s="446">
        <v>326069</v>
      </c>
      <c r="BG93" s="223">
        <f>Tabla1[[#This Row],[ Re. Gas GC
 '[m3']]]</f>
        <v>326069</v>
      </c>
      <c r="BH93" s="150">
        <f>IFERROR((BG93*Gas!$B$3)/28.31685,0)</f>
        <v>11471.029313641877</v>
      </c>
      <c r="BI93" s="151">
        <f t="shared" ref="BI93:BI105" si="34">BH93-BE93</f>
        <v>-83.970686358123203</v>
      </c>
      <c r="BJ93" s="74">
        <f t="shared" si="30"/>
        <v>-7.3202398897421863E-3</v>
      </c>
      <c r="BK93" s="223">
        <f t="shared" si="26"/>
        <v>8827.3491214667683</v>
      </c>
      <c r="BL93" s="442">
        <v>0</v>
      </c>
      <c r="BM93" s="150">
        <f t="shared" si="27"/>
        <v>8526.9979882267198</v>
      </c>
      <c r="BN93" s="150">
        <f t="shared" si="31"/>
        <v>8845.699890130285</v>
      </c>
      <c r="BO93" s="373">
        <f>IFERROR(Tabla1[[#This Row],[ Re. Gas GC
 '[m3']]]/Tabla1[[#This Row],[G. HGS 
Con Gas '[kWh']]],0)</f>
        <v>0.24909778456837281</v>
      </c>
      <c r="BP93" s="374">
        <f>Tank!Y94</f>
        <v>0</v>
      </c>
      <c r="BQ93" s="70">
        <f>Tank!AP94</f>
        <v>0</v>
      </c>
      <c r="BR93" s="70">
        <f>Tank!V94</f>
        <v>0</v>
      </c>
      <c r="BS93" s="372">
        <f>Tank!T94</f>
        <v>0</v>
      </c>
      <c r="BT93" s="375" t="s">
        <v>228</v>
      </c>
      <c r="BU93" s="449">
        <v>71</v>
      </c>
      <c r="BV93" s="375">
        <f>IF(Tabla1[[#This Row],[Combustible ofertado]]="GAS",Tabla1[[#This Row],[Disponibilidad]],0)</f>
        <v>0</v>
      </c>
      <c r="BW93" s="375">
        <f>IF(Tabla1[[#This Row],[Combustible ofertado]]="DIESEL",Tabla1[[#This Row],[Disponibilidad]],0)</f>
        <v>71</v>
      </c>
      <c r="BX93" s="375">
        <f>IF(Tabla1[[#This Row],[Combustible ofertado]]="HFO",Tabla1[[#This Row],[Disponibilidad]],0)</f>
        <v>0</v>
      </c>
      <c r="BY93" s="454">
        <v>1440</v>
      </c>
      <c r="BZ93" s="446">
        <f>'Horo. M'!C94</f>
        <v>24</v>
      </c>
      <c r="CA93" s="446">
        <f>'Horo. M'!E94</f>
        <v>17</v>
      </c>
      <c r="CB93" s="446">
        <f>'Horo. M'!G94</f>
        <v>24</v>
      </c>
      <c r="CC93" s="446">
        <f>'Horo. M'!I94</f>
        <v>24</v>
      </c>
      <c r="CD93" s="446">
        <f>'Horo. M'!K94</f>
        <v>19</v>
      </c>
      <c r="CE93" s="446">
        <f>'Horo. M'!M94</f>
        <v>0</v>
      </c>
      <c r="CF93" s="446">
        <f>'Horo. M'!O94</f>
        <v>0</v>
      </c>
      <c r="CG93" s="446">
        <f>'Horo. M'!Q94</f>
        <v>24</v>
      </c>
      <c r="CH93" s="446">
        <f>'Horo. M'!S94</f>
        <v>24</v>
      </c>
      <c r="CI93" s="446">
        <f>'Horo. M'!U94</f>
        <v>24</v>
      </c>
      <c r="CJ93" s="70">
        <f>Tabla1[[#This Row],[Con. DO Storage '[gal']]]-Tabla1[[#This Row],[C. DO Storage Ge '[gal']]]</f>
        <v>132.08602617907422</v>
      </c>
      <c r="CK93" s="70"/>
      <c r="CL93" s="70"/>
      <c r="CM93" s="372">
        <f>Tabla1[[#This Row],[Con. DO Total '[gal']]]*131485.5/(1000000)</f>
        <v>1000.7094263856185</v>
      </c>
    </row>
    <row r="94" spans="1:91" s="5" customFormat="1" ht="15" customHeight="1">
      <c r="A94" s="362">
        <v>45019</v>
      </c>
      <c r="B94" s="363" t="str">
        <f>TEXT(Tabla1[[#This Row],[Fecha]],"mmmm")</f>
        <v>abril</v>
      </c>
      <c r="C94" s="429">
        <v>0</v>
      </c>
      <c r="D94" s="430">
        <v>1280</v>
      </c>
      <c r="E94" s="430">
        <v>1280</v>
      </c>
      <c r="F94" s="430">
        <v>1339</v>
      </c>
      <c r="G94" s="431">
        <v>0</v>
      </c>
      <c r="H94" s="431">
        <v>0</v>
      </c>
      <c r="I94" s="432">
        <v>2</v>
      </c>
      <c r="J94" s="432">
        <v>142</v>
      </c>
      <c r="K94" s="430">
        <v>24</v>
      </c>
      <c r="L94" s="430">
        <v>24</v>
      </c>
      <c r="M94" s="365">
        <f>Tabla1[[#This Row],[Columna1]]-Tabla1[[#This Row],[PO '[h']]]</f>
        <v>0</v>
      </c>
      <c r="N94" s="365">
        <f t="shared" si="32"/>
        <v>1481</v>
      </c>
      <c r="O94" s="430">
        <v>1339</v>
      </c>
      <c r="P94" s="367">
        <f>Tabla1[[#This Row],[G. HGS 
'[MWh']]]</f>
        <v>1339</v>
      </c>
      <c r="Q94" s="430">
        <v>0</v>
      </c>
      <c r="R94" s="367">
        <v>0</v>
      </c>
      <c r="S94" s="367">
        <f>Tabla1[[#This Row],[G. HGS 
Con Gas]]*1000</f>
        <v>1339000</v>
      </c>
      <c r="T94" s="365">
        <f>Tabla1[[#This Row],[G. HGS 
'[MWh']]]*1000</f>
        <v>1339000</v>
      </c>
      <c r="U94" s="368">
        <f>SUM('G. Un GE'!B94:Y94)</f>
        <v>1327.3574999999998</v>
      </c>
      <c r="V94" s="369">
        <f>Tabla1[[#This Row],[R. GE
'[MWh']]]</f>
        <v>1327.3574999999998</v>
      </c>
      <c r="W94" s="434">
        <v>0</v>
      </c>
      <c r="X94" s="369">
        <v>0</v>
      </c>
      <c r="Y94" s="365">
        <f>Tabla1[[#This Row],[R. GE
'[MWh']]]*1000</f>
        <v>1327357.4999999998</v>
      </c>
      <c r="Z94" s="434">
        <v>37.14</v>
      </c>
      <c r="AA9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37.14</v>
      </c>
      <c r="AB94" s="368">
        <f>IF(Tabla1[[#This Row],[G. HGS 
'[MWh']]]=0,0,Tabla1[[#This Row],[G. HGS 
'[MWh']]]+Tabla1[[#This Row],[Con. Aux. '[MWh']2]])</f>
        <v>1376.14</v>
      </c>
      <c r="AC94" s="368">
        <f>'C. ENER. TN'!F94</f>
        <v>0</v>
      </c>
      <c r="AD94" s="370">
        <f>'C. ENER. TN'!G94</f>
        <v>1327.3575000000005</v>
      </c>
      <c r="AE94" s="370">
        <f>'G. Un GE'!AX94</f>
        <v>172.76389642857143</v>
      </c>
      <c r="AF94" s="368">
        <f>IFERROR('G. Un GE'!AX94/Tabla1[[#This Row],[PO '[h']]],0)</f>
        <v>7.1984956845238095</v>
      </c>
      <c r="AG94" s="365">
        <f>'Ar-Pa'!AX94</f>
        <v>2</v>
      </c>
      <c r="AH94" s="365">
        <f>'Ar-Pa'!AY94</f>
        <v>2</v>
      </c>
      <c r="AI94" s="365">
        <f>SUM('Cal. Arr'!AB97:AY97)</f>
        <v>0</v>
      </c>
      <c r="AJ94" s="442">
        <v>23.6</v>
      </c>
      <c r="AK94" s="442">
        <v>1.4</v>
      </c>
      <c r="AL94" s="267">
        <f t="shared" si="21"/>
        <v>369.84087330140778</v>
      </c>
      <c r="AM94" s="267">
        <f>+CONVERT(AK94+Tabla1[[#This Row],[Con. DO Storage Gen. '[m3']]],"m^3","gal")</f>
        <v>6604.3013089537108</v>
      </c>
      <c r="AN94" s="372">
        <f>SUM('DO Pilot'!B94:Y94)</f>
        <v>6.0000000000000009</v>
      </c>
      <c r="AO94" s="372">
        <f t="shared" si="22"/>
        <v>1585.0323141488907</v>
      </c>
      <c r="AP94" s="267">
        <f>AK94+AN94+Tabla1[[#This Row],[Con. DO Storage Gen. '[m3']]]</f>
        <v>31</v>
      </c>
      <c r="AQ94" s="372">
        <f t="shared" si="29"/>
        <v>8189.3336231026015</v>
      </c>
      <c r="AR94" s="442">
        <v>0</v>
      </c>
      <c r="AS94" s="442">
        <v>10983</v>
      </c>
      <c r="AT94" s="267">
        <f>+CONVERT(SUM(Tabla1[[#This Row],[Repo. DO Storage '[gal']]:[Repo. DO Pilot '[gal']]]),"gal","m3")</f>
        <v>41.575177623671998</v>
      </c>
      <c r="AU94" s="442">
        <v>0</v>
      </c>
      <c r="AV94" s="267">
        <f t="shared" si="33"/>
        <v>0</v>
      </c>
      <c r="AW94" s="442">
        <v>0</v>
      </c>
      <c r="AX94" s="267">
        <f t="shared" si="23"/>
        <v>0</v>
      </c>
      <c r="AY94" s="372">
        <f t="shared" si="24"/>
        <v>0.27620677617730233</v>
      </c>
      <c r="AZ94" s="372">
        <f>IFERROR(AL94/'Ar-Pa'!AX94,0)</f>
        <v>184.92043665070389</v>
      </c>
      <c r="BA94" s="372">
        <f>IFERROR(AL94/'Ar-Pa'!AY94,0)</f>
        <v>184.92043665070389</v>
      </c>
      <c r="BB94" s="372">
        <f t="shared" si="25"/>
        <v>1.1837433264741528</v>
      </c>
      <c r="BC94" s="372">
        <f>IFERROR(AVERAGEIF('DO Pilot'!AX94:BU94,"&gt;0"),0)</f>
        <v>8.5973850968343815</v>
      </c>
      <c r="BD94" s="445">
        <v>332555</v>
      </c>
      <c r="BE94" s="445">
        <v>11772</v>
      </c>
      <c r="BF94" s="446">
        <v>332497</v>
      </c>
      <c r="BG94" s="223">
        <f>Tabla1[[#This Row],[ Re. Gas GC
 '[m3']]]</f>
        <v>332497</v>
      </c>
      <c r="BH94" s="150">
        <f>IFERROR((BG94*Gas!$B$3)/28.31685,0)</f>
        <v>11697.1648138829</v>
      </c>
      <c r="BI94" s="151">
        <f t="shared" si="34"/>
        <v>-74.835186117099511</v>
      </c>
      <c r="BJ94" s="74">
        <f t="shared" si="30"/>
        <v>-6.3977200721563399E-3</v>
      </c>
      <c r="BK94" s="223">
        <f t="shared" si="26"/>
        <v>8791.6355489171037</v>
      </c>
      <c r="BL94" s="442">
        <v>8865.74</v>
      </c>
      <c r="BM94" s="150">
        <f t="shared" si="27"/>
        <v>8499.9816979979514</v>
      </c>
      <c r="BN94" s="150">
        <f t="shared" si="31"/>
        <v>8812.3695491854323</v>
      </c>
      <c r="BO94" s="373">
        <f>IFERROR(Tabla1[[#This Row],[ Re. Gas GC
 '[m3']]]/Tabla1[[#This Row],[G. HGS 
Con Gas '[kWh']]],0)</f>
        <v>0.24831740104555639</v>
      </c>
      <c r="BP94" s="374">
        <f>Tank!Y95</f>
        <v>28.765344146616002</v>
      </c>
      <c r="BQ94" s="70">
        <f>Tank!AP95</f>
        <v>68.7</v>
      </c>
      <c r="BR94" s="70">
        <f>Tank!V95</f>
        <v>0</v>
      </c>
      <c r="BS94" s="372">
        <f>Tank!T95</f>
        <v>0</v>
      </c>
      <c r="BT94" s="375" t="s">
        <v>228</v>
      </c>
      <c r="BU94" s="449">
        <v>71</v>
      </c>
      <c r="BV94" s="375">
        <f>IF(Tabla1[[#This Row],[Combustible ofertado]]="GAS",Tabla1[[#This Row],[Disponibilidad]],0)</f>
        <v>0</v>
      </c>
      <c r="BW94" s="375">
        <f>IF(Tabla1[[#This Row],[Combustible ofertado]]="DIESEL",Tabla1[[#This Row],[Disponibilidad]],0)</f>
        <v>71</v>
      </c>
      <c r="BX94" s="375">
        <f>IF(Tabla1[[#This Row],[Combustible ofertado]]="HFO",Tabla1[[#This Row],[Disponibilidad]],0)</f>
        <v>0</v>
      </c>
      <c r="BY94" s="454">
        <v>1440</v>
      </c>
      <c r="BZ94" s="446">
        <f>'Horo. M'!C95</f>
        <v>24</v>
      </c>
      <c r="CA94" s="446">
        <f>'Horo. M'!E95</f>
        <v>24</v>
      </c>
      <c r="CB94" s="446">
        <f>'Horo. M'!G95</f>
        <v>24</v>
      </c>
      <c r="CC94" s="446">
        <f>'Horo. M'!I95</f>
        <v>24</v>
      </c>
      <c r="CD94" s="446">
        <f>'Horo. M'!K95</f>
        <v>20</v>
      </c>
      <c r="CE94" s="446">
        <f>'Horo. M'!M95</f>
        <v>21</v>
      </c>
      <c r="CF94" s="446">
        <f>'Horo. M'!O95</f>
        <v>0</v>
      </c>
      <c r="CG94" s="446">
        <f>'Horo. M'!Q95</f>
        <v>24</v>
      </c>
      <c r="CH94" s="446">
        <f>'Horo. M'!S95</f>
        <v>24</v>
      </c>
      <c r="CI94" s="446">
        <f>'Horo. M'!U95</f>
        <v>0</v>
      </c>
      <c r="CJ94" s="70">
        <f>Tabla1[[#This Row],[Con. DO Storage '[gal']]]-Tabla1[[#This Row],[C. DO Storage Ge '[gal']]]</f>
        <v>369.84087330140778</v>
      </c>
      <c r="CK94" s="70"/>
      <c r="CL94" s="70"/>
      <c r="CM94" s="372">
        <f>Tabla1[[#This Row],[Con. DO Total '[gal']]]*131485.5/(1000000)</f>
        <v>1076.7786261004571</v>
      </c>
    </row>
    <row r="95" spans="1:91" s="5" customFormat="1" ht="15" customHeight="1">
      <c r="A95" s="362">
        <v>45020</v>
      </c>
      <c r="B95" s="363" t="str">
        <f>TEXT(Tabla1[[#This Row],[Fecha]],"mmmm")</f>
        <v>abril</v>
      </c>
      <c r="C95" s="429">
        <v>0</v>
      </c>
      <c r="D95" s="430">
        <v>1276</v>
      </c>
      <c r="E95" s="430">
        <v>1276</v>
      </c>
      <c r="F95" s="430">
        <v>1377</v>
      </c>
      <c r="G95" s="431">
        <v>0</v>
      </c>
      <c r="H95" s="431">
        <v>0</v>
      </c>
      <c r="I95" s="432">
        <v>5</v>
      </c>
      <c r="J95" s="432">
        <v>355</v>
      </c>
      <c r="K95" s="430">
        <v>24</v>
      </c>
      <c r="L95" s="430">
        <v>24</v>
      </c>
      <c r="M95" s="365">
        <f>Tabla1[[#This Row],[Columna1]]-Tabla1[[#This Row],[PO '[h']]]</f>
        <v>0</v>
      </c>
      <c r="N95" s="365">
        <f t="shared" si="32"/>
        <v>1732</v>
      </c>
      <c r="O95" s="430">
        <v>1377</v>
      </c>
      <c r="P95" s="367">
        <f>Tabla1[[#This Row],[G. HGS 
'[MWh']]]</f>
        <v>1377</v>
      </c>
      <c r="Q95" s="430">
        <v>0</v>
      </c>
      <c r="R95" s="367">
        <v>0</v>
      </c>
      <c r="S95" s="367">
        <f>Tabla1[[#This Row],[G. HGS 
Con Gas]]*1000</f>
        <v>1377000</v>
      </c>
      <c r="T95" s="365">
        <f>Tabla1[[#This Row],[G. HGS 
'[MWh']]]*1000</f>
        <v>1377000</v>
      </c>
      <c r="U95" s="368">
        <f>SUM('G. Un GE'!B95:Y95)</f>
        <v>1365.0964000000004</v>
      </c>
      <c r="V95" s="369">
        <f>Tabla1[[#This Row],[R. GE
'[MWh']]]</f>
        <v>1365.0964000000004</v>
      </c>
      <c r="W95" s="434">
        <v>0</v>
      </c>
      <c r="X95" s="369">
        <v>0</v>
      </c>
      <c r="Y95" s="365">
        <f>Tabla1[[#This Row],[R. GE
'[MWh']]]*1000</f>
        <v>1365096.4000000004</v>
      </c>
      <c r="Z95" s="434">
        <v>37.35</v>
      </c>
      <c r="AA9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37.35</v>
      </c>
      <c r="AB95" s="368">
        <f>IF(Tabla1[[#This Row],[G. HGS 
'[MWh']]]=0,0,Tabla1[[#This Row],[G. HGS 
'[MWh']]]+Tabla1[[#This Row],[Con. Aux. '[MWh']2]])</f>
        <v>1414.35</v>
      </c>
      <c r="AC95" s="368">
        <f>'C. ENER. TN'!F95</f>
        <v>0</v>
      </c>
      <c r="AD95" s="370">
        <f>'C. ENER. TN'!G95</f>
        <v>1365.0963999999999</v>
      </c>
      <c r="AE95" s="370">
        <f>'G. Un GE'!AX95</f>
        <v>184.32342857142862</v>
      </c>
      <c r="AF95" s="368">
        <f>IFERROR('G. Un GE'!AX95/Tabla1[[#This Row],[PO '[h']]],0)</f>
        <v>7.6801428571428589</v>
      </c>
      <c r="AG95" s="365">
        <f>'Ar-Pa'!AX95</f>
        <v>2</v>
      </c>
      <c r="AH95" s="365">
        <f>'Ar-Pa'!AY95</f>
        <v>3</v>
      </c>
      <c r="AI95" s="365">
        <f>SUM('Cal. Arr'!AB98:AY98)</f>
        <v>0</v>
      </c>
      <c r="AJ95" s="442">
        <v>29.5</v>
      </c>
      <c r="AK95" s="442">
        <v>1.7</v>
      </c>
      <c r="AL95" s="267">
        <f t="shared" si="21"/>
        <v>449.09248900885234</v>
      </c>
      <c r="AM95" s="267">
        <f>+CONVERT(AK95+Tabla1[[#This Row],[Con. DO Storage Gen. '[m3']]],"m^3","gal")</f>
        <v>8242.1680335742312</v>
      </c>
      <c r="AN95" s="372">
        <f>SUM('DO Pilot'!B95:Y95)</f>
        <v>5.1899999999999995</v>
      </c>
      <c r="AO95" s="372">
        <f t="shared" si="22"/>
        <v>1371.0529517387902</v>
      </c>
      <c r="AP95" s="267">
        <f>AK95+AN95+Tabla1[[#This Row],[Con. DO Storage Gen. '[m3']]]</f>
        <v>36.39</v>
      </c>
      <c r="AQ95" s="372">
        <f t="shared" si="29"/>
        <v>9613.2209853130207</v>
      </c>
      <c r="AR95" s="442">
        <v>0</v>
      </c>
      <c r="AS95" s="442">
        <v>0</v>
      </c>
      <c r="AT95" s="267">
        <f>+CONVERT(SUM(Tabla1[[#This Row],[Repo. DO Storage '[gal']]:[Repo. DO Pilot '[gal']]]),"gal","m3")</f>
        <v>0</v>
      </c>
      <c r="AU95" s="442">
        <v>0</v>
      </c>
      <c r="AV95" s="267">
        <f t="shared" si="33"/>
        <v>0</v>
      </c>
      <c r="AW95" s="442">
        <v>0</v>
      </c>
      <c r="AX95" s="267">
        <f t="shared" si="23"/>
        <v>0</v>
      </c>
      <c r="AY95" s="372">
        <f t="shared" si="24"/>
        <v>0.32613833624462768</v>
      </c>
      <c r="AZ95" s="372">
        <f>IFERROR(AL95/'Ar-Pa'!AX95,0)</f>
        <v>224.54624450442617</v>
      </c>
      <c r="BA95" s="372">
        <f>IFERROR(AL95/'Ar-Pa'!AY95,0)</f>
        <v>149.6974963362841</v>
      </c>
      <c r="BB95" s="372">
        <f t="shared" si="25"/>
        <v>0.99568115594683382</v>
      </c>
      <c r="BC95" s="372">
        <f>IFERROR(AVERAGEIF('DO Pilot'!AX95:BU95,"&gt;0"),0)</f>
        <v>7.7128804572423695</v>
      </c>
      <c r="BD95" s="445">
        <v>330726</v>
      </c>
      <c r="BE95" s="445">
        <v>11707</v>
      </c>
      <c r="BF95" s="446">
        <v>330481</v>
      </c>
      <c r="BG95" s="223">
        <f>Tabla1[[#This Row],[ Re. Gas GC
 '[m3']]]</f>
        <v>330481</v>
      </c>
      <c r="BH95" s="150">
        <f>IFERROR((BG95*Gas!$B$3)/28.31685,0)</f>
        <v>11626.242416794241</v>
      </c>
      <c r="BI95" s="151">
        <f t="shared" si="34"/>
        <v>-80.757583205759147</v>
      </c>
      <c r="BJ95" s="74">
        <f t="shared" si="30"/>
        <v>-6.9461465115421891E-3</v>
      </c>
      <c r="BK95" s="223">
        <f t="shared" si="26"/>
        <v>8501.8155410312283</v>
      </c>
      <c r="BL95" s="442">
        <v>8927.5300000000007</v>
      </c>
      <c r="BM95" s="150">
        <f t="shared" si="27"/>
        <v>8220.2018006817561</v>
      </c>
      <c r="BN95" s="150">
        <f t="shared" si="31"/>
        <v>8516.7922329838675</v>
      </c>
      <c r="BO95" s="373">
        <f>IFERROR(Tabla1[[#This Row],[ Re. Gas GC
 '[m3']]]/Tabla1[[#This Row],[G. HGS 
Con Gas '[kWh']]],0)</f>
        <v>0.2400007262164125</v>
      </c>
      <c r="BP95" s="374">
        <f>Tank!Y96</f>
        <v>0</v>
      </c>
      <c r="BQ95" s="70">
        <f>Tank!AP96</f>
        <v>0</v>
      </c>
      <c r="BR95" s="70">
        <f>Tank!V96</f>
        <v>0</v>
      </c>
      <c r="BS95" s="372">
        <f>Tank!T96</f>
        <v>0</v>
      </c>
      <c r="BT95" s="375" t="s">
        <v>228</v>
      </c>
      <c r="BU95" s="449">
        <v>71</v>
      </c>
      <c r="BV95" s="375">
        <f>IF(Tabla1[[#This Row],[Combustible ofertado]]="GAS",Tabla1[[#This Row],[Disponibilidad]],0)</f>
        <v>0</v>
      </c>
      <c r="BW95" s="375">
        <f>IF(Tabla1[[#This Row],[Combustible ofertado]]="DIESEL",Tabla1[[#This Row],[Disponibilidad]],0)</f>
        <v>71</v>
      </c>
      <c r="BX95" s="375">
        <f>IF(Tabla1[[#This Row],[Combustible ofertado]]="HFO",Tabla1[[#This Row],[Disponibilidad]],0)</f>
        <v>0</v>
      </c>
      <c r="BY95" s="454">
        <v>1440</v>
      </c>
      <c r="BZ95" s="446">
        <f>'Horo. M'!C96</f>
        <v>24</v>
      </c>
      <c r="CA95" s="446">
        <f>'Horo. M'!E96</f>
        <v>0</v>
      </c>
      <c r="CB95" s="446">
        <f>'Horo. M'!G96</f>
        <v>24</v>
      </c>
      <c r="CC95" s="446">
        <f>'Horo. M'!I96</f>
        <v>24</v>
      </c>
      <c r="CD95" s="446">
        <f>'Horo. M'!K96</f>
        <v>21</v>
      </c>
      <c r="CE95" s="446">
        <f>'Horo. M'!M96</f>
        <v>23</v>
      </c>
      <c r="CF95" s="446">
        <f>'Horo. M'!O96</f>
        <v>0</v>
      </c>
      <c r="CG95" s="446">
        <f>'Horo. M'!Q96</f>
        <v>24</v>
      </c>
      <c r="CH95" s="446">
        <f>'Horo. M'!S96</f>
        <v>24</v>
      </c>
      <c r="CI95" s="446">
        <f>'Horo. M'!U96</f>
        <v>22</v>
      </c>
      <c r="CJ95" s="70">
        <f>Tabla1[[#This Row],[Con. DO Storage '[gal']]]-Tabla1[[#This Row],[C. DO Storage Ge '[gal']]]</f>
        <v>449.09248900885234</v>
      </c>
      <c r="CK95" s="70"/>
      <c r="CL95" s="70"/>
      <c r="CM95" s="372">
        <f>Tabla1[[#This Row],[Con. DO Total '[gal']]]*131485.5/(1000000)</f>
        <v>1263.9991678643751</v>
      </c>
    </row>
    <row r="96" spans="1:91" s="5" customFormat="1" ht="15" customHeight="1">
      <c r="A96" s="362">
        <v>45021</v>
      </c>
      <c r="B96" s="363" t="str">
        <f>TEXT(Tabla1[[#This Row],[Fecha]],"mmmm")</f>
        <v>abril</v>
      </c>
      <c r="C96" s="429">
        <v>0</v>
      </c>
      <c r="D96" s="430">
        <v>1272</v>
      </c>
      <c r="E96" s="430">
        <v>1272</v>
      </c>
      <c r="F96" s="430">
        <v>1466</v>
      </c>
      <c r="G96" s="431">
        <v>8</v>
      </c>
      <c r="H96" s="431">
        <v>478</v>
      </c>
      <c r="I96" s="432">
        <v>5</v>
      </c>
      <c r="J96" s="432">
        <v>337</v>
      </c>
      <c r="K96" s="430">
        <v>24</v>
      </c>
      <c r="L96" s="430">
        <v>24</v>
      </c>
      <c r="M96" s="365">
        <f>Tabla1[[#This Row],[Columna1]]-Tabla1[[#This Row],[PO '[h']]]</f>
        <v>0</v>
      </c>
      <c r="N96" s="365">
        <f>F96+H96+J96</f>
        <v>2281</v>
      </c>
      <c r="O96" s="430">
        <v>12117</v>
      </c>
      <c r="P96" s="365">
        <f>Tabla1[[#This Row],[G. HGS 
'[MWh']]]-Tabla1[[#This Row],[G. HGS 
Con DO]]</f>
        <v>11936</v>
      </c>
      <c r="Q96" s="430">
        <v>181</v>
      </c>
      <c r="R96" s="365">
        <v>0</v>
      </c>
      <c r="S96" s="365">
        <f>Tabla1[[#This Row],[G. HGS 
Con Gas]]*1000</f>
        <v>11936000</v>
      </c>
      <c r="T96" s="365">
        <f>Tabla1[[#This Row],[G. HGS 
'[MWh']]]*1000</f>
        <v>12117000</v>
      </c>
      <c r="U96" s="368">
        <f>SUM('G. Un GE'!B96:Y96)</f>
        <v>1451.7146999999995</v>
      </c>
      <c r="V96" s="368">
        <f>Tabla1[[#This Row],[R. GE
'[MWh']]]-Tabla1[[#This Row],[E.G. DO]]</f>
        <v>1271.9300999999996</v>
      </c>
      <c r="W96" s="434">
        <v>179.78460000000001</v>
      </c>
      <c r="X96" s="368">
        <v>0</v>
      </c>
      <c r="Y96" s="365">
        <f>Tabla1[[#This Row],[R. GE
'[MWh']]]*1000</f>
        <v>1451714.6999999995</v>
      </c>
      <c r="Z96" s="434">
        <v>37.04</v>
      </c>
      <c r="AA9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37.04</v>
      </c>
      <c r="AB96" s="368">
        <f>IF(Tabla1[[#This Row],[G. HGS 
'[MWh']]]=0,0,Tabla1[[#This Row],[G. HGS 
'[MWh']]]+Tabla1[[#This Row],[Con. Aux. '[MWh']2]])</f>
        <v>12154.04</v>
      </c>
      <c r="AC96" s="368">
        <f>'C. ENER. TN'!F96</f>
        <v>0</v>
      </c>
      <c r="AD96" s="370">
        <f>'C. ENER. TN'!G96</f>
        <v>1451.7147000000004</v>
      </c>
      <c r="AE96" s="370">
        <f>'G. Un GE'!AX96</f>
        <v>192.11143571428565</v>
      </c>
      <c r="AF96" s="368">
        <f>IFERROR('G. Un GE'!AX96/Tabla1[[#This Row],[PO '[h']]],0)</f>
        <v>8.0046431547619026</v>
      </c>
      <c r="AG96" s="365">
        <f>'Ar-Pa'!AX96</f>
        <v>2</v>
      </c>
      <c r="AH96" s="365">
        <f>'Ar-Pa'!AY96</f>
        <v>1</v>
      </c>
      <c r="AI96" s="365">
        <f>SUM('Cal. Arr'!AB99:AY99)</f>
        <v>0</v>
      </c>
      <c r="AJ96" s="442">
        <v>42.7</v>
      </c>
      <c r="AK96" s="442">
        <v>0</v>
      </c>
      <c r="AL96" s="267">
        <f t="shared" si="21"/>
        <v>0</v>
      </c>
      <c r="AM96" s="267">
        <f>+CONVERT(AK96+Tabla1[[#This Row],[Con. DO Storage Gen. '[m3']]],"m^3","gal")</f>
        <v>11280.146635692938</v>
      </c>
      <c r="AN96" s="372">
        <f>SUM('DO Pilot'!B96:Y96)</f>
        <v>5.7299999999999986</v>
      </c>
      <c r="AO96" s="372">
        <f t="shared" si="22"/>
        <v>1513.7058600121902</v>
      </c>
      <c r="AP96" s="267">
        <f>AK96+AN96+Tabla1[[#This Row],[Con. DO Storage Gen. '[m3']]]</f>
        <v>48.43</v>
      </c>
      <c r="AQ96" s="372">
        <f t="shared" si="29"/>
        <v>12793.852495705129</v>
      </c>
      <c r="AR96" s="442">
        <v>0</v>
      </c>
      <c r="AS96" s="442">
        <v>0</v>
      </c>
      <c r="AT96" s="267">
        <f>+CONVERT(SUM(Tabla1[[#This Row],[Repo. DO Storage '[gal']]:[Repo. DO Pilot '[gal']]]),"gal","m3")</f>
        <v>0</v>
      </c>
      <c r="AU96" s="442">
        <v>0</v>
      </c>
      <c r="AV96" s="267">
        <f t="shared" si="33"/>
        <v>0</v>
      </c>
      <c r="AW96" s="442">
        <v>0</v>
      </c>
      <c r="AX96" s="267">
        <f t="shared" si="23"/>
        <v>0</v>
      </c>
      <c r="AY96" s="372">
        <f>IFERROR(AL96/O96,0)</f>
        <v>0</v>
      </c>
      <c r="AZ96" s="372">
        <f>IFERROR(AL96/'Ar-Pa'!AX96,0)</f>
        <v>0</v>
      </c>
      <c r="BA96" s="372">
        <f>IFERROR(AL96/'Ar-Pa'!AY96,0)</f>
        <v>0</v>
      </c>
      <c r="BB96" s="372">
        <f t="shared" si="25"/>
        <v>0.12492414459125115</v>
      </c>
      <c r="BC96" s="372">
        <f>IFERROR(AVERAGEIF('DO Pilot'!AX96:BU96,"&gt;0"),0)</f>
        <v>8.3444822887732588</v>
      </c>
      <c r="BD96" s="445">
        <v>342307</v>
      </c>
      <c r="BE96" s="445">
        <v>12117</v>
      </c>
      <c r="BF96" s="446">
        <v>342305</v>
      </c>
      <c r="BG96" s="223">
        <f>Tabla1[[#This Row],[ Re. Gas GC
 '[m3']]]</f>
        <v>342305</v>
      </c>
      <c r="BH96" s="150">
        <f>IFERROR((BG96*Gas!$B$3)/28.31685,0)</f>
        <v>12042.2079044809</v>
      </c>
      <c r="BI96" s="151">
        <f t="shared" si="34"/>
        <v>-74.792095519100258</v>
      </c>
      <c r="BJ96" s="74">
        <f t="shared" si="30"/>
        <v>-6.2108291197389273E-3</v>
      </c>
      <c r="BK96" s="150">
        <f t="shared" si="26"/>
        <v>1015.1642091152814</v>
      </c>
      <c r="BL96" s="442">
        <v>7450.8</v>
      </c>
      <c r="BM96" s="150">
        <f t="shared" si="27"/>
        <v>990.79877180599192</v>
      </c>
      <c r="BN96" s="150">
        <f t="shared" si="31"/>
        <v>9467.6648539734251</v>
      </c>
      <c r="BO96" s="373">
        <f>IFERROR(Tabla1[[#This Row],[ Re. Gas GC
 '[m3']]]/Tabla1[[#This Row],[G. HGS 
Con Gas '[kWh']]],0)</f>
        <v>2.8678367962466488E-2</v>
      </c>
      <c r="BP96" s="374">
        <f>Tank!Y97</f>
        <v>0</v>
      </c>
      <c r="BQ96" s="70">
        <f>Tank!AP97</f>
        <v>0</v>
      </c>
      <c r="BR96" s="70">
        <f>Tank!V97</f>
        <v>0</v>
      </c>
      <c r="BS96" s="372">
        <f>Tank!T97</f>
        <v>0</v>
      </c>
      <c r="BT96" s="380" t="s">
        <v>228</v>
      </c>
      <c r="BU96" s="449">
        <v>71</v>
      </c>
      <c r="BV96" s="380">
        <f>IF(Tabla1[[#This Row],[Combustible ofertado]]="GAS",Tabla1[[#This Row],[Disponibilidad]],0)</f>
        <v>0</v>
      </c>
      <c r="BW96" s="380">
        <f>IF(Tabla1[[#This Row],[Combustible ofertado]]="DIESEL",Tabla1[[#This Row],[Disponibilidad]],0)</f>
        <v>71</v>
      </c>
      <c r="BX96" s="380">
        <f>IF(Tabla1[[#This Row],[Combustible ofertado]]="HFO",Tabla1[[#This Row],[Disponibilidad]],0)</f>
        <v>0</v>
      </c>
      <c r="BY96" s="454">
        <v>1440</v>
      </c>
      <c r="BZ96" s="446">
        <f>'Horo. M'!C97</f>
        <v>24</v>
      </c>
      <c r="CA96" s="446">
        <f>'Horo. M'!E97</f>
        <v>0</v>
      </c>
      <c r="CB96" s="446">
        <f>'Horo. M'!G97</f>
        <v>24</v>
      </c>
      <c r="CC96" s="446">
        <f>'Horo. M'!I97</f>
        <v>24</v>
      </c>
      <c r="CD96" s="446">
        <f>'Horo. M'!K97</f>
        <v>24</v>
      </c>
      <c r="CE96" s="446">
        <f>'Horo. M'!M97</f>
        <v>24</v>
      </c>
      <c r="CF96" s="446">
        <f>'Horo. M'!O97</f>
        <v>0</v>
      </c>
      <c r="CG96" s="446">
        <f>'Horo. M'!Q97</f>
        <v>19</v>
      </c>
      <c r="CH96" s="446">
        <f>'Horo. M'!S97</f>
        <v>24</v>
      </c>
      <c r="CI96" s="446">
        <f>'Horo. M'!U97</f>
        <v>24</v>
      </c>
      <c r="CJ96" s="70">
        <f>Tabla1[[#This Row],[Con. DO Storage '[gal']]]-Tabla1[[#This Row],[C. DO Storage Ge '[gal']]]</f>
        <v>-11515.25</v>
      </c>
      <c r="CK96" s="70">
        <v>11515.25</v>
      </c>
      <c r="CL96" s="70">
        <v>186300</v>
      </c>
      <c r="CM96" s="372">
        <f>Tabla1[[#This Row],[Con. DO Total '[gal']]]*131485.5/(1000000)</f>
        <v>1682.2060923240365</v>
      </c>
    </row>
    <row r="97" spans="1:91" s="5" customFormat="1" ht="15" customHeight="1">
      <c r="A97" s="362">
        <v>45022</v>
      </c>
      <c r="B97" s="363" t="str">
        <f>TEXT(Tabla1[[#This Row],[Fecha]],"mmmm")</f>
        <v>abril</v>
      </c>
      <c r="C97" s="429">
        <v>0</v>
      </c>
      <c r="D97" s="430">
        <v>1286</v>
      </c>
      <c r="E97" s="430">
        <v>1286</v>
      </c>
      <c r="F97" s="430">
        <v>1331</v>
      </c>
      <c r="G97" s="431">
        <v>0</v>
      </c>
      <c r="H97" s="431">
        <v>0</v>
      </c>
      <c r="I97" s="432">
        <v>0</v>
      </c>
      <c r="J97" s="432">
        <v>0</v>
      </c>
      <c r="K97" s="430">
        <v>24</v>
      </c>
      <c r="L97" s="430">
        <v>24</v>
      </c>
      <c r="M97" s="365">
        <f>Tabla1[[#This Row],[Columna1]]-Tabla1[[#This Row],[PO '[h']]]</f>
        <v>0</v>
      </c>
      <c r="N97" s="365">
        <f t="shared" si="32"/>
        <v>1331</v>
      </c>
      <c r="O97" s="430">
        <v>1331</v>
      </c>
      <c r="P97" s="367">
        <f>Tabla1[[#This Row],[G. HGS 
'[MWh']]]</f>
        <v>1331</v>
      </c>
      <c r="Q97" s="430">
        <v>0</v>
      </c>
      <c r="R97" s="367">
        <v>0</v>
      </c>
      <c r="S97" s="367">
        <f>Tabla1[[#This Row],[G. HGS 
Con Gas]]*1000</f>
        <v>1331000</v>
      </c>
      <c r="T97" s="365">
        <f>Tabla1[[#This Row],[G. HGS 
'[MWh']]]*1000</f>
        <v>1331000</v>
      </c>
      <c r="U97" s="368">
        <f>SUM('G. Un GE'!B97:Y97)</f>
        <v>1320.2806999999998</v>
      </c>
      <c r="V97" s="369">
        <f>Tabla1[[#This Row],[R. GE
'[MWh']]]</f>
        <v>1320.2806999999998</v>
      </c>
      <c r="W97" s="434">
        <v>0</v>
      </c>
      <c r="X97" s="369">
        <v>0</v>
      </c>
      <c r="Y97" s="365">
        <f>Tabla1[[#This Row],[R. GE
'[MWh']]]*1000</f>
        <v>1320280.6999999997</v>
      </c>
      <c r="Z97" s="434">
        <v>37.28</v>
      </c>
      <c r="AA9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37.28</v>
      </c>
      <c r="AB97" s="368">
        <f>IF(Tabla1[[#This Row],[G. HGS 
'[MWh']]]=0,0,Tabla1[[#This Row],[G. HGS 
'[MWh']]]+Tabla1[[#This Row],[Con. Aux. '[MWh']2]])</f>
        <v>1368.28</v>
      </c>
      <c r="AC97" s="368">
        <f>'C. ENER. TN'!F97</f>
        <v>0</v>
      </c>
      <c r="AD97" s="370">
        <f>'C. ENER. TN'!G97</f>
        <v>1320.2807000000003</v>
      </c>
      <c r="AE97" s="370">
        <f>'G. Un GE'!AX97</f>
        <v>167.97180178571423</v>
      </c>
      <c r="AF97" s="368">
        <f>IFERROR('G. Un GE'!AX97/Tabla1[[#This Row],[PO '[h']]],0)</f>
        <v>6.9988250744047598</v>
      </c>
      <c r="AG97" s="365">
        <f>'Ar-Pa'!AX97</f>
        <v>1</v>
      </c>
      <c r="AH97" s="365">
        <f>'Ar-Pa'!AY97</f>
        <v>1</v>
      </c>
      <c r="AI97" s="365">
        <f>SUM('Cal. Arr'!AB100:AY100)</f>
        <v>0</v>
      </c>
      <c r="AJ97" s="442">
        <v>31</v>
      </c>
      <c r="AK97" s="442">
        <v>1.6</v>
      </c>
      <c r="AL97" s="267">
        <f t="shared" si="21"/>
        <v>422.67528377303745</v>
      </c>
      <c r="AM97" s="267">
        <f>+CONVERT(AK97+Tabla1[[#This Row],[Con. DO Storage Gen. '[m3']]],"m^3","gal")</f>
        <v>8612.0089068756388</v>
      </c>
      <c r="AN97" s="372">
        <f>SUM('DO Pilot'!B97:Y97)</f>
        <v>5.5200000000000031</v>
      </c>
      <c r="AO97" s="372">
        <f t="shared" si="22"/>
        <v>1458.2297290169799</v>
      </c>
      <c r="AP97" s="267">
        <f>AK97+AN97+Tabla1[[#This Row],[Con. DO Storage Gen. '[m3']]]</f>
        <v>38.120000000000005</v>
      </c>
      <c r="AQ97" s="372">
        <f t="shared" si="29"/>
        <v>10070.23863589262</v>
      </c>
      <c r="AR97" s="442">
        <v>0</v>
      </c>
      <c r="AS97" s="442">
        <v>0</v>
      </c>
      <c r="AT97" s="267">
        <f>+CONVERT(SUM(Tabla1[[#This Row],[Repo. DO Storage '[gal']]:[Repo. DO Pilot '[gal']]]),"gal","m3")</f>
        <v>0</v>
      </c>
      <c r="AU97" s="442">
        <v>0</v>
      </c>
      <c r="AV97" s="267">
        <f t="shared" si="33"/>
        <v>0</v>
      </c>
      <c r="AW97" s="442">
        <v>0</v>
      </c>
      <c r="AX97" s="267">
        <f t="shared" si="23"/>
        <v>0</v>
      </c>
      <c r="AY97" s="372">
        <f t="shared" si="24"/>
        <v>0.31756219667395752</v>
      </c>
      <c r="AZ97" s="372">
        <f>IFERROR(AL97/'Ar-Pa'!AX97,0)</f>
        <v>422.67528377303745</v>
      </c>
      <c r="BA97" s="372">
        <f>IFERROR(AL97/'Ar-Pa'!AY97,0)</f>
        <v>422.67528377303745</v>
      </c>
      <c r="BB97" s="372">
        <f t="shared" si="25"/>
        <v>1.0955895785251539</v>
      </c>
      <c r="BC97" s="372">
        <f>IFERROR(AVERAGEIF('DO Pilot'!AX97:BU97,"&gt;0"),0)</f>
        <v>7.7286049841684497</v>
      </c>
      <c r="BD97" s="445">
        <v>325454</v>
      </c>
      <c r="BE97" s="445">
        <v>11521</v>
      </c>
      <c r="BF97" s="446">
        <v>325453</v>
      </c>
      <c r="BG97" s="223">
        <f>Tabla1[[#This Row],[ Re. Gas GC
 '[m3']]]</f>
        <v>325453</v>
      </c>
      <c r="BH97" s="150">
        <f>IFERROR((BG97*Gas!$B$3)/28.31685,0)</f>
        <v>11449.358581198121</v>
      </c>
      <c r="BI97" s="151">
        <f t="shared" si="34"/>
        <v>-71.641418801878899</v>
      </c>
      <c r="BJ97" s="74">
        <f t="shared" si="30"/>
        <v>-6.2572429969593949E-3</v>
      </c>
      <c r="BK97" s="223">
        <f t="shared" si="26"/>
        <v>8655.8978211870763</v>
      </c>
      <c r="BL97" s="442">
        <v>8861.01</v>
      </c>
      <c r="BM97" s="150">
        <f t="shared" si="27"/>
        <v>8367.7014801050391</v>
      </c>
      <c r="BN97" s="150">
        <f t="shared" si="31"/>
        <v>8671.912405595358</v>
      </c>
      <c r="BO97" s="373">
        <f>IFERROR(Tabla1[[#This Row],[ Re. Gas GC
 '[m3']]]/Tabla1[[#This Row],[G. HGS 
Con Gas '[kWh']]],0)</f>
        <v>0.24451765589782118</v>
      </c>
      <c r="BP97" s="374">
        <f>Tank!Y98</f>
        <v>0</v>
      </c>
      <c r="BQ97" s="70">
        <f>Tank!AP98</f>
        <v>0</v>
      </c>
      <c r="BR97" s="70">
        <f>Tank!V98</f>
        <v>0</v>
      </c>
      <c r="BS97" s="372">
        <f>Tank!T98</f>
        <v>0</v>
      </c>
      <c r="BT97" s="375" t="s">
        <v>228</v>
      </c>
      <c r="BU97" s="449">
        <v>71</v>
      </c>
      <c r="BV97" s="375">
        <f>IF(Tabla1[[#This Row],[Combustible ofertado]]="GAS",Tabla1[[#This Row],[Disponibilidad]],0)</f>
        <v>0</v>
      </c>
      <c r="BW97" s="375">
        <f>IF(Tabla1[[#This Row],[Combustible ofertado]]="DIESEL",Tabla1[[#This Row],[Disponibilidad]],0)</f>
        <v>71</v>
      </c>
      <c r="BX97" s="375">
        <f>IF(Tabla1[[#This Row],[Combustible ofertado]]="HFO",Tabla1[[#This Row],[Disponibilidad]],0)</f>
        <v>0</v>
      </c>
      <c r="BY97" s="454">
        <v>1440</v>
      </c>
      <c r="BZ97" s="446">
        <f>'Horo. M'!C98</f>
        <v>24</v>
      </c>
      <c r="CA97" s="446">
        <f>'Horo. M'!E98</f>
        <v>0</v>
      </c>
      <c r="CB97" s="446">
        <f>'Horo. M'!G98</f>
        <v>24</v>
      </c>
      <c r="CC97" s="446">
        <f>'Horo. M'!I98</f>
        <v>24</v>
      </c>
      <c r="CD97" s="446">
        <f>'Horo. M'!K98</f>
        <v>24</v>
      </c>
      <c r="CE97" s="446">
        <f>'Horo. M'!M98</f>
        <v>21</v>
      </c>
      <c r="CF97" s="446">
        <f>'Horo. M'!O98</f>
        <v>0</v>
      </c>
      <c r="CG97" s="446">
        <f>'Horo. M'!Q98</f>
        <v>24</v>
      </c>
      <c r="CH97" s="446">
        <f>'Horo. M'!S98</f>
        <v>24</v>
      </c>
      <c r="CI97" s="446">
        <f>'Horo. M'!U98</f>
        <v>24</v>
      </c>
      <c r="CJ97" s="70">
        <f>Tabla1[[#This Row],[Con. DO Storage '[gal']]]-Tabla1[[#This Row],[C. DO Storage Ge '[gal']]]</f>
        <v>422.67528377303745</v>
      </c>
      <c r="CK97" s="70"/>
      <c r="CL97" s="70"/>
      <c r="CM97" s="372">
        <f>Tabla1[[#This Row],[Con. DO Total '[gal']]]*131485.5/(1000000)</f>
        <v>1324.0903621596592</v>
      </c>
    </row>
    <row r="98" spans="1:91" s="5" customFormat="1" ht="15" customHeight="1">
      <c r="A98" s="362">
        <v>45023</v>
      </c>
      <c r="B98" s="363" t="str">
        <f>TEXT(Tabla1[[#This Row],[Fecha]],"mmmm")</f>
        <v>abril</v>
      </c>
      <c r="C98" s="429">
        <v>0</v>
      </c>
      <c r="D98" s="430">
        <v>1287</v>
      </c>
      <c r="E98" s="430">
        <v>1287</v>
      </c>
      <c r="F98" s="430">
        <v>1324</v>
      </c>
      <c r="G98" s="431">
        <v>0</v>
      </c>
      <c r="H98" s="431">
        <v>0</v>
      </c>
      <c r="I98" s="432">
        <v>0</v>
      </c>
      <c r="J98" s="432">
        <v>0</v>
      </c>
      <c r="K98" s="430">
        <v>24</v>
      </c>
      <c r="L98" s="430">
        <v>24</v>
      </c>
      <c r="M98" s="365">
        <f>Tabla1[[#This Row],[Columna1]]-Tabla1[[#This Row],[PO '[h']]]</f>
        <v>0</v>
      </c>
      <c r="N98" s="365">
        <f t="shared" si="32"/>
        <v>1324</v>
      </c>
      <c r="O98" s="430">
        <v>1324</v>
      </c>
      <c r="P98" s="367">
        <f>Tabla1[[#This Row],[G. HGS 
'[MWh']]]</f>
        <v>1324</v>
      </c>
      <c r="Q98" s="430">
        <v>0</v>
      </c>
      <c r="R98" s="367">
        <v>0</v>
      </c>
      <c r="S98" s="367">
        <f>Tabla1[[#This Row],[G. HGS 
Con Gas]]*1000</f>
        <v>1324000</v>
      </c>
      <c r="T98" s="365">
        <f>Tabla1[[#This Row],[G. HGS 
'[MWh']]]*1000</f>
        <v>1324000</v>
      </c>
      <c r="U98" s="368">
        <f>SUM('G. Un GE'!B98:Y98)</f>
        <v>1312.6267</v>
      </c>
      <c r="V98" s="369">
        <f>Tabla1[[#This Row],[R. GE
'[MWh']]]</f>
        <v>1312.6267</v>
      </c>
      <c r="W98" s="434">
        <v>0</v>
      </c>
      <c r="X98" s="369">
        <v>0</v>
      </c>
      <c r="Y98" s="365">
        <f>Tabla1[[#This Row],[R. GE
'[MWh']]]*1000</f>
        <v>1312626.7</v>
      </c>
      <c r="Z98" s="434">
        <v>37.29</v>
      </c>
      <c r="AA9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37.29</v>
      </c>
      <c r="AB98" s="368">
        <f>IF(Tabla1[[#This Row],[G. HGS 
'[MWh']]]=0,0,Tabla1[[#This Row],[G. HGS 
'[MWh']]]+Tabla1[[#This Row],[Con. Aux. '[MWh']2]])</f>
        <v>1361.29</v>
      </c>
      <c r="AC98" s="368">
        <f>'C. ENER. TN'!F98</f>
        <v>0</v>
      </c>
      <c r="AD98" s="370">
        <f>'C. ENER. TN'!G98</f>
        <v>1312.6267</v>
      </c>
      <c r="AE98" s="370">
        <f>'G. Un GE'!AX98</f>
        <v>167.91064107142856</v>
      </c>
      <c r="AF98" s="368">
        <f>IFERROR('G. Un GE'!AX98/Tabla1[[#This Row],[PO '[h']]],0)</f>
        <v>6.9962767113095232</v>
      </c>
      <c r="AG98" s="365">
        <f>'Ar-Pa'!AX98</f>
        <v>1</v>
      </c>
      <c r="AH98" s="365">
        <f>'Ar-Pa'!AY98</f>
        <v>1</v>
      </c>
      <c r="AI98" s="365">
        <f>SUM('Cal. Arr'!AB101:AY101)</f>
        <v>0</v>
      </c>
      <c r="AJ98" s="442">
        <v>29.6</v>
      </c>
      <c r="AK98" s="442">
        <v>1.6</v>
      </c>
      <c r="AL98" s="267">
        <f t="shared" si="21"/>
        <v>422.67528377303745</v>
      </c>
      <c r="AM98" s="267">
        <f>+CONVERT(AK98+Tabla1[[#This Row],[Con. DO Storage Gen. '[m3']]],"m^3","gal")</f>
        <v>8242.1680335742312</v>
      </c>
      <c r="AN98" s="372">
        <f>SUM('DO Pilot'!B98:Y98)</f>
        <v>5.6500000000000021</v>
      </c>
      <c r="AO98" s="372">
        <f t="shared" si="22"/>
        <v>1492.572095823539</v>
      </c>
      <c r="AP98" s="267">
        <f>AK98+AN98+Tabla1[[#This Row],[Con. DO Storage Gen. '[m3']]]</f>
        <v>36.85</v>
      </c>
      <c r="AQ98" s="372">
        <f t="shared" si="29"/>
        <v>9734.7401293977691</v>
      </c>
      <c r="AR98" s="442">
        <v>0</v>
      </c>
      <c r="AS98" s="442">
        <v>0</v>
      </c>
      <c r="AT98" s="267">
        <f>+CONVERT(SUM(Tabla1[[#This Row],[Repo. DO Storage '[gal']]:[Repo. DO Pilot '[gal']]]),"gal","m3")</f>
        <v>0</v>
      </c>
      <c r="AU98" s="442">
        <v>0</v>
      </c>
      <c r="AV98" s="267">
        <f t="shared" si="33"/>
        <v>0</v>
      </c>
      <c r="AW98" s="442">
        <v>0</v>
      </c>
      <c r="AX98" s="267">
        <f t="shared" si="23"/>
        <v>0</v>
      </c>
      <c r="AY98" s="372">
        <f t="shared" si="24"/>
        <v>0.31924115088597993</v>
      </c>
      <c r="AZ98" s="372">
        <f>IFERROR(AL98/'Ar-Pa'!AX98,0)</f>
        <v>422.67528377303745</v>
      </c>
      <c r="BA98" s="372">
        <f>IFERROR(AL98/'Ar-Pa'!AY98,0)</f>
        <v>422.67528377303745</v>
      </c>
      <c r="BB98" s="372">
        <f t="shared" si="25"/>
        <v>1.127320314066117</v>
      </c>
      <c r="BC98" s="372">
        <f>IFERROR(AVERAGEIF('DO Pilot'!AX98:BU98,"&gt;0"),0)</f>
        <v>7.9566106245966139</v>
      </c>
      <c r="BD98" s="445">
        <v>328864</v>
      </c>
      <c r="BE98" s="445">
        <v>11641</v>
      </c>
      <c r="BF98" s="446">
        <v>328865</v>
      </c>
      <c r="BG98" s="223">
        <f>Tabla1[[#This Row],[ Re. Gas GC
 '[m3']]]</f>
        <v>328865</v>
      </c>
      <c r="BH98" s="150">
        <f>IFERROR((BG98*Gas!$B$3)/28.31685,0)</f>
        <v>11569.391923889838</v>
      </c>
      <c r="BI98" s="151">
        <f t="shared" si="34"/>
        <v>-71.608076110162074</v>
      </c>
      <c r="BJ98" s="74">
        <f t="shared" si="30"/>
        <v>-6.1894416388727667E-3</v>
      </c>
      <c r="BK98" s="223">
        <f t="shared" si="26"/>
        <v>8792.2960725075518</v>
      </c>
      <c r="BL98" s="442">
        <v>8790.19</v>
      </c>
      <c r="BM98" s="150">
        <f t="shared" si="27"/>
        <v>8498.8444224888444</v>
      </c>
      <c r="BN98" s="150">
        <f t="shared" si="31"/>
        <v>8813.9239616943923</v>
      </c>
      <c r="BO98" s="373">
        <f>IFERROR(Tabla1[[#This Row],[ Re. Gas GC
 '[m3']]]/Tabla1[[#This Row],[G. HGS 
Con Gas '[kWh']]],0)</f>
        <v>0.24838746223564956</v>
      </c>
      <c r="BP98" s="374">
        <f>Tank!Y99</f>
        <v>0</v>
      </c>
      <c r="BQ98" s="70">
        <f>Tank!AP99</f>
        <v>36.9</v>
      </c>
      <c r="BR98" s="70">
        <f>Tank!V99</f>
        <v>0</v>
      </c>
      <c r="BS98" s="372">
        <f>Tank!T99</f>
        <v>0</v>
      </c>
      <c r="BT98" s="375" t="s">
        <v>228</v>
      </c>
      <c r="BU98" s="449">
        <v>71</v>
      </c>
      <c r="BV98" s="375">
        <f>IF(Tabla1[[#This Row],[Combustible ofertado]]="GAS",Tabla1[[#This Row],[Disponibilidad]],0)</f>
        <v>0</v>
      </c>
      <c r="BW98" s="375">
        <f>IF(Tabla1[[#This Row],[Combustible ofertado]]="DIESEL",Tabla1[[#This Row],[Disponibilidad]],0)</f>
        <v>71</v>
      </c>
      <c r="BX98" s="375">
        <f>IF(Tabla1[[#This Row],[Combustible ofertado]]="HFO",Tabla1[[#This Row],[Disponibilidad]],0)</f>
        <v>0</v>
      </c>
      <c r="BY98" s="454">
        <v>1440</v>
      </c>
      <c r="BZ98" s="446">
        <f>'Horo. M'!C99</f>
        <v>24</v>
      </c>
      <c r="CA98" s="446">
        <f>'Horo. M'!E99</f>
        <v>0</v>
      </c>
      <c r="CB98" s="446">
        <f>'Horo. M'!G99</f>
        <v>24</v>
      </c>
      <c r="CC98" s="446">
        <f>'Horo. M'!I99</f>
        <v>24</v>
      </c>
      <c r="CD98" s="446">
        <f>'Horo. M'!K99</f>
        <v>21</v>
      </c>
      <c r="CE98" s="446">
        <f>'Horo. M'!M99</f>
        <v>24</v>
      </c>
      <c r="CF98" s="446">
        <f>'Horo. M'!O99</f>
        <v>0</v>
      </c>
      <c r="CG98" s="446">
        <f>'Horo. M'!Q99</f>
        <v>24</v>
      </c>
      <c r="CH98" s="446">
        <f>'Horo. M'!S99</f>
        <v>24</v>
      </c>
      <c r="CI98" s="446">
        <f>'Horo. M'!U99</f>
        <v>24</v>
      </c>
      <c r="CJ98" s="70">
        <f>Tabla1[[#This Row],[Con. DO Storage '[gal']]]-Tabla1[[#This Row],[C. DO Storage Ge '[gal']]]</f>
        <v>422.67528377303745</v>
      </c>
      <c r="CK98" s="70"/>
      <c r="CL98" s="70"/>
      <c r="CM98" s="372">
        <f>Tabla1[[#This Row],[Con. DO Total '[gal']]]*131485.5/(1000000)</f>
        <v>1279.9771732839304</v>
      </c>
    </row>
    <row r="99" spans="1:91" s="5" customFormat="1" ht="15" customHeight="1">
      <c r="A99" s="362">
        <v>45024</v>
      </c>
      <c r="B99" s="363" t="str">
        <f>TEXT(Tabla1[[#This Row],[Fecha]],"mmmm")</f>
        <v>abril</v>
      </c>
      <c r="C99" s="429">
        <v>0</v>
      </c>
      <c r="D99" s="430">
        <v>1279</v>
      </c>
      <c r="E99" s="430">
        <v>1281</v>
      </c>
      <c r="F99" s="430">
        <v>1323</v>
      </c>
      <c r="G99" s="431">
        <v>0</v>
      </c>
      <c r="H99" s="431">
        <v>0</v>
      </c>
      <c r="I99" s="432">
        <v>0</v>
      </c>
      <c r="J99" s="432">
        <v>0</v>
      </c>
      <c r="K99" s="430">
        <v>24</v>
      </c>
      <c r="L99" s="430">
        <v>24</v>
      </c>
      <c r="M99" s="365">
        <f>Tabla1[[#This Row],[Columna1]]-Tabla1[[#This Row],[PO '[h']]]</f>
        <v>0</v>
      </c>
      <c r="N99" s="365">
        <f t="shared" si="32"/>
        <v>1323</v>
      </c>
      <c r="O99" s="430">
        <v>1323</v>
      </c>
      <c r="P99" s="367">
        <f>Tabla1[[#This Row],[G. HGS 
'[MWh']]]</f>
        <v>1323</v>
      </c>
      <c r="Q99" s="430">
        <v>0</v>
      </c>
      <c r="R99" s="367">
        <v>0</v>
      </c>
      <c r="S99" s="367">
        <f>Tabla1[[#This Row],[G. HGS 
Con Gas]]*1000</f>
        <v>1323000</v>
      </c>
      <c r="T99" s="365">
        <f>Tabla1[[#This Row],[G. HGS 
'[MWh']]]*1000</f>
        <v>1323000</v>
      </c>
      <c r="U99" s="368">
        <f>SUM('G. Un GE'!B99:Y99)</f>
        <v>1311.6279000000002</v>
      </c>
      <c r="V99" s="369">
        <f>Tabla1[[#This Row],[R. GE
'[MWh']]]</f>
        <v>1311.6279000000002</v>
      </c>
      <c r="W99" s="434">
        <v>0</v>
      </c>
      <c r="X99" s="369">
        <v>0</v>
      </c>
      <c r="Y99" s="365">
        <f>Tabla1[[#This Row],[R. GE
'[MWh']]]*1000</f>
        <v>1311627.9000000001</v>
      </c>
      <c r="Z99" s="434">
        <v>37.75</v>
      </c>
      <c r="AA9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37.75</v>
      </c>
      <c r="AB99" s="368">
        <f>IF(Tabla1[[#This Row],[G. HGS 
'[MWh']]]=0,0,Tabla1[[#This Row],[G. HGS 
'[MWh']]]+Tabla1[[#This Row],[Con. Aux. '[MWh']2]])</f>
        <v>1360.75</v>
      </c>
      <c r="AC99" s="368">
        <f>'C. ENER. TN'!F99</f>
        <v>0</v>
      </c>
      <c r="AD99" s="370">
        <f>'C. ENER. TN'!G99</f>
        <v>1311.6279</v>
      </c>
      <c r="AE99" s="370">
        <f>'G. Un GE'!AX99</f>
        <v>166.86839285714285</v>
      </c>
      <c r="AF99" s="368">
        <f>IFERROR('G. Un GE'!AX99/Tabla1[[#This Row],[PO '[h']]],0)</f>
        <v>6.9528497023809521</v>
      </c>
      <c r="AG99" s="365">
        <f>'Ar-Pa'!AX99</f>
        <v>3</v>
      </c>
      <c r="AH99" s="365">
        <f>'Ar-Pa'!AY99</f>
        <v>3</v>
      </c>
      <c r="AI99" s="365">
        <f>SUM('Cal. Arr'!AB102:AY102)</f>
        <v>0</v>
      </c>
      <c r="AJ99" s="442">
        <v>29.8</v>
      </c>
      <c r="AK99" s="442">
        <v>1.2</v>
      </c>
      <c r="AL99" s="267">
        <f t="shared" si="21"/>
        <v>317.00646282977812</v>
      </c>
      <c r="AM99" s="267">
        <f>+CONVERT(AK99+Tabla1[[#This Row],[Con. DO Storage Gen. '[m3']]],"m^3","gal")</f>
        <v>8189.3336231026015</v>
      </c>
      <c r="AN99" s="372">
        <f>SUM('DO Pilot'!B99:Y99)</f>
        <v>5.6000000000000014</v>
      </c>
      <c r="AO99" s="372">
        <f t="shared" si="22"/>
        <v>1479.3634932056316</v>
      </c>
      <c r="AP99" s="267">
        <f>AK99+AN99+Tabla1[[#This Row],[Con. DO Storage Gen. '[m3']]]</f>
        <v>36.6</v>
      </c>
      <c r="AQ99" s="372">
        <f t="shared" si="29"/>
        <v>9668.6971163082326</v>
      </c>
      <c r="AR99" s="442">
        <v>0</v>
      </c>
      <c r="AS99" s="442">
        <v>11005</v>
      </c>
      <c r="AT99" s="267">
        <f>+CONVERT(SUM(Tabla1[[#This Row],[Repo. DO Storage '[gal']]:[Repo. DO Pilot '[gal']]]),"gal","m3")</f>
        <v>41.658456682919997</v>
      </c>
      <c r="AU99" s="442">
        <v>0</v>
      </c>
      <c r="AV99" s="267">
        <f t="shared" si="33"/>
        <v>0</v>
      </c>
      <c r="AW99" s="442">
        <v>0</v>
      </c>
      <c r="AX99" s="267">
        <f t="shared" si="23"/>
        <v>0</v>
      </c>
      <c r="AY99" s="372">
        <f t="shared" si="24"/>
        <v>0.23961183887360402</v>
      </c>
      <c r="AZ99" s="372">
        <f>IFERROR(AL99/'Ar-Pa'!AX99,0)</f>
        <v>105.66882094325938</v>
      </c>
      <c r="BA99" s="372">
        <f>IFERROR(AL99/'Ar-Pa'!AY99,0)</f>
        <v>105.66882094325938</v>
      </c>
      <c r="BB99" s="372">
        <f t="shared" si="25"/>
        <v>1.1181885814101524</v>
      </c>
      <c r="BC99" s="372">
        <f>IFERROR(AVERAGEIF('DO Pilot'!AX99:BU99,"&gt;0"),0)</f>
        <v>7.8426078043825305</v>
      </c>
      <c r="BD99" s="445">
        <v>326123</v>
      </c>
      <c r="BE99" s="445">
        <v>11544</v>
      </c>
      <c r="BF99" s="446">
        <v>326130</v>
      </c>
      <c r="BG99" s="223">
        <f>Tabla1[[#This Row],[ Re. Gas GC
 '[m3']]]</f>
        <v>326130</v>
      </c>
      <c r="BH99" s="150">
        <f>IFERROR((BG99*Gas!$B$3)/28.31685,0)</f>
        <v>11473.175279029976</v>
      </c>
      <c r="BI99" s="151">
        <f t="shared" si="34"/>
        <v>-70.824720970023918</v>
      </c>
      <c r="BJ99" s="74">
        <f t="shared" si="30"/>
        <v>-6.1730705970711834E-3</v>
      </c>
      <c r="BK99" s="223">
        <f t="shared" si="26"/>
        <v>8725.6235827664404</v>
      </c>
      <c r="BL99" s="442">
        <v>0</v>
      </c>
      <c r="BM99" s="150">
        <f t="shared" si="27"/>
        <v>8431.5085644166629</v>
      </c>
      <c r="BN99" s="150">
        <f t="shared" si="31"/>
        <v>8747.2790713204358</v>
      </c>
      <c r="BO99" s="373">
        <f>IFERROR(Tabla1[[#This Row],[ Re. Gas GC
 '[m3']]]/Tabla1[[#This Row],[G. HGS 
Con Gas '[kWh']]],0)</f>
        <v>0.24650793650793651</v>
      </c>
      <c r="BP99" s="374">
        <f>Tank!Y100</f>
        <v>0</v>
      </c>
      <c r="BQ99" s="70">
        <f>Tank!AP100</f>
        <v>21</v>
      </c>
      <c r="BR99" s="70">
        <f>Tank!V100</f>
        <v>0</v>
      </c>
      <c r="BS99" s="372">
        <f>Tank!T100</f>
        <v>0</v>
      </c>
      <c r="BT99" s="375" t="s">
        <v>228</v>
      </c>
      <c r="BU99" s="449">
        <v>71</v>
      </c>
      <c r="BV99" s="375">
        <f>IF(Tabla1[[#This Row],[Combustible ofertado]]="GAS",Tabla1[[#This Row],[Disponibilidad]],0)</f>
        <v>0</v>
      </c>
      <c r="BW99" s="375">
        <f>IF(Tabla1[[#This Row],[Combustible ofertado]]="DIESEL",Tabla1[[#This Row],[Disponibilidad]],0)</f>
        <v>71</v>
      </c>
      <c r="BX99" s="375">
        <f>IF(Tabla1[[#This Row],[Combustible ofertado]]="HFO",Tabla1[[#This Row],[Disponibilidad]],0)</f>
        <v>0</v>
      </c>
      <c r="BY99" s="454">
        <v>1440</v>
      </c>
      <c r="BZ99" s="446">
        <f>'Horo. M'!C100</f>
        <v>24</v>
      </c>
      <c r="CA99" s="446">
        <f>'Horo. M'!E100</f>
        <v>0</v>
      </c>
      <c r="CB99" s="446">
        <f>'Horo. M'!G100</f>
        <v>24</v>
      </c>
      <c r="CC99" s="446">
        <f>'Horo. M'!I100</f>
        <v>24</v>
      </c>
      <c r="CD99" s="446">
        <f>'Horo. M'!K100</f>
        <v>22</v>
      </c>
      <c r="CE99" s="446">
        <f>'Horo. M'!M100</f>
        <v>22</v>
      </c>
      <c r="CF99" s="446">
        <f>'Horo. M'!O100</f>
        <v>0</v>
      </c>
      <c r="CG99" s="446">
        <f>'Horo. M'!Q100</f>
        <v>24</v>
      </c>
      <c r="CH99" s="446">
        <f>'Horo. M'!S100</f>
        <v>24</v>
      </c>
      <c r="CI99" s="446">
        <f>'Horo. M'!U100</f>
        <v>24</v>
      </c>
      <c r="CJ99" s="70">
        <f>Tabla1[[#This Row],[Con. DO Storage '[gal']]]-Tabla1[[#This Row],[C. DO Storage Ge '[gal']]]</f>
        <v>317.00646282977812</v>
      </c>
      <c r="CK99" s="70"/>
      <c r="CL99" s="70"/>
      <c r="CM99" s="372">
        <f>Tabla1[[#This Row],[Con. DO Total '[gal']]]*131485.5/(1000000)</f>
        <v>1271.2934746863461</v>
      </c>
    </row>
    <row r="100" spans="1:91" s="5" customFormat="1" ht="15" customHeight="1">
      <c r="A100" s="362">
        <v>45025</v>
      </c>
      <c r="B100" s="363" t="str">
        <f>TEXT(Tabla1[[#This Row],[Fecha]],"mmmm")</f>
        <v>abril</v>
      </c>
      <c r="C100" s="429">
        <v>0</v>
      </c>
      <c r="D100" s="430">
        <v>1283</v>
      </c>
      <c r="E100" s="430">
        <v>1283</v>
      </c>
      <c r="F100" s="430">
        <v>1352</v>
      </c>
      <c r="G100" s="431">
        <v>0</v>
      </c>
      <c r="H100" s="431">
        <v>0</v>
      </c>
      <c r="I100" s="432">
        <v>4</v>
      </c>
      <c r="J100" s="432">
        <v>284</v>
      </c>
      <c r="K100" s="430">
        <v>24</v>
      </c>
      <c r="L100" s="430">
        <v>24</v>
      </c>
      <c r="M100" s="365">
        <f>Tabla1[[#This Row],[Columna1]]-Tabla1[[#This Row],[PO '[h']]]</f>
        <v>0</v>
      </c>
      <c r="N100" s="365">
        <f t="shared" si="32"/>
        <v>1636</v>
      </c>
      <c r="O100" s="430">
        <v>1352</v>
      </c>
      <c r="P100" s="367">
        <f>Tabla1[[#This Row],[G. HGS 
'[MWh']]]</f>
        <v>1352</v>
      </c>
      <c r="Q100" s="430">
        <v>0</v>
      </c>
      <c r="R100" s="367">
        <v>0</v>
      </c>
      <c r="S100" s="367">
        <f>Tabla1[[#This Row],[G. HGS 
Con Gas]]*1000</f>
        <v>1352000</v>
      </c>
      <c r="T100" s="365">
        <f>Tabla1[[#This Row],[G. HGS 
'[MWh']]]*1000</f>
        <v>1352000</v>
      </c>
      <c r="U100" s="368">
        <f>SUM('G. Un GE'!B100:Y100)</f>
        <v>1339.5064000000002</v>
      </c>
      <c r="V100" s="369">
        <f>Tabla1[[#This Row],[R. GE
'[MWh']]]</f>
        <v>1339.5064000000002</v>
      </c>
      <c r="W100" s="434">
        <v>0</v>
      </c>
      <c r="X100" s="369">
        <v>0</v>
      </c>
      <c r="Y100" s="365">
        <f>Tabla1[[#This Row],[R. GE
'[MWh']]]*1000</f>
        <v>1339506.4000000001</v>
      </c>
      <c r="Z100" s="434">
        <v>37.94</v>
      </c>
      <c r="AA10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37.94</v>
      </c>
      <c r="AB100" s="368">
        <f>IF(Tabla1[[#This Row],[G. HGS 
'[MWh']]]=0,0,Tabla1[[#This Row],[G. HGS 
'[MWh']]]+Tabla1[[#This Row],[Con. Aux. '[MWh']2]])</f>
        <v>1389.94</v>
      </c>
      <c r="AC100" s="368">
        <f>'C. ENER. TN'!F100</f>
        <v>0</v>
      </c>
      <c r="AD100" s="370">
        <f>'C. ENER. TN'!G100</f>
        <v>1339.5064</v>
      </c>
      <c r="AE100" s="370">
        <f>'G. Un GE'!AX100</f>
        <v>170.64506309523813</v>
      </c>
      <c r="AF100" s="368">
        <f>IFERROR('G. Un GE'!AX100/Tabla1[[#This Row],[PO '[h']]],0)</f>
        <v>7.110210962301589</v>
      </c>
      <c r="AG100" s="365">
        <f>'Ar-Pa'!AX100</f>
        <v>2</v>
      </c>
      <c r="AH100" s="365">
        <f>'Ar-Pa'!AY100</f>
        <v>2</v>
      </c>
      <c r="AI100" s="365">
        <f>SUM('Cal. Arr'!AB103:AY103)</f>
        <v>0</v>
      </c>
      <c r="AJ100" s="442">
        <v>32.25</v>
      </c>
      <c r="AK100" s="442">
        <v>1.25</v>
      </c>
      <c r="AL100" s="267">
        <f t="shared" si="21"/>
        <v>330.2150654476855</v>
      </c>
      <c r="AM100" s="267">
        <f>+CONVERT(AK100+Tabla1[[#This Row],[Con. DO Storage Gen. '[m3']]],"m^3","gal")</f>
        <v>8849.7637539979714</v>
      </c>
      <c r="AN100" s="372">
        <f>SUM('DO Pilot'!B100:Y100)</f>
        <v>6.2499999999999991</v>
      </c>
      <c r="AO100" s="372">
        <f t="shared" si="22"/>
        <v>1651.0753272384275</v>
      </c>
      <c r="AP100" s="267">
        <f>AK100+AN100+Tabla1[[#This Row],[Con. DO Storage Gen. '[m3']]]</f>
        <v>39.75</v>
      </c>
      <c r="AQ100" s="372">
        <f t="shared" si="29"/>
        <v>10500.8390812364</v>
      </c>
      <c r="AR100" s="442">
        <v>0</v>
      </c>
      <c r="AS100" s="442">
        <v>0</v>
      </c>
      <c r="AT100" s="267">
        <f>+CONVERT(SUM(Tabla1[[#This Row],[Repo. DO Storage '[gal']]:[Repo. DO Pilot '[gal']]]),"gal","m3")</f>
        <v>0</v>
      </c>
      <c r="AU100" s="442">
        <v>0</v>
      </c>
      <c r="AV100" s="267">
        <f t="shared" si="33"/>
        <v>0</v>
      </c>
      <c r="AW100" s="442">
        <v>0</v>
      </c>
      <c r="AX100" s="267">
        <f t="shared" si="23"/>
        <v>0</v>
      </c>
      <c r="AY100" s="372">
        <f t="shared" si="24"/>
        <v>0.24424191231337686</v>
      </c>
      <c r="AZ100" s="372">
        <f>IFERROR(AL100/'Ar-Pa'!AX100,0)</f>
        <v>165.10753272384275</v>
      </c>
      <c r="BA100" s="372">
        <f>IFERROR(AL100/'Ar-Pa'!AY100,0)</f>
        <v>165.10753272384275</v>
      </c>
      <c r="BB100" s="372">
        <f t="shared" si="25"/>
        <v>1.2212095615668843</v>
      </c>
      <c r="BC100" s="372">
        <f>IFERROR(AVERAGEIF('DO Pilot'!AX100:BU100,"&gt;0"),0)</f>
        <v>8.7631478181801494</v>
      </c>
      <c r="BD100" s="445">
        <v>330679</v>
      </c>
      <c r="BE100" s="445">
        <v>11706</v>
      </c>
      <c r="BF100" s="446">
        <v>330479</v>
      </c>
      <c r="BG100" s="223">
        <f>Tabla1[[#This Row],[ Re. Gas GC
 '[m3']]]</f>
        <v>330479</v>
      </c>
      <c r="BH100" s="150">
        <f>IFERROR((BG100*Gas!$B$3)/28.31685,0)</f>
        <v>11626.172057273319</v>
      </c>
      <c r="BI100" s="151">
        <f t="shared" si="34"/>
        <v>-79.827942726680703</v>
      </c>
      <c r="BJ100" s="74">
        <f t="shared" si="30"/>
        <v>-6.8662275367532034E-3</v>
      </c>
      <c r="BK100" s="223">
        <f t="shared" si="26"/>
        <v>8658.2840236686388</v>
      </c>
      <c r="BL100" s="442">
        <v>8954.2800000000007</v>
      </c>
      <c r="BM100" s="150">
        <f t="shared" si="27"/>
        <v>8364.513617331193</v>
      </c>
      <c r="BN100" s="150">
        <f t="shared" si="31"/>
        <v>8679.4449487313523</v>
      </c>
      <c r="BO100" s="373">
        <f>IFERROR(Tabla1[[#This Row],[ Re. Gas GC
 '[m3']]]/Tabla1[[#This Row],[G. HGS 
Con Gas '[kWh']]],0)</f>
        <v>0.24443713017751478</v>
      </c>
      <c r="BP100" s="374">
        <f>Tank!Y101</f>
        <v>0</v>
      </c>
      <c r="BQ100" s="70">
        <f>Tank!AP101</f>
        <v>0</v>
      </c>
      <c r="BR100" s="70">
        <f>Tank!V101</f>
        <v>0</v>
      </c>
      <c r="BS100" s="372">
        <f>Tank!T101</f>
        <v>0</v>
      </c>
      <c r="BT100" s="375" t="s">
        <v>228</v>
      </c>
      <c r="BU100" s="449">
        <v>71</v>
      </c>
      <c r="BV100" s="375">
        <f>IF(Tabla1[[#This Row],[Combustible ofertado]]="GAS",Tabla1[[#This Row],[Disponibilidad]],0)</f>
        <v>0</v>
      </c>
      <c r="BW100" s="375">
        <f>IF(Tabla1[[#This Row],[Combustible ofertado]]="DIESEL",Tabla1[[#This Row],[Disponibilidad]],0)</f>
        <v>71</v>
      </c>
      <c r="BX100" s="375">
        <f>IF(Tabla1[[#This Row],[Combustible ofertado]]="HFO",Tabla1[[#This Row],[Disponibilidad]],0)</f>
        <v>0</v>
      </c>
      <c r="BY100" s="454">
        <v>1440</v>
      </c>
      <c r="BZ100" s="446">
        <f>'Horo. M'!C101</f>
        <v>24</v>
      </c>
      <c r="CA100" s="446">
        <f>'Horo. M'!E101</f>
        <v>0</v>
      </c>
      <c r="CB100" s="446">
        <f>'Horo. M'!G101</f>
        <v>24</v>
      </c>
      <c r="CC100" s="446">
        <f>'Horo. M'!I101</f>
        <v>24</v>
      </c>
      <c r="CD100" s="446">
        <f>'Horo. M'!K101</f>
        <v>24</v>
      </c>
      <c r="CE100" s="446">
        <f>'Horo. M'!M101</f>
        <v>22</v>
      </c>
      <c r="CF100" s="446">
        <f>'Horo. M'!O101</f>
        <v>0</v>
      </c>
      <c r="CG100" s="446">
        <f>'Horo. M'!Q101</f>
        <v>24</v>
      </c>
      <c r="CH100" s="446">
        <f>'Horo. M'!S101</f>
        <v>24</v>
      </c>
      <c r="CI100" s="446">
        <f>'Horo. M'!U101</f>
        <v>24</v>
      </c>
      <c r="CJ100" s="70">
        <f>Tabla1[[#This Row],[Con. DO Storage '[gal']]]-Tabla1[[#This Row],[C. DO Storage Ge '[gal']]]</f>
        <v>330.2150654476855</v>
      </c>
      <c r="CK100" s="70"/>
      <c r="CL100" s="70"/>
      <c r="CM100" s="372">
        <f>Tabla1[[#This Row],[Con. DO Total '[gal']]]*131485.5/(1000000)</f>
        <v>1380.7080770159087</v>
      </c>
    </row>
    <row r="101" spans="1:91" s="5" customFormat="1" ht="15" customHeight="1">
      <c r="A101" s="362">
        <v>45026</v>
      </c>
      <c r="B101" s="363" t="str">
        <f>TEXT(Tabla1[[#This Row],[Fecha]],"mmmm")</f>
        <v>abril</v>
      </c>
      <c r="C101" s="429">
        <v>0</v>
      </c>
      <c r="D101" s="430">
        <v>1290</v>
      </c>
      <c r="E101" s="430">
        <v>1290</v>
      </c>
      <c r="F101" s="430">
        <v>1358</v>
      </c>
      <c r="G101" s="431">
        <v>0</v>
      </c>
      <c r="H101" s="431">
        <v>0</v>
      </c>
      <c r="I101" s="432">
        <v>3</v>
      </c>
      <c r="J101" s="432">
        <v>213</v>
      </c>
      <c r="K101" s="430">
        <v>24</v>
      </c>
      <c r="L101" s="430">
        <v>24</v>
      </c>
      <c r="M101" s="365">
        <f>Tabla1[[#This Row],[Columna1]]-Tabla1[[#This Row],[PO '[h']]]</f>
        <v>0</v>
      </c>
      <c r="N101" s="365">
        <f t="shared" si="32"/>
        <v>1571</v>
      </c>
      <c r="O101" s="430">
        <v>1358</v>
      </c>
      <c r="P101" s="367">
        <f>Tabla1[[#This Row],[G. HGS 
'[MWh']]]</f>
        <v>1358</v>
      </c>
      <c r="Q101" s="430">
        <v>0</v>
      </c>
      <c r="R101" s="367">
        <v>0</v>
      </c>
      <c r="S101" s="367">
        <f>Tabla1[[#This Row],[G. HGS 
Con Gas]]*1000</f>
        <v>1358000</v>
      </c>
      <c r="T101" s="365">
        <f>Tabla1[[#This Row],[G. HGS 
'[MWh']]]*1000</f>
        <v>1358000</v>
      </c>
      <c r="U101" s="368">
        <f>SUM('G. Un GE'!B101:Y101)</f>
        <v>1347.1741</v>
      </c>
      <c r="V101" s="369">
        <f>Tabla1[[#This Row],[R. GE
'[MWh']]]</f>
        <v>1347.1741</v>
      </c>
      <c r="W101" s="434">
        <v>0</v>
      </c>
      <c r="X101" s="369">
        <v>0</v>
      </c>
      <c r="Y101" s="365">
        <f>Tabla1[[#This Row],[R. GE
'[MWh']]]*1000</f>
        <v>1347174.0999999999</v>
      </c>
      <c r="Z101" s="434">
        <v>37.69</v>
      </c>
      <c r="AA10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37.69</v>
      </c>
      <c r="AB101" s="368">
        <f>IF(Tabla1[[#This Row],[G. HGS 
'[MWh']]]=0,0,Tabla1[[#This Row],[G. HGS 
'[MWh']]]+Tabla1[[#This Row],[Con. Aux. '[MWh']2]])</f>
        <v>1395.69</v>
      </c>
      <c r="AC101" s="368">
        <f>'C. ENER. TN'!F101</f>
        <v>0</v>
      </c>
      <c r="AD101" s="370">
        <f>'C. ENER. TN'!G101</f>
        <v>1347.1741</v>
      </c>
      <c r="AE101" s="370">
        <f>'G. Un GE'!AX101</f>
        <v>171.30294642857146</v>
      </c>
      <c r="AF101" s="368">
        <f>IFERROR('G. Un GE'!AX101/Tabla1[[#This Row],[PO '[h']]],0)</f>
        <v>7.1376227678571444</v>
      </c>
      <c r="AG101" s="365">
        <f>'Ar-Pa'!AX101</f>
        <v>2</v>
      </c>
      <c r="AH101" s="365">
        <f>'Ar-Pa'!AY101</f>
        <v>2</v>
      </c>
      <c r="AI101" s="365">
        <f>SUM('Cal. Arr'!AB104:AY104)</f>
        <v>0</v>
      </c>
      <c r="AJ101" s="442">
        <v>25.5</v>
      </c>
      <c r="AK101" s="442">
        <v>1.6</v>
      </c>
      <c r="AL101" s="267">
        <f t="shared" si="21"/>
        <v>422.67528377303745</v>
      </c>
      <c r="AM101" s="267">
        <f>+CONVERT(AK101+Tabla1[[#This Row],[Con. DO Storage Gen. '[m3']]],"m^3","gal")</f>
        <v>7159.0626189058221</v>
      </c>
      <c r="AN101" s="372">
        <f>SUM('DO Pilot'!B101:Y101)</f>
        <v>6.0000000000000009</v>
      </c>
      <c r="AO101" s="372">
        <f t="shared" si="22"/>
        <v>1585.0323141488907</v>
      </c>
      <c r="AP101" s="267">
        <f>AK101+AN101+Tabla1[[#This Row],[Con. DO Storage Gen. '[m3']]]</f>
        <v>33.1</v>
      </c>
      <c r="AQ101" s="372">
        <f t="shared" si="29"/>
        <v>8744.0949330547137</v>
      </c>
      <c r="AR101" s="442">
        <v>11998</v>
      </c>
      <c r="AS101" s="442">
        <v>0</v>
      </c>
      <c r="AT101" s="267">
        <f>+CONVERT(SUM(Tabla1[[#This Row],[Repo. DO Storage '[gal']]:[Repo. DO Pilot '[gal']]]),"gal","m3")</f>
        <v>45.417370584432</v>
      </c>
      <c r="AU101" s="442">
        <v>0</v>
      </c>
      <c r="AV101" s="267">
        <f t="shared" si="33"/>
        <v>0</v>
      </c>
      <c r="AW101" s="442">
        <v>0</v>
      </c>
      <c r="AX101" s="267">
        <f t="shared" si="23"/>
        <v>0</v>
      </c>
      <c r="AY101" s="372">
        <f t="shared" si="24"/>
        <v>0.3112483680213825</v>
      </c>
      <c r="AZ101" s="372">
        <f>IFERROR(AL101/'Ar-Pa'!AX101,0)</f>
        <v>211.33764188651872</v>
      </c>
      <c r="BA101" s="372">
        <f>IFERROR(AL101/'Ar-Pa'!AY101,0)</f>
        <v>211.33764188651872</v>
      </c>
      <c r="BB101" s="372">
        <f t="shared" si="25"/>
        <v>1.1671813800801847</v>
      </c>
      <c r="BC101" s="372">
        <f>IFERROR(AVERAGEIF('DO Pilot'!AX101:BU101,"&gt;0"),0)</f>
        <v>8.3988629443926186</v>
      </c>
      <c r="BD101" s="445">
        <v>337661</v>
      </c>
      <c r="BE101" s="445">
        <v>11953</v>
      </c>
      <c r="BF101" s="446">
        <v>337657</v>
      </c>
      <c r="BG101" s="223">
        <f>Tabla1[[#This Row],[ Re. Gas GC
 '[m3']]]</f>
        <v>337657</v>
      </c>
      <c r="BH101" s="150">
        <f>IFERROR((BG101*Gas!$B$3)/28.31685,0)</f>
        <v>11878.692377859825</v>
      </c>
      <c r="BI101" s="151">
        <f t="shared" si="34"/>
        <v>-74.307622140175226</v>
      </c>
      <c r="BJ101" s="74">
        <f t="shared" si="30"/>
        <v>-6.255538890684126E-3</v>
      </c>
      <c r="BK101" s="223">
        <f t="shared" si="26"/>
        <v>8801.9145802650964</v>
      </c>
      <c r="BL101" s="442">
        <v>9053.66</v>
      </c>
      <c r="BM101" s="150">
        <f t="shared" si="27"/>
        <v>8510.9819357162578</v>
      </c>
      <c r="BN101" s="150">
        <f t="shared" si="31"/>
        <v>8817.4886808318442</v>
      </c>
      <c r="BO101" s="373">
        <f>IFERROR(Tabla1[[#This Row],[ Re. Gas GC
 '[m3']]]/Tabla1[[#This Row],[G. HGS 
Con Gas '[kWh']]],0)</f>
        <v>0.24864285714285714</v>
      </c>
      <c r="BP101" s="374">
        <f>Tank!Y102</f>
        <v>0</v>
      </c>
      <c r="BQ101" s="70">
        <f>Tank!AP102</f>
        <v>0</v>
      </c>
      <c r="BR101" s="70">
        <f>Tank!V102</f>
        <v>0</v>
      </c>
      <c r="BS101" s="372">
        <f>Tank!T102</f>
        <v>0</v>
      </c>
      <c r="BT101" s="375" t="s">
        <v>228</v>
      </c>
      <c r="BU101" s="449">
        <v>71</v>
      </c>
      <c r="BV101" s="375">
        <f>IF(Tabla1[[#This Row],[Combustible ofertado]]="GAS",Tabla1[[#This Row],[Disponibilidad]],0)</f>
        <v>0</v>
      </c>
      <c r="BW101" s="375">
        <f>IF(Tabla1[[#This Row],[Combustible ofertado]]="DIESEL",Tabla1[[#This Row],[Disponibilidad]],0)</f>
        <v>71</v>
      </c>
      <c r="BX101" s="375">
        <f>IF(Tabla1[[#This Row],[Combustible ofertado]]="HFO",Tabla1[[#This Row],[Disponibilidad]],0)</f>
        <v>0</v>
      </c>
      <c r="BY101" s="454">
        <v>1440</v>
      </c>
      <c r="BZ101" s="446">
        <f>'Horo. M'!C102</f>
        <v>24</v>
      </c>
      <c r="CA101" s="446">
        <f>'Horo. M'!E102</f>
        <v>0</v>
      </c>
      <c r="CB101" s="446">
        <f>'Horo. M'!G102</f>
        <v>24</v>
      </c>
      <c r="CC101" s="446">
        <f>'Horo. M'!I102</f>
        <v>24</v>
      </c>
      <c r="CD101" s="446">
        <f>'Horo. M'!K102</f>
        <v>21</v>
      </c>
      <c r="CE101" s="446">
        <f>'Horo. M'!M102</f>
        <v>23</v>
      </c>
      <c r="CF101" s="446">
        <f>'Horo. M'!O102</f>
        <v>0</v>
      </c>
      <c r="CG101" s="446">
        <f>'Horo. M'!Q102</f>
        <v>24</v>
      </c>
      <c r="CH101" s="446">
        <f>'Horo. M'!S102</f>
        <v>24</v>
      </c>
      <c r="CI101" s="446">
        <f>'Horo. M'!U102</f>
        <v>24</v>
      </c>
      <c r="CJ101" s="70">
        <f>Tabla1[[#This Row],[Con. DO Storage '[gal']]]-Tabla1[[#This Row],[C. DO Storage Ge '[gal']]]</f>
        <v>422.67528377303745</v>
      </c>
      <c r="CK101" s="70"/>
      <c r="CL101" s="70"/>
      <c r="CM101" s="372">
        <f>Tabla1[[#This Row],[Con. DO Total '[gal']]]*131485.5/(1000000)</f>
        <v>1149.7216943201656</v>
      </c>
    </row>
    <row r="102" spans="1:91" s="5" customFormat="1" ht="15" customHeight="1">
      <c r="A102" s="362">
        <v>45027</v>
      </c>
      <c r="B102" s="363" t="str">
        <f>TEXT(Tabla1[[#This Row],[Fecha]],"mmmm")</f>
        <v>abril</v>
      </c>
      <c r="C102" s="429">
        <v>0</v>
      </c>
      <c r="D102" s="430">
        <v>1287</v>
      </c>
      <c r="E102" s="430">
        <v>1287</v>
      </c>
      <c r="F102" s="430">
        <v>1329</v>
      </c>
      <c r="G102" s="431">
        <v>0</v>
      </c>
      <c r="H102" s="431">
        <v>0</v>
      </c>
      <c r="I102" s="432">
        <v>0</v>
      </c>
      <c r="J102" s="432">
        <v>0</v>
      </c>
      <c r="K102" s="430">
        <v>24</v>
      </c>
      <c r="L102" s="430">
        <v>24</v>
      </c>
      <c r="M102" s="365">
        <f>Tabla1[[#This Row],[Columna1]]-Tabla1[[#This Row],[PO '[h']]]</f>
        <v>0</v>
      </c>
      <c r="N102" s="365">
        <f t="shared" si="32"/>
        <v>1329</v>
      </c>
      <c r="O102" s="430">
        <v>1329</v>
      </c>
      <c r="P102" s="367">
        <f>Tabla1[[#This Row],[G. HGS 
'[MWh']]]</f>
        <v>1329</v>
      </c>
      <c r="Q102" s="430">
        <v>0</v>
      </c>
      <c r="R102" s="367">
        <v>0</v>
      </c>
      <c r="S102" s="367">
        <f>Tabla1[[#This Row],[G. HGS 
Con Gas]]*1000</f>
        <v>1329000</v>
      </c>
      <c r="T102" s="365">
        <f>Tabla1[[#This Row],[G. HGS 
'[MWh']]]*1000</f>
        <v>1329000</v>
      </c>
      <c r="U102" s="368">
        <f>SUM('G. Un GE'!B102:Y102)</f>
        <v>1316.9599000000001</v>
      </c>
      <c r="V102" s="369">
        <f>Tabla1[[#This Row],[R. GE
'[MWh']]]</f>
        <v>1316.9599000000001</v>
      </c>
      <c r="W102" s="434">
        <v>0</v>
      </c>
      <c r="X102" s="369">
        <v>0</v>
      </c>
      <c r="Y102" s="365">
        <f>Tabla1[[#This Row],[R. GE
'[MWh']]]*1000</f>
        <v>1316959.9000000001</v>
      </c>
      <c r="Z102" s="434">
        <v>37.82</v>
      </c>
      <c r="AA10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37.82</v>
      </c>
      <c r="AB102" s="368">
        <f>IF(Tabla1[[#This Row],[G. HGS 
'[MWh']]]=0,0,Tabla1[[#This Row],[G. HGS 
'[MWh']]]+Tabla1[[#This Row],[Con. Aux. '[MWh']2]])</f>
        <v>1366.82</v>
      </c>
      <c r="AC102" s="368">
        <f>'C. ENER. TN'!F102</f>
        <v>0</v>
      </c>
      <c r="AD102" s="370">
        <f>'C. ENER. TN'!G102</f>
        <v>1316.9598999999998</v>
      </c>
      <c r="AE102" s="370">
        <f>'G. Un GE'!AX102</f>
        <v>167.5108392857143</v>
      </c>
      <c r="AF102" s="368">
        <f>IFERROR('G. Un GE'!AX102/Tabla1[[#This Row],[PO '[h']]],0)</f>
        <v>6.9796183035714288</v>
      </c>
      <c r="AG102" s="365">
        <f>'Ar-Pa'!AX102</f>
        <v>2</v>
      </c>
      <c r="AH102" s="365">
        <f>'Ar-Pa'!AY102</f>
        <v>2</v>
      </c>
      <c r="AI102" s="365">
        <f>SUM('Cal. Arr'!AB105:AY105)</f>
        <v>0</v>
      </c>
      <c r="AJ102" s="442">
        <v>24.4</v>
      </c>
      <c r="AK102" s="442">
        <v>1.5</v>
      </c>
      <c r="AL102" s="267">
        <f t="shared" si="21"/>
        <v>396.25807853722262</v>
      </c>
      <c r="AM102" s="267">
        <f>+CONVERT(AK102+Tabla1[[#This Row],[Con. DO Storage Gen. '[m3']]],"m^3","gal")</f>
        <v>6842.0561560760443</v>
      </c>
      <c r="AN102" s="372">
        <f>SUM('DO Pilot'!B102:Y102)</f>
        <v>6</v>
      </c>
      <c r="AO102" s="372">
        <f t="shared" si="22"/>
        <v>1585.0323141488905</v>
      </c>
      <c r="AP102" s="267">
        <f>AK102+AN102+Tabla1[[#This Row],[Con. DO Storage Gen. '[m3']]]</f>
        <v>31.9</v>
      </c>
      <c r="AQ102" s="372">
        <f t="shared" si="29"/>
        <v>8427.088470224935</v>
      </c>
      <c r="AR102" s="442">
        <v>22185</v>
      </c>
      <c r="AS102" s="442">
        <v>0</v>
      </c>
      <c r="AT102" s="267">
        <f>+CONVERT(SUM(Tabla1[[#This Row],[Repo. DO Storage '[gal']]:[Repo. DO Pilot '[gal']]]),"gal","m3")</f>
        <v>83.979360428039996</v>
      </c>
      <c r="AU102" s="442">
        <v>0</v>
      </c>
      <c r="AV102" s="267">
        <f t="shared" si="33"/>
        <v>0</v>
      </c>
      <c r="AW102" s="442">
        <v>0</v>
      </c>
      <c r="AX102" s="267">
        <f t="shared" si="23"/>
        <v>0</v>
      </c>
      <c r="AY102" s="372">
        <f t="shared" si="24"/>
        <v>0.29816258731167994</v>
      </c>
      <c r="AZ102" s="372">
        <f>IFERROR(AL102/'Ar-Pa'!AX102,0)</f>
        <v>198.12903926861131</v>
      </c>
      <c r="BA102" s="372">
        <f>IFERROR(AL102/'Ar-Pa'!AY102,0)</f>
        <v>198.12903926861131</v>
      </c>
      <c r="BB102" s="372">
        <f t="shared" si="25"/>
        <v>1.1926503492467198</v>
      </c>
      <c r="BC102" s="372">
        <f>IFERROR(AVERAGEIF('DO Pilot'!AX102:BU102,"&gt;0"),0)</f>
        <v>8.4008285102583802</v>
      </c>
      <c r="BD102" s="445">
        <v>335967</v>
      </c>
      <c r="BE102" s="445">
        <v>11893</v>
      </c>
      <c r="BF102" s="446">
        <v>335961</v>
      </c>
      <c r="BG102" s="223">
        <f>Tabla1[[#This Row],[ Re. Gas GC
 '[m3']]]</f>
        <v>335961</v>
      </c>
      <c r="BH102" s="150">
        <f>IFERROR((BG102*Gas!$B$3)/28.31685,0)</f>
        <v>11819.027504118572</v>
      </c>
      <c r="BI102" s="151">
        <f t="shared" si="34"/>
        <v>-73.972495881427676</v>
      </c>
      <c r="BJ102" s="74">
        <f t="shared" si="30"/>
        <v>-6.2587633251255659E-3</v>
      </c>
      <c r="BK102" s="223">
        <f t="shared" si="26"/>
        <v>8948.8337095560564</v>
      </c>
      <c r="BL102" s="442">
        <v>8925.7999999999993</v>
      </c>
      <c r="BM102" s="150">
        <f t="shared" si="27"/>
        <v>8647.0987431546018</v>
      </c>
      <c r="BN102" s="150">
        <f t="shared" si="31"/>
        <v>8974.4778896597927</v>
      </c>
      <c r="BO102" s="373">
        <f>IFERROR(Tabla1[[#This Row],[ Re. Gas GC
 '[m3']]]/Tabla1[[#This Row],[G. HGS 
Con Gas '[kWh']]],0)</f>
        <v>0.2527923250564334</v>
      </c>
      <c r="BP102" s="374">
        <f>Tank!Y103</f>
        <v>0</v>
      </c>
      <c r="BQ102" s="70">
        <f>Tank!AP103</f>
        <v>0</v>
      </c>
      <c r="BR102" s="70">
        <f>Tank!V103</f>
        <v>0</v>
      </c>
      <c r="BS102" s="372">
        <f>Tank!T103</f>
        <v>0</v>
      </c>
      <c r="BT102" s="375" t="s">
        <v>228</v>
      </c>
      <c r="BU102" s="449">
        <v>71</v>
      </c>
      <c r="BV102" s="375">
        <f>IF(Tabla1[[#This Row],[Combustible ofertado]]="GAS",Tabla1[[#This Row],[Disponibilidad]],0)</f>
        <v>0</v>
      </c>
      <c r="BW102" s="375">
        <f>IF(Tabla1[[#This Row],[Combustible ofertado]]="DIESEL",Tabla1[[#This Row],[Disponibilidad]],0)</f>
        <v>71</v>
      </c>
      <c r="BX102" s="375">
        <f>IF(Tabla1[[#This Row],[Combustible ofertado]]="HFO",Tabla1[[#This Row],[Disponibilidad]],0)</f>
        <v>0</v>
      </c>
      <c r="BY102" s="454">
        <v>1440</v>
      </c>
      <c r="BZ102" s="446">
        <f>'Horo. M'!C103</f>
        <v>24</v>
      </c>
      <c r="CA102" s="446">
        <f>'Horo. M'!E103</f>
        <v>0</v>
      </c>
      <c r="CB102" s="446">
        <f>'Horo. M'!G103</f>
        <v>24</v>
      </c>
      <c r="CC102" s="446">
        <f>'Horo. M'!I103</f>
        <v>24</v>
      </c>
      <c r="CD102" s="446">
        <f>'Horo. M'!K103</f>
        <v>21</v>
      </c>
      <c r="CE102" s="446">
        <f>'Horo. M'!M103</f>
        <v>24</v>
      </c>
      <c r="CF102" s="446">
        <f>'Horo. M'!O103</f>
        <v>0</v>
      </c>
      <c r="CG102" s="446">
        <f>'Horo. M'!Q103</f>
        <v>23</v>
      </c>
      <c r="CH102" s="446">
        <f>'Horo. M'!S103</f>
        <v>24</v>
      </c>
      <c r="CI102" s="446">
        <f>'Horo. M'!U103</f>
        <v>24</v>
      </c>
      <c r="CJ102" s="70">
        <f>Tabla1[[#This Row],[Con. DO Storage '[gal']]]-Tabla1[[#This Row],[C. DO Storage Ge '[gal']]]</f>
        <v>396.25807853722262</v>
      </c>
      <c r="CK102" s="70"/>
      <c r="CL102" s="70"/>
      <c r="CM102" s="372">
        <f>Tabla1[[#This Row],[Con. DO Total '[gal']]]*131485.5/(1000000)</f>
        <v>1108.0399410517607</v>
      </c>
    </row>
    <row r="103" spans="1:91" s="5" customFormat="1" ht="15" customHeight="1">
      <c r="A103" s="362">
        <v>45028</v>
      </c>
      <c r="B103" s="363" t="str">
        <f>TEXT(Tabla1[[#This Row],[Fecha]],"mmmm")</f>
        <v>abril</v>
      </c>
      <c r="C103" s="429">
        <v>0</v>
      </c>
      <c r="D103" s="430">
        <v>386</v>
      </c>
      <c r="E103" s="430">
        <v>386</v>
      </c>
      <c r="F103" s="430">
        <v>1105</v>
      </c>
      <c r="G103" s="431">
        <v>16</v>
      </c>
      <c r="H103" s="431">
        <v>728</v>
      </c>
      <c r="I103" s="432">
        <v>2</v>
      </c>
      <c r="J103" s="432">
        <v>124</v>
      </c>
      <c r="K103" s="430">
        <v>10</v>
      </c>
      <c r="L103" s="430">
        <v>24</v>
      </c>
      <c r="M103" s="365">
        <f>Tabla1[[#This Row],[Columna1]]-Tabla1[[#This Row],[PO '[h']]]</f>
        <v>14</v>
      </c>
      <c r="N103" s="365">
        <f t="shared" si="32"/>
        <v>1957</v>
      </c>
      <c r="O103" s="430">
        <v>1105</v>
      </c>
      <c r="P103" s="367">
        <f>Tabla1[[#This Row],[G. HGS 
'[MWh']]]</f>
        <v>1105</v>
      </c>
      <c r="Q103" s="430">
        <v>0</v>
      </c>
      <c r="R103" s="367">
        <v>0</v>
      </c>
      <c r="S103" s="367">
        <f>Tabla1[[#This Row],[G. HGS 
Con Gas]]*1000</f>
        <v>1105000</v>
      </c>
      <c r="T103" s="365">
        <f>Tabla1[[#This Row],[G. HGS 
'[MWh']]]*1000</f>
        <v>1105000</v>
      </c>
      <c r="U103" s="368">
        <f>SUM('G. Un GE'!B103:Y103)</f>
        <v>1095.9516000000001</v>
      </c>
      <c r="V103" s="369">
        <f>Tabla1[[#This Row],[R. GE
'[MWh']]]</f>
        <v>1095.9516000000001</v>
      </c>
      <c r="W103" s="434">
        <v>0</v>
      </c>
      <c r="X103" s="369">
        <v>0</v>
      </c>
      <c r="Y103" s="365">
        <f>Tabla1[[#This Row],[R. GE
'[MWh']]]*1000</f>
        <v>1095951.6000000001</v>
      </c>
      <c r="Z103" s="434">
        <v>33.56</v>
      </c>
      <c r="AA10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33.56</v>
      </c>
      <c r="AB103" s="368">
        <f>IF(Tabla1[[#This Row],[G. HGS 
'[MWh']]]=0,0,Tabla1[[#This Row],[G. HGS 
'[MWh']]]+Tabla1[[#This Row],[Con. Aux. '[MWh']2]])</f>
        <v>1138.56</v>
      </c>
      <c r="AC103" s="368">
        <f>'C. ENER. TN'!F103</f>
        <v>0</v>
      </c>
      <c r="AD103" s="370">
        <f>'C. ENER. TN'!G103</f>
        <v>1095.9515999999999</v>
      </c>
      <c r="AE103" s="370">
        <f>'G. Un GE'!AX103</f>
        <v>165.88827499999996</v>
      </c>
      <c r="AF103" s="368">
        <f>IFERROR('G. Un GE'!AX103/Tabla1[[#This Row],[PO '[h']]],0)</f>
        <v>16.588827499999997</v>
      </c>
      <c r="AG103" s="365">
        <f>'Ar-Pa'!AX103</f>
        <v>7</v>
      </c>
      <c r="AH103" s="365">
        <f>'Ar-Pa'!AY103</f>
        <v>9</v>
      </c>
      <c r="AI103" s="365">
        <f>SUM('Cal. Arr'!AB106:AY106)</f>
        <v>0</v>
      </c>
      <c r="AJ103" s="442">
        <v>77.400000000000006</v>
      </c>
      <c r="AK103" s="442">
        <v>1.2</v>
      </c>
      <c r="AL103" s="267">
        <f t="shared" si="21"/>
        <v>317.00646282977812</v>
      </c>
      <c r="AM103" s="267">
        <f>+CONVERT(AK103+Tabla1[[#This Row],[Con. DO Storage Gen. '[m3']]],"m^3","gal")</f>
        <v>20763.923315350468</v>
      </c>
      <c r="AN103" s="372">
        <f>SUM('DO Pilot'!B103:Y103)</f>
        <v>5.0000000000000009</v>
      </c>
      <c r="AO103" s="372">
        <f t="shared" si="22"/>
        <v>1320.8602617907422</v>
      </c>
      <c r="AP103" s="267">
        <f>AK103+AN103+Tabla1[[#This Row],[Con. DO Storage Gen. '[m3']]]</f>
        <v>83.600000000000009</v>
      </c>
      <c r="AQ103" s="372">
        <f t="shared" si="29"/>
        <v>22084.783577141214</v>
      </c>
      <c r="AR103" s="442">
        <v>22194</v>
      </c>
      <c r="AS103" s="442">
        <v>0</v>
      </c>
      <c r="AT103" s="267">
        <f>+CONVERT(SUM(Tabla1[[#This Row],[Repo. DO Storage '[gal']]:[Repo. DO Pilot '[gal']]]),"gal","m3")</f>
        <v>84.013429134096</v>
      </c>
      <c r="AU103" s="442">
        <v>0</v>
      </c>
      <c r="AV103" s="267">
        <f t="shared" si="33"/>
        <v>0</v>
      </c>
      <c r="AW103" s="442">
        <v>0</v>
      </c>
      <c r="AX103" s="267">
        <f t="shared" si="23"/>
        <v>0</v>
      </c>
      <c r="AY103" s="372">
        <f t="shared" si="24"/>
        <v>0.28688367676902998</v>
      </c>
      <c r="AZ103" s="372">
        <f>IFERROR(AL103/'Ar-Pa'!AX103,0)</f>
        <v>45.286637547111162</v>
      </c>
      <c r="BA103" s="372">
        <f>IFERROR(AL103/'Ar-Pa'!AY103,0)</f>
        <v>35.222940314419787</v>
      </c>
      <c r="BB103" s="372">
        <f t="shared" si="25"/>
        <v>1.1953486532042916</v>
      </c>
      <c r="BC103" s="372">
        <f>IFERROR(AVERAGEIF('DO Pilot'!AX103:BU103,"&gt;0"),0)</f>
        <v>9.9923078804469636</v>
      </c>
      <c r="BD103" s="445">
        <v>207715</v>
      </c>
      <c r="BE103" s="445">
        <v>7353</v>
      </c>
      <c r="BF103" s="446">
        <v>207715</v>
      </c>
      <c r="BG103" s="223">
        <f>Tabla1[[#This Row],[ Re. Gas GC
 '[m3']]]</f>
        <v>207715</v>
      </c>
      <c r="BH103" s="150">
        <f>IFERROR((BG103*Gas!$B$3)/28.31685,0)</f>
        <v>7307.3639440827637</v>
      </c>
      <c r="BI103" s="151">
        <f t="shared" si="34"/>
        <v>-45.636055917236263</v>
      </c>
      <c r="BJ103" s="74">
        <f t="shared" si="30"/>
        <v>-6.2452145898919779E-3</v>
      </c>
      <c r="BK103" s="223">
        <f t="shared" si="26"/>
        <v>6654.2986425339368</v>
      </c>
      <c r="BL103" s="442">
        <v>8620.49</v>
      </c>
      <c r="BM103" s="150">
        <f t="shared" si="27"/>
        <v>6418.075414631433</v>
      </c>
      <c r="BN103" s="150">
        <f t="shared" si="31"/>
        <v>6667.5973136795128</v>
      </c>
      <c r="BO103" s="373">
        <f>IFERROR(Tabla1[[#This Row],[ Re. Gas GC
 '[m3']]]/Tabla1[[#This Row],[G. HGS 
Con Gas '[kWh']]],0)</f>
        <v>0.18797737556561087</v>
      </c>
      <c r="BP103" s="374">
        <f>Tank!Y104</f>
        <v>0</v>
      </c>
      <c r="BQ103" s="70">
        <f>Tank!AP104</f>
        <v>0</v>
      </c>
      <c r="BR103" s="70">
        <f>Tank!V104</f>
        <v>0</v>
      </c>
      <c r="BS103" s="372">
        <f>Tank!T104</f>
        <v>0</v>
      </c>
      <c r="BT103" s="375" t="s">
        <v>228</v>
      </c>
      <c r="BU103" s="449">
        <v>62</v>
      </c>
      <c r="BV103" s="375">
        <f>IF(Tabla1[[#This Row],[Combustible ofertado]]="GAS",Tabla1[[#This Row],[Disponibilidad]],0)</f>
        <v>0</v>
      </c>
      <c r="BW103" s="375">
        <f>IF(Tabla1[[#This Row],[Combustible ofertado]]="DIESEL",Tabla1[[#This Row],[Disponibilidad]],0)</f>
        <v>62</v>
      </c>
      <c r="BX103" s="375">
        <f>IF(Tabla1[[#This Row],[Combustible ofertado]]="HFO",Tabla1[[#This Row],[Disponibilidad]],0)</f>
        <v>0</v>
      </c>
      <c r="BY103" s="454">
        <v>1440</v>
      </c>
      <c r="BZ103" s="446">
        <f>'Horo. M'!C104</f>
        <v>19</v>
      </c>
      <c r="CA103" s="446">
        <f>'Horo. M'!E104</f>
        <v>0</v>
      </c>
      <c r="CB103" s="446">
        <f>'Horo. M'!G104</f>
        <v>13</v>
      </c>
      <c r="CC103" s="446">
        <f>'Horo. M'!I104</f>
        <v>21</v>
      </c>
      <c r="CD103" s="446">
        <f>'Horo. M'!K104</f>
        <v>23</v>
      </c>
      <c r="CE103" s="446">
        <f>'Horo. M'!M104</f>
        <v>24</v>
      </c>
      <c r="CF103" s="446">
        <f>'Horo. M'!O104</f>
        <v>0</v>
      </c>
      <c r="CG103" s="446">
        <f>'Horo. M'!Q104</f>
        <v>24</v>
      </c>
      <c r="CH103" s="446">
        <f>'Horo. M'!S104</f>
        <v>18</v>
      </c>
      <c r="CI103" s="446">
        <f>'Horo. M'!U104</f>
        <v>13</v>
      </c>
      <c r="CJ103" s="70">
        <f>Tabla1[[#This Row],[Con. DO Storage '[gal']]]-Tabla1[[#This Row],[C. DO Storage Ge '[gal']]]</f>
        <v>317.00646282977812</v>
      </c>
      <c r="CK103" s="70"/>
      <c r="CL103" s="70"/>
      <c r="CM103" s="372">
        <f>Tabla1[[#This Row],[Con. DO Total '[gal']]]*131485.5/(1000000)</f>
        <v>2903.8288110322014</v>
      </c>
    </row>
    <row r="104" spans="1:91" s="5" customFormat="1" ht="15" customHeight="1">
      <c r="A104" s="362">
        <v>45029</v>
      </c>
      <c r="B104" s="363" t="str">
        <f>TEXT(Tabla1[[#This Row],[Fecha]],"mmmm")</f>
        <v>abril</v>
      </c>
      <c r="C104" s="429">
        <v>0</v>
      </c>
      <c r="D104" s="430">
        <v>1289</v>
      </c>
      <c r="E104" s="430">
        <v>1289</v>
      </c>
      <c r="F104" s="430">
        <v>1346</v>
      </c>
      <c r="G104" s="431">
        <v>0</v>
      </c>
      <c r="H104" s="431">
        <v>0</v>
      </c>
      <c r="I104" s="432">
        <v>2</v>
      </c>
      <c r="J104" s="432">
        <v>142</v>
      </c>
      <c r="K104" s="430">
        <v>24</v>
      </c>
      <c r="L104" s="430">
        <v>24</v>
      </c>
      <c r="M104" s="365">
        <f>Tabla1[[#This Row],[Columna1]]-Tabla1[[#This Row],[PO '[h']]]</f>
        <v>0</v>
      </c>
      <c r="N104" s="365">
        <f t="shared" si="32"/>
        <v>1488</v>
      </c>
      <c r="O104" s="430">
        <v>1346</v>
      </c>
      <c r="P104" s="367">
        <f>Tabla1[[#This Row],[G. HGS 
'[MWh']]]</f>
        <v>1346</v>
      </c>
      <c r="Q104" s="430">
        <v>0</v>
      </c>
      <c r="R104" s="367">
        <v>0</v>
      </c>
      <c r="S104" s="367">
        <f>Tabla1[[#This Row],[G. HGS 
Con Gas]]*1000</f>
        <v>1346000</v>
      </c>
      <c r="T104" s="365">
        <f>Tabla1[[#This Row],[G. HGS 
'[MWh']]]*1000</f>
        <v>1346000</v>
      </c>
      <c r="U104" s="368">
        <f>SUM('G. Un GE'!B104:Y104)</f>
        <v>1333.6791000000001</v>
      </c>
      <c r="V104" s="369">
        <f>Tabla1[[#This Row],[R. GE
'[MWh']]]</f>
        <v>1333.6791000000001</v>
      </c>
      <c r="W104" s="434">
        <v>0</v>
      </c>
      <c r="X104" s="369">
        <v>0</v>
      </c>
      <c r="Y104" s="365">
        <f>Tabla1[[#This Row],[R. GE
'[MWh']]]*1000</f>
        <v>1333679.1000000001</v>
      </c>
      <c r="Z104" s="434">
        <v>37.78</v>
      </c>
      <c r="AA10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37.78</v>
      </c>
      <c r="AB104" s="368">
        <f>IF(Tabla1[[#This Row],[G. HGS 
'[MWh']]]=0,0,Tabla1[[#This Row],[G. HGS 
'[MWh']]]+Tabla1[[#This Row],[Con. Aux. '[MWh']2]])</f>
        <v>1383.78</v>
      </c>
      <c r="AC104" s="368">
        <f>'C. ENER. TN'!F104</f>
        <v>0</v>
      </c>
      <c r="AD104" s="370">
        <f>'C. ENER. TN'!G104</f>
        <v>1333.6791000000001</v>
      </c>
      <c r="AE104" s="370">
        <f>'G. Un GE'!AX104</f>
        <v>169.56137500000003</v>
      </c>
      <c r="AF104" s="368">
        <f>IFERROR('G. Un GE'!AX104/Tabla1[[#This Row],[PO '[h']]],0)</f>
        <v>7.0650572916666681</v>
      </c>
      <c r="AG104" s="365">
        <f>'Ar-Pa'!AX104</f>
        <v>3</v>
      </c>
      <c r="AH104" s="365">
        <f>'Ar-Pa'!AY104</f>
        <v>1</v>
      </c>
      <c r="AI104" s="365">
        <f>SUM('Cal. Arr'!AB107:AY107)</f>
        <v>0</v>
      </c>
      <c r="AJ104" s="442">
        <v>30.5</v>
      </c>
      <c r="AK104" s="442">
        <v>1.2</v>
      </c>
      <c r="AL104" s="267">
        <f t="shared" si="21"/>
        <v>317.00646282977812</v>
      </c>
      <c r="AM104" s="267">
        <f>+CONVERT(AK104+Tabla1[[#This Row],[Con. DO Storage Gen. '[m3']]],"m^3","gal")</f>
        <v>8374.2540597533043</v>
      </c>
      <c r="AN104" s="372">
        <f>SUM('DO Pilot'!B104:Y104)</f>
        <v>5.6400000000000023</v>
      </c>
      <c r="AO104" s="372">
        <f t="shared" si="22"/>
        <v>1489.9303752999579</v>
      </c>
      <c r="AP104" s="267">
        <f>AK104+AN104+Tabla1[[#This Row],[Con. DO Storage Gen. '[m3']]]</f>
        <v>37.340000000000003</v>
      </c>
      <c r="AQ104" s="372">
        <f t="shared" si="29"/>
        <v>9864.1844350532629</v>
      </c>
      <c r="AR104" s="442">
        <v>0</v>
      </c>
      <c r="AS104" s="442">
        <v>0</v>
      </c>
      <c r="AT104" s="267">
        <f>+CONVERT(SUM(Tabla1[[#This Row],[Repo. DO Storage '[gal']]:[Repo. DO Pilot '[gal']]]),"gal","m3")</f>
        <v>0</v>
      </c>
      <c r="AU104" s="442">
        <v>0</v>
      </c>
      <c r="AV104" s="267">
        <f t="shared" si="33"/>
        <v>0</v>
      </c>
      <c r="AW104" s="442">
        <v>0</v>
      </c>
      <c r="AX104" s="267">
        <f t="shared" si="23"/>
        <v>0</v>
      </c>
      <c r="AY104" s="372">
        <f t="shared" si="24"/>
        <v>0.23551743152286636</v>
      </c>
      <c r="AZ104" s="372">
        <f>IFERROR(AL104/'Ar-Pa'!AX104,0)</f>
        <v>105.66882094325938</v>
      </c>
      <c r="BA104" s="372">
        <f>IFERROR(AL104/'Ar-Pa'!AY104,0)</f>
        <v>317.00646282977812</v>
      </c>
      <c r="BB104" s="372">
        <f t="shared" si="25"/>
        <v>1.1069319281574723</v>
      </c>
      <c r="BC104" s="372">
        <f>IFERROR(AVERAGEIF('DO Pilot'!AX104:BU104,"&gt;0"),0)</f>
        <v>7.8937125168922924</v>
      </c>
      <c r="BD104" s="445">
        <v>327702</v>
      </c>
      <c r="BE104" s="445">
        <v>11600</v>
      </c>
      <c r="BF104" s="446">
        <v>327696</v>
      </c>
      <c r="BG104" s="223">
        <f>Tabla1[[#This Row],[ Re. Gas GC
 '[m3']]]</f>
        <v>327696</v>
      </c>
      <c r="BH104" s="150">
        <f>IFERROR((BG104*Gas!$B$3)/28.31685,0)</f>
        <v>11528.266783911346</v>
      </c>
      <c r="BI104" s="151">
        <f t="shared" si="34"/>
        <v>-71.733216088654444</v>
      </c>
      <c r="BJ104" s="74">
        <f t="shared" si="30"/>
        <v>-6.2223764797639924E-3</v>
      </c>
      <c r="BK104" s="223">
        <f t="shared" si="26"/>
        <v>8618.1277860326882</v>
      </c>
      <c r="BL104" s="442">
        <v>9268.67</v>
      </c>
      <c r="BM104" s="150">
        <f t="shared" si="27"/>
        <v>8330.9968231303719</v>
      </c>
      <c r="BN104" s="150">
        <f t="shared" si="31"/>
        <v>8643.9584933972092</v>
      </c>
      <c r="BO104" s="373">
        <f>IFERROR(Tabla1[[#This Row],[ Re. Gas GC
 '[m3']]]/Tabla1[[#This Row],[G. HGS 
Con Gas '[kWh']]],0)</f>
        <v>0.2434591381872214</v>
      </c>
      <c r="BP104" s="374">
        <f>Tank!Y105</f>
        <v>0</v>
      </c>
      <c r="BQ104" s="70">
        <f>Tank!AP105</f>
        <v>59.73</v>
      </c>
      <c r="BR104" s="70">
        <f>Tank!V105</f>
        <v>0</v>
      </c>
      <c r="BS104" s="372">
        <f>Tank!T105</f>
        <v>0</v>
      </c>
      <c r="BT104" s="375" t="s">
        <v>228</v>
      </c>
      <c r="BU104" s="449">
        <v>71</v>
      </c>
      <c r="BV104" s="375">
        <f>IF(Tabla1[[#This Row],[Combustible ofertado]]="GAS",Tabla1[[#This Row],[Disponibilidad]],0)</f>
        <v>0</v>
      </c>
      <c r="BW104" s="375">
        <f>IF(Tabla1[[#This Row],[Combustible ofertado]]="DIESEL",Tabla1[[#This Row],[Disponibilidad]],0)</f>
        <v>71</v>
      </c>
      <c r="BX104" s="375">
        <f>IF(Tabla1[[#This Row],[Combustible ofertado]]="HFO",Tabla1[[#This Row],[Disponibilidad]],0)</f>
        <v>0</v>
      </c>
      <c r="BY104" s="454">
        <v>1440</v>
      </c>
      <c r="BZ104" s="446">
        <f>'Horo. M'!C105</f>
        <v>23</v>
      </c>
      <c r="CA104" s="446">
        <f>'Horo. M'!E105</f>
        <v>0</v>
      </c>
      <c r="CB104" s="446">
        <f>'Horo. M'!G105</f>
        <v>24</v>
      </c>
      <c r="CC104" s="446">
        <f>'Horo. M'!I105</f>
        <v>21</v>
      </c>
      <c r="CD104" s="446">
        <f>'Horo. M'!K105</f>
        <v>24</v>
      </c>
      <c r="CE104" s="446">
        <f>'Horo. M'!M105</f>
        <v>23</v>
      </c>
      <c r="CF104" s="446">
        <f>'Horo. M'!O105</f>
        <v>0</v>
      </c>
      <c r="CG104" s="446">
        <f>'Horo. M'!Q105</f>
        <v>24</v>
      </c>
      <c r="CH104" s="446">
        <f>'Horo. M'!S105</f>
        <v>24</v>
      </c>
      <c r="CI104" s="446">
        <f>'Horo. M'!U105</f>
        <v>24</v>
      </c>
      <c r="CJ104" s="70">
        <f>Tabla1[[#This Row],[Con. DO Storage '[gal']]]-Tabla1[[#This Row],[C. DO Storage Ge '[gal']]]</f>
        <v>317.00646282977812</v>
      </c>
      <c r="CK104" s="70"/>
      <c r="CL104" s="70"/>
      <c r="CM104" s="372">
        <f>Tabla1[[#This Row],[Con. DO Total '[gal']]]*131485.5/(1000000)</f>
        <v>1296.9972225351958</v>
      </c>
    </row>
    <row r="105" spans="1:91" s="5" customFormat="1" ht="15" customHeight="1">
      <c r="A105" s="362">
        <v>45030</v>
      </c>
      <c r="B105" s="363" t="str">
        <f>TEXT(Tabla1[[#This Row],[Fecha]],"mmmm")</f>
        <v>abril</v>
      </c>
      <c r="C105" s="429">
        <v>0</v>
      </c>
      <c r="D105" s="430">
        <v>1287</v>
      </c>
      <c r="E105" s="430">
        <v>1289</v>
      </c>
      <c r="F105" s="430">
        <v>1354</v>
      </c>
      <c r="G105" s="431">
        <v>0</v>
      </c>
      <c r="H105" s="431">
        <v>0</v>
      </c>
      <c r="I105" s="432">
        <v>3</v>
      </c>
      <c r="J105" s="432">
        <v>213</v>
      </c>
      <c r="K105" s="430">
        <v>24</v>
      </c>
      <c r="L105" s="430">
        <v>24</v>
      </c>
      <c r="M105" s="365">
        <f>Tabla1[[#This Row],[Columna1]]-Tabla1[[#This Row],[PO '[h']]]</f>
        <v>0</v>
      </c>
      <c r="N105" s="365">
        <f t="shared" si="32"/>
        <v>1567</v>
      </c>
      <c r="O105" s="430">
        <v>1354</v>
      </c>
      <c r="P105" s="367">
        <f>Tabla1[[#This Row],[G. HGS 
'[MWh']]]</f>
        <v>1354</v>
      </c>
      <c r="Q105" s="430">
        <v>0</v>
      </c>
      <c r="R105" s="367">
        <v>0</v>
      </c>
      <c r="S105" s="367">
        <f>Tabla1[[#This Row],[G. HGS 
Con Gas]]*1000</f>
        <v>1354000</v>
      </c>
      <c r="T105" s="365">
        <f>Tabla1[[#This Row],[G. HGS 
'[MWh']]]*1000</f>
        <v>1354000</v>
      </c>
      <c r="U105" s="368">
        <f>SUM('G. Un GE'!B105:Y105)</f>
        <v>1342.2148999999999</v>
      </c>
      <c r="V105" s="369">
        <f>Tabla1[[#This Row],[R. GE
'[MWh']]]</f>
        <v>1342.2148999999999</v>
      </c>
      <c r="W105" s="434">
        <v>0</v>
      </c>
      <c r="X105" s="369">
        <v>0</v>
      </c>
      <c r="Y105" s="365">
        <f>Tabla1[[#This Row],[R. GE
'[MWh']]]*1000</f>
        <v>1342214.9</v>
      </c>
      <c r="Z105" s="434">
        <v>37.57</v>
      </c>
      <c r="AA10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37.57</v>
      </c>
      <c r="AB105" s="368">
        <f>IF(Tabla1[[#This Row],[G. HGS 
'[MWh']]]=0,0,Tabla1[[#This Row],[G. HGS 
'[MWh']]]+Tabla1[[#This Row],[Con. Aux. '[MWh']2]])</f>
        <v>1391.57</v>
      </c>
      <c r="AC105" s="368">
        <f>'C. ENER. TN'!F105</f>
        <v>0</v>
      </c>
      <c r="AD105" s="370">
        <f>'C. ENER. TN'!G105</f>
        <v>1342.2148999999999</v>
      </c>
      <c r="AE105" s="370">
        <f>'G. Un GE'!AX105</f>
        <v>183.06976785714286</v>
      </c>
      <c r="AF105" s="368">
        <f>IFERROR('G. Un GE'!AX105/Tabla1[[#This Row],[PO '[h']]],0)</f>
        <v>7.6279069940476196</v>
      </c>
      <c r="AG105" s="365">
        <f>'Ar-Pa'!AX105</f>
        <v>2</v>
      </c>
      <c r="AH105" s="365">
        <f>'Ar-Pa'!AY105</f>
        <v>3</v>
      </c>
      <c r="AI105" s="365">
        <f>SUM('Cal. Arr'!AB108:AY108)</f>
        <v>0</v>
      </c>
      <c r="AJ105" s="442">
        <v>31.6</v>
      </c>
      <c r="AK105" s="442">
        <v>1.1000000000000001</v>
      </c>
      <c r="AL105" s="267">
        <f t="shared" si="21"/>
        <v>290.58925759396328</v>
      </c>
      <c r="AM105" s="267">
        <f>+CONVERT(AK105+Tabla1[[#This Row],[Con. DO Storage Gen. '[m3']]],"m^3","gal")</f>
        <v>8638.4261121114541</v>
      </c>
      <c r="AN105" s="372">
        <f>SUM('DO Pilot'!B105:Y105)</f>
        <v>5.7000000000000011</v>
      </c>
      <c r="AO105" s="372">
        <f t="shared" si="22"/>
        <v>1505.7806984414462</v>
      </c>
      <c r="AP105" s="267">
        <f>AK105+AN105+Tabla1[[#This Row],[Con. DO Storage Gen. '[m3']]]</f>
        <v>38.400000000000006</v>
      </c>
      <c r="AQ105" s="372">
        <f t="shared" si="29"/>
        <v>10144.206810552902</v>
      </c>
      <c r="AR105" s="442">
        <v>0</v>
      </c>
      <c r="AS105" s="442">
        <v>10992</v>
      </c>
      <c r="AT105" s="267">
        <f>+CONVERT(SUM(Tabla1[[#This Row],[Repo. DO Storage '[gal']]:[Repo. DO Pilot '[gal']]]),"gal","m3")</f>
        <v>41.609246329727995</v>
      </c>
      <c r="AU105" s="442">
        <v>0</v>
      </c>
      <c r="AV105" s="267">
        <f t="shared" si="33"/>
        <v>0</v>
      </c>
      <c r="AW105" s="442">
        <v>0</v>
      </c>
      <c r="AX105" s="267">
        <f t="shared" si="23"/>
        <v>0</v>
      </c>
      <c r="AY105" s="372">
        <f t="shared" si="24"/>
        <v>0.2146154044268562</v>
      </c>
      <c r="AZ105" s="372">
        <f>IFERROR(AL105/'Ar-Pa'!AX105,0)</f>
        <v>145.29462879698164</v>
      </c>
      <c r="BA105" s="372">
        <f>IFERROR(AL105/'Ar-Pa'!AY105,0)</f>
        <v>96.863085864654423</v>
      </c>
      <c r="BB105" s="372">
        <f t="shared" si="25"/>
        <v>1.1120980047573459</v>
      </c>
      <c r="BC105" s="372">
        <f>IFERROR(AVERAGEIF('DO Pilot'!AX105:BU105,"&gt;0"),0)</f>
        <v>8.5561082136534221</v>
      </c>
      <c r="BD105" s="445">
        <v>336366</v>
      </c>
      <c r="BE105" s="445">
        <v>11907</v>
      </c>
      <c r="BF105" s="446">
        <v>336363</v>
      </c>
      <c r="BG105" s="223">
        <f>Tabla1[[#This Row],[ Re. Gas GC
 '[m3']]]</f>
        <v>336363</v>
      </c>
      <c r="BH105" s="150">
        <f>IFERROR((BG105*Gas!$B$3)/28.31685,0)</f>
        <v>11833.169767823751</v>
      </c>
      <c r="BI105" s="151">
        <f t="shared" si="34"/>
        <v>-73.83023217624941</v>
      </c>
      <c r="BJ105" s="74">
        <f t="shared" si="30"/>
        <v>-6.2392607918974868E-3</v>
      </c>
      <c r="BK105" s="223">
        <f t="shared" si="26"/>
        <v>8793.9438700147712</v>
      </c>
      <c r="BL105" s="442">
        <v>0</v>
      </c>
      <c r="BM105" s="150">
        <f t="shared" si="27"/>
        <v>8503.4671398663013</v>
      </c>
      <c r="BN105" s="150">
        <f t="shared" si="31"/>
        <v>8816.1513985754063</v>
      </c>
      <c r="BO105" s="373">
        <f>IFERROR(Tabla1[[#This Row],[ Re. Gas GC
 '[m3']]]/Tabla1[[#This Row],[G. HGS 
Con Gas '[kWh']]],0)</f>
        <v>0.24842171344165437</v>
      </c>
      <c r="BP105" s="374">
        <f>Tank!Y106</f>
        <v>0</v>
      </c>
      <c r="BQ105" s="70">
        <f>Tank!AP106</f>
        <v>73.98</v>
      </c>
      <c r="BR105" s="70">
        <f>Tank!V106</f>
        <v>22.708685292216</v>
      </c>
      <c r="BS105" s="372">
        <f>Tank!T106</f>
        <v>0</v>
      </c>
      <c r="BT105" s="375" t="s">
        <v>228</v>
      </c>
      <c r="BU105" s="449">
        <v>71</v>
      </c>
      <c r="BV105" s="375">
        <f>IF(Tabla1[[#This Row],[Combustible ofertado]]="GAS",Tabla1[[#This Row],[Disponibilidad]],0)</f>
        <v>0</v>
      </c>
      <c r="BW105" s="375">
        <f>IF(Tabla1[[#This Row],[Combustible ofertado]]="DIESEL",Tabla1[[#This Row],[Disponibilidad]],0)</f>
        <v>71</v>
      </c>
      <c r="BX105" s="375">
        <f>IF(Tabla1[[#This Row],[Combustible ofertado]]="HFO",Tabla1[[#This Row],[Disponibilidad]],0)</f>
        <v>0</v>
      </c>
      <c r="BY105" s="454">
        <v>1440</v>
      </c>
      <c r="BZ105" s="446">
        <f>'Horo. M'!C106</f>
        <v>24</v>
      </c>
      <c r="CA105" s="446">
        <f>'Horo. M'!E106</f>
        <v>0</v>
      </c>
      <c r="CB105" s="446">
        <f>'Horo. M'!G106</f>
        <v>24</v>
      </c>
      <c r="CC105" s="446">
        <f>'Horo. M'!I106</f>
        <v>24</v>
      </c>
      <c r="CD105" s="446">
        <f>'Horo. M'!K106</f>
        <v>19</v>
      </c>
      <c r="CE105" s="446">
        <f>'Horo. M'!M106</f>
        <v>24</v>
      </c>
      <c r="CF105" s="446">
        <f>'Horo. M'!O106</f>
        <v>0</v>
      </c>
      <c r="CG105" s="446">
        <f>'Horo. M'!Q106</f>
        <v>24</v>
      </c>
      <c r="CH105" s="446">
        <f>'Horo. M'!S106</f>
        <v>24</v>
      </c>
      <c r="CI105" s="446">
        <f>'Horo. M'!U106</f>
        <v>24</v>
      </c>
      <c r="CJ105" s="70">
        <f>Tabla1[[#This Row],[Con. DO Storage '[gal']]]-Tabla1[[#This Row],[C. DO Storage Ge '[gal']]]</f>
        <v>290.58925759396328</v>
      </c>
      <c r="CK105" s="70"/>
      <c r="CL105" s="70"/>
      <c r="CM105" s="372">
        <f>Tabla1[[#This Row],[Con. DO Total '[gal']]]*131485.5/(1000000)</f>
        <v>1333.8161045889535</v>
      </c>
    </row>
    <row r="106" spans="1:91" s="5" customFormat="1" ht="15" customHeight="1">
      <c r="A106" s="362">
        <v>45031</v>
      </c>
      <c r="B106" s="363" t="str">
        <f>TEXT(Tabla1[[#This Row],[Fecha]],"mmmm")</f>
        <v>abril</v>
      </c>
      <c r="C106" s="429">
        <v>0</v>
      </c>
      <c r="D106" s="430">
        <v>1274</v>
      </c>
      <c r="E106" s="430">
        <v>1274</v>
      </c>
      <c r="F106" s="430">
        <v>1311</v>
      </c>
      <c r="G106" s="431">
        <v>0</v>
      </c>
      <c r="H106" s="431">
        <v>0</v>
      </c>
      <c r="I106" s="432">
        <v>0</v>
      </c>
      <c r="J106" s="432">
        <v>0</v>
      </c>
      <c r="K106" s="430">
        <v>24</v>
      </c>
      <c r="L106" s="430">
        <v>24</v>
      </c>
      <c r="M106" s="365">
        <f>Tabla1[[#This Row],[Columna1]]-Tabla1[[#This Row],[PO '[h']]]</f>
        <v>0</v>
      </c>
      <c r="N106" s="365">
        <f t="shared" ref="N106:N117" si="35">F106+H106+J106</f>
        <v>1311</v>
      </c>
      <c r="O106" s="430">
        <v>1311</v>
      </c>
      <c r="P106" s="367">
        <f>Tabla1[[#This Row],[G. HGS 
'[MWh']]]</f>
        <v>1311</v>
      </c>
      <c r="Q106" s="430">
        <v>0</v>
      </c>
      <c r="R106" s="367">
        <v>0</v>
      </c>
      <c r="S106" s="367">
        <f>Tabla1[[#This Row],[G. HGS 
Con Gas]]*1000</f>
        <v>1311000</v>
      </c>
      <c r="T106" s="365">
        <f>Tabla1[[#This Row],[G. HGS 
'[MWh']]]*1000</f>
        <v>1311000</v>
      </c>
      <c r="U106" s="368">
        <f>SUM('G. Un GE'!B106:Y106)</f>
        <v>1300.0068999999999</v>
      </c>
      <c r="V106" s="369">
        <f>Tabla1[[#This Row],[R. GE
'[MWh']]]</f>
        <v>1300.0068999999999</v>
      </c>
      <c r="W106" s="434">
        <v>0</v>
      </c>
      <c r="X106" s="369">
        <v>0</v>
      </c>
      <c r="Y106" s="365">
        <f>Tabla1[[#This Row],[R. GE
'[MWh']]]*1000</f>
        <v>1300006.8999999999</v>
      </c>
      <c r="Z106" s="434">
        <v>37.35</v>
      </c>
      <c r="AA10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37.35</v>
      </c>
      <c r="AB106" s="368">
        <f>IF(Tabla1[[#This Row],[G. HGS 
'[MWh']]]=0,0,Tabla1[[#This Row],[G. HGS 
'[MWh']]]+Tabla1[[#This Row],[Con. Aux. '[MWh']2]])</f>
        <v>1348.35</v>
      </c>
      <c r="AC106" s="368">
        <f>'C. ENER. TN'!F106</f>
        <v>0</v>
      </c>
      <c r="AD106" s="370">
        <f>'C. ENER. TN'!G106</f>
        <v>1300.0068999999999</v>
      </c>
      <c r="AE106" s="370">
        <f>'G. Un GE'!AX106</f>
        <v>191.49545714285713</v>
      </c>
      <c r="AF106" s="368">
        <f>IFERROR('G. Un GE'!AX106/Tabla1[[#This Row],[PO '[h']]],0)</f>
        <v>7.9789773809523803</v>
      </c>
      <c r="AG106" s="365">
        <f>'Ar-Pa'!AX106</f>
        <v>3</v>
      </c>
      <c r="AH106" s="365">
        <f>'Ar-Pa'!AY106</f>
        <v>3</v>
      </c>
      <c r="AI106" s="365">
        <f>SUM('Cal. Arr'!AB109:AY109)</f>
        <v>0</v>
      </c>
      <c r="AJ106" s="442">
        <v>36.270000000000003</v>
      </c>
      <c r="AK106" s="442">
        <v>1.1100000000000001</v>
      </c>
      <c r="AL106" s="267">
        <f t="shared" si="21"/>
        <v>293.23097811754474</v>
      </c>
      <c r="AM106" s="267">
        <f>+CONVERT(AK106+Tabla1[[#This Row],[Con. DO Storage Gen. '[m3']]],"m^3","gal")</f>
        <v>9874.7513171475875</v>
      </c>
      <c r="AN106" s="372">
        <f>SUM('DO Pilot'!B106:Y106)</f>
        <v>5.65</v>
      </c>
      <c r="AO106" s="372">
        <f t="shared" si="22"/>
        <v>1492.5720958235386</v>
      </c>
      <c r="AP106" s="267">
        <f>AK106+AN106+Tabla1[[#This Row],[Con. DO Storage Gen. '[m3']]]</f>
        <v>43.03</v>
      </c>
      <c r="AQ106" s="372">
        <f t="shared" si="29"/>
        <v>11367.323412971127</v>
      </c>
      <c r="AR106" s="442">
        <v>0</v>
      </c>
      <c r="AS106" s="442">
        <v>0</v>
      </c>
      <c r="AT106" s="267">
        <f>+CONVERT(SUM(Tabla1[[#This Row],[Repo. DO Storage '[gal']]:[Repo. DO Pilot '[gal']]]),"gal","m3")</f>
        <v>0</v>
      </c>
      <c r="AU106" s="442">
        <v>0</v>
      </c>
      <c r="AV106" s="267">
        <f t="shared" ref="AV106:AV117" si="36">+CONVERT(AU106,"m^3","gal")</f>
        <v>0</v>
      </c>
      <c r="AW106" s="442">
        <v>0</v>
      </c>
      <c r="AX106" s="267">
        <f t="shared" si="23"/>
        <v>0</v>
      </c>
      <c r="AY106" s="372">
        <f t="shared" si="24"/>
        <v>0.22366970108126982</v>
      </c>
      <c r="AZ106" s="372">
        <f>IFERROR(AL106/'Ar-Pa'!AX106,0)</f>
        <v>97.743659372514912</v>
      </c>
      <c r="BA106" s="372">
        <f>IFERROR(AL106/'Ar-Pa'!AY106,0)</f>
        <v>97.743659372514912</v>
      </c>
      <c r="BB106" s="372">
        <f t="shared" si="25"/>
        <v>1.1384989289271843</v>
      </c>
      <c r="BC106" s="372">
        <f>IFERROR(AVERAGEIF('DO Pilot'!AX106:BU106,"&gt;0"),0)</f>
        <v>9.1673991979047926</v>
      </c>
      <c r="BD106" s="445">
        <v>315706</v>
      </c>
      <c r="BE106" s="445">
        <v>11176</v>
      </c>
      <c r="BF106" s="446">
        <v>315703</v>
      </c>
      <c r="BG106" s="223">
        <f>Tabla1[[#This Row],[ Re. Gas GC
 '[m3']]]</f>
        <v>315703</v>
      </c>
      <c r="BH106" s="150">
        <f>IFERROR((BG106*Gas!$B$3)/28.31685,0)</f>
        <v>11106.355916706838</v>
      </c>
      <c r="BI106" s="151">
        <f t="shared" ref="BI106:BI117" si="37">BH106-BE106</f>
        <v>-69.644083293162112</v>
      </c>
      <c r="BJ106" s="74">
        <f t="shared" si="30"/>
        <v>-6.2706511312499323E-3</v>
      </c>
      <c r="BK106" s="223">
        <f t="shared" si="26"/>
        <v>8524.790236460718</v>
      </c>
      <c r="BL106" s="442">
        <v>8933.61</v>
      </c>
      <c r="BM106" s="150">
        <f t="shared" si="27"/>
        <v>8236.997750366625</v>
      </c>
      <c r="BN106" s="150">
        <f t="shared" si="31"/>
        <v>8543.3053599229661</v>
      </c>
      <c r="BO106" s="373">
        <f>IFERROR(Tabla1[[#This Row],[ Re. Gas GC
 '[m3']]]/Tabla1[[#This Row],[G. HGS 
Con Gas '[kWh']]],0)</f>
        <v>0.24081083142639206</v>
      </c>
      <c r="BP106" s="374">
        <f>Tank!Y107</f>
        <v>0</v>
      </c>
      <c r="BQ106" s="70">
        <f>Tank!AP107</f>
        <v>0</v>
      </c>
      <c r="BR106" s="70">
        <f>Tank!V107</f>
        <v>0</v>
      </c>
      <c r="BS106" s="372">
        <f>Tank!T107</f>
        <v>0</v>
      </c>
      <c r="BT106" s="375" t="s">
        <v>228</v>
      </c>
      <c r="BU106" s="449">
        <v>71</v>
      </c>
      <c r="BV106" s="375">
        <f>IF(Tabla1[[#This Row],[Combustible ofertado]]="GAS",Tabla1[[#This Row],[Disponibilidad]],0)</f>
        <v>0</v>
      </c>
      <c r="BW106" s="375">
        <f>IF(Tabla1[[#This Row],[Combustible ofertado]]="DIESEL",Tabla1[[#This Row],[Disponibilidad]],0)</f>
        <v>71</v>
      </c>
      <c r="BX106" s="375">
        <f>IF(Tabla1[[#This Row],[Combustible ofertado]]="HFO",Tabla1[[#This Row],[Disponibilidad]],0)</f>
        <v>0</v>
      </c>
      <c r="BY106" s="454">
        <v>1440</v>
      </c>
      <c r="BZ106" s="446">
        <f>'Horo. M'!C107</f>
        <v>24</v>
      </c>
      <c r="CA106" s="446">
        <f>'Horo. M'!E107</f>
        <v>0</v>
      </c>
      <c r="CB106" s="446">
        <f>'Horo. M'!G107</f>
        <v>24</v>
      </c>
      <c r="CC106" s="446">
        <f>'Horo. M'!I107</f>
        <v>22</v>
      </c>
      <c r="CD106" s="446">
        <f>'Horo. M'!K107</f>
        <v>24</v>
      </c>
      <c r="CE106" s="446">
        <f>'Horo. M'!M107</f>
        <v>23</v>
      </c>
      <c r="CF106" s="446">
        <f>'Horo. M'!O107</f>
        <v>0</v>
      </c>
      <c r="CG106" s="446">
        <f>'Horo. M'!Q107</f>
        <v>24</v>
      </c>
      <c r="CH106" s="446">
        <f>'Horo. M'!S107</f>
        <v>24</v>
      </c>
      <c r="CI106" s="446">
        <f>'Horo. M'!U107</f>
        <v>24</v>
      </c>
      <c r="CJ106" s="70">
        <f>Tabla1[[#This Row],[Con. DO Storage '[gal']]]-Tabla1[[#This Row],[C. DO Storage Ge '[gal']]]</f>
        <v>293.23097811754474</v>
      </c>
      <c r="CK106" s="70"/>
      <c r="CL106" s="70"/>
      <c r="CM106" s="372">
        <f>Tabla1[[#This Row],[Con. DO Total '[gal']]]*131485.5/(1000000)</f>
        <v>1494.6382026162153</v>
      </c>
    </row>
    <row r="107" spans="1:91" s="5" customFormat="1" ht="15" customHeight="1">
      <c r="A107" s="362">
        <v>45032</v>
      </c>
      <c r="B107" s="363" t="str">
        <f>TEXT(Tabla1[[#This Row],[Fecha]],"mmmm")</f>
        <v>abril</v>
      </c>
      <c r="C107" s="429">
        <v>0</v>
      </c>
      <c r="D107" s="430">
        <v>1064</v>
      </c>
      <c r="E107" s="430">
        <v>1064</v>
      </c>
      <c r="F107" s="430">
        <v>1102</v>
      </c>
      <c r="G107" s="431">
        <v>0</v>
      </c>
      <c r="H107" s="431">
        <v>0</v>
      </c>
      <c r="I107" s="432">
        <v>0</v>
      </c>
      <c r="J107" s="432">
        <v>0</v>
      </c>
      <c r="K107" s="430">
        <v>24</v>
      </c>
      <c r="L107" s="430">
        <v>24</v>
      </c>
      <c r="M107" s="365">
        <f>Tabla1[[#This Row],[Columna1]]-Tabla1[[#This Row],[PO '[h']]]</f>
        <v>0</v>
      </c>
      <c r="N107" s="365">
        <f t="shared" si="35"/>
        <v>1102</v>
      </c>
      <c r="O107" s="430">
        <v>1102</v>
      </c>
      <c r="P107" s="367">
        <f>Tabla1[[#This Row],[G. HGS 
'[MWh']]]</f>
        <v>1102</v>
      </c>
      <c r="Q107" s="430">
        <v>0</v>
      </c>
      <c r="R107" s="367">
        <v>0</v>
      </c>
      <c r="S107" s="367">
        <f>Tabla1[[#This Row],[G. HGS 
Con Gas]]*1000</f>
        <v>1102000</v>
      </c>
      <c r="T107" s="365">
        <f>Tabla1[[#This Row],[G. HGS 
'[MWh']]]*1000</f>
        <v>1102000</v>
      </c>
      <c r="U107" s="368">
        <f>SUM('G. Un GE'!B107:Y107)</f>
        <v>1092.2760000000001</v>
      </c>
      <c r="V107" s="369">
        <f>Tabla1[[#This Row],[R. GE
'[MWh']]]</f>
        <v>1092.2760000000001</v>
      </c>
      <c r="W107" s="434">
        <v>0</v>
      </c>
      <c r="X107" s="369">
        <v>0</v>
      </c>
      <c r="Y107" s="365">
        <f>Tabla1[[#This Row],[R. GE
'[MWh']]]*1000</f>
        <v>1092276</v>
      </c>
      <c r="Z107" s="434">
        <v>34.93</v>
      </c>
      <c r="AA10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34.93</v>
      </c>
      <c r="AB107" s="368">
        <f>IF(Tabla1[[#This Row],[G. HGS 
'[MWh']]]=0,0,Tabla1[[#This Row],[G. HGS 
'[MWh']]]+Tabla1[[#This Row],[Con. Aux. '[MWh']2]])</f>
        <v>1136.93</v>
      </c>
      <c r="AC107" s="368">
        <f>'C. ENER. TN'!F107</f>
        <v>0</v>
      </c>
      <c r="AD107" s="370">
        <f>'C. ENER. TN'!G107</f>
        <v>1092.2760000000003</v>
      </c>
      <c r="AE107" s="370">
        <f>'G. Un GE'!AX107</f>
        <v>156.03942857142854</v>
      </c>
      <c r="AF107" s="368">
        <f>IFERROR('G. Un GE'!AX107/Tabla1[[#This Row],[PO '[h']]],0)</f>
        <v>6.5016428571428557</v>
      </c>
      <c r="AG107" s="365">
        <f>'Ar-Pa'!AX107</f>
        <v>0</v>
      </c>
      <c r="AH107" s="365">
        <f>'Ar-Pa'!AY107</f>
        <v>0</v>
      </c>
      <c r="AI107" s="365">
        <f>SUM('Cal. Arr'!AB110:AY110)</f>
        <v>0</v>
      </c>
      <c r="AJ107" s="442">
        <v>0</v>
      </c>
      <c r="AK107" s="442">
        <v>1.42</v>
      </c>
      <c r="AL107" s="267">
        <f t="shared" si="21"/>
        <v>375.12431434857075</v>
      </c>
      <c r="AM107" s="267">
        <f>+CONVERT(AK107+Tabla1[[#This Row],[Con. DO Storage Gen. '[m3']]],"m^3","gal")</f>
        <v>375.12431434857075</v>
      </c>
      <c r="AN107" s="372">
        <f>SUM('DO Pilot'!B107:Y107)</f>
        <v>5.5600000000000023</v>
      </c>
      <c r="AO107" s="372">
        <f t="shared" si="22"/>
        <v>1468.7966111113058</v>
      </c>
      <c r="AP107" s="267">
        <f>AK107+AN107+Tabla1[[#This Row],[Con. DO Storage Gen. '[m3']]]</f>
        <v>6.9800000000000022</v>
      </c>
      <c r="AQ107" s="372">
        <f t="shared" si="29"/>
        <v>1843.9209254598766</v>
      </c>
      <c r="AR107" s="442">
        <v>0</v>
      </c>
      <c r="AS107" s="442">
        <v>0</v>
      </c>
      <c r="AT107" s="267">
        <f>+CONVERT(SUM(Tabla1[[#This Row],[Repo. DO Storage '[gal']]:[Repo. DO Pilot '[gal']]]),"gal","m3")</f>
        <v>0</v>
      </c>
      <c r="AU107" s="442">
        <v>0</v>
      </c>
      <c r="AV107" s="267">
        <f t="shared" si="36"/>
        <v>0</v>
      </c>
      <c r="AW107" s="442">
        <v>0</v>
      </c>
      <c r="AX107" s="267">
        <f t="shared" si="23"/>
        <v>0</v>
      </c>
      <c r="AY107" s="372">
        <f t="shared" si="24"/>
        <v>0.34040318906403877</v>
      </c>
      <c r="AZ107" s="372">
        <f>IFERROR(AL107/'Ar-Pa'!AX107,0)</f>
        <v>0</v>
      </c>
      <c r="BA107" s="372">
        <f>IFERROR(AL107/'Ar-Pa'!AY107,0)</f>
        <v>0</v>
      </c>
      <c r="BB107" s="372">
        <f t="shared" si="25"/>
        <v>1.3328462895746875</v>
      </c>
      <c r="BC107" s="372">
        <f>IFERROR(AVERAGEIF('DO Pilot'!AX107:BU107,"&gt;0"),0)</f>
        <v>8.7428369709006244</v>
      </c>
      <c r="BD107" s="445">
        <v>303210</v>
      </c>
      <c r="BE107" s="445">
        <v>10733</v>
      </c>
      <c r="BF107" s="446">
        <v>303199</v>
      </c>
      <c r="BG107" s="223">
        <f>Tabla1[[#This Row],[ Re. Gas GC
 '[m3']]]</f>
        <v>303199</v>
      </c>
      <c r="BH107" s="150">
        <f>IFERROR((BG107*Gas!$B$3)/28.31685,0)</f>
        <v>10666.468191906939</v>
      </c>
      <c r="BI107" s="151">
        <f t="shared" si="37"/>
        <v>-66.531808093061045</v>
      </c>
      <c r="BJ107" s="74">
        <f t="shared" si="30"/>
        <v>-6.237473069440295E-3</v>
      </c>
      <c r="BK107" s="223">
        <f t="shared" si="26"/>
        <v>9739.5644283121601</v>
      </c>
      <c r="BL107" s="442">
        <v>9027.91</v>
      </c>
      <c r="BM107" s="150">
        <f t="shared" si="27"/>
        <v>9381.8161117280215</v>
      </c>
      <c r="BN107" s="150">
        <f t="shared" si="31"/>
        <v>9765.3598466934527</v>
      </c>
      <c r="BO107" s="373">
        <f>IFERROR(Tabla1[[#This Row],[ Re. Gas GC
 '[m3']]]/Tabla1[[#This Row],[G. HGS 
Con Gas '[kWh']]],0)</f>
        <v>0.27513520871143377</v>
      </c>
      <c r="BP107" s="374">
        <f>Tank!Y108</f>
        <v>0</v>
      </c>
      <c r="BQ107" s="70">
        <f>Tank!AP108</f>
        <v>0</v>
      </c>
      <c r="BR107" s="70">
        <f>Tank!V108</f>
        <v>0</v>
      </c>
      <c r="BS107" s="372">
        <f>Tank!T108</f>
        <v>0</v>
      </c>
      <c r="BT107" s="375" t="s">
        <v>228</v>
      </c>
      <c r="BU107" s="449">
        <v>62</v>
      </c>
      <c r="BV107" s="375">
        <f>IF(Tabla1[[#This Row],[Combustible ofertado]]="GAS",Tabla1[[#This Row],[Disponibilidad]],0)</f>
        <v>0</v>
      </c>
      <c r="BW107" s="375">
        <f>IF(Tabla1[[#This Row],[Combustible ofertado]]="DIESEL",Tabla1[[#This Row],[Disponibilidad]],0)</f>
        <v>62</v>
      </c>
      <c r="BX107" s="375">
        <f>IF(Tabla1[[#This Row],[Combustible ofertado]]="HFO",Tabla1[[#This Row],[Disponibilidad]],0)</f>
        <v>0</v>
      </c>
      <c r="BY107" s="454">
        <v>1440</v>
      </c>
      <c r="BZ107" s="446">
        <f>'Horo. M'!C108</f>
        <v>23</v>
      </c>
      <c r="CA107" s="446">
        <f>'Horo. M'!E108</f>
        <v>0</v>
      </c>
      <c r="CB107" s="446">
        <f>'Horo. M'!G108</f>
        <v>24</v>
      </c>
      <c r="CC107" s="446">
        <f>'Horo. M'!I108</f>
        <v>24</v>
      </c>
      <c r="CD107" s="446">
        <f>'Horo. M'!K108</f>
        <v>0</v>
      </c>
      <c r="CE107" s="446">
        <f>'Horo. M'!M108</f>
        <v>24</v>
      </c>
      <c r="CF107" s="446">
        <f>'Horo. M'!O108</f>
        <v>0</v>
      </c>
      <c r="CG107" s="446">
        <f>'Horo. M'!Q108</f>
        <v>24</v>
      </c>
      <c r="CH107" s="446">
        <f>'Horo. M'!S108</f>
        <v>24</v>
      </c>
      <c r="CI107" s="446">
        <f>'Horo. M'!U108</f>
        <v>24</v>
      </c>
      <c r="CJ107" s="70">
        <f>Tabla1[[#This Row],[Con. DO Storage '[gal']]]-Tabla1[[#This Row],[C. DO Storage Ge '[gal']]]</f>
        <v>375.12431434857075</v>
      </c>
      <c r="CK107" s="70"/>
      <c r="CL107" s="70"/>
      <c r="CM107" s="372">
        <f>Tabla1[[#This Row],[Con. DO Total '[gal']]]*131485.5/(1000000)</f>
        <v>242.44886484455461</v>
      </c>
    </row>
    <row r="108" spans="1:91" s="5" customFormat="1" ht="15" customHeight="1">
      <c r="A108" s="362">
        <v>45033</v>
      </c>
      <c r="B108" s="363" t="str">
        <f>TEXT(Tabla1[[#This Row],[Fecha]],"mmmm")</f>
        <v>abril</v>
      </c>
      <c r="C108" s="429">
        <v>0</v>
      </c>
      <c r="D108" s="430">
        <v>1298</v>
      </c>
      <c r="E108" s="430">
        <v>1298</v>
      </c>
      <c r="F108" s="430">
        <v>1332</v>
      </c>
      <c r="G108" s="431">
        <v>0</v>
      </c>
      <c r="H108" s="431">
        <v>0</v>
      </c>
      <c r="I108" s="432">
        <v>0</v>
      </c>
      <c r="J108" s="432">
        <v>0</v>
      </c>
      <c r="K108" s="430">
        <v>24</v>
      </c>
      <c r="L108" s="430">
        <v>24</v>
      </c>
      <c r="M108" s="365">
        <f>Tabla1[[#This Row],[Columna1]]-Tabla1[[#This Row],[PO '[h']]]</f>
        <v>0</v>
      </c>
      <c r="N108" s="365">
        <f t="shared" si="35"/>
        <v>1332</v>
      </c>
      <c r="O108" s="430">
        <v>1332</v>
      </c>
      <c r="P108" s="367">
        <f>Tabla1[[#This Row],[G. HGS 
'[MWh']]]</f>
        <v>1332</v>
      </c>
      <c r="Q108" s="430">
        <v>0</v>
      </c>
      <c r="R108" s="367">
        <v>0</v>
      </c>
      <c r="S108" s="367">
        <f>Tabla1[[#This Row],[G. HGS 
Con Gas]]*1000</f>
        <v>1332000</v>
      </c>
      <c r="T108" s="365">
        <f>Tabla1[[#This Row],[G. HGS 
'[MWh']]]*1000</f>
        <v>1332000</v>
      </c>
      <c r="U108" s="368">
        <f>SUM('G. Un GE'!B108:Y108)</f>
        <v>1319.5445999999999</v>
      </c>
      <c r="V108" s="369">
        <f>Tabla1[[#This Row],[R. GE
'[MWh']]]</f>
        <v>1319.5445999999999</v>
      </c>
      <c r="W108" s="434">
        <v>0</v>
      </c>
      <c r="X108" s="369">
        <v>0</v>
      </c>
      <c r="Y108" s="365">
        <f>Tabla1[[#This Row],[R. GE
'[MWh']]]*1000</f>
        <v>1319544.5999999999</v>
      </c>
      <c r="Z108" s="434">
        <v>37.520000000000003</v>
      </c>
      <c r="AA10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37.520000000000003</v>
      </c>
      <c r="AB108" s="368">
        <f>IF(Tabla1[[#This Row],[G. HGS 
'[MWh']]]=0,0,Tabla1[[#This Row],[G. HGS 
'[MWh']]]+Tabla1[[#This Row],[Con. Aux. '[MWh']2]])</f>
        <v>1369.52</v>
      </c>
      <c r="AC108" s="368">
        <f>'C. ENER. TN'!F108</f>
        <v>0</v>
      </c>
      <c r="AD108" s="370">
        <f>'C. ENER. TN'!G108</f>
        <v>1319.5446000000002</v>
      </c>
      <c r="AE108" s="370">
        <f>'G. Un GE'!AX108</f>
        <v>168.80631428571428</v>
      </c>
      <c r="AF108" s="368">
        <f>IFERROR('G. Un GE'!AX108/Tabla1[[#This Row],[PO '[h']]],0)</f>
        <v>7.0335964285714283</v>
      </c>
      <c r="AG108" s="365">
        <f>'Ar-Pa'!AX108</f>
        <v>2</v>
      </c>
      <c r="AH108" s="365">
        <f>'Ar-Pa'!AY108</f>
        <v>1</v>
      </c>
      <c r="AI108" s="365">
        <f>SUM('Cal. Arr'!AB111:AY111)</f>
        <v>0</v>
      </c>
      <c r="AJ108" s="442">
        <v>30.1</v>
      </c>
      <c r="AK108" s="442">
        <v>1.8</v>
      </c>
      <c r="AL108" s="267">
        <f t="shared" si="21"/>
        <v>475.50969424466717</v>
      </c>
      <c r="AM108" s="267">
        <f>+CONVERT(AK108+Tabla1[[#This Row],[Con. DO Storage Gen. '[m3']]],"m^3","gal")</f>
        <v>8427.088470224935</v>
      </c>
      <c r="AN108" s="372">
        <f>SUM('DO Pilot'!B108:Y108)</f>
        <v>6.09</v>
      </c>
      <c r="AO108" s="372">
        <f t="shared" si="22"/>
        <v>1608.807798861124</v>
      </c>
      <c r="AP108" s="267">
        <f>AK108+AN108+Tabla1[[#This Row],[Con. DO Storage Gen. '[m3']]]</f>
        <v>37.99</v>
      </c>
      <c r="AQ108" s="372">
        <f t="shared" si="29"/>
        <v>10035.896269086059</v>
      </c>
      <c r="AR108" s="442">
        <v>10999</v>
      </c>
      <c r="AS108" s="442">
        <v>0</v>
      </c>
      <c r="AT108" s="267">
        <f>+CONVERT(SUM(Tabla1[[#This Row],[Repo. DO Storage '[gal']]:[Repo. DO Pilot '[gal']]]),"gal","m3")</f>
        <v>41.635744212215997</v>
      </c>
      <c r="AU108" s="442">
        <v>0</v>
      </c>
      <c r="AV108" s="267">
        <f t="shared" si="36"/>
        <v>0</v>
      </c>
      <c r="AW108" s="442">
        <v>0</v>
      </c>
      <c r="AX108" s="267">
        <f t="shared" si="23"/>
        <v>0</v>
      </c>
      <c r="AY108" s="372">
        <f t="shared" si="24"/>
        <v>0.35698925994344383</v>
      </c>
      <c r="AZ108" s="372">
        <f>IFERROR(AL108/'Ar-Pa'!AX108,0)</f>
        <v>237.75484712233359</v>
      </c>
      <c r="BA108" s="372">
        <f>IFERROR(AL108/'Ar-Pa'!AY108,0)</f>
        <v>475.50969424466717</v>
      </c>
      <c r="BB108" s="372">
        <f t="shared" si="25"/>
        <v>1.2078136628086515</v>
      </c>
      <c r="BC108" s="372">
        <f>IFERROR(AVERAGEIF('DO Pilot'!AX108:BU108,"&gt;0"),0)</f>
        <v>8.5757638723110237</v>
      </c>
      <c r="BD108" s="445">
        <v>324903</v>
      </c>
      <c r="BE108" s="445">
        <v>11501</v>
      </c>
      <c r="BF108" s="446">
        <v>324868</v>
      </c>
      <c r="BG108" s="223">
        <f>Tabla1[[#This Row],[ Re. Gas GC
 '[m3']]]</f>
        <v>324868</v>
      </c>
      <c r="BH108" s="150">
        <f>IFERROR((BG108*Gas!$B$3)/28.31685,0)</f>
        <v>11428.778421328643</v>
      </c>
      <c r="BI108" s="151">
        <f t="shared" si="37"/>
        <v>-72.221578671356838</v>
      </c>
      <c r="BJ108" s="74">
        <f t="shared" si="30"/>
        <v>-6.3192736799039962E-3</v>
      </c>
      <c r="BK108" s="223">
        <f t="shared" si="26"/>
        <v>8634.3843843843842</v>
      </c>
      <c r="BL108" s="442">
        <v>8990.23</v>
      </c>
      <c r="BM108" s="150">
        <f t="shared" si="27"/>
        <v>8345.0978600740709</v>
      </c>
      <c r="BN108" s="150">
        <f t="shared" si="31"/>
        <v>8661.1535686847146</v>
      </c>
      <c r="BO108" s="373">
        <f>IFERROR(Tabla1[[#This Row],[ Re. Gas GC
 '[m3']]]/Tabla1[[#This Row],[G. HGS 
Con Gas '[kWh']]],0)</f>
        <v>0.24389489489489488</v>
      </c>
      <c r="BP108" s="374">
        <f>Tank!Y109</f>
        <v>0</v>
      </c>
      <c r="BQ108" s="70">
        <f>Tank!AP109</f>
        <v>0</v>
      </c>
      <c r="BR108" s="70">
        <f>Tank!V109</f>
        <v>0</v>
      </c>
      <c r="BS108" s="372">
        <f>Tank!T109</f>
        <v>0</v>
      </c>
      <c r="BT108" s="375" t="s">
        <v>228</v>
      </c>
      <c r="BU108" s="449">
        <v>71</v>
      </c>
      <c r="BV108" s="375">
        <f>IF(Tabla1[[#This Row],[Combustible ofertado]]="GAS",Tabla1[[#This Row],[Disponibilidad]],0)</f>
        <v>0</v>
      </c>
      <c r="BW108" s="375">
        <f>IF(Tabla1[[#This Row],[Combustible ofertado]]="DIESEL",Tabla1[[#This Row],[Disponibilidad]],0)</f>
        <v>71</v>
      </c>
      <c r="BX108" s="375">
        <f>IF(Tabla1[[#This Row],[Combustible ofertado]]="HFO",Tabla1[[#This Row],[Disponibilidad]],0)</f>
        <v>0</v>
      </c>
      <c r="BY108" s="454">
        <v>1440</v>
      </c>
      <c r="BZ108" s="446">
        <f>'Horo. M'!C109</f>
        <v>24</v>
      </c>
      <c r="CA108" s="446">
        <f>'Horo. M'!E109</f>
        <v>0</v>
      </c>
      <c r="CB108" s="446">
        <f>'Horo. M'!G109</f>
        <v>24</v>
      </c>
      <c r="CC108" s="446">
        <f>'Horo. M'!I109</f>
        <v>24</v>
      </c>
      <c r="CD108" s="446">
        <f>'Horo. M'!K109</f>
        <v>23</v>
      </c>
      <c r="CE108" s="446">
        <f>'Horo. M'!M109</f>
        <v>21</v>
      </c>
      <c r="CF108" s="446">
        <f>'Horo. M'!O109</f>
        <v>0</v>
      </c>
      <c r="CG108" s="446">
        <f>'Horo. M'!Q109</f>
        <v>24</v>
      </c>
      <c r="CH108" s="446">
        <f>'Horo. M'!S109</f>
        <v>24</v>
      </c>
      <c r="CI108" s="446">
        <f>'Horo. M'!U109</f>
        <v>24</v>
      </c>
      <c r="CJ108" s="70">
        <f>Tabla1[[#This Row],[Con. DO Storage '[gal']]]-Tabla1[[#This Row],[C. DO Storage Ge '[gal']]]</f>
        <v>475.50969424466717</v>
      </c>
      <c r="CK108" s="70"/>
      <c r="CL108" s="70"/>
      <c r="CM108" s="372">
        <f>Tabla1[[#This Row],[Con. DO Total '[gal']]]*131485.5/(1000000)</f>
        <v>1319.5748388889151</v>
      </c>
    </row>
    <row r="109" spans="1:91" s="5" customFormat="1" ht="15" customHeight="1">
      <c r="A109" s="362">
        <v>45034</v>
      </c>
      <c r="B109" s="363" t="str">
        <f>TEXT(Tabla1[[#This Row],[Fecha]],"mmmm")</f>
        <v>abril</v>
      </c>
      <c r="C109" s="429">
        <v>0</v>
      </c>
      <c r="D109" s="430">
        <v>1287</v>
      </c>
      <c r="E109" s="430">
        <v>1287</v>
      </c>
      <c r="F109" s="430">
        <v>1341</v>
      </c>
      <c r="G109" s="431">
        <v>0</v>
      </c>
      <c r="H109" s="431">
        <v>0</v>
      </c>
      <c r="I109" s="432">
        <v>2</v>
      </c>
      <c r="J109" s="432">
        <v>142</v>
      </c>
      <c r="K109" s="430">
        <v>24</v>
      </c>
      <c r="L109" s="430">
        <v>24</v>
      </c>
      <c r="M109" s="365">
        <f>Tabla1[[#This Row],[Columna1]]-Tabla1[[#This Row],[PO '[h']]]</f>
        <v>0</v>
      </c>
      <c r="N109" s="365">
        <f t="shared" si="35"/>
        <v>1483</v>
      </c>
      <c r="O109" s="430">
        <v>1341</v>
      </c>
      <c r="P109" s="367">
        <f>Tabla1[[#This Row],[G. HGS 
'[MWh']]]</f>
        <v>1341</v>
      </c>
      <c r="Q109" s="430">
        <v>0</v>
      </c>
      <c r="R109" s="367">
        <v>0</v>
      </c>
      <c r="S109" s="367">
        <f>Tabla1[[#This Row],[G. HGS 
Con Gas]]*1000</f>
        <v>1341000</v>
      </c>
      <c r="T109" s="365">
        <f>Tabla1[[#This Row],[G. HGS 
'[MWh']]]*1000</f>
        <v>1341000</v>
      </c>
      <c r="U109" s="368">
        <f>SUM('G. Un GE'!B109:Y109)</f>
        <v>1330.1361999999999</v>
      </c>
      <c r="V109" s="369">
        <f>Tabla1[[#This Row],[R. GE
'[MWh']]]</f>
        <v>1330.1361999999999</v>
      </c>
      <c r="W109" s="434">
        <v>0</v>
      </c>
      <c r="X109" s="369">
        <v>0</v>
      </c>
      <c r="Y109" s="365">
        <f>Tabla1[[#This Row],[R. GE
'[MWh']]]*1000</f>
        <v>1330136.2</v>
      </c>
      <c r="Z109" s="434">
        <v>37.49</v>
      </c>
      <c r="AA10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37.49</v>
      </c>
      <c r="AB109" s="368">
        <f>IF(Tabla1[[#This Row],[G. HGS 
'[MWh']]]=0,0,Tabla1[[#This Row],[G. HGS 
'[MWh']]]+Tabla1[[#This Row],[Con. Aux. '[MWh']2]])</f>
        <v>1378.49</v>
      </c>
      <c r="AC109" s="368">
        <f>'C. ENER. TN'!F109</f>
        <v>0</v>
      </c>
      <c r="AD109" s="370">
        <f>'C. ENER. TN'!G109</f>
        <v>1330.1361999999997</v>
      </c>
      <c r="AE109" s="370">
        <f>'G. Un GE'!AX109</f>
        <v>168.20626607142856</v>
      </c>
      <c r="AF109" s="368">
        <f>IFERROR('G. Un GE'!AX109/Tabla1[[#This Row],[PO '[h']]],0)</f>
        <v>7.0085944196428569</v>
      </c>
      <c r="AG109" s="365">
        <f>'Ar-Pa'!AX109</f>
        <v>1</v>
      </c>
      <c r="AH109" s="365">
        <f>'Ar-Pa'!AY109</f>
        <v>1</v>
      </c>
      <c r="AI109" s="365">
        <f>SUM('Cal. Arr'!AB112:AY112)</f>
        <v>0</v>
      </c>
      <c r="AJ109" s="442">
        <v>36.4</v>
      </c>
      <c r="AK109" s="442">
        <v>1.6</v>
      </c>
      <c r="AL109" s="267">
        <f t="shared" si="21"/>
        <v>422.67528377303745</v>
      </c>
      <c r="AM109" s="267">
        <f>+CONVERT(AK109+Tabla1[[#This Row],[Con. DO Storage Gen. '[m3']]],"m^3","gal")</f>
        <v>10038.53798960964</v>
      </c>
      <c r="AN109" s="372">
        <f>SUM('DO Pilot'!B109:Y109)</f>
        <v>5.9000000000000012</v>
      </c>
      <c r="AO109" s="372">
        <f t="shared" si="22"/>
        <v>1558.615108913076</v>
      </c>
      <c r="AP109" s="267">
        <f>AK109+AN109+Tabla1[[#This Row],[Con. DO Storage Gen. '[m3']]]</f>
        <v>43.9</v>
      </c>
      <c r="AQ109" s="372">
        <f t="shared" si="29"/>
        <v>11597.153098522716</v>
      </c>
      <c r="AR109" s="442">
        <v>10992</v>
      </c>
      <c r="AS109" s="442">
        <v>0</v>
      </c>
      <c r="AT109" s="267">
        <f>+CONVERT(SUM(Tabla1[[#This Row],[Repo. DO Storage '[gal']]:[Repo. DO Pilot '[gal']]]),"gal","m3")</f>
        <v>41.609246329727995</v>
      </c>
      <c r="AU109" s="442">
        <v>0</v>
      </c>
      <c r="AV109" s="267">
        <f t="shared" si="36"/>
        <v>0</v>
      </c>
      <c r="AW109" s="442">
        <v>0</v>
      </c>
      <c r="AX109" s="267">
        <f t="shared" si="23"/>
        <v>0</v>
      </c>
      <c r="AY109" s="372">
        <f t="shared" si="24"/>
        <v>0.31519409677333143</v>
      </c>
      <c r="AZ109" s="372">
        <f>IFERROR(AL109/'Ar-Pa'!AX109,0)</f>
        <v>422.67528377303745</v>
      </c>
      <c r="BA109" s="372">
        <f>IFERROR(AL109/'Ar-Pa'!AY109,0)</f>
        <v>422.67528377303745</v>
      </c>
      <c r="BB109" s="372">
        <f t="shared" si="25"/>
        <v>1.16227823185166</v>
      </c>
      <c r="BC109" s="372">
        <f>IFERROR(AVERAGEIF('DO Pilot'!AX109:BU109,"&gt;0"),0)</f>
        <v>8.2121341871454163</v>
      </c>
      <c r="BD109" s="445">
        <v>320428</v>
      </c>
      <c r="BE109" s="445">
        <v>11343</v>
      </c>
      <c r="BF109" s="446">
        <v>320377</v>
      </c>
      <c r="BG109" s="223">
        <f>Tabla1[[#This Row],[ Re. Gas GC
 '[m3']]]</f>
        <v>320377</v>
      </c>
      <c r="BH109" s="150">
        <f>IFERROR((BG109*Gas!$B$3)/28.31685,0)</f>
        <v>11270.786117099889</v>
      </c>
      <c r="BI109" s="151">
        <f t="shared" si="37"/>
        <v>-72.213882900110548</v>
      </c>
      <c r="BJ109" s="74">
        <f t="shared" si="30"/>
        <v>-6.407173568004151E-3</v>
      </c>
      <c r="BK109" s="223">
        <f t="shared" si="26"/>
        <v>8458.6129753914993</v>
      </c>
      <c r="BL109" s="442">
        <v>8973.1299999999992</v>
      </c>
      <c r="BM109" s="150">
        <f t="shared" si="27"/>
        <v>8176.1827195698834</v>
      </c>
      <c r="BN109" s="150">
        <f t="shared" si="31"/>
        <v>8473.4075481141645</v>
      </c>
      <c r="BO109" s="373">
        <f>IFERROR(Tabla1[[#This Row],[ Re. Gas GC
 '[m3']]]/Tabla1[[#This Row],[G. HGS 
Con Gas '[kWh']]],0)</f>
        <v>0.23890902311707682</v>
      </c>
      <c r="BP109" s="374">
        <f>Tank!Y110</f>
        <v>0</v>
      </c>
      <c r="BQ109" s="70">
        <f>Tank!AP110</f>
        <v>0</v>
      </c>
      <c r="BR109" s="70">
        <f>Tank!V110</f>
        <v>0</v>
      </c>
      <c r="BS109" s="372">
        <f>Tank!T110</f>
        <v>0</v>
      </c>
      <c r="BT109" s="375" t="s">
        <v>228</v>
      </c>
      <c r="BU109" s="449">
        <v>71</v>
      </c>
      <c r="BV109" s="375">
        <f>IF(Tabla1[[#This Row],[Combustible ofertado]]="GAS",Tabla1[[#This Row],[Disponibilidad]],0)</f>
        <v>0</v>
      </c>
      <c r="BW109" s="375">
        <f>IF(Tabla1[[#This Row],[Combustible ofertado]]="DIESEL",Tabla1[[#This Row],[Disponibilidad]],0)</f>
        <v>71</v>
      </c>
      <c r="BX109" s="375">
        <f>IF(Tabla1[[#This Row],[Combustible ofertado]]="HFO",Tabla1[[#This Row],[Disponibilidad]],0)</f>
        <v>0</v>
      </c>
      <c r="BY109" s="454">
        <v>1440</v>
      </c>
      <c r="BZ109" s="446">
        <f>'Horo. M'!C110</f>
        <v>24</v>
      </c>
      <c r="CA109" s="446">
        <f>'Horo. M'!E110</f>
        <v>0</v>
      </c>
      <c r="CB109" s="446">
        <f>'Horo. M'!G110</f>
        <v>24</v>
      </c>
      <c r="CC109" s="446">
        <f>'Horo. M'!I110</f>
        <v>24</v>
      </c>
      <c r="CD109" s="446">
        <f>'Horo. M'!K110</f>
        <v>24</v>
      </c>
      <c r="CE109" s="446">
        <f>'Horo. M'!M110</f>
        <v>24</v>
      </c>
      <c r="CF109" s="446">
        <f>'Horo. M'!O110</f>
        <v>0</v>
      </c>
      <c r="CG109" s="446">
        <f>'Horo. M'!Q110</f>
        <v>22</v>
      </c>
      <c r="CH109" s="446">
        <f>'Horo. M'!S110</f>
        <v>24</v>
      </c>
      <c r="CI109" s="446">
        <f>'Horo. M'!U110</f>
        <v>24</v>
      </c>
      <c r="CJ109" s="70">
        <f>Tabla1[[#This Row],[Con. DO Storage '[gal']]]-Tabla1[[#This Row],[C. DO Storage Ge '[gal']]]</f>
        <v>422.67528377303745</v>
      </c>
      <c r="CK109" s="70"/>
      <c r="CL109" s="70"/>
      <c r="CM109" s="372">
        <f>Tabla1[[#This Row],[Con. DO Total '[gal']]]*131485.5/(1000000)</f>
        <v>1524.8574737358085</v>
      </c>
    </row>
    <row r="110" spans="1:91" s="5" customFormat="1" ht="15" customHeight="1">
      <c r="A110" s="362">
        <v>45035</v>
      </c>
      <c r="B110" s="363" t="str">
        <f>TEXT(Tabla1[[#This Row],[Fecha]],"mmmm")</f>
        <v>abril</v>
      </c>
      <c r="C110" s="429">
        <v>0</v>
      </c>
      <c r="D110" s="430">
        <v>1290</v>
      </c>
      <c r="E110" s="430">
        <v>1290</v>
      </c>
      <c r="F110" s="430">
        <v>1327</v>
      </c>
      <c r="G110" s="431">
        <v>0</v>
      </c>
      <c r="H110" s="431">
        <v>0</v>
      </c>
      <c r="I110" s="432">
        <v>0</v>
      </c>
      <c r="J110" s="432">
        <v>0</v>
      </c>
      <c r="K110" s="430">
        <v>24</v>
      </c>
      <c r="L110" s="430">
        <v>24</v>
      </c>
      <c r="M110" s="365">
        <f>Tabla1[[#This Row],[Columna1]]-Tabla1[[#This Row],[PO '[h']]]</f>
        <v>0</v>
      </c>
      <c r="N110" s="365">
        <f t="shared" si="35"/>
        <v>1327</v>
      </c>
      <c r="O110" s="430">
        <v>1327</v>
      </c>
      <c r="P110" s="367">
        <f>Tabla1[[#This Row],[G. HGS 
'[MWh']]]</f>
        <v>1327</v>
      </c>
      <c r="Q110" s="430">
        <v>0</v>
      </c>
      <c r="R110" s="367">
        <v>0</v>
      </c>
      <c r="S110" s="367">
        <f>Tabla1[[#This Row],[G. HGS 
Con Gas]]*1000</f>
        <v>1327000</v>
      </c>
      <c r="T110" s="365">
        <f>Tabla1[[#This Row],[G. HGS 
'[MWh']]]*1000</f>
        <v>1327000</v>
      </c>
      <c r="U110" s="368">
        <f>SUM('G. Un GE'!B110:Y110)</f>
        <v>1315.5033000000001</v>
      </c>
      <c r="V110" s="369">
        <f>Tabla1[[#This Row],[R. GE
'[MWh']]]</f>
        <v>1315.5033000000001</v>
      </c>
      <c r="W110" s="434">
        <v>0</v>
      </c>
      <c r="X110" s="369">
        <v>0</v>
      </c>
      <c r="Y110" s="365">
        <f>Tabla1[[#This Row],[R. GE
'[MWh']]]*1000</f>
        <v>1315503.3</v>
      </c>
      <c r="Z110" s="434">
        <v>37.51</v>
      </c>
      <c r="AA11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37.51</v>
      </c>
      <c r="AB110" s="368">
        <f>IF(Tabla1[[#This Row],[G. HGS 
'[MWh']]]=0,0,Tabla1[[#This Row],[G. HGS 
'[MWh']]]+Tabla1[[#This Row],[Con. Aux. '[MWh']2]])</f>
        <v>1364.51</v>
      </c>
      <c r="AC110" s="368">
        <f>'C. ENER. TN'!F110</f>
        <v>0</v>
      </c>
      <c r="AD110" s="370">
        <f>'C. ENER. TN'!G110</f>
        <v>1315.5032999999999</v>
      </c>
      <c r="AE110" s="370">
        <f>'G. Un GE'!AX110</f>
        <v>172.44370535714285</v>
      </c>
      <c r="AF110" s="368">
        <f>IFERROR('G. Un GE'!AX110/Tabla1[[#This Row],[PO '[h']]],0)</f>
        <v>7.1851543898809522</v>
      </c>
      <c r="AG110" s="365">
        <f>'Ar-Pa'!AX110</f>
        <v>1</v>
      </c>
      <c r="AH110" s="365">
        <f>'Ar-Pa'!AY110</f>
        <v>2</v>
      </c>
      <c r="AI110" s="365">
        <f>SUM('Cal. Arr'!AB113:AY113)</f>
        <v>0</v>
      </c>
      <c r="AJ110" s="442">
        <v>32</v>
      </c>
      <c r="AK110" s="442">
        <v>1.5</v>
      </c>
      <c r="AL110" s="267">
        <f t="shared" si="21"/>
        <v>396.25807853722262</v>
      </c>
      <c r="AM110" s="267">
        <f>+CONVERT(AK110+Tabla1[[#This Row],[Con. DO Storage Gen. '[m3']]],"m^3","gal")</f>
        <v>8849.7637539979714</v>
      </c>
      <c r="AN110" s="372">
        <f>SUM('DO Pilot'!B110:Y110)</f>
        <v>6.6400000000000006</v>
      </c>
      <c r="AO110" s="372">
        <f t="shared" si="22"/>
        <v>1754.1024276581059</v>
      </c>
      <c r="AP110" s="267">
        <f>AK110+AN110+Tabla1[[#This Row],[Con. DO Storage Gen. '[m3']]]</f>
        <v>40.14</v>
      </c>
      <c r="AQ110" s="372">
        <f t="shared" si="29"/>
        <v>10603.866181656078</v>
      </c>
      <c r="AR110" s="442">
        <v>22207</v>
      </c>
      <c r="AS110" s="442">
        <v>0</v>
      </c>
      <c r="AT110" s="267">
        <f>+CONVERT(SUM(Tabla1[[#This Row],[Repo. DO Storage '[gal']]:[Repo. DO Pilot '[gal']]]),"gal","m3")</f>
        <v>84.06263948728801</v>
      </c>
      <c r="AU110" s="442">
        <v>0</v>
      </c>
      <c r="AV110" s="267">
        <f t="shared" si="36"/>
        <v>0</v>
      </c>
      <c r="AW110" s="442">
        <v>0</v>
      </c>
      <c r="AX110" s="267">
        <f t="shared" si="23"/>
        <v>0</v>
      </c>
      <c r="AY110" s="372">
        <f t="shared" si="24"/>
        <v>0.29861196574018284</v>
      </c>
      <c r="AZ110" s="372">
        <f>IFERROR(AL110/'Ar-Pa'!AX110,0)</f>
        <v>396.25807853722262</v>
      </c>
      <c r="BA110" s="372">
        <f>IFERROR(AL110/'Ar-Pa'!AY110,0)</f>
        <v>198.12903926861131</v>
      </c>
      <c r="BB110" s="372">
        <f t="shared" si="25"/>
        <v>1.3218556350098762</v>
      </c>
      <c r="BC110" s="372">
        <f>IFERROR(AVERAGEIF('DO Pilot'!AX110:BU110,"&gt;0"),0)</f>
        <v>9.5821335955801619</v>
      </c>
      <c r="BD110" s="445">
        <v>320548</v>
      </c>
      <c r="BE110" s="445">
        <v>11347</v>
      </c>
      <c r="BF110" s="446">
        <v>320537</v>
      </c>
      <c r="BG110" s="223">
        <f>Tabla1[[#This Row],[ Re. Gas GC
 '[m3']]]</f>
        <v>320537</v>
      </c>
      <c r="BH110" s="150">
        <f>IFERROR((BG110*Gas!$B$3)/28.31685,0)</f>
        <v>11276.414878773592</v>
      </c>
      <c r="BI110" s="151">
        <f t="shared" si="37"/>
        <v>-70.585121226407864</v>
      </c>
      <c r="BJ110" s="74">
        <f t="shared" si="30"/>
        <v>-6.2595356755873995E-3</v>
      </c>
      <c r="BK110" s="223">
        <f t="shared" si="26"/>
        <v>8550.866616428033</v>
      </c>
      <c r="BL110" s="442">
        <v>8769.94</v>
      </c>
      <c r="BM110" s="150">
        <f t="shared" si="27"/>
        <v>8264.0763928249653</v>
      </c>
      <c r="BN110" s="150">
        <f t="shared" si="31"/>
        <v>8571.9396361632771</v>
      </c>
      <c r="BO110" s="373">
        <f>IFERROR(Tabla1[[#This Row],[ Re. Gas GC
 '[m3']]]/Tabla1[[#This Row],[G. HGS 
Con Gas '[kWh']]],0)</f>
        <v>0.24155011303692539</v>
      </c>
      <c r="BP110" s="374">
        <f>Tank!Y111</f>
        <v>0</v>
      </c>
      <c r="BQ110" s="70">
        <f>Tank!AP111</f>
        <v>0</v>
      </c>
      <c r="BR110" s="70">
        <f>Tank!V111</f>
        <v>0</v>
      </c>
      <c r="BS110" s="372">
        <f>Tank!T111</f>
        <v>0</v>
      </c>
      <c r="BT110" s="375" t="s">
        <v>228</v>
      </c>
      <c r="BU110" s="449">
        <v>71</v>
      </c>
      <c r="BV110" s="375">
        <f>IF(Tabla1[[#This Row],[Combustible ofertado]]="GAS",Tabla1[[#This Row],[Disponibilidad]],0)</f>
        <v>0</v>
      </c>
      <c r="BW110" s="375">
        <f>IF(Tabla1[[#This Row],[Combustible ofertado]]="DIESEL",Tabla1[[#This Row],[Disponibilidad]],0)</f>
        <v>71</v>
      </c>
      <c r="BX110" s="375">
        <f>IF(Tabla1[[#This Row],[Combustible ofertado]]="HFO",Tabla1[[#This Row],[Disponibilidad]],0)</f>
        <v>0</v>
      </c>
      <c r="BY110" s="454">
        <v>1440</v>
      </c>
      <c r="BZ110" s="446">
        <f>'Horo. M'!C111</f>
        <v>24</v>
      </c>
      <c r="CA110" s="446">
        <f>'Horo. M'!E111</f>
        <v>0</v>
      </c>
      <c r="CB110" s="446">
        <f>'Horo. M'!G111</f>
        <v>24</v>
      </c>
      <c r="CC110" s="446">
        <f>'Horo. M'!I111</f>
        <v>24</v>
      </c>
      <c r="CD110" s="446">
        <f>'Horo. M'!K111</f>
        <v>22</v>
      </c>
      <c r="CE110" s="446">
        <f>'Horo. M'!M111</f>
        <v>23</v>
      </c>
      <c r="CF110" s="446">
        <f>'Horo. M'!O111</f>
        <v>0</v>
      </c>
      <c r="CG110" s="446">
        <f>'Horo. M'!Q111</f>
        <v>24</v>
      </c>
      <c r="CH110" s="446">
        <f>'Horo. M'!S111</f>
        <v>24</v>
      </c>
      <c r="CI110" s="446">
        <f>'Horo. M'!U111</f>
        <v>24</v>
      </c>
      <c r="CJ110" s="70">
        <f>Tabla1[[#This Row],[Con. DO Storage '[gal']]]-Tabla1[[#This Row],[C. DO Storage Ge '[gal']]]</f>
        <v>396.25807853722262</v>
      </c>
      <c r="CK110" s="70"/>
      <c r="CL110" s="70"/>
      <c r="CM110" s="372">
        <f>Tabla1[[#This Row],[Con. DO Total '[gal']]]*131485.5/(1000000)</f>
        <v>1394.2546468281403</v>
      </c>
    </row>
    <row r="111" spans="1:91" s="5" customFormat="1" ht="15" customHeight="1">
      <c r="A111" s="362">
        <v>45036</v>
      </c>
      <c r="B111" s="363" t="str">
        <f>TEXT(Tabla1[[#This Row],[Fecha]],"mmmm")</f>
        <v>abril</v>
      </c>
      <c r="C111" s="429">
        <v>0</v>
      </c>
      <c r="D111" s="430">
        <v>1288</v>
      </c>
      <c r="E111" s="430">
        <v>1288</v>
      </c>
      <c r="F111" s="430">
        <v>1331</v>
      </c>
      <c r="G111" s="431">
        <v>0</v>
      </c>
      <c r="H111" s="431">
        <v>0</v>
      </c>
      <c r="I111" s="432">
        <v>2</v>
      </c>
      <c r="J111" s="432">
        <v>142</v>
      </c>
      <c r="K111" s="430">
        <v>24</v>
      </c>
      <c r="L111" s="430">
        <v>24</v>
      </c>
      <c r="M111" s="365">
        <f>Tabla1[[#This Row],[Columna1]]-Tabla1[[#This Row],[PO '[h']]]</f>
        <v>0</v>
      </c>
      <c r="N111" s="365">
        <f t="shared" si="35"/>
        <v>1473</v>
      </c>
      <c r="O111" s="430">
        <v>1331</v>
      </c>
      <c r="P111" s="367">
        <f>Tabla1[[#This Row],[G. HGS 
'[MWh']]]</f>
        <v>1331</v>
      </c>
      <c r="Q111" s="430">
        <v>0</v>
      </c>
      <c r="R111" s="367">
        <v>0</v>
      </c>
      <c r="S111" s="367">
        <f>Tabla1[[#This Row],[G. HGS 
Con Gas]]*1000</f>
        <v>1331000</v>
      </c>
      <c r="T111" s="365">
        <f>Tabla1[[#This Row],[G. HGS 
'[MWh']]]*1000</f>
        <v>1331000</v>
      </c>
      <c r="U111" s="368">
        <f>SUM('G. Un GE'!B111:Y111)</f>
        <v>1320.2929000000001</v>
      </c>
      <c r="V111" s="369">
        <f>Tabla1[[#This Row],[R. GE
'[MWh']]]</f>
        <v>1320.2929000000001</v>
      </c>
      <c r="W111" s="434">
        <v>0</v>
      </c>
      <c r="X111" s="369">
        <v>0</v>
      </c>
      <c r="Y111" s="365">
        <f>Tabla1[[#This Row],[R. GE
'[MWh']]]*1000</f>
        <v>1320292.9000000001</v>
      </c>
      <c r="Z111" s="434">
        <v>37.54</v>
      </c>
      <c r="AA11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37.54</v>
      </c>
      <c r="AB111" s="368">
        <f>IF(Tabla1[[#This Row],[G. HGS 
'[MWh']]]=0,0,Tabla1[[#This Row],[G. HGS 
'[MWh']]]+Tabla1[[#This Row],[Con. Aux. '[MWh']2]])</f>
        <v>1368.54</v>
      </c>
      <c r="AC111" s="368">
        <f>'C. ENER. TN'!F111</f>
        <v>0</v>
      </c>
      <c r="AD111" s="370">
        <f>'C. ENER. TN'!G111</f>
        <v>1320.2929000000001</v>
      </c>
      <c r="AE111" s="370">
        <f>'G. Un GE'!AX111</f>
        <v>191.15663571428567</v>
      </c>
      <c r="AF111" s="368">
        <f>IFERROR('G. Un GE'!AX111/Tabla1[[#This Row],[PO '[h']]],0)</f>
        <v>7.9648598214285693</v>
      </c>
      <c r="AG111" s="365">
        <f>'Ar-Pa'!AX111</f>
        <v>1</v>
      </c>
      <c r="AH111" s="365">
        <f>'Ar-Pa'!AY111</f>
        <v>1</v>
      </c>
      <c r="AI111" s="365">
        <f>SUM('Cal. Arr'!AB114:AY114)</f>
        <v>0</v>
      </c>
      <c r="AJ111" s="442">
        <v>38.299999999999997</v>
      </c>
      <c r="AK111" s="442">
        <v>1.5</v>
      </c>
      <c r="AL111" s="267">
        <f t="shared" si="21"/>
        <v>396.25807853722262</v>
      </c>
      <c r="AM111" s="267">
        <f>+CONVERT(AK111+Tabla1[[#This Row],[Con. DO Storage Gen. '[m3']]],"m^3","gal")</f>
        <v>10514.047683854307</v>
      </c>
      <c r="AN111" s="372">
        <f>SUM('DO Pilot'!B111:Y111)</f>
        <v>5.870000000000001</v>
      </c>
      <c r="AO111" s="372">
        <f t="shared" si="22"/>
        <v>1550.6899473423314</v>
      </c>
      <c r="AP111" s="267">
        <f>AK111+AN111+Tabla1[[#This Row],[Con. DO Storage Gen. '[m3']]]</f>
        <v>45.67</v>
      </c>
      <c r="AQ111" s="372">
        <f t="shared" si="29"/>
        <v>12064.737631196638</v>
      </c>
      <c r="AR111" s="442">
        <v>22195</v>
      </c>
      <c r="AS111" s="442">
        <v>0</v>
      </c>
      <c r="AT111" s="267">
        <f>+CONVERT(SUM(Tabla1[[#This Row],[Repo. DO Storage '[gal']]:[Repo. DO Pilot '[gal']]]),"gal","m3")</f>
        <v>84.017214545879995</v>
      </c>
      <c r="AU111" s="442">
        <v>0</v>
      </c>
      <c r="AV111" s="267">
        <f t="shared" si="36"/>
        <v>0</v>
      </c>
      <c r="AW111" s="442">
        <v>0</v>
      </c>
      <c r="AX111" s="267">
        <f t="shared" si="23"/>
        <v>0</v>
      </c>
      <c r="AY111" s="372">
        <f t="shared" si="24"/>
        <v>0.29771455938183516</v>
      </c>
      <c r="AZ111" s="372">
        <f>IFERROR(AL111/'Ar-Pa'!AX111,0)</f>
        <v>396.25807853722262</v>
      </c>
      <c r="BA111" s="372">
        <f>IFERROR(AL111/'Ar-Pa'!AY111,0)</f>
        <v>396.25807853722262</v>
      </c>
      <c r="BB111" s="372">
        <f t="shared" si="25"/>
        <v>1.1650563090475818</v>
      </c>
      <c r="BC111" s="372">
        <f>IFERROR(AVERAGEIF('DO Pilot'!AX111:BU111,"&gt;0"),0)</f>
        <v>9.3534727665300785</v>
      </c>
      <c r="BD111" s="445">
        <v>316457</v>
      </c>
      <c r="BE111" s="445">
        <v>11202</v>
      </c>
      <c r="BF111" s="446">
        <v>316444</v>
      </c>
      <c r="BG111" s="223">
        <f>Tabla1[[#This Row],[ Re. Gas GC
 '[m3']]]</f>
        <v>316444</v>
      </c>
      <c r="BH111" s="150">
        <f>IFERROR((BG111*Gas!$B$3)/28.31685,0)</f>
        <v>11132.424119208174</v>
      </c>
      <c r="BI111" s="151">
        <f t="shared" si="37"/>
        <v>-69.575880791826421</v>
      </c>
      <c r="BJ111" s="74">
        <f t="shared" si="30"/>
        <v>-6.2498410091813145E-3</v>
      </c>
      <c r="BK111" s="223">
        <f t="shared" si="26"/>
        <v>8416.2283996994738</v>
      </c>
      <c r="BL111" s="442">
        <v>8654.68</v>
      </c>
      <c r="BM111" s="150">
        <f t="shared" si="27"/>
        <v>8134.5259321672538</v>
      </c>
      <c r="BN111" s="150">
        <f t="shared" si="31"/>
        <v>8431.7836740682105</v>
      </c>
      <c r="BO111" s="373">
        <f>IFERROR(Tabla1[[#This Row],[ Re. Gas GC
 '[m3']]]/Tabla1[[#This Row],[G. HGS 
Con Gas '[kWh']]],0)</f>
        <v>0.23774906085649888</v>
      </c>
      <c r="BP111" s="374">
        <f>Tank!Y112</f>
        <v>36.801773364048003</v>
      </c>
      <c r="BQ111" s="70">
        <f>Tank!AP112</f>
        <v>0</v>
      </c>
      <c r="BR111" s="70">
        <f>Tank!V112</f>
        <v>0</v>
      </c>
      <c r="BS111" s="372">
        <f>Tank!T112</f>
        <v>0</v>
      </c>
      <c r="BT111" s="375" t="s">
        <v>228</v>
      </c>
      <c r="BU111" s="449">
        <v>71</v>
      </c>
      <c r="BV111" s="375">
        <f>IF(Tabla1[[#This Row],[Combustible ofertado]]="GAS",Tabla1[[#This Row],[Disponibilidad]],0)</f>
        <v>0</v>
      </c>
      <c r="BW111" s="375">
        <f>IF(Tabla1[[#This Row],[Combustible ofertado]]="DIESEL",Tabla1[[#This Row],[Disponibilidad]],0)</f>
        <v>71</v>
      </c>
      <c r="BX111" s="375">
        <f>IF(Tabla1[[#This Row],[Combustible ofertado]]="HFO",Tabla1[[#This Row],[Disponibilidad]],0)</f>
        <v>0</v>
      </c>
      <c r="BY111" s="454">
        <v>1440</v>
      </c>
      <c r="BZ111" s="446">
        <f>'Horo. M'!C112</f>
        <v>24</v>
      </c>
      <c r="CA111" s="446">
        <f>'Horo. M'!E112</f>
        <v>0</v>
      </c>
      <c r="CB111" s="446">
        <f>'Horo. M'!G112</f>
        <v>24</v>
      </c>
      <c r="CC111" s="446">
        <f>'Horo. M'!I112</f>
        <v>24</v>
      </c>
      <c r="CD111" s="446">
        <f>'Horo. M'!K112</f>
        <v>24</v>
      </c>
      <c r="CE111" s="446">
        <f>'Horo. M'!M112</f>
        <v>24</v>
      </c>
      <c r="CF111" s="446">
        <f>'Horo. M'!O112</f>
        <v>0</v>
      </c>
      <c r="CG111" s="446">
        <f>'Horo. M'!Q112</f>
        <v>22</v>
      </c>
      <c r="CH111" s="446">
        <f>'Horo. M'!S112</f>
        <v>24</v>
      </c>
      <c r="CI111" s="446">
        <f>'Horo. M'!U112</f>
        <v>24</v>
      </c>
      <c r="CJ111" s="70">
        <f>Tabla1[[#This Row],[Con. DO Storage '[gal']]]-Tabla1[[#This Row],[C. DO Storage Ge '[gal']]]</f>
        <v>396.25807853722262</v>
      </c>
      <c r="CK111" s="70"/>
      <c r="CL111" s="70"/>
      <c r="CM111" s="372">
        <f>Tabla1[[#This Row],[Con. DO Total '[gal']]]*131485.5/(1000000)</f>
        <v>1586.3380598067056</v>
      </c>
    </row>
    <row r="112" spans="1:91" s="5" customFormat="1" ht="15" customHeight="1">
      <c r="A112" s="362">
        <v>45037</v>
      </c>
      <c r="B112" s="363" t="str">
        <f>TEXT(Tabla1[[#This Row],[Fecha]],"mmmm")</f>
        <v>abril</v>
      </c>
      <c r="C112" s="429">
        <v>0</v>
      </c>
      <c r="D112" s="430">
        <v>1272</v>
      </c>
      <c r="E112" s="430">
        <v>1272</v>
      </c>
      <c r="F112" s="430">
        <v>1322</v>
      </c>
      <c r="G112" s="431">
        <v>1</v>
      </c>
      <c r="H112" s="431">
        <v>70</v>
      </c>
      <c r="I112" s="432">
        <v>0</v>
      </c>
      <c r="J112" s="432">
        <v>0</v>
      </c>
      <c r="K112" s="430">
        <v>24</v>
      </c>
      <c r="L112" s="430">
        <v>24</v>
      </c>
      <c r="M112" s="365">
        <f>Tabla1[[#This Row],[Columna1]]-Tabla1[[#This Row],[PO '[h']]]</f>
        <v>0</v>
      </c>
      <c r="N112" s="365">
        <f t="shared" si="35"/>
        <v>1392</v>
      </c>
      <c r="O112" s="430">
        <v>1322</v>
      </c>
      <c r="P112" s="367">
        <f>Tabla1[[#This Row],[G. HGS 
'[MWh']]]</f>
        <v>1322</v>
      </c>
      <c r="Q112" s="430">
        <v>0</v>
      </c>
      <c r="R112" s="367">
        <v>0</v>
      </c>
      <c r="S112" s="367">
        <f>Tabla1[[#This Row],[G. HGS 
Con Gas]]*1000</f>
        <v>1322000</v>
      </c>
      <c r="T112" s="365">
        <f>Tabla1[[#This Row],[G. HGS 
'[MWh']]]*1000</f>
        <v>1322000</v>
      </c>
      <c r="U112" s="368">
        <f>SUM('G. Un GE'!B112:Y112)</f>
        <v>1311.0283000000004</v>
      </c>
      <c r="V112" s="369">
        <f>Tabla1[[#This Row],[R. GE
'[MWh']]]</f>
        <v>1311.0283000000004</v>
      </c>
      <c r="W112" s="434">
        <v>0</v>
      </c>
      <c r="X112" s="369">
        <v>0</v>
      </c>
      <c r="Y112" s="365">
        <f>Tabla1[[#This Row],[R. GE
'[MWh']]]*1000</f>
        <v>1311028.3000000005</v>
      </c>
      <c r="Z112" s="434">
        <v>37.69</v>
      </c>
      <c r="AA11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37.69</v>
      </c>
      <c r="AB112" s="368">
        <f>IF(Tabla1[[#This Row],[G. HGS 
'[MWh']]]=0,0,Tabla1[[#This Row],[G. HGS 
'[MWh']]]+Tabla1[[#This Row],[Con. Aux. '[MWh']2]])</f>
        <v>1359.69</v>
      </c>
      <c r="AC112" s="368">
        <f>'C. ENER. TN'!F112</f>
        <v>0</v>
      </c>
      <c r="AD112" s="370">
        <f>'C. ENER. TN'!G112</f>
        <v>1311.0282999999999</v>
      </c>
      <c r="AE112" s="370">
        <f>'G. Un GE'!AX112</f>
        <v>187.28975714285713</v>
      </c>
      <c r="AF112" s="368">
        <f>IFERROR('G. Un GE'!AX112/Tabla1[[#This Row],[PO '[h']]],0)</f>
        <v>7.8037398809523806</v>
      </c>
      <c r="AG112" s="365">
        <f>'Ar-Pa'!AX112</f>
        <v>0</v>
      </c>
      <c r="AH112" s="365">
        <f>'Ar-Pa'!AY112</f>
        <v>0</v>
      </c>
      <c r="AI112" s="365">
        <f>SUM('Cal. Arr'!AB115:AY115)</f>
        <v>0</v>
      </c>
      <c r="AJ112" s="442">
        <v>27.4</v>
      </c>
      <c r="AK112" s="442">
        <v>1.5</v>
      </c>
      <c r="AL112" s="267">
        <f t="shared" si="21"/>
        <v>396.25807853722262</v>
      </c>
      <c r="AM112" s="267">
        <f>+CONVERT(AK112+Tabla1[[#This Row],[Con. DO Storage Gen. '[m3']]],"m^3","gal")</f>
        <v>7634.5723131504892</v>
      </c>
      <c r="AN112" s="372">
        <f>SUM('DO Pilot'!B112:Y112)</f>
        <v>6</v>
      </c>
      <c r="AO112" s="372">
        <f t="shared" si="22"/>
        <v>1585.0323141488905</v>
      </c>
      <c r="AP112" s="267">
        <f>AK112+AN112+Tabla1[[#This Row],[Con. DO Storage Gen. '[m3']]]</f>
        <v>34.9</v>
      </c>
      <c r="AQ112" s="372">
        <f t="shared" si="29"/>
        <v>9219.6046272993808</v>
      </c>
      <c r="AR112" s="442">
        <v>10992</v>
      </c>
      <c r="AS112" s="442">
        <v>11203</v>
      </c>
      <c r="AT112" s="267">
        <f>+CONVERT(SUM(Tabla1[[#This Row],[Repo. DO Storage '[gal']]:[Repo. DO Pilot '[gal']]]),"gal","m3")</f>
        <v>84.017214545879995</v>
      </c>
      <c r="AU112" s="442">
        <v>0</v>
      </c>
      <c r="AV112" s="267">
        <f t="shared" si="36"/>
        <v>0</v>
      </c>
      <c r="AW112" s="442">
        <v>0</v>
      </c>
      <c r="AX112" s="267">
        <f t="shared" si="23"/>
        <v>0</v>
      </c>
      <c r="AY112" s="372">
        <f t="shared" si="24"/>
        <v>0.29974136046688549</v>
      </c>
      <c r="AZ112" s="372">
        <f>IFERROR(AL112/'Ar-Pa'!AX112,0)</f>
        <v>0</v>
      </c>
      <c r="BA112" s="372">
        <f>IFERROR(AL112/'Ar-Pa'!AY112,0)</f>
        <v>0</v>
      </c>
      <c r="BB112" s="372">
        <f t="shared" si="25"/>
        <v>1.1989654418675419</v>
      </c>
      <c r="BC112" s="372">
        <f>IFERROR(AVERAGEIF('DO Pilot'!AX112:BU112,"&gt;0"),0)</f>
        <v>9.4347161556481556</v>
      </c>
      <c r="BD112" s="445">
        <v>319960</v>
      </c>
      <c r="BE112" s="445">
        <v>11326</v>
      </c>
      <c r="BF112" s="446">
        <v>329241</v>
      </c>
      <c r="BG112" s="223">
        <f>Tabla1[[#This Row],[ Re. Gas GC
 '[m3']]]</f>
        <v>329241</v>
      </c>
      <c r="BH112" s="150">
        <f>IFERROR((BG112*Gas!$B$3)/28.31685,0)</f>
        <v>11582.619513823041</v>
      </c>
      <c r="BI112" s="151">
        <f t="shared" si="37"/>
        <v>256.61951382304142</v>
      </c>
      <c r="BJ112" s="74">
        <f t="shared" si="30"/>
        <v>2.2155567962565296E-2</v>
      </c>
      <c r="BK112" s="223">
        <f t="shared" si="26"/>
        <v>8567.3222390317696</v>
      </c>
      <c r="BL112" s="442">
        <v>0</v>
      </c>
      <c r="BM112" s="150">
        <f t="shared" si="27"/>
        <v>8518.5737291757996</v>
      </c>
      <c r="BN112" s="150">
        <f t="shared" si="31"/>
        <v>8834.7593364865097</v>
      </c>
      <c r="BO112" s="373">
        <f>IFERROR(Tabla1[[#This Row],[ Re. Gas GC
 '[m3']]]/Tabla1[[#This Row],[G. HGS 
Con Gas '[kWh']]],0)</f>
        <v>0.24904765506807866</v>
      </c>
      <c r="BP112" s="374">
        <f>Tank!Y113</f>
        <v>0</v>
      </c>
      <c r="BQ112" s="70">
        <f>Tank!AP113</f>
        <v>0</v>
      </c>
      <c r="BR112" s="70">
        <f>Tank!V113</f>
        <v>0</v>
      </c>
      <c r="BS112" s="372">
        <f>Tank!T113</f>
        <v>0</v>
      </c>
      <c r="BT112" s="375" t="s">
        <v>228</v>
      </c>
      <c r="BU112" s="449">
        <v>71</v>
      </c>
      <c r="BV112" s="375">
        <f>IF(Tabla1[[#This Row],[Combustible ofertado]]="GAS",Tabla1[[#This Row],[Disponibilidad]],0)</f>
        <v>0</v>
      </c>
      <c r="BW112" s="375">
        <f>IF(Tabla1[[#This Row],[Combustible ofertado]]="DIESEL",Tabla1[[#This Row],[Disponibilidad]],0)</f>
        <v>71</v>
      </c>
      <c r="BX112" s="375">
        <f>IF(Tabla1[[#This Row],[Combustible ofertado]]="HFO",Tabla1[[#This Row],[Disponibilidad]],0)</f>
        <v>0</v>
      </c>
      <c r="BY112" s="454">
        <v>1440</v>
      </c>
      <c r="BZ112" s="446">
        <f>'Horo. M'!C113</f>
        <v>24</v>
      </c>
      <c r="CA112" s="446">
        <f>'Horo. M'!E113</f>
        <v>0</v>
      </c>
      <c r="CB112" s="446">
        <f>'Horo. M'!G113</f>
        <v>24</v>
      </c>
      <c r="CC112" s="446">
        <f>'Horo. M'!I113</f>
        <v>24</v>
      </c>
      <c r="CD112" s="446">
        <f>'Horo. M'!K113</f>
        <v>22</v>
      </c>
      <c r="CE112" s="446">
        <f>'Horo. M'!M113</f>
        <v>24</v>
      </c>
      <c r="CF112" s="446">
        <f>'Horo. M'!O113</f>
        <v>0</v>
      </c>
      <c r="CG112" s="446">
        <f>'Horo. M'!Q113</f>
        <v>24</v>
      </c>
      <c r="CH112" s="446">
        <f>'Horo. M'!S113</f>
        <v>24</v>
      </c>
      <c r="CI112" s="446">
        <f>'Horo. M'!U113</f>
        <v>24</v>
      </c>
      <c r="CJ112" s="70">
        <f>Tabla1[[#This Row],[Con. DO Storage '[gal']]]-Tabla1[[#This Row],[C. DO Storage Ge '[gal']]]</f>
        <v>396.25807853722262</v>
      </c>
      <c r="CK112" s="70"/>
      <c r="CL112" s="70"/>
      <c r="CM112" s="372">
        <f>Tabla1[[#This Row],[Con. DO Total '[gal']]]*131485.5/(1000000)</f>
        <v>1212.2443242227728</v>
      </c>
    </row>
    <row r="113" spans="1:91" s="5" customFormat="1" ht="15" customHeight="1">
      <c r="A113" s="362">
        <v>45038</v>
      </c>
      <c r="B113" s="363" t="str">
        <f>TEXT(Tabla1[[#This Row],[Fecha]],"mmmm")</f>
        <v>abril</v>
      </c>
      <c r="C113" s="429">
        <v>0</v>
      </c>
      <c r="D113" s="430">
        <v>1292</v>
      </c>
      <c r="E113" s="430">
        <v>1292</v>
      </c>
      <c r="F113" s="430">
        <v>1328</v>
      </c>
      <c r="G113" s="431">
        <v>0</v>
      </c>
      <c r="H113" s="431">
        <v>0</v>
      </c>
      <c r="I113" s="432">
        <v>0</v>
      </c>
      <c r="J113" s="432">
        <v>0</v>
      </c>
      <c r="K113" s="430">
        <v>24</v>
      </c>
      <c r="L113" s="430">
        <v>24</v>
      </c>
      <c r="M113" s="365">
        <f>Tabla1[[#This Row],[Columna1]]-Tabla1[[#This Row],[PO '[h']]]</f>
        <v>0</v>
      </c>
      <c r="N113" s="365">
        <f t="shared" si="35"/>
        <v>1328</v>
      </c>
      <c r="O113" s="430">
        <v>1328</v>
      </c>
      <c r="P113" s="367">
        <f>Tabla1[[#This Row],[G. HGS 
'[MWh']]]</f>
        <v>1328</v>
      </c>
      <c r="Q113" s="430">
        <v>0</v>
      </c>
      <c r="R113" s="367">
        <v>0</v>
      </c>
      <c r="S113" s="367">
        <f>Tabla1[[#This Row],[G. HGS 
Con Gas]]*1000</f>
        <v>1328000</v>
      </c>
      <c r="T113" s="365">
        <f>Tabla1[[#This Row],[G. HGS 
'[MWh']]]*1000</f>
        <v>1328000</v>
      </c>
      <c r="U113" s="368">
        <f>SUM('G. Un GE'!B113:Y113)</f>
        <v>1316.9188999999999</v>
      </c>
      <c r="V113" s="369">
        <f>Tabla1[[#This Row],[R. GE
'[MWh']]]</f>
        <v>1316.9188999999999</v>
      </c>
      <c r="W113" s="434">
        <v>0</v>
      </c>
      <c r="X113" s="369">
        <v>0</v>
      </c>
      <c r="Y113" s="365">
        <f>Tabla1[[#This Row],[R. GE
'[MWh']]]*1000</f>
        <v>1316918.8999999999</v>
      </c>
      <c r="Z113" s="434">
        <v>38.119999999999997</v>
      </c>
      <c r="AA113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38.119999999999997</v>
      </c>
      <c r="AB113" s="368">
        <f>IF(Tabla1[[#This Row],[G. HGS 
'[MWh']]]=0,0,Tabla1[[#This Row],[G. HGS 
'[MWh']]]+Tabla1[[#This Row],[Con. Aux. '[MWh']2]])</f>
        <v>1366.12</v>
      </c>
      <c r="AC113" s="368">
        <f>'C. ENER. TN'!F113</f>
        <v>0</v>
      </c>
      <c r="AD113" s="370">
        <f>'C. ENER. TN'!G113</f>
        <v>1316.9188999999999</v>
      </c>
      <c r="AE113" s="370">
        <f>'G. Un GE'!AX113</f>
        <v>166.51133214285719</v>
      </c>
      <c r="AF113" s="368">
        <f>IFERROR('G. Un GE'!AX113/Tabla1[[#This Row],[PO '[h']]],0)</f>
        <v>6.9379721726190491</v>
      </c>
      <c r="AG113" s="365">
        <f>'Ar-Pa'!AX113</f>
        <v>2</v>
      </c>
      <c r="AH113" s="365">
        <f>'Ar-Pa'!AY113</f>
        <v>1</v>
      </c>
      <c r="AI113" s="365">
        <f>SUM('Cal. Arr'!AB116:AY116)</f>
        <v>0</v>
      </c>
      <c r="AJ113" s="442">
        <v>30.99</v>
      </c>
      <c r="AK113" s="442">
        <v>1.1100000000000001</v>
      </c>
      <c r="AL113" s="267">
        <f t="shared" si="21"/>
        <v>293.23097811754474</v>
      </c>
      <c r="AM113" s="267">
        <f>+CONVERT(AK113+Tabla1[[#This Row],[Con. DO Storage Gen. '[m3']]],"m^3","gal")</f>
        <v>8479.9228806965639</v>
      </c>
      <c r="AN113" s="372">
        <f>SUM('DO Pilot'!B113:Y113)</f>
        <v>5.9500000000000011</v>
      </c>
      <c r="AO113" s="372">
        <f t="shared" si="22"/>
        <v>1571.8237115309832</v>
      </c>
      <c r="AP113" s="267">
        <f>AK113+AN113+Tabla1[[#This Row],[Con. DO Storage Gen. '[m3']]]</f>
        <v>38.049999999999997</v>
      </c>
      <c r="AQ113" s="372">
        <f t="shared" si="29"/>
        <v>10051.746592227548</v>
      </c>
      <c r="AR113" s="442">
        <v>11186</v>
      </c>
      <c r="AS113" s="442">
        <v>0</v>
      </c>
      <c r="AT113" s="267">
        <f>+CONVERT(SUM(Tabla1[[#This Row],[Repo. DO Storage '[gal']]:[Repo. DO Pilot '[gal']]]),"gal","m3")</f>
        <v>42.343616215823999</v>
      </c>
      <c r="AU113" s="442">
        <v>0</v>
      </c>
      <c r="AV113" s="267">
        <f t="shared" si="36"/>
        <v>0</v>
      </c>
      <c r="AW113" s="442">
        <v>0</v>
      </c>
      <c r="AX113" s="267">
        <f t="shared" si="23"/>
        <v>0</v>
      </c>
      <c r="AY113" s="372">
        <f t="shared" si="24"/>
        <v>0.220806459425862</v>
      </c>
      <c r="AZ113" s="372">
        <f>IFERROR(AL113/'Ar-Pa'!AX113,0)</f>
        <v>146.61548905877237</v>
      </c>
      <c r="BA113" s="372">
        <f>IFERROR(AL113/'Ar-Pa'!AY113,0)</f>
        <v>293.23097811754474</v>
      </c>
      <c r="BB113" s="372">
        <f t="shared" si="25"/>
        <v>1.183602192417909</v>
      </c>
      <c r="BC113" s="372">
        <f>IFERROR(AVERAGEIF('DO Pilot'!AX113:BU113,"&gt;0"),0)</f>
        <v>8.2809289924470182</v>
      </c>
      <c r="BD113" s="445">
        <v>324409</v>
      </c>
      <c r="BE113" s="445">
        <v>11484</v>
      </c>
      <c r="BF113" s="446">
        <v>322818</v>
      </c>
      <c r="BG113" s="223">
        <f>Tabla1[[#This Row],[ Re. Gas GC
 '[m3']]]</f>
        <v>322818</v>
      </c>
      <c r="BH113" s="150">
        <f>IFERROR((BG113*Gas!$B$3)/28.31685,0)</f>
        <v>11356.659912384323</v>
      </c>
      <c r="BI113" s="151">
        <f t="shared" si="37"/>
        <v>-127.34008761567748</v>
      </c>
      <c r="BJ113" s="74">
        <f t="shared" si="30"/>
        <v>-1.1212811565908951E-2</v>
      </c>
      <c r="BK113" s="223">
        <f t="shared" si="26"/>
        <v>8647.590361445782</v>
      </c>
      <c r="BL113" s="442">
        <v>8798.5400000000009</v>
      </c>
      <c r="BM113" s="150">
        <f t="shared" si="27"/>
        <v>8313.0763859575472</v>
      </c>
      <c r="BN113" s="150">
        <f t="shared" si="31"/>
        <v>8623.6592947252284</v>
      </c>
      <c r="BO113" s="373">
        <f>IFERROR(Tabla1[[#This Row],[ Re. Gas GC
 '[m3']]]/Tabla1[[#This Row],[G. HGS 
Con Gas '[kWh']]],0)</f>
        <v>0.24308584337349398</v>
      </c>
      <c r="BP113" s="374">
        <f>Tank!Y114</f>
        <v>0</v>
      </c>
      <c r="BQ113" s="70">
        <f>Tank!AP114</f>
        <v>0</v>
      </c>
      <c r="BR113" s="70">
        <f>Tank!V114</f>
        <v>0</v>
      </c>
      <c r="BS113" s="372">
        <f>Tank!T114</f>
        <v>0</v>
      </c>
      <c r="BT113" s="375" t="s">
        <v>228</v>
      </c>
      <c r="BU113" s="449">
        <v>71</v>
      </c>
      <c r="BV113" s="375">
        <f>IF(Tabla1[[#This Row],[Combustible ofertado]]="GAS",Tabla1[[#This Row],[Disponibilidad]],0)</f>
        <v>0</v>
      </c>
      <c r="BW113" s="375">
        <f>IF(Tabla1[[#This Row],[Combustible ofertado]]="DIESEL",Tabla1[[#This Row],[Disponibilidad]],0)</f>
        <v>71</v>
      </c>
      <c r="BX113" s="375">
        <f>IF(Tabla1[[#This Row],[Combustible ofertado]]="HFO",Tabla1[[#This Row],[Disponibilidad]],0)</f>
        <v>0</v>
      </c>
      <c r="BY113" s="454">
        <v>1440</v>
      </c>
      <c r="BZ113" s="446">
        <f>'Horo. M'!C114</f>
        <v>24</v>
      </c>
      <c r="CA113" s="446">
        <f>'Horo. M'!E114</f>
        <v>0</v>
      </c>
      <c r="CB113" s="446">
        <f>'Horo. M'!G114</f>
        <v>24</v>
      </c>
      <c r="CC113" s="446">
        <f>'Horo. M'!I114</f>
        <v>24</v>
      </c>
      <c r="CD113" s="446">
        <f>'Horo. M'!K114</f>
        <v>24</v>
      </c>
      <c r="CE113" s="446">
        <f>'Horo. M'!M114</f>
        <v>24</v>
      </c>
      <c r="CF113" s="446">
        <f>'Horo. M'!O114</f>
        <v>0</v>
      </c>
      <c r="CG113" s="446">
        <f>'Horo. M'!Q114</f>
        <v>23</v>
      </c>
      <c r="CH113" s="446">
        <f>'Horo. M'!S114</f>
        <v>24</v>
      </c>
      <c r="CI113" s="446">
        <f>'Horo. M'!U114</f>
        <v>24</v>
      </c>
      <c r="CJ113" s="70">
        <f>Tabla1[[#This Row],[Con. DO Storage '[gal']]]-Tabla1[[#This Row],[C. DO Storage Ge '[gal']]]</f>
        <v>293.23097811754474</v>
      </c>
      <c r="CK113" s="70"/>
      <c r="CL113" s="70"/>
      <c r="CM113" s="372">
        <f>Tabla1[[#This Row],[Con. DO Total '[gal']]]*131485.5/(1000000)</f>
        <v>1321.6589265523353</v>
      </c>
    </row>
    <row r="114" spans="1:91" s="5" customFormat="1" ht="15" customHeight="1">
      <c r="A114" s="362">
        <v>45039</v>
      </c>
      <c r="B114" s="363" t="str">
        <f>TEXT(Tabla1[[#This Row],[Fecha]],"mmmm")</f>
        <v>abril</v>
      </c>
      <c r="C114" s="429">
        <v>0</v>
      </c>
      <c r="D114" s="430">
        <v>1288</v>
      </c>
      <c r="E114" s="430">
        <v>1288</v>
      </c>
      <c r="F114" s="430">
        <v>1309</v>
      </c>
      <c r="G114" s="431">
        <v>0</v>
      </c>
      <c r="H114" s="431">
        <v>0</v>
      </c>
      <c r="I114" s="432">
        <v>0</v>
      </c>
      <c r="J114" s="432">
        <v>0</v>
      </c>
      <c r="K114" s="430">
        <v>24</v>
      </c>
      <c r="L114" s="430">
        <v>24</v>
      </c>
      <c r="M114" s="365">
        <f>Tabla1[[#This Row],[Columna1]]-Tabla1[[#This Row],[PO '[h']]]</f>
        <v>0</v>
      </c>
      <c r="N114" s="365">
        <f t="shared" si="35"/>
        <v>1309</v>
      </c>
      <c r="O114" s="430">
        <v>1309</v>
      </c>
      <c r="P114" s="367">
        <f>Tabla1[[#This Row],[G. HGS 
'[MWh']]]</f>
        <v>1309</v>
      </c>
      <c r="Q114" s="430">
        <v>0</v>
      </c>
      <c r="R114" s="367">
        <v>0</v>
      </c>
      <c r="S114" s="367">
        <f>Tabla1[[#This Row],[G. HGS 
Con Gas]]*1000</f>
        <v>1309000</v>
      </c>
      <c r="T114" s="365">
        <f>Tabla1[[#This Row],[G. HGS 
'[MWh']]]*1000</f>
        <v>1309000</v>
      </c>
      <c r="U114" s="368">
        <f>SUM('G. Un GE'!B114:Y114)</f>
        <v>1296.7610999999999</v>
      </c>
      <c r="V114" s="369">
        <f>Tabla1[[#This Row],[R. GE
'[MWh']]]</f>
        <v>1296.7610999999999</v>
      </c>
      <c r="W114" s="434">
        <v>0</v>
      </c>
      <c r="X114" s="369">
        <v>0</v>
      </c>
      <c r="Y114" s="365">
        <f>Tabla1[[#This Row],[R. GE
'[MWh']]]*1000</f>
        <v>1296761.0999999999</v>
      </c>
      <c r="Z114" s="434">
        <v>38.19</v>
      </c>
      <c r="AA114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38.19</v>
      </c>
      <c r="AB114" s="368">
        <f>IF(Tabla1[[#This Row],[G. HGS 
'[MWh']]]=0,0,Tabla1[[#This Row],[G. HGS 
'[MWh']]]+Tabla1[[#This Row],[Con. Aux. '[MWh']2]])</f>
        <v>1347.19</v>
      </c>
      <c r="AC114" s="368">
        <f>'C. ENER. TN'!F114</f>
        <v>0</v>
      </c>
      <c r="AD114" s="370">
        <f>'C. ENER. TN'!G114</f>
        <v>1296.7610999999999</v>
      </c>
      <c r="AE114" s="370">
        <f>'G. Un GE'!AX114</f>
        <v>163.98028571428571</v>
      </c>
      <c r="AF114" s="368">
        <f>IFERROR('G. Un GE'!AX114/Tabla1[[#This Row],[PO '[h']]],0)</f>
        <v>6.8325119047619047</v>
      </c>
      <c r="AG114" s="365">
        <f>'Ar-Pa'!AX114</f>
        <v>1</v>
      </c>
      <c r="AH114" s="365">
        <f>'Ar-Pa'!AY114</f>
        <v>1</v>
      </c>
      <c r="AI114" s="365">
        <f>SUM('Cal. Arr'!AB117:AY117)</f>
        <v>0</v>
      </c>
      <c r="AJ114" s="442">
        <v>83.86</v>
      </c>
      <c r="AK114" s="442">
        <v>1.06</v>
      </c>
      <c r="AL114" s="267">
        <f t="shared" si="21"/>
        <v>280.02237549963735</v>
      </c>
      <c r="AM114" s="267">
        <f>+CONVERT(AK114+Tabla1[[#This Row],[Con. DO Storage Gen. '[m3']]],"m^3","gal")</f>
        <v>22433.490686253965</v>
      </c>
      <c r="AN114" s="372">
        <f>SUM('DO Pilot'!B114:Y114)</f>
        <v>5.3900000000000015</v>
      </c>
      <c r="AO114" s="372">
        <f t="shared" si="22"/>
        <v>1423.8873622104204</v>
      </c>
      <c r="AP114" s="267">
        <f>AK114+AN114+Tabla1[[#This Row],[Con. DO Storage Gen. '[m3']]]</f>
        <v>90.31</v>
      </c>
      <c r="AQ114" s="372">
        <f t="shared" si="29"/>
        <v>23857.378048464383</v>
      </c>
      <c r="AR114" s="442">
        <v>0</v>
      </c>
      <c r="AS114" s="442">
        <v>0</v>
      </c>
      <c r="AT114" s="267">
        <f>+CONVERT(SUM(Tabla1[[#This Row],[Repo. DO Storage '[gal']]:[Repo. DO Pilot '[gal']]]),"gal","m3")</f>
        <v>0</v>
      </c>
      <c r="AU114" s="442">
        <v>0</v>
      </c>
      <c r="AV114" s="267">
        <f t="shared" si="36"/>
        <v>0</v>
      </c>
      <c r="AW114" s="442">
        <v>0</v>
      </c>
      <c r="AX114" s="267">
        <f t="shared" si="23"/>
        <v>0</v>
      </c>
      <c r="AY114" s="372">
        <f t="shared" si="24"/>
        <v>0.21392083689811867</v>
      </c>
      <c r="AZ114" s="372">
        <f>IFERROR(AL114/'Ar-Pa'!AX114,0)</f>
        <v>280.02237549963735</v>
      </c>
      <c r="BA114" s="372">
        <f>IFERROR(AL114/'Ar-Pa'!AY114,0)</f>
        <v>280.02237549963735</v>
      </c>
      <c r="BB114" s="372">
        <f t="shared" si="25"/>
        <v>1.0877672744159055</v>
      </c>
      <c r="BC114" s="372">
        <f>IFERROR(AVERAGEIF('DO Pilot'!AX114:BU114,"&gt;0"),0)</f>
        <v>7.5025649096060461</v>
      </c>
      <c r="BD114" s="445">
        <v>260234</v>
      </c>
      <c r="BE114" s="445">
        <v>9212</v>
      </c>
      <c r="BF114" s="446">
        <v>260231</v>
      </c>
      <c r="BG114" s="223">
        <f>Tabla1[[#This Row],[ Re. Gas GC
 '[m3']]]</f>
        <v>260231</v>
      </c>
      <c r="BH114" s="150">
        <f>IFERROR((BG114*Gas!$B$3)/28.31685,0)</f>
        <v>9154.8642444339675</v>
      </c>
      <c r="BI114" s="151">
        <f t="shared" si="37"/>
        <v>-57.135755566032458</v>
      </c>
      <c r="BJ114" s="74">
        <f t="shared" si="30"/>
        <v>-6.2410270693822921E-3</v>
      </c>
      <c r="BK114" s="223">
        <f t="shared" si="26"/>
        <v>7037.4331550802135</v>
      </c>
      <c r="BL114" s="442">
        <v>0</v>
      </c>
      <c r="BM114" s="150">
        <f t="shared" si="27"/>
        <v>6795.5256826683444</v>
      </c>
      <c r="BN114" s="150">
        <f t="shared" si="31"/>
        <v>7059.7924663486347</v>
      </c>
      <c r="BO114" s="373">
        <f>IFERROR(Tabla1[[#This Row],[ Re. Gas GC
 '[m3']]]/Tabla1[[#This Row],[G. HGS 
Con Gas '[kWh']]],0)</f>
        <v>0.19880137509549275</v>
      </c>
      <c r="BP114" s="374">
        <f>Tank!Y115</f>
        <v>0</v>
      </c>
      <c r="BQ114" s="70">
        <f>Tank!AP115</f>
        <v>0</v>
      </c>
      <c r="BR114" s="70">
        <f>Tank!V115</f>
        <v>0</v>
      </c>
      <c r="BS114" s="372">
        <f>Tank!T115</f>
        <v>0</v>
      </c>
      <c r="BT114" s="375" t="s">
        <v>228</v>
      </c>
      <c r="BU114" s="449">
        <v>71</v>
      </c>
      <c r="BV114" s="375">
        <f>IF(Tabla1[[#This Row],[Combustible ofertado]]="GAS",Tabla1[[#This Row],[Disponibilidad]],0)</f>
        <v>0</v>
      </c>
      <c r="BW114" s="375">
        <f>IF(Tabla1[[#This Row],[Combustible ofertado]]="DIESEL",Tabla1[[#This Row],[Disponibilidad]],0)</f>
        <v>71</v>
      </c>
      <c r="BX114" s="375">
        <f>IF(Tabla1[[#This Row],[Combustible ofertado]]="HFO",Tabla1[[#This Row],[Disponibilidad]],0)</f>
        <v>0</v>
      </c>
      <c r="BY114" s="454">
        <v>1440</v>
      </c>
      <c r="BZ114" s="446">
        <f>'Horo. M'!C115</f>
        <v>24</v>
      </c>
      <c r="CA114" s="446">
        <f>'Horo. M'!E115</f>
        <v>0</v>
      </c>
      <c r="CB114" s="446">
        <f>'Horo. M'!G115</f>
        <v>24</v>
      </c>
      <c r="CC114" s="446">
        <f>'Horo. M'!I115</f>
        <v>24</v>
      </c>
      <c r="CD114" s="446">
        <f>'Horo. M'!K115</f>
        <v>24</v>
      </c>
      <c r="CE114" s="446">
        <f>'Horo. M'!M115</f>
        <v>24</v>
      </c>
      <c r="CF114" s="446">
        <f>'Horo. M'!O115</f>
        <v>0</v>
      </c>
      <c r="CG114" s="446">
        <f>'Horo. M'!Q115</f>
        <v>22</v>
      </c>
      <c r="CH114" s="446">
        <f>'Horo. M'!S115</f>
        <v>24</v>
      </c>
      <c r="CI114" s="446">
        <f>'Horo. M'!U115</f>
        <v>24</v>
      </c>
      <c r="CJ114" s="70">
        <f>Tabla1[[#This Row],[Con. DO Storage '[gal']]]-Tabla1[[#This Row],[C. DO Storage Ge '[gal']]]</f>
        <v>280.02237549963735</v>
      </c>
      <c r="CK114" s="70"/>
      <c r="CL114" s="70"/>
      <c r="CM114" s="372">
        <f>Tabla1[[#This Row],[Con. DO Total '[gal']]]*131485.5/(1000000)</f>
        <v>3136.8992813913637</v>
      </c>
    </row>
    <row r="115" spans="1:91" s="5" customFormat="1" ht="15" customHeight="1">
      <c r="A115" s="362">
        <v>45040</v>
      </c>
      <c r="B115" s="363" t="str">
        <f>TEXT(Tabla1[[#This Row],[Fecha]],"mmmm")</f>
        <v>abril</v>
      </c>
      <c r="C115" s="429">
        <v>0</v>
      </c>
      <c r="D115" s="430">
        <v>533</v>
      </c>
      <c r="E115" s="430">
        <v>533</v>
      </c>
      <c r="F115" s="430">
        <v>1229</v>
      </c>
      <c r="G115" s="431">
        <v>17</v>
      </c>
      <c r="H115" s="431">
        <v>910</v>
      </c>
      <c r="I115" s="432">
        <v>1</v>
      </c>
      <c r="J115" s="432">
        <v>62</v>
      </c>
      <c r="K115" s="430">
        <v>24</v>
      </c>
      <c r="L115" s="430">
        <v>24</v>
      </c>
      <c r="M115" s="365">
        <f>Tabla1[[#This Row],[Columna1]]-Tabla1[[#This Row],[PO '[h']]]</f>
        <v>0</v>
      </c>
      <c r="N115" s="365">
        <f t="shared" si="35"/>
        <v>2201</v>
      </c>
      <c r="O115" s="430">
        <v>1229</v>
      </c>
      <c r="P115" s="367">
        <f>Tabla1[[#This Row],[G. HGS 
'[MWh']]]</f>
        <v>1229</v>
      </c>
      <c r="Q115" s="430">
        <v>0</v>
      </c>
      <c r="R115" s="367">
        <v>0</v>
      </c>
      <c r="S115" s="367">
        <f>Tabla1[[#This Row],[G. HGS 
Con Gas]]*1000</f>
        <v>1229000</v>
      </c>
      <c r="T115" s="365">
        <f>Tabla1[[#This Row],[G. HGS 
'[MWh']]]*1000</f>
        <v>1229000</v>
      </c>
      <c r="U115" s="368">
        <f>SUM('G. Un GE'!B115:Y115)</f>
        <v>1218.6484000000003</v>
      </c>
      <c r="V115" s="369">
        <f>Tabla1[[#This Row],[R. GE
'[MWh']]]</f>
        <v>1218.6484000000003</v>
      </c>
      <c r="W115" s="434">
        <v>0</v>
      </c>
      <c r="X115" s="369">
        <v>0</v>
      </c>
      <c r="Y115" s="365">
        <f>Tabla1[[#This Row],[R. GE
'[MWh']]]*1000</f>
        <v>1218648.4000000004</v>
      </c>
      <c r="Z115" s="434">
        <v>33.700000000000003</v>
      </c>
      <c r="AA115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33.700000000000003</v>
      </c>
      <c r="AB115" s="368">
        <f>IF(Tabla1[[#This Row],[G. HGS 
'[MWh']]]=0,0,Tabla1[[#This Row],[G. HGS 
'[MWh']]]+Tabla1[[#This Row],[Con. Aux. '[MWh']2]])</f>
        <v>1262.7</v>
      </c>
      <c r="AC115" s="368">
        <f>'C. ENER. TN'!F115</f>
        <v>0</v>
      </c>
      <c r="AD115" s="370">
        <f>'C. ENER. TN'!G115</f>
        <v>1218.6483999999998</v>
      </c>
      <c r="AE115" s="370">
        <f>'G. Un GE'!AX115</f>
        <v>186.78652857142853</v>
      </c>
      <c r="AF115" s="368">
        <f>IFERROR('G. Un GE'!AX115/Tabla1[[#This Row],[PO '[h']]],0)</f>
        <v>7.7827720238095219</v>
      </c>
      <c r="AG115" s="365">
        <f>'Ar-Pa'!AX115</f>
        <v>1</v>
      </c>
      <c r="AH115" s="365">
        <f>'Ar-Pa'!AY115</f>
        <v>2</v>
      </c>
      <c r="AI115" s="365">
        <f>SUM('Cal. Arr'!AB118:AY118)</f>
        <v>0</v>
      </c>
      <c r="AJ115" s="442">
        <v>188.88</v>
      </c>
      <c r="AK115" s="442">
        <v>1.07</v>
      </c>
      <c r="AL115" s="267">
        <f t="shared" si="21"/>
        <v>282.6640960232188</v>
      </c>
      <c r="AM115" s="267">
        <f>+CONVERT(AK115+Tabla1[[#This Row],[Con. DO Storage Gen. '[m3']]],"m^3","gal")</f>
        <v>50179.481345430293</v>
      </c>
      <c r="AN115" s="372">
        <f>SUM('DO Pilot'!B115:Y115)</f>
        <v>3.7800000000000007</v>
      </c>
      <c r="AO115" s="372">
        <f t="shared" si="22"/>
        <v>998.57035791380133</v>
      </c>
      <c r="AP115" s="267">
        <f>AK115+AN115+Tabla1[[#This Row],[Con. DO Storage Gen. '[m3']]]</f>
        <v>193.73</v>
      </c>
      <c r="AQ115" s="372">
        <f t="shared" si="29"/>
        <v>51178.051703344092</v>
      </c>
      <c r="AR115" s="442">
        <v>22179</v>
      </c>
      <c r="AS115" s="442">
        <v>0</v>
      </c>
      <c r="AT115" s="267">
        <f>+CONVERT(SUM(Tabla1[[#This Row],[Repo. DO Storage '[gal']]:[Repo. DO Pilot '[gal']]]),"gal","m3")</f>
        <v>83.956647957336003</v>
      </c>
      <c r="AU115" s="442">
        <v>0</v>
      </c>
      <c r="AV115" s="267">
        <f t="shared" si="36"/>
        <v>0</v>
      </c>
      <c r="AW115" s="442">
        <v>0</v>
      </c>
      <c r="AX115" s="267">
        <f t="shared" si="23"/>
        <v>0</v>
      </c>
      <c r="AY115" s="372">
        <f t="shared" si="24"/>
        <v>0.22999519611327812</v>
      </c>
      <c r="AZ115" s="372">
        <f>IFERROR(AL115/'Ar-Pa'!AX115,0)</f>
        <v>282.6640960232188</v>
      </c>
      <c r="BA115" s="372">
        <f>IFERROR(AL115/'Ar-Pa'!AY115,0)</f>
        <v>141.3320480116094</v>
      </c>
      <c r="BB115" s="372">
        <f t="shared" si="25"/>
        <v>0.81250639374597344</v>
      </c>
      <c r="BC115" s="372">
        <f>IFERROR(AVERAGEIF('DO Pilot'!AX115:BU115,"&gt;0"),0)</f>
        <v>6.3762956685255476</v>
      </c>
      <c r="BD115" s="445">
        <v>125660</v>
      </c>
      <c r="BE115" s="445">
        <v>4448</v>
      </c>
      <c r="BF115" s="446">
        <v>125562</v>
      </c>
      <c r="BG115" s="223">
        <f>Tabla1[[#This Row],[ Re. Gas GC
 '[m3']]]</f>
        <v>125562</v>
      </c>
      <c r="BH115" s="150">
        <f>IFERROR((BG115*Gas!$B$3)/28.31685,0)</f>
        <v>4417.2410829594392</v>
      </c>
      <c r="BI115" s="151">
        <f t="shared" si="37"/>
        <v>-30.758917040560846</v>
      </c>
      <c r="BJ115" s="74">
        <f t="shared" si="30"/>
        <v>-6.9633774708880401E-3</v>
      </c>
      <c r="BK115" s="223">
        <f t="shared" si="26"/>
        <v>3619.2026037428805</v>
      </c>
      <c r="BL115" s="442">
        <v>9017.6200000000008</v>
      </c>
      <c r="BM115" s="150">
        <f t="shared" si="27"/>
        <v>3498.2506398665073</v>
      </c>
      <c r="BN115" s="150">
        <f t="shared" si="31"/>
        <v>3624.7051101527218</v>
      </c>
      <c r="BO115" s="373">
        <f>IFERROR(Tabla1[[#This Row],[ Re. Gas GC
 '[m3']]]/Tabla1[[#This Row],[G. HGS 
Con Gas '[kWh']]],0)</f>
        <v>0.1021659886086249</v>
      </c>
      <c r="BP115" s="374">
        <f>Tank!Y116</f>
        <v>0</v>
      </c>
      <c r="BQ115" s="70">
        <f>Tank!AP116</f>
        <v>26.88</v>
      </c>
      <c r="BR115" s="70">
        <f>Tank!V116</f>
        <v>0</v>
      </c>
      <c r="BS115" s="372">
        <f>Tank!T116</f>
        <v>0</v>
      </c>
      <c r="BT115" s="375" t="s">
        <v>228</v>
      </c>
      <c r="BU115" s="449">
        <v>71</v>
      </c>
      <c r="BV115" s="375">
        <f>IF(Tabla1[[#This Row],[Combustible ofertado]]="GAS",Tabla1[[#This Row],[Disponibilidad]],0)</f>
        <v>0</v>
      </c>
      <c r="BW115" s="375">
        <f>IF(Tabla1[[#This Row],[Combustible ofertado]]="DIESEL",Tabla1[[#This Row],[Disponibilidad]],0)</f>
        <v>71</v>
      </c>
      <c r="BX115" s="375">
        <f>IF(Tabla1[[#This Row],[Combustible ofertado]]="HFO",Tabla1[[#This Row],[Disponibilidad]],0)</f>
        <v>0</v>
      </c>
      <c r="BY115" s="454">
        <v>1440</v>
      </c>
      <c r="BZ115" s="446">
        <f>'Horo. M'!C116</f>
        <v>19</v>
      </c>
      <c r="CA115" s="446">
        <f>'Horo. M'!E116</f>
        <v>0</v>
      </c>
      <c r="CB115" s="446">
        <f>'Horo. M'!G116</f>
        <v>20</v>
      </c>
      <c r="CC115" s="446">
        <f>'Horo. M'!I116</f>
        <v>20</v>
      </c>
      <c r="CD115" s="446">
        <f>'Horo. M'!K116</f>
        <v>13</v>
      </c>
      <c r="CE115" s="446">
        <f>'Horo. M'!M116</f>
        <v>23</v>
      </c>
      <c r="CF115" s="446">
        <f>'Horo. M'!O116</f>
        <v>0</v>
      </c>
      <c r="CG115" s="446">
        <f>'Horo. M'!Q116</f>
        <v>24</v>
      </c>
      <c r="CH115" s="446">
        <f>'Horo. M'!S116</f>
        <v>22</v>
      </c>
      <c r="CI115" s="446">
        <f>'Horo. M'!U116</f>
        <v>17</v>
      </c>
      <c r="CJ115" s="70">
        <f>Tabla1[[#This Row],[Con. DO Storage '[gal']]]-Tabla1[[#This Row],[C. DO Storage Ge '[gal']]]</f>
        <v>282.6640960232188</v>
      </c>
      <c r="CK115" s="70"/>
      <c r="CL115" s="70"/>
      <c r="CM115" s="372">
        <f>Tabla1[[#This Row],[Con. DO Total '[gal']]]*131485.5/(1000000)</f>
        <v>6729.1717172400495</v>
      </c>
    </row>
    <row r="116" spans="1:91" s="5" customFormat="1" ht="15" customHeight="1">
      <c r="A116" s="362">
        <v>45041</v>
      </c>
      <c r="B116" s="363" t="str">
        <f>TEXT(Tabla1[[#This Row],[Fecha]],"mmmm")</f>
        <v>abril</v>
      </c>
      <c r="C116" s="429">
        <v>0</v>
      </c>
      <c r="D116" s="430">
        <v>1325</v>
      </c>
      <c r="E116" s="430">
        <v>1325</v>
      </c>
      <c r="F116" s="430">
        <v>1345</v>
      </c>
      <c r="G116" s="431">
        <v>0</v>
      </c>
      <c r="H116" s="431">
        <v>0</v>
      </c>
      <c r="I116" s="432">
        <v>4</v>
      </c>
      <c r="J116" s="432">
        <v>266</v>
      </c>
      <c r="K116" s="430">
        <v>24</v>
      </c>
      <c r="L116" s="430">
        <v>24</v>
      </c>
      <c r="M116" s="365">
        <f>Tabla1[[#This Row],[Columna1]]-Tabla1[[#This Row],[PO '[h']]]</f>
        <v>0</v>
      </c>
      <c r="N116" s="365">
        <f t="shared" si="35"/>
        <v>1611</v>
      </c>
      <c r="O116" s="430">
        <v>1345</v>
      </c>
      <c r="P116" s="367">
        <f>Tabla1[[#This Row],[G. HGS 
'[MWh']]]</f>
        <v>1345</v>
      </c>
      <c r="Q116" s="430">
        <v>0</v>
      </c>
      <c r="R116" s="367">
        <v>0</v>
      </c>
      <c r="S116" s="367">
        <f>Tabla1[[#This Row],[G. HGS 
Con Gas]]*1000</f>
        <v>1345000</v>
      </c>
      <c r="T116" s="365">
        <f>Tabla1[[#This Row],[G. HGS 
'[MWh']]]*1000</f>
        <v>1345000</v>
      </c>
      <c r="U116" s="368">
        <f>SUM('G. Un GE'!B116:Y116)</f>
        <v>1332.9983</v>
      </c>
      <c r="V116" s="369">
        <f>Tabla1[[#This Row],[R. GE
'[MWh']]]</f>
        <v>1332.9983</v>
      </c>
      <c r="W116" s="434">
        <v>0</v>
      </c>
      <c r="X116" s="369">
        <v>0</v>
      </c>
      <c r="Y116" s="365">
        <f>Tabla1[[#This Row],[R. GE
'[MWh']]]*1000</f>
        <v>1332998.3</v>
      </c>
      <c r="Z116" s="434">
        <v>37.56</v>
      </c>
      <c r="AA116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37.56</v>
      </c>
      <c r="AB116" s="368">
        <f>IF(Tabla1[[#This Row],[G. HGS 
'[MWh']]]=0,0,Tabla1[[#This Row],[G. HGS 
'[MWh']]]+Tabla1[[#This Row],[Con. Aux. '[MWh']2]])</f>
        <v>1382.56</v>
      </c>
      <c r="AC116" s="368">
        <f>'C. ENER. TN'!F116</f>
        <v>0</v>
      </c>
      <c r="AD116" s="370">
        <f>'C. ENER. TN'!G116</f>
        <v>1332.9982999999997</v>
      </c>
      <c r="AE116" s="370">
        <f>'G. Un GE'!AX116</f>
        <v>178.56809047619046</v>
      </c>
      <c r="AF116" s="368">
        <f>IFERROR('G. Un GE'!AX116/Tabla1[[#This Row],[PO '[h']]],0)</f>
        <v>7.4403371031746026</v>
      </c>
      <c r="AG116" s="365">
        <f>'Ar-Pa'!AX116</f>
        <v>2</v>
      </c>
      <c r="AH116" s="365">
        <f>'Ar-Pa'!AY116</f>
        <v>1</v>
      </c>
      <c r="AI116" s="365">
        <f>SUM('Cal. Arr'!AB119:AY119)</f>
        <v>0</v>
      </c>
      <c r="AJ116" s="442">
        <v>91.6</v>
      </c>
      <c r="AK116" s="442">
        <v>1.8</v>
      </c>
      <c r="AL116" s="267">
        <f t="shared" si="21"/>
        <v>475.50969424466717</v>
      </c>
      <c r="AM116" s="267">
        <f>+CONVERT(AK116+Tabla1[[#This Row],[Con. DO Storage Gen. '[m3']]],"m^3","gal")</f>
        <v>24673.669690251059</v>
      </c>
      <c r="AN116" s="372">
        <f>SUM('DO Pilot'!B116:Y116)</f>
        <v>5.4700000000000006</v>
      </c>
      <c r="AO116" s="372">
        <f t="shared" si="22"/>
        <v>1445.021126399072</v>
      </c>
      <c r="AP116" s="267">
        <f>AK116+AN116+Tabla1[[#This Row],[Con. DO Storage Gen. '[m3']]]</f>
        <v>98.86999999999999</v>
      </c>
      <c r="AQ116" s="372">
        <f t="shared" si="29"/>
        <v>26118.690816650131</v>
      </c>
      <c r="AR116" s="442">
        <v>33189</v>
      </c>
      <c r="AS116" s="442">
        <v>0</v>
      </c>
      <c r="AT116" s="267">
        <f>+CONVERT(SUM(Tabla1[[#This Row],[Repo. DO Storage '[gal']]:[Repo. DO Pilot '[gal']]]),"gal","m3")</f>
        <v>125.63403169917599</v>
      </c>
      <c r="AU116" s="442">
        <v>0</v>
      </c>
      <c r="AV116" s="267">
        <f t="shared" si="36"/>
        <v>0</v>
      </c>
      <c r="AW116" s="442">
        <v>0</v>
      </c>
      <c r="AX116" s="267">
        <f t="shared" si="23"/>
        <v>0</v>
      </c>
      <c r="AY116" s="372">
        <f t="shared" si="24"/>
        <v>0.35353880612986405</v>
      </c>
      <c r="AZ116" s="372">
        <f>IFERROR(AL116/'Ar-Pa'!AX116,0)</f>
        <v>237.75484712233359</v>
      </c>
      <c r="BA116" s="372">
        <f>IFERROR(AL116/'Ar-Pa'!AY116,0)</f>
        <v>475.50969424466717</v>
      </c>
      <c r="BB116" s="372">
        <f t="shared" si="25"/>
        <v>1.0743651497390869</v>
      </c>
      <c r="BC116" s="372">
        <f>IFERROR(AVERAGEIF('DO Pilot'!AX116:BU116,"&gt;0"),0)</f>
        <v>8.0647167472134171</v>
      </c>
      <c r="BD116" s="445">
        <v>258012</v>
      </c>
      <c r="BE116" s="445">
        <v>9133</v>
      </c>
      <c r="BF116" s="446">
        <v>258122</v>
      </c>
      <c r="BG116" s="223">
        <f>Tabla1[[#This Row],[ Re. Gas GC
 '[m3']]]</f>
        <v>258122</v>
      </c>
      <c r="BH116" s="150">
        <f>IFERROR((BG116*Gas!$B$3)/28.31685,0)</f>
        <v>9080.6701296224674</v>
      </c>
      <c r="BI116" s="151">
        <f t="shared" si="37"/>
        <v>-52.329870377532643</v>
      </c>
      <c r="BJ116" s="74">
        <f t="shared" si="30"/>
        <v>-5.7627762742779292E-3</v>
      </c>
      <c r="BK116" s="223">
        <f t="shared" si="26"/>
        <v>6790.3345724907058</v>
      </c>
      <c r="BL116" s="442">
        <v>0</v>
      </c>
      <c r="BM116" s="150">
        <f t="shared" si="27"/>
        <v>6568.0116086263652</v>
      </c>
      <c r="BN116" s="150">
        <f t="shared" si="31"/>
        <v>6812.2143363742225</v>
      </c>
      <c r="BO116" s="373">
        <f>IFERROR(Tabla1[[#This Row],[ Re. Gas GC
 '[m3']]]/Tabla1[[#This Row],[G. HGS 
Con Gas '[kWh']]],0)</f>
        <v>0.19191226765799257</v>
      </c>
      <c r="BP116" s="374">
        <f>Tank!Y117</f>
        <v>0</v>
      </c>
      <c r="BQ116" s="70">
        <f>Tank!AP117</f>
        <v>8.4</v>
      </c>
      <c r="BR116" s="70">
        <f>Tank!V117</f>
        <v>0</v>
      </c>
      <c r="BS116" s="372">
        <f>Tank!T117</f>
        <v>0</v>
      </c>
      <c r="BT116" s="375" t="s">
        <v>228</v>
      </c>
      <c r="BU116" s="449">
        <v>71</v>
      </c>
      <c r="BV116" s="375">
        <f>IF(Tabla1[[#This Row],[Combustible ofertado]]="GAS",Tabla1[[#This Row],[Disponibilidad]],0)</f>
        <v>0</v>
      </c>
      <c r="BW116" s="375">
        <f>IF(Tabla1[[#This Row],[Combustible ofertado]]="DIESEL",Tabla1[[#This Row],[Disponibilidad]],0)</f>
        <v>71</v>
      </c>
      <c r="BX116" s="375">
        <f>IF(Tabla1[[#This Row],[Combustible ofertado]]="HFO",Tabla1[[#This Row],[Disponibilidad]],0)</f>
        <v>0</v>
      </c>
      <c r="BY116" s="454">
        <v>1440</v>
      </c>
      <c r="BZ116" s="446">
        <f>'Horo. M'!C117</f>
        <v>24</v>
      </c>
      <c r="CA116" s="446">
        <f>'Horo. M'!E117</f>
        <v>0</v>
      </c>
      <c r="CB116" s="446">
        <f>'Horo. M'!G117</f>
        <v>24</v>
      </c>
      <c r="CC116" s="446">
        <f>'Horo. M'!I117</f>
        <v>24</v>
      </c>
      <c r="CD116" s="446">
        <f>'Horo. M'!K117</f>
        <v>20</v>
      </c>
      <c r="CE116" s="446">
        <f>'Horo. M'!M117</f>
        <v>21</v>
      </c>
      <c r="CF116" s="446">
        <f>'Horo. M'!O117</f>
        <v>0</v>
      </c>
      <c r="CG116" s="446">
        <f>'Horo. M'!Q117</f>
        <v>24</v>
      </c>
      <c r="CH116" s="446">
        <f>'Horo. M'!S117</f>
        <v>24</v>
      </c>
      <c r="CI116" s="446">
        <f>'Horo. M'!U117</f>
        <v>24</v>
      </c>
      <c r="CJ116" s="70">
        <f>Tabla1[[#This Row],[Con. DO Storage '[gal']]]-Tabla1[[#This Row],[C. DO Storage Ge '[gal']]]</f>
        <v>475.50969424466717</v>
      </c>
      <c r="CK116" s="70"/>
      <c r="CL116" s="70"/>
      <c r="CM116" s="372">
        <f>Tabla1[[#This Row],[Con. DO Total '[gal']]]*131485.5/(1000000)</f>
        <v>3434.2291213726508</v>
      </c>
    </row>
    <row r="117" spans="1:91" s="5" customFormat="1" ht="15" customHeight="1">
      <c r="A117" s="362">
        <v>45042</v>
      </c>
      <c r="B117" s="363" t="str">
        <f>TEXT(Tabla1[[#This Row],[Fecha]],"mmmm")</f>
        <v>abril</v>
      </c>
      <c r="C117" s="429">
        <v>0</v>
      </c>
      <c r="D117" s="430">
        <v>1300</v>
      </c>
      <c r="E117" s="430">
        <v>1300</v>
      </c>
      <c r="F117" s="430">
        <v>1368</v>
      </c>
      <c r="G117" s="431">
        <v>0</v>
      </c>
      <c r="H117" s="431">
        <v>0</v>
      </c>
      <c r="I117" s="432">
        <v>4</v>
      </c>
      <c r="J117" s="432">
        <v>284</v>
      </c>
      <c r="K117" s="430">
        <v>24</v>
      </c>
      <c r="L117" s="430">
        <v>24</v>
      </c>
      <c r="M117" s="365">
        <f>Tabla1[[#This Row],[Columna1]]-Tabla1[[#This Row],[PO '[h']]]</f>
        <v>0</v>
      </c>
      <c r="N117" s="365">
        <f t="shared" si="35"/>
        <v>1652</v>
      </c>
      <c r="O117" s="430">
        <v>1368</v>
      </c>
      <c r="P117" s="367">
        <f>Tabla1[[#This Row],[G. HGS 
'[MWh']]]</f>
        <v>1368</v>
      </c>
      <c r="Q117" s="430">
        <v>0</v>
      </c>
      <c r="R117" s="367">
        <v>0</v>
      </c>
      <c r="S117" s="367">
        <f>Tabla1[[#This Row],[G. HGS 
Con Gas]]*1000</f>
        <v>1368000</v>
      </c>
      <c r="T117" s="365">
        <f>Tabla1[[#This Row],[G. HGS 
'[MWh']]]*1000</f>
        <v>1368000</v>
      </c>
      <c r="U117" s="368">
        <f>SUM('G. Un GE'!B117:Y117)</f>
        <v>1355.7574999999999</v>
      </c>
      <c r="V117" s="369">
        <f>Tabla1[[#This Row],[R. GE
'[MWh']]]</f>
        <v>1355.7574999999999</v>
      </c>
      <c r="W117" s="434">
        <v>0</v>
      </c>
      <c r="X117" s="369">
        <v>0</v>
      </c>
      <c r="Y117" s="365">
        <f>Tabla1[[#This Row],[R. GE
'[MWh']]]*1000</f>
        <v>1355757.5</v>
      </c>
      <c r="Z117" s="434">
        <v>38.090000000000003</v>
      </c>
      <c r="AA117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38.090000000000003</v>
      </c>
      <c r="AB117" s="368">
        <f>IF(Tabla1[[#This Row],[G. HGS 
'[MWh']]]=0,0,Tabla1[[#This Row],[G. HGS 
'[MWh']]]+Tabla1[[#This Row],[Con. Aux. '[MWh']2]])</f>
        <v>1406.09</v>
      </c>
      <c r="AC117" s="368">
        <f>'C. ENER. TN'!F117</f>
        <v>0</v>
      </c>
      <c r="AD117" s="370">
        <f>'C. ENER. TN'!G117</f>
        <v>1355.7575000000002</v>
      </c>
      <c r="AE117" s="370">
        <f>'G. Un GE'!AX117</f>
        <v>172.29304285714286</v>
      </c>
      <c r="AF117" s="368">
        <f>IFERROR('G. Un GE'!AX117/Tabla1[[#This Row],[PO '[h']]],0)</f>
        <v>7.1788767857142863</v>
      </c>
      <c r="AG117" s="365">
        <f>'Ar-Pa'!AX117</f>
        <v>1</v>
      </c>
      <c r="AH117" s="365">
        <f>'Ar-Pa'!AY117</f>
        <v>1</v>
      </c>
      <c r="AI117" s="365">
        <f>SUM('Cal. Arr'!AB120:AY120)</f>
        <v>0</v>
      </c>
      <c r="AJ117" s="442">
        <v>33.6</v>
      </c>
      <c r="AK117" s="442">
        <v>1.4</v>
      </c>
      <c r="AL117" s="267">
        <f t="shared" si="21"/>
        <v>369.84087330140778</v>
      </c>
      <c r="AM117" s="267">
        <f>+CONVERT(AK117+Tabla1[[#This Row],[Con. DO Storage Gen. '[m3']]],"m^3","gal")</f>
        <v>9246.0218325351943</v>
      </c>
      <c r="AN117" s="372">
        <f>SUM('DO Pilot'!B117:Y117)</f>
        <v>6.4999999999999991</v>
      </c>
      <c r="AO117" s="372">
        <f t="shared" si="22"/>
        <v>1717.1183403279645</v>
      </c>
      <c r="AP117" s="267">
        <f>AK117+AN117+Tabla1[[#This Row],[Con. DO Storage Gen. '[m3']]]</f>
        <v>41.5</v>
      </c>
      <c r="AQ117" s="372">
        <f t="shared" si="29"/>
        <v>10963.140172863159</v>
      </c>
      <c r="AR117" s="442">
        <v>32994</v>
      </c>
      <c r="AS117" s="442">
        <v>0</v>
      </c>
      <c r="AT117" s="267">
        <f>+CONVERT(SUM(Tabla1[[#This Row],[Repo. DO Storage '[gal']]:[Repo. DO Pilot '[gal']]]),"gal","m3")</f>
        <v>124.89587640129601</v>
      </c>
      <c r="AU117" s="442">
        <v>0</v>
      </c>
      <c r="AV117" s="267">
        <f t="shared" si="36"/>
        <v>0</v>
      </c>
      <c r="AW117" s="442">
        <v>0</v>
      </c>
      <c r="AX117" s="267">
        <f t="shared" si="23"/>
        <v>0</v>
      </c>
      <c r="AY117" s="372">
        <f t="shared" si="24"/>
        <v>0.27035151557120451</v>
      </c>
      <c r="AZ117" s="372">
        <f>IFERROR(AL117/'Ar-Pa'!AX117,0)</f>
        <v>369.84087330140778</v>
      </c>
      <c r="BA117" s="372">
        <f>IFERROR(AL117/'Ar-Pa'!AY117,0)</f>
        <v>369.84087330140778</v>
      </c>
      <c r="BB117" s="372">
        <f t="shared" si="25"/>
        <v>1.2552034651520207</v>
      </c>
      <c r="BC117" s="372">
        <f>IFERROR(AVERAGEIF('DO Pilot'!AX117:BU117,"&gt;0"),0)</f>
        <v>9.0927076950059131</v>
      </c>
      <c r="BD117" s="445">
        <v>326548</v>
      </c>
      <c r="BE117" s="445">
        <v>11559</v>
      </c>
      <c r="BF117" s="446">
        <v>326409</v>
      </c>
      <c r="BG117" s="223">
        <f>Tabla1[[#This Row],[ Re. Gas GC
 '[m3']]]</f>
        <v>326409</v>
      </c>
      <c r="BH117" s="150">
        <f>IFERROR((BG117*Gas!$B$3)/28.31685,0)</f>
        <v>11482.990432198496</v>
      </c>
      <c r="BI117" s="151">
        <f t="shared" si="37"/>
        <v>-76.00956780150409</v>
      </c>
      <c r="BJ117" s="74">
        <f t="shared" si="30"/>
        <v>-6.6193182211814793E-3</v>
      </c>
      <c r="BK117" s="223">
        <f t="shared" si="26"/>
        <v>8449.5614035087729</v>
      </c>
      <c r="BL117" s="442">
        <v>8842.92</v>
      </c>
      <c r="BM117" s="150">
        <f t="shared" si="27"/>
        <v>8166.611264000524</v>
      </c>
      <c r="BN117" s="150">
        <f t="shared" si="31"/>
        <v>8469.7967241180631</v>
      </c>
      <c r="BO117" s="373">
        <f>IFERROR(Tabla1[[#This Row],[ Re. Gas GC
 '[m3']]]/Tabla1[[#This Row],[G. HGS 
Con Gas '[kWh']]],0)</f>
        <v>0.23860307017543861</v>
      </c>
      <c r="BP117" s="374">
        <f>Tank!Y118</f>
        <v>0</v>
      </c>
      <c r="BQ117" s="70">
        <f>Tank!AP118</f>
        <v>0</v>
      </c>
      <c r="BR117" s="70">
        <f>Tank!V118</f>
        <v>0</v>
      </c>
      <c r="BS117" s="372">
        <f>Tank!T118</f>
        <v>0</v>
      </c>
      <c r="BT117" s="375" t="s">
        <v>228</v>
      </c>
      <c r="BU117" s="450">
        <v>71</v>
      </c>
      <c r="BV117" s="375">
        <f>IF(Tabla1[[#This Row],[Combustible ofertado]]="GAS",Tabla1[[#This Row],[Disponibilidad]],0)</f>
        <v>0</v>
      </c>
      <c r="BW117" s="375">
        <f>IF(Tabla1[[#This Row],[Combustible ofertado]]="DIESEL",Tabla1[[#This Row],[Disponibilidad]],0)</f>
        <v>71</v>
      </c>
      <c r="BX117" s="375">
        <f>IF(Tabla1[[#This Row],[Combustible ofertado]]="HFO",Tabla1[[#This Row],[Disponibilidad]],0)</f>
        <v>0</v>
      </c>
      <c r="BY117" s="455">
        <v>1440</v>
      </c>
      <c r="BZ117" s="446">
        <f>'Horo. M'!C118</f>
        <v>24</v>
      </c>
      <c r="CA117" s="446">
        <f>'Horo. M'!E118</f>
        <v>0</v>
      </c>
      <c r="CB117" s="446">
        <f>'Horo. M'!G118</f>
        <v>24</v>
      </c>
      <c r="CC117" s="446">
        <f>'Horo. M'!I118</f>
        <v>22</v>
      </c>
      <c r="CD117" s="446">
        <f>'Horo. M'!K118</f>
        <v>24</v>
      </c>
      <c r="CE117" s="446">
        <f>'Horo. M'!M118</f>
        <v>24</v>
      </c>
      <c r="CF117" s="446">
        <f>'Horo. M'!O118</f>
        <v>0</v>
      </c>
      <c r="CG117" s="446">
        <f>'Horo. M'!Q118</f>
        <v>23</v>
      </c>
      <c r="CH117" s="446">
        <f>'Horo. M'!S118</f>
        <v>24</v>
      </c>
      <c r="CI117" s="446">
        <f>'Horo. M'!U118</f>
        <v>24</v>
      </c>
      <c r="CJ117" s="70">
        <f>Tabla1[[#This Row],[Con. DO Storage '[gal']]]-Tabla1[[#This Row],[C. DO Storage Ge '[gal']]]</f>
        <v>369.84087330140778</v>
      </c>
      <c r="CK117" s="70"/>
      <c r="CL117" s="70"/>
      <c r="CM117" s="372">
        <f>Tabla1[[#This Row],[Con. DO Total '[gal']]]*131485.5/(1000000)</f>
        <v>1441.4939671989989</v>
      </c>
    </row>
    <row r="118" spans="1:91" s="5" customFormat="1" ht="15" customHeight="1">
      <c r="A118" s="362">
        <v>45043</v>
      </c>
      <c r="B118" s="363" t="str">
        <f>TEXT(Tabla1[[#This Row],[Fecha]],"mmmm")</f>
        <v>abril</v>
      </c>
      <c r="C118" s="429">
        <v>0</v>
      </c>
      <c r="D118" s="430">
        <v>1101</v>
      </c>
      <c r="E118" s="430">
        <v>1101</v>
      </c>
      <c r="F118" s="430">
        <v>1173</v>
      </c>
      <c r="G118" s="431">
        <v>0</v>
      </c>
      <c r="H118" s="431">
        <v>0</v>
      </c>
      <c r="I118" s="432">
        <v>6</v>
      </c>
      <c r="J118" s="432">
        <v>372</v>
      </c>
      <c r="K118" s="430">
        <v>24</v>
      </c>
      <c r="L118" s="430">
        <v>24</v>
      </c>
      <c r="M118" s="365">
        <f>Tabla1[[#This Row],[Columna1]]-Tabla1[[#This Row],[PO '[h']]]</f>
        <v>0</v>
      </c>
      <c r="N118" s="365">
        <f>F118+H118+J118</f>
        <v>1545</v>
      </c>
      <c r="O118" s="430">
        <v>1173</v>
      </c>
      <c r="P118" s="367">
        <f>Tabla1[[#This Row],[G. HGS 
'[MWh']]]</f>
        <v>1173</v>
      </c>
      <c r="Q118" s="430">
        <v>0</v>
      </c>
      <c r="R118" s="367">
        <v>0</v>
      </c>
      <c r="S118" s="367">
        <f>Tabla1[[#This Row],[G. HGS 
Con Gas]]*1000</f>
        <v>1173000</v>
      </c>
      <c r="T118" s="365">
        <f>Tabla1[[#This Row],[G. HGS 
'[MWh']]]*1000</f>
        <v>1173000</v>
      </c>
      <c r="U118" s="368">
        <f>SUM('G. Un GE'!B118:Y118)</f>
        <v>1164.4286000000002</v>
      </c>
      <c r="V118" s="369">
        <f>Tabla1[[#This Row],[R. GE
'[MWh']]]</f>
        <v>1164.4286000000002</v>
      </c>
      <c r="W118" s="434">
        <v>0</v>
      </c>
      <c r="X118" s="369">
        <v>0</v>
      </c>
      <c r="Y118" s="365">
        <f>Tabla1[[#This Row],[R. GE
'[MWh']]]*1000</f>
        <v>1164428.6000000001</v>
      </c>
      <c r="Z118" s="434">
        <v>34.54</v>
      </c>
      <c r="AA118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34.54</v>
      </c>
      <c r="AB118" s="368">
        <f>IF(Tabla1[[#This Row],[G. HGS 
'[MWh']]]=0,0,Tabla1[[#This Row],[G. HGS 
'[MWh']]]+Tabla1[[#This Row],[Con. Aux. '[MWh']2]])</f>
        <v>1207.54</v>
      </c>
      <c r="AC118" s="368">
        <f>'C. ENER. TN'!F118</f>
        <v>0</v>
      </c>
      <c r="AD118" s="370">
        <f>'C. ENER. TN'!G118</f>
        <v>1164.4286</v>
      </c>
      <c r="AE118" s="370">
        <f>'G. Un GE'!AX118</f>
        <v>169.50175952380951</v>
      </c>
      <c r="AF118" s="368">
        <f>IFERROR('G. Un GE'!AX118/Tabla1[[#This Row],[PO '[h']]],0)</f>
        <v>7.062573313492063</v>
      </c>
      <c r="AG118" s="365">
        <f>'Ar-Pa'!AX118</f>
        <v>1</v>
      </c>
      <c r="AH118" s="365">
        <f>'Ar-Pa'!AY118</f>
        <v>2</v>
      </c>
      <c r="AI118" s="365">
        <f>SUM('Cal. Arr'!AB121:AY121)</f>
        <v>0</v>
      </c>
      <c r="AJ118" s="442">
        <v>28.3</v>
      </c>
      <c r="AK118" s="442">
        <v>1.7</v>
      </c>
      <c r="AL118" s="267">
        <f t="shared" si="21"/>
        <v>449.09248900885234</v>
      </c>
      <c r="AM118" s="267">
        <f>+CONVERT(AK118+Tabla1[[#This Row],[Con. DO Storage Gen. '[m3']]],"m^3","gal")</f>
        <v>7925.1615707444525</v>
      </c>
      <c r="AN118" s="372">
        <f>SUM('DO Pilot'!B118:Y118)</f>
        <v>5.4499999999999993</v>
      </c>
      <c r="AO118" s="372">
        <f t="shared" si="22"/>
        <v>1439.7376853519086</v>
      </c>
      <c r="AP118" s="267">
        <f>AK118+AN118+Tabla1[[#This Row],[Con. DO Storage Gen. '[m3']]]</f>
        <v>35.450000000000003</v>
      </c>
      <c r="AQ118" s="372">
        <f t="shared" si="29"/>
        <v>9364.8992560963616</v>
      </c>
      <c r="AR118" s="442">
        <v>22046</v>
      </c>
      <c r="AS118" s="442">
        <v>10985</v>
      </c>
      <c r="AT118" s="267">
        <f>+CONVERT(SUM(Tabla1[[#This Row],[Repo. DO Storage '[gal']]:[Repo. DO Pilot '[gal']]]),"gal","m3")</f>
        <v>125.03593663730399</v>
      </c>
      <c r="AU118" s="442">
        <v>0</v>
      </c>
      <c r="AV118" s="267">
        <f>+CONVERT(AU118,"m^3","gal")</f>
        <v>0</v>
      </c>
      <c r="AW118" s="442">
        <v>0</v>
      </c>
      <c r="AX118" s="267">
        <f t="shared" si="23"/>
        <v>0</v>
      </c>
      <c r="AY118" s="372">
        <f t="shared" si="24"/>
        <v>0.38285804689586728</v>
      </c>
      <c r="AZ118" s="372">
        <f>IFERROR(AL118/'Ar-Pa'!AX118,0)</f>
        <v>449.09248900885234</v>
      </c>
      <c r="BA118" s="372">
        <f>IFERROR(AL118/'Ar-Pa'!AY118,0)</f>
        <v>224.54624450442617</v>
      </c>
      <c r="BB118" s="372">
        <f t="shared" si="25"/>
        <v>1.2273978562249861</v>
      </c>
      <c r="BC118" s="372">
        <f>IFERROR(AVERAGEIF('DO Pilot'!AX118:BU118,"&gt;0"),0)</f>
        <v>8.732353952949909</v>
      </c>
      <c r="BD118" s="445">
        <v>279014</v>
      </c>
      <c r="BE118" s="445">
        <v>9877</v>
      </c>
      <c r="BF118" s="446">
        <v>278815</v>
      </c>
      <c r="BG118" s="223">
        <f>Tabla1[[#This Row],[ Re. Gas GC
 '[m3']]]</f>
        <v>278815</v>
      </c>
      <c r="BH118" s="150">
        <f>IFERROR((BG118*Gas!$B$3)/28.31685,0)</f>
        <v>9808.6449128345848</v>
      </c>
      <c r="BI118" s="151">
        <f t="shared" ref="BI118:BI123" si="38">BH118-BE118</f>
        <v>-68.355087165415171</v>
      </c>
      <c r="BJ118" s="74">
        <f t="shared" si="30"/>
        <v>-6.9688614250856123E-3</v>
      </c>
      <c r="BK118" s="223">
        <f t="shared" si="26"/>
        <v>8420.2898550724622</v>
      </c>
      <c r="BL118" s="442">
        <v>0</v>
      </c>
      <c r="BM118" s="150">
        <f t="shared" si="27"/>
        <v>8122.8322977579082</v>
      </c>
      <c r="BN118" s="150">
        <f t="shared" si="31"/>
        <v>8423.5692191299513</v>
      </c>
      <c r="BO118" s="373">
        <f>IFERROR(Tabla1[[#This Row],[ Re. Gas GC
 '[m3']]]/Tabla1[[#This Row],[G. HGS 
Con Gas '[kWh']]],0)</f>
        <v>0.23769394714407502</v>
      </c>
      <c r="BP118" s="374">
        <f>Tank!Y119</f>
        <v>0</v>
      </c>
      <c r="BQ118" s="70">
        <f>Tank!AP119</f>
        <v>0</v>
      </c>
      <c r="BR118" s="70">
        <f>Tank!V119</f>
        <v>0</v>
      </c>
      <c r="BS118" s="372">
        <f>Tank!T119</f>
        <v>0</v>
      </c>
      <c r="BT118" s="375" t="s">
        <v>228</v>
      </c>
      <c r="BU118" s="451">
        <v>62</v>
      </c>
      <c r="BV118" s="375">
        <f>IF(Tabla1[[#This Row],[Combustible ofertado]]="GAS",Tabla1[[#This Row],[Disponibilidad]],0)</f>
        <v>0</v>
      </c>
      <c r="BW118" s="375">
        <f>IF(Tabla1[[#This Row],[Combustible ofertado]]="DIESEL",Tabla1[[#This Row],[Disponibilidad]],0)</f>
        <v>62</v>
      </c>
      <c r="BX118" s="375">
        <f>IF(Tabla1[[#This Row],[Combustible ofertado]]="HFO",Tabla1[[#This Row],[Disponibilidad]],0)</f>
        <v>0</v>
      </c>
      <c r="BY118" s="456">
        <v>1440</v>
      </c>
      <c r="BZ118" s="446">
        <f>'Horo. M'!C119</f>
        <v>24</v>
      </c>
      <c r="CA118" s="446">
        <f>'Horo. M'!E119</f>
        <v>0</v>
      </c>
      <c r="CB118" s="446">
        <f>'Horo. M'!G119</f>
        <v>24</v>
      </c>
      <c r="CC118" s="446">
        <f>'Horo. M'!I119</f>
        <v>24</v>
      </c>
      <c r="CD118" s="446">
        <f>'Horo. M'!K119</f>
        <v>24</v>
      </c>
      <c r="CE118" s="446">
        <f>'Horo. M'!M119</f>
        <v>24</v>
      </c>
      <c r="CF118" s="446">
        <f>'Horo. M'!O119</f>
        <v>0</v>
      </c>
      <c r="CG118" s="446">
        <f>'Horo. M'!Q119</f>
        <v>24</v>
      </c>
      <c r="CH118" s="446">
        <f>'Horo. M'!S119</f>
        <v>0</v>
      </c>
      <c r="CI118" s="446">
        <f>'Horo. M'!U119</f>
        <v>21</v>
      </c>
      <c r="CJ118" s="70">
        <f>Tabla1[[#This Row],[Con. DO Storage '[gal']]]-Tabla1[[#This Row],[C. DO Storage Ge '[gal']]]</f>
        <v>449.09248900885234</v>
      </c>
      <c r="CK118" s="70"/>
      <c r="CL118" s="70"/>
      <c r="CM118" s="372">
        <f>Tabla1[[#This Row],[Con. DO Total '[gal']]]*131485.5/(1000000)</f>
        <v>1231.3484611374581</v>
      </c>
    </row>
    <row r="119" spans="1:91" s="5" customFormat="1" ht="15" customHeight="1">
      <c r="A119" s="362">
        <v>45044</v>
      </c>
      <c r="B119" s="363" t="str">
        <f>TEXT(Tabla1[[#This Row],[Fecha]],"mmmm")</f>
        <v>abril</v>
      </c>
      <c r="C119" s="429">
        <v>0</v>
      </c>
      <c r="D119" s="430">
        <v>1272</v>
      </c>
      <c r="E119" s="430">
        <v>1272</v>
      </c>
      <c r="F119" s="430">
        <v>1365</v>
      </c>
      <c r="G119" s="431">
        <v>0</v>
      </c>
      <c r="H119" s="431">
        <v>0</v>
      </c>
      <c r="I119" s="432">
        <v>5</v>
      </c>
      <c r="J119" s="432">
        <v>346</v>
      </c>
      <c r="K119" s="430">
        <v>24</v>
      </c>
      <c r="L119" s="430">
        <v>24</v>
      </c>
      <c r="M119" s="365">
        <f>Tabla1[[#This Row],[Columna1]]-Tabla1[[#This Row],[PO '[h']]]</f>
        <v>0</v>
      </c>
      <c r="N119" s="365">
        <f>F119+H119+J119</f>
        <v>1711</v>
      </c>
      <c r="O119" s="430">
        <v>1365</v>
      </c>
      <c r="P119" s="367">
        <f>Tabla1[[#This Row],[G. HGS 
'[MWh']]]</f>
        <v>1365</v>
      </c>
      <c r="Q119" s="430">
        <v>0</v>
      </c>
      <c r="R119" s="367">
        <v>0</v>
      </c>
      <c r="S119" s="367">
        <f>Tabla1[[#This Row],[G. HGS 
Con Gas]]*1000</f>
        <v>1365000</v>
      </c>
      <c r="T119" s="365">
        <f>Tabla1[[#This Row],[G. HGS 
'[MWh']]]*1000</f>
        <v>1365000</v>
      </c>
      <c r="U119" s="368">
        <f>SUM('G. Un GE'!B119:Y119)</f>
        <v>1353.154</v>
      </c>
      <c r="V119" s="369">
        <f>Tabla1[[#This Row],[R. GE
'[MWh']]]</f>
        <v>1353.154</v>
      </c>
      <c r="W119" s="434">
        <v>0</v>
      </c>
      <c r="X119" s="369">
        <v>0</v>
      </c>
      <c r="Y119" s="365">
        <f>Tabla1[[#This Row],[R. GE
'[MWh']]]*1000</f>
        <v>1353154</v>
      </c>
      <c r="Z119" s="434">
        <v>38.630000000000003</v>
      </c>
      <c r="AA119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38.630000000000003</v>
      </c>
      <c r="AB119" s="368">
        <f>IF(Tabla1[[#This Row],[G. HGS 
'[MWh']]]=0,0,Tabla1[[#This Row],[G. HGS 
'[MWh']]]+Tabla1[[#This Row],[Con. Aux. '[MWh']2]])</f>
        <v>1403.63</v>
      </c>
      <c r="AC119" s="368">
        <f>'C. ENER. TN'!F119</f>
        <v>0</v>
      </c>
      <c r="AD119" s="370">
        <f>'C. ENER. TN'!G119</f>
        <v>1353.154</v>
      </c>
      <c r="AE119" s="370">
        <f>'G. Un GE'!AX119</f>
        <v>195.27797023809524</v>
      </c>
      <c r="AF119" s="368">
        <f>IFERROR('G. Un GE'!AX119/Tabla1[[#This Row],[PO '[h']]],0)</f>
        <v>8.1365820932539688</v>
      </c>
      <c r="AG119" s="365">
        <f>'Ar-Pa'!AX119</f>
        <v>2</v>
      </c>
      <c r="AH119" s="365">
        <f>'Ar-Pa'!AY119</f>
        <v>2</v>
      </c>
      <c r="AI119" s="365">
        <f>SUM('Cal. Arr'!AB122:AY122)</f>
        <v>0</v>
      </c>
      <c r="AJ119" s="442">
        <v>28.5</v>
      </c>
      <c r="AK119" s="442">
        <v>1.6</v>
      </c>
      <c r="AL119" s="267">
        <f t="shared" si="21"/>
        <v>422.67528377303745</v>
      </c>
      <c r="AM119" s="267">
        <f>+CONVERT(AK119+Tabla1[[#This Row],[Con. DO Storage Gen. '[m3']]],"m^3","gal")</f>
        <v>7951.5787759802679</v>
      </c>
      <c r="AN119" s="372">
        <f>SUM('DO Pilot'!B119:Y119)</f>
        <v>6.0000000000000009</v>
      </c>
      <c r="AO119" s="372">
        <f t="shared" si="22"/>
        <v>1585.0323141488907</v>
      </c>
      <c r="AP119" s="267">
        <f>AK119+AN119+Tabla1[[#This Row],[Con. DO Storage Gen. '[m3']]]</f>
        <v>36.1</v>
      </c>
      <c r="AQ119" s="372">
        <f t="shared" si="29"/>
        <v>9536.6110901291577</v>
      </c>
      <c r="AR119" s="442">
        <v>33007</v>
      </c>
      <c r="AS119" s="442">
        <v>0</v>
      </c>
      <c r="AT119" s="267">
        <f>+CONVERT(SUM(Tabla1[[#This Row],[Repo. DO Storage '[gal']]:[Repo. DO Pilot '[gal']]]),"gal","m3")</f>
        <v>124.945086754488</v>
      </c>
      <c r="AU119" s="442">
        <v>0</v>
      </c>
      <c r="AV119" s="267">
        <f>+CONVERT(AU119,"m^3","gal")</f>
        <v>0</v>
      </c>
      <c r="AW119" s="442">
        <v>0</v>
      </c>
      <c r="AX119" s="267">
        <f t="shared" si="23"/>
        <v>0</v>
      </c>
      <c r="AY119" s="372">
        <f t="shared" si="24"/>
        <v>0.30965222254434976</v>
      </c>
      <c r="AZ119" s="372">
        <f>IFERROR(AL119/'Ar-Pa'!AX119,0)</f>
        <v>211.33764188651872</v>
      </c>
      <c r="BA119" s="372">
        <f>IFERROR(AL119/'Ar-Pa'!AY119,0)</f>
        <v>211.33764188651872</v>
      </c>
      <c r="BB119" s="372">
        <f t="shared" si="25"/>
        <v>1.1611958345413118</v>
      </c>
      <c r="BC119" s="372">
        <f>IFERROR(AVERAGEIF('DO Pilot'!AX119:BU119,"&gt;0"),0)</f>
        <v>9.5290633172046402</v>
      </c>
      <c r="BD119" s="445">
        <v>329840</v>
      </c>
      <c r="BE119" s="445">
        <v>11676</v>
      </c>
      <c r="BF119" s="446">
        <v>329418</v>
      </c>
      <c r="BG119" s="223">
        <f>Tabla1[[#This Row],[ Re. Gas GC
 '[m3']]]</f>
        <v>329418</v>
      </c>
      <c r="BH119" s="150">
        <f>IFERROR((BG119*Gas!$B$3)/28.31685,0)</f>
        <v>11588.846331424576</v>
      </c>
      <c r="BI119" s="151">
        <f t="shared" si="38"/>
        <v>-87.15366857542358</v>
      </c>
      <c r="BJ119" s="74">
        <f t="shared" si="30"/>
        <v>-7.5204784050933293E-3</v>
      </c>
      <c r="BK119" s="223">
        <f t="shared" si="26"/>
        <v>8553.8461538461543</v>
      </c>
      <c r="BL119" s="442">
        <v>8995.4699999999993</v>
      </c>
      <c r="BM119" s="150">
        <f t="shared" si="27"/>
        <v>8256.3398697837565</v>
      </c>
      <c r="BN119" s="150">
        <f t="shared" si="31"/>
        <v>8564.3218225158234</v>
      </c>
      <c r="BO119" s="373">
        <f>IFERROR(Tabla1[[#This Row],[ Re. Gas GC
 '[m3']]]/Tabla1[[#This Row],[G. HGS 
Con Gas '[kWh']]],0)</f>
        <v>0.24133186813186813</v>
      </c>
      <c r="BP119" s="374">
        <f>Tank!Y120</f>
        <v>29.060606265767998</v>
      </c>
      <c r="BQ119" s="70">
        <f>Tank!AP120</f>
        <v>0</v>
      </c>
      <c r="BR119" s="70">
        <f>Tank!V120</f>
        <v>0</v>
      </c>
      <c r="BS119" s="372">
        <f>Tank!T120</f>
        <v>0</v>
      </c>
      <c r="BT119" s="375" t="s">
        <v>228</v>
      </c>
      <c r="BU119" s="451">
        <v>71</v>
      </c>
      <c r="BV119" s="375">
        <f>IF(Tabla1[[#This Row],[Combustible ofertado]]="GAS",Tabla1[[#This Row],[Disponibilidad]],0)</f>
        <v>0</v>
      </c>
      <c r="BW119" s="375">
        <f>IF(Tabla1[[#This Row],[Combustible ofertado]]="DIESEL",Tabla1[[#This Row],[Disponibilidad]],0)</f>
        <v>71</v>
      </c>
      <c r="BX119" s="375">
        <f>IF(Tabla1[[#This Row],[Combustible ofertado]]="HFO",Tabla1[[#This Row],[Disponibilidad]],0)</f>
        <v>0</v>
      </c>
      <c r="BY119" s="456">
        <v>1440</v>
      </c>
      <c r="BZ119" s="446">
        <f>'Horo. M'!C120</f>
        <v>24</v>
      </c>
      <c r="CA119" s="446">
        <f>'Horo. M'!E120</f>
        <v>0</v>
      </c>
      <c r="CB119" s="446">
        <f>'Horo. M'!G120</f>
        <v>24</v>
      </c>
      <c r="CC119" s="446">
        <f>'Horo. M'!I120</f>
        <v>24</v>
      </c>
      <c r="CD119" s="446">
        <f>'Horo. M'!K120</f>
        <v>23</v>
      </c>
      <c r="CE119" s="446">
        <f>'Horo. M'!M120</f>
        <v>24</v>
      </c>
      <c r="CF119" s="446">
        <f>'Horo. M'!O120</f>
        <v>1</v>
      </c>
      <c r="CG119" s="446">
        <f>'Horo. M'!Q120</f>
        <v>24</v>
      </c>
      <c r="CH119" s="446">
        <f>'Horo. M'!S120</f>
        <v>19</v>
      </c>
      <c r="CI119" s="446">
        <f>'Horo. M'!U120</f>
        <v>24</v>
      </c>
      <c r="CJ119" s="70">
        <f>Tabla1[[#This Row],[Con. DO Storage '[gal']]]-Tabla1[[#This Row],[C. DO Storage Ge '[gal']]]</f>
        <v>422.67528377303745</v>
      </c>
      <c r="CK119" s="70"/>
      <c r="CL119" s="70"/>
      <c r="CM119" s="372">
        <f>Tabla1[[#This Row],[Con. DO Total '[gal']]]*131485.5/(1000000)</f>
        <v>1253.9260774911772</v>
      </c>
    </row>
    <row r="120" spans="1:91" s="5" customFormat="1" ht="15" customHeight="1">
      <c r="A120" s="362">
        <v>45045</v>
      </c>
      <c r="B120" s="363" t="str">
        <f>TEXT(Tabla1[[#This Row],[Fecha]],"mmmm")</f>
        <v>abril</v>
      </c>
      <c r="C120" s="429">
        <v>0</v>
      </c>
      <c r="D120" s="430">
        <v>1272</v>
      </c>
      <c r="E120" s="430">
        <v>1272</v>
      </c>
      <c r="F120" s="430">
        <v>1333</v>
      </c>
      <c r="G120" s="431">
        <v>0</v>
      </c>
      <c r="H120" s="431">
        <v>0</v>
      </c>
      <c r="I120" s="432">
        <v>4</v>
      </c>
      <c r="J120" s="432">
        <v>284</v>
      </c>
      <c r="K120" s="430">
        <v>24</v>
      </c>
      <c r="L120" s="430">
        <v>24</v>
      </c>
      <c r="M120" s="365">
        <f>Tabla1[[#This Row],[Columna1]]-Tabla1[[#This Row],[PO '[h']]]</f>
        <v>0</v>
      </c>
      <c r="N120" s="365">
        <f>F120+H120+J120</f>
        <v>1617</v>
      </c>
      <c r="O120" s="430">
        <v>1333</v>
      </c>
      <c r="P120" s="367">
        <f>Tabla1[[#This Row],[G. HGS 
'[MWh']]]</f>
        <v>1333</v>
      </c>
      <c r="Q120" s="430">
        <v>0</v>
      </c>
      <c r="R120" s="367">
        <v>0</v>
      </c>
      <c r="S120" s="367">
        <f>Tabla1[[#This Row],[G. HGS 
Con Gas]]*1000</f>
        <v>1333000</v>
      </c>
      <c r="T120" s="365">
        <f>Tabla1[[#This Row],[G. HGS 
'[MWh']]]*1000</f>
        <v>1333000</v>
      </c>
      <c r="U120" s="368">
        <f>SUM('G. Un GE'!B120:Y120)</f>
        <v>1320.3830999999998</v>
      </c>
      <c r="V120" s="369">
        <f>Tabla1[[#This Row],[R. GE
'[MWh']]]</f>
        <v>1320.3830999999998</v>
      </c>
      <c r="W120" s="434">
        <v>0</v>
      </c>
      <c r="X120" s="369">
        <v>0</v>
      </c>
      <c r="Y120" s="365">
        <f>Tabla1[[#This Row],[R. GE
'[MWh']]]*1000</f>
        <v>1320383.0999999999</v>
      </c>
      <c r="Z120" s="434">
        <v>39.25</v>
      </c>
      <c r="AA120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39.25</v>
      </c>
      <c r="AB120" s="368">
        <f>IF(Tabla1[[#This Row],[G. HGS 
'[MWh']]]=0,0,Tabla1[[#This Row],[G. HGS 
'[MWh']]]+Tabla1[[#This Row],[Con. Aux. '[MWh']2]])</f>
        <v>1372.25</v>
      </c>
      <c r="AC120" s="368">
        <f>'C. ENER. TN'!F120</f>
        <v>0</v>
      </c>
      <c r="AD120" s="370">
        <f>'C. ENER. TN'!G120</f>
        <v>1320.3830999999998</v>
      </c>
      <c r="AE120" s="370">
        <f>'G. Un GE'!AX120</f>
        <v>191.21265476190476</v>
      </c>
      <c r="AF120" s="368">
        <f>IFERROR('G. Un GE'!AX120/Tabla1[[#This Row],[PO '[h']]],0)</f>
        <v>7.9671939484126986</v>
      </c>
      <c r="AG120" s="365">
        <f>'Ar-Pa'!AX120</f>
        <v>1</v>
      </c>
      <c r="AH120" s="365">
        <f>'Ar-Pa'!AY120</f>
        <v>1</v>
      </c>
      <c r="AI120" s="365">
        <f>SUM('Cal. Arr'!AB123:AY123)</f>
        <v>0</v>
      </c>
      <c r="AJ120" s="442">
        <v>34.6</v>
      </c>
      <c r="AK120" s="442">
        <v>1</v>
      </c>
      <c r="AL120" s="267">
        <f t="shared" si="21"/>
        <v>264.17205235814845</v>
      </c>
      <c r="AM120" s="267">
        <f>+CONVERT(AK120+Tabla1[[#This Row],[Con. DO Storage Gen. '[m3']]],"m^3","gal")</f>
        <v>9404.5250639500846</v>
      </c>
      <c r="AN120" s="372">
        <f>SUM('DO Pilot'!B120:Y120)</f>
        <v>6.8000000000000007</v>
      </c>
      <c r="AO120" s="372">
        <f t="shared" si="22"/>
        <v>1796.3699560354096</v>
      </c>
      <c r="AP120" s="267">
        <f>AK120+AN120+Tabla1[[#This Row],[Con. DO Storage Gen. '[m3']]]</f>
        <v>42.400000000000006</v>
      </c>
      <c r="AQ120" s="372">
        <f t="shared" si="29"/>
        <v>11200.895019985495</v>
      </c>
      <c r="AR120" s="442">
        <v>32979</v>
      </c>
      <c r="AS120" s="442">
        <v>0</v>
      </c>
      <c r="AT120" s="267">
        <f>+CONVERT(SUM(Tabla1[[#This Row],[Repo. DO Storage '[gal']]:[Repo. DO Pilot '[gal']]]),"gal","m3")</f>
        <v>124.839095224536</v>
      </c>
      <c r="AU120" s="442">
        <v>0</v>
      </c>
      <c r="AV120" s="267">
        <f>+CONVERT(AU120,"m^3","gal")</f>
        <v>0</v>
      </c>
      <c r="AW120" s="442">
        <v>0</v>
      </c>
      <c r="AX120" s="267">
        <f t="shared" si="23"/>
        <v>0</v>
      </c>
      <c r="AY120" s="372">
        <f t="shared" si="24"/>
        <v>0.19817858391458998</v>
      </c>
      <c r="AZ120" s="372">
        <f>IFERROR(AL120/'Ar-Pa'!AX120,0)</f>
        <v>264.17205235814845</v>
      </c>
      <c r="BA120" s="372">
        <f>IFERROR(AL120/'Ar-Pa'!AY120,0)</f>
        <v>264.17205235814845</v>
      </c>
      <c r="BB120" s="372">
        <f t="shared" si="25"/>
        <v>1.3476143706192121</v>
      </c>
      <c r="BC120" s="372">
        <f>IFERROR(AVERAGEIF('DO Pilot'!AX120:BU120,"&gt;0"),0)</f>
        <v>10.839440561044663</v>
      </c>
      <c r="BD120" s="445">
        <v>318602</v>
      </c>
      <c r="BE120" s="445">
        <v>11278</v>
      </c>
      <c r="BF120" s="446">
        <v>318125</v>
      </c>
      <c r="BG120" s="223">
        <f>Tabla1[[#This Row],[ Re. Gas GC
 '[m3']]]</f>
        <v>318125</v>
      </c>
      <c r="BH120" s="150">
        <f>IFERROR((BG120*Gas!$B$3)/28.31685,0)</f>
        <v>11191.561296542519</v>
      </c>
      <c r="BI120" s="151">
        <f t="shared" si="38"/>
        <v>-86.438703457481097</v>
      </c>
      <c r="BJ120" s="74">
        <f t="shared" si="30"/>
        <v>-7.7235607407328561E-3</v>
      </c>
      <c r="BK120" s="223">
        <f t="shared" si="26"/>
        <v>8460.6151537884471</v>
      </c>
      <c r="BL120" s="442">
        <v>0</v>
      </c>
      <c r="BM120" s="150">
        <f t="shared" si="27"/>
        <v>8155.6285637037845</v>
      </c>
      <c r="BN120" s="150">
        <f t="shared" si="31"/>
        <v>8475.9955626079427</v>
      </c>
      <c r="BO120" s="373">
        <f>IFERROR(Tabla1[[#This Row],[ Re. Gas GC
 '[m3']]]/Tabla1[[#This Row],[G. HGS 
Con Gas '[kWh']]],0)</f>
        <v>0.23865341335333834</v>
      </c>
      <c r="BP120" s="374">
        <f>Tank!Y121</f>
        <v>0</v>
      </c>
      <c r="BQ120" s="70">
        <f>Tank!AP121</f>
        <v>0</v>
      </c>
      <c r="BR120" s="70">
        <f>Tank!V121</f>
        <v>0</v>
      </c>
      <c r="BS120" s="372">
        <f>Tank!T121</f>
        <v>11</v>
      </c>
      <c r="BT120" s="375" t="s">
        <v>228</v>
      </c>
      <c r="BU120" s="451">
        <v>71</v>
      </c>
      <c r="BV120" s="375">
        <f>IF(Tabla1[[#This Row],[Combustible ofertado]]="GAS",Tabla1[[#This Row],[Disponibilidad]],0)</f>
        <v>0</v>
      </c>
      <c r="BW120" s="375">
        <f>IF(Tabla1[[#This Row],[Combustible ofertado]]="DIESEL",Tabla1[[#This Row],[Disponibilidad]],0)</f>
        <v>71</v>
      </c>
      <c r="BX120" s="375">
        <f>IF(Tabla1[[#This Row],[Combustible ofertado]]="HFO",Tabla1[[#This Row],[Disponibilidad]],0)</f>
        <v>0</v>
      </c>
      <c r="BY120" s="456">
        <v>1440</v>
      </c>
      <c r="BZ120" s="446">
        <f>'Horo. M'!C121</f>
        <v>24</v>
      </c>
      <c r="CA120" s="446">
        <f>'Horo. M'!E121</f>
        <v>0</v>
      </c>
      <c r="CB120" s="446">
        <f>'Horo. M'!G121</f>
        <v>24</v>
      </c>
      <c r="CC120" s="446">
        <f>'Horo. M'!I121</f>
        <v>24</v>
      </c>
      <c r="CD120" s="446">
        <f>'Horo. M'!K121</f>
        <v>24</v>
      </c>
      <c r="CE120" s="446">
        <f>'Horo. M'!M121</f>
        <v>24</v>
      </c>
      <c r="CF120" s="446">
        <f>'Horo. M'!O121</f>
        <v>4</v>
      </c>
      <c r="CG120" s="446">
        <f>'Horo. M'!Q121</f>
        <v>24</v>
      </c>
      <c r="CH120" s="446">
        <f>'Horo. M'!S121</f>
        <v>23</v>
      </c>
      <c r="CI120" s="446">
        <f>'Horo. M'!U121</f>
        <v>24</v>
      </c>
      <c r="CJ120" s="70">
        <f>Tabla1[[#This Row],[Con. DO Storage '[gal']]]-Tabla1[[#This Row],[C. DO Storage Ge '[gal']]]</f>
        <v>264.17205235814845</v>
      </c>
      <c r="CK120" s="70"/>
      <c r="CL120" s="70"/>
      <c r="CM120" s="372">
        <f>Tabla1[[#This Row],[Con. DO Total '[gal']]]*131485.5/(1000000)</f>
        <v>1472.7552821503029</v>
      </c>
    </row>
    <row r="121" spans="1:91" s="5" customFormat="1" ht="15" customHeight="1">
      <c r="A121" s="362">
        <v>45046</v>
      </c>
      <c r="B121" s="363" t="str">
        <f>TEXT(Tabla1[[#This Row],[Fecha]],"mmmm")</f>
        <v>abril</v>
      </c>
      <c r="C121" s="429">
        <v>0</v>
      </c>
      <c r="D121" s="430">
        <v>1272</v>
      </c>
      <c r="E121" s="430">
        <v>1272</v>
      </c>
      <c r="F121" s="430">
        <v>1301</v>
      </c>
      <c r="G121" s="431">
        <v>0</v>
      </c>
      <c r="H121" s="431">
        <v>0</v>
      </c>
      <c r="I121" s="432">
        <v>0</v>
      </c>
      <c r="J121" s="432">
        <v>0</v>
      </c>
      <c r="K121" s="430">
        <v>24</v>
      </c>
      <c r="L121" s="430">
        <v>24</v>
      </c>
      <c r="M121" s="365">
        <f>Tabla1[[#This Row],[Columna1]]-Tabla1[[#This Row],[PO '[h']]]</f>
        <v>0</v>
      </c>
      <c r="N121" s="365">
        <f>F121+H121+J121</f>
        <v>1301</v>
      </c>
      <c r="O121" s="430">
        <v>1301</v>
      </c>
      <c r="P121" s="367">
        <f>Tabla1[[#This Row],[G. HGS 
'[MWh']]]</f>
        <v>1301</v>
      </c>
      <c r="Q121" s="430">
        <v>0</v>
      </c>
      <c r="R121" s="367">
        <v>0</v>
      </c>
      <c r="S121" s="367">
        <f>Tabla1[[#This Row],[G. HGS 
Con Gas]]*1000</f>
        <v>1301000</v>
      </c>
      <c r="T121" s="365">
        <f>Tabla1[[#This Row],[G. HGS 
'[MWh']]]*1000</f>
        <v>1301000</v>
      </c>
      <c r="U121" s="368">
        <f>SUM('G. Un GE'!B121:Y121)</f>
        <v>1289.8392999999999</v>
      </c>
      <c r="V121" s="369">
        <f>Tabla1[[#This Row],[R. GE
'[MWh']]]</f>
        <v>1289.8392999999999</v>
      </c>
      <c r="W121" s="434">
        <v>0</v>
      </c>
      <c r="X121" s="369">
        <v>0</v>
      </c>
      <c r="Y121" s="365">
        <f>Tabla1[[#This Row],[R. GE
'[MWh']]]*1000</f>
        <v>1289839.2999999998</v>
      </c>
      <c r="Z121" s="434">
        <v>38.75</v>
      </c>
      <c r="AA121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38.75</v>
      </c>
      <c r="AB121" s="368">
        <f>IF(Tabla1[[#This Row],[G. HGS 
'[MWh']]]=0,0,Tabla1[[#This Row],[G. HGS 
'[MWh']]]+Tabla1[[#This Row],[Con. Aux. '[MWh']2]])</f>
        <v>1339.75</v>
      </c>
      <c r="AC121" s="368">
        <f>'C. ENER. TN'!F121</f>
        <v>0</v>
      </c>
      <c r="AD121" s="370">
        <f>'C. ENER. TN'!G121</f>
        <v>1289.8393000000001</v>
      </c>
      <c r="AE121" s="370">
        <f>'G. Un GE'!AX121</f>
        <v>186.79049285714282</v>
      </c>
      <c r="AF121" s="368">
        <f>IFERROR('G. Un GE'!AX121/Tabla1[[#This Row],[PO '[h']]],0)</f>
        <v>7.7829372023809507</v>
      </c>
      <c r="AG121" s="365">
        <f>'Ar-Pa'!AX121</f>
        <v>1</v>
      </c>
      <c r="AH121" s="365">
        <f>'Ar-Pa'!AY121</f>
        <v>1</v>
      </c>
      <c r="AI121" s="365">
        <f>SUM('Cal. Arr'!AB124:AY124)</f>
        <v>0</v>
      </c>
      <c r="AJ121" s="442">
        <v>22.1</v>
      </c>
      <c r="AK121" s="442">
        <v>1</v>
      </c>
      <c r="AL121" s="267">
        <f t="shared" si="21"/>
        <v>264.17205235814845</v>
      </c>
      <c r="AM121" s="267">
        <f>+CONVERT(AK121+Tabla1[[#This Row],[Con. DO Storage Gen. '[m3']]],"m^3","gal")</f>
        <v>6102.3744094732283</v>
      </c>
      <c r="AN121" s="372">
        <f>SUM('DO Pilot'!B121:Y121)</f>
        <v>7</v>
      </c>
      <c r="AO121" s="372">
        <f t="shared" si="22"/>
        <v>1849.2043665070389</v>
      </c>
      <c r="AP121" s="267">
        <f>AK121+AN121+Tabla1[[#This Row],[Con. DO Storage Gen. '[m3']]]</f>
        <v>30.1</v>
      </c>
      <c r="AQ121" s="372">
        <f t="shared" si="29"/>
        <v>7951.5787759802679</v>
      </c>
      <c r="AR121" s="442">
        <v>32954</v>
      </c>
      <c r="AS121" s="442">
        <v>0</v>
      </c>
      <c r="AT121" s="267">
        <f>+CONVERT(SUM(Tabla1[[#This Row],[Repo. DO Storage '[gal']]:[Repo. DO Pilot '[gal']]]),"gal","m3")</f>
        <v>124.744459929936</v>
      </c>
      <c r="AU121" s="442">
        <v>0</v>
      </c>
      <c r="AV121" s="267">
        <f>+CONVERT(AU121,"m^3","gal")</f>
        <v>0</v>
      </c>
      <c r="AW121" s="442">
        <v>0</v>
      </c>
      <c r="AX121" s="267">
        <f t="shared" si="23"/>
        <v>0</v>
      </c>
      <c r="AY121" s="372">
        <f t="shared" si="24"/>
        <v>0.20305307637059836</v>
      </c>
      <c r="AZ121" s="372">
        <f>IFERROR(AL121/'Ar-Pa'!AX121,0)</f>
        <v>264.17205235814845</v>
      </c>
      <c r="BA121" s="372">
        <f>IFERROR(AL121/'Ar-Pa'!AY121,0)</f>
        <v>264.17205235814845</v>
      </c>
      <c r="BB121" s="372">
        <f t="shared" si="25"/>
        <v>1.4213715345941882</v>
      </c>
      <c r="BC121" s="372">
        <f>IFERROR(AVERAGEIF('DO Pilot'!AX121:BU121,"&gt;0"),0)</f>
        <v>11.161793363029306</v>
      </c>
      <c r="BD121" s="445">
        <v>317140</v>
      </c>
      <c r="BE121" s="445">
        <v>11226</v>
      </c>
      <c r="BF121" s="446">
        <v>324189</v>
      </c>
      <c r="BG121" s="223">
        <f>Tabla1[[#This Row],[ Re. Gas GC
 '[m3']]]</f>
        <v>324189</v>
      </c>
      <c r="BH121" s="150">
        <f>IFERROR((BG121*Gas!$B$3)/28.31685,0)</f>
        <v>11404.891363975865</v>
      </c>
      <c r="BI121" s="151">
        <f t="shared" si="38"/>
        <v>178.89136397586481</v>
      </c>
      <c r="BJ121" s="74">
        <f t="shared" si="30"/>
        <v>1.568549478173209E-2</v>
      </c>
      <c r="BK121" s="223">
        <f t="shared" si="26"/>
        <v>8628.7471176018462</v>
      </c>
      <c r="BL121" s="442">
        <v>9016.5</v>
      </c>
      <c r="BM121" s="150">
        <f t="shared" si="27"/>
        <v>8512.7011487037616</v>
      </c>
      <c r="BN121" s="150">
        <f t="shared" si="31"/>
        <v>8842.1025502757329</v>
      </c>
      <c r="BO121" s="373">
        <f>IFERROR(Tabla1[[#This Row],[ Re. Gas GC
 '[m3']]]/Tabla1[[#This Row],[G. HGS 
Con Gas '[kWh']]],0)</f>
        <v>0.24918447348193698</v>
      </c>
      <c r="BP121" s="374">
        <f>Tank!Y122</f>
        <v>0</v>
      </c>
      <c r="BQ121" s="70">
        <f>Tank!AP122</f>
        <v>0</v>
      </c>
      <c r="BR121" s="70">
        <f>Tank!V122</f>
        <v>0</v>
      </c>
      <c r="BS121" s="372">
        <f>Tank!T122</f>
        <v>0</v>
      </c>
      <c r="BT121" s="375" t="s">
        <v>228</v>
      </c>
      <c r="BU121" s="451">
        <v>71</v>
      </c>
      <c r="BV121" s="375">
        <f>IF(Tabla1[[#This Row],[Combustible ofertado]]="GAS",Tabla1[[#This Row],[Disponibilidad]],0)</f>
        <v>0</v>
      </c>
      <c r="BW121" s="375">
        <f>IF(Tabla1[[#This Row],[Combustible ofertado]]="DIESEL",Tabla1[[#This Row],[Disponibilidad]],0)</f>
        <v>71</v>
      </c>
      <c r="BX121" s="375">
        <f>IF(Tabla1[[#This Row],[Combustible ofertado]]="HFO",Tabla1[[#This Row],[Disponibilidad]],0)</f>
        <v>0</v>
      </c>
      <c r="BY121" s="456">
        <v>1440</v>
      </c>
      <c r="BZ121" s="446">
        <f>'Horo. M'!C122</f>
        <v>23</v>
      </c>
      <c r="CA121" s="446">
        <f>'Horo. M'!E122</f>
        <v>0</v>
      </c>
      <c r="CB121" s="446">
        <f>'Horo. M'!G122</f>
        <v>23</v>
      </c>
      <c r="CC121" s="446">
        <f>'Horo. M'!I122</f>
        <v>24</v>
      </c>
      <c r="CD121" s="446">
        <f>'Horo. M'!K122</f>
        <v>22</v>
      </c>
      <c r="CE121" s="446">
        <f>'Horo. M'!M122</f>
        <v>23</v>
      </c>
      <c r="CF121" s="446">
        <f>'Horo. M'!O122</f>
        <v>4</v>
      </c>
      <c r="CG121" s="446">
        <f>'Horo. M'!Q122</f>
        <v>24</v>
      </c>
      <c r="CH121" s="446">
        <f>'Horo. M'!S122</f>
        <v>24</v>
      </c>
      <c r="CI121" s="446">
        <f>'Horo. M'!U122</f>
        <v>24</v>
      </c>
      <c r="CJ121" s="70">
        <f>Tabla1[[#This Row],[Con. DO Storage '[gal']]]-Tabla1[[#This Row],[C. DO Storage Ge '[gal']]]</f>
        <v>264.17205235814845</v>
      </c>
      <c r="CK121" s="70"/>
      <c r="CL121" s="70"/>
      <c r="CM121" s="372">
        <f>Tabla1[[#This Row],[Con. DO Total '[gal']]]*131485.5/(1000000)</f>
        <v>1045.5173111491536</v>
      </c>
    </row>
    <row r="122" spans="1:91" ht="15" customHeight="1">
      <c r="A122" s="362">
        <v>45047</v>
      </c>
      <c r="B122" s="363" t="str">
        <f>TEXT(Tabla1[[#This Row],[Fecha]],"mmmm")</f>
        <v>mayo</v>
      </c>
      <c r="C122" s="429">
        <v>0</v>
      </c>
      <c r="D122" s="430">
        <v>1272</v>
      </c>
      <c r="E122" s="430">
        <v>1272</v>
      </c>
      <c r="F122" s="430">
        <v>1298</v>
      </c>
      <c r="G122" s="431">
        <v>0</v>
      </c>
      <c r="H122" s="431">
        <v>0</v>
      </c>
      <c r="I122" s="432">
        <v>0</v>
      </c>
      <c r="J122" s="432">
        <v>0</v>
      </c>
      <c r="K122" s="430">
        <v>24</v>
      </c>
      <c r="L122" s="430">
        <v>24</v>
      </c>
      <c r="M122" s="365">
        <f>Tabla1[[#This Row],[Columna1]]-Tabla1[[#This Row],[PO '[h']]]</f>
        <v>0</v>
      </c>
      <c r="N122" s="365">
        <f>F122+H122+J122</f>
        <v>1298</v>
      </c>
      <c r="O122" s="430">
        <v>1298</v>
      </c>
      <c r="P122" s="367">
        <f>Tabla1[[#This Row],[G. HGS 
'[MWh']]]</f>
        <v>1298</v>
      </c>
      <c r="Q122" s="430">
        <v>0</v>
      </c>
      <c r="R122" s="367">
        <v>0</v>
      </c>
      <c r="S122" s="367">
        <f>Tabla1[[#This Row],[G. HGS 
Con Gas]]*1000</f>
        <v>1298000</v>
      </c>
      <c r="T122" s="365">
        <f>Tabla1[[#This Row],[G. HGS 
'[MWh']]]*1000</f>
        <v>1298000</v>
      </c>
      <c r="U122" s="368">
        <f>SUM('G. Un GE'!B122:Y122)</f>
        <v>1286.6026999999999</v>
      </c>
      <c r="V122" s="369">
        <f>Tabla1[[#This Row],[R. GE
'[MWh']]]</f>
        <v>1286.6026999999999</v>
      </c>
      <c r="W122" s="434">
        <v>0</v>
      </c>
      <c r="X122" s="369">
        <v>0</v>
      </c>
      <c r="Y122" s="365">
        <f>Tabla1[[#This Row],[R. GE
'[MWh']]]*1000</f>
        <v>1286602.7</v>
      </c>
      <c r="Z122" s="434">
        <v>37.9</v>
      </c>
      <c r="AA122" s="368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</v>
      </c>
      <c r="AB122" s="368">
        <f>IF(Tabla1[[#This Row],[G. HGS 
'[MWh']]]=0,0,Tabla1[[#This Row],[G. HGS 
'[MWh']]]+Tabla1[[#This Row],[Con. Aux. '[MWh']2]])</f>
        <v>1335.9</v>
      </c>
      <c r="AC122" s="368">
        <f>'C. ENER. TN'!F122</f>
        <v>0</v>
      </c>
      <c r="AD122" s="370">
        <f>'C. ENER. TN'!G122</f>
        <v>1286.6027000000001</v>
      </c>
      <c r="AE122" s="370">
        <f>'G. Un GE'!AX122</f>
        <v>160.82533749999999</v>
      </c>
      <c r="AF122" s="368">
        <f>IFERROR('G. Un GE'!AX122/Tabla1[[#This Row],[PO '[h']]],0)</f>
        <v>6.7010557291666659</v>
      </c>
      <c r="AG122" s="365">
        <f>'Ar-Pa'!AX122</f>
        <v>1</v>
      </c>
      <c r="AH122" s="365">
        <f>'Ar-Pa'!AY122</f>
        <v>0</v>
      </c>
      <c r="AI122" s="365">
        <f>SUM('Cal. Arr'!AB125:AY125)</f>
        <v>0</v>
      </c>
      <c r="AJ122" s="442">
        <v>2.65</v>
      </c>
      <c r="AK122" s="442">
        <v>1.1499999999999999</v>
      </c>
      <c r="AL122" s="267">
        <f t="shared" si="21"/>
        <v>303.79786021187067</v>
      </c>
      <c r="AM122" s="267">
        <f>+CONVERT(AK122+Tabla1[[#This Row],[Con. DO Storage Gen. '[m3']]],"m^3","gal")</f>
        <v>1003.853798960964</v>
      </c>
      <c r="AN122" s="372">
        <f>SUM('DO Pilot'!B122:Y122)</f>
        <v>7.1999999999999984</v>
      </c>
      <c r="AO122" s="372">
        <f t="shared" si="22"/>
        <v>1902.0387769786682</v>
      </c>
      <c r="AP122" s="267">
        <f>AK122+AN122+Tabla1[[#This Row],[Con. DO Storage Gen. '[m3']]]</f>
        <v>10.999999999999998</v>
      </c>
      <c r="AQ122" s="372">
        <f t="shared" si="29"/>
        <v>2905.892575939632</v>
      </c>
      <c r="AR122" s="442">
        <v>0</v>
      </c>
      <c r="AS122" s="442">
        <v>0</v>
      </c>
      <c r="AT122" s="267">
        <f>+CONVERT(SUM(Tabla1[[#This Row],[Repo. DO Storage '[gal']]:[Repo. DO Pilot '[gal']]]),"gal","m3")</f>
        <v>0</v>
      </c>
      <c r="AU122" s="442">
        <v>0</v>
      </c>
      <c r="AV122" s="267">
        <f>+CONVERT(AU122,"m^3","gal")</f>
        <v>0</v>
      </c>
      <c r="AW122" s="442">
        <v>0</v>
      </c>
      <c r="AX122" s="267">
        <f t="shared" si="23"/>
        <v>0</v>
      </c>
      <c r="AY122" s="372">
        <f t="shared" si="24"/>
        <v>0.23405073976261223</v>
      </c>
      <c r="AZ122" s="372">
        <f>IFERROR(AL122/'Ar-Pa'!AX122,0)</f>
        <v>303.79786021187067</v>
      </c>
      <c r="BA122" s="372">
        <f>IFERROR(AL122/'Ar-Pa'!AY122,0)</f>
        <v>0</v>
      </c>
      <c r="BB122" s="372">
        <f t="shared" si="25"/>
        <v>1.4653611532963546</v>
      </c>
      <c r="BC122" s="372">
        <f>IFERROR(AVERAGEIF('DO Pilot'!AX122:BU122,"&gt;0"),0)</f>
        <v>9.9064519634305643</v>
      </c>
      <c r="BD122" s="445">
        <v>356398</v>
      </c>
      <c r="BE122" s="445">
        <v>12616</v>
      </c>
      <c r="BF122" s="446">
        <v>356201</v>
      </c>
      <c r="BG122" s="223">
        <f>Tabla1[[#This Row],[ Re. Gas GC
 '[m3']]]</f>
        <v>356201</v>
      </c>
      <c r="BH122" s="150">
        <f>IFERROR((BG122*Gas!$B$3)/28.31685,0)</f>
        <v>12531.065855842016</v>
      </c>
      <c r="BI122" s="151">
        <f t="shared" si="38"/>
        <v>-84.93414415798361</v>
      </c>
      <c r="BJ122" s="74">
        <f t="shared" si="30"/>
        <v>-6.7778866646357209E-3</v>
      </c>
      <c r="BK122" s="223">
        <f t="shared" si="26"/>
        <v>9719.5685670261937</v>
      </c>
      <c r="BL122" s="442">
        <v>0</v>
      </c>
      <c r="BM122" s="150">
        <f t="shared" si="27"/>
        <v>9380.2424252129767</v>
      </c>
      <c r="BN122" s="150">
        <f t="shared" si="31"/>
        <v>9739.6545614602055</v>
      </c>
      <c r="BO122" s="373">
        <f>IFERROR(Tabla1[[#This Row],[ Re. Gas GC
 '[m3']]]/Tabla1[[#This Row],[G. HGS 
Con Gas '[kWh']]],0)</f>
        <v>0.27442295839753467</v>
      </c>
      <c r="BP122" s="374">
        <f>Tank!Y123</f>
        <v>0</v>
      </c>
      <c r="BQ122" s="70">
        <f>Tank!AP123</f>
        <v>0</v>
      </c>
      <c r="BR122" s="70">
        <f>Tank!V123</f>
        <v>0</v>
      </c>
      <c r="BS122" s="372">
        <f>Tank!T123</f>
        <v>0</v>
      </c>
      <c r="BT122" s="375" t="s">
        <v>228</v>
      </c>
      <c r="BU122" s="451">
        <v>71</v>
      </c>
      <c r="BV122" s="375">
        <f>IF(Tabla1[[#This Row],[Combustible ofertado]]="GAS",Tabla1[[#This Row],[Disponibilidad]],0)</f>
        <v>0</v>
      </c>
      <c r="BW122" s="375">
        <f>IF(Tabla1[[#This Row],[Combustible ofertado]]="DIESEL",Tabla1[[#This Row],[Disponibilidad]],0)</f>
        <v>71</v>
      </c>
      <c r="BX122" s="375">
        <f>IF(Tabla1[[#This Row],[Combustible ofertado]]="HFO",Tabla1[[#This Row],[Disponibilidad]],0)</f>
        <v>0</v>
      </c>
      <c r="BY122" s="456">
        <v>1440</v>
      </c>
      <c r="BZ122" s="446">
        <f>'Horo. M'!C123</f>
        <v>24</v>
      </c>
      <c r="CA122" s="446">
        <f>'Horo. M'!E123</f>
        <v>0</v>
      </c>
      <c r="CB122" s="446">
        <f>'Horo. M'!G123</f>
        <v>24</v>
      </c>
      <c r="CC122" s="446">
        <f>'Horo. M'!I123</f>
        <v>24</v>
      </c>
      <c r="CD122" s="446">
        <f>'Horo. M'!K123</f>
        <v>0</v>
      </c>
      <c r="CE122" s="446">
        <f>'Horo. M'!M123</f>
        <v>24</v>
      </c>
      <c r="CF122" s="446">
        <f>'Horo. M'!O123</f>
        <v>22</v>
      </c>
      <c r="CG122" s="446">
        <f>'Horo. M'!Q123</f>
        <v>24</v>
      </c>
      <c r="CH122" s="446">
        <f>'Horo. M'!S123</f>
        <v>24</v>
      </c>
      <c r="CI122" s="446">
        <f>'Horo. M'!U123</f>
        <v>24</v>
      </c>
      <c r="CJ122" s="70">
        <f>Tabla1[[#This Row],[Con. DO Storage '[gal']]]-Tabla1[[#This Row],[C. DO Storage Ge '[gal']]]</f>
        <v>303.79786021187067</v>
      </c>
      <c r="CK122" s="70"/>
      <c r="CL122" s="70"/>
      <c r="CM122" s="372">
        <f>Tabla1[[#This Row],[Con. DO Total '[gal']]]*131485.5/(1000000)</f>
        <v>382.08273829371046</v>
      </c>
    </row>
    <row r="123" spans="1:91" ht="15" customHeight="1">
      <c r="A123" s="362">
        <v>45048</v>
      </c>
      <c r="B123" s="376" t="str">
        <f>TEXT(Tabla1[[#This Row],[Fecha]],"mmmm")</f>
        <v>mayo</v>
      </c>
      <c r="C123" s="429">
        <v>0</v>
      </c>
      <c r="D123" s="429">
        <v>1308</v>
      </c>
      <c r="E123" s="429">
        <v>1308</v>
      </c>
      <c r="F123" s="430">
        <v>1384</v>
      </c>
      <c r="G123" s="431">
        <v>0</v>
      </c>
      <c r="H123" s="431">
        <v>0</v>
      </c>
      <c r="I123" s="432">
        <v>4</v>
      </c>
      <c r="J123" s="432">
        <v>284</v>
      </c>
      <c r="K123" s="430">
        <v>24</v>
      </c>
      <c r="L123" s="430">
        <v>24</v>
      </c>
      <c r="M123" s="365">
        <f>Tabla1[[#This Row],[Columna1]]-Tabla1[[#This Row],[PO '[h']]]</f>
        <v>0</v>
      </c>
      <c r="N123" s="365">
        <f t="shared" ref="N123:N153" si="39">F123+H123+J123</f>
        <v>1668</v>
      </c>
      <c r="O123" s="430">
        <v>1384</v>
      </c>
      <c r="P123" s="367">
        <f>Tabla1[[#This Row],[G. HGS 
'[MWh']]]</f>
        <v>1384</v>
      </c>
      <c r="Q123" s="430">
        <v>0</v>
      </c>
      <c r="R123" s="367">
        <v>0</v>
      </c>
      <c r="S123" s="367">
        <f>Tabla1[[#This Row],[G. HGS 
Con Gas]]*1000</f>
        <v>1384000</v>
      </c>
      <c r="T123" s="365">
        <f>Tabla1[[#This Row],[G. HGS 
'[MWh']]]*1000</f>
        <v>1384000</v>
      </c>
      <c r="U123" s="368">
        <f>SUM('G. Un GE'!B123:Y123)</f>
        <v>1371.5415999999996</v>
      </c>
      <c r="V123" s="369">
        <f>Tabla1[[#This Row],[R. GE
'[MWh']]]</f>
        <v>1371.5415999999996</v>
      </c>
      <c r="W123" s="434">
        <v>0</v>
      </c>
      <c r="X123" s="369">
        <v>0</v>
      </c>
      <c r="Y123" s="365">
        <f>Tabla1[[#This Row],[R. GE
'[MWh']]]*1000</f>
        <v>1371541.5999999996</v>
      </c>
      <c r="Z123" s="434">
        <v>38.15</v>
      </c>
      <c r="AA12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38.15</v>
      </c>
      <c r="AB123" s="371">
        <f>IF(Tabla1[[#This Row],[G. HGS 
'[MWh']]]=0,0,Tabla1[[#This Row],[G. HGS 
'[MWh']]]+Tabla1[[#This Row],[Con. Aux. '[MWh']2]])</f>
        <v>1422.15</v>
      </c>
      <c r="AC123" s="368">
        <f>'C. ENER. TN'!F123</f>
        <v>0</v>
      </c>
      <c r="AD123" s="370">
        <f>'C. ENER. TN'!G123</f>
        <v>1371.5415999999998</v>
      </c>
      <c r="AE123" s="370">
        <f>'G. Un GE'!AX123</f>
        <v>171.44269999999995</v>
      </c>
      <c r="AF123" s="368">
        <f>IFERROR('G. Un GE'!AX123/Tabla1[[#This Row],[PO '[h']]],0)</f>
        <v>7.1434458333333311</v>
      </c>
      <c r="AG123" s="365">
        <f>'Ar-Pa'!AX123</f>
        <v>0</v>
      </c>
      <c r="AH123" s="365">
        <f>'Ar-Pa'!AY123</f>
        <v>0</v>
      </c>
      <c r="AI123" s="366">
        <f>SUM('Cal. Arr'!AB126:AY126)</f>
        <v>0</v>
      </c>
      <c r="AJ123" s="442">
        <v>0</v>
      </c>
      <c r="AK123" s="443">
        <v>1.2</v>
      </c>
      <c r="AL123" s="267">
        <f t="shared" si="21"/>
        <v>317.00646282977812</v>
      </c>
      <c r="AM123" s="267">
        <f>+CONVERT(AK123+Tabla1[[#This Row],[Con. DO Storage Gen. '[m3']]],"m^3","gal")</f>
        <v>317.00646282977812</v>
      </c>
      <c r="AN123" s="372">
        <f>SUM('DO Pilot'!B123:Y123)</f>
        <v>6.64</v>
      </c>
      <c r="AO123" s="372">
        <f t="shared" si="22"/>
        <v>1754.1024276581056</v>
      </c>
      <c r="AP123" s="267">
        <f>AK123+AN123+Tabla1[[#This Row],[Con. DO Storage Gen. '[m3']]]</f>
        <v>7.84</v>
      </c>
      <c r="AQ123" s="372">
        <f t="shared" si="29"/>
        <v>2071.1088904878839</v>
      </c>
      <c r="AR123" s="442">
        <v>11014</v>
      </c>
      <c r="AS123" s="442">
        <v>0</v>
      </c>
      <c r="AT123" s="267">
        <f>+CONVERT(SUM(Tabla1[[#This Row],[Repo. DO Storage '[gal']]:[Repo. DO Pilot '[gal']]]),"gal","m3")</f>
        <v>41.692525388976001</v>
      </c>
      <c r="AU123" s="442">
        <v>0</v>
      </c>
      <c r="AV123" s="372">
        <f t="shared" ref="AV123:AV153" si="40">+CONVERT(AU123,"m^3","gal")</f>
        <v>0</v>
      </c>
      <c r="AW123" s="442">
        <v>0</v>
      </c>
      <c r="AX123" s="267">
        <f t="shared" si="23"/>
        <v>0</v>
      </c>
      <c r="AY123" s="372">
        <f t="shared" si="24"/>
        <v>0.22905091244926165</v>
      </c>
      <c r="AZ123" s="372">
        <f>IFERROR(AL123/'Ar-Pa'!AX123,0)</f>
        <v>0</v>
      </c>
      <c r="BA123" s="372">
        <f>IFERROR(AL123/'Ar-Pa'!AY123,0)</f>
        <v>0</v>
      </c>
      <c r="BB123" s="372">
        <f t="shared" si="25"/>
        <v>1.2674150488859144</v>
      </c>
      <c r="BC123" s="372">
        <f>IFERROR(AVERAGEIF('DO Pilot'!AX123:BU123,"&gt;0"),0)</f>
        <v>9.1359501440526376</v>
      </c>
      <c r="BD123" s="446">
        <v>374673</v>
      </c>
      <c r="BE123" s="446">
        <v>13263</v>
      </c>
      <c r="BF123" s="446">
        <v>374592</v>
      </c>
      <c r="BG123" s="223">
        <f>Tabla1[[#This Row],[ Re. Gas GC
 '[m3']]]</f>
        <v>374592</v>
      </c>
      <c r="BH123" s="150">
        <f>IFERROR((BG123*Gas!$B$3)/28.31685,0)</f>
        <v>13178.056830473728</v>
      </c>
      <c r="BI123" s="73">
        <f t="shared" si="38"/>
        <v>-84.943169526271959</v>
      </c>
      <c r="BJ123" s="74">
        <f>IFERROR(BI123/BH123,0)</f>
        <v>-6.445803855530831E-3</v>
      </c>
      <c r="BK123" s="223">
        <f t="shared" si="26"/>
        <v>9583.0924855491321</v>
      </c>
      <c r="BL123" s="442">
        <v>8930.76</v>
      </c>
      <c r="BM123" s="70">
        <f t="shared" si="27"/>
        <v>9266.2917628054201</v>
      </c>
      <c r="BN123" s="150">
        <f t="shared" si="31"/>
        <v>9608.207895753023</v>
      </c>
      <c r="BO123" s="373">
        <f>IFERROR(Tabla1[[#This Row],[ Re. Gas GC
 '[m3']]]/Tabla1[[#This Row],[G. HGS 
Con Gas '[kWh']]],0)</f>
        <v>0.27065895953757224</v>
      </c>
      <c r="BP123" s="374">
        <f>Tank!Y124</f>
        <v>0</v>
      </c>
      <c r="BQ123" s="70">
        <f>Tank!AP124</f>
        <v>0</v>
      </c>
      <c r="BR123" s="70">
        <f>Tank!V124</f>
        <v>0</v>
      </c>
      <c r="BS123" s="372">
        <f>Tank!T124</f>
        <v>0</v>
      </c>
      <c r="BT123" s="375" t="s">
        <v>228</v>
      </c>
      <c r="BU123" s="451">
        <v>71</v>
      </c>
      <c r="BV123" s="375">
        <f>IF(Tabla1[[#This Row],[Combustible ofertado]]="GAS",Tabla1[[#This Row],[Disponibilidad]],0)</f>
        <v>0</v>
      </c>
      <c r="BW123" s="375">
        <f>IF(Tabla1[[#This Row],[Combustible ofertado]]="DIESEL",Tabla1[[#This Row],[Disponibilidad]],0)</f>
        <v>71</v>
      </c>
      <c r="BX123" s="375">
        <f>IF(Tabla1[[#This Row],[Combustible ofertado]]="HFO",Tabla1[[#This Row],[Disponibilidad]],0)</f>
        <v>0</v>
      </c>
      <c r="BY123" s="456">
        <v>1440</v>
      </c>
      <c r="BZ123" s="446">
        <f>'Horo. M'!C124</f>
        <v>24</v>
      </c>
      <c r="CA123" s="446">
        <f>'Horo. M'!E124</f>
        <v>0</v>
      </c>
      <c r="CB123" s="446">
        <f>'Horo. M'!G124</f>
        <v>24</v>
      </c>
      <c r="CC123" s="446">
        <f>'Horo. M'!I124</f>
        <v>24</v>
      </c>
      <c r="CD123" s="446">
        <f>'Horo. M'!K124</f>
        <v>0</v>
      </c>
      <c r="CE123" s="446">
        <f>'Horo. M'!M124</f>
        <v>24</v>
      </c>
      <c r="CF123" s="446">
        <f>'Horo. M'!O124</f>
        <v>24</v>
      </c>
      <c r="CG123" s="446">
        <f>'Horo. M'!Q124</f>
        <v>23</v>
      </c>
      <c r="CH123" s="446">
        <f>'Horo. M'!S124</f>
        <v>23</v>
      </c>
      <c r="CI123" s="446">
        <f>'Horo. M'!U124</f>
        <v>24</v>
      </c>
      <c r="CJ123" s="70">
        <f>Tabla1[[#This Row],[Con. DO Storage '[gal']]]-Tabla1[[#This Row],[C. DO Storage Ge '[gal']]]</f>
        <v>317.00646282977812</v>
      </c>
      <c r="CK123" s="70"/>
      <c r="CL123" s="70"/>
      <c r="CM123" s="372">
        <f>Tabla1[[#This Row],[Con. DO Total '[gal']]]*131485.5/(1000000)</f>
        <v>272.32078802024466</v>
      </c>
    </row>
    <row r="124" spans="1:91" ht="15" customHeight="1">
      <c r="A124" s="362">
        <v>45049</v>
      </c>
      <c r="B124" s="376" t="str">
        <f>TEXT(Tabla1[[#This Row],[Fecha]],"mmmm")</f>
        <v>mayo</v>
      </c>
      <c r="C124" s="429">
        <v>0</v>
      </c>
      <c r="D124" s="429">
        <v>1315</v>
      </c>
      <c r="E124" s="429">
        <v>1315</v>
      </c>
      <c r="F124" s="430">
        <v>1439</v>
      </c>
      <c r="G124" s="431">
        <v>0</v>
      </c>
      <c r="H124" s="431">
        <v>0</v>
      </c>
      <c r="I124" s="432">
        <v>10</v>
      </c>
      <c r="J124" s="432">
        <v>710</v>
      </c>
      <c r="K124" s="430">
        <v>24</v>
      </c>
      <c r="L124" s="430">
        <v>24</v>
      </c>
      <c r="M124" s="365">
        <f>Tabla1[[#This Row],[Columna1]]-Tabla1[[#This Row],[PO '[h']]]</f>
        <v>0</v>
      </c>
      <c r="N124" s="365">
        <f t="shared" si="39"/>
        <v>2149</v>
      </c>
      <c r="O124" s="430">
        <v>1439</v>
      </c>
      <c r="P124" s="367">
        <f>Tabla1[[#This Row],[G. HGS 
'[MWh']]]</f>
        <v>1439</v>
      </c>
      <c r="Q124" s="430">
        <v>0</v>
      </c>
      <c r="R124" s="367">
        <v>0</v>
      </c>
      <c r="S124" s="367">
        <f>Tabla1[[#This Row],[G. HGS 
Con Gas]]*1000</f>
        <v>1439000</v>
      </c>
      <c r="T124" s="365">
        <f>Tabla1[[#This Row],[G. HGS 
'[MWh']]]*1000</f>
        <v>1439000</v>
      </c>
      <c r="U124" s="368">
        <f>SUM('G. Un GE'!B124:Y124)</f>
        <v>1426.2655999999999</v>
      </c>
      <c r="V124" s="369">
        <f>Tabla1[[#This Row],[R. GE
'[MWh']]]</f>
        <v>1426.2655999999999</v>
      </c>
      <c r="W124" s="434">
        <v>0</v>
      </c>
      <c r="X124" s="369">
        <v>0</v>
      </c>
      <c r="Y124" s="365">
        <f>Tabla1[[#This Row],[R. GE
'[MWh']]]*1000</f>
        <v>1426265.5999999999</v>
      </c>
      <c r="Z124" s="434">
        <v>38.64</v>
      </c>
      <c r="AA12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38.64</v>
      </c>
      <c r="AB124" s="371">
        <f>IF(Tabla1[[#This Row],[G. HGS 
'[MWh']]]=0,0,Tabla1[[#This Row],[G. HGS 
'[MWh']]]+Tabla1[[#This Row],[Con. Aux. '[MWh']2]])</f>
        <v>1477.64</v>
      </c>
      <c r="AC124" s="368">
        <f>'C. ENER. TN'!F124</f>
        <v>0</v>
      </c>
      <c r="AD124" s="370">
        <f>'C. ENER. TN'!G124</f>
        <v>1426.2656000000002</v>
      </c>
      <c r="AE124" s="370">
        <f>'G. Un GE'!AX124</f>
        <v>178.28319999999999</v>
      </c>
      <c r="AF124" s="368">
        <f>IFERROR('G. Un GE'!AX124/Tabla1[[#This Row],[PO '[h']]],0)</f>
        <v>7.4284666666666661</v>
      </c>
      <c r="AG124" s="365">
        <f>'Ar-Pa'!AX124</f>
        <v>0</v>
      </c>
      <c r="AH124" s="365">
        <f>'Ar-Pa'!AY124</f>
        <v>0</v>
      </c>
      <c r="AI124" s="366">
        <f>SUM('Cal. Arr'!AB127:AY127)</f>
        <v>0</v>
      </c>
      <c r="AJ124" s="442">
        <v>2.2000000000000002</v>
      </c>
      <c r="AK124" s="443">
        <v>1.2</v>
      </c>
      <c r="AL124" s="267">
        <f t="shared" si="21"/>
        <v>317.00646282977812</v>
      </c>
      <c r="AM124" s="267">
        <f>+CONVERT(AK124+Tabla1[[#This Row],[Con. DO Storage Gen. '[m3']]],"m^3","gal")</f>
        <v>898.18497801770479</v>
      </c>
      <c r="AN124" s="372">
        <f>SUM('DO Pilot'!B124:Y124)</f>
        <v>6.75</v>
      </c>
      <c r="AO124" s="372">
        <f t="shared" si="22"/>
        <v>1783.1613534175019</v>
      </c>
      <c r="AP124" s="267">
        <f>AK124+AN124+Tabla1[[#This Row],[Con. DO Storage Gen. '[m3']]]</f>
        <v>10.15</v>
      </c>
      <c r="AQ124" s="372">
        <f t="shared" si="29"/>
        <v>2681.3463314352066</v>
      </c>
      <c r="AR124" s="442">
        <v>11000</v>
      </c>
      <c r="AS124" s="442">
        <v>11014</v>
      </c>
      <c r="AT124" s="267">
        <f>+CONVERT(SUM(Tabla1[[#This Row],[Repo. DO Storage '[gal']]:[Repo. DO Pilot '[gal']]]),"gal","m3")</f>
        <v>83.332055012975999</v>
      </c>
      <c r="AU124" s="442">
        <v>0</v>
      </c>
      <c r="AV124" s="372">
        <f t="shared" si="40"/>
        <v>0</v>
      </c>
      <c r="AW124" s="442">
        <v>0</v>
      </c>
      <c r="AX124" s="267">
        <f t="shared" si="23"/>
        <v>0</v>
      </c>
      <c r="AY124" s="372">
        <f t="shared" si="24"/>
        <v>0.22029636054883817</v>
      </c>
      <c r="AZ124" s="372">
        <f>IFERROR(AL124/'Ar-Pa'!AX124,0)</f>
        <v>0</v>
      </c>
      <c r="BA124" s="372">
        <f>IFERROR(AL124/'Ar-Pa'!AY124,0)</f>
        <v>0</v>
      </c>
      <c r="BB124" s="372">
        <f t="shared" si="25"/>
        <v>1.2391670280872147</v>
      </c>
      <c r="BC124" s="372">
        <f>IFERROR(AVERAGEIF('DO Pilot'!AX124:BU124,"&gt;0"),0)</f>
        <v>9.2872987157161564</v>
      </c>
      <c r="BD124" s="446">
        <v>387096</v>
      </c>
      <c r="BE124" s="446">
        <v>13703</v>
      </c>
      <c r="BF124" s="446">
        <v>387097</v>
      </c>
      <c r="BG124" s="223">
        <f>Tabla1[[#This Row],[ Re. Gas GC
 '[m3']]]</f>
        <v>387097</v>
      </c>
      <c r="BH124" s="150">
        <f>IFERROR((BG124*Gas!$B$3)/28.31685,0)</f>
        <v>13617.979735034089</v>
      </c>
      <c r="BI124" s="73">
        <f t="shared" ref="BI124:BI153" si="41">BH124-BE124</f>
        <v>-85.020264965911338</v>
      </c>
      <c r="BJ124" s="74">
        <f t="shared" si="30"/>
        <v>-6.2432362670642874E-3</v>
      </c>
      <c r="BK124" s="223">
        <f t="shared" si="26"/>
        <v>9522.5851285615008</v>
      </c>
      <c r="BL124" s="442">
        <v>9079.58</v>
      </c>
      <c r="BM124" s="70">
        <f t="shared" si="27"/>
        <v>9216.033496003145</v>
      </c>
      <c r="BN124" s="150">
        <f t="shared" si="31"/>
        <v>9547.9970455952171</v>
      </c>
      <c r="BO124" s="373">
        <f>IFERROR(Tabla1[[#This Row],[ Re. Gas GC
 '[m3']]]/Tabla1[[#This Row],[G. HGS 
Con Gas '[kWh']]],0)</f>
        <v>0.26900416956219597</v>
      </c>
      <c r="BP124" s="374">
        <f>Tank!Y125</f>
        <v>0</v>
      </c>
      <c r="BQ124" s="70">
        <f>Tank!AP125</f>
        <v>9</v>
      </c>
      <c r="BR124" s="70">
        <f>Tank!V125</f>
        <v>0</v>
      </c>
      <c r="BS124" s="372">
        <f>Tank!T125</f>
        <v>0</v>
      </c>
      <c r="BT124" s="375" t="s">
        <v>228</v>
      </c>
      <c r="BU124" s="451">
        <v>71</v>
      </c>
      <c r="BV124" s="375">
        <f>IF(Tabla1[[#This Row],[Combustible ofertado]]="GAS",Tabla1[[#This Row],[Disponibilidad]],0)</f>
        <v>0</v>
      </c>
      <c r="BW124" s="375">
        <f>IF(Tabla1[[#This Row],[Combustible ofertado]]="DIESEL",Tabla1[[#This Row],[Disponibilidad]],0)</f>
        <v>71</v>
      </c>
      <c r="BX124" s="375">
        <f>IF(Tabla1[[#This Row],[Combustible ofertado]]="HFO",Tabla1[[#This Row],[Disponibilidad]],0)</f>
        <v>0</v>
      </c>
      <c r="BY124" s="456">
        <v>1440</v>
      </c>
      <c r="BZ124" s="446">
        <f>'Horo. M'!C125</f>
        <v>24</v>
      </c>
      <c r="CA124" s="446">
        <f>'Horo. M'!E125</f>
        <v>0</v>
      </c>
      <c r="CB124" s="446">
        <f>'Horo. M'!G125</f>
        <v>24</v>
      </c>
      <c r="CC124" s="446">
        <f>'Horo. M'!I125</f>
        <v>24</v>
      </c>
      <c r="CD124" s="446">
        <f>'Horo. M'!K125</f>
        <v>0</v>
      </c>
      <c r="CE124" s="446">
        <f>'Horo. M'!M125</f>
        <v>24</v>
      </c>
      <c r="CF124" s="446">
        <f>'Horo. M'!O125</f>
        <v>24</v>
      </c>
      <c r="CG124" s="446">
        <f>'Horo. M'!Q125</f>
        <v>22</v>
      </c>
      <c r="CH124" s="446">
        <f>'Horo. M'!S125</f>
        <v>24</v>
      </c>
      <c r="CI124" s="446">
        <f>'Horo. M'!U125</f>
        <v>24</v>
      </c>
      <c r="CJ124" s="70">
        <f>Tabla1[[#This Row],[Con. DO Storage '[gal']]]-Tabla1[[#This Row],[C. DO Storage Ge '[gal']]]</f>
        <v>317.00646282977812</v>
      </c>
      <c r="CK124" s="70"/>
      <c r="CL124" s="70"/>
      <c r="CM124" s="372">
        <f>Tabla1[[#This Row],[Con. DO Total '[gal']]]*131485.5/(1000000)</f>
        <v>352.55816306192384</v>
      </c>
    </row>
    <row r="125" spans="1:91" ht="15" customHeight="1">
      <c r="A125" s="362">
        <v>45050</v>
      </c>
      <c r="B125" s="376" t="str">
        <f>TEXT(Tabla1[[#This Row],[Fecha]],"mmmm")</f>
        <v>mayo</v>
      </c>
      <c r="C125" s="429">
        <v>0</v>
      </c>
      <c r="D125" s="429">
        <v>1303</v>
      </c>
      <c r="E125" s="429">
        <v>1303</v>
      </c>
      <c r="F125" s="430">
        <v>1443</v>
      </c>
      <c r="G125" s="431">
        <v>0</v>
      </c>
      <c r="H125" s="431">
        <v>0</v>
      </c>
      <c r="I125" s="432">
        <v>12</v>
      </c>
      <c r="J125" s="432">
        <v>852</v>
      </c>
      <c r="K125" s="430">
        <v>24</v>
      </c>
      <c r="L125" s="430">
        <v>24</v>
      </c>
      <c r="M125" s="365">
        <f>Tabla1[[#This Row],[Columna1]]-Tabla1[[#This Row],[PO '[h']]]</f>
        <v>0</v>
      </c>
      <c r="N125" s="365">
        <f t="shared" si="39"/>
        <v>2295</v>
      </c>
      <c r="O125" s="430">
        <v>1443</v>
      </c>
      <c r="P125" s="367">
        <f>Tabla1[[#This Row],[G. HGS 
'[MWh']]]</f>
        <v>1443</v>
      </c>
      <c r="Q125" s="430">
        <v>0</v>
      </c>
      <c r="R125" s="367">
        <v>0</v>
      </c>
      <c r="S125" s="367">
        <f>Tabla1[[#This Row],[G. HGS 
Con Gas]]*1000</f>
        <v>1443000</v>
      </c>
      <c r="T125" s="365">
        <f>Tabla1[[#This Row],[G. HGS 
'[MWh']]]*1000</f>
        <v>1443000</v>
      </c>
      <c r="U125" s="368">
        <f>SUM('G. Un GE'!B125:Y125)</f>
        <v>1428.2915</v>
      </c>
      <c r="V125" s="369">
        <f>Tabla1[[#This Row],[R. GE
'[MWh']]]</f>
        <v>1428.2915</v>
      </c>
      <c r="W125" s="434">
        <v>0</v>
      </c>
      <c r="X125" s="369">
        <v>0</v>
      </c>
      <c r="Y125" s="365">
        <f>Tabla1[[#This Row],[R. GE
'[MWh']]]*1000</f>
        <v>1428291.5</v>
      </c>
      <c r="Z125" s="434">
        <v>38.799999999999997</v>
      </c>
      <c r="AA12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38.799999999999997</v>
      </c>
      <c r="AB125" s="371">
        <f>IF(Tabla1[[#This Row],[G. HGS 
'[MWh']]]=0,0,Tabla1[[#This Row],[G. HGS 
'[MWh']]]+Tabla1[[#This Row],[Con. Aux. '[MWh']2]])</f>
        <v>1481.8</v>
      </c>
      <c r="AC125" s="368">
        <f>'C. ENER. TN'!F125</f>
        <v>0</v>
      </c>
      <c r="AD125" s="370">
        <f>'C. ENER. TN'!G125</f>
        <v>1428.2914999999998</v>
      </c>
      <c r="AE125" s="370">
        <f>'G. Un GE'!AX125</f>
        <v>178.53643750000001</v>
      </c>
      <c r="AF125" s="368">
        <f>IFERROR('G. Un GE'!AX125/Tabla1[[#This Row],[PO '[h']]],0)</f>
        <v>7.4390182291666669</v>
      </c>
      <c r="AG125" s="365">
        <f>'Ar-Pa'!AX125</f>
        <v>0</v>
      </c>
      <c r="AH125" s="365">
        <f>'Ar-Pa'!AY125</f>
        <v>0</v>
      </c>
      <c r="AI125" s="366">
        <f>SUM('Cal. Arr'!AB128:AY128)</f>
        <v>0</v>
      </c>
      <c r="AJ125" s="442">
        <v>0</v>
      </c>
      <c r="AK125" s="443">
        <v>1.5</v>
      </c>
      <c r="AL125" s="267">
        <f t="shared" si="21"/>
        <v>396.25807853722262</v>
      </c>
      <c r="AM125" s="267">
        <f>+CONVERT(AK125+Tabla1[[#This Row],[Con. DO Storage Gen. '[m3']]],"m^3","gal")</f>
        <v>396.25807853722262</v>
      </c>
      <c r="AN125" s="372">
        <f>SUM('DO Pilot'!B125:Y125)</f>
        <v>7.2399999999999984</v>
      </c>
      <c r="AO125" s="372">
        <f t="shared" si="22"/>
        <v>1912.6056590729941</v>
      </c>
      <c r="AP125" s="267">
        <f>AK125+AN125+Tabla1[[#This Row],[Con. DO Storage Gen. '[m3']]]</f>
        <v>8.7399999999999984</v>
      </c>
      <c r="AQ125" s="372">
        <f t="shared" si="29"/>
        <v>2308.863737610217</v>
      </c>
      <c r="AR125" s="442">
        <v>0</v>
      </c>
      <c r="AS125" s="442">
        <v>0</v>
      </c>
      <c r="AT125" s="267">
        <f>+CONVERT(SUM(Tabla1[[#This Row],[Repo. DO Storage '[gal']]:[Repo. DO Pilot '[gal']]]),"gal","m3")</f>
        <v>0</v>
      </c>
      <c r="AU125" s="442">
        <v>0</v>
      </c>
      <c r="AV125" s="372">
        <f t="shared" si="40"/>
        <v>0</v>
      </c>
      <c r="AW125" s="442">
        <v>0</v>
      </c>
      <c r="AX125" s="267">
        <f t="shared" si="23"/>
        <v>0</v>
      </c>
      <c r="AY125" s="372">
        <f t="shared" si="24"/>
        <v>0.27460712303341833</v>
      </c>
      <c r="AZ125" s="372">
        <f>IFERROR(AL125/'Ar-Pa'!AX125,0)</f>
        <v>0</v>
      </c>
      <c r="BA125" s="372">
        <f>IFERROR(AL125/'Ar-Pa'!AY125,0)</f>
        <v>0</v>
      </c>
      <c r="BB125" s="372">
        <f t="shared" si="25"/>
        <v>1.325437047174632</v>
      </c>
      <c r="BC125" s="372">
        <f>IFERROR(AVERAGEIF('DO Pilot'!AX125:BU125,"&gt;0"),0)</f>
        <v>9.9614878076718458</v>
      </c>
      <c r="BD125" s="446">
        <v>387688</v>
      </c>
      <c r="BE125" s="446">
        <v>13724</v>
      </c>
      <c r="BF125" s="446">
        <v>387027</v>
      </c>
      <c r="BG125" s="223">
        <f>Tabla1[[#This Row],[ Re. Gas GC
 '[m3']]]</f>
        <v>387027</v>
      </c>
      <c r="BH125" s="150">
        <f>IFERROR((BG125*Gas!$B$3)/28.31685,0)</f>
        <v>13615.517151801841</v>
      </c>
      <c r="BI125" s="73">
        <f t="shared" si="41"/>
        <v>-108.48284819815854</v>
      </c>
      <c r="BJ125" s="74">
        <f t="shared" si="30"/>
        <v>-7.9675892578051806E-3</v>
      </c>
      <c r="BK125" s="223">
        <f t="shared" si="26"/>
        <v>9510.7415107415109</v>
      </c>
      <c r="BL125" s="442">
        <v>0</v>
      </c>
      <c r="BM125" s="70">
        <f t="shared" si="27"/>
        <v>9188.4985502779346</v>
      </c>
      <c r="BN125" s="150">
        <f t="shared" si="31"/>
        <v>9532.7299446939505</v>
      </c>
      <c r="BO125" s="373">
        <f>IFERROR(Tabla1[[#This Row],[ Re. Gas GC
 '[m3']]]/Tabla1[[#This Row],[G. HGS 
Con Gas '[kWh']]],0)</f>
        <v>0.26820997920997919</v>
      </c>
      <c r="BP125" s="374">
        <f>Tank!Y126</f>
        <v>0</v>
      </c>
      <c r="BQ125" s="70">
        <f>Tank!AP126</f>
        <v>19.5</v>
      </c>
      <c r="BR125" s="70">
        <f>Tank!V126</f>
        <v>0</v>
      </c>
      <c r="BS125" s="372">
        <f>Tank!T126</f>
        <v>0</v>
      </c>
      <c r="BT125" s="375" t="s">
        <v>228</v>
      </c>
      <c r="BU125" s="451">
        <v>71</v>
      </c>
      <c r="BV125" s="375">
        <f>IF(Tabla1[[#This Row],[Combustible ofertado]]="GAS",Tabla1[[#This Row],[Disponibilidad]],0)</f>
        <v>0</v>
      </c>
      <c r="BW125" s="375">
        <f>IF(Tabla1[[#This Row],[Combustible ofertado]]="DIESEL",Tabla1[[#This Row],[Disponibilidad]],0)</f>
        <v>71</v>
      </c>
      <c r="BX125" s="375">
        <f>IF(Tabla1[[#This Row],[Combustible ofertado]]="HFO",Tabla1[[#This Row],[Disponibilidad]],0)</f>
        <v>0</v>
      </c>
      <c r="BY125" s="456">
        <v>1440</v>
      </c>
      <c r="BZ125" s="446">
        <f>'Horo. M'!C126</f>
        <v>24</v>
      </c>
      <c r="CA125" s="446">
        <f>'Horo. M'!E126</f>
        <v>0</v>
      </c>
      <c r="CB125" s="446">
        <f>'Horo. M'!G126</f>
        <v>24</v>
      </c>
      <c r="CC125" s="446">
        <f>'Horo. M'!I126</f>
        <v>23</v>
      </c>
      <c r="CD125" s="446">
        <f>'Horo. M'!K126</f>
        <v>0</v>
      </c>
      <c r="CE125" s="446">
        <f>'Horo. M'!M126</f>
        <v>24</v>
      </c>
      <c r="CF125" s="446">
        <f>'Horo. M'!O126</f>
        <v>24</v>
      </c>
      <c r="CG125" s="446">
        <f>'Horo. M'!Q126</f>
        <v>23</v>
      </c>
      <c r="CH125" s="446">
        <f>'Horo. M'!S126</f>
        <v>24</v>
      </c>
      <c r="CI125" s="446">
        <f>'Horo. M'!U126</f>
        <v>24</v>
      </c>
      <c r="CJ125" s="70">
        <f>Tabla1[[#This Row],[Con. DO Storage '[gal']]]-Tabla1[[#This Row],[C. DO Storage Ge '[gal']]]</f>
        <v>396.25807853722262</v>
      </c>
      <c r="CK125" s="70"/>
      <c r="CL125" s="70"/>
      <c r="CM125" s="372">
        <f>Tabla1[[#This Row],[Con. DO Total '[gal']]]*131485.5/(1000000)</f>
        <v>303.58210297154818</v>
      </c>
    </row>
    <row r="126" spans="1:91" ht="15" customHeight="1">
      <c r="A126" s="362">
        <v>45051</v>
      </c>
      <c r="B126" s="376" t="str">
        <f>TEXT(Tabla1[[#This Row],[Fecha]],"mmmm")</f>
        <v>mayo</v>
      </c>
      <c r="C126" s="429">
        <v>0</v>
      </c>
      <c r="D126" s="429">
        <v>1321</v>
      </c>
      <c r="E126" s="429">
        <v>1318</v>
      </c>
      <c r="F126" s="430">
        <v>1469</v>
      </c>
      <c r="G126" s="431">
        <v>0</v>
      </c>
      <c r="H126" s="431">
        <v>0</v>
      </c>
      <c r="I126" s="432">
        <v>11</v>
      </c>
      <c r="J126" s="432">
        <v>781</v>
      </c>
      <c r="K126" s="430">
        <v>24</v>
      </c>
      <c r="L126" s="430">
        <v>24</v>
      </c>
      <c r="M126" s="365">
        <f>Tabla1[[#This Row],[Columna1]]-Tabla1[[#This Row],[PO '[h']]]</f>
        <v>0</v>
      </c>
      <c r="N126" s="365">
        <f t="shared" si="39"/>
        <v>2250</v>
      </c>
      <c r="O126" s="430">
        <v>1469</v>
      </c>
      <c r="P126" s="367">
        <f>Tabla1[[#This Row],[G. HGS 
'[MWh']]]</f>
        <v>1469</v>
      </c>
      <c r="Q126" s="430">
        <v>0</v>
      </c>
      <c r="R126" s="367">
        <v>0</v>
      </c>
      <c r="S126" s="367">
        <f>Tabla1[[#This Row],[G. HGS 
Con Gas]]*1000</f>
        <v>1469000</v>
      </c>
      <c r="T126" s="365">
        <f>Tabla1[[#This Row],[G. HGS 
'[MWh']]]*1000</f>
        <v>1469000</v>
      </c>
      <c r="U126" s="368">
        <f>SUM('G. Un GE'!B126:Y126)</f>
        <v>1456.7547</v>
      </c>
      <c r="V126" s="369">
        <f>Tabla1[[#This Row],[R. GE
'[MWh']]]</f>
        <v>1456.7547</v>
      </c>
      <c r="W126" s="434">
        <v>0</v>
      </c>
      <c r="X126" s="369">
        <v>0</v>
      </c>
      <c r="Y126" s="365">
        <f>Tabla1[[#This Row],[R. GE
'[MWh']]]*1000</f>
        <v>1456754.7</v>
      </c>
      <c r="Z126" s="434">
        <v>38.729999999999997</v>
      </c>
      <c r="AA12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38.729999999999997</v>
      </c>
      <c r="AB126" s="371">
        <f>IF(Tabla1[[#This Row],[G. HGS 
'[MWh']]]=0,0,Tabla1[[#This Row],[G. HGS 
'[MWh']]]+Tabla1[[#This Row],[Con. Aux. '[MWh']2]])</f>
        <v>1507.73</v>
      </c>
      <c r="AC126" s="368">
        <f>'C. ENER. TN'!F126</f>
        <v>0</v>
      </c>
      <c r="AD126" s="370">
        <f>'C. ENER. TN'!G126</f>
        <v>1456.7547000000002</v>
      </c>
      <c r="AE126" s="370">
        <f>'G. Un GE'!AX126</f>
        <v>184.02101249999998</v>
      </c>
      <c r="AF126" s="368">
        <f>IFERROR('G. Un GE'!AX126/Tabla1[[#This Row],[PO '[h']]],0)</f>
        <v>7.6675421874999996</v>
      </c>
      <c r="AG126" s="365">
        <f>'Ar-Pa'!AX126</f>
        <v>1</v>
      </c>
      <c r="AH126" s="365">
        <f>'Ar-Pa'!AY126</f>
        <v>1</v>
      </c>
      <c r="AI126" s="366">
        <f>SUM('Cal. Arr'!AB129:AY129)</f>
        <v>0</v>
      </c>
      <c r="AJ126" s="442">
        <v>3.8</v>
      </c>
      <c r="AK126" s="443">
        <v>1.2</v>
      </c>
      <c r="AL126" s="267">
        <f t="shared" si="21"/>
        <v>317.00646282977812</v>
      </c>
      <c r="AM126" s="267">
        <f>+CONVERT(AK126+Tabla1[[#This Row],[Con. DO Storage Gen. '[m3']]],"m^3","gal")</f>
        <v>1320.860261790742</v>
      </c>
      <c r="AN126" s="372">
        <f>SUM('DO Pilot'!B126:Y126)</f>
        <v>7.2999999999999989</v>
      </c>
      <c r="AO126" s="372">
        <f t="shared" si="22"/>
        <v>1928.4559822144834</v>
      </c>
      <c r="AP126" s="267">
        <f>AK126+AN126+Tabla1[[#This Row],[Con. DO Storage Gen. '[m3']]]</f>
        <v>12.299999999999997</v>
      </c>
      <c r="AQ126" s="372">
        <f t="shared" si="29"/>
        <v>3249.3162440052247</v>
      </c>
      <c r="AR126" s="442">
        <v>0</v>
      </c>
      <c r="AS126" s="442">
        <v>0</v>
      </c>
      <c r="AT126" s="267">
        <f>+CONVERT(SUM(Tabla1[[#This Row],[Repo. DO Storage '[gal']]:[Repo. DO Pilot '[gal']]]),"gal","m3")</f>
        <v>0</v>
      </c>
      <c r="AU126" s="442">
        <v>0</v>
      </c>
      <c r="AV126" s="372">
        <f t="shared" si="40"/>
        <v>0</v>
      </c>
      <c r="AW126" s="442">
        <v>0</v>
      </c>
      <c r="AX126" s="267">
        <f t="shared" si="23"/>
        <v>0</v>
      </c>
      <c r="AY126" s="372">
        <f t="shared" si="24"/>
        <v>0.21579745597670397</v>
      </c>
      <c r="AZ126" s="372">
        <f>IFERROR(AL126/'Ar-Pa'!AX126,0)</f>
        <v>317.00646282977812</v>
      </c>
      <c r="BA126" s="372">
        <f>IFERROR(AL126/'Ar-Pa'!AY126,0)</f>
        <v>317.00646282977812</v>
      </c>
      <c r="BB126" s="372">
        <f t="shared" si="25"/>
        <v>1.3127678571916157</v>
      </c>
      <c r="BC126" s="372">
        <f>IFERROR(AVERAGEIF('DO Pilot'!AX126:BU126,"&gt;0"),0)</f>
        <v>10.152147696650569</v>
      </c>
      <c r="BD126" s="446">
        <v>390331</v>
      </c>
      <c r="BE126" s="446">
        <v>13817</v>
      </c>
      <c r="BF126" s="446">
        <v>389926</v>
      </c>
      <c r="BG126" s="223">
        <f>Tabla1[[#This Row],[ Re. Gas GC
 '[m3']]]</f>
        <v>389926</v>
      </c>
      <c r="BH126" s="150">
        <f>IFERROR((BG126*Gas!$B$3)/28.31685,0)</f>
        <v>13717.503277377249</v>
      </c>
      <c r="BI126" s="73">
        <f t="shared" si="41"/>
        <v>-99.496722622750895</v>
      </c>
      <c r="BJ126" s="74">
        <f t="shared" si="30"/>
        <v>-7.253267639953093E-3</v>
      </c>
      <c r="BK126" s="223">
        <f t="shared" si="26"/>
        <v>9405.7181756296795</v>
      </c>
      <c r="BL126" s="442">
        <v>0</v>
      </c>
      <c r="BM126" s="70">
        <f t="shared" si="27"/>
        <v>9098.1165575913783</v>
      </c>
      <c r="BN126" s="150">
        <f t="shared" si="31"/>
        <v>9416.4812218400602</v>
      </c>
      <c r="BO126" s="373">
        <f>IFERROR(Tabla1[[#This Row],[ Re. Gas GC
 '[m3']]]/Tabla1[[#This Row],[G. HGS 
Con Gas '[kWh']]],0)</f>
        <v>0.2654363512593601</v>
      </c>
      <c r="BP126" s="374">
        <f>Tank!Y127</f>
        <v>0</v>
      </c>
      <c r="BQ126" s="70">
        <f>Tank!AP127</f>
        <v>30.6</v>
      </c>
      <c r="BR126" s="70">
        <f>Tank!V127</f>
        <v>0</v>
      </c>
      <c r="BS126" s="372">
        <f>Tank!T127</f>
        <v>0</v>
      </c>
      <c r="BT126" s="375" t="s">
        <v>228</v>
      </c>
      <c r="BU126" s="451">
        <v>71</v>
      </c>
      <c r="BV126" s="375">
        <f>IF(Tabla1[[#This Row],[Combustible ofertado]]="GAS",Tabla1[[#This Row],[Disponibilidad]],0)</f>
        <v>0</v>
      </c>
      <c r="BW126" s="375">
        <f>IF(Tabla1[[#This Row],[Combustible ofertado]]="DIESEL",Tabla1[[#This Row],[Disponibilidad]],0)</f>
        <v>71</v>
      </c>
      <c r="BX126" s="375">
        <f>IF(Tabla1[[#This Row],[Combustible ofertado]]="HFO",Tabla1[[#This Row],[Disponibilidad]],0)</f>
        <v>0</v>
      </c>
      <c r="BY126" s="456">
        <v>1440</v>
      </c>
      <c r="BZ126" s="446">
        <f>'Horo. M'!C127</f>
        <v>24</v>
      </c>
      <c r="CA126" s="446">
        <f>'Horo. M'!E127</f>
        <v>3</v>
      </c>
      <c r="CB126" s="446">
        <f>'Horo. M'!G127</f>
        <v>24</v>
      </c>
      <c r="CC126" s="446">
        <f>'Horo. M'!I127</f>
        <v>24</v>
      </c>
      <c r="CD126" s="446">
        <f>'Horo. M'!K127</f>
        <v>0</v>
      </c>
      <c r="CE126" s="446">
        <f>'Horo. M'!M127</f>
        <v>21</v>
      </c>
      <c r="CF126" s="446">
        <f>'Horo. M'!O127</f>
        <v>24</v>
      </c>
      <c r="CG126" s="446">
        <f>'Horo. M'!Q127</f>
        <v>24</v>
      </c>
      <c r="CH126" s="446">
        <f>'Horo. M'!S127</f>
        <v>24</v>
      </c>
      <c r="CI126" s="446">
        <f>'Horo. M'!U127</f>
        <v>24</v>
      </c>
      <c r="CJ126" s="70">
        <f>Tabla1[[#This Row],[Con. DO Storage '[gal']]]-Tabla1[[#This Row],[C. DO Storage Ge '[gal']]]</f>
        <v>317.00646282977812</v>
      </c>
      <c r="CK126" s="70"/>
      <c r="CL126" s="70"/>
      <c r="CM126" s="372">
        <f>Tabla1[[#This Row],[Con. DO Total '[gal']]]*131485.5/(1000000)</f>
        <v>427.23797100114899</v>
      </c>
    </row>
    <row r="127" spans="1:91" ht="15" customHeight="1">
      <c r="A127" s="362">
        <v>45052</v>
      </c>
      <c r="B127" s="376" t="str">
        <f>TEXT(Tabla1[[#This Row],[Fecha]],"mmmm")</f>
        <v>mayo</v>
      </c>
      <c r="C127" s="429">
        <v>0</v>
      </c>
      <c r="D127" s="429">
        <v>1272</v>
      </c>
      <c r="E127" s="429">
        <v>1321</v>
      </c>
      <c r="F127" s="430">
        <v>1417</v>
      </c>
      <c r="G127" s="431">
        <v>0</v>
      </c>
      <c r="H127" s="431">
        <v>0</v>
      </c>
      <c r="I127" s="432">
        <v>6</v>
      </c>
      <c r="J127" s="432">
        <v>408</v>
      </c>
      <c r="K127" s="430">
        <v>24</v>
      </c>
      <c r="L127" s="430">
        <v>24</v>
      </c>
      <c r="M127" s="364">
        <f>Tabla1[[#This Row],[Columna1]]-Tabla1[[#This Row],[PO '[h']]]</f>
        <v>0</v>
      </c>
      <c r="N127" s="365">
        <f t="shared" si="39"/>
        <v>1825</v>
      </c>
      <c r="O127" s="429">
        <v>1417</v>
      </c>
      <c r="P127" s="367">
        <f>Tabla1[[#This Row],[G. HGS 
'[MWh']]]</f>
        <v>1417</v>
      </c>
      <c r="Q127" s="430">
        <v>0</v>
      </c>
      <c r="R127" s="367">
        <v>0</v>
      </c>
      <c r="S127" s="367">
        <f>Tabla1[[#This Row],[G. HGS 
Con Gas]]*1000</f>
        <v>1417000</v>
      </c>
      <c r="T127" s="364">
        <f>Tabla1[[#This Row],[G. HGS 
'[MWh']]]*1000</f>
        <v>1417000</v>
      </c>
      <c r="U127" s="368">
        <f>SUM('G. Un GE'!B127:Y127)</f>
        <v>1403.8549999999996</v>
      </c>
      <c r="V127" s="369">
        <f>Tabla1[[#This Row],[R. GE
'[MWh']]]</f>
        <v>1403.8549999999996</v>
      </c>
      <c r="W127" s="434">
        <v>0</v>
      </c>
      <c r="X127" s="369">
        <v>0</v>
      </c>
      <c r="Y127" s="365">
        <f>Tabla1[[#This Row],[R. GE
'[MWh']]]*1000</f>
        <v>1403854.9999999995</v>
      </c>
      <c r="Z127" s="434">
        <v>38.79</v>
      </c>
      <c r="AA12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38.79</v>
      </c>
      <c r="AB127" s="371">
        <f>IF(Tabla1[[#This Row],[G. HGS 
'[MWh']]]=0,0,Tabla1[[#This Row],[G. HGS 
'[MWh']]]+Tabla1[[#This Row],[Con. Aux. '[MWh']2]])</f>
        <v>1455.79</v>
      </c>
      <c r="AC127" s="368">
        <f>'C. ENER. TN'!F127</f>
        <v>0</v>
      </c>
      <c r="AD127" s="370">
        <f>'C. ENER. TN'!G127</f>
        <v>1403.855</v>
      </c>
      <c r="AE127" s="370">
        <f>'G. Un GE'!AX127</f>
        <v>175.48187499999995</v>
      </c>
      <c r="AF127" s="368">
        <f>IFERROR('G. Un GE'!AX127/Tabla1[[#This Row],[PO '[h']]],0)</f>
        <v>7.3117447916666647</v>
      </c>
      <c r="AG127" s="365">
        <f>'Ar-Pa'!AX127</f>
        <v>0</v>
      </c>
      <c r="AH127" s="365">
        <f>'Ar-Pa'!AY127</f>
        <v>0</v>
      </c>
      <c r="AI127" s="366">
        <f>SUM('Cal. Arr'!AB130:AY130)</f>
        <v>0</v>
      </c>
      <c r="AJ127" s="442">
        <v>0</v>
      </c>
      <c r="AK127" s="443">
        <v>2</v>
      </c>
      <c r="AL127" s="267">
        <f t="shared" si="21"/>
        <v>528.3441047162969</v>
      </c>
      <c r="AM127" s="267">
        <f>+CONVERT(AK127+Tabla1[[#This Row],[Con. DO Storage Gen. '[m3']]],"m^3","gal")</f>
        <v>528.3441047162969</v>
      </c>
      <c r="AN127" s="372">
        <f>SUM('DO Pilot'!B127:Y127)</f>
        <v>7.6000000000000023</v>
      </c>
      <c r="AO127" s="372">
        <f t="shared" si="22"/>
        <v>2007.7075979219287</v>
      </c>
      <c r="AP127" s="267">
        <f>AK127+AN127+Tabla1[[#This Row],[Con. DO Storage Gen. '[m3']]]</f>
        <v>9.6000000000000014</v>
      </c>
      <c r="AQ127" s="372">
        <f t="shared" si="29"/>
        <v>2536.0517026382254</v>
      </c>
      <c r="AR127" s="443">
        <v>0</v>
      </c>
      <c r="AS127" s="443">
        <v>0</v>
      </c>
      <c r="AT127" s="267">
        <f>+CONVERT(SUM(Tabla1[[#This Row],[Repo. DO Storage '[gal']]:[Repo. DO Pilot '[gal']]]),"gal","m3")</f>
        <v>0</v>
      </c>
      <c r="AU127" s="442">
        <v>0</v>
      </c>
      <c r="AV127" s="372">
        <f t="shared" si="40"/>
        <v>0</v>
      </c>
      <c r="AW127" s="442">
        <v>0</v>
      </c>
      <c r="AX127" s="267">
        <f t="shared" si="23"/>
        <v>0</v>
      </c>
      <c r="AY127" s="372">
        <f t="shared" si="24"/>
        <v>0.37286104778849466</v>
      </c>
      <c r="AZ127" s="372">
        <f>IFERROR(AL127/'Ar-Pa'!AX127,0)</f>
        <v>0</v>
      </c>
      <c r="BA127" s="372">
        <f>IFERROR(AL127/'Ar-Pa'!AY127,0)</f>
        <v>0</v>
      </c>
      <c r="BB127" s="372">
        <f t="shared" si="25"/>
        <v>1.41687198159628</v>
      </c>
      <c r="BC127" s="372">
        <f>IFERROR(AVERAGEIF('DO Pilot'!AX127:BU127,"&gt;0"),0)</f>
        <v>10.456810405843378</v>
      </c>
      <c r="BD127" s="446">
        <v>380834</v>
      </c>
      <c r="BE127" s="446">
        <v>13481</v>
      </c>
      <c r="BF127" s="446">
        <v>380391</v>
      </c>
      <c r="BG127" s="223">
        <f>Tabla1[[#This Row],[ Re. Gas GC
 '[m3']]]</f>
        <v>380391</v>
      </c>
      <c r="BH127" s="150">
        <f>IFERROR((BG127*Gas!$B$3)/28.31685,0)</f>
        <v>13382.064261385007</v>
      </c>
      <c r="BI127" s="73">
        <f t="shared" si="41"/>
        <v>-98.93573861499317</v>
      </c>
      <c r="BJ127" s="74">
        <f t="shared" si="30"/>
        <v>-7.3931597310050272E-3</v>
      </c>
      <c r="BK127" s="223">
        <f t="shared" si="26"/>
        <v>9513.7614678899081</v>
      </c>
      <c r="BL127" s="442">
        <v>0</v>
      </c>
      <c r="BM127" s="70">
        <f t="shared" si="27"/>
        <v>9192.3040145797167</v>
      </c>
      <c r="BN127" s="150">
        <f t="shared" si="31"/>
        <v>9532.3692698925533</v>
      </c>
      <c r="BO127" s="373">
        <f>IFERROR(Tabla1[[#This Row],[ Re. Gas GC
 '[m3']]]/Tabla1[[#This Row],[G. HGS 
Con Gas '[kWh']]],0)</f>
        <v>0.26844812985179956</v>
      </c>
      <c r="BP127" s="374">
        <f>Tank!Y128</f>
        <v>0</v>
      </c>
      <c r="BQ127" s="70">
        <f>Tank!AP128</f>
        <v>0</v>
      </c>
      <c r="BR127" s="70">
        <f>Tank!V128</f>
        <v>0</v>
      </c>
      <c r="BS127" s="372">
        <f>Tank!T128</f>
        <v>0</v>
      </c>
      <c r="BT127" s="375" t="s">
        <v>228</v>
      </c>
      <c r="BU127" s="451">
        <v>71</v>
      </c>
      <c r="BV127" s="375">
        <f>IF(Tabla1[[#This Row],[Combustible ofertado]]="GAS",Tabla1[[#This Row],[Disponibilidad]],0)</f>
        <v>0</v>
      </c>
      <c r="BW127" s="375">
        <f>IF(Tabla1[[#This Row],[Combustible ofertado]]="DIESEL",Tabla1[[#This Row],[Disponibilidad]],0)</f>
        <v>71</v>
      </c>
      <c r="BX127" s="375">
        <f>IF(Tabla1[[#This Row],[Combustible ofertado]]="HFO",Tabla1[[#This Row],[Disponibilidad]],0)</f>
        <v>0</v>
      </c>
      <c r="BY127" s="456">
        <v>1440</v>
      </c>
      <c r="BZ127" s="446">
        <f>'Horo. M'!C128</f>
        <v>24</v>
      </c>
      <c r="CA127" s="446">
        <f>'Horo. M'!E128</f>
        <v>3</v>
      </c>
      <c r="CB127" s="446">
        <f>'Horo. M'!G128</f>
        <v>24</v>
      </c>
      <c r="CC127" s="446">
        <f>'Horo. M'!I128</f>
        <v>24</v>
      </c>
      <c r="CD127" s="446">
        <f>'Horo. M'!K128</f>
        <v>0</v>
      </c>
      <c r="CE127" s="446">
        <f>'Horo. M'!M128</f>
        <v>24</v>
      </c>
      <c r="CF127" s="446">
        <f>'Horo. M'!O128</f>
        <v>24</v>
      </c>
      <c r="CG127" s="446">
        <f>'Horo. M'!Q128</f>
        <v>24</v>
      </c>
      <c r="CH127" s="446">
        <f>'Horo. M'!S128</f>
        <v>24</v>
      </c>
      <c r="CI127" s="446">
        <f>'Horo. M'!U128</f>
        <v>24</v>
      </c>
      <c r="CJ127" s="70">
        <f>Tabla1[[#This Row],[Con. DO Storage '[gal']]]-Tabla1[[#This Row],[C. DO Storage Ge '[gal']]]</f>
        <v>528.3441047162969</v>
      </c>
      <c r="CK127" s="70"/>
      <c r="CL127" s="70"/>
      <c r="CM127" s="372">
        <f>Tabla1[[#This Row],[Con. DO Total '[gal']]]*131485.5/(1000000)</f>
        <v>333.45402614723838</v>
      </c>
    </row>
    <row r="128" spans="1:91" ht="15" customHeight="1">
      <c r="A128" s="362">
        <v>45053</v>
      </c>
      <c r="B128" s="376" t="str">
        <f>TEXT(Tabla1[[#This Row],[Fecha]],"mmmm")</f>
        <v>mayo</v>
      </c>
      <c r="C128" s="429">
        <v>0</v>
      </c>
      <c r="D128" s="429">
        <v>1272</v>
      </c>
      <c r="E128" s="429">
        <v>1272</v>
      </c>
      <c r="F128" s="430">
        <v>1401</v>
      </c>
      <c r="G128" s="431">
        <v>0</v>
      </c>
      <c r="H128" s="431">
        <v>0</v>
      </c>
      <c r="I128" s="432">
        <v>8</v>
      </c>
      <c r="J128" s="432">
        <v>568</v>
      </c>
      <c r="K128" s="430">
        <v>24</v>
      </c>
      <c r="L128" s="430">
        <v>24</v>
      </c>
      <c r="M128" s="365">
        <f>Tabla1[[#This Row],[Columna1]]-Tabla1[[#This Row],[PO '[h']]]</f>
        <v>0</v>
      </c>
      <c r="N128" s="365">
        <f t="shared" si="39"/>
        <v>1969</v>
      </c>
      <c r="O128" s="429">
        <v>1401</v>
      </c>
      <c r="P128" s="367">
        <f>Tabla1[[#This Row],[G. HGS 
'[MWh']]]</f>
        <v>1401</v>
      </c>
      <c r="Q128" s="430">
        <v>0</v>
      </c>
      <c r="R128" s="367">
        <v>0</v>
      </c>
      <c r="S128" s="367">
        <f>Tabla1[[#This Row],[G. HGS 
Con Gas]]*1000</f>
        <v>1401000</v>
      </c>
      <c r="T128" s="365">
        <f>Tabla1[[#This Row],[G. HGS 
'[MWh']]]*1000</f>
        <v>1401000</v>
      </c>
      <c r="U128" s="368">
        <f>SUM('G. Un GE'!B128:Y128)</f>
        <v>1387.8482000000001</v>
      </c>
      <c r="V128" s="369">
        <f>Tabla1[[#This Row],[R. GE
'[MWh']]]</f>
        <v>1387.8482000000001</v>
      </c>
      <c r="W128" s="434">
        <v>0</v>
      </c>
      <c r="X128" s="369">
        <v>0</v>
      </c>
      <c r="Y128" s="365">
        <f>Tabla1[[#This Row],[R. GE
'[MWh']]]*1000</f>
        <v>1387848.2000000002</v>
      </c>
      <c r="Z128" s="434">
        <v>38.450000000000003</v>
      </c>
      <c r="AA12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38.450000000000003</v>
      </c>
      <c r="AB128" s="371">
        <f>IF(Tabla1[[#This Row],[G. HGS 
'[MWh']]]=0,0,Tabla1[[#This Row],[G. HGS 
'[MWh']]]+Tabla1[[#This Row],[Con. Aux. '[MWh']2]])</f>
        <v>1439.45</v>
      </c>
      <c r="AC128" s="368">
        <f>'C. ENER. TN'!F128</f>
        <v>0</v>
      </c>
      <c r="AD128" s="370">
        <f>'C. ENER. TN'!G128</f>
        <v>1387.8481999999999</v>
      </c>
      <c r="AE128" s="370">
        <f>'G. Un GE'!AX128</f>
        <v>175.4081107142857</v>
      </c>
      <c r="AF128" s="368">
        <f>IFERROR('G. Un GE'!AX128/Tabla1[[#This Row],[PO '[h']]],0)</f>
        <v>7.3086712797619038</v>
      </c>
      <c r="AG128" s="365">
        <f>'Ar-Pa'!AX128</f>
        <v>1</v>
      </c>
      <c r="AH128" s="365">
        <f>'Ar-Pa'!AY128</f>
        <v>1</v>
      </c>
      <c r="AI128" s="366">
        <f>SUM('Cal. Arr'!AB131:AY131)</f>
        <v>0</v>
      </c>
      <c r="AJ128" s="442">
        <v>0</v>
      </c>
      <c r="AK128" s="443">
        <v>0.7</v>
      </c>
      <c r="AL128" s="267">
        <f t="shared" si="21"/>
        <v>184.92043665070389</v>
      </c>
      <c r="AM128" s="267">
        <f>+CONVERT(AK128+Tabla1[[#This Row],[Con. DO Storage Gen. '[m3']]],"m^3","gal")</f>
        <v>184.92043665070389</v>
      </c>
      <c r="AN128" s="372">
        <f>SUM('DO Pilot'!B128:Y128)</f>
        <v>8.7199999999999989</v>
      </c>
      <c r="AO128" s="372">
        <f t="shared" si="22"/>
        <v>2303.5802965630537</v>
      </c>
      <c r="AP128" s="267">
        <f>AK128+AN128+Tabla1[[#This Row],[Con. DO Storage Gen. '[m3']]]</f>
        <v>9.4199999999999982</v>
      </c>
      <c r="AQ128" s="372">
        <f t="shared" si="29"/>
        <v>2488.5007332137575</v>
      </c>
      <c r="AR128" s="443">
        <v>0</v>
      </c>
      <c r="AS128" s="443">
        <v>0</v>
      </c>
      <c r="AT128" s="267">
        <f>+CONVERT(SUM(Tabla1[[#This Row],[Repo. DO Storage '[gal']]:[Repo. DO Pilot '[gal']]]),"gal","m3")</f>
        <v>0</v>
      </c>
      <c r="AU128" s="442">
        <v>0</v>
      </c>
      <c r="AV128" s="372">
        <f t="shared" si="40"/>
        <v>0</v>
      </c>
      <c r="AW128" s="442">
        <v>0</v>
      </c>
      <c r="AX128" s="267">
        <f t="shared" si="23"/>
        <v>0</v>
      </c>
      <c r="AY128" s="372">
        <f t="shared" si="24"/>
        <v>0.13199174636024547</v>
      </c>
      <c r="AZ128" s="372">
        <f>IFERROR(AL128/'Ar-Pa'!AX128,0)</f>
        <v>184.92043665070389</v>
      </c>
      <c r="BA128" s="372">
        <f>IFERROR(AL128/'Ar-Pa'!AY128,0)</f>
        <v>184.92043665070389</v>
      </c>
      <c r="BB128" s="372">
        <f t="shared" si="25"/>
        <v>1.644240040373343</v>
      </c>
      <c r="BC128" s="372">
        <f>IFERROR(AVERAGEIF('DO Pilot'!AX128:BU128,"&gt;0"),0)</f>
        <v>12.131472523470924</v>
      </c>
      <c r="BD128" s="446">
        <v>378325</v>
      </c>
      <c r="BE128" s="446">
        <v>13392</v>
      </c>
      <c r="BF128" s="446">
        <v>378283</v>
      </c>
      <c r="BG128" s="223">
        <f>Tabla1[[#This Row],[ Re. Gas GC
 '[m3']]]</f>
        <v>378283</v>
      </c>
      <c r="BH128" s="150">
        <f>IFERROR((BG128*Gas!$B$3)/28.31685,0)</f>
        <v>13307.905326333967</v>
      </c>
      <c r="BI128" s="73">
        <f t="shared" si="41"/>
        <v>-84.094673666033486</v>
      </c>
      <c r="BJ128" s="74">
        <f t="shared" si="30"/>
        <v>-6.319151782634428E-3</v>
      </c>
      <c r="BK128" s="223">
        <f t="shared" si="26"/>
        <v>9558.8865096359732</v>
      </c>
      <c r="BL128" s="442">
        <v>0</v>
      </c>
      <c r="BM128" s="70">
        <f t="shared" si="27"/>
        <v>9245.1320478891012</v>
      </c>
      <c r="BN128" s="150">
        <f t="shared" si="31"/>
        <v>9588.8767419476899</v>
      </c>
      <c r="BO128" s="373">
        <f>IFERROR(Tabla1[[#This Row],[ Re. Gas GC
 '[m3']]]/Tabla1[[#This Row],[G. HGS 
Con Gas '[kWh']]],0)</f>
        <v>0.2700092790863669</v>
      </c>
      <c r="BP128" s="374">
        <f>Tank!Y129</f>
        <v>0</v>
      </c>
      <c r="BQ128" s="70">
        <f>Tank!AP129</f>
        <v>0</v>
      </c>
      <c r="BR128" s="70">
        <f>Tank!V129</f>
        <v>0</v>
      </c>
      <c r="BS128" s="372">
        <f>Tank!T129</f>
        <v>0</v>
      </c>
      <c r="BT128" s="375" t="s">
        <v>228</v>
      </c>
      <c r="BU128" s="451">
        <v>71</v>
      </c>
      <c r="BV128" s="375">
        <f>IF(Tabla1[[#This Row],[Combustible ofertado]]="GAS",Tabla1[[#This Row],[Disponibilidad]],0)</f>
        <v>0</v>
      </c>
      <c r="BW128" s="375">
        <f>IF(Tabla1[[#This Row],[Combustible ofertado]]="DIESEL",Tabla1[[#This Row],[Disponibilidad]],0)</f>
        <v>71</v>
      </c>
      <c r="BX128" s="375">
        <f>IF(Tabla1[[#This Row],[Combustible ofertado]]="HFO",Tabla1[[#This Row],[Disponibilidad]],0)</f>
        <v>0</v>
      </c>
      <c r="BY128" s="456">
        <v>1440</v>
      </c>
      <c r="BZ128" s="446">
        <f>'Horo. M'!C129</f>
        <v>24</v>
      </c>
      <c r="CA128" s="446">
        <f>'Horo. M'!E129</f>
        <v>0</v>
      </c>
      <c r="CB128" s="446">
        <f>'Horo. M'!G129</f>
        <v>21</v>
      </c>
      <c r="CC128" s="446">
        <f>'Horo. M'!I129</f>
        <v>24</v>
      </c>
      <c r="CD128" s="446">
        <f>'Horo. M'!K129</f>
        <v>0</v>
      </c>
      <c r="CE128" s="446">
        <f>'Horo. M'!M129</f>
        <v>24</v>
      </c>
      <c r="CF128" s="446">
        <f>'Horo. M'!O129</f>
        <v>24</v>
      </c>
      <c r="CG128" s="446">
        <f>'Horo. M'!Q129</f>
        <v>24</v>
      </c>
      <c r="CH128" s="446">
        <f>'Horo. M'!S129</f>
        <v>24</v>
      </c>
      <c r="CI128" s="446">
        <f>'Horo. M'!U129</f>
        <v>24</v>
      </c>
      <c r="CJ128" s="70">
        <f>Tabla1[[#This Row],[Con. DO Storage '[gal']]]-Tabla1[[#This Row],[C. DO Storage Ge '[gal']]]</f>
        <v>184.92043665070389</v>
      </c>
      <c r="CK128" s="70"/>
      <c r="CL128" s="70"/>
      <c r="CM128" s="372">
        <f>Tabla1[[#This Row],[Con. DO Total '[gal']]]*131485.5/(1000000)</f>
        <v>327.20176315697751</v>
      </c>
    </row>
    <row r="129" spans="1:91" ht="15" customHeight="1">
      <c r="A129" s="362">
        <v>45054</v>
      </c>
      <c r="B129" s="376" t="str">
        <f>TEXT(Tabla1[[#This Row],[Fecha]],"mmmm")</f>
        <v>mayo</v>
      </c>
      <c r="C129" s="429">
        <v>0</v>
      </c>
      <c r="D129" s="429">
        <v>1309</v>
      </c>
      <c r="E129" s="429">
        <v>1309</v>
      </c>
      <c r="F129" s="430">
        <v>1485</v>
      </c>
      <c r="G129" s="431">
        <v>10</v>
      </c>
      <c r="H129" s="431">
        <v>703</v>
      </c>
      <c r="I129" s="432">
        <v>5</v>
      </c>
      <c r="J129" s="432">
        <v>337</v>
      </c>
      <c r="K129" s="430">
        <v>24</v>
      </c>
      <c r="L129" s="430">
        <v>24</v>
      </c>
      <c r="M129" s="365">
        <f>Tabla1[[#This Row],[Columna1]]-Tabla1[[#This Row],[PO '[h']]]</f>
        <v>0</v>
      </c>
      <c r="N129" s="365">
        <f t="shared" si="39"/>
        <v>2525</v>
      </c>
      <c r="O129" s="429">
        <v>1485</v>
      </c>
      <c r="P129" s="367">
        <f>Tabla1[[#This Row],[G. HGS 
'[MWh']]]</f>
        <v>1485</v>
      </c>
      <c r="Q129" s="430">
        <v>0</v>
      </c>
      <c r="R129" s="367">
        <v>0</v>
      </c>
      <c r="S129" s="367">
        <f>Tabla1[[#This Row],[G. HGS 
Con Gas]]*1000</f>
        <v>1485000</v>
      </c>
      <c r="T129" s="365">
        <f>Tabla1[[#This Row],[G. HGS 
'[MWh']]]*1000</f>
        <v>1485000</v>
      </c>
      <c r="U129" s="368">
        <f>SUM('G. Un GE'!B129:Y129)</f>
        <v>1471.2124999999999</v>
      </c>
      <c r="V129" s="369">
        <f>Tabla1[[#This Row],[R. GE
'[MWh']]]</f>
        <v>1471.2124999999999</v>
      </c>
      <c r="W129" s="434">
        <v>0</v>
      </c>
      <c r="X129" s="369">
        <v>0</v>
      </c>
      <c r="Y129" s="365">
        <f>Tabla1[[#This Row],[R. GE
'[MWh']]]*1000</f>
        <v>1471212.4999999998</v>
      </c>
      <c r="Z129" s="434">
        <v>36.81</v>
      </c>
      <c r="AA12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36.81</v>
      </c>
      <c r="AB129" s="371">
        <f>IF(Tabla1[[#This Row],[G. HGS 
'[MWh']]]=0,0,Tabla1[[#This Row],[G. HGS 
'[MWh']]]+Tabla1[[#This Row],[Con. Aux. '[MWh']2]])</f>
        <v>1521.81</v>
      </c>
      <c r="AC129" s="368">
        <f>'C. ENER. TN'!F129</f>
        <v>0</v>
      </c>
      <c r="AD129" s="370">
        <f>'C. ENER. TN'!G129</f>
        <v>1471.2125000000001</v>
      </c>
      <c r="AE129" s="370">
        <f>'G. Un GE'!AX129</f>
        <v>206.12058928571426</v>
      </c>
      <c r="AF129" s="368">
        <f>IFERROR('G. Un GE'!AX129/Tabla1[[#This Row],[PO '[h']]],0)</f>
        <v>8.5883578869047614</v>
      </c>
      <c r="AG129" s="365">
        <f>'Ar-Pa'!AX129</f>
        <v>1</v>
      </c>
      <c r="AH129" s="365">
        <f>'Ar-Pa'!AY129</f>
        <v>2</v>
      </c>
      <c r="AI129" s="366">
        <f>SUM('Cal. Arr'!AB132:AY132)</f>
        <v>0</v>
      </c>
      <c r="AJ129" s="442">
        <v>31.2</v>
      </c>
      <c r="AK129" s="443">
        <v>1.7</v>
      </c>
      <c r="AL129" s="267">
        <f t="shared" si="21"/>
        <v>449.09248900885234</v>
      </c>
      <c r="AM129" s="267">
        <f>+CONVERT(AK129+Tabla1[[#This Row],[Con. DO Storage Gen. '[m3']]],"m^3","gal")</f>
        <v>8691.260522583083</v>
      </c>
      <c r="AN129" s="372">
        <f>SUM('DO Pilot'!B129:Y129)</f>
        <v>5.8299999999999983</v>
      </c>
      <c r="AO129" s="372">
        <f t="shared" si="22"/>
        <v>1540.1230652480049</v>
      </c>
      <c r="AP129" s="267">
        <f>AK129+AN129+Tabla1[[#This Row],[Con. DO Storage Gen. '[m3']]]</f>
        <v>38.729999999999997</v>
      </c>
      <c r="AQ129" s="372">
        <f t="shared" si="29"/>
        <v>10231.383587831089</v>
      </c>
      <c r="AR129" s="443">
        <v>0</v>
      </c>
      <c r="AS129" s="443">
        <v>0</v>
      </c>
      <c r="AT129" s="267">
        <f>+CONVERT(SUM(Tabla1[[#This Row],[Repo. DO Storage '[gal']]:[Repo. DO Pilot '[gal']]]),"gal","m3")</f>
        <v>0</v>
      </c>
      <c r="AU129" s="442">
        <v>0</v>
      </c>
      <c r="AV129" s="372">
        <f t="shared" si="40"/>
        <v>0</v>
      </c>
      <c r="AW129" s="442">
        <v>0</v>
      </c>
      <c r="AX129" s="267">
        <f t="shared" si="23"/>
        <v>0</v>
      </c>
      <c r="AY129" s="372">
        <f t="shared" si="24"/>
        <v>0.30241918451774569</v>
      </c>
      <c r="AZ129" s="372">
        <f>IFERROR(AL129/'Ar-Pa'!AX129,0)</f>
        <v>449.09248900885234</v>
      </c>
      <c r="BA129" s="372">
        <f>IFERROR(AL129/'Ar-Pa'!AY129,0)</f>
        <v>224.54624450442617</v>
      </c>
      <c r="BB129" s="372">
        <f t="shared" si="25"/>
        <v>1.0371199092579158</v>
      </c>
      <c r="BC129" s="372">
        <f>IFERROR(AVERAGEIF('DO Pilot'!AX129:BU129,"&gt;0"),0)</f>
        <v>8.9924638358521545</v>
      </c>
      <c r="BD129" s="446">
        <v>353096</v>
      </c>
      <c r="BE129" s="446">
        <v>12499</v>
      </c>
      <c r="BF129" s="446">
        <v>353097</v>
      </c>
      <c r="BG129" s="223">
        <f>Tabla1[[#This Row],[ Re. Gas GC
 '[m3']]]</f>
        <v>353097</v>
      </c>
      <c r="BH129" s="150">
        <f>IFERROR((BG129*Gas!$B$3)/28.31685,0)</f>
        <v>12421.867879372177</v>
      </c>
      <c r="BI129" s="73">
        <f t="shared" si="41"/>
        <v>-77.132120627822587</v>
      </c>
      <c r="BJ129" s="74">
        <f t="shared" si="30"/>
        <v>-6.209381823800317E-3</v>
      </c>
      <c r="BK129" s="223">
        <f t="shared" si="26"/>
        <v>8416.8350168350171</v>
      </c>
      <c r="BL129" s="442">
        <v>0</v>
      </c>
      <c r="BM129" s="70">
        <f t="shared" si="27"/>
        <v>8162.5616071468703</v>
      </c>
      <c r="BN129" s="150">
        <f t="shared" si="31"/>
        <v>8443.2859830732668</v>
      </c>
      <c r="BO129" s="373">
        <f>IFERROR(Tabla1[[#This Row],[ Re. Gas GC
 '[m3']]]/Tabla1[[#This Row],[G. HGS 
Con Gas '[kWh']]],0)</f>
        <v>0.23777575757575758</v>
      </c>
      <c r="BP129" s="374">
        <f>Tank!Y130</f>
        <v>0</v>
      </c>
      <c r="BQ129" s="70">
        <f>Tank!AP130</f>
        <v>18.3</v>
      </c>
      <c r="BR129" s="70">
        <f>Tank!V130</f>
        <v>0</v>
      </c>
      <c r="BS129" s="372">
        <f>Tank!T130</f>
        <v>0</v>
      </c>
      <c r="BT129" s="375" t="s">
        <v>228</v>
      </c>
      <c r="BU129" s="451">
        <v>71</v>
      </c>
      <c r="BV129" s="375">
        <f>IF(Tabla1[[#This Row],[Combustible ofertado]]="GAS",Tabla1[[#This Row],[Disponibilidad]],0)</f>
        <v>0</v>
      </c>
      <c r="BW129" s="375">
        <f>IF(Tabla1[[#This Row],[Combustible ofertado]]="DIESEL",Tabla1[[#This Row],[Disponibilidad]],0)</f>
        <v>71</v>
      </c>
      <c r="BX129" s="375">
        <f>IF(Tabla1[[#This Row],[Combustible ofertado]]="HFO",Tabla1[[#This Row],[Disponibilidad]],0)</f>
        <v>0</v>
      </c>
      <c r="BY129" s="456">
        <v>1440</v>
      </c>
      <c r="BZ129" s="446">
        <f>'Horo. M'!C130</f>
        <v>24</v>
      </c>
      <c r="CA129" s="446">
        <f>'Horo. M'!E130</f>
        <v>20</v>
      </c>
      <c r="CB129" s="446">
        <f>'Horo. M'!G130</f>
        <v>24</v>
      </c>
      <c r="CC129" s="446">
        <f>'Horo. M'!I130</f>
        <v>22</v>
      </c>
      <c r="CD129" s="446">
        <f>'Horo. M'!K130</f>
        <v>0</v>
      </c>
      <c r="CE129" s="446">
        <f>'Horo. M'!M130</f>
        <v>24</v>
      </c>
      <c r="CF129" s="446">
        <f>'Horo. M'!O130</f>
        <v>0</v>
      </c>
      <c r="CG129" s="446">
        <f>'Horo. M'!Q130</f>
        <v>24</v>
      </c>
      <c r="CH129" s="446">
        <f>'Horo. M'!S130</f>
        <v>24</v>
      </c>
      <c r="CI129" s="446">
        <f>'Horo. M'!U130</f>
        <v>24</v>
      </c>
      <c r="CJ129" s="70">
        <f>Tabla1[[#This Row],[Con. DO Storage '[gal']]]-Tabla1[[#This Row],[C. DO Storage Ge '[gal']]]</f>
        <v>449.09248900885234</v>
      </c>
      <c r="CK129" s="70"/>
      <c r="CL129" s="70"/>
      <c r="CM129" s="372">
        <f>Tabla1[[#This Row],[Con. DO Total '[gal']]]*131485.5/(1000000)</f>
        <v>1345.2785867377645</v>
      </c>
    </row>
    <row r="130" spans="1:91" ht="15" customHeight="1">
      <c r="A130" s="362">
        <v>45055</v>
      </c>
      <c r="B130" s="376" t="str">
        <f>TEXT(Tabla1[[#This Row],[Fecha]],"mmmm")</f>
        <v>mayo</v>
      </c>
      <c r="C130" s="429">
        <v>0</v>
      </c>
      <c r="D130" s="429">
        <v>1387</v>
      </c>
      <c r="E130" s="429">
        <v>1387</v>
      </c>
      <c r="F130" s="430">
        <v>1539</v>
      </c>
      <c r="G130" s="431">
        <v>0</v>
      </c>
      <c r="H130" s="431">
        <v>0</v>
      </c>
      <c r="I130" s="432">
        <v>15</v>
      </c>
      <c r="J130" s="432">
        <v>1047</v>
      </c>
      <c r="K130" s="430">
        <v>24</v>
      </c>
      <c r="L130" s="430">
        <v>24</v>
      </c>
      <c r="M130" s="365">
        <f>Tabla1[[#This Row],[Columna1]]-Tabla1[[#This Row],[PO '[h']]]</f>
        <v>0</v>
      </c>
      <c r="N130" s="365">
        <f t="shared" si="39"/>
        <v>2586</v>
      </c>
      <c r="O130" s="429">
        <v>1539</v>
      </c>
      <c r="P130" s="367">
        <f>Tabla1[[#This Row],[G. HGS 
'[MWh']]]</f>
        <v>1539</v>
      </c>
      <c r="Q130" s="430">
        <v>0</v>
      </c>
      <c r="R130" s="367">
        <v>0</v>
      </c>
      <c r="S130" s="367">
        <f>Tabla1[[#This Row],[G. HGS 
Con Gas]]*1000</f>
        <v>1539000</v>
      </c>
      <c r="T130" s="365">
        <f>Tabla1[[#This Row],[G. HGS 
'[MWh']]]*1000</f>
        <v>1539000</v>
      </c>
      <c r="U130" s="368">
        <f>SUM('G. Un GE'!B130:Y130)</f>
        <v>1526.1289000000002</v>
      </c>
      <c r="V130" s="369">
        <f>Tabla1[[#This Row],[R. GE
'[MWh']]]</f>
        <v>1526.1289000000002</v>
      </c>
      <c r="W130" s="434">
        <v>0</v>
      </c>
      <c r="X130" s="369">
        <v>0</v>
      </c>
      <c r="Y130" s="365">
        <f>Tabla1[[#This Row],[R. GE
'[MWh']]]*1000</f>
        <v>1526128.9000000001</v>
      </c>
      <c r="Z130" s="434">
        <v>37.39</v>
      </c>
      <c r="AA13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37.39</v>
      </c>
      <c r="AB130" s="371">
        <f>IF(Tabla1[[#This Row],[G. HGS 
'[MWh']]]=0,0,Tabla1[[#This Row],[G. HGS 
'[MWh']]]+Tabla1[[#This Row],[Con. Aux. '[MWh']2]])</f>
        <v>1576.39</v>
      </c>
      <c r="AC130" s="368">
        <f>'C. ENER. TN'!F130</f>
        <v>0</v>
      </c>
      <c r="AD130" s="370">
        <f>'C. ENER. TN'!G130</f>
        <v>1526.1289000000004</v>
      </c>
      <c r="AE130" s="370">
        <f>'G. Un GE'!AX130</f>
        <v>220.60403869047619</v>
      </c>
      <c r="AF130" s="368">
        <f>IFERROR('G. Un GE'!AX130/Tabla1[[#This Row],[PO '[h']]],0)</f>
        <v>9.1918349454365078</v>
      </c>
      <c r="AG130" s="365">
        <f>'Ar-Pa'!AX130</f>
        <v>2</v>
      </c>
      <c r="AH130" s="365">
        <f>'Ar-Pa'!AY130</f>
        <v>2</v>
      </c>
      <c r="AI130" s="366">
        <f>SUM('Cal. Arr'!AB133:AY133)</f>
        <v>0</v>
      </c>
      <c r="AJ130" s="442">
        <v>44.08</v>
      </c>
      <c r="AK130" s="443">
        <v>1.52</v>
      </c>
      <c r="AL130" s="267">
        <f t="shared" ref="AL130:AL193" si="42">+CONVERT(AK130,"m^3","gal")</f>
        <v>401.54151958438558</v>
      </c>
      <c r="AM130" s="267">
        <f>+CONVERT(AK130+Tabla1[[#This Row],[Con. DO Storage Gen. '[m3']]],"m^3","gal")</f>
        <v>12046.245587531568</v>
      </c>
      <c r="AN130" s="372">
        <f>SUM('DO Pilot'!B130:Y130)</f>
        <v>6.4400000000000013</v>
      </c>
      <c r="AO130" s="372">
        <f t="shared" ref="AO130:AO193" si="43">+CONVERT(AN130,"m^3","gal")</f>
        <v>1701.2680171864761</v>
      </c>
      <c r="AP130" s="267">
        <f>AK130+AN130+Tabla1[[#This Row],[Con. DO Storage Gen. '[m3']]]</f>
        <v>52.04</v>
      </c>
      <c r="AQ130" s="372">
        <f t="shared" si="29"/>
        <v>13747.513604718044</v>
      </c>
      <c r="AR130" s="443">
        <v>0</v>
      </c>
      <c r="AS130" s="443">
        <v>11013</v>
      </c>
      <c r="AT130" s="267">
        <f>+CONVERT(SUM(Tabla1[[#This Row],[Repo. DO Storage '[gal']]:[Repo. DO Pilot '[gal']]]),"gal","m3")</f>
        <v>41.688739977191993</v>
      </c>
      <c r="AU130" s="442">
        <v>0</v>
      </c>
      <c r="AV130" s="372">
        <f t="shared" si="40"/>
        <v>0</v>
      </c>
      <c r="AW130" s="442">
        <v>0</v>
      </c>
      <c r="AX130" s="267">
        <f t="shared" ref="AX130:AX193" si="44">+CONVERT(AW130,"gal","m3")</f>
        <v>0</v>
      </c>
      <c r="AY130" s="372">
        <f t="shared" ref="AY130:AY193" si="45">IFERROR(AL130/O130,0)</f>
        <v>0.26091066899570214</v>
      </c>
      <c r="AZ130" s="372">
        <f>IFERROR(AL130/'Ar-Pa'!AX130,0)</f>
        <v>200.77075979219279</v>
      </c>
      <c r="BA130" s="372">
        <f>IFERROR(AL130/'Ar-Pa'!AY130,0)</f>
        <v>200.77075979219279</v>
      </c>
      <c r="BB130" s="372">
        <f t="shared" ref="BB130:BB193" si="46">IFERROR(AO130/O130,0)</f>
        <v>1.1054373081133697</v>
      </c>
      <c r="BC130" s="372">
        <f>IFERROR(AVERAGEIF('DO Pilot'!AX130:BU130,"&gt;0"),0)</f>
        <v>10.245184480963214</v>
      </c>
      <c r="BD130" s="446">
        <v>357718</v>
      </c>
      <c r="BE130" s="446">
        <v>12663</v>
      </c>
      <c r="BF130" s="446">
        <v>357712</v>
      </c>
      <c r="BG130" s="223">
        <f>Tabla1[[#This Row],[ Re. Gas GC
 '[m3']]]</f>
        <v>357712</v>
      </c>
      <c r="BH130" s="150">
        <f>IFERROR((BG130*Gas!$B$3)/28.31685,0)</f>
        <v>12584.222473898049</v>
      </c>
      <c r="BI130" s="73">
        <f t="shared" si="41"/>
        <v>-78.777526101950571</v>
      </c>
      <c r="BJ130" s="74">
        <f t="shared" si="30"/>
        <v>-6.26002331612854E-3</v>
      </c>
      <c r="BK130" s="223">
        <f t="shared" ref="BK130:BK193" si="47">IFERROR((BE130/P130)*1000,0)</f>
        <v>8228.0701754385955</v>
      </c>
      <c r="BL130" s="442">
        <v>0</v>
      </c>
      <c r="BM130" s="70">
        <f t="shared" ref="BM130:BM193" si="48">IFERROR((BH130/AB130)*1000,0)</f>
        <v>7982.9372641909986</v>
      </c>
      <c r="BN130" s="150">
        <f t="shared" si="31"/>
        <v>8245.8450750117172</v>
      </c>
      <c r="BO130" s="373">
        <f>IFERROR(Tabla1[[#This Row],[ Re. Gas GC
 '[m3']]]/Tabla1[[#This Row],[G. HGS 
Con Gas '[kWh']]],0)</f>
        <v>0.23243144899285251</v>
      </c>
      <c r="BP130" s="374">
        <f>Tank!Y131</f>
        <v>28.178605320095997</v>
      </c>
      <c r="BQ130" s="70">
        <f>Tank!AP131</f>
        <v>28.8</v>
      </c>
      <c r="BR130" s="70">
        <f>Tank!V131</f>
        <v>0</v>
      </c>
      <c r="BS130" s="372">
        <f>Tank!T131</f>
        <v>0</v>
      </c>
      <c r="BT130" s="375" t="s">
        <v>228</v>
      </c>
      <c r="BU130" s="451">
        <v>71</v>
      </c>
      <c r="BV130" s="375">
        <f>IF(Tabla1[[#This Row],[Combustible ofertado]]="GAS",Tabla1[[#This Row],[Disponibilidad]],0)</f>
        <v>0</v>
      </c>
      <c r="BW130" s="375">
        <f>IF(Tabla1[[#This Row],[Combustible ofertado]]="DIESEL",Tabla1[[#This Row],[Disponibilidad]],0)</f>
        <v>71</v>
      </c>
      <c r="BX130" s="375">
        <f>IF(Tabla1[[#This Row],[Combustible ofertado]]="HFO",Tabla1[[#This Row],[Disponibilidad]],0)</f>
        <v>0</v>
      </c>
      <c r="BY130" s="456">
        <v>1440</v>
      </c>
      <c r="BZ130" s="446">
        <f>'Horo. M'!C131</f>
        <v>18</v>
      </c>
      <c r="CA130" s="446">
        <f>'Horo. M'!E131</f>
        <v>24</v>
      </c>
      <c r="CB130" s="446">
        <f>'Horo. M'!G131</f>
        <v>24</v>
      </c>
      <c r="CC130" s="446">
        <f>'Horo. M'!I131</f>
        <v>24</v>
      </c>
      <c r="CD130" s="446">
        <f>'Horo. M'!K131</f>
        <v>0</v>
      </c>
      <c r="CE130" s="446">
        <f>'Horo. M'!M131</f>
        <v>24</v>
      </c>
      <c r="CF130" s="446">
        <f>'Horo. M'!O131</f>
        <v>22</v>
      </c>
      <c r="CG130" s="446">
        <f>'Horo. M'!Q131</f>
        <v>24</v>
      </c>
      <c r="CH130" s="446">
        <f>'Horo. M'!S131</f>
        <v>24</v>
      </c>
      <c r="CI130" s="446">
        <f>'Horo. M'!U131</f>
        <v>6</v>
      </c>
      <c r="CJ130" s="70">
        <f>Tabla1[[#This Row],[Con. DO Storage '[gal']]]-Tabla1[[#This Row],[C. DO Storage Ge '[gal']]]</f>
        <v>401.54151958438558</v>
      </c>
      <c r="CK130" s="70"/>
      <c r="CL130" s="70"/>
      <c r="CM130" s="372">
        <f>Tabla1[[#This Row],[Con. DO Total '[gal']]]*131485.5/(1000000)</f>
        <v>1807.5987000731545</v>
      </c>
    </row>
    <row r="131" spans="1:91" ht="15" customHeight="1">
      <c r="A131" s="362">
        <v>45056</v>
      </c>
      <c r="B131" s="376" t="str">
        <f>TEXT(Tabla1[[#This Row],[Fecha]],"mmmm")</f>
        <v>mayo</v>
      </c>
      <c r="C131" s="429">
        <v>0</v>
      </c>
      <c r="D131" s="429">
        <v>1409</v>
      </c>
      <c r="E131" s="429">
        <v>1409</v>
      </c>
      <c r="F131" s="430">
        <v>1529</v>
      </c>
      <c r="G131" s="431">
        <v>13</v>
      </c>
      <c r="H131" s="431">
        <v>885</v>
      </c>
      <c r="I131" s="432">
        <v>3</v>
      </c>
      <c r="J131" s="432">
        <v>213</v>
      </c>
      <c r="K131" s="430">
        <v>24</v>
      </c>
      <c r="L131" s="430">
        <v>24</v>
      </c>
      <c r="M131" s="365">
        <f>Tabla1[[#This Row],[Columna1]]-Tabla1[[#This Row],[PO '[h']]]</f>
        <v>0</v>
      </c>
      <c r="N131" s="365">
        <f t="shared" si="39"/>
        <v>2627</v>
      </c>
      <c r="O131" s="429">
        <v>1529</v>
      </c>
      <c r="P131" s="367">
        <f>Tabla1[[#This Row],[G. HGS 
'[MWh']]]</f>
        <v>1529</v>
      </c>
      <c r="Q131" s="430">
        <v>0</v>
      </c>
      <c r="R131" s="367">
        <v>0</v>
      </c>
      <c r="S131" s="367">
        <f>Tabla1[[#This Row],[G. HGS 
Con Gas]]*1000</f>
        <v>1529000</v>
      </c>
      <c r="T131" s="365">
        <f>Tabla1[[#This Row],[G. HGS 
'[MWh']]]*1000</f>
        <v>1529000</v>
      </c>
      <c r="U131" s="368">
        <f>SUM('G. Un GE'!B131:Y131)</f>
        <v>1514.2041000000004</v>
      </c>
      <c r="V131" s="369">
        <f>Tabla1[[#This Row],[R. GE
'[MWh']]]</f>
        <v>1514.2041000000004</v>
      </c>
      <c r="W131" s="434">
        <v>0</v>
      </c>
      <c r="X131" s="369">
        <v>0</v>
      </c>
      <c r="Y131" s="365">
        <f>Tabla1[[#This Row],[R. GE
'[MWh']]]*1000</f>
        <v>1514204.1000000003</v>
      </c>
      <c r="Z131" s="434">
        <v>38.799999999999997</v>
      </c>
      <c r="AA13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38.799999999999997</v>
      </c>
      <c r="AB131" s="371">
        <f>IF(Tabla1[[#This Row],[G. HGS 
'[MWh']]]=0,0,Tabla1[[#This Row],[G. HGS 
'[MWh']]]+Tabla1[[#This Row],[Con. Aux. '[MWh']2]])</f>
        <v>1567.8</v>
      </c>
      <c r="AC131" s="368">
        <f>'C. ENER. TN'!F131</f>
        <v>0</v>
      </c>
      <c r="AD131" s="370">
        <f>'C. ENER. TN'!G131</f>
        <v>1514.2040999999997</v>
      </c>
      <c r="AE131" s="370">
        <f>'G. Un GE'!AX131</f>
        <v>191.23366071428575</v>
      </c>
      <c r="AF131" s="368">
        <f>IFERROR('G. Un GE'!AX131/Tabla1[[#This Row],[PO '[h']]],0)</f>
        <v>7.9680691964285728</v>
      </c>
      <c r="AG131" s="365">
        <f>'Ar-Pa'!AX131</f>
        <v>2</v>
      </c>
      <c r="AH131" s="365">
        <f>'Ar-Pa'!AY131</f>
        <v>1</v>
      </c>
      <c r="AI131" s="366">
        <f>SUM('Cal. Arr'!AB134:AY134)</f>
        <v>0</v>
      </c>
      <c r="AJ131" s="442">
        <v>24.7</v>
      </c>
      <c r="AK131" s="443">
        <v>1.27</v>
      </c>
      <c r="AL131" s="267">
        <f t="shared" si="42"/>
        <v>335.49850649484847</v>
      </c>
      <c r="AM131" s="267">
        <f>+CONVERT(AK131+Tabla1[[#This Row],[Con. DO Storage Gen. '[m3']]],"m^3","gal")</f>
        <v>6860.5481997411143</v>
      </c>
      <c r="AN131" s="372">
        <f>SUM('DO Pilot'!B131:Y131)</f>
        <v>8.0900000000000016</v>
      </c>
      <c r="AO131" s="372">
        <f t="shared" si="43"/>
        <v>2137.1519035774213</v>
      </c>
      <c r="AP131" s="267">
        <f>AK131+AN131+Tabla1[[#This Row],[Con. DO Storage Gen. '[m3']]]</f>
        <v>34.06</v>
      </c>
      <c r="AQ131" s="372">
        <f t="shared" ref="AQ131:AQ194" si="49">+CONVERT(AP131,"m^3","gal")</f>
        <v>8997.7001033185352</v>
      </c>
      <c r="AR131" s="443">
        <v>10970</v>
      </c>
      <c r="AS131" s="443">
        <v>0</v>
      </c>
      <c r="AT131" s="267">
        <f>+CONVERT(SUM(Tabla1[[#This Row],[Repo. DO Storage '[gal']]:[Repo. DO Pilot '[gal']]]),"gal","m3")</f>
        <v>41.525967270479995</v>
      </c>
      <c r="AU131" s="442">
        <v>0</v>
      </c>
      <c r="AV131" s="372">
        <f t="shared" si="40"/>
        <v>0</v>
      </c>
      <c r="AW131" s="442">
        <v>0</v>
      </c>
      <c r="AX131" s="267">
        <f t="shared" si="44"/>
        <v>0</v>
      </c>
      <c r="AY131" s="372">
        <f t="shared" si="45"/>
        <v>0.21942348364607486</v>
      </c>
      <c r="AZ131" s="372">
        <f>IFERROR(AL131/'Ar-Pa'!AX131,0)</f>
        <v>167.74925324742424</v>
      </c>
      <c r="BA131" s="372">
        <f>IFERROR(AL131/'Ar-Pa'!AY131,0)</f>
        <v>335.49850649484847</v>
      </c>
      <c r="BB131" s="372">
        <f t="shared" si="46"/>
        <v>1.3977448682651545</v>
      </c>
      <c r="BC131" s="372">
        <f>IFERROR(AVERAGEIF('DO Pilot'!AX131:BU131,"&gt;0"),0)</f>
        <v>11.246967883878909</v>
      </c>
      <c r="BD131" s="446">
        <v>378136</v>
      </c>
      <c r="BE131" s="446">
        <v>13385</v>
      </c>
      <c r="BF131" s="446">
        <v>378134</v>
      </c>
      <c r="BG131" s="223">
        <f>Tabla1[[#This Row],[ Re. Gas GC
 '[m3']]]</f>
        <v>378134</v>
      </c>
      <c r="BH131" s="150">
        <f>IFERROR((BG131*Gas!$B$3)/28.31685,0)</f>
        <v>13302.663542025331</v>
      </c>
      <c r="BI131" s="73">
        <f t="shared" si="41"/>
        <v>-82.336457974668519</v>
      </c>
      <c r="BJ131" s="74">
        <f t="shared" ref="BJ131:BJ194" si="50">IFERROR(BI131/BH131,0)</f>
        <v>-6.1894715832324799E-3</v>
      </c>
      <c r="BK131" s="223">
        <f t="shared" si="47"/>
        <v>8754.0876389797268</v>
      </c>
      <c r="BL131" s="442">
        <v>0</v>
      </c>
      <c r="BM131" s="70">
        <f t="shared" si="48"/>
        <v>8484.9238053484714</v>
      </c>
      <c r="BN131" s="150">
        <f t="shared" si="31"/>
        <v>8785.2513026647648</v>
      </c>
      <c r="BO131" s="373">
        <f>IFERROR(Tabla1[[#This Row],[ Re. Gas GC
 '[m3']]]/Tabla1[[#This Row],[G. HGS 
Con Gas '[kWh']]],0)</f>
        <v>0.2473080444735121</v>
      </c>
      <c r="BP131" s="374">
        <f>Tank!Y132</f>
        <v>0</v>
      </c>
      <c r="BQ131" s="70">
        <f>Tank!AP132</f>
        <v>0</v>
      </c>
      <c r="BR131" s="70">
        <f>Tank!V132</f>
        <v>0</v>
      </c>
      <c r="BS131" s="372">
        <f>Tank!T132</f>
        <v>0</v>
      </c>
      <c r="BT131" s="375" t="s">
        <v>228</v>
      </c>
      <c r="BU131" s="451">
        <v>71</v>
      </c>
      <c r="BV131" s="375">
        <f>IF(Tabla1[[#This Row],[Combustible ofertado]]="GAS",Tabla1[[#This Row],[Disponibilidad]],0)</f>
        <v>0</v>
      </c>
      <c r="BW131" s="375">
        <f>IF(Tabla1[[#This Row],[Combustible ofertado]]="DIESEL",Tabla1[[#This Row],[Disponibilidad]],0)</f>
        <v>71</v>
      </c>
      <c r="BX131" s="375">
        <f>IF(Tabla1[[#This Row],[Combustible ofertado]]="HFO",Tabla1[[#This Row],[Disponibilidad]],0)</f>
        <v>0</v>
      </c>
      <c r="BY131" s="456">
        <v>1440</v>
      </c>
      <c r="BZ131" s="446">
        <f>'Horo. M'!C132</f>
        <v>24</v>
      </c>
      <c r="CA131" s="446">
        <f>'Horo. M'!E132</f>
        <v>16</v>
      </c>
      <c r="CB131" s="446">
        <f>'Horo. M'!G132</f>
        <v>24</v>
      </c>
      <c r="CC131" s="446">
        <f>'Horo. M'!I132</f>
        <v>24</v>
      </c>
      <c r="CD131" s="446">
        <f>'Horo. M'!K132</f>
        <v>0</v>
      </c>
      <c r="CE131" s="446">
        <f>'Horo. M'!M132</f>
        <v>14</v>
      </c>
      <c r="CF131" s="446">
        <f>'Horo. M'!O132</f>
        <v>24</v>
      </c>
      <c r="CG131" s="446">
        <f>'Horo. M'!Q132</f>
        <v>24</v>
      </c>
      <c r="CH131" s="446">
        <f>'Horo. M'!S132</f>
        <v>16</v>
      </c>
      <c r="CI131" s="446">
        <f>'Horo. M'!U132</f>
        <v>24</v>
      </c>
      <c r="CJ131" s="70">
        <f>Tabla1[[#This Row],[Con. DO Storage '[gal']]]-Tabla1[[#This Row],[C. DO Storage Ge '[gal']]]</f>
        <v>335.49850649484847</v>
      </c>
      <c r="CK131" s="70"/>
      <c r="CL131" s="70"/>
      <c r="CM131" s="372">
        <f>Tabla1[[#This Row],[Con. DO Total '[gal']]]*131485.5/(1000000)</f>
        <v>1183.0670969348894</v>
      </c>
    </row>
    <row r="132" spans="1:91" ht="15" customHeight="1">
      <c r="A132" s="362">
        <v>45057</v>
      </c>
      <c r="B132" s="376" t="str">
        <f>TEXT(Tabla1[[#This Row],[Fecha]],"mmmm")</f>
        <v>mayo</v>
      </c>
      <c r="C132" s="429">
        <v>0</v>
      </c>
      <c r="D132" s="429">
        <v>2838</v>
      </c>
      <c r="E132" s="429">
        <v>1429</v>
      </c>
      <c r="F132" s="430">
        <v>1566</v>
      </c>
      <c r="G132" s="431">
        <v>7</v>
      </c>
      <c r="H132" s="431">
        <v>497</v>
      </c>
      <c r="I132" s="432">
        <v>8</v>
      </c>
      <c r="J132" s="432">
        <v>568</v>
      </c>
      <c r="K132" s="430">
        <v>24</v>
      </c>
      <c r="L132" s="430">
        <v>24</v>
      </c>
      <c r="M132" s="365">
        <f>Tabla1[[#This Row],[Columna1]]-Tabla1[[#This Row],[PO '[h']]]</f>
        <v>0</v>
      </c>
      <c r="N132" s="365">
        <f t="shared" si="39"/>
        <v>2631</v>
      </c>
      <c r="O132" s="429">
        <v>1566</v>
      </c>
      <c r="P132" s="367">
        <f>Tabla1[[#This Row],[G. HGS 
'[MWh']]]</f>
        <v>1566</v>
      </c>
      <c r="Q132" s="430">
        <v>0</v>
      </c>
      <c r="R132" s="367">
        <v>0</v>
      </c>
      <c r="S132" s="367">
        <f>Tabla1[[#This Row],[G. HGS 
Con Gas]]*1000</f>
        <v>1566000</v>
      </c>
      <c r="T132" s="365">
        <f>Tabla1[[#This Row],[G. HGS 
'[MWh']]]*1000</f>
        <v>1566000</v>
      </c>
      <c r="U132" s="368">
        <f>SUM('G. Un GE'!B132:Y132)</f>
        <v>1552.6091999999999</v>
      </c>
      <c r="V132" s="369">
        <f>Tabla1[[#This Row],[R. GE
'[MWh']]]</f>
        <v>1552.6091999999999</v>
      </c>
      <c r="W132" s="434">
        <v>0</v>
      </c>
      <c r="X132" s="369">
        <v>0</v>
      </c>
      <c r="Y132" s="365">
        <f>Tabla1[[#This Row],[R. GE
'[MWh']]]*1000</f>
        <v>1552609.2</v>
      </c>
      <c r="Z132" s="434">
        <v>38.04</v>
      </c>
      <c r="AA13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38.04</v>
      </c>
      <c r="AB132" s="371">
        <f>IF(Tabla1[[#This Row],[G. HGS 
'[MWh']]]=0,0,Tabla1[[#This Row],[G. HGS 
'[MWh']]]+Tabla1[[#This Row],[Con. Aux. '[MWh']2]])</f>
        <v>1604.04</v>
      </c>
      <c r="AC132" s="368">
        <f>'C. ENER. TN'!F132</f>
        <v>0</v>
      </c>
      <c r="AD132" s="370">
        <f>'C. ENER. TN'!G132</f>
        <v>1552.6092000000001</v>
      </c>
      <c r="AE132" s="370">
        <f>'G. Un GE'!AX132</f>
        <v>198.52293750000001</v>
      </c>
      <c r="AF132" s="368">
        <f>IFERROR('G. Un GE'!AX132/Tabla1[[#This Row],[PO '[h']]],0)</f>
        <v>8.2717890624999999</v>
      </c>
      <c r="AG132" s="365">
        <f>'Ar-Pa'!AX132</f>
        <v>2</v>
      </c>
      <c r="AH132" s="365">
        <f>'Ar-Pa'!AY132</f>
        <v>2</v>
      </c>
      <c r="AI132" s="366">
        <f>SUM('Cal. Arr'!AB135:AY135)</f>
        <v>0</v>
      </c>
      <c r="AJ132" s="442">
        <v>57.49</v>
      </c>
      <c r="AK132" s="443">
        <v>1.87</v>
      </c>
      <c r="AL132" s="267">
        <f t="shared" si="42"/>
        <v>494.00173790973753</v>
      </c>
      <c r="AM132" s="267">
        <f>+CONVERT(AK132+Tabla1[[#This Row],[Con. DO Storage Gen. '[m3']]],"m^3","gal")</f>
        <v>15681.25302797969</v>
      </c>
      <c r="AN132" s="372">
        <f>SUM('DO Pilot'!B132:Y132)</f>
        <v>7.629999999999999</v>
      </c>
      <c r="AO132" s="372">
        <f t="shared" si="43"/>
        <v>2015.6327594926722</v>
      </c>
      <c r="AP132" s="267">
        <f>AK132+AN132+Tabla1[[#This Row],[Con. DO Storage Gen. '[m3']]]</f>
        <v>66.990000000000009</v>
      </c>
      <c r="AQ132" s="372">
        <f t="shared" si="49"/>
        <v>17696.885787472365</v>
      </c>
      <c r="AR132" s="443">
        <v>21822</v>
      </c>
      <c r="AS132" s="443">
        <v>0</v>
      </c>
      <c r="AT132" s="267">
        <f>+CONVERT(SUM(Tabla1[[#This Row],[Repo. DO Storage '[gal']]:[Repo. DO Pilot '[gal']]]),"gal","m3")</f>
        <v>82.605255950447997</v>
      </c>
      <c r="AU132" s="442">
        <v>0</v>
      </c>
      <c r="AV132" s="372">
        <f t="shared" si="40"/>
        <v>0</v>
      </c>
      <c r="AW132" s="442">
        <v>0</v>
      </c>
      <c r="AX132" s="267">
        <f t="shared" si="44"/>
        <v>0</v>
      </c>
      <c r="AY132" s="372">
        <f t="shared" si="45"/>
        <v>0.31545449419523469</v>
      </c>
      <c r="AZ132" s="372">
        <f>IFERROR(AL132/'Ar-Pa'!AX132,0)</f>
        <v>247.00086895486876</v>
      </c>
      <c r="BA132" s="372">
        <f>IFERROR(AL132/'Ar-Pa'!AY132,0)</f>
        <v>247.00086895486876</v>
      </c>
      <c r="BB132" s="372">
        <f t="shared" si="46"/>
        <v>1.2871218132137114</v>
      </c>
      <c r="BC132" s="372">
        <f>IFERROR(AVERAGEIF('DO Pilot'!AX132:BU132,"&gt;0"),0)</f>
        <v>10.737886324647059</v>
      </c>
      <c r="BD132" s="446">
        <v>354843</v>
      </c>
      <c r="BE132" s="446">
        <v>12561</v>
      </c>
      <c r="BF132" s="446">
        <v>354645</v>
      </c>
      <c r="BG132" s="223">
        <f>Tabla1[[#This Row],[ Re. Gas GC
 '[m3']]]</f>
        <v>354645</v>
      </c>
      <c r="BH132" s="150">
        <f>IFERROR((BG132*Gas!$B$3)/28.31685,0)</f>
        <v>12476.326148565255</v>
      </c>
      <c r="BI132" s="73">
        <f t="shared" si="41"/>
        <v>-84.673851434745302</v>
      </c>
      <c r="BJ132" s="74">
        <f t="shared" si="50"/>
        <v>-6.7867616176804238E-3</v>
      </c>
      <c r="BK132" s="223">
        <f t="shared" si="47"/>
        <v>8021.0727969348663</v>
      </c>
      <c r="BL132" s="442">
        <v>0</v>
      </c>
      <c r="BM132" s="70">
        <f t="shared" si="48"/>
        <v>7778.0642306708405</v>
      </c>
      <c r="BN132" s="150">
        <f t="shared" si="31"/>
        <v>8035.7157155614286</v>
      </c>
      <c r="BO132" s="373">
        <f>IFERROR(Tabla1[[#This Row],[ Re. Gas GC
 '[m3']]]/Tabla1[[#This Row],[G. HGS 
Con Gas '[kWh']]],0)</f>
        <v>0.22646551724137931</v>
      </c>
      <c r="BP132" s="374">
        <f>Tank!Y133</f>
        <v>0</v>
      </c>
      <c r="BQ132" s="70">
        <f>Tank!AP133</f>
        <v>0</v>
      </c>
      <c r="BR132" s="70">
        <f>Tank!V133</f>
        <v>0</v>
      </c>
      <c r="BS132" s="372">
        <f>Tank!T133</f>
        <v>0</v>
      </c>
      <c r="BT132" s="375" t="s">
        <v>228</v>
      </c>
      <c r="BU132" s="451">
        <v>71</v>
      </c>
      <c r="BV132" s="375">
        <f>IF(Tabla1[[#This Row],[Combustible ofertado]]="GAS",Tabla1[[#This Row],[Disponibilidad]],0)</f>
        <v>0</v>
      </c>
      <c r="BW132" s="375">
        <f>IF(Tabla1[[#This Row],[Combustible ofertado]]="DIESEL",Tabla1[[#This Row],[Disponibilidad]],0)</f>
        <v>71</v>
      </c>
      <c r="BX132" s="375">
        <f>IF(Tabla1[[#This Row],[Combustible ofertado]]="HFO",Tabla1[[#This Row],[Disponibilidad]],0)</f>
        <v>0</v>
      </c>
      <c r="BY132" s="456">
        <v>1440</v>
      </c>
      <c r="BZ132" s="446">
        <f>'Horo. M'!C133</f>
        <v>22</v>
      </c>
      <c r="CA132" s="446">
        <f>'Horo. M'!E133</f>
        <v>24</v>
      </c>
      <c r="CB132" s="446">
        <f>'Horo. M'!G133</f>
        <v>24</v>
      </c>
      <c r="CC132" s="446">
        <f>'Horo. M'!I133</f>
        <v>1</v>
      </c>
      <c r="CD132" s="446">
        <f>'Horo. M'!K133</f>
        <v>0</v>
      </c>
      <c r="CE132" s="446">
        <f>'Horo. M'!M133</f>
        <v>24</v>
      </c>
      <c r="CF132" s="446">
        <f>'Horo. M'!O133</f>
        <v>24</v>
      </c>
      <c r="CG132" s="446">
        <f>'Horo. M'!Q133</f>
        <v>23</v>
      </c>
      <c r="CH132" s="446">
        <f>'Horo. M'!S133</f>
        <v>24</v>
      </c>
      <c r="CI132" s="446">
        <f>'Horo. M'!U133</f>
        <v>23</v>
      </c>
      <c r="CJ132" s="70">
        <f>Tabla1[[#This Row],[Con. DO Storage '[gal']]]-Tabla1[[#This Row],[C. DO Storage Ge '[gal']]]</f>
        <v>494.00173790973753</v>
      </c>
      <c r="CK132" s="70"/>
      <c r="CL132" s="70"/>
      <c r="CM132" s="372">
        <f>Tabla1[[#This Row],[Con. DO Total '[gal']]]*131485.5/(1000000)</f>
        <v>2326.883876208698</v>
      </c>
    </row>
    <row r="133" spans="1:91" ht="15" customHeight="1">
      <c r="A133" s="362">
        <v>45058</v>
      </c>
      <c r="B133" s="376" t="str">
        <f>TEXT(Tabla1[[#This Row],[Fecha]],"mmmm")</f>
        <v>mayo</v>
      </c>
      <c r="C133" s="429">
        <v>0</v>
      </c>
      <c r="D133" s="429">
        <v>1461</v>
      </c>
      <c r="E133" s="429">
        <v>1461</v>
      </c>
      <c r="F133" s="430">
        <v>1591</v>
      </c>
      <c r="G133" s="431">
        <v>9</v>
      </c>
      <c r="H133" s="431">
        <v>618</v>
      </c>
      <c r="I133" s="432">
        <v>1</v>
      </c>
      <c r="J133" s="432">
        <v>71</v>
      </c>
      <c r="K133" s="430">
        <v>24</v>
      </c>
      <c r="L133" s="430">
        <v>24</v>
      </c>
      <c r="M133" s="365">
        <f>Tabla1[[#This Row],[Columna1]]-Tabla1[[#This Row],[PO '[h']]]</f>
        <v>0</v>
      </c>
      <c r="N133" s="365">
        <f t="shared" si="39"/>
        <v>2280</v>
      </c>
      <c r="O133" s="429">
        <v>1591</v>
      </c>
      <c r="P133" s="367">
        <f>Tabla1[[#This Row],[G. HGS 
'[MWh']]]</f>
        <v>1591</v>
      </c>
      <c r="Q133" s="430">
        <v>0</v>
      </c>
      <c r="R133" s="367">
        <v>0</v>
      </c>
      <c r="S133" s="367">
        <f>Tabla1[[#This Row],[G. HGS 
Con Gas]]*1000</f>
        <v>1591000</v>
      </c>
      <c r="T133" s="365">
        <f>Tabla1[[#This Row],[G. HGS 
'[MWh']]]*1000</f>
        <v>1591000</v>
      </c>
      <c r="U133" s="368">
        <f>SUM('G. Un GE'!B133:Y133)</f>
        <v>1575.4342000000004</v>
      </c>
      <c r="V133" s="369">
        <f>Tabla1[[#This Row],[R. GE
'[MWh']]]</f>
        <v>1575.4342000000004</v>
      </c>
      <c r="W133" s="434">
        <v>0</v>
      </c>
      <c r="X133" s="369">
        <v>0</v>
      </c>
      <c r="Y133" s="365">
        <f>Tabla1[[#This Row],[R. GE
'[MWh']]]*1000</f>
        <v>1575434.2000000004</v>
      </c>
      <c r="Z133" s="434">
        <v>38.33</v>
      </c>
      <c r="AA13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38.33</v>
      </c>
      <c r="AB133" s="371">
        <f>IF(Tabla1[[#This Row],[G. HGS 
'[MWh']]]=0,0,Tabla1[[#This Row],[G. HGS 
'[MWh']]]+Tabla1[[#This Row],[Con. Aux. '[MWh']2]])</f>
        <v>1629.33</v>
      </c>
      <c r="AC133" s="368">
        <f>'C. ENER. TN'!F133</f>
        <v>0</v>
      </c>
      <c r="AD133" s="370">
        <f>'C. ENER. TN'!G133</f>
        <v>1575.4341999999999</v>
      </c>
      <c r="AE133" s="370">
        <f>'G. Un GE'!AX133</f>
        <v>204.80957678571434</v>
      </c>
      <c r="AF133" s="368">
        <f>IFERROR('G. Un GE'!AX133/Tabla1[[#This Row],[PO '[h']]],0)</f>
        <v>8.5337323660714315</v>
      </c>
      <c r="AG133" s="365">
        <f>'Ar-Pa'!AX133</f>
        <v>1</v>
      </c>
      <c r="AH133" s="365">
        <f>'Ar-Pa'!AY133</f>
        <v>1</v>
      </c>
      <c r="AI133" s="366">
        <f>SUM('Cal. Arr'!AB136:AY136)</f>
        <v>0</v>
      </c>
      <c r="AJ133" s="442">
        <v>43.42</v>
      </c>
      <c r="AK133" s="443">
        <v>1.68</v>
      </c>
      <c r="AL133" s="267">
        <f t="shared" si="42"/>
        <v>443.80904796168937</v>
      </c>
      <c r="AM133" s="267">
        <f>+CONVERT(AK133+Tabla1[[#This Row],[Con. DO Storage Gen. '[m3']]],"m^3","gal")</f>
        <v>11914.159561352493</v>
      </c>
      <c r="AN133" s="372">
        <f>SUM('DO Pilot'!B133:Y133)</f>
        <v>7.5500000000000007</v>
      </c>
      <c r="AO133" s="372">
        <f t="shared" si="43"/>
        <v>1994.4989953040208</v>
      </c>
      <c r="AP133" s="267">
        <f>AK133+AN133+Tabla1[[#This Row],[Con. DO Storage Gen. '[m3']]]</f>
        <v>52.650000000000006</v>
      </c>
      <c r="AQ133" s="372">
        <f t="shared" si="49"/>
        <v>13908.658556656517</v>
      </c>
      <c r="AR133" s="443">
        <v>11018</v>
      </c>
      <c r="AS133" s="443">
        <v>10827</v>
      </c>
      <c r="AT133" s="267">
        <f>+CONVERT(SUM(Tabla1[[#This Row],[Repo. DO Storage '[gal']]:[Repo. DO Pilot '[gal']]]),"gal","m3")</f>
        <v>82.692320421479991</v>
      </c>
      <c r="AU133" s="442">
        <v>0</v>
      </c>
      <c r="AV133" s="372">
        <f t="shared" si="40"/>
        <v>0</v>
      </c>
      <c r="AW133" s="442">
        <v>0</v>
      </c>
      <c r="AX133" s="267">
        <f t="shared" si="44"/>
        <v>0</v>
      </c>
      <c r="AY133" s="372">
        <f t="shared" si="45"/>
        <v>0.2789497473046445</v>
      </c>
      <c r="AZ133" s="372">
        <f>IFERROR(AL133/'Ar-Pa'!AX133,0)</f>
        <v>443.80904796168937</v>
      </c>
      <c r="BA133" s="372">
        <f>IFERROR(AL133/'Ar-Pa'!AY133,0)</f>
        <v>443.80904796168937</v>
      </c>
      <c r="BB133" s="372">
        <f t="shared" si="46"/>
        <v>1.2536134477083727</v>
      </c>
      <c r="BC133" s="372">
        <f>IFERROR(AVERAGEIF('DO Pilot'!AX133:BU133,"&gt;0"),0)</f>
        <v>10.804715564082903</v>
      </c>
      <c r="BD133" s="446">
        <v>353453</v>
      </c>
      <c r="BE133" s="446">
        <v>12512</v>
      </c>
      <c r="BF133" s="446">
        <v>353547</v>
      </c>
      <c r="BG133" s="223">
        <f>Tabla1[[#This Row],[ Re. Gas GC
 '[m3']]]</f>
        <v>353547</v>
      </c>
      <c r="BH133" s="150">
        <f>IFERROR((BG133*Gas!$B$3)/28.31685,0)</f>
        <v>12437.698771579466</v>
      </c>
      <c r="BI133" s="73">
        <f t="shared" si="41"/>
        <v>-74.301228420534244</v>
      </c>
      <c r="BJ133" s="74">
        <f t="shared" si="50"/>
        <v>-5.9738726419645161E-3</v>
      </c>
      <c r="BK133" s="223">
        <f t="shared" si="47"/>
        <v>7864.2363293526087</v>
      </c>
      <c r="BL133" s="442">
        <v>0</v>
      </c>
      <c r="BM133" s="70">
        <f t="shared" si="48"/>
        <v>7633.6277927611145</v>
      </c>
      <c r="BN133" s="150">
        <f t="shared" si="31"/>
        <v>7894.7751493394417</v>
      </c>
      <c r="BO133" s="373">
        <f>IFERROR(Tabla1[[#This Row],[ Re. Gas GC
 '[m3']]]/Tabla1[[#This Row],[G. HGS 
Con Gas '[kWh']]],0)</f>
        <v>0.22221684475172848</v>
      </c>
      <c r="BP133" s="374">
        <f>Tank!Y134</f>
        <v>0</v>
      </c>
      <c r="BQ133" s="70">
        <f>Tank!AP134</f>
        <v>50.64</v>
      </c>
      <c r="BR133" s="70">
        <f>Tank!V134</f>
        <v>0</v>
      </c>
      <c r="BS133" s="372">
        <f>Tank!T134</f>
        <v>0</v>
      </c>
      <c r="BT133" s="375" t="s">
        <v>228</v>
      </c>
      <c r="BU133" s="451">
        <v>71</v>
      </c>
      <c r="BV133" s="375">
        <f>IF(Tabla1[[#This Row],[Combustible ofertado]]="GAS",Tabla1[[#This Row],[Disponibilidad]],0)</f>
        <v>0</v>
      </c>
      <c r="BW133" s="375">
        <f>IF(Tabla1[[#This Row],[Combustible ofertado]]="DIESEL",Tabla1[[#This Row],[Disponibilidad]],0)</f>
        <v>71</v>
      </c>
      <c r="BX133" s="375">
        <f>IF(Tabla1[[#This Row],[Combustible ofertado]]="HFO",Tabla1[[#This Row],[Disponibilidad]],0)</f>
        <v>0</v>
      </c>
      <c r="BY133" s="456">
        <v>1440</v>
      </c>
      <c r="BZ133" s="446">
        <f>'Horo. M'!C134</f>
        <v>24</v>
      </c>
      <c r="CA133" s="446">
        <f>'Horo. M'!E134</f>
        <v>24</v>
      </c>
      <c r="CB133" s="446">
        <f>'Horo. M'!G134</f>
        <v>24</v>
      </c>
      <c r="CC133" s="446">
        <f>'Horo. M'!I134</f>
        <v>0</v>
      </c>
      <c r="CD133" s="446">
        <f>'Horo. M'!K134</f>
        <v>0</v>
      </c>
      <c r="CE133" s="446">
        <f>'Horo. M'!M134</f>
        <v>24</v>
      </c>
      <c r="CF133" s="446">
        <f>'Horo. M'!O134</f>
        <v>24</v>
      </c>
      <c r="CG133" s="446">
        <f>'Horo. M'!Q134</f>
        <v>24</v>
      </c>
      <c r="CH133" s="446">
        <f>'Horo. M'!S134</f>
        <v>24</v>
      </c>
      <c r="CI133" s="446">
        <f>'Horo. M'!U134</f>
        <v>24</v>
      </c>
      <c r="CJ133" s="70">
        <f>Tabla1[[#This Row],[Con. DO Storage '[gal']]]-Tabla1[[#This Row],[C. DO Storage Ge '[gal']]]</f>
        <v>443.80904796168937</v>
      </c>
      <c r="CK133" s="70"/>
      <c r="CL133" s="70"/>
      <c r="CM133" s="372">
        <f>Tabla1[[#This Row],[Con. DO Total '[gal']]]*131485.5/(1000000)</f>
        <v>1828.7869246512605</v>
      </c>
    </row>
    <row r="134" spans="1:91" ht="15" customHeight="1">
      <c r="A134" s="362">
        <v>45059</v>
      </c>
      <c r="B134" s="376" t="str">
        <f>TEXT(Tabla1[[#This Row],[Fecha]],"mmmm")</f>
        <v>mayo</v>
      </c>
      <c r="C134" s="429">
        <v>0</v>
      </c>
      <c r="D134" s="429">
        <v>1326</v>
      </c>
      <c r="E134" s="429">
        <v>1326</v>
      </c>
      <c r="F134" s="430">
        <v>1395</v>
      </c>
      <c r="G134" s="431">
        <v>3</v>
      </c>
      <c r="H134" s="431">
        <v>196</v>
      </c>
      <c r="I134" s="432">
        <v>8</v>
      </c>
      <c r="J134" s="432">
        <v>568</v>
      </c>
      <c r="K134" s="430">
        <v>24</v>
      </c>
      <c r="L134" s="430">
        <v>24</v>
      </c>
      <c r="M134" s="365">
        <f>Tabla1[[#This Row],[Columna1]]-Tabla1[[#This Row],[PO '[h']]]</f>
        <v>0</v>
      </c>
      <c r="N134" s="365">
        <f t="shared" si="39"/>
        <v>2159</v>
      </c>
      <c r="O134" s="430">
        <v>1395</v>
      </c>
      <c r="P134" s="367">
        <f>Tabla1[[#This Row],[G. HGS 
'[MWh']]]</f>
        <v>1395</v>
      </c>
      <c r="Q134" s="430">
        <v>0</v>
      </c>
      <c r="R134" s="367">
        <v>0</v>
      </c>
      <c r="S134" s="367">
        <f>Tabla1[[#This Row],[G. HGS 
Con Gas]]*1000</f>
        <v>1395000</v>
      </c>
      <c r="T134" s="365">
        <f>Tabla1[[#This Row],[G. HGS 
'[MWh']]]*1000</f>
        <v>1395000</v>
      </c>
      <c r="U134" s="368">
        <f>SUM('G. Un GE'!B134:Y134)</f>
        <v>1381.9936999999998</v>
      </c>
      <c r="V134" s="369">
        <f>Tabla1[[#This Row],[R. GE
'[MWh']]]</f>
        <v>1381.9936999999998</v>
      </c>
      <c r="W134" s="434">
        <v>0</v>
      </c>
      <c r="X134" s="369">
        <v>0</v>
      </c>
      <c r="Y134" s="365">
        <f>Tabla1[[#This Row],[R. GE
'[MWh']]]*1000</f>
        <v>1381993.6999999997</v>
      </c>
      <c r="Z134" s="434">
        <v>36.78</v>
      </c>
      <c r="AA13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36.78</v>
      </c>
      <c r="AB134" s="371">
        <f>IF(Tabla1[[#This Row],[G. HGS 
'[MWh']]]=0,0,Tabla1[[#This Row],[G. HGS 
'[MWh']]]+Tabla1[[#This Row],[Con. Aux. '[MWh']2]])</f>
        <v>1431.78</v>
      </c>
      <c r="AC134" s="368">
        <f>'C. ENER. TN'!F134</f>
        <v>0</v>
      </c>
      <c r="AD134" s="370">
        <f>'C. ENER. TN'!G134</f>
        <v>1381.9937</v>
      </c>
      <c r="AE134" s="370">
        <f>'G. Un GE'!AX134</f>
        <v>172.74921249999997</v>
      </c>
      <c r="AF134" s="368">
        <f>IFERROR('G. Un GE'!AX134/Tabla1[[#This Row],[PO '[h']]],0)</f>
        <v>7.1978838541666654</v>
      </c>
      <c r="AG134" s="365">
        <f>'Ar-Pa'!AX134</f>
        <v>0</v>
      </c>
      <c r="AH134" s="365">
        <f>'Ar-Pa'!AY134</f>
        <v>0</v>
      </c>
      <c r="AI134" s="366">
        <f>SUM('Cal. Arr'!AB137:AY137)</f>
        <v>0</v>
      </c>
      <c r="AJ134" s="442">
        <v>36.9</v>
      </c>
      <c r="AK134" s="443">
        <v>1.7</v>
      </c>
      <c r="AL134" s="267">
        <f t="shared" si="42"/>
        <v>449.09248900885234</v>
      </c>
      <c r="AM134" s="267">
        <f>+CONVERT(AK134+Tabla1[[#This Row],[Con. DO Storage Gen. '[m3']]],"m^3","gal")</f>
        <v>10197.041221024529</v>
      </c>
      <c r="AN134" s="372">
        <f>SUM('DO Pilot'!B134:Y134)</f>
        <v>7.5799999999999992</v>
      </c>
      <c r="AO134" s="372">
        <f t="shared" si="43"/>
        <v>2002.4241568747648</v>
      </c>
      <c r="AP134" s="267">
        <f>AK134+AN134+Tabla1[[#This Row],[Con. DO Storage Gen. '[m3']]]</f>
        <v>46.18</v>
      </c>
      <c r="AQ134" s="372">
        <f t="shared" si="49"/>
        <v>12199.465377899294</v>
      </c>
      <c r="AR134" s="443">
        <v>0</v>
      </c>
      <c r="AS134" s="443">
        <v>0</v>
      </c>
      <c r="AT134" s="267">
        <f>+CONVERT(SUM(Tabla1[[#This Row],[Repo. DO Storage '[gal']]:[Repo. DO Pilot '[gal']]]),"gal","m3")</f>
        <v>0</v>
      </c>
      <c r="AU134" s="442">
        <v>0</v>
      </c>
      <c r="AV134" s="372">
        <f t="shared" si="40"/>
        <v>0</v>
      </c>
      <c r="AW134" s="442">
        <v>0</v>
      </c>
      <c r="AX134" s="267">
        <f t="shared" si="44"/>
        <v>0</v>
      </c>
      <c r="AY134" s="372">
        <f t="shared" si="45"/>
        <v>0.32193009964792285</v>
      </c>
      <c r="AZ134" s="372">
        <f>IFERROR(AL134/'Ar-Pa'!AX134,0)</f>
        <v>0</v>
      </c>
      <c r="BA134" s="372">
        <f>IFERROR(AL134/'Ar-Pa'!AY134,0)</f>
        <v>0</v>
      </c>
      <c r="BB134" s="372">
        <f t="shared" si="46"/>
        <v>1.435429503136032</v>
      </c>
      <c r="BC134" s="372">
        <f>IFERROR(AVERAGEIF('DO Pilot'!AX134:BU134,"&gt;0"),0)</f>
        <v>10.429292483722733</v>
      </c>
      <c r="BD134" s="446">
        <v>330958</v>
      </c>
      <c r="BE134" s="446">
        <v>11715</v>
      </c>
      <c r="BF134" s="446">
        <v>330619</v>
      </c>
      <c r="BG134" s="223">
        <f>Tabla1[[#This Row],[ Re. Gas GC
 '[m3']]]</f>
        <v>330619</v>
      </c>
      <c r="BH134" s="150">
        <f>IFERROR((BG134*Gas!$B$3)/28.31685,0)</f>
        <v>11631.09722373781</v>
      </c>
      <c r="BI134" s="73">
        <f t="shared" si="41"/>
        <v>-83.902776262189946</v>
      </c>
      <c r="BJ134" s="74">
        <f t="shared" si="50"/>
        <v>-7.2136596099423422E-3</v>
      </c>
      <c r="BK134" s="223">
        <f t="shared" si="47"/>
        <v>8397.8494623655915</v>
      </c>
      <c r="BL134" s="442">
        <v>0</v>
      </c>
      <c r="BM134" s="70">
        <f t="shared" si="48"/>
        <v>8123.5226248011631</v>
      </c>
      <c r="BN134" s="150">
        <f t="shared" si="31"/>
        <v>8416.1723919130836</v>
      </c>
      <c r="BO134" s="373">
        <f>IFERROR(Tabla1[[#This Row],[ Re. Gas GC
 '[m3']]]/Tabla1[[#This Row],[G. HGS 
Con Gas '[kWh']]],0)</f>
        <v>0.23700286738351253</v>
      </c>
      <c r="BP134" s="374">
        <f>Tank!Y135</f>
        <v>0</v>
      </c>
      <c r="BQ134" s="70">
        <f>Tank!AP135</f>
        <v>0</v>
      </c>
      <c r="BR134" s="70">
        <f>Tank!V135</f>
        <v>0</v>
      </c>
      <c r="BS134" s="372">
        <f>Tank!T135</f>
        <v>0</v>
      </c>
      <c r="BT134" s="375" t="s">
        <v>228</v>
      </c>
      <c r="BU134" s="451">
        <v>71</v>
      </c>
      <c r="BV134" s="375">
        <f>IF(Tabla1[[#This Row],[Combustible ofertado]]="GAS",Tabla1[[#This Row],[Disponibilidad]],0)</f>
        <v>0</v>
      </c>
      <c r="BW134" s="375">
        <f>IF(Tabla1[[#This Row],[Combustible ofertado]]="DIESEL",Tabla1[[#This Row],[Disponibilidad]],0)</f>
        <v>71</v>
      </c>
      <c r="BX134" s="375">
        <f>IF(Tabla1[[#This Row],[Combustible ofertado]]="HFO",Tabla1[[#This Row],[Disponibilidad]],0)</f>
        <v>0</v>
      </c>
      <c r="BY134" s="456">
        <v>1440</v>
      </c>
      <c r="BZ134" s="446">
        <f>'Horo. M'!C135</f>
        <v>23</v>
      </c>
      <c r="CA134" s="446">
        <f>'Horo. M'!E135</f>
        <v>23</v>
      </c>
      <c r="CB134" s="446">
        <f>'Horo. M'!G135</f>
        <v>23</v>
      </c>
      <c r="CC134" s="446">
        <f>'Horo. M'!I135</f>
        <v>0</v>
      </c>
      <c r="CD134" s="446">
        <f>'Horo. M'!K135</f>
        <v>0</v>
      </c>
      <c r="CE134" s="446">
        <f>'Horo. M'!M135</f>
        <v>23</v>
      </c>
      <c r="CF134" s="446">
        <f>'Horo. M'!O135</f>
        <v>22</v>
      </c>
      <c r="CG134" s="446">
        <f>'Horo. M'!Q135</f>
        <v>22</v>
      </c>
      <c r="CH134" s="446">
        <f>'Horo. M'!S135</f>
        <v>23</v>
      </c>
      <c r="CI134" s="446">
        <f>'Horo. M'!U135</f>
        <v>22</v>
      </c>
      <c r="CJ134" s="70">
        <f>Tabla1[[#This Row],[Con. DO Storage '[gal']]]-Tabla1[[#This Row],[C. DO Storage Ge '[gal']]]</f>
        <v>449.09248900885234</v>
      </c>
      <c r="CK134" s="70"/>
      <c r="CL134" s="70"/>
      <c r="CM134" s="372">
        <f>Tabla1[[#This Row],[Con. DO Total '[gal']]]*131485.5/(1000000)</f>
        <v>1604.0528049457776</v>
      </c>
    </row>
    <row r="135" spans="1:91" ht="15" customHeight="1">
      <c r="A135" s="362">
        <v>45060</v>
      </c>
      <c r="B135" s="376" t="str">
        <f>TEXT(Tabla1[[#This Row],[Fecha]],"mmmm")</f>
        <v>mayo</v>
      </c>
      <c r="C135" s="429">
        <v>0</v>
      </c>
      <c r="D135" s="429">
        <v>1308</v>
      </c>
      <c r="E135" s="429">
        <v>1308</v>
      </c>
      <c r="F135" s="430">
        <v>1397</v>
      </c>
      <c r="G135" s="431">
        <v>0</v>
      </c>
      <c r="H135" s="431">
        <v>0</v>
      </c>
      <c r="I135" s="432">
        <v>5</v>
      </c>
      <c r="J135" s="432">
        <v>355</v>
      </c>
      <c r="K135" s="430">
        <v>24</v>
      </c>
      <c r="L135" s="430">
        <v>24</v>
      </c>
      <c r="M135" s="365">
        <f>Tabla1[[#This Row],[Columna1]]-Tabla1[[#This Row],[PO '[h']]]</f>
        <v>0</v>
      </c>
      <c r="N135" s="365">
        <f t="shared" si="39"/>
        <v>1752</v>
      </c>
      <c r="O135" s="430">
        <v>1397</v>
      </c>
      <c r="P135" s="367">
        <f>Tabla1[[#This Row],[G. HGS 
'[MWh']]]</f>
        <v>1397</v>
      </c>
      <c r="Q135" s="430">
        <v>0</v>
      </c>
      <c r="R135" s="367">
        <v>0</v>
      </c>
      <c r="S135" s="367">
        <f>Tabla1[[#This Row],[G. HGS 
Con Gas]]*1000</f>
        <v>1397000</v>
      </c>
      <c r="T135" s="365">
        <f>Tabla1[[#This Row],[G. HGS 
'[MWh']]]*1000</f>
        <v>1397000</v>
      </c>
      <c r="U135" s="368">
        <f>SUM('G. Un GE'!B135:Y135)</f>
        <v>1383.6443999999997</v>
      </c>
      <c r="V135" s="369">
        <f>Tabla1[[#This Row],[R. GE
'[MWh']]]</f>
        <v>1383.6443999999997</v>
      </c>
      <c r="W135" s="434">
        <v>0</v>
      </c>
      <c r="X135" s="369">
        <v>0</v>
      </c>
      <c r="Y135" s="365">
        <f>Tabla1[[#This Row],[R. GE
'[MWh']]]*1000</f>
        <v>1383644.3999999997</v>
      </c>
      <c r="Z135" s="434">
        <v>39.049999999999997</v>
      </c>
      <c r="AA13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39.049999999999997</v>
      </c>
      <c r="AB135" s="371">
        <f>IF(Tabla1[[#This Row],[G. HGS 
'[MWh']]]=0,0,Tabla1[[#This Row],[G. HGS 
'[MWh']]]+Tabla1[[#This Row],[Con. Aux. '[MWh']2]])</f>
        <v>1436.05</v>
      </c>
      <c r="AC135" s="368">
        <f>'C. ENER. TN'!F135</f>
        <v>0</v>
      </c>
      <c r="AD135" s="370">
        <f>'C. ENER. TN'!G135</f>
        <v>1383.6443999999999</v>
      </c>
      <c r="AE135" s="370">
        <f>'G. Un GE'!AX135</f>
        <v>197.66348571428574</v>
      </c>
      <c r="AF135" s="368">
        <f>IFERROR('G. Un GE'!AX135/Tabla1[[#This Row],[PO '[h']]],0)</f>
        <v>8.2359785714285731</v>
      </c>
      <c r="AG135" s="365">
        <f>'Ar-Pa'!AX135</f>
        <v>0</v>
      </c>
      <c r="AH135" s="365">
        <f>'Ar-Pa'!AY135</f>
        <v>1</v>
      </c>
      <c r="AI135" s="366">
        <f>SUM('Cal. Arr'!AB138:AY138)</f>
        <v>0</v>
      </c>
      <c r="AJ135" s="442">
        <v>32.9</v>
      </c>
      <c r="AK135" s="443">
        <v>1.6</v>
      </c>
      <c r="AL135" s="267">
        <f t="shared" si="42"/>
        <v>422.67528377303745</v>
      </c>
      <c r="AM135" s="267">
        <f>+CONVERT(AK135+Tabla1[[#This Row],[Con. DO Storage Gen. '[m3']]],"m^3","gal")</f>
        <v>9113.9358063561212</v>
      </c>
      <c r="AN135" s="372">
        <f>SUM('DO Pilot'!B135:Y135)</f>
        <v>8.15</v>
      </c>
      <c r="AO135" s="372">
        <f t="shared" si="43"/>
        <v>2153.0022267189097</v>
      </c>
      <c r="AP135" s="267">
        <f>AK135+AN135+Tabla1[[#This Row],[Con. DO Storage Gen. '[m3']]]</f>
        <v>42.65</v>
      </c>
      <c r="AQ135" s="372">
        <f t="shared" si="49"/>
        <v>11266.93803307503</v>
      </c>
      <c r="AR135" s="443">
        <v>0</v>
      </c>
      <c r="AS135" s="443">
        <v>0</v>
      </c>
      <c r="AT135" s="267">
        <f>+CONVERT(SUM(Tabla1[[#This Row],[Repo. DO Storage '[gal']]:[Repo. DO Pilot '[gal']]]),"gal","m3")</f>
        <v>0</v>
      </c>
      <c r="AU135" s="442">
        <v>0</v>
      </c>
      <c r="AV135" s="372">
        <f t="shared" si="40"/>
        <v>0</v>
      </c>
      <c r="AW135" s="442">
        <v>0</v>
      </c>
      <c r="AX135" s="267">
        <f t="shared" si="44"/>
        <v>0</v>
      </c>
      <c r="AY135" s="372">
        <f t="shared" si="45"/>
        <v>0.30255925824841623</v>
      </c>
      <c r="AZ135" s="372">
        <f>IFERROR(AL135/'Ar-Pa'!AX135,0)</f>
        <v>0</v>
      </c>
      <c r="BA135" s="372">
        <f>IFERROR(AL135/'Ar-Pa'!AY135,0)</f>
        <v>422.67528377303745</v>
      </c>
      <c r="BB135" s="372">
        <f t="shared" si="46"/>
        <v>1.5411612217028703</v>
      </c>
      <c r="BC135" s="372">
        <f>IFERROR(AVERAGEIF('DO Pilot'!AX135:BU135,"&gt;0"),0)</f>
        <v>12.815489444755412</v>
      </c>
      <c r="BD135" s="446">
        <v>334964</v>
      </c>
      <c r="BE135" s="446">
        <v>11857</v>
      </c>
      <c r="BF135" s="446">
        <v>334653</v>
      </c>
      <c r="BG135" s="223">
        <f>Tabla1[[#This Row],[ Re. Gas GC
 '[m3']]]</f>
        <v>334653</v>
      </c>
      <c r="BH135" s="150">
        <f>IFERROR((BG135*Gas!$B$3)/28.31685,0)</f>
        <v>11773.012377436049</v>
      </c>
      <c r="BI135" s="73">
        <f t="shared" si="41"/>
        <v>-83.987622563950936</v>
      </c>
      <c r="BJ135" s="74">
        <f t="shared" si="50"/>
        <v>-7.133911005217335E-3</v>
      </c>
      <c r="BK135" s="223">
        <f t="shared" si="47"/>
        <v>8487.4731567644958</v>
      </c>
      <c r="BL135" s="442">
        <v>0</v>
      </c>
      <c r="BM135" s="70">
        <f t="shared" si="48"/>
        <v>8198.1911336207304</v>
      </c>
      <c r="BN135" s="150">
        <f t="shared" si="31"/>
        <v>8508.6980277852108</v>
      </c>
      <c r="BO135" s="373">
        <f>IFERROR(Tabla1[[#This Row],[ Re. Gas GC
 '[m3']]]/Tabla1[[#This Row],[G. HGS 
Con Gas '[kWh']]],0)</f>
        <v>0.2395511811023622</v>
      </c>
      <c r="BP135" s="374">
        <f>Tank!Y136</f>
        <v>0</v>
      </c>
      <c r="BQ135" s="70">
        <f>Tank!AP136</f>
        <v>49.8</v>
      </c>
      <c r="BR135" s="70">
        <f>Tank!V136</f>
        <v>0</v>
      </c>
      <c r="BS135" s="372">
        <f>Tank!T136</f>
        <v>0</v>
      </c>
      <c r="BT135" s="375" t="s">
        <v>228</v>
      </c>
      <c r="BU135" s="451">
        <v>71</v>
      </c>
      <c r="BV135" s="375">
        <f>IF(Tabla1[[#This Row],[Combustible ofertado]]="GAS",Tabla1[[#This Row],[Disponibilidad]],0)</f>
        <v>0</v>
      </c>
      <c r="BW135" s="375">
        <f>IF(Tabla1[[#This Row],[Combustible ofertado]]="DIESEL",Tabla1[[#This Row],[Disponibilidad]],0)</f>
        <v>71</v>
      </c>
      <c r="BX135" s="375">
        <f>IF(Tabla1[[#This Row],[Combustible ofertado]]="HFO",Tabla1[[#This Row],[Disponibilidad]],0)</f>
        <v>0</v>
      </c>
      <c r="BY135" s="456">
        <v>1440</v>
      </c>
      <c r="BZ135" s="446">
        <f>'Horo. M'!C136</f>
        <v>24</v>
      </c>
      <c r="CA135" s="446">
        <f>'Horo. M'!E136</f>
        <v>22</v>
      </c>
      <c r="CB135" s="446">
        <f>'Horo. M'!G136</f>
        <v>24</v>
      </c>
      <c r="CC135" s="446">
        <f>'Horo. M'!I136</f>
        <v>0</v>
      </c>
      <c r="CD135" s="446">
        <f>'Horo. M'!K136</f>
        <v>1</v>
      </c>
      <c r="CE135" s="446">
        <f>'Horo. M'!M136</f>
        <v>24</v>
      </c>
      <c r="CF135" s="446">
        <f>'Horo. M'!O136</f>
        <v>23</v>
      </c>
      <c r="CG135" s="446">
        <f>'Horo. M'!Q136</f>
        <v>24</v>
      </c>
      <c r="CH135" s="446">
        <f>'Horo. M'!S136</f>
        <v>24</v>
      </c>
      <c r="CI135" s="446">
        <f>'Horo. M'!U136</f>
        <v>24</v>
      </c>
      <c r="CJ135" s="70">
        <f>Tabla1[[#This Row],[Con. DO Storage '[gal']]]-Tabla1[[#This Row],[C. DO Storage Ge '[gal']]]</f>
        <v>422.67528377303745</v>
      </c>
      <c r="CK135" s="70"/>
      <c r="CL135" s="70"/>
      <c r="CM135" s="372">
        <f>Tabla1[[#This Row],[Con. DO Total '[gal']]]*131485.5/(1000000)</f>
        <v>1481.4389807478869</v>
      </c>
    </row>
    <row r="136" spans="1:91" ht="15" customHeight="1">
      <c r="A136" s="362">
        <v>45061</v>
      </c>
      <c r="B136" s="376" t="str">
        <f>TEXT(Tabla1[[#This Row],[Fecha]],"mmmm")</f>
        <v>mayo</v>
      </c>
      <c r="C136" s="429">
        <v>0</v>
      </c>
      <c r="D136" s="429">
        <v>1388</v>
      </c>
      <c r="E136" s="429">
        <v>1388</v>
      </c>
      <c r="F136" s="430">
        <v>1432</v>
      </c>
      <c r="G136" s="431">
        <v>0</v>
      </c>
      <c r="H136" s="431">
        <v>0</v>
      </c>
      <c r="I136" s="432">
        <v>4</v>
      </c>
      <c r="J136" s="432">
        <v>284</v>
      </c>
      <c r="K136" s="430">
        <v>24</v>
      </c>
      <c r="L136" s="430">
        <v>24</v>
      </c>
      <c r="M136" s="365">
        <f>Tabla1[[#This Row],[Columna1]]-Tabla1[[#This Row],[PO '[h']]]</f>
        <v>0</v>
      </c>
      <c r="N136" s="365">
        <f t="shared" si="39"/>
        <v>1716</v>
      </c>
      <c r="O136" s="433">
        <v>1432</v>
      </c>
      <c r="P136" s="367">
        <f>Tabla1[[#This Row],[G. HGS 
'[MWh']]]</f>
        <v>1432</v>
      </c>
      <c r="Q136" s="430">
        <v>0</v>
      </c>
      <c r="R136" s="367">
        <v>0</v>
      </c>
      <c r="S136" s="367">
        <f>Tabla1[[#This Row],[G. HGS 
Con Gas]]*1000</f>
        <v>1432000</v>
      </c>
      <c r="T136" s="70">
        <f>Tabla1[[#This Row],[G. HGS 
'[MWh']]]*1000</f>
        <v>1432000</v>
      </c>
      <c r="U136" s="368">
        <f>SUM('G. Un GE'!B136:Y136)</f>
        <v>1419.3898000000002</v>
      </c>
      <c r="V136" s="369">
        <f>Tabla1[[#This Row],[R. GE
'[MWh']]]</f>
        <v>1419.3898000000002</v>
      </c>
      <c r="W136" s="434">
        <v>0</v>
      </c>
      <c r="X136" s="369">
        <v>0</v>
      </c>
      <c r="Y136" s="365">
        <f>Tabla1[[#This Row],[R. GE
'[MWh']]]*1000</f>
        <v>1419389.8</v>
      </c>
      <c r="Z136" s="434">
        <v>39.79</v>
      </c>
      <c r="AA13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39.79</v>
      </c>
      <c r="AB136" s="371">
        <f>IF(Tabla1[[#This Row],[G. HGS 
'[MWh']]]=0,0,Tabla1[[#This Row],[G. HGS 
'[MWh']]]+Tabla1[[#This Row],[Con. Aux. '[MWh']2]])</f>
        <v>1471.79</v>
      </c>
      <c r="AC136" s="368">
        <f>'C. ENER. TN'!F136</f>
        <v>0</v>
      </c>
      <c r="AD136" s="370">
        <f>'C. ENER. TN'!G136</f>
        <v>1419.3898000000002</v>
      </c>
      <c r="AE136" s="370">
        <f>'G. Un GE'!AX136</f>
        <v>194.75549821428569</v>
      </c>
      <c r="AF136" s="368">
        <f>IFERROR('G. Un GE'!AX136/Tabla1[[#This Row],[PO '[h']]],0)</f>
        <v>8.1148124255952379</v>
      </c>
      <c r="AG136" s="365">
        <f>'Ar-Pa'!AX136</f>
        <v>3</v>
      </c>
      <c r="AH136" s="365">
        <f>'Ar-Pa'!AY136</f>
        <v>3</v>
      </c>
      <c r="AI136" s="366">
        <f>SUM('Cal. Arr'!AB139:AY139)</f>
        <v>0</v>
      </c>
      <c r="AJ136" s="442">
        <v>34.9</v>
      </c>
      <c r="AK136" s="443">
        <v>1.7</v>
      </c>
      <c r="AL136" s="267">
        <f t="shared" si="42"/>
        <v>449.09248900885234</v>
      </c>
      <c r="AM136" s="267">
        <f>+CONVERT(AK136+Tabla1[[#This Row],[Con. DO Storage Gen. '[m3']]],"m^3","gal")</f>
        <v>9668.6971163082326</v>
      </c>
      <c r="AN136" s="372">
        <f>SUM('DO Pilot'!B136:Y136)</f>
        <v>9.5500000000000007</v>
      </c>
      <c r="AO136" s="372">
        <f t="shared" si="43"/>
        <v>2522.8431000203173</v>
      </c>
      <c r="AP136" s="267">
        <f>AK136+AN136+Tabla1[[#This Row],[Con. DO Storage Gen. '[m3']]]</f>
        <v>46.15</v>
      </c>
      <c r="AQ136" s="372">
        <f t="shared" si="49"/>
        <v>12191.540216328549</v>
      </c>
      <c r="AR136" s="443">
        <v>22017</v>
      </c>
      <c r="AS136" s="443">
        <v>0</v>
      </c>
      <c r="AT136" s="267">
        <f>+CONVERT(SUM(Tabla1[[#This Row],[Repo. DO Storage '[gal']]:[Repo. DO Pilot '[gal']]]),"gal","m3")</f>
        <v>83.34341124832801</v>
      </c>
      <c r="AU136" s="442">
        <v>0</v>
      </c>
      <c r="AV136" s="372">
        <f t="shared" si="40"/>
        <v>0</v>
      </c>
      <c r="AW136" s="442">
        <v>0</v>
      </c>
      <c r="AX136" s="267">
        <f t="shared" si="44"/>
        <v>0</v>
      </c>
      <c r="AY136" s="372">
        <f t="shared" si="45"/>
        <v>0.31361207333020413</v>
      </c>
      <c r="AZ136" s="372">
        <f>IFERROR(AL136/'Ar-Pa'!AX136,0)</f>
        <v>149.6974963362841</v>
      </c>
      <c r="BA136" s="372">
        <f>IFERROR(AL136/'Ar-Pa'!AY136,0)</f>
        <v>149.6974963362841</v>
      </c>
      <c r="BB136" s="372">
        <f t="shared" si="46"/>
        <v>1.7617619413549701</v>
      </c>
      <c r="BC136" s="372">
        <f>IFERROR(AVERAGEIF('DO Pilot'!AX136:BU136,"&gt;0"),0)</f>
        <v>14.462633640262323</v>
      </c>
      <c r="BD136" s="446">
        <v>340555</v>
      </c>
      <c r="BE136" s="446">
        <v>12055</v>
      </c>
      <c r="BF136" s="446">
        <v>340027</v>
      </c>
      <c r="BG136" s="223">
        <f>Tabla1[[#This Row],[ Re. Gas GC
 '[m3']]]</f>
        <v>340027</v>
      </c>
      <c r="BH136" s="150">
        <f>IFERROR((BG136*Gas!$B$3)/28.31685,0)</f>
        <v>11962.068410151553</v>
      </c>
      <c r="BI136" s="73">
        <f t="shared" si="41"/>
        <v>-92.931589848447402</v>
      </c>
      <c r="BJ136" s="74">
        <f t="shared" si="50"/>
        <v>-7.7688562430876457E-3</v>
      </c>
      <c r="BK136" s="223">
        <f t="shared" si="47"/>
        <v>8418.2960893854743</v>
      </c>
      <c r="BL136" s="442">
        <v>0</v>
      </c>
      <c r="BM136" s="70">
        <f t="shared" si="48"/>
        <v>8127.5646730522376</v>
      </c>
      <c r="BN136" s="150">
        <f t="shared" si="31"/>
        <v>8427.6133378946015</v>
      </c>
      <c r="BO136" s="373">
        <f>IFERROR(Tabla1[[#This Row],[ Re. Gas GC
 '[m3']]]/Tabla1[[#This Row],[G. HGS 
Con Gas '[kWh']]],0)</f>
        <v>0.23744902234636872</v>
      </c>
      <c r="BP136" s="374">
        <f>Tank!Y137</f>
        <v>0</v>
      </c>
      <c r="BQ136" s="70">
        <f>Tank!AP137</f>
        <v>0</v>
      </c>
      <c r="BR136" s="70">
        <f>Tank!V137</f>
        <v>0</v>
      </c>
      <c r="BS136" s="372">
        <f>Tank!T137</f>
        <v>0</v>
      </c>
      <c r="BT136" s="375" t="s">
        <v>228</v>
      </c>
      <c r="BU136" s="451">
        <v>71</v>
      </c>
      <c r="BV136" s="375">
        <f>IF(Tabla1[[#This Row],[Combustible ofertado]]="GAS",Tabla1[[#This Row],[Disponibilidad]],0)</f>
        <v>0</v>
      </c>
      <c r="BW136" s="375">
        <f>IF(Tabla1[[#This Row],[Combustible ofertado]]="DIESEL",Tabla1[[#This Row],[Disponibilidad]],0)</f>
        <v>71</v>
      </c>
      <c r="BX136" s="375">
        <f>IF(Tabla1[[#This Row],[Combustible ofertado]]="HFO",Tabla1[[#This Row],[Disponibilidad]],0)</f>
        <v>0</v>
      </c>
      <c r="BY136" s="456">
        <v>1440</v>
      </c>
      <c r="BZ136" s="446">
        <f>'Horo. M'!C137</f>
        <v>24</v>
      </c>
      <c r="CA136" s="446">
        <f>'Horo. M'!E137</f>
        <v>24</v>
      </c>
      <c r="CB136" s="446">
        <f>'Horo. M'!G137</f>
        <v>24</v>
      </c>
      <c r="CC136" s="446">
        <f>'Horo. M'!I137</f>
        <v>0</v>
      </c>
      <c r="CD136" s="446">
        <f>'Horo. M'!K137</f>
        <v>4</v>
      </c>
      <c r="CE136" s="446">
        <f>'Horo. M'!M137</f>
        <v>24</v>
      </c>
      <c r="CF136" s="446">
        <f>'Horo. M'!O137</f>
        <v>24</v>
      </c>
      <c r="CG136" s="446">
        <f>'Horo. M'!Q137</f>
        <v>24</v>
      </c>
      <c r="CH136" s="446">
        <f>'Horo. M'!S137</f>
        <v>24</v>
      </c>
      <c r="CI136" s="446">
        <f>'Horo. M'!U137</f>
        <v>24</v>
      </c>
      <c r="CJ136" s="70">
        <f>Tabla1[[#This Row],[Con. DO Storage '[gal']]]-Tabla1[[#This Row],[C. DO Storage Ge '[gal']]]</f>
        <v>449.09248900885234</v>
      </c>
      <c r="CK136" s="70"/>
      <c r="CL136" s="70"/>
      <c r="CM136" s="372">
        <f>Tabla1[[#This Row],[Con. DO Total '[gal']]]*131485.5/(1000000)</f>
        <v>1603.0107611140672</v>
      </c>
    </row>
    <row r="137" spans="1:91" ht="15" customHeight="1">
      <c r="A137" s="362">
        <v>45062</v>
      </c>
      <c r="B137" s="376" t="str">
        <f>TEXT(Tabla1[[#This Row],[Fecha]],"mmmm")</f>
        <v>mayo</v>
      </c>
      <c r="C137" s="429">
        <v>0</v>
      </c>
      <c r="D137" s="429">
        <v>1540</v>
      </c>
      <c r="E137" s="429">
        <v>1540</v>
      </c>
      <c r="F137" s="430">
        <v>1559</v>
      </c>
      <c r="G137" s="431">
        <v>0</v>
      </c>
      <c r="H137" s="431">
        <v>0</v>
      </c>
      <c r="I137" s="432">
        <v>3</v>
      </c>
      <c r="J137" s="432">
        <v>213</v>
      </c>
      <c r="K137" s="430">
        <v>24</v>
      </c>
      <c r="L137" s="430">
        <v>24</v>
      </c>
      <c r="M137" s="365">
        <f>Tabla1[[#This Row],[Columna1]]-Tabla1[[#This Row],[PO '[h']]]</f>
        <v>0</v>
      </c>
      <c r="N137" s="365">
        <f t="shared" si="39"/>
        <v>1772</v>
      </c>
      <c r="O137" s="430">
        <v>1559</v>
      </c>
      <c r="P137" s="367">
        <f>Tabla1[[#This Row],[G. HGS 
'[MWh']]]</f>
        <v>1559</v>
      </c>
      <c r="Q137" s="430">
        <v>0</v>
      </c>
      <c r="R137" s="367">
        <v>0</v>
      </c>
      <c r="S137" s="367">
        <f>Tabla1[[#This Row],[G. HGS 
Con Gas]]*1000</f>
        <v>1559000</v>
      </c>
      <c r="T137" s="365">
        <f>Tabla1[[#This Row],[G. HGS 
'[MWh']]]*1000</f>
        <v>1559000</v>
      </c>
      <c r="U137" s="368">
        <f>SUM('G. Un GE'!B137:Y137)</f>
        <v>1544.5053999999998</v>
      </c>
      <c r="V137" s="369">
        <f>Tabla1[[#This Row],[R. GE
'[MWh']]]</f>
        <v>1544.5053999999998</v>
      </c>
      <c r="W137" s="434">
        <v>0</v>
      </c>
      <c r="X137" s="369">
        <v>0</v>
      </c>
      <c r="Y137" s="365">
        <f>Tabla1[[#This Row],[R. GE
'[MWh']]]*1000</f>
        <v>1544505.3999999997</v>
      </c>
      <c r="Z137" s="434">
        <v>37.909999999999997</v>
      </c>
      <c r="AA13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37.909999999999997</v>
      </c>
      <c r="AB137" s="371">
        <f>IF(Tabla1[[#This Row],[G. HGS 
'[MWh']]]=0,0,Tabla1[[#This Row],[G. HGS 
'[MWh']]]+Tabla1[[#This Row],[Con. Aux. '[MWh']2]])</f>
        <v>1596.91</v>
      </c>
      <c r="AC137" s="365">
        <f>'C. ENER. TN'!F137</f>
        <v>0</v>
      </c>
      <c r="AD137" s="370">
        <f>'C. ENER. TN'!G137</f>
        <v>1419.3898000000002</v>
      </c>
      <c r="AE137" s="370">
        <f>'G. Un GE'!AX137</f>
        <v>220.64362857142854</v>
      </c>
      <c r="AF137" s="368">
        <f>IFERROR('G. Un GE'!AX137/Tabla1[[#This Row],[PO '[h']]],0)</f>
        <v>9.1934845238095217</v>
      </c>
      <c r="AG137" s="365">
        <f>'Ar-Pa'!AX137</f>
        <v>0</v>
      </c>
      <c r="AH137" s="365">
        <f>'Ar-Pa'!AY137</f>
        <v>0</v>
      </c>
      <c r="AI137" s="366">
        <f>SUM('Cal. Arr'!AB140:AY140)</f>
        <v>0</v>
      </c>
      <c r="AJ137" s="442">
        <v>35.200000000000003</v>
      </c>
      <c r="AK137" s="443">
        <v>1.8</v>
      </c>
      <c r="AL137" s="267">
        <f t="shared" si="42"/>
        <v>475.50969424466717</v>
      </c>
      <c r="AM137" s="267">
        <f>+CONVERT(AK137+Tabla1[[#This Row],[Con. DO Storage Gen. '[m3']]],"m^3","gal")</f>
        <v>9774.3659372514921</v>
      </c>
      <c r="AN137" s="372">
        <f>SUM('DO Pilot'!B137:Y137)</f>
        <v>9.5399999999999991</v>
      </c>
      <c r="AO137" s="372">
        <f t="shared" si="43"/>
        <v>2520.2013794967361</v>
      </c>
      <c r="AP137" s="267">
        <f>AK137+AN137+Tabla1[[#This Row],[Con. DO Storage Gen. '[m3']]]</f>
        <v>46.540000000000006</v>
      </c>
      <c r="AQ137" s="372">
        <f t="shared" si="49"/>
        <v>12294.567316748229</v>
      </c>
      <c r="AR137" s="443">
        <v>22034</v>
      </c>
      <c r="AS137" s="443">
        <v>0</v>
      </c>
      <c r="AT137" s="267">
        <f>+CONVERT(SUM(Tabla1[[#This Row],[Repo. DO Storage '[gal']]:[Repo. DO Pilot '[gal']]]),"gal","m3")</f>
        <v>83.407763248655996</v>
      </c>
      <c r="AU137" s="442">
        <v>0</v>
      </c>
      <c r="AV137" s="372">
        <f t="shared" si="40"/>
        <v>0</v>
      </c>
      <c r="AW137" s="442">
        <v>0</v>
      </c>
      <c r="AX137" s="267">
        <f t="shared" si="44"/>
        <v>0</v>
      </c>
      <c r="AY137" s="372">
        <f t="shared" si="45"/>
        <v>0.30500942542954917</v>
      </c>
      <c r="AZ137" s="372">
        <f>IFERROR(AL137/'Ar-Pa'!AX137,0)</f>
        <v>0</v>
      </c>
      <c r="BA137" s="372">
        <f>IFERROR(AL137/'Ar-Pa'!AY137,0)</f>
        <v>0</v>
      </c>
      <c r="BB137" s="372">
        <f t="shared" si="46"/>
        <v>1.6165499547766107</v>
      </c>
      <c r="BC137" s="372">
        <f>IFERROR(AVERAGEIF('DO Pilot'!AX137:BU137,"&gt;0"),0)</f>
        <v>15.001198687480573</v>
      </c>
      <c r="BD137" s="446">
        <v>363796</v>
      </c>
      <c r="BE137" s="446">
        <v>12878</v>
      </c>
      <c r="BF137" s="446">
        <v>363791</v>
      </c>
      <c r="BG137" s="223">
        <f>Tabla1[[#This Row],[ Re. Gas GC
 '[m3']]]</f>
        <v>363791</v>
      </c>
      <c r="BH137" s="150">
        <f>IFERROR((BG137*Gas!$B$3)/28.31685,0)</f>
        <v>12798.080237738308</v>
      </c>
      <c r="BI137" s="73">
        <f t="shared" si="41"/>
        <v>-79.919762261692085</v>
      </c>
      <c r="BJ137" s="74">
        <f t="shared" si="50"/>
        <v>-6.2446680109122053E-3</v>
      </c>
      <c r="BK137" s="223">
        <f t="shared" si="47"/>
        <v>8260.4233483001917</v>
      </c>
      <c r="BL137" s="442">
        <v>0</v>
      </c>
      <c r="BM137" s="70">
        <f t="shared" si="48"/>
        <v>8014.2777224378997</v>
      </c>
      <c r="BN137" s="150">
        <f t="shared" si="31"/>
        <v>8286.1997360050082</v>
      </c>
      <c r="BO137" s="373">
        <f>IFERROR(Tabla1[[#This Row],[ Re. Gas GC
 '[m3']]]/Tabla1[[#This Row],[G. HGS 
Con Gas '[kWh']]],0)</f>
        <v>0.23334894162924952</v>
      </c>
      <c r="BP137" s="374">
        <f>Tank!Y138</f>
        <v>0</v>
      </c>
      <c r="BQ137" s="70">
        <f>Tank!AP138</f>
        <v>0</v>
      </c>
      <c r="BR137" s="70">
        <f>Tank!V138</f>
        <v>0</v>
      </c>
      <c r="BS137" s="372">
        <f>Tank!T138</f>
        <v>0</v>
      </c>
      <c r="BT137" s="375" t="s">
        <v>228</v>
      </c>
      <c r="BU137" s="451">
        <v>71</v>
      </c>
      <c r="BV137" s="375">
        <f>IF(Tabla1[[#This Row],[Combustible ofertado]]="GAS",Tabla1[[#This Row],[Disponibilidad]],0)</f>
        <v>0</v>
      </c>
      <c r="BW137" s="375">
        <f>IF(Tabla1[[#This Row],[Combustible ofertado]]="DIESEL",Tabla1[[#This Row],[Disponibilidad]],0)</f>
        <v>71</v>
      </c>
      <c r="BX137" s="375">
        <f>IF(Tabla1[[#This Row],[Combustible ofertado]]="HFO",Tabla1[[#This Row],[Disponibilidad]],0)</f>
        <v>0</v>
      </c>
      <c r="BY137" s="456">
        <v>1440</v>
      </c>
      <c r="BZ137" s="446">
        <f>'Horo. M'!C138</f>
        <v>24</v>
      </c>
      <c r="CA137" s="446">
        <f>'Horo. M'!E138</f>
        <v>24</v>
      </c>
      <c r="CB137" s="446">
        <f>'Horo. M'!G138</f>
        <v>24</v>
      </c>
      <c r="CC137" s="446">
        <f>'Horo. M'!I138</f>
        <v>0</v>
      </c>
      <c r="CD137" s="446">
        <f>'Horo. M'!K138</f>
        <v>24</v>
      </c>
      <c r="CE137" s="446">
        <f>'Horo. M'!M138</f>
        <v>0</v>
      </c>
      <c r="CF137" s="446">
        <f>'Horo. M'!O138</f>
        <v>21</v>
      </c>
      <c r="CG137" s="446">
        <f>'Horo. M'!Q138</f>
        <v>24</v>
      </c>
      <c r="CH137" s="446">
        <f>'Horo. M'!S138</f>
        <v>24</v>
      </c>
      <c r="CI137" s="446">
        <f>'Horo. M'!U138</f>
        <v>24</v>
      </c>
      <c r="CJ137" s="70">
        <f>Tabla1[[#This Row],[Con. DO Storage '[gal']]]-Tabla1[[#This Row],[C. DO Storage Ge '[gal']]]</f>
        <v>475.50969424466717</v>
      </c>
      <c r="CK137" s="70"/>
      <c r="CL137" s="70"/>
      <c r="CM137" s="372">
        <f>Tabla1[[#This Row],[Con. DO Total '[gal']]]*131485.5/(1000000)</f>
        <v>1616.5573309262993</v>
      </c>
    </row>
    <row r="138" spans="1:91" ht="15" customHeight="1">
      <c r="A138" s="362">
        <v>45063</v>
      </c>
      <c r="B138" s="376" t="str">
        <f>TEXT(Tabla1[[#This Row],[Fecha]],"mmmm")</f>
        <v>mayo</v>
      </c>
      <c r="C138" s="429">
        <v>0</v>
      </c>
      <c r="D138" s="429">
        <v>1334</v>
      </c>
      <c r="E138" s="430">
        <v>1449</v>
      </c>
      <c r="F138" s="430">
        <v>1541</v>
      </c>
      <c r="G138" s="431">
        <v>7</v>
      </c>
      <c r="H138" s="431">
        <v>497</v>
      </c>
      <c r="I138" s="432">
        <v>0</v>
      </c>
      <c r="J138" s="432">
        <v>0</v>
      </c>
      <c r="K138" s="430">
        <v>24</v>
      </c>
      <c r="L138" s="430">
        <v>24</v>
      </c>
      <c r="M138" s="365">
        <f>Tabla1[[#This Row],[Columna1]]-Tabla1[[#This Row],[PO '[h']]]</f>
        <v>0</v>
      </c>
      <c r="N138" s="365">
        <f t="shared" si="39"/>
        <v>2038</v>
      </c>
      <c r="O138" s="430">
        <v>1541</v>
      </c>
      <c r="P138" s="367">
        <f>Tabla1[[#This Row],[G. HGS 
'[MWh']]]</f>
        <v>1541</v>
      </c>
      <c r="Q138" s="430">
        <v>0</v>
      </c>
      <c r="R138" s="367">
        <v>0</v>
      </c>
      <c r="S138" s="367">
        <f>Tabla1[[#This Row],[G. HGS 
Con Gas]]*1000</f>
        <v>1541000</v>
      </c>
      <c r="T138" s="365">
        <f>Tabla1[[#This Row],[G. HGS 
'[MWh']]]*1000</f>
        <v>1541000</v>
      </c>
      <c r="U138" s="368">
        <f>SUM('G. Un GE'!B138:Y138)</f>
        <v>1526.6147000000001</v>
      </c>
      <c r="V138" s="369">
        <f>Tabla1[[#This Row],[R. GE
'[MWh']]]</f>
        <v>1526.6147000000001</v>
      </c>
      <c r="W138" s="434">
        <v>0</v>
      </c>
      <c r="X138" s="369">
        <v>0</v>
      </c>
      <c r="Y138" s="365">
        <f>Tabla1[[#This Row],[R. GE
'[MWh']]]*1000</f>
        <v>1526614.7000000002</v>
      </c>
      <c r="Z138" s="434">
        <v>37.51</v>
      </c>
      <c r="AA13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37.51</v>
      </c>
      <c r="AB138" s="371">
        <f>IF(Tabla1[[#This Row],[G. HGS 
'[MWh']]]=0,0,Tabla1[[#This Row],[G. HGS 
'[MWh']]]+Tabla1[[#This Row],[Con. Aux. '[MWh']2]])</f>
        <v>1578.51</v>
      </c>
      <c r="AC138" s="365">
        <f>'C. ENER. TN'!F138</f>
        <v>0</v>
      </c>
      <c r="AD138" s="370">
        <f>'C. ENER. TN'!G138</f>
        <v>1544.5054000000002</v>
      </c>
      <c r="AE138" s="370">
        <f>'G. Un GE'!AX138</f>
        <v>213.72615357142857</v>
      </c>
      <c r="AF138" s="368">
        <f>IFERROR('G. Un GE'!AX138/Tabla1[[#This Row],[PO '[h']]],0)</f>
        <v>8.9052563988095237</v>
      </c>
      <c r="AG138" s="365">
        <f>'Ar-Pa'!AX138</f>
        <v>3</v>
      </c>
      <c r="AH138" s="365">
        <f>'Ar-Pa'!AY138</f>
        <v>2</v>
      </c>
      <c r="AI138" s="366">
        <f>SUM('Cal. Arr'!AB141:AY141)</f>
        <v>0</v>
      </c>
      <c r="AJ138" s="442">
        <v>38.799999999999997</v>
      </c>
      <c r="AK138" s="443">
        <v>1.4</v>
      </c>
      <c r="AL138" s="267">
        <f t="shared" si="42"/>
        <v>369.84087330140778</v>
      </c>
      <c r="AM138" s="267">
        <f>+CONVERT(AK138+Tabla1[[#This Row],[Con. DO Storage Gen. '[m3']]],"m^3","gal")</f>
        <v>10619.716504797565</v>
      </c>
      <c r="AN138" s="372">
        <f>SUM('DO Pilot'!B138:Y138)</f>
        <v>9.16</v>
      </c>
      <c r="AO138" s="372">
        <f t="shared" si="43"/>
        <v>2419.8159996006398</v>
      </c>
      <c r="AP138" s="267">
        <f>AK138+AN138+Tabla1[[#This Row],[Con. DO Storage Gen. '[m3']]]</f>
        <v>49.36</v>
      </c>
      <c r="AQ138" s="372">
        <f t="shared" si="49"/>
        <v>13039.532504398207</v>
      </c>
      <c r="AR138" s="443">
        <v>22079</v>
      </c>
      <c r="AS138" s="443">
        <v>0</v>
      </c>
      <c r="AT138" s="267">
        <f>+CONVERT(SUM(Tabla1[[#This Row],[Repo. DO Storage '[gal']]:[Repo. DO Pilot '[gal']]]),"gal","m3")</f>
        <v>83.578106778935989</v>
      </c>
      <c r="AU138" s="442">
        <v>0</v>
      </c>
      <c r="AV138" s="372">
        <f t="shared" si="40"/>
        <v>0</v>
      </c>
      <c r="AW138" s="442">
        <v>0</v>
      </c>
      <c r="AX138" s="267">
        <f t="shared" si="44"/>
        <v>0</v>
      </c>
      <c r="AY138" s="372">
        <f t="shared" si="45"/>
        <v>0.24000056671084216</v>
      </c>
      <c r="AZ138" s="372">
        <f>IFERROR(AL138/'Ar-Pa'!AX138,0)</f>
        <v>123.28029110046926</v>
      </c>
      <c r="BA138" s="372">
        <f>IFERROR(AL138/'Ar-Pa'!AY138,0)</f>
        <v>184.92043665070389</v>
      </c>
      <c r="BB138" s="372">
        <f t="shared" si="46"/>
        <v>1.5702894221937962</v>
      </c>
      <c r="BC138" s="372">
        <f>IFERROR(AVERAGEIF('DO Pilot'!AX138:BU138,"&gt;0"),0)</f>
        <v>14.114728482022796</v>
      </c>
      <c r="BD138" s="446">
        <v>356006</v>
      </c>
      <c r="BE138" s="446">
        <v>12602</v>
      </c>
      <c r="BF138" s="446">
        <v>356000</v>
      </c>
      <c r="BG138" s="223">
        <f>Tabla1[[#This Row],[ Re. Gas GC
 '[m3']]]</f>
        <v>356000</v>
      </c>
      <c r="BH138" s="150">
        <f>IFERROR((BG138*Gas!$B$3)/28.31685,0)</f>
        <v>12523.994723989426</v>
      </c>
      <c r="BI138" s="73">
        <f>BH138-BE138</f>
        <v>-78.005276010573652</v>
      </c>
      <c r="BJ138" s="74">
        <f t="shared" si="50"/>
        <v>-6.2284660549366353E-3</v>
      </c>
      <c r="BK138" s="223">
        <f t="shared" si="47"/>
        <v>8177.8066190785203</v>
      </c>
      <c r="BL138" s="442">
        <v>8935.09</v>
      </c>
      <c r="BM138" s="70">
        <f t="shared" si="48"/>
        <v>7934.0610601069529</v>
      </c>
      <c r="BN138" s="150">
        <f t="shared" si="31"/>
        <v>8203.7692444527256</v>
      </c>
      <c r="BO138" s="373">
        <f>IFERROR(Tabla1[[#This Row],[ Re. Gas GC
 '[m3']]]/Tabla1[[#This Row],[G. HGS 
Con Gas '[kWh']]],0)</f>
        <v>0.23101881894873458</v>
      </c>
      <c r="BP138" s="374">
        <f>Tank!Y139</f>
        <v>0</v>
      </c>
      <c r="BQ138" s="70">
        <f>Tank!AP139</f>
        <v>0</v>
      </c>
      <c r="BR138" s="70">
        <f>Tank!V139</f>
        <v>0</v>
      </c>
      <c r="BS138" s="372">
        <f>Tank!T139</f>
        <v>0</v>
      </c>
      <c r="BT138" s="375" t="s">
        <v>228</v>
      </c>
      <c r="BU138" s="450">
        <v>71</v>
      </c>
      <c r="BV138" s="375">
        <f>IF(Tabla1[[#This Row],[Combustible ofertado]]="GAS",Tabla1[[#This Row],[Disponibilidad]],0)</f>
        <v>0</v>
      </c>
      <c r="BW138" s="375">
        <f>IF(Tabla1[[#This Row],[Combustible ofertado]]="DIESEL",Tabla1[[#This Row],[Disponibilidad]],0)</f>
        <v>71</v>
      </c>
      <c r="BX138" s="375">
        <f>IF(Tabla1[[#This Row],[Combustible ofertado]]="HFO",Tabla1[[#This Row],[Disponibilidad]],0)</f>
        <v>0</v>
      </c>
      <c r="BY138" s="455">
        <v>1440</v>
      </c>
      <c r="BZ138" s="446">
        <f>'Horo. M'!C139</f>
        <v>22</v>
      </c>
      <c r="CA138" s="446">
        <f>'Horo. M'!E139</f>
        <v>23</v>
      </c>
      <c r="CB138" s="446">
        <f>'Horo. M'!G139</f>
        <v>4</v>
      </c>
      <c r="CC138" s="446">
        <f>'Horo. M'!I139</f>
        <v>0</v>
      </c>
      <c r="CD138" s="446">
        <f>'Horo. M'!K139</f>
        <v>24</v>
      </c>
      <c r="CE138" s="446">
        <f>'Horo. M'!M139</f>
        <v>23</v>
      </c>
      <c r="CF138" s="446">
        <f>'Horo. M'!O139</f>
        <v>22</v>
      </c>
      <c r="CG138" s="446">
        <f>'Horo. M'!Q139</f>
        <v>19</v>
      </c>
      <c r="CH138" s="446">
        <f>'Horo. M'!S139</f>
        <v>24</v>
      </c>
      <c r="CI138" s="446">
        <f>'Horo. M'!U139</f>
        <v>24</v>
      </c>
      <c r="CJ138" s="70">
        <f>Tabla1[[#This Row],[Con. DO Storage '[gal']]]-Tabla1[[#This Row],[C. DO Storage Ge '[gal']]]</f>
        <v>369.84087330140778</v>
      </c>
      <c r="CK138" s="70"/>
      <c r="CL138" s="70"/>
      <c r="CM138" s="372">
        <f>Tabla1[[#This Row],[Con. DO Total '[gal']]]*131485.5/(1000000)</f>
        <v>1714.5094511070504</v>
      </c>
    </row>
    <row r="139" spans="1:91" ht="15" customHeight="1">
      <c r="A139" s="362">
        <v>45064</v>
      </c>
      <c r="B139" s="376" t="str">
        <f>TEXT(Tabla1[[#This Row],[Fecha]],"mmmm")</f>
        <v>mayo</v>
      </c>
      <c r="C139" s="429">
        <v>0</v>
      </c>
      <c r="D139" s="430">
        <v>1347</v>
      </c>
      <c r="E139" s="430">
        <v>1347</v>
      </c>
      <c r="F139" s="430">
        <v>1412</v>
      </c>
      <c r="G139" s="431">
        <v>3</v>
      </c>
      <c r="H139" s="431">
        <v>213</v>
      </c>
      <c r="I139" s="432">
        <v>2</v>
      </c>
      <c r="J139" s="432">
        <v>142</v>
      </c>
      <c r="K139" s="430">
        <v>24</v>
      </c>
      <c r="L139" s="430">
        <v>24</v>
      </c>
      <c r="M139" s="365">
        <f>Tabla1[[#This Row],[Columna1]]-Tabla1[[#This Row],[PO '[h']]]</f>
        <v>0</v>
      </c>
      <c r="N139" s="365">
        <f t="shared" si="39"/>
        <v>1767</v>
      </c>
      <c r="O139" s="430">
        <v>1412</v>
      </c>
      <c r="P139" s="367">
        <f>Tabla1[[#This Row],[G. HGS 
'[MWh']]]</f>
        <v>1412</v>
      </c>
      <c r="Q139" s="430">
        <v>0</v>
      </c>
      <c r="R139" s="367">
        <v>0</v>
      </c>
      <c r="S139" s="367">
        <f>Tabla1[[#This Row],[G. HGS 
Con Gas]]*1000</f>
        <v>1412000</v>
      </c>
      <c r="T139" s="365">
        <f>Tabla1[[#This Row],[G. HGS 
'[MWh']]]*1000</f>
        <v>1412000</v>
      </c>
      <c r="U139" s="368">
        <f>SUM('G. Un GE'!B139:Y139)</f>
        <v>1398.8067999999998</v>
      </c>
      <c r="V139" s="369">
        <f>Tabla1[[#This Row],[R. GE
'[MWh']]]</f>
        <v>1398.8067999999998</v>
      </c>
      <c r="W139" s="434">
        <v>0</v>
      </c>
      <c r="X139" s="369">
        <v>0</v>
      </c>
      <c r="Y139" s="365">
        <f>Tabla1[[#This Row],[R. GE
'[MWh']]]*1000</f>
        <v>1398806.7999999998</v>
      </c>
      <c r="Z139" s="434">
        <v>37.979999999999997</v>
      </c>
      <c r="AA13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37.979999999999997</v>
      </c>
      <c r="AB139" s="371">
        <f>IF(Tabla1[[#This Row],[G. HGS 
'[MWh']]]=0,0,Tabla1[[#This Row],[G. HGS 
'[MWh']]]+Tabla1[[#This Row],[Con. Aux. '[MWh']2]])</f>
        <v>1449.98</v>
      </c>
      <c r="AC139" s="365">
        <f>'C. ENER. TN'!F139</f>
        <v>0</v>
      </c>
      <c r="AD139" s="370">
        <f>'C. ENER. TN'!G139</f>
        <v>1398.8067999999998</v>
      </c>
      <c r="AE139" s="370">
        <f>'G. Un GE'!AX139</f>
        <v>197.77270535714285</v>
      </c>
      <c r="AF139" s="368">
        <f>IFERROR('G. Un GE'!AX139/Tabla1[[#This Row],[PO '[h']]],0)</f>
        <v>8.2405293898809528</v>
      </c>
      <c r="AG139" s="365">
        <f>'Ar-Pa'!AX139</f>
        <v>2</v>
      </c>
      <c r="AH139" s="365">
        <f>'Ar-Pa'!AY139</f>
        <v>3</v>
      </c>
      <c r="AI139" s="366">
        <f>SUM('Cal. Arr'!AB142:AY142)</f>
        <v>0</v>
      </c>
      <c r="AJ139" s="442">
        <v>28.4</v>
      </c>
      <c r="AK139" s="443">
        <v>1.2</v>
      </c>
      <c r="AL139" s="267">
        <f t="shared" si="42"/>
        <v>317.00646282977812</v>
      </c>
      <c r="AM139" s="267">
        <f>+CONVERT(AK139+Tabla1[[#This Row],[Con. DO Storage Gen. '[m3']]],"m^3","gal")</f>
        <v>7819.4927498011921</v>
      </c>
      <c r="AN139" s="372">
        <f>SUM('DO Pilot'!B139:Y139)</f>
        <v>9.16</v>
      </c>
      <c r="AO139" s="372">
        <f t="shared" si="43"/>
        <v>2419.8159996006398</v>
      </c>
      <c r="AP139" s="267">
        <f>AK139+AN139+Tabla1[[#This Row],[Con. DO Storage Gen. '[m3']]]</f>
        <v>38.76</v>
      </c>
      <c r="AQ139" s="372">
        <f t="shared" si="49"/>
        <v>10239.308749401833</v>
      </c>
      <c r="AR139" s="443">
        <v>11046</v>
      </c>
      <c r="AS139" s="443">
        <v>11008</v>
      </c>
      <c r="AT139" s="267">
        <f>+CONVERT(SUM(Tabla1[[#This Row],[Repo. DO Storage '[gal']]:[Repo. DO Pilot '[gal']]]),"gal","m3")</f>
        <v>83.483471484335993</v>
      </c>
      <c r="AU139" s="442">
        <v>0</v>
      </c>
      <c r="AV139" s="372">
        <f t="shared" si="40"/>
        <v>0</v>
      </c>
      <c r="AW139" s="442">
        <v>0</v>
      </c>
      <c r="AX139" s="372">
        <f t="shared" si="44"/>
        <v>0</v>
      </c>
      <c r="AY139" s="372">
        <f t="shared" si="45"/>
        <v>0.22450882636669839</v>
      </c>
      <c r="AZ139" s="372">
        <f>IFERROR(AL139/'Ar-Pa'!AX139,0)</f>
        <v>158.50323141488906</v>
      </c>
      <c r="BA139" s="372">
        <f>IFERROR(AL139/'Ar-Pa'!AY139,0)</f>
        <v>105.66882094325938</v>
      </c>
      <c r="BB139" s="372">
        <f t="shared" si="46"/>
        <v>1.7137507079324645</v>
      </c>
      <c r="BC139" s="372">
        <f>IFERROR(AVERAGEIF('DO Pilot'!AX139:BU139,"&gt;0"),0)</f>
        <v>14.25035252676024</v>
      </c>
      <c r="BD139" s="446">
        <v>341200</v>
      </c>
      <c r="BE139" s="446">
        <v>12078</v>
      </c>
      <c r="BF139" s="446">
        <v>341189</v>
      </c>
      <c r="BG139" s="223">
        <f>Tabla1[[#This Row],[ Re. Gas GC
 '[m3']]]</f>
        <v>341189</v>
      </c>
      <c r="BH139" s="150">
        <f>IFERROR((BG139*Gas!$B$3)/28.31685,0)</f>
        <v>12002.94729180682</v>
      </c>
      <c r="BI139" s="73">
        <f t="shared" si="41"/>
        <v>-75.052708193179569</v>
      </c>
      <c r="BJ139" s="74">
        <f t="shared" si="50"/>
        <v>-6.252856600012761E-3</v>
      </c>
      <c r="BK139" s="223">
        <f t="shared" si="47"/>
        <v>8553.8243626062322</v>
      </c>
      <c r="BL139" s="442">
        <v>8963.15</v>
      </c>
      <c r="BM139" s="70">
        <f t="shared" si="48"/>
        <v>8278.0088634373024</v>
      </c>
      <c r="BN139" s="150">
        <f t="shared" si="31"/>
        <v>8580.8471132731283</v>
      </c>
      <c r="BO139" s="373">
        <f>IFERROR(Tabla1[[#This Row],[ Re. Gas GC
 '[m3']]]/Tabla1[[#This Row],[G. HGS 
Con Gas '[kWh']]],0)</f>
        <v>0.24163526912181302</v>
      </c>
      <c r="BP139" s="374">
        <f>Tank!Y140</f>
        <v>31.941304633392001</v>
      </c>
      <c r="BQ139" s="70">
        <f>Tank!AP140</f>
        <v>0</v>
      </c>
      <c r="BR139" s="70">
        <f>Tank!V140</f>
        <v>0</v>
      </c>
      <c r="BS139" s="372">
        <f>Tank!T140</f>
        <v>0</v>
      </c>
      <c r="BT139" s="375" t="s">
        <v>228</v>
      </c>
      <c r="BU139" s="451">
        <v>71</v>
      </c>
      <c r="BV139" s="375">
        <f>IF(Tabla1[[#This Row],[Combustible ofertado]]="GAS",Tabla1[[#This Row],[Disponibilidad]],0)</f>
        <v>0</v>
      </c>
      <c r="BW139" s="375">
        <f>IF(Tabla1[[#This Row],[Combustible ofertado]]="DIESEL",Tabla1[[#This Row],[Disponibilidad]],0)</f>
        <v>71</v>
      </c>
      <c r="BX139" s="375">
        <f>IF(Tabla1[[#This Row],[Combustible ofertado]]="HFO",Tabla1[[#This Row],[Disponibilidad]],0)</f>
        <v>0</v>
      </c>
      <c r="BY139" s="456">
        <v>1440</v>
      </c>
      <c r="BZ139" s="446">
        <f>'Horo. M'!C140</f>
        <v>4</v>
      </c>
      <c r="CA139" s="446">
        <f>'Horo. M'!E140</f>
        <v>19</v>
      </c>
      <c r="CB139" s="446">
        <f>'Horo. M'!G140</f>
        <v>24</v>
      </c>
      <c r="CC139" s="446">
        <f>'Horo. M'!I140</f>
        <v>0</v>
      </c>
      <c r="CD139" s="446">
        <f>'Horo. M'!K140</f>
        <v>24</v>
      </c>
      <c r="CE139" s="446">
        <f>'Horo. M'!M140</f>
        <v>24</v>
      </c>
      <c r="CF139" s="446">
        <f>'Horo. M'!O140</f>
        <v>24</v>
      </c>
      <c r="CG139" s="446">
        <f>'Horo. M'!Q140</f>
        <v>24</v>
      </c>
      <c r="CH139" s="446">
        <f>'Horo. M'!S140</f>
        <v>21</v>
      </c>
      <c r="CI139" s="446">
        <f>'Horo. M'!U140</f>
        <v>24</v>
      </c>
      <c r="CJ139" s="70">
        <f>Tabla1[[#This Row],[Con. DO Storage '[gal']]]-Tabla1[[#This Row],[C. DO Storage Ge '[gal']]]</f>
        <v>317.00646282977812</v>
      </c>
      <c r="CK139" s="70"/>
      <c r="CL139" s="70"/>
      <c r="CM139" s="372">
        <f>Tabla1[[#This Row],[Con. DO Total '[gal']]]*131485.5/(1000000)</f>
        <v>1346.3206305694746</v>
      </c>
    </row>
    <row r="140" spans="1:91" ht="15" customHeight="1">
      <c r="A140" s="362">
        <v>45065</v>
      </c>
      <c r="B140" s="376" t="str">
        <f>TEXT(Tabla1[[#This Row],[Fecha]],"mmmm")</f>
        <v>mayo</v>
      </c>
      <c r="C140" s="429">
        <v>0</v>
      </c>
      <c r="D140" s="430">
        <v>1292</v>
      </c>
      <c r="E140" s="430">
        <v>1292</v>
      </c>
      <c r="F140" s="430">
        <v>1356</v>
      </c>
      <c r="G140" s="431">
        <v>0</v>
      </c>
      <c r="H140" s="431">
        <v>0</v>
      </c>
      <c r="I140" s="432">
        <v>3</v>
      </c>
      <c r="J140" s="432">
        <v>213</v>
      </c>
      <c r="K140" s="430">
        <v>24</v>
      </c>
      <c r="L140" s="430">
        <v>24</v>
      </c>
      <c r="M140" s="365">
        <f>Tabla1[[#This Row],[Columna1]]-Tabla1[[#This Row],[PO '[h']]]</f>
        <v>0</v>
      </c>
      <c r="N140" s="365">
        <f>F140+H140+J140</f>
        <v>1569</v>
      </c>
      <c r="O140" s="430">
        <v>1356</v>
      </c>
      <c r="P140" s="367">
        <f>Tabla1[[#This Row],[G. HGS 
'[MWh']]]</f>
        <v>1356</v>
      </c>
      <c r="Q140" s="430">
        <v>0</v>
      </c>
      <c r="R140" s="367">
        <v>0</v>
      </c>
      <c r="S140" s="367">
        <f>Tabla1[[#This Row],[G. HGS 
Con Gas]]*1000</f>
        <v>1356000</v>
      </c>
      <c r="T140" s="365">
        <f>Tabla1[[#This Row],[G. HGS 
'[MWh']]]*1000</f>
        <v>1356000</v>
      </c>
      <c r="U140" s="368">
        <f>SUM('G. Un GE'!B140:Y140)</f>
        <v>1344.1147999999998</v>
      </c>
      <c r="V140" s="369">
        <f>Tabla1[[#This Row],[R. GE
'[MWh']]]</f>
        <v>1344.1147999999998</v>
      </c>
      <c r="W140" s="434">
        <v>0</v>
      </c>
      <c r="X140" s="369">
        <v>0</v>
      </c>
      <c r="Y140" s="365">
        <f>Tabla1[[#This Row],[R. GE
'[MWh']]]*1000</f>
        <v>1344114.7999999998</v>
      </c>
      <c r="Z140" s="434">
        <v>37.880000000000003</v>
      </c>
      <c r="AA14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37.880000000000003</v>
      </c>
      <c r="AB140" s="371">
        <f>IF(Tabla1[[#This Row],[G. HGS 
'[MWh']]]=0,0,Tabla1[[#This Row],[G. HGS 
'[MWh']]]+Tabla1[[#This Row],[Con. Aux. '[MWh']2]])</f>
        <v>1393.88</v>
      </c>
      <c r="AC140" s="365">
        <f>'C. ENER. TN'!F140</f>
        <v>0</v>
      </c>
      <c r="AD140" s="370">
        <f>'C. ENER. TN'!G140</f>
        <v>1344.1148000000001</v>
      </c>
      <c r="AE140" s="370">
        <f>'G. Un GE'!AX140</f>
        <v>170.93162857142858</v>
      </c>
      <c r="AF140" s="368">
        <f>IFERROR('G. Un GE'!AX140/Tabla1[[#This Row],[PO '[h']]],0)</f>
        <v>7.1221511904761909</v>
      </c>
      <c r="AG140" s="365">
        <f>'Ar-Pa'!AX140</f>
        <v>1</v>
      </c>
      <c r="AH140" s="365">
        <f>'Ar-Pa'!AY140</f>
        <v>0</v>
      </c>
      <c r="AI140" s="366">
        <f>SUM('Cal. Arr'!AB143:AY143)</f>
        <v>0</v>
      </c>
      <c r="AJ140" s="442">
        <v>33.96</v>
      </c>
      <c r="AK140" s="443">
        <v>1.6</v>
      </c>
      <c r="AL140" s="267">
        <f t="shared" si="42"/>
        <v>422.67528377303745</v>
      </c>
      <c r="AM140" s="267">
        <f>+CONVERT(AK140+Tabla1[[#This Row],[Con. DO Storage Gen. '[m3']]],"m^3","gal")</f>
        <v>9393.9581818557581</v>
      </c>
      <c r="AN140" s="372">
        <f>SUM('DO Pilot'!B140:Y140)</f>
        <v>6.6399999999999988</v>
      </c>
      <c r="AO140" s="372">
        <f t="shared" si="43"/>
        <v>1754.1024276581054</v>
      </c>
      <c r="AP140" s="267">
        <f>AK140+AN140+Tabla1[[#This Row],[Con. DO Storage Gen. '[m3']]]</f>
        <v>42.2</v>
      </c>
      <c r="AQ140" s="372">
        <f t="shared" si="49"/>
        <v>11148.060609513863</v>
      </c>
      <c r="AR140" s="443">
        <v>22023</v>
      </c>
      <c r="AS140" s="443">
        <v>0</v>
      </c>
      <c r="AT140" s="267">
        <f>+CONVERT(SUM(Tabla1[[#This Row],[Repo. DO Storage '[gal']]:[Repo. DO Pilot '[gal']]]),"gal","m3")</f>
        <v>83.366123719031989</v>
      </c>
      <c r="AU140" s="442">
        <v>0</v>
      </c>
      <c r="AV140" s="372">
        <f t="shared" si="40"/>
        <v>0</v>
      </c>
      <c r="AW140" s="442">
        <v>0</v>
      </c>
      <c r="AX140" s="372">
        <f t="shared" si="44"/>
        <v>0</v>
      </c>
      <c r="AY140" s="372">
        <f t="shared" si="45"/>
        <v>0.31170743641079457</v>
      </c>
      <c r="AZ140" s="372">
        <f>IFERROR(AL140/'Ar-Pa'!AX140,0)</f>
        <v>422.67528377303745</v>
      </c>
      <c r="BA140" s="372">
        <f>IFERROR(AL140/'Ar-Pa'!AY140,0)</f>
        <v>0</v>
      </c>
      <c r="BB140" s="372">
        <f t="shared" si="46"/>
        <v>1.2935858611047975</v>
      </c>
      <c r="BC140" s="372">
        <f>IFERROR(AVERAGEIF('DO Pilot'!AX140:BU140,"&gt;0"),0)</f>
        <v>9.2951609791791956</v>
      </c>
      <c r="BD140" s="446">
        <v>321190</v>
      </c>
      <c r="BE140" s="446">
        <v>11370</v>
      </c>
      <c r="BF140" s="446">
        <v>318359</v>
      </c>
      <c r="BG140" s="223">
        <f>Tabla1[[#This Row],[ Re. Gas GC
 '[m3']]]</f>
        <v>318359</v>
      </c>
      <c r="BH140" s="150">
        <f>IFERROR((BG140*Gas!$B$3)/28.31685,0)</f>
        <v>11199.793360490308</v>
      </c>
      <c r="BI140" s="73">
        <f t="shared" si="41"/>
        <v>-170.20663950969174</v>
      </c>
      <c r="BJ140" s="74">
        <f t="shared" si="50"/>
        <v>-1.5197301774346342E-2</v>
      </c>
      <c r="BK140" s="223">
        <f t="shared" si="47"/>
        <v>8384.9557522123905</v>
      </c>
      <c r="BL140" s="442">
        <v>8944.27</v>
      </c>
      <c r="BM140" s="70">
        <f t="shared" si="48"/>
        <v>8034.9767271862047</v>
      </c>
      <c r="BN140" s="150">
        <f t="shared" si="31"/>
        <v>8332.4678520691177</v>
      </c>
      <c r="BO140" s="373">
        <f>IFERROR(Tabla1[[#This Row],[ Re. Gas GC
 '[m3']]]/Tabla1[[#This Row],[G. HGS 
Con Gas '[kWh']]],0)</f>
        <v>0.23477802359882005</v>
      </c>
      <c r="BP140" s="374">
        <f>Tank!Y141</f>
        <v>0</v>
      </c>
      <c r="BQ140" s="70">
        <f>Tank!AP141</f>
        <v>0</v>
      </c>
      <c r="BR140" s="70">
        <f>Tank!V141</f>
        <v>0</v>
      </c>
      <c r="BS140" s="372">
        <f>Tank!T141</f>
        <v>0</v>
      </c>
      <c r="BT140" s="375" t="s">
        <v>228</v>
      </c>
      <c r="BU140" s="451">
        <v>71</v>
      </c>
      <c r="BV140" s="375">
        <f>IF(Tabla1[[#This Row],[Combustible ofertado]]="GAS",Tabla1[[#This Row],[Disponibilidad]],0)</f>
        <v>0</v>
      </c>
      <c r="BW140" s="375">
        <f>IF(Tabla1[[#This Row],[Combustible ofertado]]="DIESEL",Tabla1[[#This Row],[Disponibilidad]],0)</f>
        <v>71</v>
      </c>
      <c r="BX140" s="375">
        <f>IF(Tabla1[[#This Row],[Combustible ofertado]]="HFO",Tabla1[[#This Row],[Disponibilidad]],0)</f>
        <v>0</v>
      </c>
      <c r="BY140" s="456">
        <v>1440</v>
      </c>
      <c r="BZ140" s="446">
        <f>'Horo. M'!C141</f>
        <v>23</v>
      </c>
      <c r="CA140" s="446">
        <f>'Horo. M'!E141</f>
        <v>24</v>
      </c>
      <c r="CB140" s="446">
        <f>'Horo. M'!G141</f>
        <v>24</v>
      </c>
      <c r="CC140" s="446">
        <f>'Horo. M'!I141</f>
        <v>0</v>
      </c>
      <c r="CD140" s="446">
        <f>'Horo. M'!K141</f>
        <v>24</v>
      </c>
      <c r="CE140" s="446">
        <f>'Horo. M'!M141</f>
        <v>24</v>
      </c>
      <c r="CF140" s="446">
        <f>'Horo. M'!O141</f>
        <v>17</v>
      </c>
      <c r="CG140" s="446">
        <f>'Horo. M'!Q141</f>
        <v>24</v>
      </c>
      <c r="CH140" s="446">
        <f>'Horo. M'!S141</f>
        <v>24</v>
      </c>
      <c r="CI140" s="446">
        <f>'Horo. M'!U141</f>
        <v>5</v>
      </c>
      <c r="CJ140" s="70">
        <f>Tabla1[[#This Row],[Con. DO Storage '[gal']]]-Tabla1[[#This Row],[C. DO Storage Ge '[gal']]]</f>
        <v>422.67528377303745</v>
      </c>
      <c r="CK140" s="70"/>
      <c r="CL140" s="70"/>
      <c r="CM140" s="372">
        <f>Tabla1[[#This Row],[Con. DO Total '[gal']]]*131485.5/(1000000)</f>
        <v>1465.8083232722349</v>
      </c>
    </row>
    <row r="141" spans="1:91" ht="15" customHeight="1">
      <c r="A141" s="362">
        <v>45066</v>
      </c>
      <c r="B141" s="376" t="str">
        <f>TEXT(Tabla1[[#This Row],[Fecha]],"mmmm")</f>
        <v>mayo</v>
      </c>
      <c r="C141" s="429">
        <v>0</v>
      </c>
      <c r="D141" s="430">
        <v>1324</v>
      </c>
      <c r="E141" s="430">
        <v>1324</v>
      </c>
      <c r="F141" s="430">
        <v>1440</v>
      </c>
      <c r="G141" s="431">
        <v>0</v>
      </c>
      <c r="H141" s="431">
        <v>0</v>
      </c>
      <c r="I141" s="432">
        <v>7</v>
      </c>
      <c r="J141" s="432">
        <v>497</v>
      </c>
      <c r="K141" s="430">
        <v>24</v>
      </c>
      <c r="L141" s="430">
        <v>24</v>
      </c>
      <c r="M141" s="365">
        <f>Tabla1[[#This Row],[Columna1]]-Tabla1[[#This Row],[PO '[h']]]</f>
        <v>0</v>
      </c>
      <c r="N141" s="365">
        <f t="shared" si="39"/>
        <v>1937</v>
      </c>
      <c r="O141" s="430">
        <v>1440</v>
      </c>
      <c r="P141" s="367">
        <f>Tabla1[[#This Row],[G. HGS 
'[MWh']]]</f>
        <v>1440</v>
      </c>
      <c r="Q141" s="430">
        <v>0</v>
      </c>
      <c r="R141" s="367">
        <v>0</v>
      </c>
      <c r="S141" s="367">
        <f>Tabla1[[#This Row],[G. HGS 
Con Gas]]*1000</f>
        <v>1440000</v>
      </c>
      <c r="T141" s="365">
        <f>Tabla1[[#This Row],[G. HGS 
'[MWh']]]*1000</f>
        <v>1440000</v>
      </c>
      <c r="U141" s="368">
        <f>SUM('G. Un GE'!B141:Y141)</f>
        <v>1425.9211</v>
      </c>
      <c r="V141" s="369">
        <f>Tabla1[[#This Row],[R. GE
'[MWh']]]</f>
        <v>1425.9211</v>
      </c>
      <c r="W141" s="434">
        <v>0</v>
      </c>
      <c r="X141" s="369">
        <v>0</v>
      </c>
      <c r="Y141" s="365">
        <f>Tabla1[[#This Row],[R. GE
'[MWh']]]*1000</f>
        <v>1425921.1</v>
      </c>
      <c r="Z141" s="434">
        <v>38.26</v>
      </c>
      <c r="AA14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38.26</v>
      </c>
      <c r="AB141" s="371">
        <f>IF(Tabla1[[#This Row],[G. HGS 
'[MWh']]]=0,0,Tabla1[[#This Row],[G. HGS 
'[MWh']]]+Tabla1[[#This Row],[Con. Aux. '[MWh']2]])</f>
        <v>1478.26</v>
      </c>
      <c r="AC141" s="368">
        <f>'C. ENER. TN'!F141</f>
        <v>0</v>
      </c>
      <c r="AD141" s="370">
        <f>'C. ENER. TN'!G141</f>
        <v>1425.9211000000005</v>
      </c>
      <c r="AE141" s="370">
        <f>'G. Un GE'!AX141</f>
        <v>182.28752480158727</v>
      </c>
      <c r="AF141" s="368">
        <f>IFERROR('G. Un GE'!AX141/Tabla1[[#This Row],[PO '[h']]],0)</f>
        <v>7.5953135333994695</v>
      </c>
      <c r="AG141" s="365">
        <f>'Ar-Pa'!AX141</f>
        <v>3</v>
      </c>
      <c r="AH141" s="365">
        <f>'Ar-Pa'!AY141</f>
        <v>3</v>
      </c>
      <c r="AI141" s="366">
        <f>SUM('Cal. Arr'!AB144:AY144)</f>
        <v>0</v>
      </c>
      <c r="AJ141" s="442">
        <v>29.4</v>
      </c>
      <c r="AK141" s="443">
        <v>1.8</v>
      </c>
      <c r="AL141" s="267">
        <f t="shared" si="42"/>
        <v>475.50969424466717</v>
      </c>
      <c r="AM141" s="267">
        <f>+CONVERT(AK141+Tabla1[[#This Row],[Con. DO Storage Gen. '[m3']]],"m^3","gal")</f>
        <v>8242.1680335742312</v>
      </c>
      <c r="AN141" s="372">
        <f>SUM('DO Pilot'!B141:Y141)</f>
        <v>6.2899999999999983</v>
      </c>
      <c r="AO141" s="372">
        <f t="shared" si="43"/>
        <v>1661.6422093327531</v>
      </c>
      <c r="AP141" s="267">
        <f>AK141+AN141+Tabla1[[#This Row],[Con. DO Storage Gen. '[m3']]]</f>
        <v>37.489999999999995</v>
      </c>
      <c r="AQ141" s="372">
        <f t="shared" si="49"/>
        <v>9903.8102429069822</v>
      </c>
      <c r="AR141" s="443">
        <v>11015</v>
      </c>
      <c r="AS141" s="443">
        <v>0</v>
      </c>
      <c r="AT141" s="267">
        <f>+CONVERT(SUM(Tabla1[[#This Row],[Repo. DO Storage '[gal']]:[Repo. DO Pilot '[gal']]]),"gal","m3")</f>
        <v>41.696310800760003</v>
      </c>
      <c r="AU141" s="442">
        <v>0</v>
      </c>
      <c r="AV141" s="372">
        <f t="shared" si="40"/>
        <v>0</v>
      </c>
      <c r="AW141" s="442">
        <v>0</v>
      </c>
      <c r="AX141" s="372">
        <f t="shared" si="44"/>
        <v>0</v>
      </c>
      <c r="AY141" s="372">
        <f t="shared" si="45"/>
        <v>0.33021506544768553</v>
      </c>
      <c r="AZ141" s="372">
        <f>IFERROR(AL141/'Ar-Pa'!AX141,0)</f>
        <v>158.50323141488906</v>
      </c>
      <c r="BA141" s="372">
        <f>IFERROR(AL141/'Ar-Pa'!AY141,0)</f>
        <v>158.50323141488906</v>
      </c>
      <c r="BB141" s="372">
        <f t="shared" si="46"/>
        <v>1.1539182009255229</v>
      </c>
      <c r="BC141" s="372">
        <f>IFERROR(AVERAGEIF('DO Pilot'!AX141:BU141,"&gt;0"),0)</f>
        <v>10.138901491903058</v>
      </c>
      <c r="BD141" s="446">
        <v>343280</v>
      </c>
      <c r="BE141" s="446">
        <v>12152</v>
      </c>
      <c r="BF141" s="446">
        <v>343052</v>
      </c>
      <c r="BG141" s="223">
        <f>Tabla1[[#This Row],[ Re. Gas GC
 '[m3']]]</f>
        <v>343052</v>
      </c>
      <c r="BH141" s="150">
        <f>IFERROR((BG141*Gas!$B$3)/28.31685,0)</f>
        <v>12068.487185545002</v>
      </c>
      <c r="BI141" s="73">
        <f t="shared" si="41"/>
        <v>-83.512814454998079</v>
      </c>
      <c r="BJ141" s="74">
        <f t="shared" si="50"/>
        <v>-6.9199074557600992E-3</v>
      </c>
      <c r="BK141" s="223">
        <f t="shared" si="47"/>
        <v>8438.8888888888887</v>
      </c>
      <c r="BL141" s="442">
        <v>8956.33</v>
      </c>
      <c r="BM141" s="70">
        <f t="shared" si="48"/>
        <v>8163.9814278577524</v>
      </c>
      <c r="BN141" s="150">
        <f t="shared" si="31"/>
        <v>8463.6430343481152</v>
      </c>
      <c r="BO141" s="373">
        <f>IFERROR(Tabla1[[#This Row],[ Re. Gas GC
 '[m3']]]/Tabla1[[#This Row],[G. HGS 
Con Gas '[kWh']]],0)</f>
        <v>0.23823055555555556</v>
      </c>
      <c r="BP141" s="374">
        <f>Tank!Y142</f>
        <v>0</v>
      </c>
      <c r="BQ141" s="70">
        <f>Tank!AP142</f>
        <v>40.799999999999997</v>
      </c>
      <c r="BR141" s="70">
        <f>Tank!V142</f>
        <v>0</v>
      </c>
      <c r="BS141" s="372">
        <f>Tank!T142</f>
        <v>0</v>
      </c>
      <c r="BT141" s="375" t="s">
        <v>228</v>
      </c>
      <c r="BU141" s="451">
        <v>71</v>
      </c>
      <c r="BV141" s="375">
        <f>IF(Tabla1[[#This Row],[Combustible ofertado]]="GAS",Tabla1[[#This Row],[Disponibilidad]],0)</f>
        <v>0</v>
      </c>
      <c r="BW141" s="375">
        <f>IF(Tabla1[[#This Row],[Combustible ofertado]]="DIESEL",Tabla1[[#This Row],[Disponibilidad]],0)</f>
        <v>71</v>
      </c>
      <c r="BX141" s="375">
        <f>IF(Tabla1[[#This Row],[Combustible ofertado]]="HFO",Tabla1[[#This Row],[Disponibilidad]],0)</f>
        <v>0</v>
      </c>
      <c r="BY141" s="456">
        <v>1440</v>
      </c>
      <c r="BZ141" s="446">
        <f>'Horo. M'!C142</f>
        <v>24</v>
      </c>
      <c r="CA141" s="446">
        <f>'Horo. M'!E142</f>
        <v>24</v>
      </c>
      <c r="CB141" s="446">
        <f>'Horo. M'!G142</f>
        <v>24</v>
      </c>
      <c r="CC141" s="446">
        <f>'Horo. M'!I142</f>
        <v>0</v>
      </c>
      <c r="CD141" s="446">
        <f>'Horo. M'!K142</f>
        <v>18</v>
      </c>
      <c r="CE141" s="446">
        <f>'Horo. M'!M142</f>
        <v>24</v>
      </c>
      <c r="CF141" s="446">
        <f>'Horo. M'!O142</f>
        <v>24</v>
      </c>
      <c r="CG141" s="446">
        <f>'Horo. M'!Q142</f>
        <v>12</v>
      </c>
      <c r="CH141" s="446">
        <f>'Horo. M'!S142</f>
        <v>18</v>
      </c>
      <c r="CI141" s="446">
        <f>'Horo. M'!U142</f>
        <v>24</v>
      </c>
      <c r="CJ141" s="70">
        <f>Tabla1[[#This Row],[Con. DO Storage '[gal']]]-Tabla1[[#This Row],[C. DO Storage Ge '[gal']]]</f>
        <v>475.50969424466717</v>
      </c>
      <c r="CK141" s="70"/>
      <c r="CL141" s="70"/>
      <c r="CM141" s="372">
        <f>Tabla1[[#This Row],[Con. DO Total '[gal']]]*131485.5/(1000000)</f>
        <v>1302.207441693746</v>
      </c>
    </row>
    <row r="142" spans="1:91" ht="15" customHeight="1">
      <c r="A142" s="362">
        <v>45067</v>
      </c>
      <c r="B142" s="376" t="str">
        <f>TEXT(Tabla1[[#This Row],[Fecha]],"mmmm")</f>
        <v>mayo</v>
      </c>
      <c r="C142" s="429">
        <v>0</v>
      </c>
      <c r="D142" s="430">
        <v>1326</v>
      </c>
      <c r="E142" s="430">
        <v>1326</v>
      </c>
      <c r="F142" s="430">
        <v>1368</v>
      </c>
      <c r="G142" s="431">
        <v>0</v>
      </c>
      <c r="H142" s="431">
        <v>0</v>
      </c>
      <c r="I142" s="432">
        <v>1</v>
      </c>
      <c r="J142" s="432">
        <v>71</v>
      </c>
      <c r="K142" s="430">
        <v>24</v>
      </c>
      <c r="L142" s="430">
        <v>24</v>
      </c>
      <c r="M142" s="365">
        <f>Tabla1[[#This Row],[Columna1]]-Tabla1[[#This Row],[PO '[h']]]</f>
        <v>0</v>
      </c>
      <c r="N142" s="365">
        <f t="shared" si="39"/>
        <v>1439</v>
      </c>
      <c r="O142" s="430">
        <v>1368</v>
      </c>
      <c r="P142" s="367">
        <f>Tabla1[[#This Row],[G. HGS 
'[MWh']]]</f>
        <v>1368</v>
      </c>
      <c r="Q142" s="430">
        <v>0</v>
      </c>
      <c r="R142" s="367">
        <v>0</v>
      </c>
      <c r="S142" s="367">
        <f>Tabla1[[#This Row],[G. HGS 
Con Gas]]*1000</f>
        <v>1368000</v>
      </c>
      <c r="T142" s="365">
        <f>Tabla1[[#This Row],[G. HGS 
'[MWh']]]*1000</f>
        <v>1368000</v>
      </c>
      <c r="U142" s="368">
        <f>SUM('G. Un GE'!B142:Y142)</f>
        <v>1356.2450999999999</v>
      </c>
      <c r="V142" s="369">
        <f>Tabla1[[#This Row],[R. GE
'[MWh']]]</f>
        <v>1356.2450999999999</v>
      </c>
      <c r="W142" s="434">
        <v>0</v>
      </c>
      <c r="X142" s="369">
        <v>0</v>
      </c>
      <c r="Y142" s="365">
        <f>Tabla1[[#This Row],[R. GE
'[MWh']]]*1000</f>
        <v>1356245.0999999999</v>
      </c>
      <c r="Z142" s="434">
        <v>37.96</v>
      </c>
      <c r="AA14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37.96</v>
      </c>
      <c r="AB142" s="371">
        <f>IF(Tabla1[[#This Row],[G. HGS 
'[MWh']]]=0,0,Tabla1[[#This Row],[G. HGS 
'[MWh']]]+Tabla1[[#This Row],[Con. Aux. '[MWh']2]])</f>
        <v>1405.96</v>
      </c>
      <c r="AC142" s="368">
        <f>'C. ENER. TN'!F142</f>
        <v>0</v>
      </c>
      <c r="AD142" s="370">
        <f>'C. ENER. TN'!G142</f>
        <v>1356.2451000000001</v>
      </c>
      <c r="AE142" s="370">
        <f>'G. Un GE'!AX142</f>
        <v>169.53063749999998</v>
      </c>
      <c r="AF142" s="368">
        <f>IFERROR('G. Un GE'!AX142/Tabla1[[#This Row],[PO '[h']]],0)</f>
        <v>7.0637765624999993</v>
      </c>
      <c r="AG142" s="365">
        <f>'Ar-Pa'!AX142</f>
        <v>0</v>
      </c>
      <c r="AH142" s="365">
        <f>'Ar-Pa'!AY142</f>
        <v>0</v>
      </c>
      <c r="AI142" s="366">
        <f>SUM('Cal. Arr'!AB145:AY145)</f>
        <v>0</v>
      </c>
      <c r="AJ142" s="442">
        <v>26.79</v>
      </c>
      <c r="AK142" s="443">
        <v>1.05</v>
      </c>
      <c r="AL142" s="267">
        <f t="shared" si="42"/>
        <v>277.38065497605584</v>
      </c>
      <c r="AM142" s="267">
        <f>+CONVERT(AK142+Tabla1[[#This Row],[Con. DO Storage Gen. '[m3']]],"m^3","gal")</f>
        <v>7354.5499376508524</v>
      </c>
      <c r="AN142" s="372">
        <f>SUM('DO Pilot'!B142:Y142)</f>
        <v>6.8999999999999986</v>
      </c>
      <c r="AO142" s="372">
        <f t="shared" si="43"/>
        <v>1822.7871612712236</v>
      </c>
      <c r="AP142" s="267">
        <f>AK142+AN142+Tabla1[[#This Row],[Con. DO Storage Gen. '[m3']]]</f>
        <v>34.739999999999995</v>
      </c>
      <c r="AQ142" s="372">
        <f t="shared" si="49"/>
        <v>9177.3370989220748</v>
      </c>
      <c r="AR142" s="443">
        <v>0</v>
      </c>
      <c r="AS142" s="443">
        <v>0</v>
      </c>
      <c r="AT142" s="267">
        <f>+CONVERT(SUM(Tabla1[[#This Row],[Repo. DO Storage '[gal']]:[Repo. DO Pilot '[gal']]]),"gal","m3")</f>
        <v>0</v>
      </c>
      <c r="AU142" s="442">
        <v>0</v>
      </c>
      <c r="AV142" s="372">
        <f t="shared" si="40"/>
        <v>0</v>
      </c>
      <c r="AW142" s="442">
        <v>0</v>
      </c>
      <c r="AX142" s="372">
        <f t="shared" si="44"/>
        <v>0</v>
      </c>
      <c r="AY142" s="372">
        <f t="shared" si="45"/>
        <v>0.20276363667840339</v>
      </c>
      <c r="AZ142" s="372">
        <f>IFERROR(AL142/'Ar-Pa'!AX142,0)</f>
        <v>0</v>
      </c>
      <c r="BA142" s="372">
        <f>IFERROR(AL142/'Ar-Pa'!AY142,0)</f>
        <v>0</v>
      </c>
      <c r="BB142" s="372">
        <f t="shared" si="46"/>
        <v>1.3324467553152219</v>
      </c>
      <c r="BC142" s="372">
        <f>IFERROR(AVERAGEIF('DO Pilot'!AX142:BU142,"&gt;0"),0)</f>
        <v>9.4936831316209602</v>
      </c>
      <c r="BD142" s="446">
        <v>331689</v>
      </c>
      <c r="BE142" s="446">
        <v>11741</v>
      </c>
      <c r="BF142" s="446">
        <v>331615</v>
      </c>
      <c r="BG142" s="223">
        <f>Tabla1[[#This Row],[ Re. Gas GC
 '[m3']]]</f>
        <v>331615</v>
      </c>
      <c r="BH142" s="150">
        <f>IFERROR((BG142*Gas!$B$3)/28.31685,0)</f>
        <v>11666.136265156611</v>
      </c>
      <c r="BI142" s="73">
        <f>BH142-BE142</f>
        <v>-74.863734843389466</v>
      </c>
      <c r="BJ142" s="74">
        <f t="shared" si="50"/>
        <v>-6.4171833023231421E-3</v>
      </c>
      <c r="BK142" s="223">
        <f t="shared" si="47"/>
        <v>8582.6023391812869</v>
      </c>
      <c r="BL142" s="442">
        <v>8919.41</v>
      </c>
      <c r="BM142" s="70">
        <f t="shared" si="48"/>
        <v>8297.6302776441789</v>
      </c>
      <c r="BN142" s="150">
        <f t="shared" si="31"/>
        <v>8601.7905356167648</v>
      </c>
      <c r="BO142" s="373">
        <f>IFERROR(Tabla1[[#This Row],[ Re. Gas GC
 '[m3']]]/Tabla1[[#This Row],[G. HGS 
Con Gas '[kWh']]],0)</f>
        <v>0.24240862573099414</v>
      </c>
      <c r="BP142" s="374">
        <f>Tank!Y143</f>
        <v>0</v>
      </c>
      <c r="BQ142" s="70">
        <f>Tank!AP143</f>
        <v>30</v>
      </c>
      <c r="BR142" s="70">
        <f>Tank!V143</f>
        <v>0</v>
      </c>
      <c r="BS142" s="372">
        <f>Tank!T143</f>
        <v>0</v>
      </c>
      <c r="BT142" s="375" t="s">
        <v>228</v>
      </c>
      <c r="BU142" s="451">
        <v>71</v>
      </c>
      <c r="BV142" s="375">
        <f>IF(Tabla1[[#This Row],[Combustible ofertado]]="GAS",Tabla1[[#This Row],[Disponibilidad]],0)</f>
        <v>0</v>
      </c>
      <c r="BW142" s="375">
        <f>IF(Tabla1[[#This Row],[Combustible ofertado]]="DIESEL",Tabla1[[#This Row],[Disponibilidad]],0)</f>
        <v>71</v>
      </c>
      <c r="BX142" s="375">
        <f>IF(Tabla1[[#This Row],[Combustible ofertado]]="HFO",Tabla1[[#This Row],[Disponibilidad]],0)</f>
        <v>0</v>
      </c>
      <c r="BY142" s="456">
        <v>1440</v>
      </c>
      <c r="BZ142" s="446">
        <f>'Horo. M'!C143</f>
        <v>24</v>
      </c>
      <c r="CA142" s="446">
        <f>'Horo. M'!E143</f>
        <v>24</v>
      </c>
      <c r="CB142" s="446">
        <f>'Horo. M'!G143</f>
        <v>24</v>
      </c>
      <c r="CC142" s="446">
        <f>'Horo. M'!I143</f>
        <v>0</v>
      </c>
      <c r="CD142" s="446">
        <f>'Horo. M'!K143</f>
        <v>24</v>
      </c>
      <c r="CE142" s="446">
        <f>'Horo. M'!M143</f>
        <v>24</v>
      </c>
      <c r="CF142" s="446">
        <f>'Horo. M'!O143</f>
        <v>24</v>
      </c>
      <c r="CG142" s="446">
        <f>'Horo. M'!Q143</f>
        <v>0</v>
      </c>
      <c r="CH142" s="446">
        <f>'Horo. M'!S143</f>
        <v>24</v>
      </c>
      <c r="CI142" s="446">
        <f>'Horo. M'!U143</f>
        <v>24</v>
      </c>
      <c r="CJ142" s="70">
        <f>Tabla1[[#This Row],[Con. DO Storage '[gal']]]-Tabla1[[#This Row],[C. DO Storage Ge '[gal']]]</f>
        <v>277.38065497605584</v>
      </c>
      <c r="CK142" s="70"/>
      <c r="CL142" s="70"/>
      <c r="CM142" s="372">
        <f>Tabla1[[#This Row],[Con. DO Total '[gal']]]*131485.5/(1000000)</f>
        <v>1206.6867571203184</v>
      </c>
    </row>
    <row r="143" spans="1:91" ht="15" customHeight="1">
      <c r="A143" s="362">
        <v>45068</v>
      </c>
      <c r="B143" s="376" t="str">
        <f>TEXT(Tabla1[[#This Row],[Fecha]],"mmmm")</f>
        <v>mayo</v>
      </c>
      <c r="C143" s="429">
        <v>0</v>
      </c>
      <c r="D143" s="430">
        <v>1290</v>
      </c>
      <c r="E143" s="430">
        <v>1290</v>
      </c>
      <c r="F143" s="430">
        <v>1370</v>
      </c>
      <c r="G143" s="431">
        <v>0</v>
      </c>
      <c r="H143" s="431">
        <v>0</v>
      </c>
      <c r="I143" s="432">
        <v>3</v>
      </c>
      <c r="J143" s="432">
        <v>213</v>
      </c>
      <c r="K143" s="430">
        <v>24</v>
      </c>
      <c r="L143" s="430">
        <v>24</v>
      </c>
      <c r="M143" s="365">
        <f>Tabla1[[#This Row],[Columna1]]-Tabla1[[#This Row],[PO '[h']]]</f>
        <v>0</v>
      </c>
      <c r="N143" s="365">
        <f t="shared" si="39"/>
        <v>1583</v>
      </c>
      <c r="O143" s="430">
        <v>1370</v>
      </c>
      <c r="P143" s="367">
        <f>Tabla1[[#This Row],[G. HGS 
'[MWh']]]</f>
        <v>1370</v>
      </c>
      <c r="Q143" s="430">
        <v>0</v>
      </c>
      <c r="R143" s="367">
        <v>0</v>
      </c>
      <c r="S143" s="367">
        <f>Tabla1[[#This Row],[G. HGS 
Con Gas]]*1000</f>
        <v>1370000</v>
      </c>
      <c r="T143" s="365">
        <f>Tabla1[[#This Row],[G. HGS 
'[MWh']]]*1000</f>
        <v>1370000</v>
      </c>
      <c r="U143" s="368">
        <f>SUM('G. Un GE'!B143:Y143)</f>
        <v>1357.5198</v>
      </c>
      <c r="V143" s="369">
        <f>Tabla1[[#This Row],[R. GE
'[MWh']]]</f>
        <v>1357.5198</v>
      </c>
      <c r="W143" s="434">
        <v>0</v>
      </c>
      <c r="X143" s="369">
        <v>0</v>
      </c>
      <c r="Y143" s="365">
        <f>Tabla1[[#This Row],[R. GE
'[MWh']]]*1000</f>
        <v>1357519.8</v>
      </c>
      <c r="Z143" s="434">
        <v>37.83</v>
      </c>
      <c r="AA14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37.83</v>
      </c>
      <c r="AB143" s="371">
        <f>IF(Tabla1[[#This Row],[G. HGS 
'[MWh']]]=0,0,Tabla1[[#This Row],[G. HGS 
'[MWh']]]+Tabla1[[#This Row],[Con. Aux. '[MWh']2]])</f>
        <v>1407.83</v>
      </c>
      <c r="AC143" s="368">
        <f>'C. ENER. TN'!F143</f>
        <v>0</v>
      </c>
      <c r="AD143" s="370">
        <f>'C. ENER. TN'!G143</f>
        <v>1357.5198000000003</v>
      </c>
      <c r="AE143" s="370">
        <f>'G. Un GE'!AX143</f>
        <v>169.689975</v>
      </c>
      <c r="AF143" s="368">
        <f>IFERROR('G. Un GE'!AX143/Tabla1[[#This Row],[PO '[h']]],0)</f>
        <v>7.0704156249999999</v>
      </c>
      <c r="AG143" s="365">
        <f>'Ar-Pa'!AX143</f>
        <v>0</v>
      </c>
      <c r="AH143" s="365">
        <f>'Ar-Pa'!AY143</f>
        <v>0</v>
      </c>
      <c r="AI143" s="366">
        <f>SUM('Cal. Arr'!AB146:AY146)</f>
        <v>0</v>
      </c>
      <c r="AJ143" s="442">
        <v>31.4</v>
      </c>
      <c r="AK143" s="443">
        <v>1.8</v>
      </c>
      <c r="AL143" s="267">
        <f t="shared" si="42"/>
        <v>475.50969424466717</v>
      </c>
      <c r="AM143" s="267">
        <f>+CONVERT(AK143+Tabla1[[#This Row],[Con. DO Storage Gen. '[m3']]],"m^3","gal")</f>
        <v>8770.5121382905254</v>
      </c>
      <c r="AN143" s="372">
        <f>SUM('DO Pilot'!B143:Y143)</f>
        <v>6.2300000000000013</v>
      </c>
      <c r="AO143" s="372">
        <f t="shared" si="43"/>
        <v>1645.7918861912649</v>
      </c>
      <c r="AP143" s="267">
        <f>AK143+AN143+Tabla1[[#This Row],[Con. DO Storage Gen. '[m3']]]</f>
        <v>39.43</v>
      </c>
      <c r="AQ143" s="372">
        <f t="shared" si="49"/>
        <v>10416.304024481793</v>
      </c>
      <c r="AR143" s="443">
        <v>0</v>
      </c>
      <c r="AS143" s="443">
        <v>0</v>
      </c>
      <c r="AT143" s="267">
        <f>+CONVERT(SUM(Tabla1[[#This Row],[Repo. DO Storage '[gal']]:[Repo. DO Pilot '[gal']]]),"gal","m3")</f>
        <v>0</v>
      </c>
      <c r="AU143" s="442">
        <v>0</v>
      </c>
      <c r="AV143" s="372">
        <f t="shared" si="40"/>
        <v>0</v>
      </c>
      <c r="AW143" s="442">
        <v>0</v>
      </c>
      <c r="AX143" s="372">
        <f t="shared" si="44"/>
        <v>0</v>
      </c>
      <c r="AY143" s="372">
        <f t="shared" si="45"/>
        <v>0.34708736806180085</v>
      </c>
      <c r="AZ143" s="372">
        <f>IFERROR(AL143/'Ar-Pa'!AX143,0)</f>
        <v>0</v>
      </c>
      <c r="BA143" s="372">
        <f>IFERROR(AL143/'Ar-Pa'!AY143,0)</f>
        <v>0</v>
      </c>
      <c r="BB143" s="372">
        <f t="shared" si="46"/>
        <v>1.2013079461250109</v>
      </c>
      <c r="BC143" s="372">
        <f>IFERROR(AVERAGEIF('DO Pilot'!AX143:BU143,"&gt;0"),0)</f>
        <v>8.5718327405795023</v>
      </c>
      <c r="BD143" s="446">
        <v>326245</v>
      </c>
      <c r="BE143" s="446">
        <v>11549</v>
      </c>
      <c r="BF143" s="446">
        <v>325939</v>
      </c>
      <c r="BG143" s="223">
        <f>Tabla1[[#This Row],[ Re. Gas GC
 '[m3']]]</f>
        <v>325939</v>
      </c>
      <c r="BH143" s="150">
        <f>IFERROR((BG143*Gas!$B$3)/28.31685,0)</f>
        <v>11466.455944781994</v>
      </c>
      <c r="BI143" s="73">
        <f>BH143-BE143</f>
        <v>-82.544055218006179</v>
      </c>
      <c r="BJ143" s="74">
        <f>IFERROR(BI143/BH143,0)</f>
        <v>-7.1987417573055133E-3</v>
      </c>
      <c r="BK143" s="223">
        <f t="shared" si="47"/>
        <v>8429.9270072992695</v>
      </c>
      <c r="BL143" s="442">
        <v>8986.34</v>
      </c>
      <c r="BM143" s="70">
        <f t="shared" si="48"/>
        <v>8144.7731223102173</v>
      </c>
      <c r="BN143" s="150">
        <f t="shared" si="31"/>
        <v>8446.6215113635863</v>
      </c>
      <c r="BO143" s="373">
        <f>IFERROR(Tabla1[[#This Row],[ Re. Gas GC
 '[m3']]]/Tabla1[[#This Row],[G. HGS 
Con Gas '[kWh']]],0)</f>
        <v>0.23791167883211678</v>
      </c>
      <c r="BP143" s="374">
        <f>Tank!Y144</f>
        <v>0</v>
      </c>
      <c r="BQ143" s="70">
        <f>Tank!AP144</f>
        <v>9.6</v>
      </c>
      <c r="BR143" s="70">
        <f>Tank!V144</f>
        <v>0</v>
      </c>
      <c r="BS143" s="372">
        <f>Tank!T144</f>
        <v>0</v>
      </c>
      <c r="BT143" s="375" t="s">
        <v>228</v>
      </c>
      <c r="BU143" s="451">
        <v>71</v>
      </c>
      <c r="BV143" s="375">
        <f>IF(Tabla1[[#This Row],[Combustible ofertado]]="GAS",Tabla1[[#This Row],[Disponibilidad]],0)</f>
        <v>0</v>
      </c>
      <c r="BW143" s="375">
        <f>IF(Tabla1[[#This Row],[Combustible ofertado]]="DIESEL",Tabla1[[#This Row],[Disponibilidad]],0)</f>
        <v>71</v>
      </c>
      <c r="BX143" s="375">
        <f>IF(Tabla1[[#This Row],[Combustible ofertado]]="HFO",Tabla1[[#This Row],[Disponibilidad]],0)</f>
        <v>0</v>
      </c>
      <c r="BY143" s="456">
        <v>1440</v>
      </c>
      <c r="BZ143" s="446">
        <f>'Horo. M'!C144</f>
        <v>24</v>
      </c>
      <c r="CA143" s="446">
        <f>'Horo. M'!E144</f>
        <v>24</v>
      </c>
      <c r="CB143" s="446">
        <f>'Horo. M'!G144</f>
        <v>24</v>
      </c>
      <c r="CC143" s="446">
        <f>'Horo. M'!I144</f>
        <v>0</v>
      </c>
      <c r="CD143" s="446">
        <f>'Horo. M'!K144</f>
        <v>24</v>
      </c>
      <c r="CE143" s="446">
        <f>'Horo. M'!M144</f>
        <v>24</v>
      </c>
      <c r="CF143" s="446">
        <f>'Horo. M'!O144</f>
        <v>24</v>
      </c>
      <c r="CG143" s="446">
        <f>'Horo. M'!Q144</f>
        <v>0</v>
      </c>
      <c r="CH143" s="446">
        <f>'Horo. M'!S144</f>
        <v>24</v>
      </c>
      <c r="CI143" s="446">
        <f>'Horo. M'!U144</f>
        <v>24</v>
      </c>
      <c r="CJ143" s="70">
        <f>Tabla1[[#This Row],[Con. DO Storage '[gal']]]-Tabla1[[#This Row],[C. DO Storage Ge '[gal']]]</f>
        <v>475.50969424466717</v>
      </c>
      <c r="CK143" s="70"/>
      <c r="CL143" s="70"/>
      <c r="CM143" s="372">
        <f>Tabla1[[#This Row],[Con. DO Total '[gal']]]*131485.5/(1000000)</f>
        <v>1369.5929428110007</v>
      </c>
    </row>
    <row r="144" spans="1:91" ht="15" customHeight="1">
      <c r="A144" s="362">
        <v>45069</v>
      </c>
      <c r="B144" s="376" t="str">
        <f>TEXT(Tabla1[[#This Row],[Fecha]],"mmmm")</f>
        <v>mayo</v>
      </c>
      <c r="C144" s="429">
        <v>0</v>
      </c>
      <c r="D144" s="430">
        <v>1345</v>
      </c>
      <c r="E144" s="430">
        <v>1345</v>
      </c>
      <c r="F144" s="430">
        <v>1414</v>
      </c>
      <c r="G144" s="431">
        <v>0</v>
      </c>
      <c r="H144" s="431">
        <v>0</v>
      </c>
      <c r="I144" s="432">
        <v>6</v>
      </c>
      <c r="J144" s="432">
        <v>426</v>
      </c>
      <c r="K144" s="430">
        <v>24</v>
      </c>
      <c r="L144" s="430">
        <v>24</v>
      </c>
      <c r="M144" s="365">
        <f>Tabla1[[#This Row],[Columna1]]-Tabla1[[#This Row],[PO '[h']]]</f>
        <v>0</v>
      </c>
      <c r="N144" s="365">
        <f t="shared" si="39"/>
        <v>1840</v>
      </c>
      <c r="O144" s="430">
        <v>1414</v>
      </c>
      <c r="P144" s="367">
        <f>Tabla1[[#This Row],[G. HGS 
'[MWh']]]</f>
        <v>1414</v>
      </c>
      <c r="Q144" s="430">
        <v>0</v>
      </c>
      <c r="R144" s="367">
        <v>0</v>
      </c>
      <c r="S144" s="367">
        <f>Tabla1[[#This Row],[G. HGS 
Con Gas]]*1000</f>
        <v>1414000</v>
      </c>
      <c r="T144" s="365">
        <f>Tabla1[[#This Row],[G. HGS 
'[MWh']]]*1000</f>
        <v>1414000</v>
      </c>
      <c r="U144" s="368">
        <f>SUM('G. Un GE'!B144:Y144)</f>
        <v>1401.7280000000001</v>
      </c>
      <c r="V144" s="369">
        <f>Tabla1[[#This Row],[R. GE
'[MWh']]]</f>
        <v>1401.7280000000001</v>
      </c>
      <c r="W144" s="434">
        <v>0</v>
      </c>
      <c r="X144" s="369">
        <v>0</v>
      </c>
      <c r="Y144" s="365">
        <f>Tabla1[[#This Row],[R. GE
'[MWh']]]*1000</f>
        <v>1401728</v>
      </c>
      <c r="Z144" s="434">
        <v>37.54</v>
      </c>
      <c r="AA14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37.54</v>
      </c>
      <c r="AB144" s="371">
        <f>IF(Tabla1[[#This Row],[G. HGS 
'[MWh']]]=0,0,Tabla1[[#This Row],[G. HGS 
'[MWh']]]+Tabla1[[#This Row],[Con. Aux. '[MWh']2]])</f>
        <v>1451.54</v>
      </c>
      <c r="AC144" s="368">
        <f>'C. ENER. TN'!F144</f>
        <v>0</v>
      </c>
      <c r="AD144" s="370">
        <f>'C. ENER. TN'!G144</f>
        <v>1401.7280000000001</v>
      </c>
      <c r="AE144" s="370">
        <f>'G. Un GE'!AX144</f>
        <v>177.090125</v>
      </c>
      <c r="AF144" s="368">
        <f>IFERROR('G. Un GE'!AX144/Tabla1[[#This Row],[PO '[h']]],0)</f>
        <v>7.3787552083333336</v>
      </c>
      <c r="AG144" s="365">
        <f>'Ar-Pa'!AX144</f>
        <v>1</v>
      </c>
      <c r="AH144" s="365">
        <f>'Ar-Pa'!AY144</f>
        <v>1</v>
      </c>
      <c r="AI144" s="366">
        <f>SUM('Cal. Arr'!AB147:AY147)</f>
        <v>0</v>
      </c>
      <c r="AJ144" s="442">
        <v>78.87</v>
      </c>
      <c r="AK144" s="443">
        <v>1.1299999999999999</v>
      </c>
      <c r="AL144" s="267">
        <f t="shared" si="42"/>
        <v>298.5144191647077</v>
      </c>
      <c r="AM144" s="267">
        <f>+CONVERT(AK144+Tabla1[[#This Row],[Con. DO Storage Gen. '[m3']]],"m^3","gal")</f>
        <v>21133.764188651872</v>
      </c>
      <c r="AN144" s="372">
        <f>SUM('DO Pilot'!B144:Y144)</f>
        <v>6.3699999999999983</v>
      </c>
      <c r="AO144" s="372">
        <f t="shared" si="43"/>
        <v>1682.7759735214049</v>
      </c>
      <c r="AP144" s="267">
        <f>AK144+AN144+Tabla1[[#This Row],[Con. DO Storage Gen. '[m3']]]</f>
        <v>86.37</v>
      </c>
      <c r="AQ144" s="372">
        <f t="shared" si="49"/>
        <v>22816.540162173278</v>
      </c>
      <c r="AR144" s="443">
        <v>10993</v>
      </c>
      <c r="AS144" s="443">
        <v>11012</v>
      </c>
      <c r="AT144" s="267">
        <f>+CONVERT(SUM(Tabla1[[#This Row],[Repo. DO Storage '[gal']]:[Repo. DO Pilot '[gal']]]),"gal","m3")</f>
        <v>83.297986306919995</v>
      </c>
      <c r="AU144" s="442">
        <v>0</v>
      </c>
      <c r="AV144" s="372">
        <f t="shared" si="40"/>
        <v>0</v>
      </c>
      <c r="AW144" s="442">
        <v>0</v>
      </c>
      <c r="AX144" s="372">
        <f t="shared" si="44"/>
        <v>0</v>
      </c>
      <c r="AY144" s="372">
        <f t="shared" si="45"/>
        <v>0.21111345061153303</v>
      </c>
      <c r="AZ144" s="372">
        <f>IFERROR(AL144/'Ar-Pa'!AX144,0)</f>
        <v>298.5144191647077</v>
      </c>
      <c r="BA144" s="372">
        <f>IFERROR(AL144/'Ar-Pa'!AY144,0)</f>
        <v>298.5144191647077</v>
      </c>
      <c r="BB144" s="372">
        <f t="shared" si="46"/>
        <v>1.1900820180490841</v>
      </c>
      <c r="BC144" s="372">
        <f>IFERROR(AVERAGEIF('DO Pilot'!AX144:BU144,"&gt;0"),0)</f>
        <v>8.8588053569804686</v>
      </c>
      <c r="BD144" s="446">
        <v>291176</v>
      </c>
      <c r="BE144" s="446">
        <v>10307</v>
      </c>
      <c r="BF144" s="446">
        <v>291176</v>
      </c>
      <c r="BG144" s="223">
        <f>Tabla1[[#This Row],[ Re. Gas GC
 '[m3']]]</f>
        <v>291176</v>
      </c>
      <c r="BH144" s="150">
        <f>IFERROR((BG144*Gas!$B$3)/28.31685,0)</f>
        <v>10243.501931888612</v>
      </c>
      <c r="BI144" s="73">
        <f t="shared" si="41"/>
        <v>-63.49806811138842</v>
      </c>
      <c r="BJ144" s="74">
        <f>IFERROR(BI144/BH144,0)</f>
        <v>-6.198863292417145E-3</v>
      </c>
      <c r="BK144" s="223">
        <f t="shared" si="47"/>
        <v>7289.2503536067888</v>
      </c>
      <c r="BL144" s="442">
        <v>9056.3700000000008</v>
      </c>
      <c r="BM144" s="70">
        <f t="shared" si="48"/>
        <v>7056.9890818638223</v>
      </c>
      <c r="BN144" s="150">
        <f t="shared" ref="BN144:BN207" si="51">IFERROR((BH144/V144)*1000,0)</f>
        <v>7307.7672215213015</v>
      </c>
      <c r="BO144" s="373">
        <f>IFERROR(Tabla1[[#This Row],[ Re. Gas GC
 '[m3']]]/Tabla1[[#This Row],[G. HGS 
Con Gas '[kWh']]],0)</f>
        <v>0.20592362093352193</v>
      </c>
      <c r="BP144" s="374">
        <f>Tank!Y145</f>
        <v>0</v>
      </c>
      <c r="BQ144" s="70">
        <f>Tank!AP145</f>
        <v>0</v>
      </c>
      <c r="BR144" s="70">
        <f>Tank!V145</f>
        <v>0</v>
      </c>
      <c r="BS144" s="372">
        <f>Tank!T145</f>
        <v>0</v>
      </c>
      <c r="BT144" s="375" t="s">
        <v>228</v>
      </c>
      <c r="BU144" s="451">
        <v>71</v>
      </c>
      <c r="BV144" s="375">
        <f>IF(Tabla1[[#This Row],[Combustible ofertado]]="GAS",Tabla1[[#This Row],[Disponibilidad]],0)</f>
        <v>0</v>
      </c>
      <c r="BW144" s="375">
        <f>IF(Tabla1[[#This Row],[Combustible ofertado]]="DIESEL",Tabla1[[#This Row],[Disponibilidad]],0)</f>
        <v>71</v>
      </c>
      <c r="BX144" s="375">
        <f>IF(Tabla1[[#This Row],[Combustible ofertado]]="HFO",Tabla1[[#This Row],[Disponibilidad]],0)</f>
        <v>0</v>
      </c>
      <c r="BY144" s="456">
        <v>1440</v>
      </c>
      <c r="BZ144" s="446">
        <f>'Horo. M'!C145</f>
        <v>24</v>
      </c>
      <c r="CA144" s="446">
        <f>'Horo. M'!E145</f>
        <v>24</v>
      </c>
      <c r="CB144" s="446">
        <f>'Horo. M'!G145</f>
        <v>24</v>
      </c>
      <c r="CC144" s="446">
        <f>'Horo. M'!I145</f>
        <v>0</v>
      </c>
      <c r="CD144" s="446">
        <f>'Horo. M'!K145</f>
        <v>22</v>
      </c>
      <c r="CE144" s="446">
        <f>'Horo. M'!M145</f>
        <v>24</v>
      </c>
      <c r="CF144" s="446">
        <f>'Horo. M'!O145</f>
        <v>24</v>
      </c>
      <c r="CG144" s="446">
        <f>'Horo. M'!Q145</f>
        <v>0</v>
      </c>
      <c r="CH144" s="446">
        <f>'Horo. M'!S145</f>
        <v>24</v>
      </c>
      <c r="CI144" s="446">
        <f>'Horo. M'!U145</f>
        <v>24</v>
      </c>
      <c r="CJ144" s="70">
        <f>Tabla1[[#This Row],[Con. DO Storage '[gal']]]-Tabla1[[#This Row],[C. DO Storage Ge '[gal']]]</f>
        <v>298.5144191647077</v>
      </c>
      <c r="CK144" s="70"/>
      <c r="CL144" s="70"/>
      <c r="CM144" s="372">
        <f>Tabla1[[#This Row],[Con. DO Total '[gal']]]*131485.5/(1000000)</f>
        <v>3000.0441914934345</v>
      </c>
    </row>
    <row r="145" spans="1:91" ht="15" customHeight="1">
      <c r="A145" s="362">
        <v>45070</v>
      </c>
      <c r="B145" s="376" t="str">
        <f>TEXT(Tabla1[[#This Row],[Fecha]],"mmmm")</f>
        <v>mayo</v>
      </c>
      <c r="C145" s="429">
        <v>0</v>
      </c>
      <c r="D145" s="430">
        <v>1437</v>
      </c>
      <c r="E145" s="430">
        <v>1437</v>
      </c>
      <c r="F145" s="430">
        <v>1408</v>
      </c>
      <c r="G145" s="431">
        <v>0</v>
      </c>
      <c r="H145" s="431">
        <v>0</v>
      </c>
      <c r="I145" s="432">
        <v>1</v>
      </c>
      <c r="J145" s="432">
        <v>71</v>
      </c>
      <c r="K145" s="430">
        <v>24</v>
      </c>
      <c r="L145" s="430">
        <v>24</v>
      </c>
      <c r="M145" s="365">
        <f>Tabla1[[#This Row],[Columna1]]-Tabla1[[#This Row],[PO '[h']]]</f>
        <v>0</v>
      </c>
      <c r="N145" s="365">
        <f t="shared" si="39"/>
        <v>1479</v>
      </c>
      <c r="O145" s="430">
        <v>1408</v>
      </c>
      <c r="P145" s="367">
        <f>Tabla1[[#This Row],[G. HGS 
'[MWh']]]</f>
        <v>1408</v>
      </c>
      <c r="Q145" s="430">
        <v>0</v>
      </c>
      <c r="R145" s="367">
        <v>0</v>
      </c>
      <c r="S145" s="367">
        <f>Tabla1[[#This Row],[G. HGS 
Con Gas]]*1000</f>
        <v>1408000</v>
      </c>
      <c r="T145" s="365">
        <f>Tabla1[[#This Row],[G. HGS 
'[MWh']]]*1000</f>
        <v>1408000</v>
      </c>
      <c r="U145" s="368">
        <f>SUM('G. Un GE'!B145:Y145)</f>
        <v>1394.0219000000002</v>
      </c>
      <c r="V145" s="369">
        <f>Tabla1[[#This Row],[R. GE
'[MWh']]]</f>
        <v>1394.0219000000002</v>
      </c>
      <c r="W145" s="434">
        <v>0</v>
      </c>
      <c r="X145" s="369">
        <v>0</v>
      </c>
      <c r="Y145" s="365">
        <f>Tabla1[[#This Row],[R. GE
'[MWh']]]*1000</f>
        <v>1394021.9000000001</v>
      </c>
      <c r="Z145" s="434">
        <v>37.78</v>
      </c>
      <c r="AA14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37.78</v>
      </c>
      <c r="AB145" s="371">
        <f>IF(Tabla1[[#This Row],[G. HGS 
'[MWh']]]=0,0,Tabla1[[#This Row],[G. HGS 
'[MWh']]]+Tabla1[[#This Row],[Con. Aux. '[MWh']2]])</f>
        <v>1445.78</v>
      </c>
      <c r="AC145" s="368">
        <f>'C. ENER. TN'!F145</f>
        <v>0</v>
      </c>
      <c r="AD145" s="370">
        <f>'C. ENER. TN'!G145</f>
        <v>1394.0219</v>
      </c>
      <c r="AE145" s="370">
        <f>'G. Un GE'!AX145</f>
        <v>174.25273750000002</v>
      </c>
      <c r="AF145" s="368">
        <f>IFERROR('G. Un GE'!AX145/Tabla1[[#This Row],[PO '[h']]],0)</f>
        <v>7.2605307291666676</v>
      </c>
      <c r="AG145" s="365">
        <f>'Ar-Pa'!AX145</f>
        <v>0</v>
      </c>
      <c r="AH145" s="365">
        <f>'Ar-Pa'!AY145</f>
        <v>0</v>
      </c>
      <c r="AI145" s="366">
        <f>SUM('Cal. Arr'!AB148:AY148)</f>
        <v>0</v>
      </c>
      <c r="AJ145" s="442">
        <v>42.8</v>
      </c>
      <c r="AK145" s="443">
        <v>1.6</v>
      </c>
      <c r="AL145" s="267">
        <f t="shared" si="42"/>
        <v>422.67528377303745</v>
      </c>
      <c r="AM145" s="267">
        <f>+CONVERT(AK145+Tabla1[[#This Row],[Con. DO Storage Gen. '[m3']]],"m^3","gal")</f>
        <v>11729.239124701789</v>
      </c>
      <c r="AN145" s="372">
        <f>SUM('DO Pilot'!B145:Y145)</f>
        <v>6.4499999999999975</v>
      </c>
      <c r="AO145" s="372">
        <f t="shared" si="43"/>
        <v>1703.9097377100566</v>
      </c>
      <c r="AP145" s="267">
        <f>AK145+AN145+Tabla1[[#This Row],[Con. DO Storage Gen. '[m3']]]</f>
        <v>50.849999999999994</v>
      </c>
      <c r="AQ145" s="372">
        <f t="shared" si="49"/>
        <v>13433.148862411845</v>
      </c>
      <c r="AR145" s="443">
        <v>21987</v>
      </c>
      <c r="AS145" s="443">
        <v>0</v>
      </c>
      <c r="AT145" s="267">
        <f>+CONVERT(SUM(Tabla1[[#This Row],[Repo. DO Storage '[gal']]:[Repo. DO Pilot '[gal']]]),"gal","m3")</f>
        <v>83.229848894808001</v>
      </c>
      <c r="AU145" s="442">
        <v>0</v>
      </c>
      <c r="AV145" s="372">
        <f t="shared" si="40"/>
        <v>0</v>
      </c>
      <c r="AW145" s="442">
        <v>0</v>
      </c>
      <c r="AX145" s="372">
        <f t="shared" si="44"/>
        <v>0</v>
      </c>
      <c r="AY145" s="372">
        <f t="shared" si="45"/>
        <v>0.30019551404335049</v>
      </c>
      <c r="AZ145" s="372">
        <f>IFERROR(AL145/'Ar-Pa'!AX145,0)</f>
        <v>0</v>
      </c>
      <c r="BA145" s="372">
        <f>IFERROR(AL145/'Ar-Pa'!AY145,0)</f>
        <v>0</v>
      </c>
      <c r="BB145" s="372">
        <f t="shared" si="46"/>
        <v>1.210163165987256</v>
      </c>
      <c r="BC145" s="372">
        <f>IFERROR(AVERAGEIF('DO Pilot'!AX145:BU145,"&gt;0"),0)</f>
        <v>8.8745298839065505</v>
      </c>
      <c r="BD145" s="446">
        <v>323560</v>
      </c>
      <c r="BE145" s="446">
        <v>11454</v>
      </c>
      <c r="BF145" s="446">
        <v>323551</v>
      </c>
      <c r="BG145" s="223">
        <f>Tabla1[[#This Row],[ Re. Gas GC
 '[m3']]]</f>
        <v>323551</v>
      </c>
      <c r="BH145" s="150">
        <f>IFERROR((BG145*Gas!$B$3)/28.31685,0)</f>
        <v>11382.446676801976</v>
      </c>
      <c r="BI145" s="73">
        <f t="shared" si="41"/>
        <v>-71.553323198024373</v>
      </c>
      <c r="BJ145" s="74">
        <f t="shared" si="50"/>
        <v>-6.2862867035304287E-3</v>
      </c>
      <c r="BK145" s="223">
        <f t="shared" si="47"/>
        <v>8134.943181818182</v>
      </c>
      <c r="BL145" s="442">
        <v>8973.5499999999993</v>
      </c>
      <c r="BM145" s="70">
        <f t="shared" si="48"/>
        <v>7872.8760093527198</v>
      </c>
      <c r="BN145" s="150">
        <f t="shared" si="51"/>
        <v>8165.1849779418626</v>
      </c>
      <c r="BO145" s="373">
        <f>IFERROR(Tabla1[[#This Row],[ Re. Gas GC
 '[m3']]]/Tabla1[[#This Row],[G. HGS 
Con Gas '[kWh']]],0)</f>
        <v>0.22979474431818181</v>
      </c>
      <c r="BP145" s="374">
        <f>Tank!Y146</f>
        <v>28.235386496855998</v>
      </c>
      <c r="BQ145" s="70">
        <f>Tank!AP146</f>
        <v>0</v>
      </c>
      <c r="BR145" s="70">
        <f>Tank!V146</f>
        <v>0</v>
      </c>
      <c r="BS145" s="372">
        <f>Tank!T146</f>
        <v>0</v>
      </c>
      <c r="BT145" s="375" t="s">
        <v>228</v>
      </c>
      <c r="BU145" s="451">
        <v>71</v>
      </c>
      <c r="BV145" s="375">
        <f>IF(Tabla1[[#This Row],[Combustible ofertado]]="GAS",Tabla1[[#This Row],[Disponibilidad]],0)</f>
        <v>0</v>
      </c>
      <c r="BW145" s="375">
        <f>IF(Tabla1[[#This Row],[Combustible ofertado]]="DIESEL",Tabla1[[#This Row],[Disponibilidad]],0)</f>
        <v>71</v>
      </c>
      <c r="BX145" s="375">
        <f>IF(Tabla1[[#This Row],[Combustible ofertado]]="HFO",Tabla1[[#This Row],[Disponibilidad]],0)</f>
        <v>0</v>
      </c>
      <c r="BY145" s="456">
        <v>1440</v>
      </c>
      <c r="BZ145" s="446">
        <f>'Horo. M'!C146</f>
        <v>24</v>
      </c>
      <c r="CA145" s="446">
        <f>'Horo. M'!E146</f>
        <v>24</v>
      </c>
      <c r="CB145" s="446">
        <f>'Horo. M'!G146</f>
        <v>24</v>
      </c>
      <c r="CC145" s="446">
        <f>'Horo. M'!I146</f>
        <v>0</v>
      </c>
      <c r="CD145" s="446">
        <f>'Horo. M'!K146</f>
        <v>24</v>
      </c>
      <c r="CE145" s="446">
        <f>'Horo. M'!M146</f>
        <v>24</v>
      </c>
      <c r="CF145" s="446">
        <f>'Horo. M'!O146</f>
        <v>24</v>
      </c>
      <c r="CG145" s="446">
        <f>'Horo. M'!Q146</f>
        <v>0</v>
      </c>
      <c r="CH145" s="446">
        <f>'Horo. M'!S146</f>
        <v>24</v>
      </c>
      <c r="CI145" s="446">
        <f>'Horo. M'!U146</f>
        <v>24</v>
      </c>
      <c r="CJ145" s="70">
        <f>Tabla1[[#This Row],[Con. DO Storage '[gal']]]-Tabla1[[#This Row],[C. DO Storage Ge '[gal']]]</f>
        <v>422.67528377303745</v>
      </c>
      <c r="CK145" s="70"/>
      <c r="CL145" s="70"/>
      <c r="CM145" s="372">
        <f>Tabla1[[#This Row],[Con. DO Total '[gal']]]*131485.5/(1000000)</f>
        <v>1766.2642947486527</v>
      </c>
    </row>
    <row r="146" spans="1:91" ht="15" customHeight="1">
      <c r="A146" s="362">
        <v>45071</v>
      </c>
      <c r="B146" s="376" t="str">
        <f>TEXT(Tabla1[[#This Row],[Fecha]],"mmmm")</f>
        <v>mayo</v>
      </c>
      <c r="C146" s="429">
        <v>0</v>
      </c>
      <c r="D146" s="430">
        <v>1395</v>
      </c>
      <c r="E146" s="430">
        <v>1395</v>
      </c>
      <c r="F146" s="430">
        <v>1398</v>
      </c>
      <c r="G146" s="431">
        <v>0</v>
      </c>
      <c r="H146" s="431">
        <v>0</v>
      </c>
      <c r="I146" s="432">
        <v>0</v>
      </c>
      <c r="J146" s="432">
        <v>0</v>
      </c>
      <c r="K146" s="430">
        <v>24</v>
      </c>
      <c r="L146" s="430">
        <v>24</v>
      </c>
      <c r="M146" s="365">
        <f>Tabla1[[#This Row],[Columna1]]-Tabla1[[#This Row],[PO '[h']]]</f>
        <v>0</v>
      </c>
      <c r="N146" s="365">
        <f t="shared" si="39"/>
        <v>1398</v>
      </c>
      <c r="O146" s="430">
        <v>1398</v>
      </c>
      <c r="P146" s="367">
        <f>Tabla1[[#This Row],[G. HGS 
'[MWh']]]</f>
        <v>1398</v>
      </c>
      <c r="Q146" s="430">
        <v>0</v>
      </c>
      <c r="R146" s="367">
        <v>0</v>
      </c>
      <c r="S146" s="367">
        <f>Tabla1[[#This Row],[G. HGS 
Con Gas]]*1000</f>
        <v>1398000</v>
      </c>
      <c r="T146" s="365">
        <f>Tabla1[[#This Row],[G. HGS 
'[MWh']]]*1000</f>
        <v>1398000</v>
      </c>
      <c r="U146" s="368">
        <f>SUM('G. Un GE'!B146:Y146)</f>
        <v>1386.5944999999997</v>
      </c>
      <c r="V146" s="369">
        <f>Tabla1[[#This Row],[R. GE
'[MWh']]]</f>
        <v>1386.5944999999997</v>
      </c>
      <c r="W146" s="434">
        <v>0</v>
      </c>
      <c r="X146" s="369">
        <v>0</v>
      </c>
      <c r="Y146" s="365">
        <f>Tabla1[[#This Row],[R. GE
'[MWh']]]*1000</f>
        <v>1386594.4999999998</v>
      </c>
      <c r="Z146" s="434">
        <v>37.869999999999997</v>
      </c>
      <c r="AA14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37.869999999999997</v>
      </c>
      <c r="AB146" s="371">
        <f>IF(Tabla1[[#This Row],[G. HGS 
'[MWh']]]=0,0,Tabla1[[#This Row],[G. HGS 
'[MWh']]]+Tabla1[[#This Row],[Con. Aux. '[MWh']2]])</f>
        <v>1435.87</v>
      </c>
      <c r="AC146" s="368">
        <f>'C. ENER. TN'!F146</f>
        <v>0</v>
      </c>
      <c r="AD146" s="370">
        <f>'C. ENER. TN'!G146</f>
        <v>1386.5944999999999</v>
      </c>
      <c r="AE146" s="370">
        <f>'G. Un GE'!AX146</f>
        <v>192.45118392857145</v>
      </c>
      <c r="AF146" s="368">
        <f>IFERROR('G. Un GE'!AX146/Tabla1[[#This Row],[PO '[h']]],0)</f>
        <v>8.0187993303571439</v>
      </c>
      <c r="AG146" s="365">
        <f>'Ar-Pa'!AX146</f>
        <v>0</v>
      </c>
      <c r="AH146" s="365">
        <f>'Ar-Pa'!AY146</f>
        <v>1</v>
      </c>
      <c r="AI146" s="366">
        <f>SUM('Cal. Arr'!AB149:AY149)</f>
        <v>0</v>
      </c>
      <c r="AJ146" s="442">
        <v>29.5</v>
      </c>
      <c r="AK146" s="443">
        <v>1.4</v>
      </c>
      <c r="AL146" s="267">
        <f t="shared" si="42"/>
        <v>369.84087330140778</v>
      </c>
      <c r="AM146" s="267">
        <f>+CONVERT(AK146+Tabla1[[#This Row],[Con. DO Storage Gen. '[m3']]],"m^3","gal")</f>
        <v>8162.9164178667861</v>
      </c>
      <c r="AN146" s="372">
        <f>SUM('DO Pilot'!B146:Y146)</f>
        <v>6.45</v>
      </c>
      <c r="AO146" s="372">
        <f t="shared" si="43"/>
        <v>1703.9097377100572</v>
      </c>
      <c r="AP146" s="267">
        <f>AK146+AN146+Tabla1[[#This Row],[Con. DO Storage Gen. '[m3']]]</f>
        <v>37.35</v>
      </c>
      <c r="AQ146" s="372">
        <f t="shared" si="49"/>
        <v>9866.826155576844</v>
      </c>
      <c r="AR146" s="443">
        <v>22021</v>
      </c>
      <c r="AS146" s="443">
        <v>0</v>
      </c>
      <c r="AT146" s="267">
        <f>+CONVERT(SUM(Tabla1[[#This Row],[Repo. DO Storage '[gal']]:[Repo. DO Pilot '[gal']]]),"gal","m3")</f>
        <v>83.358552895464001</v>
      </c>
      <c r="AU146" s="442">
        <v>0</v>
      </c>
      <c r="AV146" s="372">
        <f t="shared" si="40"/>
        <v>0</v>
      </c>
      <c r="AW146" s="442">
        <v>0</v>
      </c>
      <c r="AX146" s="372">
        <f t="shared" si="44"/>
        <v>0</v>
      </c>
      <c r="AY146" s="372">
        <f t="shared" si="45"/>
        <v>0.26454998090229453</v>
      </c>
      <c r="AZ146" s="372">
        <f>IFERROR(AL146/'Ar-Pa'!AX146,0)</f>
        <v>0</v>
      </c>
      <c r="BA146" s="372">
        <f>IFERROR(AL146/'Ar-Pa'!AY146,0)</f>
        <v>369.84087330140778</v>
      </c>
      <c r="BB146" s="372">
        <f t="shared" si="46"/>
        <v>1.2188195548712857</v>
      </c>
      <c r="BC146" s="372">
        <f>IFERROR(AVERAGEIF('DO Pilot'!AX146:BU146,"&gt;0"),0)</f>
        <v>9.8533816850550426</v>
      </c>
      <c r="BD146" s="446">
        <v>333657</v>
      </c>
      <c r="BE146" s="446">
        <v>11811</v>
      </c>
      <c r="BF146" s="446">
        <v>333656</v>
      </c>
      <c r="BG146" s="223">
        <f>Tabla1[[#This Row],[ Re. Gas GC
 '[m3']]]</f>
        <v>333656</v>
      </c>
      <c r="BH146" s="150">
        <f>IFERROR((BG146*Gas!$B$3)/28.31685,0)</f>
        <v>11737.938156256787</v>
      </c>
      <c r="BI146" s="73">
        <f t="shared" si="41"/>
        <v>-73.061843743213103</v>
      </c>
      <c r="BJ146" s="74">
        <f t="shared" si="50"/>
        <v>-6.2244188690215784E-3</v>
      </c>
      <c r="BK146" s="223">
        <f t="shared" si="47"/>
        <v>8448.4978540772536</v>
      </c>
      <c r="BL146" s="442">
        <v>9042.24</v>
      </c>
      <c r="BM146" s="70">
        <f t="shared" si="48"/>
        <v>8174.7916985916472</v>
      </c>
      <c r="BN146" s="150">
        <f t="shared" si="51"/>
        <v>8465.299809177659</v>
      </c>
      <c r="BO146" s="373">
        <f>IFERROR(Tabla1[[#This Row],[ Re. Gas GC
 '[m3']]]/Tabla1[[#This Row],[G. HGS 
Con Gas '[kWh']]],0)</f>
        <v>0.23866666666666667</v>
      </c>
      <c r="BP146" s="374">
        <f>Tank!Y147</f>
        <v>0</v>
      </c>
      <c r="BQ146" s="70">
        <f>Tank!AP147</f>
        <v>0</v>
      </c>
      <c r="BR146" s="70">
        <f>Tank!V147</f>
        <v>0</v>
      </c>
      <c r="BS146" s="372">
        <f>Tank!T147</f>
        <v>0</v>
      </c>
      <c r="BT146" s="375" t="s">
        <v>228</v>
      </c>
      <c r="BU146" s="451">
        <v>71</v>
      </c>
      <c r="BV146" s="375">
        <f>IF(Tabla1[[#This Row],[Combustible ofertado]]="GAS",Tabla1[[#This Row],[Disponibilidad]],0)</f>
        <v>0</v>
      </c>
      <c r="BW146" s="375">
        <f>IF(Tabla1[[#This Row],[Combustible ofertado]]="DIESEL",Tabla1[[#This Row],[Disponibilidad]],0)</f>
        <v>71</v>
      </c>
      <c r="BX146" s="375">
        <f>IF(Tabla1[[#This Row],[Combustible ofertado]]="HFO",Tabla1[[#This Row],[Disponibilidad]],0)</f>
        <v>0</v>
      </c>
      <c r="BY146" s="456">
        <v>1440</v>
      </c>
      <c r="BZ146" s="446">
        <f>'Horo. M'!C147</f>
        <v>24</v>
      </c>
      <c r="CA146" s="446">
        <f>'Horo. M'!E147</f>
        <v>24</v>
      </c>
      <c r="CB146" s="446">
        <f>'Horo. M'!G147</f>
        <v>24</v>
      </c>
      <c r="CC146" s="446">
        <f>'Horo. M'!I147</f>
        <v>0</v>
      </c>
      <c r="CD146" s="446">
        <f>'Horo. M'!K147</f>
        <v>24</v>
      </c>
      <c r="CE146" s="446">
        <f>'Horo. M'!M147</f>
        <v>24</v>
      </c>
      <c r="CF146" s="446">
        <f>'Horo. M'!O147</f>
        <v>24</v>
      </c>
      <c r="CG146" s="446">
        <f>'Horo. M'!Q147</f>
        <v>0</v>
      </c>
      <c r="CH146" s="446">
        <f>'Horo. M'!S147</f>
        <v>24</v>
      </c>
      <c r="CI146" s="446">
        <f>'Horo. M'!U147</f>
        <v>24</v>
      </c>
      <c r="CJ146" s="70">
        <f>Tabla1[[#This Row],[Con. DO Storage '[gal']]]-Tabla1[[#This Row],[C. DO Storage Ge '[gal']]]</f>
        <v>369.84087330140778</v>
      </c>
      <c r="CK146" s="70"/>
      <c r="CL146" s="70"/>
      <c r="CM146" s="372">
        <f>Tabla1[[#This Row],[Con. DO Total '[gal']]]*131485.5/(1000000)</f>
        <v>1297.344570479099</v>
      </c>
    </row>
    <row r="147" spans="1:91" ht="15" customHeight="1">
      <c r="A147" s="362">
        <v>45072</v>
      </c>
      <c r="B147" s="376" t="str">
        <f>TEXT(Tabla1[[#This Row],[Fecha]],"mmmm")</f>
        <v>mayo</v>
      </c>
      <c r="C147" s="429">
        <v>0</v>
      </c>
      <c r="D147" s="429">
        <v>1325</v>
      </c>
      <c r="E147" s="429">
        <v>1325</v>
      </c>
      <c r="F147" s="430">
        <v>1347</v>
      </c>
      <c r="G147" s="431">
        <v>1</v>
      </c>
      <c r="H147" s="431">
        <v>54</v>
      </c>
      <c r="I147" s="432">
        <v>0</v>
      </c>
      <c r="J147" s="432">
        <v>0</v>
      </c>
      <c r="K147" s="430">
        <v>24</v>
      </c>
      <c r="L147" s="430">
        <v>24</v>
      </c>
      <c r="M147" s="365">
        <f>Tabla1[[#This Row],[Columna1]]-Tabla1[[#This Row],[PO '[h']]]</f>
        <v>0</v>
      </c>
      <c r="N147" s="365">
        <f t="shared" si="39"/>
        <v>1401</v>
      </c>
      <c r="O147" s="430">
        <v>1347</v>
      </c>
      <c r="P147" s="367">
        <f>Tabla1[[#This Row],[G. HGS 
'[MWh']]]</f>
        <v>1347</v>
      </c>
      <c r="Q147" s="430">
        <v>0</v>
      </c>
      <c r="R147" s="367">
        <v>0</v>
      </c>
      <c r="S147" s="367">
        <f>Tabla1[[#This Row],[G. HGS 
Con Gas]]*1000</f>
        <v>1347000</v>
      </c>
      <c r="T147" s="365">
        <f>Tabla1[[#This Row],[G. HGS 
'[MWh']]]*1000</f>
        <v>1347000</v>
      </c>
      <c r="U147" s="368">
        <f>SUM('G. Un GE'!B147:Y147)</f>
        <v>1333.2207000000001</v>
      </c>
      <c r="V147" s="369">
        <f>Tabla1[[#This Row],[R. GE
'[MWh']]]</f>
        <v>1333.2207000000001</v>
      </c>
      <c r="W147" s="434">
        <v>0</v>
      </c>
      <c r="X147" s="369">
        <v>0</v>
      </c>
      <c r="Y147" s="365">
        <f>Tabla1[[#This Row],[R. GE
'[MWh']]]*1000</f>
        <v>1333220.7000000002</v>
      </c>
      <c r="Z147" s="434">
        <v>37.85</v>
      </c>
      <c r="AA14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37.85</v>
      </c>
      <c r="AB147" s="371">
        <f>IF(Tabla1[[#This Row],[G. HGS 
'[MWh']]]=0,0,Tabla1[[#This Row],[G. HGS 
'[MWh']]]+Tabla1[[#This Row],[Con. Aux. '[MWh']2]])</f>
        <v>1384.85</v>
      </c>
      <c r="AC147" s="368">
        <f>'C. ENER. TN'!F147</f>
        <v>0</v>
      </c>
      <c r="AD147" s="370">
        <f>'C. ENER. TN'!G147</f>
        <v>1333.2206999999999</v>
      </c>
      <c r="AE147" s="370">
        <f>'G. Un GE'!AX147</f>
        <v>191.74196666666663</v>
      </c>
      <c r="AF147" s="368">
        <f>IFERROR('G. Un GE'!AX147/Tabla1[[#This Row],[PO '[h']]],0)</f>
        <v>7.9892486111111092</v>
      </c>
      <c r="AG147" s="365">
        <f>'Ar-Pa'!AX147</f>
        <v>1</v>
      </c>
      <c r="AH147" s="365">
        <f>'Ar-Pa'!AY147</f>
        <v>1</v>
      </c>
      <c r="AI147" s="366">
        <f>SUM('Cal. Arr'!AB150:AY150)</f>
        <v>0</v>
      </c>
      <c r="AJ147" s="442">
        <v>31.6</v>
      </c>
      <c r="AK147" s="443">
        <v>1.4</v>
      </c>
      <c r="AL147" s="267">
        <f t="shared" si="42"/>
        <v>369.84087330140778</v>
      </c>
      <c r="AM147" s="267">
        <f>+CONVERT(AK147+Tabla1[[#This Row],[Con. DO Storage Gen. '[m3']]],"m^3","gal")</f>
        <v>8717.6777278188983</v>
      </c>
      <c r="AN147" s="372">
        <f>SUM('DO Pilot'!B147:Y147)</f>
        <v>7.1300000000000008</v>
      </c>
      <c r="AO147" s="372">
        <f t="shared" si="43"/>
        <v>1883.5467333135985</v>
      </c>
      <c r="AP147" s="267">
        <f>AK147+AN147+Tabla1[[#This Row],[Con. DO Storage Gen. '[m3']]]</f>
        <v>40.130000000000003</v>
      </c>
      <c r="AQ147" s="372">
        <f t="shared" si="49"/>
        <v>10601.224461132497</v>
      </c>
      <c r="AR147" s="443">
        <v>22017</v>
      </c>
      <c r="AS147" s="443">
        <v>0</v>
      </c>
      <c r="AT147" s="267">
        <f>+CONVERT(SUM(Tabla1[[#This Row],[Repo. DO Storage '[gal']]:[Repo. DO Pilot '[gal']]]),"gal","m3")</f>
        <v>83.34341124832801</v>
      </c>
      <c r="AU147" s="442">
        <v>0</v>
      </c>
      <c r="AV147" s="372">
        <f t="shared" si="40"/>
        <v>0</v>
      </c>
      <c r="AW147" s="442">
        <v>0</v>
      </c>
      <c r="AX147" s="372">
        <f t="shared" si="44"/>
        <v>0</v>
      </c>
      <c r="AY147" s="372">
        <f t="shared" si="45"/>
        <v>0.27456634988968653</v>
      </c>
      <c r="AZ147" s="372">
        <f>IFERROR(AL147/'Ar-Pa'!AX147,0)</f>
        <v>369.84087330140778</v>
      </c>
      <c r="BA147" s="372">
        <f>IFERROR(AL147/'Ar-Pa'!AY147,0)</f>
        <v>369.84087330140778</v>
      </c>
      <c r="BB147" s="372">
        <f t="shared" si="46"/>
        <v>1.3983271962239039</v>
      </c>
      <c r="BC147" s="372">
        <f>IFERROR(AVERAGEIF('DO Pilot'!AX147:BU147,"&gt;0"),0)</f>
        <v>11.290210332925627</v>
      </c>
      <c r="BD147" s="446">
        <v>319749</v>
      </c>
      <c r="BE147" s="446">
        <v>11319</v>
      </c>
      <c r="BF147" s="446">
        <v>319744</v>
      </c>
      <c r="BG147" s="223">
        <f>Tabla1[[#This Row],[ Re. Gas GC
 '[m3']]]</f>
        <v>319744</v>
      </c>
      <c r="BH147" s="150">
        <f>IFERROR((BG147*Gas!$B$3)/28.31685,0)</f>
        <v>11248.517328728301</v>
      </c>
      <c r="BI147" s="73">
        <f t="shared" si="41"/>
        <v>-70.482671271698564</v>
      </c>
      <c r="BJ147" s="74">
        <f t="shared" si="50"/>
        <v>-6.2659521439050814E-3</v>
      </c>
      <c r="BK147" s="223">
        <f t="shared" si="47"/>
        <v>8403.1180400890862</v>
      </c>
      <c r="BL147" s="442">
        <v>9027.26</v>
      </c>
      <c r="BM147" s="70">
        <f t="shared" si="48"/>
        <v>8122.5528604024275</v>
      </c>
      <c r="BN147" s="150">
        <f t="shared" si="51"/>
        <v>8437.1007206296017</v>
      </c>
      <c r="BO147" s="373">
        <f>IFERROR(Tabla1[[#This Row],[ Re. Gas GC
 '[m3']]]/Tabla1[[#This Row],[G. HGS 
Con Gas '[kWh']]],0)</f>
        <v>0.23737490720118781</v>
      </c>
      <c r="BP147" s="374">
        <f>Tank!Y148</f>
        <v>0</v>
      </c>
      <c r="BQ147" s="70">
        <f>Tank!AP148</f>
        <v>0</v>
      </c>
      <c r="BR147" s="70">
        <f>Tank!V148</f>
        <v>0</v>
      </c>
      <c r="BS147" s="372">
        <f>Tank!T148</f>
        <v>0</v>
      </c>
      <c r="BT147" s="375" t="s">
        <v>228</v>
      </c>
      <c r="BU147" s="451">
        <v>71</v>
      </c>
      <c r="BV147" s="375">
        <f>IF(Tabla1[[#This Row],[Combustible ofertado]]="GAS",Tabla1[[#This Row],[Disponibilidad]],0)</f>
        <v>0</v>
      </c>
      <c r="BW147" s="375">
        <f>IF(Tabla1[[#This Row],[Combustible ofertado]]="DIESEL",Tabla1[[#This Row],[Disponibilidad]],0)</f>
        <v>71</v>
      </c>
      <c r="BX147" s="375">
        <f>IF(Tabla1[[#This Row],[Combustible ofertado]]="HFO",Tabla1[[#This Row],[Disponibilidad]],0)</f>
        <v>0</v>
      </c>
      <c r="BY147" s="456">
        <v>1440</v>
      </c>
      <c r="BZ147" s="446">
        <f>'Horo. M'!C148</f>
        <v>24</v>
      </c>
      <c r="CA147" s="446">
        <f>'Horo. M'!E148</f>
        <v>24</v>
      </c>
      <c r="CB147" s="446">
        <f>'Horo. M'!G148</f>
        <v>24</v>
      </c>
      <c r="CC147" s="446">
        <f>'Horo. M'!I148</f>
        <v>0</v>
      </c>
      <c r="CD147" s="446">
        <f>'Horo. M'!K148</f>
        <v>22</v>
      </c>
      <c r="CE147" s="446">
        <f>'Horo. M'!M148</f>
        <v>24</v>
      </c>
      <c r="CF147" s="446">
        <f>'Horo. M'!O148</f>
        <v>24</v>
      </c>
      <c r="CG147" s="446">
        <f>'Horo. M'!Q148</f>
        <v>0</v>
      </c>
      <c r="CH147" s="446">
        <f>'Horo. M'!S148</f>
        <v>24</v>
      </c>
      <c r="CI147" s="446">
        <f>'Horo. M'!U148</f>
        <v>24</v>
      </c>
      <c r="CJ147" s="70">
        <f>Tabla1[[#This Row],[Con. DO Storage '[gal']]]-Tabla1[[#This Row],[C. DO Storage Ge '[gal']]]</f>
        <v>369.84087330140778</v>
      </c>
      <c r="CK147" s="70"/>
      <c r="CL147" s="70"/>
      <c r="CM147" s="372">
        <f>Tabla1[[#This Row],[Con. DO Total '[gal']]]*131485.5/(1000000)</f>
        <v>1393.9072988842368</v>
      </c>
    </row>
    <row r="148" spans="1:91" ht="15" customHeight="1">
      <c r="A148" s="362">
        <v>45073</v>
      </c>
      <c r="B148" s="376" t="str">
        <f>TEXT(Tabla1[[#This Row],[Fecha]],"mmmm")</f>
        <v>mayo</v>
      </c>
      <c r="C148" s="429">
        <v>0</v>
      </c>
      <c r="D148" s="429">
        <v>1308</v>
      </c>
      <c r="E148" s="429">
        <v>1308</v>
      </c>
      <c r="F148" s="430">
        <v>1340</v>
      </c>
      <c r="G148" s="431">
        <v>0</v>
      </c>
      <c r="H148" s="431">
        <v>0</v>
      </c>
      <c r="I148" s="432">
        <v>0</v>
      </c>
      <c r="J148" s="432">
        <v>0</v>
      </c>
      <c r="K148" s="430">
        <v>24</v>
      </c>
      <c r="L148" s="430">
        <v>24</v>
      </c>
      <c r="M148" s="365">
        <f>Tabla1[[#This Row],[Columna1]]-Tabla1[[#This Row],[PO '[h']]]</f>
        <v>0</v>
      </c>
      <c r="N148" s="365">
        <f t="shared" si="39"/>
        <v>1340</v>
      </c>
      <c r="O148" s="430">
        <v>1340</v>
      </c>
      <c r="P148" s="367">
        <f>Tabla1[[#This Row],[G. HGS 
'[MWh']]]</f>
        <v>1340</v>
      </c>
      <c r="Q148" s="430">
        <v>0</v>
      </c>
      <c r="R148" s="367">
        <v>0</v>
      </c>
      <c r="S148" s="367">
        <f>Tabla1[[#This Row],[G. HGS 
Con Gas]]*1000</f>
        <v>1340000</v>
      </c>
      <c r="T148" s="365">
        <f>Tabla1[[#This Row],[G. HGS 
'[MWh']]]*1000</f>
        <v>1340000</v>
      </c>
      <c r="U148" s="368">
        <f>SUM('G. Un GE'!B148:Y148)</f>
        <v>1328.3159000000001</v>
      </c>
      <c r="V148" s="369">
        <f>Tabla1[[#This Row],[R. GE
'[MWh']]]</f>
        <v>1328.3159000000001</v>
      </c>
      <c r="W148" s="434">
        <v>0</v>
      </c>
      <c r="X148" s="369">
        <v>0</v>
      </c>
      <c r="Y148" s="365">
        <f>Tabla1[[#This Row],[R. GE
'[MWh']]]*1000</f>
        <v>1328315.9000000001</v>
      </c>
      <c r="Z148" s="434">
        <v>37.83</v>
      </c>
      <c r="AA14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37.83</v>
      </c>
      <c r="AB148" s="371">
        <f>IF(Tabla1[[#This Row],[G. HGS 
'[MWh']]]=0,0,Tabla1[[#This Row],[G. HGS 
'[MWh']]]+Tabla1[[#This Row],[Con. Aux. '[MWh']2]])</f>
        <v>1377.83</v>
      </c>
      <c r="AC148" s="368">
        <f>'C. ENER. TN'!F148</f>
        <v>0</v>
      </c>
      <c r="AD148" s="370">
        <f>'C. ENER. TN'!G148</f>
        <v>1328.3158999999998</v>
      </c>
      <c r="AE148" s="370">
        <f>'G. Un GE'!AX148</f>
        <v>174.73579821428575</v>
      </c>
      <c r="AF148" s="368">
        <f>IFERROR('G. Un GE'!AX148/Tabla1[[#This Row],[PO '[h']]],0)</f>
        <v>7.2806582589285727</v>
      </c>
      <c r="AG148" s="365">
        <f>'Ar-Pa'!AX148</f>
        <v>1</v>
      </c>
      <c r="AH148" s="365">
        <f>'Ar-Pa'!AY148</f>
        <v>0</v>
      </c>
      <c r="AI148" s="366">
        <f>SUM('Cal. Arr'!AB151:AY151)</f>
        <v>0</v>
      </c>
      <c r="AJ148" s="442">
        <v>19.7</v>
      </c>
      <c r="AK148" s="443">
        <v>1.3</v>
      </c>
      <c r="AL148" s="267">
        <f t="shared" si="42"/>
        <v>343.42366806559295</v>
      </c>
      <c r="AM148" s="267">
        <f>+CONVERT(AK148+Tabla1[[#This Row],[Con. DO Storage Gen. '[m3']]],"m^3","gal")</f>
        <v>5547.613099521117</v>
      </c>
      <c r="AN148" s="372">
        <f>SUM('DO Pilot'!B148:Y148)</f>
        <v>6.089999999999999</v>
      </c>
      <c r="AO148" s="372">
        <f t="shared" si="43"/>
        <v>1608.8077988611237</v>
      </c>
      <c r="AP148" s="267">
        <f>AK148+AN148+Tabla1[[#This Row],[Con. DO Storage Gen. '[m3']]]</f>
        <v>27.089999999999996</v>
      </c>
      <c r="AQ148" s="372">
        <f t="shared" si="49"/>
        <v>7156.42089838224</v>
      </c>
      <c r="AR148" s="443">
        <v>0</v>
      </c>
      <c r="AS148" s="443">
        <v>0</v>
      </c>
      <c r="AT148" s="267">
        <f>+CONVERT(SUM(Tabla1[[#This Row],[Repo. DO Storage '[gal']]:[Repo. DO Pilot '[gal']]]),"gal","m3")</f>
        <v>0</v>
      </c>
      <c r="AU148" s="442">
        <v>0</v>
      </c>
      <c r="AV148" s="372">
        <f t="shared" si="40"/>
        <v>0</v>
      </c>
      <c r="AW148" s="442">
        <v>0</v>
      </c>
      <c r="AX148" s="372">
        <f t="shared" si="44"/>
        <v>0</v>
      </c>
      <c r="AY148" s="372">
        <f t="shared" si="45"/>
        <v>0.25628631945193503</v>
      </c>
      <c r="AZ148" s="372">
        <f>IFERROR(AL148/'Ar-Pa'!AX148,0)</f>
        <v>343.42366806559295</v>
      </c>
      <c r="BA148" s="372">
        <f>IFERROR(AL148/'Ar-Pa'!AY148,0)</f>
        <v>0</v>
      </c>
      <c r="BB148" s="372">
        <f t="shared" si="46"/>
        <v>1.2006028349709879</v>
      </c>
      <c r="BC148" s="372">
        <f>IFERROR(AVERAGEIF('DO Pilot'!AX148:BU148,"&gt;0"),0)</f>
        <v>8.8175284737995074</v>
      </c>
      <c r="BD148" s="446">
        <v>344425</v>
      </c>
      <c r="BE148" s="446">
        <v>12192</v>
      </c>
      <c r="BF148" s="446">
        <v>344419</v>
      </c>
      <c r="BG148" s="223">
        <f>Tabla1[[#This Row],[ Re. Gas GC
 '[m3']]]</f>
        <v>344419</v>
      </c>
      <c r="BH148" s="150">
        <f>IFERROR((BG148*Gas!$B$3)/28.31685,0)</f>
        <v>12116.577918094703</v>
      </c>
      <c r="BI148" s="73">
        <f t="shared" si="41"/>
        <v>-75.422081905297091</v>
      </c>
      <c r="BJ148" s="74">
        <f t="shared" si="50"/>
        <v>-6.2247015960391729E-3</v>
      </c>
      <c r="BK148" s="223">
        <f t="shared" si="47"/>
        <v>9098.507462686568</v>
      </c>
      <c r="BL148" s="442">
        <v>9053.4500000000007</v>
      </c>
      <c r="BM148" s="70">
        <f t="shared" si="48"/>
        <v>8793.9571050816903</v>
      </c>
      <c r="BN148" s="150">
        <f t="shared" si="51"/>
        <v>9121.7593029600139</v>
      </c>
      <c r="BO148" s="373">
        <f>IFERROR(Tabla1[[#This Row],[ Re. Gas GC
 '[m3']]]/Tabla1[[#This Row],[G. HGS 
Con Gas '[kWh']]],0)</f>
        <v>0.25702910447761196</v>
      </c>
      <c r="BP148" s="374">
        <f>Tank!Y149</f>
        <v>0</v>
      </c>
      <c r="BQ148" s="70">
        <f>Tank!AP149</f>
        <v>0</v>
      </c>
      <c r="BR148" s="70">
        <f>Tank!V149</f>
        <v>0</v>
      </c>
      <c r="BS148" s="372">
        <f>Tank!T149</f>
        <v>0</v>
      </c>
      <c r="BT148" s="375" t="s">
        <v>228</v>
      </c>
      <c r="BU148" s="451">
        <v>71</v>
      </c>
      <c r="BV148" s="375">
        <f>IF(Tabla1[[#This Row],[Combustible ofertado]]="GAS",Tabla1[[#This Row],[Disponibilidad]],0)</f>
        <v>0</v>
      </c>
      <c r="BW148" s="375">
        <f>IF(Tabla1[[#This Row],[Combustible ofertado]]="DIESEL",Tabla1[[#This Row],[Disponibilidad]],0)</f>
        <v>71</v>
      </c>
      <c r="BX148" s="375">
        <f>IF(Tabla1[[#This Row],[Combustible ofertado]]="HFO",Tabla1[[#This Row],[Disponibilidad]],0)</f>
        <v>0</v>
      </c>
      <c r="BY148" s="456">
        <v>1440</v>
      </c>
      <c r="BZ148" s="446">
        <f>'Horo. M'!C149</f>
        <v>24</v>
      </c>
      <c r="CA148" s="446">
        <f>'Horo. M'!E149</f>
        <v>23</v>
      </c>
      <c r="CB148" s="446">
        <f>'Horo. M'!G149</f>
        <v>24</v>
      </c>
      <c r="CC148" s="446">
        <f>'Horo. M'!I149</f>
        <v>0</v>
      </c>
      <c r="CD148" s="446">
        <f>'Horo. M'!K149</f>
        <v>24</v>
      </c>
      <c r="CE148" s="446">
        <f>'Horo. M'!M149</f>
        <v>24</v>
      </c>
      <c r="CF148" s="446">
        <f>'Horo. M'!O149</f>
        <v>24</v>
      </c>
      <c r="CG148" s="446">
        <f>'Horo. M'!Q149</f>
        <v>0</v>
      </c>
      <c r="CH148" s="446">
        <f>'Horo. M'!S149</f>
        <v>24</v>
      </c>
      <c r="CI148" s="446">
        <f>'Horo. M'!U149</f>
        <v>24</v>
      </c>
      <c r="CJ148" s="70">
        <f>Tabla1[[#This Row],[Con. DO Storage '[gal']]]-Tabla1[[#This Row],[C. DO Storage Ge '[gal']]]</f>
        <v>343.42366806559295</v>
      </c>
      <c r="CK148" s="70"/>
      <c r="CL148" s="70"/>
      <c r="CM148" s="372">
        <f>Tabla1[[#This Row],[Con. DO Total '[gal']]]*131485.5/(1000000)</f>
        <v>940.96558003423797</v>
      </c>
    </row>
    <row r="149" spans="1:91" ht="15" customHeight="1">
      <c r="A149" s="362">
        <v>45074</v>
      </c>
      <c r="B149" s="376" t="str">
        <f>TEXT(Tabla1[[#This Row],[Fecha]],"mmmm")</f>
        <v>mayo</v>
      </c>
      <c r="C149" s="429">
        <v>0</v>
      </c>
      <c r="D149" s="430">
        <v>1181</v>
      </c>
      <c r="E149" s="430">
        <v>1287</v>
      </c>
      <c r="F149" s="430">
        <v>1329</v>
      </c>
      <c r="G149" s="431">
        <v>0</v>
      </c>
      <c r="H149" s="431">
        <v>0</v>
      </c>
      <c r="I149" s="432">
        <v>0</v>
      </c>
      <c r="J149" s="432">
        <v>0</v>
      </c>
      <c r="K149" s="430">
        <v>24</v>
      </c>
      <c r="L149" s="430">
        <v>24</v>
      </c>
      <c r="M149" s="365">
        <f>Tabla1[[#This Row],[Columna1]]-Tabla1[[#This Row],[PO '[h']]]</f>
        <v>0</v>
      </c>
      <c r="N149" s="365">
        <f t="shared" si="39"/>
        <v>1329</v>
      </c>
      <c r="O149" s="430">
        <v>1329</v>
      </c>
      <c r="P149" s="367">
        <f>Tabla1[[#This Row],[G. HGS 
'[MWh']]]</f>
        <v>1329</v>
      </c>
      <c r="Q149" s="430">
        <v>0</v>
      </c>
      <c r="R149" s="367">
        <v>0</v>
      </c>
      <c r="S149" s="367">
        <f>Tabla1[[#This Row],[G. HGS 
Con Gas]]*1000</f>
        <v>1329000</v>
      </c>
      <c r="T149" s="365">
        <f>Tabla1[[#This Row],[G. HGS 
'[MWh']]]*1000</f>
        <v>1329000</v>
      </c>
      <c r="U149" s="368">
        <f>SUM('G. Un GE'!B149:Y149)</f>
        <v>1317.1263999999999</v>
      </c>
      <c r="V149" s="369">
        <f>Tabla1[[#This Row],[R. GE
'[MWh']]]</f>
        <v>1317.1263999999999</v>
      </c>
      <c r="W149" s="434">
        <v>0</v>
      </c>
      <c r="X149" s="369">
        <v>0</v>
      </c>
      <c r="Y149" s="365">
        <f>Tabla1[[#This Row],[R. GE
'[MWh']]]*1000</f>
        <v>1317126.3999999999</v>
      </c>
      <c r="Z149" s="434">
        <v>37.83</v>
      </c>
      <c r="AA14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37.83</v>
      </c>
      <c r="AB149" s="371">
        <f>IF(Tabla1[[#This Row],[G. HGS 
'[MWh']]]=0,0,Tabla1[[#This Row],[G. HGS 
'[MWh']]]+Tabla1[[#This Row],[Con. Aux. '[MWh']2]])</f>
        <v>1366.83</v>
      </c>
      <c r="AC149" s="368">
        <f>'C. ENER. TN'!F149</f>
        <v>0</v>
      </c>
      <c r="AD149" s="370">
        <f>'C. ENER. TN'!G149</f>
        <v>1317.1264000000001</v>
      </c>
      <c r="AE149" s="370">
        <f>'G. Un GE'!AX149</f>
        <v>164.64079999999998</v>
      </c>
      <c r="AF149" s="368">
        <f>IFERROR('G. Un GE'!AX149/Tabla1[[#This Row],[PO '[h']]],0)</f>
        <v>6.860033333333333</v>
      </c>
      <c r="AG149" s="365">
        <f>'Ar-Pa'!AX149</f>
        <v>0</v>
      </c>
      <c r="AH149" s="365">
        <f>'Ar-Pa'!AY149</f>
        <v>0</v>
      </c>
      <c r="AI149" s="366">
        <f>SUM('Cal. Arr'!AB152:AY152)</f>
        <v>0</v>
      </c>
      <c r="AJ149" s="442">
        <v>0</v>
      </c>
      <c r="AK149" s="443">
        <v>1.3</v>
      </c>
      <c r="AL149" s="267">
        <f t="shared" si="42"/>
        <v>343.42366806559295</v>
      </c>
      <c r="AM149" s="267">
        <f>+CONVERT(AK149+Tabla1[[#This Row],[Con. DO Storage Gen. '[m3']]],"m^3","gal")</f>
        <v>343.42366806559295</v>
      </c>
      <c r="AN149" s="372">
        <f>SUM('DO Pilot'!B149:Y149)</f>
        <v>6.9300000000000015</v>
      </c>
      <c r="AO149" s="372">
        <f t="shared" si="43"/>
        <v>1830.7123228419691</v>
      </c>
      <c r="AP149" s="267">
        <f>AK149+AN149+Tabla1[[#This Row],[Con. DO Storage Gen. '[m3']]]</f>
        <v>8.2300000000000022</v>
      </c>
      <c r="AQ149" s="372">
        <f t="shared" si="49"/>
        <v>2174.1359909075618</v>
      </c>
      <c r="AR149" s="443">
        <v>0</v>
      </c>
      <c r="AS149" s="443">
        <v>0</v>
      </c>
      <c r="AT149" s="267">
        <f>+CONVERT(SUM(Tabla1[[#This Row],[Repo. DO Storage '[gal']]:[Repo. DO Pilot '[gal']]]),"gal","m3")</f>
        <v>0</v>
      </c>
      <c r="AU149" s="442">
        <v>0</v>
      </c>
      <c r="AV149" s="372">
        <f t="shared" si="40"/>
        <v>0</v>
      </c>
      <c r="AW149" s="442">
        <v>0</v>
      </c>
      <c r="AX149" s="372">
        <f t="shared" si="44"/>
        <v>0</v>
      </c>
      <c r="AY149" s="372">
        <f t="shared" si="45"/>
        <v>0.25840757567012262</v>
      </c>
      <c r="AZ149" s="372">
        <f>IFERROR(AL149/'Ar-Pa'!AX149,0)</f>
        <v>0</v>
      </c>
      <c r="BA149" s="372">
        <f>IFERROR(AL149/'Ar-Pa'!AY149,0)</f>
        <v>0</v>
      </c>
      <c r="BB149" s="372">
        <f t="shared" si="46"/>
        <v>1.3775111533799618</v>
      </c>
      <c r="BC149" s="372">
        <f>IFERROR(AVERAGEIF('DO Pilot'!AX149:BU149,"&gt;0"),0)</f>
        <v>9.5349600148019196</v>
      </c>
      <c r="BD149" s="446">
        <v>361378</v>
      </c>
      <c r="BE149" s="446">
        <v>12792</v>
      </c>
      <c r="BF149" s="446">
        <v>361137</v>
      </c>
      <c r="BG149" s="223">
        <f>Tabla1[[#This Row],[ Re. Gas GC
 '[m3']]]</f>
        <v>361137</v>
      </c>
      <c r="BH149" s="150">
        <f>IFERROR((BG149*Gas!$B$3)/28.31685,0)</f>
        <v>12704.713153475757</v>
      </c>
      <c r="BI149" s="73">
        <f t="shared" si="41"/>
        <v>-87.286846524242719</v>
      </c>
      <c r="BJ149" s="74">
        <f t="shared" si="50"/>
        <v>-6.8704303253287365E-3</v>
      </c>
      <c r="BK149" s="223">
        <f t="shared" si="47"/>
        <v>9625.2821670428893</v>
      </c>
      <c r="BL149" s="442">
        <v>9067.4</v>
      </c>
      <c r="BM149" s="70">
        <f t="shared" si="48"/>
        <v>9295.0207073855254</v>
      </c>
      <c r="BN149" s="150">
        <f t="shared" si="51"/>
        <v>9645.7812655457801</v>
      </c>
      <c r="BO149" s="373">
        <f>IFERROR(Tabla1[[#This Row],[ Re. Gas GC
 '[m3']]]/Tabla1[[#This Row],[G. HGS 
Con Gas '[kWh']]],0)</f>
        <v>0.27173589164785555</v>
      </c>
      <c r="BP149" s="374">
        <f>Tank!Y150</f>
        <v>0</v>
      </c>
      <c r="BQ149" s="70">
        <f>Tank!AP150</f>
        <v>0</v>
      </c>
      <c r="BR149" s="70">
        <f>Tank!V150</f>
        <v>0</v>
      </c>
      <c r="BS149" s="372">
        <f>Tank!T150</f>
        <v>0</v>
      </c>
      <c r="BT149" s="375" t="s">
        <v>228</v>
      </c>
      <c r="BU149" s="451">
        <v>71</v>
      </c>
      <c r="BV149" s="375">
        <f>IF(Tabla1[[#This Row],[Combustible ofertado]]="GAS",Tabla1[[#This Row],[Disponibilidad]],0)</f>
        <v>0</v>
      </c>
      <c r="BW149" s="375">
        <f>IF(Tabla1[[#This Row],[Combustible ofertado]]="DIESEL",Tabla1[[#This Row],[Disponibilidad]],0)</f>
        <v>71</v>
      </c>
      <c r="BX149" s="375">
        <f>IF(Tabla1[[#This Row],[Combustible ofertado]]="HFO",Tabla1[[#This Row],[Disponibilidad]],0)</f>
        <v>0</v>
      </c>
      <c r="BY149" s="456">
        <v>1440</v>
      </c>
      <c r="BZ149" s="446">
        <f>'Horo. M'!C150</f>
        <v>24</v>
      </c>
      <c r="CA149" s="446">
        <f>'Horo. M'!E150</f>
        <v>24</v>
      </c>
      <c r="CB149" s="446">
        <f>'Horo. M'!G150</f>
        <v>24</v>
      </c>
      <c r="CC149" s="446">
        <f>'Horo. M'!I150</f>
        <v>0</v>
      </c>
      <c r="CD149" s="446">
        <f>'Horo. M'!K150</f>
        <v>24</v>
      </c>
      <c r="CE149" s="446">
        <f>'Horo. M'!M150</f>
        <v>24</v>
      </c>
      <c r="CF149" s="446">
        <f>'Horo. M'!O150</f>
        <v>24</v>
      </c>
      <c r="CG149" s="446">
        <f>'Horo. M'!Q150</f>
        <v>0</v>
      </c>
      <c r="CH149" s="446">
        <f>'Horo. M'!S150</f>
        <v>24</v>
      </c>
      <c r="CI149" s="446">
        <f>'Horo. M'!U150</f>
        <v>24</v>
      </c>
      <c r="CJ149" s="70">
        <f>Tabla1[[#This Row],[Con. DO Storage '[gal']]]-Tabla1[[#This Row],[C. DO Storage Ge '[gal']]]</f>
        <v>343.42366806559295</v>
      </c>
      <c r="CK149" s="70"/>
      <c r="CL149" s="70"/>
      <c r="CM149" s="372">
        <f>Tabla1[[#This Row],[Con. DO Total '[gal']]]*131485.5/(1000000)</f>
        <v>285.86735783247622</v>
      </c>
    </row>
    <row r="150" spans="1:91" ht="15" customHeight="1">
      <c r="A150" s="362">
        <v>45075</v>
      </c>
      <c r="B150" s="376" t="str">
        <f>TEXT(Tabla1[[#This Row],[Fecha]],"mmmm")</f>
        <v>mayo</v>
      </c>
      <c r="C150" s="429">
        <v>0</v>
      </c>
      <c r="D150" s="430">
        <v>1309</v>
      </c>
      <c r="E150" s="430">
        <v>1309</v>
      </c>
      <c r="F150" s="430">
        <v>1350</v>
      </c>
      <c r="G150" s="431">
        <v>0</v>
      </c>
      <c r="H150" s="431">
        <v>0</v>
      </c>
      <c r="I150" s="432">
        <v>0</v>
      </c>
      <c r="J150" s="432">
        <v>0</v>
      </c>
      <c r="K150" s="430">
        <v>24</v>
      </c>
      <c r="L150" s="430">
        <v>24</v>
      </c>
      <c r="M150" s="365">
        <f>Tabla1[[#This Row],[Columna1]]-Tabla1[[#This Row],[PO '[h']]]</f>
        <v>0</v>
      </c>
      <c r="N150" s="365">
        <f t="shared" si="39"/>
        <v>1350</v>
      </c>
      <c r="O150" s="430">
        <v>1350</v>
      </c>
      <c r="P150" s="367">
        <f>Tabla1[[#This Row],[G. HGS 
'[MWh']]]</f>
        <v>1350</v>
      </c>
      <c r="Q150" s="430">
        <v>0</v>
      </c>
      <c r="R150" s="367">
        <v>0</v>
      </c>
      <c r="S150" s="367">
        <f>Tabla1[[#This Row],[G. HGS 
Con Gas]]*1000</f>
        <v>1350000</v>
      </c>
      <c r="T150" s="365">
        <f>Tabla1[[#This Row],[G. HGS 
'[MWh']]]*1000</f>
        <v>1350000</v>
      </c>
      <c r="U150" s="368">
        <f>SUM('G. Un GE'!B150:Y150)</f>
        <v>1339.3029999999999</v>
      </c>
      <c r="V150" s="369">
        <f>Tabla1[[#This Row],[R. GE
'[MWh']]]</f>
        <v>1339.3029999999999</v>
      </c>
      <c r="W150" s="434">
        <v>0</v>
      </c>
      <c r="X150" s="369">
        <v>0</v>
      </c>
      <c r="Y150" s="365">
        <f>Tabla1[[#This Row],[R. GE
'[MWh']]]*1000</f>
        <v>1339303</v>
      </c>
      <c r="Z150" s="434">
        <v>37.65</v>
      </c>
      <c r="AA15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37.65</v>
      </c>
      <c r="AB150" s="371">
        <f>IF(Tabla1[[#This Row],[G. HGS 
'[MWh']]]=0,0,Tabla1[[#This Row],[G. HGS 
'[MWh']]]+Tabla1[[#This Row],[Con. Aux. '[MWh']2]])</f>
        <v>1387.65</v>
      </c>
      <c r="AC150" s="368">
        <f>'C. ENER. TN'!F150</f>
        <v>0</v>
      </c>
      <c r="AD150" s="370">
        <f>'C. ENER. TN'!G150</f>
        <v>1339.3030000000001</v>
      </c>
      <c r="AE150" s="370">
        <f>'G. Un GE'!AX150</f>
        <v>170.30937678571428</v>
      </c>
      <c r="AF150" s="368">
        <f>IFERROR('G. Un GE'!AX150/Tabla1[[#This Row],[PO '[h']]],0)</f>
        <v>7.0962240327380952</v>
      </c>
      <c r="AG150" s="365">
        <f>'Ar-Pa'!AX150</f>
        <v>1</v>
      </c>
      <c r="AH150" s="365">
        <f>'Ar-Pa'!AY150</f>
        <v>1</v>
      </c>
      <c r="AI150" s="366">
        <f>SUM('Cal. Arr'!AB153:AY153)</f>
        <v>0</v>
      </c>
      <c r="AJ150" s="442">
        <v>0</v>
      </c>
      <c r="AK150" s="443">
        <v>1.4</v>
      </c>
      <c r="AL150" s="267">
        <f t="shared" si="42"/>
        <v>369.84087330140778</v>
      </c>
      <c r="AM150" s="267">
        <f>+CONVERT(AK150+Tabla1[[#This Row],[Con. DO Storage Gen. '[m3']]],"m^3","gal")</f>
        <v>369.84087330140778</v>
      </c>
      <c r="AN150" s="372">
        <f>SUM('DO Pilot'!B150:Y150)</f>
        <v>7.950000000000002</v>
      </c>
      <c r="AO150" s="372">
        <f t="shared" si="43"/>
        <v>2100.1678162472804</v>
      </c>
      <c r="AP150" s="267">
        <f>AK150+AN150+Tabla1[[#This Row],[Con. DO Storage Gen. '[m3']]]</f>
        <v>9.3500000000000014</v>
      </c>
      <c r="AQ150" s="372">
        <f t="shared" si="49"/>
        <v>2470.0086895486884</v>
      </c>
      <c r="AR150" s="443">
        <v>11025</v>
      </c>
      <c r="AS150" s="443">
        <v>11025</v>
      </c>
      <c r="AT150" s="267">
        <f>+CONVERT(SUM(Tabla1[[#This Row],[Repo. DO Storage '[gal']]:[Repo. DO Pilot '[gal']]]),"gal","m3")</f>
        <v>83.468329837200002</v>
      </c>
      <c r="AU150" s="442">
        <v>0</v>
      </c>
      <c r="AV150" s="372">
        <f t="shared" si="40"/>
        <v>0</v>
      </c>
      <c r="AW150" s="442">
        <v>0</v>
      </c>
      <c r="AX150" s="372">
        <f t="shared" si="44"/>
        <v>0</v>
      </c>
      <c r="AY150" s="372">
        <f t="shared" si="45"/>
        <v>0.27395620244548724</v>
      </c>
      <c r="AZ150" s="372">
        <f>IFERROR(AL150/'Ar-Pa'!AX150,0)</f>
        <v>369.84087330140778</v>
      </c>
      <c r="BA150" s="372">
        <f>IFERROR(AL150/'Ar-Pa'!AY150,0)</f>
        <v>369.84087330140778</v>
      </c>
      <c r="BB150" s="372">
        <f t="shared" si="46"/>
        <v>1.5556798638868743</v>
      </c>
      <c r="BC150" s="372">
        <f>IFERROR(AVERAGEIF('DO Pilot'!AX150:BU150,"&gt;0"),0)</f>
        <v>11.127068366067547</v>
      </c>
      <c r="BD150" s="446">
        <v>364655</v>
      </c>
      <c r="BE150" s="446">
        <v>12908</v>
      </c>
      <c r="BF150" s="446">
        <v>364606</v>
      </c>
      <c r="BG150" s="223">
        <f>Tabla1[[#This Row],[ Re. Gas GC
 '[m3']]]</f>
        <v>364606</v>
      </c>
      <c r="BH150" s="150">
        <f>IFERROR((BG150*Gas!$B$3)/28.31685,0)</f>
        <v>12826.751742513734</v>
      </c>
      <c r="BI150" s="73">
        <f t="shared" si="41"/>
        <v>-81.248257486266084</v>
      </c>
      <c r="BJ150" s="74">
        <f t="shared" si="50"/>
        <v>-6.3342815950021177E-3</v>
      </c>
      <c r="BK150" s="223">
        <f t="shared" si="47"/>
        <v>9561.4814814814818</v>
      </c>
      <c r="BL150" s="442">
        <v>9034.67</v>
      </c>
      <c r="BM150" s="70">
        <f t="shared" si="48"/>
        <v>9243.5064623743256</v>
      </c>
      <c r="BN150" s="150">
        <f t="shared" si="51"/>
        <v>9577.1843582174733</v>
      </c>
      <c r="BO150" s="373">
        <f>IFERROR(Tabla1[[#This Row],[ Re. Gas GC
 '[m3']]]/Tabla1[[#This Row],[G. HGS 
Con Gas '[kWh']]],0)</f>
        <v>0.2700785185185185</v>
      </c>
      <c r="BP150" s="374">
        <f>Tank!Y151</f>
        <v>0</v>
      </c>
      <c r="BQ150" s="70">
        <f>Tank!AP151</f>
        <v>0</v>
      </c>
      <c r="BR150" s="70">
        <f>Tank!V151</f>
        <v>0</v>
      </c>
      <c r="BS150" s="372">
        <f>Tank!T151</f>
        <v>0</v>
      </c>
      <c r="BT150" s="375" t="s">
        <v>228</v>
      </c>
      <c r="BU150" s="451">
        <v>71</v>
      </c>
      <c r="BV150" s="375">
        <f>IF(Tabla1[[#This Row],[Combustible ofertado]]="GAS",Tabla1[[#This Row],[Disponibilidad]],0)</f>
        <v>0</v>
      </c>
      <c r="BW150" s="375">
        <f>IF(Tabla1[[#This Row],[Combustible ofertado]]="DIESEL",Tabla1[[#This Row],[Disponibilidad]],0)</f>
        <v>71</v>
      </c>
      <c r="BX150" s="375">
        <f>IF(Tabla1[[#This Row],[Combustible ofertado]]="HFO",Tabla1[[#This Row],[Disponibilidad]],0)</f>
        <v>0</v>
      </c>
      <c r="BY150" s="456">
        <v>1440</v>
      </c>
      <c r="BZ150" s="446">
        <f>'Horo. M'!C151</f>
        <v>24</v>
      </c>
      <c r="CA150" s="446">
        <f>'Horo. M'!E151</f>
        <v>24</v>
      </c>
      <c r="CB150" s="446">
        <f>'Horo. M'!G151</f>
        <v>24</v>
      </c>
      <c r="CC150" s="446">
        <f>'Horo. M'!I151</f>
        <v>0</v>
      </c>
      <c r="CD150" s="446">
        <f>'Horo. M'!K151</f>
        <v>24</v>
      </c>
      <c r="CE150" s="446">
        <f>'Horo. M'!M151</f>
        <v>21</v>
      </c>
      <c r="CF150" s="446">
        <f>'Horo. M'!O151</f>
        <v>24</v>
      </c>
      <c r="CG150" s="446">
        <f>'Horo. M'!Q151</f>
        <v>0</v>
      </c>
      <c r="CH150" s="446">
        <f>'Horo. M'!S151</f>
        <v>24</v>
      </c>
      <c r="CI150" s="446">
        <f>'Horo. M'!U151</f>
        <v>24</v>
      </c>
      <c r="CJ150" s="70">
        <f>Tabla1[[#This Row],[Con. DO Storage '[gal']]]-Tabla1[[#This Row],[C. DO Storage Ge '[gal']]]</f>
        <v>369.84087330140778</v>
      </c>
      <c r="CK150" s="70"/>
      <c r="CL150" s="70"/>
      <c r="CM150" s="372">
        <f>Tabla1[[#This Row],[Con. DO Total '[gal']]]*131485.5/(1000000)</f>
        <v>324.77032754965404</v>
      </c>
    </row>
    <row r="151" spans="1:91" ht="15" customHeight="1">
      <c r="A151" s="362">
        <v>45076</v>
      </c>
      <c r="B151" s="376" t="str">
        <f>TEXT(Tabla1[[#This Row],[Fecha]],"mmmm")</f>
        <v>mayo</v>
      </c>
      <c r="C151" s="429">
        <v>0</v>
      </c>
      <c r="D151" s="430">
        <v>1308</v>
      </c>
      <c r="E151" s="430">
        <v>1308</v>
      </c>
      <c r="F151" s="430">
        <v>1348</v>
      </c>
      <c r="G151" s="431">
        <v>0</v>
      </c>
      <c r="H151" s="431">
        <v>0</v>
      </c>
      <c r="I151" s="432">
        <v>0</v>
      </c>
      <c r="J151" s="432">
        <v>0</v>
      </c>
      <c r="K151" s="430">
        <v>24</v>
      </c>
      <c r="L151" s="430">
        <v>24</v>
      </c>
      <c r="M151" s="365">
        <f>Tabla1[[#This Row],[Columna1]]-Tabla1[[#This Row],[PO '[h']]]</f>
        <v>0</v>
      </c>
      <c r="N151" s="365">
        <f t="shared" si="39"/>
        <v>1348</v>
      </c>
      <c r="O151" s="430">
        <v>1348</v>
      </c>
      <c r="P151" s="367">
        <f>Tabla1[[#This Row],[G. HGS 
'[MWh']]]</f>
        <v>1348</v>
      </c>
      <c r="Q151" s="430">
        <v>0</v>
      </c>
      <c r="R151" s="367">
        <v>0</v>
      </c>
      <c r="S151" s="367">
        <f>Tabla1[[#This Row],[G. HGS 
Con Gas]]*1000</f>
        <v>1348000</v>
      </c>
      <c r="T151" s="365">
        <f>Tabla1[[#This Row],[G. HGS 
'[MWh']]]*1000</f>
        <v>1348000</v>
      </c>
      <c r="U151" s="368">
        <f>SUM('G. Un GE'!B151:Y151)</f>
        <v>1335.7467999999999</v>
      </c>
      <c r="V151" s="369">
        <f>Tabla1[[#This Row],[R. GE
'[MWh']]]</f>
        <v>1335.7467999999999</v>
      </c>
      <c r="W151" s="434">
        <v>0</v>
      </c>
      <c r="X151" s="369">
        <v>0</v>
      </c>
      <c r="Y151" s="365">
        <f>Tabla1[[#This Row],[R. GE
'[MWh']]]*1000</f>
        <v>1335746.7999999998</v>
      </c>
      <c r="Z151" s="434">
        <v>37.76</v>
      </c>
      <c r="AA15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37.76</v>
      </c>
      <c r="AB151" s="371">
        <f>IF(Tabla1[[#This Row],[G. HGS 
'[MWh']]]=0,0,Tabla1[[#This Row],[G. HGS 
'[MWh']]]+Tabla1[[#This Row],[Con. Aux. '[MWh']2]])</f>
        <v>1385.76</v>
      </c>
      <c r="AC151" s="368">
        <f>'C. ENER. TN'!F151</f>
        <v>0</v>
      </c>
      <c r="AD151" s="370">
        <f>'C. ENER. TN'!G151</f>
        <v>1335.7468000000003</v>
      </c>
      <c r="AE151" s="370">
        <f>'G. Un GE'!AX151</f>
        <v>169.87240714285713</v>
      </c>
      <c r="AF151" s="368">
        <f>IFERROR('G. Un GE'!AX151/Tabla1[[#This Row],[PO '[h']]],0)</f>
        <v>7.0780169642857134</v>
      </c>
      <c r="AG151" s="365">
        <f>'Ar-Pa'!AX151</f>
        <v>1</v>
      </c>
      <c r="AH151" s="365">
        <f>'Ar-Pa'!AY151</f>
        <v>1</v>
      </c>
      <c r="AI151" s="366">
        <f>SUM('Cal. Arr'!AB154:AY154)</f>
        <v>0</v>
      </c>
      <c r="AJ151" s="442">
        <v>0</v>
      </c>
      <c r="AK151" s="443">
        <v>0</v>
      </c>
      <c r="AL151" s="267">
        <f t="shared" si="42"/>
        <v>0</v>
      </c>
      <c r="AM151" s="267">
        <f>+CONVERT(AK151+Tabla1[[#This Row],[Con. DO Storage Gen. '[m3']]],"m^3","gal")</f>
        <v>0</v>
      </c>
      <c r="AN151" s="372">
        <f>SUM('DO Pilot'!B151:Y151)</f>
        <v>6.900000000000003</v>
      </c>
      <c r="AO151" s="372">
        <f t="shared" si="43"/>
        <v>1822.7871612712249</v>
      </c>
      <c r="AP151" s="267">
        <f>AK151+AN151+Tabla1[[#This Row],[Con. DO Storage Gen. '[m3']]]</f>
        <v>6.900000000000003</v>
      </c>
      <c r="AQ151" s="372">
        <f t="shared" si="49"/>
        <v>1822.7871612712249</v>
      </c>
      <c r="AR151" s="443">
        <v>0</v>
      </c>
      <c r="AS151" s="443">
        <v>0</v>
      </c>
      <c r="AT151" s="267">
        <f>+CONVERT(SUM(Tabla1[[#This Row],[Repo. DO Storage '[gal']]:[Repo. DO Pilot '[gal']]]),"gal","m3")</f>
        <v>0</v>
      </c>
      <c r="AU151" s="442">
        <v>0</v>
      </c>
      <c r="AV151" s="372">
        <f t="shared" si="40"/>
        <v>0</v>
      </c>
      <c r="AW151" s="442">
        <v>0</v>
      </c>
      <c r="AX151" s="372">
        <f t="shared" si="44"/>
        <v>0</v>
      </c>
      <c r="AY151" s="372">
        <f t="shared" si="45"/>
        <v>0</v>
      </c>
      <c r="AZ151" s="372">
        <f>IFERROR(AL151/'Ar-Pa'!AX151,0)</f>
        <v>0</v>
      </c>
      <c r="BA151" s="372">
        <f>IFERROR(AL151/'Ar-Pa'!AY151,0)</f>
        <v>0</v>
      </c>
      <c r="BB151" s="372">
        <f t="shared" si="46"/>
        <v>1.352215995008327</v>
      </c>
      <c r="BC151" s="372">
        <f>IFERROR(AVERAGEIF('DO Pilot'!AX151:BU151,"&gt;0"),0)</f>
        <v>9.6587906643448047</v>
      </c>
      <c r="BD151" s="446">
        <v>363964</v>
      </c>
      <c r="BE151" s="446">
        <v>12884</v>
      </c>
      <c r="BF151" s="446">
        <v>363778</v>
      </c>
      <c r="BG151" s="223">
        <f>Tabla1[[#This Row],[ Re. Gas GC
 '[m3']]]</f>
        <v>363778</v>
      </c>
      <c r="BH151" s="150">
        <f>IFERROR((BG151*Gas!$B$3)/28.31685,0)</f>
        <v>12797.622900852319</v>
      </c>
      <c r="BI151" s="73">
        <f t="shared" si="41"/>
        <v>-86.377099147681292</v>
      </c>
      <c r="BJ151" s="74">
        <f t="shared" si="50"/>
        <v>-6.749464319809626E-3</v>
      </c>
      <c r="BK151" s="223">
        <f t="shared" si="47"/>
        <v>9557.8635014836782</v>
      </c>
      <c r="BL151" s="442">
        <v>9017</v>
      </c>
      <c r="BM151" s="70">
        <f t="shared" si="48"/>
        <v>9235.0933068152626</v>
      </c>
      <c r="BN151" s="150">
        <f t="shared" si="51"/>
        <v>9580.8748341020309</v>
      </c>
      <c r="BO151" s="373">
        <f>IFERROR(Tabla1[[#This Row],[ Re. Gas GC
 '[m3']]]/Tabla1[[#This Row],[G. HGS 
Con Gas '[kWh']]],0)</f>
        <v>0.26986498516320473</v>
      </c>
      <c r="BP151" s="374">
        <f>Tank!Y152</f>
        <v>0</v>
      </c>
      <c r="BQ151" s="70">
        <f>Tank!AP152</f>
        <v>0</v>
      </c>
      <c r="BR151" s="70">
        <f>Tank!V152</f>
        <v>0</v>
      </c>
      <c r="BS151" s="372">
        <f>Tank!T152</f>
        <v>0</v>
      </c>
      <c r="BT151" s="375" t="s">
        <v>228</v>
      </c>
      <c r="BU151" s="451">
        <v>71</v>
      </c>
      <c r="BV151" s="375">
        <f>IF(Tabla1[[#This Row],[Combustible ofertado]]="GAS",Tabla1[[#This Row],[Disponibilidad]],0)</f>
        <v>0</v>
      </c>
      <c r="BW151" s="375">
        <f>IF(Tabla1[[#This Row],[Combustible ofertado]]="DIESEL",Tabla1[[#This Row],[Disponibilidad]],0)</f>
        <v>71</v>
      </c>
      <c r="BX151" s="375">
        <f>IF(Tabla1[[#This Row],[Combustible ofertado]]="HFO",Tabla1[[#This Row],[Disponibilidad]],0)</f>
        <v>0</v>
      </c>
      <c r="BY151" s="456">
        <v>1440</v>
      </c>
      <c r="BZ151" s="446">
        <f>'Horo. M'!C152</f>
        <v>24</v>
      </c>
      <c r="CA151" s="446">
        <f>'Horo. M'!E152</f>
        <v>24</v>
      </c>
      <c r="CB151" s="446">
        <f>'Horo. M'!G152</f>
        <v>24</v>
      </c>
      <c r="CC151" s="446">
        <f>'Horo. M'!I152</f>
        <v>0</v>
      </c>
      <c r="CD151" s="446">
        <f>'Horo. M'!K152</f>
        <v>24</v>
      </c>
      <c r="CE151" s="446">
        <f>'Horo. M'!M152</f>
        <v>24</v>
      </c>
      <c r="CF151" s="446">
        <f>'Horo. M'!O152</f>
        <v>24</v>
      </c>
      <c r="CG151" s="446">
        <f>'Horo. M'!Q152</f>
        <v>0</v>
      </c>
      <c r="CH151" s="446">
        <f>'Horo. M'!S152</f>
        <v>22</v>
      </c>
      <c r="CI151" s="446">
        <f>'Horo. M'!U152</f>
        <v>24</v>
      </c>
      <c r="CJ151" s="70">
        <f>Tabla1[[#This Row],[Con. DO Storage '[gal']]]-Tabla1[[#This Row],[C. DO Storage Ge '[gal']]]</f>
        <v>0</v>
      </c>
      <c r="CK151" s="70"/>
      <c r="CL151" s="70"/>
      <c r="CM151" s="372">
        <f>Tabla1[[#This Row],[Con. DO Total '[gal']]]*131485.5/(1000000)</f>
        <v>239.67008129332766</v>
      </c>
    </row>
    <row r="152" spans="1:91" ht="15" customHeight="1">
      <c r="A152" s="362">
        <v>45077</v>
      </c>
      <c r="B152" s="376" t="str">
        <f>TEXT(Tabla1[[#This Row],[Fecha]],"mmmm")</f>
        <v>mayo</v>
      </c>
      <c r="C152" s="429">
        <v>0</v>
      </c>
      <c r="D152" s="430">
        <v>1308</v>
      </c>
      <c r="E152" s="430">
        <v>1308</v>
      </c>
      <c r="F152" s="430">
        <v>1333</v>
      </c>
      <c r="G152" s="431">
        <v>0</v>
      </c>
      <c r="H152" s="431">
        <v>0</v>
      </c>
      <c r="I152" s="432">
        <v>0</v>
      </c>
      <c r="J152" s="432">
        <v>0</v>
      </c>
      <c r="K152" s="430">
        <v>24</v>
      </c>
      <c r="L152" s="430">
        <v>24</v>
      </c>
      <c r="M152" s="365">
        <f>Tabla1[[#This Row],[Columna1]]-Tabla1[[#This Row],[PO '[h']]]</f>
        <v>0</v>
      </c>
      <c r="N152" s="365">
        <f t="shared" si="39"/>
        <v>1333</v>
      </c>
      <c r="O152" s="430">
        <v>1333</v>
      </c>
      <c r="P152" s="367">
        <f>Tabla1[[#This Row],[G. HGS 
'[MWh']]]</f>
        <v>1333</v>
      </c>
      <c r="Q152" s="430">
        <v>0</v>
      </c>
      <c r="R152" s="367">
        <v>0</v>
      </c>
      <c r="S152" s="367">
        <f>Tabla1[[#This Row],[G. HGS 
Con Gas]]*1000</f>
        <v>1333000</v>
      </c>
      <c r="T152" s="365">
        <f>Tabla1[[#This Row],[G. HGS 
'[MWh']]]*1000</f>
        <v>1333000</v>
      </c>
      <c r="U152" s="368">
        <f>SUM('G. Un GE'!B152:Y152)</f>
        <v>1322.8616999999999</v>
      </c>
      <c r="V152" s="369">
        <f>Tabla1[[#This Row],[R. GE
'[MWh']]]</f>
        <v>1322.8616999999999</v>
      </c>
      <c r="W152" s="434">
        <v>0</v>
      </c>
      <c r="X152" s="369">
        <v>0</v>
      </c>
      <c r="Y152" s="365">
        <f>Tabla1[[#This Row],[R. GE
'[MWh']]]*1000</f>
        <v>1322861.7</v>
      </c>
      <c r="Z152" s="434">
        <v>37.200000000000003</v>
      </c>
      <c r="AA15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37.200000000000003</v>
      </c>
      <c r="AB152" s="371">
        <f>IF(Tabla1[[#This Row],[G. HGS 
'[MWh']]]=0,0,Tabla1[[#This Row],[G. HGS 
'[MWh']]]+Tabla1[[#This Row],[Con. Aux. '[MWh']2]])</f>
        <v>1370.2</v>
      </c>
      <c r="AC152" s="368">
        <f>'C. ENER. TN'!F152</f>
        <v>0</v>
      </c>
      <c r="AD152" s="370">
        <f>'C. ENER. TN'!G152</f>
        <v>1322.8616999999999</v>
      </c>
      <c r="AE152" s="370">
        <f>'G. Un GE'!AX152</f>
        <v>169.23105535714285</v>
      </c>
      <c r="AF152" s="368">
        <f>IFERROR('G. Un GE'!AX152/Tabla1[[#This Row],[PO '[h']]],0)</f>
        <v>7.0512939732142854</v>
      </c>
      <c r="AG152" s="365">
        <f>'Ar-Pa'!AX152</f>
        <v>1</v>
      </c>
      <c r="AH152" s="365">
        <f>'Ar-Pa'!AY152</f>
        <v>1</v>
      </c>
      <c r="AI152" s="366">
        <f>SUM('Cal. Arr'!AB155:AY155)</f>
        <v>0</v>
      </c>
      <c r="AJ152" s="442">
        <v>0</v>
      </c>
      <c r="AK152" s="443">
        <v>1.6</v>
      </c>
      <c r="AL152" s="267">
        <f t="shared" si="42"/>
        <v>422.67528377303745</v>
      </c>
      <c r="AM152" s="267">
        <f>+CONVERT(AK152+Tabla1[[#This Row],[Con. DO Storage Gen. '[m3']]],"m^3","gal")</f>
        <v>422.67528377303745</v>
      </c>
      <c r="AN152" s="372">
        <f>SUM('DO Pilot'!B152:Y152)</f>
        <v>7.17</v>
      </c>
      <c r="AO152" s="372">
        <f t="shared" si="43"/>
        <v>1894.1136154079243</v>
      </c>
      <c r="AP152" s="267">
        <f>AK152+AN152+Tabla1[[#This Row],[Con. DO Storage Gen. '[m3']]]</f>
        <v>8.77</v>
      </c>
      <c r="AQ152" s="372">
        <f t="shared" si="49"/>
        <v>2316.7888991809618</v>
      </c>
      <c r="AR152" s="443">
        <v>0</v>
      </c>
      <c r="AS152" s="443">
        <v>0</v>
      </c>
      <c r="AT152" s="267">
        <f>+CONVERT(SUM(Tabla1[[#This Row],[Repo. DO Storage '[gal']]:[Repo. DO Pilot '[gal']]]),"gal","m3")</f>
        <v>0</v>
      </c>
      <c r="AU152" s="442">
        <v>0</v>
      </c>
      <c r="AV152" s="372">
        <f t="shared" si="40"/>
        <v>0</v>
      </c>
      <c r="AW152" s="442">
        <v>0</v>
      </c>
      <c r="AX152" s="372">
        <f t="shared" si="44"/>
        <v>0</v>
      </c>
      <c r="AY152" s="372">
        <f t="shared" si="45"/>
        <v>0.31708573426334391</v>
      </c>
      <c r="AZ152" s="372">
        <f>IFERROR(AL152/'Ar-Pa'!AX152,0)</f>
        <v>422.67528377303745</v>
      </c>
      <c r="BA152" s="372">
        <f>IFERROR(AL152/'Ar-Pa'!AY152,0)</f>
        <v>422.67528377303745</v>
      </c>
      <c r="BB152" s="372">
        <f t="shared" si="46"/>
        <v>1.4209404466676101</v>
      </c>
      <c r="BC152" s="372">
        <f>IFERROR(AVERAGEIF('DO Pilot'!AX152:BU152,"&gt;0"),0)</f>
        <v>10.097111852409288</v>
      </c>
      <c r="BD152" s="446">
        <v>358580</v>
      </c>
      <c r="BE152" s="446">
        <v>12693</v>
      </c>
      <c r="BF152" s="446">
        <v>357214</v>
      </c>
      <c r="BG152" s="223">
        <f>Tabla1[[#This Row],[ Re. Gas GC
 '[m3']]]</f>
        <v>357214</v>
      </c>
      <c r="BH152" s="150">
        <f>IFERROR((BG152*Gas!$B$3)/28.31685,0)</f>
        <v>12566.702953188649</v>
      </c>
      <c r="BI152" s="73">
        <f t="shared" si="41"/>
        <v>-126.29704681135081</v>
      </c>
      <c r="BJ152" s="74">
        <f t="shared" si="50"/>
        <v>-1.0050133856255786E-2</v>
      </c>
      <c r="BK152" s="223">
        <f t="shared" si="47"/>
        <v>9522.1305326331585</v>
      </c>
      <c r="BL152" s="442">
        <v>8948</v>
      </c>
      <c r="BM152" s="70">
        <f t="shared" si="48"/>
        <v>9171.4369823300603</v>
      </c>
      <c r="BN152" s="150">
        <f t="shared" si="51"/>
        <v>9499.6347336903382</v>
      </c>
      <c r="BO152" s="373">
        <f>IFERROR(Tabla1[[#This Row],[ Re. Gas GC
 '[m3']]]/Tabla1[[#This Row],[G. HGS 
Con Gas '[kWh']]],0)</f>
        <v>0.26797749437359342</v>
      </c>
      <c r="BP152" s="374">
        <f>Tank!Y153</f>
        <v>0</v>
      </c>
      <c r="BQ152" s="70">
        <f>Tank!AP153</f>
        <v>9.9</v>
      </c>
      <c r="BR152" s="70">
        <f>Tank!V153</f>
        <v>0</v>
      </c>
      <c r="BS152" s="372">
        <f>Tank!T153</f>
        <v>0</v>
      </c>
      <c r="BT152" s="375" t="s">
        <v>228</v>
      </c>
      <c r="BU152" s="451">
        <v>71</v>
      </c>
      <c r="BV152" s="375">
        <f>IF(Tabla1[[#This Row],[Combustible ofertado]]="GAS",Tabla1[[#This Row],[Disponibilidad]],0)</f>
        <v>0</v>
      </c>
      <c r="BW152" s="375">
        <f>IF(Tabla1[[#This Row],[Combustible ofertado]]="DIESEL",Tabla1[[#This Row],[Disponibilidad]],0)</f>
        <v>71</v>
      </c>
      <c r="BX152" s="375">
        <f>IF(Tabla1[[#This Row],[Combustible ofertado]]="HFO",Tabla1[[#This Row],[Disponibilidad]],0)</f>
        <v>0</v>
      </c>
      <c r="BY152" s="456">
        <v>1440</v>
      </c>
      <c r="BZ152" s="446">
        <f>'Horo. M'!C153</f>
        <v>24</v>
      </c>
      <c r="CA152" s="446">
        <f>'Horo. M'!E153</f>
        <v>24</v>
      </c>
      <c r="CB152" s="446">
        <f>'Horo. M'!G153</f>
        <v>20</v>
      </c>
      <c r="CC152" s="446">
        <f>'Horo. M'!I153</f>
        <v>0</v>
      </c>
      <c r="CD152" s="446">
        <f>'Horo. M'!K153</f>
        <v>24</v>
      </c>
      <c r="CE152" s="446">
        <f>'Horo. M'!M153</f>
        <v>24</v>
      </c>
      <c r="CF152" s="446">
        <f>'Horo. M'!O153</f>
        <v>24</v>
      </c>
      <c r="CG152" s="446">
        <f>'Horo. M'!Q153</f>
        <v>0</v>
      </c>
      <c r="CH152" s="446">
        <f>'Horo. M'!S153</f>
        <v>24</v>
      </c>
      <c r="CI152" s="446">
        <f>'Horo. M'!U153</f>
        <v>24</v>
      </c>
      <c r="CJ152" s="70">
        <f>Tabla1[[#This Row],[Con. DO Storage '[gal']]]-Tabla1[[#This Row],[C. DO Storage Ge '[gal']]]</f>
        <v>422.67528377303745</v>
      </c>
      <c r="CK152" s="70"/>
      <c r="CL152" s="70"/>
      <c r="CM152" s="372">
        <f>Tabla1[[#This Row],[Con. DO Total '[gal']]]*131485.5/(1000000)</f>
        <v>304.62414680325838</v>
      </c>
    </row>
    <row r="153" spans="1:91" ht="15" customHeight="1">
      <c r="A153" s="362">
        <v>45078</v>
      </c>
      <c r="B153" s="376" t="str">
        <f>TEXT(Tabla1[[#This Row],[Fecha]],"mmmm")</f>
        <v>junio</v>
      </c>
      <c r="C153" s="429">
        <v>0</v>
      </c>
      <c r="D153" s="430">
        <v>1329</v>
      </c>
      <c r="E153" s="430">
        <v>1329</v>
      </c>
      <c r="F153" s="430">
        <v>1353</v>
      </c>
      <c r="G153" s="431">
        <v>0</v>
      </c>
      <c r="H153" s="431">
        <v>0</v>
      </c>
      <c r="I153" s="432">
        <v>0</v>
      </c>
      <c r="J153" s="432">
        <v>0</v>
      </c>
      <c r="K153" s="430">
        <v>24</v>
      </c>
      <c r="L153" s="430">
        <v>24</v>
      </c>
      <c r="M153" s="365">
        <f>Tabla1[[#This Row],[Columna1]]-Tabla1[[#This Row],[PO '[h']]]</f>
        <v>0</v>
      </c>
      <c r="N153" s="365">
        <f t="shared" si="39"/>
        <v>1353</v>
      </c>
      <c r="O153" s="430">
        <v>1353</v>
      </c>
      <c r="P153" s="367">
        <f>Tabla1[[#This Row],[G. HGS 
'[MWh']]]</f>
        <v>1353</v>
      </c>
      <c r="Q153" s="430">
        <v>0</v>
      </c>
      <c r="R153" s="367">
        <v>0</v>
      </c>
      <c r="S153" s="367">
        <f>Tabla1[[#This Row],[G. HGS 
Con Gas]]*1000</f>
        <v>1353000</v>
      </c>
      <c r="T153" s="365">
        <f>Tabla1[[#This Row],[G. HGS 
'[MWh']]]*1000</f>
        <v>1353000</v>
      </c>
      <c r="U153" s="368">
        <f>SUM('G. Un GE'!B153:Y153)</f>
        <v>1341.0167999999999</v>
      </c>
      <c r="V153" s="369">
        <f>Tabla1[[#This Row],[R. GE
'[MWh']]]</f>
        <v>1341.0167999999999</v>
      </c>
      <c r="W153" s="434">
        <v>0</v>
      </c>
      <c r="X153" s="369">
        <v>0</v>
      </c>
      <c r="Y153" s="365">
        <f>Tabla1[[#This Row],[R. GE
'[MWh']]]*1000</f>
        <v>1341016.7999999998</v>
      </c>
      <c r="Z153" s="434">
        <v>37.08</v>
      </c>
      <c r="AA15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37.08</v>
      </c>
      <c r="AB153" s="371">
        <f>IF(Tabla1[[#This Row],[G. HGS 
'[MWh']]]=0,0,Tabla1[[#This Row],[G. HGS 
'[MWh']]]+Tabla1[[#This Row],[Con. Aux. '[MWh']2]])</f>
        <v>1390.08</v>
      </c>
      <c r="AC153" s="368">
        <f>'C. ENER. TN'!F153</f>
        <v>0</v>
      </c>
      <c r="AD153" s="370">
        <f>'C. ENER. TN'!G153</f>
        <v>1341.0168000000001</v>
      </c>
      <c r="AE153" s="370">
        <f>'G. Un GE'!AX153</f>
        <v>170.50348392857143</v>
      </c>
      <c r="AF153" s="368">
        <f>IFERROR('G. Un GE'!AX153/Tabla1[[#This Row],[PO '[h']]],0)</f>
        <v>7.1043118303571431</v>
      </c>
      <c r="AG153" s="365">
        <f>'Ar-Pa'!AX153</f>
        <v>1</v>
      </c>
      <c r="AH153" s="365">
        <f>'Ar-Pa'!AY153</f>
        <v>1</v>
      </c>
      <c r="AI153" s="366">
        <f>SUM('Cal. Arr'!AB156:AY156)</f>
        <v>0</v>
      </c>
      <c r="AJ153" s="442">
        <v>3.2</v>
      </c>
      <c r="AK153" s="443">
        <v>1.6</v>
      </c>
      <c r="AL153" s="267">
        <f t="shared" si="42"/>
        <v>422.67528377303745</v>
      </c>
      <c r="AM153" s="267">
        <f>+CONVERT(AK153+Tabla1[[#This Row],[Con. DO Storage Gen. '[m3']]],"m^3","gal")</f>
        <v>1268.0258513191127</v>
      </c>
      <c r="AN153" s="372">
        <f>SUM('DO Pilot'!B153:Y153)</f>
        <v>6.3100000000000005</v>
      </c>
      <c r="AO153" s="372">
        <f t="shared" si="43"/>
        <v>1666.9256503799168</v>
      </c>
      <c r="AP153" s="267">
        <f>AK153+AN153+Tabla1[[#This Row],[Con. DO Storage Gen. '[m3']]]</f>
        <v>11.11</v>
      </c>
      <c r="AQ153" s="372">
        <f t="shared" si="49"/>
        <v>2934.951501699029</v>
      </c>
      <c r="AR153" s="443">
        <v>0</v>
      </c>
      <c r="AS153" s="443">
        <v>0</v>
      </c>
      <c r="AT153" s="267">
        <f>+CONVERT(SUM(Tabla1[[#This Row],[Repo. DO Storage '[gal']]:[Repo. DO Pilot '[gal']]]),"gal","m3")</f>
        <v>0</v>
      </c>
      <c r="AU153" s="442">
        <v>0</v>
      </c>
      <c r="AV153" s="372">
        <f t="shared" si="40"/>
        <v>0</v>
      </c>
      <c r="AW153" s="442">
        <v>0</v>
      </c>
      <c r="AX153" s="372">
        <f t="shared" si="44"/>
        <v>0</v>
      </c>
      <c r="AY153" s="372">
        <f t="shared" si="45"/>
        <v>0.31239858371990942</v>
      </c>
      <c r="AZ153" s="372">
        <f>IFERROR(AL153/'Ar-Pa'!AX153,0)</f>
        <v>422.67528377303745</v>
      </c>
      <c r="BA153" s="372">
        <f>IFERROR(AL153/'Ar-Pa'!AY153,0)</f>
        <v>422.67528377303745</v>
      </c>
      <c r="BB153" s="372">
        <f t="shared" si="46"/>
        <v>1.232021914545393</v>
      </c>
      <c r="BC153" s="372">
        <f>IFERROR(AVERAGEIF('DO Pilot'!AX153:BU153,"&gt;0"),0)</f>
        <v>8.8293218689940698</v>
      </c>
      <c r="BD153" s="446">
        <v>362826</v>
      </c>
      <c r="BE153" s="446">
        <v>12844</v>
      </c>
      <c r="BF153" s="446">
        <v>362813</v>
      </c>
      <c r="BG153" s="223">
        <f>Tabla1[[#This Row],[ Re. Gas GC
 '[m3']]]</f>
        <v>362813</v>
      </c>
      <c r="BH153" s="150">
        <f>IFERROR((BG153*Gas!$B$3)/28.31685,0)</f>
        <v>12763.674432007798</v>
      </c>
      <c r="BI153" s="73">
        <f t="shared" si="41"/>
        <v>-80.325567992202195</v>
      </c>
      <c r="BJ153" s="74">
        <f t="shared" si="50"/>
        <v>-6.2932949614233095E-3</v>
      </c>
      <c r="BK153" s="223">
        <f t="shared" si="47"/>
        <v>9492.978566149297</v>
      </c>
      <c r="BL153" s="442">
        <v>9036.76</v>
      </c>
      <c r="BM153" s="70">
        <f t="shared" si="48"/>
        <v>9181.9711326022953</v>
      </c>
      <c r="BN153" s="150">
        <f t="shared" si="51"/>
        <v>9517.9079277812161</v>
      </c>
      <c r="BO153" s="373">
        <f>IFERROR(Tabla1[[#This Row],[ Re. Gas GC
 '[m3']]]/Tabla1[[#This Row],[G. HGS 
Con Gas '[kWh']]],0)</f>
        <v>0.26815447154471544</v>
      </c>
      <c r="BP153" s="374">
        <f>Tank!Y154</f>
        <v>0</v>
      </c>
      <c r="BQ153" s="70">
        <f>Tank!AP154</f>
        <v>18.899999999999999</v>
      </c>
      <c r="BR153" s="70">
        <f>Tank!V154</f>
        <v>0</v>
      </c>
      <c r="BS153" s="372">
        <f>Tank!T154</f>
        <v>0</v>
      </c>
      <c r="BT153" s="375" t="s">
        <v>228</v>
      </c>
      <c r="BU153" s="451">
        <v>71</v>
      </c>
      <c r="BV153" s="375">
        <f>IF(Tabla1[[#This Row],[Combustible ofertado]]="GAS",Tabla1[[#This Row],[Disponibilidad]],0)</f>
        <v>0</v>
      </c>
      <c r="BW153" s="375">
        <f>IF(Tabla1[[#This Row],[Combustible ofertado]]="DIESEL",Tabla1[[#This Row],[Disponibilidad]],0)</f>
        <v>71</v>
      </c>
      <c r="BX153" s="375">
        <f>IF(Tabla1[[#This Row],[Combustible ofertado]]="HFO",Tabla1[[#This Row],[Disponibilidad]],0)</f>
        <v>0</v>
      </c>
      <c r="BY153" s="456">
        <v>1440</v>
      </c>
      <c r="BZ153" s="446">
        <f>'Horo. M'!C154</f>
        <v>20</v>
      </c>
      <c r="CA153" s="446">
        <f>'Horo. M'!E154</f>
        <v>24</v>
      </c>
      <c r="CB153" s="446">
        <f>'Horo. M'!G154</f>
        <v>24</v>
      </c>
      <c r="CC153" s="446">
        <f>'Horo. M'!I154</f>
        <v>0</v>
      </c>
      <c r="CD153" s="446">
        <f>'Horo. M'!K154</f>
        <v>24</v>
      </c>
      <c r="CE153" s="446">
        <f>'Horo. M'!M154</f>
        <v>24</v>
      </c>
      <c r="CF153" s="446">
        <f>'Horo. M'!O154</f>
        <v>24</v>
      </c>
      <c r="CG153" s="446">
        <f>'Horo. M'!Q154</f>
        <v>0</v>
      </c>
      <c r="CH153" s="446">
        <f>'Horo. M'!S154</f>
        <v>24</v>
      </c>
      <c r="CI153" s="446">
        <f>'Horo. M'!U154</f>
        <v>24</v>
      </c>
      <c r="CJ153" s="70">
        <f>Tabla1[[#This Row],[Con. DO Storage '[gal']]]-Tabla1[[#This Row],[C. DO Storage Ge '[gal']]]</f>
        <v>422.67528377303745</v>
      </c>
      <c r="CK153" s="70"/>
      <c r="CL153" s="70"/>
      <c r="CM153" s="372">
        <f>Tabla1[[#This Row],[Con. DO Total '[gal']]]*131485.5/(1000000)</f>
        <v>385.90356567664764</v>
      </c>
    </row>
    <row r="154" spans="1:91" ht="15" customHeight="1">
      <c r="A154" s="362">
        <v>45079</v>
      </c>
      <c r="B154" s="376" t="str">
        <f>TEXT(Tabla1[[#This Row],[Fecha]],"mmmm")</f>
        <v>junio</v>
      </c>
      <c r="C154" s="429">
        <v>0</v>
      </c>
      <c r="D154" s="430">
        <v>1308</v>
      </c>
      <c r="E154" s="430">
        <v>1308</v>
      </c>
      <c r="F154" s="430">
        <v>1337</v>
      </c>
      <c r="G154" s="431">
        <v>0</v>
      </c>
      <c r="H154" s="431">
        <v>0</v>
      </c>
      <c r="I154" s="432">
        <v>0</v>
      </c>
      <c r="J154" s="432">
        <v>0</v>
      </c>
      <c r="K154" s="430">
        <v>24</v>
      </c>
      <c r="L154" s="430">
        <v>24</v>
      </c>
      <c r="M154" s="365">
        <f>Tabla1[[#This Row],[Columna1]]-Tabla1[[#This Row],[PO '[h']]]</f>
        <v>0</v>
      </c>
      <c r="N154" s="365">
        <f>F154+H154+J154</f>
        <v>1337</v>
      </c>
      <c r="O154" s="430">
        <v>1337</v>
      </c>
      <c r="P154" s="367">
        <f>Tabla1[[#This Row],[G. HGS 
'[MWh']]]</f>
        <v>1337</v>
      </c>
      <c r="Q154" s="430">
        <v>0</v>
      </c>
      <c r="R154" s="367">
        <v>0</v>
      </c>
      <c r="S154" s="367">
        <f>Tabla1[[#This Row],[G. HGS 
Con Gas]]*1000</f>
        <v>1337000</v>
      </c>
      <c r="T154" s="365">
        <f>Tabla1[[#This Row],[G. HGS 
'[MWh']]]*1000</f>
        <v>1337000</v>
      </c>
      <c r="U154" s="368">
        <f>SUM('G. Un GE'!B154:Y154)</f>
        <v>1325.8644999999999</v>
      </c>
      <c r="V154" s="369">
        <f>Tabla1[[#This Row],[R. GE
'[MWh']]]</f>
        <v>1325.8644999999999</v>
      </c>
      <c r="W154" s="434">
        <v>0</v>
      </c>
      <c r="X154" s="369">
        <v>0</v>
      </c>
      <c r="Y154" s="365">
        <f>Tabla1[[#This Row],[R. GE
'[MWh']]]*1000</f>
        <v>1325864.5</v>
      </c>
      <c r="Z154" s="434">
        <v>36.56</v>
      </c>
      <c r="AA15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36.56</v>
      </c>
      <c r="AB154" s="371">
        <f>IF(Tabla1[[#This Row],[G. HGS 
'[MWh']]]=0,0,Tabla1[[#This Row],[G. HGS 
'[MWh']]]+Tabla1[[#This Row],[Con. Aux. '[MWh']2]])</f>
        <v>1373.56</v>
      </c>
      <c r="AC154" s="368">
        <f>'C. ENER. TN'!F154</f>
        <v>0</v>
      </c>
      <c r="AD154" s="370">
        <f>'C. ENER. TN'!G154</f>
        <v>1325.8644999999999</v>
      </c>
      <c r="AE154" s="370">
        <f>'G. Un GE'!AX154</f>
        <v>169.59718035714283</v>
      </c>
      <c r="AF154" s="368">
        <f>IFERROR('G. Un GE'!AX154/Tabla1[[#This Row],[PO '[h']]],0)</f>
        <v>7.066549181547618</v>
      </c>
      <c r="AG154" s="365">
        <f>'Ar-Pa'!AX154</f>
        <v>1</v>
      </c>
      <c r="AH154" s="365">
        <f>'Ar-Pa'!AY154</f>
        <v>1</v>
      </c>
      <c r="AI154" s="366">
        <f>SUM('Cal. Arr'!AB157:AY157)</f>
        <v>0</v>
      </c>
      <c r="AJ154" s="442">
        <v>0</v>
      </c>
      <c r="AK154" s="443">
        <v>1.4</v>
      </c>
      <c r="AL154" s="267">
        <f t="shared" si="42"/>
        <v>369.84087330140778</v>
      </c>
      <c r="AM154" s="267">
        <f>+CONVERT(AK154+Tabla1[[#This Row],[Con. DO Storage Gen. '[m3']]],"m^3","gal")</f>
        <v>369.84087330140778</v>
      </c>
      <c r="AN154" s="372">
        <f>SUM('DO Pilot'!B154:Y154)</f>
        <v>7.15</v>
      </c>
      <c r="AO154" s="372">
        <f t="shared" si="43"/>
        <v>1888.8301743607612</v>
      </c>
      <c r="AP154" s="267">
        <f>AK154+AN154+Tabla1[[#This Row],[Con. DO Storage Gen. '[m3']]]</f>
        <v>8.5500000000000007</v>
      </c>
      <c r="AQ154" s="372">
        <f t="shared" si="49"/>
        <v>2258.6710476621688</v>
      </c>
      <c r="AR154" s="443">
        <v>0</v>
      </c>
      <c r="AS154" s="443">
        <v>0</v>
      </c>
      <c r="AT154" s="267">
        <f>+CONVERT(SUM(Tabla1[[#This Row],[Repo. DO Storage '[gal']]:[Repo. DO Pilot '[gal']]]),"gal","m3")</f>
        <v>0</v>
      </c>
      <c r="AU154" s="442">
        <v>0</v>
      </c>
      <c r="AV154" s="372">
        <f>+CONVERT(AU154,"m^3","gal")</f>
        <v>0</v>
      </c>
      <c r="AW154" s="442">
        <v>0</v>
      </c>
      <c r="AX154" s="372">
        <f>+CONVERT(AW154,"gal","m3")</f>
        <v>0</v>
      </c>
      <c r="AY154" s="372">
        <f t="shared" si="45"/>
        <v>0.27661995011324442</v>
      </c>
      <c r="AZ154" s="372">
        <f>IFERROR(AL154/'Ar-Pa'!AX154,0)</f>
        <v>369.84087330140778</v>
      </c>
      <c r="BA154" s="372">
        <f>IFERROR(AL154/'Ar-Pa'!AY154,0)</f>
        <v>369.84087330140778</v>
      </c>
      <c r="BB154" s="372">
        <f t="shared" si="46"/>
        <v>1.4127376023640696</v>
      </c>
      <c r="BC154" s="372">
        <f>IFERROR(AVERAGEIF('DO Pilot'!AX154:BU154,"&gt;0"),0)</f>
        <v>10.065662798557129</v>
      </c>
      <c r="BD154" s="446">
        <v>352967</v>
      </c>
      <c r="BE154" s="446">
        <v>12495</v>
      </c>
      <c r="BF154" s="446">
        <v>352958</v>
      </c>
      <c r="BG154" s="223">
        <f>Tabla1[[#This Row],[ Re. Gas GC
 '[m3']]]</f>
        <v>352958</v>
      </c>
      <c r="BH154" s="150">
        <f>IFERROR((BG154*Gas!$B$3)/28.31685,0)</f>
        <v>12416.977892668147</v>
      </c>
      <c r="BI154" s="73">
        <f>BH154-BE154</f>
        <v>-78.022107331853476</v>
      </c>
      <c r="BJ154" s="74">
        <f t="shared" si="50"/>
        <v>-6.2835021537666737E-3</v>
      </c>
      <c r="BK154" s="223">
        <f t="shared" si="47"/>
        <v>9345.5497382198955</v>
      </c>
      <c r="BL154" s="442">
        <v>9128.65</v>
      </c>
      <c r="BM154" s="70">
        <f t="shared" si="48"/>
        <v>9039.9967185038495</v>
      </c>
      <c r="BN154" s="150">
        <f t="shared" si="51"/>
        <v>9365.1937227885264</v>
      </c>
      <c r="BO154" s="373">
        <f>IFERROR(Tabla1[[#This Row],[ Re. Gas GC
 '[m3']]]/Tabla1[[#This Row],[G. HGS 
Con Gas '[kWh']]],0)</f>
        <v>0.26399252056843681</v>
      </c>
      <c r="BP154" s="374">
        <f>Tank!Y155</f>
        <v>14.301285719952</v>
      </c>
      <c r="BQ154" s="70">
        <f>Tank!AP155</f>
        <v>38.700000000000003</v>
      </c>
      <c r="BR154" s="70">
        <f>Tank!V155</f>
        <v>0</v>
      </c>
      <c r="BS154" s="372">
        <f>Tank!T155</f>
        <v>594</v>
      </c>
      <c r="BT154" s="375" t="s">
        <v>228</v>
      </c>
      <c r="BU154" s="451">
        <v>71</v>
      </c>
      <c r="BV154" s="375">
        <f>IF(Tabla1[[#This Row],[Combustible ofertado]]="GAS",Tabla1[[#This Row],[Disponibilidad]],0)</f>
        <v>0</v>
      </c>
      <c r="BW154" s="375">
        <f>IF(Tabla1[[#This Row],[Combustible ofertado]]="DIESEL",Tabla1[[#This Row],[Disponibilidad]],0)</f>
        <v>71</v>
      </c>
      <c r="BX154" s="375">
        <f>IF(Tabla1[[#This Row],[Combustible ofertado]]="HFO",Tabla1[[#This Row],[Disponibilidad]],0)</f>
        <v>0</v>
      </c>
      <c r="BY154" s="456">
        <v>1440</v>
      </c>
      <c r="BZ154" s="446">
        <f>'Horo. M'!C155</f>
        <v>24</v>
      </c>
      <c r="CA154" s="446">
        <f>'Horo. M'!E155</f>
        <v>21</v>
      </c>
      <c r="CB154" s="446">
        <f>'Horo. M'!G155</f>
        <v>23</v>
      </c>
      <c r="CC154" s="446">
        <f>'Horo. M'!I155</f>
        <v>0</v>
      </c>
      <c r="CD154" s="446">
        <f>'Horo. M'!K155</f>
        <v>24</v>
      </c>
      <c r="CE154" s="446">
        <f>'Horo. M'!M155</f>
        <v>24</v>
      </c>
      <c r="CF154" s="446">
        <f>'Horo. M'!O155</f>
        <v>24</v>
      </c>
      <c r="CG154" s="446">
        <f>'Horo. M'!Q155</f>
        <v>0</v>
      </c>
      <c r="CH154" s="446">
        <f>'Horo. M'!S155</f>
        <v>24</v>
      </c>
      <c r="CI154" s="446">
        <f>'Horo. M'!U155</f>
        <v>24</v>
      </c>
      <c r="CJ154" s="70">
        <f>Tabla1[[#This Row],[Con. DO Storage '[gal']]]-Tabla1[[#This Row],[C. DO Storage Ge '[gal']]]</f>
        <v>369.84087330140778</v>
      </c>
      <c r="CK154" s="70"/>
      <c r="CL154" s="70"/>
      <c r="CM154" s="372">
        <f>Tabla1[[#This Row],[Con. DO Total '[gal']]]*131485.5/(1000000)</f>
        <v>296.98249203738408</v>
      </c>
    </row>
    <row r="155" spans="1:91" ht="15" customHeight="1">
      <c r="A155" s="362">
        <v>45080</v>
      </c>
      <c r="B155" s="376" t="str">
        <f>TEXT(Tabla1[[#This Row],[Fecha]],"mmmm")</f>
        <v>junio</v>
      </c>
      <c r="C155" s="429">
        <v>0</v>
      </c>
      <c r="D155" s="430">
        <v>1379</v>
      </c>
      <c r="E155" s="430">
        <v>1326</v>
      </c>
      <c r="F155" s="430">
        <v>1430</v>
      </c>
      <c r="G155" s="431">
        <v>0</v>
      </c>
      <c r="H155" s="431">
        <v>0</v>
      </c>
      <c r="I155" s="432">
        <v>6</v>
      </c>
      <c r="J155" s="432">
        <v>426</v>
      </c>
      <c r="K155" s="430">
        <v>24</v>
      </c>
      <c r="L155" s="430">
        <v>24</v>
      </c>
      <c r="M155" s="365">
        <f>Tabla1[[#This Row],[Columna1]]-Tabla1[[#This Row],[PO '[h']]]</f>
        <v>0</v>
      </c>
      <c r="N155" s="365">
        <f>F155+H155+J155</f>
        <v>1856</v>
      </c>
      <c r="O155" s="430">
        <v>1430</v>
      </c>
      <c r="P155" s="367">
        <f>Tabla1[[#This Row],[G. HGS 
'[MWh']]]</f>
        <v>1430</v>
      </c>
      <c r="Q155" s="430">
        <v>0</v>
      </c>
      <c r="R155" s="367">
        <v>0</v>
      </c>
      <c r="S155" s="367">
        <f>Tabla1[[#This Row],[G. HGS 
Con Gas]]*1000</f>
        <v>1430000</v>
      </c>
      <c r="T155" s="365">
        <f>Tabla1[[#This Row],[G. HGS 
'[MWh']]]*1000</f>
        <v>1430000</v>
      </c>
      <c r="U155" s="368">
        <f>SUM('G. Un GE'!B155:Y155)</f>
        <v>1417.1481999999996</v>
      </c>
      <c r="V155" s="369">
        <f>Tabla1[[#This Row],[R. GE
'[MWh']]]</f>
        <v>1417.1481999999996</v>
      </c>
      <c r="W155" s="434">
        <v>0</v>
      </c>
      <c r="X155" s="369">
        <v>0</v>
      </c>
      <c r="Y155" s="365">
        <f>Tabla1[[#This Row],[R. GE
'[MWh']]]*1000</f>
        <v>1417148.1999999997</v>
      </c>
      <c r="Z155" s="434">
        <v>37.01</v>
      </c>
      <c r="AA15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37.01</v>
      </c>
      <c r="AB155" s="371">
        <f>IF(Tabla1[[#This Row],[G. HGS 
'[MWh']]]=0,0,Tabla1[[#This Row],[G. HGS 
'[MWh']]]+Tabla1[[#This Row],[Con. Aux. '[MWh']2]])</f>
        <v>1467.01</v>
      </c>
      <c r="AC155" s="368">
        <f>'C. ENER. TN'!F155</f>
        <v>0</v>
      </c>
      <c r="AD155" s="370">
        <f>'C. ENER. TN'!G155</f>
        <v>1417.1482000000001</v>
      </c>
      <c r="AE155" s="370">
        <f>'G. Un GE'!AX155</f>
        <v>177.14352499999995</v>
      </c>
      <c r="AF155" s="368">
        <f>IFERROR('G. Un GE'!AX155/Tabla1[[#This Row],[PO '[h']]],0)</f>
        <v>7.3809802083333311</v>
      </c>
      <c r="AG155" s="365">
        <f>'Ar-Pa'!AX155</f>
        <v>0</v>
      </c>
      <c r="AH155" s="365">
        <f>'Ar-Pa'!AY155</f>
        <v>0</v>
      </c>
      <c r="AI155" s="366">
        <f>SUM('Cal. Arr'!AB158:AY158)</f>
        <v>0</v>
      </c>
      <c r="AJ155" s="442">
        <v>0</v>
      </c>
      <c r="AK155" s="443">
        <v>1</v>
      </c>
      <c r="AL155" s="267">
        <f t="shared" si="42"/>
        <v>264.17205235814845</v>
      </c>
      <c r="AM155" s="267">
        <f>+CONVERT(AK155+Tabla1[[#This Row],[Con. DO Storage Gen. '[m3']]],"m^3","gal")</f>
        <v>264.17205235814845</v>
      </c>
      <c r="AN155" s="372">
        <f>SUM('DO Pilot'!B155:Y155)</f>
        <v>6.5299999999999985</v>
      </c>
      <c r="AO155" s="372">
        <f t="shared" si="43"/>
        <v>1725.0435018987087</v>
      </c>
      <c r="AP155" s="267">
        <f>AK155+AN155+Tabla1[[#This Row],[Con. DO Storage Gen. '[m3']]]</f>
        <v>7.5299999999999985</v>
      </c>
      <c r="AQ155" s="372">
        <f t="shared" si="49"/>
        <v>1989.2155542568571</v>
      </c>
      <c r="AR155" s="443">
        <v>0</v>
      </c>
      <c r="AS155" s="443">
        <v>0</v>
      </c>
      <c r="AT155" s="267">
        <f>+CONVERT(SUM(Tabla1[[#This Row],[Repo. DO Storage '[gal']]:[Repo. DO Pilot '[gal']]]),"gal","m3")</f>
        <v>0</v>
      </c>
      <c r="AU155" s="442">
        <v>0</v>
      </c>
      <c r="AV155" s="372">
        <f>+CONVERT(AU155,"m^3","gal")</f>
        <v>0</v>
      </c>
      <c r="AW155" s="442">
        <v>0</v>
      </c>
      <c r="AX155" s="372">
        <f t="shared" si="44"/>
        <v>0</v>
      </c>
      <c r="AY155" s="372">
        <f t="shared" si="45"/>
        <v>0.18473570094975417</v>
      </c>
      <c r="AZ155" s="372">
        <f>IFERROR(AL155/'Ar-Pa'!AX155,0)</f>
        <v>0</v>
      </c>
      <c r="BA155" s="372">
        <f>IFERROR(AL155/'Ar-Pa'!AY155,0)</f>
        <v>0</v>
      </c>
      <c r="BB155" s="372">
        <f t="shared" si="46"/>
        <v>1.2063241272018941</v>
      </c>
      <c r="BC155" s="372">
        <f>IFERROR(AVERAGEIF('DO Pilot'!AX155:BU155,"&gt;0"),0)</f>
        <v>8.9846015723891117</v>
      </c>
      <c r="BD155" s="446">
        <v>382480</v>
      </c>
      <c r="BE155" s="446">
        <v>13539</v>
      </c>
      <c r="BF155" s="446">
        <v>382479</v>
      </c>
      <c r="BG155" s="223">
        <f>Tabla1[[#This Row],[ Re. Gas GC
 '[m3']]]</f>
        <v>382479</v>
      </c>
      <c r="BH155" s="150">
        <f>IFERROR((BG155*Gas!$B$3)/28.31685,0)</f>
        <v>13455.519601226832</v>
      </c>
      <c r="BI155" s="73">
        <f>BH155-BE155</f>
        <v>-83.480398773168417</v>
      </c>
      <c r="BJ155" s="74">
        <f t="shared" si="50"/>
        <v>-6.204175033534709E-3</v>
      </c>
      <c r="BK155" s="223">
        <f t="shared" si="47"/>
        <v>9467.8321678321681</v>
      </c>
      <c r="BL155" s="442">
        <v>9008.16</v>
      </c>
      <c r="BM155" s="70">
        <f t="shared" si="48"/>
        <v>9172.0708115328671</v>
      </c>
      <c r="BN155" s="150">
        <f t="shared" si="51"/>
        <v>9494.7865023762752</v>
      </c>
      <c r="BO155" s="373">
        <f>IFERROR(Tabla1[[#This Row],[ Re. Gas GC
 '[m3']]]/Tabla1[[#This Row],[G. HGS 
Con Gas '[kWh']]],0)</f>
        <v>0.26746783216783215</v>
      </c>
      <c r="BP155" s="374">
        <f>Tank!Y156</f>
        <v>0</v>
      </c>
      <c r="BQ155" s="70">
        <f>Tank!AP156</f>
        <v>0</v>
      </c>
      <c r="BR155" s="70">
        <f>Tank!V156</f>
        <v>0</v>
      </c>
      <c r="BS155" s="372">
        <f>Tank!T156</f>
        <v>0</v>
      </c>
      <c r="BT155" s="375" t="s">
        <v>228</v>
      </c>
      <c r="BU155" s="451">
        <v>71</v>
      </c>
      <c r="BV155" s="375">
        <f>IF(Tabla1[[#This Row],[Combustible ofertado]]="GAS",Tabla1[[#This Row],[Disponibilidad]],0)</f>
        <v>0</v>
      </c>
      <c r="BW155" s="375">
        <f>IF(Tabla1[[#This Row],[Combustible ofertado]]="DIESEL",Tabla1[[#This Row],[Disponibilidad]],0)</f>
        <v>71</v>
      </c>
      <c r="BX155" s="375">
        <f>IF(Tabla1[[#This Row],[Combustible ofertado]]="HFO",Tabla1[[#This Row],[Disponibilidad]],0)</f>
        <v>0</v>
      </c>
      <c r="BY155" s="456">
        <v>1440</v>
      </c>
      <c r="BZ155" s="446">
        <f>'Horo. M'!C156</f>
        <v>24</v>
      </c>
      <c r="CA155" s="446">
        <f>'Horo. M'!E156</f>
        <v>23</v>
      </c>
      <c r="CB155" s="446">
        <f>'Horo. M'!G156</f>
        <v>24</v>
      </c>
      <c r="CC155" s="446">
        <f>'Horo. M'!I156</f>
        <v>0</v>
      </c>
      <c r="CD155" s="446">
        <f>'Horo. M'!K156</f>
        <v>24</v>
      </c>
      <c r="CE155" s="446">
        <f>'Horo. M'!M156</f>
        <v>24</v>
      </c>
      <c r="CF155" s="446">
        <f>'Horo. M'!O156</f>
        <v>24</v>
      </c>
      <c r="CG155" s="446">
        <f>'Horo. M'!Q156</f>
        <v>0</v>
      </c>
      <c r="CH155" s="446">
        <f>'Horo. M'!S156</f>
        <v>24</v>
      </c>
      <c r="CI155" s="446">
        <f>'Horo. M'!U156</f>
        <v>24</v>
      </c>
      <c r="CJ155" s="70">
        <f>Tabla1[[#This Row],[Con. DO Storage '[gal']]]-Tabla1[[#This Row],[C. DO Storage Ge '[gal']]]</f>
        <v>264.17205235814845</v>
      </c>
      <c r="CK155" s="70"/>
      <c r="CL155" s="70"/>
      <c r="CM155" s="372">
        <f>Tabla1[[#This Row],[Con. DO Total '[gal']]]*131485.5/(1000000)</f>
        <v>261.55300175923998</v>
      </c>
    </row>
    <row r="156" spans="1:91" ht="15" customHeight="1">
      <c r="A156" s="362">
        <v>45081</v>
      </c>
      <c r="B156" s="376" t="str">
        <f>TEXT(Tabla1[[#This Row],[Fecha]],"mmmm")</f>
        <v>junio</v>
      </c>
      <c r="C156" s="429">
        <v>0</v>
      </c>
      <c r="D156" s="430">
        <v>1297</v>
      </c>
      <c r="E156" s="430">
        <v>1297</v>
      </c>
      <c r="F156" s="430">
        <v>1341</v>
      </c>
      <c r="G156" s="431">
        <v>0</v>
      </c>
      <c r="H156" s="431">
        <v>0</v>
      </c>
      <c r="I156" s="432">
        <v>1</v>
      </c>
      <c r="J156" s="432">
        <v>71</v>
      </c>
      <c r="K156" s="430">
        <v>24</v>
      </c>
      <c r="L156" s="430">
        <v>24</v>
      </c>
      <c r="M156" s="365">
        <f>Tabla1[[#This Row],[Columna1]]-Tabla1[[#This Row],[PO '[h']]]</f>
        <v>0</v>
      </c>
      <c r="N156" s="365">
        <f>F156+H156+J156</f>
        <v>1412</v>
      </c>
      <c r="O156" s="430">
        <v>1341</v>
      </c>
      <c r="P156" s="367">
        <f>Tabla1[[#This Row],[G. HGS 
'[MWh']]]</f>
        <v>1341</v>
      </c>
      <c r="Q156" s="430">
        <v>0</v>
      </c>
      <c r="R156" s="367">
        <v>0</v>
      </c>
      <c r="S156" s="367">
        <f>Tabla1[[#This Row],[G. HGS 
Con Gas]]*1000</f>
        <v>1341000</v>
      </c>
      <c r="T156" s="365">
        <f>Tabla1[[#This Row],[G. HGS 
'[MWh']]]*1000</f>
        <v>1341000</v>
      </c>
      <c r="U156" s="368">
        <f>SUM('G. Un GE'!B156:Y156)</f>
        <v>1330.1619000000001</v>
      </c>
      <c r="V156" s="369">
        <f>Tabla1[[#This Row],[R. GE
'[MWh']]]</f>
        <v>1330.1619000000001</v>
      </c>
      <c r="W156" s="434">
        <v>0</v>
      </c>
      <c r="X156" s="369">
        <v>0</v>
      </c>
      <c r="Y156" s="365">
        <f>Tabla1[[#This Row],[R. GE
'[MWh']]]*1000</f>
        <v>1330161.9000000001</v>
      </c>
      <c r="Z156" s="434">
        <v>37.130000000000003</v>
      </c>
      <c r="AA15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37.130000000000003</v>
      </c>
      <c r="AB156" s="371">
        <f>IF(Tabla1[[#This Row],[G. HGS 
'[MWh']]]=0,0,Tabla1[[#This Row],[G. HGS 
'[MWh']]]+Tabla1[[#This Row],[Con. Aux. '[MWh']2]])</f>
        <v>1378.13</v>
      </c>
      <c r="AC156" s="368">
        <f>'C. ENER. TN'!F156</f>
        <v>0</v>
      </c>
      <c r="AD156" s="370">
        <f>'C. ENER. TN'!G156</f>
        <v>1330.1618999999996</v>
      </c>
      <c r="AE156" s="370">
        <f>'G. Un GE'!AX156</f>
        <v>168.19035535714283</v>
      </c>
      <c r="AF156" s="368">
        <f>IFERROR('G. Un GE'!AX156/Tabla1[[#This Row],[PO '[h']]],0)</f>
        <v>7.0079314732142848</v>
      </c>
      <c r="AG156" s="365">
        <f>'Ar-Pa'!AX156</f>
        <v>1</v>
      </c>
      <c r="AH156" s="365">
        <f>'Ar-Pa'!AY156</f>
        <v>1</v>
      </c>
      <c r="AI156" s="366">
        <f>SUM('Cal. Arr'!AB159:AY159)</f>
        <v>0</v>
      </c>
      <c r="AJ156" s="442">
        <v>0</v>
      </c>
      <c r="AK156" s="443">
        <v>0.4</v>
      </c>
      <c r="AL156" s="267">
        <f t="shared" si="42"/>
        <v>105.66882094325936</v>
      </c>
      <c r="AM156" s="267">
        <f>+CONVERT(AK156+Tabla1[[#This Row],[Con. DO Storage Gen. '[m3']]],"m^3","gal")</f>
        <v>105.66882094325936</v>
      </c>
      <c r="AN156" s="372">
        <f>SUM('DO Pilot'!B156:Y156)</f>
        <v>7.6399999999999988</v>
      </c>
      <c r="AO156" s="372">
        <f t="shared" si="43"/>
        <v>2018.2744800162536</v>
      </c>
      <c r="AP156" s="267">
        <f>AK156+AN156+Tabla1[[#This Row],[Con. DO Storage Gen. '[m3']]]</f>
        <v>8.0399999999999991</v>
      </c>
      <c r="AQ156" s="372">
        <f t="shared" si="49"/>
        <v>2123.9433009595132</v>
      </c>
      <c r="AR156" s="443">
        <v>0</v>
      </c>
      <c r="AS156" s="443">
        <v>0</v>
      </c>
      <c r="AT156" s="267">
        <f>+CONVERT(SUM(Tabla1[[#This Row],[Repo. DO Storage '[gal']]:[Repo. DO Pilot '[gal']]]),"gal","m3")</f>
        <v>0</v>
      </c>
      <c r="AU156" s="442">
        <v>0</v>
      </c>
      <c r="AV156" s="372">
        <f>+CONVERT(AU156,"m^3","gal")</f>
        <v>0</v>
      </c>
      <c r="AW156" s="442">
        <v>0</v>
      </c>
      <c r="AX156" s="372">
        <f t="shared" si="44"/>
        <v>0</v>
      </c>
      <c r="AY156" s="372">
        <f t="shared" si="45"/>
        <v>7.8798524193332858E-2</v>
      </c>
      <c r="AZ156" s="372">
        <f>IFERROR(AL156/'Ar-Pa'!AX156,0)</f>
        <v>105.66882094325936</v>
      </c>
      <c r="BA156" s="372">
        <f>IFERROR(AL156/'Ar-Pa'!AY156,0)</f>
        <v>105.66882094325936</v>
      </c>
      <c r="BB156" s="372">
        <f t="shared" si="46"/>
        <v>1.5050518120926575</v>
      </c>
      <c r="BC156" s="372">
        <f>IFERROR(AVERAGEIF('DO Pilot'!AX156:BU156,"&gt;0"),0)</f>
        <v>10.633711333761777</v>
      </c>
      <c r="BD156" s="446">
        <v>361992</v>
      </c>
      <c r="BE156" s="446">
        <v>12814</v>
      </c>
      <c r="BF156" s="446">
        <v>361898</v>
      </c>
      <c r="BG156" s="223">
        <f>Tabla1[[#This Row],[ Re. Gas GC
 '[m3']]]</f>
        <v>361898</v>
      </c>
      <c r="BH156" s="150">
        <f>IFERROR((BG156*Gas!$B$3)/28.31685,0)</f>
        <v>12731.484951186309</v>
      </c>
      <c r="BI156" s="73">
        <f>BH156-BE156</f>
        <v>-82.515048813691465</v>
      </c>
      <c r="BJ156" s="74">
        <f t="shared" si="50"/>
        <v>-6.4811802495986755E-3</v>
      </c>
      <c r="BK156" s="223">
        <f t="shared" si="47"/>
        <v>9555.5555555555547</v>
      </c>
      <c r="BL156" s="442">
        <v>8988.92</v>
      </c>
      <c r="BM156" s="70">
        <f t="shared" si="48"/>
        <v>9238.2322068210597</v>
      </c>
      <c r="BN156" s="150">
        <f t="shared" si="51"/>
        <v>9571.3799584744593</v>
      </c>
      <c r="BO156" s="373">
        <f>IFERROR(Tabla1[[#This Row],[ Re. Gas GC
 '[m3']]]/Tabla1[[#This Row],[G. HGS 
Con Gas '[kWh']]],0)</f>
        <v>0.26987173750932142</v>
      </c>
      <c r="BP156" s="374">
        <f>Tank!Y157</f>
        <v>0</v>
      </c>
      <c r="BQ156" s="70">
        <f>Tank!AP157</f>
        <v>0</v>
      </c>
      <c r="BR156" s="70">
        <f>Tank!V157</f>
        <v>0</v>
      </c>
      <c r="BS156" s="372">
        <f>Tank!T157</f>
        <v>0</v>
      </c>
      <c r="BT156" s="375" t="s">
        <v>228</v>
      </c>
      <c r="BU156" s="451">
        <v>71</v>
      </c>
      <c r="BV156" s="375">
        <f>IF(Tabla1[[#This Row],[Combustible ofertado]]="GAS",Tabla1[[#This Row],[Disponibilidad]],0)</f>
        <v>0</v>
      </c>
      <c r="BW156" s="375">
        <f>IF(Tabla1[[#This Row],[Combustible ofertado]]="DIESEL",Tabla1[[#This Row],[Disponibilidad]],0)</f>
        <v>71</v>
      </c>
      <c r="BX156" s="375">
        <f>IF(Tabla1[[#This Row],[Combustible ofertado]]="HFO",Tabla1[[#This Row],[Disponibilidad]],0)</f>
        <v>0</v>
      </c>
      <c r="BY156" s="456">
        <v>1440</v>
      </c>
      <c r="BZ156" s="446">
        <f>'Horo. M'!C157</f>
        <v>24</v>
      </c>
      <c r="CA156" s="446">
        <f>'Horo. M'!E157</f>
        <v>24</v>
      </c>
      <c r="CB156" s="446">
        <f>'Horo. M'!G157</f>
        <v>24</v>
      </c>
      <c r="CC156" s="446">
        <f>'Horo. M'!I157</f>
        <v>0</v>
      </c>
      <c r="CD156" s="446">
        <f>'Horo. M'!K157</f>
        <v>24</v>
      </c>
      <c r="CE156" s="446">
        <f>'Horo. M'!M157</f>
        <v>24</v>
      </c>
      <c r="CF156" s="446">
        <f>'Horo. M'!O157</f>
        <v>24</v>
      </c>
      <c r="CG156" s="446">
        <f>'Horo. M'!Q157</f>
        <v>0</v>
      </c>
      <c r="CH156" s="446">
        <f>'Horo. M'!S157</f>
        <v>24</v>
      </c>
      <c r="CI156" s="446">
        <f>'Horo. M'!U157</f>
        <v>22</v>
      </c>
      <c r="CJ156" s="70">
        <f>Tabla1[[#This Row],[Con. DO Storage '[gal']]]-Tabla1[[#This Row],[C. DO Storage Ge '[gal']]]</f>
        <v>105.66882094325936</v>
      </c>
      <c r="CK156" s="70"/>
      <c r="CL156" s="70"/>
      <c r="CM156" s="372">
        <f>Tabla1[[#This Row],[Con. DO Total '[gal']]]*131485.5/(1000000)</f>
        <v>279.26774689831211</v>
      </c>
    </row>
    <row r="157" spans="1:91" ht="15" customHeight="1">
      <c r="A157" s="362">
        <v>45082</v>
      </c>
      <c r="B157" s="376" t="str">
        <f>TEXT(Tabla1[[#This Row],[Fecha]],"mmmm")</f>
        <v>junio</v>
      </c>
      <c r="C157" s="429">
        <v>0</v>
      </c>
      <c r="D157" s="429">
        <v>1321</v>
      </c>
      <c r="E157" s="429">
        <v>1321</v>
      </c>
      <c r="F157" s="430">
        <v>1349</v>
      </c>
      <c r="G157" s="431">
        <v>0</v>
      </c>
      <c r="H157" s="431">
        <v>0</v>
      </c>
      <c r="I157" s="432">
        <v>0</v>
      </c>
      <c r="J157" s="432">
        <v>0</v>
      </c>
      <c r="K157" s="430">
        <v>24</v>
      </c>
      <c r="L157" s="430">
        <v>24</v>
      </c>
      <c r="M157" s="365">
        <f>Tabla1[[#This Row],[Columna1]]-Tabla1[[#This Row],[PO '[h']]]</f>
        <v>0</v>
      </c>
      <c r="N157" s="365">
        <f t="shared" ref="N157:N162" si="52">F157+H157+J157</f>
        <v>1349</v>
      </c>
      <c r="O157" s="430">
        <v>1349</v>
      </c>
      <c r="P157" s="367">
        <f>Tabla1[[#This Row],[G. HGS 
'[MWh']]]</f>
        <v>1349</v>
      </c>
      <c r="Q157" s="430">
        <v>0</v>
      </c>
      <c r="R157" s="367">
        <v>0</v>
      </c>
      <c r="S157" s="367">
        <f>Tabla1[[#This Row],[G. HGS 
Con Gas]]*1000</f>
        <v>1349000</v>
      </c>
      <c r="T157" s="365">
        <f>Tabla1[[#This Row],[G. HGS 
'[MWh']]]*1000</f>
        <v>1349000</v>
      </c>
      <c r="U157" s="368">
        <f>SUM('G. Un GE'!B157:Y157)</f>
        <v>1338.0965999999999</v>
      </c>
      <c r="V157" s="369">
        <f>Tabla1[[#This Row],[R. GE
'[MWh']]]</f>
        <v>1338.0965999999999</v>
      </c>
      <c r="W157" s="434">
        <v>0</v>
      </c>
      <c r="X157" s="369">
        <v>0</v>
      </c>
      <c r="Y157" s="365">
        <f>Tabla1[[#This Row],[R. GE
'[MWh']]]*1000</f>
        <v>1338096.5999999999</v>
      </c>
      <c r="Z157" s="434">
        <v>37.200000000000003</v>
      </c>
      <c r="AA15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37.200000000000003</v>
      </c>
      <c r="AB157" s="371">
        <f>IF(Tabla1[[#This Row],[G. HGS 
'[MWh']]]=0,0,Tabla1[[#This Row],[G. HGS 
'[MWh']]]+Tabla1[[#This Row],[Con. Aux. '[MWh']2]])</f>
        <v>1386.2</v>
      </c>
      <c r="AC157" s="368">
        <f>'C. ENER. TN'!F157</f>
        <v>0</v>
      </c>
      <c r="AD157" s="370">
        <f>'C. ENER. TN'!G157</f>
        <v>1338.0965999999999</v>
      </c>
      <c r="AE157" s="370">
        <f>'G. Un GE'!AX157</f>
        <v>170.15070357142855</v>
      </c>
      <c r="AF157" s="368">
        <f>IFERROR('G. Un GE'!AX157/Tabla1[[#This Row],[PO '[h']]],0)</f>
        <v>7.0896126488095232</v>
      </c>
      <c r="AG157" s="365">
        <f>'Ar-Pa'!AX157</f>
        <v>1</v>
      </c>
      <c r="AH157" s="365">
        <f>'Ar-Pa'!AY157</f>
        <v>1</v>
      </c>
      <c r="AI157" s="366">
        <f>SUM('Cal. Arr'!AB160:AY160)</f>
        <v>0</v>
      </c>
      <c r="AJ157" s="442">
        <v>0</v>
      </c>
      <c r="AK157" s="443">
        <v>1.6</v>
      </c>
      <c r="AL157" s="267">
        <f t="shared" si="42"/>
        <v>422.67528377303745</v>
      </c>
      <c r="AM157" s="267">
        <f>+CONVERT(AK157+Tabla1[[#This Row],[Con. DO Storage Gen. '[m3']]],"m^3","gal")</f>
        <v>422.67528377303745</v>
      </c>
      <c r="AN157" s="372">
        <f>SUM('DO Pilot'!B157:Y157)</f>
        <v>6.6599999999999993</v>
      </c>
      <c r="AO157" s="372">
        <f t="shared" si="43"/>
        <v>1759.3858687052682</v>
      </c>
      <c r="AP157" s="267">
        <f>AK157+AN157+Tabla1[[#This Row],[Con. DO Storage Gen. '[m3']]]</f>
        <v>8.26</v>
      </c>
      <c r="AQ157" s="372">
        <f t="shared" si="49"/>
        <v>2182.0611524783058</v>
      </c>
      <c r="AR157" s="443">
        <v>0</v>
      </c>
      <c r="AS157" s="443">
        <v>11050</v>
      </c>
      <c r="AT157" s="267">
        <f>+CONVERT(SUM(Tabla1[[#This Row],[Repo. DO Storage '[gal']]:[Repo. DO Pilot '[gal']]]),"gal","m3")</f>
        <v>41.828800213199997</v>
      </c>
      <c r="AU157" s="442">
        <v>0</v>
      </c>
      <c r="AV157" s="372">
        <f t="shared" ref="AV157:AV162" si="53">+CONVERT(AU157,"m^3","gal")</f>
        <v>0</v>
      </c>
      <c r="AW157" s="442">
        <v>0</v>
      </c>
      <c r="AX157" s="372">
        <f t="shared" si="44"/>
        <v>0</v>
      </c>
      <c r="AY157" s="372">
        <f t="shared" si="45"/>
        <v>0.31332489530988694</v>
      </c>
      <c r="AZ157" s="372">
        <f>IFERROR(AL157/'Ar-Pa'!AX157,0)</f>
        <v>422.67528377303745</v>
      </c>
      <c r="BA157" s="372">
        <f>IFERROR(AL157/'Ar-Pa'!AY157,0)</f>
        <v>422.67528377303745</v>
      </c>
      <c r="BB157" s="372">
        <f t="shared" si="46"/>
        <v>1.3042148767274042</v>
      </c>
      <c r="BC157" s="372">
        <f>IFERROR(AVERAGEIF('DO Pilot'!AX157:BU157,"&gt;0"),0)</f>
        <v>9.3207133354340748</v>
      </c>
      <c r="BD157" s="446">
        <v>363339</v>
      </c>
      <c r="BE157" s="446">
        <v>12862</v>
      </c>
      <c r="BF157" s="446">
        <v>363338</v>
      </c>
      <c r="BG157" s="223">
        <f>Tabla1[[#This Row],[ Re. Gas GC
 '[m3']]]</f>
        <v>363338</v>
      </c>
      <c r="BH157" s="150">
        <f>IFERROR((BG157*Gas!$B$3)/28.31685,0)</f>
        <v>12782.143806249636</v>
      </c>
      <c r="BI157" s="73">
        <f t="shared" ref="BI157:BI162" si="54">BH157-BE157</f>
        <v>-79.856193750363673</v>
      </c>
      <c r="BJ157" s="74">
        <f t="shared" si="50"/>
        <v>-6.2474804665645515E-3</v>
      </c>
      <c r="BK157" s="223">
        <f t="shared" si="47"/>
        <v>9534.4699777613041</v>
      </c>
      <c r="BL157" s="442">
        <v>8782.92</v>
      </c>
      <c r="BM157" s="70">
        <f t="shared" si="48"/>
        <v>9220.9953875700739</v>
      </c>
      <c r="BN157" s="150">
        <f t="shared" si="51"/>
        <v>9552.4820900446484</v>
      </c>
      <c r="BO157" s="373">
        <f>IFERROR(Tabla1[[#This Row],[ Re. Gas GC
 '[m3']]]/Tabla1[[#This Row],[G. HGS 
Con Gas '[kWh']]],0)</f>
        <v>0.26933876945885843</v>
      </c>
      <c r="BP157" s="374">
        <f>Tank!Y158</f>
        <v>0</v>
      </c>
      <c r="BQ157" s="70">
        <f>Tank!AP158</f>
        <v>0</v>
      </c>
      <c r="BR157" s="70">
        <f>Tank!V158</f>
        <v>0</v>
      </c>
      <c r="BS157" s="372">
        <f>Tank!T158</f>
        <v>0</v>
      </c>
      <c r="BT157" s="375" t="s">
        <v>228</v>
      </c>
      <c r="BU157" s="451">
        <v>71</v>
      </c>
      <c r="BV157" s="375">
        <f>IF(Tabla1[[#This Row],[Combustible ofertado]]="GAS",Tabla1[[#This Row],[Disponibilidad]],0)</f>
        <v>0</v>
      </c>
      <c r="BW157" s="375">
        <f>IF(Tabla1[[#This Row],[Combustible ofertado]]="DIESEL",Tabla1[[#This Row],[Disponibilidad]],0)</f>
        <v>71</v>
      </c>
      <c r="BX157" s="375">
        <f>IF(Tabla1[[#This Row],[Combustible ofertado]]="HFO",Tabla1[[#This Row],[Disponibilidad]],0)</f>
        <v>0</v>
      </c>
      <c r="BY157" s="456">
        <v>1440</v>
      </c>
      <c r="BZ157" s="446">
        <f>'Horo. M'!C158</f>
        <v>24</v>
      </c>
      <c r="CA157" s="446">
        <f>'Horo. M'!E158</f>
        <v>24</v>
      </c>
      <c r="CB157" s="446">
        <f>'Horo. M'!G158</f>
        <v>24</v>
      </c>
      <c r="CC157" s="446">
        <f>'Horo. M'!I158</f>
        <v>0</v>
      </c>
      <c r="CD157" s="446">
        <f>'Horo. M'!K158</f>
        <v>24</v>
      </c>
      <c r="CE157" s="446">
        <f>'Horo. M'!M158</f>
        <v>24</v>
      </c>
      <c r="CF157" s="446">
        <f>'Horo. M'!O158</f>
        <v>24</v>
      </c>
      <c r="CG157" s="446">
        <f>'Horo. M'!Q158</f>
        <v>0</v>
      </c>
      <c r="CH157" s="446">
        <f>'Horo. M'!S158</f>
        <v>24</v>
      </c>
      <c r="CI157" s="446">
        <f>'Horo. M'!U158</f>
        <v>21</v>
      </c>
      <c r="CJ157" s="70">
        <f>Tabla1[[#This Row],[Con. DO Storage '[gal']]]-Tabla1[[#This Row],[C. DO Storage Ge '[gal']]]</f>
        <v>422.67528377303745</v>
      </c>
      <c r="CK157" s="70"/>
      <c r="CL157" s="70"/>
      <c r="CM157" s="372">
        <f>Tabla1[[#This Row],[Con. DO Total '[gal']]]*131485.5/(1000000)</f>
        <v>286.9094016641863</v>
      </c>
    </row>
    <row r="158" spans="1:91" ht="15" customHeight="1">
      <c r="A158" s="362">
        <v>45083</v>
      </c>
      <c r="B158" s="376" t="str">
        <f>TEXT(Tabla1[[#This Row],[Fecha]],"mmmm")</f>
        <v>junio</v>
      </c>
      <c r="C158" s="429">
        <v>0</v>
      </c>
      <c r="D158" s="429">
        <v>1296</v>
      </c>
      <c r="E158" s="429">
        <v>1296</v>
      </c>
      <c r="F158" s="430">
        <v>1333</v>
      </c>
      <c r="G158" s="431">
        <v>0</v>
      </c>
      <c r="H158" s="431">
        <v>0</v>
      </c>
      <c r="I158" s="432">
        <v>0</v>
      </c>
      <c r="J158" s="432">
        <v>0</v>
      </c>
      <c r="K158" s="430">
        <v>24</v>
      </c>
      <c r="L158" s="430">
        <v>24</v>
      </c>
      <c r="M158" s="365">
        <f>Tabla1[[#This Row],[Columna1]]-Tabla1[[#This Row],[PO '[h']]]</f>
        <v>0</v>
      </c>
      <c r="N158" s="365">
        <f t="shared" si="52"/>
        <v>1333</v>
      </c>
      <c r="O158" s="430">
        <v>1333</v>
      </c>
      <c r="P158" s="367">
        <f>Tabla1[[#This Row],[G. HGS 
'[MWh']]]</f>
        <v>1333</v>
      </c>
      <c r="Q158" s="430">
        <v>0</v>
      </c>
      <c r="R158" s="367">
        <v>0</v>
      </c>
      <c r="S158" s="367">
        <f>Tabla1[[#This Row],[G. HGS 
Con Gas]]*1000</f>
        <v>1333000</v>
      </c>
      <c r="T158" s="365">
        <f>Tabla1[[#This Row],[G. HGS 
'[MWh']]]*1000</f>
        <v>1333000</v>
      </c>
      <c r="U158" s="368">
        <f>SUM('G. Un GE'!B158:Y158)</f>
        <v>1321.5018</v>
      </c>
      <c r="V158" s="369">
        <f>Tabla1[[#This Row],[R. GE
'[MWh']]]</f>
        <v>1321.5018</v>
      </c>
      <c r="W158" s="434">
        <v>0</v>
      </c>
      <c r="X158" s="369">
        <v>0</v>
      </c>
      <c r="Y158" s="365">
        <f>Tabla1[[#This Row],[R. GE
'[MWh']]]*1000</f>
        <v>1321501.8</v>
      </c>
      <c r="Z158" s="434">
        <v>36.83</v>
      </c>
      <c r="AA15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36.83</v>
      </c>
      <c r="AB158" s="371">
        <f>IF(Tabla1[[#This Row],[G. HGS 
'[MWh']]]=0,0,Tabla1[[#This Row],[G. HGS 
'[MWh']]]+Tabla1[[#This Row],[Con. Aux. '[MWh']2]])</f>
        <v>1369.83</v>
      </c>
      <c r="AC158" s="368">
        <f>'C. ENER. TN'!F158</f>
        <v>0</v>
      </c>
      <c r="AD158" s="370">
        <f>'C. ENER. TN'!G158</f>
        <v>1321.5018</v>
      </c>
      <c r="AE158" s="370">
        <f>'G. Un GE'!AX158</f>
        <v>168.06162678571428</v>
      </c>
      <c r="AF158" s="368">
        <f>IFERROR('G. Un GE'!AX158/Tabla1[[#This Row],[PO '[h']]],0)</f>
        <v>7.0025677827380948</v>
      </c>
      <c r="AG158" s="365">
        <f>'Ar-Pa'!AX158</f>
        <v>2</v>
      </c>
      <c r="AH158" s="365">
        <f>'Ar-Pa'!AY158</f>
        <v>2</v>
      </c>
      <c r="AI158" s="366">
        <f>SUM('Cal. Arr'!AB161:AY161)</f>
        <v>0</v>
      </c>
      <c r="AJ158" s="442">
        <v>3.1</v>
      </c>
      <c r="AK158" s="443">
        <v>1.4</v>
      </c>
      <c r="AL158" s="267">
        <f t="shared" si="42"/>
        <v>369.84087330140778</v>
      </c>
      <c r="AM158" s="267">
        <f>+CONVERT(AK158+Tabla1[[#This Row],[Con. DO Storage Gen. '[m3']]],"m^3","gal")</f>
        <v>1188.7742356116678</v>
      </c>
      <c r="AN158" s="372">
        <f>SUM('DO Pilot'!B158:Y158)</f>
        <v>6.7800000000000011</v>
      </c>
      <c r="AO158" s="372">
        <f t="shared" si="43"/>
        <v>1791.0865149882466</v>
      </c>
      <c r="AP158" s="267">
        <f>AK158+AN158+Tabla1[[#This Row],[Con. DO Storage Gen. '[m3']]]</f>
        <v>11.280000000000001</v>
      </c>
      <c r="AQ158" s="372">
        <f t="shared" si="49"/>
        <v>2979.8607505999148</v>
      </c>
      <c r="AR158" s="443">
        <v>0</v>
      </c>
      <c r="AS158" s="443">
        <v>0</v>
      </c>
      <c r="AT158" s="267">
        <f>+CONVERT(SUM(Tabla1[[#This Row],[Repo. DO Storage '[gal']]:[Repo. DO Pilot '[gal']]]),"gal","m3")</f>
        <v>0</v>
      </c>
      <c r="AU158" s="442">
        <v>0</v>
      </c>
      <c r="AV158" s="372">
        <f t="shared" si="53"/>
        <v>0</v>
      </c>
      <c r="AW158" s="442">
        <v>0</v>
      </c>
      <c r="AX158" s="372">
        <f t="shared" si="44"/>
        <v>0</v>
      </c>
      <c r="AY158" s="372">
        <f t="shared" si="45"/>
        <v>0.27745001748042597</v>
      </c>
      <c r="AZ158" s="372">
        <f>IFERROR(AL158/'Ar-Pa'!AX158,0)</f>
        <v>184.92043665070389</v>
      </c>
      <c r="BA158" s="372">
        <f>IFERROR(AL158/'Ar-Pa'!AY158,0)</f>
        <v>184.92043665070389</v>
      </c>
      <c r="BB158" s="372">
        <f t="shared" si="46"/>
        <v>1.3436507989409201</v>
      </c>
      <c r="BC158" s="372">
        <f>IFERROR(AVERAGEIF('DO Pilot'!AX158:BU158,"&gt;0"),0)</f>
        <v>9.4897519998894388</v>
      </c>
      <c r="BD158" s="446">
        <v>360894</v>
      </c>
      <c r="BE158" s="446">
        <v>12775</v>
      </c>
      <c r="BF158" s="446">
        <v>360171</v>
      </c>
      <c r="BG158" s="223">
        <f>Tabla1[[#This Row],[ Re. Gas GC
 '[m3']]]</f>
        <v>360171</v>
      </c>
      <c r="BH158" s="150">
        <f>IFERROR((BG158*Gas!$B$3)/28.31685,0)</f>
        <v>12670.729504870777</v>
      </c>
      <c r="BI158" s="73">
        <f t="shared" si="54"/>
        <v>-104.27049512922349</v>
      </c>
      <c r="BJ158" s="74">
        <f t="shared" si="50"/>
        <v>-8.229241661984868E-3</v>
      </c>
      <c r="BK158" s="223">
        <f t="shared" si="47"/>
        <v>9583.64591147787</v>
      </c>
      <c r="BL158" s="442">
        <v>8998.11</v>
      </c>
      <c r="BM158" s="70">
        <f t="shared" si="48"/>
        <v>9249.8554600722546</v>
      </c>
      <c r="BN158" s="150">
        <f t="shared" si="51"/>
        <v>9588.1288280279114</v>
      </c>
      <c r="BO158" s="373">
        <f>IFERROR(Tabla1[[#This Row],[ Re. Gas GC
 '[m3']]]/Tabla1[[#This Row],[G. HGS 
Con Gas '[kWh']]],0)</f>
        <v>0.27019579894973744</v>
      </c>
      <c r="BP158" s="374">
        <f>Tank!Y159</f>
        <v>0</v>
      </c>
      <c r="BQ158" s="70">
        <f>Tank!AP159</f>
        <v>20.91</v>
      </c>
      <c r="BR158" s="70">
        <f>Tank!V159</f>
        <v>0</v>
      </c>
      <c r="BS158" s="372">
        <f>Tank!T159</f>
        <v>0</v>
      </c>
      <c r="BT158" s="375" t="s">
        <v>228</v>
      </c>
      <c r="BU158" s="451">
        <v>71</v>
      </c>
      <c r="BV158" s="375">
        <f>IF(Tabla1[[#This Row],[Combustible ofertado]]="GAS",Tabla1[[#This Row],[Disponibilidad]],0)</f>
        <v>0</v>
      </c>
      <c r="BW158" s="375">
        <f>IF(Tabla1[[#This Row],[Combustible ofertado]]="DIESEL",Tabla1[[#This Row],[Disponibilidad]],0)</f>
        <v>71</v>
      </c>
      <c r="BX158" s="375">
        <f>IF(Tabla1[[#This Row],[Combustible ofertado]]="HFO",Tabla1[[#This Row],[Disponibilidad]],0)</f>
        <v>0</v>
      </c>
      <c r="BY158" s="456">
        <v>1440</v>
      </c>
      <c r="BZ158" s="446">
        <f>'Horo. M'!C159</f>
        <v>22</v>
      </c>
      <c r="CA158" s="446">
        <f>'Horo. M'!E159</f>
        <v>23</v>
      </c>
      <c r="CB158" s="446">
        <f>'Horo. M'!G159</f>
        <v>24</v>
      </c>
      <c r="CC158" s="446">
        <f>'Horo. M'!I159</f>
        <v>0</v>
      </c>
      <c r="CD158" s="446">
        <f>'Horo. M'!K159</f>
        <v>24</v>
      </c>
      <c r="CE158" s="446">
        <f>'Horo. M'!M159</f>
        <v>24</v>
      </c>
      <c r="CF158" s="446">
        <f>'Horo. M'!O159</f>
        <v>24</v>
      </c>
      <c r="CG158" s="446">
        <f>'Horo. M'!Q159</f>
        <v>0</v>
      </c>
      <c r="CH158" s="446">
        <f>'Horo. M'!S159</f>
        <v>24</v>
      </c>
      <c r="CI158" s="446">
        <f>'Horo. M'!U159</f>
        <v>24</v>
      </c>
      <c r="CJ158" s="70">
        <f>Tabla1[[#This Row],[Con. DO Storage '[gal']]]-Tabla1[[#This Row],[C. DO Storage Ge '[gal']]]</f>
        <v>369.84087330140778</v>
      </c>
      <c r="CK158" s="70"/>
      <c r="CL158" s="70"/>
      <c r="CM158" s="372">
        <f>Tabla1[[#This Row],[Con. DO Total '[gal']]]*131485.5/(1000000)</f>
        <v>391.80848072300512</v>
      </c>
    </row>
    <row r="159" spans="1:91" ht="15" customHeight="1">
      <c r="A159" s="362">
        <v>45084</v>
      </c>
      <c r="B159" s="376" t="str">
        <f>TEXT(Tabla1[[#This Row],[Fecha]],"mmmm")</f>
        <v>junio</v>
      </c>
      <c r="C159" s="429">
        <v>0</v>
      </c>
      <c r="D159" s="429">
        <v>1310</v>
      </c>
      <c r="E159" s="429">
        <v>1310</v>
      </c>
      <c r="F159" s="430">
        <v>1397</v>
      </c>
      <c r="G159" s="431">
        <v>4</v>
      </c>
      <c r="H159" s="431">
        <v>284</v>
      </c>
      <c r="I159" s="432">
        <v>1</v>
      </c>
      <c r="J159" s="432">
        <v>55</v>
      </c>
      <c r="K159" s="430">
        <v>24</v>
      </c>
      <c r="L159" s="430">
        <v>24</v>
      </c>
      <c r="M159" s="365">
        <f>Tabla1[[#This Row],[Columna1]]-Tabla1[[#This Row],[PO '[h']]]</f>
        <v>0</v>
      </c>
      <c r="N159" s="365">
        <f t="shared" si="52"/>
        <v>1736</v>
      </c>
      <c r="O159" s="430">
        <v>1397</v>
      </c>
      <c r="P159" s="367">
        <f>Tabla1[[#This Row],[G. HGS 
'[MWh']]]</f>
        <v>1397</v>
      </c>
      <c r="Q159" s="430">
        <v>0</v>
      </c>
      <c r="R159" s="367">
        <v>0</v>
      </c>
      <c r="S159" s="367">
        <f>Tabla1[[#This Row],[G. HGS 
Con Gas]]*1000</f>
        <v>1397000</v>
      </c>
      <c r="T159" s="365">
        <f>Tabla1[[#This Row],[G. HGS 
'[MWh']]]*1000</f>
        <v>1397000</v>
      </c>
      <c r="U159" s="368">
        <f>SUM('G. Un GE'!B159:Y159)</f>
        <v>1383.7105000000004</v>
      </c>
      <c r="V159" s="369">
        <f>Tabla1[[#This Row],[R. GE
'[MWh']]]</f>
        <v>1383.7105000000004</v>
      </c>
      <c r="W159" s="434">
        <v>0</v>
      </c>
      <c r="X159" s="369">
        <v>0</v>
      </c>
      <c r="Y159" s="365">
        <f>Tabla1[[#This Row],[R. GE
'[MWh']]]*1000</f>
        <v>1383710.5000000005</v>
      </c>
      <c r="Z159" s="434">
        <v>37.39</v>
      </c>
      <c r="AA15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37.39</v>
      </c>
      <c r="AB159" s="371">
        <f>IF(Tabla1[[#This Row],[G. HGS 
'[MWh']]]=0,0,Tabla1[[#This Row],[G. HGS 
'[MWh']]]+Tabla1[[#This Row],[Con. Aux. '[MWh']2]])</f>
        <v>1434.39</v>
      </c>
      <c r="AC159" s="368">
        <f>'C. ENER. TN'!F159</f>
        <v>0</v>
      </c>
      <c r="AD159" s="370">
        <f>'C. ENER. TN'!G159</f>
        <v>1383.7105000000001</v>
      </c>
      <c r="AE159" s="370">
        <f>'G. Un GE'!AX159</f>
        <v>173.17648253968258</v>
      </c>
      <c r="AF159" s="368">
        <f>IFERROR('G. Un GE'!AX159/Tabla1[[#This Row],[PO '[h']]],0)</f>
        <v>7.2156867724867739</v>
      </c>
      <c r="AG159" s="365">
        <f>'Ar-Pa'!AX159</f>
        <v>2</v>
      </c>
      <c r="AH159" s="365">
        <f>'Ar-Pa'!AY159</f>
        <v>2</v>
      </c>
      <c r="AI159" s="366">
        <f>SUM('Cal. Arr'!AB162:AY162)</f>
        <v>0</v>
      </c>
      <c r="AJ159" s="442">
        <v>0</v>
      </c>
      <c r="AK159" s="443">
        <v>1.1000000000000001</v>
      </c>
      <c r="AL159" s="267">
        <f t="shared" si="42"/>
        <v>290.58925759396328</v>
      </c>
      <c r="AM159" s="267">
        <f>+CONVERT(AK159+Tabla1[[#This Row],[Con. DO Storage Gen. '[m3']]],"m^3","gal")</f>
        <v>290.58925759396328</v>
      </c>
      <c r="AN159" s="372">
        <f>SUM('DO Pilot'!B159:Y159)</f>
        <v>6.73</v>
      </c>
      <c r="AO159" s="372">
        <f t="shared" si="43"/>
        <v>1777.8779123703389</v>
      </c>
      <c r="AP159" s="267">
        <f>AK159+AN159+Tabla1[[#This Row],[Con. DO Storage Gen. '[m3']]]</f>
        <v>7.83</v>
      </c>
      <c r="AQ159" s="372">
        <f t="shared" si="49"/>
        <v>2068.4671699643022</v>
      </c>
      <c r="AR159" s="443">
        <v>0</v>
      </c>
      <c r="AS159" s="443">
        <v>0</v>
      </c>
      <c r="AT159" s="267">
        <f>+CONVERT(SUM(Tabla1[[#This Row],[Repo. DO Storage '[gal']]:[Repo. DO Pilot '[gal']]]),"gal","m3")</f>
        <v>0</v>
      </c>
      <c r="AU159" s="442">
        <v>0</v>
      </c>
      <c r="AV159" s="372">
        <f t="shared" si="53"/>
        <v>0</v>
      </c>
      <c r="AW159" s="442">
        <v>0</v>
      </c>
      <c r="AX159" s="372">
        <f t="shared" si="44"/>
        <v>0</v>
      </c>
      <c r="AY159" s="372">
        <f t="shared" si="45"/>
        <v>0.20800949004578617</v>
      </c>
      <c r="AZ159" s="372">
        <f>IFERROR(AL159/'Ar-Pa'!AX159,0)</f>
        <v>145.29462879698164</v>
      </c>
      <c r="BA159" s="372">
        <f>IFERROR(AL159/'Ar-Pa'!AY159,0)</f>
        <v>145.29462879698164</v>
      </c>
      <c r="BB159" s="372">
        <f t="shared" si="46"/>
        <v>1.2726398800074008</v>
      </c>
      <c r="BC159" s="372">
        <f>IFERROR(AVERAGEIF('DO Pilot'!AX159:BU159,"&gt;0"),0)</f>
        <v>9.2696086229243146</v>
      </c>
      <c r="BD159" s="446">
        <v>372756</v>
      </c>
      <c r="BE159" s="446">
        <v>13195</v>
      </c>
      <c r="BF159" s="446">
        <v>372366</v>
      </c>
      <c r="BG159" s="223">
        <f>Tabla1[[#This Row],[ Re. Gas GC
 '[m3']]]</f>
        <v>372366</v>
      </c>
      <c r="BH159" s="150">
        <f>IFERROR((BG159*Gas!$B$3)/28.31685,0)</f>
        <v>13099.746683688334</v>
      </c>
      <c r="BI159" s="73">
        <f t="shared" si="54"/>
        <v>-95.253316311665913</v>
      </c>
      <c r="BJ159" s="74">
        <f t="shared" si="50"/>
        <v>-7.2713861276626317E-3</v>
      </c>
      <c r="BK159" s="223">
        <f t="shared" si="47"/>
        <v>9445.2397995705087</v>
      </c>
      <c r="BL159" s="442">
        <v>0</v>
      </c>
      <c r="BM159" s="70">
        <f t="shared" si="48"/>
        <v>9132.6254949409395</v>
      </c>
      <c r="BN159" s="150">
        <f t="shared" si="51"/>
        <v>9467.1151831892075</v>
      </c>
      <c r="BO159" s="373">
        <f>IFERROR(Tabla1[[#This Row],[ Re. Gas GC
 '[m3']]]/Tabla1[[#This Row],[G. HGS 
Con Gas '[kWh']]],0)</f>
        <v>0.26654688618468148</v>
      </c>
      <c r="BP159" s="374">
        <f>Tank!Y160</f>
        <v>30.461208625847998</v>
      </c>
      <c r="BQ159" s="70">
        <f>Tank!AP160</f>
        <v>0</v>
      </c>
      <c r="BR159" s="70">
        <f>Tank!V160</f>
        <v>0</v>
      </c>
      <c r="BS159" s="372">
        <f>Tank!T160</f>
        <v>0</v>
      </c>
      <c r="BT159" s="375" t="s">
        <v>228</v>
      </c>
      <c r="BU159" s="450">
        <v>71</v>
      </c>
      <c r="BV159" s="375">
        <f>IF(Tabla1[[#This Row],[Combustible ofertado]]="GAS",Tabla1[[#This Row],[Disponibilidad]],0)</f>
        <v>0</v>
      </c>
      <c r="BW159" s="375">
        <f>IF(Tabla1[[#This Row],[Combustible ofertado]]="DIESEL",Tabla1[[#This Row],[Disponibilidad]],0)</f>
        <v>71</v>
      </c>
      <c r="BX159" s="375">
        <f>IF(Tabla1[[#This Row],[Combustible ofertado]]="HFO",Tabla1[[#This Row],[Disponibilidad]],0)</f>
        <v>0</v>
      </c>
      <c r="BY159" s="455">
        <v>1440</v>
      </c>
      <c r="BZ159" s="446">
        <f>'Horo. M'!C160</f>
        <v>24</v>
      </c>
      <c r="CA159" s="446">
        <f>'Horo. M'!E160</f>
        <v>24</v>
      </c>
      <c r="CB159" s="446">
        <f>'Horo. M'!G160</f>
        <v>24</v>
      </c>
      <c r="CC159" s="446">
        <f>'Horo. M'!I160</f>
        <v>4</v>
      </c>
      <c r="CD159" s="446">
        <f>'Horo. M'!K160</f>
        <v>24</v>
      </c>
      <c r="CE159" s="446">
        <f>'Horo. M'!M160</f>
        <v>24</v>
      </c>
      <c r="CF159" s="446">
        <f>'Horo. M'!O160</f>
        <v>24</v>
      </c>
      <c r="CG159" s="446">
        <f>'Horo. M'!Q160</f>
        <v>0</v>
      </c>
      <c r="CH159" s="446">
        <f>'Horo. M'!S160</f>
        <v>23</v>
      </c>
      <c r="CI159" s="446">
        <f>'Horo. M'!U160</f>
        <v>24</v>
      </c>
      <c r="CJ159" s="70">
        <f>Tabla1[[#This Row],[Con. DO Storage '[gal']]]-Tabla1[[#This Row],[C. DO Storage Ge '[gal']]]</f>
        <v>290.58925759396328</v>
      </c>
      <c r="CK159" s="70"/>
      <c r="CL159" s="70"/>
      <c r="CM159" s="372">
        <f>Tabla1[[#This Row],[Con. DO Total '[gal']]]*131485.5/(1000000)</f>
        <v>271.97344007634126</v>
      </c>
    </row>
    <row r="160" spans="1:91" ht="15" customHeight="1">
      <c r="A160" s="362">
        <v>45085</v>
      </c>
      <c r="B160" s="376" t="str">
        <f>TEXT(Tabla1[[#This Row],[Fecha]],"mmmm")</f>
        <v>junio</v>
      </c>
      <c r="C160" s="429">
        <v>0</v>
      </c>
      <c r="D160" s="429">
        <v>1309</v>
      </c>
      <c r="E160" s="429">
        <v>1309</v>
      </c>
      <c r="F160" s="430">
        <v>1312</v>
      </c>
      <c r="G160" s="431">
        <v>0</v>
      </c>
      <c r="H160" s="431">
        <v>0</v>
      </c>
      <c r="I160" s="432">
        <v>2</v>
      </c>
      <c r="J160" s="432">
        <v>106</v>
      </c>
      <c r="K160" s="430">
        <v>24</v>
      </c>
      <c r="L160" s="430">
        <v>24</v>
      </c>
      <c r="M160" s="365">
        <f>Tabla1[[#This Row],[Columna1]]-Tabla1[[#This Row],[PO '[h']]]</f>
        <v>0</v>
      </c>
      <c r="N160" s="365">
        <f t="shared" si="52"/>
        <v>1418</v>
      </c>
      <c r="O160" s="430">
        <v>1312</v>
      </c>
      <c r="P160" s="367">
        <f>Tabla1[[#This Row],[G. HGS 
'[MWh']]]</f>
        <v>1312</v>
      </c>
      <c r="Q160" s="430">
        <v>0</v>
      </c>
      <c r="R160" s="367">
        <v>0</v>
      </c>
      <c r="S160" s="367">
        <f>Tabla1[[#This Row],[G. HGS 
Con Gas]]*1000</f>
        <v>1312000</v>
      </c>
      <c r="T160" s="365">
        <f>Tabla1[[#This Row],[G. HGS 
'[MWh']]]*1000</f>
        <v>1312000</v>
      </c>
      <c r="U160" s="368">
        <f>SUM('G. Un GE'!B160:Y160)</f>
        <v>1300.8740999999998</v>
      </c>
      <c r="V160" s="369">
        <f>Tabla1[[#This Row],[R. GE
'[MWh']]]</f>
        <v>1300.8740999999998</v>
      </c>
      <c r="W160" s="434">
        <v>0</v>
      </c>
      <c r="X160" s="369">
        <v>0</v>
      </c>
      <c r="Y160" s="365">
        <f>Tabla1[[#This Row],[R. GE
'[MWh']]]*1000</f>
        <v>1300874.0999999999</v>
      </c>
      <c r="Z160" s="434">
        <v>36.5</v>
      </c>
      <c r="AA16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36.5</v>
      </c>
      <c r="AB160" s="371">
        <f>IF(Tabla1[[#This Row],[G. HGS 
'[MWh']]]=0,0,Tabla1[[#This Row],[G. HGS 
'[MWh']]]+Tabla1[[#This Row],[Con. Aux. '[MWh']2]])</f>
        <v>1348.5</v>
      </c>
      <c r="AC160" s="368">
        <f>'C. ENER. TN'!F160</f>
        <v>0</v>
      </c>
      <c r="AD160" s="370">
        <f>'C. ENER. TN'!G160</f>
        <v>1300.8741000000002</v>
      </c>
      <c r="AE160" s="370">
        <f>'G. Un GE'!AX160</f>
        <v>164.94897361111109</v>
      </c>
      <c r="AF160" s="368">
        <f>IFERROR('G. Un GE'!AX160/Tabla1[[#This Row],[PO '[h']]],0)</f>
        <v>6.8728739004629622</v>
      </c>
      <c r="AG160" s="365">
        <f>'Ar-Pa'!AX160</f>
        <v>2</v>
      </c>
      <c r="AH160" s="365">
        <f>'Ar-Pa'!AY160</f>
        <v>1</v>
      </c>
      <c r="AI160" s="366">
        <f>SUM('Cal. Arr'!AB163:AY163)</f>
        <v>0</v>
      </c>
      <c r="AJ160" s="442">
        <v>6.2</v>
      </c>
      <c r="AK160" s="443">
        <v>1.4</v>
      </c>
      <c r="AL160" s="267">
        <f t="shared" si="42"/>
        <v>369.84087330140778</v>
      </c>
      <c r="AM160" s="267">
        <f>+CONVERT(AK160+Tabla1[[#This Row],[Con. DO Storage Gen. '[m3']]],"m^3","gal")</f>
        <v>2007.707597921928</v>
      </c>
      <c r="AN160" s="372">
        <f>SUM('DO Pilot'!B160:Y160)</f>
        <v>7.5199999999999987</v>
      </c>
      <c r="AO160" s="372">
        <f t="shared" si="43"/>
        <v>1986.5738337332759</v>
      </c>
      <c r="AP160" s="267">
        <f>AK160+AN160+Tabla1[[#This Row],[Con. DO Storage Gen. '[m3']]]</f>
        <v>15.119999999999997</v>
      </c>
      <c r="AQ160" s="372">
        <f t="shared" si="49"/>
        <v>3994.2814316552035</v>
      </c>
      <c r="AR160" s="443">
        <v>0</v>
      </c>
      <c r="AS160" s="443">
        <v>0</v>
      </c>
      <c r="AT160" s="267">
        <f>+CONVERT(SUM(Tabla1[[#This Row],[Repo. DO Storage '[gal']]:[Repo. DO Pilot '[gal']]]),"gal","m3")</f>
        <v>0</v>
      </c>
      <c r="AU160" s="442">
        <v>0</v>
      </c>
      <c r="AV160" s="372">
        <f t="shared" si="53"/>
        <v>0</v>
      </c>
      <c r="AW160" s="442">
        <v>0</v>
      </c>
      <c r="AX160" s="372">
        <f t="shared" si="44"/>
        <v>0</v>
      </c>
      <c r="AY160" s="372">
        <f t="shared" si="45"/>
        <v>0.28189090952851203</v>
      </c>
      <c r="AZ160" s="372">
        <f>IFERROR(AL160/'Ar-Pa'!AX160,0)</f>
        <v>184.92043665070389</v>
      </c>
      <c r="BA160" s="372">
        <f>IFERROR(AL160/'Ar-Pa'!AY160,0)</f>
        <v>369.84087330140778</v>
      </c>
      <c r="BB160" s="372">
        <f t="shared" si="46"/>
        <v>1.5141568854674359</v>
      </c>
      <c r="BC160" s="372">
        <f>IFERROR(AVERAGEIF('DO Pilot'!AX160:BU160,"&gt;0"),0)</f>
        <v>10.49459294970743</v>
      </c>
      <c r="BD160" s="446">
        <v>351673</v>
      </c>
      <c r="BE160" s="446">
        <v>12449</v>
      </c>
      <c r="BF160" s="446">
        <v>351379</v>
      </c>
      <c r="BG160" s="223">
        <f>Tabla1[[#This Row],[ Re. Gas GC
 '[m3']]]</f>
        <v>351379</v>
      </c>
      <c r="BH160" s="150">
        <f>IFERROR((BG160*Gas!$B$3)/28.31685,0)</f>
        <v>12361.42905090079</v>
      </c>
      <c r="BI160" s="73">
        <f t="shared" si="54"/>
        <v>-87.570949099210338</v>
      </c>
      <c r="BJ160" s="74">
        <f t="shared" si="50"/>
        <v>-7.0842091750572284E-3</v>
      </c>
      <c r="BK160" s="223">
        <f t="shared" si="47"/>
        <v>9488.5670731707323</v>
      </c>
      <c r="BL160" s="442">
        <v>0</v>
      </c>
      <c r="BM160" s="70">
        <f t="shared" si="48"/>
        <v>9166.799444494467</v>
      </c>
      <c r="BN160" s="150">
        <f t="shared" si="51"/>
        <v>9502.4023084945675</v>
      </c>
      <c r="BO160" s="373">
        <f>IFERROR(Tabla1[[#This Row],[ Re. Gas GC
 '[m3']]]/Tabla1[[#This Row],[G. HGS 
Con Gas '[kWh']]],0)</f>
        <v>0.26781935975609755</v>
      </c>
      <c r="BP160" s="374">
        <f>Tank!Y161</f>
        <v>0</v>
      </c>
      <c r="BQ160" s="70">
        <f>Tank!AP161</f>
        <v>42.6</v>
      </c>
      <c r="BR160" s="70">
        <f>Tank!V161</f>
        <v>0</v>
      </c>
      <c r="BS160" s="372">
        <f>Tank!T161</f>
        <v>0</v>
      </c>
      <c r="BT160" s="375" t="s">
        <v>228</v>
      </c>
      <c r="BU160" s="451">
        <v>71</v>
      </c>
      <c r="BV160" s="375">
        <f>IF(Tabla1[[#This Row],[Combustible ofertado]]="GAS",Tabla1[[#This Row],[Disponibilidad]],0)</f>
        <v>0</v>
      </c>
      <c r="BW160" s="375">
        <f>IF(Tabla1[[#This Row],[Combustible ofertado]]="DIESEL",Tabla1[[#This Row],[Disponibilidad]],0)</f>
        <v>71</v>
      </c>
      <c r="BX160" s="375">
        <f>IF(Tabla1[[#This Row],[Combustible ofertado]]="HFO",Tabla1[[#This Row],[Disponibilidad]],0)</f>
        <v>0</v>
      </c>
      <c r="BY160" s="456">
        <v>1440</v>
      </c>
      <c r="BZ160" s="446">
        <f>'Horo. M'!C161</f>
        <v>24</v>
      </c>
      <c r="CA160" s="446">
        <f>'Horo. M'!E161</f>
        <v>24</v>
      </c>
      <c r="CB160" s="446">
        <f>'Horo. M'!G161</f>
        <v>24</v>
      </c>
      <c r="CC160" s="446">
        <f>'Horo. M'!I161</f>
        <v>3</v>
      </c>
      <c r="CD160" s="446">
        <f>'Horo. M'!K161</f>
        <v>23</v>
      </c>
      <c r="CE160" s="446">
        <f>'Horo. M'!M161</f>
        <v>23</v>
      </c>
      <c r="CF160" s="446">
        <f>'Horo. M'!O161</f>
        <v>22</v>
      </c>
      <c r="CG160" s="446">
        <f>'Horo. M'!Q161</f>
        <v>0</v>
      </c>
      <c r="CH160" s="446">
        <f>'Horo. M'!S161</f>
        <v>23</v>
      </c>
      <c r="CI160" s="446">
        <f>'Horo. M'!U161</f>
        <v>23</v>
      </c>
      <c r="CJ160" s="70">
        <f>Tabla1[[#This Row],[Con. DO Storage '[gal']]]-Tabla1[[#This Row],[C. DO Storage Ge '[gal']]]</f>
        <v>369.84087330140778</v>
      </c>
      <c r="CK160" s="70"/>
      <c r="CL160" s="70"/>
      <c r="CM160" s="372">
        <f>Tabla1[[#This Row],[Con. DO Total '[gal']]]*131485.5/(1000000)</f>
        <v>525.19009118190024</v>
      </c>
    </row>
    <row r="161" spans="1:91" ht="15" customHeight="1">
      <c r="A161" s="362">
        <v>45086</v>
      </c>
      <c r="B161" s="376" t="str">
        <f>TEXT(Tabla1[[#This Row],[Fecha]],"mmmm")</f>
        <v>junio</v>
      </c>
      <c r="C161" s="429">
        <v>0</v>
      </c>
      <c r="D161" s="429">
        <v>1321</v>
      </c>
      <c r="E161" s="429">
        <v>1320</v>
      </c>
      <c r="F161" s="430">
        <v>1352</v>
      </c>
      <c r="G161" s="431">
        <v>0</v>
      </c>
      <c r="H161" s="431">
        <v>0</v>
      </c>
      <c r="I161" s="432">
        <v>0</v>
      </c>
      <c r="J161" s="432">
        <v>0</v>
      </c>
      <c r="K161" s="430">
        <v>24</v>
      </c>
      <c r="L161" s="430">
        <v>24</v>
      </c>
      <c r="M161" s="365">
        <f>Tabla1[[#This Row],[Columna1]]-Tabla1[[#This Row],[PO '[h']]]</f>
        <v>0</v>
      </c>
      <c r="N161" s="365">
        <f t="shared" si="52"/>
        <v>1352</v>
      </c>
      <c r="O161" s="430">
        <v>1352</v>
      </c>
      <c r="P161" s="367">
        <f>Tabla1[[#This Row],[G. HGS 
'[MWh']]]</f>
        <v>1352</v>
      </c>
      <c r="Q161" s="430">
        <v>0</v>
      </c>
      <c r="R161" s="367">
        <v>0</v>
      </c>
      <c r="S161" s="367">
        <f>Tabla1[[#This Row],[G. HGS 
Con Gas]]*1000</f>
        <v>1352000</v>
      </c>
      <c r="T161" s="365">
        <f>Tabla1[[#This Row],[G. HGS 
'[MWh']]]*1000</f>
        <v>1352000</v>
      </c>
      <c r="U161" s="368">
        <f>SUM('G. Un GE'!B161:Y161)</f>
        <v>1340.8446000000001</v>
      </c>
      <c r="V161" s="369">
        <f>Tabla1[[#This Row],[R. GE
'[MWh']]]</f>
        <v>1340.8446000000001</v>
      </c>
      <c r="W161" s="434">
        <v>0</v>
      </c>
      <c r="X161" s="369">
        <v>0</v>
      </c>
      <c r="Y161" s="365">
        <f>Tabla1[[#This Row],[R. GE
'[MWh']]]*1000</f>
        <v>1340844.6000000001</v>
      </c>
      <c r="Z161" s="434">
        <v>37.840000000000003</v>
      </c>
      <c r="AA16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37.840000000000003</v>
      </c>
      <c r="AB161" s="371">
        <f>IF(Tabla1[[#This Row],[G. HGS 
'[MWh']]]=0,0,Tabla1[[#This Row],[G. HGS 
'[MWh']]]+Tabla1[[#This Row],[Con. Aux. '[MWh']2]])</f>
        <v>1389.84</v>
      </c>
      <c r="AC161" s="368">
        <f>'C. ENER. TN'!F161</f>
        <v>0</v>
      </c>
      <c r="AD161" s="370">
        <f>'C. ENER. TN'!G161</f>
        <v>1340.8445999999999</v>
      </c>
      <c r="AE161" s="370">
        <f>'G. Un GE'!AX161</f>
        <v>161.30261230158732</v>
      </c>
      <c r="AF161" s="368">
        <f>IFERROR('G. Un GE'!AX161/Tabla1[[#This Row],[PO '[h']]],0)</f>
        <v>6.7209421792328046</v>
      </c>
      <c r="AG161" s="365">
        <f>'Ar-Pa'!AX161</f>
        <v>2</v>
      </c>
      <c r="AH161" s="365">
        <f>'Ar-Pa'!AY161</f>
        <v>2</v>
      </c>
      <c r="AI161" s="366">
        <f>SUM('Cal. Arr'!AB164:AY164)</f>
        <v>0</v>
      </c>
      <c r="AJ161" s="442">
        <v>0</v>
      </c>
      <c r="AK161" s="443">
        <v>1.7</v>
      </c>
      <c r="AL161" s="267">
        <f t="shared" si="42"/>
        <v>449.09248900885234</v>
      </c>
      <c r="AM161" s="267">
        <f>+CONVERT(AK161+Tabla1[[#This Row],[Con. DO Storage Gen. '[m3']]],"m^3","gal")</f>
        <v>449.09248900885234</v>
      </c>
      <c r="AN161" s="372">
        <f>SUM('DO Pilot'!B161:Y161)</f>
        <v>6.5499999999999989</v>
      </c>
      <c r="AO161" s="372">
        <f t="shared" si="43"/>
        <v>1730.3269429458719</v>
      </c>
      <c r="AP161" s="267">
        <f>AK161+AN161+Tabla1[[#This Row],[Con. DO Storage Gen. '[m3']]]</f>
        <v>8.2499999999999982</v>
      </c>
      <c r="AQ161" s="372">
        <f t="shared" si="49"/>
        <v>2179.4194319547241</v>
      </c>
      <c r="AR161" s="443">
        <v>0</v>
      </c>
      <c r="AS161" s="443">
        <v>11000</v>
      </c>
      <c r="AT161" s="267">
        <f>+CONVERT(SUM(Tabla1[[#This Row],[Repo. DO Storage '[gal']]:[Repo. DO Pilot '[gal']]]),"gal","m3")</f>
        <v>41.639529623999998</v>
      </c>
      <c r="AU161" s="442">
        <v>0</v>
      </c>
      <c r="AV161" s="372">
        <f t="shared" si="53"/>
        <v>0</v>
      </c>
      <c r="AW161" s="442">
        <v>0</v>
      </c>
      <c r="AX161" s="372">
        <f t="shared" si="44"/>
        <v>0</v>
      </c>
      <c r="AY161" s="372">
        <f t="shared" si="45"/>
        <v>0.33216900074619254</v>
      </c>
      <c r="AZ161" s="372">
        <f>IFERROR(AL161/'Ar-Pa'!AX161,0)</f>
        <v>224.54624450442617</v>
      </c>
      <c r="BA161" s="372">
        <f>IFERROR(AL161/'Ar-Pa'!AY161,0)</f>
        <v>224.54624450442617</v>
      </c>
      <c r="BB161" s="372">
        <f t="shared" si="46"/>
        <v>1.2798276205220946</v>
      </c>
      <c r="BC161" s="372">
        <f>IFERROR(AVERAGEIF('DO Pilot'!AX161:BU161,"&gt;0"),0)</f>
        <v>8.6740421655990243</v>
      </c>
      <c r="BD161" s="446">
        <v>367105</v>
      </c>
      <c r="BE161" s="446">
        <v>12995</v>
      </c>
      <c r="BF161" s="446">
        <v>367091</v>
      </c>
      <c r="BG161" s="223">
        <f>Tabla1[[#This Row],[ Re. Gas GC
 '[m3']]]</f>
        <v>367091</v>
      </c>
      <c r="BH161" s="150">
        <f>IFERROR((BG161*Gas!$B$3)/28.31685,0)</f>
        <v>12914.173447258434</v>
      </c>
      <c r="BI161" s="73">
        <f t="shared" si="54"/>
        <v>-80.826552741566047</v>
      </c>
      <c r="BJ161" s="74">
        <f t="shared" si="50"/>
        <v>-6.2587476520787177E-3</v>
      </c>
      <c r="BK161" s="223">
        <f t="shared" si="47"/>
        <v>9611.6863905325445</v>
      </c>
      <c r="BL161" s="442">
        <v>0</v>
      </c>
      <c r="BM161" s="70">
        <f t="shared" si="48"/>
        <v>9291.8418287417499</v>
      </c>
      <c r="BN161" s="150">
        <f t="shared" si="51"/>
        <v>9631.3722315460218</v>
      </c>
      <c r="BO161" s="373">
        <f>IFERROR(Tabla1[[#This Row],[ Re. Gas GC
 '[m3']]]/Tabla1[[#This Row],[G. HGS 
Con Gas '[kWh']]],0)</f>
        <v>0.27151701183431953</v>
      </c>
      <c r="BP161" s="374">
        <f>Tank!Y162</f>
        <v>0</v>
      </c>
      <c r="BQ161" s="70">
        <f>Tank!AP162</f>
        <v>21</v>
      </c>
      <c r="BR161" s="70">
        <f>Tank!V162</f>
        <v>0</v>
      </c>
      <c r="BS161" s="372">
        <f>Tank!T162</f>
        <v>0</v>
      </c>
      <c r="BT161" s="375" t="s">
        <v>228</v>
      </c>
      <c r="BU161" s="451">
        <v>71</v>
      </c>
      <c r="BV161" s="375">
        <f>IF(Tabla1[[#This Row],[Combustible ofertado]]="GAS",Tabla1[[#This Row],[Disponibilidad]],0)</f>
        <v>0</v>
      </c>
      <c r="BW161" s="375">
        <f>IF(Tabla1[[#This Row],[Combustible ofertado]]="DIESEL",Tabla1[[#This Row],[Disponibilidad]],0)</f>
        <v>71</v>
      </c>
      <c r="BX161" s="375">
        <f>IF(Tabla1[[#This Row],[Combustible ofertado]]="HFO",Tabla1[[#This Row],[Disponibilidad]],0)</f>
        <v>0</v>
      </c>
      <c r="BY161" s="456">
        <v>1440</v>
      </c>
      <c r="BZ161" s="446">
        <f>'Horo. M'!C162</f>
        <v>24</v>
      </c>
      <c r="CA161" s="446">
        <f>'Horo. M'!E162</f>
        <v>24</v>
      </c>
      <c r="CB161" s="446">
        <f>'Horo. M'!G162</f>
        <v>24</v>
      </c>
      <c r="CC161" s="446">
        <f>'Horo. M'!I162</f>
        <v>9</v>
      </c>
      <c r="CD161" s="446">
        <f>'Horo. M'!K162</f>
        <v>24</v>
      </c>
      <c r="CE161" s="446">
        <f>'Horo. M'!M162</f>
        <v>22</v>
      </c>
      <c r="CF161" s="446">
        <f>'Horo. M'!O162</f>
        <v>24</v>
      </c>
      <c r="CG161" s="446">
        <f>'Horo. M'!Q162</f>
        <v>0</v>
      </c>
      <c r="CH161" s="446">
        <f>'Horo. M'!S162</f>
        <v>24</v>
      </c>
      <c r="CI161" s="446">
        <f>'Horo. M'!U162</f>
        <v>24</v>
      </c>
      <c r="CJ161" s="70">
        <f>Tabla1[[#This Row],[Con. DO Storage '[gal']]]-Tabla1[[#This Row],[C. DO Storage Ge '[gal']]]</f>
        <v>449.09248900885234</v>
      </c>
      <c r="CK161" s="70"/>
      <c r="CL161" s="70"/>
      <c r="CM161" s="372">
        <f>Tabla1[[#This Row],[Con. DO Total '[gal']]]*131485.5/(1000000)</f>
        <v>286.56205372028285</v>
      </c>
    </row>
    <row r="162" spans="1:91" ht="15" customHeight="1">
      <c r="A162" s="362">
        <v>45087</v>
      </c>
      <c r="B162" s="376" t="str">
        <f>TEXT(Tabla1[[#This Row],[Fecha]],"mmmm")</f>
        <v>junio</v>
      </c>
      <c r="C162" s="429">
        <v>0</v>
      </c>
      <c r="D162" s="429">
        <v>1326</v>
      </c>
      <c r="E162" s="429">
        <v>1326</v>
      </c>
      <c r="F162" s="430">
        <v>1316</v>
      </c>
      <c r="G162" s="431">
        <v>0</v>
      </c>
      <c r="H162" s="431">
        <v>0</v>
      </c>
      <c r="I162" s="432">
        <v>3</v>
      </c>
      <c r="J162" s="432">
        <v>159</v>
      </c>
      <c r="K162" s="430">
        <v>24</v>
      </c>
      <c r="L162" s="430">
        <v>24</v>
      </c>
      <c r="M162" s="365">
        <f>Tabla1[[#This Row],[Columna1]]-Tabla1[[#This Row],[PO '[h']]]</f>
        <v>0</v>
      </c>
      <c r="N162" s="365">
        <f t="shared" si="52"/>
        <v>1475</v>
      </c>
      <c r="O162" s="430">
        <v>1316</v>
      </c>
      <c r="P162" s="367">
        <f>Tabla1[[#This Row],[G. HGS 
'[MWh']]]</f>
        <v>1316</v>
      </c>
      <c r="Q162" s="430">
        <v>0</v>
      </c>
      <c r="R162" s="367">
        <v>0</v>
      </c>
      <c r="S162" s="367">
        <f>Tabla1[[#This Row],[G. HGS 
Con Gas]]*1000</f>
        <v>1316000</v>
      </c>
      <c r="T162" s="365">
        <f>Tabla1[[#This Row],[G. HGS 
'[MWh']]]*1000</f>
        <v>1316000</v>
      </c>
      <c r="U162" s="368">
        <f>SUM('G. Un GE'!B162:Y162)</f>
        <v>1305.0933999999997</v>
      </c>
      <c r="V162" s="369">
        <f>Tabla1[[#This Row],[R. GE
'[MWh']]]</f>
        <v>1305.0933999999997</v>
      </c>
      <c r="W162" s="434">
        <v>0</v>
      </c>
      <c r="X162" s="369">
        <v>0</v>
      </c>
      <c r="Y162" s="365">
        <f>Tabla1[[#This Row],[R. GE
'[MWh']]]*1000</f>
        <v>1305093.3999999997</v>
      </c>
      <c r="Z162" s="434">
        <v>36.229999999999997</v>
      </c>
      <c r="AA16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36.229999999999997</v>
      </c>
      <c r="AB162" s="371">
        <f>IF(Tabla1[[#This Row],[G. HGS 
'[MWh']]]=0,0,Tabla1[[#This Row],[G. HGS 
'[MWh']]]+Tabla1[[#This Row],[Con. Aux. '[MWh']2]])</f>
        <v>1352.23</v>
      </c>
      <c r="AC162" s="368">
        <f>'C. ENER. TN'!F162</f>
        <v>0</v>
      </c>
      <c r="AD162" s="370">
        <f>'C. ENER. TN'!G162</f>
        <v>1305.0934</v>
      </c>
      <c r="AE162" s="370">
        <f>'G. Un GE'!AX162</f>
        <v>164.29699265873015</v>
      </c>
      <c r="AF162" s="368">
        <f>IFERROR('G. Un GE'!AX162/Tabla1[[#This Row],[PO '[h']]],0)</f>
        <v>6.8457080274470892</v>
      </c>
      <c r="AG162" s="365">
        <f>'Ar-Pa'!AX162</f>
        <v>2</v>
      </c>
      <c r="AH162" s="365">
        <f>'Ar-Pa'!AY162</f>
        <v>3</v>
      </c>
      <c r="AI162" s="366">
        <f>SUM('Cal. Arr'!AB165:AY165)</f>
        <v>0</v>
      </c>
      <c r="AJ162" s="442">
        <v>0</v>
      </c>
      <c r="AK162" s="443">
        <v>2.1</v>
      </c>
      <c r="AL162" s="267">
        <f t="shared" si="42"/>
        <v>554.76130995211167</v>
      </c>
      <c r="AM162" s="267">
        <f>+CONVERT(AK162+Tabla1[[#This Row],[Con. DO Storage Gen. '[m3']]],"m^3","gal")</f>
        <v>554.76130995211167</v>
      </c>
      <c r="AN162" s="372">
        <f>SUM('DO Pilot'!B162:Y162)</f>
        <v>7.0799999999999992</v>
      </c>
      <c r="AO162" s="372">
        <f t="shared" si="43"/>
        <v>1870.3381306956906</v>
      </c>
      <c r="AP162" s="267">
        <f>AK162+AN162+Tabla1[[#This Row],[Con. DO Storage Gen. '[m3']]]</f>
        <v>9.18</v>
      </c>
      <c r="AQ162" s="372">
        <f t="shared" si="49"/>
        <v>2425.0994406478026</v>
      </c>
      <c r="AR162" s="443">
        <v>0</v>
      </c>
      <c r="AS162" s="443">
        <v>0</v>
      </c>
      <c r="AT162" s="267">
        <f>+CONVERT(SUM(Tabla1[[#This Row],[Repo. DO Storage '[gal']]:[Repo. DO Pilot '[gal']]]),"gal","m3")</f>
        <v>0</v>
      </c>
      <c r="AU162" s="442">
        <v>0</v>
      </c>
      <c r="AV162" s="372">
        <f t="shared" si="53"/>
        <v>0</v>
      </c>
      <c r="AW162" s="442">
        <v>0</v>
      </c>
      <c r="AX162" s="372">
        <f t="shared" si="44"/>
        <v>0</v>
      </c>
      <c r="AY162" s="372">
        <f t="shared" si="45"/>
        <v>0.42155114738002408</v>
      </c>
      <c r="AZ162" s="372">
        <f>IFERROR(AL162/'Ar-Pa'!AX162,0)</f>
        <v>277.38065497605584</v>
      </c>
      <c r="BA162" s="372">
        <f>IFERROR(AL162/'Ar-Pa'!AY162,0)</f>
        <v>184.92043665070389</v>
      </c>
      <c r="BB162" s="372">
        <f t="shared" si="46"/>
        <v>1.4212295825955095</v>
      </c>
      <c r="BC162" s="372">
        <f>IFERROR(AVERAGEIF('DO Pilot'!AX162:BU162,"&gt;0"),0)</f>
        <v>9.8110128208375524</v>
      </c>
      <c r="BD162" s="446">
        <v>356755</v>
      </c>
      <c r="BE162" s="446">
        <v>12629</v>
      </c>
      <c r="BF162" s="446">
        <v>356290</v>
      </c>
      <c r="BG162" s="223">
        <f>Tabla1[[#This Row],[ Re. Gas GC
 '[m3']]]</f>
        <v>356290</v>
      </c>
      <c r="BH162" s="150">
        <f>IFERROR((BG162*Gas!$B$3)/28.31685,0)</f>
        <v>12534.196854523012</v>
      </c>
      <c r="BI162" s="73">
        <f t="shared" si="54"/>
        <v>-94.803145476987993</v>
      </c>
      <c r="BJ162" s="74">
        <f t="shared" si="50"/>
        <v>-7.5635596422580454E-3</v>
      </c>
      <c r="BK162" s="223">
        <f t="shared" si="47"/>
        <v>9596.5045592705173</v>
      </c>
      <c r="BL162" s="442">
        <v>0</v>
      </c>
      <c r="BM162" s="70">
        <f t="shared" si="48"/>
        <v>9269.2787872795398</v>
      </c>
      <c r="BN162" s="150">
        <f t="shared" si="51"/>
        <v>9604.0611764054702</v>
      </c>
      <c r="BO162" s="373">
        <f>IFERROR(Tabla1[[#This Row],[ Re. Gas GC
 '[m3']]]/Tabla1[[#This Row],[G. HGS 
Con Gas '[kWh']]],0)</f>
        <v>0.27073708206686931</v>
      </c>
      <c r="BP162" s="374">
        <f>Tank!Y163</f>
        <v>0</v>
      </c>
      <c r="BQ162" s="70">
        <f>Tank!AP163</f>
        <v>0</v>
      </c>
      <c r="BR162" s="70">
        <f>Tank!V163</f>
        <v>0</v>
      </c>
      <c r="BS162" s="372">
        <f>Tank!T163</f>
        <v>0</v>
      </c>
      <c r="BT162" s="375" t="s">
        <v>228</v>
      </c>
      <c r="BU162" s="451">
        <v>71</v>
      </c>
      <c r="BV162" s="375">
        <f>IF(Tabla1[[#This Row],[Combustible ofertado]]="GAS",Tabla1[[#This Row],[Disponibilidad]],0)</f>
        <v>0</v>
      </c>
      <c r="BW162" s="375">
        <f>IF(Tabla1[[#This Row],[Combustible ofertado]]="DIESEL",Tabla1[[#This Row],[Disponibilidad]],0)</f>
        <v>71</v>
      </c>
      <c r="BX162" s="375">
        <f>IF(Tabla1[[#This Row],[Combustible ofertado]]="HFO",Tabla1[[#This Row],[Disponibilidad]],0)</f>
        <v>0</v>
      </c>
      <c r="BY162" s="456">
        <v>1440</v>
      </c>
      <c r="BZ162" s="446">
        <f>'Horo. M'!C163</f>
        <v>21</v>
      </c>
      <c r="CA162" s="446">
        <f>'Horo. M'!E163</f>
        <v>24</v>
      </c>
      <c r="CB162" s="446">
        <f>'Horo. M'!G163</f>
        <v>19</v>
      </c>
      <c r="CC162" s="446">
        <f>'Horo. M'!I163</f>
        <v>24</v>
      </c>
      <c r="CD162" s="446">
        <f>'Horo. M'!K163</f>
        <v>24</v>
      </c>
      <c r="CE162" s="446">
        <f>'Horo. M'!M163</f>
        <v>24</v>
      </c>
      <c r="CF162" s="446">
        <f>'Horo. M'!O163</f>
        <v>24</v>
      </c>
      <c r="CG162" s="446">
        <f>'Horo. M'!Q163</f>
        <v>0</v>
      </c>
      <c r="CH162" s="446">
        <f>'Horo. M'!S163</f>
        <v>5</v>
      </c>
      <c r="CI162" s="446">
        <f>'Horo. M'!U163</f>
        <v>24</v>
      </c>
      <c r="CJ162" s="70">
        <f>Tabla1[[#This Row],[Con. DO Storage '[gal']]]-Tabla1[[#This Row],[C. DO Storage Ge '[gal']]]</f>
        <v>554.76130995211167</v>
      </c>
      <c r="CK162" s="70"/>
      <c r="CL162" s="70"/>
      <c r="CM162" s="372">
        <f>Tabla1[[#This Row],[Con. DO Total '[gal']]]*131485.5/(1000000)</f>
        <v>318.86541250329668</v>
      </c>
    </row>
    <row r="163" spans="1:91" ht="15" customHeight="1">
      <c r="A163" s="362">
        <v>45088</v>
      </c>
      <c r="B163" s="376" t="str">
        <f>TEXT(Tabla1[[#This Row],[Fecha]],"mmmm")</f>
        <v>junio</v>
      </c>
      <c r="C163" s="429">
        <v>0</v>
      </c>
      <c r="D163" s="430">
        <v>1313</v>
      </c>
      <c r="E163" s="430">
        <v>1313</v>
      </c>
      <c r="F163" s="430">
        <v>1320</v>
      </c>
      <c r="G163" s="431">
        <v>4</v>
      </c>
      <c r="H163" s="431">
        <v>212</v>
      </c>
      <c r="I163" s="432">
        <v>0</v>
      </c>
      <c r="J163" s="432">
        <v>0</v>
      </c>
      <c r="K163" s="430">
        <v>24</v>
      </c>
      <c r="L163" s="430">
        <v>24</v>
      </c>
      <c r="M163" s="365">
        <f>Tabla1[[#This Row],[Columna1]]-Tabla1[[#This Row],[PO '[h']]]</f>
        <v>0</v>
      </c>
      <c r="N163" s="365">
        <f t="shared" ref="N163:N183" si="55">F163+H163+J163</f>
        <v>1532</v>
      </c>
      <c r="O163" s="430">
        <v>1320</v>
      </c>
      <c r="P163" s="367">
        <f>Tabla1[[#This Row],[G. HGS 
'[MWh']]]</f>
        <v>1320</v>
      </c>
      <c r="Q163" s="430">
        <v>0</v>
      </c>
      <c r="R163" s="367">
        <v>0</v>
      </c>
      <c r="S163" s="367">
        <f>Tabla1[[#This Row],[G. HGS 
Con Gas]]*1000</f>
        <v>1320000</v>
      </c>
      <c r="T163" s="365">
        <f>Tabla1[[#This Row],[G. HGS 
'[MWh']]]*1000</f>
        <v>1320000</v>
      </c>
      <c r="U163" s="368">
        <f>SUM('G. Un GE'!B163:Y163)</f>
        <v>1308.2313000000001</v>
      </c>
      <c r="V163" s="369">
        <f>Tabla1[[#This Row],[R. GE
'[MWh']]]</f>
        <v>1308.2313000000001</v>
      </c>
      <c r="W163" s="434">
        <v>0</v>
      </c>
      <c r="X163" s="369">
        <v>0</v>
      </c>
      <c r="Y163" s="365">
        <f>Tabla1[[#This Row],[R. GE
'[MWh']]]*1000</f>
        <v>1308231.3</v>
      </c>
      <c r="Z163" s="434">
        <v>36.340000000000003</v>
      </c>
      <c r="AA16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36.340000000000003</v>
      </c>
      <c r="AB163" s="371">
        <f>IF(Tabla1[[#This Row],[G. HGS 
'[MWh']]]=0,0,Tabla1[[#This Row],[G. HGS 
'[MWh']]]+Tabla1[[#This Row],[Con. Aux. '[MWh']2]])</f>
        <v>1356.34</v>
      </c>
      <c r="AC163" s="368">
        <f>'C. ENER. TN'!F163</f>
        <v>0</v>
      </c>
      <c r="AD163" s="370">
        <f>'C. ENER. TN'!G163</f>
        <v>1308.2312999999999</v>
      </c>
      <c r="AE163" s="370">
        <f>'G. Un GE'!AX163</f>
        <v>163.16130178571427</v>
      </c>
      <c r="AF163" s="368">
        <f>IFERROR('G. Un GE'!AX163/Tabla1[[#This Row],[PO '[h']]],0)</f>
        <v>6.798387574404761</v>
      </c>
      <c r="AG163" s="365">
        <f>'Ar-Pa'!AX163</f>
        <v>2</v>
      </c>
      <c r="AH163" s="365">
        <f>'Ar-Pa'!AY163</f>
        <v>1</v>
      </c>
      <c r="AI163" s="366">
        <f>SUM('Cal. Arr'!AB166:AY166)</f>
        <v>0</v>
      </c>
      <c r="AJ163" s="442">
        <v>0</v>
      </c>
      <c r="AK163" s="443">
        <v>1.6</v>
      </c>
      <c r="AL163" s="267">
        <f t="shared" si="42"/>
        <v>422.67528377303745</v>
      </c>
      <c r="AM163" s="267">
        <f>+CONVERT(AK163+Tabla1[[#This Row],[Con. DO Storage Gen. '[m3']]],"m^3","gal")</f>
        <v>422.67528377303745</v>
      </c>
      <c r="AN163" s="372">
        <f>SUM('DO Pilot'!B163:Y163)</f>
        <v>6.4499999999999975</v>
      </c>
      <c r="AO163" s="372">
        <f t="shared" si="43"/>
        <v>1703.9097377100566</v>
      </c>
      <c r="AP163" s="267">
        <f>AK163+AN163+Tabla1[[#This Row],[Con. DO Storage Gen. '[m3']]]</f>
        <v>8.0499999999999972</v>
      </c>
      <c r="AQ163" s="372">
        <f t="shared" si="49"/>
        <v>2126.5850214830939</v>
      </c>
      <c r="AR163" s="443">
        <v>0</v>
      </c>
      <c r="AS163" s="443">
        <v>0</v>
      </c>
      <c r="AT163" s="267">
        <f>+CONVERT(SUM(Tabla1[[#This Row],[Repo. DO Storage '[gal']]:[Repo. DO Pilot '[gal']]]),"gal","m3")</f>
        <v>0</v>
      </c>
      <c r="AU163" s="442">
        <v>0</v>
      </c>
      <c r="AV163" s="372">
        <f t="shared" ref="AV163:AV183" si="56">+CONVERT(AU163,"m^3","gal")</f>
        <v>0</v>
      </c>
      <c r="AW163" s="442">
        <v>0</v>
      </c>
      <c r="AX163" s="372">
        <f t="shared" si="44"/>
        <v>0</v>
      </c>
      <c r="AY163" s="372">
        <f t="shared" si="45"/>
        <v>0.32020854831290718</v>
      </c>
      <c r="AZ163" s="372">
        <f>IFERROR(AL163/'Ar-Pa'!AX163,0)</f>
        <v>211.33764188651872</v>
      </c>
      <c r="BA163" s="372">
        <f>IFERROR(AL163/'Ar-Pa'!AY163,0)</f>
        <v>422.67528377303745</v>
      </c>
      <c r="BB163" s="372">
        <f t="shared" si="46"/>
        <v>1.2908407103864066</v>
      </c>
      <c r="BC163" s="372">
        <f>IFERROR(AVERAGEIF('DO Pilot'!AX163:BU163,"&gt;0"),0)</f>
        <v>8.8548742252489472</v>
      </c>
      <c r="BD163" s="446">
        <v>357268</v>
      </c>
      <c r="BE163" s="446">
        <v>12647</v>
      </c>
      <c r="BF163" s="446">
        <v>357271</v>
      </c>
      <c r="BG163" s="223">
        <f>Tabla1[[#This Row],[ Re. Gas GC
 '[m3']]]</f>
        <v>357271</v>
      </c>
      <c r="BH163" s="150">
        <f>IFERROR((BG163*Gas!$B$3)/28.31685,0)</f>
        <v>12568.708199534905</v>
      </c>
      <c r="BI163" s="73">
        <f t="shared" ref="BI163:BI182" si="57">BH163-BE163</f>
        <v>-78.291800465094639</v>
      </c>
      <c r="BJ163" s="74">
        <f t="shared" si="50"/>
        <v>-6.2291047912140856E-3</v>
      </c>
      <c r="BK163" s="223">
        <f t="shared" si="47"/>
        <v>9581.0606060606078</v>
      </c>
      <c r="BL163" s="442">
        <v>8941.1200000000008</v>
      </c>
      <c r="BM163" s="70">
        <f t="shared" si="48"/>
        <v>9266.6353565735044</v>
      </c>
      <c r="BN163" s="150">
        <f t="shared" si="51"/>
        <v>9607.405203907676</v>
      </c>
      <c r="BO163" s="373">
        <f>IFERROR(Tabla1[[#This Row],[ Re. Gas GC
 '[m3']]]/Tabla1[[#This Row],[G. HGS 
Con Gas '[kWh']]],0)</f>
        <v>0.27065984848484848</v>
      </c>
      <c r="BP163" s="374">
        <f>Tank!Y164</f>
        <v>0</v>
      </c>
      <c r="BQ163" s="70">
        <f>Tank!AP164</f>
        <v>21.9</v>
      </c>
      <c r="BR163" s="70">
        <f>Tank!V164</f>
        <v>0</v>
      </c>
      <c r="BS163" s="372">
        <f>Tank!T164</f>
        <v>0</v>
      </c>
      <c r="BT163" s="375" t="s">
        <v>228</v>
      </c>
      <c r="BU163" s="451">
        <v>71</v>
      </c>
      <c r="BV163" s="375">
        <f>IF(Tabla1[[#This Row],[Combustible ofertado]]="GAS",Tabla1[[#This Row],[Disponibilidad]],0)</f>
        <v>0</v>
      </c>
      <c r="BW163" s="375">
        <f>IF(Tabla1[[#This Row],[Combustible ofertado]]="DIESEL",Tabla1[[#This Row],[Disponibilidad]],0)</f>
        <v>71</v>
      </c>
      <c r="BX163" s="375">
        <f>IF(Tabla1[[#This Row],[Combustible ofertado]]="HFO",Tabla1[[#This Row],[Disponibilidad]],0)</f>
        <v>0</v>
      </c>
      <c r="BY163" s="456">
        <v>1440</v>
      </c>
      <c r="BZ163" s="446">
        <f>'Horo. M'!C164</f>
        <v>3</v>
      </c>
      <c r="CA163" s="446">
        <f>'Horo. M'!E164</f>
        <v>19</v>
      </c>
      <c r="CB163" s="446">
        <f>'Horo. M'!G164</f>
        <v>21</v>
      </c>
      <c r="CC163" s="446">
        <f>'Horo. M'!I164</f>
        <v>24</v>
      </c>
      <c r="CD163" s="446">
        <f>'Horo. M'!K164</f>
        <v>24</v>
      </c>
      <c r="CE163" s="446">
        <f>'Horo. M'!M164</f>
        <v>24</v>
      </c>
      <c r="CF163" s="446">
        <f>'Horo. M'!O164</f>
        <v>24</v>
      </c>
      <c r="CG163" s="446">
        <f>'Horo. M'!Q164</f>
        <v>0</v>
      </c>
      <c r="CH163" s="446">
        <f>'Horo. M'!S164</f>
        <v>24</v>
      </c>
      <c r="CI163" s="446">
        <f>'Horo. M'!U164</f>
        <v>24</v>
      </c>
      <c r="CJ163" s="70">
        <f>Tabla1[[#This Row],[Con. DO Storage '[gal']]]-Tabla1[[#This Row],[C. DO Storage Ge '[gal']]]</f>
        <v>422.67528377303745</v>
      </c>
      <c r="CK163" s="70"/>
      <c r="CL163" s="70"/>
      <c r="CM163" s="372">
        <f>Tabla1[[#This Row],[Con. DO Total '[gal']]]*131485.5/(1000000)</f>
        <v>279.61509484221534</v>
      </c>
    </row>
    <row r="164" spans="1:91" ht="15" customHeight="1">
      <c r="A164" s="362">
        <v>45089</v>
      </c>
      <c r="B164" s="376" t="str">
        <f>TEXT(Tabla1[[#This Row],[Fecha]],"mmmm")</f>
        <v>junio</v>
      </c>
      <c r="C164" s="429">
        <v>0</v>
      </c>
      <c r="D164" s="430">
        <v>1277</v>
      </c>
      <c r="E164" s="430">
        <v>1277</v>
      </c>
      <c r="F164" s="430">
        <v>1387</v>
      </c>
      <c r="G164" s="431">
        <v>0</v>
      </c>
      <c r="H164" s="431">
        <v>0</v>
      </c>
      <c r="I164" s="432">
        <v>5</v>
      </c>
      <c r="J164" s="432">
        <v>355</v>
      </c>
      <c r="K164" s="430">
        <v>24</v>
      </c>
      <c r="L164" s="430">
        <v>24</v>
      </c>
      <c r="M164" s="365">
        <f>Tabla1[[#This Row],[Columna1]]-Tabla1[[#This Row],[PO '[h']]]</f>
        <v>0</v>
      </c>
      <c r="N164" s="365">
        <f t="shared" si="55"/>
        <v>1742</v>
      </c>
      <c r="O164" s="430">
        <v>1387</v>
      </c>
      <c r="P164" s="367">
        <f>Tabla1[[#This Row],[G. HGS 
'[MWh']]]</f>
        <v>1387</v>
      </c>
      <c r="Q164" s="430">
        <v>0</v>
      </c>
      <c r="R164" s="367">
        <v>0</v>
      </c>
      <c r="S164" s="367">
        <f>Tabla1[[#This Row],[G. HGS 
Con Gas]]*1000</f>
        <v>1387000</v>
      </c>
      <c r="T164" s="365">
        <f>Tabla1[[#This Row],[G. HGS 
'[MWh']]]*1000</f>
        <v>1387000</v>
      </c>
      <c r="U164" s="368">
        <f>SUM('G. Un GE'!B164:Y164)</f>
        <v>1374.732</v>
      </c>
      <c r="V164" s="369">
        <f>Tabla1[[#This Row],[R. GE
'[MWh']]]</f>
        <v>1374.732</v>
      </c>
      <c r="W164" s="434">
        <v>0</v>
      </c>
      <c r="X164" s="369">
        <v>0</v>
      </c>
      <c r="Y164" s="365">
        <f>Tabla1[[#This Row],[R. GE
'[MWh']]]*1000</f>
        <v>1374732</v>
      </c>
      <c r="Z164" s="434">
        <v>36.630000000000003</v>
      </c>
      <c r="AA16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36.630000000000003</v>
      </c>
      <c r="AB164" s="371">
        <f>IF(Tabla1[[#This Row],[G. HGS 
'[MWh']]]=0,0,Tabla1[[#This Row],[G. HGS 
'[MWh']]]+Tabla1[[#This Row],[Con. Aux. '[MWh']2]])</f>
        <v>1423.63</v>
      </c>
      <c r="AC164" s="368">
        <f>'C. ENER. TN'!F164</f>
        <v>0</v>
      </c>
      <c r="AD164" s="370">
        <f>'C. ENER. TN'!G164</f>
        <v>1374.7319999999995</v>
      </c>
      <c r="AE164" s="370">
        <f>'G. Un GE'!AX164</f>
        <v>173.75068928571429</v>
      </c>
      <c r="AF164" s="368">
        <f>IFERROR('G. Un GE'!AX164/Tabla1[[#This Row],[PO '[h']]],0)</f>
        <v>7.2396120535714283</v>
      </c>
      <c r="AG164" s="365">
        <f>'Ar-Pa'!AX164</f>
        <v>1</v>
      </c>
      <c r="AH164" s="365">
        <f>'Ar-Pa'!AY164</f>
        <v>2</v>
      </c>
      <c r="AI164" s="366">
        <f>SUM('Cal. Arr'!AB167:AY167)</f>
        <v>0</v>
      </c>
      <c r="AJ164" s="442">
        <v>0</v>
      </c>
      <c r="AK164" s="443">
        <v>0.9</v>
      </c>
      <c r="AL164" s="267">
        <f t="shared" si="42"/>
        <v>237.75484712233359</v>
      </c>
      <c r="AM164" s="267">
        <f>+CONVERT(AK164+Tabla1[[#This Row],[Con. DO Storage Gen. '[m3']]],"m^3","gal")</f>
        <v>237.75484712233359</v>
      </c>
      <c r="AN164" s="372">
        <f>SUM('DO Pilot'!B164:Y164)</f>
        <v>6.7200000000000006</v>
      </c>
      <c r="AO164" s="372">
        <f t="shared" si="43"/>
        <v>1775.2361918467577</v>
      </c>
      <c r="AP164" s="267">
        <f>AK164+AN164+Tabla1[[#This Row],[Con. DO Storage Gen. '[m3']]]</f>
        <v>7.620000000000001</v>
      </c>
      <c r="AQ164" s="372">
        <f t="shared" si="49"/>
        <v>2012.9910389690913</v>
      </c>
      <c r="AR164" s="443">
        <v>0</v>
      </c>
      <c r="AS164" s="443">
        <v>0</v>
      </c>
      <c r="AT164" s="267">
        <f>+CONVERT(SUM(Tabla1[[#This Row],[Repo. DO Storage '[gal']]:[Repo. DO Pilot '[gal']]]),"gal","m3")</f>
        <v>0</v>
      </c>
      <c r="AU164" s="442">
        <v>0</v>
      </c>
      <c r="AV164" s="372">
        <f t="shared" si="56"/>
        <v>0</v>
      </c>
      <c r="AW164" s="442">
        <v>0</v>
      </c>
      <c r="AX164" s="372">
        <f t="shared" si="44"/>
        <v>0</v>
      </c>
      <c r="AY164" s="372">
        <f t="shared" si="45"/>
        <v>0.17141661652655629</v>
      </c>
      <c r="AZ164" s="372">
        <f>IFERROR(AL164/'Ar-Pa'!AX164,0)</f>
        <v>237.75484712233359</v>
      </c>
      <c r="BA164" s="372">
        <f>IFERROR(AL164/'Ar-Pa'!AY164,0)</f>
        <v>118.87742356116679</v>
      </c>
      <c r="BB164" s="372">
        <f t="shared" si="46"/>
        <v>1.2799107367316205</v>
      </c>
      <c r="BC164" s="372">
        <f>IFERROR(AVERAGEIF('DO Pilot'!AX164:BU164,"&gt;0"),0)</f>
        <v>9.3482312575547173</v>
      </c>
      <c r="BD164" s="446">
        <v>372546</v>
      </c>
      <c r="BE164" s="446">
        <v>13188</v>
      </c>
      <c r="BF164" s="446">
        <v>372543</v>
      </c>
      <c r="BG164" s="223">
        <f>Tabla1[[#This Row],[ Re. Gas GC
 '[m3']]]</f>
        <v>372543</v>
      </c>
      <c r="BH164" s="150">
        <f>IFERROR((BG164*Gas!$B$3)/28.31685,0)</f>
        <v>13105.973501289869</v>
      </c>
      <c r="BI164" s="73">
        <f t="shared" si="57"/>
        <v>-82.026498710130909</v>
      </c>
      <c r="BJ164" s="74">
        <f t="shared" si="50"/>
        <v>-6.2587108620399687E-3</v>
      </c>
      <c r="BK164" s="223">
        <f t="shared" si="47"/>
        <v>9508.2912761355437</v>
      </c>
      <c r="BL164" s="442">
        <v>8935.0499999999993</v>
      </c>
      <c r="BM164" s="70">
        <f t="shared" si="48"/>
        <v>9206.0250916950808</v>
      </c>
      <c r="BN164" s="150">
        <f t="shared" si="51"/>
        <v>9533.475252841914</v>
      </c>
      <c r="BO164" s="373">
        <f>IFERROR(Tabla1[[#This Row],[ Re. Gas GC
 '[m3']]]/Tabla1[[#This Row],[G. HGS 
Con Gas '[kWh']]],0)</f>
        <v>0.26859625090122569</v>
      </c>
      <c r="BP164" s="374">
        <f>Tank!Y165</f>
        <v>0</v>
      </c>
      <c r="BQ164" s="70">
        <f>Tank!AP165</f>
        <v>0</v>
      </c>
      <c r="BR164" s="70">
        <f>Tank!V165</f>
        <v>0</v>
      </c>
      <c r="BS164" s="372">
        <f>Tank!T165</f>
        <v>0</v>
      </c>
      <c r="BT164" s="375" t="s">
        <v>228</v>
      </c>
      <c r="BU164" s="451">
        <v>71</v>
      </c>
      <c r="BV164" s="375">
        <f>IF(Tabla1[[#This Row],[Combustible ofertado]]="GAS",Tabla1[[#This Row],[Disponibilidad]],0)</f>
        <v>0</v>
      </c>
      <c r="BW164" s="375">
        <f>IF(Tabla1[[#This Row],[Combustible ofertado]]="DIESEL",Tabla1[[#This Row],[Disponibilidad]],0)</f>
        <v>71</v>
      </c>
      <c r="BX164" s="375">
        <f>IF(Tabla1[[#This Row],[Combustible ofertado]]="HFO",Tabla1[[#This Row],[Disponibilidad]],0)</f>
        <v>0</v>
      </c>
      <c r="BY164" s="456">
        <v>1440</v>
      </c>
      <c r="BZ164" s="446">
        <f>'Horo. M'!C165</f>
        <v>24</v>
      </c>
      <c r="CA164" s="446">
        <f>'Horo. M'!E165</f>
        <v>6</v>
      </c>
      <c r="CB164" s="446">
        <f>'Horo. M'!G165</f>
        <v>21</v>
      </c>
      <c r="CC164" s="446">
        <f>'Horo. M'!I165</f>
        <v>24</v>
      </c>
      <c r="CD164" s="446">
        <f>'Horo. M'!K165</f>
        <v>24</v>
      </c>
      <c r="CE164" s="446">
        <f>'Horo. M'!M165</f>
        <v>24</v>
      </c>
      <c r="CF164" s="446">
        <f>'Horo. M'!O165</f>
        <v>24</v>
      </c>
      <c r="CG164" s="446">
        <f>'Horo. M'!Q165</f>
        <v>0</v>
      </c>
      <c r="CH164" s="446">
        <f>'Horo. M'!S165</f>
        <v>19</v>
      </c>
      <c r="CI164" s="446">
        <f>'Horo. M'!U165</f>
        <v>24</v>
      </c>
      <c r="CJ164" s="70">
        <f>Tabla1[[#This Row],[Con. DO Storage '[gal']]]-Tabla1[[#This Row],[C. DO Storage Ge '[gal']]]</f>
        <v>237.75484712233359</v>
      </c>
      <c r="CK164" s="70"/>
      <c r="CL164" s="70"/>
      <c r="CM164" s="372">
        <f>Tabla1[[#This Row],[Con. DO Total '[gal']]]*131485.5/(1000000)</f>
        <v>264.67913325437047</v>
      </c>
    </row>
    <row r="165" spans="1:91" ht="15" customHeight="1">
      <c r="A165" s="362">
        <v>45090</v>
      </c>
      <c r="B165" s="376" t="str">
        <f>TEXT(Tabla1[[#This Row],[Fecha]],"mmmm")</f>
        <v>junio</v>
      </c>
      <c r="C165" s="429">
        <v>0</v>
      </c>
      <c r="D165" s="430">
        <v>1322</v>
      </c>
      <c r="E165" s="430">
        <v>1332</v>
      </c>
      <c r="F165" s="430">
        <v>1433</v>
      </c>
      <c r="G165" s="431">
        <v>0</v>
      </c>
      <c r="H165" s="431">
        <v>0</v>
      </c>
      <c r="I165" s="432">
        <v>7</v>
      </c>
      <c r="J165" s="432">
        <v>497</v>
      </c>
      <c r="K165" s="430">
        <v>24</v>
      </c>
      <c r="L165" s="430">
        <v>24</v>
      </c>
      <c r="M165" s="365">
        <f>Tabla1[[#This Row],[Columna1]]-Tabla1[[#This Row],[PO '[h']]]</f>
        <v>0</v>
      </c>
      <c r="N165" s="365">
        <f t="shared" si="55"/>
        <v>1930</v>
      </c>
      <c r="O165" s="430">
        <v>1433</v>
      </c>
      <c r="P165" s="367">
        <f>Tabla1[[#This Row],[G. HGS 
'[MWh']]]</f>
        <v>1433</v>
      </c>
      <c r="Q165" s="430">
        <v>0</v>
      </c>
      <c r="R165" s="367">
        <v>0</v>
      </c>
      <c r="S165" s="367">
        <f>Tabla1[[#This Row],[G. HGS 
Con Gas]]*1000</f>
        <v>1433000</v>
      </c>
      <c r="T165" s="365">
        <f>Tabla1[[#This Row],[G. HGS 
'[MWh']]]*1000</f>
        <v>1433000</v>
      </c>
      <c r="U165" s="368">
        <f>SUM('G. Un GE'!B165:Y165)</f>
        <v>1419.9738000000002</v>
      </c>
      <c r="V165" s="369">
        <f>Tabla1[[#This Row],[R. GE
'[MWh']]]</f>
        <v>1419.9738000000002</v>
      </c>
      <c r="W165" s="434">
        <v>0</v>
      </c>
      <c r="X165" s="369">
        <v>0</v>
      </c>
      <c r="Y165" s="365">
        <f>Tabla1[[#This Row],[R. GE
'[MWh']]]*1000</f>
        <v>1419973.8000000003</v>
      </c>
      <c r="Z165" s="434">
        <v>36.04</v>
      </c>
      <c r="AA16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36.04</v>
      </c>
      <c r="AB165" s="371">
        <f>IF(Tabla1[[#This Row],[G. HGS 
'[MWh']]]=0,0,Tabla1[[#This Row],[G. HGS 
'[MWh']]]+Tabla1[[#This Row],[Con. Aux. '[MWh']2]])</f>
        <v>1469.04</v>
      </c>
      <c r="AC165" s="368">
        <f>'C. ENER. TN'!F165</f>
        <v>0</v>
      </c>
      <c r="AD165" s="370">
        <f>'C. ENER. TN'!G165</f>
        <v>1419.9738000000002</v>
      </c>
      <c r="AE165" s="370">
        <f>'G. Un GE'!AX165</f>
        <v>180.34621250000001</v>
      </c>
      <c r="AF165" s="368">
        <f>IFERROR('G. Un GE'!AX165/Tabla1[[#This Row],[PO '[h']]],0)</f>
        <v>7.5144255208333339</v>
      </c>
      <c r="AG165" s="365">
        <f>'Ar-Pa'!AX165</f>
        <v>1</v>
      </c>
      <c r="AH165" s="365">
        <f>'Ar-Pa'!AY165</f>
        <v>1</v>
      </c>
      <c r="AI165" s="366">
        <f>SUM('Cal. Arr'!AB168:AY168)</f>
        <v>0</v>
      </c>
      <c r="AJ165" s="442">
        <v>0</v>
      </c>
      <c r="AK165" s="443">
        <v>0.9</v>
      </c>
      <c r="AL165" s="267">
        <f t="shared" si="42"/>
        <v>237.75484712233359</v>
      </c>
      <c r="AM165" s="267">
        <f>+CONVERT(AK165+Tabla1[[#This Row],[Con. DO Storage Gen. '[m3']]],"m^3","gal")</f>
        <v>237.75484712233359</v>
      </c>
      <c r="AN165" s="372">
        <f>SUM('DO Pilot'!B165:Y165)</f>
        <v>6.77</v>
      </c>
      <c r="AO165" s="372">
        <f t="shared" si="43"/>
        <v>1788.4447944646647</v>
      </c>
      <c r="AP165" s="267">
        <f>AK165+AN165+Tabla1[[#This Row],[Con. DO Storage Gen. '[m3']]]</f>
        <v>7.67</v>
      </c>
      <c r="AQ165" s="372">
        <f t="shared" si="49"/>
        <v>2026.1996415869985</v>
      </c>
      <c r="AR165" s="443">
        <v>0</v>
      </c>
      <c r="AS165" s="443">
        <v>0</v>
      </c>
      <c r="AT165" s="267">
        <f>+CONVERT(SUM(Tabla1[[#This Row],[Repo. DO Storage '[gal']]:[Repo. DO Pilot '[gal']]]),"gal","m3")</f>
        <v>0</v>
      </c>
      <c r="AU165" s="442">
        <v>0</v>
      </c>
      <c r="AV165" s="372">
        <f t="shared" si="56"/>
        <v>0</v>
      </c>
      <c r="AW165" s="442">
        <v>0</v>
      </c>
      <c r="AX165" s="372">
        <f t="shared" si="44"/>
        <v>0</v>
      </c>
      <c r="AY165" s="372">
        <f t="shared" si="45"/>
        <v>0.1659140594014889</v>
      </c>
      <c r="AZ165" s="372">
        <f>IFERROR(AL165/'Ar-Pa'!AX165,0)</f>
        <v>237.75484712233359</v>
      </c>
      <c r="BA165" s="372">
        <f>IFERROR(AL165/'Ar-Pa'!AY165,0)</f>
        <v>237.75484712233359</v>
      </c>
      <c r="BB165" s="372">
        <f t="shared" si="46"/>
        <v>1.2480424246089774</v>
      </c>
      <c r="BC165" s="372">
        <f>IFERROR(AVERAGEIF('DO Pilot'!AX165:BU165,"&gt;0"),0)</f>
        <v>9.4641996436345615</v>
      </c>
      <c r="BD165" s="446">
        <v>380987</v>
      </c>
      <c r="BE165" s="446">
        <v>13486</v>
      </c>
      <c r="BF165" s="446">
        <v>380985</v>
      </c>
      <c r="BG165" s="223">
        <f>Tabla1[[#This Row],[ Re. Gas GC
 '[m3']]]</f>
        <v>380985</v>
      </c>
      <c r="BH165" s="150">
        <f>IFERROR((BG165*Gas!$B$3)/28.31685,0)</f>
        <v>13402.961039098629</v>
      </c>
      <c r="BI165" s="73">
        <f t="shared" si="57"/>
        <v>-83.038960901370956</v>
      </c>
      <c r="BJ165" s="74">
        <f t="shared" si="50"/>
        <v>-6.1955683269639241E-3</v>
      </c>
      <c r="BK165" s="223">
        <f t="shared" si="47"/>
        <v>9411.0258199581294</v>
      </c>
      <c r="BL165" s="442">
        <v>8897.8700000000008</v>
      </c>
      <c r="BM165" s="70">
        <f t="shared" si="48"/>
        <v>9123.6188525149955</v>
      </c>
      <c r="BN165" s="150">
        <f t="shared" si="51"/>
        <v>9438.8791110784077</v>
      </c>
      <c r="BO165" s="373">
        <f>IFERROR(Tabla1[[#This Row],[ Re. Gas GC
 '[m3']]]/Tabla1[[#This Row],[G. HGS 
Con Gas '[kWh']]],0)</f>
        <v>0.2658653175157013</v>
      </c>
      <c r="BP165" s="374">
        <f>Tank!Y166</f>
        <v>0</v>
      </c>
      <c r="BQ165" s="70">
        <f>Tank!AP166</f>
        <v>21</v>
      </c>
      <c r="BR165" s="70">
        <f>Tank!V166</f>
        <v>0</v>
      </c>
      <c r="BS165" s="372">
        <f>Tank!T166</f>
        <v>0</v>
      </c>
      <c r="BT165" s="375" t="s">
        <v>228</v>
      </c>
      <c r="BU165" s="451">
        <v>71</v>
      </c>
      <c r="BV165" s="375">
        <f>IF(Tabla1[[#This Row],[Combustible ofertado]]="GAS",Tabla1[[#This Row],[Disponibilidad]],0)</f>
        <v>0</v>
      </c>
      <c r="BW165" s="375">
        <f>IF(Tabla1[[#This Row],[Combustible ofertado]]="DIESEL",Tabla1[[#This Row],[Disponibilidad]],0)</f>
        <v>71</v>
      </c>
      <c r="BX165" s="375">
        <f>IF(Tabla1[[#This Row],[Combustible ofertado]]="HFO",Tabla1[[#This Row],[Disponibilidad]],0)</f>
        <v>0</v>
      </c>
      <c r="BY165" s="456">
        <v>1440</v>
      </c>
      <c r="BZ165" s="446">
        <f>'Horo. M'!C166</f>
        <v>24</v>
      </c>
      <c r="CA165" s="446">
        <f>'Horo. M'!E166</f>
        <v>24</v>
      </c>
      <c r="CB165" s="446">
        <f>'Horo. M'!G166</f>
        <v>24</v>
      </c>
      <c r="CC165" s="446">
        <f>'Horo. M'!I166</f>
        <v>24</v>
      </c>
      <c r="CD165" s="446">
        <f>'Horo. M'!K166</f>
        <v>24</v>
      </c>
      <c r="CE165" s="446">
        <f>'Horo. M'!M166</f>
        <v>20</v>
      </c>
      <c r="CF165" s="446">
        <f>'Horo. M'!O166</f>
        <v>24</v>
      </c>
      <c r="CG165" s="446">
        <f>'Horo. M'!Q166</f>
        <v>0</v>
      </c>
      <c r="CH165" s="446">
        <f>'Horo. M'!S166</f>
        <v>0</v>
      </c>
      <c r="CI165" s="446">
        <f>'Horo. M'!U166</f>
        <v>24</v>
      </c>
      <c r="CJ165" s="70">
        <f>Tabla1[[#This Row],[Con. DO Storage '[gal']]]-Tabla1[[#This Row],[C. DO Storage Ge '[gal']]]</f>
        <v>237.75484712233359</v>
      </c>
      <c r="CK165" s="70"/>
      <c r="CL165" s="70"/>
      <c r="CM165" s="372">
        <f>Tabla1[[#This Row],[Con. DO Total '[gal']]]*131485.5/(1000000)</f>
        <v>266.4158729738873</v>
      </c>
    </row>
    <row r="166" spans="1:91" ht="15" customHeight="1">
      <c r="A166" s="362">
        <v>45091</v>
      </c>
      <c r="B166" s="376" t="str">
        <f>TEXT(Tabla1[[#This Row],[Fecha]],"mmmm")</f>
        <v>junio</v>
      </c>
      <c r="C166" s="429">
        <v>0</v>
      </c>
      <c r="D166" s="430">
        <v>1326</v>
      </c>
      <c r="E166" s="430">
        <v>1326</v>
      </c>
      <c r="F166" s="430">
        <v>1441</v>
      </c>
      <c r="G166" s="431">
        <v>0</v>
      </c>
      <c r="H166" s="431">
        <v>0</v>
      </c>
      <c r="I166" s="432">
        <v>7</v>
      </c>
      <c r="J166" s="432">
        <v>497</v>
      </c>
      <c r="K166" s="430">
        <v>24</v>
      </c>
      <c r="L166" s="430">
        <v>24</v>
      </c>
      <c r="M166" s="365">
        <f>Tabla1[[#This Row],[Columna1]]-Tabla1[[#This Row],[PO '[h']]]</f>
        <v>0</v>
      </c>
      <c r="N166" s="365">
        <f t="shared" si="55"/>
        <v>1938</v>
      </c>
      <c r="O166" s="430">
        <v>1441</v>
      </c>
      <c r="P166" s="367">
        <f>Tabla1[[#This Row],[G. HGS 
'[MWh']]]</f>
        <v>1441</v>
      </c>
      <c r="Q166" s="430">
        <v>0</v>
      </c>
      <c r="R166" s="367">
        <v>0</v>
      </c>
      <c r="S166" s="367">
        <f>Tabla1[[#This Row],[G. HGS 
Con Gas]]*1000</f>
        <v>1441000</v>
      </c>
      <c r="T166" s="365">
        <f>Tabla1[[#This Row],[G. HGS 
'[MWh']]]*1000</f>
        <v>1441000</v>
      </c>
      <c r="U166" s="368">
        <f>SUM('G. Un GE'!B166:Y166)</f>
        <v>1428.3534999999997</v>
      </c>
      <c r="V166" s="369">
        <f>Tabla1[[#This Row],[R. GE
'[MWh']]]</f>
        <v>1428.3534999999997</v>
      </c>
      <c r="W166" s="434">
        <v>0</v>
      </c>
      <c r="X166" s="369">
        <v>0</v>
      </c>
      <c r="Y166" s="365">
        <f>Tabla1[[#This Row],[R. GE
'[MWh']]]*1000</f>
        <v>1428353.4999999998</v>
      </c>
      <c r="Z166" s="434">
        <v>36.36</v>
      </c>
      <c r="AA16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36.36</v>
      </c>
      <c r="AB166" s="371">
        <f>IF(Tabla1[[#This Row],[G. HGS 
'[MWh']]]=0,0,Tabla1[[#This Row],[G. HGS 
'[MWh']]]+Tabla1[[#This Row],[Con. Aux. '[MWh']2]])</f>
        <v>1477.36</v>
      </c>
      <c r="AC166" s="368">
        <f>'C. ENER. TN'!F166</f>
        <v>0</v>
      </c>
      <c r="AD166" s="370">
        <f>'C. ENER. TN'!G166</f>
        <v>1428.3535000000002</v>
      </c>
      <c r="AE166" s="370">
        <f>'G. Un GE'!AX166</f>
        <v>178.54418749999996</v>
      </c>
      <c r="AF166" s="368">
        <f>IFERROR('G. Un GE'!AX166/Tabla1[[#This Row],[PO '[h']]],0)</f>
        <v>7.4393411458333318</v>
      </c>
      <c r="AG166" s="365">
        <f>'Ar-Pa'!AX166</f>
        <v>0</v>
      </c>
      <c r="AH166" s="365">
        <f>'Ar-Pa'!AY166</f>
        <v>0</v>
      </c>
      <c r="AI166" s="366">
        <f>SUM('Cal. Arr'!AB169:AY169)</f>
        <v>0</v>
      </c>
      <c r="AJ166" s="442">
        <v>0</v>
      </c>
      <c r="AK166" s="443">
        <v>0.6</v>
      </c>
      <c r="AL166" s="267">
        <f t="shared" si="42"/>
        <v>158.50323141488906</v>
      </c>
      <c r="AM166" s="267">
        <f>+CONVERT(AK166+Tabla1[[#This Row],[Con. DO Storage Gen. '[m3']]],"m^3","gal")</f>
        <v>158.50323141488906</v>
      </c>
      <c r="AN166" s="372">
        <f>SUM('DO Pilot'!B166:Y166)</f>
        <v>7.01</v>
      </c>
      <c r="AO166" s="372">
        <f t="shared" si="43"/>
        <v>1851.8460870306205</v>
      </c>
      <c r="AP166" s="267">
        <f>AK166+AN166+Tabla1[[#This Row],[Con. DO Storage Gen. '[m3']]]</f>
        <v>7.6099999999999994</v>
      </c>
      <c r="AQ166" s="372">
        <f t="shared" si="49"/>
        <v>2010.3493184455092</v>
      </c>
      <c r="AR166" s="443">
        <v>0</v>
      </c>
      <c r="AS166" s="443">
        <v>0</v>
      </c>
      <c r="AT166" s="267">
        <f>+CONVERT(SUM(Tabla1[[#This Row],[Repo. DO Storage '[gal']]:[Repo. DO Pilot '[gal']]]),"gal","m3")</f>
        <v>0</v>
      </c>
      <c r="AU166" s="442">
        <v>0</v>
      </c>
      <c r="AV166" s="372">
        <f t="shared" si="56"/>
        <v>0</v>
      </c>
      <c r="AW166" s="442">
        <v>0</v>
      </c>
      <c r="AX166" s="372">
        <f t="shared" si="44"/>
        <v>0</v>
      </c>
      <c r="AY166" s="372">
        <f t="shared" si="45"/>
        <v>0.10999530285557881</v>
      </c>
      <c r="AZ166" s="372">
        <f>IFERROR(AL166/'Ar-Pa'!AX166,0)</f>
        <v>0</v>
      </c>
      <c r="BA166" s="372">
        <f>IFERROR(AL166/'Ar-Pa'!AY166,0)</f>
        <v>0</v>
      </c>
      <c r="BB166" s="372">
        <f t="shared" si="46"/>
        <v>1.285111788362679</v>
      </c>
      <c r="BC166" s="372">
        <f>IFERROR(AVERAGEIF('DO Pilot'!AX166:BU166,"&gt;0"),0)</f>
        <v>9.6450317032844826</v>
      </c>
      <c r="BD166" s="446">
        <v>382160</v>
      </c>
      <c r="BE166" s="446">
        <v>13528</v>
      </c>
      <c r="BF166" s="446">
        <v>382151</v>
      </c>
      <c r="BG166" s="223">
        <f>Tabla1[[#This Row],[ Re. Gas GC
 '[m3']]]</f>
        <v>382151</v>
      </c>
      <c r="BH166" s="150">
        <f>IFERROR((BG166*Gas!$B$3)/28.31685,0)</f>
        <v>13443.98063979574</v>
      </c>
      <c r="BI166" s="73">
        <f t="shared" si="57"/>
        <v>-84.019360204260011</v>
      </c>
      <c r="BJ166" s="74">
        <f t="shared" si="50"/>
        <v>-6.2495894969941393E-3</v>
      </c>
      <c r="BK166" s="223">
        <f t="shared" si="47"/>
        <v>9387.9250520471887</v>
      </c>
      <c r="BL166" s="442">
        <v>9006.3799999999992</v>
      </c>
      <c r="BM166" s="70">
        <f t="shared" si="48"/>
        <v>9100.0031405992722</v>
      </c>
      <c r="BN166" s="150">
        <f t="shared" si="51"/>
        <v>9412.2222823661941</v>
      </c>
      <c r="BO166" s="373">
        <f>IFERROR(Tabla1[[#This Row],[ Re. Gas GC
 '[m3']]]/Tabla1[[#This Row],[G. HGS 
Con Gas '[kWh']]],0)</f>
        <v>0.26519847328244273</v>
      </c>
      <c r="BP166" s="374">
        <f>Tank!Y167</f>
        <v>0</v>
      </c>
      <c r="BQ166" s="70">
        <f>Tank!AP167</f>
        <v>0</v>
      </c>
      <c r="BR166" s="70">
        <f>Tank!V167</f>
        <v>0</v>
      </c>
      <c r="BS166" s="372">
        <f>Tank!T167</f>
        <v>0</v>
      </c>
      <c r="BT166" s="375" t="s">
        <v>228</v>
      </c>
      <c r="BU166" s="451">
        <v>71</v>
      </c>
      <c r="BV166" s="375">
        <f>IF(Tabla1[[#This Row],[Combustible ofertado]]="GAS",Tabla1[[#This Row],[Disponibilidad]],0)</f>
        <v>0</v>
      </c>
      <c r="BW166" s="375">
        <f>IF(Tabla1[[#This Row],[Combustible ofertado]]="DIESEL",Tabla1[[#This Row],[Disponibilidad]],0)</f>
        <v>71</v>
      </c>
      <c r="BX166" s="375">
        <f>IF(Tabla1[[#This Row],[Combustible ofertado]]="HFO",Tabla1[[#This Row],[Disponibilidad]],0)</f>
        <v>0</v>
      </c>
      <c r="BY166" s="456">
        <v>1440</v>
      </c>
      <c r="BZ166" s="446">
        <f>'Horo. M'!C167</f>
        <v>24</v>
      </c>
      <c r="CA166" s="446">
        <f>'Horo. M'!E167</f>
        <v>24</v>
      </c>
      <c r="CB166" s="446">
        <f>'Horo. M'!G167</f>
        <v>24</v>
      </c>
      <c r="CC166" s="446">
        <f>'Horo. M'!I167</f>
        <v>24</v>
      </c>
      <c r="CD166" s="446">
        <f>'Horo. M'!K167</f>
        <v>24</v>
      </c>
      <c r="CE166" s="446">
        <f>'Horo. M'!M167</f>
        <v>24</v>
      </c>
      <c r="CF166" s="446">
        <f>'Horo. M'!O167</f>
        <v>24</v>
      </c>
      <c r="CG166" s="446">
        <f>'Horo. M'!Q167</f>
        <v>0</v>
      </c>
      <c r="CH166" s="446">
        <f>'Horo. M'!S167</f>
        <v>0</v>
      </c>
      <c r="CI166" s="446">
        <f>'Horo. M'!U167</f>
        <v>24</v>
      </c>
      <c r="CJ166" s="70">
        <f>Tabla1[[#This Row],[Con. DO Storage '[gal']]]-Tabla1[[#This Row],[C. DO Storage Ge '[gal']]]</f>
        <v>158.50323141488906</v>
      </c>
      <c r="CK166" s="70"/>
      <c r="CL166" s="70"/>
      <c r="CM166" s="372">
        <f>Tabla1[[#This Row],[Con. DO Total '[gal']]]*131485.5/(1000000)</f>
        <v>264.33178531046701</v>
      </c>
    </row>
    <row r="167" spans="1:91" ht="15" customHeight="1">
      <c r="A167" s="362">
        <v>45092</v>
      </c>
      <c r="B167" s="376" t="str">
        <f>TEXT(Tabla1[[#This Row],[Fecha]],"mmmm")</f>
        <v>junio</v>
      </c>
      <c r="C167" s="429">
        <v>0</v>
      </c>
      <c r="D167" s="430">
        <v>1319</v>
      </c>
      <c r="E167" s="430">
        <v>1319</v>
      </c>
      <c r="F167" s="430">
        <v>1433</v>
      </c>
      <c r="G167" s="431">
        <v>0</v>
      </c>
      <c r="H167" s="431">
        <v>0</v>
      </c>
      <c r="I167" s="432">
        <v>7</v>
      </c>
      <c r="J167" s="432">
        <v>493</v>
      </c>
      <c r="K167" s="430">
        <v>24</v>
      </c>
      <c r="L167" s="430">
        <v>24</v>
      </c>
      <c r="M167" s="365">
        <f>Tabla1[[#This Row],[Columna1]]-Tabla1[[#This Row],[PO '[h']]]</f>
        <v>0</v>
      </c>
      <c r="N167" s="365">
        <f t="shared" si="55"/>
        <v>1926</v>
      </c>
      <c r="O167" s="430">
        <v>1433</v>
      </c>
      <c r="P167" s="367">
        <f>Tabla1[[#This Row],[G. HGS 
'[MWh']]]</f>
        <v>1433</v>
      </c>
      <c r="Q167" s="430">
        <v>0</v>
      </c>
      <c r="R167" s="367">
        <v>0</v>
      </c>
      <c r="S167" s="367">
        <f>Tabla1[[#This Row],[G. HGS 
Con Gas]]*1000</f>
        <v>1433000</v>
      </c>
      <c r="T167" s="365">
        <f>Tabla1[[#This Row],[G. HGS 
'[MWh']]]*1000</f>
        <v>1433000</v>
      </c>
      <c r="U167" s="368">
        <f>SUM('G. Un GE'!B167:Y167)</f>
        <v>1421.3763999999999</v>
      </c>
      <c r="V167" s="369">
        <f>Tabla1[[#This Row],[R. GE
'[MWh']]]</f>
        <v>1421.3763999999999</v>
      </c>
      <c r="W167" s="434">
        <v>0</v>
      </c>
      <c r="X167" s="369">
        <v>0</v>
      </c>
      <c r="Y167" s="365">
        <f>Tabla1[[#This Row],[R. GE
'[MWh']]]*1000</f>
        <v>1421376.4</v>
      </c>
      <c r="Z167" s="434">
        <v>36.07</v>
      </c>
      <c r="AA16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36.07</v>
      </c>
      <c r="AB167" s="371">
        <f>IF(Tabla1[[#This Row],[G. HGS 
'[MWh']]]=0,0,Tabla1[[#This Row],[G. HGS 
'[MWh']]]+Tabla1[[#This Row],[Con. Aux. '[MWh']2]])</f>
        <v>1469.07</v>
      </c>
      <c r="AC167" s="368">
        <f>'C. ENER. TN'!F167</f>
        <v>0</v>
      </c>
      <c r="AD167" s="370">
        <f>'C. ENER. TN'!G167</f>
        <v>1421.3763999999999</v>
      </c>
      <c r="AE167" s="370">
        <f>'G. Un GE'!AX167</f>
        <v>180.55870357142854</v>
      </c>
      <c r="AF167" s="368">
        <f>IFERROR('G. Un GE'!AX167/Tabla1[[#This Row],[PO '[h']]],0)</f>
        <v>7.5232793154761888</v>
      </c>
      <c r="AG167" s="365">
        <f>'Ar-Pa'!AX167</f>
        <v>1</v>
      </c>
      <c r="AH167" s="365">
        <f>'Ar-Pa'!AY167</f>
        <v>1</v>
      </c>
      <c r="AI167" s="366">
        <f>SUM('Cal. Arr'!AB170:AY170)</f>
        <v>0</v>
      </c>
      <c r="AJ167" s="442">
        <v>3.57</v>
      </c>
      <c r="AK167" s="443">
        <v>1.53</v>
      </c>
      <c r="AL167" s="267">
        <f t="shared" si="42"/>
        <v>404.18324010796709</v>
      </c>
      <c r="AM167" s="267">
        <f>+CONVERT(AK167+Tabla1[[#This Row],[Con. DO Storage Gen. '[m3']]],"m^3","gal")</f>
        <v>1347.2774670265569</v>
      </c>
      <c r="AN167" s="372">
        <f>SUM('DO Pilot'!B167:Y167)</f>
        <v>10.53</v>
      </c>
      <c r="AO167" s="372">
        <f t="shared" si="43"/>
        <v>2781.7317113313029</v>
      </c>
      <c r="AP167" s="267">
        <f>AK167+AN167+Tabla1[[#This Row],[Con. DO Storage Gen. '[m3']]]</f>
        <v>15.629999999999999</v>
      </c>
      <c r="AQ167" s="372">
        <f t="shared" si="49"/>
        <v>4129.0091783578591</v>
      </c>
      <c r="AR167" s="443">
        <v>0</v>
      </c>
      <c r="AS167" s="443">
        <v>11013</v>
      </c>
      <c r="AT167" s="267">
        <f>+CONVERT(SUM(Tabla1[[#This Row],[Repo. DO Storage '[gal']]:[Repo. DO Pilot '[gal']]]),"gal","m3")</f>
        <v>41.688739977191993</v>
      </c>
      <c r="AU167" s="442">
        <v>0</v>
      </c>
      <c r="AV167" s="372">
        <f t="shared" si="56"/>
        <v>0</v>
      </c>
      <c r="AW167" s="442">
        <v>0</v>
      </c>
      <c r="AX167" s="372">
        <f t="shared" si="44"/>
        <v>0</v>
      </c>
      <c r="AY167" s="372">
        <f t="shared" si="45"/>
        <v>0.28205390098253114</v>
      </c>
      <c r="AZ167" s="372">
        <f>IFERROR(AL167/'Ar-Pa'!AX167,0)</f>
        <v>404.18324010796709</v>
      </c>
      <c r="BA167" s="372">
        <f>IFERROR(AL167/'Ar-Pa'!AY167,0)</f>
        <v>404.18324010796709</v>
      </c>
      <c r="BB167" s="372">
        <f t="shared" si="46"/>
        <v>1.94119449499742</v>
      </c>
      <c r="BC167" s="372">
        <f>IFERROR(AVERAGEIF('DO Pilot'!AX167:BU167,"&gt;0"),0)</f>
        <v>14.722088334542647</v>
      </c>
      <c r="BD167" s="446">
        <v>381348</v>
      </c>
      <c r="BE167" s="446">
        <v>13499</v>
      </c>
      <c r="BF167" s="446">
        <v>382001</v>
      </c>
      <c r="BG167" s="223">
        <f>Tabla1[[#This Row],[ Re. Gas GC
 '[m3']]]</f>
        <v>382001</v>
      </c>
      <c r="BH167" s="150">
        <f>IFERROR((BG167*Gas!$B$3)/28.31685,0)</f>
        <v>13438.703675726643</v>
      </c>
      <c r="BI167" s="73">
        <f t="shared" si="57"/>
        <v>-60.296324273356731</v>
      </c>
      <c r="BJ167" s="74">
        <f t="shared" si="50"/>
        <v>-4.4867664120212441E-3</v>
      </c>
      <c r="BK167" s="223">
        <f t="shared" si="47"/>
        <v>9420.09769713887</v>
      </c>
      <c r="BL167" s="442">
        <v>8742.99</v>
      </c>
      <c r="BM167" s="70">
        <f t="shared" si="48"/>
        <v>9147.7626496536195</v>
      </c>
      <c r="BN167" s="150">
        <f t="shared" si="51"/>
        <v>9454.7114161503214</v>
      </c>
      <c r="BO167" s="373">
        <f>IFERROR(Tabla1[[#This Row],[ Re. Gas GC
 '[m3']]]/Tabla1[[#This Row],[G. HGS 
Con Gas '[kWh']]],0)</f>
        <v>0.26657431960921146</v>
      </c>
      <c r="BP167" s="374">
        <f>Tank!Y168</f>
        <v>0</v>
      </c>
      <c r="BQ167" s="70">
        <f>Tank!AP168</f>
        <v>0</v>
      </c>
      <c r="BR167" s="70">
        <f>Tank!V168</f>
        <v>0</v>
      </c>
      <c r="BS167" s="372">
        <f>Tank!T168</f>
        <v>0</v>
      </c>
      <c r="BT167" s="375" t="s">
        <v>228</v>
      </c>
      <c r="BU167" s="451">
        <v>71</v>
      </c>
      <c r="BV167" s="375">
        <f>IF(Tabla1[[#This Row],[Combustible ofertado]]="GAS",Tabla1[[#This Row],[Disponibilidad]],0)</f>
        <v>0</v>
      </c>
      <c r="BW167" s="375">
        <f>IF(Tabla1[[#This Row],[Combustible ofertado]]="DIESEL",Tabla1[[#This Row],[Disponibilidad]],0)</f>
        <v>71</v>
      </c>
      <c r="BX167" s="375">
        <f>IF(Tabla1[[#This Row],[Combustible ofertado]]="HFO",Tabla1[[#This Row],[Disponibilidad]],0)</f>
        <v>0</v>
      </c>
      <c r="BY167" s="456">
        <v>1440</v>
      </c>
      <c r="BZ167" s="446">
        <f>'Horo. M'!C168</f>
        <v>21</v>
      </c>
      <c r="CA167" s="446">
        <f>'Horo. M'!E168</f>
        <v>24</v>
      </c>
      <c r="CB167" s="446">
        <f>'Horo. M'!G168</f>
        <v>24</v>
      </c>
      <c r="CC167" s="446">
        <f>'Horo. M'!I168</f>
        <v>24</v>
      </c>
      <c r="CD167" s="446">
        <f>'Horo. M'!K168</f>
        <v>24</v>
      </c>
      <c r="CE167" s="446">
        <f>'Horo. M'!M168</f>
        <v>24</v>
      </c>
      <c r="CF167" s="446">
        <f>'Horo. M'!O168</f>
        <v>23</v>
      </c>
      <c r="CG167" s="446">
        <f>'Horo. M'!Q168</f>
        <v>1</v>
      </c>
      <c r="CH167" s="446">
        <f>'Horo. M'!S168</f>
        <v>0</v>
      </c>
      <c r="CI167" s="446">
        <f>'Horo. M'!U168</f>
        <v>24</v>
      </c>
      <c r="CJ167" s="70">
        <f>Tabla1[[#This Row],[Con. DO Storage '[gal']]]-Tabla1[[#This Row],[C. DO Storage Ge '[gal']]]</f>
        <v>404.18324010796709</v>
      </c>
      <c r="CK167" s="70"/>
      <c r="CL167" s="70"/>
      <c r="CM167" s="372">
        <f>Tabla1[[#This Row],[Con. DO Total '[gal']]]*131485.5/(1000000)</f>
        <v>542.90483632097232</v>
      </c>
    </row>
    <row r="168" spans="1:91" ht="15" customHeight="1">
      <c r="A168" s="362">
        <v>45093</v>
      </c>
      <c r="B168" s="376" t="str">
        <f>TEXT(Tabla1[[#This Row],[Fecha]],"mmmm")</f>
        <v>junio</v>
      </c>
      <c r="C168" s="429">
        <v>0</v>
      </c>
      <c r="D168" s="430">
        <v>1343</v>
      </c>
      <c r="E168" s="430">
        <v>1343</v>
      </c>
      <c r="F168" s="430">
        <v>1370</v>
      </c>
      <c r="G168" s="431">
        <v>10</v>
      </c>
      <c r="H168" s="431">
        <v>518</v>
      </c>
      <c r="I168" s="432">
        <v>7</v>
      </c>
      <c r="J168" s="432">
        <v>443</v>
      </c>
      <c r="K168" s="430">
        <v>24</v>
      </c>
      <c r="L168" s="430">
        <v>24</v>
      </c>
      <c r="M168" s="365">
        <f>Tabla1[[#This Row],[Columna1]]-Tabla1[[#This Row],[PO '[h']]]</f>
        <v>0</v>
      </c>
      <c r="N168" s="365">
        <f t="shared" si="55"/>
        <v>2331</v>
      </c>
      <c r="O168" s="430">
        <v>1370</v>
      </c>
      <c r="P168" s="367">
        <f>Tabla1[[#This Row],[G. HGS 
'[MWh']]]</f>
        <v>1370</v>
      </c>
      <c r="Q168" s="430">
        <v>0</v>
      </c>
      <c r="R168" s="367">
        <v>0</v>
      </c>
      <c r="S168" s="367">
        <f>Tabla1[[#This Row],[G. HGS 
Con Gas]]*1000</f>
        <v>1370000</v>
      </c>
      <c r="T168" s="365">
        <f>Tabla1[[#This Row],[G. HGS 
'[MWh']]]*1000</f>
        <v>1370000</v>
      </c>
      <c r="U168" s="368">
        <f>SUM('G. Un GE'!B168:Y168)</f>
        <v>1358.6433000000002</v>
      </c>
      <c r="V168" s="369">
        <f>Tabla1[[#This Row],[R. GE
'[MWh']]]</f>
        <v>1358.6433000000002</v>
      </c>
      <c r="W168" s="434">
        <v>0</v>
      </c>
      <c r="X168" s="369">
        <v>0</v>
      </c>
      <c r="Y168" s="365">
        <f>Tabla1[[#This Row],[R. GE
'[MWh']]]*1000</f>
        <v>1358643.3000000003</v>
      </c>
      <c r="Z168" s="434">
        <v>35.42</v>
      </c>
      <c r="AA16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35.42</v>
      </c>
      <c r="AB168" s="371">
        <f>IF(Tabla1[[#This Row],[G. HGS 
'[MWh']]]=0,0,Tabla1[[#This Row],[G. HGS 
'[MWh']]]+Tabla1[[#This Row],[Con. Aux. '[MWh']2]])</f>
        <v>1405.42</v>
      </c>
      <c r="AC168" s="368">
        <f>'C. ENER. TN'!F168</f>
        <v>0</v>
      </c>
      <c r="AD168" s="370">
        <f>'C. ENER. TN'!G168</f>
        <v>1358.6433000000002</v>
      </c>
      <c r="AE168" s="370">
        <f>'G. Un GE'!AX168</f>
        <v>185.15201428571427</v>
      </c>
      <c r="AF168" s="368">
        <f>IFERROR('G. Un GE'!AX168/Tabla1[[#This Row],[PO '[h']]],0)</f>
        <v>7.7146672619047614</v>
      </c>
      <c r="AG168" s="365">
        <f>'Ar-Pa'!AX168</f>
        <v>0</v>
      </c>
      <c r="AH168" s="365">
        <f>'Ar-Pa'!AY168</f>
        <v>1</v>
      </c>
      <c r="AI168" s="366">
        <f>SUM('Cal. Arr'!AB171:AY171)</f>
        <v>1</v>
      </c>
      <c r="AJ168" s="442">
        <v>3.7</v>
      </c>
      <c r="AK168" s="443">
        <v>0.5</v>
      </c>
      <c r="AL168" s="267">
        <f t="shared" si="42"/>
        <v>132.08602617907422</v>
      </c>
      <c r="AM168" s="267">
        <f>+CONVERT(AK168+Tabla1[[#This Row],[Con. DO Storage Gen. '[m3']]],"m^3","gal")</f>
        <v>1109.5226199042233</v>
      </c>
      <c r="AN168" s="372">
        <f>SUM('DO Pilot'!B168:Y168)</f>
        <v>6.0499999999999989</v>
      </c>
      <c r="AO168" s="372">
        <f t="shared" si="43"/>
        <v>1598.2409167667977</v>
      </c>
      <c r="AP168" s="267">
        <f>AK168+AN168+Tabla1[[#This Row],[Con. DO Storage Gen. '[m3']]]</f>
        <v>10.25</v>
      </c>
      <c r="AQ168" s="372">
        <f t="shared" si="49"/>
        <v>2707.7635366710215</v>
      </c>
      <c r="AR168" s="443">
        <v>11013</v>
      </c>
      <c r="AS168" s="443">
        <v>0</v>
      </c>
      <c r="AT168" s="267">
        <f>+CONVERT(SUM(Tabla1[[#This Row],[Repo. DO Storage '[gal']]:[Repo. DO Pilot '[gal']]]),"gal","m3")</f>
        <v>41.688739977191993</v>
      </c>
      <c r="AU168" s="442">
        <v>0</v>
      </c>
      <c r="AV168" s="372">
        <f t="shared" si="56"/>
        <v>0</v>
      </c>
      <c r="AW168" s="442">
        <v>0</v>
      </c>
      <c r="AX168" s="372">
        <f t="shared" si="44"/>
        <v>0</v>
      </c>
      <c r="AY168" s="372">
        <f t="shared" si="45"/>
        <v>9.6413157794944693E-2</v>
      </c>
      <c r="AZ168" s="372">
        <f>IFERROR(AL168/'Ar-Pa'!AX168,0)</f>
        <v>0</v>
      </c>
      <c r="BA168" s="372">
        <f>IFERROR(AL168/'Ar-Pa'!AY168,0)</f>
        <v>132.08602617907422</v>
      </c>
      <c r="BB168" s="372">
        <f t="shared" si="46"/>
        <v>1.1665992093188304</v>
      </c>
      <c r="BC168" s="372">
        <f>IFERROR(AVERAGEIF('DO Pilot'!AX168:BU168,"&gt;0"),0)</f>
        <v>9.0750176022140749</v>
      </c>
      <c r="BD168" s="446">
        <v>360037</v>
      </c>
      <c r="BE168" s="446">
        <v>12745</v>
      </c>
      <c r="BF168" s="446">
        <v>359613</v>
      </c>
      <c r="BG168" s="223">
        <f>Tabla1[[#This Row],[ Re. Gas GC
 '[m3']]]</f>
        <v>359613</v>
      </c>
      <c r="BH168" s="150">
        <f>IFERROR((BG168*Gas!$B$3)/28.31685,0)</f>
        <v>12651.099198533735</v>
      </c>
      <c r="BI168" s="73">
        <f t="shared" si="57"/>
        <v>-93.900801466264966</v>
      </c>
      <c r="BJ168" s="74">
        <f t="shared" si="50"/>
        <v>-7.4223433073031383E-3</v>
      </c>
      <c r="BK168" s="223">
        <f t="shared" si="47"/>
        <v>9302.9197080291979</v>
      </c>
      <c r="BL168" s="442">
        <v>4773.51</v>
      </c>
      <c r="BM168" s="70">
        <f t="shared" si="48"/>
        <v>9001.6501818201923</v>
      </c>
      <c r="BN168" s="150">
        <f t="shared" si="51"/>
        <v>9311.5677960018893</v>
      </c>
      <c r="BO168" s="373">
        <f>IFERROR(Tabla1[[#This Row],[ Re. Gas GC
 '[m3']]]/Tabla1[[#This Row],[G. HGS 
Con Gas '[kWh']]],0)</f>
        <v>0.26249124087591241</v>
      </c>
      <c r="BP168" s="374">
        <f>Tank!Y169</f>
        <v>0</v>
      </c>
      <c r="BQ168" s="70">
        <f>Tank!AP169</f>
        <v>28.56</v>
      </c>
      <c r="BR168" s="70">
        <f>Tank!V169</f>
        <v>0</v>
      </c>
      <c r="BS168" s="372">
        <f>Tank!T169</f>
        <v>0</v>
      </c>
      <c r="BT168" s="375" t="s">
        <v>228</v>
      </c>
      <c r="BU168" s="451">
        <v>71</v>
      </c>
      <c r="BV168" s="375">
        <f>IF(Tabla1[[#This Row],[Combustible ofertado]]="GAS",Tabla1[[#This Row],[Disponibilidad]],0)</f>
        <v>0</v>
      </c>
      <c r="BW168" s="375">
        <f>IF(Tabla1[[#This Row],[Combustible ofertado]]="DIESEL",Tabla1[[#This Row],[Disponibilidad]],0)</f>
        <v>71</v>
      </c>
      <c r="BX168" s="375">
        <f>IF(Tabla1[[#This Row],[Combustible ofertado]]="HFO",Tabla1[[#This Row],[Disponibilidad]],0)</f>
        <v>0</v>
      </c>
      <c r="BY168" s="456">
        <v>1390</v>
      </c>
      <c r="BZ168" s="446">
        <f>'Horo. M'!C169</f>
        <v>24</v>
      </c>
      <c r="CA168" s="446">
        <f>'Horo. M'!E169</f>
        <v>24</v>
      </c>
      <c r="CB168" s="446">
        <f>'Horo. M'!G169</f>
        <v>24</v>
      </c>
      <c r="CC168" s="446">
        <f>'Horo. M'!I169</f>
        <v>8</v>
      </c>
      <c r="CD168" s="446">
        <f>'Horo. M'!K169</f>
        <v>24</v>
      </c>
      <c r="CE168" s="446">
        <f>'Horo. M'!M169</f>
        <v>24</v>
      </c>
      <c r="CF168" s="446">
        <f>'Horo. M'!O169</f>
        <v>24</v>
      </c>
      <c r="CG168" s="446">
        <f>'Horo. M'!Q169</f>
        <v>3</v>
      </c>
      <c r="CH168" s="446">
        <f>'Horo. M'!S169</f>
        <v>0</v>
      </c>
      <c r="CI168" s="446">
        <f>'Horo. M'!U169</f>
        <v>24</v>
      </c>
      <c r="CJ168" s="70">
        <f>Tabla1[[#This Row],[Con. DO Storage '[gal']]]-Tabla1[[#This Row],[C. DO Storage Ge '[gal']]]</f>
        <v>-41506.703973820928</v>
      </c>
      <c r="CK168" s="70">
        <v>41638.79</v>
      </c>
      <c r="CL168" s="70">
        <v>628010</v>
      </c>
      <c r="CM168" s="372">
        <f>Tabla1[[#This Row],[Con. DO Total '[gal']]]*131485.5/(1000000)</f>
        <v>356.03164250095762</v>
      </c>
    </row>
    <row r="169" spans="1:91" ht="15" customHeight="1">
      <c r="A169" s="362">
        <v>45094</v>
      </c>
      <c r="B169" s="376" t="str">
        <f>TEXT(Tabla1[[#This Row],[Fecha]],"mmmm")</f>
        <v>junio</v>
      </c>
      <c r="C169" s="429">
        <v>0</v>
      </c>
      <c r="D169" s="430">
        <v>1306</v>
      </c>
      <c r="E169" s="430">
        <v>1306</v>
      </c>
      <c r="F169" s="430">
        <v>1381</v>
      </c>
      <c r="G169" s="431">
        <v>0</v>
      </c>
      <c r="H169" s="431">
        <v>0</v>
      </c>
      <c r="I169" s="432">
        <v>3</v>
      </c>
      <c r="J169" s="432">
        <v>213</v>
      </c>
      <c r="K169" s="430">
        <v>24</v>
      </c>
      <c r="L169" s="430">
        <v>24</v>
      </c>
      <c r="M169" s="365">
        <f>Tabla1[[#This Row],[Columna1]]-Tabla1[[#This Row],[PO '[h']]]</f>
        <v>0</v>
      </c>
      <c r="N169" s="365">
        <f t="shared" si="55"/>
        <v>1594</v>
      </c>
      <c r="O169" s="430">
        <v>1381</v>
      </c>
      <c r="P169" s="367">
        <f>Tabla1[[#This Row],[G. HGS 
'[MWh']]]</f>
        <v>1381</v>
      </c>
      <c r="Q169" s="430">
        <v>0</v>
      </c>
      <c r="R169" s="367">
        <v>0</v>
      </c>
      <c r="S169" s="367">
        <f>Tabla1[[#This Row],[G. HGS 
Con Gas]]*1000</f>
        <v>1381000</v>
      </c>
      <c r="T169" s="365">
        <f>Tabla1[[#This Row],[G. HGS 
'[MWh']]]*1000</f>
        <v>1381000</v>
      </c>
      <c r="U169" s="368">
        <f>SUM('G. Un GE'!B169:Y169)</f>
        <v>1368.8440000000005</v>
      </c>
      <c r="V169" s="369">
        <f>Tabla1[[#This Row],[R. GE
'[MWh']]]</f>
        <v>1368.8440000000005</v>
      </c>
      <c r="W169" s="434">
        <v>0</v>
      </c>
      <c r="X169" s="369">
        <v>0</v>
      </c>
      <c r="Y169" s="365">
        <f>Tabla1[[#This Row],[R. GE
'[MWh']]]*1000</f>
        <v>1368844.0000000005</v>
      </c>
      <c r="Z169" s="434">
        <v>37.43</v>
      </c>
      <c r="AA16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37.43</v>
      </c>
      <c r="AB169" s="371">
        <f>IF(Tabla1[[#This Row],[G. HGS 
'[MWh']]]=0,0,Tabla1[[#This Row],[G. HGS 
'[MWh']]]+Tabla1[[#This Row],[Con. Aux. '[MWh']2]])</f>
        <v>1418.43</v>
      </c>
      <c r="AC169" s="368">
        <f>'C. ENER. TN'!F169</f>
        <v>0</v>
      </c>
      <c r="AD169" s="370">
        <f>'C. ENER. TN'!G169</f>
        <v>1368.8440000000001</v>
      </c>
      <c r="AE169" s="370">
        <f>'G. Un GE'!AX169</f>
        <v>171.10550000000006</v>
      </c>
      <c r="AF169" s="368">
        <f>IFERROR('G. Un GE'!AX169/Tabla1[[#This Row],[PO '[h']]],0)</f>
        <v>7.1293958333333363</v>
      </c>
      <c r="AG169" s="365">
        <f>'Ar-Pa'!AX169</f>
        <v>1</v>
      </c>
      <c r="AH169" s="365">
        <f>'Ar-Pa'!AY169</f>
        <v>0</v>
      </c>
      <c r="AI169" s="366">
        <f>SUM('Cal. Arr'!AB172:AY172)</f>
        <v>0</v>
      </c>
      <c r="AJ169" s="442">
        <v>0</v>
      </c>
      <c r="AK169" s="443">
        <v>1.2</v>
      </c>
      <c r="AL169" s="267">
        <f t="shared" si="42"/>
        <v>317.00646282977812</v>
      </c>
      <c r="AM169" s="267">
        <f>+CONVERT(AK169+Tabla1[[#This Row],[Con. DO Storage Gen. '[m3']]],"m^3","gal")</f>
        <v>317.00646282977812</v>
      </c>
      <c r="AN169" s="372">
        <f>SUM('DO Pilot'!B169:Y169)</f>
        <v>7.0600000000000014</v>
      </c>
      <c r="AO169" s="372">
        <f t="shared" si="43"/>
        <v>1865.0546896485284</v>
      </c>
      <c r="AP169" s="267">
        <f>AK169+AN169+Tabla1[[#This Row],[Con. DO Storage Gen. '[m3']]]</f>
        <v>8.2600000000000016</v>
      </c>
      <c r="AQ169" s="372">
        <f t="shared" si="49"/>
        <v>2182.0611524783067</v>
      </c>
      <c r="AR169" s="443">
        <v>0</v>
      </c>
      <c r="AS169" s="443">
        <v>0</v>
      </c>
      <c r="AT169" s="267">
        <f>+CONVERT(SUM(Tabla1[[#This Row],[Repo. DO Storage '[gal']]:[Repo. DO Pilot '[gal']]]),"gal","m3")</f>
        <v>0</v>
      </c>
      <c r="AU169" s="442">
        <v>0</v>
      </c>
      <c r="AV169" s="372">
        <f t="shared" si="56"/>
        <v>0</v>
      </c>
      <c r="AW169" s="442">
        <v>0</v>
      </c>
      <c r="AX169" s="372">
        <f t="shared" si="44"/>
        <v>0</v>
      </c>
      <c r="AY169" s="372">
        <f t="shared" si="45"/>
        <v>0.22954848865298921</v>
      </c>
      <c r="AZ169" s="372">
        <f>IFERROR(AL169/'Ar-Pa'!AX169,0)</f>
        <v>317.00646282977812</v>
      </c>
      <c r="BA169" s="372">
        <f>IFERROR(AL169/'Ar-Pa'!AY169,0)</f>
        <v>0</v>
      </c>
      <c r="BB169" s="372">
        <f t="shared" si="46"/>
        <v>1.3505102749084203</v>
      </c>
      <c r="BC169" s="372">
        <f>IFERROR(AVERAGEIF('DO Pilot'!AX169:BU169,"&gt;0"),0)</f>
        <v>9.7138265085860827</v>
      </c>
      <c r="BD169" s="446">
        <v>372418</v>
      </c>
      <c r="BE169" s="446">
        <v>13183</v>
      </c>
      <c r="BF169" s="446">
        <v>370739</v>
      </c>
      <c r="BG169" s="223">
        <f>Tabla1[[#This Row],[ Re. Gas GC
 '[m3']]]</f>
        <v>370739</v>
      </c>
      <c r="BH169" s="150">
        <f>IFERROR((BG169*Gas!$B$3)/28.31685,0)</f>
        <v>13042.509213418865</v>
      </c>
      <c r="BI169" s="73">
        <f t="shared" si="57"/>
        <v>-140.49078658113467</v>
      </c>
      <c r="BJ169" s="74">
        <f t="shared" si="50"/>
        <v>-1.0771760577833434E-2</v>
      </c>
      <c r="BK169" s="223">
        <f t="shared" si="47"/>
        <v>9545.9811730629972</v>
      </c>
      <c r="BL169" s="442">
        <v>9298.25</v>
      </c>
      <c r="BM169" s="70">
        <f t="shared" si="48"/>
        <v>9195.0319814293725</v>
      </c>
      <c r="BN169" s="150">
        <f t="shared" si="51"/>
        <v>9528.1195033319054</v>
      </c>
      <c r="BO169" s="373">
        <f>IFERROR(Tabla1[[#This Row],[ Re. Gas GC
 '[m3']]]/Tabla1[[#This Row],[G. HGS 
Con Gas '[kWh']]],0)</f>
        <v>0.26845691527878351</v>
      </c>
      <c r="BP169" s="374">
        <f>Tank!Y170</f>
        <v>0</v>
      </c>
      <c r="BQ169" s="70">
        <f>Tank!AP170</f>
        <v>0</v>
      </c>
      <c r="BR169" s="70">
        <f>Tank!V170</f>
        <v>0</v>
      </c>
      <c r="BS169" s="372">
        <f>Tank!T170</f>
        <v>0</v>
      </c>
      <c r="BT169" s="375" t="s">
        <v>228</v>
      </c>
      <c r="BU169" s="451">
        <v>71</v>
      </c>
      <c r="BV169" s="375">
        <f>IF(Tabla1[[#This Row],[Combustible ofertado]]="GAS",Tabla1[[#This Row],[Disponibilidad]],0)</f>
        <v>0</v>
      </c>
      <c r="BW169" s="375">
        <f>IF(Tabla1[[#This Row],[Combustible ofertado]]="DIESEL",Tabla1[[#This Row],[Disponibilidad]],0)</f>
        <v>71</v>
      </c>
      <c r="BX169" s="375">
        <f>IF(Tabla1[[#This Row],[Combustible ofertado]]="HFO",Tabla1[[#This Row],[Disponibilidad]],0)</f>
        <v>0</v>
      </c>
      <c r="BY169" s="456">
        <v>1390</v>
      </c>
      <c r="BZ169" s="446">
        <f>'Horo. M'!C170</f>
        <v>24</v>
      </c>
      <c r="CA169" s="446">
        <f>'Horo. M'!E170</f>
        <v>24</v>
      </c>
      <c r="CB169" s="446">
        <f>'Horo. M'!G170</f>
        <v>23</v>
      </c>
      <c r="CC169" s="446">
        <f>'Horo. M'!I170</f>
        <v>24</v>
      </c>
      <c r="CD169" s="446">
        <f>'Horo. M'!K170</f>
        <v>24</v>
      </c>
      <c r="CE169" s="446">
        <f>'Horo. M'!M170</f>
        <v>24</v>
      </c>
      <c r="CF169" s="446">
        <f>'Horo. M'!O170</f>
        <v>24</v>
      </c>
      <c r="CG169" s="446">
        <f>'Horo. M'!Q170</f>
        <v>1</v>
      </c>
      <c r="CH169" s="446">
        <f>'Horo. M'!S170</f>
        <v>0</v>
      </c>
      <c r="CI169" s="446">
        <f>'Horo. M'!U170</f>
        <v>24</v>
      </c>
      <c r="CJ169" s="70">
        <f>Tabla1[[#This Row],[Con. DO Storage '[gal']]]-Tabla1[[#This Row],[C. DO Storage Ge '[gal']]]</f>
        <v>317.00646282977812</v>
      </c>
      <c r="CK169" s="70"/>
      <c r="CL169" s="70"/>
      <c r="CM169" s="372">
        <f>Tabla1[[#This Row],[Con. DO Total '[gal']]]*131485.5/(1000000)</f>
        <v>286.90940166418642</v>
      </c>
    </row>
    <row r="170" spans="1:91" ht="15" customHeight="1">
      <c r="A170" s="362">
        <v>45095</v>
      </c>
      <c r="B170" s="376" t="str">
        <f>TEXT(Tabla1[[#This Row],[Fecha]],"mmmm")</f>
        <v>junio</v>
      </c>
      <c r="C170" s="429">
        <v>0</v>
      </c>
      <c r="D170" s="430">
        <v>1311</v>
      </c>
      <c r="E170" s="430">
        <v>1311</v>
      </c>
      <c r="F170" s="430">
        <v>1389</v>
      </c>
      <c r="G170" s="431">
        <v>0</v>
      </c>
      <c r="H170" s="431">
        <v>0</v>
      </c>
      <c r="I170" s="432">
        <v>3</v>
      </c>
      <c r="J170" s="432">
        <v>213</v>
      </c>
      <c r="K170" s="430">
        <v>24</v>
      </c>
      <c r="L170" s="430">
        <v>24</v>
      </c>
      <c r="M170" s="365">
        <f>Tabla1[[#This Row],[Columna1]]-Tabla1[[#This Row],[PO '[h']]]</f>
        <v>0</v>
      </c>
      <c r="N170" s="365">
        <f t="shared" si="55"/>
        <v>1602</v>
      </c>
      <c r="O170" s="430">
        <v>1389</v>
      </c>
      <c r="P170" s="367">
        <f>Tabla1[[#This Row],[G. HGS 
'[MWh']]]</f>
        <v>1389</v>
      </c>
      <c r="Q170" s="430">
        <v>0</v>
      </c>
      <c r="R170" s="367">
        <v>0</v>
      </c>
      <c r="S170" s="367">
        <f>Tabla1[[#This Row],[G. HGS 
Con Gas]]*1000</f>
        <v>1389000</v>
      </c>
      <c r="T170" s="365">
        <f>Tabla1[[#This Row],[G. HGS 
'[MWh']]]*1000</f>
        <v>1389000</v>
      </c>
      <c r="U170" s="368">
        <f>SUM('G. Un GE'!B170:Y170)</f>
        <v>1376.6634999999999</v>
      </c>
      <c r="V170" s="369">
        <f>Tabla1[[#This Row],[R. GE
'[MWh']]]</f>
        <v>1376.6634999999999</v>
      </c>
      <c r="W170" s="434">
        <v>0</v>
      </c>
      <c r="X170" s="369">
        <v>0</v>
      </c>
      <c r="Y170" s="365">
        <f>Tabla1[[#This Row],[R. GE
'[MWh']]]*1000</f>
        <v>1376663.5</v>
      </c>
      <c r="Z170" s="434">
        <v>36.57</v>
      </c>
      <c r="AA17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36.57</v>
      </c>
      <c r="AB170" s="371">
        <f>IF(Tabla1[[#This Row],[G. HGS 
'[MWh']]]=0,0,Tabla1[[#This Row],[G. HGS 
'[MWh']]]+Tabla1[[#This Row],[Con. Aux. '[MWh']2]])</f>
        <v>1425.57</v>
      </c>
      <c r="AC170" s="368">
        <f>'C. ENER. TN'!F170</f>
        <v>0</v>
      </c>
      <c r="AD170" s="370">
        <f>'C. ENER. TN'!G170</f>
        <v>1376.6635000000003</v>
      </c>
      <c r="AE170" s="370">
        <f>'G. Un GE'!AX170</f>
        <v>174.02146428571425</v>
      </c>
      <c r="AF170" s="368">
        <f>IFERROR('G. Un GE'!AX170/Tabla1[[#This Row],[PO '[h']]],0)</f>
        <v>7.2508943452380938</v>
      </c>
      <c r="AG170" s="365">
        <f>'Ar-Pa'!AX170</f>
        <v>1</v>
      </c>
      <c r="AH170" s="365">
        <f>'Ar-Pa'!AY170</f>
        <v>1</v>
      </c>
      <c r="AI170" s="366">
        <f>SUM('Cal. Arr'!AB173:AY173)</f>
        <v>0</v>
      </c>
      <c r="AJ170" s="442">
        <v>0</v>
      </c>
      <c r="AK170" s="443">
        <v>1.6</v>
      </c>
      <c r="AL170" s="267">
        <f t="shared" si="42"/>
        <v>422.67528377303745</v>
      </c>
      <c r="AM170" s="267">
        <f>+CONVERT(AK170+Tabla1[[#This Row],[Con. DO Storage Gen. '[m3']]],"m^3","gal")</f>
        <v>422.67528377303745</v>
      </c>
      <c r="AN170" s="372">
        <f>SUM('DO Pilot'!B170:Y170)</f>
        <v>6.839999999999999</v>
      </c>
      <c r="AO170" s="372">
        <f t="shared" si="43"/>
        <v>1806.936838129735</v>
      </c>
      <c r="AP170" s="267">
        <f>AK170+AN170+Tabla1[[#This Row],[Con. DO Storage Gen. '[m3']]]</f>
        <v>8.44</v>
      </c>
      <c r="AQ170" s="372">
        <f t="shared" si="49"/>
        <v>2229.6121219027727</v>
      </c>
      <c r="AR170" s="443">
        <v>0</v>
      </c>
      <c r="AS170" s="443">
        <v>0</v>
      </c>
      <c r="AT170" s="267">
        <f>+CONVERT(SUM(Tabla1[[#This Row],[Repo. DO Storage '[gal']]:[Repo. DO Pilot '[gal']]]),"gal","m3")</f>
        <v>0</v>
      </c>
      <c r="AU170" s="442">
        <v>0</v>
      </c>
      <c r="AV170" s="372">
        <f t="shared" si="56"/>
        <v>0</v>
      </c>
      <c r="AW170" s="442">
        <v>0</v>
      </c>
      <c r="AX170" s="372">
        <f t="shared" si="44"/>
        <v>0</v>
      </c>
      <c r="AY170" s="372">
        <f t="shared" si="45"/>
        <v>0.30430186016777355</v>
      </c>
      <c r="AZ170" s="372">
        <f>IFERROR(AL170/'Ar-Pa'!AX170,0)</f>
        <v>422.67528377303745</v>
      </c>
      <c r="BA170" s="372">
        <f>IFERROR(AL170/'Ar-Pa'!AY170,0)</f>
        <v>422.67528377303745</v>
      </c>
      <c r="BB170" s="372">
        <f t="shared" si="46"/>
        <v>1.3008904522172318</v>
      </c>
      <c r="BC170" s="372">
        <f>IFERROR(AVERAGEIF('DO Pilot'!AX170:BU170,"&gt;0"),0)</f>
        <v>9.5172699220100796</v>
      </c>
      <c r="BD170" s="446">
        <v>373512</v>
      </c>
      <c r="BE170" s="446">
        <v>13222</v>
      </c>
      <c r="BF170" s="446">
        <v>373471</v>
      </c>
      <c r="BG170" s="223">
        <f>Tabla1[[#This Row],[ Re. Gas GC
 '[m3']]]</f>
        <v>373471</v>
      </c>
      <c r="BH170" s="150">
        <f>IFERROR((BG170*Gas!$B$3)/28.31685,0)</f>
        <v>13138.620318997346</v>
      </c>
      <c r="BI170" s="73">
        <f t="shared" si="57"/>
        <v>-83.379681002654252</v>
      </c>
      <c r="BJ170" s="74">
        <f t="shared" si="50"/>
        <v>-6.346151953420422E-3</v>
      </c>
      <c r="BK170" s="223">
        <f t="shared" si="47"/>
        <v>9519.078473722102</v>
      </c>
      <c r="BL170" s="442">
        <v>9018.23</v>
      </c>
      <c r="BM170" s="70">
        <f t="shared" si="48"/>
        <v>9216.3978752340081</v>
      </c>
      <c r="BN170" s="150">
        <f t="shared" si="51"/>
        <v>9543.8139523546215</v>
      </c>
      <c r="BO170" s="373">
        <f>IFERROR(Tabla1[[#This Row],[ Re. Gas GC
 '[m3']]]/Tabla1[[#This Row],[G. HGS 
Con Gas '[kWh']]],0)</f>
        <v>0.26887760979121672</v>
      </c>
      <c r="BP170" s="374">
        <f>Tank!Y171</f>
        <v>0</v>
      </c>
      <c r="BQ170" s="70">
        <f>Tank!AP171</f>
        <v>0</v>
      </c>
      <c r="BR170" s="70">
        <f>Tank!V171</f>
        <v>0</v>
      </c>
      <c r="BS170" s="372">
        <f>Tank!T171</f>
        <v>0</v>
      </c>
      <c r="BT170" s="375" t="s">
        <v>228</v>
      </c>
      <c r="BU170" s="451">
        <v>71</v>
      </c>
      <c r="BV170" s="375">
        <f>IF(Tabla1[[#This Row],[Combustible ofertado]]="GAS",Tabla1[[#This Row],[Disponibilidad]],0)</f>
        <v>0</v>
      </c>
      <c r="BW170" s="375">
        <f>IF(Tabla1[[#This Row],[Combustible ofertado]]="DIESEL",Tabla1[[#This Row],[Disponibilidad]],0)</f>
        <v>71</v>
      </c>
      <c r="BX170" s="375">
        <f>IF(Tabla1[[#This Row],[Combustible ofertado]]="HFO",Tabla1[[#This Row],[Disponibilidad]],0)</f>
        <v>0</v>
      </c>
      <c r="BY170" s="456">
        <v>1390</v>
      </c>
      <c r="BZ170" s="446">
        <f>'Horo. M'!C171</f>
        <v>24</v>
      </c>
      <c r="CA170" s="446">
        <f>'Horo. M'!E171</f>
        <v>24</v>
      </c>
      <c r="CB170" s="446">
        <f>'Horo. M'!G171</f>
        <v>1</v>
      </c>
      <c r="CC170" s="446">
        <f>'Horo. M'!I171</f>
        <v>24</v>
      </c>
      <c r="CD170" s="446">
        <f>'Horo. M'!K171</f>
        <v>21</v>
      </c>
      <c r="CE170" s="446">
        <f>'Horo. M'!M171</f>
        <v>24</v>
      </c>
      <c r="CF170" s="446">
        <f>'Horo. M'!O171</f>
        <v>24</v>
      </c>
      <c r="CG170" s="446">
        <f>'Horo. M'!Q171</f>
        <v>24</v>
      </c>
      <c r="CH170" s="446">
        <f>'Horo. M'!S171</f>
        <v>0</v>
      </c>
      <c r="CI170" s="446">
        <f>'Horo. M'!U171</f>
        <v>24</v>
      </c>
      <c r="CJ170" s="70">
        <f>Tabla1[[#This Row],[Con. DO Storage '[gal']]]-Tabla1[[#This Row],[C. DO Storage Ge '[gal']]]</f>
        <v>422.67528377303745</v>
      </c>
      <c r="CK170" s="70"/>
      <c r="CL170" s="70"/>
      <c r="CM170" s="372">
        <f>Tabla1[[#This Row],[Con. DO Total '[gal']]]*131485.5/(1000000)</f>
        <v>293.16166465444701</v>
      </c>
    </row>
    <row r="171" spans="1:91" ht="15" customHeight="1">
      <c r="A171" s="362">
        <v>45096</v>
      </c>
      <c r="B171" s="376" t="str">
        <f>TEXT(Tabla1[[#This Row],[Fecha]],"mmmm")</f>
        <v>junio</v>
      </c>
      <c r="C171" s="429">
        <v>0</v>
      </c>
      <c r="D171" s="430">
        <v>1309</v>
      </c>
      <c r="E171" s="430">
        <v>1309</v>
      </c>
      <c r="F171" s="430">
        <v>1382</v>
      </c>
      <c r="G171" s="431">
        <v>0</v>
      </c>
      <c r="H171" s="431">
        <v>0</v>
      </c>
      <c r="I171" s="432">
        <v>5</v>
      </c>
      <c r="J171" s="432">
        <v>335</v>
      </c>
      <c r="K171" s="430">
        <v>24</v>
      </c>
      <c r="L171" s="430">
        <v>24</v>
      </c>
      <c r="M171" s="365">
        <f>Tabla1[[#This Row],[Columna1]]-Tabla1[[#This Row],[PO '[h']]]</f>
        <v>0</v>
      </c>
      <c r="N171" s="365">
        <f t="shared" si="55"/>
        <v>1717</v>
      </c>
      <c r="O171" s="430">
        <v>1382</v>
      </c>
      <c r="P171" s="367">
        <f>Tabla1[[#This Row],[G. HGS 
'[MWh']]]</f>
        <v>1382</v>
      </c>
      <c r="Q171" s="430">
        <v>0</v>
      </c>
      <c r="R171" s="367">
        <v>0</v>
      </c>
      <c r="S171" s="367">
        <f>Tabla1[[#This Row],[G. HGS 
Con Gas]]*1000</f>
        <v>1382000</v>
      </c>
      <c r="T171" s="365">
        <f>Tabla1[[#This Row],[G. HGS 
'[MWh']]]*1000</f>
        <v>1382000</v>
      </c>
      <c r="U171" s="368">
        <f>SUM('G. Un GE'!B171:Y171)</f>
        <v>1370.2103000000002</v>
      </c>
      <c r="V171" s="369">
        <f>Tabla1[[#This Row],[R. GE
'[MWh']]]</f>
        <v>1370.2103000000002</v>
      </c>
      <c r="W171" s="434">
        <v>0</v>
      </c>
      <c r="X171" s="369">
        <v>0</v>
      </c>
      <c r="Y171" s="365">
        <f>Tabla1[[#This Row],[R. GE
'[MWh']]]*1000</f>
        <v>1370210.3000000003</v>
      </c>
      <c r="Z171" s="434">
        <v>36.729999999999997</v>
      </c>
      <c r="AA17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36.729999999999997</v>
      </c>
      <c r="AB171" s="371">
        <f>IF(Tabla1[[#This Row],[G. HGS 
'[MWh']]]=0,0,Tabla1[[#This Row],[G. HGS 
'[MWh']]]+Tabla1[[#This Row],[Con. Aux. '[MWh']2]])</f>
        <v>1418.73</v>
      </c>
      <c r="AC171" s="368">
        <f>'C. ENER. TN'!F171</f>
        <v>0</v>
      </c>
      <c r="AD171" s="370">
        <f>'C. ENER. TN'!G171</f>
        <v>1370.2103</v>
      </c>
      <c r="AE171" s="370">
        <f>'G. Un GE'!AX171</f>
        <v>171.27628750000002</v>
      </c>
      <c r="AF171" s="368">
        <f>IFERROR('G. Un GE'!AX171/Tabla1[[#This Row],[PO '[h']]],0)</f>
        <v>7.1365119791666674</v>
      </c>
      <c r="AG171" s="365">
        <f>'Ar-Pa'!AX171</f>
        <v>0</v>
      </c>
      <c r="AH171" s="365">
        <f>'Ar-Pa'!AY171</f>
        <v>0</v>
      </c>
      <c r="AI171" s="366">
        <f>SUM('Cal. Arr'!AB174:AY174)</f>
        <v>0</v>
      </c>
      <c r="AJ171" s="442">
        <v>0</v>
      </c>
      <c r="AK171" s="443">
        <v>1.4</v>
      </c>
      <c r="AL171" s="267">
        <f t="shared" si="42"/>
        <v>369.84087330140778</v>
      </c>
      <c r="AM171" s="267">
        <f>+CONVERT(AK171+Tabla1[[#This Row],[Con. DO Storage Gen. '[m3']]],"m^3","gal")</f>
        <v>369.84087330140778</v>
      </c>
      <c r="AN171" s="372">
        <f>SUM('DO Pilot'!B171:Y171)</f>
        <v>6.8699999999999992</v>
      </c>
      <c r="AO171" s="372">
        <f t="shared" si="43"/>
        <v>1814.8619997004794</v>
      </c>
      <c r="AP171" s="267">
        <f>AK171+AN171+Tabla1[[#This Row],[Con. DO Storage Gen. '[m3']]]</f>
        <v>8.27</v>
      </c>
      <c r="AQ171" s="372">
        <f t="shared" si="49"/>
        <v>2184.7028730018874</v>
      </c>
      <c r="AR171" s="443">
        <v>0</v>
      </c>
      <c r="AS171" s="443">
        <v>0</v>
      </c>
      <c r="AT171" s="267">
        <f>+CONVERT(SUM(Tabla1[[#This Row],[Repo. DO Storage '[gal']]:[Repo. DO Pilot '[gal']]]),"gal","m3")</f>
        <v>0</v>
      </c>
      <c r="AU171" s="442">
        <v>0</v>
      </c>
      <c r="AV171" s="372">
        <f t="shared" si="56"/>
        <v>0</v>
      </c>
      <c r="AW171" s="442">
        <v>0</v>
      </c>
      <c r="AX171" s="372">
        <f t="shared" si="44"/>
        <v>0</v>
      </c>
      <c r="AY171" s="372">
        <f t="shared" si="45"/>
        <v>0.26761278820651796</v>
      </c>
      <c r="AZ171" s="372">
        <f>IFERROR(AL171/'Ar-Pa'!AX171,0)</f>
        <v>0</v>
      </c>
      <c r="BA171" s="372">
        <f>IFERROR(AL171/'Ar-Pa'!AY171,0)</f>
        <v>0</v>
      </c>
      <c r="BB171" s="372">
        <f t="shared" si="46"/>
        <v>1.3132141821276986</v>
      </c>
      <c r="BC171" s="372">
        <f>IFERROR(AVERAGEIF('DO Pilot'!AX171:BU171,"&gt;0"),0)</f>
        <v>9.4524062484399956</v>
      </c>
      <c r="BD171" s="446">
        <v>371962</v>
      </c>
      <c r="BE171" s="446">
        <v>13167</v>
      </c>
      <c r="BF171" s="446">
        <v>371915</v>
      </c>
      <c r="BG171" s="223">
        <f>Tabla1[[#This Row],[ Re. Gas GC
 '[m3']]]</f>
        <v>371915</v>
      </c>
      <c r="BH171" s="150">
        <f>IFERROR((BG171*Gas!$B$3)/28.31685,0)</f>
        <v>13083.880611720582</v>
      </c>
      <c r="BI171" s="73">
        <f t="shared" si="57"/>
        <v>-83.119388279417763</v>
      </c>
      <c r="BJ171" s="74">
        <f t="shared" si="50"/>
        <v>-6.3528085241743304E-3</v>
      </c>
      <c r="BK171" s="223">
        <f t="shared" si="47"/>
        <v>9527.4963820549929</v>
      </c>
      <c r="BL171" s="442">
        <v>9045.48</v>
      </c>
      <c r="BM171" s="70">
        <f t="shared" si="48"/>
        <v>9222.2484981078724</v>
      </c>
      <c r="BN171" s="150">
        <f t="shared" si="51"/>
        <v>9548.8120412761309</v>
      </c>
      <c r="BO171" s="373">
        <f>IFERROR(Tabla1[[#This Row],[ Re. Gas GC
 '[m3']]]/Tabla1[[#This Row],[G. HGS 
Con Gas '[kWh']]],0)</f>
        <v>0.26911360347322721</v>
      </c>
      <c r="BP171" s="374">
        <f>Tank!Y172</f>
        <v>0</v>
      </c>
      <c r="BQ171" s="70">
        <f>Tank!AP172</f>
        <v>0</v>
      </c>
      <c r="BR171" s="70">
        <f>Tank!V172</f>
        <v>0</v>
      </c>
      <c r="BS171" s="372">
        <f>Tank!T172</f>
        <v>0</v>
      </c>
      <c r="BT171" s="375" t="s">
        <v>228</v>
      </c>
      <c r="BU171" s="451">
        <v>71</v>
      </c>
      <c r="BV171" s="375">
        <f>IF(Tabla1[[#This Row],[Combustible ofertado]]="GAS",Tabla1[[#This Row],[Disponibilidad]],0)</f>
        <v>0</v>
      </c>
      <c r="BW171" s="375">
        <f>IF(Tabla1[[#This Row],[Combustible ofertado]]="DIESEL",Tabla1[[#This Row],[Disponibilidad]],0)</f>
        <v>71</v>
      </c>
      <c r="BX171" s="375">
        <f>IF(Tabla1[[#This Row],[Combustible ofertado]]="HFO",Tabla1[[#This Row],[Disponibilidad]],0)</f>
        <v>0</v>
      </c>
      <c r="BY171" s="456">
        <v>1390</v>
      </c>
      <c r="BZ171" s="446">
        <f>'Horo. M'!C172</f>
        <v>24</v>
      </c>
      <c r="CA171" s="446">
        <f>'Horo. M'!E172</f>
        <v>24</v>
      </c>
      <c r="CB171" s="446">
        <f>'Horo. M'!G172</f>
        <v>24</v>
      </c>
      <c r="CC171" s="446">
        <f>'Horo. M'!I172</f>
        <v>24</v>
      </c>
      <c r="CD171" s="446">
        <f>'Horo. M'!K172</f>
        <v>24</v>
      </c>
      <c r="CE171" s="446">
        <f>'Horo. M'!M172</f>
        <v>24</v>
      </c>
      <c r="CF171" s="446">
        <f>'Horo. M'!O172</f>
        <v>24</v>
      </c>
      <c r="CG171" s="446">
        <f>'Horo. M'!Q172</f>
        <v>24</v>
      </c>
      <c r="CH171" s="446">
        <f>'Horo. M'!S172</f>
        <v>0</v>
      </c>
      <c r="CI171" s="446">
        <f>'Horo. M'!U172</f>
        <v>0</v>
      </c>
      <c r="CJ171" s="70">
        <f>Tabla1[[#This Row],[Con. DO Storage '[gal']]]-Tabla1[[#This Row],[C. DO Storage Ge '[gal']]]</f>
        <v>369.84087330140778</v>
      </c>
      <c r="CK171" s="70"/>
      <c r="CL171" s="70"/>
      <c r="CM171" s="372">
        <f>Tabla1[[#This Row],[Con. DO Total '[gal']]]*131485.5/(1000000)</f>
        <v>287.25674960808971</v>
      </c>
    </row>
    <row r="172" spans="1:91" ht="15" customHeight="1">
      <c r="A172" s="362">
        <v>45097</v>
      </c>
      <c r="B172" s="376" t="str">
        <f>TEXT(Tabla1[[#This Row],[Fecha]],"mmmm")</f>
        <v>junio</v>
      </c>
      <c r="C172" s="429">
        <v>0</v>
      </c>
      <c r="D172" s="430">
        <v>1388</v>
      </c>
      <c r="E172" s="430">
        <v>1388</v>
      </c>
      <c r="F172" s="430">
        <v>1431</v>
      </c>
      <c r="G172" s="431">
        <v>0</v>
      </c>
      <c r="H172" s="431">
        <v>0</v>
      </c>
      <c r="I172" s="432">
        <v>9</v>
      </c>
      <c r="J172" s="432">
        <v>636</v>
      </c>
      <c r="K172" s="430">
        <v>24</v>
      </c>
      <c r="L172" s="430">
        <v>24</v>
      </c>
      <c r="M172" s="365">
        <f>Tabla1[[#This Row],[Columna1]]-Tabla1[[#This Row],[PO '[h']]]</f>
        <v>0</v>
      </c>
      <c r="N172" s="365">
        <f t="shared" si="55"/>
        <v>2067</v>
      </c>
      <c r="O172" s="430">
        <v>1431</v>
      </c>
      <c r="P172" s="367">
        <f>Tabla1[[#This Row],[G. HGS 
'[MWh']]]</f>
        <v>1431</v>
      </c>
      <c r="Q172" s="430">
        <v>0</v>
      </c>
      <c r="R172" s="367">
        <v>0</v>
      </c>
      <c r="S172" s="367">
        <f>Tabla1[[#This Row],[G. HGS 
Con Gas]]*1000</f>
        <v>1431000</v>
      </c>
      <c r="T172" s="365">
        <f>Tabla1[[#This Row],[G. HGS 
'[MWh']]]*1000</f>
        <v>1431000</v>
      </c>
      <c r="U172" s="368">
        <f>SUM('G. Un GE'!B172:Y172)</f>
        <v>1418.8615999999997</v>
      </c>
      <c r="V172" s="369">
        <f>Tabla1[[#This Row],[R. GE
'[MWh']]]</f>
        <v>1418.8615999999997</v>
      </c>
      <c r="W172" s="434">
        <v>0</v>
      </c>
      <c r="X172" s="369">
        <v>0</v>
      </c>
      <c r="Y172" s="365">
        <f>Tabla1[[#This Row],[R. GE
'[MWh']]]*1000</f>
        <v>1418861.5999999996</v>
      </c>
      <c r="Z172" s="434">
        <v>35.28</v>
      </c>
      <c r="AA17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35.28</v>
      </c>
      <c r="AB172" s="371">
        <f>IF(Tabla1[[#This Row],[G. HGS 
'[MWh']]]=0,0,Tabla1[[#This Row],[G. HGS 
'[MWh']]]+Tabla1[[#This Row],[Con. Aux. '[MWh']2]])</f>
        <v>1466.28</v>
      </c>
      <c r="AC172" s="368">
        <f>'C. ENER. TN'!F172</f>
        <v>0</v>
      </c>
      <c r="AD172" s="370">
        <f>'C. ENER. TN'!G172</f>
        <v>1418.8616000000002</v>
      </c>
      <c r="AE172" s="370">
        <f>'G. Un GE'!AX172</f>
        <v>184.80648214285711</v>
      </c>
      <c r="AF172" s="368">
        <f>IFERROR('G. Un GE'!AX172/Tabla1[[#This Row],[PO '[h']]],0)</f>
        <v>7.7002700892857128</v>
      </c>
      <c r="AG172" s="365">
        <f>'Ar-Pa'!AX172</f>
        <v>1</v>
      </c>
      <c r="AH172" s="365">
        <f>'Ar-Pa'!AY172</f>
        <v>2</v>
      </c>
      <c r="AI172" s="366">
        <f>SUM('Cal. Arr'!AB175:AY175)</f>
        <v>0</v>
      </c>
      <c r="AJ172" s="442">
        <v>0</v>
      </c>
      <c r="AK172" s="443">
        <v>1.5</v>
      </c>
      <c r="AL172" s="267">
        <f t="shared" si="42"/>
        <v>396.25807853722262</v>
      </c>
      <c r="AM172" s="267">
        <f>+CONVERT(AK172+Tabla1[[#This Row],[Con. DO Storage Gen. '[m3']]],"m^3","gal")</f>
        <v>396.25807853722262</v>
      </c>
      <c r="AN172" s="372">
        <f>SUM('DO Pilot'!B172:Y172)</f>
        <v>6.4500000000000011</v>
      </c>
      <c r="AO172" s="372">
        <f t="shared" si="43"/>
        <v>1703.9097377100575</v>
      </c>
      <c r="AP172" s="267">
        <f>AK172+AN172+Tabla1[[#This Row],[Con. DO Storage Gen. '[m3']]]</f>
        <v>7.9500000000000011</v>
      </c>
      <c r="AQ172" s="372">
        <f t="shared" si="49"/>
        <v>2100.1678162472804</v>
      </c>
      <c r="AR172" s="443">
        <v>0</v>
      </c>
      <c r="AS172" s="443">
        <v>0</v>
      </c>
      <c r="AT172" s="267">
        <f>+CONVERT(SUM(Tabla1[[#This Row],[Repo. DO Storage '[gal']]:[Repo. DO Pilot '[gal']]]),"gal","m3")</f>
        <v>0</v>
      </c>
      <c r="AU172" s="442">
        <v>0</v>
      </c>
      <c r="AV172" s="372">
        <f t="shared" si="56"/>
        <v>0</v>
      </c>
      <c r="AW172" s="442">
        <v>0</v>
      </c>
      <c r="AX172" s="372">
        <f t="shared" si="44"/>
        <v>0</v>
      </c>
      <c r="AY172" s="372">
        <f t="shared" si="45"/>
        <v>0.27690990813223104</v>
      </c>
      <c r="AZ172" s="372">
        <f>IFERROR(AL172/'Ar-Pa'!AX172,0)</f>
        <v>396.25807853722262</v>
      </c>
      <c r="BA172" s="372">
        <f>IFERROR(AL172/'Ar-Pa'!AY172,0)</f>
        <v>198.12903926861131</v>
      </c>
      <c r="BB172" s="372">
        <f t="shared" si="46"/>
        <v>1.1907126049685937</v>
      </c>
      <c r="BC172" s="372">
        <f>IFERROR(AVERAGEIF('DO Pilot'!AX172:BU172,"&gt;0"),0)</f>
        <v>9.246021832535197</v>
      </c>
      <c r="BD172" s="446">
        <v>381138</v>
      </c>
      <c r="BE172" s="446">
        <v>13492</v>
      </c>
      <c r="BF172" s="446">
        <v>380645</v>
      </c>
      <c r="BG172" s="223">
        <f>Tabla1[[#This Row],[ Re. Gas GC
 '[m3']]]</f>
        <v>380645</v>
      </c>
      <c r="BH172" s="150">
        <f>IFERROR((BG172*Gas!$B$3)/28.31685,0)</f>
        <v>13390.99992054201</v>
      </c>
      <c r="BI172" s="73">
        <f t="shared" si="57"/>
        <v>-101.00007945799007</v>
      </c>
      <c r="BJ172" s="74">
        <f t="shared" si="50"/>
        <v>-7.5423851883573171E-3</v>
      </c>
      <c r="BK172" s="223">
        <f t="shared" si="47"/>
        <v>9428.3717679944093</v>
      </c>
      <c r="BL172" s="442">
        <v>8755.0300000000007</v>
      </c>
      <c r="BM172" s="70">
        <f t="shared" si="48"/>
        <v>9132.6349132103078</v>
      </c>
      <c r="BN172" s="150">
        <f t="shared" si="51"/>
        <v>9437.8478637676926</v>
      </c>
      <c r="BO172" s="373">
        <f>IFERROR(Tabla1[[#This Row],[ Re. Gas GC
 '[m3']]]/Tabla1[[#This Row],[G. HGS 
Con Gas '[kWh']]],0)</f>
        <v>0.26599930118798043</v>
      </c>
      <c r="BP172" s="374">
        <f>Tank!Y173</f>
        <v>0</v>
      </c>
      <c r="BQ172" s="70">
        <f>Tank!AP173</f>
        <v>0</v>
      </c>
      <c r="BR172" s="70">
        <f>Tank!V173</f>
        <v>22.659474939024001</v>
      </c>
      <c r="BS172" s="372">
        <f>Tank!T173</f>
        <v>0</v>
      </c>
      <c r="BT172" s="375" t="s">
        <v>228</v>
      </c>
      <c r="BU172" s="451">
        <v>71</v>
      </c>
      <c r="BV172" s="375">
        <f>IF(Tabla1[[#This Row],[Combustible ofertado]]="GAS",Tabla1[[#This Row],[Disponibilidad]],0)</f>
        <v>0</v>
      </c>
      <c r="BW172" s="375">
        <f>IF(Tabla1[[#This Row],[Combustible ofertado]]="DIESEL",Tabla1[[#This Row],[Disponibilidad]],0)</f>
        <v>71</v>
      </c>
      <c r="BX172" s="375">
        <f>IF(Tabla1[[#This Row],[Combustible ofertado]]="HFO",Tabla1[[#This Row],[Disponibilidad]],0)</f>
        <v>0</v>
      </c>
      <c r="BY172" s="456">
        <v>1390</v>
      </c>
      <c r="BZ172" s="446">
        <f>'Horo. M'!C173</f>
        <v>24</v>
      </c>
      <c r="CA172" s="446">
        <f>'Horo. M'!E173</f>
        <v>24</v>
      </c>
      <c r="CB172" s="446">
        <f>'Horo. M'!G173</f>
        <v>23</v>
      </c>
      <c r="CC172" s="446">
        <f>'Horo. M'!I173</f>
        <v>24</v>
      </c>
      <c r="CD172" s="446">
        <f>'Horo. M'!K173</f>
        <v>24</v>
      </c>
      <c r="CE172" s="446">
        <f>'Horo. M'!M173</f>
        <v>1</v>
      </c>
      <c r="CF172" s="446">
        <f>'Horo. M'!O173</f>
        <v>18</v>
      </c>
      <c r="CG172" s="446">
        <f>'Horo. M'!Q173</f>
        <v>24</v>
      </c>
      <c r="CH172" s="446">
        <f>'Horo. M'!S173</f>
        <v>0</v>
      </c>
      <c r="CI172" s="446">
        <f>'Horo. M'!U173</f>
        <v>23</v>
      </c>
      <c r="CJ172" s="70">
        <f>Tabla1[[#This Row],[Con. DO Storage '[gal']]]-Tabla1[[#This Row],[C. DO Storage Ge '[gal']]]</f>
        <v>396.25807853722262</v>
      </c>
      <c r="CK172" s="70"/>
      <c r="CL172" s="70"/>
      <c r="CM172" s="372">
        <f>Tabla1[[#This Row],[Con. DO Total '[gal']]]*131485.5/(1000000)</f>
        <v>276.14161540318179</v>
      </c>
    </row>
    <row r="173" spans="1:91" ht="15" customHeight="1">
      <c r="A173" s="362">
        <v>45098</v>
      </c>
      <c r="B173" s="376" t="str">
        <f>TEXT(Tabla1[[#This Row],[Fecha]],"mmmm")</f>
        <v>junio</v>
      </c>
      <c r="C173" s="429">
        <v>0</v>
      </c>
      <c r="D173" s="430">
        <v>1397</v>
      </c>
      <c r="E173" s="430">
        <v>1397</v>
      </c>
      <c r="F173" s="430">
        <v>1417</v>
      </c>
      <c r="G173" s="431">
        <v>4</v>
      </c>
      <c r="H173" s="431">
        <v>266</v>
      </c>
      <c r="I173" s="432">
        <v>3</v>
      </c>
      <c r="J173" s="432">
        <v>204</v>
      </c>
      <c r="K173" s="430">
        <v>24</v>
      </c>
      <c r="L173" s="430">
        <v>24</v>
      </c>
      <c r="M173" s="365">
        <f>Tabla1[[#This Row],[Columna1]]-Tabla1[[#This Row],[PO '[h']]]</f>
        <v>0</v>
      </c>
      <c r="N173" s="365">
        <f t="shared" si="55"/>
        <v>1887</v>
      </c>
      <c r="O173" s="430">
        <v>1417</v>
      </c>
      <c r="P173" s="367">
        <f>Tabla1[[#This Row],[G. HGS 
'[MWh']]]</f>
        <v>1417</v>
      </c>
      <c r="Q173" s="430">
        <v>0</v>
      </c>
      <c r="R173" s="367">
        <v>0</v>
      </c>
      <c r="S173" s="367">
        <f>Tabla1[[#This Row],[G. HGS 
Con Gas]]*1000</f>
        <v>1417000</v>
      </c>
      <c r="T173" s="365">
        <f>Tabla1[[#This Row],[G. HGS 
'[MWh']]]*1000</f>
        <v>1417000</v>
      </c>
      <c r="U173" s="368">
        <f>SUM('G. Un GE'!B173:Y173)</f>
        <v>1404.8969999999997</v>
      </c>
      <c r="V173" s="369">
        <f>Tabla1[[#This Row],[R. GE
'[MWh']]]</f>
        <v>1404.8969999999997</v>
      </c>
      <c r="W173" s="434">
        <v>0</v>
      </c>
      <c r="X173" s="369">
        <v>0</v>
      </c>
      <c r="Y173" s="365">
        <f>Tabla1[[#This Row],[R. GE
'[MWh']]]*1000</f>
        <v>1404896.9999999998</v>
      </c>
      <c r="Z173" s="434">
        <v>35.380000000000003</v>
      </c>
      <c r="AA17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35.380000000000003</v>
      </c>
      <c r="AB173" s="371">
        <f>IF(Tabla1[[#This Row],[G. HGS 
'[MWh']]]=0,0,Tabla1[[#This Row],[G. HGS 
'[MWh']]]+Tabla1[[#This Row],[Con. Aux. '[MWh']2]])</f>
        <v>1452.38</v>
      </c>
      <c r="AC173" s="368">
        <f>'C. ENER. TN'!F173</f>
        <v>0</v>
      </c>
      <c r="AD173" s="370">
        <f>'C. ENER. TN'!G173</f>
        <v>1404.8970000000002</v>
      </c>
      <c r="AE173" s="370">
        <f>'G. Un GE'!AX173</f>
        <v>182.0468982142857</v>
      </c>
      <c r="AF173" s="368">
        <f>IFERROR('G. Un GE'!AX173/Tabla1[[#This Row],[PO '[h']]],0)</f>
        <v>7.5852874255952374</v>
      </c>
      <c r="AG173" s="365">
        <f>'Ar-Pa'!AX173</f>
        <v>1</v>
      </c>
      <c r="AH173" s="365">
        <f>'Ar-Pa'!AY173</f>
        <v>1</v>
      </c>
      <c r="AI173" s="366">
        <f>SUM('Cal. Arr'!AB176:AY176)</f>
        <v>0</v>
      </c>
      <c r="AJ173" s="442">
        <v>0</v>
      </c>
      <c r="AK173" s="443">
        <v>1.3</v>
      </c>
      <c r="AL173" s="267">
        <f t="shared" si="42"/>
        <v>343.42366806559295</v>
      </c>
      <c r="AM173" s="267">
        <f>+CONVERT(AK173+Tabla1[[#This Row],[Con. DO Storage Gen. '[m3']]],"m^3","gal")</f>
        <v>343.42366806559295</v>
      </c>
      <c r="AN173" s="372">
        <f>SUM('DO Pilot'!B173:Y173)</f>
        <v>6.65</v>
      </c>
      <c r="AO173" s="372">
        <f t="shared" si="43"/>
        <v>1756.744148181687</v>
      </c>
      <c r="AP173" s="267">
        <f>AK173+AN173+Tabla1[[#This Row],[Con. DO Storage Gen. '[m3']]]</f>
        <v>7.95</v>
      </c>
      <c r="AQ173" s="372">
        <f t="shared" si="49"/>
        <v>2100.1678162472799</v>
      </c>
      <c r="AR173" s="443">
        <v>0</v>
      </c>
      <c r="AS173" s="443">
        <v>0</v>
      </c>
      <c r="AT173" s="267">
        <f>+CONVERT(SUM(Tabla1[[#This Row],[Repo. DO Storage '[gal']]:[Repo. DO Pilot '[gal']]]),"gal","m3")</f>
        <v>0</v>
      </c>
      <c r="AU173" s="442">
        <v>0</v>
      </c>
      <c r="AV173" s="372">
        <f t="shared" si="56"/>
        <v>0</v>
      </c>
      <c r="AW173" s="442">
        <v>0</v>
      </c>
      <c r="AX173" s="372">
        <f t="shared" si="44"/>
        <v>0</v>
      </c>
      <c r="AY173" s="372">
        <f t="shared" si="45"/>
        <v>0.24235968106252148</v>
      </c>
      <c r="AZ173" s="372">
        <f>IFERROR(AL173/'Ar-Pa'!AX173,0)</f>
        <v>343.42366806559295</v>
      </c>
      <c r="BA173" s="372">
        <f>IFERROR(AL173/'Ar-Pa'!AY173,0)</f>
        <v>343.42366806559295</v>
      </c>
      <c r="BB173" s="372">
        <f t="shared" si="46"/>
        <v>1.2397629838967446</v>
      </c>
      <c r="BC173" s="372">
        <f>IFERROR(AVERAGEIF('DO Pilot'!AX173:BU173,"&gt;0"),0)</f>
        <v>9.4858208681579193</v>
      </c>
      <c r="BD173" s="446">
        <v>377433</v>
      </c>
      <c r="BE173" s="446">
        <v>13361</v>
      </c>
      <c r="BF173" s="446">
        <v>377425</v>
      </c>
      <c r="BG173" s="223">
        <f>Tabla1[[#This Row],[ Re. Gas GC
 '[m3']]]</f>
        <v>377425</v>
      </c>
      <c r="BH173" s="150">
        <f>IFERROR((BG173*Gas!$B$3)/28.31685,0)</f>
        <v>13277.721091858735</v>
      </c>
      <c r="BI173" s="73">
        <f t="shared" si="57"/>
        <v>-83.278908141264765</v>
      </c>
      <c r="BJ173" s="74">
        <f t="shared" si="50"/>
        <v>-6.2720784361352056E-3</v>
      </c>
      <c r="BK173" s="223">
        <f t="shared" si="47"/>
        <v>9429.0755116443197</v>
      </c>
      <c r="BL173" s="442">
        <v>9003.19</v>
      </c>
      <c r="BM173" s="70">
        <f t="shared" si="48"/>
        <v>9142.0434678656657</v>
      </c>
      <c r="BN173" s="150">
        <f t="shared" si="51"/>
        <v>9451.0281478704401</v>
      </c>
      <c r="BO173" s="373">
        <f>IFERROR(Tabla1[[#This Row],[ Re. Gas GC
 '[m3']]]/Tabla1[[#This Row],[G. HGS 
Con Gas '[kWh']]],0)</f>
        <v>0.26635497529992941</v>
      </c>
      <c r="BP173" s="374">
        <f>Tank!Y174</f>
        <v>0</v>
      </c>
      <c r="BQ173" s="70">
        <f>Tank!AP174</f>
        <v>0</v>
      </c>
      <c r="BR173" s="70">
        <f>Tank!V174</f>
        <v>0</v>
      </c>
      <c r="BS173" s="372">
        <f>Tank!T174</f>
        <v>0</v>
      </c>
      <c r="BT173" s="375" t="s">
        <v>228</v>
      </c>
      <c r="BU173" s="451">
        <v>71</v>
      </c>
      <c r="BV173" s="375">
        <f>IF(Tabla1[[#This Row],[Combustible ofertado]]="GAS",Tabla1[[#This Row],[Disponibilidad]],0)</f>
        <v>0</v>
      </c>
      <c r="BW173" s="375">
        <f>IF(Tabla1[[#This Row],[Combustible ofertado]]="DIESEL",Tabla1[[#This Row],[Disponibilidad]],0)</f>
        <v>71</v>
      </c>
      <c r="BX173" s="375">
        <f>IF(Tabla1[[#This Row],[Combustible ofertado]]="HFO",Tabla1[[#This Row],[Disponibilidad]],0)</f>
        <v>0</v>
      </c>
      <c r="BY173" s="456">
        <v>1390</v>
      </c>
      <c r="BZ173" s="446">
        <f>'Horo. M'!C174</f>
        <v>24</v>
      </c>
      <c r="CA173" s="446">
        <f>'Horo. M'!E174</f>
        <v>24</v>
      </c>
      <c r="CB173" s="446">
        <f>'Horo. M'!G174</f>
        <v>24</v>
      </c>
      <c r="CC173" s="446">
        <f>'Horo. M'!I174</f>
        <v>19</v>
      </c>
      <c r="CD173" s="446">
        <f>'Horo. M'!K174</f>
        <v>24</v>
      </c>
      <c r="CE173" s="446">
        <f>'Horo. M'!M174</f>
        <v>0</v>
      </c>
      <c r="CF173" s="446">
        <f>'Horo. M'!O174</f>
        <v>23</v>
      </c>
      <c r="CG173" s="446">
        <f>'Horo. M'!Q174</f>
        <v>24</v>
      </c>
      <c r="CH173" s="446">
        <f>'Horo. M'!S174</f>
        <v>0</v>
      </c>
      <c r="CI173" s="446">
        <f>'Horo. M'!U174</f>
        <v>24</v>
      </c>
      <c r="CJ173" s="70">
        <f>Tabla1[[#This Row],[Con. DO Storage '[gal']]]-Tabla1[[#This Row],[C. DO Storage Ge '[gal']]]</f>
        <v>343.42366806559295</v>
      </c>
      <c r="CK173" s="70"/>
      <c r="CL173" s="70"/>
      <c r="CM173" s="372">
        <f>Tabla1[[#This Row],[Con. DO Total '[gal']]]*131485.5/(1000000)</f>
        <v>276.14161540318173</v>
      </c>
    </row>
    <row r="174" spans="1:91" ht="15" customHeight="1">
      <c r="A174" s="362">
        <v>45099</v>
      </c>
      <c r="B174" s="376" t="str">
        <f>TEXT(Tabla1[[#This Row],[Fecha]],"mmmm")</f>
        <v>junio</v>
      </c>
      <c r="C174" s="429">
        <v>0</v>
      </c>
      <c r="D174" s="430">
        <v>1396</v>
      </c>
      <c r="E174" s="430">
        <v>1396</v>
      </c>
      <c r="F174" s="430">
        <v>1362</v>
      </c>
      <c r="G174" s="431">
        <v>11</v>
      </c>
      <c r="H174" s="431">
        <v>484</v>
      </c>
      <c r="I174" s="432">
        <v>7</v>
      </c>
      <c r="J174" s="432">
        <v>479</v>
      </c>
      <c r="K174" s="430">
        <v>24</v>
      </c>
      <c r="L174" s="430">
        <v>24</v>
      </c>
      <c r="M174" s="365">
        <f>Tabla1[[#This Row],[Columna1]]-Tabla1[[#This Row],[PO '[h']]]</f>
        <v>0</v>
      </c>
      <c r="N174" s="365">
        <f t="shared" si="55"/>
        <v>2325</v>
      </c>
      <c r="O174" s="430">
        <v>1362</v>
      </c>
      <c r="P174" s="367">
        <f>Tabla1[[#This Row],[G. HGS 
'[MWh']]]</f>
        <v>1362</v>
      </c>
      <c r="Q174" s="430">
        <v>0</v>
      </c>
      <c r="R174" s="367">
        <v>0</v>
      </c>
      <c r="S174" s="367">
        <f>Tabla1[[#This Row],[G. HGS 
Con Gas]]*1000</f>
        <v>1362000</v>
      </c>
      <c r="T174" s="365">
        <f>Tabla1[[#This Row],[G. HGS 
'[MWh']]]*1000</f>
        <v>1362000</v>
      </c>
      <c r="U174" s="368">
        <f>SUM('G. Un GE'!B174:Y174)</f>
        <v>1349.6020999999996</v>
      </c>
      <c r="V174" s="369">
        <f>Tabla1[[#This Row],[R. GE
'[MWh']]]</f>
        <v>1349.6020999999996</v>
      </c>
      <c r="W174" s="434">
        <v>0</v>
      </c>
      <c r="X174" s="369">
        <v>0</v>
      </c>
      <c r="Y174" s="365">
        <f>Tabla1[[#This Row],[R. GE
'[MWh']]]*1000</f>
        <v>1349602.0999999996</v>
      </c>
      <c r="Z174" s="434">
        <v>35.380000000000003</v>
      </c>
      <c r="AA17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35.380000000000003</v>
      </c>
      <c r="AB174" s="371">
        <f>IF(Tabla1[[#This Row],[G. HGS 
'[MWh']]]=0,0,Tabla1[[#This Row],[G. HGS 
'[MWh']]]+Tabla1[[#This Row],[Con. Aux. '[MWh']2]])</f>
        <v>1397.38</v>
      </c>
      <c r="AC174" s="368">
        <f>'C. ENER. TN'!F174</f>
        <v>0</v>
      </c>
      <c r="AD174" s="370">
        <f>'C. ENER. TN'!G174</f>
        <v>1349.6021000000001</v>
      </c>
      <c r="AE174" s="370">
        <f>'G. Un GE'!AX174</f>
        <v>177.98223214285713</v>
      </c>
      <c r="AF174" s="368">
        <f>IFERROR('G. Un GE'!AX174/Tabla1[[#This Row],[PO '[h']]],0)</f>
        <v>7.415926339285714</v>
      </c>
      <c r="AG174" s="365">
        <f>'Ar-Pa'!AX174</f>
        <v>1</v>
      </c>
      <c r="AH174" s="365">
        <f>'Ar-Pa'!AY174</f>
        <v>0</v>
      </c>
      <c r="AI174" s="366">
        <f>SUM('Cal. Arr'!AB177:AY177)</f>
        <v>0</v>
      </c>
      <c r="AJ174" s="442">
        <v>0</v>
      </c>
      <c r="AK174" s="443">
        <v>1.9</v>
      </c>
      <c r="AL174" s="267">
        <f t="shared" si="42"/>
        <v>501.92689948048201</v>
      </c>
      <c r="AM174" s="267">
        <f>+CONVERT(AK174+Tabla1[[#This Row],[Con. DO Storage Gen. '[m3']]],"m^3","gal")</f>
        <v>501.92689948048201</v>
      </c>
      <c r="AN174" s="372">
        <f>SUM('DO Pilot'!B174:Y174)</f>
        <v>6.0999999999999988</v>
      </c>
      <c r="AO174" s="372">
        <f t="shared" si="43"/>
        <v>1611.4495193847051</v>
      </c>
      <c r="AP174" s="267">
        <f>AK174+AN174+Tabla1[[#This Row],[Con. DO Storage Gen. '[m3']]]</f>
        <v>7.9999999999999982</v>
      </c>
      <c r="AQ174" s="372">
        <f t="shared" si="49"/>
        <v>2113.3764188651867</v>
      </c>
      <c r="AR174" s="443">
        <v>0</v>
      </c>
      <c r="AS174" s="443">
        <v>11032</v>
      </c>
      <c r="AT174" s="267">
        <f>+CONVERT(SUM(Tabla1[[#This Row],[Repo. DO Storage '[gal']]:[Repo. DO Pilot '[gal']]]),"gal","m3")</f>
        <v>41.760662801088003</v>
      </c>
      <c r="AU174" s="442">
        <v>0</v>
      </c>
      <c r="AV174" s="372">
        <f t="shared" si="56"/>
        <v>0</v>
      </c>
      <c r="AW174" s="442">
        <v>0</v>
      </c>
      <c r="AX174" s="372">
        <f t="shared" si="44"/>
        <v>0</v>
      </c>
      <c r="AY174" s="372">
        <f t="shared" si="45"/>
        <v>0.36852195262884141</v>
      </c>
      <c r="AZ174" s="372">
        <f>IFERROR(AL174/'Ar-Pa'!AX174,0)</f>
        <v>501.92689948048201</v>
      </c>
      <c r="BA174" s="372">
        <f>IFERROR(AL174/'Ar-Pa'!AY174,0)</f>
        <v>0</v>
      </c>
      <c r="BB174" s="372">
        <f t="shared" si="46"/>
        <v>1.183149426861017</v>
      </c>
      <c r="BC174" s="372">
        <f>IFERROR(AVERAGEIF('DO Pilot'!AX174:BU174,"&gt;0"),0)</f>
        <v>8.8529086593831874</v>
      </c>
      <c r="BD174" s="446">
        <v>362413</v>
      </c>
      <c r="BE174" s="446">
        <v>12829</v>
      </c>
      <c r="BF174" s="446">
        <v>362402</v>
      </c>
      <c r="BG174" s="223">
        <f>Tabla1[[#This Row],[ Re. Gas GC
 '[m3']]]</f>
        <v>362402</v>
      </c>
      <c r="BH174" s="150">
        <f>IFERROR((BG174*Gas!$B$3)/28.31685,0)</f>
        <v>12749.215550458472</v>
      </c>
      <c r="BI174" s="73">
        <f t="shared" si="57"/>
        <v>-79.784449541528375</v>
      </c>
      <c r="BJ174" s="74">
        <f t="shared" si="50"/>
        <v>-6.2579889112204445E-3</v>
      </c>
      <c r="BK174" s="223">
        <f t="shared" si="47"/>
        <v>9419.2364170337751</v>
      </c>
      <c r="BL174" s="442">
        <v>0</v>
      </c>
      <c r="BM174" s="70">
        <f t="shared" si="48"/>
        <v>9123.6568080682919</v>
      </c>
      <c r="BN174" s="150">
        <f t="shared" si="51"/>
        <v>9446.6476826454818</v>
      </c>
      <c r="BO174" s="373">
        <f>IFERROR(Tabla1[[#This Row],[ Re. Gas GC
 '[m3']]]/Tabla1[[#This Row],[G. HGS 
Con Gas '[kWh']]],0)</f>
        <v>0.26608076358296623</v>
      </c>
      <c r="BP174" s="374">
        <f>Tank!Y175</f>
        <v>0</v>
      </c>
      <c r="BQ174" s="70">
        <f>Tank!AP175</f>
        <v>32.4</v>
      </c>
      <c r="BR174" s="70">
        <f>Tank!V175</f>
        <v>0</v>
      </c>
      <c r="BS174" s="372">
        <f>Tank!T175</f>
        <v>0</v>
      </c>
      <c r="BT174" s="375" t="s">
        <v>228</v>
      </c>
      <c r="BU174" s="451">
        <v>71</v>
      </c>
      <c r="BV174" s="375">
        <f>IF(Tabla1[[#This Row],[Combustible ofertado]]="GAS",Tabla1[[#This Row],[Disponibilidad]],0)</f>
        <v>0</v>
      </c>
      <c r="BW174" s="375">
        <f>IF(Tabla1[[#This Row],[Combustible ofertado]]="DIESEL",Tabla1[[#This Row],[Disponibilidad]],0)</f>
        <v>71</v>
      </c>
      <c r="BX174" s="375">
        <f>IF(Tabla1[[#This Row],[Combustible ofertado]]="HFO",Tabla1[[#This Row],[Disponibilidad]],0)</f>
        <v>0</v>
      </c>
      <c r="BY174" s="456">
        <v>1390</v>
      </c>
      <c r="BZ174" s="446">
        <f>'Horo. M'!C175</f>
        <v>24</v>
      </c>
      <c r="CA174" s="446">
        <f>'Horo. M'!E175</f>
        <v>24</v>
      </c>
      <c r="CB174" s="446">
        <f>'Horo. M'!G175</f>
        <v>24</v>
      </c>
      <c r="CC174" s="446">
        <f>'Horo. M'!I175</f>
        <v>13</v>
      </c>
      <c r="CD174" s="446">
        <f>'Horo. M'!K175</f>
        <v>23</v>
      </c>
      <c r="CE174" s="446">
        <f>'Horo. M'!M175</f>
        <v>0</v>
      </c>
      <c r="CF174" s="446">
        <f>'Horo. M'!O175</f>
        <v>24</v>
      </c>
      <c r="CG174" s="446">
        <f>'Horo. M'!Q175</f>
        <v>24</v>
      </c>
      <c r="CH174" s="446">
        <f>'Horo. M'!S175</f>
        <v>0</v>
      </c>
      <c r="CI174" s="446">
        <f>'Horo. M'!U175</f>
        <v>24</v>
      </c>
      <c r="CJ174" s="70">
        <f>Tabla1[[#This Row],[Con. DO Storage '[gal']]]-Tabla1[[#This Row],[C. DO Storage Ge '[gal']]]</f>
        <v>501.92689948048201</v>
      </c>
      <c r="CK174" s="70"/>
      <c r="CL174" s="70"/>
      <c r="CM174" s="372">
        <f>Tabla1[[#This Row],[Con. DO Total '[gal']]]*131485.5/(1000000)</f>
        <v>277.87835512269851</v>
      </c>
    </row>
    <row r="175" spans="1:91" ht="15" customHeight="1">
      <c r="A175" s="362">
        <v>45100</v>
      </c>
      <c r="B175" s="376" t="str">
        <f>TEXT(Tabla1[[#This Row],[Fecha]],"mmmm")</f>
        <v>junio</v>
      </c>
      <c r="C175" s="429">
        <v>0</v>
      </c>
      <c r="D175" s="430">
        <v>1437</v>
      </c>
      <c r="E175" s="430">
        <v>1437</v>
      </c>
      <c r="F175" s="430">
        <v>1412</v>
      </c>
      <c r="G175" s="431">
        <v>1</v>
      </c>
      <c r="H175" s="431">
        <v>71</v>
      </c>
      <c r="I175" s="432">
        <v>1</v>
      </c>
      <c r="J175" s="432">
        <v>71</v>
      </c>
      <c r="K175" s="430">
        <v>24</v>
      </c>
      <c r="L175" s="430">
        <v>24</v>
      </c>
      <c r="M175" s="365">
        <f>Tabla1[[#This Row],[Columna1]]-Tabla1[[#This Row],[PO '[h']]]</f>
        <v>0</v>
      </c>
      <c r="N175" s="365">
        <f t="shared" si="55"/>
        <v>1554</v>
      </c>
      <c r="O175" s="430">
        <v>1412</v>
      </c>
      <c r="P175" s="367">
        <f>Tabla1[[#This Row],[G. HGS 
'[MWh']]]</f>
        <v>1412</v>
      </c>
      <c r="Q175" s="430">
        <v>0</v>
      </c>
      <c r="R175" s="367">
        <v>0</v>
      </c>
      <c r="S175" s="367">
        <f>Tabla1[[#This Row],[G. HGS 
Con Gas]]*1000</f>
        <v>1412000</v>
      </c>
      <c r="T175" s="365">
        <f>Tabla1[[#This Row],[G. HGS 
'[MWh']]]*1000</f>
        <v>1412000</v>
      </c>
      <c r="U175" s="368">
        <f>SUM('G. Un GE'!B175:Y175)</f>
        <v>1400.4241999999999</v>
      </c>
      <c r="V175" s="369">
        <f>Tabla1[[#This Row],[R. GE
'[MWh']]]</f>
        <v>1400.4241999999999</v>
      </c>
      <c r="W175" s="434">
        <v>0</v>
      </c>
      <c r="X175" s="369">
        <v>0</v>
      </c>
      <c r="Y175" s="365">
        <f>Tabla1[[#This Row],[R. GE
'[MWh']]]*1000</f>
        <v>1400424.2</v>
      </c>
      <c r="Z175" s="434">
        <v>37.130000000000003</v>
      </c>
      <c r="AA17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37.130000000000003</v>
      </c>
      <c r="AB175" s="371">
        <f>IF(Tabla1[[#This Row],[G. HGS 
'[MWh']]]=0,0,Tabla1[[#This Row],[G. HGS 
'[MWh']]]+Tabla1[[#This Row],[Con. Aux. '[MWh']2]])</f>
        <v>1449.13</v>
      </c>
      <c r="AC175" s="368">
        <f>'C. ENER. TN'!F175</f>
        <v>0</v>
      </c>
      <c r="AD175" s="370">
        <f>'C. ENER. TN'!G175</f>
        <v>1400.4242000000002</v>
      </c>
      <c r="AE175" s="370">
        <f>'G. Un GE'!AX175</f>
        <v>175.05302499999999</v>
      </c>
      <c r="AF175" s="368">
        <f>IFERROR('G. Un GE'!AX175/Tabla1[[#This Row],[PO '[h']]],0)</f>
        <v>7.2938760416666666</v>
      </c>
      <c r="AG175" s="365">
        <f>'Ar-Pa'!AX175</f>
        <v>0</v>
      </c>
      <c r="AH175" s="365">
        <f>'Ar-Pa'!AY175</f>
        <v>0</v>
      </c>
      <c r="AI175" s="366">
        <f>SUM('Cal. Arr'!AB178:AY178)</f>
        <v>0</v>
      </c>
      <c r="AJ175" s="442">
        <v>0</v>
      </c>
      <c r="AK175" s="443">
        <v>0.8</v>
      </c>
      <c r="AL175" s="267">
        <f t="shared" si="42"/>
        <v>211.33764188651872</v>
      </c>
      <c r="AM175" s="267">
        <f>+CONVERT(AK175+Tabla1[[#This Row],[Con. DO Storage Gen. '[m3']]],"m^3","gal")</f>
        <v>211.33764188651872</v>
      </c>
      <c r="AN175" s="372">
        <f>SUM('DO Pilot'!B175:Y175)</f>
        <v>6.9299999999999988</v>
      </c>
      <c r="AO175" s="372">
        <f t="shared" si="43"/>
        <v>1830.7123228419684</v>
      </c>
      <c r="AP175" s="267">
        <f>AK175+AN175+Tabla1[[#This Row],[Con. DO Storage Gen. '[m3']]]</f>
        <v>7.7299999999999986</v>
      </c>
      <c r="AQ175" s="372">
        <f t="shared" si="49"/>
        <v>2042.0499647284871</v>
      </c>
      <c r="AR175" s="443">
        <v>0</v>
      </c>
      <c r="AS175" s="443">
        <v>0</v>
      </c>
      <c r="AT175" s="267">
        <f>+CONVERT(SUM(Tabla1[[#This Row],[Repo. DO Storage '[gal']]:[Repo. DO Pilot '[gal']]]),"gal","m3")</f>
        <v>0</v>
      </c>
      <c r="AU175" s="442">
        <v>0</v>
      </c>
      <c r="AV175" s="372">
        <f t="shared" si="56"/>
        <v>0</v>
      </c>
      <c r="AW175" s="442">
        <v>0</v>
      </c>
      <c r="AX175" s="372">
        <f t="shared" si="44"/>
        <v>0</v>
      </c>
      <c r="AY175" s="372">
        <f t="shared" si="45"/>
        <v>0.14967255091113224</v>
      </c>
      <c r="AZ175" s="372">
        <f>IFERROR(AL175/'Ar-Pa'!AX175,0)</f>
        <v>0</v>
      </c>
      <c r="BA175" s="372">
        <f>IFERROR(AL175/'Ar-Pa'!AY175,0)</f>
        <v>0</v>
      </c>
      <c r="BB175" s="372">
        <f t="shared" si="46"/>
        <v>1.2965384722676829</v>
      </c>
      <c r="BC175" s="372">
        <f>IFERROR(AVERAGEIF('DO Pilot'!AX175:BU175,"&gt;0"),0)</f>
        <v>9.5349600148019213</v>
      </c>
      <c r="BD175" s="446">
        <v>379757</v>
      </c>
      <c r="BE175" s="446">
        <v>13443</v>
      </c>
      <c r="BF175" s="446">
        <v>379747</v>
      </c>
      <c r="BG175" s="223">
        <f>Tabla1[[#This Row],[ Re. Gas GC
 '[m3']]]</f>
        <v>379747</v>
      </c>
      <c r="BH175" s="150">
        <f>IFERROR((BG175*Gas!$B$3)/28.31685,0)</f>
        <v>13359.408495648351</v>
      </c>
      <c r="BI175" s="73">
        <f t="shared" si="57"/>
        <v>-83.591504351648837</v>
      </c>
      <c r="BJ175" s="74">
        <f t="shared" si="50"/>
        <v>-6.2571261578592838E-3</v>
      </c>
      <c r="BK175" s="223">
        <f t="shared" si="47"/>
        <v>9520.5382436260625</v>
      </c>
      <c r="BL175" s="442">
        <v>0</v>
      </c>
      <c r="BM175" s="70">
        <f t="shared" si="48"/>
        <v>9218.9165193242497</v>
      </c>
      <c r="BN175" s="150">
        <f t="shared" si="51"/>
        <v>9539.5441578689879</v>
      </c>
      <c r="BO175" s="373">
        <f>IFERROR(Tabla1[[#This Row],[ Re. Gas GC
 '[m3']]]/Tabla1[[#This Row],[G. HGS 
Con Gas '[kWh']]],0)</f>
        <v>0.2689426345609065</v>
      </c>
      <c r="BP175" s="374">
        <f>Tank!Y176</f>
        <v>0</v>
      </c>
      <c r="BQ175" s="70">
        <f>Tank!AP176</f>
        <v>0</v>
      </c>
      <c r="BR175" s="70">
        <f>Tank!V176</f>
        <v>0</v>
      </c>
      <c r="BS175" s="372">
        <f>Tank!T176</f>
        <v>0</v>
      </c>
      <c r="BT175" s="375" t="s">
        <v>228</v>
      </c>
      <c r="BU175" s="451">
        <v>71</v>
      </c>
      <c r="BV175" s="375">
        <f>IF(Tabla1[[#This Row],[Combustible ofertado]]="GAS",Tabla1[[#This Row],[Disponibilidad]],0)</f>
        <v>0</v>
      </c>
      <c r="BW175" s="375">
        <f>IF(Tabla1[[#This Row],[Combustible ofertado]]="DIESEL",Tabla1[[#This Row],[Disponibilidad]],0)</f>
        <v>71</v>
      </c>
      <c r="BX175" s="375">
        <f>IF(Tabla1[[#This Row],[Combustible ofertado]]="HFO",Tabla1[[#This Row],[Disponibilidad]],0)</f>
        <v>0</v>
      </c>
      <c r="BY175" s="456">
        <v>1390</v>
      </c>
      <c r="BZ175" s="446">
        <f>'Horo. M'!C176</f>
        <v>24</v>
      </c>
      <c r="CA175" s="446">
        <f>'Horo. M'!E176</f>
        <v>24</v>
      </c>
      <c r="CB175" s="446">
        <f>'Horo. M'!G176</f>
        <v>24</v>
      </c>
      <c r="CC175" s="446">
        <f>'Horo. M'!I176</f>
        <v>24</v>
      </c>
      <c r="CD175" s="446">
        <f>'Horo. M'!K176</f>
        <v>24</v>
      </c>
      <c r="CE175" s="446">
        <f>'Horo. M'!M176</f>
        <v>0</v>
      </c>
      <c r="CF175" s="446">
        <f>'Horo. M'!O176</f>
        <v>24</v>
      </c>
      <c r="CG175" s="446">
        <f>'Horo. M'!Q176</f>
        <v>24</v>
      </c>
      <c r="CH175" s="446">
        <f>'Horo. M'!S176</f>
        <v>0</v>
      </c>
      <c r="CI175" s="446">
        <f>'Horo. M'!U176</f>
        <v>24</v>
      </c>
      <c r="CJ175" s="70">
        <f>Tabla1[[#This Row],[Con. DO Storage '[gal']]]-Tabla1[[#This Row],[C. DO Storage Ge '[gal']]]</f>
        <v>211.33764188651872</v>
      </c>
      <c r="CK175" s="70"/>
      <c r="CL175" s="70"/>
      <c r="CM175" s="372">
        <f>Tabla1[[#This Row],[Con. DO Total '[gal']]]*131485.5/(1000000)</f>
        <v>268.49996063730748</v>
      </c>
    </row>
    <row r="176" spans="1:91" ht="15" customHeight="1">
      <c r="A176" s="362">
        <v>45101</v>
      </c>
      <c r="B176" s="376" t="str">
        <f>TEXT(Tabla1[[#This Row],[Fecha]],"mmmm")</f>
        <v>junio</v>
      </c>
      <c r="C176" s="429">
        <v>0</v>
      </c>
      <c r="D176" s="430">
        <v>1377</v>
      </c>
      <c r="E176" s="430">
        <v>1377</v>
      </c>
      <c r="F176" s="430">
        <v>1577</v>
      </c>
      <c r="G176" s="431">
        <v>16</v>
      </c>
      <c r="H176" s="431">
        <v>1129</v>
      </c>
      <c r="I176" s="432">
        <v>0</v>
      </c>
      <c r="J176" s="432">
        <v>0</v>
      </c>
      <c r="K176" s="430">
        <v>24</v>
      </c>
      <c r="L176" s="430">
        <v>24</v>
      </c>
      <c r="M176" s="365">
        <f>Tabla1[[#This Row],[Columna1]]-Tabla1[[#This Row],[PO '[h']]]</f>
        <v>0</v>
      </c>
      <c r="N176" s="365">
        <f t="shared" si="55"/>
        <v>2706</v>
      </c>
      <c r="O176" s="430">
        <v>1577</v>
      </c>
      <c r="P176" s="367">
        <f>Tabla1[[#This Row],[G. HGS 
'[MWh']]]</f>
        <v>1577</v>
      </c>
      <c r="Q176" s="430">
        <v>0</v>
      </c>
      <c r="R176" s="367">
        <v>0</v>
      </c>
      <c r="S176" s="367">
        <f>Tabla1[[#This Row],[G. HGS 
Con Gas]]*1000</f>
        <v>1577000</v>
      </c>
      <c r="T176" s="365">
        <f>Tabla1[[#This Row],[G. HGS 
'[MWh']]]*1000</f>
        <v>1577000</v>
      </c>
      <c r="U176" s="368">
        <f>SUM('G. Un GE'!B176:Y176)</f>
        <v>1563.7295999999999</v>
      </c>
      <c r="V176" s="369">
        <f>Tabla1[[#This Row],[R. GE
'[MWh']]]</f>
        <v>1563.7295999999999</v>
      </c>
      <c r="W176" s="434">
        <v>0</v>
      </c>
      <c r="X176" s="369">
        <v>0</v>
      </c>
      <c r="Y176" s="365">
        <f>Tabla1[[#This Row],[R. GE
'[MWh']]]*1000</f>
        <v>1563729.5999999999</v>
      </c>
      <c r="Z176" s="434">
        <v>36.950000000000003</v>
      </c>
      <c r="AA17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36.950000000000003</v>
      </c>
      <c r="AB176" s="371">
        <f>IF(Tabla1[[#This Row],[G. HGS 
'[MWh']]]=0,0,Tabla1[[#This Row],[G. HGS 
'[MWh']]]+Tabla1[[#This Row],[Con. Aux. '[MWh']2]])</f>
        <v>1613.95</v>
      </c>
      <c r="AC176" s="368">
        <f>'C. ENER. TN'!F176</f>
        <v>0</v>
      </c>
      <c r="AD176" s="370">
        <f>'C. ENER. TN'!G176</f>
        <v>1563.7295999999999</v>
      </c>
      <c r="AE176" s="370">
        <f>'G. Un GE'!AX176</f>
        <v>195.46619999999999</v>
      </c>
      <c r="AF176" s="368">
        <f>IFERROR('G. Un GE'!AX176/Tabla1[[#This Row],[PO '[h']]],0)</f>
        <v>8.144425</v>
      </c>
      <c r="AG176" s="365">
        <f>'Ar-Pa'!AX176</f>
        <v>0</v>
      </c>
      <c r="AH176" s="365">
        <f>'Ar-Pa'!AY176</f>
        <v>0</v>
      </c>
      <c r="AI176" s="366">
        <f>SUM('Cal. Arr'!AB179:AY179)</f>
        <v>0</v>
      </c>
      <c r="AJ176" s="442">
        <v>14.3</v>
      </c>
      <c r="AK176" s="443">
        <v>0</v>
      </c>
      <c r="AL176" s="267">
        <f t="shared" si="42"/>
        <v>0</v>
      </c>
      <c r="AM176" s="267">
        <f>+CONVERT(AK176+Tabla1[[#This Row],[Con. DO Storage Gen. '[m3']]],"m^3","gal")</f>
        <v>3777.6603487215225</v>
      </c>
      <c r="AN176" s="372">
        <f>SUM('DO Pilot'!B176:Y176)</f>
        <v>6.5500000000000025</v>
      </c>
      <c r="AO176" s="372">
        <f t="shared" si="43"/>
        <v>1730.3269429458728</v>
      </c>
      <c r="AP176" s="267">
        <f>AK176+AN176+Tabla1[[#This Row],[Con. DO Storage Gen. '[m3']]]</f>
        <v>20.85</v>
      </c>
      <c r="AQ176" s="372">
        <f t="shared" si="49"/>
        <v>5507.9872916673949</v>
      </c>
      <c r="AR176" s="443">
        <v>0</v>
      </c>
      <c r="AS176" s="443">
        <v>0</v>
      </c>
      <c r="AT176" s="267">
        <f>+CONVERT(SUM(Tabla1[[#This Row],[Repo. DO Storage '[gal']]:[Repo. DO Pilot '[gal']]]),"gal","m3")</f>
        <v>0</v>
      </c>
      <c r="AU176" s="442">
        <v>0</v>
      </c>
      <c r="AV176" s="372">
        <f t="shared" si="56"/>
        <v>0</v>
      </c>
      <c r="AW176" s="442">
        <v>0</v>
      </c>
      <c r="AX176" s="372">
        <f t="shared" si="44"/>
        <v>0</v>
      </c>
      <c r="AY176" s="372">
        <f t="shared" si="45"/>
        <v>0</v>
      </c>
      <c r="AZ176" s="372">
        <f>IFERROR(AL176/'Ar-Pa'!AX176,0)</f>
        <v>0</v>
      </c>
      <c r="BA176" s="372">
        <f>IFERROR(AL176/'Ar-Pa'!AY176,0)</f>
        <v>0</v>
      </c>
      <c r="BB176" s="372">
        <f t="shared" si="46"/>
        <v>1.0972269771375225</v>
      </c>
      <c r="BC176" s="372">
        <f>IFERROR(AVERAGEIF('DO Pilot'!AX176:BU176,"&gt;0"),0)</f>
        <v>9.0121194945097525</v>
      </c>
      <c r="BD176" s="446">
        <v>404350</v>
      </c>
      <c r="BE176" s="446">
        <v>14313</v>
      </c>
      <c r="BF176" s="446">
        <v>404048</v>
      </c>
      <c r="BG176" s="223">
        <f>Tabla1[[#This Row],[ Re. Gas GC
 '[m3']]]</f>
        <v>404048</v>
      </c>
      <c r="BH176" s="150">
        <f>IFERROR((BG176*Gas!$B$3)/28.31685,0)</f>
        <v>14214.311854602473</v>
      </c>
      <c r="BI176" s="73">
        <f t="shared" si="57"/>
        <v>-98.688145397527478</v>
      </c>
      <c r="BJ176" s="74">
        <f t="shared" si="50"/>
        <v>-6.9428718327699491E-3</v>
      </c>
      <c r="BK176" s="223">
        <f t="shared" si="47"/>
        <v>9076.0938490805329</v>
      </c>
      <c r="BL176" s="442">
        <v>0</v>
      </c>
      <c r="BM176" s="70">
        <f t="shared" si="48"/>
        <v>8807.1575046330254</v>
      </c>
      <c r="BN176" s="150">
        <f t="shared" si="51"/>
        <v>9090.006261058481</v>
      </c>
      <c r="BO176" s="373">
        <f>IFERROR(Tabla1[[#This Row],[ Re. Gas GC
 '[m3']]]/Tabla1[[#This Row],[G. HGS 
Con Gas '[kWh']]],0)</f>
        <v>0.2562130627774255</v>
      </c>
      <c r="BP176" s="374">
        <f>Tank!Y177</f>
        <v>0</v>
      </c>
      <c r="BQ176" s="70">
        <f>Tank!AP177</f>
        <v>0</v>
      </c>
      <c r="BR176" s="70">
        <f>Tank!V177</f>
        <v>0</v>
      </c>
      <c r="BS176" s="372">
        <f>Tank!T177</f>
        <v>0</v>
      </c>
      <c r="BT176" s="375" t="s">
        <v>228</v>
      </c>
      <c r="BU176" s="451">
        <v>71</v>
      </c>
      <c r="BV176" s="375">
        <f>IF(Tabla1[[#This Row],[Combustible ofertado]]="GAS",Tabla1[[#This Row],[Disponibilidad]],0)</f>
        <v>0</v>
      </c>
      <c r="BW176" s="375">
        <f>IF(Tabla1[[#This Row],[Combustible ofertado]]="DIESEL",Tabla1[[#This Row],[Disponibilidad]],0)</f>
        <v>71</v>
      </c>
      <c r="BX176" s="375">
        <f>IF(Tabla1[[#This Row],[Combustible ofertado]]="HFO",Tabla1[[#This Row],[Disponibilidad]],0)</f>
        <v>0</v>
      </c>
      <c r="BY176" s="456">
        <v>1390</v>
      </c>
      <c r="BZ176" s="446">
        <f>'Horo. M'!C177</f>
        <v>24</v>
      </c>
      <c r="CA176" s="446">
        <f>'Horo. M'!E177</f>
        <v>24</v>
      </c>
      <c r="CB176" s="446">
        <f>'Horo. M'!G177</f>
        <v>24</v>
      </c>
      <c r="CC176" s="446">
        <f>'Horo. M'!I177</f>
        <v>24</v>
      </c>
      <c r="CD176" s="446">
        <f>'Horo. M'!K177</f>
        <v>24</v>
      </c>
      <c r="CE176" s="446">
        <f>'Horo. M'!M177</f>
        <v>0</v>
      </c>
      <c r="CF176" s="446">
        <f>'Horo. M'!O177</f>
        <v>24</v>
      </c>
      <c r="CG176" s="446">
        <f>'Horo. M'!Q177</f>
        <v>24</v>
      </c>
      <c r="CH176" s="446">
        <f>'Horo. M'!S177</f>
        <v>0</v>
      </c>
      <c r="CI176" s="446">
        <f>'Horo. M'!U177</f>
        <v>24</v>
      </c>
      <c r="CJ176" s="70">
        <f>Tabla1[[#This Row],[Con. DO Storage '[gal']]]-Tabla1[[#This Row],[C. DO Storage Ge '[gal']]]</f>
        <v>0</v>
      </c>
      <c r="CK176" s="70"/>
      <c r="CL176" s="70"/>
      <c r="CM176" s="372">
        <f>Tabla1[[#This Row],[Con. DO Total '[gal']]]*131485.5/(1000000)</f>
        <v>724.22046303853324</v>
      </c>
    </row>
    <row r="177" spans="1:91" ht="15" customHeight="1">
      <c r="A177" s="362">
        <v>45102</v>
      </c>
      <c r="B177" s="376" t="str">
        <f>TEXT(Tabla1[[#This Row],[Fecha]],"mmmm")</f>
        <v>junio</v>
      </c>
      <c r="C177" s="429">
        <v>0</v>
      </c>
      <c r="D177" s="430">
        <v>1577</v>
      </c>
      <c r="E177" s="430">
        <v>1577</v>
      </c>
      <c r="F177" s="430">
        <v>1572</v>
      </c>
      <c r="G177" s="431">
        <v>1</v>
      </c>
      <c r="H177" s="431">
        <v>71</v>
      </c>
      <c r="I177" s="432">
        <v>0</v>
      </c>
      <c r="J177" s="432">
        <v>0</v>
      </c>
      <c r="K177" s="430">
        <v>24</v>
      </c>
      <c r="L177" s="430">
        <v>24</v>
      </c>
      <c r="M177" s="365">
        <f>Tabla1[[#This Row],[Columna1]]-Tabla1[[#This Row],[PO '[h']]]</f>
        <v>0</v>
      </c>
      <c r="N177" s="365">
        <f t="shared" si="55"/>
        <v>1643</v>
      </c>
      <c r="O177" s="430">
        <v>1572</v>
      </c>
      <c r="P177" s="367">
        <f>Tabla1[[#This Row],[G. HGS 
'[MWh']]]</f>
        <v>1572</v>
      </c>
      <c r="Q177" s="430">
        <v>0</v>
      </c>
      <c r="R177" s="367">
        <v>0</v>
      </c>
      <c r="S177" s="367">
        <f>Tabla1[[#This Row],[G. HGS 
Con Gas]]*1000</f>
        <v>1572000</v>
      </c>
      <c r="T177" s="365">
        <f>Tabla1[[#This Row],[G. HGS 
'[MWh']]]*1000</f>
        <v>1572000</v>
      </c>
      <c r="U177" s="368">
        <f>SUM('G. Un GE'!B177:Y177)</f>
        <v>1557.2802999999999</v>
      </c>
      <c r="V177" s="369">
        <f>Tabla1[[#This Row],[R. GE
'[MWh']]]</f>
        <v>1557.2802999999999</v>
      </c>
      <c r="W177" s="434">
        <v>0</v>
      </c>
      <c r="X177" s="369">
        <v>0</v>
      </c>
      <c r="Y177" s="365">
        <f>Tabla1[[#This Row],[R. GE
'[MWh']]]*1000</f>
        <v>1557280.2999999998</v>
      </c>
      <c r="Z177" s="434">
        <v>36.700000000000003</v>
      </c>
      <c r="AA17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36.700000000000003</v>
      </c>
      <c r="AB177" s="371">
        <f>IF(Tabla1[[#This Row],[G. HGS 
'[MWh']]]=0,0,Tabla1[[#This Row],[G. HGS 
'[MWh']]]+Tabla1[[#This Row],[Con. Aux. '[MWh']2]])</f>
        <v>1608.7</v>
      </c>
      <c r="AC177" s="368">
        <f>'C. ENER. TN'!F177</f>
        <v>0</v>
      </c>
      <c r="AD177" s="370">
        <f>'C. ENER. TN'!G177</f>
        <v>1557.2802999999999</v>
      </c>
      <c r="AE177" s="370">
        <f>'G. Un GE'!AX177</f>
        <v>193.83558333333332</v>
      </c>
      <c r="AF177" s="368">
        <f>IFERROR('G. Un GE'!AX177/Tabla1[[#This Row],[PO '[h']]],0)</f>
        <v>8.0764826388888888</v>
      </c>
      <c r="AG177" s="365">
        <f>'Ar-Pa'!AX177</f>
        <v>1</v>
      </c>
      <c r="AH177" s="365">
        <f>'Ar-Pa'!AY177</f>
        <v>1</v>
      </c>
      <c r="AI177" s="366">
        <f>SUM('Cal. Arr'!AB180:AY180)</f>
        <v>0</v>
      </c>
      <c r="AJ177" s="442">
        <v>4.0999999999999996</v>
      </c>
      <c r="AK177" s="443">
        <v>0</v>
      </c>
      <c r="AL177" s="267">
        <f t="shared" si="42"/>
        <v>0</v>
      </c>
      <c r="AM177" s="267">
        <f>+CONVERT(AK177+Tabla1[[#This Row],[Con. DO Storage Gen. '[m3']]],"m^3","gal")</f>
        <v>1083.1054146684085</v>
      </c>
      <c r="AN177" s="372">
        <f>SUM('DO Pilot'!B177:Y177)</f>
        <v>7.049999999999998</v>
      </c>
      <c r="AO177" s="372">
        <f t="shared" si="43"/>
        <v>1862.4129691249459</v>
      </c>
      <c r="AP177" s="267">
        <f>AK177+AN177+Tabla1[[#This Row],[Con. DO Storage Gen. '[m3']]]</f>
        <v>11.149999999999999</v>
      </c>
      <c r="AQ177" s="372">
        <f t="shared" si="49"/>
        <v>2945.5183837933546</v>
      </c>
      <c r="AR177" s="443">
        <v>0</v>
      </c>
      <c r="AS177" s="443">
        <v>0</v>
      </c>
      <c r="AT177" s="267">
        <f>+CONVERT(SUM(Tabla1[[#This Row],[Repo. DO Storage '[gal']]:[Repo. DO Pilot '[gal']]]),"gal","m3")</f>
        <v>0</v>
      </c>
      <c r="AU177" s="442">
        <v>0</v>
      </c>
      <c r="AV177" s="372">
        <f t="shared" si="56"/>
        <v>0</v>
      </c>
      <c r="AW177" s="442">
        <v>0</v>
      </c>
      <c r="AX177" s="372">
        <f t="shared" si="44"/>
        <v>0</v>
      </c>
      <c r="AY177" s="372">
        <f t="shared" si="45"/>
        <v>0</v>
      </c>
      <c r="AZ177" s="372">
        <f>IFERROR(AL177/'Ar-Pa'!AX177,0)</f>
        <v>0</v>
      </c>
      <c r="BA177" s="372">
        <f>IFERROR(AL177/'Ar-Pa'!AY177,0)</f>
        <v>0</v>
      </c>
      <c r="BB177" s="372">
        <f t="shared" si="46"/>
        <v>1.1847410745069631</v>
      </c>
      <c r="BC177" s="372">
        <f>IFERROR(AVERAGEIF('DO Pilot'!AX177:BU177,"&gt;0"),0)</f>
        <v>9.6587906643448047</v>
      </c>
      <c r="BD177" s="446">
        <v>413481</v>
      </c>
      <c r="BE177" s="446">
        <v>14637</v>
      </c>
      <c r="BF177" s="446">
        <v>412998</v>
      </c>
      <c r="BG177" s="223">
        <f>Tabla1[[#This Row],[ Re. Gas GC
 '[m3']]]</f>
        <v>412998</v>
      </c>
      <c r="BH177" s="150">
        <f>IFERROR((BG177*Gas!$B$3)/28.31685,0)</f>
        <v>14529.17071072524</v>
      </c>
      <c r="BI177" s="73">
        <f t="shared" si="57"/>
        <v>-107.8292892747595</v>
      </c>
      <c r="BJ177" s="74">
        <f t="shared" si="50"/>
        <v>-7.4215721889179373E-3</v>
      </c>
      <c r="BK177" s="223">
        <f t="shared" si="47"/>
        <v>9311.0687022900747</v>
      </c>
      <c r="BL177" s="442">
        <v>0</v>
      </c>
      <c r="BM177" s="70">
        <f t="shared" si="48"/>
        <v>9031.622248228532</v>
      </c>
      <c r="BN177" s="150">
        <f t="shared" si="51"/>
        <v>9329.8365815872985</v>
      </c>
      <c r="BO177" s="373">
        <f>IFERROR(Tabla1[[#This Row],[ Re. Gas GC
 '[m3']]]/Tabla1[[#This Row],[G. HGS 
Con Gas '[kWh']]],0)</f>
        <v>0.26272137404580154</v>
      </c>
      <c r="BP177" s="374">
        <f>Tank!Y178</f>
        <v>0</v>
      </c>
      <c r="BQ177" s="70">
        <f>Tank!AP178</f>
        <v>0</v>
      </c>
      <c r="BR177" s="70">
        <f>Tank!V178</f>
        <v>0</v>
      </c>
      <c r="BS177" s="372">
        <f>Tank!T178</f>
        <v>0</v>
      </c>
      <c r="BT177" s="375" t="s">
        <v>228</v>
      </c>
      <c r="BU177" s="451">
        <v>71</v>
      </c>
      <c r="BV177" s="375">
        <f>IF(Tabla1[[#This Row],[Combustible ofertado]]="GAS",Tabla1[[#This Row],[Disponibilidad]],0)</f>
        <v>0</v>
      </c>
      <c r="BW177" s="375">
        <f>IF(Tabla1[[#This Row],[Combustible ofertado]]="DIESEL",Tabla1[[#This Row],[Disponibilidad]],0)</f>
        <v>71</v>
      </c>
      <c r="BX177" s="375">
        <f>IF(Tabla1[[#This Row],[Combustible ofertado]]="HFO",Tabla1[[#This Row],[Disponibilidad]],0)</f>
        <v>0</v>
      </c>
      <c r="BY177" s="456">
        <v>1390</v>
      </c>
      <c r="BZ177" s="446">
        <f>'Horo. M'!C178</f>
        <v>24</v>
      </c>
      <c r="CA177" s="446">
        <f>'Horo. M'!E178</f>
        <v>24</v>
      </c>
      <c r="CB177" s="446">
        <f>'Horo. M'!G178</f>
        <v>24</v>
      </c>
      <c r="CC177" s="446">
        <f>'Horo. M'!I178</f>
        <v>24</v>
      </c>
      <c r="CD177" s="446">
        <f>'Horo. M'!K178</f>
        <v>24</v>
      </c>
      <c r="CE177" s="446">
        <f>'Horo. M'!M178</f>
        <v>0</v>
      </c>
      <c r="CF177" s="446">
        <f>'Horo. M'!O178</f>
        <v>23</v>
      </c>
      <c r="CG177" s="446">
        <f>'Horo. M'!Q178</f>
        <v>24</v>
      </c>
      <c r="CH177" s="446">
        <f>'Horo. M'!S178</f>
        <v>0</v>
      </c>
      <c r="CI177" s="446">
        <f>'Horo. M'!U178</f>
        <v>24</v>
      </c>
      <c r="CJ177" s="70">
        <f>Tabla1[[#This Row],[Con. DO Storage '[gal']]]-Tabla1[[#This Row],[C. DO Storage Ge '[gal']]]</f>
        <v>0</v>
      </c>
      <c r="CK177" s="70"/>
      <c r="CL177" s="70"/>
      <c r="CM177" s="372">
        <f>Tabla1[[#This Row],[Con. DO Total '[gal']]]*131485.5/(1000000)</f>
        <v>387.29295745226113</v>
      </c>
    </row>
    <row r="178" spans="1:91" ht="15" customHeight="1">
      <c r="A178" s="362">
        <v>45103</v>
      </c>
      <c r="B178" s="376" t="str">
        <f>TEXT(Tabla1[[#This Row],[Fecha]],"mmmm")</f>
        <v>junio</v>
      </c>
      <c r="C178" s="429">
        <v>0</v>
      </c>
      <c r="D178" s="430">
        <v>1650</v>
      </c>
      <c r="E178" s="430">
        <v>1650</v>
      </c>
      <c r="F178" s="430">
        <v>1612</v>
      </c>
      <c r="G178" s="431">
        <v>0</v>
      </c>
      <c r="H178" s="431">
        <v>0</v>
      </c>
      <c r="I178" s="432">
        <v>0</v>
      </c>
      <c r="J178" s="432">
        <v>0</v>
      </c>
      <c r="K178" s="430">
        <v>24</v>
      </c>
      <c r="L178" s="430">
        <v>24</v>
      </c>
      <c r="M178" s="365">
        <f>Tabla1[[#This Row],[Columna1]]-Tabla1[[#This Row],[PO '[h']]]</f>
        <v>0</v>
      </c>
      <c r="N178" s="365">
        <f t="shared" si="55"/>
        <v>1612</v>
      </c>
      <c r="O178" s="430">
        <v>1612</v>
      </c>
      <c r="P178" s="367">
        <f>Tabla1[[#This Row],[G. HGS 
'[MWh']]]</f>
        <v>1612</v>
      </c>
      <c r="Q178" s="430">
        <v>0</v>
      </c>
      <c r="R178" s="367">
        <v>0</v>
      </c>
      <c r="S178" s="367">
        <f>Tabla1[[#This Row],[G. HGS 
Con Gas]]*1000</f>
        <v>1612000</v>
      </c>
      <c r="T178" s="365">
        <f>Tabla1[[#This Row],[G. HGS 
'[MWh']]]*1000</f>
        <v>1612000</v>
      </c>
      <c r="U178" s="368">
        <f>SUM('G. Un GE'!B178:Y178)</f>
        <v>1597.4405999999997</v>
      </c>
      <c r="V178" s="369">
        <f>Tabla1[[#This Row],[R. GE
'[MWh']]]</f>
        <v>1597.4405999999997</v>
      </c>
      <c r="W178" s="434">
        <v>0</v>
      </c>
      <c r="X178" s="369">
        <v>0</v>
      </c>
      <c r="Y178" s="365">
        <f>Tabla1[[#This Row],[R. GE
'[MWh']]]*1000</f>
        <v>1597440.5999999996</v>
      </c>
      <c r="Z178" s="434">
        <v>36.869999999999997</v>
      </c>
      <c r="AA17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36.869999999999997</v>
      </c>
      <c r="AB178" s="371">
        <f>IF(Tabla1[[#This Row],[G. HGS 
'[MWh']]]=0,0,Tabla1[[#This Row],[G. HGS 
'[MWh']]]+Tabla1[[#This Row],[Con. Aux. '[MWh']2]])</f>
        <v>1648.87</v>
      </c>
      <c r="AC178" s="368">
        <f>'C. ENER. TN'!F178</f>
        <v>0</v>
      </c>
      <c r="AD178" s="370">
        <f>'C. ENER. TN'!G178</f>
        <v>1597.4406000000004</v>
      </c>
      <c r="AE178" s="370">
        <f>'G. Un GE'!AX178</f>
        <v>198.73725138888886</v>
      </c>
      <c r="AF178" s="368">
        <f>IFERROR('G. Un GE'!AX178/Tabla1[[#This Row],[PO '[h']]],0)</f>
        <v>8.28071880787037</v>
      </c>
      <c r="AG178" s="365">
        <f>'Ar-Pa'!AX178</f>
        <v>1</v>
      </c>
      <c r="AH178" s="365">
        <f>'Ar-Pa'!AY178</f>
        <v>0</v>
      </c>
      <c r="AI178" s="366">
        <f>SUM('Cal. Arr'!AB181:AY181)</f>
        <v>0</v>
      </c>
      <c r="AJ178" s="442">
        <v>20.5</v>
      </c>
      <c r="AK178" s="443">
        <v>0.3</v>
      </c>
      <c r="AL178" s="267">
        <f t="shared" si="42"/>
        <v>79.251615707444529</v>
      </c>
      <c r="AM178" s="267">
        <f>+CONVERT(AK178+Tabla1[[#This Row],[Con. DO Storage Gen. '[m3']]],"m^3","gal")</f>
        <v>5494.7786890494872</v>
      </c>
      <c r="AN178" s="372">
        <f>SUM('DO Pilot'!B178:Y178)</f>
        <v>7.269999999999996</v>
      </c>
      <c r="AO178" s="372">
        <f t="shared" si="43"/>
        <v>1920.530820643738</v>
      </c>
      <c r="AP178" s="267">
        <f>AK178+AN178+Tabla1[[#This Row],[Con. DO Storage Gen. '[m3']]]</f>
        <v>28.069999999999997</v>
      </c>
      <c r="AQ178" s="372">
        <f t="shared" si="49"/>
        <v>7415.3095096932257</v>
      </c>
      <c r="AR178" s="443">
        <v>0</v>
      </c>
      <c r="AS178" s="443">
        <v>0</v>
      </c>
      <c r="AT178" s="267">
        <f>+CONVERT(SUM(Tabla1[[#This Row],[Repo. DO Storage '[gal']]:[Repo. DO Pilot '[gal']]]),"gal","m3")</f>
        <v>0</v>
      </c>
      <c r="AU178" s="442">
        <v>0</v>
      </c>
      <c r="AV178" s="372">
        <f t="shared" si="56"/>
        <v>0</v>
      </c>
      <c r="AW178" s="442">
        <v>0</v>
      </c>
      <c r="AX178" s="372">
        <f t="shared" si="44"/>
        <v>0</v>
      </c>
      <c r="AY178" s="372">
        <f t="shared" si="45"/>
        <v>4.9163533317273279E-2</v>
      </c>
      <c r="AZ178" s="372">
        <f>IFERROR(AL178/'Ar-Pa'!AX178,0)</f>
        <v>79.251615707444529</v>
      </c>
      <c r="BA178" s="372">
        <f>IFERROR(AL178/'Ar-Pa'!AY178,0)</f>
        <v>0</v>
      </c>
      <c r="BB178" s="372">
        <f t="shared" si="46"/>
        <v>1.1913962907219218</v>
      </c>
      <c r="BC178" s="372">
        <f>IFERROR(AVERAGEIF('DO Pilot'!AX178:BU178,"&gt;0"),0)</f>
        <v>9.955372713867261</v>
      </c>
      <c r="BD178" s="446">
        <v>403844</v>
      </c>
      <c r="BE178" s="446">
        <v>14295</v>
      </c>
      <c r="BF178" s="446">
        <v>403356</v>
      </c>
      <c r="BG178" s="223">
        <f>Tabla1[[#This Row],[ Re. Gas GC
 '[m3']]]</f>
        <v>403356</v>
      </c>
      <c r="BH178" s="150">
        <f>IFERROR((BG178*Gas!$B$3)/28.31685,0)</f>
        <v>14189.967460363705</v>
      </c>
      <c r="BI178" s="73">
        <f t="shared" si="57"/>
        <v>-105.03253963629504</v>
      </c>
      <c r="BJ178" s="74">
        <f t="shared" si="50"/>
        <v>-7.4018872791412971E-3</v>
      </c>
      <c r="BK178" s="223">
        <f t="shared" si="47"/>
        <v>8867.8660049627797</v>
      </c>
      <c r="BL178" s="442">
        <v>0</v>
      </c>
      <c r="BM178" s="70">
        <f t="shared" si="48"/>
        <v>8605.873998777166</v>
      </c>
      <c r="BN178" s="150">
        <f t="shared" si="51"/>
        <v>8882.9390340797072</v>
      </c>
      <c r="BO178" s="373">
        <f>IFERROR(Tabla1[[#This Row],[ Re. Gas GC
 '[m3']]]/Tabla1[[#This Row],[G. HGS 
Con Gas '[kWh']]],0)</f>
        <v>0.25022084367245656</v>
      </c>
      <c r="BP178" s="374">
        <f>Tank!Y179</f>
        <v>0</v>
      </c>
      <c r="BQ178" s="70">
        <f>Tank!AP179</f>
        <v>0</v>
      </c>
      <c r="BR178" s="70">
        <f>Tank!V179</f>
        <v>0</v>
      </c>
      <c r="BS178" s="372">
        <f>Tank!T179</f>
        <v>0</v>
      </c>
      <c r="BT178" s="375" t="s">
        <v>228</v>
      </c>
      <c r="BU178" s="451">
        <v>71</v>
      </c>
      <c r="BV178" s="375">
        <f>IF(Tabla1[[#This Row],[Combustible ofertado]]="GAS",Tabla1[[#This Row],[Disponibilidad]],0)</f>
        <v>0</v>
      </c>
      <c r="BW178" s="375">
        <f>IF(Tabla1[[#This Row],[Combustible ofertado]]="DIESEL",Tabla1[[#This Row],[Disponibilidad]],0)</f>
        <v>71</v>
      </c>
      <c r="BX178" s="375">
        <f>IF(Tabla1[[#This Row],[Combustible ofertado]]="HFO",Tabla1[[#This Row],[Disponibilidad]],0)</f>
        <v>0</v>
      </c>
      <c r="BY178" s="456">
        <v>1390</v>
      </c>
      <c r="BZ178" s="446">
        <f>'Horo. M'!C179</f>
        <v>24</v>
      </c>
      <c r="CA178" s="446">
        <f>'Horo. M'!E179</f>
        <v>24</v>
      </c>
      <c r="CB178" s="446">
        <f>'Horo. M'!G179</f>
        <v>24</v>
      </c>
      <c r="CC178" s="446">
        <f>'Horo. M'!I179</f>
        <v>24</v>
      </c>
      <c r="CD178" s="446">
        <f>'Horo. M'!K179</f>
        <v>24</v>
      </c>
      <c r="CE178" s="446">
        <f>'Horo. M'!M179</f>
        <v>0</v>
      </c>
      <c r="CF178" s="446">
        <f>'Horo. M'!O179</f>
        <v>24</v>
      </c>
      <c r="CG178" s="446">
        <f>'Horo. M'!Q179</f>
        <v>24</v>
      </c>
      <c r="CH178" s="446">
        <f>'Horo. M'!S179</f>
        <v>0</v>
      </c>
      <c r="CI178" s="446">
        <f>'Horo. M'!U179</f>
        <v>24</v>
      </c>
      <c r="CJ178" s="70">
        <f>Tabla1[[#This Row],[Con. DO Storage '[gal']]]-Tabla1[[#This Row],[C. DO Storage Ge '[gal']]]</f>
        <v>79.251615707444529</v>
      </c>
      <c r="CK178" s="70"/>
      <c r="CL178" s="70"/>
      <c r="CM178" s="372">
        <f>Tabla1[[#This Row],[Con. DO Total '[gal']]]*131485.5/(1000000)</f>
        <v>975.00567853676864</v>
      </c>
    </row>
    <row r="179" spans="1:91" ht="15" customHeight="1">
      <c r="A179" s="362">
        <v>45104</v>
      </c>
      <c r="B179" s="376" t="str">
        <f>TEXT(Tabla1[[#This Row],[Fecha]],"mmmm")</f>
        <v>junio</v>
      </c>
      <c r="C179" s="429">
        <v>0</v>
      </c>
      <c r="D179" s="430">
        <v>1652</v>
      </c>
      <c r="E179" s="430">
        <v>1652</v>
      </c>
      <c r="F179" s="430">
        <v>1595</v>
      </c>
      <c r="G179" s="431">
        <v>0</v>
      </c>
      <c r="H179" s="431">
        <v>0</v>
      </c>
      <c r="I179" s="432">
        <v>2</v>
      </c>
      <c r="J179" s="432">
        <v>142</v>
      </c>
      <c r="K179" s="430">
        <v>24</v>
      </c>
      <c r="L179" s="430">
        <v>24</v>
      </c>
      <c r="M179" s="365">
        <f>Tabla1[[#This Row],[Columna1]]-Tabla1[[#This Row],[PO '[h']]]</f>
        <v>0</v>
      </c>
      <c r="N179" s="365">
        <f t="shared" si="55"/>
        <v>1737</v>
      </c>
      <c r="O179" s="430">
        <v>1595</v>
      </c>
      <c r="P179" s="367">
        <f>Tabla1[[#This Row],[G. HGS 
'[MWh']]]</f>
        <v>1595</v>
      </c>
      <c r="Q179" s="430">
        <v>0</v>
      </c>
      <c r="R179" s="367">
        <v>0</v>
      </c>
      <c r="S179" s="367">
        <f>Tabla1[[#This Row],[G. HGS 
Con Gas]]*1000</f>
        <v>1595000</v>
      </c>
      <c r="T179" s="365">
        <f>Tabla1[[#This Row],[G. HGS 
'[MWh']]]*1000</f>
        <v>1595000</v>
      </c>
      <c r="U179" s="368">
        <f>SUM('G. Un GE'!B179:Y179)</f>
        <v>1580.8801999999998</v>
      </c>
      <c r="V179" s="369">
        <f>Tabla1[[#This Row],[R. GE
'[MWh']]]</f>
        <v>1580.8801999999998</v>
      </c>
      <c r="W179" s="434">
        <v>0</v>
      </c>
      <c r="X179" s="369">
        <v>0</v>
      </c>
      <c r="Y179" s="365">
        <f>Tabla1[[#This Row],[R. GE
'[MWh']]]*1000</f>
        <v>1580880.1999999997</v>
      </c>
      <c r="Z179" s="434">
        <v>36.64</v>
      </c>
      <c r="AA17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36.64</v>
      </c>
      <c r="AB179" s="371">
        <f>IF(Tabla1[[#This Row],[G. HGS 
'[MWh']]]=0,0,Tabla1[[#This Row],[G. HGS 
'[MWh']]]+Tabla1[[#This Row],[Con. Aux. '[MWh']2]])</f>
        <v>1631.64</v>
      </c>
      <c r="AC179" s="368">
        <f>'C. ENER. TN'!F179</f>
        <v>0</v>
      </c>
      <c r="AD179" s="370">
        <f>'C. ENER. TN'!G179</f>
        <v>1580.8802000000003</v>
      </c>
      <c r="AE179" s="370">
        <f>'G. Un GE'!AX179</f>
        <v>197.61002499999998</v>
      </c>
      <c r="AF179" s="368">
        <f>IFERROR('G. Un GE'!AX179/Tabla1[[#This Row],[PO '[h']]],0)</f>
        <v>8.2337510416666664</v>
      </c>
      <c r="AG179" s="365">
        <f>'Ar-Pa'!AX179</f>
        <v>0</v>
      </c>
      <c r="AH179" s="365">
        <f>'Ar-Pa'!AY179</f>
        <v>1</v>
      </c>
      <c r="AI179" s="366">
        <f>SUM('Cal. Arr'!AB182:AY182)</f>
        <v>0</v>
      </c>
      <c r="AJ179" s="442">
        <v>44.5</v>
      </c>
      <c r="AK179" s="443">
        <v>1.5</v>
      </c>
      <c r="AL179" s="267">
        <f t="shared" si="42"/>
        <v>396.25807853722262</v>
      </c>
      <c r="AM179" s="267">
        <f>+CONVERT(AK179+Tabla1[[#This Row],[Con. DO Storage Gen. '[m3']]],"m^3","gal")</f>
        <v>12151.914408474828</v>
      </c>
      <c r="AN179" s="372">
        <f>SUM('DO Pilot'!B179:Y179)</f>
        <v>6.5500000000000034</v>
      </c>
      <c r="AO179" s="372">
        <f t="shared" si="43"/>
        <v>1730.326942945873</v>
      </c>
      <c r="AP179" s="267">
        <f>AK179+AN179+Tabla1[[#This Row],[Con. DO Storage Gen. '[m3']]]</f>
        <v>52.550000000000004</v>
      </c>
      <c r="AQ179" s="372">
        <f t="shared" si="49"/>
        <v>13882.241351420702</v>
      </c>
      <c r="AR179" s="443">
        <v>0</v>
      </c>
      <c r="AS179" s="443">
        <v>0</v>
      </c>
      <c r="AT179" s="267">
        <f>+CONVERT(SUM(Tabla1[[#This Row],[Repo. DO Storage '[gal']]:[Repo. DO Pilot '[gal']]]),"gal","m3")</f>
        <v>0</v>
      </c>
      <c r="AU179" s="442">
        <v>0</v>
      </c>
      <c r="AV179" s="372">
        <f t="shared" si="56"/>
        <v>0</v>
      </c>
      <c r="AW179" s="442">
        <v>0</v>
      </c>
      <c r="AX179" s="372">
        <f t="shared" si="44"/>
        <v>0</v>
      </c>
      <c r="AY179" s="372">
        <f t="shared" si="45"/>
        <v>0.24843766679449694</v>
      </c>
      <c r="AZ179" s="372">
        <f>IFERROR(AL179/'Ar-Pa'!AX179,0)</f>
        <v>0</v>
      </c>
      <c r="BA179" s="372">
        <f>IFERROR(AL179/'Ar-Pa'!AY179,0)</f>
        <v>396.25807853722262</v>
      </c>
      <c r="BB179" s="372">
        <f t="shared" si="46"/>
        <v>1.0848444783359705</v>
      </c>
      <c r="BC179" s="372">
        <f>IFERROR(AVERAGEIF('DO Pilot'!AX179:BU179,"&gt;0"),0)</f>
        <v>9.0121194945097542</v>
      </c>
      <c r="BD179" s="446">
        <v>377039</v>
      </c>
      <c r="BE179" s="446">
        <v>13347</v>
      </c>
      <c r="BF179" s="446">
        <v>376627</v>
      </c>
      <c r="BG179" s="223">
        <f>Tabla1[[#This Row],[ Re. Gas GC
 '[m3']]]</f>
        <v>376627</v>
      </c>
      <c r="BH179" s="150">
        <f>IFERROR((BG179*Gas!$B$3)/28.31685,0)</f>
        <v>13249.64764301114</v>
      </c>
      <c r="BI179" s="73">
        <f t="shared" si="57"/>
        <v>-97.352356988860265</v>
      </c>
      <c r="BJ179" s="74">
        <f t="shared" si="50"/>
        <v>-7.3475430903410643E-3</v>
      </c>
      <c r="BK179" s="223">
        <f t="shared" si="47"/>
        <v>8368.0250783699048</v>
      </c>
      <c r="BL179" s="442">
        <v>0</v>
      </c>
      <c r="BM179" s="70">
        <f t="shared" si="48"/>
        <v>8120.4479192782346</v>
      </c>
      <c r="BN179" s="150">
        <f t="shared" si="51"/>
        <v>8381.1838765588582</v>
      </c>
      <c r="BO179" s="373">
        <f>IFERROR(Tabla1[[#This Row],[ Re. Gas GC
 '[m3']]]/Tabla1[[#This Row],[G. HGS 
Con Gas '[kWh']]],0)</f>
        <v>0.23612978056426331</v>
      </c>
      <c r="BP179" s="374">
        <f>Tank!Y180</f>
        <v>0</v>
      </c>
      <c r="BQ179" s="70">
        <f>Tank!AP180</f>
        <v>0</v>
      </c>
      <c r="BR179" s="70">
        <f>Tank!V180</f>
        <v>0</v>
      </c>
      <c r="BS179" s="372">
        <f>Tank!T180</f>
        <v>0</v>
      </c>
      <c r="BT179" s="375" t="s">
        <v>228</v>
      </c>
      <c r="BU179" s="451">
        <v>71</v>
      </c>
      <c r="BV179" s="375">
        <f>IF(Tabla1[[#This Row],[Combustible ofertado]]="GAS",Tabla1[[#This Row],[Disponibilidad]],0)</f>
        <v>0</v>
      </c>
      <c r="BW179" s="375">
        <f>IF(Tabla1[[#This Row],[Combustible ofertado]]="DIESEL",Tabla1[[#This Row],[Disponibilidad]],0)</f>
        <v>71</v>
      </c>
      <c r="BX179" s="375">
        <f>IF(Tabla1[[#This Row],[Combustible ofertado]]="HFO",Tabla1[[#This Row],[Disponibilidad]],0)</f>
        <v>0</v>
      </c>
      <c r="BY179" s="456">
        <v>1390</v>
      </c>
      <c r="BZ179" s="446">
        <f>'Horo. M'!C180</f>
        <v>24</v>
      </c>
      <c r="CA179" s="446">
        <f>'Horo. M'!E180</f>
        <v>24</v>
      </c>
      <c r="CB179" s="446">
        <f>'Horo. M'!G180</f>
        <v>24</v>
      </c>
      <c r="CC179" s="446">
        <f>'Horo. M'!I180</f>
        <v>24</v>
      </c>
      <c r="CD179" s="446">
        <f>'Horo. M'!K180</f>
        <v>24</v>
      </c>
      <c r="CE179" s="446">
        <f>'Horo. M'!M180</f>
        <v>0</v>
      </c>
      <c r="CF179" s="446">
        <f>'Horo. M'!O180</f>
        <v>24</v>
      </c>
      <c r="CG179" s="446">
        <f>'Horo. M'!Q180</f>
        <v>24</v>
      </c>
      <c r="CH179" s="446">
        <f>'Horo. M'!S180</f>
        <v>0</v>
      </c>
      <c r="CI179" s="446">
        <f>'Horo. M'!U180</f>
        <v>24</v>
      </c>
      <c r="CJ179" s="70">
        <f>Tabla1[[#This Row],[Con. DO Storage '[gal']]]-Tabla1[[#This Row],[C. DO Storage Ge '[gal']]]</f>
        <v>396.25807853722262</v>
      </c>
      <c r="CK179" s="70"/>
      <c r="CL179" s="70"/>
      <c r="CM179" s="372">
        <f>Tabla1[[#This Row],[Con. DO Total '[gal']]]*131485.5/(1000000)</f>
        <v>1825.3134452122267</v>
      </c>
    </row>
    <row r="180" spans="1:91" ht="15" customHeight="1">
      <c r="A180" s="362">
        <v>45105</v>
      </c>
      <c r="B180" s="376" t="str">
        <f>TEXT(Tabla1[[#This Row],[Fecha]],"mmmm")</f>
        <v>junio</v>
      </c>
      <c r="C180" s="429">
        <v>0</v>
      </c>
      <c r="D180" s="430">
        <v>1272</v>
      </c>
      <c r="E180" s="430">
        <v>1272</v>
      </c>
      <c r="F180" s="430">
        <v>1289</v>
      </c>
      <c r="G180" s="431">
        <v>2</v>
      </c>
      <c r="H180" s="431">
        <v>115</v>
      </c>
      <c r="I180" s="432">
        <v>0</v>
      </c>
      <c r="J180" s="432">
        <v>0</v>
      </c>
      <c r="K180" s="430">
        <v>24</v>
      </c>
      <c r="L180" s="430">
        <v>24</v>
      </c>
      <c r="M180" s="365">
        <f>Tabla1[[#This Row],[Columna1]]-Tabla1[[#This Row],[PO '[h']]]</f>
        <v>0</v>
      </c>
      <c r="N180" s="365">
        <f t="shared" si="55"/>
        <v>1404</v>
      </c>
      <c r="O180" s="430">
        <v>1289</v>
      </c>
      <c r="P180" s="367">
        <f>Tabla1[[#This Row],[G. HGS 
'[MWh']]]</f>
        <v>1289</v>
      </c>
      <c r="Q180" s="430">
        <v>0</v>
      </c>
      <c r="R180" s="367">
        <v>0</v>
      </c>
      <c r="S180" s="367">
        <f>Tabla1[[#This Row],[G. HGS 
Con Gas]]*1000</f>
        <v>1289000</v>
      </c>
      <c r="T180" s="365">
        <f>Tabla1[[#This Row],[G. HGS 
'[MWh']]]*1000</f>
        <v>1289000</v>
      </c>
      <c r="U180" s="368">
        <f>SUM('G. Un GE'!B180:Y180)</f>
        <v>1278.4760000000003</v>
      </c>
      <c r="V180" s="369">
        <f>Tabla1[[#This Row],[R. GE
'[MWh']]]</f>
        <v>1278.4760000000003</v>
      </c>
      <c r="W180" s="434">
        <v>0</v>
      </c>
      <c r="X180" s="369">
        <v>0</v>
      </c>
      <c r="Y180" s="365">
        <f>Tabla1[[#This Row],[R. GE
'[MWh']]]*1000</f>
        <v>1278476.0000000002</v>
      </c>
      <c r="Z180" s="434">
        <v>36.85</v>
      </c>
      <c r="AA18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36.85</v>
      </c>
      <c r="AB180" s="371">
        <f>IF(Tabla1[[#This Row],[G. HGS 
'[MWh']]]=0,0,Tabla1[[#This Row],[G. HGS 
'[MWh']]]+Tabla1[[#This Row],[Con. Aux. '[MWh']2]])</f>
        <v>1325.85</v>
      </c>
      <c r="AC180" s="368">
        <f>'C. ENER. TN'!F180</f>
        <v>0</v>
      </c>
      <c r="AD180" s="370">
        <f>'C. ENER. TN'!G180</f>
        <v>1278.4760000000001</v>
      </c>
      <c r="AE180" s="370">
        <f>'G. Un GE'!AX180</f>
        <v>160.77931607142861</v>
      </c>
      <c r="AF180" s="368">
        <f>IFERROR('G. Un GE'!AX180/Tabla1[[#This Row],[PO '[h']]],0)</f>
        <v>6.6991381696428585</v>
      </c>
      <c r="AG180" s="365">
        <f>'Ar-Pa'!AX180</f>
        <v>1</v>
      </c>
      <c r="AH180" s="365">
        <f>'Ar-Pa'!AY180</f>
        <v>1</v>
      </c>
      <c r="AI180" s="366">
        <f>SUM('Cal. Arr'!AB183:AY183)</f>
        <v>0</v>
      </c>
      <c r="AJ180" s="442">
        <v>0</v>
      </c>
      <c r="AK180" s="443">
        <v>1.5</v>
      </c>
      <c r="AL180" s="267">
        <f t="shared" si="42"/>
        <v>396.25807853722262</v>
      </c>
      <c r="AM180" s="267">
        <f>+CONVERT(AK180+Tabla1[[#This Row],[Con. DO Storage Gen. '[m3']]],"m^3","gal")</f>
        <v>396.25807853722262</v>
      </c>
      <c r="AN180" s="372">
        <f>SUM('DO Pilot'!B180:Y180)</f>
        <v>6.4700000000000006</v>
      </c>
      <c r="AO180" s="372">
        <f t="shared" si="43"/>
        <v>1709.1931787572205</v>
      </c>
      <c r="AP180" s="267">
        <f>AK180+AN180+Tabla1[[#This Row],[Con. DO Storage Gen. '[m3']]]</f>
        <v>7.9700000000000006</v>
      </c>
      <c r="AQ180" s="372">
        <f t="shared" si="49"/>
        <v>2105.4512572944432</v>
      </c>
      <c r="AR180" s="443">
        <v>0</v>
      </c>
      <c r="AS180" s="443">
        <v>11013</v>
      </c>
      <c r="AT180" s="267">
        <f>+CONVERT(SUM(Tabla1[[#This Row],[Repo. DO Storage '[gal']]:[Repo. DO Pilot '[gal']]]),"gal","m3")</f>
        <v>41.688739977191993</v>
      </c>
      <c r="AU180" s="442">
        <v>0</v>
      </c>
      <c r="AV180" s="372">
        <f t="shared" si="56"/>
        <v>0</v>
      </c>
      <c r="AW180" s="442">
        <v>0</v>
      </c>
      <c r="AX180" s="372">
        <f t="shared" si="44"/>
        <v>0</v>
      </c>
      <c r="AY180" s="372">
        <f t="shared" si="45"/>
        <v>0.30741511135548688</v>
      </c>
      <c r="AZ180" s="372">
        <f>IFERROR(AL180/'Ar-Pa'!AX180,0)</f>
        <v>396.25807853722262</v>
      </c>
      <c r="BA180" s="372">
        <f>IFERROR(AL180/'Ar-Pa'!AY180,0)</f>
        <v>396.25807853722262</v>
      </c>
      <c r="BB180" s="372">
        <f t="shared" si="46"/>
        <v>1.3259838469800005</v>
      </c>
      <c r="BC180" s="372">
        <f>IFERROR(AVERAGEIF('DO Pilot'!AX180:BU180,"&gt;0"),0)</f>
        <v>8.9590492161342308</v>
      </c>
      <c r="BD180" s="446">
        <v>351398</v>
      </c>
      <c r="BE180" s="446">
        <v>12439</v>
      </c>
      <c r="BF180" s="446">
        <v>350217</v>
      </c>
      <c r="BG180" s="223">
        <f>Tabla1[[#This Row],[ Re. Gas GC
 '[m3']]]</f>
        <v>350217</v>
      </c>
      <c r="BH180" s="150">
        <f>IFERROR((BG180*Gas!$B$3)/28.31685,0)</f>
        <v>12320.55016924552</v>
      </c>
      <c r="BI180" s="73">
        <f t="shared" si="57"/>
        <v>-118.44983075447999</v>
      </c>
      <c r="BJ180" s="74">
        <f t="shared" si="50"/>
        <v>-9.6140049857638427E-3</v>
      </c>
      <c r="BK180" s="223">
        <f t="shared" si="47"/>
        <v>9650.1163692785103</v>
      </c>
      <c r="BL180" s="442">
        <v>0</v>
      </c>
      <c r="BM180" s="70">
        <f t="shared" si="48"/>
        <v>9292.5671601203157</v>
      </c>
      <c r="BN180" s="150">
        <f t="shared" si="51"/>
        <v>9636.9037582602396</v>
      </c>
      <c r="BO180" s="373">
        <f>IFERROR(Tabla1[[#This Row],[ Re. Gas GC
 '[m3']]]/Tabla1[[#This Row],[G. HGS 
Con Gas '[kWh']]],0)</f>
        <v>0.27169666408068271</v>
      </c>
      <c r="BP180" s="374">
        <f>Tank!Y181</f>
        <v>0</v>
      </c>
      <c r="BQ180" s="70">
        <f>Tank!AP181</f>
        <v>42.6</v>
      </c>
      <c r="BR180" s="70">
        <f>Tank!V181</f>
        <v>0</v>
      </c>
      <c r="BS180" s="372">
        <f>Tank!T181</f>
        <v>0</v>
      </c>
      <c r="BT180" s="375" t="s">
        <v>228</v>
      </c>
      <c r="BU180" s="451">
        <v>71</v>
      </c>
      <c r="BV180" s="375">
        <f>IF(Tabla1[[#This Row],[Combustible ofertado]]="GAS",Tabla1[[#This Row],[Disponibilidad]],0)</f>
        <v>0</v>
      </c>
      <c r="BW180" s="375">
        <f>IF(Tabla1[[#This Row],[Combustible ofertado]]="DIESEL",Tabla1[[#This Row],[Disponibilidad]],0)</f>
        <v>71</v>
      </c>
      <c r="BX180" s="375">
        <f>IF(Tabla1[[#This Row],[Combustible ofertado]]="HFO",Tabla1[[#This Row],[Disponibilidad]],0)</f>
        <v>0</v>
      </c>
      <c r="BY180" s="456">
        <v>1390</v>
      </c>
      <c r="BZ180" s="446">
        <f>'Horo. M'!C181</f>
        <v>24</v>
      </c>
      <c r="CA180" s="446">
        <f>'Horo. M'!E181</f>
        <v>24</v>
      </c>
      <c r="CB180" s="446">
        <f>'Horo. M'!G181</f>
        <v>24</v>
      </c>
      <c r="CC180" s="446">
        <f>'Horo. M'!I181</f>
        <v>22</v>
      </c>
      <c r="CD180" s="446">
        <f>'Horo. M'!K181</f>
        <v>24</v>
      </c>
      <c r="CE180" s="446">
        <f>'Horo. M'!M181</f>
        <v>0</v>
      </c>
      <c r="CF180" s="446">
        <f>'Horo. M'!O181</f>
        <v>24</v>
      </c>
      <c r="CG180" s="446">
        <f>'Horo. M'!Q181</f>
        <v>24</v>
      </c>
      <c r="CH180" s="446">
        <f>'Horo. M'!S181</f>
        <v>0</v>
      </c>
      <c r="CI180" s="446">
        <f>'Horo. M'!U181</f>
        <v>24</v>
      </c>
      <c r="CJ180" s="70">
        <f>Tabla1[[#This Row],[Con. DO Storage '[gal']]]-Tabla1[[#This Row],[C. DO Storage Ge '[gal']]]</f>
        <v>396.25807853722262</v>
      </c>
      <c r="CK180" s="70"/>
      <c r="CL180" s="70"/>
      <c r="CM180" s="372">
        <f>Tabla1[[#This Row],[Con. DO Total '[gal']]]*131485.5/(1000000)</f>
        <v>276.83631129098853</v>
      </c>
    </row>
    <row r="181" spans="1:91" ht="15" customHeight="1">
      <c r="A181" s="362">
        <v>45106</v>
      </c>
      <c r="B181" s="376" t="str">
        <f>TEXT(Tabla1[[#This Row],[Fecha]],"mmmm")</f>
        <v>junio</v>
      </c>
      <c r="C181" s="429">
        <v>0</v>
      </c>
      <c r="D181" s="430">
        <v>1056</v>
      </c>
      <c r="E181" s="430">
        <v>1056</v>
      </c>
      <c r="F181" s="430">
        <v>1107</v>
      </c>
      <c r="G181" s="431">
        <v>0</v>
      </c>
      <c r="H181" s="431">
        <v>0</v>
      </c>
      <c r="I181" s="432">
        <v>3</v>
      </c>
      <c r="J181" s="432">
        <v>186</v>
      </c>
      <c r="K181" s="430">
        <v>24</v>
      </c>
      <c r="L181" s="430">
        <v>24</v>
      </c>
      <c r="M181" s="365">
        <f>Tabla1[[#This Row],[Columna1]]-Tabla1[[#This Row],[PO '[h']]]</f>
        <v>0</v>
      </c>
      <c r="N181" s="365">
        <f t="shared" si="55"/>
        <v>1293</v>
      </c>
      <c r="O181" s="430">
        <v>1107</v>
      </c>
      <c r="P181" s="367">
        <f>Tabla1[[#This Row],[G. HGS 
'[MWh']]]</f>
        <v>1107</v>
      </c>
      <c r="Q181" s="430">
        <v>0</v>
      </c>
      <c r="R181" s="367">
        <v>0</v>
      </c>
      <c r="S181" s="367">
        <f>Tabla1[[#This Row],[G. HGS 
Con Gas]]*1000</f>
        <v>1107000</v>
      </c>
      <c r="T181" s="365">
        <f>Tabla1[[#This Row],[G. HGS 
'[MWh']]]*1000</f>
        <v>1107000</v>
      </c>
      <c r="U181" s="368">
        <f>SUM('G. Un GE'!B181:Y181)</f>
        <v>1097.9824000000003</v>
      </c>
      <c r="V181" s="369">
        <f>Tabla1[[#This Row],[R. GE
'[MWh']]]</f>
        <v>1097.9824000000003</v>
      </c>
      <c r="W181" s="434">
        <v>0</v>
      </c>
      <c r="X181" s="369">
        <v>0</v>
      </c>
      <c r="Y181" s="365">
        <f>Tabla1[[#This Row],[R. GE
'[MWh']]]*1000</f>
        <v>1097982.4000000004</v>
      </c>
      <c r="Z181" s="434">
        <v>33.9</v>
      </c>
      <c r="AA18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33.9</v>
      </c>
      <c r="AB181" s="371">
        <f>IF(Tabla1[[#This Row],[G. HGS 
'[MWh']]]=0,0,Tabla1[[#This Row],[G. HGS 
'[MWh']]]+Tabla1[[#This Row],[Con. Aux. '[MWh']2]])</f>
        <v>1140.9000000000001</v>
      </c>
      <c r="AC181" s="368">
        <f>'C. ENER. TN'!F181</f>
        <v>0</v>
      </c>
      <c r="AD181" s="370">
        <f>'C. ENER. TN'!G181</f>
        <v>1097.9823999999999</v>
      </c>
      <c r="AE181" s="370">
        <f>'G. Un GE'!AX181</f>
        <v>158.94555238095242</v>
      </c>
      <c r="AF181" s="368">
        <f>IFERROR('G. Un GE'!AX181/Tabla1[[#This Row],[PO '[h']]],0)</f>
        <v>6.6227313492063509</v>
      </c>
      <c r="AG181" s="365">
        <f>'Ar-Pa'!AX181</f>
        <v>1</v>
      </c>
      <c r="AH181" s="365">
        <f>'Ar-Pa'!AY181</f>
        <v>2</v>
      </c>
      <c r="AI181" s="366">
        <f>SUM('Cal. Arr'!AB184:AY184)</f>
        <v>0</v>
      </c>
      <c r="AJ181" s="442">
        <v>0</v>
      </c>
      <c r="AK181" s="443">
        <v>1</v>
      </c>
      <c r="AL181" s="267">
        <f t="shared" si="42"/>
        <v>264.17205235814845</v>
      </c>
      <c r="AM181" s="267">
        <f>+CONVERT(AK181+Tabla1[[#This Row],[Con. DO Storage Gen. '[m3']]],"m^3","gal")</f>
        <v>264.17205235814845</v>
      </c>
      <c r="AN181" s="372">
        <f>SUM('DO Pilot'!B181:Y181)</f>
        <v>6.0800000000000018</v>
      </c>
      <c r="AO181" s="372">
        <f t="shared" si="43"/>
        <v>1606.1660783375428</v>
      </c>
      <c r="AP181" s="267">
        <f>AK181+AN181+Tabla1[[#This Row],[Con. DO Storage Gen. '[m3']]]</f>
        <v>7.0800000000000018</v>
      </c>
      <c r="AQ181" s="372">
        <f t="shared" si="49"/>
        <v>1870.3381306956912</v>
      </c>
      <c r="AR181" s="443">
        <v>0</v>
      </c>
      <c r="AS181" s="443">
        <v>0</v>
      </c>
      <c r="AT181" s="267">
        <f>+CONVERT(SUM(Tabla1[[#This Row],[Repo. DO Storage '[gal']]:[Repo. DO Pilot '[gal']]]),"gal","m3")</f>
        <v>0</v>
      </c>
      <c r="AU181" s="442">
        <v>0</v>
      </c>
      <c r="AV181" s="372">
        <f t="shared" si="56"/>
        <v>0</v>
      </c>
      <c r="AW181" s="442">
        <v>0</v>
      </c>
      <c r="AX181" s="372">
        <f t="shared" si="44"/>
        <v>0</v>
      </c>
      <c r="AY181" s="372">
        <f t="shared" si="45"/>
        <v>0.23863780700826417</v>
      </c>
      <c r="AZ181" s="372">
        <f>IFERROR(AL181/'Ar-Pa'!AX181,0)</f>
        <v>264.17205235814845</v>
      </c>
      <c r="BA181" s="372">
        <f>IFERROR(AL181/'Ar-Pa'!AY181,0)</f>
        <v>132.08602617907422</v>
      </c>
      <c r="BB181" s="372">
        <f t="shared" si="46"/>
        <v>1.4509178666102465</v>
      </c>
      <c r="BC181" s="372">
        <f>IFERROR(AVERAGEIF('DO Pilot'!AX181:BU181,"&gt;0"),0)</f>
        <v>9.6863085864654419</v>
      </c>
      <c r="BD181" s="446">
        <v>301425</v>
      </c>
      <c r="BE181" s="446">
        <v>10670</v>
      </c>
      <c r="BF181" s="446">
        <v>301358</v>
      </c>
      <c r="BG181" s="223">
        <f>Tabla1[[#This Row],[ Re. Gas GC
 '[m3']]]</f>
        <v>301358</v>
      </c>
      <c r="BH181" s="150">
        <f>IFERROR((BG181*Gas!$B$3)/28.31685,0)</f>
        <v>10601.702252898893</v>
      </c>
      <c r="BI181" s="73">
        <f t="shared" si="57"/>
        <v>-68.297747101107234</v>
      </c>
      <c r="BJ181" s="74">
        <f t="shared" si="50"/>
        <v>-6.4421491447217479E-3</v>
      </c>
      <c r="BK181" s="223">
        <f t="shared" si="47"/>
        <v>9638.6630532971994</v>
      </c>
      <c r="BL181" s="442">
        <v>8297.3799999999992</v>
      </c>
      <c r="BM181" s="70">
        <f t="shared" si="48"/>
        <v>9292.4027109289964</v>
      </c>
      <c r="BN181" s="150">
        <f t="shared" si="51"/>
        <v>9655.6213040381062</v>
      </c>
      <c r="BO181" s="373">
        <f>IFERROR(Tabla1[[#This Row],[ Re. Gas GC
 '[m3']]]/Tabla1[[#This Row],[G. HGS 
Con Gas '[kWh']]],0)</f>
        <v>0.27222944896115625</v>
      </c>
      <c r="BP181" s="374">
        <f>Tank!Y182</f>
        <v>0</v>
      </c>
      <c r="BQ181" s="70">
        <f>Tank!AP182</f>
        <v>39.299999999999997</v>
      </c>
      <c r="BR181" s="70">
        <f>Tank!V182</f>
        <v>0</v>
      </c>
      <c r="BS181" s="372">
        <f>Tank!T182</f>
        <v>0</v>
      </c>
      <c r="BT181" s="375" t="s">
        <v>228</v>
      </c>
      <c r="BU181" s="451">
        <v>62</v>
      </c>
      <c r="BV181" s="375">
        <f>IF(Tabla1[[#This Row],[Combustible ofertado]]="GAS",Tabla1[[#This Row],[Disponibilidad]],0)</f>
        <v>0</v>
      </c>
      <c r="BW181" s="375">
        <f>IF(Tabla1[[#This Row],[Combustible ofertado]]="DIESEL",Tabla1[[#This Row],[Disponibilidad]],0)</f>
        <v>62</v>
      </c>
      <c r="BX181" s="375">
        <f>IF(Tabla1[[#This Row],[Combustible ofertado]]="HFO",Tabla1[[#This Row],[Disponibilidad]],0)</f>
        <v>0</v>
      </c>
      <c r="BY181" s="456">
        <v>1390</v>
      </c>
      <c r="BZ181" s="446">
        <f>'Horo. M'!C182</f>
        <v>24</v>
      </c>
      <c r="CA181" s="446">
        <f>'Horo. M'!E182</f>
        <v>9</v>
      </c>
      <c r="CB181" s="446">
        <f>'Horo. M'!G182</f>
        <v>24</v>
      </c>
      <c r="CC181" s="446">
        <f>'Horo. M'!I182</f>
        <v>24</v>
      </c>
      <c r="CD181" s="446">
        <f>'Horo. M'!K182</f>
        <v>24</v>
      </c>
      <c r="CE181" s="446">
        <f>'Horo. M'!M182</f>
        <v>0</v>
      </c>
      <c r="CF181" s="446">
        <f>'Horo. M'!O182</f>
        <v>12</v>
      </c>
      <c r="CG181" s="446">
        <f>'Horo. M'!Q182</f>
        <v>24</v>
      </c>
      <c r="CH181" s="446">
        <f>'Horo. M'!S182</f>
        <v>0</v>
      </c>
      <c r="CI181" s="446">
        <f>'Horo. M'!U182</f>
        <v>24</v>
      </c>
      <c r="CJ181" s="70">
        <f>Tabla1[[#This Row],[Con. DO Storage '[gal']]]-Tabla1[[#This Row],[C. DO Storage Ge '[gal']]]</f>
        <v>264.17205235814845</v>
      </c>
      <c r="CK181" s="70"/>
      <c r="CL181" s="70"/>
      <c r="CM181" s="372">
        <f>Tabla1[[#This Row],[Con. DO Total '[gal']]]*131485.5/(1000000)</f>
        <v>245.92234428358833</v>
      </c>
    </row>
    <row r="182" spans="1:91" ht="15" customHeight="1">
      <c r="A182" s="362">
        <v>45107</v>
      </c>
      <c r="B182" s="376" t="str">
        <f>TEXT(Tabla1[[#This Row],[Fecha]],"mmmm")</f>
        <v>junio</v>
      </c>
      <c r="C182" s="429">
        <v>0</v>
      </c>
      <c r="D182" s="430">
        <v>1056</v>
      </c>
      <c r="E182" s="430">
        <v>1056</v>
      </c>
      <c r="F182" s="430">
        <v>1112</v>
      </c>
      <c r="G182" s="431">
        <v>0</v>
      </c>
      <c r="H182" s="431">
        <v>0</v>
      </c>
      <c r="I182" s="432">
        <v>3</v>
      </c>
      <c r="J182" s="432">
        <v>186</v>
      </c>
      <c r="K182" s="430">
        <v>24</v>
      </c>
      <c r="L182" s="430">
        <v>24</v>
      </c>
      <c r="M182" s="365">
        <f>Tabla1[[#This Row],[Columna1]]-Tabla1[[#This Row],[PO '[h']]]</f>
        <v>0</v>
      </c>
      <c r="N182" s="365">
        <f t="shared" si="55"/>
        <v>1298</v>
      </c>
      <c r="O182" s="430">
        <v>1112</v>
      </c>
      <c r="P182" s="367">
        <f>Tabla1[[#This Row],[G. HGS 
'[MWh']]]</f>
        <v>1112</v>
      </c>
      <c r="Q182" s="430">
        <v>0</v>
      </c>
      <c r="R182" s="367">
        <v>0</v>
      </c>
      <c r="S182" s="367">
        <f>Tabla1[[#This Row],[G. HGS 
Con Gas]]*1000</f>
        <v>1112000</v>
      </c>
      <c r="T182" s="365">
        <f>Tabla1[[#This Row],[G. HGS 
'[MWh']]]*1000</f>
        <v>1112000</v>
      </c>
      <c r="U182" s="368">
        <f>SUM('G. Un GE'!B182:Y182)</f>
        <v>1102.2834</v>
      </c>
      <c r="V182" s="369">
        <f>Tabla1[[#This Row],[R. GE
'[MWh']]]</f>
        <v>1102.2834</v>
      </c>
      <c r="W182" s="434">
        <v>0</v>
      </c>
      <c r="X182" s="369">
        <v>0</v>
      </c>
      <c r="Y182" s="365">
        <f>Tabla1[[#This Row],[R. GE
'[MWh']]]*1000</f>
        <v>1102283.4000000001</v>
      </c>
      <c r="Z182" s="434">
        <v>33.94</v>
      </c>
      <c r="AA18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33.94</v>
      </c>
      <c r="AB182" s="371">
        <f>IF(Tabla1[[#This Row],[G. HGS 
'[MWh']]]=0,0,Tabla1[[#This Row],[G. HGS 
'[MWh']]]+Tabla1[[#This Row],[Con. Aux. '[MWh']2]])</f>
        <v>1145.94</v>
      </c>
      <c r="AC182" s="368">
        <f>'C. ENER. TN'!F182</f>
        <v>0</v>
      </c>
      <c r="AD182" s="370">
        <f>'C. ENER. TN'!G182</f>
        <v>1102.2833999999998</v>
      </c>
      <c r="AE182" s="370">
        <f>'G. Un GE'!AX182</f>
        <v>157.46905714285717</v>
      </c>
      <c r="AF182" s="368">
        <f>IFERROR('G. Un GE'!AX182/Tabla1[[#This Row],[PO '[h']]],0)</f>
        <v>6.561210714285715</v>
      </c>
      <c r="AG182" s="365">
        <f>'Ar-Pa'!AX182</f>
        <v>0</v>
      </c>
      <c r="AH182" s="365">
        <f>'Ar-Pa'!AY182</f>
        <v>0</v>
      </c>
      <c r="AI182" s="366">
        <f>SUM('Cal. Arr'!AB185:AY185)</f>
        <v>0</v>
      </c>
      <c r="AJ182" s="442">
        <v>1.5</v>
      </c>
      <c r="AK182" s="443">
        <v>1.6</v>
      </c>
      <c r="AL182" s="267">
        <f t="shared" si="42"/>
        <v>422.67528377303745</v>
      </c>
      <c r="AM182" s="267">
        <f>+CONVERT(AK182+Tabla1[[#This Row],[Con. DO Storage Gen. '[m3']]],"m^3","gal")</f>
        <v>818.93336231026012</v>
      </c>
      <c r="AN182" s="372">
        <f>SUM('DO Pilot'!B182:Y182)</f>
        <v>10.89</v>
      </c>
      <c r="AO182" s="372">
        <f t="shared" si="43"/>
        <v>2876.8336501802364</v>
      </c>
      <c r="AP182" s="267">
        <f>AK182+AN182+Tabla1[[#This Row],[Con. DO Storage Gen. '[m3']]]</f>
        <v>13.99</v>
      </c>
      <c r="AQ182" s="372">
        <f t="shared" si="49"/>
        <v>3695.7670124904967</v>
      </c>
      <c r="AR182" s="443">
        <v>11031</v>
      </c>
      <c r="AS182" s="443">
        <v>0</v>
      </c>
      <c r="AT182" s="267">
        <f>+CONVERT(SUM(Tabla1[[#This Row],[Repo. DO Storage '[gal']]:[Repo. DO Pilot '[gal']]]),"gal","m3")</f>
        <v>41.756877389303995</v>
      </c>
      <c r="AU182" s="442">
        <v>0</v>
      </c>
      <c r="AV182" s="372">
        <f t="shared" si="56"/>
        <v>0</v>
      </c>
      <c r="AW182" s="442">
        <v>0</v>
      </c>
      <c r="AX182" s="372">
        <f t="shared" si="44"/>
        <v>0</v>
      </c>
      <c r="AY182" s="372">
        <f t="shared" si="45"/>
        <v>0.38010367245776749</v>
      </c>
      <c r="AZ182" s="372">
        <f>IFERROR(AL182/'Ar-Pa'!AX182,0)</f>
        <v>0</v>
      </c>
      <c r="BA182" s="372">
        <f>IFERROR(AL182/'Ar-Pa'!AY182,0)</f>
        <v>0</v>
      </c>
      <c r="BB182" s="372">
        <f t="shared" si="46"/>
        <v>2.5870806206656805</v>
      </c>
      <c r="BC182" s="372">
        <f>IFERROR(AVERAGEIF('DO Pilot'!AX182:BU182,"&gt;0"),0)</f>
        <v>17.12400982250141</v>
      </c>
      <c r="BD182" s="446">
        <v>301786</v>
      </c>
      <c r="BE182" s="446">
        <v>10683</v>
      </c>
      <c r="BF182" s="446">
        <v>301415</v>
      </c>
      <c r="BG182" s="223">
        <f>Tabla1[[#This Row],[ Re. Gas GC
 '[m3']]]</f>
        <v>301415</v>
      </c>
      <c r="BH182" s="150">
        <f>IFERROR((BG182*Gas!$B$3)/28.31685,0)</f>
        <v>10603.707499245149</v>
      </c>
      <c r="BI182" s="73">
        <f t="shared" si="57"/>
        <v>-79.292500754851062</v>
      </c>
      <c r="BJ182" s="74">
        <f t="shared" si="50"/>
        <v>-7.4778091304853224E-3</v>
      </c>
      <c r="BK182" s="223">
        <f t="shared" si="47"/>
        <v>9607.0143884892077</v>
      </c>
      <c r="BL182" s="442">
        <v>8480.67</v>
      </c>
      <c r="BM182" s="70">
        <f t="shared" si="48"/>
        <v>9253.2833300566763</v>
      </c>
      <c r="BN182" s="150">
        <f t="shared" si="51"/>
        <v>9619.7652067019681</v>
      </c>
      <c r="BO182" s="373">
        <f>IFERROR(Tabla1[[#This Row],[ Re. Gas GC
 '[m3']]]/Tabla1[[#This Row],[G. HGS 
Con Gas '[kWh']]],0)</f>
        <v>0.271056654676259</v>
      </c>
      <c r="BP182" s="374">
        <f>Tank!Y183</f>
        <v>0</v>
      </c>
      <c r="BQ182" s="70">
        <f>Tank!AP183</f>
        <v>0</v>
      </c>
      <c r="BR182" s="70">
        <f>Tank!V183</f>
        <v>0</v>
      </c>
      <c r="BS182" s="372">
        <f>Tank!T183</f>
        <v>0</v>
      </c>
      <c r="BT182" s="375" t="s">
        <v>228</v>
      </c>
      <c r="BU182" s="452">
        <v>62</v>
      </c>
      <c r="BV182" s="375">
        <f>IF(Tabla1[[#This Row],[Combustible ofertado]]="GAS",Tabla1[[#This Row],[Disponibilidad]],0)</f>
        <v>0</v>
      </c>
      <c r="BW182" s="375">
        <f>IF(Tabla1[[#This Row],[Combustible ofertado]]="DIESEL",Tabla1[[#This Row],[Disponibilidad]],0)</f>
        <v>62</v>
      </c>
      <c r="BX182" s="375">
        <f>IF(Tabla1[[#This Row],[Combustible ofertado]]="HFO",Tabla1[[#This Row],[Disponibilidad]],0)</f>
        <v>0</v>
      </c>
      <c r="BY182" s="452">
        <v>1390</v>
      </c>
      <c r="BZ182" s="446">
        <f>'Horo. M'!C183</f>
        <v>17</v>
      </c>
      <c r="CA182" s="446">
        <f>'Horo. M'!E183</f>
        <v>24</v>
      </c>
      <c r="CB182" s="446">
        <f>'Horo. M'!G183</f>
        <v>16</v>
      </c>
      <c r="CC182" s="446">
        <f>'Horo. M'!I183</f>
        <v>24</v>
      </c>
      <c r="CD182" s="446">
        <f>'Horo. M'!K183</f>
        <v>24</v>
      </c>
      <c r="CE182" s="446">
        <f>'Horo. M'!M183</f>
        <v>0</v>
      </c>
      <c r="CF182" s="446">
        <f>'Horo. M'!O183</f>
        <v>24</v>
      </c>
      <c r="CG182" s="446">
        <f>'Horo. M'!Q183</f>
        <v>24</v>
      </c>
      <c r="CH182" s="446">
        <f>'Horo. M'!S183</f>
        <v>0</v>
      </c>
      <c r="CI182" s="446">
        <f>'Horo. M'!U183</f>
        <v>16</v>
      </c>
      <c r="CJ182" s="70">
        <f>Tabla1[[#This Row],[Con. DO Storage '[gal']]]-Tabla1[[#This Row],[C. DO Storage Ge '[gal']]]</f>
        <v>422.67528377303745</v>
      </c>
      <c r="CK182" s="70"/>
      <c r="CL182" s="70"/>
      <c r="CM182" s="372">
        <f>Tabla1[[#This Row],[Con. DO Total '[gal']]]*131485.5/(1000000)</f>
        <v>485.93977352081919</v>
      </c>
    </row>
    <row r="183" spans="1:91" ht="15" customHeight="1">
      <c r="A183" s="362">
        <v>45108</v>
      </c>
      <c r="B183" s="376" t="str">
        <f>TEXT(Tabla1[[#This Row],[Fecha]],"mmmm")</f>
        <v>julio</v>
      </c>
      <c r="C183" s="429">
        <v>0</v>
      </c>
      <c r="D183" s="430">
        <v>1272</v>
      </c>
      <c r="E183" s="430">
        <v>1272</v>
      </c>
      <c r="F183" s="430">
        <v>1312</v>
      </c>
      <c r="G183" s="431">
        <v>0</v>
      </c>
      <c r="H183" s="431">
        <v>0</v>
      </c>
      <c r="I183" s="432">
        <v>0</v>
      </c>
      <c r="J183" s="432">
        <v>0</v>
      </c>
      <c r="K183" s="430">
        <v>24</v>
      </c>
      <c r="L183" s="430">
        <v>24</v>
      </c>
      <c r="M183" s="365">
        <f>Tabla1[[#This Row],[Columna1]]-Tabla1[[#This Row],[PO '[h']]]</f>
        <v>0</v>
      </c>
      <c r="N183" s="365">
        <f t="shared" si="55"/>
        <v>1312</v>
      </c>
      <c r="O183" s="430">
        <v>1312</v>
      </c>
      <c r="P183" s="367">
        <f>Tabla1[[#This Row],[G. HGS 
'[MWh']]]</f>
        <v>1312</v>
      </c>
      <c r="Q183" s="430">
        <v>0</v>
      </c>
      <c r="R183" s="367">
        <v>0</v>
      </c>
      <c r="S183" s="367">
        <f>Tabla1[[#This Row],[G. HGS 
Con Gas]]*1000</f>
        <v>1312000</v>
      </c>
      <c r="T183" s="365">
        <f>Tabla1[[#This Row],[G. HGS 
'[MWh']]]*1000</f>
        <v>1312000</v>
      </c>
      <c r="U183" s="368">
        <f>SUM('G. Un GE'!B183:Y183)</f>
        <v>1302.3525</v>
      </c>
      <c r="V183" s="369">
        <f>Tabla1[[#This Row],[R. GE
'[MWh']]]</f>
        <v>1302.3525</v>
      </c>
      <c r="W183" s="434">
        <v>0</v>
      </c>
      <c r="X183" s="369">
        <v>0</v>
      </c>
      <c r="Y183" s="365">
        <f>Tabla1[[#This Row],[R. GE
'[MWh']]]*1000</f>
        <v>1302352.5</v>
      </c>
      <c r="Z183" s="434">
        <v>36.619999999999997</v>
      </c>
      <c r="AA18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36.619999999999997</v>
      </c>
      <c r="AB183" s="371">
        <f>IF(Tabla1[[#This Row],[G. HGS 
'[MWh']]]=0,0,Tabla1[[#This Row],[G. HGS 
'[MWh']]]+Tabla1[[#This Row],[Con. Aux. '[MWh']2]])</f>
        <v>1348.62</v>
      </c>
      <c r="AC183" s="368">
        <f>'C. ENER. TN'!F183</f>
        <v>0</v>
      </c>
      <c r="AD183" s="370">
        <f>'C. ENER. TN'!G183</f>
        <v>1302.3524999999997</v>
      </c>
      <c r="AE183" s="370">
        <f>'G. Un GE'!AX183</f>
        <v>162.7940625</v>
      </c>
      <c r="AF183" s="368">
        <f>IFERROR('G. Un GE'!AX183/Tabla1[[#This Row],[PO '[h']]],0)</f>
        <v>6.7830859375000001</v>
      </c>
      <c r="AG183" s="365">
        <f>'Ar-Pa'!AX183</f>
        <v>1</v>
      </c>
      <c r="AH183" s="365">
        <f>'Ar-Pa'!AY183</f>
        <v>0</v>
      </c>
      <c r="AI183" s="366">
        <f>SUM('Cal. Arr'!AB186:AY186)</f>
        <v>0</v>
      </c>
      <c r="AJ183" s="442">
        <v>0</v>
      </c>
      <c r="AK183" s="443">
        <v>1.1000000000000001</v>
      </c>
      <c r="AL183" s="267">
        <f t="shared" si="42"/>
        <v>290.58925759396328</v>
      </c>
      <c r="AM183" s="267">
        <f>+CONVERT(AK183+Tabla1[[#This Row],[Con. DO Storage Gen. '[m3']]],"m^3","gal")</f>
        <v>290.58925759396328</v>
      </c>
      <c r="AN183" s="372">
        <f>SUM('DO Pilot'!B183:Y183)</f>
        <v>7.2399999999999975</v>
      </c>
      <c r="AO183" s="372">
        <f t="shared" si="43"/>
        <v>1912.6056590729938</v>
      </c>
      <c r="AP183" s="267">
        <f>AK183+AN183+Tabla1[[#This Row],[Con. DO Storage Gen. '[m3']]]</f>
        <v>8.3399999999999981</v>
      </c>
      <c r="AQ183" s="372">
        <f t="shared" si="49"/>
        <v>2203.1949166669574</v>
      </c>
      <c r="AR183" s="443">
        <v>0</v>
      </c>
      <c r="AS183" s="443">
        <v>0</v>
      </c>
      <c r="AT183" s="267">
        <f>+CONVERT(SUM(Tabla1[[#This Row],[Repo. DO Storage '[gal']]:[Repo. DO Pilot '[gal']]]),"gal","m3")</f>
        <v>0</v>
      </c>
      <c r="AU183" s="442">
        <v>0</v>
      </c>
      <c r="AV183" s="372">
        <f t="shared" si="56"/>
        <v>0</v>
      </c>
      <c r="AW183" s="442">
        <v>0</v>
      </c>
      <c r="AX183" s="372">
        <f t="shared" si="44"/>
        <v>0</v>
      </c>
      <c r="AY183" s="372">
        <f t="shared" si="45"/>
        <v>0.22148571462954519</v>
      </c>
      <c r="AZ183" s="372">
        <f>IFERROR(AL183/'Ar-Pa'!AX183,0)</f>
        <v>290.58925759396328</v>
      </c>
      <c r="BA183" s="372">
        <f>IFERROR(AL183/'Ar-Pa'!AY183,0)</f>
        <v>0</v>
      </c>
      <c r="BB183" s="372">
        <f t="shared" si="46"/>
        <v>1.4577787035617331</v>
      </c>
      <c r="BC183" s="372">
        <f>IFERROR(AVERAGEIF('DO Pilot'!AX183:BU183,"&gt;0"),0)</f>
        <v>9.9614878076718441</v>
      </c>
      <c r="BD183" s="446">
        <v>355741</v>
      </c>
      <c r="BE183" s="446">
        <v>12593</v>
      </c>
      <c r="BF183" s="446">
        <v>355377</v>
      </c>
      <c r="BG183" s="223">
        <f>Tabla1[[#This Row],[ Re. Gas GC
 '[m3']]]</f>
        <v>355377</v>
      </c>
      <c r="BH183" s="150">
        <f>IFERROR((BG183*Gas!$B$3)/28.31685,0)</f>
        <v>12502.077733222446</v>
      </c>
      <c r="BI183" s="73">
        <f>BH183-BE183</f>
        <v>-90.922266777553887</v>
      </c>
      <c r="BJ183" s="74">
        <f t="shared" si="50"/>
        <v>-7.2725725049638144E-3</v>
      </c>
      <c r="BK183" s="223">
        <f t="shared" si="47"/>
        <v>9598.3231707317063</v>
      </c>
      <c r="BL183" s="442">
        <v>8418.8799999999992</v>
      </c>
      <c r="BM183" s="70">
        <f t="shared" si="48"/>
        <v>9270.2746016093824</v>
      </c>
      <c r="BN183" s="150">
        <f t="shared" si="51"/>
        <v>9599.6112674736269</v>
      </c>
      <c r="BO183" s="373">
        <f>IFERROR(Tabla1[[#This Row],[ Re. Gas GC
 '[m3']]]/Tabla1[[#This Row],[G. HGS 
Con Gas '[kWh']]],0)</f>
        <v>0.27086661585365851</v>
      </c>
      <c r="BP183" s="374">
        <f>Tank!Y184</f>
        <v>0</v>
      </c>
      <c r="BQ183" s="70">
        <f>Tank!AP184</f>
        <v>0</v>
      </c>
      <c r="BR183" s="70">
        <f>Tank!V184</f>
        <v>0</v>
      </c>
      <c r="BS183" s="372">
        <f>Tank!T184</f>
        <v>0</v>
      </c>
      <c r="BT183" s="375" t="s">
        <v>228</v>
      </c>
      <c r="BU183" s="452">
        <v>71</v>
      </c>
      <c r="BV183" s="375">
        <f>IF(Tabla1[[#This Row],[Combustible ofertado]]="GAS",Tabla1[[#This Row],[Disponibilidad]],0)</f>
        <v>0</v>
      </c>
      <c r="BW183" s="375">
        <f>IF(Tabla1[[#This Row],[Combustible ofertado]]="DIESEL",Tabla1[[#This Row],[Disponibilidad]],0)</f>
        <v>71</v>
      </c>
      <c r="BX183" s="375">
        <f>IF(Tabla1[[#This Row],[Combustible ofertado]]="HFO",Tabla1[[#This Row],[Disponibilidad]],0)</f>
        <v>0</v>
      </c>
      <c r="BY183" s="452">
        <v>1340</v>
      </c>
      <c r="BZ183" s="446">
        <f>'Horo. M'!C184</f>
        <v>24</v>
      </c>
      <c r="CA183" s="446">
        <f>'Horo. M'!E184</f>
        <v>24</v>
      </c>
      <c r="CB183" s="446">
        <f>'Horo. M'!G184</f>
        <v>24</v>
      </c>
      <c r="CC183" s="446">
        <f>'Horo. M'!I184</f>
        <v>24</v>
      </c>
      <c r="CD183" s="446">
        <f>'Horo. M'!K184</f>
        <v>24</v>
      </c>
      <c r="CE183" s="446">
        <f>'Horo. M'!M184</f>
        <v>0</v>
      </c>
      <c r="CF183" s="446">
        <f>'Horo. M'!O184</f>
        <v>24</v>
      </c>
      <c r="CG183" s="446">
        <f>'Horo. M'!Q184</f>
        <v>24</v>
      </c>
      <c r="CH183" s="446">
        <f>'Horo. M'!S184</f>
        <v>0</v>
      </c>
      <c r="CI183" s="446">
        <f>'Horo. M'!U184</f>
        <v>24</v>
      </c>
      <c r="CJ183" s="70">
        <f>Tabla1[[#This Row],[Con. DO Storage '[gal']]]-Tabla1[[#This Row],[C. DO Storage Ge '[gal']]]</f>
        <v>290.58925759396328</v>
      </c>
      <c r="CK183" s="70"/>
      <c r="CL183" s="70"/>
      <c r="CM183" s="372">
        <f>Tabla1[[#This Row],[Con. DO Total '[gal']]]*131485.5/(1000000)</f>
        <v>289.68818521541323</v>
      </c>
    </row>
    <row r="184" spans="1:91" ht="15" customHeight="1">
      <c r="A184" s="362">
        <v>45109</v>
      </c>
      <c r="B184" s="363" t="str">
        <f>TEXT(Tabla1[[#This Row],[Fecha]],"mmmm")</f>
        <v>julio</v>
      </c>
      <c r="C184" s="429">
        <v>0</v>
      </c>
      <c r="D184" s="430">
        <v>1272</v>
      </c>
      <c r="E184" s="430">
        <v>1272</v>
      </c>
      <c r="F184" s="430">
        <v>1327</v>
      </c>
      <c r="G184" s="431">
        <v>0</v>
      </c>
      <c r="H184" s="431">
        <v>0</v>
      </c>
      <c r="I184" s="432">
        <v>0</v>
      </c>
      <c r="J184" s="432">
        <v>0</v>
      </c>
      <c r="K184" s="430">
        <v>24</v>
      </c>
      <c r="L184" s="430">
        <v>24</v>
      </c>
      <c r="M184" s="365">
        <f>Tabla1[[#This Row],[Columna1]]-Tabla1[[#This Row],[PO '[h']]]</f>
        <v>0</v>
      </c>
      <c r="N184" s="365">
        <f>F184+H184+J184</f>
        <v>1327</v>
      </c>
      <c r="O184" s="430">
        <v>1327</v>
      </c>
      <c r="P184" s="367">
        <f>Tabla1[[#This Row],[G. HGS 
'[MWh']]]</f>
        <v>1327</v>
      </c>
      <c r="Q184" s="430">
        <v>0</v>
      </c>
      <c r="R184" s="367">
        <v>0</v>
      </c>
      <c r="S184" s="367">
        <f>Tabla1[[#This Row],[G. HGS 
Con Gas]]*1000</f>
        <v>1327000</v>
      </c>
      <c r="T184" s="365">
        <f>Tabla1[[#This Row],[G. HGS 
'[MWh']]]*1000</f>
        <v>1327000</v>
      </c>
      <c r="U184" s="368">
        <f>SUM('G. Un GE'!B184:Y184)</f>
        <v>1315.6572000000001</v>
      </c>
      <c r="V184" s="369">
        <f>Tabla1[[#This Row],[R. GE
'[MWh']]]</f>
        <v>1315.6572000000001</v>
      </c>
      <c r="W184" s="434">
        <v>0</v>
      </c>
      <c r="X184" s="369">
        <v>0</v>
      </c>
      <c r="Y184" s="365">
        <f>Tabla1[[#This Row],[R. GE
'[MWh']]]*1000</f>
        <v>1315657.2000000002</v>
      </c>
      <c r="Z184" s="434">
        <v>36.22</v>
      </c>
      <c r="AA18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36.22</v>
      </c>
      <c r="AB184" s="371">
        <f>IF(Tabla1[[#This Row],[G. HGS 
'[MWh']]]=0,0,Tabla1[[#This Row],[G. HGS 
'[MWh']]]+Tabla1[[#This Row],[Con. Aux. '[MWh']2]])</f>
        <v>1363.22</v>
      </c>
      <c r="AC184" s="368">
        <f>'C. ENER. TN'!F184</f>
        <v>0</v>
      </c>
      <c r="AD184" s="370">
        <f>'C. ENER. TN'!G184</f>
        <v>1315.6571999999999</v>
      </c>
      <c r="AE184" s="370">
        <f>'G. Un GE'!AX184</f>
        <v>164.45715000000001</v>
      </c>
      <c r="AF184" s="368">
        <f>IFERROR('G. Un GE'!AX184/Tabla1[[#This Row],[PO '[h']]],0)</f>
        <v>6.8523812500000005</v>
      </c>
      <c r="AG184" s="365">
        <f>'Ar-Pa'!AX184</f>
        <v>0</v>
      </c>
      <c r="AH184" s="365">
        <f>'Ar-Pa'!AY184</f>
        <v>0</v>
      </c>
      <c r="AI184" s="366">
        <f>SUM('Cal. Arr'!AB187:AY187)</f>
        <v>0</v>
      </c>
      <c r="AJ184" s="442">
        <v>0</v>
      </c>
      <c r="AK184" s="443">
        <v>2.5</v>
      </c>
      <c r="AL184" s="267">
        <f t="shared" si="42"/>
        <v>660.43013089537101</v>
      </c>
      <c r="AM184" s="267">
        <f>+CONVERT(AK184+Tabla1[[#This Row],[Con. DO Storage Gen. '[m3']]],"m^3","gal")</f>
        <v>660.43013089537101</v>
      </c>
      <c r="AN184" s="372">
        <f>SUM('DO Pilot'!B184:Y184)</f>
        <v>8.2299999999999986</v>
      </c>
      <c r="AO184" s="372">
        <f t="shared" si="43"/>
        <v>2174.1359909075609</v>
      </c>
      <c r="AP184" s="267">
        <f>AK184+AN184+Tabla1[[#This Row],[Con. DO Storage Gen. '[m3']]]</f>
        <v>10.729999999999999</v>
      </c>
      <c r="AQ184" s="372">
        <f t="shared" si="49"/>
        <v>2834.5661218029322</v>
      </c>
      <c r="AR184" s="443">
        <v>0</v>
      </c>
      <c r="AS184" s="443">
        <v>0</v>
      </c>
      <c r="AT184" s="267">
        <f>+CONVERT(SUM(Tabla1[[#This Row],[Repo. DO Storage '[gal']]:[Repo. DO Pilot '[gal']]]),"gal","m3")</f>
        <v>0</v>
      </c>
      <c r="AU184" s="442">
        <v>0</v>
      </c>
      <c r="AV184" s="372">
        <f>+CONVERT(AU184,"m^3","gal")</f>
        <v>0</v>
      </c>
      <c r="AW184" s="442">
        <v>0</v>
      </c>
      <c r="AX184" s="372">
        <f t="shared" si="44"/>
        <v>0</v>
      </c>
      <c r="AY184" s="372">
        <f t="shared" si="45"/>
        <v>0.49768660956697136</v>
      </c>
      <c r="AZ184" s="372">
        <f>IFERROR(AL184/'Ar-Pa'!AX184,0)</f>
        <v>0</v>
      </c>
      <c r="BA184" s="372">
        <f>IFERROR(AL184/'Ar-Pa'!AY184,0)</f>
        <v>0</v>
      </c>
      <c r="BB184" s="372">
        <f t="shared" si="46"/>
        <v>1.6383843186944693</v>
      </c>
      <c r="BC184" s="372">
        <f>IFERROR(AVERAGEIF('DO Pilot'!AX184:BU184,"&gt;0"),0)</f>
        <v>11.323624952643549</v>
      </c>
      <c r="BD184" s="446">
        <v>359541</v>
      </c>
      <c r="BE184" s="446">
        <v>12727</v>
      </c>
      <c r="BF184" s="446">
        <v>359139</v>
      </c>
      <c r="BG184" s="223">
        <f>Tabla1[[#This Row],[ Re. Gas GC
 '[m3']]]</f>
        <v>359139</v>
      </c>
      <c r="BH184" s="150">
        <f>IFERROR((BG184*Gas!$B$3)/28.31685,0)</f>
        <v>12634.423992075388</v>
      </c>
      <c r="BI184" s="73">
        <f>BH184-BE184</f>
        <v>-92.576007924611986</v>
      </c>
      <c r="BJ184" s="74">
        <f t="shared" si="50"/>
        <v>-7.3272836167820442E-3</v>
      </c>
      <c r="BK184" s="223">
        <f t="shared" si="47"/>
        <v>9590.8063300678223</v>
      </c>
      <c r="BL184" s="442">
        <v>0</v>
      </c>
      <c r="BM184" s="70">
        <f t="shared" si="48"/>
        <v>9268.0741128177306</v>
      </c>
      <c r="BN184" s="150">
        <f t="shared" si="51"/>
        <v>9603.1276171903955</v>
      </c>
      <c r="BO184" s="373">
        <f>IFERROR(Tabla1[[#This Row],[ Re. Gas GC
 '[m3']]]/Tabla1[[#This Row],[G. HGS 
Con Gas '[kWh']]],0)</f>
        <v>0.27063978899773927</v>
      </c>
      <c r="BP184" s="374">
        <f>Tank!Y185</f>
        <v>0</v>
      </c>
      <c r="BQ184" s="70">
        <f>Tank!AP185</f>
        <v>0</v>
      </c>
      <c r="BR184" s="70">
        <f>Tank!V185</f>
        <v>0</v>
      </c>
      <c r="BS184" s="372">
        <f>Tank!T185</f>
        <v>0</v>
      </c>
      <c r="BT184" s="375" t="s">
        <v>228</v>
      </c>
      <c r="BU184" s="452">
        <v>71</v>
      </c>
      <c r="BV184" s="375">
        <f>IF(Tabla1[[#This Row],[Combustible ofertado]]="GAS",Tabla1[[#This Row],[Disponibilidad]],0)</f>
        <v>0</v>
      </c>
      <c r="BW184" s="375">
        <f>IF(Tabla1[[#This Row],[Combustible ofertado]]="DIESEL",Tabla1[[#This Row],[Disponibilidad]],0)</f>
        <v>71</v>
      </c>
      <c r="BX184" s="375">
        <f>IF(Tabla1[[#This Row],[Combustible ofertado]]="HFO",Tabla1[[#This Row],[Disponibilidad]],0)</f>
        <v>0</v>
      </c>
      <c r="BY184" s="452">
        <v>1340</v>
      </c>
      <c r="BZ184" s="446">
        <f>'Horo. M'!C185</f>
        <v>24</v>
      </c>
      <c r="CA184" s="446">
        <f>'Horo. M'!E185</f>
        <v>24</v>
      </c>
      <c r="CB184" s="446">
        <f>'Horo. M'!G185</f>
        <v>24</v>
      </c>
      <c r="CC184" s="446">
        <f>'Horo. M'!I185</f>
        <v>24</v>
      </c>
      <c r="CD184" s="446">
        <f>'Horo. M'!K185</f>
        <v>24</v>
      </c>
      <c r="CE184" s="446">
        <f>'Horo. M'!M185</f>
        <v>0</v>
      </c>
      <c r="CF184" s="446">
        <f>'Horo. M'!O185</f>
        <v>24</v>
      </c>
      <c r="CG184" s="446">
        <f>'Horo. M'!Q185</f>
        <v>24</v>
      </c>
      <c r="CH184" s="446">
        <f>'Horo. M'!S185</f>
        <v>0</v>
      </c>
      <c r="CI184" s="446">
        <f>'Horo. M'!U185</f>
        <v>24</v>
      </c>
      <c r="CJ184" s="70">
        <f>Tabla1[[#This Row],[Con. DO Storage '[gal']]]-Tabla1[[#This Row],[C. DO Storage Ge '[gal']]]</f>
        <v>660.43013089537101</v>
      </c>
      <c r="CK184" s="70"/>
      <c r="CL184" s="70"/>
      <c r="CM184" s="372">
        <f>Tabla1[[#This Row],[Con. DO Total '[gal']]]*131485.5/(1000000)</f>
        <v>372.70434380831944</v>
      </c>
    </row>
    <row r="185" spans="1:91" ht="15" customHeight="1">
      <c r="A185" s="362">
        <v>45110</v>
      </c>
      <c r="B185" s="363" t="str">
        <f>TEXT(Tabla1[[#This Row],[Fecha]],"mmmm")</f>
        <v>julio</v>
      </c>
      <c r="C185" s="429">
        <v>0</v>
      </c>
      <c r="D185" s="430">
        <v>1272</v>
      </c>
      <c r="E185" s="430">
        <v>1272</v>
      </c>
      <c r="F185" s="430">
        <v>1313</v>
      </c>
      <c r="G185" s="431">
        <v>0</v>
      </c>
      <c r="H185" s="431">
        <v>0</v>
      </c>
      <c r="I185" s="432">
        <v>0</v>
      </c>
      <c r="J185" s="432">
        <v>0</v>
      </c>
      <c r="K185" s="430">
        <v>24</v>
      </c>
      <c r="L185" s="430">
        <v>24</v>
      </c>
      <c r="M185" s="365">
        <f>Tabla1[[#This Row],[Columna1]]-Tabla1[[#This Row],[PO '[h']]]</f>
        <v>0</v>
      </c>
      <c r="N185" s="365">
        <f>F185+H185+J185</f>
        <v>1313</v>
      </c>
      <c r="O185" s="430">
        <v>1313</v>
      </c>
      <c r="P185" s="367">
        <f>Tabla1[[#This Row],[G. HGS 
'[MWh']]]</f>
        <v>1313</v>
      </c>
      <c r="Q185" s="430">
        <v>0</v>
      </c>
      <c r="R185" s="367">
        <v>0</v>
      </c>
      <c r="S185" s="367">
        <f>Tabla1[[#This Row],[G. HGS 
Con Gas]]*1000</f>
        <v>1313000</v>
      </c>
      <c r="T185" s="365">
        <f>Tabla1[[#This Row],[G. HGS 
'[MWh']]]*1000</f>
        <v>1313000</v>
      </c>
      <c r="U185" s="368">
        <f>SUM('G. Un GE'!B185:Y185)</f>
        <v>1301.2222000000004</v>
      </c>
      <c r="V185" s="369">
        <f>Tabla1[[#This Row],[R. GE
'[MWh']]]</f>
        <v>1301.2222000000004</v>
      </c>
      <c r="W185" s="434">
        <v>0</v>
      </c>
      <c r="X185" s="369">
        <v>0</v>
      </c>
      <c r="Y185" s="365">
        <f>Tabla1[[#This Row],[R. GE
'[MWh']]]*1000</f>
        <v>1301222.2000000004</v>
      </c>
      <c r="Z185" s="434">
        <v>35.72</v>
      </c>
      <c r="AA18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35.72</v>
      </c>
      <c r="AB185" s="371">
        <f>IF(Tabla1[[#This Row],[G. HGS 
'[MWh']]]=0,0,Tabla1[[#This Row],[G. HGS 
'[MWh']]]+Tabla1[[#This Row],[Con. Aux. '[MWh']2]])</f>
        <v>1348.72</v>
      </c>
      <c r="AC185" s="368">
        <f>'C. ENER. TN'!F185</f>
        <v>0</v>
      </c>
      <c r="AD185" s="370">
        <f>'C. ENER. TN'!G185</f>
        <v>1301.2222000000004</v>
      </c>
      <c r="AE185" s="370">
        <f>'G. Un GE'!AX185</f>
        <v>162.65277500000005</v>
      </c>
      <c r="AF185" s="368">
        <f>IFERROR('G. Un GE'!AX185/Tabla1[[#This Row],[PO '[h']]],0)</f>
        <v>6.7771989583333356</v>
      </c>
      <c r="AG185" s="365">
        <f>'Ar-Pa'!AX185</f>
        <v>0</v>
      </c>
      <c r="AH185" s="365">
        <f>'Ar-Pa'!AY185</f>
        <v>0</v>
      </c>
      <c r="AI185" s="366">
        <f>SUM('Cal. Arr'!AB188:AY188)</f>
        <v>0</v>
      </c>
      <c r="AJ185" s="442">
        <v>0</v>
      </c>
      <c r="AK185" s="443">
        <v>1.3</v>
      </c>
      <c r="AL185" s="267">
        <f t="shared" si="42"/>
        <v>343.42366806559295</v>
      </c>
      <c r="AM185" s="267">
        <f>+CONVERT(AK185+Tabla1[[#This Row],[Con. DO Storage Gen. '[m3']]],"m^3","gal")</f>
        <v>343.42366806559295</v>
      </c>
      <c r="AN185" s="372">
        <f>SUM('DO Pilot'!B185:Y185)</f>
        <v>6.5699999999999994</v>
      </c>
      <c r="AO185" s="372">
        <f t="shared" si="43"/>
        <v>1735.6103839930349</v>
      </c>
      <c r="AP185" s="267">
        <f>AK185+AN185+Tabla1[[#This Row],[Con. DO Storage Gen. '[m3']]]</f>
        <v>7.8699999999999992</v>
      </c>
      <c r="AQ185" s="372">
        <f t="shared" si="49"/>
        <v>2079.0340520586278</v>
      </c>
      <c r="AR185" s="443">
        <v>0</v>
      </c>
      <c r="AS185" s="443">
        <v>0</v>
      </c>
      <c r="AT185" s="267">
        <f>+CONVERT(SUM(Tabla1[[#This Row],[Repo. DO Storage '[gal']]:[Repo. DO Pilot '[gal']]]),"gal","m3")</f>
        <v>0</v>
      </c>
      <c r="AU185" s="442">
        <v>0</v>
      </c>
      <c r="AV185" s="372">
        <f>+CONVERT(AU185,"m^3","gal")</f>
        <v>0</v>
      </c>
      <c r="AW185" s="442">
        <v>0</v>
      </c>
      <c r="AX185" s="372">
        <f t="shared" si="44"/>
        <v>0</v>
      </c>
      <c r="AY185" s="372">
        <f t="shared" si="45"/>
        <v>0.26155648748331528</v>
      </c>
      <c r="AZ185" s="372">
        <f>IFERROR(AL185/'Ar-Pa'!AX185,0)</f>
        <v>0</v>
      </c>
      <c r="BA185" s="372">
        <f>IFERROR(AL185/'Ar-Pa'!AY185,0)</f>
        <v>0</v>
      </c>
      <c r="BB185" s="372">
        <f t="shared" si="46"/>
        <v>1.3218662482810624</v>
      </c>
      <c r="BC185" s="372">
        <f>IFERROR(AVERAGEIF('DO Pilot'!AX185:BU185,"&gt;0"),0)</f>
        <v>9.0396374166303914</v>
      </c>
      <c r="BD185" s="446">
        <v>356035</v>
      </c>
      <c r="BE185" s="446">
        <v>12603</v>
      </c>
      <c r="BF185" s="446">
        <v>355758</v>
      </c>
      <c r="BG185" s="223">
        <f>Tabla1[[#This Row],[ Re. Gas GC
 '[m3']]]</f>
        <v>355758</v>
      </c>
      <c r="BH185" s="150">
        <f>IFERROR((BG185*Gas!$B$3)/28.31685,0)</f>
        <v>12515.481221957951</v>
      </c>
      <c r="BI185" s="73">
        <f>BH185-BE185</f>
        <v>-87.518778042049235</v>
      </c>
      <c r="BJ185" s="74">
        <f t="shared" si="50"/>
        <v>-6.9928416246992373E-3</v>
      </c>
      <c r="BK185" s="223">
        <f t="shared" si="47"/>
        <v>9598.6290936785972</v>
      </c>
      <c r="BL185" s="442">
        <v>0</v>
      </c>
      <c r="BM185" s="70">
        <f t="shared" si="48"/>
        <v>9279.5251957099699</v>
      </c>
      <c r="BN185" s="150">
        <f t="shared" si="51"/>
        <v>9618.250612353484</v>
      </c>
      <c r="BO185" s="373">
        <f>IFERROR(Tabla1[[#This Row],[ Re. Gas GC
 '[m3']]]/Tabla1[[#This Row],[G. HGS 
Con Gas '[kWh']]],0)</f>
        <v>0.27095049504950497</v>
      </c>
      <c r="BP185" s="374">
        <f>Tank!Y186</f>
        <v>0</v>
      </c>
      <c r="BQ185" s="70">
        <f>Tank!AP186</f>
        <v>0</v>
      </c>
      <c r="BR185" s="70">
        <f>Tank!V186</f>
        <v>0</v>
      </c>
      <c r="BS185" s="372">
        <f>Tank!T186</f>
        <v>0</v>
      </c>
      <c r="BT185" s="375" t="s">
        <v>228</v>
      </c>
      <c r="BU185" s="452">
        <v>71</v>
      </c>
      <c r="BV185" s="375">
        <f>IF(Tabla1[[#This Row],[Combustible ofertado]]="GAS",Tabla1[[#This Row],[Disponibilidad]],0)</f>
        <v>0</v>
      </c>
      <c r="BW185" s="375">
        <f>IF(Tabla1[[#This Row],[Combustible ofertado]]="DIESEL",Tabla1[[#This Row],[Disponibilidad]],0)</f>
        <v>71</v>
      </c>
      <c r="BX185" s="375">
        <f>IF(Tabla1[[#This Row],[Combustible ofertado]]="HFO",Tabla1[[#This Row],[Disponibilidad]],0)</f>
        <v>0</v>
      </c>
      <c r="BY185" s="452">
        <v>1340</v>
      </c>
      <c r="BZ185" s="446">
        <f>'Horo. M'!C186</f>
        <v>24</v>
      </c>
      <c r="CA185" s="446">
        <f>'Horo. M'!E186</f>
        <v>24</v>
      </c>
      <c r="CB185" s="446">
        <f>'Horo. M'!G186</f>
        <v>24</v>
      </c>
      <c r="CC185" s="446">
        <f>'Horo. M'!I186</f>
        <v>72</v>
      </c>
      <c r="CD185" s="446">
        <f>'Horo. M'!K186</f>
        <v>24</v>
      </c>
      <c r="CE185" s="446">
        <f>'Horo. M'!M186</f>
        <v>0</v>
      </c>
      <c r="CF185" s="446">
        <f>'Horo. M'!O186</f>
        <v>24</v>
      </c>
      <c r="CG185" s="446">
        <f>'Horo. M'!Q186</f>
        <v>24</v>
      </c>
      <c r="CH185" s="446">
        <f>'Horo. M'!S186</f>
        <v>0</v>
      </c>
      <c r="CI185" s="446">
        <f>'Horo. M'!U186</f>
        <v>24</v>
      </c>
      <c r="CJ185" s="70">
        <f>Tabla1[[#This Row],[Con. DO Storage '[gal']]]-Tabla1[[#This Row],[C. DO Storage Ge '[gal']]]</f>
        <v>343.42366806559295</v>
      </c>
      <c r="CK185" s="70"/>
      <c r="CL185" s="70"/>
      <c r="CM185" s="372">
        <f>Tabla1[[#This Row],[Con. DO Total '[gal']]]*131485.5/(1000000)</f>
        <v>273.3628318519547</v>
      </c>
    </row>
    <row r="186" spans="1:91" ht="15" customHeight="1">
      <c r="A186" s="362">
        <v>45111</v>
      </c>
      <c r="B186" s="363" t="str">
        <f>TEXT(Tabla1[[#This Row],[Fecha]],"mmmm")</f>
        <v>julio</v>
      </c>
      <c r="C186" s="429">
        <v>0</v>
      </c>
      <c r="D186" s="430">
        <v>1272</v>
      </c>
      <c r="E186" s="430">
        <v>1272</v>
      </c>
      <c r="F186" s="430">
        <v>1319</v>
      </c>
      <c r="G186" s="431">
        <v>0</v>
      </c>
      <c r="H186" s="431">
        <v>0</v>
      </c>
      <c r="I186" s="432">
        <v>0</v>
      </c>
      <c r="J186" s="432">
        <v>0</v>
      </c>
      <c r="K186" s="430">
        <v>24</v>
      </c>
      <c r="L186" s="430">
        <v>24</v>
      </c>
      <c r="M186" s="365">
        <f>Tabla1[[#This Row],[Columna1]]-Tabla1[[#This Row],[PO '[h']]]</f>
        <v>0</v>
      </c>
      <c r="N186" s="365">
        <f t="shared" ref="N186:N214" si="58">F186+H186+J186</f>
        <v>1319</v>
      </c>
      <c r="O186" s="430">
        <v>1319</v>
      </c>
      <c r="P186" s="367">
        <f>Tabla1[[#This Row],[G. HGS 
'[MWh']]]</f>
        <v>1319</v>
      </c>
      <c r="Q186" s="430">
        <v>0</v>
      </c>
      <c r="R186" s="367">
        <v>0</v>
      </c>
      <c r="S186" s="367">
        <f>Tabla1[[#This Row],[G. HGS 
Con Gas]]*1000</f>
        <v>1319000</v>
      </c>
      <c r="T186" s="365">
        <f>Tabla1[[#This Row],[G. HGS 
'[MWh']]]*1000</f>
        <v>1319000</v>
      </c>
      <c r="U186" s="368">
        <f>SUM('G. Un GE'!B186:Y186)</f>
        <v>1309.1827999999996</v>
      </c>
      <c r="V186" s="369">
        <f>Tabla1[[#This Row],[R. GE
'[MWh']]]</f>
        <v>1309.1827999999996</v>
      </c>
      <c r="W186" s="434">
        <v>0</v>
      </c>
      <c r="X186" s="369">
        <v>0</v>
      </c>
      <c r="Y186" s="365">
        <f>Tabla1[[#This Row],[R. GE
'[MWh']]]*1000</f>
        <v>1309182.7999999996</v>
      </c>
      <c r="Z186" s="434">
        <v>36.32</v>
      </c>
      <c r="AA18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36.32</v>
      </c>
      <c r="AB186" s="371">
        <f>IF(Tabla1[[#This Row],[G. HGS 
'[MWh']]]=0,0,Tabla1[[#This Row],[G. HGS 
'[MWh']]]+Tabla1[[#This Row],[Con. Aux. '[MWh']2]])</f>
        <v>1355.32</v>
      </c>
      <c r="AC186" s="368">
        <f>'C. ENER. TN'!F186</f>
        <v>0</v>
      </c>
      <c r="AD186" s="370">
        <f>'C. ENER. TN'!G186</f>
        <v>1309.1828</v>
      </c>
      <c r="AE186" s="370">
        <f>'G. Un GE'!AX186</f>
        <v>163.64784999999995</v>
      </c>
      <c r="AF186" s="368">
        <f>IFERROR('G. Un GE'!AX186/Tabla1[[#This Row],[PO '[h']]],0)</f>
        <v>6.8186604166666642</v>
      </c>
      <c r="AG186" s="365">
        <f>'Ar-Pa'!AX186</f>
        <v>0</v>
      </c>
      <c r="AH186" s="365">
        <f>'Ar-Pa'!AY186</f>
        <v>0</v>
      </c>
      <c r="AI186" s="366">
        <f>SUM('Cal. Arr'!AB189:AY189)</f>
        <v>0</v>
      </c>
      <c r="AJ186" s="442">
        <v>0</v>
      </c>
      <c r="AK186" s="443">
        <v>0</v>
      </c>
      <c r="AL186" s="267">
        <f t="shared" si="42"/>
        <v>0</v>
      </c>
      <c r="AM186" s="267">
        <f>+CONVERT(AK186+Tabla1[[#This Row],[Con. DO Storage Gen. '[m3']]],"m^3","gal")</f>
        <v>0</v>
      </c>
      <c r="AN186" s="372">
        <f>SUM('DO Pilot'!B186:Y186)</f>
        <v>6.8200000000000029</v>
      </c>
      <c r="AO186" s="372">
        <f t="shared" si="43"/>
        <v>1801.6533970825731</v>
      </c>
      <c r="AP186" s="267">
        <f>AK186+AN186+Tabla1[[#This Row],[Con. DO Storage Gen. '[m3']]]</f>
        <v>6.8200000000000029</v>
      </c>
      <c r="AQ186" s="372">
        <f t="shared" si="49"/>
        <v>1801.6533970825731</v>
      </c>
      <c r="AR186" s="443">
        <v>0</v>
      </c>
      <c r="AS186" s="443">
        <v>0</v>
      </c>
      <c r="AT186" s="267">
        <f>+CONVERT(SUM(Tabla1[[#This Row],[Repo. DO Storage '[gal']]:[Repo. DO Pilot '[gal']]]),"gal","m3")</f>
        <v>0</v>
      </c>
      <c r="AU186" s="442">
        <v>0</v>
      </c>
      <c r="AV186" s="372">
        <f t="shared" ref="AV186:AV214" si="59">+CONVERT(AU186,"m^3","gal")</f>
        <v>0</v>
      </c>
      <c r="AW186" s="442">
        <v>0</v>
      </c>
      <c r="AX186" s="372">
        <f t="shared" si="44"/>
        <v>0</v>
      </c>
      <c r="AY186" s="372">
        <f t="shared" si="45"/>
        <v>0</v>
      </c>
      <c r="AZ186" s="372">
        <f>IFERROR(AL186/'Ar-Pa'!AX186,0)</f>
        <v>0</v>
      </c>
      <c r="BA186" s="372">
        <f>IFERROR(AL186/'Ar-Pa'!AY186,0)</f>
        <v>0</v>
      </c>
      <c r="BB186" s="372">
        <f t="shared" si="46"/>
        <v>1.365923727886712</v>
      </c>
      <c r="BC186" s="372">
        <f>IFERROR(AVERAGEIF('DO Pilot'!AX186:BU186,"&gt;0"),0)</f>
        <v>9.3836114431384008</v>
      </c>
      <c r="BD186" s="446">
        <v>358132</v>
      </c>
      <c r="BE186" s="446">
        <v>12677</v>
      </c>
      <c r="BF186" s="446">
        <v>357669</v>
      </c>
      <c r="BG186" s="223">
        <f>Tabla1[[#This Row],[ Re. Gas GC
 '[m3']]]</f>
        <v>357669</v>
      </c>
      <c r="BH186" s="150">
        <f>IFERROR((BG186*Gas!$B$3)/28.31685,0)</f>
        <v>12582.709744198242</v>
      </c>
      <c r="BI186" s="73">
        <f t="shared" ref="BI186:BI214" si="60">BH186-BE186</f>
        <v>-94.290255801757667</v>
      </c>
      <c r="BJ186" s="74">
        <f t="shared" si="50"/>
        <v>-7.4936367220291263E-3</v>
      </c>
      <c r="BK186" s="223">
        <f t="shared" si="47"/>
        <v>9611.0689916603478</v>
      </c>
      <c r="BL186" s="442">
        <v>0</v>
      </c>
      <c r="BM186" s="70">
        <f t="shared" si="48"/>
        <v>9283.9401353172998</v>
      </c>
      <c r="BN186" s="150">
        <f t="shared" si="51"/>
        <v>9611.1175186522814</v>
      </c>
      <c r="BO186" s="373">
        <f>IFERROR(Tabla1[[#This Row],[ Re. Gas GC
 '[m3']]]/Tabla1[[#This Row],[G. HGS 
Con Gas '[kWh']]],0)</f>
        <v>0.27116679302501895</v>
      </c>
      <c r="BP186" s="374">
        <f>Tank!Y187</f>
        <v>0</v>
      </c>
      <c r="BQ186" s="70">
        <f>Tank!AP187</f>
        <v>0</v>
      </c>
      <c r="BR186" s="70">
        <f>Tank!V187</f>
        <v>0</v>
      </c>
      <c r="BS186" s="372">
        <f>Tank!T187</f>
        <v>0</v>
      </c>
      <c r="BT186" s="375" t="s">
        <v>228</v>
      </c>
      <c r="BU186" s="452">
        <v>71</v>
      </c>
      <c r="BV186" s="375">
        <f>IF(Tabla1[[#This Row],[Combustible ofertado]]="GAS",Tabla1[[#This Row],[Disponibilidad]],0)</f>
        <v>0</v>
      </c>
      <c r="BW186" s="375">
        <f>IF(Tabla1[[#This Row],[Combustible ofertado]]="DIESEL",Tabla1[[#This Row],[Disponibilidad]],0)</f>
        <v>71</v>
      </c>
      <c r="BX186" s="375">
        <f>IF(Tabla1[[#This Row],[Combustible ofertado]]="HFO",Tabla1[[#This Row],[Disponibilidad]],0)</f>
        <v>0</v>
      </c>
      <c r="BY186" s="452">
        <v>1340</v>
      </c>
      <c r="BZ186" s="446">
        <f>'Horo. M'!C187</f>
        <v>24</v>
      </c>
      <c r="CA186" s="446">
        <f>'Horo. M'!E187</f>
        <v>24</v>
      </c>
      <c r="CB186" s="446">
        <f>'Horo. M'!G187</f>
        <v>24</v>
      </c>
      <c r="CC186" s="446">
        <f>'Horo. M'!I187</f>
        <v>0</v>
      </c>
      <c r="CD186" s="446">
        <f>'Horo. M'!K187</f>
        <v>24</v>
      </c>
      <c r="CE186" s="446">
        <f>'Horo. M'!M187</f>
        <v>0</v>
      </c>
      <c r="CF186" s="446">
        <f>'Horo. M'!O187</f>
        <v>24</v>
      </c>
      <c r="CG186" s="446">
        <f>'Horo. M'!Q187</f>
        <v>24</v>
      </c>
      <c r="CH186" s="446">
        <f>'Horo. M'!S187</f>
        <v>0</v>
      </c>
      <c r="CI186" s="446">
        <f>'Horo. M'!U187</f>
        <v>24</v>
      </c>
      <c r="CJ186" s="70">
        <f>Tabla1[[#This Row],[Con. DO Storage '[gal']]]-Tabla1[[#This Row],[C. DO Storage Ge '[gal']]]</f>
        <v>0</v>
      </c>
      <c r="CK186" s="70"/>
      <c r="CL186" s="70"/>
      <c r="CM186" s="372">
        <f>Tabla1[[#This Row],[Con. DO Total '[gal']]]*131485.5/(1000000)</f>
        <v>236.89129774210065</v>
      </c>
    </row>
    <row r="187" spans="1:91" ht="15" customHeight="1">
      <c r="A187" s="362">
        <v>45112</v>
      </c>
      <c r="B187" s="363" t="str">
        <f>TEXT(Tabla1[[#This Row],[Fecha]],"mmmm")</f>
        <v>julio</v>
      </c>
      <c r="C187" s="429">
        <v>0</v>
      </c>
      <c r="D187" s="430">
        <v>1272</v>
      </c>
      <c r="E187" s="430">
        <v>1272</v>
      </c>
      <c r="F187" s="430">
        <v>1319</v>
      </c>
      <c r="G187" s="431">
        <v>0</v>
      </c>
      <c r="H187" s="431">
        <v>0</v>
      </c>
      <c r="I187" s="432">
        <v>0</v>
      </c>
      <c r="J187" s="432">
        <v>0</v>
      </c>
      <c r="K187" s="430">
        <v>24</v>
      </c>
      <c r="L187" s="430">
        <v>24</v>
      </c>
      <c r="M187" s="365">
        <f>Tabla1[[#This Row],[Columna1]]-Tabla1[[#This Row],[PO '[h']]]</f>
        <v>0</v>
      </c>
      <c r="N187" s="365">
        <f t="shared" si="58"/>
        <v>1319</v>
      </c>
      <c r="O187" s="430">
        <v>1319</v>
      </c>
      <c r="P187" s="367">
        <f>Tabla1[[#This Row],[G. HGS 
'[MWh']]]</f>
        <v>1319</v>
      </c>
      <c r="Q187" s="430">
        <v>0</v>
      </c>
      <c r="R187" s="367">
        <v>0</v>
      </c>
      <c r="S187" s="367">
        <f>Tabla1[[#This Row],[G. HGS 
Con Gas]]*1000</f>
        <v>1319000</v>
      </c>
      <c r="T187" s="365">
        <f>Tabla1[[#This Row],[G. HGS 
'[MWh']]]*1000</f>
        <v>1319000</v>
      </c>
      <c r="U187" s="368">
        <f>SUM('G. Un GE'!B187:Y187)</f>
        <v>1307.3001000000004</v>
      </c>
      <c r="V187" s="369">
        <f>Tabla1[[#This Row],[R. GE
'[MWh']]]</f>
        <v>1307.3001000000004</v>
      </c>
      <c r="W187" s="434">
        <v>0</v>
      </c>
      <c r="X187" s="369">
        <v>0</v>
      </c>
      <c r="Y187" s="365">
        <f>Tabla1[[#This Row],[R. GE
'[MWh']]]*1000</f>
        <v>1307300.1000000003</v>
      </c>
      <c r="Z187" s="434">
        <v>35.89</v>
      </c>
      <c r="AA18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35.89</v>
      </c>
      <c r="AB187" s="371">
        <f>IF(Tabla1[[#This Row],[G. HGS 
'[MWh']]]=0,0,Tabla1[[#This Row],[G. HGS 
'[MWh']]]+Tabla1[[#This Row],[Con. Aux. '[MWh']2]])</f>
        <v>1354.89</v>
      </c>
      <c r="AC187" s="368">
        <f>'C. ENER. TN'!F187</f>
        <v>0</v>
      </c>
      <c r="AD187" s="370">
        <f>'C. ENER. TN'!G187</f>
        <v>1307.3001000000004</v>
      </c>
      <c r="AE187" s="370">
        <f>'G. Un GE'!AX187</f>
        <v>163.41251250000005</v>
      </c>
      <c r="AF187" s="368">
        <f>IFERROR('G. Un GE'!AX187/Tabla1[[#This Row],[PO '[h']]],0)</f>
        <v>6.808854687500002</v>
      </c>
      <c r="AG187" s="365">
        <f>'Ar-Pa'!AX187</f>
        <v>0</v>
      </c>
      <c r="AH187" s="365">
        <f>'Ar-Pa'!AY187</f>
        <v>0</v>
      </c>
      <c r="AI187" s="366">
        <f>SUM('Cal. Arr'!AB190:AY190)</f>
        <v>0</v>
      </c>
      <c r="AJ187" s="442">
        <v>0</v>
      </c>
      <c r="AK187" s="443">
        <v>0.4</v>
      </c>
      <c r="AL187" s="267">
        <f t="shared" si="42"/>
        <v>105.66882094325936</v>
      </c>
      <c r="AM187" s="267">
        <f>+CONVERT(AK187+Tabla1[[#This Row],[Con. DO Storage Gen. '[m3']]],"m^3","gal")</f>
        <v>105.66882094325936</v>
      </c>
      <c r="AN187" s="372">
        <f>SUM('DO Pilot'!B187:Y187)</f>
        <v>6.8000000000000034</v>
      </c>
      <c r="AO187" s="372">
        <f t="shared" si="43"/>
        <v>1796.3699560354103</v>
      </c>
      <c r="AP187" s="267">
        <f>AK187+AN187+Tabla1[[#This Row],[Con. DO Storage Gen. '[m3']]]</f>
        <v>7.2000000000000037</v>
      </c>
      <c r="AQ187" s="372">
        <f t="shared" si="49"/>
        <v>1902.0387769786696</v>
      </c>
      <c r="AR187" s="443">
        <v>0</v>
      </c>
      <c r="AS187" s="443">
        <v>11026</v>
      </c>
      <c r="AT187" s="267">
        <f>+CONVERT(SUM(Tabla1[[#This Row],[Repo. DO Storage '[gal']]:[Repo. DO Pilot '[gal']]]),"gal","m3")</f>
        <v>41.737950330383995</v>
      </c>
      <c r="AU187" s="442">
        <v>0</v>
      </c>
      <c r="AV187" s="372">
        <f t="shared" si="59"/>
        <v>0</v>
      </c>
      <c r="AW187" s="442">
        <v>0</v>
      </c>
      <c r="AX187" s="372">
        <f t="shared" si="44"/>
        <v>0</v>
      </c>
      <c r="AY187" s="372">
        <f t="shared" si="45"/>
        <v>8.0112828615056378E-2</v>
      </c>
      <c r="AZ187" s="372">
        <f>IFERROR(AL187/'Ar-Pa'!AX187,0)</f>
        <v>0</v>
      </c>
      <c r="BA187" s="372">
        <f>IFERROR(AL187/'Ar-Pa'!AY187,0)</f>
        <v>0</v>
      </c>
      <c r="BB187" s="372">
        <f t="shared" si="46"/>
        <v>1.3619180864559592</v>
      </c>
      <c r="BC187" s="372">
        <f>IFERROR(AVERAGEIF('DO Pilot'!AX187:BU187,"&gt;0"),0)</f>
        <v>9.35609352101776</v>
      </c>
      <c r="BD187" s="446">
        <v>358444</v>
      </c>
      <c r="BE187" s="446">
        <v>12688</v>
      </c>
      <c r="BF187" s="446">
        <v>357963</v>
      </c>
      <c r="BG187" s="223">
        <f>Tabla1[[#This Row],[ Re. Gas GC
 '[m3']]]</f>
        <v>357963</v>
      </c>
      <c r="BH187" s="150">
        <f>IFERROR((BG187*Gas!$B$3)/28.31685,0)</f>
        <v>12593.052593773671</v>
      </c>
      <c r="BI187" s="73">
        <f t="shared" si="60"/>
        <v>-94.947406226328894</v>
      </c>
      <c r="BJ187" s="74">
        <f t="shared" si="50"/>
        <v>-7.5396656624203513E-3</v>
      </c>
      <c r="BK187" s="223">
        <f t="shared" si="47"/>
        <v>9619.4086429112958</v>
      </c>
      <c r="BL187" s="442">
        <v>0</v>
      </c>
      <c r="BM187" s="70">
        <f t="shared" si="48"/>
        <v>9294.5202885648814</v>
      </c>
      <c r="BN187" s="150">
        <f t="shared" si="51"/>
        <v>9632.8705197633408</v>
      </c>
      <c r="BO187" s="373">
        <f>IFERROR(Tabla1[[#This Row],[ Re. Gas GC
 '[m3']]]/Tabla1[[#This Row],[G. HGS 
Con Gas '[kWh']]],0)</f>
        <v>0.27138968915845335</v>
      </c>
      <c r="BP187" s="374">
        <f>Tank!Y188</f>
        <v>0</v>
      </c>
      <c r="BQ187" s="70">
        <f>Tank!AP188</f>
        <v>0</v>
      </c>
      <c r="BR187" s="70">
        <f>Tank!V188</f>
        <v>0</v>
      </c>
      <c r="BS187" s="372">
        <f>Tank!T188</f>
        <v>0</v>
      </c>
      <c r="BT187" s="375" t="s">
        <v>228</v>
      </c>
      <c r="BU187" s="452">
        <v>71</v>
      </c>
      <c r="BV187" s="375">
        <f>IF(Tabla1[[#This Row],[Combustible ofertado]]="GAS",Tabla1[[#This Row],[Disponibilidad]],0)</f>
        <v>0</v>
      </c>
      <c r="BW187" s="375">
        <f>IF(Tabla1[[#This Row],[Combustible ofertado]]="DIESEL",Tabla1[[#This Row],[Disponibilidad]],0)</f>
        <v>71</v>
      </c>
      <c r="BX187" s="375">
        <f>IF(Tabla1[[#This Row],[Combustible ofertado]]="HFO",Tabla1[[#This Row],[Disponibilidad]],0)</f>
        <v>0</v>
      </c>
      <c r="BY187" s="452">
        <v>1340</v>
      </c>
      <c r="BZ187" s="446">
        <f>'Horo. M'!C188</f>
        <v>24</v>
      </c>
      <c r="CA187" s="446">
        <f>'Horo. M'!E188</f>
        <v>24</v>
      </c>
      <c r="CB187" s="446">
        <f>'Horo. M'!G188</f>
        <v>24</v>
      </c>
      <c r="CC187" s="446">
        <f>'Horo. M'!I188</f>
        <v>24</v>
      </c>
      <c r="CD187" s="446">
        <f>'Horo. M'!K188</f>
        <v>24</v>
      </c>
      <c r="CE187" s="446">
        <f>'Horo. M'!M188</f>
        <v>0</v>
      </c>
      <c r="CF187" s="446">
        <f>'Horo. M'!O188</f>
        <v>24</v>
      </c>
      <c r="CG187" s="446">
        <f>'Horo. M'!Q188</f>
        <v>24</v>
      </c>
      <c r="CH187" s="446">
        <f>'Horo. M'!S188</f>
        <v>0</v>
      </c>
      <c r="CI187" s="446">
        <f>'Horo. M'!U188</f>
        <v>24</v>
      </c>
      <c r="CJ187" s="70">
        <f>Tabla1[[#This Row],[Con. DO Storage '[gal']]]-Tabla1[[#This Row],[C. DO Storage Ge '[gal']]]</f>
        <v>105.66882094325936</v>
      </c>
      <c r="CK187" s="70"/>
      <c r="CL187" s="70"/>
      <c r="CM187" s="372">
        <f>Tabla1[[#This Row],[Con. DO Total '[gal']]]*131485.5/(1000000)</f>
        <v>250.09051961042886</v>
      </c>
    </row>
    <row r="188" spans="1:91" ht="15" customHeight="1">
      <c r="A188" s="362">
        <v>45113</v>
      </c>
      <c r="B188" s="363" t="str">
        <f>TEXT(Tabla1[[#This Row],[Fecha]],"mmmm")</f>
        <v>julio</v>
      </c>
      <c r="C188" s="429">
        <v>0</v>
      </c>
      <c r="D188" s="430">
        <v>1272</v>
      </c>
      <c r="E188" s="430">
        <v>1272</v>
      </c>
      <c r="F188" s="430">
        <v>1316</v>
      </c>
      <c r="G188" s="431">
        <v>0</v>
      </c>
      <c r="H188" s="431">
        <v>0</v>
      </c>
      <c r="I188" s="432">
        <v>0</v>
      </c>
      <c r="J188" s="432">
        <v>0</v>
      </c>
      <c r="K188" s="430">
        <v>24</v>
      </c>
      <c r="L188" s="430">
        <v>24</v>
      </c>
      <c r="M188" s="365">
        <f>Tabla1[[#This Row],[Columna1]]-Tabla1[[#This Row],[PO '[h']]]</f>
        <v>0</v>
      </c>
      <c r="N188" s="365">
        <f t="shared" si="58"/>
        <v>1316</v>
      </c>
      <c r="O188" s="430">
        <v>1316</v>
      </c>
      <c r="P188" s="367">
        <f>Tabla1[[#This Row],[G. HGS 
'[MWh']]]</f>
        <v>1316</v>
      </c>
      <c r="Q188" s="430">
        <v>0</v>
      </c>
      <c r="R188" s="367">
        <v>0</v>
      </c>
      <c r="S188" s="367">
        <f>Tabla1[[#This Row],[G. HGS 
Con Gas]]*1000</f>
        <v>1316000</v>
      </c>
      <c r="T188" s="365">
        <f>Tabla1[[#This Row],[G. HGS 
'[MWh']]]*1000</f>
        <v>1316000</v>
      </c>
      <c r="U188" s="368">
        <f>SUM('G. Un GE'!B188:Y188)</f>
        <v>1304.0629000000001</v>
      </c>
      <c r="V188" s="369">
        <f>Tabla1[[#This Row],[R. GE
'[MWh']]]</f>
        <v>1304.0629000000001</v>
      </c>
      <c r="W188" s="434">
        <v>0</v>
      </c>
      <c r="X188" s="369">
        <v>0</v>
      </c>
      <c r="Y188" s="365">
        <f>Tabla1[[#This Row],[R. GE
'[MWh']]]*1000</f>
        <v>1304062.9000000001</v>
      </c>
      <c r="Z188" s="434">
        <v>37.17</v>
      </c>
      <c r="AA18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37.17</v>
      </c>
      <c r="AB188" s="371">
        <f>IF(Tabla1[[#This Row],[G. HGS 
'[MWh']]]=0,0,Tabla1[[#This Row],[G. HGS 
'[MWh']]]+Tabla1[[#This Row],[Con. Aux. '[MWh']2]])</f>
        <v>1353.17</v>
      </c>
      <c r="AC188" s="368">
        <f>'C. ENER. TN'!F188</f>
        <v>0</v>
      </c>
      <c r="AD188" s="370">
        <f>'C. ENER. TN'!G188</f>
        <v>1304.0629000000001</v>
      </c>
      <c r="AE188" s="370">
        <f>'G. Un GE'!AX188</f>
        <v>163.00786250000002</v>
      </c>
      <c r="AF188" s="368">
        <f>IFERROR('G. Un GE'!AX188/Tabla1[[#This Row],[PO '[h']]],0)</f>
        <v>6.7919942708333343</v>
      </c>
      <c r="AG188" s="365">
        <f>'Ar-Pa'!AX188</f>
        <v>0</v>
      </c>
      <c r="AH188" s="365">
        <f>'Ar-Pa'!AY188</f>
        <v>0</v>
      </c>
      <c r="AI188" s="366">
        <f>SUM('Cal. Arr'!AB191:AY191)</f>
        <v>0</v>
      </c>
      <c r="AJ188" s="442">
        <v>0</v>
      </c>
      <c r="AK188" s="443">
        <v>1.3</v>
      </c>
      <c r="AL188" s="267">
        <f t="shared" si="42"/>
        <v>343.42366806559295</v>
      </c>
      <c r="AM188" s="267">
        <f>+CONVERT(AK188+Tabla1[[#This Row],[Con. DO Storage Gen. '[m3']]],"m^3","gal")</f>
        <v>343.42366806559295</v>
      </c>
      <c r="AN188" s="372">
        <f>SUM('DO Pilot'!B188:Y188)</f>
        <v>7.1899999999999968</v>
      </c>
      <c r="AO188" s="372">
        <f t="shared" si="43"/>
        <v>1899.3970564550864</v>
      </c>
      <c r="AP188" s="267">
        <f>AK188+AN188+Tabla1[[#This Row],[Con. DO Storage Gen. '[m3']]]</f>
        <v>8.4899999999999967</v>
      </c>
      <c r="AQ188" s="372">
        <f t="shared" si="49"/>
        <v>2242.8207245206791</v>
      </c>
      <c r="AR188" s="443">
        <v>0</v>
      </c>
      <c r="AS188" s="443">
        <v>0</v>
      </c>
      <c r="AT188" s="267">
        <f>+CONVERT(SUM(Tabla1[[#This Row],[Repo. DO Storage '[gal']]:[Repo. DO Pilot '[gal']]]),"gal","m3")</f>
        <v>0</v>
      </c>
      <c r="AU188" s="442">
        <v>0</v>
      </c>
      <c r="AV188" s="372">
        <f t="shared" si="59"/>
        <v>0</v>
      </c>
      <c r="AW188" s="442">
        <v>0</v>
      </c>
      <c r="AX188" s="372">
        <f t="shared" si="44"/>
        <v>0</v>
      </c>
      <c r="AY188" s="372">
        <f t="shared" si="45"/>
        <v>0.26096023409239588</v>
      </c>
      <c r="AZ188" s="372">
        <f>IFERROR(AL188/'Ar-Pa'!AX188,0)</f>
        <v>0</v>
      </c>
      <c r="BA188" s="372">
        <f>IFERROR(AL188/'Ar-Pa'!AY188,0)</f>
        <v>0</v>
      </c>
      <c r="BB188" s="372">
        <f t="shared" si="46"/>
        <v>1.4433108331725581</v>
      </c>
      <c r="BC188" s="372">
        <f>IFERROR(AVERAGEIF('DO Pilot'!AX188:BU188,"&gt;0"),0)</f>
        <v>9.8926930023702422</v>
      </c>
      <c r="BD188" s="446">
        <v>357155</v>
      </c>
      <c r="BE188" s="446">
        <v>12643</v>
      </c>
      <c r="BF188" s="446">
        <v>356940</v>
      </c>
      <c r="BG188" s="223">
        <f>Tabla1[[#This Row],[ Re. Gas GC
 '[m3']]]</f>
        <v>356940</v>
      </c>
      <c r="BH188" s="150">
        <f>IFERROR((BG188*Gas!$B$3)/28.31685,0)</f>
        <v>12557.063698822434</v>
      </c>
      <c r="BI188" s="73">
        <f t="shared" si="60"/>
        <v>-85.936301177565838</v>
      </c>
      <c r="BJ188" s="74">
        <f t="shared" si="50"/>
        <v>-6.8436621202793372E-3</v>
      </c>
      <c r="BK188" s="223">
        <f t="shared" si="47"/>
        <v>9607.1428571428569</v>
      </c>
      <c r="BL188" s="442">
        <v>0</v>
      </c>
      <c r="BM188" s="70">
        <f t="shared" si="48"/>
        <v>9279.7384651022658</v>
      </c>
      <c r="BN188" s="150">
        <f t="shared" si="51"/>
        <v>9629.1856004970559</v>
      </c>
      <c r="BO188" s="373">
        <f>IFERROR(Tabla1[[#This Row],[ Re. Gas GC
 '[m3']]]/Tabla1[[#This Row],[G. HGS 
Con Gas '[kWh']]],0)</f>
        <v>0.2712310030395137</v>
      </c>
      <c r="BP188" s="374">
        <f>Tank!Y189</f>
        <v>0</v>
      </c>
      <c r="BQ188" s="70">
        <f>Tank!AP189</f>
        <v>0</v>
      </c>
      <c r="BR188" s="70">
        <f>Tank!V189</f>
        <v>0</v>
      </c>
      <c r="BS188" s="372">
        <f>Tank!T189</f>
        <v>740.47</v>
      </c>
      <c r="BT188" s="375" t="s">
        <v>228</v>
      </c>
      <c r="BU188" s="452">
        <v>71</v>
      </c>
      <c r="BV188" s="375">
        <f>IF(Tabla1[[#This Row],[Combustible ofertado]]="GAS",Tabla1[[#This Row],[Disponibilidad]],0)</f>
        <v>0</v>
      </c>
      <c r="BW188" s="375">
        <f>IF(Tabla1[[#This Row],[Combustible ofertado]]="DIESEL",Tabla1[[#This Row],[Disponibilidad]],0)</f>
        <v>71</v>
      </c>
      <c r="BX188" s="375">
        <f>IF(Tabla1[[#This Row],[Combustible ofertado]]="HFO",Tabla1[[#This Row],[Disponibilidad]],0)</f>
        <v>0</v>
      </c>
      <c r="BY188" s="452">
        <v>1290</v>
      </c>
      <c r="BZ188" s="446">
        <f>'Horo. M'!C189</f>
        <v>24</v>
      </c>
      <c r="CA188" s="446">
        <f>'Horo. M'!E189</f>
        <v>24</v>
      </c>
      <c r="CB188" s="446">
        <f>'Horo. M'!G189</f>
        <v>24</v>
      </c>
      <c r="CC188" s="446">
        <f>'Horo. M'!I189</f>
        <v>24</v>
      </c>
      <c r="CD188" s="446">
        <f>'Horo. M'!K189</f>
        <v>24</v>
      </c>
      <c r="CE188" s="446">
        <f>'Horo. M'!M189</f>
        <v>0</v>
      </c>
      <c r="CF188" s="446">
        <f>'Horo. M'!O189</f>
        <v>24</v>
      </c>
      <c r="CG188" s="446">
        <f>'Horo. M'!Q189</f>
        <v>24</v>
      </c>
      <c r="CH188" s="446">
        <f>'Horo. M'!S189</f>
        <v>0</v>
      </c>
      <c r="CI188" s="446">
        <f>'Horo. M'!U189</f>
        <v>24</v>
      </c>
      <c r="CJ188" s="70">
        <f>Tabla1[[#This Row],[Con. DO Storage '[gal']]]-Tabla1[[#This Row],[C. DO Storage Ge '[gal']]]</f>
        <v>343.42366806559295</v>
      </c>
      <c r="CK188" s="70"/>
      <c r="CL188" s="70"/>
      <c r="CM188" s="372">
        <f>Tabla1[[#This Row],[Con. DO Total '[gal']]]*131485.5/(1000000)</f>
        <v>294.89840437396379</v>
      </c>
    </row>
    <row r="189" spans="1:91" ht="15" customHeight="1">
      <c r="A189" s="362">
        <v>45114</v>
      </c>
      <c r="B189" s="363" t="str">
        <f>TEXT(Tabla1[[#This Row],[Fecha]],"mmmm")</f>
        <v>julio</v>
      </c>
      <c r="C189" s="429">
        <v>0</v>
      </c>
      <c r="D189" s="430">
        <v>1272</v>
      </c>
      <c r="E189" s="430">
        <v>1272</v>
      </c>
      <c r="F189" s="430">
        <v>1311</v>
      </c>
      <c r="G189" s="431">
        <v>0</v>
      </c>
      <c r="H189" s="431">
        <v>0</v>
      </c>
      <c r="I189" s="432">
        <v>0</v>
      </c>
      <c r="J189" s="432">
        <v>0</v>
      </c>
      <c r="K189" s="430">
        <v>24</v>
      </c>
      <c r="L189" s="430">
        <v>24</v>
      </c>
      <c r="M189" s="365">
        <f>Tabla1[[#This Row],[Columna1]]-Tabla1[[#This Row],[PO '[h']]]</f>
        <v>0</v>
      </c>
      <c r="N189" s="365">
        <f t="shared" si="58"/>
        <v>1311</v>
      </c>
      <c r="O189" s="430">
        <v>1311</v>
      </c>
      <c r="P189" s="367">
        <f>Tabla1[[#This Row],[G. HGS 
'[MWh']]]</f>
        <v>1311</v>
      </c>
      <c r="Q189" s="430">
        <v>0</v>
      </c>
      <c r="R189" s="367">
        <v>0</v>
      </c>
      <c r="S189" s="367">
        <f>Tabla1[[#This Row],[G. HGS 
Con Gas]]*1000</f>
        <v>1311000</v>
      </c>
      <c r="T189" s="365">
        <f>Tabla1[[#This Row],[G. HGS 
'[MWh']]]*1000</f>
        <v>1311000</v>
      </c>
      <c r="U189" s="368">
        <f>SUM('G. Un GE'!B189:Y189)</f>
        <v>1299.8451000000005</v>
      </c>
      <c r="V189" s="369">
        <f>Tabla1[[#This Row],[R. GE
'[MWh']]]</f>
        <v>1299.8451000000005</v>
      </c>
      <c r="W189" s="434">
        <v>0</v>
      </c>
      <c r="X189" s="369">
        <v>0</v>
      </c>
      <c r="Y189" s="365">
        <f>Tabla1[[#This Row],[R. GE
'[MWh']]]*1000</f>
        <v>1299845.1000000006</v>
      </c>
      <c r="Z189" s="434">
        <v>37.380000000000003</v>
      </c>
      <c r="AA18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37.380000000000003</v>
      </c>
      <c r="AB189" s="371">
        <f>IF(Tabla1[[#This Row],[G. HGS 
'[MWh']]]=0,0,Tabla1[[#This Row],[G. HGS 
'[MWh']]]+Tabla1[[#This Row],[Con. Aux. '[MWh']2]])</f>
        <v>1348.38</v>
      </c>
      <c r="AC189" s="368">
        <f>'C. ENER. TN'!F189</f>
        <v>0</v>
      </c>
      <c r="AD189" s="370">
        <f>'C. ENER. TN'!G189</f>
        <v>1299.8451</v>
      </c>
      <c r="AE189" s="370">
        <f>'G. Un GE'!AX189</f>
        <v>162.48063750000006</v>
      </c>
      <c r="AF189" s="368">
        <f>IFERROR('G. Un GE'!AX189/Tabla1[[#This Row],[PO '[h']]],0)</f>
        <v>6.7700265625000027</v>
      </c>
      <c r="AG189" s="365">
        <f>'Ar-Pa'!AX189</f>
        <v>0</v>
      </c>
      <c r="AH189" s="365">
        <f>'Ar-Pa'!AY189</f>
        <v>0</v>
      </c>
      <c r="AI189" s="366">
        <f>SUM('Cal. Arr'!AB192:AY192)</f>
        <v>0</v>
      </c>
      <c r="AJ189" s="442">
        <v>0</v>
      </c>
      <c r="AK189" s="443">
        <v>0.8</v>
      </c>
      <c r="AL189" s="267">
        <f t="shared" si="42"/>
        <v>211.33764188651872</v>
      </c>
      <c r="AM189" s="267">
        <f>+CONVERT(AK189+Tabla1[[#This Row],[Con. DO Storage Gen. '[m3']]],"m^3","gal")</f>
        <v>211.33764188651872</v>
      </c>
      <c r="AN189" s="372">
        <f>SUM('DO Pilot'!B189:Y189)</f>
        <v>7.2699999999999969</v>
      </c>
      <c r="AO189" s="372">
        <f t="shared" si="43"/>
        <v>1920.5308206437383</v>
      </c>
      <c r="AP189" s="267">
        <f>AK189+AN189+Tabla1[[#This Row],[Con. DO Storage Gen. '[m3']]]</f>
        <v>8.0699999999999967</v>
      </c>
      <c r="AQ189" s="372">
        <f t="shared" si="49"/>
        <v>2131.8684625302567</v>
      </c>
      <c r="AR189" s="443">
        <v>0</v>
      </c>
      <c r="AS189" s="443">
        <v>0</v>
      </c>
      <c r="AT189" s="267">
        <f>+CONVERT(SUM(Tabla1[[#This Row],[Repo. DO Storage '[gal']]:[Repo. DO Pilot '[gal']]]),"gal","m3")</f>
        <v>0</v>
      </c>
      <c r="AU189" s="442">
        <v>0</v>
      </c>
      <c r="AV189" s="372">
        <f t="shared" si="59"/>
        <v>0</v>
      </c>
      <c r="AW189" s="442">
        <v>0</v>
      </c>
      <c r="AX189" s="372">
        <f t="shared" si="44"/>
        <v>0</v>
      </c>
      <c r="AY189" s="372">
        <f t="shared" si="45"/>
        <v>0.16120338816668095</v>
      </c>
      <c r="AZ189" s="372">
        <f>IFERROR(AL189/'Ar-Pa'!AX189,0)</f>
        <v>0</v>
      </c>
      <c r="BA189" s="372">
        <f>IFERROR(AL189/'Ar-Pa'!AY189,0)</f>
        <v>0</v>
      </c>
      <c r="BB189" s="372">
        <f t="shared" si="46"/>
        <v>1.4649357899647126</v>
      </c>
      <c r="BC189" s="372">
        <f>IFERROR(AVERAGEIF('DO Pilot'!AX189:BU189,"&gt;0"),0)</f>
        <v>10.002764690852805</v>
      </c>
      <c r="BD189" s="446">
        <v>356165</v>
      </c>
      <c r="BE189" s="446">
        <v>12608</v>
      </c>
      <c r="BF189" s="446">
        <v>355978</v>
      </c>
      <c r="BG189" s="223">
        <f>Tabla1[[#This Row],[ Re. Gas GC
 '[m3']]]</f>
        <v>355978</v>
      </c>
      <c r="BH189" s="150">
        <f>IFERROR((BG189*Gas!$B$3)/28.31685,0)</f>
        <v>12523.220769259293</v>
      </c>
      <c r="BI189" s="73">
        <f t="shared" si="60"/>
        <v>-84.779230740707135</v>
      </c>
      <c r="BJ189" s="74">
        <f t="shared" si="50"/>
        <v>-6.7697625317613514E-3</v>
      </c>
      <c r="BK189" s="223">
        <f t="shared" si="47"/>
        <v>9617.0861937452319</v>
      </c>
      <c r="BL189" s="442">
        <v>0</v>
      </c>
      <c r="BM189" s="70">
        <f t="shared" si="48"/>
        <v>9287.604955026989</v>
      </c>
      <c r="BN189" s="150">
        <f t="shared" si="51"/>
        <v>9634.3947207704132</v>
      </c>
      <c r="BO189" s="373">
        <f>IFERROR(Tabla1[[#This Row],[ Re. Gas GC
 '[m3']]]/Tabla1[[#This Row],[G. HGS 
Con Gas '[kWh']]],0)</f>
        <v>0.27153165522501904</v>
      </c>
      <c r="BP189" s="374">
        <f>Tank!Y190</f>
        <v>0</v>
      </c>
      <c r="BQ189" s="70">
        <f>Tank!AP190</f>
        <v>39.9</v>
      </c>
      <c r="BR189" s="70">
        <f>Tank!V190</f>
        <v>0</v>
      </c>
      <c r="BS189" s="372">
        <f>Tank!T190</f>
        <v>0</v>
      </c>
      <c r="BT189" s="375" t="s">
        <v>228</v>
      </c>
      <c r="BU189" s="452">
        <v>71</v>
      </c>
      <c r="BV189" s="375">
        <f>IF(Tabla1[[#This Row],[Combustible ofertado]]="GAS",Tabla1[[#This Row],[Disponibilidad]],0)</f>
        <v>0</v>
      </c>
      <c r="BW189" s="375">
        <f>IF(Tabla1[[#This Row],[Combustible ofertado]]="DIESEL",Tabla1[[#This Row],[Disponibilidad]],0)</f>
        <v>71</v>
      </c>
      <c r="BX189" s="375">
        <f>IF(Tabla1[[#This Row],[Combustible ofertado]]="HFO",Tabla1[[#This Row],[Disponibilidad]],0)</f>
        <v>0</v>
      </c>
      <c r="BY189" s="452">
        <v>1290</v>
      </c>
      <c r="BZ189" s="446">
        <f>'Horo. M'!C190</f>
        <v>24</v>
      </c>
      <c r="CA189" s="446">
        <f>'Horo. M'!E190</f>
        <v>24</v>
      </c>
      <c r="CB189" s="446">
        <f>'Horo. M'!G190</f>
        <v>316</v>
      </c>
      <c r="CC189" s="446">
        <f>'Horo. M'!I190</f>
        <v>24</v>
      </c>
      <c r="CD189" s="446">
        <f>'Horo. M'!K190</f>
        <v>24</v>
      </c>
      <c r="CE189" s="446">
        <f>'Horo. M'!M190</f>
        <v>0</v>
      </c>
      <c r="CF189" s="446">
        <f>'Horo. M'!O190</f>
        <v>24</v>
      </c>
      <c r="CG189" s="446">
        <f>'Horo. M'!Q190</f>
        <v>24</v>
      </c>
      <c r="CH189" s="446">
        <f>'Horo. M'!S190</f>
        <v>0</v>
      </c>
      <c r="CI189" s="446">
        <f>'Horo. M'!U190</f>
        <v>24</v>
      </c>
      <c r="CJ189" s="70">
        <f>Tabla1[[#This Row],[Con. DO Storage '[gal']]]-Tabla1[[#This Row],[C. DO Storage Ge '[gal']]]</f>
        <v>211.33764188651872</v>
      </c>
      <c r="CK189" s="70"/>
      <c r="CL189" s="70"/>
      <c r="CM189" s="372">
        <f>Tabla1[[#This Row],[Con. DO Total '[gal']]]*131485.5/(1000000)</f>
        <v>280.30979073002209</v>
      </c>
    </row>
    <row r="190" spans="1:91" ht="15" customHeight="1">
      <c r="A190" s="362">
        <v>45115</v>
      </c>
      <c r="B190" s="363" t="str">
        <f>TEXT(Tabla1[[#This Row],[Fecha]],"mmmm")</f>
        <v>julio</v>
      </c>
      <c r="C190" s="429">
        <v>0</v>
      </c>
      <c r="D190" s="430">
        <v>1272</v>
      </c>
      <c r="E190" s="430">
        <v>1272</v>
      </c>
      <c r="F190" s="430">
        <v>1313</v>
      </c>
      <c r="G190" s="431">
        <v>0</v>
      </c>
      <c r="H190" s="431">
        <v>0</v>
      </c>
      <c r="I190" s="432">
        <v>0</v>
      </c>
      <c r="J190" s="432">
        <v>0</v>
      </c>
      <c r="K190" s="430">
        <v>24</v>
      </c>
      <c r="L190" s="430">
        <v>24</v>
      </c>
      <c r="M190" s="365">
        <f>Tabla1[[#This Row],[Columna1]]-Tabla1[[#This Row],[PO '[h']]]</f>
        <v>0</v>
      </c>
      <c r="N190" s="365">
        <f t="shared" si="58"/>
        <v>1313</v>
      </c>
      <c r="O190" s="430">
        <v>1313</v>
      </c>
      <c r="P190" s="367">
        <f>Tabla1[[#This Row],[G. HGS 
'[MWh']]]</f>
        <v>1313</v>
      </c>
      <c r="Q190" s="430">
        <v>0</v>
      </c>
      <c r="R190" s="367">
        <v>0</v>
      </c>
      <c r="S190" s="367">
        <f>Tabla1[[#This Row],[G. HGS 
Con Gas]]*1000</f>
        <v>1313000</v>
      </c>
      <c r="T190" s="365">
        <f>Tabla1[[#This Row],[G. HGS 
'[MWh']]]*1000</f>
        <v>1313000</v>
      </c>
      <c r="U190" s="368">
        <f>SUM('G. Un GE'!B190:Y190)</f>
        <v>1301.4783999999995</v>
      </c>
      <c r="V190" s="369">
        <f>Tabla1[[#This Row],[R. GE
'[MWh']]]</f>
        <v>1301.4783999999995</v>
      </c>
      <c r="W190" s="434">
        <v>0</v>
      </c>
      <c r="X190" s="369">
        <v>0</v>
      </c>
      <c r="Y190" s="365">
        <f>Tabla1[[#This Row],[R. GE
'[MWh']]]*1000</f>
        <v>1301478.3999999994</v>
      </c>
      <c r="Z190" s="434">
        <v>37.61</v>
      </c>
      <c r="AA19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37.61</v>
      </c>
      <c r="AB190" s="371">
        <f>IF(Tabla1[[#This Row],[G. HGS 
'[MWh']]]=0,0,Tabla1[[#This Row],[G. HGS 
'[MWh']]]+Tabla1[[#This Row],[Con. Aux. '[MWh']2]])</f>
        <v>1350.61</v>
      </c>
      <c r="AC190" s="368">
        <f>'C. ENER. TN'!F190</f>
        <v>0</v>
      </c>
      <c r="AD190" s="370">
        <f>'C. ENER. TN'!G190</f>
        <v>1301.4784000000002</v>
      </c>
      <c r="AE190" s="370">
        <f>'G. Un GE'!AX190</f>
        <v>162.68479999999994</v>
      </c>
      <c r="AF190" s="368">
        <f>IFERROR('G. Un GE'!AX190/Tabla1[[#This Row],[PO '[h']]],0)</f>
        <v>6.7785333333333311</v>
      </c>
      <c r="AG190" s="365">
        <f>'Ar-Pa'!AX190</f>
        <v>0</v>
      </c>
      <c r="AH190" s="365">
        <f>'Ar-Pa'!AY190</f>
        <v>0</v>
      </c>
      <c r="AI190" s="366">
        <f>SUM('Cal. Arr'!AB193:AY193)</f>
        <v>0</v>
      </c>
      <c r="AJ190" s="442">
        <v>0</v>
      </c>
      <c r="AK190" s="443">
        <v>0.8</v>
      </c>
      <c r="AL190" s="267">
        <f t="shared" si="42"/>
        <v>211.33764188651872</v>
      </c>
      <c r="AM190" s="267">
        <f>+CONVERT(AK190+Tabla1[[#This Row],[Con. DO Storage Gen. '[m3']]],"m^3","gal")</f>
        <v>211.33764188651872</v>
      </c>
      <c r="AN190" s="372">
        <f>SUM('DO Pilot'!B190:Y190)</f>
        <v>7.3599999999999968</v>
      </c>
      <c r="AO190" s="372">
        <f t="shared" si="43"/>
        <v>1944.3063053559715</v>
      </c>
      <c r="AP190" s="267">
        <f>AK190+AN190+Tabla1[[#This Row],[Con. DO Storage Gen. '[m3']]]</f>
        <v>8.1599999999999966</v>
      </c>
      <c r="AQ190" s="372">
        <f t="shared" si="49"/>
        <v>2155.64394724249</v>
      </c>
      <c r="AR190" s="443">
        <v>0</v>
      </c>
      <c r="AS190" s="443">
        <v>0</v>
      </c>
      <c r="AT190" s="267">
        <f>+CONVERT(SUM(Tabla1[[#This Row],[Repo. DO Storage '[gal']]:[Repo. DO Pilot '[gal']]]),"gal","m3")</f>
        <v>0</v>
      </c>
      <c r="AU190" s="442">
        <v>0</v>
      </c>
      <c r="AV190" s="372">
        <f t="shared" si="59"/>
        <v>0</v>
      </c>
      <c r="AW190" s="442">
        <v>0</v>
      </c>
      <c r="AX190" s="372">
        <f t="shared" si="44"/>
        <v>0</v>
      </c>
      <c r="AY190" s="372">
        <f t="shared" si="45"/>
        <v>0.16095783845127093</v>
      </c>
      <c r="AZ190" s="372">
        <f>IFERROR(AL190/'Ar-Pa'!AX190,0)</f>
        <v>0</v>
      </c>
      <c r="BA190" s="372">
        <f>IFERROR(AL190/'Ar-Pa'!AY190,0)</f>
        <v>0</v>
      </c>
      <c r="BB190" s="372">
        <f t="shared" si="46"/>
        <v>1.4808121137516919</v>
      </c>
      <c r="BC190" s="372">
        <f>IFERROR(AVERAGEIF('DO Pilot'!AX190:BU190,"&gt;0"),0)</f>
        <v>10.12659534039569</v>
      </c>
      <c r="BD190" s="446">
        <v>357912</v>
      </c>
      <c r="BE190" s="446">
        <v>12670</v>
      </c>
      <c r="BF190" s="446">
        <v>357428</v>
      </c>
      <c r="BG190" s="223">
        <f>Tabla1[[#This Row],[ Re. Gas GC
 '[m3']]]</f>
        <v>357428</v>
      </c>
      <c r="BH190" s="150">
        <f>IFERROR((BG190*Gas!$B$3)/28.31685,0)</f>
        <v>12574.231421927227</v>
      </c>
      <c r="BI190" s="73">
        <f t="shared" si="60"/>
        <v>-95.76857807277338</v>
      </c>
      <c r="BJ190" s="74">
        <f t="shared" si="50"/>
        <v>-7.6162569988786743E-3</v>
      </c>
      <c r="BK190" s="223">
        <f t="shared" si="47"/>
        <v>9649.6572734196488</v>
      </c>
      <c r="BL190" s="442">
        <v>0</v>
      </c>
      <c r="BM190" s="70">
        <f t="shared" si="48"/>
        <v>9310.0387394786267</v>
      </c>
      <c r="BN190" s="150">
        <f t="shared" si="51"/>
        <v>9661.4983559675147</v>
      </c>
      <c r="BO190" s="373">
        <f>IFERROR(Tabla1[[#This Row],[ Re. Gas GC
 '[m3']]]/Tabla1[[#This Row],[G. HGS 
Con Gas '[kWh']]],0)</f>
        <v>0.27222239146991623</v>
      </c>
      <c r="BP190" s="374">
        <f>Tank!Y191</f>
        <v>0</v>
      </c>
      <c r="BQ190" s="70">
        <f>Tank!AP191</f>
        <v>0</v>
      </c>
      <c r="BR190" s="70">
        <f>Tank!V191</f>
        <v>0</v>
      </c>
      <c r="BS190" s="372">
        <f>Tank!T191</f>
        <v>0</v>
      </c>
      <c r="BT190" s="375" t="s">
        <v>228</v>
      </c>
      <c r="BU190" s="452">
        <v>71</v>
      </c>
      <c r="BV190" s="375">
        <f>IF(Tabla1[[#This Row],[Combustible ofertado]]="GAS",Tabla1[[#This Row],[Disponibilidad]],0)</f>
        <v>0</v>
      </c>
      <c r="BW190" s="375">
        <f>IF(Tabla1[[#This Row],[Combustible ofertado]]="DIESEL",Tabla1[[#This Row],[Disponibilidad]],0)</f>
        <v>71</v>
      </c>
      <c r="BX190" s="375">
        <f>IF(Tabla1[[#This Row],[Combustible ofertado]]="HFO",Tabla1[[#This Row],[Disponibilidad]],0)</f>
        <v>0</v>
      </c>
      <c r="BY190" s="452">
        <v>1290</v>
      </c>
      <c r="BZ190" s="446">
        <f>'Horo. M'!C191</f>
        <v>24</v>
      </c>
      <c r="CA190" s="446">
        <f>'Horo. M'!E191</f>
        <v>24</v>
      </c>
      <c r="CB190" s="446">
        <f>'Horo. M'!G191</f>
        <v>0</v>
      </c>
      <c r="CC190" s="446">
        <f>'Horo. M'!I191</f>
        <v>24</v>
      </c>
      <c r="CD190" s="446">
        <f>'Horo. M'!K191</f>
        <v>24</v>
      </c>
      <c r="CE190" s="446">
        <f>'Horo. M'!M191</f>
        <v>0</v>
      </c>
      <c r="CF190" s="446">
        <f>'Horo. M'!O191</f>
        <v>24</v>
      </c>
      <c r="CG190" s="446">
        <f>'Horo. M'!Q191</f>
        <v>24</v>
      </c>
      <c r="CH190" s="446">
        <f>'Horo. M'!S191</f>
        <v>0</v>
      </c>
      <c r="CI190" s="446">
        <f>'Horo. M'!U191</f>
        <v>24</v>
      </c>
      <c r="CJ190" s="70">
        <f>Tabla1[[#This Row],[Con. DO Storage '[gal']]]-Tabla1[[#This Row],[C. DO Storage Ge '[gal']]]</f>
        <v>211.33764188651872</v>
      </c>
      <c r="CK190" s="70"/>
      <c r="CL190" s="70"/>
      <c r="CM190" s="372">
        <f>Tabla1[[#This Row],[Con. DO Total '[gal']]]*131485.5/(1000000)</f>
        <v>283.43592222515241</v>
      </c>
    </row>
    <row r="191" spans="1:91" ht="15" customHeight="1">
      <c r="A191" s="362">
        <v>45116</v>
      </c>
      <c r="B191" s="363" t="str">
        <f>TEXT(Tabla1[[#This Row],[Fecha]],"mmmm")</f>
        <v>julio</v>
      </c>
      <c r="C191" s="429">
        <v>0</v>
      </c>
      <c r="D191" s="430">
        <v>1272</v>
      </c>
      <c r="E191" s="430">
        <v>1272</v>
      </c>
      <c r="F191" s="430">
        <v>1317</v>
      </c>
      <c r="G191" s="431">
        <v>0</v>
      </c>
      <c r="H191" s="431">
        <v>0</v>
      </c>
      <c r="I191" s="432">
        <v>0</v>
      </c>
      <c r="J191" s="432">
        <v>0</v>
      </c>
      <c r="K191" s="430">
        <v>24</v>
      </c>
      <c r="L191" s="430">
        <v>24</v>
      </c>
      <c r="M191" s="365">
        <f>Tabla1[[#This Row],[Columna1]]-Tabla1[[#This Row],[PO '[h']]]</f>
        <v>0</v>
      </c>
      <c r="N191" s="365">
        <f t="shared" si="58"/>
        <v>1317</v>
      </c>
      <c r="O191" s="430">
        <v>1317</v>
      </c>
      <c r="P191" s="367">
        <f>Tabla1[[#This Row],[G. HGS 
'[MWh']]]</f>
        <v>1317</v>
      </c>
      <c r="Q191" s="430">
        <v>0</v>
      </c>
      <c r="R191" s="367">
        <v>0</v>
      </c>
      <c r="S191" s="367">
        <f>Tabla1[[#This Row],[G. HGS 
Con Gas]]*1000</f>
        <v>1317000</v>
      </c>
      <c r="T191" s="365">
        <f>Tabla1[[#This Row],[G. HGS 
'[MWh']]]*1000</f>
        <v>1317000</v>
      </c>
      <c r="U191" s="368">
        <f>SUM('G. Un GE'!B191:Y191)</f>
        <v>1306.3052000000002</v>
      </c>
      <c r="V191" s="369">
        <f>Tabla1[[#This Row],[R. GE
'[MWh']]]</f>
        <v>1306.3052000000002</v>
      </c>
      <c r="W191" s="434">
        <v>0</v>
      </c>
      <c r="X191" s="369">
        <v>0</v>
      </c>
      <c r="Y191" s="365">
        <f>Tabla1[[#This Row],[R. GE
'[MWh']]]*1000</f>
        <v>1306305.2000000002</v>
      </c>
      <c r="Z191" s="434">
        <v>37.42</v>
      </c>
      <c r="AA19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37.42</v>
      </c>
      <c r="AB191" s="371">
        <f>IF(Tabla1[[#This Row],[G. HGS 
'[MWh']]]=0,0,Tabla1[[#This Row],[G. HGS 
'[MWh']]]+Tabla1[[#This Row],[Con. Aux. '[MWh']2]])</f>
        <v>1354.42</v>
      </c>
      <c r="AC191" s="368">
        <f>'C. ENER. TN'!F191</f>
        <v>0</v>
      </c>
      <c r="AD191" s="370">
        <f>'C. ENER. TN'!G191</f>
        <v>1306.3051999999998</v>
      </c>
      <c r="AE191" s="370">
        <f>'G. Un GE'!AX191</f>
        <v>163.28815000000003</v>
      </c>
      <c r="AF191" s="368">
        <f>IFERROR('G. Un GE'!AX191/Tabla1[[#This Row],[PO '[h']]],0)</f>
        <v>6.8036729166666676</v>
      </c>
      <c r="AG191" s="365">
        <f>'Ar-Pa'!AX191</f>
        <v>0</v>
      </c>
      <c r="AH191" s="365">
        <f>'Ar-Pa'!AY191</f>
        <v>0</v>
      </c>
      <c r="AI191" s="366">
        <f>SUM('Cal. Arr'!AB194:AY194)</f>
        <v>0</v>
      </c>
      <c r="AJ191" s="442">
        <v>0</v>
      </c>
      <c r="AK191" s="443">
        <v>0.7</v>
      </c>
      <c r="AL191" s="267">
        <f t="shared" si="42"/>
        <v>184.92043665070389</v>
      </c>
      <c r="AM191" s="267">
        <f>+CONVERT(AK191+Tabla1[[#This Row],[Con. DO Storage Gen. '[m3']]],"m^3","gal")</f>
        <v>184.92043665070389</v>
      </c>
      <c r="AN191" s="372">
        <f>SUM('DO Pilot'!B191:Y191)</f>
        <v>6.7100000000000026</v>
      </c>
      <c r="AO191" s="372">
        <f t="shared" si="43"/>
        <v>1772.5944713231765</v>
      </c>
      <c r="AP191" s="267">
        <f>AK191+AN191+Tabla1[[#This Row],[Con. DO Storage Gen. '[m3']]]</f>
        <v>7.4100000000000028</v>
      </c>
      <c r="AQ191" s="372">
        <f t="shared" si="49"/>
        <v>1957.5149079738806</v>
      </c>
      <c r="AR191" s="443">
        <v>0</v>
      </c>
      <c r="AS191" s="443">
        <v>0</v>
      </c>
      <c r="AT191" s="267">
        <f>+CONVERT(SUM(Tabla1[[#This Row],[Repo. DO Storage '[gal']]:[Repo. DO Pilot '[gal']]]),"gal","m3")</f>
        <v>0</v>
      </c>
      <c r="AU191" s="442">
        <v>0</v>
      </c>
      <c r="AV191" s="372">
        <f t="shared" si="59"/>
        <v>0</v>
      </c>
      <c r="AW191" s="442">
        <v>0</v>
      </c>
      <c r="AX191" s="372">
        <f t="shared" si="44"/>
        <v>0</v>
      </c>
      <c r="AY191" s="372">
        <f t="shared" si="45"/>
        <v>0.1404103543285527</v>
      </c>
      <c r="AZ191" s="372">
        <f>IFERROR(AL191/'Ar-Pa'!AX191,0)</f>
        <v>0</v>
      </c>
      <c r="BA191" s="372">
        <f>IFERROR(AL191/'Ar-Pa'!AY191,0)</f>
        <v>0</v>
      </c>
      <c r="BB191" s="372">
        <f t="shared" si="46"/>
        <v>1.3459335393494127</v>
      </c>
      <c r="BC191" s="372">
        <f>IFERROR(AVERAGEIF('DO Pilot'!AX191:BU191,"&gt;0"),0)</f>
        <v>9.2322628714748785</v>
      </c>
      <c r="BD191" s="446">
        <v>357962</v>
      </c>
      <c r="BE191" s="446">
        <v>12671</v>
      </c>
      <c r="BF191" s="446">
        <v>357942</v>
      </c>
      <c r="BG191" s="223">
        <f>Tabla1[[#This Row],[ Re. Gas GC
 '[m3']]]</f>
        <v>357942</v>
      </c>
      <c r="BH191" s="150">
        <f>IFERROR((BG191*Gas!$B$3)/28.31685,0)</f>
        <v>12592.313818803997</v>
      </c>
      <c r="BI191" s="73">
        <f t="shared" si="60"/>
        <v>-78.686181196002508</v>
      </c>
      <c r="BJ191" s="74">
        <f t="shared" si="50"/>
        <v>-6.2487468409897062E-3</v>
      </c>
      <c r="BK191" s="223">
        <f t="shared" si="47"/>
        <v>9621.1085801063018</v>
      </c>
      <c r="BL191" s="442">
        <v>0</v>
      </c>
      <c r="BM191" s="70">
        <f t="shared" si="48"/>
        <v>9297.2001438283514</v>
      </c>
      <c r="BN191" s="150">
        <f t="shared" si="51"/>
        <v>9639.6415009325501</v>
      </c>
      <c r="BO191" s="373">
        <f>IFERROR(Tabla1[[#This Row],[ Re. Gas GC
 '[m3']]]/Tabla1[[#This Row],[G. HGS 
Con Gas '[kWh']]],0)</f>
        <v>0.27178587699316631</v>
      </c>
      <c r="BP191" s="374">
        <f>Tank!Y192</f>
        <v>0</v>
      </c>
      <c r="BQ191" s="70">
        <f>Tank!AP192</f>
        <v>68.7</v>
      </c>
      <c r="BR191" s="70">
        <f>Tank!V192</f>
        <v>0</v>
      </c>
      <c r="BS191" s="372">
        <f>Tank!T192</f>
        <v>0</v>
      </c>
      <c r="BT191" s="375" t="s">
        <v>228</v>
      </c>
      <c r="BU191" s="452">
        <v>71</v>
      </c>
      <c r="BV191" s="375">
        <f>IF(Tabla1[[#This Row],[Combustible ofertado]]="GAS",Tabla1[[#This Row],[Disponibilidad]],0)</f>
        <v>0</v>
      </c>
      <c r="BW191" s="375">
        <f>IF(Tabla1[[#This Row],[Combustible ofertado]]="DIESEL",Tabla1[[#This Row],[Disponibilidad]],0)</f>
        <v>71</v>
      </c>
      <c r="BX191" s="375">
        <f>IF(Tabla1[[#This Row],[Combustible ofertado]]="HFO",Tabla1[[#This Row],[Disponibilidad]],0)</f>
        <v>0</v>
      </c>
      <c r="BY191" s="452">
        <v>1290</v>
      </c>
      <c r="BZ191" s="446">
        <f>'Horo. M'!C192</f>
        <v>24</v>
      </c>
      <c r="CA191" s="446">
        <f>'Horo. M'!E192</f>
        <v>24</v>
      </c>
      <c r="CB191" s="446">
        <f>'Horo. M'!G192</f>
        <v>24</v>
      </c>
      <c r="CC191" s="446">
        <f>'Horo. M'!I192</f>
        <v>24</v>
      </c>
      <c r="CD191" s="446">
        <f>'Horo. M'!K192</f>
        <v>24</v>
      </c>
      <c r="CE191" s="446">
        <f>'Horo. M'!M192</f>
        <v>0</v>
      </c>
      <c r="CF191" s="446">
        <f>'Horo. M'!O192</f>
        <v>24</v>
      </c>
      <c r="CG191" s="446">
        <f>'Horo. M'!Q192</f>
        <v>24</v>
      </c>
      <c r="CH191" s="446">
        <f>'Horo. M'!S192</f>
        <v>0</v>
      </c>
      <c r="CI191" s="446">
        <f>'Horo. M'!U192</f>
        <v>24</v>
      </c>
      <c r="CJ191" s="70">
        <f>Tabla1[[#This Row],[Con. DO Storage '[gal']]]-Tabla1[[#This Row],[C. DO Storage Ge '[gal']]]</f>
        <v>184.92043665070389</v>
      </c>
      <c r="CK191" s="70"/>
      <c r="CL191" s="70"/>
      <c r="CM191" s="372">
        <f>Tabla1[[#This Row],[Con. DO Total '[gal']]]*131485.5/(1000000)</f>
        <v>257.38482643239968</v>
      </c>
    </row>
    <row r="192" spans="1:91" ht="15" customHeight="1">
      <c r="A192" s="362">
        <v>45117</v>
      </c>
      <c r="B192" s="363" t="str">
        <f>TEXT(Tabla1[[#This Row],[Fecha]],"mmmm")</f>
        <v>julio</v>
      </c>
      <c r="C192" s="429">
        <v>0</v>
      </c>
      <c r="D192" s="430">
        <v>1272</v>
      </c>
      <c r="E192" s="430">
        <v>1272</v>
      </c>
      <c r="F192" s="430">
        <v>1319</v>
      </c>
      <c r="G192" s="431">
        <v>0</v>
      </c>
      <c r="H192" s="431">
        <v>0</v>
      </c>
      <c r="I192" s="432">
        <v>0</v>
      </c>
      <c r="J192" s="432">
        <v>0</v>
      </c>
      <c r="K192" s="430">
        <v>24</v>
      </c>
      <c r="L192" s="430">
        <v>24</v>
      </c>
      <c r="M192" s="365">
        <f>Tabla1[[#This Row],[Columna1]]-Tabla1[[#This Row],[PO '[h']]]</f>
        <v>0</v>
      </c>
      <c r="N192" s="365">
        <f t="shared" si="58"/>
        <v>1319</v>
      </c>
      <c r="O192" s="430">
        <v>1319</v>
      </c>
      <c r="P192" s="367">
        <f>Tabla1[[#This Row],[G. HGS 
'[MWh']]]</f>
        <v>1319</v>
      </c>
      <c r="Q192" s="430">
        <v>0</v>
      </c>
      <c r="R192" s="367">
        <v>0</v>
      </c>
      <c r="S192" s="367">
        <f>Tabla1[[#This Row],[G. HGS 
Con Gas]]*1000</f>
        <v>1319000</v>
      </c>
      <c r="T192" s="365">
        <f>Tabla1[[#This Row],[G. HGS 
'[MWh']]]*1000</f>
        <v>1319000</v>
      </c>
      <c r="U192" s="368">
        <f>SUM('G. Un GE'!B192:Y192)</f>
        <v>1308.9928000000002</v>
      </c>
      <c r="V192" s="369">
        <f>Tabla1[[#This Row],[R. GE
'[MWh']]]</f>
        <v>1308.9928000000002</v>
      </c>
      <c r="W192" s="434">
        <v>0</v>
      </c>
      <c r="X192" s="369">
        <v>0</v>
      </c>
      <c r="Y192" s="365">
        <f>Tabla1[[#This Row],[R. GE
'[MWh']]]*1000</f>
        <v>1308992.8000000003</v>
      </c>
      <c r="Z192" s="434">
        <v>37.33</v>
      </c>
      <c r="AA19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37.33</v>
      </c>
      <c r="AB192" s="371">
        <f>IF(Tabla1[[#This Row],[G. HGS 
'[MWh']]]=0,0,Tabla1[[#This Row],[G. HGS 
'[MWh']]]+Tabla1[[#This Row],[Con. Aux. '[MWh']2]])</f>
        <v>1356.33</v>
      </c>
      <c r="AC192" s="368">
        <f>'C. ENER. TN'!F192</f>
        <v>0</v>
      </c>
      <c r="AD192" s="370">
        <f>'C. ENER. TN'!G192</f>
        <v>1308.9928</v>
      </c>
      <c r="AE192" s="370">
        <f>'G. Un GE'!AX192</f>
        <v>163.62410000000003</v>
      </c>
      <c r="AF192" s="368">
        <f>IFERROR('G. Un GE'!AX192/Tabla1[[#This Row],[PO '[h']]],0)</f>
        <v>6.8176708333333345</v>
      </c>
      <c r="AG192" s="365">
        <f>'Ar-Pa'!AX192</f>
        <v>0</v>
      </c>
      <c r="AH192" s="365">
        <f>'Ar-Pa'!AY192</f>
        <v>0</v>
      </c>
      <c r="AI192" s="366">
        <f>SUM('Cal. Arr'!AB195:AY195)</f>
        <v>0</v>
      </c>
      <c r="AJ192" s="442">
        <v>0</v>
      </c>
      <c r="AK192" s="443">
        <v>1.9</v>
      </c>
      <c r="AL192" s="267">
        <f t="shared" si="42"/>
        <v>501.92689948048201</v>
      </c>
      <c r="AM192" s="267">
        <f>+CONVERT(AK192+Tabla1[[#This Row],[Con. DO Storage Gen. '[m3']]],"m^3","gal")</f>
        <v>501.92689948048201</v>
      </c>
      <c r="AN192" s="372">
        <f>SUM('DO Pilot'!B192:Y192)</f>
        <v>7.01</v>
      </c>
      <c r="AO192" s="372">
        <f t="shared" si="43"/>
        <v>1851.8460870306205</v>
      </c>
      <c r="AP192" s="267">
        <f>AK192+AN192+Tabla1[[#This Row],[Con. DO Storage Gen. '[m3']]]</f>
        <v>8.91</v>
      </c>
      <c r="AQ192" s="372">
        <f t="shared" si="49"/>
        <v>2353.7729865111023</v>
      </c>
      <c r="AR192" s="443">
        <v>0</v>
      </c>
      <c r="AS192" s="443">
        <v>0</v>
      </c>
      <c r="AT192" s="267">
        <f>+CONVERT(SUM(Tabla1[[#This Row],[Repo. DO Storage '[gal']]:[Repo. DO Pilot '[gal']]]),"gal","m3")</f>
        <v>0</v>
      </c>
      <c r="AU192" s="442">
        <v>0</v>
      </c>
      <c r="AV192" s="372">
        <f t="shared" si="59"/>
        <v>0</v>
      </c>
      <c r="AW192" s="442">
        <v>0</v>
      </c>
      <c r="AX192" s="372">
        <f t="shared" si="44"/>
        <v>0</v>
      </c>
      <c r="AY192" s="372">
        <f t="shared" si="45"/>
        <v>0.3805359359215178</v>
      </c>
      <c r="AZ192" s="372">
        <f>IFERROR(AL192/'Ar-Pa'!AX192,0)</f>
        <v>0</v>
      </c>
      <c r="BA192" s="372">
        <f>IFERROR(AL192/'Ar-Pa'!AY192,0)</f>
        <v>0</v>
      </c>
      <c r="BB192" s="372">
        <f t="shared" si="46"/>
        <v>1.4039773214788631</v>
      </c>
      <c r="BC192" s="372">
        <f>IFERROR(AVERAGEIF('DO Pilot'!AX192:BU192,"&gt;0"),0)</f>
        <v>9.6450317032844826</v>
      </c>
      <c r="BD192" s="446">
        <v>357379</v>
      </c>
      <c r="BE192" s="446">
        <v>12651</v>
      </c>
      <c r="BF192" s="446">
        <v>357378</v>
      </c>
      <c r="BG192" s="223">
        <f>Tabla1[[#This Row],[ Re. Gas GC
 '[m3']]]</f>
        <v>357378</v>
      </c>
      <c r="BH192" s="150">
        <f>IFERROR((BG192*Gas!$B$3)/28.31685,0)</f>
        <v>12572.472433904195</v>
      </c>
      <c r="BI192" s="73">
        <f t="shared" si="60"/>
        <v>-78.527566095805014</v>
      </c>
      <c r="BJ192" s="74">
        <f t="shared" si="50"/>
        <v>-6.2459923064965067E-3</v>
      </c>
      <c r="BK192" s="223">
        <f t="shared" si="47"/>
        <v>9591.3570887035639</v>
      </c>
      <c r="BL192" s="442">
        <v>0</v>
      </c>
      <c r="BM192" s="70">
        <f t="shared" si="48"/>
        <v>9269.4789866066476</v>
      </c>
      <c r="BN192" s="150">
        <f t="shared" si="51"/>
        <v>9604.6918164134986</v>
      </c>
      <c r="BO192" s="373">
        <f>IFERROR(Tabla1[[#This Row],[ Re. Gas GC
 '[m3']]]/Tabla1[[#This Row],[G. HGS 
Con Gas '[kWh']]],0)</f>
        <v>0.27094617134192572</v>
      </c>
      <c r="BP192" s="374">
        <f>Tank!Y193</f>
        <v>0</v>
      </c>
      <c r="BQ192" s="70">
        <f>Tank!AP193</f>
        <v>0</v>
      </c>
      <c r="BR192" s="70">
        <f>Tank!V193</f>
        <v>0</v>
      </c>
      <c r="BS192" s="372">
        <f>Tank!T193</f>
        <v>0</v>
      </c>
      <c r="BT192" s="375" t="s">
        <v>228</v>
      </c>
      <c r="BU192" s="452">
        <v>71</v>
      </c>
      <c r="BV192" s="375">
        <f>IF(Tabla1[[#This Row],[Combustible ofertado]]="GAS",Tabla1[[#This Row],[Disponibilidad]],0)</f>
        <v>0</v>
      </c>
      <c r="BW192" s="375">
        <f>IF(Tabla1[[#This Row],[Combustible ofertado]]="DIESEL",Tabla1[[#This Row],[Disponibilidad]],0)</f>
        <v>71</v>
      </c>
      <c r="BX192" s="375">
        <f>IF(Tabla1[[#This Row],[Combustible ofertado]]="HFO",Tabla1[[#This Row],[Disponibilidad]],0)</f>
        <v>0</v>
      </c>
      <c r="BY192" s="452">
        <v>1290</v>
      </c>
      <c r="BZ192" s="446">
        <f>'Horo. M'!C193</f>
        <v>24</v>
      </c>
      <c r="CA192" s="446">
        <f>'Horo. M'!E193</f>
        <v>24</v>
      </c>
      <c r="CB192" s="446">
        <f>'Horo. M'!G193</f>
        <v>24</v>
      </c>
      <c r="CC192" s="446">
        <f>'Horo. M'!I193</f>
        <v>23</v>
      </c>
      <c r="CD192" s="446">
        <f>'Horo. M'!K193</f>
        <v>24</v>
      </c>
      <c r="CE192" s="446">
        <f>'Horo. M'!M193</f>
        <v>0</v>
      </c>
      <c r="CF192" s="446">
        <f>'Horo. M'!O193</f>
        <v>24</v>
      </c>
      <c r="CG192" s="446">
        <f>'Horo. M'!Q193</f>
        <v>24</v>
      </c>
      <c r="CH192" s="446">
        <f>'Horo. M'!S193</f>
        <v>0</v>
      </c>
      <c r="CI192" s="446">
        <f>'Horo. M'!U193</f>
        <v>24</v>
      </c>
      <c r="CJ192" s="70">
        <f>Tabla1[[#This Row],[Con. DO Storage '[gal']]]-Tabla1[[#This Row],[C. DO Storage Ge '[gal']]]</f>
        <v>501.92689948048201</v>
      </c>
      <c r="CK192" s="70"/>
      <c r="CL192" s="70"/>
      <c r="CM192" s="372">
        <f>Tabla1[[#This Row],[Con. DO Total '[gal']]]*131485.5/(1000000)</f>
        <v>309.48701801790554</v>
      </c>
    </row>
    <row r="193" spans="1:91" ht="15" customHeight="1">
      <c r="A193" s="362">
        <v>45118</v>
      </c>
      <c r="B193" s="363" t="str">
        <f>TEXT(Tabla1[[#This Row],[Fecha]],"mmmm")</f>
        <v>julio</v>
      </c>
      <c r="C193" s="429">
        <v>0</v>
      </c>
      <c r="D193" s="430">
        <v>1272</v>
      </c>
      <c r="E193" s="430">
        <v>1272</v>
      </c>
      <c r="F193" s="430">
        <v>1318</v>
      </c>
      <c r="G193" s="431">
        <v>0</v>
      </c>
      <c r="H193" s="431">
        <v>0</v>
      </c>
      <c r="I193" s="432">
        <v>0</v>
      </c>
      <c r="J193" s="432">
        <v>0</v>
      </c>
      <c r="K193" s="430">
        <v>24</v>
      </c>
      <c r="L193" s="430">
        <v>24</v>
      </c>
      <c r="M193" s="365">
        <f>Tabla1[[#This Row],[Columna1]]-Tabla1[[#This Row],[PO '[h']]]</f>
        <v>0</v>
      </c>
      <c r="N193" s="365">
        <f t="shared" si="58"/>
        <v>1318</v>
      </c>
      <c r="O193" s="430">
        <v>1318</v>
      </c>
      <c r="P193" s="367">
        <f>Tabla1[[#This Row],[G. HGS 
'[MWh']]]</f>
        <v>1318</v>
      </c>
      <c r="Q193" s="430">
        <v>0</v>
      </c>
      <c r="R193" s="367">
        <v>0</v>
      </c>
      <c r="S193" s="367">
        <f>Tabla1[[#This Row],[G. HGS 
Con Gas]]*1000</f>
        <v>1318000</v>
      </c>
      <c r="T193" s="365">
        <f>Tabla1[[#This Row],[G. HGS 
'[MWh']]]*1000</f>
        <v>1318000</v>
      </c>
      <c r="U193" s="368">
        <f>SUM('G. Un GE'!B193:Y193)</f>
        <v>1305.5051999999998</v>
      </c>
      <c r="V193" s="369">
        <f>Tabla1[[#This Row],[R. GE
'[MWh']]]</f>
        <v>1305.5051999999998</v>
      </c>
      <c r="W193" s="434">
        <v>0</v>
      </c>
      <c r="X193" s="369">
        <v>0</v>
      </c>
      <c r="Y193" s="365">
        <f>Tabla1[[#This Row],[R. GE
'[MWh']]]*1000</f>
        <v>1305505.1999999997</v>
      </c>
      <c r="Z193" s="434">
        <v>37.99</v>
      </c>
      <c r="AA19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37.99</v>
      </c>
      <c r="AB193" s="371">
        <f>IF(Tabla1[[#This Row],[G. HGS 
'[MWh']]]=0,0,Tabla1[[#This Row],[G. HGS 
'[MWh']]]+Tabla1[[#This Row],[Con. Aux. '[MWh']2]])</f>
        <v>1355.99</v>
      </c>
      <c r="AC193" s="368">
        <f>'C. ENER. TN'!F193</f>
        <v>0</v>
      </c>
      <c r="AD193" s="370">
        <f>'C. ENER. TN'!G193</f>
        <v>1305.5051999999998</v>
      </c>
      <c r="AE193" s="370">
        <f>'G. Un GE'!AX193</f>
        <v>167.08290892857144</v>
      </c>
      <c r="AF193" s="368">
        <f>IFERROR('G. Un GE'!AX193/Tabla1[[#This Row],[PO '[h']]],0)</f>
        <v>6.9617878720238098</v>
      </c>
      <c r="AG193" s="365">
        <f>'Ar-Pa'!AX193</f>
        <v>1</v>
      </c>
      <c r="AH193" s="365">
        <f>'Ar-Pa'!AY193</f>
        <v>1</v>
      </c>
      <c r="AI193" s="366">
        <f>SUM('Cal. Arr'!AB196:AY196)</f>
        <v>0</v>
      </c>
      <c r="AJ193" s="442">
        <v>9.5</v>
      </c>
      <c r="AK193" s="443">
        <v>0</v>
      </c>
      <c r="AL193" s="267">
        <f t="shared" si="42"/>
        <v>0</v>
      </c>
      <c r="AM193" s="267">
        <f>+CONVERT(AK193+Tabla1[[#This Row],[Con. DO Storage Gen. '[m3']]],"m^3","gal")</f>
        <v>2509.63449740241</v>
      </c>
      <c r="AN193" s="372">
        <f>SUM('DO Pilot'!B193:Y193)</f>
        <v>6.8200000000000021</v>
      </c>
      <c r="AO193" s="372">
        <f t="shared" si="43"/>
        <v>1801.6533970825728</v>
      </c>
      <c r="AP193" s="267">
        <f>AK193+AN193+Tabla1[[#This Row],[Con. DO Storage Gen. '[m3']]]</f>
        <v>16.32</v>
      </c>
      <c r="AQ193" s="372">
        <f t="shared" si="49"/>
        <v>4311.2878944849826</v>
      </c>
      <c r="AR193" s="443">
        <v>0</v>
      </c>
      <c r="AS193" s="443">
        <v>11026</v>
      </c>
      <c r="AT193" s="267">
        <f>+CONVERT(SUM(Tabla1[[#This Row],[Repo. DO Storage '[gal']]:[Repo. DO Pilot '[gal']]]),"gal","m3")</f>
        <v>41.737950330383995</v>
      </c>
      <c r="AU193" s="442">
        <v>0</v>
      </c>
      <c r="AV193" s="372">
        <f t="shared" si="59"/>
        <v>0</v>
      </c>
      <c r="AW193" s="442">
        <v>0</v>
      </c>
      <c r="AX193" s="372">
        <f t="shared" si="44"/>
        <v>0</v>
      </c>
      <c r="AY193" s="372">
        <f t="shared" si="45"/>
        <v>0</v>
      </c>
      <c r="AZ193" s="372">
        <f>IFERROR(AL193/'Ar-Pa'!AX193,0)</f>
        <v>0</v>
      </c>
      <c r="BA193" s="372">
        <f>IFERROR(AL193/'Ar-Pa'!AY193,0)</f>
        <v>0</v>
      </c>
      <c r="BB193" s="372">
        <f t="shared" si="46"/>
        <v>1.3669600888335149</v>
      </c>
      <c r="BC193" s="372">
        <f>IFERROR(AVERAGEIF('DO Pilot'!AX193:BU193,"&gt;0"),0)</f>
        <v>9.6076859518350428</v>
      </c>
      <c r="BD193" s="446">
        <v>348636</v>
      </c>
      <c r="BE193" s="446">
        <v>12341</v>
      </c>
      <c r="BF193" s="446">
        <v>348633</v>
      </c>
      <c r="BG193" s="223">
        <f>Tabla1[[#This Row],[ Re. Gas GC
 '[m3']]]</f>
        <v>348633</v>
      </c>
      <c r="BH193" s="150">
        <f>IFERROR((BG193*Gas!$B$3)/28.31685,0)</f>
        <v>12264.825428675858</v>
      </c>
      <c r="BI193" s="73">
        <f t="shared" si="60"/>
        <v>-76.174571324141652</v>
      </c>
      <c r="BJ193" s="74">
        <f t="shared" si="50"/>
        <v>-6.2108157810417076E-3</v>
      </c>
      <c r="BK193" s="223">
        <f t="shared" si="47"/>
        <v>9363.4294385432477</v>
      </c>
      <c r="BL193" s="442">
        <v>0</v>
      </c>
      <c r="BM193" s="70">
        <f t="shared" si="48"/>
        <v>9044.9232137964573</v>
      </c>
      <c r="BN193" s="150">
        <f t="shared" si="51"/>
        <v>9394.6967263522656</v>
      </c>
      <c r="BO193" s="373">
        <f>IFERROR(Tabla1[[#This Row],[ Re. Gas GC
 '[m3']]]/Tabla1[[#This Row],[G. HGS 
Con Gas '[kWh']]],0)</f>
        <v>0.26451669195751137</v>
      </c>
      <c r="BP193" s="374">
        <f>Tank!Y194</f>
        <v>0</v>
      </c>
      <c r="BQ193" s="70">
        <f>Tank!AP194</f>
        <v>30.3</v>
      </c>
      <c r="BR193" s="70">
        <f>Tank!V194</f>
        <v>0</v>
      </c>
      <c r="BS193" s="372">
        <f>Tank!T194</f>
        <v>0</v>
      </c>
      <c r="BT193" s="375" t="s">
        <v>228</v>
      </c>
      <c r="BU193" s="452">
        <v>71</v>
      </c>
      <c r="BV193" s="375">
        <f>IF(Tabla1[[#This Row],[Combustible ofertado]]="GAS",Tabla1[[#This Row],[Disponibilidad]],0)</f>
        <v>0</v>
      </c>
      <c r="BW193" s="375">
        <f>IF(Tabla1[[#This Row],[Combustible ofertado]]="DIESEL",Tabla1[[#This Row],[Disponibilidad]],0)</f>
        <v>71</v>
      </c>
      <c r="BX193" s="375">
        <f>IF(Tabla1[[#This Row],[Combustible ofertado]]="HFO",Tabla1[[#This Row],[Disponibilidad]],0)</f>
        <v>0</v>
      </c>
      <c r="BY193" s="452">
        <v>1290</v>
      </c>
      <c r="BZ193" s="446">
        <f>'Horo. M'!C194</f>
        <v>24</v>
      </c>
      <c r="CA193" s="446">
        <f>'Horo. M'!E194</f>
        <v>24</v>
      </c>
      <c r="CB193" s="446">
        <f>'Horo. M'!G194</f>
        <v>23</v>
      </c>
      <c r="CC193" s="446">
        <f>'Horo. M'!I194</f>
        <v>24</v>
      </c>
      <c r="CD193" s="446">
        <f>'Horo. M'!K194</f>
        <v>24</v>
      </c>
      <c r="CE193" s="446">
        <f>'Horo. M'!M194</f>
        <v>0</v>
      </c>
      <c r="CF193" s="446">
        <f>'Horo. M'!O194</f>
        <v>24</v>
      </c>
      <c r="CG193" s="446">
        <f>'Horo. M'!Q194</f>
        <v>24</v>
      </c>
      <c r="CH193" s="446">
        <f>'Horo. M'!S194</f>
        <v>0</v>
      </c>
      <c r="CI193" s="446">
        <f>'Horo. M'!U194</f>
        <v>24</v>
      </c>
      <c r="CJ193" s="70">
        <f>Tabla1[[#This Row],[Con. DO Storage '[gal']]]-Tabla1[[#This Row],[C. DO Storage Ge '[gal']]]</f>
        <v>0</v>
      </c>
      <c r="CK193" s="70"/>
      <c r="CL193" s="70"/>
      <c r="CM193" s="372">
        <f>Tabla1[[#This Row],[Con. DO Total '[gal']]]*131485.5/(1000000)</f>
        <v>566.87184445030528</v>
      </c>
    </row>
    <row r="194" spans="1:91" ht="15" customHeight="1">
      <c r="A194" s="362">
        <v>45119</v>
      </c>
      <c r="B194" s="363" t="str">
        <f>TEXT(Tabla1[[#This Row],[Fecha]],"mmmm")</f>
        <v>julio</v>
      </c>
      <c r="C194" s="429">
        <v>0</v>
      </c>
      <c r="D194" s="430">
        <v>1272</v>
      </c>
      <c r="E194" s="430">
        <v>1272</v>
      </c>
      <c r="F194" s="430">
        <v>1312</v>
      </c>
      <c r="G194" s="431">
        <v>0</v>
      </c>
      <c r="H194" s="431">
        <v>0</v>
      </c>
      <c r="I194" s="432">
        <v>0</v>
      </c>
      <c r="J194" s="432">
        <v>0</v>
      </c>
      <c r="K194" s="430">
        <v>24</v>
      </c>
      <c r="L194" s="430">
        <v>24</v>
      </c>
      <c r="M194" s="365">
        <f>Tabla1[[#This Row],[Columna1]]-Tabla1[[#This Row],[PO '[h']]]</f>
        <v>0</v>
      </c>
      <c r="N194" s="365">
        <f t="shared" si="58"/>
        <v>1312</v>
      </c>
      <c r="O194" s="430">
        <v>1312</v>
      </c>
      <c r="P194" s="367">
        <f>Tabla1[[#This Row],[G. HGS 
'[MWh']]]</f>
        <v>1312</v>
      </c>
      <c r="Q194" s="430">
        <v>0</v>
      </c>
      <c r="R194" s="367">
        <v>0</v>
      </c>
      <c r="S194" s="367">
        <f>Tabla1[[#This Row],[G. HGS 
Con Gas]]*1000</f>
        <v>1312000</v>
      </c>
      <c r="T194" s="365">
        <f>Tabla1[[#This Row],[G. HGS 
'[MWh']]]*1000</f>
        <v>1312000</v>
      </c>
      <c r="U194" s="368">
        <f>SUM('G. Un GE'!B194:Y194)</f>
        <v>1302.0264999999999</v>
      </c>
      <c r="V194" s="369">
        <f>Tabla1[[#This Row],[R. GE
'[MWh']]]</f>
        <v>1302.0264999999999</v>
      </c>
      <c r="W194" s="434">
        <v>0</v>
      </c>
      <c r="X194" s="369">
        <v>0</v>
      </c>
      <c r="Y194" s="365">
        <f>Tabla1[[#This Row],[R. GE
'[MWh']]]*1000</f>
        <v>1302026.5</v>
      </c>
      <c r="Z194" s="434">
        <v>38.619999999999997</v>
      </c>
      <c r="AA19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38.619999999999997</v>
      </c>
      <c r="AB194" s="371">
        <f>IF(Tabla1[[#This Row],[G. HGS 
'[MWh']]]=0,0,Tabla1[[#This Row],[G. HGS 
'[MWh']]]+Tabla1[[#This Row],[Con. Aux. '[MWh']2]])</f>
        <v>1350.62</v>
      </c>
      <c r="AC194" s="368">
        <f>'C. ENER. TN'!F194</f>
        <v>0</v>
      </c>
      <c r="AD194" s="370">
        <f>'C. ENER. TN'!G194</f>
        <v>1302.0265000000002</v>
      </c>
      <c r="AE194" s="370">
        <f>'G. Un GE'!AX194</f>
        <v>165.69387857142854</v>
      </c>
      <c r="AF194" s="368">
        <f>IFERROR('G. Un GE'!AX194/Tabla1[[#This Row],[PO '[h']]],0)</f>
        <v>6.9039116071428559</v>
      </c>
      <c r="AG194" s="365">
        <f>'Ar-Pa'!AX194</f>
        <v>1</v>
      </c>
      <c r="AH194" s="365">
        <f>'Ar-Pa'!AY194</f>
        <v>1</v>
      </c>
      <c r="AI194" s="366">
        <f>SUM('Cal. Arr'!AB197:AY197)</f>
        <v>0</v>
      </c>
      <c r="AJ194" s="442">
        <v>10.7</v>
      </c>
      <c r="AK194" s="443">
        <v>0</v>
      </c>
      <c r="AL194" s="267">
        <f t="shared" ref="AL194:AL257" si="61">+CONVERT(AK194,"m^3","gal")</f>
        <v>0</v>
      </c>
      <c r="AM194" s="267">
        <f>+CONVERT(AK194+Tabla1[[#This Row],[Con. DO Storage Gen. '[m3']]],"m^3","gal")</f>
        <v>2826.6409602321883</v>
      </c>
      <c r="AN194" s="372">
        <f>SUM('DO Pilot'!B194:Y194)</f>
        <v>7.1399999999999979</v>
      </c>
      <c r="AO194" s="372">
        <f t="shared" ref="AO194:AO245" si="62">+CONVERT(AN194,"m^3","gal")</f>
        <v>1886.1884538371792</v>
      </c>
      <c r="AP194" s="267">
        <f>AK194+AN194+Tabla1[[#This Row],[Con. DO Storage Gen. '[m3']]]</f>
        <v>17.839999999999996</v>
      </c>
      <c r="AQ194" s="372">
        <f t="shared" si="49"/>
        <v>4712.829414069367</v>
      </c>
      <c r="AR194" s="443">
        <v>0</v>
      </c>
      <c r="AS194" s="443">
        <v>0</v>
      </c>
      <c r="AT194" s="267">
        <f>+CONVERT(SUM(Tabla1[[#This Row],[Repo. DO Storage '[gal']]:[Repo. DO Pilot '[gal']]]),"gal","m3")</f>
        <v>0</v>
      </c>
      <c r="AU194" s="442">
        <v>0</v>
      </c>
      <c r="AV194" s="372">
        <f t="shared" si="59"/>
        <v>0</v>
      </c>
      <c r="AW194" s="442">
        <v>0</v>
      </c>
      <c r="AX194" s="372">
        <f t="shared" ref="AX194:AX214" si="63">+CONVERT(AW194,"gal","m3")</f>
        <v>0</v>
      </c>
      <c r="AY194" s="372">
        <f t="shared" ref="AY194:AY257" si="64">IFERROR(AL194/O194,0)</f>
        <v>0</v>
      </c>
      <c r="AZ194" s="372">
        <f>IFERROR(AL194/'Ar-Pa'!AX194,0)</f>
        <v>0</v>
      </c>
      <c r="BA194" s="372">
        <f>IFERROR(AL194/'Ar-Pa'!AY194,0)</f>
        <v>0</v>
      </c>
      <c r="BB194" s="372">
        <f t="shared" ref="BB194:BB257" si="65">IFERROR(AO194/O194,0)</f>
        <v>1.437643638595411</v>
      </c>
      <c r="BC194" s="372">
        <f>IFERROR(AVERAGEIF('DO Pilot'!AX194:BU194,"&gt;0"),0)</f>
        <v>10.000799124987045</v>
      </c>
      <c r="BD194" s="446">
        <v>348787</v>
      </c>
      <c r="BE194" s="446">
        <v>12347</v>
      </c>
      <c r="BF194" s="446">
        <v>348371</v>
      </c>
      <c r="BG194" s="223">
        <f>Tabla1[[#This Row],[ Re. Gas GC
 '[m3']]]</f>
        <v>348371</v>
      </c>
      <c r="BH194" s="150">
        <f>IFERROR((BG194*Gas!$B$3)/28.31685,0)</f>
        <v>12255.608331435171</v>
      </c>
      <c r="BI194" s="73">
        <f t="shared" si="60"/>
        <v>-91.39166856482916</v>
      </c>
      <c r="BJ194" s="74">
        <f t="shared" si="50"/>
        <v>-7.4571303270530437E-3</v>
      </c>
      <c r="BK194" s="223">
        <f t="shared" ref="BK194:BK257" si="66">IFERROR((BE194/P194)*1000,0)</f>
        <v>9410.8231707317063</v>
      </c>
      <c r="BL194" s="442">
        <v>0</v>
      </c>
      <c r="BM194" s="70">
        <f t="shared" ref="BM194:BM257" si="67">IFERROR((BH194/AB194)*1000,0)</f>
        <v>9074.0610471007185</v>
      </c>
      <c r="BN194" s="150">
        <f t="shared" si="51"/>
        <v>9412.7180448594336</v>
      </c>
      <c r="BO194" s="373">
        <f>IFERROR(Tabla1[[#This Row],[ Re. Gas GC
 '[m3']]]/Tabla1[[#This Row],[G. HGS 
Con Gas '[kWh']]],0)</f>
        <v>0.26552667682926828</v>
      </c>
      <c r="BP194" s="374">
        <f>Tank!Y195</f>
        <v>0</v>
      </c>
      <c r="BQ194" s="70">
        <f>Tank!AP195</f>
        <v>0</v>
      </c>
      <c r="BR194" s="70">
        <f>Tank!V195</f>
        <v>0</v>
      </c>
      <c r="BS194" s="372">
        <f>Tank!T195</f>
        <v>0</v>
      </c>
      <c r="BT194" s="375" t="s">
        <v>228</v>
      </c>
      <c r="BU194" s="452">
        <v>71</v>
      </c>
      <c r="BV194" s="375">
        <f>IF(Tabla1[[#This Row],[Combustible ofertado]]="GAS",Tabla1[[#This Row],[Disponibilidad]],0)</f>
        <v>0</v>
      </c>
      <c r="BW194" s="375">
        <f>IF(Tabla1[[#This Row],[Combustible ofertado]]="DIESEL",Tabla1[[#This Row],[Disponibilidad]],0)</f>
        <v>71</v>
      </c>
      <c r="BX194" s="375">
        <f>IF(Tabla1[[#This Row],[Combustible ofertado]]="HFO",Tabla1[[#This Row],[Disponibilidad]],0)</f>
        <v>0</v>
      </c>
      <c r="BY194" s="452">
        <v>1240</v>
      </c>
      <c r="BZ194" s="446">
        <f>'Horo. M'!C195</f>
        <v>24</v>
      </c>
      <c r="CA194" s="446">
        <f>'Horo. M'!E195</f>
        <v>24</v>
      </c>
      <c r="CB194" s="446">
        <f>'Horo. M'!G195</f>
        <v>24</v>
      </c>
      <c r="CC194" s="446">
        <f>'Horo. M'!I195</f>
        <v>24</v>
      </c>
      <c r="CD194" s="446">
        <f>'Horo. M'!K195</f>
        <v>24</v>
      </c>
      <c r="CE194" s="446">
        <f>'Horo. M'!M195</f>
        <v>0</v>
      </c>
      <c r="CF194" s="446">
        <f>'Horo. M'!O195</f>
        <v>24</v>
      </c>
      <c r="CG194" s="446">
        <f>'Horo. M'!Q195</f>
        <v>24</v>
      </c>
      <c r="CH194" s="446">
        <f>'Horo. M'!S195</f>
        <v>1</v>
      </c>
      <c r="CI194" s="446">
        <f>'Horo. M'!U195</f>
        <v>24</v>
      </c>
      <c r="CJ194" s="70">
        <f>Tabla1[[#This Row],[Con. DO Storage '[gal']]]-Tabla1[[#This Row],[C. DO Storage Ge '[gal']]]</f>
        <v>0</v>
      </c>
      <c r="CK194" s="70"/>
      <c r="CL194" s="70"/>
      <c r="CM194" s="372">
        <f>Tabla1[[#This Row],[Con. DO Total '[gal']]]*131485.5/(1000000)</f>
        <v>619.66873192361777</v>
      </c>
    </row>
    <row r="195" spans="1:91" ht="15" customHeight="1">
      <c r="A195" s="362">
        <v>45120</v>
      </c>
      <c r="B195" s="363" t="str">
        <f>TEXT(Tabla1[[#This Row],[Fecha]],"mmmm")</f>
        <v>julio</v>
      </c>
      <c r="C195" s="429">
        <v>0</v>
      </c>
      <c r="D195" s="430">
        <v>1272</v>
      </c>
      <c r="E195" s="430">
        <v>1272</v>
      </c>
      <c r="F195" s="430">
        <v>1312</v>
      </c>
      <c r="G195" s="431">
        <v>0</v>
      </c>
      <c r="H195" s="431">
        <v>0</v>
      </c>
      <c r="I195" s="432">
        <v>0</v>
      </c>
      <c r="J195" s="432">
        <v>0</v>
      </c>
      <c r="K195" s="430">
        <v>24</v>
      </c>
      <c r="L195" s="430">
        <v>24</v>
      </c>
      <c r="M195" s="365">
        <f>Tabla1[[#This Row],[Columna1]]-Tabla1[[#This Row],[PO '[h']]]</f>
        <v>0</v>
      </c>
      <c r="N195" s="365">
        <f t="shared" si="58"/>
        <v>1312</v>
      </c>
      <c r="O195" s="430">
        <v>1312</v>
      </c>
      <c r="P195" s="367">
        <f>Tabla1[[#This Row],[G. HGS 
'[MWh']]]</f>
        <v>1312</v>
      </c>
      <c r="Q195" s="430">
        <v>0</v>
      </c>
      <c r="R195" s="367">
        <v>0</v>
      </c>
      <c r="S195" s="367">
        <f>Tabla1[[#This Row],[G. HGS 
Con Gas]]*1000</f>
        <v>1312000</v>
      </c>
      <c r="T195" s="365">
        <f>Tabla1[[#This Row],[G. HGS 
'[MWh']]]*1000</f>
        <v>1312000</v>
      </c>
      <c r="U195" s="368">
        <f>SUM('G. Un GE'!B195:Y195)</f>
        <v>1300.7856000000002</v>
      </c>
      <c r="V195" s="369">
        <f>Tabla1[[#This Row],[R. GE
'[MWh']]]</f>
        <v>1300.7856000000002</v>
      </c>
      <c r="W195" s="434">
        <v>0</v>
      </c>
      <c r="X195" s="369">
        <v>0</v>
      </c>
      <c r="Y195" s="365">
        <f>Tabla1[[#This Row],[R. GE
'[MWh']]]*1000</f>
        <v>1300785.6000000001</v>
      </c>
      <c r="Z195" s="434">
        <v>39.11</v>
      </c>
      <c r="AA19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39.11</v>
      </c>
      <c r="AB195" s="371">
        <f>IF(Tabla1[[#This Row],[G. HGS 
'[MWh']]]=0,0,Tabla1[[#This Row],[G. HGS 
'[MWh']]]+Tabla1[[#This Row],[Con. Aux. '[MWh']2]])</f>
        <v>1351.11</v>
      </c>
      <c r="AC195" s="368">
        <f>'C. ENER. TN'!F195</f>
        <v>0</v>
      </c>
      <c r="AD195" s="370">
        <f>'C. ENER. TN'!G195</f>
        <v>1300.7855999999997</v>
      </c>
      <c r="AE195" s="370">
        <f>'G. Un GE'!AX195</f>
        <v>158.71561547619052</v>
      </c>
      <c r="AF195" s="368">
        <f>IFERROR('G. Un GE'!AX195/Tabla1[[#This Row],[PO '[h']]],0)</f>
        <v>6.613150644841272</v>
      </c>
      <c r="AG195" s="365">
        <f>'Ar-Pa'!AX195</f>
        <v>4</v>
      </c>
      <c r="AH195" s="365">
        <f>'Ar-Pa'!AY195</f>
        <v>3</v>
      </c>
      <c r="AI195" s="366">
        <f>SUM('Cal. Arr'!AB198:AY198)</f>
        <v>0</v>
      </c>
      <c r="AJ195" s="442">
        <v>11.2</v>
      </c>
      <c r="AK195" s="443">
        <v>1</v>
      </c>
      <c r="AL195" s="267">
        <f t="shared" si="61"/>
        <v>264.17205235814845</v>
      </c>
      <c r="AM195" s="267">
        <f>+CONVERT(AK195+Tabla1[[#This Row],[Con. DO Storage Gen. '[m3']]],"m^3","gal")</f>
        <v>3222.8990387694107</v>
      </c>
      <c r="AN195" s="372">
        <f>SUM('DO Pilot'!B195:Y195)</f>
        <v>7.4299999999999962</v>
      </c>
      <c r="AO195" s="372">
        <f t="shared" si="62"/>
        <v>1962.7983490210418</v>
      </c>
      <c r="AP195" s="267">
        <f>AK195+AN195+Tabla1[[#This Row],[Con. DO Storage Gen. '[m3']]]</f>
        <v>19.629999999999995</v>
      </c>
      <c r="AQ195" s="372">
        <f t="shared" ref="AQ195:AQ258" si="68">+CONVERT(AP195,"m^3","gal")</f>
        <v>5185.6973877904529</v>
      </c>
      <c r="AR195" s="443">
        <v>0</v>
      </c>
      <c r="AS195" s="443">
        <v>0</v>
      </c>
      <c r="AT195" s="267">
        <f>+CONVERT(SUM(Tabla1[[#This Row],[Repo. DO Storage '[gal']]:[Repo. DO Pilot '[gal']]]),"gal","m3")</f>
        <v>0</v>
      </c>
      <c r="AU195" s="442">
        <v>0</v>
      </c>
      <c r="AV195" s="372">
        <f t="shared" si="59"/>
        <v>0</v>
      </c>
      <c r="AW195" s="442">
        <v>0</v>
      </c>
      <c r="AX195" s="372">
        <f t="shared" si="63"/>
        <v>0</v>
      </c>
      <c r="AY195" s="372">
        <f t="shared" si="64"/>
        <v>0.20135064966322291</v>
      </c>
      <c r="AZ195" s="372">
        <f>IFERROR(AL195/'Ar-Pa'!AX195,0)</f>
        <v>66.043013089537112</v>
      </c>
      <c r="BA195" s="372">
        <f>IFERROR(AL195/'Ar-Pa'!AY195,0)</f>
        <v>88.057350786049483</v>
      </c>
      <c r="BB195" s="372">
        <f t="shared" si="65"/>
        <v>1.4960353269977453</v>
      </c>
      <c r="BC195" s="372">
        <f>IFERROR(AVERAGEIF('DO Pilot'!AX195:BU195,"&gt;0"),0)</f>
        <v>9.9791779004636876</v>
      </c>
      <c r="BD195" s="446">
        <v>347209</v>
      </c>
      <c r="BE195" s="446">
        <v>12291</v>
      </c>
      <c r="BF195" s="446">
        <v>346714</v>
      </c>
      <c r="BG195" s="223">
        <f>Tabla1[[#This Row],[ Re. Gas GC
 '[m3']]]</f>
        <v>346714</v>
      </c>
      <c r="BH195" s="150">
        <f>IFERROR((BG195*Gas!$B$3)/28.31685,0)</f>
        <v>12197.315468351882</v>
      </c>
      <c r="BI195" s="73">
        <f t="shared" si="60"/>
        <v>-93.684531648117627</v>
      </c>
      <c r="BJ195" s="74">
        <f t="shared" ref="BJ195:BJ258" si="69">IFERROR(BI195/BH195,0)</f>
        <v>-7.6807500708823105E-3</v>
      </c>
      <c r="BK195" s="223">
        <f t="shared" si="66"/>
        <v>9368.1402439024387</v>
      </c>
      <c r="BL195" s="442">
        <v>0</v>
      </c>
      <c r="BM195" s="70">
        <f t="shared" si="67"/>
        <v>9027.6257805447985</v>
      </c>
      <c r="BN195" s="150">
        <f t="shared" si="51"/>
        <v>9376.8838372379578</v>
      </c>
      <c r="BO195" s="373">
        <f>IFERROR(Tabla1[[#This Row],[ Re. Gas GC
 '[m3']]]/Tabla1[[#This Row],[G. HGS 
Con Gas '[kWh']]],0)</f>
        <v>0.26426371951219513</v>
      </c>
      <c r="BP195" s="374">
        <f>Tank!Y196</f>
        <v>0</v>
      </c>
      <c r="BQ195" s="70">
        <f>Tank!AP196</f>
        <v>0</v>
      </c>
      <c r="BR195" s="70">
        <f>Tank!V196</f>
        <v>0</v>
      </c>
      <c r="BS195" s="372">
        <f>Tank!T196</f>
        <v>0</v>
      </c>
      <c r="BT195" s="375" t="s">
        <v>228</v>
      </c>
      <c r="BU195" s="452">
        <v>71</v>
      </c>
      <c r="BV195" s="375">
        <f>IF(Tabla1[[#This Row],[Combustible ofertado]]="GAS",Tabla1[[#This Row],[Disponibilidad]],0)</f>
        <v>0</v>
      </c>
      <c r="BW195" s="375">
        <f>IF(Tabla1[[#This Row],[Combustible ofertado]]="DIESEL",Tabla1[[#This Row],[Disponibilidad]],0)</f>
        <v>71</v>
      </c>
      <c r="BX195" s="375">
        <f>IF(Tabla1[[#This Row],[Combustible ofertado]]="HFO",Tabla1[[#This Row],[Disponibilidad]],0)</f>
        <v>0</v>
      </c>
      <c r="BY195" s="452">
        <v>1240</v>
      </c>
      <c r="BZ195" s="446">
        <f>'Horo. M'!C196</f>
        <v>24</v>
      </c>
      <c r="CA195" s="446">
        <f>'Horo. M'!E196</f>
        <v>24</v>
      </c>
      <c r="CB195" s="446">
        <f>'Horo. M'!G196</f>
        <v>24</v>
      </c>
      <c r="CC195" s="446">
        <f>'Horo. M'!I196</f>
        <v>24</v>
      </c>
      <c r="CD195" s="446">
        <f>'Horo. M'!K196</f>
        <v>24</v>
      </c>
      <c r="CE195" s="446">
        <f>'Horo. M'!M196</f>
        <v>0</v>
      </c>
      <c r="CF195" s="446">
        <f>'Horo. M'!O196</f>
        <v>24</v>
      </c>
      <c r="CG195" s="446">
        <f>'Horo. M'!Q196</f>
        <v>24</v>
      </c>
      <c r="CH195" s="446">
        <f>'Horo. M'!S196</f>
        <v>10</v>
      </c>
      <c r="CI195" s="446">
        <f>'Horo. M'!U196</f>
        <v>24</v>
      </c>
      <c r="CJ195" s="70">
        <f>Tabla1[[#This Row],[Con. DO Storage '[gal']]]-Tabla1[[#This Row],[C. DO Storage Ge '[gal']]]</f>
        <v>264.17205235814845</v>
      </c>
      <c r="CK195" s="70"/>
      <c r="CL195" s="70"/>
      <c r="CM195" s="372">
        <f>Tabla1[[#This Row],[Con. DO Total '[gal']]]*131485.5/(1000000)</f>
        <v>681.84401388232163</v>
      </c>
    </row>
    <row r="196" spans="1:91" ht="15" customHeight="1">
      <c r="A196" s="362">
        <v>45121</v>
      </c>
      <c r="B196" s="363" t="str">
        <f>TEXT(Tabla1[[#This Row],[Fecha]],"mmmm")</f>
        <v>julio</v>
      </c>
      <c r="C196" s="429">
        <v>0</v>
      </c>
      <c r="D196" s="430">
        <v>1272</v>
      </c>
      <c r="E196" s="430">
        <v>1272</v>
      </c>
      <c r="F196" s="430">
        <v>1315</v>
      </c>
      <c r="G196" s="431">
        <v>0</v>
      </c>
      <c r="H196" s="431">
        <v>0</v>
      </c>
      <c r="I196" s="432">
        <v>0</v>
      </c>
      <c r="J196" s="432">
        <v>0</v>
      </c>
      <c r="K196" s="430">
        <v>24</v>
      </c>
      <c r="L196" s="430">
        <v>24</v>
      </c>
      <c r="M196" s="365">
        <f>Tabla1[[#This Row],[Columna1]]-Tabla1[[#This Row],[PO '[h']]]</f>
        <v>0</v>
      </c>
      <c r="N196" s="365">
        <f t="shared" si="58"/>
        <v>1315</v>
      </c>
      <c r="O196" s="430">
        <v>1315</v>
      </c>
      <c r="P196" s="367">
        <f>Tabla1[[#This Row],[G. HGS 
'[MWh']]]</f>
        <v>1315</v>
      </c>
      <c r="Q196" s="430">
        <v>0</v>
      </c>
      <c r="R196" s="367">
        <v>0</v>
      </c>
      <c r="S196" s="367">
        <f>Tabla1[[#This Row],[G. HGS 
Con Gas]]*1000</f>
        <v>1315000</v>
      </c>
      <c r="T196" s="365">
        <f>Tabla1[[#This Row],[G. HGS 
'[MWh']]]*1000</f>
        <v>1315000</v>
      </c>
      <c r="U196" s="368">
        <f>SUM('G. Un GE'!B196:Y196)</f>
        <v>1303.5635999999997</v>
      </c>
      <c r="V196" s="369">
        <f>Tabla1[[#This Row],[R. GE
'[MWh']]]</f>
        <v>1303.5635999999997</v>
      </c>
      <c r="W196" s="434">
        <v>0</v>
      </c>
      <c r="X196" s="369">
        <v>0</v>
      </c>
      <c r="Y196" s="365">
        <f>Tabla1[[#This Row],[R. GE
'[MWh']]]*1000</f>
        <v>1303563.5999999996</v>
      </c>
      <c r="Z196" s="434">
        <v>37.520000000000003</v>
      </c>
      <c r="AA19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37.520000000000003</v>
      </c>
      <c r="AB196" s="371">
        <f>IF(Tabla1[[#This Row],[G. HGS 
'[MWh']]]=0,0,Tabla1[[#This Row],[G. HGS 
'[MWh']]]+Tabla1[[#This Row],[Con. Aux. '[MWh']2]])</f>
        <v>1352.52</v>
      </c>
      <c r="AC196" s="368">
        <f>'C. ENER. TN'!F196</f>
        <v>0</v>
      </c>
      <c r="AD196" s="370">
        <f>'C. ENER. TN'!G196</f>
        <v>1303.5636000000002</v>
      </c>
      <c r="AE196" s="370">
        <f>'G. Un GE'!AX196</f>
        <v>162.94544999999997</v>
      </c>
      <c r="AF196" s="368">
        <f>IFERROR('G. Un GE'!AX196/Tabla1[[#This Row],[PO '[h']]],0)</f>
        <v>6.7893937499999986</v>
      </c>
      <c r="AG196" s="365">
        <f>'Ar-Pa'!AX196</f>
        <v>0</v>
      </c>
      <c r="AH196" s="365">
        <f>'Ar-Pa'!AY196</f>
        <v>1</v>
      </c>
      <c r="AI196" s="366">
        <f>SUM('Cal. Arr'!AB199:AY199)</f>
        <v>0</v>
      </c>
      <c r="AJ196" s="442">
        <v>0</v>
      </c>
      <c r="AK196" s="443">
        <v>1</v>
      </c>
      <c r="AL196" s="267">
        <f t="shared" si="61"/>
        <v>264.17205235814845</v>
      </c>
      <c r="AM196" s="267">
        <f>+CONVERT(AK196+Tabla1[[#This Row],[Con. DO Storage Gen. '[m3']]],"m^3","gal")</f>
        <v>264.17205235814845</v>
      </c>
      <c r="AN196" s="372">
        <f>SUM('DO Pilot'!B196:Y196)</f>
        <v>6.01</v>
      </c>
      <c r="AO196" s="372">
        <f t="shared" si="62"/>
        <v>1587.6740346724721</v>
      </c>
      <c r="AP196" s="267">
        <f>AK196+AN196+Tabla1[[#This Row],[Con. DO Storage Gen. '[m3']]]</f>
        <v>7.01</v>
      </c>
      <c r="AQ196" s="372">
        <f t="shared" si="68"/>
        <v>1851.8460870306205</v>
      </c>
      <c r="AR196" s="443">
        <v>0</v>
      </c>
      <c r="AS196" s="443">
        <v>0</v>
      </c>
      <c r="AT196" s="267">
        <f>+CONVERT(SUM(Tabla1[[#This Row],[Repo. DO Storage '[gal']]:[Repo. DO Pilot '[gal']]]),"gal","m3")</f>
        <v>0</v>
      </c>
      <c r="AU196" s="442">
        <v>0</v>
      </c>
      <c r="AV196" s="372">
        <f t="shared" si="59"/>
        <v>0</v>
      </c>
      <c r="AW196" s="442">
        <v>0</v>
      </c>
      <c r="AX196" s="372">
        <f t="shared" si="63"/>
        <v>0</v>
      </c>
      <c r="AY196" s="372">
        <f t="shared" si="64"/>
        <v>0.20089129456893418</v>
      </c>
      <c r="AZ196" s="372">
        <f>IFERROR(AL196/'Ar-Pa'!AX196,0)</f>
        <v>0</v>
      </c>
      <c r="BA196" s="372">
        <f>IFERROR(AL196/'Ar-Pa'!AY196,0)</f>
        <v>264.17205235814845</v>
      </c>
      <c r="BB196" s="372">
        <f t="shared" si="65"/>
        <v>1.2073566803592943</v>
      </c>
      <c r="BC196" s="372">
        <f>IFERROR(AVERAGEIF('DO Pilot'!AX196:BU196,"&gt;0"),0)</f>
        <v>8.2691355972524576</v>
      </c>
      <c r="BD196" s="446">
        <v>358704</v>
      </c>
      <c r="BE196" s="446">
        <v>12698</v>
      </c>
      <c r="BF196" s="446">
        <v>358387</v>
      </c>
      <c r="BG196" s="223">
        <f>Tabla1[[#This Row],[ Re. Gas GC
 '[m3']]]</f>
        <v>358387</v>
      </c>
      <c r="BH196" s="150">
        <f>IFERROR((BG196*Gas!$B$3)/28.31685,0)</f>
        <v>12607.968812208985</v>
      </c>
      <c r="BI196" s="73">
        <f t="shared" si="60"/>
        <v>-90.031187791015327</v>
      </c>
      <c r="BJ196" s="74">
        <f t="shared" si="69"/>
        <v>-7.1408161879202309E-3</v>
      </c>
      <c r="BK196" s="223">
        <f t="shared" si="66"/>
        <v>9656.2737642585562</v>
      </c>
      <c r="BL196" s="442">
        <v>0</v>
      </c>
      <c r="BM196" s="70">
        <f t="shared" si="67"/>
        <v>9321.8353977826464</v>
      </c>
      <c r="BN196" s="150">
        <f t="shared" si="51"/>
        <v>9671.9245706223974</v>
      </c>
      <c r="BO196" s="373">
        <f>IFERROR(Tabla1[[#This Row],[ Re. Gas GC
 '[m3']]]/Tabla1[[#This Row],[G. HGS 
Con Gas '[kWh']]],0)</f>
        <v>0.27253764258555135</v>
      </c>
      <c r="BP196" s="374">
        <f>Tank!Y197</f>
        <v>0</v>
      </c>
      <c r="BQ196" s="70">
        <f>Tank!AP197</f>
        <v>0</v>
      </c>
      <c r="BR196" s="70">
        <f>Tank!V197</f>
        <v>0</v>
      </c>
      <c r="BS196" s="372">
        <f>Tank!T197</f>
        <v>0</v>
      </c>
      <c r="BT196" s="375" t="s">
        <v>228</v>
      </c>
      <c r="BU196" s="452">
        <v>71</v>
      </c>
      <c r="BV196" s="375">
        <f>IF(Tabla1[[#This Row],[Combustible ofertado]]="GAS",Tabla1[[#This Row],[Disponibilidad]],0)</f>
        <v>0</v>
      </c>
      <c r="BW196" s="375">
        <f>IF(Tabla1[[#This Row],[Combustible ofertado]]="DIESEL",Tabla1[[#This Row],[Disponibilidad]],0)</f>
        <v>71</v>
      </c>
      <c r="BX196" s="375">
        <f>IF(Tabla1[[#This Row],[Combustible ofertado]]="HFO",Tabla1[[#This Row],[Disponibilidad]],0)</f>
        <v>0</v>
      </c>
      <c r="BY196" s="452">
        <v>1240</v>
      </c>
      <c r="BZ196" s="446">
        <f>'Horo. M'!C197</f>
        <v>0</v>
      </c>
      <c r="CA196" s="446">
        <f>'Horo. M'!E197</f>
        <v>24</v>
      </c>
      <c r="CB196" s="446">
        <f>'Horo. M'!G197</f>
        <v>24</v>
      </c>
      <c r="CC196" s="446">
        <f>'Horo. M'!I197</f>
        <v>24</v>
      </c>
      <c r="CD196" s="446">
        <f>'Horo. M'!K197</f>
        <v>24</v>
      </c>
      <c r="CE196" s="446">
        <f>'Horo. M'!M197</f>
        <v>0</v>
      </c>
      <c r="CF196" s="446">
        <f>'Horo. M'!O197</f>
        <v>24</v>
      </c>
      <c r="CG196" s="446">
        <f>'Horo. M'!Q197</f>
        <v>23</v>
      </c>
      <c r="CH196" s="446">
        <f>'Horo. M'!S197</f>
        <v>24</v>
      </c>
      <c r="CI196" s="446">
        <f>'Horo. M'!U197</f>
        <v>24</v>
      </c>
      <c r="CJ196" s="70">
        <f>Tabla1[[#This Row],[Con. DO Storage '[gal']]]-Tabla1[[#This Row],[C. DO Storage Ge '[gal']]]</f>
        <v>264.17205235814845</v>
      </c>
      <c r="CK196" s="70"/>
      <c r="CL196" s="70"/>
      <c r="CM196" s="372">
        <f>Tabla1[[#This Row],[Con. DO Total '[gal']]]*131485.5/(1000000)</f>
        <v>243.49090867626464</v>
      </c>
    </row>
    <row r="197" spans="1:91" ht="15" customHeight="1">
      <c r="A197" s="362">
        <v>45122</v>
      </c>
      <c r="B197" s="363" t="str">
        <f>TEXT(Tabla1[[#This Row],[Fecha]],"mmmm")</f>
        <v>julio</v>
      </c>
      <c r="C197" s="429">
        <v>0</v>
      </c>
      <c r="D197" s="430">
        <v>1272</v>
      </c>
      <c r="E197" s="430">
        <v>1272</v>
      </c>
      <c r="F197" s="430">
        <v>1299</v>
      </c>
      <c r="G197" s="431">
        <v>0</v>
      </c>
      <c r="H197" s="431">
        <v>0</v>
      </c>
      <c r="I197" s="432">
        <v>0</v>
      </c>
      <c r="J197" s="432">
        <v>0</v>
      </c>
      <c r="K197" s="430">
        <v>24</v>
      </c>
      <c r="L197" s="430">
        <v>24</v>
      </c>
      <c r="M197" s="365">
        <f>Tabla1[[#This Row],[Columna1]]-Tabla1[[#This Row],[PO '[h']]]</f>
        <v>0</v>
      </c>
      <c r="N197" s="365">
        <f>F197+H197+J197</f>
        <v>1299</v>
      </c>
      <c r="O197" s="430">
        <v>1299</v>
      </c>
      <c r="P197" s="367">
        <f>Tabla1[[#This Row],[G. HGS 
'[MWh']]]</f>
        <v>1299</v>
      </c>
      <c r="Q197" s="430">
        <v>0</v>
      </c>
      <c r="R197" s="367">
        <v>0</v>
      </c>
      <c r="S197" s="367">
        <f>Tabla1[[#This Row],[G. HGS 
Con Gas]]*1000</f>
        <v>1299000</v>
      </c>
      <c r="T197" s="365">
        <f>Tabla1[[#This Row],[G. HGS 
'[MWh']]]*1000</f>
        <v>1299000</v>
      </c>
      <c r="U197" s="368">
        <f>SUM('G. Un GE'!B197:Y197)</f>
        <v>1287.8868</v>
      </c>
      <c r="V197" s="369">
        <f>Tabla1[[#This Row],[R. GE
'[MWh']]]</f>
        <v>1287.8868</v>
      </c>
      <c r="W197" s="434">
        <v>0</v>
      </c>
      <c r="X197" s="369">
        <v>0</v>
      </c>
      <c r="Y197" s="365">
        <f>Tabla1[[#This Row],[R. GE
'[MWh']]]*1000</f>
        <v>1287886.8</v>
      </c>
      <c r="Z197" s="434">
        <v>34.89</v>
      </c>
      <c r="AA19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34.89</v>
      </c>
      <c r="AB197" s="371">
        <f>IF(Tabla1[[#This Row],[G. HGS 
'[MWh']]]=0,0,Tabla1[[#This Row],[G. HGS 
'[MWh']]]+Tabla1[[#This Row],[Con. Aux. '[MWh']2]])</f>
        <v>1333.89</v>
      </c>
      <c r="AC197" s="368">
        <f>'C. ENER. TN'!F197</f>
        <v>0</v>
      </c>
      <c r="AD197" s="370">
        <f>'C. ENER. TN'!G197</f>
        <v>1287.8868</v>
      </c>
      <c r="AE197" s="370">
        <f>'G. Un GE'!AX197</f>
        <v>177.46516785714286</v>
      </c>
      <c r="AF197" s="368">
        <f>IFERROR('G. Un GE'!AX197/Tabla1[[#This Row],[PO '[h']]],0)</f>
        <v>7.3943819940476194</v>
      </c>
      <c r="AG197" s="365">
        <f>'Ar-Pa'!AX197</f>
        <v>2</v>
      </c>
      <c r="AH197" s="365">
        <f>'Ar-Pa'!AY197</f>
        <v>2</v>
      </c>
      <c r="AI197" s="366">
        <f>SUM('Cal. Arr'!AB200:AY200)</f>
        <v>0</v>
      </c>
      <c r="AJ197" s="442">
        <v>0</v>
      </c>
      <c r="AK197" s="443">
        <v>2</v>
      </c>
      <c r="AL197" s="267">
        <f t="shared" si="61"/>
        <v>528.3441047162969</v>
      </c>
      <c r="AM197" s="267">
        <f>+CONVERT(AK197+Tabla1[[#This Row],[Con. DO Storage Gen. '[m3']]],"m^3","gal")</f>
        <v>528.3441047162969</v>
      </c>
      <c r="AN197" s="372">
        <f>SUM('DO Pilot'!B197:Y197)</f>
        <v>6.1099999999999985</v>
      </c>
      <c r="AO197" s="372">
        <f t="shared" si="62"/>
        <v>1614.0912399082863</v>
      </c>
      <c r="AP197" s="267">
        <f>AK197+AN197+Tabla1[[#This Row],[Con. DO Storage Gen. '[m3']]]</f>
        <v>8.11</v>
      </c>
      <c r="AQ197" s="372">
        <f t="shared" si="68"/>
        <v>2142.4353446245836</v>
      </c>
      <c r="AR197" s="443">
        <v>0</v>
      </c>
      <c r="AS197" s="443">
        <v>0</v>
      </c>
      <c r="AT197" s="267">
        <f>+CONVERT(SUM(Tabla1[[#This Row],[Repo. DO Storage '[gal']]:[Repo. DO Pilot '[gal']]]),"gal","m3")</f>
        <v>0</v>
      </c>
      <c r="AU197" s="442">
        <v>0</v>
      </c>
      <c r="AV197" s="372">
        <f t="shared" si="59"/>
        <v>0</v>
      </c>
      <c r="AW197" s="442">
        <v>0</v>
      </c>
      <c r="AX197" s="372">
        <f t="shared" si="63"/>
        <v>0</v>
      </c>
      <c r="AY197" s="372">
        <f t="shared" si="64"/>
        <v>0.40673141240669508</v>
      </c>
      <c r="AZ197" s="372">
        <f>IFERROR(AL197/'Ar-Pa'!AX197,0)</f>
        <v>264.17205235814845</v>
      </c>
      <c r="BA197" s="372">
        <f>IFERROR(AL197/'Ar-Pa'!AY197,0)</f>
        <v>264.17205235814845</v>
      </c>
      <c r="BB197" s="372">
        <f t="shared" si="65"/>
        <v>1.242564464902453</v>
      </c>
      <c r="BC197" s="372">
        <f>IFERROR(AVERAGEIF('DO Pilot'!AX197:BU197,"&gt;0"),0)</f>
        <v>9.2676430570585548</v>
      </c>
      <c r="BD197" s="446">
        <v>345585</v>
      </c>
      <c r="BE197" s="446">
        <v>12233</v>
      </c>
      <c r="BF197" s="446">
        <v>345207</v>
      </c>
      <c r="BG197" s="223">
        <f>Tabla1[[#This Row],[ Re. Gas GC
 '[m3']]]</f>
        <v>345207</v>
      </c>
      <c r="BH197" s="150">
        <f>IFERROR((BG197*Gas!$B$3)/28.31685,0)</f>
        <v>12144.299569337692</v>
      </c>
      <c r="BI197" s="73">
        <f t="shared" si="60"/>
        <v>-88.700430662307554</v>
      </c>
      <c r="BJ197" s="74">
        <f t="shared" si="69"/>
        <v>-7.3038737356464082E-3</v>
      </c>
      <c r="BK197" s="223">
        <f t="shared" si="66"/>
        <v>9417.2440338722099</v>
      </c>
      <c r="BL197" s="442">
        <v>8656.92</v>
      </c>
      <c r="BM197" s="70">
        <f t="shared" si="67"/>
        <v>9104.4235801585528</v>
      </c>
      <c r="BN197" s="150">
        <f t="shared" si="51"/>
        <v>9429.6327668997728</v>
      </c>
      <c r="BO197" s="373">
        <f>IFERROR(Tabla1[[#This Row],[ Re. Gas GC
 '[m3']]]/Tabla1[[#This Row],[G. HGS 
Con Gas '[kWh']]],0)</f>
        <v>0.26574826789838335</v>
      </c>
      <c r="BP197" s="374">
        <f>Tank!Y198</f>
        <v>0</v>
      </c>
      <c r="BQ197" s="70">
        <f>Tank!AP198</f>
        <v>0</v>
      </c>
      <c r="BR197" s="70">
        <f>Tank!V198</f>
        <v>0</v>
      </c>
      <c r="BS197" s="372">
        <f>Tank!T198</f>
        <v>0</v>
      </c>
      <c r="BT197" s="375" t="s">
        <v>228</v>
      </c>
      <c r="BU197" s="452">
        <v>71</v>
      </c>
      <c r="BV197" s="376">
        <f>IF(Tabla1[[#This Row],[Combustible ofertado]]="GAS",Tabla1[[#This Row],[Disponibilidad]],0)</f>
        <v>0</v>
      </c>
      <c r="BW197" s="376">
        <f>IF(Tabla1[[#This Row],[Combustible ofertado]]="DIESEL",Tabla1[[#This Row],[Disponibilidad]],0)</f>
        <v>71</v>
      </c>
      <c r="BX197" s="376">
        <f>IF(Tabla1[[#This Row],[Combustible ofertado]]="HFO",Tabla1[[#This Row],[Disponibilidad]],0)</f>
        <v>0</v>
      </c>
      <c r="BY197" s="452">
        <v>1240</v>
      </c>
      <c r="BZ197" s="446">
        <f>'Horo. M'!C198</f>
        <v>24</v>
      </c>
      <c r="CA197" s="446">
        <f>'Horo. M'!E198</f>
        <v>20</v>
      </c>
      <c r="CB197" s="446">
        <f>'Horo. M'!G198</f>
        <v>12</v>
      </c>
      <c r="CC197" s="446">
        <f>'Horo. M'!I198</f>
        <v>24</v>
      </c>
      <c r="CD197" s="446">
        <f>'Horo. M'!K198</f>
        <v>24</v>
      </c>
      <c r="CE197" s="446">
        <f>'Horo. M'!M198</f>
        <v>0</v>
      </c>
      <c r="CF197" s="446">
        <f>'Horo. M'!O198</f>
        <v>24</v>
      </c>
      <c r="CG197" s="446">
        <f>'Horo. M'!Q198</f>
        <v>8</v>
      </c>
      <c r="CH197" s="446">
        <f>'Horo. M'!S198</f>
        <v>12</v>
      </c>
      <c r="CI197" s="446">
        <f>'Horo. M'!U198</f>
        <v>24</v>
      </c>
      <c r="CJ197" s="70">
        <f>Tabla1[[#This Row],[Con. DO Storage '[gal']]]-Tabla1[[#This Row],[C. DO Storage Ge '[gal']]]</f>
        <v>528.3441047162969</v>
      </c>
      <c r="CK197" s="70"/>
      <c r="CL197" s="70"/>
      <c r="CM197" s="372">
        <f>Tabla1[[#This Row],[Con. DO Total '[gal']]]*131485.5/(1000000)</f>
        <v>281.69918250563569</v>
      </c>
    </row>
    <row r="198" spans="1:91" ht="15" customHeight="1">
      <c r="A198" s="362">
        <v>45123</v>
      </c>
      <c r="B198" s="363" t="str">
        <f>TEXT(Tabla1[[#This Row],[Fecha]],"mmmm")</f>
        <v>julio</v>
      </c>
      <c r="C198" s="429">
        <v>0</v>
      </c>
      <c r="D198" s="430">
        <v>1272</v>
      </c>
      <c r="E198" s="430">
        <v>1272</v>
      </c>
      <c r="F198" s="430">
        <v>1307</v>
      </c>
      <c r="G198" s="431">
        <v>1</v>
      </c>
      <c r="H198" s="431">
        <v>60</v>
      </c>
      <c r="I198" s="432">
        <v>0</v>
      </c>
      <c r="J198" s="432">
        <v>0</v>
      </c>
      <c r="K198" s="430">
        <v>24</v>
      </c>
      <c r="L198" s="430">
        <v>24</v>
      </c>
      <c r="M198" s="365">
        <f>Tabla1[[#This Row],[Columna1]]-Tabla1[[#This Row],[PO '[h']]]</f>
        <v>0</v>
      </c>
      <c r="N198" s="365">
        <f t="shared" si="58"/>
        <v>1367</v>
      </c>
      <c r="O198" s="430">
        <v>1307</v>
      </c>
      <c r="P198" s="367">
        <f>Tabla1[[#This Row],[G. HGS 
'[MWh']]]</f>
        <v>1307</v>
      </c>
      <c r="Q198" s="430">
        <v>0</v>
      </c>
      <c r="R198" s="367">
        <v>0</v>
      </c>
      <c r="S198" s="367">
        <f>Tabla1[[#This Row],[G. HGS 
Con Gas]]*1000</f>
        <v>1307000</v>
      </c>
      <c r="T198" s="365">
        <f>Tabla1[[#This Row],[G. HGS 
'[MWh']]]*1000</f>
        <v>1307000</v>
      </c>
      <c r="U198" s="368">
        <f>SUM('G. Un GE'!B198:Y198)</f>
        <v>1296.4033000000002</v>
      </c>
      <c r="V198" s="369">
        <f>Tabla1[[#This Row],[R. GE
'[MWh']]]</f>
        <v>1296.4033000000002</v>
      </c>
      <c r="W198" s="434">
        <v>0</v>
      </c>
      <c r="X198" s="369">
        <v>0</v>
      </c>
      <c r="Y198" s="365">
        <f>Tabla1[[#This Row],[R. GE
'[MWh']]]*1000</f>
        <v>1296403.3000000003</v>
      </c>
      <c r="Z198" s="434">
        <v>36.729999999999997</v>
      </c>
      <c r="AA19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36.729999999999997</v>
      </c>
      <c r="AB198" s="371">
        <f>IF(Tabla1[[#This Row],[G. HGS 
'[MWh']]]=0,0,Tabla1[[#This Row],[G. HGS 
'[MWh']]]+Tabla1[[#This Row],[Con. Aux. '[MWh']2]])</f>
        <v>1343.73</v>
      </c>
      <c r="AC198" s="368">
        <f>'C. ENER. TN'!F198</f>
        <v>0</v>
      </c>
      <c r="AD198" s="370">
        <f>'C. ENER. TN'!G198</f>
        <v>1296.4032999999999</v>
      </c>
      <c r="AE198" s="370">
        <f>'G. Un GE'!AX198</f>
        <v>165.98314404761905</v>
      </c>
      <c r="AF198" s="368">
        <f>IFERROR('G. Un GE'!AX198/Tabla1[[#This Row],[PO '[h']]],0)</f>
        <v>6.9159643353174607</v>
      </c>
      <c r="AG198" s="365">
        <f>'Ar-Pa'!AX198</f>
        <v>2</v>
      </c>
      <c r="AH198" s="365">
        <f>'Ar-Pa'!AY198</f>
        <v>2</v>
      </c>
      <c r="AI198" s="366">
        <f>SUM('Cal. Arr'!AB201:AY201)</f>
        <v>0</v>
      </c>
      <c r="AJ198" s="442">
        <v>0</v>
      </c>
      <c r="AK198" s="443">
        <v>1.8</v>
      </c>
      <c r="AL198" s="267">
        <f t="shared" si="61"/>
        <v>475.50969424466717</v>
      </c>
      <c r="AM198" s="267">
        <f>+CONVERT(AK198+Tabla1[[#This Row],[Con. DO Storage Gen. '[m3']]],"m^3","gal")</f>
        <v>475.50969424466717</v>
      </c>
      <c r="AN198" s="372">
        <f>SUM('DO Pilot'!B198:Y198)</f>
        <v>6.7000000000000037</v>
      </c>
      <c r="AO198" s="372">
        <f t="shared" si="62"/>
        <v>1769.9527507995954</v>
      </c>
      <c r="AP198" s="267">
        <f>AK198+AN198+Tabla1[[#This Row],[Con. DO Storage Gen. '[m3']]]</f>
        <v>8.5000000000000036</v>
      </c>
      <c r="AQ198" s="372">
        <f t="shared" si="68"/>
        <v>2245.4624450442625</v>
      </c>
      <c r="AR198" s="443">
        <v>0</v>
      </c>
      <c r="AS198" s="443">
        <v>0</v>
      </c>
      <c r="AT198" s="267">
        <f>+CONVERT(SUM(Tabla1[[#This Row],[Repo. DO Storage '[gal']]:[Repo. DO Pilot '[gal']]]),"gal","m3")</f>
        <v>0</v>
      </c>
      <c r="AU198" s="442">
        <v>0</v>
      </c>
      <c r="AV198" s="372">
        <f t="shared" si="59"/>
        <v>0</v>
      </c>
      <c r="AW198" s="442">
        <v>0</v>
      </c>
      <c r="AX198" s="372">
        <f t="shared" si="63"/>
        <v>0</v>
      </c>
      <c r="AY198" s="372">
        <f t="shared" si="64"/>
        <v>0.36381766965927098</v>
      </c>
      <c r="AZ198" s="372">
        <f>IFERROR(AL198/'Ar-Pa'!AX198,0)</f>
        <v>237.75484712233359</v>
      </c>
      <c r="BA198" s="372">
        <f>IFERROR(AL198/'Ar-Pa'!AY198,0)</f>
        <v>237.75484712233359</v>
      </c>
      <c r="BB198" s="372">
        <f t="shared" si="65"/>
        <v>1.3542102148428428</v>
      </c>
      <c r="BC198" s="372">
        <f>IFERROR(AVERAGEIF('DO Pilot'!AX198:BU198,"&gt;0"),0)</f>
        <v>9.4419232304892802</v>
      </c>
      <c r="BD198" s="446">
        <v>355316</v>
      </c>
      <c r="BE198" s="446">
        <v>12578</v>
      </c>
      <c r="BF198" s="446">
        <v>355162</v>
      </c>
      <c r="BG198" s="223">
        <f>Tabla1[[#This Row],[ Re. Gas GC
 '[m3']]]</f>
        <v>355162</v>
      </c>
      <c r="BH198" s="150">
        <f>IFERROR((BG198*Gas!$B$3)/28.31685,0)</f>
        <v>12494.514084723405</v>
      </c>
      <c r="BI198" s="73">
        <f t="shared" si="60"/>
        <v>-83.485915276594824</v>
      </c>
      <c r="BJ198" s="74">
        <f t="shared" si="69"/>
        <v>-6.6818056877193856E-3</v>
      </c>
      <c r="BK198" s="223">
        <f t="shared" si="66"/>
        <v>9623.5654169854624</v>
      </c>
      <c r="BL198" s="442">
        <v>8801.94</v>
      </c>
      <c r="BM198" s="70">
        <f t="shared" si="67"/>
        <v>9298.3814343085323</v>
      </c>
      <c r="BN198" s="150">
        <f t="shared" si="51"/>
        <v>9637.8295895447063</v>
      </c>
      <c r="BO198" s="373">
        <f>IFERROR(Tabla1[[#This Row],[ Re. Gas GC
 '[m3']]]/Tabla1[[#This Row],[G. HGS 
Con Gas '[kWh']]],0)</f>
        <v>0.27173833205814846</v>
      </c>
      <c r="BP198" s="374">
        <f>Tank!Y199</f>
        <v>0</v>
      </c>
      <c r="BQ198" s="70">
        <f>Tank!AP199</f>
        <v>38.700000000000003</v>
      </c>
      <c r="BR198" s="70">
        <f>Tank!V199</f>
        <v>0</v>
      </c>
      <c r="BS198" s="372">
        <f>Tank!T199</f>
        <v>0</v>
      </c>
      <c r="BT198" s="375" t="s">
        <v>228</v>
      </c>
      <c r="BU198" s="452">
        <v>71</v>
      </c>
      <c r="BV198" s="376">
        <f>IF(Tabla1[[#This Row],[Combustible ofertado]]="GAS",Tabla1[[#This Row],[Disponibilidad]],0)</f>
        <v>0</v>
      </c>
      <c r="BW198" s="376">
        <f>IF(Tabla1[[#This Row],[Combustible ofertado]]="DIESEL",Tabla1[[#This Row],[Disponibilidad]],0)</f>
        <v>71</v>
      </c>
      <c r="BX198" s="376">
        <f>IF(Tabla1[[#This Row],[Combustible ofertado]]="HFO",Tabla1[[#This Row],[Disponibilidad]],0)</f>
        <v>0</v>
      </c>
      <c r="BY198" s="452">
        <v>1200</v>
      </c>
      <c r="BZ198" s="446">
        <f>'Horo. M'!C199</f>
        <v>24</v>
      </c>
      <c r="CA198" s="446">
        <f>'Horo. M'!E199</f>
        <v>24</v>
      </c>
      <c r="CB198" s="446">
        <f>'Horo. M'!G199</f>
        <v>0</v>
      </c>
      <c r="CC198" s="446">
        <f>'Horo. M'!I199</f>
        <v>24</v>
      </c>
      <c r="CD198" s="446">
        <f>'Horo. M'!K199</f>
        <v>23</v>
      </c>
      <c r="CE198" s="446">
        <f>'Horo. M'!M199</f>
        <v>0</v>
      </c>
      <c r="CF198" s="446">
        <f>'Horo. M'!O199</f>
        <v>24</v>
      </c>
      <c r="CG198" s="446">
        <f>'Horo. M'!Q199</f>
        <v>24</v>
      </c>
      <c r="CH198" s="446">
        <f>'Horo. M'!S199</f>
        <v>24</v>
      </c>
      <c r="CI198" s="446">
        <f>'Horo. M'!U199</f>
        <v>21</v>
      </c>
      <c r="CJ198" s="70">
        <f>Tabla1[[#This Row],[Con. DO Storage '[gal']]]-Tabla1[[#This Row],[C. DO Storage Ge '[gal']]]</f>
        <v>475.50969424466717</v>
      </c>
      <c r="CK198" s="70"/>
      <c r="CL198" s="70"/>
      <c r="CM198" s="372">
        <f>Tabla1[[#This Row],[Con. DO Total '[gal']]]*131485.5/(1000000)</f>
        <v>295.24575231786741</v>
      </c>
    </row>
    <row r="199" spans="1:91" ht="15" customHeight="1">
      <c r="A199" s="362">
        <v>45124</v>
      </c>
      <c r="B199" s="363" t="str">
        <f>TEXT(Tabla1[[#This Row],[Fecha]],"mmmm")</f>
        <v>julio</v>
      </c>
      <c r="C199" s="429">
        <v>0</v>
      </c>
      <c r="D199" s="430">
        <v>1272</v>
      </c>
      <c r="E199" s="430">
        <v>1272</v>
      </c>
      <c r="F199" s="430">
        <v>1312</v>
      </c>
      <c r="G199" s="431">
        <v>0</v>
      </c>
      <c r="H199" s="431">
        <v>0</v>
      </c>
      <c r="I199" s="432">
        <v>0</v>
      </c>
      <c r="J199" s="432">
        <v>0</v>
      </c>
      <c r="K199" s="430">
        <v>24</v>
      </c>
      <c r="L199" s="430">
        <v>24</v>
      </c>
      <c r="M199" s="365">
        <f>Tabla1[[#This Row],[Columna1]]-Tabla1[[#This Row],[PO '[h']]]</f>
        <v>0</v>
      </c>
      <c r="N199" s="365">
        <f t="shared" si="58"/>
        <v>1312</v>
      </c>
      <c r="O199" s="430">
        <v>1312</v>
      </c>
      <c r="P199" s="367">
        <f>Tabla1[[#This Row],[G. HGS 
'[MWh']]]</f>
        <v>1312</v>
      </c>
      <c r="Q199" s="430">
        <v>0</v>
      </c>
      <c r="R199" s="367">
        <v>0</v>
      </c>
      <c r="S199" s="367">
        <f>Tabla1[[#This Row],[G. HGS 
Con Gas]]*1000</f>
        <v>1312000</v>
      </c>
      <c r="T199" s="365">
        <f>Tabla1[[#This Row],[G. HGS 
'[MWh']]]*1000</f>
        <v>1312000</v>
      </c>
      <c r="U199" s="368">
        <f>SUM('G. Un GE'!B199:Y199)</f>
        <v>1301.3360999999998</v>
      </c>
      <c r="V199" s="369">
        <f>Tabla1[[#This Row],[R. GE
'[MWh']]]</f>
        <v>1301.3360999999998</v>
      </c>
      <c r="W199" s="434">
        <v>0</v>
      </c>
      <c r="X199" s="369">
        <v>0</v>
      </c>
      <c r="Y199" s="365">
        <f>Tabla1[[#This Row],[R. GE
'[MWh']]]*1000</f>
        <v>1301336.0999999999</v>
      </c>
      <c r="Z199" s="434">
        <v>36.869999999999997</v>
      </c>
      <c r="AA19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36.869999999999997</v>
      </c>
      <c r="AB199" s="371">
        <f>IF(Tabla1[[#This Row],[G. HGS 
'[MWh']]]=0,0,Tabla1[[#This Row],[G. HGS 
'[MWh']]]+Tabla1[[#This Row],[Con. Aux. '[MWh']2]])</f>
        <v>1348.87</v>
      </c>
      <c r="AC199" s="368">
        <f>'C. ENER. TN'!F199</f>
        <v>0</v>
      </c>
      <c r="AD199" s="370">
        <f>'C. ENER. TN'!G199</f>
        <v>1301.3361</v>
      </c>
      <c r="AE199" s="370">
        <f>'G. Un GE'!AX199</f>
        <v>162.66701249999997</v>
      </c>
      <c r="AF199" s="368">
        <f>IFERROR('G. Un GE'!AX199/Tabla1[[#This Row],[PO '[h']]],0)</f>
        <v>6.7777921874999985</v>
      </c>
      <c r="AG199" s="365">
        <f>'Ar-Pa'!AX199</f>
        <v>0</v>
      </c>
      <c r="AH199" s="365">
        <f>'Ar-Pa'!AY199</f>
        <v>0</v>
      </c>
      <c r="AI199" s="366">
        <f>SUM('Cal. Arr'!AB202:AY202)</f>
        <v>0</v>
      </c>
      <c r="AJ199" s="442">
        <v>0</v>
      </c>
      <c r="AK199" s="443">
        <v>1</v>
      </c>
      <c r="AL199" s="267">
        <f t="shared" si="61"/>
        <v>264.17205235814845</v>
      </c>
      <c r="AM199" s="267">
        <f>+CONVERT(AK199+Tabla1[[#This Row],[Con. DO Storage Gen. '[m3']]],"m^3","gal")</f>
        <v>264.17205235814845</v>
      </c>
      <c r="AN199" s="372">
        <f>SUM('DO Pilot'!B199:Y199)</f>
        <v>6.8000000000000016</v>
      </c>
      <c r="AO199" s="372">
        <f t="shared" si="62"/>
        <v>1796.3699560354098</v>
      </c>
      <c r="AP199" s="267">
        <f>AK199+AN199+Tabla1[[#This Row],[Con. DO Storage Gen. '[m3']]]</f>
        <v>7.8000000000000016</v>
      </c>
      <c r="AQ199" s="372">
        <f t="shared" si="68"/>
        <v>2060.5420083935583</v>
      </c>
      <c r="AR199" s="443">
        <v>10694</v>
      </c>
      <c r="AS199" s="443">
        <v>11000</v>
      </c>
      <c r="AT199" s="267">
        <f>+CONVERT(SUM(Tabla1[[#This Row],[Repo. DO Storage '[gal']]:[Repo. DO Pilot '[gal']]]),"gal","m3")</f>
        <v>82.120723242095991</v>
      </c>
      <c r="AU199" s="442">
        <v>0</v>
      </c>
      <c r="AV199" s="372">
        <f t="shared" si="59"/>
        <v>0</v>
      </c>
      <c r="AW199" s="442">
        <v>0</v>
      </c>
      <c r="AX199" s="372">
        <f t="shared" si="63"/>
        <v>0</v>
      </c>
      <c r="AY199" s="372">
        <f t="shared" si="64"/>
        <v>0.20135064966322291</v>
      </c>
      <c r="AZ199" s="372">
        <f>IFERROR(AL199/'Ar-Pa'!AX199,0)</f>
        <v>0</v>
      </c>
      <c r="BA199" s="372">
        <f>IFERROR(AL199/'Ar-Pa'!AY199,0)</f>
        <v>0</v>
      </c>
      <c r="BB199" s="372">
        <f t="shared" si="65"/>
        <v>1.3691844177099159</v>
      </c>
      <c r="BC199" s="372">
        <f>IFERROR(AVERAGEIF('DO Pilot'!AX199:BU199,"&gt;0"),0)</f>
        <v>9.3560935210177583</v>
      </c>
      <c r="BD199" s="446">
        <v>357048</v>
      </c>
      <c r="BE199" s="446">
        <v>12639</v>
      </c>
      <c r="BF199" s="446">
        <v>356948</v>
      </c>
      <c r="BG199" s="223">
        <f>Tabla1[[#This Row],[ Re. Gas GC
 '[m3']]]</f>
        <v>356948</v>
      </c>
      <c r="BH199" s="150">
        <f>IFERROR((BG199*Gas!$B$3)/28.31685,0)</f>
        <v>12557.345136906117</v>
      </c>
      <c r="BI199" s="73">
        <f t="shared" si="60"/>
        <v>-81.65486309388325</v>
      </c>
      <c r="BJ199" s="74">
        <f t="shared" si="69"/>
        <v>-6.5025578419357997E-3</v>
      </c>
      <c r="BK199" s="223">
        <f t="shared" si="66"/>
        <v>9633.3841463414628</v>
      </c>
      <c r="BL199" s="442">
        <v>8940.9</v>
      </c>
      <c r="BM199" s="70">
        <f t="shared" si="67"/>
        <v>9309.5295594876588</v>
      </c>
      <c r="BN199" s="150">
        <f t="shared" si="51"/>
        <v>9649.5787190612155</v>
      </c>
      <c r="BO199" s="373">
        <f>IFERROR(Tabla1[[#This Row],[ Re. Gas GC
 '[m3']]]/Tabla1[[#This Row],[G. HGS 
Con Gas '[kWh']]],0)</f>
        <v>0.27206402439024391</v>
      </c>
      <c r="BP199" s="374">
        <f>Tank!Y200</f>
        <v>0</v>
      </c>
      <c r="BQ199" s="70">
        <f>Tank!AP200</f>
        <v>42.3</v>
      </c>
      <c r="BR199" s="70">
        <f>Tank!V200</f>
        <v>0</v>
      </c>
      <c r="BS199" s="372">
        <f>Tank!T200</f>
        <v>0</v>
      </c>
      <c r="BT199" s="375" t="s">
        <v>228</v>
      </c>
      <c r="BU199" s="452">
        <v>71</v>
      </c>
      <c r="BV199" s="376">
        <f>IF(Tabla1[[#This Row],[Combustible ofertado]]="GAS",Tabla1[[#This Row],[Disponibilidad]],0)</f>
        <v>0</v>
      </c>
      <c r="BW199" s="376">
        <f>IF(Tabla1[[#This Row],[Combustible ofertado]]="DIESEL",Tabla1[[#This Row],[Disponibilidad]],0)</f>
        <v>71</v>
      </c>
      <c r="BX199" s="376">
        <f>IF(Tabla1[[#This Row],[Combustible ofertado]]="HFO",Tabla1[[#This Row],[Disponibilidad]],0)</f>
        <v>0</v>
      </c>
      <c r="BY199" s="452">
        <v>1200</v>
      </c>
      <c r="BZ199" s="446">
        <f>'Horo. M'!C200</f>
        <v>24</v>
      </c>
      <c r="CA199" s="446">
        <f>'Horo. M'!E200</f>
        <v>24</v>
      </c>
      <c r="CB199" s="446">
        <f>'Horo. M'!G200</f>
        <v>0</v>
      </c>
      <c r="CC199" s="446">
        <f>'Horo. M'!I200</f>
        <v>24</v>
      </c>
      <c r="CD199" s="446">
        <f>'Horo. M'!K200</f>
        <v>23</v>
      </c>
      <c r="CE199" s="446">
        <f>'Horo. M'!M200</f>
        <v>0</v>
      </c>
      <c r="CF199" s="446">
        <f>'Horo. M'!O200</f>
        <v>24</v>
      </c>
      <c r="CG199" s="446">
        <f>'Horo. M'!Q200</f>
        <v>24</v>
      </c>
      <c r="CH199" s="446">
        <f>'Horo. M'!S200</f>
        <v>24</v>
      </c>
      <c r="CI199" s="446">
        <f>'Horo. M'!U200</f>
        <v>24</v>
      </c>
      <c r="CJ199" s="70">
        <f>Tabla1[[#This Row],[Con. DO Storage '[gal']]]-Tabla1[[#This Row],[C. DO Storage Ge '[gal']]]</f>
        <v>264.17205235814845</v>
      </c>
      <c r="CK199" s="70"/>
      <c r="CL199" s="70"/>
      <c r="CM199" s="372">
        <f>Tabla1[[#This Row],[Con. DO Total '[gal']]]*131485.5/(1000000)</f>
        <v>270.93139624463123</v>
      </c>
    </row>
    <row r="200" spans="1:91" ht="15" customHeight="1">
      <c r="A200" s="362">
        <v>45125</v>
      </c>
      <c r="B200" s="363" t="str">
        <f>TEXT(Tabla1[[#This Row],[Fecha]],"mmmm")</f>
        <v>julio</v>
      </c>
      <c r="C200" s="429">
        <v>0</v>
      </c>
      <c r="D200" s="430">
        <v>1272</v>
      </c>
      <c r="E200" s="430">
        <v>1272</v>
      </c>
      <c r="F200" s="430">
        <v>1308</v>
      </c>
      <c r="G200" s="431">
        <v>0</v>
      </c>
      <c r="H200" s="431">
        <v>0</v>
      </c>
      <c r="I200" s="432">
        <v>0</v>
      </c>
      <c r="J200" s="432">
        <v>0</v>
      </c>
      <c r="K200" s="430">
        <v>24</v>
      </c>
      <c r="L200" s="430">
        <v>24</v>
      </c>
      <c r="M200" s="365">
        <f>Tabla1[[#This Row],[Columna1]]-Tabla1[[#This Row],[PO '[h']]]</f>
        <v>0</v>
      </c>
      <c r="N200" s="365">
        <f t="shared" si="58"/>
        <v>1308</v>
      </c>
      <c r="O200" s="430">
        <v>1308</v>
      </c>
      <c r="P200" s="367">
        <f>Tabla1[[#This Row],[G. HGS 
'[MWh']]]</f>
        <v>1308</v>
      </c>
      <c r="Q200" s="430">
        <v>0</v>
      </c>
      <c r="R200" s="367">
        <v>0</v>
      </c>
      <c r="S200" s="367">
        <f>Tabla1[[#This Row],[G. HGS 
Con Gas]]*1000</f>
        <v>1308000</v>
      </c>
      <c r="T200" s="365">
        <f>Tabla1[[#This Row],[G. HGS 
'[MWh']]]*1000</f>
        <v>1308000</v>
      </c>
      <c r="U200" s="368">
        <f>SUM('G. Un GE'!B200:Y200)</f>
        <v>1296.9729000000002</v>
      </c>
      <c r="V200" s="369">
        <f>Tabla1[[#This Row],[R. GE
'[MWh']]]</f>
        <v>1296.9729000000002</v>
      </c>
      <c r="W200" s="434">
        <v>0</v>
      </c>
      <c r="X200" s="369">
        <v>0</v>
      </c>
      <c r="Y200" s="365">
        <f>Tabla1[[#This Row],[R. GE
'[MWh']]]*1000</f>
        <v>1296972.9000000001</v>
      </c>
      <c r="Z200" s="434">
        <v>36.869999999999997</v>
      </c>
      <c r="AA20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36.869999999999997</v>
      </c>
      <c r="AB200" s="371">
        <f>IF(Tabla1[[#This Row],[G. HGS 
'[MWh']]]=0,0,Tabla1[[#This Row],[G. HGS 
'[MWh']]]+Tabla1[[#This Row],[Con. Aux. '[MWh']2]])</f>
        <v>1344.87</v>
      </c>
      <c r="AC200" s="368">
        <f>'C. ENER. TN'!F200</f>
        <v>0</v>
      </c>
      <c r="AD200" s="370">
        <f>'C. ENER. TN'!G200</f>
        <v>1296.9729</v>
      </c>
      <c r="AE200" s="370">
        <f>'G. Un GE'!AX200</f>
        <v>162.12161250000003</v>
      </c>
      <c r="AF200" s="368">
        <f>IFERROR('G. Un GE'!AX200/Tabla1[[#This Row],[PO '[h']]],0)</f>
        <v>6.7550671875000008</v>
      </c>
      <c r="AG200" s="365">
        <f>'Ar-Pa'!AX200</f>
        <v>0</v>
      </c>
      <c r="AH200" s="365">
        <f>'Ar-Pa'!AY200</f>
        <v>0</v>
      </c>
      <c r="AI200" s="366">
        <f>SUM('Cal. Arr'!AB203:AY203)</f>
        <v>0</v>
      </c>
      <c r="AJ200" s="442">
        <v>0</v>
      </c>
      <c r="AK200" s="443">
        <v>2.1</v>
      </c>
      <c r="AL200" s="267">
        <f t="shared" si="61"/>
        <v>554.76130995211167</v>
      </c>
      <c r="AM200" s="267">
        <f>+CONVERT(AK200+Tabla1[[#This Row],[Con. DO Storage Gen. '[m3']]],"m^3","gal")</f>
        <v>554.76130995211167</v>
      </c>
      <c r="AN200" s="372">
        <f>SUM('DO Pilot'!B200:Y200)</f>
        <v>6.52</v>
      </c>
      <c r="AO200" s="372">
        <f t="shared" si="62"/>
        <v>1722.4017813751277</v>
      </c>
      <c r="AP200" s="267">
        <f>AK200+AN200+Tabla1[[#This Row],[Con. DO Storage Gen. '[m3']]]</f>
        <v>8.6199999999999992</v>
      </c>
      <c r="AQ200" s="372">
        <f t="shared" si="68"/>
        <v>2277.1630913272393</v>
      </c>
      <c r="AR200" s="443">
        <v>0</v>
      </c>
      <c r="AS200" s="443">
        <v>0</v>
      </c>
      <c r="AT200" s="267">
        <f>+CONVERT(SUM(Tabla1[[#This Row],[Repo. DO Storage '[gal']]:[Repo. DO Pilot '[gal']]]),"gal","m3")</f>
        <v>0</v>
      </c>
      <c r="AU200" s="442">
        <v>0</v>
      </c>
      <c r="AV200" s="372">
        <f t="shared" si="59"/>
        <v>0</v>
      </c>
      <c r="AW200" s="442">
        <v>0</v>
      </c>
      <c r="AX200" s="372">
        <f t="shared" si="63"/>
        <v>0</v>
      </c>
      <c r="AY200" s="372">
        <f t="shared" si="64"/>
        <v>0.42412944185941259</v>
      </c>
      <c r="AZ200" s="372">
        <f>IFERROR(AL200/'Ar-Pa'!AX200,0)</f>
        <v>0</v>
      </c>
      <c r="BA200" s="372">
        <f>IFERROR(AL200/'Ar-Pa'!AY200,0)</f>
        <v>0</v>
      </c>
      <c r="BB200" s="372">
        <f t="shared" si="65"/>
        <v>1.3168209337730334</v>
      </c>
      <c r="BC200" s="372">
        <f>IFERROR(AVERAGEIF('DO Pilot'!AX200:BU200,"&gt;0"),0)</f>
        <v>8.9708426113287913</v>
      </c>
      <c r="BD200" s="446">
        <v>355565</v>
      </c>
      <c r="BE200" s="446">
        <v>12586</v>
      </c>
      <c r="BF200" s="446">
        <v>355555</v>
      </c>
      <c r="BG200" s="223">
        <f>Tabla1[[#This Row],[ Re. Gas GC
 '[m3']]]</f>
        <v>355555</v>
      </c>
      <c r="BH200" s="150">
        <f>IFERROR((BG200*Gas!$B$3)/28.31685,0)</f>
        <v>12508.339730584439</v>
      </c>
      <c r="BI200" s="73">
        <f t="shared" si="60"/>
        <v>-77.660269415560833</v>
      </c>
      <c r="BJ200" s="74">
        <f t="shared" si="69"/>
        <v>-6.2086792562622726E-3</v>
      </c>
      <c r="BK200" s="223">
        <f t="shared" si="66"/>
        <v>9622.3241590214075</v>
      </c>
      <c r="BL200" s="442">
        <v>9028.89</v>
      </c>
      <c r="BM200" s="70">
        <f t="shared" si="67"/>
        <v>9300.7798007126639</v>
      </c>
      <c r="BN200" s="150">
        <f t="shared" si="51"/>
        <v>9644.2568156855377</v>
      </c>
      <c r="BO200" s="373">
        <f>IFERROR(Tabla1[[#This Row],[ Re. Gas GC
 '[m3']]]/Tabla1[[#This Row],[G. HGS 
Con Gas '[kWh']]],0)</f>
        <v>0.27183103975535167</v>
      </c>
      <c r="BP200" s="374">
        <f>Tank!Y201</f>
        <v>0</v>
      </c>
      <c r="BQ200" s="70">
        <f>Tank!AP201</f>
        <v>0</v>
      </c>
      <c r="BR200" s="70">
        <f>Tank!V201</f>
        <v>0</v>
      </c>
      <c r="BS200" s="372">
        <f>Tank!T201</f>
        <v>0</v>
      </c>
      <c r="BT200" s="375" t="s">
        <v>228</v>
      </c>
      <c r="BU200" s="452">
        <v>71</v>
      </c>
      <c r="BV200" s="376">
        <f>IF(Tabla1[[#This Row],[Combustible ofertado]]="GAS",Tabla1[[#This Row],[Disponibilidad]],0)</f>
        <v>0</v>
      </c>
      <c r="BW200" s="376">
        <f>IF(Tabla1[[#This Row],[Combustible ofertado]]="DIESEL",Tabla1[[#This Row],[Disponibilidad]],0)</f>
        <v>71</v>
      </c>
      <c r="BX200" s="376">
        <f>IF(Tabla1[[#This Row],[Combustible ofertado]]="HFO",Tabla1[[#This Row],[Disponibilidad]],0)</f>
        <v>0</v>
      </c>
      <c r="BY200" s="452">
        <v>1200</v>
      </c>
      <c r="BZ200" s="446">
        <f>'Horo. M'!C201</f>
        <v>24</v>
      </c>
      <c r="CA200" s="446">
        <f>'Horo. M'!E201</f>
        <v>24</v>
      </c>
      <c r="CB200" s="446">
        <f>'Horo. M'!G201</f>
        <v>0</v>
      </c>
      <c r="CC200" s="446">
        <f>'Horo. M'!I201</f>
        <v>24</v>
      </c>
      <c r="CD200" s="446">
        <f>'Horo. M'!K201</f>
        <v>23</v>
      </c>
      <c r="CE200" s="446">
        <f>'Horo. M'!M201</f>
        <v>0</v>
      </c>
      <c r="CF200" s="446">
        <f>'Horo. M'!O201</f>
        <v>24</v>
      </c>
      <c r="CG200" s="446">
        <f>'Horo. M'!Q201</f>
        <v>24</v>
      </c>
      <c r="CH200" s="446">
        <f>'Horo. M'!S201</f>
        <v>24</v>
      </c>
      <c r="CI200" s="446">
        <f>'Horo. M'!U201</f>
        <v>24</v>
      </c>
      <c r="CJ200" s="70">
        <f>Tabla1[[#This Row],[Con. DO Storage '[gal']]]-Tabla1[[#This Row],[C. DO Storage Ge '[gal']]]</f>
        <v>554.76130995211167</v>
      </c>
      <c r="CK200" s="70"/>
      <c r="CL200" s="70"/>
      <c r="CM200" s="372">
        <f>Tabla1[[#This Row],[Con. DO Total '[gal']]]*131485.5/(1000000)</f>
        <v>299.41392764470771</v>
      </c>
    </row>
    <row r="201" spans="1:91" ht="15" customHeight="1">
      <c r="A201" s="362">
        <v>45126</v>
      </c>
      <c r="B201" s="363" t="str">
        <f>TEXT(Tabla1[[#This Row],[Fecha]],"mmmm")</f>
        <v>julio</v>
      </c>
      <c r="C201" s="429">
        <v>0</v>
      </c>
      <c r="D201" s="430">
        <v>1272</v>
      </c>
      <c r="E201" s="430">
        <v>1272</v>
      </c>
      <c r="F201" s="430">
        <v>1311</v>
      </c>
      <c r="G201" s="431">
        <v>0</v>
      </c>
      <c r="H201" s="431">
        <v>0</v>
      </c>
      <c r="I201" s="432">
        <v>0</v>
      </c>
      <c r="J201" s="432">
        <v>0</v>
      </c>
      <c r="K201" s="430">
        <v>24</v>
      </c>
      <c r="L201" s="430">
        <v>24</v>
      </c>
      <c r="M201" s="365">
        <f>Tabla1[[#This Row],[Columna1]]-Tabla1[[#This Row],[PO '[h']]]</f>
        <v>0</v>
      </c>
      <c r="N201" s="365">
        <f t="shared" si="58"/>
        <v>1311</v>
      </c>
      <c r="O201" s="430">
        <v>1311</v>
      </c>
      <c r="P201" s="367">
        <f>Tabla1[[#This Row],[G. HGS 
'[MWh']]]</f>
        <v>1311</v>
      </c>
      <c r="Q201" s="430">
        <v>0</v>
      </c>
      <c r="R201" s="367">
        <v>0</v>
      </c>
      <c r="S201" s="367">
        <f>Tabla1[[#This Row],[G. HGS 
Con Gas]]*1000</f>
        <v>1311000</v>
      </c>
      <c r="T201" s="365">
        <f>Tabla1[[#This Row],[G. HGS 
'[MWh']]]*1000</f>
        <v>1311000</v>
      </c>
      <c r="U201" s="368">
        <f>SUM('G. Un GE'!B201:Y201)</f>
        <v>1300.1881999999998</v>
      </c>
      <c r="V201" s="369">
        <f>Tabla1[[#This Row],[R. GE
'[MWh']]]</f>
        <v>1300.1881999999998</v>
      </c>
      <c r="W201" s="434">
        <v>0</v>
      </c>
      <c r="X201" s="369">
        <v>0</v>
      </c>
      <c r="Y201" s="365">
        <f>Tabla1[[#This Row],[R. GE
'[MWh']]]*1000</f>
        <v>1300188.1999999997</v>
      </c>
      <c r="Z201" s="434">
        <v>36.630000000000003</v>
      </c>
      <c r="AA20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36.630000000000003</v>
      </c>
      <c r="AB201" s="371">
        <f>IF(Tabla1[[#This Row],[G. HGS 
'[MWh']]]=0,0,Tabla1[[#This Row],[G. HGS 
'[MWh']]]+Tabla1[[#This Row],[Con. Aux. '[MWh']2]])</f>
        <v>1347.63</v>
      </c>
      <c r="AC201" s="368">
        <f>'C. ENER. TN'!F201</f>
        <v>0</v>
      </c>
      <c r="AD201" s="370">
        <f>'C. ENER. TN'!G201</f>
        <v>1300.1882000000001</v>
      </c>
      <c r="AE201" s="370">
        <f>'G. Un GE'!AX201</f>
        <v>165.41013392857141</v>
      </c>
      <c r="AF201" s="368">
        <f>IFERROR('G. Un GE'!AX201/Tabla1[[#This Row],[PO '[h']]],0)</f>
        <v>6.8920889136904755</v>
      </c>
      <c r="AG201" s="365">
        <f>'Ar-Pa'!AX201</f>
        <v>1</v>
      </c>
      <c r="AH201" s="365">
        <f>'Ar-Pa'!AY201</f>
        <v>1</v>
      </c>
      <c r="AI201" s="366">
        <f>SUM('Cal. Arr'!AB204:AY204)</f>
        <v>0</v>
      </c>
      <c r="AJ201" s="442">
        <v>0</v>
      </c>
      <c r="AK201" s="443">
        <v>0.4</v>
      </c>
      <c r="AL201" s="267">
        <f t="shared" si="61"/>
        <v>105.66882094325936</v>
      </c>
      <c r="AM201" s="267">
        <f>+CONVERT(AK201+Tabla1[[#This Row],[Con. DO Storage Gen. '[m3']]],"m^3","gal")</f>
        <v>105.66882094325936</v>
      </c>
      <c r="AN201" s="372">
        <f>SUM('DO Pilot'!B201:Y201)</f>
        <v>6.7600000000000025</v>
      </c>
      <c r="AO201" s="372">
        <f t="shared" si="62"/>
        <v>1785.803073941084</v>
      </c>
      <c r="AP201" s="267">
        <f>AK201+AN201+Tabla1[[#This Row],[Con. DO Storage Gen. '[m3']]]</f>
        <v>7.1600000000000028</v>
      </c>
      <c r="AQ201" s="372">
        <f t="shared" si="68"/>
        <v>1891.4718948843433</v>
      </c>
      <c r="AR201" s="443">
        <v>0</v>
      </c>
      <c r="AS201" s="443">
        <v>0</v>
      </c>
      <c r="AT201" s="267">
        <f>+CONVERT(SUM(Tabla1[[#This Row],[Repo. DO Storage '[gal']]:[Repo. DO Pilot '[gal']]]),"gal","m3")</f>
        <v>0</v>
      </c>
      <c r="AU201" s="442">
        <v>0</v>
      </c>
      <c r="AV201" s="372">
        <f t="shared" si="59"/>
        <v>0</v>
      </c>
      <c r="AW201" s="442">
        <v>0</v>
      </c>
      <c r="AX201" s="372">
        <f t="shared" si="63"/>
        <v>0</v>
      </c>
      <c r="AY201" s="372">
        <f t="shared" si="64"/>
        <v>8.0601694083340475E-2</v>
      </c>
      <c r="AZ201" s="372">
        <f>IFERROR(AL201/'Ar-Pa'!AX201,0)</f>
        <v>105.66882094325936</v>
      </c>
      <c r="BA201" s="372">
        <f>IFERROR(AL201/'Ar-Pa'!AY201,0)</f>
        <v>105.66882094325936</v>
      </c>
      <c r="BB201" s="372">
        <f t="shared" si="65"/>
        <v>1.3621686300084546</v>
      </c>
      <c r="BC201" s="372">
        <f>IFERROR(AVERAGEIF('DO Pilot'!AX201:BU201,"&gt;0"),0)</f>
        <v>9.4641996436345597</v>
      </c>
      <c r="BD201" s="446">
        <v>356736</v>
      </c>
      <c r="BE201" s="446">
        <v>12628</v>
      </c>
      <c r="BF201" s="446">
        <v>356734</v>
      </c>
      <c r="BG201" s="223">
        <f>Tabla1[[#This Row],[ Re. Gas GC
 '[m3']]]</f>
        <v>356734</v>
      </c>
      <c r="BH201" s="150">
        <f>IFERROR((BG201*Gas!$B$3)/28.31685,0)</f>
        <v>12549.816668167539</v>
      </c>
      <c r="BI201" s="73">
        <f t="shared" si="60"/>
        <v>-78.183331832460681</v>
      </c>
      <c r="BJ201" s="74">
        <f t="shared" si="69"/>
        <v>-6.2298385625641668E-3</v>
      </c>
      <c r="BK201" s="223">
        <f t="shared" si="66"/>
        <v>9632.3417238749043</v>
      </c>
      <c r="BL201" s="442">
        <v>8878.81</v>
      </c>
      <c r="BM201" s="70">
        <f t="shared" si="67"/>
        <v>9312.5091220643208</v>
      </c>
      <c r="BN201" s="150">
        <f t="shared" si="51"/>
        <v>9652.3077721883183</v>
      </c>
      <c r="BO201" s="373">
        <f>IFERROR(Tabla1[[#This Row],[ Re. Gas GC
 '[m3']]]/Tabla1[[#This Row],[G. HGS 
Con Gas '[kWh']]],0)</f>
        <v>0.27210831426392068</v>
      </c>
      <c r="BP201" s="374">
        <f>Tank!Y202</f>
        <v>0</v>
      </c>
      <c r="BQ201" s="70">
        <f>Tank!AP202</f>
        <v>0</v>
      </c>
      <c r="BR201" s="70">
        <f>Tank!V202</f>
        <v>0</v>
      </c>
      <c r="BS201" s="372">
        <f>Tank!T202</f>
        <v>0</v>
      </c>
      <c r="BT201" s="375" t="s">
        <v>228</v>
      </c>
      <c r="BU201" s="452">
        <v>71</v>
      </c>
      <c r="BV201" s="376">
        <f>IF(Tabla1[[#This Row],[Combustible ofertado]]="GAS",Tabla1[[#This Row],[Disponibilidad]],0)</f>
        <v>0</v>
      </c>
      <c r="BW201" s="376">
        <f>IF(Tabla1[[#This Row],[Combustible ofertado]]="DIESEL",Tabla1[[#This Row],[Disponibilidad]],0)</f>
        <v>71</v>
      </c>
      <c r="BX201" s="376">
        <f>IF(Tabla1[[#This Row],[Combustible ofertado]]="HFO",Tabla1[[#This Row],[Disponibilidad]],0)</f>
        <v>0</v>
      </c>
      <c r="BY201" s="452">
        <v>1200</v>
      </c>
      <c r="BZ201" s="446">
        <f>'Horo. M'!C202</f>
        <v>24</v>
      </c>
      <c r="CA201" s="446">
        <f>'Horo. M'!E202</f>
        <v>24</v>
      </c>
      <c r="CB201" s="446">
        <f>'Horo. M'!G202</f>
        <v>0</v>
      </c>
      <c r="CC201" s="446">
        <f>'Horo. M'!I202</f>
        <v>24</v>
      </c>
      <c r="CD201" s="446">
        <f>'Horo. M'!K202</f>
        <v>20</v>
      </c>
      <c r="CE201" s="446">
        <f>'Horo. M'!M202</f>
        <v>0</v>
      </c>
      <c r="CF201" s="446">
        <f>'Horo. M'!O202</f>
        <v>24</v>
      </c>
      <c r="CG201" s="446">
        <f>'Horo. M'!Q202</f>
        <v>24</v>
      </c>
      <c r="CH201" s="446">
        <f>'Horo. M'!S202</f>
        <v>24</v>
      </c>
      <c r="CI201" s="446">
        <f>'Horo. M'!U202</f>
        <v>24</v>
      </c>
      <c r="CJ201" s="70">
        <f>Tabla1[[#This Row],[Con. DO Storage '[gal']]]-Tabla1[[#This Row],[C. DO Storage Ge '[gal']]]</f>
        <v>105.66882094325936</v>
      </c>
      <c r="CK201" s="70"/>
      <c r="CL201" s="70"/>
      <c r="CM201" s="372">
        <f>Tabla1[[#This Row],[Con. DO Total '[gal']]]*131485.5/(1000000)</f>
        <v>248.70112783481531</v>
      </c>
    </row>
    <row r="202" spans="1:91" ht="15" customHeight="1">
      <c r="A202" s="362">
        <v>45127</v>
      </c>
      <c r="B202" s="363" t="str">
        <f>TEXT(Tabla1[[#This Row],[Fecha]],"mmmm")</f>
        <v>julio</v>
      </c>
      <c r="C202" s="429">
        <v>0</v>
      </c>
      <c r="D202" s="430">
        <v>1272</v>
      </c>
      <c r="E202" s="430">
        <v>1272</v>
      </c>
      <c r="F202" s="430">
        <v>1316</v>
      </c>
      <c r="G202" s="431">
        <v>0</v>
      </c>
      <c r="H202" s="431">
        <v>0</v>
      </c>
      <c r="I202" s="432">
        <v>0</v>
      </c>
      <c r="J202" s="432">
        <v>0</v>
      </c>
      <c r="K202" s="430">
        <v>24</v>
      </c>
      <c r="L202" s="430">
        <v>24</v>
      </c>
      <c r="M202" s="365">
        <f>Tabla1[[#This Row],[Columna1]]-Tabla1[[#This Row],[PO '[h']]]</f>
        <v>0</v>
      </c>
      <c r="N202" s="365">
        <f t="shared" si="58"/>
        <v>1316</v>
      </c>
      <c r="O202" s="430">
        <v>1316</v>
      </c>
      <c r="P202" s="367">
        <f>Tabla1[[#This Row],[G. HGS 
'[MWh']]]</f>
        <v>1316</v>
      </c>
      <c r="Q202" s="430">
        <v>0</v>
      </c>
      <c r="R202" s="367">
        <v>0</v>
      </c>
      <c r="S202" s="367">
        <f>Tabla1[[#This Row],[G. HGS 
Con Gas]]*1000</f>
        <v>1316000</v>
      </c>
      <c r="T202" s="365">
        <f>Tabla1[[#This Row],[G. HGS 
'[MWh']]]*1000</f>
        <v>1316000</v>
      </c>
      <c r="U202" s="368">
        <f>SUM('G. Un GE'!B202:Y202)</f>
        <v>1304.6875000000002</v>
      </c>
      <c r="V202" s="369">
        <f>Tabla1[[#This Row],[R. GE
'[MWh']]]</f>
        <v>1304.6875000000002</v>
      </c>
      <c r="W202" s="434">
        <v>0</v>
      </c>
      <c r="X202" s="369">
        <v>0</v>
      </c>
      <c r="Y202" s="365">
        <f>Tabla1[[#This Row],[R. GE
'[MWh']]]*1000</f>
        <v>1304687.5000000002</v>
      </c>
      <c r="Z202" s="434">
        <v>37.61</v>
      </c>
      <c r="AA20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37.61</v>
      </c>
      <c r="AB202" s="371">
        <f>IF(Tabla1[[#This Row],[G. HGS 
'[MWh']]]=0,0,Tabla1[[#This Row],[G. HGS 
'[MWh']]]+Tabla1[[#This Row],[Con. Aux. '[MWh']2]])</f>
        <v>1353.61</v>
      </c>
      <c r="AC202" s="368">
        <f>'C. ENER. TN'!F202</f>
        <v>0</v>
      </c>
      <c r="AD202" s="370">
        <f>'C. ENER. TN'!G202</f>
        <v>1304.6875000000002</v>
      </c>
      <c r="AE202" s="370">
        <f>'G. Un GE'!AX202</f>
        <v>179.23643571428568</v>
      </c>
      <c r="AF202" s="368">
        <f>IFERROR('G. Un GE'!AX202/Tabla1[[#This Row],[PO '[h']]],0)</f>
        <v>7.4681848214285695</v>
      </c>
      <c r="AG202" s="365">
        <f>'Ar-Pa'!AX202</f>
        <v>2</v>
      </c>
      <c r="AH202" s="365">
        <f>'Ar-Pa'!AY202</f>
        <v>2</v>
      </c>
      <c r="AI202" s="366">
        <f>SUM('Cal. Arr'!AB205:AY205)</f>
        <v>0</v>
      </c>
      <c r="AJ202" s="442">
        <v>24.4</v>
      </c>
      <c r="AK202" s="443">
        <v>1.5</v>
      </c>
      <c r="AL202" s="267">
        <f t="shared" si="61"/>
        <v>396.25807853722262</v>
      </c>
      <c r="AM202" s="267">
        <f>+CONVERT(AK202+Tabla1[[#This Row],[Con. DO Storage Gen. '[m3']]],"m^3","gal")</f>
        <v>6842.0561560760443</v>
      </c>
      <c r="AN202" s="372">
        <f>SUM('DO Pilot'!B202:Y202)</f>
        <v>6.2099999999999973</v>
      </c>
      <c r="AO202" s="372">
        <f t="shared" si="62"/>
        <v>1640.508445144101</v>
      </c>
      <c r="AP202" s="267">
        <f>AK202+AN202+Tabla1[[#This Row],[Con. DO Storage Gen. '[m3']]]</f>
        <v>32.11</v>
      </c>
      <c r="AQ202" s="372">
        <f t="shared" si="68"/>
        <v>8482.5646012201451</v>
      </c>
      <c r="AR202" s="443">
        <v>0</v>
      </c>
      <c r="AS202" s="443">
        <v>0</v>
      </c>
      <c r="AT202" s="267">
        <f>+CONVERT(SUM(Tabla1[[#This Row],[Repo. DO Storage '[gal']]:[Repo. DO Pilot '[gal']]]),"gal","m3")</f>
        <v>0</v>
      </c>
      <c r="AU202" s="442">
        <v>0</v>
      </c>
      <c r="AV202" s="372">
        <f t="shared" si="59"/>
        <v>0</v>
      </c>
      <c r="AW202" s="442">
        <v>0</v>
      </c>
      <c r="AX202" s="372">
        <f t="shared" si="63"/>
        <v>0</v>
      </c>
      <c r="AY202" s="372">
        <f t="shared" si="64"/>
        <v>0.30110796241430288</v>
      </c>
      <c r="AZ202" s="372">
        <f>IFERROR(AL202/'Ar-Pa'!AX202,0)</f>
        <v>198.12903926861131</v>
      </c>
      <c r="BA202" s="372">
        <f>IFERROR(AL202/'Ar-Pa'!AY202,0)</f>
        <v>198.12903926861131</v>
      </c>
      <c r="BB202" s="372">
        <f t="shared" si="65"/>
        <v>1.2465869643952134</v>
      </c>
      <c r="BC202" s="372">
        <f>IFERROR(AVERAGEIF('DO Pilot'!AX202:BU202,"&gt;0"),0)</f>
        <v>9.3901633293575983</v>
      </c>
      <c r="BD202" s="446">
        <v>330974</v>
      </c>
      <c r="BE202" s="446">
        <v>11716</v>
      </c>
      <c r="BF202" s="446">
        <v>330934</v>
      </c>
      <c r="BG202" s="223">
        <f>Tabla1[[#This Row],[ Re. Gas GC
 '[m3']]]</f>
        <v>330934</v>
      </c>
      <c r="BH202" s="150">
        <f>IFERROR((BG202*Gas!$B$3)/28.31685,0)</f>
        <v>11642.178848282912</v>
      </c>
      <c r="BI202" s="73">
        <f t="shared" si="60"/>
        <v>-73.82115171708756</v>
      </c>
      <c r="BJ202" s="74">
        <f t="shared" si="69"/>
        <v>-6.3408364258186372E-3</v>
      </c>
      <c r="BK202" s="223">
        <f t="shared" si="66"/>
        <v>8902.735562310032</v>
      </c>
      <c r="BL202" s="442">
        <v>8946.1299999999992</v>
      </c>
      <c r="BM202" s="70">
        <f t="shared" si="67"/>
        <v>8600.8369089197859</v>
      </c>
      <c r="BN202" s="150">
        <f t="shared" si="51"/>
        <v>8923.3466621569605</v>
      </c>
      <c r="BO202" s="373">
        <f>IFERROR(Tabla1[[#This Row],[ Re. Gas GC
 '[m3']]]/Tabla1[[#This Row],[G. HGS 
Con Gas '[kWh']]],0)</f>
        <v>0.2514696048632219</v>
      </c>
      <c r="BP202" s="374">
        <f>Tank!Y203</f>
        <v>0</v>
      </c>
      <c r="BQ202" s="70">
        <f>Tank!AP203</f>
        <v>0</v>
      </c>
      <c r="BR202" s="70">
        <f>Tank!V203</f>
        <v>0</v>
      </c>
      <c r="BS202" s="372">
        <f>Tank!T203</f>
        <v>0</v>
      </c>
      <c r="BT202" s="375" t="s">
        <v>228</v>
      </c>
      <c r="BU202" s="452">
        <v>71</v>
      </c>
      <c r="BV202" s="376">
        <f>IF(Tabla1[[#This Row],[Combustible ofertado]]="GAS",Tabla1[[#This Row],[Disponibilidad]],0)</f>
        <v>0</v>
      </c>
      <c r="BW202" s="376">
        <f>IF(Tabla1[[#This Row],[Combustible ofertado]]="DIESEL",Tabla1[[#This Row],[Disponibilidad]],0)</f>
        <v>71</v>
      </c>
      <c r="BX202" s="376">
        <f>IF(Tabla1[[#This Row],[Combustible ofertado]]="HFO",Tabla1[[#This Row],[Disponibilidad]],0)</f>
        <v>0</v>
      </c>
      <c r="BY202" s="452">
        <v>1200</v>
      </c>
      <c r="BZ202" s="446">
        <f>'Horo. M'!C203</f>
        <v>24</v>
      </c>
      <c r="CA202" s="446">
        <f>'Horo. M'!E203</f>
        <v>24</v>
      </c>
      <c r="CB202" s="446">
        <f>'Horo. M'!G203</f>
        <v>0</v>
      </c>
      <c r="CC202" s="446">
        <f>'Horo. M'!I203</f>
        <v>24</v>
      </c>
      <c r="CD202" s="446">
        <f>'Horo. M'!K203</f>
        <v>22</v>
      </c>
      <c r="CE202" s="446">
        <f>'Horo. M'!M203</f>
        <v>1</v>
      </c>
      <c r="CF202" s="446">
        <f>'Horo. M'!O203</f>
        <v>24</v>
      </c>
      <c r="CG202" s="446">
        <f>'Horo. M'!Q203</f>
        <v>24</v>
      </c>
      <c r="CH202" s="446">
        <f>'Horo. M'!S203</f>
        <v>24</v>
      </c>
      <c r="CI202" s="446">
        <f>'Horo. M'!U203</f>
        <v>24</v>
      </c>
      <c r="CJ202" s="70">
        <f>Tabla1[[#This Row],[Con. DO Storage '[gal']]]-Tabla1[[#This Row],[C. DO Storage Ge '[gal']]]</f>
        <v>396.25807853722262</v>
      </c>
      <c r="CK202" s="70"/>
      <c r="CL202" s="70"/>
      <c r="CM202" s="372">
        <f>Tabla1[[#This Row],[Con. DO Total '[gal']]]*131485.5/(1000000)</f>
        <v>1115.3342478737313</v>
      </c>
    </row>
    <row r="203" spans="1:91" ht="15" customHeight="1">
      <c r="A203" s="362">
        <v>45128</v>
      </c>
      <c r="B203" s="363" t="str">
        <f>TEXT(Tabla1[[#This Row],[Fecha]],"mmmm")</f>
        <v>julio</v>
      </c>
      <c r="C203" s="429">
        <v>0</v>
      </c>
      <c r="D203" s="430">
        <v>1056</v>
      </c>
      <c r="E203" s="430">
        <v>1056</v>
      </c>
      <c r="F203" s="430">
        <v>1070</v>
      </c>
      <c r="G203" s="431">
        <v>0</v>
      </c>
      <c r="H203" s="431">
        <v>0</v>
      </c>
      <c r="I203" s="432">
        <v>0</v>
      </c>
      <c r="J203" s="432">
        <v>0</v>
      </c>
      <c r="K203" s="430">
        <v>24</v>
      </c>
      <c r="L203" s="430">
        <v>24</v>
      </c>
      <c r="M203" s="365">
        <f>Tabla1[[#This Row],[Columna1]]-Tabla1[[#This Row],[PO '[h']]]</f>
        <v>0</v>
      </c>
      <c r="N203" s="365">
        <f t="shared" si="58"/>
        <v>1070</v>
      </c>
      <c r="O203" s="430">
        <v>1070</v>
      </c>
      <c r="P203" s="367">
        <f>Tabla1[[#This Row],[G. HGS 
'[MWh']]]</f>
        <v>1070</v>
      </c>
      <c r="Q203" s="430">
        <v>0</v>
      </c>
      <c r="R203" s="367">
        <v>0</v>
      </c>
      <c r="S203" s="367">
        <f>Tabla1[[#This Row],[G. HGS 
Con Gas]]*1000</f>
        <v>1070000</v>
      </c>
      <c r="T203" s="365">
        <f>Tabla1[[#This Row],[G. HGS 
'[MWh']]]*1000</f>
        <v>1070000</v>
      </c>
      <c r="U203" s="368">
        <f>SUM('G. Un GE'!B203:Y203)</f>
        <v>1063.0702999999999</v>
      </c>
      <c r="V203" s="369">
        <f>Tabla1[[#This Row],[R. GE
'[MWh']]]</f>
        <v>1063.0702999999999</v>
      </c>
      <c r="W203" s="434">
        <v>0</v>
      </c>
      <c r="X203" s="369">
        <v>0</v>
      </c>
      <c r="Y203" s="365">
        <f>Tabla1[[#This Row],[R. GE
'[MWh']]]*1000</f>
        <v>1063070.2999999998</v>
      </c>
      <c r="Z203" s="434">
        <v>34.72</v>
      </c>
      <c r="AA20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34.72</v>
      </c>
      <c r="AB203" s="371">
        <f>IF(Tabla1[[#This Row],[G. HGS 
'[MWh']]]=0,0,Tabla1[[#This Row],[G. HGS 
'[MWh']]]+Tabla1[[#This Row],[Con. Aux. '[MWh']2]])</f>
        <v>1104.72</v>
      </c>
      <c r="AC203" s="368">
        <f>'C. ENER. TN'!F203</f>
        <v>0</v>
      </c>
      <c r="AD203" s="370">
        <f>'C. ENER. TN'!G203</f>
        <v>1063.0702999999999</v>
      </c>
      <c r="AE203" s="370">
        <f>'G. Un GE'!AX203</f>
        <v>151.86718571428568</v>
      </c>
      <c r="AF203" s="368">
        <f>IFERROR('G. Un GE'!AX203/Tabla1[[#This Row],[PO '[h']]],0)</f>
        <v>6.3277994047619037</v>
      </c>
      <c r="AG203" s="365">
        <f>'Ar-Pa'!AX203</f>
        <v>0</v>
      </c>
      <c r="AH203" s="365">
        <f>'Ar-Pa'!AY203</f>
        <v>1</v>
      </c>
      <c r="AI203" s="366">
        <f>SUM('Cal. Arr'!AB206:AY206)</f>
        <v>0</v>
      </c>
      <c r="AJ203" s="442">
        <v>7.9</v>
      </c>
      <c r="AK203" s="443">
        <v>1.2</v>
      </c>
      <c r="AL203" s="267">
        <f t="shared" si="61"/>
        <v>317.00646282977812</v>
      </c>
      <c r="AM203" s="267">
        <f>+CONVERT(AK203+Tabla1[[#This Row],[Con. DO Storage Gen. '[m3']]],"m^3","gal")</f>
        <v>2403.9656764591505</v>
      </c>
      <c r="AN203" s="372">
        <f>SUM('DO Pilot'!B203:Y203)</f>
        <v>6.2799999999999976</v>
      </c>
      <c r="AO203" s="372">
        <f t="shared" si="62"/>
        <v>1659.0004888091714</v>
      </c>
      <c r="AP203" s="267">
        <f>AK203+AN203+Tabla1[[#This Row],[Con. DO Storage Gen. '[m3']]]</f>
        <v>15.379999999999999</v>
      </c>
      <c r="AQ203" s="372">
        <f t="shared" si="68"/>
        <v>4062.9661652683221</v>
      </c>
      <c r="AR203" s="443">
        <v>0</v>
      </c>
      <c r="AS203" s="443">
        <v>0</v>
      </c>
      <c r="AT203" s="267">
        <f>+CONVERT(SUM(Tabla1[[#This Row],[Repo. DO Storage '[gal']]:[Repo. DO Pilot '[gal']]]),"gal","m3")</f>
        <v>0</v>
      </c>
      <c r="AU203" s="442">
        <v>0</v>
      </c>
      <c r="AV203" s="372">
        <f t="shared" si="59"/>
        <v>0</v>
      </c>
      <c r="AW203" s="442">
        <v>0</v>
      </c>
      <c r="AX203" s="372">
        <f t="shared" si="63"/>
        <v>0</v>
      </c>
      <c r="AY203" s="372">
        <f t="shared" si="64"/>
        <v>0.29626772227082065</v>
      </c>
      <c r="AZ203" s="372">
        <f>IFERROR(AL203/'Ar-Pa'!AX203,0)</f>
        <v>0</v>
      </c>
      <c r="BA203" s="372">
        <f>IFERROR(AL203/'Ar-Pa'!AY203,0)</f>
        <v>317.00646282977812</v>
      </c>
      <c r="BB203" s="372">
        <f t="shared" si="65"/>
        <v>1.5504677465506276</v>
      </c>
      <c r="BC203" s="372">
        <f>IFERROR(AVERAGEIF('DO Pilot'!AX203:BU203,"&gt;0"),0)</f>
        <v>9.8750029095784075</v>
      </c>
      <c r="BD203" s="446">
        <v>290663</v>
      </c>
      <c r="BE203" s="446">
        <v>10289</v>
      </c>
      <c r="BF203" s="446">
        <v>290185</v>
      </c>
      <c r="BG203" s="223">
        <f>Tabla1[[#This Row],[ Re. Gas GC
 '[m3']]]</f>
        <v>290185</v>
      </c>
      <c r="BH203" s="150">
        <f>IFERROR((BG203*Gas!$B$3)/28.31685,0)</f>
        <v>10208.63878927211</v>
      </c>
      <c r="BI203" s="73">
        <f t="shared" si="60"/>
        <v>-80.361210727889556</v>
      </c>
      <c r="BJ203" s="74">
        <f t="shared" si="69"/>
        <v>-7.8718830577430409E-3</v>
      </c>
      <c r="BK203" s="223">
        <f t="shared" si="66"/>
        <v>9615.8878504672903</v>
      </c>
      <c r="BL203" s="442">
        <v>8919.84</v>
      </c>
      <c r="BM203" s="70">
        <f t="shared" si="67"/>
        <v>9240.9287324137422</v>
      </c>
      <c r="BN203" s="150">
        <f t="shared" si="51"/>
        <v>9602.9761994781638</v>
      </c>
      <c r="BO203" s="373">
        <f>IFERROR(Tabla1[[#This Row],[ Re. Gas GC
 '[m3']]]/Tabla1[[#This Row],[G. HGS 
Con Gas '[kWh']]],0)</f>
        <v>0.27120093457943928</v>
      </c>
      <c r="BP203" s="374">
        <f>Tank!Y204</f>
        <v>0</v>
      </c>
      <c r="BQ203" s="70">
        <f>Tank!AP204</f>
        <v>0</v>
      </c>
      <c r="BR203" s="70">
        <f>Tank!V204</f>
        <v>22.712470704000001</v>
      </c>
      <c r="BS203" s="372">
        <f>Tank!T204</f>
        <v>0</v>
      </c>
      <c r="BT203" s="375" t="s">
        <v>228</v>
      </c>
      <c r="BU203" s="452">
        <v>62</v>
      </c>
      <c r="BV203" s="376">
        <f>IF(Tabla1[[#This Row],[Combustible ofertado]]="GAS",Tabla1[[#This Row],[Disponibilidad]],0)</f>
        <v>0</v>
      </c>
      <c r="BW203" s="376">
        <f>IF(Tabla1[[#This Row],[Combustible ofertado]]="DIESEL",Tabla1[[#This Row],[Disponibilidad]],0)</f>
        <v>62</v>
      </c>
      <c r="BX203" s="376">
        <f>IF(Tabla1[[#This Row],[Combustible ofertado]]="HFO",Tabla1[[#This Row],[Disponibilidad]],0)</f>
        <v>0</v>
      </c>
      <c r="BY203" s="452">
        <v>1200</v>
      </c>
      <c r="BZ203" s="446">
        <f>'Horo. M'!C204</f>
        <v>24</v>
      </c>
      <c r="CA203" s="446">
        <f>'Horo. M'!E204</f>
        <v>24</v>
      </c>
      <c r="CB203" s="446">
        <f>'Horo. M'!G204</f>
        <v>0</v>
      </c>
      <c r="CC203" s="446">
        <f>'Horo. M'!I204</f>
        <v>24</v>
      </c>
      <c r="CD203" s="446">
        <f>'Horo. M'!K204</f>
        <v>24</v>
      </c>
      <c r="CE203" s="446">
        <f>'Horo. M'!M204</f>
        <v>6</v>
      </c>
      <c r="CF203" s="446">
        <f>'Horo. M'!O204</f>
        <v>24</v>
      </c>
      <c r="CG203" s="446">
        <f>'Horo. M'!Q204</f>
        <v>22</v>
      </c>
      <c r="CH203" s="446">
        <f>'Horo. M'!S204</f>
        <v>23</v>
      </c>
      <c r="CI203" s="446">
        <f>'Horo. M'!U204</f>
        <v>0</v>
      </c>
      <c r="CJ203" s="70">
        <f>Tabla1[[#This Row],[Con. DO Storage '[gal']]]-Tabla1[[#This Row],[C. DO Storage Ge '[gal']]]</f>
        <v>317.00646282977812</v>
      </c>
      <c r="CK203" s="70"/>
      <c r="CL203" s="70"/>
      <c r="CM203" s="372">
        <f>Tabla1[[#This Row],[Con. DO Total '[gal']]]*131485.5/(1000000)</f>
        <v>534.22113772338798</v>
      </c>
    </row>
    <row r="204" spans="1:91" ht="15" customHeight="1">
      <c r="A204" s="362">
        <v>45129</v>
      </c>
      <c r="B204" s="363" t="str">
        <f>TEXT(Tabla1[[#This Row],[Fecha]],"mmmm")</f>
        <v>julio</v>
      </c>
      <c r="C204" s="429">
        <v>0</v>
      </c>
      <c r="D204" s="430">
        <v>1272</v>
      </c>
      <c r="E204" s="430">
        <v>1272</v>
      </c>
      <c r="F204" s="430">
        <v>1312</v>
      </c>
      <c r="G204" s="431">
        <v>0</v>
      </c>
      <c r="H204" s="431">
        <v>0</v>
      </c>
      <c r="I204" s="432">
        <v>0</v>
      </c>
      <c r="J204" s="432">
        <v>0</v>
      </c>
      <c r="K204" s="430">
        <v>24</v>
      </c>
      <c r="L204" s="430">
        <v>24</v>
      </c>
      <c r="M204" s="365">
        <f>Tabla1[[#This Row],[Columna1]]-Tabla1[[#This Row],[PO '[h']]]</f>
        <v>0</v>
      </c>
      <c r="N204" s="365">
        <f t="shared" si="58"/>
        <v>1312</v>
      </c>
      <c r="O204" s="430">
        <v>1312</v>
      </c>
      <c r="P204" s="367">
        <f>Tabla1[[#This Row],[G. HGS 
'[MWh']]]</f>
        <v>1312</v>
      </c>
      <c r="Q204" s="430">
        <v>0</v>
      </c>
      <c r="R204" s="367">
        <v>0</v>
      </c>
      <c r="S204" s="367">
        <f>Tabla1[[#This Row],[G. HGS 
Con Gas]]*1000</f>
        <v>1312000</v>
      </c>
      <c r="T204" s="365">
        <f>Tabla1[[#This Row],[G. HGS 
'[MWh']]]*1000</f>
        <v>1312000</v>
      </c>
      <c r="U204" s="368">
        <f>SUM('G. Un GE'!B204:Y204)</f>
        <v>1299.6166999999998</v>
      </c>
      <c r="V204" s="369">
        <f>Tabla1[[#This Row],[R. GE
'[MWh']]]</f>
        <v>1299.6166999999998</v>
      </c>
      <c r="W204" s="434">
        <v>0</v>
      </c>
      <c r="X204" s="369">
        <v>0</v>
      </c>
      <c r="Y204" s="365">
        <f>Tabla1[[#This Row],[R. GE
'[MWh']]]*1000</f>
        <v>1299616.6999999997</v>
      </c>
      <c r="Z204" s="434">
        <v>36.64</v>
      </c>
      <c r="AA20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36.64</v>
      </c>
      <c r="AB204" s="371">
        <f>IF(Tabla1[[#This Row],[G. HGS 
'[MWh']]]=0,0,Tabla1[[#This Row],[G. HGS 
'[MWh']]]+Tabla1[[#This Row],[Con. Aux. '[MWh']2]])</f>
        <v>1348.64</v>
      </c>
      <c r="AC204" s="368">
        <f>'C. ENER. TN'!F204</f>
        <v>0</v>
      </c>
      <c r="AD204" s="370">
        <f>'C. ENER. TN'!G204</f>
        <v>1299.6167</v>
      </c>
      <c r="AE204" s="370">
        <f>'G. Un GE'!AX204</f>
        <v>162.45208749999998</v>
      </c>
      <c r="AF204" s="368">
        <f>IFERROR('G. Un GE'!AX204/Tabla1[[#This Row],[PO '[h']]],0)</f>
        <v>6.7688369791666654</v>
      </c>
      <c r="AG204" s="365">
        <f>'Ar-Pa'!AX204</f>
        <v>1</v>
      </c>
      <c r="AH204" s="365">
        <f>'Ar-Pa'!AY204</f>
        <v>0</v>
      </c>
      <c r="AI204" s="366">
        <f>SUM('Cal. Arr'!AB207:AY207)</f>
        <v>0</v>
      </c>
      <c r="AJ204" s="442">
        <v>0</v>
      </c>
      <c r="AK204" s="443">
        <v>1.8</v>
      </c>
      <c r="AL204" s="267">
        <f t="shared" si="61"/>
        <v>475.50969424466717</v>
      </c>
      <c r="AM204" s="267">
        <f>+CONVERT(AK204+Tabla1[[#This Row],[Con. DO Storage Gen. '[m3']]],"m^3","gal")</f>
        <v>475.50969424466717</v>
      </c>
      <c r="AN204" s="372">
        <f>SUM('DO Pilot'!B204:Y204)</f>
        <v>7.0599999999999987</v>
      </c>
      <c r="AO204" s="372">
        <f t="shared" si="62"/>
        <v>1865.0546896485275</v>
      </c>
      <c r="AP204" s="267">
        <f>AK204+AN204+Tabla1[[#This Row],[Con. DO Storage Gen. '[m3']]]</f>
        <v>8.86</v>
      </c>
      <c r="AQ204" s="372">
        <f t="shared" si="68"/>
        <v>2340.5643838931951</v>
      </c>
      <c r="AR204" s="443">
        <v>0</v>
      </c>
      <c r="AS204" s="443">
        <v>0</v>
      </c>
      <c r="AT204" s="267">
        <f>+CONVERT(SUM(Tabla1[[#This Row],[Repo. DO Storage '[gal']]:[Repo. DO Pilot '[gal']]]),"gal","m3")</f>
        <v>0</v>
      </c>
      <c r="AU204" s="442">
        <v>0</v>
      </c>
      <c r="AV204" s="372">
        <f t="shared" si="59"/>
        <v>0</v>
      </c>
      <c r="AW204" s="442">
        <v>0</v>
      </c>
      <c r="AX204" s="372">
        <f t="shared" si="63"/>
        <v>0</v>
      </c>
      <c r="AY204" s="372">
        <f t="shared" si="64"/>
        <v>0.36243116939380121</v>
      </c>
      <c r="AZ204" s="372">
        <f>IFERROR(AL204/'Ar-Pa'!AX204,0)</f>
        <v>475.50969424466717</v>
      </c>
      <c r="BA204" s="372">
        <f>IFERROR(AL204/'Ar-Pa'!AY204,0)</f>
        <v>0</v>
      </c>
      <c r="BB204" s="372">
        <f t="shared" si="65"/>
        <v>1.4215355866223534</v>
      </c>
      <c r="BC204" s="372">
        <f>IFERROR(AVERAGEIF('DO Pilot'!AX204:BU204,"&gt;0"),0)</f>
        <v>9.7138265085860809</v>
      </c>
      <c r="BD204" s="446">
        <v>357304</v>
      </c>
      <c r="BE204" s="446">
        <v>12648</v>
      </c>
      <c r="BF204" s="446">
        <v>356880</v>
      </c>
      <c r="BG204" s="223">
        <f>Tabla1[[#This Row],[ Re. Gas GC
 '[m3']]]</f>
        <v>356880</v>
      </c>
      <c r="BH204" s="150">
        <f>IFERROR((BG204*Gas!$B$3)/28.31685,0)</f>
        <v>12554.952913194795</v>
      </c>
      <c r="BI204" s="73">
        <f t="shared" si="60"/>
        <v>-93.047086805205254</v>
      </c>
      <c r="BJ204" s="74">
        <f t="shared" si="69"/>
        <v>-7.411185645102355E-3</v>
      </c>
      <c r="BK204" s="223">
        <f t="shared" si="66"/>
        <v>9640.2439024390242</v>
      </c>
      <c r="BL204" s="442">
        <v>8919.83</v>
      </c>
      <c r="BM204" s="70">
        <f t="shared" si="67"/>
        <v>9309.343422406866</v>
      </c>
      <c r="BN204" s="150">
        <f t="shared" si="51"/>
        <v>9660.5044496541141</v>
      </c>
      <c r="BO204" s="373">
        <f>IFERROR(Tabla1[[#This Row],[ Re. Gas GC
 '[m3']]]/Tabla1[[#This Row],[G. HGS 
Con Gas '[kWh']]],0)</f>
        <v>0.27201219512195124</v>
      </c>
      <c r="BP204" s="374">
        <f>Tank!Y205</f>
        <v>0</v>
      </c>
      <c r="BQ204" s="70">
        <f>Tank!AP205</f>
        <v>0</v>
      </c>
      <c r="BR204" s="70">
        <f>Tank!V205</f>
        <v>0</v>
      </c>
      <c r="BS204" s="372">
        <f>Tank!T205</f>
        <v>0</v>
      </c>
      <c r="BT204" s="375" t="s">
        <v>228</v>
      </c>
      <c r="BU204" s="452">
        <v>71</v>
      </c>
      <c r="BV204" s="376">
        <f>IF(Tabla1[[#This Row],[Combustible ofertado]]="GAS",Tabla1[[#This Row],[Disponibilidad]],0)</f>
        <v>0</v>
      </c>
      <c r="BW204" s="376">
        <f>IF(Tabla1[[#This Row],[Combustible ofertado]]="DIESEL",Tabla1[[#This Row],[Disponibilidad]],0)</f>
        <v>71</v>
      </c>
      <c r="BX204" s="376">
        <f>IF(Tabla1[[#This Row],[Combustible ofertado]]="HFO",Tabla1[[#This Row],[Disponibilidad]],0)</f>
        <v>0</v>
      </c>
      <c r="BY204" s="452">
        <v>1200</v>
      </c>
      <c r="BZ204" s="446">
        <f>'Horo. M'!C205</f>
        <v>24</v>
      </c>
      <c r="CA204" s="446">
        <f>'Horo. M'!E205</f>
        <v>24</v>
      </c>
      <c r="CB204" s="446">
        <f>'Horo. M'!G205</f>
        <v>0</v>
      </c>
      <c r="CC204" s="446">
        <f>'Horo. M'!I205</f>
        <v>24</v>
      </c>
      <c r="CD204" s="446">
        <f>'Horo. M'!K205</f>
        <v>24</v>
      </c>
      <c r="CE204" s="446">
        <f>'Horo. M'!M205</f>
        <v>24</v>
      </c>
      <c r="CF204" s="446">
        <f>'Horo. M'!O205</f>
        <v>24</v>
      </c>
      <c r="CG204" s="446">
        <f>'Horo. M'!Q205</f>
        <v>22</v>
      </c>
      <c r="CH204" s="446">
        <f>'Horo. M'!S205</f>
        <v>24</v>
      </c>
      <c r="CI204" s="446">
        <f>'Horo. M'!U205</f>
        <v>0</v>
      </c>
      <c r="CJ204" s="70">
        <f>Tabla1[[#This Row],[Con. DO Storage '[gal']]]-Tabla1[[#This Row],[C. DO Storage Ge '[gal']]]</f>
        <v>475.50969424466717</v>
      </c>
      <c r="CK204" s="70"/>
      <c r="CL204" s="70"/>
      <c r="CM204" s="372">
        <f>Tabla1[[#This Row],[Con. DO Total '[gal']]]*131485.5/(1000000)</f>
        <v>307.75027829838871</v>
      </c>
    </row>
    <row r="205" spans="1:91" ht="15" customHeight="1">
      <c r="A205" s="362">
        <v>45130</v>
      </c>
      <c r="B205" s="363" t="str">
        <f>TEXT(Tabla1[[#This Row],[Fecha]],"mmmm")</f>
        <v>julio</v>
      </c>
      <c r="C205" s="429">
        <v>0</v>
      </c>
      <c r="D205" s="430">
        <v>1272</v>
      </c>
      <c r="E205" s="430">
        <v>1272</v>
      </c>
      <c r="F205" s="430">
        <v>1315</v>
      </c>
      <c r="G205" s="431">
        <v>0</v>
      </c>
      <c r="H205" s="431">
        <v>0</v>
      </c>
      <c r="I205" s="432">
        <v>0</v>
      </c>
      <c r="J205" s="432">
        <v>0</v>
      </c>
      <c r="K205" s="430">
        <v>24</v>
      </c>
      <c r="L205" s="430">
        <v>24</v>
      </c>
      <c r="M205" s="365">
        <f>Tabla1[[#This Row],[Columna1]]-Tabla1[[#This Row],[PO '[h']]]</f>
        <v>0</v>
      </c>
      <c r="N205" s="365">
        <f t="shared" si="58"/>
        <v>1315</v>
      </c>
      <c r="O205" s="430">
        <v>1315</v>
      </c>
      <c r="P205" s="367">
        <f>Tabla1[[#This Row],[G. HGS 
'[MWh']]]</f>
        <v>1315</v>
      </c>
      <c r="Q205" s="430">
        <v>0</v>
      </c>
      <c r="R205" s="367">
        <v>0</v>
      </c>
      <c r="S205" s="367">
        <f>Tabla1[[#This Row],[G. HGS 
Con Gas]]*1000</f>
        <v>1315000</v>
      </c>
      <c r="T205" s="365">
        <f>Tabla1[[#This Row],[G. HGS 
'[MWh']]]*1000</f>
        <v>1315000</v>
      </c>
      <c r="U205" s="368">
        <f>SUM('G. Un GE'!B205:Y205)</f>
        <v>1304.4393000000002</v>
      </c>
      <c r="V205" s="369">
        <f>Tabla1[[#This Row],[R. GE
'[MWh']]]</f>
        <v>1304.4393000000002</v>
      </c>
      <c r="W205" s="434">
        <v>0</v>
      </c>
      <c r="X205" s="369">
        <v>0</v>
      </c>
      <c r="Y205" s="365">
        <f>Tabla1[[#This Row],[R. GE
'[MWh']]]*1000</f>
        <v>1304439.3000000003</v>
      </c>
      <c r="Z205" s="434">
        <v>37.130000000000003</v>
      </c>
      <c r="AA20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37.130000000000003</v>
      </c>
      <c r="AB205" s="371">
        <f>IF(Tabla1[[#This Row],[G. HGS 
'[MWh']]]=0,0,Tabla1[[#This Row],[G. HGS 
'[MWh']]]+Tabla1[[#This Row],[Con. Aux. '[MWh']2]])</f>
        <v>1352.13</v>
      </c>
      <c r="AC205" s="368">
        <f>'C. ENER. TN'!F205</f>
        <v>0</v>
      </c>
      <c r="AD205" s="370">
        <f>'C. ENER. TN'!G205</f>
        <v>1304.4392999999998</v>
      </c>
      <c r="AE205" s="370">
        <f>'G. Un GE'!AX205</f>
        <v>163.05491250000003</v>
      </c>
      <c r="AF205" s="368">
        <f>IFERROR('G. Un GE'!AX205/Tabla1[[#This Row],[PO '[h']]],0)</f>
        <v>6.7939546875000012</v>
      </c>
      <c r="AG205" s="365">
        <f>'Ar-Pa'!AX205</f>
        <v>0</v>
      </c>
      <c r="AH205" s="365">
        <f>'Ar-Pa'!AY205</f>
        <v>0</v>
      </c>
      <c r="AI205" s="366">
        <f>SUM('Cal. Arr'!AB208:AY208)</f>
        <v>0</v>
      </c>
      <c r="AJ205" s="442">
        <v>2.2000000000000002</v>
      </c>
      <c r="AK205" s="443">
        <v>0.5</v>
      </c>
      <c r="AL205" s="267">
        <f t="shared" si="61"/>
        <v>132.08602617907422</v>
      </c>
      <c r="AM205" s="267">
        <f>+CONVERT(AK205+Tabla1[[#This Row],[Con. DO Storage Gen. '[m3']]],"m^3","gal")</f>
        <v>713.26454136700079</v>
      </c>
      <c r="AN205" s="372">
        <f>SUM('DO Pilot'!B205:Y205)</f>
        <v>6.7300000000000013</v>
      </c>
      <c r="AO205" s="372">
        <f t="shared" si="62"/>
        <v>1777.8779123703391</v>
      </c>
      <c r="AP205" s="267">
        <f>AK205+AN205+Tabla1[[#This Row],[Con. DO Storage Gen. '[m3']]]</f>
        <v>9.4300000000000015</v>
      </c>
      <c r="AQ205" s="372">
        <f t="shared" si="68"/>
        <v>2491.14245373734</v>
      </c>
      <c r="AR205" s="443">
        <v>0</v>
      </c>
      <c r="AS205" s="443">
        <v>0</v>
      </c>
      <c r="AT205" s="267">
        <f>+CONVERT(SUM(Tabla1[[#This Row],[Repo. DO Storage '[gal']]:[Repo. DO Pilot '[gal']]]),"gal","m3")</f>
        <v>0</v>
      </c>
      <c r="AU205" s="442">
        <v>0</v>
      </c>
      <c r="AV205" s="372">
        <f t="shared" si="59"/>
        <v>0</v>
      </c>
      <c r="AW205" s="442">
        <v>0</v>
      </c>
      <c r="AX205" s="372">
        <f t="shared" si="63"/>
        <v>0</v>
      </c>
      <c r="AY205" s="372">
        <f t="shared" si="64"/>
        <v>0.10044564728446709</v>
      </c>
      <c r="AZ205" s="372">
        <f>IFERROR(AL205/'Ar-Pa'!AX205,0)</f>
        <v>0</v>
      </c>
      <c r="BA205" s="372">
        <f>IFERROR(AL205/'Ar-Pa'!AY205,0)</f>
        <v>0</v>
      </c>
      <c r="BB205" s="372">
        <f t="shared" si="65"/>
        <v>1.351998412448927</v>
      </c>
      <c r="BC205" s="372">
        <f>IFERROR(AVERAGEIF('DO Pilot'!AX205:BU205,"&gt;0"),0)</f>
        <v>9.2597807935955156</v>
      </c>
      <c r="BD205" s="446">
        <v>358368</v>
      </c>
      <c r="BE205" s="446">
        <v>12686</v>
      </c>
      <c r="BF205" s="446">
        <v>357803</v>
      </c>
      <c r="BG205" s="223">
        <f>Tabla1[[#This Row],[ Re. Gas GC
 '[m3']]]</f>
        <v>357803</v>
      </c>
      <c r="BH205" s="150">
        <f>IFERROR((BG205*Gas!$B$3)/28.31685,0)</f>
        <v>12587.423832099968</v>
      </c>
      <c r="BI205" s="73">
        <f t="shared" si="60"/>
        <v>-98.576167900031578</v>
      </c>
      <c r="BJ205" s="74">
        <f t="shared" si="69"/>
        <v>-7.8313218983416116E-3</v>
      </c>
      <c r="BK205" s="223">
        <f t="shared" si="66"/>
        <v>9647.1482889733834</v>
      </c>
      <c r="BL205" s="442">
        <v>8842.39</v>
      </c>
      <c r="BM205" s="70">
        <f t="shared" si="67"/>
        <v>9309.3296000384325</v>
      </c>
      <c r="BN205" s="150">
        <f t="shared" si="51"/>
        <v>9649.6815391103028</v>
      </c>
      <c r="BO205" s="373">
        <f>IFERROR(Tabla1[[#This Row],[ Re. Gas GC
 '[m3']]]/Tabla1[[#This Row],[G. HGS 
Con Gas '[kWh']]],0)</f>
        <v>0.27209353612167303</v>
      </c>
      <c r="BP205" s="374">
        <f>Tank!Y206</f>
        <v>0</v>
      </c>
      <c r="BQ205" s="70">
        <f>Tank!AP206</f>
        <v>0</v>
      </c>
      <c r="BR205" s="70">
        <f>Tank!V206</f>
        <v>0</v>
      </c>
      <c r="BS205" s="372">
        <f>Tank!T206</f>
        <v>0</v>
      </c>
      <c r="BT205" s="375" t="s">
        <v>228</v>
      </c>
      <c r="BU205" s="452">
        <v>71</v>
      </c>
      <c r="BV205" s="376">
        <f>IF(Tabla1[[#This Row],[Combustible ofertado]]="GAS",Tabla1[[#This Row],[Disponibilidad]],0)</f>
        <v>0</v>
      </c>
      <c r="BW205" s="376">
        <f>IF(Tabla1[[#This Row],[Combustible ofertado]]="DIESEL",Tabla1[[#This Row],[Disponibilidad]],0)</f>
        <v>71</v>
      </c>
      <c r="BX205" s="376">
        <f>IF(Tabla1[[#This Row],[Combustible ofertado]]="HFO",Tabla1[[#This Row],[Disponibilidad]],0)</f>
        <v>0</v>
      </c>
      <c r="BY205" s="452">
        <v>1150</v>
      </c>
      <c r="BZ205" s="446">
        <f>'Horo. M'!C206</f>
        <v>24</v>
      </c>
      <c r="CA205" s="446">
        <f>'Horo. M'!E206</f>
        <v>24</v>
      </c>
      <c r="CB205" s="446">
        <f>'Horo. M'!G206</f>
        <v>0</v>
      </c>
      <c r="CC205" s="446">
        <f>'Horo. M'!I206</f>
        <v>23</v>
      </c>
      <c r="CD205" s="446">
        <f>'Horo. M'!K206</f>
        <v>24</v>
      </c>
      <c r="CE205" s="446">
        <f>'Horo. M'!M206</f>
        <v>24</v>
      </c>
      <c r="CF205" s="446">
        <f>'Horo. M'!O206</f>
        <v>24</v>
      </c>
      <c r="CG205" s="446">
        <f>'Horo. M'!Q206</f>
        <v>24</v>
      </c>
      <c r="CH205" s="446">
        <f>'Horo. M'!S206</f>
        <v>24</v>
      </c>
      <c r="CI205" s="446">
        <f>'Horo. M'!U206</f>
        <v>0</v>
      </c>
      <c r="CJ205" s="70">
        <f>Tabla1[[#This Row],[Con. DO Storage '[gal']]]-Tabla1[[#This Row],[C. DO Storage Ge '[gal']]]</f>
        <v>132.08602617907422</v>
      </c>
      <c r="CK205" s="70"/>
      <c r="CL205" s="70"/>
      <c r="CM205" s="372">
        <f>Tabla1[[#This Row],[Con. DO Total '[gal']]]*131485.5/(1000000)</f>
        <v>327.54911110088102</v>
      </c>
    </row>
    <row r="206" spans="1:91" ht="15" customHeight="1">
      <c r="A206" s="362">
        <v>45131</v>
      </c>
      <c r="B206" s="363" t="str">
        <f>TEXT(Tabla1[[#This Row],[Fecha]],"mmmm")</f>
        <v>julio</v>
      </c>
      <c r="C206" s="429">
        <v>0</v>
      </c>
      <c r="D206" s="430">
        <v>1272</v>
      </c>
      <c r="E206" s="430">
        <v>1272</v>
      </c>
      <c r="F206" s="430">
        <v>1297</v>
      </c>
      <c r="G206" s="431">
        <v>0</v>
      </c>
      <c r="H206" s="431">
        <v>0</v>
      </c>
      <c r="I206" s="432">
        <v>0</v>
      </c>
      <c r="J206" s="432">
        <v>0</v>
      </c>
      <c r="K206" s="430">
        <v>24</v>
      </c>
      <c r="L206" s="430">
        <v>24</v>
      </c>
      <c r="M206" s="365">
        <f>Tabla1[[#This Row],[Columna1]]-Tabla1[[#This Row],[PO '[h']]]</f>
        <v>0</v>
      </c>
      <c r="N206" s="365">
        <f t="shared" si="58"/>
        <v>1297</v>
      </c>
      <c r="O206" s="430">
        <v>1297</v>
      </c>
      <c r="P206" s="367">
        <f>Tabla1[[#This Row],[G. HGS 
'[MWh']]]</f>
        <v>1297</v>
      </c>
      <c r="Q206" s="430">
        <v>0</v>
      </c>
      <c r="R206" s="367">
        <v>0</v>
      </c>
      <c r="S206" s="367">
        <f>Tabla1[[#This Row],[G. HGS 
Con Gas]]*1000</f>
        <v>1297000</v>
      </c>
      <c r="T206" s="365">
        <f>Tabla1[[#This Row],[G. HGS 
'[MWh']]]*1000</f>
        <v>1297000</v>
      </c>
      <c r="U206" s="368">
        <f>SUM('G. Un GE'!B206:Y206)</f>
        <v>1286.4724999999999</v>
      </c>
      <c r="V206" s="369">
        <f>Tabla1[[#This Row],[R. GE
'[MWh']]]</f>
        <v>1286.4724999999999</v>
      </c>
      <c r="W206" s="434">
        <v>0</v>
      </c>
      <c r="X206" s="369">
        <v>0</v>
      </c>
      <c r="Y206" s="365">
        <f>Tabla1[[#This Row],[R. GE
'[MWh']]]*1000</f>
        <v>1286472.4999999998</v>
      </c>
      <c r="Z206" s="434">
        <v>37.369999999999997</v>
      </c>
      <c r="AA20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37.369999999999997</v>
      </c>
      <c r="AB206" s="371">
        <f>IF(Tabla1[[#This Row],[G. HGS 
'[MWh']]]=0,0,Tabla1[[#This Row],[G. HGS 
'[MWh']]]+Tabla1[[#This Row],[Con. Aux. '[MWh']2]])</f>
        <v>1334.37</v>
      </c>
      <c r="AC206" s="368">
        <f>'C. ENER. TN'!F206</f>
        <v>0</v>
      </c>
      <c r="AD206" s="370">
        <f>'C. ENER. TN'!G206</f>
        <v>1286.4725000000001</v>
      </c>
      <c r="AE206" s="370">
        <f>'G. Un GE'!AX206</f>
        <v>160.80906249999998</v>
      </c>
      <c r="AF206" s="368">
        <f>IFERROR('G. Un GE'!AX206/Tabla1[[#This Row],[PO '[h']]],0)</f>
        <v>6.7003776041666656</v>
      </c>
      <c r="AG206" s="365">
        <f>'Ar-Pa'!AX206</f>
        <v>0</v>
      </c>
      <c r="AH206" s="365">
        <f>'Ar-Pa'!AY206</f>
        <v>0</v>
      </c>
      <c r="AI206" s="366">
        <f>SUM('Cal. Arr'!AB209:AY209)</f>
        <v>0</v>
      </c>
      <c r="AJ206" s="442">
        <v>0</v>
      </c>
      <c r="AK206" s="443">
        <v>1.4</v>
      </c>
      <c r="AL206" s="267">
        <f t="shared" si="61"/>
        <v>369.84087330140778</v>
      </c>
      <c r="AM206" s="267">
        <f>+CONVERT(AK206+Tabla1[[#This Row],[Con. DO Storage Gen. '[m3']]],"m^3","gal")</f>
        <v>369.84087330140778</v>
      </c>
      <c r="AN206" s="372">
        <f>SUM('DO Pilot'!B206:Y206)</f>
        <v>6.4499999999999975</v>
      </c>
      <c r="AO206" s="372">
        <f t="shared" si="62"/>
        <v>1703.9097377100566</v>
      </c>
      <c r="AP206" s="267">
        <f>AK206+AN206+Tabla1[[#This Row],[Con. DO Storage Gen. '[m3']]]</f>
        <v>7.8499999999999979</v>
      </c>
      <c r="AQ206" s="372">
        <f t="shared" si="68"/>
        <v>2073.7506110114646</v>
      </c>
      <c r="AR206" s="443">
        <v>0</v>
      </c>
      <c r="AS206" s="443">
        <v>11013</v>
      </c>
      <c r="AT206" s="267">
        <f>+CONVERT(SUM(Tabla1[[#This Row],[Repo. DO Storage '[gal']]:[Repo. DO Pilot '[gal']]]),"gal","m3")</f>
        <v>41.688739977191993</v>
      </c>
      <c r="AU206" s="442">
        <v>0</v>
      </c>
      <c r="AV206" s="372">
        <f t="shared" si="59"/>
        <v>0</v>
      </c>
      <c r="AW206" s="442">
        <v>0</v>
      </c>
      <c r="AX206" s="372">
        <f t="shared" si="63"/>
        <v>0</v>
      </c>
      <c r="AY206" s="372">
        <f t="shared" si="64"/>
        <v>0.28515102027864903</v>
      </c>
      <c r="AZ206" s="372">
        <f>IFERROR(AL206/'Ar-Pa'!AX206,0)</f>
        <v>0</v>
      </c>
      <c r="BA206" s="372">
        <f>IFERROR(AL206/'Ar-Pa'!AY206,0)</f>
        <v>0</v>
      </c>
      <c r="BB206" s="372">
        <f t="shared" si="65"/>
        <v>1.3137314862837752</v>
      </c>
      <c r="BC206" s="372">
        <f>IFERROR(AVERAGEIF('DO Pilot'!AX206:BU206,"&gt;0"),0)</f>
        <v>8.874529883906547</v>
      </c>
      <c r="BD206" s="446">
        <v>355102</v>
      </c>
      <c r="BE206" s="446">
        <v>12570</v>
      </c>
      <c r="BF206" s="446">
        <v>354954</v>
      </c>
      <c r="BG206" s="223">
        <f>Tabla1[[#This Row],[ Re. Gas GC
 '[m3']]]</f>
        <v>354954</v>
      </c>
      <c r="BH206" s="150">
        <f>IFERROR((BG206*Gas!$B$3)/28.31685,0)</f>
        <v>12487.196694547592</v>
      </c>
      <c r="BI206" s="73">
        <f t="shared" si="60"/>
        <v>-82.803305452407585</v>
      </c>
      <c r="BJ206" s="74">
        <f t="shared" si="69"/>
        <v>-6.6310563914287347E-3</v>
      </c>
      <c r="BK206" s="223">
        <f t="shared" si="66"/>
        <v>9691.5959907478791</v>
      </c>
      <c r="BL206" s="442">
        <v>8885.09</v>
      </c>
      <c r="BM206" s="70">
        <f t="shared" si="67"/>
        <v>9358.1215813811705</v>
      </c>
      <c r="BN206" s="150">
        <f t="shared" si="51"/>
        <v>9706.5399334595913</v>
      </c>
      <c r="BO206" s="373">
        <f>IFERROR(Tabla1[[#This Row],[ Re. Gas GC
 '[m3']]]/Tabla1[[#This Row],[G. HGS 
Con Gas '[kWh']]],0)</f>
        <v>0.27367309175019278</v>
      </c>
      <c r="BP206" s="374">
        <f>Tank!Y207</f>
        <v>0</v>
      </c>
      <c r="BQ206" s="70">
        <f>Tank!AP207</f>
        <v>0</v>
      </c>
      <c r="BR206" s="70">
        <f>Tank!V207</f>
        <v>0</v>
      </c>
      <c r="BS206" s="372">
        <f>Tank!T207</f>
        <v>0</v>
      </c>
      <c r="BT206" s="375" t="s">
        <v>228</v>
      </c>
      <c r="BU206" s="452">
        <v>71</v>
      </c>
      <c r="BV206" s="376">
        <f>IF(Tabla1[[#This Row],[Combustible ofertado]]="GAS",Tabla1[[#This Row],[Disponibilidad]],0)</f>
        <v>0</v>
      </c>
      <c r="BW206" s="376">
        <f>IF(Tabla1[[#This Row],[Combustible ofertado]]="DIESEL",Tabla1[[#This Row],[Disponibilidad]],0)</f>
        <v>71</v>
      </c>
      <c r="BX206" s="376">
        <f>IF(Tabla1[[#This Row],[Combustible ofertado]]="HFO",Tabla1[[#This Row],[Disponibilidad]],0)</f>
        <v>0</v>
      </c>
      <c r="BY206" s="452">
        <v>1150</v>
      </c>
      <c r="BZ206" s="446">
        <f>'Horo. M'!C207</f>
        <v>24</v>
      </c>
      <c r="CA206" s="446">
        <f>'Horo. M'!E207</f>
        <v>24</v>
      </c>
      <c r="CB206" s="446">
        <f>'Horo. M'!G207</f>
        <v>0</v>
      </c>
      <c r="CC206" s="446">
        <f>'Horo. M'!I207</f>
        <v>24</v>
      </c>
      <c r="CD206" s="446">
        <f>'Horo. M'!K207</f>
        <v>24</v>
      </c>
      <c r="CE206" s="446">
        <f>'Horo. M'!M207</f>
        <v>23</v>
      </c>
      <c r="CF206" s="446">
        <f>'Horo. M'!O207</f>
        <v>24</v>
      </c>
      <c r="CG206" s="446">
        <f>'Horo. M'!Q207</f>
        <v>24</v>
      </c>
      <c r="CH206" s="446">
        <f>'Horo. M'!S207</f>
        <v>24</v>
      </c>
      <c r="CI206" s="446">
        <f>'Horo. M'!U207</f>
        <v>0</v>
      </c>
      <c r="CJ206" s="70">
        <f>Tabla1[[#This Row],[Con. DO Storage '[gal']]]-Tabla1[[#This Row],[C. DO Storage Ge '[gal']]]</f>
        <v>369.84087330140778</v>
      </c>
      <c r="CK206" s="70"/>
      <c r="CL206" s="70"/>
      <c r="CM206" s="372">
        <f>Tabla1[[#This Row],[Con. DO Total '[gal']]]*131485.5/(1000000)</f>
        <v>272.66813596414795</v>
      </c>
    </row>
    <row r="207" spans="1:91" ht="15" customHeight="1">
      <c r="A207" s="362">
        <v>45132</v>
      </c>
      <c r="B207" s="363" t="str">
        <f>TEXT(Tabla1[[#This Row],[Fecha]],"mmmm")</f>
        <v>julio</v>
      </c>
      <c r="C207" s="429">
        <v>0</v>
      </c>
      <c r="D207" s="430">
        <v>1272</v>
      </c>
      <c r="E207" s="430">
        <v>1272</v>
      </c>
      <c r="F207" s="430">
        <v>1290</v>
      </c>
      <c r="G207" s="431">
        <v>0</v>
      </c>
      <c r="H207" s="431">
        <v>0</v>
      </c>
      <c r="I207" s="432">
        <v>0</v>
      </c>
      <c r="J207" s="432">
        <v>0</v>
      </c>
      <c r="K207" s="430">
        <v>24</v>
      </c>
      <c r="L207" s="430">
        <v>24</v>
      </c>
      <c r="M207" s="365">
        <f>Tabla1[[#This Row],[Columna1]]-Tabla1[[#This Row],[PO '[h']]]</f>
        <v>0</v>
      </c>
      <c r="N207" s="365">
        <f t="shared" si="58"/>
        <v>1290</v>
      </c>
      <c r="O207" s="430">
        <v>1290</v>
      </c>
      <c r="P207" s="367">
        <f>Tabla1[[#This Row],[G. HGS 
'[MWh']]]</f>
        <v>1290</v>
      </c>
      <c r="Q207" s="430">
        <v>0</v>
      </c>
      <c r="R207" s="367">
        <v>0</v>
      </c>
      <c r="S207" s="367">
        <f>Tabla1[[#This Row],[G. HGS 
Con Gas]]*1000</f>
        <v>1290000</v>
      </c>
      <c r="T207" s="365">
        <f>Tabla1[[#This Row],[G. HGS 
'[MWh']]]*1000</f>
        <v>1290000</v>
      </c>
      <c r="U207" s="368">
        <f>SUM('G. Un GE'!B207:Y207)</f>
        <v>1278.5762</v>
      </c>
      <c r="V207" s="369">
        <f>Tabla1[[#This Row],[R. GE
'[MWh']]]</f>
        <v>1278.5762</v>
      </c>
      <c r="W207" s="434">
        <v>0</v>
      </c>
      <c r="X207" s="369">
        <v>0</v>
      </c>
      <c r="Y207" s="365">
        <f>Tabla1[[#This Row],[R. GE
'[MWh']]]*1000</f>
        <v>1278576.2</v>
      </c>
      <c r="Z207" s="434">
        <v>37.479999999999997</v>
      </c>
      <c r="AA20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37.479999999999997</v>
      </c>
      <c r="AB207" s="371">
        <f>IF(Tabla1[[#This Row],[G. HGS 
'[MWh']]]=0,0,Tabla1[[#This Row],[G. HGS 
'[MWh']]]+Tabla1[[#This Row],[Con. Aux. '[MWh']2]])</f>
        <v>1327.48</v>
      </c>
      <c r="AC207" s="368">
        <f>'C. ENER. TN'!F207</f>
        <v>0</v>
      </c>
      <c r="AD207" s="370">
        <f>'C. ENER. TN'!G207</f>
        <v>1278.5762000000002</v>
      </c>
      <c r="AE207" s="370">
        <f>'G. Un GE'!AX207</f>
        <v>159.822025</v>
      </c>
      <c r="AF207" s="368">
        <f>IFERROR('G. Un GE'!AX207/Tabla1[[#This Row],[PO '[h']]],0)</f>
        <v>6.6592510416666668</v>
      </c>
      <c r="AG207" s="365">
        <f>'Ar-Pa'!AX207</f>
        <v>0</v>
      </c>
      <c r="AH207" s="365">
        <f>'Ar-Pa'!AY207</f>
        <v>0</v>
      </c>
      <c r="AI207" s="366">
        <f>SUM('Cal. Arr'!AB210:AY210)</f>
        <v>0</v>
      </c>
      <c r="AJ207" s="442">
        <v>0</v>
      </c>
      <c r="AK207" s="443">
        <v>0.8</v>
      </c>
      <c r="AL207" s="267">
        <f t="shared" si="61"/>
        <v>211.33764188651872</v>
      </c>
      <c r="AM207" s="267">
        <f>+CONVERT(AK207+Tabla1[[#This Row],[Con. DO Storage Gen. '[m3']]],"m^3","gal")</f>
        <v>211.33764188651872</v>
      </c>
      <c r="AN207" s="372">
        <f>SUM('DO Pilot'!B207:Y207)</f>
        <v>6.8200000000000021</v>
      </c>
      <c r="AO207" s="372">
        <f t="shared" si="62"/>
        <v>1801.6533970825728</v>
      </c>
      <c r="AP207" s="267">
        <f>AK207+AN207+Tabla1[[#This Row],[Con. DO Storage Gen. '[m3']]]</f>
        <v>7.6200000000000019</v>
      </c>
      <c r="AQ207" s="372">
        <f t="shared" si="68"/>
        <v>2012.9910389690915</v>
      </c>
      <c r="AR207" s="443">
        <v>0</v>
      </c>
      <c r="AS207" s="443">
        <v>0</v>
      </c>
      <c r="AT207" s="267">
        <f>+CONVERT(SUM(Tabla1[[#This Row],[Repo. DO Storage '[gal']]:[Repo. DO Pilot '[gal']]]),"gal","m3")</f>
        <v>0</v>
      </c>
      <c r="AU207" s="442">
        <v>0</v>
      </c>
      <c r="AV207" s="372">
        <f t="shared" si="59"/>
        <v>0</v>
      </c>
      <c r="AW207" s="442">
        <v>0</v>
      </c>
      <c r="AX207" s="372">
        <f t="shared" si="63"/>
        <v>0</v>
      </c>
      <c r="AY207" s="372">
        <f t="shared" si="64"/>
        <v>0.16382762936939435</v>
      </c>
      <c r="AZ207" s="372">
        <f>IFERROR(AL207/'Ar-Pa'!AX207,0)</f>
        <v>0</v>
      </c>
      <c r="BA207" s="372">
        <f>IFERROR(AL207/'Ar-Pa'!AY207,0)</f>
        <v>0</v>
      </c>
      <c r="BB207" s="372">
        <f t="shared" si="65"/>
        <v>1.3966305403740875</v>
      </c>
      <c r="BC207" s="372">
        <f>IFERROR(AVERAGEIF('DO Pilot'!AX207:BU207,"&gt;0"),0)</f>
        <v>9.383611443138399</v>
      </c>
      <c r="BD207" s="446">
        <v>353232</v>
      </c>
      <c r="BE207" s="446">
        <v>12504</v>
      </c>
      <c r="BF207" s="446">
        <v>353075</v>
      </c>
      <c r="BG207" s="223">
        <f>Tabla1[[#This Row],[ Re. Gas GC
 '[m3']]]</f>
        <v>353075</v>
      </c>
      <c r="BH207" s="150">
        <f>IFERROR((BG207*Gas!$B$3)/28.31685,0)</f>
        <v>12421.093924642042</v>
      </c>
      <c r="BI207" s="73">
        <f t="shared" si="60"/>
        <v>-82.906075357957889</v>
      </c>
      <c r="BJ207" s="74">
        <f t="shared" si="69"/>
        <v>-6.674619470792475E-3</v>
      </c>
      <c r="BK207" s="223">
        <f t="shared" si="66"/>
        <v>9693.0232558139542</v>
      </c>
      <c r="BL207" s="442">
        <v>8859.6299999999992</v>
      </c>
      <c r="BM207" s="70">
        <f t="shared" si="67"/>
        <v>9356.8972222873726</v>
      </c>
      <c r="BN207" s="150">
        <f t="shared" si="51"/>
        <v>9714.7858099048317</v>
      </c>
      <c r="BO207" s="373">
        <f>IFERROR(Tabla1[[#This Row],[ Re. Gas GC
 '[m3']]]/Tabla1[[#This Row],[G. HGS 
Con Gas '[kWh']]],0)</f>
        <v>0.27370155038759691</v>
      </c>
      <c r="BP207" s="374">
        <f>Tank!Y208</f>
        <v>0</v>
      </c>
      <c r="BQ207" s="70">
        <f>Tank!AP208</f>
        <v>0</v>
      </c>
      <c r="BR207" s="70">
        <f>Tank!V208</f>
        <v>0</v>
      </c>
      <c r="BS207" s="372">
        <f>Tank!T208</f>
        <v>0</v>
      </c>
      <c r="BT207" s="375" t="s">
        <v>228</v>
      </c>
      <c r="BU207" s="452">
        <v>71</v>
      </c>
      <c r="BV207" s="376">
        <f>IF(Tabla1[[#This Row],[Combustible ofertado]]="GAS",Tabla1[[#This Row],[Disponibilidad]],0)</f>
        <v>0</v>
      </c>
      <c r="BW207" s="376">
        <f>IF(Tabla1[[#This Row],[Combustible ofertado]]="DIESEL",Tabla1[[#This Row],[Disponibilidad]],0)</f>
        <v>71</v>
      </c>
      <c r="BX207" s="376">
        <f>IF(Tabla1[[#This Row],[Combustible ofertado]]="HFO",Tabla1[[#This Row],[Disponibilidad]],0)</f>
        <v>0</v>
      </c>
      <c r="BY207" s="452">
        <v>1150</v>
      </c>
      <c r="BZ207" s="446">
        <f>'Horo. M'!C208</f>
        <v>24</v>
      </c>
      <c r="CA207" s="446">
        <f>'Horo. M'!E208</f>
        <v>24</v>
      </c>
      <c r="CB207" s="446">
        <f>'Horo. M'!G208</f>
        <v>0</v>
      </c>
      <c r="CC207" s="446">
        <f>'Horo. M'!I208</f>
        <v>24</v>
      </c>
      <c r="CD207" s="446">
        <f>'Horo. M'!K208</f>
        <v>24</v>
      </c>
      <c r="CE207" s="446">
        <f>'Horo. M'!M208</f>
        <v>24</v>
      </c>
      <c r="CF207" s="446">
        <f>'Horo. M'!O208</f>
        <v>24</v>
      </c>
      <c r="CG207" s="446">
        <f>'Horo. M'!Q208</f>
        <v>24</v>
      </c>
      <c r="CH207" s="446">
        <f>'Horo. M'!S208</f>
        <v>24</v>
      </c>
      <c r="CI207" s="446">
        <f>'Horo. M'!U208</f>
        <v>0</v>
      </c>
      <c r="CJ207" s="70">
        <f>Tabla1[[#This Row],[Con. DO Storage '[gal']]]-Tabla1[[#This Row],[C. DO Storage Ge '[gal']]]</f>
        <v>211.33764188651872</v>
      </c>
      <c r="CK207" s="70"/>
      <c r="CL207" s="70"/>
      <c r="CM207" s="372">
        <f>Tabla1[[#This Row],[Con. DO Total '[gal']]]*131485.5/(1000000)</f>
        <v>264.67913325437047</v>
      </c>
    </row>
    <row r="208" spans="1:91" ht="15" customHeight="1">
      <c r="A208" s="362">
        <v>45133</v>
      </c>
      <c r="B208" s="363" t="str">
        <f>TEXT(Tabla1[[#This Row],[Fecha]],"mmmm")</f>
        <v>julio</v>
      </c>
      <c r="C208" s="429">
        <v>0</v>
      </c>
      <c r="D208" s="430">
        <v>1056</v>
      </c>
      <c r="E208" s="430">
        <v>1056</v>
      </c>
      <c r="F208" s="430">
        <v>1086</v>
      </c>
      <c r="G208" s="431">
        <v>0</v>
      </c>
      <c r="H208" s="431">
        <v>0</v>
      </c>
      <c r="I208" s="432">
        <v>0</v>
      </c>
      <c r="J208" s="432">
        <v>0</v>
      </c>
      <c r="K208" s="430">
        <v>24</v>
      </c>
      <c r="L208" s="430">
        <v>24</v>
      </c>
      <c r="M208" s="365">
        <f>Tabla1[[#This Row],[Columna1]]-Tabla1[[#This Row],[PO '[h']]]</f>
        <v>0</v>
      </c>
      <c r="N208" s="365">
        <f t="shared" si="58"/>
        <v>1086</v>
      </c>
      <c r="O208" s="430">
        <v>1086</v>
      </c>
      <c r="P208" s="367">
        <f>Tabla1[[#This Row],[G. HGS 
'[MWh']]]</f>
        <v>1086</v>
      </c>
      <c r="Q208" s="430">
        <v>0</v>
      </c>
      <c r="R208" s="367">
        <v>0</v>
      </c>
      <c r="S208" s="367">
        <f>Tabla1[[#This Row],[G. HGS 
Con Gas]]*1000</f>
        <v>1086000</v>
      </c>
      <c r="T208" s="365">
        <f>Tabla1[[#This Row],[G. HGS 
'[MWh']]]*1000</f>
        <v>1086000</v>
      </c>
      <c r="U208" s="368">
        <f>SUM('G. Un GE'!B208:Y208)</f>
        <v>1078.4026000000003</v>
      </c>
      <c r="V208" s="369">
        <f>Tabla1[[#This Row],[R. GE
'[MWh']]]</f>
        <v>1078.4026000000003</v>
      </c>
      <c r="W208" s="434">
        <v>0</v>
      </c>
      <c r="X208" s="369">
        <v>0</v>
      </c>
      <c r="Y208" s="365">
        <f>Tabla1[[#This Row],[R. GE
'[MWh']]]*1000</f>
        <v>1078402.6000000003</v>
      </c>
      <c r="Z208" s="434">
        <v>33.57</v>
      </c>
      <c r="AA20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33.57</v>
      </c>
      <c r="AB208" s="371">
        <f>IF(Tabla1[[#This Row],[G. HGS 
'[MWh']]]=0,0,Tabla1[[#This Row],[G. HGS 
'[MWh']]]+Tabla1[[#This Row],[Con. Aux. '[MWh']2]])</f>
        <v>1119.57</v>
      </c>
      <c r="AC208" s="368">
        <f>'C. ENER. TN'!F208</f>
        <v>0</v>
      </c>
      <c r="AD208" s="370">
        <f>'C. ENER. TN'!G208</f>
        <v>1078.4026000000001</v>
      </c>
      <c r="AE208" s="370">
        <f>'G. Un GE'!AX208</f>
        <v>153.26012500000004</v>
      </c>
      <c r="AF208" s="368">
        <f>IFERROR('G. Un GE'!AX208/Tabla1[[#This Row],[PO '[h']]],0)</f>
        <v>6.3858385416666685</v>
      </c>
      <c r="AG208" s="365">
        <f>'Ar-Pa'!AX208</f>
        <v>1</v>
      </c>
      <c r="AH208" s="365">
        <f>'Ar-Pa'!AY208</f>
        <v>2</v>
      </c>
      <c r="AI208" s="366">
        <f>SUM('Cal. Arr'!AB211:AY211)</f>
        <v>0</v>
      </c>
      <c r="AJ208" s="442">
        <v>0</v>
      </c>
      <c r="AK208" s="443">
        <v>1.6</v>
      </c>
      <c r="AL208" s="267">
        <f t="shared" si="61"/>
        <v>422.67528377303745</v>
      </c>
      <c r="AM208" s="267">
        <f>+CONVERT(AK208+Tabla1[[#This Row],[Con. DO Storage Gen. '[m3']]],"m^3","gal")</f>
        <v>422.67528377303745</v>
      </c>
      <c r="AN208" s="372">
        <f>SUM('DO Pilot'!B208:Y208)</f>
        <v>5.3800000000000017</v>
      </c>
      <c r="AO208" s="372">
        <f t="shared" si="62"/>
        <v>1421.245641686839</v>
      </c>
      <c r="AP208" s="267">
        <f>AK208+AN208+Tabla1[[#This Row],[Con. DO Storage Gen. '[m3']]]</f>
        <v>6.9800000000000022</v>
      </c>
      <c r="AQ208" s="372">
        <f t="shared" si="68"/>
        <v>1843.9209254598766</v>
      </c>
      <c r="AR208" s="443">
        <v>0</v>
      </c>
      <c r="AS208" s="443">
        <v>0</v>
      </c>
      <c r="AT208" s="267">
        <f>+CONVERT(SUM(Tabla1[[#This Row],[Repo. DO Storage '[gal']]:[Repo. DO Pilot '[gal']]]),"gal","m3")</f>
        <v>0</v>
      </c>
      <c r="AU208" s="442">
        <v>0</v>
      </c>
      <c r="AV208" s="372">
        <f t="shared" si="59"/>
        <v>0</v>
      </c>
      <c r="AW208" s="442">
        <v>0</v>
      </c>
      <c r="AX208" s="372">
        <f t="shared" si="63"/>
        <v>0</v>
      </c>
      <c r="AY208" s="372">
        <f t="shared" si="64"/>
        <v>0.38920376038032917</v>
      </c>
      <c r="AZ208" s="372">
        <f>IFERROR(AL208/'Ar-Pa'!AX208,0)</f>
        <v>422.67528377303745</v>
      </c>
      <c r="BA208" s="372">
        <f>IFERROR(AL208/'Ar-Pa'!AY208,0)</f>
        <v>211.33764188651872</v>
      </c>
      <c r="BB208" s="372">
        <f t="shared" si="65"/>
        <v>1.3086976442788574</v>
      </c>
      <c r="BC208" s="372">
        <f>IFERROR(AVERAGEIF('DO Pilot'!AX208:BU208,"&gt;0"),0)</f>
        <v>8.4145874713187023</v>
      </c>
      <c r="BD208" s="446">
        <v>297345</v>
      </c>
      <c r="BE208" s="446">
        <v>10526</v>
      </c>
      <c r="BF208" s="446">
        <v>297194</v>
      </c>
      <c r="BG208" s="223">
        <f>Tabla1[[#This Row],[ Re. Gas GC
 '[m3']]]</f>
        <v>297194</v>
      </c>
      <c r="BH208" s="150">
        <f>IFERROR((BG208*Gas!$B$3)/28.31685,0)</f>
        <v>10455.213730340769</v>
      </c>
      <c r="BI208" s="73">
        <f t="shared" si="60"/>
        <v>-70.786269659231039</v>
      </c>
      <c r="BJ208" s="74">
        <f t="shared" si="69"/>
        <v>-6.7704277965940623E-3</v>
      </c>
      <c r="BK208" s="223">
        <f t="shared" si="66"/>
        <v>9692.4493554327801</v>
      </c>
      <c r="BL208" s="442">
        <v>8873.98</v>
      </c>
      <c r="BM208" s="70">
        <f t="shared" si="67"/>
        <v>9338.5976136737936</v>
      </c>
      <c r="BN208" s="150">
        <f t="shared" ref="BN208:BN271" si="70">IFERROR((BH208/V208)*1000,0)</f>
        <v>9695.0932150393237</v>
      </c>
      <c r="BO208" s="373">
        <f>IFERROR(Tabla1[[#This Row],[ Re. Gas GC
 '[m3']]]/Tabla1[[#This Row],[G. HGS 
Con Gas '[kWh']]],0)</f>
        <v>0.27365930018416207</v>
      </c>
      <c r="BP208" s="374">
        <f>Tank!Y209</f>
        <v>0</v>
      </c>
      <c r="BQ208" s="70">
        <f>Tank!AP209</f>
        <v>0</v>
      </c>
      <c r="BR208" s="70">
        <f>Tank!V209</f>
        <v>0</v>
      </c>
      <c r="BS208" s="372">
        <f>Tank!T209</f>
        <v>0</v>
      </c>
      <c r="BT208" s="375" t="s">
        <v>228</v>
      </c>
      <c r="BU208" s="452">
        <v>62</v>
      </c>
      <c r="BV208" s="376">
        <f>IF(Tabla1[[#This Row],[Combustible ofertado]]="GAS",Tabla1[[#This Row],[Disponibilidad]],0)</f>
        <v>0</v>
      </c>
      <c r="BW208" s="376">
        <f>IF(Tabla1[[#This Row],[Combustible ofertado]]="DIESEL",Tabla1[[#This Row],[Disponibilidad]],0)</f>
        <v>62</v>
      </c>
      <c r="BX208" s="376">
        <f>IF(Tabla1[[#This Row],[Combustible ofertado]]="HFO",Tabla1[[#This Row],[Disponibilidad]],0)</f>
        <v>0</v>
      </c>
      <c r="BY208" s="452">
        <v>1150</v>
      </c>
      <c r="BZ208" s="446">
        <f>'Horo. M'!C209</f>
        <v>2</v>
      </c>
      <c r="CA208" s="446">
        <f>'Horo. M'!E209</f>
        <v>24</v>
      </c>
      <c r="CB208" s="446">
        <f>'Horo. M'!G209</f>
        <v>0</v>
      </c>
      <c r="CC208" s="446">
        <f>'Horo. M'!I209</f>
        <v>23</v>
      </c>
      <c r="CD208" s="446">
        <f>'Horo. M'!K209</f>
        <v>23</v>
      </c>
      <c r="CE208" s="446">
        <f>'Horo. M'!M209</f>
        <v>24</v>
      </c>
      <c r="CF208" s="446">
        <f>'Horo. M'!O209</f>
        <v>24</v>
      </c>
      <c r="CG208" s="446">
        <f>'Horo. M'!Q209</f>
        <v>24</v>
      </c>
      <c r="CH208" s="446">
        <f>'Horo. M'!S209</f>
        <v>19</v>
      </c>
      <c r="CI208" s="446">
        <f>'Horo. M'!U209</f>
        <v>0</v>
      </c>
      <c r="CJ208" s="70">
        <f>Tabla1[[#This Row],[Con. DO Storage '[gal']]]-Tabla1[[#This Row],[C. DO Storage Ge '[gal']]]</f>
        <v>422.67528377303745</v>
      </c>
      <c r="CK208" s="70"/>
      <c r="CL208" s="70"/>
      <c r="CM208" s="372">
        <f>Tabla1[[#This Row],[Con. DO Total '[gal']]]*131485.5/(1000000)</f>
        <v>242.44886484455461</v>
      </c>
    </row>
    <row r="209" spans="1:91" ht="15" customHeight="1">
      <c r="A209" s="362">
        <v>45134</v>
      </c>
      <c r="B209" s="363" t="str">
        <f>TEXT(Tabla1[[#This Row],[Fecha]],"mmmm")</f>
        <v>julio</v>
      </c>
      <c r="C209" s="429">
        <v>0</v>
      </c>
      <c r="D209" s="430">
        <v>1272</v>
      </c>
      <c r="E209" s="430">
        <v>1272</v>
      </c>
      <c r="F209" s="430">
        <v>1308</v>
      </c>
      <c r="G209" s="431">
        <v>0</v>
      </c>
      <c r="H209" s="431">
        <v>0</v>
      </c>
      <c r="I209" s="432">
        <v>0</v>
      </c>
      <c r="J209" s="432">
        <v>0</v>
      </c>
      <c r="K209" s="430">
        <v>24</v>
      </c>
      <c r="L209" s="430">
        <v>24</v>
      </c>
      <c r="M209" s="365">
        <f>Tabla1[[#This Row],[Columna1]]-Tabla1[[#This Row],[PO '[h']]]</f>
        <v>0</v>
      </c>
      <c r="N209" s="365">
        <f t="shared" si="58"/>
        <v>1308</v>
      </c>
      <c r="O209" s="430">
        <v>1308</v>
      </c>
      <c r="P209" s="367">
        <f>Tabla1[[#This Row],[G. HGS 
'[MWh']]]</f>
        <v>1308</v>
      </c>
      <c r="Q209" s="430">
        <v>0</v>
      </c>
      <c r="R209" s="367">
        <v>0</v>
      </c>
      <c r="S209" s="367">
        <f>Tabla1[[#This Row],[G. HGS 
Con Gas]]*1000</f>
        <v>1308000</v>
      </c>
      <c r="T209" s="365">
        <f>Tabla1[[#This Row],[G. HGS 
'[MWh']]]*1000</f>
        <v>1308000</v>
      </c>
      <c r="U209" s="368">
        <f>SUM('G. Un GE'!B209:Y209)</f>
        <v>1296.1503</v>
      </c>
      <c r="V209" s="369">
        <f>Tabla1[[#This Row],[R. GE
'[MWh']]]</f>
        <v>1296.1503</v>
      </c>
      <c r="W209" s="434">
        <v>0</v>
      </c>
      <c r="X209" s="369">
        <v>0</v>
      </c>
      <c r="Y209" s="365">
        <f>Tabla1[[#This Row],[R. GE
'[MWh']]]*1000</f>
        <v>1296150.3</v>
      </c>
      <c r="Z209" s="434">
        <v>37.159999999999997</v>
      </c>
      <c r="AA20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37.159999999999997</v>
      </c>
      <c r="AB209" s="371">
        <f>IF(Tabla1[[#This Row],[G. HGS 
'[MWh']]]=0,0,Tabla1[[#This Row],[G. HGS 
'[MWh']]]+Tabla1[[#This Row],[Con. Aux. '[MWh']2]])</f>
        <v>1345.16</v>
      </c>
      <c r="AC209" s="368">
        <f>'C. ENER. TN'!F209</f>
        <v>0</v>
      </c>
      <c r="AD209" s="370">
        <f>'C. ENER. TN'!G209</f>
        <v>1296.1503</v>
      </c>
      <c r="AE209" s="370">
        <f>'G. Un GE'!AX209</f>
        <v>163.90338035714285</v>
      </c>
      <c r="AF209" s="368">
        <f>IFERROR('G. Un GE'!AX209/Tabla1[[#This Row],[PO '[h']]],0)</f>
        <v>6.8293075148809521</v>
      </c>
      <c r="AG209" s="365">
        <f>'Ar-Pa'!AX209</f>
        <v>2</v>
      </c>
      <c r="AH209" s="365">
        <f>'Ar-Pa'!AY209</f>
        <v>1</v>
      </c>
      <c r="AI209" s="366">
        <f>SUM('Cal. Arr'!AB212:AY212)</f>
        <v>0</v>
      </c>
      <c r="AJ209" s="442">
        <v>0</v>
      </c>
      <c r="AK209" s="443">
        <v>0.9</v>
      </c>
      <c r="AL209" s="267">
        <f t="shared" si="61"/>
        <v>237.75484712233359</v>
      </c>
      <c r="AM209" s="267">
        <f>+CONVERT(AK209+Tabla1[[#This Row],[Con. DO Storage Gen. '[m3']]],"m^3","gal")</f>
        <v>237.75484712233359</v>
      </c>
      <c r="AN209" s="372">
        <f>SUM('DO Pilot'!B209:Y209)</f>
        <v>7.1899999999999977</v>
      </c>
      <c r="AO209" s="372">
        <f t="shared" si="62"/>
        <v>1899.3970564550866</v>
      </c>
      <c r="AP209" s="267">
        <f>AK209+AN209+Tabla1[[#This Row],[Con. DO Storage Gen. '[m3']]]</f>
        <v>8.0899999999999981</v>
      </c>
      <c r="AQ209" s="372">
        <f t="shared" si="68"/>
        <v>2137.1519035774204</v>
      </c>
      <c r="AR209" s="443">
        <v>0</v>
      </c>
      <c r="AS209" s="443">
        <v>0</v>
      </c>
      <c r="AT209" s="267">
        <f>+CONVERT(SUM(Tabla1[[#This Row],[Repo. DO Storage '[gal']]:[Repo. DO Pilot '[gal']]]),"gal","m3")</f>
        <v>0</v>
      </c>
      <c r="AU209" s="442">
        <v>0</v>
      </c>
      <c r="AV209" s="372">
        <f t="shared" si="59"/>
        <v>0</v>
      </c>
      <c r="AW209" s="442">
        <v>0</v>
      </c>
      <c r="AX209" s="372">
        <f t="shared" si="63"/>
        <v>0</v>
      </c>
      <c r="AY209" s="372">
        <f t="shared" si="64"/>
        <v>0.18176976079689111</v>
      </c>
      <c r="AZ209" s="372">
        <f>IFERROR(AL209/'Ar-Pa'!AX209,0)</f>
        <v>118.87742356116679</v>
      </c>
      <c r="BA209" s="372">
        <f>IFERROR(AL209/'Ar-Pa'!AY209,0)</f>
        <v>237.75484712233359</v>
      </c>
      <c r="BB209" s="372">
        <f t="shared" si="65"/>
        <v>1.4521384223662741</v>
      </c>
      <c r="BC209" s="372">
        <f>IFERROR(AVERAGEIF('DO Pilot'!AX209:BU209,"&gt;0"),0)</f>
        <v>10.008661388450088</v>
      </c>
      <c r="BD209" s="446">
        <v>355227</v>
      </c>
      <c r="BE209" s="446">
        <v>12574</v>
      </c>
      <c r="BF209" s="446">
        <v>355225</v>
      </c>
      <c r="BG209" s="223">
        <f>Tabla1[[#This Row],[ Re. Gas GC
 '[m3']]]</f>
        <v>355225</v>
      </c>
      <c r="BH209" s="150">
        <f>IFERROR((BG209*Gas!$B$3)/28.31685,0)</f>
        <v>12496.730409632428</v>
      </c>
      <c r="BI209" s="73">
        <f t="shared" si="60"/>
        <v>-77.269590367572164</v>
      </c>
      <c r="BJ209" s="74">
        <f t="shared" si="69"/>
        <v>-6.183184547856861E-3</v>
      </c>
      <c r="BK209" s="223">
        <f t="shared" si="66"/>
        <v>9613.1498470948009</v>
      </c>
      <c r="BL209" s="442">
        <v>8968.56</v>
      </c>
      <c r="BM209" s="70">
        <f t="shared" si="67"/>
        <v>9290.1442279226467</v>
      </c>
      <c r="BN209" s="150">
        <f t="shared" si="70"/>
        <v>9641.42075933048</v>
      </c>
      <c r="BO209" s="373">
        <f>IFERROR(Tabla1[[#This Row],[ Re. Gas GC
 '[m3']]]/Tabla1[[#This Row],[G. HGS 
Con Gas '[kWh']]],0)</f>
        <v>0.27157874617737005</v>
      </c>
      <c r="BP209" s="374">
        <f>Tank!Y210</f>
        <v>0</v>
      </c>
      <c r="BQ209" s="70">
        <f>Tank!AP210</f>
        <v>0</v>
      </c>
      <c r="BR209" s="70">
        <f>Tank!V210</f>
        <v>0</v>
      </c>
      <c r="BS209" s="372">
        <f>Tank!T210</f>
        <v>0</v>
      </c>
      <c r="BT209" s="375" t="s">
        <v>228</v>
      </c>
      <c r="BU209" s="452">
        <v>71</v>
      </c>
      <c r="BV209" s="376">
        <f>IF(Tabla1[[#This Row],[Combustible ofertado]]="GAS",Tabla1[[#This Row],[Disponibilidad]],0)</f>
        <v>0</v>
      </c>
      <c r="BW209" s="376">
        <f>IF(Tabla1[[#This Row],[Combustible ofertado]]="DIESEL",Tabla1[[#This Row],[Disponibilidad]],0)</f>
        <v>71</v>
      </c>
      <c r="BX209" s="376">
        <f>IF(Tabla1[[#This Row],[Combustible ofertado]]="HFO",Tabla1[[#This Row],[Disponibilidad]],0)</f>
        <v>0</v>
      </c>
      <c r="BY209" s="452">
        <v>1150</v>
      </c>
      <c r="BZ209" s="446">
        <f>'Horo. M'!C210</f>
        <v>24</v>
      </c>
      <c r="CA209" s="446">
        <f>'Horo. M'!E210</f>
        <v>24</v>
      </c>
      <c r="CB209" s="446">
        <f>'Horo. M'!G210</f>
        <v>0</v>
      </c>
      <c r="CC209" s="446">
        <f>'Horo. M'!I210</f>
        <v>22</v>
      </c>
      <c r="CD209" s="446">
        <f>'Horo. M'!K210</f>
        <v>24</v>
      </c>
      <c r="CE209" s="446">
        <f>'Horo. M'!M210</f>
        <v>24</v>
      </c>
      <c r="CF209" s="446">
        <f>'Horo. M'!O210</f>
        <v>24</v>
      </c>
      <c r="CG209" s="446">
        <f>'Horo. M'!Q210</f>
        <v>24</v>
      </c>
      <c r="CH209" s="446">
        <f>'Horo. M'!S210</f>
        <v>23</v>
      </c>
      <c r="CI209" s="446">
        <f>'Horo. M'!U210</f>
        <v>0</v>
      </c>
      <c r="CJ209" s="70">
        <f>Tabla1[[#This Row],[Con. DO Storage '[gal']]]-Tabla1[[#This Row],[C. DO Storage Ge '[gal']]]</f>
        <v>237.75484712233359</v>
      </c>
      <c r="CK209" s="70"/>
      <c r="CL209" s="70"/>
      <c r="CM209" s="372">
        <f>Tabla1[[#This Row],[Con. DO Total '[gal']]]*131485.5/(1000000)</f>
        <v>281.00448661782889</v>
      </c>
    </row>
    <row r="210" spans="1:91" ht="15" customHeight="1">
      <c r="A210" s="362">
        <v>45135</v>
      </c>
      <c r="B210" s="363" t="str">
        <f>TEXT(Tabla1[[#This Row],[Fecha]],"mmmm")</f>
        <v>julio</v>
      </c>
      <c r="C210" s="429">
        <v>0</v>
      </c>
      <c r="D210" s="430">
        <v>1272</v>
      </c>
      <c r="E210" s="430">
        <v>1272</v>
      </c>
      <c r="F210" s="430">
        <v>1308</v>
      </c>
      <c r="G210" s="431">
        <v>0</v>
      </c>
      <c r="H210" s="431">
        <v>0</v>
      </c>
      <c r="I210" s="432">
        <v>0</v>
      </c>
      <c r="J210" s="432">
        <v>0</v>
      </c>
      <c r="K210" s="430">
        <v>24</v>
      </c>
      <c r="L210" s="430">
        <v>24</v>
      </c>
      <c r="M210" s="365">
        <f>Tabla1[[#This Row],[Columna1]]-Tabla1[[#This Row],[PO '[h']]]</f>
        <v>0</v>
      </c>
      <c r="N210" s="365">
        <f t="shared" si="58"/>
        <v>1308</v>
      </c>
      <c r="O210" s="430">
        <v>1308</v>
      </c>
      <c r="P210" s="367">
        <f>Tabla1[[#This Row],[G. HGS 
'[MWh']]]</f>
        <v>1308</v>
      </c>
      <c r="Q210" s="430">
        <v>0</v>
      </c>
      <c r="R210" s="367">
        <v>0</v>
      </c>
      <c r="S210" s="367">
        <f>Tabla1[[#This Row],[G. HGS 
Con Gas]]*1000</f>
        <v>1308000</v>
      </c>
      <c r="T210" s="365">
        <f>Tabla1[[#This Row],[G. HGS 
'[MWh']]]*1000</f>
        <v>1308000</v>
      </c>
      <c r="U210" s="368">
        <f>SUM('G. Un GE'!B210:Y210)</f>
        <v>1297.3558</v>
      </c>
      <c r="V210" s="369">
        <f>Tabla1[[#This Row],[R. GE
'[MWh']]]</f>
        <v>1297.3558</v>
      </c>
      <c r="W210" s="434">
        <v>0</v>
      </c>
      <c r="X210" s="369">
        <v>0</v>
      </c>
      <c r="Y210" s="365">
        <f>Tabla1[[#This Row],[R. GE
'[MWh']]]*1000</f>
        <v>1297355.8</v>
      </c>
      <c r="Z210" s="434">
        <v>37.72</v>
      </c>
      <c r="AA21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37.72</v>
      </c>
      <c r="AB210" s="371">
        <f>IF(Tabla1[[#This Row],[G. HGS 
'[MWh']]]=0,0,Tabla1[[#This Row],[G. HGS 
'[MWh']]]+Tabla1[[#This Row],[Con. Aux. '[MWh']2]])</f>
        <v>1345.72</v>
      </c>
      <c r="AC210" s="368">
        <f>'C. ENER. TN'!F210</f>
        <v>0</v>
      </c>
      <c r="AD210" s="370">
        <f>'C. ENER. TN'!G210</f>
        <v>1297.3558</v>
      </c>
      <c r="AE210" s="370">
        <f>'G. Un GE'!AX210</f>
        <v>162.16947500000001</v>
      </c>
      <c r="AF210" s="368">
        <f>IFERROR('G. Un GE'!AX210/Tabla1[[#This Row],[PO '[h']]],0)</f>
        <v>6.7570614583333333</v>
      </c>
      <c r="AG210" s="365">
        <f>'Ar-Pa'!AX210</f>
        <v>0</v>
      </c>
      <c r="AH210" s="365">
        <f>'Ar-Pa'!AY210</f>
        <v>0</v>
      </c>
      <c r="AI210" s="366">
        <f>SUM('Cal. Arr'!AB213:AY213)</f>
        <v>0</v>
      </c>
      <c r="AJ210" s="442">
        <v>0</v>
      </c>
      <c r="AK210" s="443">
        <v>2.1</v>
      </c>
      <c r="AL210" s="267">
        <f t="shared" si="61"/>
        <v>554.76130995211167</v>
      </c>
      <c r="AM210" s="267">
        <f>+CONVERT(AK210+Tabla1[[#This Row],[Con. DO Storage Gen. '[m3']]],"m^3","gal")</f>
        <v>554.76130995211167</v>
      </c>
      <c r="AN210" s="372">
        <f>SUM('DO Pilot'!B210:Y210)</f>
        <v>6.2499999999999964</v>
      </c>
      <c r="AO210" s="372">
        <f t="shared" si="62"/>
        <v>1651.0753272384268</v>
      </c>
      <c r="AP210" s="267">
        <f>AK210+AN210+Tabla1[[#This Row],[Con. DO Storage Gen. '[m3']]]</f>
        <v>8.3499999999999961</v>
      </c>
      <c r="AQ210" s="372">
        <f t="shared" si="68"/>
        <v>2205.8366371905386</v>
      </c>
      <c r="AR210" s="443">
        <v>0</v>
      </c>
      <c r="AS210" s="443">
        <v>10775</v>
      </c>
      <c r="AT210" s="267">
        <f>+CONVERT(SUM(Tabla1[[#This Row],[Repo. DO Storage '[gal']]:[Repo. DO Pilot '[gal']]]),"gal","m3")</f>
        <v>40.787811972600004</v>
      </c>
      <c r="AU210" s="442">
        <v>0</v>
      </c>
      <c r="AV210" s="372">
        <f t="shared" si="59"/>
        <v>0</v>
      </c>
      <c r="AW210" s="442">
        <v>0</v>
      </c>
      <c r="AX210" s="372">
        <f t="shared" si="63"/>
        <v>0</v>
      </c>
      <c r="AY210" s="372">
        <f t="shared" si="64"/>
        <v>0.42412944185941259</v>
      </c>
      <c r="AZ210" s="372">
        <f>IFERROR(AL210/'Ar-Pa'!AX210,0)</f>
        <v>0</v>
      </c>
      <c r="BA210" s="372">
        <f>IFERROR(AL210/'Ar-Pa'!AY210,0)</f>
        <v>0</v>
      </c>
      <c r="BB210" s="372">
        <f t="shared" si="65"/>
        <v>1.2622900055339654</v>
      </c>
      <c r="BC210" s="372">
        <f>IFERROR(AVERAGEIF('DO Pilot'!AX210:BU210,"&gt;0"),0)</f>
        <v>8.5993506627001466</v>
      </c>
      <c r="BD210" s="446">
        <v>355998</v>
      </c>
      <c r="BE210" s="446">
        <v>12602</v>
      </c>
      <c r="BF210" s="446">
        <v>355993</v>
      </c>
      <c r="BG210" s="223">
        <f>Tabla1[[#This Row],[ Re. Gas GC
 '[m3']]]</f>
        <v>355993</v>
      </c>
      <c r="BH210" s="150">
        <f>IFERROR((BG210*Gas!$B$3)/28.31685,0)</f>
        <v>12523.748465666202</v>
      </c>
      <c r="BI210" s="73">
        <f t="shared" si="60"/>
        <v>-78.25153433379819</v>
      </c>
      <c r="BJ210" s="74">
        <f t="shared" si="69"/>
        <v>-6.248251835169351E-3</v>
      </c>
      <c r="BK210" s="223">
        <f t="shared" si="66"/>
        <v>9634.5565749235466</v>
      </c>
      <c r="BL210" s="442">
        <v>6489.99</v>
      </c>
      <c r="BM210" s="70">
        <f t="shared" si="67"/>
        <v>9306.3553084342966</v>
      </c>
      <c r="BN210" s="150">
        <f t="shared" si="70"/>
        <v>9653.287452575616</v>
      </c>
      <c r="BO210" s="373">
        <f>IFERROR(Tabla1[[#This Row],[ Re. Gas GC
 '[m3']]]/Tabla1[[#This Row],[G. HGS 
Con Gas '[kWh']]],0)</f>
        <v>0.27216590214067277</v>
      </c>
      <c r="BP210" s="374">
        <f>Tank!Y211</f>
        <v>0</v>
      </c>
      <c r="BQ210" s="70">
        <f>Tank!AP211</f>
        <v>0</v>
      </c>
      <c r="BR210" s="70">
        <f>Tank!V211</f>
        <v>0</v>
      </c>
      <c r="BS210" s="372">
        <f>Tank!T211</f>
        <v>0</v>
      </c>
      <c r="BT210" s="375" t="s">
        <v>228</v>
      </c>
      <c r="BU210" s="452">
        <v>71</v>
      </c>
      <c r="BV210" s="376">
        <f>IF(Tabla1[[#This Row],[Combustible ofertado]]="GAS",Tabla1[[#This Row],[Disponibilidad]],0)</f>
        <v>0</v>
      </c>
      <c r="BW210" s="376">
        <f>IF(Tabla1[[#This Row],[Combustible ofertado]]="DIESEL",Tabla1[[#This Row],[Disponibilidad]],0)</f>
        <v>71</v>
      </c>
      <c r="BX210" s="376">
        <f>IF(Tabla1[[#This Row],[Combustible ofertado]]="HFO",Tabla1[[#This Row],[Disponibilidad]],0)</f>
        <v>0</v>
      </c>
      <c r="BY210" s="452">
        <v>1150</v>
      </c>
      <c r="BZ210" s="446">
        <f>'Horo. M'!C211</f>
        <v>24</v>
      </c>
      <c r="CA210" s="446">
        <f>'Horo. M'!E211</f>
        <v>24</v>
      </c>
      <c r="CB210" s="446">
        <f>'Horo. M'!G211</f>
        <v>0</v>
      </c>
      <c r="CC210" s="446">
        <f>'Horo. M'!I211</f>
        <v>24</v>
      </c>
      <c r="CD210" s="446">
        <f>'Horo. M'!K211</f>
        <v>24</v>
      </c>
      <c r="CE210" s="446">
        <f>'Horo. M'!M211</f>
        <v>24</v>
      </c>
      <c r="CF210" s="446">
        <f>'Horo. M'!O211</f>
        <v>24</v>
      </c>
      <c r="CG210" s="446">
        <f>'Horo. M'!Q211</f>
        <v>24</v>
      </c>
      <c r="CH210" s="446">
        <f>'Horo. M'!S211</f>
        <v>24</v>
      </c>
      <c r="CI210" s="446">
        <f>'Horo. M'!U211</f>
        <v>0</v>
      </c>
      <c r="CJ210" s="70">
        <f>Tabla1[[#This Row],[Con. DO Storage '[gal']]]-Tabla1[[#This Row],[C. DO Storage Ge '[gal']]]</f>
        <v>-29856.718690047888</v>
      </c>
      <c r="CK210" s="70">
        <v>30411.48</v>
      </c>
      <c r="CL210" s="70">
        <v>433230</v>
      </c>
      <c r="CM210" s="372">
        <f>Tabla1[[#This Row],[Con. DO Total '[gal']]]*131485.5/(1000000)</f>
        <v>290.03553315931651</v>
      </c>
    </row>
    <row r="211" spans="1:91" ht="15" customHeight="1">
      <c r="A211" s="362">
        <v>45136</v>
      </c>
      <c r="B211" s="363" t="str">
        <f>TEXT(Tabla1[[#This Row],[Fecha]],"mmmm")</f>
        <v>julio</v>
      </c>
      <c r="C211" s="429">
        <v>0</v>
      </c>
      <c r="D211" s="430">
        <v>1272</v>
      </c>
      <c r="E211" s="430">
        <v>1272</v>
      </c>
      <c r="F211" s="430">
        <v>1310</v>
      </c>
      <c r="G211" s="431">
        <v>0</v>
      </c>
      <c r="H211" s="431">
        <v>0</v>
      </c>
      <c r="I211" s="432">
        <v>0</v>
      </c>
      <c r="J211" s="432">
        <v>0</v>
      </c>
      <c r="K211" s="430">
        <v>24</v>
      </c>
      <c r="L211" s="430">
        <v>24</v>
      </c>
      <c r="M211" s="365">
        <f>Tabla1[[#This Row],[Columna1]]-Tabla1[[#This Row],[PO '[h']]]</f>
        <v>0</v>
      </c>
      <c r="N211" s="365">
        <f t="shared" si="58"/>
        <v>1310</v>
      </c>
      <c r="O211" s="430">
        <v>1310</v>
      </c>
      <c r="P211" s="367">
        <f>Tabla1[[#This Row],[G. HGS 
'[MWh']]]</f>
        <v>1310</v>
      </c>
      <c r="Q211" s="430">
        <v>0</v>
      </c>
      <c r="R211" s="367">
        <v>0</v>
      </c>
      <c r="S211" s="367">
        <f>Tabla1[[#This Row],[G. HGS 
Con Gas]]*1000</f>
        <v>1310000</v>
      </c>
      <c r="T211" s="365">
        <f>Tabla1[[#This Row],[G. HGS 
'[MWh']]]*1000</f>
        <v>1310000</v>
      </c>
      <c r="U211" s="368">
        <f>SUM('G. Un GE'!B211:Y211)</f>
        <v>1299.3045999999997</v>
      </c>
      <c r="V211" s="369">
        <f>Tabla1[[#This Row],[R. GE
'[MWh']]]</f>
        <v>1299.3045999999997</v>
      </c>
      <c r="W211" s="434">
        <v>0</v>
      </c>
      <c r="X211" s="369">
        <v>0</v>
      </c>
      <c r="Y211" s="365">
        <f>Tabla1[[#This Row],[R. GE
'[MWh']]]*1000</f>
        <v>1299304.5999999996</v>
      </c>
      <c r="Z211" s="434">
        <v>37.549999999999997</v>
      </c>
      <c r="AA21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37.549999999999997</v>
      </c>
      <c r="AB211" s="371">
        <f>IF(Tabla1[[#This Row],[G. HGS 
'[MWh']]]=0,0,Tabla1[[#This Row],[G. HGS 
'[MWh']]]+Tabla1[[#This Row],[Con. Aux. '[MWh']2]])</f>
        <v>1347.55</v>
      </c>
      <c r="AC211" s="368">
        <f>'C. ENER. TN'!F211</f>
        <v>0</v>
      </c>
      <c r="AD211" s="370">
        <f>'C. ENER. TN'!G211</f>
        <v>1299.3045999999999</v>
      </c>
      <c r="AE211" s="370">
        <f>'G. Un GE'!AX211</f>
        <v>166.94037499999999</v>
      </c>
      <c r="AF211" s="368">
        <f>IFERROR('G. Un GE'!AX211/Tabla1[[#This Row],[PO '[h']]],0)</f>
        <v>6.9558489583333332</v>
      </c>
      <c r="AG211" s="365">
        <f>'Ar-Pa'!AX211</f>
        <v>2</v>
      </c>
      <c r="AH211" s="365">
        <f>'Ar-Pa'!AY211</f>
        <v>2</v>
      </c>
      <c r="AI211" s="366">
        <f>SUM('Cal. Arr'!AB214:AY214)</f>
        <v>0</v>
      </c>
      <c r="AJ211" s="442">
        <v>0</v>
      </c>
      <c r="AK211" s="443">
        <v>1.6</v>
      </c>
      <c r="AL211" s="267">
        <f t="shared" si="61"/>
        <v>422.67528377303745</v>
      </c>
      <c r="AM211" s="267">
        <f>+CONVERT(AK211+Tabla1[[#This Row],[Con. DO Storage Gen. '[m3']]],"m^3","gal")</f>
        <v>422.67528377303745</v>
      </c>
      <c r="AN211" s="372">
        <f>SUM('DO Pilot'!B211:Y211)</f>
        <v>6.8100000000000023</v>
      </c>
      <c r="AO211" s="372">
        <f t="shared" si="62"/>
        <v>1799.0116765589912</v>
      </c>
      <c r="AP211" s="267">
        <f>AK211+AN211+Tabla1[[#This Row],[Con. DO Storage Gen. '[m3']]]</f>
        <v>8.4100000000000019</v>
      </c>
      <c r="AQ211" s="372">
        <f t="shared" si="68"/>
        <v>2221.6869603320288</v>
      </c>
      <c r="AR211" s="443">
        <v>0</v>
      </c>
      <c r="AS211" s="443">
        <v>0</v>
      </c>
      <c r="AT211" s="267">
        <f>+CONVERT(SUM(Tabla1[[#This Row],[Repo. DO Storage '[gal']]:[Repo. DO Pilot '[gal']]]),"gal","m3")</f>
        <v>0</v>
      </c>
      <c r="AU211" s="442">
        <v>0</v>
      </c>
      <c r="AV211" s="372">
        <f t="shared" si="59"/>
        <v>0</v>
      </c>
      <c r="AW211" s="442">
        <v>0</v>
      </c>
      <c r="AX211" s="372">
        <f t="shared" si="63"/>
        <v>0</v>
      </c>
      <c r="AY211" s="372">
        <f t="shared" si="64"/>
        <v>0.32265288837636447</v>
      </c>
      <c r="AZ211" s="372">
        <f>IFERROR(AL211/'Ar-Pa'!AX211,0)</f>
        <v>211.33764188651872</v>
      </c>
      <c r="BA211" s="372">
        <f>IFERROR(AL211/'Ar-Pa'!AY211,0)</f>
        <v>211.33764188651872</v>
      </c>
      <c r="BB211" s="372">
        <f t="shared" si="65"/>
        <v>1.3732913561519018</v>
      </c>
      <c r="BC211" s="372">
        <f>IFERROR(AVERAGEIF('DO Pilot'!AX211:BU211,"&gt;0"),0)</f>
        <v>9.631272742224164</v>
      </c>
      <c r="BD211" s="446">
        <v>345965</v>
      </c>
      <c r="BE211" s="446">
        <v>12247</v>
      </c>
      <c r="BF211" s="446">
        <v>345959</v>
      </c>
      <c r="BG211" s="223">
        <f>Tabla1[[#This Row],[ Re. Gas GC
 '[m3']]]</f>
        <v>345959</v>
      </c>
      <c r="BH211" s="150">
        <f>IFERROR((BG211*Gas!$B$3)/28.31685,0)</f>
        <v>12170.754749204096</v>
      </c>
      <c r="BI211" s="73">
        <f t="shared" si="60"/>
        <v>-76.245250795904212</v>
      </c>
      <c r="BJ211" s="74">
        <f t="shared" si="69"/>
        <v>-6.2646279846276798E-3</v>
      </c>
      <c r="BK211" s="223">
        <f t="shared" si="66"/>
        <v>9348.8549618320612</v>
      </c>
      <c r="BL211" s="442">
        <v>8958.58</v>
      </c>
      <c r="BM211" s="70">
        <f t="shared" si="67"/>
        <v>9031.7648689874932</v>
      </c>
      <c r="BN211" s="150">
        <f t="shared" si="70"/>
        <v>9367.1297317073295</v>
      </c>
      <c r="BO211" s="373">
        <f>IFERROR(Tabla1[[#This Row],[ Re. Gas GC
 '[m3']]]/Tabla1[[#This Row],[G. HGS 
Con Gas '[kWh']]],0)</f>
        <v>0.26409083969465647</v>
      </c>
      <c r="BP211" s="374">
        <f>Tank!Y212</f>
        <v>0</v>
      </c>
      <c r="BQ211" s="70">
        <f>Tank!AP212</f>
        <v>0</v>
      </c>
      <c r="BR211" s="70">
        <f>Tank!V212</f>
        <v>0</v>
      </c>
      <c r="BS211" s="372">
        <f>Tank!T212</f>
        <v>0</v>
      </c>
      <c r="BT211" s="375" t="s">
        <v>228</v>
      </c>
      <c r="BU211" s="452">
        <v>71</v>
      </c>
      <c r="BV211" s="376">
        <f>IF(Tabla1[[#This Row],[Combustible ofertado]]="GAS",Tabla1[[#This Row],[Disponibilidad]],0)</f>
        <v>0</v>
      </c>
      <c r="BW211" s="376">
        <f>IF(Tabla1[[#This Row],[Combustible ofertado]]="DIESEL",Tabla1[[#This Row],[Disponibilidad]],0)</f>
        <v>71</v>
      </c>
      <c r="BX211" s="376">
        <f>IF(Tabla1[[#This Row],[Combustible ofertado]]="HFO",Tabla1[[#This Row],[Disponibilidad]],0)</f>
        <v>0</v>
      </c>
      <c r="BY211" s="452">
        <v>1150</v>
      </c>
      <c r="BZ211" s="446">
        <f>'Horo. M'!C212</f>
        <v>24</v>
      </c>
      <c r="CA211" s="446">
        <f>'Horo. M'!E212</f>
        <v>24</v>
      </c>
      <c r="CB211" s="446">
        <f>'Horo. M'!G212</f>
        <v>0</v>
      </c>
      <c r="CC211" s="446">
        <f>'Horo. M'!I212</f>
        <v>24</v>
      </c>
      <c r="CD211" s="446">
        <f>'Horo. M'!K212</f>
        <v>24</v>
      </c>
      <c r="CE211" s="446">
        <f>'Horo. M'!M212</f>
        <v>24</v>
      </c>
      <c r="CF211" s="446">
        <f>'Horo. M'!O212</f>
        <v>24</v>
      </c>
      <c r="CG211" s="446">
        <f>'Horo. M'!Q212</f>
        <v>24</v>
      </c>
      <c r="CH211" s="446">
        <f>'Horo. M'!S212</f>
        <v>24</v>
      </c>
      <c r="CI211" s="446">
        <f>'Horo. M'!U212</f>
        <v>0</v>
      </c>
      <c r="CJ211" s="70">
        <f>Tabla1[[#This Row],[Con. DO Storage '[gal']]]-Tabla1[[#This Row],[C. DO Storage Ge '[gal']]]</f>
        <v>422.67528377303745</v>
      </c>
      <c r="CK211" s="70"/>
      <c r="CL211" s="70"/>
      <c r="CM211" s="372">
        <f>Tabla1[[#This Row],[Con. DO Total '[gal']]]*131485.5/(1000000)</f>
        <v>292.11962082273698</v>
      </c>
    </row>
    <row r="212" spans="1:91" ht="15" customHeight="1">
      <c r="A212" s="362">
        <v>45137</v>
      </c>
      <c r="B212" s="363" t="str">
        <f>TEXT(Tabla1[[#This Row],[Fecha]],"mmmm")</f>
        <v>julio</v>
      </c>
      <c r="C212" s="429">
        <v>0</v>
      </c>
      <c r="D212" s="430">
        <v>1272</v>
      </c>
      <c r="E212" s="430">
        <v>1272</v>
      </c>
      <c r="F212" s="430">
        <v>1309</v>
      </c>
      <c r="G212" s="431">
        <v>0</v>
      </c>
      <c r="H212" s="431">
        <v>0</v>
      </c>
      <c r="I212" s="432">
        <v>0</v>
      </c>
      <c r="J212" s="432">
        <v>0</v>
      </c>
      <c r="K212" s="430">
        <v>24</v>
      </c>
      <c r="L212" s="430">
        <v>24</v>
      </c>
      <c r="M212" s="365">
        <f>Tabla1[[#This Row],[Columna1]]-Tabla1[[#This Row],[PO '[h']]]</f>
        <v>0</v>
      </c>
      <c r="N212" s="365">
        <f t="shared" si="58"/>
        <v>1309</v>
      </c>
      <c r="O212" s="430">
        <v>1309</v>
      </c>
      <c r="P212" s="367">
        <f>Tabla1[[#This Row],[G. HGS 
'[MWh']]]</f>
        <v>1309</v>
      </c>
      <c r="Q212" s="430">
        <v>0</v>
      </c>
      <c r="R212" s="367">
        <v>0</v>
      </c>
      <c r="S212" s="367">
        <f>Tabla1[[#This Row],[G. HGS 
Con Gas]]*1000</f>
        <v>1309000</v>
      </c>
      <c r="T212" s="365">
        <f>Tabla1[[#This Row],[G. HGS 
'[MWh']]]*1000</f>
        <v>1309000</v>
      </c>
      <c r="U212" s="368">
        <f>SUM('G. Un GE'!B212:Y212)</f>
        <v>1299.0502999999999</v>
      </c>
      <c r="V212" s="369">
        <f>Tabla1[[#This Row],[R. GE
'[MWh']]]</f>
        <v>1299.0502999999999</v>
      </c>
      <c r="W212" s="434">
        <v>0</v>
      </c>
      <c r="X212" s="369">
        <v>0</v>
      </c>
      <c r="Y212" s="365">
        <f>Tabla1[[#This Row],[R. GE
'[MWh']]]*1000</f>
        <v>1299050.2999999998</v>
      </c>
      <c r="Z212" s="434">
        <v>37.49</v>
      </c>
      <c r="AA21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37.49</v>
      </c>
      <c r="AB212" s="371">
        <f>IF(Tabla1[[#This Row],[G. HGS 
'[MWh']]]=0,0,Tabla1[[#This Row],[G. HGS 
'[MWh']]]+Tabla1[[#This Row],[Con. Aux. '[MWh']2]])</f>
        <v>1346.49</v>
      </c>
      <c r="AC212" s="368">
        <f>'C. ENER. TN'!F212</f>
        <v>0</v>
      </c>
      <c r="AD212" s="370">
        <f>'C. ENER. TN'!G212</f>
        <v>1299.0502999999999</v>
      </c>
      <c r="AE212" s="370">
        <f>'G. Un GE'!AX212</f>
        <v>162.38128749999998</v>
      </c>
      <c r="AF212" s="368">
        <f>IFERROR('G. Un GE'!AX212/Tabla1[[#This Row],[PO '[h']]],0)</f>
        <v>6.765886979166666</v>
      </c>
      <c r="AG212" s="365">
        <f>'Ar-Pa'!AX212</f>
        <v>0</v>
      </c>
      <c r="AH212" s="365">
        <f>'Ar-Pa'!AY212</f>
        <v>0</v>
      </c>
      <c r="AI212" s="366">
        <f>SUM('Cal. Arr'!AB215:AY215)</f>
        <v>0</v>
      </c>
      <c r="AJ212" s="442">
        <v>0</v>
      </c>
      <c r="AK212" s="443">
        <v>2.2999999999999998</v>
      </c>
      <c r="AL212" s="267">
        <f t="shared" si="61"/>
        <v>607.59572042374134</v>
      </c>
      <c r="AM212" s="267">
        <f>+CONVERT(AK212+Tabla1[[#This Row],[Con. DO Storage Gen. '[m3']]],"m^3","gal")</f>
        <v>607.59572042374134</v>
      </c>
      <c r="AN212" s="372">
        <f>SUM('DO Pilot'!B212:Y212)</f>
        <v>6.8900000000000006</v>
      </c>
      <c r="AO212" s="372">
        <f t="shared" si="62"/>
        <v>1820.1454407476429</v>
      </c>
      <c r="AP212" s="267">
        <f>AK212+AN212+Tabla1[[#This Row],[Con. DO Storage Gen. '[m3']]]</f>
        <v>9.1900000000000013</v>
      </c>
      <c r="AQ212" s="372">
        <f t="shared" si="68"/>
        <v>2427.7411611713846</v>
      </c>
      <c r="AR212" s="443">
        <v>0</v>
      </c>
      <c r="AS212" s="443">
        <v>0</v>
      </c>
      <c r="AT212" s="267">
        <f>+CONVERT(SUM(Tabla1[[#This Row],[Repo. DO Storage '[gal']]:[Repo. DO Pilot '[gal']]]),"gal","m3")</f>
        <v>0</v>
      </c>
      <c r="AU212" s="442">
        <v>0</v>
      </c>
      <c r="AV212" s="372">
        <f t="shared" si="59"/>
        <v>0</v>
      </c>
      <c r="AW212" s="442">
        <v>0</v>
      </c>
      <c r="AX212" s="372">
        <f t="shared" si="63"/>
        <v>0</v>
      </c>
      <c r="AY212" s="372">
        <f t="shared" si="64"/>
        <v>0.46416785364686125</v>
      </c>
      <c r="AZ212" s="372">
        <f>IFERROR(AL212/'Ar-Pa'!AX212,0)</f>
        <v>0</v>
      </c>
      <c r="BA212" s="372">
        <f>IFERROR(AL212/'Ar-Pa'!AY212,0)</f>
        <v>0</v>
      </c>
      <c r="BB212" s="372">
        <f t="shared" si="65"/>
        <v>1.3904854398377715</v>
      </c>
      <c r="BC212" s="372">
        <f>IFERROR(AVERAGEIF('DO Pilot'!AX212:BU212,"&gt;0"),0)</f>
        <v>9.4799241705606381</v>
      </c>
      <c r="BD212" s="446">
        <v>348192</v>
      </c>
      <c r="BE212" s="446">
        <v>12325</v>
      </c>
      <c r="BF212" s="446">
        <v>347775</v>
      </c>
      <c r="BG212" s="223">
        <f>Tabla1[[#This Row],[ Re. Gas GC
 '[m3']]]</f>
        <v>347775</v>
      </c>
      <c r="BH212" s="150">
        <f>IFERROR((BG212*Gas!$B$3)/28.31685,0)</f>
        <v>12234.641194200625</v>
      </c>
      <c r="BI212" s="73">
        <f t="shared" si="60"/>
        <v>-90.35880579937475</v>
      </c>
      <c r="BJ212" s="74">
        <f t="shared" si="69"/>
        <v>-7.3854888235059942E-3</v>
      </c>
      <c r="BK212" s="223">
        <f t="shared" si="66"/>
        <v>9415.5844155844152</v>
      </c>
      <c r="BL212" s="442">
        <v>8976.2900000000009</v>
      </c>
      <c r="BM212" s="70">
        <f t="shared" si="67"/>
        <v>9086.3216170937958</v>
      </c>
      <c r="BN212" s="150">
        <f t="shared" si="70"/>
        <v>9418.1427726090569</v>
      </c>
      <c r="BO212" s="373">
        <f>IFERROR(Tabla1[[#This Row],[ Re. Gas GC
 '[m3']]]/Tabla1[[#This Row],[G. HGS 
Con Gas '[kWh']]],0)</f>
        <v>0.26567990832696714</v>
      </c>
      <c r="BP212" s="374">
        <f>Tank!Y213</f>
        <v>0</v>
      </c>
      <c r="BQ212" s="70">
        <f>Tank!AP213</f>
        <v>0</v>
      </c>
      <c r="BR212" s="70">
        <f>Tank!V213</f>
        <v>0</v>
      </c>
      <c r="BS212" s="372">
        <f>Tank!T213</f>
        <v>0</v>
      </c>
      <c r="BT212" s="375" t="s">
        <v>228</v>
      </c>
      <c r="BU212" s="452">
        <v>71</v>
      </c>
      <c r="BV212" s="376">
        <f>IF(Tabla1[[#This Row],[Combustible ofertado]]="GAS",Tabla1[[#This Row],[Disponibilidad]],0)</f>
        <v>0</v>
      </c>
      <c r="BW212" s="376">
        <f>IF(Tabla1[[#This Row],[Combustible ofertado]]="DIESEL",Tabla1[[#This Row],[Disponibilidad]],0)</f>
        <v>71</v>
      </c>
      <c r="BX212" s="376">
        <f>IF(Tabla1[[#This Row],[Combustible ofertado]]="HFO",Tabla1[[#This Row],[Disponibilidad]],0)</f>
        <v>0</v>
      </c>
      <c r="BY212" s="452">
        <v>1150</v>
      </c>
      <c r="BZ212" s="446">
        <f>'Horo. M'!C213</f>
        <v>24</v>
      </c>
      <c r="CA212" s="446">
        <f>'Horo. M'!E213</f>
        <v>24</v>
      </c>
      <c r="CB212" s="446">
        <f>'Horo. M'!G213</f>
        <v>0</v>
      </c>
      <c r="CC212" s="446">
        <f>'Horo. M'!I213</f>
        <v>24</v>
      </c>
      <c r="CD212" s="446">
        <f>'Horo. M'!K213</f>
        <v>24</v>
      </c>
      <c r="CE212" s="446">
        <f>'Horo. M'!M213</f>
        <v>24</v>
      </c>
      <c r="CF212" s="446">
        <f>'Horo. M'!O213</f>
        <v>24</v>
      </c>
      <c r="CG212" s="446">
        <f>'Horo. M'!Q213</f>
        <v>24</v>
      </c>
      <c r="CH212" s="446">
        <f>'Horo. M'!S213</f>
        <v>24</v>
      </c>
      <c r="CI212" s="446">
        <f>'Horo. M'!U213</f>
        <v>0</v>
      </c>
      <c r="CJ212" s="70">
        <f>Tabla1[[#This Row],[Con. DO Storage '[gal']]]-Tabla1[[#This Row],[C. DO Storage Ge '[gal']]]</f>
        <v>607.59572042374134</v>
      </c>
      <c r="CK212" s="70"/>
      <c r="CL212" s="70"/>
      <c r="CM212" s="372">
        <f>Tabla1[[#This Row],[Con. DO Total '[gal']]]*131485.5/(1000000)</f>
        <v>319.21276044720014</v>
      </c>
    </row>
    <row r="213" spans="1:91" ht="15" customHeight="1">
      <c r="A213" s="362">
        <v>45138</v>
      </c>
      <c r="B213" s="363" t="str">
        <f>TEXT(Tabla1[[#This Row],[Fecha]],"mmmm")</f>
        <v>julio</v>
      </c>
      <c r="C213" s="429">
        <v>0</v>
      </c>
      <c r="D213" s="430">
        <v>1272</v>
      </c>
      <c r="E213" s="430">
        <v>1272</v>
      </c>
      <c r="F213" s="430">
        <v>1259</v>
      </c>
      <c r="G213" s="431">
        <v>6</v>
      </c>
      <c r="H213" s="431">
        <v>264</v>
      </c>
      <c r="I213" s="432">
        <v>0</v>
      </c>
      <c r="J213" s="432">
        <v>0</v>
      </c>
      <c r="K213" s="430">
        <v>24</v>
      </c>
      <c r="L213" s="430">
        <v>24</v>
      </c>
      <c r="M213" s="365">
        <f>Tabla1[[#This Row],[Columna1]]-Tabla1[[#This Row],[PO '[h']]]</f>
        <v>0</v>
      </c>
      <c r="N213" s="365">
        <f t="shared" si="58"/>
        <v>1523</v>
      </c>
      <c r="O213" s="430">
        <v>1259</v>
      </c>
      <c r="P213" s="367">
        <f>Tabla1[[#This Row],[G. HGS 
'[MWh']]]</f>
        <v>1259</v>
      </c>
      <c r="Q213" s="430">
        <v>0</v>
      </c>
      <c r="R213" s="367">
        <v>0</v>
      </c>
      <c r="S213" s="367">
        <f>Tabla1[[#This Row],[G. HGS 
Con Gas]]*1000</f>
        <v>1259000</v>
      </c>
      <c r="T213" s="365">
        <f>Tabla1[[#This Row],[G. HGS 
'[MWh']]]*1000</f>
        <v>1259000</v>
      </c>
      <c r="U213" s="368">
        <f>SUM('G. Un GE'!B213:Y213)</f>
        <v>1247.8893</v>
      </c>
      <c r="V213" s="369">
        <f>Tabla1[[#This Row],[R. GE
'[MWh']]]</f>
        <v>1247.8893</v>
      </c>
      <c r="W213" s="434">
        <v>0</v>
      </c>
      <c r="X213" s="369">
        <v>0</v>
      </c>
      <c r="Y213" s="365">
        <f>Tabla1[[#This Row],[R. GE
'[MWh']]]*1000</f>
        <v>1247889.3</v>
      </c>
      <c r="Z213" s="434">
        <v>36.159999999999997</v>
      </c>
      <c r="AA21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36.159999999999997</v>
      </c>
      <c r="AB213" s="371">
        <f>IF(Tabla1[[#This Row],[G. HGS 
'[MWh']]]=0,0,Tabla1[[#This Row],[G. HGS 
'[MWh']]]+Tabla1[[#This Row],[Con. Aux. '[MWh']2]])</f>
        <v>1295.1600000000001</v>
      </c>
      <c r="AC213" s="368">
        <f>'C. ENER. TN'!F213</f>
        <v>0</v>
      </c>
      <c r="AD213" s="370">
        <f>'C. ENER. TN'!G213</f>
        <v>1247.8893</v>
      </c>
      <c r="AE213" s="370">
        <f>'G. Un GE'!AX213</f>
        <v>160.73825357142857</v>
      </c>
      <c r="AF213" s="368">
        <f>IFERROR('G. Un GE'!AX213/Tabla1[[#This Row],[PO '[h']]],0)</f>
        <v>6.6974272321428572</v>
      </c>
      <c r="AG213" s="365">
        <f>'Ar-Pa'!AX213</f>
        <v>1</v>
      </c>
      <c r="AH213" s="365">
        <f>'Ar-Pa'!AY213</f>
        <v>1</v>
      </c>
      <c r="AI213" s="366">
        <f>SUM('Cal. Arr'!AB216:AY216)</f>
        <v>0</v>
      </c>
      <c r="AJ213" s="442">
        <v>0</v>
      </c>
      <c r="AK213" s="443">
        <v>1.9</v>
      </c>
      <c r="AL213" s="267">
        <f t="shared" si="61"/>
        <v>501.92689948048201</v>
      </c>
      <c r="AM213" s="267">
        <f>+CONVERT(AK213+Tabla1[[#This Row],[Con. DO Storage Gen. '[m3']]],"m^3","gal")</f>
        <v>501.92689948048201</v>
      </c>
      <c r="AN213" s="372">
        <f>SUM('DO Pilot'!B213:Y213)</f>
        <v>6.7399999999999984</v>
      </c>
      <c r="AO213" s="372">
        <f t="shared" si="62"/>
        <v>1780.5196328939198</v>
      </c>
      <c r="AP213" s="267">
        <f>AK213+AN213+Tabla1[[#This Row],[Con. DO Storage Gen. '[m3']]]</f>
        <v>8.6399999999999988</v>
      </c>
      <c r="AQ213" s="372">
        <f t="shared" si="68"/>
        <v>2282.4465323744021</v>
      </c>
      <c r="AR213" s="443">
        <v>11013</v>
      </c>
      <c r="AS213" s="443"/>
      <c r="AT213" s="267">
        <f>+CONVERT(SUM(Tabla1[[#This Row],[Repo. DO Storage '[gal']]:[Repo. DO Pilot '[gal']]]),"gal","m3")</f>
        <v>41.688739977191993</v>
      </c>
      <c r="AU213" s="442">
        <v>0</v>
      </c>
      <c r="AV213" s="372">
        <f t="shared" si="59"/>
        <v>0</v>
      </c>
      <c r="AW213" s="442">
        <v>0</v>
      </c>
      <c r="AX213" s="372">
        <f t="shared" si="63"/>
        <v>0</v>
      </c>
      <c r="AY213" s="372">
        <f t="shared" si="64"/>
        <v>0.3986710877525671</v>
      </c>
      <c r="AZ213" s="372">
        <f>IFERROR(AL213/'Ar-Pa'!AX213,0)</f>
        <v>501.92689948048201</v>
      </c>
      <c r="BA213" s="372">
        <f>IFERROR(AL213/'Ar-Pa'!AY213,0)</f>
        <v>501.92689948048201</v>
      </c>
      <c r="BB213" s="372">
        <f t="shared" si="65"/>
        <v>1.4142332270801588</v>
      </c>
      <c r="BC213" s="372">
        <f>IFERROR(AVERAGEIF('DO Pilot'!AX213:BU213,"&gt;0"),0)</f>
        <v>9.5565812393252774</v>
      </c>
      <c r="BD213" s="446">
        <v>342743</v>
      </c>
      <c r="BE213" s="446">
        <v>12133</v>
      </c>
      <c r="BF213" s="446">
        <v>342325</v>
      </c>
      <c r="BG213" s="223">
        <f>Tabla1[[#This Row],[ Re. Gas GC
 '[m3']]]</f>
        <v>342325</v>
      </c>
      <c r="BH213" s="150">
        <f>IFERROR((BG213*Gas!$B$3)/28.31685,0)</f>
        <v>12042.911499690113</v>
      </c>
      <c r="BI213" s="73">
        <f t="shared" si="60"/>
        <v>-90.088500309886513</v>
      </c>
      <c r="BJ213" s="74">
        <f t="shared" si="69"/>
        <v>-7.4806246240541295E-3</v>
      </c>
      <c r="BK213" s="223">
        <f t="shared" si="66"/>
        <v>9637.0135027799843</v>
      </c>
      <c r="BL213" s="442">
        <v>8976.17</v>
      </c>
      <c r="BM213" s="70">
        <f t="shared" si="67"/>
        <v>9298.3967229455156</v>
      </c>
      <c r="BN213" s="150">
        <f t="shared" si="70"/>
        <v>9650.6248588637736</v>
      </c>
      <c r="BO213" s="373">
        <f>IFERROR(Tabla1[[#This Row],[ Re. Gas GC
 '[m3']]]/Tabla1[[#This Row],[G. HGS 
Con Gas '[kWh']]],0)</f>
        <v>0.27190230341540905</v>
      </c>
      <c r="BP213" s="374">
        <f>Tank!Y214</f>
        <v>0</v>
      </c>
      <c r="BQ213" s="70">
        <f>Tank!AP214</f>
        <v>0</v>
      </c>
      <c r="BR213" s="70">
        <f>Tank!V214</f>
        <v>0</v>
      </c>
      <c r="BS213" s="372">
        <f>Tank!T214</f>
        <v>0</v>
      </c>
      <c r="BT213" s="375" t="s">
        <v>228</v>
      </c>
      <c r="BU213" s="452">
        <v>71</v>
      </c>
      <c r="BV213" s="376">
        <f>IF(Tabla1[[#This Row],[Combustible ofertado]]="GAS",Tabla1[[#This Row],[Disponibilidad]],0)</f>
        <v>0</v>
      </c>
      <c r="BW213" s="376">
        <f>IF(Tabla1[[#This Row],[Combustible ofertado]]="DIESEL",Tabla1[[#This Row],[Disponibilidad]],0)</f>
        <v>71</v>
      </c>
      <c r="BX213" s="376">
        <f>IF(Tabla1[[#This Row],[Combustible ofertado]]="HFO",Tabla1[[#This Row],[Disponibilidad]],0)</f>
        <v>0</v>
      </c>
      <c r="BY213" s="452">
        <v>1150</v>
      </c>
      <c r="BZ213" s="446">
        <f>'Horo. M'!C214</f>
        <v>24</v>
      </c>
      <c r="CA213" s="446">
        <f>'Horo. M'!E214</f>
        <v>24</v>
      </c>
      <c r="CB213" s="446">
        <f>'Horo. M'!G214</f>
        <v>0</v>
      </c>
      <c r="CC213" s="446">
        <f>'Horo. M'!I214</f>
        <v>24</v>
      </c>
      <c r="CD213" s="446">
        <f>'Horo. M'!K214</f>
        <v>24</v>
      </c>
      <c r="CE213" s="446">
        <f>'Horo. M'!M214</f>
        <v>18</v>
      </c>
      <c r="CF213" s="446">
        <f>'Horo. M'!O214</f>
        <v>24</v>
      </c>
      <c r="CG213" s="446">
        <f>'Horo. M'!Q214</f>
        <v>24</v>
      </c>
      <c r="CH213" s="446">
        <f>'Horo. M'!S214</f>
        <v>24</v>
      </c>
      <c r="CI213" s="446">
        <f>'Horo. M'!U214</f>
        <v>0</v>
      </c>
      <c r="CJ213" s="70">
        <f>Tabla1[[#This Row],[Con. DO Storage '[gal']]]-Tabla1[[#This Row],[C. DO Storage Ge '[gal']]]</f>
        <v>501.92689948048201</v>
      </c>
      <c r="CK213" s="70"/>
      <c r="CL213" s="70"/>
      <c r="CM213" s="372">
        <f>Tabla1[[#This Row],[Con. DO Total '[gal']]]*131485.5/(1000000)</f>
        <v>300.10862353251446</v>
      </c>
    </row>
    <row r="214" spans="1:91" ht="15" customHeight="1">
      <c r="A214" s="362">
        <v>45139</v>
      </c>
      <c r="B214" s="363" t="str">
        <f>TEXT(Tabla1[[#This Row],[Fecha]],"mmmm")</f>
        <v>agosto</v>
      </c>
      <c r="C214" s="364"/>
      <c r="D214" s="366"/>
      <c r="E214" s="366"/>
      <c r="F214" s="366"/>
      <c r="G214" s="377"/>
      <c r="H214" s="377"/>
      <c r="I214" s="378"/>
      <c r="J214" s="378"/>
      <c r="K214" s="366"/>
      <c r="L214" s="366"/>
      <c r="M214" s="365">
        <f>Tabla1[[#This Row],[Columna1]]-Tabla1[[#This Row],[PO '[h']]]</f>
        <v>0</v>
      </c>
      <c r="N214" s="365">
        <f t="shared" si="58"/>
        <v>0</v>
      </c>
      <c r="O214" s="365"/>
      <c r="P214" s="367">
        <f>Tabla1[[#This Row],[G. HGS 
'[MWh']]]</f>
        <v>0</v>
      </c>
      <c r="Q214" s="430">
        <v>0</v>
      </c>
      <c r="R214" s="367">
        <v>0</v>
      </c>
      <c r="S214" s="367">
        <f>Tabla1[[#This Row],[G. HGS 
Con Gas]]*1000</f>
        <v>0</v>
      </c>
      <c r="T214" s="365">
        <f>Tabla1[[#This Row],[G. HGS 
'[MWh']]]*1000</f>
        <v>0</v>
      </c>
      <c r="U214" s="368">
        <f>SUM('G. Un GE'!B214:Y214)</f>
        <v>1339.8096999999998</v>
      </c>
      <c r="V214" s="369">
        <f>Tabla1[[#This Row],[R. GE
'[MWh']]]</f>
        <v>1339.8096999999998</v>
      </c>
      <c r="W214" s="434">
        <v>0</v>
      </c>
      <c r="X214" s="369">
        <v>0</v>
      </c>
      <c r="Y214" s="365">
        <f>Tabla1[[#This Row],[R. GE
'[MWh']]]*1000</f>
        <v>1339809.6999999997</v>
      </c>
      <c r="Z214" s="371"/>
      <c r="AA21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4" s="371">
        <f>IF(Tabla1[[#This Row],[G. HGS 
'[MWh']]]=0,0,Tabla1[[#This Row],[G. HGS 
'[MWh']]]+Tabla1[[#This Row],[Con. Aux. '[MWh']2]])</f>
        <v>0</v>
      </c>
      <c r="AC214" s="368">
        <f>'C. ENER. TN'!F214</f>
        <v>0</v>
      </c>
      <c r="AD214" s="370">
        <f>'C. ENER. TN'!G214</f>
        <v>1339.8096999999998</v>
      </c>
      <c r="AE214" s="370">
        <f>'G. Un GE'!AX214</f>
        <v>167.47621249999997</v>
      </c>
      <c r="AF214" s="368">
        <f>IFERROR('G. Un GE'!AX214/Tabla1[[#This Row],[PO '[h']]],0)</f>
        <v>0</v>
      </c>
      <c r="AG214" s="365">
        <f>'Ar-Pa'!AX214</f>
        <v>0</v>
      </c>
      <c r="AH214" s="365">
        <f>'Ar-Pa'!AY214</f>
        <v>0</v>
      </c>
      <c r="AI214" s="366">
        <f>SUM('Cal. Arr'!AB217:AY217)</f>
        <v>0</v>
      </c>
      <c r="AJ214" s="442"/>
      <c r="AK214" s="443"/>
      <c r="AL214" s="267">
        <f t="shared" si="61"/>
        <v>0</v>
      </c>
      <c r="AM214" s="267">
        <f>+CONVERT(AK214+Tabla1[[#This Row],[Con. DO Storage Gen. '[m3']]],"m^3","gal")</f>
        <v>0</v>
      </c>
      <c r="AN214" s="372">
        <f>SUM('DO Pilot'!B214:Y214)</f>
        <v>6.3999999999999986</v>
      </c>
      <c r="AO214" s="372">
        <f t="shared" si="62"/>
        <v>1690.7011350921493</v>
      </c>
      <c r="AP214" s="267">
        <f>AK214+AN214+Tabla1[[#This Row],[Con. DO Storage Gen. '[m3']]]</f>
        <v>6.3999999999999986</v>
      </c>
      <c r="AQ214" s="372">
        <f t="shared" si="68"/>
        <v>1690.7011350921493</v>
      </c>
      <c r="AR214" s="443"/>
      <c r="AS214" s="443"/>
      <c r="AT214" s="267">
        <f>+CONVERT(SUM(Tabla1[[#This Row],[Repo. DO Storage '[gal']]:[Repo. DO Pilot '[gal']]]),"gal","m3")</f>
        <v>0</v>
      </c>
      <c r="AU214" s="442">
        <v>0</v>
      </c>
      <c r="AV214" s="372">
        <f t="shared" si="59"/>
        <v>0</v>
      </c>
      <c r="AW214" s="442">
        <v>0</v>
      </c>
      <c r="AX214" s="372">
        <f t="shared" si="63"/>
        <v>0</v>
      </c>
      <c r="AY214" s="372">
        <f t="shared" si="64"/>
        <v>0</v>
      </c>
      <c r="AZ214" s="372">
        <f>IFERROR(AL214/'Ar-Pa'!AX214,0)</f>
        <v>0</v>
      </c>
      <c r="BA214" s="372">
        <f>IFERROR(AL214/'Ar-Pa'!AY214,0)</f>
        <v>0</v>
      </c>
      <c r="BB214" s="372">
        <f t="shared" si="65"/>
        <v>0</v>
      </c>
      <c r="BC214" s="372">
        <f>IFERROR(AVERAGEIF('DO Pilot'!AX214:BU214,"&gt;0"),0)</f>
        <v>8.8057350786049504</v>
      </c>
      <c r="BD214" s="446"/>
      <c r="BE214" s="446"/>
      <c r="BF214" s="446"/>
      <c r="BG214" s="223">
        <f>Tabla1[[#This Row],[ Re. Gas GC
 '[m3']]]</f>
        <v>0</v>
      </c>
      <c r="BH214" s="150">
        <f>IFERROR((BG214*Gas!$B$4)/28.31685,0)</f>
        <v>0</v>
      </c>
      <c r="BI214" s="73">
        <f t="shared" si="60"/>
        <v>0</v>
      </c>
      <c r="BJ214" s="74">
        <f t="shared" si="69"/>
        <v>0</v>
      </c>
      <c r="BK214" s="223">
        <f t="shared" si="66"/>
        <v>0</v>
      </c>
      <c r="BL214" s="442">
        <v>8899.69</v>
      </c>
      <c r="BM214" s="70">
        <f t="shared" si="67"/>
        <v>0</v>
      </c>
      <c r="BN214" s="150">
        <f t="shared" si="70"/>
        <v>0</v>
      </c>
      <c r="BO214" s="373">
        <f>IFERROR(Tabla1[[#This Row],[ Re. Gas GC
 '[m3']]]/Tabla1[[#This Row],[G. HGS 
Con Gas '[kWh']]],0)</f>
        <v>0</v>
      </c>
      <c r="BP214" s="374">
        <f>Tank!Y215</f>
        <v>0</v>
      </c>
      <c r="BQ214" s="70">
        <f>Tank!AP215</f>
        <v>0</v>
      </c>
      <c r="BR214" s="70">
        <f>Tank!V215</f>
        <v>0</v>
      </c>
      <c r="BS214" s="372">
        <f>Tank!T215</f>
        <v>0</v>
      </c>
      <c r="BT214" s="375" t="s">
        <v>228</v>
      </c>
      <c r="BU214" s="452"/>
      <c r="BV214" s="376">
        <f>IF(Tabla1[[#This Row],[Combustible ofertado]]="GAS",Tabla1[[#This Row],[Disponibilidad]],0)</f>
        <v>0</v>
      </c>
      <c r="BW214" s="376">
        <f>IF(Tabla1[[#This Row],[Combustible ofertado]]="DIESEL",Tabla1[[#This Row],[Disponibilidad]],0)</f>
        <v>0</v>
      </c>
      <c r="BX214" s="376">
        <f>IF(Tabla1[[#This Row],[Combustible ofertado]]="HFO",Tabla1[[#This Row],[Disponibilidad]],0)</f>
        <v>0</v>
      </c>
      <c r="BY214" s="452"/>
      <c r="BZ214" s="446">
        <f>'Horo. M'!C215</f>
        <v>24</v>
      </c>
      <c r="CA214" s="446">
        <f>'Horo. M'!E215</f>
        <v>24</v>
      </c>
      <c r="CB214" s="446">
        <f>'Horo. M'!G215</f>
        <v>0</v>
      </c>
      <c r="CC214" s="446">
        <f>'Horo. M'!I215</f>
        <v>24</v>
      </c>
      <c r="CD214" s="446">
        <f>'Horo. M'!K215</f>
        <v>24</v>
      </c>
      <c r="CE214" s="446">
        <f>'Horo. M'!M215</f>
        <v>24</v>
      </c>
      <c r="CF214" s="446">
        <f>'Horo. M'!O215</f>
        <v>24</v>
      </c>
      <c r="CG214" s="446">
        <f>'Horo. M'!Q215</f>
        <v>24</v>
      </c>
      <c r="CH214" s="446">
        <f>'Horo. M'!S215</f>
        <v>24</v>
      </c>
      <c r="CI214" s="446">
        <f>'Horo. M'!U215</f>
        <v>0</v>
      </c>
      <c r="CJ214" s="70">
        <f>Tabla1[[#This Row],[Con. DO Storage '[gal']]]-Tabla1[[#This Row],[C. DO Storage Ge '[gal']]]</f>
        <v>0</v>
      </c>
      <c r="CK214" s="70"/>
      <c r="CL214" s="70"/>
      <c r="CM214" s="372">
        <f>Tabla1[[#This Row],[Con. DO Total '[gal']]]*131485.5/(1000000)</f>
        <v>222.30268409815881</v>
      </c>
    </row>
    <row r="215" spans="1:91" ht="15" customHeight="1">
      <c r="A215" s="362">
        <v>45140</v>
      </c>
      <c r="B215" s="363" t="str">
        <f>TEXT(Tabla1[[#This Row],[Fecha]],"mmmm")</f>
        <v>agosto</v>
      </c>
      <c r="C215" s="364"/>
      <c r="D215" s="366"/>
      <c r="E215" s="366"/>
      <c r="F215" s="366"/>
      <c r="G215" s="377"/>
      <c r="H215" s="377"/>
      <c r="I215" s="378"/>
      <c r="J215" s="378"/>
      <c r="K215" s="366"/>
      <c r="L215" s="366"/>
      <c r="M215" s="365">
        <f>Tabla1[[#This Row],[Columna1]]-Tabla1[[#This Row],[PO '[h']]]</f>
        <v>0</v>
      </c>
      <c r="N215" s="366">
        <f t="shared" ref="N215:N245" si="71">F215+H215+J215</f>
        <v>0</v>
      </c>
      <c r="O215" s="365"/>
      <c r="P215" s="367">
        <f>Tabla1[[#This Row],[G. HGS 
'[MWh']]]</f>
        <v>0</v>
      </c>
      <c r="Q215" s="430">
        <v>0</v>
      </c>
      <c r="R215" s="367">
        <v>0</v>
      </c>
      <c r="S215" s="367">
        <f>Tabla1[[#This Row],[G. HGS 
Con Gas]]*1000</f>
        <v>0</v>
      </c>
      <c r="T215" s="365">
        <f>Tabla1[[#This Row],[G. HGS 
'[MWh']]]*1000</f>
        <v>0</v>
      </c>
      <c r="U215" s="368">
        <f>SUM('G. Un GE'!B215:Y215)</f>
        <v>1340.9851000000001</v>
      </c>
      <c r="V215" s="369">
        <f>Tabla1[[#This Row],[R. GE
'[MWh']]]</f>
        <v>1340.9851000000001</v>
      </c>
      <c r="W215" s="434">
        <v>0</v>
      </c>
      <c r="X215" s="369">
        <v>0</v>
      </c>
      <c r="Y215" s="365">
        <f>Tabla1[[#This Row],[R. GE
'[MWh']]]*1000</f>
        <v>1340985.1000000001</v>
      </c>
      <c r="Z215" s="371"/>
      <c r="AA21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5" s="371">
        <f>IF(Tabla1[[#This Row],[G. HGS 
'[MWh']]]=0,0,Tabla1[[#This Row],[G. HGS 
'[MWh']]]+Tabla1[[#This Row],[Con. Aux. '[MWh']2]])</f>
        <v>0</v>
      </c>
      <c r="AC215" s="368">
        <f>'C. ENER. TN'!F215</f>
        <v>0</v>
      </c>
      <c r="AD215" s="370">
        <f>'C. ENER. TN'!G215</f>
        <v>1340.9851000000001</v>
      </c>
      <c r="AE215" s="370">
        <f>'G. Un GE'!AX215</f>
        <v>177.17774940476187</v>
      </c>
      <c r="AF215" s="368">
        <f>IFERROR('G. Un GE'!AX215/Tabla1[[#This Row],[PO '[h']]],0)</f>
        <v>0</v>
      </c>
      <c r="AG215" s="365">
        <f>'Ar-Pa'!AX215</f>
        <v>1</v>
      </c>
      <c r="AH215" s="365">
        <f>'Ar-Pa'!AY215</f>
        <v>2</v>
      </c>
      <c r="AI215" s="366">
        <f>SUM('Cal. Arr'!AB218:AY218)</f>
        <v>0</v>
      </c>
      <c r="AJ215" s="442"/>
      <c r="AK215" s="443"/>
      <c r="AL215" s="267">
        <f t="shared" si="61"/>
        <v>0</v>
      </c>
      <c r="AM215" s="267">
        <f>+CONVERT(AK215+Tabla1[[#This Row],[Con. DO Storage Gen. '[m3']]],"m^3","gal")</f>
        <v>0</v>
      </c>
      <c r="AN215" s="372">
        <f>SUM('DO Pilot'!B215:Y215)</f>
        <v>6.6400000000000006</v>
      </c>
      <c r="AO215" s="372">
        <f t="shared" si="62"/>
        <v>1754.1024276581059</v>
      </c>
      <c r="AP215" s="267">
        <f>AK215+AN215+Tabla1[[#This Row],[Con. DO Storage Gen. '[m3']]]</f>
        <v>6.6400000000000006</v>
      </c>
      <c r="AQ215" s="372">
        <f t="shared" si="68"/>
        <v>1754.1024276581059</v>
      </c>
      <c r="AR215" s="443"/>
      <c r="AS215" s="443"/>
      <c r="AT215" s="267">
        <f>+CONVERT(SUM(Tabla1[[#This Row],[Repo. DO Storage '[gal']]:[Repo. DO Pilot '[gal']]]),"gal","m3")</f>
        <v>0</v>
      </c>
      <c r="AU215" s="442">
        <v>0</v>
      </c>
      <c r="AV215" s="372">
        <f t="shared" ref="AV215:AV245" si="72">+CONVERT(AU215,"m^3","gal")</f>
        <v>0</v>
      </c>
      <c r="AW215" s="442">
        <v>0</v>
      </c>
      <c r="AX215" s="372">
        <f t="shared" ref="AX215:AX245" si="73">+CONVERT(AW215,"gal","m3")</f>
        <v>0</v>
      </c>
      <c r="AY215" s="372">
        <f t="shared" si="64"/>
        <v>0</v>
      </c>
      <c r="AZ215" s="372">
        <f>IFERROR(AL215/'Ar-Pa'!AX215,0)</f>
        <v>0</v>
      </c>
      <c r="BA215" s="372">
        <f>IFERROR(AL215/'Ar-Pa'!AY215,0)</f>
        <v>0</v>
      </c>
      <c r="BB215" s="372">
        <f t="shared" si="65"/>
        <v>0</v>
      </c>
      <c r="BC215" s="372">
        <f>IFERROR(AVERAGEIF('DO Pilot'!AX215:BU215,"&gt;0"),0)</f>
        <v>9.6528939667475218</v>
      </c>
      <c r="BD215" s="446"/>
      <c r="BE215" s="446"/>
      <c r="BF215" s="446"/>
      <c r="BG215" s="223">
        <f>Tabla1[[#This Row],[ Re. Gas GC
 '[m3']]]</f>
        <v>0</v>
      </c>
      <c r="BH215" s="150">
        <f>IFERROR((BG215*Gas!$B$4)/28.31685,0)</f>
        <v>0</v>
      </c>
      <c r="BI215" s="73">
        <f t="shared" ref="BI215:BI245" si="74">BH215-BE215</f>
        <v>0</v>
      </c>
      <c r="BJ215" s="74">
        <f t="shared" si="69"/>
        <v>0</v>
      </c>
      <c r="BK215" s="223">
        <f t="shared" si="66"/>
        <v>0</v>
      </c>
      <c r="BL215" s="442">
        <v>8988.52</v>
      </c>
      <c r="BM215" s="70">
        <f t="shared" si="67"/>
        <v>0</v>
      </c>
      <c r="BN215" s="150">
        <f t="shared" si="70"/>
        <v>0</v>
      </c>
      <c r="BO215" s="373">
        <f>IFERROR(Tabla1[[#This Row],[ Re. Gas GC
 '[m3']]]/Tabla1[[#This Row],[G. HGS 
Con Gas '[kWh']]],0)</f>
        <v>0</v>
      </c>
      <c r="BP215" s="374">
        <f>Tank!Y216</f>
        <v>0</v>
      </c>
      <c r="BQ215" s="70">
        <f>Tank!AP216</f>
        <v>0</v>
      </c>
      <c r="BR215" s="70">
        <f>Tank!V216</f>
        <v>0</v>
      </c>
      <c r="BS215" s="372">
        <f>Tank!T216</f>
        <v>0</v>
      </c>
      <c r="BT215" s="375" t="s">
        <v>228</v>
      </c>
      <c r="BU215" s="452"/>
      <c r="BV215" s="376">
        <f>IF(Tabla1[[#This Row],[Combustible ofertado]]="GAS",Tabla1[[#This Row],[Disponibilidad]],0)</f>
        <v>0</v>
      </c>
      <c r="BW215" s="376">
        <f>IF(Tabla1[[#This Row],[Combustible ofertado]]="DIESEL",Tabla1[[#This Row],[Disponibilidad]],0)</f>
        <v>0</v>
      </c>
      <c r="BX215" s="376">
        <f>IF(Tabla1[[#This Row],[Combustible ofertado]]="HFO",Tabla1[[#This Row],[Disponibilidad]],0)</f>
        <v>0</v>
      </c>
      <c r="BY215" s="452"/>
      <c r="BZ215" s="446">
        <f>'Horo. M'!C216</f>
        <v>24</v>
      </c>
      <c r="CA215" s="446">
        <f>'Horo. M'!E216</f>
        <v>24</v>
      </c>
      <c r="CB215" s="446">
        <f>'Horo. M'!G216</f>
        <v>0</v>
      </c>
      <c r="CC215" s="446">
        <f>'Horo. M'!I216</f>
        <v>24</v>
      </c>
      <c r="CD215" s="446">
        <f>'Horo. M'!K216</f>
        <v>24</v>
      </c>
      <c r="CE215" s="446">
        <f>'Horo. M'!M216</f>
        <v>17</v>
      </c>
      <c r="CF215" s="446">
        <f>'Horo. M'!O216</f>
        <v>24</v>
      </c>
      <c r="CG215" s="446">
        <f>'Horo. M'!Q216</f>
        <v>24</v>
      </c>
      <c r="CH215" s="446">
        <f>'Horo. M'!S216</f>
        <v>24</v>
      </c>
      <c r="CI215" s="446">
        <f>'Horo. M'!U216</f>
        <v>0</v>
      </c>
      <c r="CJ215" s="70">
        <f>Tabla1[[#This Row],[Con. DO Storage '[gal']]]-Tabla1[[#This Row],[C. DO Storage Ge '[gal']]]</f>
        <v>0</v>
      </c>
      <c r="CK215" s="70"/>
      <c r="CL215" s="70"/>
      <c r="CM215" s="372">
        <f>Tabla1[[#This Row],[Con. DO Total '[gal']]]*131485.5/(1000000)</f>
        <v>230.63903475183989</v>
      </c>
    </row>
    <row r="216" spans="1:91" ht="15" customHeight="1">
      <c r="A216" s="362">
        <v>45141</v>
      </c>
      <c r="B216" s="363" t="str">
        <f>TEXT(Tabla1[[#This Row],[Fecha]],"mmmm")</f>
        <v>agosto</v>
      </c>
      <c r="C216" s="364"/>
      <c r="D216" s="366"/>
      <c r="E216" s="366"/>
      <c r="F216" s="366"/>
      <c r="G216" s="377"/>
      <c r="H216" s="377"/>
      <c r="I216" s="378"/>
      <c r="J216" s="378"/>
      <c r="K216" s="366"/>
      <c r="L216" s="366"/>
      <c r="M216" s="365">
        <f>Tabla1[[#This Row],[Columna1]]-Tabla1[[#This Row],[PO '[h']]]</f>
        <v>0</v>
      </c>
      <c r="N216" s="366">
        <f t="shared" si="71"/>
        <v>0</v>
      </c>
      <c r="O216" s="365"/>
      <c r="P216" s="367">
        <f>Tabla1[[#This Row],[G. HGS 
'[MWh']]]</f>
        <v>0</v>
      </c>
      <c r="Q216" s="430">
        <v>0</v>
      </c>
      <c r="R216" s="367">
        <v>0</v>
      </c>
      <c r="S216" s="367">
        <f>Tabla1[[#This Row],[G. HGS 
Con Gas]]*1000</f>
        <v>0</v>
      </c>
      <c r="T216" s="365">
        <f>Tabla1[[#This Row],[G. HGS 
'[MWh']]]*1000</f>
        <v>0</v>
      </c>
      <c r="U216" s="368">
        <f>SUM('G. Un GE'!B216:Y216)</f>
        <v>1393.0650000000001</v>
      </c>
      <c r="V216" s="369">
        <f>Tabla1[[#This Row],[R. GE
'[MWh']]]</f>
        <v>1393.0650000000001</v>
      </c>
      <c r="W216" s="434">
        <v>0</v>
      </c>
      <c r="X216" s="369">
        <v>0</v>
      </c>
      <c r="Y216" s="365">
        <f>Tabla1[[#This Row],[R. GE
'[MWh']]]*1000</f>
        <v>1393065</v>
      </c>
      <c r="Z216" s="371"/>
      <c r="AA21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6" s="371">
        <f>IF(Tabla1[[#This Row],[G. HGS 
'[MWh']]]=0,0,Tabla1[[#This Row],[G. HGS 
'[MWh']]]+Tabla1[[#This Row],[Con. Aux. '[MWh']2]])</f>
        <v>0</v>
      </c>
      <c r="AC216" s="368">
        <f>'C. ENER. TN'!F216</f>
        <v>0</v>
      </c>
      <c r="AD216" s="370">
        <f>'C. ENER. TN'!G216</f>
        <v>1393.0650000000001</v>
      </c>
      <c r="AE216" s="370">
        <f>'G. Un GE'!AX216</f>
        <v>184.79075178571429</v>
      </c>
      <c r="AF216" s="368">
        <f>IFERROR('G. Un GE'!AX216/Tabla1[[#This Row],[PO '[h']]],0)</f>
        <v>0</v>
      </c>
      <c r="AG216" s="365">
        <f>'Ar-Pa'!AX216</f>
        <v>1</v>
      </c>
      <c r="AH216" s="365">
        <f>'Ar-Pa'!AY216</f>
        <v>0</v>
      </c>
      <c r="AI216" s="366">
        <f>SUM('Cal. Arr'!AB219:AY219)</f>
        <v>0</v>
      </c>
      <c r="AJ216" s="442"/>
      <c r="AK216" s="443"/>
      <c r="AL216" s="267">
        <f t="shared" si="61"/>
        <v>0</v>
      </c>
      <c r="AM216" s="267">
        <f>+CONVERT(AK216+Tabla1[[#This Row],[Con. DO Storage Gen. '[m3']]],"m^3","gal")</f>
        <v>0</v>
      </c>
      <c r="AN216" s="372">
        <f>SUM('DO Pilot'!B216:Y216)</f>
        <v>6.2999999999999989</v>
      </c>
      <c r="AO216" s="372">
        <f t="shared" si="62"/>
        <v>1664.2839298563349</v>
      </c>
      <c r="AP216" s="267">
        <f>AK216+AN216+Tabla1[[#This Row],[Con. DO Storage Gen. '[m3']]]</f>
        <v>6.2999999999999989</v>
      </c>
      <c r="AQ216" s="372">
        <f t="shared" si="68"/>
        <v>1664.2839298563349</v>
      </c>
      <c r="AR216" s="443"/>
      <c r="AS216" s="443"/>
      <c r="AT216" s="267">
        <f>+CONVERT(SUM(Tabla1[[#This Row],[Repo. DO Storage '[gal']]:[Repo. DO Pilot '[gal']]]),"gal","m3")</f>
        <v>0</v>
      </c>
      <c r="AU216" s="442">
        <v>0</v>
      </c>
      <c r="AV216" s="372">
        <f t="shared" si="72"/>
        <v>0</v>
      </c>
      <c r="AW216" s="442">
        <v>0</v>
      </c>
      <c r="AX216" s="372">
        <f t="shared" si="73"/>
        <v>0</v>
      </c>
      <c r="AY216" s="372">
        <f t="shared" si="64"/>
        <v>0</v>
      </c>
      <c r="AZ216" s="372">
        <f>IFERROR(AL216/'Ar-Pa'!AX216,0)</f>
        <v>0</v>
      </c>
      <c r="BA216" s="372">
        <f>IFERROR(AL216/'Ar-Pa'!AY216,0)</f>
        <v>0</v>
      </c>
      <c r="BB216" s="372">
        <f t="shared" si="65"/>
        <v>0</v>
      </c>
      <c r="BC216" s="372">
        <f>IFERROR(AVERAGEIF('DO Pilot'!AX216:BU216,"&gt;0"),0)</f>
        <v>9.1988482517569548</v>
      </c>
      <c r="BD216" s="446"/>
      <c r="BE216" s="446"/>
      <c r="BF216" s="446"/>
      <c r="BG216" s="223">
        <f>Tabla1[[#This Row],[ Re. Gas GC
 '[m3']]]</f>
        <v>0</v>
      </c>
      <c r="BH216" s="150">
        <f>IFERROR((BG216*Gas!$B$4)/28.31685,0)</f>
        <v>0</v>
      </c>
      <c r="BI216" s="73">
        <f t="shared" si="74"/>
        <v>0</v>
      </c>
      <c r="BJ216" s="74">
        <f t="shared" si="69"/>
        <v>0</v>
      </c>
      <c r="BK216" s="223">
        <f t="shared" si="66"/>
        <v>0</v>
      </c>
      <c r="BL216" s="442">
        <v>8964.6299999999992</v>
      </c>
      <c r="BM216" s="70">
        <f t="shared" si="67"/>
        <v>0</v>
      </c>
      <c r="BN216" s="150">
        <f t="shared" si="70"/>
        <v>0</v>
      </c>
      <c r="BO216" s="373">
        <f>IFERROR(Tabla1[[#This Row],[ Re. Gas GC
 '[m3']]]/Tabla1[[#This Row],[G. HGS 
Con Gas '[kWh']]],0)</f>
        <v>0</v>
      </c>
      <c r="BP216" s="374">
        <f>Tank!Y217</f>
        <v>0</v>
      </c>
      <c r="BQ216" s="70">
        <f>Tank!AP217</f>
        <v>0</v>
      </c>
      <c r="BR216" s="70">
        <f>Tank!V217</f>
        <v>0</v>
      </c>
      <c r="BS216" s="372">
        <f>Tank!T217</f>
        <v>0</v>
      </c>
      <c r="BT216" s="375" t="s">
        <v>228</v>
      </c>
      <c r="BU216" s="452"/>
      <c r="BV216" s="376">
        <f>IF(Tabla1[[#This Row],[Combustible ofertado]]="GAS",Tabla1[[#This Row],[Disponibilidad]],0)</f>
        <v>0</v>
      </c>
      <c r="BW216" s="376">
        <f>IF(Tabla1[[#This Row],[Combustible ofertado]]="DIESEL",Tabla1[[#This Row],[Disponibilidad]],0)</f>
        <v>0</v>
      </c>
      <c r="BX216" s="376">
        <f>IF(Tabla1[[#This Row],[Combustible ofertado]]="HFO",Tabla1[[#This Row],[Disponibilidad]],0)</f>
        <v>0</v>
      </c>
      <c r="BY216" s="452"/>
      <c r="BZ216" s="446">
        <f>'Horo. M'!C217</f>
        <v>24</v>
      </c>
      <c r="CA216" s="446">
        <f>'Horo. M'!E217</f>
        <v>24</v>
      </c>
      <c r="CB216" s="446">
        <f>'Horo. M'!G217</f>
        <v>0</v>
      </c>
      <c r="CC216" s="446">
        <f>'Horo. M'!I217</f>
        <v>24</v>
      </c>
      <c r="CD216" s="446">
        <f>'Horo. M'!K217</f>
        <v>24</v>
      </c>
      <c r="CE216" s="446">
        <f>'Horo. M'!M217</f>
        <v>13</v>
      </c>
      <c r="CF216" s="446">
        <f>'Horo. M'!O217</f>
        <v>24</v>
      </c>
      <c r="CG216" s="446">
        <f>'Horo. M'!Q217</f>
        <v>24</v>
      </c>
      <c r="CH216" s="446">
        <f>'Horo. M'!S217</f>
        <v>24</v>
      </c>
      <c r="CI216" s="446">
        <f>'Horo. M'!U217</f>
        <v>0</v>
      </c>
      <c r="CJ216" s="70">
        <f>Tabla1[[#This Row],[Con. DO Storage '[gal']]]-Tabla1[[#This Row],[C. DO Storage Ge '[gal']]]</f>
        <v>0</v>
      </c>
      <c r="CK216" s="70"/>
      <c r="CL216" s="70"/>
      <c r="CM216" s="372">
        <f>Tabla1[[#This Row],[Con. DO Total '[gal']]]*131485.5/(1000000)</f>
        <v>218.82920465912511</v>
      </c>
    </row>
    <row r="217" spans="1:91" ht="15" customHeight="1">
      <c r="A217" s="362">
        <v>45142</v>
      </c>
      <c r="B217" s="363" t="str">
        <f>TEXT(Tabla1[[#This Row],[Fecha]],"mmmm")</f>
        <v>agosto</v>
      </c>
      <c r="C217" s="364"/>
      <c r="D217" s="366"/>
      <c r="E217" s="366"/>
      <c r="F217" s="366"/>
      <c r="G217" s="377"/>
      <c r="H217" s="377"/>
      <c r="I217" s="378"/>
      <c r="J217" s="378"/>
      <c r="K217" s="366"/>
      <c r="L217" s="366"/>
      <c r="M217" s="365">
        <f>Tabla1[[#This Row],[Columna1]]-Tabla1[[#This Row],[PO '[h']]]</f>
        <v>0</v>
      </c>
      <c r="N217" s="366">
        <f t="shared" si="71"/>
        <v>0</v>
      </c>
      <c r="O217" s="365"/>
      <c r="P217" s="367">
        <f>Tabla1[[#This Row],[G. HGS 
'[MWh']]]</f>
        <v>0</v>
      </c>
      <c r="Q217" s="430">
        <v>0</v>
      </c>
      <c r="R217" s="367">
        <v>0</v>
      </c>
      <c r="S217" s="367">
        <f>Tabla1[[#This Row],[G. HGS 
Con Gas]]*1000</f>
        <v>0</v>
      </c>
      <c r="T217" s="365">
        <f>Tabla1[[#This Row],[G. HGS 
'[MWh']]]*1000</f>
        <v>0</v>
      </c>
      <c r="U217" s="368">
        <f>SUM('G. Un GE'!B217:Y217)</f>
        <v>1377.1008000000002</v>
      </c>
      <c r="V217" s="369">
        <f>Tabla1[[#This Row],[R. GE
'[MWh']]]</f>
        <v>1377.1008000000002</v>
      </c>
      <c r="W217" s="434">
        <v>0</v>
      </c>
      <c r="X217" s="369">
        <v>0</v>
      </c>
      <c r="Y217" s="365">
        <f>Tabla1[[#This Row],[R. GE
'[MWh']]]*1000</f>
        <v>1377100.8000000003</v>
      </c>
      <c r="Z217" s="371"/>
      <c r="AA21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7" s="371">
        <f>IF(Tabla1[[#This Row],[G. HGS 
'[MWh']]]=0,0,Tabla1[[#This Row],[G. HGS 
'[MWh']]]+Tabla1[[#This Row],[Con. Aux. '[MWh']2]])</f>
        <v>0</v>
      </c>
      <c r="AC217" s="368">
        <f>'C. ENER. TN'!F217</f>
        <v>0</v>
      </c>
      <c r="AD217" s="370">
        <f>'C. ENER. TN'!G217</f>
        <v>1377.1007999999999</v>
      </c>
      <c r="AE217" s="370">
        <f>'G. Un GE'!AX217</f>
        <v>180.56764166666665</v>
      </c>
      <c r="AF217" s="368">
        <f>IFERROR('G. Un GE'!AX217/Tabla1[[#This Row],[PO '[h']]],0)</f>
        <v>0</v>
      </c>
      <c r="AG217" s="365">
        <f>'Ar-Pa'!AX217</f>
        <v>2</v>
      </c>
      <c r="AH217" s="365">
        <f>'Ar-Pa'!AY217</f>
        <v>2</v>
      </c>
      <c r="AI217" s="366">
        <f>SUM('Cal. Arr'!AB220:AY220)</f>
        <v>0</v>
      </c>
      <c r="AJ217" s="442"/>
      <c r="AK217" s="443"/>
      <c r="AL217" s="267">
        <f t="shared" si="61"/>
        <v>0</v>
      </c>
      <c r="AM217" s="267">
        <f>+CONVERT(AK217+Tabla1[[#This Row],[Con. DO Storage Gen. '[m3']]],"m^3","gal")</f>
        <v>0</v>
      </c>
      <c r="AN217" s="372">
        <f>SUM('DO Pilot'!B217:Y217)</f>
        <v>6.6</v>
      </c>
      <c r="AO217" s="372">
        <f t="shared" si="62"/>
        <v>1743.5355455637796</v>
      </c>
      <c r="AP217" s="267">
        <f>AK217+AN217+Tabla1[[#This Row],[Con. DO Storage Gen. '[m3']]]</f>
        <v>6.6</v>
      </c>
      <c r="AQ217" s="372">
        <f t="shared" si="68"/>
        <v>1743.5355455637796</v>
      </c>
      <c r="AR217" s="443"/>
      <c r="AS217" s="443"/>
      <c r="AT217" s="267">
        <f>+CONVERT(SUM(Tabla1[[#This Row],[Repo. DO Storage '[gal']]:[Repo. DO Pilot '[gal']]]),"gal","m3")</f>
        <v>0</v>
      </c>
      <c r="AU217" s="442">
        <v>0</v>
      </c>
      <c r="AV217" s="372">
        <f t="shared" si="72"/>
        <v>0</v>
      </c>
      <c r="AW217" s="442">
        <v>0</v>
      </c>
      <c r="AX217" s="372">
        <f t="shared" si="73"/>
        <v>0</v>
      </c>
      <c r="AY217" s="372">
        <f t="shared" si="64"/>
        <v>0</v>
      </c>
      <c r="AZ217" s="372">
        <f>IFERROR(AL217/'Ar-Pa'!AX217,0)</f>
        <v>0</v>
      </c>
      <c r="BA217" s="372">
        <f>IFERROR(AL217/'Ar-Pa'!AY217,0)</f>
        <v>0</v>
      </c>
      <c r="BB217" s="372">
        <f t="shared" si="65"/>
        <v>0</v>
      </c>
      <c r="BC217" s="372">
        <f>IFERROR(AVERAGEIF('DO Pilot'!AX217:BU217,"&gt;0"),0)</f>
        <v>9.5257873740950405</v>
      </c>
      <c r="BD217" s="446"/>
      <c r="BE217" s="446"/>
      <c r="BF217" s="446"/>
      <c r="BG217" s="223">
        <f>Tabla1[[#This Row],[ Re. Gas GC
 '[m3']]]</f>
        <v>0</v>
      </c>
      <c r="BH217" s="150">
        <f>IFERROR((BG217*Gas!$B$4)/28.31685,0)</f>
        <v>0</v>
      </c>
      <c r="BI217" s="73">
        <f t="shared" si="74"/>
        <v>0</v>
      </c>
      <c r="BJ217" s="74">
        <f t="shared" si="69"/>
        <v>0</v>
      </c>
      <c r="BK217" s="223">
        <f t="shared" si="66"/>
        <v>0</v>
      </c>
      <c r="BL217" s="442">
        <v>8965.9500000000007</v>
      </c>
      <c r="BM217" s="70">
        <f t="shared" si="67"/>
        <v>0</v>
      </c>
      <c r="BN217" s="150">
        <f t="shared" si="70"/>
        <v>0</v>
      </c>
      <c r="BO217" s="373">
        <f>IFERROR(Tabla1[[#This Row],[ Re. Gas GC
 '[m3']]]/Tabla1[[#This Row],[G. HGS 
Con Gas '[kWh']]],0)</f>
        <v>0</v>
      </c>
      <c r="BP217" s="374">
        <f>Tank!Y218</f>
        <v>0</v>
      </c>
      <c r="BQ217" s="70">
        <f>Tank!AP218</f>
        <v>0</v>
      </c>
      <c r="BR217" s="70">
        <f>Tank!V218</f>
        <v>0</v>
      </c>
      <c r="BS217" s="372">
        <f>Tank!T218</f>
        <v>0</v>
      </c>
      <c r="BT217" s="375" t="s">
        <v>228</v>
      </c>
      <c r="BU217" s="452"/>
      <c r="BV217" s="376">
        <f>IF(Tabla1[[#This Row],[Combustible ofertado]]="GAS",Tabla1[[#This Row],[Disponibilidad]],0)</f>
        <v>0</v>
      </c>
      <c r="BW217" s="376">
        <f>IF(Tabla1[[#This Row],[Combustible ofertado]]="DIESEL",Tabla1[[#This Row],[Disponibilidad]],0)</f>
        <v>0</v>
      </c>
      <c r="BX217" s="376">
        <f>IF(Tabla1[[#This Row],[Combustible ofertado]]="HFO",Tabla1[[#This Row],[Disponibilidad]],0)</f>
        <v>0</v>
      </c>
      <c r="BY217" s="452"/>
      <c r="BZ217" s="446">
        <f>'Horo. M'!C218</f>
        <v>22</v>
      </c>
      <c r="CA217" s="446">
        <f>'Horo. M'!E218</f>
        <v>24</v>
      </c>
      <c r="CB217" s="446">
        <f>'Horo. M'!G218</f>
        <v>6</v>
      </c>
      <c r="CC217" s="446">
        <f>'Horo. M'!I218</f>
        <v>24</v>
      </c>
      <c r="CD217" s="446">
        <f>'Horo. M'!K218</f>
        <v>24</v>
      </c>
      <c r="CE217" s="446">
        <f>'Horo. M'!M218</f>
        <v>24</v>
      </c>
      <c r="CF217" s="446">
        <f>'Horo. M'!O218</f>
        <v>24</v>
      </c>
      <c r="CG217" s="446">
        <f>'Horo. M'!Q218</f>
        <v>24</v>
      </c>
      <c r="CH217" s="446">
        <f>'Horo. M'!S218</f>
        <v>23</v>
      </c>
      <c r="CI217" s="446">
        <f>'Horo. M'!U218</f>
        <v>0</v>
      </c>
      <c r="CJ217" s="70">
        <f>Tabla1[[#This Row],[Con. DO Storage '[gal']]]-Tabla1[[#This Row],[C. DO Storage Ge '[gal']]]</f>
        <v>0</v>
      </c>
      <c r="CK217" s="70"/>
      <c r="CL217" s="70"/>
      <c r="CM217" s="372">
        <f>Tabla1[[#This Row],[Con. DO Total '[gal']]]*131485.5/(1000000)</f>
        <v>229.24964297622634</v>
      </c>
    </row>
    <row r="218" spans="1:91" ht="15" customHeight="1">
      <c r="A218" s="362">
        <v>45143</v>
      </c>
      <c r="B218" s="363" t="str">
        <f>TEXT(Tabla1[[#This Row],[Fecha]],"mmmm")</f>
        <v>agosto</v>
      </c>
      <c r="C218" s="364"/>
      <c r="D218" s="366"/>
      <c r="E218" s="366"/>
      <c r="F218" s="366"/>
      <c r="G218" s="377"/>
      <c r="H218" s="377"/>
      <c r="I218" s="378"/>
      <c r="J218" s="378"/>
      <c r="K218" s="366"/>
      <c r="L218" s="366"/>
      <c r="M218" s="365">
        <f>Tabla1[[#This Row],[Columna1]]-Tabla1[[#This Row],[PO '[h']]]</f>
        <v>0</v>
      </c>
      <c r="N218" s="366">
        <f t="shared" si="71"/>
        <v>0</v>
      </c>
      <c r="O218" s="365"/>
      <c r="P218" s="367">
        <f>Tabla1[[#This Row],[G. HGS 
'[MWh']]]</f>
        <v>0</v>
      </c>
      <c r="Q218" s="430">
        <v>0</v>
      </c>
      <c r="R218" s="367">
        <v>0</v>
      </c>
      <c r="S218" s="367">
        <f>Tabla1[[#This Row],[G. HGS 
Con Gas]]*1000</f>
        <v>0</v>
      </c>
      <c r="T218" s="365">
        <f>Tabla1[[#This Row],[G. HGS 
'[MWh']]]*1000</f>
        <v>0</v>
      </c>
      <c r="U218" s="368">
        <f>SUM('G. Un GE'!B218:Y218)</f>
        <v>1307.8353999999997</v>
      </c>
      <c r="V218" s="369">
        <f>Tabla1[[#This Row],[R. GE
'[MWh']]]</f>
        <v>1307.8353999999997</v>
      </c>
      <c r="W218" s="434">
        <v>0</v>
      </c>
      <c r="X218" s="369">
        <v>0</v>
      </c>
      <c r="Y218" s="365">
        <f>Tabla1[[#This Row],[R. GE
'[MWh']]]*1000</f>
        <v>1307835.3999999997</v>
      </c>
      <c r="Z218" s="371"/>
      <c r="AA21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8" s="371">
        <f>IF(Tabla1[[#This Row],[G. HGS 
'[MWh']]]=0,0,Tabla1[[#This Row],[G. HGS 
'[MWh']]]+Tabla1[[#This Row],[Con. Aux. '[MWh']2]])</f>
        <v>0</v>
      </c>
      <c r="AC218" s="368">
        <f>'C. ENER. TN'!F218</f>
        <v>0</v>
      </c>
      <c r="AD218" s="370">
        <f>'C. ENER. TN'!G218</f>
        <v>1307.8354000000002</v>
      </c>
      <c r="AE218" s="370">
        <f>'G. Un GE'!AX218</f>
        <v>163.46541349206345</v>
      </c>
      <c r="AF218" s="368">
        <f>IFERROR('G. Un GE'!AX218/Tabla1[[#This Row],[PO '[h']]],0)</f>
        <v>0</v>
      </c>
      <c r="AG218" s="365">
        <f>'Ar-Pa'!AX218</f>
        <v>3</v>
      </c>
      <c r="AH218" s="365">
        <f>'Ar-Pa'!AY218</f>
        <v>2</v>
      </c>
      <c r="AI218" s="366">
        <f>SUM('Cal. Arr'!AB221:AY221)</f>
        <v>0</v>
      </c>
      <c r="AJ218" s="442"/>
      <c r="AK218" s="443"/>
      <c r="AL218" s="267">
        <f t="shared" si="61"/>
        <v>0</v>
      </c>
      <c r="AM218" s="267">
        <f>+CONVERT(AK218+Tabla1[[#This Row],[Con. DO Storage Gen. '[m3']]],"m^3","gal")</f>
        <v>0</v>
      </c>
      <c r="AN218" s="372">
        <f>SUM('DO Pilot'!B218:Y218)</f>
        <v>6.6099999999999994</v>
      </c>
      <c r="AO218" s="372">
        <f t="shared" si="62"/>
        <v>1746.1772660873607</v>
      </c>
      <c r="AP218" s="267">
        <f>AK218+AN218+Tabla1[[#This Row],[Con. DO Storage Gen. '[m3']]]</f>
        <v>6.6099999999999994</v>
      </c>
      <c r="AQ218" s="372">
        <f t="shared" si="68"/>
        <v>1746.1772660873607</v>
      </c>
      <c r="AR218" s="443"/>
      <c r="AS218" s="443"/>
      <c r="AT218" s="267">
        <f>+CONVERT(SUM(Tabla1[[#This Row],[Repo. DO Storage '[gal']]:[Repo. DO Pilot '[gal']]]),"gal","m3")</f>
        <v>0</v>
      </c>
      <c r="AU218" s="442">
        <v>0</v>
      </c>
      <c r="AV218" s="372">
        <f t="shared" si="72"/>
        <v>0</v>
      </c>
      <c r="AW218" s="442">
        <v>0</v>
      </c>
      <c r="AX218" s="372">
        <f t="shared" si="73"/>
        <v>0</v>
      </c>
      <c r="AY218" s="372">
        <f t="shared" si="64"/>
        <v>0</v>
      </c>
      <c r="AZ218" s="372">
        <f>IFERROR(AL218/'Ar-Pa'!AX218,0)</f>
        <v>0</v>
      </c>
      <c r="BA218" s="372">
        <f>IFERROR(AL218/'Ar-Pa'!AY218,0)</f>
        <v>0</v>
      </c>
      <c r="BB218" s="372">
        <f t="shared" si="65"/>
        <v>0</v>
      </c>
      <c r="BC218" s="372">
        <f>IFERROR(AVERAGEIF('DO Pilot'!AX218:BU218,"&gt;0"),0)</f>
        <v>9.0957652419082056</v>
      </c>
      <c r="BD218" s="446"/>
      <c r="BE218" s="446"/>
      <c r="BF218" s="446"/>
      <c r="BG218" s="223">
        <f>Tabla1[[#This Row],[ Re. Gas GC
 '[m3']]]</f>
        <v>0</v>
      </c>
      <c r="BH218" s="150">
        <f>IFERROR((BG218*Gas!$B$4)/28.31685,0)</f>
        <v>0</v>
      </c>
      <c r="BI218" s="73">
        <f t="shared" si="74"/>
        <v>0</v>
      </c>
      <c r="BJ218" s="74">
        <f t="shared" si="69"/>
        <v>0</v>
      </c>
      <c r="BK218" s="223">
        <f t="shared" si="66"/>
        <v>0</v>
      </c>
      <c r="BL218" s="442">
        <v>8935.5499999999993</v>
      </c>
      <c r="BM218" s="70">
        <f t="shared" si="67"/>
        <v>0</v>
      </c>
      <c r="BN218" s="150">
        <f t="shared" si="70"/>
        <v>0</v>
      </c>
      <c r="BO218" s="373">
        <f>IFERROR(Tabla1[[#This Row],[ Re. Gas GC
 '[m3']]]/Tabla1[[#This Row],[G. HGS 
Con Gas '[kWh']]],0)</f>
        <v>0</v>
      </c>
      <c r="BP218" s="374">
        <f>Tank!Y219</f>
        <v>0</v>
      </c>
      <c r="BQ218" s="70">
        <f>Tank!AP219</f>
        <v>0</v>
      </c>
      <c r="BR218" s="70">
        <f>Tank!V219</f>
        <v>0</v>
      </c>
      <c r="BS218" s="372">
        <f>Tank!T219</f>
        <v>0</v>
      </c>
      <c r="BT218" s="375" t="s">
        <v>228</v>
      </c>
      <c r="BU218" s="452"/>
      <c r="BV218" s="376">
        <f>IF(Tabla1[[#This Row],[Combustible ofertado]]="GAS",Tabla1[[#This Row],[Disponibilidad]],0)</f>
        <v>0</v>
      </c>
      <c r="BW218" s="376">
        <f>IF(Tabla1[[#This Row],[Combustible ofertado]]="DIESEL",Tabla1[[#This Row],[Disponibilidad]],0)</f>
        <v>0</v>
      </c>
      <c r="BX218" s="376">
        <f>IF(Tabla1[[#This Row],[Combustible ofertado]]="HFO",Tabla1[[#This Row],[Disponibilidad]],0)</f>
        <v>0</v>
      </c>
      <c r="BY218" s="452"/>
      <c r="BZ218" s="446">
        <f>'Horo. M'!C219</f>
        <v>24</v>
      </c>
      <c r="CA218" s="446">
        <f>'Horo. M'!E219</f>
        <v>24</v>
      </c>
      <c r="CB218" s="446">
        <f>'Horo. M'!G219</f>
        <v>7</v>
      </c>
      <c r="CC218" s="446">
        <f>'Horo. M'!I219</f>
        <v>24</v>
      </c>
      <c r="CD218" s="446">
        <f>'Horo. M'!K219</f>
        <v>24</v>
      </c>
      <c r="CE218" s="446">
        <f>'Horo. M'!M219</f>
        <v>24</v>
      </c>
      <c r="CF218" s="446">
        <f>'Horo. M'!O219</f>
        <v>24</v>
      </c>
      <c r="CG218" s="446">
        <f>'Horo. M'!Q219</f>
        <v>24</v>
      </c>
      <c r="CH218" s="446">
        <f>'Horo. M'!S219</f>
        <v>24</v>
      </c>
      <c r="CI218" s="446">
        <f>'Horo. M'!U219</f>
        <v>0</v>
      </c>
      <c r="CJ218" s="70">
        <f>Tabla1[[#This Row],[Con. DO Storage '[gal']]]-Tabla1[[#This Row],[C. DO Storage Ge '[gal']]]</f>
        <v>0</v>
      </c>
      <c r="CK218" s="70"/>
      <c r="CL218" s="70"/>
      <c r="CM218" s="372">
        <f>Tabla1[[#This Row],[Con. DO Total '[gal']]]*131485.5/(1000000)</f>
        <v>229.59699092012968</v>
      </c>
    </row>
    <row r="219" spans="1:91" ht="15" customHeight="1">
      <c r="A219" s="362">
        <v>45144</v>
      </c>
      <c r="B219" s="363" t="str">
        <f>TEXT(Tabla1[[#This Row],[Fecha]],"mmmm")</f>
        <v>agosto</v>
      </c>
      <c r="C219" s="364"/>
      <c r="D219" s="366"/>
      <c r="E219" s="366"/>
      <c r="F219" s="366"/>
      <c r="G219" s="377"/>
      <c r="H219" s="377"/>
      <c r="I219" s="378"/>
      <c r="J219" s="378"/>
      <c r="K219" s="366"/>
      <c r="L219" s="366"/>
      <c r="M219" s="365">
        <f>Tabla1[[#This Row],[Columna1]]-Tabla1[[#This Row],[PO '[h']]]</f>
        <v>0</v>
      </c>
      <c r="N219" s="366">
        <f t="shared" si="71"/>
        <v>0</v>
      </c>
      <c r="O219" s="365"/>
      <c r="P219" s="367">
        <f>Tabla1[[#This Row],[G. HGS 
'[MWh']]]</f>
        <v>0</v>
      </c>
      <c r="Q219" s="430">
        <v>0</v>
      </c>
      <c r="R219" s="367">
        <v>0</v>
      </c>
      <c r="S219" s="367">
        <f>Tabla1[[#This Row],[G. HGS 
Con Gas]]*1000</f>
        <v>0</v>
      </c>
      <c r="T219" s="365">
        <f>Tabla1[[#This Row],[G. HGS 
'[MWh']]]*1000</f>
        <v>0</v>
      </c>
      <c r="U219" s="368">
        <f>SUM('G. Un GE'!B219:Y219)</f>
        <v>1663.7432000000003</v>
      </c>
      <c r="V219" s="369">
        <f>Tabla1[[#This Row],[R. GE
'[MWh']]]</f>
        <v>1663.7432000000003</v>
      </c>
      <c r="W219" s="434">
        <v>0</v>
      </c>
      <c r="X219" s="369">
        <v>0</v>
      </c>
      <c r="Y219" s="365">
        <f>Tabla1[[#This Row],[R. GE
'[MWh']]]*1000</f>
        <v>1663743.2000000004</v>
      </c>
      <c r="Z219" s="371"/>
      <c r="AA21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19" s="371">
        <f>IF(Tabla1[[#This Row],[G. HGS 
'[MWh']]]=0,0,Tabla1[[#This Row],[G. HGS 
'[MWh']]]+Tabla1[[#This Row],[Con. Aux. '[MWh']2]])</f>
        <v>0</v>
      </c>
      <c r="AC219" s="368">
        <f>'C. ENER. TN'!F219</f>
        <v>0</v>
      </c>
      <c r="AD219" s="370">
        <f>'C. ENER. TN'!G219</f>
        <v>1663.7431999999997</v>
      </c>
      <c r="AE219" s="370">
        <f>'G. Un GE'!AX219</f>
        <v>190.85984761904763</v>
      </c>
      <c r="AF219" s="368">
        <f>IFERROR('G. Un GE'!AX219/Tabla1[[#This Row],[PO '[h']]],0)</f>
        <v>0</v>
      </c>
      <c r="AG219" s="365">
        <f>'Ar-Pa'!AX219</f>
        <v>2</v>
      </c>
      <c r="AH219" s="365">
        <f>'Ar-Pa'!AY219</f>
        <v>2</v>
      </c>
      <c r="AI219" s="366">
        <f>SUM('Cal. Arr'!AB222:AY222)</f>
        <v>0</v>
      </c>
      <c r="AJ219" s="442"/>
      <c r="AK219" s="443"/>
      <c r="AL219" s="267">
        <f t="shared" si="61"/>
        <v>0</v>
      </c>
      <c r="AM219" s="267">
        <f>+CONVERT(AK219+Tabla1[[#This Row],[Con. DO Storage Gen. '[m3']]],"m^3","gal")</f>
        <v>0</v>
      </c>
      <c r="AN219" s="372">
        <f>SUM('DO Pilot'!B219:Y219)</f>
        <v>7.3400000000000007</v>
      </c>
      <c r="AO219" s="372">
        <f t="shared" si="62"/>
        <v>1939.0228643088096</v>
      </c>
      <c r="AP219" s="267">
        <f>AK219+AN219+Tabla1[[#This Row],[Con. DO Storage Gen. '[m3']]]</f>
        <v>7.3400000000000007</v>
      </c>
      <c r="AQ219" s="372">
        <f t="shared" si="68"/>
        <v>1939.0228643088096</v>
      </c>
      <c r="AR219" s="443"/>
      <c r="AS219" s="443"/>
      <c r="AT219" s="267">
        <f>+CONVERT(SUM(Tabla1[[#This Row],[Repo. DO Storage '[gal']]:[Repo. DO Pilot '[gal']]]),"gal","m3")</f>
        <v>0</v>
      </c>
      <c r="AU219" s="442">
        <v>0</v>
      </c>
      <c r="AV219" s="372">
        <f t="shared" si="72"/>
        <v>0</v>
      </c>
      <c r="AW219" s="442">
        <v>0</v>
      </c>
      <c r="AX219" s="372">
        <f t="shared" si="73"/>
        <v>0</v>
      </c>
      <c r="AY219" s="372">
        <f t="shared" si="64"/>
        <v>0</v>
      </c>
      <c r="AZ219" s="372">
        <f>IFERROR(AL219/'Ar-Pa'!AX219,0)</f>
        <v>0</v>
      </c>
      <c r="BA219" s="372">
        <f>IFERROR(AL219/'Ar-Pa'!AY219,0)</f>
        <v>0</v>
      </c>
      <c r="BB219" s="372">
        <f t="shared" si="65"/>
        <v>0</v>
      </c>
      <c r="BC219" s="372">
        <f>IFERROR(AVERAGEIF('DO Pilot'!AX219:BU219,"&gt;0"),0)</f>
        <v>9.2669878684366349</v>
      </c>
      <c r="BD219" s="446"/>
      <c r="BE219" s="446"/>
      <c r="BF219" s="446"/>
      <c r="BG219" s="223">
        <f>Tabla1[[#This Row],[ Re. Gas GC
 '[m3']]]</f>
        <v>0</v>
      </c>
      <c r="BH219" s="150">
        <f>IFERROR((BG219*Gas!$B$4)/28.31685,0)</f>
        <v>0</v>
      </c>
      <c r="BI219" s="73">
        <f t="shared" si="74"/>
        <v>0</v>
      </c>
      <c r="BJ219" s="74">
        <f t="shared" si="69"/>
        <v>0</v>
      </c>
      <c r="BK219" s="223">
        <f t="shared" si="66"/>
        <v>0</v>
      </c>
      <c r="BL219" s="442">
        <v>8949.98</v>
      </c>
      <c r="BM219" s="70">
        <f t="shared" si="67"/>
        <v>0</v>
      </c>
      <c r="BN219" s="150">
        <f t="shared" si="70"/>
        <v>0</v>
      </c>
      <c r="BO219" s="373">
        <f>IFERROR(Tabla1[[#This Row],[ Re. Gas GC
 '[m3']]]/Tabla1[[#This Row],[G. HGS 
Con Gas '[kWh']]],0)</f>
        <v>0</v>
      </c>
      <c r="BP219" s="374">
        <f>Tank!Y220</f>
        <v>0</v>
      </c>
      <c r="BQ219" s="70">
        <f>Tank!AP220</f>
        <v>0</v>
      </c>
      <c r="BR219" s="70">
        <f>Tank!V220</f>
        <v>0</v>
      </c>
      <c r="BS219" s="372">
        <f>Tank!T220</f>
        <v>0</v>
      </c>
      <c r="BT219" s="375" t="s">
        <v>228</v>
      </c>
      <c r="BU219" s="452"/>
      <c r="BV219" s="376">
        <f>IF(Tabla1[[#This Row],[Combustible ofertado]]="GAS",Tabla1[[#This Row],[Disponibilidad]],0)</f>
        <v>0</v>
      </c>
      <c r="BW219" s="376">
        <f>IF(Tabla1[[#This Row],[Combustible ofertado]]="DIESEL",Tabla1[[#This Row],[Disponibilidad]],0)</f>
        <v>0</v>
      </c>
      <c r="BX219" s="376">
        <f>IF(Tabla1[[#This Row],[Combustible ofertado]]="HFO",Tabla1[[#This Row],[Disponibilidad]],0)</f>
        <v>0</v>
      </c>
      <c r="BY219" s="452"/>
      <c r="BZ219" s="446">
        <f>'Horo. M'!C220</f>
        <v>24</v>
      </c>
      <c r="CA219" s="446">
        <f>'Horo. M'!E220</f>
        <v>24</v>
      </c>
      <c r="CB219" s="446">
        <f>'Horo. M'!G220</f>
        <v>24</v>
      </c>
      <c r="CC219" s="446">
        <f>'Horo. M'!I220</f>
        <v>24</v>
      </c>
      <c r="CD219" s="446">
        <f>'Horo. M'!K220</f>
        <v>24</v>
      </c>
      <c r="CE219" s="446">
        <f>'Horo. M'!M220</f>
        <v>24</v>
      </c>
      <c r="CF219" s="446">
        <f>'Horo. M'!O220</f>
        <v>24</v>
      </c>
      <c r="CG219" s="446">
        <f>'Horo. M'!Q220</f>
        <v>24</v>
      </c>
      <c r="CH219" s="446">
        <f>'Horo. M'!S220</f>
        <v>24</v>
      </c>
      <c r="CI219" s="446">
        <f>'Horo. M'!U220</f>
        <v>0</v>
      </c>
      <c r="CJ219" s="70">
        <f>Tabla1[[#This Row],[Con. DO Storage '[gal']]]-Tabla1[[#This Row],[C. DO Storage Ge '[gal']]]</f>
        <v>0</v>
      </c>
      <c r="CK219" s="70"/>
      <c r="CL219" s="70"/>
      <c r="CM219" s="372">
        <f>Tabla1[[#This Row],[Con. DO Total '[gal']]]*131485.5/(1000000)</f>
        <v>254.95339082507599</v>
      </c>
    </row>
    <row r="220" spans="1:91" ht="15" customHeight="1">
      <c r="A220" s="362">
        <v>45145</v>
      </c>
      <c r="B220" s="363" t="str">
        <f>TEXT(Tabla1[[#This Row],[Fecha]],"mmmm")</f>
        <v>agosto</v>
      </c>
      <c r="C220" s="364"/>
      <c r="D220" s="366"/>
      <c r="E220" s="366"/>
      <c r="F220" s="366"/>
      <c r="G220" s="377"/>
      <c r="H220" s="377"/>
      <c r="I220" s="378"/>
      <c r="J220" s="378"/>
      <c r="K220" s="366"/>
      <c r="L220" s="366"/>
      <c r="M220" s="365">
        <f>Tabla1[[#This Row],[Columna1]]-Tabla1[[#This Row],[PO '[h']]]</f>
        <v>0</v>
      </c>
      <c r="N220" s="366">
        <f t="shared" si="71"/>
        <v>0</v>
      </c>
      <c r="O220" s="365"/>
      <c r="P220" s="367">
        <f>Tabla1[[#This Row],[G. HGS 
'[MWh']]]</f>
        <v>0</v>
      </c>
      <c r="Q220" s="430">
        <v>0</v>
      </c>
      <c r="R220" s="367">
        <v>0</v>
      </c>
      <c r="S220" s="367">
        <f>Tabla1[[#This Row],[G. HGS 
Con Gas]]*1000</f>
        <v>0</v>
      </c>
      <c r="T220" s="365">
        <f>Tabla1[[#This Row],[G. HGS 
'[MWh']]]*1000</f>
        <v>0</v>
      </c>
      <c r="U220" s="368">
        <f>SUM('G. Un GE'!B220:Y220)</f>
        <v>1498.8703</v>
      </c>
      <c r="V220" s="369">
        <f>Tabla1[[#This Row],[R. GE
'[MWh']]]</f>
        <v>1498.8703</v>
      </c>
      <c r="W220" s="434">
        <v>0</v>
      </c>
      <c r="X220" s="369">
        <v>0</v>
      </c>
      <c r="Y220" s="365">
        <f>Tabla1[[#This Row],[R. GE
'[MWh']]]*1000</f>
        <v>1498870.3</v>
      </c>
      <c r="Z220" s="371"/>
      <c r="AA22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0" s="371">
        <f>IF(Tabla1[[#This Row],[G. HGS 
'[MWh']]]=0,0,Tabla1[[#This Row],[G. HGS 
'[MWh']]]+Tabla1[[#This Row],[Con. Aux. '[MWh']2]])</f>
        <v>0</v>
      </c>
      <c r="AC220" s="368">
        <f>'C. ENER. TN'!F220</f>
        <v>0</v>
      </c>
      <c r="AD220" s="370">
        <f>'C. ENER. TN'!G220</f>
        <v>1498.8702999999998</v>
      </c>
      <c r="AE220" s="370">
        <f>'G. Un GE'!AX220</f>
        <v>173.37492460317461</v>
      </c>
      <c r="AF220" s="368">
        <f>IFERROR('G. Un GE'!AX220/Tabla1[[#This Row],[PO '[h']]],0)</f>
        <v>0</v>
      </c>
      <c r="AG220" s="365">
        <f>'Ar-Pa'!AX220</f>
        <v>3</v>
      </c>
      <c r="AH220" s="365">
        <f>'Ar-Pa'!AY220</f>
        <v>3</v>
      </c>
      <c r="AI220" s="366">
        <f>SUM('Cal. Arr'!AB223:AY223)</f>
        <v>0</v>
      </c>
      <c r="AJ220" s="442"/>
      <c r="AK220" s="443"/>
      <c r="AL220" s="267">
        <f t="shared" si="61"/>
        <v>0</v>
      </c>
      <c r="AM220" s="267">
        <f>+CONVERT(AK220+Tabla1[[#This Row],[Con. DO Storage Gen. '[m3']]],"m^3","gal")</f>
        <v>0</v>
      </c>
      <c r="AN220" s="372">
        <f>SUM('DO Pilot'!B220:Y220)</f>
        <v>7.3999999999999959</v>
      </c>
      <c r="AO220" s="372">
        <f t="shared" si="62"/>
        <v>1954.8731874502973</v>
      </c>
      <c r="AP220" s="267">
        <f>AK220+AN220+Tabla1[[#This Row],[Con. DO Storage Gen. '[m3']]]</f>
        <v>7.3999999999999959</v>
      </c>
      <c r="AQ220" s="372">
        <f t="shared" si="68"/>
        <v>1954.8731874502973</v>
      </c>
      <c r="AR220" s="443"/>
      <c r="AS220" s="443"/>
      <c r="AT220" s="267">
        <f>+CONVERT(SUM(Tabla1[[#This Row],[Repo. DO Storage '[gal']]:[Repo. DO Pilot '[gal']]]),"gal","m3")</f>
        <v>0</v>
      </c>
      <c r="AU220" s="442">
        <v>0</v>
      </c>
      <c r="AV220" s="372">
        <f t="shared" si="72"/>
        <v>0</v>
      </c>
      <c r="AW220" s="442">
        <v>0</v>
      </c>
      <c r="AX220" s="372">
        <f t="shared" si="73"/>
        <v>0</v>
      </c>
      <c r="AY220" s="372">
        <f t="shared" si="64"/>
        <v>0</v>
      </c>
      <c r="AZ220" s="372">
        <f>IFERROR(AL220/'Ar-Pa'!AX220,0)</f>
        <v>0</v>
      </c>
      <c r="BA220" s="372">
        <f>IFERROR(AL220/'Ar-Pa'!AY220,0)</f>
        <v>0</v>
      </c>
      <c r="BB220" s="372">
        <f t="shared" si="65"/>
        <v>0</v>
      </c>
      <c r="BC220" s="372">
        <f>IFERROR(AVERAGEIF('DO Pilot'!AX220:BU220,"&gt;0"),0)</f>
        <v>9.4246699301120511</v>
      </c>
      <c r="BD220" s="446"/>
      <c r="BE220" s="446"/>
      <c r="BF220" s="446"/>
      <c r="BG220" s="223">
        <f>Tabla1[[#This Row],[ Re. Gas GC
 '[m3']]]</f>
        <v>0</v>
      </c>
      <c r="BH220" s="150">
        <f>IFERROR((BG220*Gas!$B$4)/28.31685,0)</f>
        <v>0</v>
      </c>
      <c r="BI220" s="73">
        <f t="shared" si="74"/>
        <v>0</v>
      </c>
      <c r="BJ220" s="74">
        <f t="shared" si="69"/>
        <v>0</v>
      </c>
      <c r="BK220" s="223">
        <f t="shared" si="66"/>
        <v>0</v>
      </c>
      <c r="BL220" s="442">
        <v>9074.85</v>
      </c>
      <c r="BM220" s="70">
        <f t="shared" si="67"/>
        <v>0</v>
      </c>
      <c r="BN220" s="150">
        <f t="shared" si="70"/>
        <v>0</v>
      </c>
      <c r="BO220" s="373">
        <f>IFERROR(Tabla1[[#This Row],[ Re. Gas GC
 '[m3']]]/Tabla1[[#This Row],[G. HGS 
Con Gas '[kWh']]],0)</f>
        <v>0</v>
      </c>
      <c r="BP220" s="374">
        <f>Tank!Y221</f>
        <v>0</v>
      </c>
      <c r="BQ220" s="70">
        <f>Tank!AP221</f>
        <v>0</v>
      </c>
      <c r="BR220" s="70">
        <f>Tank!V221</f>
        <v>0</v>
      </c>
      <c r="BS220" s="372">
        <f>Tank!T221</f>
        <v>0</v>
      </c>
      <c r="BT220" s="375" t="s">
        <v>228</v>
      </c>
      <c r="BU220" s="452"/>
      <c r="BV220" s="376">
        <f>IF(Tabla1[[#This Row],[Combustible ofertado]]="GAS",Tabla1[[#This Row],[Disponibilidad]],0)</f>
        <v>0</v>
      </c>
      <c r="BW220" s="376">
        <f>IF(Tabla1[[#This Row],[Combustible ofertado]]="DIESEL",Tabla1[[#This Row],[Disponibilidad]],0)</f>
        <v>0</v>
      </c>
      <c r="BX220" s="376">
        <f>IF(Tabla1[[#This Row],[Combustible ofertado]]="HFO",Tabla1[[#This Row],[Disponibilidad]],0)</f>
        <v>0</v>
      </c>
      <c r="BY220" s="452"/>
      <c r="BZ220" s="446">
        <f>'Horo. M'!C221</f>
        <v>24</v>
      </c>
      <c r="CA220" s="446">
        <f>'Horo. M'!E221</f>
        <v>24</v>
      </c>
      <c r="CB220" s="446">
        <f>'Horo. M'!G221</f>
        <v>23</v>
      </c>
      <c r="CC220" s="446">
        <f>'Horo. M'!I221</f>
        <v>24</v>
      </c>
      <c r="CD220" s="446">
        <f>'Horo. M'!K221</f>
        <v>24</v>
      </c>
      <c r="CE220" s="446">
        <f>'Horo. M'!M221</f>
        <v>24</v>
      </c>
      <c r="CF220" s="446">
        <f>'Horo. M'!O221</f>
        <v>22</v>
      </c>
      <c r="CG220" s="446">
        <f>'Horo. M'!Q221</f>
        <v>24</v>
      </c>
      <c r="CH220" s="446">
        <f>'Horo. M'!S221</f>
        <v>23</v>
      </c>
      <c r="CI220" s="446">
        <f>'Horo. M'!U221</f>
        <v>0</v>
      </c>
      <c r="CJ220" s="70">
        <f>Tabla1[[#This Row],[Con. DO Storage '[gal']]]-Tabla1[[#This Row],[C. DO Storage Ge '[gal']]]</f>
        <v>0</v>
      </c>
      <c r="CK220" s="70"/>
      <c r="CL220" s="70"/>
      <c r="CM220" s="372">
        <f>Tabla1[[#This Row],[Con. DO Total '[gal']]]*131485.5/(1000000)</f>
        <v>257.03747848849605</v>
      </c>
    </row>
    <row r="221" spans="1:91" ht="15" customHeight="1">
      <c r="A221" s="362">
        <v>45146</v>
      </c>
      <c r="B221" s="363" t="str">
        <f>TEXT(Tabla1[[#This Row],[Fecha]],"mmmm")</f>
        <v>agosto</v>
      </c>
      <c r="C221" s="364"/>
      <c r="D221" s="366"/>
      <c r="E221" s="366"/>
      <c r="F221" s="366"/>
      <c r="G221" s="377"/>
      <c r="H221" s="377"/>
      <c r="I221" s="378"/>
      <c r="J221" s="378"/>
      <c r="K221" s="366"/>
      <c r="L221" s="366"/>
      <c r="M221" s="365">
        <f>Tabla1[[#This Row],[Columna1]]-Tabla1[[#This Row],[PO '[h']]]</f>
        <v>0</v>
      </c>
      <c r="N221" s="366">
        <f t="shared" si="71"/>
        <v>0</v>
      </c>
      <c r="O221" s="365"/>
      <c r="P221" s="367">
        <f>Tabla1[[#This Row],[G. HGS 
'[MWh']]]</f>
        <v>0</v>
      </c>
      <c r="Q221" s="430">
        <v>0</v>
      </c>
      <c r="R221" s="367">
        <v>0</v>
      </c>
      <c r="S221" s="367">
        <f>Tabla1[[#This Row],[G. HGS 
Con Gas]]*1000</f>
        <v>0</v>
      </c>
      <c r="T221" s="365">
        <f>Tabla1[[#This Row],[G. HGS 
'[MWh']]]*1000</f>
        <v>0</v>
      </c>
      <c r="U221" s="368">
        <f>SUM('G. Un GE'!B221:Y221)</f>
        <v>1501.8062999999997</v>
      </c>
      <c r="V221" s="369">
        <f>Tabla1[[#This Row],[R. GE
'[MWh']]]</f>
        <v>1501.8062999999997</v>
      </c>
      <c r="W221" s="434">
        <v>0</v>
      </c>
      <c r="X221" s="369">
        <v>0</v>
      </c>
      <c r="Y221" s="365">
        <f>Tabla1[[#This Row],[R. GE
'[MWh']]]*1000</f>
        <v>1501806.2999999998</v>
      </c>
      <c r="Z221" s="371"/>
      <c r="AA22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1" s="371">
        <f>IF(Tabla1[[#This Row],[G. HGS 
'[MWh']]]=0,0,Tabla1[[#This Row],[G. HGS 
'[MWh']]]+Tabla1[[#This Row],[Con. Aux. '[MWh']2]])</f>
        <v>0</v>
      </c>
      <c r="AC221" s="368">
        <f>'C. ENER. TN'!F221</f>
        <v>0</v>
      </c>
      <c r="AD221" s="370">
        <f>'C. ENER. TN'!G221</f>
        <v>1501.8063000000002</v>
      </c>
      <c r="AE221" s="370">
        <f>'G. Un GE'!AX221</f>
        <v>172.86108412698414</v>
      </c>
      <c r="AF221" s="368">
        <f>IFERROR('G. Un GE'!AX221/Tabla1[[#This Row],[PO '[h']]],0)</f>
        <v>0</v>
      </c>
      <c r="AG221" s="365">
        <f>'Ar-Pa'!AX221</f>
        <v>2</v>
      </c>
      <c r="AH221" s="365">
        <f>'Ar-Pa'!AY221</f>
        <v>2</v>
      </c>
      <c r="AI221" s="366">
        <f>SUM('Cal. Arr'!AB224:AY224)</f>
        <v>0</v>
      </c>
      <c r="AJ221" s="442"/>
      <c r="AK221" s="443"/>
      <c r="AL221" s="267">
        <f t="shared" si="61"/>
        <v>0</v>
      </c>
      <c r="AM221" s="267">
        <f>+CONVERT(AK221+Tabla1[[#This Row],[Con. DO Storage Gen. '[m3']]],"m^3","gal")</f>
        <v>0</v>
      </c>
      <c r="AN221" s="372">
        <f>SUM('DO Pilot'!B221:Y221)</f>
        <v>7.6500000000000012</v>
      </c>
      <c r="AO221" s="372">
        <f t="shared" si="62"/>
        <v>2020.9162005398357</v>
      </c>
      <c r="AP221" s="267">
        <f>AK221+AN221+Tabla1[[#This Row],[Con. DO Storage Gen. '[m3']]]</f>
        <v>7.6500000000000012</v>
      </c>
      <c r="AQ221" s="372">
        <f t="shared" si="68"/>
        <v>2020.9162005398357</v>
      </c>
      <c r="AR221" s="443"/>
      <c r="AS221" s="443"/>
      <c r="AT221" s="267">
        <f>+CONVERT(SUM(Tabla1[[#This Row],[Repo. DO Storage '[gal']]:[Repo. DO Pilot '[gal']]]),"gal","m3")</f>
        <v>0</v>
      </c>
      <c r="AU221" s="442">
        <v>0</v>
      </c>
      <c r="AV221" s="372">
        <f t="shared" si="72"/>
        <v>0</v>
      </c>
      <c r="AW221" s="442">
        <v>0</v>
      </c>
      <c r="AX221" s="372">
        <f t="shared" si="73"/>
        <v>0</v>
      </c>
      <c r="AY221" s="372">
        <f t="shared" si="64"/>
        <v>0</v>
      </c>
      <c r="AZ221" s="372">
        <f>IFERROR(AL221/'Ar-Pa'!AX221,0)</f>
        <v>0</v>
      </c>
      <c r="BA221" s="372">
        <f>IFERROR(AL221/'Ar-Pa'!AY221,0)</f>
        <v>0</v>
      </c>
      <c r="BB221" s="372">
        <f t="shared" si="65"/>
        <v>0</v>
      </c>
      <c r="BC221" s="372">
        <f>IFERROR(AVERAGEIF('DO Pilot'!AX221:BU221,"&gt;0"),0)</f>
        <v>9.6915500954407978</v>
      </c>
      <c r="BD221" s="446"/>
      <c r="BE221" s="446"/>
      <c r="BF221" s="446"/>
      <c r="BG221" s="223">
        <f>Tabla1[[#This Row],[ Re. Gas GC
 '[m3']]]</f>
        <v>0</v>
      </c>
      <c r="BH221" s="150">
        <f>IFERROR((BG221*Gas!$B$4)/28.31685,0)</f>
        <v>0</v>
      </c>
      <c r="BI221" s="73">
        <f t="shared" si="74"/>
        <v>0</v>
      </c>
      <c r="BJ221" s="74">
        <f t="shared" si="69"/>
        <v>0</v>
      </c>
      <c r="BK221" s="223">
        <f t="shared" si="66"/>
        <v>0</v>
      </c>
      <c r="BL221" s="442">
        <v>9082.49</v>
      </c>
      <c r="BM221" s="70">
        <f t="shared" si="67"/>
        <v>0</v>
      </c>
      <c r="BN221" s="150">
        <f t="shared" si="70"/>
        <v>0</v>
      </c>
      <c r="BO221" s="373">
        <f>IFERROR(Tabla1[[#This Row],[ Re. Gas GC
 '[m3']]]/Tabla1[[#This Row],[G. HGS 
Con Gas '[kWh']]],0)</f>
        <v>0</v>
      </c>
      <c r="BP221" s="374">
        <f>Tank!Y222</f>
        <v>0</v>
      </c>
      <c r="BQ221" s="70">
        <f>Tank!AP222</f>
        <v>0</v>
      </c>
      <c r="BR221" s="70">
        <f>Tank!V222</f>
        <v>0</v>
      </c>
      <c r="BS221" s="372">
        <f>Tank!T222</f>
        <v>0</v>
      </c>
      <c r="BT221" s="375" t="s">
        <v>228</v>
      </c>
      <c r="BU221" s="452"/>
      <c r="BV221" s="376">
        <f>IF(Tabla1[[#This Row],[Combustible ofertado]]="GAS",Tabla1[[#This Row],[Disponibilidad]],0)</f>
        <v>0</v>
      </c>
      <c r="BW221" s="376">
        <f>IF(Tabla1[[#This Row],[Combustible ofertado]]="DIESEL",Tabla1[[#This Row],[Disponibilidad]],0)</f>
        <v>0</v>
      </c>
      <c r="BX221" s="376">
        <f>IF(Tabla1[[#This Row],[Combustible ofertado]]="HFO",Tabla1[[#This Row],[Disponibilidad]],0)</f>
        <v>0</v>
      </c>
      <c r="BY221" s="452"/>
      <c r="BZ221" s="446">
        <f>'Horo. M'!C222</f>
        <v>24</v>
      </c>
      <c r="CA221" s="446">
        <f>'Horo. M'!E222</f>
        <v>24</v>
      </c>
      <c r="CB221" s="446">
        <f>'Horo. M'!G222</f>
        <v>24</v>
      </c>
      <c r="CC221" s="446">
        <f>'Horo. M'!I222</f>
        <v>24</v>
      </c>
      <c r="CD221" s="446">
        <f>'Horo. M'!K222</f>
        <v>24</v>
      </c>
      <c r="CE221" s="446">
        <f>'Horo. M'!M222</f>
        <v>24</v>
      </c>
      <c r="CF221" s="446">
        <f>'Horo. M'!O222</f>
        <v>24</v>
      </c>
      <c r="CG221" s="446">
        <f>'Horo. M'!Q222</f>
        <v>24</v>
      </c>
      <c r="CH221" s="446">
        <f>'Horo. M'!S222</f>
        <v>24</v>
      </c>
      <c r="CI221" s="446">
        <f>'Horo. M'!U222</f>
        <v>0</v>
      </c>
      <c r="CJ221" s="70">
        <f>Tabla1[[#This Row],[Con. DO Storage '[gal']]]-Tabla1[[#This Row],[C. DO Storage Ge '[gal']]]</f>
        <v>0</v>
      </c>
      <c r="CK221" s="70"/>
      <c r="CL221" s="70"/>
      <c r="CM221" s="372">
        <f>Tabla1[[#This Row],[Con. DO Total '[gal']]]*131485.5/(1000000)</f>
        <v>265.72117708608056</v>
      </c>
    </row>
    <row r="222" spans="1:91" ht="15" customHeight="1">
      <c r="A222" s="362">
        <v>45147</v>
      </c>
      <c r="B222" s="363" t="str">
        <f>TEXT(Tabla1[[#This Row],[Fecha]],"mmmm")</f>
        <v>agosto</v>
      </c>
      <c r="C222" s="364"/>
      <c r="D222" s="366"/>
      <c r="E222" s="366"/>
      <c r="F222" s="366"/>
      <c r="G222" s="377"/>
      <c r="H222" s="377"/>
      <c r="I222" s="378"/>
      <c r="J222" s="378"/>
      <c r="K222" s="366"/>
      <c r="L222" s="366"/>
      <c r="M222" s="365">
        <f>Tabla1[[#This Row],[Columna1]]-Tabla1[[#This Row],[PO '[h']]]</f>
        <v>0</v>
      </c>
      <c r="N222" s="366">
        <f t="shared" si="71"/>
        <v>0</v>
      </c>
      <c r="O222" s="365"/>
      <c r="P222" s="367">
        <f>Tabla1[[#This Row],[G. HGS 
'[MWh']]]</f>
        <v>0</v>
      </c>
      <c r="Q222" s="430">
        <v>0</v>
      </c>
      <c r="R222" s="367">
        <v>0</v>
      </c>
      <c r="S222" s="367">
        <f>Tabla1[[#This Row],[G. HGS 
Con Gas]]*1000</f>
        <v>0</v>
      </c>
      <c r="T222" s="365">
        <f>Tabla1[[#This Row],[G. HGS 
'[MWh']]]*1000</f>
        <v>0</v>
      </c>
      <c r="U222" s="368">
        <f>SUM('G. Un GE'!B222:Y222)</f>
        <v>1562.7642000000001</v>
      </c>
      <c r="V222" s="369">
        <f>Tabla1[[#This Row],[R. GE
'[MWh']]]</f>
        <v>1562.7642000000001</v>
      </c>
      <c r="W222" s="434">
        <v>0</v>
      </c>
      <c r="X222" s="369">
        <v>0</v>
      </c>
      <c r="Y222" s="365">
        <f>Tabla1[[#This Row],[R. GE
'[MWh']]]*1000</f>
        <v>1562764.2000000002</v>
      </c>
      <c r="Z222" s="371"/>
      <c r="AA22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2" s="371">
        <f>IF(Tabla1[[#This Row],[G. HGS 
'[MWh']]]=0,0,Tabla1[[#This Row],[G. HGS 
'[MWh']]]+Tabla1[[#This Row],[Con. Aux. '[MWh']2]])</f>
        <v>0</v>
      </c>
      <c r="AC222" s="368">
        <f>'C. ENER. TN'!F222</f>
        <v>0</v>
      </c>
      <c r="AD222" s="370">
        <f>'C. ENER. TN'!G222</f>
        <v>1562.7641999999998</v>
      </c>
      <c r="AE222" s="370">
        <f>'G. Un GE'!AX222</f>
        <v>173.64046666666667</v>
      </c>
      <c r="AF222" s="368">
        <f>IFERROR('G. Un GE'!AX222/Tabla1[[#This Row],[PO '[h']]],0)</f>
        <v>0</v>
      </c>
      <c r="AG222" s="365">
        <f>'Ar-Pa'!AX222</f>
        <v>0</v>
      </c>
      <c r="AH222" s="365">
        <f>'Ar-Pa'!AY222</f>
        <v>0</v>
      </c>
      <c r="AI222" s="366">
        <f>SUM('Cal. Arr'!AB225:AY225)</f>
        <v>0</v>
      </c>
      <c r="AJ222" s="442"/>
      <c r="AK222" s="443"/>
      <c r="AL222" s="267">
        <f t="shared" si="61"/>
        <v>0</v>
      </c>
      <c r="AM222" s="267">
        <f>+CONVERT(AK222+Tabla1[[#This Row],[Con. DO Storage Gen. '[m3']]],"m^3","gal")</f>
        <v>0</v>
      </c>
      <c r="AN222" s="372">
        <f>SUM('DO Pilot'!B222:Y222)</f>
        <v>7.8199999999999994</v>
      </c>
      <c r="AO222" s="372">
        <f t="shared" si="62"/>
        <v>2065.8254494407206</v>
      </c>
      <c r="AP222" s="267">
        <f>AK222+AN222+Tabla1[[#This Row],[Con. DO Storage Gen. '[m3']]]</f>
        <v>7.8199999999999994</v>
      </c>
      <c r="AQ222" s="372">
        <f t="shared" si="68"/>
        <v>2065.8254494407206</v>
      </c>
      <c r="AR222" s="443"/>
      <c r="AS222" s="443"/>
      <c r="AT222" s="267">
        <f>+CONVERT(SUM(Tabla1[[#This Row],[Repo. DO Storage '[gal']]:[Repo. DO Pilot '[gal']]]),"gal","m3")</f>
        <v>0</v>
      </c>
      <c r="AU222" s="442">
        <v>0</v>
      </c>
      <c r="AV222" s="372">
        <f t="shared" si="72"/>
        <v>0</v>
      </c>
      <c r="AW222" s="442">
        <v>0</v>
      </c>
      <c r="AX222" s="372">
        <f t="shared" si="73"/>
        <v>0</v>
      </c>
      <c r="AY222" s="372">
        <f t="shared" si="64"/>
        <v>0</v>
      </c>
      <c r="AZ222" s="372">
        <f>IFERROR(AL222/'Ar-Pa'!AX222,0)</f>
        <v>0</v>
      </c>
      <c r="BA222" s="372">
        <f>IFERROR(AL222/'Ar-Pa'!AY222,0)</f>
        <v>0</v>
      </c>
      <c r="BB222" s="372">
        <f t="shared" si="65"/>
        <v>0</v>
      </c>
      <c r="BC222" s="372">
        <f>IFERROR(AVERAGEIF('DO Pilot'!AX222:BU222,"&gt;0"),0)</f>
        <v>9.5640067103737074</v>
      </c>
      <c r="BD222" s="446"/>
      <c r="BE222" s="446"/>
      <c r="BF222" s="446"/>
      <c r="BG222" s="223">
        <f>Tabla1[[#This Row],[ Re. Gas GC
 '[m3']]]</f>
        <v>0</v>
      </c>
      <c r="BH222" s="150">
        <f>IFERROR((BG222*Gas!$B$4)/28.31685,0)</f>
        <v>0</v>
      </c>
      <c r="BI222" s="73">
        <f t="shared" si="74"/>
        <v>0</v>
      </c>
      <c r="BJ222" s="74">
        <f t="shared" si="69"/>
        <v>0</v>
      </c>
      <c r="BK222" s="223">
        <f t="shared" si="66"/>
        <v>0</v>
      </c>
      <c r="BL222" s="442">
        <v>8507.2900000000009</v>
      </c>
      <c r="BM222" s="70">
        <f t="shared" si="67"/>
        <v>0</v>
      </c>
      <c r="BN222" s="150">
        <f t="shared" si="70"/>
        <v>0</v>
      </c>
      <c r="BO222" s="373">
        <f>IFERROR(Tabla1[[#This Row],[ Re. Gas GC
 '[m3']]]/Tabla1[[#This Row],[G. HGS 
Con Gas '[kWh']]],0)</f>
        <v>0</v>
      </c>
      <c r="BP222" s="374">
        <f>Tank!Y223</f>
        <v>0</v>
      </c>
      <c r="BQ222" s="70">
        <f>Tank!AP223</f>
        <v>0</v>
      </c>
      <c r="BR222" s="70">
        <f>Tank!V223</f>
        <v>0</v>
      </c>
      <c r="BS222" s="372">
        <f>Tank!T223</f>
        <v>0</v>
      </c>
      <c r="BT222" s="375" t="s">
        <v>228</v>
      </c>
      <c r="BU222" s="452"/>
      <c r="BV222" s="376">
        <f>IF(Tabla1[[#This Row],[Combustible ofertado]]="GAS",Tabla1[[#This Row],[Disponibilidad]],0)</f>
        <v>0</v>
      </c>
      <c r="BW222" s="376">
        <f>IF(Tabla1[[#This Row],[Combustible ofertado]]="DIESEL",Tabla1[[#This Row],[Disponibilidad]],0)</f>
        <v>0</v>
      </c>
      <c r="BX222" s="376">
        <f>IF(Tabla1[[#This Row],[Combustible ofertado]]="HFO",Tabla1[[#This Row],[Disponibilidad]],0)</f>
        <v>0</v>
      </c>
      <c r="BY222" s="452"/>
      <c r="BZ222" s="446">
        <f>'Horo. M'!C223</f>
        <v>24</v>
      </c>
      <c r="CA222" s="446">
        <f>'Horo. M'!E223</f>
        <v>24</v>
      </c>
      <c r="CB222" s="446">
        <f>'Horo. M'!G223</f>
        <v>24</v>
      </c>
      <c r="CC222" s="446">
        <f>'Horo. M'!I223</f>
        <v>24</v>
      </c>
      <c r="CD222" s="446">
        <f>'Horo. M'!K223</f>
        <v>24</v>
      </c>
      <c r="CE222" s="446">
        <f>'Horo. M'!M223</f>
        <v>24</v>
      </c>
      <c r="CF222" s="446">
        <f>'Horo. M'!O223</f>
        <v>24</v>
      </c>
      <c r="CG222" s="446">
        <f>'Horo. M'!Q223</f>
        <v>24</v>
      </c>
      <c r="CH222" s="446">
        <f>'Horo. M'!S223</f>
        <v>24</v>
      </c>
      <c r="CI222" s="446">
        <f>'Horo. M'!U223</f>
        <v>0</v>
      </c>
      <c r="CJ222" s="70">
        <f>Tabla1[[#This Row],[Con. DO Storage '[gal']]]-Tabla1[[#This Row],[C. DO Storage Ge '[gal']]]</f>
        <v>-6620.15</v>
      </c>
      <c r="CK222" s="70">
        <v>6620.15</v>
      </c>
      <c r="CL222" s="70" t="s">
        <v>229</v>
      </c>
      <c r="CM222" s="372">
        <f>Tabla1[[#This Row],[Con. DO Total '[gal']]]*131485.5/(1000000)</f>
        <v>271.62609213243786</v>
      </c>
    </row>
    <row r="223" spans="1:91" ht="15" customHeight="1">
      <c r="A223" s="362">
        <v>45148</v>
      </c>
      <c r="B223" s="363" t="str">
        <f>TEXT(Tabla1[[#This Row],[Fecha]],"mmmm")</f>
        <v>agosto</v>
      </c>
      <c r="C223" s="364"/>
      <c r="D223" s="366"/>
      <c r="E223" s="366"/>
      <c r="F223" s="366"/>
      <c r="G223" s="377"/>
      <c r="H223" s="377"/>
      <c r="I223" s="378"/>
      <c r="J223" s="378"/>
      <c r="K223" s="366"/>
      <c r="L223" s="366"/>
      <c r="M223" s="365">
        <f>Tabla1[[#This Row],[Columna1]]-Tabla1[[#This Row],[PO '[h']]]</f>
        <v>0</v>
      </c>
      <c r="N223" s="366">
        <f t="shared" si="71"/>
        <v>0</v>
      </c>
      <c r="O223" s="365"/>
      <c r="P223" s="367">
        <f>Tabla1[[#This Row],[G. HGS 
'[MWh']]]</f>
        <v>0</v>
      </c>
      <c r="Q223" s="430">
        <v>0</v>
      </c>
      <c r="R223" s="367">
        <v>0</v>
      </c>
      <c r="S223" s="367">
        <f>Tabla1[[#This Row],[G. HGS 
Con Gas]]*1000</f>
        <v>0</v>
      </c>
      <c r="T223" s="365">
        <f>Tabla1[[#This Row],[G. HGS 
'[MWh']]]*1000</f>
        <v>0</v>
      </c>
      <c r="U223" s="368">
        <f>SUM('G. Un GE'!B223:Y223)</f>
        <v>1297.3577</v>
      </c>
      <c r="V223" s="369">
        <f>Tabla1[[#This Row],[R. GE
'[MWh']]]</f>
        <v>1297.3577</v>
      </c>
      <c r="W223" s="434">
        <v>0</v>
      </c>
      <c r="X223" s="369">
        <v>0</v>
      </c>
      <c r="Y223" s="365">
        <f>Tabla1[[#This Row],[R. GE
'[MWh']]]*1000</f>
        <v>1297357.7</v>
      </c>
      <c r="Z223" s="371"/>
      <c r="AA22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3" s="371">
        <f>IF(Tabla1[[#This Row],[G. HGS 
'[MWh']]]=0,0,Tabla1[[#This Row],[G. HGS 
'[MWh']]]+Tabla1[[#This Row],[Con. Aux. '[MWh']2]])</f>
        <v>0</v>
      </c>
      <c r="AC223" s="368">
        <f>'C. ENER. TN'!F223</f>
        <v>0</v>
      </c>
      <c r="AD223" s="370">
        <f>'C. ENER. TN'!G223</f>
        <v>1297.3577000000002</v>
      </c>
      <c r="AE223" s="370">
        <f>'G. Un GE'!AX223</f>
        <v>162.1697125</v>
      </c>
      <c r="AF223" s="368">
        <f>IFERROR('G. Un GE'!AX223/Tabla1[[#This Row],[PO '[h']]],0)</f>
        <v>0</v>
      </c>
      <c r="AG223" s="365">
        <f>'Ar-Pa'!AX223</f>
        <v>0</v>
      </c>
      <c r="AH223" s="365">
        <f>'Ar-Pa'!AY223</f>
        <v>1</v>
      </c>
      <c r="AI223" s="366">
        <f>SUM('Cal. Arr'!AB226:AY226)</f>
        <v>0</v>
      </c>
      <c r="AJ223" s="442"/>
      <c r="AK223" s="443"/>
      <c r="AL223" s="267">
        <f t="shared" si="61"/>
        <v>0</v>
      </c>
      <c r="AM223" s="267">
        <f>+CONVERT(AK223+Tabla1[[#This Row],[Con. DO Storage Gen. '[m3']]],"m^3","gal")</f>
        <v>0</v>
      </c>
      <c r="AN223" s="372">
        <f>SUM('DO Pilot'!B223:Y223)</f>
        <v>6.04</v>
      </c>
      <c r="AO223" s="372">
        <f t="shared" si="62"/>
        <v>1595.5991962432165</v>
      </c>
      <c r="AP223" s="267">
        <f>AK223+AN223+Tabla1[[#This Row],[Con. DO Storage Gen. '[m3']]]</f>
        <v>6.04</v>
      </c>
      <c r="AQ223" s="372">
        <f t="shared" si="68"/>
        <v>1595.5991962432165</v>
      </c>
      <c r="AR223" s="443"/>
      <c r="AS223" s="443"/>
      <c r="AT223" s="267">
        <f>+CONVERT(SUM(Tabla1[[#This Row],[Repo. DO Storage '[gal']]:[Repo. DO Pilot '[gal']]]),"gal","m3")</f>
        <v>0</v>
      </c>
      <c r="AU223" s="442">
        <v>0</v>
      </c>
      <c r="AV223" s="372">
        <f t="shared" si="72"/>
        <v>0</v>
      </c>
      <c r="AW223" s="442">
        <v>0</v>
      </c>
      <c r="AX223" s="372">
        <f t="shared" si="73"/>
        <v>0</v>
      </c>
      <c r="AY223" s="372">
        <f t="shared" si="64"/>
        <v>0</v>
      </c>
      <c r="AZ223" s="372">
        <f>IFERROR(AL223/'Ar-Pa'!AX223,0)</f>
        <v>0</v>
      </c>
      <c r="BA223" s="372">
        <f>IFERROR(AL223/'Ar-Pa'!AY223,0)</f>
        <v>0</v>
      </c>
      <c r="BB223" s="372">
        <f t="shared" si="65"/>
        <v>0</v>
      </c>
      <c r="BC223" s="372">
        <f>IFERROR(AVERAGEIF('DO Pilot'!AX223:BU223,"&gt;0"),0)</f>
        <v>8.3104124804334187</v>
      </c>
      <c r="BD223" s="446"/>
      <c r="BE223" s="446"/>
      <c r="BF223" s="446"/>
      <c r="BG223" s="223">
        <f>Tabla1[[#This Row],[ Re. Gas GC
 '[m3']]]</f>
        <v>0</v>
      </c>
      <c r="BH223" s="150">
        <f>IFERROR((BG223*Gas!$B$4)/28.31685,0)</f>
        <v>0</v>
      </c>
      <c r="BI223" s="73">
        <f t="shared" si="74"/>
        <v>0</v>
      </c>
      <c r="BJ223" s="74">
        <f t="shared" si="69"/>
        <v>0</v>
      </c>
      <c r="BK223" s="223">
        <f t="shared" si="66"/>
        <v>0</v>
      </c>
      <c r="BL223" s="442">
        <v>9039.65</v>
      </c>
      <c r="BM223" s="70">
        <f t="shared" si="67"/>
        <v>0</v>
      </c>
      <c r="BN223" s="150">
        <f t="shared" si="70"/>
        <v>0</v>
      </c>
      <c r="BO223" s="373">
        <f>IFERROR(Tabla1[[#This Row],[ Re. Gas GC
 '[m3']]]/Tabla1[[#This Row],[G. HGS 
Con Gas '[kWh']]],0)</f>
        <v>0</v>
      </c>
      <c r="BP223" s="374">
        <f>Tank!Y224</f>
        <v>0</v>
      </c>
      <c r="BQ223" s="70">
        <f>Tank!AP224</f>
        <v>0</v>
      </c>
      <c r="BR223" s="70">
        <f>Tank!V224</f>
        <v>0</v>
      </c>
      <c r="BS223" s="372">
        <f>Tank!T224</f>
        <v>0</v>
      </c>
      <c r="BT223" s="375" t="s">
        <v>228</v>
      </c>
      <c r="BU223" s="452"/>
      <c r="BV223" s="376">
        <f>IF(Tabla1[[#This Row],[Combustible ofertado]]="GAS",Tabla1[[#This Row],[Disponibilidad]],0)</f>
        <v>0</v>
      </c>
      <c r="BW223" s="376">
        <f>IF(Tabla1[[#This Row],[Combustible ofertado]]="DIESEL",Tabla1[[#This Row],[Disponibilidad]],0)</f>
        <v>0</v>
      </c>
      <c r="BX223" s="376">
        <f>IF(Tabla1[[#This Row],[Combustible ofertado]]="HFO",Tabla1[[#This Row],[Disponibilidad]],0)</f>
        <v>0</v>
      </c>
      <c r="BY223" s="452"/>
      <c r="BZ223" s="446">
        <f>'Horo. M'!C224</f>
        <v>19</v>
      </c>
      <c r="CA223" s="446">
        <f>'Horo. M'!E224</f>
        <v>24</v>
      </c>
      <c r="CB223" s="446">
        <f>'Horo. M'!G224</f>
        <v>17</v>
      </c>
      <c r="CC223" s="446">
        <f>'Horo. M'!I224</f>
        <v>24</v>
      </c>
      <c r="CD223" s="446">
        <f>'Horo. M'!K224</f>
        <v>24</v>
      </c>
      <c r="CE223" s="446">
        <f>'Horo. M'!M224</f>
        <v>24</v>
      </c>
      <c r="CF223" s="446">
        <f>'Horo. M'!O224</f>
        <v>19</v>
      </c>
      <c r="CG223" s="446">
        <f>'Horo. M'!Q224</f>
        <v>19</v>
      </c>
      <c r="CH223" s="446">
        <f>'Horo. M'!S224</f>
        <v>24</v>
      </c>
      <c r="CI223" s="446">
        <f>'Horo. M'!U224</f>
        <v>0</v>
      </c>
      <c r="CJ223" s="70">
        <f>Tabla1[[#This Row],[Con. DO Storage '[gal']]]-Tabla1[[#This Row],[C. DO Storage Ge '[gal']]]</f>
        <v>-3275.73</v>
      </c>
      <c r="CK223" s="70">
        <v>3275.73</v>
      </c>
      <c r="CL223" s="70" t="s">
        <v>230</v>
      </c>
      <c r="CM223" s="372">
        <f>Tabla1[[#This Row],[Con. DO Total '[gal']]]*131485.5/(1000000)</f>
        <v>209.79815811763746</v>
      </c>
    </row>
    <row r="224" spans="1:91" ht="15" customHeight="1">
      <c r="A224" s="362">
        <v>45149</v>
      </c>
      <c r="B224" s="363" t="str">
        <f>TEXT(Tabla1[[#This Row],[Fecha]],"mmmm")</f>
        <v>agosto</v>
      </c>
      <c r="C224" s="364"/>
      <c r="D224" s="366"/>
      <c r="E224" s="366"/>
      <c r="F224" s="366"/>
      <c r="G224" s="377"/>
      <c r="H224" s="377"/>
      <c r="I224" s="378"/>
      <c r="J224" s="378"/>
      <c r="K224" s="366"/>
      <c r="L224" s="366"/>
      <c r="M224" s="365">
        <f>Tabla1[[#This Row],[Columna1]]-Tabla1[[#This Row],[PO '[h']]]</f>
        <v>0</v>
      </c>
      <c r="N224" s="366">
        <f t="shared" si="71"/>
        <v>0</v>
      </c>
      <c r="O224" s="365"/>
      <c r="P224" s="367">
        <f>Tabla1[[#This Row],[G. HGS 
'[MWh']]]</f>
        <v>0</v>
      </c>
      <c r="Q224" s="430">
        <v>0</v>
      </c>
      <c r="R224" s="367">
        <v>0</v>
      </c>
      <c r="S224" s="367">
        <f>Tabla1[[#This Row],[G. HGS 
Con Gas]]*1000</f>
        <v>0</v>
      </c>
      <c r="T224" s="365">
        <f>Tabla1[[#This Row],[G. HGS 
'[MWh']]]*1000</f>
        <v>0</v>
      </c>
      <c r="U224" s="368">
        <f>SUM('G. Un GE'!B224:Y224)</f>
        <v>1336.7901000000002</v>
      </c>
      <c r="V224" s="369">
        <f>Tabla1[[#This Row],[R. GE
'[MWh']]]</f>
        <v>1336.7901000000002</v>
      </c>
      <c r="W224" s="434">
        <v>0</v>
      </c>
      <c r="X224" s="369">
        <v>0</v>
      </c>
      <c r="Y224" s="365">
        <f>Tabla1[[#This Row],[R. GE
'[MWh']]]*1000</f>
        <v>1336790.1000000001</v>
      </c>
      <c r="Z224" s="371"/>
      <c r="AA22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4" s="371">
        <f>IF(Tabla1[[#This Row],[G. HGS 
'[MWh']]]=0,0,Tabla1[[#This Row],[G. HGS 
'[MWh']]]+Tabla1[[#This Row],[Con. Aux. '[MWh']2]])</f>
        <v>0</v>
      </c>
      <c r="AC224" s="368">
        <f>'C. ENER. TN'!F224</f>
        <v>0</v>
      </c>
      <c r="AD224" s="370">
        <f>'C. ENER. TN'!G224</f>
        <v>1336.7901000000002</v>
      </c>
      <c r="AE224" s="370">
        <f>'G. Un GE'!AX224</f>
        <v>173.75673333333336</v>
      </c>
      <c r="AF224" s="368">
        <f>IFERROR('G. Un GE'!AX224/Tabla1[[#This Row],[PO '[h']]],0)</f>
        <v>0</v>
      </c>
      <c r="AG224" s="365">
        <f>'Ar-Pa'!AX224</f>
        <v>2</v>
      </c>
      <c r="AH224" s="365">
        <f>'Ar-Pa'!AY224</f>
        <v>2</v>
      </c>
      <c r="AI224" s="366">
        <f>SUM('Cal. Arr'!AB227:AY227)</f>
        <v>0</v>
      </c>
      <c r="AJ224" s="442"/>
      <c r="AK224" s="443"/>
      <c r="AL224" s="267">
        <f t="shared" si="61"/>
        <v>0</v>
      </c>
      <c r="AM224" s="267">
        <f>+CONVERT(AK224+Tabla1[[#This Row],[Con. DO Storage Gen. '[m3']]],"m^3","gal")</f>
        <v>0</v>
      </c>
      <c r="AN224" s="372">
        <f>SUM('DO Pilot'!B224:Y224)</f>
        <v>6.5199999999999978</v>
      </c>
      <c r="AO224" s="372">
        <f t="shared" si="62"/>
        <v>1722.4017813751273</v>
      </c>
      <c r="AP224" s="267">
        <f>AK224+AN224+Tabla1[[#This Row],[Con. DO Storage Gen. '[m3']]]</f>
        <v>6.5199999999999978</v>
      </c>
      <c r="AQ224" s="372">
        <f t="shared" si="68"/>
        <v>1722.4017813751273</v>
      </c>
      <c r="AR224" s="443"/>
      <c r="AS224" s="443"/>
      <c r="AT224" s="267">
        <f>+CONVERT(SUM(Tabla1[[#This Row],[Repo. DO Storage '[gal']]:[Repo. DO Pilot '[gal']]]),"gal","m3")</f>
        <v>0</v>
      </c>
      <c r="AU224" s="442">
        <v>0</v>
      </c>
      <c r="AV224" s="372">
        <f t="shared" si="72"/>
        <v>0</v>
      </c>
      <c r="AW224" s="442">
        <v>0</v>
      </c>
      <c r="AX224" s="372">
        <f t="shared" si="73"/>
        <v>0</v>
      </c>
      <c r="AY224" s="372">
        <f t="shared" si="64"/>
        <v>0</v>
      </c>
      <c r="AZ224" s="372">
        <f>IFERROR(AL224/'Ar-Pa'!AX224,0)</f>
        <v>0</v>
      </c>
      <c r="BA224" s="372">
        <f>IFERROR(AL224/'Ar-Pa'!AY224,0)</f>
        <v>0</v>
      </c>
      <c r="BB224" s="372">
        <f t="shared" si="65"/>
        <v>0</v>
      </c>
      <c r="BC224" s="372">
        <f>IFERROR(AVERAGEIF('DO Pilot'!AX224:BU224,"&gt;0"),0)</f>
        <v>9.3331619192505588</v>
      </c>
      <c r="BD224" s="446"/>
      <c r="BE224" s="446"/>
      <c r="BF224" s="446"/>
      <c r="BG224" s="223">
        <f>Tabla1[[#This Row],[ Re. Gas GC
 '[m3']]]</f>
        <v>0</v>
      </c>
      <c r="BH224" s="150">
        <f>IFERROR((BG224*Gas!$B$4)/28.31685,0)</f>
        <v>0</v>
      </c>
      <c r="BI224" s="73">
        <f t="shared" si="74"/>
        <v>0</v>
      </c>
      <c r="BJ224" s="74">
        <f t="shared" si="69"/>
        <v>0</v>
      </c>
      <c r="BK224" s="223">
        <f t="shared" si="66"/>
        <v>0</v>
      </c>
      <c r="BL224" s="442">
        <v>8958.7099999999991</v>
      </c>
      <c r="BM224" s="70">
        <f t="shared" si="67"/>
        <v>0</v>
      </c>
      <c r="BN224" s="150">
        <f t="shared" si="70"/>
        <v>0</v>
      </c>
      <c r="BO224" s="373">
        <f>IFERROR(Tabla1[[#This Row],[ Re. Gas GC
 '[m3']]]/Tabla1[[#This Row],[G. HGS 
Con Gas '[kWh']]],0)</f>
        <v>0</v>
      </c>
      <c r="BP224" s="374">
        <f>Tank!Y225</f>
        <v>0</v>
      </c>
      <c r="BQ224" s="70">
        <f>Tank!AP225</f>
        <v>0</v>
      </c>
      <c r="BR224" s="70">
        <f>Tank!V225</f>
        <v>0</v>
      </c>
      <c r="BS224" s="372">
        <f>Tank!T225</f>
        <v>0</v>
      </c>
      <c r="BT224" s="375" t="s">
        <v>228</v>
      </c>
      <c r="BU224" s="452"/>
      <c r="BV224" s="376">
        <f>IF(Tabla1[[#This Row],[Combustible ofertado]]="GAS",Tabla1[[#This Row],[Disponibilidad]],0)</f>
        <v>0</v>
      </c>
      <c r="BW224" s="376">
        <f>IF(Tabla1[[#This Row],[Combustible ofertado]]="DIESEL",Tabla1[[#This Row],[Disponibilidad]],0)</f>
        <v>0</v>
      </c>
      <c r="BX224" s="376">
        <f>IF(Tabla1[[#This Row],[Combustible ofertado]]="HFO",Tabla1[[#This Row],[Disponibilidad]],0)</f>
        <v>0</v>
      </c>
      <c r="BY224" s="452"/>
      <c r="BZ224" s="446">
        <f>'Horo. M'!C225</f>
        <v>24</v>
      </c>
      <c r="CA224" s="446">
        <f>'Horo. M'!E225</f>
        <v>24</v>
      </c>
      <c r="CB224" s="446">
        <f>'Horo. M'!G225</f>
        <v>24</v>
      </c>
      <c r="CC224" s="446">
        <f>'Horo. M'!I225</f>
        <v>24</v>
      </c>
      <c r="CD224" s="446">
        <f>'Horo. M'!K225</f>
        <v>23</v>
      </c>
      <c r="CE224" s="446">
        <f>'Horo. M'!M225</f>
        <v>24</v>
      </c>
      <c r="CF224" s="446">
        <f>'Horo. M'!O225</f>
        <v>0</v>
      </c>
      <c r="CG224" s="446">
        <f>'Horo. M'!Q225</f>
        <v>24</v>
      </c>
      <c r="CH224" s="446">
        <f>'Horo. M'!S225</f>
        <v>24</v>
      </c>
      <c r="CI224" s="446">
        <f>'Horo. M'!U225</f>
        <v>0</v>
      </c>
      <c r="CJ224" s="70">
        <f>Tabla1[[#This Row],[Con. DO Storage '[gal']]]-Tabla1[[#This Row],[C. DO Storage Ge '[gal']]]</f>
        <v>0</v>
      </c>
      <c r="CK224" s="70"/>
      <c r="CL224" s="70"/>
      <c r="CM224" s="372">
        <f>Tabla1[[#This Row],[Con. DO Total '[gal']]]*131485.5/(1000000)</f>
        <v>226.4708594249993</v>
      </c>
    </row>
    <row r="225" spans="1:91" ht="15" customHeight="1">
      <c r="A225" s="362">
        <v>45150</v>
      </c>
      <c r="B225" s="363" t="str">
        <f>TEXT(Tabla1[[#This Row],[Fecha]],"mmmm")</f>
        <v>agosto</v>
      </c>
      <c r="C225" s="364"/>
      <c r="D225" s="366"/>
      <c r="E225" s="366"/>
      <c r="F225" s="366"/>
      <c r="G225" s="377"/>
      <c r="H225" s="377"/>
      <c r="I225" s="378"/>
      <c r="J225" s="378"/>
      <c r="K225" s="366"/>
      <c r="L225" s="366"/>
      <c r="M225" s="365">
        <f>Tabla1[[#This Row],[Columna1]]-Tabla1[[#This Row],[PO '[h']]]</f>
        <v>0</v>
      </c>
      <c r="N225" s="366">
        <f t="shared" si="71"/>
        <v>0</v>
      </c>
      <c r="O225" s="365"/>
      <c r="P225" s="367">
        <f>Tabla1[[#This Row],[G. HGS 
'[MWh']]]</f>
        <v>0</v>
      </c>
      <c r="Q225" s="430">
        <v>0</v>
      </c>
      <c r="R225" s="367">
        <v>0</v>
      </c>
      <c r="S225" s="367">
        <f>Tabla1[[#This Row],[G. HGS 
Con Gas]]*1000</f>
        <v>0</v>
      </c>
      <c r="T225" s="365">
        <f>Tabla1[[#This Row],[G. HGS 
'[MWh']]]*1000</f>
        <v>0</v>
      </c>
      <c r="U225" s="368">
        <f>SUM('G. Un GE'!B225:Y225)</f>
        <v>1318.6859000000002</v>
      </c>
      <c r="V225" s="369">
        <f>Tabla1[[#This Row],[R. GE
'[MWh']]]</f>
        <v>1318.6859000000002</v>
      </c>
      <c r="W225" s="434">
        <v>0</v>
      </c>
      <c r="X225" s="369">
        <v>0</v>
      </c>
      <c r="Y225" s="365">
        <f>Tabla1[[#This Row],[R. GE
'[MWh']]]*1000</f>
        <v>1318685.9000000001</v>
      </c>
      <c r="Z225" s="371"/>
      <c r="AA22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5" s="371">
        <f>IF(Tabla1[[#This Row],[G. HGS 
'[MWh']]]=0,0,Tabla1[[#This Row],[G. HGS 
'[MWh']]]+Tabla1[[#This Row],[Con. Aux. '[MWh']2]])</f>
        <v>0</v>
      </c>
      <c r="AC225" s="368">
        <f>'C. ENER. TN'!F225</f>
        <v>0</v>
      </c>
      <c r="AD225" s="370">
        <f>'C. ENER. TN'!G225</f>
        <v>1318.6859000000002</v>
      </c>
      <c r="AE225" s="370">
        <f>'G. Un GE'!AX225</f>
        <v>184.0792267857143</v>
      </c>
      <c r="AF225" s="368">
        <f>IFERROR('G. Un GE'!AX225/Tabla1[[#This Row],[PO '[h']]],0)</f>
        <v>0</v>
      </c>
      <c r="AG225" s="365">
        <f>'Ar-Pa'!AX225</f>
        <v>1</v>
      </c>
      <c r="AH225" s="365">
        <f>'Ar-Pa'!AY225</f>
        <v>2</v>
      </c>
      <c r="AI225" s="366">
        <f>SUM('Cal. Arr'!AB228:AY228)</f>
        <v>0</v>
      </c>
      <c r="AJ225" s="442"/>
      <c r="AK225" s="443"/>
      <c r="AL225" s="267">
        <f t="shared" si="61"/>
        <v>0</v>
      </c>
      <c r="AM225" s="267">
        <f>+CONVERT(AK225+Tabla1[[#This Row],[Con. DO Storage Gen. '[m3']]],"m^3","gal")</f>
        <v>0</v>
      </c>
      <c r="AN225" s="372">
        <f>SUM('DO Pilot'!B225:Y225)</f>
        <v>5.8000000000000034</v>
      </c>
      <c r="AO225" s="372">
        <f t="shared" si="62"/>
        <v>1532.1979036772618</v>
      </c>
      <c r="AP225" s="267">
        <f>AK225+AN225+Tabla1[[#This Row],[Con. DO Storage Gen. '[m3']]]</f>
        <v>5.8000000000000034</v>
      </c>
      <c r="AQ225" s="372">
        <f t="shared" si="68"/>
        <v>1532.1979036772618</v>
      </c>
      <c r="AR225" s="443"/>
      <c r="AS225" s="443"/>
      <c r="AT225" s="267">
        <f>+CONVERT(SUM(Tabla1[[#This Row],[Repo. DO Storage '[gal']]:[Repo. DO Pilot '[gal']]]),"gal","m3")</f>
        <v>0</v>
      </c>
      <c r="AU225" s="442">
        <v>0</v>
      </c>
      <c r="AV225" s="372">
        <f t="shared" si="72"/>
        <v>0</v>
      </c>
      <c r="AW225" s="442">
        <v>0</v>
      </c>
      <c r="AX225" s="372">
        <f t="shared" si="73"/>
        <v>0</v>
      </c>
      <c r="AY225" s="372">
        <f t="shared" si="64"/>
        <v>0</v>
      </c>
      <c r="AZ225" s="372">
        <f>IFERROR(AL225/'Ar-Pa'!AX225,0)</f>
        <v>0</v>
      </c>
      <c r="BA225" s="372">
        <f>IFERROR(AL225/'Ar-Pa'!AY225,0)</f>
        <v>0</v>
      </c>
      <c r="BB225" s="372">
        <f t="shared" si="65"/>
        <v>0</v>
      </c>
      <c r="BC225" s="372">
        <f>IFERROR(AVERAGEIF('DO Pilot'!AX225:BU225,"&gt;0"),0)</f>
        <v>8.9236690305505491</v>
      </c>
      <c r="BD225" s="446"/>
      <c r="BE225" s="446"/>
      <c r="BF225" s="446"/>
      <c r="BG225" s="223">
        <f>Tabla1[[#This Row],[ Re. Gas GC
 '[m3']]]</f>
        <v>0</v>
      </c>
      <c r="BH225" s="150">
        <f>IFERROR((BG225*Gas!$B$4)/28.31685,0)</f>
        <v>0</v>
      </c>
      <c r="BI225" s="73">
        <f t="shared" si="74"/>
        <v>0</v>
      </c>
      <c r="BJ225" s="74">
        <f t="shared" si="69"/>
        <v>0</v>
      </c>
      <c r="BK225" s="223">
        <f t="shared" si="66"/>
        <v>0</v>
      </c>
      <c r="BL225" s="442">
        <v>8616.2000000000007</v>
      </c>
      <c r="BM225" s="70">
        <f t="shared" si="67"/>
        <v>0</v>
      </c>
      <c r="BN225" s="150">
        <f t="shared" si="70"/>
        <v>0</v>
      </c>
      <c r="BO225" s="373">
        <f>IFERROR(Tabla1[[#This Row],[ Re. Gas GC
 '[m3']]]/Tabla1[[#This Row],[G. HGS 
Con Gas '[kWh']]],0)</f>
        <v>0</v>
      </c>
      <c r="BP225" s="374">
        <f>Tank!Y226</f>
        <v>0</v>
      </c>
      <c r="BQ225" s="70">
        <f>Tank!AP226</f>
        <v>0</v>
      </c>
      <c r="BR225" s="70">
        <f>Tank!V226</f>
        <v>0</v>
      </c>
      <c r="BS225" s="372">
        <f>Tank!T226</f>
        <v>0</v>
      </c>
      <c r="BT225" s="375" t="s">
        <v>228</v>
      </c>
      <c r="BU225" s="452"/>
      <c r="BV225" s="376">
        <f>IF(Tabla1[[#This Row],[Combustible ofertado]]="GAS",Tabla1[[#This Row],[Disponibilidad]],0)</f>
        <v>0</v>
      </c>
      <c r="BW225" s="376">
        <f>IF(Tabla1[[#This Row],[Combustible ofertado]]="DIESEL",Tabla1[[#This Row],[Disponibilidad]],0)</f>
        <v>0</v>
      </c>
      <c r="BX225" s="376">
        <f>IF(Tabla1[[#This Row],[Combustible ofertado]]="HFO",Tabla1[[#This Row],[Disponibilidad]],0)</f>
        <v>0</v>
      </c>
      <c r="BY225" s="452"/>
      <c r="BZ225" s="446">
        <f>'Horo. M'!C226</f>
        <v>24</v>
      </c>
      <c r="CA225" s="446">
        <f>'Horo. M'!E226</f>
        <v>18</v>
      </c>
      <c r="CB225" s="446">
        <f>'Horo. M'!G226</f>
        <v>11</v>
      </c>
      <c r="CC225" s="446">
        <f>'Horo. M'!I226</f>
        <v>16</v>
      </c>
      <c r="CD225" s="446">
        <f>'Horo. M'!K226</f>
        <v>21</v>
      </c>
      <c r="CE225" s="446">
        <f>'Horo. M'!M226</f>
        <v>19</v>
      </c>
      <c r="CF225" s="446">
        <f>'Horo. M'!O226</f>
        <v>23</v>
      </c>
      <c r="CG225" s="446">
        <f>'Horo. M'!Q226</f>
        <v>17</v>
      </c>
      <c r="CH225" s="446">
        <f>'Horo. M'!S226</f>
        <v>24</v>
      </c>
      <c r="CI225" s="446">
        <f>'Horo. M'!U226</f>
        <v>0</v>
      </c>
      <c r="CJ225" s="70">
        <f>Tabla1[[#This Row],[Con. DO Storage '[gal']]]-Tabla1[[#This Row],[C. DO Storage Ge '[gal']]]</f>
        <v>0</v>
      </c>
      <c r="CK225" s="70"/>
      <c r="CL225" s="70"/>
      <c r="CM225" s="372">
        <f>Tabla1[[#This Row],[Con. DO Total '[gal']]]*131485.5/(1000000)</f>
        <v>201.4618074639566</v>
      </c>
    </row>
    <row r="226" spans="1:91" ht="15" customHeight="1">
      <c r="A226" s="362">
        <v>45151</v>
      </c>
      <c r="B226" s="363" t="str">
        <f>TEXT(Tabla1[[#This Row],[Fecha]],"mmmm")</f>
        <v>agosto</v>
      </c>
      <c r="C226" s="364"/>
      <c r="D226" s="366"/>
      <c r="E226" s="366"/>
      <c r="F226" s="366"/>
      <c r="G226" s="377"/>
      <c r="H226" s="377"/>
      <c r="I226" s="378"/>
      <c r="J226" s="378"/>
      <c r="K226" s="366"/>
      <c r="L226" s="366"/>
      <c r="M226" s="365">
        <f>Tabla1[[#This Row],[Columna1]]-Tabla1[[#This Row],[PO '[h']]]</f>
        <v>0</v>
      </c>
      <c r="N226" s="366">
        <f t="shared" si="71"/>
        <v>0</v>
      </c>
      <c r="O226" s="365"/>
      <c r="P226" s="367">
        <f>Tabla1[[#This Row],[G. HGS 
'[MWh']]]</f>
        <v>0</v>
      </c>
      <c r="Q226" s="430">
        <v>0</v>
      </c>
      <c r="R226" s="367">
        <v>0</v>
      </c>
      <c r="S226" s="367">
        <f>Tabla1[[#This Row],[G. HGS 
Con Gas]]*1000</f>
        <v>0</v>
      </c>
      <c r="T226" s="365">
        <f>Tabla1[[#This Row],[G. HGS 
'[MWh']]]*1000</f>
        <v>0</v>
      </c>
      <c r="U226" s="368">
        <f>SUM('G. Un GE'!B226:Y226)</f>
        <v>1284.3541</v>
      </c>
      <c r="V226" s="369">
        <f>Tabla1[[#This Row],[R. GE
'[MWh']]]</f>
        <v>1284.3541</v>
      </c>
      <c r="W226" s="434">
        <v>0</v>
      </c>
      <c r="X226" s="369">
        <v>0</v>
      </c>
      <c r="Y226" s="365">
        <f>Tabla1[[#This Row],[R. GE
'[MWh']]]*1000</f>
        <v>1284354.1000000001</v>
      </c>
      <c r="Z226" s="371"/>
      <c r="AA22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6" s="371">
        <f>IF(Tabla1[[#This Row],[G. HGS 
'[MWh']]]=0,0,Tabla1[[#This Row],[G. HGS 
'[MWh']]]+Tabla1[[#This Row],[Con. Aux. '[MWh']2]])</f>
        <v>0</v>
      </c>
      <c r="AC226" s="368">
        <f>'C. ENER. TN'!F226</f>
        <v>0</v>
      </c>
      <c r="AD226" s="370">
        <f>'C. ENER. TN'!G226</f>
        <v>1284.3541</v>
      </c>
      <c r="AE226" s="370">
        <f>'G. Un GE'!AX226</f>
        <v>183.47915714285713</v>
      </c>
      <c r="AF226" s="368">
        <f>IFERROR('G. Un GE'!AX226/Tabla1[[#This Row],[PO '[h']]],0)</f>
        <v>0</v>
      </c>
      <c r="AG226" s="365">
        <f>'Ar-Pa'!AX226</f>
        <v>0</v>
      </c>
      <c r="AH226" s="365">
        <f>'Ar-Pa'!AY226</f>
        <v>0</v>
      </c>
      <c r="AI226" s="366">
        <f>SUM('Cal. Arr'!AB229:AY229)</f>
        <v>0</v>
      </c>
      <c r="AJ226" s="442"/>
      <c r="AK226" s="443"/>
      <c r="AL226" s="267">
        <f t="shared" si="61"/>
        <v>0</v>
      </c>
      <c r="AM226" s="267">
        <f>+CONVERT(AK226+Tabla1[[#This Row],[Con. DO Storage Gen. '[m3']]],"m^3","gal")</f>
        <v>0</v>
      </c>
      <c r="AN226" s="372">
        <f>SUM('DO Pilot'!B226:Y226)</f>
        <v>5.6000000000000023</v>
      </c>
      <c r="AO226" s="372">
        <f t="shared" si="62"/>
        <v>1479.3634932056318</v>
      </c>
      <c r="AP226" s="267">
        <f>AK226+AN226+Tabla1[[#This Row],[Con. DO Storage Gen. '[m3']]]</f>
        <v>5.6000000000000023</v>
      </c>
      <c r="AQ226" s="372">
        <f t="shared" si="68"/>
        <v>1479.3634932056318</v>
      </c>
      <c r="AR226" s="443"/>
      <c r="AS226" s="443"/>
      <c r="AT226" s="267">
        <f>+CONVERT(SUM(Tabla1[[#This Row],[Repo. DO Storage '[gal']]:[Repo. DO Pilot '[gal']]]),"gal","m3")</f>
        <v>0</v>
      </c>
      <c r="AU226" s="442">
        <v>0</v>
      </c>
      <c r="AV226" s="372">
        <f t="shared" si="72"/>
        <v>0</v>
      </c>
      <c r="AW226" s="442">
        <v>0</v>
      </c>
      <c r="AX226" s="372">
        <f t="shared" si="73"/>
        <v>0</v>
      </c>
      <c r="AY226" s="372">
        <f t="shared" si="64"/>
        <v>0</v>
      </c>
      <c r="AZ226" s="372">
        <f>IFERROR(AL226/'Ar-Pa'!AX226,0)</f>
        <v>0</v>
      </c>
      <c r="BA226" s="372">
        <f>IFERROR(AL226/'Ar-Pa'!AY226,0)</f>
        <v>0</v>
      </c>
      <c r="BB226" s="372">
        <f t="shared" si="65"/>
        <v>0</v>
      </c>
      <c r="BC226" s="372">
        <f>IFERROR(AVERAGEIF('DO Pilot'!AX226:BU226,"&gt;0"),0)</f>
        <v>8.8057350786049451</v>
      </c>
      <c r="BD226" s="446"/>
      <c r="BE226" s="446"/>
      <c r="BF226" s="446"/>
      <c r="BG226" s="223">
        <f>Tabla1[[#This Row],[ Re. Gas GC
 '[m3']]]</f>
        <v>0</v>
      </c>
      <c r="BH226" s="150">
        <f>IFERROR((BG226*Gas!$B$4)/28.31685,0)</f>
        <v>0</v>
      </c>
      <c r="BI226" s="73">
        <f t="shared" si="74"/>
        <v>0</v>
      </c>
      <c r="BJ226" s="74">
        <f t="shared" si="69"/>
        <v>0</v>
      </c>
      <c r="BK226" s="223">
        <f t="shared" si="66"/>
        <v>0</v>
      </c>
      <c r="BL226" s="442">
        <v>8762.57</v>
      </c>
      <c r="BM226" s="70">
        <f t="shared" si="67"/>
        <v>0</v>
      </c>
      <c r="BN226" s="150">
        <f t="shared" si="70"/>
        <v>0</v>
      </c>
      <c r="BO226" s="373">
        <f>IFERROR(Tabla1[[#This Row],[ Re. Gas GC
 '[m3']]]/Tabla1[[#This Row],[G. HGS 
Con Gas '[kWh']]],0)</f>
        <v>0</v>
      </c>
      <c r="BP226" s="374">
        <f>Tank!Y227</f>
        <v>0</v>
      </c>
      <c r="BQ226" s="70">
        <f>Tank!AP227</f>
        <v>0</v>
      </c>
      <c r="BR226" s="70">
        <f>Tank!V227</f>
        <v>0</v>
      </c>
      <c r="BS226" s="372">
        <f>Tank!T227</f>
        <v>0</v>
      </c>
      <c r="BT226" s="375" t="s">
        <v>228</v>
      </c>
      <c r="BU226" s="452"/>
      <c r="BV226" s="376">
        <f>IF(Tabla1[[#This Row],[Combustible ofertado]]="GAS",Tabla1[[#This Row],[Disponibilidad]],0)</f>
        <v>0</v>
      </c>
      <c r="BW226" s="376">
        <f>IF(Tabla1[[#This Row],[Combustible ofertado]]="DIESEL",Tabla1[[#This Row],[Disponibilidad]],0)</f>
        <v>0</v>
      </c>
      <c r="BX226" s="376">
        <f>IF(Tabla1[[#This Row],[Combustible ofertado]]="HFO",Tabla1[[#This Row],[Disponibilidad]],0)</f>
        <v>0</v>
      </c>
      <c r="BY226" s="452"/>
      <c r="BZ226" s="446">
        <f>'Horo. M'!C227</f>
        <v>24</v>
      </c>
      <c r="CA226" s="446">
        <f>'Horo. M'!E227</f>
        <v>24</v>
      </c>
      <c r="CB226" s="446">
        <f>'Horo. M'!G227</f>
        <v>24</v>
      </c>
      <c r="CC226" s="446">
        <f>'Horo. M'!I227</f>
        <v>0</v>
      </c>
      <c r="CD226" s="446">
        <f>'Horo. M'!K227</f>
        <v>24</v>
      </c>
      <c r="CE226" s="446">
        <f>'Horo. M'!M227</f>
        <v>21</v>
      </c>
      <c r="CF226" s="446">
        <f>'Horo. M'!O227</f>
        <v>21</v>
      </c>
      <c r="CG226" s="446">
        <f>'Horo. M'!Q227</f>
        <v>8</v>
      </c>
      <c r="CH226" s="446">
        <f>'Horo. M'!S227</f>
        <v>24</v>
      </c>
      <c r="CI226" s="446">
        <f>'Horo. M'!U227</f>
        <v>0</v>
      </c>
      <c r="CJ226" s="70">
        <f>Tabla1[[#This Row],[Con. DO Storage '[gal']]]-Tabla1[[#This Row],[C. DO Storage Ge '[gal']]]</f>
        <v>0</v>
      </c>
      <c r="CK226" s="70"/>
      <c r="CL226" s="70"/>
      <c r="CM226" s="372">
        <f>Tabla1[[#This Row],[Con. DO Total '[gal']]]*131485.5/(1000000)</f>
        <v>194.5148485858891</v>
      </c>
    </row>
    <row r="227" spans="1:91" ht="15" customHeight="1">
      <c r="A227" s="362">
        <v>45152</v>
      </c>
      <c r="B227" s="363" t="str">
        <f>TEXT(Tabla1[[#This Row],[Fecha]],"mmmm")</f>
        <v>agosto</v>
      </c>
      <c r="C227" s="364"/>
      <c r="D227" s="366"/>
      <c r="E227" s="366"/>
      <c r="F227" s="366"/>
      <c r="G227" s="377"/>
      <c r="H227" s="377"/>
      <c r="I227" s="378"/>
      <c r="J227" s="378"/>
      <c r="K227" s="366"/>
      <c r="L227" s="366"/>
      <c r="M227" s="365">
        <f>Tabla1[[#This Row],[Columna1]]-Tabla1[[#This Row],[PO '[h']]]</f>
        <v>0</v>
      </c>
      <c r="N227" s="366">
        <f t="shared" si="71"/>
        <v>0</v>
      </c>
      <c r="O227" s="365"/>
      <c r="P227" s="367">
        <f>Tabla1[[#This Row],[G. HGS 
'[MWh']]]</f>
        <v>0</v>
      </c>
      <c r="Q227" s="430">
        <v>0</v>
      </c>
      <c r="R227" s="367">
        <v>0</v>
      </c>
      <c r="S227" s="367">
        <f>Tabla1[[#This Row],[G. HGS 
Con Gas]]*1000</f>
        <v>0</v>
      </c>
      <c r="T227" s="365">
        <f>Tabla1[[#This Row],[G. HGS 
'[MWh']]]*1000</f>
        <v>0</v>
      </c>
      <c r="U227" s="368">
        <f>SUM('G. Un GE'!B227:Y227)</f>
        <v>1555.7263</v>
      </c>
      <c r="V227" s="369">
        <f>Tabla1[[#This Row],[R. GE
'[MWh']]]</f>
        <v>1555.7263</v>
      </c>
      <c r="W227" s="434">
        <v>0</v>
      </c>
      <c r="X227" s="369">
        <v>0</v>
      </c>
      <c r="Y227" s="365">
        <f>Tabla1[[#This Row],[R. GE
'[MWh']]]*1000</f>
        <v>1555726.3</v>
      </c>
      <c r="Z227" s="371"/>
      <c r="AA22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7" s="371">
        <f>IF(Tabla1[[#This Row],[G. HGS 
'[MWh']]]=0,0,Tabla1[[#This Row],[G. HGS 
'[MWh']]]+Tabla1[[#This Row],[Con. Aux. '[MWh']2]])</f>
        <v>0</v>
      </c>
      <c r="AC227" s="368">
        <f>'C. ENER. TN'!F227</f>
        <v>0</v>
      </c>
      <c r="AD227" s="370">
        <f>'C. ENER. TN'!G227</f>
        <v>1555.7263000000003</v>
      </c>
      <c r="AE227" s="370">
        <f>'G. Un GE'!AX227</f>
        <v>173.69918472222218</v>
      </c>
      <c r="AF227" s="368">
        <f>IFERROR('G. Un GE'!AX227/Tabla1[[#This Row],[PO '[h']]],0)</f>
        <v>0</v>
      </c>
      <c r="AG227" s="365">
        <f>'Ar-Pa'!AX227</f>
        <v>2</v>
      </c>
      <c r="AH227" s="365">
        <f>'Ar-Pa'!AY227</f>
        <v>0</v>
      </c>
      <c r="AI227" s="366">
        <f>SUM('Cal. Arr'!AB230:AY230)</f>
        <v>0</v>
      </c>
      <c r="AJ227" s="442"/>
      <c r="AK227" s="443"/>
      <c r="AL227" s="267">
        <f t="shared" si="61"/>
        <v>0</v>
      </c>
      <c r="AM227" s="267">
        <f>+CONVERT(AK227+Tabla1[[#This Row],[Con. DO Storage Gen. '[m3']]],"m^3","gal")</f>
        <v>0</v>
      </c>
      <c r="AN227" s="372">
        <f>SUM('DO Pilot'!B227:Y227)</f>
        <v>6.78</v>
      </c>
      <c r="AO227" s="372">
        <f t="shared" si="62"/>
        <v>1791.0865149882463</v>
      </c>
      <c r="AP227" s="267">
        <f>AK227+AN227+Tabla1[[#This Row],[Con. DO Storage Gen. '[m3']]]</f>
        <v>6.78</v>
      </c>
      <c r="AQ227" s="372">
        <f t="shared" si="68"/>
        <v>1791.0865149882463</v>
      </c>
      <c r="AR227" s="443"/>
      <c r="AS227" s="443"/>
      <c r="AT227" s="267">
        <f>+CONVERT(SUM(Tabla1[[#This Row],[Repo. DO Storage '[gal']]:[Repo. DO Pilot '[gal']]]),"gal","m3")</f>
        <v>0</v>
      </c>
      <c r="AU227" s="442">
        <v>0</v>
      </c>
      <c r="AV227" s="372">
        <f t="shared" si="72"/>
        <v>0</v>
      </c>
      <c r="AW227" s="442">
        <v>0</v>
      </c>
      <c r="AX227" s="372">
        <f t="shared" si="73"/>
        <v>0</v>
      </c>
      <c r="AY227" s="372">
        <f t="shared" si="64"/>
        <v>0</v>
      </c>
      <c r="AZ227" s="372">
        <f>IFERROR(AL227/'Ar-Pa'!AX227,0)</f>
        <v>0</v>
      </c>
      <c r="BA227" s="372">
        <f>IFERROR(AL227/'Ar-Pa'!AY227,0)</f>
        <v>0</v>
      </c>
      <c r="BB227" s="372">
        <f t="shared" si="65"/>
        <v>0</v>
      </c>
      <c r="BC227" s="372">
        <f>IFERROR(AVERAGEIF('DO Pilot'!AX227:BU227,"&gt;0"),0)</f>
        <v>8.3333440822006164</v>
      </c>
      <c r="BD227" s="446"/>
      <c r="BE227" s="446"/>
      <c r="BF227" s="446"/>
      <c r="BG227" s="223">
        <f>Tabla1[[#This Row],[ Re. Gas GC
 '[m3']]]</f>
        <v>0</v>
      </c>
      <c r="BH227" s="150">
        <f>IFERROR((BG227*Gas!$B$4)/28.31685,0)</f>
        <v>0</v>
      </c>
      <c r="BI227" s="73">
        <f t="shared" si="74"/>
        <v>0</v>
      </c>
      <c r="BJ227" s="74">
        <f t="shared" si="69"/>
        <v>0</v>
      </c>
      <c r="BK227" s="223">
        <f t="shared" si="66"/>
        <v>0</v>
      </c>
      <c r="BL227" s="442">
        <v>9141.02</v>
      </c>
      <c r="BM227" s="70">
        <f t="shared" si="67"/>
        <v>0</v>
      </c>
      <c r="BN227" s="150">
        <f t="shared" si="70"/>
        <v>0</v>
      </c>
      <c r="BO227" s="373">
        <f>IFERROR(Tabla1[[#This Row],[ Re. Gas GC
 '[m3']]]/Tabla1[[#This Row],[G. HGS 
Con Gas '[kWh']]],0)</f>
        <v>0</v>
      </c>
      <c r="BP227" s="374">
        <f>Tank!Y228</f>
        <v>0</v>
      </c>
      <c r="BQ227" s="70">
        <f>Tank!AP228</f>
        <v>0</v>
      </c>
      <c r="BR227" s="70">
        <f>Tank!V228</f>
        <v>0</v>
      </c>
      <c r="BS227" s="372">
        <f>Tank!T228</f>
        <v>0</v>
      </c>
      <c r="BT227" s="375" t="s">
        <v>228</v>
      </c>
      <c r="BU227" s="452"/>
      <c r="BV227" s="376">
        <f>IF(Tabla1[[#This Row],[Combustible ofertado]]="GAS",Tabla1[[#This Row],[Disponibilidad]],0)</f>
        <v>0</v>
      </c>
      <c r="BW227" s="376">
        <f>IF(Tabla1[[#This Row],[Combustible ofertado]]="DIESEL",Tabla1[[#This Row],[Disponibilidad]],0)</f>
        <v>0</v>
      </c>
      <c r="BX227" s="376">
        <f>IF(Tabla1[[#This Row],[Combustible ofertado]]="HFO",Tabla1[[#This Row],[Disponibilidad]],0)</f>
        <v>0</v>
      </c>
      <c r="BY227" s="452"/>
      <c r="BZ227" s="446">
        <f>'Horo. M'!C228</f>
        <v>24</v>
      </c>
      <c r="CA227" s="446">
        <f>'Horo. M'!E228</f>
        <v>24</v>
      </c>
      <c r="CB227" s="446">
        <f>'Horo. M'!G228</f>
        <v>24</v>
      </c>
      <c r="CC227" s="446">
        <f>'Horo. M'!I228</f>
        <v>23</v>
      </c>
      <c r="CD227" s="446">
        <f>'Horo. M'!K228</f>
        <v>24</v>
      </c>
      <c r="CE227" s="446">
        <f>'Horo. M'!M228</f>
        <v>24</v>
      </c>
      <c r="CF227" s="446">
        <f>'Horo. M'!O228</f>
        <v>24</v>
      </c>
      <c r="CG227" s="446">
        <f>'Horo. M'!Q228</f>
        <v>24</v>
      </c>
      <c r="CH227" s="446">
        <f>'Horo. M'!S228</f>
        <v>24</v>
      </c>
      <c r="CI227" s="446">
        <f>'Horo. M'!U228</f>
        <v>0</v>
      </c>
      <c r="CJ227" s="70">
        <f>Tabla1[[#This Row],[Con. DO Storage '[gal']]]-Tabla1[[#This Row],[C. DO Storage Ge '[gal']]]</f>
        <v>0</v>
      </c>
      <c r="CK227" s="70"/>
      <c r="CL227" s="70"/>
      <c r="CM227" s="372">
        <f>Tabla1[[#This Row],[Con. DO Total '[gal']]]*131485.5/(1000000)</f>
        <v>235.50190596648704</v>
      </c>
    </row>
    <row r="228" spans="1:91" ht="15" customHeight="1">
      <c r="A228" s="362">
        <v>45153</v>
      </c>
      <c r="B228" s="363" t="str">
        <f>TEXT(Tabla1[[#This Row],[Fecha]],"mmmm")</f>
        <v>agosto</v>
      </c>
      <c r="C228" s="364"/>
      <c r="D228" s="366"/>
      <c r="E228" s="366"/>
      <c r="F228" s="366"/>
      <c r="G228" s="377"/>
      <c r="H228" s="377"/>
      <c r="I228" s="378"/>
      <c r="J228" s="378"/>
      <c r="K228" s="366"/>
      <c r="L228" s="366"/>
      <c r="M228" s="365">
        <f>Tabla1[[#This Row],[Columna1]]-Tabla1[[#This Row],[PO '[h']]]</f>
        <v>0</v>
      </c>
      <c r="N228" s="366">
        <f t="shared" si="71"/>
        <v>0</v>
      </c>
      <c r="O228" s="365"/>
      <c r="P228" s="367">
        <f>Tabla1[[#This Row],[G. HGS 
'[MWh']]]</f>
        <v>0</v>
      </c>
      <c r="Q228" s="430">
        <v>0</v>
      </c>
      <c r="R228" s="367">
        <v>0</v>
      </c>
      <c r="S228" s="367">
        <f>Tabla1[[#This Row],[G. HGS 
Con Gas]]*1000</f>
        <v>0</v>
      </c>
      <c r="T228" s="365">
        <f>Tabla1[[#This Row],[G. HGS 
'[MWh']]]*1000</f>
        <v>0</v>
      </c>
      <c r="U228" s="368">
        <f>SUM('G. Un GE'!B228:Y228)</f>
        <v>1483.5577999999998</v>
      </c>
      <c r="V228" s="369">
        <f>Tabla1[[#This Row],[R. GE
'[MWh']]]</f>
        <v>1483.5577999999998</v>
      </c>
      <c r="W228" s="434">
        <v>0</v>
      </c>
      <c r="X228" s="369">
        <v>0</v>
      </c>
      <c r="Y228" s="365">
        <f>Tabla1[[#This Row],[R. GE
'[MWh']]]*1000</f>
        <v>1483557.7999999998</v>
      </c>
      <c r="Z228" s="371"/>
      <c r="AA22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8" s="371">
        <f>IF(Tabla1[[#This Row],[G. HGS 
'[MWh']]]=0,0,Tabla1[[#This Row],[G. HGS 
'[MWh']]]+Tabla1[[#This Row],[Con. Aux. '[MWh']2]])</f>
        <v>0</v>
      </c>
      <c r="AC228" s="368">
        <f>'C. ENER. TN'!F228</f>
        <v>0</v>
      </c>
      <c r="AD228" s="370">
        <f>'C. ENER. TN'!G228</f>
        <v>1483.5577999999996</v>
      </c>
      <c r="AE228" s="370">
        <f>'G. Un GE'!AX228</f>
        <v>166.49769583333335</v>
      </c>
      <c r="AF228" s="368">
        <f>IFERROR('G. Un GE'!AX228/Tabla1[[#This Row],[PO '[h']]],0)</f>
        <v>0</v>
      </c>
      <c r="AG228" s="365">
        <f>'Ar-Pa'!AX228</f>
        <v>1</v>
      </c>
      <c r="AH228" s="365">
        <f>'Ar-Pa'!AY228</f>
        <v>1</v>
      </c>
      <c r="AI228" s="366">
        <f>SUM('Cal. Arr'!AB231:AY231)</f>
        <v>0</v>
      </c>
      <c r="AJ228" s="442"/>
      <c r="AK228" s="443"/>
      <c r="AL228" s="267">
        <f t="shared" si="61"/>
        <v>0</v>
      </c>
      <c r="AM228" s="267">
        <f>+CONVERT(AK228+Tabla1[[#This Row],[Con. DO Storage Gen. '[m3']]],"m^3","gal")</f>
        <v>0</v>
      </c>
      <c r="AN228" s="372">
        <f>SUM('DO Pilot'!B228:Y228)</f>
        <v>6.2699999999999978</v>
      </c>
      <c r="AO228" s="372">
        <f t="shared" si="62"/>
        <v>1656.35876828559</v>
      </c>
      <c r="AP228" s="267">
        <f>AK228+AN228+Tabla1[[#This Row],[Con. DO Storage Gen. '[m3']]]</f>
        <v>6.2699999999999978</v>
      </c>
      <c r="AQ228" s="372">
        <f t="shared" si="68"/>
        <v>1656.35876828559</v>
      </c>
      <c r="AR228" s="443"/>
      <c r="AS228" s="443"/>
      <c r="AT228" s="267">
        <f>+CONVERT(SUM(Tabla1[[#This Row],[Repo. DO Storage '[gal']]:[Repo. DO Pilot '[gal']]]),"gal","m3")</f>
        <v>0</v>
      </c>
      <c r="AU228" s="442">
        <v>0</v>
      </c>
      <c r="AV228" s="372">
        <f t="shared" si="72"/>
        <v>0</v>
      </c>
      <c r="AW228" s="442">
        <v>0</v>
      </c>
      <c r="AX228" s="372">
        <f t="shared" si="73"/>
        <v>0</v>
      </c>
      <c r="AY228" s="372">
        <f t="shared" si="64"/>
        <v>0</v>
      </c>
      <c r="AZ228" s="372">
        <f>IFERROR(AL228/'Ar-Pa'!AX228,0)</f>
        <v>0</v>
      </c>
      <c r="BA228" s="372">
        <f>IFERROR(AL228/'Ar-Pa'!AY228,0)</f>
        <v>0</v>
      </c>
      <c r="BB228" s="372">
        <f t="shared" si="65"/>
        <v>0</v>
      </c>
      <c r="BC228" s="372">
        <f>IFERROR(AVERAGEIF('DO Pilot'!AX228:BU228,"&gt;0"),0)</f>
        <v>7.7447663035091443</v>
      </c>
      <c r="BD228" s="446"/>
      <c r="BE228" s="446"/>
      <c r="BF228" s="446"/>
      <c r="BG228" s="223">
        <f>Tabla1[[#This Row],[ Re. Gas GC
 '[m3']]]</f>
        <v>0</v>
      </c>
      <c r="BH228" s="150">
        <f>IFERROR((BG228*Gas!$B$4)/28.31685,0)</f>
        <v>0</v>
      </c>
      <c r="BI228" s="73">
        <f t="shared" si="74"/>
        <v>0</v>
      </c>
      <c r="BJ228" s="74">
        <f t="shared" si="69"/>
        <v>0</v>
      </c>
      <c r="BK228" s="223">
        <f t="shared" si="66"/>
        <v>0</v>
      </c>
      <c r="BL228" s="442">
        <v>8818.65</v>
      </c>
      <c r="BM228" s="70">
        <f t="shared" si="67"/>
        <v>0</v>
      </c>
      <c r="BN228" s="150">
        <f t="shared" si="70"/>
        <v>0</v>
      </c>
      <c r="BO228" s="373">
        <f>IFERROR(Tabla1[[#This Row],[ Re. Gas GC
 '[m3']]]/Tabla1[[#This Row],[G. HGS 
Con Gas '[kWh']]],0)</f>
        <v>0</v>
      </c>
      <c r="BP228" s="374">
        <f>Tank!Y229</f>
        <v>0</v>
      </c>
      <c r="BQ228" s="70">
        <f>Tank!AP229</f>
        <v>0</v>
      </c>
      <c r="BR228" s="70">
        <f>Tank!V229</f>
        <v>0</v>
      </c>
      <c r="BS228" s="372">
        <f>Tank!T229</f>
        <v>0</v>
      </c>
      <c r="BT228" s="375" t="s">
        <v>228</v>
      </c>
      <c r="BU228" s="452"/>
      <c r="BV228" s="376">
        <f>IF(Tabla1[[#This Row],[Combustible ofertado]]="GAS",Tabla1[[#This Row],[Disponibilidad]],0)</f>
        <v>0</v>
      </c>
      <c r="BW228" s="376">
        <f>IF(Tabla1[[#This Row],[Combustible ofertado]]="DIESEL",Tabla1[[#This Row],[Disponibilidad]],0)</f>
        <v>0</v>
      </c>
      <c r="BX228" s="376">
        <f>IF(Tabla1[[#This Row],[Combustible ofertado]]="HFO",Tabla1[[#This Row],[Disponibilidad]],0)</f>
        <v>0</v>
      </c>
      <c r="BY228" s="452"/>
      <c r="BZ228" s="446">
        <f>'Horo. M'!C229</f>
        <v>24</v>
      </c>
      <c r="CA228" s="446">
        <f>'Horo. M'!E229</f>
        <v>24</v>
      </c>
      <c r="CB228" s="446">
        <f>'Horo. M'!G229</f>
        <v>23</v>
      </c>
      <c r="CC228" s="446">
        <f>'Horo. M'!I229</f>
        <v>24</v>
      </c>
      <c r="CD228" s="446">
        <f>'Horo. M'!K229</f>
        <v>24</v>
      </c>
      <c r="CE228" s="446">
        <f>'Horo. M'!M229</f>
        <v>24</v>
      </c>
      <c r="CF228" s="446">
        <f>'Horo. M'!O229</f>
        <v>24</v>
      </c>
      <c r="CG228" s="446">
        <f>'Horo. M'!Q229</f>
        <v>22</v>
      </c>
      <c r="CH228" s="446">
        <f>'Horo. M'!S229</f>
        <v>24</v>
      </c>
      <c r="CI228" s="446">
        <f>'Horo. M'!U229</f>
        <v>0</v>
      </c>
      <c r="CJ228" s="70">
        <f>Tabla1[[#This Row],[Con. DO Storage '[gal']]]-Tabla1[[#This Row],[C. DO Storage Ge '[gal']]]</f>
        <v>0</v>
      </c>
      <c r="CK228" s="70"/>
      <c r="CL228" s="70"/>
      <c r="CM228" s="372">
        <f>Tabla1[[#This Row],[Con. DO Total '[gal']]]*131485.5/(1000000)</f>
        <v>217.78716082741497</v>
      </c>
    </row>
    <row r="229" spans="1:91" ht="15" customHeight="1">
      <c r="A229" s="362">
        <v>45154</v>
      </c>
      <c r="B229" s="363" t="str">
        <f>TEXT(Tabla1[[#This Row],[Fecha]],"mmmm")</f>
        <v>agosto</v>
      </c>
      <c r="C229" s="364"/>
      <c r="D229" s="366"/>
      <c r="E229" s="366"/>
      <c r="F229" s="366"/>
      <c r="G229" s="377"/>
      <c r="H229" s="377"/>
      <c r="I229" s="378"/>
      <c r="J229" s="378"/>
      <c r="K229" s="366"/>
      <c r="L229" s="366"/>
      <c r="M229" s="365">
        <f>Tabla1[[#This Row],[Columna1]]-Tabla1[[#This Row],[PO '[h']]]</f>
        <v>0</v>
      </c>
      <c r="N229" s="366">
        <f t="shared" si="71"/>
        <v>0</v>
      </c>
      <c r="O229" s="365"/>
      <c r="P229" s="367">
        <f>Tabla1[[#This Row],[G. HGS 
'[MWh']]]</f>
        <v>0</v>
      </c>
      <c r="Q229" s="430">
        <v>0</v>
      </c>
      <c r="R229" s="367">
        <v>0</v>
      </c>
      <c r="S229" s="367">
        <f>Tabla1[[#This Row],[G. HGS 
Con Gas]]*1000</f>
        <v>0</v>
      </c>
      <c r="T229" s="365">
        <f>Tabla1[[#This Row],[G. HGS 
'[MWh']]]*1000</f>
        <v>0</v>
      </c>
      <c r="U229" s="368">
        <f>SUM('G. Un GE'!B229:Y229)</f>
        <v>1239.1189000000002</v>
      </c>
      <c r="V229" s="369">
        <f>Tabla1[[#This Row],[R. GE
'[MWh']]]</f>
        <v>1239.1189000000002</v>
      </c>
      <c r="W229" s="434">
        <v>0</v>
      </c>
      <c r="X229" s="369">
        <v>0</v>
      </c>
      <c r="Y229" s="365">
        <f>Tabla1[[#This Row],[R. GE
'[MWh']]]*1000</f>
        <v>1239118.9000000001</v>
      </c>
      <c r="Z229" s="371"/>
      <c r="AA22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29" s="371">
        <f>IF(Tabla1[[#This Row],[G. HGS 
'[MWh']]]=0,0,Tabla1[[#This Row],[G. HGS 
'[MWh']]]+Tabla1[[#This Row],[Con. Aux. '[MWh']2]])</f>
        <v>0</v>
      </c>
      <c r="AC229" s="368">
        <f>'C. ENER. TN'!F229</f>
        <v>0</v>
      </c>
      <c r="AD229" s="370">
        <f>'C. ENER. TN'!G229</f>
        <v>1239.1189000000002</v>
      </c>
      <c r="AE229" s="370">
        <f>'G. Un GE'!AX229</f>
        <v>154.88986250000002</v>
      </c>
      <c r="AF229" s="368">
        <f>IFERROR('G. Un GE'!AX229/Tabla1[[#This Row],[PO '[h']]],0)</f>
        <v>0</v>
      </c>
      <c r="AG229" s="365">
        <f>'Ar-Pa'!AX229</f>
        <v>0</v>
      </c>
      <c r="AH229" s="365">
        <f>'Ar-Pa'!AY229</f>
        <v>1</v>
      </c>
      <c r="AI229" s="366">
        <f>SUM('Cal. Arr'!AB232:AY232)</f>
        <v>0</v>
      </c>
      <c r="AJ229" s="442"/>
      <c r="AK229" s="443"/>
      <c r="AL229" s="267">
        <f t="shared" si="61"/>
        <v>0</v>
      </c>
      <c r="AM229" s="267">
        <f>+CONVERT(AK229+Tabla1[[#This Row],[Con. DO Storage Gen. '[m3']]],"m^3","gal")</f>
        <v>0</v>
      </c>
      <c r="AN229" s="372">
        <f>SUM('DO Pilot'!B229:Y229)</f>
        <v>5.8500000000000014</v>
      </c>
      <c r="AO229" s="372">
        <f t="shared" si="62"/>
        <v>1545.4065062951688</v>
      </c>
      <c r="AP229" s="267">
        <f>AK229+AN229+Tabla1[[#This Row],[Con. DO Storage Gen. '[m3']]]</f>
        <v>5.8500000000000014</v>
      </c>
      <c r="AQ229" s="372">
        <f t="shared" si="68"/>
        <v>1545.4065062951688</v>
      </c>
      <c r="AR229" s="443"/>
      <c r="AS229" s="443"/>
      <c r="AT229" s="267">
        <f>+CONVERT(SUM(Tabla1[[#This Row],[Repo. DO Storage '[gal']]:[Repo. DO Pilot '[gal']]]),"gal","m3")</f>
        <v>0</v>
      </c>
      <c r="AU229" s="442">
        <v>0</v>
      </c>
      <c r="AV229" s="372">
        <f t="shared" si="72"/>
        <v>0</v>
      </c>
      <c r="AW229" s="442">
        <v>0</v>
      </c>
      <c r="AX229" s="372">
        <f t="shared" si="73"/>
        <v>0</v>
      </c>
      <c r="AY229" s="372">
        <f t="shared" si="64"/>
        <v>0</v>
      </c>
      <c r="AZ229" s="372">
        <f>IFERROR(AL229/'Ar-Pa'!AX229,0)</f>
        <v>0</v>
      </c>
      <c r="BA229" s="372">
        <f>IFERROR(AL229/'Ar-Pa'!AY229,0)</f>
        <v>0</v>
      </c>
      <c r="BB229" s="372">
        <f t="shared" si="65"/>
        <v>0</v>
      </c>
      <c r="BC229" s="372">
        <f>IFERROR(AVERAGEIF('DO Pilot'!AX229:BU229,"&gt;0"),0)</f>
        <v>8.0489922202873334</v>
      </c>
      <c r="BD229" s="446"/>
      <c r="BE229" s="446"/>
      <c r="BF229" s="446"/>
      <c r="BG229" s="223">
        <f>Tabla1[[#This Row],[ Re. Gas GC
 '[m3']]]</f>
        <v>0</v>
      </c>
      <c r="BH229" s="150">
        <f>IFERROR((BG229*Gas!$B$4)/28.31685,0)</f>
        <v>0</v>
      </c>
      <c r="BI229" s="73">
        <f t="shared" si="74"/>
        <v>0</v>
      </c>
      <c r="BJ229" s="74">
        <f t="shared" si="69"/>
        <v>0</v>
      </c>
      <c r="BK229" s="223">
        <f t="shared" si="66"/>
        <v>0</v>
      </c>
      <c r="BL229" s="442">
        <v>8973.94</v>
      </c>
      <c r="BM229" s="70">
        <f t="shared" si="67"/>
        <v>0</v>
      </c>
      <c r="BN229" s="150">
        <f t="shared" si="70"/>
        <v>0</v>
      </c>
      <c r="BO229" s="373">
        <f>IFERROR(Tabla1[[#This Row],[ Re. Gas GC
 '[m3']]]/Tabla1[[#This Row],[G. HGS 
Con Gas '[kWh']]],0)</f>
        <v>0</v>
      </c>
      <c r="BP229" s="374">
        <f>Tank!Y230</f>
        <v>0</v>
      </c>
      <c r="BQ229" s="70">
        <f>Tank!AP230</f>
        <v>0</v>
      </c>
      <c r="BR229" s="70">
        <f>Tank!V230</f>
        <v>0</v>
      </c>
      <c r="BS229" s="372">
        <f>Tank!T230</f>
        <v>0</v>
      </c>
      <c r="BT229" s="375" t="s">
        <v>228</v>
      </c>
      <c r="BU229" s="452"/>
      <c r="BV229" s="376">
        <f>IF(Tabla1[[#This Row],[Combustible ofertado]]="GAS",Tabla1[[#This Row],[Disponibilidad]],0)</f>
        <v>0</v>
      </c>
      <c r="BW229" s="376">
        <f>IF(Tabla1[[#This Row],[Combustible ofertado]]="DIESEL",Tabla1[[#This Row],[Disponibilidad]],0)</f>
        <v>0</v>
      </c>
      <c r="BX229" s="376">
        <f>IF(Tabla1[[#This Row],[Combustible ofertado]]="HFO",Tabla1[[#This Row],[Disponibilidad]],0)</f>
        <v>0</v>
      </c>
      <c r="BY229" s="452"/>
      <c r="BZ229" s="446">
        <f>'Horo. M'!C230</f>
        <v>24</v>
      </c>
      <c r="CA229" s="446">
        <f>'Horo. M'!E230</f>
        <v>24</v>
      </c>
      <c r="CB229" s="446">
        <f>'Horo. M'!G230</f>
        <v>24</v>
      </c>
      <c r="CC229" s="446">
        <f>'Horo. M'!I230</f>
        <v>24</v>
      </c>
      <c r="CD229" s="446">
        <f>'Horo. M'!K230</f>
        <v>24</v>
      </c>
      <c r="CE229" s="446">
        <f>'Horo. M'!M230</f>
        <v>0</v>
      </c>
      <c r="CF229" s="446">
        <f>'Horo. M'!O230</f>
        <v>24</v>
      </c>
      <c r="CG229" s="446">
        <f>'Horo. M'!Q230</f>
        <v>24</v>
      </c>
      <c r="CH229" s="446">
        <f>'Horo. M'!S230</f>
        <v>24</v>
      </c>
      <c r="CI229" s="446">
        <f>'Horo. M'!U230</f>
        <v>0</v>
      </c>
      <c r="CJ229" s="70">
        <f>Tabla1[[#This Row],[Con. DO Storage '[gal']]]-Tabla1[[#This Row],[C. DO Storage Ge '[gal']]]</f>
        <v>0</v>
      </c>
      <c r="CK229" s="70"/>
      <c r="CL229" s="70"/>
      <c r="CM229" s="372">
        <f>Tabla1[[#This Row],[Con. DO Total '[gal']]]*131485.5/(1000000)</f>
        <v>203.19854718347341</v>
      </c>
    </row>
    <row r="230" spans="1:91" ht="15" customHeight="1">
      <c r="A230" s="362">
        <v>45155</v>
      </c>
      <c r="B230" s="363" t="str">
        <f>TEXT(Tabla1[[#This Row],[Fecha]],"mmmm")</f>
        <v>agosto</v>
      </c>
      <c r="C230" s="364"/>
      <c r="D230" s="366"/>
      <c r="E230" s="366"/>
      <c r="F230" s="366"/>
      <c r="G230" s="377"/>
      <c r="H230" s="377"/>
      <c r="I230" s="378"/>
      <c r="J230" s="378"/>
      <c r="K230" s="366"/>
      <c r="L230" s="366"/>
      <c r="M230" s="365">
        <f>Tabla1[[#This Row],[Columna1]]-Tabla1[[#This Row],[PO '[h']]]</f>
        <v>0</v>
      </c>
      <c r="N230" s="366">
        <f t="shared" si="71"/>
        <v>0</v>
      </c>
      <c r="O230" s="365"/>
      <c r="P230" s="367">
        <f>Tabla1[[#This Row],[G. HGS 
'[MWh']]]</f>
        <v>0</v>
      </c>
      <c r="Q230" s="430">
        <v>0</v>
      </c>
      <c r="R230" s="367">
        <v>0</v>
      </c>
      <c r="S230" s="367">
        <f>Tabla1[[#This Row],[G. HGS 
Con Gas]]*1000</f>
        <v>0</v>
      </c>
      <c r="T230" s="365">
        <f>Tabla1[[#This Row],[G. HGS 
'[MWh']]]*1000</f>
        <v>0</v>
      </c>
      <c r="U230" s="368">
        <f>SUM('G. Un GE'!B230:Y230)</f>
        <v>1259.7040000000002</v>
      </c>
      <c r="V230" s="369">
        <f>Tabla1[[#This Row],[R. GE
'[MWh']]]</f>
        <v>1259.7040000000002</v>
      </c>
      <c r="W230" s="434">
        <v>0</v>
      </c>
      <c r="X230" s="369">
        <v>0</v>
      </c>
      <c r="Y230" s="365">
        <f>Tabla1[[#This Row],[R. GE
'[MWh']]]*1000</f>
        <v>1259704.0000000002</v>
      </c>
      <c r="Z230" s="371"/>
      <c r="AA23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0" s="371">
        <f>IF(Tabla1[[#This Row],[G. HGS 
'[MWh']]]=0,0,Tabla1[[#This Row],[G. HGS 
'[MWh']]]+Tabla1[[#This Row],[Con. Aux. '[MWh']2]])</f>
        <v>0</v>
      </c>
      <c r="AC230" s="368">
        <f>'C. ENER. TN'!F230</f>
        <v>0</v>
      </c>
      <c r="AD230" s="370">
        <f>'C. ENER. TN'!G230</f>
        <v>1259.704</v>
      </c>
      <c r="AE230" s="370">
        <f>'G. Un GE'!AX230</f>
        <v>161.84925000000001</v>
      </c>
      <c r="AF230" s="368">
        <f>IFERROR('G. Un GE'!AX230/Tabla1[[#This Row],[PO '[h']]],0)</f>
        <v>0</v>
      </c>
      <c r="AG230" s="365">
        <f>'Ar-Pa'!AX230</f>
        <v>2</v>
      </c>
      <c r="AH230" s="365">
        <f>'Ar-Pa'!AY230</f>
        <v>2</v>
      </c>
      <c r="AI230" s="366">
        <f>SUM('Cal. Arr'!AB233:AY233)</f>
        <v>0</v>
      </c>
      <c r="AJ230" s="442"/>
      <c r="AK230" s="443"/>
      <c r="AL230" s="267">
        <f t="shared" si="61"/>
        <v>0</v>
      </c>
      <c r="AM230" s="267">
        <f>+CONVERT(AK230+Tabla1[[#This Row],[Con. DO Storage Gen. '[m3']]],"m^3","gal")</f>
        <v>0</v>
      </c>
      <c r="AN230" s="372">
        <f>SUM('DO Pilot'!B230:Y230)</f>
        <v>5.7100000000000017</v>
      </c>
      <c r="AO230" s="372">
        <f t="shared" si="62"/>
        <v>1508.4224189650279</v>
      </c>
      <c r="AP230" s="267">
        <f>AK230+AN230+Tabla1[[#This Row],[Con. DO Storage Gen. '[m3']]]</f>
        <v>5.7100000000000017</v>
      </c>
      <c r="AQ230" s="372">
        <f t="shared" si="68"/>
        <v>1508.4224189650279</v>
      </c>
      <c r="AR230" s="443"/>
      <c r="AS230" s="443"/>
      <c r="AT230" s="267">
        <f>+CONVERT(SUM(Tabla1[[#This Row],[Repo. DO Storage '[gal']]:[Repo. DO Pilot '[gal']]]),"gal","m3")</f>
        <v>0</v>
      </c>
      <c r="AU230" s="442">
        <v>0</v>
      </c>
      <c r="AV230" s="372">
        <f t="shared" si="72"/>
        <v>0</v>
      </c>
      <c r="AW230" s="442">
        <v>0</v>
      </c>
      <c r="AX230" s="372">
        <f t="shared" si="73"/>
        <v>0</v>
      </c>
      <c r="AY230" s="372">
        <f t="shared" si="64"/>
        <v>0</v>
      </c>
      <c r="AZ230" s="372">
        <f>IFERROR(AL230/'Ar-Pa'!AX230,0)</f>
        <v>0</v>
      </c>
      <c r="BA230" s="372">
        <f>IFERROR(AL230/'Ar-Pa'!AY230,0)</f>
        <v>0</v>
      </c>
      <c r="BB230" s="372">
        <f t="shared" si="65"/>
        <v>0</v>
      </c>
      <c r="BC230" s="372">
        <f>IFERROR(AVERAGEIF('DO Pilot'!AX230:BU230,"&gt;0"),0)</f>
        <v>8.0719238220545346</v>
      </c>
      <c r="BD230" s="446"/>
      <c r="BE230" s="446"/>
      <c r="BF230" s="446"/>
      <c r="BG230" s="223">
        <f>Tabla1[[#This Row],[ Re. Gas GC
 '[m3']]]</f>
        <v>0</v>
      </c>
      <c r="BH230" s="150">
        <f>IFERROR((BG230*Gas!$B$4)/28.31685,0)</f>
        <v>0</v>
      </c>
      <c r="BI230" s="73">
        <f t="shared" si="74"/>
        <v>0</v>
      </c>
      <c r="BJ230" s="74">
        <f t="shared" si="69"/>
        <v>0</v>
      </c>
      <c r="BK230" s="223">
        <f t="shared" si="66"/>
        <v>0</v>
      </c>
      <c r="BL230" s="442">
        <v>9347.31</v>
      </c>
      <c r="BM230" s="70">
        <f t="shared" si="67"/>
        <v>0</v>
      </c>
      <c r="BN230" s="150">
        <f t="shared" si="70"/>
        <v>0</v>
      </c>
      <c r="BO230" s="373">
        <f>IFERROR(Tabla1[[#This Row],[ Re. Gas GC
 '[m3']]]/Tabla1[[#This Row],[G. HGS 
Con Gas '[kWh']]],0)</f>
        <v>0</v>
      </c>
      <c r="BP230" s="374">
        <f>Tank!Y231</f>
        <v>0</v>
      </c>
      <c r="BQ230" s="70">
        <f>Tank!AP231</f>
        <v>0</v>
      </c>
      <c r="BR230" s="70">
        <f>Tank!V231</f>
        <v>0</v>
      </c>
      <c r="BS230" s="372">
        <f>Tank!T231</f>
        <v>0</v>
      </c>
      <c r="BT230" s="375" t="s">
        <v>228</v>
      </c>
      <c r="BU230" s="452"/>
      <c r="BV230" s="376">
        <f>IF(Tabla1[[#This Row],[Combustible ofertado]]="GAS",Tabla1[[#This Row],[Disponibilidad]],0)</f>
        <v>0</v>
      </c>
      <c r="BW230" s="376">
        <f>IF(Tabla1[[#This Row],[Combustible ofertado]]="DIESEL",Tabla1[[#This Row],[Disponibilidad]],0)</f>
        <v>0</v>
      </c>
      <c r="BX230" s="376">
        <f>IF(Tabla1[[#This Row],[Combustible ofertado]]="HFO",Tabla1[[#This Row],[Disponibilidad]],0)</f>
        <v>0</v>
      </c>
      <c r="BY230" s="452"/>
      <c r="BZ230" s="446">
        <f>'Horo. M'!C231</f>
        <v>24</v>
      </c>
      <c r="CA230" s="446">
        <f>'Horo. M'!E231</f>
        <v>24</v>
      </c>
      <c r="CB230" s="446">
        <f>'Horo. M'!G231</f>
        <v>24</v>
      </c>
      <c r="CC230" s="446">
        <f>'Horo. M'!I231</f>
        <v>23</v>
      </c>
      <c r="CD230" s="446">
        <f>'Horo. M'!K231</f>
        <v>24</v>
      </c>
      <c r="CE230" s="446">
        <f>'Horo. M'!M231</f>
        <v>24</v>
      </c>
      <c r="CF230" s="446">
        <f>'Horo. M'!O231</f>
        <v>24</v>
      </c>
      <c r="CG230" s="446">
        <f>'Horo. M'!Q231</f>
        <v>22</v>
      </c>
      <c r="CH230" s="446">
        <f>'Horo. M'!S231</f>
        <v>0</v>
      </c>
      <c r="CI230" s="446">
        <f>'Horo. M'!U231</f>
        <v>0</v>
      </c>
      <c r="CJ230" s="70">
        <f>Tabla1[[#This Row],[Con. DO Storage '[gal']]]-Tabla1[[#This Row],[C. DO Storage Ge '[gal']]]</f>
        <v>0</v>
      </c>
      <c r="CK230" s="70"/>
      <c r="CL230" s="70"/>
      <c r="CM230" s="372">
        <f>Tabla1[[#This Row],[Con. DO Total '[gal']]]*131485.5/(1000000)</f>
        <v>198.33567596882617</v>
      </c>
    </row>
    <row r="231" spans="1:91" ht="15" customHeight="1">
      <c r="A231" s="362">
        <v>45156</v>
      </c>
      <c r="B231" s="363" t="str">
        <f>TEXT(Tabla1[[#This Row],[Fecha]],"mmmm")</f>
        <v>agosto</v>
      </c>
      <c r="C231" s="364"/>
      <c r="D231" s="366"/>
      <c r="E231" s="366"/>
      <c r="F231" s="366"/>
      <c r="G231" s="377"/>
      <c r="H231" s="377"/>
      <c r="I231" s="378"/>
      <c r="J231" s="378"/>
      <c r="K231" s="366"/>
      <c r="L231" s="366"/>
      <c r="M231" s="365">
        <f>Tabla1[[#This Row],[Columna1]]-Tabla1[[#This Row],[PO '[h']]]</f>
        <v>0</v>
      </c>
      <c r="N231" s="366">
        <f t="shared" si="71"/>
        <v>0</v>
      </c>
      <c r="O231" s="365"/>
      <c r="P231" s="367">
        <f>Tabla1[[#This Row],[G. HGS 
'[MWh']]]</f>
        <v>0</v>
      </c>
      <c r="Q231" s="430">
        <v>0</v>
      </c>
      <c r="R231" s="367">
        <v>0</v>
      </c>
      <c r="S231" s="367">
        <f>Tabla1[[#This Row],[G. HGS 
Con Gas]]*1000</f>
        <v>0</v>
      </c>
      <c r="T231" s="365">
        <f>Tabla1[[#This Row],[G. HGS 
'[MWh']]]*1000</f>
        <v>0</v>
      </c>
      <c r="U231" s="368">
        <f>SUM('G. Un GE'!B231:Y231)</f>
        <v>1242.9563000000003</v>
      </c>
      <c r="V231" s="369">
        <f>Tabla1[[#This Row],[R. GE
'[MWh']]]</f>
        <v>1242.9563000000003</v>
      </c>
      <c r="W231" s="434">
        <v>0</v>
      </c>
      <c r="X231" s="369">
        <v>0</v>
      </c>
      <c r="Y231" s="365">
        <f>Tabla1[[#This Row],[R. GE
'[MWh']]]*1000</f>
        <v>1242956.3000000003</v>
      </c>
      <c r="Z231" s="371"/>
      <c r="AA23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1" s="371">
        <f>IF(Tabla1[[#This Row],[G. HGS 
'[MWh']]]=0,0,Tabla1[[#This Row],[G. HGS 
'[MWh']]]+Tabla1[[#This Row],[Con. Aux. '[MWh']2]])</f>
        <v>0</v>
      </c>
      <c r="AC231" s="368">
        <f>'C. ENER. TN'!F231</f>
        <v>0</v>
      </c>
      <c r="AD231" s="370">
        <f>'C. ENER. TN'!G231</f>
        <v>1242.9563000000001</v>
      </c>
      <c r="AE231" s="370">
        <f>'G. Un GE'!AX231</f>
        <v>158.10621250000003</v>
      </c>
      <c r="AF231" s="368">
        <f>IFERROR('G. Un GE'!AX231/Tabla1[[#This Row],[PO '[h']]],0)</f>
        <v>0</v>
      </c>
      <c r="AG231" s="365">
        <f>'Ar-Pa'!AX231</f>
        <v>2</v>
      </c>
      <c r="AH231" s="365">
        <f>'Ar-Pa'!AY231</f>
        <v>2</v>
      </c>
      <c r="AI231" s="366">
        <f>SUM('Cal. Arr'!AB234:AY234)</f>
        <v>0</v>
      </c>
      <c r="AJ231" s="442"/>
      <c r="AK231" s="443"/>
      <c r="AL231" s="267">
        <f t="shared" si="61"/>
        <v>0</v>
      </c>
      <c r="AM231" s="267">
        <f>+CONVERT(AK231+Tabla1[[#This Row],[Con. DO Storage Gen. '[m3']]],"m^3","gal")</f>
        <v>0</v>
      </c>
      <c r="AN231" s="372">
        <f>SUM('DO Pilot'!B231:Y231)</f>
        <v>5.3800000000000026</v>
      </c>
      <c r="AO231" s="372">
        <f t="shared" si="62"/>
        <v>1421.2456416868392</v>
      </c>
      <c r="AP231" s="267">
        <f>AK231+AN231+Tabla1[[#This Row],[Con. DO Storage Gen. '[m3']]]</f>
        <v>5.3800000000000026</v>
      </c>
      <c r="AQ231" s="372">
        <f t="shared" si="68"/>
        <v>1421.2456416868392</v>
      </c>
      <c r="AR231" s="443"/>
      <c r="AS231" s="443"/>
      <c r="AT231" s="267">
        <f>+CONVERT(SUM(Tabla1[[#This Row],[Repo. DO Storage '[gal']]:[Repo. DO Pilot '[gal']]]),"gal","m3")</f>
        <v>0</v>
      </c>
      <c r="AU231" s="442">
        <v>0</v>
      </c>
      <c r="AV231" s="372">
        <f t="shared" si="72"/>
        <v>0</v>
      </c>
      <c r="AW231" s="442">
        <v>0</v>
      </c>
      <c r="AX231" s="372">
        <f t="shared" si="73"/>
        <v>0</v>
      </c>
      <c r="AY231" s="372">
        <f t="shared" si="64"/>
        <v>0</v>
      </c>
      <c r="AZ231" s="372">
        <f>IFERROR(AL231/'Ar-Pa'!AX231,0)</f>
        <v>0</v>
      </c>
      <c r="BA231" s="372">
        <f>IFERROR(AL231/'Ar-Pa'!AY231,0)</f>
        <v>0</v>
      </c>
      <c r="BB231" s="372">
        <f t="shared" si="65"/>
        <v>0</v>
      </c>
      <c r="BC231" s="372">
        <f>IFERROR(AVERAGEIF('DO Pilot'!AX231:BU231,"&gt;0"),0)</f>
        <v>7.5320483975924466</v>
      </c>
      <c r="BD231" s="446"/>
      <c r="BE231" s="446"/>
      <c r="BF231" s="446"/>
      <c r="BG231" s="223">
        <f>Tabla1[[#This Row],[ Re. Gas GC
 '[m3']]]</f>
        <v>0</v>
      </c>
      <c r="BH231" s="150">
        <f>IFERROR((BG231*Gas!$B$4)/28.31685,0)</f>
        <v>0</v>
      </c>
      <c r="BI231" s="73">
        <f t="shared" si="74"/>
        <v>0</v>
      </c>
      <c r="BJ231" s="74">
        <f t="shared" si="69"/>
        <v>0</v>
      </c>
      <c r="BK231" s="223">
        <f t="shared" si="66"/>
        <v>0</v>
      </c>
      <c r="BL231" s="442">
        <v>9236.09</v>
      </c>
      <c r="BM231" s="70">
        <f t="shared" si="67"/>
        <v>0</v>
      </c>
      <c r="BN231" s="150">
        <f t="shared" si="70"/>
        <v>0</v>
      </c>
      <c r="BO231" s="373">
        <f>IFERROR(Tabla1[[#This Row],[ Re. Gas GC
 '[m3']]]/Tabla1[[#This Row],[G. HGS 
Con Gas '[kWh']]],0)</f>
        <v>0</v>
      </c>
      <c r="BP231" s="374">
        <f>Tank!Y232</f>
        <v>0</v>
      </c>
      <c r="BQ231" s="70">
        <f>Tank!AP232</f>
        <v>0</v>
      </c>
      <c r="BR231" s="70">
        <f>Tank!V232</f>
        <v>0</v>
      </c>
      <c r="BS231" s="372">
        <f>Tank!T232</f>
        <v>0</v>
      </c>
      <c r="BT231" s="375" t="s">
        <v>228</v>
      </c>
      <c r="BU231" s="452"/>
      <c r="BV231" s="376">
        <f>IF(Tabla1[[#This Row],[Combustible ofertado]]="GAS",Tabla1[[#This Row],[Disponibilidad]],0)</f>
        <v>0</v>
      </c>
      <c r="BW231" s="376">
        <f>IF(Tabla1[[#This Row],[Combustible ofertado]]="DIESEL",Tabla1[[#This Row],[Disponibilidad]],0)</f>
        <v>0</v>
      </c>
      <c r="BX231" s="376">
        <f>IF(Tabla1[[#This Row],[Combustible ofertado]]="HFO",Tabla1[[#This Row],[Disponibilidad]],0)</f>
        <v>0</v>
      </c>
      <c r="BY231" s="452"/>
      <c r="BZ231" s="446">
        <f>'Horo. M'!C232</f>
        <v>0</v>
      </c>
      <c r="CA231" s="446">
        <f>'Horo. M'!E232</f>
        <v>24</v>
      </c>
      <c r="CB231" s="446">
        <f>'Horo. M'!G232</f>
        <v>24</v>
      </c>
      <c r="CC231" s="446">
        <f>'Horo. M'!I232</f>
        <v>24</v>
      </c>
      <c r="CD231" s="446">
        <f>'Horo. M'!K232</f>
        <v>24</v>
      </c>
      <c r="CE231" s="446">
        <f>'Horo. M'!M232</f>
        <v>24</v>
      </c>
      <c r="CF231" s="446">
        <f>'Horo. M'!O232</f>
        <v>24</v>
      </c>
      <c r="CG231" s="446">
        <f>'Horo. M'!Q232</f>
        <v>22</v>
      </c>
      <c r="CH231" s="446">
        <f>'Horo. M'!S232</f>
        <v>24</v>
      </c>
      <c r="CI231" s="446">
        <f>'Horo. M'!U232</f>
        <v>0</v>
      </c>
      <c r="CJ231" s="70">
        <f>Tabla1[[#This Row],[Con. DO Storage '[gal']]]-Tabla1[[#This Row],[C. DO Storage Ge '[gal']]]</f>
        <v>0</v>
      </c>
      <c r="CK231" s="70"/>
      <c r="CL231" s="70"/>
      <c r="CM231" s="372">
        <f>Tabla1[[#This Row],[Con. DO Total '[gal']]]*131485.5/(1000000)</f>
        <v>186.8731938200149</v>
      </c>
    </row>
    <row r="232" spans="1:91" ht="15" customHeight="1">
      <c r="A232" s="362">
        <v>45157</v>
      </c>
      <c r="B232" s="363" t="str">
        <f>TEXT(Tabla1[[#This Row],[Fecha]],"mmmm")</f>
        <v>agosto</v>
      </c>
      <c r="C232" s="364"/>
      <c r="D232" s="366"/>
      <c r="E232" s="366"/>
      <c r="F232" s="366"/>
      <c r="G232" s="377"/>
      <c r="H232" s="377"/>
      <c r="I232" s="378"/>
      <c r="J232" s="378"/>
      <c r="K232" s="366"/>
      <c r="L232" s="366"/>
      <c r="M232" s="365">
        <f>Tabla1[[#This Row],[Columna1]]-Tabla1[[#This Row],[PO '[h']]]</f>
        <v>0</v>
      </c>
      <c r="N232" s="366">
        <f t="shared" si="71"/>
        <v>0</v>
      </c>
      <c r="O232" s="365"/>
      <c r="P232" s="367">
        <f>Tabla1[[#This Row],[G. HGS 
'[MWh']]]</f>
        <v>0</v>
      </c>
      <c r="Q232" s="430">
        <v>0</v>
      </c>
      <c r="R232" s="367">
        <v>0</v>
      </c>
      <c r="S232" s="367">
        <f>Tabla1[[#This Row],[G. HGS 
Con Gas]]*1000</f>
        <v>0</v>
      </c>
      <c r="T232" s="365">
        <f>Tabla1[[#This Row],[G. HGS 
'[MWh']]]*1000</f>
        <v>0</v>
      </c>
      <c r="U232" s="368">
        <f>SUM('G. Un GE'!B232:Y232)</f>
        <v>1284.7375</v>
      </c>
      <c r="V232" s="369">
        <f>Tabla1[[#This Row],[R. GE
'[MWh']]]</f>
        <v>1284.7375</v>
      </c>
      <c r="W232" s="434">
        <v>0</v>
      </c>
      <c r="X232" s="369">
        <v>0</v>
      </c>
      <c r="Y232" s="365">
        <f>Tabla1[[#This Row],[R. GE
'[MWh']]]*1000</f>
        <v>1284737.5</v>
      </c>
      <c r="Z232" s="371"/>
      <c r="AA23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2" s="371">
        <f>IF(Tabla1[[#This Row],[G. HGS 
'[MWh']]]=0,0,Tabla1[[#This Row],[G. HGS 
'[MWh']]]+Tabla1[[#This Row],[Con. Aux. '[MWh']2]])</f>
        <v>0</v>
      </c>
      <c r="AC232" s="368">
        <f>'C. ENER. TN'!F232</f>
        <v>0</v>
      </c>
      <c r="AD232" s="370">
        <f>'C. ENER. TN'!G232</f>
        <v>1284.7375</v>
      </c>
      <c r="AE232" s="370">
        <f>'G. Un GE'!AX232</f>
        <v>160.59218749999999</v>
      </c>
      <c r="AF232" s="368">
        <f>IFERROR('G. Un GE'!AX232/Tabla1[[#This Row],[PO '[h']]],0)</f>
        <v>0</v>
      </c>
      <c r="AG232" s="365">
        <f>'Ar-Pa'!AX232</f>
        <v>0</v>
      </c>
      <c r="AH232" s="365">
        <f>'Ar-Pa'!AY232</f>
        <v>0</v>
      </c>
      <c r="AI232" s="366">
        <f>SUM('Cal. Arr'!AB235:AY235)</f>
        <v>0</v>
      </c>
      <c r="AJ232" s="442"/>
      <c r="AK232" s="443"/>
      <c r="AL232" s="267">
        <f t="shared" si="61"/>
        <v>0</v>
      </c>
      <c r="AM232" s="267">
        <f>+CONVERT(AK232+Tabla1[[#This Row],[Con. DO Storage Gen. '[m3']]],"m^3","gal")</f>
        <v>0</v>
      </c>
      <c r="AN232" s="372">
        <f>SUM('DO Pilot'!B232:Y232)</f>
        <v>6.63</v>
      </c>
      <c r="AO232" s="372">
        <f t="shared" si="62"/>
        <v>1751.460707134524</v>
      </c>
      <c r="AP232" s="267">
        <f>AK232+AN232+Tabla1[[#This Row],[Con. DO Storage Gen. '[m3']]]</f>
        <v>6.63</v>
      </c>
      <c r="AQ232" s="372">
        <f t="shared" si="68"/>
        <v>1751.460707134524</v>
      </c>
      <c r="AR232" s="443"/>
      <c r="AS232" s="443"/>
      <c r="AT232" s="267">
        <f>+CONVERT(SUM(Tabla1[[#This Row],[Repo. DO Storage '[gal']]:[Repo. DO Pilot '[gal']]]),"gal","m3")</f>
        <v>0</v>
      </c>
      <c r="AU232" s="442">
        <v>0</v>
      </c>
      <c r="AV232" s="372">
        <f t="shared" si="72"/>
        <v>0</v>
      </c>
      <c r="AW232" s="442">
        <v>0</v>
      </c>
      <c r="AX232" s="372">
        <f t="shared" si="73"/>
        <v>0</v>
      </c>
      <c r="AY232" s="372">
        <f t="shared" si="64"/>
        <v>0</v>
      </c>
      <c r="AZ232" s="372">
        <f>IFERROR(AL232/'Ar-Pa'!AX232,0)</f>
        <v>0</v>
      </c>
      <c r="BA232" s="372">
        <f>IFERROR(AL232/'Ar-Pa'!AY232,0)</f>
        <v>0</v>
      </c>
      <c r="BB232" s="372">
        <f t="shared" si="65"/>
        <v>0</v>
      </c>
      <c r="BC232" s="372">
        <f>IFERROR(AVERAGEIF('DO Pilot'!AX232:BU232,"&gt;0"),0)</f>
        <v>9.1221911829923119</v>
      </c>
      <c r="BD232" s="446"/>
      <c r="BE232" s="446"/>
      <c r="BF232" s="446"/>
      <c r="BG232" s="223">
        <f>Tabla1[[#This Row],[ Re. Gas GC
 '[m3']]]</f>
        <v>0</v>
      </c>
      <c r="BH232" s="150">
        <f>IFERROR((BG232*Gas!$B$4)/28.31685,0)</f>
        <v>0</v>
      </c>
      <c r="BI232" s="73">
        <f t="shared" si="74"/>
        <v>0</v>
      </c>
      <c r="BJ232" s="74">
        <f t="shared" si="69"/>
        <v>0</v>
      </c>
      <c r="BK232" s="223">
        <f t="shared" si="66"/>
        <v>0</v>
      </c>
      <c r="BL232" s="442">
        <v>9261.74</v>
      </c>
      <c r="BM232" s="70">
        <f t="shared" si="67"/>
        <v>0</v>
      </c>
      <c r="BN232" s="150">
        <f t="shared" si="70"/>
        <v>0</v>
      </c>
      <c r="BO232" s="373">
        <f>IFERROR(Tabla1[[#This Row],[ Re. Gas GC
 '[m3']]]/Tabla1[[#This Row],[G. HGS 
Con Gas '[kWh']]],0)</f>
        <v>0</v>
      </c>
      <c r="BP232" s="374">
        <f>Tank!Y233</f>
        <v>0</v>
      </c>
      <c r="BQ232" s="70">
        <f>Tank!AP233</f>
        <v>0</v>
      </c>
      <c r="BR232" s="70">
        <f>Tank!V233</f>
        <v>0</v>
      </c>
      <c r="BS232" s="372">
        <f>Tank!T233</f>
        <v>0</v>
      </c>
      <c r="BT232" s="375" t="s">
        <v>228</v>
      </c>
      <c r="BU232" s="452"/>
      <c r="BV232" s="376">
        <f>IF(Tabla1[[#This Row],[Combustible ofertado]]="GAS",Tabla1[[#This Row],[Disponibilidad]],0)</f>
        <v>0</v>
      </c>
      <c r="BW232" s="376">
        <f>IF(Tabla1[[#This Row],[Combustible ofertado]]="DIESEL",Tabla1[[#This Row],[Disponibilidad]],0)</f>
        <v>0</v>
      </c>
      <c r="BX232" s="376">
        <f>IF(Tabla1[[#This Row],[Combustible ofertado]]="HFO",Tabla1[[#This Row],[Disponibilidad]],0)</f>
        <v>0</v>
      </c>
      <c r="BY232" s="452"/>
      <c r="BZ232" s="446">
        <f>'Horo. M'!C233</f>
        <v>0</v>
      </c>
      <c r="CA232" s="446">
        <f>'Horo. M'!E233</f>
        <v>24</v>
      </c>
      <c r="CB232" s="446">
        <f>'Horo. M'!G233</f>
        <v>24</v>
      </c>
      <c r="CC232" s="446">
        <f>'Horo. M'!I233</f>
        <v>24</v>
      </c>
      <c r="CD232" s="446">
        <f>'Horo. M'!K233</f>
        <v>24</v>
      </c>
      <c r="CE232" s="446">
        <f>'Horo. M'!M233</f>
        <v>24</v>
      </c>
      <c r="CF232" s="446">
        <f>'Horo. M'!O233</f>
        <v>23</v>
      </c>
      <c r="CG232" s="446">
        <f>'Horo. M'!Q233</f>
        <v>24</v>
      </c>
      <c r="CH232" s="446">
        <f>'Horo. M'!S233</f>
        <v>24</v>
      </c>
      <c r="CI232" s="446">
        <f>'Horo. M'!U233</f>
        <v>2</v>
      </c>
      <c r="CJ232" s="70">
        <f>Tabla1[[#This Row],[Con. DO Storage '[gal']]]-Tabla1[[#This Row],[C. DO Storage Ge '[gal']]]</f>
        <v>0</v>
      </c>
      <c r="CK232" s="70"/>
      <c r="CL232" s="70"/>
      <c r="CM232" s="372">
        <f>Tabla1[[#This Row],[Con. DO Total '[gal']]]*131485.5/(1000000)</f>
        <v>230.29168680793646</v>
      </c>
    </row>
    <row r="233" spans="1:91" ht="15" customHeight="1">
      <c r="A233" s="362">
        <v>45158</v>
      </c>
      <c r="B233" s="363" t="str">
        <f>TEXT(Tabla1[[#This Row],[Fecha]],"mmmm")</f>
        <v>agosto</v>
      </c>
      <c r="C233" s="364"/>
      <c r="D233" s="366"/>
      <c r="E233" s="366"/>
      <c r="F233" s="366"/>
      <c r="G233" s="377"/>
      <c r="H233" s="377"/>
      <c r="I233" s="378"/>
      <c r="J233" s="378"/>
      <c r="K233" s="366"/>
      <c r="L233" s="366"/>
      <c r="M233" s="365">
        <f>Tabla1[[#This Row],[Columna1]]-Tabla1[[#This Row],[PO '[h']]]</f>
        <v>0</v>
      </c>
      <c r="N233" s="366">
        <f t="shared" si="71"/>
        <v>0</v>
      </c>
      <c r="O233" s="365"/>
      <c r="P233" s="367">
        <f>Tabla1[[#This Row],[G. HGS 
'[MWh']]]</f>
        <v>0</v>
      </c>
      <c r="Q233" s="430">
        <v>0</v>
      </c>
      <c r="R233" s="367">
        <v>0</v>
      </c>
      <c r="S233" s="367">
        <f>Tabla1[[#This Row],[G. HGS 
Con Gas]]*1000</f>
        <v>0</v>
      </c>
      <c r="T233" s="365">
        <f>Tabla1[[#This Row],[G. HGS 
'[MWh']]]*1000</f>
        <v>0</v>
      </c>
      <c r="U233" s="368">
        <f>SUM('G. Un GE'!B233:Y233)</f>
        <v>1350.011</v>
      </c>
      <c r="V233" s="369">
        <f>Tabla1[[#This Row],[R. GE
'[MWh']]]</f>
        <v>1350.011</v>
      </c>
      <c r="W233" s="434">
        <v>0</v>
      </c>
      <c r="X233" s="369">
        <v>0</v>
      </c>
      <c r="Y233" s="365">
        <f>Tabla1[[#This Row],[R. GE
'[MWh']]]*1000</f>
        <v>1350011</v>
      </c>
      <c r="Z233" s="371"/>
      <c r="AA23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3" s="371">
        <f>IF(Tabla1[[#This Row],[G. HGS 
'[MWh']]]=0,0,Tabla1[[#This Row],[G. HGS 
'[MWh']]]+Tabla1[[#This Row],[Con. Aux. '[MWh']2]])</f>
        <v>0</v>
      </c>
      <c r="AC233" s="368">
        <f>'C. ENER. TN'!F233</f>
        <v>0</v>
      </c>
      <c r="AD233" s="370">
        <f>'C. ENER. TN'!G233</f>
        <v>1350.011</v>
      </c>
      <c r="AE233" s="370">
        <f>'G. Un GE'!AX233</f>
        <v>162.9093642857143</v>
      </c>
      <c r="AF233" s="368">
        <f>IFERROR('G. Un GE'!AX233/Tabla1[[#This Row],[PO '[h']]],0)</f>
        <v>0</v>
      </c>
      <c r="AG233" s="365">
        <f>'Ar-Pa'!AX233</f>
        <v>3</v>
      </c>
      <c r="AH233" s="365">
        <f>'Ar-Pa'!AY233</f>
        <v>3</v>
      </c>
      <c r="AI233" s="366">
        <f>SUM('Cal. Arr'!AB236:AY236)</f>
        <v>0</v>
      </c>
      <c r="AJ233" s="442"/>
      <c r="AK233" s="443"/>
      <c r="AL233" s="267">
        <f t="shared" si="61"/>
        <v>0</v>
      </c>
      <c r="AM233" s="267">
        <f>+CONVERT(AK233+Tabla1[[#This Row],[Con. DO Storage Gen. '[m3']]],"m^3","gal")</f>
        <v>0</v>
      </c>
      <c r="AN233" s="372">
        <f>SUM('DO Pilot'!B233:Y233)</f>
        <v>6.8499999999999979</v>
      </c>
      <c r="AO233" s="372">
        <f t="shared" si="62"/>
        <v>1809.5785586533161</v>
      </c>
      <c r="AP233" s="267">
        <f>AK233+AN233+Tabla1[[#This Row],[Con. DO Storage Gen. '[m3']]]</f>
        <v>6.8499999999999979</v>
      </c>
      <c r="AQ233" s="372">
        <f t="shared" si="68"/>
        <v>1809.5785586533161</v>
      </c>
      <c r="AR233" s="443"/>
      <c r="AS233" s="443"/>
      <c r="AT233" s="267">
        <f>+CONVERT(SUM(Tabla1[[#This Row],[Repo. DO Storage '[gal']]:[Repo. DO Pilot '[gal']]]),"gal","m3")</f>
        <v>0</v>
      </c>
      <c r="AU233" s="442">
        <v>0</v>
      </c>
      <c r="AV233" s="372">
        <f t="shared" si="72"/>
        <v>0</v>
      </c>
      <c r="AW233" s="442">
        <v>0</v>
      </c>
      <c r="AX233" s="372">
        <f t="shared" si="73"/>
        <v>0</v>
      </c>
      <c r="AY233" s="372">
        <f t="shared" si="64"/>
        <v>0</v>
      </c>
      <c r="AZ233" s="372">
        <f>IFERROR(AL233/'Ar-Pa'!AX233,0)</f>
        <v>0</v>
      </c>
      <c r="BA233" s="372">
        <f>IFERROR(AL233/'Ar-Pa'!AY233,0)</f>
        <v>0</v>
      </c>
      <c r="BB233" s="372">
        <f t="shared" si="65"/>
        <v>0</v>
      </c>
      <c r="BC233" s="372">
        <f>IFERROR(AVERAGEIF('DO Pilot'!AX233:BU233,"&gt;0"),0)</f>
        <v>9.0988227888104998</v>
      </c>
      <c r="BD233" s="446"/>
      <c r="BE233" s="446"/>
      <c r="BF233" s="446"/>
      <c r="BG233" s="223">
        <f>Tabla1[[#This Row],[ Re. Gas GC
 '[m3']]]</f>
        <v>0</v>
      </c>
      <c r="BH233" s="150">
        <f>IFERROR((BG233*Gas!$B$4)/28.31685,0)</f>
        <v>0</v>
      </c>
      <c r="BI233" s="73">
        <f t="shared" si="74"/>
        <v>0</v>
      </c>
      <c r="BJ233" s="74">
        <f t="shared" si="69"/>
        <v>0</v>
      </c>
      <c r="BK233" s="223">
        <f t="shared" si="66"/>
        <v>0</v>
      </c>
      <c r="BL233" s="442">
        <v>8907.51</v>
      </c>
      <c r="BM233" s="70">
        <f t="shared" si="67"/>
        <v>0</v>
      </c>
      <c r="BN233" s="150">
        <f t="shared" si="70"/>
        <v>0</v>
      </c>
      <c r="BO233" s="373">
        <f>IFERROR(Tabla1[[#This Row],[ Re. Gas GC
 '[m3']]]/Tabla1[[#This Row],[G. HGS 
Con Gas '[kWh']]],0)</f>
        <v>0</v>
      </c>
      <c r="BP233" s="374">
        <f>Tank!Y234</f>
        <v>0</v>
      </c>
      <c r="BQ233" s="70">
        <f>Tank!AP234</f>
        <v>0</v>
      </c>
      <c r="BR233" s="70">
        <f>Tank!V234</f>
        <v>0</v>
      </c>
      <c r="BS233" s="372">
        <f>Tank!T234</f>
        <v>0</v>
      </c>
      <c r="BT233" s="375" t="s">
        <v>228</v>
      </c>
      <c r="BU233" s="452"/>
      <c r="BV233" s="376">
        <f>IF(Tabla1[[#This Row],[Combustible ofertado]]="GAS",Tabla1[[#This Row],[Disponibilidad]],0)</f>
        <v>0</v>
      </c>
      <c r="BW233" s="376">
        <f>IF(Tabla1[[#This Row],[Combustible ofertado]]="DIESEL",Tabla1[[#This Row],[Disponibilidad]],0)</f>
        <v>0</v>
      </c>
      <c r="BX233" s="376">
        <f>IF(Tabla1[[#This Row],[Combustible ofertado]]="HFO",Tabla1[[#This Row],[Disponibilidad]],0)</f>
        <v>0</v>
      </c>
      <c r="BY233" s="452"/>
      <c r="BZ233" s="446">
        <f>'Horo. M'!C234</f>
        <v>0</v>
      </c>
      <c r="CA233" s="446">
        <f>'Horo. M'!E234</f>
        <v>22</v>
      </c>
      <c r="CB233" s="446">
        <f>'Horo. M'!G234</f>
        <v>24</v>
      </c>
      <c r="CC233" s="446">
        <f>'Horo. M'!I234</f>
        <v>24</v>
      </c>
      <c r="CD233" s="446">
        <f>'Horo. M'!K234</f>
        <v>24</v>
      </c>
      <c r="CE233" s="446">
        <f>'Horo. M'!M234</f>
        <v>24</v>
      </c>
      <c r="CF233" s="446">
        <f>'Horo. M'!O234</f>
        <v>24</v>
      </c>
      <c r="CG233" s="446">
        <f>'Horo. M'!Q234</f>
        <v>24</v>
      </c>
      <c r="CH233" s="446">
        <f>'Horo. M'!S234</f>
        <v>24</v>
      </c>
      <c r="CI233" s="446">
        <f>'Horo. M'!U234</f>
        <v>12</v>
      </c>
      <c r="CJ233" s="70">
        <f>Tabla1[[#This Row],[Con. DO Storage '[gal']]]-Tabla1[[#This Row],[C. DO Storage Ge '[gal']]]</f>
        <v>0</v>
      </c>
      <c r="CK233" s="70"/>
      <c r="CL233" s="70"/>
      <c r="CM233" s="372">
        <f>Tabla1[[#This Row],[Con. DO Total '[gal']]]*131485.5/(1000000)</f>
        <v>237.93334157381059</v>
      </c>
    </row>
    <row r="234" spans="1:91" ht="15" customHeight="1">
      <c r="A234" s="362">
        <v>45159</v>
      </c>
      <c r="B234" s="363" t="str">
        <f>TEXT(Tabla1[[#This Row],[Fecha]],"mmmm")</f>
        <v>agosto</v>
      </c>
      <c r="C234" s="364"/>
      <c r="D234" s="366"/>
      <c r="E234" s="366"/>
      <c r="F234" s="366"/>
      <c r="G234" s="377"/>
      <c r="H234" s="377"/>
      <c r="I234" s="378"/>
      <c r="J234" s="378"/>
      <c r="K234" s="366"/>
      <c r="L234" s="366"/>
      <c r="M234" s="365">
        <f>Tabla1[[#This Row],[Columna1]]-Tabla1[[#This Row],[PO '[h']]]</f>
        <v>0</v>
      </c>
      <c r="N234" s="366">
        <f t="shared" si="71"/>
        <v>0</v>
      </c>
      <c r="O234" s="365"/>
      <c r="P234" s="367">
        <f>Tabla1[[#This Row],[G. HGS 
'[MWh']]]</f>
        <v>0</v>
      </c>
      <c r="Q234" s="430">
        <v>0</v>
      </c>
      <c r="R234" s="367">
        <v>0</v>
      </c>
      <c r="S234" s="367">
        <f>Tabla1[[#This Row],[G. HGS 
Con Gas]]*1000</f>
        <v>0</v>
      </c>
      <c r="T234" s="365">
        <f>Tabla1[[#This Row],[G. HGS 
'[MWh']]]*1000</f>
        <v>0</v>
      </c>
      <c r="U234" s="368">
        <f>SUM('G. Un GE'!B234:Y234)</f>
        <v>1379.5064000000002</v>
      </c>
      <c r="V234" s="369">
        <f>Tabla1[[#This Row],[R. GE
'[MWh']]]</f>
        <v>1379.5064000000002</v>
      </c>
      <c r="W234" s="434">
        <v>0</v>
      </c>
      <c r="X234" s="369">
        <v>0</v>
      </c>
      <c r="Y234" s="365">
        <f>Tabla1[[#This Row],[R. GE
'[MWh']]]*1000</f>
        <v>1379506.4000000001</v>
      </c>
      <c r="Z234" s="371"/>
      <c r="AA23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4" s="371">
        <f>IF(Tabla1[[#This Row],[G. HGS 
'[MWh']]]=0,0,Tabla1[[#This Row],[G. HGS 
'[MWh']]]+Tabla1[[#This Row],[Con. Aux. '[MWh']2]])</f>
        <v>0</v>
      </c>
      <c r="AC234" s="368">
        <f>'C. ENER. TN'!F234</f>
        <v>0</v>
      </c>
      <c r="AD234" s="370">
        <f>'C. ENER. TN'!G234</f>
        <v>1379.5064</v>
      </c>
      <c r="AE234" s="370">
        <f>'G. Un GE'!AX234</f>
        <v>172.43830000000003</v>
      </c>
      <c r="AF234" s="368">
        <f>IFERROR('G. Un GE'!AX234/Tabla1[[#This Row],[PO '[h']]],0)</f>
        <v>0</v>
      </c>
      <c r="AG234" s="365">
        <f>'Ar-Pa'!AX234</f>
        <v>0</v>
      </c>
      <c r="AH234" s="365">
        <f>'Ar-Pa'!AY234</f>
        <v>0</v>
      </c>
      <c r="AI234" s="366">
        <f>SUM('Cal. Arr'!AB237:AY237)</f>
        <v>0</v>
      </c>
      <c r="AJ234" s="442"/>
      <c r="AK234" s="443"/>
      <c r="AL234" s="267">
        <f t="shared" si="61"/>
        <v>0</v>
      </c>
      <c r="AM234" s="267">
        <f>+CONVERT(AK234+Tabla1[[#This Row],[Con. DO Storage Gen. '[m3']]],"m^3","gal")</f>
        <v>0</v>
      </c>
      <c r="AN234" s="372">
        <f>SUM('DO Pilot'!B234:Y234)</f>
        <v>6.089999999999999</v>
      </c>
      <c r="AO234" s="372">
        <f t="shared" si="62"/>
        <v>1608.8077988611237</v>
      </c>
      <c r="AP234" s="267">
        <f>AK234+AN234+Tabla1[[#This Row],[Con. DO Storage Gen. '[m3']]]</f>
        <v>6.089999999999999</v>
      </c>
      <c r="AQ234" s="372">
        <f t="shared" si="68"/>
        <v>1608.8077988611237</v>
      </c>
      <c r="AR234" s="443"/>
      <c r="AS234" s="443"/>
      <c r="AT234" s="267">
        <f>+CONVERT(SUM(Tabla1[[#This Row],[Repo. DO Storage '[gal']]:[Repo. DO Pilot '[gal']]]),"gal","m3")</f>
        <v>0</v>
      </c>
      <c r="AU234" s="442">
        <v>0</v>
      </c>
      <c r="AV234" s="372">
        <f t="shared" si="72"/>
        <v>0</v>
      </c>
      <c r="AW234" s="442">
        <v>0</v>
      </c>
      <c r="AX234" s="372">
        <f t="shared" si="73"/>
        <v>0</v>
      </c>
      <c r="AY234" s="372">
        <f t="shared" si="64"/>
        <v>0</v>
      </c>
      <c r="AZ234" s="372">
        <f>IFERROR(AL234/'Ar-Pa'!AX234,0)</f>
        <v>0</v>
      </c>
      <c r="BA234" s="372">
        <f>IFERROR(AL234/'Ar-Pa'!AY234,0)</f>
        <v>0</v>
      </c>
      <c r="BB234" s="372">
        <f t="shared" si="65"/>
        <v>0</v>
      </c>
      <c r="BC234" s="372">
        <f>IFERROR(AVERAGEIF('DO Pilot'!AX234:BU234,"&gt;0"),0)</f>
        <v>8.3792072857350188</v>
      </c>
      <c r="BD234" s="446"/>
      <c r="BE234" s="446"/>
      <c r="BF234" s="446"/>
      <c r="BG234" s="223">
        <f>Tabla1[[#This Row],[ Re. Gas GC
 '[m3']]]</f>
        <v>0</v>
      </c>
      <c r="BH234" s="150">
        <f>IFERROR((BG234*Gas!$B$4)/28.31685,0)</f>
        <v>0</v>
      </c>
      <c r="BI234" s="73">
        <f t="shared" si="74"/>
        <v>0</v>
      </c>
      <c r="BJ234" s="74">
        <f t="shared" si="69"/>
        <v>0</v>
      </c>
      <c r="BK234" s="223">
        <f t="shared" si="66"/>
        <v>0</v>
      </c>
      <c r="BL234" s="442">
        <v>8989.17</v>
      </c>
      <c r="BM234" s="70">
        <f t="shared" si="67"/>
        <v>0</v>
      </c>
      <c r="BN234" s="150">
        <f t="shared" si="70"/>
        <v>0</v>
      </c>
      <c r="BO234" s="373">
        <f>IFERROR(Tabla1[[#This Row],[ Re. Gas GC
 '[m3']]]/Tabla1[[#This Row],[G. HGS 
Con Gas '[kWh']]],0)</f>
        <v>0</v>
      </c>
      <c r="BP234" s="374">
        <f>Tank!Y235</f>
        <v>0</v>
      </c>
      <c r="BQ234" s="70">
        <f>Tank!AP235</f>
        <v>0</v>
      </c>
      <c r="BR234" s="70">
        <f>Tank!V235</f>
        <v>0</v>
      </c>
      <c r="BS234" s="372">
        <f>Tank!T235</f>
        <v>0</v>
      </c>
      <c r="BT234" s="375" t="s">
        <v>228</v>
      </c>
      <c r="BU234" s="452"/>
      <c r="BV234" s="376">
        <f>IF(Tabla1[[#This Row],[Combustible ofertado]]="GAS",Tabla1[[#This Row],[Disponibilidad]],0)</f>
        <v>0</v>
      </c>
      <c r="BW234" s="376">
        <f>IF(Tabla1[[#This Row],[Combustible ofertado]]="DIESEL",Tabla1[[#This Row],[Disponibilidad]],0)</f>
        <v>0</v>
      </c>
      <c r="BX234" s="376">
        <f>IF(Tabla1[[#This Row],[Combustible ofertado]]="HFO",Tabla1[[#This Row],[Disponibilidad]],0)</f>
        <v>0</v>
      </c>
      <c r="BY234" s="452"/>
      <c r="BZ234" s="446">
        <f>'Horo. M'!C235</f>
        <v>0</v>
      </c>
      <c r="CA234" s="446">
        <f>'Horo. M'!E235</f>
        <v>24</v>
      </c>
      <c r="CB234" s="446">
        <f>'Horo. M'!G235</f>
        <v>24</v>
      </c>
      <c r="CC234" s="446">
        <f>'Horo. M'!I235</f>
        <v>24</v>
      </c>
      <c r="CD234" s="446">
        <f>'Horo. M'!K235</f>
        <v>24</v>
      </c>
      <c r="CE234" s="446">
        <f>'Horo. M'!M235</f>
        <v>0</v>
      </c>
      <c r="CF234" s="446">
        <f>'Horo. M'!O235</f>
        <v>24</v>
      </c>
      <c r="CG234" s="446">
        <f>'Horo. M'!Q235</f>
        <v>24</v>
      </c>
      <c r="CH234" s="446">
        <f>'Horo. M'!S235</f>
        <v>24</v>
      </c>
      <c r="CI234" s="446">
        <f>'Horo. M'!U235</f>
        <v>23</v>
      </c>
      <c r="CJ234" s="70">
        <f>Tabla1[[#This Row],[Con. DO Storage '[gal']]]-Tabla1[[#This Row],[C. DO Storage Ge '[gal']]]</f>
        <v>0</v>
      </c>
      <c r="CK234" s="70"/>
      <c r="CL234" s="70"/>
      <c r="CM234" s="372">
        <f>Tabla1[[#This Row],[Con. DO Total '[gal']]]*131485.5/(1000000)</f>
        <v>211.53489783715426</v>
      </c>
    </row>
    <row r="235" spans="1:91" ht="15" customHeight="1">
      <c r="A235" s="362">
        <v>45160</v>
      </c>
      <c r="B235" s="363" t="str">
        <f>TEXT(Tabla1[[#This Row],[Fecha]],"mmmm")</f>
        <v>agosto</v>
      </c>
      <c r="C235" s="364"/>
      <c r="D235" s="366"/>
      <c r="E235" s="366"/>
      <c r="F235" s="366"/>
      <c r="G235" s="377"/>
      <c r="H235" s="377"/>
      <c r="I235" s="378"/>
      <c r="J235" s="378"/>
      <c r="K235" s="366"/>
      <c r="L235" s="366"/>
      <c r="M235" s="365">
        <f>Tabla1[[#This Row],[Columna1]]-Tabla1[[#This Row],[PO '[h']]]</f>
        <v>0</v>
      </c>
      <c r="N235" s="366">
        <f t="shared" si="71"/>
        <v>0</v>
      </c>
      <c r="O235" s="365"/>
      <c r="P235" s="367">
        <f>Tabla1[[#This Row],[G. HGS 
'[MWh']]]</f>
        <v>0</v>
      </c>
      <c r="Q235" s="430">
        <v>0</v>
      </c>
      <c r="R235" s="367">
        <v>0</v>
      </c>
      <c r="S235" s="367">
        <f>Tabla1[[#This Row],[G. HGS 
Con Gas]]*1000</f>
        <v>0</v>
      </c>
      <c r="T235" s="365">
        <f>Tabla1[[#This Row],[G. HGS 
'[MWh']]]*1000</f>
        <v>0</v>
      </c>
      <c r="U235" s="368">
        <f>SUM('G. Un GE'!B235:Y235)</f>
        <v>0</v>
      </c>
      <c r="V235" s="369">
        <f>Tabla1[[#This Row],[R. GE
'[MWh']]]</f>
        <v>0</v>
      </c>
      <c r="W235" s="434">
        <v>0</v>
      </c>
      <c r="X235" s="369">
        <v>0</v>
      </c>
      <c r="Y235" s="365">
        <f>Tabla1[[#This Row],[R. GE
'[MWh']]]*1000</f>
        <v>0</v>
      </c>
      <c r="Z235" s="371"/>
      <c r="AA23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5" s="371">
        <f>IF(Tabla1[[#This Row],[G. HGS 
'[MWh']]]=0,0,Tabla1[[#This Row],[G. HGS 
'[MWh']]]+Tabla1[[#This Row],[Con. Aux. '[MWh']2]])</f>
        <v>0</v>
      </c>
      <c r="AC235" s="368">
        <f>'C. ENER. TN'!F235</f>
        <v>0</v>
      </c>
      <c r="AD235" s="370">
        <f>'C. ENER. TN'!G235</f>
        <v>0</v>
      </c>
      <c r="AE235" s="370">
        <f>'G. Un GE'!AX235</f>
        <v>0</v>
      </c>
      <c r="AF235" s="368">
        <f>IFERROR('G. Un GE'!AX235/Tabla1[[#This Row],[PO '[h']]],0)</f>
        <v>0</v>
      </c>
      <c r="AG235" s="365">
        <f>'Ar-Pa'!AX235</f>
        <v>0</v>
      </c>
      <c r="AH235" s="365">
        <f>'Ar-Pa'!AY235</f>
        <v>0</v>
      </c>
      <c r="AI235" s="366">
        <f>SUM('Cal. Arr'!AB238:AY238)</f>
        <v>0</v>
      </c>
      <c r="AJ235" s="442"/>
      <c r="AK235" s="443"/>
      <c r="AL235" s="267">
        <f t="shared" si="61"/>
        <v>0</v>
      </c>
      <c r="AM235" s="267">
        <f>+CONVERT(AK235+Tabla1[[#This Row],[Con. DO Storage Gen. '[m3']]],"m^3","gal")</f>
        <v>0</v>
      </c>
      <c r="AN235" s="372">
        <f>SUM('DO Pilot'!B235:Y235)</f>
        <v>6.5</v>
      </c>
      <c r="AO235" s="372">
        <f t="shared" si="62"/>
        <v>1717.1183403279647</v>
      </c>
      <c r="AP235" s="267">
        <f>AK235+AN235+Tabla1[[#This Row],[Con. DO Storage Gen. '[m3']]]</f>
        <v>6.5</v>
      </c>
      <c r="AQ235" s="372">
        <f t="shared" si="68"/>
        <v>1717.1183403279647</v>
      </c>
      <c r="AR235" s="443"/>
      <c r="AS235" s="443"/>
      <c r="AT235" s="267">
        <f>+CONVERT(SUM(Tabla1[[#This Row],[Repo. DO Storage '[gal']]:[Repo. DO Pilot '[gal']]]),"gal","m3")</f>
        <v>0</v>
      </c>
      <c r="AU235" s="442">
        <v>0</v>
      </c>
      <c r="AV235" s="372">
        <f t="shared" si="72"/>
        <v>0</v>
      </c>
      <c r="AW235" s="442">
        <v>0</v>
      </c>
      <c r="AX235" s="372">
        <f t="shared" si="73"/>
        <v>0</v>
      </c>
      <c r="AY235" s="372">
        <f t="shared" si="64"/>
        <v>0</v>
      </c>
      <c r="AZ235" s="372">
        <f>IFERROR(AL235/'Ar-Pa'!AX235,0)</f>
        <v>0</v>
      </c>
      <c r="BA235" s="372">
        <f>IFERROR(AL235/'Ar-Pa'!AY235,0)</f>
        <v>0</v>
      </c>
      <c r="BB235" s="372">
        <f t="shared" si="65"/>
        <v>0</v>
      </c>
      <c r="BC235" s="372">
        <f>IFERROR(AVERAGEIF('DO Pilot'!AX235:BU235,"&gt;0"),0)</f>
        <v>8.9433246892081488</v>
      </c>
      <c r="BD235" s="446"/>
      <c r="BE235" s="446"/>
      <c r="BF235" s="446"/>
      <c r="BG235" s="223">
        <f>Tabla1[[#This Row],[ Re. Gas GC
 '[m3']]]</f>
        <v>0</v>
      </c>
      <c r="BH235" s="150">
        <f>IFERROR((BG235*Gas!$B$4)/28.31685,0)</f>
        <v>0</v>
      </c>
      <c r="BI235" s="73">
        <f t="shared" si="74"/>
        <v>0</v>
      </c>
      <c r="BJ235" s="74">
        <f t="shared" si="69"/>
        <v>0</v>
      </c>
      <c r="BK235" s="223">
        <f t="shared" si="66"/>
        <v>0</v>
      </c>
      <c r="BL235" s="442">
        <v>8962.9599999999991</v>
      </c>
      <c r="BM235" s="70">
        <f t="shared" si="67"/>
        <v>0</v>
      </c>
      <c r="BN235" s="150">
        <f t="shared" si="70"/>
        <v>0</v>
      </c>
      <c r="BO235" s="373">
        <f>IFERROR(Tabla1[[#This Row],[ Re. Gas GC
 '[m3']]]/Tabla1[[#This Row],[G. HGS 
Con Gas '[kWh']]],0)</f>
        <v>0</v>
      </c>
      <c r="BP235" s="374">
        <f>Tank!Y236</f>
        <v>0</v>
      </c>
      <c r="BQ235" s="70">
        <f>Tank!AP236</f>
        <v>0</v>
      </c>
      <c r="BR235" s="70">
        <f>Tank!V236</f>
        <v>0</v>
      </c>
      <c r="BS235" s="372">
        <f>Tank!T236</f>
        <v>0</v>
      </c>
      <c r="BT235" s="375" t="s">
        <v>228</v>
      </c>
      <c r="BU235" s="452"/>
      <c r="BV235" s="376">
        <f>IF(Tabla1[[#This Row],[Combustible ofertado]]="GAS",Tabla1[[#This Row],[Disponibilidad]],0)</f>
        <v>0</v>
      </c>
      <c r="BW235" s="376">
        <f>IF(Tabla1[[#This Row],[Combustible ofertado]]="DIESEL",Tabla1[[#This Row],[Disponibilidad]],0)</f>
        <v>0</v>
      </c>
      <c r="BX235" s="376">
        <f>IF(Tabla1[[#This Row],[Combustible ofertado]]="HFO",Tabla1[[#This Row],[Disponibilidad]],0)</f>
        <v>0</v>
      </c>
      <c r="BY235" s="452"/>
      <c r="BZ235" s="446">
        <f>'Horo. M'!C236</f>
        <v>0</v>
      </c>
      <c r="CA235" s="446">
        <f>'Horo. M'!E236</f>
        <v>24</v>
      </c>
      <c r="CB235" s="446">
        <f>'Horo. M'!G236</f>
        <v>24</v>
      </c>
      <c r="CC235" s="446">
        <f>'Horo. M'!I236</f>
        <v>24</v>
      </c>
      <c r="CD235" s="446">
        <f>'Horo. M'!K236</f>
        <v>24</v>
      </c>
      <c r="CE235" s="446">
        <f>'Horo. M'!M236</f>
        <v>0</v>
      </c>
      <c r="CF235" s="446">
        <f>'Horo. M'!O236</f>
        <v>24</v>
      </c>
      <c r="CG235" s="446">
        <f>'Horo. M'!Q236</f>
        <v>24</v>
      </c>
      <c r="CH235" s="446">
        <f>'Horo. M'!S236</f>
        <v>24</v>
      </c>
      <c r="CI235" s="446">
        <f>'Horo. M'!U236</f>
        <v>24</v>
      </c>
      <c r="CJ235" s="70">
        <f>Tabla1[[#This Row],[Con. DO Storage '[gal']]]-Tabla1[[#This Row],[C. DO Storage Ge '[gal']]]</f>
        <v>0</v>
      </c>
      <c r="CK235" s="70"/>
      <c r="CL235" s="70"/>
      <c r="CM235" s="372">
        <f>Tabla1[[#This Row],[Con. DO Total '[gal']]]*131485.5/(1000000)</f>
        <v>225.77616353719262</v>
      </c>
    </row>
    <row r="236" spans="1:91" ht="15" customHeight="1">
      <c r="A236" s="362">
        <v>45161</v>
      </c>
      <c r="B236" s="363" t="str">
        <f>TEXT(Tabla1[[#This Row],[Fecha]],"mmmm")</f>
        <v>agosto</v>
      </c>
      <c r="C236" s="364"/>
      <c r="D236" s="366"/>
      <c r="E236" s="366"/>
      <c r="F236" s="366"/>
      <c r="G236" s="377"/>
      <c r="H236" s="377"/>
      <c r="I236" s="378"/>
      <c r="J236" s="378"/>
      <c r="K236" s="366"/>
      <c r="L236" s="366"/>
      <c r="M236" s="365">
        <f>Tabla1[[#This Row],[Columna1]]-Tabla1[[#This Row],[PO '[h']]]</f>
        <v>0</v>
      </c>
      <c r="N236" s="366">
        <f t="shared" si="71"/>
        <v>0</v>
      </c>
      <c r="O236" s="365"/>
      <c r="P236" s="367">
        <f>Tabla1[[#This Row],[G. HGS 
'[MWh']]]</f>
        <v>0</v>
      </c>
      <c r="Q236" s="430">
        <v>0</v>
      </c>
      <c r="R236" s="367">
        <v>0</v>
      </c>
      <c r="S236" s="367">
        <f>Tabla1[[#This Row],[G. HGS 
Con Gas]]*1000</f>
        <v>0</v>
      </c>
      <c r="T236" s="365">
        <f>Tabla1[[#This Row],[G. HGS 
'[MWh']]]*1000</f>
        <v>0</v>
      </c>
      <c r="U236" s="368">
        <f>SUM('G. Un GE'!B236:Y236)</f>
        <v>0</v>
      </c>
      <c r="V236" s="369">
        <f>Tabla1[[#This Row],[R. GE
'[MWh']]]</f>
        <v>0</v>
      </c>
      <c r="W236" s="434">
        <v>0</v>
      </c>
      <c r="X236" s="369">
        <v>0</v>
      </c>
      <c r="Y236" s="365">
        <f>Tabla1[[#This Row],[R. GE
'[MWh']]]*1000</f>
        <v>0</v>
      </c>
      <c r="Z236" s="371"/>
      <c r="AA23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6" s="371">
        <f>IF(Tabla1[[#This Row],[G. HGS 
'[MWh']]]=0,0,Tabla1[[#This Row],[G. HGS 
'[MWh']]]+Tabla1[[#This Row],[Con. Aux. '[MWh']2]])</f>
        <v>0</v>
      </c>
      <c r="AC236" s="368">
        <f>'C. ENER. TN'!F236</f>
        <v>0</v>
      </c>
      <c r="AD236" s="370">
        <f>'C. ENER. TN'!G236</f>
        <v>0</v>
      </c>
      <c r="AE236" s="370">
        <f>'G. Un GE'!AX236</f>
        <v>0</v>
      </c>
      <c r="AF236" s="368">
        <f>IFERROR('G. Un GE'!AX236/Tabla1[[#This Row],[PO '[h']]],0)</f>
        <v>0</v>
      </c>
      <c r="AG236" s="365">
        <f>'Ar-Pa'!AX236</f>
        <v>0</v>
      </c>
      <c r="AH236" s="365">
        <f>'Ar-Pa'!AY236</f>
        <v>8</v>
      </c>
      <c r="AI236" s="366">
        <f>SUM('Cal. Arr'!AB239:AY239)</f>
        <v>0</v>
      </c>
      <c r="AJ236" s="442"/>
      <c r="AK236" s="443"/>
      <c r="AL236" s="267">
        <f t="shared" si="61"/>
        <v>0</v>
      </c>
      <c r="AM236" s="267">
        <f>+CONVERT(AK236+Tabla1[[#This Row],[Con. DO Storage Gen. '[m3']]],"m^3","gal")</f>
        <v>0</v>
      </c>
      <c r="AN236" s="372">
        <f>SUM('DO Pilot'!B236:Y236)</f>
        <v>0</v>
      </c>
      <c r="AO236" s="372">
        <f t="shared" si="62"/>
        <v>0</v>
      </c>
      <c r="AP236" s="267">
        <f>AK236+AN236+Tabla1[[#This Row],[Con. DO Storage Gen. '[m3']]]</f>
        <v>0</v>
      </c>
      <c r="AQ236" s="372">
        <f t="shared" si="68"/>
        <v>0</v>
      </c>
      <c r="AR236" s="443"/>
      <c r="AS236" s="443"/>
      <c r="AT236" s="267">
        <f>+CONVERT(SUM(Tabla1[[#This Row],[Repo. DO Storage '[gal']]:[Repo. DO Pilot '[gal']]]),"gal","m3")</f>
        <v>0</v>
      </c>
      <c r="AU236" s="442">
        <v>0</v>
      </c>
      <c r="AV236" s="372">
        <f t="shared" si="72"/>
        <v>0</v>
      </c>
      <c r="AW236" s="442">
        <v>0</v>
      </c>
      <c r="AX236" s="372">
        <f t="shared" si="73"/>
        <v>0</v>
      </c>
      <c r="AY236" s="372">
        <f t="shared" si="64"/>
        <v>0</v>
      </c>
      <c r="AZ236" s="372">
        <f>IFERROR(AL236/'Ar-Pa'!AX236,0)</f>
        <v>0</v>
      </c>
      <c r="BA236" s="372">
        <f>IFERROR(AL236/'Ar-Pa'!AY236,0)</f>
        <v>0</v>
      </c>
      <c r="BB236" s="372">
        <f t="shared" si="65"/>
        <v>0</v>
      </c>
      <c r="BC236" s="372">
        <f>IFERROR(AVERAGEIF('DO Pilot'!AX236:BU236,"&gt;0"),0)</f>
        <v>0</v>
      </c>
      <c r="BD236" s="446"/>
      <c r="BE236" s="446"/>
      <c r="BF236" s="446"/>
      <c r="BG236" s="223">
        <f>Tabla1[[#This Row],[ Re. Gas GC
 '[m3']]]</f>
        <v>0</v>
      </c>
      <c r="BH236" s="150">
        <f>IFERROR((BG236*Gas!$B$4)/28.31685,0)</f>
        <v>0</v>
      </c>
      <c r="BI236" s="73">
        <f t="shared" si="74"/>
        <v>0</v>
      </c>
      <c r="BJ236" s="74">
        <f t="shared" si="69"/>
        <v>0</v>
      </c>
      <c r="BK236" s="223">
        <f t="shared" si="66"/>
        <v>0</v>
      </c>
      <c r="BL236" s="442">
        <v>8977.74</v>
      </c>
      <c r="BM236" s="70">
        <f t="shared" si="67"/>
        <v>0</v>
      </c>
      <c r="BN236" s="150">
        <f t="shared" si="70"/>
        <v>0</v>
      </c>
      <c r="BO236" s="373">
        <f>IFERROR(Tabla1[[#This Row],[ Re. Gas GC
 '[m3']]]/Tabla1[[#This Row],[G. HGS 
Con Gas '[kWh']]],0)</f>
        <v>0</v>
      </c>
      <c r="BP236" s="374">
        <f>Tank!Y237</f>
        <v>0</v>
      </c>
      <c r="BQ236" s="70">
        <f>Tank!AP237</f>
        <v>0</v>
      </c>
      <c r="BR236" s="70">
        <f>Tank!V237</f>
        <v>0</v>
      </c>
      <c r="BS236" s="372">
        <f>Tank!T237</f>
        <v>0</v>
      </c>
      <c r="BT236" s="375" t="s">
        <v>228</v>
      </c>
      <c r="BU236" s="452"/>
      <c r="BV236" s="376">
        <f>IF(Tabla1[[#This Row],[Combustible ofertado]]="GAS",Tabla1[[#This Row],[Disponibilidad]],0)</f>
        <v>0</v>
      </c>
      <c r="BW236" s="376">
        <f>IF(Tabla1[[#This Row],[Combustible ofertado]]="DIESEL",Tabla1[[#This Row],[Disponibilidad]],0)</f>
        <v>0</v>
      </c>
      <c r="BX236" s="376">
        <f>IF(Tabla1[[#This Row],[Combustible ofertado]]="HFO",Tabla1[[#This Row],[Disponibilidad]],0)</f>
        <v>0</v>
      </c>
      <c r="BY236" s="452"/>
      <c r="BZ236" s="446">
        <f>'Horo. M'!C237</f>
        <v>0</v>
      </c>
      <c r="CA236" s="446">
        <f>'Horo. M'!E237</f>
        <v>0</v>
      </c>
      <c r="CB236" s="446">
        <f>'Horo. M'!G237</f>
        <v>0</v>
      </c>
      <c r="CC236" s="446">
        <f>'Horo. M'!I237</f>
        <v>0</v>
      </c>
      <c r="CD236" s="446">
        <f>'Horo. M'!K237</f>
        <v>0</v>
      </c>
      <c r="CE236" s="446">
        <f>'Horo. M'!M237</f>
        <v>0</v>
      </c>
      <c r="CF236" s="446">
        <f>'Horo. M'!O237</f>
        <v>0</v>
      </c>
      <c r="CG236" s="446">
        <f>'Horo. M'!Q237</f>
        <v>0</v>
      </c>
      <c r="CH236" s="446">
        <f>'Horo. M'!S237</f>
        <v>0</v>
      </c>
      <c r="CI236" s="446">
        <f>'Horo. M'!U237</f>
        <v>0</v>
      </c>
      <c r="CJ236" s="70">
        <f>Tabla1[[#This Row],[Con. DO Storage '[gal']]]-Tabla1[[#This Row],[C. DO Storage Ge '[gal']]]</f>
        <v>0</v>
      </c>
      <c r="CK236" s="70"/>
      <c r="CL236" s="70"/>
      <c r="CM236" s="372">
        <f>Tabla1[[#This Row],[Con. DO Total '[gal']]]*131485.5/(1000000)</f>
        <v>0</v>
      </c>
    </row>
    <row r="237" spans="1:91" ht="15" customHeight="1">
      <c r="A237" s="362">
        <v>45162</v>
      </c>
      <c r="B237" s="363" t="str">
        <f>TEXT(Tabla1[[#This Row],[Fecha]],"mmmm")</f>
        <v>agosto</v>
      </c>
      <c r="C237" s="364"/>
      <c r="D237" s="366"/>
      <c r="E237" s="366"/>
      <c r="F237" s="366"/>
      <c r="G237" s="377"/>
      <c r="H237" s="377"/>
      <c r="I237" s="378"/>
      <c r="J237" s="378"/>
      <c r="K237" s="366"/>
      <c r="L237" s="366"/>
      <c r="M237" s="365">
        <f>Tabla1[[#This Row],[Columna1]]-Tabla1[[#This Row],[PO '[h']]]</f>
        <v>0</v>
      </c>
      <c r="N237" s="366">
        <f t="shared" si="71"/>
        <v>0</v>
      </c>
      <c r="O237" s="365"/>
      <c r="P237" s="367">
        <f>Tabla1[[#This Row],[G. HGS 
'[MWh']]]</f>
        <v>0</v>
      </c>
      <c r="Q237" s="430">
        <v>0</v>
      </c>
      <c r="R237" s="367">
        <v>0</v>
      </c>
      <c r="S237" s="367">
        <f>Tabla1[[#This Row],[G. HGS 
Con Gas]]*1000</f>
        <v>0</v>
      </c>
      <c r="T237" s="365">
        <f>Tabla1[[#This Row],[G. HGS 
'[MWh']]]*1000</f>
        <v>0</v>
      </c>
      <c r="U237" s="368">
        <f>SUM('G. Un GE'!B237:Y237)</f>
        <v>0</v>
      </c>
      <c r="V237" s="369">
        <f>Tabla1[[#This Row],[R. GE
'[MWh']]]</f>
        <v>0</v>
      </c>
      <c r="W237" s="434">
        <v>0</v>
      </c>
      <c r="X237" s="369">
        <v>0</v>
      </c>
      <c r="Y237" s="365">
        <f>Tabla1[[#This Row],[R. GE
'[MWh']]]*1000</f>
        <v>0</v>
      </c>
      <c r="Z237" s="371"/>
      <c r="AA23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7" s="371">
        <f>IF(Tabla1[[#This Row],[G. HGS 
'[MWh']]]=0,0,Tabla1[[#This Row],[G. HGS 
'[MWh']]]+Tabla1[[#This Row],[Con. Aux. '[MWh']2]])</f>
        <v>0</v>
      </c>
      <c r="AC237" s="368">
        <f>'C. ENER. TN'!F237</f>
        <v>0</v>
      </c>
      <c r="AD237" s="370">
        <f>'C. ENER. TN'!G237</f>
        <v>0</v>
      </c>
      <c r="AE237" s="370">
        <f>'G. Un GE'!AX237</f>
        <v>0</v>
      </c>
      <c r="AF237" s="368">
        <f>IFERROR('G. Un GE'!AX237/Tabla1[[#This Row],[PO '[h']]],0)</f>
        <v>0</v>
      </c>
      <c r="AG237" s="365">
        <f>'Ar-Pa'!AX237</f>
        <v>0</v>
      </c>
      <c r="AH237" s="365">
        <f>'Ar-Pa'!AY237</f>
        <v>0</v>
      </c>
      <c r="AI237" s="366">
        <f>SUM('Cal. Arr'!AB240:AY240)</f>
        <v>0</v>
      </c>
      <c r="AJ237" s="442"/>
      <c r="AK237" s="443"/>
      <c r="AL237" s="267">
        <f t="shared" si="61"/>
        <v>0</v>
      </c>
      <c r="AM237" s="267">
        <f>+CONVERT(AK237+Tabla1[[#This Row],[Con. DO Storage Gen. '[m3']]],"m^3","gal")</f>
        <v>0</v>
      </c>
      <c r="AN237" s="372">
        <f>SUM('DO Pilot'!B237:Y237)</f>
        <v>0</v>
      </c>
      <c r="AO237" s="372">
        <f t="shared" si="62"/>
        <v>0</v>
      </c>
      <c r="AP237" s="267">
        <f>AK237+AN237+Tabla1[[#This Row],[Con. DO Storage Gen. '[m3']]]</f>
        <v>0</v>
      </c>
      <c r="AQ237" s="372">
        <f t="shared" si="68"/>
        <v>0</v>
      </c>
      <c r="AR237" s="443"/>
      <c r="AS237" s="443"/>
      <c r="AT237" s="267">
        <f>+CONVERT(SUM(Tabla1[[#This Row],[Repo. DO Storage '[gal']]:[Repo. DO Pilot '[gal']]]),"gal","m3")</f>
        <v>0</v>
      </c>
      <c r="AU237" s="442">
        <v>0</v>
      </c>
      <c r="AV237" s="372">
        <f t="shared" si="72"/>
        <v>0</v>
      </c>
      <c r="AW237" s="442">
        <v>0</v>
      </c>
      <c r="AX237" s="372">
        <f t="shared" si="73"/>
        <v>0</v>
      </c>
      <c r="AY237" s="372">
        <f t="shared" si="64"/>
        <v>0</v>
      </c>
      <c r="AZ237" s="372">
        <f>IFERROR(AL237/'Ar-Pa'!AX237,0)</f>
        <v>0</v>
      </c>
      <c r="BA237" s="372">
        <f>IFERROR(AL237/'Ar-Pa'!AY237,0)</f>
        <v>0</v>
      </c>
      <c r="BB237" s="372">
        <f t="shared" si="65"/>
        <v>0</v>
      </c>
      <c r="BC237" s="372">
        <f>IFERROR(AVERAGEIF('DO Pilot'!AX237:BU237,"&gt;0"),0)</f>
        <v>0</v>
      </c>
      <c r="BD237" s="446"/>
      <c r="BE237" s="446"/>
      <c r="BF237" s="446"/>
      <c r="BG237" s="223">
        <f>Tabla1[[#This Row],[ Re. Gas GC
 '[m3']]]</f>
        <v>0</v>
      </c>
      <c r="BH237" s="150">
        <f>IFERROR((BG237*Gas!$B$4)/28.31685,0)</f>
        <v>0</v>
      </c>
      <c r="BI237" s="73">
        <f t="shared" si="74"/>
        <v>0</v>
      </c>
      <c r="BJ237" s="74">
        <f t="shared" si="69"/>
        <v>0</v>
      </c>
      <c r="BK237" s="223">
        <f t="shared" si="66"/>
        <v>0</v>
      </c>
      <c r="BL237" s="442">
        <v>8877.0400000000009</v>
      </c>
      <c r="BM237" s="70">
        <f t="shared" si="67"/>
        <v>0</v>
      </c>
      <c r="BN237" s="150">
        <f t="shared" si="70"/>
        <v>0</v>
      </c>
      <c r="BO237" s="373">
        <f>IFERROR(Tabla1[[#This Row],[ Re. Gas GC
 '[m3']]]/Tabla1[[#This Row],[G. HGS 
Con Gas '[kWh']]],0)</f>
        <v>0</v>
      </c>
      <c r="BP237" s="374">
        <f>Tank!Y238</f>
        <v>0</v>
      </c>
      <c r="BQ237" s="70">
        <f>Tank!AP238</f>
        <v>0</v>
      </c>
      <c r="BR237" s="70">
        <f>Tank!V238</f>
        <v>0</v>
      </c>
      <c r="BS237" s="372">
        <f>Tank!T238</f>
        <v>0</v>
      </c>
      <c r="BT237" s="375" t="s">
        <v>228</v>
      </c>
      <c r="BU237" s="452"/>
      <c r="BV237" s="376">
        <f>IF(Tabla1[[#This Row],[Combustible ofertado]]="GAS",Tabla1[[#This Row],[Disponibilidad]],0)</f>
        <v>0</v>
      </c>
      <c r="BW237" s="376">
        <f>IF(Tabla1[[#This Row],[Combustible ofertado]]="DIESEL",Tabla1[[#This Row],[Disponibilidad]],0)</f>
        <v>0</v>
      </c>
      <c r="BX237" s="376">
        <f>IF(Tabla1[[#This Row],[Combustible ofertado]]="HFO",Tabla1[[#This Row],[Disponibilidad]],0)</f>
        <v>0</v>
      </c>
      <c r="BY237" s="452"/>
      <c r="BZ237" s="446">
        <f>'Horo. M'!C238</f>
        <v>0</v>
      </c>
      <c r="CA237" s="446">
        <f>'Horo. M'!E238</f>
        <v>0</v>
      </c>
      <c r="CB237" s="446">
        <f>'Horo. M'!G238</f>
        <v>0</v>
      </c>
      <c r="CC237" s="446">
        <f>'Horo. M'!I238</f>
        <v>0</v>
      </c>
      <c r="CD237" s="446">
        <f>'Horo. M'!K238</f>
        <v>0</v>
      </c>
      <c r="CE237" s="446">
        <f>'Horo. M'!M238</f>
        <v>0</v>
      </c>
      <c r="CF237" s="446">
        <f>'Horo. M'!O238</f>
        <v>0</v>
      </c>
      <c r="CG237" s="446">
        <f>'Horo. M'!Q238</f>
        <v>0</v>
      </c>
      <c r="CH237" s="446">
        <f>'Horo. M'!S238</f>
        <v>0</v>
      </c>
      <c r="CI237" s="446">
        <f>'Horo. M'!U238</f>
        <v>0</v>
      </c>
      <c r="CJ237" s="70">
        <f>Tabla1[[#This Row],[Con. DO Storage '[gal']]]-Tabla1[[#This Row],[C. DO Storage Ge '[gal']]]</f>
        <v>0</v>
      </c>
      <c r="CK237" s="70"/>
      <c r="CL237" s="70"/>
      <c r="CM237" s="372">
        <f>Tabla1[[#This Row],[Con. DO Total '[gal']]]*131485.5/(1000000)</f>
        <v>0</v>
      </c>
    </row>
    <row r="238" spans="1:91" ht="15" customHeight="1">
      <c r="A238" s="362">
        <v>45163</v>
      </c>
      <c r="B238" s="363" t="str">
        <f>TEXT(Tabla1[[#This Row],[Fecha]],"mmmm")</f>
        <v>agosto</v>
      </c>
      <c r="C238" s="364"/>
      <c r="D238" s="366"/>
      <c r="E238" s="366"/>
      <c r="F238" s="366"/>
      <c r="G238" s="377"/>
      <c r="H238" s="377"/>
      <c r="I238" s="378"/>
      <c r="J238" s="378"/>
      <c r="K238" s="366"/>
      <c r="L238" s="366"/>
      <c r="M238" s="365">
        <f>Tabla1[[#This Row],[Columna1]]-Tabla1[[#This Row],[PO '[h']]]</f>
        <v>0</v>
      </c>
      <c r="N238" s="366">
        <f t="shared" si="71"/>
        <v>0</v>
      </c>
      <c r="O238" s="365"/>
      <c r="P238" s="367">
        <f>Tabla1[[#This Row],[G. HGS 
'[MWh']]]</f>
        <v>0</v>
      </c>
      <c r="Q238" s="430">
        <v>0</v>
      </c>
      <c r="R238" s="367">
        <v>0</v>
      </c>
      <c r="S238" s="367">
        <f>Tabla1[[#This Row],[G. HGS 
Con Gas]]*1000</f>
        <v>0</v>
      </c>
      <c r="T238" s="365">
        <f>Tabla1[[#This Row],[G. HGS 
'[MWh']]]*1000</f>
        <v>0</v>
      </c>
      <c r="U238" s="368">
        <f>SUM('G. Un GE'!B238:Y238)</f>
        <v>0</v>
      </c>
      <c r="V238" s="369">
        <f>Tabla1[[#This Row],[R. GE
'[MWh']]]</f>
        <v>0</v>
      </c>
      <c r="W238" s="434">
        <v>0</v>
      </c>
      <c r="X238" s="369">
        <v>0</v>
      </c>
      <c r="Y238" s="365">
        <f>Tabla1[[#This Row],[R. GE
'[MWh']]]*1000</f>
        <v>0</v>
      </c>
      <c r="Z238" s="371"/>
      <c r="AA23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8" s="371">
        <f>IF(Tabla1[[#This Row],[G. HGS 
'[MWh']]]=0,0,Tabla1[[#This Row],[G. HGS 
'[MWh']]]+Tabla1[[#This Row],[Con. Aux. '[MWh']2]])</f>
        <v>0</v>
      </c>
      <c r="AC238" s="368">
        <f>'C. ENER. TN'!F238</f>
        <v>0</v>
      </c>
      <c r="AD238" s="370">
        <f>'C. ENER. TN'!G238</f>
        <v>0</v>
      </c>
      <c r="AE238" s="370">
        <f>'G. Un GE'!AX238</f>
        <v>0</v>
      </c>
      <c r="AF238" s="368">
        <f>IFERROR('G. Un GE'!AX238/Tabla1[[#This Row],[PO '[h']]],0)</f>
        <v>0</v>
      </c>
      <c r="AG238" s="365">
        <f>'Ar-Pa'!AX238</f>
        <v>0</v>
      </c>
      <c r="AH238" s="365">
        <f>'Ar-Pa'!AY238</f>
        <v>0</v>
      </c>
      <c r="AI238" s="366">
        <f>SUM('Cal. Arr'!AB241:AY241)</f>
        <v>0</v>
      </c>
      <c r="AJ238" s="442"/>
      <c r="AK238" s="443"/>
      <c r="AL238" s="267">
        <f t="shared" si="61"/>
        <v>0</v>
      </c>
      <c r="AM238" s="267">
        <f>+CONVERT(AK238+Tabla1[[#This Row],[Con. DO Storage Gen. '[m3']]],"m^3","gal")</f>
        <v>0</v>
      </c>
      <c r="AN238" s="372">
        <f>SUM('DO Pilot'!B238:Y238)</f>
        <v>0</v>
      </c>
      <c r="AO238" s="372">
        <f t="shared" si="62"/>
        <v>0</v>
      </c>
      <c r="AP238" s="267">
        <f>AK238+AN238+Tabla1[[#This Row],[Con. DO Storage Gen. '[m3']]]</f>
        <v>0</v>
      </c>
      <c r="AQ238" s="372">
        <f t="shared" si="68"/>
        <v>0</v>
      </c>
      <c r="AR238" s="443"/>
      <c r="AS238" s="443"/>
      <c r="AT238" s="267">
        <f>+CONVERT(SUM(Tabla1[[#This Row],[Repo. DO Storage '[gal']]:[Repo. DO Pilot '[gal']]]),"gal","m3")</f>
        <v>0</v>
      </c>
      <c r="AU238" s="442">
        <v>0</v>
      </c>
      <c r="AV238" s="372">
        <f t="shared" si="72"/>
        <v>0</v>
      </c>
      <c r="AW238" s="442">
        <v>0</v>
      </c>
      <c r="AX238" s="372">
        <f t="shared" si="73"/>
        <v>0</v>
      </c>
      <c r="AY238" s="372">
        <f t="shared" si="64"/>
        <v>0</v>
      </c>
      <c r="AZ238" s="372">
        <f>IFERROR(AL238/'Ar-Pa'!AX238,0)</f>
        <v>0</v>
      </c>
      <c r="BA238" s="372">
        <f>IFERROR(AL238/'Ar-Pa'!AY238,0)</f>
        <v>0</v>
      </c>
      <c r="BB238" s="372">
        <f t="shared" si="65"/>
        <v>0</v>
      </c>
      <c r="BC238" s="372">
        <f>IFERROR(AVERAGEIF('DO Pilot'!AX238:BU238,"&gt;0"),0)</f>
        <v>0</v>
      </c>
      <c r="BD238" s="446"/>
      <c r="BE238" s="446"/>
      <c r="BF238" s="446"/>
      <c r="BG238" s="223">
        <f>Tabla1[[#This Row],[ Re. Gas GC
 '[m3']]]</f>
        <v>0</v>
      </c>
      <c r="BH238" s="150">
        <f>IFERROR((BG238*Gas!$B$4)/28.31685,0)</f>
        <v>0</v>
      </c>
      <c r="BI238" s="73">
        <f t="shared" si="74"/>
        <v>0</v>
      </c>
      <c r="BJ238" s="74">
        <f t="shared" si="69"/>
        <v>0</v>
      </c>
      <c r="BK238" s="223">
        <f t="shared" si="66"/>
        <v>0</v>
      </c>
      <c r="BL238" s="442">
        <v>8892.6</v>
      </c>
      <c r="BM238" s="70">
        <f t="shared" si="67"/>
        <v>0</v>
      </c>
      <c r="BN238" s="150">
        <f t="shared" si="70"/>
        <v>0</v>
      </c>
      <c r="BO238" s="373">
        <f>IFERROR(Tabla1[[#This Row],[ Re. Gas GC
 '[m3']]]/Tabla1[[#This Row],[G. HGS 
Con Gas '[kWh']]],0)</f>
        <v>0</v>
      </c>
      <c r="BP238" s="374">
        <f>Tank!Y239</f>
        <v>0</v>
      </c>
      <c r="BQ238" s="70">
        <f>Tank!AP239</f>
        <v>0</v>
      </c>
      <c r="BR238" s="70">
        <f>Tank!V239</f>
        <v>0</v>
      </c>
      <c r="BS238" s="372">
        <f>Tank!T239</f>
        <v>0</v>
      </c>
      <c r="BT238" s="375" t="s">
        <v>228</v>
      </c>
      <c r="BU238" s="452"/>
      <c r="BV238" s="376">
        <f>IF(Tabla1[[#This Row],[Combustible ofertado]]="GAS",Tabla1[[#This Row],[Disponibilidad]],0)</f>
        <v>0</v>
      </c>
      <c r="BW238" s="376">
        <f>IF(Tabla1[[#This Row],[Combustible ofertado]]="DIESEL",Tabla1[[#This Row],[Disponibilidad]],0)</f>
        <v>0</v>
      </c>
      <c r="BX238" s="376">
        <f>IF(Tabla1[[#This Row],[Combustible ofertado]]="HFO",Tabla1[[#This Row],[Disponibilidad]],0)</f>
        <v>0</v>
      </c>
      <c r="BY238" s="452"/>
      <c r="BZ238" s="446">
        <f>'Horo. M'!C239</f>
        <v>0</v>
      </c>
      <c r="CA238" s="446">
        <f>'Horo. M'!E239</f>
        <v>0</v>
      </c>
      <c r="CB238" s="446">
        <f>'Horo. M'!G239</f>
        <v>0</v>
      </c>
      <c r="CC238" s="446">
        <f>'Horo. M'!I239</f>
        <v>0</v>
      </c>
      <c r="CD238" s="446">
        <f>'Horo. M'!K239</f>
        <v>0</v>
      </c>
      <c r="CE238" s="446">
        <f>'Horo. M'!M239</f>
        <v>0</v>
      </c>
      <c r="CF238" s="446">
        <f>'Horo. M'!O239</f>
        <v>0</v>
      </c>
      <c r="CG238" s="446">
        <f>'Horo. M'!Q239</f>
        <v>0</v>
      </c>
      <c r="CH238" s="446">
        <f>'Horo. M'!S239</f>
        <v>0</v>
      </c>
      <c r="CI238" s="446">
        <f>'Horo. M'!U239</f>
        <v>0</v>
      </c>
      <c r="CJ238" s="70">
        <f>Tabla1[[#This Row],[Con. DO Storage '[gal']]]-Tabla1[[#This Row],[C. DO Storage Ge '[gal']]]</f>
        <v>0</v>
      </c>
      <c r="CK238" s="70"/>
      <c r="CL238" s="70"/>
      <c r="CM238" s="372">
        <f>Tabla1[[#This Row],[Con. DO Total '[gal']]]*131485.5/(1000000)</f>
        <v>0</v>
      </c>
    </row>
    <row r="239" spans="1:91" ht="15" customHeight="1">
      <c r="A239" s="362">
        <v>45164</v>
      </c>
      <c r="B239" s="363" t="str">
        <f>TEXT(Tabla1[[#This Row],[Fecha]],"mmmm")</f>
        <v>agosto</v>
      </c>
      <c r="C239" s="364"/>
      <c r="D239" s="366"/>
      <c r="E239" s="366"/>
      <c r="F239" s="366"/>
      <c r="G239" s="377"/>
      <c r="H239" s="377"/>
      <c r="I239" s="378"/>
      <c r="J239" s="378"/>
      <c r="K239" s="366"/>
      <c r="L239" s="366"/>
      <c r="M239" s="365">
        <f>Tabla1[[#This Row],[Columna1]]-Tabla1[[#This Row],[PO '[h']]]</f>
        <v>0</v>
      </c>
      <c r="N239" s="366">
        <f t="shared" si="71"/>
        <v>0</v>
      </c>
      <c r="O239" s="365"/>
      <c r="P239" s="367">
        <f>Tabla1[[#This Row],[G. HGS 
'[MWh']]]</f>
        <v>0</v>
      </c>
      <c r="Q239" s="430">
        <v>0</v>
      </c>
      <c r="R239" s="367">
        <v>0</v>
      </c>
      <c r="S239" s="367">
        <f>Tabla1[[#This Row],[G. HGS 
Con Gas]]*1000</f>
        <v>0</v>
      </c>
      <c r="T239" s="365">
        <f>Tabla1[[#This Row],[G. HGS 
'[MWh']]]*1000</f>
        <v>0</v>
      </c>
      <c r="U239" s="368">
        <f>SUM('G. Un GE'!B239:Y239)</f>
        <v>0</v>
      </c>
      <c r="V239" s="369">
        <f>Tabla1[[#This Row],[R. GE
'[MWh']]]</f>
        <v>0</v>
      </c>
      <c r="W239" s="434">
        <v>0</v>
      </c>
      <c r="X239" s="369">
        <v>0</v>
      </c>
      <c r="Y239" s="365">
        <f>Tabla1[[#This Row],[R. GE
'[MWh']]]*1000</f>
        <v>0</v>
      </c>
      <c r="Z239" s="371"/>
      <c r="AA23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39" s="371">
        <f>IF(Tabla1[[#This Row],[G. HGS 
'[MWh']]]=0,0,Tabla1[[#This Row],[G. HGS 
'[MWh']]]+Tabla1[[#This Row],[Con. Aux. '[MWh']2]])</f>
        <v>0</v>
      </c>
      <c r="AC239" s="368">
        <f>'C. ENER. TN'!F239</f>
        <v>0</v>
      </c>
      <c r="AD239" s="370">
        <f>'C. ENER. TN'!G239</f>
        <v>0</v>
      </c>
      <c r="AE239" s="370">
        <f>'G. Un GE'!AX239</f>
        <v>0</v>
      </c>
      <c r="AF239" s="368">
        <f>IFERROR('G. Un GE'!AX239/Tabla1[[#This Row],[PO '[h']]],0)</f>
        <v>0</v>
      </c>
      <c r="AG239" s="365">
        <f>'Ar-Pa'!AX239</f>
        <v>0</v>
      </c>
      <c r="AH239" s="365">
        <f>'Ar-Pa'!AY239</f>
        <v>0</v>
      </c>
      <c r="AI239" s="366">
        <f>SUM('Cal. Arr'!AB242:AY242)</f>
        <v>0</v>
      </c>
      <c r="AJ239" s="442"/>
      <c r="AK239" s="443"/>
      <c r="AL239" s="267">
        <f t="shared" si="61"/>
        <v>0</v>
      </c>
      <c r="AM239" s="267">
        <f>+CONVERT(AK239+Tabla1[[#This Row],[Con. DO Storage Gen. '[m3']]],"m^3","gal")</f>
        <v>0</v>
      </c>
      <c r="AN239" s="372">
        <f>SUM('DO Pilot'!B239:Y239)</f>
        <v>0</v>
      </c>
      <c r="AO239" s="372">
        <f t="shared" si="62"/>
        <v>0</v>
      </c>
      <c r="AP239" s="267">
        <f>AK239+AN239+Tabla1[[#This Row],[Con. DO Storage Gen. '[m3']]]</f>
        <v>0</v>
      </c>
      <c r="AQ239" s="372">
        <f t="shared" si="68"/>
        <v>0</v>
      </c>
      <c r="AR239" s="443"/>
      <c r="AS239" s="443"/>
      <c r="AT239" s="267">
        <f>+CONVERT(SUM(Tabla1[[#This Row],[Repo. DO Storage '[gal']]:[Repo. DO Pilot '[gal']]]),"gal","m3")</f>
        <v>0</v>
      </c>
      <c r="AU239" s="442">
        <v>0</v>
      </c>
      <c r="AV239" s="372">
        <f t="shared" si="72"/>
        <v>0</v>
      </c>
      <c r="AW239" s="442">
        <v>0</v>
      </c>
      <c r="AX239" s="372">
        <f t="shared" si="73"/>
        <v>0</v>
      </c>
      <c r="AY239" s="372">
        <f t="shared" si="64"/>
        <v>0</v>
      </c>
      <c r="AZ239" s="372">
        <f>IFERROR(AL239/'Ar-Pa'!AX239,0)</f>
        <v>0</v>
      </c>
      <c r="BA239" s="372">
        <f>IFERROR(AL239/'Ar-Pa'!AY239,0)</f>
        <v>0</v>
      </c>
      <c r="BB239" s="372">
        <f t="shared" si="65"/>
        <v>0</v>
      </c>
      <c r="BC239" s="372">
        <f>IFERROR(AVERAGEIF('DO Pilot'!AX239:BU239,"&gt;0"),0)</f>
        <v>0</v>
      </c>
      <c r="BD239" s="446"/>
      <c r="BE239" s="446"/>
      <c r="BF239" s="446"/>
      <c r="BG239" s="223">
        <f>Tabla1[[#This Row],[ Re. Gas GC
 '[m3']]]</f>
        <v>0</v>
      </c>
      <c r="BH239" s="150">
        <f>IFERROR((BG239*Gas!$B$4)/28.31685,0)</f>
        <v>0</v>
      </c>
      <c r="BI239" s="73">
        <f t="shared" si="74"/>
        <v>0</v>
      </c>
      <c r="BJ239" s="74">
        <f t="shared" si="69"/>
        <v>0</v>
      </c>
      <c r="BK239" s="223">
        <f t="shared" si="66"/>
        <v>0</v>
      </c>
      <c r="BL239" s="442">
        <v>9084.77</v>
      </c>
      <c r="BM239" s="70">
        <f t="shared" si="67"/>
        <v>0</v>
      </c>
      <c r="BN239" s="150">
        <f t="shared" si="70"/>
        <v>0</v>
      </c>
      <c r="BO239" s="373">
        <f>IFERROR(Tabla1[[#This Row],[ Re. Gas GC
 '[m3']]]/Tabla1[[#This Row],[G. HGS 
Con Gas '[kWh']]],0)</f>
        <v>0</v>
      </c>
      <c r="BP239" s="374">
        <f>Tank!Y240</f>
        <v>0</v>
      </c>
      <c r="BQ239" s="70">
        <f>Tank!AP240</f>
        <v>0</v>
      </c>
      <c r="BR239" s="70">
        <f>Tank!V240</f>
        <v>0</v>
      </c>
      <c r="BS239" s="372">
        <f>Tank!T240</f>
        <v>0</v>
      </c>
      <c r="BT239" s="375" t="s">
        <v>228</v>
      </c>
      <c r="BU239" s="452"/>
      <c r="BV239" s="376">
        <f>IF(Tabla1[[#This Row],[Combustible ofertado]]="GAS",Tabla1[[#This Row],[Disponibilidad]],0)</f>
        <v>0</v>
      </c>
      <c r="BW239" s="376">
        <f>IF(Tabla1[[#This Row],[Combustible ofertado]]="DIESEL",Tabla1[[#This Row],[Disponibilidad]],0)</f>
        <v>0</v>
      </c>
      <c r="BX239" s="376">
        <f>IF(Tabla1[[#This Row],[Combustible ofertado]]="HFO",Tabla1[[#This Row],[Disponibilidad]],0)</f>
        <v>0</v>
      </c>
      <c r="BY239" s="452"/>
      <c r="BZ239" s="446">
        <f>'Horo. M'!C240</f>
        <v>0</v>
      </c>
      <c r="CA239" s="446">
        <f>'Horo. M'!E240</f>
        <v>0</v>
      </c>
      <c r="CB239" s="446">
        <f>'Horo. M'!G240</f>
        <v>0</v>
      </c>
      <c r="CC239" s="446">
        <f>'Horo. M'!I240</f>
        <v>0</v>
      </c>
      <c r="CD239" s="446">
        <f>'Horo. M'!K240</f>
        <v>0</v>
      </c>
      <c r="CE239" s="446">
        <f>'Horo. M'!M240</f>
        <v>0</v>
      </c>
      <c r="CF239" s="446">
        <f>'Horo. M'!O240</f>
        <v>0</v>
      </c>
      <c r="CG239" s="446">
        <f>'Horo. M'!Q240</f>
        <v>0</v>
      </c>
      <c r="CH239" s="446">
        <f>'Horo. M'!S240</f>
        <v>0</v>
      </c>
      <c r="CI239" s="446">
        <f>'Horo. M'!U240</f>
        <v>0</v>
      </c>
      <c r="CJ239" s="70">
        <f>Tabla1[[#This Row],[Con. DO Storage '[gal']]]-Tabla1[[#This Row],[C. DO Storage Ge '[gal']]]</f>
        <v>0</v>
      </c>
      <c r="CK239" s="70"/>
      <c r="CL239" s="70"/>
      <c r="CM239" s="372">
        <f>Tabla1[[#This Row],[Con. DO Total '[gal']]]*131485.5/(1000000)</f>
        <v>0</v>
      </c>
    </row>
    <row r="240" spans="1:91" ht="15" customHeight="1">
      <c r="A240" s="362">
        <v>45165</v>
      </c>
      <c r="B240" s="363" t="str">
        <f>TEXT(Tabla1[[#This Row],[Fecha]],"mmmm")</f>
        <v>agosto</v>
      </c>
      <c r="C240" s="364"/>
      <c r="D240" s="366"/>
      <c r="E240" s="366"/>
      <c r="F240" s="366"/>
      <c r="G240" s="377"/>
      <c r="H240" s="377"/>
      <c r="I240" s="378"/>
      <c r="J240" s="378"/>
      <c r="K240" s="366"/>
      <c r="L240" s="366"/>
      <c r="M240" s="365">
        <f>Tabla1[[#This Row],[Columna1]]-Tabla1[[#This Row],[PO '[h']]]</f>
        <v>0</v>
      </c>
      <c r="N240" s="366">
        <f t="shared" si="71"/>
        <v>0</v>
      </c>
      <c r="O240" s="365"/>
      <c r="P240" s="367">
        <f>Tabla1[[#This Row],[G. HGS 
'[MWh']]]</f>
        <v>0</v>
      </c>
      <c r="Q240" s="430">
        <v>0</v>
      </c>
      <c r="R240" s="367">
        <v>0</v>
      </c>
      <c r="S240" s="367">
        <f>Tabla1[[#This Row],[G. HGS 
Con Gas]]*1000</f>
        <v>0</v>
      </c>
      <c r="T240" s="365">
        <f>Tabla1[[#This Row],[G. HGS 
'[MWh']]]*1000</f>
        <v>0</v>
      </c>
      <c r="U240" s="368">
        <f>SUM('G. Un GE'!B240:Y240)</f>
        <v>0</v>
      </c>
      <c r="V240" s="369">
        <f>Tabla1[[#This Row],[R. GE
'[MWh']]]</f>
        <v>0</v>
      </c>
      <c r="W240" s="434">
        <v>0</v>
      </c>
      <c r="X240" s="369">
        <v>0</v>
      </c>
      <c r="Y240" s="365">
        <f>Tabla1[[#This Row],[R. GE
'[MWh']]]*1000</f>
        <v>0</v>
      </c>
      <c r="Z240" s="371"/>
      <c r="AA24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0" s="371">
        <f>IF(Tabla1[[#This Row],[G. HGS 
'[MWh']]]=0,0,Tabla1[[#This Row],[G. HGS 
'[MWh']]]+Tabla1[[#This Row],[Con. Aux. '[MWh']2]])</f>
        <v>0</v>
      </c>
      <c r="AC240" s="368">
        <f>'C. ENER. TN'!F240</f>
        <v>0</v>
      </c>
      <c r="AD240" s="370">
        <f>'C. ENER. TN'!G240</f>
        <v>0</v>
      </c>
      <c r="AE240" s="370">
        <f>'G. Un GE'!AX240</f>
        <v>0</v>
      </c>
      <c r="AF240" s="368">
        <f>IFERROR('G. Un GE'!AX240/Tabla1[[#This Row],[PO '[h']]],0)</f>
        <v>0</v>
      </c>
      <c r="AG240" s="365">
        <f>'Ar-Pa'!AX240</f>
        <v>0</v>
      </c>
      <c r="AH240" s="365">
        <f>'Ar-Pa'!AY240</f>
        <v>0</v>
      </c>
      <c r="AI240" s="366">
        <f>SUM('Cal. Arr'!AB243:AY243)</f>
        <v>0</v>
      </c>
      <c r="AJ240" s="442"/>
      <c r="AK240" s="443"/>
      <c r="AL240" s="267">
        <f t="shared" si="61"/>
        <v>0</v>
      </c>
      <c r="AM240" s="267">
        <f>+CONVERT(AK240+Tabla1[[#This Row],[Con. DO Storage Gen. '[m3']]],"m^3","gal")</f>
        <v>0</v>
      </c>
      <c r="AN240" s="372">
        <f>SUM('DO Pilot'!B240:Y240)</f>
        <v>0</v>
      </c>
      <c r="AO240" s="372">
        <f t="shared" si="62"/>
        <v>0</v>
      </c>
      <c r="AP240" s="267">
        <f>AK240+AN240+Tabla1[[#This Row],[Con. DO Storage Gen. '[m3']]]</f>
        <v>0</v>
      </c>
      <c r="AQ240" s="372">
        <f t="shared" si="68"/>
        <v>0</v>
      </c>
      <c r="AR240" s="443"/>
      <c r="AS240" s="443"/>
      <c r="AT240" s="267">
        <f>+CONVERT(SUM(Tabla1[[#This Row],[Repo. DO Storage '[gal']]:[Repo. DO Pilot '[gal']]]),"gal","m3")</f>
        <v>0</v>
      </c>
      <c r="AU240" s="442">
        <v>0</v>
      </c>
      <c r="AV240" s="372">
        <f t="shared" si="72"/>
        <v>0</v>
      </c>
      <c r="AW240" s="442">
        <v>0</v>
      </c>
      <c r="AX240" s="372">
        <f t="shared" si="73"/>
        <v>0</v>
      </c>
      <c r="AY240" s="372">
        <f t="shared" si="64"/>
        <v>0</v>
      </c>
      <c r="AZ240" s="372">
        <f>IFERROR(AL240/'Ar-Pa'!AX240,0)</f>
        <v>0</v>
      </c>
      <c r="BA240" s="372">
        <f>IFERROR(AL240/'Ar-Pa'!AY240,0)</f>
        <v>0</v>
      </c>
      <c r="BB240" s="372">
        <f t="shared" si="65"/>
        <v>0</v>
      </c>
      <c r="BC240" s="372">
        <f>IFERROR(AVERAGEIF('DO Pilot'!AX240:BU240,"&gt;0"),0)</f>
        <v>0</v>
      </c>
      <c r="BD240" s="446"/>
      <c r="BE240" s="446"/>
      <c r="BF240" s="446"/>
      <c r="BG240" s="223">
        <f>Tabla1[[#This Row],[ Re. Gas GC
 '[m3']]]</f>
        <v>0</v>
      </c>
      <c r="BH240" s="150">
        <f>IFERROR((BG240*Gas!$B$4)/28.31685,0)</f>
        <v>0</v>
      </c>
      <c r="BI240" s="73">
        <f t="shared" si="74"/>
        <v>0</v>
      </c>
      <c r="BJ240" s="74">
        <f t="shared" si="69"/>
        <v>0</v>
      </c>
      <c r="BK240" s="223">
        <f t="shared" si="66"/>
        <v>0</v>
      </c>
      <c r="BL240" s="442">
        <v>9011.5</v>
      </c>
      <c r="BM240" s="70">
        <f t="shared" si="67"/>
        <v>0</v>
      </c>
      <c r="BN240" s="150">
        <f t="shared" si="70"/>
        <v>0</v>
      </c>
      <c r="BO240" s="373">
        <f>IFERROR(Tabla1[[#This Row],[ Re. Gas GC
 '[m3']]]/Tabla1[[#This Row],[G. HGS 
Con Gas '[kWh']]],0)</f>
        <v>0</v>
      </c>
      <c r="BP240" s="374">
        <f>Tank!Y241</f>
        <v>0</v>
      </c>
      <c r="BQ240" s="70">
        <f>Tank!AP241</f>
        <v>0</v>
      </c>
      <c r="BR240" s="70">
        <f>Tank!V241</f>
        <v>0</v>
      </c>
      <c r="BS240" s="372">
        <f>Tank!T241</f>
        <v>0</v>
      </c>
      <c r="BT240" s="375" t="s">
        <v>228</v>
      </c>
      <c r="BU240" s="452"/>
      <c r="BV240" s="376">
        <f>IF(Tabla1[[#This Row],[Combustible ofertado]]="GAS",Tabla1[[#This Row],[Disponibilidad]],0)</f>
        <v>0</v>
      </c>
      <c r="BW240" s="376">
        <f>IF(Tabla1[[#This Row],[Combustible ofertado]]="DIESEL",Tabla1[[#This Row],[Disponibilidad]],0)</f>
        <v>0</v>
      </c>
      <c r="BX240" s="376">
        <f>IF(Tabla1[[#This Row],[Combustible ofertado]]="HFO",Tabla1[[#This Row],[Disponibilidad]],0)</f>
        <v>0</v>
      </c>
      <c r="BY240" s="452"/>
      <c r="BZ240" s="446">
        <f>'Horo. M'!C241</f>
        <v>0</v>
      </c>
      <c r="CA240" s="446">
        <f>'Horo. M'!E241</f>
        <v>0</v>
      </c>
      <c r="CB240" s="446">
        <f>'Horo. M'!G241</f>
        <v>0</v>
      </c>
      <c r="CC240" s="446">
        <f>'Horo. M'!I241</f>
        <v>0</v>
      </c>
      <c r="CD240" s="446">
        <f>'Horo. M'!K241</f>
        <v>0</v>
      </c>
      <c r="CE240" s="446">
        <f>'Horo. M'!M241</f>
        <v>0</v>
      </c>
      <c r="CF240" s="446">
        <f>'Horo. M'!O241</f>
        <v>0</v>
      </c>
      <c r="CG240" s="446">
        <f>'Horo. M'!Q241</f>
        <v>0</v>
      </c>
      <c r="CH240" s="446">
        <f>'Horo. M'!S241</f>
        <v>0</v>
      </c>
      <c r="CI240" s="446">
        <f>'Horo. M'!U241</f>
        <v>0</v>
      </c>
      <c r="CJ240" s="70">
        <f>Tabla1[[#This Row],[Con. DO Storage '[gal']]]-Tabla1[[#This Row],[C. DO Storage Ge '[gal']]]</f>
        <v>0</v>
      </c>
      <c r="CK240" s="70"/>
      <c r="CL240" s="70"/>
      <c r="CM240" s="372">
        <f>Tabla1[[#This Row],[Con. DO Total '[gal']]]*131485.5/(1000000)</f>
        <v>0</v>
      </c>
    </row>
    <row r="241" spans="1:91" ht="15" customHeight="1">
      <c r="A241" s="362">
        <v>45166</v>
      </c>
      <c r="B241" s="363" t="str">
        <f>TEXT(Tabla1[[#This Row],[Fecha]],"mmmm")</f>
        <v>agosto</v>
      </c>
      <c r="C241" s="364"/>
      <c r="D241" s="366"/>
      <c r="E241" s="366"/>
      <c r="F241" s="366"/>
      <c r="G241" s="377"/>
      <c r="H241" s="377"/>
      <c r="I241" s="378"/>
      <c r="J241" s="378"/>
      <c r="K241" s="366"/>
      <c r="L241" s="366"/>
      <c r="M241" s="365">
        <f>Tabla1[[#This Row],[Columna1]]-Tabla1[[#This Row],[PO '[h']]]</f>
        <v>0</v>
      </c>
      <c r="N241" s="366">
        <f t="shared" si="71"/>
        <v>0</v>
      </c>
      <c r="O241" s="365"/>
      <c r="P241" s="367">
        <f>Tabla1[[#This Row],[G. HGS 
'[MWh']]]</f>
        <v>0</v>
      </c>
      <c r="Q241" s="430">
        <v>0</v>
      </c>
      <c r="R241" s="367">
        <v>0</v>
      </c>
      <c r="S241" s="367">
        <f>Tabla1[[#This Row],[G. HGS 
Con Gas]]*1000</f>
        <v>0</v>
      </c>
      <c r="T241" s="365">
        <f>Tabla1[[#This Row],[G. HGS 
'[MWh']]]*1000</f>
        <v>0</v>
      </c>
      <c r="U241" s="368">
        <f>SUM('G. Un GE'!B241:Y241)</f>
        <v>0</v>
      </c>
      <c r="V241" s="369">
        <f>Tabla1[[#This Row],[R. GE
'[MWh']]]</f>
        <v>0</v>
      </c>
      <c r="W241" s="434">
        <v>0</v>
      </c>
      <c r="X241" s="369">
        <v>0</v>
      </c>
      <c r="Y241" s="365">
        <f>Tabla1[[#This Row],[R. GE
'[MWh']]]*1000</f>
        <v>0</v>
      </c>
      <c r="Z241" s="371"/>
      <c r="AA24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1" s="371">
        <f>IF(Tabla1[[#This Row],[G. HGS 
'[MWh']]]=0,0,Tabla1[[#This Row],[G. HGS 
'[MWh']]]+Tabla1[[#This Row],[Con. Aux. '[MWh']2]])</f>
        <v>0</v>
      </c>
      <c r="AC241" s="368">
        <f>'C. ENER. TN'!F241</f>
        <v>0</v>
      </c>
      <c r="AD241" s="370">
        <f>'C. ENER. TN'!G241</f>
        <v>0</v>
      </c>
      <c r="AE241" s="370">
        <f>'G. Un GE'!AX241</f>
        <v>0</v>
      </c>
      <c r="AF241" s="368">
        <f>IFERROR('G. Un GE'!AX241/Tabla1[[#This Row],[PO '[h']]],0)</f>
        <v>0</v>
      </c>
      <c r="AG241" s="365">
        <f>'Ar-Pa'!AX241</f>
        <v>0</v>
      </c>
      <c r="AH241" s="365">
        <f>'Ar-Pa'!AY241</f>
        <v>0</v>
      </c>
      <c r="AI241" s="366">
        <f>SUM('Cal. Arr'!AB244:AY244)</f>
        <v>0</v>
      </c>
      <c r="AJ241" s="442"/>
      <c r="AK241" s="443"/>
      <c r="AL241" s="267">
        <f t="shared" si="61"/>
        <v>0</v>
      </c>
      <c r="AM241" s="267">
        <f>+CONVERT(AK241+Tabla1[[#This Row],[Con. DO Storage Gen. '[m3']]],"m^3","gal")</f>
        <v>0</v>
      </c>
      <c r="AN241" s="372">
        <f>SUM('DO Pilot'!B241:Y241)</f>
        <v>0</v>
      </c>
      <c r="AO241" s="372">
        <f t="shared" si="62"/>
        <v>0</v>
      </c>
      <c r="AP241" s="267">
        <f>AK241+AN241+Tabla1[[#This Row],[Con. DO Storage Gen. '[m3']]]</f>
        <v>0</v>
      </c>
      <c r="AQ241" s="372">
        <f t="shared" si="68"/>
        <v>0</v>
      </c>
      <c r="AR241" s="443"/>
      <c r="AS241" s="443"/>
      <c r="AT241" s="267">
        <f>+CONVERT(SUM(Tabla1[[#This Row],[Repo. DO Storage '[gal']]:[Repo. DO Pilot '[gal']]]),"gal","m3")</f>
        <v>0</v>
      </c>
      <c r="AU241" s="442">
        <v>0</v>
      </c>
      <c r="AV241" s="372">
        <f t="shared" si="72"/>
        <v>0</v>
      </c>
      <c r="AW241" s="442">
        <v>0</v>
      </c>
      <c r="AX241" s="372">
        <f t="shared" si="73"/>
        <v>0</v>
      </c>
      <c r="AY241" s="372">
        <f t="shared" si="64"/>
        <v>0</v>
      </c>
      <c r="AZ241" s="372">
        <f>IFERROR(AL241/'Ar-Pa'!AX241,0)</f>
        <v>0</v>
      </c>
      <c r="BA241" s="372">
        <f>IFERROR(AL241/'Ar-Pa'!AY241,0)</f>
        <v>0</v>
      </c>
      <c r="BB241" s="372">
        <f t="shared" si="65"/>
        <v>0</v>
      </c>
      <c r="BC241" s="372">
        <f>IFERROR(AVERAGEIF('DO Pilot'!AX241:BU241,"&gt;0"),0)</f>
        <v>0</v>
      </c>
      <c r="BD241" s="446"/>
      <c r="BE241" s="446"/>
      <c r="BF241" s="446"/>
      <c r="BG241" s="223">
        <f>Tabla1[[#This Row],[ Re. Gas GC
 '[m3']]]</f>
        <v>0</v>
      </c>
      <c r="BH241" s="150">
        <f>IFERROR((BG241*Gas!$B$4)/28.31685,0)</f>
        <v>0</v>
      </c>
      <c r="BI241" s="73">
        <f t="shared" si="74"/>
        <v>0</v>
      </c>
      <c r="BJ241" s="74">
        <f t="shared" si="69"/>
        <v>0</v>
      </c>
      <c r="BK241" s="223">
        <f t="shared" si="66"/>
        <v>0</v>
      </c>
      <c r="BL241" s="442">
        <v>9202.0300000000007</v>
      </c>
      <c r="BM241" s="70">
        <f t="shared" si="67"/>
        <v>0</v>
      </c>
      <c r="BN241" s="150">
        <f t="shared" si="70"/>
        <v>0</v>
      </c>
      <c r="BO241" s="373">
        <f>IFERROR(Tabla1[[#This Row],[ Re. Gas GC
 '[m3']]]/Tabla1[[#This Row],[G. HGS 
Con Gas '[kWh']]],0)</f>
        <v>0</v>
      </c>
      <c r="BP241" s="374">
        <f>Tank!Y242</f>
        <v>0</v>
      </c>
      <c r="BQ241" s="70">
        <f>Tank!AP242</f>
        <v>0</v>
      </c>
      <c r="BR241" s="70">
        <f>Tank!V242</f>
        <v>0</v>
      </c>
      <c r="BS241" s="372">
        <f>Tank!T242</f>
        <v>0</v>
      </c>
      <c r="BT241" s="375" t="s">
        <v>228</v>
      </c>
      <c r="BU241" s="452"/>
      <c r="BV241" s="376">
        <f>IF(Tabla1[[#This Row],[Combustible ofertado]]="GAS",Tabla1[[#This Row],[Disponibilidad]],0)</f>
        <v>0</v>
      </c>
      <c r="BW241" s="376">
        <f>IF(Tabla1[[#This Row],[Combustible ofertado]]="DIESEL",Tabla1[[#This Row],[Disponibilidad]],0)</f>
        <v>0</v>
      </c>
      <c r="BX241" s="376">
        <f>IF(Tabla1[[#This Row],[Combustible ofertado]]="HFO",Tabla1[[#This Row],[Disponibilidad]],0)</f>
        <v>0</v>
      </c>
      <c r="BY241" s="452"/>
      <c r="BZ241" s="446">
        <f>'Horo. M'!C242</f>
        <v>0</v>
      </c>
      <c r="CA241" s="446">
        <f>'Horo. M'!E242</f>
        <v>0</v>
      </c>
      <c r="CB241" s="446">
        <f>'Horo. M'!G242</f>
        <v>0</v>
      </c>
      <c r="CC241" s="446">
        <f>'Horo. M'!I242</f>
        <v>0</v>
      </c>
      <c r="CD241" s="446">
        <f>'Horo. M'!K242</f>
        <v>0</v>
      </c>
      <c r="CE241" s="446">
        <f>'Horo. M'!M242</f>
        <v>0</v>
      </c>
      <c r="CF241" s="446">
        <f>'Horo. M'!O242</f>
        <v>0</v>
      </c>
      <c r="CG241" s="446">
        <f>'Horo. M'!Q242</f>
        <v>0</v>
      </c>
      <c r="CH241" s="446">
        <f>'Horo. M'!S242</f>
        <v>0</v>
      </c>
      <c r="CI241" s="446">
        <f>'Horo. M'!U242</f>
        <v>0</v>
      </c>
      <c r="CJ241" s="70">
        <f>Tabla1[[#This Row],[Con. DO Storage '[gal']]]-Tabla1[[#This Row],[C. DO Storage Ge '[gal']]]</f>
        <v>0</v>
      </c>
      <c r="CK241" s="70"/>
      <c r="CL241" s="70"/>
      <c r="CM241" s="372">
        <f>Tabla1[[#This Row],[Con. DO Total '[gal']]]*131485.5/(1000000)</f>
        <v>0</v>
      </c>
    </row>
    <row r="242" spans="1:91" ht="15" customHeight="1">
      <c r="A242" s="362">
        <v>45167</v>
      </c>
      <c r="B242" s="363" t="str">
        <f>TEXT(Tabla1[[#This Row],[Fecha]],"mmmm")</f>
        <v>agosto</v>
      </c>
      <c r="C242" s="364"/>
      <c r="D242" s="366"/>
      <c r="E242" s="366"/>
      <c r="F242" s="366"/>
      <c r="G242" s="377"/>
      <c r="H242" s="377"/>
      <c r="I242" s="378"/>
      <c r="J242" s="378"/>
      <c r="K242" s="366"/>
      <c r="L242" s="366"/>
      <c r="M242" s="365">
        <f>Tabla1[[#This Row],[Columna1]]-Tabla1[[#This Row],[PO '[h']]]</f>
        <v>0</v>
      </c>
      <c r="N242" s="366">
        <f t="shared" si="71"/>
        <v>0</v>
      </c>
      <c r="O242" s="365"/>
      <c r="P242" s="367">
        <f>Tabla1[[#This Row],[G. HGS 
'[MWh']]]</f>
        <v>0</v>
      </c>
      <c r="Q242" s="430">
        <v>0</v>
      </c>
      <c r="R242" s="367">
        <v>0</v>
      </c>
      <c r="S242" s="367">
        <f>Tabla1[[#This Row],[G. HGS 
Con Gas]]*1000</f>
        <v>0</v>
      </c>
      <c r="T242" s="365">
        <f>Tabla1[[#This Row],[G. HGS 
'[MWh']]]*1000</f>
        <v>0</v>
      </c>
      <c r="U242" s="368">
        <f>SUM('G. Un GE'!B242:Y242)</f>
        <v>0</v>
      </c>
      <c r="V242" s="369">
        <f>Tabla1[[#This Row],[R. GE
'[MWh']]]</f>
        <v>0</v>
      </c>
      <c r="W242" s="434">
        <v>0</v>
      </c>
      <c r="X242" s="369">
        <v>0</v>
      </c>
      <c r="Y242" s="365">
        <f>Tabla1[[#This Row],[R. GE
'[MWh']]]*1000</f>
        <v>0</v>
      </c>
      <c r="Z242" s="371"/>
      <c r="AA24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2" s="371">
        <f>IF(Tabla1[[#This Row],[G. HGS 
'[MWh']]]=0,0,Tabla1[[#This Row],[G. HGS 
'[MWh']]]+Tabla1[[#This Row],[Con. Aux. '[MWh']2]])</f>
        <v>0</v>
      </c>
      <c r="AC242" s="368">
        <f>'C. ENER. TN'!F242</f>
        <v>0</v>
      </c>
      <c r="AD242" s="370">
        <f>'C. ENER. TN'!G242</f>
        <v>0</v>
      </c>
      <c r="AE242" s="370">
        <f>'G. Un GE'!AX242</f>
        <v>0</v>
      </c>
      <c r="AF242" s="368">
        <f>IFERROR('G. Un GE'!AX242/Tabla1[[#This Row],[PO '[h']]],0)</f>
        <v>0</v>
      </c>
      <c r="AG242" s="365">
        <f>'Ar-Pa'!AX242</f>
        <v>0</v>
      </c>
      <c r="AH242" s="365">
        <f>'Ar-Pa'!AY242</f>
        <v>0</v>
      </c>
      <c r="AI242" s="366">
        <f>SUM('Cal. Arr'!AB245:AY245)</f>
        <v>0</v>
      </c>
      <c r="AJ242" s="442"/>
      <c r="AK242" s="443"/>
      <c r="AL242" s="267">
        <f t="shared" si="61"/>
        <v>0</v>
      </c>
      <c r="AM242" s="267">
        <f>+CONVERT(AK242+Tabla1[[#This Row],[Con. DO Storage Gen. '[m3']]],"m^3","gal")</f>
        <v>0</v>
      </c>
      <c r="AN242" s="372">
        <f>SUM('DO Pilot'!B242:Y242)</f>
        <v>0</v>
      </c>
      <c r="AO242" s="372">
        <f t="shared" si="62"/>
        <v>0</v>
      </c>
      <c r="AP242" s="267">
        <f>AK242+AN242+Tabla1[[#This Row],[Con. DO Storage Gen. '[m3']]]</f>
        <v>0</v>
      </c>
      <c r="AQ242" s="372">
        <f t="shared" si="68"/>
        <v>0</v>
      </c>
      <c r="AR242" s="443"/>
      <c r="AS242" s="443"/>
      <c r="AT242" s="267">
        <f>+CONVERT(SUM(Tabla1[[#This Row],[Repo. DO Storage '[gal']]:[Repo. DO Pilot '[gal']]]),"gal","m3")</f>
        <v>0</v>
      </c>
      <c r="AU242" s="442">
        <v>0</v>
      </c>
      <c r="AV242" s="372">
        <f t="shared" si="72"/>
        <v>0</v>
      </c>
      <c r="AW242" s="442">
        <v>0</v>
      </c>
      <c r="AX242" s="372">
        <f t="shared" si="73"/>
        <v>0</v>
      </c>
      <c r="AY242" s="372">
        <f t="shared" si="64"/>
        <v>0</v>
      </c>
      <c r="AZ242" s="372">
        <f>IFERROR(AL242/'Ar-Pa'!AX242,0)</f>
        <v>0</v>
      </c>
      <c r="BA242" s="372">
        <f>IFERROR(AL242/'Ar-Pa'!AY242,0)</f>
        <v>0</v>
      </c>
      <c r="BB242" s="372">
        <f t="shared" si="65"/>
        <v>0</v>
      </c>
      <c r="BC242" s="372">
        <f>IFERROR(AVERAGEIF('DO Pilot'!AX242:BU242,"&gt;0"),0)</f>
        <v>0</v>
      </c>
      <c r="BD242" s="446"/>
      <c r="BE242" s="446"/>
      <c r="BF242" s="446"/>
      <c r="BG242" s="223">
        <f>Tabla1[[#This Row],[ Re. Gas GC
 '[m3']]]</f>
        <v>0</v>
      </c>
      <c r="BH242" s="150">
        <f>IFERROR((BG242*Gas!$B$4)/28.31685,0)</f>
        <v>0</v>
      </c>
      <c r="BI242" s="73">
        <f t="shared" si="74"/>
        <v>0</v>
      </c>
      <c r="BJ242" s="74">
        <f t="shared" si="69"/>
        <v>0</v>
      </c>
      <c r="BK242" s="223">
        <f t="shared" si="66"/>
        <v>0</v>
      </c>
      <c r="BL242" s="442">
        <v>9171.59</v>
      </c>
      <c r="BM242" s="70">
        <f t="shared" si="67"/>
        <v>0</v>
      </c>
      <c r="BN242" s="150">
        <f t="shared" si="70"/>
        <v>0</v>
      </c>
      <c r="BO242" s="373">
        <f>IFERROR(Tabla1[[#This Row],[ Re. Gas GC
 '[m3']]]/Tabla1[[#This Row],[G. HGS 
Con Gas '[kWh']]],0)</f>
        <v>0</v>
      </c>
      <c r="BP242" s="374">
        <f>Tank!Y243</f>
        <v>0</v>
      </c>
      <c r="BQ242" s="70">
        <f>Tank!AP243</f>
        <v>0</v>
      </c>
      <c r="BR242" s="70">
        <f>Tank!V243</f>
        <v>0</v>
      </c>
      <c r="BS242" s="372">
        <f>Tank!T243</f>
        <v>0</v>
      </c>
      <c r="BT242" s="375" t="s">
        <v>228</v>
      </c>
      <c r="BU242" s="452"/>
      <c r="BV242" s="376">
        <f>IF(Tabla1[[#This Row],[Combustible ofertado]]="GAS",Tabla1[[#This Row],[Disponibilidad]],0)</f>
        <v>0</v>
      </c>
      <c r="BW242" s="376">
        <f>IF(Tabla1[[#This Row],[Combustible ofertado]]="DIESEL",Tabla1[[#This Row],[Disponibilidad]],0)</f>
        <v>0</v>
      </c>
      <c r="BX242" s="376">
        <f>IF(Tabla1[[#This Row],[Combustible ofertado]]="HFO",Tabla1[[#This Row],[Disponibilidad]],0)</f>
        <v>0</v>
      </c>
      <c r="BY242" s="452"/>
      <c r="BZ242" s="446">
        <f>'Horo. M'!C243</f>
        <v>0</v>
      </c>
      <c r="CA242" s="446">
        <f>'Horo. M'!E243</f>
        <v>0</v>
      </c>
      <c r="CB242" s="446">
        <f>'Horo. M'!G243</f>
        <v>0</v>
      </c>
      <c r="CC242" s="446">
        <f>'Horo. M'!I243</f>
        <v>0</v>
      </c>
      <c r="CD242" s="446">
        <f>'Horo. M'!K243</f>
        <v>0</v>
      </c>
      <c r="CE242" s="446">
        <f>'Horo. M'!M243</f>
        <v>0</v>
      </c>
      <c r="CF242" s="446">
        <f>'Horo. M'!O243</f>
        <v>0</v>
      </c>
      <c r="CG242" s="446">
        <f>'Horo. M'!Q243</f>
        <v>0</v>
      </c>
      <c r="CH242" s="446">
        <f>'Horo. M'!S243</f>
        <v>0</v>
      </c>
      <c r="CI242" s="446">
        <f>'Horo. M'!U243</f>
        <v>0</v>
      </c>
      <c r="CJ242" s="70">
        <f>Tabla1[[#This Row],[Con. DO Storage '[gal']]]-Tabla1[[#This Row],[C. DO Storage Ge '[gal']]]</f>
        <v>0</v>
      </c>
      <c r="CK242" s="70"/>
      <c r="CL242" s="70"/>
      <c r="CM242" s="372">
        <f>Tabla1[[#This Row],[Con. DO Total '[gal']]]*131485.5/(1000000)</f>
        <v>0</v>
      </c>
    </row>
    <row r="243" spans="1:91" ht="15" customHeight="1">
      <c r="A243" s="362">
        <v>45168</v>
      </c>
      <c r="B243" s="363" t="str">
        <f>TEXT(Tabla1[[#This Row],[Fecha]],"mmmm")</f>
        <v>agosto</v>
      </c>
      <c r="C243" s="364"/>
      <c r="D243" s="366"/>
      <c r="E243" s="366"/>
      <c r="F243" s="366"/>
      <c r="G243" s="377"/>
      <c r="H243" s="377"/>
      <c r="I243" s="378"/>
      <c r="J243" s="378"/>
      <c r="K243" s="366"/>
      <c r="L243" s="366"/>
      <c r="M243" s="365">
        <f>Tabla1[[#This Row],[Columna1]]-Tabla1[[#This Row],[PO '[h']]]</f>
        <v>0</v>
      </c>
      <c r="N243" s="366">
        <f t="shared" si="71"/>
        <v>0</v>
      </c>
      <c r="O243" s="365"/>
      <c r="P243" s="367">
        <f>Tabla1[[#This Row],[G. HGS 
'[MWh']]]</f>
        <v>0</v>
      </c>
      <c r="Q243" s="430">
        <v>0</v>
      </c>
      <c r="R243" s="367">
        <v>0</v>
      </c>
      <c r="S243" s="367">
        <f>Tabla1[[#This Row],[G. HGS 
Con Gas]]*1000</f>
        <v>0</v>
      </c>
      <c r="T243" s="365">
        <f>Tabla1[[#This Row],[G. HGS 
'[MWh']]]*1000</f>
        <v>0</v>
      </c>
      <c r="U243" s="368">
        <f>SUM('G. Un GE'!B243:Y243)</f>
        <v>0</v>
      </c>
      <c r="V243" s="369">
        <f>Tabla1[[#This Row],[R. GE
'[MWh']]]</f>
        <v>0</v>
      </c>
      <c r="W243" s="434">
        <v>0</v>
      </c>
      <c r="X243" s="369">
        <v>0</v>
      </c>
      <c r="Y243" s="365">
        <f>Tabla1[[#This Row],[R. GE
'[MWh']]]*1000</f>
        <v>0</v>
      </c>
      <c r="Z243" s="371"/>
      <c r="AA24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3" s="371">
        <f>IF(Tabla1[[#This Row],[G. HGS 
'[MWh']]]=0,0,Tabla1[[#This Row],[G. HGS 
'[MWh']]]+Tabla1[[#This Row],[Con. Aux. '[MWh']2]])</f>
        <v>0</v>
      </c>
      <c r="AC243" s="368">
        <f>'C. ENER. TN'!F243</f>
        <v>0</v>
      </c>
      <c r="AD243" s="370">
        <f>'C. ENER. TN'!G243</f>
        <v>0</v>
      </c>
      <c r="AE243" s="370">
        <f>'G. Un GE'!AX243</f>
        <v>0</v>
      </c>
      <c r="AF243" s="368">
        <f>IFERROR('G. Un GE'!AX243/Tabla1[[#This Row],[PO '[h']]],0)</f>
        <v>0</v>
      </c>
      <c r="AG243" s="365">
        <f>'Ar-Pa'!AX243</f>
        <v>0</v>
      </c>
      <c r="AH243" s="365">
        <f>'Ar-Pa'!AY243</f>
        <v>0</v>
      </c>
      <c r="AI243" s="366">
        <f>SUM('Cal. Arr'!AB246:AY246)</f>
        <v>0</v>
      </c>
      <c r="AJ243" s="442"/>
      <c r="AK243" s="443"/>
      <c r="AL243" s="267">
        <f t="shared" si="61"/>
        <v>0</v>
      </c>
      <c r="AM243" s="267">
        <f>+CONVERT(AK243+Tabla1[[#This Row],[Con. DO Storage Gen. '[m3']]],"m^3","gal")</f>
        <v>0</v>
      </c>
      <c r="AN243" s="372">
        <f>SUM('DO Pilot'!B243:Y243)</f>
        <v>0</v>
      </c>
      <c r="AO243" s="372">
        <f t="shared" si="62"/>
        <v>0</v>
      </c>
      <c r="AP243" s="267">
        <f>AK243+AN243+Tabla1[[#This Row],[Con. DO Storage Gen. '[m3']]]</f>
        <v>0</v>
      </c>
      <c r="AQ243" s="372">
        <f t="shared" si="68"/>
        <v>0</v>
      </c>
      <c r="AR243" s="443"/>
      <c r="AS243" s="443"/>
      <c r="AT243" s="267">
        <f>+CONVERT(SUM(Tabla1[[#This Row],[Repo. DO Storage '[gal']]:[Repo. DO Pilot '[gal']]]),"gal","m3")</f>
        <v>0</v>
      </c>
      <c r="AU243" s="442">
        <v>0</v>
      </c>
      <c r="AV243" s="372">
        <f t="shared" si="72"/>
        <v>0</v>
      </c>
      <c r="AW243" s="442">
        <v>0</v>
      </c>
      <c r="AX243" s="372">
        <f t="shared" si="73"/>
        <v>0</v>
      </c>
      <c r="AY243" s="372">
        <f t="shared" si="64"/>
        <v>0</v>
      </c>
      <c r="AZ243" s="372">
        <f>IFERROR(AL243/'Ar-Pa'!AX243,0)</f>
        <v>0</v>
      </c>
      <c r="BA243" s="372">
        <f>IFERROR(AL243/'Ar-Pa'!AY243,0)</f>
        <v>0</v>
      </c>
      <c r="BB243" s="372">
        <f t="shared" si="65"/>
        <v>0</v>
      </c>
      <c r="BC243" s="372">
        <f>IFERROR(AVERAGEIF('DO Pilot'!AX243:BU243,"&gt;0"),0)</f>
        <v>0</v>
      </c>
      <c r="BD243" s="446"/>
      <c r="BE243" s="446"/>
      <c r="BF243" s="446"/>
      <c r="BG243" s="223">
        <f>Tabla1[[#This Row],[ Re. Gas GC
 '[m3']]]</f>
        <v>0</v>
      </c>
      <c r="BH243" s="150">
        <f>IFERROR((BG243*Gas!$B$4)/28.31685,0)</f>
        <v>0</v>
      </c>
      <c r="BI243" s="73">
        <f t="shared" si="74"/>
        <v>0</v>
      </c>
      <c r="BJ243" s="74">
        <f t="shared" si="69"/>
        <v>0</v>
      </c>
      <c r="BK243" s="223">
        <f t="shared" si="66"/>
        <v>0</v>
      </c>
      <c r="BL243" s="442">
        <v>9077.01</v>
      </c>
      <c r="BM243" s="70">
        <f t="shared" si="67"/>
        <v>0</v>
      </c>
      <c r="BN243" s="150">
        <f t="shared" si="70"/>
        <v>0</v>
      </c>
      <c r="BO243" s="373">
        <f>IFERROR(Tabla1[[#This Row],[ Re. Gas GC
 '[m3']]]/Tabla1[[#This Row],[G. HGS 
Con Gas '[kWh']]],0)</f>
        <v>0</v>
      </c>
      <c r="BP243" s="374">
        <f>Tank!Y244</f>
        <v>0</v>
      </c>
      <c r="BQ243" s="70">
        <f>Tank!AP244</f>
        <v>0</v>
      </c>
      <c r="BR243" s="70">
        <f>Tank!V244</f>
        <v>0</v>
      </c>
      <c r="BS243" s="372">
        <f>Tank!T244</f>
        <v>0</v>
      </c>
      <c r="BT243" s="375" t="s">
        <v>228</v>
      </c>
      <c r="BU243" s="452"/>
      <c r="BV243" s="376">
        <f>IF(Tabla1[[#This Row],[Combustible ofertado]]="GAS",Tabla1[[#This Row],[Disponibilidad]],0)</f>
        <v>0</v>
      </c>
      <c r="BW243" s="376">
        <f>IF(Tabla1[[#This Row],[Combustible ofertado]]="DIESEL",Tabla1[[#This Row],[Disponibilidad]],0)</f>
        <v>0</v>
      </c>
      <c r="BX243" s="376">
        <f>IF(Tabla1[[#This Row],[Combustible ofertado]]="HFO",Tabla1[[#This Row],[Disponibilidad]],0)</f>
        <v>0</v>
      </c>
      <c r="BY243" s="452"/>
      <c r="BZ243" s="446">
        <f>'Horo. M'!C244</f>
        <v>0</v>
      </c>
      <c r="CA243" s="446">
        <f>'Horo. M'!E244</f>
        <v>0</v>
      </c>
      <c r="CB243" s="446">
        <f>'Horo. M'!G244</f>
        <v>0</v>
      </c>
      <c r="CC243" s="446">
        <f>'Horo. M'!I244</f>
        <v>0</v>
      </c>
      <c r="CD243" s="446">
        <f>'Horo. M'!K244</f>
        <v>0</v>
      </c>
      <c r="CE243" s="446">
        <f>'Horo. M'!M244</f>
        <v>0</v>
      </c>
      <c r="CF243" s="446">
        <f>'Horo. M'!O244</f>
        <v>0</v>
      </c>
      <c r="CG243" s="446">
        <f>'Horo. M'!Q244</f>
        <v>0</v>
      </c>
      <c r="CH243" s="446">
        <f>'Horo. M'!S244</f>
        <v>0</v>
      </c>
      <c r="CI243" s="446">
        <f>'Horo. M'!U244</f>
        <v>0</v>
      </c>
      <c r="CJ243" s="70">
        <f>Tabla1[[#This Row],[Con. DO Storage '[gal']]]-Tabla1[[#This Row],[C. DO Storage Ge '[gal']]]</f>
        <v>0</v>
      </c>
      <c r="CK243" s="70"/>
      <c r="CL243" s="70"/>
      <c r="CM243" s="372">
        <f>Tabla1[[#This Row],[Con. DO Total '[gal']]]*131485.5/(1000000)</f>
        <v>0</v>
      </c>
    </row>
    <row r="244" spans="1:91" ht="15" customHeight="1">
      <c r="A244" s="362">
        <v>45169</v>
      </c>
      <c r="B244" s="363" t="str">
        <f>TEXT(Tabla1[[#This Row],[Fecha]],"mmmm")</f>
        <v>agosto</v>
      </c>
      <c r="C244" s="364"/>
      <c r="D244" s="366"/>
      <c r="E244" s="366"/>
      <c r="F244" s="366"/>
      <c r="G244" s="377"/>
      <c r="H244" s="377"/>
      <c r="I244" s="378"/>
      <c r="J244" s="378"/>
      <c r="K244" s="366"/>
      <c r="L244" s="366"/>
      <c r="M244" s="365">
        <f>Tabla1[[#This Row],[Columna1]]-Tabla1[[#This Row],[PO '[h']]]</f>
        <v>0</v>
      </c>
      <c r="N244" s="366">
        <f t="shared" si="71"/>
        <v>0</v>
      </c>
      <c r="O244" s="365"/>
      <c r="P244" s="367">
        <f>Tabla1[[#This Row],[G. HGS 
'[MWh']]]</f>
        <v>0</v>
      </c>
      <c r="Q244" s="430">
        <v>0</v>
      </c>
      <c r="R244" s="367">
        <v>0</v>
      </c>
      <c r="S244" s="367">
        <f>Tabla1[[#This Row],[G. HGS 
Con Gas]]*1000</f>
        <v>0</v>
      </c>
      <c r="T244" s="365">
        <f>Tabla1[[#This Row],[G. HGS 
'[MWh']]]*1000</f>
        <v>0</v>
      </c>
      <c r="U244" s="368">
        <f>SUM('G. Un GE'!B244:Y244)</f>
        <v>0</v>
      </c>
      <c r="V244" s="369">
        <f>Tabla1[[#This Row],[R. GE
'[MWh']]]</f>
        <v>0</v>
      </c>
      <c r="W244" s="434">
        <v>0</v>
      </c>
      <c r="X244" s="369">
        <v>0</v>
      </c>
      <c r="Y244" s="365">
        <f>Tabla1[[#This Row],[R. GE
'[MWh']]]*1000</f>
        <v>0</v>
      </c>
      <c r="Z244" s="371"/>
      <c r="AA24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4" s="371">
        <f>IF(Tabla1[[#This Row],[G. HGS 
'[MWh']]]=0,0,Tabla1[[#This Row],[G. HGS 
'[MWh']]]+Tabla1[[#This Row],[Con. Aux. '[MWh']2]])</f>
        <v>0</v>
      </c>
      <c r="AC244" s="368">
        <f>'C. ENER. TN'!F244</f>
        <v>0</v>
      </c>
      <c r="AD244" s="370">
        <f>'C. ENER. TN'!G244</f>
        <v>0</v>
      </c>
      <c r="AE244" s="370">
        <f>'G. Un GE'!AX244</f>
        <v>0</v>
      </c>
      <c r="AF244" s="368">
        <f>IFERROR('G. Un GE'!AX244/Tabla1[[#This Row],[PO '[h']]],0)</f>
        <v>0</v>
      </c>
      <c r="AG244" s="365">
        <f>'Ar-Pa'!AX244</f>
        <v>0</v>
      </c>
      <c r="AH244" s="365">
        <f>'Ar-Pa'!AY244</f>
        <v>0</v>
      </c>
      <c r="AI244" s="366">
        <f>SUM('Cal. Arr'!AB247:AY247)</f>
        <v>0</v>
      </c>
      <c r="AJ244" s="442"/>
      <c r="AK244" s="443"/>
      <c r="AL244" s="267">
        <f t="shared" si="61"/>
        <v>0</v>
      </c>
      <c r="AM244" s="267">
        <f>+CONVERT(AK244+Tabla1[[#This Row],[Con. DO Storage Gen. '[m3']]],"m^3","gal")</f>
        <v>0</v>
      </c>
      <c r="AN244" s="372">
        <f>SUM('DO Pilot'!B244:Y244)</f>
        <v>0</v>
      </c>
      <c r="AO244" s="372">
        <f t="shared" si="62"/>
        <v>0</v>
      </c>
      <c r="AP244" s="267">
        <f>AK244+AN244+Tabla1[[#This Row],[Con. DO Storage Gen. '[m3']]]</f>
        <v>0</v>
      </c>
      <c r="AQ244" s="372">
        <f t="shared" si="68"/>
        <v>0</v>
      </c>
      <c r="AR244" s="443"/>
      <c r="AS244" s="443"/>
      <c r="AT244" s="267">
        <f>+CONVERT(SUM(Tabla1[[#This Row],[Repo. DO Storage '[gal']]:[Repo. DO Pilot '[gal']]]),"gal","m3")</f>
        <v>0</v>
      </c>
      <c r="AU244" s="442">
        <v>0</v>
      </c>
      <c r="AV244" s="372">
        <f t="shared" si="72"/>
        <v>0</v>
      </c>
      <c r="AW244" s="442">
        <v>0</v>
      </c>
      <c r="AX244" s="372">
        <f t="shared" si="73"/>
        <v>0</v>
      </c>
      <c r="AY244" s="372">
        <f t="shared" si="64"/>
        <v>0</v>
      </c>
      <c r="AZ244" s="372">
        <f>IFERROR(AL244/'Ar-Pa'!AX244,0)</f>
        <v>0</v>
      </c>
      <c r="BA244" s="372">
        <f>IFERROR(AL244/'Ar-Pa'!AY244,0)</f>
        <v>0</v>
      </c>
      <c r="BB244" s="372">
        <f t="shared" si="65"/>
        <v>0</v>
      </c>
      <c r="BC244" s="372">
        <f>IFERROR(AVERAGEIF('DO Pilot'!AX244:BU244,"&gt;0"),0)</f>
        <v>0</v>
      </c>
      <c r="BD244" s="446"/>
      <c r="BE244" s="446"/>
      <c r="BF244" s="446"/>
      <c r="BG244" s="223">
        <f>Tabla1[[#This Row],[ Re. Gas GC
 '[m3']]]</f>
        <v>0</v>
      </c>
      <c r="BH244" s="150">
        <f>IFERROR((BG244*Gas!$B$4)/28.31685,0)</f>
        <v>0</v>
      </c>
      <c r="BI244" s="73">
        <f t="shared" si="74"/>
        <v>0</v>
      </c>
      <c r="BJ244" s="74">
        <f t="shared" si="69"/>
        <v>0</v>
      </c>
      <c r="BK244" s="223">
        <f t="shared" si="66"/>
        <v>0</v>
      </c>
      <c r="BL244" s="442">
        <v>9034.5499999999993</v>
      </c>
      <c r="BM244" s="70">
        <f t="shared" si="67"/>
        <v>0</v>
      </c>
      <c r="BN244" s="150">
        <f t="shared" si="70"/>
        <v>0</v>
      </c>
      <c r="BO244" s="373">
        <f>IFERROR(Tabla1[[#This Row],[ Re. Gas GC
 '[m3']]]/Tabla1[[#This Row],[G. HGS 
Con Gas '[kWh']]],0)</f>
        <v>0</v>
      </c>
      <c r="BP244" s="374">
        <f>Tank!Y245</f>
        <v>0</v>
      </c>
      <c r="BQ244" s="70">
        <f>Tank!AP245</f>
        <v>0</v>
      </c>
      <c r="BR244" s="70">
        <f>Tank!V245</f>
        <v>0</v>
      </c>
      <c r="BS244" s="372">
        <f>Tank!T245</f>
        <v>0</v>
      </c>
      <c r="BT244" s="375" t="s">
        <v>228</v>
      </c>
      <c r="BU244" s="452"/>
      <c r="BV244" s="376">
        <f>IF(Tabla1[[#This Row],[Combustible ofertado]]="GAS",Tabla1[[#This Row],[Disponibilidad]],0)</f>
        <v>0</v>
      </c>
      <c r="BW244" s="376">
        <f>IF(Tabla1[[#This Row],[Combustible ofertado]]="DIESEL",Tabla1[[#This Row],[Disponibilidad]],0)</f>
        <v>0</v>
      </c>
      <c r="BX244" s="376">
        <f>IF(Tabla1[[#This Row],[Combustible ofertado]]="HFO",Tabla1[[#This Row],[Disponibilidad]],0)</f>
        <v>0</v>
      </c>
      <c r="BY244" s="452"/>
      <c r="BZ244" s="446">
        <f>'Horo. M'!C245</f>
        <v>0</v>
      </c>
      <c r="CA244" s="446">
        <f>'Horo. M'!E245</f>
        <v>0</v>
      </c>
      <c r="CB244" s="446">
        <f>'Horo. M'!G245</f>
        <v>0</v>
      </c>
      <c r="CC244" s="446">
        <f>'Horo. M'!I245</f>
        <v>0</v>
      </c>
      <c r="CD244" s="446">
        <f>'Horo. M'!K245</f>
        <v>0</v>
      </c>
      <c r="CE244" s="446">
        <f>'Horo. M'!M245</f>
        <v>0</v>
      </c>
      <c r="CF244" s="446">
        <f>'Horo. M'!O245</f>
        <v>0</v>
      </c>
      <c r="CG244" s="446">
        <f>'Horo. M'!Q245</f>
        <v>0</v>
      </c>
      <c r="CH244" s="446">
        <f>'Horo. M'!S245</f>
        <v>0</v>
      </c>
      <c r="CI244" s="446">
        <f>'Horo. M'!U245</f>
        <v>0</v>
      </c>
      <c r="CJ244" s="70">
        <f>Tabla1[[#This Row],[Con. DO Storage '[gal']]]-Tabla1[[#This Row],[C. DO Storage Ge '[gal']]]</f>
        <v>0</v>
      </c>
      <c r="CK244" s="70"/>
      <c r="CL244" s="70"/>
      <c r="CM244" s="372">
        <f>Tabla1[[#This Row],[Con. DO Total '[gal']]]*131485.5/(1000000)</f>
        <v>0</v>
      </c>
    </row>
    <row r="245" spans="1:91" ht="15" customHeight="1">
      <c r="A245" s="362">
        <v>45170</v>
      </c>
      <c r="B245" s="363" t="str">
        <f>TEXT(Tabla1[[#This Row],[Fecha]],"mmmm")</f>
        <v>septiembre</v>
      </c>
      <c r="C245" s="364"/>
      <c r="D245" s="366"/>
      <c r="E245" s="366"/>
      <c r="F245" s="366"/>
      <c r="G245" s="377"/>
      <c r="H245" s="377"/>
      <c r="I245" s="378"/>
      <c r="J245" s="378"/>
      <c r="K245" s="366"/>
      <c r="L245" s="366"/>
      <c r="M245" s="365">
        <f>Tabla1[[#This Row],[Columna1]]-Tabla1[[#This Row],[PO '[h']]]</f>
        <v>0</v>
      </c>
      <c r="N245" s="366">
        <f t="shared" si="71"/>
        <v>0</v>
      </c>
      <c r="O245" s="365"/>
      <c r="P245" s="367">
        <f>Tabla1[[#This Row],[G. HGS 
'[MWh']]]</f>
        <v>0</v>
      </c>
      <c r="Q245" s="430">
        <v>0</v>
      </c>
      <c r="R245" s="367">
        <v>0</v>
      </c>
      <c r="S245" s="367">
        <f>Tabla1[[#This Row],[G. HGS 
Con Gas]]*1000</f>
        <v>0</v>
      </c>
      <c r="T245" s="365">
        <f>Tabla1[[#This Row],[G. HGS 
'[MWh']]]*1000</f>
        <v>0</v>
      </c>
      <c r="U245" s="368">
        <f>SUM('G. Un GE'!B245:Y245)</f>
        <v>0</v>
      </c>
      <c r="V245" s="369">
        <f>Tabla1[[#This Row],[R. GE
'[MWh']]]</f>
        <v>0</v>
      </c>
      <c r="W245" s="434">
        <v>0</v>
      </c>
      <c r="X245" s="369">
        <v>0</v>
      </c>
      <c r="Y245" s="365">
        <f>Tabla1[[#This Row],[R. GE
'[MWh']]]*1000</f>
        <v>0</v>
      </c>
      <c r="Z245" s="371"/>
      <c r="AA24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5" s="371">
        <f>IF(Tabla1[[#This Row],[G. HGS 
'[MWh']]]=0,0,Tabla1[[#This Row],[G. HGS 
'[MWh']]]+Tabla1[[#This Row],[Con. Aux. '[MWh']2]])</f>
        <v>0</v>
      </c>
      <c r="AC245" s="368">
        <f>'C. ENER. TN'!F245</f>
        <v>0</v>
      </c>
      <c r="AD245" s="370">
        <f>'C. ENER. TN'!G245</f>
        <v>0</v>
      </c>
      <c r="AE245" s="370">
        <f>'G. Un GE'!AX245</f>
        <v>0</v>
      </c>
      <c r="AF245" s="368">
        <f>IFERROR('G. Un GE'!AX245/Tabla1[[#This Row],[PO '[h']]],0)</f>
        <v>0</v>
      </c>
      <c r="AG245" s="365">
        <f>'Ar-Pa'!AX245</f>
        <v>0</v>
      </c>
      <c r="AH245" s="365">
        <f>'Ar-Pa'!AY245</f>
        <v>0</v>
      </c>
      <c r="AI245" s="366">
        <f>SUM('Cal. Arr'!AB248:AY248)</f>
        <v>0</v>
      </c>
      <c r="AJ245" s="442"/>
      <c r="AK245" s="443"/>
      <c r="AL245" s="267">
        <f t="shared" si="61"/>
        <v>0</v>
      </c>
      <c r="AM245" s="267">
        <f>+CONVERT(AK245+Tabla1[[#This Row],[Con. DO Storage Gen. '[m3']]],"m^3","gal")</f>
        <v>0</v>
      </c>
      <c r="AN245" s="372">
        <f>SUM('DO Pilot'!B245:Y245)</f>
        <v>0</v>
      </c>
      <c r="AO245" s="372">
        <f t="shared" si="62"/>
        <v>0</v>
      </c>
      <c r="AP245" s="267">
        <f>AK245+AN245+Tabla1[[#This Row],[Con. DO Storage Gen. '[m3']]]</f>
        <v>0</v>
      </c>
      <c r="AQ245" s="372">
        <f t="shared" si="68"/>
        <v>0</v>
      </c>
      <c r="AR245" s="443"/>
      <c r="AS245" s="443"/>
      <c r="AT245" s="267">
        <f>+CONVERT(SUM(Tabla1[[#This Row],[Repo. DO Storage '[gal']]:[Repo. DO Pilot '[gal']]]),"gal","m3")</f>
        <v>0</v>
      </c>
      <c r="AU245" s="442">
        <v>0</v>
      </c>
      <c r="AV245" s="372">
        <f t="shared" si="72"/>
        <v>0</v>
      </c>
      <c r="AW245" s="442">
        <v>0</v>
      </c>
      <c r="AX245" s="372">
        <f t="shared" si="73"/>
        <v>0</v>
      </c>
      <c r="AY245" s="372">
        <f t="shared" si="64"/>
        <v>0</v>
      </c>
      <c r="AZ245" s="372">
        <f>IFERROR(AL245/'Ar-Pa'!AX245,0)</f>
        <v>0</v>
      </c>
      <c r="BA245" s="372">
        <f>IFERROR(AL245/'Ar-Pa'!AY245,0)</f>
        <v>0</v>
      </c>
      <c r="BB245" s="372">
        <f t="shared" si="65"/>
        <v>0</v>
      </c>
      <c r="BC245" s="372">
        <f>IFERROR(AVERAGEIF('DO Pilot'!AX245:BU245,"&gt;0"),0)</f>
        <v>0</v>
      </c>
      <c r="BD245" s="446"/>
      <c r="BE245" s="446"/>
      <c r="BF245" s="446"/>
      <c r="BG245" s="223">
        <f>Tabla1[[#This Row],[ Re. Gas GC
 '[m3']]]</f>
        <v>0</v>
      </c>
      <c r="BH245" s="150">
        <f>IFERROR((BG245*Gas!$B$4)/28.31685,0)</f>
        <v>0</v>
      </c>
      <c r="BI245" s="73">
        <f t="shared" si="74"/>
        <v>0</v>
      </c>
      <c r="BJ245" s="74">
        <f t="shared" si="69"/>
        <v>0</v>
      </c>
      <c r="BK245" s="223">
        <f t="shared" si="66"/>
        <v>0</v>
      </c>
      <c r="BL245" s="442">
        <v>8499.61</v>
      </c>
      <c r="BM245" s="70">
        <f t="shared" si="67"/>
        <v>0</v>
      </c>
      <c r="BN245" s="150">
        <f t="shared" si="70"/>
        <v>0</v>
      </c>
      <c r="BO245" s="373">
        <f>IFERROR(Tabla1[[#This Row],[ Re. Gas GC
 '[m3']]]/Tabla1[[#This Row],[G. HGS 
Con Gas '[kWh']]],0)</f>
        <v>0</v>
      </c>
      <c r="BP245" s="374">
        <f>Tank!Y246</f>
        <v>0</v>
      </c>
      <c r="BQ245" s="70">
        <f>Tank!AP246</f>
        <v>0</v>
      </c>
      <c r="BR245" s="70">
        <f>Tank!V246</f>
        <v>0</v>
      </c>
      <c r="BS245" s="372">
        <f>Tank!T246</f>
        <v>0</v>
      </c>
      <c r="BT245" s="375" t="s">
        <v>228</v>
      </c>
      <c r="BU245" s="452"/>
      <c r="BV245" s="376">
        <f>IF(Tabla1[[#This Row],[Combustible ofertado]]="GAS",Tabla1[[#This Row],[Disponibilidad]],0)</f>
        <v>0</v>
      </c>
      <c r="BW245" s="376">
        <f>IF(Tabla1[[#This Row],[Combustible ofertado]]="DIESEL",Tabla1[[#This Row],[Disponibilidad]],0)</f>
        <v>0</v>
      </c>
      <c r="BX245" s="376">
        <f>IF(Tabla1[[#This Row],[Combustible ofertado]]="HFO",Tabla1[[#This Row],[Disponibilidad]],0)</f>
        <v>0</v>
      </c>
      <c r="BY245" s="452"/>
      <c r="BZ245" s="446">
        <f>'Horo. M'!C246</f>
        <v>0</v>
      </c>
      <c r="CA245" s="446">
        <f>'Horo. M'!E246</f>
        <v>0</v>
      </c>
      <c r="CB245" s="446">
        <f>'Horo. M'!G246</f>
        <v>0</v>
      </c>
      <c r="CC245" s="446">
        <f>'Horo. M'!I246</f>
        <v>0</v>
      </c>
      <c r="CD245" s="446">
        <f>'Horo. M'!K246</f>
        <v>0</v>
      </c>
      <c r="CE245" s="446">
        <f>'Horo. M'!M246</f>
        <v>0</v>
      </c>
      <c r="CF245" s="446">
        <f>'Horo. M'!O246</f>
        <v>0</v>
      </c>
      <c r="CG245" s="446">
        <f>'Horo. M'!Q246</f>
        <v>0</v>
      </c>
      <c r="CH245" s="446">
        <f>'Horo. M'!S246</f>
        <v>0</v>
      </c>
      <c r="CI245" s="446">
        <f>'Horo. M'!U246</f>
        <v>0</v>
      </c>
      <c r="CJ245" s="70">
        <f>Tabla1[[#This Row],[Con. DO Storage '[gal']]]-Tabla1[[#This Row],[C. DO Storage Ge '[gal']]]</f>
        <v>0</v>
      </c>
      <c r="CK245" s="70"/>
      <c r="CL245" s="70"/>
      <c r="CM245" s="372">
        <f>Tabla1[[#This Row],[Con. DO Total '[gal']]]*131485.5/(1000000)</f>
        <v>0</v>
      </c>
    </row>
    <row r="246" spans="1:91" ht="15" customHeight="1">
      <c r="A246" s="362">
        <v>45171</v>
      </c>
      <c r="B246" s="363" t="str">
        <f>TEXT(Tabla1[[#This Row],[Fecha]],"mmmm")</f>
        <v>septiembre</v>
      </c>
      <c r="C246" s="364"/>
      <c r="D246" s="366"/>
      <c r="E246" s="366"/>
      <c r="F246" s="366"/>
      <c r="G246" s="377"/>
      <c r="H246" s="377"/>
      <c r="I246" s="378"/>
      <c r="J246" s="378"/>
      <c r="K246" s="366"/>
      <c r="L246" s="366"/>
      <c r="M246" s="365">
        <f>Tabla1[[#This Row],[Columna1]]-Tabla1[[#This Row],[PO '[h']]]</f>
        <v>0</v>
      </c>
      <c r="N246" s="366">
        <f>F246+H246+J246</f>
        <v>0</v>
      </c>
      <c r="O246" s="365"/>
      <c r="P246" s="367">
        <f>Tabla1[[#This Row],[G. HGS 
'[MWh']]]</f>
        <v>0</v>
      </c>
      <c r="Q246" s="430">
        <v>0</v>
      </c>
      <c r="R246" s="367">
        <v>0</v>
      </c>
      <c r="S246" s="367">
        <f>Tabla1[[#This Row],[G. HGS 
Con Gas]]*1000</f>
        <v>0</v>
      </c>
      <c r="T246" s="365">
        <f>Tabla1[[#This Row],[G. HGS 
'[MWh']]]*1000</f>
        <v>0</v>
      </c>
      <c r="U246" s="368">
        <f>SUM('G. Un GE'!B246:Y246)</f>
        <v>0</v>
      </c>
      <c r="V246" s="369">
        <f>Tabla1[[#This Row],[R. GE
'[MWh']]]</f>
        <v>0</v>
      </c>
      <c r="W246" s="434">
        <v>0</v>
      </c>
      <c r="X246" s="369">
        <v>0</v>
      </c>
      <c r="Y246" s="365">
        <f>Tabla1[[#This Row],[R. GE
'[MWh']]]*1000</f>
        <v>0</v>
      </c>
      <c r="Z246" s="371"/>
      <c r="AA24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6" s="371">
        <f>IF(Tabla1[[#This Row],[G. HGS 
'[MWh']]]=0,0,Tabla1[[#This Row],[G. HGS 
'[MWh']]]+Tabla1[[#This Row],[Con. Aux. '[MWh']2]])</f>
        <v>0</v>
      </c>
      <c r="AC246" s="368">
        <f>'C. ENER. TN'!F246</f>
        <v>0</v>
      </c>
      <c r="AD246" s="370">
        <f>'C. ENER. TN'!G246</f>
        <v>0</v>
      </c>
      <c r="AE246" s="370">
        <f>'G. Un GE'!AX246</f>
        <v>0</v>
      </c>
      <c r="AF246" s="368">
        <f>IFERROR('G. Un GE'!AX246/Tabla1[[#This Row],[PO '[h']]],0)</f>
        <v>0</v>
      </c>
      <c r="AG246" s="365">
        <f>'Ar-Pa'!AX246</f>
        <v>0</v>
      </c>
      <c r="AH246" s="365">
        <f>'Ar-Pa'!AY246</f>
        <v>0</v>
      </c>
      <c r="AI246" s="366">
        <f>SUM('Cal. Arr'!AB249:AY249)</f>
        <v>0</v>
      </c>
      <c r="AJ246" s="442"/>
      <c r="AK246" s="443"/>
      <c r="AL246" s="372">
        <f t="shared" si="61"/>
        <v>0</v>
      </c>
      <c r="AM246" s="267">
        <f>+CONVERT(AK246+Tabla1[[#This Row],[Con. DO Storage Gen. '[m3']]],"m^3","gal")</f>
        <v>0</v>
      </c>
      <c r="AN246" s="372">
        <f>SUM('DO Pilot'!B246:Y246)</f>
        <v>0</v>
      </c>
      <c r="AO246" s="372">
        <f>+CONVERT(AN246,"m^3","gal")</f>
        <v>0</v>
      </c>
      <c r="AP246" s="267">
        <f>AK246+AN246+Tabla1[[#This Row],[Con. DO Storage Gen. '[m3']]]</f>
        <v>0</v>
      </c>
      <c r="AQ246" s="372">
        <f t="shared" si="68"/>
        <v>0</v>
      </c>
      <c r="AR246" s="443"/>
      <c r="AS246" s="443"/>
      <c r="AT246" s="267">
        <f>+CONVERT(SUM(Tabla1[[#This Row],[Repo. DO Storage '[gal']]:[Repo. DO Pilot '[gal']]]),"gal","m3")</f>
        <v>0</v>
      </c>
      <c r="AU246" s="442">
        <v>0</v>
      </c>
      <c r="AV246" s="372">
        <f>+CONVERT(AU246,"m^3","gal")</f>
        <v>0</v>
      </c>
      <c r="AW246" s="442">
        <v>0</v>
      </c>
      <c r="AX246" s="372">
        <f>+CONVERT(AW246,"gal","m3")</f>
        <v>0</v>
      </c>
      <c r="AY246" s="372">
        <f t="shared" si="64"/>
        <v>0</v>
      </c>
      <c r="AZ246" s="372">
        <f>IFERROR(AL246/'Ar-Pa'!AX246,0)</f>
        <v>0</v>
      </c>
      <c r="BA246" s="372">
        <f>IFERROR(AL246/'Ar-Pa'!AY246,0)</f>
        <v>0</v>
      </c>
      <c r="BB246" s="372">
        <f t="shared" si="65"/>
        <v>0</v>
      </c>
      <c r="BC246" s="372">
        <f>IFERROR(AVERAGEIF('DO Pilot'!AX246:BU246,"&gt;0"),0)</f>
        <v>0</v>
      </c>
      <c r="BD246" s="446"/>
      <c r="BE246" s="446"/>
      <c r="BF246" s="446"/>
      <c r="BG246" s="223">
        <f>Tabla1[[#This Row],[ Re. Gas GC
 '[m3']]]</f>
        <v>0</v>
      </c>
      <c r="BH246" s="150">
        <f>IFERROR((BG246*Gas!$B$4)/28.31685,0)</f>
        <v>0</v>
      </c>
      <c r="BI246" s="73">
        <f t="shared" ref="BI246:BI253" si="75">BH246-BE246</f>
        <v>0</v>
      </c>
      <c r="BJ246" s="74">
        <f t="shared" si="69"/>
        <v>0</v>
      </c>
      <c r="BK246" s="223">
        <f t="shared" si="66"/>
        <v>0</v>
      </c>
      <c r="BL246" s="442">
        <v>8017.85</v>
      </c>
      <c r="BM246" s="70">
        <f t="shared" si="67"/>
        <v>0</v>
      </c>
      <c r="BN246" s="150">
        <f t="shared" si="70"/>
        <v>0</v>
      </c>
      <c r="BO246" s="373">
        <f>IFERROR(Tabla1[[#This Row],[ Re. Gas GC
 '[m3']]]/Tabla1[[#This Row],[G. HGS 
Con Gas '[kWh']]],0)</f>
        <v>0</v>
      </c>
      <c r="BP246" s="374">
        <f>Tank!Y247</f>
        <v>0</v>
      </c>
      <c r="BQ246" s="70">
        <f>Tank!AP247</f>
        <v>0</v>
      </c>
      <c r="BR246" s="70">
        <f>Tank!V247</f>
        <v>0</v>
      </c>
      <c r="BS246" s="372">
        <f>Tank!T247</f>
        <v>0</v>
      </c>
      <c r="BT246" s="375" t="s">
        <v>228</v>
      </c>
      <c r="BU246" s="452"/>
      <c r="BV246" s="376">
        <f>IF(Tabla1[[#This Row],[Combustible ofertado]]="GAS",Tabla1[[#This Row],[Disponibilidad]],0)</f>
        <v>0</v>
      </c>
      <c r="BW246" s="376">
        <f>IF(Tabla1[[#This Row],[Combustible ofertado]]="DIESEL",Tabla1[[#This Row],[Disponibilidad]],0)</f>
        <v>0</v>
      </c>
      <c r="BX246" s="376">
        <f>IF(Tabla1[[#This Row],[Combustible ofertado]]="HFO",Tabla1[[#This Row],[Disponibilidad]],0)</f>
        <v>0</v>
      </c>
      <c r="BY246" s="452"/>
      <c r="BZ246" s="446">
        <f>'Horo. M'!C247</f>
        <v>0</v>
      </c>
      <c r="CA246" s="446">
        <f>'Horo. M'!E247</f>
        <v>0</v>
      </c>
      <c r="CB246" s="446">
        <f>'Horo. M'!G247</f>
        <v>0</v>
      </c>
      <c r="CC246" s="446">
        <f>'Horo. M'!I247</f>
        <v>0</v>
      </c>
      <c r="CD246" s="446">
        <f>'Horo. M'!K247</f>
        <v>0</v>
      </c>
      <c r="CE246" s="446">
        <f>'Horo. M'!M247</f>
        <v>0</v>
      </c>
      <c r="CF246" s="446">
        <f>'Horo. M'!O247</f>
        <v>0</v>
      </c>
      <c r="CG246" s="446">
        <f>'Horo. M'!Q247</f>
        <v>0</v>
      </c>
      <c r="CH246" s="446">
        <f>'Horo. M'!S247</f>
        <v>0</v>
      </c>
      <c r="CI246" s="446">
        <f>'Horo. M'!U247</f>
        <v>0</v>
      </c>
      <c r="CJ246" s="70">
        <f>Tabla1[[#This Row],[Con. DO Storage '[gal']]]-Tabla1[[#This Row],[C. DO Storage Ge '[gal']]]</f>
        <v>-8955.43</v>
      </c>
      <c r="CK246" s="70">
        <v>8955.43</v>
      </c>
      <c r="CL246" s="70" t="s">
        <v>231</v>
      </c>
      <c r="CM246" s="372">
        <f>Tabla1[[#This Row],[Con. DO Total '[gal']]]*131485.5/(1000000)</f>
        <v>0</v>
      </c>
    </row>
    <row r="247" spans="1:91" ht="15" customHeight="1">
      <c r="A247" s="362">
        <v>45172</v>
      </c>
      <c r="B247" s="363" t="str">
        <f>TEXT(Tabla1[[#This Row],[Fecha]],"mmmm")</f>
        <v>septiembre</v>
      </c>
      <c r="C247" s="364"/>
      <c r="D247" s="366"/>
      <c r="E247" s="366"/>
      <c r="F247" s="366"/>
      <c r="G247" s="377"/>
      <c r="H247" s="377"/>
      <c r="I247" s="378"/>
      <c r="J247" s="378"/>
      <c r="K247" s="366"/>
      <c r="L247" s="366"/>
      <c r="M247" s="365">
        <f>Tabla1[[#This Row],[Columna1]]-Tabla1[[#This Row],[PO '[h']]]</f>
        <v>0</v>
      </c>
      <c r="N247" s="366">
        <f>F247+H247+J247</f>
        <v>0</v>
      </c>
      <c r="O247" s="365"/>
      <c r="P247" s="367">
        <f>Tabla1[[#This Row],[G. HGS 
'[MWh']]]</f>
        <v>0</v>
      </c>
      <c r="Q247" s="430">
        <v>0</v>
      </c>
      <c r="R247" s="367">
        <v>0</v>
      </c>
      <c r="S247" s="367">
        <f>Tabla1[[#This Row],[G. HGS 
Con Gas]]*1000</f>
        <v>0</v>
      </c>
      <c r="T247" s="365">
        <f>Tabla1[[#This Row],[G. HGS 
'[MWh']]]*1000</f>
        <v>0</v>
      </c>
      <c r="U247" s="368">
        <f>SUM('G. Un GE'!B247:Y247)</f>
        <v>0</v>
      </c>
      <c r="V247" s="369">
        <f>Tabla1[[#This Row],[R. GE
'[MWh']]]</f>
        <v>0</v>
      </c>
      <c r="W247" s="434">
        <v>0</v>
      </c>
      <c r="X247" s="369">
        <v>0</v>
      </c>
      <c r="Y247" s="365">
        <f>Tabla1[[#This Row],[R. GE
'[MWh']]]*1000</f>
        <v>0</v>
      </c>
      <c r="Z247" s="371"/>
      <c r="AA24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7" s="371">
        <f>IF(Tabla1[[#This Row],[G. HGS 
'[MWh']]]=0,0,Tabla1[[#This Row],[G. HGS 
'[MWh']]]+Tabla1[[#This Row],[Con. Aux. '[MWh']2]])</f>
        <v>0</v>
      </c>
      <c r="AC247" s="368">
        <f>'C. ENER. TN'!F247</f>
        <v>0</v>
      </c>
      <c r="AD247" s="370">
        <f>'C. ENER. TN'!G247</f>
        <v>0</v>
      </c>
      <c r="AE247" s="370">
        <f>'G. Un GE'!AX247</f>
        <v>0</v>
      </c>
      <c r="AF247" s="368">
        <f>IFERROR('G. Un GE'!AX247/Tabla1[[#This Row],[PO '[h']]],0)</f>
        <v>0</v>
      </c>
      <c r="AG247" s="365">
        <f>'Ar-Pa'!AX247</f>
        <v>0</v>
      </c>
      <c r="AH247" s="365">
        <f>'Ar-Pa'!AY247</f>
        <v>0</v>
      </c>
      <c r="AI247" s="366">
        <f>SUM('Cal. Arr'!AB250:AY250)</f>
        <v>0</v>
      </c>
      <c r="AJ247" s="442"/>
      <c r="AK247" s="443"/>
      <c r="AL247" s="372">
        <f t="shared" si="61"/>
        <v>0</v>
      </c>
      <c r="AM247" s="267">
        <f>+CONVERT(AK247+Tabla1[[#This Row],[Con. DO Storage Gen. '[m3']]],"m^3","gal")</f>
        <v>0</v>
      </c>
      <c r="AN247" s="372">
        <f>SUM('DO Pilot'!B247:Y247)</f>
        <v>0</v>
      </c>
      <c r="AO247" s="372">
        <f>+CONVERT(AN247,"m^3","gal")</f>
        <v>0</v>
      </c>
      <c r="AP247" s="267">
        <f>AK247+AN247+Tabla1[[#This Row],[Con. DO Storage Gen. '[m3']]]</f>
        <v>0</v>
      </c>
      <c r="AQ247" s="372">
        <f t="shared" si="68"/>
        <v>0</v>
      </c>
      <c r="AR247" s="443"/>
      <c r="AS247" s="443"/>
      <c r="AT247" s="267">
        <f>+CONVERT(SUM(Tabla1[[#This Row],[Repo. DO Storage '[gal']]:[Repo. DO Pilot '[gal']]]),"gal","m3")</f>
        <v>0</v>
      </c>
      <c r="AU247" s="442">
        <v>0</v>
      </c>
      <c r="AV247" s="372">
        <f>+CONVERT(AU247,"m^3","gal")</f>
        <v>0</v>
      </c>
      <c r="AW247" s="442">
        <v>0</v>
      </c>
      <c r="AX247" s="372">
        <f>+CONVERT(AW247,"gal","m3")</f>
        <v>0</v>
      </c>
      <c r="AY247" s="372">
        <f t="shared" si="64"/>
        <v>0</v>
      </c>
      <c r="AZ247" s="372">
        <f>IFERROR(AL247/'Ar-Pa'!AX247,0)</f>
        <v>0</v>
      </c>
      <c r="BA247" s="372">
        <f>IFERROR(AL247/'Ar-Pa'!AY247,0)</f>
        <v>0</v>
      </c>
      <c r="BB247" s="372">
        <f t="shared" si="65"/>
        <v>0</v>
      </c>
      <c r="BC247" s="372">
        <f>IFERROR(AVERAGEIF('DO Pilot'!AX247:BU247,"&gt;0"),0)</f>
        <v>0</v>
      </c>
      <c r="BD247" s="446"/>
      <c r="BE247" s="446"/>
      <c r="BF247" s="446"/>
      <c r="BG247" s="223">
        <f>Tabla1[[#This Row],[ Re. Gas GC
 '[m3']]]</f>
        <v>0</v>
      </c>
      <c r="BH247" s="150">
        <f>IFERROR((BG247*Gas!$B$4)/28.31685,0)</f>
        <v>0</v>
      </c>
      <c r="BI247" s="73">
        <f t="shared" si="75"/>
        <v>0</v>
      </c>
      <c r="BJ247" s="74">
        <f t="shared" si="69"/>
        <v>0</v>
      </c>
      <c r="BK247" s="223">
        <f t="shared" si="66"/>
        <v>0</v>
      </c>
      <c r="BL247" s="442">
        <v>8657.5400000000009</v>
      </c>
      <c r="BM247" s="70">
        <f t="shared" si="67"/>
        <v>0</v>
      </c>
      <c r="BN247" s="150">
        <f t="shared" si="70"/>
        <v>0</v>
      </c>
      <c r="BO247" s="373">
        <f>IFERROR(Tabla1[[#This Row],[ Re. Gas GC
 '[m3']]]/Tabla1[[#This Row],[G. HGS 
Con Gas '[kWh']]],0)</f>
        <v>0</v>
      </c>
      <c r="BP247" s="374">
        <f>Tank!Y248</f>
        <v>0</v>
      </c>
      <c r="BQ247" s="70">
        <f>Tank!AP248</f>
        <v>0</v>
      </c>
      <c r="BR247" s="70">
        <f>Tank!V248</f>
        <v>0</v>
      </c>
      <c r="BS247" s="372">
        <f>Tank!T248</f>
        <v>0</v>
      </c>
      <c r="BT247" s="375" t="s">
        <v>228</v>
      </c>
      <c r="BU247" s="452"/>
      <c r="BV247" s="376">
        <f>IF(Tabla1[[#This Row],[Combustible ofertado]]="GAS",Tabla1[[#This Row],[Disponibilidad]],0)</f>
        <v>0</v>
      </c>
      <c r="BW247" s="376">
        <f>IF(Tabla1[[#This Row],[Combustible ofertado]]="DIESEL",Tabla1[[#This Row],[Disponibilidad]],0)</f>
        <v>0</v>
      </c>
      <c r="BX247" s="376">
        <f>IF(Tabla1[[#This Row],[Combustible ofertado]]="HFO",Tabla1[[#This Row],[Disponibilidad]],0)</f>
        <v>0</v>
      </c>
      <c r="BY247" s="452"/>
      <c r="BZ247" s="446">
        <f>'Horo. M'!C248</f>
        <v>0</v>
      </c>
      <c r="CA247" s="446">
        <f>'Horo. M'!E248</f>
        <v>0</v>
      </c>
      <c r="CB247" s="446">
        <f>'Horo. M'!G248</f>
        <v>0</v>
      </c>
      <c r="CC247" s="446">
        <f>'Horo. M'!I248</f>
        <v>0</v>
      </c>
      <c r="CD247" s="446">
        <f>'Horo. M'!K248</f>
        <v>0</v>
      </c>
      <c r="CE247" s="446">
        <f>'Horo. M'!M248</f>
        <v>0</v>
      </c>
      <c r="CF247" s="446">
        <f>'Horo. M'!O248</f>
        <v>0</v>
      </c>
      <c r="CG247" s="446">
        <f>'Horo. M'!Q248</f>
        <v>0</v>
      </c>
      <c r="CH247" s="446">
        <f>'Horo. M'!S248</f>
        <v>0</v>
      </c>
      <c r="CI247" s="446">
        <f>'Horo. M'!U248</f>
        <v>0</v>
      </c>
      <c r="CJ247" s="70">
        <f>Tabla1[[#This Row],[Con. DO Storage '[gal']]]-Tabla1[[#This Row],[C. DO Storage Ge '[gal']]]</f>
        <v>0</v>
      </c>
      <c r="CK247" s="70"/>
      <c r="CL247" s="70"/>
      <c r="CM247" s="372">
        <f>Tabla1[[#This Row],[Con. DO Total '[gal']]]*131485.5/(1000000)</f>
        <v>0</v>
      </c>
    </row>
    <row r="248" spans="1:91" ht="15" customHeight="1">
      <c r="A248" s="362">
        <v>45173</v>
      </c>
      <c r="B248" s="363" t="str">
        <f>TEXT(Tabla1[[#This Row],[Fecha]],"mmmm")</f>
        <v>septiembre</v>
      </c>
      <c r="C248" s="364"/>
      <c r="D248" s="366"/>
      <c r="E248" s="366"/>
      <c r="F248" s="366"/>
      <c r="G248" s="377"/>
      <c r="H248" s="377"/>
      <c r="I248" s="378"/>
      <c r="J248" s="378"/>
      <c r="K248" s="366"/>
      <c r="L248" s="366"/>
      <c r="M248" s="365">
        <f>Tabla1[[#This Row],[Columna1]]-Tabla1[[#This Row],[PO '[h']]]</f>
        <v>0</v>
      </c>
      <c r="N248" s="366">
        <f>F248+H248+J248</f>
        <v>0</v>
      </c>
      <c r="O248" s="365"/>
      <c r="P248" s="367">
        <f>Tabla1[[#This Row],[G. HGS 
'[MWh']]]</f>
        <v>0</v>
      </c>
      <c r="Q248" s="430">
        <v>0</v>
      </c>
      <c r="R248" s="367">
        <v>0</v>
      </c>
      <c r="S248" s="367">
        <f>Tabla1[[#This Row],[G. HGS 
Con Gas]]*1000</f>
        <v>0</v>
      </c>
      <c r="T248" s="365">
        <f>Tabla1[[#This Row],[G. HGS 
'[MWh']]]*1000</f>
        <v>0</v>
      </c>
      <c r="U248" s="368">
        <f>SUM('G. Un GE'!B248:Y248)</f>
        <v>0</v>
      </c>
      <c r="V248" s="369">
        <f>Tabla1[[#This Row],[R. GE
'[MWh']]]</f>
        <v>0</v>
      </c>
      <c r="W248" s="434">
        <v>0</v>
      </c>
      <c r="X248" s="369">
        <v>0</v>
      </c>
      <c r="Y248" s="365">
        <f>Tabla1[[#This Row],[R. GE
'[MWh']]]*1000</f>
        <v>0</v>
      </c>
      <c r="Z248" s="371"/>
      <c r="AA24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8" s="371">
        <f>IF(Tabla1[[#This Row],[G. HGS 
'[MWh']]]=0,0,Tabla1[[#This Row],[G. HGS 
'[MWh']]]+Tabla1[[#This Row],[Con. Aux. '[MWh']2]])</f>
        <v>0</v>
      </c>
      <c r="AC248" s="368">
        <f>'C. ENER. TN'!F248</f>
        <v>0</v>
      </c>
      <c r="AD248" s="370">
        <f>'C. ENER. TN'!G248</f>
        <v>0</v>
      </c>
      <c r="AE248" s="370">
        <f>'G. Un GE'!AX248</f>
        <v>0</v>
      </c>
      <c r="AF248" s="368">
        <f>IFERROR('G. Un GE'!AX248/Tabla1[[#This Row],[PO '[h']]],0)</f>
        <v>0</v>
      </c>
      <c r="AG248" s="365">
        <f>'Ar-Pa'!AX248</f>
        <v>0</v>
      </c>
      <c r="AH248" s="365">
        <f>'Ar-Pa'!AY248</f>
        <v>0</v>
      </c>
      <c r="AI248" s="366">
        <f>SUM('Cal. Arr'!AB251:AY251)</f>
        <v>0</v>
      </c>
      <c r="AJ248" s="442"/>
      <c r="AK248" s="443"/>
      <c r="AL248" s="372">
        <f t="shared" si="61"/>
        <v>0</v>
      </c>
      <c r="AM248" s="267">
        <f>+CONVERT(AK248+Tabla1[[#This Row],[Con. DO Storage Gen. '[m3']]],"m^3","gal")</f>
        <v>0</v>
      </c>
      <c r="AN248" s="372">
        <f>SUM('DO Pilot'!B248:Y248)</f>
        <v>0</v>
      </c>
      <c r="AO248" s="372">
        <f>+CONVERT(AN248,"m^3","gal")</f>
        <v>0</v>
      </c>
      <c r="AP248" s="267">
        <f>AK248+AN248+Tabla1[[#This Row],[Con. DO Storage Gen. '[m3']]]</f>
        <v>0</v>
      </c>
      <c r="AQ248" s="372">
        <f t="shared" si="68"/>
        <v>0</v>
      </c>
      <c r="AR248" s="443"/>
      <c r="AS248" s="443"/>
      <c r="AT248" s="267">
        <f>+CONVERT(SUM(Tabla1[[#This Row],[Repo. DO Storage '[gal']]:[Repo. DO Pilot '[gal']]]),"gal","m3")</f>
        <v>0</v>
      </c>
      <c r="AU248" s="442">
        <v>0</v>
      </c>
      <c r="AV248" s="372">
        <f>+CONVERT(AU248,"m^3","gal")</f>
        <v>0</v>
      </c>
      <c r="AW248" s="442">
        <v>0</v>
      </c>
      <c r="AX248" s="372">
        <f>+CONVERT(AW248,"gal","m3")</f>
        <v>0</v>
      </c>
      <c r="AY248" s="372">
        <f t="shared" si="64"/>
        <v>0</v>
      </c>
      <c r="AZ248" s="372">
        <f>IFERROR(AL248/'Ar-Pa'!AX248,0)</f>
        <v>0</v>
      </c>
      <c r="BA248" s="372">
        <f>IFERROR(AL248/'Ar-Pa'!AY248,0)</f>
        <v>0</v>
      </c>
      <c r="BB248" s="372">
        <f t="shared" si="65"/>
        <v>0</v>
      </c>
      <c r="BC248" s="372">
        <f>IFERROR(AVERAGEIF('DO Pilot'!AX248:BU248,"&gt;0"),0)</f>
        <v>0</v>
      </c>
      <c r="BD248" s="446"/>
      <c r="BE248" s="446"/>
      <c r="BF248" s="446"/>
      <c r="BG248" s="223">
        <f>Tabla1[[#This Row],[ Re. Gas GC
 '[m3']]]</f>
        <v>0</v>
      </c>
      <c r="BH248" s="150">
        <f>IFERROR((BG248*Gas!$B$4)/28.31685,0)</f>
        <v>0</v>
      </c>
      <c r="BI248" s="73">
        <f t="shared" si="75"/>
        <v>0</v>
      </c>
      <c r="BJ248" s="74">
        <f t="shared" si="69"/>
        <v>0</v>
      </c>
      <c r="BK248" s="223">
        <f t="shared" si="66"/>
        <v>0</v>
      </c>
      <c r="BL248" s="442">
        <v>8774.76</v>
      </c>
      <c r="BM248" s="70">
        <f t="shared" si="67"/>
        <v>0</v>
      </c>
      <c r="BN248" s="150">
        <f t="shared" si="70"/>
        <v>0</v>
      </c>
      <c r="BO248" s="373">
        <f>IFERROR(Tabla1[[#This Row],[ Re. Gas GC
 '[m3']]]/Tabla1[[#This Row],[G. HGS 
Con Gas '[kWh']]],0)</f>
        <v>0</v>
      </c>
      <c r="BP248" s="374">
        <f>Tank!Y249</f>
        <v>0</v>
      </c>
      <c r="BQ248" s="70">
        <f>Tank!AP249</f>
        <v>0</v>
      </c>
      <c r="BR248" s="70">
        <f>Tank!V249</f>
        <v>0</v>
      </c>
      <c r="BS248" s="372">
        <f>Tank!T249</f>
        <v>0</v>
      </c>
      <c r="BT248" s="375" t="s">
        <v>228</v>
      </c>
      <c r="BU248" s="452"/>
      <c r="BV248" s="376">
        <f>IF(Tabla1[[#This Row],[Combustible ofertado]]="GAS",Tabla1[[#This Row],[Disponibilidad]],0)</f>
        <v>0</v>
      </c>
      <c r="BW248" s="376">
        <f>IF(Tabla1[[#This Row],[Combustible ofertado]]="DIESEL",Tabla1[[#This Row],[Disponibilidad]],0)</f>
        <v>0</v>
      </c>
      <c r="BX248" s="376">
        <f>IF(Tabla1[[#This Row],[Combustible ofertado]]="HFO",Tabla1[[#This Row],[Disponibilidad]],0)</f>
        <v>0</v>
      </c>
      <c r="BY248" s="452"/>
      <c r="BZ248" s="446">
        <f>'Horo. M'!C249</f>
        <v>0</v>
      </c>
      <c r="CA248" s="446">
        <f>'Horo. M'!E249</f>
        <v>0</v>
      </c>
      <c r="CB248" s="446">
        <f>'Horo. M'!G249</f>
        <v>0</v>
      </c>
      <c r="CC248" s="446">
        <f>'Horo. M'!I249</f>
        <v>0</v>
      </c>
      <c r="CD248" s="446">
        <f>'Horo. M'!K249</f>
        <v>0</v>
      </c>
      <c r="CE248" s="446">
        <f>'Horo. M'!M249</f>
        <v>0</v>
      </c>
      <c r="CF248" s="446">
        <f>'Horo. M'!O249</f>
        <v>0</v>
      </c>
      <c r="CG248" s="446">
        <f>'Horo. M'!Q249</f>
        <v>0</v>
      </c>
      <c r="CH248" s="446">
        <f>'Horo. M'!S249</f>
        <v>0</v>
      </c>
      <c r="CI248" s="446">
        <f>'Horo. M'!U249</f>
        <v>0</v>
      </c>
      <c r="CJ248" s="70">
        <f>Tabla1[[#This Row],[Con. DO Storage '[gal']]]-Tabla1[[#This Row],[C. DO Storage Ge '[gal']]]</f>
        <v>0</v>
      </c>
      <c r="CK248" s="70"/>
      <c r="CL248" s="70"/>
      <c r="CM248" s="372">
        <f>Tabla1[[#This Row],[Con. DO Total '[gal']]]*131485.5/(1000000)</f>
        <v>0</v>
      </c>
    </row>
    <row r="249" spans="1:91" ht="15" customHeight="1">
      <c r="A249" s="362">
        <v>45174</v>
      </c>
      <c r="B249" s="363" t="str">
        <f>TEXT(Tabla1[[#This Row],[Fecha]],"mmmm")</f>
        <v>septiembre</v>
      </c>
      <c r="C249" s="364"/>
      <c r="D249" s="366"/>
      <c r="E249" s="366"/>
      <c r="F249" s="366"/>
      <c r="G249" s="377"/>
      <c r="H249" s="377"/>
      <c r="I249" s="378"/>
      <c r="J249" s="378"/>
      <c r="K249" s="366"/>
      <c r="L249" s="366"/>
      <c r="M249" s="365">
        <f>Tabla1[[#This Row],[Columna1]]-Tabla1[[#This Row],[PO '[h']]]</f>
        <v>0</v>
      </c>
      <c r="N249" s="366">
        <f>F249+H249+J249</f>
        <v>0</v>
      </c>
      <c r="O249" s="365"/>
      <c r="P249" s="367">
        <f>Tabla1[[#This Row],[G. HGS 
'[MWh']]]</f>
        <v>0</v>
      </c>
      <c r="Q249" s="430">
        <v>0</v>
      </c>
      <c r="R249" s="367">
        <v>0</v>
      </c>
      <c r="S249" s="367">
        <f>Tabla1[[#This Row],[G. HGS 
Con Gas]]*1000</f>
        <v>0</v>
      </c>
      <c r="T249" s="365">
        <f>Tabla1[[#This Row],[G. HGS 
'[MWh']]]*1000</f>
        <v>0</v>
      </c>
      <c r="U249" s="368">
        <f>SUM('G. Un GE'!B249:Y249)</f>
        <v>0</v>
      </c>
      <c r="V249" s="369">
        <f>Tabla1[[#This Row],[R. GE
'[MWh']]]</f>
        <v>0</v>
      </c>
      <c r="W249" s="434">
        <v>0</v>
      </c>
      <c r="X249" s="369">
        <v>0</v>
      </c>
      <c r="Y249" s="365">
        <f>Tabla1[[#This Row],[R. GE
'[MWh']]]*1000</f>
        <v>0</v>
      </c>
      <c r="Z249" s="371"/>
      <c r="AA24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49" s="371">
        <f>IF(Tabla1[[#This Row],[G. HGS 
'[MWh']]]=0,0,Tabla1[[#This Row],[G. HGS 
'[MWh']]]+Tabla1[[#This Row],[Con. Aux. '[MWh']2]])</f>
        <v>0</v>
      </c>
      <c r="AC249" s="368">
        <f>'C. ENER. TN'!F249</f>
        <v>0</v>
      </c>
      <c r="AD249" s="370">
        <f>'C. ENER. TN'!G249</f>
        <v>0</v>
      </c>
      <c r="AE249" s="370">
        <f>'G. Un GE'!AX249</f>
        <v>0</v>
      </c>
      <c r="AF249" s="368">
        <f>IFERROR('G. Un GE'!AX249/Tabla1[[#This Row],[PO '[h']]],0)</f>
        <v>0</v>
      </c>
      <c r="AG249" s="365">
        <f>'Ar-Pa'!AX249</f>
        <v>0</v>
      </c>
      <c r="AH249" s="365">
        <f>'Ar-Pa'!AY249</f>
        <v>0</v>
      </c>
      <c r="AI249" s="366">
        <f>SUM('Cal. Arr'!AB252:AY252)</f>
        <v>0</v>
      </c>
      <c r="AJ249" s="442"/>
      <c r="AK249" s="443"/>
      <c r="AL249" s="372">
        <f t="shared" si="61"/>
        <v>0</v>
      </c>
      <c r="AM249" s="267">
        <f>+CONVERT(AK249+Tabla1[[#This Row],[Con. DO Storage Gen. '[m3']]],"m^3","gal")</f>
        <v>0</v>
      </c>
      <c r="AN249" s="372">
        <f>SUM('DO Pilot'!B249:Y249)</f>
        <v>0</v>
      </c>
      <c r="AO249" s="372">
        <f>+CONVERT(AN249,"m^3","gal")</f>
        <v>0</v>
      </c>
      <c r="AP249" s="267">
        <f>AK249+AN249+Tabla1[[#This Row],[Con. DO Storage Gen. '[m3']]]</f>
        <v>0</v>
      </c>
      <c r="AQ249" s="372">
        <f t="shared" si="68"/>
        <v>0</v>
      </c>
      <c r="AR249" s="443"/>
      <c r="AS249" s="443"/>
      <c r="AT249" s="267">
        <f>+CONVERT(SUM(Tabla1[[#This Row],[Repo. DO Storage '[gal']]:[Repo. DO Pilot '[gal']]]),"gal","m3")</f>
        <v>0</v>
      </c>
      <c r="AU249" s="442">
        <v>0</v>
      </c>
      <c r="AV249" s="372">
        <f>+CONVERT(AU249,"m^3","gal")</f>
        <v>0</v>
      </c>
      <c r="AW249" s="442">
        <v>0</v>
      </c>
      <c r="AX249" s="372">
        <f>+CONVERT(AW249,"gal","m3")</f>
        <v>0</v>
      </c>
      <c r="AY249" s="372">
        <f t="shared" si="64"/>
        <v>0</v>
      </c>
      <c r="AZ249" s="372">
        <f>IFERROR(AL249/'Ar-Pa'!AX249,0)</f>
        <v>0</v>
      </c>
      <c r="BA249" s="372">
        <f>IFERROR(AL249/'Ar-Pa'!AY249,0)</f>
        <v>0</v>
      </c>
      <c r="BB249" s="372">
        <f t="shared" si="65"/>
        <v>0</v>
      </c>
      <c r="BC249" s="372">
        <f>IFERROR(AVERAGEIF('DO Pilot'!AX249:BU249,"&gt;0"),0)</f>
        <v>0</v>
      </c>
      <c r="BD249" s="446"/>
      <c r="BE249" s="446"/>
      <c r="BF249" s="446"/>
      <c r="BG249" s="223">
        <f>Tabla1[[#This Row],[ Re. Gas GC
 '[m3']]]</f>
        <v>0</v>
      </c>
      <c r="BH249" s="150">
        <f>IFERROR((BG249*Gas!$B$4)/28.31685,0)</f>
        <v>0</v>
      </c>
      <c r="BI249" s="73">
        <f t="shared" si="75"/>
        <v>0</v>
      </c>
      <c r="BJ249" s="74">
        <f t="shared" si="69"/>
        <v>0</v>
      </c>
      <c r="BK249" s="223">
        <f t="shared" si="66"/>
        <v>0</v>
      </c>
      <c r="BL249" s="442">
        <v>8952.9</v>
      </c>
      <c r="BM249" s="70">
        <f t="shared" si="67"/>
        <v>0</v>
      </c>
      <c r="BN249" s="150">
        <f t="shared" si="70"/>
        <v>0</v>
      </c>
      <c r="BO249" s="373">
        <f>IFERROR(Tabla1[[#This Row],[ Re. Gas GC
 '[m3']]]/Tabla1[[#This Row],[G. HGS 
Con Gas '[kWh']]],0)</f>
        <v>0</v>
      </c>
      <c r="BP249" s="374">
        <f>Tank!Y250</f>
        <v>0</v>
      </c>
      <c r="BQ249" s="70">
        <f>Tank!AP250</f>
        <v>0</v>
      </c>
      <c r="BR249" s="70">
        <f>Tank!V250</f>
        <v>0</v>
      </c>
      <c r="BS249" s="372">
        <f>Tank!T250</f>
        <v>0</v>
      </c>
      <c r="BT249" s="375" t="s">
        <v>228</v>
      </c>
      <c r="BU249" s="452"/>
      <c r="BV249" s="376">
        <f>IF(Tabla1[[#This Row],[Combustible ofertado]]="GAS",Tabla1[[#This Row],[Disponibilidad]],0)</f>
        <v>0</v>
      </c>
      <c r="BW249" s="376">
        <f>IF(Tabla1[[#This Row],[Combustible ofertado]]="DIESEL",Tabla1[[#This Row],[Disponibilidad]],0)</f>
        <v>0</v>
      </c>
      <c r="BX249" s="376">
        <f>IF(Tabla1[[#This Row],[Combustible ofertado]]="HFO",Tabla1[[#This Row],[Disponibilidad]],0)</f>
        <v>0</v>
      </c>
      <c r="BY249" s="452"/>
      <c r="BZ249" s="446">
        <f>'Horo. M'!C250</f>
        <v>0</v>
      </c>
      <c r="CA249" s="446">
        <f>'Horo. M'!E250</f>
        <v>0</v>
      </c>
      <c r="CB249" s="446">
        <f>'Horo. M'!G250</f>
        <v>0</v>
      </c>
      <c r="CC249" s="446">
        <f>'Horo. M'!I250</f>
        <v>0</v>
      </c>
      <c r="CD249" s="446">
        <f>'Horo. M'!K250</f>
        <v>0</v>
      </c>
      <c r="CE249" s="446">
        <f>'Horo. M'!M250</f>
        <v>0</v>
      </c>
      <c r="CF249" s="446">
        <f>'Horo. M'!O250</f>
        <v>0</v>
      </c>
      <c r="CG249" s="446">
        <f>'Horo. M'!Q250</f>
        <v>0</v>
      </c>
      <c r="CH249" s="446">
        <f>'Horo. M'!S250</f>
        <v>0</v>
      </c>
      <c r="CI249" s="446">
        <f>'Horo. M'!U250</f>
        <v>0</v>
      </c>
      <c r="CJ249" s="70">
        <f>Tabla1[[#This Row],[Con. DO Storage '[gal']]]-Tabla1[[#This Row],[C. DO Storage Ge '[gal']]]</f>
        <v>0</v>
      </c>
      <c r="CK249" s="70"/>
      <c r="CL249" s="70"/>
      <c r="CM249" s="372">
        <f>Tabla1[[#This Row],[Con. DO Total '[gal']]]*131485.5/(1000000)</f>
        <v>0</v>
      </c>
    </row>
    <row r="250" spans="1:91" ht="15" customHeight="1">
      <c r="A250" s="362">
        <v>45175</v>
      </c>
      <c r="B250" s="363" t="str">
        <f>TEXT(Tabla1[[#This Row],[Fecha]],"mmmm")</f>
        <v>septiembre</v>
      </c>
      <c r="C250" s="364"/>
      <c r="D250" s="366"/>
      <c r="E250" s="366"/>
      <c r="F250" s="366"/>
      <c r="G250" s="377"/>
      <c r="H250" s="377"/>
      <c r="I250" s="378"/>
      <c r="J250" s="378"/>
      <c r="K250" s="366"/>
      <c r="L250" s="366"/>
      <c r="M250" s="365">
        <f>Tabla1[[#This Row],[Columna1]]-Tabla1[[#This Row],[PO '[h']]]</f>
        <v>0</v>
      </c>
      <c r="N250" s="366">
        <f t="shared" ref="N250:N275" si="76">F250+H250+J250</f>
        <v>0</v>
      </c>
      <c r="O250" s="365"/>
      <c r="P250" s="367">
        <f>Tabla1[[#This Row],[G. HGS 
'[MWh']]]</f>
        <v>0</v>
      </c>
      <c r="Q250" s="430">
        <v>0</v>
      </c>
      <c r="R250" s="367">
        <v>0</v>
      </c>
      <c r="S250" s="367">
        <f>Tabla1[[#This Row],[G. HGS 
Con Gas]]*1000</f>
        <v>0</v>
      </c>
      <c r="T250" s="365">
        <f>Tabla1[[#This Row],[G. HGS 
'[MWh']]]*1000</f>
        <v>0</v>
      </c>
      <c r="U250" s="368">
        <f>SUM('G. Un GE'!B250:Y250)</f>
        <v>0</v>
      </c>
      <c r="V250" s="369">
        <f>Tabla1[[#This Row],[R. GE
'[MWh']]]</f>
        <v>0</v>
      </c>
      <c r="W250" s="434">
        <v>0</v>
      </c>
      <c r="X250" s="369">
        <v>0</v>
      </c>
      <c r="Y250" s="365">
        <f>Tabla1[[#This Row],[R. GE
'[MWh']]]*1000</f>
        <v>0</v>
      </c>
      <c r="Z250" s="371"/>
      <c r="AA25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0" s="371">
        <f>IF(Tabla1[[#This Row],[G. HGS 
'[MWh']]]=0,0,Tabla1[[#This Row],[G. HGS 
'[MWh']]]+Tabla1[[#This Row],[Con. Aux. '[MWh']2]])</f>
        <v>0</v>
      </c>
      <c r="AC250" s="368">
        <f>'C. ENER. TN'!F250</f>
        <v>0</v>
      </c>
      <c r="AD250" s="370">
        <f>'C. ENER. TN'!G250</f>
        <v>0</v>
      </c>
      <c r="AE250" s="370">
        <f>'G. Un GE'!AX250</f>
        <v>0</v>
      </c>
      <c r="AF250" s="368">
        <f>IFERROR('G. Un GE'!AX250/Tabla1[[#This Row],[PO '[h']]],0)</f>
        <v>0</v>
      </c>
      <c r="AG250" s="365">
        <f>'Ar-Pa'!AX250</f>
        <v>0</v>
      </c>
      <c r="AH250" s="365">
        <f>'Ar-Pa'!AY250</f>
        <v>0</v>
      </c>
      <c r="AI250" s="366">
        <f>SUM('Cal. Arr'!AB253:AY253)</f>
        <v>0</v>
      </c>
      <c r="AJ250" s="442"/>
      <c r="AK250" s="443"/>
      <c r="AL250" s="372">
        <f t="shared" si="61"/>
        <v>0</v>
      </c>
      <c r="AM250" s="267">
        <f>+CONVERT(AK250+Tabla1[[#This Row],[Con. DO Storage Gen. '[m3']]],"m^3","gal")</f>
        <v>0</v>
      </c>
      <c r="AN250" s="372">
        <f>SUM('DO Pilot'!B250:Y250)</f>
        <v>0</v>
      </c>
      <c r="AO250" s="372">
        <f t="shared" ref="AO250:AO275" si="77">+CONVERT(AN250,"m^3","gal")</f>
        <v>0</v>
      </c>
      <c r="AP250" s="267">
        <f>AK250+AN250+Tabla1[[#This Row],[Con. DO Storage Gen. '[m3']]]</f>
        <v>0</v>
      </c>
      <c r="AQ250" s="372">
        <f t="shared" si="68"/>
        <v>0</v>
      </c>
      <c r="AR250" s="443"/>
      <c r="AS250" s="443"/>
      <c r="AT250" s="267">
        <f>+CONVERT(SUM(Tabla1[[#This Row],[Repo. DO Storage '[gal']]:[Repo. DO Pilot '[gal']]]),"gal","m3")</f>
        <v>0</v>
      </c>
      <c r="AU250" s="442">
        <v>0</v>
      </c>
      <c r="AV250" s="372">
        <f t="shared" ref="AV250:AV275" si="78">+CONVERT(AU250,"m^3","gal")</f>
        <v>0</v>
      </c>
      <c r="AW250" s="442">
        <v>0</v>
      </c>
      <c r="AX250" s="372">
        <f t="shared" ref="AX250:AX275" si="79">+CONVERT(AW250,"gal","m3")</f>
        <v>0</v>
      </c>
      <c r="AY250" s="372">
        <f t="shared" si="64"/>
        <v>0</v>
      </c>
      <c r="AZ250" s="372">
        <f>IFERROR(AL250/'Ar-Pa'!AX250,0)</f>
        <v>0</v>
      </c>
      <c r="BA250" s="372">
        <f>IFERROR(AL250/'Ar-Pa'!AY250,0)</f>
        <v>0</v>
      </c>
      <c r="BB250" s="372">
        <f t="shared" si="65"/>
        <v>0</v>
      </c>
      <c r="BC250" s="372">
        <f>IFERROR(AVERAGEIF('DO Pilot'!AX250:BU250,"&gt;0"),0)</f>
        <v>0</v>
      </c>
      <c r="BD250" s="446"/>
      <c r="BE250" s="446"/>
      <c r="BF250" s="446"/>
      <c r="BG250" s="223">
        <f>Tabla1[[#This Row],[ Re. Gas GC
 '[m3']]]</f>
        <v>0</v>
      </c>
      <c r="BH250" s="150">
        <f>IFERROR((BG250*Gas!$B$4)/28.31685,0)</f>
        <v>0</v>
      </c>
      <c r="BI250" s="73">
        <f t="shared" si="75"/>
        <v>0</v>
      </c>
      <c r="BJ250" s="74">
        <f t="shared" si="69"/>
        <v>0</v>
      </c>
      <c r="BK250" s="223">
        <f t="shared" si="66"/>
        <v>0</v>
      </c>
      <c r="BL250" s="442">
        <v>8946.4500000000007</v>
      </c>
      <c r="BM250" s="70">
        <f t="shared" si="67"/>
        <v>0</v>
      </c>
      <c r="BN250" s="150">
        <f t="shared" si="70"/>
        <v>0</v>
      </c>
      <c r="BO250" s="373">
        <f>IFERROR(Tabla1[[#This Row],[ Re. Gas GC
 '[m3']]]/Tabla1[[#This Row],[G. HGS 
Con Gas '[kWh']]],0)</f>
        <v>0</v>
      </c>
      <c r="BP250" s="374">
        <f>Tank!Y251</f>
        <v>0</v>
      </c>
      <c r="BQ250" s="70">
        <f>Tank!AP251</f>
        <v>0</v>
      </c>
      <c r="BR250" s="70">
        <f>Tank!V251</f>
        <v>0</v>
      </c>
      <c r="BS250" s="372">
        <f>Tank!T251</f>
        <v>0</v>
      </c>
      <c r="BT250" s="375" t="s">
        <v>228</v>
      </c>
      <c r="BU250" s="452"/>
      <c r="BV250" s="376">
        <f>IF(Tabla1[[#This Row],[Combustible ofertado]]="GAS",Tabla1[[#This Row],[Disponibilidad]],0)</f>
        <v>0</v>
      </c>
      <c r="BW250" s="376">
        <f>IF(Tabla1[[#This Row],[Combustible ofertado]]="DIESEL",Tabla1[[#This Row],[Disponibilidad]],0)</f>
        <v>0</v>
      </c>
      <c r="BX250" s="376">
        <f>IF(Tabla1[[#This Row],[Combustible ofertado]]="HFO",Tabla1[[#This Row],[Disponibilidad]],0)</f>
        <v>0</v>
      </c>
      <c r="BY250" s="452"/>
      <c r="BZ250" s="446">
        <f>'Horo. M'!C251</f>
        <v>0</v>
      </c>
      <c r="CA250" s="446">
        <f>'Horo. M'!E251</f>
        <v>0</v>
      </c>
      <c r="CB250" s="446">
        <f>'Horo. M'!G251</f>
        <v>0</v>
      </c>
      <c r="CC250" s="446">
        <f>'Horo. M'!I251</f>
        <v>0</v>
      </c>
      <c r="CD250" s="446">
        <f>'Horo. M'!K251</f>
        <v>0</v>
      </c>
      <c r="CE250" s="446">
        <f>'Horo. M'!M251</f>
        <v>0</v>
      </c>
      <c r="CF250" s="446">
        <f>'Horo. M'!O251</f>
        <v>0</v>
      </c>
      <c r="CG250" s="446">
        <f>'Horo. M'!Q251</f>
        <v>0</v>
      </c>
      <c r="CH250" s="446">
        <f>'Horo. M'!S251</f>
        <v>0</v>
      </c>
      <c r="CI250" s="446">
        <f>'Horo. M'!U251</f>
        <v>0</v>
      </c>
      <c r="CJ250" s="70">
        <f>Tabla1[[#This Row],[Con. DO Storage '[gal']]]-Tabla1[[#This Row],[C. DO Storage Ge '[gal']]]</f>
        <v>0</v>
      </c>
      <c r="CK250" s="70"/>
      <c r="CL250" s="70"/>
      <c r="CM250" s="70">
        <f>Tabla1[[#This Row],[Con. DO Total '[gal']]]*131485.5/(1000000)</f>
        <v>0</v>
      </c>
    </row>
    <row r="251" spans="1:91" ht="15" customHeight="1">
      <c r="A251" s="362">
        <v>45176</v>
      </c>
      <c r="B251" s="363" t="str">
        <f>TEXT(Tabla1[[#This Row],[Fecha]],"mmmm")</f>
        <v>septiembre</v>
      </c>
      <c r="C251" s="364"/>
      <c r="D251" s="366"/>
      <c r="E251" s="366"/>
      <c r="F251" s="366"/>
      <c r="G251" s="377"/>
      <c r="H251" s="377"/>
      <c r="I251" s="378"/>
      <c r="J251" s="378"/>
      <c r="K251" s="366"/>
      <c r="L251" s="366"/>
      <c r="M251" s="365">
        <f>Tabla1[[#This Row],[Columna1]]-Tabla1[[#This Row],[PO '[h']]]</f>
        <v>0</v>
      </c>
      <c r="N251" s="366">
        <f t="shared" si="76"/>
        <v>0</v>
      </c>
      <c r="O251" s="365"/>
      <c r="P251" s="367">
        <f>Tabla1[[#This Row],[G. HGS 
'[MWh']]]</f>
        <v>0</v>
      </c>
      <c r="Q251" s="430">
        <v>0</v>
      </c>
      <c r="R251" s="367">
        <v>0</v>
      </c>
      <c r="S251" s="367">
        <f>Tabla1[[#This Row],[G. HGS 
Con Gas]]*1000</f>
        <v>0</v>
      </c>
      <c r="T251" s="365">
        <f>Tabla1[[#This Row],[G. HGS 
'[MWh']]]*1000</f>
        <v>0</v>
      </c>
      <c r="U251" s="368">
        <f>SUM('G. Un GE'!B251:Y251)</f>
        <v>0</v>
      </c>
      <c r="V251" s="369">
        <f>Tabla1[[#This Row],[R. GE
'[MWh']]]</f>
        <v>0</v>
      </c>
      <c r="W251" s="434">
        <v>0</v>
      </c>
      <c r="X251" s="369">
        <v>0</v>
      </c>
      <c r="Y251" s="365">
        <f>Tabla1[[#This Row],[R. GE
'[MWh']]]*1000</f>
        <v>0</v>
      </c>
      <c r="Z251" s="371"/>
      <c r="AA25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1" s="371">
        <f>IF(Tabla1[[#This Row],[G. HGS 
'[MWh']]]=0,0,Tabla1[[#This Row],[G. HGS 
'[MWh']]]+Tabla1[[#This Row],[Con. Aux. '[MWh']2]])</f>
        <v>0</v>
      </c>
      <c r="AC251" s="368">
        <f>'C. ENER. TN'!F251</f>
        <v>0</v>
      </c>
      <c r="AD251" s="370">
        <f>'C. ENER. TN'!G251</f>
        <v>0</v>
      </c>
      <c r="AE251" s="370">
        <f>'G. Un GE'!AX251</f>
        <v>0</v>
      </c>
      <c r="AF251" s="368">
        <f>IFERROR('G. Un GE'!AX251/Tabla1[[#This Row],[PO '[h']]],0)</f>
        <v>0</v>
      </c>
      <c r="AG251" s="365">
        <f>'Ar-Pa'!AX251</f>
        <v>0</v>
      </c>
      <c r="AH251" s="365">
        <f>'Ar-Pa'!AY251</f>
        <v>0</v>
      </c>
      <c r="AI251" s="366">
        <f>SUM('Cal. Arr'!AB254:AY254)</f>
        <v>1</v>
      </c>
      <c r="AJ251" s="442"/>
      <c r="AK251" s="443"/>
      <c r="AL251" s="372">
        <f t="shared" si="61"/>
        <v>0</v>
      </c>
      <c r="AM251" s="267">
        <f>+CONVERT(AK251+Tabla1[[#This Row],[Con. DO Storage Gen. '[m3']]],"m^3","gal")</f>
        <v>0</v>
      </c>
      <c r="AN251" s="372">
        <f>SUM('DO Pilot'!B251:Y251)</f>
        <v>0</v>
      </c>
      <c r="AO251" s="372">
        <f t="shared" si="77"/>
        <v>0</v>
      </c>
      <c r="AP251" s="267">
        <f>AK251+AN251+Tabla1[[#This Row],[Con. DO Storage Gen. '[m3']]]</f>
        <v>0</v>
      </c>
      <c r="AQ251" s="372">
        <f t="shared" si="68"/>
        <v>0</v>
      </c>
      <c r="AR251" s="443"/>
      <c r="AS251" s="443"/>
      <c r="AT251" s="267">
        <f>+CONVERT(SUM(Tabla1[[#This Row],[Repo. DO Storage '[gal']]:[Repo. DO Pilot '[gal']]]),"gal","m3")</f>
        <v>0</v>
      </c>
      <c r="AU251" s="442">
        <v>0</v>
      </c>
      <c r="AV251" s="372">
        <f t="shared" si="78"/>
        <v>0</v>
      </c>
      <c r="AW251" s="442">
        <v>0</v>
      </c>
      <c r="AX251" s="372">
        <f t="shared" si="79"/>
        <v>0</v>
      </c>
      <c r="AY251" s="372">
        <f t="shared" si="64"/>
        <v>0</v>
      </c>
      <c r="AZ251" s="372">
        <f>IFERROR(AL251/'Ar-Pa'!AX251,0)</f>
        <v>0</v>
      </c>
      <c r="BA251" s="372">
        <f>IFERROR(AL251/'Ar-Pa'!AY251,0)</f>
        <v>0</v>
      </c>
      <c r="BB251" s="372">
        <f t="shared" si="65"/>
        <v>0</v>
      </c>
      <c r="BC251" s="372">
        <f>IFERROR(AVERAGEIF('DO Pilot'!AX251:BU251,"&gt;0"),0)</f>
        <v>0</v>
      </c>
      <c r="BD251" s="446"/>
      <c r="BE251" s="446"/>
      <c r="BF251" s="446"/>
      <c r="BG251" s="223">
        <f>Tabla1[[#This Row],[ Re. Gas GC
 '[m3']]]</f>
        <v>0</v>
      </c>
      <c r="BH251" s="150">
        <f>IFERROR((BG251*Gas!$B$4)/28.31685,0)</f>
        <v>0</v>
      </c>
      <c r="BI251" s="73">
        <f t="shared" si="75"/>
        <v>0</v>
      </c>
      <c r="BJ251" s="74">
        <f t="shared" si="69"/>
        <v>0</v>
      </c>
      <c r="BK251" s="223">
        <f t="shared" si="66"/>
        <v>0</v>
      </c>
      <c r="BL251" s="442">
        <v>8940.36</v>
      </c>
      <c r="BM251" s="70">
        <f t="shared" si="67"/>
        <v>0</v>
      </c>
      <c r="BN251" s="150">
        <f t="shared" si="70"/>
        <v>0</v>
      </c>
      <c r="BO251" s="373">
        <f>IFERROR(Tabla1[[#This Row],[ Re. Gas GC
 '[m3']]]/Tabla1[[#This Row],[G. HGS 
Con Gas '[kWh']]],0)</f>
        <v>0</v>
      </c>
      <c r="BP251" s="374">
        <f>Tank!Y252</f>
        <v>0</v>
      </c>
      <c r="BQ251" s="70">
        <f>Tank!AP252</f>
        <v>0</v>
      </c>
      <c r="BR251" s="70">
        <f>Tank!V252</f>
        <v>0</v>
      </c>
      <c r="BS251" s="372">
        <f>Tank!T252</f>
        <v>0</v>
      </c>
      <c r="BT251" s="375" t="s">
        <v>228</v>
      </c>
      <c r="BU251" s="452"/>
      <c r="BV251" s="376">
        <f>IF(Tabla1[[#This Row],[Combustible ofertado]]="GAS",Tabla1[[#This Row],[Disponibilidad]],0)</f>
        <v>0</v>
      </c>
      <c r="BW251" s="376">
        <f>IF(Tabla1[[#This Row],[Combustible ofertado]]="DIESEL",Tabla1[[#This Row],[Disponibilidad]],0)</f>
        <v>0</v>
      </c>
      <c r="BX251" s="376">
        <f>IF(Tabla1[[#This Row],[Combustible ofertado]]="HFO",Tabla1[[#This Row],[Disponibilidad]],0)</f>
        <v>0</v>
      </c>
      <c r="BY251" s="452"/>
      <c r="BZ251" s="446">
        <f>'Horo. M'!C252</f>
        <v>0</v>
      </c>
      <c r="CA251" s="446">
        <f>'Horo. M'!E252</f>
        <v>0</v>
      </c>
      <c r="CB251" s="446">
        <f>'Horo. M'!G252</f>
        <v>0</v>
      </c>
      <c r="CC251" s="446">
        <f>'Horo. M'!I252</f>
        <v>0</v>
      </c>
      <c r="CD251" s="446">
        <f>'Horo. M'!K252</f>
        <v>0</v>
      </c>
      <c r="CE251" s="446">
        <f>'Horo. M'!M252</f>
        <v>0</v>
      </c>
      <c r="CF251" s="446">
        <f>'Horo. M'!O252</f>
        <v>0</v>
      </c>
      <c r="CG251" s="446">
        <f>'Horo. M'!Q252</f>
        <v>0</v>
      </c>
      <c r="CH251" s="446">
        <f>'Horo. M'!S252</f>
        <v>0</v>
      </c>
      <c r="CI251" s="446">
        <f>'Horo. M'!U252</f>
        <v>0</v>
      </c>
      <c r="CJ251" s="70">
        <f>Tabla1[[#This Row],[Con. DO Storage '[gal']]]-Tabla1[[#This Row],[C. DO Storage Ge '[gal']]]</f>
        <v>0</v>
      </c>
      <c r="CK251" s="70"/>
      <c r="CL251" s="70"/>
      <c r="CM251" s="70">
        <f>Tabla1[[#This Row],[Con. DO Total '[gal']]]*131485.5/(1000000)</f>
        <v>0</v>
      </c>
    </row>
    <row r="252" spans="1:91" ht="15" customHeight="1">
      <c r="A252" s="362">
        <v>45177</v>
      </c>
      <c r="B252" s="363" t="str">
        <f>TEXT(Tabla1[[#This Row],[Fecha]],"mmmm")</f>
        <v>septiembre</v>
      </c>
      <c r="C252" s="364"/>
      <c r="D252" s="366"/>
      <c r="E252" s="366"/>
      <c r="F252" s="366"/>
      <c r="G252" s="377"/>
      <c r="H252" s="377"/>
      <c r="I252" s="378"/>
      <c r="J252" s="378"/>
      <c r="K252" s="366"/>
      <c r="L252" s="366"/>
      <c r="M252" s="365">
        <f>Tabla1[[#This Row],[Columna1]]-Tabla1[[#This Row],[PO '[h']]]</f>
        <v>0</v>
      </c>
      <c r="N252" s="366">
        <f t="shared" si="76"/>
        <v>0</v>
      </c>
      <c r="O252" s="365"/>
      <c r="P252" s="367">
        <f>Tabla1[[#This Row],[G. HGS 
'[MWh']]]</f>
        <v>0</v>
      </c>
      <c r="Q252" s="430">
        <v>0</v>
      </c>
      <c r="R252" s="367">
        <v>0</v>
      </c>
      <c r="S252" s="367">
        <f>Tabla1[[#This Row],[G. HGS 
Con Gas]]*1000</f>
        <v>0</v>
      </c>
      <c r="T252" s="365">
        <f>Tabla1[[#This Row],[G. HGS 
'[MWh']]]*1000</f>
        <v>0</v>
      </c>
      <c r="U252" s="368">
        <f>SUM('G. Un GE'!B252:Y252)</f>
        <v>0</v>
      </c>
      <c r="V252" s="369">
        <f>Tabla1[[#This Row],[R. GE
'[MWh']]]</f>
        <v>0</v>
      </c>
      <c r="W252" s="434">
        <v>0</v>
      </c>
      <c r="X252" s="369">
        <v>0</v>
      </c>
      <c r="Y252" s="365">
        <f>Tabla1[[#This Row],[R. GE
'[MWh']]]*1000</f>
        <v>0</v>
      </c>
      <c r="Z252" s="371"/>
      <c r="AA25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2" s="371">
        <f>IF(Tabla1[[#This Row],[G. HGS 
'[MWh']]]=0,0,Tabla1[[#This Row],[G. HGS 
'[MWh']]]+Tabla1[[#This Row],[Con. Aux. '[MWh']2]])</f>
        <v>0</v>
      </c>
      <c r="AC252" s="368">
        <f>'C. ENER. TN'!F252</f>
        <v>0</v>
      </c>
      <c r="AD252" s="370">
        <f>'C. ENER. TN'!G252</f>
        <v>0</v>
      </c>
      <c r="AE252" s="370">
        <f>'G. Un GE'!AX252</f>
        <v>0</v>
      </c>
      <c r="AF252" s="368">
        <f>IFERROR('G. Un GE'!AX252/Tabla1[[#This Row],[PO '[h']]],0)</f>
        <v>0</v>
      </c>
      <c r="AG252" s="365">
        <f>'Ar-Pa'!AX252</f>
        <v>0</v>
      </c>
      <c r="AH252" s="365">
        <f>'Ar-Pa'!AY252</f>
        <v>0</v>
      </c>
      <c r="AI252" s="366">
        <f>SUM('Cal. Arr'!AB255:AY255)</f>
        <v>0</v>
      </c>
      <c r="AJ252" s="442"/>
      <c r="AK252" s="443"/>
      <c r="AL252" s="372">
        <f t="shared" si="61"/>
        <v>0</v>
      </c>
      <c r="AM252" s="267">
        <f>+CONVERT(AK252+Tabla1[[#This Row],[Con. DO Storage Gen. '[m3']]],"m^3","gal")</f>
        <v>0</v>
      </c>
      <c r="AN252" s="372">
        <f>SUM('DO Pilot'!B252:Y252)</f>
        <v>0</v>
      </c>
      <c r="AO252" s="372">
        <f t="shared" si="77"/>
        <v>0</v>
      </c>
      <c r="AP252" s="267">
        <f>AK252+AN252+Tabla1[[#This Row],[Con. DO Storage Gen. '[m3']]]</f>
        <v>0</v>
      </c>
      <c r="AQ252" s="372">
        <f t="shared" si="68"/>
        <v>0</v>
      </c>
      <c r="AR252" s="443"/>
      <c r="AS252" s="443"/>
      <c r="AT252" s="267">
        <f>+CONVERT(SUM(Tabla1[[#This Row],[Repo. DO Storage '[gal']]:[Repo. DO Pilot '[gal']]]),"gal","m3")</f>
        <v>0</v>
      </c>
      <c r="AU252" s="442">
        <v>0</v>
      </c>
      <c r="AV252" s="372">
        <f t="shared" si="78"/>
        <v>0</v>
      </c>
      <c r="AW252" s="442">
        <v>0</v>
      </c>
      <c r="AX252" s="372">
        <f t="shared" si="79"/>
        <v>0</v>
      </c>
      <c r="AY252" s="372">
        <f t="shared" si="64"/>
        <v>0</v>
      </c>
      <c r="AZ252" s="372">
        <f>IFERROR(AL252/'Ar-Pa'!AX252,0)</f>
        <v>0</v>
      </c>
      <c r="BA252" s="372">
        <f>IFERROR(AL252/'Ar-Pa'!AY252,0)</f>
        <v>0</v>
      </c>
      <c r="BB252" s="372">
        <f t="shared" si="65"/>
        <v>0</v>
      </c>
      <c r="BC252" s="372">
        <f>IFERROR(AVERAGEIF('DO Pilot'!AX252:BU252,"&gt;0"),0)</f>
        <v>0</v>
      </c>
      <c r="BD252" s="446"/>
      <c r="BE252" s="446"/>
      <c r="BF252" s="446"/>
      <c r="BG252" s="223">
        <f>Tabla1[[#This Row],[ Re. Gas GC
 '[m3']]]</f>
        <v>0</v>
      </c>
      <c r="BH252" s="150">
        <f>IFERROR((BG252*Gas!$B$4)/28.31685,0)</f>
        <v>0</v>
      </c>
      <c r="BI252" s="73">
        <f t="shared" si="75"/>
        <v>0</v>
      </c>
      <c r="BJ252" s="74">
        <f t="shared" si="69"/>
        <v>0</v>
      </c>
      <c r="BK252" s="223">
        <f t="shared" si="66"/>
        <v>0</v>
      </c>
      <c r="BL252" s="442">
        <v>8947.43</v>
      </c>
      <c r="BM252" s="70">
        <f t="shared" si="67"/>
        <v>0</v>
      </c>
      <c r="BN252" s="150">
        <f t="shared" si="70"/>
        <v>0</v>
      </c>
      <c r="BO252" s="373">
        <f>IFERROR(Tabla1[[#This Row],[ Re. Gas GC
 '[m3']]]/Tabla1[[#This Row],[G. HGS 
Con Gas '[kWh']]],0)</f>
        <v>0</v>
      </c>
      <c r="BP252" s="374">
        <f>Tank!Y253</f>
        <v>0</v>
      </c>
      <c r="BQ252" s="70">
        <f>Tank!AP253</f>
        <v>0</v>
      </c>
      <c r="BR252" s="70">
        <f>Tank!V253</f>
        <v>0</v>
      </c>
      <c r="BS252" s="372">
        <f>Tank!T253</f>
        <v>0</v>
      </c>
      <c r="BT252" s="375" t="s">
        <v>228</v>
      </c>
      <c r="BU252" s="452"/>
      <c r="BV252" s="376">
        <f>IF(Tabla1[[#This Row],[Combustible ofertado]]="GAS",Tabla1[[#This Row],[Disponibilidad]],0)</f>
        <v>0</v>
      </c>
      <c r="BW252" s="376">
        <f>IF(Tabla1[[#This Row],[Combustible ofertado]]="DIESEL",Tabla1[[#This Row],[Disponibilidad]],0)</f>
        <v>0</v>
      </c>
      <c r="BX252" s="376">
        <f>IF(Tabla1[[#This Row],[Combustible ofertado]]="HFO",Tabla1[[#This Row],[Disponibilidad]],0)</f>
        <v>0</v>
      </c>
      <c r="BY252" s="452"/>
      <c r="BZ252" s="446">
        <f>'Horo. M'!C253</f>
        <v>0</v>
      </c>
      <c r="CA252" s="446">
        <f>'Horo. M'!E253</f>
        <v>0</v>
      </c>
      <c r="CB252" s="446">
        <f>'Horo. M'!G253</f>
        <v>0</v>
      </c>
      <c r="CC252" s="446">
        <f>'Horo. M'!I253</f>
        <v>0</v>
      </c>
      <c r="CD252" s="446">
        <f>'Horo. M'!K253</f>
        <v>0</v>
      </c>
      <c r="CE252" s="446">
        <f>'Horo. M'!M253</f>
        <v>0</v>
      </c>
      <c r="CF252" s="446">
        <f>'Horo. M'!O253</f>
        <v>0</v>
      </c>
      <c r="CG252" s="446">
        <f>'Horo. M'!Q253</f>
        <v>0</v>
      </c>
      <c r="CH252" s="446">
        <f>'Horo. M'!S253</f>
        <v>0</v>
      </c>
      <c r="CI252" s="446">
        <f>'Horo. M'!U253</f>
        <v>0</v>
      </c>
      <c r="CJ252" s="70">
        <f>Tabla1[[#This Row],[Con. DO Storage '[gal']]]-Tabla1[[#This Row],[C. DO Storage Ge '[gal']]]</f>
        <v>0</v>
      </c>
      <c r="CK252" s="70"/>
      <c r="CL252" s="70"/>
      <c r="CM252" s="70">
        <f>Tabla1[[#This Row],[Con. DO Total '[gal']]]*131485.5/(1000000)</f>
        <v>0</v>
      </c>
    </row>
    <row r="253" spans="1:91" ht="15" customHeight="1">
      <c r="A253" s="362">
        <v>45178</v>
      </c>
      <c r="B253" s="363" t="str">
        <f>TEXT(Tabla1[[#This Row],[Fecha]],"mmmm")</f>
        <v>septiembre</v>
      </c>
      <c r="C253" s="364"/>
      <c r="D253" s="366"/>
      <c r="E253" s="366"/>
      <c r="F253" s="366"/>
      <c r="G253" s="377"/>
      <c r="H253" s="377"/>
      <c r="I253" s="378"/>
      <c r="J253" s="378"/>
      <c r="K253" s="366"/>
      <c r="L253" s="366"/>
      <c r="M253" s="365">
        <f>Tabla1[[#This Row],[Columna1]]-Tabla1[[#This Row],[PO '[h']]]</f>
        <v>0</v>
      </c>
      <c r="N253" s="366">
        <f t="shared" si="76"/>
        <v>0</v>
      </c>
      <c r="O253" s="365"/>
      <c r="P253" s="367">
        <f>Tabla1[[#This Row],[G. HGS 
'[MWh']]]</f>
        <v>0</v>
      </c>
      <c r="Q253" s="430">
        <v>0</v>
      </c>
      <c r="R253" s="367">
        <v>0</v>
      </c>
      <c r="S253" s="367">
        <f>Tabla1[[#This Row],[G. HGS 
Con Gas]]*1000</f>
        <v>0</v>
      </c>
      <c r="T253" s="365">
        <f>Tabla1[[#This Row],[G. HGS 
'[MWh']]]*1000</f>
        <v>0</v>
      </c>
      <c r="U253" s="368">
        <f>SUM('G. Un GE'!B253:Y253)</f>
        <v>0</v>
      </c>
      <c r="V253" s="369">
        <f>Tabla1[[#This Row],[R. GE
'[MWh']]]</f>
        <v>0</v>
      </c>
      <c r="W253" s="434">
        <v>0</v>
      </c>
      <c r="X253" s="369">
        <v>0</v>
      </c>
      <c r="Y253" s="365">
        <f>Tabla1[[#This Row],[R. GE
'[MWh']]]*1000</f>
        <v>0</v>
      </c>
      <c r="Z253" s="371"/>
      <c r="AA25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3" s="371">
        <f>IF(Tabla1[[#This Row],[G. HGS 
'[MWh']]]=0,0,Tabla1[[#This Row],[G. HGS 
'[MWh']]]+Tabla1[[#This Row],[Con. Aux. '[MWh']2]])</f>
        <v>0</v>
      </c>
      <c r="AC253" s="368">
        <f>'C. ENER. TN'!F253</f>
        <v>0</v>
      </c>
      <c r="AD253" s="370">
        <f>'C. ENER. TN'!G253</f>
        <v>0</v>
      </c>
      <c r="AE253" s="370">
        <f>'G. Un GE'!AX253</f>
        <v>0</v>
      </c>
      <c r="AF253" s="368">
        <f>IFERROR('G. Un GE'!AX253/Tabla1[[#This Row],[PO '[h']]],0)</f>
        <v>0</v>
      </c>
      <c r="AG253" s="365">
        <f>'Ar-Pa'!AX253</f>
        <v>0</v>
      </c>
      <c r="AH253" s="365">
        <f>'Ar-Pa'!AY253</f>
        <v>0</v>
      </c>
      <c r="AI253" s="366">
        <f>SUM('Cal. Arr'!AB256:AY256)</f>
        <v>0</v>
      </c>
      <c r="AJ253" s="442"/>
      <c r="AK253" s="443"/>
      <c r="AL253" s="372">
        <f t="shared" si="61"/>
        <v>0</v>
      </c>
      <c r="AM253" s="267">
        <f>+CONVERT(AK253+Tabla1[[#This Row],[Con. DO Storage Gen. '[m3']]],"m^3","gal")</f>
        <v>0</v>
      </c>
      <c r="AN253" s="372">
        <f>SUM('DO Pilot'!B253:Y253)</f>
        <v>0</v>
      </c>
      <c r="AO253" s="372">
        <f t="shared" si="77"/>
        <v>0</v>
      </c>
      <c r="AP253" s="267">
        <f>AK253+AN253+Tabla1[[#This Row],[Con. DO Storage Gen. '[m3']]]</f>
        <v>0</v>
      </c>
      <c r="AQ253" s="372">
        <f t="shared" si="68"/>
        <v>0</v>
      </c>
      <c r="AR253" s="443"/>
      <c r="AS253" s="443"/>
      <c r="AT253" s="267">
        <f>+CONVERT(SUM(Tabla1[[#This Row],[Repo. DO Storage '[gal']]:[Repo. DO Pilot '[gal']]]),"gal","m3")</f>
        <v>0</v>
      </c>
      <c r="AU253" s="442">
        <v>0</v>
      </c>
      <c r="AV253" s="372">
        <f t="shared" si="78"/>
        <v>0</v>
      </c>
      <c r="AW253" s="442">
        <v>0</v>
      </c>
      <c r="AX253" s="372">
        <f t="shared" si="79"/>
        <v>0</v>
      </c>
      <c r="AY253" s="372">
        <f t="shared" si="64"/>
        <v>0</v>
      </c>
      <c r="AZ253" s="372">
        <f>IFERROR(AL253/'Ar-Pa'!AX253,0)</f>
        <v>0</v>
      </c>
      <c r="BA253" s="372">
        <f>IFERROR(AL253/'Ar-Pa'!AY253,0)</f>
        <v>0</v>
      </c>
      <c r="BB253" s="372">
        <f t="shared" si="65"/>
        <v>0</v>
      </c>
      <c r="BC253" s="372">
        <f>IFERROR(AVERAGEIF('DO Pilot'!AX253:BU253,"&gt;0"),0)</f>
        <v>0</v>
      </c>
      <c r="BD253" s="446"/>
      <c r="BE253" s="446"/>
      <c r="BF253" s="446"/>
      <c r="BG253" s="223">
        <f>Tabla1[[#This Row],[ Re. Gas GC
 '[m3']]]</f>
        <v>0</v>
      </c>
      <c r="BH253" s="150">
        <f>IFERROR((BG253*Gas!$B$4)/28.31685,0)</f>
        <v>0</v>
      </c>
      <c r="BI253" s="73">
        <f t="shared" si="75"/>
        <v>0</v>
      </c>
      <c r="BJ253" s="74">
        <f t="shared" si="69"/>
        <v>0</v>
      </c>
      <c r="BK253" s="223">
        <f t="shared" si="66"/>
        <v>0</v>
      </c>
      <c r="BL253" s="442">
        <v>8821.91</v>
      </c>
      <c r="BM253" s="70">
        <f t="shared" si="67"/>
        <v>0</v>
      </c>
      <c r="BN253" s="150">
        <f t="shared" si="70"/>
        <v>0</v>
      </c>
      <c r="BO253" s="373">
        <f>IFERROR(Tabla1[[#This Row],[ Re. Gas GC
 '[m3']]]/Tabla1[[#This Row],[G. HGS 
Con Gas '[kWh']]],0)</f>
        <v>0</v>
      </c>
      <c r="BP253" s="374">
        <f>Tank!Y254</f>
        <v>0</v>
      </c>
      <c r="BQ253" s="70">
        <f>Tank!AP254</f>
        <v>0</v>
      </c>
      <c r="BR253" s="70">
        <f>Tank!V254</f>
        <v>0</v>
      </c>
      <c r="BS253" s="372">
        <f>Tank!T254</f>
        <v>0</v>
      </c>
      <c r="BT253" s="375" t="s">
        <v>228</v>
      </c>
      <c r="BU253" s="452"/>
      <c r="BV253" s="376">
        <f>IF(Tabla1[[#This Row],[Combustible ofertado]]="GAS",Tabla1[[#This Row],[Disponibilidad]],0)</f>
        <v>0</v>
      </c>
      <c r="BW253" s="376">
        <f>IF(Tabla1[[#This Row],[Combustible ofertado]]="DIESEL",Tabla1[[#This Row],[Disponibilidad]],0)</f>
        <v>0</v>
      </c>
      <c r="BX253" s="376">
        <f>IF(Tabla1[[#This Row],[Combustible ofertado]]="HFO",Tabla1[[#This Row],[Disponibilidad]],0)</f>
        <v>0</v>
      </c>
      <c r="BY253" s="452"/>
      <c r="BZ253" s="446">
        <f>'Horo. M'!C254</f>
        <v>0</v>
      </c>
      <c r="CA253" s="446">
        <f>'Horo. M'!E254</f>
        <v>0</v>
      </c>
      <c r="CB253" s="446">
        <f>'Horo. M'!G254</f>
        <v>0</v>
      </c>
      <c r="CC253" s="446">
        <f>'Horo. M'!I254</f>
        <v>0</v>
      </c>
      <c r="CD253" s="446">
        <f>'Horo. M'!K254</f>
        <v>0</v>
      </c>
      <c r="CE253" s="446">
        <f>'Horo. M'!M254</f>
        <v>0</v>
      </c>
      <c r="CF253" s="446">
        <f>'Horo. M'!O254</f>
        <v>0</v>
      </c>
      <c r="CG253" s="446">
        <f>'Horo. M'!Q254</f>
        <v>0</v>
      </c>
      <c r="CH253" s="446">
        <f>'Horo. M'!S254</f>
        <v>0</v>
      </c>
      <c r="CI253" s="446">
        <f>'Horo. M'!U254</f>
        <v>0</v>
      </c>
      <c r="CJ253" s="70">
        <f>Tabla1[[#This Row],[Con. DO Storage '[gal']]]-Tabla1[[#This Row],[C. DO Storage Ge '[gal']]]</f>
        <v>0</v>
      </c>
      <c r="CK253" s="70"/>
      <c r="CL253" s="70"/>
      <c r="CM253" s="70">
        <f>Tabla1[[#This Row],[Con. DO Total '[gal']]]*131485.5/(1000000)</f>
        <v>0</v>
      </c>
    </row>
    <row r="254" spans="1:91" ht="15" customHeight="1">
      <c r="A254" s="362">
        <v>45179</v>
      </c>
      <c r="B254" s="363" t="str">
        <f>TEXT(Tabla1[[#This Row],[Fecha]],"mmmm")</f>
        <v>septiembre</v>
      </c>
      <c r="C254" s="364"/>
      <c r="D254" s="366"/>
      <c r="E254" s="366"/>
      <c r="F254" s="366"/>
      <c r="G254" s="377"/>
      <c r="H254" s="377"/>
      <c r="I254" s="378"/>
      <c r="J254" s="378"/>
      <c r="K254" s="366"/>
      <c r="L254" s="366"/>
      <c r="M254" s="365">
        <f>Tabla1[[#This Row],[Columna1]]-Tabla1[[#This Row],[PO '[h']]]</f>
        <v>0</v>
      </c>
      <c r="N254" s="366">
        <f t="shared" si="76"/>
        <v>0</v>
      </c>
      <c r="O254" s="365"/>
      <c r="P254" s="367">
        <f>Tabla1[[#This Row],[G. HGS 
'[MWh']]]</f>
        <v>0</v>
      </c>
      <c r="Q254" s="430">
        <v>0</v>
      </c>
      <c r="R254" s="367">
        <v>0</v>
      </c>
      <c r="S254" s="367">
        <f>Tabla1[[#This Row],[G. HGS 
Con Gas]]*1000</f>
        <v>0</v>
      </c>
      <c r="T254" s="365">
        <f>Tabla1[[#This Row],[G. HGS 
'[MWh']]]*1000</f>
        <v>0</v>
      </c>
      <c r="U254" s="368">
        <f>SUM('G. Un GE'!B254:Y254)</f>
        <v>0</v>
      </c>
      <c r="V254" s="369">
        <f>Tabla1[[#This Row],[R. GE
'[MWh']]]</f>
        <v>0</v>
      </c>
      <c r="W254" s="434">
        <v>0</v>
      </c>
      <c r="X254" s="369">
        <v>0</v>
      </c>
      <c r="Y254" s="365">
        <f>Tabla1[[#This Row],[R. GE
'[MWh']]]*1000</f>
        <v>0</v>
      </c>
      <c r="Z254" s="371"/>
      <c r="AA25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4" s="371">
        <f>IF(Tabla1[[#This Row],[G. HGS 
'[MWh']]]=0,0,Tabla1[[#This Row],[G. HGS 
'[MWh']]]+Tabla1[[#This Row],[Con. Aux. '[MWh']2]])</f>
        <v>0</v>
      </c>
      <c r="AC254" s="368">
        <f>'C. ENER. TN'!F254</f>
        <v>0</v>
      </c>
      <c r="AD254" s="370">
        <f>'C. ENER. TN'!G254</f>
        <v>0</v>
      </c>
      <c r="AE254" s="370">
        <f>'G. Un GE'!AX254</f>
        <v>0</v>
      </c>
      <c r="AF254" s="368">
        <f>IFERROR('G. Un GE'!AX254/Tabla1[[#This Row],[PO '[h']]],0)</f>
        <v>0</v>
      </c>
      <c r="AG254" s="365">
        <f>'Ar-Pa'!AX254</f>
        <v>0</v>
      </c>
      <c r="AH254" s="365">
        <f>'Ar-Pa'!AY254</f>
        <v>0</v>
      </c>
      <c r="AI254" s="366">
        <f>SUM('Cal. Arr'!AB257:AY257)</f>
        <v>0</v>
      </c>
      <c r="AJ254" s="442"/>
      <c r="AK254" s="443"/>
      <c r="AL254" s="372">
        <f t="shared" si="61"/>
        <v>0</v>
      </c>
      <c r="AM254" s="267">
        <f>+CONVERT(AK254+Tabla1[[#This Row],[Con. DO Storage Gen. '[m3']]],"m^3","gal")</f>
        <v>0</v>
      </c>
      <c r="AN254" s="372">
        <f>SUM('DO Pilot'!B254:Y254)</f>
        <v>0</v>
      </c>
      <c r="AO254" s="372">
        <f t="shared" si="77"/>
        <v>0</v>
      </c>
      <c r="AP254" s="267">
        <f>AK254+AN254+Tabla1[[#This Row],[Con. DO Storage Gen. '[m3']]]</f>
        <v>0</v>
      </c>
      <c r="AQ254" s="372">
        <f t="shared" si="68"/>
        <v>0</v>
      </c>
      <c r="AR254" s="443"/>
      <c r="AS254" s="443"/>
      <c r="AT254" s="267">
        <f>+CONVERT(SUM(Tabla1[[#This Row],[Repo. DO Storage '[gal']]:[Repo. DO Pilot '[gal']]]),"gal","m3")</f>
        <v>0</v>
      </c>
      <c r="AU254" s="442">
        <v>0</v>
      </c>
      <c r="AV254" s="372">
        <f t="shared" si="78"/>
        <v>0</v>
      </c>
      <c r="AW254" s="442">
        <v>0</v>
      </c>
      <c r="AX254" s="372">
        <f t="shared" si="79"/>
        <v>0</v>
      </c>
      <c r="AY254" s="372">
        <f t="shared" si="64"/>
        <v>0</v>
      </c>
      <c r="AZ254" s="372">
        <f>IFERROR(AL254/'Ar-Pa'!AX254,0)</f>
        <v>0</v>
      </c>
      <c r="BA254" s="372">
        <f>IFERROR(AL254/'Ar-Pa'!AY254,0)</f>
        <v>0</v>
      </c>
      <c r="BB254" s="372">
        <f t="shared" si="65"/>
        <v>0</v>
      </c>
      <c r="BC254" s="372">
        <f>IFERROR(AVERAGEIF('DO Pilot'!AX254:BU254,"&gt;0"),0)</f>
        <v>0</v>
      </c>
      <c r="BD254" s="446"/>
      <c r="BE254" s="446"/>
      <c r="BF254" s="446"/>
      <c r="BG254" s="223">
        <f>Tabla1[[#This Row],[ Re. Gas GC
 '[m3']]]</f>
        <v>0</v>
      </c>
      <c r="BH254" s="150">
        <f>IFERROR((BG254*Gas!$B$4)/28.31685,0)</f>
        <v>0</v>
      </c>
      <c r="BI254" s="73">
        <f t="shared" ref="BI254:BI275" si="80">BH254-BE254</f>
        <v>0</v>
      </c>
      <c r="BJ254" s="74">
        <f t="shared" si="69"/>
        <v>0</v>
      </c>
      <c r="BK254" s="223">
        <f t="shared" si="66"/>
        <v>0</v>
      </c>
      <c r="BL254" s="442">
        <v>8499.07</v>
      </c>
      <c r="BM254" s="70">
        <f t="shared" si="67"/>
        <v>0</v>
      </c>
      <c r="BN254" s="150">
        <f t="shared" si="70"/>
        <v>0</v>
      </c>
      <c r="BO254" s="373">
        <f>IFERROR(Tabla1[[#This Row],[ Re. Gas GC
 '[m3']]]/Tabla1[[#This Row],[G. HGS 
Con Gas '[kWh']]],0)</f>
        <v>0</v>
      </c>
      <c r="BP254" s="374">
        <f>Tank!Y255</f>
        <v>0</v>
      </c>
      <c r="BQ254" s="70">
        <f>Tank!AP255</f>
        <v>0</v>
      </c>
      <c r="BR254" s="70">
        <f>Tank!V255</f>
        <v>0</v>
      </c>
      <c r="BS254" s="372">
        <f>Tank!T255</f>
        <v>0</v>
      </c>
      <c r="BT254" s="375" t="s">
        <v>228</v>
      </c>
      <c r="BU254" s="452"/>
      <c r="BV254" s="376">
        <f>IF(Tabla1[[#This Row],[Combustible ofertado]]="GAS",Tabla1[[#This Row],[Disponibilidad]],0)</f>
        <v>0</v>
      </c>
      <c r="BW254" s="376">
        <f>IF(Tabla1[[#This Row],[Combustible ofertado]]="DIESEL",Tabla1[[#This Row],[Disponibilidad]],0)</f>
        <v>0</v>
      </c>
      <c r="BX254" s="376">
        <f>IF(Tabla1[[#This Row],[Combustible ofertado]]="HFO",Tabla1[[#This Row],[Disponibilidad]],0)</f>
        <v>0</v>
      </c>
      <c r="BY254" s="452"/>
      <c r="BZ254" s="446">
        <f>'Horo. M'!C255</f>
        <v>0</v>
      </c>
      <c r="CA254" s="446">
        <f>'Horo. M'!E255</f>
        <v>0</v>
      </c>
      <c r="CB254" s="446">
        <f>'Horo. M'!G255</f>
        <v>0</v>
      </c>
      <c r="CC254" s="446">
        <f>'Horo. M'!I255</f>
        <v>0</v>
      </c>
      <c r="CD254" s="446">
        <f>'Horo. M'!K255</f>
        <v>0</v>
      </c>
      <c r="CE254" s="446">
        <f>'Horo. M'!M255</f>
        <v>0</v>
      </c>
      <c r="CF254" s="446">
        <f>'Horo. M'!O255</f>
        <v>0</v>
      </c>
      <c r="CG254" s="446">
        <f>'Horo. M'!Q255</f>
        <v>0</v>
      </c>
      <c r="CH254" s="446">
        <f>'Horo. M'!S255</f>
        <v>0</v>
      </c>
      <c r="CI254" s="446">
        <f>'Horo. M'!U255</f>
        <v>0</v>
      </c>
      <c r="CJ254" s="70">
        <f>Tabla1[[#This Row],[Con. DO Storage '[gal']]]-Tabla1[[#This Row],[C. DO Storage Ge '[gal']]]</f>
        <v>0</v>
      </c>
      <c r="CK254" s="70"/>
      <c r="CL254" s="70"/>
      <c r="CM254" s="70">
        <f>Tabla1[[#This Row],[Con. DO Total '[gal']]]*131485.5/(1000000)</f>
        <v>0</v>
      </c>
    </row>
    <row r="255" spans="1:91" ht="15" customHeight="1">
      <c r="A255" s="362">
        <v>45180</v>
      </c>
      <c r="B255" s="363" t="str">
        <f>TEXT(Tabla1[[#This Row],[Fecha]],"mmmm")</f>
        <v>septiembre</v>
      </c>
      <c r="C255" s="364"/>
      <c r="D255" s="366"/>
      <c r="E255" s="366"/>
      <c r="F255" s="366"/>
      <c r="G255" s="377"/>
      <c r="H255" s="377"/>
      <c r="I255" s="378"/>
      <c r="J255" s="378"/>
      <c r="K255" s="366"/>
      <c r="L255" s="366"/>
      <c r="M255" s="365">
        <f>Tabla1[[#This Row],[Columna1]]-Tabla1[[#This Row],[PO '[h']]]</f>
        <v>0</v>
      </c>
      <c r="N255" s="366">
        <f t="shared" si="76"/>
        <v>0</v>
      </c>
      <c r="O255" s="365"/>
      <c r="P255" s="367">
        <f>Tabla1[[#This Row],[G. HGS 
'[MWh']]]</f>
        <v>0</v>
      </c>
      <c r="Q255" s="430">
        <v>0</v>
      </c>
      <c r="R255" s="367">
        <v>0</v>
      </c>
      <c r="S255" s="367">
        <f>Tabla1[[#This Row],[G. HGS 
Con Gas]]*1000</f>
        <v>0</v>
      </c>
      <c r="T255" s="365">
        <f>Tabla1[[#This Row],[G. HGS 
'[MWh']]]*1000</f>
        <v>0</v>
      </c>
      <c r="U255" s="368">
        <f>SUM('G. Un GE'!B255:Y255)</f>
        <v>0</v>
      </c>
      <c r="V255" s="369">
        <f>Tabla1[[#This Row],[R. GE
'[MWh']]]</f>
        <v>0</v>
      </c>
      <c r="W255" s="434">
        <v>0</v>
      </c>
      <c r="X255" s="369">
        <v>0</v>
      </c>
      <c r="Y255" s="365">
        <f>Tabla1[[#This Row],[R. GE
'[MWh']]]*1000</f>
        <v>0</v>
      </c>
      <c r="Z255" s="371"/>
      <c r="AA25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5" s="371">
        <f>IF(Tabla1[[#This Row],[G. HGS 
'[MWh']]]=0,0,Tabla1[[#This Row],[G. HGS 
'[MWh']]]+Tabla1[[#This Row],[Con. Aux. '[MWh']2]])</f>
        <v>0</v>
      </c>
      <c r="AC255" s="368">
        <f>'C. ENER. TN'!F255</f>
        <v>0</v>
      </c>
      <c r="AD255" s="370">
        <f>'C. ENER. TN'!G255</f>
        <v>0</v>
      </c>
      <c r="AE255" s="370">
        <f>'G. Un GE'!AX255</f>
        <v>0</v>
      </c>
      <c r="AF255" s="368">
        <f>IFERROR('G. Un GE'!AX255/Tabla1[[#This Row],[PO '[h']]],0)</f>
        <v>0</v>
      </c>
      <c r="AG255" s="365">
        <f>'Ar-Pa'!AX255</f>
        <v>0</v>
      </c>
      <c r="AH255" s="365">
        <f>'Ar-Pa'!AY255</f>
        <v>0</v>
      </c>
      <c r="AI255" s="366">
        <f>SUM('Cal. Arr'!AB258:AY258)</f>
        <v>0</v>
      </c>
      <c r="AJ255" s="442"/>
      <c r="AK255" s="443"/>
      <c r="AL255" s="372">
        <f t="shared" si="61"/>
        <v>0</v>
      </c>
      <c r="AM255" s="267">
        <f>+CONVERT(AK255+Tabla1[[#This Row],[Con. DO Storage Gen. '[m3']]],"m^3","gal")</f>
        <v>0</v>
      </c>
      <c r="AN255" s="372">
        <f>SUM('DO Pilot'!B255:Y255)</f>
        <v>0</v>
      </c>
      <c r="AO255" s="372">
        <f t="shared" si="77"/>
        <v>0</v>
      </c>
      <c r="AP255" s="267">
        <f>AK255+AN255+Tabla1[[#This Row],[Con. DO Storage Gen. '[m3']]]</f>
        <v>0</v>
      </c>
      <c r="AQ255" s="372">
        <f t="shared" si="68"/>
        <v>0</v>
      </c>
      <c r="AR255" s="443"/>
      <c r="AS255" s="443"/>
      <c r="AT255" s="267">
        <f>+CONVERT(SUM(Tabla1[[#This Row],[Repo. DO Storage '[gal']]:[Repo. DO Pilot '[gal']]]),"gal","m3")</f>
        <v>0</v>
      </c>
      <c r="AU255" s="442">
        <v>0</v>
      </c>
      <c r="AV255" s="372">
        <f t="shared" si="78"/>
        <v>0</v>
      </c>
      <c r="AW255" s="442">
        <v>0</v>
      </c>
      <c r="AX255" s="372">
        <f t="shared" si="79"/>
        <v>0</v>
      </c>
      <c r="AY255" s="372">
        <f t="shared" si="64"/>
        <v>0</v>
      </c>
      <c r="AZ255" s="372">
        <f>IFERROR(AL255/'Ar-Pa'!AX255,0)</f>
        <v>0</v>
      </c>
      <c r="BA255" s="372">
        <f>IFERROR(AL255/'Ar-Pa'!AY255,0)</f>
        <v>0</v>
      </c>
      <c r="BB255" s="372">
        <f t="shared" si="65"/>
        <v>0</v>
      </c>
      <c r="BC255" s="372">
        <f>IFERROR(AVERAGEIF('DO Pilot'!AX255:BU255,"&gt;0"),0)</f>
        <v>0</v>
      </c>
      <c r="BD255" s="446"/>
      <c r="BE255" s="446"/>
      <c r="BF255" s="446"/>
      <c r="BG255" s="223">
        <f>Tabla1[[#This Row],[ Re. Gas GC
 '[m3']]]</f>
        <v>0</v>
      </c>
      <c r="BH255" s="150">
        <f>IFERROR((BG255*Gas!$B$4)/28.31685,0)</f>
        <v>0</v>
      </c>
      <c r="BI255" s="73">
        <f t="shared" si="80"/>
        <v>0</v>
      </c>
      <c r="BJ255" s="74">
        <f t="shared" si="69"/>
        <v>0</v>
      </c>
      <c r="BK255" s="223">
        <f t="shared" si="66"/>
        <v>0</v>
      </c>
      <c r="BL255" s="442">
        <v>8640.86</v>
      </c>
      <c r="BM255" s="70">
        <f t="shared" si="67"/>
        <v>0</v>
      </c>
      <c r="BN255" s="150">
        <f t="shared" si="70"/>
        <v>0</v>
      </c>
      <c r="BO255" s="373">
        <f>IFERROR(Tabla1[[#This Row],[ Re. Gas GC
 '[m3']]]/Tabla1[[#This Row],[G. HGS 
Con Gas '[kWh']]],0)</f>
        <v>0</v>
      </c>
      <c r="BP255" s="374">
        <f>Tank!Y256</f>
        <v>0</v>
      </c>
      <c r="BQ255" s="70">
        <f>Tank!AP256</f>
        <v>0</v>
      </c>
      <c r="BR255" s="70">
        <f>Tank!V256</f>
        <v>0</v>
      </c>
      <c r="BS255" s="372">
        <f>Tank!T256</f>
        <v>0</v>
      </c>
      <c r="BT255" s="375" t="s">
        <v>228</v>
      </c>
      <c r="BU255" s="452"/>
      <c r="BV255" s="376">
        <f>IF(Tabla1[[#This Row],[Combustible ofertado]]="GAS",Tabla1[[#This Row],[Disponibilidad]],0)</f>
        <v>0</v>
      </c>
      <c r="BW255" s="376">
        <f>IF(Tabla1[[#This Row],[Combustible ofertado]]="DIESEL",Tabla1[[#This Row],[Disponibilidad]],0)</f>
        <v>0</v>
      </c>
      <c r="BX255" s="376">
        <f>IF(Tabla1[[#This Row],[Combustible ofertado]]="HFO",Tabla1[[#This Row],[Disponibilidad]],0)</f>
        <v>0</v>
      </c>
      <c r="BY255" s="452"/>
      <c r="BZ255" s="446">
        <f>'Horo. M'!C256</f>
        <v>0</v>
      </c>
      <c r="CA255" s="446">
        <f>'Horo. M'!E256</f>
        <v>0</v>
      </c>
      <c r="CB255" s="446">
        <f>'Horo. M'!G256</f>
        <v>0</v>
      </c>
      <c r="CC255" s="446">
        <f>'Horo. M'!I256</f>
        <v>0</v>
      </c>
      <c r="CD255" s="446">
        <f>'Horo. M'!K256</f>
        <v>0</v>
      </c>
      <c r="CE255" s="446">
        <f>'Horo. M'!M256</f>
        <v>0</v>
      </c>
      <c r="CF255" s="446">
        <f>'Horo. M'!O256</f>
        <v>0</v>
      </c>
      <c r="CG255" s="446">
        <f>'Horo. M'!Q256</f>
        <v>0</v>
      </c>
      <c r="CH255" s="446">
        <f>'Horo. M'!S256</f>
        <v>0</v>
      </c>
      <c r="CI255" s="446">
        <f>'Horo. M'!U256</f>
        <v>0</v>
      </c>
      <c r="CJ255" s="70">
        <f>Tabla1[[#This Row],[Con. DO Storage '[gal']]]-Tabla1[[#This Row],[C. DO Storage Ge '[gal']]]</f>
        <v>0</v>
      </c>
      <c r="CK255" s="70"/>
      <c r="CL255" s="70"/>
      <c r="CM255" s="70">
        <f>Tabla1[[#This Row],[Con. DO Total '[gal']]]*131485.5/(1000000)</f>
        <v>0</v>
      </c>
    </row>
    <row r="256" spans="1:91" ht="15" customHeight="1">
      <c r="A256" s="362">
        <v>45181</v>
      </c>
      <c r="B256" s="363" t="str">
        <f>TEXT(Tabla1[[#This Row],[Fecha]],"mmmm")</f>
        <v>septiembre</v>
      </c>
      <c r="C256" s="364"/>
      <c r="D256" s="366"/>
      <c r="E256" s="366"/>
      <c r="F256" s="366"/>
      <c r="G256" s="377"/>
      <c r="H256" s="377"/>
      <c r="I256" s="378"/>
      <c r="J256" s="378"/>
      <c r="K256" s="366"/>
      <c r="L256" s="366"/>
      <c r="M256" s="365">
        <f>Tabla1[[#This Row],[Columna1]]-Tabla1[[#This Row],[PO '[h']]]</f>
        <v>0</v>
      </c>
      <c r="N256" s="366">
        <f t="shared" si="76"/>
        <v>0</v>
      </c>
      <c r="O256" s="365"/>
      <c r="P256" s="367">
        <f>Tabla1[[#This Row],[G. HGS 
'[MWh']]]</f>
        <v>0</v>
      </c>
      <c r="Q256" s="430">
        <v>0</v>
      </c>
      <c r="R256" s="367">
        <v>0</v>
      </c>
      <c r="S256" s="367">
        <f>Tabla1[[#This Row],[G. HGS 
Con Gas]]*1000</f>
        <v>0</v>
      </c>
      <c r="T256" s="365">
        <f>Tabla1[[#This Row],[G. HGS 
'[MWh']]]*1000</f>
        <v>0</v>
      </c>
      <c r="U256" s="368">
        <f>SUM('G. Un GE'!B256:Y256)</f>
        <v>0</v>
      </c>
      <c r="V256" s="369">
        <f>Tabla1[[#This Row],[R. GE
'[MWh']]]</f>
        <v>0</v>
      </c>
      <c r="W256" s="434">
        <v>0</v>
      </c>
      <c r="X256" s="369">
        <v>0</v>
      </c>
      <c r="Y256" s="365">
        <f>Tabla1[[#This Row],[R. GE
'[MWh']]]*1000</f>
        <v>0</v>
      </c>
      <c r="Z256" s="371"/>
      <c r="AA25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6" s="371">
        <f>IF(Tabla1[[#This Row],[G. HGS 
'[MWh']]]=0,0,Tabla1[[#This Row],[G. HGS 
'[MWh']]]+Tabla1[[#This Row],[Con. Aux. '[MWh']2]])</f>
        <v>0</v>
      </c>
      <c r="AC256" s="368">
        <f>'C. ENER. TN'!F256</f>
        <v>0</v>
      </c>
      <c r="AD256" s="370">
        <f>'C. ENER. TN'!G256</f>
        <v>0</v>
      </c>
      <c r="AE256" s="370">
        <f>'G. Un GE'!AX256</f>
        <v>0</v>
      </c>
      <c r="AF256" s="368">
        <f>IFERROR('G. Un GE'!AX256/Tabla1[[#This Row],[PO '[h']]],0)</f>
        <v>0</v>
      </c>
      <c r="AG256" s="365">
        <f>'Ar-Pa'!AX256</f>
        <v>0</v>
      </c>
      <c r="AH256" s="365">
        <f>'Ar-Pa'!AY256</f>
        <v>0</v>
      </c>
      <c r="AI256" s="366">
        <f>SUM('Cal. Arr'!AB259:AY259)</f>
        <v>0</v>
      </c>
      <c r="AJ256" s="442"/>
      <c r="AK256" s="443"/>
      <c r="AL256" s="372">
        <f t="shared" si="61"/>
        <v>0</v>
      </c>
      <c r="AM256" s="267">
        <f>+CONVERT(AK256+Tabla1[[#This Row],[Con. DO Storage Gen. '[m3']]],"m^3","gal")</f>
        <v>0</v>
      </c>
      <c r="AN256" s="372">
        <f>SUM('DO Pilot'!B256:Y256)</f>
        <v>0</v>
      </c>
      <c r="AO256" s="372">
        <f t="shared" si="77"/>
        <v>0</v>
      </c>
      <c r="AP256" s="267">
        <f>AK256+AN256+Tabla1[[#This Row],[Con. DO Storage Gen. '[m3']]]</f>
        <v>0</v>
      </c>
      <c r="AQ256" s="372">
        <f t="shared" si="68"/>
        <v>0</v>
      </c>
      <c r="AR256" s="443"/>
      <c r="AS256" s="443"/>
      <c r="AT256" s="267">
        <f>+CONVERT(SUM(Tabla1[[#This Row],[Repo. DO Storage '[gal']]:[Repo. DO Pilot '[gal']]]),"gal","m3")</f>
        <v>0</v>
      </c>
      <c r="AU256" s="442">
        <v>0</v>
      </c>
      <c r="AV256" s="372">
        <f t="shared" si="78"/>
        <v>0</v>
      </c>
      <c r="AW256" s="442">
        <v>0</v>
      </c>
      <c r="AX256" s="372">
        <f t="shared" si="79"/>
        <v>0</v>
      </c>
      <c r="AY256" s="372">
        <f t="shared" si="64"/>
        <v>0</v>
      </c>
      <c r="AZ256" s="372">
        <f>IFERROR(AL256/'Ar-Pa'!AX256,0)</f>
        <v>0</v>
      </c>
      <c r="BA256" s="372">
        <f>IFERROR(AL256/'Ar-Pa'!AY256,0)</f>
        <v>0</v>
      </c>
      <c r="BB256" s="372">
        <f t="shared" si="65"/>
        <v>0</v>
      </c>
      <c r="BC256" s="372">
        <f>IFERROR(AVERAGEIF('DO Pilot'!AX256:BU256,"&gt;0"),0)</f>
        <v>0</v>
      </c>
      <c r="BD256" s="446"/>
      <c r="BE256" s="446"/>
      <c r="BF256" s="446"/>
      <c r="BG256" s="223">
        <f>Tabla1[[#This Row],[ Re. Gas GC
 '[m3']]]</f>
        <v>0</v>
      </c>
      <c r="BH256" s="150">
        <f>IFERROR((BG256*Gas!$B$4)/28.31685,0)</f>
        <v>0</v>
      </c>
      <c r="BI256" s="73">
        <f t="shared" si="80"/>
        <v>0</v>
      </c>
      <c r="BJ256" s="74">
        <f t="shared" si="69"/>
        <v>0</v>
      </c>
      <c r="BK256" s="223">
        <f t="shared" si="66"/>
        <v>0</v>
      </c>
      <c r="BL256" s="442">
        <v>8943.14</v>
      </c>
      <c r="BM256" s="70">
        <f t="shared" si="67"/>
        <v>0</v>
      </c>
      <c r="BN256" s="150">
        <f t="shared" si="70"/>
        <v>0</v>
      </c>
      <c r="BO256" s="373">
        <f>IFERROR(Tabla1[[#This Row],[ Re. Gas GC
 '[m3']]]/Tabla1[[#This Row],[G. HGS 
Con Gas '[kWh']]],0)</f>
        <v>0</v>
      </c>
      <c r="BP256" s="374">
        <f>Tank!Y257</f>
        <v>0</v>
      </c>
      <c r="BQ256" s="70">
        <f>Tank!AP257</f>
        <v>0</v>
      </c>
      <c r="BR256" s="70">
        <f>Tank!V257</f>
        <v>0</v>
      </c>
      <c r="BS256" s="372">
        <f>Tank!T257</f>
        <v>0</v>
      </c>
      <c r="BT256" s="375" t="s">
        <v>228</v>
      </c>
      <c r="BU256" s="452"/>
      <c r="BV256" s="376">
        <f>IF(Tabla1[[#This Row],[Combustible ofertado]]="GAS",Tabla1[[#This Row],[Disponibilidad]],0)</f>
        <v>0</v>
      </c>
      <c r="BW256" s="376">
        <f>IF(Tabla1[[#This Row],[Combustible ofertado]]="DIESEL",Tabla1[[#This Row],[Disponibilidad]],0)</f>
        <v>0</v>
      </c>
      <c r="BX256" s="376">
        <f>IF(Tabla1[[#This Row],[Combustible ofertado]]="HFO",Tabla1[[#This Row],[Disponibilidad]],0)</f>
        <v>0</v>
      </c>
      <c r="BY256" s="452"/>
      <c r="BZ256" s="446">
        <f>'Horo. M'!C257</f>
        <v>0</v>
      </c>
      <c r="CA256" s="446">
        <f>'Horo. M'!E257</f>
        <v>0</v>
      </c>
      <c r="CB256" s="446">
        <f>'Horo. M'!G257</f>
        <v>0</v>
      </c>
      <c r="CC256" s="446">
        <f>'Horo. M'!I257</f>
        <v>0</v>
      </c>
      <c r="CD256" s="446">
        <f>'Horo. M'!K257</f>
        <v>0</v>
      </c>
      <c r="CE256" s="446">
        <f>'Horo. M'!M257</f>
        <v>0</v>
      </c>
      <c r="CF256" s="446">
        <f>'Horo. M'!O257</f>
        <v>0</v>
      </c>
      <c r="CG256" s="446">
        <f>'Horo. M'!Q257</f>
        <v>0</v>
      </c>
      <c r="CH256" s="446">
        <f>'Horo. M'!S257</f>
        <v>0</v>
      </c>
      <c r="CI256" s="446">
        <f>'Horo. M'!U257</f>
        <v>0</v>
      </c>
      <c r="CJ256" s="70">
        <f>Tabla1[[#This Row],[Con. DO Storage '[gal']]]-Tabla1[[#This Row],[C. DO Storage Ge '[gal']]]</f>
        <v>0</v>
      </c>
      <c r="CK256" s="70"/>
      <c r="CL256" s="70"/>
      <c r="CM256" s="70">
        <f>Tabla1[[#This Row],[Con. DO Total '[gal']]]*131485.5/(1000000)</f>
        <v>0</v>
      </c>
    </row>
    <row r="257" spans="1:91" ht="15" customHeight="1">
      <c r="A257" s="362">
        <v>45182</v>
      </c>
      <c r="B257" s="363" t="str">
        <f>TEXT(Tabla1[[#This Row],[Fecha]],"mmmm")</f>
        <v>septiembre</v>
      </c>
      <c r="C257" s="364"/>
      <c r="D257" s="366"/>
      <c r="E257" s="366"/>
      <c r="F257" s="366"/>
      <c r="G257" s="377"/>
      <c r="H257" s="377"/>
      <c r="I257" s="378"/>
      <c r="J257" s="378"/>
      <c r="K257" s="366"/>
      <c r="L257" s="366"/>
      <c r="M257" s="365">
        <f>Tabla1[[#This Row],[Columna1]]-Tabla1[[#This Row],[PO '[h']]]</f>
        <v>0</v>
      </c>
      <c r="N257" s="366">
        <f t="shared" si="76"/>
        <v>0</v>
      </c>
      <c r="O257" s="365"/>
      <c r="P257" s="367">
        <f>Tabla1[[#This Row],[G. HGS 
'[MWh']]]</f>
        <v>0</v>
      </c>
      <c r="Q257" s="430">
        <v>0</v>
      </c>
      <c r="R257" s="367">
        <v>0</v>
      </c>
      <c r="S257" s="367">
        <f>Tabla1[[#This Row],[G. HGS 
Con Gas]]*1000</f>
        <v>0</v>
      </c>
      <c r="T257" s="365">
        <f>Tabla1[[#This Row],[G. HGS 
'[MWh']]]*1000</f>
        <v>0</v>
      </c>
      <c r="U257" s="368">
        <f>SUM('G. Un GE'!B257:Y257)</f>
        <v>0</v>
      </c>
      <c r="V257" s="369">
        <f>Tabla1[[#This Row],[R. GE
'[MWh']]]</f>
        <v>0</v>
      </c>
      <c r="W257" s="434">
        <v>0</v>
      </c>
      <c r="X257" s="369">
        <v>0</v>
      </c>
      <c r="Y257" s="365">
        <f>Tabla1[[#This Row],[R. GE
'[MWh']]]*1000</f>
        <v>0</v>
      </c>
      <c r="Z257" s="371"/>
      <c r="AA25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7" s="371">
        <f>IF(Tabla1[[#This Row],[G. HGS 
'[MWh']]]=0,0,Tabla1[[#This Row],[G. HGS 
'[MWh']]]+Tabla1[[#This Row],[Con. Aux. '[MWh']2]])</f>
        <v>0</v>
      </c>
      <c r="AC257" s="368">
        <f>'C. ENER. TN'!F257</f>
        <v>0</v>
      </c>
      <c r="AD257" s="370">
        <f>'C. ENER. TN'!G257</f>
        <v>0</v>
      </c>
      <c r="AE257" s="370">
        <f>'G. Un GE'!AX257</f>
        <v>0</v>
      </c>
      <c r="AF257" s="368">
        <f>IFERROR('G. Un GE'!AX257/Tabla1[[#This Row],[PO '[h']]],0)</f>
        <v>0</v>
      </c>
      <c r="AG257" s="365">
        <f>'Ar-Pa'!AX257</f>
        <v>0</v>
      </c>
      <c r="AH257" s="365">
        <f>'Ar-Pa'!AY257</f>
        <v>0</v>
      </c>
      <c r="AI257" s="366">
        <f>SUM('Cal. Arr'!AB260:AY260)</f>
        <v>0</v>
      </c>
      <c r="AJ257" s="442"/>
      <c r="AK257" s="443"/>
      <c r="AL257" s="372">
        <f t="shared" si="61"/>
        <v>0</v>
      </c>
      <c r="AM257" s="267">
        <f>+CONVERT(AK257+Tabla1[[#This Row],[Con. DO Storage Gen. '[m3']]],"m^3","gal")</f>
        <v>0</v>
      </c>
      <c r="AN257" s="372">
        <f>SUM('DO Pilot'!B257:Y257)</f>
        <v>0</v>
      </c>
      <c r="AO257" s="372">
        <f t="shared" si="77"/>
        <v>0</v>
      </c>
      <c r="AP257" s="267">
        <f>AK257+AN257+Tabla1[[#This Row],[Con. DO Storage Gen. '[m3']]]</f>
        <v>0</v>
      </c>
      <c r="AQ257" s="372">
        <f t="shared" si="68"/>
        <v>0</v>
      </c>
      <c r="AR257" s="443"/>
      <c r="AS257" s="443"/>
      <c r="AT257" s="267">
        <f>+CONVERT(SUM(Tabla1[[#This Row],[Repo. DO Storage '[gal']]:[Repo. DO Pilot '[gal']]]),"gal","m3")</f>
        <v>0</v>
      </c>
      <c r="AU257" s="442">
        <v>0</v>
      </c>
      <c r="AV257" s="372">
        <f t="shared" si="78"/>
        <v>0</v>
      </c>
      <c r="AW257" s="442">
        <v>0</v>
      </c>
      <c r="AX257" s="372">
        <f t="shared" si="79"/>
        <v>0</v>
      </c>
      <c r="AY257" s="372">
        <f t="shared" si="64"/>
        <v>0</v>
      </c>
      <c r="AZ257" s="372">
        <f>IFERROR(AL257/'Ar-Pa'!AX257,0)</f>
        <v>0</v>
      </c>
      <c r="BA257" s="372">
        <f>IFERROR(AL257/'Ar-Pa'!AY257,0)</f>
        <v>0</v>
      </c>
      <c r="BB257" s="372">
        <f t="shared" si="65"/>
        <v>0</v>
      </c>
      <c r="BC257" s="372">
        <f>IFERROR(AVERAGEIF('DO Pilot'!AX257:BU257,"&gt;0"),0)</f>
        <v>0</v>
      </c>
      <c r="BD257" s="446"/>
      <c r="BE257" s="446"/>
      <c r="BF257" s="446"/>
      <c r="BG257" s="223">
        <f>Tabla1[[#This Row],[ Re. Gas GC
 '[m3']]]</f>
        <v>0</v>
      </c>
      <c r="BH257" s="150">
        <f>IFERROR((BG257*Gas!$B$4)/28.31685,0)</f>
        <v>0</v>
      </c>
      <c r="BI257" s="73">
        <f t="shared" si="80"/>
        <v>0</v>
      </c>
      <c r="BJ257" s="74">
        <f t="shared" si="69"/>
        <v>0</v>
      </c>
      <c r="BK257" s="223">
        <f t="shared" si="66"/>
        <v>0</v>
      </c>
      <c r="BL257" s="442">
        <v>8780.6</v>
      </c>
      <c r="BM257" s="70">
        <f t="shared" si="67"/>
        <v>0</v>
      </c>
      <c r="BN257" s="150">
        <f t="shared" si="70"/>
        <v>0</v>
      </c>
      <c r="BO257" s="373">
        <f>IFERROR(Tabla1[[#This Row],[ Re. Gas GC
 '[m3']]]/Tabla1[[#This Row],[G. HGS 
Con Gas '[kWh']]],0)</f>
        <v>0</v>
      </c>
      <c r="BP257" s="374">
        <f>Tank!Y258</f>
        <v>0</v>
      </c>
      <c r="BQ257" s="70">
        <f>Tank!AP258</f>
        <v>0</v>
      </c>
      <c r="BR257" s="70">
        <f>Tank!V258</f>
        <v>0</v>
      </c>
      <c r="BS257" s="372">
        <f>Tank!T258</f>
        <v>0</v>
      </c>
      <c r="BT257" s="375" t="s">
        <v>228</v>
      </c>
      <c r="BU257" s="452"/>
      <c r="BV257" s="376">
        <f>IF(Tabla1[[#This Row],[Combustible ofertado]]="GAS",Tabla1[[#This Row],[Disponibilidad]],0)</f>
        <v>0</v>
      </c>
      <c r="BW257" s="376">
        <f>IF(Tabla1[[#This Row],[Combustible ofertado]]="DIESEL",Tabla1[[#This Row],[Disponibilidad]],0)</f>
        <v>0</v>
      </c>
      <c r="BX257" s="376">
        <f>IF(Tabla1[[#This Row],[Combustible ofertado]]="HFO",Tabla1[[#This Row],[Disponibilidad]],0)</f>
        <v>0</v>
      </c>
      <c r="BY257" s="452"/>
      <c r="BZ257" s="446">
        <f>'Horo. M'!C258</f>
        <v>0</v>
      </c>
      <c r="CA257" s="446">
        <f>'Horo. M'!E258</f>
        <v>0</v>
      </c>
      <c r="CB257" s="446">
        <f>'Horo. M'!G258</f>
        <v>0</v>
      </c>
      <c r="CC257" s="446">
        <f>'Horo. M'!I258</f>
        <v>0</v>
      </c>
      <c r="CD257" s="446">
        <f>'Horo. M'!K258</f>
        <v>0</v>
      </c>
      <c r="CE257" s="446">
        <f>'Horo. M'!M258</f>
        <v>0</v>
      </c>
      <c r="CF257" s="446">
        <f>'Horo. M'!O258</f>
        <v>0</v>
      </c>
      <c r="CG257" s="446">
        <f>'Horo. M'!Q258</f>
        <v>0</v>
      </c>
      <c r="CH257" s="446">
        <f>'Horo. M'!S258</f>
        <v>0</v>
      </c>
      <c r="CI257" s="446">
        <f>'Horo. M'!U258</f>
        <v>0</v>
      </c>
      <c r="CJ257" s="70">
        <f>Tabla1[[#This Row],[Con. DO Storage '[gal']]]-Tabla1[[#This Row],[C. DO Storage Ge '[gal']]]</f>
        <v>0</v>
      </c>
      <c r="CK257" s="70"/>
      <c r="CL257" s="70"/>
      <c r="CM257" s="70">
        <f>Tabla1[[#This Row],[Con. DO Total '[gal']]]*131485.5/(1000000)</f>
        <v>0</v>
      </c>
    </row>
    <row r="258" spans="1:91" ht="15" customHeight="1">
      <c r="A258" s="362">
        <v>45183</v>
      </c>
      <c r="B258" s="363" t="str">
        <f>TEXT(Tabla1[[#This Row],[Fecha]],"mmmm")</f>
        <v>septiembre</v>
      </c>
      <c r="C258" s="364"/>
      <c r="D258" s="366"/>
      <c r="E258" s="366"/>
      <c r="F258" s="366"/>
      <c r="G258" s="377"/>
      <c r="H258" s="377"/>
      <c r="I258" s="378"/>
      <c r="J258" s="378"/>
      <c r="K258" s="366"/>
      <c r="L258" s="366"/>
      <c r="M258" s="365">
        <f>Tabla1[[#This Row],[Columna1]]-Tabla1[[#This Row],[PO '[h']]]</f>
        <v>0</v>
      </c>
      <c r="N258" s="366">
        <f t="shared" si="76"/>
        <v>0</v>
      </c>
      <c r="O258" s="365"/>
      <c r="P258" s="367">
        <f>Tabla1[[#This Row],[G. HGS 
'[MWh']]]</f>
        <v>0</v>
      </c>
      <c r="Q258" s="430">
        <v>0</v>
      </c>
      <c r="R258" s="367">
        <v>0</v>
      </c>
      <c r="S258" s="367">
        <f>Tabla1[[#This Row],[G. HGS 
Con Gas]]*1000</f>
        <v>0</v>
      </c>
      <c r="T258" s="365">
        <f>Tabla1[[#This Row],[G. HGS 
'[MWh']]]*1000</f>
        <v>0</v>
      </c>
      <c r="U258" s="368">
        <f>SUM('G. Un GE'!B258:Y258)</f>
        <v>0</v>
      </c>
      <c r="V258" s="369">
        <f>Tabla1[[#This Row],[R. GE
'[MWh']]]</f>
        <v>0</v>
      </c>
      <c r="W258" s="434">
        <v>0</v>
      </c>
      <c r="X258" s="369">
        <v>0</v>
      </c>
      <c r="Y258" s="365">
        <f>Tabla1[[#This Row],[R. GE
'[MWh']]]*1000</f>
        <v>0</v>
      </c>
      <c r="Z258" s="371"/>
      <c r="AA25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8" s="371">
        <f>IF(Tabla1[[#This Row],[G. HGS 
'[MWh']]]=0,0,Tabla1[[#This Row],[G. HGS 
'[MWh']]]+Tabla1[[#This Row],[Con. Aux. '[MWh']2]])</f>
        <v>0</v>
      </c>
      <c r="AC258" s="368">
        <f>'C. ENER. TN'!F258</f>
        <v>0</v>
      </c>
      <c r="AD258" s="370">
        <f>'C. ENER. TN'!G258</f>
        <v>0</v>
      </c>
      <c r="AE258" s="370">
        <f>'G. Un GE'!AX258</f>
        <v>0</v>
      </c>
      <c r="AF258" s="368">
        <f>IFERROR('G. Un GE'!AX258/Tabla1[[#This Row],[PO '[h']]],0)</f>
        <v>0</v>
      </c>
      <c r="AG258" s="365">
        <f>'Ar-Pa'!AX258</f>
        <v>0</v>
      </c>
      <c r="AH258" s="365">
        <f>'Ar-Pa'!AY258</f>
        <v>0</v>
      </c>
      <c r="AI258" s="366">
        <f>SUM('Cal. Arr'!AB261:AY261)</f>
        <v>0</v>
      </c>
      <c r="AJ258" s="442"/>
      <c r="AK258" s="443"/>
      <c r="AL258" s="372">
        <f t="shared" ref="AL258:AL276" si="81">+CONVERT(AK258,"m^3","gal")</f>
        <v>0</v>
      </c>
      <c r="AM258" s="267">
        <f>+CONVERT(AK258+Tabla1[[#This Row],[Con. DO Storage Gen. '[m3']]],"m^3","gal")</f>
        <v>0</v>
      </c>
      <c r="AN258" s="372">
        <f>SUM('DO Pilot'!B258:Y258)</f>
        <v>0</v>
      </c>
      <c r="AO258" s="372">
        <f t="shared" si="77"/>
        <v>0</v>
      </c>
      <c r="AP258" s="267">
        <f>AK258+AN258+Tabla1[[#This Row],[Con. DO Storage Gen. '[m3']]]</f>
        <v>0</v>
      </c>
      <c r="AQ258" s="372">
        <f t="shared" si="68"/>
        <v>0</v>
      </c>
      <c r="AR258" s="443"/>
      <c r="AS258" s="443"/>
      <c r="AT258" s="267">
        <f>+CONVERT(SUM(Tabla1[[#This Row],[Repo. DO Storage '[gal']]:[Repo. DO Pilot '[gal']]]),"gal","m3")</f>
        <v>0</v>
      </c>
      <c r="AU258" s="442">
        <v>0</v>
      </c>
      <c r="AV258" s="372">
        <f t="shared" si="78"/>
        <v>0</v>
      </c>
      <c r="AW258" s="442">
        <v>0</v>
      </c>
      <c r="AX258" s="372">
        <f t="shared" si="79"/>
        <v>0</v>
      </c>
      <c r="AY258" s="372">
        <f t="shared" ref="AY258:AY321" si="82">IFERROR(AL258/O258,0)</f>
        <v>0</v>
      </c>
      <c r="AZ258" s="372">
        <f>IFERROR(AL258/'Ar-Pa'!AX258,0)</f>
        <v>0</v>
      </c>
      <c r="BA258" s="372">
        <f>IFERROR(AL258/'Ar-Pa'!AY258,0)</f>
        <v>0</v>
      </c>
      <c r="BB258" s="372">
        <f t="shared" ref="BB258:BB321" si="83">IFERROR(AO258/O258,0)</f>
        <v>0</v>
      </c>
      <c r="BC258" s="372">
        <f>IFERROR(AVERAGEIF('DO Pilot'!AX258:BU258,"&gt;0"),0)</f>
        <v>0</v>
      </c>
      <c r="BD258" s="446"/>
      <c r="BE258" s="446"/>
      <c r="BF258" s="446"/>
      <c r="BG258" s="223">
        <f>Tabla1[[#This Row],[ Re. Gas GC
 '[m3']]]</f>
        <v>0</v>
      </c>
      <c r="BH258" s="150">
        <f>IFERROR((BG258*Gas!$B$4)/28.31685,0)</f>
        <v>0</v>
      </c>
      <c r="BI258" s="73">
        <f t="shared" si="80"/>
        <v>0</v>
      </c>
      <c r="BJ258" s="74">
        <f t="shared" si="69"/>
        <v>0</v>
      </c>
      <c r="BK258" s="223">
        <f t="shared" ref="BK258:BK321" si="84">IFERROR((BE258/P258)*1000,0)</f>
        <v>0</v>
      </c>
      <c r="BL258" s="442">
        <v>8659.75</v>
      </c>
      <c r="BM258" s="70">
        <f t="shared" ref="BM258:BM321" si="85">IFERROR((BH258/AB258)*1000,0)</f>
        <v>0</v>
      </c>
      <c r="BN258" s="150">
        <f t="shared" si="70"/>
        <v>0</v>
      </c>
      <c r="BO258" s="373">
        <f>IFERROR(Tabla1[[#This Row],[ Re. Gas GC
 '[m3']]]/Tabla1[[#This Row],[G. HGS 
Con Gas '[kWh']]],0)</f>
        <v>0</v>
      </c>
      <c r="BP258" s="374">
        <f>Tank!Y259</f>
        <v>0</v>
      </c>
      <c r="BQ258" s="70">
        <f>Tank!AP259</f>
        <v>0</v>
      </c>
      <c r="BR258" s="70">
        <f>Tank!V259</f>
        <v>0</v>
      </c>
      <c r="BS258" s="372">
        <f>Tank!T259</f>
        <v>0</v>
      </c>
      <c r="BT258" s="375" t="s">
        <v>228</v>
      </c>
      <c r="BU258" s="452"/>
      <c r="BV258" s="376">
        <f>IF(Tabla1[[#This Row],[Combustible ofertado]]="GAS",Tabla1[[#This Row],[Disponibilidad]],0)</f>
        <v>0</v>
      </c>
      <c r="BW258" s="376">
        <f>IF(Tabla1[[#This Row],[Combustible ofertado]]="DIESEL",Tabla1[[#This Row],[Disponibilidad]],0)</f>
        <v>0</v>
      </c>
      <c r="BX258" s="376">
        <f>IF(Tabla1[[#This Row],[Combustible ofertado]]="HFO",Tabla1[[#This Row],[Disponibilidad]],0)</f>
        <v>0</v>
      </c>
      <c r="BY258" s="452"/>
      <c r="BZ258" s="446">
        <f>'Horo. M'!C259</f>
        <v>0</v>
      </c>
      <c r="CA258" s="446">
        <f>'Horo. M'!E259</f>
        <v>0</v>
      </c>
      <c r="CB258" s="446">
        <f>'Horo. M'!G259</f>
        <v>0</v>
      </c>
      <c r="CC258" s="446">
        <f>'Horo. M'!I259</f>
        <v>0</v>
      </c>
      <c r="CD258" s="446">
        <f>'Horo. M'!K259</f>
        <v>0</v>
      </c>
      <c r="CE258" s="446">
        <f>'Horo. M'!M259</f>
        <v>0</v>
      </c>
      <c r="CF258" s="446">
        <f>'Horo. M'!O259</f>
        <v>0</v>
      </c>
      <c r="CG258" s="446">
        <f>'Horo. M'!Q259</f>
        <v>0</v>
      </c>
      <c r="CH258" s="446">
        <f>'Horo. M'!S259</f>
        <v>0</v>
      </c>
      <c r="CI258" s="446">
        <f>'Horo. M'!U259</f>
        <v>0</v>
      </c>
      <c r="CJ258" s="70">
        <f>Tabla1[[#This Row],[Con. DO Storage '[gal']]]-Tabla1[[#This Row],[C. DO Storage Ge '[gal']]]</f>
        <v>0</v>
      </c>
      <c r="CK258" s="70"/>
      <c r="CL258" s="70"/>
      <c r="CM258" s="70">
        <f>Tabla1[[#This Row],[Con. DO Total '[gal']]]*131485.5/(1000000)</f>
        <v>0</v>
      </c>
    </row>
    <row r="259" spans="1:91" ht="15" customHeight="1">
      <c r="A259" s="362">
        <v>45184</v>
      </c>
      <c r="B259" s="363" t="str">
        <f>TEXT(Tabla1[[#This Row],[Fecha]],"mmmm")</f>
        <v>septiembre</v>
      </c>
      <c r="C259" s="364"/>
      <c r="D259" s="366"/>
      <c r="E259" s="366"/>
      <c r="F259" s="366"/>
      <c r="G259" s="377"/>
      <c r="H259" s="377"/>
      <c r="I259" s="378"/>
      <c r="J259" s="378"/>
      <c r="K259" s="366"/>
      <c r="L259" s="366"/>
      <c r="M259" s="365">
        <f>Tabla1[[#This Row],[Columna1]]-Tabla1[[#This Row],[PO '[h']]]</f>
        <v>0</v>
      </c>
      <c r="N259" s="366">
        <f t="shared" si="76"/>
        <v>0</v>
      </c>
      <c r="O259" s="365"/>
      <c r="P259" s="367">
        <f>Tabla1[[#This Row],[G. HGS 
'[MWh']]]</f>
        <v>0</v>
      </c>
      <c r="Q259" s="430">
        <v>0</v>
      </c>
      <c r="R259" s="367">
        <v>0</v>
      </c>
      <c r="S259" s="367">
        <f>Tabla1[[#This Row],[G. HGS 
Con Gas]]*1000</f>
        <v>0</v>
      </c>
      <c r="T259" s="365">
        <f>Tabla1[[#This Row],[G. HGS 
'[MWh']]]*1000</f>
        <v>0</v>
      </c>
      <c r="U259" s="368">
        <f>SUM('G. Un GE'!B259:Y259)</f>
        <v>0</v>
      </c>
      <c r="V259" s="369">
        <f>Tabla1[[#This Row],[R. GE
'[MWh']]]</f>
        <v>0</v>
      </c>
      <c r="W259" s="434">
        <v>0</v>
      </c>
      <c r="X259" s="369">
        <v>0</v>
      </c>
      <c r="Y259" s="365">
        <f>Tabla1[[#This Row],[R. GE
'[MWh']]]*1000</f>
        <v>0</v>
      </c>
      <c r="Z259" s="371"/>
      <c r="AA25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59" s="371">
        <f>IF(Tabla1[[#This Row],[G. HGS 
'[MWh']]]=0,0,Tabla1[[#This Row],[G. HGS 
'[MWh']]]+Tabla1[[#This Row],[Con. Aux. '[MWh']2]])</f>
        <v>0</v>
      </c>
      <c r="AC259" s="368">
        <f>'C. ENER. TN'!F259</f>
        <v>0</v>
      </c>
      <c r="AD259" s="370">
        <f>'C. ENER. TN'!G259</f>
        <v>0</v>
      </c>
      <c r="AE259" s="370">
        <f>'G. Un GE'!AX259</f>
        <v>0</v>
      </c>
      <c r="AF259" s="368">
        <f>IFERROR('G. Un GE'!AX259/Tabla1[[#This Row],[PO '[h']]],0)</f>
        <v>0</v>
      </c>
      <c r="AG259" s="365">
        <f>'Ar-Pa'!AX259</f>
        <v>0</v>
      </c>
      <c r="AH259" s="365">
        <f>'Ar-Pa'!AY259</f>
        <v>0</v>
      </c>
      <c r="AI259" s="366">
        <f>SUM('Cal. Arr'!AB262:AY262)</f>
        <v>0</v>
      </c>
      <c r="AJ259" s="442"/>
      <c r="AK259" s="443"/>
      <c r="AL259" s="372">
        <f t="shared" si="81"/>
        <v>0</v>
      </c>
      <c r="AM259" s="267">
        <f>+CONVERT(AK259+Tabla1[[#This Row],[Con. DO Storage Gen. '[m3']]],"m^3","gal")</f>
        <v>0</v>
      </c>
      <c r="AN259" s="372">
        <f>SUM('DO Pilot'!B259:Y259)</f>
        <v>0</v>
      </c>
      <c r="AO259" s="372">
        <f t="shared" si="77"/>
        <v>0</v>
      </c>
      <c r="AP259" s="267">
        <f>AK259+AN259+Tabla1[[#This Row],[Con. DO Storage Gen. '[m3']]]</f>
        <v>0</v>
      </c>
      <c r="AQ259" s="372">
        <f t="shared" ref="AQ259:AQ276" si="86">+CONVERT(AP259,"m^3","gal")</f>
        <v>0</v>
      </c>
      <c r="AR259" s="443"/>
      <c r="AS259" s="443"/>
      <c r="AT259" s="267">
        <f>+CONVERT(SUM(Tabla1[[#This Row],[Repo. DO Storage '[gal']]:[Repo. DO Pilot '[gal']]]),"gal","m3")</f>
        <v>0</v>
      </c>
      <c r="AU259" s="442">
        <v>0</v>
      </c>
      <c r="AV259" s="372">
        <f t="shared" si="78"/>
        <v>0</v>
      </c>
      <c r="AW259" s="442">
        <v>0</v>
      </c>
      <c r="AX259" s="372">
        <f t="shared" si="79"/>
        <v>0</v>
      </c>
      <c r="AY259" s="372">
        <f t="shared" si="82"/>
        <v>0</v>
      </c>
      <c r="AZ259" s="372">
        <f>IFERROR(AL259/'Ar-Pa'!AX259,0)</f>
        <v>0</v>
      </c>
      <c r="BA259" s="372">
        <f>IFERROR(AL259/'Ar-Pa'!AY259,0)</f>
        <v>0</v>
      </c>
      <c r="BB259" s="372">
        <f t="shared" si="83"/>
        <v>0</v>
      </c>
      <c r="BC259" s="372">
        <f>IFERROR(AVERAGEIF('DO Pilot'!AX259:BU259,"&gt;0"),0)</f>
        <v>0</v>
      </c>
      <c r="BD259" s="446"/>
      <c r="BE259" s="446"/>
      <c r="BF259" s="446"/>
      <c r="BG259" s="223">
        <f>Tabla1[[#This Row],[ Re. Gas GC
 '[m3']]]</f>
        <v>0</v>
      </c>
      <c r="BH259" s="150">
        <f>IFERROR((BG259*Gas!$B$4)/28.31685,0)</f>
        <v>0</v>
      </c>
      <c r="BI259" s="73">
        <f t="shared" si="80"/>
        <v>0</v>
      </c>
      <c r="BJ259" s="74">
        <f t="shared" ref="BJ259:BJ322" si="87">IFERROR(BI259/BH259,0)</f>
        <v>0</v>
      </c>
      <c r="BK259" s="223">
        <f t="shared" si="84"/>
        <v>0</v>
      </c>
      <c r="BL259" s="442">
        <v>8994.9599999999991</v>
      </c>
      <c r="BM259" s="70">
        <f t="shared" si="85"/>
        <v>0</v>
      </c>
      <c r="BN259" s="150">
        <f t="shared" si="70"/>
        <v>0</v>
      </c>
      <c r="BO259" s="373">
        <f>IFERROR(Tabla1[[#This Row],[ Re. Gas GC
 '[m3']]]/Tabla1[[#This Row],[G. HGS 
Con Gas '[kWh']]],0)</f>
        <v>0</v>
      </c>
      <c r="BP259" s="374">
        <f>Tank!Y260</f>
        <v>0</v>
      </c>
      <c r="BQ259" s="70">
        <f>Tank!AP260</f>
        <v>0</v>
      </c>
      <c r="BR259" s="70">
        <f>Tank!V260</f>
        <v>0</v>
      </c>
      <c r="BS259" s="372">
        <f>Tank!T260</f>
        <v>0</v>
      </c>
      <c r="BT259" s="375" t="s">
        <v>228</v>
      </c>
      <c r="BU259" s="452"/>
      <c r="BV259" s="376">
        <f>IF(Tabla1[[#This Row],[Combustible ofertado]]="GAS",Tabla1[[#This Row],[Disponibilidad]],0)</f>
        <v>0</v>
      </c>
      <c r="BW259" s="376">
        <f>IF(Tabla1[[#This Row],[Combustible ofertado]]="DIESEL",Tabla1[[#This Row],[Disponibilidad]],0)</f>
        <v>0</v>
      </c>
      <c r="BX259" s="376">
        <f>IF(Tabla1[[#This Row],[Combustible ofertado]]="HFO",Tabla1[[#This Row],[Disponibilidad]],0)</f>
        <v>0</v>
      </c>
      <c r="BY259" s="452"/>
      <c r="BZ259" s="446">
        <f>'Horo. M'!C260</f>
        <v>0</v>
      </c>
      <c r="CA259" s="446">
        <f>'Horo. M'!E260</f>
        <v>0</v>
      </c>
      <c r="CB259" s="446">
        <f>'Horo. M'!G260</f>
        <v>0</v>
      </c>
      <c r="CC259" s="446">
        <f>'Horo. M'!I260</f>
        <v>0</v>
      </c>
      <c r="CD259" s="446">
        <f>'Horo. M'!K260</f>
        <v>0</v>
      </c>
      <c r="CE259" s="446">
        <f>'Horo. M'!M260</f>
        <v>0</v>
      </c>
      <c r="CF259" s="446">
        <f>'Horo. M'!O260</f>
        <v>0</v>
      </c>
      <c r="CG259" s="446">
        <f>'Horo. M'!Q260</f>
        <v>0</v>
      </c>
      <c r="CH259" s="446">
        <f>'Horo. M'!S260</f>
        <v>0</v>
      </c>
      <c r="CI259" s="446">
        <f>'Horo. M'!U260</f>
        <v>0</v>
      </c>
      <c r="CJ259" s="70">
        <f>Tabla1[[#This Row],[Con. DO Storage '[gal']]]-Tabla1[[#This Row],[C. DO Storage Ge '[gal']]]</f>
        <v>0</v>
      </c>
      <c r="CK259" s="70"/>
      <c r="CL259" s="70"/>
      <c r="CM259" s="70">
        <f>Tabla1[[#This Row],[Con. DO Total '[gal']]]*131485.5/(1000000)</f>
        <v>0</v>
      </c>
    </row>
    <row r="260" spans="1:91" ht="15" customHeight="1">
      <c r="A260" s="362">
        <v>45185</v>
      </c>
      <c r="B260" s="363" t="str">
        <f>TEXT(Tabla1[[#This Row],[Fecha]],"mmmm")</f>
        <v>septiembre</v>
      </c>
      <c r="C260" s="364"/>
      <c r="D260" s="366"/>
      <c r="E260" s="366"/>
      <c r="F260" s="366"/>
      <c r="G260" s="377"/>
      <c r="H260" s="377"/>
      <c r="I260" s="378"/>
      <c r="J260" s="378"/>
      <c r="K260" s="366"/>
      <c r="L260" s="366"/>
      <c r="M260" s="365">
        <f>Tabla1[[#This Row],[Columna1]]-Tabla1[[#This Row],[PO '[h']]]</f>
        <v>0</v>
      </c>
      <c r="N260" s="366">
        <f t="shared" si="76"/>
        <v>0</v>
      </c>
      <c r="O260" s="365"/>
      <c r="P260" s="367">
        <f>Tabla1[[#This Row],[G. HGS 
'[MWh']]]</f>
        <v>0</v>
      </c>
      <c r="Q260" s="430">
        <v>0</v>
      </c>
      <c r="R260" s="367">
        <v>0</v>
      </c>
      <c r="S260" s="367">
        <f>Tabla1[[#This Row],[G. HGS 
Con Gas]]*1000</f>
        <v>0</v>
      </c>
      <c r="T260" s="365">
        <f>Tabla1[[#This Row],[G. HGS 
'[MWh']]]*1000</f>
        <v>0</v>
      </c>
      <c r="U260" s="368">
        <f>SUM('G. Un GE'!B260:Y260)</f>
        <v>0</v>
      </c>
      <c r="V260" s="369">
        <f>Tabla1[[#This Row],[R. GE
'[MWh']]]</f>
        <v>0</v>
      </c>
      <c r="W260" s="434">
        <v>0</v>
      </c>
      <c r="X260" s="369">
        <v>0</v>
      </c>
      <c r="Y260" s="365">
        <f>Tabla1[[#This Row],[R. GE
'[MWh']]]*1000</f>
        <v>0</v>
      </c>
      <c r="Z260" s="371"/>
      <c r="AA26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0" s="371">
        <f>IF(Tabla1[[#This Row],[G. HGS 
'[MWh']]]=0,0,Tabla1[[#This Row],[G. HGS 
'[MWh']]]+Tabla1[[#This Row],[Con. Aux. '[MWh']2]])</f>
        <v>0</v>
      </c>
      <c r="AC260" s="368">
        <f>'C. ENER. TN'!F260</f>
        <v>0</v>
      </c>
      <c r="AD260" s="370">
        <f>'C. ENER. TN'!G260</f>
        <v>0</v>
      </c>
      <c r="AE260" s="370">
        <f>'G. Un GE'!AX260</f>
        <v>0</v>
      </c>
      <c r="AF260" s="368">
        <f>IFERROR('G. Un GE'!AX260/Tabla1[[#This Row],[PO '[h']]],0)</f>
        <v>0</v>
      </c>
      <c r="AG260" s="365">
        <f>'Ar-Pa'!AX260</f>
        <v>0</v>
      </c>
      <c r="AH260" s="365">
        <f>'Ar-Pa'!AY260</f>
        <v>0</v>
      </c>
      <c r="AI260" s="366">
        <f>SUM('Cal. Arr'!AB263:AY263)</f>
        <v>0</v>
      </c>
      <c r="AJ260" s="442"/>
      <c r="AK260" s="443"/>
      <c r="AL260" s="372">
        <f t="shared" si="81"/>
        <v>0</v>
      </c>
      <c r="AM260" s="267">
        <f>+CONVERT(AK260+Tabla1[[#This Row],[Con. DO Storage Gen. '[m3']]],"m^3","gal")</f>
        <v>0</v>
      </c>
      <c r="AN260" s="372">
        <f>SUM('DO Pilot'!B260:Y260)</f>
        <v>0</v>
      </c>
      <c r="AO260" s="372">
        <f t="shared" si="77"/>
        <v>0</v>
      </c>
      <c r="AP260" s="267">
        <f>AK260+AN260+Tabla1[[#This Row],[Con. DO Storage Gen. '[m3']]]</f>
        <v>0</v>
      </c>
      <c r="AQ260" s="372">
        <f t="shared" si="86"/>
        <v>0</v>
      </c>
      <c r="AR260" s="443"/>
      <c r="AS260" s="443"/>
      <c r="AT260" s="267">
        <f>+CONVERT(SUM(Tabla1[[#This Row],[Repo. DO Storage '[gal']]:[Repo. DO Pilot '[gal']]]),"gal","m3")</f>
        <v>0</v>
      </c>
      <c r="AU260" s="442">
        <v>0</v>
      </c>
      <c r="AV260" s="372">
        <f t="shared" si="78"/>
        <v>0</v>
      </c>
      <c r="AW260" s="442">
        <v>0</v>
      </c>
      <c r="AX260" s="372">
        <f t="shared" si="79"/>
        <v>0</v>
      </c>
      <c r="AY260" s="372">
        <f t="shared" si="82"/>
        <v>0</v>
      </c>
      <c r="AZ260" s="372">
        <f>IFERROR(AL260/'Ar-Pa'!AX260,0)</f>
        <v>0</v>
      </c>
      <c r="BA260" s="372">
        <f>IFERROR(AL260/'Ar-Pa'!AY260,0)</f>
        <v>0</v>
      </c>
      <c r="BB260" s="372">
        <f t="shared" si="83"/>
        <v>0</v>
      </c>
      <c r="BC260" s="372">
        <f>IFERROR(AVERAGEIF('DO Pilot'!AX260:BU260,"&gt;0"),0)</f>
        <v>0</v>
      </c>
      <c r="BD260" s="446"/>
      <c r="BE260" s="446"/>
      <c r="BF260" s="446"/>
      <c r="BG260" s="223">
        <f>Tabla1[[#This Row],[ Re. Gas GC
 '[m3']]]</f>
        <v>0</v>
      </c>
      <c r="BH260" s="150">
        <f>IFERROR((BG260*Gas!$B$4)/28.31685,0)</f>
        <v>0</v>
      </c>
      <c r="BI260" s="73">
        <f t="shared" si="80"/>
        <v>0</v>
      </c>
      <c r="BJ260" s="74">
        <f t="shared" si="87"/>
        <v>0</v>
      </c>
      <c r="BK260" s="223">
        <f t="shared" si="84"/>
        <v>0</v>
      </c>
      <c r="BL260" s="442">
        <v>8991.4599999999991</v>
      </c>
      <c r="BM260" s="70">
        <f t="shared" si="85"/>
        <v>0</v>
      </c>
      <c r="BN260" s="150">
        <f t="shared" si="70"/>
        <v>0</v>
      </c>
      <c r="BO260" s="373">
        <f>IFERROR(Tabla1[[#This Row],[ Re. Gas GC
 '[m3']]]/Tabla1[[#This Row],[G. HGS 
Con Gas '[kWh']]],0)</f>
        <v>0</v>
      </c>
      <c r="BP260" s="374">
        <f>Tank!Y261</f>
        <v>0</v>
      </c>
      <c r="BQ260" s="70">
        <f>Tank!AP261</f>
        <v>0</v>
      </c>
      <c r="BR260" s="70">
        <f>Tank!V261</f>
        <v>0</v>
      </c>
      <c r="BS260" s="372">
        <f>Tank!T261</f>
        <v>0</v>
      </c>
      <c r="BT260" s="375" t="s">
        <v>228</v>
      </c>
      <c r="BU260" s="452"/>
      <c r="BV260" s="376">
        <f>IF(Tabla1[[#This Row],[Combustible ofertado]]="GAS",Tabla1[[#This Row],[Disponibilidad]],0)</f>
        <v>0</v>
      </c>
      <c r="BW260" s="376">
        <f>IF(Tabla1[[#This Row],[Combustible ofertado]]="DIESEL",Tabla1[[#This Row],[Disponibilidad]],0)</f>
        <v>0</v>
      </c>
      <c r="BX260" s="376">
        <f>IF(Tabla1[[#This Row],[Combustible ofertado]]="HFO",Tabla1[[#This Row],[Disponibilidad]],0)</f>
        <v>0</v>
      </c>
      <c r="BY260" s="452"/>
      <c r="BZ260" s="446">
        <f>'Horo. M'!C261</f>
        <v>0</v>
      </c>
      <c r="CA260" s="446">
        <f>'Horo. M'!E261</f>
        <v>0</v>
      </c>
      <c r="CB260" s="446">
        <f>'Horo. M'!G261</f>
        <v>0</v>
      </c>
      <c r="CC260" s="446">
        <f>'Horo. M'!I261</f>
        <v>0</v>
      </c>
      <c r="CD260" s="446">
        <f>'Horo. M'!K261</f>
        <v>0</v>
      </c>
      <c r="CE260" s="446">
        <f>'Horo. M'!M261</f>
        <v>0</v>
      </c>
      <c r="CF260" s="446">
        <f>'Horo. M'!O261</f>
        <v>0</v>
      </c>
      <c r="CG260" s="446">
        <f>'Horo. M'!Q261</f>
        <v>0</v>
      </c>
      <c r="CH260" s="446">
        <f>'Horo. M'!S261</f>
        <v>0</v>
      </c>
      <c r="CI260" s="446">
        <f>'Horo. M'!U261</f>
        <v>0</v>
      </c>
      <c r="CJ260" s="70">
        <f>Tabla1[[#This Row],[Con. DO Storage '[gal']]]-Tabla1[[#This Row],[C. DO Storage Ge '[gal']]]</f>
        <v>0</v>
      </c>
      <c r="CK260" s="70"/>
      <c r="CL260" s="70"/>
      <c r="CM260" s="70">
        <f>Tabla1[[#This Row],[Con. DO Total '[gal']]]*131485.5/(1000000)</f>
        <v>0</v>
      </c>
    </row>
    <row r="261" spans="1:91" ht="15" customHeight="1">
      <c r="A261" s="362">
        <v>45186</v>
      </c>
      <c r="B261" s="363" t="str">
        <f>TEXT(Tabla1[[#This Row],[Fecha]],"mmmm")</f>
        <v>septiembre</v>
      </c>
      <c r="C261" s="364"/>
      <c r="D261" s="366"/>
      <c r="E261" s="366"/>
      <c r="F261" s="366"/>
      <c r="G261" s="377"/>
      <c r="H261" s="377"/>
      <c r="I261" s="378"/>
      <c r="J261" s="378"/>
      <c r="K261" s="366"/>
      <c r="L261" s="366"/>
      <c r="M261" s="365">
        <f>Tabla1[[#This Row],[Columna1]]-Tabla1[[#This Row],[PO '[h']]]</f>
        <v>0</v>
      </c>
      <c r="N261" s="366">
        <f t="shared" si="76"/>
        <v>0</v>
      </c>
      <c r="O261" s="365"/>
      <c r="P261" s="367">
        <f>Tabla1[[#This Row],[G. HGS 
'[MWh']]]</f>
        <v>0</v>
      </c>
      <c r="Q261" s="430">
        <v>0</v>
      </c>
      <c r="R261" s="367">
        <v>0</v>
      </c>
      <c r="S261" s="367">
        <f>Tabla1[[#This Row],[G. HGS 
Con Gas]]*1000</f>
        <v>0</v>
      </c>
      <c r="T261" s="365">
        <f>Tabla1[[#This Row],[G. HGS 
'[MWh']]]*1000</f>
        <v>0</v>
      </c>
      <c r="U261" s="368">
        <f>SUM('G. Un GE'!B261:Y261)</f>
        <v>0</v>
      </c>
      <c r="V261" s="369">
        <f>Tabla1[[#This Row],[R. GE
'[MWh']]]</f>
        <v>0</v>
      </c>
      <c r="W261" s="434">
        <v>0</v>
      </c>
      <c r="X261" s="369">
        <v>0</v>
      </c>
      <c r="Y261" s="365">
        <f>Tabla1[[#This Row],[R. GE
'[MWh']]]*1000</f>
        <v>0</v>
      </c>
      <c r="Z261" s="371"/>
      <c r="AA26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1" s="371">
        <f>IF(Tabla1[[#This Row],[G. HGS 
'[MWh']]]=0,0,Tabla1[[#This Row],[G. HGS 
'[MWh']]]+Tabla1[[#This Row],[Con. Aux. '[MWh']2]])</f>
        <v>0</v>
      </c>
      <c r="AC261" s="368">
        <f>'C. ENER. TN'!F261</f>
        <v>0</v>
      </c>
      <c r="AD261" s="370">
        <f>'C. ENER. TN'!G261</f>
        <v>0</v>
      </c>
      <c r="AE261" s="370">
        <f>'G. Un GE'!AX261</f>
        <v>0</v>
      </c>
      <c r="AF261" s="368">
        <f>IFERROR('G. Un GE'!AX261/Tabla1[[#This Row],[PO '[h']]],0)</f>
        <v>0</v>
      </c>
      <c r="AG261" s="365">
        <f>'Ar-Pa'!AX261</f>
        <v>0</v>
      </c>
      <c r="AH261" s="365">
        <f>'Ar-Pa'!AY261</f>
        <v>0</v>
      </c>
      <c r="AI261" s="366">
        <f>SUM('Cal. Arr'!AB264:AY264)</f>
        <v>0</v>
      </c>
      <c r="AJ261" s="442"/>
      <c r="AK261" s="443"/>
      <c r="AL261" s="372">
        <f t="shared" si="81"/>
        <v>0</v>
      </c>
      <c r="AM261" s="267">
        <f>+CONVERT(AK261+Tabla1[[#This Row],[Con. DO Storage Gen. '[m3']]],"m^3","gal")</f>
        <v>0</v>
      </c>
      <c r="AN261" s="372">
        <f>SUM('DO Pilot'!B261:Y261)</f>
        <v>0</v>
      </c>
      <c r="AO261" s="372">
        <f t="shared" si="77"/>
        <v>0</v>
      </c>
      <c r="AP261" s="267">
        <f>AK261+AN261+Tabla1[[#This Row],[Con. DO Storage Gen. '[m3']]]</f>
        <v>0</v>
      </c>
      <c r="AQ261" s="372">
        <f t="shared" si="86"/>
        <v>0</v>
      </c>
      <c r="AR261" s="443"/>
      <c r="AS261" s="443"/>
      <c r="AT261" s="267">
        <f>+CONVERT(SUM(Tabla1[[#This Row],[Repo. DO Storage '[gal']]:[Repo. DO Pilot '[gal']]]),"gal","m3")</f>
        <v>0</v>
      </c>
      <c r="AU261" s="442">
        <v>0</v>
      </c>
      <c r="AV261" s="372">
        <f t="shared" si="78"/>
        <v>0</v>
      </c>
      <c r="AW261" s="442">
        <v>0</v>
      </c>
      <c r="AX261" s="372">
        <f t="shared" si="79"/>
        <v>0</v>
      </c>
      <c r="AY261" s="372">
        <f t="shared" si="82"/>
        <v>0</v>
      </c>
      <c r="AZ261" s="372">
        <f>IFERROR(AL261/'Ar-Pa'!AX261,0)</f>
        <v>0</v>
      </c>
      <c r="BA261" s="372">
        <f>IFERROR(AL261/'Ar-Pa'!AY261,0)</f>
        <v>0</v>
      </c>
      <c r="BB261" s="372">
        <f t="shared" si="83"/>
        <v>0</v>
      </c>
      <c r="BC261" s="372">
        <f>IFERROR(AVERAGEIF('DO Pilot'!AX261:BU261,"&gt;0"),0)</f>
        <v>0</v>
      </c>
      <c r="BD261" s="446"/>
      <c r="BE261" s="446"/>
      <c r="BF261" s="446"/>
      <c r="BG261" s="223">
        <f>Tabla1[[#This Row],[ Re. Gas GC
 '[m3']]]</f>
        <v>0</v>
      </c>
      <c r="BH261" s="150">
        <f>IFERROR((BG261*Gas!$B$4)/28.31685,0)</f>
        <v>0</v>
      </c>
      <c r="BI261" s="73">
        <f t="shared" si="80"/>
        <v>0</v>
      </c>
      <c r="BJ261" s="74">
        <f t="shared" si="87"/>
        <v>0</v>
      </c>
      <c r="BK261" s="223">
        <f t="shared" si="84"/>
        <v>0</v>
      </c>
      <c r="BL261" s="442">
        <v>8618.77</v>
      </c>
      <c r="BM261" s="70">
        <f t="shared" si="85"/>
        <v>0</v>
      </c>
      <c r="BN261" s="150">
        <f t="shared" si="70"/>
        <v>0</v>
      </c>
      <c r="BO261" s="373">
        <f>IFERROR(Tabla1[[#This Row],[ Re. Gas GC
 '[m3']]]/Tabla1[[#This Row],[G. HGS 
Con Gas '[kWh']]],0)</f>
        <v>0</v>
      </c>
      <c r="BP261" s="374">
        <f>Tank!Y262</f>
        <v>0</v>
      </c>
      <c r="BQ261" s="70">
        <f>Tank!AP262</f>
        <v>0</v>
      </c>
      <c r="BR261" s="70">
        <f>Tank!V262</f>
        <v>0</v>
      </c>
      <c r="BS261" s="372">
        <f>Tank!T262</f>
        <v>0</v>
      </c>
      <c r="BT261" s="375" t="s">
        <v>228</v>
      </c>
      <c r="BU261" s="452"/>
      <c r="BV261" s="376">
        <f>IF(Tabla1[[#This Row],[Combustible ofertado]]="GAS",Tabla1[[#This Row],[Disponibilidad]],0)</f>
        <v>0</v>
      </c>
      <c r="BW261" s="376">
        <f>IF(Tabla1[[#This Row],[Combustible ofertado]]="DIESEL",Tabla1[[#This Row],[Disponibilidad]],0)</f>
        <v>0</v>
      </c>
      <c r="BX261" s="376">
        <f>IF(Tabla1[[#This Row],[Combustible ofertado]]="HFO",Tabla1[[#This Row],[Disponibilidad]],0)</f>
        <v>0</v>
      </c>
      <c r="BY261" s="452"/>
      <c r="BZ261" s="446">
        <f>'Horo. M'!C262</f>
        <v>0</v>
      </c>
      <c r="CA261" s="446">
        <f>'Horo. M'!E262</f>
        <v>0</v>
      </c>
      <c r="CB261" s="446">
        <f>'Horo. M'!G262</f>
        <v>0</v>
      </c>
      <c r="CC261" s="446">
        <f>'Horo. M'!I262</f>
        <v>0</v>
      </c>
      <c r="CD261" s="446">
        <f>'Horo. M'!K262</f>
        <v>0</v>
      </c>
      <c r="CE261" s="446">
        <f>'Horo. M'!M262</f>
        <v>0</v>
      </c>
      <c r="CF261" s="446">
        <f>'Horo. M'!O262</f>
        <v>0</v>
      </c>
      <c r="CG261" s="446">
        <f>'Horo. M'!Q262</f>
        <v>0</v>
      </c>
      <c r="CH261" s="446">
        <f>'Horo. M'!S262</f>
        <v>0</v>
      </c>
      <c r="CI261" s="446">
        <f>'Horo. M'!U262</f>
        <v>0</v>
      </c>
      <c r="CJ261" s="70">
        <f>Tabla1[[#This Row],[Con. DO Storage '[gal']]]-Tabla1[[#This Row],[C. DO Storage Ge '[gal']]]</f>
        <v>0</v>
      </c>
      <c r="CK261" s="70"/>
      <c r="CL261" s="70"/>
      <c r="CM261" s="70">
        <f>Tabla1[[#This Row],[Con. DO Total '[gal']]]*131485.5/(1000000)</f>
        <v>0</v>
      </c>
    </row>
    <row r="262" spans="1:91" ht="15" customHeight="1">
      <c r="A262" s="362">
        <v>45187</v>
      </c>
      <c r="B262" s="363" t="str">
        <f>TEXT(Tabla1[[#This Row],[Fecha]],"mmmm")</f>
        <v>septiembre</v>
      </c>
      <c r="C262" s="364"/>
      <c r="D262" s="366"/>
      <c r="E262" s="366"/>
      <c r="F262" s="366"/>
      <c r="G262" s="377"/>
      <c r="H262" s="377"/>
      <c r="I262" s="378"/>
      <c r="J262" s="378"/>
      <c r="K262" s="366"/>
      <c r="L262" s="366"/>
      <c r="M262" s="365">
        <f>Tabla1[[#This Row],[Columna1]]-Tabla1[[#This Row],[PO '[h']]]</f>
        <v>0</v>
      </c>
      <c r="N262" s="366">
        <f t="shared" si="76"/>
        <v>0</v>
      </c>
      <c r="O262" s="365"/>
      <c r="P262" s="367">
        <f>Tabla1[[#This Row],[G. HGS 
'[MWh']]]</f>
        <v>0</v>
      </c>
      <c r="Q262" s="430">
        <v>0</v>
      </c>
      <c r="R262" s="367">
        <v>0</v>
      </c>
      <c r="S262" s="367">
        <f>Tabla1[[#This Row],[G. HGS 
Con Gas]]*1000</f>
        <v>0</v>
      </c>
      <c r="T262" s="365">
        <f>Tabla1[[#This Row],[G. HGS 
'[MWh']]]*1000</f>
        <v>0</v>
      </c>
      <c r="U262" s="368">
        <f>SUM('G. Un GE'!B262:Y262)</f>
        <v>0</v>
      </c>
      <c r="V262" s="369">
        <f>Tabla1[[#This Row],[R. GE
'[MWh']]]</f>
        <v>0</v>
      </c>
      <c r="W262" s="434">
        <v>0</v>
      </c>
      <c r="X262" s="369">
        <v>0</v>
      </c>
      <c r="Y262" s="365">
        <f>Tabla1[[#This Row],[R. GE
'[MWh']]]*1000</f>
        <v>0</v>
      </c>
      <c r="Z262" s="371"/>
      <c r="AA26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2" s="371">
        <f>IF(Tabla1[[#This Row],[G. HGS 
'[MWh']]]=0,0,Tabla1[[#This Row],[G. HGS 
'[MWh']]]+Tabla1[[#This Row],[Con. Aux. '[MWh']2]])</f>
        <v>0</v>
      </c>
      <c r="AC262" s="368">
        <f>'C. ENER. TN'!F262</f>
        <v>0</v>
      </c>
      <c r="AD262" s="370">
        <f>'C. ENER. TN'!G262</f>
        <v>0</v>
      </c>
      <c r="AE262" s="370">
        <f>'G. Un GE'!AX262</f>
        <v>0</v>
      </c>
      <c r="AF262" s="368">
        <f>IFERROR('G. Un GE'!AX262/Tabla1[[#This Row],[PO '[h']]],0)</f>
        <v>0</v>
      </c>
      <c r="AG262" s="365">
        <f>'Ar-Pa'!AX262</f>
        <v>0</v>
      </c>
      <c r="AH262" s="365">
        <f>'Ar-Pa'!AY262</f>
        <v>0</v>
      </c>
      <c r="AI262" s="366">
        <f>SUM('Cal. Arr'!AB265:AY265)</f>
        <v>0</v>
      </c>
      <c r="AJ262" s="442"/>
      <c r="AK262" s="443"/>
      <c r="AL262" s="372">
        <f t="shared" si="81"/>
        <v>0</v>
      </c>
      <c r="AM262" s="267">
        <f>+CONVERT(AK262+Tabla1[[#This Row],[Con. DO Storage Gen. '[m3']]],"m^3","gal")</f>
        <v>0</v>
      </c>
      <c r="AN262" s="372">
        <f>SUM('DO Pilot'!B262:Y262)</f>
        <v>0</v>
      </c>
      <c r="AO262" s="372">
        <f t="shared" si="77"/>
        <v>0</v>
      </c>
      <c r="AP262" s="267">
        <f>AK262+AN262+Tabla1[[#This Row],[Con. DO Storage Gen. '[m3']]]</f>
        <v>0</v>
      </c>
      <c r="AQ262" s="372">
        <f t="shared" si="86"/>
        <v>0</v>
      </c>
      <c r="AR262" s="443"/>
      <c r="AS262" s="443"/>
      <c r="AT262" s="267">
        <f>+CONVERT(SUM(Tabla1[[#This Row],[Repo. DO Storage '[gal']]:[Repo. DO Pilot '[gal']]]),"gal","m3")</f>
        <v>0</v>
      </c>
      <c r="AU262" s="442">
        <v>0</v>
      </c>
      <c r="AV262" s="372">
        <f t="shared" si="78"/>
        <v>0</v>
      </c>
      <c r="AW262" s="442">
        <v>0</v>
      </c>
      <c r="AX262" s="372">
        <f t="shared" si="79"/>
        <v>0</v>
      </c>
      <c r="AY262" s="372">
        <f t="shared" si="82"/>
        <v>0</v>
      </c>
      <c r="AZ262" s="372">
        <f>IFERROR(AL262/'Ar-Pa'!AX262,0)</f>
        <v>0</v>
      </c>
      <c r="BA262" s="372">
        <f>IFERROR(AL262/'Ar-Pa'!AY262,0)</f>
        <v>0</v>
      </c>
      <c r="BB262" s="372">
        <f t="shared" si="83"/>
        <v>0</v>
      </c>
      <c r="BC262" s="372">
        <f>IFERROR(AVERAGEIF('DO Pilot'!AX262:BU262,"&gt;0"),0)</f>
        <v>0</v>
      </c>
      <c r="BD262" s="446"/>
      <c r="BE262" s="446"/>
      <c r="BF262" s="446"/>
      <c r="BG262" s="223">
        <f>Tabla1[[#This Row],[ Re. Gas GC
 '[m3']]]</f>
        <v>0</v>
      </c>
      <c r="BH262" s="150">
        <f>IFERROR((BG262*Gas!$B$4)/28.31685,0)</f>
        <v>0</v>
      </c>
      <c r="BI262" s="73">
        <f t="shared" si="80"/>
        <v>0</v>
      </c>
      <c r="BJ262" s="74">
        <f t="shared" si="87"/>
        <v>0</v>
      </c>
      <c r="BK262" s="223">
        <f t="shared" si="84"/>
        <v>0</v>
      </c>
      <c r="BL262" s="442">
        <v>9016.19</v>
      </c>
      <c r="BM262" s="70">
        <f t="shared" si="85"/>
        <v>0</v>
      </c>
      <c r="BN262" s="150">
        <f t="shared" si="70"/>
        <v>0</v>
      </c>
      <c r="BO262" s="373">
        <f>IFERROR(Tabla1[[#This Row],[ Re. Gas GC
 '[m3']]]/Tabla1[[#This Row],[G. HGS 
Con Gas '[kWh']]],0)</f>
        <v>0</v>
      </c>
      <c r="BP262" s="374">
        <f>Tank!Y263</f>
        <v>0</v>
      </c>
      <c r="BQ262" s="70">
        <f>Tank!AP263</f>
        <v>0</v>
      </c>
      <c r="BR262" s="70">
        <f>Tank!V263</f>
        <v>0</v>
      </c>
      <c r="BS262" s="372">
        <f>Tank!T263</f>
        <v>0</v>
      </c>
      <c r="BT262" s="375" t="s">
        <v>228</v>
      </c>
      <c r="BU262" s="452"/>
      <c r="BV262" s="376">
        <f>IF(Tabla1[[#This Row],[Combustible ofertado]]="GAS",Tabla1[[#This Row],[Disponibilidad]],0)</f>
        <v>0</v>
      </c>
      <c r="BW262" s="376">
        <f>IF(Tabla1[[#This Row],[Combustible ofertado]]="DIESEL",Tabla1[[#This Row],[Disponibilidad]],0)</f>
        <v>0</v>
      </c>
      <c r="BX262" s="376">
        <f>IF(Tabla1[[#This Row],[Combustible ofertado]]="HFO",Tabla1[[#This Row],[Disponibilidad]],0)</f>
        <v>0</v>
      </c>
      <c r="BY262" s="452"/>
      <c r="BZ262" s="446">
        <f>'Horo. M'!C263</f>
        <v>0</v>
      </c>
      <c r="CA262" s="446">
        <f>'Horo. M'!E263</f>
        <v>0</v>
      </c>
      <c r="CB262" s="446">
        <f>'Horo. M'!G263</f>
        <v>0</v>
      </c>
      <c r="CC262" s="446">
        <f>'Horo. M'!I263</f>
        <v>0</v>
      </c>
      <c r="CD262" s="446">
        <f>'Horo. M'!K263</f>
        <v>0</v>
      </c>
      <c r="CE262" s="446">
        <f>'Horo. M'!M263</f>
        <v>0</v>
      </c>
      <c r="CF262" s="446">
        <f>'Horo. M'!O263</f>
        <v>0</v>
      </c>
      <c r="CG262" s="446">
        <f>'Horo. M'!Q263</f>
        <v>0</v>
      </c>
      <c r="CH262" s="446">
        <f>'Horo. M'!S263</f>
        <v>0</v>
      </c>
      <c r="CI262" s="446">
        <f>'Horo. M'!U263</f>
        <v>0</v>
      </c>
      <c r="CJ262" s="70">
        <f>Tabla1[[#This Row],[Con. DO Storage '[gal']]]-Tabla1[[#This Row],[C. DO Storage Ge '[gal']]]</f>
        <v>0</v>
      </c>
      <c r="CK262" s="70"/>
      <c r="CL262" s="70"/>
      <c r="CM262" s="70">
        <f>Tabla1[[#This Row],[Con. DO Total '[gal']]]*131485.5/(1000000)</f>
        <v>0</v>
      </c>
    </row>
    <row r="263" spans="1:91" ht="15" customHeight="1">
      <c r="A263" s="362">
        <v>45188</v>
      </c>
      <c r="B263" s="363" t="str">
        <f>TEXT(Tabla1[[#This Row],[Fecha]],"mmmm")</f>
        <v>septiembre</v>
      </c>
      <c r="C263" s="364"/>
      <c r="D263" s="366"/>
      <c r="E263" s="366"/>
      <c r="F263" s="366"/>
      <c r="G263" s="377"/>
      <c r="H263" s="377"/>
      <c r="I263" s="378"/>
      <c r="J263" s="378"/>
      <c r="K263" s="366"/>
      <c r="L263" s="366"/>
      <c r="M263" s="365">
        <f>Tabla1[[#This Row],[Columna1]]-Tabla1[[#This Row],[PO '[h']]]</f>
        <v>0</v>
      </c>
      <c r="N263" s="366">
        <f t="shared" si="76"/>
        <v>0</v>
      </c>
      <c r="O263" s="365"/>
      <c r="P263" s="367">
        <f>Tabla1[[#This Row],[G. HGS 
'[MWh']]]</f>
        <v>0</v>
      </c>
      <c r="Q263" s="430">
        <v>0</v>
      </c>
      <c r="R263" s="367">
        <v>0</v>
      </c>
      <c r="S263" s="367">
        <f>Tabla1[[#This Row],[G. HGS 
Con Gas]]*1000</f>
        <v>0</v>
      </c>
      <c r="T263" s="365">
        <f>Tabla1[[#This Row],[G. HGS 
'[MWh']]]*1000</f>
        <v>0</v>
      </c>
      <c r="U263" s="368">
        <f>SUM('G. Un GE'!B263:Y263)</f>
        <v>0</v>
      </c>
      <c r="V263" s="369">
        <f>Tabla1[[#This Row],[R. GE
'[MWh']]]</f>
        <v>0</v>
      </c>
      <c r="W263" s="434">
        <v>0</v>
      </c>
      <c r="X263" s="369">
        <v>0</v>
      </c>
      <c r="Y263" s="365">
        <f>Tabla1[[#This Row],[R. GE
'[MWh']]]*1000</f>
        <v>0</v>
      </c>
      <c r="Z263" s="371"/>
      <c r="AA26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3" s="371">
        <f>IF(Tabla1[[#This Row],[G. HGS 
'[MWh']]]=0,0,Tabla1[[#This Row],[G. HGS 
'[MWh']]]+Tabla1[[#This Row],[Con. Aux. '[MWh']2]])</f>
        <v>0</v>
      </c>
      <c r="AC263" s="368">
        <f>'C. ENER. TN'!F263</f>
        <v>0</v>
      </c>
      <c r="AD263" s="370">
        <f>'C. ENER. TN'!G263</f>
        <v>0</v>
      </c>
      <c r="AE263" s="370">
        <f>'G. Un GE'!AX263</f>
        <v>0</v>
      </c>
      <c r="AF263" s="368">
        <f>IFERROR('G. Un GE'!AX263/Tabla1[[#This Row],[PO '[h']]],0)</f>
        <v>0</v>
      </c>
      <c r="AG263" s="365">
        <f>'Ar-Pa'!AX263</f>
        <v>0</v>
      </c>
      <c r="AH263" s="365">
        <f>'Ar-Pa'!AY263</f>
        <v>0</v>
      </c>
      <c r="AI263" s="366">
        <f>SUM('Cal. Arr'!AB266:AY266)</f>
        <v>0</v>
      </c>
      <c r="AJ263" s="442"/>
      <c r="AK263" s="443"/>
      <c r="AL263" s="372">
        <f t="shared" si="81"/>
        <v>0</v>
      </c>
      <c r="AM263" s="267">
        <f>+CONVERT(AK263+Tabla1[[#This Row],[Con. DO Storage Gen. '[m3']]],"m^3","gal")</f>
        <v>0</v>
      </c>
      <c r="AN263" s="372">
        <f>SUM('DO Pilot'!B263:Y263)</f>
        <v>0</v>
      </c>
      <c r="AO263" s="372">
        <f t="shared" si="77"/>
        <v>0</v>
      </c>
      <c r="AP263" s="267">
        <f>AK263+AN263+Tabla1[[#This Row],[Con. DO Storage Gen. '[m3']]]</f>
        <v>0</v>
      </c>
      <c r="AQ263" s="372">
        <f t="shared" si="86"/>
        <v>0</v>
      </c>
      <c r="AR263" s="443"/>
      <c r="AS263" s="443"/>
      <c r="AT263" s="267">
        <f>+CONVERT(SUM(Tabla1[[#This Row],[Repo. DO Storage '[gal']]:[Repo. DO Pilot '[gal']]]),"gal","m3")</f>
        <v>0</v>
      </c>
      <c r="AU263" s="442">
        <v>0</v>
      </c>
      <c r="AV263" s="372">
        <f t="shared" si="78"/>
        <v>0</v>
      </c>
      <c r="AW263" s="442">
        <v>0</v>
      </c>
      <c r="AX263" s="372">
        <f t="shared" si="79"/>
        <v>0</v>
      </c>
      <c r="AY263" s="372">
        <f t="shared" si="82"/>
        <v>0</v>
      </c>
      <c r="AZ263" s="372">
        <f>IFERROR(AL263/'Ar-Pa'!AX263,0)</f>
        <v>0</v>
      </c>
      <c r="BA263" s="372">
        <f>IFERROR(AL263/'Ar-Pa'!AY263,0)</f>
        <v>0</v>
      </c>
      <c r="BB263" s="372">
        <f t="shared" si="83"/>
        <v>0</v>
      </c>
      <c r="BC263" s="372">
        <f>IFERROR(AVERAGEIF('DO Pilot'!AX263:BU263,"&gt;0"),0)</f>
        <v>0</v>
      </c>
      <c r="BD263" s="446"/>
      <c r="BE263" s="446"/>
      <c r="BF263" s="446"/>
      <c r="BG263" s="223">
        <f>Tabla1[[#This Row],[ Re. Gas GC
 '[m3']]]</f>
        <v>0</v>
      </c>
      <c r="BH263" s="150">
        <f>IFERROR((BG263*Gas!$B$4)/28.31685,0)</f>
        <v>0</v>
      </c>
      <c r="BI263" s="73">
        <f t="shared" si="80"/>
        <v>0</v>
      </c>
      <c r="BJ263" s="74">
        <f t="shared" si="87"/>
        <v>0</v>
      </c>
      <c r="BK263" s="223">
        <f t="shared" si="84"/>
        <v>0</v>
      </c>
      <c r="BL263" s="442">
        <v>8974.8700000000008</v>
      </c>
      <c r="BM263" s="70">
        <f t="shared" si="85"/>
        <v>0</v>
      </c>
      <c r="BN263" s="150">
        <f t="shared" si="70"/>
        <v>0</v>
      </c>
      <c r="BO263" s="373">
        <f>IFERROR(Tabla1[[#This Row],[ Re. Gas GC
 '[m3']]]/Tabla1[[#This Row],[G. HGS 
Con Gas '[kWh']]],0)</f>
        <v>0</v>
      </c>
      <c r="BP263" s="374">
        <f>Tank!Y264</f>
        <v>0</v>
      </c>
      <c r="BQ263" s="70">
        <f>Tank!AP264</f>
        <v>0</v>
      </c>
      <c r="BR263" s="70">
        <f>Tank!V264</f>
        <v>0</v>
      </c>
      <c r="BS263" s="372">
        <f>Tank!T264</f>
        <v>0</v>
      </c>
      <c r="BT263" s="375" t="s">
        <v>228</v>
      </c>
      <c r="BU263" s="452"/>
      <c r="BV263" s="376">
        <f>IF(Tabla1[[#This Row],[Combustible ofertado]]="GAS",Tabla1[[#This Row],[Disponibilidad]],0)</f>
        <v>0</v>
      </c>
      <c r="BW263" s="376">
        <f>IF(Tabla1[[#This Row],[Combustible ofertado]]="DIESEL",Tabla1[[#This Row],[Disponibilidad]],0)</f>
        <v>0</v>
      </c>
      <c r="BX263" s="376">
        <f>IF(Tabla1[[#This Row],[Combustible ofertado]]="HFO",Tabla1[[#This Row],[Disponibilidad]],0)</f>
        <v>0</v>
      </c>
      <c r="BY263" s="452"/>
      <c r="BZ263" s="446">
        <f>'Horo. M'!C264</f>
        <v>0</v>
      </c>
      <c r="CA263" s="446">
        <f>'Horo. M'!E264</f>
        <v>0</v>
      </c>
      <c r="CB263" s="446">
        <f>'Horo. M'!G264</f>
        <v>0</v>
      </c>
      <c r="CC263" s="446">
        <f>'Horo. M'!I264</f>
        <v>0</v>
      </c>
      <c r="CD263" s="446">
        <f>'Horo. M'!K264</f>
        <v>0</v>
      </c>
      <c r="CE263" s="446">
        <f>'Horo. M'!M264</f>
        <v>0</v>
      </c>
      <c r="CF263" s="446">
        <f>'Horo. M'!O264</f>
        <v>0</v>
      </c>
      <c r="CG263" s="446">
        <f>'Horo. M'!Q264</f>
        <v>0</v>
      </c>
      <c r="CH263" s="446">
        <f>'Horo. M'!S264</f>
        <v>0</v>
      </c>
      <c r="CI263" s="446">
        <f>'Horo. M'!U264</f>
        <v>0</v>
      </c>
      <c r="CJ263" s="70">
        <f>Tabla1[[#This Row],[Con. DO Storage '[gal']]]-Tabla1[[#This Row],[C. DO Storage Ge '[gal']]]</f>
        <v>0</v>
      </c>
      <c r="CK263" s="70"/>
      <c r="CL263" s="70"/>
      <c r="CM263" s="70">
        <f>Tabla1[[#This Row],[Con. DO Total '[gal']]]*131485.5/(1000000)</f>
        <v>0</v>
      </c>
    </row>
    <row r="264" spans="1:91" ht="15" customHeight="1">
      <c r="A264" s="362">
        <v>45189</v>
      </c>
      <c r="B264" s="363" t="str">
        <f>TEXT(Tabla1[[#This Row],[Fecha]],"mmmm")</f>
        <v>septiembre</v>
      </c>
      <c r="C264" s="364"/>
      <c r="D264" s="366"/>
      <c r="E264" s="366"/>
      <c r="F264" s="366"/>
      <c r="G264" s="377"/>
      <c r="H264" s="377"/>
      <c r="I264" s="378"/>
      <c r="J264" s="378"/>
      <c r="K264" s="366"/>
      <c r="L264" s="366"/>
      <c r="M264" s="365">
        <f>Tabla1[[#This Row],[Columna1]]-Tabla1[[#This Row],[PO '[h']]]</f>
        <v>0</v>
      </c>
      <c r="N264" s="366">
        <f t="shared" si="76"/>
        <v>0</v>
      </c>
      <c r="O264" s="365"/>
      <c r="P264" s="367">
        <f>Tabla1[[#This Row],[G. HGS 
'[MWh']]]</f>
        <v>0</v>
      </c>
      <c r="Q264" s="430">
        <v>0</v>
      </c>
      <c r="R264" s="367">
        <v>0</v>
      </c>
      <c r="S264" s="367">
        <f>Tabla1[[#This Row],[G. HGS 
Con Gas]]*1000</f>
        <v>0</v>
      </c>
      <c r="T264" s="365">
        <f>Tabla1[[#This Row],[G. HGS 
'[MWh']]]*1000</f>
        <v>0</v>
      </c>
      <c r="U264" s="368">
        <f>SUM('G. Un GE'!B264:Y264)</f>
        <v>0</v>
      </c>
      <c r="V264" s="369">
        <f>Tabla1[[#This Row],[R. GE
'[MWh']]]</f>
        <v>0</v>
      </c>
      <c r="W264" s="434">
        <v>0</v>
      </c>
      <c r="X264" s="369">
        <v>0</v>
      </c>
      <c r="Y264" s="365">
        <f>Tabla1[[#This Row],[R. GE
'[MWh']]]*1000</f>
        <v>0</v>
      </c>
      <c r="Z264" s="371"/>
      <c r="AA26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4" s="371">
        <f>IF(Tabla1[[#This Row],[G. HGS 
'[MWh']]]=0,0,Tabla1[[#This Row],[G. HGS 
'[MWh']]]+Tabla1[[#This Row],[Con. Aux. '[MWh']2]])</f>
        <v>0</v>
      </c>
      <c r="AC264" s="368">
        <f>'C. ENER. TN'!F264</f>
        <v>0</v>
      </c>
      <c r="AD264" s="370">
        <f>'C. ENER. TN'!G264</f>
        <v>0</v>
      </c>
      <c r="AE264" s="370">
        <f>'G. Un GE'!AX264</f>
        <v>0</v>
      </c>
      <c r="AF264" s="368">
        <f>IFERROR('G. Un GE'!AX264/Tabla1[[#This Row],[PO '[h']]],0)</f>
        <v>0</v>
      </c>
      <c r="AG264" s="365">
        <f>'Ar-Pa'!AX264</f>
        <v>0</v>
      </c>
      <c r="AH264" s="365">
        <f>'Ar-Pa'!AY264</f>
        <v>0</v>
      </c>
      <c r="AI264" s="366">
        <f>SUM('Cal. Arr'!AB267:AY267)</f>
        <v>0</v>
      </c>
      <c r="AJ264" s="442"/>
      <c r="AK264" s="443"/>
      <c r="AL264" s="372">
        <f t="shared" si="81"/>
        <v>0</v>
      </c>
      <c r="AM264" s="267">
        <f>+CONVERT(AK264+Tabla1[[#This Row],[Con. DO Storage Gen. '[m3']]],"m^3","gal")</f>
        <v>0</v>
      </c>
      <c r="AN264" s="372">
        <f>SUM('DO Pilot'!B264:Y264)</f>
        <v>0</v>
      </c>
      <c r="AO264" s="372">
        <f t="shared" si="77"/>
        <v>0</v>
      </c>
      <c r="AP264" s="267">
        <f>AK264+AN264+Tabla1[[#This Row],[Con. DO Storage Gen. '[m3']]]</f>
        <v>0</v>
      </c>
      <c r="AQ264" s="372">
        <f t="shared" si="86"/>
        <v>0</v>
      </c>
      <c r="AR264" s="443"/>
      <c r="AS264" s="443"/>
      <c r="AT264" s="267">
        <f>+CONVERT(SUM(Tabla1[[#This Row],[Repo. DO Storage '[gal']]:[Repo. DO Pilot '[gal']]]),"gal","m3")</f>
        <v>0</v>
      </c>
      <c r="AU264" s="442">
        <v>0</v>
      </c>
      <c r="AV264" s="372">
        <f t="shared" si="78"/>
        <v>0</v>
      </c>
      <c r="AW264" s="442">
        <v>0</v>
      </c>
      <c r="AX264" s="372">
        <f t="shared" si="79"/>
        <v>0</v>
      </c>
      <c r="AY264" s="372">
        <f t="shared" si="82"/>
        <v>0</v>
      </c>
      <c r="AZ264" s="372">
        <f>IFERROR(AL264/'Ar-Pa'!AX264,0)</f>
        <v>0</v>
      </c>
      <c r="BA264" s="372">
        <f>IFERROR(AL264/'Ar-Pa'!AY264,0)</f>
        <v>0</v>
      </c>
      <c r="BB264" s="372">
        <f t="shared" si="83"/>
        <v>0</v>
      </c>
      <c r="BC264" s="372">
        <f>IFERROR(AVERAGEIF('DO Pilot'!AX264:BU264,"&gt;0"),0)</f>
        <v>0</v>
      </c>
      <c r="BD264" s="446"/>
      <c r="BE264" s="446"/>
      <c r="BF264" s="446"/>
      <c r="BG264" s="223">
        <f>Tabla1[[#This Row],[ Re. Gas GC
 '[m3']]]</f>
        <v>0</v>
      </c>
      <c r="BH264" s="150">
        <f>IFERROR((BG264*Gas!$B$4)/28.31685,0)</f>
        <v>0</v>
      </c>
      <c r="BI264" s="73">
        <f t="shared" si="80"/>
        <v>0</v>
      </c>
      <c r="BJ264" s="74">
        <f t="shared" si="87"/>
        <v>0</v>
      </c>
      <c r="BK264" s="223">
        <f t="shared" si="84"/>
        <v>0</v>
      </c>
      <c r="BL264" s="442">
        <v>8953.85</v>
      </c>
      <c r="BM264" s="70">
        <f t="shared" si="85"/>
        <v>0</v>
      </c>
      <c r="BN264" s="150">
        <f t="shared" si="70"/>
        <v>0</v>
      </c>
      <c r="BO264" s="373">
        <f>IFERROR(Tabla1[[#This Row],[ Re. Gas GC
 '[m3']]]/Tabla1[[#This Row],[G. HGS 
Con Gas '[kWh']]],0)</f>
        <v>0</v>
      </c>
      <c r="BP264" s="374">
        <f>Tank!Y265</f>
        <v>0</v>
      </c>
      <c r="BQ264" s="70">
        <f>Tank!AP265</f>
        <v>0</v>
      </c>
      <c r="BR264" s="70">
        <f>Tank!V265</f>
        <v>0</v>
      </c>
      <c r="BS264" s="372">
        <f>Tank!T265</f>
        <v>0</v>
      </c>
      <c r="BT264" s="375" t="s">
        <v>228</v>
      </c>
      <c r="BU264" s="452"/>
      <c r="BV264" s="376">
        <f>IF(Tabla1[[#This Row],[Combustible ofertado]]="GAS",Tabla1[[#This Row],[Disponibilidad]],0)</f>
        <v>0</v>
      </c>
      <c r="BW264" s="376">
        <f>IF(Tabla1[[#This Row],[Combustible ofertado]]="DIESEL",Tabla1[[#This Row],[Disponibilidad]],0)</f>
        <v>0</v>
      </c>
      <c r="BX264" s="376">
        <f>IF(Tabla1[[#This Row],[Combustible ofertado]]="HFO",Tabla1[[#This Row],[Disponibilidad]],0)</f>
        <v>0</v>
      </c>
      <c r="BY264" s="452"/>
      <c r="BZ264" s="446">
        <f>'Horo. M'!C265</f>
        <v>0</v>
      </c>
      <c r="CA264" s="446">
        <f>'Horo. M'!E265</f>
        <v>0</v>
      </c>
      <c r="CB264" s="446">
        <f>'Horo. M'!G265</f>
        <v>0</v>
      </c>
      <c r="CC264" s="446">
        <f>'Horo. M'!I265</f>
        <v>0</v>
      </c>
      <c r="CD264" s="446">
        <f>'Horo. M'!K265</f>
        <v>0</v>
      </c>
      <c r="CE264" s="446">
        <f>'Horo. M'!M265</f>
        <v>0</v>
      </c>
      <c r="CF264" s="446">
        <f>'Horo. M'!O265</f>
        <v>0</v>
      </c>
      <c r="CG264" s="446">
        <f>'Horo. M'!Q265</f>
        <v>0</v>
      </c>
      <c r="CH264" s="446">
        <f>'Horo. M'!S265</f>
        <v>0</v>
      </c>
      <c r="CI264" s="446">
        <f>'Horo. M'!U265</f>
        <v>0</v>
      </c>
      <c r="CJ264" s="70">
        <f>Tabla1[[#This Row],[Con. DO Storage '[gal']]]-Tabla1[[#This Row],[C. DO Storage Ge '[gal']]]</f>
        <v>0</v>
      </c>
      <c r="CK264" s="70"/>
      <c r="CL264" s="70"/>
      <c r="CM264" s="70">
        <f>Tabla1[[#This Row],[Con. DO Total '[gal']]]*131485.5/(1000000)</f>
        <v>0</v>
      </c>
    </row>
    <row r="265" spans="1:91" ht="15" customHeight="1">
      <c r="A265" s="362">
        <v>45190</v>
      </c>
      <c r="B265" s="363" t="str">
        <f>TEXT(Tabla1[[#This Row],[Fecha]],"mmmm")</f>
        <v>septiembre</v>
      </c>
      <c r="C265" s="364"/>
      <c r="D265" s="366"/>
      <c r="E265" s="366"/>
      <c r="F265" s="366"/>
      <c r="G265" s="377"/>
      <c r="H265" s="377"/>
      <c r="I265" s="378"/>
      <c r="J265" s="378"/>
      <c r="K265" s="366"/>
      <c r="L265" s="366"/>
      <c r="M265" s="365">
        <f>Tabla1[[#This Row],[Columna1]]-Tabla1[[#This Row],[PO '[h']]]</f>
        <v>0</v>
      </c>
      <c r="N265" s="366">
        <f t="shared" si="76"/>
        <v>0</v>
      </c>
      <c r="O265" s="365"/>
      <c r="P265" s="367">
        <f>Tabla1[[#This Row],[G. HGS 
'[MWh']]]</f>
        <v>0</v>
      </c>
      <c r="Q265" s="430">
        <v>0</v>
      </c>
      <c r="R265" s="367">
        <v>0</v>
      </c>
      <c r="S265" s="367">
        <f>Tabla1[[#This Row],[G. HGS 
Con Gas]]*1000</f>
        <v>0</v>
      </c>
      <c r="T265" s="365">
        <f>Tabla1[[#This Row],[G. HGS 
'[MWh']]]*1000</f>
        <v>0</v>
      </c>
      <c r="U265" s="368">
        <f>SUM('G. Un GE'!B265:Y265)</f>
        <v>0</v>
      </c>
      <c r="V265" s="369">
        <f>Tabla1[[#This Row],[R. GE
'[MWh']]]</f>
        <v>0</v>
      </c>
      <c r="W265" s="434">
        <v>0</v>
      </c>
      <c r="X265" s="369">
        <v>0</v>
      </c>
      <c r="Y265" s="365">
        <f>Tabla1[[#This Row],[R. GE
'[MWh']]]*1000</f>
        <v>0</v>
      </c>
      <c r="Z265" s="371"/>
      <c r="AA26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5" s="371">
        <f>IF(Tabla1[[#This Row],[G. HGS 
'[MWh']]]=0,0,Tabla1[[#This Row],[G. HGS 
'[MWh']]]+Tabla1[[#This Row],[Con. Aux. '[MWh']2]])</f>
        <v>0</v>
      </c>
      <c r="AC265" s="368">
        <f>'C. ENER. TN'!F265</f>
        <v>0</v>
      </c>
      <c r="AD265" s="370">
        <f>'C. ENER. TN'!G265</f>
        <v>0</v>
      </c>
      <c r="AE265" s="370">
        <f>'G. Un GE'!AX265</f>
        <v>0</v>
      </c>
      <c r="AF265" s="368">
        <f>IFERROR('G. Un GE'!AX265/Tabla1[[#This Row],[PO '[h']]],0)</f>
        <v>0</v>
      </c>
      <c r="AG265" s="365">
        <f>'Ar-Pa'!AX265</f>
        <v>0</v>
      </c>
      <c r="AH265" s="365">
        <f>'Ar-Pa'!AY265</f>
        <v>0</v>
      </c>
      <c r="AI265" s="366">
        <f>SUM('Cal. Arr'!AB268:AY268)</f>
        <v>0</v>
      </c>
      <c r="AJ265" s="442"/>
      <c r="AK265" s="443"/>
      <c r="AL265" s="372">
        <f t="shared" si="81"/>
        <v>0</v>
      </c>
      <c r="AM265" s="267">
        <f>+CONVERT(AK265+Tabla1[[#This Row],[Con. DO Storage Gen. '[m3']]],"m^3","gal")</f>
        <v>0</v>
      </c>
      <c r="AN265" s="372">
        <f>SUM('DO Pilot'!B265:Y265)</f>
        <v>0</v>
      </c>
      <c r="AO265" s="372">
        <f t="shared" si="77"/>
        <v>0</v>
      </c>
      <c r="AP265" s="267">
        <f>AK265+AN265+Tabla1[[#This Row],[Con. DO Storage Gen. '[m3']]]</f>
        <v>0</v>
      </c>
      <c r="AQ265" s="372">
        <f t="shared" si="86"/>
        <v>0</v>
      </c>
      <c r="AR265" s="443"/>
      <c r="AS265" s="443"/>
      <c r="AT265" s="267">
        <f>+CONVERT(SUM(Tabla1[[#This Row],[Repo. DO Storage '[gal']]:[Repo. DO Pilot '[gal']]]),"gal","m3")</f>
        <v>0</v>
      </c>
      <c r="AU265" s="442">
        <v>0</v>
      </c>
      <c r="AV265" s="372">
        <f t="shared" si="78"/>
        <v>0</v>
      </c>
      <c r="AW265" s="442">
        <v>0</v>
      </c>
      <c r="AX265" s="372">
        <f t="shared" si="79"/>
        <v>0</v>
      </c>
      <c r="AY265" s="372">
        <f t="shared" si="82"/>
        <v>0</v>
      </c>
      <c r="AZ265" s="372">
        <f>IFERROR(AL265/'Ar-Pa'!AX265,0)</f>
        <v>0</v>
      </c>
      <c r="BA265" s="372">
        <f>IFERROR(AL265/'Ar-Pa'!AY265,0)</f>
        <v>0</v>
      </c>
      <c r="BB265" s="372">
        <f t="shared" si="83"/>
        <v>0</v>
      </c>
      <c r="BC265" s="372">
        <f>IFERROR(AVERAGEIF('DO Pilot'!AX265:BU265,"&gt;0"),0)</f>
        <v>0</v>
      </c>
      <c r="BD265" s="446"/>
      <c r="BE265" s="446"/>
      <c r="BF265" s="446"/>
      <c r="BG265" s="223">
        <f>Tabla1[[#This Row],[ Re. Gas GC
 '[m3']]]</f>
        <v>0</v>
      </c>
      <c r="BH265" s="150">
        <f>IFERROR((BG265*Gas!$B$4)/28.31685,0)</f>
        <v>0</v>
      </c>
      <c r="BI265" s="73">
        <f t="shared" si="80"/>
        <v>0</v>
      </c>
      <c r="BJ265" s="74">
        <f t="shared" si="87"/>
        <v>0</v>
      </c>
      <c r="BK265" s="223">
        <f t="shared" si="84"/>
        <v>0</v>
      </c>
      <c r="BL265" s="442">
        <v>8928.02</v>
      </c>
      <c r="BM265" s="70">
        <f t="shared" si="85"/>
        <v>0</v>
      </c>
      <c r="BN265" s="150">
        <f t="shared" si="70"/>
        <v>0</v>
      </c>
      <c r="BO265" s="373">
        <f>IFERROR(Tabla1[[#This Row],[ Re. Gas GC
 '[m3']]]/Tabla1[[#This Row],[G. HGS 
Con Gas '[kWh']]],0)</f>
        <v>0</v>
      </c>
      <c r="BP265" s="374">
        <f>Tank!Y266</f>
        <v>0</v>
      </c>
      <c r="BQ265" s="70">
        <f>Tank!AP266</f>
        <v>0</v>
      </c>
      <c r="BR265" s="70">
        <f>Tank!V266</f>
        <v>0</v>
      </c>
      <c r="BS265" s="372">
        <f>Tank!T266</f>
        <v>0</v>
      </c>
      <c r="BT265" s="375" t="s">
        <v>228</v>
      </c>
      <c r="BU265" s="452"/>
      <c r="BV265" s="376">
        <f>IF(Tabla1[[#This Row],[Combustible ofertado]]="GAS",Tabla1[[#This Row],[Disponibilidad]],0)</f>
        <v>0</v>
      </c>
      <c r="BW265" s="376">
        <f>IF(Tabla1[[#This Row],[Combustible ofertado]]="DIESEL",Tabla1[[#This Row],[Disponibilidad]],0)</f>
        <v>0</v>
      </c>
      <c r="BX265" s="376">
        <f>IF(Tabla1[[#This Row],[Combustible ofertado]]="HFO",Tabla1[[#This Row],[Disponibilidad]],0)</f>
        <v>0</v>
      </c>
      <c r="BY265" s="452"/>
      <c r="BZ265" s="446">
        <f>'Horo. M'!C266</f>
        <v>0</v>
      </c>
      <c r="CA265" s="446">
        <f>'Horo. M'!E266</f>
        <v>0</v>
      </c>
      <c r="CB265" s="446">
        <f>'Horo. M'!G266</f>
        <v>0</v>
      </c>
      <c r="CC265" s="446">
        <f>'Horo. M'!I266</f>
        <v>0</v>
      </c>
      <c r="CD265" s="446">
        <f>'Horo. M'!K266</f>
        <v>0</v>
      </c>
      <c r="CE265" s="446">
        <f>'Horo. M'!M266</f>
        <v>0</v>
      </c>
      <c r="CF265" s="446">
        <f>'Horo. M'!O266</f>
        <v>0</v>
      </c>
      <c r="CG265" s="446">
        <f>'Horo. M'!Q266</f>
        <v>0</v>
      </c>
      <c r="CH265" s="446">
        <f>'Horo. M'!S266</f>
        <v>0</v>
      </c>
      <c r="CI265" s="446">
        <f>'Horo. M'!U266</f>
        <v>0</v>
      </c>
      <c r="CJ265" s="70">
        <f>Tabla1[[#This Row],[Con. DO Storage '[gal']]]-Tabla1[[#This Row],[C. DO Storage Ge '[gal']]]</f>
        <v>0</v>
      </c>
      <c r="CK265" s="70"/>
      <c r="CL265" s="70"/>
      <c r="CM265" s="70">
        <f>Tabla1[[#This Row],[Con. DO Total '[gal']]]*131485.5/(1000000)</f>
        <v>0</v>
      </c>
    </row>
    <row r="266" spans="1:91" ht="15" customHeight="1">
      <c r="A266" s="362">
        <v>45191</v>
      </c>
      <c r="B266" s="363" t="str">
        <f>TEXT(Tabla1[[#This Row],[Fecha]],"mmmm")</f>
        <v>septiembre</v>
      </c>
      <c r="C266" s="364"/>
      <c r="D266" s="366"/>
      <c r="E266" s="366"/>
      <c r="F266" s="366"/>
      <c r="G266" s="377"/>
      <c r="H266" s="377"/>
      <c r="I266" s="378"/>
      <c r="J266" s="378"/>
      <c r="K266" s="366"/>
      <c r="L266" s="366"/>
      <c r="M266" s="365">
        <f>Tabla1[[#This Row],[Columna1]]-Tabla1[[#This Row],[PO '[h']]]</f>
        <v>0</v>
      </c>
      <c r="N266" s="366">
        <f t="shared" si="76"/>
        <v>0</v>
      </c>
      <c r="O266" s="365"/>
      <c r="P266" s="367">
        <f>Tabla1[[#This Row],[G. HGS 
'[MWh']]]</f>
        <v>0</v>
      </c>
      <c r="Q266" s="430">
        <v>0</v>
      </c>
      <c r="R266" s="367">
        <v>0</v>
      </c>
      <c r="S266" s="367">
        <f>Tabla1[[#This Row],[G. HGS 
Con Gas]]*1000</f>
        <v>0</v>
      </c>
      <c r="T266" s="365">
        <f>Tabla1[[#This Row],[G. HGS 
'[MWh']]]*1000</f>
        <v>0</v>
      </c>
      <c r="U266" s="368">
        <f>SUM('G. Un GE'!B266:Y266)</f>
        <v>0</v>
      </c>
      <c r="V266" s="369">
        <f>Tabla1[[#This Row],[R. GE
'[MWh']]]</f>
        <v>0</v>
      </c>
      <c r="W266" s="434">
        <v>0</v>
      </c>
      <c r="X266" s="369">
        <v>0</v>
      </c>
      <c r="Y266" s="365">
        <f>Tabla1[[#This Row],[R. GE
'[MWh']]]*1000</f>
        <v>0</v>
      </c>
      <c r="Z266" s="371"/>
      <c r="AA26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6" s="371">
        <f>IF(Tabla1[[#This Row],[G. HGS 
'[MWh']]]=0,0,Tabla1[[#This Row],[G. HGS 
'[MWh']]]+Tabla1[[#This Row],[Con. Aux. '[MWh']2]])</f>
        <v>0</v>
      </c>
      <c r="AC266" s="368">
        <f>'C. ENER. TN'!F266</f>
        <v>0</v>
      </c>
      <c r="AD266" s="370">
        <f>'C. ENER. TN'!G266</f>
        <v>0</v>
      </c>
      <c r="AE266" s="370">
        <f>'G. Un GE'!AX266</f>
        <v>0</v>
      </c>
      <c r="AF266" s="368">
        <f>IFERROR('G. Un GE'!AX266/Tabla1[[#This Row],[PO '[h']]],0)</f>
        <v>0</v>
      </c>
      <c r="AG266" s="365">
        <f>'Ar-Pa'!AX266</f>
        <v>0</v>
      </c>
      <c r="AH266" s="365">
        <f>'Ar-Pa'!AY266</f>
        <v>0</v>
      </c>
      <c r="AI266" s="366">
        <f>SUM('Cal. Arr'!AB269:AY269)</f>
        <v>0</v>
      </c>
      <c r="AJ266" s="442"/>
      <c r="AK266" s="443"/>
      <c r="AL266" s="372">
        <f t="shared" si="81"/>
        <v>0</v>
      </c>
      <c r="AM266" s="267">
        <f>+CONVERT(AK266+Tabla1[[#This Row],[Con. DO Storage Gen. '[m3']]],"m^3","gal")</f>
        <v>0</v>
      </c>
      <c r="AN266" s="372">
        <f>SUM('DO Pilot'!B266:Y266)</f>
        <v>0</v>
      </c>
      <c r="AO266" s="372">
        <f t="shared" si="77"/>
        <v>0</v>
      </c>
      <c r="AP266" s="267">
        <f>AK266+AN266+Tabla1[[#This Row],[Con. DO Storage Gen. '[m3']]]</f>
        <v>0</v>
      </c>
      <c r="AQ266" s="372">
        <f t="shared" si="86"/>
        <v>0</v>
      </c>
      <c r="AR266" s="443"/>
      <c r="AS266" s="443"/>
      <c r="AT266" s="267">
        <f>+CONVERT(SUM(Tabla1[[#This Row],[Repo. DO Storage '[gal']]:[Repo. DO Pilot '[gal']]]),"gal","m3")</f>
        <v>0</v>
      </c>
      <c r="AU266" s="442">
        <v>0</v>
      </c>
      <c r="AV266" s="372">
        <f t="shared" si="78"/>
        <v>0</v>
      </c>
      <c r="AW266" s="442">
        <v>0</v>
      </c>
      <c r="AX266" s="372">
        <f t="shared" si="79"/>
        <v>0</v>
      </c>
      <c r="AY266" s="372">
        <f t="shared" si="82"/>
        <v>0</v>
      </c>
      <c r="AZ266" s="372">
        <f>IFERROR(AL266/'Ar-Pa'!AX266,0)</f>
        <v>0</v>
      </c>
      <c r="BA266" s="372">
        <f>IFERROR(AL266/'Ar-Pa'!AY266,0)</f>
        <v>0</v>
      </c>
      <c r="BB266" s="372">
        <f t="shared" si="83"/>
        <v>0</v>
      </c>
      <c r="BC266" s="372">
        <f>IFERROR(AVERAGEIF('DO Pilot'!AX266:BU266,"&gt;0"),0)</f>
        <v>0</v>
      </c>
      <c r="BD266" s="446"/>
      <c r="BE266" s="446"/>
      <c r="BF266" s="446"/>
      <c r="BG266" s="223">
        <f>Tabla1[[#This Row],[ Re. Gas GC
 '[m3']]]</f>
        <v>0</v>
      </c>
      <c r="BH266" s="150">
        <f>IFERROR((BG266*Gas!$B$4)/28.31685,0)</f>
        <v>0</v>
      </c>
      <c r="BI266" s="73">
        <f t="shared" si="80"/>
        <v>0</v>
      </c>
      <c r="BJ266" s="74">
        <f t="shared" si="87"/>
        <v>0</v>
      </c>
      <c r="BK266" s="223">
        <f t="shared" si="84"/>
        <v>0</v>
      </c>
      <c r="BL266" s="442">
        <v>8864.75</v>
      </c>
      <c r="BM266" s="70">
        <f t="shared" si="85"/>
        <v>0</v>
      </c>
      <c r="BN266" s="150">
        <f t="shared" si="70"/>
        <v>0</v>
      </c>
      <c r="BO266" s="373">
        <f>IFERROR(Tabla1[[#This Row],[ Re. Gas GC
 '[m3']]]/Tabla1[[#This Row],[G. HGS 
Con Gas '[kWh']]],0)</f>
        <v>0</v>
      </c>
      <c r="BP266" s="374">
        <f>Tank!Y267</f>
        <v>0</v>
      </c>
      <c r="BQ266" s="70">
        <f>Tank!AP267</f>
        <v>0</v>
      </c>
      <c r="BR266" s="70">
        <f>Tank!V267</f>
        <v>0</v>
      </c>
      <c r="BS266" s="372">
        <f>Tank!T267</f>
        <v>0</v>
      </c>
      <c r="BT266" s="375" t="s">
        <v>228</v>
      </c>
      <c r="BU266" s="452"/>
      <c r="BV266" s="376">
        <f>IF(Tabla1[[#This Row],[Combustible ofertado]]="GAS",Tabla1[[#This Row],[Disponibilidad]],0)</f>
        <v>0</v>
      </c>
      <c r="BW266" s="376">
        <f>IF(Tabla1[[#This Row],[Combustible ofertado]]="DIESEL",Tabla1[[#This Row],[Disponibilidad]],0)</f>
        <v>0</v>
      </c>
      <c r="BX266" s="376">
        <f>IF(Tabla1[[#This Row],[Combustible ofertado]]="HFO",Tabla1[[#This Row],[Disponibilidad]],0)</f>
        <v>0</v>
      </c>
      <c r="BY266" s="452"/>
      <c r="BZ266" s="446">
        <f>'Horo. M'!C267</f>
        <v>0</v>
      </c>
      <c r="CA266" s="446">
        <f>'Horo. M'!E267</f>
        <v>0</v>
      </c>
      <c r="CB266" s="446">
        <f>'Horo. M'!G267</f>
        <v>0</v>
      </c>
      <c r="CC266" s="446">
        <f>'Horo. M'!I267</f>
        <v>0</v>
      </c>
      <c r="CD266" s="446">
        <f>'Horo. M'!K267</f>
        <v>0</v>
      </c>
      <c r="CE266" s="446">
        <f>'Horo. M'!M267</f>
        <v>0</v>
      </c>
      <c r="CF266" s="446">
        <f>'Horo. M'!O267</f>
        <v>0</v>
      </c>
      <c r="CG266" s="446">
        <f>'Horo. M'!Q267</f>
        <v>0</v>
      </c>
      <c r="CH266" s="446">
        <f>'Horo. M'!S267</f>
        <v>0</v>
      </c>
      <c r="CI266" s="446">
        <f>'Horo. M'!U267</f>
        <v>0</v>
      </c>
      <c r="CJ266" s="70">
        <f>Tabla1[[#This Row],[Con. DO Storage '[gal']]]-Tabla1[[#This Row],[C. DO Storage Ge '[gal']]]</f>
        <v>0</v>
      </c>
      <c r="CK266" s="70"/>
      <c r="CL266" s="70"/>
      <c r="CM266" s="70">
        <f>Tabla1[[#This Row],[Con. DO Total '[gal']]]*131485.5/(1000000)</f>
        <v>0</v>
      </c>
    </row>
    <row r="267" spans="1:91" ht="15" customHeight="1">
      <c r="A267" s="362">
        <v>45192</v>
      </c>
      <c r="B267" s="363" t="str">
        <f>TEXT(Tabla1[[#This Row],[Fecha]],"mmmm")</f>
        <v>septiembre</v>
      </c>
      <c r="C267" s="364"/>
      <c r="D267" s="366"/>
      <c r="E267" s="366"/>
      <c r="F267" s="366"/>
      <c r="G267" s="377"/>
      <c r="H267" s="377"/>
      <c r="I267" s="378"/>
      <c r="J267" s="378"/>
      <c r="K267" s="366"/>
      <c r="L267" s="366"/>
      <c r="M267" s="365">
        <f>Tabla1[[#This Row],[Columna1]]-Tabla1[[#This Row],[PO '[h']]]</f>
        <v>0</v>
      </c>
      <c r="N267" s="366">
        <f t="shared" si="76"/>
        <v>0</v>
      </c>
      <c r="O267" s="365"/>
      <c r="P267" s="367">
        <f>Tabla1[[#This Row],[G. HGS 
'[MWh']]]</f>
        <v>0</v>
      </c>
      <c r="Q267" s="430">
        <v>0</v>
      </c>
      <c r="R267" s="367">
        <v>0</v>
      </c>
      <c r="S267" s="367">
        <f>Tabla1[[#This Row],[G. HGS 
Con Gas]]*1000</f>
        <v>0</v>
      </c>
      <c r="T267" s="365">
        <f>Tabla1[[#This Row],[G. HGS 
'[MWh']]]*1000</f>
        <v>0</v>
      </c>
      <c r="U267" s="368">
        <f>SUM('G. Un GE'!B267:Y267)</f>
        <v>0</v>
      </c>
      <c r="V267" s="369">
        <f>Tabla1[[#This Row],[R. GE
'[MWh']]]</f>
        <v>0</v>
      </c>
      <c r="W267" s="434">
        <v>0</v>
      </c>
      <c r="X267" s="369">
        <v>0</v>
      </c>
      <c r="Y267" s="365">
        <f>Tabla1[[#This Row],[R. GE
'[MWh']]]*1000</f>
        <v>0</v>
      </c>
      <c r="Z267" s="371"/>
      <c r="AA26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7" s="371">
        <f>IF(Tabla1[[#This Row],[G. HGS 
'[MWh']]]=0,0,Tabla1[[#This Row],[G. HGS 
'[MWh']]]+Tabla1[[#This Row],[Con. Aux. '[MWh']2]])</f>
        <v>0</v>
      </c>
      <c r="AC267" s="368">
        <f>'C. ENER. TN'!F267</f>
        <v>0</v>
      </c>
      <c r="AD267" s="370">
        <f>'C. ENER. TN'!G267</f>
        <v>0</v>
      </c>
      <c r="AE267" s="370">
        <f>'G. Un GE'!AX267</f>
        <v>0</v>
      </c>
      <c r="AF267" s="368">
        <f>IFERROR('G. Un GE'!AX267/Tabla1[[#This Row],[PO '[h']]],0)</f>
        <v>0</v>
      </c>
      <c r="AG267" s="365">
        <f>'Ar-Pa'!AX267</f>
        <v>0</v>
      </c>
      <c r="AH267" s="365">
        <f>'Ar-Pa'!AY267</f>
        <v>0</v>
      </c>
      <c r="AI267" s="366">
        <f>SUM('Cal. Arr'!AB270:AY270)</f>
        <v>0</v>
      </c>
      <c r="AJ267" s="442"/>
      <c r="AK267" s="443"/>
      <c r="AL267" s="372">
        <f t="shared" si="81"/>
        <v>0</v>
      </c>
      <c r="AM267" s="267">
        <f>+CONVERT(AK267+Tabla1[[#This Row],[Con. DO Storage Gen. '[m3']]],"m^3","gal")</f>
        <v>0</v>
      </c>
      <c r="AN267" s="372">
        <f>SUM('DO Pilot'!B267:Y267)</f>
        <v>0</v>
      </c>
      <c r="AO267" s="372">
        <f t="shared" si="77"/>
        <v>0</v>
      </c>
      <c r="AP267" s="267">
        <f>AK267+AN267+Tabla1[[#This Row],[Con. DO Storage Gen. '[m3']]]</f>
        <v>0</v>
      </c>
      <c r="AQ267" s="372">
        <f t="shared" si="86"/>
        <v>0</v>
      </c>
      <c r="AR267" s="443"/>
      <c r="AS267" s="443"/>
      <c r="AT267" s="267">
        <f>+CONVERT(SUM(Tabla1[[#This Row],[Repo. DO Storage '[gal']]:[Repo. DO Pilot '[gal']]]),"gal","m3")</f>
        <v>0</v>
      </c>
      <c r="AU267" s="442">
        <v>0</v>
      </c>
      <c r="AV267" s="372">
        <f t="shared" si="78"/>
        <v>0</v>
      </c>
      <c r="AW267" s="442">
        <v>0</v>
      </c>
      <c r="AX267" s="372">
        <f t="shared" si="79"/>
        <v>0</v>
      </c>
      <c r="AY267" s="372">
        <f t="shared" si="82"/>
        <v>0</v>
      </c>
      <c r="AZ267" s="372">
        <f>IFERROR(AL267/'Ar-Pa'!AX267,0)</f>
        <v>0</v>
      </c>
      <c r="BA267" s="372">
        <f>IFERROR(AL267/'Ar-Pa'!AY267,0)</f>
        <v>0</v>
      </c>
      <c r="BB267" s="372">
        <f t="shared" si="83"/>
        <v>0</v>
      </c>
      <c r="BC267" s="372">
        <f>IFERROR(AVERAGEIF('DO Pilot'!AX267:BU267,"&gt;0"),0)</f>
        <v>0</v>
      </c>
      <c r="BD267" s="446"/>
      <c r="BE267" s="446"/>
      <c r="BF267" s="446"/>
      <c r="BG267" s="223">
        <f>Tabla1[[#This Row],[ Re. Gas GC
 '[m3']]]</f>
        <v>0</v>
      </c>
      <c r="BH267" s="150">
        <f>IFERROR((BG267*Gas!$B$4)/28.31685,0)</f>
        <v>0</v>
      </c>
      <c r="BI267" s="73">
        <f t="shared" si="80"/>
        <v>0</v>
      </c>
      <c r="BJ267" s="74">
        <f t="shared" si="87"/>
        <v>0</v>
      </c>
      <c r="BK267" s="223">
        <f t="shared" si="84"/>
        <v>0</v>
      </c>
      <c r="BL267" s="442">
        <v>8877.1200000000008</v>
      </c>
      <c r="BM267" s="70">
        <f t="shared" si="85"/>
        <v>0</v>
      </c>
      <c r="BN267" s="150">
        <f t="shared" si="70"/>
        <v>0</v>
      </c>
      <c r="BO267" s="373">
        <f>IFERROR(Tabla1[[#This Row],[ Re. Gas GC
 '[m3']]]/Tabla1[[#This Row],[G. HGS 
Con Gas '[kWh']]],0)</f>
        <v>0</v>
      </c>
      <c r="BP267" s="374">
        <f>Tank!Y268</f>
        <v>0</v>
      </c>
      <c r="BQ267" s="70">
        <f>Tank!AP268</f>
        <v>0</v>
      </c>
      <c r="BR267" s="70">
        <f>Tank!V268</f>
        <v>0</v>
      </c>
      <c r="BS267" s="372">
        <f>Tank!T268</f>
        <v>0</v>
      </c>
      <c r="BT267" s="375" t="s">
        <v>228</v>
      </c>
      <c r="BU267" s="452"/>
      <c r="BV267" s="376">
        <f>IF(Tabla1[[#This Row],[Combustible ofertado]]="GAS",Tabla1[[#This Row],[Disponibilidad]],0)</f>
        <v>0</v>
      </c>
      <c r="BW267" s="376">
        <f>IF(Tabla1[[#This Row],[Combustible ofertado]]="DIESEL",Tabla1[[#This Row],[Disponibilidad]],0)</f>
        <v>0</v>
      </c>
      <c r="BX267" s="376">
        <f>IF(Tabla1[[#This Row],[Combustible ofertado]]="HFO",Tabla1[[#This Row],[Disponibilidad]],0)</f>
        <v>0</v>
      </c>
      <c r="BY267" s="452"/>
      <c r="BZ267" s="446">
        <f>'Horo. M'!C268</f>
        <v>0</v>
      </c>
      <c r="CA267" s="446">
        <f>'Horo. M'!E268</f>
        <v>0</v>
      </c>
      <c r="CB267" s="446">
        <f>'Horo. M'!G268</f>
        <v>0</v>
      </c>
      <c r="CC267" s="446">
        <f>'Horo. M'!I268</f>
        <v>0</v>
      </c>
      <c r="CD267" s="446">
        <f>'Horo. M'!K268</f>
        <v>0</v>
      </c>
      <c r="CE267" s="446">
        <f>'Horo. M'!M268</f>
        <v>0</v>
      </c>
      <c r="CF267" s="446">
        <f>'Horo. M'!O268</f>
        <v>0</v>
      </c>
      <c r="CG267" s="446">
        <f>'Horo. M'!Q268</f>
        <v>0</v>
      </c>
      <c r="CH267" s="446">
        <f>'Horo. M'!S268</f>
        <v>0</v>
      </c>
      <c r="CI267" s="446">
        <f>'Horo. M'!U268</f>
        <v>0</v>
      </c>
      <c r="CJ267" s="70">
        <f>Tabla1[[#This Row],[Con. DO Storage '[gal']]]-Tabla1[[#This Row],[C. DO Storage Ge '[gal']]]</f>
        <v>0</v>
      </c>
      <c r="CK267" s="70"/>
      <c r="CL267" s="70"/>
      <c r="CM267" s="70">
        <f>Tabla1[[#This Row],[Con. DO Total '[gal']]]*131485.5/(1000000)</f>
        <v>0</v>
      </c>
    </row>
    <row r="268" spans="1:91" ht="15" customHeight="1">
      <c r="A268" s="362">
        <v>45193</v>
      </c>
      <c r="B268" s="363" t="str">
        <f>TEXT(Tabla1[[#This Row],[Fecha]],"mmmm")</f>
        <v>septiembre</v>
      </c>
      <c r="C268" s="364"/>
      <c r="D268" s="366"/>
      <c r="E268" s="366"/>
      <c r="F268" s="366"/>
      <c r="G268" s="377"/>
      <c r="H268" s="377"/>
      <c r="I268" s="378"/>
      <c r="J268" s="378"/>
      <c r="K268" s="366"/>
      <c r="L268" s="366"/>
      <c r="M268" s="365">
        <f>Tabla1[[#This Row],[Columna1]]-Tabla1[[#This Row],[PO '[h']]]</f>
        <v>0</v>
      </c>
      <c r="N268" s="366">
        <f t="shared" si="76"/>
        <v>0</v>
      </c>
      <c r="O268" s="365"/>
      <c r="P268" s="367">
        <f>Tabla1[[#This Row],[G. HGS 
'[MWh']]]</f>
        <v>0</v>
      </c>
      <c r="Q268" s="430">
        <v>0</v>
      </c>
      <c r="R268" s="367">
        <v>0</v>
      </c>
      <c r="S268" s="367">
        <f>Tabla1[[#This Row],[G. HGS 
Con Gas]]*1000</f>
        <v>0</v>
      </c>
      <c r="T268" s="365">
        <f>Tabla1[[#This Row],[G. HGS 
'[MWh']]]*1000</f>
        <v>0</v>
      </c>
      <c r="U268" s="368">
        <f>SUM('G. Un GE'!B268:Y268)</f>
        <v>0</v>
      </c>
      <c r="V268" s="369">
        <f>Tabla1[[#This Row],[R. GE
'[MWh']]]</f>
        <v>0</v>
      </c>
      <c r="W268" s="434">
        <v>0</v>
      </c>
      <c r="X268" s="369">
        <v>0</v>
      </c>
      <c r="Y268" s="365">
        <f>Tabla1[[#This Row],[R. GE
'[MWh']]]*1000</f>
        <v>0</v>
      </c>
      <c r="Z268" s="371"/>
      <c r="AA26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8" s="371">
        <f>IF(Tabla1[[#This Row],[G. HGS 
'[MWh']]]=0,0,Tabla1[[#This Row],[G. HGS 
'[MWh']]]+Tabla1[[#This Row],[Con. Aux. '[MWh']2]])</f>
        <v>0</v>
      </c>
      <c r="AC268" s="368">
        <f>'C. ENER. TN'!F268</f>
        <v>0</v>
      </c>
      <c r="AD268" s="370">
        <f>'C. ENER. TN'!G268</f>
        <v>0</v>
      </c>
      <c r="AE268" s="370">
        <f>'G. Un GE'!AX268</f>
        <v>0</v>
      </c>
      <c r="AF268" s="368">
        <f>IFERROR('G. Un GE'!AX268/Tabla1[[#This Row],[PO '[h']]],0)</f>
        <v>0</v>
      </c>
      <c r="AG268" s="365">
        <f>'Ar-Pa'!AX268</f>
        <v>0</v>
      </c>
      <c r="AH268" s="365">
        <f>'Ar-Pa'!AY268</f>
        <v>0</v>
      </c>
      <c r="AI268" s="366">
        <f>SUM('Cal. Arr'!AB271:AY271)</f>
        <v>0</v>
      </c>
      <c r="AJ268" s="442"/>
      <c r="AK268" s="443"/>
      <c r="AL268" s="372">
        <f t="shared" si="81"/>
        <v>0</v>
      </c>
      <c r="AM268" s="267">
        <f>+CONVERT(AK268+Tabla1[[#This Row],[Con. DO Storage Gen. '[m3']]],"m^3","gal")</f>
        <v>0</v>
      </c>
      <c r="AN268" s="372">
        <f>SUM('DO Pilot'!B268:Y268)</f>
        <v>0</v>
      </c>
      <c r="AO268" s="372">
        <f t="shared" si="77"/>
        <v>0</v>
      </c>
      <c r="AP268" s="267">
        <f>AK268+AN268+Tabla1[[#This Row],[Con. DO Storage Gen. '[m3']]]</f>
        <v>0</v>
      </c>
      <c r="AQ268" s="372">
        <f t="shared" si="86"/>
        <v>0</v>
      </c>
      <c r="AR268" s="443"/>
      <c r="AS268" s="443"/>
      <c r="AT268" s="267">
        <f>+CONVERT(SUM(Tabla1[[#This Row],[Repo. DO Storage '[gal']]:[Repo. DO Pilot '[gal']]]),"gal","m3")</f>
        <v>0</v>
      </c>
      <c r="AU268" s="442">
        <v>0</v>
      </c>
      <c r="AV268" s="372">
        <f t="shared" si="78"/>
        <v>0</v>
      </c>
      <c r="AW268" s="442">
        <v>0</v>
      </c>
      <c r="AX268" s="372">
        <f t="shared" si="79"/>
        <v>0</v>
      </c>
      <c r="AY268" s="372">
        <f t="shared" si="82"/>
        <v>0</v>
      </c>
      <c r="AZ268" s="372">
        <f>IFERROR(AL268/'Ar-Pa'!AX268,0)</f>
        <v>0</v>
      </c>
      <c r="BA268" s="372">
        <f>IFERROR(AL268/'Ar-Pa'!AY268,0)</f>
        <v>0</v>
      </c>
      <c r="BB268" s="372">
        <f t="shared" si="83"/>
        <v>0</v>
      </c>
      <c r="BC268" s="372">
        <f>IFERROR(AVERAGEIF('DO Pilot'!AX268:BU268,"&gt;0"),0)</f>
        <v>0</v>
      </c>
      <c r="BD268" s="446"/>
      <c r="BE268" s="446"/>
      <c r="BF268" s="446"/>
      <c r="BG268" s="223">
        <f>Tabla1[[#This Row],[ Re. Gas GC
 '[m3']]]</f>
        <v>0</v>
      </c>
      <c r="BH268" s="150">
        <f>IFERROR((BG268*Gas!$B$4)/28.31685,0)</f>
        <v>0</v>
      </c>
      <c r="BI268" s="73">
        <f t="shared" si="80"/>
        <v>0</v>
      </c>
      <c r="BJ268" s="74">
        <f t="shared" si="87"/>
        <v>0</v>
      </c>
      <c r="BK268" s="223">
        <f t="shared" si="84"/>
        <v>0</v>
      </c>
      <c r="BL268" s="442">
        <v>8847.16</v>
      </c>
      <c r="BM268" s="70">
        <f t="shared" si="85"/>
        <v>0</v>
      </c>
      <c r="BN268" s="150">
        <f t="shared" si="70"/>
        <v>0</v>
      </c>
      <c r="BO268" s="373">
        <f>IFERROR(Tabla1[[#This Row],[ Re. Gas GC
 '[m3']]]/Tabla1[[#This Row],[G. HGS 
Con Gas '[kWh']]],0)</f>
        <v>0</v>
      </c>
      <c r="BP268" s="374">
        <f>Tank!Y269</f>
        <v>0</v>
      </c>
      <c r="BQ268" s="70">
        <f>Tank!AP269</f>
        <v>0</v>
      </c>
      <c r="BR268" s="70">
        <f>Tank!V269</f>
        <v>0</v>
      </c>
      <c r="BS268" s="372">
        <f>Tank!T269</f>
        <v>0</v>
      </c>
      <c r="BT268" s="375" t="s">
        <v>228</v>
      </c>
      <c r="BU268" s="452"/>
      <c r="BV268" s="376">
        <f>IF(Tabla1[[#This Row],[Combustible ofertado]]="GAS",Tabla1[[#This Row],[Disponibilidad]],0)</f>
        <v>0</v>
      </c>
      <c r="BW268" s="376">
        <f>IF(Tabla1[[#This Row],[Combustible ofertado]]="DIESEL",Tabla1[[#This Row],[Disponibilidad]],0)</f>
        <v>0</v>
      </c>
      <c r="BX268" s="376">
        <f>IF(Tabla1[[#This Row],[Combustible ofertado]]="HFO",Tabla1[[#This Row],[Disponibilidad]],0)</f>
        <v>0</v>
      </c>
      <c r="BY268" s="452"/>
      <c r="BZ268" s="446">
        <f>'Horo. M'!C269</f>
        <v>0</v>
      </c>
      <c r="CA268" s="446">
        <f>'Horo. M'!E269</f>
        <v>0</v>
      </c>
      <c r="CB268" s="446">
        <f>'Horo. M'!G269</f>
        <v>0</v>
      </c>
      <c r="CC268" s="446">
        <f>'Horo. M'!I269</f>
        <v>0</v>
      </c>
      <c r="CD268" s="446">
        <f>'Horo. M'!K269</f>
        <v>0</v>
      </c>
      <c r="CE268" s="446">
        <f>'Horo. M'!M269</f>
        <v>0</v>
      </c>
      <c r="CF268" s="446">
        <f>'Horo. M'!O269</f>
        <v>0</v>
      </c>
      <c r="CG268" s="446">
        <f>'Horo. M'!Q269</f>
        <v>0</v>
      </c>
      <c r="CH268" s="446">
        <f>'Horo. M'!S269</f>
        <v>0</v>
      </c>
      <c r="CI268" s="446">
        <f>'Horo. M'!U269</f>
        <v>0</v>
      </c>
      <c r="CJ268" s="70">
        <f>Tabla1[[#This Row],[Con. DO Storage '[gal']]]-Tabla1[[#This Row],[C. DO Storage Ge '[gal']]]</f>
        <v>0</v>
      </c>
      <c r="CK268" s="70"/>
      <c r="CL268" s="70"/>
      <c r="CM268" s="70">
        <f>Tabla1[[#This Row],[Con. DO Total '[gal']]]*131485.5/(1000000)</f>
        <v>0</v>
      </c>
    </row>
    <row r="269" spans="1:91" ht="15" customHeight="1">
      <c r="A269" s="362">
        <v>45194</v>
      </c>
      <c r="B269" s="363" t="str">
        <f>TEXT(Tabla1[[#This Row],[Fecha]],"mmmm")</f>
        <v>septiembre</v>
      </c>
      <c r="C269" s="364"/>
      <c r="D269" s="366"/>
      <c r="E269" s="366"/>
      <c r="F269" s="366"/>
      <c r="G269" s="377"/>
      <c r="H269" s="377"/>
      <c r="I269" s="378"/>
      <c r="J269" s="378"/>
      <c r="K269" s="366"/>
      <c r="L269" s="366"/>
      <c r="M269" s="365">
        <f>Tabla1[[#This Row],[Columna1]]-Tabla1[[#This Row],[PO '[h']]]</f>
        <v>0</v>
      </c>
      <c r="N269" s="366">
        <f t="shared" si="76"/>
        <v>0</v>
      </c>
      <c r="O269" s="365"/>
      <c r="P269" s="367">
        <f>Tabla1[[#This Row],[G. HGS 
'[MWh']]]</f>
        <v>0</v>
      </c>
      <c r="Q269" s="430">
        <v>0</v>
      </c>
      <c r="R269" s="367">
        <v>0</v>
      </c>
      <c r="S269" s="367">
        <f>Tabla1[[#This Row],[G. HGS 
Con Gas]]*1000</f>
        <v>0</v>
      </c>
      <c r="T269" s="365">
        <f>Tabla1[[#This Row],[G. HGS 
'[MWh']]]*1000</f>
        <v>0</v>
      </c>
      <c r="U269" s="368">
        <f>SUM('G. Un GE'!B269:Y269)</f>
        <v>0</v>
      </c>
      <c r="V269" s="369">
        <f>Tabla1[[#This Row],[R. GE
'[MWh']]]</f>
        <v>0</v>
      </c>
      <c r="W269" s="434">
        <v>0</v>
      </c>
      <c r="X269" s="369">
        <v>0</v>
      </c>
      <c r="Y269" s="365">
        <f>Tabla1[[#This Row],[R. GE
'[MWh']]]*1000</f>
        <v>0</v>
      </c>
      <c r="Z269" s="371"/>
      <c r="AA26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69" s="371">
        <f>IF(Tabla1[[#This Row],[G. HGS 
'[MWh']]]=0,0,Tabla1[[#This Row],[G. HGS 
'[MWh']]]+Tabla1[[#This Row],[Con. Aux. '[MWh']2]])</f>
        <v>0</v>
      </c>
      <c r="AC269" s="368">
        <f>'C. ENER. TN'!F269</f>
        <v>0</v>
      </c>
      <c r="AD269" s="370">
        <f>'C. ENER. TN'!G269</f>
        <v>0</v>
      </c>
      <c r="AE269" s="370">
        <f>'G. Un GE'!AX269</f>
        <v>0</v>
      </c>
      <c r="AF269" s="368">
        <f>IFERROR('G. Un GE'!AX269/Tabla1[[#This Row],[PO '[h']]],0)</f>
        <v>0</v>
      </c>
      <c r="AG269" s="365">
        <f>'Ar-Pa'!AX269</f>
        <v>0</v>
      </c>
      <c r="AH269" s="365">
        <f>'Ar-Pa'!AY269</f>
        <v>0</v>
      </c>
      <c r="AI269" s="366">
        <f>SUM('Cal. Arr'!AB272:AY272)</f>
        <v>0</v>
      </c>
      <c r="AJ269" s="442"/>
      <c r="AK269" s="443"/>
      <c r="AL269" s="372">
        <f t="shared" si="81"/>
        <v>0</v>
      </c>
      <c r="AM269" s="267">
        <f>+CONVERT(AK269+Tabla1[[#This Row],[Con. DO Storage Gen. '[m3']]],"m^3","gal")</f>
        <v>0</v>
      </c>
      <c r="AN269" s="372">
        <f>SUM('DO Pilot'!B269:Y269)</f>
        <v>0</v>
      </c>
      <c r="AO269" s="372">
        <f t="shared" si="77"/>
        <v>0</v>
      </c>
      <c r="AP269" s="267">
        <f>AK269+AN269+Tabla1[[#This Row],[Con. DO Storage Gen. '[m3']]]</f>
        <v>0</v>
      </c>
      <c r="AQ269" s="372">
        <f t="shared" si="86"/>
        <v>0</v>
      </c>
      <c r="AR269" s="443"/>
      <c r="AS269" s="443"/>
      <c r="AT269" s="267">
        <f>+CONVERT(SUM(Tabla1[[#This Row],[Repo. DO Storage '[gal']]:[Repo. DO Pilot '[gal']]]),"gal","m3")</f>
        <v>0</v>
      </c>
      <c r="AU269" s="442">
        <v>0</v>
      </c>
      <c r="AV269" s="372">
        <f t="shared" si="78"/>
        <v>0</v>
      </c>
      <c r="AW269" s="442">
        <v>0</v>
      </c>
      <c r="AX269" s="372">
        <f t="shared" si="79"/>
        <v>0</v>
      </c>
      <c r="AY269" s="372">
        <f t="shared" si="82"/>
        <v>0</v>
      </c>
      <c r="AZ269" s="372">
        <f>IFERROR(AL269/'Ar-Pa'!AX269,0)</f>
        <v>0</v>
      </c>
      <c r="BA269" s="372">
        <f>IFERROR(AL269/'Ar-Pa'!AY269,0)</f>
        <v>0</v>
      </c>
      <c r="BB269" s="372">
        <f t="shared" si="83"/>
        <v>0</v>
      </c>
      <c r="BC269" s="372">
        <f>IFERROR(AVERAGEIF('DO Pilot'!AX269:BU269,"&gt;0"),0)</f>
        <v>0</v>
      </c>
      <c r="BD269" s="446"/>
      <c r="BE269" s="446"/>
      <c r="BF269" s="446"/>
      <c r="BG269" s="223">
        <f>Tabla1[[#This Row],[ Re. Gas GC
 '[m3']]]</f>
        <v>0</v>
      </c>
      <c r="BH269" s="150">
        <f>IFERROR((BG269*Gas!$B$4)/28.31685,0)</f>
        <v>0</v>
      </c>
      <c r="BI269" s="73">
        <f t="shared" si="80"/>
        <v>0</v>
      </c>
      <c r="BJ269" s="74">
        <f t="shared" si="87"/>
        <v>0</v>
      </c>
      <c r="BK269" s="223">
        <f t="shared" si="84"/>
        <v>0</v>
      </c>
      <c r="BL269" s="442">
        <v>8746.34</v>
      </c>
      <c r="BM269" s="70">
        <f t="shared" si="85"/>
        <v>0</v>
      </c>
      <c r="BN269" s="150">
        <f t="shared" si="70"/>
        <v>0</v>
      </c>
      <c r="BO269" s="373">
        <f>IFERROR(Tabla1[[#This Row],[ Re. Gas GC
 '[m3']]]/Tabla1[[#This Row],[G. HGS 
Con Gas '[kWh']]],0)</f>
        <v>0</v>
      </c>
      <c r="BP269" s="374">
        <f>Tank!Y270</f>
        <v>0</v>
      </c>
      <c r="BQ269" s="70">
        <f>Tank!AP270</f>
        <v>0</v>
      </c>
      <c r="BR269" s="70">
        <f>Tank!V270</f>
        <v>0</v>
      </c>
      <c r="BS269" s="372">
        <f>Tank!T270</f>
        <v>0</v>
      </c>
      <c r="BT269" s="375" t="s">
        <v>228</v>
      </c>
      <c r="BU269" s="452"/>
      <c r="BV269" s="376">
        <f>IF(Tabla1[[#This Row],[Combustible ofertado]]="GAS",Tabla1[[#This Row],[Disponibilidad]],0)</f>
        <v>0</v>
      </c>
      <c r="BW269" s="376">
        <f>IF(Tabla1[[#This Row],[Combustible ofertado]]="DIESEL",Tabla1[[#This Row],[Disponibilidad]],0)</f>
        <v>0</v>
      </c>
      <c r="BX269" s="376">
        <f>IF(Tabla1[[#This Row],[Combustible ofertado]]="HFO",Tabla1[[#This Row],[Disponibilidad]],0)</f>
        <v>0</v>
      </c>
      <c r="BY269" s="452"/>
      <c r="BZ269" s="446">
        <f>'Horo. M'!C270</f>
        <v>0</v>
      </c>
      <c r="CA269" s="446">
        <f>'Horo. M'!E270</f>
        <v>0</v>
      </c>
      <c r="CB269" s="446">
        <f>'Horo. M'!G270</f>
        <v>0</v>
      </c>
      <c r="CC269" s="446">
        <f>'Horo. M'!I270</f>
        <v>0</v>
      </c>
      <c r="CD269" s="446">
        <f>'Horo. M'!K270</f>
        <v>0</v>
      </c>
      <c r="CE269" s="446">
        <f>'Horo. M'!M270</f>
        <v>0</v>
      </c>
      <c r="CF269" s="446">
        <f>'Horo. M'!O270</f>
        <v>0</v>
      </c>
      <c r="CG269" s="446">
        <f>'Horo. M'!Q270</f>
        <v>0</v>
      </c>
      <c r="CH269" s="446">
        <f>'Horo. M'!S270</f>
        <v>0</v>
      </c>
      <c r="CI269" s="446">
        <f>'Horo. M'!U270</f>
        <v>0</v>
      </c>
      <c r="CJ269" s="70">
        <f>Tabla1[[#This Row],[Con. DO Storage '[gal']]]-Tabla1[[#This Row],[C. DO Storage Ge '[gal']]]</f>
        <v>0</v>
      </c>
      <c r="CK269" s="70"/>
      <c r="CL269" s="70"/>
      <c r="CM269" s="70">
        <f>Tabla1[[#This Row],[Con. DO Total '[gal']]]*131485.5/(1000000)</f>
        <v>0</v>
      </c>
    </row>
    <row r="270" spans="1:91" ht="15" customHeight="1">
      <c r="A270" s="362">
        <v>45195</v>
      </c>
      <c r="B270" s="363" t="str">
        <f>TEXT(Tabla1[[#This Row],[Fecha]],"mmmm")</f>
        <v>septiembre</v>
      </c>
      <c r="C270" s="364"/>
      <c r="D270" s="366"/>
      <c r="E270" s="366"/>
      <c r="F270" s="366"/>
      <c r="G270" s="377"/>
      <c r="H270" s="377"/>
      <c r="I270" s="378"/>
      <c r="J270" s="378"/>
      <c r="K270" s="366"/>
      <c r="L270" s="366"/>
      <c r="M270" s="365">
        <f>Tabla1[[#This Row],[Columna1]]-Tabla1[[#This Row],[PO '[h']]]</f>
        <v>0</v>
      </c>
      <c r="N270" s="366">
        <f t="shared" si="76"/>
        <v>0</v>
      </c>
      <c r="O270" s="365"/>
      <c r="P270" s="367">
        <f>Tabla1[[#This Row],[G. HGS 
'[MWh']]]</f>
        <v>0</v>
      </c>
      <c r="Q270" s="430">
        <v>0</v>
      </c>
      <c r="R270" s="367">
        <v>0</v>
      </c>
      <c r="S270" s="367">
        <f>Tabla1[[#This Row],[G. HGS 
Con Gas]]*1000</f>
        <v>0</v>
      </c>
      <c r="T270" s="365">
        <f>Tabla1[[#This Row],[G. HGS 
'[MWh']]]*1000</f>
        <v>0</v>
      </c>
      <c r="U270" s="368">
        <f>SUM('G. Un GE'!B270:Y270)</f>
        <v>0</v>
      </c>
      <c r="V270" s="369">
        <f>Tabla1[[#This Row],[R. GE
'[MWh']]]</f>
        <v>0</v>
      </c>
      <c r="W270" s="434">
        <v>0</v>
      </c>
      <c r="X270" s="369">
        <v>0</v>
      </c>
      <c r="Y270" s="365">
        <f>Tabla1[[#This Row],[R. GE
'[MWh']]]*1000</f>
        <v>0</v>
      </c>
      <c r="Z270" s="371"/>
      <c r="AA27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0" s="371">
        <f>IF(Tabla1[[#This Row],[G. HGS 
'[MWh']]]=0,0,Tabla1[[#This Row],[G. HGS 
'[MWh']]]+Tabla1[[#This Row],[Con. Aux. '[MWh']2]])</f>
        <v>0</v>
      </c>
      <c r="AC270" s="368">
        <f>'C. ENER. TN'!F270</f>
        <v>0</v>
      </c>
      <c r="AD270" s="370">
        <f>'C. ENER. TN'!G270</f>
        <v>0</v>
      </c>
      <c r="AE270" s="370">
        <f>'G. Un GE'!AX270</f>
        <v>0</v>
      </c>
      <c r="AF270" s="368">
        <f>IFERROR('G. Un GE'!AX270/Tabla1[[#This Row],[PO '[h']]],0)</f>
        <v>0</v>
      </c>
      <c r="AG270" s="365">
        <f>'Ar-Pa'!AX270</f>
        <v>0</v>
      </c>
      <c r="AH270" s="365">
        <f>'Ar-Pa'!AY270</f>
        <v>0</v>
      </c>
      <c r="AI270" s="366">
        <f>SUM('Cal. Arr'!AB273:AY273)</f>
        <v>0</v>
      </c>
      <c r="AJ270" s="442"/>
      <c r="AK270" s="443"/>
      <c r="AL270" s="372">
        <f t="shared" si="81"/>
        <v>0</v>
      </c>
      <c r="AM270" s="267">
        <f>+CONVERT(AK270+Tabla1[[#This Row],[Con. DO Storage Gen. '[m3']]],"m^3","gal")</f>
        <v>0</v>
      </c>
      <c r="AN270" s="372">
        <f>SUM('DO Pilot'!B270:Y270)</f>
        <v>0</v>
      </c>
      <c r="AO270" s="372">
        <f t="shared" si="77"/>
        <v>0</v>
      </c>
      <c r="AP270" s="267">
        <f>AK270+AN270+Tabla1[[#This Row],[Con. DO Storage Gen. '[m3']]]</f>
        <v>0</v>
      </c>
      <c r="AQ270" s="372">
        <f t="shared" si="86"/>
        <v>0</v>
      </c>
      <c r="AR270" s="443"/>
      <c r="AS270" s="443"/>
      <c r="AT270" s="267">
        <f>+CONVERT(SUM(Tabla1[[#This Row],[Repo. DO Storage '[gal']]:[Repo. DO Pilot '[gal']]]),"gal","m3")</f>
        <v>0</v>
      </c>
      <c r="AU270" s="442">
        <v>0</v>
      </c>
      <c r="AV270" s="372">
        <f t="shared" si="78"/>
        <v>0</v>
      </c>
      <c r="AW270" s="442">
        <v>0</v>
      </c>
      <c r="AX270" s="372">
        <f t="shared" si="79"/>
        <v>0</v>
      </c>
      <c r="AY270" s="372">
        <f t="shared" si="82"/>
        <v>0</v>
      </c>
      <c r="AZ270" s="372">
        <f>IFERROR(AL270/'Ar-Pa'!AX270,0)</f>
        <v>0</v>
      </c>
      <c r="BA270" s="372">
        <f>IFERROR(AL270/'Ar-Pa'!AY270,0)</f>
        <v>0</v>
      </c>
      <c r="BB270" s="372">
        <f t="shared" si="83"/>
        <v>0</v>
      </c>
      <c r="BC270" s="372">
        <f>IFERROR(AVERAGEIF('DO Pilot'!AX270:BU270,"&gt;0"),0)</f>
        <v>0</v>
      </c>
      <c r="BD270" s="446"/>
      <c r="BE270" s="446"/>
      <c r="BF270" s="446"/>
      <c r="BG270" s="223">
        <f>Tabla1[[#This Row],[ Re. Gas GC
 '[m3']]]</f>
        <v>0</v>
      </c>
      <c r="BH270" s="150">
        <f>IFERROR((BG270*Gas!$B$4)/28.31685,0)</f>
        <v>0</v>
      </c>
      <c r="BI270" s="73">
        <f t="shared" si="80"/>
        <v>0</v>
      </c>
      <c r="BJ270" s="74">
        <f t="shared" si="87"/>
        <v>0</v>
      </c>
      <c r="BK270" s="223">
        <f t="shared" si="84"/>
        <v>0</v>
      </c>
      <c r="BL270" s="442">
        <v>8897.57</v>
      </c>
      <c r="BM270" s="70">
        <f t="shared" si="85"/>
        <v>0</v>
      </c>
      <c r="BN270" s="150">
        <f t="shared" si="70"/>
        <v>0</v>
      </c>
      <c r="BO270" s="373">
        <f>IFERROR(Tabla1[[#This Row],[ Re. Gas GC
 '[m3']]]/Tabla1[[#This Row],[G. HGS 
Con Gas '[kWh']]],0)</f>
        <v>0</v>
      </c>
      <c r="BP270" s="374">
        <f>Tank!Y271</f>
        <v>0</v>
      </c>
      <c r="BQ270" s="70">
        <f>Tank!AP271</f>
        <v>0</v>
      </c>
      <c r="BR270" s="70">
        <f>Tank!V271</f>
        <v>0</v>
      </c>
      <c r="BS270" s="372">
        <f>Tank!T271</f>
        <v>0</v>
      </c>
      <c r="BT270" s="375" t="s">
        <v>228</v>
      </c>
      <c r="BU270" s="452"/>
      <c r="BV270" s="376">
        <f>IF(Tabla1[[#This Row],[Combustible ofertado]]="GAS",Tabla1[[#This Row],[Disponibilidad]],0)</f>
        <v>0</v>
      </c>
      <c r="BW270" s="376">
        <f>IF(Tabla1[[#This Row],[Combustible ofertado]]="DIESEL",Tabla1[[#This Row],[Disponibilidad]],0)</f>
        <v>0</v>
      </c>
      <c r="BX270" s="376">
        <f>IF(Tabla1[[#This Row],[Combustible ofertado]]="HFO",Tabla1[[#This Row],[Disponibilidad]],0)</f>
        <v>0</v>
      </c>
      <c r="BY270" s="452"/>
      <c r="BZ270" s="446">
        <f>'Horo. M'!C271</f>
        <v>0</v>
      </c>
      <c r="CA270" s="446">
        <f>'Horo. M'!E271</f>
        <v>0</v>
      </c>
      <c r="CB270" s="446">
        <f>'Horo. M'!G271</f>
        <v>0</v>
      </c>
      <c r="CC270" s="446">
        <f>'Horo. M'!I271</f>
        <v>0</v>
      </c>
      <c r="CD270" s="446">
        <f>'Horo. M'!K271</f>
        <v>0</v>
      </c>
      <c r="CE270" s="446">
        <f>'Horo. M'!M271</f>
        <v>0</v>
      </c>
      <c r="CF270" s="446">
        <f>'Horo. M'!O271</f>
        <v>0</v>
      </c>
      <c r="CG270" s="446">
        <f>'Horo. M'!Q271</f>
        <v>0</v>
      </c>
      <c r="CH270" s="446">
        <f>'Horo. M'!S271</f>
        <v>0</v>
      </c>
      <c r="CI270" s="446">
        <f>'Horo. M'!U271</f>
        <v>0</v>
      </c>
      <c r="CJ270" s="70">
        <f>Tabla1[[#This Row],[Con. DO Storage '[gal']]]-Tabla1[[#This Row],[C. DO Storage Ge '[gal']]]</f>
        <v>0</v>
      </c>
      <c r="CK270" s="70"/>
      <c r="CL270" s="70"/>
      <c r="CM270" s="70">
        <f>Tabla1[[#This Row],[Con. DO Total '[gal']]]*131485.5/(1000000)</f>
        <v>0</v>
      </c>
    </row>
    <row r="271" spans="1:91" ht="15" customHeight="1">
      <c r="A271" s="362">
        <v>45196</v>
      </c>
      <c r="B271" s="363" t="str">
        <f>TEXT(Tabla1[[#This Row],[Fecha]],"mmmm")</f>
        <v>septiembre</v>
      </c>
      <c r="C271" s="364"/>
      <c r="D271" s="366"/>
      <c r="E271" s="366"/>
      <c r="F271" s="366"/>
      <c r="G271" s="377"/>
      <c r="H271" s="377"/>
      <c r="I271" s="378"/>
      <c r="J271" s="378"/>
      <c r="K271" s="366"/>
      <c r="L271" s="366"/>
      <c r="M271" s="365">
        <f>Tabla1[[#This Row],[Columna1]]-Tabla1[[#This Row],[PO '[h']]]</f>
        <v>0</v>
      </c>
      <c r="N271" s="366">
        <f t="shared" si="76"/>
        <v>0</v>
      </c>
      <c r="O271" s="365"/>
      <c r="P271" s="367">
        <f>Tabla1[[#This Row],[G. HGS 
'[MWh']]]</f>
        <v>0</v>
      </c>
      <c r="Q271" s="430">
        <v>0</v>
      </c>
      <c r="R271" s="367">
        <v>0</v>
      </c>
      <c r="S271" s="367">
        <f>Tabla1[[#This Row],[G. HGS 
Con Gas]]*1000</f>
        <v>0</v>
      </c>
      <c r="T271" s="365">
        <f>Tabla1[[#This Row],[G. HGS 
'[MWh']]]*1000</f>
        <v>0</v>
      </c>
      <c r="U271" s="368">
        <f>SUM('G. Un GE'!B271:Y271)</f>
        <v>0</v>
      </c>
      <c r="V271" s="369">
        <f>Tabla1[[#This Row],[R. GE
'[MWh']]]</f>
        <v>0</v>
      </c>
      <c r="W271" s="434">
        <v>0</v>
      </c>
      <c r="X271" s="369">
        <v>0</v>
      </c>
      <c r="Y271" s="365">
        <f>Tabla1[[#This Row],[R. GE
'[MWh']]]*1000</f>
        <v>0</v>
      </c>
      <c r="Z271" s="371"/>
      <c r="AA27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1" s="371">
        <f>IF(Tabla1[[#This Row],[G. HGS 
'[MWh']]]=0,0,Tabla1[[#This Row],[G. HGS 
'[MWh']]]+Tabla1[[#This Row],[Con. Aux. '[MWh']2]])</f>
        <v>0</v>
      </c>
      <c r="AC271" s="368">
        <f>'C. ENER. TN'!F271</f>
        <v>0</v>
      </c>
      <c r="AD271" s="370">
        <f>'C. ENER. TN'!G271</f>
        <v>0</v>
      </c>
      <c r="AE271" s="370">
        <f>'G. Un GE'!AX271</f>
        <v>0</v>
      </c>
      <c r="AF271" s="368">
        <f>IFERROR('G. Un GE'!AX271/Tabla1[[#This Row],[PO '[h']]],0)</f>
        <v>0</v>
      </c>
      <c r="AG271" s="365">
        <f>'Ar-Pa'!AX271</f>
        <v>0</v>
      </c>
      <c r="AH271" s="365">
        <f>'Ar-Pa'!AY271</f>
        <v>0</v>
      </c>
      <c r="AI271" s="366">
        <f>SUM('Cal. Arr'!AB274:AY274)</f>
        <v>0</v>
      </c>
      <c r="AJ271" s="442"/>
      <c r="AK271" s="443"/>
      <c r="AL271" s="372">
        <f t="shared" si="81"/>
        <v>0</v>
      </c>
      <c r="AM271" s="267">
        <f>+CONVERT(AK271+Tabla1[[#This Row],[Con. DO Storage Gen. '[m3']]],"m^3","gal")</f>
        <v>0</v>
      </c>
      <c r="AN271" s="372">
        <f>SUM('DO Pilot'!B271:Y271)</f>
        <v>0</v>
      </c>
      <c r="AO271" s="372">
        <f t="shared" si="77"/>
        <v>0</v>
      </c>
      <c r="AP271" s="267">
        <f>AK271+AN271+Tabla1[[#This Row],[Con. DO Storage Gen. '[m3']]]</f>
        <v>0</v>
      </c>
      <c r="AQ271" s="372">
        <f t="shared" si="86"/>
        <v>0</v>
      </c>
      <c r="AR271" s="443"/>
      <c r="AS271" s="443"/>
      <c r="AT271" s="267">
        <f>+CONVERT(SUM(Tabla1[[#This Row],[Repo. DO Storage '[gal']]:[Repo. DO Pilot '[gal']]]),"gal","m3")</f>
        <v>0</v>
      </c>
      <c r="AU271" s="442">
        <v>0</v>
      </c>
      <c r="AV271" s="372">
        <f t="shared" si="78"/>
        <v>0</v>
      </c>
      <c r="AW271" s="442">
        <v>0</v>
      </c>
      <c r="AX271" s="372">
        <f t="shared" si="79"/>
        <v>0</v>
      </c>
      <c r="AY271" s="372">
        <f t="shared" si="82"/>
        <v>0</v>
      </c>
      <c r="AZ271" s="372">
        <f>IFERROR(AL271/'Ar-Pa'!AX271,0)</f>
        <v>0</v>
      </c>
      <c r="BA271" s="372">
        <f>IFERROR(AL271/'Ar-Pa'!AY271,0)</f>
        <v>0</v>
      </c>
      <c r="BB271" s="372">
        <f t="shared" si="83"/>
        <v>0</v>
      </c>
      <c r="BC271" s="372">
        <f>IFERROR(AVERAGEIF('DO Pilot'!AX271:BU271,"&gt;0"),0)</f>
        <v>0</v>
      </c>
      <c r="BD271" s="446"/>
      <c r="BE271" s="446"/>
      <c r="BF271" s="446"/>
      <c r="BG271" s="223">
        <f>Tabla1[[#This Row],[ Re. Gas GC
 '[m3']]]</f>
        <v>0</v>
      </c>
      <c r="BH271" s="150">
        <f>IFERROR((BG271*Gas!$B$4)/28.31685,0)</f>
        <v>0</v>
      </c>
      <c r="BI271" s="73">
        <f t="shared" si="80"/>
        <v>0</v>
      </c>
      <c r="BJ271" s="74">
        <f t="shared" si="87"/>
        <v>0</v>
      </c>
      <c r="BK271" s="223">
        <f t="shared" si="84"/>
        <v>0</v>
      </c>
      <c r="BL271" s="442">
        <v>8845.27</v>
      </c>
      <c r="BM271" s="70">
        <f t="shared" si="85"/>
        <v>0</v>
      </c>
      <c r="BN271" s="150">
        <f t="shared" si="70"/>
        <v>0</v>
      </c>
      <c r="BO271" s="373">
        <f>IFERROR(Tabla1[[#This Row],[ Re. Gas GC
 '[m3']]]/Tabla1[[#This Row],[G. HGS 
Con Gas '[kWh']]],0)</f>
        <v>0</v>
      </c>
      <c r="BP271" s="374">
        <f>Tank!Y272</f>
        <v>0</v>
      </c>
      <c r="BQ271" s="70">
        <f>Tank!AP272</f>
        <v>0</v>
      </c>
      <c r="BR271" s="70">
        <f>Tank!V272</f>
        <v>0</v>
      </c>
      <c r="BS271" s="372">
        <f>Tank!T272</f>
        <v>0</v>
      </c>
      <c r="BT271" s="375" t="s">
        <v>228</v>
      </c>
      <c r="BU271" s="452"/>
      <c r="BV271" s="376">
        <f>IF(Tabla1[[#This Row],[Combustible ofertado]]="GAS",Tabla1[[#This Row],[Disponibilidad]],0)</f>
        <v>0</v>
      </c>
      <c r="BW271" s="376">
        <f>IF(Tabla1[[#This Row],[Combustible ofertado]]="DIESEL",Tabla1[[#This Row],[Disponibilidad]],0)</f>
        <v>0</v>
      </c>
      <c r="BX271" s="376">
        <f>IF(Tabla1[[#This Row],[Combustible ofertado]]="HFO",Tabla1[[#This Row],[Disponibilidad]],0)</f>
        <v>0</v>
      </c>
      <c r="BY271" s="452"/>
      <c r="BZ271" s="446">
        <f>'Horo. M'!C272</f>
        <v>0</v>
      </c>
      <c r="CA271" s="446">
        <f>'Horo. M'!E272</f>
        <v>0</v>
      </c>
      <c r="CB271" s="446">
        <f>'Horo. M'!G272</f>
        <v>0</v>
      </c>
      <c r="CC271" s="446">
        <f>'Horo. M'!I272</f>
        <v>0</v>
      </c>
      <c r="CD271" s="446">
        <f>'Horo. M'!K272</f>
        <v>0</v>
      </c>
      <c r="CE271" s="446">
        <f>'Horo. M'!M272</f>
        <v>0</v>
      </c>
      <c r="CF271" s="446">
        <f>'Horo. M'!O272</f>
        <v>0</v>
      </c>
      <c r="CG271" s="446">
        <f>'Horo. M'!Q272</f>
        <v>0</v>
      </c>
      <c r="CH271" s="446">
        <f>'Horo. M'!S272</f>
        <v>0</v>
      </c>
      <c r="CI271" s="446">
        <f>'Horo. M'!U272</f>
        <v>0</v>
      </c>
      <c r="CJ271" s="70">
        <f>Tabla1[[#This Row],[Con. DO Storage '[gal']]]-Tabla1[[#This Row],[C. DO Storage Ge '[gal']]]</f>
        <v>0</v>
      </c>
      <c r="CK271" s="70"/>
      <c r="CL271" s="70"/>
      <c r="CM271" s="70">
        <f>Tabla1[[#This Row],[Con. DO Total '[gal']]]*131485.5/(1000000)</f>
        <v>0</v>
      </c>
    </row>
    <row r="272" spans="1:91" ht="15" customHeight="1">
      <c r="A272" s="362">
        <v>45197</v>
      </c>
      <c r="B272" s="363" t="str">
        <f>TEXT(Tabla1[[#This Row],[Fecha]],"mmmm")</f>
        <v>septiembre</v>
      </c>
      <c r="C272" s="364"/>
      <c r="D272" s="366"/>
      <c r="E272" s="366"/>
      <c r="F272" s="366"/>
      <c r="G272" s="377"/>
      <c r="H272" s="377"/>
      <c r="I272" s="378"/>
      <c r="J272" s="378"/>
      <c r="K272" s="366"/>
      <c r="L272" s="366"/>
      <c r="M272" s="365">
        <f>Tabla1[[#This Row],[Columna1]]-Tabla1[[#This Row],[PO '[h']]]</f>
        <v>0</v>
      </c>
      <c r="N272" s="366">
        <f t="shared" si="76"/>
        <v>0</v>
      </c>
      <c r="O272" s="365"/>
      <c r="P272" s="367">
        <f>Tabla1[[#This Row],[G. HGS 
'[MWh']]]</f>
        <v>0</v>
      </c>
      <c r="Q272" s="430">
        <v>0</v>
      </c>
      <c r="R272" s="367">
        <v>0</v>
      </c>
      <c r="S272" s="367">
        <f>Tabla1[[#This Row],[G. HGS 
Con Gas]]*1000</f>
        <v>0</v>
      </c>
      <c r="T272" s="365">
        <f>Tabla1[[#This Row],[G. HGS 
'[MWh']]]*1000</f>
        <v>0</v>
      </c>
      <c r="U272" s="368">
        <f>SUM('G. Un GE'!B272:Y272)</f>
        <v>0</v>
      </c>
      <c r="V272" s="369">
        <f>Tabla1[[#This Row],[R. GE
'[MWh']]]</f>
        <v>0</v>
      </c>
      <c r="W272" s="434">
        <v>0</v>
      </c>
      <c r="X272" s="369">
        <v>0</v>
      </c>
      <c r="Y272" s="365">
        <f>Tabla1[[#This Row],[R. GE
'[MWh']]]*1000</f>
        <v>0</v>
      </c>
      <c r="Z272" s="371"/>
      <c r="AA27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2" s="371">
        <f>IF(Tabla1[[#This Row],[G. HGS 
'[MWh']]]=0,0,Tabla1[[#This Row],[G. HGS 
'[MWh']]]+Tabla1[[#This Row],[Con. Aux. '[MWh']2]])</f>
        <v>0</v>
      </c>
      <c r="AC272" s="368">
        <f>'C. ENER. TN'!F272</f>
        <v>0</v>
      </c>
      <c r="AD272" s="370">
        <f>'C. ENER. TN'!G272</f>
        <v>0</v>
      </c>
      <c r="AE272" s="370">
        <f>'G. Un GE'!AX272</f>
        <v>0</v>
      </c>
      <c r="AF272" s="368">
        <f>IFERROR('G. Un GE'!AX272/Tabla1[[#This Row],[PO '[h']]],0)</f>
        <v>0</v>
      </c>
      <c r="AG272" s="365">
        <f>'Ar-Pa'!AX272</f>
        <v>0</v>
      </c>
      <c r="AH272" s="365">
        <f>'Ar-Pa'!AY272</f>
        <v>0</v>
      </c>
      <c r="AI272" s="366">
        <f>SUM('Cal. Arr'!AB275:AY275)</f>
        <v>0</v>
      </c>
      <c r="AJ272" s="442"/>
      <c r="AK272" s="443"/>
      <c r="AL272" s="372">
        <f t="shared" si="81"/>
        <v>0</v>
      </c>
      <c r="AM272" s="267">
        <f>+CONVERT(AK272+Tabla1[[#This Row],[Con. DO Storage Gen. '[m3']]],"m^3","gal")</f>
        <v>0</v>
      </c>
      <c r="AN272" s="372">
        <f>SUM('DO Pilot'!B272:Y272)</f>
        <v>0</v>
      </c>
      <c r="AO272" s="372">
        <f t="shared" si="77"/>
        <v>0</v>
      </c>
      <c r="AP272" s="267">
        <f>AK272+AN272+Tabla1[[#This Row],[Con. DO Storage Gen. '[m3']]]</f>
        <v>0</v>
      </c>
      <c r="AQ272" s="372">
        <f t="shared" si="86"/>
        <v>0</v>
      </c>
      <c r="AR272" s="443"/>
      <c r="AS272" s="443"/>
      <c r="AT272" s="267">
        <f>+CONVERT(SUM(Tabla1[[#This Row],[Repo. DO Storage '[gal']]:[Repo. DO Pilot '[gal']]]),"gal","m3")</f>
        <v>0</v>
      </c>
      <c r="AU272" s="442">
        <v>0</v>
      </c>
      <c r="AV272" s="372">
        <f t="shared" si="78"/>
        <v>0</v>
      </c>
      <c r="AW272" s="442">
        <v>0</v>
      </c>
      <c r="AX272" s="372">
        <f t="shared" si="79"/>
        <v>0</v>
      </c>
      <c r="AY272" s="372">
        <f t="shared" si="82"/>
        <v>0</v>
      </c>
      <c r="AZ272" s="372">
        <f>IFERROR(AL272/'Ar-Pa'!AX272,0)</f>
        <v>0</v>
      </c>
      <c r="BA272" s="372">
        <f>IFERROR(AL272/'Ar-Pa'!AY272,0)</f>
        <v>0</v>
      </c>
      <c r="BB272" s="372">
        <f t="shared" si="83"/>
        <v>0</v>
      </c>
      <c r="BC272" s="372">
        <f>IFERROR(AVERAGEIF('DO Pilot'!AX272:BU272,"&gt;0"),0)</f>
        <v>0</v>
      </c>
      <c r="BD272" s="446"/>
      <c r="BE272" s="446"/>
      <c r="BF272" s="446"/>
      <c r="BG272" s="223">
        <f>Tabla1[[#This Row],[ Re. Gas GC
 '[m3']]]</f>
        <v>0</v>
      </c>
      <c r="BH272" s="150">
        <f>IFERROR((BG272*Gas!$B$4)/28.31685,0)</f>
        <v>0</v>
      </c>
      <c r="BI272" s="73">
        <f t="shared" si="80"/>
        <v>0</v>
      </c>
      <c r="BJ272" s="74">
        <f t="shared" si="87"/>
        <v>0</v>
      </c>
      <c r="BK272" s="223">
        <f t="shared" si="84"/>
        <v>0</v>
      </c>
      <c r="BL272" s="442">
        <v>8911.2999999999993</v>
      </c>
      <c r="BM272" s="70">
        <f t="shared" si="85"/>
        <v>0</v>
      </c>
      <c r="BN272" s="150">
        <f t="shared" ref="BN272:BN335" si="88">IFERROR((BH272/V272)*1000,0)</f>
        <v>0</v>
      </c>
      <c r="BO272" s="373">
        <f>IFERROR(Tabla1[[#This Row],[ Re. Gas GC
 '[m3']]]/Tabla1[[#This Row],[G. HGS 
Con Gas '[kWh']]],0)</f>
        <v>0</v>
      </c>
      <c r="BP272" s="374">
        <f>Tank!Y273</f>
        <v>0</v>
      </c>
      <c r="BQ272" s="70">
        <f>Tank!AP273</f>
        <v>0</v>
      </c>
      <c r="BR272" s="70">
        <f>Tank!V273</f>
        <v>0</v>
      </c>
      <c r="BS272" s="372">
        <f>Tank!T273</f>
        <v>0</v>
      </c>
      <c r="BT272" s="375" t="s">
        <v>228</v>
      </c>
      <c r="BU272" s="452"/>
      <c r="BV272" s="376">
        <f>IF(Tabla1[[#This Row],[Combustible ofertado]]="GAS",Tabla1[[#This Row],[Disponibilidad]],0)</f>
        <v>0</v>
      </c>
      <c r="BW272" s="376">
        <f>IF(Tabla1[[#This Row],[Combustible ofertado]]="DIESEL",Tabla1[[#This Row],[Disponibilidad]],0)</f>
        <v>0</v>
      </c>
      <c r="BX272" s="376">
        <f>IF(Tabla1[[#This Row],[Combustible ofertado]]="HFO",Tabla1[[#This Row],[Disponibilidad]],0)</f>
        <v>0</v>
      </c>
      <c r="BY272" s="452"/>
      <c r="BZ272" s="446">
        <f>'Horo. M'!C273</f>
        <v>0</v>
      </c>
      <c r="CA272" s="446">
        <f>'Horo. M'!E273</f>
        <v>0</v>
      </c>
      <c r="CB272" s="446">
        <f>'Horo. M'!G273</f>
        <v>0</v>
      </c>
      <c r="CC272" s="446">
        <f>'Horo. M'!I273</f>
        <v>0</v>
      </c>
      <c r="CD272" s="446">
        <f>'Horo. M'!K273</f>
        <v>0</v>
      </c>
      <c r="CE272" s="446">
        <f>'Horo. M'!M273</f>
        <v>0</v>
      </c>
      <c r="CF272" s="446">
        <f>'Horo. M'!O273</f>
        <v>0</v>
      </c>
      <c r="CG272" s="446">
        <f>'Horo. M'!Q273</f>
        <v>0</v>
      </c>
      <c r="CH272" s="446">
        <f>'Horo. M'!S273</f>
        <v>0</v>
      </c>
      <c r="CI272" s="446">
        <f>'Horo. M'!U273</f>
        <v>0</v>
      </c>
      <c r="CJ272" s="70">
        <f>Tabla1[[#This Row],[Con. DO Storage '[gal']]]-Tabla1[[#This Row],[C. DO Storage Ge '[gal']]]</f>
        <v>0</v>
      </c>
      <c r="CK272" s="70"/>
      <c r="CL272" s="70"/>
      <c r="CM272" s="70">
        <f>Tabla1[[#This Row],[Con. DO Total '[gal']]]*131485.5/(1000000)</f>
        <v>0</v>
      </c>
    </row>
    <row r="273" spans="1:91" ht="15" customHeight="1">
      <c r="A273" s="362">
        <v>45198</v>
      </c>
      <c r="B273" s="363" t="str">
        <f>TEXT(Tabla1[[#This Row],[Fecha]],"mmmm")</f>
        <v>septiembre</v>
      </c>
      <c r="C273" s="364"/>
      <c r="D273" s="366"/>
      <c r="E273" s="366"/>
      <c r="F273" s="366"/>
      <c r="G273" s="377"/>
      <c r="H273" s="377"/>
      <c r="I273" s="378"/>
      <c r="J273" s="378"/>
      <c r="K273" s="366"/>
      <c r="L273" s="366"/>
      <c r="M273" s="365">
        <f>Tabla1[[#This Row],[Columna1]]-Tabla1[[#This Row],[PO '[h']]]</f>
        <v>0</v>
      </c>
      <c r="N273" s="366">
        <f t="shared" si="76"/>
        <v>0</v>
      </c>
      <c r="O273" s="365"/>
      <c r="P273" s="367">
        <f>Tabla1[[#This Row],[G. HGS 
'[MWh']]]</f>
        <v>0</v>
      </c>
      <c r="Q273" s="430">
        <v>0</v>
      </c>
      <c r="R273" s="367">
        <v>0</v>
      </c>
      <c r="S273" s="367">
        <f>Tabla1[[#This Row],[G. HGS 
Con Gas]]*1000</f>
        <v>0</v>
      </c>
      <c r="T273" s="365">
        <f>Tabla1[[#This Row],[G. HGS 
'[MWh']]]*1000</f>
        <v>0</v>
      </c>
      <c r="U273" s="368">
        <f>SUM('G. Un GE'!B273:Y273)</f>
        <v>0</v>
      </c>
      <c r="V273" s="369">
        <f>Tabla1[[#This Row],[R. GE
'[MWh']]]</f>
        <v>0</v>
      </c>
      <c r="W273" s="434">
        <v>0</v>
      </c>
      <c r="X273" s="369">
        <v>0</v>
      </c>
      <c r="Y273" s="365">
        <f>Tabla1[[#This Row],[R. GE
'[MWh']]]*1000</f>
        <v>0</v>
      </c>
      <c r="Z273" s="371"/>
      <c r="AA27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3" s="371">
        <f>IF(Tabla1[[#This Row],[G. HGS 
'[MWh']]]=0,0,Tabla1[[#This Row],[G. HGS 
'[MWh']]]+Tabla1[[#This Row],[Con. Aux. '[MWh']2]])</f>
        <v>0</v>
      </c>
      <c r="AC273" s="368">
        <f>'C. ENER. TN'!F273</f>
        <v>0</v>
      </c>
      <c r="AD273" s="370">
        <f>'C. ENER. TN'!G273</f>
        <v>0</v>
      </c>
      <c r="AE273" s="370">
        <f>'G. Un GE'!AX273</f>
        <v>0</v>
      </c>
      <c r="AF273" s="368">
        <f>IFERROR('G. Un GE'!AX273/Tabla1[[#This Row],[PO '[h']]],0)</f>
        <v>0</v>
      </c>
      <c r="AG273" s="365">
        <f>'Ar-Pa'!AX273</f>
        <v>0</v>
      </c>
      <c r="AH273" s="365">
        <f>'Ar-Pa'!AY273</f>
        <v>0</v>
      </c>
      <c r="AI273" s="366">
        <f>SUM('Cal. Arr'!AB276:AY276)</f>
        <v>0</v>
      </c>
      <c r="AJ273" s="442"/>
      <c r="AK273" s="443"/>
      <c r="AL273" s="372">
        <f t="shared" si="81"/>
        <v>0</v>
      </c>
      <c r="AM273" s="267">
        <f>+CONVERT(AK273+Tabla1[[#This Row],[Con. DO Storage Gen. '[m3']]],"m^3","gal")</f>
        <v>0</v>
      </c>
      <c r="AN273" s="372">
        <f>SUM('DO Pilot'!B273:Y273)</f>
        <v>0</v>
      </c>
      <c r="AO273" s="372">
        <f t="shared" si="77"/>
        <v>0</v>
      </c>
      <c r="AP273" s="267">
        <f>AK273+AN273+Tabla1[[#This Row],[Con. DO Storage Gen. '[m3']]]</f>
        <v>0</v>
      </c>
      <c r="AQ273" s="372">
        <f t="shared" si="86"/>
        <v>0</v>
      </c>
      <c r="AR273" s="443"/>
      <c r="AS273" s="443"/>
      <c r="AT273" s="267">
        <f>+CONVERT(SUM(Tabla1[[#This Row],[Repo. DO Storage '[gal']]:[Repo. DO Pilot '[gal']]]),"gal","m3")</f>
        <v>0</v>
      </c>
      <c r="AU273" s="442">
        <v>0</v>
      </c>
      <c r="AV273" s="372">
        <f t="shared" si="78"/>
        <v>0</v>
      </c>
      <c r="AW273" s="442">
        <v>0</v>
      </c>
      <c r="AX273" s="372">
        <f t="shared" si="79"/>
        <v>0</v>
      </c>
      <c r="AY273" s="372">
        <f t="shared" si="82"/>
        <v>0</v>
      </c>
      <c r="AZ273" s="372">
        <f>IFERROR(AL273/'Ar-Pa'!AX273,0)</f>
        <v>0</v>
      </c>
      <c r="BA273" s="372">
        <f>IFERROR(AL273/'Ar-Pa'!AY273,0)</f>
        <v>0</v>
      </c>
      <c r="BB273" s="372">
        <f t="shared" si="83"/>
        <v>0</v>
      </c>
      <c r="BC273" s="372">
        <f>IFERROR(AVERAGEIF('DO Pilot'!AX273:BU273,"&gt;0"),0)</f>
        <v>0</v>
      </c>
      <c r="BD273" s="446"/>
      <c r="BE273" s="446"/>
      <c r="BF273" s="446"/>
      <c r="BG273" s="223">
        <f>Tabla1[[#This Row],[ Re. Gas GC
 '[m3']]]</f>
        <v>0</v>
      </c>
      <c r="BH273" s="150">
        <f>IFERROR((BG273*Gas!$B$4)/28.31685,0)</f>
        <v>0</v>
      </c>
      <c r="BI273" s="73">
        <f t="shared" si="80"/>
        <v>0</v>
      </c>
      <c r="BJ273" s="74">
        <f t="shared" si="87"/>
        <v>0</v>
      </c>
      <c r="BK273" s="223">
        <f t="shared" si="84"/>
        <v>0</v>
      </c>
      <c r="BL273" s="442">
        <v>8791.2800000000007</v>
      </c>
      <c r="BM273" s="70">
        <f t="shared" si="85"/>
        <v>0</v>
      </c>
      <c r="BN273" s="150">
        <f t="shared" si="88"/>
        <v>0</v>
      </c>
      <c r="BO273" s="373">
        <f>IFERROR(Tabla1[[#This Row],[ Re. Gas GC
 '[m3']]]/Tabla1[[#This Row],[G. HGS 
Con Gas '[kWh']]],0)</f>
        <v>0</v>
      </c>
      <c r="BP273" s="374">
        <f>Tank!Y274</f>
        <v>0</v>
      </c>
      <c r="BQ273" s="70">
        <f>Tank!AP274</f>
        <v>0</v>
      </c>
      <c r="BR273" s="70">
        <f>Tank!V274</f>
        <v>0</v>
      </c>
      <c r="BS273" s="372">
        <f>Tank!T274</f>
        <v>0</v>
      </c>
      <c r="BT273" s="375" t="s">
        <v>228</v>
      </c>
      <c r="BU273" s="452"/>
      <c r="BV273" s="376">
        <f>IF(Tabla1[[#This Row],[Combustible ofertado]]="GAS",Tabla1[[#This Row],[Disponibilidad]],0)</f>
        <v>0</v>
      </c>
      <c r="BW273" s="376">
        <f>IF(Tabla1[[#This Row],[Combustible ofertado]]="DIESEL",Tabla1[[#This Row],[Disponibilidad]],0)</f>
        <v>0</v>
      </c>
      <c r="BX273" s="376">
        <f>IF(Tabla1[[#This Row],[Combustible ofertado]]="HFO",Tabla1[[#This Row],[Disponibilidad]],0)</f>
        <v>0</v>
      </c>
      <c r="BY273" s="452"/>
      <c r="BZ273" s="446">
        <f>'Horo. M'!C274</f>
        <v>0</v>
      </c>
      <c r="CA273" s="446">
        <f>'Horo. M'!E274</f>
        <v>0</v>
      </c>
      <c r="CB273" s="446">
        <f>'Horo. M'!G274</f>
        <v>0</v>
      </c>
      <c r="CC273" s="446">
        <f>'Horo. M'!I274</f>
        <v>0</v>
      </c>
      <c r="CD273" s="446">
        <f>'Horo. M'!K274</f>
        <v>0</v>
      </c>
      <c r="CE273" s="446">
        <f>'Horo. M'!M274</f>
        <v>0</v>
      </c>
      <c r="CF273" s="446">
        <f>'Horo. M'!O274</f>
        <v>0</v>
      </c>
      <c r="CG273" s="446">
        <f>'Horo. M'!Q274</f>
        <v>0</v>
      </c>
      <c r="CH273" s="446">
        <f>'Horo. M'!S274</f>
        <v>0</v>
      </c>
      <c r="CI273" s="446">
        <f>'Horo. M'!U274</f>
        <v>0</v>
      </c>
      <c r="CJ273" s="70">
        <f>Tabla1[[#This Row],[Con. DO Storage '[gal']]]-Tabla1[[#This Row],[C. DO Storage Ge '[gal']]]</f>
        <v>0</v>
      </c>
      <c r="CK273" s="70"/>
      <c r="CL273" s="70"/>
      <c r="CM273" s="70">
        <f>Tabla1[[#This Row],[Con. DO Total '[gal']]]*131485.5/(1000000)</f>
        <v>0</v>
      </c>
    </row>
    <row r="274" spans="1:91" ht="15" customHeight="1">
      <c r="A274" s="362">
        <v>45199</v>
      </c>
      <c r="B274" s="363" t="str">
        <f>TEXT(Tabla1[[#This Row],[Fecha]],"mmmm")</f>
        <v>septiembre</v>
      </c>
      <c r="C274" s="364"/>
      <c r="D274" s="366"/>
      <c r="E274" s="366"/>
      <c r="F274" s="366"/>
      <c r="G274" s="377"/>
      <c r="H274" s="377"/>
      <c r="I274" s="378"/>
      <c r="J274" s="378"/>
      <c r="K274" s="366"/>
      <c r="L274" s="366"/>
      <c r="M274" s="365">
        <f>Tabla1[[#This Row],[Columna1]]-Tabla1[[#This Row],[PO '[h']]]</f>
        <v>0</v>
      </c>
      <c r="N274" s="366">
        <f>F274+H274+J274</f>
        <v>0</v>
      </c>
      <c r="O274" s="365"/>
      <c r="P274" s="367">
        <f>Tabla1[[#This Row],[G. HGS 
'[MWh']]]</f>
        <v>0</v>
      </c>
      <c r="Q274" s="430">
        <v>0</v>
      </c>
      <c r="R274" s="367">
        <v>0</v>
      </c>
      <c r="S274" s="367">
        <f>Tabla1[[#This Row],[G. HGS 
Con Gas]]*1000</f>
        <v>0</v>
      </c>
      <c r="T274" s="365">
        <f>Tabla1[[#This Row],[G. HGS 
'[MWh']]]*1000</f>
        <v>0</v>
      </c>
      <c r="U274" s="368">
        <f>SUM('G. Un GE'!B274:Y274)</f>
        <v>0</v>
      </c>
      <c r="V274" s="369">
        <f>Tabla1[[#This Row],[R. GE
'[MWh']]]</f>
        <v>0</v>
      </c>
      <c r="W274" s="434">
        <v>0</v>
      </c>
      <c r="X274" s="369">
        <v>0</v>
      </c>
      <c r="Y274" s="365">
        <f>Tabla1[[#This Row],[R. GE
'[MWh']]]*1000</f>
        <v>0</v>
      </c>
      <c r="Z274" s="371"/>
      <c r="AA27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4" s="371">
        <f>IF(Tabla1[[#This Row],[G. HGS 
'[MWh']]]=0,0,Tabla1[[#This Row],[G. HGS 
'[MWh']]]+Tabla1[[#This Row],[Con. Aux. '[MWh']2]])</f>
        <v>0</v>
      </c>
      <c r="AC274" s="368">
        <f>'C. ENER. TN'!F274</f>
        <v>0</v>
      </c>
      <c r="AD274" s="370">
        <f>'C. ENER. TN'!G274</f>
        <v>0</v>
      </c>
      <c r="AE274" s="370">
        <f>'G. Un GE'!AX274</f>
        <v>0</v>
      </c>
      <c r="AF274" s="368">
        <f>IFERROR('G. Un GE'!AX274/Tabla1[[#This Row],[PO '[h']]],0)</f>
        <v>0</v>
      </c>
      <c r="AG274" s="365">
        <f>'Ar-Pa'!AX274</f>
        <v>0</v>
      </c>
      <c r="AH274" s="365">
        <f>'Ar-Pa'!AY274</f>
        <v>0</v>
      </c>
      <c r="AI274" s="366">
        <f>SUM('Cal. Arr'!AB277:AY277)</f>
        <v>0</v>
      </c>
      <c r="AJ274" s="442"/>
      <c r="AK274" s="443"/>
      <c r="AL274" s="372">
        <f t="shared" si="81"/>
        <v>0</v>
      </c>
      <c r="AM274" s="267">
        <f>+CONVERT(AK274+Tabla1[[#This Row],[Con. DO Storage Gen. '[m3']]],"m^3","gal")</f>
        <v>0</v>
      </c>
      <c r="AN274" s="372">
        <f>SUM('DO Pilot'!B274:Y274)</f>
        <v>0</v>
      </c>
      <c r="AO274" s="372">
        <f t="shared" si="77"/>
        <v>0</v>
      </c>
      <c r="AP274" s="267">
        <f>AK274+AN274+Tabla1[[#This Row],[Con. DO Storage Gen. '[m3']]]</f>
        <v>0</v>
      </c>
      <c r="AQ274" s="372">
        <f t="shared" si="86"/>
        <v>0</v>
      </c>
      <c r="AR274" s="443"/>
      <c r="AS274" s="443"/>
      <c r="AT274" s="267">
        <f>+CONVERT(SUM(Tabla1[[#This Row],[Repo. DO Storage '[gal']]:[Repo. DO Pilot '[gal']]]),"gal","m3")</f>
        <v>0</v>
      </c>
      <c r="AU274" s="442">
        <v>0</v>
      </c>
      <c r="AV274" s="372">
        <f t="shared" si="78"/>
        <v>0</v>
      </c>
      <c r="AW274" s="442">
        <v>0</v>
      </c>
      <c r="AX274" s="372">
        <f t="shared" si="79"/>
        <v>0</v>
      </c>
      <c r="AY274" s="372">
        <f t="shared" si="82"/>
        <v>0</v>
      </c>
      <c r="AZ274" s="372">
        <f>IFERROR(AL274/'Ar-Pa'!AX274,0)</f>
        <v>0</v>
      </c>
      <c r="BA274" s="372">
        <f>IFERROR(AL274/'Ar-Pa'!AY274,0)</f>
        <v>0</v>
      </c>
      <c r="BB274" s="372">
        <f t="shared" si="83"/>
        <v>0</v>
      </c>
      <c r="BC274" s="372">
        <f>IFERROR(AVERAGEIF('DO Pilot'!AX274:BU274,"&gt;0"),0)</f>
        <v>0</v>
      </c>
      <c r="BD274" s="446"/>
      <c r="BE274" s="446"/>
      <c r="BF274" s="446"/>
      <c r="BG274" s="223">
        <f>Tabla1[[#This Row],[ Re. Gas GC
 '[m3']]]</f>
        <v>0</v>
      </c>
      <c r="BH274" s="150">
        <f>IFERROR((BG274*Gas!$B$4)/28.31685,0)</f>
        <v>0</v>
      </c>
      <c r="BI274" s="73">
        <f t="shared" si="80"/>
        <v>0</v>
      </c>
      <c r="BJ274" s="74">
        <f t="shared" si="87"/>
        <v>0</v>
      </c>
      <c r="BK274" s="223">
        <f t="shared" si="84"/>
        <v>0</v>
      </c>
      <c r="BL274" s="442">
        <v>10411.57</v>
      </c>
      <c r="BM274" s="70">
        <f t="shared" si="85"/>
        <v>0</v>
      </c>
      <c r="BN274" s="150">
        <f t="shared" si="88"/>
        <v>0</v>
      </c>
      <c r="BO274" s="373">
        <f>IFERROR(Tabla1[[#This Row],[ Re. Gas GC
 '[m3']]]/Tabla1[[#This Row],[G. HGS 
Con Gas '[kWh']]],0)</f>
        <v>0</v>
      </c>
      <c r="BP274" s="374">
        <f>Tank!Y275</f>
        <v>0</v>
      </c>
      <c r="BQ274" s="70">
        <f>Tank!AP275</f>
        <v>0</v>
      </c>
      <c r="BR274" s="70">
        <f>Tank!V275</f>
        <v>0</v>
      </c>
      <c r="BS274" s="372">
        <f>Tank!T275</f>
        <v>0</v>
      </c>
      <c r="BT274" s="375" t="s">
        <v>228</v>
      </c>
      <c r="BU274" s="452"/>
      <c r="BV274" s="376">
        <f>IF(Tabla1[[#This Row],[Combustible ofertado]]="GAS",Tabla1[[#This Row],[Disponibilidad]],0)</f>
        <v>0</v>
      </c>
      <c r="BW274" s="376">
        <f>IF(Tabla1[[#This Row],[Combustible ofertado]]="DIESEL",Tabla1[[#This Row],[Disponibilidad]],0)</f>
        <v>0</v>
      </c>
      <c r="BX274" s="376">
        <f>IF(Tabla1[[#This Row],[Combustible ofertado]]="HFO",Tabla1[[#This Row],[Disponibilidad]],0)</f>
        <v>0</v>
      </c>
      <c r="BY274" s="452"/>
      <c r="BZ274" s="446">
        <f>'Horo. M'!C275</f>
        <v>0</v>
      </c>
      <c r="CA274" s="446">
        <f>'Horo. M'!E275</f>
        <v>0</v>
      </c>
      <c r="CB274" s="446">
        <f>'Horo. M'!G275</f>
        <v>0</v>
      </c>
      <c r="CC274" s="446">
        <f>'Horo. M'!I275</f>
        <v>0</v>
      </c>
      <c r="CD274" s="446">
        <f>'Horo. M'!K275</f>
        <v>0</v>
      </c>
      <c r="CE274" s="446">
        <f>'Horo. M'!M275</f>
        <v>0</v>
      </c>
      <c r="CF274" s="446">
        <f>'Horo. M'!O275</f>
        <v>0</v>
      </c>
      <c r="CG274" s="446">
        <f>'Horo. M'!Q275</f>
        <v>0</v>
      </c>
      <c r="CH274" s="446">
        <f>'Horo. M'!S275</f>
        <v>0</v>
      </c>
      <c r="CI274" s="446">
        <f>'Horo. M'!U275</f>
        <v>0</v>
      </c>
      <c r="CJ274" s="70">
        <f>Tabla1[[#This Row],[Con. DO Storage '[gal']]]-Tabla1[[#This Row],[C. DO Storage Ge '[gal']]]</f>
        <v>0</v>
      </c>
      <c r="CK274" s="70"/>
      <c r="CL274" s="70"/>
      <c r="CM274" s="70">
        <f>Tabla1[[#This Row],[Con. DO Total '[gal']]]*131485.5/(1000000)</f>
        <v>0</v>
      </c>
    </row>
    <row r="275" spans="1:91" ht="15" customHeight="1">
      <c r="A275" s="362">
        <v>45200</v>
      </c>
      <c r="B275" s="363" t="str">
        <f>TEXT(Tabla1[[#This Row],[Fecha]],"mmmm")</f>
        <v>octubre</v>
      </c>
      <c r="C275" s="364"/>
      <c r="D275" s="366"/>
      <c r="E275" s="366"/>
      <c r="F275" s="366"/>
      <c r="G275" s="377"/>
      <c r="H275" s="377"/>
      <c r="I275" s="378"/>
      <c r="J275" s="378"/>
      <c r="K275" s="366"/>
      <c r="L275" s="366"/>
      <c r="M275" s="365">
        <f>Tabla1[[#This Row],[Columna1]]-Tabla1[[#This Row],[PO '[h']]]</f>
        <v>0</v>
      </c>
      <c r="N275" s="366">
        <f t="shared" si="76"/>
        <v>0</v>
      </c>
      <c r="O275" s="365"/>
      <c r="P275" s="367">
        <f>Tabla1[[#This Row],[G. HGS 
'[MWh']]]</f>
        <v>0</v>
      </c>
      <c r="Q275" s="430">
        <v>0</v>
      </c>
      <c r="R275" s="367">
        <v>0</v>
      </c>
      <c r="S275" s="367">
        <f>Tabla1[[#This Row],[G. HGS 
Con Gas]]*1000</f>
        <v>0</v>
      </c>
      <c r="T275" s="365">
        <f>Tabla1[[#This Row],[G. HGS 
'[MWh']]]*1000</f>
        <v>0</v>
      </c>
      <c r="U275" s="368">
        <f>SUM('G. Un GE'!B275:Y275)</f>
        <v>0</v>
      </c>
      <c r="V275" s="369">
        <f>Tabla1[[#This Row],[R. GE
'[MWh']]]</f>
        <v>0</v>
      </c>
      <c r="W275" s="434">
        <v>0</v>
      </c>
      <c r="X275" s="369">
        <v>0</v>
      </c>
      <c r="Y275" s="365">
        <f>Tabla1[[#This Row],[R. GE
'[MWh']]]*1000</f>
        <v>0</v>
      </c>
      <c r="Z275" s="371"/>
      <c r="AA27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5" s="371">
        <f>IF(Tabla1[[#This Row],[G. HGS 
'[MWh']]]=0,0,Tabla1[[#This Row],[G. HGS 
'[MWh']]]+Tabla1[[#This Row],[Con. Aux. '[MWh']2]])</f>
        <v>0</v>
      </c>
      <c r="AC275" s="368">
        <f>'C. ENER. TN'!F275</f>
        <v>0</v>
      </c>
      <c r="AD275" s="370">
        <f>'C. ENER. TN'!G275</f>
        <v>0</v>
      </c>
      <c r="AE275" s="370">
        <f>'G. Un GE'!AX275</f>
        <v>0</v>
      </c>
      <c r="AF275" s="368">
        <f>IFERROR('G. Un GE'!AX275/Tabla1[[#This Row],[PO '[h']]],0)</f>
        <v>0</v>
      </c>
      <c r="AG275" s="365">
        <f>'Ar-Pa'!AX275</f>
        <v>0</v>
      </c>
      <c r="AH275" s="365">
        <f>'Ar-Pa'!AY275</f>
        <v>0</v>
      </c>
      <c r="AI275" s="366">
        <f>SUM('Cal. Arr'!AB278:AY278)</f>
        <v>0</v>
      </c>
      <c r="AJ275" s="442"/>
      <c r="AK275" s="443"/>
      <c r="AL275" s="372">
        <f t="shared" si="81"/>
        <v>0</v>
      </c>
      <c r="AM275" s="267">
        <f>+CONVERT(AK275+Tabla1[[#This Row],[Con. DO Storage Gen. '[m3']]],"m^3","gal")</f>
        <v>0</v>
      </c>
      <c r="AN275" s="372">
        <f>SUM('DO Pilot'!B275:Y275)</f>
        <v>0</v>
      </c>
      <c r="AO275" s="372">
        <f t="shared" si="77"/>
        <v>0</v>
      </c>
      <c r="AP275" s="267">
        <f>AK275+AN275+Tabla1[[#This Row],[Con. DO Storage Gen. '[m3']]]</f>
        <v>0</v>
      </c>
      <c r="AQ275" s="372">
        <f t="shared" si="86"/>
        <v>0</v>
      </c>
      <c r="AR275" s="443"/>
      <c r="AS275" s="443"/>
      <c r="AT275" s="267">
        <f>+CONVERT(SUM(Tabla1[[#This Row],[Repo. DO Storage '[gal']]:[Repo. DO Pilot '[gal']]]),"gal","m3")</f>
        <v>0</v>
      </c>
      <c r="AU275" s="442">
        <v>0</v>
      </c>
      <c r="AV275" s="372">
        <f t="shared" si="78"/>
        <v>0</v>
      </c>
      <c r="AW275" s="442">
        <v>0</v>
      </c>
      <c r="AX275" s="372">
        <f t="shared" si="79"/>
        <v>0</v>
      </c>
      <c r="AY275" s="372">
        <f t="shared" si="82"/>
        <v>0</v>
      </c>
      <c r="AZ275" s="372">
        <f>IFERROR(AL275/'Ar-Pa'!AX275,0)</f>
        <v>0</v>
      </c>
      <c r="BA275" s="372">
        <f>IFERROR(AL275/'Ar-Pa'!AY275,0)</f>
        <v>0</v>
      </c>
      <c r="BB275" s="372">
        <f t="shared" si="83"/>
        <v>0</v>
      </c>
      <c r="BC275" s="372">
        <f>IFERROR(AVERAGEIF('DO Pilot'!AX275:BU275,"&gt;0"),0)</f>
        <v>0</v>
      </c>
      <c r="BD275" s="446"/>
      <c r="BE275" s="446"/>
      <c r="BF275" s="446"/>
      <c r="BG275" s="223">
        <f>Tabla1[[#This Row],[ Re. Gas GC
 '[m3']]]</f>
        <v>0</v>
      </c>
      <c r="BH275" s="150">
        <f>IFERROR((BG275*Gas!$B$4)/28.31685,0)</f>
        <v>0</v>
      </c>
      <c r="BI275" s="73">
        <f t="shared" si="80"/>
        <v>0</v>
      </c>
      <c r="BJ275" s="74">
        <f t="shared" si="87"/>
        <v>0</v>
      </c>
      <c r="BK275" s="223">
        <f t="shared" si="84"/>
        <v>0</v>
      </c>
      <c r="BL275" s="442">
        <v>8819.07</v>
      </c>
      <c r="BM275" s="70">
        <f t="shared" si="85"/>
        <v>0</v>
      </c>
      <c r="BN275" s="150">
        <f t="shared" si="88"/>
        <v>0</v>
      </c>
      <c r="BO275" s="373">
        <f>IFERROR(Tabla1[[#This Row],[ Re. Gas GC
 '[m3']]]/Tabla1[[#This Row],[G. HGS 
Con Gas '[kWh']]],0)</f>
        <v>0</v>
      </c>
      <c r="BP275" s="374">
        <f>Tank!Y276</f>
        <v>0</v>
      </c>
      <c r="BQ275" s="70">
        <f>Tank!AP276</f>
        <v>0</v>
      </c>
      <c r="BR275" s="70">
        <f>Tank!V276</f>
        <v>0</v>
      </c>
      <c r="BS275" s="372">
        <f>Tank!T276</f>
        <v>0</v>
      </c>
      <c r="BT275" s="375" t="s">
        <v>228</v>
      </c>
      <c r="BU275" s="452"/>
      <c r="BV275" s="376">
        <f>IF(Tabla1[[#This Row],[Combustible ofertado]]="GAS",Tabla1[[#This Row],[Disponibilidad]],0)</f>
        <v>0</v>
      </c>
      <c r="BW275" s="376">
        <f>IF(Tabla1[[#This Row],[Combustible ofertado]]="DIESEL",Tabla1[[#This Row],[Disponibilidad]],0)</f>
        <v>0</v>
      </c>
      <c r="BX275" s="376">
        <f>IF(Tabla1[[#This Row],[Combustible ofertado]]="HFO",Tabla1[[#This Row],[Disponibilidad]],0)</f>
        <v>0</v>
      </c>
      <c r="BY275" s="452"/>
      <c r="BZ275" s="446">
        <f>'Horo. M'!C276</f>
        <v>0</v>
      </c>
      <c r="CA275" s="446">
        <f>'Horo. M'!E276</f>
        <v>0</v>
      </c>
      <c r="CB275" s="446">
        <f>'Horo. M'!G276</f>
        <v>0</v>
      </c>
      <c r="CC275" s="446">
        <f>'Horo. M'!I276</f>
        <v>0</v>
      </c>
      <c r="CD275" s="446">
        <f>'Horo. M'!K276</f>
        <v>0</v>
      </c>
      <c r="CE275" s="446">
        <f>'Horo. M'!M276</f>
        <v>0</v>
      </c>
      <c r="CF275" s="446">
        <f>'Horo. M'!O276</f>
        <v>0</v>
      </c>
      <c r="CG275" s="446">
        <f>'Horo. M'!Q276</f>
        <v>0</v>
      </c>
      <c r="CH275" s="446">
        <f>'Horo. M'!S276</f>
        <v>0</v>
      </c>
      <c r="CI275" s="446">
        <f>'Horo. M'!U276</f>
        <v>0</v>
      </c>
      <c r="CJ275" s="70">
        <f>Tabla1[[#This Row],[Con. DO Storage '[gal']]]-Tabla1[[#This Row],[C. DO Storage Ge '[gal']]]</f>
        <v>0</v>
      </c>
      <c r="CK275" s="70"/>
      <c r="CL275" s="70"/>
      <c r="CM275" s="70">
        <f>Tabla1[[#This Row],[Con. DO Total '[gal']]]*131485.5/(1000000)</f>
        <v>0</v>
      </c>
    </row>
    <row r="276" spans="1:91" ht="15" customHeight="1">
      <c r="A276" s="362">
        <v>45201</v>
      </c>
      <c r="B276" s="363" t="str">
        <f>TEXT(Tabla1[[#This Row],[Fecha]],"mmmm")</f>
        <v>octubre</v>
      </c>
      <c r="C276" s="364"/>
      <c r="D276" s="366"/>
      <c r="E276" s="366"/>
      <c r="F276" s="366"/>
      <c r="G276" s="377"/>
      <c r="H276" s="377"/>
      <c r="I276" s="378"/>
      <c r="J276" s="378"/>
      <c r="K276" s="366"/>
      <c r="L276" s="366"/>
      <c r="M276" s="365">
        <f>Tabla1[[#This Row],[Columna1]]-Tabla1[[#This Row],[PO '[h']]]</f>
        <v>0</v>
      </c>
      <c r="N276" s="366">
        <f>F276+H276+J276</f>
        <v>0</v>
      </c>
      <c r="O276" s="365"/>
      <c r="P276" s="367">
        <f>Tabla1[[#This Row],[G. HGS 
'[MWh']]]</f>
        <v>0</v>
      </c>
      <c r="Q276" s="430">
        <v>0</v>
      </c>
      <c r="R276" s="367">
        <v>0</v>
      </c>
      <c r="S276" s="367">
        <f>Tabla1[[#This Row],[G. HGS 
Con Gas]]*1000</f>
        <v>0</v>
      </c>
      <c r="T276" s="365">
        <f>Tabla1[[#This Row],[G. HGS 
'[MWh']]]*1000</f>
        <v>0</v>
      </c>
      <c r="U276" s="368">
        <f>SUM('G. Un GE'!B276:Y276)</f>
        <v>0</v>
      </c>
      <c r="V276" s="369">
        <f>Tabla1[[#This Row],[R. GE
'[MWh']]]</f>
        <v>0</v>
      </c>
      <c r="W276" s="434">
        <v>0</v>
      </c>
      <c r="X276" s="369">
        <v>0</v>
      </c>
      <c r="Y276" s="365">
        <f>Tabla1[[#This Row],[R. GE
'[MWh']]]*1000</f>
        <v>0</v>
      </c>
      <c r="Z276" s="371"/>
      <c r="AA27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6" s="371">
        <f>IF(Tabla1[[#This Row],[G. HGS 
'[MWh']]]=0,0,Tabla1[[#This Row],[G. HGS 
'[MWh']]]+Tabla1[[#This Row],[Con. Aux. '[MWh']2]])</f>
        <v>0</v>
      </c>
      <c r="AC276" s="368">
        <f>'C. ENER. TN'!F276</f>
        <v>0</v>
      </c>
      <c r="AD276" s="370">
        <f>'C. ENER. TN'!G276</f>
        <v>0</v>
      </c>
      <c r="AE276" s="370">
        <f>'G. Un GE'!AX276</f>
        <v>0</v>
      </c>
      <c r="AF276" s="368">
        <f>IFERROR('G. Un GE'!AX276/Tabla1[[#This Row],[PO '[h']]],0)</f>
        <v>0</v>
      </c>
      <c r="AG276" s="365">
        <f>'Ar-Pa'!AX276</f>
        <v>0</v>
      </c>
      <c r="AH276" s="365">
        <f>'Ar-Pa'!AY276</f>
        <v>0</v>
      </c>
      <c r="AI276" s="366">
        <f>SUM('Cal. Arr'!AB279:AY279)</f>
        <v>0</v>
      </c>
      <c r="AJ276" s="442"/>
      <c r="AK276" s="443"/>
      <c r="AL276" s="372">
        <f t="shared" si="81"/>
        <v>0</v>
      </c>
      <c r="AM276" s="267">
        <f>+CONVERT(AK276+Tabla1[[#This Row],[Con. DO Storage Gen. '[m3']]],"m^3","gal")</f>
        <v>0</v>
      </c>
      <c r="AN276" s="372">
        <f>SUM('DO Pilot'!B276:Y276)</f>
        <v>0</v>
      </c>
      <c r="AO276" s="372">
        <f>+CONVERT(AN276,"m^3","gal")</f>
        <v>0</v>
      </c>
      <c r="AP276" s="267">
        <f>AK276+AN276+Tabla1[[#This Row],[Con. DO Storage Gen. '[m3']]]</f>
        <v>0</v>
      </c>
      <c r="AQ276" s="372">
        <f t="shared" si="86"/>
        <v>0</v>
      </c>
      <c r="AR276" s="443"/>
      <c r="AS276" s="443"/>
      <c r="AT276" s="267">
        <f>+CONVERT(SUM(Tabla1[[#This Row],[Repo. DO Storage '[gal']]:[Repo. DO Pilot '[gal']]]),"gal","m3")</f>
        <v>0</v>
      </c>
      <c r="AU276" s="442">
        <v>0</v>
      </c>
      <c r="AV276" s="372">
        <f>+CONVERT(AU276,"m^3","gal")</f>
        <v>0</v>
      </c>
      <c r="AW276" s="442">
        <v>0</v>
      </c>
      <c r="AX276" s="372">
        <f>+CONVERT(AW276,"gal","m3")</f>
        <v>0</v>
      </c>
      <c r="AY276" s="372">
        <f t="shared" si="82"/>
        <v>0</v>
      </c>
      <c r="AZ276" s="372">
        <f>IFERROR(AL276/'Ar-Pa'!AX276,0)</f>
        <v>0</v>
      </c>
      <c r="BA276" s="372">
        <f>IFERROR(AL276/'Ar-Pa'!AY276,0)</f>
        <v>0</v>
      </c>
      <c r="BB276" s="372">
        <f t="shared" si="83"/>
        <v>0</v>
      </c>
      <c r="BC276" s="372">
        <f>IFERROR(AVERAGEIF('DO Pilot'!AX276:BU276,"&gt;0"),0)</f>
        <v>0</v>
      </c>
      <c r="BD276" s="446"/>
      <c r="BE276" s="446"/>
      <c r="BF276" s="446"/>
      <c r="BG276" s="223">
        <f>Tabla1[[#This Row],[ Re. Gas GC
 '[m3']]]</f>
        <v>0</v>
      </c>
      <c r="BH276" s="150">
        <f>IFERROR((BG276*Gas!$B$4)/28.31685,0)</f>
        <v>0</v>
      </c>
      <c r="BI276" s="73">
        <f>BH276-BE276</f>
        <v>0</v>
      </c>
      <c r="BJ276" s="74">
        <f t="shared" si="87"/>
        <v>0</v>
      </c>
      <c r="BK276" s="223">
        <f t="shared" si="84"/>
        <v>0</v>
      </c>
      <c r="BL276" s="442">
        <v>8871.4599999999991</v>
      </c>
      <c r="BM276" s="70">
        <f t="shared" si="85"/>
        <v>0</v>
      </c>
      <c r="BN276" s="70">
        <f t="shared" si="88"/>
        <v>0</v>
      </c>
      <c r="BO276" s="373">
        <f>IFERROR(Tabla1[[#This Row],[ Re. Gas GC
 '[m3']]]/Tabla1[[#This Row],[G. HGS 
Con Gas '[kWh']]],0)</f>
        <v>0</v>
      </c>
      <c r="BP276" s="374">
        <f>Tank!Y277</f>
        <v>0</v>
      </c>
      <c r="BQ276" s="70">
        <f>Tank!AP277</f>
        <v>0</v>
      </c>
      <c r="BR276" s="70">
        <f>Tank!V277</f>
        <v>0</v>
      </c>
      <c r="BS276" s="372">
        <f>Tank!T277</f>
        <v>0</v>
      </c>
      <c r="BT276" s="375" t="s">
        <v>228</v>
      </c>
      <c r="BU276" s="452"/>
      <c r="BV276" s="376">
        <f>IF(Tabla1[[#This Row],[Combustible ofertado]]="GAS",Tabla1[[#This Row],[Disponibilidad]],0)</f>
        <v>0</v>
      </c>
      <c r="BW276" s="376">
        <f>IF(Tabla1[[#This Row],[Combustible ofertado]]="DIESEL",Tabla1[[#This Row],[Disponibilidad]],0)</f>
        <v>0</v>
      </c>
      <c r="BX276" s="376">
        <f>IF(Tabla1[[#This Row],[Combustible ofertado]]="HFO",Tabla1[[#This Row],[Disponibilidad]],0)</f>
        <v>0</v>
      </c>
      <c r="BY276" s="452"/>
      <c r="BZ276" s="446">
        <f>'Horo. M'!C277</f>
        <v>0</v>
      </c>
      <c r="CA276" s="446">
        <f>'Horo. M'!E277</f>
        <v>0</v>
      </c>
      <c r="CB276" s="446">
        <f>'Horo. M'!G277</f>
        <v>0</v>
      </c>
      <c r="CC276" s="446">
        <f>'Horo. M'!I277</f>
        <v>0</v>
      </c>
      <c r="CD276" s="446">
        <f>'Horo. M'!K277</f>
        <v>0</v>
      </c>
      <c r="CE276" s="446">
        <f>'Horo. M'!M277</f>
        <v>0</v>
      </c>
      <c r="CF276" s="446">
        <f>'Horo. M'!O277</f>
        <v>0</v>
      </c>
      <c r="CG276" s="446">
        <f>'Horo. M'!Q277</f>
        <v>0</v>
      </c>
      <c r="CH276" s="446">
        <f>'Horo. M'!S277</f>
        <v>0</v>
      </c>
      <c r="CI276" s="446">
        <f>'Horo. M'!U277</f>
        <v>0</v>
      </c>
      <c r="CJ276" s="70">
        <f>Tabla1[[#This Row],[Con. DO Storage '[gal']]]-Tabla1[[#This Row],[C. DO Storage Ge '[gal']]]</f>
        <v>0</v>
      </c>
      <c r="CK276" s="70"/>
      <c r="CL276" s="70"/>
      <c r="CM276" s="70">
        <f>Tabla1[[#This Row],[Con. DO Total '[gal']]]*131485.5/(1000000)</f>
        <v>0</v>
      </c>
    </row>
    <row r="277" spans="1:91" ht="15" customHeight="1">
      <c r="A277" s="362">
        <v>45202</v>
      </c>
      <c r="B277" s="363" t="str">
        <f>TEXT(Tabla1[[#This Row],[Fecha]],"mmmm")</f>
        <v>octubre</v>
      </c>
      <c r="C277" s="364"/>
      <c r="D277" s="366"/>
      <c r="E277" s="366"/>
      <c r="F277" s="366"/>
      <c r="G277" s="377"/>
      <c r="H277" s="377"/>
      <c r="I277" s="378"/>
      <c r="J277" s="378"/>
      <c r="K277" s="366"/>
      <c r="L277" s="366"/>
      <c r="M277" s="365">
        <f>Tabla1[[#This Row],[Columna1]]-Tabla1[[#This Row],[PO '[h']]]</f>
        <v>0</v>
      </c>
      <c r="N277" s="366">
        <f t="shared" ref="N277:N306" si="89">F277+H277+J277</f>
        <v>0</v>
      </c>
      <c r="O277" s="365"/>
      <c r="P277" s="367">
        <f>Tabla1[[#This Row],[G. HGS 
'[MWh']]]</f>
        <v>0</v>
      </c>
      <c r="Q277" s="430">
        <v>0</v>
      </c>
      <c r="R277" s="367">
        <v>0</v>
      </c>
      <c r="S277" s="367">
        <f>Tabla1[[#This Row],[G. HGS 
Con Gas]]*1000</f>
        <v>0</v>
      </c>
      <c r="T277" s="365">
        <f>Tabla1[[#This Row],[G. HGS 
'[MWh']]]*1000</f>
        <v>0</v>
      </c>
      <c r="U277" s="368">
        <f>SUM('G. Un GE'!B277:Y277)</f>
        <v>0</v>
      </c>
      <c r="V277" s="369">
        <f>Tabla1[[#This Row],[R. GE
'[MWh']]]</f>
        <v>0</v>
      </c>
      <c r="W277" s="434">
        <v>0</v>
      </c>
      <c r="X277" s="369">
        <v>0</v>
      </c>
      <c r="Y277" s="365">
        <f>Tabla1[[#This Row],[R. GE
'[MWh']]]*1000</f>
        <v>0</v>
      </c>
      <c r="Z277" s="371"/>
      <c r="AA27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7" s="371">
        <f>IF(Tabla1[[#This Row],[G. HGS 
'[MWh']]]=0,0,Tabla1[[#This Row],[G. HGS 
'[MWh']]]+Tabla1[[#This Row],[Con. Aux. '[MWh']2]])</f>
        <v>0</v>
      </c>
      <c r="AC277" s="368">
        <f>'C. ENER. TN'!F277</f>
        <v>0</v>
      </c>
      <c r="AD277" s="370">
        <f>'C. ENER. TN'!G277</f>
        <v>0</v>
      </c>
      <c r="AE277" s="370">
        <f>'G. Un GE'!AX277</f>
        <v>0</v>
      </c>
      <c r="AF277" s="368">
        <f>IFERROR('G. Un GE'!AX277/Tabla1[[#This Row],[PO '[h']]],0)</f>
        <v>0</v>
      </c>
      <c r="AG277" s="365">
        <f>'Ar-Pa'!AX277</f>
        <v>0</v>
      </c>
      <c r="AH277" s="365">
        <f>'Ar-Pa'!AY277</f>
        <v>0</v>
      </c>
      <c r="AI277" s="366">
        <f>SUM('Cal. Arr'!AB280:AY280)</f>
        <v>0</v>
      </c>
      <c r="AJ277" s="442"/>
      <c r="AK277" s="443"/>
      <c r="AL277" s="372">
        <f t="shared" ref="AL277:AL306" si="90">+CONVERT(AK277,"m^3","gal")</f>
        <v>0</v>
      </c>
      <c r="AM277" s="372">
        <f>+CONVERT(AK277+Tabla1[[#This Row],[Con. DO Storage Gen. '[m3']]],"m^3","gal")</f>
        <v>0</v>
      </c>
      <c r="AN277" s="372">
        <f>SUM('DO Pilot'!B277:Y277)</f>
        <v>0</v>
      </c>
      <c r="AO277" s="372">
        <f t="shared" ref="AO277:AO306" si="91">+CONVERT(AN277,"m^3","gal")</f>
        <v>0</v>
      </c>
      <c r="AP277" s="372">
        <f t="shared" ref="AP277:AP306" si="92">AK277+AN277</f>
        <v>0</v>
      </c>
      <c r="AQ277" s="372">
        <f t="shared" ref="AQ277:AQ306" si="93">+CONVERT(AP277,"m^3","gal")</f>
        <v>0</v>
      </c>
      <c r="AR277" s="443"/>
      <c r="AS277" s="443"/>
      <c r="AT277" s="267">
        <f>+CONVERT(SUM(Tabla1[[#This Row],[Repo. DO Storage '[gal']]:[Repo. DO Pilot '[gal']]]),"gal","m3")</f>
        <v>0</v>
      </c>
      <c r="AU277" s="442">
        <v>0</v>
      </c>
      <c r="AV277" s="372">
        <f t="shared" ref="AV277:AV306" si="94">+CONVERT(AU277,"m^3","gal")</f>
        <v>0</v>
      </c>
      <c r="AW277" s="442">
        <v>0</v>
      </c>
      <c r="AX277" s="372">
        <f t="shared" ref="AX277:AX306" si="95">+CONVERT(AW277,"gal","m3")</f>
        <v>0</v>
      </c>
      <c r="AY277" s="372">
        <f t="shared" si="82"/>
        <v>0</v>
      </c>
      <c r="AZ277" s="372">
        <f>IFERROR(AL277/'Ar-Pa'!AX277,0)</f>
        <v>0</v>
      </c>
      <c r="BA277" s="372">
        <f>IFERROR(AL277/'Ar-Pa'!AY277,0)</f>
        <v>0</v>
      </c>
      <c r="BB277" s="372">
        <f t="shared" si="83"/>
        <v>0</v>
      </c>
      <c r="BC277" s="372">
        <f>IFERROR(AVERAGEIF('DO Pilot'!AX277:BU277,"&gt;0"),0)</f>
        <v>0</v>
      </c>
      <c r="BD277" s="446"/>
      <c r="BE277" s="446"/>
      <c r="BF277" s="446"/>
      <c r="BG277" s="223">
        <f>Tabla1[[#This Row],[ Re. Gas GC
 '[m3']]]</f>
        <v>0</v>
      </c>
      <c r="BH277" s="150">
        <f>IFERROR((BG277*Gas!$B$4)/28.31685,0)</f>
        <v>0</v>
      </c>
      <c r="BI277" s="73">
        <f t="shared" ref="BI277:BI306" si="96">BH277-BE277</f>
        <v>0</v>
      </c>
      <c r="BJ277" s="74">
        <f t="shared" si="87"/>
        <v>0</v>
      </c>
      <c r="BK277" s="223">
        <f t="shared" si="84"/>
        <v>0</v>
      </c>
      <c r="BL277" s="442">
        <v>8975.6</v>
      </c>
      <c r="BM277" s="70">
        <f t="shared" si="85"/>
        <v>0</v>
      </c>
      <c r="BN277" s="70">
        <f t="shared" si="88"/>
        <v>0</v>
      </c>
      <c r="BO277" s="373">
        <f>IFERROR(Tabla1[[#This Row],[ Re. Gas GC
 '[m3']]]/Tabla1[[#This Row],[G. HGS 
Con Gas '[kWh']]],0)</f>
        <v>0</v>
      </c>
      <c r="BP277" s="374">
        <f>Tank!Y278</f>
        <v>0</v>
      </c>
      <c r="BQ277" s="70">
        <f>Tank!AP278</f>
        <v>0</v>
      </c>
      <c r="BR277" s="70">
        <f>Tank!V278</f>
        <v>0</v>
      </c>
      <c r="BS277" s="372">
        <f>Tank!T278</f>
        <v>0</v>
      </c>
      <c r="BT277" s="375" t="s">
        <v>228</v>
      </c>
      <c r="BU277" s="452"/>
      <c r="BV277" s="376">
        <f>IF(Tabla1[[#This Row],[Combustible ofertado]]="GAS",Tabla1[[#This Row],[Disponibilidad]],0)</f>
        <v>0</v>
      </c>
      <c r="BW277" s="376">
        <f>IF(Tabla1[[#This Row],[Combustible ofertado]]="DIESEL",Tabla1[[#This Row],[Disponibilidad]],0)</f>
        <v>0</v>
      </c>
      <c r="BX277" s="376">
        <f>IF(Tabla1[[#This Row],[Combustible ofertado]]="HFO",Tabla1[[#This Row],[Disponibilidad]],0)</f>
        <v>0</v>
      </c>
      <c r="BY277" s="452"/>
      <c r="BZ277" s="446">
        <f>'Horo. M'!C278</f>
        <v>0</v>
      </c>
      <c r="CA277" s="446">
        <f>'Horo. M'!E278</f>
        <v>0</v>
      </c>
      <c r="CB277" s="446">
        <f>'Horo. M'!G278</f>
        <v>0</v>
      </c>
      <c r="CC277" s="446">
        <f>'Horo. M'!I278</f>
        <v>0</v>
      </c>
      <c r="CD277" s="446">
        <f>'Horo. M'!K278</f>
        <v>0</v>
      </c>
      <c r="CE277" s="446">
        <f>'Horo. M'!M278</f>
        <v>0</v>
      </c>
      <c r="CF277" s="446">
        <f>'Horo. M'!O278</f>
        <v>0</v>
      </c>
      <c r="CG277" s="446">
        <f>'Horo. M'!Q278</f>
        <v>0</v>
      </c>
      <c r="CH277" s="446">
        <f>'Horo. M'!S278</f>
        <v>0</v>
      </c>
      <c r="CI277" s="446">
        <f>'Horo. M'!U278</f>
        <v>0</v>
      </c>
      <c r="CJ277" s="70">
        <f>Tabla1[[#This Row],[Con. DO Storage '[gal']]]-Tabla1[[#This Row],[C. DO Storage Ge '[gal']]]</f>
        <v>0</v>
      </c>
      <c r="CK277" s="70"/>
      <c r="CL277" s="70"/>
      <c r="CM277" s="70">
        <f>Tabla1[[#This Row],[Con. DO Total '[gal']]]*131485.5/(1000000)</f>
        <v>0</v>
      </c>
    </row>
    <row r="278" spans="1:91" ht="15" customHeight="1">
      <c r="A278" s="362">
        <v>45203</v>
      </c>
      <c r="B278" s="363" t="str">
        <f>TEXT(Tabla1[[#This Row],[Fecha]],"mmmm")</f>
        <v>octubre</v>
      </c>
      <c r="C278" s="364"/>
      <c r="D278" s="366"/>
      <c r="E278" s="366"/>
      <c r="F278" s="366"/>
      <c r="G278" s="377"/>
      <c r="H278" s="377"/>
      <c r="I278" s="378"/>
      <c r="J278" s="378"/>
      <c r="K278" s="366"/>
      <c r="L278" s="366"/>
      <c r="M278" s="365">
        <f>Tabla1[[#This Row],[Columna1]]-Tabla1[[#This Row],[PO '[h']]]</f>
        <v>0</v>
      </c>
      <c r="N278" s="366">
        <f t="shared" si="89"/>
        <v>0</v>
      </c>
      <c r="O278" s="365"/>
      <c r="P278" s="367">
        <f>Tabla1[[#This Row],[G. HGS 
'[MWh']]]</f>
        <v>0</v>
      </c>
      <c r="Q278" s="430">
        <v>0</v>
      </c>
      <c r="R278" s="367">
        <v>0</v>
      </c>
      <c r="S278" s="367">
        <f>Tabla1[[#This Row],[G. HGS 
Con Gas]]*1000</f>
        <v>0</v>
      </c>
      <c r="T278" s="365">
        <f>Tabla1[[#This Row],[G. HGS 
'[MWh']]]*1000</f>
        <v>0</v>
      </c>
      <c r="U278" s="368">
        <f>SUM('G. Un GE'!B278:Y278)</f>
        <v>0</v>
      </c>
      <c r="V278" s="369">
        <f>Tabla1[[#This Row],[R. GE
'[MWh']]]</f>
        <v>0</v>
      </c>
      <c r="W278" s="434">
        <v>0</v>
      </c>
      <c r="X278" s="369">
        <v>0</v>
      </c>
      <c r="Y278" s="365">
        <f>Tabla1[[#This Row],[R. GE
'[MWh']]]*1000</f>
        <v>0</v>
      </c>
      <c r="Z278" s="371"/>
      <c r="AA27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8" s="371">
        <f>IF(Tabla1[[#This Row],[G. HGS 
'[MWh']]]=0,0,Tabla1[[#This Row],[G. HGS 
'[MWh']]]+Tabla1[[#This Row],[Con. Aux. '[MWh']2]])</f>
        <v>0</v>
      </c>
      <c r="AC278" s="368">
        <f>'C. ENER. TN'!F278</f>
        <v>0</v>
      </c>
      <c r="AD278" s="370">
        <f>'C. ENER. TN'!G278</f>
        <v>0</v>
      </c>
      <c r="AE278" s="370">
        <f>'G. Un GE'!AX278</f>
        <v>0</v>
      </c>
      <c r="AF278" s="368">
        <f>IFERROR('G. Un GE'!AX278/Tabla1[[#This Row],[PO '[h']]],0)</f>
        <v>0</v>
      </c>
      <c r="AG278" s="365">
        <f>'Ar-Pa'!AX278</f>
        <v>0</v>
      </c>
      <c r="AH278" s="365">
        <f>'Ar-Pa'!AY278</f>
        <v>0</v>
      </c>
      <c r="AI278" s="366">
        <f>SUM('Cal. Arr'!AB281:AY281)</f>
        <v>0</v>
      </c>
      <c r="AJ278" s="442"/>
      <c r="AK278" s="443"/>
      <c r="AL278" s="372">
        <f t="shared" si="90"/>
        <v>0</v>
      </c>
      <c r="AM278" s="372">
        <f>+CONVERT(AK278+Tabla1[[#This Row],[Con. DO Storage Gen. '[m3']]],"m^3","gal")</f>
        <v>0</v>
      </c>
      <c r="AN278" s="372">
        <f>SUM('DO Pilot'!B278:Y278)</f>
        <v>0</v>
      </c>
      <c r="AO278" s="372">
        <f t="shared" si="91"/>
        <v>0</v>
      </c>
      <c r="AP278" s="372">
        <f t="shared" si="92"/>
        <v>0</v>
      </c>
      <c r="AQ278" s="372">
        <f t="shared" si="93"/>
        <v>0</v>
      </c>
      <c r="AR278" s="443"/>
      <c r="AS278" s="443"/>
      <c r="AT278" s="267">
        <f>+CONVERT(SUM(Tabla1[[#This Row],[Repo. DO Storage '[gal']]:[Repo. DO Pilot '[gal']]]),"gal","m3")</f>
        <v>0</v>
      </c>
      <c r="AU278" s="442">
        <v>0</v>
      </c>
      <c r="AV278" s="372">
        <f t="shared" si="94"/>
        <v>0</v>
      </c>
      <c r="AW278" s="442">
        <v>0</v>
      </c>
      <c r="AX278" s="372">
        <f t="shared" si="95"/>
        <v>0</v>
      </c>
      <c r="AY278" s="372">
        <f t="shared" si="82"/>
        <v>0</v>
      </c>
      <c r="AZ278" s="372">
        <f>IFERROR(AL278/'Ar-Pa'!AX278,0)</f>
        <v>0</v>
      </c>
      <c r="BA278" s="372">
        <f>IFERROR(AL278/'Ar-Pa'!AY278,0)</f>
        <v>0</v>
      </c>
      <c r="BB278" s="372">
        <f t="shared" si="83"/>
        <v>0</v>
      </c>
      <c r="BC278" s="372">
        <f>IFERROR(AVERAGEIF('DO Pilot'!AX278:BU278,"&gt;0"),0)</f>
        <v>0</v>
      </c>
      <c r="BD278" s="446"/>
      <c r="BE278" s="446"/>
      <c r="BF278" s="446"/>
      <c r="BG278" s="223">
        <f>Tabla1[[#This Row],[ Re. Gas GC
 '[m3']]]</f>
        <v>0</v>
      </c>
      <c r="BH278" s="150">
        <f>IFERROR((BG278*Gas!$B$4)/28.31685,0)</f>
        <v>0</v>
      </c>
      <c r="BI278" s="73">
        <f t="shared" si="96"/>
        <v>0</v>
      </c>
      <c r="BJ278" s="74">
        <f t="shared" si="87"/>
        <v>0</v>
      </c>
      <c r="BK278" s="223">
        <f t="shared" si="84"/>
        <v>0</v>
      </c>
      <c r="BL278" s="442">
        <v>8861.31</v>
      </c>
      <c r="BM278" s="70">
        <f t="shared" si="85"/>
        <v>0</v>
      </c>
      <c r="BN278" s="70">
        <f t="shared" si="88"/>
        <v>0</v>
      </c>
      <c r="BO278" s="373">
        <f>IFERROR(Tabla1[[#This Row],[ Re. Gas GC
 '[m3']]]/Tabla1[[#This Row],[G. HGS 
Con Gas '[kWh']]],0)</f>
        <v>0</v>
      </c>
      <c r="BP278" s="374">
        <f>Tank!Y279</f>
        <v>0</v>
      </c>
      <c r="BQ278" s="70">
        <f>Tank!AP279</f>
        <v>0</v>
      </c>
      <c r="BR278" s="70">
        <f>Tank!V279</f>
        <v>0</v>
      </c>
      <c r="BS278" s="372">
        <f>Tank!T279</f>
        <v>0</v>
      </c>
      <c r="BT278" s="375" t="s">
        <v>228</v>
      </c>
      <c r="BU278" s="452"/>
      <c r="BV278" s="376">
        <f>IF(Tabla1[[#This Row],[Combustible ofertado]]="GAS",Tabla1[[#This Row],[Disponibilidad]],0)</f>
        <v>0</v>
      </c>
      <c r="BW278" s="376">
        <f>IF(Tabla1[[#This Row],[Combustible ofertado]]="DIESEL",Tabla1[[#This Row],[Disponibilidad]],0)</f>
        <v>0</v>
      </c>
      <c r="BX278" s="376">
        <f>IF(Tabla1[[#This Row],[Combustible ofertado]]="HFO",Tabla1[[#This Row],[Disponibilidad]],0)</f>
        <v>0</v>
      </c>
      <c r="BY278" s="452"/>
      <c r="BZ278" s="446">
        <f>'Horo. M'!C279</f>
        <v>0</v>
      </c>
      <c r="CA278" s="446">
        <f>'Horo. M'!E279</f>
        <v>0</v>
      </c>
      <c r="CB278" s="446">
        <f>'Horo. M'!G279</f>
        <v>0</v>
      </c>
      <c r="CC278" s="446">
        <f>'Horo. M'!I279</f>
        <v>0</v>
      </c>
      <c r="CD278" s="446">
        <f>'Horo. M'!K279</f>
        <v>0</v>
      </c>
      <c r="CE278" s="446">
        <f>'Horo. M'!M279</f>
        <v>0</v>
      </c>
      <c r="CF278" s="446">
        <f>'Horo. M'!O279</f>
        <v>0</v>
      </c>
      <c r="CG278" s="446">
        <f>'Horo. M'!Q279</f>
        <v>0</v>
      </c>
      <c r="CH278" s="446">
        <f>'Horo. M'!S279</f>
        <v>0</v>
      </c>
      <c r="CI278" s="446">
        <f>'Horo. M'!U279</f>
        <v>0</v>
      </c>
      <c r="CJ278" s="70">
        <f>Tabla1[[#This Row],[Con. DO Storage '[gal']]]-Tabla1[[#This Row],[C. DO Storage Ge '[gal']]]</f>
        <v>0</v>
      </c>
      <c r="CK278" s="70"/>
      <c r="CL278" s="70"/>
      <c r="CM278" s="70">
        <f>Tabla1[[#This Row],[Con. DO Total '[gal']]]*131485.5/(1000000)</f>
        <v>0</v>
      </c>
    </row>
    <row r="279" spans="1:91" ht="15" customHeight="1">
      <c r="A279" s="362">
        <v>45204</v>
      </c>
      <c r="B279" s="363" t="str">
        <f>TEXT(Tabla1[[#This Row],[Fecha]],"mmmm")</f>
        <v>octubre</v>
      </c>
      <c r="C279" s="364"/>
      <c r="D279" s="366"/>
      <c r="E279" s="366"/>
      <c r="F279" s="366"/>
      <c r="G279" s="377"/>
      <c r="H279" s="377"/>
      <c r="I279" s="378"/>
      <c r="J279" s="378"/>
      <c r="K279" s="366"/>
      <c r="L279" s="366"/>
      <c r="M279" s="365">
        <f>Tabla1[[#This Row],[Columna1]]-Tabla1[[#This Row],[PO '[h']]]</f>
        <v>0</v>
      </c>
      <c r="N279" s="366">
        <f t="shared" si="89"/>
        <v>0</v>
      </c>
      <c r="O279" s="365"/>
      <c r="P279" s="367">
        <f>Tabla1[[#This Row],[G. HGS 
'[MWh']]]</f>
        <v>0</v>
      </c>
      <c r="Q279" s="430">
        <v>0</v>
      </c>
      <c r="R279" s="367">
        <v>0</v>
      </c>
      <c r="S279" s="367">
        <f>Tabla1[[#This Row],[G. HGS 
Con Gas]]*1000</f>
        <v>0</v>
      </c>
      <c r="T279" s="365">
        <f>Tabla1[[#This Row],[G. HGS 
'[MWh']]]*1000</f>
        <v>0</v>
      </c>
      <c r="U279" s="368">
        <f>SUM('G. Un GE'!B279:Y279)</f>
        <v>0</v>
      </c>
      <c r="V279" s="369">
        <f>Tabla1[[#This Row],[R. GE
'[MWh']]]</f>
        <v>0</v>
      </c>
      <c r="W279" s="434">
        <v>0</v>
      </c>
      <c r="X279" s="369">
        <v>0</v>
      </c>
      <c r="Y279" s="365">
        <f>Tabla1[[#This Row],[R. GE
'[MWh']]]*1000</f>
        <v>0</v>
      </c>
      <c r="Z279" s="371"/>
      <c r="AA27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79" s="371">
        <f>IF(Tabla1[[#This Row],[G. HGS 
'[MWh']]]=0,0,Tabla1[[#This Row],[G. HGS 
'[MWh']]]+Tabla1[[#This Row],[Con. Aux. '[MWh']2]])</f>
        <v>0</v>
      </c>
      <c r="AC279" s="368">
        <f>'C. ENER. TN'!F279</f>
        <v>0</v>
      </c>
      <c r="AD279" s="370">
        <f>'C. ENER. TN'!G279</f>
        <v>0</v>
      </c>
      <c r="AE279" s="370">
        <f>'G. Un GE'!AX279</f>
        <v>0</v>
      </c>
      <c r="AF279" s="368">
        <f>IFERROR('G. Un GE'!AX279/Tabla1[[#This Row],[PO '[h']]],0)</f>
        <v>0</v>
      </c>
      <c r="AG279" s="365">
        <f>'Ar-Pa'!AX279</f>
        <v>0</v>
      </c>
      <c r="AH279" s="365">
        <f>'Ar-Pa'!AY279</f>
        <v>0</v>
      </c>
      <c r="AI279" s="366">
        <f>SUM('Cal. Arr'!AB282:AY282)</f>
        <v>0</v>
      </c>
      <c r="AJ279" s="442"/>
      <c r="AK279" s="443"/>
      <c r="AL279" s="372">
        <f t="shared" si="90"/>
        <v>0</v>
      </c>
      <c r="AM279" s="372">
        <f>+CONVERT(AK279+Tabla1[[#This Row],[Con. DO Storage Gen. '[m3']]],"m^3","gal")</f>
        <v>0</v>
      </c>
      <c r="AN279" s="372">
        <f>SUM('DO Pilot'!B279:Y279)</f>
        <v>0</v>
      </c>
      <c r="AO279" s="372">
        <f t="shared" si="91"/>
        <v>0</v>
      </c>
      <c r="AP279" s="372">
        <f t="shared" si="92"/>
        <v>0</v>
      </c>
      <c r="AQ279" s="372">
        <f t="shared" si="93"/>
        <v>0</v>
      </c>
      <c r="AR279" s="443"/>
      <c r="AS279" s="443"/>
      <c r="AT279" s="267">
        <f>+CONVERT(SUM(Tabla1[[#This Row],[Repo. DO Storage '[gal']]:[Repo. DO Pilot '[gal']]]),"gal","m3")</f>
        <v>0</v>
      </c>
      <c r="AU279" s="442">
        <v>0</v>
      </c>
      <c r="AV279" s="372">
        <f t="shared" si="94"/>
        <v>0</v>
      </c>
      <c r="AW279" s="442">
        <v>0</v>
      </c>
      <c r="AX279" s="372">
        <f t="shared" si="95"/>
        <v>0</v>
      </c>
      <c r="AY279" s="372">
        <f t="shared" si="82"/>
        <v>0</v>
      </c>
      <c r="AZ279" s="372">
        <f>IFERROR(AL279/'Ar-Pa'!AX279,0)</f>
        <v>0</v>
      </c>
      <c r="BA279" s="372">
        <f>IFERROR(AL279/'Ar-Pa'!AY279,0)</f>
        <v>0</v>
      </c>
      <c r="BB279" s="372">
        <f t="shared" si="83"/>
        <v>0</v>
      </c>
      <c r="BC279" s="372">
        <f>IFERROR(AVERAGEIF('DO Pilot'!AX279:BU279,"&gt;0"),0)</f>
        <v>0</v>
      </c>
      <c r="BD279" s="446"/>
      <c r="BE279" s="446"/>
      <c r="BF279" s="446"/>
      <c r="BG279" s="223">
        <f>Tabla1[[#This Row],[ Re. Gas GC
 '[m3']]]</f>
        <v>0</v>
      </c>
      <c r="BH279" s="150">
        <f>IFERROR((BG279*Gas!$B$4)/28.31685,0)</f>
        <v>0</v>
      </c>
      <c r="BI279" s="73">
        <f t="shared" si="96"/>
        <v>0</v>
      </c>
      <c r="BJ279" s="74">
        <f t="shared" si="87"/>
        <v>0</v>
      </c>
      <c r="BK279" s="223">
        <f t="shared" si="84"/>
        <v>0</v>
      </c>
      <c r="BL279" s="442">
        <v>8973.65</v>
      </c>
      <c r="BM279" s="70">
        <f t="shared" si="85"/>
        <v>0</v>
      </c>
      <c r="BN279" s="70">
        <f t="shared" si="88"/>
        <v>0</v>
      </c>
      <c r="BO279" s="373">
        <f>IFERROR(Tabla1[[#This Row],[ Re. Gas GC
 '[m3']]]/Tabla1[[#This Row],[G. HGS 
Con Gas '[kWh']]],0)</f>
        <v>0</v>
      </c>
      <c r="BP279" s="374">
        <f>Tank!Y280</f>
        <v>0</v>
      </c>
      <c r="BQ279" s="70">
        <f>Tank!AP280</f>
        <v>0</v>
      </c>
      <c r="BR279" s="70">
        <f>Tank!V280</f>
        <v>0</v>
      </c>
      <c r="BS279" s="372">
        <f>Tank!T280</f>
        <v>0</v>
      </c>
      <c r="BT279" s="375" t="s">
        <v>228</v>
      </c>
      <c r="BU279" s="452"/>
      <c r="BV279" s="376">
        <f>IF(Tabla1[[#This Row],[Combustible ofertado]]="GAS",Tabla1[[#This Row],[Disponibilidad]],0)</f>
        <v>0</v>
      </c>
      <c r="BW279" s="376">
        <f>IF(Tabla1[[#This Row],[Combustible ofertado]]="DIESEL",Tabla1[[#This Row],[Disponibilidad]],0)</f>
        <v>0</v>
      </c>
      <c r="BX279" s="376">
        <f>IF(Tabla1[[#This Row],[Combustible ofertado]]="HFO",Tabla1[[#This Row],[Disponibilidad]],0)</f>
        <v>0</v>
      </c>
      <c r="BY279" s="452"/>
      <c r="BZ279" s="446">
        <f>'Horo. M'!C280</f>
        <v>0</v>
      </c>
      <c r="CA279" s="446">
        <f>'Horo. M'!E280</f>
        <v>0</v>
      </c>
      <c r="CB279" s="446">
        <f>'Horo. M'!G280</f>
        <v>0</v>
      </c>
      <c r="CC279" s="446">
        <f>'Horo. M'!I280</f>
        <v>0</v>
      </c>
      <c r="CD279" s="446">
        <f>'Horo. M'!K280</f>
        <v>0</v>
      </c>
      <c r="CE279" s="446">
        <f>'Horo. M'!M280</f>
        <v>0</v>
      </c>
      <c r="CF279" s="446">
        <f>'Horo. M'!O280</f>
        <v>0</v>
      </c>
      <c r="CG279" s="446">
        <f>'Horo. M'!Q280</f>
        <v>0</v>
      </c>
      <c r="CH279" s="446">
        <f>'Horo. M'!S280</f>
        <v>0</v>
      </c>
      <c r="CI279" s="446">
        <f>'Horo. M'!U280</f>
        <v>0</v>
      </c>
      <c r="CJ279" s="70">
        <f>Tabla1[[#This Row],[Con. DO Storage '[gal']]]-Tabla1[[#This Row],[C. DO Storage Ge '[gal']]]</f>
        <v>0</v>
      </c>
      <c r="CK279" s="70"/>
      <c r="CL279" s="70"/>
      <c r="CM279" s="70">
        <f>Tabla1[[#This Row],[Con. DO Total '[gal']]]*131485.5/(1000000)</f>
        <v>0</v>
      </c>
    </row>
    <row r="280" spans="1:91" ht="15" customHeight="1">
      <c r="A280" s="362">
        <v>45205</v>
      </c>
      <c r="B280" s="363" t="str">
        <f>TEXT(Tabla1[[#This Row],[Fecha]],"mmmm")</f>
        <v>octubre</v>
      </c>
      <c r="C280" s="364"/>
      <c r="D280" s="366"/>
      <c r="E280" s="366"/>
      <c r="F280" s="366"/>
      <c r="G280" s="377"/>
      <c r="H280" s="377"/>
      <c r="I280" s="378"/>
      <c r="J280" s="378"/>
      <c r="K280" s="366"/>
      <c r="L280" s="366"/>
      <c r="M280" s="365">
        <f>Tabla1[[#This Row],[Columna1]]-Tabla1[[#This Row],[PO '[h']]]</f>
        <v>0</v>
      </c>
      <c r="N280" s="366">
        <f t="shared" si="89"/>
        <v>0</v>
      </c>
      <c r="O280" s="365"/>
      <c r="P280" s="367">
        <f>Tabla1[[#This Row],[G. HGS 
'[MWh']]]</f>
        <v>0</v>
      </c>
      <c r="Q280" s="430">
        <v>0</v>
      </c>
      <c r="R280" s="367">
        <v>0</v>
      </c>
      <c r="S280" s="367">
        <f>Tabla1[[#This Row],[G. HGS 
Con Gas]]*1000</f>
        <v>0</v>
      </c>
      <c r="T280" s="365">
        <f>Tabla1[[#This Row],[G. HGS 
'[MWh']]]*1000</f>
        <v>0</v>
      </c>
      <c r="U280" s="368">
        <f>SUM('G. Un GE'!B280:Y280)</f>
        <v>0</v>
      </c>
      <c r="V280" s="369">
        <f>Tabla1[[#This Row],[R. GE
'[MWh']]]</f>
        <v>0</v>
      </c>
      <c r="W280" s="434">
        <v>0</v>
      </c>
      <c r="X280" s="369">
        <v>0</v>
      </c>
      <c r="Y280" s="365">
        <f>Tabla1[[#This Row],[R. GE
'[MWh']]]*1000</f>
        <v>0</v>
      </c>
      <c r="Z280" s="371"/>
      <c r="AA28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0" s="371">
        <f>IF(Tabla1[[#This Row],[G. HGS 
'[MWh']]]=0,0,Tabla1[[#This Row],[G. HGS 
'[MWh']]]+Tabla1[[#This Row],[Con. Aux. '[MWh']2]])</f>
        <v>0</v>
      </c>
      <c r="AC280" s="368">
        <f>'C. ENER. TN'!F280</f>
        <v>0</v>
      </c>
      <c r="AD280" s="370">
        <f>'C. ENER. TN'!G280</f>
        <v>0</v>
      </c>
      <c r="AE280" s="370">
        <f>'G. Un GE'!AX280</f>
        <v>0</v>
      </c>
      <c r="AF280" s="368">
        <f>IFERROR('G. Un GE'!AX280/Tabla1[[#This Row],[PO '[h']]],0)</f>
        <v>0</v>
      </c>
      <c r="AG280" s="365">
        <f>'Ar-Pa'!AX280</f>
        <v>0</v>
      </c>
      <c r="AH280" s="365">
        <f>'Ar-Pa'!AY280</f>
        <v>0</v>
      </c>
      <c r="AI280" s="366">
        <f>SUM('Cal. Arr'!AB283:AY283)</f>
        <v>0</v>
      </c>
      <c r="AJ280" s="442"/>
      <c r="AK280" s="443"/>
      <c r="AL280" s="372">
        <f t="shared" si="90"/>
        <v>0</v>
      </c>
      <c r="AM280" s="372">
        <f>+CONVERT(AK280+Tabla1[[#This Row],[Con. DO Storage Gen. '[m3']]],"m^3","gal")</f>
        <v>0</v>
      </c>
      <c r="AN280" s="372">
        <f>SUM('DO Pilot'!B280:Y280)</f>
        <v>0</v>
      </c>
      <c r="AO280" s="372">
        <f t="shared" si="91"/>
        <v>0</v>
      </c>
      <c r="AP280" s="372">
        <f t="shared" si="92"/>
        <v>0</v>
      </c>
      <c r="AQ280" s="372">
        <f t="shared" si="93"/>
        <v>0</v>
      </c>
      <c r="AR280" s="443"/>
      <c r="AS280" s="443"/>
      <c r="AT280" s="267">
        <f>+CONVERT(SUM(Tabla1[[#This Row],[Repo. DO Storage '[gal']]:[Repo. DO Pilot '[gal']]]),"gal","m3")</f>
        <v>0</v>
      </c>
      <c r="AU280" s="442">
        <v>0</v>
      </c>
      <c r="AV280" s="372">
        <f t="shared" si="94"/>
        <v>0</v>
      </c>
      <c r="AW280" s="442">
        <v>0</v>
      </c>
      <c r="AX280" s="372">
        <f t="shared" si="95"/>
        <v>0</v>
      </c>
      <c r="AY280" s="372">
        <f t="shared" si="82"/>
        <v>0</v>
      </c>
      <c r="AZ280" s="372">
        <f>IFERROR(AL280/'Ar-Pa'!AX280,0)</f>
        <v>0</v>
      </c>
      <c r="BA280" s="372">
        <f>IFERROR(AL280/'Ar-Pa'!AY280,0)</f>
        <v>0</v>
      </c>
      <c r="BB280" s="372">
        <f t="shared" si="83"/>
        <v>0</v>
      </c>
      <c r="BC280" s="372">
        <f>IFERROR(AVERAGEIF('DO Pilot'!AX280:BU280,"&gt;0"),0)</f>
        <v>0</v>
      </c>
      <c r="BD280" s="446"/>
      <c r="BE280" s="446"/>
      <c r="BF280" s="446"/>
      <c r="BG280" s="223">
        <f>Tabla1[[#This Row],[ Re. Gas GC
 '[m3']]]</f>
        <v>0</v>
      </c>
      <c r="BH280" s="150">
        <f>IFERROR((BG280*Gas!$B$4)/28.31685,0)</f>
        <v>0</v>
      </c>
      <c r="BI280" s="73">
        <f t="shared" si="96"/>
        <v>0</v>
      </c>
      <c r="BJ280" s="74">
        <f t="shared" si="87"/>
        <v>0</v>
      </c>
      <c r="BK280" s="223">
        <f t="shared" si="84"/>
        <v>0</v>
      </c>
      <c r="BL280" s="442">
        <v>9098.16</v>
      </c>
      <c r="BM280" s="70">
        <f t="shared" si="85"/>
        <v>0</v>
      </c>
      <c r="BN280" s="70">
        <f t="shared" si="88"/>
        <v>0</v>
      </c>
      <c r="BO280" s="373">
        <f>IFERROR(Tabla1[[#This Row],[ Re. Gas GC
 '[m3']]]/Tabla1[[#This Row],[G. HGS 
Con Gas '[kWh']]],0)</f>
        <v>0</v>
      </c>
      <c r="BP280" s="374">
        <f>Tank!Y281</f>
        <v>0</v>
      </c>
      <c r="BQ280" s="70">
        <f>Tank!AP281</f>
        <v>0</v>
      </c>
      <c r="BR280" s="70">
        <f>Tank!V281</f>
        <v>0</v>
      </c>
      <c r="BS280" s="372">
        <f>Tank!T281</f>
        <v>0</v>
      </c>
      <c r="BT280" s="375" t="s">
        <v>228</v>
      </c>
      <c r="BU280" s="452"/>
      <c r="BV280" s="376">
        <f>IF(Tabla1[[#This Row],[Combustible ofertado]]="GAS",Tabla1[[#This Row],[Disponibilidad]],0)</f>
        <v>0</v>
      </c>
      <c r="BW280" s="376">
        <f>IF(Tabla1[[#This Row],[Combustible ofertado]]="DIESEL",Tabla1[[#This Row],[Disponibilidad]],0)</f>
        <v>0</v>
      </c>
      <c r="BX280" s="376">
        <f>IF(Tabla1[[#This Row],[Combustible ofertado]]="HFO",Tabla1[[#This Row],[Disponibilidad]],0)</f>
        <v>0</v>
      </c>
      <c r="BY280" s="452"/>
      <c r="BZ280" s="446">
        <f>'Horo. M'!C281</f>
        <v>0</v>
      </c>
      <c r="CA280" s="446">
        <f>'Horo. M'!E281</f>
        <v>0</v>
      </c>
      <c r="CB280" s="446">
        <f>'Horo. M'!G281</f>
        <v>0</v>
      </c>
      <c r="CC280" s="446">
        <f>'Horo. M'!I281</f>
        <v>0</v>
      </c>
      <c r="CD280" s="446">
        <f>'Horo. M'!K281</f>
        <v>0</v>
      </c>
      <c r="CE280" s="446">
        <f>'Horo. M'!M281</f>
        <v>0</v>
      </c>
      <c r="CF280" s="446">
        <f>'Horo. M'!O281</f>
        <v>0</v>
      </c>
      <c r="CG280" s="446">
        <f>'Horo. M'!Q281</f>
        <v>0</v>
      </c>
      <c r="CH280" s="446">
        <f>'Horo. M'!S281</f>
        <v>0</v>
      </c>
      <c r="CI280" s="446">
        <f>'Horo. M'!U281</f>
        <v>0</v>
      </c>
      <c r="CJ280" s="70">
        <f>Tabla1[[#This Row],[Con. DO Storage '[gal']]]-Tabla1[[#This Row],[C. DO Storage Ge '[gal']]]</f>
        <v>0</v>
      </c>
      <c r="CK280" s="70"/>
      <c r="CL280" s="70"/>
      <c r="CM280" s="70">
        <f>Tabla1[[#This Row],[Con. DO Total '[gal']]]*131485.5/(1000000)</f>
        <v>0</v>
      </c>
    </row>
    <row r="281" spans="1:91" ht="15" customHeight="1">
      <c r="A281" s="362">
        <v>45206</v>
      </c>
      <c r="B281" s="363" t="str">
        <f>TEXT(Tabla1[[#This Row],[Fecha]],"mmmm")</f>
        <v>octubre</v>
      </c>
      <c r="C281" s="364"/>
      <c r="D281" s="366"/>
      <c r="E281" s="366"/>
      <c r="F281" s="366"/>
      <c r="G281" s="377"/>
      <c r="H281" s="377"/>
      <c r="I281" s="378"/>
      <c r="J281" s="378"/>
      <c r="K281" s="366"/>
      <c r="L281" s="366"/>
      <c r="M281" s="365">
        <f>Tabla1[[#This Row],[Columna1]]-Tabla1[[#This Row],[PO '[h']]]</f>
        <v>0</v>
      </c>
      <c r="N281" s="366">
        <f t="shared" si="89"/>
        <v>0</v>
      </c>
      <c r="O281" s="365"/>
      <c r="P281" s="367">
        <f>Tabla1[[#This Row],[G. HGS 
'[MWh']]]</f>
        <v>0</v>
      </c>
      <c r="Q281" s="430">
        <v>0</v>
      </c>
      <c r="R281" s="367">
        <v>0</v>
      </c>
      <c r="S281" s="367">
        <f>Tabla1[[#This Row],[G. HGS 
Con Gas]]*1000</f>
        <v>0</v>
      </c>
      <c r="T281" s="365">
        <f>Tabla1[[#This Row],[G. HGS 
'[MWh']]]*1000</f>
        <v>0</v>
      </c>
      <c r="U281" s="368">
        <f>SUM('G. Un GE'!B281:Y281)</f>
        <v>0</v>
      </c>
      <c r="V281" s="369">
        <f>Tabla1[[#This Row],[R. GE
'[MWh']]]</f>
        <v>0</v>
      </c>
      <c r="W281" s="434">
        <v>0</v>
      </c>
      <c r="X281" s="369">
        <v>0</v>
      </c>
      <c r="Y281" s="365">
        <f>Tabla1[[#This Row],[R. GE
'[MWh']]]*1000</f>
        <v>0</v>
      </c>
      <c r="Z281" s="371"/>
      <c r="AA28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1" s="371">
        <f>IF(Tabla1[[#This Row],[G. HGS 
'[MWh']]]=0,0,Tabla1[[#This Row],[G. HGS 
'[MWh']]]+Tabla1[[#This Row],[Con. Aux. '[MWh']2]])</f>
        <v>0</v>
      </c>
      <c r="AC281" s="368">
        <f>'C. ENER. TN'!F281</f>
        <v>0</v>
      </c>
      <c r="AD281" s="370">
        <f>'C. ENER. TN'!G281</f>
        <v>0</v>
      </c>
      <c r="AE281" s="370">
        <f>'G. Un GE'!AX281</f>
        <v>0</v>
      </c>
      <c r="AF281" s="368">
        <f>IFERROR('G. Un GE'!AX281/Tabla1[[#This Row],[PO '[h']]],0)</f>
        <v>0</v>
      </c>
      <c r="AG281" s="365">
        <f>'Ar-Pa'!AX281</f>
        <v>0</v>
      </c>
      <c r="AH281" s="365">
        <f>'Ar-Pa'!AY281</f>
        <v>0</v>
      </c>
      <c r="AI281" s="366">
        <f>SUM('Cal. Arr'!AB284:AY284)</f>
        <v>0</v>
      </c>
      <c r="AJ281" s="442"/>
      <c r="AK281" s="443"/>
      <c r="AL281" s="372">
        <f t="shared" si="90"/>
        <v>0</v>
      </c>
      <c r="AM281" s="372">
        <f>+CONVERT(AK281+Tabla1[[#This Row],[Con. DO Storage Gen. '[m3']]],"m^3","gal")</f>
        <v>0</v>
      </c>
      <c r="AN281" s="372">
        <f>SUM('DO Pilot'!B281:Y281)</f>
        <v>0</v>
      </c>
      <c r="AO281" s="372">
        <f t="shared" si="91"/>
        <v>0</v>
      </c>
      <c r="AP281" s="372">
        <f t="shared" si="92"/>
        <v>0</v>
      </c>
      <c r="AQ281" s="372">
        <f t="shared" si="93"/>
        <v>0</v>
      </c>
      <c r="AR281" s="443"/>
      <c r="AS281" s="443"/>
      <c r="AT281" s="267">
        <f>+CONVERT(SUM(Tabla1[[#This Row],[Repo. DO Storage '[gal']]:[Repo. DO Pilot '[gal']]]),"gal","m3")</f>
        <v>0</v>
      </c>
      <c r="AU281" s="442">
        <v>0</v>
      </c>
      <c r="AV281" s="372">
        <f t="shared" si="94"/>
        <v>0</v>
      </c>
      <c r="AW281" s="442">
        <v>0</v>
      </c>
      <c r="AX281" s="372">
        <f t="shared" si="95"/>
        <v>0</v>
      </c>
      <c r="AY281" s="372">
        <f t="shared" si="82"/>
        <v>0</v>
      </c>
      <c r="AZ281" s="372">
        <f>IFERROR(AL281/'Ar-Pa'!AX281,0)</f>
        <v>0</v>
      </c>
      <c r="BA281" s="372">
        <f>IFERROR(AL281/'Ar-Pa'!AY281,0)</f>
        <v>0</v>
      </c>
      <c r="BB281" s="372">
        <f t="shared" si="83"/>
        <v>0</v>
      </c>
      <c r="BC281" s="372">
        <f>IFERROR(AVERAGEIF('DO Pilot'!AX281:BU281,"&gt;0"),0)</f>
        <v>0</v>
      </c>
      <c r="BD281" s="446"/>
      <c r="BE281" s="446"/>
      <c r="BF281" s="446"/>
      <c r="BG281" s="223">
        <f>Tabla1[[#This Row],[ Re. Gas GC
 '[m3']]]</f>
        <v>0</v>
      </c>
      <c r="BH281" s="150">
        <f>IFERROR((BG281*Gas!$B$4)/28.31685,0)</f>
        <v>0</v>
      </c>
      <c r="BI281" s="73">
        <f t="shared" si="96"/>
        <v>0</v>
      </c>
      <c r="BJ281" s="74">
        <f t="shared" si="87"/>
        <v>0</v>
      </c>
      <c r="BK281" s="223">
        <f t="shared" si="84"/>
        <v>0</v>
      </c>
      <c r="BL281" s="442">
        <v>8849.68</v>
      </c>
      <c r="BM281" s="70">
        <f t="shared" si="85"/>
        <v>0</v>
      </c>
      <c r="BN281" s="70">
        <f t="shared" si="88"/>
        <v>0</v>
      </c>
      <c r="BO281" s="373">
        <f>IFERROR(Tabla1[[#This Row],[ Re. Gas GC
 '[m3']]]/Tabla1[[#This Row],[G. HGS 
Con Gas '[kWh']]],0)</f>
        <v>0</v>
      </c>
      <c r="BP281" s="374">
        <f>Tank!Y282</f>
        <v>0</v>
      </c>
      <c r="BQ281" s="70">
        <f>Tank!AP282</f>
        <v>0</v>
      </c>
      <c r="BR281" s="70">
        <f>Tank!V282</f>
        <v>0</v>
      </c>
      <c r="BS281" s="372">
        <f>Tank!T282</f>
        <v>0</v>
      </c>
      <c r="BT281" s="375" t="s">
        <v>228</v>
      </c>
      <c r="BU281" s="452"/>
      <c r="BV281" s="376">
        <f>IF(Tabla1[[#This Row],[Combustible ofertado]]="GAS",Tabla1[[#This Row],[Disponibilidad]],0)</f>
        <v>0</v>
      </c>
      <c r="BW281" s="376">
        <f>IF(Tabla1[[#This Row],[Combustible ofertado]]="DIESEL",Tabla1[[#This Row],[Disponibilidad]],0)</f>
        <v>0</v>
      </c>
      <c r="BX281" s="376">
        <f>IF(Tabla1[[#This Row],[Combustible ofertado]]="HFO",Tabla1[[#This Row],[Disponibilidad]],0)</f>
        <v>0</v>
      </c>
      <c r="BY281" s="452"/>
      <c r="BZ281" s="446">
        <f>'Horo. M'!C282</f>
        <v>0</v>
      </c>
      <c r="CA281" s="446">
        <f>'Horo. M'!E282</f>
        <v>0</v>
      </c>
      <c r="CB281" s="446">
        <f>'Horo. M'!G282</f>
        <v>0</v>
      </c>
      <c r="CC281" s="446">
        <f>'Horo. M'!I282</f>
        <v>0</v>
      </c>
      <c r="CD281" s="446">
        <f>'Horo. M'!K282</f>
        <v>0</v>
      </c>
      <c r="CE281" s="446">
        <f>'Horo. M'!M282</f>
        <v>0</v>
      </c>
      <c r="CF281" s="446">
        <f>'Horo. M'!O282</f>
        <v>0</v>
      </c>
      <c r="CG281" s="446">
        <f>'Horo. M'!Q282</f>
        <v>0</v>
      </c>
      <c r="CH281" s="446">
        <f>'Horo. M'!S282</f>
        <v>0</v>
      </c>
      <c r="CI281" s="446">
        <f>'Horo. M'!U282</f>
        <v>0</v>
      </c>
      <c r="CJ281" s="70">
        <f>Tabla1[[#This Row],[Con. DO Storage '[gal']]]-Tabla1[[#This Row],[C. DO Storage Ge '[gal']]]</f>
        <v>0</v>
      </c>
      <c r="CK281" s="70"/>
      <c r="CL281" s="70"/>
      <c r="CM281" s="70">
        <f>Tabla1[[#This Row],[Con. DO Total '[gal']]]*131485.5/(1000000)</f>
        <v>0</v>
      </c>
    </row>
    <row r="282" spans="1:91" ht="15" customHeight="1">
      <c r="A282" s="362">
        <v>45207</v>
      </c>
      <c r="B282" s="363" t="str">
        <f>TEXT(Tabla1[[#This Row],[Fecha]],"mmmm")</f>
        <v>octubre</v>
      </c>
      <c r="C282" s="364"/>
      <c r="D282" s="366"/>
      <c r="E282" s="366"/>
      <c r="F282" s="366"/>
      <c r="G282" s="377"/>
      <c r="H282" s="377"/>
      <c r="I282" s="378"/>
      <c r="J282" s="378"/>
      <c r="K282" s="366"/>
      <c r="L282" s="366"/>
      <c r="M282" s="365">
        <f>Tabla1[[#This Row],[Columna1]]-Tabla1[[#This Row],[PO '[h']]]</f>
        <v>0</v>
      </c>
      <c r="N282" s="366">
        <f t="shared" si="89"/>
        <v>0</v>
      </c>
      <c r="O282" s="365"/>
      <c r="P282" s="367">
        <f>Tabla1[[#This Row],[G. HGS 
'[MWh']]]</f>
        <v>0</v>
      </c>
      <c r="Q282" s="430">
        <v>0</v>
      </c>
      <c r="R282" s="367">
        <v>0</v>
      </c>
      <c r="S282" s="367">
        <f>Tabla1[[#This Row],[G. HGS 
Con Gas]]*1000</f>
        <v>0</v>
      </c>
      <c r="T282" s="365">
        <f>Tabla1[[#This Row],[G. HGS 
'[MWh']]]*1000</f>
        <v>0</v>
      </c>
      <c r="U282" s="368">
        <f>SUM('G. Un GE'!B282:Y282)</f>
        <v>0</v>
      </c>
      <c r="V282" s="369">
        <f>Tabla1[[#This Row],[R. GE
'[MWh']]]</f>
        <v>0</v>
      </c>
      <c r="W282" s="434">
        <v>0</v>
      </c>
      <c r="X282" s="369">
        <v>0</v>
      </c>
      <c r="Y282" s="365">
        <f>Tabla1[[#This Row],[R. GE
'[MWh']]]*1000</f>
        <v>0</v>
      </c>
      <c r="Z282" s="371"/>
      <c r="AA28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2" s="371">
        <f>IF(Tabla1[[#This Row],[G. HGS 
'[MWh']]]=0,0,Tabla1[[#This Row],[G. HGS 
'[MWh']]]+Tabla1[[#This Row],[Con. Aux. '[MWh']2]])</f>
        <v>0</v>
      </c>
      <c r="AC282" s="368">
        <f>'C. ENER. TN'!F282</f>
        <v>0</v>
      </c>
      <c r="AD282" s="370">
        <f>'C. ENER. TN'!G282</f>
        <v>0</v>
      </c>
      <c r="AE282" s="370">
        <f>'G. Un GE'!AX282</f>
        <v>0</v>
      </c>
      <c r="AF282" s="368">
        <f>IFERROR('G. Un GE'!AX282/Tabla1[[#This Row],[PO '[h']]],0)</f>
        <v>0</v>
      </c>
      <c r="AG282" s="365">
        <f>'Ar-Pa'!AX282</f>
        <v>0</v>
      </c>
      <c r="AH282" s="365">
        <f>'Ar-Pa'!AY282</f>
        <v>0</v>
      </c>
      <c r="AI282" s="366">
        <f>SUM('Cal. Arr'!AB285:AY285)</f>
        <v>0</v>
      </c>
      <c r="AJ282" s="442"/>
      <c r="AK282" s="443"/>
      <c r="AL282" s="372">
        <f t="shared" si="90"/>
        <v>0</v>
      </c>
      <c r="AM282" s="372">
        <f>+CONVERT(AK282+Tabla1[[#This Row],[Con. DO Storage Gen. '[m3']]],"m^3","gal")</f>
        <v>0</v>
      </c>
      <c r="AN282" s="372">
        <f>SUM('DO Pilot'!B282:Y282)</f>
        <v>0</v>
      </c>
      <c r="AO282" s="372">
        <f t="shared" si="91"/>
        <v>0</v>
      </c>
      <c r="AP282" s="372">
        <f t="shared" si="92"/>
        <v>0</v>
      </c>
      <c r="AQ282" s="372">
        <f t="shared" si="93"/>
        <v>0</v>
      </c>
      <c r="AR282" s="443"/>
      <c r="AS282" s="443"/>
      <c r="AT282" s="267">
        <f>+CONVERT(SUM(Tabla1[[#This Row],[Repo. DO Storage '[gal']]:[Repo. DO Pilot '[gal']]]),"gal","m3")</f>
        <v>0</v>
      </c>
      <c r="AU282" s="442">
        <v>0</v>
      </c>
      <c r="AV282" s="372">
        <f t="shared" si="94"/>
        <v>0</v>
      </c>
      <c r="AW282" s="442">
        <v>0</v>
      </c>
      <c r="AX282" s="372">
        <f t="shared" si="95"/>
        <v>0</v>
      </c>
      <c r="AY282" s="372">
        <f t="shared" si="82"/>
        <v>0</v>
      </c>
      <c r="AZ282" s="372">
        <f>IFERROR(AL282/'Ar-Pa'!AX282,0)</f>
        <v>0</v>
      </c>
      <c r="BA282" s="372">
        <f>IFERROR(AL282/'Ar-Pa'!AY282,0)</f>
        <v>0</v>
      </c>
      <c r="BB282" s="372">
        <f t="shared" si="83"/>
        <v>0</v>
      </c>
      <c r="BC282" s="372">
        <f>IFERROR(AVERAGEIF('DO Pilot'!AX282:BU282,"&gt;0"),0)</f>
        <v>0</v>
      </c>
      <c r="BD282" s="446"/>
      <c r="BE282" s="446"/>
      <c r="BF282" s="446"/>
      <c r="BG282" s="223">
        <f>Tabla1[[#This Row],[ Re. Gas GC
 '[m3']]]</f>
        <v>0</v>
      </c>
      <c r="BH282" s="150">
        <f>IFERROR((BG282*Gas!$B$4)/28.31685,0)</f>
        <v>0</v>
      </c>
      <c r="BI282" s="73">
        <f t="shared" si="96"/>
        <v>0</v>
      </c>
      <c r="BJ282" s="74">
        <f t="shared" si="87"/>
        <v>0</v>
      </c>
      <c r="BK282" s="223">
        <f t="shared" si="84"/>
        <v>0</v>
      </c>
      <c r="BL282" s="442">
        <v>8920.82</v>
      </c>
      <c r="BM282" s="70">
        <f t="shared" si="85"/>
        <v>0</v>
      </c>
      <c r="BN282" s="70">
        <f t="shared" si="88"/>
        <v>0</v>
      </c>
      <c r="BO282" s="373">
        <f>IFERROR(Tabla1[[#This Row],[ Re. Gas GC
 '[m3']]]/Tabla1[[#This Row],[G. HGS 
Con Gas '[kWh']]],0)</f>
        <v>0</v>
      </c>
      <c r="BP282" s="374">
        <f>Tank!Y283</f>
        <v>0</v>
      </c>
      <c r="BQ282" s="70">
        <f>Tank!AP283</f>
        <v>0</v>
      </c>
      <c r="BR282" s="70">
        <f>Tank!V283</f>
        <v>0</v>
      </c>
      <c r="BS282" s="372">
        <f>Tank!T283</f>
        <v>0</v>
      </c>
      <c r="BT282" s="375" t="s">
        <v>228</v>
      </c>
      <c r="BU282" s="452"/>
      <c r="BV282" s="376">
        <f>IF(Tabla1[[#This Row],[Combustible ofertado]]="GAS",Tabla1[[#This Row],[Disponibilidad]],0)</f>
        <v>0</v>
      </c>
      <c r="BW282" s="376">
        <f>IF(Tabla1[[#This Row],[Combustible ofertado]]="DIESEL",Tabla1[[#This Row],[Disponibilidad]],0)</f>
        <v>0</v>
      </c>
      <c r="BX282" s="376">
        <f>IF(Tabla1[[#This Row],[Combustible ofertado]]="HFO",Tabla1[[#This Row],[Disponibilidad]],0)</f>
        <v>0</v>
      </c>
      <c r="BY282" s="452"/>
      <c r="BZ282" s="446">
        <f>'Horo. M'!C283</f>
        <v>0</v>
      </c>
      <c r="CA282" s="446">
        <f>'Horo. M'!E283</f>
        <v>0</v>
      </c>
      <c r="CB282" s="446">
        <f>'Horo. M'!G283</f>
        <v>0</v>
      </c>
      <c r="CC282" s="446">
        <f>'Horo. M'!I283</f>
        <v>0</v>
      </c>
      <c r="CD282" s="446">
        <f>'Horo. M'!K283</f>
        <v>0</v>
      </c>
      <c r="CE282" s="446">
        <f>'Horo. M'!M283</f>
        <v>0</v>
      </c>
      <c r="CF282" s="446">
        <f>'Horo. M'!O283</f>
        <v>0</v>
      </c>
      <c r="CG282" s="446">
        <f>'Horo. M'!Q283</f>
        <v>0</v>
      </c>
      <c r="CH282" s="446">
        <f>'Horo. M'!S283</f>
        <v>0</v>
      </c>
      <c r="CI282" s="446">
        <f>'Horo. M'!U283</f>
        <v>0</v>
      </c>
      <c r="CJ282" s="70">
        <f>Tabla1[[#This Row],[Con. DO Storage '[gal']]]-Tabla1[[#This Row],[C. DO Storage Ge '[gal']]]</f>
        <v>0</v>
      </c>
      <c r="CK282" s="70"/>
      <c r="CL282" s="70"/>
      <c r="CM282" s="70">
        <f>Tabla1[[#This Row],[Con. DO Total '[gal']]]*131485.5/(1000000)</f>
        <v>0</v>
      </c>
    </row>
    <row r="283" spans="1:91" ht="15" customHeight="1">
      <c r="A283" s="362">
        <v>45208</v>
      </c>
      <c r="B283" s="363" t="str">
        <f>TEXT(Tabla1[[#This Row],[Fecha]],"mmmm")</f>
        <v>octubre</v>
      </c>
      <c r="C283" s="364"/>
      <c r="D283" s="366"/>
      <c r="E283" s="366"/>
      <c r="F283" s="366"/>
      <c r="G283" s="377"/>
      <c r="H283" s="377"/>
      <c r="I283" s="378"/>
      <c r="J283" s="378"/>
      <c r="K283" s="366"/>
      <c r="L283" s="366"/>
      <c r="M283" s="365">
        <f>Tabla1[[#This Row],[Columna1]]-Tabla1[[#This Row],[PO '[h']]]</f>
        <v>0</v>
      </c>
      <c r="N283" s="366">
        <f t="shared" si="89"/>
        <v>0</v>
      </c>
      <c r="O283" s="365"/>
      <c r="P283" s="367">
        <f>Tabla1[[#This Row],[G. HGS 
'[MWh']]]</f>
        <v>0</v>
      </c>
      <c r="Q283" s="430">
        <v>0</v>
      </c>
      <c r="R283" s="367">
        <v>0</v>
      </c>
      <c r="S283" s="367">
        <f>Tabla1[[#This Row],[G. HGS 
Con Gas]]*1000</f>
        <v>0</v>
      </c>
      <c r="T283" s="365">
        <f>Tabla1[[#This Row],[G. HGS 
'[MWh']]]*1000</f>
        <v>0</v>
      </c>
      <c r="U283" s="368">
        <f>SUM('G. Un GE'!B283:Y283)</f>
        <v>0</v>
      </c>
      <c r="V283" s="369">
        <f>Tabla1[[#This Row],[R. GE
'[MWh']]]</f>
        <v>0</v>
      </c>
      <c r="W283" s="434">
        <v>0</v>
      </c>
      <c r="X283" s="369">
        <v>0</v>
      </c>
      <c r="Y283" s="365">
        <f>Tabla1[[#This Row],[R. GE
'[MWh']]]*1000</f>
        <v>0</v>
      </c>
      <c r="Z283" s="371"/>
      <c r="AA28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3" s="371">
        <f>IF(Tabla1[[#This Row],[G. HGS 
'[MWh']]]=0,0,Tabla1[[#This Row],[G. HGS 
'[MWh']]]+Tabla1[[#This Row],[Con. Aux. '[MWh']2]])</f>
        <v>0</v>
      </c>
      <c r="AC283" s="368">
        <f>'C. ENER. TN'!F283</f>
        <v>0</v>
      </c>
      <c r="AD283" s="370">
        <f>'C. ENER. TN'!G283</f>
        <v>0</v>
      </c>
      <c r="AE283" s="370">
        <f>'G. Un GE'!AX283</f>
        <v>0</v>
      </c>
      <c r="AF283" s="368">
        <f>IFERROR('G. Un GE'!AX283/Tabla1[[#This Row],[PO '[h']]],0)</f>
        <v>0</v>
      </c>
      <c r="AG283" s="365">
        <f>'Ar-Pa'!AX283</f>
        <v>0</v>
      </c>
      <c r="AH283" s="365">
        <f>'Ar-Pa'!AY283</f>
        <v>0</v>
      </c>
      <c r="AI283" s="366">
        <f>SUM('Cal. Arr'!AB286:AY286)</f>
        <v>0</v>
      </c>
      <c r="AJ283" s="442"/>
      <c r="AK283" s="443"/>
      <c r="AL283" s="372">
        <f t="shared" si="90"/>
        <v>0</v>
      </c>
      <c r="AM283" s="372">
        <f>+CONVERT(AK283+Tabla1[[#This Row],[Con. DO Storage Gen. '[m3']]],"m^3","gal")</f>
        <v>0</v>
      </c>
      <c r="AN283" s="372">
        <f>SUM('DO Pilot'!B283:Y283)</f>
        <v>0</v>
      </c>
      <c r="AO283" s="372">
        <f t="shared" si="91"/>
        <v>0</v>
      </c>
      <c r="AP283" s="372">
        <f t="shared" si="92"/>
        <v>0</v>
      </c>
      <c r="AQ283" s="372">
        <f t="shared" si="93"/>
        <v>0</v>
      </c>
      <c r="AR283" s="443"/>
      <c r="AS283" s="443"/>
      <c r="AT283" s="267">
        <f>+CONVERT(SUM(Tabla1[[#This Row],[Repo. DO Storage '[gal']]:[Repo. DO Pilot '[gal']]]),"gal","m3")</f>
        <v>0</v>
      </c>
      <c r="AU283" s="442">
        <v>0</v>
      </c>
      <c r="AV283" s="372">
        <f t="shared" si="94"/>
        <v>0</v>
      </c>
      <c r="AW283" s="442">
        <v>0</v>
      </c>
      <c r="AX283" s="372">
        <f t="shared" si="95"/>
        <v>0</v>
      </c>
      <c r="AY283" s="372">
        <f t="shared" si="82"/>
        <v>0</v>
      </c>
      <c r="AZ283" s="372">
        <f>IFERROR(AL283/'Ar-Pa'!AX283,0)</f>
        <v>0</v>
      </c>
      <c r="BA283" s="372">
        <f>IFERROR(AL283/'Ar-Pa'!AY283,0)</f>
        <v>0</v>
      </c>
      <c r="BB283" s="372">
        <f t="shared" si="83"/>
        <v>0</v>
      </c>
      <c r="BC283" s="372">
        <f>IFERROR(AVERAGEIF('DO Pilot'!AX283:BU283,"&gt;0"),0)</f>
        <v>0</v>
      </c>
      <c r="BD283" s="446"/>
      <c r="BE283" s="446"/>
      <c r="BF283" s="446"/>
      <c r="BG283" s="223">
        <f>Tabla1[[#This Row],[ Re. Gas GC
 '[m3']]]</f>
        <v>0</v>
      </c>
      <c r="BH283" s="150">
        <f>IFERROR((BG283*Gas!$B$4)/28.31685,0)</f>
        <v>0</v>
      </c>
      <c r="BI283" s="73">
        <f t="shared" si="96"/>
        <v>0</v>
      </c>
      <c r="BJ283" s="74">
        <f t="shared" si="87"/>
        <v>0</v>
      </c>
      <c r="BK283" s="223">
        <f t="shared" si="84"/>
        <v>0</v>
      </c>
      <c r="BL283" s="442">
        <v>9055.84</v>
      </c>
      <c r="BM283" s="70">
        <f t="shared" si="85"/>
        <v>0</v>
      </c>
      <c r="BN283" s="70">
        <f t="shared" si="88"/>
        <v>0</v>
      </c>
      <c r="BO283" s="373">
        <f>IFERROR(Tabla1[[#This Row],[ Re. Gas GC
 '[m3']]]/Tabla1[[#This Row],[G. HGS 
Con Gas '[kWh']]],0)</f>
        <v>0</v>
      </c>
      <c r="BP283" s="374">
        <f>Tank!Y284</f>
        <v>0</v>
      </c>
      <c r="BQ283" s="70">
        <f>Tank!AP284</f>
        <v>0</v>
      </c>
      <c r="BR283" s="70">
        <f>Tank!V284</f>
        <v>0</v>
      </c>
      <c r="BS283" s="372">
        <f>Tank!T284</f>
        <v>0</v>
      </c>
      <c r="BT283" s="375" t="s">
        <v>228</v>
      </c>
      <c r="BU283" s="452"/>
      <c r="BV283" s="376">
        <f>IF(Tabla1[[#This Row],[Combustible ofertado]]="GAS",Tabla1[[#This Row],[Disponibilidad]],0)</f>
        <v>0</v>
      </c>
      <c r="BW283" s="376">
        <f>IF(Tabla1[[#This Row],[Combustible ofertado]]="DIESEL",Tabla1[[#This Row],[Disponibilidad]],0)</f>
        <v>0</v>
      </c>
      <c r="BX283" s="376">
        <f>IF(Tabla1[[#This Row],[Combustible ofertado]]="HFO",Tabla1[[#This Row],[Disponibilidad]],0)</f>
        <v>0</v>
      </c>
      <c r="BY283" s="452"/>
      <c r="BZ283" s="446">
        <f>'Horo. M'!C284</f>
        <v>0</v>
      </c>
      <c r="CA283" s="446">
        <f>'Horo. M'!E284</f>
        <v>0</v>
      </c>
      <c r="CB283" s="446">
        <f>'Horo. M'!G284</f>
        <v>0</v>
      </c>
      <c r="CC283" s="446">
        <f>'Horo. M'!I284</f>
        <v>0</v>
      </c>
      <c r="CD283" s="446">
        <f>'Horo. M'!K284</f>
        <v>0</v>
      </c>
      <c r="CE283" s="446">
        <f>'Horo. M'!M284</f>
        <v>0</v>
      </c>
      <c r="CF283" s="446">
        <f>'Horo. M'!O284</f>
        <v>0</v>
      </c>
      <c r="CG283" s="446">
        <f>'Horo. M'!Q284</f>
        <v>0</v>
      </c>
      <c r="CH283" s="446">
        <f>'Horo. M'!S284</f>
        <v>0</v>
      </c>
      <c r="CI283" s="446">
        <f>'Horo. M'!U284</f>
        <v>0</v>
      </c>
      <c r="CJ283" s="70">
        <f>Tabla1[[#This Row],[Con. DO Storage '[gal']]]-Tabla1[[#This Row],[C. DO Storage Ge '[gal']]]</f>
        <v>0</v>
      </c>
      <c r="CK283" s="70"/>
      <c r="CL283" s="70"/>
      <c r="CM283" s="70">
        <f>Tabla1[[#This Row],[Con. DO Total '[gal']]]*131485.5/(1000000)</f>
        <v>0</v>
      </c>
    </row>
    <row r="284" spans="1:91" ht="15" customHeight="1">
      <c r="A284" s="362">
        <v>45209</v>
      </c>
      <c r="B284" s="363" t="str">
        <f>TEXT(Tabla1[[#This Row],[Fecha]],"mmmm")</f>
        <v>octubre</v>
      </c>
      <c r="C284" s="364"/>
      <c r="D284" s="366"/>
      <c r="E284" s="366"/>
      <c r="F284" s="366"/>
      <c r="G284" s="377"/>
      <c r="H284" s="377"/>
      <c r="I284" s="378"/>
      <c r="J284" s="378"/>
      <c r="K284" s="366"/>
      <c r="L284" s="366"/>
      <c r="M284" s="365">
        <f>Tabla1[[#This Row],[Columna1]]-Tabla1[[#This Row],[PO '[h']]]</f>
        <v>0</v>
      </c>
      <c r="N284" s="366">
        <f t="shared" si="89"/>
        <v>0</v>
      </c>
      <c r="O284" s="365"/>
      <c r="P284" s="367">
        <f>Tabla1[[#This Row],[G. HGS 
'[MWh']]]</f>
        <v>0</v>
      </c>
      <c r="Q284" s="430">
        <v>0</v>
      </c>
      <c r="R284" s="367">
        <v>0</v>
      </c>
      <c r="S284" s="367">
        <f>Tabla1[[#This Row],[G. HGS 
Con Gas]]*1000</f>
        <v>0</v>
      </c>
      <c r="T284" s="365">
        <f>Tabla1[[#This Row],[G. HGS 
'[MWh']]]*1000</f>
        <v>0</v>
      </c>
      <c r="U284" s="368">
        <f>SUM('G. Un GE'!B284:Y284)</f>
        <v>0</v>
      </c>
      <c r="V284" s="369">
        <f>Tabla1[[#This Row],[R. GE
'[MWh']]]</f>
        <v>0</v>
      </c>
      <c r="W284" s="434">
        <v>0</v>
      </c>
      <c r="X284" s="369">
        <v>0</v>
      </c>
      <c r="Y284" s="365">
        <f>Tabla1[[#This Row],[R. GE
'[MWh']]]*1000</f>
        <v>0</v>
      </c>
      <c r="Z284" s="371"/>
      <c r="AA28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4" s="371">
        <f>IF(Tabla1[[#This Row],[G. HGS 
'[MWh']]]=0,0,Tabla1[[#This Row],[G. HGS 
'[MWh']]]+Tabla1[[#This Row],[Con. Aux. '[MWh']2]])</f>
        <v>0</v>
      </c>
      <c r="AC284" s="368">
        <f>'C. ENER. TN'!F284</f>
        <v>0</v>
      </c>
      <c r="AD284" s="370">
        <f>'C. ENER. TN'!G284</f>
        <v>0</v>
      </c>
      <c r="AE284" s="370">
        <f>'G. Un GE'!AX284</f>
        <v>0</v>
      </c>
      <c r="AF284" s="368">
        <f>IFERROR('G. Un GE'!AX284/Tabla1[[#This Row],[PO '[h']]],0)</f>
        <v>0</v>
      </c>
      <c r="AG284" s="365">
        <f>'Ar-Pa'!AX284</f>
        <v>0</v>
      </c>
      <c r="AH284" s="365">
        <f>'Ar-Pa'!AY284</f>
        <v>0</v>
      </c>
      <c r="AI284" s="366">
        <f>SUM('Cal. Arr'!AB287:AY287)</f>
        <v>0</v>
      </c>
      <c r="AJ284" s="442"/>
      <c r="AK284" s="443"/>
      <c r="AL284" s="372">
        <f t="shared" si="90"/>
        <v>0</v>
      </c>
      <c r="AM284" s="372">
        <f>+CONVERT(AK284+Tabla1[[#This Row],[Con. DO Storage Gen. '[m3']]],"m^3","gal")</f>
        <v>0</v>
      </c>
      <c r="AN284" s="372">
        <f>SUM('DO Pilot'!B284:Y284)</f>
        <v>0</v>
      </c>
      <c r="AO284" s="372">
        <f t="shared" si="91"/>
        <v>0</v>
      </c>
      <c r="AP284" s="372">
        <f t="shared" si="92"/>
        <v>0</v>
      </c>
      <c r="AQ284" s="372">
        <f t="shared" si="93"/>
        <v>0</v>
      </c>
      <c r="AR284" s="443"/>
      <c r="AS284" s="443"/>
      <c r="AT284" s="267">
        <f>+CONVERT(SUM(Tabla1[[#This Row],[Repo. DO Storage '[gal']]:[Repo. DO Pilot '[gal']]]),"gal","m3")</f>
        <v>0</v>
      </c>
      <c r="AU284" s="442">
        <v>0</v>
      </c>
      <c r="AV284" s="372">
        <f t="shared" si="94"/>
        <v>0</v>
      </c>
      <c r="AW284" s="442">
        <v>0</v>
      </c>
      <c r="AX284" s="372">
        <f t="shared" si="95"/>
        <v>0</v>
      </c>
      <c r="AY284" s="372">
        <f t="shared" si="82"/>
        <v>0</v>
      </c>
      <c r="AZ284" s="372">
        <f>IFERROR(AL284/'Ar-Pa'!AX284,0)</f>
        <v>0</v>
      </c>
      <c r="BA284" s="372">
        <f>IFERROR(AL284/'Ar-Pa'!AY284,0)</f>
        <v>0</v>
      </c>
      <c r="BB284" s="372">
        <f t="shared" si="83"/>
        <v>0</v>
      </c>
      <c r="BC284" s="372">
        <f>IFERROR(AVERAGEIF('DO Pilot'!AX284:BU284,"&gt;0"),0)</f>
        <v>0</v>
      </c>
      <c r="BD284" s="446"/>
      <c r="BE284" s="446"/>
      <c r="BF284" s="446"/>
      <c r="BG284" s="223">
        <f>Tabla1[[#This Row],[ Re. Gas GC
 '[m3']]]</f>
        <v>0</v>
      </c>
      <c r="BH284" s="150">
        <f>IFERROR((BG284*Gas!$B$4)/28.31685,0)</f>
        <v>0</v>
      </c>
      <c r="BI284" s="73">
        <f t="shared" si="96"/>
        <v>0</v>
      </c>
      <c r="BJ284" s="74">
        <f t="shared" si="87"/>
        <v>0</v>
      </c>
      <c r="BK284" s="223">
        <f t="shared" si="84"/>
        <v>0</v>
      </c>
      <c r="BL284" s="442">
        <v>8975.6200000000008</v>
      </c>
      <c r="BM284" s="70">
        <f t="shared" si="85"/>
        <v>0</v>
      </c>
      <c r="BN284" s="70">
        <f t="shared" si="88"/>
        <v>0</v>
      </c>
      <c r="BO284" s="373">
        <f>IFERROR(Tabla1[[#This Row],[ Re. Gas GC
 '[m3']]]/Tabla1[[#This Row],[G. HGS 
Con Gas '[kWh']]],0)</f>
        <v>0</v>
      </c>
      <c r="BP284" s="374">
        <f>Tank!Y285</f>
        <v>0</v>
      </c>
      <c r="BQ284" s="70">
        <f>Tank!AP285</f>
        <v>0</v>
      </c>
      <c r="BR284" s="70">
        <f>Tank!V285</f>
        <v>0</v>
      </c>
      <c r="BS284" s="372">
        <f>Tank!T285</f>
        <v>0</v>
      </c>
      <c r="BT284" s="375" t="s">
        <v>228</v>
      </c>
      <c r="BU284" s="452"/>
      <c r="BV284" s="376">
        <f>IF(Tabla1[[#This Row],[Combustible ofertado]]="GAS",Tabla1[[#This Row],[Disponibilidad]],0)</f>
        <v>0</v>
      </c>
      <c r="BW284" s="376">
        <f>IF(Tabla1[[#This Row],[Combustible ofertado]]="DIESEL",Tabla1[[#This Row],[Disponibilidad]],0)</f>
        <v>0</v>
      </c>
      <c r="BX284" s="376">
        <f>IF(Tabla1[[#This Row],[Combustible ofertado]]="HFO",Tabla1[[#This Row],[Disponibilidad]],0)</f>
        <v>0</v>
      </c>
      <c r="BY284" s="452"/>
      <c r="BZ284" s="446">
        <f>'Horo. M'!C285</f>
        <v>0</v>
      </c>
      <c r="CA284" s="446">
        <f>'Horo. M'!E285</f>
        <v>0</v>
      </c>
      <c r="CB284" s="446">
        <f>'Horo. M'!G285</f>
        <v>0</v>
      </c>
      <c r="CC284" s="446">
        <f>'Horo. M'!I285</f>
        <v>0</v>
      </c>
      <c r="CD284" s="446">
        <f>'Horo. M'!K285</f>
        <v>0</v>
      </c>
      <c r="CE284" s="446">
        <f>'Horo. M'!M285</f>
        <v>0</v>
      </c>
      <c r="CF284" s="446">
        <f>'Horo. M'!O285</f>
        <v>0</v>
      </c>
      <c r="CG284" s="446">
        <f>'Horo. M'!Q285</f>
        <v>0</v>
      </c>
      <c r="CH284" s="446">
        <f>'Horo. M'!S285</f>
        <v>0</v>
      </c>
      <c r="CI284" s="446">
        <f>'Horo. M'!U285</f>
        <v>0</v>
      </c>
      <c r="CJ284" s="70">
        <f>Tabla1[[#This Row],[Con. DO Storage '[gal']]]-Tabla1[[#This Row],[C. DO Storage Ge '[gal']]]</f>
        <v>0</v>
      </c>
      <c r="CK284" s="70"/>
      <c r="CL284" s="70"/>
      <c r="CM284" s="70">
        <f>Tabla1[[#This Row],[Con. DO Total '[gal']]]*131485.5/(1000000)</f>
        <v>0</v>
      </c>
    </row>
    <row r="285" spans="1:91" ht="15" customHeight="1">
      <c r="A285" s="362">
        <v>45210</v>
      </c>
      <c r="B285" s="363" t="str">
        <f>TEXT(Tabla1[[#This Row],[Fecha]],"mmmm")</f>
        <v>octubre</v>
      </c>
      <c r="C285" s="364"/>
      <c r="D285" s="366"/>
      <c r="E285" s="366"/>
      <c r="F285" s="366"/>
      <c r="G285" s="377"/>
      <c r="H285" s="377"/>
      <c r="I285" s="378"/>
      <c r="J285" s="378"/>
      <c r="K285" s="366"/>
      <c r="L285" s="366"/>
      <c r="M285" s="365">
        <f>Tabla1[[#This Row],[Columna1]]-Tabla1[[#This Row],[PO '[h']]]</f>
        <v>0</v>
      </c>
      <c r="N285" s="366">
        <f t="shared" si="89"/>
        <v>0</v>
      </c>
      <c r="O285" s="365"/>
      <c r="P285" s="367">
        <f>Tabla1[[#This Row],[G. HGS 
'[MWh']]]</f>
        <v>0</v>
      </c>
      <c r="Q285" s="430">
        <v>0</v>
      </c>
      <c r="R285" s="367">
        <v>0</v>
      </c>
      <c r="S285" s="367">
        <f>Tabla1[[#This Row],[G. HGS 
Con Gas]]*1000</f>
        <v>0</v>
      </c>
      <c r="T285" s="365">
        <f>Tabla1[[#This Row],[G. HGS 
'[MWh']]]*1000</f>
        <v>0</v>
      </c>
      <c r="U285" s="368">
        <f>SUM('G. Un GE'!B285:Y285)</f>
        <v>0</v>
      </c>
      <c r="V285" s="369">
        <f>Tabla1[[#This Row],[R. GE
'[MWh']]]</f>
        <v>0</v>
      </c>
      <c r="W285" s="434">
        <v>0</v>
      </c>
      <c r="X285" s="369">
        <v>0</v>
      </c>
      <c r="Y285" s="365">
        <f>Tabla1[[#This Row],[R. GE
'[MWh']]]*1000</f>
        <v>0</v>
      </c>
      <c r="Z285" s="371"/>
      <c r="AA28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5" s="371">
        <f>IF(Tabla1[[#This Row],[G. HGS 
'[MWh']]]=0,0,Tabla1[[#This Row],[G. HGS 
'[MWh']]]+Tabla1[[#This Row],[Con. Aux. '[MWh']2]])</f>
        <v>0</v>
      </c>
      <c r="AC285" s="368">
        <f>'C. ENER. TN'!F285</f>
        <v>0</v>
      </c>
      <c r="AD285" s="370">
        <f>'C. ENER. TN'!G285</f>
        <v>0</v>
      </c>
      <c r="AE285" s="370">
        <f>'G. Un GE'!AX285</f>
        <v>0</v>
      </c>
      <c r="AF285" s="368">
        <f>IFERROR('G. Un GE'!AX285/Tabla1[[#This Row],[PO '[h']]],0)</f>
        <v>0</v>
      </c>
      <c r="AG285" s="365">
        <f>'Ar-Pa'!AX285</f>
        <v>0</v>
      </c>
      <c r="AH285" s="365">
        <f>'Ar-Pa'!AY285</f>
        <v>0</v>
      </c>
      <c r="AI285" s="366">
        <f>SUM('Cal. Arr'!AB288:AY288)</f>
        <v>0</v>
      </c>
      <c r="AJ285" s="442"/>
      <c r="AK285" s="443"/>
      <c r="AL285" s="372">
        <f t="shared" si="90"/>
        <v>0</v>
      </c>
      <c r="AM285" s="372">
        <f>+CONVERT(AK285+Tabla1[[#This Row],[Con. DO Storage Gen. '[m3']]],"m^3","gal")</f>
        <v>0</v>
      </c>
      <c r="AN285" s="372">
        <f>SUM('DO Pilot'!B285:Y285)</f>
        <v>0</v>
      </c>
      <c r="AO285" s="372">
        <f t="shared" si="91"/>
        <v>0</v>
      </c>
      <c r="AP285" s="372">
        <f t="shared" si="92"/>
        <v>0</v>
      </c>
      <c r="AQ285" s="372">
        <f t="shared" si="93"/>
        <v>0</v>
      </c>
      <c r="AR285" s="443"/>
      <c r="AS285" s="443"/>
      <c r="AT285" s="267">
        <f>+CONVERT(SUM(Tabla1[[#This Row],[Repo. DO Storage '[gal']]:[Repo. DO Pilot '[gal']]]),"gal","m3")</f>
        <v>0</v>
      </c>
      <c r="AU285" s="442">
        <v>0</v>
      </c>
      <c r="AV285" s="372">
        <f t="shared" si="94"/>
        <v>0</v>
      </c>
      <c r="AW285" s="442">
        <v>0</v>
      </c>
      <c r="AX285" s="372">
        <f t="shared" si="95"/>
        <v>0</v>
      </c>
      <c r="AY285" s="372">
        <f t="shared" si="82"/>
        <v>0</v>
      </c>
      <c r="AZ285" s="372">
        <f>IFERROR(AL285/'Ar-Pa'!AX285,0)</f>
        <v>0</v>
      </c>
      <c r="BA285" s="372">
        <f>IFERROR(AL285/'Ar-Pa'!AY285,0)</f>
        <v>0</v>
      </c>
      <c r="BB285" s="372">
        <f t="shared" si="83"/>
        <v>0</v>
      </c>
      <c r="BC285" s="372">
        <f>IFERROR(AVERAGEIF('DO Pilot'!AX285:BU285,"&gt;0"),0)</f>
        <v>0</v>
      </c>
      <c r="BD285" s="446"/>
      <c r="BE285" s="446"/>
      <c r="BF285" s="446"/>
      <c r="BG285" s="223">
        <f>Tabla1[[#This Row],[ Re. Gas GC
 '[m3']]]</f>
        <v>0</v>
      </c>
      <c r="BH285" s="150">
        <f>IFERROR((BG285*Gas!$B$4)/28.31685,0)</f>
        <v>0</v>
      </c>
      <c r="BI285" s="73">
        <f t="shared" si="96"/>
        <v>0</v>
      </c>
      <c r="BJ285" s="74">
        <f t="shared" si="87"/>
        <v>0</v>
      </c>
      <c r="BK285" s="223">
        <f t="shared" si="84"/>
        <v>0</v>
      </c>
      <c r="BL285" s="442">
        <v>8891.41</v>
      </c>
      <c r="BM285" s="70">
        <f t="shared" si="85"/>
        <v>0</v>
      </c>
      <c r="BN285" s="70">
        <f t="shared" si="88"/>
        <v>0</v>
      </c>
      <c r="BO285" s="373">
        <f>IFERROR(Tabla1[[#This Row],[ Re. Gas GC
 '[m3']]]/Tabla1[[#This Row],[G. HGS 
Con Gas '[kWh']]],0)</f>
        <v>0</v>
      </c>
      <c r="BP285" s="374">
        <f>Tank!Y286</f>
        <v>0</v>
      </c>
      <c r="BQ285" s="70">
        <f>Tank!AP286</f>
        <v>0</v>
      </c>
      <c r="BR285" s="70">
        <f>Tank!V286</f>
        <v>0</v>
      </c>
      <c r="BS285" s="372">
        <f>Tank!T286</f>
        <v>0</v>
      </c>
      <c r="BT285" s="375" t="s">
        <v>228</v>
      </c>
      <c r="BU285" s="452"/>
      <c r="BV285" s="376">
        <f>IF(Tabla1[[#This Row],[Combustible ofertado]]="GAS",Tabla1[[#This Row],[Disponibilidad]],0)</f>
        <v>0</v>
      </c>
      <c r="BW285" s="376">
        <f>IF(Tabla1[[#This Row],[Combustible ofertado]]="DIESEL",Tabla1[[#This Row],[Disponibilidad]],0)</f>
        <v>0</v>
      </c>
      <c r="BX285" s="376">
        <f>IF(Tabla1[[#This Row],[Combustible ofertado]]="HFO",Tabla1[[#This Row],[Disponibilidad]],0)</f>
        <v>0</v>
      </c>
      <c r="BY285" s="452"/>
      <c r="BZ285" s="446">
        <f>'Horo. M'!C286</f>
        <v>0</v>
      </c>
      <c r="CA285" s="446">
        <f>'Horo. M'!E286</f>
        <v>0</v>
      </c>
      <c r="CB285" s="446">
        <f>'Horo. M'!G286</f>
        <v>0</v>
      </c>
      <c r="CC285" s="446">
        <f>'Horo. M'!I286</f>
        <v>0</v>
      </c>
      <c r="CD285" s="446">
        <f>'Horo. M'!K286</f>
        <v>0</v>
      </c>
      <c r="CE285" s="446">
        <f>'Horo. M'!M286</f>
        <v>0</v>
      </c>
      <c r="CF285" s="446">
        <f>'Horo. M'!O286</f>
        <v>0</v>
      </c>
      <c r="CG285" s="446">
        <f>'Horo. M'!Q286</f>
        <v>0</v>
      </c>
      <c r="CH285" s="446">
        <f>'Horo. M'!S286</f>
        <v>0</v>
      </c>
      <c r="CI285" s="446">
        <f>'Horo. M'!U286</f>
        <v>0</v>
      </c>
      <c r="CJ285" s="70">
        <f>Tabla1[[#This Row],[Con. DO Storage '[gal']]]-Tabla1[[#This Row],[C. DO Storage Ge '[gal']]]</f>
        <v>0</v>
      </c>
      <c r="CK285" s="70"/>
      <c r="CL285" s="70"/>
      <c r="CM285" s="70">
        <f>Tabla1[[#This Row],[Con. DO Total '[gal']]]*131485.5/(1000000)</f>
        <v>0</v>
      </c>
    </row>
    <row r="286" spans="1:91" ht="15" customHeight="1">
      <c r="A286" s="362">
        <v>45211</v>
      </c>
      <c r="B286" s="363" t="str">
        <f>TEXT(Tabla1[[#This Row],[Fecha]],"mmmm")</f>
        <v>octubre</v>
      </c>
      <c r="C286" s="364"/>
      <c r="D286" s="366"/>
      <c r="E286" s="366"/>
      <c r="F286" s="366"/>
      <c r="G286" s="377"/>
      <c r="H286" s="377"/>
      <c r="I286" s="378"/>
      <c r="J286" s="378"/>
      <c r="K286" s="366"/>
      <c r="L286" s="366"/>
      <c r="M286" s="365">
        <f>Tabla1[[#This Row],[Columna1]]-Tabla1[[#This Row],[PO '[h']]]</f>
        <v>0</v>
      </c>
      <c r="N286" s="366">
        <f t="shared" si="89"/>
        <v>0</v>
      </c>
      <c r="O286" s="365"/>
      <c r="P286" s="367">
        <f>Tabla1[[#This Row],[G. HGS 
'[MWh']]]</f>
        <v>0</v>
      </c>
      <c r="Q286" s="430">
        <v>0</v>
      </c>
      <c r="R286" s="367">
        <v>0</v>
      </c>
      <c r="S286" s="367">
        <f>Tabla1[[#This Row],[G. HGS 
Con Gas]]*1000</f>
        <v>0</v>
      </c>
      <c r="T286" s="365">
        <f>Tabla1[[#This Row],[G. HGS 
'[MWh']]]*1000</f>
        <v>0</v>
      </c>
      <c r="U286" s="368">
        <f>SUM('G. Un GE'!B286:Y286)</f>
        <v>0</v>
      </c>
      <c r="V286" s="369">
        <f>Tabla1[[#This Row],[R. GE
'[MWh']]]</f>
        <v>0</v>
      </c>
      <c r="W286" s="434">
        <v>0</v>
      </c>
      <c r="X286" s="369">
        <v>0</v>
      </c>
      <c r="Y286" s="365">
        <f>Tabla1[[#This Row],[R. GE
'[MWh']]]*1000</f>
        <v>0</v>
      </c>
      <c r="Z286" s="371"/>
      <c r="AA28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6" s="371">
        <f>IF(Tabla1[[#This Row],[G. HGS 
'[MWh']]]=0,0,Tabla1[[#This Row],[G. HGS 
'[MWh']]]+Tabla1[[#This Row],[Con. Aux. '[MWh']2]])</f>
        <v>0</v>
      </c>
      <c r="AC286" s="368">
        <f>'C. ENER. TN'!F286</f>
        <v>0</v>
      </c>
      <c r="AD286" s="370">
        <f>'C. ENER. TN'!G286</f>
        <v>0</v>
      </c>
      <c r="AE286" s="370">
        <f>'G. Un GE'!AX286</f>
        <v>0</v>
      </c>
      <c r="AF286" s="368">
        <f>IFERROR('G. Un GE'!AX286/Tabla1[[#This Row],[PO '[h']]],0)</f>
        <v>0</v>
      </c>
      <c r="AG286" s="365">
        <f>'Ar-Pa'!AX286</f>
        <v>0</v>
      </c>
      <c r="AH286" s="365">
        <f>'Ar-Pa'!AY286</f>
        <v>0</v>
      </c>
      <c r="AI286" s="366">
        <f>SUM('Cal. Arr'!AB289:AY289)</f>
        <v>0</v>
      </c>
      <c r="AJ286" s="442"/>
      <c r="AK286" s="443"/>
      <c r="AL286" s="372">
        <f t="shared" si="90"/>
        <v>0</v>
      </c>
      <c r="AM286" s="372">
        <f>+CONVERT(AK286+Tabla1[[#This Row],[Con. DO Storage Gen. '[m3']]],"m^3","gal")</f>
        <v>0</v>
      </c>
      <c r="AN286" s="372">
        <f>SUM('DO Pilot'!B286:Y286)</f>
        <v>0</v>
      </c>
      <c r="AO286" s="372">
        <f t="shared" si="91"/>
        <v>0</v>
      </c>
      <c r="AP286" s="372">
        <f t="shared" si="92"/>
        <v>0</v>
      </c>
      <c r="AQ286" s="372">
        <f t="shared" si="93"/>
        <v>0</v>
      </c>
      <c r="AR286" s="443"/>
      <c r="AS286" s="443"/>
      <c r="AT286" s="267">
        <f>+CONVERT(SUM(Tabla1[[#This Row],[Repo. DO Storage '[gal']]:[Repo. DO Pilot '[gal']]]),"gal","m3")</f>
        <v>0</v>
      </c>
      <c r="AU286" s="442">
        <v>0</v>
      </c>
      <c r="AV286" s="372">
        <f t="shared" si="94"/>
        <v>0</v>
      </c>
      <c r="AW286" s="442">
        <v>0</v>
      </c>
      <c r="AX286" s="372">
        <f t="shared" si="95"/>
        <v>0</v>
      </c>
      <c r="AY286" s="372">
        <f t="shared" si="82"/>
        <v>0</v>
      </c>
      <c r="AZ286" s="372">
        <f>IFERROR(AL286/'Ar-Pa'!AX286,0)</f>
        <v>0</v>
      </c>
      <c r="BA286" s="372">
        <f>IFERROR(AL286/'Ar-Pa'!AY286,0)</f>
        <v>0</v>
      </c>
      <c r="BB286" s="372">
        <f t="shared" si="83"/>
        <v>0</v>
      </c>
      <c r="BC286" s="372">
        <f>IFERROR(AVERAGEIF('DO Pilot'!AX286:BU286,"&gt;0"),0)</f>
        <v>0</v>
      </c>
      <c r="BD286" s="446"/>
      <c r="BE286" s="446"/>
      <c r="BF286" s="446"/>
      <c r="BG286" s="223">
        <f>Tabla1[[#This Row],[ Re. Gas GC
 '[m3']]]</f>
        <v>0</v>
      </c>
      <c r="BH286" s="150">
        <f>IFERROR((BG286*Gas!$B$4)/28.31685,0)</f>
        <v>0</v>
      </c>
      <c r="BI286" s="73">
        <f t="shared" si="96"/>
        <v>0</v>
      </c>
      <c r="BJ286" s="74">
        <f t="shared" si="87"/>
        <v>0</v>
      </c>
      <c r="BK286" s="223">
        <f t="shared" si="84"/>
        <v>0</v>
      </c>
      <c r="BL286" s="442">
        <v>8868.44</v>
      </c>
      <c r="BM286" s="70">
        <f t="shared" si="85"/>
        <v>0</v>
      </c>
      <c r="BN286" s="70">
        <f t="shared" si="88"/>
        <v>0</v>
      </c>
      <c r="BO286" s="373">
        <f>IFERROR(Tabla1[[#This Row],[ Re. Gas GC
 '[m3']]]/Tabla1[[#This Row],[G. HGS 
Con Gas '[kWh']]],0)</f>
        <v>0</v>
      </c>
      <c r="BP286" s="374">
        <f>Tank!Y287</f>
        <v>0</v>
      </c>
      <c r="BQ286" s="70">
        <f>Tank!AP287</f>
        <v>0</v>
      </c>
      <c r="BR286" s="70">
        <f>Tank!V287</f>
        <v>0</v>
      </c>
      <c r="BS286" s="372">
        <f>Tank!T287</f>
        <v>0</v>
      </c>
      <c r="BT286" s="375" t="s">
        <v>228</v>
      </c>
      <c r="BU286" s="452"/>
      <c r="BV286" s="376">
        <f>IF(Tabla1[[#This Row],[Combustible ofertado]]="GAS",Tabla1[[#This Row],[Disponibilidad]],0)</f>
        <v>0</v>
      </c>
      <c r="BW286" s="376">
        <f>IF(Tabla1[[#This Row],[Combustible ofertado]]="DIESEL",Tabla1[[#This Row],[Disponibilidad]],0)</f>
        <v>0</v>
      </c>
      <c r="BX286" s="376">
        <f>IF(Tabla1[[#This Row],[Combustible ofertado]]="HFO",Tabla1[[#This Row],[Disponibilidad]],0)</f>
        <v>0</v>
      </c>
      <c r="BY286" s="452"/>
      <c r="BZ286" s="446">
        <f>'Horo. M'!C287</f>
        <v>0</v>
      </c>
      <c r="CA286" s="446">
        <f>'Horo. M'!E287</f>
        <v>0</v>
      </c>
      <c r="CB286" s="446">
        <f>'Horo. M'!G287</f>
        <v>0</v>
      </c>
      <c r="CC286" s="446">
        <f>'Horo. M'!I287</f>
        <v>0</v>
      </c>
      <c r="CD286" s="446">
        <f>'Horo. M'!K287</f>
        <v>0</v>
      </c>
      <c r="CE286" s="446">
        <f>'Horo. M'!M287</f>
        <v>0</v>
      </c>
      <c r="CF286" s="446">
        <f>'Horo. M'!O287</f>
        <v>0</v>
      </c>
      <c r="CG286" s="446">
        <f>'Horo. M'!Q287</f>
        <v>0</v>
      </c>
      <c r="CH286" s="446">
        <f>'Horo. M'!S287</f>
        <v>0</v>
      </c>
      <c r="CI286" s="446">
        <f>'Horo. M'!U287</f>
        <v>0</v>
      </c>
      <c r="CJ286" s="70">
        <f>Tabla1[[#This Row],[Con. DO Storage '[gal']]]-Tabla1[[#This Row],[C. DO Storage Ge '[gal']]]</f>
        <v>0</v>
      </c>
      <c r="CK286" s="70"/>
      <c r="CL286" s="70"/>
      <c r="CM286" s="70">
        <f>Tabla1[[#This Row],[Con. DO Total '[gal']]]*131485.5/(1000000)</f>
        <v>0</v>
      </c>
    </row>
    <row r="287" spans="1:91" ht="15" customHeight="1">
      <c r="A287" s="362">
        <v>45212</v>
      </c>
      <c r="B287" s="363" t="str">
        <f>TEXT(Tabla1[[#This Row],[Fecha]],"mmmm")</f>
        <v>octubre</v>
      </c>
      <c r="C287" s="364"/>
      <c r="D287" s="366"/>
      <c r="E287" s="366"/>
      <c r="F287" s="366"/>
      <c r="G287" s="377"/>
      <c r="H287" s="377"/>
      <c r="I287" s="378"/>
      <c r="J287" s="378"/>
      <c r="K287" s="366"/>
      <c r="L287" s="366"/>
      <c r="M287" s="365">
        <f>Tabla1[[#This Row],[Columna1]]-Tabla1[[#This Row],[PO '[h']]]</f>
        <v>0</v>
      </c>
      <c r="N287" s="366">
        <f t="shared" si="89"/>
        <v>0</v>
      </c>
      <c r="O287" s="365"/>
      <c r="P287" s="367">
        <f>Tabla1[[#This Row],[G. HGS 
'[MWh']]]</f>
        <v>0</v>
      </c>
      <c r="Q287" s="430">
        <v>0</v>
      </c>
      <c r="R287" s="367">
        <v>0</v>
      </c>
      <c r="S287" s="367">
        <f>Tabla1[[#This Row],[G. HGS 
Con Gas]]*1000</f>
        <v>0</v>
      </c>
      <c r="T287" s="365">
        <f>Tabla1[[#This Row],[G. HGS 
'[MWh']]]*1000</f>
        <v>0</v>
      </c>
      <c r="U287" s="368">
        <f>SUM('G. Un GE'!B287:Y287)</f>
        <v>0</v>
      </c>
      <c r="V287" s="369">
        <f>Tabla1[[#This Row],[R. GE
'[MWh']]]</f>
        <v>0</v>
      </c>
      <c r="W287" s="434">
        <v>0</v>
      </c>
      <c r="X287" s="369">
        <v>0</v>
      </c>
      <c r="Y287" s="365">
        <f>Tabla1[[#This Row],[R. GE
'[MWh']]]*1000</f>
        <v>0</v>
      </c>
      <c r="Z287" s="371"/>
      <c r="AA28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7" s="371">
        <f>IF(Tabla1[[#This Row],[G. HGS 
'[MWh']]]=0,0,Tabla1[[#This Row],[G. HGS 
'[MWh']]]+Tabla1[[#This Row],[Con. Aux. '[MWh']2]])</f>
        <v>0</v>
      </c>
      <c r="AC287" s="368">
        <f>'C. ENER. TN'!F287</f>
        <v>0</v>
      </c>
      <c r="AD287" s="370">
        <f>'C. ENER. TN'!G287</f>
        <v>0</v>
      </c>
      <c r="AE287" s="370">
        <f>'G. Un GE'!AX287</f>
        <v>0</v>
      </c>
      <c r="AF287" s="368">
        <f>IFERROR('G. Un GE'!AX287/Tabla1[[#This Row],[PO '[h']]],0)</f>
        <v>0</v>
      </c>
      <c r="AG287" s="365">
        <f>'Ar-Pa'!AX287</f>
        <v>0</v>
      </c>
      <c r="AH287" s="365">
        <f>'Ar-Pa'!AY287</f>
        <v>0</v>
      </c>
      <c r="AI287" s="366">
        <f>SUM('Cal. Arr'!AB290:AY290)</f>
        <v>0</v>
      </c>
      <c r="AJ287" s="442"/>
      <c r="AK287" s="443"/>
      <c r="AL287" s="372">
        <f t="shared" si="90"/>
        <v>0</v>
      </c>
      <c r="AM287" s="372">
        <f>+CONVERT(AK287+Tabla1[[#This Row],[Con. DO Storage Gen. '[m3']]],"m^3","gal")</f>
        <v>0</v>
      </c>
      <c r="AN287" s="372">
        <f>SUM('DO Pilot'!B287:Y287)</f>
        <v>0</v>
      </c>
      <c r="AO287" s="372">
        <f t="shared" si="91"/>
        <v>0</v>
      </c>
      <c r="AP287" s="372">
        <f t="shared" si="92"/>
        <v>0</v>
      </c>
      <c r="AQ287" s="372">
        <f t="shared" si="93"/>
        <v>0</v>
      </c>
      <c r="AR287" s="443"/>
      <c r="AS287" s="443"/>
      <c r="AT287" s="267">
        <f>+CONVERT(SUM(Tabla1[[#This Row],[Repo. DO Storage '[gal']]:[Repo. DO Pilot '[gal']]]),"gal","m3")</f>
        <v>0</v>
      </c>
      <c r="AU287" s="442">
        <v>0</v>
      </c>
      <c r="AV287" s="372">
        <f t="shared" si="94"/>
        <v>0</v>
      </c>
      <c r="AW287" s="442">
        <v>0</v>
      </c>
      <c r="AX287" s="372">
        <f t="shared" si="95"/>
        <v>0</v>
      </c>
      <c r="AY287" s="372">
        <f t="shared" si="82"/>
        <v>0</v>
      </c>
      <c r="AZ287" s="372">
        <f>IFERROR(AL287/'Ar-Pa'!AX287,0)</f>
        <v>0</v>
      </c>
      <c r="BA287" s="372">
        <f>IFERROR(AL287/'Ar-Pa'!AY287,0)</f>
        <v>0</v>
      </c>
      <c r="BB287" s="372">
        <f t="shared" si="83"/>
        <v>0</v>
      </c>
      <c r="BC287" s="372">
        <f>IFERROR(AVERAGEIF('DO Pilot'!AX287:BU287,"&gt;0"),0)</f>
        <v>0</v>
      </c>
      <c r="BD287" s="446"/>
      <c r="BE287" s="446"/>
      <c r="BF287" s="446"/>
      <c r="BG287" s="223">
        <f>Tabla1[[#This Row],[ Re. Gas GC
 '[m3']]]</f>
        <v>0</v>
      </c>
      <c r="BH287" s="150">
        <f>IFERROR((BG287*Gas!$B$4)/28.31685,0)</f>
        <v>0</v>
      </c>
      <c r="BI287" s="73">
        <f t="shared" si="96"/>
        <v>0</v>
      </c>
      <c r="BJ287" s="74">
        <f t="shared" si="87"/>
        <v>0</v>
      </c>
      <c r="BK287" s="223">
        <f t="shared" si="84"/>
        <v>0</v>
      </c>
      <c r="BL287" s="442">
        <v>9394.57</v>
      </c>
      <c r="BM287" s="70">
        <f t="shared" si="85"/>
        <v>0</v>
      </c>
      <c r="BN287" s="70">
        <f t="shared" si="88"/>
        <v>0</v>
      </c>
      <c r="BO287" s="373">
        <f>IFERROR(Tabla1[[#This Row],[ Re. Gas GC
 '[m3']]]/Tabla1[[#This Row],[G. HGS 
Con Gas '[kWh']]],0)</f>
        <v>0</v>
      </c>
      <c r="BP287" s="374">
        <f>Tank!Y288</f>
        <v>0</v>
      </c>
      <c r="BQ287" s="70">
        <f>Tank!AP288</f>
        <v>0</v>
      </c>
      <c r="BR287" s="70">
        <f>Tank!V288</f>
        <v>0</v>
      </c>
      <c r="BS287" s="372">
        <f>Tank!T288</f>
        <v>0</v>
      </c>
      <c r="BT287" s="375" t="s">
        <v>228</v>
      </c>
      <c r="BU287" s="452"/>
      <c r="BV287" s="376">
        <f>IF(Tabla1[[#This Row],[Combustible ofertado]]="GAS",Tabla1[[#This Row],[Disponibilidad]],0)</f>
        <v>0</v>
      </c>
      <c r="BW287" s="376">
        <f>IF(Tabla1[[#This Row],[Combustible ofertado]]="DIESEL",Tabla1[[#This Row],[Disponibilidad]],0)</f>
        <v>0</v>
      </c>
      <c r="BX287" s="376">
        <f>IF(Tabla1[[#This Row],[Combustible ofertado]]="HFO",Tabla1[[#This Row],[Disponibilidad]],0)</f>
        <v>0</v>
      </c>
      <c r="BY287" s="452"/>
      <c r="BZ287" s="446">
        <f>'Horo. M'!C288</f>
        <v>0</v>
      </c>
      <c r="CA287" s="446">
        <f>'Horo. M'!E288</f>
        <v>0</v>
      </c>
      <c r="CB287" s="446">
        <f>'Horo. M'!G288</f>
        <v>0</v>
      </c>
      <c r="CC287" s="446">
        <f>'Horo. M'!I288</f>
        <v>0</v>
      </c>
      <c r="CD287" s="446">
        <f>'Horo. M'!K288</f>
        <v>0</v>
      </c>
      <c r="CE287" s="446">
        <f>'Horo. M'!M288</f>
        <v>0</v>
      </c>
      <c r="CF287" s="446">
        <f>'Horo. M'!O288</f>
        <v>0</v>
      </c>
      <c r="CG287" s="446">
        <f>'Horo. M'!Q288</f>
        <v>0</v>
      </c>
      <c r="CH287" s="446">
        <f>'Horo. M'!S288</f>
        <v>0</v>
      </c>
      <c r="CI287" s="446">
        <f>'Horo. M'!U288</f>
        <v>0</v>
      </c>
      <c r="CJ287" s="70">
        <f>Tabla1[[#This Row],[Con. DO Storage '[gal']]]-Tabla1[[#This Row],[C. DO Storage Ge '[gal']]]</f>
        <v>0</v>
      </c>
      <c r="CK287" s="70"/>
      <c r="CL287" s="70"/>
      <c r="CM287" s="70">
        <f>Tabla1[[#This Row],[Con. DO Total '[gal']]]*131485.5/(1000000)</f>
        <v>0</v>
      </c>
    </row>
    <row r="288" spans="1:91" ht="15" customHeight="1">
      <c r="A288" s="362">
        <v>45213</v>
      </c>
      <c r="B288" s="363" t="str">
        <f>TEXT(Tabla1[[#This Row],[Fecha]],"mmmm")</f>
        <v>octubre</v>
      </c>
      <c r="C288" s="364"/>
      <c r="D288" s="366"/>
      <c r="E288" s="366"/>
      <c r="F288" s="366"/>
      <c r="G288" s="377"/>
      <c r="H288" s="377"/>
      <c r="I288" s="378"/>
      <c r="J288" s="378"/>
      <c r="K288" s="366"/>
      <c r="L288" s="366"/>
      <c r="M288" s="365">
        <f>Tabla1[[#This Row],[Columna1]]-Tabla1[[#This Row],[PO '[h']]]</f>
        <v>0</v>
      </c>
      <c r="N288" s="366">
        <f t="shared" si="89"/>
        <v>0</v>
      </c>
      <c r="O288" s="365"/>
      <c r="P288" s="367">
        <f>Tabla1[[#This Row],[G. HGS 
'[MWh']]]</f>
        <v>0</v>
      </c>
      <c r="Q288" s="430">
        <v>0</v>
      </c>
      <c r="R288" s="367">
        <v>0</v>
      </c>
      <c r="S288" s="367">
        <f>Tabla1[[#This Row],[G. HGS 
Con Gas]]*1000</f>
        <v>0</v>
      </c>
      <c r="T288" s="365">
        <f>Tabla1[[#This Row],[G. HGS 
'[MWh']]]*1000</f>
        <v>0</v>
      </c>
      <c r="U288" s="368">
        <f>SUM('G. Un GE'!B288:Y288)</f>
        <v>0</v>
      </c>
      <c r="V288" s="369">
        <f>Tabla1[[#This Row],[R. GE
'[MWh']]]</f>
        <v>0</v>
      </c>
      <c r="W288" s="434">
        <v>0</v>
      </c>
      <c r="X288" s="369">
        <v>0</v>
      </c>
      <c r="Y288" s="365">
        <f>Tabla1[[#This Row],[R. GE
'[MWh']]]*1000</f>
        <v>0</v>
      </c>
      <c r="Z288" s="371"/>
      <c r="AA28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8" s="371">
        <f>IF(Tabla1[[#This Row],[G. HGS 
'[MWh']]]=0,0,Tabla1[[#This Row],[G. HGS 
'[MWh']]]+Tabla1[[#This Row],[Con. Aux. '[MWh']2]])</f>
        <v>0</v>
      </c>
      <c r="AC288" s="368">
        <f>'C. ENER. TN'!F288</f>
        <v>0</v>
      </c>
      <c r="AD288" s="370">
        <f>'C. ENER. TN'!G288</f>
        <v>0</v>
      </c>
      <c r="AE288" s="370">
        <f>'G. Un GE'!AX288</f>
        <v>0</v>
      </c>
      <c r="AF288" s="368">
        <f>IFERROR('G. Un GE'!AX288/Tabla1[[#This Row],[PO '[h']]],0)</f>
        <v>0</v>
      </c>
      <c r="AG288" s="365">
        <f>'Ar-Pa'!AX288</f>
        <v>0</v>
      </c>
      <c r="AH288" s="365">
        <f>'Ar-Pa'!AY288</f>
        <v>0</v>
      </c>
      <c r="AI288" s="366">
        <f>SUM('Cal. Arr'!AB291:AY291)</f>
        <v>0</v>
      </c>
      <c r="AJ288" s="442"/>
      <c r="AK288" s="443"/>
      <c r="AL288" s="372">
        <f t="shared" si="90"/>
        <v>0</v>
      </c>
      <c r="AM288" s="372">
        <f>+CONVERT(AK288+Tabla1[[#This Row],[Con. DO Storage Gen. '[m3']]],"m^3","gal")</f>
        <v>0</v>
      </c>
      <c r="AN288" s="372">
        <f>SUM('DO Pilot'!B288:Y288)</f>
        <v>0</v>
      </c>
      <c r="AO288" s="372">
        <f t="shared" si="91"/>
        <v>0</v>
      </c>
      <c r="AP288" s="372">
        <f t="shared" si="92"/>
        <v>0</v>
      </c>
      <c r="AQ288" s="372">
        <f t="shared" si="93"/>
        <v>0</v>
      </c>
      <c r="AR288" s="443"/>
      <c r="AS288" s="443"/>
      <c r="AT288" s="267">
        <f>+CONVERT(SUM(Tabla1[[#This Row],[Repo. DO Storage '[gal']]:[Repo. DO Pilot '[gal']]]),"gal","m3")</f>
        <v>0</v>
      </c>
      <c r="AU288" s="442">
        <v>0</v>
      </c>
      <c r="AV288" s="372">
        <f t="shared" si="94"/>
        <v>0</v>
      </c>
      <c r="AW288" s="442">
        <v>0</v>
      </c>
      <c r="AX288" s="372">
        <f t="shared" si="95"/>
        <v>0</v>
      </c>
      <c r="AY288" s="372">
        <f t="shared" si="82"/>
        <v>0</v>
      </c>
      <c r="AZ288" s="372">
        <f>IFERROR(AL288/'Ar-Pa'!AX288,0)</f>
        <v>0</v>
      </c>
      <c r="BA288" s="372">
        <f>IFERROR(AL288/'Ar-Pa'!AY288,0)</f>
        <v>0</v>
      </c>
      <c r="BB288" s="372">
        <f t="shared" si="83"/>
        <v>0</v>
      </c>
      <c r="BC288" s="372">
        <f>IFERROR(AVERAGEIF('DO Pilot'!AX288:BU288,"&gt;0"),0)</f>
        <v>0</v>
      </c>
      <c r="BD288" s="446"/>
      <c r="BE288" s="446"/>
      <c r="BF288" s="446"/>
      <c r="BG288" s="223">
        <f>Tabla1[[#This Row],[ Re. Gas GC
 '[m3']]]</f>
        <v>0</v>
      </c>
      <c r="BH288" s="150">
        <f>IFERROR((BG288*Gas!$B$4)/28.31685,0)</f>
        <v>0</v>
      </c>
      <c r="BI288" s="73">
        <f t="shared" si="96"/>
        <v>0</v>
      </c>
      <c r="BJ288" s="74">
        <f t="shared" si="87"/>
        <v>0</v>
      </c>
      <c r="BK288" s="223">
        <f t="shared" si="84"/>
        <v>0</v>
      </c>
      <c r="BL288" s="442">
        <v>8907.56</v>
      </c>
      <c r="BM288" s="70">
        <f t="shared" si="85"/>
        <v>0</v>
      </c>
      <c r="BN288" s="70">
        <f t="shared" si="88"/>
        <v>0</v>
      </c>
      <c r="BO288" s="373">
        <f>IFERROR(Tabla1[[#This Row],[ Re. Gas GC
 '[m3']]]/Tabla1[[#This Row],[G. HGS 
Con Gas '[kWh']]],0)</f>
        <v>0</v>
      </c>
      <c r="BP288" s="374">
        <f>Tank!Y289</f>
        <v>0</v>
      </c>
      <c r="BQ288" s="70">
        <f>Tank!AP289</f>
        <v>0</v>
      </c>
      <c r="BR288" s="70">
        <f>Tank!V289</f>
        <v>0</v>
      </c>
      <c r="BS288" s="372">
        <f>Tank!T289</f>
        <v>0</v>
      </c>
      <c r="BT288" s="375" t="s">
        <v>228</v>
      </c>
      <c r="BU288" s="452"/>
      <c r="BV288" s="376">
        <f>IF(Tabla1[[#This Row],[Combustible ofertado]]="GAS",Tabla1[[#This Row],[Disponibilidad]],0)</f>
        <v>0</v>
      </c>
      <c r="BW288" s="376">
        <f>IF(Tabla1[[#This Row],[Combustible ofertado]]="DIESEL",Tabla1[[#This Row],[Disponibilidad]],0)</f>
        <v>0</v>
      </c>
      <c r="BX288" s="376">
        <f>IF(Tabla1[[#This Row],[Combustible ofertado]]="HFO",Tabla1[[#This Row],[Disponibilidad]],0)</f>
        <v>0</v>
      </c>
      <c r="BY288" s="452"/>
      <c r="BZ288" s="446">
        <f>'Horo. M'!C289</f>
        <v>0</v>
      </c>
      <c r="CA288" s="446">
        <f>'Horo. M'!E289</f>
        <v>0</v>
      </c>
      <c r="CB288" s="446">
        <f>'Horo. M'!G289</f>
        <v>0</v>
      </c>
      <c r="CC288" s="446">
        <f>'Horo. M'!I289</f>
        <v>0</v>
      </c>
      <c r="CD288" s="446">
        <f>'Horo. M'!K289</f>
        <v>0</v>
      </c>
      <c r="CE288" s="446">
        <f>'Horo. M'!M289</f>
        <v>0</v>
      </c>
      <c r="CF288" s="446">
        <f>'Horo. M'!O289</f>
        <v>0</v>
      </c>
      <c r="CG288" s="446">
        <f>'Horo. M'!Q289</f>
        <v>0</v>
      </c>
      <c r="CH288" s="446">
        <f>'Horo. M'!S289</f>
        <v>0</v>
      </c>
      <c r="CI288" s="446">
        <f>'Horo. M'!U289</f>
        <v>0</v>
      </c>
      <c r="CJ288" s="70">
        <f>Tabla1[[#This Row],[Con. DO Storage '[gal']]]-Tabla1[[#This Row],[C. DO Storage Ge '[gal']]]</f>
        <v>0</v>
      </c>
      <c r="CK288" s="70"/>
      <c r="CL288" s="70"/>
      <c r="CM288" s="70">
        <f>Tabla1[[#This Row],[Con. DO Total '[gal']]]*131485.5/(1000000)</f>
        <v>0</v>
      </c>
    </row>
    <row r="289" spans="1:99" ht="15" customHeight="1">
      <c r="A289" s="362">
        <v>45214</v>
      </c>
      <c r="B289" s="363" t="str">
        <f>TEXT(Tabla1[[#This Row],[Fecha]],"mmmm")</f>
        <v>octubre</v>
      </c>
      <c r="C289" s="364"/>
      <c r="D289" s="366"/>
      <c r="E289" s="366"/>
      <c r="F289" s="366"/>
      <c r="G289" s="377"/>
      <c r="H289" s="377"/>
      <c r="I289" s="378"/>
      <c r="J289" s="378"/>
      <c r="K289" s="366"/>
      <c r="L289" s="366"/>
      <c r="M289" s="365">
        <f>Tabla1[[#This Row],[Columna1]]-Tabla1[[#This Row],[PO '[h']]]</f>
        <v>0</v>
      </c>
      <c r="N289" s="366">
        <f t="shared" si="89"/>
        <v>0</v>
      </c>
      <c r="O289" s="365"/>
      <c r="P289" s="367">
        <f>Tabla1[[#This Row],[G. HGS 
'[MWh']]]</f>
        <v>0</v>
      </c>
      <c r="Q289" s="430">
        <v>0</v>
      </c>
      <c r="R289" s="367">
        <v>0</v>
      </c>
      <c r="S289" s="367">
        <f>Tabla1[[#This Row],[G. HGS 
Con Gas]]*1000</f>
        <v>0</v>
      </c>
      <c r="T289" s="365">
        <f>Tabla1[[#This Row],[G. HGS 
'[MWh']]]*1000</f>
        <v>0</v>
      </c>
      <c r="U289" s="368">
        <f>SUM('G. Un GE'!B289:Y289)</f>
        <v>0</v>
      </c>
      <c r="V289" s="369">
        <f>Tabla1[[#This Row],[R. GE
'[MWh']]]</f>
        <v>0</v>
      </c>
      <c r="W289" s="434">
        <v>0</v>
      </c>
      <c r="X289" s="369">
        <v>0</v>
      </c>
      <c r="Y289" s="365">
        <f>Tabla1[[#This Row],[R. GE
'[MWh']]]*1000</f>
        <v>0</v>
      </c>
      <c r="Z289" s="371"/>
      <c r="AA28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89" s="371">
        <f>IF(Tabla1[[#This Row],[G. HGS 
'[MWh']]]=0,0,Tabla1[[#This Row],[G. HGS 
'[MWh']]]+Tabla1[[#This Row],[Con. Aux. '[MWh']2]])</f>
        <v>0</v>
      </c>
      <c r="AC289" s="368">
        <f>'C. ENER. TN'!F289</f>
        <v>0</v>
      </c>
      <c r="AD289" s="370">
        <f>'C. ENER. TN'!G289</f>
        <v>0</v>
      </c>
      <c r="AE289" s="370">
        <f>'G. Un GE'!AX289</f>
        <v>0</v>
      </c>
      <c r="AF289" s="368">
        <f>IFERROR('G. Un GE'!AX289/Tabla1[[#This Row],[PO '[h']]],0)</f>
        <v>0</v>
      </c>
      <c r="AG289" s="365">
        <f>'Ar-Pa'!AX289</f>
        <v>0</v>
      </c>
      <c r="AH289" s="365">
        <f>'Ar-Pa'!AY289</f>
        <v>0</v>
      </c>
      <c r="AI289" s="366">
        <f>SUM('Cal. Arr'!AB292:AY292)</f>
        <v>0</v>
      </c>
      <c r="AJ289" s="442"/>
      <c r="AK289" s="443"/>
      <c r="AL289" s="372">
        <f t="shared" si="90"/>
        <v>0</v>
      </c>
      <c r="AM289" s="372">
        <f>+CONVERT(AK289+Tabla1[[#This Row],[Con. DO Storage Gen. '[m3']]],"m^3","gal")</f>
        <v>0</v>
      </c>
      <c r="AN289" s="372">
        <f>SUM('DO Pilot'!B289:Y289)</f>
        <v>0</v>
      </c>
      <c r="AO289" s="372">
        <f t="shared" si="91"/>
        <v>0</v>
      </c>
      <c r="AP289" s="372">
        <f t="shared" si="92"/>
        <v>0</v>
      </c>
      <c r="AQ289" s="372">
        <f t="shared" si="93"/>
        <v>0</v>
      </c>
      <c r="AR289" s="443"/>
      <c r="AS289" s="443"/>
      <c r="AT289" s="267">
        <f>+CONVERT(SUM(Tabla1[[#This Row],[Repo. DO Storage '[gal']]:[Repo. DO Pilot '[gal']]]),"gal","m3")</f>
        <v>0</v>
      </c>
      <c r="AU289" s="442">
        <v>0</v>
      </c>
      <c r="AV289" s="372">
        <f t="shared" si="94"/>
        <v>0</v>
      </c>
      <c r="AW289" s="442">
        <v>0</v>
      </c>
      <c r="AX289" s="372">
        <f t="shared" si="95"/>
        <v>0</v>
      </c>
      <c r="AY289" s="372">
        <f t="shared" si="82"/>
        <v>0</v>
      </c>
      <c r="AZ289" s="372">
        <f>IFERROR(AL289/'Ar-Pa'!AX289,0)</f>
        <v>0</v>
      </c>
      <c r="BA289" s="372">
        <f>IFERROR(AL289/'Ar-Pa'!AY289,0)</f>
        <v>0</v>
      </c>
      <c r="BB289" s="372">
        <f t="shared" si="83"/>
        <v>0</v>
      </c>
      <c r="BC289" s="372">
        <f>IFERROR(AVERAGEIF('DO Pilot'!AX289:BU289,"&gt;0"),0)</f>
        <v>0</v>
      </c>
      <c r="BD289" s="446"/>
      <c r="BE289" s="446"/>
      <c r="BF289" s="446"/>
      <c r="BG289" s="223">
        <f>Tabla1[[#This Row],[ Re. Gas GC
 '[m3']]]</f>
        <v>0</v>
      </c>
      <c r="BH289" s="150">
        <f>IFERROR((BG289*Gas!$B$4)/28.31685,0)</f>
        <v>0</v>
      </c>
      <c r="BI289" s="73">
        <f t="shared" si="96"/>
        <v>0</v>
      </c>
      <c r="BJ289" s="74">
        <f t="shared" si="87"/>
        <v>0</v>
      </c>
      <c r="BK289" s="223">
        <f t="shared" si="84"/>
        <v>0</v>
      </c>
      <c r="BL289" s="442">
        <v>9174.42</v>
      </c>
      <c r="BM289" s="70">
        <f t="shared" si="85"/>
        <v>0</v>
      </c>
      <c r="BN289" s="70">
        <f t="shared" si="88"/>
        <v>0</v>
      </c>
      <c r="BO289" s="373">
        <f>IFERROR(Tabla1[[#This Row],[ Re. Gas GC
 '[m3']]]/Tabla1[[#This Row],[G. HGS 
Con Gas '[kWh']]],0)</f>
        <v>0</v>
      </c>
      <c r="BP289" s="374">
        <f>Tank!Y290</f>
        <v>0</v>
      </c>
      <c r="BQ289" s="70">
        <f>Tank!AP290</f>
        <v>0</v>
      </c>
      <c r="BR289" s="70">
        <f>Tank!V290</f>
        <v>0</v>
      </c>
      <c r="BS289" s="372">
        <f>Tank!T290</f>
        <v>0</v>
      </c>
      <c r="BT289" s="375" t="s">
        <v>228</v>
      </c>
      <c r="BU289" s="452"/>
      <c r="BV289" s="376">
        <f>IF(Tabla1[[#This Row],[Combustible ofertado]]="GAS",Tabla1[[#This Row],[Disponibilidad]],0)</f>
        <v>0</v>
      </c>
      <c r="BW289" s="376">
        <f>IF(Tabla1[[#This Row],[Combustible ofertado]]="DIESEL",Tabla1[[#This Row],[Disponibilidad]],0)</f>
        <v>0</v>
      </c>
      <c r="BX289" s="376">
        <f>IF(Tabla1[[#This Row],[Combustible ofertado]]="HFO",Tabla1[[#This Row],[Disponibilidad]],0)</f>
        <v>0</v>
      </c>
      <c r="BY289" s="452"/>
      <c r="BZ289" s="446">
        <f>'Horo. M'!C290</f>
        <v>0</v>
      </c>
      <c r="CA289" s="446">
        <f>'Horo. M'!E290</f>
        <v>0</v>
      </c>
      <c r="CB289" s="446">
        <f>'Horo. M'!G290</f>
        <v>0</v>
      </c>
      <c r="CC289" s="446">
        <f>'Horo. M'!I290</f>
        <v>0</v>
      </c>
      <c r="CD289" s="446">
        <f>'Horo. M'!K290</f>
        <v>0</v>
      </c>
      <c r="CE289" s="446">
        <f>'Horo. M'!M290</f>
        <v>0</v>
      </c>
      <c r="CF289" s="446">
        <f>'Horo. M'!O290</f>
        <v>0</v>
      </c>
      <c r="CG289" s="446">
        <f>'Horo. M'!Q290</f>
        <v>0</v>
      </c>
      <c r="CH289" s="446">
        <f>'Horo. M'!S290</f>
        <v>0</v>
      </c>
      <c r="CI289" s="446">
        <f>'Horo. M'!U290</f>
        <v>0</v>
      </c>
      <c r="CJ289" s="70">
        <f>Tabla1[[#This Row],[Con. DO Storage '[gal']]]-Tabla1[[#This Row],[C. DO Storage Ge '[gal']]]</f>
        <v>0</v>
      </c>
      <c r="CK289" s="70"/>
      <c r="CL289" s="70"/>
      <c r="CM289" s="70">
        <f>Tabla1[[#This Row],[Con. DO Total '[gal']]]*131485.5/(1000000)</f>
        <v>0</v>
      </c>
    </row>
    <row r="290" spans="1:99" ht="15" customHeight="1">
      <c r="A290" s="362">
        <v>45215</v>
      </c>
      <c r="B290" s="363" t="str">
        <f>TEXT(Tabla1[[#This Row],[Fecha]],"mmmm")</f>
        <v>octubre</v>
      </c>
      <c r="C290" s="364"/>
      <c r="D290" s="366"/>
      <c r="E290" s="366"/>
      <c r="F290" s="366"/>
      <c r="G290" s="377"/>
      <c r="H290" s="377"/>
      <c r="I290" s="378"/>
      <c r="J290" s="378"/>
      <c r="K290" s="366"/>
      <c r="L290" s="366"/>
      <c r="M290" s="365">
        <f>Tabla1[[#This Row],[Columna1]]-Tabla1[[#This Row],[PO '[h']]]</f>
        <v>0</v>
      </c>
      <c r="N290" s="366">
        <f t="shared" si="89"/>
        <v>0</v>
      </c>
      <c r="O290" s="365"/>
      <c r="P290" s="367">
        <f>Tabla1[[#This Row],[G. HGS 
'[MWh']]]</f>
        <v>0</v>
      </c>
      <c r="Q290" s="430">
        <v>0</v>
      </c>
      <c r="R290" s="367">
        <v>0</v>
      </c>
      <c r="S290" s="367">
        <f>Tabla1[[#This Row],[G. HGS 
Con Gas]]*1000</f>
        <v>0</v>
      </c>
      <c r="T290" s="365">
        <f>Tabla1[[#This Row],[G. HGS 
'[MWh']]]*1000</f>
        <v>0</v>
      </c>
      <c r="U290" s="368">
        <f>SUM('G. Un GE'!B290:Y290)</f>
        <v>0</v>
      </c>
      <c r="V290" s="369">
        <f>Tabla1[[#This Row],[R. GE
'[MWh']]]</f>
        <v>0</v>
      </c>
      <c r="W290" s="434">
        <v>0</v>
      </c>
      <c r="X290" s="369">
        <v>0</v>
      </c>
      <c r="Y290" s="365">
        <f>Tabla1[[#This Row],[R. GE
'[MWh']]]*1000</f>
        <v>0</v>
      </c>
      <c r="Z290" s="371"/>
      <c r="AA29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0" s="371">
        <f>IF(Tabla1[[#This Row],[G. HGS 
'[MWh']]]=0,0,Tabla1[[#This Row],[G. HGS 
'[MWh']]]+Tabla1[[#This Row],[Con. Aux. '[MWh']2]])</f>
        <v>0</v>
      </c>
      <c r="AC290" s="368">
        <f>'C. ENER. TN'!F290</f>
        <v>0</v>
      </c>
      <c r="AD290" s="370">
        <f>'C. ENER. TN'!G290</f>
        <v>0</v>
      </c>
      <c r="AE290" s="370">
        <f>'G. Un GE'!AX290</f>
        <v>0</v>
      </c>
      <c r="AF290" s="368">
        <f>IFERROR('G. Un GE'!AX290/Tabla1[[#This Row],[PO '[h']]],0)</f>
        <v>0</v>
      </c>
      <c r="AG290" s="365">
        <f>'Ar-Pa'!AX290</f>
        <v>0</v>
      </c>
      <c r="AH290" s="365">
        <f>'Ar-Pa'!AY290</f>
        <v>0</v>
      </c>
      <c r="AI290" s="366">
        <f>SUM('Cal. Arr'!AB293:AY293)</f>
        <v>0</v>
      </c>
      <c r="AJ290" s="442"/>
      <c r="AK290" s="443"/>
      <c r="AL290" s="372">
        <f t="shared" si="90"/>
        <v>0</v>
      </c>
      <c r="AM290" s="372">
        <f>+CONVERT(AK290+Tabla1[[#This Row],[Con. DO Storage Gen. '[m3']]],"m^3","gal")</f>
        <v>0</v>
      </c>
      <c r="AN290" s="372">
        <f>SUM('DO Pilot'!B290:Y290)</f>
        <v>0</v>
      </c>
      <c r="AO290" s="372">
        <f t="shared" si="91"/>
        <v>0</v>
      </c>
      <c r="AP290" s="372">
        <f t="shared" si="92"/>
        <v>0</v>
      </c>
      <c r="AQ290" s="372">
        <f t="shared" si="93"/>
        <v>0</v>
      </c>
      <c r="AR290" s="443"/>
      <c r="AS290" s="443"/>
      <c r="AT290" s="267">
        <f>+CONVERT(SUM(Tabla1[[#This Row],[Repo. DO Storage '[gal']]:[Repo. DO Pilot '[gal']]]),"gal","m3")</f>
        <v>0</v>
      </c>
      <c r="AU290" s="442">
        <v>0</v>
      </c>
      <c r="AV290" s="372">
        <f t="shared" si="94"/>
        <v>0</v>
      </c>
      <c r="AW290" s="442">
        <v>0</v>
      </c>
      <c r="AX290" s="372">
        <f t="shared" si="95"/>
        <v>0</v>
      </c>
      <c r="AY290" s="372">
        <f t="shared" si="82"/>
        <v>0</v>
      </c>
      <c r="AZ290" s="372">
        <f>IFERROR(AL290/'Ar-Pa'!AX290,0)</f>
        <v>0</v>
      </c>
      <c r="BA290" s="372">
        <f>IFERROR(AL290/'Ar-Pa'!AY290,0)</f>
        <v>0</v>
      </c>
      <c r="BB290" s="372">
        <f t="shared" si="83"/>
        <v>0</v>
      </c>
      <c r="BC290" s="372">
        <f>IFERROR(AVERAGEIF('DO Pilot'!AX290:BU290,"&gt;0"),0)</f>
        <v>0</v>
      </c>
      <c r="BD290" s="446"/>
      <c r="BE290" s="446"/>
      <c r="BF290" s="446"/>
      <c r="BG290" s="223">
        <f>Tabla1[[#This Row],[ Re. Gas GC
 '[m3']]]</f>
        <v>0</v>
      </c>
      <c r="BH290" s="150">
        <f>IFERROR((BG290*Gas!$B$4)/28.31685,0)</f>
        <v>0</v>
      </c>
      <c r="BI290" s="73">
        <f t="shared" si="96"/>
        <v>0</v>
      </c>
      <c r="BJ290" s="74">
        <f t="shared" si="87"/>
        <v>0</v>
      </c>
      <c r="BK290" s="223">
        <f t="shared" si="84"/>
        <v>0</v>
      </c>
      <c r="BL290" s="442">
        <v>8732.69</v>
      </c>
      <c r="BM290" s="70">
        <f t="shared" si="85"/>
        <v>0</v>
      </c>
      <c r="BN290" s="70">
        <f t="shared" si="88"/>
        <v>0</v>
      </c>
      <c r="BO290" s="373">
        <f>IFERROR(Tabla1[[#This Row],[ Re. Gas GC
 '[m3']]]/Tabla1[[#This Row],[G. HGS 
Con Gas '[kWh']]],0)</f>
        <v>0</v>
      </c>
      <c r="BP290" s="374">
        <f>Tank!Y291</f>
        <v>0</v>
      </c>
      <c r="BQ290" s="70">
        <f>Tank!AP291</f>
        <v>0</v>
      </c>
      <c r="BR290" s="70">
        <f>Tank!V291</f>
        <v>0</v>
      </c>
      <c r="BS290" s="372">
        <f>Tank!T291</f>
        <v>0</v>
      </c>
      <c r="BT290" s="375" t="s">
        <v>228</v>
      </c>
      <c r="BU290" s="452"/>
      <c r="BV290" s="376">
        <f>IF(Tabla1[[#This Row],[Combustible ofertado]]="GAS",Tabla1[[#This Row],[Disponibilidad]],0)</f>
        <v>0</v>
      </c>
      <c r="BW290" s="376">
        <f>IF(Tabla1[[#This Row],[Combustible ofertado]]="DIESEL",Tabla1[[#This Row],[Disponibilidad]],0)</f>
        <v>0</v>
      </c>
      <c r="BX290" s="376">
        <f>IF(Tabla1[[#This Row],[Combustible ofertado]]="HFO",Tabla1[[#This Row],[Disponibilidad]],0)</f>
        <v>0</v>
      </c>
      <c r="BY290" s="452"/>
      <c r="BZ290" s="446">
        <f>'Horo. M'!C291</f>
        <v>0</v>
      </c>
      <c r="CA290" s="446">
        <f>'Horo. M'!E291</f>
        <v>0</v>
      </c>
      <c r="CB290" s="446">
        <f>'Horo. M'!G291</f>
        <v>0</v>
      </c>
      <c r="CC290" s="446">
        <f>'Horo. M'!I291</f>
        <v>0</v>
      </c>
      <c r="CD290" s="446">
        <f>'Horo. M'!K291</f>
        <v>0</v>
      </c>
      <c r="CE290" s="446">
        <f>'Horo. M'!M291</f>
        <v>0</v>
      </c>
      <c r="CF290" s="446">
        <f>'Horo. M'!O291</f>
        <v>0</v>
      </c>
      <c r="CG290" s="446">
        <f>'Horo. M'!Q291</f>
        <v>0</v>
      </c>
      <c r="CH290" s="446">
        <f>'Horo. M'!S291</f>
        <v>0</v>
      </c>
      <c r="CI290" s="446">
        <f>'Horo. M'!U291</f>
        <v>0</v>
      </c>
      <c r="CJ290" s="70">
        <f>Tabla1[[#This Row],[Con. DO Storage '[gal']]]-Tabla1[[#This Row],[C. DO Storage Ge '[gal']]]</f>
        <v>0</v>
      </c>
      <c r="CK290" s="70"/>
      <c r="CL290" s="70"/>
      <c r="CM290" s="70">
        <f>Tabla1[[#This Row],[Con. DO Total '[gal']]]*131485.5/(1000000)</f>
        <v>0</v>
      </c>
    </row>
    <row r="291" spans="1:99" ht="15" customHeight="1">
      <c r="A291" s="362">
        <v>45216</v>
      </c>
      <c r="B291" s="363" t="str">
        <f>TEXT(Tabla1[[#This Row],[Fecha]],"mmmm")</f>
        <v>octubre</v>
      </c>
      <c r="C291" s="364"/>
      <c r="D291" s="366"/>
      <c r="E291" s="366"/>
      <c r="F291" s="366"/>
      <c r="G291" s="377"/>
      <c r="H291" s="377"/>
      <c r="I291" s="378"/>
      <c r="J291" s="378"/>
      <c r="K291" s="366"/>
      <c r="L291" s="366"/>
      <c r="M291" s="365">
        <f>Tabla1[[#This Row],[Columna1]]-Tabla1[[#This Row],[PO '[h']]]</f>
        <v>0</v>
      </c>
      <c r="N291" s="366">
        <f t="shared" si="89"/>
        <v>0</v>
      </c>
      <c r="O291" s="365"/>
      <c r="P291" s="367">
        <f>Tabla1[[#This Row],[G. HGS 
'[MWh']]]</f>
        <v>0</v>
      </c>
      <c r="Q291" s="430">
        <v>0</v>
      </c>
      <c r="R291" s="367">
        <v>0</v>
      </c>
      <c r="S291" s="367">
        <f>Tabla1[[#This Row],[G. HGS 
Con Gas]]*1000</f>
        <v>0</v>
      </c>
      <c r="T291" s="365">
        <f>Tabla1[[#This Row],[G. HGS 
'[MWh']]]*1000</f>
        <v>0</v>
      </c>
      <c r="U291" s="368">
        <f>SUM('G. Un GE'!B291:Y291)</f>
        <v>0</v>
      </c>
      <c r="V291" s="369">
        <f>Tabla1[[#This Row],[R. GE
'[MWh']]]</f>
        <v>0</v>
      </c>
      <c r="W291" s="434">
        <v>0</v>
      </c>
      <c r="X291" s="369">
        <v>0</v>
      </c>
      <c r="Y291" s="365">
        <f>Tabla1[[#This Row],[R. GE
'[MWh']]]*1000</f>
        <v>0</v>
      </c>
      <c r="Z291" s="371"/>
      <c r="AA29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1" s="371">
        <f>IF(Tabla1[[#This Row],[G. HGS 
'[MWh']]]=0,0,Tabla1[[#This Row],[G. HGS 
'[MWh']]]+Tabla1[[#This Row],[Con. Aux. '[MWh']2]])</f>
        <v>0</v>
      </c>
      <c r="AC291" s="368">
        <f>'C. ENER. TN'!F291</f>
        <v>0</v>
      </c>
      <c r="AD291" s="370">
        <f>'C. ENER. TN'!G291</f>
        <v>0</v>
      </c>
      <c r="AE291" s="370">
        <f>'G. Un GE'!AX291</f>
        <v>0</v>
      </c>
      <c r="AF291" s="368">
        <f>IFERROR('G. Un GE'!AX291/Tabla1[[#This Row],[PO '[h']]],0)</f>
        <v>0</v>
      </c>
      <c r="AG291" s="365">
        <f>'Ar-Pa'!AX291</f>
        <v>0</v>
      </c>
      <c r="AH291" s="365">
        <f>'Ar-Pa'!AY291</f>
        <v>0</v>
      </c>
      <c r="AI291" s="366">
        <f>SUM('Cal. Arr'!AB294:AY294)</f>
        <v>0</v>
      </c>
      <c r="AJ291" s="442"/>
      <c r="AK291" s="443"/>
      <c r="AL291" s="372">
        <f t="shared" si="90"/>
        <v>0</v>
      </c>
      <c r="AM291" s="372">
        <f>+CONVERT(AK291+Tabla1[[#This Row],[Con. DO Storage Gen. '[m3']]],"m^3","gal")</f>
        <v>0</v>
      </c>
      <c r="AN291" s="372">
        <f>SUM('DO Pilot'!B291:Y291)</f>
        <v>0</v>
      </c>
      <c r="AO291" s="372">
        <f t="shared" si="91"/>
        <v>0</v>
      </c>
      <c r="AP291" s="372">
        <f t="shared" si="92"/>
        <v>0</v>
      </c>
      <c r="AQ291" s="372">
        <f t="shared" si="93"/>
        <v>0</v>
      </c>
      <c r="AR291" s="443"/>
      <c r="AS291" s="443"/>
      <c r="AT291" s="267">
        <f>+CONVERT(SUM(Tabla1[[#This Row],[Repo. DO Storage '[gal']]:[Repo. DO Pilot '[gal']]]),"gal","m3")</f>
        <v>0</v>
      </c>
      <c r="AU291" s="442">
        <v>0</v>
      </c>
      <c r="AV291" s="372">
        <f t="shared" si="94"/>
        <v>0</v>
      </c>
      <c r="AW291" s="442">
        <v>0</v>
      </c>
      <c r="AX291" s="372">
        <f t="shared" si="95"/>
        <v>0</v>
      </c>
      <c r="AY291" s="372">
        <f t="shared" si="82"/>
        <v>0</v>
      </c>
      <c r="AZ291" s="372">
        <f>IFERROR(AL291/'Ar-Pa'!AX291,0)</f>
        <v>0</v>
      </c>
      <c r="BA291" s="372">
        <f>IFERROR(AL291/'Ar-Pa'!AY291,0)</f>
        <v>0</v>
      </c>
      <c r="BB291" s="372">
        <f t="shared" si="83"/>
        <v>0</v>
      </c>
      <c r="BC291" s="372">
        <f>IFERROR(AVERAGEIF('DO Pilot'!AX291:BU291,"&gt;0"),0)</f>
        <v>0</v>
      </c>
      <c r="BD291" s="446"/>
      <c r="BE291" s="446"/>
      <c r="BF291" s="446"/>
      <c r="BG291" s="223">
        <f>Tabla1[[#This Row],[ Re. Gas GC
 '[m3']]]</f>
        <v>0</v>
      </c>
      <c r="BH291" s="150">
        <f>IFERROR((BG291*Gas!$B$4)/28.31685,0)</f>
        <v>0</v>
      </c>
      <c r="BI291" s="73">
        <f>BH291-BE291</f>
        <v>0</v>
      </c>
      <c r="BJ291" s="74">
        <f t="shared" si="87"/>
        <v>0</v>
      </c>
      <c r="BK291" s="223">
        <f t="shared" si="84"/>
        <v>0</v>
      </c>
      <c r="BL291" s="442">
        <v>8826.23</v>
      </c>
      <c r="BM291" s="70">
        <f t="shared" si="85"/>
        <v>0</v>
      </c>
      <c r="BN291" s="70">
        <f t="shared" si="88"/>
        <v>0</v>
      </c>
      <c r="BO291" s="373">
        <f>IFERROR(Tabla1[[#This Row],[ Re. Gas GC
 '[m3']]]/Tabla1[[#This Row],[G. HGS 
Con Gas '[kWh']]],0)</f>
        <v>0</v>
      </c>
      <c r="BP291" s="374">
        <f>Tank!Y292</f>
        <v>0</v>
      </c>
      <c r="BQ291" s="70">
        <f>Tank!AP292</f>
        <v>0</v>
      </c>
      <c r="BR291" s="70">
        <f>Tank!V292</f>
        <v>0</v>
      </c>
      <c r="BS291" s="372">
        <f>Tank!T292</f>
        <v>0</v>
      </c>
      <c r="BT291" s="375" t="s">
        <v>228</v>
      </c>
      <c r="BU291" s="452"/>
      <c r="BV291" s="376">
        <f>IF(Tabla1[[#This Row],[Combustible ofertado]]="GAS",Tabla1[[#This Row],[Disponibilidad]],0)</f>
        <v>0</v>
      </c>
      <c r="BW291" s="376">
        <f>IF(Tabla1[[#This Row],[Combustible ofertado]]="DIESEL",Tabla1[[#This Row],[Disponibilidad]],0)</f>
        <v>0</v>
      </c>
      <c r="BX291" s="376">
        <f>IF(Tabla1[[#This Row],[Combustible ofertado]]="HFO",Tabla1[[#This Row],[Disponibilidad]],0)</f>
        <v>0</v>
      </c>
      <c r="BY291" s="452"/>
      <c r="BZ291" s="446">
        <f>'Horo. M'!C292</f>
        <v>0</v>
      </c>
      <c r="CA291" s="446">
        <f>'Horo. M'!E292</f>
        <v>0</v>
      </c>
      <c r="CB291" s="446">
        <f>'Horo. M'!G292</f>
        <v>0</v>
      </c>
      <c r="CC291" s="446">
        <f>'Horo. M'!I292</f>
        <v>0</v>
      </c>
      <c r="CD291" s="446">
        <f>'Horo. M'!K292</f>
        <v>0</v>
      </c>
      <c r="CE291" s="446">
        <f>'Horo. M'!M292</f>
        <v>0</v>
      </c>
      <c r="CF291" s="446">
        <f>'Horo. M'!O292</f>
        <v>0</v>
      </c>
      <c r="CG291" s="446">
        <f>'Horo. M'!Q292</f>
        <v>0</v>
      </c>
      <c r="CH291" s="446">
        <f>'Horo. M'!S292</f>
        <v>0</v>
      </c>
      <c r="CI291" s="446">
        <f>'Horo. M'!U292</f>
        <v>0</v>
      </c>
      <c r="CJ291" s="70">
        <f>Tabla1[[#This Row],[Con. DO Storage '[gal']]]-Tabla1[[#This Row],[C. DO Storage Ge '[gal']]]</f>
        <v>0</v>
      </c>
      <c r="CK291" s="70"/>
      <c r="CL291" s="70"/>
      <c r="CM291" s="70">
        <f>Tabla1[[#This Row],[Con. DO Total '[gal']]]*131485.5/(1000000)</f>
        <v>0</v>
      </c>
    </row>
    <row r="292" spans="1:99" ht="15" customHeight="1">
      <c r="A292" s="362">
        <v>45217</v>
      </c>
      <c r="B292" s="363" t="str">
        <f>TEXT(Tabla1[[#This Row],[Fecha]],"mmmm")</f>
        <v>octubre</v>
      </c>
      <c r="C292" s="364"/>
      <c r="D292" s="366"/>
      <c r="E292" s="366"/>
      <c r="F292" s="366"/>
      <c r="G292" s="377"/>
      <c r="H292" s="377"/>
      <c r="I292" s="378"/>
      <c r="J292" s="378"/>
      <c r="K292" s="366"/>
      <c r="L292" s="366"/>
      <c r="M292" s="365">
        <f>Tabla1[[#This Row],[Columna1]]-Tabla1[[#This Row],[PO '[h']]]</f>
        <v>0</v>
      </c>
      <c r="N292" s="366">
        <f t="shared" si="89"/>
        <v>0</v>
      </c>
      <c r="O292" s="365"/>
      <c r="P292" s="367">
        <f>Tabla1[[#This Row],[G. HGS 
'[MWh']]]</f>
        <v>0</v>
      </c>
      <c r="Q292" s="430">
        <v>0</v>
      </c>
      <c r="R292" s="367">
        <v>0</v>
      </c>
      <c r="S292" s="367">
        <f>Tabla1[[#This Row],[G. HGS 
Con Gas]]*1000</f>
        <v>0</v>
      </c>
      <c r="T292" s="365">
        <f>Tabla1[[#This Row],[G. HGS 
'[MWh']]]*1000</f>
        <v>0</v>
      </c>
      <c r="U292" s="368">
        <f>SUM('G. Un GE'!B292:Y292)</f>
        <v>0</v>
      </c>
      <c r="V292" s="369">
        <f>Tabla1[[#This Row],[R. GE
'[MWh']]]</f>
        <v>0</v>
      </c>
      <c r="W292" s="434">
        <v>0</v>
      </c>
      <c r="X292" s="369">
        <v>0</v>
      </c>
      <c r="Y292" s="365">
        <f>Tabla1[[#This Row],[R. GE
'[MWh']]]*1000</f>
        <v>0</v>
      </c>
      <c r="Z292" s="371"/>
      <c r="AA29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2" s="371">
        <f>IF(Tabla1[[#This Row],[G. HGS 
'[MWh']]]=0,0,Tabla1[[#This Row],[G. HGS 
'[MWh']]]+Tabla1[[#This Row],[Con. Aux. '[MWh']2]])</f>
        <v>0</v>
      </c>
      <c r="AC292" s="368">
        <f>'C. ENER. TN'!F292</f>
        <v>0</v>
      </c>
      <c r="AD292" s="370">
        <f>'C. ENER. TN'!G292</f>
        <v>0</v>
      </c>
      <c r="AE292" s="370">
        <f>'G. Un GE'!AX292</f>
        <v>0</v>
      </c>
      <c r="AF292" s="368">
        <f>IFERROR('G. Un GE'!AX292/Tabla1[[#This Row],[PO '[h']]],0)</f>
        <v>0</v>
      </c>
      <c r="AG292" s="365">
        <f>'Ar-Pa'!AX292</f>
        <v>0</v>
      </c>
      <c r="AH292" s="365">
        <f>'Ar-Pa'!AY292</f>
        <v>0</v>
      </c>
      <c r="AI292" s="366">
        <f>SUM('Cal. Arr'!AB295:AY295)</f>
        <v>0</v>
      </c>
      <c r="AJ292" s="442"/>
      <c r="AK292" s="443"/>
      <c r="AL292" s="372">
        <f t="shared" si="90"/>
        <v>0</v>
      </c>
      <c r="AM292" s="372">
        <f>+CONVERT(AK292+Tabla1[[#This Row],[Con. DO Storage Gen. '[m3']]],"m^3","gal")</f>
        <v>0</v>
      </c>
      <c r="AN292" s="372">
        <f>SUM('DO Pilot'!B292:Y292)</f>
        <v>0</v>
      </c>
      <c r="AO292" s="372">
        <f t="shared" si="91"/>
        <v>0</v>
      </c>
      <c r="AP292" s="372">
        <f t="shared" si="92"/>
        <v>0</v>
      </c>
      <c r="AQ292" s="372">
        <f t="shared" si="93"/>
        <v>0</v>
      </c>
      <c r="AR292" s="443"/>
      <c r="AS292" s="443"/>
      <c r="AT292" s="267">
        <f>+CONVERT(SUM(Tabla1[[#This Row],[Repo. DO Storage '[gal']]:[Repo. DO Pilot '[gal']]]),"gal","m3")</f>
        <v>0</v>
      </c>
      <c r="AU292" s="442">
        <v>0</v>
      </c>
      <c r="AV292" s="372">
        <f t="shared" si="94"/>
        <v>0</v>
      </c>
      <c r="AW292" s="442">
        <v>0</v>
      </c>
      <c r="AX292" s="372">
        <f t="shared" si="95"/>
        <v>0</v>
      </c>
      <c r="AY292" s="372">
        <f t="shared" si="82"/>
        <v>0</v>
      </c>
      <c r="AZ292" s="372">
        <f>IFERROR(AL292/'Ar-Pa'!AX292,0)</f>
        <v>0</v>
      </c>
      <c r="BA292" s="372">
        <f>IFERROR(AL292/'Ar-Pa'!AY292,0)</f>
        <v>0</v>
      </c>
      <c r="BB292" s="372">
        <f t="shared" si="83"/>
        <v>0</v>
      </c>
      <c r="BC292" s="372">
        <f>IFERROR(AVERAGEIF('DO Pilot'!AX292:BU292,"&gt;0"),0)</f>
        <v>0</v>
      </c>
      <c r="BD292" s="446"/>
      <c r="BE292" s="446"/>
      <c r="BF292" s="446"/>
      <c r="BG292" s="223">
        <f>Tabla1[[#This Row],[ Re. Gas GC
 '[m3']]]</f>
        <v>0</v>
      </c>
      <c r="BH292" s="150">
        <f>IFERROR((BG292*Gas!$B$4)/28.31685,0)</f>
        <v>0</v>
      </c>
      <c r="BI292" s="73">
        <f t="shared" si="96"/>
        <v>0</v>
      </c>
      <c r="BJ292" s="74">
        <f t="shared" si="87"/>
        <v>0</v>
      </c>
      <c r="BK292" s="223">
        <f t="shared" si="84"/>
        <v>0</v>
      </c>
      <c r="BL292" s="442">
        <v>8871.26</v>
      </c>
      <c r="BM292" s="70">
        <f t="shared" si="85"/>
        <v>0</v>
      </c>
      <c r="BN292" s="70">
        <f t="shared" si="88"/>
        <v>0</v>
      </c>
      <c r="BO292" s="373">
        <f>IFERROR(Tabla1[[#This Row],[ Re. Gas GC
 '[m3']]]/Tabla1[[#This Row],[G. HGS 
Con Gas '[kWh']]],0)</f>
        <v>0</v>
      </c>
      <c r="BP292" s="374">
        <f>Tank!Y293</f>
        <v>0</v>
      </c>
      <c r="BQ292" s="70">
        <f>Tank!AP293</f>
        <v>0</v>
      </c>
      <c r="BR292" s="70">
        <f>Tank!V293</f>
        <v>0</v>
      </c>
      <c r="BS292" s="372">
        <f>Tank!T293</f>
        <v>0</v>
      </c>
      <c r="BT292" s="375" t="s">
        <v>228</v>
      </c>
      <c r="BU292" s="452"/>
      <c r="BV292" s="376">
        <f>IF(Tabla1[[#This Row],[Combustible ofertado]]="GAS",Tabla1[[#This Row],[Disponibilidad]],0)</f>
        <v>0</v>
      </c>
      <c r="BW292" s="376">
        <f>IF(Tabla1[[#This Row],[Combustible ofertado]]="DIESEL",Tabla1[[#This Row],[Disponibilidad]],0)</f>
        <v>0</v>
      </c>
      <c r="BX292" s="376">
        <f>IF(Tabla1[[#This Row],[Combustible ofertado]]="HFO",Tabla1[[#This Row],[Disponibilidad]],0)</f>
        <v>0</v>
      </c>
      <c r="BY292" s="452"/>
      <c r="BZ292" s="446">
        <f>'Horo. M'!C293</f>
        <v>0</v>
      </c>
      <c r="CA292" s="446">
        <f>'Horo. M'!E293</f>
        <v>0</v>
      </c>
      <c r="CB292" s="446">
        <f>'Horo. M'!G293</f>
        <v>0</v>
      </c>
      <c r="CC292" s="446">
        <f>'Horo. M'!I293</f>
        <v>0</v>
      </c>
      <c r="CD292" s="446">
        <f>'Horo. M'!K293</f>
        <v>0</v>
      </c>
      <c r="CE292" s="446">
        <f>'Horo. M'!M293</f>
        <v>0</v>
      </c>
      <c r="CF292" s="446">
        <f>'Horo. M'!O293</f>
        <v>0</v>
      </c>
      <c r="CG292" s="446">
        <f>'Horo. M'!Q293</f>
        <v>0</v>
      </c>
      <c r="CH292" s="446">
        <f>'Horo. M'!S293</f>
        <v>0</v>
      </c>
      <c r="CI292" s="446">
        <f>'Horo. M'!U293</f>
        <v>0</v>
      </c>
      <c r="CJ292" s="70">
        <f>Tabla1[[#This Row],[Con. DO Storage '[gal']]]-Tabla1[[#This Row],[C. DO Storage Ge '[gal']]]</f>
        <v>0</v>
      </c>
      <c r="CK292" s="70"/>
      <c r="CL292" s="70"/>
      <c r="CM292" s="70">
        <f>Tabla1[[#This Row],[Con. DO Total '[gal']]]*131485.5/(1000000)</f>
        <v>0</v>
      </c>
    </row>
    <row r="293" spans="1:99" ht="15" customHeight="1">
      <c r="A293" s="362">
        <v>45218</v>
      </c>
      <c r="B293" s="363" t="str">
        <f>TEXT(Tabla1[[#This Row],[Fecha]],"mmmm")</f>
        <v>octubre</v>
      </c>
      <c r="C293" s="364"/>
      <c r="D293" s="366"/>
      <c r="E293" s="366"/>
      <c r="F293" s="366"/>
      <c r="G293" s="377"/>
      <c r="H293" s="377"/>
      <c r="I293" s="378"/>
      <c r="J293" s="378"/>
      <c r="K293" s="366"/>
      <c r="L293" s="366"/>
      <c r="M293" s="365">
        <f>Tabla1[[#This Row],[Columna1]]-Tabla1[[#This Row],[PO '[h']]]</f>
        <v>0</v>
      </c>
      <c r="N293" s="366">
        <f t="shared" si="89"/>
        <v>0</v>
      </c>
      <c r="O293" s="365"/>
      <c r="P293" s="367">
        <f>Tabla1[[#This Row],[G. HGS 
'[MWh']]]</f>
        <v>0</v>
      </c>
      <c r="Q293" s="430">
        <v>0</v>
      </c>
      <c r="R293" s="367">
        <v>0</v>
      </c>
      <c r="S293" s="367">
        <f>Tabla1[[#This Row],[G. HGS 
Con Gas]]*1000</f>
        <v>0</v>
      </c>
      <c r="T293" s="365">
        <f>Tabla1[[#This Row],[G. HGS 
'[MWh']]]*1000</f>
        <v>0</v>
      </c>
      <c r="U293" s="368">
        <f>SUM('G. Un GE'!B293:Y293)</f>
        <v>0</v>
      </c>
      <c r="V293" s="369">
        <f>Tabla1[[#This Row],[R. GE
'[MWh']]]</f>
        <v>0</v>
      </c>
      <c r="W293" s="434">
        <v>0</v>
      </c>
      <c r="X293" s="369">
        <v>0</v>
      </c>
      <c r="Y293" s="365">
        <f>Tabla1[[#This Row],[R. GE
'[MWh']]]*1000</f>
        <v>0</v>
      </c>
      <c r="Z293" s="371"/>
      <c r="AA29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3" s="371">
        <f>IF(Tabla1[[#This Row],[G. HGS 
'[MWh']]]=0,0,Tabla1[[#This Row],[G. HGS 
'[MWh']]]+Tabla1[[#This Row],[Con. Aux. '[MWh']2]])</f>
        <v>0</v>
      </c>
      <c r="AC293" s="368">
        <f>'C. ENER. TN'!F293</f>
        <v>0</v>
      </c>
      <c r="AD293" s="370">
        <f>'C. ENER. TN'!G293</f>
        <v>0</v>
      </c>
      <c r="AE293" s="370">
        <f>'G. Un GE'!AX293</f>
        <v>0</v>
      </c>
      <c r="AF293" s="368">
        <f>IFERROR('G. Un GE'!AX293/Tabla1[[#This Row],[PO '[h']]],0)</f>
        <v>0</v>
      </c>
      <c r="AG293" s="365">
        <f>'Ar-Pa'!AX293</f>
        <v>0</v>
      </c>
      <c r="AH293" s="365">
        <f>'Ar-Pa'!AY293</f>
        <v>0</v>
      </c>
      <c r="AI293" s="366">
        <f>SUM('Cal. Arr'!AB296:AY296)</f>
        <v>0</v>
      </c>
      <c r="AJ293" s="442"/>
      <c r="AK293" s="443"/>
      <c r="AL293" s="372">
        <f t="shared" si="90"/>
        <v>0</v>
      </c>
      <c r="AM293" s="372">
        <f>+CONVERT(AK293+Tabla1[[#This Row],[Con. DO Storage Gen. '[m3']]],"m^3","gal")</f>
        <v>0</v>
      </c>
      <c r="AN293" s="372">
        <f>SUM('DO Pilot'!B293:Y293)</f>
        <v>0</v>
      </c>
      <c r="AO293" s="372">
        <f t="shared" si="91"/>
        <v>0</v>
      </c>
      <c r="AP293" s="372">
        <f t="shared" si="92"/>
        <v>0</v>
      </c>
      <c r="AQ293" s="372">
        <f t="shared" si="93"/>
        <v>0</v>
      </c>
      <c r="AR293" s="443"/>
      <c r="AS293" s="443"/>
      <c r="AT293" s="267">
        <f>+CONVERT(SUM(Tabla1[[#This Row],[Repo. DO Storage '[gal']]:[Repo. DO Pilot '[gal']]]),"gal","m3")</f>
        <v>0</v>
      </c>
      <c r="AU293" s="442">
        <v>0</v>
      </c>
      <c r="AV293" s="372">
        <f t="shared" si="94"/>
        <v>0</v>
      </c>
      <c r="AW293" s="442">
        <v>0</v>
      </c>
      <c r="AX293" s="372">
        <f t="shared" si="95"/>
        <v>0</v>
      </c>
      <c r="AY293" s="372">
        <f t="shared" si="82"/>
        <v>0</v>
      </c>
      <c r="AZ293" s="372">
        <f>IFERROR(AL293/'Ar-Pa'!AX293,0)</f>
        <v>0</v>
      </c>
      <c r="BA293" s="372">
        <f>IFERROR(AL293/'Ar-Pa'!AY293,0)</f>
        <v>0</v>
      </c>
      <c r="BB293" s="372">
        <f t="shared" si="83"/>
        <v>0</v>
      </c>
      <c r="BC293" s="372">
        <f>IFERROR(AVERAGEIF('DO Pilot'!AX293:BU293,"&gt;0"),0)</f>
        <v>0</v>
      </c>
      <c r="BD293" s="446"/>
      <c r="BE293" s="446"/>
      <c r="BF293" s="446"/>
      <c r="BG293" s="223">
        <f>Tabla1[[#This Row],[ Re. Gas GC
 '[m3']]]</f>
        <v>0</v>
      </c>
      <c r="BH293" s="150">
        <f>IFERROR((BG293*Gas!$B$4)/28.31685,0)</f>
        <v>0</v>
      </c>
      <c r="BI293" s="73">
        <f t="shared" si="96"/>
        <v>0</v>
      </c>
      <c r="BJ293" s="74">
        <f t="shared" si="87"/>
        <v>0</v>
      </c>
      <c r="BK293" s="223">
        <f t="shared" si="84"/>
        <v>0</v>
      </c>
      <c r="BL293" s="442">
        <v>8907.7099999999991</v>
      </c>
      <c r="BM293" s="70">
        <f t="shared" si="85"/>
        <v>0</v>
      </c>
      <c r="BN293" s="70">
        <f t="shared" si="88"/>
        <v>0</v>
      </c>
      <c r="BO293" s="373">
        <f>IFERROR(Tabla1[[#This Row],[ Re. Gas GC
 '[m3']]]/Tabla1[[#This Row],[G. HGS 
Con Gas '[kWh']]],0)</f>
        <v>0</v>
      </c>
      <c r="BP293" s="374">
        <f>Tank!Y294</f>
        <v>0</v>
      </c>
      <c r="BQ293" s="70">
        <f>Tank!AP294</f>
        <v>0</v>
      </c>
      <c r="BR293" s="70">
        <f>Tank!V294</f>
        <v>0</v>
      </c>
      <c r="BS293" s="372">
        <f>Tank!T294</f>
        <v>0</v>
      </c>
      <c r="BT293" s="375" t="s">
        <v>228</v>
      </c>
      <c r="BU293" s="452"/>
      <c r="BV293" s="376">
        <f>IF(Tabla1[[#This Row],[Combustible ofertado]]="GAS",Tabla1[[#This Row],[Disponibilidad]],0)</f>
        <v>0</v>
      </c>
      <c r="BW293" s="376">
        <f>IF(Tabla1[[#This Row],[Combustible ofertado]]="DIESEL",Tabla1[[#This Row],[Disponibilidad]],0)</f>
        <v>0</v>
      </c>
      <c r="BX293" s="376">
        <f>IF(Tabla1[[#This Row],[Combustible ofertado]]="HFO",Tabla1[[#This Row],[Disponibilidad]],0)</f>
        <v>0</v>
      </c>
      <c r="BY293" s="452"/>
      <c r="BZ293" s="446">
        <f>'Horo. M'!C294</f>
        <v>0</v>
      </c>
      <c r="CA293" s="446">
        <f>'Horo. M'!E294</f>
        <v>0</v>
      </c>
      <c r="CB293" s="446">
        <f>'Horo. M'!G294</f>
        <v>0</v>
      </c>
      <c r="CC293" s="446">
        <f>'Horo. M'!I294</f>
        <v>0</v>
      </c>
      <c r="CD293" s="446">
        <f>'Horo. M'!K294</f>
        <v>0</v>
      </c>
      <c r="CE293" s="446">
        <f>'Horo. M'!M294</f>
        <v>0</v>
      </c>
      <c r="CF293" s="446">
        <f>'Horo. M'!O294</f>
        <v>0</v>
      </c>
      <c r="CG293" s="446">
        <f>'Horo. M'!Q294</f>
        <v>0</v>
      </c>
      <c r="CH293" s="446">
        <f>'Horo. M'!S294</f>
        <v>0</v>
      </c>
      <c r="CI293" s="446">
        <f>'Horo. M'!U294</f>
        <v>0</v>
      </c>
      <c r="CJ293" s="70">
        <f>Tabla1[[#This Row],[Con. DO Storage '[gal']]]-Tabla1[[#This Row],[C. DO Storage Ge '[gal']]]</f>
        <v>0</v>
      </c>
      <c r="CK293" s="70"/>
      <c r="CL293" s="70"/>
      <c r="CM293" s="70">
        <f>Tabla1[[#This Row],[Con. DO Total '[gal']]]*131485.5/(1000000)</f>
        <v>0</v>
      </c>
    </row>
    <row r="294" spans="1:99" ht="15" customHeight="1">
      <c r="A294" s="362">
        <v>45219</v>
      </c>
      <c r="B294" s="363" t="str">
        <f>TEXT(Tabla1[[#This Row],[Fecha]],"mmmm")</f>
        <v>octubre</v>
      </c>
      <c r="C294" s="364"/>
      <c r="D294" s="366"/>
      <c r="E294" s="366"/>
      <c r="F294" s="366"/>
      <c r="G294" s="377"/>
      <c r="H294" s="377"/>
      <c r="I294" s="378"/>
      <c r="J294" s="378"/>
      <c r="K294" s="366"/>
      <c r="L294" s="366"/>
      <c r="M294" s="365">
        <f>Tabla1[[#This Row],[Columna1]]-Tabla1[[#This Row],[PO '[h']]]</f>
        <v>0</v>
      </c>
      <c r="N294" s="366">
        <f t="shared" si="89"/>
        <v>0</v>
      </c>
      <c r="O294" s="365"/>
      <c r="P294" s="367">
        <f>Tabla1[[#This Row],[G. HGS 
'[MWh']]]</f>
        <v>0</v>
      </c>
      <c r="Q294" s="430">
        <v>0</v>
      </c>
      <c r="R294" s="367">
        <v>0</v>
      </c>
      <c r="S294" s="367">
        <f>Tabla1[[#This Row],[G. HGS 
Con Gas]]*1000</f>
        <v>0</v>
      </c>
      <c r="T294" s="365">
        <f>Tabla1[[#This Row],[G. HGS 
'[MWh']]]*1000</f>
        <v>0</v>
      </c>
      <c r="U294" s="368">
        <f>SUM('G. Un GE'!B294:Y294)</f>
        <v>0</v>
      </c>
      <c r="V294" s="369">
        <f>Tabla1[[#This Row],[R. GE
'[MWh']]]</f>
        <v>0</v>
      </c>
      <c r="W294" s="434">
        <v>0</v>
      </c>
      <c r="X294" s="369">
        <v>0</v>
      </c>
      <c r="Y294" s="365">
        <f>Tabla1[[#This Row],[R. GE
'[MWh']]]*1000</f>
        <v>0</v>
      </c>
      <c r="Z294" s="371"/>
      <c r="AA29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4" s="371">
        <f>IF(Tabla1[[#This Row],[G. HGS 
'[MWh']]]=0,0,Tabla1[[#This Row],[G. HGS 
'[MWh']]]+Tabla1[[#This Row],[Con. Aux. '[MWh']2]])</f>
        <v>0</v>
      </c>
      <c r="AC294" s="368">
        <f>'C. ENER. TN'!F294</f>
        <v>0</v>
      </c>
      <c r="AD294" s="370">
        <f>'C. ENER. TN'!G294</f>
        <v>0</v>
      </c>
      <c r="AE294" s="370">
        <f>'G. Un GE'!AX294</f>
        <v>0</v>
      </c>
      <c r="AF294" s="368">
        <f>IFERROR('G. Un GE'!AX294/Tabla1[[#This Row],[PO '[h']]],0)</f>
        <v>0</v>
      </c>
      <c r="AG294" s="365">
        <f>'Ar-Pa'!AX294</f>
        <v>0</v>
      </c>
      <c r="AH294" s="365">
        <f>'Ar-Pa'!AY294</f>
        <v>0</v>
      </c>
      <c r="AI294" s="366">
        <f>SUM('Cal. Arr'!AB297:AY297)</f>
        <v>0</v>
      </c>
      <c r="AJ294" s="442"/>
      <c r="AK294" s="443"/>
      <c r="AL294" s="372">
        <f t="shared" si="90"/>
        <v>0</v>
      </c>
      <c r="AM294" s="372">
        <f>+CONVERT(AK294+Tabla1[[#This Row],[Con. DO Storage Gen. '[m3']]],"m^3","gal")</f>
        <v>0</v>
      </c>
      <c r="AN294" s="372">
        <f>SUM('DO Pilot'!B294:Y294)</f>
        <v>0</v>
      </c>
      <c r="AO294" s="372">
        <f t="shared" si="91"/>
        <v>0</v>
      </c>
      <c r="AP294" s="372">
        <f t="shared" si="92"/>
        <v>0</v>
      </c>
      <c r="AQ294" s="372">
        <f t="shared" si="93"/>
        <v>0</v>
      </c>
      <c r="AR294" s="443"/>
      <c r="AS294" s="443"/>
      <c r="AT294" s="267">
        <f>+CONVERT(SUM(Tabla1[[#This Row],[Repo. DO Storage '[gal']]:[Repo. DO Pilot '[gal']]]),"gal","m3")</f>
        <v>0</v>
      </c>
      <c r="AU294" s="442">
        <v>0</v>
      </c>
      <c r="AV294" s="372">
        <f t="shared" si="94"/>
        <v>0</v>
      </c>
      <c r="AW294" s="442">
        <v>0</v>
      </c>
      <c r="AX294" s="372">
        <f t="shared" si="95"/>
        <v>0</v>
      </c>
      <c r="AY294" s="372">
        <f t="shared" si="82"/>
        <v>0</v>
      </c>
      <c r="AZ294" s="372">
        <f>IFERROR(AL294/'Ar-Pa'!AX294,0)</f>
        <v>0</v>
      </c>
      <c r="BA294" s="372">
        <f>IFERROR(AL294/'Ar-Pa'!AY294,0)</f>
        <v>0</v>
      </c>
      <c r="BB294" s="372">
        <f t="shared" si="83"/>
        <v>0</v>
      </c>
      <c r="BC294" s="372">
        <f>IFERROR(AVERAGEIF('DO Pilot'!AX294:BU294,"&gt;0"),0)</f>
        <v>0</v>
      </c>
      <c r="BD294" s="446"/>
      <c r="BE294" s="446"/>
      <c r="BF294" s="446"/>
      <c r="BG294" s="223">
        <f>Tabla1[[#This Row],[ Re. Gas GC
 '[m3']]]</f>
        <v>0</v>
      </c>
      <c r="BH294" s="150">
        <f>IFERROR((BG294*Gas!$B$4)/28.31685,0)</f>
        <v>0</v>
      </c>
      <c r="BI294" s="73">
        <f t="shared" si="96"/>
        <v>0</v>
      </c>
      <c r="BJ294" s="74">
        <f t="shared" si="87"/>
        <v>0</v>
      </c>
      <c r="BK294" s="223">
        <f t="shared" si="84"/>
        <v>0</v>
      </c>
      <c r="BL294" s="442">
        <v>8843.43</v>
      </c>
      <c r="BM294" s="70">
        <f t="shared" si="85"/>
        <v>0</v>
      </c>
      <c r="BN294" s="70">
        <f t="shared" si="88"/>
        <v>0</v>
      </c>
      <c r="BO294" s="373">
        <f>IFERROR(Tabla1[[#This Row],[ Re. Gas GC
 '[m3']]]/Tabla1[[#This Row],[G. HGS 
Con Gas '[kWh']]],0)</f>
        <v>0</v>
      </c>
      <c r="BP294" s="374">
        <f>Tank!Y295</f>
        <v>0</v>
      </c>
      <c r="BQ294" s="70">
        <f>Tank!AP295</f>
        <v>0</v>
      </c>
      <c r="BR294" s="70">
        <f>Tank!V295</f>
        <v>0</v>
      </c>
      <c r="BS294" s="372">
        <f>Tank!T295</f>
        <v>0</v>
      </c>
      <c r="BT294" s="375" t="s">
        <v>228</v>
      </c>
      <c r="BU294" s="452"/>
      <c r="BV294" s="376">
        <f>IF(Tabla1[[#This Row],[Combustible ofertado]]="GAS",Tabla1[[#This Row],[Disponibilidad]],0)</f>
        <v>0</v>
      </c>
      <c r="BW294" s="376">
        <f>IF(Tabla1[[#This Row],[Combustible ofertado]]="DIESEL",Tabla1[[#This Row],[Disponibilidad]],0)</f>
        <v>0</v>
      </c>
      <c r="BX294" s="376">
        <f>IF(Tabla1[[#This Row],[Combustible ofertado]]="HFO",Tabla1[[#This Row],[Disponibilidad]],0)</f>
        <v>0</v>
      </c>
      <c r="BY294" s="452"/>
      <c r="BZ294" s="446">
        <f>'Horo. M'!C295</f>
        <v>0</v>
      </c>
      <c r="CA294" s="446">
        <f>'Horo. M'!E295</f>
        <v>0</v>
      </c>
      <c r="CB294" s="446">
        <f>'Horo. M'!G295</f>
        <v>0</v>
      </c>
      <c r="CC294" s="446">
        <f>'Horo. M'!I295</f>
        <v>0</v>
      </c>
      <c r="CD294" s="446">
        <f>'Horo. M'!K295</f>
        <v>0</v>
      </c>
      <c r="CE294" s="446">
        <f>'Horo. M'!M295</f>
        <v>0</v>
      </c>
      <c r="CF294" s="446">
        <f>'Horo. M'!O295</f>
        <v>0</v>
      </c>
      <c r="CG294" s="446">
        <f>'Horo. M'!Q295</f>
        <v>0</v>
      </c>
      <c r="CH294" s="446">
        <f>'Horo. M'!S295</f>
        <v>0</v>
      </c>
      <c r="CI294" s="446">
        <f>'Horo. M'!U295</f>
        <v>0</v>
      </c>
      <c r="CJ294" s="70">
        <f>Tabla1[[#This Row],[Con. DO Storage '[gal']]]-Tabla1[[#This Row],[C. DO Storage Ge '[gal']]]</f>
        <v>0</v>
      </c>
      <c r="CK294" s="70"/>
      <c r="CL294" s="70"/>
      <c r="CM294" s="70">
        <f>Tabla1[[#This Row],[Con. DO Total '[gal']]]*131485.5/(1000000)</f>
        <v>0</v>
      </c>
    </row>
    <row r="295" spans="1:99" ht="15" customHeight="1">
      <c r="A295" s="362">
        <v>45220</v>
      </c>
      <c r="B295" s="363" t="str">
        <f>TEXT(Tabla1[[#This Row],[Fecha]],"mmmm")</f>
        <v>octubre</v>
      </c>
      <c r="C295" s="364"/>
      <c r="D295" s="366"/>
      <c r="E295" s="366"/>
      <c r="F295" s="366"/>
      <c r="G295" s="377"/>
      <c r="H295" s="377"/>
      <c r="I295" s="378"/>
      <c r="J295" s="378"/>
      <c r="K295" s="366"/>
      <c r="L295" s="366"/>
      <c r="M295" s="365">
        <f>Tabla1[[#This Row],[Columna1]]-Tabla1[[#This Row],[PO '[h']]]</f>
        <v>0</v>
      </c>
      <c r="N295" s="366">
        <f t="shared" si="89"/>
        <v>0</v>
      </c>
      <c r="O295" s="365"/>
      <c r="P295" s="367">
        <f>Tabla1[[#This Row],[G. HGS 
'[MWh']]]</f>
        <v>0</v>
      </c>
      <c r="Q295" s="430">
        <v>0</v>
      </c>
      <c r="R295" s="367">
        <v>0</v>
      </c>
      <c r="S295" s="367">
        <f>Tabla1[[#This Row],[G. HGS 
Con Gas]]*1000</f>
        <v>0</v>
      </c>
      <c r="T295" s="365">
        <f>Tabla1[[#This Row],[G. HGS 
'[MWh']]]*1000</f>
        <v>0</v>
      </c>
      <c r="U295" s="368">
        <f>SUM('G. Un GE'!B295:Y295)</f>
        <v>0</v>
      </c>
      <c r="V295" s="369">
        <f>Tabla1[[#This Row],[R. GE
'[MWh']]]</f>
        <v>0</v>
      </c>
      <c r="W295" s="434">
        <v>0</v>
      </c>
      <c r="X295" s="369">
        <v>0</v>
      </c>
      <c r="Y295" s="365">
        <f>Tabla1[[#This Row],[R. GE
'[MWh']]]*1000</f>
        <v>0</v>
      </c>
      <c r="Z295" s="371"/>
      <c r="AA29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5" s="371">
        <f>IF(Tabla1[[#This Row],[G. HGS 
'[MWh']]]=0,0,Tabla1[[#This Row],[G. HGS 
'[MWh']]]+Tabla1[[#This Row],[Con. Aux. '[MWh']2]])</f>
        <v>0</v>
      </c>
      <c r="AC295" s="368">
        <f>'C. ENER. TN'!F295</f>
        <v>0</v>
      </c>
      <c r="AD295" s="370">
        <f>'C. ENER. TN'!G295</f>
        <v>0</v>
      </c>
      <c r="AE295" s="370">
        <f>'G. Un GE'!AX295</f>
        <v>0</v>
      </c>
      <c r="AF295" s="368">
        <f>IFERROR('G. Un GE'!AX295/Tabla1[[#This Row],[PO '[h']]],0)</f>
        <v>0</v>
      </c>
      <c r="AG295" s="365">
        <f>'Ar-Pa'!AX295</f>
        <v>0</v>
      </c>
      <c r="AH295" s="365">
        <f>'Ar-Pa'!AY295</f>
        <v>0</v>
      </c>
      <c r="AI295" s="366">
        <f>SUM('Cal. Arr'!AB298:AY298)</f>
        <v>0</v>
      </c>
      <c r="AJ295" s="442"/>
      <c r="AK295" s="443"/>
      <c r="AL295" s="372">
        <f t="shared" si="90"/>
        <v>0</v>
      </c>
      <c r="AM295" s="372">
        <f>+CONVERT(AK295+Tabla1[[#This Row],[Con. DO Storage Gen. '[m3']]],"m^3","gal")</f>
        <v>0</v>
      </c>
      <c r="AN295" s="372">
        <f>SUM('DO Pilot'!B295:Y295)</f>
        <v>0</v>
      </c>
      <c r="AO295" s="372">
        <f t="shared" si="91"/>
        <v>0</v>
      </c>
      <c r="AP295" s="372">
        <f t="shared" si="92"/>
        <v>0</v>
      </c>
      <c r="AQ295" s="372">
        <f t="shared" si="93"/>
        <v>0</v>
      </c>
      <c r="AR295" s="443"/>
      <c r="AS295" s="443"/>
      <c r="AT295" s="267">
        <f>+CONVERT(SUM(Tabla1[[#This Row],[Repo. DO Storage '[gal']]:[Repo. DO Pilot '[gal']]]),"gal","m3")</f>
        <v>0</v>
      </c>
      <c r="AU295" s="442">
        <v>0</v>
      </c>
      <c r="AV295" s="372">
        <f t="shared" si="94"/>
        <v>0</v>
      </c>
      <c r="AW295" s="442">
        <v>0</v>
      </c>
      <c r="AX295" s="372">
        <f t="shared" si="95"/>
        <v>0</v>
      </c>
      <c r="AY295" s="372">
        <f t="shared" si="82"/>
        <v>0</v>
      </c>
      <c r="AZ295" s="372">
        <f>IFERROR(AL295/'Ar-Pa'!AX295,0)</f>
        <v>0</v>
      </c>
      <c r="BA295" s="372">
        <f>IFERROR(AL295/'Ar-Pa'!AY295,0)</f>
        <v>0</v>
      </c>
      <c r="BB295" s="372">
        <f t="shared" si="83"/>
        <v>0</v>
      </c>
      <c r="BC295" s="372">
        <f>IFERROR(AVERAGEIF('DO Pilot'!AX295:BU295,"&gt;0"),0)</f>
        <v>0</v>
      </c>
      <c r="BD295" s="446"/>
      <c r="BE295" s="446"/>
      <c r="BF295" s="446"/>
      <c r="BG295" s="223">
        <f>Tabla1[[#This Row],[ Re. Gas GC
 '[m3']]]</f>
        <v>0</v>
      </c>
      <c r="BH295" s="150">
        <f>IFERROR((BG295*Gas!$B$4)/28.31685,0)</f>
        <v>0</v>
      </c>
      <c r="BI295" s="73">
        <f t="shared" si="96"/>
        <v>0</v>
      </c>
      <c r="BJ295" s="74">
        <f t="shared" si="87"/>
        <v>0</v>
      </c>
      <c r="BK295" s="223">
        <f t="shared" si="84"/>
        <v>0</v>
      </c>
      <c r="BL295" s="442">
        <v>7964.38</v>
      </c>
      <c r="BM295" s="70">
        <f t="shared" si="85"/>
        <v>0</v>
      </c>
      <c r="BN295" s="70">
        <f t="shared" si="88"/>
        <v>0</v>
      </c>
      <c r="BO295" s="373">
        <f>IFERROR(Tabla1[[#This Row],[ Re. Gas GC
 '[m3']]]/Tabla1[[#This Row],[G. HGS 
Con Gas '[kWh']]],0)</f>
        <v>0</v>
      </c>
      <c r="BP295" s="374">
        <f>Tank!Y296</f>
        <v>0</v>
      </c>
      <c r="BQ295" s="70">
        <f>Tank!AP296</f>
        <v>0</v>
      </c>
      <c r="BR295" s="70">
        <f>Tank!V296</f>
        <v>0</v>
      </c>
      <c r="BS295" s="372">
        <f>Tank!T296</f>
        <v>0</v>
      </c>
      <c r="BT295" s="375" t="s">
        <v>228</v>
      </c>
      <c r="BU295" s="452"/>
      <c r="BV295" s="376">
        <f>IF(Tabla1[[#This Row],[Combustible ofertado]]="GAS",Tabla1[[#This Row],[Disponibilidad]],0)</f>
        <v>0</v>
      </c>
      <c r="BW295" s="376">
        <f>IF(Tabla1[[#This Row],[Combustible ofertado]]="DIESEL",Tabla1[[#This Row],[Disponibilidad]],0)</f>
        <v>0</v>
      </c>
      <c r="BX295" s="376">
        <f>IF(Tabla1[[#This Row],[Combustible ofertado]]="HFO",Tabla1[[#This Row],[Disponibilidad]],0)</f>
        <v>0</v>
      </c>
      <c r="BY295" s="452"/>
      <c r="BZ295" s="446">
        <f>'Horo. M'!C296</f>
        <v>0</v>
      </c>
      <c r="CA295" s="446">
        <f>'Horo. M'!E296</f>
        <v>0</v>
      </c>
      <c r="CB295" s="446">
        <f>'Horo. M'!G296</f>
        <v>0</v>
      </c>
      <c r="CC295" s="446">
        <f>'Horo. M'!I296</f>
        <v>0</v>
      </c>
      <c r="CD295" s="446">
        <f>'Horo. M'!K296</f>
        <v>0</v>
      </c>
      <c r="CE295" s="446">
        <f>'Horo. M'!M296</f>
        <v>0</v>
      </c>
      <c r="CF295" s="446">
        <f>'Horo. M'!O296</f>
        <v>0</v>
      </c>
      <c r="CG295" s="446">
        <f>'Horo. M'!Q296</f>
        <v>0</v>
      </c>
      <c r="CH295" s="446">
        <f>'Horo. M'!S296</f>
        <v>0</v>
      </c>
      <c r="CI295" s="446">
        <f>'Horo. M'!U296</f>
        <v>0</v>
      </c>
      <c r="CJ295" s="70">
        <f>Tabla1[[#This Row],[Con. DO Storage '[gal']]]-Tabla1[[#This Row],[C. DO Storage Ge '[gal']]]</f>
        <v>-7431.15</v>
      </c>
      <c r="CK295" s="70">
        <v>7431.15</v>
      </c>
      <c r="CL295" s="70">
        <v>120.23</v>
      </c>
      <c r="CM295" s="70">
        <f>Tabla1[[#This Row],[Con. DO Total '[gal']]]*131485.5/(1000000)</f>
        <v>0</v>
      </c>
    </row>
    <row r="296" spans="1:99" ht="15" customHeight="1">
      <c r="A296" s="362">
        <v>45221</v>
      </c>
      <c r="B296" s="363" t="str">
        <f>TEXT(Tabla1[[#This Row],[Fecha]],"mmmm")</f>
        <v>octubre</v>
      </c>
      <c r="C296" s="364"/>
      <c r="D296" s="366"/>
      <c r="E296" s="366"/>
      <c r="F296" s="366"/>
      <c r="G296" s="377"/>
      <c r="H296" s="377"/>
      <c r="I296" s="378"/>
      <c r="J296" s="378"/>
      <c r="K296" s="366"/>
      <c r="L296" s="366"/>
      <c r="M296" s="365">
        <f>Tabla1[[#This Row],[Columna1]]-Tabla1[[#This Row],[PO '[h']]]</f>
        <v>0</v>
      </c>
      <c r="N296" s="366">
        <f t="shared" si="89"/>
        <v>0</v>
      </c>
      <c r="O296" s="365"/>
      <c r="P296" s="367">
        <f>Tabla1[[#This Row],[G. HGS 
'[MWh']]]</f>
        <v>0</v>
      </c>
      <c r="Q296" s="430">
        <v>0</v>
      </c>
      <c r="R296" s="367">
        <v>0</v>
      </c>
      <c r="S296" s="367">
        <f>Tabla1[[#This Row],[G. HGS 
Con Gas]]*1000</f>
        <v>0</v>
      </c>
      <c r="T296" s="365">
        <f>Tabla1[[#This Row],[G. HGS 
'[MWh']]]*1000</f>
        <v>0</v>
      </c>
      <c r="U296" s="368">
        <f>SUM('G. Un GE'!B296:Y296)</f>
        <v>0</v>
      </c>
      <c r="V296" s="369">
        <f>Tabla1[[#This Row],[R. GE
'[MWh']]]</f>
        <v>0</v>
      </c>
      <c r="W296" s="434">
        <v>0</v>
      </c>
      <c r="X296" s="369">
        <v>0</v>
      </c>
      <c r="Y296" s="365">
        <f>Tabla1[[#This Row],[R. GE
'[MWh']]]*1000</f>
        <v>0</v>
      </c>
      <c r="Z296" s="371"/>
      <c r="AA29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6" s="371">
        <f>IF(Tabla1[[#This Row],[G. HGS 
'[MWh']]]=0,0,Tabla1[[#This Row],[G. HGS 
'[MWh']]]+Tabla1[[#This Row],[Con. Aux. '[MWh']2]])</f>
        <v>0</v>
      </c>
      <c r="AC296" s="368">
        <f>'C. ENER. TN'!F296</f>
        <v>0</v>
      </c>
      <c r="AD296" s="370">
        <f>'C. ENER. TN'!G296</f>
        <v>0</v>
      </c>
      <c r="AE296" s="370">
        <f>'G. Un GE'!AX296</f>
        <v>0</v>
      </c>
      <c r="AF296" s="368">
        <f>IFERROR('G. Un GE'!AX296/Tabla1[[#This Row],[PO '[h']]],0)</f>
        <v>0</v>
      </c>
      <c r="AG296" s="365">
        <f>'Ar-Pa'!AX296</f>
        <v>0</v>
      </c>
      <c r="AH296" s="365">
        <f>'Ar-Pa'!AY296</f>
        <v>0</v>
      </c>
      <c r="AI296" s="366">
        <f>SUM('Cal. Arr'!AB299:AY299)</f>
        <v>0</v>
      </c>
      <c r="AJ296" s="442"/>
      <c r="AK296" s="443"/>
      <c r="AL296" s="372">
        <f t="shared" si="90"/>
        <v>0</v>
      </c>
      <c r="AM296" s="372">
        <f>+CONVERT(AK296+Tabla1[[#This Row],[Con. DO Storage Gen. '[m3']]],"m^3","gal")</f>
        <v>0</v>
      </c>
      <c r="AN296" s="372">
        <f>SUM('DO Pilot'!B296:Y296)</f>
        <v>0</v>
      </c>
      <c r="AO296" s="372">
        <f t="shared" si="91"/>
        <v>0</v>
      </c>
      <c r="AP296" s="372">
        <f t="shared" si="92"/>
        <v>0</v>
      </c>
      <c r="AQ296" s="372">
        <f t="shared" si="93"/>
        <v>0</v>
      </c>
      <c r="AR296" s="443"/>
      <c r="AS296" s="443"/>
      <c r="AT296" s="267">
        <f>+CONVERT(SUM(Tabla1[[#This Row],[Repo. DO Storage '[gal']]:[Repo. DO Pilot '[gal']]]),"gal","m3")</f>
        <v>0</v>
      </c>
      <c r="AU296" s="442">
        <v>0</v>
      </c>
      <c r="AV296" s="372">
        <f t="shared" si="94"/>
        <v>0</v>
      </c>
      <c r="AW296" s="442">
        <v>0</v>
      </c>
      <c r="AX296" s="372">
        <f t="shared" si="95"/>
        <v>0</v>
      </c>
      <c r="AY296" s="372">
        <f t="shared" si="82"/>
        <v>0</v>
      </c>
      <c r="AZ296" s="372">
        <f>IFERROR(AL296/'Ar-Pa'!AX296,0)</f>
        <v>0</v>
      </c>
      <c r="BA296" s="372">
        <f>IFERROR(AL296/'Ar-Pa'!AY296,0)</f>
        <v>0</v>
      </c>
      <c r="BB296" s="372">
        <f t="shared" si="83"/>
        <v>0</v>
      </c>
      <c r="BC296" s="372">
        <f>IFERROR(AVERAGEIF('DO Pilot'!AX296:BU296,"&gt;0"),0)</f>
        <v>0</v>
      </c>
      <c r="BD296" s="446"/>
      <c r="BE296" s="446"/>
      <c r="BF296" s="446"/>
      <c r="BG296" s="223">
        <f>Tabla1[[#This Row],[ Re. Gas GC
 '[m3']]]</f>
        <v>0</v>
      </c>
      <c r="BH296" s="150">
        <f>IFERROR((BG296*Gas!$B$4)/28.31685,0)</f>
        <v>0</v>
      </c>
      <c r="BI296" s="73">
        <f t="shared" si="96"/>
        <v>0</v>
      </c>
      <c r="BJ296" s="74">
        <f t="shared" si="87"/>
        <v>0</v>
      </c>
      <c r="BK296" s="223">
        <f t="shared" si="84"/>
        <v>0</v>
      </c>
      <c r="BL296" s="442">
        <v>8615.66</v>
      </c>
      <c r="BM296" s="70">
        <f t="shared" si="85"/>
        <v>0</v>
      </c>
      <c r="BN296" s="70">
        <f t="shared" si="88"/>
        <v>0</v>
      </c>
      <c r="BO296" s="373">
        <f>IFERROR(Tabla1[[#This Row],[ Re. Gas GC
 '[m3']]]/Tabla1[[#This Row],[G. HGS 
Con Gas '[kWh']]],0)</f>
        <v>0</v>
      </c>
      <c r="BP296" s="374">
        <f>Tank!Y297</f>
        <v>0</v>
      </c>
      <c r="BQ296" s="70">
        <f>Tank!AP297</f>
        <v>0</v>
      </c>
      <c r="BR296" s="70">
        <f>Tank!V297</f>
        <v>0</v>
      </c>
      <c r="BS296" s="372">
        <f>Tank!T297</f>
        <v>0</v>
      </c>
      <c r="BT296" s="375" t="s">
        <v>228</v>
      </c>
      <c r="BU296" s="452"/>
      <c r="BV296" s="376">
        <f>IF(Tabla1[[#This Row],[Combustible ofertado]]="GAS",Tabla1[[#This Row],[Disponibilidad]],0)</f>
        <v>0</v>
      </c>
      <c r="BW296" s="376">
        <f>IF(Tabla1[[#This Row],[Combustible ofertado]]="DIESEL",Tabla1[[#This Row],[Disponibilidad]],0)</f>
        <v>0</v>
      </c>
      <c r="BX296" s="376">
        <f>IF(Tabla1[[#This Row],[Combustible ofertado]]="HFO",Tabla1[[#This Row],[Disponibilidad]],0)</f>
        <v>0</v>
      </c>
      <c r="BY296" s="452"/>
      <c r="BZ296" s="446">
        <f>'Horo. M'!C297</f>
        <v>0</v>
      </c>
      <c r="CA296" s="446">
        <f>'Horo. M'!E297</f>
        <v>0</v>
      </c>
      <c r="CB296" s="446">
        <f>'Horo. M'!G297</f>
        <v>0</v>
      </c>
      <c r="CC296" s="446">
        <f>'Horo. M'!I297</f>
        <v>0</v>
      </c>
      <c r="CD296" s="446">
        <f>'Horo. M'!K297</f>
        <v>0</v>
      </c>
      <c r="CE296" s="446">
        <f>'Horo. M'!M297</f>
        <v>0</v>
      </c>
      <c r="CF296" s="446">
        <f>'Horo. M'!O297</f>
        <v>0</v>
      </c>
      <c r="CG296" s="446">
        <f>'Horo. M'!Q297</f>
        <v>0</v>
      </c>
      <c r="CH296" s="446">
        <f>'Horo. M'!S297</f>
        <v>0</v>
      </c>
      <c r="CI296" s="446">
        <f>'Horo. M'!U297</f>
        <v>0</v>
      </c>
      <c r="CJ296" s="70">
        <f>Tabla1[[#This Row],[Con. DO Storage '[gal']]]-Tabla1[[#This Row],[C. DO Storage Ge '[gal']]]</f>
        <v>-2187.33</v>
      </c>
      <c r="CK296" s="70">
        <v>2187.33</v>
      </c>
      <c r="CL296" s="396">
        <v>35.369999999999997</v>
      </c>
      <c r="CM296" s="70">
        <f>Tabla1[[#This Row],[Con. DO Total '[gal']]]*131485.5/(1000000)</f>
        <v>0</v>
      </c>
    </row>
    <row r="297" spans="1:99" ht="15" customHeight="1">
      <c r="A297" s="362">
        <v>45222</v>
      </c>
      <c r="B297" s="363" t="str">
        <f>TEXT(Tabla1[[#This Row],[Fecha]],"mmmm")</f>
        <v>octubre</v>
      </c>
      <c r="C297" s="364"/>
      <c r="D297" s="366"/>
      <c r="E297" s="366"/>
      <c r="F297" s="366"/>
      <c r="G297" s="377"/>
      <c r="H297" s="377"/>
      <c r="I297" s="378"/>
      <c r="J297" s="378"/>
      <c r="K297" s="366"/>
      <c r="L297" s="366"/>
      <c r="M297" s="365">
        <f>Tabla1[[#This Row],[Columna1]]-Tabla1[[#This Row],[PO '[h']]]</f>
        <v>0</v>
      </c>
      <c r="N297" s="366">
        <f t="shared" si="89"/>
        <v>0</v>
      </c>
      <c r="O297" s="365"/>
      <c r="P297" s="367">
        <f>Tabla1[[#This Row],[G. HGS 
'[MWh']]]</f>
        <v>0</v>
      </c>
      <c r="Q297" s="430">
        <v>0</v>
      </c>
      <c r="R297" s="367">
        <v>0</v>
      </c>
      <c r="S297" s="367">
        <f>Tabla1[[#This Row],[G. HGS 
Con Gas]]*1000</f>
        <v>0</v>
      </c>
      <c r="T297" s="365">
        <f>Tabla1[[#This Row],[G. HGS 
'[MWh']]]*1000</f>
        <v>0</v>
      </c>
      <c r="U297" s="368">
        <f>SUM('G. Un GE'!B297:Y297)</f>
        <v>0</v>
      </c>
      <c r="V297" s="369">
        <f>Tabla1[[#This Row],[R. GE
'[MWh']]]</f>
        <v>0</v>
      </c>
      <c r="W297" s="434">
        <v>0</v>
      </c>
      <c r="X297" s="369">
        <v>0</v>
      </c>
      <c r="Y297" s="365">
        <f>Tabla1[[#This Row],[R. GE
'[MWh']]]*1000</f>
        <v>0</v>
      </c>
      <c r="Z297" s="371"/>
      <c r="AA29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7" s="371">
        <f>IF(Tabla1[[#This Row],[G. HGS 
'[MWh']]]=0,0,Tabla1[[#This Row],[G. HGS 
'[MWh']]]+Tabla1[[#This Row],[Con. Aux. '[MWh']2]])</f>
        <v>0</v>
      </c>
      <c r="AC297" s="368">
        <f>'C. ENER. TN'!F297</f>
        <v>0</v>
      </c>
      <c r="AD297" s="370">
        <f>'C. ENER. TN'!G297</f>
        <v>0</v>
      </c>
      <c r="AE297" s="370">
        <f>'G. Un GE'!AX297</f>
        <v>0</v>
      </c>
      <c r="AF297" s="368">
        <f>IFERROR('G. Un GE'!AX297/Tabla1[[#This Row],[PO '[h']]],0)</f>
        <v>0</v>
      </c>
      <c r="AG297" s="365">
        <f>'Ar-Pa'!AX297</f>
        <v>0</v>
      </c>
      <c r="AH297" s="365">
        <f>'Ar-Pa'!AY297</f>
        <v>0</v>
      </c>
      <c r="AI297" s="366">
        <f>SUM('Cal. Arr'!AB300:AY300)</f>
        <v>0</v>
      </c>
      <c r="AJ297" s="442"/>
      <c r="AK297" s="443"/>
      <c r="AL297" s="372">
        <f t="shared" si="90"/>
        <v>0</v>
      </c>
      <c r="AM297" s="372">
        <f>+CONVERT(AK297+Tabla1[[#This Row],[Con. DO Storage Gen. '[m3']]],"m^3","gal")</f>
        <v>0</v>
      </c>
      <c r="AN297" s="372">
        <f>SUM('DO Pilot'!B297:Y297)</f>
        <v>0</v>
      </c>
      <c r="AO297" s="372">
        <f t="shared" si="91"/>
        <v>0</v>
      </c>
      <c r="AP297" s="372">
        <f t="shared" si="92"/>
        <v>0</v>
      </c>
      <c r="AQ297" s="372">
        <f t="shared" si="93"/>
        <v>0</v>
      </c>
      <c r="AR297" s="443"/>
      <c r="AS297" s="443"/>
      <c r="AT297" s="267">
        <f>+CONVERT(SUM(Tabla1[[#This Row],[Repo. DO Storage '[gal']]:[Repo. DO Pilot '[gal']]]),"gal","m3")</f>
        <v>0</v>
      </c>
      <c r="AU297" s="442">
        <v>0</v>
      </c>
      <c r="AV297" s="372">
        <f t="shared" si="94"/>
        <v>0</v>
      </c>
      <c r="AW297" s="442">
        <v>0</v>
      </c>
      <c r="AX297" s="372">
        <f t="shared" si="95"/>
        <v>0</v>
      </c>
      <c r="AY297" s="372">
        <f t="shared" si="82"/>
        <v>0</v>
      </c>
      <c r="AZ297" s="372">
        <f>IFERROR(AL297/'Ar-Pa'!AX297,0)</f>
        <v>0</v>
      </c>
      <c r="BA297" s="372">
        <f>IFERROR(AL297/'Ar-Pa'!AY297,0)</f>
        <v>0</v>
      </c>
      <c r="BB297" s="372">
        <f t="shared" si="83"/>
        <v>0</v>
      </c>
      <c r="BC297" s="372">
        <f>IFERROR(AVERAGEIF('DO Pilot'!AX297:BU297,"&gt;0"),0)</f>
        <v>0</v>
      </c>
      <c r="BD297" s="446"/>
      <c r="BE297" s="446"/>
      <c r="BF297" s="446"/>
      <c r="BG297" s="223">
        <f>Tabla1[[#This Row],[ Re. Gas GC
 '[m3']]]</f>
        <v>0</v>
      </c>
      <c r="BH297" s="150">
        <f>IFERROR((BG297*Gas!$B$4)/28.31685,0)</f>
        <v>0</v>
      </c>
      <c r="BI297" s="73">
        <f t="shared" si="96"/>
        <v>0</v>
      </c>
      <c r="BJ297" s="74">
        <f t="shared" si="87"/>
        <v>0</v>
      </c>
      <c r="BK297" s="223">
        <f t="shared" si="84"/>
        <v>0</v>
      </c>
      <c r="BL297" s="442">
        <v>8933.34</v>
      </c>
      <c r="BM297" s="70">
        <f t="shared" si="85"/>
        <v>0</v>
      </c>
      <c r="BN297" s="70">
        <f t="shared" si="88"/>
        <v>0</v>
      </c>
      <c r="BO297" s="373">
        <f>IFERROR(Tabla1[[#This Row],[ Re. Gas GC
 '[m3']]]/Tabla1[[#This Row],[G. HGS 
Con Gas '[kWh']]],0)</f>
        <v>0</v>
      </c>
      <c r="BP297" s="374">
        <f>Tank!Y298</f>
        <v>0</v>
      </c>
      <c r="BQ297" s="70">
        <f>Tank!AP298</f>
        <v>0</v>
      </c>
      <c r="BR297" s="70">
        <f>Tank!V298</f>
        <v>0</v>
      </c>
      <c r="BS297" s="372">
        <f>Tank!T298</f>
        <v>0</v>
      </c>
      <c r="BT297" s="375" t="s">
        <v>228</v>
      </c>
      <c r="BU297" s="452"/>
      <c r="BV297" s="376">
        <f>IF(Tabla1[[#This Row],[Combustible ofertado]]="GAS",Tabla1[[#This Row],[Disponibilidad]],0)</f>
        <v>0</v>
      </c>
      <c r="BW297" s="376">
        <f>IF(Tabla1[[#This Row],[Combustible ofertado]]="DIESEL",Tabla1[[#This Row],[Disponibilidad]],0)</f>
        <v>0</v>
      </c>
      <c r="BX297" s="376">
        <f>IF(Tabla1[[#This Row],[Combustible ofertado]]="HFO",Tabla1[[#This Row],[Disponibilidad]],0)</f>
        <v>0</v>
      </c>
      <c r="BY297" s="452"/>
      <c r="BZ297" s="446">
        <f>'Horo. M'!C298</f>
        <v>0</v>
      </c>
      <c r="CA297" s="446">
        <f>'Horo. M'!E298</f>
        <v>0</v>
      </c>
      <c r="CB297" s="446">
        <f>'Horo. M'!G298</f>
        <v>0</v>
      </c>
      <c r="CC297" s="446">
        <f>'Horo. M'!I298</f>
        <v>0</v>
      </c>
      <c r="CD297" s="446">
        <f>'Horo. M'!K298</f>
        <v>0</v>
      </c>
      <c r="CE297" s="446">
        <f>'Horo. M'!M298</f>
        <v>0</v>
      </c>
      <c r="CF297" s="446">
        <f>'Horo. M'!O298</f>
        <v>0</v>
      </c>
      <c r="CG297" s="446">
        <f>'Horo. M'!Q298</f>
        <v>0</v>
      </c>
      <c r="CH297" s="446">
        <f>'Horo. M'!S298</f>
        <v>0</v>
      </c>
      <c r="CI297" s="446">
        <f>'Horo. M'!U298</f>
        <v>0</v>
      </c>
      <c r="CJ297" s="70">
        <f>Tabla1[[#This Row],[Con. DO Storage '[gal']]]-Tabla1[[#This Row],[C. DO Storage Ge '[gal']]]</f>
        <v>0</v>
      </c>
      <c r="CK297" s="70"/>
      <c r="CL297" s="70"/>
      <c r="CM297" s="70">
        <f>Tabla1[[#This Row],[Con. DO Total '[gal']]]*131485.5/(1000000)</f>
        <v>0</v>
      </c>
      <c r="CU297" s="10">
        <v>1092.4631999999999</v>
      </c>
    </row>
    <row r="298" spans="1:99" ht="15" customHeight="1">
      <c r="A298" s="362">
        <v>45223</v>
      </c>
      <c r="B298" s="363" t="str">
        <f>TEXT(Tabla1[[#This Row],[Fecha]],"mmmm")</f>
        <v>octubre</v>
      </c>
      <c r="C298" s="364"/>
      <c r="D298" s="366"/>
      <c r="E298" s="366"/>
      <c r="F298" s="366"/>
      <c r="G298" s="377"/>
      <c r="H298" s="377"/>
      <c r="I298" s="378"/>
      <c r="J298" s="378"/>
      <c r="K298" s="366"/>
      <c r="L298" s="366"/>
      <c r="M298" s="365">
        <f>Tabla1[[#This Row],[Columna1]]-Tabla1[[#This Row],[PO '[h']]]</f>
        <v>0</v>
      </c>
      <c r="N298" s="366">
        <f t="shared" si="89"/>
        <v>0</v>
      </c>
      <c r="O298" s="365"/>
      <c r="P298" s="367">
        <f>Tabla1[[#This Row],[G. HGS 
'[MWh']]]</f>
        <v>0</v>
      </c>
      <c r="Q298" s="430">
        <v>0</v>
      </c>
      <c r="R298" s="367">
        <v>0</v>
      </c>
      <c r="S298" s="367">
        <f>Tabla1[[#This Row],[G. HGS 
Con Gas]]*1000</f>
        <v>0</v>
      </c>
      <c r="T298" s="365">
        <f>Tabla1[[#This Row],[G. HGS 
'[MWh']]]*1000</f>
        <v>0</v>
      </c>
      <c r="U298" s="368">
        <f>SUM('G. Un GE'!B298:Y298)</f>
        <v>0</v>
      </c>
      <c r="V298" s="369">
        <f>Tabla1[[#This Row],[R. GE
'[MWh']]]</f>
        <v>0</v>
      </c>
      <c r="W298" s="434">
        <v>0</v>
      </c>
      <c r="X298" s="369">
        <v>0</v>
      </c>
      <c r="Y298" s="365">
        <f>Tabla1[[#This Row],[R. GE
'[MWh']]]*1000</f>
        <v>0</v>
      </c>
      <c r="Z298" s="371"/>
      <c r="AA29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8" s="371">
        <f>IF(Tabla1[[#This Row],[G. HGS 
'[MWh']]]=0,0,Tabla1[[#This Row],[G. HGS 
'[MWh']]]+Tabla1[[#This Row],[Con. Aux. '[MWh']2]])</f>
        <v>0</v>
      </c>
      <c r="AC298" s="368">
        <f>'C. ENER. TN'!F298</f>
        <v>0</v>
      </c>
      <c r="AD298" s="370">
        <f>'C. ENER. TN'!G298</f>
        <v>0</v>
      </c>
      <c r="AE298" s="370">
        <f>'G. Un GE'!AX298</f>
        <v>0</v>
      </c>
      <c r="AF298" s="368">
        <f>IFERROR('G. Un GE'!AX298/Tabla1[[#This Row],[PO '[h']]],0)</f>
        <v>0</v>
      </c>
      <c r="AG298" s="365">
        <f>'Ar-Pa'!AX298</f>
        <v>0</v>
      </c>
      <c r="AH298" s="365">
        <f>'Ar-Pa'!AY298</f>
        <v>0</v>
      </c>
      <c r="AI298" s="366">
        <f>SUM('Cal. Arr'!AB301:AY301)</f>
        <v>0</v>
      </c>
      <c r="AJ298" s="442"/>
      <c r="AK298" s="443"/>
      <c r="AL298" s="372">
        <f t="shared" si="90"/>
        <v>0</v>
      </c>
      <c r="AM298" s="372">
        <f>+CONVERT(AK298+Tabla1[[#This Row],[Con. DO Storage Gen. '[m3']]],"m^3","gal")</f>
        <v>0</v>
      </c>
      <c r="AN298" s="372">
        <f>SUM('DO Pilot'!B298:Y298)</f>
        <v>0</v>
      </c>
      <c r="AO298" s="372">
        <f t="shared" si="91"/>
        <v>0</v>
      </c>
      <c r="AP298" s="372">
        <f t="shared" si="92"/>
        <v>0</v>
      </c>
      <c r="AQ298" s="372">
        <f t="shared" si="93"/>
        <v>0</v>
      </c>
      <c r="AR298" s="443"/>
      <c r="AS298" s="443"/>
      <c r="AT298" s="267">
        <f>+CONVERT(SUM(Tabla1[[#This Row],[Repo. DO Storage '[gal']]:[Repo. DO Pilot '[gal']]]),"gal","m3")</f>
        <v>0</v>
      </c>
      <c r="AU298" s="442">
        <v>0</v>
      </c>
      <c r="AV298" s="372">
        <f t="shared" si="94"/>
        <v>0</v>
      </c>
      <c r="AW298" s="442">
        <v>0</v>
      </c>
      <c r="AX298" s="372">
        <f t="shared" si="95"/>
        <v>0</v>
      </c>
      <c r="AY298" s="372">
        <f t="shared" si="82"/>
        <v>0</v>
      </c>
      <c r="AZ298" s="372">
        <f>IFERROR(AL298/'Ar-Pa'!AX298,0)</f>
        <v>0</v>
      </c>
      <c r="BA298" s="372">
        <f>IFERROR(AL298/'Ar-Pa'!AY298,0)</f>
        <v>0</v>
      </c>
      <c r="BB298" s="372">
        <f t="shared" si="83"/>
        <v>0</v>
      </c>
      <c r="BC298" s="372">
        <f>IFERROR(AVERAGEIF('DO Pilot'!AX298:BU298,"&gt;0"),0)</f>
        <v>0</v>
      </c>
      <c r="BD298" s="446"/>
      <c r="BE298" s="446"/>
      <c r="BF298" s="446"/>
      <c r="BG298" s="223">
        <f>Tabla1[[#This Row],[ Re. Gas GC
 '[m3']]]</f>
        <v>0</v>
      </c>
      <c r="BH298" s="150">
        <f>IFERROR((BG298*Gas!$B$4)/28.31685,0)</f>
        <v>0</v>
      </c>
      <c r="BI298" s="73">
        <f t="shared" si="96"/>
        <v>0</v>
      </c>
      <c r="BJ298" s="74">
        <f t="shared" si="87"/>
        <v>0</v>
      </c>
      <c r="BK298" s="223">
        <f t="shared" si="84"/>
        <v>0</v>
      </c>
      <c r="BL298" s="442">
        <v>8828.8700000000008</v>
      </c>
      <c r="BM298" s="70">
        <f t="shared" si="85"/>
        <v>0</v>
      </c>
      <c r="BN298" s="70">
        <f t="shared" si="88"/>
        <v>0</v>
      </c>
      <c r="BO298" s="373">
        <f>IFERROR(Tabla1[[#This Row],[ Re. Gas GC
 '[m3']]]/Tabla1[[#This Row],[G. HGS 
Con Gas '[kWh']]],0)</f>
        <v>0</v>
      </c>
      <c r="BP298" s="374">
        <f>Tank!Y299</f>
        <v>0</v>
      </c>
      <c r="BQ298" s="70">
        <f>Tank!AP299</f>
        <v>0</v>
      </c>
      <c r="BR298" s="70">
        <f>Tank!V299</f>
        <v>0</v>
      </c>
      <c r="BS298" s="372">
        <f>Tank!T299</f>
        <v>0</v>
      </c>
      <c r="BT298" s="375" t="s">
        <v>228</v>
      </c>
      <c r="BU298" s="452"/>
      <c r="BV298" s="376">
        <f>IF(Tabla1[[#This Row],[Combustible ofertado]]="GAS",Tabla1[[#This Row],[Disponibilidad]],0)</f>
        <v>0</v>
      </c>
      <c r="BW298" s="376">
        <f>IF(Tabla1[[#This Row],[Combustible ofertado]]="DIESEL",Tabla1[[#This Row],[Disponibilidad]],0)</f>
        <v>0</v>
      </c>
      <c r="BX298" s="376">
        <f>IF(Tabla1[[#This Row],[Combustible ofertado]]="HFO",Tabla1[[#This Row],[Disponibilidad]],0)</f>
        <v>0</v>
      </c>
      <c r="BY298" s="452"/>
      <c r="BZ298" s="446">
        <f>'Horo. M'!C299</f>
        <v>0</v>
      </c>
      <c r="CA298" s="446">
        <f>'Horo. M'!E299</f>
        <v>0</v>
      </c>
      <c r="CB298" s="446">
        <f>'Horo. M'!G299</f>
        <v>0</v>
      </c>
      <c r="CC298" s="446">
        <f>'Horo. M'!I299</f>
        <v>0</v>
      </c>
      <c r="CD298" s="446">
        <f>'Horo. M'!K299</f>
        <v>0</v>
      </c>
      <c r="CE298" s="446">
        <f>'Horo. M'!M299</f>
        <v>0</v>
      </c>
      <c r="CF298" s="446">
        <f>'Horo. M'!O299</f>
        <v>0</v>
      </c>
      <c r="CG298" s="446">
        <f>'Horo. M'!Q299</f>
        <v>0</v>
      </c>
      <c r="CH298" s="446">
        <f>'Horo. M'!S299</f>
        <v>0</v>
      </c>
      <c r="CI298" s="446">
        <f>'Horo. M'!U299</f>
        <v>0</v>
      </c>
      <c r="CJ298" s="70">
        <f>Tabla1[[#This Row],[Con. DO Storage '[gal']]]-Tabla1[[#This Row],[C. DO Storage Ge '[gal']]]</f>
        <v>0</v>
      </c>
      <c r="CK298" s="70"/>
      <c r="CL298" s="70"/>
      <c r="CM298" s="70">
        <f>Tabla1[[#This Row],[Con. DO Total '[gal']]]*131485.5/(1000000)</f>
        <v>0</v>
      </c>
      <c r="CU298" s="10">
        <v>939.51689999999996</v>
      </c>
    </row>
    <row r="299" spans="1:99" ht="15" customHeight="1">
      <c r="A299" s="362">
        <v>45224</v>
      </c>
      <c r="B299" s="363" t="str">
        <f>TEXT(Tabla1[[#This Row],[Fecha]],"mmmm")</f>
        <v>octubre</v>
      </c>
      <c r="C299" s="364"/>
      <c r="D299" s="366"/>
      <c r="E299" s="366"/>
      <c r="F299" s="366"/>
      <c r="G299" s="377"/>
      <c r="H299" s="377"/>
      <c r="I299" s="378"/>
      <c r="J299" s="378"/>
      <c r="K299" s="366"/>
      <c r="L299" s="366"/>
      <c r="M299" s="365">
        <f>Tabla1[[#This Row],[Columna1]]-Tabla1[[#This Row],[PO '[h']]]</f>
        <v>0</v>
      </c>
      <c r="N299" s="366">
        <f t="shared" si="89"/>
        <v>0</v>
      </c>
      <c r="O299" s="365"/>
      <c r="P299" s="367">
        <f>Tabla1[[#This Row],[G. HGS 
'[MWh']]]</f>
        <v>0</v>
      </c>
      <c r="Q299" s="430">
        <v>0</v>
      </c>
      <c r="R299" s="367">
        <v>0</v>
      </c>
      <c r="S299" s="367">
        <f>Tabla1[[#This Row],[G. HGS 
Con Gas]]*1000</f>
        <v>0</v>
      </c>
      <c r="T299" s="365">
        <f>Tabla1[[#This Row],[G. HGS 
'[MWh']]]*1000</f>
        <v>0</v>
      </c>
      <c r="U299" s="368">
        <f>SUM('G. Un GE'!B299:Y299)</f>
        <v>0</v>
      </c>
      <c r="V299" s="369">
        <f>Tabla1[[#This Row],[R. GE
'[MWh']]]</f>
        <v>0</v>
      </c>
      <c r="W299" s="434">
        <v>0</v>
      </c>
      <c r="X299" s="369">
        <v>0</v>
      </c>
      <c r="Y299" s="365">
        <f>Tabla1[[#This Row],[R. GE
'[MWh']]]*1000</f>
        <v>0</v>
      </c>
      <c r="Z299" s="371"/>
      <c r="AA29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299" s="371">
        <f>IF(Tabla1[[#This Row],[G. HGS 
'[MWh']]]=0,0,Tabla1[[#This Row],[G. HGS 
'[MWh']]]+Tabla1[[#This Row],[Con. Aux. '[MWh']2]])</f>
        <v>0</v>
      </c>
      <c r="AC299" s="368">
        <f>'C. ENER. TN'!F299</f>
        <v>0</v>
      </c>
      <c r="AD299" s="370">
        <f>'C. ENER. TN'!G299</f>
        <v>0</v>
      </c>
      <c r="AE299" s="370">
        <f>'G. Un GE'!AX299</f>
        <v>0</v>
      </c>
      <c r="AF299" s="368">
        <f>IFERROR('G. Un GE'!AX299/Tabla1[[#This Row],[PO '[h']]],0)</f>
        <v>0</v>
      </c>
      <c r="AG299" s="365">
        <f>'Ar-Pa'!AX299</f>
        <v>0</v>
      </c>
      <c r="AH299" s="365">
        <f>'Ar-Pa'!AY299</f>
        <v>0</v>
      </c>
      <c r="AI299" s="366">
        <f>SUM('Cal. Arr'!AB302:AY302)</f>
        <v>0</v>
      </c>
      <c r="AJ299" s="442"/>
      <c r="AK299" s="443"/>
      <c r="AL299" s="372">
        <f t="shared" si="90"/>
        <v>0</v>
      </c>
      <c r="AM299" s="372">
        <f>+CONVERT(AK299+Tabla1[[#This Row],[Con. DO Storage Gen. '[m3']]],"m^3","gal")</f>
        <v>0</v>
      </c>
      <c r="AN299" s="372">
        <f>SUM('DO Pilot'!B299:Y299)</f>
        <v>0</v>
      </c>
      <c r="AO299" s="372">
        <f t="shared" si="91"/>
        <v>0</v>
      </c>
      <c r="AP299" s="372">
        <f t="shared" si="92"/>
        <v>0</v>
      </c>
      <c r="AQ299" s="372">
        <f t="shared" si="93"/>
        <v>0</v>
      </c>
      <c r="AR299" s="443"/>
      <c r="AS299" s="443"/>
      <c r="AT299" s="267">
        <f>+CONVERT(SUM(Tabla1[[#This Row],[Repo. DO Storage '[gal']]:[Repo. DO Pilot '[gal']]]),"gal","m3")</f>
        <v>0</v>
      </c>
      <c r="AU299" s="442">
        <v>0</v>
      </c>
      <c r="AV299" s="372">
        <f t="shared" si="94"/>
        <v>0</v>
      </c>
      <c r="AW299" s="442">
        <v>0</v>
      </c>
      <c r="AX299" s="372">
        <f t="shared" si="95"/>
        <v>0</v>
      </c>
      <c r="AY299" s="372">
        <f t="shared" si="82"/>
        <v>0</v>
      </c>
      <c r="AZ299" s="372">
        <f>IFERROR(AL299/'Ar-Pa'!AX299,0)</f>
        <v>0</v>
      </c>
      <c r="BA299" s="372">
        <f>IFERROR(AL299/'Ar-Pa'!AY299,0)</f>
        <v>0</v>
      </c>
      <c r="BB299" s="372">
        <f t="shared" si="83"/>
        <v>0</v>
      </c>
      <c r="BC299" s="372">
        <f>IFERROR(AVERAGEIF('DO Pilot'!AX299:BU299,"&gt;0"),0)</f>
        <v>0</v>
      </c>
      <c r="BD299" s="446"/>
      <c r="BE299" s="446"/>
      <c r="BF299" s="446"/>
      <c r="BG299" s="223">
        <f>Tabla1[[#This Row],[ Re. Gas GC
 '[m3']]]</f>
        <v>0</v>
      </c>
      <c r="BH299" s="150">
        <f>IFERROR((BG299*Gas!$B$4)/28.31685,0)</f>
        <v>0</v>
      </c>
      <c r="BI299" s="73">
        <f t="shared" si="96"/>
        <v>0</v>
      </c>
      <c r="BJ299" s="74">
        <f t="shared" si="87"/>
        <v>0</v>
      </c>
      <c r="BK299" s="223">
        <f t="shared" si="84"/>
        <v>0</v>
      </c>
      <c r="BL299" s="442">
        <v>8920.01</v>
      </c>
      <c r="BM299" s="70">
        <f t="shared" si="85"/>
        <v>0</v>
      </c>
      <c r="BN299" s="70">
        <f t="shared" si="88"/>
        <v>0</v>
      </c>
      <c r="BO299" s="373">
        <f>IFERROR(Tabla1[[#This Row],[ Re. Gas GC
 '[m3']]]/Tabla1[[#This Row],[G. HGS 
Con Gas '[kWh']]],0)</f>
        <v>0</v>
      </c>
      <c r="BP299" s="374">
        <f>Tank!Y300</f>
        <v>0</v>
      </c>
      <c r="BQ299" s="70">
        <f>Tank!AP300</f>
        <v>0</v>
      </c>
      <c r="BR299" s="70">
        <f>Tank!V300</f>
        <v>0</v>
      </c>
      <c r="BS299" s="372">
        <f>Tank!T300</f>
        <v>0</v>
      </c>
      <c r="BT299" s="375" t="s">
        <v>228</v>
      </c>
      <c r="BU299" s="452"/>
      <c r="BV299" s="376">
        <f>IF(Tabla1[[#This Row],[Combustible ofertado]]="GAS",Tabla1[[#This Row],[Disponibilidad]],0)</f>
        <v>0</v>
      </c>
      <c r="BW299" s="376">
        <f>IF(Tabla1[[#This Row],[Combustible ofertado]]="DIESEL",Tabla1[[#This Row],[Disponibilidad]],0)</f>
        <v>0</v>
      </c>
      <c r="BX299" s="376">
        <f>IF(Tabla1[[#This Row],[Combustible ofertado]]="HFO",Tabla1[[#This Row],[Disponibilidad]],0)</f>
        <v>0</v>
      </c>
      <c r="BY299" s="452"/>
      <c r="BZ299" s="446">
        <f>'Horo. M'!C300</f>
        <v>0</v>
      </c>
      <c r="CA299" s="446">
        <f>'Horo. M'!E300</f>
        <v>0</v>
      </c>
      <c r="CB299" s="446">
        <f>'Horo. M'!G300</f>
        <v>0</v>
      </c>
      <c r="CC299" s="446">
        <f>'Horo. M'!I300</f>
        <v>0</v>
      </c>
      <c r="CD299" s="446">
        <f>'Horo. M'!K300</f>
        <v>0</v>
      </c>
      <c r="CE299" s="446">
        <f>'Horo. M'!M300</f>
        <v>0</v>
      </c>
      <c r="CF299" s="446">
        <f>'Horo. M'!O300</f>
        <v>0</v>
      </c>
      <c r="CG299" s="446">
        <f>'Horo. M'!Q300</f>
        <v>0</v>
      </c>
      <c r="CH299" s="446">
        <f>'Horo. M'!S300</f>
        <v>0</v>
      </c>
      <c r="CI299" s="446">
        <f>'Horo. M'!U300</f>
        <v>0</v>
      </c>
      <c r="CJ299" s="70">
        <f>Tabla1[[#This Row],[Con. DO Storage '[gal']]]-Tabla1[[#This Row],[C. DO Storage Ge '[gal']]]</f>
        <v>0</v>
      </c>
      <c r="CK299" s="70"/>
      <c r="CL299" s="70"/>
      <c r="CM299" s="70">
        <f>Tabla1[[#This Row],[Con. DO Total '[gal']]]*131485.5/(1000000)</f>
        <v>0</v>
      </c>
      <c r="CU299" s="10">
        <v>661.68470000000002</v>
      </c>
    </row>
    <row r="300" spans="1:99" ht="15" customHeight="1">
      <c r="A300" s="362">
        <v>45225</v>
      </c>
      <c r="B300" s="363" t="str">
        <f>TEXT(Tabla1[[#This Row],[Fecha]],"mmmm")</f>
        <v>octubre</v>
      </c>
      <c r="C300" s="364"/>
      <c r="D300" s="366"/>
      <c r="E300" s="366"/>
      <c r="F300" s="366"/>
      <c r="G300" s="377"/>
      <c r="H300" s="377"/>
      <c r="I300" s="378"/>
      <c r="J300" s="378"/>
      <c r="K300" s="366"/>
      <c r="L300" s="366"/>
      <c r="M300" s="365">
        <f>Tabla1[[#This Row],[Columna1]]-Tabla1[[#This Row],[PO '[h']]]</f>
        <v>0</v>
      </c>
      <c r="N300" s="366">
        <f t="shared" si="89"/>
        <v>0</v>
      </c>
      <c r="O300" s="365"/>
      <c r="P300" s="367">
        <f>Tabla1[[#This Row],[G. HGS 
'[MWh']]]</f>
        <v>0</v>
      </c>
      <c r="Q300" s="430">
        <v>0</v>
      </c>
      <c r="R300" s="367">
        <v>0</v>
      </c>
      <c r="S300" s="367">
        <f>Tabla1[[#This Row],[G. HGS 
Con Gas]]*1000</f>
        <v>0</v>
      </c>
      <c r="T300" s="365">
        <f>Tabla1[[#This Row],[G. HGS 
'[MWh']]]*1000</f>
        <v>0</v>
      </c>
      <c r="U300" s="368">
        <f>SUM('G. Un GE'!B300:Y300)</f>
        <v>0</v>
      </c>
      <c r="V300" s="369">
        <f>Tabla1[[#This Row],[R. GE
'[MWh']]]</f>
        <v>0</v>
      </c>
      <c r="W300" s="434">
        <v>0</v>
      </c>
      <c r="X300" s="369">
        <v>0</v>
      </c>
      <c r="Y300" s="365">
        <f>Tabla1[[#This Row],[R. GE
'[MWh']]]*1000</f>
        <v>0</v>
      </c>
      <c r="Z300" s="371"/>
      <c r="AA30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0" s="371">
        <f>IF(Tabla1[[#This Row],[G. HGS 
'[MWh']]]=0,0,Tabla1[[#This Row],[G. HGS 
'[MWh']]]+Tabla1[[#This Row],[Con. Aux. '[MWh']2]])</f>
        <v>0</v>
      </c>
      <c r="AC300" s="368">
        <f>'C. ENER. TN'!F300</f>
        <v>0</v>
      </c>
      <c r="AD300" s="370">
        <f>'C. ENER. TN'!G300</f>
        <v>0</v>
      </c>
      <c r="AE300" s="370">
        <f>'G. Un GE'!AX300</f>
        <v>0</v>
      </c>
      <c r="AF300" s="368">
        <f>IFERROR('G. Un GE'!AX300/Tabla1[[#This Row],[PO '[h']]],0)</f>
        <v>0</v>
      </c>
      <c r="AG300" s="365">
        <f>'Ar-Pa'!AX300</f>
        <v>0</v>
      </c>
      <c r="AH300" s="365">
        <f>'Ar-Pa'!AY300</f>
        <v>0</v>
      </c>
      <c r="AI300" s="366">
        <f>SUM('Cal. Arr'!AB303:AY303)</f>
        <v>0</v>
      </c>
      <c r="AJ300" s="442"/>
      <c r="AK300" s="443"/>
      <c r="AL300" s="372">
        <f t="shared" si="90"/>
        <v>0</v>
      </c>
      <c r="AM300" s="372">
        <f>+CONVERT(AK300+Tabla1[[#This Row],[Con. DO Storage Gen. '[m3']]],"m^3","gal")</f>
        <v>0</v>
      </c>
      <c r="AN300" s="372">
        <f>SUM('DO Pilot'!B300:Y300)</f>
        <v>0</v>
      </c>
      <c r="AO300" s="372">
        <f t="shared" si="91"/>
        <v>0</v>
      </c>
      <c r="AP300" s="372">
        <f t="shared" si="92"/>
        <v>0</v>
      </c>
      <c r="AQ300" s="372">
        <f t="shared" si="93"/>
        <v>0</v>
      </c>
      <c r="AR300" s="443"/>
      <c r="AS300" s="443"/>
      <c r="AT300" s="267">
        <f>+CONVERT(SUM(Tabla1[[#This Row],[Repo. DO Storage '[gal']]:[Repo. DO Pilot '[gal']]]),"gal","m3")</f>
        <v>0</v>
      </c>
      <c r="AU300" s="442">
        <v>0</v>
      </c>
      <c r="AV300" s="372">
        <f t="shared" si="94"/>
        <v>0</v>
      </c>
      <c r="AW300" s="442">
        <v>0</v>
      </c>
      <c r="AX300" s="372">
        <f t="shared" si="95"/>
        <v>0</v>
      </c>
      <c r="AY300" s="372">
        <f t="shared" si="82"/>
        <v>0</v>
      </c>
      <c r="AZ300" s="372">
        <f>IFERROR(AL300/'Ar-Pa'!AX300,0)</f>
        <v>0</v>
      </c>
      <c r="BA300" s="372">
        <f>IFERROR(AL300/'Ar-Pa'!AY300,0)</f>
        <v>0</v>
      </c>
      <c r="BB300" s="372">
        <f t="shared" si="83"/>
        <v>0</v>
      </c>
      <c r="BC300" s="372">
        <f>IFERROR(AVERAGEIF('DO Pilot'!AX300:BU300,"&gt;0"),0)</f>
        <v>0</v>
      </c>
      <c r="BD300" s="446"/>
      <c r="BE300" s="446"/>
      <c r="BF300" s="446"/>
      <c r="BG300" s="223">
        <f>Tabla1[[#This Row],[ Re. Gas GC
 '[m3']]]</f>
        <v>0</v>
      </c>
      <c r="BH300" s="150">
        <f>IFERROR((BG300*Gas!$B$4)/28.31685,0)</f>
        <v>0</v>
      </c>
      <c r="BI300" s="73">
        <f t="shared" si="96"/>
        <v>0</v>
      </c>
      <c r="BJ300" s="74">
        <f t="shared" si="87"/>
        <v>0</v>
      </c>
      <c r="BK300" s="223">
        <f t="shared" si="84"/>
        <v>0</v>
      </c>
      <c r="BL300" s="442">
        <v>8888.15</v>
      </c>
      <c r="BM300" s="70">
        <f t="shared" si="85"/>
        <v>0</v>
      </c>
      <c r="BN300" s="70">
        <f t="shared" si="88"/>
        <v>0</v>
      </c>
      <c r="BO300" s="373">
        <f>IFERROR(Tabla1[[#This Row],[ Re. Gas GC
 '[m3']]]/Tabla1[[#This Row],[G. HGS 
Con Gas '[kWh']]],0)</f>
        <v>0</v>
      </c>
      <c r="BP300" s="374">
        <f>Tank!Y301</f>
        <v>0</v>
      </c>
      <c r="BQ300" s="70">
        <f>Tank!AP301</f>
        <v>0</v>
      </c>
      <c r="BR300" s="70">
        <f>Tank!V301</f>
        <v>0</v>
      </c>
      <c r="BS300" s="372">
        <f>Tank!T301</f>
        <v>0</v>
      </c>
      <c r="BT300" s="375" t="s">
        <v>228</v>
      </c>
      <c r="BU300" s="452"/>
      <c r="BV300" s="376">
        <f>IF(Tabla1[[#This Row],[Combustible ofertado]]="GAS",Tabla1[[#This Row],[Disponibilidad]],0)</f>
        <v>0</v>
      </c>
      <c r="BW300" s="376">
        <f>IF(Tabla1[[#This Row],[Combustible ofertado]]="DIESEL",Tabla1[[#This Row],[Disponibilidad]],0)</f>
        <v>0</v>
      </c>
      <c r="BX300" s="376">
        <f>IF(Tabla1[[#This Row],[Combustible ofertado]]="HFO",Tabla1[[#This Row],[Disponibilidad]],0)</f>
        <v>0</v>
      </c>
      <c r="BY300" s="452"/>
      <c r="BZ300" s="446">
        <f>'Horo. M'!C301</f>
        <v>0</v>
      </c>
      <c r="CA300" s="446">
        <f>'Horo. M'!E301</f>
        <v>0</v>
      </c>
      <c r="CB300" s="446">
        <f>'Horo. M'!G301</f>
        <v>0</v>
      </c>
      <c r="CC300" s="446">
        <f>'Horo. M'!I301</f>
        <v>0</v>
      </c>
      <c r="CD300" s="446">
        <f>'Horo. M'!K301</f>
        <v>0</v>
      </c>
      <c r="CE300" s="446">
        <f>'Horo. M'!M301</f>
        <v>0</v>
      </c>
      <c r="CF300" s="446">
        <f>'Horo. M'!O301</f>
        <v>0</v>
      </c>
      <c r="CG300" s="446">
        <f>'Horo. M'!Q301</f>
        <v>0</v>
      </c>
      <c r="CH300" s="446">
        <f>'Horo. M'!S301</f>
        <v>0</v>
      </c>
      <c r="CI300" s="446">
        <f>'Horo. M'!U301</f>
        <v>0</v>
      </c>
      <c r="CJ300" s="70">
        <f>Tabla1[[#This Row],[Con. DO Storage '[gal']]]-Tabla1[[#This Row],[C. DO Storage Ge '[gal']]]</f>
        <v>0</v>
      </c>
      <c r="CK300" s="70"/>
      <c r="CL300" s="70"/>
      <c r="CM300" s="70">
        <f>Tabla1[[#This Row],[Con. DO Total '[gal']]]*131485.5/(1000000)</f>
        <v>0</v>
      </c>
      <c r="CU300" s="10">
        <v>1442.7963999999997</v>
      </c>
    </row>
    <row r="301" spans="1:99" ht="15" customHeight="1">
      <c r="A301" s="362">
        <v>45226</v>
      </c>
      <c r="B301" s="363" t="str">
        <f>TEXT(Tabla1[[#This Row],[Fecha]],"mmmm")</f>
        <v>octubre</v>
      </c>
      <c r="C301" s="364"/>
      <c r="D301" s="366"/>
      <c r="E301" s="366"/>
      <c r="F301" s="366"/>
      <c r="G301" s="377"/>
      <c r="H301" s="377"/>
      <c r="I301" s="378"/>
      <c r="J301" s="378"/>
      <c r="K301" s="366"/>
      <c r="L301" s="366"/>
      <c r="M301" s="365">
        <f>Tabla1[[#This Row],[Columna1]]-Tabla1[[#This Row],[PO '[h']]]</f>
        <v>0</v>
      </c>
      <c r="N301" s="366">
        <f t="shared" si="89"/>
        <v>0</v>
      </c>
      <c r="O301" s="365"/>
      <c r="P301" s="367">
        <f>Tabla1[[#This Row],[G. HGS 
'[MWh']]]</f>
        <v>0</v>
      </c>
      <c r="Q301" s="430">
        <v>0</v>
      </c>
      <c r="R301" s="367">
        <v>0</v>
      </c>
      <c r="S301" s="367">
        <f>Tabla1[[#This Row],[G. HGS 
Con Gas]]*1000</f>
        <v>0</v>
      </c>
      <c r="T301" s="365">
        <f>Tabla1[[#This Row],[G. HGS 
'[MWh']]]*1000</f>
        <v>0</v>
      </c>
      <c r="U301" s="368">
        <f>SUM('G. Un GE'!B301:Y301)</f>
        <v>0</v>
      </c>
      <c r="V301" s="369">
        <f>Tabla1[[#This Row],[R. GE
'[MWh']]]</f>
        <v>0</v>
      </c>
      <c r="W301" s="434">
        <v>0</v>
      </c>
      <c r="X301" s="369">
        <v>0</v>
      </c>
      <c r="Y301" s="365">
        <f>Tabla1[[#This Row],[R. GE
'[MWh']]]*1000</f>
        <v>0</v>
      </c>
      <c r="Z301" s="371"/>
      <c r="AA30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1" s="371">
        <f>IF(Tabla1[[#This Row],[G. HGS 
'[MWh']]]=0,0,Tabla1[[#This Row],[G. HGS 
'[MWh']]]+Tabla1[[#This Row],[Con. Aux. '[MWh']2]])</f>
        <v>0</v>
      </c>
      <c r="AC301" s="368">
        <f>'C. ENER. TN'!F301</f>
        <v>0</v>
      </c>
      <c r="AD301" s="370">
        <f>'C. ENER. TN'!G301</f>
        <v>0</v>
      </c>
      <c r="AE301" s="370">
        <f>'G. Un GE'!AX301</f>
        <v>0</v>
      </c>
      <c r="AF301" s="368">
        <f>IFERROR('G. Un GE'!AX301/Tabla1[[#This Row],[PO '[h']]],0)</f>
        <v>0</v>
      </c>
      <c r="AG301" s="365">
        <f>'Ar-Pa'!AX301</f>
        <v>0</v>
      </c>
      <c r="AH301" s="365">
        <f>'Ar-Pa'!AY301</f>
        <v>0</v>
      </c>
      <c r="AI301" s="366">
        <f>SUM('Cal. Arr'!AB304:AY304)</f>
        <v>0</v>
      </c>
      <c r="AJ301" s="442"/>
      <c r="AK301" s="443"/>
      <c r="AL301" s="372">
        <f t="shared" si="90"/>
        <v>0</v>
      </c>
      <c r="AM301" s="372">
        <f>+CONVERT(AK301+Tabla1[[#This Row],[Con. DO Storage Gen. '[m3']]],"m^3","gal")</f>
        <v>0</v>
      </c>
      <c r="AN301" s="372">
        <f>SUM('DO Pilot'!B301:Y301)</f>
        <v>0</v>
      </c>
      <c r="AO301" s="372">
        <f t="shared" si="91"/>
        <v>0</v>
      </c>
      <c r="AP301" s="372">
        <f t="shared" si="92"/>
        <v>0</v>
      </c>
      <c r="AQ301" s="372">
        <f t="shared" si="93"/>
        <v>0</v>
      </c>
      <c r="AR301" s="443"/>
      <c r="AS301" s="443"/>
      <c r="AT301" s="267">
        <f>+CONVERT(SUM(Tabla1[[#This Row],[Repo. DO Storage '[gal']]:[Repo. DO Pilot '[gal']]]),"gal","m3")</f>
        <v>0</v>
      </c>
      <c r="AU301" s="442">
        <v>0</v>
      </c>
      <c r="AV301" s="372">
        <f t="shared" si="94"/>
        <v>0</v>
      </c>
      <c r="AW301" s="442">
        <v>0</v>
      </c>
      <c r="AX301" s="372">
        <f t="shared" si="95"/>
        <v>0</v>
      </c>
      <c r="AY301" s="372">
        <f t="shared" si="82"/>
        <v>0</v>
      </c>
      <c r="AZ301" s="372">
        <f>IFERROR(AL301/'Ar-Pa'!AX301,0)</f>
        <v>0</v>
      </c>
      <c r="BA301" s="372">
        <f>IFERROR(AL301/'Ar-Pa'!AY301,0)</f>
        <v>0</v>
      </c>
      <c r="BB301" s="372">
        <f t="shared" si="83"/>
        <v>0</v>
      </c>
      <c r="BC301" s="372">
        <f>IFERROR(AVERAGEIF('DO Pilot'!AX301:BU301,"&gt;0"),0)</f>
        <v>0</v>
      </c>
      <c r="BD301" s="446"/>
      <c r="BE301" s="446"/>
      <c r="BF301" s="446"/>
      <c r="BG301" s="223">
        <f>Tabla1[[#This Row],[ Re. Gas GC
 '[m3']]]</f>
        <v>0</v>
      </c>
      <c r="BH301" s="150">
        <f>IFERROR((BG301*Gas!$B$4)/28.31685,0)</f>
        <v>0</v>
      </c>
      <c r="BI301" s="73">
        <f t="shared" si="96"/>
        <v>0</v>
      </c>
      <c r="BJ301" s="74">
        <f t="shared" si="87"/>
        <v>0</v>
      </c>
      <c r="BK301" s="223">
        <f t="shared" si="84"/>
        <v>0</v>
      </c>
      <c r="BL301" s="442">
        <v>8839.81</v>
      </c>
      <c r="BM301" s="70">
        <f t="shared" si="85"/>
        <v>0</v>
      </c>
      <c r="BN301" s="70">
        <f t="shared" si="88"/>
        <v>0</v>
      </c>
      <c r="BO301" s="373">
        <f>IFERROR(Tabla1[[#This Row],[ Re. Gas GC
 '[m3']]]/Tabla1[[#This Row],[G. HGS 
Con Gas '[kWh']]],0)</f>
        <v>0</v>
      </c>
      <c r="BP301" s="374">
        <f>Tank!Y302</f>
        <v>0</v>
      </c>
      <c r="BQ301" s="70">
        <f>Tank!AP302</f>
        <v>0</v>
      </c>
      <c r="BR301" s="70">
        <f>Tank!V302</f>
        <v>0</v>
      </c>
      <c r="BS301" s="372">
        <f>Tank!T302</f>
        <v>0</v>
      </c>
      <c r="BT301" s="375" t="s">
        <v>228</v>
      </c>
      <c r="BU301" s="452"/>
      <c r="BV301" s="376">
        <f>IF(Tabla1[[#This Row],[Combustible ofertado]]="GAS",Tabla1[[#This Row],[Disponibilidad]],0)</f>
        <v>0</v>
      </c>
      <c r="BW301" s="376">
        <f>IF(Tabla1[[#This Row],[Combustible ofertado]]="DIESEL",Tabla1[[#This Row],[Disponibilidad]],0)</f>
        <v>0</v>
      </c>
      <c r="BX301" s="376">
        <f>IF(Tabla1[[#This Row],[Combustible ofertado]]="HFO",Tabla1[[#This Row],[Disponibilidad]],0)</f>
        <v>0</v>
      </c>
      <c r="BY301" s="452"/>
      <c r="BZ301" s="446">
        <f>'Horo. M'!C302</f>
        <v>0</v>
      </c>
      <c r="CA301" s="446">
        <f>'Horo. M'!E302</f>
        <v>0</v>
      </c>
      <c r="CB301" s="446">
        <f>'Horo. M'!G302</f>
        <v>0</v>
      </c>
      <c r="CC301" s="446">
        <f>'Horo. M'!I302</f>
        <v>0</v>
      </c>
      <c r="CD301" s="446">
        <f>'Horo. M'!K302</f>
        <v>0</v>
      </c>
      <c r="CE301" s="446">
        <f>'Horo. M'!M302</f>
        <v>0</v>
      </c>
      <c r="CF301" s="446">
        <f>'Horo. M'!O302</f>
        <v>0</v>
      </c>
      <c r="CG301" s="446">
        <f>'Horo. M'!Q302</f>
        <v>0</v>
      </c>
      <c r="CH301" s="446">
        <f>'Horo. M'!S302</f>
        <v>0</v>
      </c>
      <c r="CI301" s="446">
        <f>'Horo. M'!U302</f>
        <v>0</v>
      </c>
      <c r="CJ301" s="70">
        <f>Tabla1[[#This Row],[Con. DO Storage '[gal']]]-Tabla1[[#This Row],[C. DO Storage Ge '[gal']]]</f>
        <v>0</v>
      </c>
      <c r="CK301" s="70"/>
      <c r="CL301" s="70"/>
      <c r="CM301" s="70">
        <f>Tabla1[[#This Row],[Con. DO Total '[gal']]]*131485.5/(1000000)</f>
        <v>0</v>
      </c>
      <c r="CU301" s="10">
        <v>830.87400000000014</v>
      </c>
    </row>
    <row r="302" spans="1:99" ht="15" customHeight="1">
      <c r="A302" s="362">
        <v>45227</v>
      </c>
      <c r="B302" s="363" t="str">
        <f>TEXT(Tabla1[[#This Row],[Fecha]],"mmmm")</f>
        <v>octubre</v>
      </c>
      <c r="C302" s="364"/>
      <c r="D302" s="366"/>
      <c r="E302" s="366"/>
      <c r="F302" s="366"/>
      <c r="G302" s="377"/>
      <c r="H302" s="377"/>
      <c r="I302" s="378"/>
      <c r="J302" s="378"/>
      <c r="K302" s="366"/>
      <c r="L302" s="366"/>
      <c r="M302" s="365">
        <f>Tabla1[[#This Row],[Columna1]]-Tabla1[[#This Row],[PO '[h']]]</f>
        <v>0</v>
      </c>
      <c r="N302" s="366">
        <f t="shared" si="89"/>
        <v>0</v>
      </c>
      <c r="O302" s="365"/>
      <c r="P302" s="367">
        <f>Tabla1[[#This Row],[G. HGS 
'[MWh']]]</f>
        <v>0</v>
      </c>
      <c r="Q302" s="430">
        <v>0</v>
      </c>
      <c r="R302" s="367">
        <v>0</v>
      </c>
      <c r="S302" s="367">
        <f>Tabla1[[#This Row],[G. HGS 
Con Gas]]*1000</f>
        <v>0</v>
      </c>
      <c r="T302" s="365">
        <f>Tabla1[[#This Row],[G. HGS 
'[MWh']]]*1000</f>
        <v>0</v>
      </c>
      <c r="U302" s="368">
        <f>SUM('G. Un GE'!B302:Y302)</f>
        <v>0</v>
      </c>
      <c r="V302" s="369">
        <f>Tabla1[[#This Row],[R. GE
'[MWh']]]</f>
        <v>0</v>
      </c>
      <c r="W302" s="434">
        <v>0</v>
      </c>
      <c r="X302" s="369">
        <v>0</v>
      </c>
      <c r="Y302" s="365">
        <f>Tabla1[[#This Row],[R. GE
'[MWh']]]*1000</f>
        <v>0</v>
      </c>
      <c r="Z302" s="371"/>
      <c r="AA30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2" s="371">
        <f>IF(Tabla1[[#This Row],[G. HGS 
'[MWh']]]=0,0,Tabla1[[#This Row],[G. HGS 
'[MWh']]]+Tabla1[[#This Row],[Con. Aux. '[MWh']2]])</f>
        <v>0</v>
      </c>
      <c r="AC302" s="368">
        <f>'C. ENER. TN'!F302</f>
        <v>0</v>
      </c>
      <c r="AD302" s="370">
        <f>'C. ENER. TN'!G302</f>
        <v>0</v>
      </c>
      <c r="AE302" s="370">
        <f>'G. Un GE'!AX302</f>
        <v>0</v>
      </c>
      <c r="AF302" s="368">
        <f>IFERROR('G. Un GE'!AX302/Tabla1[[#This Row],[PO '[h']]],0)</f>
        <v>0</v>
      </c>
      <c r="AG302" s="365">
        <f>'Ar-Pa'!AX302</f>
        <v>0</v>
      </c>
      <c r="AH302" s="365">
        <f>'Ar-Pa'!AY302</f>
        <v>0</v>
      </c>
      <c r="AI302" s="366">
        <f>SUM('Cal. Arr'!AB305:AY305)</f>
        <v>0</v>
      </c>
      <c r="AJ302" s="442"/>
      <c r="AK302" s="443"/>
      <c r="AL302" s="372">
        <f t="shared" si="90"/>
        <v>0</v>
      </c>
      <c r="AM302" s="372">
        <f>+CONVERT(AK302+Tabla1[[#This Row],[Con. DO Storage Gen. '[m3']]],"m^3","gal")</f>
        <v>0</v>
      </c>
      <c r="AN302" s="372">
        <f>SUM('DO Pilot'!B302:Y302)</f>
        <v>0</v>
      </c>
      <c r="AO302" s="372">
        <f t="shared" si="91"/>
        <v>0</v>
      </c>
      <c r="AP302" s="372">
        <f t="shared" si="92"/>
        <v>0</v>
      </c>
      <c r="AQ302" s="372">
        <f t="shared" si="93"/>
        <v>0</v>
      </c>
      <c r="AR302" s="443"/>
      <c r="AS302" s="443"/>
      <c r="AT302" s="267">
        <f>+CONVERT(SUM(Tabla1[[#This Row],[Repo. DO Storage '[gal']]:[Repo. DO Pilot '[gal']]]),"gal","m3")</f>
        <v>0</v>
      </c>
      <c r="AU302" s="442">
        <v>0</v>
      </c>
      <c r="AV302" s="372">
        <f t="shared" si="94"/>
        <v>0</v>
      </c>
      <c r="AW302" s="442">
        <v>0</v>
      </c>
      <c r="AX302" s="372">
        <f t="shared" si="95"/>
        <v>0</v>
      </c>
      <c r="AY302" s="372">
        <f t="shared" si="82"/>
        <v>0</v>
      </c>
      <c r="AZ302" s="372">
        <f>IFERROR(AL302/'Ar-Pa'!AX302,0)</f>
        <v>0</v>
      </c>
      <c r="BA302" s="372">
        <f>IFERROR(AL302/'Ar-Pa'!AY302,0)</f>
        <v>0</v>
      </c>
      <c r="BB302" s="372">
        <f t="shared" si="83"/>
        <v>0</v>
      </c>
      <c r="BC302" s="372">
        <f>IFERROR(AVERAGEIF('DO Pilot'!AX302:BU302,"&gt;0"),0)</f>
        <v>0</v>
      </c>
      <c r="BD302" s="446"/>
      <c r="BE302" s="446"/>
      <c r="BF302" s="446"/>
      <c r="BG302" s="223">
        <f>Tabla1[[#This Row],[ Re. Gas GC
 '[m3']]]</f>
        <v>0</v>
      </c>
      <c r="BH302" s="150">
        <f>IFERROR((BG302*Gas!$B$4)/28.31685,0)</f>
        <v>0</v>
      </c>
      <c r="BI302" s="73">
        <f t="shared" si="96"/>
        <v>0</v>
      </c>
      <c r="BJ302" s="74">
        <f t="shared" si="87"/>
        <v>0</v>
      </c>
      <c r="BK302" s="223">
        <f t="shared" si="84"/>
        <v>0</v>
      </c>
      <c r="BL302" s="442">
        <v>9164.75</v>
      </c>
      <c r="BM302" s="70">
        <f t="shared" si="85"/>
        <v>0</v>
      </c>
      <c r="BN302" s="70">
        <f t="shared" si="88"/>
        <v>0</v>
      </c>
      <c r="BO302" s="373">
        <f>IFERROR(Tabla1[[#This Row],[ Re. Gas GC
 '[m3']]]/Tabla1[[#This Row],[G. HGS 
Con Gas '[kWh']]],0)</f>
        <v>0</v>
      </c>
      <c r="BP302" s="374">
        <f>Tank!Y303</f>
        <v>0</v>
      </c>
      <c r="BQ302" s="70">
        <f>Tank!AP303</f>
        <v>0</v>
      </c>
      <c r="BR302" s="70">
        <f>Tank!V303</f>
        <v>0</v>
      </c>
      <c r="BS302" s="372">
        <f>Tank!T303</f>
        <v>0</v>
      </c>
      <c r="BT302" s="375" t="s">
        <v>228</v>
      </c>
      <c r="BU302" s="452"/>
      <c r="BV302" s="376">
        <f>IF(Tabla1[[#This Row],[Combustible ofertado]]="GAS",Tabla1[[#This Row],[Disponibilidad]],0)</f>
        <v>0</v>
      </c>
      <c r="BW302" s="376">
        <f>IF(Tabla1[[#This Row],[Combustible ofertado]]="DIESEL",Tabla1[[#This Row],[Disponibilidad]],0)</f>
        <v>0</v>
      </c>
      <c r="BX302" s="376">
        <f>IF(Tabla1[[#This Row],[Combustible ofertado]]="HFO",Tabla1[[#This Row],[Disponibilidad]],0)</f>
        <v>0</v>
      </c>
      <c r="BY302" s="452"/>
      <c r="BZ302" s="446">
        <f>'Horo. M'!C303</f>
        <v>0</v>
      </c>
      <c r="CA302" s="446">
        <f>'Horo. M'!E303</f>
        <v>0</v>
      </c>
      <c r="CB302" s="446">
        <f>'Horo. M'!G303</f>
        <v>0</v>
      </c>
      <c r="CC302" s="446">
        <f>'Horo. M'!I303</f>
        <v>0</v>
      </c>
      <c r="CD302" s="446">
        <f>'Horo. M'!K303</f>
        <v>0</v>
      </c>
      <c r="CE302" s="446">
        <f>'Horo. M'!M303</f>
        <v>0</v>
      </c>
      <c r="CF302" s="446">
        <f>'Horo. M'!O303</f>
        <v>0</v>
      </c>
      <c r="CG302" s="446">
        <f>'Horo. M'!Q303</f>
        <v>0</v>
      </c>
      <c r="CH302" s="446">
        <f>'Horo. M'!S303</f>
        <v>0</v>
      </c>
      <c r="CI302" s="446">
        <f>'Horo. M'!U303</f>
        <v>0</v>
      </c>
      <c r="CJ302" s="70">
        <f>Tabla1[[#This Row],[Con. DO Storage '[gal']]]-Tabla1[[#This Row],[C. DO Storage Ge '[gal']]]</f>
        <v>0</v>
      </c>
      <c r="CK302" s="70"/>
      <c r="CL302" s="70"/>
      <c r="CM302" s="70">
        <f>Tabla1[[#This Row],[Con. DO Total '[gal']]]*131485.5/(1000000)</f>
        <v>0</v>
      </c>
      <c r="CU302" s="10">
        <v>1074.4093</v>
      </c>
    </row>
    <row r="303" spans="1:99" ht="15" customHeight="1">
      <c r="A303" s="362">
        <v>45228</v>
      </c>
      <c r="B303" s="363" t="str">
        <f>TEXT(Tabla1[[#This Row],[Fecha]],"mmmm")</f>
        <v>octubre</v>
      </c>
      <c r="C303" s="364"/>
      <c r="D303" s="366"/>
      <c r="E303" s="366"/>
      <c r="F303" s="366"/>
      <c r="G303" s="377"/>
      <c r="H303" s="377"/>
      <c r="I303" s="378"/>
      <c r="J303" s="378"/>
      <c r="K303" s="366"/>
      <c r="L303" s="366"/>
      <c r="M303" s="365">
        <f>Tabla1[[#This Row],[Columna1]]-Tabla1[[#This Row],[PO '[h']]]</f>
        <v>0</v>
      </c>
      <c r="N303" s="366">
        <f t="shared" si="89"/>
        <v>0</v>
      </c>
      <c r="O303" s="365"/>
      <c r="P303" s="367">
        <f>Tabla1[[#This Row],[G. HGS 
'[MWh']]]</f>
        <v>0</v>
      </c>
      <c r="Q303" s="430">
        <v>0</v>
      </c>
      <c r="R303" s="367">
        <v>0</v>
      </c>
      <c r="S303" s="367">
        <f>Tabla1[[#This Row],[G. HGS 
Con Gas]]*1000</f>
        <v>0</v>
      </c>
      <c r="T303" s="365">
        <f>Tabla1[[#This Row],[G. HGS 
'[MWh']]]*1000</f>
        <v>0</v>
      </c>
      <c r="U303" s="368">
        <f>SUM('G. Un GE'!B303:Y303)</f>
        <v>0</v>
      </c>
      <c r="V303" s="369">
        <f>Tabla1[[#This Row],[R. GE
'[MWh']]]</f>
        <v>0</v>
      </c>
      <c r="W303" s="434">
        <v>0</v>
      </c>
      <c r="X303" s="369">
        <v>0</v>
      </c>
      <c r="Y303" s="365">
        <f>Tabla1[[#This Row],[R. GE
'[MWh']]]*1000</f>
        <v>0</v>
      </c>
      <c r="Z303" s="371"/>
      <c r="AA30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3" s="371">
        <f>IF(Tabla1[[#This Row],[G. HGS 
'[MWh']]]=0,0,Tabla1[[#This Row],[G. HGS 
'[MWh']]]+Tabla1[[#This Row],[Con. Aux. '[MWh']2]])</f>
        <v>0</v>
      </c>
      <c r="AC303" s="368">
        <f>'C. ENER. TN'!F303</f>
        <v>0</v>
      </c>
      <c r="AD303" s="370">
        <f>'C. ENER. TN'!G303</f>
        <v>0</v>
      </c>
      <c r="AE303" s="370">
        <f>'G. Un GE'!AX303</f>
        <v>0</v>
      </c>
      <c r="AF303" s="368">
        <f>IFERROR('G. Un GE'!AX303/Tabla1[[#This Row],[PO '[h']]],0)</f>
        <v>0</v>
      </c>
      <c r="AG303" s="365">
        <f>'Ar-Pa'!AX303</f>
        <v>0</v>
      </c>
      <c r="AH303" s="365">
        <f>'Ar-Pa'!AY303</f>
        <v>0</v>
      </c>
      <c r="AI303" s="366">
        <f>SUM('Cal. Arr'!AB306:AY306)</f>
        <v>0</v>
      </c>
      <c r="AJ303" s="442"/>
      <c r="AK303" s="443"/>
      <c r="AL303" s="372">
        <f t="shared" si="90"/>
        <v>0</v>
      </c>
      <c r="AM303" s="372">
        <f>+CONVERT(AK303+Tabla1[[#This Row],[Con. DO Storage Gen. '[m3']]],"m^3","gal")</f>
        <v>0</v>
      </c>
      <c r="AN303" s="372">
        <f>SUM('DO Pilot'!B303:Y303)</f>
        <v>0</v>
      </c>
      <c r="AO303" s="372">
        <f t="shared" si="91"/>
        <v>0</v>
      </c>
      <c r="AP303" s="372">
        <f t="shared" si="92"/>
        <v>0</v>
      </c>
      <c r="AQ303" s="372">
        <f t="shared" si="93"/>
        <v>0</v>
      </c>
      <c r="AR303" s="443"/>
      <c r="AS303" s="443"/>
      <c r="AT303" s="267">
        <f>+CONVERT(SUM(Tabla1[[#This Row],[Repo. DO Storage '[gal']]:[Repo. DO Pilot '[gal']]]),"gal","m3")</f>
        <v>0</v>
      </c>
      <c r="AU303" s="442">
        <v>0</v>
      </c>
      <c r="AV303" s="372">
        <f t="shared" si="94"/>
        <v>0</v>
      </c>
      <c r="AW303" s="442">
        <v>0</v>
      </c>
      <c r="AX303" s="372">
        <f t="shared" si="95"/>
        <v>0</v>
      </c>
      <c r="AY303" s="372">
        <f t="shared" si="82"/>
        <v>0</v>
      </c>
      <c r="AZ303" s="372">
        <f>IFERROR(AL303/'Ar-Pa'!AX303,0)</f>
        <v>0</v>
      </c>
      <c r="BA303" s="372">
        <f>IFERROR(AL303/'Ar-Pa'!AY303,0)</f>
        <v>0</v>
      </c>
      <c r="BB303" s="372">
        <f t="shared" si="83"/>
        <v>0</v>
      </c>
      <c r="BC303" s="372">
        <f>IFERROR(AVERAGEIF('DO Pilot'!AX303:BU303,"&gt;0"),0)</f>
        <v>0</v>
      </c>
      <c r="BD303" s="446"/>
      <c r="BE303" s="446"/>
      <c r="BF303" s="446"/>
      <c r="BG303" s="223">
        <f>Tabla1[[#This Row],[ Re. Gas GC
 '[m3']]]</f>
        <v>0</v>
      </c>
      <c r="BH303" s="150">
        <f>IFERROR((BG303*Gas!$B$4)/28.31685,0)</f>
        <v>0</v>
      </c>
      <c r="BI303" s="73">
        <f t="shared" si="96"/>
        <v>0</v>
      </c>
      <c r="BJ303" s="74">
        <f t="shared" si="87"/>
        <v>0</v>
      </c>
      <c r="BK303" s="223">
        <f t="shared" si="84"/>
        <v>0</v>
      </c>
      <c r="BL303" s="442">
        <v>7998.64</v>
      </c>
      <c r="BM303" s="70">
        <f t="shared" si="85"/>
        <v>0</v>
      </c>
      <c r="BN303" s="70">
        <f t="shared" si="88"/>
        <v>0</v>
      </c>
      <c r="BO303" s="373">
        <f>IFERROR(Tabla1[[#This Row],[ Re. Gas GC
 '[m3']]]/Tabla1[[#This Row],[G. HGS 
Con Gas '[kWh']]],0)</f>
        <v>0</v>
      </c>
      <c r="BP303" s="374">
        <f>Tank!Y304</f>
        <v>0</v>
      </c>
      <c r="BQ303" s="70">
        <f>Tank!AP304</f>
        <v>0</v>
      </c>
      <c r="BR303" s="70">
        <f>Tank!V304</f>
        <v>0</v>
      </c>
      <c r="BS303" s="372">
        <f>Tank!T304</f>
        <v>0</v>
      </c>
      <c r="BT303" s="375" t="s">
        <v>228</v>
      </c>
      <c r="BU303" s="452"/>
      <c r="BV303" s="376">
        <f>IF(Tabla1[[#This Row],[Combustible ofertado]]="GAS",Tabla1[[#This Row],[Disponibilidad]],0)</f>
        <v>0</v>
      </c>
      <c r="BW303" s="376">
        <f>IF(Tabla1[[#This Row],[Combustible ofertado]]="DIESEL",Tabla1[[#This Row],[Disponibilidad]],0)</f>
        <v>0</v>
      </c>
      <c r="BX303" s="376">
        <f>IF(Tabla1[[#This Row],[Combustible ofertado]]="HFO",Tabla1[[#This Row],[Disponibilidad]],0)</f>
        <v>0</v>
      </c>
      <c r="BY303" s="452"/>
      <c r="BZ303" s="446">
        <f>'Horo. M'!C304</f>
        <v>0</v>
      </c>
      <c r="CA303" s="446">
        <f>'Horo. M'!E304</f>
        <v>0</v>
      </c>
      <c r="CB303" s="446">
        <f>'Horo. M'!G304</f>
        <v>0</v>
      </c>
      <c r="CC303" s="446">
        <f>'Horo. M'!I304</f>
        <v>0</v>
      </c>
      <c r="CD303" s="446">
        <f>'Horo. M'!K304</f>
        <v>0</v>
      </c>
      <c r="CE303" s="446">
        <f>'Horo. M'!M304</f>
        <v>0</v>
      </c>
      <c r="CF303" s="446">
        <f>'Horo. M'!O304</f>
        <v>0</v>
      </c>
      <c r="CG303" s="446">
        <f>'Horo. M'!Q304</f>
        <v>0</v>
      </c>
      <c r="CH303" s="446">
        <f>'Horo. M'!S304</f>
        <v>0</v>
      </c>
      <c r="CI303" s="446">
        <f>'Horo. M'!U304</f>
        <v>0</v>
      </c>
      <c r="CJ303" s="70">
        <f>Tabla1[[#This Row],[Con. DO Storage '[gal']]]-Tabla1[[#This Row],[C. DO Storage Ge '[gal']]]</f>
        <v>-11222.02</v>
      </c>
      <c r="CK303" s="70">
        <v>11222.02</v>
      </c>
      <c r="CL303" s="70">
        <v>161.55999999996857</v>
      </c>
      <c r="CM303" s="70">
        <f>Tabla1[[#This Row],[Con. DO Total '[gal']]]*131485.5/(1000000)</f>
        <v>0</v>
      </c>
      <c r="CU303" s="10">
        <v>594.66189999999995</v>
      </c>
    </row>
    <row r="304" spans="1:99" ht="15" customHeight="1">
      <c r="A304" s="362">
        <v>45229</v>
      </c>
      <c r="B304" s="363" t="str">
        <f>TEXT(Tabla1[[#This Row],[Fecha]],"mmmm")</f>
        <v>octubre</v>
      </c>
      <c r="C304" s="364"/>
      <c r="D304" s="366"/>
      <c r="E304" s="366"/>
      <c r="F304" s="366"/>
      <c r="G304" s="377"/>
      <c r="H304" s="377"/>
      <c r="I304" s="378"/>
      <c r="J304" s="378"/>
      <c r="K304" s="366"/>
      <c r="L304" s="366"/>
      <c r="M304" s="365">
        <f>Tabla1[[#This Row],[Columna1]]-Tabla1[[#This Row],[PO '[h']]]</f>
        <v>0</v>
      </c>
      <c r="N304" s="366">
        <f t="shared" si="89"/>
        <v>0</v>
      </c>
      <c r="O304" s="365"/>
      <c r="P304" s="367">
        <f>Tabla1[[#This Row],[G. HGS 
'[MWh']]]</f>
        <v>0</v>
      </c>
      <c r="Q304" s="430">
        <v>0</v>
      </c>
      <c r="R304" s="367">
        <v>0</v>
      </c>
      <c r="S304" s="367">
        <f>Tabla1[[#This Row],[G. HGS 
Con Gas]]*1000</f>
        <v>0</v>
      </c>
      <c r="T304" s="365">
        <f>Tabla1[[#This Row],[G. HGS 
'[MWh']]]*1000</f>
        <v>0</v>
      </c>
      <c r="U304" s="368">
        <f>SUM('G. Un GE'!B304:Y304)</f>
        <v>0</v>
      </c>
      <c r="V304" s="369">
        <f>Tabla1[[#This Row],[R. GE
'[MWh']]]</f>
        <v>0</v>
      </c>
      <c r="W304" s="434">
        <v>0</v>
      </c>
      <c r="X304" s="369">
        <v>0</v>
      </c>
      <c r="Y304" s="365">
        <f>Tabla1[[#This Row],[R. GE
'[MWh']]]*1000</f>
        <v>0</v>
      </c>
      <c r="Z304" s="371"/>
      <c r="AA30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4" s="371">
        <f>IF(Tabla1[[#This Row],[G. HGS 
'[MWh']]]=0,0,Tabla1[[#This Row],[G. HGS 
'[MWh']]]+Tabla1[[#This Row],[Con. Aux. '[MWh']2]])</f>
        <v>0</v>
      </c>
      <c r="AC304" s="368">
        <f>'C. ENER. TN'!F304</f>
        <v>0</v>
      </c>
      <c r="AD304" s="370">
        <f>'C. ENER. TN'!G304</f>
        <v>0</v>
      </c>
      <c r="AE304" s="370">
        <f>'G. Un GE'!AX304</f>
        <v>0</v>
      </c>
      <c r="AF304" s="368">
        <f>IFERROR('G. Un GE'!AX304/Tabla1[[#This Row],[PO '[h']]],0)</f>
        <v>0</v>
      </c>
      <c r="AG304" s="365">
        <f>'Ar-Pa'!AX304</f>
        <v>0</v>
      </c>
      <c r="AH304" s="365">
        <f>'Ar-Pa'!AY304</f>
        <v>0</v>
      </c>
      <c r="AI304" s="366">
        <f>SUM('Cal. Arr'!AB307:AY307)</f>
        <v>0</v>
      </c>
      <c r="AJ304" s="442"/>
      <c r="AK304" s="443"/>
      <c r="AL304" s="372">
        <f t="shared" si="90"/>
        <v>0</v>
      </c>
      <c r="AM304" s="372">
        <f>+CONVERT(AK304+Tabla1[[#This Row],[Con. DO Storage Gen. '[m3']]],"m^3","gal")</f>
        <v>0</v>
      </c>
      <c r="AN304" s="372">
        <f>SUM('DO Pilot'!B304:Y304)</f>
        <v>0</v>
      </c>
      <c r="AO304" s="372">
        <f t="shared" si="91"/>
        <v>0</v>
      </c>
      <c r="AP304" s="372">
        <f t="shared" si="92"/>
        <v>0</v>
      </c>
      <c r="AQ304" s="372">
        <f t="shared" si="93"/>
        <v>0</v>
      </c>
      <c r="AR304" s="443"/>
      <c r="AS304" s="443"/>
      <c r="AT304" s="267">
        <f>+CONVERT(SUM(Tabla1[[#This Row],[Repo. DO Storage '[gal']]:[Repo. DO Pilot '[gal']]]),"gal","m3")</f>
        <v>0</v>
      </c>
      <c r="AU304" s="442">
        <v>0</v>
      </c>
      <c r="AV304" s="372">
        <f t="shared" si="94"/>
        <v>0</v>
      </c>
      <c r="AW304" s="442">
        <v>0</v>
      </c>
      <c r="AX304" s="372">
        <f t="shared" si="95"/>
        <v>0</v>
      </c>
      <c r="AY304" s="372">
        <f t="shared" si="82"/>
        <v>0</v>
      </c>
      <c r="AZ304" s="372">
        <f>IFERROR(AL304/'Ar-Pa'!AX304,0)</f>
        <v>0</v>
      </c>
      <c r="BA304" s="372">
        <f>IFERROR(AL304/'Ar-Pa'!AY304,0)</f>
        <v>0</v>
      </c>
      <c r="BB304" s="372">
        <f t="shared" si="83"/>
        <v>0</v>
      </c>
      <c r="BC304" s="372">
        <f>IFERROR(AVERAGEIF('DO Pilot'!AX304:BU304,"&gt;0"),0)</f>
        <v>0</v>
      </c>
      <c r="BD304" s="446"/>
      <c r="BE304" s="446"/>
      <c r="BF304" s="446"/>
      <c r="BG304" s="223">
        <f>Tabla1[[#This Row],[ Re. Gas GC
 '[m3']]]</f>
        <v>0</v>
      </c>
      <c r="BH304" s="150">
        <f>IFERROR((BG304*Gas!$B$4)/28.31685,0)</f>
        <v>0</v>
      </c>
      <c r="BI304" s="73">
        <f t="shared" si="96"/>
        <v>0</v>
      </c>
      <c r="BJ304" s="74">
        <f t="shared" si="87"/>
        <v>0</v>
      </c>
      <c r="BK304" s="223">
        <f t="shared" si="84"/>
        <v>0</v>
      </c>
      <c r="BL304" s="442">
        <v>8953.84</v>
      </c>
      <c r="BM304" s="70">
        <f t="shared" si="85"/>
        <v>0</v>
      </c>
      <c r="BN304" s="70">
        <f t="shared" si="88"/>
        <v>0</v>
      </c>
      <c r="BO304" s="373">
        <f>IFERROR(Tabla1[[#This Row],[ Re. Gas GC
 '[m3']]]/Tabla1[[#This Row],[G. HGS 
Con Gas '[kWh']]],0)</f>
        <v>0</v>
      </c>
      <c r="BP304" s="374">
        <f>Tank!Y305</f>
        <v>0</v>
      </c>
      <c r="BQ304" s="70">
        <f>Tank!AP305</f>
        <v>0</v>
      </c>
      <c r="BR304" s="70">
        <f>Tank!V305</f>
        <v>0</v>
      </c>
      <c r="BS304" s="372">
        <f>Tank!T305</f>
        <v>0</v>
      </c>
      <c r="BT304" s="375" t="s">
        <v>228</v>
      </c>
      <c r="BU304" s="452"/>
      <c r="BV304" s="376">
        <f>IF(Tabla1[[#This Row],[Combustible ofertado]]="GAS",Tabla1[[#This Row],[Disponibilidad]],0)</f>
        <v>0</v>
      </c>
      <c r="BW304" s="376">
        <f>IF(Tabla1[[#This Row],[Combustible ofertado]]="DIESEL",Tabla1[[#This Row],[Disponibilidad]],0)</f>
        <v>0</v>
      </c>
      <c r="BX304" s="376">
        <f>IF(Tabla1[[#This Row],[Combustible ofertado]]="HFO",Tabla1[[#This Row],[Disponibilidad]],0)</f>
        <v>0</v>
      </c>
      <c r="BY304" s="452"/>
      <c r="BZ304" s="446">
        <f>'Horo. M'!C305</f>
        <v>0</v>
      </c>
      <c r="CA304" s="446">
        <f>'Horo. M'!E305</f>
        <v>0</v>
      </c>
      <c r="CB304" s="446">
        <f>'Horo. M'!G305</f>
        <v>0</v>
      </c>
      <c r="CC304" s="446">
        <f>'Horo. M'!I305</f>
        <v>0</v>
      </c>
      <c r="CD304" s="446">
        <f>'Horo. M'!K305</f>
        <v>0</v>
      </c>
      <c r="CE304" s="446">
        <f>'Horo. M'!M305</f>
        <v>0</v>
      </c>
      <c r="CF304" s="446">
        <f>'Horo. M'!O305</f>
        <v>0</v>
      </c>
      <c r="CG304" s="446">
        <f>'Horo. M'!Q305</f>
        <v>0</v>
      </c>
      <c r="CH304" s="446">
        <f>'Horo. M'!S305</f>
        <v>0</v>
      </c>
      <c r="CI304" s="446">
        <f>'Horo. M'!U305</f>
        <v>0</v>
      </c>
      <c r="CJ304" s="70">
        <f>Tabla1[[#This Row],[Con. DO Storage '[gal']]]-Tabla1[[#This Row],[C. DO Storage Ge '[gal']]]</f>
        <v>0</v>
      </c>
      <c r="CK304" s="70"/>
      <c r="CL304" s="70"/>
      <c r="CM304" s="70">
        <f>Tabla1[[#This Row],[Con. DO Total '[gal']]]*131485.5/(1000000)</f>
        <v>0</v>
      </c>
      <c r="CU304" s="10">
        <v>853.1092000000001</v>
      </c>
    </row>
    <row r="305" spans="1:99" ht="15" customHeight="1">
      <c r="A305" s="362">
        <v>45230</v>
      </c>
      <c r="B305" s="363" t="str">
        <f>TEXT(Tabla1[[#This Row],[Fecha]],"mmmm")</f>
        <v>octubre</v>
      </c>
      <c r="C305" s="364"/>
      <c r="D305" s="366"/>
      <c r="E305" s="366"/>
      <c r="F305" s="366"/>
      <c r="G305" s="377"/>
      <c r="H305" s="377"/>
      <c r="I305" s="378"/>
      <c r="J305" s="378"/>
      <c r="K305" s="366"/>
      <c r="L305" s="366"/>
      <c r="M305" s="365">
        <f>Tabla1[[#This Row],[Columna1]]-Tabla1[[#This Row],[PO '[h']]]</f>
        <v>0</v>
      </c>
      <c r="N305" s="366">
        <f t="shared" si="89"/>
        <v>0</v>
      </c>
      <c r="O305" s="365"/>
      <c r="P305" s="367">
        <f>Tabla1[[#This Row],[G. HGS 
'[MWh']]]</f>
        <v>0</v>
      </c>
      <c r="Q305" s="430">
        <v>0</v>
      </c>
      <c r="R305" s="367">
        <v>0</v>
      </c>
      <c r="S305" s="367">
        <f>Tabla1[[#This Row],[G. HGS 
Con Gas]]*1000</f>
        <v>0</v>
      </c>
      <c r="T305" s="365">
        <f>Tabla1[[#This Row],[G. HGS 
'[MWh']]]*1000</f>
        <v>0</v>
      </c>
      <c r="U305" s="368">
        <f>SUM('G. Un GE'!B305:Y305)</f>
        <v>0</v>
      </c>
      <c r="V305" s="369">
        <f>Tabla1[[#This Row],[R. GE
'[MWh']]]</f>
        <v>0</v>
      </c>
      <c r="W305" s="434">
        <v>0</v>
      </c>
      <c r="X305" s="369">
        <v>0</v>
      </c>
      <c r="Y305" s="365">
        <f>Tabla1[[#This Row],[R. GE
'[MWh']]]*1000</f>
        <v>0</v>
      </c>
      <c r="Z305" s="371"/>
      <c r="AA30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5" s="371">
        <f>IF(Tabla1[[#This Row],[G. HGS 
'[MWh']]]=0,0,Tabla1[[#This Row],[G. HGS 
'[MWh']]]+Tabla1[[#This Row],[Con. Aux. '[MWh']2]])</f>
        <v>0</v>
      </c>
      <c r="AC305" s="368">
        <f>'C. ENER. TN'!F305</f>
        <v>0</v>
      </c>
      <c r="AD305" s="370">
        <f>'C. ENER. TN'!G305</f>
        <v>0</v>
      </c>
      <c r="AE305" s="370">
        <f>'G. Un GE'!AX305</f>
        <v>0</v>
      </c>
      <c r="AF305" s="368">
        <f>IFERROR('G. Un GE'!AX305/Tabla1[[#This Row],[PO '[h']]],0)</f>
        <v>0</v>
      </c>
      <c r="AG305" s="365">
        <f>'Ar-Pa'!AX305</f>
        <v>0</v>
      </c>
      <c r="AH305" s="365">
        <f>'Ar-Pa'!AY305</f>
        <v>0</v>
      </c>
      <c r="AI305" s="366">
        <f>SUM('Cal. Arr'!AB308:AY308)</f>
        <v>0</v>
      </c>
      <c r="AJ305" s="442"/>
      <c r="AK305" s="443"/>
      <c r="AL305" s="372">
        <f t="shared" si="90"/>
        <v>0</v>
      </c>
      <c r="AM305" s="372">
        <f>+CONVERT(AK305+Tabla1[[#This Row],[Con. DO Storage Gen. '[m3']]],"m^3","gal")</f>
        <v>0</v>
      </c>
      <c r="AN305" s="372">
        <f>SUM('DO Pilot'!B305:Y305)</f>
        <v>0</v>
      </c>
      <c r="AO305" s="372">
        <f t="shared" si="91"/>
        <v>0</v>
      </c>
      <c r="AP305" s="372">
        <f t="shared" si="92"/>
        <v>0</v>
      </c>
      <c r="AQ305" s="372">
        <f t="shared" si="93"/>
        <v>0</v>
      </c>
      <c r="AR305" s="443"/>
      <c r="AS305" s="443"/>
      <c r="AT305" s="267">
        <f>+CONVERT(SUM(Tabla1[[#This Row],[Repo. DO Storage '[gal']]:[Repo. DO Pilot '[gal']]]),"gal","m3")</f>
        <v>0</v>
      </c>
      <c r="AU305" s="442">
        <v>0</v>
      </c>
      <c r="AV305" s="372">
        <f t="shared" si="94"/>
        <v>0</v>
      </c>
      <c r="AW305" s="442">
        <v>0</v>
      </c>
      <c r="AX305" s="372">
        <f t="shared" si="95"/>
        <v>0</v>
      </c>
      <c r="AY305" s="372">
        <f t="shared" si="82"/>
        <v>0</v>
      </c>
      <c r="AZ305" s="372">
        <f>IFERROR(AL305/'Ar-Pa'!AX305,0)</f>
        <v>0</v>
      </c>
      <c r="BA305" s="372">
        <f>IFERROR(AL305/'Ar-Pa'!AY305,0)</f>
        <v>0</v>
      </c>
      <c r="BB305" s="372">
        <f t="shared" si="83"/>
        <v>0</v>
      </c>
      <c r="BC305" s="372">
        <f>IFERROR(AVERAGEIF('DO Pilot'!AX305:BU305,"&gt;0"),0)</f>
        <v>0</v>
      </c>
      <c r="BD305" s="446"/>
      <c r="BE305" s="446"/>
      <c r="BF305" s="446"/>
      <c r="BG305" s="223">
        <f>Tabla1[[#This Row],[ Re. Gas GC
 '[m3']]]</f>
        <v>0</v>
      </c>
      <c r="BH305" s="150">
        <f>IFERROR((BG305*Gas!$B$4)/28.31685,0)</f>
        <v>0</v>
      </c>
      <c r="BI305" s="73">
        <f t="shared" si="96"/>
        <v>0</v>
      </c>
      <c r="BJ305" s="74">
        <f t="shared" si="87"/>
        <v>0</v>
      </c>
      <c r="BK305" s="223">
        <f t="shared" si="84"/>
        <v>0</v>
      </c>
      <c r="BL305" s="442">
        <v>8977.35</v>
      </c>
      <c r="BM305" s="70">
        <f t="shared" si="85"/>
        <v>0</v>
      </c>
      <c r="BN305" s="70">
        <f t="shared" si="88"/>
        <v>0</v>
      </c>
      <c r="BO305" s="373">
        <f>IFERROR(Tabla1[[#This Row],[ Re. Gas GC
 '[m3']]]/Tabla1[[#This Row],[G. HGS 
Con Gas '[kWh']]],0)</f>
        <v>0</v>
      </c>
      <c r="BP305" s="374">
        <f>Tank!Y306</f>
        <v>0</v>
      </c>
      <c r="BQ305" s="70">
        <f>Tank!AP306</f>
        <v>0</v>
      </c>
      <c r="BR305" s="70">
        <f>Tank!V306</f>
        <v>0</v>
      </c>
      <c r="BS305" s="372">
        <f>Tank!T306</f>
        <v>0</v>
      </c>
      <c r="BT305" s="375" t="s">
        <v>228</v>
      </c>
      <c r="BU305" s="452"/>
      <c r="BV305" s="376">
        <f>IF(Tabla1[[#This Row],[Combustible ofertado]]="GAS",Tabla1[[#This Row],[Disponibilidad]],0)</f>
        <v>0</v>
      </c>
      <c r="BW305" s="376">
        <f>IF(Tabla1[[#This Row],[Combustible ofertado]]="DIESEL",Tabla1[[#This Row],[Disponibilidad]],0)</f>
        <v>0</v>
      </c>
      <c r="BX305" s="376">
        <f>IF(Tabla1[[#This Row],[Combustible ofertado]]="HFO",Tabla1[[#This Row],[Disponibilidad]],0)</f>
        <v>0</v>
      </c>
      <c r="BY305" s="452"/>
      <c r="BZ305" s="446">
        <f>'Horo. M'!C306</f>
        <v>0</v>
      </c>
      <c r="CA305" s="446">
        <f>'Horo. M'!E306</f>
        <v>0</v>
      </c>
      <c r="CB305" s="446">
        <f>'Horo. M'!G306</f>
        <v>0</v>
      </c>
      <c r="CC305" s="446">
        <f>'Horo. M'!I306</f>
        <v>0</v>
      </c>
      <c r="CD305" s="446">
        <f>'Horo. M'!K306</f>
        <v>0</v>
      </c>
      <c r="CE305" s="446">
        <f>'Horo. M'!M306</f>
        <v>0</v>
      </c>
      <c r="CF305" s="446">
        <f>'Horo. M'!O306</f>
        <v>0</v>
      </c>
      <c r="CG305" s="446">
        <f>'Horo. M'!Q306</f>
        <v>0</v>
      </c>
      <c r="CH305" s="446">
        <f>'Horo. M'!S306</f>
        <v>0</v>
      </c>
      <c r="CI305" s="446">
        <f>'Horo. M'!U306</f>
        <v>0</v>
      </c>
      <c r="CJ305" s="70">
        <f>Tabla1[[#This Row],[Con. DO Storage '[gal']]]-Tabla1[[#This Row],[C. DO Storage Ge '[gal']]]</f>
        <v>0</v>
      </c>
      <c r="CK305" s="70"/>
      <c r="CL305" s="70"/>
      <c r="CM305" s="70">
        <f>Tabla1[[#This Row],[Con. DO Total '[gal']]]*131485.5/(1000000)</f>
        <v>0</v>
      </c>
      <c r="CU305" s="10">
        <v>894.61489999999992</v>
      </c>
    </row>
    <row r="306" spans="1:99" ht="15" customHeight="1">
      <c r="A306" s="362">
        <v>45231</v>
      </c>
      <c r="B306" s="363" t="str">
        <f>TEXT(Tabla1[[#This Row],[Fecha]],"mmmm")</f>
        <v>noviembre</v>
      </c>
      <c r="C306" s="364"/>
      <c r="D306" s="366"/>
      <c r="E306" s="366"/>
      <c r="F306" s="366"/>
      <c r="G306" s="377"/>
      <c r="H306" s="377"/>
      <c r="I306" s="378"/>
      <c r="J306" s="378"/>
      <c r="K306" s="366"/>
      <c r="L306" s="366"/>
      <c r="M306" s="365">
        <f>Tabla1[[#This Row],[Columna1]]-Tabla1[[#This Row],[PO '[h']]]</f>
        <v>0</v>
      </c>
      <c r="N306" s="366">
        <f t="shared" si="89"/>
        <v>0</v>
      </c>
      <c r="O306" s="365"/>
      <c r="P306" s="367">
        <f>Tabla1[[#This Row],[G. HGS 
'[MWh']]]</f>
        <v>0</v>
      </c>
      <c r="Q306" s="430">
        <v>0</v>
      </c>
      <c r="R306" s="367">
        <v>0</v>
      </c>
      <c r="S306" s="367">
        <f>Tabla1[[#This Row],[G. HGS 
Con Gas]]*1000</f>
        <v>0</v>
      </c>
      <c r="T306" s="365">
        <f>Tabla1[[#This Row],[G. HGS 
'[MWh']]]*1000</f>
        <v>0</v>
      </c>
      <c r="U306" s="368">
        <f>SUM('G. Un GE'!B306:Y306)</f>
        <v>0</v>
      </c>
      <c r="V306" s="369">
        <f>Tabla1[[#This Row],[R. GE
'[MWh']]]</f>
        <v>0</v>
      </c>
      <c r="W306" s="434">
        <v>0</v>
      </c>
      <c r="X306" s="369">
        <v>0</v>
      </c>
      <c r="Y306" s="365">
        <f>Tabla1[[#This Row],[R. GE
'[MWh']]]*1000</f>
        <v>0</v>
      </c>
      <c r="Z306" s="371"/>
      <c r="AA30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6" s="371">
        <f>IF(Tabla1[[#This Row],[G. HGS 
'[MWh']]]=0,0,Tabla1[[#This Row],[G. HGS 
'[MWh']]]+Tabla1[[#This Row],[Con. Aux. '[MWh']2]])</f>
        <v>0</v>
      </c>
      <c r="AC306" s="368">
        <f>'C. ENER. TN'!F306</f>
        <v>0</v>
      </c>
      <c r="AD306" s="370">
        <f>'C. ENER. TN'!G306</f>
        <v>0</v>
      </c>
      <c r="AE306" s="370">
        <f>'G. Un GE'!AX306</f>
        <v>0</v>
      </c>
      <c r="AF306" s="368">
        <f>IFERROR('G. Un GE'!AX306/Tabla1[[#This Row],[PO '[h']]],0)</f>
        <v>0</v>
      </c>
      <c r="AG306" s="365">
        <f>'Ar-Pa'!AX306</f>
        <v>0</v>
      </c>
      <c r="AH306" s="365">
        <f>'Ar-Pa'!AY306</f>
        <v>0</v>
      </c>
      <c r="AI306" s="366">
        <f>SUM('Cal. Arr'!AB309:AY309)</f>
        <v>0</v>
      </c>
      <c r="AJ306" s="442"/>
      <c r="AK306" s="443"/>
      <c r="AL306" s="372">
        <f t="shared" si="90"/>
        <v>0</v>
      </c>
      <c r="AM306" s="372">
        <f>+CONVERT(AK306+Tabla1[[#This Row],[Con. DO Storage Gen. '[m3']]],"m^3","gal")</f>
        <v>0</v>
      </c>
      <c r="AN306" s="372">
        <f>SUM('DO Pilot'!B306:Y306)</f>
        <v>0</v>
      </c>
      <c r="AO306" s="372">
        <f t="shared" si="91"/>
        <v>0</v>
      </c>
      <c r="AP306" s="372">
        <f t="shared" si="92"/>
        <v>0</v>
      </c>
      <c r="AQ306" s="372">
        <f t="shared" si="93"/>
        <v>0</v>
      </c>
      <c r="AR306" s="443"/>
      <c r="AS306" s="443"/>
      <c r="AT306" s="267">
        <f>+CONVERT(SUM(Tabla1[[#This Row],[Repo. DO Storage '[gal']]:[Repo. DO Pilot '[gal']]]),"gal","m3")</f>
        <v>0</v>
      </c>
      <c r="AU306" s="442">
        <v>0</v>
      </c>
      <c r="AV306" s="372">
        <f t="shared" si="94"/>
        <v>0</v>
      </c>
      <c r="AW306" s="442">
        <v>0</v>
      </c>
      <c r="AX306" s="372">
        <f t="shared" si="95"/>
        <v>0</v>
      </c>
      <c r="AY306" s="372">
        <f t="shared" si="82"/>
        <v>0</v>
      </c>
      <c r="AZ306" s="372">
        <f>IFERROR(AL306/'Ar-Pa'!AX306,0)</f>
        <v>0</v>
      </c>
      <c r="BA306" s="372">
        <f>IFERROR(AL306/'Ar-Pa'!AY306,0)</f>
        <v>0</v>
      </c>
      <c r="BB306" s="372">
        <f t="shared" si="83"/>
        <v>0</v>
      </c>
      <c r="BC306" s="372">
        <f>IFERROR(AVERAGEIF('DO Pilot'!AX306:BU306,"&gt;0"),0)</f>
        <v>0</v>
      </c>
      <c r="BD306" s="446"/>
      <c r="BE306" s="446"/>
      <c r="BF306" s="446"/>
      <c r="BG306" s="223">
        <f>Tabla1[[#This Row],[ Re. Gas GC
 '[m3']]]</f>
        <v>0</v>
      </c>
      <c r="BH306" s="150">
        <f>IFERROR((BG306*Gas!$B$4)/28.31685,0)</f>
        <v>0</v>
      </c>
      <c r="BI306" s="73">
        <f t="shared" si="96"/>
        <v>0</v>
      </c>
      <c r="BJ306" s="74">
        <f t="shared" si="87"/>
        <v>0</v>
      </c>
      <c r="BK306" s="223">
        <f t="shared" si="84"/>
        <v>0</v>
      </c>
      <c r="BL306" s="442">
        <v>8887.02</v>
      </c>
      <c r="BM306" s="70">
        <f t="shared" si="85"/>
        <v>0</v>
      </c>
      <c r="BN306" s="70">
        <f t="shared" si="88"/>
        <v>0</v>
      </c>
      <c r="BO306" s="373">
        <f>IFERROR(Tabla1[[#This Row],[ Re. Gas GC
 '[m3']]]/Tabla1[[#This Row],[G. HGS 
Con Gas '[kWh']]],0)</f>
        <v>0</v>
      </c>
      <c r="BP306" s="374">
        <f>Tank!Y307</f>
        <v>0</v>
      </c>
      <c r="BQ306" s="70">
        <f>Tank!AP307</f>
        <v>0</v>
      </c>
      <c r="BR306" s="70">
        <f>Tank!V307</f>
        <v>0</v>
      </c>
      <c r="BS306" s="372">
        <f>Tank!T307</f>
        <v>0</v>
      </c>
      <c r="BT306" s="375" t="s">
        <v>228</v>
      </c>
      <c r="BU306" s="452"/>
      <c r="BV306" s="376">
        <f>IF(Tabla1[[#This Row],[Combustible ofertado]]="GAS",Tabla1[[#This Row],[Disponibilidad]],0)</f>
        <v>0</v>
      </c>
      <c r="BW306" s="376">
        <f>IF(Tabla1[[#This Row],[Combustible ofertado]]="DIESEL",Tabla1[[#This Row],[Disponibilidad]],0)</f>
        <v>0</v>
      </c>
      <c r="BX306" s="376">
        <f>IF(Tabla1[[#This Row],[Combustible ofertado]]="HFO",Tabla1[[#This Row],[Disponibilidad]],0)</f>
        <v>0</v>
      </c>
      <c r="BY306" s="452"/>
      <c r="BZ306" s="446">
        <f>'Horo. M'!C307</f>
        <v>0</v>
      </c>
      <c r="CA306" s="446">
        <f>'Horo. M'!E307</f>
        <v>0</v>
      </c>
      <c r="CB306" s="446">
        <f>'Horo. M'!G307</f>
        <v>0</v>
      </c>
      <c r="CC306" s="446">
        <f>'Horo. M'!I307</f>
        <v>0</v>
      </c>
      <c r="CD306" s="446">
        <f>'Horo. M'!K307</f>
        <v>0</v>
      </c>
      <c r="CE306" s="446">
        <f>'Horo. M'!M307</f>
        <v>0</v>
      </c>
      <c r="CF306" s="446">
        <f>'Horo. M'!O307</f>
        <v>0</v>
      </c>
      <c r="CG306" s="446">
        <f>'Horo. M'!Q307</f>
        <v>0</v>
      </c>
      <c r="CH306" s="446">
        <f>'Horo. M'!S307</f>
        <v>0</v>
      </c>
      <c r="CI306" s="446">
        <f>'Horo. M'!U307</f>
        <v>0</v>
      </c>
      <c r="CJ306" s="70">
        <f>Tabla1[[#This Row],[Con. DO Storage '[gal']]]-Tabla1[[#This Row],[C. DO Storage Ge '[gal']]]</f>
        <v>0</v>
      </c>
      <c r="CK306" s="70"/>
      <c r="CL306" s="70"/>
      <c r="CM306" s="70">
        <f>Tabla1[[#This Row],[Con. DO Total '[gal']]]*131485.5/(1000000)</f>
        <v>0</v>
      </c>
      <c r="CU306" s="10">
        <v>587.37760000000003</v>
      </c>
    </row>
    <row r="307" spans="1:99" ht="15" customHeight="1">
      <c r="A307" s="362">
        <v>45232</v>
      </c>
      <c r="B307" s="363" t="str">
        <f>TEXT(Tabla1[[#This Row],[Fecha]],"mmmm")</f>
        <v>noviembre</v>
      </c>
      <c r="C307" s="364"/>
      <c r="D307" s="366"/>
      <c r="E307" s="366"/>
      <c r="F307" s="366"/>
      <c r="G307" s="377"/>
      <c r="H307" s="377"/>
      <c r="I307" s="378"/>
      <c r="J307" s="378"/>
      <c r="K307" s="366"/>
      <c r="L307" s="366"/>
      <c r="M307" s="365">
        <f>Tabla1[[#This Row],[Columna1]]-Tabla1[[#This Row],[PO '[h']]]</f>
        <v>0</v>
      </c>
      <c r="N307" s="366">
        <f>F307+H307+J307</f>
        <v>0</v>
      </c>
      <c r="O307" s="365"/>
      <c r="P307" s="367">
        <f>Tabla1[[#This Row],[G. HGS 
'[MWh']]]</f>
        <v>0</v>
      </c>
      <c r="Q307" s="430">
        <v>0</v>
      </c>
      <c r="R307" s="367">
        <v>0</v>
      </c>
      <c r="S307" s="367">
        <f>Tabla1[[#This Row],[G. HGS 
Con Gas]]*1000</f>
        <v>0</v>
      </c>
      <c r="T307" s="365">
        <f>Tabla1[[#This Row],[G. HGS 
'[MWh']]]*1000</f>
        <v>0</v>
      </c>
      <c r="U307" s="368">
        <f>SUM('G. Un GE'!B307:Y307)</f>
        <v>0</v>
      </c>
      <c r="V307" s="369">
        <f>Tabla1[[#This Row],[R. GE
'[MWh']]]</f>
        <v>0</v>
      </c>
      <c r="W307" s="434">
        <v>0</v>
      </c>
      <c r="X307" s="369">
        <v>0</v>
      </c>
      <c r="Y307" s="365">
        <f>Tabla1[[#This Row],[R. GE
'[MWh']]]*1000</f>
        <v>0</v>
      </c>
      <c r="Z307" s="371"/>
      <c r="AA30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7" s="371">
        <f>IF(Tabla1[[#This Row],[G. HGS 
'[MWh']]]=0,0,Tabla1[[#This Row],[G. HGS 
'[MWh']]]+Tabla1[[#This Row],[Con. Aux. '[MWh']2]])</f>
        <v>0</v>
      </c>
      <c r="AC307" s="368">
        <f>'C. ENER. TN'!F307</f>
        <v>0</v>
      </c>
      <c r="AD307" s="370">
        <f>'C. ENER. TN'!G307</f>
        <v>0</v>
      </c>
      <c r="AE307" s="370">
        <f>'G. Un GE'!AX307</f>
        <v>0</v>
      </c>
      <c r="AF307" s="368">
        <f>IFERROR('G. Un GE'!AX307/Tabla1[[#This Row],[PO '[h']]],0)</f>
        <v>0</v>
      </c>
      <c r="AG307" s="365">
        <f>'Ar-Pa'!AX307</f>
        <v>0</v>
      </c>
      <c r="AH307" s="365">
        <f>'Ar-Pa'!AY307</f>
        <v>0</v>
      </c>
      <c r="AI307" s="366">
        <f>SUM('Cal. Arr'!AB310:AY310)</f>
        <v>0</v>
      </c>
      <c r="AJ307" s="442"/>
      <c r="AK307" s="443"/>
      <c r="AL307" s="372">
        <f t="shared" ref="AL307:AL336" si="97">+CONVERT(AK307,"m^3","gal")</f>
        <v>0</v>
      </c>
      <c r="AM307" s="372">
        <f>+CONVERT(AK307+Tabla1[[#This Row],[Con. DO Storage Gen. '[m3']]],"m^3","gal")</f>
        <v>0</v>
      </c>
      <c r="AN307" s="372">
        <f>SUM('DO Pilot'!B307:Y307)</f>
        <v>0</v>
      </c>
      <c r="AO307" s="372">
        <f t="shared" ref="AO307:AO336" si="98">+CONVERT(AN307,"m^3","gal")</f>
        <v>0</v>
      </c>
      <c r="AP307" s="372">
        <f t="shared" ref="AP307:AP336" si="99">AK307+AN307</f>
        <v>0</v>
      </c>
      <c r="AQ307" s="372">
        <f t="shared" ref="AQ307:AQ336" si="100">+CONVERT(AP307,"m^3","gal")</f>
        <v>0</v>
      </c>
      <c r="AR307" s="443"/>
      <c r="AS307" s="443"/>
      <c r="AT307" s="267">
        <f>+CONVERT(SUM(Tabla1[[#This Row],[Repo. DO Storage '[gal']]:[Repo. DO Pilot '[gal']]]),"gal","m3")</f>
        <v>0</v>
      </c>
      <c r="AU307" s="442">
        <v>0</v>
      </c>
      <c r="AV307" s="372">
        <f t="shared" ref="AV307:AV336" si="101">+CONVERT(AU307,"m^3","gal")</f>
        <v>0</v>
      </c>
      <c r="AW307" s="442">
        <v>0</v>
      </c>
      <c r="AX307" s="372">
        <f t="shared" ref="AX307:AX336" si="102">+CONVERT(AW307,"gal","m3")</f>
        <v>0</v>
      </c>
      <c r="AY307" s="372">
        <f t="shared" si="82"/>
        <v>0</v>
      </c>
      <c r="AZ307" s="372">
        <f>IFERROR(AL307/'Ar-Pa'!AX307,0)</f>
        <v>0</v>
      </c>
      <c r="BA307" s="372">
        <f>IFERROR(AL307/'Ar-Pa'!AY307,0)</f>
        <v>0</v>
      </c>
      <c r="BB307" s="372">
        <f t="shared" si="83"/>
        <v>0</v>
      </c>
      <c r="BC307" s="372">
        <f>IFERROR(AVERAGEIF('DO Pilot'!AX307:BU307,"&gt;0"),0)</f>
        <v>0</v>
      </c>
      <c r="BD307" s="446"/>
      <c r="BE307" s="446"/>
      <c r="BF307" s="446"/>
      <c r="BG307" s="223">
        <f>Tabla1[[#This Row],[ Re. Gas GC
 '[m3']]]</f>
        <v>0</v>
      </c>
      <c r="BH307" s="150">
        <f>IFERROR((BG307*Gas!$B$4)/28.31685,0)</f>
        <v>0</v>
      </c>
      <c r="BI307" s="73">
        <f t="shared" ref="BI307:BI336" si="103">BH307-BE307</f>
        <v>0</v>
      </c>
      <c r="BJ307" s="74">
        <f t="shared" si="87"/>
        <v>0</v>
      </c>
      <c r="BK307" s="223">
        <f t="shared" si="84"/>
        <v>0</v>
      </c>
      <c r="BL307" s="442">
        <v>8426.14</v>
      </c>
      <c r="BM307" s="70">
        <f t="shared" si="85"/>
        <v>0</v>
      </c>
      <c r="BN307" s="70">
        <f t="shared" si="88"/>
        <v>0</v>
      </c>
      <c r="BO307" s="373">
        <f>IFERROR(Tabla1[[#This Row],[ Re. Gas GC
 '[m3']]]/Tabla1[[#This Row],[G. HGS 
Con Gas '[kWh']]],0)</f>
        <v>0</v>
      </c>
      <c r="BP307" s="374">
        <f>Tank!Y308</f>
        <v>0</v>
      </c>
      <c r="BQ307" s="70">
        <f>Tank!AP308</f>
        <v>0</v>
      </c>
      <c r="BR307" s="70">
        <f>Tank!V308</f>
        <v>0</v>
      </c>
      <c r="BS307" s="372">
        <f>Tank!T308</f>
        <v>0</v>
      </c>
      <c r="BT307" s="375" t="s">
        <v>228</v>
      </c>
      <c r="BU307" s="452"/>
      <c r="BV307" s="376">
        <f>IF(Tabla1[[#This Row],[Combustible ofertado]]="GAS",Tabla1[[#This Row],[Disponibilidad]],0)</f>
        <v>0</v>
      </c>
      <c r="BW307" s="376">
        <f>IF(Tabla1[[#This Row],[Combustible ofertado]]="DIESEL",Tabla1[[#This Row],[Disponibilidad]],0)</f>
        <v>0</v>
      </c>
      <c r="BX307" s="376">
        <f>IF(Tabla1[[#This Row],[Combustible ofertado]]="HFO",Tabla1[[#This Row],[Disponibilidad]],0)</f>
        <v>0</v>
      </c>
      <c r="BY307" s="452"/>
      <c r="BZ307" s="446">
        <f>'Horo. M'!C308</f>
        <v>0</v>
      </c>
      <c r="CA307" s="446">
        <f>'Horo. M'!E308</f>
        <v>0</v>
      </c>
      <c r="CB307" s="446">
        <f>'Horo. M'!G308</f>
        <v>0</v>
      </c>
      <c r="CC307" s="446">
        <f>'Horo. M'!I308</f>
        <v>0</v>
      </c>
      <c r="CD307" s="446">
        <f>'Horo. M'!K308</f>
        <v>0</v>
      </c>
      <c r="CE307" s="446">
        <f>'Horo. M'!M308</f>
        <v>0</v>
      </c>
      <c r="CF307" s="446">
        <f>'Horo. M'!O308</f>
        <v>0</v>
      </c>
      <c r="CG307" s="446">
        <f>'Horo. M'!Q308</f>
        <v>0</v>
      </c>
      <c r="CH307" s="446">
        <f>'Horo. M'!S308</f>
        <v>0</v>
      </c>
      <c r="CI307" s="446">
        <f>'Horo. M'!U308</f>
        <v>0</v>
      </c>
      <c r="CJ307" s="70">
        <f>Tabla1[[#This Row],[Con. DO Storage '[gal']]]-Tabla1[[#This Row],[C. DO Storage Ge '[gal']]]</f>
        <v>0</v>
      </c>
      <c r="CK307" s="70"/>
      <c r="CL307" s="70"/>
      <c r="CM307" s="70">
        <f>Tabla1[[#This Row],[Con. DO Total '[gal']]]*131485.5/(1000000)</f>
        <v>0</v>
      </c>
      <c r="CU307" s="10">
        <v>652.20190000000002</v>
      </c>
    </row>
    <row r="308" spans="1:99" ht="15" customHeight="1">
      <c r="A308" s="362">
        <v>45233</v>
      </c>
      <c r="B308" s="363" t="str">
        <f>TEXT(Tabla1[[#This Row],[Fecha]],"mmmm")</f>
        <v>noviembre</v>
      </c>
      <c r="C308" s="364"/>
      <c r="D308" s="366"/>
      <c r="E308" s="366"/>
      <c r="F308" s="366"/>
      <c r="G308" s="377"/>
      <c r="H308" s="377"/>
      <c r="I308" s="378"/>
      <c r="J308" s="378"/>
      <c r="K308" s="366"/>
      <c r="L308" s="366"/>
      <c r="M308" s="365">
        <f>Tabla1[[#This Row],[Columna1]]-Tabla1[[#This Row],[PO '[h']]]</f>
        <v>0</v>
      </c>
      <c r="N308" s="366">
        <f t="shared" ref="N308:N336" si="104">F308+H308+J308</f>
        <v>0</v>
      </c>
      <c r="O308" s="365"/>
      <c r="P308" s="367">
        <f>Tabla1[[#This Row],[G. HGS 
'[MWh']]]</f>
        <v>0</v>
      </c>
      <c r="Q308" s="430">
        <v>0</v>
      </c>
      <c r="R308" s="367">
        <v>0</v>
      </c>
      <c r="S308" s="367">
        <f>Tabla1[[#This Row],[G. HGS 
Con Gas]]*1000</f>
        <v>0</v>
      </c>
      <c r="T308" s="365">
        <f>Tabla1[[#This Row],[G. HGS 
'[MWh']]]*1000</f>
        <v>0</v>
      </c>
      <c r="U308" s="368">
        <f>SUM('G. Un GE'!B308:Y308)</f>
        <v>0</v>
      </c>
      <c r="V308" s="369">
        <f>Tabla1[[#This Row],[R. GE
'[MWh']]]</f>
        <v>0</v>
      </c>
      <c r="W308" s="434">
        <v>0</v>
      </c>
      <c r="X308" s="369">
        <v>0</v>
      </c>
      <c r="Y308" s="365">
        <f>Tabla1[[#This Row],[R. GE
'[MWh']]]*1000</f>
        <v>0</v>
      </c>
      <c r="Z308" s="371"/>
      <c r="AA30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8" s="371">
        <f>IF(Tabla1[[#This Row],[G. HGS 
'[MWh']]]=0,0,Tabla1[[#This Row],[G. HGS 
'[MWh']]]+Tabla1[[#This Row],[Con. Aux. '[MWh']2]])</f>
        <v>0</v>
      </c>
      <c r="AC308" s="368">
        <f>'C. ENER. TN'!F308</f>
        <v>0</v>
      </c>
      <c r="AD308" s="370">
        <f>'C. ENER. TN'!G308</f>
        <v>0</v>
      </c>
      <c r="AE308" s="370">
        <f>'G. Un GE'!AX308</f>
        <v>0</v>
      </c>
      <c r="AF308" s="368">
        <f>IFERROR('G. Un GE'!AX308/Tabla1[[#This Row],[PO '[h']]],0)</f>
        <v>0</v>
      </c>
      <c r="AG308" s="365">
        <f>'Ar-Pa'!AX308</f>
        <v>0</v>
      </c>
      <c r="AH308" s="365">
        <f>'Ar-Pa'!AY308</f>
        <v>0</v>
      </c>
      <c r="AI308" s="366">
        <f>SUM('Cal. Arr'!AB311:AY311)</f>
        <v>0</v>
      </c>
      <c r="AJ308" s="442"/>
      <c r="AK308" s="443"/>
      <c r="AL308" s="372">
        <f t="shared" si="97"/>
        <v>0</v>
      </c>
      <c r="AM308" s="372">
        <f>+CONVERT(AK308+Tabla1[[#This Row],[Con. DO Storage Gen. '[m3']]],"m^3","gal")</f>
        <v>0</v>
      </c>
      <c r="AN308" s="372">
        <f>SUM('DO Pilot'!B308:Y308)</f>
        <v>0</v>
      </c>
      <c r="AO308" s="372">
        <f t="shared" si="98"/>
        <v>0</v>
      </c>
      <c r="AP308" s="372">
        <f t="shared" si="99"/>
        <v>0</v>
      </c>
      <c r="AQ308" s="372">
        <f t="shared" si="100"/>
        <v>0</v>
      </c>
      <c r="AR308" s="443"/>
      <c r="AS308" s="443"/>
      <c r="AT308" s="267">
        <f>+CONVERT(SUM(Tabla1[[#This Row],[Repo. DO Storage '[gal']]:[Repo. DO Pilot '[gal']]]),"gal","m3")</f>
        <v>0</v>
      </c>
      <c r="AU308" s="442">
        <v>0</v>
      </c>
      <c r="AV308" s="372">
        <f t="shared" si="101"/>
        <v>0</v>
      </c>
      <c r="AW308" s="442">
        <v>0</v>
      </c>
      <c r="AX308" s="372">
        <f t="shared" si="102"/>
        <v>0</v>
      </c>
      <c r="AY308" s="372">
        <f t="shared" si="82"/>
        <v>0</v>
      </c>
      <c r="AZ308" s="372">
        <f>IFERROR(AL308/'Ar-Pa'!AX308,0)</f>
        <v>0</v>
      </c>
      <c r="BA308" s="372">
        <f>IFERROR(AL308/'Ar-Pa'!AY308,0)</f>
        <v>0</v>
      </c>
      <c r="BB308" s="372">
        <f t="shared" si="83"/>
        <v>0</v>
      </c>
      <c r="BC308" s="372">
        <f>IFERROR(AVERAGEIF('DO Pilot'!AX308:BU308,"&gt;0"),0)</f>
        <v>0</v>
      </c>
      <c r="BD308" s="446"/>
      <c r="BE308" s="446"/>
      <c r="BF308" s="446"/>
      <c r="BG308" s="223">
        <f>Tabla1[[#This Row],[ Re. Gas GC
 '[m3']]]</f>
        <v>0</v>
      </c>
      <c r="BH308" s="150">
        <f>IFERROR((BG308*Gas!$B$4)/28.31685,0)</f>
        <v>0</v>
      </c>
      <c r="BI308" s="73">
        <f t="shared" si="103"/>
        <v>0</v>
      </c>
      <c r="BJ308" s="74">
        <f t="shared" si="87"/>
        <v>0</v>
      </c>
      <c r="BK308" s="223">
        <f t="shared" si="84"/>
        <v>0</v>
      </c>
      <c r="BL308" s="442">
        <v>8988.98</v>
      </c>
      <c r="BM308" s="70">
        <f t="shared" si="85"/>
        <v>0</v>
      </c>
      <c r="BN308" s="70">
        <f t="shared" si="88"/>
        <v>0</v>
      </c>
      <c r="BO308" s="373">
        <f>IFERROR(Tabla1[[#This Row],[ Re. Gas GC
 '[m3']]]/Tabla1[[#This Row],[G. HGS 
Con Gas '[kWh']]],0)</f>
        <v>0</v>
      </c>
      <c r="BP308" s="374">
        <f>Tank!Y309</f>
        <v>0</v>
      </c>
      <c r="BQ308" s="70">
        <f>Tank!AP309</f>
        <v>0</v>
      </c>
      <c r="BR308" s="70">
        <f>Tank!V309</f>
        <v>0</v>
      </c>
      <c r="BS308" s="372">
        <f>Tank!T309</f>
        <v>0</v>
      </c>
      <c r="BT308" s="375" t="s">
        <v>228</v>
      </c>
      <c r="BU308" s="452"/>
      <c r="BV308" s="376">
        <f>IF(Tabla1[[#This Row],[Combustible ofertado]]="GAS",Tabla1[[#This Row],[Disponibilidad]],0)</f>
        <v>0</v>
      </c>
      <c r="BW308" s="376">
        <f>IF(Tabla1[[#This Row],[Combustible ofertado]]="DIESEL",Tabla1[[#This Row],[Disponibilidad]],0)</f>
        <v>0</v>
      </c>
      <c r="BX308" s="376">
        <f>IF(Tabla1[[#This Row],[Combustible ofertado]]="HFO",Tabla1[[#This Row],[Disponibilidad]],0)</f>
        <v>0</v>
      </c>
      <c r="BY308" s="452"/>
      <c r="BZ308" s="446">
        <f>'Horo. M'!C309</f>
        <v>0</v>
      </c>
      <c r="CA308" s="446">
        <f>'Horo. M'!E309</f>
        <v>0</v>
      </c>
      <c r="CB308" s="446">
        <f>'Horo. M'!G309</f>
        <v>0</v>
      </c>
      <c r="CC308" s="446">
        <f>'Horo. M'!I309</f>
        <v>0</v>
      </c>
      <c r="CD308" s="446">
        <f>'Horo. M'!K309</f>
        <v>0</v>
      </c>
      <c r="CE308" s="446">
        <f>'Horo. M'!M309</f>
        <v>0</v>
      </c>
      <c r="CF308" s="446">
        <f>'Horo. M'!O309</f>
        <v>0</v>
      </c>
      <c r="CG308" s="446">
        <f>'Horo. M'!Q309</f>
        <v>0</v>
      </c>
      <c r="CH308" s="446">
        <f>'Horo. M'!S309</f>
        <v>0</v>
      </c>
      <c r="CI308" s="446">
        <f>'Horo. M'!U309</f>
        <v>0</v>
      </c>
      <c r="CJ308" s="70">
        <f>Tabla1[[#This Row],[Con. DO Storage '[gal']]]-Tabla1[[#This Row],[C. DO Storage Ge '[gal']]]</f>
        <v>0</v>
      </c>
      <c r="CK308" s="70"/>
      <c r="CL308" s="70"/>
      <c r="CM308" s="70">
        <f>Tabla1[[#This Row],[Con. DO Total '[gal']]]*131485.5/(1000000)</f>
        <v>0</v>
      </c>
      <c r="CU308" s="10">
        <v>895.83</v>
      </c>
    </row>
    <row r="309" spans="1:99" ht="15" customHeight="1">
      <c r="A309" s="362">
        <v>45234</v>
      </c>
      <c r="B309" s="363" t="str">
        <f>TEXT(Tabla1[[#This Row],[Fecha]],"mmmm")</f>
        <v>noviembre</v>
      </c>
      <c r="C309" s="364"/>
      <c r="D309" s="366"/>
      <c r="E309" s="366"/>
      <c r="F309" s="366"/>
      <c r="G309" s="377"/>
      <c r="H309" s="377"/>
      <c r="I309" s="378"/>
      <c r="J309" s="378"/>
      <c r="K309" s="366"/>
      <c r="L309" s="366"/>
      <c r="M309" s="365">
        <f>Tabla1[[#This Row],[Columna1]]-Tabla1[[#This Row],[PO '[h']]]</f>
        <v>0</v>
      </c>
      <c r="N309" s="366">
        <f t="shared" si="104"/>
        <v>0</v>
      </c>
      <c r="O309" s="365"/>
      <c r="P309" s="367">
        <f>Tabla1[[#This Row],[G. HGS 
'[MWh']]]</f>
        <v>0</v>
      </c>
      <c r="Q309" s="430">
        <v>0</v>
      </c>
      <c r="R309" s="367">
        <v>0</v>
      </c>
      <c r="S309" s="367">
        <f>Tabla1[[#This Row],[G. HGS 
Con Gas]]*1000</f>
        <v>0</v>
      </c>
      <c r="T309" s="365">
        <f>Tabla1[[#This Row],[G. HGS 
'[MWh']]]*1000</f>
        <v>0</v>
      </c>
      <c r="U309" s="368">
        <f>SUM('G. Un GE'!B309:Y309)</f>
        <v>0</v>
      </c>
      <c r="V309" s="369">
        <f>Tabla1[[#This Row],[R. GE
'[MWh']]]</f>
        <v>0</v>
      </c>
      <c r="W309" s="434">
        <v>0</v>
      </c>
      <c r="X309" s="369">
        <v>0</v>
      </c>
      <c r="Y309" s="365">
        <f>Tabla1[[#This Row],[R. GE
'[MWh']]]*1000</f>
        <v>0</v>
      </c>
      <c r="Z309" s="371"/>
      <c r="AA30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09" s="371">
        <f>IF(Tabla1[[#This Row],[G. HGS 
'[MWh']]]=0,0,Tabla1[[#This Row],[G. HGS 
'[MWh']]]+Tabla1[[#This Row],[Con. Aux. '[MWh']2]])</f>
        <v>0</v>
      </c>
      <c r="AC309" s="368">
        <f>'C. ENER. TN'!F309</f>
        <v>0</v>
      </c>
      <c r="AD309" s="370">
        <f>'C. ENER. TN'!G309</f>
        <v>0</v>
      </c>
      <c r="AE309" s="370">
        <f>'G. Un GE'!AX309</f>
        <v>0</v>
      </c>
      <c r="AF309" s="368">
        <f>IFERROR('G. Un GE'!AX309/Tabla1[[#This Row],[PO '[h']]],0)</f>
        <v>0</v>
      </c>
      <c r="AG309" s="365">
        <f>'Ar-Pa'!AX309</f>
        <v>0</v>
      </c>
      <c r="AH309" s="365">
        <f>'Ar-Pa'!AY309</f>
        <v>0</v>
      </c>
      <c r="AI309" s="366">
        <f>SUM('Cal. Arr'!AB312:AY312)</f>
        <v>0</v>
      </c>
      <c r="AJ309" s="442"/>
      <c r="AK309" s="443"/>
      <c r="AL309" s="372">
        <f t="shared" si="97"/>
        <v>0</v>
      </c>
      <c r="AM309" s="372">
        <f>+CONVERT(AK309+Tabla1[[#This Row],[Con. DO Storage Gen. '[m3']]],"m^3","gal")</f>
        <v>0</v>
      </c>
      <c r="AN309" s="372">
        <f>SUM('DO Pilot'!B309:Y309)</f>
        <v>0</v>
      </c>
      <c r="AO309" s="372">
        <f t="shared" si="98"/>
        <v>0</v>
      </c>
      <c r="AP309" s="372">
        <f t="shared" si="99"/>
        <v>0</v>
      </c>
      <c r="AQ309" s="372">
        <f t="shared" si="100"/>
        <v>0</v>
      </c>
      <c r="AR309" s="443"/>
      <c r="AS309" s="443"/>
      <c r="AT309" s="267">
        <f>+CONVERT(SUM(Tabla1[[#This Row],[Repo. DO Storage '[gal']]:[Repo. DO Pilot '[gal']]]),"gal","m3")</f>
        <v>0</v>
      </c>
      <c r="AU309" s="442">
        <v>0</v>
      </c>
      <c r="AV309" s="372">
        <f t="shared" si="101"/>
        <v>0</v>
      </c>
      <c r="AW309" s="442">
        <v>0</v>
      </c>
      <c r="AX309" s="372">
        <f t="shared" si="102"/>
        <v>0</v>
      </c>
      <c r="AY309" s="372">
        <f t="shared" si="82"/>
        <v>0</v>
      </c>
      <c r="AZ309" s="372">
        <f>IFERROR(AL309/'Ar-Pa'!AX309,0)</f>
        <v>0</v>
      </c>
      <c r="BA309" s="372">
        <f>IFERROR(AL309/'Ar-Pa'!AY309,0)</f>
        <v>0</v>
      </c>
      <c r="BB309" s="372">
        <f t="shared" si="83"/>
        <v>0</v>
      </c>
      <c r="BC309" s="372">
        <f>IFERROR(AVERAGEIF('DO Pilot'!AX309:BU309,"&gt;0"),0)</f>
        <v>0</v>
      </c>
      <c r="BD309" s="446"/>
      <c r="BE309" s="446"/>
      <c r="BF309" s="446"/>
      <c r="BG309" s="223">
        <f>Tabla1[[#This Row],[ Re. Gas GC
 '[m3']]]</f>
        <v>0</v>
      </c>
      <c r="BH309" s="150">
        <f>IFERROR((BG309*Gas!$B$4)/28.31685,0)</f>
        <v>0</v>
      </c>
      <c r="BI309" s="73">
        <f t="shared" si="103"/>
        <v>0</v>
      </c>
      <c r="BJ309" s="74">
        <f t="shared" si="87"/>
        <v>0</v>
      </c>
      <c r="BK309" s="223">
        <f t="shared" si="84"/>
        <v>0</v>
      </c>
      <c r="BL309" s="442">
        <v>9114.07</v>
      </c>
      <c r="BM309" s="70">
        <f t="shared" si="85"/>
        <v>0</v>
      </c>
      <c r="BN309" s="70">
        <f t="shared" si="88"/>
        <v>0</v>
      </c>
      <c r="BO309" s="373">
        <f>IFERROR(Tabla1[[#This Row],[ Re. Gas GC
 '[m3']]]/Tabla1[[#This Row],[G. HGS 
Con Gas '[kWh']]],0)</f>
        <v>0</v>
      </c>
      <c r="BP309" s="374">
        <f>Tank!Y310</f>
        <v>0</v>
      </c>
      <c r="BQ309" s="70">
        <f>Tank!AP310</f>
        <v>0</v>
      </c>
      <c r="BR309" s="70">
        <f>Tank!V310</f>
        <v>0</v>
      </c>
      <c r="BS309" s="372">
        <f>Tank!T310</f>
        <v>0</v>
      </c>
      <c r="BT309" s="375" t="s">
        <v>228</v>
      </c>
      <c r="BU309" s="452"/>
      <c r="BV309" s="376">
        <f>IF(Tabla1[[#This Row],[Combustible ofertado]]="GAS",Tabla1[[#This Row],[Disponibilidad]],0)</f>
        <v>0</v>
      </c>
      <c r="BW309" s="376">
        <f>IF(Tabla1[[#This Row],[Combustible ofertado]]="DIESEL",Tabla1[[#This Row],[Disponibilidad]],0)</f>
        <v>0</v>
      </c>
      <c r="BX309" s="376">
        <f>IF(Tabla1[[#This Row],[Combustible ofertado]]="HFO",Tabla1[[#This Row],[Disponibilidad]],0)</f>
        <v>0</v>
      </c>
      <c r="BY309" s="452"/>
      <c r="BZ309" s="446">
        <f>'Horo. M'!C310</f>
        <v>0</v>
      </c>
      <c r="CA309" s="446">
        <f>'Horo. M'!E310</f>
        <v>0</v>
      </c>
      <c r="CB309" s="446">
        <f>'Horo. M'!G310</f>
        <v>0</v>
      </c>
      <c r="CC309" s="446">
        <f>'Horo. M'!I310</f>
        <v>0</v>
      </c>
      <c r="CD309" s="446">
        <f>'Horo. M'!K310</f>
        <v>0</v>
      </c>
      <c r="CE309" s="446">
        <f>'Horo. M'!M310</f>
        <v>0</v>
      </c>
      <c r="CF309" s="446">
        <f>'Horo. M'!O310</f>
        <v>0</v>
      </c>
      <c r="CG309" s="446">
        <f>'Horo. M'!Q310</f>
        <v>0</v>
      </c>
      <c r="CH309" s="446">
        <f>'Horo. M'!S310</f>
        <v>0</v>
      </c>
      <c r="CI309" s="446">
        <f>'Horo. M'!U310</f>
        <v>0</v>
      </c>
      <c r="CJ309" s="70">
        <f>Tabla1[[#This Row],[Con. DO Storage '[gal']]]-Tabla1[[#This Row],[C. DO Storage Ge '[gal']]]</f>
        <v>0</v>
      </c>
      <c r="CK309" s="70"/>
      <c r="CL309" s="70"/>
      <c r="CM309" s="70">
        <f>Tabla1[[#This Row],[Con. DO Total '[gal']]]*131485.5/(1000000)</f>
        <v>0</v>
      </c>
      <c r="CU309" s="10">
        <v>891.21630000000005</v>
      </c>
    </row>
    <row r="310" spans="1:99" ht="15" customHeight="1">
      <c r="A310" s="362">
        <v>45235</v>
      </c>
      <c r="B310" s="363" t="str">
        <f>TEXT(Tabla1[[#This Row],[Fecha]],"mmmm")</f>
        <v>noviembre</v>
      </c>
      <c r="C310" s="364"/>
      <c r="D310" s="366"/>
      <c r="E310" s="366"/>
      <c r="F310" s="366"/>
      <c r="G310" s="377"/>
      <c r="H310" s="377"/>
      <c r="I310" s="378"/>
      <c r="J310" s="378"/>
      <c r="K310" s="366"/>
      <c r="L310" s="366"/>
      <c r="M310" s="365">
        <f>Tabla1[[#This Row],[Columna1]]-Tabla1[[#This Row],[PO '[h']]]</f>
        <v>0</v>
      </c>
      <c r="N310" s="366">
        <f t="shared" si="104"/>
        <v>0</v>
      </c>
      <c r="O310" s="365"/>
      <c r="P310" s="367">
        <f>Tabla1[[#This Row],[G. HGS 
'[MWh']]]</f>
        <v>0</v>
      </c>
      <c r="Q310" s="430">
        <v>0</v>
      </c>
      <c r="R310" s="367">
        <v>0</v>
      </c>
      <c r="S310" s="367">
        <f>Tabla1[[#This Row],[G. HGS 
Con Gas]]*1000</f>
        <v>0</v>
      </c>
      <c r="T310" s="365">
        <f>Tabla1[[#This Row],[G. HGS 
'[MWh']]]*1000</f>
        <v>0</v>
      </c>
      <c r="U310" s="368">
        <f>SUM('G. Un GE'!B310:Y310)</f>
        <v>0</v>
      </c>
      <c r="V310" s="369">
        <f>Tabla1[[#This Row],[R. GE
'[MWh']]]</f>
        <v>0</v>
      </c>
      <c r="W310" s="434">
        <v>0</v>
      </c>
      <c r="X310" s="369">
        <v>0</v>
      </c>
      <c r="Y310" s="365">
        <f>Tabla1[[#This Row],[R. GE
'[MWh']]]*1000</f>
        <v>0</v>
      </c>
      <c r="Z310" s="371"/>
      <c r="AA31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0" s="371">
        <f>IF(Tabla1[[#This Row],[G. HGS 
'[MWh']]]=0,0,Tabla1[[#This Row],[G. HGS 
'[MWh']]]+Tabla1[[#This Row],[Con. Aux. '[MWh']2]])</f>
        <v>0</v>
      </c>
      <c r="AC310" s="368">
        <f>'C. ENER. TN'!F310</f>
        <v>0</v>
      </c>
      <c r="AD310" s="370">
        <f>'C. ENER. TN'!G310</f>
        <v>0</v>
      </c>
      <c r="AE310" s="370">
        <f>'G. Un GE'!AX310</f>
        <v>0</v>
      </c>
      <c r="AF310" s="368">
        <f>IFERROR('G. Un GE'!AX310/Tabla1[[#This Row],[PO '[h']]],0)</f>
        <v>0</v>
      </c>
      <c r="AG310" s="365">
        <f>'Ar-Pa'!AX310</f>
        <v>0</v>
      </c>
      <c r="AH310" s="365">
        <f>'Ar-Pa'!AY310</f>
        <v>0</v>
      </c>
      <c r="AI310" s="366">
        <f>SUM('Cal. Arr'!AB313:AY313)</f>
        <v>0</v>
      </c>
      <c r="AJ310" s="442"/>
      <c r="AK310" s="443"/>
      <c r="AL310" s="372">
        <f t="shared" si="97"/>
        <v>0</v>
      </c>
      <c r="AM310" s="372">
        <f>+CONVERT(AK310+Tabla1[[#This Row],[Con. DO Storage Gen. '[m3']]],"m^3","gal")</f>
        <v>0</v>
      </c>
      <c r="AN310" s="372">
        <f>SUM('DO Pilot'!B310:Y310)</f>
        <v>0</v>
      </c>
      <c r="AO310" s="372">
        <f t="shared" si="98"/>
        <v>0</v>
      </c>
      <c r="AP310" s="372">
        <f t="shared" si="99"/>
        <v>0</v>
      </c>
      <c r="AQ310" s="372">
        <f t="shared" si="100"/>
        <v>0</v>
      </c>
      <c r="AR310" s="443"/>
      <c r="AS310" s="443"/>
      <c r="AT310" s="267">
        <f>+CONVERT(SUM(Tabla1[[#This Row],[Repo. DO Storage '[gal']]:[Repo. DO Pilot '[gal']]]),"gal","m3")</f>
        <v>0</v>
      </c>
      <c r="AU310" s="442">
        <v>0</v>
      </c>
      <c r="AV310" s="372">
        <f t="shared" si="101"/>
        <v>0</v>
      </c>
      <c r="AW310" s="442">
        <v>0</v>
      </c>
      <c r="AX310" s="372">
        <f t="shared" si="102"/>
        <v>0</v>
      </c>
      <c r="AY310" s="372">
        <f t="shared" si="82"/>
        <v>0</v>
      </c>
      <c r="AZ310" s="372">
        <f>IFERROR(AL310/'Ar-Pa'!AX310,0)</f>
        <v>0</v>
      </c>
      <c r="BA310" s="372">
        <f>IFERROR(AL310/'Ar-Pa'!AY310,0)</f>
        <v>0</v>
      </c>
      <c r="BB310" s="372">
        <f t="shared" si="83"/>
        <v>0</v>
      </c>
      <c r="BC310" s="372">
        <f>IFERROR(AVERAGEIF('DO Pilot'!AX310:BU310,"&gt;0"),0)</f>
        <v>0</v>
      </c>
      <c r="BD310" s="446"/>
      <c r="BE310" s="446"/>
      <c r="BF310" s="446"/>
      <c r="BG310" s="223">
        <f>Tabla1[[#This Row],[ Re. Gas GC
 '[m3']]]</f>
        <v>0</v>
      </c>
      <c r="BH310" s="150">
        <f>IFERROR((BG310*Gas!$B$4)/28.31685,0)</f>
        <v>0</v>
      </c>
      <c r="BI310" s="73">
        <f t="shared" si="103"/>
        <v>0</v>
      </c>
      <c r="BJ310" s="74">
        <f t="shared" si="87"/>
        <v>0</v>
      </c>
      <c r="BK310" s="223">
        <f t="shared" si="84"/>
        <v>0</v>
      </c>
      <c r="BL310" s="442">
        <v>8874.8799999999992</v>
      </c>
      <c r="BM310" s="70">
        <f t="shared" si="85"/>
        <v>0</v>
      </c>
      <c r="BN310" s="70">
        <f t="shared" si="88"/>
        <v>0</v>
      </c>
      <c r="BO310" s="373">
        <f>IFERROR(Tabla1[[#This Row],[ Re. Gas GC
 '[m3']]]/Tabla1[[#This Row],[G. HGS 
Con Gas '[kWh']]],0)</f>
        <v>0</v>
      </c>
      <c r="BP310" s="374">
        <f>Tank!Y311</f>
        <v>0</v>
      </c>
      <c r="BQ310" s="70">
        <f>Tank!AP311</f>
        <v>0</v>
      </c>
      <c r="BR310" s="70">
        <f>Tank!V311</f>
        <v>0</v>
      </c>
      <c r="BS310" s="372">
        <f>Tank!T311</f>
        <v>0</v>
      </c>
      <c r="BT310" s="375" t="s">
        <v>228</v>
      </c>
      <c r="BU310" s="452"/>
      <c r="BV310" s="376">
        <f>IF(Tabla1[[#This Row],[Combustible ofertado]]="GAS",Tabla1[[#This Row],[Disponibilidad]],0)</f>
        <v>0</v>
      </c>
      <c r="BW310" s="376">
        <f>IF(Tabla1[[#This Row],[Combustible ofertado]]="DIESEL",Tabla1[[#This Row],[Disponibilidad]],0)</f>
        <v>0</v>
      </c>
      <c r="BX310" s="376">
        <f>IF(Tabla1[[#This Row],[Combustible ofertado]]="HFO",Tabla1[[#This Row],[Disponibilidad]],0)</f>
        <v>0</v>
      </c>
      <c r="BY310" s="452"/>
      <c r="BZ310" s="446">
        <f>'Horo. M'!C311</f>
        <v>0</v>
      </c>
      <c r="CA310" s="446">
        <f>'Horo. M'!E311</f>
        <v>0</v>
      </c>
      <c r="CB310" s="446">
        <f>'Horo. M'!G311</f>
        <v>0</v>
      </c>
      <c r="CC310" s="446">
        <f>'Horo. M'!I311</f>
        <v>0</v>
      </c>
      <c r="CD310" s="446">
        <f>'Horo. M'!K311</f>
        <v>0</v>
      </c>
      <c r="CE310" s="446">
        <f>'Horo. M'!M311</f>
        <v>0</v>
      </c>
      <c r="CF310" s="446">
        <f>'Horo. M'!O311</f>
        <v>0</v>
      </c>
      <c r="CG310" s="446">
        <f>'Horo. M'!Q311</f>
        <v>0</v>
      </c>
      <c r="CH310" s="446">
        <f>'Horo. M'!S311</f>
        <v>0</v>
      </c>
      <c r="CI310" s="446">
        <f>'Horo. M'!U311</f>
        <v>0</v>
      </c>
      <c r="CJ310" s="70">
        <f>Tabla1[[#This Row],[Con. DO Storage '[gal']]]-Tabla1[[#This Row],[C. DO Storage Ge '[gal']]]</f>
        <v>0</v>
      </c>
      <c r="CK310" s="70"/>
      <c r="CL310" s="70"/>
      <c r="CM310" s="70">
        <f>Tabla1[[#This Row],[Con. DO Total '[gal']]]*131485.5/(1000000)</f>
        <v>0</v>
      </c>
      <c r="CU310" s="10">
        <v>966.93020000000001</v>
      </c>
    </row>
    <row r="311" spans="1:99" ht="15" customHeight="1">
      <c r="A311" s="362">
        <v>45236</v>
      </c>
      <c r="B311" s="363" t="str">
        <f>TEXT(Tabla1[[#This Row],[Fecha]],"mmmm")</f>
        <v>noviembre</v>
      </c>
      <c r="C311" s="364"/>
      <c r="D311" s="366"/>
      <c r="E311" s="366"/>
      <c r="F311" s="366"/>
      <c r="G311" s="377"/>
      <c r="H311" s="377"/>
      <c r="I311" s="378"/>
      <c r="J311" s="378"/>
      <c r="K311" s="366"/>
      <c r="L311" s="366"/>
      <c r="M311" s="365">
        <f>Tabla1[[#This Row],[Columna1]]-Tabla1[[#This Row],[PO '[h']]]</f>
        <v>0</v>
      </c>
      <c r="N311" s="366">
        <f t="shared" si="104"/>
        <v>0</v>
      </c>
      <c r="O311" s="365"/>
      <c r="P311" s="367">
        <f>Tabla1[[#This Row],[G. HGS 
'[MWh']]]</f>
        <v>0</v>
      </c>
      <c r="Q311" s="430">
        <v>0</v>
      </c>
      <c r="R311" s="367">
        <v>0</v>
      </c>
      <c r="S311" s="367">
        <f>Tabla1[[#This Row],[G. HGS 
Con Gas]]*1000</f>
        <v>0</v>
      </c>
      <c r="T311" s="365">
        <f>Tabla1[[#This Row],[G. HGS 
'[MWh']]]*1000</f>
        <v>0</v>
      </c>
      <c r="U311" s="368">
        <f>SUM('G. Un GE'!B311:Y311)</f>
        <v>0</v>
      </c>
      <c r="V311" s="369">
        <f>Tabla1[[#This Row],[R. GE
'[MWh']]]</f>
        <v>0</v>
      </c>
      <c r="W311" s="434">
        <v>0</v>
      </c>
      <c r="X311" s="369">
        <v>0</v>
      </c>
      <c r="Y311" s="365">
        <f>Tabla1[[#This Row],[R. GE
'[MWh']]]*1000</f>
        <v>0</v>
      </c>
      <c r="Z311" s="371"/>
      <c r="AA31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1" s="371">
        <f>IF(Tabla1[[#This Row],[G. HGS 
'[MWh']]]=0,0,Tabla1[[#This Row],[G. HGS 
'[MWh']]]+Tabla1[[#This Row],[Con. Aux. '[MWh']2]])</f>
        <v>0</v>
      </c>
      <c r="AC311" s="368">
        <f>'C. ENER. TN'!F311</f>
        <v>0</v>
      </c>
      <c r="AD311" s="370">
        <f>'C. ENER. TN'!G311</f>
        <v>0</v>
      </c>
      <c r="AE311" s="370">
        <f>'G. Un GE'!AX311</f>
        <v>0</v>
      </c>
      <c r="AF311" s="368">
        <f>IFERROR('G. Un GE'!AX311/Tabla1[[#This Row],[PO '[h']]],0)</f>
        <v>0</v>
      </c>
      <c r="AG311" s="365">
        <f>'Ar-Pa'!AX311</f>
        <v>0</v>
      </c>
      <c r="AH311" s="365">
        <f>'Ar-Pa'!AY311</f>
        <v>0</v>
      </c>
      <c r="AI311" s="366">
        <f>SUM('Cal. Arr'!AB314:AY314)</f>
        <v>0</v>
      </c>
      <c r="AJ311" s="442"/>
      <c r="AK311" s="443"/>
      <c r="AL311" s="372">
        <f t="shared" si="97"/>
        <v>0</v>
      </c>
      <c r="AM311" s="372">
        <f>+CONVERT(AK311+Tabla1[[#This Row],[Con. DO Storage Gen. '[m3']]],"m^3","gal")</f>
        <v>0</v>
      </c>
      <c r="AN311" s="372">
        <f>SUM('DO Pilot'!B311:Y311)</f>
        <v>0</v>
      </c>
      <c r="AO311" s="372">
        <f t="shared" si="98"/>
        <v>0</v>
      </c>
      <c r="AP311" s="372">
        <f t="shared" si="99"/>
        <v>0</v>
      </c>
      <c r="AQ311" s="372">
        <f t="shared" si="100"/>
        <v>0</v>
      </c>
      <c r="AR311" s="443"/>
      <c r="AS311" s="443"/>
      <c r="AT311" s="267">
        <f>+CONVERT(SUM(Tabla1[[#This Row],[Repo. DO Storage '[gal']]:[Repo. DO Pilot '[gal']]]),"gal","m3")</f>
        <v>0</v>
      </c>
      <c r="AU311" s="442">
        <v>0</v>
      </c>
      <c r="AV311" s="372">
        <f t="shared" si="101"/>
        <v>0</v>
      </c>
      <c r="AW311" s="442">
        <v>0</v>
      </c>
      <c r="AX311" s="372">
        <f t="shared" si="102"/>
        <v>0</v>
      </c>
      <c r="AY311" s="372">
        <f t="shared" si="82"/>
        <v>0</v>
      </c>
      <c r="AZ311" s="372">
        <f>IFERROR(AL311/'Ar-Pa'!AX311,0)</f>
        <v>0</v>
      </c>
      <c r="BA311" s="372">
        <f>IFERROR(AL311/'Ar-Pa'!AY311,0)</f>
        <v>0</v>
      </c>
      <c r="BB311" s="372">
        <f t="shared" si="83"/>
        <v>0</v>
      </c>
      <c r="BC311" s="372">
        <f>IFERROR(AVERAGEIF('DO Pilot'!AX311:BU311,"&gt;0"),0)</f>
        <v>0</v>
      </c>
      <c r="BD311" s="446"/>
      <c r="BE311" s="446"/>
      <c r="BF311" s="446"/>
      <c r="BG311" s="223">
        <f>Tabla1[[#This Row],[ Re. Gas GC
 '[m3']]]</f>
        <v>0</v>
      </c>
      <c r="BH311" s="150">
        <f>IFERROR((BG311*Gas!$B$4)/28.31685,0)</f>
        <v>0</v>
      </c>
      <c r="BI311" s="73">
        <f t="shared" si="103"/>
        <v>0</v>
      </c>
      <c r="BJ311" s="74">
        <f t="shared" si="87"/>
        <v>0</v>
      </c>
      <c r="BK311" s="223">
        <f t="shared" si="84"/>
        <v>0</v>
      </c>
      <c r="BL311" s="442">
        <v>9095.5499999999993</v>
      </c>
      <c r="BM311" s="70">
        <f t="shared" si="85"/>
        <v>0</v>
      </c>
      <c r="BN311" s="70">
        <f t="shared" si="88"/>
        <v>0</v>
      </c>
      <c r="BO311" s="373">
        <f>IFERROR(Tabla1[[#This Row],[ Re. Gas GC
 '[m3']]]/Tabla1[[#This Row],[G. HGS 
Con Gas '[kWh']]],0)</f>
        <v>0</v>
      </c>
      <c r="BP311" s="374">
        <f>Tank!Y312</f>
        <v>0</v>
      </c>
      <c r="BQ311" s="70">
        <f>Tank!AP312</f>
        <v>0</v>
      </c>
      <c r="BR311" s="70">
        <f>Tank!V312</f>
        <v>0</v>
      </c>
      <c r="BS311" s="372">
        <f>Tank!T312</f>
        <v>0</v>
      </c>
      <c r="BT311" s="375" t="s">
        <v>228</v>
      </c>
      <c r="BU311" s="452"/>
      <c r="BV311" s="376">
        <f>IF(Tabla1[[#This Row],[Combustible ofertado]]="GAS",Tabla1[[#This Row],[Disponibilidad]],0)</f>
        <v>0</v>
      </c>
      <c r="BW311" s="376">
        <f>IF(Tabla1[[#This Row],[Combustible ofertado]]="DIESEL",Tabla1[[#This Row],[Disponibilidad]],0)</f>
        <v>0</v>
      </c>
      <c r="BX311" s="376">
        <f>IF(Tabla1[[#This Row],[Combustible ofertado]]="HFO",Tabla1[[#This Row],[Disponibilidad]],0)</f>
        <v>0</v>
      </c>
      <c r="BY311" s="452"/>
      <c r="BZ311" s="446">
        <f>'Horo. M'!C312</f>
        <v>0</v>
      </c>
      <c r="CA311" s="446">
        <f>'Horo. M'!E312</f>
        <v>0</v>
      </c>
      <c r="CB311" s="446">
        <f>'Horo. M'!G312</f>
        <v>0</v>
      </c>
      <c r="CC311" s="446">
        <f>'Horo. M'!I312</f>
        <v>0</v>
      </c>
      <c r="CD311" s="446">
        <f>'Horo. M'!K312</f>
        <v>0</v>
      </c>
      <c r="CE311" s="446">
        <f>'Horo. M'!M312</f>
        <v>0</v>
      </c>
      <c r="CF311" s="446">
        <f>'Horo. M'!O312</f>
        <v>0</v>
      </c>
      <c r="CG311" s="446">
        <f>'Horo. M'!Q312</f>
        <v>0</v>
      </c>
      <c r="CH311" s="446">
        <f>'Horo. M'!S312</f>
        <v>0</v>
      </c>
      <c r="CI311" s="446">
        <f>'Horo. M'!U312</f>
        <v>0</v>
      </c>
      <c r="CJ311" s="70">
        <f>Tabla1[[#This Row],[Con. DO Storage '[gal']]]-Tabla1[[#This Row],[C. DO Storage Ge '[gal']]]</f>
        <v>0</v>
      </c>
      <c r="CK311" s="70"/>
      <c r="CL311" s="70"/>
      <c r="CM311" s="70">
        <f>Tabla1[[#This Row],[Con. DO Total '[gal']]]*131485.5/(1000000)</f>
        <v>0</v>
      </c>
      <c r="CU311" s="10">
        <v>847.16570000000002</v>
      </c>
    </row>
    <row r="312" spans="1:99" ht="15" customHeight="1">
      <c r="A312" s="362">
        <v>45237</v>
      </c>
      <c r="B312" s="363" t="str">
        <f>TEXT(Tabla1[[#This Row],[Fecha]],"mmmm")</f>
        <v>noviembre</v>
      </c>
      <c r="C312" s="364"/>
      <c r="D312" s="366"/>
      <c r="E312" s="366"/>
      <c r="F312" s="366"/>
      <c r="G312" s="377"/>
      <c r="H312" s="377"/>
      <c r="I312" s="378"/>
      <c r="J312" s="378"/>
      <c r="K312" s="366"/>
      <c r="L312" s="366"/>
      <c r="M312" s="365">
        <f>Tabla1[[#This Row],[Columna1]]-Tabla1[[#This Row],[PO '[h']]]</f>
        <v>0</v>
      </c>
      <c r="N312" s="366">
        <f t="shared" si="104"/>
        <v>0</v>
      </c>
      <c r="O312" s="365"/>
      <c r="P312" s="367">
        <f>Tabla1[[#This Row],[G. HGS 
'[MWh']]]</f>
        <v>0</v>
      </c>
      <c r="Q312" s="430">
        <v>0</v>
      </c>
      <c r="R312" s="367">
        <v>0</v>
      </c>
      <c r="S312" s="367">
        <f>Tabla1[[#This Row],[G. HGS 
Con Gas]]*1000</f>
        <v>0</v>
      </c>
      <c r="T312" s="365">
        <f>Tabla1[[#This Row],[G. HGS 
'[MWh']]]*1000</f>
        <v>0</v>
      </c>
      <c r="U312" s="368">
        <f>SUM('G. Un GE'!B312:Y312)</f>
        <v>0</v>
      </c>
      <c r="V312" s="369">
        <f>Tabla1[[#This Row],[R. GE
'[MWh']]]</f>
        <v>0</v>
      </c>
      <c r="W312" s="434">
        <v>0</v>
      </c>
      <c r="X312" s="369">
        <v>0</v>
      </c>
      <c r="Y312" s="365">
        <f>Tabla1[[#This Row],[R. GE
'[MWh']]]*1000</f>
        <v>0</v>
      </c>
      <c r="Z312" s="371"/>
      <c r="AA31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2" s="371">
        <f>IF(Tabla1[[#This Row],[G. HGS 
'[MWh']]]=0,0,Tabla1[[#This Row],[G. HGS 
'[MWh']]]+Tabla1[[#This Row],[Con. Aux. '[MWh']2]])</f>
        <v>0</v>
      </c>
      <c r="AC312" s="368">
        <f>'C. ENER. TN'!F312</f>
        <v>0</v>
      </c>
      <c r="AD312" s="370">
        <f>'C. ENER. TN'!G312</f>
        <v>0</v>
      </c>
      <c r="AE312" s="370">
        <f>'G. Un GE'!AX312</f>
        <v>0</v>
      </c>
      <c r="AF312" s="368">
        <f>IFERROR('G. Un GE'!AX312/Tabla1[[#This Row],[PO '[h']]],0)</f>
        <v>0</v>
      </c>
      <c r="AG312" s="365">
        <f>'Ar-Pa'!AX312</f>
        <v>0</v>
      </c>
      <c r="AH312" s="365">
        <f>'Ar-Pa'!AY312</f>
        <v>0</v>
      </c>
      <c r="AI312" s="366">
        <f>SUM('Cal. Arr'!AB315:AY315)</f>
        <v>0</v>
      </c>
      <c r="AJ312" s="442"/>
      <c r="AK312" s="443"/>
      <c r="AL312" s="372">
        <f t="shared" si="97"/>
        <v>0</v>
      </c>
      <c r="AM312" s="372">
        <f>+CONVERT(AK312+Tabla1[[#This Row],[Con. DO Storage Gen. '[m3']]],"m^3","gal")</f>
        <v>0</v>
      </c>
      <c r="AN312" s="372">
        <f>SUM('DO Pilot'!B312:Y312)</f>
        <v>0</v>
      </c>
      <c r="AO312" s="372">
        <f t="shared" si="98"/>
        <v>0</v>
      </c>
      <c r="AP312" s="372">
        <f t="shared" si="99"/>
        <v>0</v>
      </c>
      <c r="AQ312" s="372">
        <f t="shared" si="100"/>
        <v>0</v>
      </c>
      <c r="AR312" s="443"/>
      <c r="AS312" s="443"/>
      <c r="AT312" s="267">
        <f>+CONVERT(SUM(Tabla1[[#This Row],[Repo. DO Storage '[gal']]:[Repo. DO Pilot '[gal']]]),"gal","m3")</f>
        <v>0</v>
      </c>
      <c r="AU312" s="442">
        <v>0</v>
      </c>
      <c r="AV312" s="372">
        <f t="shared" si="101"/>
        <v>0</v>
      </c>
      <c r="AW312" s="442">
        <v>0</v>
      </c>
      <c r="AX312" s="372">
        <f t="shared" si="102"/>
        <v>0</v>
      </c>
      <c r="AY312" s="372">
        <f t="shared" si="82"/>
        <v>0</v>
      </c>
      <c r="AZ312" s="372">
        <f>IFERROR(AL312/'Ar-Pa'!AX312,0)</f>
        <v>0</v>
      </c>
      <c r="BA312" s="372">
        <f>IFERROR(AL312/'Ar-Pa'!AY312,0)</f>
        <v>0</v>
      </c>
      <c r="BB312" s="372">
        <f t="shared" si="83"/>
        <v>0</v>
      </c>
      <c r="BC312" s="372">
        <f>IFERROR(AVERAGEIF('DO Pilot'!AX312:BU312,"&gt;0"),0)</f>
        <v>0</v>
      </c>
      <c r="BD312" s="446"/>
      <c r="BE312" s="446"/>
      <c r="BF312" s="446"/>
      <c r="BG312" s="223">
        <f>Tabla1[[#This Row],[ Re. Gas GC
 '[m3']]]</f>
        <v>0</v>
      </c>
      <c r="BH312" s="150">
        <f>IFERROR((BG312*Gas!$B$4)/28.31685,0)</f>
        <v>0</v>
      </c>
      <c r="BI312" s="73">
        <f t="shared" si="103"/>
        <v>0</v>
      </c>
      <c r="BJ312" s="74">
        <f t="shared" si="87"/>
        <v>0</v>
      </c>
      <c r="BK312" s="223">
        <f t="shared" si="84"/>
        <v>0</v>
      </c>
      <c r="BL312" s="442">
        <v>9138.07</v>
      </c>
      <c r="BM312" s="70">
        <f t="shared" si="85"/>
        <v>0</v>
      </c>
      <c r="BN312" s="70">
        <f t="shared" si="88"/>
        <v>0</v>
      </c>
      <c r="BO312" s="373">
        <f>IFERROR(Tabla1[[#This Row],[ Re. Gas GC
 '[m3']]]/Tabla1[[#This Row],[G. HGS 
Con Gas '[kWh']]],0)</f>
        <v>0</v>
      </c>
      <c r="BP312" s="374">
        <f>Tank!Y313</f>
        <v>0</v>
      </c>
      <c r="BQ312" s="70">
        <f>Tank!AP313</f>
        <v>0</v>
      </c>
      <c r="BR312" s="70">
        <f>Tank!V313</f>
        <v>0</v>
      </c>
      <c r="BS312" s="372">
        <f>Tank!T313</f>
        <v>0</v>
      </c>
      <c r="BT312" s="375" t="s">
        <v>228</v>
      </c>
      <c r="BU312" s="452"/>
      <c r="BV312" s="376">
        <f>IF(Tabla1[[#This Row],[Combustible ofertado]]="GAS",Tabla1[[#This Row],[Disponibilidad]],0)</f>
        <v>0</v>
      </c>
      <c r="BW312" s="376">
        <f>IF(Tabla1[[#This Row],[Combustible ofertado]]="DIESEL",Tabla1[[#This Row],[Disponibilidad]],0)</f>
        <v>0</v>
      </c>
      <c r="BX312" s="376">
        <f>IF(Tabla1[[#This Row],[Combustible ofertado]]="HFO",Tabla1[[#This Row],[Disponibilidad]],0)</f>
        <v>0</v>
      </c>
      <c r="BY312" s="452"/>
      <c r="BZ312" s="446">
        <f>'Horo. M'!C313</f>
        <v>0</v>
      </c>
      <c r="CA312" s="446">
        <f>'Horo. M'!E313</f>
        <v>0</v>
      </c>
      <c r="CB312" s="446">
        <f>'Horo. M'!G313</f>
        <v>0</v>
      </c>
      <c r="CC312" s="446">
        <f>'Horo. M'!I313</f>
        <v>0</v>
      </c>
      <c r="CD312" s="446">
        <f>'Horo. M'!K313</f>
        <v>0</v>
      </c>
      <c r="CE312" s="446">
        <f>'Horo. M'!M313</f>
        <v>0</v>
      </c>
      <c r="CF312" s="446">
        <f>'Horo. M'!O313</f>
        <v>0</v>
      </c>
      <c r="CG312" s="446">
        <f>'Horo. M'!Q313</f>
        <v>0</v>
      </c>
      <c r="CH312" s="446">
        <f>'Horo. M'!S313</f>
        <v>0</v>
      </c>
      <c r="CI312" s="446">
        <f>'Horo. M'!U313</f>
        <v>0</v>
      </c>
      <c r="CJ312" s="70">
        <f>Tabla1[[#This Row],[Con. DO Storage '[gal']]]-Tabla1[[#This Row],[C. DO Storage Ge '[gal']]]</f>
        <v>0</v>
      </c>
      <c r="CK312" s="70"/>
      <c r="CL312" s="70"/>
      <c r="CM312" s="70">
        <f>Tabla1[[#This Row],[Con. DO Total '[gal']]]*131485.5/(1000000)</f>
        <v>0</v>
      </c>
      <c r="CU312" s="10">
        <v>846.05680000000007</v>
      </c>
    </row>
    <row r="313" spans="1:99" ht="15" customHeight="1">
      <c r="A313" s="362">
        <v>45238</v>
      </c>
      <c r="B313" s="363" t="str">
        <f>TEXT(Tabla1[[#This Row],[Fecha]],"mmmm")</f>
        <v>noviembre</v>
      </c>
      <c r="C313" s="364"/>
      <c r="D313" s="366"/>
      <c r="E313" s="366"/>
      <c r="F313" s="366"/>
      <c r="G313" s="377"/>
      <c r="H313" s="377"/>
      <c r="I313" s="378"/>
      <c r="J313" s="378"/>
      <c r="K313" s="366"/>
      <c r="L313" s="366"/>
      <c r="M313" s="365">
        <f>Tabla1[[#This Row],[Columna1]]-Tabla1[[#This Row],[PO '[h']]]</f>
        <v>0</v>
      </c>
      <c r="N313" s="366">
        <f t="shared" si="104"/>
        <v>0</v>
      </c>
      <c r="O313" s="365"/>
      <c r="P313" s="367">
        <f>Tabla1[[#This Row],[G. HGS 
'[MWh']]]</f>
        <v>0</v>
      </c>
      <c r="Q313" s="430">
        <v>0</v>
      </c>
      <c r="R313" s="367">
        <v>0</v>
      </c>
      <c r="S313" s="367">
        <f>Tabla1[[#This Row],[G. HGS 
Con Gas]]*1000</f>
        <v>0</v>
      </c>
      <c r="T313" s="365">
        <f>Tabla1[[#This Row],[G. HGS 
'[MWh']]]*1000</f>
        <v>0</v>
      </c>
      <c r="U313" s="368">
        <f>SUM('G. Un GE'!B313:Y313)</f>
        <v>0</v>
      </c>
      <c r="V313" s="369">
        <f>Tabla1[[#This Row],[R. GE
'[MWh']]]</f>
        <v>0</v>
      </c>
      <c r="W313" s="434">
        <v>0</v>
      </c>
      <c r="X313" s="369">
        <v>0</v>
      </c>
      <c r="Y313" s="365">
        <f>Tabla1[[#This Row],[R. GE
'[MWh']]]*1000</f>
        <v>0</v>
      </c>
      <c r="Z313" s="371"/>
      <c r="AA31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3" s="371">
        <f>IF(Tabla1[[#This Row],[G. HGS 
'[MWh']]]=0,0,Tabla1[[#This Row],[G. HGS 
'[MWh']]]+Tabla1[[#This Row],[Con. Aux. '[MWh']2]])</f>
        <v>0</v>
      </c>
      <c r="AC313" s="368">
        <f>'C. ENER. TN'!F313</f>
        <v>0</v>
      </c>
      <c r="AD313" s="370">
        <f>'C. ENER. TN'!G313</f>
        <v>0</v>
      </c>
      <c r="AE313" s="370">
        <f>'G. Un GE'!AX313</f>
        <v>0</v>
      </c>
      <c r="AF313" s="368">
        <f>IFERROR('G. Un GE'!AX313/Tabla1[[#This Row],[PO '[h']]],0)</f>
        <v>0</v>
      </c>
      <c r="AG313" s="365">
        <f>'Ar-Pa'!AX313</f>
        <v>0</v>
      </c>
      <c r="AH313" s="365">
        <f>'Ar-Pa'!AY313</f>
        <v>0</v>
      </c>
      <c r="AI313" s="366">
        <f>SUM('Cal. Arr'!AB316:AY316)</f>
        <v>0</v>
      </c>
      <c r="AJ313" s="442"/>
      <c r="AK313" s="443"/>
      <c r="AL313" s="372">
        <f t="shared" si="97"/>
        <v>0</v>
      </c>
      <c r="AM313" s="372">
        <f>+CONVERT(AK313+Tabla1[[#This Row],[Con. DO Storage Gen. '[m3']]],"m^3","gal")</f>
        <v>0</v>
      </c>
      <c r="AN313" s="372">
        <f>SUM('DO Pilot'!B313:Y313)</f>
        <v>0</v>
      </c>
      <c r="AO313" s="372">
        <f t="shared" si="98"/>
        <v>0</v>
      </c>
      <c r="AP313" s="372">
        <f t="shared" si="99"/>
        <v>0</v>
      </c>
      <c r="AQ313" s="372">
        <f t="shared" si="100"/>
        <v>0</v>
      </c>
      <c r="AR313" s="443"/>
      <c r="AS313" s="443"/>
      <c r="AT313" s="267">
        <f>+CONVERT(SUM(Tabla1[[#This Row],[Repo. DO Storage '[gal']]:[Repo. DO Pilot '[gal']]]),"gal","m3")</f>
        <v>0</v>
      </c>
      <c r="AU313" s="442">
        <v>0</v>
      </c>
      <c r="AV313" s="372">
        <f t="shared" si="101"/>
        <v>0</v>
      </c>
      <c r="AW313" s="442">
        <v>0</v>
      </c>
      <c r="AX313" s="372">
        <f t="shared" si="102"/>
        <v>0</v>
      </c>
      <c r="AY313" s="372">
        <f t="shared" si="82"/>
        <v>0</v>
      </c>
      <c r="AZ313" s="372">
        <f>IFERROR(AL313/'Ar-Pa'!AX313,0)</f>
        <v>0</v>
      </c>
      <c r="BA313" s="372">
        <f>IFERROR(AL313/'Ar-Pa'!AY313,0)</f>
        <v>0</v>
      </c>
      <c r="BB313" s="372">
        <f t="shared" si="83"/>
        <v>0</v>
      </c>
      <c r="BC313" s="372">
        <f>IFERROR(AVERAGEIF('DO Pilot'!AX313:BU313,"&gt;0"),0)</f>
        <v>0</v>
      </c>
      <c r="BD313" s="446"/>
      <c r="BE313" s="446"/>
      <c r="BF313" s="446"/>
      <c r="BG313" s="223">
        <f>Tabla1[[#This Row],[ Re. Gas GC
 '[m3']]]</f>
        <v>0</v>
      </c>
      <c r="BH313" s="150">
        <f>IFERROR((BG313*Gas!$B$4)/28.31685,0)</f>
        <v>0</v>
      </c>
      <c r="BI313" s="73">
        <f t="shared" si="103"/>
        <v>0</v>
      </c>
      <c r="BJ313" s="74">
        <f t="shared" si="87"/>
        <v>0</v>
      </c>
      <c r="BK313" s="223">
        <f t="shared" si="84"/>
        <v>0</v>
      </c>
      <c r="BL313" s="442">
        <v>9403.26</v>
      </c>
      <c r="BM313" s="70">
        <f t="shared" si="85"/>
        <v>0</v>
      </c>
      <c r="BN313" s="70">
        <f t="shared" si="88"/>
        <v>0</v>
      </c>
      <c r="BO313" s="373">
        <f>IFERROR(Tabla1[[#This Row],[ Re. Gas GC
 '[m3']]]/Tabla1[[#This Row],[G. HGS 
Con Gas '[kWh']]],0)</f>
        <v>0</v>
      </c>
      <c r="BP313" s="374">
        <f>Tank!Y314</f>
        <v>0</v>
      </c>
      <c r="BQ313" s="70">
        <f>Tank!AP314</f>
        <v>0</v>
      </c>
      <c r="BR313" s="70">
        <f>Tank!V314</f>
        <v>0</v>
      </c>
      <c r="BS313" s="372">
        <f>Tank!T314</f>
        <v>0</v>
      </c>
      <c r="BT313" s="375" t="s">
        <v>228</v>
      </c>
      <c r="BU313" s="452"/>
      <c r="BV313" s="376">
        <f>IF(Tabla1[[#This Row],[Combustible ofertado]]="GAS",Tabla1[[#This Row],[Disponibilidad]],0)</f>
        <v>0</v>
      </c>
      <c r="BW313" s="376">
        <f>IF(Tabla1[[#This Row],[Combustible ofertado]]="DIESEL",Tabla1[[#This Row],[Disponibilidad]],0)</f>
        <v>0</v>
      </c>
      <c r="BX313" s="376">
        <f>IF(Tabla1[[#This Row],[Combustible ofertado]]="HFO",Tabla1[[#This Row],[Disponibilidad]],0)</f>
        <v>0</v>
      </c>
      <c r="BY313" s="452"/>
      <c r="BZ313" s="446">
        <f>'Horo. M'!C314</f>
        <v>0</v>
      </c>
      <c r="CA313" s="446">
        <f>'Horo. M'!E314</f>
        <v>0</v>
      </c>
      <c r="CB313" s="446">
        <f>'Horo. M'!G314</f>
        <v>0</v>
      </c>
      <c r="CC313" s="446">
        <f>'Horo. M'!I314</f>
        <v>0</v>
      </c>
      <c r="CD313" s="446">
        <f>'Horo. M'!K314</f>
        <v>0</v>
      </c>
      <c r="CE313" s="446">
        <f>'Horo. M'!M314</f>
        <v>0</v>
      </c>
      <c r="CF313" s="446">
        <f>'Horo. M'!O314</f>
        <v>0</v>
      </c>
      <c r="CG313" s="446">
        <f>'Horo. M'!Q314</f>
        <v>0</v>
      </c>
      <c r="CH313" s="446">
        <f>'Horo. M'!S314</f>
        <v>0</v>
      </c>
      <c r="CI313" s="446">
        <f>'Horo. M'!U314</f>
        <v>0</v>
      </c>
      <c r="CJ313" s="70">
        <f>Tabla1[[#This Row],[Con. DO Storage '[gal']]]-Tabla1[[#This Row],[C. DO Storage Ge '[gal']]]</f>
        <v>0</v>
      </c>
      <c r="CK313" s="70"/>
      <c r="CL313" s="70"/>
      <c r="CM313" s="70">
        <f>Tabla1[[#This Row],[Con. DO Total '[gal']]]*131485.5/(1000000)</f>
        <v>0</v>
      </c>
      <c r="CU313" s="10">
        <v>590.78840000000002</v>
      </c>
    </row>
    <row r="314" spans="1:99" ht="15" customHeight="1">
      <c r="A314" s="362">
        <v>45239</v>
      </c>
      <c r="B314" s="363" t="str">
        <f>TEXT(Tabla1[[#This Row],[Fecha]],"mmmm")</f>
        <v>noviembre</v>
      </c>
      <c r="C314" s="364"/>
      <c r="D314" s="366"/>
      <c r="E314" s="366"/>
      <c r="F314" s="366"/>
      <c r="G314" s="377"/>
      <c r="H314" s="377"/>
      <c r="I314" s="378"/>
      <c r="J314" s="378"/>
      <c r="K314" s="366"/>
      <c r="L314" s="366"/>
      <c r="M314" s="365">
        <f>Tabla1[[#This Row],[Columna1]]-Tabla1[[#This Row],[PO '[h']]]</f>
        <v>0</v>
      </c>
      <c r="N314" s="366">
        <f t="shared" si="104"/>
        <v>0</v>
      </c>
      <c r="O314" s="365"/>
      <c r="P314" s="367">
        <f>Tabla1[[#This Row],[G. HGS 
'[MWh']]]</f>
        <v>0</v>
      </c>
      <c r="Q314" s="430">
        <v>0</v>
      </c>
      <c r="R314" s="367">
        <v>0</v>
      </c>
      <c r="S314" s="367">
        <f>Tabla1[[#This Row],[G. HGS 
Con Gas]]*1000</f>
        <v>0</v>
      </c>
      <c r="T314" s="365">
        <f>Tabla1[[#This Row],[G. HGS 
'[MWh']]]*1000</f>
        <v>0</v>
      </c>
      <c r="U314" s="368">
        <f>SUM('G. Un GE'!B314:Y314)</f>
        <v>0</v>
      </c>
      <c r="V314" s="369">
        <f>Tabla1[[#This Row],[R. GE
'[MWh']]]</f>
        <v>0</v>
      </c>
      <c r="W314" s="434">
        <v>0</v>
      </c>
      <c r="X314" s="369">
        <v>0</v>
      </c>
      <c r="Y314" s="365">
        <f>Tabla1[[#This Row],[R. GE
'[MWh']]]*1000</f>
        <v>0</v>
      </c>
      <c r="Z314" s="371"/>
      <c r="AA31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4" s="371">
        <f>IF(Tabla1[[#This Row],[G. HGS 
'[MWh']]]=0,0,Tabla1[[#This Row],[G. HGS 
'[MWh']]]+Tabla1[[#This Row],[Con. Aux. '[MWh']2]])</f>
        <v>0</v>
      </c>
      <c r="AC314" s="368">
        <f>'C. ENER. TN'!F314</f>
        <v>0</v>
      </c>
      <c r="AD314" s="370">
        <f>'C. ENER. TN'!G314</f>
        <v>0</v>
      </c>
      <c r="AE314" s="370">
        <f>'G. Un GE'!AX314</f>
        <v>0</v>
      </c>
      <c r="AF314" s="368">
        <f>IFERROR('G. Un GE'!AX314/Tabla1[[#This Row],[PO '[h']]],0)</f>
        <v>0</v>
      </c>
      <c r="AG314" s="365">
        <f>'Ar-Pa'!AX314</f>
        <v>0</v>
      </c>
      <c r="AH314" s="365">
        <f>'Ar-Pa'!AY314</f>
        <v>0</v>
      </c>
      <c r="AI314" s="366">
        <f>SUM('Cal. Arr'!AB317:AY317)</f>
        <v>0</v>
      </c>
      <c r="AJ314" s="442"/>
      <c r="AK314" s="443"/>
      <c r="AL314" s="372">
        <f t="shared" si="97"/>
        <v>0</v>
      </c>
      <c r="AM314" s="372">
        <f>+CONVERT(AK314+Tabla1[[#This Row],[Con. DO Storage Gen. '[m3']]],"m^3","gal")</f>
        <v>0</v>
      </c>
      <c r="AN314" s="372">
        <f>SUM('DO Pilot'!B314:Y314)</f>
        <v>0</v>
      </c>
      <c r="AO314" s="372">
        <f t="shared" si="98"/>
        <v>0</v>
      </c>
      <c r="AP314" s="372">
        <f t="shared" si="99"/>
        <v>0</v>
      </c>
      <c r="AQ314" s="372">
        <f t="shared" si="100"/>
        <v>0</v>
      </c>
      <c r="AR314" s="443"/>
      <c r="AS314" s="443"/>
      <c r="AT314" s="267">
        <f>+CONVERT(SUM(Tabla1[[#This Row],[Repo. DO Storage '[gal']]:[Repo. DO Pilot '[gal']]]),"gal","m3")</f>
        <v>0</v>
      </c>
      <c r="AU314" s="442">
        <v>0</v>
      </c>
      <c r="AV314" s="372">
        <f t="shared" si="101"/>
        <v>0</v>
      </c>
      <c r="AW314" s="442">
        <v>0</v>
      </c>
      <c r="AX314" s="372">
        <f t="shared" si="102"/>
        <v>0</v>
      </c>
      <c r="AY314" s="372">
        <f t="shared" si="82"/>
        <v>0</v>
      </c>
      <c r="AZ314" s="372">
        <f>IFERROR(AL314/'Ar-Pa'!AX314,0)</f>
        <v>0</v>
      </c>
      <c r="BA314" s="372">
        <f>IFERROR(AL314/'Ar-Pa'!AY314,0)</f>
        <v>0</v>
      </c>
      <c r="BB314" s="372">
        <f t="shared" si="83"/>
        <v>0</v>
      </c>
      <c r="BC314" s="372">
        <f>IFERROR(AVERAGEIF('DO Pilot'!AX314:BU314,"&gt;0"),0)</f>
        <v>0</v>
      </c>
      <c r="BD314" s="446"/>
      <c r="BE314" s="446"/>
      <c r="BF314" s="446"/>
      <c r="BG314" s="223">
        <f>Tabla1[[#This Row],[ Re. Gas GC
 '[m3']]]</f>
        <v>0</v>
      </c>
      <c r="BH314" s="150">
        <f>IFERROR((BG314*Gas!$B$4)/28.31685,0)</f>
        <v>0</v>
      </c>
      <c r="BI314" s="73">
        <f t="shared" si="103"/>
        <v>0</v>
      </c>
      <c r="BJ314" s="74">
        <f t="shared" si="87"/>
        <v>0</v>
      </c>
      <c r="BK314" s="223">
        <f t="shared" si="84"/>
        <v>0</v>
      </c>
      <c r="BL314" s="442">
        <v>9075.19</v>
      </c>
      <c r="BM314" s="70">
        <f t="shared" si="85"/>
        <v>0</v>
      </c>
      <c r="BN314" s="70">
        <f t="shared" si="88"/>
        <v>0</v>
      </c>
      <c r="BO314" s="373">
        <f>IFERROR(Tabla1[[#This Row],[ Re. Gas GC
 '[m3']]]/Tabla1[[#This Row],[G. HGS 
Con Gas '[kWh']]],0)</f>
        <v>0</v>
      </c>
      <c r="BP314" s="374">
        <f>Tank!Y315</f>
        <v>0</v>
      </c>
      <c r="BQ314" s="70">
        <f>Tank!AP315</f>
        <v>0</v>
      </c>
      <c r="BR314" s="70">
        <f>Tank!V315</f>
        <v>0</v>
      </c>
      <c r="BS314" s="372">
        <f>Tank!T315</f>
        <v>0</v>
      </c>
      <c r="BT314" s="375" t="s">
        <v>228</v>
      </c>
      <c r="BU314" s="452"/>
      <c r="BV314" s="376">
        <f>IF(Tabla1[[#This Row],[Combustible ofertado]]="GAS",Tabla1[[#This Row],[Disponibilidad]],0)</f>
        <v>0</v>
      </c>
      <c r="BW314" s="376">
        <f>IF(Tabla1[[#This Row],[Combustible ofertado]]="DIESEL",Tabla1[[#This Row],[Disponibilidad]],0)</f>
        <v>0</v>
      </c>
      <c r="BX314" s="376">
        <f>IF(Tabla1[[#This Row],[Combustible ofertado]]="HFO",Tabla1[[#This Row],[Disponibilidad]],0)</f>
        <v>0</v>
      </c>
      <c r="BY314" s="452"/>
      <c r="BZ314" s="446">
        <f>'Horo. M'!C315</f>
        <v>0</v>
      </c>
      <c r="CA314" s="446">
        <f>'Horo. M'!E315</f>
        <v>0</v>
      </c>
      <c r="CB314" s="446">
        <f>'Horo. M'!G315</f>
        <v>0</v>
      </c>
      <c r="CC314" s="446">
        <f>'Horo. M'!I315</f>
        <v>0</v>
      </c>
      <c r="CD314" s="446">
        <f>'Horo. M'!K315</f>
        <v>0</v>
      </c>
      <c r="CE314" s="446">
        <f>'Horo. M'!M315</f>
        <v>0</v>
      </c>
      <c r="CF314" s="446">
        <f>'Horo. M'!O315</f>
        <v>0</v>
      </c>
      <c r="CG314" s="446">
        <f>'Horo. M'!Q315</f>
        <v>0</v>
      </c>
      <c r="CH314" s="446">
        <f>'Horo. M'!S315</f>
        <v>0</v>
      </c>
      <c r="CI314" s="446">
        <f>'Horo. M'!U315</f>
        <v>0</v>
      </c>
      <c r="CJ314" s="70">
        <f>Tabla1[[#This Row],[Con. DO Storage '[gal']]]-Tabla1[[#This Row],[C. DO Storage Ge '[gal']]]</f>
        <v>0</v>
      </c>
      <c r="CK314" s="70"/>
      <c r="CL314" s="70"/>
      <c r="CM314" s="70">
        <f>Tabla1[[#This Row],[Con. DO Total '[gal']]]*131485.5/(1000000)</f>
        <v>0</v>
      </c>
      <c r="CU314" s="10">
        <v>583.44939999999997</v>
      </c>
    </row>
    <row r="315" spans="1:99" ht="15" customHeight="1">
      <c r="A315" s="362">
        <v>45240</v>
      </c>
      <c r="B315" s="363" t="str">
        <f>TEXT(Tabla1[[#This Row],[Fecha]],"mmmm")</f>
        <v>noviembre</v>
      </c>
      <c r="C315" s="364"/>
      <c r="D315" s="366"/>
      <c r="E315" s="366"/>
      <c r="F315" s="366"/>
      <c r="G315" s="377"/>
      <c r="H315" s="377"/>
      <c r="I315" s="378"/>
      <c r="J315" s="378"/>
      <c r="K315" s="366"/>
      <c r="L315" s="366"/>
      <c r="M315" s="365">
        <f>Tabla1[[#This Row],[Columna1]]-Tabla1[[#This Row],[PO '[h']]]</f>
        <v>0</v>
      </c>
      <c r="N315" s="366">
        <f t="shared" si="104"/>
        <v>0</v>
      </c>
      <c r="O315" s="365"/>
      <c r="P315" s="367">
        <f>Tabla1[[#This Row],[G. HGS 
'[MWh']]]</f>
        <v>0</v>
      </c>
      <c r="Q315" s="430">
        <v>0</v>
      </c>
      <c r="R315" s="367">
        <v>0</v>
      </c>
      <c r="S315" s="367">
        <f>Tabla1[[#This Row],[G. HGS 
Con Gas]]*1000</f>
        <v>0</v>
      </c>
      <c r="T315" s="365">
        <f>Tabla1[[#This Row],[G. HGS 
'[MWh']]]*1000</f>
        <v>0</v>
      </c>
      <c r="U315" s="368">
        <f>SUM('G. Un GE'!B315:Y315)</f>
        <v>0</v>
      </c>
      <c r="V315" s="369">
        <f>Tabla1[[#This Row],[R. GE
'[MWh']]]</f>
        <v>0</v>
      </c>
      <c r="W315" s="434">
        <v>0</v>
      </c>
      <c r="X315" s="369">
        <v>0</v>
      </c>
      <c r="Y315" s="365">
        <f>Tabla1[[#This Row],[R. GE
'[MWh']]]*1000</f>
        <v>0</v>
      </c>
      <c r="Z315" s="371"/>
      <c r="AA31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5" s="371">
        <f>IF(Tabla1[[#This Row],[G. HGS 
'[MWh']]]=0,0,Tabla1[[#This Row],[G. HGS 
'[MWh']]]+Tabla1[[#This Row],[Con. Aux. '[MWh']2]])</f>
        <v>0</v>
      </c>
      <c r="AC315" s="368">
        <f>'C. ENER. TN'!F315</f>
        <v>0</v>
      </c>
      <c r="AD315" s="370">
        <f>'C. ENER. TN'!G315</f>
        <v>0</v>
      </c>
      <c r="AE315" s="370">
        <f>'G. Un GE'!AX315</f>
        <v>0</v>
      </c>
      <c r="AF315" s="368">
        <f>IFERROR('G. Un GE'!AX315/Tabla1[[#This Row],[PO '[h']]],0)</f>
        <v>0</v>
      </c>
      <c r="AG315" s="365">
        <f>'Ar-Pa'!AX315</f>
        <v>0</v>
      </c>
      <c r="AH315" s="365">
        <f>'Ar-Pa'!AY315</f>
        <v>0</v>
      </c>
      <c r="AI315" s="366">
        <f>SUM('Cal. Arr'!AB318:AY318)</f>
        <v>0</v>
      </c>
      <c r="AJ315" s="442"/>
      <c r="AK315" s="443"/>
      <c r="AL315" s="372">
        <f t="shared" si="97"/>
        <v>0</v>
      </c>
      <c r="AM315" s="372">
        <f>+CONVERT(AK315+Tabla1[[#This Row],[Con. DO Storage Gen. '[m3']]],"m^3","gal")</f>
        <v>0</v>
      </c>
      <c r="AN315" s="372">
        <f>SUM('DO Pilot'!B315:Y315)</f>
        <v>0</v>
      </c>
      <c r="AO315" s="372">
        <f t="shared" si="98"/>
        <v>0</v>
      </c>
      <c r="AP315" s="372">
        <f t="shared" si="99"/>
        <v>0</v>
      </c>
      <c r="AQ315" s="372">
        <f t="shared" si="100"/>
        <v>0</v>
      </c>
      <c r="AR315" s="443"/>
      <c r="AS315" s="443"/>
      <c r="AT315" s="267">
        <f>+CONVERT(SUM(Tabla1[[#This Row],[Repo. DO Storage '[gal']]:[Repo. DO Pilot '[gal']]]),"gal","m3")</f>
        <v>0</v>
      </c>
      <c r="AU315" s="442">
        <v>0</v>
      </c>
      <c r="AV315" s="372">
        <f t="shared" si="101"/>
        <v>0</v>
      </c>
      <c r="AW315" s="442">
        <v>0</v>
      </c>
      <c r="AX315" s="372">
        <f t="shared" si="102"/>
        <v>0</v>
      </c>
      <c r="AY315" s="372">
        <f t="shared" si="82"/>
        <v>0</v>
      </c>
      <c r="AZ315" s="372">
        <f>IFERROR(AL315/'Ar-Pa'!AX315,0)</f>
        <v>0</v>
      </c>
      <c r="BA315" s="372">
        <f>IFERROR(AL315/'Ar-Pa'!AY315,0)</f>
        <v>0</v>
      </c>
      <c r="BB315" s="372">
        <f t="shared" si="83"/>
        <v>0</v>
      </c>
      <c r="BC315" s="372">
        <f>IFERROR(AVERAGEIF('DO Pilot'!AX315:BU315,"&gt;0"),0)</f>
        <v>0</v>
      </c>
      <c r="BD315" s="446"/>
      <c r="BE315" s="446"/>
      <c r="BF315" s="446"/>
      <c r="BG315" s="223">
        <f>Tabla1[[#This Row],[ Re. Gas GC
 '[m3']]]</f>
        <v>0</v>
      </c>
      <c r="BH315" s="150">
        <f>IFERROR((BG315*Gas!$B$4)/28.31685,0)</f>
        <v>0</v>
      </c>
      <c r="BI315" s="73">
        <f t="shared" si="103"/>
        <v>0</v>
      </c>
      <c r="BJ315" s="74">
        <f t="shared" si="87"/>
        <v>0</v>
      </c>
      <c r="BK315" s="223">
        <f t="shared" si="84"/>
        <v>0</v>
      </c>
      <c r="BL315" s="442">
        <v>9142.26</v>
      </c>
      <c r="BM315" s="70">
        <f t="shared" si="85"/>
        <v>0</v>
      </c>
      <c r="BN315" s="70">
        <f t="shared" si="88"/>
        <v>0</v>
      </c>
      <c r="BO315" s="373">
        <f>IFERROR(Tabla1[[#This Row],[ Re. Gas GC
 '[m3']]]/Tabla1[[#This Row],[G. HGS 
Con Gas '[kWh']]],0)</f>
        <v>0</v>
      </c>
      <c r="BP315" s="374">
        <f>Tank!Y316</f>
        <v>0</v>
      </c>
      <c r="BQ315" s="70">
        <f>Tank!AP316</f>
        <v>0</v>
      </c>
      <c r="BR315" s="70">
        <f>Tank!V316</f>
        <v>0</v>
      </c>
      <c r="BS315" s="372">
        <f>Tank!T316</f>
        <v>0</v>
      </c>
      <c r="BT315" s="375" t="s">
        <v>228</v>
      </c>
      <c r="BU315" s="452"/>
      <c r="BV315" s="376">
        <f>IF(Tabla1[[#This Row],[Combustible ofertado]]="GAS",Tabla1[[#This Row],[Disponibilidad]],0)</f>
        <v>0</v>
      </c>
      <c r="BW315" s="376">
        <f>IF(Tabla1[[#This Row],[Combustible ofertado]]="DIESEL",Tabla1[[#This Row],[Disponibilidad]],0)</f>
        <v>0</v>
      </c>
      <c r="BX315" s="376">
        <f>IF(Tabla1[[#This Row],[Combustible ofertado]]="HFO",Tabla1[[#This Row],[Disponibilidad]],0)</f>
        <v>0</v>
      </c>
      <c r="BY315" s="452"/>
      <c r="BZ315" s="446">
        <f>'Horo. M'!C316</f>
        <v>0</v>
      </c>
      <c r="CA315" s="446">
        <f>'Horo. M'!E316</f>
        <v>0</v>
      </c>
      <c r="CB315" s="446">
        <f>'Horo. M'!G316</f>
        <v>0</v>
      </c>
      <c r="CC315" s="446">
        <f>'Horo. M'!I316</f>
        <v>0</v>
      </c>
      <c r="CD315" s="446">
        <f>'Horo. M'!K316</f>
        <v>0</v>
      </c>
      <c r="CE315" s="446">
        <f>'Horo. M'!M316</f>
        <v>0</v>
      </c>
      <c r="CF315" s="446">
        <f>'Horo. M'!O316</f>
        <v>0</v>
      </c>
      <c r="CG315" s="446">
        <f>'Horo. M'!Q316</f>
        <v>0</v>
      </c>
      <c r="CH315" s="446">
        <f>'Horo. M'!S316</f>
        <v>0</v>
      </c>
      <c r="CI315" s="446">
        <f>'Horo. M'!U316</f>
        <v>0</v>
      </c>
      <c r="CJ315" s="70">
        <f>Tabla1[[#This Row],[Con. DO Storage '[gal']]]-Tabla1[[#This Row],[C. DO Storage Ge '[gal']]]</f>
        <v>0</v>
      </c>
      <c r="CK315" s="70"/>
      <c r="CL315" s="70"/>
      <c r="CM315" s="70">
        <f>Tabla1[[#This Row],[Con. DO Total '[gal']]]*131485.5/(1000000)</f>
        <v>0</v>
      </c>
      <c r="CU315" s="10">
        <v>599.66640000000007</v>
      </c>
    </row>
    <row r="316" spans="1:99" ht="15" customHeight="1">
      <c r="A316" s="362">
        <v>45241</v>
      </c>
      <c r="B316" s="363" t="str">
        <f>TEXT(Tabla1[[#This Row],[Fecha]],"mmmm")</f>
        <v>noviembre</v>
      </c>
      <c r="C316" s="364"/>
      <c r="D316" s="366"/>
      <c r="E316" s="366"/>
      <c r="F316" s="366"/>
      <c r="G316" s="377"/>
      <c r="H316" s="377"/>
      <c r="I316" s="378"/>
      <c r="J316" s="378"/>
      <c r="K316" s="366"/>
      <c r="L316" s="366"/>
      <c r="M316" s="365">
        <f>Tabla1[[#This Row],[Columna1]]-Tabla1[[#This Row],[PO '[h']]]</f>
        <v>0</v>
      </c>
      <c r="N316" s="366">
        <f t="shared" si="104"/>
        <v>0</v>
      </c>
      <c r="O316" s="365"/>
      <c r="P316" s="367">
        <f>Tabla1[[#This Row],[G. HGS 
'[MWh']]]</f>
        <v>0</v>
      </c>
      <c r="Q316" s="430">
        <v>0</v>
      </c>
      <c r="R316" s="367">
        <v>0</v>
      </c>
      <c r="S316" s="367">
        <f>Tabla1[[#This Row],[G. HGS 
Con Gas]]*1000</f>
        <v>0</v>
      </c>
      <c r="T316" s="365">
        <f>Tabla1[[#This Row],[G. HGS 
'[MWh']]]*1000</f>
        <v>0</v>
      </c>
      <c r="U316" s="368">
        <f>SUM('G. Un GE'!B316:Y316)</f>
        <v>0</v>
      </c>
      <c r="V316" s="369">
        <f>Tabla1[[#This Row],[R. GE
'[MWh']]]</f>
        <v>0</v>
      </c>
      <c r="W316" s="434">
        <v>0</v>
      </c>
      <c r="X316" s="369">
        <v>0</v>
      </c>
      <c r="Y316" s="365">
        <f>Tabla1[[#This Row],[R. GE
'[MWh']]]*1000</f>
        <v>0</v>
      </c>
      <c r="Z316" s="371"/>
      <c r="AA31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6" s="371">
        <f>IF(Tabla1[[#This Row],[G. HGS 
'[MWh']]]=0,0,Tabla1[[#This Row],[G. HGS 
'[MWh']]]+Tabla1[[#This Row],[Con. Aux. '[MWh']2]])</f>
        <v>0</v>
      </c>
      <c r="AC316" s="368">
        <f>'C. ENER. TN'!F316</f>
        <v>0</v>
      </c>
      <c r="AD316" s="370">
        <f>'C. ENER. TN'!G316</f>
        <v>0</v>
      </c>
      <c r="AE316" s="370">
        <f>'G. Un GE'!AX316</f>
        <v>0</v>
      </c>
      <c r="AF316" s="368">
        <f>IFERROR('G. Un GE'!AX316/Tabla1[[#This Row],[PO '[h']]],0)</f>
        <v>0</v>
      </c>
      <c r="AG316" s="365">
        <f>'Ar-Pa'!AX316</f>
        <v>0</v>
      </c>
      <c r="AH316" s="365">
        <f>'Ar-Pa'!AY316</f>
        <v>0</v>
      </c>
      <c r="AI316" s="366">
        <f>SUM('Cal. Arr'!AB319:AY319)</f>
        <v>0</v>
      </c>
      <c r="AJ316" s="442"/>
      <c r="AK316" s="443"/>
      <c r="AL316" s="372">
        <f t="shared" si="97"/>
        <v>0</v>
      </c>
      <c r="AM316" s="372">
        <f>+CONVERT(AK316+Tabla1[[#This Row],[Con. DO Storage Gen. '[m3']]],"m^3","gal")</f>
        <v>0</v>
      </c>
      <c r="AN316" s="372">
        <f>SUM('DO Pilot'!B316:Y316)</f>
        <v>0</v>
      </c>
      <c r="AO316" s="372">
        <f t="shared" si="98"/>
        <v>0</v>
      </c>
      <c r="AP316" s="372">
        <f t="shared" si="99"/>
        <v>0</v>
      </c>
      <c r="AQ316" s="372">
        <f t="shared" si="100"/>
        <v>0</v>
      </c>
      <c r="AR316" s="443"/>
      <c r="AS316" s="443"/>
      <c r="AT316" s="267">
        <f>+CONVERT(SUM(Tabla1[[#This Row],[Repo. DO Storage '[gal']]:[Repo. DO Pilot '[gal']]]),"gal","m3")</f>
        <v>0</v>
      </c>
      <c r="AU316" s="442">
        <v>0</v>
      </c>
      <c r="AV316" s="372">
        <f t="shared" si="101"/>
        <v>0</v>
      </c>
      <c r="AW316" s="442">
        <v>0</v>
      </c>
      <c r="AX316" s="372">
        <f t="shared" si="102"/>
        <v>0</v>
      </c>
      <c r="AY316" s="372">
        <f t="shared" si="82"/>
        <v>0</v>
      </c>
      <c r="AZ316" s="372">
        <f>IFERROR(AL316/'Ar-Pa'!AX316,0)</f>
        <v>0</v>
      </c>
      <c r="BA316" s="372">
        <f>IFERROR(AL316/'Ar-Pa'!AY316,0)</f>
        <v>0</v>
      </c>
      <c r="BB316" s="372">
        <f t="shared" si="83"/>
        <v>0</v>
      </c>
      <c r="BC316" s="372">
        <f>IFERROR(AVERAGEIF('DO Pilot'!AX316:BU316,"&gt;0"),0)</f>
        <v>0</v>
      </c>
      <c r="BD316" s="446"/>
      <c r="BE316" s="446"/>
      <c r="BF316" s="446"/>
      <c r="BG316" s="223">
        <f>Tabla1[[#This Row],[ Re. Gas GC
 '[m3']]]</f>
        <v>0</v>
      </c>
      <c r="BH316" s="150">
        <f>IFERROR((BG316*Gas!$B$4)/28.31685,0)</f>
        <v>0</v>
      </c>
      <c r="BI316" s="73">
        <f t="shared" si="103"/>
        <v>0</v>
      </c>
      <c r="BJ316" s="74">
        <f t="shared" si="87"/>
        <v>0</v>
      </c>
      <c r="BK316" s="223">
        <f t="shared" si="84"/>
        <v>0</v>
      </c>
      <c r="BL316" s="442">
        <v>9065.93</v>
      </c>
      <c r="BM316" s="70">
        <f t="shared" si="85"/>
        <v>0</v>
      </c>
      <c r="BN316" s="70">
        <f t="shared" si="88"/>
        <v>0</v>
      </c>
      <c r="BO316" s="373">
        <f>IFERROR(Tabla1[[#This Row],[ Re. Gas GC
 '[m3']]]/Tabla1[[#This Row],[G. HGS 
Con Gas '[kWh']]],0)</f>
        <v>0</v>
      </c>
      <c r="BP316" s="374">
        <f>Tank!Y317</f>
        <v>0</v>
      </c>
      <c r="BQ316" s="70">
        <f>Tank!AP317</f>
        <v>0</v>
      </c>
      <c r="BR316" s="70">
        <f>Tank!V317</f>
        <v>0</v>
      </c>
      <c r="BS316" s="372">
        <f>Tank!T317</f>
        <v>0</v>
      </c>
      <c r="BT316" s="375" t="s">
        <v>228</v>
      </c>
      <c r="BU316" s="452"/>
      <c r="BV316" s="376">
        <f>IF(Tabla1[[#This Row],[Combustible ofertado]]="GAS",Tabla1[[#This Row],[Disponibilidad]],0)</f>
        <v>0</v>
      </c>
      <c r="BW316" s="376">
        <f>IF(Tabla1[[#This Row],[Combustible ofertado]]="DIESEL",Tabla1[[#This Row],[Disponibilidad]],0)</f>
        <v>0</v>
      </c>
      <c r="BX316" s="376">
        <f>IF(Tabla1[[#This Row],[Combustible ofertado]]="HFO",Tabla1[[#This Row],[Disponibilidad]],0)</f>
        <v>0</v>
      </c>
      <c r="BY316" s="452"/>
      <c r="BZ316" s="446">
        <f>'Horo. M'!C317</f>
        <v>0</v>
      </c>
      <c r="CA316" s="446">
        <f>'Horo. M'!E317</f>
        <v>0</v>
      </c>
      <c r="CB316" s="446">
        <f>'Horo. M'!G317</f>
        <v>0</v>
      </c>
      <c r="CC316" s="446">
        <f>'Horo. M'!I317</f>
        <v>0</v>
      </c>
      <c r="CD316" s="446">
        <f>'Horo. M'!K317</f>
        <v>0</v>
      </c>
      <c r="CE316" s="446">
        <f>'Horo. M'!M317</f>
        <v>0</v>
      </c>
      <c r="CF316" s="446">
        <f>'Horo. M'!O317</f>
        <v>0</v>
      </c>
      <c r="CG316" s="446">
        <f>'Horo. M'!Q317</f>
        <v>0</v>
      </c>
      <c r="CH316" s="446">
        <f>'Horo. M'!S317</f>
        <v>0</v>
      </c>
      <c r="CI316" s="446">
        <f>'Horo. M'!U317</f>
        <v>0</v>
      </c>
      <c r="CJ316" s="70">
        <f>Tabla1[[#This Row],[Con. DO Storage '[gal']]]-Tabla1[[#This Row],[C. DO Storage Ge '[gal']]]</f>
        <v>0</v>
      </c>
      <c r="CK316" s="70"/>
      <c r="CL316" s="70"/>
      <c r="CM316" s="70">
        <f>Tabla1[[#This Row],[Con. DO Total '[gal']]]*131485.5/(1000000)</f>
        <v>0</v>
      </c>
      <c r="CU316" s="10">
        <v>835.73270000000002</v>
      </c>
    </row>
    <row r="317" spans="1:99" ht="15" customHeight="1">
      <c r="A317" s="362">
        <v>45242</v>
      </c>
      <c r="B317" s="363" t="str">
        <f>TEXT(Tabla1[[#This Row],[Fecha]],"mmmm")</f>
        <v>noviembre</v>
      </c>
      <c r="C317" s="364"/>
      <c r="D317" s="366"/>
      <c r="E317" s="366"/>
      <c r="F317" s="366"/>
      <c r="G317" s="377"/>
      <c r="H317" s="377"/>
      <c r="I317" s="378"/>
      <c r="J317" s="378"/>
      <c r="K317" s="366"/>
      <c r="L317" s="366"/>
      <c r="M317" s="365">
        <f>Tabla1[[#This Row],[Columna1]]-Tabla1[[#This Row],[PO '[h']]]</f>
        <v>0</v>
      </c>
      <c r="N317" s="366">
        <f t="shared" si="104"/>
        <v>0</v>
      </c>
      <c r="O317" s="365"/>
      <c r="P317" s="367">
        <f>Tabla1[[#This Row],[G. HGS 
'[MWh']]]</f>
        <v>0</v>
      </c>
      <c r="Q317" s="430">
        <v>0</v>
      </c>
      <c r="R317" s="367">
        <v>0</v>
      </c>
      <c r="S317" s="367">
        <f>Tabla1[[#This Row],[G. HGS 
Con Gas]]*1000</f>
        <v>0</v>
      </c>
      <c r="T317" s="365">
        <f>Tabla1[[#This Row],[G. HGS 
'[MWh']]]*1000</f>
        <v>0</v>
      </c>
      <c r="U317" s="368">
        <f>SUM('G. Un GE'!B317:Y317)</f>
        <v>0</v>
      </c>
      <c r="V317" s="369">
        <f>Tabla1[[#This Row],[R. GE
'[MWh']]]</f>
        <v>0</v>
      </c>
      <c r="W317" s="434">
        <v>0</v>
      </c>
      <c r="X317" s="369">
        <v>0</v>
      </c>
      <c r="Y317" s="365">
        <f>Tabla1[[#This Row],[R. GE
'[MWh']]]*1000</f>
        <v>0</v>
      </c>
      <c r="Z317" s="371"/>
      <c r="AA31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7" s="371">
        <f>IF(Tabla1[[#This Row],[G. HGS 
'[MWh']]]=0,0,Tabla1[[#This Row],[G. HGS 
'[MWh']]]+Tabla1[[#This Row],[Con. Aux. '[MWh']2]])</f>
        <v>0</v>
      </c>
      <c r="AC317" s="368">
        <f>'C. ENER. TN'!F317</f>
        <v>0</v>
      </c>
      <c r="AD317" s="370">
        <f>'C. ENER. TN'!G317</f>
        <v>0</v>
      </c>
      <c r="AE317" s="370">
        <f>'G. Un GE'!AX317</f>
        <v>0</v>
      </c>
      <c r="AF317" s="368">
        <f>IFERROR('G. Un GE'!AX317/Tabla1[[#This Row],[PO '[h']]],0)</f>
        <v>0</v>
      </c>
      <c r="AG317" s="365">
        <f>'Ar-Pa'!AX317</f>
        <v>0</v>
      </c>
      <c r="AH317" s="365">
        <f>'Ar-Pa'!AY317</f>
        <v>0</v>
      </c>
      <c r="AI317" s="366">
        <f>SUM('Cal. Arr'!AB320:AY320)</f>
        <v>0</v>
      </c>
      <c r="AJ317" s="442"/>
      <c r="AK317" s="443"/>
      <c r="AL317" s="372">
        <f t="shared" si="97"/>
        <v>0</v>
      </c>
      <c r="AM317" s="372">
        <f>+CONVERT(AK317+Tabla1[[#This Row],[Con. DO Storage Gen. '[m3']]],"m^3","gal")</f>
        <v>0</v>
      </c>
      <c r="AN317" s="372">
        <f>SUM('DO Pilot'!B317:Y317)</f>
        <v>0</v>
      </c>
      <c r="AO317" s="372">
        <f t="shared" si="98"/>
        <v>0</v>
      </c>
      <c r="AP317" s="372">
        <f t="shared" si="99"/>
        <v>0</v>
      </c>
      <c r="AQ317" s="372">
        <f t="shared" si="100"/>
        <v>0</v>
      </c>
      <c r="AR317" s="443"/>
      <c r="AS317" s="443"/>
      <c r="AT317" s="267">
        <f>+CONVERT(SUM(Tabla1[[#This Row],[Repo. DO Storage '[gal']]:[Repo. DO Pilot '[gal']]]),"gal","m3")</f>
        <v>0</v>
      </c>
      <c r="AU317" s="442">
        <v>0</v>
      </c>
      <c r="AV317" s="372">
        <f t="shared" si="101"/>
        <v>0</v>
      </c>
      <c r="AW317" s="442">
        <v>0</v>
      </c>
      <c r="AX317" s="372">
        <f t="shared" si="102"/>
        <v>0</v>
      </c>
      <c r="AY317" s="372">
        <f t="shared" si="82"/>
        <v>0</v>
      </c>
      <c r="AZ317" s="372">
        <f>IFERROR(AL317/'Ar-Pa'!AX317,0)</f>
        <v>0</v>
      </c>
      <c r="BA317" s="372">
        <f>IFERROR(AL317/'Ar-Pa'!AY317,0)</f>
        <v>0</v>
      </c>
      <c r="BB317" s="372">
        <f t="shared" si="83"/>
        <v>0</v>
      </c>
      <c r="BC317" s="372">
        <f>IFERROR(AVERAGEIF('DO Pilot'!AX317:BU317,"&gt;0"),0)</f>
        <v>0</v>
      </c>
      <c r="BD317" s="446"/>
      <c r="BE317" s="446"/>
      <c r="BF317" s="446"/>
      <c r="BG317" s="223">
        <f>Tabla1[[#This Row],[ Re. Gas GC
 '[m3']]]</f>
        <v>0</v>
      </c>
      <c r="BH317" s="150">
        <f>IFERROR((BG317*Gas!$B$4)/28.31685,0)</f>
        <v>0</v>
      </c>
      <c r="BI317" s="73">
        <f t="shared" si="103"/>
        <v>0</v>
      </c>
      <c r="BJ317" s="74">
        <f t="shared" si="87"/>
        <v>0</v>
      </c>
      <c r="BK317" s="223">
        <f t="shared" si="84"/>
        <v>0</v>
      </c>
      <c r="BL317" s="442">
        <v>8908.4699999999993</v>
      </c>
      <c r="BM317" s="70">
        <f t="shared" si="85"/>
        <v>0</v>
      </c>
      <c r="BN317" s="70">
        <f t="shared" si="88"/>
        <v>0</v>
      </c>
      <c r="BO317" s="373">
        <f>IFERROR(Tabla1[[#This Row],[ Re. Gas GC
 '[m3']]]/Tabla1[[#This Row],[G. HGS 
Con Gas '[kWh']]],0)</f>
        <v>0</v>
      </c>
      <c r="BP317" s="374">
        <f>Tank!Y318</f>
        <v>0</v>
      </c>
      <c r="BQ317" s="70">
        <f>Tank!AP318</f>
        <v>0</v>
      </c>
      <c r="BR317" s="70">
        <f>Tank!V318</f>
        <v>0</v>
      </c>
      <c r="BS317" s="372">
        <f>Tank!T318</f>
        <v>0</v>
      </c>
      <c r="BT317" s="375" t="s">
        <v>228</v>
      </c>
      <c r="BU317" s="452"/>
      <c r="BV317" s="376">
        <f>IF(Tabla1[[#This Row],[Combustible ofertado]]="GAS",Tabla1[[#This Row],[Disponibilidad]],0)</f>
        <v>0</v>
      </c>
      <c r="BW317" s="376">
        <f>IF(Tabla1[[#This Row],[Combustible ofertado]]="DIESEL",Tabla1[[#This Row],[Disponibilidad]],0)</f>
        <v>0</v>
      </c>
      <c r="BX317" s="376">
        <f>IF(Tabla1[[#This Row],[Combustible ofertado]]="HFO",Tabla1[[#This Row],[Disponibilidad]],0)</f>
        <v>0</v>
      </c>
      <c r="BY317" s="452"/>
      <c r="BZ317" s="446">
        <f>'Horo. M'!C318</f>
        <v>0</v>
      </c>
      <c r="CA317" s="446">
        <f>'Horo. M'!E318</f>
        <v>0</v>
      </c>
      <c r="CB317" s="446">
        <f>'Horo. M'!G318</f>
        <v>0</v>
      </c>
      <c r="CC317" s="446">
        <f>'Horo. M'!I318</f>
        <v>0</v>
      </c>
      <c r="CD317" s="446">
        <f>'Horo. M'!K318</f>
        <v>0</v>
      </c>
      <c r="CE317" s="446">
        <f>'Horo. M'!M318</f>
        <v>0</v>
      </c>
      <c r="CF317" s="446">
        <f>'Horo. M'!O318</f>
        <v>0</v>
      </c>
      <c r="CG317" s="446">
        <f>'Horo. M'!Q318</f>
        <v>0</v>
      </c>
      <c r="CH317" s="446">
        <f>'Horo. M'!S318</f>
        <v>0</v>
      </c>
      <c r="CI317" s="446">
        <f>'Horo. M'!U318</f>
        <v>0</v>
      </c>
      <c r="CJ317" s="70">
        <f>Tabla1[[#This Row],[Con. DO Storage '[gal']]]-Tabla1[[#This Row],[C. DO Storage Ge '[gal']]]</f>
        <v>0</v>
      </c>
      <c r="CK317" s="70"/>
      <c r="CL317" s="70"/>
      <c r="CM317" s="70">
        <f>Tabla1[[#This Row],[Con. DO Total '[gal']]]*131485.5/(1000000)</f>
        <v>0</v>
      </c>
      <c r="CU317" s="10">
        <v>558.42919999999992</v>
      </c>
    </row>
    <row r="318" spans="1:99" ht="15" customHeight="1">
      <c r="A318" s="362">
        <v>45243</v>
      </c>
      <c r="B318" s="363" t="str">
        <f>TEXT(Tabla1[[#This Row],[Fecha]],"mmmm")</f>
        <v>noviembre</v>
      </c>
      <c r="C318" s="364"/>
      <c r="D318" s="366"/>
      <c r="E318" s="366"/>
      <c r="F318" s="366"/>
      <c r="G318" s="377"/>
      <c r="H318" s="377"/>
      <c r="I318" s="378"/>
      <c r="J318" s="378"/>
      <c r="K318" s="366"/>
      <c r="L318" s="366"/>
      <c r="M318" s="365">
        <f>Tabla1[[#This Row],[Columna1]]-Tabla1[[#This Row],[PO '[h']]]</f>
        <v>0</v>
      </c>
      <c r="N318" s="366">
        <f t="shared" si="104"/>
        <v>0</v>
      </c>
      <c r="O318" s="365"/>
      <c r="P318" s="367">
        <f>Tabla1[[#This Row],[G. HGS 
'[MWh']]]</f>
        <v>0</v>
      </c>
      <c r="Q318" s="430">
        <v>0</v>
      </c>
      <c r="R318" s="367">
        <v>0</v>
      </c>
      <c r="S318" s="367">
        <f>Tabla1[[#This Row],[G. HGS 
Con Gas]]*1000</f>
        <v>0</v>
      </c>
      <c r="T318" s="365">
        <f>Tabla1[[#This Row],[G. HGS 
'[MWh']]]*1000</f>
        <v>0</v>
      </c>
      <c r="U318" s="368">
        <f>SUM('G. Un GE'!B318:Y318)</f>
        <v>0</v>
      </c>
      <c r="V318" s="369">
        <f>Tabla1[[#This Row],[R. GE
'[MWh']]]</f>
        <v>0</v>
      </c>
      <c r="W318" s="434">
        <v>0</v>
      </c>
      <c r="X318" s="369">
        <v>0</v>
      </c>
      <c r="Y318" s="365">
        <f>Tabla1[[#This Row],[R. GE
'[MWh']]]*1000</f>
        <v>0</v>
      </c>
      <c r="Z318" s="371"/>
      <c r="AA31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8" s="371">
        <f>IF(Tabla1[[#This Row],[G. HGS 
'[MWh']]]=0,0,Tabla1[[#This Row],[G. HGS 
'[MWh']]]+Tabla1[[#This Row],[Con. Aux. '[MWh']2]])</f>
        <v>0</v>
      </c>
      <c r="AC318" s="368">
        <f>'C. ENER. TN'!F318</f>
        <v>0</v>
      </c>
      <c r="AD318" s="370">
        <f>'C. ENER. TN'!G318</f>
        <v>0</v>
      </c>
      <c r="AE318" s="370">
        <f>'G. Un GE'!AX318</f>
        <v>0</v>
      </c>
      <c r="AF318" s="368">
        <f>IFERROR('G. Un GE'!AX318/Tabla1[[#This Row],[PO '[h']]],0)</f>
        <v>0</v>
      </c>
      <c r="AG318" s="365">
        <f>'Ar-Pa'!AX318</f>
        <v>0</v>
      </c>
      <c r="AH318" s="365">
        <f>'Ar-Pa'!AY318</f>
        <v>0</v>
      </c>
      <c r="AI318" s="366">
        <f>SUM('Cal. Arr'!AB321:AY321)</f>
        <v>0</v>
      </c>
      <c r="AJ318" s="442"/>
      <c r="AK318" s="443"/>
      <c r="AL318" s="372">
        <f t="shared" si="97"/>
        <v>0</v>
      </c>
      <c r="AM318" s="372">
        <f>+CONVERT(AK318+Tabla1[[#This Row],[Con. DO Storage Gen. '[m3']]],"m^3","gal")</f>
        <v>0</v>
      </c>
      <c r="AN318" s="372">
        <f>SUM('DO Pilot'!B318:Y318)</f>
        <v>0</v>
      </c>
      <c r="AO318" s="372">
        <f t="shared" si="98"/>
        <v>0</v>
      </c>
      <c r="AP318" s="372">
        <f t="shared" si="99"/>
        <v>0</v>
      </c>
      <c r="AQ318" s="372">
        <f t="shared" si="100"/>
        <v>0</v>
      </c>
      <c r="AR318" s="443"/>
      <c r="AS318" s="443"/>
      <c r="AT318" s="267">
        <f>+CONVERT(SUM(Tabla1[[#This Row],[Repo. DO Storage '[gal']]:[Repo. DO Pilot '[gal']]]),"gal","m3")</f>
        <v>0</v>
      </c>
      <c r="AU318" s="442">
        <v>0</v>
      </c>
      <c r="AV318" s="372">
        <f t="shared" si="101"/>
        <v>0</v>
      </c>
      <c r="AW318" s="442">
        <v>0</v>
      </c>
      <c r="AX318" s="372">
        <f t="shared" si="102"/>
        <v>0</v>
      </c>
      <c r="AY318" s="372">
        <f t="shared" si="82"/>
        <v>0</v>
      </c>
      <c r="AZ318" s="372">
        <f>IFERROR(AL318/'Ar-Pa'!AX318,0)</f>
        <v>0</v>
      </c>
      <c r="BA318" s="372">
        <f>IFERROR(AL318/'Ar-Pa'!AY318,0)</f>
        <v>0</v>
      </c>
      <c r="BB318" s="372">
        <f t="shared" si="83"/>
        <v>0</v>
      </c>
      <c r="BC318" s="372">
        <f>IFERROR(AVERAGEIF('DO Pilot'!AX318:BU318,"&gt;0"),0)</f>
        <v>0</v>
      </c>
      <c r="BD318" s="446"/>
      <c r="BE318" s="446"/>
      <c r="BF318" s="446"/>
      <c r="BG318" s="223">
        <f>Tabla1[[#This Row],[ Re. Gas GC
 '[m3']]]</f>
        <v>0</v>
      </c>
      <c r="BH318" s="150">
        <f>IFERROR((BG318*Gas!$B$4)/28.31685,0)</f>
        <v>0</v>
      </c>
      <c r="BI318" s="73">
        <f t="shared" si="103"/>
        <v>0</v>
      </c>
      <c r="BJ318" s="74">
        <f t="shared" si="87"/>
        <v>0</v>
      </c>
      <c r="BK318" s="223">
        <f t="shared" si="84"/>
        <v>0</v>
      </c>
      <c r="BL318" s="442">
        <v>9321.08</v>
      </c>
      <c r="BM318" s="70">
        <f t="shared" si="85"/>
        <v>0</v>
      </c>
      <c r="BN318" s="70">
        <f t="shared" si="88"/>
        <v>0</v>
      </c>
      <c r="BO318" s="373">
        <f>IFERROR(Tabla1[[#This Row],[ Re. Gas GC
 '[m3']]]/Tabla1[[#This Row],[G. HGS 
Con Gas '[kWh']]],0)</f>
        <v>0</v>
      </c>
      <c r="BP318" s="374">
        <f>Tank!Y319</f>
        <v>0</v>
      </c>
      <c r="BQ318" s="70">
        <f>Tank!AP319</f>
        <v>0</v>
      </c>
      <c r="BR318" s="70">
        <f>Tank!V319</f>
        <v>0</v>
      </c>
      <c r="BS318" s="372">
        <f>Tank!T319</f>
        <v>0</v>
      </c>
      <c r="BT318" s="375" t="s">
        <v>228</v>
      </c>
      <c r="BU318" s="452"/>
      <c r="BV318" s="376">
        <f>IF(Tabla1[[#This Row],[Combustible ofertado]]="GAS",Tabla1[[#This Row],[Disponibilidad]],0)</f>
        <v>0</v>
      </c>
      <c r="BW318" s="376">
        <f>IF(Tabla1[[#This Row],[Combustible ofertado]]="DIESEL",Tabla1[[#This Row],[Disponibilidad]],0)</f>
        <v>0</v>
      </c>
      <c r="BX318" s="376">
        <f>IF(Tabla1[[#This Row],[Combustible ofertado]]="HFO",Tabla1[[#This Row],[Disponibilidad]],0)</f>
        <v>0</v>
      </c>
      <c r="BY318" s="452"/>
      <c r="BZ318" s="446">
        <f>'Horo. M'!C319</f>
        <v>0</v>
      </c>
      <c r="CA318" s="446">
        <f>'Horo. M'!E319</f>
        <v>0</v>
      </c>
      <c r="CB318" s="446">
        <f>'Horo. M'!G319</f>
        <v>0</v>
      </c>
      <c r="CC318" s="446">
        <f>'Horo. M'!I319</f>
        <v>0</v>
      </c>
      <c r="CD318" s="446">
        <f>'Horo. M'!K319</f>
        <v>0</v>
      </c>
      <c r="CE318" s="446">
        <f>'Horo. M'!M319</f>
        <v>0</v>
      </c>
      <c r="CF318" s="446">
        <f>'Horo. M'!O319</f>
        <v>0</v>
      </c>
      <c r="CG318" s="446">
        <f>'Horo. M'!Q319</f>
        <v>0</v>
      </c>
      <c r="CH318" s="446">
        <f>'Horo. M'!S319</f>
        <v>0</v>
      </c>
      <c r="CI318" s="446">
        <f>'Horo. M'!U319</f>
        <v>0</v>
      </c>
      <c r="CJ318" s="70">
        <f>Tabla1[[#This Row],[Con. DO Storage '[gal']]]-Tabla1[[#This Row],[C. DO Storage Ge '[gal']]]</f>
        <v>0</v>
      </c>
      <c r="CK318" s="70"/>
      <c r="CL318" s="70"/>
      <c r="CM318" s="70">
        <f>Tabla1[[#This Row],[Con. DO Total '[gal']]]*131485.5/(1000000)</f>
        <v>0</v>
      </c>
      <c r="CU318" s="10">
        <v>951.21559999999999</v>
      </c>
    </row>
    <row r="319" spans="1:99" ht="15" customHeight="1">
      <c r="A319" s="362">
        <v>45244</v>
      </c>
      <c r="B319" s="363" t="str">
        <f>TEXT(Tabla1[[#This Row],[Fecha]],"mmmm")</f>
        <v>noviembre</v>
      </c>
      <c r="C319" s="364"/>
      <c r="D319" s="366"/>
      <c r="E319" s="366"/>
      <c r="F319" s="366"/>
      <c r="G319" s="377"/>
      <c r="H319" s="377"/>
      <c r="I319" s="378"/>
      <c r="J319" s="378"/>
      <c r="K319" s="366"/>
      <c r="L319" s="366"/>
      <c r="M319" s="365">
        <f>Tabla1[[#This Row],[Columna1]]-Tabla1[[#This Row],[PO '[h']]]</f>
        <v>0</v>
      </c>
      <c r="N319" s="366">
        <f t="shared" si="104"/>
        <v>0</v>
      </c>
      <c r="O319" s="365"/>
      <c r="P319" s="367">
        <f>Tabla1[[#This Row],[G. HGS 
'[MWh']]]</f>
        <v>0</v>
      </c>
      <c r="Q319" s="430">
        <v>0</v>
      </c>
      <c r="R319" s="367">
        <v>0</v>
      </c>
      <c r="S319" s="367">
        <f>Tabla1[[#This Row],[G. HGS 
Con Gas]]*1000</f>
        <v>0</v>
      </c>
      <c r="T319" s="365">
        <f>Tabla1[[#This Row],[G. HGS 
'[MWh']]]*1000</f>
        <v>0</v>
      </c>
      <c r="U319" s="368">
        <f>SUM('G. Un GE'!B319:Y319)</f>
        <v>0</v>
      </c>
      <c r="V319" s="369">
        <f>Tabla1[[#This Row],[R. GE
'[MWh']]]</f>
        <v>0</v>
      </c>
      <c r="W319" s="434">
        <v>0</v>
      </c>
      <c r="X319" s="369">
        <v>0</v>
      </c>
      <c r="Y319" s="365">
        <f>Tabla1[[#This Row],[R. GE
'[MWh']]]*1000</f>
        <v>0</v>
      </c>
      <c r="Z319" s="371"/>
      <c r="AA31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19" s="371">
        <f>IF(Tabla1[[#This Row],[G. HGS 
'[MWh']]]=0,0,Tabla1[[#This Row],[G. HGS 
'[MWh']]]+Tabla1[[#This Row],[Con. Aux. '[MWh']2]])</f>
        <v>0</v>
      </c>
      <c r="AC319" s="368">
        <f>'C. ENER. TN'!F319</f>
        <v>0</v>
      </c>
      <c r="AD319" s="370">
        <f>'C. ENER. TN'!G319</f>
        <v>0</v>
      </c>
      <c r="AE319" s="370">
        <f>'G. Un GE'!AX319</f>
        <v>0</v>
      </c>
      <c r="AF319" s="368">
        <f>IFERROR('G. Un GE'!AX319/Tabla1[[#This Row],[PO '[h']]],0)</f>
        <v>0</v>
      </c>
      <c r="AG319" s="365">
        <f>'Ar-Pa'!AX319</f>
        <v>0</v>
      </c>
      <c r="AH319" s="365">
        <f>'Ar-Pa'!AY319</f>
        <v>0</v>
      </c>
      <c r="AI319" s="366">
        <f>SUM('Cal. Arr'!AB322:AY322)</f>
        <v>0</v>
      </c>
      <c r="AJ319" s="442"/>
      <c r="AK319" s="443"/>
      <c r="AL319" s="372">
        <f t="shared" si="97"/>
        <v>0</v>
      </c>
      <c r="AM319" s="372">
        <f>+CONVERT(AK319+Tabla1[[#This Row],[Con. DO Storage Gen. '[m3']]],"m^3","gal")</f>
        <v>0</v>
      </c>
      <c r="AN319" s="372">
        <f>SUM('DO Pilot'!B319:Y319)</f>
        <v>0</v>
      </c>
      <c r="AO319" s="372">
        <f t="shared" si="98"/>
        <v>0</v>
      </c>
      <c r="AP319" s="372">
        <f t="shared" si="99"/>
        <v>0</v>
      </c>
      <c r="AQ319" s="372">
        <f t="shared" si="100"/>
        <v>0</v>
      </c>
      <c r="AR319" s="443"/>
      <c r="AS319" s="443"/>
      <c r="AT319" s="267">
        <f>+CONVERT(SUM(Tabla1[[#This Row],[Repo. DO Storage '[gal']]:[Repo. DO Pilot '[gal']]]),"gal","m3")</f>
        <v>0</v>
      </c>
      <c r="AU319" s="442">
        <v>0</v>
      </c>
      <c r="AV319" s="372">
        <f t="shared" si="101"/>
        <v>0</v>
      </c>
      <c r="AW319" s="442">
        <v>0</v>
      </c>
      <c r="AX319" s="372">
        <f t="shared" si="102"/>
        <v>0</v>
      </c>
      <c r="AY319" s="372">
        <f t="shared" si="82"/>
        <v>0</v>
      </c>
      <c r="AZ319" s="372">
        <f>IFERROR(AL319/'Ar-Pa'!AX319,0)</f>
        <v>0</v>
      </c>
      <c r="BA319" s="372">
        <f>IFERROR(AL319/'Ar-Pa'!AY319,0)</f>
        <v>0</v>
      </c>
      <c r="BB319" s="372">
        <f t="shared" si="83"/>
        <v>0</v>
      </c>
      <c r="BC319" s="372">
        <f>IFERROR(AVERAGEIF('DO Pilot'!AX319:BU319,"&gt;0"),0)</f>
        <v>0</v>
      </c>
      <c r="BD319" s="446"/>
      <c r="BE319" s="446"/>
      <c r="BF319" s="446"/>
      <c r="BG319" s="223">
        <f>Tabla1[[#This Row],[ Re. Gas GC
 '[m3']]]</f>
        <v>0</v>
      </c>
      <c r="BH319" s="150">
        <f>IFERROR((BG319*Gas!$B$4)/28.31685,0)</f>
        <v>0</v>
      </c>
      <c r="BI319" s="73">
        <f t="shared" si="103"/>
        <v>0</v>
      </c>
      <c r="BJ319" s="74">
        <f t="shared" si="87"/>
        <v>0</v>
      </c>
      <c r="BK319" s="223">
        <f t="shared" si="84"/>
        <v>0</v>
      </c>
      <c r="BL319" s="442">
        <v>8998.68</v>
      </c>
      <c r="BM319" s="70">
        <f t="shared" si="85"/>
        <v>0</v>
      </c>
      <c r="BN319" s="70">
        <f t="shared" si="88"/>
        <v>0</v>
      </c>
      <c r="BO319" s="373">
        <f>IFERROR(Tabla1[[#This Row],[ Re. Gas GC
 '[m3']]]/Tabla1[[#This Row],[G. HGS 
Con Gas '[kWh']]],0)</f>
        <v>0</v>
      </c>
      <c r="BP319" s="374">
        <f>Tank!Y320</f>
        <v>0</v>
      </c>
      <c r="BQ319" s="70">
        <f>Tank!AP320</f>
        <v>0</v>
      </c>
      <c r="BR319" s="70">
        <f>Tank!V320</f>
        <v>0</v>
      </c>
      <c r="BS319" s="372">
        <f>Tank!T320</f>
        <v>0</v>
      </c>
      <c r="BT319" s="375" t="s">
        <v>228</v>
      </c>
      <c r="BU319" s="452"/>
      <c r="BV319" s="376">
        <f>IF(Tabla1[[#This Row],[Combustible ofertado]]="GAS",Tabla1[[#This Row],[Disponibilidad]],0)</f>
        <v>0</v>
      </c>
      <c r="BW319" s="376">
        <f>IF(Tabla1[[#This Row],[Combustible ofertado]]="DIESEL",Tabla1[[#This Row],[Disponibilidad]],0)</f>
        <v>0</v>
      </c>
      <c r="BX319" s="376">
        <f>IF(Tabla1[[#This Row],[Combustible ofertado]]="HFO",Tabla1[[#This Row],[Disponibilidad]],0)</f>
        <v>0</v>
      </c>
      <c r="BY319" s="452"/>
      <c r="BZ319" s="446">
        <f>'Horo. M'!C320</f>
        <v>0</v>
      </c>
      <c r="CA319" s="446">
        <f>'Horo. M'!E320</f>
        <v>0</v>
      </c>
      <c r="CB319" s="446">
        <f>'Horo. M'!G320</f>
        <v>0</v>
      </c>
      <c r="CC319" s="446">
        <f>'Horo. M'!I320</f>
        <v>0</v>
      </c>
      <c r="CD319" s="446">
        <f>'Horo. M'!K320</f>
        <v>0</v>
      </c>
      <c r="CE319" s="446">
        <f>'Horo. M'!M320</f>
        <v>0</v>
      </c>
      <c r="CF319" s="446">
        <f>'Horo. M'!O320</f>
        <v>0</v>
      </c>
      <c r="CG319" s="446">
        <f>'Horo. M'!Q320</f>
        <v>0</v>
      </c>
      <c r="CH319" s="446">
        <f>'Horo. M'!S320</f>
        <v>0</v>
      </c>
      <c r="CI319" s="446">
        <f>'Horo. M'!U320</f>
        <v>0</v>
      </c>
      <c r="CJ319" s="70">
        <f>Tabla1[[#This Row],[Con. DO Storage '[gal']]]-Tabla1[[#This Row],[C. DO Storage Ge '[gal']]]</f>
        <v>-599.66999999999996</v>
      </c>
      <c r="CK319" s="372">
        <v>599.66999999999996</v>
      </c>
      <c r="CL319" s="372">
        <v>11.78</v>
      </c>
      <c r="CM319" s="70">
        <f>Tabla1[[#This Row],[Con. DO Total '[gal']]]*131485.5/(1000000)</f>
        <v>0</v>
      </c>
      <c r="CU319" s="10">
        <v>899.48450000000003</v>
      </c>
    </row>
    <row r="320" spans="1:99" ht="15" customHeight="1">
      <c r="A320" s="362">
        <v>45245</v>
      </c>
      <c r="B320" s="363" t="str">
        <f>TEXT(Tabla1[[#This Row],[Fecha]],"mmmm")</f>
        <v>noviembre</v>
      </c>
      <c r="C320" s="364"/>
      <c r="D320" s="366"/>
      <c r="E320" s="366"/>
      <c r="F320" s="366"/>
      <c r="G320" s="377"/>
      <c r="H320" s="377"/>
      <c r="I320" s="378"/>
      <c r="J320" s="378"/>
      <c r="K320" s="366"/>
      <c r="L320" s="366"/>
      <c r="M320" s="365">
        <f>Tabla1[[#This Row],[Columna1]]-Tabla1[[#This Row],[PO '[h']]]</f>
        <v>0</v>
      </c>
      <c r="N320" s="366">
        <f t="shared" si="104"/>
        <v>0</v>
      </c>
      <c r="O320" s="365"/>
      <c r="P320" s="367">
        <f>Tabla1[[#This Row],[G. HGS 
'[MWh']]]</f>
        <v>0</v>
      </c>
      <c r="Q320" s="430">
        <v>0</v>
      </c>
      <c r="R320" s="367">
        <v>0</v>
      </c>
      <c r="S320" s="367">
        <f>Tabla1[[#This Row],[G. HGS 
Con Gas]]*1000</f>
        <v>0</v>
      </c>
      <c r="T320" s="365">
        <f>Tabla1[[#This Row],[G. HGS 
'[MWh']]]*1000</f>
        <v>0</v>
      </c>
      <c r="U320" s="368">
        <f>SUM('G. Un GE'!B320:Y320)</f>
        <v>0</v>
      </c>
      <c r="V320" s="369">
        <f>Tabla1[[#This Row],[R. GE
'[MWh']]]</f>
        <v>0</v>
      </c>
      <c r="W320" s="434">
        <v>0</v>
      </c>
      <c r="X320" s="369">
        <v>0</v>
      </c>
      <c r="Y320" s="365">
        <f>Tabla1[[#This Row],[R. GE
'[MWh']]]*1000</f>
        <v>0</v>
      </c>
      <c r="Z320" s="371"/>
      <c r="AA32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0" s="371">
        <f>IF(Tabla1[[#This Row],[G. HGS 
'[MWh']]]=0,0,Tabla1[[#This Row],[G. HGS 
'[MWh']]]+Tabla1[[#This Row],[Con. Aux. '[MWh']2]])</f>
        <v>0</v>
      </c>
      <c r="AC320" s="368">
        <f>'C. ENER. TN'!F320</f>
        <v>0</v>
      </c>
      <c r="AD320" s="370">
        <f>'C. ENER. TN'!G320</f>
        <v>0</v>
      </c>
      <c r="AE320" s="370">
        <f>'G. Un GE'!AX320</f>
        <v>0</v>
      </c>
      <c r="AF320" s="368">
        <f>IFERROR('G. Un GE'!AX320/Tabla1[[#This Row],[PO '[h']]],0)</f>
        <v>0</v>
      </c>
      <c r="AG320" s="365">
        <f>'Ar-Pa'!AX320</f>
        <v>0</v>
      </c>
      <c r="AH320" s="365">
        <f>'Ar-Pa'!AY320</f>
        <v>0</v>
      </c>
      <c r="AI320" s="366">
        <f>SUM('Cal. Arr'!AB323:AY323)</f>
        <v>0</v>
      </c>
      <c r="AJ320" s="442"/>
      <c r="AK320" s="443"/>
      <c r="AL320" s="372">
        <f t="shared" si="97"/>
        <v>0</v>
      </c>
      <c r="AM320" s="372">
        <f>+CONVERT(AK320+Tabla1[[#This Row],[Con. DO Storage Gen. '[m3']]],"m^3","gal")</f>
        <v>0</v>
      </c>
      <c r="AN320" s="372">
        <f>SUM('DO Pilot'!B320:Y320)</f>
        <v>0</v>
      </c>
      <c r="AO320" s="372">
        <f t="shared" si="98"/>
        <v>0</v>
      </c>
      <c r="AP320" s="372">
        <f t="shared" si="99"/>
        <v>0</v>
      </c>
      <c r="AQ320" s="372">
        <f t="shared" si="100"/>
        <v>0</v>
      </c>
      <c r="AR320" s="443"/>
      <c r="AS320" s="443"/>
      <c r="AT320" s="267">
        <f>+CONVERT(SUM(Tabla1[[#This Row],[Repo. DO Storage '[gal']]:[Repo. DO Pilot '[gal']]]),"gal","m3")</f>
        <v>0</v>
      </c>
      <c r="AU320" s="442">
        <v>0</v>
      </c>
      <c r="AV320" s="372">
        <f t="shared" si="101"/>
        <v>0</v>
      </c>
      <c r="AW320" s="442">
        <v>0</v>
      </c>
      <c r="AX320" s="372">
        <f t="shared" si="102"/>
        <v>0</v>
      </c>
      <c r="AY320" s="372">
        <f t="shared" si="82"/>
        <v>0</v>
      </c>
      <c r="AZ320" s="372">
        <f>IFERROR(AL320/'Ar-Pa'!AX320,0)</f>
        <v>0</v>
      </c>
      <c r="BA320" s="372">
        <f>IFERROR(AL320/'Ar-Pa'!AY320,0)</f>
        <v>0</v>
      </c>
      <c r="BB320" s="372">
        <f t="shared" si="83"/>
        <v>0</v>
      </c>
      <c r="BC320" s="372">
        <f>IFERROR(AVERAGEIF('DO Pilot'!AX320:BU320,"&gt;0"),0)</f>
        <v>0</v>
      </c>
      <c r="BD320" s="446"/>
      <c r="BE320" s="446"/>
      <c r="BF320" s="446"/>
      <c r="BG320" s="223">
        <f>Tabla1[[#This Row],[ Re. Gas GC
 '[m3']]]</f>
        <v>0</v>
      </c>
      <c r="BH320" s="150">
        <f>IFERROR((BG320*Gas!$B$4)/28.31685,0)</f>
        <v>0</v>
      </c>
      <c r="BI320" s="73">
        <f t="shared" si="103"/>
        <v>0</v>
      </c>
      <c r="BJ320" s="74">
        <f t="shared" si="87"/>
        <v>0</v>
      </c>
      <c r="BK320" s="223">
        <f t="shared" si="84"/>
        <v>0</v>
      </c>
      <c r="BL320" s="442">
        <v>9067.23</v>
      </c>
      <c r="BM320" s="70">
        <f t="shared" si="85"/>
        <v>0</v>
      </c>
      <c r="BN320" s="70">
        <f t="shared" si="88"/>
        <v>0</v>
      </c>
      <c r="BO320" s="373">
        <f>IFERROR(Tabla1[[#This Row],[ Re. Gas GC
 '[m3']]]/Tabla1[[#This Row],[G. HGS 
Con Gas '[kWh']]],0)</f>
        <v>0</v>
      </c>
      <c r="BP320" s="374">
        <f>Tank!Y321</f>
        <v>0</v>
      </c>
      <c r="BQ320" s="70">
        <f>Tank!AP321</f>
        <v>0</v>
      </c>
      <c r="BR320" s="70">
        <f>Tank!V321</f>
        <v>0</v>
      </c>
      <c r="BS320" s="372">
        <f>Tank!T321</f>
        <v>0</v>
      </c>
      <c r="BT320" s="375" t="s">
        <v>228</v>
      </c>
      <c r="BU320" s="452"/>
      <c r="BV320" s="376">
        <f>IF(Tabla1[[#This Row],[Combustible ofertado]]="GAS",Tabla1[[#This Row],[Disponibilidad]],0)</f>
        <v>0</v>
      </c>
      <c r="BW320" s="376">
        <f>IF(Tabla1[[#This Row],[Combustible ofertado]]="DIESEL",Tabla1[[#This Row],[Disponibilidad]],0)</f>
        <v>0</v>
      </c>
      <c r="BX320" s="376">
        <f>IF(Tabla1[[#This Row],[Combustible ofertado]]="HFO",Tabla1[[#This Row],[Disponibilidad]],0)</f>
        <v>0</v>
      </c>
      <c r="BY320" s="452"/>
      <c r="BZ320" s="446">
        <f>'Horo. M'!C321</f>
        <v>0</v>
      </c>
      <c r="CA320" s="446">
        <f>'Horo. M'!E321</f>
        <v>0</v>
      </c>
      <c r="CB320" s="446">
        <f>'Horo. M'!G321</f>
        <v>0</v>
      </c>
      <c r="CC320" s="446">
        <f>'Horo. M'!I321</f>
        <v>0</v>
      </c>
      <c r="CD320" s="446">
        <f>'Horo. M'!K321</f>
        <v>0</v>
      </c>
      <c r="CE320" s="446">
        <f>'Horo. M'!M321</f>
        <v>0</v>
      </c>
      <c r="CF320" s="446">
        <f>'Horo. M'!O321</f>
        <v>0</v>
      </c>
      <c r="CG320" s="446">
        <f>'Horo. M'!Q321</f>
        <v>0</v>
      </c>
      <c r="CH320" s="446">
        <f>'Horo. M'!S321</f>
        <v>0</v>
      </c>
      <c r="CI320" s="446">
        <f>'Horo. M'!U321</f>
        <v>0</v>
      </c>
      <c r="CJ320" s="70">
        <f>Tabla1[[#This Row],[Con. DO Storage '[gal']]]-Tabla1[[#This Row],[C. DO Storage Ge '[gal']]]</f>
        <v>0</v>
      </c>
      <c r="CK320" s="372"/>
      <c r="CL320" s="372"/>
      <c r="CM320" s="70">
        <f>Tabla1[[#This Row],[Con. DO Total '[gal']]]*131485.5/(1000000)</f>
        <v>0</v>
      </c>
      <c r="CU320" s="10">
        <v>591.73870000000011</v>
      </c>
    </row>
    <row r="321" spans="1:99" ht="15" customHeight="1">
      <c r="A321" s="362">
        <v>45246</v>
      </c>
      <c r="B321" s="363" t="str">
        <f>TEXT(Tabla1[[#This Row],[Fecha]],"mmmm")</f>
        <v>noviembre</v>
      </c>
      <c r="C321" s="364"/>
      <c r="D321" s="366"/>
      <c r="E321" s="366"/>
      <c r="F321" s="366"/>
      <c r="G321" s="377"/>
      <c r="H321" s="377"/>
      <c r="I321" s="378"/>
      <c r="J321" s="378"/>
      <c r="K321" s="366"/>
      <c r="L321" s="366"/>
      <c r="M321" s="365">
        <f>Tabla1[[#This Row],[Columna1]]-Tabla1[[#This Row],[PO '[h']]]</f>
        <v>0</v>
      </c>
      <c r="N321" s="366">
        <f t="shared" si="104"/>
        <v>0</v>
      </c>
      <c r="O321" s="365"/>
      <c r="P321" s="367">
        <f>Tabla1[[#This Row],[G. HGS 
'[MWh']]]</f>
        <v>0</v>
      </c>
      <c r="Q321" s="430">
        <v>0</v>
      </c>
      <c r="R321" s="367">
        <v>0</v>
      </c>
      <c r="S321" s="367">
        <f>Tabla1[[#This Row],[G. HGS 
Con Gas]]*1000</f>
        <v>0</v>
      </c>
      <c r="T321" s="365">
        <f>Tabla1[[#This Row],[G. HGS 
'[MWh']]]*1000</f>
        <v>0</v>
      </c>
      <c r="U321" s="368">
        <f>SUM('G. Un GE'!B321:Y321)</f>
        <v>0</v>
      </c>
      <c r="V321" s="369">
        <f>Tabla1[[#This Row],[R. GE
'[MWh']]]</f>
        <v>0</v>
      </c>
      <c r="W321" s="434">
        <v>0</v>
      </c>
      <c r="X321" s="369">
        <v>0</v>
      </c>
      <c r="Y321" s="365">
        <f>Tabla1[[#This Row],[R. GE
'[MWh']]]*1000</f>
        <v>0</v>
      </c>
      <c r="Z321" s="371"/>
      <c r="AA32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1" s="371">
        <f>IF(Tabla1[[#This Row],[G. HGS 
'[MWh']]]=0,0,Tabla1[[#This Row],[G. HGS 
'[MWh']]]+Tabla1[[#This Row],[Con. Aux. '[MWh']2]])</f>
        <v>0</v>
      </c>
      <c r="AC321" s="368">
        <f>'C. ENER. TN'!F321</f>
        <v>0</v>
      </c>
      <c r="AD321" s="370">
        <f>'C. ENER. TN'!G321</f>
        <v>0</v>
      </c>
      <c r="AE321" s="370">
        <f>'G. Un GE'!AX321</f>
        <v>0</v>
      </c>
      <c r="AF321" s="368">
        <f>IFERROR('G. Un GE'!AX321/Tabla1[[#This Row],[PO '[h']]],0)</f>
        <v>0</v>
      </c>
      <c r="AG321" s="365">
        <f>'Ar-Pa'!AX321</f>
        <v>0</v>
      </c>
      <c r="AH321" s="365">
        <f>'Ar-Pa'!AY321</f>
        <v>0</v>
      </c>
      <c r="AI321" s="366">
        <f>SUM('Cal. Arr'!AB324:AY324)</f>
        <v>0</v>
      </c>
      <c r="AJ321" s="442"/>
      <c r="AK321" s="443"/>
      <c r="AL321" s="372">
        <f t="shared" si="97"/>
        <v>0</v>
      </c>
      <c r="AM321" s="372">
        <f>+CONVERT(AK321+Tabla1[[#This Row],[Con. DO Storage Gen. '[m3']]],"m^3","gal")</f>
        <v>0</v>
      </c>
      <c r="AN321" s="372">
        <f>SUM('DO Pilot'!B321:Y321)</f>
        <v>0</v>
      </c>
      <c r="AO321" s="372">
        <f t="shared" si="98"/>
        <v>0</v>
      </c>
      <c r="AP321" s="372">
        <f t="shared" si="99"/>
        <v>0</v>
      </c>
      <c r="AQ321" s="372">
        <f t="shared" si="100"/>
        <v>0</v>
      </c>
      <c r="AR321" s="443"/>
      <c r="AS321" s="443"/>
      <c r="AT321" s="267">
        <f>+CONVERT(SUM(Tabla1[[#This Row],[Repo. DO Storage '[gal']]:[Repo. DO Pilot '[gal']]]),"gal","m3")</f>
        <v>0</v>
      </c>
      <c r="AU321" s="442">
        <v>0</v>
      </c>
      <c r="AV321" s="372">
        <f t="shared" si="101"/>
        <v>0</v>
      </c>
      <c r="AW321" s="442">
        <v>0</v>
      </c>
      <c r="AX321" s="372">
        <f t="shared" si="102"/>
        <v>0</v>
      </c>
      <c r="AY321" s="372">
        <f t="shared" si="82"/>
        <v>0</v>
      </c>
      <c r="AZ321" s="372">
        <f>IFERROR(AL321/'Ar-Pa'!AX321,0)</f>
        <v>0</v>
      </c>
      <c r="BA321" s="372">
        <f>IFERROR(AL321/'Ar-Pa'!AY321,0)</f>
        <v>0</v>
      </c>
      <c r="BB321" s="372">
        <f t="shared" si="83"/>
        <v>0</v>
      </c>
      <c r="BC321" s="372">
        <f>IFERROR(AVERAGEIF('DO Pilot'!AX321:BU321,"&gt;0"),0)</f>
        <v>0</v>
      </c>
      <c r="BD321" s="446"/>
      <c r="BE321" s="446"/>
      <c r="BF321" s="446"/>
      <c r="BG321" s="223">
        <f>Tabla1[[#This Row],[ Re. Gas GC
 '[m3']]]</f>
        <v>0</v>
      </c>
      <c r="BH321" s="150">
        <f>IFERROR((BG321*Gas!$B$4)/28.31685,0)</f>
        <v>0</v>
      </c>
      <c r="BI321" s="73">
        <f t="shared" si="103"/>
        <v>0</v>
      </c>
      <c r="BJ321" s="74">
        <f t="shared" si="87"/>
        <v>0</v>
      </c>
      <c r="BK321" s="223">
        <f t="shared" si="84"/>
        <v>0</v>
      </c>
      <c r="BL321" s="442">
        <v>9007</v>
      </c>
      <c r="BM321" s="70">
        <f t="shared" si="85"/>
        <v>0</v>
      </c>
      <c r="BN321" s="70">
        <f t="shared" si="88"/>
        <v>0</v>
      </c>
      <c r="BO321" s="373">
        <f>IFERROR(Tabla1[[#This Row],[ Re. Gas GC
 '[m3']]]/Tabla1[[#This Row],[G. HGS 
Con Gas '[kWh']]],0)</f>
        <v>0</v>
      </c>
      <c r="BP321" s="374">
        <f>Tank!Y322</f>
        <v>0</v>
      </c>
      <c r="BQ321" s="70">
        <f>Tank!AP322</f>
        <v>0</v>
      </c>
      <c r="BR321" s="70">
        <f>Tank!V322</f>
        <v>0</v>
      </c>
      <c r="BS321" s="372">
        <f>Tank!T322</f>
        <v>0</v>
      </c>
      <c r="BT321" s="375" t="s">
        <v>228</v>
      </c>
      <c r="BU321" s="452"/>
      <c r="BV321" s="376">
        <f>IF(Tabla1[[#This Row],[Combustible ofertado]]="GAS",Tabla1[[#This Row],[Disponibilidad]],0)</f>
        <v>0</v>
      </c>
      <c r="BW321" s="376">
        <f>IF(Tabla1[[#This Row],[Combustible ofertado]]="DIESEL",Tabla1[[#This Row],[Disponibilidad]],0)</f>
        <v>0</v>
      </c>
      <c r="BX321" s="376">
        <f>IF(Tabla1[[#This Row],[Combustible ofertado]]="HFO",Tabla1[[#This Row],[Disponibilidad]],0)</f>
        <v>0</v>
      </c>
      <c r="BY321" s="452"/>
      <c r="BZ321" s="446">
        <f>'Horo. M'!C322</f>
        <v>0</v>
      </c>
      <c r="CA321" s="446">
        <f>'Horo. M'!E322</f>
        <v>0</v>
      </c>
      <c r="CB321" s="446">
        <f>'Horo. M'!G322</f>
        <v>0</v>
      </c>
      <c r="CC321" s="446">
        <f>'Horo. M'!I322</f>
        <v>0</v>
      </c>
      <c r="CD321" s="446">
        <f>'Horo. M'!K322</f>
        <v>0</v>
      </c>
      <c r="CE321" s="446">
        <f>'Horo. M'!M322</f>
        <v>0</v>
      </c>
      <c r="CF321" s="446">
        <f>'Horo. M'!O322</f>
        <v>0</v>
      </c>
      <c r="CG321" s="446">
        <f>'Horo. M'!Q322</f>
        <v>0</v>
      </c>
      <c r="CH321" s="446">
        <f>'Horo. M'!S322</f>
        <v>0</v>
      </c>
      <c r="CI321" s="446">
        <f>'Horo. M'!U322</f>
        <v>0</v>
      </c>
      <c r="CJ321" s="70">
        <f>Tabla1[[#This Row],[Con. DO Storage '[gal']]]-Tabla1[[#This Row],[C. DO Storage Ge '[gal']]]</f>
        <v>0</v>
      </c>
      <c r="CK321" s="372"/>
      <c r="CL321" s="372"/>
      <c r="CM321" s="70">
        <f>Tabla1[[#This Row],[Con. DO Total '[gal']]]*131485.5/(1000000)</f>
        <v>0</v>
      </c>
      <c r="CU321" s="10">
        <v>602.3424</v>
      </c>
    </row>
    <row r="322" spans="1:99" ht="15" customHeight="1">
      <c r="A322" s="362">
        <v>45247</v>
      </c>
      <c r="B322" s="363" t="str">
        <f>TEXT(Tabla1[[#This Row],[Fecha]],"mmmm")</f>
        <v>noviembre</v>
      </c>
      <c r="C322" s="364"/>
      <c r="D322" s="366"/>
      <c r="E322" s="366"/>
      <c r="F322" s="366"/>
      <c r="G322" s="377"/>
      <c r="H322" s="377"/>
      <c r="I322" s="378"/>
      <c r="J322" s="378"/>
      <c r="K322" s="366"/>
      <c r="L322" s="366"/>
      <c r="M322" s="365">
        <f>Tabla1[[#This Row],[Columna1]]-Tabla1[[#This Row],[PO '[h']]]</f>
        <v>0</v>
      </c>
      <c r="N322" s="366">
        <f t="shared" si="104"/>
        <v>0</v>
      </c>
      <c r="O322" s="365"/>
      <c r="P322" s="367">
        <f>Tabla1[[#This Row],[G. HGS 
'[MWh']]]</f>
        <v>0</v>
      </c>
      <c r="Q322" s="430">
        <v>0</v>
      </c>
      <c r="R322" s="367">
        <v>0</v>
      </c>
      <c r="S322" s="367">
        <f>Tabla1[[#This Row],[G. HGS 
Con Gas]]*1000</f>
        <v>0</v>
      </c>
      <c r="T322" s="365">
        <f>Tabla1[[#This Row],[G. HGS 
'[MWh']]]*1000</f>
        <v>0</v>
      </c>
      <c r="U322" s="368">
        <f>SUM('G. Un GE'!B322:Y322)</f>
        <v>0</v>
      </c>
      <c r="V322" s="369">
        <f>Tabla1[[#This Row],[R. GE
'[MWh']]]</f>
        <v>0</v>
      </c>
      <c r="W322" s="434">
        <v>0</v>
      </c>
      <c r="X322" s="369">
        <v>0</v>
      </c>
      <c r="Y322" s="365">
        <f>Tabla1[[#This Row],[R. GE
'[MWh']]]*1000</f>
        <v>0</v>
      </c>
      <c r="Z322" s="371"/>
      <c r="AA32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2" s="371">
        <f>IF(Tabla1[[#This Row],[G. HGS 
'[MWh']]]=0,0,Tabla1[[#This Row],[G. HGS 
'[MWh']]]+Tabla1[[#This Row],[Con. Aux. '[MWh']2]])</f>
        <v>0</v>
      </c>
      <c r="AC322" s="368">
        <f>'C. ENER. TN'!F322</f>
        <v>0</v>
      </c>
      <c r="AD322" s="370">
        <f>'C. ENER. TN'!G322</f>
        <v>0</v>
      </c>
      <c r="AE322" s="370">
        <f>'G. Un GE'!AX322</f>
        <v>0</v>
      </c>
      <c r="AF322" s="368">
        <f>IFERROR('G. Un GE'!AX322/Tabla1[[#This Row],[PO '[h']]],0)</f>
        <v>0</v>
      </c>
      <c r="AG322" s="365">
        <f>'Ar-Pa'!AX322</f>
        <v>0</v>
      </c>
      <c r="AH322" s="365">
        <f>'Ar-Pa'!AY322</f>
        <v>0</v>
      </c>
      <c r="AI322" s="366">
        <f>SUM('Cal. Arr'!AB325:AY325)</f>
        <v>0</v>
      </c>
      <c r="AJ322" s="442"/>
      <c r="AK322" s="443"/>
      <c r="AL322" s="372">
        <f t="shared" si="97"/>
        <v>0</v>
      </c>
      <c r="AM322" s="372">
        <f>+CONVERT(AK322+Tabla1[[#This Row],[Con. DO Storage Gen. '[m3']]],"m^3","gal")</f>
        <v>0</v>
      </c>
      <c r="AN322" s="372">
        <f>SUM('DO Pilot'!B322:Y322)</f>
        <v>0</v>
      </c>
      <c r="AO322" s="372">
        <f t="shared" si="98"/>
        <v>0</v>
      </c>
      <c r="AP322" s="372">
        <f t="shared" si="99"/>
        <v>0</v>
      </c>
      <c r="AQ322" s="372">
        <f t="shared" si="100"/>
        <v>0</v>
      </c>
      <c r="AR322" s="443"/>
      <c r="AS322" s="443"/>
      <c r="AT322" s="267">
        <f>+CONVERT(SUM(Tabla1[[#This Row],[Repo. DO Storage '[gal']]:[Repo. DO Pilot '[gal']]]),"gal","m3")</f>
        <v>0</v>
      </c>
      <c r="AU322" s="442">
        <v>0</v>
      </c>
      <c r="AV322" s="372">
        <f t="shared" si="101"/>
        <v>0</v>
      </c>
      <c r="AW322" s="442">
        <v>0</v>
      </c>
      <c r="AX322" s="372">
        <f t="shared" si="102"/>
        <v>0</v>
      </c>
      <c r="AY322" s="372">
        <f t="shared" ref="AY322:AY366" si="105">IFERROR(AL322/O322,0)</f>
        <v>0</v>
      </c>
      <c r="AZ322" s="372">
        <f>IFERROR(AL322/'Ar-Pa'!AX322,0)</f>
        <v>0</v>
      </c>
      <c r="BA322" s="372">
        <f>IFERROR(AL322/'Ar-Pa'!AY322,0)</f>
        <v>0</v>
      </c>
      <c r="BB322" s="372">
        <f t="shared" ref="BB322:BB366" si="106">IFERROR(AO322/O322,0)</f>
        <v>0</v>
      </c>
      <c r="BC322" s="372">
        <f>IFERROR(AVERAGEIF('DO Pilot'!AX322:BU322,"&gt;0"),0)</f>
        <v>0</v>
      </c>
      <c r="BD322" s="446"/>
      <c r="BE322" s="446"/>
      <c r="BF322" s="446"/>
      <c r="BG322" s="223">
        <f>Tabla1[[#This Row],[ Re. Gas GC
 '[m3']]]</f>
        <v>0</v>
      </c>
      <c r="BH322" s="150">
        <f>IFERROR((BG322*Gas!$B$4)/28.31685,0)</f>
        <v>0</v>
      </c>
      <c r="BI322" s="73">
        <f t="shared" si="103"/>
        <v>0</v>
      </c>
      <c r="BJ322" s="74">
        <f t="shared" si="87"/>
        <v>0</v>
      </c>
      <c r="BK322" s="223">
        <f t="shared" ref="BK322:BK366" si="107">IFERROR((BE322/P322)*1000,0)</f>
        <v>0</v>
      </c>
      <c r="BL322" s="442">
        <v>9096.8799999999992</v>
      </c>
      <c r="BM322" s="70">
        <f t="shared" ref="BM322:BM366" si="108">IFERROR((BH322/AB322)*1000,0)</f>
        <v>0</v>
      </c>
      <c r="BN322" s="70">
        <f t="shared" si="88"/>
        <v>0</v>
      </c>
      <c r="BO322" s="373">
        <f>IFERROR(Tabla1[[#This Row],[ Re. Gas GC
 '[m3']]]/Tabla1[[#This Row],[G. HGS 
Con Gas '[kWh']]],0)</f>
        <v>0</v>
      </c>
      <c r="BP322" s="374">
        <f>Tank!Y323</f>
        <v>0</v>
      </c>
      <c r="BQ322" s="70">
        <f>Tank!AP323</f>
        <v>0</v>
      </c>
      <c r="BR322" s="70">
        <f>Tank!V323</f>
        <v>0</v>
      </c>
      <c r="BS322" s="372">
        <f>Tank!T323</f>
        <v>0</v>
      </c>
      <c r="BT322" s="375" t="s">
        <v>228</v>
      </c>
      <c r="BU322" s="452"/>
      <c r="BV322" s="376">
        <f>IF(Tabla1[[#This Row],[Combustible ofertado]]="GAS",Tabla1[[#This Row],[Disponibilidad]],0)</f>
        <v>0</v>
      </c>
      <c r="BW322" s="376">
        <f>IF(Tabla1[[#This Row],[Combustible ofertado]]="DIESEL",Tabla1[[#This Row],[Disponibilidad]],0)</f>
        <v>0</v>
      </c>
      <c r="BX322" s="376">
        <f>IF(Tabla1[[#This Row],[Combustible ofertado]]="HFO",Tabla1[[#This Row],[Disponibilidad]],0)</f>
        <v>0</v>
      </c>
      <c r="BY322" s="452"/>
      <c r="BZ322" s="446">
        <f>'Horo. M'!C323</f>
        <v>0</v>
      </c>
      <c r="CA322" s="446">
        <f>'Horo. M'!E323</f>
        <v>0</v>
      </c>
      <c r="CB322" s="446">
        <f>'Horo. M'!G323</f>
        <v>0</v>
      </c>
      <c r="CC322" s="446">
        <f>'Horo. M'!I323</f>
        <v>0</v>
      </c>
      <c r="CD322" s="446">
        <f>'Horo. M'!K323</f>
        <v>0</v>
      </c>
      <c r="CE322" s="446">
        <f>'Horo. M'!M323</f>
        <v>0</v>
      </c>
      <c r="CF322" s="446">
        <f>'Horo. M'!O323</f>
        <v>0</v>
      </c>
      <c r="CG322" s="446">
        <f>'Horo. M'!Q323</f>
        <v>0</v>
      </c>
      <c r="CH322" s="446">
        <f>'Horo. M'!S323</f>
        <v>0</v>
      </c>
      <c r="CI322" s="446">
        <f>'Horo. M'!U323</f>
        <v>0</v>
      </c>
      <c r="CJ322" s="70">
        <f>Tabla1[[#This Row],[Con. DO Storage '[gal']]]-Tabla1[[#This Row],[C. DO Storage Ge '[gal']]]</f>
        <v>0</v>
      </c>
      <c r="CK322" s="372"/>
      <c r="CL322" s="372"/>
      <c r="CM322" s="70">
        <f>Tabla1[[#This Row],[Con. DO Total '[gal']]]*131485.5/(1000000)</f>
        <v>0</v>
      </c>
      <c r="CU322" s="10">
        <v>890.58139999999992</v>
      </c>
    </row>
    <row r="323" spans="1:99" ht="15" customHeight="1">
      <c r="A323" s="362">
        <v>45248</v>
      </c>
      <c r="B323" s="363" t="str">
        <f>TEXT(Tabla1[[#This Row],[Fecha]],"mmmm")</f>
        <v>noviembre</v>
      </c>
      <c r="C323" s="364"/>
      <c r="D323" s="366"/>
      <c r="E323" s="366"/>
      <c r="F323" s="366"/>
      <c r="G323" s="377"/>
      <c r="H323" s="377"/>
      <c r="I323" s="378"/>
      <c r="J323" s="378"/>
      <c r="K323" s="366"/>
      <c r="L323" s="366"/>
      <c r="M323" s="365">
        <f>Tabla1[[#This Row],[Columna1]]-Tabla1[[#This Row],[PO '[h']]]</f>
        <v>0</v>
      </c>
      <c r="N323" s="366">
        <f t="shared" si="104"/>
        <v>0</v>
      </c>
      <c r="O323" s="365"/>
      <c r="P323" s="367">
        <f>Tabla1[[#This Row],[G. HGS 
'[MWh']]]</f>
        <v>0</v>
      </c>
      <c r="Q323" s="430">
        <v>0</v>
      </c>
      <c r="R323" s="367">
        <v>0</v>
      </c>
      <c r="S323" s="367">
        <f>Tabla1[[#This Row],[G. HGS 
Con Gas]]*1000</f>
        <v>0</v>
      </c>
      <c r="T323" s="365">
        <f>Tabla1[[#This Row],[G. HGS 
'[MWh']]]*1000</f>
        <v>0</v>
      </c>
      <c r="U323" s="368">
        <f>SUM('G. Un GE'!B323:Y323)</f>
        <v>0</v>
      </c>
      <c r="V323" s="369">
        <f>Tabla1[[#This Row],[R. GE
'[MWh']]]</f>
        <v>0</v>
      </c>
      <c r="W323" s="434">
        <v>0</v>
      </c>
      <c r="X323" s="369">
        <v>0</v>
      </c>
      <c r="Y323" s="365">
        <f>Tabla1[[#This Row],[R. GE
'[MWh']]]*1000</f>
        <v>0</v>
      </c>
      <c r="Z323" s="371"/>
      <c r="AA32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3" s="371">
        <f>IF(Tabla1[[#This Row],[G. HGS 
'[MWh']]]=0,0,Tabla1[[#This Row],[G. HGS 
'[MWh']]]+Tabla1[[#This Row],[Con. Aux. '[MWh']2]])</f>
        <v>0</v>
      </c>
      <c r="AC323" s="368">
        <f>'C. ENER. TN'!F323</f>
        <v>0</v>
      </c>
      <c r="AD323" s="370">
        <f>'C. ENER. TN'!G323</f>
        <v>0</v>
      </c>
      <c r="AE323" s="370">
        <f>'G. Un GE'!AX323</f>
        <v>0</v>
      </c>
      <c r="AF323" s="368">
        <f>IFERROR('G. Un GE'!AX323/Tabla1[[#This Row],[PO '[h']]],0)</f>
        <v>0</v>
      </c>
      <c r="AG323" s="365">
        <f>'Ar-Pa'!AX323</f>
        <v>0</v>
      </c>
      <c r="AH323" s="365">
        <f>'Ar-Pa'!AY323</f>
        <v>0</v>
      </c>
      <c r="AI323" s="366">
        <f>SUM('Cal. Arr'!AB326:AY326)</f>
        <v>0</v>
      </c>
      <c r="AJ323" s="442"/>
      <c r="AK323" s="443"/>
      <c r="AL323" s="372">
        <f t="shared" si="97"/>
        <v>0</v>
      </c>
      <c r="AM323" s="372">
        <f>+CONVERT(AK323+Tabla1[[#This Row],[Con. DO Storage Gen. '[m3']]],"m^3","gal")</f>
        <v>0</v>
      </c>
      <c r="AN323" s="372">
        <f>SUM('DO Pilot'!B323:Y323)</f>
        <v>0</v>
      </c>
      <c r="AO323" s="372">
        <f t="shared" si="98"/>
        <v>0</v>
      </c>
      <c r="AP323" s="372">
        <f t="shared" si="99"/>
        <v>0</v>
      </c>
      <c r="AQ323" s="372">
        <f t="shared" si="100"/>
        <v>0</v>
      </c>
      <c r="AR323" s="443"/>
      <c r="AS323" s="443"/>
      <c r="AT323" s="267">
        <f>+CONVERT(SUM(Tabla1[[#This Row],[Repo. DO Storage '[gal']]:[Repo. DO Pilot '[gal']]]),"gal","m3")</f>
        <v>0</v>
      </c>
      <c r="AU323" s="442">
        <v>0</v>
      </c>
      <c r="AV323" s="372">
        <f t="shared" si="101"/>
        <v>0</v>
      </c>
      <c r="AW323" s="442">
        <v>0</v>
      </c>
      <c r="AX323" s="372">
        <f t="shared" si="102"/>
        <v>0</v>
      </c>
      <c r="AY323" s="372">
        <f t="shared" si="105"/>
        <v>0</v>
      </c>
      <c r="AZ323" s="372">
        <f>IFERROR(AL323/'Ar-Pa'!AX323,0)</f>
        <v>0</v>
      </c>
      <c r="BA323" s="372">
        <f>IFERROR(AL323/'Ar-Pa'!AY323,0)</f>
        <v>0</v>
      </c>
      <c r="BB323" s="372">
        <f t="shared" si="106"/>
        <v>0</v>
      </c>
      <c r="BC323" s="372">
        <f>IFERROR(AVERAGEIF('DO Pilot'!AX323:BU323,"&gt;0"),0)</f>
        <v>0</v>
      </c>
      <c r="BD323" s="446"/>
      <c r="BE323" s="446"/>
      <c r="BF323" s="446"/>
      <c r="BG323" s="223">
        <f>Tabla1[[#This Row],[ Re. Gas GC
 '[m3']]]</f>
        <v>0</v>
      </c>
      <c r="BH323" s="150">
        <f>IFERROR((BG323*Gas!$B$4)/28.31685,0)</f>
        <v>0</v>
      </c>
      <c r="BI323" s="73">
        <f t="shared" si="103"/>
        <v>0</v>
      </c>
      <c r="BJ323" s="74">
        <f t="shared" ref="BJ323:BJ366" si="109">IFERROR(BI323/BH323,0)</f>
        <v>0</v>
      </c>
      <c r="BK323" s="223">
        <f t="shared" si="107"/>
        <v>0</v>
      </c>
      <c r="BL323" s="442">
        <v>9134.14</v>
      </c>
      <c r="BM323" s="70">
        <f t="shared" si="108"/>
        <v>0</v>
      </c>
      <c r="BN323" s="70">
        <f t="shared" si="88"/>
        <v>0</v>
      </c>
      <c r="BO323" s="373">
        <f>IFERROR(Tabla1[[#This Row],[ Re. Gas GC
 '[m3']]]/Tabla1[[#This Row],[G. HGS 
Con Gas '[kWh']]],0)</f>
        <v>0</v>
      </c>
      <c r="BP323" s="374">
        <f>Tank!Y324</f>
        <v>0</v>
      </c>
      <c r="BQ323" s="70">
        <f>Tank!AP324</f>
        <v>0</v>
      </c>
      <c r="BR323" s="70">
        <f>Tank!V324</f>
        <v>0</v>
      </c>
      <c r="BS323" s="372">
        <f>Tank!T324</f>
        <v>0</v>
      </c>
      <c r="BT323" s="375" t="s">
        <v>228</v>
      </c>
      <c r="BU323" s="452"/>
      <c r="BV323" s="376">
        <f>IF(Tabla1[[#This Row],[Combustible ofertado]]="GAS",Tabla1[[#This Row],[Disponibilidad]],0)</f>
        <v>0</v>
      </c>
      <c r="BW323" s="376">
        <f>IF(Tabla1[[#This Row],[Combustible ofertado]]="DIESEL",Tabla1[[#This Row],[Disponibilidad]],0)</f>
        <v>0</v>
      </c>
      <c r="BX323" s="376">
        <f>IF(Tabla1[[#This Row],[Combustible ofertado]]="HFO",Tabla1[[#This Row],[Disponibilidad]],0)</f>
        <v>0</v>
      </c>
      <c r="BY323" s="452"/>
      <c r="BZ323" s="446">
        <f>'Horo. M'!C324</f>
        <v>0</v>
      </c>
      <c r="CA323" s="446">
        <f>'Horo. M'!E324</f>
        <v>0</v>
      </c>
      <c r="CB323" s="446">
        <f>'Horo. M'!G324</f>
        <v>0</v>
      </c>
      <c r="CC323" s="446">
        <f>'Horo. M'!I324</f>
        <v>0</v>
      </c>
      <c r="CD323" s="446">
        <f>'Horo. M'!K324</f>
        <v>0</v>
      </c>
      <c r="CE323" s="446">
        <f>'Horo. M'!M324</f>
        <v>0</v>
      </c>
      <c r="CF323" s="446">
        <f>'Horo. M'!O324</f>
        <v>0</v>
      </c>
      <c r="CG323" s="446">
        <f>'Horo. M'!Q324</f>
        <v>0</v>
      </c>
      <c r="CH323" s="446">
        <f>'Horo. M'!S324</f>
        <v>0</v>
      </c>
      <c r="CI323" s="446">
        <f>'Horo. M'!U324</f>
        <v>0</v>
      </c>
      <c r="CJ323" s="70">
        <f>Tabla1[[#This Row],[Con. DO Storage '[gal']]]-Tabla1[[#This Row],[C. DO Storage Ge '[gal']]]</f>
        <v>0</v>
      </c>
      <c r="CK323" s="372"/>
      <c r="CL323" s="372"/>
      <c r="CM323" s="70">
        <f>Tabla1[[#This Row],[Con. DO Total '[gal']]]*131485.5/(1000000)</f>
        <v>0</v>
      </c>
      <c r="CU323" s="10">
        <v>974.92900000000009</v>
      </c>
    </row>
    <row r="324" spans="1:99" ht="15" customHeight="1">
      <c r="A324" s="362">
        <v>45249</v>
      </c>
      <c r="B324" s="363" t="str">
        <f>TEXT(Tabla1[[#This Row],[Fecha]],"mmmm")</f>
        <v>noviembre</v>
      </c>
      <c r="C324" s="364"/>
      <c r="D324" s="366"/>
      <c r="E324" s="366"/>
      <c r="F324" s="366"/>
      <c r="G324" s="377"/>
      <c r="H324" s="377"/>
      <c r="I324" s="378"/>
      <c r="J324" s="378"/>
      <c r="K324" s="366"/>
      <c r="L324" s="366"/>
      <c r="M324" s="365">
        <f>Tabla1[[#This Row],[Columna1]]-Tabla1[[#This Row],[PO '[h']]]</f>
        <v>0</v>
      </c>
      <c r="N324" s="366">
        <f t="shared" si="104"/>
        <v>0</v>
      </c>
      <c r="O324" s="365"/>
      <c r="P324" s="367">
        <f>Tabla1[[#This Row],[G. HGS 
'[MWh']]]</f>
        <v>0</v>
      </c>
      <c r="Q324" s="430">
        <v>0</v>
      </c>
      <c r="R324" s="367">
        <v>0</v>
      </c>
      <c r="S324" s="367">
        <f>Tabla1[[#This Row],[G. HGS 
Con Gas]]*1000</f>
        <v>0</v>
      </c>
      <c r="T324" s="365">
        <f>Tabla1[[#This Row],[G. HGS 
'[MWh']]]*1000</f>
        <v>0</v>
      </c>
      <c r="U324" s="368">
        <f>SUM('G. Un GE'!B324:Y324)</f>
        <v>0</v>
      </c>
      <c r="V324" s="369">
        <f>Tabla1[[#This Row],[R. GE
'[MWh']]]</f>
        <v>0</v>
      </c>
      <c r="W324" s="434">
        <v>0</v>
      </c>
      <c r="X324" s="369">
        <v>0</v>
      </c>
      <c r="Y324" s="365">
        <f>Tabla1[[#This Row],[R. GE
'[MWh']]]*1000</f>
        <v>0</v>
      </c>
      <c r="Z324" s="371"/>
      <c r="AA32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4" s="371">
        <f>IF(Tabla1[[#This Row],[G. HGS 
'[MWh']]]=0,0,Tabla1[[#This Row],[G. HGS 
'[MWh']]]+Tabla1[[#This Row],[Con. Aux. '[MWh']2]])</f>
        <v>0</v>
      </c>
      <c r="AC324" s="368">
        <f>'C. ENER. TN'!F324</f>
        <v>0</v>
      </c>
      <c r="AD324" s="370">
        <f>'C. ENER. TN'!G324</f>
        <v>0</v>
      </c>
      <c r="AE324" s="370">
        <f>'G. Un GE'!AX324</f>
        <v>0</v>
      </c>
      <c r="AF324" s="368">
        <f>IFERROR('G. Un GE'!AX324/Tabla1[[#This Row],[PO '[h']]],0)</f>
        <v>0</v>
      </c>
      <c r="AG324" s="365">
        <f>'Ar-Pa'!AX324</f>
        <v>0</v>
      </c>
      <c r="AH324" s="365">
        <f>'Ar-Pa'!AY324</f>
        <v>0</v>
      </c>
      <c r="AI324" s="366">
        <f>SUM('Cal. Arr'!AB327:AY327)</f>
        <v>0</v>
      </c>
      <c r="AJ324" s="442"/>
      <c r="AK324" s="443"/>
      <c r="AL324" s="372">
        <f t="shared" si="97"/>
        <v>0</v>
      </c>
      <c r="AM324" s="372">
        <f>+CONVERT(AK324+Tabla1[[#This Row],[Con. DO Storage Gen. '[m3']]],"m^3","gal")</f>
        <v>0</v>
      </c>
      <c r="AN324" s="372">
        <f>SUM('DO Pilot'!B324:Y324)</f>
        <v>0</v>
      </c>
      <c r="AO324" s="372">
        <f t="shared" si="98"/>
        <v>0</v>
      </c>
      <c r="AP324" s="372">
        <f t="shared" si="99"/>
        <v>0</v>
      </c>
      <c r="AQ324" s="372">
        <f t="shared" si="100"/>
        <v>0</v>
      </c>
      <c r="AR324" s="443"/>
      <c r="AS324" s="443"/>
      <c r="AT324" s="267">
        <f>+CONVERT(SUM(Tabla1[[#This Row],[Repo. DO Storage '[gal']]:[Repo. DO Pilot '[gal']]]),"gal","m3")</f>
        <v>0</v>
      </c>
      <c r="AU324" s="442">
        <v>0</v>
      </c>
      <c r="AV324" s="372">
        <f t="shared" si="101"/>
        <v>0</v>
      </c>
      <c r="AW324" s="442">
        <v>0</v>
      </c>
      <c r="AX324" s="372">
        <f t="shared" si="102"/>
        <v>0</v>
      </c>
      <c r="AY324" s="372">
        <f t="shared" si="105"/>
        <v>0</v>
      </c>
      <c r="AZ324" s="372">
        <f>IFERROR(AL324/'Ar-Pa'!AX324,0)</f>
        <v>0</v>
      </c>
      <c r="BA324" s="372">
        <f>IFERROR(AL324/'Ar-Pa'!AY324,0)</f>
        <v>0</v>
      </c>
      <c r="BB324" s="372">
        <f t="shared" si="106"/>
        <v>0</v>
      </c>
      <c r="BC324" s="372">
        <f>IFERROR(AVERAGEIF('DO Pilot'!AX324:BU324,"&gt;0"),0)</f>
        <v>0</v>
      </c>
      <c r="BD324" s="446"/>
      <c r="BE324" s="446"/>
      <c r="BF324" s="446"/>
      <c r="BG324" s="223">
        <f>Tabla1[[#This Row],[ Re. Gas GC
 '[m3']]]</f>
        <v>0</v>
      </c>
      <c r="BH324" s="150">
        <f>IFERROR((BG324*Gas!$B$4)/28.31685,0)</f>
        <v>0</v>
      </c>
      <c r="BI324" s="73">
        <f t="shared" si="103"/>
        <v>0</v>
      </c>
      <c r="BJ324" s="74">
        <f t="shared" si="109"/>
        <v>0</v>
      </c>
      <c r="BK324" s="223">
        <f t="shared" si="107"/>
        <v>0</v>
      </c>
      <c r="BL324" s="442">
        <v>9194.3799999999992</v>
      </c>
      <c r="BM324" s="70">
        <f t="shared" si="108"/>
        <v>0</v>
      </c>
      <c r="BN324" s="70">
        <f t="shared" si="88"/>
        <v>0</v>
      </c>
      <c r="BO324" s="373">
        <f>IFERROR(Tabla1[[#This Row],[ Re. Gas GC
 '[m3']]]/Tabla1[[#This Row],[G. HGS 
Con Gas '[kWh']]],0)</f>
        <v>0</v>
      </c>
      <c r="BP324" s="374">
        <f>Tank!Y325</f>
        <v>0</v>
      </c>
      <c r="BQ324" s="70">
        <f>Tank!AP325</f>
        <v>0</v>
      </c>
      <c r="BR324" s="70">
        <f>Tank!V325</f>
        <v>0</v>
      </c>
      <c r="BS324" s="372">
        <f>Tank!T325</f>
        <v>0</v>
      </c>
      <c r="BT324" s="375" t="s">
        <v>228</v>
      </c>
      <c r="BU324" s="452"/>
      <c r="BV324" s="376">
        <f>IF(Tabla1[[#This Row],[Combustible ofertado]]="GAS",Tabla1[[#This Row],[Disponibilidad]],0)</f>
        <v>0</v>
      </c>
      <c r="BW324" s="376">
        <f>IF(Tabla1[[#This Row],[Combustible ofertado]]="DIESEL",Tabla1[[#This Row],[Disponibilidad]],0)</f>
        <v>0</v>
      </c>
      <c r="BX324" s="376">
        <f>IF(Tabla1[[#This Row],[Combustible ofertado]]="HFO",Tabla1[[#This Row],[Disponibilidad]],0)</f>
        <v>0</v>
      </c>
      <c r="BY324" s="452"/>
      <c r="BZ324" s="446">
        <f>'Horo. M'!C325</f>
        <v>0</v>
      </c>
      <c r="CA324" s="446">
        <f>'Horo. M'!E325</f>
        <v>0</v>
      </c>
      <c r="CB324" s="446">
        <f>'Horo. M'!G325</f>
        <v>0</v>
      </c>
      <c r="CC324" s="446">
        <f>'Horo. M'!I325</f>
        <v>0</v>
      </c>
      <c r="CD324" s="446">
        <f>'Horo. M'!K325</f>
        <v>0</v>
      </c>
      <c r="CE324" s="446">
        <f>'Horo. M'!M325</f>
        <v>0</v>
      </c>
      <c r="CF324" s="446">
        <f>'Horo. M'!O325</f>
        <v>0</v>
      </c>
      <c r="CG324" s="446">
        <f>'Horo. M'!Q325</f>
        <v>0</v>
      </c>
      <c r="CH324" s="446">
        <f>'Horo. M'!S325</f>
        <v>0</v>
      </c>
      <c r="CI324" s="446">
        <f>'Horo. M'!U325</f>
        <v>0</v>
      </c>
      <c r="CJ324" s="70">
        <f>Tabla1[[#This Row],[Con. DO Storage '[gal']]]-Tabla1[[#This Row],[C. DO Storage Ge '[gal']]]</f>
        <v>0</v>
      </c>
      <c r="CK324" s="372"/>
      <c r="CL324" s="372"/>
      <c r="CM324" s="70">
        <f>Tabla1[[#This Row],[Con. DO Total '[gal']]]*131485.5/(1000000)</f>
        <v>0</v>
      </c>
      <c r="CU324" s="10">
        <v>1122.0887</v>
      </c>
    </row>
    <row r="325" spans="1:99" ht="15" customHeight="1">
      <c r="A325" s="362">
        <v>45250</v>
      </c>
      <c r="B325" s="363" t="str">
        <f>TEXT(Tabla1[[#This Row],[Fecha]],"mmmm")</f>
        <v>noviembre</v>
      </c>
      <c r="C325" s="364"/>
      <c r="D325" s="366"/>
      <c r="E325" s="366"/>
      <c r="F325" s="366"/>
      <c r="G325" s="377"/>
      <c r="H325" s="377"/>
      <c r="I325" s="378"/>
      <c r="J325" s="378"/>
      <c r="K325" s="366"/>
      <c r="L325" s="366"/>
      <c r="M325" s="365">
        <f>Tabla1[[#This Row],[Columna1]]-Tabla1[[#This Row],[PO '[h']]]</f>
        <v>0</v>
      </c>
      <c r="N325" s="366">
        <f t="shared" si="104"/>
        <v>0</v>
      </c>
      <c r="O325" s="365"/>
      <c r="P325" s="367">
        <f>Tabla1[[#This Row],[G. HGS 
'[MWh']]]</f>
        <v>0</v>
      </c>
      <c r="Q325" s="430">
        <v>0</v>
      </c>
      <c r="R325" s="367">
        <v>0</v>
      </c>
      <c r="S325" s="367">
        <f>Tabla1[[#This Row],[G. HGS 
Con Gas]]*1000</f>
        <v>0</v>
      </c>
      <c r="T325" s="365">
        <f>Tabla1[[#This Row],[G. HGS 
'[MWh']]]*1000</f>
        <v>0</v>
      </c>
      <c r="U325" s="368">
        <f>SUM('G. Un GE'!B325:Y325)</f>
        <v>0</v>
      </c>
      <c r="V325" s="369">
        <f>Tabla1[[#This Row],[R. GE
'[MWh']]]</f>
        <v>0</v>
      </c>
      <c r="W325" s="434">
        <v>0</v>
      </c>
      <c r="X325" s="369">
        <v>0</v>
      </c>
      <c r="Y325" s="365">
        <f>Tabla1[[#This Row],[R. GE
'[MWh']]]*1000</f>
        <v>0</v>
      </c>
      <c r="Z325" s="371"/>
      <c r="AA32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5" s="371">
        <f>IF(Tabla1[[#This Row],[G. HGS 
'[MWh']]]=0,0,Tabla1[[#This Row],[G. HGS 
'[MWh']]]+Tabla1[[#This Row],[Con. Aux. '[MWh']2]])</f>
        <v>0</v>
      </c>
      <c r="AC325" s="368">
        <f>'C. ENER. TN'!F325</f>
        <v>0</v>
      </c>
      <c r="AD325" s="370">
        <f>'C. ENER. TN'!G325</f>
        <v>0</v>
      </c>
      <c r="AE325" s="370">
        <f>'G. Un GE'!AX325</f>
        <v>0</v>
      </c>
      <c r="AF325" s="368">
        <f>IFERROR('G. Un GE'!AX325/Tabla1[[#This Row],[PO '[h']]],0)</f>
        <v>0</v>
      </c>
      <c r="AG325" s="365">
        <f>'Ar-Pa'!AX325</f>
        <v>0</v>
      </c>
      <c r="AH325" s="365">
        <f>'Ar-Pa'!AY325</f>
        <v>0</v>
      </c>
      <c r="AI325" s="366">
        <f>SUM('Cal. Arr'!AB328:AY328)</f>
        <v>0</v>
      </c>
      <c r="AJ325" s="442"/>
      <c r="AK325" s="443"/>
      <c r="AL325" s="372">
        <f t="shared" si="97"/>
        <v>0</v>
      </c>
      <c r="AM325" s="372">
        <f>+CONVERT(AK325+Tabla1[[#This Row],[Con. DO Storage Gen. '[m3']]],"m^3","gal")</f>
        <v>0</v>
      </c>
      <c r="AN325" s="372">
        <f>SUM('DO Pilot'!B325:Y325)</f>
        <v>0</v>
      </c>
      <c r="AO325" s="372">
        <f t="shared" si="98"/>
        <v>0</v>
      </c>
      <c r="AP325" s="372">
        <f t="shared" si="99"/>
        <v>0</v>
      </c>
      <c r="AQ325" s="372">
        <f t="shared" si="100"/>
        <v>0</v>
      </c>
      <c r="AR325" s="443"/>
      <c r="AS325" s="443"/>
      <c r="AT325" s="267">
        <f>+CONVERT(SUM(Tabla1[[#This Row],[Repo. DO Storage '[gal']]:[Repo. DO Pilot '[gal']]]),"gal","m3")</f>
        <v>0</v>
      </c>
      <c r="AU325" s="442">
        <v>0</v>
      </c>
      <c r="AV325" s="372">
        <f t="shared" si="101"/>
        <v>0</v>
      </c>
      <c r="AW325" s="442">
        <v>0</v>
      </c>
      <c r="AX325" s="372">
        <f t="shared" si="102"/>
        <v>0</v>
      </c>
      <c r="AY325" s="372">
        <f t="shared" si="105"/>
        <v>0</v>
      </c>
      <c r="AZ325" s="372">
        <f>IFERROR(AL325/'Ar-Pa'!AX325,0)</f>
        <v>0</v>
      </c>
      <c r="BA325" s="372">
        <f>IFERROR(AL325/'Ar-Pa'!AY325,0)</f>
        <v>0</v>
      </c>
      <c r="BB325" s="372">
        <f t="shared" si="106"/>
        <v>0</v>
      </c>
      <c r="BC325" s="372">
        <f>IFERROR(AVERAGEIF('DO Pilot'!AX325:BU325,"&gt;0"),0)</f>
        <v>0</v>
      </c>
      <c r="BD325" s="446"/>
      <c r="BE325" s="446"/>
      <c r="BF325" s="446"/>
      <c r="BG325" s="223">
        <f>Tabla1[[#This Row],[ Re. Gas GC
 '[m3']]]</f>
        <v>0</v>
      </c>
      <c r="BH325" s="150">
        <f>IFERROR((BG325*Gas!$B$4)/28.31685,0)</f>
        <v>0</v>
      </c>
      <c r="BI325" s="73">
        <f t="shared" si="103"/>
        <v>0</v>
      </c>
      <c r="BJ325" s="74">
        <f t="shared" si="109"/>
        <v>0</v>
      </c>
      <c r="BK325" s="223">
        <f t="shared" si="107"/>
        <v>0</v>
      </c>
      <c r="BL325" s="442">
        <v>9150.07</v>
      </c>
      <c r="BM325" s="70">
        <f t="shared" si="108"/>
        <v>0</v>
      </c>
      <c r="BN325" s="70">
        <f t="shared" si="88"/>
        <v>0</v>
      </c>
      <c r="BO325" s="373">
        <f>IFERROR(Tabla1[[#This Row],[ Re. Gas GC
 '[m3']]]/Tabla1[[#This Row],[G. HGS 
Con Gas '[kWh']]],0)</f>
        <v>0</v>
      </c>
      <c r="BP325" s="374">
        <f>Tank!Y326</f>
        <v>0</v>
      </c>
      <c r="BQ325" s="70">
        <f>Tank!AP326</f>
        <v>0</v>
      </c>
      <c r="BR325" s="70">
        <f>Tank!V326</f>
        <v>0</v>
      </c>
      <c r="BS325" s="372">
        <f>Tank!T326</f>
        <v>0</v>
      </c>
      <c r="BT325" s="375" t="s">
        <v>228</v>
      </c>
      <c r="BU325" s="452"/>
      <c r="BV325" s="376">
        <f>IF(Tabla1[[#This Row],[Combustible ofertado]]="GAS",Tabla1[[#This Row],[Disponibilidad]],0)</f>
        <v>0</v>
      </c>
      <c r="BW325" s="376">
        <f>IF(Tabla1[[#This Row],[Combustible ofertado]]="DIESEL",Tabla1[[#This Row],[Disponibilidad]],0)</f>
        <v>0</v>
      </c>
      <c r="BX325" s="376">
        <f>IF(Tabla1[[#This Row],[Combustible ofertado]]="HFO",Tabla1[[#This Row],[Disponibilidad]],0)</f>
        <v>0</v>
      </c>
      <c r="BY325" s="452"/>
      <c r="BZ325" s="446">
        <f>'Horo. M'!C326</f>
        <v>0</v>
      </c>
      <c r="CA325" s="446">
        <f>'Horo. M'!E326</f>
        <v>0</v>
      </c>
      <c r="CB325" s="446">
        <f>'Horo. M'!G326</f>
        <v>0</v>
      </c>
      <c r="CC325" s="446">
        <f>'Horo. M'!I326</f>
        <v>0</v>
      </c>
      <c r="CD325" s="446">
        <f>'Horo. M'!K326</f>
        <v>0</v>
      </c>
      <c r="CE325" s="446">
        <f>'Horo. M'!M326</f>
        <v>0</v>
      </c>
      <c r="CF325" s="446">
        <f>'Horo. M'!O326</f>
        <v>0</v>
      </c>
      <c r="CG325" s="446">
        <f>'Horo. M'!Q326</f>
        <v>0</v>
      </c>
      <c r="CH325" s="446">
        <f>'Horo. M'!S326</f>
        <v>0</v>
      </c>
      <c r="CI325" s="446">
        <f>'Horo. M'!U326</f>
        <v>0</v>
      </c>
      <c r="CJ325" s="70">
        <f>Tabla1[[#This Row],[Con. DO Storage '[gal']]]-Tabla1[[#This Row],[C. DO Storage Ge '[gal']]]</f>
        <v>0</v>
      </c>
      <c r="CK325" s="372"/>
      <c r="CL325" s="372"/>
      <c r="CM325" s="70">
        <f>Tabla1[[#This Row],[Con. DO Total '[gal']]]*131485.5/(1000000)</f>
        <v>0</v>
      </c>
      <c r="CU325" s="10">
        <v>1071.3931</v>
      </c>
    </row>
    <row r="326" spans="1:99" ht="15" customHeight="1">
      <c r="A326" s="362">
        <v>45251</v>
      </c>
      <c r="B326" s="363" t="str">
        <f>TEXT(Tabla1[[#This Row],[Fecha]],"mmmm")</f>
        <v>noviembre</v>
      </c>
      <c r="C326" s="364"/>
      <c r="D326" s="366"/>
      <c r="E326" s="366"/>
      <c r="F326" s="366"/>
      <c r="G326" s="377"/>
      <c r="H326" s="377"/>
      <c r="I326" s="378"/>
      <c r="J326" s="378"/>
      <c r="K326" s="366"/>
      <c r="L326" s="366"/>
      <c r="M326" s="365">
        <f>Tabla1[[#This Row],[Columna1]]-Tabla1[[#This Row],[PO '[h']]]</f>
        <v>0</v>
      </c>
      <c r="N326" s="366">
        <f t="shared" si="104"/>
        <v>0</v>
      </c>
      <c r="O326" s="365"/>
      <c r="P326" s="367">
        <f>Tabla1[[#This Row],[G. HGS 
'[MWh']]]</f>
        <v>0</v>
      </c>
      <c r="Q326" s="430">
        <v>0</v>
      </c>
      <c r="R326" s="367">
        <v>0</v>
      </c>
      <c r="S326" s="367">
        <f>Tabla1[[#This Row],[G. HGS 
Con Gas]]*1000</f>
        <v>0</v>
      </c>
      <c r="T326" s="365">
        <f>Tabla1[[#This Row],[G. HGS 
'[MWh']]]*1000</f>
        <v>0</v>
      </c>
      <c r="U326" s="368">
        <f>SUM('G. Un GE'!B326:Y326)</f>
        <v>0</v>
      </c>
      <c r="V326" s="369">
        <f>Tabla1[[#This Row],[R. GE
'[MWh']]]</f>
        <v>0</v>
      </c>
      <c r="W326" s="434">
        <v>0</v>
      </c>
      <c r="X326" s="369">
        <v>0</v>
      </c>
      <c r="Y326" s="365">
        <f>Tabla1[[#This Row],[R. GE
'[MWh']]]*1000</f>
        <v>0</v>
      </c>
      <c r="Z326" s="371"/>
      <c r="AA32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6" s="371">
        <f>IF(Tabla1[[#This Row],[G. HGS 
'[MWh']]]=0,0,Tabla1[[#This Row],[G. HGS 
'[MWh']]]+Tabla1[[#This Row],[Con. Aux. '[MWh']2]])</f>
        <v>0</v>
      </c>
      <c r="AC326" s="368">
        <f>'C. ENER. TN'!F326</f>
        <v>0</v>
      </c>
      <c r="AD326" s="370">
        <f>'C. ENER. TN'!G326</f>
        <v>0</v>
      </c>
      <c r="AE326" s="370">
        <f>'G. Un GE'!AX326</f>
        <v>0</v>
      </c>
      <c r="AF326" s="368">
        <f>IFERROR('G. Un GE'!AX326/Tabla1[[#This Row],[PO '[h']]],0)</f>
        <v>0</v>
      </c>
      <c r="AG326" s="365">
        <f>'Ar-Pa'!AX326</f>
        <v>0</v>
      </c>
      <c r="AH326" s="365">
        <f>'Ar-Pa'!AY326</f>
        <v>0</v>
      </c>
      <c r="AI326" s="366">
        <f>SUM('Cal. Arr'!AB329:AY329)</f>
        <v>0</v>
      </c>
      <c r="AJ326" s="442"/>
      <c r="AK326" s="443"/>
      <c r="AL326" s="372">
        <f t="shared" si="97"/>
        <v>0</v>
      </c>
      <c r="AM326" s="372">
        <f>+CONVERT(AK326+Tabla1[[#This Row],[Con. DO Storage Gen. '[m3']]],"m^3","gal")</f>
        <v>0</v>
      </c>
      <c r="AN326" s="372">
        <f>SUM('DO Pilot'!B326:Y326)</f>
        <v>0</v>
      </c>
      <c r="AO326" s="372">
        <f t="shared" si="98"/>
        <v>0</v>
      </c>
      <c r="AP326" s="372">
        <f t="shared" si="99"/>
        <v>0</v>
      </c>
      <c r="AQ326" s="372">
        <f t="shared" si="100"/>
        <v>0</v>
      </c>
      <c r="AR326" s="443"/>
      <c r="AS326" s="443"/>
      <c r="AT326" s="267">
        <f>+CONVERT(SUM(Tabla1[[#This Row],[Repo. DO Storage '[gal']]:[Repo. DO Pilot '[gal']]]),"gal","m3")</f>
        <v>0</v>
      </c>
      <c r="AU326" s="442">
        <v>0</v>
      </c>
      <c r="AV326" s="372">
        <f t="shared" si="101"/>
        <v>0</v>
      </c>
      <c r="AW326" s="442">
        <v>0</v>
      </c>
      <c r="AX326" s="372">
        <f t="shared" si="102"/>
        <v>0</v>
      </c>
      <c r="AY326" s="372">
        <f t="shared" si="105"/>
        <v>0</v>
      </c>
      <c r="AZ326" s="372">
        <f>IFERROR(AL326/'Ar-Pa'!AX326,0)</f>
        <v>0</v>
      </c>
      <c r="BA326" s="372">
        <f>IFERROR(AL326/'Ar-Pa'!AY326,0)</f>
        <v>0</v>
      </c>
      <c r="BB326" s="372">
        <f t="shared" si="106"/>
        <v>0</v>
      </c>
      <c r="BC326" s="372">
        <f>IFERROR(AVERAGEIF('DO Pilot'!AX326:BU326,"&gt;0"),0)</f>
        <v>0</v>
      </c>
      <c r="BD326" s="446"/>
      <c r="BE326" s="446"/>
      <c r="BF326" s="446"/>
      <c r="BG326" s="223">
        <f>Tabla1[[#This Row],[ Re. Gas GC
 '[m3']]]</f>
        <v>0</v>
      </c>
      <c r="BH326" s="150">
        <f>IFERROR((BG326*Gas!$B$4)/28.31685,0)</f>
        <v>0</v>
      </c>
      <c r="BI326" s="73">
        <f t="shared" si="103"/>
        <v>0</v>
      </c>
      <c r="BJ326" s="74">
        <f t="shared" si="109"/>
        <v>0</v>
      </c>
      <c r="BK326" s="223">
        <f t="shared" si="107"/>
        <v>0</v>
      </c>
      <c r="BL326" s="442">
        <v>9086.57</v>
      </c>
      <c r="BM326" s="70">
        <f t="shared" si="108"/>
        <v>0</v>
      </c>
      <c r="BN326" s="70">
        <f t="shared" si="88"/>
        <v>0</v>
      </c>
      <c r="BO326" s="373">
        <f>IFERROR(Tabla1[[#This Row],[ Re. Gas GC
 '[m3']]]/Tabla1[[#This Row],[G. HGS 
Con Gas '[kWh']]],0)</f>
        <v>0</v>
      </c>
      <c r="BP326" s="374">
        <f>Tank!Y327</f>
        <v>0</v>
      </c>
      <c r="BQ326" s="70">
        <f>Tank!AP327</f>
        <v>0</v>
      </c>
      <c r="BR326" s="70">
        <f>Tank!V327</f>
        <v>0</v>
      </c>
      <c r="BS326" s="372">
        <f>Tank!T327</f>
        <v>0</v>
      </c>
      <c r="BT326" s="375" t="s">
        <v>228</v>
      </c>
      <c r="BU326" s="452"/>
      <c r="BV326" s="376">
        <f>IF(Tabla1[[#This Row],[Combustible ofertado]]="GAS",Tabla1[[#This Row],[Disponibilidad]],0)</f>
        <v>0</v>
      </c>
      <c r="BW326" s="376">
        <f>IF(Tabla1[[#This Row],[Combustible ofertado]]="DIESEL",Tabla1[[#This Row],[Disponibilidad]],0)</f>
        <v>0</v>
      </c>
      <c r="BX326" s="376">
        <f>IF(Tabla1[[#This Row],[Combustible ofertado]]="HFO",Tabla1[[#This Row],[Disponibilidad]],0)</f>
        <v>0</v>
      </c>
      <c r="BY326" s="452"/>
      <c r="BZ326" s="446">
        <f>'Horo. M'!C327</f>
        <v>0</v>
      </c>
      <c r="CA326" s="446">
        <f>'Horo. M'!E327</f>
        <v>0</v>
      </c>
      <c r="CB326" s="446">
        <f>'Horo. M'!G327</f>
        <v>0</v>
      </c>
      <c r="CC326" s="446">
        <f>'Horo. M'!I327</f>
        <v>0</v>
      </c>
      <c r="CD326" s="446">
        <f>'Horo. M'!K327</f>
        <v>0</v>
      </c>
      <c r="CE326" s="446">
        <f>'Horo. M'!M327</f>
        <v>0</v>
      </c>
      <c r="CF326" s="446">
        <f>'Horo. M'!O327</f>
        <v>0</v>
      </c>
      <c r="CG326" s="446">
        <f>'Horo. M'!Q327</f>
        <v>0</v>
      </c>
      <c r="CH326" s="446">
        <f>'Horo. M'!S327</f>
        <v>0</v>
      </c>
      <c r="CI326" s="446">
        <f>'Horo. M'!U327</f>
        <v>0</v>
      </c>
      <c r="CJ326" s="70">
        <f>Tabla1[[#This Row],[Con. DO Storage '[gal']]]-Tabla1[[#This Row],[C. DO Storage Ge '[gal']]]</f>
        <v>0</v>
      </c>
      <c r="CK326" s="372"/>
      <c r="CL326" s="372"/>
      <c r="CM326" s="70">
        <f>Tabla1[[#This Row],[Con. DO Total '[gal']]]*131485.5/(1000000)</f>
        <v>0</v>
      </c>
      <c r="CU326" s="10">
        <v>1068.7954999999999</v>
      </c>
    </row>
    <row r="327" spans="1:99" ht="15" customHeight="1">
      <c r="A327" s="362">
        <v>45252</v>
      </c>
      <c r="B327" s="363" t="str">
        <f>TEXT(Tabla1[[#This Row],[Fecha]],"mmmm")</f>
        <v>noviembre</v>
      </c>
      <c r="C327" s="364"/>
      <c r="D327" s="366"/>
      <c r="E327" s="366"/>
      <c r="F327" s="366"/>
      <c r="G327" s="377"/>
      <c r="H327" s="377"/>
      <c r="I327" s="378"/>
      <c r="J327" s="378"/>
      <c r="K327" s="366"/>
      <c r="L327" s="366"/>
      <c r="M327" s="365">
        <f>Tabla1[[#This Row],[Columna1]]-Tabla1[[#This Row],[PO '[h']]]</f>
        <v>0</v>
      </c>
      <c r="N327" s="366">
        <f t="shared" si="104"/>
        <v>0</v>
      </c>
      <c r="O327" s="365"/>
      <c r="P327" s="367">
        <f>Tabla1[[#This Row],[G. HGS 
'[MWh']]]</f>
        <v>0</v>
      </c>
      <c r="Q327" s="430">
        <v>0</v>
      </c>
      <c r="R327" s="367">
        <v>0</v>
      </c>
      <c r="S327" s="367">
        <f>Tabla1[[#This Row],[G. HGS 
Con Gas]]*1000</f>
        <v>0</v>
      </c>
      <c r="T327" s="365">
        <f>Tabla1[[#This Row],[G. HGS 
'[MWh']]]*1000</f>
        <v>0</v>
      </c>
      <c r="U327" s="368">
        <f>SUM('G. Un GE'!B327:Y327)</f>
        <v>0</v>
      </c>
      <c r="V327" s="369">
        <f>Tabla1[[#This Row],[R. GE
'[MWh']]]</f>
        <v>0</v>
      </c>
      <c r="W327" s="434">
        <v>0</v>
      </c>
      <c r="X327" s="369">
        <v>0</v>
      </c>
      <c r="Y327" s="365">
        <f>Tabla1[[#This Row],[R. GE
'[MWh']]]*1000</f>
        <v>0</v>
      </c>
      <c r="Z327" s="371"/>
      <c r="AA32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7" s="371">
        <f>IF(Tabla1[[#This Row],[G. HGS 
'[MWh']]]=0,0,Tabla1[[#This Row],[G. HGS 
'[MWh']]]+Tabla1[[#This Row],[Con. Aux. '[MWh']2]])</f>
        <v>0</v>
      </c>
      <c r="AC327" s="368">
        <f>'C. ENER. TN'!F327</f>
        <v>0</v>
      </c>
      <c r="AD327" s="370">
        <f>'C. ENER. TN'!G327</f>
        <v>0</v>
      </c>
      <c r="AE327" s="370">
        <f>'G. Un GE'!AX327</f>
        <v>0</v>
      </c>
      <c r="AF327" s="368">
        <f>IFERROR('G. Un GE'!AX327/Tabla1[[#This Row],[PO '[h']]],0)</f>
        <v>0</v>
      </c>
      <c r="AG327" s="365">
        <f>'Ar-Pa'!AX327</f>
        <v>0</v>
      </c>
      <c r="AH327" s="365">
        <f>'Ar-Pa'!AY327</f>
        <v>0</v>
      </c>
      <c r="AI327" s="366">
        <f>SUM('Cal. Arr'!AB330:AY330)</f>
        <v>0</v>
      </c>
      <c r="AJ327" s="442"/>
      <c r="AK327" s="443"/>
      <c r="AL327" s="372">
        <f t="shared" si="97"/>
        <v>0</v>
      </c>
      <c r="AM327" s="372">
        <f>+CONVERT(AK327+Tabla1[[#This Row],[Con. DO Storage Gen. '[m3']]],"m^3","gal")</f>
        <v>0</v>
      </c>
      <c r="AN327" s="372">
        <f>SUM('DO Pilot'!B327:Y327)</f>
        <v>0</v>
      </c>
      <c r="AO327" s="372">
        <f t="shared" si="98"/>
        <v>0</v>
      </c>
      <c r="AP327" s="372">
        <f t="shared" si="99"/>
        <v>0</v>
      </c>
      <c r="AQ327" s="372">
        <f t="shared" si="100"/>
        <v>0</v>
      </c>
      <c r="AR327" s="443"/>
      <c r="AS327" s="443"/>
      <c r="AT327" s="267">
        <f>+CONVERT(SUM(Tabla1[[#This Row],[Repo. DO Storage '[gal']]:[Repo. DO Pilot '[gal']]]),"gal","m3")</f>
        <v>0</v>
      </c>
      <c r="AU327" s="442">
        <v>0</v>
      </c>
      <c r="AV327" s="372">
        <f t="shared" si="101"/>
        <v>0</v>
      </c>
      <c r="AW327" s="442">
        <v>0</v>
      </c>
      <c r="AX327" s="372">
        <f t="shared" si="102"/>
        <v>0</v>
      </c>
      <c r="AY327" s="372">
        <f t="shared" si="105"/>
        <v>0</v>
      </c>
      <c r="AZ327" s="372">
        <f>IFERROR(AL327/'Ar-Pa'!AX327,0)</f>
        <v>0</v>
      </c>
      <c r="BA327" s="372">
        <f>IFERROR(AL327/'Ar-Pa'!AY327,0)</f>
        <v>0</v>
      </c>
      <c r="BB327" s="372">
        <f t="shared" si="106"/>
        <v>0</v>
      </c>
      <c r="BC327" s="372">
        <f>IFERROR(AVERAGEIF('DO Pilot'!AX327:BU327,"&gt;0"),0)</f>
        <v>0</v>
      </c>
      <c r="BD327" s="446"/>
      <c r="BE327" s="446"/>
      <c r="BF327" s="446"/>
      <c r="BG327" s="223">
        <f>Tabla1[[#This Row],[ Re. Gas GC
 '[m3']]]</f>
        <v>0</v>
      </c>
      <c r="BH327" s="150">
        <f>IFERROR((BG327*Gas!$B$4)/28.31685,0)</f>
        <v>0</v>
      </c>
      <c r="BI327" s="73">
        <f t="shared" si="103"/>
        <v>0</v>
      </c>
      <c r="BJ327" s="74">
        <f t="shared" si="109"/>
        <v>0</v>
      </c>
      <c r="BK327" s="223">
        <f t="shared" si="107"/>
        <v>0</v>
      </c>
      <c r="BL327" s="442">
        <v>9080.08</v>
      </c>
      <c r="BM327" s="70">
        <f t="shared" si="108"/>
        <v>0</v>
      </c>
      <c r="BN327" s="70">
        <f t="shared" si="88"/>
        <v>0</v>
      </c>
      <c r="BO327" s="373">
        <f>IFERROR(Tabla1[[#This Row],[ Re. Gas GC
 '[m3']]]/Tabla1[[#This Row],[G. HGS 
Con Gas '[kWh']]],0)</f>
        <v>0</v>
      </c>
      <c r="BP327" s="374">
        <f>Tank!Y328</f>
        <v>0</v>
      </c>
      <c r="BQ327" s="70">
        <f>Tank!AP328</f>
        <v>0</v>
      </c>
      <c r="BR327" s="70">
        <f>Tank!V328</f>
        <v>0</v>
      </c>
      <c r="BS327" s="372">
        <f>Tank!T328</f>
        <v>0</v>
      </c>
      <c r="BT327" s="375" t="s">
        <v>228</v>
      </c>
      <c r="BU327" s="452"/>
      <c r="BV327" s="376">
        <f>IF(Tabla1[[#This Row],[Combustible ofertado]]="GAS",Tabla1[[#This Row],[Disponibilidad]],0)</f>
        <v>0</v>
      </c>
      <c r="BW327" s="376">
        <f>IF(Tabla1[[#This Row],[Combustible ofertado]]="DIESEL",Tabla1[[#This Row],[Disponibilidad]],0)</f>
        <v>0</v>
      </c>
      <c r="BX327" s="376">
        <f>IF(Tabla1[[#This Row],[Combustible ofertado]]="HFO",Tabla1[[#This Row],[Disponibilidad]],0)</f>
        <v>0</v>
      </c>
      <c r="BY327" s="452"/>
      <c r="BZ327" s="446">
        <f>'Horo. M'!C328</f>
        <v>0</v>
      </c>
      <c r="CA327" s="446">
        <f>'Horo. M'!E328</f>
        <v>0</v>
      </c>
      <c r="CB327" s="446">
        <f>'Horo. M'!G328</f>
        <v>0</v>
      </c>
      <c r="CC327" s="446">
        <f>'Horo. M'!I328</f>
        <v>0</v>
      </c>
      <c r="CD327" s="446">
        <f>'Horo. M'!K328</f>
        <v>0</v>
      </c>
      <c r="CE327" s="446">
        <f>'Horo. M'!M328</f>
        <v>0</v>
      </c>
      <c r="CF327" s="446">
        <f>'Horo. M'!O328</f>
        <v>0</v>
      </c>
      <c r="CG327" s="446">
        <f>'Horo. M'!Q328</f>
        <v>0</v>
      </c>
      <c r="CH327" s="446">
        <f>'Horo. M'!S328</f>
        <v>0</v>
      </c>
      <c r="CI327" s="446">
        <f>'Horo. M'!U328</f>
        <v>0</v>
      </c>
      <c r="CJ327" s="70">
        <f>Tabla1[[#This Row],[Con. DO Storage '[gal']]]-Tabla1[[#This Row],[C. DO Storage Ge '[gal']]]</f>
        <v>0</v>
      </c>
      <c r="CK327" s="372"/>
      <c r="CL327" s="372"/>
      <c r="CM327" s="70">
        <f>Tabla1[[#This Row],[Con. DO Total '[gal']]]*131485.5/(1000000)</f>
        <v>0</v>
      </c>
      <c r="CU327" s="10">
        <v>889.226</v>
      </c>
    </row>
    <row r="328" spans="1:99" ht="15" customHeight="1">
      <c r="A328" s="362">
        <v>45253</v>
      </c>
      <c r="B328" s="363" t="str">
        <f>TEXT(Tabla1[[#This Row],[Fecha]],"mmmm")</f>
        <v>noviembre</v>
      </c>
      <c r="C328" s="364"/>
      <c r="D328" s="366"/>
      <c r="E328" s="366"/>
      <c r="F328" s="366"/>
      <c r="G328" s="377"/>
      <c r="H328" s="377"/>
      <c r="I328" s="378"/>
      <c r="J328" s="378"/>
      <c r="K328" s="366"/>
      <c r="L328" s="366"/>
      <c r="M328" s="365">
        <f>Tabla1[[#This Row],[Columna1]]-Tabla1[[#This Row],[PO '[h']]]</f>
        <v>0</v>
      </c>
      <c r="N328" s="366">
        <f t="shared" si="104"/>
        <v>0</v>
      </c>
      <c r="O328" s="365"/>
      <c r="P328" s="367">
        <f>Tabla1[[#This Row],[G. HGS 
'[MWh']]]</f>
        <v>0</v>
      </c>
      <c r="Q328" s="430">
        <v>0</v>
      </c>
      <c r="R328" s="367">
        <v>0</v>
      </c>
      <c r="S328" s="367">
        <f>Tabla1[[#This Row],[G. HGS 
Con Gas]]*1000</f>
        <v>0</v>
      </c>
      <c r="T328" s="365">
        <f>Tabla1[[#This Row],[G. HGS 
'[MWh']]]*1000</f>
        <v>0</v>
      </c>
      <c r="U328" s="368">
        <f>SUM('G. Un GE'!B328:Y328)</f>
        <v>0</v>
      </c>
      <c r="V328" s="369">
        <f>Tabla1[[#This Row],[R. GE
'[MWh']]]</f>
        <v>0</v>
      </c>
      <c r="W328" s="434">
        <v>0</v>
      </c>
      <c r="X328" s="369">
        <v>0</v>
      </c>
      <c r="Y328" s="365">
        <f>Tabla1[[#This Row],[R. GE
'[MWh']]]*1000</f>
        <v>0</v>
      </c>
      <c r="Z328" s="371"/>
      <c r="AA32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8" s="371">
        <f>IF(Tabla1[[#This Row],[G. HGS 
'[MWh']]]=0,0,Tabla1[[#This Row],[G. HGS 
'[MWh']]]+Tabla1[[#This Row],[Con. Aux. '[MWh']2]])</f>
        <v>0</v>
      </c>
      <c r="AC328" s="368">
        <f>'C. ENER. TN'!F328</f>
        <v>0</v>
      </c>
      <c r="AD328" s="370">
        <f>'C. ENER. TN'!G328</f>
        <v>0</v>
      </c>
      <c r="AE328" s="370">
        <f>'G. Un GE'!AX328</f>
        <v>0</v>
      </c>
      <c r="AF328" s="368">
        <f>IFERROR('G. Un GE'!AX328/Tabla1[[#This Row],[PO '[h']]],0)</f>
        <v>0</v>
      </c>
      <c r="AG328" s="365">
        <f>'Ar-Pa'!AX328</f>
        <v>0</v>
      </c>
      <c r="AH328" s="365">
        <f>'Ar-Pa'!AY328</f>
        <v>0</v>
      </c>
      <c r="AI328" s="366">
        <f>SUM('Cal. Arr'!AB331:AY331)</f>
        <v>0</v>
      </c>
      <c r="AJ328" s="442"/>
      <c r="AK328" s="443"/>
      <c r="AL328" s="372">
        <f t="shared" si="97"/>
        <v>0</v>
      </c>
      <c r="AM328" s="372">
        <f>+CONVERT(AK328+Tabla1[[#This Row],[Con. DO Storage Gen. '[m3']]],"m^3","gal")</f>
        <v>0</v>
      </c>
      <c r="AN328" s="372">
        <f>SUM('DO Pilot'!B328:Y328)</f>
        <v>0</v>
      </c>
      <c r="AO328" s="372">
        <f t="shared" si="98"/>
        <v>0</v>
      </c>
      <c r="AP328" s="372">
        <f t="shared" si="99"/>
        <v>0</v>
      </c>
      <c r="AQ328" s="372">
        <f t="shared" si="100"/>
        <v>0</v>
      </c>
      <c r="AR328" s="443"/>
      <c r="AS328" s="443"/>
      <c r="AT328" s="267">
        <f>+CONVERT(SUM(Tabla1[[#This Row],[Repo. DO Storage '[gal']]:[Repo. DO Pilot '[gal']]]),"gal","m3")</f>
        <v>0</v>
      </c>
      <c r="AU328" s="442">
        <v>0</v>
      </c>
      <c r="AV328" s="372">
        <f t="shared" si="101"/>
        <v>0</v>
      </c>
      <c r="AW328" s="442">
        <v>0</v>
      </c>
      <c r="AX328" s="372">
        <f t="shared" si="102"/>
        <v>0</v>
      </c>
      <c r="AY328" s="372">
        <f t="shared" si="105"/>
        <v>0</v>
      </c>
      <c r="AZ328" s="372">
        <f>IFERROR(AL328/'Ar-Pa'!AX328,0)</f>
        <v>0</v>
      </c>
      <c r="BA328" s="372">
        <f>IFERROR(AL328/'Ar-Pa'!AY328,0)</f>
        <v>0</v>
      </c>
      <c r="BB328" s="372">
        <f t="shared" si="106"/>
        <v>0</v>
      </c>
      <c r="BC328" s="372">
        <f>IFERROR(AVERAGEIF('DO Pilot'!AX328:BU328,"&gt;0"),0)</f>
        <v>0</v>
      </c>
      <c r="BD328" s="446"/>
      <c r="BE328" s="446"/>
      <c r="BF328" s="446"/>
      <c r="BG328" s="223">
        <f>Tabla1[[#This Row],[ Re. Gas GC
 '[m3']]]</f>
        <v>0</v>
      </c>
      <c r="BH328" s="150">
        <f>IFERROR((BG328*Gas!$B$4)/28.31685,0)</f>
        <v>0</v>
      </c>
      <c r="BI328" s="73">
        <f t="shared" si="103"/>
        <v>0</v>
      </c>
      <c r="BJ328" s="74">
        <f t="shared" si="109"/>
        <v>0</v>
      </c>
      <c r="BK328" s="223">
        <f t="shared" si="107"/>
        <v>0</v>
      </c>
      <c r="BL328" s="442">
        <v>9149.41</v>
      </c>
      <c r="BM328" s="70">
        <f t="shared" si="108"/>
        <v>0</v>
      </c>
      <c r="BN328" s="70">
        <f t="shared" si="88"/>
        <v>0</v>
      </c>
      <c r="BO328" s="373">
        <f>IFERROR(Tabla1[[#This Row],[ Re. Gas GC
 '[m3']]]/Tabla1[[#This Row],[G. HGS 
Con Gas '[kWh']]],0)</f>
        <v>0</v>
      </c>
      <c r="BP328" s="374">
        <f>Tank!Y329</f>
        <v>0</v>
      </c>
      <c r="BQ328" s="70">
        <f>Tank!AP329</f>
        <v>0</v>
      </c>
      <c r="BR328" s="70">
        <f>Tank!V329</f>
        <v>0</v>
      </c>
      <c r="BS328" s="372">
        <f>Tank!T329</f>
        <v>0</v>
      </c>
      <c r="BT328" s="375" t="s">
        <v>228</v>
      </c>
      <c r="BU328" s="452"/>
      <c r="BV328" s="376">
        <f>IF(Tabla1[[#This Row],[Combustible ofertado]]="GAS",Tabla1[[#This Row],[Disponibilidad]],0)</f>
        <v>0</v>
      </c>
      <c r="BW328" s="376">
        <f>IF(Tabla1[[#This Row],[Combustible ofertado]]="DIESEL",Tabla1[[#This Row],[Disponibilidad]],0)</f>
        <v>0</v>
      </c>
      <c r="BX328" s="376">
        <f>IF(Tabla1[[#This Row],[Combustible ofertado]]="HFO",Tabla1[[#This Row],[Disponibilidad]],0)</f>
        <v>0</v>
      </c>
      <c r="BY328" s="452"/>
      <c r="BZ328" s="446">
        <f>'Horo. M'!C329</f>
        <v>0</v>
      </c>
      <c r="CA328" s="446">
        <f>'Horo. M'!E329</f>
        <v>0</v>
      </c>
      <c r="CB328" s="446">
        <f>'Horo. M'!G329</f>
        <v>0</v>
      </c>
      <c r="CC328" s="446">
        <f>'Horo. M'!I329</f>
        <v>0</v>
      </c>
      <c r="CD328" s="446">
        <f>'Horo. M'!K329</f>
        <v>0</v>
      </c>
      <c r="CE328" s="446">
        <f>'Horo. M'!M329</f>
        <v>0</v>
      </c>
      <c r="CF328" s="446">
        <f>'Horo. M'!O329</f>
        <v>0</v>
      </c>
      <c r="CG328" s="446">
        <f>'Horo. M'!Q329</f>
        <v>0</v>
      </c>
      <c r="CH328" s="446">
        <f>'Horo. M'!S329</f>
        <v>0</v>
      </c>
      <c r="CI328" s="446">
        <f>'Horo. M'!U329</f>
        <v>0</v>
      </c>
      <c r="CJ328" s="70">
        <f>Tabla1[[#This Row],[Con. DO Storage '[gal']]]-Tabla1[[#This Row],[C. DO Storage Ge '[gal']]]</f>
        <v>0</v>
      </c>
      <c r="CK328" s="372"/>
      <c r="CL328" s="372"/>
      <c r="CM328" s="70">
        <f>Tabla1[[#This Row],[Con. DO Total '[gal']]]*131485.5/(1000000)</f>
        <v>0</v>
      </c>
      <c r="CU328" s="10">
        <v>956.28869999999995</v>
      </c>
    </row>
    <row r="329" spans="1:99" ht="15" customHeight="1">
      <c r="A329" s="362">
        <v>45254</v>
      </c>
      <c r="B329" s="363" t="str">
        <f>TEXT(Tabla1[[#This Row],[Fecha]],"mmmm")</f>
        <v>noviembre</v>
      </c>
      <c r="C329" s="364"/>
      <c r="D329" s="366"/>
      <c r="E329" s="366"/>
      <c r="F329" s="366"/>
      <c r="G329" s="377"/>
      <c r="H329" s="377"/>
      <c r="I329" s="378"/>
      <c r="J329" s="378"/>
      <c r="K329" s="366"/>
      <c r="L329" s="366"/>
      <c r="M329" s="365">
        <f>Tabla1[[#This Row],[Columna1]]-Tabla1[[#This Row],[PO '[h']]]</f>
        <v>0</v>
      </c>
      <c r="N329" s="366">
        <f t="shared" si="104"/>
        <v>0</v>
      </c>
      <c r="O329" s="365"/>
      <c r="P329" s="367">
        <f>Tabla1[[#This Row],[G. HGS 
'[MWh']]]</f>
        <v>0</v>
      </c>
      <c r="Q329" s="430">
        <v>0</v>
      </c>
      <c r="R329" s="367">
        <v>0</v>
      </c>
      <c r="S329" s="367">
        <f>Tabla1[[#This Row],[G. HGS 
Con Gas]]*1000</f>
        <v>0</v>
      </c>
      <c r="T329" s="365">
        <f>Tabla1[[#This Row],[G. HGS 
'[MWh']]]*1000</f>
        <v>0</v>
      </c>
      <c r="U329" s="368">
        <f>SUM('G. Un GE'!B329:Y329)</f>
        <v>0</v>
      </c>
      <c r="V329" s="369">
        <f>Tabla1[[#This Row],[R. GE
'[MWh']]]</f>
        <v>0</v>
      </c>
      <c r="W329" s="434">
        <v>0</v>
      </c>
      <c r="X329" s="369">
        <v>0</v>
      </c>
      <c r="Y329" s="365">
        <f>Tabla1[[#This Row],[R. GE
'[MWh']]]*1000</f>
        <v>0</v>
      </c>
      <c r="Z329" s="371"/>
      <c r="AA32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29" s="371">
        <f>IF(Tabla1[[#This Row],[G. HGS 
'[MWh']]]=0,0,Tabla1[[#This Row],[G. HGS 
'[MWh']]]+Tabla1[[#This Row],[Con. Aux. '[MWh']2]])</f>
        <v>0</v>
      </c>
      <c r="AC329" s="368">
        <f>'C. ENER. TN'!F329</f>
        <v>0</v>
      </c>
      <c r="AD329" s="370">
        <f>'C. ENER. TN'!G329</f>
        <v>0</v>
      </c>
      <c r="AE329" s="370">
        <f>'G. Un GE'!AX329</f>
        <v>0</v>
      </c>
      <c r="AF329" s="368">
        <f>IFERROR('G. Un GE'!AX329/Tabla1[[#This Row],[PO '[h']]],0)</f>
        <v>0</v>
      </c>
      <c r="AG329" s="365">
        <f>'Ar-Pa'!AX329</f>
        <v>0</v>
      </c>
      <c r="AH329" s="365">
        <f>'Ar-Pa'!AY329</f>
        <v>0</v>
      </c>
      <c r="AI329" s="366">
        <f>SUM('Cal. Arr'!AB332:AY332)</f>
        <v>0</v>
      </c>
      <c r="AJ329" s="442"/>
      <c r="AK329" s="443"/>
      <c r="AL329" s="372">
        <f t="shared" si="97"/>
        <v>0</v>
      </c>
      <c r="AM329" s="372">
        <f>+CONVERT(AK329+Tabla1[[#This Row],[Con. DO Storage Gen. '[m3']]],"m^3","gal")</f>
        <v>0</v>
      </c>
      <c r="AN329" s="372">
        <f>SUM('DO Pilot'!B329:Y329)</f>
        <v>0</v>
      </c>
      <c r="AO329" s="372">
        <f t="shared" si="98"/>
        <v>0</v>
      </c>
      <c r="AP329" s="372">
        <f t="shared" si="99"/>
        <v>0</v>
      </c>
      <c r="AQ329" s="372">
        <f t="shared" si="100"/>
        <v>0</v>
      </c>
      <c r="AR329" s="443"/>
      <c r="AS329" s="443"/>
      <c r="AT329" s="267">
        <f>+CONVERT(SUM(Tabla1[[#This Row],[Repo. DO Storage '[gal']]:[Repo. DO Pilot '[gal']]]),"gal","m3")</f>
        <v>0</v>
      </c>
      <c r="AU329" s="442">
        <v>0</v>
      </c>
      <c r="AV329" s="372">
        <f t="shared" si="101"/>
        <v>0</v>
      </c>
      <c r="AW329" s="442">
        <v>0</v>
      </c>
      <c r="AX329" s="372">
        <f t="shared" si="102"/>
        <v>0</v>
      </c>
      <c r="AY329" s="372">
        <f t="shared" si="105"/>
        <v>0</v>
      </c>
      <c r="AZ329" s="372">
        <f>IFERROR(AL329/'Ar-Pa'!AX329,0)</f>
        <v>0</v>
      </c>
      <c r="BA329" s="372">
        <f>IFERROR(AL329/'Ar-Pa'!AY329,0)</f>
        <v>0</v>
      </c>
      <c r="BB329" s="372">
        <f t="shared" si="106"/>
        <v>0</v>
      </c>
      <c r="BC329" s="372">
        <f>IFERROR(AVERAGEIF('DO Pilot'!AX329:BU329,"&gt;0"),0)</f>
        <v>0</v>
      </c>
      <c r="BD329" s="446"/>
      <c r="BE329" s="446"/>
      <c r="BF329" s="446"/>
      <c r="BG329" s="223">
        <f>Tabla1[[#This Row],[ Re. Gas GC
 '[m3']]]</f>
        <v>0</v>
      </c>
      <c r="BH329" s="150">
        <f>IFERROR((BG329*Gas!$B$4)/28.31685,0)</f>
        <v>0</v>
      </c>
      <c r="BI329" s="73">
        <f t="shared" si="103"/>
        <v>0</v>
      </c>
      <c r="BJ329" s="74">
        <f t="shared" si="109"/>
        <v>0</v>
      </c>
      <c r="BK329" s="223">
        <f t="shared" si="107"/>
        <v>0</v>
      </c>
      <c r="BL329" s="442">
        <v>9060.2900000000009</v>
      </c>
      <c r="BM329" s="70">
        <f t="shared" si="108"/>
        <v>0</v>
      </c>
      <c r="BN329" s="70">
        <f t="shared" si="88"/>
        <v>0</v>
      </c>
      <c r="BO329" s="373">
        <f>IFERROR(Tabla1[[#This Row],[ Re. Gas GC
 '[m3']]]/Tabla1[[#This Row],[G. HGS 
Con Gas '[kWh']]],0)</f>
        <v>0</v>
      </c>
      <c r="BP329" s="374">
        <f>Tank!Y330</f>
        <v>0</v>
      </c>
      <c r="BQ329" s="70">
        <f>Tank!AP330</f>
        <v>0</v>
      </c>
      <c r="BR329" s="70">
        <f>Tank!V330</f>
        <v>0</v>
      </c>
      <c r="BS329" s="372">
        <f>Tank!T330</f>
        <v>0</v>
      </c>
      <c r="BT329" s="375" t="s">
        <v>228</v>
      </c>
      <c r="BU329" s="452"/>
      <c r="BV329" s="376">
        <f>IF(Tabla1[[#This Row],[Combustible ofertado]]="GAS",Tabla1[[#This Row],[Disponibilidad]],0)</f>
        <v>0</v>
      </c>
      <c r="BW329" s="376">
        <f>IF(Tabla1[[#This Row],[Combustible ofertado]]="DIESEL",Tabla1[[#This Row],[Disponibilidad]],0)</f>
        <v>0</v>
      </c>
      <c r="BX329" s="376">
        <f>IF(Tabla1[[#This Row],[Combustible ofertado]]="HFO",Tabla1[[#This Row],[Disponibilidad]],0)</f>
        <v>0</v>
      </c>
      <c r="BY329" s="452"/>
      <c r="BZ329" s="446">
        <f>'Horo. M'!C330</f>
        <v>0</v>
      </c>
      <c r="CA329" s="446">
        <f>'Horo. M'!E330</f>
        <v>0</v>
      </c>
      <c r="CB329" s="446">
        <f>'Horo. M'!G330</f>
        <v>0</v>
      </c>
      <c r="CC329" s="446">
        <f>'Horo. M'!I330</f>
        <v>0</v>
      </c>
      <c r="CD329" s="446">
        <f>'Horo. M'!K330</f>
        <v>0</v>
      </c>
      <c r="CE329" s="446">
        <f>'Horo. M'!M330</f>
        <v>0</v>
      </c>
      <c r="CF329" s="446">
        <f>'Horo. M'!O330</f>
        <v>0</v>
      </c>
      <c r="CG329" s="446">
        <f>'Horo. M'!Q330</f>
        <v>0</v>
      </c>
      <c r="CH329" s="446">
        <f>'Horo. M'!S330</f>
        <v>0</v>
      </c>
      <c r="CI329" s="446">
        <f>'Horo. M'!U330</f>
        <v>0</v>
      </c>
      <c r="CJ329" s="70">
        <f>Tabla1[[#This Row],[Con. DO Storage '[gal']]]-Tabla1[[#This Row],[C. DO Storage Ge '[gal']]]</f>
        <v>0</v>
      </c>
      <c r="CK329" s="372"/>
      <c r="CL329" s="372"/>
      <c r="CM329" s="70">
        <f>Tabla1[[#This Row],[Con. DO Total '[gal']]]*131485.5/(1000000)</f>
        <v>0</v>
      </c>
      <c r="CU329" s="10">
        <v>648.37089999999989</v>
      </c>
    </row>
    <row r="330" spans="1:99" ht="15" customHeight="1">
      <c r="A330" s="362">
        <v>45255</v>
      </c>
      <c r="B330" s="363" t="str">
        <f>TEXT(Tabla1[[#This Row],[Fecha]],"mmmm")</f>
        <v>noviembre</v>
      </c>
      <c r="C330" s="364"/>
      <c r="D330" s="366"/>
      <c r="E330" s="366"/>
      <c r="F330" s="366"/>
      <c r="G330" s="377"/>
      <c r="H330" s="377"/>
      <c r="I330" s="378"/>
      <c r="J330" s="378"/>
      <c r="K330" s="366"/>
      <c r="L330" s="366"/>
      <c r="M330" s="365">
        <f>Tabla1[[#This Row],[Columna1]]-Tabla1[[#This Row],[PO '[h']]]</f>
        <v>0</v>
      </c>
      <c r="N330" s="366">
        <f t="shared" si="104"/>
        <v>0</v>
      </c>
      <c r="O330" s="365"/>
      <c r="P330" s="367">
        <f>Tabla1[[#This Row],[G. HGS 
'[MWh']]]</f>
        <v>0</v>
      </c>
      <c r="Q330" s="430">
        <v>0</v>
      </c>
      <c r="R330" s="367">
        <v>0</v>
      </c>
      <c r="S330" s="367">
        <f>Tabla1[[#This Row],[G. HGS 
Con Gas]]*1000</f>
        <v>0</v>
      </c>
      <c r="T330" s="365">
        <f>Tabla1[[#This Row],[G. HGS 
'[MWh']]]*1000</f>
        <v>0</v>
      </c>
      <c r="U330" s="368">
        <f>SUM('G. Un GE'!B330:Y330)</f>
        <v>0</v>
      </c>
      <c r="V330" s="369">
        <f>Tabla1[[#This Row],[R. GE
'[MWh']]]</f>
        <v>0</v>
      </c>
      <c r="W330" s="434">
        <v>0</v>
      </c>
      <c r="X330" s="369">
        <v>0</v>
      </c>
      <c r="Y330" s="365">
        <f>Tabla1[[#This Row],[R. GE
'[MWh']]]*1000</f>
        <v>0</v>
      </c>
      <c r="Z330" s="371"/>
      <c r="AA33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0" s="371">
        <f>IF(Tabla1[[#This Row],[G. HGS 
'[MWh']]]=0,0,Tabla1[[#This Row],[G. HGS 
'[MWh']]]+Tabla1[[#This Row],[Con. Aux. '[MWh']2]])</f>
        <v>0</v>
      </c>
      <c r="AC330" s="368">
        <f>'C. ENER. TN'!F330</f>
        <v>0</v>
      </c>
      <c r="AD330" s="370">
        <f>'C. ENER. TN'!G330</f>
        <v>0</v>
      </c>
      <c r="AE330" s="370">
        <f>'G. Un GE'!AX330</f>
        <v>0</v>
      </c>
      <c r="AF330" s="368">
        <f>IFERROR('G. Un GE'!AX330/Tabla1[[#This Row],[PO '[h']]],0)</f>
        <v>0</v>
      </c>
      <c r="AG330" s="365">
        <f>'Ar-Pa'!AX330</f>
        <v>0</v>
      </c>
      <c r="AH330" s="365">
        <f>'Ar-Pa'!AY330</f>
        <v>0</v>
      </c>
      <c r="AI330" s="366">
        <f>SUM('Cal. Arr'!AB333:AY333)</f>
        <v>0</v>
      </c>
      <c r="AJ330" s="442"/>
      <c r="AK330" s="443"/>
      <c r="AL330" s="372">
        <f t="shared" si="97"/>
        <v>0</v>
      </c>
      <c r="AM330" s="372">
        <f>+CONVERT(AK330+Tabla1[[#This Row],[Con. DO Storage Gen. '[m3']]],"m^3","gal")</f>
        <v>0</v>
      </c>
      <c r="AN330" s="372">
        <f>SUM('DO Pilot'!B330:Y330)</f>
        <v>0</v>
      </c>
      <c r="AO330" s="372">
        <f t="shared" si="98"/>
        <v>0</v>
      </c>
      <c r="AP330" s="372">
        <f t="shared" si="99"/>
        <v>0</v>
      </c>
      <c r="AQ330" s="372">
        <f t="shared" si="100"/>
        <v>0</v>
      </c>
      <c r="AR330" s="443"/>
      <c r="AS330" s="443"/>
      <c r="AT330" s="267">
        <f>+CONVERT(SUM(Tabla1[[#This Row],[Repo. DO Storage '[gal']]:[Repo. DO Pilot '[gal']]]),"gal","m3")</f>
        <v>0</v>
      </c>
      <c r="AU330" s="442">
        <v>0</v>
      </c>
      <c r="AV330" s="372">
        <f t="shared" si="101"/>
        <v>0</v>
      </c>
      <c r="AW330" s="442">
        <v>0</v>
      </c>
      <c r="AX330" s="372">
        <f t="shared" si="102"/>
        <v>0</v>
      </c>
      <c r="AY330" s="372">
        <f t="shared" si="105"/>
        <v>0</v>
      </c>
      <c r="AZ330" s="372">
        <f>IFERROR(AL330/'Ar-Pa'!AX330,0)</f>
        <v>0</v>
      </c>
      <c r="BA330" s="372">
        <f>IFERROR(AL330/'Ar-Pa'!AY330,0)</f>
        <v>0</v>
      </c>
      <c r="BB330" s="372">
        <f t="shared" si="106"/>
        <v>0</v>
      </c>
      <c r="BC330" s="372">
        <f>IFERROR(AVERAGEIF('DO Pilot'!AX330:BU330,"&gt;0"),0)</f>
        <v>0</v>
      </c>
      <c r="BD330" s="446"/>
      <c r="BE330" s="446"/>
      <c r="BF330" s="446"/>
      <c r="BG330" s="223">
        <f>Tabla1[[#This Row],[ Re. Gas GC
 '[m3']]]</f>
        <v>0</v>
      </c>
      <c r="BH330" s="150">
        <f>IFERROR((BG330*Gas!$B$4)/28.31685,0)</f>
        <v>0</v>
      </c>
      <c r="BI330" s="73">
        <f t="shared" si="103"/>
        <v>0</v>
      </c>
      <c r="BJ330" s="74">
        <f t="shared" si="109"/>
        <v>0</v>
      </c>
      <c r="BK330" s="223">
        <f t="shared" si="107"/>
        <v>0</v>
      </c>
      <c r="BL330" s="442">
        <v>9297.32</v>
      </c>
      <c r="BM330" s="70">
        <f t="shared" si="108"/>
        <v>0</v>
      </c>
      <c r="BN330" s="70">
        <f t="shared" si="88"/>
        <v>0</v>
      </c>
      <c r="BO330" s="373">
        <f>IFERROR(Tabla1[[#This Row],[ Re. Gas GC
 '[m3']]]/Tabla1[[#This Row],[G. HGS 
Con Gas '[kWh']]],0)</f>
        <v>0</v>
      </c>
      <c r="BP330" s="374">
        <f>Tank!Y331</f>
        <v>0</v>
      </c>
      <c r="BQ330" s="70">
        <f>Tank!AP331</f>
        <v>0</v>
      </c>
      <c r="BR330" s="70">
        <f>Tank!V331</f>
        <v>0</v>
      </c>
      <c r="BS330" s="372">
        <f>Tank!T331</f>
        <v>0</v>
      </c>
      <c r="BT330" s="375" t="s">
        <v>228</v>
      </c>
      <c r="BU330" s="452"/>
      <c r="BV330" s="376">
        <f>IF(Tabla1[[#This Row],[Combustible ofertado]]="GAS",Tabla1[[#This Row],[Disponibilidad]],0)</f>
        <v>0</v>
      </c>
      <c r="BW330" s="376">
        <f>IF(Tabla1[[#This Row],[Combustible ofertado]]="DIESEL",Tabla1[[#This Row],[Disponibilidad]],0)</f>
        <v>0</v>
      </c>
      <c r="BX330" s="376">
        <f>IF(Tabla1[[#This Row],[Combustible ofertado]]="HFO",Tabla1[[#This Row],[Disponibilidad]],0)</f>
        <v>0</v>
      </c>
      <c r="BY330" s="452"/>
      <c r="BZ330" s="446">
        <f>'Horo. M'!C331</f>
        <v>0</v>
      </c>
      <c r="CA330" s="446">
        <f>'Horo. M'!E331</f>
        <v>0</v>
      </c>
      <c r="CB330" s="446">
        <f>'Horo. M'!G331</f>
        <v>0</v>
      </c>
      <c r="CC330" s="446">
        <f>'Horo. M'!I331</f>
        <v>0</v>
      </c>
      <c r="CD330" s="446">
        <f>'Horo. M'!K331</f>
        <v>0</v>
      </c>
      <c r="CE330" s="446">
        <f>'Horo. M'!M331</f>
        <v>0</v>
      </c>
      <c r="CF330" s="446">
        <f>'Horo. M'!O331</f>
        <v>0</v>
      </c>
      <c r="CG330" s="446">
        <f>'Horo. M'!Q331</f>
        <v>0</v>
      </c>
      <c r="CH330" s="446">
        <f>'Horo. M'!S331</f>
        <v>0</v>
      </c>
      <c r="CI330" s="446">
        <f>'Horo. M'!U331</f>
        <v>0</v>
      </c>
      <c r="CJ330" s="70">
        <f>Tabla1[[#This Row],[Con. DO Storage '[gal']]]-Tabla1[[#This Row],[C. DO Storage Ge '[gal']]]</f>
        <v>-1054</v>
      </c>
      <c r="CK330" s="372">
        <v>1054</v>
      </c>
      <c r="CL330" s="372">
        <v>17.059999999999999</v>
      </c>
      <c r="CM330" s="70">
        <f>Tabla1[[#This Row],[Con. DO Total '[gal']]]*131485.5/(1000000)</f>
        <v>0</v>
      </c>
      <c r="CU330" s="10">
        <v>1074.4286</v>
      </c>
    </row>
    <row r="331" spans="1:99" ht="15" customHeight="1">
      <c r="A331" s="362">
        <v>45256</v>
      </c>
      <c r="B331" s="363" t="str">
        <f>TEXT(Tabla1[[#This Row],[Fecha]],"mmmm")</f>
        <v>noviembre</v>
      </c>
      <c r="C331" s="364"/>
      <c r="D331" s="366"/>
      <c r="E331" s="366"/>
      <c r="F331" s="366"/>
      <c r="G331" s="377"/>
      <c r="H331" s="377"/>
      <c r="I331" s="378"/>
      <c r="J331" s="378"/>
      <c r="K331" s="366"/>
      <c r="L331" s="366"/>
      <c r="M331" s="365">
        <f>Tabla1[[#This Row],[Columna1]]-Tabla1[[#This Row],[PO '[h']]]</f>
        <v>0</v>
      </c>
      <c r="N331" s="366">
        <f t="shared" si="104"/>
        <v>0</v>
      </c>
      <c r="O331" s="365"/>
      <c r="P331" s="367">
        <f>Tabla1[[#This Row],[G. HGS 
'[MWh']]]</f>
        <v>0</v>
      </c>
      <c r="Q331" s="430">
        <v>0</v>
      </c>
      <c r="R331" s="367">
        <v>0</v>
      </c>
      <c r="S331" s="367">
        <f>Tabla1[[#This Row],[G. HGS 
Con Gas]]*1000</f>
        <v>0</v>
      </c>
      <c r="T331" s="365">
        <f>Tabla1[[#This Row],[G. HGS 
'[MWh']]]*1000</f>
        <v>0</v>
      </c>
      <c r="U331" s="368">
        <f>SUM('G. Un GE'!B331:Y331)</f>
        <v>0</v>
      </c>
      <c r="V331" s="369">
        <f>Tabla1[[#This Row],[R. GE
'[MWh']]]</f>
        <v>0</v>
      </c>
      <c r="W331" s="434">
        <v>0</v>
      </c>
      <c r="X331" s="369">
        <v>0</v>
      </c>
      <c r="Y331" s="365">
        <f>Tabla1[[#This Row],[R. GE
'[MWh']]]*1000</f>
        <v>0</v>
      </c>
      <c r="Z331" s="371"/>
      <c r="AA33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1" s="371">
        <f>IF(Tabla1[[#This Row],[G. HGS 
'[MWh']]]=0,0,Tabla1[[#This Row],[G. HGS 
'[MWh']]]+Tabla1[[#This Row],[Con. Aux. '[MWh']2]])</f>
        <v>0</v>
      </c>
      <c r="AC331" s="368">
        <f>'C. ENER. TN'!F331</f>
        <v>0</v>
      </c>
      <c r="AD331" s="370">
        <f>'C. ENER. TN'!G331</f>
        <v>0</v>
      </c>
      <c r="AE331" s="370">
        <f>'G. Un GE'!AX331</f>
        <v>0</v>
      </c>
      <c r="AF331" s="368">
        <f>IFERROR('G. Un GE'!AX331/Tabla1[[#This Row],[PO '[h']]],0)</f>
        <v>0</v>
      </c>
      <c r="AG331" s="365">
        <f>'Ar-Pa'!AX331</f>
        <v>0</v>
      </c>
      <c r="AH331" s="365">
        <f>'Ar-Pa'!AY331</f>
        <v>0</v>
      </c>
      <c r="AI331" s="366">
        <f>SUM('Cal. Arr'!AB334:AY334)</f>
        <v>0</v>
      </c>
      <c r="AJ331" s="442"/>
      <c r="AK331" s="443"/>
      <c r="AL331" s="372">
        <f t="shared" si="97"/>
        <v>0</v>
      </c>
      <c r="AM331" s="372">
        <f>+CONVERT(AK331+Tabla1[[#This Row],[Con. DO Storage Gen. '[m3']]],"m^3","gal")</f>
        <v>0</v>
      </c>
      <c r="AN331" s="372">
        <f>SUM('DO Pilot'!B331:Y331)</f>
        <v>0</v>
      </c>
      <c r="AO331" s="372">
        <f t="shared" si="98"/>
        <v>0</v>
      </c>
      <c r="AP331" s="372">
        <f t="shared" si="99"/>
        <v>0</v>
      </c>
      <c r="AQ331" s="372">
        <f t="shared" si="100"/>
        <v>0</v>
      </c>
      <c r="AR331" s="443"/>
      <c r="AS331" s="443"/>
      <c r="AT331" s="267">
        <f>+CONVERT(SUM(Tabla1[[#This Row],[Repo. DO Storage '[gal']]:[Repo. DO Pilot '[gal']]]),"gal","m3")</f>
        <v>0</v>
      </c>
      <c r="AU331" s="442">
        <v>0</v>
      </c>
      <c r="AV331" s="372">
        <f t="shared" si="101"/>
        <v>0</v>
      </c>
      <c r="AW331" s="442">
        <v>0</v>
      </c>
      <c r="AX331" s="372">
        <f t="shared" si="102"/>
        <v>0</v>
      </c>
      <c r="AY331" s="372">
        <f t="shared" si="105"/>
        <v>0</v>
      </c>
      <c r="AZ331" s="372">
        <f>IFERROR(AL331/'Ar-Pa'!AX331,0)</f>
        <v>0</v>
      </c>
      <c r="BA331" s="372">
        <f>IFERROR(AL331/'Ar-Pa'!AY331,0)</f>
        <v>0</v>
      </c>
      <c r="BB331" s="372">
        <f t="shared" si="106"/>
        <v>0</v>
      </c>
      <c r="BC331" s="372">
        <f>IFERROR(AVERAGEIF('DO Pilot'!AX331:BU331,"&gt;0"),0)</f>
        <v>0</v>
      </c>
      <c r="BD331" s="446"/>
      <c r="BE331" s="446"/>
      <c r="BF331" s="446"/>
      <c r="BG331" s="223">
        <f>Tabla1[[#This Row],[ Re. Gas GC
 '[m3']]]</f>
        <v>0</v>
      </c>
      <c r="BH331" s="150">
        <f>IFERROR((BG331*Gas!$B$4)/28.31685,0)</f>
        <v>0</v>
      </c>
      <c r="BI331" s="73">
        <f t="shared" si="103"/>
        <v>0</v>
      </c>
      <c r="BJ331" s="74">
        <f t="shared" si="109"/>
        <v>0</v>
      </c>
      <c r="BK331" s="223">
        <f t="shared" si="107"/>
        <v>0</v>
      </c>
      <c r="BL331" s="442">
        <v>9184.49</v>
      </c>
      <c r="BM331" s="70">
        <f t="shared" si="108"/>
        <v>0</v>
      </c>
      <c r="BN331" s="70">
        <f t="shared" si="88"/>
        <v>0</v>
      </c>
      <c r="BO331" s="373">
        <f>IFERROR(Tabla1[[#This Row],[ Re. Gas GC
 '[m3']]]/Tabla1[[#This Row],[G. HGS 
Con Gas '[kWh']]],0)</f>
        <v>0</v>
      </c>
      <c r="BP331" s="374">
        <f>Tank!Y332</f>
        <v>0</v>
      </c>
      <c r="BQ331" s="70">
        <f>Tank!AP332</f>
        <v>0</v>
      </c>
      <c r="BR331" s="70">
        <f>Tank!V332</f>
        <v>0</v>
      </c>
      <c r="BS331" s="372">
        <f>Tank!T332</f>
        <v>0</v>
      </c>
      <c r="BT331" s="375" t="s">
        <v>228</v>
      </c>
      <c r="BU331" s="452"/>
      <c r="BV331" s="376">
        <f>IF(Tabla1[[#This Row],[Combustible ofertado]]="GAS",Tabla1[[#This Row],[Disponibilidad]],0)</f>
        <v>0</v>
      </c>
      <c r="BW331" s="376">
        <f>IF(Tabla1[[#This Row],[Combustible ofertado]]="DIESEL",Tabla1[[#This Row],[Disponibilidad]],0)</f>
        <v>0</v>
      </c>
      <c r="BX331" s="376">
        <f>IF(Tabla1[[#This Row],[Combustible ofertado]]="HFO",Tabla1[[#This Row],[Disponibilidad]],0)</f>
        <v>0</v>
      </c>
      <c r="BY331" s="452"/>
      <c r="BZ331" s="446">
        <f>'Horo. M'!C332</f>
        <v>0</v>
      </c>
      <c r="CA331" s="446">
        <f>'Horo. M'!E332</f>
        <v>0</v>
      </c>
      <c r="CB331" s="446">
        <f>'Horo. M'!G332</f>
        <v>0</v>
      </c>
      <c r="CC331" s="446">
        <f>'Horo. M'!I332</f>
        <v>0</v>
      </c>
      <c r="CD331" s="446">
        <f>'Horo. M'!K332</f>
        <v>0</v>
      </c>
      <c r="CE331" s="446">
        <f>'Horo. M'!M332</f>
        <v>0</v>
      </c>
      <c r="CF331" s="446">
        <f>'Horo. M'!O332</f>
        <v>0</v>
      </c>
      <c r="CG331" s="446">
        <f>'Horo. M'!Q332</f>
        <v>0</v>
      </c>
      <c r="CH331" s="446">
        <f>'Horo. M'!S332</f>
        <v>0</v>
      </c>
      <c r="CI331" s="446">
        <f>'Horo. M'!U332</f>
        <v>0</v>
      </c>
      <c r="CJ331" s="70">
        <f>Tabla1[[#This Row],[Con. DO Storage '[gal']]]-Tabla1[[#This Row],[C. DO Storage Ge '[gal']]]</f>
        <v>0</v>
      </c>
      <c r="CK331" s="372"/>
      <c r="CL331" s="372"/>
      <c r="CM331" s="70">
        <f>Tabla1[[#This Row],[Con. DO Total '[gal']]]*131485.5/(1000000)</f>
        <v>0</v>
      </c>
      <c r="CU331" s="10">
        <v>1283.1425000000004</v>
      </c>
    </row>
    <row r="332" spans="1:99" ht="15" customHeight="1">
      <c r="A332" s="362">
        <v>45257</v>
      </c>
      <c r="B332" s="363" t="str">
        <f>TEXT(Tabla1[[#This Row],[Fecha]],"mmmm")</f>
        <v>noviembre</v>
      </c>
      <c r="C332" s="364"/>
      <c r="D332" s="366"/>
      <c r="E332" s="366"/>
      <c r="F332" s="366"/>
      <c r="G332" s="377"/>
      <c r="H332" s="377"/>
      <c r="I332" s="378"/>
      <c r="J332" s="378"/>
      <c r="K332" s="366"/>
      <c r="L332" s="366"/>
      <c r="M332" s="365">
        <f>Tabla1[[#This Row],[Columna1]]-Tabla1[[#This Row],[PO '[h']]]</f>
        <v>0</v>
      </c>
      <c r="N332" s="366">
        <f t="shared" si="104"/>
        <v>0</v>
      </c>
      <c r="O332" s="365"/>
      <c r="P332" s="367">
        <f>Tabla1[[#This Row],[G. HGS 
'[MWh']]]</f>
        <v>0</v>
      </c>
      <c r="Q332" s="430">
        <v>0</v>
      </c>
      <c r="R332" s="367">
        <v>0</v>
      </c>
      <c r="S332" s="367">
        <f>Tabla1[[#This Row],[G. HGS 
Con Gas]]*1000</f>
        <v>0</v>
      </c>
      <c r="T332" s="365">
        <f>Tabla1[[#This Row],[G. HGS 
'[MWh']]]*1000</f>
        <v>0</v>
      </c>
      <c r="U332" s="368">
        <f>SUM('G. Un GE'!B332:Y332)</f>
        <v>0</v>
      </c>
      <c r="V332" s="369">
        <f>Tabla1[[#This Row],[R. GE
'[MWh']]]</f>
        <v>0</v>
      </c>
      <c r="W332" s="434">
        <v>0</v>
      </c>
      <c r="X332" s="369">
        <v>0</v>
      </c>
      <c r="Y332" s="365">
        <f>Tabla1[[#This Row],[R. GE
'[MWh']]]*1000</f>
        <v>0</v>
      </c>
      <c r="Z332" s="371"/>
      <c r="AA33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2" s="371">
        <f>IF(Tabla1[[#This Row],[G. HGS 
'[MWh']]]=0,0,Tabla1[[#This Row],[G. HGS 
'[MWh']]]+Tabla1[[#This Row],[Con. Aux. '[MWh']2]])</f>
        <v>0</v>
      </c>
      <c r="AC332" s="368">
        <f>'C. ENER. TN'!F332</f>
        <v>0</v>
      </c>
      <c r="AD332" s="370">
        <f>'C. ENER. TN'!G332</f>
        <v>0</v>
      </c>
      <c r="AE332" s="370">
        <f>'G. Un GE'!AX332</f>
        <v>0</v>
      </c>
      <c r="AF332" s="368">
        <f>IFERROR('G. Un GE'!AX332/Tabla1[[#This Row],[PO '[h']]],0)</f>
        <v>0</v>
      </c>
      <c r="AG332" s="365">
        <f>'Ar-Pa'!AX332</f>
        <v>0</v>
      </c>
      <c r="AH332" s="365">
        <f>'Ar-Pa'!AY332</f>
        <v>0</v>
      </c>
      <c r="AI332" s="366">
        <f>SUM('Cal. Arr'!AB335:AY335)</f>
        <v>0</v>
      </c>
      <c r="AJ332" s="442"/>
      <c r="AK332" s="443"/>
      <c r="AL332" s="372">
        <f t="shared" si="97"/>
        <v>0</v>
      </c>
      <c r="AM332" s="372">
        <f>+CONVERT(AK332+Tabla1[[#This Row],[Con. DO Storage Gen. '[m3']]],"m^3","gal")</f>
        <v>0</v>
      </c>
      <c r="AN332" s="372">
        <f>SUM('DO Pilot'!B332:Y332)</f>
        <v>0</v>
      </c>
      <c r="AO332" s="372">
        <f t="shared" si="98"/>
        <v>0</v>
      </c>
      <c r="AP332" s="372">
        <f t="shared" si="99"/>
        <v>0</v>
      </c>
      <c r="AQ332" s="372">
        <f t="shared" si="100"/>
        <v>0</v>
      </c>
      <c r="AR332" s="443"/>
      <c r="AS332" s="443"/>
      <c r="AT332" s="267">
        <f>+CONVERT(SUM(Tabla1[[#This Row],[Repo. DO Storage '[gal']]:[Repo. DO Pilot '[gal']]]),"gal","m3")</f>
        <v>0</v>
      </c>
      <c r="AU332" s="442">
        <v>0</v>
      </c>
      <c r="AV332" s="372">
        <f t="shared" si="101"/>
        <v>0</v>
      </c>
      <c r="AW332" s="442">
        <v>0</v>
      </c>
      <c r="AX332" s="372">
        <f t="shared" si="102"/>
        <v>0</v>
      </c>
      <c r="AY332" s="372">
        <f t="shared" si="105"/>
        <v>0</v>
      </c>
      <c r="AZ332" s="372">
        <f>IFERROR(AL332/'Ar-Pa'!AX332,0)</f>
        <v>0</v>
      </c>
      <c r="BA332" s="372">
        <f>IFERROR(AL332/'Ar-Pa'!AY332,0)</f>
        <v>0</v>
      </c>
      <c r="BB332" s="372">
        <f t="shared" si="106"/>
        <v>0</v>
      </c>
      <c r="BC332" s="372">
        <f>IFERROR(AVERAGEIF('DO Pilot'!AX332:BU332,"&gt;0"),0)</f>
        <v>0</v>
      </c>
      <c r="BD332" s="446"/>
      <c r="BE332" s="446"/>
      <c r="BF332" s="446"/>
      <c r="BG332" s="223">
        <f>Tabla1[[#This Row],[ Re. Gas GC
 '[m3']]]</f>
        <v>0</v>
      </c>
      <c r="BH332" s="150">
        <f>IFERROR((BG332*Gas!$B$4)/28.31685,0)</f>
        <v>0</v>
      </c>
      <c r="BI332" s="73">
        <f t="shared" si="103"/>
        <v>0</v>
      </c>
      <c r="BJ332" s="74">
        <f t="shared" si="109"/>
        <v>0</v>
      </c>
      <c r="BK332" s="223">
        <f t="shared" si="107"/>
        <v>0</v>
      </c>
      <c r="BL332" s="442">
        <v>9125.67</v>
      </c>
      <c r="BM332" s="70">
        <f t="shared" si="108"/>
        <v>0</v>
      </c>
      <c r="BN332" s="70">
        <f t="shared" si="88"/>
        <v>0</v>
      </c>
      <c r="BO332" s="373">
        <f>IFERROR(Tabla1[[#This Row],[ Re. Gas GC
 '[m3']]]/Tabla1[[#This Row],[G. HGS 
Con Gas '[kWh']]],0)</f>
        <v>0</v>
      </c>
      <c r="BP332" s="374">
        <f>Tank!Y333</f>
        <v>0</v>
      </c>
      <c r="BQ332" s="70">
        <f>Tank!AP333</f>
        <v>0</v>
      </c>
      <c r="BR332" s="70">
        <f>Tank!V333</f>
        <v>0</v>
      </c>
      <c r="BS332" s="372">
        <f>Tank!T333</f>
        <v>0</v>
      </c>
      <c r="BT332" s="375" t="s">
        <v>228</v>
      </c>
      <c r="BU332" s="452"/>
      <c r="BV332" s="376">
        <f>IF(Tabla1[[#This Row],[Combustible ofertado]]="GAS",Tabla1[[#This Row],[Disponibilidad]],0)</f>
        <v>0</v>
      </c>
      <c r="BW332" s="376">
        <f>IF(Tabla1[[#This Row],[Combustible ofertado]]="DIESEL",Tabla1[[#This Row],[Disponibilidad]],0)</f>
        <v>0</v>
      </c>
      <c r="BX332" s="376">
        <f>IF(Tabla1[[#This Row],[Combustible ofertado]]="HFO",Tabla1[[#This Row],[Disponibilidad]],0)</f>
        <v>0</v>
      </c>
      <c r="BY332" s="452"/>
      <c r="BZ332" s="446">
        <f>'Horo. M'!C333</f>
        <v>0</v>
      </c>
      <c r="CA332" s="446">
        <f>'Horo. M'!E333</f>
        <v>0</v>
      </c>
      <c r="CB332" s="446">
        <f>'Horo. M'!G333</f>
        <v>0</v>
      </c>
      <c r="CC332" s="446">
        <f>'Horo. M'!I333</f>
        <v>0</v>
      </c>
      <c r="CD332" s="446">
        <f>'Horo. M'!K333</f>
        <v>0</v>
      </c>
      <c r="CE332" s="446">
        <f>'Horo. M'!M333</f>
        <v>0</v>
      </c>
      <c r="CF332" s="446">
        <f>'Horo. M'!O333</f>
        <v>0</v>
      </c>
      <c r="CG332" s="446">
        <f>'Horo. M'!Q333</f>
        <v>0</v>
      </c>
      <c r="CH332" s="446">
        <f>'Horo. M'!S333</f>
        <v>0</v>
      </c>
      <c r="CI332" s="446">
        <f>'Horo. M'!U333</f>
        <v>0</v>
      </c>
      <c r="CJ332" s="70">
        <f>Tabla1[[#This Row],[Con. DO Storage '[gal']]]-Tabla1[[#This Row],[C. DO Storage Ge '[gal']]]</f>
        <v>0</v>
      </c>
      <c r="CK332" s="70"/>
      <c r="CL332" s="70"/>
      <c r="CM332" s="70">
        <f>Tabla1[[#This Row],[Con. DO Total '[gal']]]*131485.5/(1000000)</f>
        <v>0</v>
      </c>
      <c r="CU332" s="10">
        <v>1280.9233999999999</v>
      </c>
    </row>
    <row r="333" spans="1:99" ht="15" customHeight="1">
      <c r="A333" s="362">
        <v>45258</v>
      </c>
      <c r="B333" s="363" t="str">
        <f>TEXT(Tabla1[[#This Row],[Fecha]],"mmmm")</f>
        <v>noviembre</v>
      </c>
      <c r="C333" s="364"/>
      <c r="D333" s="366"/>
      <c r="E333" s="366"/>
      <c r="F333" s="366"/>
      <c r="G333" s="377"/>
      <c r="H333" s="377"/>
      <c r="I333" s="378"/>
      <c r="J333" s="378"/>
      <c r="K333" s="366"/>
      <c r="L333" s="366"/>
      <c r="M333" s="365">
        <f>Tabla1[[#This Row],[Columna1]]-Tabla1[[#This Row],[PO '[h']]]</f>
        <v>0</v>
      </c>
      <c r="N333" s="366">
        <f t="shared" si="104"/>
        <v>0</v>
      </c>
      <c r="O333" s="365"/>
      <c r="P333" s="367">
        <f>Tabla1[[#This Row],[G. HGS 
'[MWh']]]</f>
        <v>0</v>
      </c>
      <c r="Q333" s="430">
        <v>0</v>
      </c>
      <c r="R333" s="367">
        <v>0</v>
      </c>
      <c r="S333" s="367">
        <f>Tabla1[[#This Row],[G. HGS 
Con Gas]]*1000</f>
        <v>0</v>
      </c>
      <c r="T333" s="365">
        <f>Tabla1[[#This Row],[G. HGS 
'[MWh']]]*1000</f>
        <v>0</v>
      </c>
      <c r="U333" s="368">
        <f>SUM('G. Un GE'!B333:Y333)</f>
        <v>0</v>
      </c>
      <c r="V333" s="369">
        <f>Tabla1[[#This Row],[R. GE
'[MWh']]]</f>
        <v>0</v>
      </c>
      <c r="W333" s="434">
        <v>0</v>
      </c>
      <c r="X333" s="369">
        <v>0</v>
      </c>
      <c r="Y333" s="365">
        <f>Tabla1[[#This Row],[R. GE
'[MWh']]]*1000</f>
        <v>0</v>
      </c>
      <c r="Z333" s="371"/>
      <c r="AA33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3" s="371">
        <f>IF(Tabla1[[#This Row],[G. HGS 
'[MWh']]]=0,0,Tabla1[[#This Row],[G. HGS 
'[MWh']]]+Tabla1[[#This Row],[Con. Aux. '[MWh']2]])</f>
        <v>0</v>
      </c>
      <c r="AC333" s="368">
        <f>'C. ENER. TN'!F333</f>
        <v>0</v>
      </c>
      <c r="AD333" s="370">
        <f>'C. ENER. TN'!G333</f>
        <v>0</v>
      </c>
      <c r="AE333" s="370">
        <f>'G. Un GE'!AX333</f>
        <v>0</v>
      </c>
      <c r="AF333" s="368">
        <f>IFERROR('G. Un GE'!AX333/Tabla1[[#This Row],[PO '[h']]],0)</f>
        <v>0</v>
      </c>
      <c r="AG333" s="365">
        <f>'Ar-Pa'!AX333</f>
        <v>0</v>
      </c>
      <c r="AH333" s="365">
        <f>'Ar-Pa'!AY333</f>
        <v>0</v>
      </c>
      <c r="AI333" s="366">
        <f>SUM('Cal. Arr'!AB336:AY336)</f>
        <v>0</v>
      </c>
      <c r="AJ333" s="442"/>
      <c r="AK333" s="443"/>
      <c r="AL333" s="372">
        <f t="shared" si="97"/>
        <v>0</v>
      </c>
      <c r="AM333" s="372">
        <f>+CONVERT(AK333+Tabla1[[#This Row],[Con. DO Storage Gen. '[m3']]],"m^3","gal")</f>
        <v>0</v>
      </c>
      <c r="AN333" s="372">
        <f>SUM('DO Pilot'!B333:Y333)</f>
        <v>0</v>
      </c>
      <c r="AO333" s="372">
        <f t="shared" si="98"/>
        <v>0</v>
      </c>
      <c r="AP333" s="372">
        <f t="shared" si="99"/>
        <v>0</v>
      </c>
      <c r="AQ333" s="372">
        <f t="shared" si="100"/>
        <v>0</v>
      </c>
      <c r="AR333" s="443"/>
      <c r="AS333" s="443"/>
      <c r="AT333" s="267">
        <f>+CONVERT(SUM(Tabla1[[#This Row],[Repo. DO Storage '[gal']]:[Repo. DO Pilot '[gal']]]),"gal","m3")</f>
        <v>0</v>
      </c>
      <c r="AU333" s="442">
        <v>0</v>
      </c>
      <c r="AV333" s="372">
        <f t="shared" si="101"/>
        <v>0</v>
      </c>
      <c r="AW333" s="442">
        <v>0</v>
      </c>
      <c r="AX333" s="372">
        <f t="shared" si="102"/>
        <v>0</v>
      </c>
      <c r="AY333" s="372">
        <f t="shared" si="105"/>
        <v>0</v>
      </c>
      <c r="AZ333" s="372">
        <f>IFERROR(AL333/'Ar-Pa'!AX333,0)</f>
        <v>0</v>
      </c>
      <c r="BA333" s="372">
        <f>IFERROR(AL333/'Ar-Pa'!AY333,0)</f>
        <v>0</v>
      </c>
      <c r="BB333" s="372">
        <f t="shared" si="106"/>
        <v>0</v>
      </c>
      <c r="BC333" s="372">
        <f>IFERROR(AVERAGEIF('DO Pilot'!AX333:BU333,"&gt;0"),0)</f>
        <v>0</v>
      </c>
      <c r="BD333" s="446"/>
      <c r="BE333" s="446"/>
      <c r="BF333" s="446"/>
      <c r="BG333" s="223">
        <f>Tabla1[[#This Row],[ Re. Gas GC
 '[m3']]]</f>
        <v>0</v>
      </c>
      <c r="BH333" s="150">
        <f>IFERROR((BG333*Gas!$B$4)/28.31685,0)</f>
        <v>0</v>
      </c>
      <c r="BI333" s="73">
        <f t="shared" si="103"/>
        <v>0</v>
      </c>
      <c r="BJ333" s="74">
        <f t="shared" si="109"/>
        <v>0</v>
      </c>
      <c r="BK333" s="223">
        <f t="shared" si="107"/>
        <v>0</v>
      </c>
      <c r="BL333" s="442">
        <v>8977.56</v>
      </c>
      <c r="BM333" s="70">
        <f t="shared" si="108"/>
        <v>0</v>
      </c>
      <c r="BN333" s="70">
        <f t="shared" si="88"/>
        <v>0</v>
      </c>
      <c r="BO333" s="373">
        <f>IFERROR(Tabla1[[#This Row],[ Re. Gas GC
 '[m3']]]/Tabla1[[#This Row],[G. HGS 
Con Gas '[kWh']]],0)</f>
        <v>0</v>
      </c>
      <c r="BP333" s="374">
        <f>Tank!Y334</f>
        <v>0</v>
      </c>
      <c r="BQ333" s="70">
        <f>Tank!AP334</f>
        <v>0</v>
      </c>
      <c r="BR333" s="70">
        <f>Tank!V334</f>
        <v>0</v>
      </c>
      <c r="BS333" s="372">
        <f>Tank!T334</f>
        <v>0</v>
      </c>
      <c r="BT333" s="375" t="s">
        <v>228</v>
      </c>
      <c r="BU333" s="452"/>
      <c r="BV333" s="376">
        <f>IF(Tabla1[[#This Row],[Combustible ofertado]]="GAS",Tabla1[[#This Row],[Disponibilidad]],0)</f>
        <v>0</v>
      </c>
      <c r="BW333" s="376">
        <f>IF(Tabla1[[#This Row],[Combustible ofertado]]="DIESEL",Tabla1[[#This Row],[Disponibilidad]],0)</f>
        <v>0</v>
      </c>
      <c r="BX333" s="376">
        <f>IF(Tabla1[[#This Row],[Combustible ofertado]]="HFO",Tabla1[[#This Row],[Disponibilidad]],0)</f>
        <v>0</v>
      </c>
      <c r="BY333" s="452"/>
      <c r="BZ333" s="446">
        <f>'Horo. M'!C334</f>
        <v>0</v>
      </c>
      <c r="CA333" s="446">
        <f>'Horo. M'!E334</f>
        <v>0</v>
      </c>
      <c r="CB333" s="446">
        <f>'Horo. M'!G334</f>
        <v>0</v>
      </c>
      <c r="CC333" s="446">
        <f>'Horo. M'!I334</f>
        <v>0</v>
      </c>
      <c r="CD333" s="446">
        <f>'Horo. M'!K334</f>
        <v>0</v>
      </c>
      <c r="CE333" s="446">
        <f>'Horo. M'!M334</f>
        <v>0</v>
      </c>
      <c r="CF333" s="446">
        <f>'Horo. M'!O334</f>
        <v>0</v>
      </c>
      <c r="CG333" s="446">
        <f>'Horo. M'!Q334</f>
        <v>0</v>
      </c>
      <c r="CH333" s="446">
        <f>'Horo. M'!S334</f>
        <v>0</v>
      </c>
      <c r="CI333" s="446">
        <f>'Horo. M'!U334</f>
        <v>0</v>
      </c>
      <c r="CJ333" s="70">
        <f>Tabla1[[#This Row],[Con. DO Storage '[gal']]]-Tabla1[[#This Row],[C. DO Storage Ge '[gal']]]</f>
        <v>0</v>
      </c>
      <c r="CK333" s="70"/>
      <c r="CL333" s="70"/>
      <c r="CM333" s="70">
        <f>Tabla1[[#This Row],[Con. DO Total '[gal']]]*131485.5/(1000000)</f>
        <v>0</v>
      </c>
      <c r="CU333" s="10">
        <v>1112.1367</v>
      </c>
    </row>
    <row r="334" spans="1:99" ht="15" customHeight="1">
      <c r="A334" s="362">
        <v>45259</v>
      </c>
      <c r="B334" s="363" t="str">
        <f>TEXT(Tabla1[[#This Row],[Fecha]],"mmmm")</f>
        <v>noviembre</v>
      </c>
      <c r="C334" s="364"/>
      <c r="D334" s="366"/>
      <c r="E334" s="366"/>
      <c r="F334" s="366"/>
      <c r="G334" s="377"/>
      <c r="H334" s="377"/>
      <c r="I334" s="378"/>
      <c r="J334" s="378"/>
      <c r="K334" s="366"/>
      <c r="L334" s="366"/>
      <c r="M334" s="365">
        <f>Tabla1[[#This Row],[Columna1]]-Tabla1[[#This Row],[PO '[h']]]</f>
        <v>0</v>
      </c>
      <c r="N334" s="366">
        <f t="shared" si="104"/>
        <v>0</v>
      </c>
      <c r="O334" s="365"/>
      <c r="P334" s="367">
        <f>Tabla1[[#This Row],[G. HGS 
'[MWh']]]</f>
        <v>0</v>
      </c>
      <c r="Q334" s="430">
        <v>0</v>
      </c>
      <c r="R334" s="367">
        <v>0</v>
      </c>
      <c r="S334" s="367">
        <f>Tabla1[[#This Row],[G. HGS 
Con Gas]]*1000</f>
        <v>0</v>
      </c>
      <c r="T334" s="365">
        <f>Tabla1[[#This Row],[G. HGS 
'[MWh']]]*1000</f>
        <v>0</v>
      </c>
      <c r="U334" s="368">
        <f>SUM('G. Un GE'!B334:Y334)</f>
        <v>0</v>
      </c>
      <c r="V334" s="369">
        <f>Tabla1[[#This Row],[R. GE
'[MWh']]]</f>
        <v>0</v>
      </c>
      <c r="W334" s="434">
        <v>0</v>
      </c>
      <c r="X334" s="369">
        <v>0</v>
      </c>
      <c r="Y334" s="365">
        <f>Tabla1[[#This Row],[R. GE
'[MWh']]]*1000</f>
        <v>0</v>
      </c>
      <c r="Z334" s="371"/>
      <c r="AA33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4" s="371">
        <f>IF(Tabla1[[#This Row],[G. HGS 
'[MWh']]]=0,0,Tabla1[[#This Row],[G. HGS 
'[MWh']]]+Tabla1[[#This Row],[Con. Aux. '[MWh']2]])</f>
        <v>0</v>
      </c>
      <c r="AC334" s="368">
        <f>'C. ENER. TN'!F334</f>
        <v>0</v>
      </c>
      <c r="AD334" s="370">
        <f>'C. ENER. TN'!G334</f>
        <v>0</v>
      </c>
      <c r="AE334" s="370">
        <f>'G. Un GE'!AX334</f>
        <v>0</v>
      </c>
      <c r="AF334" s="368">
        <f>IFERROR('G. Un GE'!AX334/Tabla1[[#This Row],[PO '[h']]],0)</f>
        <v>0</v>
      </c>
      <c r="AG334" s="365">
        <f>'Ar-Pa'!AX334</f>
        <v>0</v>
      </c>
      <c r="AH334" s="365">
        <f>'Ar-Pa'!AY334</f>
        <v>0</v>
      </c>
      <c r="AI334" s="366">
        <f>SUM('Cal. Arr'!AB337:AY337)</f>
        <v>0</v>
      </c>
      <c r="AJ334" s="442"/>
      <c r="AK334" s="443"/>
      <c r="AL334" s="372">
        <f t="shared" si="97"/>
        <v>0</v>
      </c>
      <c r="AM334" s="372">
        <f>+CONVERT(AK334+Tabla1[[#This Row],[Con. DO Storage Gen. '[m3']]],"m^3","gal")</f>
        <v>0</v>
      </c>
      <c r="AN334" s="372">
        <f>SUM('DO Pilot'!B334:Y334)</f>
        <v>0</v>
      </c>
      <c r="AO334" s="372">
        <f t="shared" si="98"/>
        <v>0</v>
      </c>
      <c r="AP334" s="372">
        <f t="shared" si="99"/>
        <v>0</v>
      </c>
      <c r="AQ334" s="372">
        <f t="shared" si="100"/>
        <v>0</v>
      </c>
      <c r="AR334" s="443"/>
      <c r="AS334" s="443"/>
      <c r="AT334" s="267">
        <f>+CONVERT(SUM(Tabla1[[#This Row],[Repo. DO Storage '[gal']]:[Repo. DO Pilot '[gal']]]),"gal","m3")</f>
        <v>0</v>
      </c>
      <c r="AU334" s="442">
        <v>0</v>
      </c>
      <c r="AV334" s="372">
        <f t="shared" si="101"/>
        <v>0</v>
      </c>
      <c r="AW334" s="442">
        <v>0</v>
      </c>
      <c r="AX334" s="372">
        <f t="shared" si="102"/>
        <v>0</v>
      </c>
      <c r="AY334" s="372">
        <f t="shared" si="105"/>
        <v>0</v>
      </c>
      <c r="AZ334" s="372">
        <f>IFERROR(AL334/'Ar-Pa'!AX334,0)</f>
        <v>0</v>
      </c>
      <c r="BA334" s="372">
        <f>IFERROR(AL334/'Ar-Pa'!AY334,0)</f>
        <v>0</v>
      </c>
      <c r="BB334" s="372">
        <f t="shared" si="106"/>
        <v>0</v>
      </c>
      <c r="BC334" s="372">
        <f>IFERROR(AVERAGEIF('DO Pilot'!AX334:BU334,"&gt;0"),0)</f>
        <v>0</v>
      </c>
      <c r="BD334" s="446"/>
      <c r="BE334" s="446"/>
      <c r="BF334" s="446"/>
      <c r="BG334" s="223">
        <f>Tabla1[[#This Row],[ Re. Gas GC
 '[m3']]]</f>
        <v>0</v>
      </c>
      <c r="BH334" s="150">
        <f>IFERROR((BG334*Gas!$B$4)/28.31685,0)</f>
        <v>0</v>
      </c>
      <c r="BI334" s="73">
        <f t="shared" si="103"/>
        <v>0</v>
      </c>
      <c r="BJ334" s="74">
        <f t="shared" si="109"/>
        <v>0</v>
      </c>
      <c r="BK334" s="223">
        <f t="shared" si="107"/>
        <v>0</v>
      </c>
      <c r="BL334" s="442">
        <v>9111.1</v>
      </c>
      <c r="BM334" s="70">
        <f t="shared" si="108"/>
        <v>0</v>
      </c>
      <c r="BN334" s="70">
        <f t="shared" si="88"/>
        <v>0</v>
      </c>
      <c r="BO334" s="373">
        <f>IFERROR(Tabla1[[#This Row],[ Re. Gas GC
 '[m3']]]/Tabla1[[#This Row],[G. HGS 
Con Gas '[kWh']]],0)</f>
        <v>0</v>
      </c>
      <c r="BP334" s="374">
        <f>Tank!Y335</f>
        <v>0</v>
      </c>
      <c r="BQ334" s="70">
        <f>Tank!AP335</f>
        <v>0</v>
      </c>
      <c r="BR334" s="70">
        <f>Tank!V335</f>
        <v>0</v>
      </c>
      <c r="BS334" s="372">
        <f>Tank!T335</f>
        <v>0</v>
      </c>
      <c r="BT334" s="375" t="s">
        <v>228</v>
      </c>
      <c r="BU334" s="452"/>
      <c r="BV334" s="376">
        <f>IF(Tabla1[[#This Row],[Combustible ofertado]]="GAS",Tabla1[[#This Row],[Disponibilidad]],0)</f>
        <v>0</v>
      </c>
      <c r="BW334" s="376">
        <f>IF(Tabla1[[#This Row],[Combustible ofertado]]="DIESEL",Tabla1[[#This Row],[Disponibilidad]],0)</f>
        <v>0</v>
      </c>
      <c r="BX334" s="376">
        <f>IF(Tabla1[[#This Row],[Combustible ofertado]]="HFO",Tabla1[[#This Row],[Disponibilidad]],0)</f>
        <v>0</v>
      </c>
      <c r="BY334" s="452"/>
      <c r="BZ334" s="446">
        <f>'Horo. M'!C335</f>
        <v>0</v>
      </c>
      <c r="CA334" s="446">
        <f>'Horo. M'!E335</f>
        <v>0</v>
      </c>
      <c r="CB334" s="446">
        <f>'Horo. M'!G335</f>
        <v>0</v>
      </c>
      <c r="CC334" s="446">
        <f>'Horo. M'!I335</f>
        <v>0</v>
      </c>
      <c r="CD334" s="446">
        <f>'Horo. M'!K335</f>
        <v>0</v>
      </c>
      <c r="CE334" s="446">
        <f>'Horo. M'!M335</f>
        <v>0</v>
      </c>
      <c r="CF334" s="446">
        <f>'Horo. M'!O335</f>
        <v>0</v>
      </c>
      <c r="CG334" s="446">
        <f>'Horo. M'!Q335</f>
        <v>0</v>
      </c>
      <c r="CH334" s="446">
        <f>'Horo. M'!S335</f>
        <v>0</v>
      </c>
      <c r="CI334" s="446">
        <f>'Horo. M'!U335</f>
        <v>0</v>
      </c>
      <c r="CJ334" s="70">
        <f>Tabla1[[#This Row],[Con. DO Storage '[gal']]]-Tabla1[[#This Row],[C. DO Storage Ge '[gal']]]</f>
        <v>0</v>
      </c>
      <c r="CK334" s="70"/>
      <c r="CL334" s="70"/>
      <c r="CM334" s="70">
        <f>Tabla1[[#This Row],[Con. DO Total '[gal']]]*131485.5/(1000000)</f>
        <v>0</v>
      </c>
      <c r="CU334" s="10">
        <v>1720.6343000000002</v>
      </c>
    </row>
    <row r="335" spans="1:99" ht="15" customHeight="1">
      <c r="A335" s="362">
        <v>45260</v>
      </c>
      <c r="B335" s="363" t="str">
        <f>TEXT(Tabla1[[#This Row],[Fecha]],"mmmm")</f>
        <v>noviembre</v>
      </c>
      <c r="C335" s="364"/>
      <c r="D335" s="366"/>
      <c r="E335" s="366"/>
      <c r="F335" s="366"/>
      <c r="G335" s="377"/>
      <c r="H335" s="377"/>
      <c r="I335" s="378"/>
      <c r="J335" s="378"/>
      <c r="K335" s="366"/>
      <c r="L335" s="366"/>
      <c r="M335" s="365">
        <f>Tabla1[[#This Row],[Columna1]]-Tabla1[[#This Row],[PO '[h']]]</f>
        <v>0</v>
      </c>
      <c r="N335" s="366">
        <f t="shared" si="104"/>
        <v>0</v>
      </c>
      <c r="O335" s="365"/>
      <c r="P335" s="367">
        <f>Tabla1[[#This Row],[G. HGS 
'[MWh']]]</f>
        <v>0</v>
      </c>
      <c r="Q335" s="430">
        <v>0</v>
      </c>
      <c r="R335" s="367">
        <v>0</v>
      </c>
      <c r="S335" s="367">
        <f>Tabla1[[#This Row],[G. HGS 
Con Gas]]*1000</f>
        <v>0</v>
      </c>
      <c r="T335" s="365">
        <f>Tabla1[[#This Row],[G. HGS 
'[MWh']]]*1000</f>
        <v>0</v>
      </c>
      <c r="U335" s="368">
        <f>SUM('G. Un GE'!B335:Y335)</f>
        <v>0</v>
      </c>
      <c r="V335" s="369">
        <f>Tabla1[[#This Row],[R. GE
'[MWh']]]</f>
        <v>0</v>
      </c>
      <c r="W335" s="434">
        <v>0</v>
      </c>
      <c r="X335" s="369">
        <v>0</v>
      </c>
      <c r="Y335" s="365">
        <f>Tabla1[[#This Row],[R. GE
'[MWh']]]*1000</f>
        <v>0</v>
      </c>
      <c r="Z335" s="371"/>
      <c r="AA33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5" s="371">
        <f>IF(Tabla1[[#This Row],[G. HGS 
'[MWh']]]=0,0,Tabla1[[#This Row],[G. HGS 
'[MWh']]]+Tabla1[[#This Row],[Con. Aux. '[MWh']2]])</f>
        <v>0</v>
      </c>
      <c r="AC335" s="368">
        <f>'C. ENER. TN'!F335</f>
        <v>0</v>
      </c>
      <c r="AD335" s="370">
        <f>'C. ENER. TN'!G335</f>
        <v>0</v>
      </c>
      <c r="AE335" s="370">
        <f>'G. Un GE'!AX335</f>
        <v>0</v>
      </c>
      <c r="AF335" s="368">
        <f>IFERROR('G. Un GE'!AX335/Tabla1[[#This Row],[PO '[h']]],0)</f>
        <v>0</v>
      </c>
      <c r="AG335" s="365">
        <f>'Ar-Pa'!AX335</f>
        <v>0</v>
      </c>
      <c r="AH335" s="365">
        <f>'Ar-Pa'!AY335</f>
        <v>0</v>
      </c>
      <c r="AI335" s="366">
        <f>SUM('Cal. Arr'!AB338:AY338)</f>
        <v>0</v>
      </c>
      <c r="AJ335" s="442"/>
      <c r="AK335" s="443"/>
      <c r="AL335" s="372">
        <f t="shared" si="97"/>
        <v>0</v>
      </c>
      <c r="AM335" s="372">
        <f>+CONVERT(AK335+Tabla1[[#This Row],[Con. DO Storage Gen. '[m3']]],"m^3","gal")</f>
        <v>0</v>
      </c>
      <c r="AN335" s="372">
        <f>SUM('DO Pilot'!B335:Y335)</f>
        <v>0</v>
      </c>
      <c r="AO335" s="372">
        <f t="shared" si="98"/>
        <v>0</v>
      </c>
      <c r="AP335" s="372">
        <f t="shared" si="99"/>
        <v>0</v>
      </c>
      <c r="AQ335" s="372">
        <f t="shared" si="100"/>
        <v>0</v>
      </c>
      <c r="AR335" s="443"/>
      <c r="AS335" s="443"/>
      <c r="AT335" s="267">
        <f>+CONVERT(SUM(Tabla1[[#This Row],[Repo. DO Storage '[gal']]:[Repo. DO Pilot '[gal']]]),"gal","m3")</f>
        <v>0</v>
      </c>
      <c r="AU335" s="442">
        <v>0</v>
      </c>
      <c r="AV335" s="372">
        <f t="shared" si="101"/>
        <v>0</v>
      </c>
      <c r="AW335" s="442">
        <v>0</v>
      </c>
      <c r="AX335" s="372">
        <f t="shared" si="102"/>
        <v>0</v>
      </c>
      <c r="AY335" s="372">
        <f t="shared" si="105"/>
        <v>0</v>
      </c>
      <c r="AZ335" s="372">
        <f>IFERROR(AL335/'Ar-Pa'!AX335,0)</f>
        <v>0</v>
      </c>
      <c r="BA335" s="372">
        <f>IFERROR(AL335/'Ar-Pa'!AY335,0)</f>
        <v>0</v>
      </c>
      <c r="BB335" s="372">
        <f t="shared" si="106"/>
        <v>0</v>
      </c>
      <c r="BC335" s="372">
        <f>IFERROR(AVERAGEIF('DO Pilot'!AX335:BU335,"&gt;0"),0)</f>
        <v>0</v>
      </c>
      <c r="BD335" s="446"/>
      <c r="BE335" s="446"/>
      <c r="BF335" s="446"/>
      <c r="BG335" s="223">
        <f>Tabla1[[#This Row],[ Re. Gas GC
 '[m3']]]</f>
        <v>0</v>
      </c>
      <c r="BH335" s="150">
        <f>IFERROR((BG335*Gas!$B$4)/28.31685,0)</f>
        <v>0</v>
      </c>
      <c r="BI335" s="73">
        <f t="shared" si="103"/>
        <v>0</v>
      </c>
      <c r="BJ335" s="74">
        <f t="shared" si="109"/>
        <v>0</v>
      </c>
      <c r="BK335" s="223">
        <f t="shared" si="107"/>
        <v>0</v>
      </c>
      <c r="BL335" s="442">
        <v>9190.6</v>
      </c>
      <c r="BM335" s="70">
        <f t="shared" si="108"/>
        <v>0</v>
      </c>
      <c r="BN335" s="70">
        <f t="shared" si="88"/>
        <v>0</v>
      </c>
      <c r="BO335" s="373">
        <f>IFERROR(Tabla1[[#This Row],[ Re. Gas GC
 '[m3']]]/Tabla1[[#This Row],[G. HGS 
Con Gas '[kWh']]],0)</f>
        <v>0</v>
      </c>
      <c r="BP335" s="374">
        <f>Tank!Y336</f>
        <v>0</v>
      </c>
      <c r="BQ335" s="70">
        <f>Tank!AP336</f>
        <v>0</v>
      </c>
      <c r="BR335" s="70">
        <f>Tank!V336</f>
        <v>0</v>
      </c>
      <c r="BS335" s="372">
        <f>Tank!T336</f>
        <v>0</v>
      </c>
      <c r="BT335" s="375" t="s">
        <v>228</v>
      </c>
      <c r="BU335" s="452"/>
      <c r="BV335" s="376">
        <f>IF(Tabla1[[#This Row],[Combustible ofertado]]="GAS",Tabla1[[#This Row],[Disponibilidad]],0)</f>
        <v>0</v>
      </c>
      <c r="BW335" s="376">
        <f>IF(Tabla1[[#This Row],[Combustible ofertado]]="DIESEL",Tabla1[[#This Row],[Disponibilidad]],0)</f>
        <v>0</v>
      </c>
      <c r="BX335" s="376">
        <f>IF(Tabla1[[#This Row],[Combustible ofertado]]="HFO",Tabla1[[#This Row],[Disponibilidad]],0)</f>
        <v>0</v>
      </c>
      <c r="BY335" s="452"/>
      <c r="BZ335" s="446">
        <f>'Horo. M'!C336</f>
        <v>0</v>
      </c>
      <c r="CA335" s="446">
        <f>'Horo. M'!E336</f>
        <v>0</v>
      </c>
      <c r="CB335" s="446">
        <f>'Horo. M'!G336</f>
        <v>0</v>
      </c>
      <c r="CC335" s="446">
        <f>'Horo. M'!I336</f>
        <v>0</v>
      </c>
      <c r="CD335" s="446">
        <f>'Horo. M'!K336</f>
        <v>0</v>
      </c>
      <c r="CE335" s="446">
        <f>'Horo. M'!M336</f>
        <v>0</v>
      </c>
      <c r="CF335" s="446">
        <f>'Horo. M'!O336</f>
        <v>0</v>
      </c>
      <c r="CG335" s="446">
        <f>'Horo. M'!Q336</f>
        <v>0</v>
      </c>
      <c r="CH335" s="446">
        <f>'Horo. M'!S336</f>
        <v>0</v>
      </c>
      <c r="CI335" s="446">
        <f>'Horo. M'!U336</f>
        <v>0</v>
      </c>
      <c r="CJ335" s="70">
        <f>Tabla1[[#This Row],[Con. DO Storage '[gal']]]-Tabla1[[#This Row],[C. DO Storage Ge '[gal']]]</f>
        <v>0</v>
      </c>
      <c r="CK335" s="70"/>
      <c r="CL335" s="70"/>
      <c r="CM335" s="70">
        <f>Tabla1[[#This Row],[Con. DO Total '[gal']]]*131485.5/(1000000)</f>
        <v>0</v>
      </c>
      <c r="CU335" s="10">
        <v>1592.6293000000003</v>
      </c>
    </row>
    <row r="336" spans="1:99" ht="15" customHeight="1">
      <c r="A336" s="362">
        <v>45261</v>
      </c>
      <c r="B336" s="363" t="str">
        <f>TEXT(Tabla1[[#This Row],[Fecha]],"mmmm")</f>
        <v>diciembre</v>
      </c>
      <c r="C336" s="364"/>
      <c r="D336" s="366"/>
      <c r="E336" s="366"/>
      <c r="F336" s="366"/>
      <c r="G336" s="377"/>
      <c r="H336" s="377"/>
      <c r="I336" s="378"/>
      <c r="J336" s="378"/>
      <c r="K336" s="366"/>
      <c r="L336" s="366"/>
      <c r="M336" s="365">
        <f>Tabla1[[#This Row],[Columna1]]-Tabla1[[#This Row],[PO '[h']]]</f>
        <v>0</v>
      </c>
      <c r="N336" s="366">
        <f t="shared" si="104"/>
        <v>0</v>
      </c>
      <c r="O336" s="365"/>
      <c r="P336" s="367">
        <f>Tabla1[[#This Row],[G. HGS 
'[MWh']]]</f>
        <v>0</v>
      </c>
      <c r="Q336" s="430">
        <v>0</v>
      </c>
      <c r="R336" s="367">
        <v>0</v>
      </c>
      <c r="S336" s="367">
        <f>Tabla1[[#This Row],[G. HGS 
Con Gas]]*1000</f>
        <v>0</v>
      </c>
      <c r="T336" s="365">
        <f>Tabla1[[#This Row],[G. HGS 
'[MWh']]]*1000</f>
        <v>0</v>
      </c>
      <c r="U336" s="368">
        <f>SUM('G. Un GE'!B336:Y336)</f>
        <v>0</v>
      </c>
      <c r="V336" s="369">
        <f>Tabla1[[#This Row],[R. GE
'[MWh']]]</f>
        <v>0</v>
      </c>
      <c r="W336" s="434">
        <v>0</v>
      </c>
      <c r="X336" s="369">
        <v>0</v>
      </c>
      <c r="Y336" s="365">
        <f>Tabla1[[#This Row],[R. GE
'[MWh']]]*1000</f>
        <v>0</v>
      </c>
      <c r="Z336" s="371"/>
      <c r="AA33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6" s="371">
        <f>IF(Tabla1[[#This Row],[G. HGS 
'[MWh']]]=0,0,Tabla1[[#This Row],[G. HGS 
'[MWh']]]+Tabla1[[#This Row],[Con. Aux. '[MWh']2]])</f>
        <v>0</v>
      </c>
      <c r="AC336" s="368">
        <f>'C. ENER. TN'!F336</f>
        <v>0</v>
      </c>
      <c r="AD336" s="370">
        <f>'C. ENER. TN'!G336</f>
        <v>0</v>
      </c>
      <c r="AE336" s="370">
        <f>'G. Un GE'!AX336</f>
        <v>0</v>
      </c>
      <c r="AF336" s="368">
        <f>IFERROR('G. Un GE'!AX336/Tabla1[[#This Row],[PO '[h']]],0)</f>
        <v>0</v>
      </c>
      <c r="AG336" s="365">
        <f>'Ar-Pa'!AX336</f>
        <v>0</v>
      </c>
      <c r="AH336" s="365">
        <f>'Ar-Pa'!AY336</f>
        <v>0</v>
      </c>
      <c r="AI336" s="366">
        <f>SUM('Cal. Arr'!AB339:AY339)</f>
        <v>0</v>
      </c>
      <c r="AJ336" s="442"/>
      <c r="AK336" s="443"/>
      <c r="AL336" s="372">
        <f t="shared" si="97"/>
        <v>0</v>
      </c>
      <c r="AM336" s="372">
        <f>+CONVERT(AK336+Tabla1[[#This Row],[Con. DO Storage Gen. '[m3']]],"m^3","gal")</f>
        <v>0</v>
      </c>
      <c r="AN336" s="372">
        <f>SUM('DO Pilot'!B336:Y336)</f>
        <v>0</v>
      </c>
      <c r="AO336" s="372">
        <f t="shared" si="98"/>
        <v>0</v>
      </c>
      <c r="AP336" s="372">
        <f t="shared" si="99"/>
        <v>0</v>
      </c>
      <c r="AQ336" s="372">
        <f t="shared" si="100"/>
        <v>0</v>
      </c>
      <c r="AR336" s="443"/>
      <c r="AS336" s="443"/>
      <c r="AT336" s="267">
        <f>+CONVERT(SUM(Tabla1[[#This Row],[Repo. DO Storage '[gal']]:[Repo. DO Pilot '[gal']]]),"gal","m3")</f>
        <v>0</v>
      </c>
      <c r="AU336" s="442">
        <v>0</v>
      </c>
      <c r="AV336" s="372">
        <f t="shared" si="101"/>
        <v>0</v>
      </c>
      <c r="AW336" s="442">
        <v>0</v>
      </c>
      <c r="AX336" s="372">
        <f t="shared" si="102"/>
        <v>0</v>
      </c>
      <c r="AY336" s="372">
        <f t="shared" si="105"/>
        <v>0</v>
      </c>
      <c r="AZ336" s="372">
        <f>IFERROR(AL336/'Ar-Pa'!AX336,0)</f>
        <v>0</v>
      </c>
      <c r="BA336" s="372">
        <f>IFERROR(AL336/'Ar-Pa'!AY336,0)</f>
        <v>0</v>
      </c>
      <c r="BB336" s="372">
        <f t="shared" si="106"/>
        <v>0</v>
      </c>
      <c r="BC336" s="372">
        <f>IFERROR(AVERAGEIF('DO Pilot'!AX336:BU336,"&gt;0"),0)</f>
        <v>0</v>
      </c>
      <c r="BD336" s="446"/>
      <c r="BE336" s="446"/>
      <c r="BF336" s="446"/>
      <c r="BG336" s="223">
        <f>Tabla1[[#This Row],[ Re. Gas GC
 '[m3']]]</f>
        <v>0</v>
      </c>
      <c r="BH336" s="150">
        <f>IFERROR((BG336*Gas!$B$4)/28.31685,0)</f>
        <v>0</v>
      </c>
      <c r="BI336" s="73">
        <f t="shared" si="103"/>
        <v>0</v>
      </c>
      <c r="BJ336" s="74">
        <f t="shared" si="109"/>
        <v>0</v>
      </c>
      <c r="BK336" s="223">
        <f t="shared" si="107"/>
        <v>0</v>
      </c>
      <c r="BL336" s="442">
        <v>9213.5499999999993</v>
      </c>
      <c r="BM336" s="70">
        <f t="shared" si="108"/>
        <v>0</v>
      </c>
      <c r="BN336" s="70">
        <f t="shared" ref="BN336:BN366" si="110">IFERROR((BH336/V336)*1000,0)</f>
        <v>0</v>
      </c>
      <c r="BO336" s="373">
        <f>IFERROR(Tabla1[[#This Row],[ Re. Gas GC
 '[m3']]]/Tabla1[[#This Row],[G. HGS 
Con Gas '[kWh']]],0)</f>
        <v>0</v>
      </c>
      <c r="BP336" s="374">
        <f>Tank!Y337</f>
        <v>0</v>
      </c>
      <c r="BQ336" s="70">
        <f>Tank!AP337</f>
        <v>0</v>
      </c>
      <c r="BR336" s="70">
        <f>Tank!V337</f>
        <v>0</v>
      </c>
      <c r="BS336" s="372">
        <f>Tank!T337</f>
        <v>0</v>
      </c>
      <c r="BT336" s="375" t="s">
        <v>228</v>
      </c>
      <c r="BU336" s="452"/>
      <c r="BV336" s="376">
        <f>IF(Tabla1[[#This Row],[Combustible ofertado]]="GAS",Tabla1[[#This Row],[Disponibilidad]],0)</f>
        <v>0</v>
      </c>
      <c r="BW336" s="376">
        <f>IF(Tabla1[[#This Row],[Combustible ofertado]]="DIESEL",Tabla1[[#This Row],[Disponibilidad]],0)</f>
        <v>0</v>
      </c>
      <c r="BX336" s="376">
        <f>IF(Tabla1[[#This Row],[Combustible ofertado]]="HFO",Tabla1[[#This Row],[Disponibilidad]],0)</f>
        <v>0</v>
      </c>
      <c r="BY336" s="452"/>
      <c r="BZ336" s="446">
        <f>'Horo. M'!C337</f>
        <v>0</v>
      </c>
      <c r="CA336" s="446">
        <f>'Horo. M'!E337</f>
        <v>0</v>
      </c>
      <c r="CB336" s="446">
        <f>'Horo. M'!G337</f>
        <v>0</v>
      </c>
      <c r="CC336" s="446">
        <f>'Horo. M'!I337</f>
        <v>0</v>
      </c>
      <c r="CD336" s="446">
        <f>'Horo. M'!K337</f>
        <v>0</v>
      </c>
      <c r="CE336" s="446">
        <f>'Horo. M'!M337</f>
        <v>0</v>
      </c>
      <c r="CF336" s="446">
        <f>'Horo. M'!O337</f>
        <v>0</v>
      </c>
      <c r="CG336" s="446">
        <f>'Horo. M'!Q337</f>
        <v>0</v>
      </c>
      <c r="CH336" s="446">
        <f>'Horo. M'!S337</f>
        <v>0</v>
      </c>
      <c r="CI336" s="446">
        <f>'Horo. M'!U337</f>
        <v>0</v>
      </c>
      <c r="CJ336" s="70">
        <f>Tabla1[[#This Row],[Con. DO Storage '[gal']]]-Tabla1[[#This Row],[C. DO Storage Ge '[gal']]]</f>
        <v>0</v>
      </c>
      <c r="CK336" s="70"/>
      <c r="CL336" s="70"/>
      <c r="CM336" s="70">
        <f>Tabla1[[#This Row],[Con. DO Total '[gal']]]*131485.5/(1000000)</f>
        <v>0</v>
      </c>
      <c r="CU336" s="10">
        <v>1539.5395000000003</v>
      </c>
    </row>
    <row r="337" spans="1:99" ht="15" customHeight="1">
      <c r="A337" s="362">
        <v>45262</v>
      </c>
      <c r="B337" s="363" t="str">
        <f>TEXT(Tabla1[[#This Row],[Fecha]],"mmmm")</f>
        <v>diciembre</v>
      </c>
      <c r="C337" s="364"/>
      <c r="D337" s="366"/>
      <c r="E337" s="366"/>
      <c r="F337" s="366"/>
      <c r="G337" s="377"/>
      <c r="H337" s="377"/>
      <c r="I337" s="378"/>
      <c r="J337" s="378"/>
      <c r="K337" s="366"/>
      <c r="L337" s="366"/>
      <c r="M337" s="365">
        <f>Tabla1[[#This Row],[Columna1]]-Tabla1[[#This Row],[PO '[h']]]</f>
        <v>0</v>
      </c>
      <c r="N337" s="366">
        <f>F337+H337+J337</f>
        <v>0</v>
      </c>
      <c r="O337" s="365"/>
      <c r="P337" s="367">
        <f>Tabla1[[#This Row],[G. HGS 
'[MWh']]]</f>
        <v>0</v>
      </c>
      <c r="Q337" s="430">
        <v>0</v>
      </c>
      <c r="R337" s="367">
        <v>0</v>
      </c>
      <c r="S337" s="367">
        <f>Tabla1[[#This Row],[G. HGS 
Con Gas]]*1000</f>
        <v>0</v>
      </c>
      <c r="T337" s="365">
        <f>Tabla1[[#This Row],[G. HGS 
'[MWh']]]*1000</f>
        <v>0</v>
      </c>
      <c r="U337" s="368">
        <f>SUM('G. Un GE'!B337:Y337)</f>
        <v>0</v>
      </c>
      <c r="V337" s="369">
        <f>Tabla1[[#This Row],[R. GE
'[MWh']]]</f>
        <v>0</v>
      </c>
      <c r="W337" s="434">
        <v>0</v>
      </c>
      <c r="X337" s="369">
        <v>0</v>
      </c>
      <c r="Y337" s="365">
        <f>Tabla1[[#This Row],[R. GE
'[MWh']]]*1000</f>
        <v>0</v>
      </c>
      <c r="Z337" s="371"/>
      <c r="AA33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7" s="371">
        <f>IF(Tabla1[[#This Row],[G. HGS 
'[MWh']]]=0,0,Tabla1[[#This Row],[G. HGS 
'[MWh']]]+Tabla1[[#This Row],[Con. Aux. '[MWh']2]])</f>
        <v>0</v>
      </c>
      <c r="AC337" s="368">
        <f>'C. ENER. TN'!F337</f>
        <v>0</v>
      </c>
      <c r="AD337" s="370">
        <f>'C. ENER. TN'!G337</f>
        <v>0</v>
      </c>
      <c r="AE337" s="370">
        <f>'G. Un GE'!AX337</f>
        <v>0</v>
      </c>
      <c r="AF337" s="368">
        <f>IFERROR('G. Un GE'!AX337/Tabla1[[#This Row],[PO '[h']]],0)</f>
        <v>0</v>
      </c>
      <c r="AG337" s="365">
        <f>'Ar-Pa'!AX337</f>
        <v>0</v>
      </c>
      <c r="AH337" s="365">
        <f>'Ar-Pa'!AY337</f>
        <v>0</v>
      </c>
      <c r="AI337" s="366">
        <f>SUM('Cal. Arr'!AB340:AY340)</f>
        <v>0</v>
      </c>
      <c r="AJ337" s="442"/>
      <c r="AK337" s="443"/>
      <c r="AL337" s="372">
        <f>+CONVERT(AK337,"m^3","gal")</f>
        <v>0</v>
      </c>
      <c r="AM337" s="372">
        <f>+CONVERT(AK337+Tabla1[[#This Row],[Con. DO Storage Gen. '[m3']]],"m^3","gal")</f>
        <v>0</v>
      </c>
      <c r="AN337" s="372">
        <f>SUM('DO Pilot'!B337:Y337)</f>
        <v>0</v>
      </c>
      <c r="AO337" s="372">
        <f>+CONVERT(AN337,"m^3","gal")</f>
        <v>0</v>
      </c>
      <c r="AP337" s="372">
        <f>AK337+AN337</f>
        <v>0</v>
      </c>
      <c r="AQ337" s="372">
        <f>+CONVERT(AP337,"m^3","gal")</f>
        <v>0</v>
      </c>
      <c r="AR337" s="443"/>
      <c r="AS337" s="443"/>
      <c r="AT337" s="267">
        <f>+CONVERT(SUM(Tabla1[[#This Row],[Repo. DO Storage '[gal']]:[Repo. DO Pilot '[gal']]]),"gal","m3")</f>
        <v>0</v>
      </c>
      <c r="AU337" s="442">
        <v>0</v>
      </c>
      <c r="AV337" s="372">
        <f>+CONVERT(AU337,"m^3","gal")</f>
        <v>0</v>
      </c>
      <c r="AW337" s="442">
        <v>0</v>
      </c>
      <c r="AX337" s="372">
        <f>+CONVERT(AW337,"gal","m3")</f>
        <v>0</v>
      </c>
      <c r="AY337" s="372">
        <f t="shared" si="105"/>
        <v>0</v>
      </c>
      <c r="AZ337" s="372">
        <f>IFERROR(AL337/'Ar-Pa'!AX337,0)</f>
        <v>0</v>
      </c>
      <c r="BA337" s="372">
        <f>IFERROR(AL337/'Ar-Pa'!AY337,0)</f>
        <v>0</v>
      </c>
      <c r="BB337" s="372">
        <f t="shared" si="106"/>
        <v>0</v>
      </c>
      <c r="BC337" s="372">
        <f>IFERROR(AVERAGEIF('DO Pilot'!AX337:BU337,"&gt;0"),0)</f>
        <v>0</v>
      </c>
      <c r="BD337" s="446"/>
      <c r="BE337" s="446"/>
      <c r="BF337" s="446"/>
      <c r="BG337" s="223">
        <f>Tabla1[[#This Row],[ Re. Gas GC
 '[m3']]]</f>
        <v>0</v>
      </c>
      <c r="BH337" s="150">
        <f>IFERROR((BG337*Gas!$B$4)/28.31685,0)</f>
        <v>0</v>
      </c>
      <c r="BI337" s="73">
        <f t="shared" ref="BI337:BI366" si="111">BH337-BE337</f>
        <v>0</v>
      </c>
      <c r="BJ337" s="74">
        <f t="shared" si="109"/>
        <v>0</v>
      </c>
      <c r="BK337" s="223">
        <f t="shared" si="107"/>
        <v>0</v>
      </c>
      <c r="BL337" s="442">
        <v>9343.65</v>
      </c>
      <c r="BM337" s="70">
        <f t="shared" si="108"/>
        <v>0</v>
      </c>
      <c r="BN337" s="70">
        <f t="shared" si="110"/>
        <v>0</v>
      </c>
      <c r="BO337" s="373">
        <f>IFERROR(Tabla1[[#This Row],[ Re. Gas GC
 '[m3']]]/Tabla1[[#This Row],[G. HGS 
Con Gas '[kWh']]],0)</f>
        <v>0</v>
      </c>
      <c r="BP337" s="374">
        <f>Tank!Y338</f>
        <v>0</v>
      </c>
      <c r="BQ337" s="70">
        <f>Tank!AP338</f>
        <v>0</v>
      </c>
      <c r="BR337" s="70">
        <f>Tank!V338</f>
        <v>0</v>
      </c>
      <c r="BS337" s="372">
        <f>Tank!T338</f>
        <v>0</v>
      </c>
      <c r="BT337" s="375" t="s">
        <v>228</v>
      </c>
      <c r="BU337" s="452"/>
      <c r="BV337" s="376">
        <f>IF(Tabla1[[#This Row],[Combustible ofertado]]="GAS",Tabla1[[#This Row],[Disponibilidad]],0)</f>
        <v>0</v>
      </c>
      <c r="BW337" s="376">
        <f>IF(Tabla1[[#This Row],[Combustible ofertado]]="DIESEL",Tabla1[[#This Row],[Disponibilidad]],0)</f>
        <v>0</v>
      </c>
      <c r="BX337" s="376">
        <f>IF(Tabla1[[#This Row],[Combustible ofertado]]="HFO",Tabla1[[#This Row],[Disponibilidad]],0)</f>
        <v>0</v>
      </c>
      <c r="BY337" s="452"/>
      <c r="BZ337" s="446">
        <f>'Horo. M'!C338</f>
        <v>0</v>
      </c>
      <c r="CA337" s="446">
        <f>'Horo. M'!E338</f>
        <v>0</v>
      </c>
      <c r="CB337" s="446">
        <f>'Horo. M'!G338</f>
        <v>0</v>
      </c>
      <c r="CC337" s="446">
        <f>'Horo. M'!I338</f>
        <v>0</v>
      </c>
      <c r="CD337" s="446">
        <f>'Horo. M'!K338</f>
        <v>0</v>
      </c>
      <c r="CE337" s="446">
        <f>'Horo. M'!M338</f>
        <v>0</v>
      </c>
      <c r="CF337" s="446">
        <f>'Horo. M'!O338</f>
        <v>0</v>
      </c>
      <c r="CG337" s="446">
        <f>'Horo. M'!Q338</f>
        <v>0</v>
      </c>
      <c r="CH337" s="446">
        <f>'Horo. M'!S338</f>
        <v>0</v>
      </c>
      <c r="CI337" s="446">
        <f>'Horo. M'!U338</f>
        <v>0</v>
      </c>
      <c r="CJ337" s="70">
        <f>Tabla1[[#This Row],[Con. DO Storage '[gal']]]-Tabla1[[#This Row],[C. DO Storage Ge '[gal']]]</f>
        <v>0</v>
      </c>
      <c r="CK337" s="70"/>
      <c r="CL337" s="70"/>
      <c r="CM337" s="70">
        <f>Tabla1[[#This Row],[Con. DO Total '[gal']]]*131485.5/(1000000)</f>
        <v>0</v>
      </c>
      <c r="CU337" s="10">
        <v>1458.5859</v>
      </c>
    </row>
    <row r="338" spans="1:99" ht="15" customHeight="1">
      <c r="A338" s="362">
        <v>45263</v>
      </c>
      <c r="B338" s="363" t="str">
        <f>TEXT(Tabla1[[#This Row],[Fecha]],"mmmm")</f>
        <v>diciembre</v>
      </c>
      <c r="C338" s="364"/>
      <c r="D338" s="366"/>
      <c r="E338" s="366"/>
      <c r="F338" s="366"/>
      <c r="G338" s="377"/>
      <c r="H338" s="377"/>
      <c r="I338" s="378"/>
      <c r="J338" s="378"/>
      <c r="K338" s="366"/>
      <c r="L338" s="366"/>
      <c r="M338" s="365">
        <f>Tabla1[[#This Row],[Columna1]]-Tabla1[[#This Row],[PO '[h']]]</f>
        <v>0</v>
      </c>
      <c r="N338" s="366">
        <f t="shared" ref="N338:N366" si="112">F338+H338+J338</f>
        <v>0</v>
      </c>
      <c r="O338" s="365"/>
      <c r="P338" s="367">
        <f>Tabla1[[#This Row],[G. HGS 
'[MWh']]]</f>
        <v>0</v>
      </c>
      <c r="Q338" s="430">
        <v>0</v>
      </c>
      <c r="R338" s="367">
        <v>0</v>
      </c>
      <c r="S338" s="367">
        <f>Tabla1[[#This Row],[G. HGS 
Con Gas]]*1000</f>
        <v>0</v>
      </c>
      <c r="T338" s="365">
        <f>Tabla1[[#This Row],[G. HGS 
'[MWh']]]*1000</f>
        <v>0</v>
      </c>
      <c r="U338" s="368">
        <f>SUM('G. Un GE'!B338:Y338)</f>
        <v>0</v>
      </c>
      <c r="V338" s="369">
        <f>Tabla1[[#This Row],[R. GE
'[MWh']]]</f>
        <v>0</v>
      </c>
      <c r="W338" s="434">
        <v>0</v>
      </c>
      <c r="X338" s="369">
        <v>0</v>
      </c>
      <c r="Y338" s="365">
        <f>Tabla1[[#This Row],[R. GE
'[MWh']]]*1000</f>
        <v>0</v>
      </c>
      <c r="Z338" s="371"/>
      <c r="AA33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8" s="371">
        <f>IF(Tabla1[[#This Row],[G. HGS 
'[MWh']]]=0,0,Tabla1[[#This Row],[G. HGS 
'[MWh']]]+Tabla1[[#This Row],[Con. Aux. '[MWh']2]])</f>
        <v>0</v>
      </c>
      <c r="AC338" s="368">
        <f>'C. ENER. TN'!F338</f>
        <v>0</v>
      </c>
      <c r="AD338" s="370">
        <f>'C. ENER. TN'!G338</f>
        <v>0</v>
      </c>
      <c r="AE338" s="370">
        <f>'G. Un GE'!AX338</f>
        <v>0</v>
      </c>
      <c r="AF338" s="368">
        <f>IFERROR('G. Un GE'!AX338/Tabla1[[#This Row],[PO '[h']]],0)</f>
        <v>0</v>
      </c>
      <c r="AG338" s="365">
        <f>'Ar-Pa'!AX338</f>
        <v>0</v>
      </c>
      <c r="AH338" s="365">
        <f>'Ar-Pa'!AY338</f>
        <v>0</v>
      </c>
      <c r="AI338" s="366">
        <f>SUM('Cal. Arr'!AB341:AY341)</f>
        <v>0</v>
      </c>
      <c r="AJ338" s="442"/>
      <c r="AK338" s="443"/>
      <c r="AL338" s="372">
        <f t="shared" ref="AL338:AL366" si="113">+CONVERT(AK338,"m^3","gal")</f>
        <v>0</v>
      </c>
      <c r="AM338" s="372">
        <f>+CONVERT(AK338+Tabla1[[#This Row],[Con. DO Storage Gen. '[m3']]],"m^3","gal")</f>
        <v>0</v>
      </c>
      <c r="AN338" s="372">
        <f>SUM('DO Pilot'!B338:Y338)</f>
        <v>0</v>
      </c>
      <c r="AO338" s="372">
        <f t="shared" ref="AO338:AO366" si="114">+CONVERT(AN338,"m^3","gal")</f>
        <v>0</v>
      </c>
      <c r="AP338" s="372">
        <f t="shared" ref="AP338:AP366" si="115">AK338+AN338</f>
        <v>0</v>
      </c>
      <c r="AQ338" s="372">
        <f t="shared" ref="AQ338:AQ366" si="116">+CONVERT(AP338,"m^3","gal")</f>
        <v>0</v>
      </c>
      <c r="AR338" s="443"/>
      <c r="AS338" s="443"/>
      <c r="AT338" s="267">
        <f>+CONVERT(SUM(Tabla1[[#This Row],[Repo. DO Storage '[gal']]:[Repo. DO Pilot '[gal']]]),"gal","m3")</f>
        <v>0</v>
      </c>
      <c r="AU338" s="442">
        <v>0</v>
      </c>
      <c r="AV338" s="372">
        <f t="shared" ref="AV338:AV366" si="117">+CONVERT(AU338,"m^3","gal")</f>
        <v>0</v>
      </c>
      <c r="AW338" s="442">
        <v>0</v>
      </c>
      <c r="AX338" s="372">
        <f t="shared" ref="AX338:AX366" si="118">+CONVERT(AW338,"gal","m3")</f>
        <v>0</v>
      </c>
      <c r="AY338" s="372">
        <f t="shared" si="105"/>
        <v>0</v>
      </c>
      <c r="AZ338" s="372">
        <f>IFERROR(AL338/'Ar-Pa'!AX338,0)</f>
        <v>0</v>
      </c>
      <c r="BA338" s="372">
        <f>IFERROR(AL338/'Ar-Pa'!AY338,0)</f>
        <v>0</v>
      </c>
      <c r="BB338" s="372">
        <f t="shared" si="106"/>
        <v>0</v>
      </c>
      <c r="BC338" s="372">
        <f>IFERROR(AVERAGEIF('DO Pilot'!AX338:BU338,"&gt;0"),0)</f>
        <v>0</v>
      </c>
      <c r="BD338" s="446"/>
      <c r="BE338" s="446"/>
      <c r="BF338" s="446"/>
      <c r="BG338" s="223">
        <f>Tabla1[[#This Row],[ Re. Gas GC
 '[m3']]]</f>
        <v>0</v>
      </c>
      <c r="BH338" s="150">
        <f>IFERROR((BG338*Gas!$B$4)/28.31685,0)</f>
        <v>0</v>
      </c>
      <c r="BI338" s="73">
        <f t="shared" si="111"/>
        <v>0</v>
      </c>
      <c r="BJ338" s="74">
        <f t="shared" si="109"/>
        <v>0</v>
      </c>
      <c r="BK338" s="223">
        <f t="shared" si="107"/>
        <v>0</v>
      </c>
      <c r="BL338" s="442">
        <v>8951.98</v>
      </c>
      <c r="BM338" s="70">
        <f t="shared" si="108"/>
        <v>0</v>
      </c>
      <c r="BN338" s="70">
        <f t="shared" si="110"/>
        <v>0</v>
      </c>
      <c r="BO338" s="373">
        <f>IFERROR(Tabla1[[#This Row],[ Re. Gas GC
 '[m3']]]/Tabla1[[#This Row],[G. HGS 
Con Gas '[kWh']]],0)</f>
        <v>0</v>
      </c>
      <c r="BP338" s="374">
        <f>Tank!Y339</f>
        <v>0</v>
      </c>
      <c r="BQ338" s="70">
        <f>Tank!AP339</f>
        <v>0</v>
      </c>
      <c r="BR338" s="70">
        <f>Tank!V339</f>
        <v>0</v>
      </c>
      <c r="BS338" s="372">
        <f>Tank!T339</f>
        <v>0</v>
      </c>
      <c r="BT338" s="375" t="s">
        <v>228</v>
      </c>
      <c r="BU338" s="452"/>
      <c r="BV338" s="376">
        <f>IF(Tabla1[[#This Row],[Combustible ofertado]]="GAS",Tabla1[[#This Row],[Disponibilidad]],0)</f>
        <v>0</v>
      </c>
      <c r="BW338" s="376">
        <f>IF(Tabla1[[#This Row],[Combustible ofertado]]="DIESEL",Tabla1[[#This Row],[Disponibilidad]],0)</f>
        <v>0</v>
      </c>
      <c r="BX338" s="376">
        <f>IF(Tabla1[[#This Row],[Combustible ofertado]]="HFO",Tabla1[[#This Row],[Disponibilidad]],0)</f>
        <v>0</v>
      </c>
      <c r="BY338" s="452"/>
      <c r="BZ338" s="446">
        <f>'Horo. M'!C339</f>
        <v>0</v>
      </c>
      <c r="CA338" s="446">
        <f>'Horo. M'!E339</f>
        <v>0</v>
      </c>
      <c r="CB338" s="446">
        <f>'Horo. M'!G339</f>
        <v>0</v>
      </c>
      <c r="CC338" s="446">
        <f>'Horo. M'!I339</f>
        <v>0</v>
      </c>
      <c r="CD338" s="446">
        <f>'Horo. M'!K339</f>
        <v>0</v>
      </c>
      <c r="CE338" s="446">
        <f>'Horo. M'!M339</f>
        <v>0</v>
      </c>
      <c r="CF338" s="446">
        <f>'Horo. M'!O339</f>
        <v>0</v>
      </c>
      <c r="CG338" s="446">
        <f>'Horo. M'!Q339</f>
        <v>0</v>
      </c>
      <c r="CH338" s="446">
        <f>'Horo. M'!S339</f>
        <v>0</v>
      </c>
      <c r="CI338" s="446">
        <f>'Horo. M'!U339</f>
        <v>0</v>
      </c>
      <c r="CJ338" s="70">
        <f>Tabla1[[#This Row],[Con. DO Storage '[gal']]]-Tabla1[[#This Row],[C. DO Storage Ge '[gal']]]</f>
        <v>0</v>
      </c>
      <c r="CK338" s="70"/>
      <c r="CL338" s="70"/>
      <c r="CM338" s="70">
        <f>Tabla1[[#This Row],[Con. DO Total '[gal']]]*131485.5/(1000000)</f>
        <v>0</v>
      </c>
      <c r="CU338" s="10">
        <v>1497.2374000000002</v>
      </c>
    </row>
    <row r="339" spans="1:99" ht="15" customHeight="1">
      <c r="A339" s="362">
        <v>45264</v>
      </c>
      <c r="B339" s="363" t="str">
        <f>TEXT(Tabla1[[#This Row],[Fecha]],"mmmm")</f>
        <v>diciembre</v>
      </c>
      <c r="C339" s="364"/>
      <c r="D339" s="366"/>
      <c r="E339" s="366"/>
      <c r="F339" s="366"/>
      <c r="G339" s="377"/>
      <c r="H339" s="377"/>
      <c r="I339" s="378"/>
      <c r="J339" s="378"/>
      <c r="K339" s="366"/>
      <c r="L339" s="366"/>
      <c r="M339" s="365">
        <f>Tabla1[[#This Row],[Columna1]]-Tabla1[[#This Row],[PO '[h']]]</f>
        <v>0</v>
      </c>
      <c r="N339" s="366">
        <f t="shared" si="112"/>
        <v>0</v>
      </c>
      <c r="O339" s="365"/>
      <c r="P339" s="367">
        <f>Tabla1[[#This Row],[G. HGS 
'[MWh']]]</f>
        <v>0</v>
      </c>
      <c r="Q339" s="430">
        <v>0</v>
      </c>
      <c r="R339" s="367">
        <v>0</v>
      </c>
      <c r="S339" s="367">
        <f>Tabla1[[#This Row],[G. HGS 
Con Gas]]*1000</f>
        <v>0</v>
      </c>
      <c r="T339" s="365">
        <f>Tabla1[[#This Row],[G. HGS 
'[MWh']]]*1000</f>
        <v>0</v>
      </c>
      <c r="U339" s="368">
        <f>SUM('G. Un GE'!B339:Y339)</f>
        <v>0</v>
      </c>
      <c r="V339" s="369">
        <f>Tabla1[[#This Row],[R. GE
'[MWh']]]</f>
        <v>0</v>
      </c>
      <c r="W339" s="434">
        <v>0</v>
      </c>
      <c r="X339" s="369">
        <v>0</v>
      </c>
      <c r="Y339" s="365">
        <f>Tabla1[[#This Row],[R. GE
'[MWh']]]*1000</f>
        <v>0</v>
      </c>
      <c r="Z339" s="371"/>
      <c r="AA33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39" s="371">
        <f>IF(Tabla1[[#This Row],[G. HGS 
'[MWh']]]=0,0,Tabla1[[#This Row],[G. HGS 
'[MWh']]]+Tabla1[[#This Row],[Con. Aux. '[MWh']2]])</f>
        <v>0</v>
      </c>
      <c r="AC339" s="368">
        <f>'C. ENER. TN'!F339</f>
        <v>0</v>
      </c>
      <c r="AD339" s="370">
        <f>'C. ENER. TN'!G339</f>
        <v>0</v>
      </c>
      <c r="AE339" s="370">
        <f>'G. Un GE'!AX339</f>
        <v>0</v>
      </c>
      <c r="AF339" s="368">
        <f>IFERROR('G. Un GE'!AX339/Tabla1[[#This Row],[PO '[h']]],0)</f>
        <v>0</v>
      </c>
      <c r="AG339" s="365">
        <f>'Ar-Pa'!AX339</f>
        <v>0</v>
      </c>
      <c r="AH339" s="365">
        <f>'Ar-Pa'!AY339</f>
        <v>0</v>
      </c>
      <c r="AI339" s="366">
        <f>SUM('Cal. Arr'!AB342:AY342)</f>
        <v>0</v>
      </c>
      <c r="AJ339" s="442"/>
      <c r="AK339" s="443"/>
      <c r="AL339" s="372">
        <f t="shared" si="113"/>
        <v>0</v>
      </c>
      <c r="AM339" s="372">
        <f>+CONVERT(AK339+Tabla1[[#This Row],[Con. DO Storage Gen. '[m3']]],"m^3","gal")</f>
        <v>0</v>
      </c>
      <c r="AN339" s="372">
        <f>SUM('DO Pilot'!B339:Y339)</f>
        <v>0</v>
      </c>
      <c r="AO339" s="372">
        <f t="shared" si="114"/>
        <v>0</v>
      </c>
      <c r="AP339" s="372">
        <f t="shared" si="115"/>
        <v>0</v>
      </c>
      <c r="AQ339" s="372">
        <f t="shared" si="116"/>
        <v>0</v>
      </c>
      <c r="AR339" s="443"/>
      <c r="AS339" s="443"/>
      <c r="AT339" s="267">
        <f>+CONVERT(SUM(Tabla1[[#This Row],[Repo. DO Storage '[gal']]:[Repo. DO Pilot '[gal']]]),"gal","m3")</f>
        <v>0</v>
      </c>
      <c r="AU339" s="442">
        <v>0</v>
      </c>
      <c r="AV339" s="372">
        <f t="shared" si="117"/>
        <v>0</v>
      </c>
      <c r="AW339" s="442">
        <v>0</v>
      </c>
      <c r="AX339" s="372">
        <f t="shared" si="118"/>
        <v>0</v>
      </c>
      <c r="AY339" s="372">
        <f t="shared" si="105"/>
        <v>0</v>
      </c>
      <c r="AZ339" s="372">
        <f>IFERROR(AL339/'Ar-Pa'!AX339,0)</f>
        <v>0</v>
      </c>
      <c r="BA339" s="372">
        <f>IFERROR(AL339/'Ar-Pa'!AY339,0)</f>
        <v>0</v>
      </c>
      <c r="BB339" s="372">
        <f t="shared" si="106"/>
        <v>0</v>
      </c>
      <c r="BC339" s="372">
        <f>IFERROR(AVERAGEIF('DO Pilot'!AX339:BU339,"&gt;0"),0)</f>
        <v>0</v>
      </c>
      <c r="BD339" s="446"/>
      <c r="BE339" s="446"/>
      <c r="BF339" s="446"/>
      <c r="BG339" s="223">
        <f>Tabla1[[#This Row],[ Re. Gas GC
 '[m3']]]</f>
        <v>0</v>
      </c>
      <c r="BH339" s="150">
        <f>IFERROR((BG339*Gas!$B$4)/28.31685,0)</f>
        <v>0</v>
      </c>
      <c r="BI339" s="73">
        <f t="shared" si="111"/>
        <v>0</v>
      </c>
      <c r="BJ339" s="74">
        <f t="shared" si="109"/>
        <v>0</v>
      </c>
      <c r="BK339" s="223">
        <f t="shared" si="107"/>
        <v>0</v>
      </c>
      <c r="BL339" s="442">
        <v>9281.34</v>
      </c>
      <c r="BM339" s="70">
        <f t="shared" si="108"/>
        <v>0</v>
      </c>
      <c r="BN339" s="70">
        <f t="shared" si="110"/>
        <v>0</v>
      </c>
      <c r="BO339" s="373">
        <f>IFERROR(Tabla1[[#This Row],[ Re. Gas GC
 '[m3']]]/Tabla1[[#This Row],[G. HGS 
Con Gas '[kWh']]],0)</f>
        <v>0</v>
      </c>
      <c r="BP339" s="374">
        <f>Tank!Y340</f>
        <v>0</v>
      </c>
      <c r="BQ339" s="70">
        <f>Tank!AP340</f>
        <v>0</v>
      </c>
      <c r="BR339" s="70">
        <f>Tank!V340</f>
        <v>0</v>
      </c>
      <c r="BS339" s="372">
        <f>Tank!T340</f>
        <v>0</v>
      </c>
      <c r="BT339" s="375" t="s">
        <v>228</v>
      </c>
      <c r="BU339" s="452"/>
      <c r="BV339" s="376">
        <f>IF(Tabla1[[#This Row],[Combustible ofertado]]="GAS",Tabla1[[#This Row],[Disponibilidad]],0)</f>
        <v>0</v>
      </c>
      <c r="BW339" s="376">
        <f>IF(Tabla1[[#This Row],[Combustible ofertado]]="DIESEL",Tabla1[[#This Row],[Disponibilidad]],0)</f>
        <v>0</v>
      </c>
      <c r="BX339" s="376">
        <f>IF(Tabla1[[#This Row],[Combustible ofertado]]="HFO",Tabla1[[#This Row],[Disponibilidad]],0)</f>
        <v>0</v>
      </c>
      <c r="BY339" s="452"/>
      <c r="BZ339" s="446">
        <f>'Horo. M'!C340</f>
        <v>0</v>
      </c>
      <c r="CA339" s="446">
        <f>'Horo. M'!E340</f>
        <v>0</v>
      </c>
      <c r="CB339" s="446">
        <f>'Horo. M'!G340</f>
        <v>0</v>
      </c>
      <c r="CC339" s="446">
        <f>'Horo. M'!I340</f>
        <v>0</v>
      </c>
      <c r="CD339" s="446">
        <f>'Horo. M'!K340</f>
        <v>0</v>
      </c>
      <c r="CE339" s="446">
        <f>'Horo. M'!M340</f>
        <v>0</v>
      </c>
      <c r="CF339" s="446">
        <f>'Horo. M'!O340</f>
        <v>0</v>
      </c>
      <c r="CG339" s="446">
        <f>'Horo. M'!Q340</f>
        <v>0</v>
      </c>
      <c r="CH339" s="446">
        <f>'Horo. M'!S340</f>
        <v>0</v>
      </c>
      <c r="CI339" s="446">
        <f>'Horo. M'!U340</f>
        <v>0</v>
      </c>
      <c r="CJ339" s="70">
        <f>Tabla1[[#This Row],[Con. DO Storage '[gal']]]-Tabla1[[#This Row],[C. DO Storage Ge '[gal']]]</f>
        <v>0</v>
      </c>
      <c r="CK339" s="70"/>
      <c r="CL339" s="70"/>
      <c r="CM339" s="70">
        <f>Tabla1[[#This Row],[Con. DO Total '[gal']]]*131485.5/(1000000)</f>
        <v>0</v>
      </c>
      <c r="CU339" s="10">
        <v>945.7725999999999</v>
      </c>
    </row>
    <row r="340" spans="1:99" ht="15" customHeight="1">
      <c r="A340" s="362">
        <v>45265</v>
      </c>
      <c r="B340" s="363" t="str">
        <f>TEXT(Tabla1[[#This Row],[Fecha]],"mmmm")</f>
        <v>diciembre</v>
      </c>
      <c r="C340" s="364"/>
      <c r="D340" s="366"/>
      <c r="E340" s="366"/>
      <c r="F340" s="366"/>
      <c r="G340" s="377"/>
      <c r="H340" s="377"/>
      <c r="I340" s="378"/>
      <c r="J340" s="378"/>
      <c r="K340" s="366"/>
      <c r="L340" s="366"/>
      <c r="M340" s="365">
        <f>Tabla1[[#This Row],[Columna1]]-Tabla1[[#This Row],[PO '[h']]]</f>
        <v>0</v>
      </c>
      <c r="N340" s="366">
        <f t="shared" si="112"/>
        <v>0</v>
      </c>
      <c r="O340" s="365"/>
      <c r="P340" s="367">
        <f>Tabla1[[#This Row],[G. HGS 
'[MWh']]]</f>
        <v>0</v>
      </c>
      <c r="Q340" s="430">
        <v>0</v>
      </c>
      <c r="R340" s="367">
        <v>0</v>
      </c>
      <c r="S340" s="367">
        <f>Tabla1[[#This Row],[G. HGS 
Con Gas]]*1000</f>
        <v>0</v>
      </c>
      <c r="T340" s="365">
        <f>Tabla1[[#This Row],[G. HGS 
'[MWh']]]*1000</f>
        <v>0</v>
      </c>
      <c r="U340" s="368">
        <f>SUM('G. Un GE'!B340:Y340)</f>
        <v>0</v>
      </c>
      <c r="V340" s="369">
        <f>Tabla1[[#This Row],[R. GE
'[MWh']]]</f>
        <v>0</v>
      </c>
      <c r="W340" s="434">
        <v>0</v>
      </c>
      <c r="X340" s="369">
        <v>0</v>
      </c>
      <c r="Y340" s="365">
        <f>Tabla1[[#This Row],[R. GE
'[MWh']]]*1000</f>
        <v>0</v>
      </c>
      <c r="Z340" s="371"/>
      <c r="AA34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0" s="371">
        <f>IF(Tabla1[[#This Row],[G. HGS 
'[MWh']]]=0,0,Tabla1[[#This Row],[G. HGS 
'[MWh']]]+Tabla1[[#This Row],[Con. Aux. '[MWh']2]])</f>
        <v>0</v>
      </c>
      <c r="AC340" s="368">
        <f>'C. ENER. TN'!F340</f>
        <v>0</v>
      </c>
      <c r="AD340" s="370">
        <f>'C. ENER. TN'!G340</f>
        <v>0</v>
      </c>
      <c r="AE340" s="370">
        <f>'G. Un GE'!AX340</f>
        <v>0</v>
      </c>
      <c r="AF340" s="368">
        <f>IFERROR('G. Un GE'!AX340/Tabla1[[#This Row],[PO '[h']]],0)</f>
        <v>0</v>
      </c>
      <c r="AG340" s="365">
        <f>'Ar-Pa'!AX340</f>
        <v>0</v>
      </c>
      <c r="AH340" s="365">
        <f>'Ar-Pa'!AY340</f>
        <v>0</v>
      </c>
      <c r="AI340" s="366">
        <f>SUM('Cal. Arr'!AB343:AY343)</f>
        <v>0</v>
      </c>
      <c r="AJ340" s="442"/>
      <c r="AK340" s="443"/>
      <c r="AL340" s="372">
        <f t="shared" si="113"/>
        <v>0</v>
      </c>
      <c r="AM340" s="372">
        <f>+CONVERT(AK340+Tabla1[[#This Row],[Con. DO Storage Gen. '[m3']]],"m^3","gal")</f>
        <v>0</v>
      </c>
      <c r="AN340" s="372">
        <f>SUM('DO Pilot'!B340:Y340)</f>
        <v>0</v>
      </c>
      <c r="AO340" s="372">
        <f t="shared" si="114"/>
        <v>0</v>
      </c>
      <c r="AP340" s="372">
        <f t="shared" si="115"/>
        <v>0</v>
      </c>
      <c r="AQ340" s="372">
        <f t="shared" si="116"/>
        <v>0</v>
      </c>
      <c r="AR340" s="443"/>
      <c r="AS340" s="443"/>
      <c r="AT340" s="267">
        <f>+CONVERT(SUM(Tabla1[[#This Row],[Repo. DO Storage '[gal']]:[Repo. DO Pilot '[gal']]]),"gal","m3")</f>
        <v>0</v>
      </c>
      <c r="AU340" s="442">
        <v>0</v>
      </c>
      <c r="AV340" s="372">
        <f t="shared" si="117"/>
        <v>0</v>
      </c>
      <c r="AW340" s="442">
        <v>0</v>
      </c>
      <c r="AX340" s="372">
        <f t="shared" si="118"/>
        <v>0</v>
      </c>
      <c r="AY340" s="372">
        <f t="shared" si="105"/>
        <v>0</v>
      </c>
      <c r="AZ340" s="372">
        <f>IFERROR(AL340/'Ar-Pa'!AX340,0)</f>
        <v>0</v>
      </c>
      <c r="BA340" s="372">
        <f>IFERROR(AL340/'Ar-Pa'!AY340,0)</f>
        <v>0</v>
      </c>
      <c r="BB340" s="372">
        <f t="shared" si="106"/>
        <v>0</v>
      </c>
      <c r="BC340" s="372">
        <f>IFERROR(AVERAGEIF('DO Pilot'!AX340:BU340,"&gt;0"),0)</f>
        <v>0</v>
      </c>
      <c r="BD340" s="446"/>
      <c r="BE340" s="446"/>
      <c r="BF340" s="446"/>
      <c r="BG340" s="223">
        <f>Tabla1[[#This Row],[ Re. Gas GC
 '[m3']]]</f>
        <v>0</v>
      </c>
      <c r="BH340" s="150">
        <f>IFERROR((BG340*Gas!$B$4)/28.31685,0)</f>
        <v>0</v>
      </c>
      <c r="BI340" s="73">
        <f t="shared" si="111"/>
        <v>0</v>
      </c>
      <c r="BJ340" s="74">
        <f t="shared" si="109"/>
        <v>0</v>
      </c>
      <c r="BK340" s="223">
        <f t="shared" si="107"/>
        <v>0</v>
      </c>
      <c r="BL340" s="442">
        <v>9256.73</v>
      </c>
      <c r="BM340" s="70">
        <f t="shared" si="108"/>
        <v>0</v>
      </c>
      <c r="BN340" s="70">
        <f t="shared" si="110"/>
        <v>0</v>
      </c>
      <c r="BO340" s="373">
        <f>IFERROR(Tabla1[[#This Row],[ Re. Gas GC
 '[m3']]]/Tabla1[[#This Row],[G. HGS 
Con Gas '[kWh']]],0)</f>
        <v>0</v>
      </c>
      <c r="BP340" s="374">
        <f>Tank!Y341</f>
        <v>0</v>
      </c>
      <c r="BQ340" s="70">
        <f>Tank!AP341</f>
        <v>0</v>
      </c>
      <c r="BR340" s="70">
        <f>Tank!V341</f>
        <v>0</v>
      </c>
      <c r="BS340" s="372">
        <f>Tank!T341</f>
        <v>0</v>
      </c>
      <c r="BT340" s="375" t="s">
        <v>228</v>
      </c>
      <c r="BU340" s="452"/>
      <c r="BV340" s="376">
        <f>IF(Tabla1[[#This Row],[Combustible ofertado]]="GAS",Tabla1[[#This Row],[Disponibilidad]],0)</f>
        <v>0</v>
      </c>
      <c r="BW340" s="376">
        <f>IF(Tabla1[[#This Row],[Combustible ofertado]]="DIESEL",Tabla1[[#This Row],[Disponibilidad]],0)</f>
        <v>0</v>
      </c>
      <c r="BX340" s="376">
        <f>IF(Tabla1[[#This Row],[Combustible ofertado]]="HFO",Tabla1[[#This Row],[Disponibilidad]],0)</f>
        <v>0</v>
      </c>
      <c r="BY340" s="452"/>
      <c r="BZ340" s="446">
        <f>'Horo. M'!C341</f>
        <v>0</v>
      </c>
      <c r="CA340" s="446">
        <f>'Horo. M'!E341</f>
        <v>0</v>
      </c>
      <c r="CB340" s="446">
        <f>'Horo. M'!G341</f>
        <v>0</v>
      </c>
      <c r="CC340" s="446">
        <f>'Horo. M'!I341</f>
        <v>0</v>
      </c>
      <c r="CD340" s="446">
        <f>'Horo. M'!K341</f>
        <v>0</v>
      </c>
      <c r="CE340" s="446">
        <f>'Horo. M'!M341</f>
        <v>0</v>
      </c>
      <c r="CF340" s="446">
        <f>'Horo. M'!O341</f>
        <v>0</v>
      </c>
      <c r="CG340" s="446">
        <f>'Horo. M'!Q341</f>
        <v>0</v>
      </c>
      <c r="CH340" s="446">
        <f>'Horo. M'!S341</f>
        <v>0</v>
      </c>
      <c r="CI340" s="446">
        <f>'Horo. M'!U341</f>
        <v>0</v>
      </c>
      <c r="CJ340" s="70">
        <f>Tabla1[[#This Row],[Con. DO Storage '[gal']]]-Tabla1[[#This Row],[C. DO Storage Ge '[gal']]]</f>
        <v>0</v>
      </c>
      <c r="CK340" s="70"/>
      <c r="CL340" s="70"/>
      <c r="CM340" s="70">
        <f>Tabla1[[#This Row],[Con. DO Total '[gal']]]*131485.5/(1000000)</f>
        <v>0</v>
      </c>
      <c r="CU340" s="10">
        <v>828.3368999999999</v>
      </c>
    </row>
    <row r="341" spans="1:99" ht="15" customHeight="1">
      <c r="A341" s="362">
        <v>45266</v>
      </c>
      <c r="B341" s="363" t="str">
        <f>TEXT(Tabla1[[#This Row],[Fecha]],"mmmm")</f>
        <v>diciembre</v>
      </c>
      <c r="C341" s="364"/>
      <c r="D341" s="366"/>
      <c r="E341" s="366"/>
      <c r="F341" s="366"/>
      <c r="G341" s="377"/>
      <c r="H341" s="377"/>
      <c r="I341" s="378"/>
      <c r="J341" s="378"/>
      <c r="K341" s="366"/>
      <c r="L341" s="366"/>
      <c r="M341" s="365">
        <f>Tabla1[[#This Row],[Columna1]]-Tabla1[[#This Row],[PO '[h']]]</f>
        <v>0</v>
      </c>
      <c r="N341" s="366">
        <f t="shared" si="112"/>
        <v>0</v>
      </c>
      <c r="O341" s="365"/>
      <c r="P341" s="367">
        <f>Tabla1[[#This Row],[G. HGS 
'[MWh']]]</f>
        <v>0</v>
      </c>
      <c r="Q341" s="430">
        <v>0</v>
      </c>
      <c r="R341" s="367">
        <v>0</v>
      </c>
      <c r="S341" s="367">
        <f>Tabla1[[#This Row],[G. HGS 
Con Gas]]*1000</f>
        <v>0</v>
      </c>
      <c r="T341" s="365">
        <f>Tabla1[[#This Row],[G. HGS 
'[MWh']]]*1000</f>
        <v>0</v>
      </c>
      <c r="U341" s="368">
        <f>SUM('G. Un GE'!B341:Y341)</f>
        <v>0</v>
      </c>
      <c r="V341" s="369">
        <f>Tabla1[[#This Row],[R. GE
'[MWh']]]</f>
        <v>0</v>
      </c>
      <c r="W341" s="434">
        <v>0</v>
      </c>
      <c r="X341" s="369">
        <v>0</v>
      </c>
      <c r="Y341" s="365">
        <f>Tabla1[[#This Row],[R. GE
'[MWh']]]*1000</f>
        <v>0</v>
      </c>
      <c r="Z341" s="371"/>
      <c r="AA34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1" s="371">
        <f>IF(Tabla1[[#This Row],[G. HGS 
'[MWh']]]=0,0,Tabla1[[#This Row],[G. HGS 
'[MWh']]]+Tabla1[[#This Row],[Con. Aux. '[MWh']2]])</f>
        <v>0</v>
      </c>
      <c r="AC341" s="368">
        <f>'C. ENER. TN'!F341</f>
        <v>0</v>
      </c>
      <c r="AD341" s="370">
        <f>'C. ENER. TN'!G341</f>
        <v>0</v>
      </c>
      <c r="AE341" s="370">
        <f>'G. Un GE'!AX341</f>
        <v>0</v>
      </c>
      <c r="AF341" s="368">
        <f>IFERROR('G. Un GE'!AX341/Tabla1[[#This Row],[PO '[h']]],0)</f>
        <v>0</v>
      </c>
      <c r="AG341" s="365">
        <f>'Ar-Pa'!AX341</f>
        <v>0</v>
      </c>
      <c r="AH341" s="365">
        <f>'Ar-Pa'!AY341</f>
        <v>0</v>
      </c>
      <c r="AI341" s="366">
        <f>SUM('Cal. Arr'!AB344:AY344)</f>
        <v>0</v>
      </c>
      <c r="AJ341" s="442"/>
      <c r="AK341" s="443"/>
      <c r="AL341" s="372">
        <f t="shared" si="113"/>
        <v>0</v>
      </c>
      <c r="AM341" s="372">
        <f>+CONVERT(AK341+Tabla1[[#This Row],[Con. DO Storage Gen. '[m3']]],"m^3","gal")</f>
        <v>0</v>
      </c>
      <c r="AN341" s="372">
        <f>SUM('DO Pilot'!B341:Y341)</f>
        <v>0</v>
      </c>
      <c r="AO341" s="372">
        <f t="shared" si="114"/>
        <v>0</v>
      </c>
      <c r="AP341" s="372">
        <f t="shared" si="115"/>
        <v>0</v>
      </c>
      <c r="AQ341" s="372">
        <f t="shared" si="116"/>
        <v>0</v>
      </c>
      <c r="AR341" s="443"/>
      <c r="AS341" s="443"/>
      <c r="AT341" s="267">
        <f>+CONVERT(SUM(Tabla1[[#This Row],[Repo. DO Storage '[gal']]:[Repo. DO Pilot '[gal']]]),"gal","m3")</f>
        <v>0</v>
      </c>
      <c r="AU341" s="442">
        <v>0</v>
      </c>
      <c r="AV341" s="372">
        <f t="shared" si="117"/>
        <v>0</v>
      </c>
      <c r="AW341" s="442">
        <v>0</v>
      </c>
      <c r="AX341" s="372">
        <f t="shared" si="118"/>
        <v>0</v>
      </c>
      <c r="AY341" s="372">
        <f t="shared" si="105"/>
        <v>0</v>
      </c>
      <c r="AZ341" s="372">
        <f>IFERROR(AL341/'Ar-Pa'!AX341,0)</f>
        <v>0</v>
      </c>
      <c r="BA341" s="372">
        <f>IFERROR(AL341/'Ar-Pa'!AY341,0)</f>
        <v>0</v>
      </c>
      <c r="BB341" s="372">
        <f t="shared" si="106"/>
        <v>0</v>
      </c>
      <c r="BC341" s="372">
        <f>IFERROR(AVERAGEIF('DO Pilot'!AX341:BU341,"&gt;0"),0)</f>
        <v>0</v>
      </c>
      <c r="BD341" s="446"/>
      <c r="BE341" s="446"/>
      <c r="BF341" s="446"/>
      <c r="BG341" s="223">
        <f>Tabla1[[#This Row],[ Re. Gas GC
 '[m3']]]</f>
        <v>0</v>
      </c>
      <c r="BH341" s="150">
        <f>IFERROR((BG341*Gas!$B$4)/28.31685,0)</f>
        <v>0</v>
      </c>
      <c r="BI341" s="73">
        <f t="shared" si="111"/>
        <v>0</v>
      </c>
      <c r="BJ341" s="74">
        <f t="shared" si="109"/>
        <v>0</v>
      </c>
      <c r="BK341" s="223">
        <f t="shared" si="107"/>
        <v>0</v>
      </c>
      <c r="BL341" s="442">
        <v>9256.6200000000008</v>
      </c>
      <c r="BM341" s="70">
        <f t="shared" si="108"/>
        <v>0</v>
      </c>
      <c r="BN341" s="70">
        <f t="shared" si="110"/>
        <v>0</v>
      </c>
      <c r="BO341" s="373">
        <f>IFERROR(Tabla1[[#This Row],[ Re. Gas GC
 '[m3']]]/Tabla1[[#This Row],[G. HGS 
Con Gas '[kWh']]],0)</f>
        <v>0</v>
      </c>
      <c r="BP341" s="374">
        <f>Tank!Y342</f>
        <v>0</v>
      </c>
      <c r="BQ341" s="70">
        <f>Tank!AP342</f>
        <v>0</v>
      </c>
      <c r="BR341" s="70">
        <f>Tank!V342</f>
        <v>0</v>
      </c>
      <c r="BS341" s="372">
        <f>Tank!T342</f>
        <v>0</v>
      </c>
      <c r="BT341" s="375" t="s">
        <v>228</v>
      </c>
      <c r="BU341" s="452"/>
      <c r="BV341" s="376">
        <f>IF(Tabla1[[#This Row],[Combustible ofertado]]="GAS",Tabla1[[#This Row],[Disponibilidad]],0)</f>
        <v>0</v>
      </c>
      <c r="BW341" s="376">
        <f>IF(Tabla1[[#This Row],[Combustible ofertado]]="DIESEL",Tabla1[[#This Row],[Disponibilidad]],0)</f>
        <v>0</v>
      </c>
      <c r="BX341" s="376">
        <f>IF(Tabla1[[#This Row],[Combustible ofertado]]="HFO",Tabla1[[#This Row],[Disponibilidad]],0)</f>
        <v>0</v>
      </c>
      <c r="BY341" s="452"/>
      <c r="BZ341" s="446">
        <f>'Horo. M'!C342</f>
        <v>0</v>
      </c>
      <c r="CA341" s="446">
        <f>'Horo. M'!E342</f>
        <v>0</v>
      </c>
      <c r="CB341" s="446">
        <f>'Horo. M'!G342</f>
        <v>0</v>
      </c>
      <c r="CC341" s="446">
        <f>'Horo. M'!I342</f>
        <v>0</v>
      </c>
      <c r="CD341" s="446">
        <f>'Horo. M'!K342</f>
        <v>0</v>
      </c>
      <c r="CE341" s="446">
        <f>'Horo. M'!M342</f>
        <v>0</v>
      </c>
      <c r="CF341" s="446">
        <f>'Horo. M'!O342</f>
        <v>0</v>
      </c>
      <c r="CG341" s="446">
        <f>'Horo. M'!Q342</f>
        <v>0</v>
      </c>
      <c r="CH341" s="446">
        <f>'Horo. M'!S342</f>
        <v>0</v>
      </c>
      <c r="CI341" s="446">
        <f>'Horo. M'!U342</f>
        <v>0</v>
      </c>
      <c r="CJ341" s="70">
        <f>Tabla1[[#This Row],[Con. DO Storage '[gal']]]-Tabla1[[#This Row],[C. DO Storage Ge '[gal']]]</f>
        <v>0</v>
      </c>
      <c r="CK341" s="70"/>
      <c r="CL341" s="70"/>
      <c r="CM341" s="70">
        <f>Tabla1[[#This Row],[Con. DO Total '[gal']]]*131485.5/(1000000)</f>
        <v>0</v>
      </c>
      <c r="CU341" s="10">
        <v>591.80459999999994</v>
      </c>
    </row>
    <row r="342" spans="1:99" ht="15" customHeight="1">
      <c r="A342" s="362">
        <v>45267</v>
      </c>
      <c r="B342" s="363" t="str">
        <f>TEXT(Tabla1[[#This Row],[Fecha]],"mmmm")</f>
        <v>diciembre</v>
      </c>
      <c r="C342" s="364"/>
      <c r="D342" s="366"/>
      <c r="E342" s="366"/>
      <c r="F342" s="366"/>
      <c r="G342" s="377"/>
      <c r="H342" s="377"/>
      <c r="I342" s="378"/>
      <c r="J342" s="378"/>
      <c r="K342" s="366"/>
      <c r="L342" s="366"/>
      <c r="M342" s="365">
        <f>Tabla1[[#This Row],[Columna1]]-Tabla1[[#This Row],[PO '[h']]]</f>
        <v>0</v>
      </c>
      <c r="N342" s="366">
        <f t="shared" si="112"/>
        <v>0</v>
      </c>
      <c r="O342" s="365"/>
      <c r="P342" s="367">
        <f>Tabla1[[#This Row],[G. HGS 
'[MWh']]]</f>
        <v>0</v>
      </c>
      <c r="Q342" s="430">
        <v>0</v>
      </c>
      <c r="R342" s="367">
        <v>0</v>
      </c>
      <c r="S342" s="367">
        <f>Tabla1[[#This Row],[G. HGS 
Con Gas]]*1000</f>
        <v>0</v>
      </c>
      <c r="T342" s="365">
        <f>Tabla1[[#This Row],[G. HGS 
'[MWh']]]*1000</f>
        <v>0</v>
      </c>
      <c r="U342" s="368">
        <f>SUM('G. Un GE'!B342:Y342)</f>
        <v>0</v>
      </c>
      <c r="V342" s="369">
        <f>Tabla1[[#This Row],[R. GE
'[MWh']]]</f>
        <v>0</v>
      </c>
      <c r="W342" s="434">
        <v>0</v>
      </c>
      <c r="X342" s="369">
        <v>0</v>
      </c>
      <c r="Y342" s="365">
        <f>Tabla1[[#This Row],[R. GE
'[MWh']]]*1000</f>
        <v>0</v>
      </c>
      <c r="Z342" s="371"/>
      <c r="AA34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2" s="371">
        <f>IF(Tabla1[[#This Row],[G. HGS 
'[MWh']]]=0,0,Tabla1[[#This Row],[G. HGS 
'[MWh']]]+Tabla1[[#This Row],[Con. Aux. '[MWh']2]])</f>
        <v>0</v>
      </c>
      <c r="AC342" s="368">
        <f>'C. ENER. TN'!F342</f>
        <v>0</v>
      </c>
      <c r="AD342" s="370">
        <f>'C. ENER. TN'!G342</f>
        <v>0</v>
      </c>
      <c r="AE342" s="370">
        <f>'G. Un GE'!AX342</f>
        <v>0</v>
      </c>
      <c r="AF342" s="368">
        <f>IFERROR('G. Un GE'!AX342/Tabla1[[#This Row],[PO '[h']]],0)</f>
        <v>0</v>
      </c>
      <c r="AG342" s="365">
        <f>'Ar-Pa'!AX342</f>
        <v>0</v>
      </c>
      <c r="AH342" s="365">
        <f>'Ar-Pa'!AY342</f>
        <v>0</v>
      </c>
      <c r="AI342" s="366">
        <f>SUM('Cal. Arr'!AB345:AY345)</f>
        <v>0</v>
      </c>
      <c r="AJ342" s="442"/>
      <c r="AK342" s="443"/>
      <c r="AL342" s="372">
        <f t="shared" si="113"/>
        <v>0</v>
      </c>
      <c r="AM342" s="372">
        <f>+CONVERT(AK342+Tabla1[[#This Row],[Con. DO Storage Gen. '[m3']]],"m^3","gal")</f>
        <v>0</v>
      </c>
      <c r="AN342" s="372">
        <f>SUM('DO Pilot'!B342:Y342)</f>
        <v>0</v>
      </c>
      <c r="AO342" s="372">
        <f t="shared" si="114"/>
        <v>0</v>
      </c>
      <c r="AP342" s="372">
        <f t="shared" si="115"/>
        <v>0</v>
      </c>
      <c r="AQ342" s="372">
        <f t="shared" si="116"/>
        <v>0</v>
      </c>
      <c r="AR342" s="443"/>
      <c r="AS342" s="443"/>
      <c r="AT342" s="267">
        <f>+CONVERT(SUM(Tabla1[[#This Row],[Repo. DO Storage '[gal']]:[Repo. DO Pilot '[gal']]]),"gal","m3")</f>
        <v>0</v>
      </c>
      <c r="AU342" s="442">
        <v>0</v>
      </c>
      <c r="AV342" s="372">
        <f t="shared" si="117"/>
        <v>0</v>
      </c>
      <c r="AW342" s="442">
        <v>0</v>
      </c>
      <c r="AX342" s="372">
        <f t="shared" si="118"/>
        <v>0</v>
      </c>
      <c r="AY342" s="372">
        <f t="shared" si="105"/>
        <v>0</v>
      </c>
      <c r="AZ342" s="372">
        <f>IFERROR(AL342/'Ar-Pa'!AX342,0)</f>
        <v>0</v>
      </c>
      <c r="BA342" s="372">
        <f>IFERROR(AL342/'Ar-Pa'!AY342,0)</f>
        <v>0</v>
      </c>
      <c r="BB342" s="372">
        <f t="shared" si="106"/>
        <v>0</v>
      </c>
      <c r="BC342" s="372">
        <f>IFERROR(AVERAGEIF('DO Pilot'!AX342:BU342,"&gt;0"),0)</f>
        <v>0</v>
      </c>
      <c r="BD342" s="446"/>
      <c r="BE342" s="446"/>
      <c r="BF342" s="446"/>
      <c r="BG342" s="223">
        <f>Tabla1[[#This Row],[ Re. Gas GC
 '[m3']]]</f>
        <v>0</v>
      </c>
      <c r="BH342" s="150">
        <f>IFERROR((BG342*Gas!$B$4)/28.31685,0)</f>
        <v>0</v>
      </c>
      <c r="BI342" s="73">
        <f t="shared" si="111"/>
        <v>0</v>
      </c>
      <c r="BJ342" s="74">
        <f t="shared" si="109"/>
        <v>0</v>
      </c>
      <c r="BK342" s="223">
        <f t="shared" si="107"/>
        <v>0</v>
      </c>
      <c r="BL342" s="442">
        <v>9758.06</v>
      </c>
      <c r="BM342" s="70">
        <f t="shared" si="108"/>
        <v>0</v>
      </c>
      <c r="BN342" s="70">
        <f t="shared" si="110"/>
        <v>0</v>
      </c>
      <c r="BO342" s="373">
        <f>IFERROR(Tabla1[[#This Row],[ Re. Gas GC
 '[m3']]]/Tabla1[[#This Row],[G. HGS 
Con Gas '[kWh']]],0)</f>
        <v>0</v>
      </c>
      <c r="BP342" s="374">
        <f>Tank!Y343</f>
        <v>0</v>
      </c>
      <c r="BQ342" s="70">
        <f>Tank!AP343</f>
        <v>0</v>
      </c>
      <c r="BR342" s="70">
        <f>Tank!V343</f>
        <v>0</v>
      </c>
      <c r="BS342" s="372">
        <f>Tank!T343</f>
        <v>0</v>
      </c>
      <c r="BT342" s="375" t="s">
        <v>228</v>
      </c>
      <c r="BU342" s="452"/>
      <c r="BV342" s="376">
        <f>IF(Tabla1[[#This Row],[Combustible ofertado]]="GAS",Tabla1[[#This Row],[Disponibilidad]],0)</f>
        <v>0</v>
      </c>
      <c r="BW342" s="376">
        <f>IF(Tabla1[[#This Row],[Combustible ofertado]]="DIESEL",Tabla1[[#This Row],[Disponibilidad]],0)</f>
        <v>0</v>
      </c>
      <c r="BX342" s="376">
        <f>IF(Tabla1[[#This Row],[Combustible ofertado]]="HFO",Tabla1[[#This Row],[Disponibilidad]],0)</f>
        <v>0</v>
      </c>
      <c r="BY342" s="452"/>
      <c r="BZ342" s="446">
        <f>'Horo. M'!C343</f>
        <v>0</v>
      </c>
      <c r="CA342" s="446">
        <f>'Horo. M'!E343</f>
        <v>0</v>
      </c>
      <c r="CB342" s="446">
        <f>'Horo. M'!G343</f>
        <v>0</v>
      </c>
      <c r="CC342" s="446">
        <f>'Horo. M'!I343</f>
        <v>0</v>
      </c>
      <c r="CD342" s="446">
        <f>'Horo. M'!K343</f>
        <v>0</v>
      </c>
      <c r="CE342" s="446">
        <f>'Horo. M'!M343</f>
        <v>0</v>
      </c>
      <c r="CF342" s="446">
        <f>'Horo. M'!O343</f>
        <v>0</v>
      </c>
      <c r="CG342" s="446">
        <f>'Horo. M'!Q343</f>
        <v>0</v>
      </c>
      <c r="CH342" s="446">
        <f>'Horo. M'!S343</f>
        <v>0</v>
      </c>
      <c r="CI342" s="446">
        <f>'Horo. M'!U343</f>
        <v>0</v>
      </c>
      <c r="CJ342" s="70">
        <f>Tabla1[[#This Row],[Con. DO Storage '[gal']]]-Tabla1[[#This Row],[C. DO Storage Ge '[gal']]]</f>
        <v>-9594.7199999999993</v>
      </c>
      <c r="CK342" s="70">
        <v>9594.7199999999993</v>
      </c>
      <c r="CL342" s="70">
        <v>155.22</v>
      </c>
      <c r="CM342" s="70">
        <f>Tabla1[[#This Row],[Con. DO Total '[gal']]]*131485.5/(1000000)</f>
        <v>0</v>
      </c>
      <c r="CU342" s="10">
        <v>580.2088</v>
      </c>
    </row>
    <row r="343" spans="1:99" ht="15" customHeight="1">
      <c r="A343" s="362">
        <v>45268</v>
      </c>
      <c r="B343" s="363" t="str">
        <f>TEXT(Tabla1[[#This Row],[Fecha]],"mmmm")</f>
        <v>diciembre</v>
      </c>
      <c r="C343" s="364"/>
      <c r="D343" s="366"/>
      <c r="E343" s="366"/>
      <c r="F343" s="366"/>
      <c r="G343" s="377"/>
      <c r="H343" s="377"/>
      <c r="I343" s="378"/>
      <c r="J343" s="378"/>
      <c r="K343" s="366"/>
      <c r="L343" s="366"/>
      <c r="M343" s="365">
        <f>Tabla1[[#This Row],[Columna1]]-Tabla1[[#This Row],[PO '[h']]]</f>
        <v>0</v>
      </c>
      <c r="N343" s="366">
        <f t="shared" si="112"/>
        <v>0</v>
      </c>
      <c r="O343" s="365"/>
      <c r="P343" s="367">
        <f>Tabla1[[#This Row],[G. HGS 
'[MWh']]]</f>
        <v>0</v>
      </c>
      <c r="Q343" s="430">
        <v>0</v>
      </c>
      <c r="R343" s="367">
        <v>0</v>
      </c>
      <c r="S343" s="367">
        <f>Tabla1[[#This Row],[G. HGS 
Con Gas]]*1000</f>
        <v>0</v>
      </c>
      <c r="T343" s="365">
        <f>Tabla1[[#This Row],[G. HGS 
'[MWh']]]*1000</f>
        <v>0</v>
      </c>
      <c r="U343" s="368">
        <f>SUM('G. Un GE'!B343:Y343)</f>
        <v>0</v>
      </c>
      <c r="V343" s="369">
        <f>Tabla1[[#This Row],[R. GE
'[MWh']]]</f>
        <v>0</v>
      </c>
      <c r="W343" s="434">
        <v>0</v>
      </c>
      <c r="X343" s="369">
        <v>0</v>
      </c>
      <c r="Y343" s="365">
        <f>Tabla1[[#This Row],[R. GE
'[MWh']]]*1000</f>
        <v>0</v>
      </c>
      <c r="Z343" s="371"/>
      <c r="AA34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3" s="371">
        <f>IF(Tabla1[[#This Row],[G. HGS 
'[MWh']]]=0,0,Tabla1[[#This Row],[G. HGS 
'[MWh']]]+Tabla1[[#This Row],[Con. Aux. '[MWh']2]])</f>
        <v>0</v>
      </c>
      <c r="AC343" s="368">
        <f>'C. ENER. TN'!F343</f>
        <v>0</v>
      </c>
      <c r="AD343" s="370">
        <f>'C. ENER. TN'!G343</f>
        <v>0</v>
      </c>
      <c r="AE343" s="370">
        <f>'G. Un GE'!AX343</f>
        <v>0</v>
      </c>
      <c r="AF343" s="368">
        <f>IFERROR('G. Un GE'!AX343/Tabla1[[#This Row],[PO '[h']]],0)</f>
        <v>0</v>
      </c>
      <c r="AG343" s="365">
        <f>'Ar-Pa'!AX343</f>
        <v>0</v>
      </c>
      <c r="AH343" s="365">
        <f>'Ar-Pa'!AY343</f>
        <v>0</v>
      </c>
      <c r="AI343" s="366">
        <f>SUM('Cal. Arr'!AB346:AY346)</f>
        <v>0</v>
      </c>
      <c r="AJ343" s="442"/>
      <c r="AK343" s="443"/>
      <c r="AL343" s="372">
        <f t="shared" si="113"/>
        <v>0</v>
      </c>
      <c r="AM343" s="372">
        <f>+CONVERT(AK343+Tabla1[[#This Row],[Con. DO Storage Gen. '[m3']]],"m^3","gal")</f>
        <v>0</v>
      </c>
      <c r="AN343" s="372">
        <f>SUM('DO Pilot'!B343:Y343)</f>
        <v>0</v>
      </c>
      <c r="AO343" s="372">
        <f t="shared" si="114"/>
        <v>0</v>
      </c>
      <c r="AP343" s="372">
        <f t="shared" si="115"/>
        <v>0</v>
      </c>
      <c r="AQ343" s="372">
        <f t="shared" si="116"/>
        <v>0</v>
      </c>
      <c r="AR343" s="443"/>
      <c r="AS343" s="443"/>
      <c r="AT343" s="267">
        <f>+CONVERT(SUM(Tabla1[[#This Row],[Repo. DO Storage '[gal']]:[Repo. DO Pilot '[gal']]]),"gal","m3")</f>
        <v>0</v>
      </c>
      <c r="AU343" s="442">
        <v>0</v>
      </c>
      <c r="AV343" s="372">
        <f t="shared" si="117"/>
        <v>0</v>
      </c>
      <c r="AW343" s="442">
        <v>0</v>
      </c>
      <c r="AX343" s="372">
        <f t="shared" si="118"/>
        <v>0</v>
      </c>
      <c r="AY343" s="372">
        <f t="shared" si="105"/>
        <v>0</v>
      </c>
      <c r="AZ343" s="372">
        <f>IFERROR(AL343/'Ar-Pa'!AX343,0)</f>
        <v>0</v>
      </c>
      <c r="BA343" s="372">
        <f>IFERROR(AL343/'Ar-Pa'!AY343,0)</f>
        <v>0</v>
      </c>
      <c r="BB343" s="372">
        <f t="shared" si="106"/>
        <v>0</v>
      </c>
      <c r="BC343" s="372">
        <f>IFERROR(AVERAGEIF('DO Pilot'!AX343:BU343,"&gt;0"),0)</f>
        <v>0</v>
      </c>
      <c r="BD343" s="446"/>
      <c r="BE343" s="446"/>
      <c r="BF343" s="446"/>
      <c r="BG343" s="223">
        <f>Tabla1[[#This Row],[ Re. Gas GC
 '[m3']]]</f>
        <v>0</v>
      </c>
      <c r="BH343" s="150">
        <f>IFERROR((BG343*Gas!$B$4)/28.31685,0)</f>
        <v>0</v>
      </c>
      <c r="BI343" s="73">
        <f t="shared" si="111"/>
        <v>0</v>
      </c>
      <c r="BJ343" s="74">
        <f t="shared" si="109"/>
        <v>0</v>
      </c>
      <c r="BK343" s="223">
        <f t="shared" si="107"/>
        <v>0</v>
      </c>
      <c r="BL343" s="442">
        <v>8813.9599999999991</v>
      </c>
      <c r="BM343" s="70">
        <f t="shared" si="108"/>
        <v>0</v>
      </c>
      <c r="BN343" s="70">
        <f t="shared" si="110"/>
        <v>0</v>
      </c>
      <c r="BO343" s="373">
        <f>IFERROR(Tabla1[[#This Row],[ Re. Gas GC
 '[m3']]]/Tabla1[[#This Row],[G. HGS 
Con Gas '[kWh']]],0)</f>
        <v>0</v>
      </c>
      <c r="BP343" s="374">
        <f>Tank!Y344</f>
        <v>0</v>
      </c>
      <c r="BQ343" s="70">
        <f>Tank!AP344</f>
        <v>0</v>
      </c>
      <c r="BR343" s="70">
        <f>Tank!V344</f>
        <v>0</v>
      </c>
      <c r="BS343" s="372">
        <f>Tank!T344</f>
        <v>0</v>
      </c>
      <c r="BT343" s="375" t="s">
        <v>228</v>
      </c>
      <c r="BU343" s="452"/>
      <c r="BV343" s="376">
        <f>IF(Tabla1[[#This Row],[Combustible ofertado]]="GAS",Tabla1[[#This Row],[Disponibilidad]],0)</f>
        <v>0</v>
      </c>
      <c r="BW343" s="376">
        <f>IF(Tabla1[[#This Row],[Combustible ofertado]]="DIESEL",Tabla1[[#This Row],[Disponibilidad]],0)</f>
        <v>0</v>
      </c>
      <c r="BX343" s="376">
        <f>IF(Tabla1[[#This Row],[Combustible ofertado]]="HFO",Tabla1[[#This Row],[Disponibilidad]],0)</f>
        <v>0</v>
      </c>
      <c r="BY343" s="452"/>
      <c r="BZ343" s="446">
        <f>'Horo. M'!C344</f>
        <v>0</v>
      </c>
      <c r="CA343" s="446">
        <f>'Horo. M'!E344</f>
        <v>0</v>
      </c>
      <c r="CB343" s="446">
        <f>'Horo. M'!G344</f>
        <v>0</v>
      </c>
      <c r="CC343" s="446">
        <f>'Horo. M'!I344</f>
        <v>0</v>
      </c>
      <c r="CD343" s="446">
        <f>'Horo. M'!K344</f>
        <v>0</v>
      </c>
      <c r="CE343" s="446">
        <f>'Horo. M'!M344</f>
        <v>0</v>
      </c>
      <c r="CF343" s="446">
        <f>'Horo. M'!O344</f>
        <v>0</v>
      </c>
      <c r="CG343" s="446">
        <f>'Horo. M'!Q344</f>
        <v>0</v>
      </c>
      <c r="CH343" s="446">
        <f>'Horo. M'!S344</f>
        <v>0</v>
      </c>
      <c r="CI343" s="446">
        <f>'Horo. M'!U344</f>
        <v>0</v>
      </c>
      <c r="CJ343" s="70">
        <f>Tabla1[[#This Row],[Con. DO Storage '[gal']]]-Tabla1[[#This Row],[C. DO Storage Ge '[gal']]]</f>
        <v>0</v>
      </c>
      <c r="CK343" s="70"/>
      <c r="CL343" s="70"/>
      <c r="CM343" s="70">
        <f>Tabla1[[#This Row],[Con. DO Total '[gal']]]*131485.5/(1000000)</f>
        <v>0</v>
      </c>
      <c r="CU343" s="10">
        <v>585.73950000000002</v>
      </c>
    </row>
    <row r="344" spans="1:99" ht="15" customHeight="1">
      <c r="A344" s="362">
        <v>45269</v>
      </c>
      <c r="B344" s="363" t="str">
        <f>TEXT(Tabla1[[#This Row],[Fecha]],"mmmm")</f>
        <v>diciembre</v>
      </c>
      <c r="C344" s="364"/>
      <c r="D344" s="366"/>
      <c r="E344" s="366"/>
      <c r="F344" s="366"/>
      <c r="G344" s="377"/>
      <c r="H344" s="377"/>
      <c r="I344" s="378"/>
      <c r="J344" s="378"/>
      <c r="K344" s="366"/>
      <c r="L344" s="366"/>
      <c r="M344" s="365">
        <f>Tabla1[[#This Row],[Columna1]]-Tabla1[[#This Row],[PO '[h']]]</f>
        <v>0</v>
      </c>
      <c r="N344" s="366">
        <f t="shared" si="112"/>
        <v>0</v>
      </c>
      <c r="O344" s="365"/>
      <c r="P344" s="367">
        <f>Tabla1[[#This Row],[G. HGS 
'[MWh']]]</f>
        <v>0</v>
      </c>
      <c r="Q344" s="430">
        <v>0</v>
      </c>
      <c r="R344" s="367">
        <v>0</v>
      </c>
      <c r="S344" s="367">
        <f>Tabla1[[#This Row],[G. HGS 
Con Gas]]*1000</f>
        <v>0</v>
      </c>
      <c r="T344" s="365">
        <f>Tabla1[[#This Row],[G. HGS 
'[MWh']]]*1000</f>
        <v>0</v>
      </c>
      <c r="U344" s="368">
        <f>SUM('G. Un GE'!B344:Y344)</f>
        <v>0</v>
      </c>
      <c r="V344" s="369">
        <f>Tabla1[[#This Row],[R. GE
'[MWh']]]</f>
        <v>0</v>
      </c>
      <c r="W344" s="434">
        <v>0</v>
      </c>
      <c r="X344" s="369">
        <v>0</v>
      </c>
      <c r="Y344" s="365">
        <f>Tabla1[[#This Row],[R. GE
'[MWh']]]*1000</f>
        <v>0</v>
      </c>
      <c r="Z344" s="371"/>
      <c r="AA34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4" s="371">
        <f>IF(Tabla1[[#This Row],[G. HGS 
'[MWh']]]=0,0,Tabla1[[#This Row],[G. HGS 
'[MWh']]]+Tabla1[[#This Row],[Con. Aux. '[MWh']2]])</f>
        <v>0</v>
      </c>
      <c r="AC344" s="368">
        <f>'C. ENER. TN'!F344</f>
        <v>0</v>
      </c>
      <c r="AD344" s="370">
        <f>'C. ENER. TN'!G344</f>
        <v>0</v>
      </c>
      <c r="AE344" s="370">
        <f>'G. Un GE'!AX344</f>
        <v>0</v>
      </c>
      <c r="AF344" s="368">
        <f>IFERROR('G. Un GE'!AX344/Tabla1[[#This Row],[PO '[h']]],0)</f>
        <v>0</v>
      </c>
      <c r="AG344" s="365">
        <f>'Ar-Pa'!AX344</f>
        <v>0</v>
      </c>
      <c r="AH344" s="365">
        <f>'Ar-Pa'!AY344</f>
        <v>0</v>
      </c>
      <c r="AI344" s="366">
        <f>SUM('Cal. Arr'!AB347:AY347)</f>
        <v>0</v>
      </c>
      <c r="AJ344" s="442"/>
      <c r="AK344" s="443"/>
      <c r="AL344" s="372">
        <f t="shared" si="113"/>
        <v>0</v>
      </c>
      <c r="AM344" s="372">
        <f>+CONVERT(AK344+Tabla1[[#This Row],[Con. DO Storage Gen. '[m3']]],"m^3","gal")</f>
        <v>0</v>
      </c>
      <c r="AN344" s="372">
        <f>SUM('DO Pilot'!B344:Y344)</f>
        <v>0</v>
      </c>
      <c r="AO344" s="372">
        <f t="shared" si="114"/>
        <v>0</v>
      </c>
      <c r="AP344" s="372">
        <f t="shared" si="115"/>
        <v>0</v>
      </c>
      <c r="AQ344" s="372">
        <f t="shared" si="116"/>
        <v>0</v>
      </c>
      <c r="AR344" s="443"/>
      <c r="AS344" s="443"/>
      <c r="AT344" s="267">
        <f>+CONVERT(SUM(Tabla1[[#This Row],[Repo. DO Storage '[gal']]:[Repo. DO Pilot '[gal']]]),"gal","m3")</f>
        <v>0</v>
      </c>
      <c r="AU344" s="442">
        <v>0</v>
      </c>
      <c r="AV344" s="372">
        <f t="shared" si="117"/>
        <v>0</v>
      </c>
      <c r="AW344" s="442">
        <v>0</v>
      </c>
      <c r="AX344" s="372">
        <f t="shared" si="118"/>
        <v>0</v>
      </c>
      <c r="AY344" s="372">
        <f t="shared" si="105"/>
        <v>0</v>
      </c>
      <c r="AZ344" s="372">
        <f>IFERROR(AL344/'Ar-Pa'!AX344,0)</f>
        <v>0</v>
      </c>
      <c r="BA344" s="372">
        <f>IFERROR(AL344/'Ar-Pa'!AY344,0)</f>
        <v>0</v>
      </c>
      <c r="BB344" s="372">
        <f t="shared" si="106"/>
        <v>0</v>
      </c>
      <c r="BC344" s="372">
        <f>IFERROR(AVERAGEIF('DO Pilot'!AX344:BU344,"&gt;0"),0)</f>
        <v>0</v>
      </c>
      <c r="BD344" s="446"/>
      <c r="BE344" s="446"/>
      <c r="BF344" s="446"/>
      <c r="BG344" s="223">
        <f>Tabla1[[#This Row],[ Re. Gas GC
 '[m3']]]</f>
        <v>0</v>
      </c>
      <c r="BH344" s="150">
        <f>IFERROR((BG344*Gas!$B$4)/28.31685,0)</f>
        <v>0</v>
      </c>
      <c r="BI344" s="73">
        <f t="shared" si="111"/>
        <v>0</v>
      </c>
      <c r="BJ344" s="74">
        <f t="shared" si="109"/>
        <v>0</v>
      </c>
      <c r="BK344" s="223">
        <f t="shared" si="107"/>
        <v>0</v>
      </c>
      <c r="BL344" s="442">
        <v>9181.91</v>
      </c>
      <c r="BM344" s="70">
        <f t="shared" si="108"/>
        <v>0</v>
      </c>
      <c r="BN344" s="70">
        <f t="shared" si="110"/>
        <v>0</v>
      </c>
      <c r="BO344" s="373">
        <f>IFERROR(Tabla1[[#This Row],[ Re. Gas GC
 '[m3']]]/Tabla1[[#This Row],[G. HGS 
Con Gas '[kWh']]],0)</f>
        <v>0</v>
      </c>
      <c r="BP344" s="374">
        <f>Tank!Y345</f>
        <v>0</v>
      </c>
      <c r="BQ344" s="70">
        <f>Tank!AP345</f>
        <v>0</v>
      </c>
      <c r="BR344" s="70">
        <f>Tank!V345</f>
        <v>0</v>
      </c>
      <c r="BS344" s="372">
        <f>Tank!T345</f>
        <v>0</v>
      </c>
      <c r="BT344" s="375" t="s">
        <v>228</v>
      </c>
      <c r="BU344" s="452"/>
      <c r="BV344" s="376">
        <f>IF(Tabla1[[#This Row],[Combustible ofertado]]="GAS",Tabla1[[#This Row],[Disponibilidad]],0)</f>
        <v>0</v>
      </c>
      <c r="BW344" s="376">
        <f>IF(Tabla1[[#This Row],[Combustible ofertado]]="DIESEL",Tabla1[[#This Row],[Disponibilidad]],0)</f>
        <v>0</v>
      </c>
      <c r="BX344" s="376">
        <f>IF(Tabla1[[#This Row],[Combustible ofertado]]="HFO",Tabla1[[#This Row],[Disponibilidad]],0)</f>
        <v>0</v>
      </c>
      <c r="BY344" s="452"/>
      <c r="BZ344" s="446">
        <f>'Horo. M'!C345</f>
        <v>0</v>
      </c>
      <c r="CA344" s="446">
        <f>'Horo. M'!E345</f>
        <v>0</v>
      </c>
      <c r="CB344" s="446">
        <f>'Horo. M'!G345</f>
        <v>0</v>
      </c>
      <c r="CC344" s="446">
        <f>'Horo. M'!I345</f>
        <v>0</v>
      </c>
      <c r="CD344" s="446">
        <f>'Horo. M'!K345</f>
        <v>0</v>
      </c>
      <c r="CE344" s="446">
        <f>'Horo. M'!M345</f>
        <v>0</v>
      </c>
      <c r="CF344" s="446">
        <f>'Horo. M'!O345</f>
        <v>0</v>
      </c>
      <c r="CG344" s="446">
        <f>'Horo. M'!Q345</f>
        <v>0</v>
      </c>
      <c r="CH344" s="446">
        <f>'Horo. M'!S345</f>
        <v>0</v>
      </c>
      <c r="CI344" s="446">
        <f>'Horo. M'!U345</f>
        <v>0</v>
      </c>
      <c r="CJ344" s="70">
        <f>Tabla1[[#This Row],[Con. DO Storage '[gal']]]-Tabla1[[#This Row],[C. DO Storage Ge '[gal']]]</f>
        <v>0</v>
      </c>
      <c r="CK344" s="70"/>
      <c r="CL344" s="70"/>
      <c r="CM344" s="70">
        <f>Tabla1[[#This Row],[Con. DO Total '[gal']]]*131485.5/(1000000)</f>
        <v>0</v>
      </c>
      <c r="CU344" s="10">
        <v>838.70269999999994</v>
      </c>
    </row>
    <row r="345" spans="1:99" ht="15" customHeight="1">
      <c r="A345" s="362">
        <v>45270</v>
      </c>
      <c r="B345" s="363" t="str">
        <f>TEXT(Tabla1[[#This Row],[Fecha]],"mmmm")</f>
        <v>diciembre</v>
      </c>
      <c r="C345" s="364"/>
      <c r="D345" s="366"/>
      <c r="E345" s="366"/>
      <c r="F345" s="366"/>
      <c r="G345" s="377"/>
      <c r="H345" s="377"/>
      <c r="I345" s="378"/>
      <c r="J345" s="378"/>
      <c r="K345" s="366"/>
      <c r="L345" s="366"/>
      <c r="M345" s="365">
        <f>Tabla1[[#This Row],[Columna1]]-Tabla1[[#This Row],[PO '[h']]]</f>
        <v>0</v>
      </c>
      <c r="N345" s="366">
        <f t="shared" si="112"/>
        <v>0</v>
      </c>
      <c r="O345" s="365"/>
      <c r="P345" s="367">
        <f>Tabla1[[#This Row],[G. HGS 
'[MWh']]]</f>
        <v>0</v>
      </c>
      <c r="Q345" s="430">
        <v>0</v>
      </c>
      <c r="R345" s="367">
        <v>0</v>
      </c>
      <c r="S345" s="367">
        <f>Tabla1[[#This Row],[G. HGS 
Con Gas]]*1000</f>
        <v>0</v>
      </c>
      <c r="T345" s="365">
        <f>Tabla1[[#This Row],[G. HGS 
'[MWh']]]*1000</f>
        <v>0</v>
      </c>
      <c r="U345" s="368">
        <f>SUM('G. Un GE'!B345:Y345)</f>
        <v>0</v>
      </c>
      <c r="V345" s="369">
        <f>Tabla1[[#This Row],[R. GE
'[MWh']]]</f>
        <v>0</v>
      </c>
      <c r="W345" s="434">
        <v>0</v>
      </c>
      <c r="X345" s="369">
        <v>0</v>
      </c>
      <c r="Y345" s="365">
        <f>Tabla1[[#This Row],[R. GE
'[MWh']]]*1000</f>
        <v>0</v>
      </c>
      <c r="Z345" s="371"/>
      <c r="AA34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5" s="371">
        <f>IF(Tabla1[[#This Row],[G. HGS 
'[MWh']]]=0,0,Tabla1[[#This Row],[G. HGS 
'[MWh']]]+Tabla1[[#This Row],[Con. Aux. '[MWh']2]])</f>
        <v>0</v>
      </c>
      <c r="AC345" s="368">
        <f>'C. ENER. TN'!F345</f>
        <v>0</v>
      </c>
      <c r="AD345" s="370">
        <f>'C. ENER. TN'!G345</f>
        <v>0</v>
      </c>
      <c r="AE345" s="370">
        <f>'G. Un GE'!AX345</f>
        <v>0</v>
      </c>
      <c r="AF345" s="368">
        <f>IFERROR('G. Un GE'!AX345/Tabla1[[#This Row],[PO '[h']]],0)</f>
        <v>0</v>
      </c>
      <c r="AG345" s="365">
        <f>'Ar-Pa'!AX345</f>
        <v>0</v>
      </c>
      <c r="AH345" s="365">
        <f>'Ar-Pa'!AY345</f>
        <v>0</v>
      </c>
      <c r="AI345" s="366">
        <f>SUM('Cal. Arr'!AB348:AY348)</f>
        <v>0</v>
      </c>
      <c r="AJ345" s="442"/>
      <c r="AK345" s="443"/>
      <c r="AL345" s="372">
        <f t="shared" si="113"/>
        <v>0</v>
      </c>
      <c r="AM345" s="372">
        <f>+CONVERT(AK345+Tabla1[[#This Row],[Con. DO Storage Gen. '[m3']]],"m^3","gal")</f>
        <v>0</v>
      </c>
      <c r="AN345" s="372">
        <f>SUM('DO Pilot'!B345:Y345)</f>
        <v>0</v>
      </c>
      <c r="AO345" s="372">
        <f t="shared" si="114"/>
        <v>0</v>
      </c>
      <c r="AP345" s="372">
        <f t="shared" si="115"/>
        <v>0</v>
      </c>
      <c r="AQ345" s="372">
        <f t="shared" si="116"/>
        <v>0</v>
      </c>
      <c r="AR345" s="443"/>
      <c r="AS345" s="443"/>
      <c r="AT345" s="267">
        <f>+CONVERT(SUM(Tabla1[[#This Row],[Repo. DO Storage '[gal']]:[Repo. DO Pilot '[gal']]]),"gal","m3")</f>
        <v>0</v>
      </c>
      <c r="AU345" s="442">
        <v>0</v>
      </c>
      <c r="AV345" s="372">
        <f t="shared" si="117"/>
        <v>0</v>
      </c>
      <c r="AW345" s="442">
        <v>0</v>
      </c>
      <c r="AX345" s="372">
        <f t="shared" si="118"/>
        <v>0</v>
      </c>
      <c r="AY345" s="372">
        <f t="shared" si="105"/>
        <v>0</v>
      </c>
      <c r="AZ345" s="372">
        <f>IFERROR(AL345/'Ar-Pa'!AX345,0)</f>
        <v>0</v>
      </c>
      <c r="BA345" s="372">
        <f>IFERROR(AL345/'Ar-Pa'!AY345,0)</f>
        <v>0</v>
      </c>
      <c r="BB345" s="372">
        <f t="shared" si="106"/>
        <v>0</v>
      </c>
      <c r="BC345" s="372">
        <f>IFERROR(AVERAGEIF('DO Pilot'!AX345:BU345,"&gt;0"),0)</f>
        <v>0</v>
      </c>
      <c r="BD345" s="446"/>
      <c r="BE345" s="446"/>
      <c r="BF345" s="446"/>
      <c r="BG345" s="223">
        <f>Tabla1[[#This Row],[ Re. Gas GC
 '[m3']]]</f>
        <v>0</v>
      </c>
      <c r="BH345" s="150">
        <f>IFERROR((BG345*Gas!$B$4)/28.31685,0)</f>
        <v>0</v>
      </c>
      <c r="BI345" s="73">
        <f t="shared" si="111"/>
        <v>0</v>
      </c>
      <c r="BJ345" s="74">
        <f t="shared" si="109"/>
        <v>0</v>
      </c>
      <c r="BK345" s="223">
        <f t="shared" si="107"/>
        <v>0</v>
      </c>
      <c r="BL345" s="442">
        <v>9097.7199999999993</v>
      </c>
      <c r="BM345" s="70">
        <f t="shared" si="108"/>
        <v>0</v>
      </c>
      <c r="BN345" s="70">
        <f t="shared" si="110"/>
        <v>0</v>
      </c>
      <c r="BO345" s="373">
        <f>IFERROR(Tabla1[[#This Row],[ Re. Gas GC
 '[m3']]]/Tabla1[[#This Row],[G. HGS 
Con Gas '[kWh']]],0)</f>
        <v>0</v>
      </c>
      <c r="BP345" s="374">
        <f>Tank!Y346</f>
        <v>0</v>
      </c>
      <c r="BQ345" s="70">
        <f>Tank!AP346</f>
        <v>0</v>
      </c>
      <c r="BR345" s="70">
        <f>Tank!V346</f>
        <v>0</v>
      </c>
      <c r="BS345" s="372">
        <f>Tank!T346</f>
        <v>0</v>
      </c>
      <c r="BT345" s="375" t="s">
        <v>228</v>
      </c>
      <c r="BU345" s="452"/>
      <c r="BV345" s="376">
        <f>IF(Tabla1[[#This Row],[Combustible ofertado]]="GAS",Tabla1[[#This Row],[Disponibilidad]],0)</f>
        <v>0</v>
      </c>
      <c r="BW345" s="376">
        <f>IF(Tabla1[[#This Row],[Combustible ofertado]]="DIESEL",Tabla1[[#This Row],[Disponibilidad]],0)</f>
        <v>0</v>
      </c>
      <c r="BX345" s="376">
        <f>IF(Tabla1[[#This Row],[Combustible ofertado]]="HFO",Tabla1[[#This Row],[Disponibilidad]],0)</f>
        <v>0</v>
      </c>
      <c r="BY345" s="452"/>
      <c r="BZ345" s="446">
        <f>'Horo. M'!C346</f>
        <v>0</v>
      </c>
      <c r="CA345" s="446">
        <f>'Horo. M'!E346</f>
        <v>0</v>
      </c>
      <c r="CB345" s="446">
        <f>'Horo. M'!G346</f>
        <v>0</v>
      </c>
      <c r="CC345" s="446">
        <f>'Horo. M'!I346</f>
        <v>0</v>
      </c>
      <c r="CD345" s="446">
        <f>'Horo. M'!K346</f>
        <v>0</v>
      </c>
      <c r="CE345" s="446">
        <f>'Horo. M'!M346</f>
        <v>0</v>
      </c>
      <c r="CF345" s="446">
        <f>'Horo. M'!O346</f>
        <v>0</v>
      </c>
      <c r="CG345" s="446">
        <f>'Horo. M'!Q346</f>
        <v>0</v>
      </c>
      <c r="CH345" s="446">
        <f>'Horo. M'!S346</f>
        <v>0</v>
      </c>
      <c r="CI345" s="446">
        <f>'Horo. M'!U346</f>
        <v>0</v>
      </c>
      <c r="CJ345" s="70">
        <f>Tabla1[[#This Row],[Con. DO Storage '[gal']]]-Tabla1[[#This Row],[C. DO Storage Ge '[gal']]]</f>
        <v>0</v>
      </c>
      <c r="CK345" s="70"/>
      <c r="CL345" s="70"/>
      <c r="CM345" s="70">
        <f>Tabla1[[#This Row],[Con. DO Total '[gal']]]*131485.5/(1000000)</f>
        <v>0</v>
      </c>
      <c r="CU345" s="10">
        <v>909.45479999999998</v>
      </c>
    </row>
    <row r="346" spans="1:99" ht="15" customHeight="1">
      <c r="A346" s="362">
        <v>45271</v>
      </c>
      <c r="B346" s="363" t="str">
        <f>TEXT(Tabla1[[#This Row],[Fecha]],"mmmm")</f>
        <v>diciembre</v>
      </c>
      <c r="C346" s="364"/>
      <c r="D346" s="366"/>
      <c r="E346" s="366"/>
      <c r="F346" s="366"/>
      <c r="G346" s="377"/>
      <c r="H346" s="377"/>
      <c r="I346" s="378"/>
      <c r="J346" s="378"/>
      <c r="K346" s="366"/>
      <c r="L346" s="366"/>
      <c r="M346" s="365">
        <f>Tabla1[[#This Row],[Columna1]]-Tabla1[[#This Row],[PO '[h']]]</f>
        <v>0</v>
      </c>
      <c r="N346" s="366">
        <f t="shared" si="112"/>
        <v>0</v>
      </c>
      <c r="O346" s="365"/>
      <c r="P346" s="367">
        <f>Tabla1[[#This Row],[G. HGS 
'[MWh']]]</f>
        <v>0</v>
      </c>
      <c r="Q346" s="430">
        <v>0</v>
      </c>
      <c r="R346" s="367">
        <v>0</v>
      </c>
      <c r="S346" s="367">
        <f>Tabla1[[#This Row],[G. HGS 
Con Gas]]*1000</f>
        <v>0</v>
      </c>
      <c r="T346" s="365">
        <f>Tabla1[[#This Row],[G. HGS 
'[MWh']]]*1000</f>
        <v>0</v>
      </c>
      <c r="U346" s="368">
        <f>SUM('G. Un GE'!B346:Y346)</f>
        <v>0</v>
      </c>
      <c r="V346" s="369">
        <f>Tabla1[[#This Row],[R. GE
'[MWh']]]</f>
        <v>0</v>
      </c>
      <c r="W346" s="434">
        <v>0</v>
      </c>
      <c r="X346" s="369">
        <v>0</v>
      </c>
      <c r="Y346" s="365">
        <f>Tabla1[[#This Row],[R. GE
'[MWh']]]*1000</f>
        <v>0</v>
      </c>
      <c r="Z346" s="371"/>
      <c r="AA34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6" s="371">
        <f>IF(Tabla1[[#This Row],[G. HGS 
'[MWh']]]=0,0,Tabla1[[#This Row],[G. HGS 
'[MWh']]]+Tabla1[[#This Row],[Con. Aux. '[MWh']2]])</f>
        <v>0</v>
      </c>
      <c r="AC346" s="368">
        <f>'C. ENER. TN'!F346</f>
        <v>0</v>
      </c>
      <c r="AD346" s="370">
        <f>'C. ENER. TN'!G346</f>
        <v>0</v>
      </c>
      <c r="AE346" s="370">
        <f>'G. Un GE'!AX346</f>
        <v>0</v>
      </c>
      <c r="AF346" s="368">
        <f>IFERROR('G. Un GE'!AX346/Tabla1[[#This Row],[PO '[h']]],0)</f>
        <v>0</v>
      </c>
      <c r="AG346" s="365">
        <f>'Ar-Pa'!AX346</f>
        <v>0</v>
      </c>
      <c r="AH346" s="365">
        <f>'Ar-Pa'!AY346</f>
        <v>0</v>
      </c>
      <c r="AI346" s="366">
        <f>SUM('Cal. Arr'!AB349:AY349)</f>
        <v>0</v>
      </c>
      <c r="AJ346" s="442"/>
      <c r="AK346" s="443"/>
      <c r="AL346" s="372">
        <f t="shared" si="113"/>
        <v>0</v>
      </c>
      <c r="AM346" s="372">
        <f>+CONVERT(AK346+Tabla1[[#This Row],[Con. DO Storage Gen. '[m3']]],"m^3","gal")</f>
        <v>0</v>
      </c>
      <c r="AN346" s="372">
        <f>SUM('DO Pilot'!B346:Y346)</f>
        <v>0</v>
      </c>
      <c r="AO346" s="372">
        <f t="shared" si="114"/>
        <v>0</v>
      </c>
      <c r="AP346" s="372">
        <f t="shared" si="115"/>
        <v>0</v>
      </c>
      <c r="AQ346" s="372">
        <f t="shared" si="116"/>
        <v>0</v>
      </c>
      <c r="AR346" s="443"/>
      <c r="AS346" s="443"/>
      <c r="AT346" s="267">
        <f>+CONVERT(SUM(Tabla1[[#This Row],[Repo. DO Storage '[gal']]:[Repo. DO Pilot '[gal']]]),"gal","m3")</f>
        <v>0</v>
      </c>
      <c r="AU346" s="442">
        <v>0</v>
      </c>
      <c r="AV346" s="372">
        <f t="shared" si="117"/>
        <v>0</v>
      </c>
      <c r="AW346" s="442">
        <v>0</v>
      </c>
      <c r="AX346" s="372">
        <f t="shared" si="118"/>
        <v>0</v>
      </c>
      <c r="AY346" s="372">
        <f t="shared" si="105"/>
        <v>0</v>
      </c>
      <c r="AZ346" s="372">
        <f>IFERROR(AL346/'Ar-Pa'!AX346,0)</f>
        <v>0</v>
      </c>
      <c r="BA346" s="372">
        <f>IFERROR(AL346/'Ar-Pa'!AY346,0)</f>
        <v>0</v>
      </c>
      <c r="BB346" s="372">
        <f t="shared" si="106"/>
        <v>0</v>
      </c>
      <c r="BC346" s="372">
        <f>IFERROR(AVERAGEIF('DO Pilot'!AX346:BU346,"&gt;0"),0)</f>
        <v>0</v>
      </c>
      <c r="BD346" s="446"/>
      <c r="BE346" s="446"/>
      <c r="BF346" s="446"/>
      <c r="BG346" s="223">
        <f>Tabla1[[#This Row],[ Re. Gas GC
 '[m3']]]</f>
        <v>0</v>
      </c>
      <c r="BH346" s="150">
        <f>IFERROR((BG346*Gas!$B$4)/28.31685,0)</f>
        <v>0</v>
      </c>
      <c r="BI346" s="73">
        <f t="shared" si="111"/>
        <v>0</v>
      </c>
      <c r="BJ346" s="74">
        <f t="shared" si="109"/>
        <v>0</v>
      </c>
      <c r="BK346" s="223">
        <f t="shared" si="107"/>
        <v>0</v>
      </c>
      <c r="BL346" s="442">
        <v>9032.93</v>
      </c>
      <c r="BM346" s="70">
        <f t="shared" si="108"/>
        <v>0</v>
      </c>
      <c r="BN346" s="70">
        <f t="shared" si="110"/>
        <v>0</v>
      </c>
      <c r="BO346" s="373">
        <f>IFERROR(Tabla1[[#This Row],[ Re. Gas GC
 '[m3']]]/Tabla1[[#This Row],[G. HGS 
Con Gas '[kWh']]],0)</f>
        <v>0</v>
      </c>
      <c r="BP346" s="374">
        <f>Tank!Y347</f>
        <v>0</v>
      </c>
      <c r="BQ346" s="70">
        <f>Tank!AP347</f>
        <v>0</v>
      </c>
      <c r="BR346" s="70">
        <f>Tank!V347</f>
        <v>0</v>
      </c>
      <c r="BS346" s="372">
        <f>Tank!T347</f>
        <v>0</v>
      </c>
      <c r="BT346" s="375" t="s">
        <v>228</v>
      </c>
      <c r="BU346" s="452"/>
      <c r="BV346" s="376">
        <f>IF(Tabla1[[#This Row],[Combustible ofertado]]="GAS",Tabla1[[#This Row],[Disponibilidad]],0)</f>
        <v>0</v>
      </c>
      <c r="BW346" s="376">
        <f>IF(Tabla1[[#This Row],[Combustible ofertado]]="DIESEL",Tabla1[[#This Row],[Disponibilidad]],0)</f>
        <v>0</v>
      </c>
      <c r="BX346" s="376">
        <f>IF(Tabla1[[#This Row],[Combustible ofertado]]="HFO",Tabla1[[#This Row],[Disponibilidad]],0)</f>
        <v>0</v>
      </c>
      <c r="BY346" s="452"/>
      <c r="BZ346" s="446">
        <f>'Horo. M'!C347</f>
        <v>0</v>
      </c>
      <c r="CA346" s="446">
        <f>'Horo. M'!E347</f>
        <v>0</v>
      </c>
      <c r="CB346" s="446">
        <f>'Horo. M'!G347</f>
        <v>0</v>
      </c>
      <c r="CC346" s="446">
        <f>'Horo. M'!I347</f>
        <v>0</v>
      </c>
      <c r="CD346" s="446">
        <f>'Horo. M'!K347</f>
        <v>0</v>
      </c>
      <c r="CE346" s="446">
        <f>'Horo. M'!M347</f>
        <v>0</v>
      </c>
      <c r="CF346" s="446">
        <f>'Horo. M'!O347</f>
        <v>0</v>
      </c>
      <c r="CG346" s="446">
        <f>'Horo. M'!Q347</f>
        <v>0</v>
      </c>
      <c r="CH346" s="446">
        <f>'Horo. M'!S347</f>
        <v>0</v>
      </c>
      <c r="CI346" s="446">
        <f>'Horo. M'!U347</f>
        <v>0</v>
      </c>
      <c r="CJ346" s="70">
        <f>Tabla1[[#This Row],[Con. DO Storage '[gal']]]-Tabla1[[#This Row],[C. DO Storage Ge '[gal']]]</f>
        <v>0</v>
      </c>
      <c r="CK346" s="70"/>
      <c r="CL346" s="70"/>
      <c r="CM346" s="70">
        <f>Tabla1[[#This Row],[Con. DO Total '[gal']]]*131485.5/(1000000)</f>
        <v>0</v>
      </c>
      <c r="CU346" s="10">
        <v>828.46769999999992</v>
      </c>
    </row>
    <row r="347" spans="1:99" ht="15" customHeight="1">
      <c r="A347" s="362">
        <v>45272</v>
      </c>
      <c r="B347" s="363" t="str">
        <f>TEXT(Tabla1[[#This Row],[Fecha]],"mmmm")</f>
        <v>diciembre</v>
      </c>
      <c r="C347" s="364"/>
      <c r="D347" s="366"/>
      <c r="E347" s="366"/>
      <c r="F347" s="366"/>
      <c r="G347" s="377"/>
      <c r="H347" s="377"/>
      <c r="I347" s="378"/>
      <c r="J347" s="378"/>
      <c r="K347" s="366"/>
      <c r="L347" s="366"/>
      <c r="M347" s="365">
        <f>Tabla1[[#This Row],[Columna1]]-Tabla1[[#This Row],[PO '[h']]]</f>
        <v>0</v>
      </c>
      <c r="N347" s="366">
        <f t="shared" si="112"/>
        <v>0</v>
      </c>
      <c r="O347" s="365"/>
      <c r="P347" s="367">
        <f>Tabla1[[#This Row],[G. HGS 
'[MWh']]]</f>
        <v>0</v>
      </c>
      <c r="Q347" s="430">
        <v>0</v>
      </c>
      <c r="R347" s="367">
        <v>0</v>
      </c>
      <c r="S347" s="367">
        <f>Tabla1[[#This Row],[G. HGS 
Con Gas]]*1000</f>
        <v>0</v>
      </c>
      <c r="T347" s="365">
        <f>Tabla1[[#This Row],[G. HGS 
'[MWh']]]*1000</f>
        <v>0</v>
      </c>
      <c r="U347" s="368">
        <f>SUM('G. Un GE'!B347:Y347)</f>
        <v>0</v>
      </c>
      <c r="V347" s="369">
        <f>Tabla1[[#This Row],[R. GE
'[MWh']]]</f>
        <v>0</v>
      </c>
      <c r="W347" s="434">
        <v>0</v>
      </c>
      <c r="X347" s="369">
        <v>0</v>
      </c>
      <c r="Y347" s="365">
        <f>Tabla1[[#This Row],[R. GE
'[MWh']]]*1000</f>
        <v>0</v>
      </c>
      <c r="Z347" s="371"/>
      <c r="AA34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7" s="371">
        <f>IF(Tabla1[[#This Row],[G. HGS 
'[MWh']]]=0,0,Tabla1[[#This Row],[G. HGS 
'[MWh']]]+Tabla1[[#This Row],[Con. Aux. '[MWh']2]])</f>
        <v>0</v>
      </c>
      <c r="AC347" s="368">
        <f>'C. ENER. TN'!F347</f>
        <v>0</v>
      </c>
      <c r="AD347" s="370">
        <f>'C. ENER. TN'!G347</f>
        <v>0</v>
      </c>
      <c r="AE347" s="370">
        <f>'G. Un GE'!AX347</f>
        <v>0</v>
      </c>
      <c r="AF347" s="368">
        <f>IFERROR('G. Un GE'!AX347/Tabla1[[#This Row],[PO '[h']]],0)</f>
        <v>0</v>
      </c>
      <c r="AG347" s="365">
        <f>'Ar-Pa'!AX347</f>
        <v>0</v>
      </c>
      <c r="AH347" s="365">
        <f>'Ar-Pa'!AY347</f>
        <v>0</v>
      </c>
      <c r="AI347" s="366">
        <f>SUM('Cal. Arr'!AB350:AY350)</f>
        <v>0</v>
      </c>
      <c r="AJ347" s="442"/>
      <c r="AK347" s="443"/>
      <c r="AL347" s="372">
        <f t="shared" si="113"/>
        <v>0</v>
      </c>
      <c r="AM347" s="372">
        <f>+CONVERT(AK347+Tabla1[[#This Row],[Con. DO Storage Gen. '[m3']]],"m^3","gal")</f>
        <v>0</v>
      </c>
      <c r="AN347" s="372">
        <f>SUM('DO Pilot'!B347:Y347)</f>
        <v>0</v>
      </c>
      <c r="AO347" s="372">
        <f t="shared" si="114"/>
        <v>0</v>
      </c>
      <c r="AP347" s="372">
        <f t="shared" si="115"/>
        <v>0</v>
      </c>
      <c r="AQ347" s="372">
        <f t="shared" si="116"/>
        <v>0</v>
      </c>
      <c r="AR347" s="443"/>
      <c r="AS347" s="443"/>
      <c r="AT347" s="267">
        <f>+CONVERT(SUM(Tabla1[[#This Row],[Repo. DO Storage '[gal']]:[Repo. DO Pilot '[gal']]]),"gal","m3")</f>
        <v>0</v>
      </c>
      <c r="AU347" s="442">
        <v>0</v>
      </c>
      <c r="AV347" s="372">
        <f t="shared" si="117"/>
        <v>0</v>
      </c>
      <c r="AW347" s="442">
        <v>0</v>
      </c>
      <c r="AX347" s="372">
        <f t="shared" si="118"/>
        <v>0</v>
      </c>
      <c r="AY347" s="372">
        <f t="shared" si="105"/>
        <v>0</v>
      </c>
      <c r="AZ347" s="372">
        <f>IFERROR(AL347/'Ar-Pa'!AX347,0)</f>
        <v>0</v>
      </c>
      <c r="BA347" s="372">
        <f>IFERROR(AL347/'Ar-Pa'!AY347,0)</f>
        <v>0</v>
      </c>
      <c r="BB347" s="372">
        <f t="shared" si="106"/>
        <v>0</v>
      </c>
      <c r="BC347" s="372">
        <f>IFERROR(AVERAGEIF('DO Pilot'!AX347:BU347,"&gt;0"),0)</f>
        <v>0</v>
      </c>
      <c r="BD347" s="446"/>
      <c r="BE347" s="446"/>
      <c r="BF347" s="446"/>
      <c r="BG347" s="223">
        <f>Tabla1[[#This Row],[ Re. Gas GC
 '[m3']]]</f>
        <v>0</v>
      </c>
      <c r="BH347" s="150">
        <f>IFERROR((BG347*Gas!$B$4)/28.31685,0)</f>
        <v>0</v>
      </c>
      <c r="BI347" s="73">
        <f t="shared" si="111"/>
        <v>0</v>
      </c>
      <c r="BJ347" s="74">
        <f t="shared" si="109"/>
        <v>0</v>
      </c>
      <c r="BK347" s="223">
        <f t="shared" si="107"/>
        <v>0</v>
      </c>
      <c r="BL347" s="442">
        <v>8592.4699999999993</v>
      </c>
      <c r="BM347" s="70">
        <f t="shared" si="108"/>
        <v>0</v>
      </c>
      <c r="BN347" s="70">
        <f t="shared" si="110"/>
        <v>0</v>
      </c>
      <c r="BO347" s="373">
        <f>IFERROR(Tabla1[[#This Row],[ Re. Gas GC
 '[m3']]]/Tabla1[[#This Row],[G. HGS 
Con Gas '[kWh']]],0)</f>
        <v>0</v>
      </c>
      <c r="BP347" s="374">
        <f>Tank!Y348</f>
        <v>0</v>
      </c>
      <c r="BQ347" s="70">
        <f>Tank!AP348</f>
        <v>0</v>
      </c>
      <c r="BR347" s="70">
        <f>Tank!V348</f>
        <v>0</v>
      </c>
      <c r="BS347" s="372">
        <f>Tank!T348</f>
        <v>0</v>
      </c>
      <c r="BT347" s="375" t="s">
        <v>228</v>
      </c>
      <c r="BU347" s="452"/>
      <c r="BV347" s="376">
        <f>IF(Tabla1[[#This Row],[Combustible ofertado]]="GAS",Tabla1[[#This Row],[Disponibilidad]],0)</f>
        <v>0</v>
      </c>
      <c r="BW347" s="376">
        <f>IF(Tabla1[[#This Row],[Combustible ofertado]]="DIESEL",Tabla1[[#This Row],[Disponibilidad]],0)</f>
        <v>0</v>
      </c>
      <c r="BX347" s="376">
        <f>IF(Tabla1[[#This Row],[Combustible ofertado]]="HFO",Tabla1[[#This Row],[Disponibilidad]],0)</f>
        <v>0</v>
      </c>
      <c r="BY347" s="452"/>
      <c r="BZ347" s="446">
        <f>'Horo. M'!C348</f>
        <v>0</v>
      </c>
      <c r="CA347" s="446">
        <f>'Horo. M'!E348</f>
        <v>0</v>
      </c>
      <c r="CB347" s="446">
        <f>'Horo. M'!G348</f>
        <v>0</v>
      </c>
      <c r="CC347" s="446">
        <f>'Horo. M'!I348</f>
        <v>0</v>
      </c>
      <c r="CD347" s="446">
        <f>'Horo. M'!K348</f>
        <v>0</v>
      </c>
      <c r="CE347" s="446">
        <f>'Horo. M'!M348</f>
        <v>0</v>
      </c>
      <c r="CF347" s="446">
        <f>'Horo. M'!O348</f>
        <v>0</v>
      </c>
      <c r="CG347" s="446">
        <f>'Horo. M'!Q348</f>
        <v>0</v>
      </c>
      <c r="CH347" s="446">
        <f>'Horo. M'!S348</f>
        <v>0</v>
      </c>
      <c r="CI347" s="446">
        <f>'Horo. M'!U348</f>
        <v>0</v>
      </c>
      <c r="CJ347" s="70">
        <f>Tabla1[[#This Row],[Con. DO Storage '[gal']]]-Tabla1[[#This Row],[C. DO Storage Ge '[gal']]]</f>
        <v>0</v>
      </c>
      <c r="CK347" s="70"/>
      <c r="CL347" s="70"/>
      <c r="CM347" s="70">
        <f>Tabla1[[#This Row],[Con. DO Total '[gal']]]*131485.5/(1000000)</f>
        <v>0</v>
      </c>
      <c r="CU347" s="10">
        <v>1415.0983000000001</v>
      </c>
    </row>
    <row r="348" spans="1:99" ht="15" customHeight="1">
      <c r="A348" s="362">
        <v>45273</v>
      </c>
      <c r="B348" s="363" t="str">
        <f>TEXT(Tabla1[[#This Row],[Fecha]],"mmmm")</f>
        <v>diciembre</v>
      </c>
      <c r="C348" s="364"/>
      <c r="D348" s="366"/>
      <c r="E348" s="366"/>
      <c r="F348" s="366"/>
      <c r="G348" s="377"/>
      <c r="H348" s="377"/>
      <c r="I348" s="378"/>
      <c r="J348" s="378"/>
      <c r="K348" s="366"/>
      <c r="L348" s="366"/>
      <c r="M348" s="365">
        <f>Tabla1[[#This Row],[Columna1]]-Tabla1[[#This Row],[PO '[h']]]</f>
        <v>0</v>
      </c>
      <c r="N348" s="366">
        <f t="shared" si="112"/>
        <v>0</v>
      </c>
      <c r="O348" s="365"/>
      <c r="P348" s="367">
        <f>Tabla1[[#This Row],[G. HGS 
'[MWh']]]</f>
        <v>0</v>
      </c>
      <c r="Q348" s="430">
        <v>0</v>
      </c>
      <c r="R348" s="367">
        <v>0</v>
      </c>
      <c r="S348" s="367">
        <f>Tabla1[[#This Row],[G. HGS 
Con Gas]]*1000</f>
        <v>0</v>
      </c>
      <c r="T348" s="365">
        <f>Tabla1[[#This Row],[G. HGS 
'[MWh']]]*1000</f>
        <v>0</v>
      </c>
      <c r="U348" s="368">
        <f>SUM('G. Un GE'!B348:Y348)</f>
        <v>0</v>
      </c>
      <c r="V348" s="369">
        <f>Tabla1[[#This Row],[R. GE
'[MWh']]]</f>
        <v>0</v>
      </c>
      <c r="W348" s="434">
        <v>0</v>
      </c>
      <c r="X348" s="369">
        <v>0</v>
      </c>
      <c r="Y348" s="365">
        <f>Tabla1[[#This Row],[R. GE
'[MWh']]]*1000</f>
        <v>0</v>
      </c>
      <c r="Z348" s="371"/>
      <c r="AA34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8" s="371">
        <f>IF(Tabla1[[#This Row],[G. HGS 
'[MWh']]]=0,0,Tabla1[[#This Row],[G. HGS 
'[MWh']]]+Tabla1[[#This Row],[Con. Aux. '[MWh']2]])</f>
        <v>0</v>
      </c>
      <c r="AC348" s="368">
        <f>'C. ENER. TN'!F348</f>
        <v>0</v>
      </c>
      <c r="AD348" s="370">
        <f>'C. ENER. TN'!G348</f>
        <v>0</v>
      </c>
      <c r="AE348" s="370">
        <f>'G. Un GE'!AX348</f>
        <v>0</v>
      </c>
      <c r="AF348" s="368">
        <f>IFERROR('G. Un GE'!AX348/Tabla1[[#This Row],[PO '[h']]],0)</f>
        <v>0</v>
      </c>
      <c r="AG348" s="365">
        <f>'Ar-Pa'!AX348</f>
        <v>0</v>
      </c>
      <c r="AH348" s="365">
        <f>'Ar-Pa'!AY348</f>
        <v>0</v>
      </c>
      <c r="AI348" s="366">
        <f>SUM('Cal. Arr'!AB351:AY351)</f>
        <v>0</v>
      </c>
      <c r="AJ348" s="442"/>
      <c r="AK348" s="443"/>
      <c r="AL348" s="372">
        <f t="shared" si="113"/>
        <v>0</v>
      </c>
      <c r="AM348" s="372">
        <f>+CONVERT(AK348+Tabla1[[#This Row],[Con. DO Storage Gen. '[m3']]],"m^3","gal")</f>
        <v>0</v>
      </c>
      <c r="AN348" s="372">
        <f>SUM('DO Pilot'!B348:Y348)</f>
        <v>0</v>
      </c>
      <c r="AO348" s="372">
        <f t="shared" si="114"/>
        <v>0</v>
      </c>
      <c r="AP348" s="372">
        <f t="shared" si="115"/>
        <v>0</v>
      </c>
      <c r="AQ348" s="372">
        <f t="shared" si="116"/>
        <v>0</v>
      </c>
      <c r="AR348" s="443"/>
      <c r="AS348" s="443"/>
      <c r="AT348" s="267">
        <f>+CONVERT(SUM(Tabla1[[#This Row],[Repo. DO Storage '[gal']]:[Repo. DO Pilot '[gal']]]),"gal","m3")</f>
        <v>0</v>
      </c>
      <c r="AU348" s="442">
        <v>0</v>
      </c>
      <c r="AV348" s="372">
        <f t="shared" si="117"/>
        <v>0</v>
      </c>
      <c r="AW348" s="442">
        <v>0</v>
      </c>
      <c r="AX348" s="372">
        <f t="shared" si="118"/>
        <v>0</v>
      </c>
      <c r="AY348" s="372">
        <f t="shared" si="105"/>
        <v>0</v>
      </c>
      <c r="AZ348" s="372">
        <f>IFERROR(AL348/'Ar-Pa'!AX348,0)</f>
        <v>0</v>
      </c>
      <c r="BA348" s="372">
        <f>IFERROR(AL348/'Ar-Pa'!AY348,0)</f>
        <v>0</v>
      </c>
      <c r="BB348" s="372">
        <f t="shared" si="106"/>
        <v>0</v>
      </c>
      <c r="BC348" s="372">
        <f>IFERROR(AVERAGEIF('DO Pilot'!AX348:BU348,"&gt;0"),0)</f>
        <v>0</v>
      </c>
      <c r="BD348" s="446"/>
      <c r="BE348" s="446"/>
      <c r="BF348" s="446"/>
      <c r="BG348" s="223">
        <f>Tabla1[[#This Row],[ Re. Gas GC
 '[m3']]]</f>
        <v>0</v>
      </c>
      <c r="BH348" s="150">
        <f>IFERROR((BG348*Gas!$B$4)/28.31685,0)</f>
        <v>0</v>
      </c>
      <c r="BI348" s="73">
        <f t="shared" si="111"/>
        <v>0</v>
      </c>
      <c r="BJ348" s="74">
        <f t="shared" si="109"/>
        <v>0</v>
      </c>
      <c r="BK348" s="223">
        <f t="shared" si="107"/>
        <v>0</v>
      </c>
      <c r="BL348" s="442">
        <v>8564.56</v>
      </c>
      <c r="BM348" s="70">
        <f t="shared" si="108"/>
        <v>0</v>
      </c>
      <c r="BN348" s="70">
        <f t="shared" si="110"/>
        <v>0</v>
      </c>
      <c r="BO348" s="373">
        <f>IFERROR(Tabla1[[#This Row],[ Re. Gas GC
 '[m3']]]/Tabla1[[#This Row],[G. HGS 
Con Gas '[kWh']]],0)</f>
        <v>0</v>
      </c>
      <c r="BP348" s="374">
        <f>Tank!Y349</f>
        <v>0</v>
      </c>
      <c r="BQ348" s="70">
        <f>Tank!AP349</f>
        <v>0</v>
      </c>
      <c r="BR348" s="70">
        <f>Tank!V349</f>
        <v>0</v>
      </c>
      <c r="BS348" s="372">
        <f>Tank!T349</f>
        <v>0</v>
      </c>
      <c r="BT348" s="375" t="s">
        <v>228</v>
      </c>
      <c r="BU348" s="452"/>
      <c r="BV348" s="376">
        <f>IF(Tabla1[[#This Row],[Combustible ofertado]]="GAS",Tabla1[[#This Row],[Disponibilidad]],0)</f>
        <v>0</v>
      </c>
      <c r="BW348" s="376">
        <f>IF(Tabla1[[#This Row],[Combustible ofertado]]="DIESEL",Tabla1[[#This Row],[Disponibilidad]],0)</f>
        <v>0</v>
      </c>
      <c r="BX348" s="376">
        <f>IF(Tabla1[[#This Row],[Combustible ofertado]]="HFO",Tabla1[[#This Row],[Disponibilidad]],0)</f>
        <v>0</v>
      </c>
      <c r="BY348" s="452"/>
      <c r="BZ348" s="446">
        <f>'Horo. M'!C349</f>
        <v>0</v>
      </c>
      <c r="CA348" s="446">
        <f>'Horo. M'!E349</f>
        <v>0</v>
      </c>
      <c r="CB348" s="446">
        <f>'Horo. M'!G349</f>
        <v>0</v>
      </c>
      <c r="CC348" s="446">
        <f>'Horo. M'!I349</f>
        <v>0</v>
      </c>
      <c r="CD348" s="446">
        <f>'Horo. M'!K349</f>
        <v>0</v>
      </c>
      <c r="CE348" s="446">
        <f>'Horo. M'!M349</f>
        <v>0</v>
      </c>
      <c r="CF348" s="446">
        <f>'Horo. M'!O349</f>
        <v>0</v>
      </c>
      <c r="CG348" s="446">
        <f>'Horo. M'!Q349</f>
        <v>0</v>
      </c>
      <c r="CH348" s="446">
        <f>'Horo. M'!S349</f>
        <v>0</v>
      </c>
      <c r="CI348" s="446">
        <f>'Horo. M'!U349</f>
        <v>0</v>
      </c>
      <c r="CJ348" s="70">
        <f>Tabla1[[#This Row],[Con. DO Storage '[gal']]]-Tabla1[[#This Row],[C. DO Storage Ge '[gal']]]</f>
        <v>0</v>
      </c>
      <c r="CK348" s="70"/>
      <c r="CL348" s="70"/>
      <c r="CM348" s="70">
        <f>Tabla1[[#This Row],[Con. DO Total '[gal']]]*131485.5/(1000000)</f>
        <v>0</v>
      </c>
      <c r="CU348" s="10">
        <v>1240.1567</v>
      </c>
    </row>
    <row r="349" spans="1:99" ht="15" customHeight="1">
      <c r="A349" s="362">
        <v>45274</v>
      </c>
      <c r="B349" s="363" t="str">
        <f>TEXT(Tabla1[[#This Row],[Fecha]],"mmmm")</f>
        <v>diciembre</v>
      </c>
      <c r="C349" s="364"/>
      <c r="D349" s="366"/>
      <c r="E349" s="366"/>
      <c r="F349" s="366"/>
      <c r="G349" s="377"/>
      <c r="H349" s="377"/>
      <c r="I349" s="378"/>
      <c r="J349" s="378"/>
      <c r="K349" s="366"/>
      <c r="L349" s="366"/>
      <c r="M349" s="365">
        <f>Tabla1[[#This Row],[Columna1]]-Tabla1[[#This Row],[PO '[h']]]</f>
        <v>0</v>
      </c>
      <c r="N349" s="366">
        <f t="shared" si="112"/>
        <v>0</v>
      </c>
      <c r="O349" s="365"/>
      <c r="P349" s="367">
        <f>Tabla1[[#This Row],[G. HGS 
'[MWh']]]</f>
        <v>0</v>
      </c>
      <c r="Q349" s="430">
        <v>0</v>
      </c>
      <c r="R349" s="367">
        <v>0</v>
      </c>
      <c r="S349" s="367">
        <f>Tabla1[[#This Row],[G. HGS 
Con Gas]]*1000</f>
        <v>0</v>
      </c>
      <c r="T349" s="365">
        <f>Tabla1[[#This Row],[G. HGS 
'[MWh']]]*1000</f>
        <v>0</v>
      </c>
      <c r="U349" s="368">
        <f>SUM('G. Un GE'!B349:Y349)</f>
        <v>0</v>
      </c>
      <c r="V349" s="369">
        <f>Tabla1[[#This Row],[R. GE
'[MWh']]]</f>
        <v>0</v>
      </c>
      <c r="W349" s="434">
        <v>0</v>
      </c>
      <c r="X349" s="369">
        <v>0</v>
      </c>
      <c r="Y349" s="365">
        <f>Tabla1[[#This Row],[R. GE
'[MWh']]]*1000</f>
        <v>0</v>
      </c>
      <c r="Z349" s="371"/>
      <c r="AA34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49" s="371">
        <f>IF(Tabla1[[#This Row],[G. HGS 
'[MWh']]]=0,0,Tabla1[[#This Row],[G. HGS 
'[MWh']]]+Tabla1[[#This Row],[Con. Aux. '[MWh']2]])</f>
        <v>0</v>
      </c>
      <c r="AC349" s="368">
        <f>'C. ENER. TN'!F349</f>
        <v>0</v>
      </c>
      <c r="AD349" s="370">
        <f>'C. ENER. TN'!G349</f>
        <v>0</v>
      </c>
      <c r="AE349" s="370">
        <f>'G. Un GE'!AX349</f>
        <v>0</v>
      </c>
      <c r="AF349" s="368">
        <f>IFERROR('G. Un GE'!AX349/Tabla1[[#This Row],[PO '[h']]],0)</f>
        <v>0</v>
      </c>
      <c r="AG349" s="365">
        <f>'Ar-Pa'!AX349</f>
        <v>0</v>
      </c>
      <c r="AH349" s="365">
        <f>'Ar-Pa'!AY349</f>
        <v>0</v>
      </c>
      <c r="AI349" s="366">
        <f>SUM('Cal. Arr'!AB352:AY352)</f>
        <v>0</v>
      </c>
      <c r="AJ349" s="442"/>
      <c r="AK349" s="443"/>
      <c r="AL349" s="372">
        <f t="shared" si="113"/>
        <v>0</v>
      </c>
      <c r="AM349" s="372">
        <f>+CONVERT(AK349+Tabla1[[#This Row],[Con. DO Storage Gen. '[m3']]],"m^3","gal")</f>
        <v>0</v>
      </c>
      <c r="AN349" s="372">
        <f>SUM('DO Pilot'!B349:Y349)</f>
        <v>0</v>
      </c>
      <c r="AO349" s="372">
        <f t="shared" si="114"/>
        <v>0</v>
      </c>
      <c r="AP349" s="372">
        <f t="shared" si="115"/>
        <v>0</v>
      </c>
      <c r="AQ349" s="372">
        <f t="shared" si="116"/>
        <v>0</v>
      </c>
      <c r="AR349" s="443"/>
      <c r="AS349" s="443"/>
      <c r="AT349" s="267">
        <f>+CONVERT(SUM(Tabla1[[#This Row],[Repo. DO Storage '[gal']]:[Repo. DO Pilot '[gal']]]),"gal","m3")</f>
        <v>0</v>
      </c>
      <c r="AU349" s="442">
        <v>0</v>
      </c>
      <c r="AV349" s="372">
        <f t="shared" si="117"/>
        <v>0</v>
      </c>
      <c r="AW349" s="442">
        <v>0</v>
      </c>
      <c r="AX349" s="372">
        <f t="shared" si="118"/>
        <v>0</v>
      </c>
      <c r="AY349" s="372">
        <f t="shared" si="105"/>
        <v>0</v>
      </c>
      <c r="AZ349" s="372">
        <f>IFERROR(AL349/'Ar-Pa'!AX349,0)</f>
        <v>0</v>
      </c>
      <c r="BA349" s="372">
        <f>IFERROR(AL349/'Ar-Pa'!AY349,0)</f>
        <v>0</v>
      </c>
      <c r="BB349" s="372">
        <f t="shared" si="106"/>
        <v>0</v>
      </c>
      <c r="BC349" s="372">
        <f>IFERROR(AVERAGEIF('DO Pilot'!AX349:BU349,"&gt;0"),0)</f>
        <v>0</v>
      </c>
      <c r="BD349" s="446"/>
      <c r="BE349" s="446"/>
      <c r="BF349" s="446"/>
      <c r="BG349" s="223">
        <f>Tabla1[[#This Row],[ Re. Gas GC
 '[m3']]]</f>
        <v>0</v>
      </c>
      <c r="BH349" s="150">
        <f>IFERROR((BG349*Gas!$B$4)/28.31685,0)</f>
        <v>0</v>
      </c>
      <c r="BI349" s="73">
        <f>BH349-BE349</f>
        <v>0</v>
      </c>
      <c r="BJ349" s="74">
        <f t="shared" si="109"/>
        <v>0</v>
      </c>
      <c r="BK349" s="223">
        <f t="shared" si="107"/>
        <v>0</v>
      </c>
      <c r="BL349" s="442">
        <v>9034.69</v>
      </c>
      <c r="BM349" s="70">
        <f t="shared" si="108"/>
        <v>0</v>
      </c>
      <c r="BN349" s="70">
        <f t="shared" si="110"/>
        <v>0</v>
      </c>
      <c r="BO349" s="373">
        <f>IFERROR(Tabla1[[#This Row],[ Re. Gas GC
 '[m3']]]/Tabla1[[#This Row],[G. HGS 
Con Gas '[kWh']]],0)</f>
        <v>0</v>
      </c>
      <c r="BP349" s="374">
        <f>Tank!Y350</f>
        <v>0</v>
      </c>
      <c r="BQ349" s="70">
        <f>Tank!AP350</f>
        <v>0</v>
      </c>
      <c r="BR349" s="70">
        <f>Tank!V350</f>
        <v>0</v>
      </c>
      <c r="BS349" s="372">
        <f>Tank!T350</f>
        <v>0</v>
      </c>
      <c r="BT349" s="375" t="s">
        <v>228</v>
      </c>
      <c r="BU349" s="452"/>
      <c r="BV349" s="376">
        <f>IF(Tabla1[[#This Row],[Combustible ofertado]]="GAS",Tabla1[[#This Row],[Disponibilidad]],0)</f>
        <v>0</v>
      </c>
      <c r="BW349" s="376">
        <f>IF(Tabla1[[#This Row],[Combustible ofertado]]="DIESEL",Tabla1[[#This Row],[Disponibilidad]],0)</f>
        <v>0</v>
      </c>
      <c r="BX349" s="376">
        <f>IF(Tabla1[[#This Row],[Combustible ofertado]]="HFO",Tabla1[[#This Row],[Disponibilidad]],0)</f>
        <v>0</v>
      </c>
      <c r="BY349" s="452"/>
      <c r="BZ349" s="446">
        <f>'Horo. M'!C350</f>
        <v>0</v>
      </c>
      <c r="CA349" s="446">
        <f>'Horo. M'!E350</f>
        <v>0</v>
      </c>
      <c r="CB349" s="446">
        <f>'Horo. M'!G350</f>
        <v>0</v>
      </c>
      <c r="CC349" s="446">
        <f>'Horo. M'!I350</f>
        <v>0</v>
      </c>
      <c r="CD349" s="446">
        <f>'Horo. M'!K350</f>
        <v>0</v>
      </c>
      <c r="CE349" s="446">
        <f>'Horo. M'!M350</f>
        <v>0</v>
      </c>
      <c r="CF349" s="446">
        <f>'Horo. M'!O350</f>
        <v>0</v>
      </c>
      <c r="CG349" s="446">
        <f>'Horo. M'!Q350</f>
        <v>0</v>
      </c>
      <c r="CH349" s="446">
        <f>'Horo. M'!S350</f>
        <v>0</v>
      </c>
      <c r="CI349" s="446">
        <f>'Horo. M'!U350</f>
        <v>0</v>
      </c>
      <c r="CJ349" s="70">
        <f>Tabla1[[#This Row],[Con. DO Storage '[gal']]]-Tabla1[[#This Row],[C. DO Storage Ge '[gal']]]</f>
        <v>0</v>
      </c>
      <c r="CK349" s="70"/>
      <c r="CL349" s="70"/>
      <c r="CM349" s="70">
        <f>Tabla1[[#This Row],[Con. DO Total '[gal']]]*131485.5/(1000000)</f>
        <v>0</v>
      </c>
      <c r="CU349" s="10">
        <v>865.74580000000003</v>
      </c>
    </row>
    <row r="350" spans="1:99" ht="15" customHeight="1">
      <c r="A350" s="362">
        <v>45275</v>
      </c>
      <c r="B350" s="363" t="str">
        <f>TEXT(Tabla1[[#This Row],[Fecha]],"mmmm")</f>
        <v>diciembre</v>
      </c>
      <c r="C350" s="364"/>
      <c r="D350" s="366"/>
      <c r="E350" s="366"/>
      <c r="F350" s="366"/>
      <c r="G350" s="377"/>
      <c r="H350" s="377"/>
      <c r="I350" s="378"/>
      <c r="J350" s="378"/>
      <c r="K350" s="366"/>
      <c r="L350" s="366"/>
      <c r="M350" s="365">
        <f>Tabla1[[#This Row],[Columna1]]-Tabla1[[#This Row],[PO '[h']]]</f>
        <v>0</v>
      </c>
      <c r="N350" s="366">
        <f t="shared" si="112"/>
        <v>0</v>
      </c>
      <c r="O350" s="365"/>
      <c r="P350" s="367">
        <f>Tabla1[[#This Row],[G. HGS 
'[MWh']]]</f>
        <v>0</v>
      </c>
      <c r="Q350" s="430">
        <v>0</v>
      </c>
      <c r="R350" s="367">
        <v>0</v>
      </c>
      <c r="S350" s="367">
        <f>Tabla1[[#This Row],[G. HGS 
Con Gas]]*1000</f>
        <v>0</v>
      </c>
      <c r="T350" s="365">
        <f>Tabla1[[#This Row],[G. HGS 
'[MWh']]]*1000</f>
        <v>0</v>
      </c>
      <c r="U350" s="368">
        <f>SUM('G. Un GE'!B350:Y350)</f>
        <v>0</v>
      </c>
      <c r="V350" s="369">
        <f>Tabla1[[#This Row],[R. GE
'[MWh']]]</f>
        <v>0</v>
      </c>
      <c r="W350" s="434">
        <v>0</v>
      </c>
      <c r="X350" s="369">
        <v>0</v>
      </c>
      <c r="Y350" s="365">
        <f>Tabla1[[#This Row],[R. GE
'[MWh']]]*1000</f>
        <v>0</v>
      </c>
      <c r="Z350" s="371"/>
      <c r="AA35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0" s="371">
        <f>IF(Tabla1[[#This Row],[G. HGS 
'[MWh']]]=0,0,Tabla1[[#This Row],[G. HGS 
'[MWh']]]+Tabla1[[#This Row],[Con. Aux. '[MWh']2]])</f>
        <v>0</v>
      </c>
      <c r="AC350" s="368">
        <f>'C. ENER. TN'!F350</f>
        <v>0</v>
      </c>
      <c r="AD350" s="370">
        <f>'C. ENER. TN'!G350</f>
        <v>0</v>
      </c>
      <c r="AE350" s="370">
        <f>'G. Un GE'!AX350</f>
        <v>0</v>
      </c>
      <c r="AF350" s="368">
        <f>IFERROR('G. Un GE'!AX350/Tabla1[[#This Row],[PO '[h']]],0)</f>
        <v>0</v>
      </c>
      <c r="AG350" s="365">
        <f>'Ar-Pa'!AX350</f>
        <v>0</v>
      </c>
      <c r="AH350" s="365">
        <f>'Ar-Pa'!AY350</f>
        <v>0</v>
      </c>
      <c r="AI350" s="366">
        <f>SUM('Cal. Arr'!AB353:AY353)</f>
        <v>0</v>
      </c>
      <c r="AJ350" s="442"/>
      <c r="AK350" s="443"/>
      <c r="AL350" s="372">
        <f t="shared" si="113"/>
        <v>0</v>
      </c>
      <c r="AM350" s="372">
        <f>+CONVERT(AK350+Tabla1[[#This Row],[Con. DO Storage Gen. '[m3']]],"m^3","gal")</f>
        <v>0</v>
      </c>
      <c r="AN350" s="372">
        <f>SUM('DO Pilot'!B350:Y350)</f>
        <v>0</v>
      </c>
      <c r="AO350" s="372">
        <f t="shared" si="114"/>
        <v>0</v>
      </c>
      <c r="AP350" s="372">
        <f t="shared" si="115"/>
        <v>0</v>
      </c>
      <c r="AQ350" s="372">
        <f t="shared" si="116"/>
        <v>0</v>
      </c>
      <c r="AR350" s="443"/>
      <c r="AS350" s="443"/>
      <c r="AT350" s="267">
        <f>+CONVERT(SUM(Tabla1[[#This Row],[Repo. DO Storage '[gal']]:[Repo. DO Pilot '[gal']]]),"gal","m3")</f>
        <v>0</v>
      </c>
      <c r="AU350" s="442">
        <v>0</v>
      </c>
      <c r="AV350" s="372">
        <f t="shared" si="117"/>
        <v>0</v>
      </c>
      <c r="AW350" s="442">
        <v>0</v>
      </c>
      <c r="AX350" s="372">
        <f t="shared" si="118"/>
        <v>0</v>
      </c>
      <c r="AY350" s="372">
        <f t="shared" si="105"/>
        <v>0</v>
      </c>
      <c r="AZ350" s="372">
        <f>IFERROR(AL350/'Ar-Pa'!AX350,0)</f>
        <v>0</v>
      </c>
      <c r="BA350" s="372">
        <f>IFERROR(AL350/'Ar-Pa'!AY350,0)</f>
        <v>0</v>
      </c>
      <c r="BB350" s="372">
        <f t="shared" si="106"/>
        <v>0</v>
      </c>
      <c r="BC350" s="372">
        <f>IFERROR(AVERAGEIF('DO Pilot'!AX350:BU350,"&gt;0"),0)</f>
        <v>0</v>
      </c>
      <c r="BD350" s="446"/>
      <c r="BE350" s="446"/>
      <c r="BF350" s="446"/>
      <c r="BG350" s="223">
        <f>Tabla1[[#This Row],[ Re. Gas GC
 '[m3']]]</f>
        <v>0</v>
      </c>
      <c r="BH350" s="150">
        <f>IFERROR((BG350*Gas!$B$4)/28.31685,0)</f>
        <v>0</v>
      </c>
      <c r="BI350" s="73">
        <f t="shared" si="111"/>
        <v>0</v>
      </c>
      <c r="BJ350" s="74">
        <f t="shared" si="109"/>
        <v>0</v>
      </c>
      <c r="BK350" s="223">
        <f t="shared" si="107"/>
        <v>0</v>
      </c>
      <c r="BL350" s="442">
        <v>9265.66</v>
      </c>
      <c r="BM350" s="70">
        <f t="shared" si="108"/>
        <v>0</v>
      </c>
      <c r="BN350" s="70">
        <f t="shared" si="110"/>
        <v>0</v>
      </c>
      <c r="BO350" s="373">
        <f>IFERROR(Tabla1[[#This Row],[ Re. Gas GC
 '[m3']]]/Tabla1[[#This Row],[G. HGS 
Con Gas '[kWh']]],0)</f>
        <v>0</v>
      </c>
      <c r="BP350" s="374">
        <f>Tank!Y351</f>
        <v>0</v>
      </c>
      <c r="BQ350" s="70">
        <f>Tank!AP351</f>
        <v>0</v>
      </c>
      <c r="BR350" s="70">
        <f>Tank!V351</f>
        <v>0</v>
      </c>
      <c r="BS350" s="372">
        <f>Tank!T351</f>
        <v>0</v>
      </c>
      <c r="BT350" s="375" t="s">
        <v>228</v>
      </c>
      <c r="BU350" s="452"/>
      <c r="BV350" s="376">
        <f>IF(Tabla1[[#This Row],[Combustible ofertado]]="GAS",Tabla1[[#This Row],[Disponibilidad]],0)</f>
        <v>0</v>
      </c>
      <c r="BW350" s="376">
        <f>IF(Tabla1[[#This Row],[Combustible ofertado]]="DIESEL",Tabla1[[#This Row],[Disponibilidad]],0)</f>
        <v>0</v>
      </c>
      <c r="BX350" s="376">
        <f>IF(Tabla1[[#This Row],[Combustible ofertado]]="HFO",Tabla1[[#This Row],[Disponibilidad]],0)</f>
        <v>0</v>
      </c>
      <c r="BY350" s="452"/>
      <c r="BZ350" s="446">
        <f>'Horo. M'!C351</f>
        <v>0</v>
      </c>
      <c r="CA350" s="446">
        <f>'Horo. M'!E351</f>
        <v>0</v>
      </c>
      <c r="CB350" s="446">
        <f>'Horo. M'!G351</f>
        <v>0</v>
      </c>
      <c r="CC350" s="446">
        <f>'Horo. M'!I351</f>
        <v>0</v>
      </c>
      <c r="CD350" s="446">
        <f>'Horo. M'!K351</f>
        <v>0</v>
      </c>
      <c r="CE350" s="446">
        <f>'Horo. M'!M351</f>
        <v>0</v>
      </c>
      <c r="CF350" s="446">
        <f>'Horo. M'!O351</f>
        <v>0</v>
      </c>
      <c r="CG350" s="446">
        <f>'Horo. M'!Q351</f>
        <v>0</v>
      </c>
      <c r="CH350" s="446">
        <f>'Horo. M'!S351</f>
        <v>0</v>
      </c>
      <c r="CI350" s="446">
        <f>'Horo. M'!U351</f>
        <v>0</v>
      </c>
      <c r="CJ350" s="70">
        <f>Tabla1[[#This Row],[Con. DO Storage '[gal']]]-Tabla1[[#This Row],[C. DO Storage Ge '[gal']]]</f>
        <v>0</v>
      </c>
      <c r="CK350" s="70"/>
      <c r="CL350" s="70"/>
      <c r="CM350" s="70">
        <f>Tabla1[[#This Row],[Con. DO Total '[gal']]]*131485.5/(1000000)</f>
        <v>0</v>
      </c>
    </row>
    <row r="351" spans="1:99" ht="15" customHeight="1">
      <c r="A351" s="362">
        <v>45276</v>
      </c>
      <c r="B351" s="363" t="str">
        <f>TEXT(Tabla1[[#This Row],[Fecha]],"mmmm")</f>
        <v>diciembre</v>
      </c>
      <c r="C351" s="364"/>
      <c r="D351" s="366"/>
      <c r="E351" s="366"/>
      <c r="F351" s="366"/>
      <c r="G351" s="377"/>
      <c r="H351" s="377"/>
      <c r="I351" s="378"/>
      <c r="J351" s="378"/>
      <c r="K351" s="366"/>
      <c r="L351" s="366"/>
      <c r="M351" s="365">
        <f>Tabla1[[#This Row],[Columna1]]-Tabla1[[#This Row],[PO '[h']]]</f>
        <v>0</v>
      </c>
      <c r="N351" s="366">
        <f t="shared" si="112"/>
        <v>0</v>
      </c>
      <c r="O351" s="365"/>
      <c r="P351" s="367">
        <f>Tabla1[[#This Row],[G. HGS 
'[MWh']]]</f>
        <v>0</v>
      </c>
      <c r="Q351" s="430">
        <v>0</v>
      </c>
      <c r="R351" s="367">
        <v>0</v>
      </c>
      <c r="S351" s="367">
        <f>Tabla1[[#This Row],[G. HGS 
Con Gas]]*1000</f>
        <v>0</v>
      </c>
      <c r="T351" s="365">
        <f>Tabla1[[#This Row],[G. HGS 
'[MWh']]]*1000</f>
        <v>0</v>
      </c>
      <c r="U351" s="368">
        <f>SUM('G. Un GE'!B351:Y351)</f>
        <v>0</v>
      </c>
      <c r="V351" s="369">
        <f>Tabla1[[#This Row],[R. GE
'[MWh']]]</f>
        <v>0</v>
      </c>
      <c r="W351" s="434">
        <v>0</v>
      </c>
      <c r="X351" s="369">
        <v>0</v>
      </c>
      <c r="Y351" s="365">
        <f>Tabla1[[#This Row],[R. GE
'[MWh']]]*1000</f>
        <v>0</v>
      </c>
      <c r="Z351" s="371"/>
      <c r="AA35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1" s="371">
        <f>IF(Tabla1[[#This Row],[G. HGS 
'[MWh']]]=0,0,Tabla1[[#This Row],[G. HGS 
'[MWh']]]+Tabla1[[#This Row],[Con. Aux. '[MWh']2]])</f>
        <v>0</v>
      </c>
      <c r="AC351" s="368">
        <f>'C. ENER. TN'!F351</f>
        <v>0</v>
      </c>
      <c r="AD351" s="370">
        <f>'C. ENER. TN'!G351</f>
        <v>0</v>
      </c>
      <c r="AE351" s="370">
        <f>'G. Un GE'!AX351</f>
        <v>0</v>
      </c>
      <c r="AF351" s="368">
        <f>IFERROR('G. Un GE'!AX351/Tabla1[[#This Row],[PO '[h']]],0)</f>
        <v>0</v>
      </c>
      <c r="AG351" s="365">
        <f>'Ar-Pa'!AX351</f>
        <v>0</v>
      </c>
      <c r="AH351" s="365">
        <f>'Ar-Pa'!AY351</f>
        <v>0</v>
      </c>
      <c r="AI351" s="366">
        <f>SUM('Cal. Arr'!AB354:AY354)</f>
        <v>0</v>
      </c>
      <c r="AJ351" s="442"/>
      <c r="AK351" s="443"/>
      <c r="AL351" s="372">
        <f t="shared" si="113"/>
        <v>0</v>
      </c>
      <c r="AM351" s="372">
        <f>+CONVERT(AK351+Tabla1[[#This Row],[Con. DO Storage Gen. '[m3']]],"m^3","gal")</f>
        <v>0</v>
      </c>
      <c r="AN351" s="372">
        <f>SUM('DO Pilot'!B351:Y351)</f>
        <v>0</v>
      </c>
      <c r="AO351" s="372">
        <f t="shared" si="114"/>
        <v>0</v>
      </c>
      <c r="AP351" s="372">
        <f t="shared" si="115"/>
        <v>0</v>
      </c>
      <c r="AQ351" s="372">
        <f t="shared" si="116"/>
        <v>0</v>
      </c>
      <c r="AR351" s="443"/>
      <c r="AS351" s="443"/>
      <c r="AT351" s="267">
        <f>+CONVERT(SUM(Tabla1[[#This Row],[Repo. DO Storage '[gal']]:[Repo. DO Pilot '[gal']]]),"gal","m3")</f>
        <v>0</v>
      </c>
      <c r="AU351" s="442">
        <v>0</v>
      </c>
      <c r="AV351" s="372">
        <f t="shared" si="117"/>
        <v>0</v>
      </c>
      <c r="AW351" s="442">
        <v>0</v>
      </c>
      <c r="AX351" s="372">
        <f t="shared" si="118"/>
        <v>0</v>
      </c>
      <c r="AY351" s="372">
        <f t="shared" si="105"/>
        <v>0</v>
      </c>
      <c r="AZ351" s="372">
        <f>IFERROR(AL351/'Ar-Pa'!AX351,0)</f>
        <v>0</v>
      </c>
      <c r="BA351" s="372">
        <f>IFERROR(AL351/'Ar-Pa'!AY351,0)</f>
        <v>0</v>
      </c>
      <c r="BB351" s="372">
        <f t="shared" si="106"/>
        <v>0</v>
      </c>
      <c r="BC351" s="372">
        <f>IFERROR(AVERAGEIF('DO Pilot'!AX351:BU351,"&gt;0"),0)</f>
        <v>0</v>
      </c>
      <c r="BD351" s="446"/>
      <c r="BE351" s="446"/>
      <c r="BF351" s="446"/>
      <c r="BG351" s="223">
        <f>Tabla1[[#This Row],[ Re. Gas GC
 '[m3']]]</f>
        <v>0</v>
      </c>
      <c r="BH351" s="150">
        <f>IFERROR((BG351*Gas!$B$4)/28.31685,0)</f>
        <v>0</v>
      </c>
      <c r="BI351" s="73">
        <f t="shared" si="111"/>
        <v>0</v>
      </c>
      <c r="BJ351" s="74">
        <f t="shared" si="109"/>
        <v>0</v>
      </c>
      <c r="BK351" s="223">
        <f t="shared" si="107"/>
        <v>0</v>
      </c>
      <c r="BL351" s="442">
        <v>9308.77</v>
      </c>
      <c r="BM351" s="70">
        <f t="shared" si="108"/>
        <v>0</v>
      </c>
      <c r="BN351" s="70">
        <f t="shared" si="110"/>
        <v>0</v>
      </c>
      <c r="BO351" s="373">
        <f>IFERROR(Tabla1[[#This Row],[ Re. Gas GC
 '[m3']]]/Tabla1[[#This Row],[G. HGS 
Con Gas '[kWh']]],0)</f>
        <v>0</v>
      </c>
      <c r="BP351" s="374">
        <f>Tank!Y352</f>
        <v>0</v>
      </c>
      <c r="BQ351" s="70">
        <f>Tank!AP352</f>
        <v>0</v>
      </c>
      <c r="BR351" s="70">
        <f>Tank!V352</f>
        <v>0</v>
      </c>
      <c r="BS351" s="372">
        <f>Tank!T352</f>
        <v>0</v>
      </c>
      <c r="BT351" s="375" t="s">
        <v>228</v>
      </c>
      <c r="BU351" s="452"/>
      <c r="BV351" s="376">
        <f>IF(Tabla1[[#This Row],[Combustible ofertado]]="GAS",Tabla1[[#This Row],[Disponibilidad]],0)</f>
        <v>0</v>
      </c>
      <c r="BW351" s="376">
        <f>IF(Tabla1[[#This Row],[Combustible ofertado]]="DIESEL",Tabla1[[#This Row],[Disponibilidad]],0)</f>
        <v>0</v>
      </c>
      <c r="BX351" s="376">
        <f>IF(Tabla1[[#This Row],[Combustible ofertado]]="HFO",Tabla1[[#This Row],[Disponibilidad]],0)</f>
        <v>0</v>
      </c>
      <c r="BY351" s="452"/>
      <c r="BZ351" s="446">
        <f>'Horo. M'!C352</f>
        <v>0</v>
      </c>
      <c r="CA351" s="446">
        <f>'Horo. M'!E352</f>
        <v>0</v>
      </c>
      <c r="CB351" s="446">
        <f>'Horo. M'!G352</f>
        <v>0</v>
      </c>
      <c r="CC351" s="446">
        <f>'Horo. M'!I352</f>
        <v>0</v>
      </c>
      <c r="CD351" s="446">
        <f>'Horo. M'!K352</f>
        <v>0</v>
      </c>
      <c r="CE351" s="446">
        <f>'Horo. M'!M352</f>
        <v>0</v>
      </c>
      <c r="CF351" s="446">
        <f>'Horo. M'!O352</f>
        <v>0</v>
      </c>
      <c r="CG351" s="446">
        <f>'Horo. M'!Q352</f>
        <v>0</v>
      </c>
      <c r="CH351" s="446">
        <f>'Horo. M'!S352</f>
        <v>0</v>
      </c>
      <c r="CI351" s="446">
        <f>'Horo. M'!U352</f>
        <v>0</v>
      </c>
      <c r="CJ351" s="70">
        <f>Tabla1[[#This Row],[Con. DO Storage '[gal']]]-Tabla1[[#This Row],[C. DO Storage Ge '[gal']]]</f>
        <v>0</v>
      </c>
      <c r="CK351" s="70"/>
      <c r="CL351" s="70"/>
      <c r="CM351" s="70">
        <f>Tabla1[[#This Row],[Con. DO Total '[gal']]]*131485.5/(1000000)</f>
        <v>0</v>
      </c>
    </row>
    <row r="352" spans="1:99" ht="15" customHeight="1">
      <c r="A352" s="362">
        <v>45277</v>
      </c>
      <c r="B352" s="363" t="str">
        <f>TEXT(Tabla1[[#This Row],[Fecha]],"mmmm")</f>
        <v>diciembre</v>
      </c>
      <c r="C352" s="364"/>
      <c r="D352" s="366"/>
      <c r="E352" s="366"/>
      <c r="F352" s="366"/>
      <c r="G352" s="377"/>
      <c r="H352" s="377"/>
      <c r="I352" s="378"/>
      <c r="J352" s="378"/>
      <c r="K352" s="366"/>
      <c r="L352" s="366"/>
      <c r="M352" s="365">
        <f>Tabla1[[#This Row],[Columna1]]-Tabla1[[#This Row],[PO '[h']]]</f>
        <v>0</v>
      </c>
      <c r="N352" s="366">
        <f t="shared" si="112"/>
        <v>0</v>
      </c>
      <c r="O352" s="365"/>
      <c r="P352" s="367">
        <f>Tabla1[[#This Row],[G. HGS 
'[MWh']]]</f>
        <v>0</v>
      </c>
      <c r="Q352" s="430">
        <v>0</v>
      </c>
      <c r="R352" s="367">
        <v>0</v>
      </c>
      <c r="S352" s="367">
        <f>Tabla1[[#This Row],[G. HGS 
Con Gas]]*1000</f>
        <v>0</v>
      </c>
      <c r="T352" s="365">
        <f>Tabla1[[#This Row],[G. HGS 
'[MWh']]]*1000</f>
        <v>0</v>
      </c>
      <c r="U352" s="368">
        <f>SUM('G. Un GE'!B352:Y352)</f>
        <v>0</v>
      </c>
      <c r="V352" s="369">
        <f>Tabla1[[#This Row],[R. GE
'[MWh']]]</f>
        <v>0</v>
      </c>
      <c r="W352" s="434">
        <v>0</v>
      </c>
      <c r="X352" s="369">
        <v>0</v>
      </c>
      <c r="Y352" s="365">
        <f>Tabla1[[#This Row],[R. GE
'[MWh']]]*1000</f>
        <v>0</v>
      </c>
      <c r="Z352" s="371"/>
      <c r="AA35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2" s="371">
        <f>IF(Tabla1[[#This Row],[G. HGS 
'[MWh']]]=0,0,Tabla1[[#This Row],[G. HGS 
'[MWh']]]+Tabla1[[#This Row],[Con. Aux. '[MWh']2]])</f>
        <v>0</v>
      </c>
      <c r="AC352" s="368">
        <f>'C. ENER. TN'!F352</f>
        <v>0</v>
      </c>
      <c r="AD352" s="370">
        <f>'C. ENER. TN'!G352</f>
        <v>0</v>
      </c>
      <c r="AE352" s="370">
        <f>'G. Un GE'!AX352</f>
        <v>0</v>
      </c>
      <c r="AF352" s="368">
        <f>IFERROR('G. Un GE'!AX352/Tabla1[[#This Row],[PO '[h']]],0)</f>
        <v>0</v>
      </c>
      <c r="AG352" s="365">
        <f>'Ar-Pa'!AX352</f>
        <v>0</v>
      </c>
      <c r="AH352" s="365">
        <f>'Ar-Pa'!AY352</f>
        <v>0</v>
      </c>
      <c r="AI352" s="366">
        <f>SUM('Cal. Arr'!AB355:AY355)</f>
        <v>0</v>
      </c>
      <c r="AJ352" s="442"/>
      <c r="AK352" s="443"/>
      <c r="AL352" s="372">
        <f t="shared" si="113"/>
        <v>0</v>
      </c>
      <c r="AM352" s="372">
        <f>+CONVERT(AK352+Tabla1[[#This Row],[Con. DO Storage Gen. '[m3']]],"m^3","gal")</f>
        <v>0</v>
      </c>
      <c r="AN352" s="372">
        <f>SUM('DO Pilot'!B352:Y352)</f>
        <v>0</v>
      </c>
      <c r="AO352" s="372">
        <f t="shared" si="114"/>
        <v>0</v>
      </c>
      <c r="AP352" s="372">
        <f t="shared" si="115"/>
        <v>0</v>
      </c>
      <c r="AQ352" s="372">
        <f t="shared" si="116"/>
        <v>0</v>
      </c>
      <c r="AR352" s="443"/>
      <c r="AS352" s="443"/>
      <c r="AT352" s="267">
        <f>+CONVERT(SUM(Tabla1[[#This Row],[Repo. DO Storage '[gal']]:[Repo. DO Pilot '[gal']]]),"gal","m3")</f>
        <v>0</v>
      </c>
      <c r="AU352" s="442">
        <v>0</v>
      </c>
      <c r="AV352" s="372">
        <f t="shared" si="117"/>
        <v>0</v>
      </c>
      <c r="AW352" s="442">
        <v>0</v>
      </c>
      <c r="AX352" s="372">
        <f t="shared" si="118"/>
        <v>0</v>
      </c>
      <c r="AY352" s="372">
        <f t="shared" si="105"/>
        <v>0</v>
      </c>
      <c r="AZ352" s="372">
        <f>IFERROR(AL352/'Ar-Pa'!AX352,0)</f>
        <v>0</v>
      </c>
      <c r="BA352" s="372">
        <f>IFERROR(AL352/'Ar-Pa'!AY352,0)</f>
        <v>0</v>
      </c>
      <c r="BB352" s="372">
        <f t="shared" si="106"/>
        <v>0</v>
      </c>
      <c r="BC352" s="372">
        <f>IFERROR(AVERAGEIF('DO Pilot'!AX352:BU352,"&gt;0"),0)</f>
        <v>0</v>
      </c>
      <c r="BD352" s="446"/>
      <c r="BE352" s="446"/>
      <c r="BF352" s="446"/>
      <c r="BG352" s="223">
        <f>Tabla1[[#This Row],[ Re. Gas GC
 '[m3']]]</f>
        <v>0</v>
      </c>
      <c r="BH352" s="150">
        <f>IFERROR((BG352*Gas!$B$4)/28.31685,0)</f>
        <v>0</v>
      </c>
      <c r="BI352" s="73">
        <f t="shared" si="111"/>
        <v>0</v>
      </c>
      <c r="BJ352" s="74">
        <f t="shared" si="109"/>
        <v>0</v>
      </c>
      <c r="BK352" s="223">
        <f t="shared" si="107"/>
        <v>0</v>
      </c>
      <c r="BL352" s="442">
        <v>9085.1200000000008</v>
      </c>
      <c r="BM352" s="70">
        <f t="shared" si="108"/>
        <v>0</v>
      </c>
      <c r="BN352" s="70">
        <f t="shared" si="110"/>
        <v>0</v>
      </c>
      <c r="BO352" s="373">
        <f>IFERROR(Tabla1[[#This Row],[ Re. Gas GC
 '[m3']]]/Tabla1[[#This Row],[G. HGS 
Con Gas '[kWh']]],0)</f>
        <v>0</v>
      </c>
      <c r="BP352" s="374">
        <f>Tank!Y353</f>
        <v>0</v>
      </c>
      <c r="BQ352" s="70">
        <f>Tank!AP353</f>
        <v>0</v>
      </c>
      <c r="BR352" s="70">
        <f>Tank!V353</f>
        <v>0</v>
      </c>
      <c r="BS352" s="372">
        <f>Tank!T353</f>
        <v>0</v>
      </c>
      <c r="BT352" s="375" t="s">
        <v>228</v>
      </c>
      <c r="BU352" s="452"/>
      <c r="BV352" s="376">
        <f>IF(Tabla1[[#This Row],[Combustible ofertado]]="GAS",Tabla1[[#This Row],[Disponibilidad]],0)</f>
        <v>0</v>
      </c>
      <c r="BW352" s="376">
        <f>IF(Tabla1[[#This Row],[Combustible ofertado]]="DIESEL",Tabla1[[#This Row],[Disponibilidad]],0)</f>
        <v>0</v>
      </c>
      <c r="BX352" s="376">
        <f>IF(Tabla1[[#This Row],[Combustible ofertado]]="HFO",Tabla1[[#This Row],[Disponibilidad]],0)</f>
        <v>0</v>
      </c>
      <c r="BY352" s="452"/>
      <c r="BZ352" s="446">
        <f>'Horo. M'!C353</f>
        <v>0</v>
      </c>
      <c r="CA352" s="446">
        <f>'Horo. M'!E353</f>
        <v>0</v>
      </c>
      <c r="CB352" s="446">
        <f>'Horo. M'!G353</f>
        <v>0</v>
      </c>
      <c r="CC352" s="446">
        <f>'Horo. M'!I353</f>
        <v>0</v>
      </c>
      <c r="CD352" s="446">
        <f>'Horo. M'!K353</f>
        <v>0</v>
      </c>
      <c r="CE352" s="446">
        <f>'Horo. M'!M353</f>
        <v>0</v>
      </c>
      <c r="CF352" s="446">
        <f>'Horo. M'!O353</f>
        <v>0</v>
      </c>
      <c r="CG352" s="446">
        <f>'Horo. M'!Q353</f>
        <v>0</v>
      </c>
      <c r="CH352" s="446">
        <f>'Horo. M'!S353</f>
        <v>0</v>
      </c>
      <c r="CI352" s="446">
        <f>'Horo. M'!U353</f>
        <v>0</v>
      </c>
      <c r="CJ352" s="70">
        <f>Tabla1[[#This Row],[Con. DO Storage '[gal']]]-Tabla1[[#This Row],[C. DO Storage Ge '[gal']]]</f>
        <v>0</v>
      </c>
      <c r="CK352" s="70"/>
      <c r="CL352" s="70"/>
      <c r="CM352" s="70">
        <f>Tabla1[[#This Row],[Con. DO Total '[gal']]]*131485.5/(1000000)</f>
        <v>0</v>
      </c>
    </row>
    <row r="353" spans="1:91" ht="15" customHeight="1">
      <c r="A353" s="362">
        <v>45278</v>
      </c>
      <c r="B353" s="363" t="str">
        <f>TEXT(Tabla1[[#This Row],[Fecha]],"mmmm")</f>
        <v>diciembre</v>
      </c>
      <c r="C353" s="364"/>
      <c r="D353" s="366"/>
      <c r="E353" s="366"/>
      <c r="F353" s="366"/>
      <c r="G353" s="377"/>
      <c r="H353" s="377"/>
      <c r="I353" s="378"/>
      <c r="J353" s="378"/>
      <c r="K353" s="366"/>
      <c r="L353" s="366"/>
      <c r="M353" s="365">
        <f>Tabla1[[#This Row],[Columna1]]-Tabla1[[#This Row],[PO '[h']]]</f>
        <v>0</v>
      </c>
      <c r="N353" s="366">
        <f t="shared" si="112"/>
        <v>0</v>
      </c>
      <c r="O353" s="365"/>
      <c r="P353" s="367">
        <f>Tabla1[[#This Row],[G. HGS 
'[MWh']]]</f>
        <v>0</v>
      </c>
      <c r="Q353" s="430">
        <v>0</v>
      </c>
      <c r="R353" s="367">
        <v>0</v>
      </c>
      <c r="S353" s="367">
        <f>Tabla1[[#This Row],[G. HGS 
Con Gas]]*1000</f>
        <v>0</v>
      </c>
      <c r="T353" s="365">
        <f>Tabla1[[#This Row],[G. HGS 
'[MWh']]]*1000</f>
        <v>0</v>
      </c>
      <c r="U353" s="368">
        <f>SUM('G. Un GE'!B353:Y353)</f>
        <v>0</v>
      </c>
      <c r="V353" s="369">
        <f>Tabla1[[#This Row],[R. GE
'[MWh']]]</f>
        <v>0</v>
      </c>
      <c r="W353" s="434">
        <v>0</v>
      </c>
      <c r="X353" s="369">
        <v>0</v>
      </c>
      <c r="Y353" s="365">
        <f>Tabla1[[#This Row],[R. GE
'[MWh']]]*1000</f>
        <v>0</v>
      </c>
      <c r="Z353" s="371"/>
      <c r="AA35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3" s="371">
        <f>IF(Tabla1[[#This Row],[G. HGS 
'[MWh']]]=0,0,Tabla1[[#This Row],[G. HGS 
'[MWh']]]+Tabla1[[#This Row],[Con. Aux. '[MWh']2]])</f>
        <v>0</v>
      </c>
      <c r="AC353" s="368">
        <f>'C. ENER. TN'!F353</f>
        <v>0</v>
      </c>
      <c r="AD353" s="370">
        <f>'C. ENER. TN'!G353</f>
        <v>0</v>
      </c>
      <c r="AE353" s="370">
        <f>'G. Un GE'!AX353</f>
        <v>0</v>
      </c>
      <c r="AF353" s="368">
        <f>IFERROR('G. Un GE'!AX353/Tabla1[[#This Row],[PO '[h']]],0)</f>
        <v>0</v>
      </c>
      <c r="AG353" s="365">
        <f>'Ar-Pa'!AX353</f>
        <v>0</v>
      </c>
      <c r="AH353" s="365">
        <f>'Ar-Pa'!AY353</f>
        <v>0</v>
      </c>
      <c r="AI353" s="366">
        <f>SUM('Cal. Arr'!AB356:AY356)</f>
        <v>0</v>
      </c>
      <c r="AJ353" s="442"/>
      <c r="AK353" s="443"/>
      <c r="AL353" s="372">
        <f t="shared" si="113"/>
        <v>0</v>
      </c>
      <c r="AM353" s="372">
        <f>+CONVERT(AK353+Tabla1[[#This Row],[Con. DO Storage Gen. '[m3']]],"m^3","gal")</f>
        <v>0</v>
      </c>
      <c r="AN353" s="372">
        <f>SUM('DO Pilot'!B353:Y353)</f>
        <v>0</v>
      </c>
      <c r="AO353" s="372">
        <f t="shared" si="114"/>
        <v>0</v>
      </c>
      <c r="AP353" s="372">
        <f t="shared" si="115"/>
        <v>0</v>
      </c>
      <c r="AQ353" s="372">
        <f t="shared" si="116"/>
        <v>0</v>
      </c>
      <c r="AR353" s="443"/>
      <c r="AS353" s="443"/>
      <c r="AT353" s="267">
        <f>+CONVERT(SUM(Tabla1[[#This Row],[Repo. DO Storage '[gal']]:[Repo. DO Pilot '[gal']]]),"gal","m3")</f>
        <v>0</v>
      </c>
      <c r="AU353" s="442">
        <v>0</v>
      </c>
      <c r="AV353" s="372">
        <f t="shared" si="117"/>
        <v>0</v>
      </c>
      <c r="AW353" s="442">
        <v>0</v>
      </c>
      <c r="AX353" s="372">
        <f t="shared" si="118"/>
        <v>0</v>
      </c>
      <c r="AY353" s="372">
        <f t="shared" si="105"/>
        <v>0</v>
      </c>
      <c r="AZ353" s="372">
        <f>IFERROR(AL353/'Ar-Pa'!AX353,0)</f>
        <v>0</v>
      </c>
      <c r="BA353" s="372">
        <f>IFERROR(AL353/'Ar-Pa'!AY353,0)</f>
        <v>0</v>
      </c>
      <c r="BB353" s="372">
        <f t="shared" si="106"/>
        <v>0</v>
      </c>
      <c r="BC353" s="372">
        <f>IFERROR(AVERAGEIF('DO Pilot'!AX353:BU353,"&gt;0"),0)</f>
        <v>0</v>
      </c>
      <c r="BD353" s="446"/>
      <c r="BE353" s="446"/>
      <c r="BF353" s="446"/>
      <c r="BG353" s="223">
        <f>Tabla1[[#This Row],[ Re. Gas GC
 '[m3']]]</f>
        <v>0</v>
      </c>
      <c r="BH353" s="150">
        <f>IFERROR((BG353*Gas!$B$4)/28.31685,0)</f>
        <v>0</v>
      </c>
      <c r="BI353" s="73">
        <f t="shared" si="111"/>
        <v>0</v>
      </c>
      <c r="BJ353" s="74">
        <f t="shared" si="109"/>
        <v>0</v>
      </c>
      <c r="BK353" s="223">
        <f t="shared" si="107"/>
        <v>0</v>
      </c>
      <c r="BL353" s="442">
        <v>9013.4</v>
      </c>
      <c r="BM353" s="70">
        <f t="shared" si="108"/>
        <v>0</v>
      </c>
      <c r="BN353" s="70">
        <f t="shared" si="110"/>
        <v>0</v>
      </c>
      <c r="BO353" s="373">
        <f>IFERROR(Tabla1[[#This Row],[ Re. Gas GC
 '[m3']]]/Tabla1[[#This Row],[G. HGS 
Con Gas '[kWh']]],0)</f>
        <v>0</v>
      </c>
      <c r="BP353" s="374">
        <f>Tank!Y354</f>
        <v>0</v>
      </c>
      <c r="BQ353" s="70">
        <f>Tank!AP354</f>
        <v>0</v>
      </c>
      <c r="BR353" s="70">
        <f>Tank!V354</f>
        <v>0</v>
      </c>
      <c r="BS353" s="372">
        <f>Tank!T354</f>
        <v>0</v>
      </c>
      <c r="BT353" s="375" t="s">
        <v>228</v>
      </c>
      <c r="BU353" s="452"/>
      <c r="BV353" s="376">
        <f>IF(Tabla1[[#This Row],[Combustible ofertado]]="GAS",Tabla1[[#This Row],[Disponibilidad]],0)</f>
        <v>0</v>
      </c>
      <c r="BW353" s="376">
        <f>IF(Tabla1[[#This Row],[Combustible ofertado]]="DIESEL",Tabla1[[#This Row],[Disponibilidad]],0)</f>
        <v>0</v>
      </c>
      <c r="BX353" s="376">
        <f>IF(Tabla1[[#This Row],[Combustible ofertado]]="HFO",Tabla1[[#This Row],[Disponibilidad]],0)</f>
        <v>0</v>
      </c>
      <c r="BY353" s="452"/>
      <c r="BZ353" s="446">
        <f>'Horo. M'!C354</f>
        <v>0</v>
      </c>
      <c r="CA353" s="446">
        <f>'Horo. M'!E354</f>
        <v>0</v>
      </c>
      <c r="CB353" s="446">
        <f>'Horo. M'!G354</f>
        <v>0</v>
      </c>
      <c r="CC353" s="446">
        <f>'Horo. M'!I354</f>
        <v>0</v>
      </c>
      <c r="CD353" s="446">
        <f>'Horo. M'!K354</f>
        <v>0</v>
      </c>
      <c r="CE353" s="446">
        <f>'Horo. M'!M354</f>
        <v>0</v>
      </c>
      <c r="CF353" s="446">
        <f>'Horo. M'!O354</f>
        <v>0</v>
      </c>
      <c r="CG353" s="446">
        <f>'Horo. M'!Q354</f>
        <v>0</v>
      </c>
      <c r="CH353" s="446">
        <f>'Horo. M'!S354</f>
        <v>0</v>
      </c>
      <c r="CI353" s="446">
        <f>'Horo. M'!U354</f>
        <v>0</v>
      </c>
      <c r="CJ353" s="70">
        <f>Tabla1[[#This Row],[Con. DO Storage '[gal']]]-Tabla1[[#This Row],[C. DO Storage Ge '[gal']]]</f>
        <v>0</v>
      </c>
      <c r="CK353" s="70"/>
      <c r="CL353" s="70"/>
      <c r="CM353" s="70">
        <f>Tabla1[[#This Row],[Con. DO Total '[gal']]]*131485.5/(1000000)</f>
        <v>0</v>
      </c>
    </row>
    <row r="354" spans="1:91" ht="15" customHeight="1">
      <c r="A354" s="362">
        <v>45279</v>
      </c>
      <c r="B354" s="363" t="str">
        <f>TEXT(Tabla1[[#This Row],[Fecha]],"mmmm")</f>
        <v>diciembre</v>
      </c>
      <c r="C354" s="364"/>
      <c r="D354" s="366"/>
      <c r="E354" s="366"/>
      <c r="F354" s="366"/>
      <c r="G354" s="377"/>
      <c r="H354" s="377"/>
      <c r="I354" s="378"/>
      <c r="J354" s="378"/>
      <c r="K354" s="366"/>
      <c r="L354" s="366"/>
      <c r="M354" s="365">
        <f>Tabla1[[#This Row],[Columna1]]-Tabla1[[#This Row],[PO '[h']]]</f>
        <v>0</v>
      </c>
      <c r="N354" s="366">
        <f t="shared" si="112"/>
        <v>0</v>
      </c>
      <c r="O354" s="365"/>
      <c r="P354" s="367">
        <f>Tabla1[[#This Row],[G. HGS 
'[MWh']]]</f>
        <v>0</v>
      </c>
      <c r="Q354" s="430">
        <v>0</v>
      </c>
      <c r="R354" s="367">
        <v>0</v>
      </c>
      <c r="S354" s="367">
        <f>Tabla1[[#This Row],[G. HGS 
Con Gas]]*1000</f>
        <v>0</v>
      </c>
      <c r="T354" s="365">
        <f>Tabla1[[#This Row],[G. HGS 
'[MWh']]]*1000</f>
        <v>0</v>
      </c>
      <c r="U354" s="368">
        <f>SUM('G. Un GE'!B354:Y354)</f>
        <v>0</v>
      </c>
      <c r="V354" s="369">
        <f>Tabla1[[#This Row],[R. GE
'[MWh']]]</f>
        <v>0</v>
      </c>
      <c r="W354" s="434">
        <v>0</v>
      </c>
      <c r="X354" s="369">
        <v>0</v>
      </c>
      <c r="Y354" s="365">
        <f>Tabla1[[#This Row],[R. GE
'[MWh']]]*1000</f>
        <v>0</v>
      </c>
      <c r="Z354" s="371"/>
      <c r="AA35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4" s="371">
        <f>IF(Tabla1[[#This Row],[G. HGS 
'[MWh']]]=0,0,Tabla1[[#This Row],[G. HGS 
'[MWh']]]+Tabla1[[#This Row],[Con. Aux. '[MWh']2]])</f>
        <v>0</v>
      </c>
      <c r="AC354" s="368">
        <f>'C. ENER. TN'!F354</f>
        <v>0</v>
      </c>
      <c r="AD354" s="370">
        <f>'C. ENER. TN'!G354</f>
        <v>0</v>
      </c>
      <c r="AE354" s="370">
        <f>'G. Un GE'!AX354</f>
        <v>0</v>
      </c>
      <c r="AF354" s="368">
        <f>IFERROR('G. Un GE'!AX354/Tabla1[[#This Row],[PO '[h']]],0)</f>
        <v>0</v>
      </c>
      <c r="AG354" s="365">
        <f>'Ar-Pa'!AX354</f>
        <v>0</v>
      </c>
      <c r="AH354" s="365">
        <f>'Ar-Pa'!AY354</f>
        <v>0</v>
      </c>
      <c r="AI354" s="366">
        <f>SUM('Cal. Arr'!AB357:AY357)</f>
        <v>0</v>
      </c>
      <c r="AJ354" s="442"/>
      <c r="AK354" s="443"/>
      <c r="AL354" s="372">
        <f t="shared" si="113"/>
        <v>0</v>
      </c>
      <c r="AM354" s="372">
        <f>+CONVERT(AK354+Tabla1[[#This Row],[Con. DO Storage Gen. '[m3']]],"m^3","gal")</f>
        <v>0</v>
      </c>
      <c r="AN354" s="372">
        <f>SUM('DO Pilot'!B354:Y354)</f>
        <v>0</v>
      </c>
      <c r="AO354" s="372">
        <f t="shared" si="114"/>
        <v>0</v>
      </c>
      <c r="AP354" s="372">
        <f t="shared" si="115"/>
        <v>0</v>
      </c>
      <c r="AQ354" s="372">
        <f t="shared" si="116"/>
        <v>0</v>
      </c>
      <c r="AR354" s="443"/>
      <c r="AS354" s="443"/>
      <c r="AT354" s="267">
        <f>+CONVERT(SUM(Tabla1[[#This Row],[Repo. DO Storage '[gal']]:[Repo. DO Pilot '[gal']]]),"gal","m3")</f>
        <v>0</v>
      </c>
      <c r="AU354" s="442">
        <v>0</v>
      </c>
      <c r="AV354" s="372">
        <f t="shared" si="117"/>
        <v>0</v>
      </c>
      <c r="AW354" s="442">
        <v>0</v>
      </c>
      <c r="AX354" s="372">
        <f t="shared" si="118"/>
        <v>0</v>
      </c>
      <c r="AY354" s="372">
        <f t="shared" si="105"/>
        <v>0</v>
      </c>
      <c r="AZ354" s="372">
        <f>IFERROR(AL354/'Ar-Pa'!AX354,0)</f>
        <v>0</v>
      </c>
      <c r="BA354" s="372">
        <f>IFERROR(AL354/'Ar-Pa'!AY354,0)</f>
        <v>0</v>
      </c>
      <c r="BB354" s="372">
        <f t="shared" si="106"/>
        <v>0</v>
      </c>
      <c r="BC354" s="372">
        <f>IFERROR(AVERAGEIF('DO Pilot'!AX354:BU354,"&gt;0"),0)</f>
        <v>0</v>
      </c>
      <c r="BD354" s="446"/>
      <c r="BE354" s="446"/>
      <c r="BF354" s="446"/>
      <c r="BG354" s="223">
        <f>Tabla1[[#This Row],[ Re. Gas GC
 '[m3']]]</f>
        <v>0</v>
      </c>
      <c r="BH354" s="150">
        <f>IFERROR((BG354*Gas!$B$4)/28.31685,0)</f>
        <v>0</v>
      </c>
      <c r="BI354" s="73">
        <f t="shared" si="111"/>
        <v>0</v>
      </c>
      <c r="BJ354" s="74">
        <f t="shared" si="109"/>
        <v>0</v>
      </c>
      <c r="BK354" s="223">
        <f t="shared" si="107"/>
        <v>0</v>
      </c>
      <c r="BL354" s="442">
        <v>9114.5</v>
      </c>
      <c r="BM354" s="70">
        <f t="shared" si="108"/>
        <v>0</v>
      </c>
      <c r="BN354" s="70">
        <f t="shared" si="110"/>
        <v>0</v>
      </c>
      <c r="BO354" s="373">
        <f>IFERROR(Tabla1[[#This Row],[ Re. Gas GC
 '[m3']]]/Tabla1[[#This Row],[G. HGS 
Con Gas '[kWh']]],0)</f>
        <v>0</v>
      </c>
      <c r="BP354" s="374">
        <f>Tank!Y355</f>
        <v>0</v>
      </c>
      <c r="BQ354" s="70">
        <f>Tank!AP355</f>
        <v>0</v>
      </c>
      <c r="BR354" s="70">
        <f>Tank!V355</f>
        <v>0</v>
      </c>
      <c r="BS354" s="372">
        <f>Tank!T355</f>
        <v>0</v>
      </c>
      <c r="BT354" s="375" t="s">
        <v>228</v>
      </c>
      <c r="BU354" s="452"/>
      <c r="BV354" s="376">
        <f>IF(Tabla1[[#This Row],[Combustible ofertado]]="GAS",Tabla1[[#This Row],[Disponibilidad]],0)</f>
        <v>0</v>
      </c>
      <c r="BW354" s="376">
        <f>IF(Tabla1[[#This Row],[Combustible ofertado]]="DIESEL",Tabla1[[#This Row],[Disponibilidad]],0)</f>
        <v>0</v>
      </c>
      <c r="BX354" s="376">
        <f>IF(Tabla1[[#This Row],[Combustible ofertado]]="HFO",Tabla1[[#This Row],[Disponibilidad]],0)</f>
        <v>0</v>
      </c>
      <c r="BY354" s="452"/>
      <c r="BZ354" s="446">
        <f>'Horo. M'!C355</f>
        <v>0</v>
      </c>
      <c r="CA354" s="446">
        <f>'Horo. M'!E355</f>
        <v>0</v>
      </c>
      <c r="CB354" s="446">
        <f>'Horo. M'!G355</f>
        <v>0</v>
      </c>
      <c r="CC354" s="446">
        <f>'Horo. M'!I355</f>
        <v>0</v>
      </c>
      <c r="CD354" s="446">
        <f>'Horo. M'!K355</f>
        <v>0</v>
      </c>
      <c r="CE354" s="446">
        <f>'Horo. M'!M355</f>
        <v>0</v>
      </c>
      <c r="CF354" s="446">
        <f>'Horo. M'!O355</f>
        <v>0</v>
      </c>
      <c r="CG354" s="446">
        <f>'Horo. M'!Q355</f>
        <v>0</v>
      </c>
      <c r="CH354" s="446">
        <f>'Horo. M'!S355</f>
        <v>0</v>
      </c>
      <c r="CI354" s="446">
        <f>'Horo. M'!U355</f>
        <v>0</v>
      </c>
      <c r="CJ354" s="70">
        <f>Tabla1[[#This Row],[Con. DO Storage '[gal']]]-Tabla1[[#This Row],[C. DO Storage Ge '[gal']]]</f>
        <v>0</v>
      </c>
      <c r="CK354" s="70"/>
      <c r="CL354" s="70"/>
      <c r="CM354" s="70">
        <f>Tabla1[[#This Row],[Con. DO Total '[gal']]]*131485.5/(1000000)</f>
        <v>0</v>
      </c>
    </row>
    <row r="355" spans="1:91" ht="15" customHeight="1">
      <c r="A355" s="362">
        <v>45280</v>
      </c>
      <c r="B355" s="363" t="str">
        <f>TEXT(Tabla1[[#This Row],[Fecha]],"mmmm")</f>
        <v>diciembre</v>
      </c>
      <c r="C355" s="364"/>
      <c r="D355" s="366"/>
      <c r="E355" s="366"/>
      <c r="F355" s="366"/>
      <c r="G355" s="377"/>
      <c r="H355" s="377"/>
      <c r="I355" s="378"/>
      <c r="J355" s="378"/>
      <c r="K355" s="366"/>
      <c r="L355" s="366"/>
      <c r="M355" s="365">
        <f>Tabla1[[#This Row],[Columna1]]-Tabla1[[#This Row],[PO '[h']]]</f>
        <v>0</v>
      </c>
      <c r="N355" s="366">
        <f t="shared" si="112"/>
        <v>0</v>
      </c>
      <c r="O355" s="365"/>
      <c r="P355" s="367">
        <f>Tabla1[[#This Row],[G. HGS 
'[MWh']]]</f>
        <v>0</v>
      </c>
      <c r="Q355" s="430">
        <v>0</v>
      </c>
      <c r="R355" s="367">
        <v>0</v>
      </c>
      <c r="S355" s="367">
        <f>Tabla1[[#This Row],[G. HGS 
Con Gas]]*1000</f>
        <v>0</v>
      </c>
      <c r="T355" s="365">
        <f>Tabla1[[#This Row],[G. HGS 
'[MWh']]]*1000</f>
        <v>0</v>
      </c>
      <c r="U355" s="368">
        <f>SUM('G. Un GE'!B355:Y355)</f>
        <v>0</v>
      </c>
      <c r="V355" s="369">
        <f>Tabla1[[#This Row],[R. GE
'[MWh']]]</f>
        <v>0</v>
      </c>
      <c r="W355" s="434">
        <v>0</v>
      </c>
      <c r="X355" s="369">
        <v>0</v>
      </c>
      <c r="Y355" s="365">
        <f>Tabla1[[#This Row],[R. GE
'[MWh']]]*1000</f>
        <v>0</v>
      </c>
      <c r="Z355" s="371"/>
      <c r="AA35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5" s="371">
        <f>IF(Tabla1[[#This Row],[G. HGS 
'[MWh']]]=0,0,Tabla1[[#This Row],[G. HGS 
'[MWh']]]+Tabla1[[#This Row],[Con. Aux. '[MWh']2]])</f>
        <v>0</v>
      </c>
      <c r="AC355" s="368">
        <f>'C. ENER. TN'!F355</f>
        <v>0</v>
      </c>
      <c r="AD355" s="370">
        <f>'C. ENER. TN'!G355</f>
        <v>0</v>
      </c>
      <c r="AE355" s="370">
        <f>'G. Un GE'!AX355</f>
        <v>0</v>
      </c>
      <c r="AF355" s="368">
        <f>IFERROR('G. Un GE'!AX355/Tabla1[[#This Row],[PO '[h']]],0)</f>
        <v>0</v>
      </c>
      <c r="AG355" s="365">
        <f>'Ar-Pa'!AX355</f>
        <v>0</v>
      </c>
      <c r="AH355" s="365">
        <f>'Ar-Pa'!AY355</f>
        <v>0</v>
      </c>
      <c r="AI355" s="366">
        <f>SUM('Cal. Arr'!AB358:AY358)</f>
        <v>0</v>
      </c>
      <c r="AJ355" s="442"/>
      <c r="AK355" s="443"/>
      <c r="AL355" s="372">
        <f t="shared" si="113"/>
        <v>0</v>
      </c>
      <c r="AM355" s="372">
        <f>+CONVERT(AK355+Tabla1[[#This Row],[Con. DO Storage Gen. '[m3']]],"m^3","gal")</f>
        <v>0</v>
      </c>
      <c r="AN355" s="372">
        <f>SUM('DO Pilot'!B355:Y355)</f>
        <v>0</v>
      </c>
      <c r="AO355" s="372">
        <f t="shared" si="114"/>
        <v>0</v>
      </c>
      <c r="AP355" s="372">
        <f t="shared" si="115"/>
        <v>0</v>
      </c>
      <c r="AQ355" s="372">
        <f t="shared" si="116"/>
        <v>0</v>
      </c>
      <c r="AR355" s="443"/>
      <c r="AS355" s="443"/>
      <c r="AT355" s="267">
        <f>+CONVERT(SUM(Tabla1[[#This Row],[Repo. DO Storage '[gal']]:[Repo. DO Pilot '[gal']]]),"gal","m3")</f>
        <v>0</v>
      </c>
      <c r="AU355" s="442">
        <v>0</v>
      </c>
      <c r="AV355" s="372">
        <f t="shared" si="117"/>
        <v>0</v>
      </c>
      <c r="AW355" s="442">
        <v>0</v>
      </c>
      <c r="AX355" s="372">
        <f t="shared" si="118"/>
        <v>0</v>
      </c>
      <c r="AY355" s="372">
        <f t="shared" si="105"/>
        <v>0</v>
      </c>
      <c r="AZ355" s="372">
        <f>IFERROR(AL355/'Ar-Pa'!AX355,0)</f>
        <v>0</v>
      </c>
      <c r="BA355" s="372">
        <f>IFERROR(AL355/'Ar-Pa'!AY355,0)</f>
        <v>0</v>
      </c>
      <c r="BB355" s="372">
        <f t="shared" si="106"/>
        <v>0</v>
      </c>
      <c r="BC355" s="372">
        <f>IFERROR(AVERAGEIF('DO Pilot'!AX355:BU355,"&gt;0"),0)</f>
        <v>0</v>
      </c>
      <c r="BD355" s="446"/>
      <c r="BE355" s="446"/>
      <c r="BF355" s="446"/>
      <c r="BG355" s="223">
        <f>Tabla1[[#This Row],[ Re. Gas GC
 '[m3']]]</f>
        <v>0</v>
      </c>
      <c r="BH355" s="150">
        <f>IFERROR((BG355*Gas!$B$4)/28.31685,0)</f>
        <v>0</v>
      </c>
      <c r="BI355" s="73">
        <f t="shared" si="111"/>
        <v>0</v>
      </c>
      <c r="BJ355" s="74">
        <f t="shared" si="109"/>
        <v>0</v>
      </c>
      <c r="BK355" s="223">
        <f t="shared" si="107"/>
        <v>0</v>
      </c>
      <c r="BL355" s="442">
        <v>9100.84</v>
      </c>
      <c r="BM355" s="70">
        <f t="shared" si="108"/>
        <v>0</v>
      </c>
      <c r="BN355" s="70">
        <f t="shared" si="110"/>
        <v>0</v>
      </c>
      <c r="BO355" s="373">
        <f>IFERROR(Tabla1[[#This Row],[ Re. Gas GC
 '[m3']]]/Tabla1[[#This Row],[G. HGS 
Con Gas '[kWh']]],0)</f>
        <v>0</v>
      </c>
      <c r="BP355" s="374">
        <f>Tank!Y356</f>
        <v>0</v>
      </c>
      <c r="BQ355" s="70">
        <f>Tank!AP356</f>
        <v>0</v>
      </c>
      <c r="BR355" s="70">
        <f>Tank!V356</f>
        <v>0</v>
      </c>
      <c r="BS355" s="372">
        <f>Tank!T356</f>
        <v>0</v>
      </c>
      <c r="BT355" s="375" t="s">
        <v>228</v>
      </c>
      <c r="BU355" s="452"/>
      <c r="BV355" s="376">
        <f>IF(Tabla1[[#This Row],[Combustible ofertado]]="GAS",Tabla1[[#This Row],[Disponibilidad]],0)</f>
        <v>0</v>
      </c>
      <c r="BW355" s="376">
        <f>IF(Tabla1[[#This Row],[Combustible ofertado]]="DIESEL",Tabla1[[#This Row],[Disponibilidad]],0)</f>
        <v>0</v>
      </c>
      <c r="BX355" s="376">
        <f>IF(Tabla1[[#This Row],[Combustible ofertado]]="HFO",Tabla1[[#This Row],[Disponibilidad]],0)</f>
        <v>0</v>
      </c>
      <c r="BY355" s="452"/>
      <c r="BZ355" s="446">
        <f>'Horo. M'!C356</f>
        <v>0</v>
      </c>
      <c r="CA355" s="446">
        <f>'Horo. M'!E356</f>
        <v>0</v>
      </c>
      <c r="CB355" s="446">
        <f>'Horo. M'!G356</f>
        <v>0</v>
      </c>
      <c r="CC355" s="446">
        <f>'Horo. M'!I356</f>
        <v>0</v>
      </c>
      <c r="CD355" s="446">
        <f>'Horo. M'!K356</f>
        <v>0</v>
      </c>
      <c r="CE355" s="446">
        <f>'Horo. M'!M356</f>
        <v>0</v>
      </c>
      <c r="CF355" s="446">
        <f>'Horo. M'!O356</f>
        <v>0</v>
      </c>
      <c r="CG355" s="446">
        <f>'Horo. M'!Q356</f>
        <v>0</v>
      </c>
      <c r="CH355" s="446">
        <f>'Horo. M'!S356</f>
        <v>0</v>
      </c>
      <c r="CI355" s="446">
        <f>'Horo. M'!U356</f>
        <v>0</v>
      </c>
      <c r="CJ355" s="70">
        <f>Tabla1[[#This Row],[Con. DO Storage '[gal']]]-Tabla1[[#This Row],[C. DO Storage Ge '[gal']]]</f>
        <v>0</v>
      </c>
      <c r="CK355" s="70"/>
      <c r="CL355" s="70"/>
      <c r="CM355" s="70">
        <f>Tabla1[[#This Row],[Con. DO Total '[gal']]]*131485.5/(1000000)</f>
        <v>0</v>
      </c>
    </row>
    <row r="356" spans="1:91" ht="15" customHeight="1">
      <c r="A356" s="362">
        <v>45281</v>
      </c>
      <c r="B356" s="363" t="str">
        <f>TEXT(Tabla1[[#This Row],[Fecha]],"mmmm")</f>
        <v>diciembre</v>
      </c>
      <c r="C356" s="364"/>
      <c r="D356" s="366"/>
      <c r="E356" s="366"/>
      <c r="F356" s="366"/>
      <c r="G356" s="377"/>
      <c r="H356" s="377"/>
      <c r="I356" s="378"/>
      <c r="J356" s="378"/>
      <c r="K356" s="366"/>
      <c r="L356" s="366"/>
      <c r="M356" s="365">
        <f>Tabla1[[#This Row],[Columna1]]-Tabla1[[#This Row],[PO '[h']]]</f>
        <v>0</v>
      </c>
      <c r="N356" s="366">
        <f t="shared" si="112"/>
        <v>0</v>
      </c>
      <c r="O356" s="365"/>
      <c r="P356" s="367">
        <f>Tabla1[[#This Row],[G. HGS 
'[MWh']]]</f>
        <v>0</v>
      </c>
      <c r="Q356" s="430">
        <v>0</v>
      </c>
      <c r="R356" s="367">
        <v>0</v>
      </c>
      <c r="S356" s="367">
        <f>Tabla1[[#This Row],[G. HGS 
Con Gas]]*1000</f>
        <v>0</v>
      </c>
      <c r="T356" s="365">
        <f>Tabla1[[#This Row],[G. HGS 
'[MWh']]]*1000</f>
        <v>0</v>
      </c>
      <c r="U356" s="368">
        <f>SUM('G. Un GE'!B356:Y356)</f>
        <v>0</v>
      </c>
      <c r="V356" s="369">
        <f>Tabla1[[#This Row],[R. GE
'[MWh']]]</f>
        <v>0</v>
      </c>
      <c r="W356" s="434">
        <v>0</v>
      </c>
      <c r="X356" s="369">
        <v>0</v>
      </c>
      <c r="Y356" s="365">
        <f>Tabla1[[#This Row],[R. GE
'[MWh']]]*1000</f>
        <v>0</v>
      </c>
      <c r="Z356" s="371"/>
      <c r="AA35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6" s="371">
        <f>IF(Tabla1[[#This Row],[G. HGS 
'[MWh']]]=0,0,Tabla1[[#This Row],[G. HGS 
'[MWh']]]+Tabla1[[#This Row],[Con. Aux. '[MWh']2]])</f>
        <v>0</v>
      </c>
      <c r="AC356" s="368">
        <f>'C. ENER. TN'!F356</f>
        <v>0</v>
      </c>
      <c r="AD356" s="370">
        <f>'C. ENER. TN'!G356</f>
        <v>0</v>
      </c>
      <c r="AE356" s="370">
        <f>'G. Un GE'!AX356</f>
        <v>0</v>
      </c>
      <c r="AF356" s="368">
        <f>IFERROR('G. Un GE'!AX356/Tabla1[[#This Row],[PO '[h']]],0)</f>
        <v>0</v>
      </c>
      <c r="AG356" s="365">
        <f>'Ar-Pa'!AX356</f>
        <v>0</v>
      </c>
      <c r="AH356" s="365">
        <f>'Ar-Pa'!AY356</f>
        <v>0</v>
      </c>
      <c r="AI356" s="366">
        <f>SUM('Cal. Arr'!AB359:AY359)</f>
        <v>0</v>
      </c>
      <c r="AJ356" s="442"/>
      <c r="AK356" s="443"/>
      <c r="AL356" s="372">
        <f t="shared" si="113"/>
        <v>0</v>
      </c>
      <c r="AM356" s="372">
        <f>+CONVERT(AK356+Tabla1[[#This Row],[Con. DO Storage Gen. '[m3']]],"m^3","gal")</f>
        <v>0</v>
      </c>
      <c r="AN356" s="372">
        <f>SUM('DO Pilot'!B356:Y356)</f>
        <v>0</v>
      </c>
      <c r="AO356" s="372">
        <f t="shared" si="114"/>
        <v>0</v>
      </c>
      <c r="AP356" s="372">
        <f t="shared" si="115"/>
        <v>0</v>
      </c>
      <c r="AQ356" s="372">
        <f t="shared" si="116"/>
        <v>0</v>
      </c>
      <c r="AR356" s="443"/>
      <c r="AS356" s="443"/>
      <c r="AT356" s="267">
        <f>+CONVERT(SUM(Tabla1[[#This Row],[Repo. DO Storage '[gal']]:[Repo. DO Pilot '[gal']]]),"gal","m3")</f>
        <v>0</v>
      </c>
      <c r="AU356" s="442">
        <v>0</v>
      </c>
      <c r="AV356" s="372">
        <f t="shared" si="117"/>
        <v>0</v>
      </c>
      <c r="AW356" s="442">
        <v>0</v>
      </c>
      <c r="AX356" s="372">
        <f t="shared" si="118"/>
        <v>0</v>
      </c>
      <c r="AY356" s="372">
        <f t="shared" si="105"/>
        <v>0</v>
      </c>
      <c r="AZ356" s="372">
        <f>IFERROR(AL356/'Ar-Pa'!AX356,0)</f>
        <v>0</v>
      </c>
      <c r="BA356" s="372">
        <f>IFERROR(AL356/'Ar-Pa'!AY356,0)</f>
        <v>0</v>
      </c>
      <c r="BB356" s="372">
        <f t="shared" si="106"/>
        <v>0</v>
      </c>
      <c r="BC356" s="372">
        <f>IFERROR(AVERAGEIF('DO Pilot'!AX356:BU356,"&gt;0"),0)</f>
        <v>0</v>
      </c>
      <c r="BD356" s="446"/>
      <c r="BE356" s="446"/>
      <c r="BF356" s="446"/>
      <c r="BG356" s="223">
        <f>Tabla1[[#This Row],[ Re. Gas GC
 '[m3']]]</f>
        <v>0</v>
      </c>
      <c r="BH356" s="150">
        <f>IFERROR((BG356*Gas!$B$4)/28.31685,0)</f>
        <v>0</v>
      </c>
      <c r="BI356" s="73">
        <f t="shared" si="111"/>
        <v>0</v>
      </c>
      <c r="BJ356" s="74">
        <f t="shared" si="109"/>
        <v>0</v>
      </c>
      <c r="BK356" s="223">
        <f t="shared" si="107"/>
        <v>0</v>
      </c>
      <c r="BL356" s="442">
        <v>9162.4</v>
      </c>
      <c r="BM356" s="70">
        <f t="shared" si="108"/>
        <v>0</v>
      </c>
      <c r="BN356" s="70">
        <f t="shared" si="110"/>
        <v>0</v>
      </c>
      <c r="BO356" s="373">
        <f>IFERROR(Tabla1[[#This Row],[ Re. Gas GC
 '[m3']]]/Tabla1[[#This Row],[G. HGS 
Con Gas '[kWh']]],0)</f>
        <v>0</v>
      </c>
      <c r="BP356" s="374">
        <f>Tank!Y357</f>
        <v>0</v>
      </c>
      <c r="BQ356" s="70">
        <f>Tank!AP357</f>
        <v>0</v>
      </c>
      <c r="BR356" s="70">
        <f>Tank!V357</f>
        <v>0</v>
      </c>
      <c r="BS356" s="372">
        <f>Tank!T357</f>
        <v>0</v>
      </c>
      <c r="BT356" s="375" t="s">
        <v>228</v>
      </c>
      <c r="BU356" s="452"/>
      <c r="BV356" s="376">
        <f>IF(Tabla1[[#This Row],[Combustible ofertado]]="GAS",Tabla1[[#This Row],[Disponibilidad]],0)</f>
        <v>0</v>
      </c>
      <c r="BW356" s="376">
        <f>IF(Tabla1[[#This Row],[Combustible ofertado]]="DIESEL",Tabla1[[#This Row],[Disponibilidad]],0)</f>
        <v>0</v>
      </c>
      <c r="BX356" s="376">
        <f>IF(Tabla1[[#This Row],[Combustible ofertado]]="HFO",Tabla1[[#This Row],[Disponibilidad]],0)</f>
        <v>0</v>
      </c>
      <c r="BY356" s="452"/>
      <c r="BZ356" s="446">
        <f>'Horo. M'!C357</f>
        <v>0</v>
      </c>
      <c r="CA356" s="446">
        <f>'Horo. M'!E357</f>
        <v>0</v>
      </c>
      <c r="CB356" s="446">
        <f>'Horo. M'!G357</f>
        <v>0</v>
      </c>
      <c r="CC356" s="446">
        <f>'Horo. M'!I357</f>
        <v>0</v>
      </c>
      <c r="CD356" s="446">
        <f>'Horo. M'!K357</f>
        <v>0</v>
      </c>
      <c r="CE356" s="446">
        <f>'Horo. M'!M357</f>
        <v>0</v>
      </c>
      <c r="CF356" s="446">
        <f>'Horo. M'!O357</f>
        <v>0</v>
      </c>
      <c r="CG356" s="446">
        <f>'Horo. M'!Q357</f>
        <v>0</v>
      </c>
      <c r="CH356" s="446">
        <f>'Horo. M'!S357</f>
        <v>0</v>
      </c>
      <c r="CI356" s="446">
        <f>'Horo. M'!U357</f>
        <v>0</v>
      </c>
      <c r="CJ356" s="70">
        <f>Tabla1[[#This Row],[Con. DO Storage '[gal']]]-Tabla1[[#This Row],[C. DO Storage Ge '[gal']]]</f>
        <v>0</v>
      </c>
      <c r="CK356" s="70"/>
      <c r="CL356" s="70"/>
      <c r="CM356" s="70">
        <f>Tabla1[[#This Row],[Con. DO Total '[gal']]]*131485.5/(1000000)</f>
        <v>0</v>
      </c>
    </row>
    <row r="357" spans="1:91" ht="15" customHeight="1">
      <c r="A357" s="362">
        <v>45282</v>
      </c>
      <c r="B357" s="363" t="str">
        <f>TEXT(Tabla1[[#This Row],[Fecha]],"mmmm")</f>
        <v>diciembre</v>
      </c>
      <c r="C357" s="364"/>
      <c r="D357" s="366"/>
      <c r="E357" s="366"/>
      <c r="F357" s="366"/>
      <c r="G357" s="377"/>
      <c r="H357" s="377"/>
      <c r="I357" s="378"/>
      <c r="J357" s="378"/>
      <c r="K357" s="366"/>
      <c r="L357" s="366"/>
      <c r="M357" s="365">
        <f>Tabla1[[#This Row],[Columna1]]-Tabla1[[#This Row],[PO '[h']]]</f>
        <v>0</v>
      </c>
      <c r="N357" s="366">
        <f t="shared" si="112"/>
        <v>0</v>
      </c>
      <c r="O357" s="365"/>
      <c r="P357" s="367">
        <f>Tabla1[[#This Row],[G. HGS 
'[MWh']]]</f>
        <v>0</v>
      </c>
      <c r="Q357" s="430">
        <v>0</v>
      </c>
      <c r="R357" s="367">
        <v>0</v>
      </c>
      <c r="S357" s="367">
        <f>Tabla1[[#This Row],[G. HGS 
Con Gas]]*1000</f>
        <v>0</v>
      </c>
      <c r="T357" s="365">
        <f>Tabla1[[#This Row],[G. HGS 
'[MWh']]]*1000</f>
        <v>0</v>
      </c>
      <c r="U357" s="368">
        <f>SUM('G. Un GE'!B357:Y357)</f>
        <v>0</v>
      </c>
      <c r="V357" s="369">
        <f>Tabla1[[#This Row],[R. GE
'[MWh']]]</f>
        <v>0</v>
      </c>
      <c r="W357" s="434">
        <v>0</v>
      </c>
      <c r="X357" s="369">
        <v>0</v>
      </c>
      <c r="Y357" s="365">
        <f>Tabla1[[#This Row],[R. GE
'[MWh']]]*1000</f>
        <v>0</v>
      </c>
      <c r="Z357" s="371"/>
      <c r="AA357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7" s="371">
        <f>IF(Tabla1[[#This Row],[G. HGS 
'[MWh']]]=0,0,Tabla1[[#This Row],[G. HGS 
'[MWh']]]+Tabla1[[#This Row],[Con. Aux. '[MWh']2]])</f>
        <v>0</v>
      </c>
      <c r="AC357" s="368">
        <f>'C. ENER. TN'!F357</f>
        <v>0</v>
      </c>
      <c r="AD357" s="370">
        <f>'C. ENER. TN'!G357</f>
        <v>0</v>
      </c>
      <c r="AE357" s="370">
        <f>'G. Un GE'!AX357</f>
        <v>0</v>
      </c>
      <c r="AF357" s="368">
        <f>IFERROR('G. Un GE'!AX357/Tabla1[[#This Row],[PO '[h']]],0)</f>
        <v>0</v>
      </c>
      <c r="AG357" s="365">
        <f>'Ar-Pa'!AX357</f>
        <v>0</v>
      </c>
      <c r="AH357" s="365">
        <f>'Ar-Pa'!AY357</f>
        <v>0</v>
      </c>
      <c r="AI357" s="366">
        <f>SUM('Cal. Arr'!AB360:AY360)</f>
        <v>0</v>
      </c>
      <c r="AJ357" s="442"/>
      <c r="AK357" s="443"/>
      <c r="AL357" s="372">
        <f t="shared" si="113"/>
        <v>0</v>
      </c>
      <c r="AM357" s="372">
        <f>+CONVERT(AK357+Tabla1[[#This Row],[Con. DO Storage Gen. '[m3']]],"m^3","gal")</f>
        <v>0</v>
      </c>
      <c r="AN357" s="372">
        <f>SUM('DO Pilot'!B357:Y357)</f>
        <v>0</v>
      </c>
      <c r="AO357" s="372">
        <f t="shared" si="114"/>
        <v>0</v>
      </c>
      <c r="AP357" s="372">
        <f t="shared" si="115"/>
        <v>0</v>
      </c>
      <c r="AQ357" s="372">
        <f t="shared" si="116"/>
        <v>0</v>
      </c>
      <c r="AR357" s="443"/>
      <c r="AS357" s="443"/>
      <c r="AT357" s="267">
        <f>+CONVERT(SUM(Tabla1[[#This Row],[Repo. DO Storage '[gal']]:[Repo. DO Pilot '[gal']]]),"gal","m3")</f>
        <v>0</v>
      </c>
      <c r="AU357" s="442">
        <v>0</v>
      </c>
      <c r="AV357" s="372">
        <f t="shared" si="117"/>
        <v>0</v>
      </c>
      <c r="AW357" s="442">
        <v>0</v>
      </c>
      <c r="AX357" s="372">
        <f t="shared" si="118"/>
        <v>0</v>
      </c>
      <c r="AY357" s="372">
        <f t="shared" si="105"/>
        <v>0</v>
      </c>
      <c r="AZ357" s="372">
        <f>IFERROR(AL357/'Ar-Pa'!AX357,0)</f>
        <v>0</v>
      </c>
      <c r="BA357" s="372">
        <f>IFERROR(AL357/'Ar-Pa'!AY357,0)</f>
        <v>0</v>
      </c>
      <c r="BB357" s="372">
        <f t="shared" si="106"/>
        <v>0</v>
      </c>
      <c r="BC357" s="372">
        <f>IFERROR(AVERAGEIF('DO Pilot'!AX357:BU357,"&gt;0"),0)</f>
        <v>0</v>
      </c>
      <c r="BD357" s="446"/>
      <c r="BE357" s="446"/>
      <c r="BF357" s="446"/>
      <c r="BG357" s="223">
        <f>Tabla1[[#This Row],[ Re. Gas GC
 '[m3']]]</f>
        <v>0</v>
      </c>
      <c r="BH357" s="150">
        <f>IFERROR((BG357*Gas!$B$4)/28.31685,0)</f>
        <v>0</v>
      </c>
      <c r="BI357" s="73">
        <f t="shared" si="111"/>
        <v>0</v>
      </c>
      <c r="BJ357" s="74">
        <f t="shared" si="109"/>
        <v>0</v>
      </c>
      <c r="BK357" s="223">
        <f t="shared" si="107"/>
        <v>0</v>
      </c>
      <c r="BL357" s="442">
        <v>9160.39</v>
      </c>
      <c r="BM357" s="70">
        <f t="shared" si="108"/>
        <v>0</v>
      </c>
      <c r="BN357" s="70">
        <f t="shared" si="110"/>
        <v>0</v>
      </c>
      <c r="BO357" s="373">
        <f>IFERROR(Tabla1[[#This Row],[ Re. Gas GC
 '[m3']]]/Tabla1[[#This Row],[G. HGS 
Con Gas '[kWh']]],0)</f>
        <v>0</v>
      </c>
      <c r="BP357" s="374">
        <f>Tank!Y358</f>
        <v>0</v>
      </c>
      <c r="BQ357" s="70">
        <f>Tank!AP358</f>
        <v>0</v>
      </c>
      <c r="BR357" s="70">
        <f>Tank!V358</f>
        <v>0</v>
      </c>
      <c r="BS357" s="372">
        <f>Tank!T358</f>
        <v>0</v>
      </c>
      <c r="BT357" s="375" t="s">
        <v>228</v>
      </c>
      <c r="BU357" s="452"/>
      <c r="BV357" s="376">
        <f>IF(Tabla1[[#This Row],[Combustible ofertado]]="GAS",Tabla1[[#This Row],[Disponibilidad]],0)</f>
        <v>0</v>
      </c>
      <c r="BW357" s="376">
        <f>IF(Tabla1[[#This Row],[Combustible ofertado]]="DIESEL",Tabla1[[#This Row],[Disponibilidad]],0)</f>
        <v>0</v>
      </c>
      <c r="BX357" s="376">
        <f>IF(Tabla1[[#This Row],[Combustible ofertado]]="HFO",Tabla1[[#This Row],[Disponibilidad]],0)</f>
        <v>0</v>
      </c>
      <c r="BY357" s="452"/>
      <c r="BZ357" s="446">
        <f>'Horo. M'!C358</f>
        <v>0</v>
      </c>
      <c r="CA357" s="446">
        <f>'Horo. M'!E358</f>
        <v>0</v>
      </c>
      <c r="CB357" s="446">
        <f>'Horo. M'!G358</f>
        <v>0</v>
      </c>
      <c r="CC357" s="446">
        <f>'Horo. M'!I358</f>
        <v>0</v>
      </c>
      <c r="CD357" s="446">
        <f>'Horo. M'!K358</f>
        <v>0</v>
      </c>
      <c r="CE357" s="446">
        <f>'Horo. M'!M358</f>
        <v>0</v>
      </c>
      <c r="CF357" s="446">
        <f>'Horo. M'!O358</f>
        <v>0</v>
      </c>
      <c r="CG357" s="446">
        <f>'Horo. M'!Q358</f>
        <v>0</v>
      </c>
      <c r="CH357" s="446">
        <f>'Horo. M'!S358</f>
        <v>0</v>
      </c>
      <c r="CI357" s="446">
        <f>'Horo. M'!U358</f>
        <v>0</v>
      </c>
      <c r="CJ357" s="70">
        <f>Tabla1[[#This Row],[Con. DO Storage '[gal']]]-Tabla1[[#This Row],[C. DO Storage Ge '[gal']]]</f>
        <v>0</v>
      </c>
      <c r="CK357" s="70"/>
      <c r="CL357" s="70"/>
      <c r="CM357" s="70">
        <f>Tabla1[[#This Row],[Con. DO Total '[gal']]]*131485.5/(1000000)</f>
        <v>0</v>
      </c>
    </row>
    <row r="358" spans="1:91" ht="15" customHeight="1">
      <c r="A358" s="362">
        <v>45283</v>
      </c>
      <c r="B358" s="363" t="str">
        <f>TEXT(Tabla1[[#This Row],[Fecha]],"mmmm")</f>
        <v>diciembre</v>
      </c>
      <c r="C358" s="364"/>
      <c r="D358" s="366"/>
      <c r="E358" s="366"/>
      <c r="F358" s="366"/>
      <c r="G358" s="377"/>
      <c r="H358" s="377"/>
      <c r="I358" s="378"/>
      <c r="J358" s="378"/>
      <c r="K358" s="366"/>
      <c r="L358" s="366"/>
      <c r="M358" s="365">
        <f>Tabla1[[#This Row],[Columna1]]-Tabla1[[#This Row],[PO '[h']]]</f>
        <v>0</v>
      </c>
      <c r="N358" s="366">
        <f t="shared" si="112"/>
        <v>0</v>
      </c>
      <c r="O358" s="365"/>
      <c r="P358" s="367">
        <f>Tabla1[[#This Row],[G. HGS 
'[MWh']]]</f>
        <v>0</v>
      </c>
      <c r="Q358" s="430">
        <v>0</v>
      </c>
      <c r="R358" s="367">
        <v>0</v>
      </c>
      <c r="S358" s="367">
        <f>Tabla1[[#This Row],[G. HGS 
Con Gas]]*1000</f>
        <v>0</v>
      </c>
      <c r="T358" s="365">
        <f>Tabla1[[#This Row],[G. HGS 
'[MWh']]]*1000</f>
        <v>0</v>
      </c>
      <c r="U358" s="368">
        <f>SUM('G. Un GE'!B358:Y358)</f>
        <v>0</v>
      </c>
      <c r="V358" s="369">
        <f>Tabla1[[#This Row],[R. GE
'[MWh']]]</f>
        <v>0</v>
      </c>
      <c r="W358" s="434">
        <v>0</v>
      </c>
      <c r="X358" s="369">
        <v>0</v>
      </c>
      <c r="Y358" s="365">
        <f>Tabla1[[#This Row],[R. GE
'[MWh']]]*1000</f>
        <v>0</v>
      </c>
      <c r="Z358" s="371"/>
      <c r="AA358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8" s="371">
        <f>IF(Tabla1[[#This Row],[G. HGS 
'[MWh']]]=0,0,Tabla1[[#This Row],[G. HGS 
'[MWh']]]+Tabla1[[#This Row],[Con. Aux. '[MWh']2]])</f>
        <v>0</v>
      </c>
      <c r="AC358" s="368">
        <f>'C. ENER. TN'!F358</f>
        <v>0</v>
      </c>
      <c r="AD358" s="370">
        <f>'C. ENER. TN'!G358</f>
        <v>0</v>
      </c>
      <c r="AE358" s="370">
        <f>'G. Un GE'!AX358</f>
        <v>0</v>
      </c>
      <c r="AF358" s="368">
        <f>IFERROR('G. Un GE'!AX358/Tabla1[[#This Row],[PO '[h']]],0)</f>
        <v>0</v>
      </c>
      <c r="AG358" s="365">
        <f>'Ar-Pa'!AX358</f>
        <v>0</v>
      </c>
      <c r="AH358" s="365">
        <f>'Ar-Pa'!AY358</f>
        <v>0</v>
      </c>
      <c r="AI358" s="366">
        <f>SUM('Cal. Arr'!AB361:AY361)</f>
        <v>0</v>
      </c>
      <c r="AJ358" s="442"/>
      <c r="AK358" s="443"/>
      <c r="AL358" s="372">
        <f t="shared" si="113"/>
        <v>0</v>
      </c>
      <c r="AM358" s="372">
        <f>+CONVERT(AK358+Tabla1[[#This Row],[Con. DO Storage Gen. '[m3']]],"m^3","gal")</f>
        <v>0</v>
      </c>
      <c r="AN358" s="372">
        <f>SUM('DO Pilot'!B358:Y358)</f>
        <v>0</v>
      </c>
      <c r="AO358" s="372">
        <f t="shared" si="114"/>
        <v>0</v>
      </c>
      <c r="AP358" s="372">
        <f t="shared" si="115"/>
        <v>0</v>
      </c>
      <c r="AQ358" s="372">
        <f t="shared" si="116"/>
        <v>0</v>
      </c>
      <c r="AR358" s="443"/>
      <c r="AS358" s="443"/>
      <c r="AT358" s="267">
        <f>+CONVERT(SUM(Tabla1[[#This Row],[Repo. DO Storage '[gal']]:[Repo. DO Pilot '[gal']]]),"gal","m3")</f>
        <v>0</v>
      </c>
      <c r="AU358" s="442">
        <v>0</v>
      </c>
      <c r="AV358" s="372">
        <f t="shared" si="117"/>
        <v>0</v>
      </c>
      <c r="AW358" s="442">
        <v>0</v>
      </c>
      <c r="AX358" s="372">
        <f t="shared" si="118"/>
        <v>0</v>
      </c>
      <c r="AY358" s="372">
        <f t="shared" si="105"/>
        <v>0</v>
      </c>
      <c r="AZ358" s="372">
        <f>IFERROR(AL358/'Ar-Pa'!AX358,0)</f>
        <v>0</v>
      </c>
      <c r="BA358" s="372">
        <f>IFERROR(AL358/'Ar-Pa'!AY358,0)</f>
        <v>0</v>
      </c>
      <c r="BB358" s="372">
        <f t="shared" si="106"/>
        <v>0</v>
      </c>
      <c r="BC358" s="372">
        <f>IFERROR(AVERAGEIF('DO Pilot'!AX358:BU358,"&gt;0"),0)</f>
        <v>0</v>
      </c>
      <c r="BD358" s="446"/>
      <c r="BE358" s="446"/>
      <c r="BF358" s="446"/>
      <c r="BG358" s="223">
        <f>Tabla1[[#This Row],[ Re. Gas GC
 '[m3']]]</f>
        <v>0</v>
      </c>
      <c r="BH358" s="150">
        <f>IFERROR((BG358*Gas!$B$4)/28.31685,0)</f>
        <v>0</v>
      </c>
      <c r="BI358" s="73">
        <f t="shared" si="111"/>
        <v>0</v>
      </c>
      <c r="BJ358" s="74">
        <f t="shared" si="109"/>
        <v>0</v>
      </c>
      <c r="BK358" s="223">
        <f t="shared" si="107"/>
        <v>0</v>
      </c>
      <c r="BL358" s="442">
        <v>9036.7000000000007</v>
      </c>
      <c r="BM358" s="70">
        <f t="shared" si="108"/>
        <v>0</v>
      </c>
      <c r="BN358" s="70">
        <f t="shared" si="110"/>
        <v>0</v>
      </c>
      <c r="BO358" s="373">
        <f>IFERROR(Tabla1[[#This Row],[ Re. Gas GC
 '[m3']]]/Tabla1[[#This Row],[G. HGS 
Con Gas '[kWh']]],0)</f>
        <v>0</v>
      </c>
      <c r="BP358" s="374">
        <f>Tank!Y359</f>
        <v>0</v>
      </c>
      <c r="BQ358" s="70">
        <f>Tank!AP359</f>
        <v>0</v>
      </c>
      <c r="BR358" s="70">
        <f>Tank!V359</f>
        <v>0</v>
      </c>
      <c r="BS358" s="372">
        <f>Tank!T359</f>
        <v>0</v>
      </c>
      <c r="BT358" s="375" t="s">
        <v>228</v>
      </c>
      <c r="BU358" s="452"/>
      <c r="BV358" s="376">
        <f>IF(Tabla1[[#This Row],[Combustible ofertado]]="GAS",Tabla1[[#This Row],[Disponibilidad]],0)</f>
        <v>0</v>
      </c>
      <c r="BW358" s="376">
        <f>IF(Tabla1[[#This Row],[Combustible ofertado]]="DIESEL",Tabla1[[#This Row],[Disponibilidad]],0)</f>
        <v>0</v>
      </c>
      <c r="BX358" s="376">
        <f>IF(Tabla1[[#This Row],[Combustible ofertado]]="HFO",Tabla1[[#This Row],[Disponibilidad]],0)</f>
        <v>0</v>
      </c>
      <c r="BY358" s="452"/>
      <c r="BZ358" s="446">
        <f>'Horo. M'!C359</f>
        <v>0</v>
      </c>
      <c r="CA358" s="446">
        <f>'Horo. M'!E359</f>
        <v>0</v>
      </c>
      <c r="CB358" s="446">
        <f>'Horo. M'!G359</f>
        <v>0</v>
      </c>
      <c r="CC358" s="446">
        <f>'Horo. M'!I359</f>
        <v>0</v>
      </c>
      <c r="CD358" s="446">
        <f>'Horo. M'!K359</f>
        <v>0</v>
      </c>
      <c r="CE358" s="446">
        <f>'Horo. M'!M359</f>
        <v>0</v>
      </c>
      <c r="CF358" s="446">
        <f>'Horo. M'!O359</f>
        <v>0</v>
      </c>
      <c r="CG358" s="446">
        <f>'Horo. M'!Q359</f>
        <v>0</v>
      </c>
      <c r="CH358" s="446">
        <f>'Horo. M'!S359</f>
        <v>0</v>
      </c>
      <c r="CI358" s="446">
        <f>'Horo. M'!U359</f>
        <v>0</v>
      </c>
      <c r="CJ358" s="70">
        <f>Tabla1[[#This Row],[Con. DO Storage '[gal']]]-Tabla1[[#This Row],[C. DO Storage Ge '[gal']]]</f>
        <v>0</v>
      </c>
      <c r="CK358" s="70"/>
      <c r="CL358" s="70"/>
      <c r="CM358" s="70">
        <f>Tabla1[[#This Row],[Con. DO Total '[gal']]]*131485.5/(1000000)</f>
        <v>0</v>
      </c>
    </row>
    <row r="359" spans="1:91" ht="15" customHeight="1">
      <c r="A359" s="362">
        <v>45284</v>
      </c>
      <c r="B359" s="363" t="str">
        <f>TEXT(Tabla1[[#This Row],[Fecha]],"mmmm")</f>
        <v>diciembre</v>
      </c>
      <c r="C359" s="364"/>
      <c r="D359" s="366"/>
      <c r="E359" s="366"/>
      <c r="F359" s="366"/>
      <c r="G359" s="377"/>
      <c r="H359" s="377"/>
      <c r="I359" s="378"/>
      <c r="J359" s="378"/>
      <c r="K359" s="366"/>
      <c r="L359" s="366"/>
      <c r="M359" s="365">
        <f>Tabla1[[#This Row],[Columna1]]-Tabla1[[#This Row],[PO '[h']]]</f>
        <v>0</v>
      </c>
      <c r="N359" s="366">
        <f t="shared" si="112"/>
        <v>0</v>
      </c>
      <c r="O359" s="365"/>
      <c r="P359" s="367">
        <f>Tabla1[[#This Row],[G. HGS 
'[MWh']]]</f>
        <v>0</v>
      </c>
      <c r="Q359" s="430">
        <v>0</v>
      </c>
      <c r="R359" s="367">
        <v>0</v>
      </c>
      <c r="S359" s="367">
        <f>Tabla1[[#This Row],[G. HGS 
Con Gas]]*1000</f>
        <v>0</v>
      </c>
      <c r="T359" s="365">
        <f>Tabla1[[#This Row],[G. HGS 
'[MWh']]]*1000</f>
        <v>0</v>
      </c>
      <c r="U359" s="368">
        <f>SUM('G. Un GE'!B359:Y359)</f>
        <v>0</v>
      </c>
      <c r="V359" s="369">
        <f>Tabla1[[#This Row],[R. GE
'[MWh']]]</f>
        <v>0</v>
      </c>
      <c r="W359" s="434">
        <v>0</v>
      </c>
      <c r="X359" s="369">
        <v>0</v>
      </c>
      <c r="Y359" s="365">
        <f>Tabla1[[#This Row],[R. GE
'[MWh']]]*1000</f>
        <v>0</v>
      </c>
      <c r="Z359" s="371"/>
      <c r="AA359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59" s="371">
        <f>IF(Tabla1[[#This Row],[G. HGS 
'[MWh']]]=0,0,Tabla1[[#This Row],[G. HGS 
'[MWh']]]+Tabla1[[#This Row],[Con. Aux. '[MWh']2]])</f>
        <v>0</v>
      </c>
      <c r="AC359" s="368">
        <f>'C. ENER. TN'!F359</f>
        <v>0</v>
      </c>
      <c r="AD359" s="370">
        <f>'C. ENER. TN'!G359</f>
        <v>0</v>
      </c>
      <c r="AE359" s="370">
        <f>'G. Un GE'!AX359</f>
        <v>0</v>
      </c>
      <c r="AF359" s="368">
        <f>IFERROR('G. Un GE'!AX359/Tabla1[[#This Row],[PO '[h']]],0)</f>
        <v>0</v>
      </c>
      <c r="AG359" s="365">
        <f>'Ar-Pa'!AX359</f>
        <v>0</v>
      </c>
      <c r="AH359" s="365">
        <f>'Ar-Pa'!AY359</f>
        <v>0</v>
      </c>
      <c r="AI359" s="366">
        <f>SUM('Cal. Arr'!AB362:AY362)</f>
        <v>0</v>
      </c>
      <c r="AJ359" s="442"/>
      <c r="AK359" s="443"/>
      <c r="AL359" s="372">
        <f t="shared" si="113"/>
        <v>0</v>
      </c>
      <c r="AM359" s="372">
        <f>+CONVERT(AK359+Tabla1[[#This Row],[Con. DO Storage Gen. '[m3']]],"m^3","gal")</f>
        <v>0</v>
      </c>
      <c r="AN359" s="372">
        <f>SUM('DO Pilot'!B359:Y359)</f>
        <v>0</v>
      </c>
      <c r="AO359" s="372">
        <f t="shared" si="114"/>
        <v>0</v>
      </c>
      <c r="AP359" s="372">
        <f t="shared" si="115"/>
        <v>0</v>
      </c>
      <c r="AQ359" s="372">
        <f t="shared" si="116"/>
        <v>0</v>
      </c>
      <c r="AR359" s="443"/>
      <c r="AS359" s="443"/>
      <c r="AT359" s="267">
        <f>+CONVERT(SUM(Tabla1[[#This Row],[Repo. DO Storage '[gal']]:[Repo. DO Pilot '[gal']]]),"gal","m3")</f>
        <v>0</v>
      </c>
      <c r="AU359" s="442">
        <v>0</v>
      </c>
      <c r="AV359" s="372">
        <f t="shared" si="117"/>
        <v>0</v>
      </c>
      <c r="AW359" s="442">
        <v>0</v>
      </c>
      <c r="AX359" s="372">
        <f t="shared" si="118"/>
        <v>0</v>
      </c>
      <c r="AY359" s="372">
        <f t="shared" si="105"/>
        <v>0</v>
      </c>
      <c r="AZ359" s="372">
        <f>IFERROR(AL359/'Ar-Pa'!AX359,0)</f>
        <v>0</v>
      </c>
      <c r="BA359" s="372">
        <f>IFERROR(AL359/'Ar-Pa'!AY359,0)</f>
        <v>0</v>
      </c>
      <c r="BB359" s="372">
        <f t="shared" si="106"/>
        <v>0</v>
      </c>
      <c r="BC359" s="372">
        <f>IFERROR(AVERAGEIF('DO Pilot'!AX359:BU359,"&gt;0"),0)</f>
        <v>0</v>
      </c>
      <c r="BD359" s="446"/>
      <c r="BE359" s="446"/>
      <c r="BF359" s="446"/>
      <c r="BG359" s="223">
        <f>Tabla1[[#This Row],[ Re. Gas GC
 '[m3']]]</f>
        <v>0</v>
      </c>
      <c r="BH359" s="150">
        <f>IFERROR((BG359*Gas!$B$4)/28.31685,0)</f>
        <v>0</v>
      </c>
      <c r="BI359" s="73">
        <f t="shared" si="111"/>
        <v>0</v>
      </c>
      <c r="BJ359" s="74">
        <f t="shared" si="109"/>
        <v>0</v>
      </c>
      <c r="BK359" s="223">
        <f t="shared" si="107"/>
        <v>0</v>
      </c>
      <c r="BL359" s="442">
        <v>9103.1</v>
      </c>
      <c r="BM359" s="70">
        <f t="shared" si="108"/>
        <v>0</v>
      </c>
      <c r="BN359" s="70">
        <f t="shared" si="110"/>
        <v>0</v>
      </c>
      <c r="BO359" s="373">
        <f>IFERROR(Tabla1[[#This Row],[ Re. Gas GC
 '[m3']]]/Tabla1[[#This Row],[G. HGS 
Con Gas '[kWh']]],0)</f>
        <v>0</v>
      </c>
      <c r="BP359" s="374">
        <f>Tank!Y360</f>
        <v>0</v>
      </c>
      <c r="BQ359" s="70">
        <f>Tank!AP360</f>
        <v>0</v>
      </c>
      <c r="BR359" s="70">
        <f>Tank!V360</f>
        <v>0</v>
      </c>
      <c r="BS359" s="372">
        <f>Tank!T360</f>
        <v>0</v>
      </c>
      <c r="BT359" s="375" t="s">
        <v>228</v>
      </c>
      <c r="BU359" s="452"/>
      <c r="BV359" s="376">
        <f>IF(Tabla1[[#This Row],[Combustible ofertado]]="GAS",Tabla1[[#This Row],[Disponibilidad]],0)</f>
        <v>0</v>
      </c>
      <c r="BW359" s="376">
        <f>IF(Tabla1[[#This Row],[Combustible ofertado]]="DIESEL",Tabla1[[#This Row],[Disponibilidad]],0)</f>
        <v>0</v>
      </c>
      <c r="BX359" s="376">
        <f>IF(Tabla1[[#This Row],[Combustible ofertado]]="HFO",Tabla1[[#This Row],[Disponibilidad]],0)</f>
        <v>0</v>
      </c>
      <c r="BY359" s="452"/>
      <c r="BZ359" s="446">
        <f>'Horo. M'!C360</f>
        <v>0</v>
      </c>
      <c r="CA359" s="446">
        <f>'Horo. M'!E360</f>
        <v>0</v>
      </c>
      <c r="CB359" s="446">
        <f>'Horo. M'!G360</f>
        <v>0</v>
      </c>
      <c r="CC359" s="446">
        <f>'Horo. M'!I360</f>
        <v>0</v>
      </c>
      <c r="CD359" s="446">
        <f>'Horo. M'!K360</f>
        <v>0</v>
      </c>
      <c r="CE359" s="446">
        <f>'Horo. M'!M360</f>
        <v>0</v>
      </c>
      <c r="CF359" s="446">
        <f>'Horo. M'!O360</f>
        <v>0</v>
      </c>
      <c r="CG359" s="446">
        <f>'Horo. M'!Q360</f>
        <v>0</v>
      </c>
      <c r="CH359" s="446">
        <f>'Horo. M'!S360</f>
        <v>0</v>
      </c>
      <c r="CI359" s="446">
        <f>'Horo. M'!U360</f>
        <v>0</v>
      </c>
      <c r="CJ359" s="70">
        <f>Tabla1[[#This Row],[Con. DO Storage '[gal']]]-Tabla1[[#This Row],[C. DO Storage Ge '[gal']]]</f>
        <v>0</v>
      </c>
      <c r="CK359" s="70"/>
      <c r="CL359" s="70"/>
      <c r="CM359" s="70">
        <f>Tabla1[[#This Row],[Con. DO Total '[gal']]]*131485.5/(1000000)</f>
        <v>0</v>
      </c>
    </row>
    <row r="360" spans="1:91" ht="15" customHeight="1">
      <c r="A360" s="362">
        <v>45285</v>
      </c>
      <c r="B360" s="363" t="str">
        <f>TEXT(Tabla1[[#This Row],[Fecha]],"mmmm")</f>
        <v>diciembre</v>
      </c>
      <c r="C360" s="364"/>
      <c r="D360" s="366"/>
      <c r="E360" s="366"/>
      <c r="F360" s="366"/>
      <c r="G360" s="377"/>
      <c r="H360" s="377"/>
      <c r="I360" s="378"/>
      <c r="J360" s="378"/>
      <c r="K360" s="366"/>
      <c r="L360" s="366"/>
      <c r="M360" s="365">
        <f>Tabla1[[#This Row],[Columna1]]-Tabla1[[#This Row],[PO '[h']]]</f>
        <v>0</v>
      </c>
      <c r="N360" s="366">
        <f t="shared" si="112"/>
        <v>0</v>
      </c>
      <c r="O360" s="365"/>
      <c r="P360" s="367">
        <f>Tabla1[[#This Row],[G. HGS 
'[MWh']]]</f>
        <v>0</v>
      </c>
      <c r="Q360" s="430">
        <v>0</v>
      </c>
      <c r="R360" s="367">
        <v>0</v>
      </c>
      <c r="S360" s="367">
        <f>Tabla1[[#This Row],[G. HGS 
Con Gas]]*1000</f>
        <v>0</v>
      </c>
      <c r="T360" s="365">
        <f>Tabla1[[#This Row],[G. HGS 
'[MWh']]]*1000</f>
        <v>0</v>
      </c>
      <c r="U360" s="368">
        <f>SUM('G. Un GE'!B360:Y360)</f>
        <v>0</v>
      </c>
      <c r="V360" s="369">
        <f>Tabla1[[#This Row],[R. GE
'[MWh']]]</f>
        <v>0</v>
      </c>
      <c r="W360" s="434">
        <v>0</v>
      </c>
      <c r="X360" s="369">
        <v>0</v>
      </c>
      <c r="Y360" s="365">
        <f>Tabla1[[#This Row],[R. GE
'[MWh']]]*1000</f>
        <v>0</v>
      </c>
      <c r="Z360" s="371"/>
      <c r="AA360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0" s="371">
        <f>IF(Tabla1[[#This Row],[G. HGS 
'[MWh']]]=0,0,Tabla1[[#This Row],[G. HGS 
'[MWh']]]+Tabla1[[#This Row],[Con. Aux. '[MWh']2]])</f>
        <v>0</v>
      </c>
      <c r="AC360" s="368">
        <f>'C. ENER. TN'!F360</f>
        <v>0</v>
      </c>
      <c r="AD360" s="370">
        <f>'C. ENER. TN'!G360</f>
        <v>0</v>
      </c>
      <c r="AE360" s="370">
        <f>'G. Un GE'!AX360</f>
        <v>0</v>
      </c>
      <c r="AF360" s="368">
        <f>IFERROR('G. Un GE'!AX360/Tabla1[[#This Row],[PO '[h']]],0)</f>
        <v>0</v>
      </c>
      <c r="AG360" s="365">
        <f>'Ar-Pa'!AX360</f>
        <v>0</v>
      </c>
      <c r="AH360" s="365">
        <f>'Ar-Pa'!AY360</f>
        <v>0</v>
      </c>
      <c r="AI360" s="366">
        <f>SUM('Cal. Arr'!AB363:AY363)</f>
        <v>0</v>
      </c>
      <c r="AJ360" s="442"/>
      <c r="AK360" s="443"/>
      <c r="AL360" s="372">
        <f t="shared" si="113"/>
        <v>0</v>
      </c>
      <c r="AM360" s="372">
        <f>+CONVERT(AK360+Tabla1[[#This Row],[Con. DO Storage Gen. '[m3']]],"m^3","gal")</f>
        <v>0</v>
      </c>
      <c r="AN360" s="372">
        <f>SUM('DO Pilot'!B360:Y360)</f>
        <v>0</v>
      </c>
      <c r="AO360" s="372">
        <f t="shared" si="114"/>
        <v>0</v>
      </c>
      <c r="AP360" s="372">
        <f t="shared" si="115"/>
        <v>0</v>
      </c>
      <c r="AQ360" s="372">
        <f t="shared" si="116"/>
        <v>0</v>
      </c>
      <c r="AR360" s="443"/>
      <c r="AS360" s="443"/>
      <c r="AT360" s="267">
        <f>+CONVERT(SUM(Tabla1[[#This Row],[Repo. DO Storage '[gal']]:[Repo. DO Pilot '[gal']]]),"gal","m3")</f>
        <v>0</v>
      </c>
      <c r="AU360" s="442">
        <v>0</v>
      </c>
      <c r="AV360" s="372">
        <f t="shared" si="117"/>
        <v>0</v>
      </c>
      <c r="AW360" s="442">
        <v>0</v>
      </c>
      <c r="AX360" s="372">
        <f t="shared" si="118"/>
        <v>0</v>
      </c>
      <c r="AY360" s="372">
        <f t="shared" si="105"/>
        <v>0</v>
      </c>
      <c r="AZ360" s="372">
        <f>IFERROR(AL360/'Ar-Pa'!AX360,0)</f>
        <v>0</v>
      </c>
      <c r="BA360" s="372">
        <f>IFERROR(AL360/'Ar-Pa'!AY360,0)</f>
        <v>0</v>
      </c>
      <c r="BB360" s="372">
        <f t="shared" si="106"/>
        <v>0</v>
      </c>
      <c r="BC360" s="372">
        <f>IFERROR(AVERAGEIF('DO Pilot'!AX360:BU360,"&gt;0"),0)</f>
        <v>0</v>
      </c>
      <c r="BD360" s="446"/>
      <c r="BE360" s="446"/>
      <c r="BF360" s="446"/>
      <c r="BG360" s="223">
        <f>Tabla1[[#This Row],[ Re. Gas GC
 '[m3']]]</f>
        <v>0</v>
      </c>
      <c r="BH360" s="150">
        <f>IFERROR((BG360*Gas!$B$4)/28.31685,0)</f>
        <v>0</v>
      </c>
      <c r="BI360" s="73">
        <f t="shared" si="111"/>
        <v>0</v>
      </c>
      <c r="BJ360" s="74">
        <f t="shared" si="109"/>
        <v>0</v>
      </c>
      <c r="BK360" s="223">
        <f t="shared" si="107"/>
        <v>0</v>
      </c>
      <c r="BL360" s="442">
        <v>9149.2999999999993</v>
      </c>
      <c r="BM360" s="70">
        <f t="shared" si="108"/>
        <v>0</v>
      </c>
      <c r="BN360" s="70">
        <f t="shared" si="110"/>
        <v>0</v>
      </c>
      <c r="BO360" s="373">
        <f>IFERROR(Tabla1[[#This Row],[ Re. Gas GC
 '[m3']]]/Tabla1[[#This Row],[G. HGS 
Con Gas '[kWh']]],0)</f>
        <v>0</v>
      </c>
      <c r="BP360" s="374">
        <f>Tank!Y361</f>
        <v>0</v>
      </c>
      <c r="BQ360" s="70">
        <f>Tank!AP361</f>
        <v>0</v>
      </c>
      <c r="BR360" s="70">
        <f>Tank!V361</f>
        <v>0</v>
      </c>
      <c r="BS360" s="372">
        <f>Tank!T361</f>
        <v>0</v>
      </c>
      <c r="BT360" s="375" t="s">
        <v>228</v>
      </c>
      <c r="BU360" s="452"/>
      <c r="BV360" s="376">
        <f>IF(Tabla1[[#This Row],[Combustible ofertado]]="GAS",Tabla1[[#This Row],[Disponibilidad]],0)</f>
        <v>0</v>
      </c>
      <c r="BW360" s="376">
        <f>IF(Tabla1[[#This Row],[Combustible ofertado]]="DIESEL",Tabla1[[#This Row],[Disponibilidad]],0)</f>
        <v>0</v>
      </c>
      <c r="BX360" s="376">
        <f>IF(Tabla1[[#This Row],[Combustible ofertado]]="HFO",Tabla1[[#This Row],[Disponibilidad]],0)</f>
        <v>0</v>
      </c>
      <c r="BY360" s="452"/>
      <c r="BZ360" s="446">
        <f>'Horo. M'!C361</f>
        <v>0</v>
      </c>
      <c r="CA360" s="446">
        <f>'Horo. M'!E361</f>
        <v>0</v>
      </c>
      <c r="CB360" s="446">
        <f>'Horo. M'!G361</f>
        <v>0</v>
      </c>
      <c r="CC360" s="446">
        <f>'Horo. M'!I361</f>
        <v>0</v>
      </c>
      <c r="CD360" s="446">
        <f>'Horo. M'!K361</f>
        <v>0</v>
      </c>
      <c r="CE360" s="446">
        <f>'Horo. M'!M361</f>
        <v>0</v>
      </c>
      <c r="CF360" s="446">
        <f>'Horo. M'!O361</f>
        <v>0</v>
      </c>
      <c r="CG360" s="446">
        <f>'Horo. M'!Q361</f>
        <v>0</v>
      </c>
      <c r="CH360" s="446">
        <f>'Horo. M'!S361</f>
        <v>0</v>
      </c>
      <c r="CI360" s="446">
        <f>'Horo. M'!U361</f>
        <v>0</v>
      </c>
      <c r="CJ360" s="70">
        <f>Tabla1[[#This Row],[Con. DO Storage '[gal']]]-Tabla1[[#This Row],[C. DO Storage Ge '[gal']]]</f>
        <v>0</v>
      </c>
      <c r="CK360" s="70"/>
      <c r="CL360" s="70"/>
      <c r="CM360" s="70">
        <f>Tabla1[[#This Row],[Con. DO Total '[gal']]]*131485.5/(1000000)</f>
        <v>0</v>
      </c>
    </row>
    <row r="361" spans="1:91" ht="15" customHeight="1">
      <c r="A361" s="362">
        <v>45286</v>
      </c>
      <c r="B361" s="363" t="str">
        <f>TEXT(Tabla1[[#This Row],[Fecha]],"mmmm")</f>
        <v>diciembre</v>
      </c>
      <c r="C361" s="364"/>
      <c r="D361" s="366"/>
      <c r="E361" s="366"/>
      <c r="F361" s="366"/>
      <c r="G361" s="377"/>
      <c r="H361" s="377"/>
      <c r="I361" s="378"/>
      <c r="J361" s="378"/>
      <c r="K361" s="366"/>
      <c r="L361" s="366"/>
      <c r="M361" s="365">
        <f>Tabla1[[#This Row],[Columna1]]-Tabla1[[#This Row],[PO '[h']]]</f>
        <v>0</v>
      </c>
      <c r="N361" s="366">
        <f t="shared" si="112"/>
        <v>0</v>
      </c>
      <c r="O361" s="365"/>
      <c r="P361" s="367">
        <f>Tabla1[[#This Row],[G. HGS 
'[MWh']]]</f>
        <v>0</v>
      </c>
      <c r="Q361" s="430">
        <v>0</v>
      </c>
      <c r="R361" s="367">
        <v>0</v>
      </c>
      <c r="S361" s="367">
        <f>Tabla1[[#This Row],[G. HGS 
Con Gas]]*1000</f>
        <v>0</v>
      </c>
      <c r="T361" s="365">
        <f>Tabla1[[#This Row],[G. HGS 
'[MWh']]]*1000</f>
        <v>0</v>
      </c>
      <c r="U361" s="368">
        <f>SUM('G. Un GE'!B361:Y361)</f>
        <v>0</v>
      </c>
      <c r="V361" s="369">
        <f>Tabla1[[#This Row],[R. GE
'[MWh']]]</f>
        <v>0</v>
      </c>
      <c r="W361" s="434">
        <v>0</v>
      </c>
      <c r="X361" s="369">
        <v>0</v>
      </c>
      <c r="Y361" s="365">
        <f>Tabla1[[#This Row],[R. GE
'[MWh']]]*1000</f>
        <v>0</v>
      </c>
      <c r="Z361" s="371"/>
      <c r="AA361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1" s="371">
        <f>IF(Tabla1[[#This Row],[G. HGS 
'[MWh']]]=0,0,Tabla1[[#This Row],[G. HGS 
'[MWh']]]+Tabla1[[#This Row],[Con. Aux. '[MWh']2]])</f>
        <v>0</v>
      </c>
      <c r="AC361" s="368">
        <f>'C. ENER. TN'!F361</f>
        <v>0</v>
      </c>
      <c r="AD361" s="370">
        <f>'C. ENER. TN'!G361</f>
        <v>0</v>
      </c>
      <c r="AE361" s="370">
        <f>'G. Un GE'!AX361</f>
        <v>0</v>
      </c>
      <c r="AF361" s="368">
        <f>IFERROR('G. Un GE'!AX361/Tabla1[[#This Row],[PO '[h']]],0)</f>
        <v>0</v>
      </c>
      <c r="AG361" s="365">
        <f>'Ar-Pa'!AX361</f>
        <v>0</v>
      </c>
      <c r="AH361" s="365">
        <f>'Ar-Pa'!AY361</f>
        <v>0</v>
      </c>
      <c r="AI361" s="366">
        <f>SUM('Cal. Arr'!AB364:AY364)</f>
        <v>0</v>
      </c>
      <c r="AJ361" s="442"/>
      <c r="AK361" s="443"/>
      <c r="AL361" s="372">
        <f t="shared" si="113"/>
        <v>0</v>
      </c>
      <c r="AM361" s="372">
        <f>+CONVERT(AK361+Tabla1[[#This Row],[Con. DO Storage Gen. '[m3']]],"m^3","gal")</f>
        <v>0</v>
      </c>
      <c r="AN361" s="372">
        <f>SUM('DO Pilot'!B361:Y361)</f>
        <v>0</v>
      </c>
      <c r="AO361" s="372">
        <f t="shared" si="114"/>
        <v>0</v>
      </c>
      <c r="AP361" s="372">
        <f t="shared" si="115"/>
        <v>0</v>
      </c>
      <c r="AQ361" s="372">
        <f t="shared" si="116"/>
        <v>0</v>
      </c>
      <c r="AR361" s="443"/>
      <c r="AS361" s="443"/>
      <c r="AT361" s="267">
        <f>+CONVERT(SUM(Tabla1[[#This Row],[Repo. DO Storage '[gal']]:[Repo. DO Pilot '[gal']]]),"gal","m3")</f>
        <v>0</v>
      </c>
      <c r="AU361" s="442">
        <v>0</v>
      </c>
      <c r="AV361" s="372">
        <f t="shared" si="117"/>
        <v>0</v>
      </c>
      <c r="AW361" s="442">
        <v>0</v>
      </c>
      <c r="AX361" s="372">
        <f t="shared" si="118"/>
        <v>0</v>
      </c>
      <c r="AY361" s="372">
        <f t="shared" si="105"/>
        <v>0</v>
      </c>
      <c r="AZ361" s="372">
        <f>IFERROR(AL361/'Ar-Pa'!AX361,0)</f>
        <v>0</v>
      </c>
      <c r="BA361" s="372">
        <f>IFERROR(AL361/'Ar-Pa'!AY361,0)</f>
        <v>0</v>
      </c>
      <c r="BB361" s="372">
        <f t="shared" si="106"/>
        <v>0</v>
      </c>
      <c r="BC361" s="372">
        <f>IFERROR(AVERAGEIF('DO Pilot'!AX361:BU361,"&gt;0"),0)</f>
        <v>0</v>
      </c>
      <c r="BD361" s="446"/>
      <c r="BE361" s="446"/>
      <c r="BF361" s="446"/>
      <c r="BG361" s="223">
        <f>Tabla1[[#This Row],[ Re. Gas GC
 '[m3']]]</f>
        <v>0</v>
      </c>
      <c r="BH361" s="150">
        <f>IFERROR((BG361*Gas!$B$4)/28.31685,0)</f>
        <v>0</v>
      </c>
      <c r="BI361" s="73">
        <f t="shared" si="111"/>
        <v>0</v>
      </c>
      <c r="BJ361" s="74">
        <f t="shared" si="109"/>
        <v>0</v>
      </c>
      <c r="BK361" s="223">
        <f t="shared" si="107"/>
        <v>0</v>
      </c>
      <c r="BL361" s="442">
        <v>9082.07</v>
      </c>
      <c r="BM361" s="70">
        <f t="shared" si="108"/>
        <v>0</v>
      </c>
      <c r="BN361" s="70">
        <f t="shared" si="110"/>
        <v>0</v>
      </c>
      <c r="BO361" s="373">
        <f>IFERROR(Tabla1[[#This Row],[ Re. Gas GC
 '[m3']]]/Tabla1[[#This Row],[G. HGS 
Con Gas '[kWh']]],0)</f>
        <v>0</v>
      </c>
      <c r="BP361" s="374">
        <f>Tank!Y362</f>
        <v>0</v>
      </c>
      <c r="BQ361" s="70">
        <f>Tank!AP362</f>
        <v>0</v>
      </c>
      <c r="BR361" s="70">
        <f>Tank!V362</f>
        <v>0</v>
      </c>
      <c r="BS361" s="372">
        <f>Tank!T362</f>
        <v>0</v>
      </c>
      <c r="BT361" s="375" t="s">
        <v>228</v>
      </c>
      <c r="BU361" s="452"/>
      <c r="BV361" s="376">
        <f>IF(Tabla1[[#This Row],[Combustible ofertado]]="GAS",Tabla1[[#This Row],[Disponibilidad]],0)</f>
        <v>0</v>
      </c>
      <c r="BW361" s="376">
        <f>IF(Tabla1[[#This Row],[Combustible ofertado]]="DIESEL",Tabla1[[#This Row],[Disponibilidad]],0)</f>
        <v>0</v>
      </c>
      <c r="BX361" s="376">
        <f>IF(Tabla1[[#This Row],[Combustible ofertado]]="HFO",Tabla1[[#This Row],[Disponibilidad]],0)</f>
        <v>0</v>
      </c>
      <c r="BY361" s="452"/>
      <c r="BZ361" s="446">
        <f>'Horo. M'!C362</f>
        <v>0</v>
      </c>
      <c r="CA361" s="446">
        <f>'Horo. M'!E362</f>
        <v>0</v>
      </c>
      <c r="CB361" s="446">
        <f>'Horo. M'!G362</f>
        <v>0</v>
      </c>
      <c r="CC361" s="446">
        <f>'Horo. M'!I362</f>
        <v>0</v>
      </c>
      <c r="CD361" s="446">
        <f>'Horo. M'!K362</f>
        <v>0</v>
      </c>
      <c r="CE361" s="446">
        <f>'Horo. M'!M362</f>
        <v>0</v>
      </c>
      <c r="CF361" s="446">
        <f>'Horo. M'!O362</f>
        <v>0</v>
      </c>
      <c r="CG361" s="446">
        <f>'Horo. M'!Q362</f>
        <v>0</v>
      </c>
      <c r="CH361" s="446">
        <f>'Horo. M'!S362</f>
        <v>0</v>
      </c>
      <c r="CI361" s="446">
        <f>'Horo. M'!U362</f>
        <v>0</v>
      </c>
      <c r="CJ361" s="70">
        <f>Tabla1[[#This Row],[Con. DO Storage '[gal']]]-Tabla1[[#This Row],[C. DO Storage Ge '[gal']]]</f>
        <v>0</v>
      </c>
      <c r="CK361" s="70"/>
      <c r="CL361" s="70"/>
      <c r="CM361" s="70">
        <f>Tabla1[[#This Row],[Con. DO Total '[gal']]]*131485.5/(1000000)</f>
        <v>0</v>
      </c>
    </row>
    <row r="362" spans="1:91" ht="15" customHeight="1">
      <c r="A362" s="362">
        <v>45287</v>
      </c>
      <c r="B362" s="363" t="str">
        <f>TEXT(Tabla1[[#This Row],[Fecha]],"mmmm")</f>
        <v>diciembre</v>
      </c>
      <c r="C362" s="364"/>
      <c r="D362" s="366"/>
      <c r="E362" s="366"/>
      <c r="F362" s="366"/>
      <c r="G362" s="377"/>
      <c r="H362" s="377"/>
      <c r="I362" s="378"/>
      <c r="J362" s="378"/>
      <c r="K362" s="366"/>
      <c r="L362" s="366"/>
      <c r="M362" s="365">
        <f>Tabla1[[#This Row],[Columna1]]-Tabla1[[#This Row],[PO '[h']]]</f>
        <v>0</v>
      </c>
      <c r="N362" s="366">
        <f t="shared" si="112"/>
        <v>0</v>
      </c>
      <c r="O362" s="365"/>
      <c r="P362" s="367">
        <f>Tabla1[[#This Row],[G. HGS 
'[MWh']]]</f>
        <v>0</v>
      </c>
      <c r="Q362" s="430">
        <v>0</v>
      </c>
      <c r="R362" s="367">
        <v>0</v>
      </c>
      <c r="S362" s="367">
        <f>Tabla1[[#This Row],[G. HGS 
Con Gas]]*1000</f>
        <v>0</v>
      </c>
      <c r="T362" s="365">
        <f>Tabla1[[#This Row],[G. HGS 
'[MWh']]]*1000</f>
        <v>0</v>
      </c>
      <c r="U362" s="368">
        <f>SUM('G. Un GE'!B362:Y362)</f>
        <v>0</v>
      </c>
      <c r="V362" s="369">
        <f>Tabla1[[#This Row],[R. GE
'[MWh']]]</f>
        <v>0</v>
      </c>
      <c r="W362" s="434">
        <v>0</v>
      </c>
      <c r="X362" s="369">
        <v>0</v>
      </c>
      <c r="Y362" s="365">
        <f>Tabla1[[#This Row],[R. GE
'[MWh']]]*1000</f>
        <v>0</v>
      </c>
      <c r="Z362" s="371"/>
      <c r="AA362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2" s="371">
        <f>IF(Tabla1[[#This Row],[G. HGS 
'[MWh']]]=0,0,Tabla1[[#This Row],[G. HGS 
'[MWh']]]+Tabla1[[#This Row],[Con. Aux. '[MWh']2]])</f>
        <v>0</v>
      </c>
      <c r="AC362" s="368">
        <f>'C. ENER. TN'!F362</f>
        <v>0</v>
      </c>
      <c r="AD362" s="370">
        <f>'C. ENER. TN'!G362</f>
        <v>0</v>
      </c>
      <c r="AE362" s="370">
        <f>'G. Un GE'!AX362</f>
        <v>0</v>
      </c>
      <c r="AF362" s="368">
        <f>IFERROR('G. Un GE'!AX362/Tabla1[[#This Row],[PO '[h']]],0)</f>
        <v>0</v>
      </c>
      <c r="AG362" s="365">
        <f>'Ar-Pa'!AX362</f>
        <v>0</v>
      </c>
      <c r="AH362" s="365">
        <f>'Ar-Pa'!AY362</f>
        <v>0</v>
      </c>
      <c r="AI362" s="366">
        <f>SUM('Cal. Arr'!AB365:AY365)</f>
        <v>0</v>
      </c>
      <c r="AJ362" s="442"/>
      <c r="AK362" s="443"/>
      <c r="AL362" s="372">
        <f t="shared" si="113"/>
        <v>0</v>
      </c>
      <c r="AM362" s="372">
        <f>+CONVERT(AK362+Tabla1[[#This Row],[Con. DO Storage Gen. '[m3']]],"m^3","gal")</f>
        <v>0</v>
      </c>
      <c r="AN362" s="372">
        <f>SUM('DO Pilot'!B362:Y362)</f>
        <v>0</v>
      </c>
      <c r="AO362" s="372">
        <f t="shared" si="114"/>
        <v>0</v>
      </c>
      <c r="AP362" s="372">
        <f t="shared" si="115"/>
        <v>0</v>
      </c>
      <c r="AQ362" s="372">
        <f t="shared" si="116"/>
        <v>0</v>
      </c>
      <c r="AR362" s="443"/>
      <c r="AS362" s="443"/>
      <c r="AT362" s="267">
        <f>+CONVERT(SUM(Tabla1[[#This Row],[Repo. DO Storage '[gal']]:[Repo. DO Pilot '[gal']]]),"gal","m3")</f>
        <v>0</v>
      </c>
      <c r="AU362" s="442">
        <v>0</v>
      </c>
      <c r="AV362" s="372">
        <f t="shared" si="117"/>
        <v>0</v>
      </c>
      <c r="AW362" s="442">
        <v>0</v>
      </c>
      <c r="AX362" s="372">
        <f t="shared" si="118"/>
        <v>0</v>
      </c>
      <c r="AY362" s="372">
        <f t="shared" si="105"/>
        <v>0</v>
      </c>
      <c r="AZ362" s="372">
        <f>IFERROR(AL362/'Ar-Pa'!AX362,0)</f>
        <v>0</v>
      </c>
      <c r="BA362" s="372">
        <f>IFERROR(AL362/'Ar-Pa'!AY362,0)</f>
        <v>0</v>
      </c>
      <c r="BB362" s="372">
        <f t="shared" si="106"/>
        <v>0</v>
      </c>
      <c r="BC362" s="372">
        <f>IFERROR(AVERAGEIF('DO Pilot'!AX362:BU362,"&gt;0"),0)</f>
        <v>0</v>
      </c>
      <c r="BD362" s="446"/>
      <c r="BE362" s="446"/>
      <c r="BF362" s="446"/>
      <c r="BG362" s="223">
        <f>Tabla1[[#This Row],[ Re. Gas GC
 '[m3']]]</f>
        <v>0</v>
      </c>
      <c r="BH362" s="150">
        <f>IFERROR((BG362*Gas!$B$4)/28.31685,0)</f>
        <v>0</v>
      </c>
      <c r="BI362" s="73">
        <f t="shared" si="111"/>
        <v>0</v>
      </c>
      <c r="BJ362" s="74">
        <f t="shared" si="109"/>
        <v>0</v>
      </c>
      <c r="BK362" s="223">
        <f t="shared" si="107"/>
        <v>0</v>
      </c>
      <c r="BL362" s="442">
        <v>9026.32</v>
      </c>
      <c r="BM362" s="70">
        <f t="shared" si="108"/>
        <v>0</v>
      </c>
      <c r="BN362" s="70">
        <f t="shared" si="110"/>
        <v>0</v>
      </c>
      <c r="BO362" s="373">
        <f>IFERROR(Tabla1[[#This Row],[ Re. Gas GC
 '[m3']]]/Tabla1[[#This Row],[G. HGS 
Con Gas '[kWh']]],0)</f>
        <v>0</v>
      </c>
      <c r="BP362" s="374">
        <f>Tank!Y363</f>
        <v>0</v>
      </c>
      <c r="BQ362" s="70">
        <f>Tank!AP363</f>
        <v>0</v>
      </c>
      <c r="BR362" s="70">
        <f>Tank!V363</f>
        <v>0</v>
      </c>
      <c r="BS362" s="372">
        <f>Tank!T363</f>
        <v>0</v>
      </c>
      <c r="BT362" s="375" t="s">
        <v>228</v>
      </c>
      <c r="BU362" s="452"/>
      <c r="BV362" s="376">
        <f>IF(Tabla1[[#This Row],[Combustible ofertado]]="GAS",Tabla1[[#This Row],[Disponibilidad]],0)</f>
        <v>0</v>
      </c>
      <c r="BW362" s="376">
        <f>IF(Tabla1[[#This Row],[Combustible ofertado]]="DIESEL",Tabla1[[#This Row],[Disponibilidad]],0)</f>
        <v>0</v>
      </c>
      <c r="BX362" s="376">
        <f>IF(Tabla1[[#This Row],[Combustible ofertado]]="HFO",Tabla1[[#This Row],[Disponibilidad]],0)</f>
        <v>0</v>
      </c>
      <c r="BY362" s="452"/>
      <c r="BZ362" s="446">
        <f>'Horo. M'!C363</f>
        <v>0</v>
      </c>
      <c r="CA362" s="446">
        <f>'Horo. M'!E363</f>
        <v>0</v>
      </c>
      <c r="CB362" s="446">
        <f>'Horo. M'!G363</f>
        <v>0</v>
      </c>
      <c r="CC362" s="446">
        <f>'Horo. M'!I363</f>
        <v>0</v>
      </c>
      <c r="CD362" s="446">
        <f>'Horo. M'!K363</f>
        <v>0</v>
      </c>
      <c r="CE362" s="446">
        <f>'Horo. M'!M363</f>
        <v>0</v>
      </c>
      <c r="CF362" s="446">
        <f>'Horo. M'!O363</f>
        <v>0</v>
      </c>
      <c r="CG362" s="446">
        <f>'Horo. M'!Q363</f>
        <v>0</v>
      </c>
      <c r="CH362" s="446">
        <f>'Horo. M'!S363</f>
        <v>0</v>
      </c>
      <c r="CI362" s="446">
        <f>'Horo. M'!U363</f>
        <v>0</v>
      </c>
      <c r="CJ362" s="70">
        <f>Tabla1[[#This Row],[Con. DO Storage '[gal']]]-Tabla1[[#This Row],[C. DO Storage Ge '[gal']]]</f>
        <v>0</v>
      </c>
      <c r="CK362" s="70"/>
      <c r="CL362" s="70"/>
      <c r="CM362" s="70">
        <f>Tabla1[[#This Row],[Con. DO Total '[gal']]]*131485.5/(1000000)</f>
        <v>0</v>
      </c>
    </row>
    <row r="363" spans="1:91" ht="15" customHeight="1">
      <c r="A363" s="362">
        <v>45288</v>
      </c>
      <c r="B363" s="363" t="str">
        <f>TEXT(Tabla1[[#This Row],[Fecha]],"mmmm")</f>
        <v>diciembre</v>
      </c>
      <c r="C363" s="364"/>
      <c r="D363" s="366"/>
      <c r="E363" s="366"/>
      <c r="F363" s="366"/>
      <c r="G363" s="377"/>
      <c r="H363" s="377"/>
      <c r="I363" s="378"/>
      <c r="J363" s="378"/>
      <c r="K363" s="366"/>
      <c r="L363" s="366"/>
      <c r="M363" s="365">
        <f>Tabla1[[#This Row],[Columna1]]-Tabla1[[#This Row],[PO '[h']]]</f>
        <v>0</v>
      </c>
      <c r="N363" s="366">
        <f t="shared" si="112"/>
        <v>0</v>
      </c>
      <c r="O363" s="365"/>
      <c r="P363" s="367">
        <f>Tabla1[[#This Row],[G. HGS 
'[MWh']]]</f>
        <v>0</v>
      </c>
      <c r="Q363" s="430">
        <v>0</v>
      </c>
      <c r="R363" s="367">
        <v>0</v>
      </c>
      <c r="S363" s="367">
        <f>Tabla1[[#This Row],[G. HGS 
Con Gas]]*1000</f>
        <v>0</v>
      </c>
      <c r="T363" s="365">
        <f>Tabla1[[#This Row],[G. HGS 
'[MWh']]]*1000</f>
        <v>0</v>
      </c>
      <c r="U363" s="368">
        <f>SUM('G. Un GE'!B363:Y363)</f>
        <v>0</v>
      </c>
      <c r="V363" s="369">
        <f>Tabla1[[#This Row],[R. GE
'[MWh']]]</f>
        <v>0</v>
      </c>
      <c r="W363" s="434">
        <v>0</v>
      </c>
      <c r="X363" s="369">
        <v>0</v>
      </c>
      <c r="Y363" s="365">
        <f>Tabla1[[#This Row],[R. GE
'[MWh']]]*1000</f>
        <v>0</v>
      </c>
      <c r="Z363" s="371"/>
      <c r="AA363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3" s="371">
        <f>IF(Tabla1[[#This Row],[G. HGS 
'[MWh']]]=0,0,Tabla1[[#This Row],[G. HGS 
'[MWh']]]+Tabla1[[#This Row],[Con. Aux. '[MWh']2]])</f>
        <v>0</v>
      </c>
      <c r="AC363" s="368">
        <f>'C. ENER. TN'!F363</f>
        <v>0</v>
      </c>
      <c r="AD363" s="370">
        <f>'C. ENER. TN'!G363</f>
        <v>0</v>
      </c>
      <c r="AE363" s="370">
        <f>'G. Un GE'!AX363</f>
        <v>0</v>
      </c>
      <c r="AF363" s="368">
        <f>IFERROR('G. Un GE'!AX363/Tabla1[[#This Row],[PO '[h']]],0)</f>
        <v>0</v>
      </c>
      <c r="AG363" s="365">
        <f>'Ar-Pa'!AX363</f>
        <v>0</v>
      </c>
      <c r="AH363" s="365">
        <f>'Ar-Pa'!AY363</f>
        <v>0</v>
      </c>
      <c r="AI363" s="366">
        <f>SUM('Cal. Arr'!AB366:AY366)</f>
        <v>0</v>
      </c>
      <c r="AJ363" s="442"/>
      <c r="AK363" s="443"/>
      <c r="AL363" s="372">
        <f t="shared" si="113"/>
        <v>0</v>
      </c>
      <c r="AM363" s="372">
        <f>+CONVERT(AK363+Tabla1[[#This Row],[Con. DO Storage Gen. '[m3']]],"m^3","gal")</f>
        <v>0</v>
      </c>
      <c r="AN363" s="372">
        <f>SUM('DO Pilot'!B363:Y363)</f>
        <v>0</v>
      </c>
      <c r="AO363" s="372">
        <f t="shared" si="114"/>
        <v>0</v>
      </c>
      <c r="AP363" s="372">
        <f t="shared" si="115"/>
        <v>0</v>
      </c>
      <c r="AQ363" s="372">
        <f t="shared" si="116"/>
        <v>0</v>
      </c>
      <c r="AR363" s="443"/>
      <c r="AS363" s="443"/>
      <c r="AT363" s="267">
        <f>+CONVERT(SUM(Tabla1[[#This Row],[Repo. DO Storage '[gal']]:[Repo. DO Pilot '[gal']]]),"gal","m3")</f>
        <v>0</v>
      </c>
      <c r="AU363" s="442">
        <v>0</v>
      </c>
      <c r="AV363" s="372">
        <f t="shared" si="117"/>
        <v>0</v>
      </c>
      <c r="AW363" s="442">
        <v>0</v>
      </c>
      <c r="AX363" s="372">
        <f t="shared" si="118"/>
        <v>0</v>
      </c>
      <c r="AY363" s="372">
        <f t="shared" si="105"/>
        <v>0</v>
      </c>
      <c r="AZ363" s="372">
        <f>IFERROR(AL363/'Ar-Pa'!AX363,0)</f>
        <v>0</v>
      </c>
      <c r="BA363" s="372">
        <f>IFERROR(AL363/'Ar-Pa'!AY363,0)</f>
        <v>0</v>
      </c>
      <c r="BB363" s="372">
        <f t="shared" si="106"/>
        <v>0</v>
      </c>
      <c r="BC363" s="372">
        <f>IFERROR(AVERAGEIF('DO Pilot'!AX363:BU363,"&gt;0"),0)</f>
        <v>0</v>
      </c>
      <c r="BD363" s="446"/>
      <c r="BE363" s="446"/>
      <c r="BF363" s="446"/>
      <c r="BG363" s="223">
        <f>Tabla1[[#This Row],[ Re. Gas GC
 '[m3']]]</f>
        <v>0</v>
      </c>
      <c r="BH363" s="150">
        <f>IFERROR((BG363*Gas!$B$4)/28.31685,0)</f>
        <v>0</v>
      </c>
      <c r="BI363" s="73">
        <f t="shared" si="111"/>
        <v>0</v>
      </c>
      <c r="BJ363" s="74">
        <f t="shared" si="109"/>
        <v>0</v>
      </c>
      <c r="BK363" s="223">
        <f t="shared" si="107"/>
        <v>0</v>
      </c>
      <c r="BL363" s="442">
        <v>9043.9699999999993</v>
      </c>
      <c r="BM363" s="70">
        <f t="shared" si="108"/>
        <v>0</v>
      </c>
      <c r="BN363" s="70">
        <f t="shared" si="110"/>
        <v>0</v>
      </c>
      <c r="BO363" s="373">
        <f>IFERROR(Tabla1[[#This Row],[ Re. Gas GC
 '[m3']]]/Tabla1[[#This Row],[G. HGS 
Con Gas '[kWh']]],0)</f>
        <v>0</v>
      </c>
      <c r="BP363" s="374">
        <f>Tank!Y364</f>
        <v>0</v>
      </c>
      <c r="BQ363" s="70">
        <f>Tank!AP364</f>
        <v>0</v>
      </c>
      <c r="BR363" s="70">
        <f>Tank!V364</f>
        <v>0</v>
      </c>
      <c r="BS363" s="372">
        <f>Tank!T364</f>
        <v>0</v>
      </c>
      <c r="BT363" s="375" t="s">
        <v>228</v>
      </c>
      <c r="BU363" s="452"/>
      <c r="BV363" s="376">
        <f>IF(Tabla1[[#This Row],[Combustible ofertado]]="GAS",Tabla1[[#This Row],[Disponibilidad]],0)</f>
        <v>0</v>
      </c>
      <c r="BW363" s="376">
        <f>IF(Tabla1[[#This Row],[Combustible ofertado]]="DIESEL",Tabla1[[#This Row],[Disponibilidad]],0)</f>
        <v>0</v>
      </c>
      <c r="BX363" s="376">
        <f>IF(Tabla1[[#This Row],[Combustible ofertado]]="HFO",Tabla1[[#This Row],[Disponibilidad]],0)</f>
        <v>0</v>
      </c>
      <c r="BY363" s="452"/>
      <c r="BZ363" s="446">
        <f>'Horo. M'!C364</f>
        <v>0</v>
      </c>
      <c r="CA363" s="446">
        <f>'Horo. M'!E364</f>
        <v>0</v>
      </c>
      <c r="CB363" s="446">
        <f>'Horo. M'!G364</f>
        <v>0</v>
      </c>
      <c r="CC363" s="446">
        <f>'Horo. M'!I364</f>
        <v>0</v>
      </c>
      <c r="CD363" s="446">
        <f>'Horo. M'!K364</f>
        <v>0</v>
      </c>
      <c r="CE363" s="446">
        <f>'Horo. M'!M364</f>
        <v>0</v>
      </c>
      <c r="CF363" s="446">
        <f>'Horo. M'!O364</f>
        <v>0</v>
      </c>
      <c r="CG363" s="446">
        <f>'Horo. M'!Q364</f>
        <v>0</v>
      </c>
      <c r="CH363" s="446">
        <f>'Horo. M'!S364</f>
        <v>0</v>
      </c>
      <c r="CI363" s="446">
        <f>'Horo. M'!U364</f>
        <v>0</v>
      </c>
      <c r="CJ363" s="70">
        <f>Tabla1[[#This Row],[Con. DO Storage '[gal']]]-Tabla1[[#This Row],[C. DO Storage Ge '[gal']]]</f>
        <v>0</v>
      </c>
      <c r="CK363" s="70"/>
      <c r="CL363" s="70"/>
      <c r="CM363" s="70">
        <f>Tabla1[[#This Row],[Con. DO Total '[gal']]]*131485.5/(1000000)</f>
        <v>0</v>
      </c>
    </row>
    <row r="364" spans="1:91" ht="15" customHeight="1">
      <c r="A364" s="362">
        <v>45289</v>
      </c>
      <c r="B364" s="363" t="str">
        <f>TEXT(Tabla1[[#This Row],[Fecha]],"mmmm")</f>
        <v>diciembre</v>
      </c>
      <c r="C364" s="364"/>
      <c r="D364" s="366"/>
      <c r="E364" s="366"/>
      <c r="F364" s="366"/>
      <c r="G364" s="377"/>
      <c r="H364" s="377"/>
      <c r="I364" s="378"/>
      <c r="J364" s="378"/>
      <c r="K364" s="366"/>
      <c r="L364" s="366"/>
      <c r="M364" s="365">
        <f>Tabla1[[#This Row],[Columna1]]-Tabla1[[#This Row],[PO '[h']]]</f>
        <v>0</v>
      </c>
      <c r="N364" s="366">
        <f t="shared" si="112"/>
        <v>0</v>
      </c>
      <c r="O364" s="365"/>
      <c r="P364" s="367">
        <f>Tabla1[[#This Row],[G. HGS 
'[MWh']]]</f>
        <v>0</v>
      </c>
      <c r="Q364" s="430">
        <v>0</v>
      </c>
      <c r="R364" s="367">
        <v>0</v>
      </c>
      <c r="S364" s="367">
        <f>Tabla1[[#This Row],[G. HGS 
Con Gas]]*1000</f>
        <v>0</v>
      </c>
      <c r="T364" s="365">
        <f>Tabla1[[#This Row],[G. HGS 
'[MWh']]]*1000</f>
        <v>0</v>
      </c>
      <c r="U364" s="368">
        <f>SUM('G. Un GE'!B364:Y364)</f>
        <v>0</v>
      </c>
      <c r="V364" s="369">
        <f>Tabla1[[#This Row],[R. GE
'[MWh']]]</f>
        <v>0</v>
      </c>
      <c r="W364" s="434">
        <v>0</v>
      </c>
      <c r="X364" s="369">
        <v>0</v>
      </c>
      <c r="Y364" s="365">
        <f>Tabla1[[#This Row],[R. GE
'[MWh']]]*1000</f>
        <v>0</v>
      </c>
      <c r="Z364" s="371"/>
      <c r="AA364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4" s="371">
        <f>IF(Tabla1[[#This Row],[G. HGS 
'[MWh']]]=0,0,Tabla1[[#This Row],[G. HGS 
'[MWh']]]+Tabla1[[#This Row],[Con. Aux. '[MWh']2]])</f>
        <v>0</v>
      </c>
      <c r="AC364" s="368">
        <f>'C. ENER. TN'!F364</f>
        <v>0</v>
      </c>
      <c r="AD364" s="370">
        <f>'C. ENER. TN'!G364</f>
        <v>0</v>
      </c>
      <c r="AE364" s="370">
        <f>'G. Un GE'!AX364</f>
        <v>0</v>
      </c>
      <c r="AF364" s="368">
        <f>IFERROR('G. Un GE'!AX364/Tabla1[[#This Row],[PO '[h']]],0)</f>
        <v>0</v>
      </c>
      <c r="AG364" s="365">
        <f>'Ar-Pa'!AX364</f>
        <v>0</v>
      </c>
      <c r="AH364" s="365">
        <f>'Ar-Pa'!AY364</f>
        <v>0</v>
      </c>
      <c r="AI364" s="366">
        <f>SUM('Cal. Arr'!AB367:AY367)</f>
        <v>0</v>
      </c>
      <c r="AJ364" s="442"/>
      <c r="AK364" s="443"/>
      <c r="AL364" s="372">
        <f t="shared" si="113"/>
        <v>0</v>
      </c>
      <c r="AM364" s="372">
        <f>+CONVERT(AK364+Tabla1[[#This Row],[Con. DO Storage Gen. '[m3']]],"m^3","gal")</f>
        <v>0</v>
      </c>
      <c r="AN364" s="372">
        <f>SUM('DO Pilot'!B364:Y364)</f>
        <v>0</v>
      </c>
      <c r="AO364" s="372">
        <f t="shared" si="114"/>
        <v>0</v>
      </c>
      <c r="AP364" s="372">
        <f t="shared" si="115"/>
        <v>0</v>
      </c>
      <c r="AQ364" s="372">
        <f t="shared" si="116"/>
        <v>0</v>
      </c>
      <c r="AR364" s="443"/>
      <c r="AS364" s="443"/>
      <c r="AT364" s="267">
        <f>+CONVERT(SUM(Tabla1[[#This Row],[Repo. DO Storage '[gal']]:[Repo. DO Pilot '[gal']]]),"gal","m3")</f>
        <v>0</v>
      </c>
      <c r="AU364" s="442">
        <v>0</v>
      </c>
      <c r="AV364" s="372">
        <f t="shared" si="117"/>
        <v>0</v>
      </c>
      <c r="AW364" s="442">
        <v>0</v>
      </c>
      <c r="AX364" s="372">
        <f t="shared" si="118"/>
        <v>0</v>
      </c>
      <c r="AY364" s="372">
        <f t="shared" si="105"/>
        <v>0</v>
      </c>
      <c r="AZ364" s="372">
        <f>IFERROR(AL364/'Ar-Pa'!AX364,0)</f>
        <v>0</v>
      </c>
      <c r="BA364" s="372">
        <f>IFERROR(AL364/'Ar-Pa'!AY364,0)</f>
        <v>0</v>
      </c>
      <c r="BB364" s="372">
        <f t="shared" si="106"/>
        <v>0</v>
      </c>
      <c r="BC364" s="372">
        <f>IFERROR(AVERAGEIF('DO Pilot'!AX364:BU364,"&gt;0"),0)</f>
        <v>0</v>
      </c>
      <c r="BD364" s="446"/>
      <c r="BE364" s="446"/>
      <c r="BF364" s="446"/>
      <c r="BG364" s="223">
        <f>Tabla1[[#This Row],[ Re. Gas GC
 '[m3']]]</f>
        <v>0</v>
      </c>
      <c r="BH364" s="150">
        <f>IFERROR((BG364*Gas!$B$4)/28.31685,0)</f>
        <v>0</v>
      </c>
      <c r="BI364" s="73">
        <f t="shared" si="111"/>
        <v>0</v>
      </c>
      <c r="BJ364" s="74">
        <f t="shared" si="109"/>
        <v>0</v>
      </c>
      <c r="BK364" s="223">
        <f t="shared" si="107"/>
        <v>0</v>
      </c>
      <c r="BL364" s="442">
        <v>9072.82</v>
      </c>
      <c r="BM364" s="70">
        <f t="shared" si="108"/>
        <v>0</v>
      </c>
      <c r="BN364" s="70">
        <f t="shared" si="110"/>
        <v>0</v>
      </c>
      <c r="BO364" s="373">
        <f>IFERROR(Tabla1[[#This Row],[ Re. Gas GC
 '[m3']]]/Tabla1[[#This Row],[G. HGS 
Con Gas '[kWh']]],0)</f>
        <v>0</v>
      </c>
      <c r="BP364" s="374">
        <f>Tank!Y365</f>
        <v>0</v>
      </c>
      <c r="BQ364" s="70">
        <f>Tank!AP365</f>
        <v>0</v>
      </c>
      <c r="BR364" s="70">
        <f>Tank!V365</f>
        <v>0</v>
      </c>
      <c r="BS364" s="372">
        <f>Tank!T365</f>
        <v>0</v>
      </c>
      <c r="BT364" s="375" t="s">
        <v>228</v>
      </c>
      <c r="BU364" s="452"/>
      <c r="BV364" s="376">
        <f>IF(Tabla1[[#This Row],[Combustible ofertado]]="GAS",Tabla1[[#This Row],[Disponibilidad]],0)</f>
        <v>0</v>
      </c>
      <c r="BW364" s="376">
        <f>IF(Tabla1[[#This Row],[Combustible ofertado]]="DIESEL",Tabla1[[#This Row],[Disponibilidad]],0)</f>
        <v>0</v>
      </c>
      <c r="BX364" s="376">
        <f>IF(Tabla1[[#This Row],[Combustible ofertado]]="HFO",Tabla1[[#This Row],[Disponibilidad]],0)</f>
        <v>0</v>
      </c>
      <c r="BY364" s="452"/>
      <c r="BZ364" s="446">
        <f>'Horo. M'!C365</f>
        <v>0</v>
      </c>
      <c r="CA364" s="446">
        <f>'Horo. M'!E365</f>
        <v>0</v>
      </c>
      <c r="CB364" s="446">
        <f>'Horo. M'!G365</f>
        <v>0</v>
      </c>
      <c r="CC364" s="446">
        <f>'Horo. M'!I365</f>
        <v>0</v>
      </c>
      <c r="CD364" s="446">
        <f>'Horo. M'!K365</f>
        <v>0</v>
      </c>
      <c r="CE364" s="446">
        <f>'Horo. M'!M365</f>
        <v>0</v>
      </c>
      <c r="CF364" s="446">
        <f>'Horo. M'!O365</f>
        <v>0</v>
      </c>
      <c r="CG364" s="446">
        <f>'Horo. M'!Q365</f>
        <v>0</v>
      </c>
      <c r="CH364" s="446">
        <f>'Horo. M'!S365</f>
        <v>0</v>
      </c>
      <c r="CI364" s="446">
        <f>'Horo. M'!U365</f>
        <v>0</v>
      </c>
      <c r="CJ364" s="70">
        <f>Tabla1[[#This Row],[Con. DO Storage '[gal']]]-Tabla1[[#This Row],[C. DO Storage Ge '[gal']]]</f>
        <v>0</v>
      </c>
      <c r="CK364" s="70"/>
      <c r="CL364" s="70"/>
      <c r="CM364" s="70">
        <f>Tabla1[[#This Row],[Con. DO Total '[gal']]]*131485.5/(1000000)</f>
        <v>0</v>
      </c>
    </row>
    <row r="365" spans="1:91" ht="15" customHeight="1">
      <c r="A365" s="362">
        <v>45290</v>
      </c>
      <c r="B365" s="363" t="str">
        <f>TEXT(Tabla1[[#This Row],[Fecha]],"mmmm")</f>
        <v>diciembre</v>
      </c>
      <c r="C365" s="364"/>
      <c r="D365" s="366"/>
      <c r="E365" s="366"/>
      <c r="F365" s="366"/>
      <c r="G365" s="377"/>
      <c r="H365" s="377"/>
      <c r="I365" s="378"/>
      <c r="J365" s="378"/>
      <c r="K365" s="366"/>
      <c r="L365" s="366"/>
      <c r="M365" s="365">
        <f>Tabla1[[#This Row],[Columna1]]-Tabla1[[#This Row],[PO '[h']]]</f>
        <v>0</v>
      </c>
      <c r="N365" s="366">
        <f t="shared" si="112"/>
        <v>0</v>
      </c>
      <c r="O365" s="365"/>
      <c r="P365" s="367">
        <f>Tabla1[[#This Row],[G. HGS 
'[MWh']]]</f>
        <v>0</v>
      </c>
      <c r="Q365" s="430">
        <v>0</v>
      </c>
      <c r="R365" s="367">
        <v>0</v>
      </c>
      <c r="S365" s="367">
        <f>Tabla1[[#This Row],[G. HGS 
Con Gas]]*1000</f>
        <v>0</v>
      </c>
      <c r="T365" s="365">
        <f>Tabla1[[#This Row],[G. HGS 
'[MWh']]]*1000</f>
        <v>0</v>
      </c>
      <c r="U365" s="368">
        <f>SUM('G. Un GE'!B365:Y365)</f>
        <v>0</v>
      </c>
      <c r="V365" s="369">
        <f>Tabla1[[#This Row],[R. GE
'[MWh']]]</f>
        <v>0</v>
      </c>
      <c r="W365" s="434">
        <v>0</v>
      </c>
      <c r="X365" s="369">
        <v>0</v>
      </c>
      <c r="Y365" s="365">
        <f>Tabla1[[#This Row],[R. GE
'[MWh']]]*1000</f>
        <v>0</v>
      </c>
      <c r="Z365" s="371"/>
      <c r="AA365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5" s="371">
        <f>IF(Tabla1[[#This Row],[G. HGS 
'[MWh']]]=0,0,Tabla1[[#This Row],[G. HGS 
'[MWh']]]+Tabla1[[#This Row],[Con. Aux. '[MWh']2]])</f>
        <v>0</v>
      </c>
      <c r="AC365" s="368">
        <f>'C. ENER. TN'!F365</f>
        <v>0</v>
      </c>
      <c r="AD365" s="370">
        <f>'C. ENER. TN'!G365</f>
        <v>0</v>
      </c>
      <c r="AE365" s="370">
        <f>'G. Un GE'!AX365</f>
        <v>0</v>
      </c>
      <c r="AF365" s="368">
        <f>IFERROR('G. Un GE'!AX365/Tabla1[[#This Row],[PO '[h']]],0)</f>
        <v>0</v>
      </c>
      <c r="AG365" s="365">
        <f>'Ar-Pa'!AX365</f>
        <v>0</v>
      </c>
      <c r="AH365" s="365">
        <f>'Ar-Pa'!AY365</f>
        <v>0</v>
      </c>
      <c r="AI365" s="366">
        <f>SUM('Cal. Arr'!AB368:AY368)</f>
        <v>0</v>
      </c>
      <c r="AJ365" s="442"/>
      <c r="AK365" s="443"/>
      <c r="AL365" s="372">
        <f t="shared" si="113"/>
        <v>0</v>
      </c>
      <c r="AM365" s="372">
        <f>+CONVERT(AK365+Tabla1[[#This Row],[Con. DO Storage Gen. '[m3']]],"m^3","gal")</f>
        <v>0</v>
      </c>
      <c r="AN365" s="372">
        <f>SUM('DO Pilot'!B365:Y365)</f>
        <v>0</v>
      </c>
      <c r="AO365" s="372">
        <f t="shared" si="114"/>
        <v>0</v>
      </c>
      <c r="AP365" s="372">
        <f t="shared" si="115"/>
        <v>0</v>
      </c>
      <c r="AQ365" s="372">
        <f t="shared" si="116"/>
        <v>0</v>
      </c>
      <c r="AR365" s="443"/>
      <c r="AS365" s="443"/>
      <c r="AT365" s="267">
        <f>+CONVERT(SUM(Tabla1[[#This Row],[Repo. DO Storage '[gal']]:[Repo. DO Pilot '[gal']]]),"gal","m3")</f>
        <v>0</v>
      </c>
      <c r="AU365" s="442">
        <v>0</v>
      </c>
      <c r="AV365" s="372">
        <f t="shared" si="117"/>
        <v>0</v>
      </c>
      <c r="AW365" s="442">
        <v>0</v>
      </c>
      <c r="AX365" s="372">
        <f t="shared" si="118"/>
        <v>0</v>
      </c>
      <c r="AY365" s="372">
        <f t="shared" si="105"/>
        <v>0</v>
      </c>
      <c r="AZ365" s="372">
        <f>IFERROR(AL365/'Ar-Pa'!AX365,0)</f>
        <v>0</v>
      </c>
      <c r="BA365" s="372">
        <f>IFERROR(AL365/'Ar-Pa'!AY365,0)</f>
        <v>0</v>
      </c>
      <c r="BB365" s="372">
        <f t="shared" si="106"/>
        <v>0</v>
      </c>
      <c r="BC365" s="372">
        <f>IFERROR(AVERAGEIF('DO Pilot'!AX365:BU365,"&gt;0"),0)</f>
        <v>0</v>
      </c>
      <c r="BD365" s="446"/>
      <c r="BE365" s="446"/>
      <c r="BF365" s="446"/>
      <c r="BG365" s="223">
        <f>Tabla1[[#This Row],[ Re. Gas GC
 '[m3']]]</f>
        <v>0</v>
      </c>
      <c r="BH365" s="150">
        <f>IFERROR((BG365*Gas!$B$4)/28.31685,0)</f>
        <v>0</v>
      </c>
      <c r="BI365" s="73">
        <f t="shared" si="111"/>
        <v>0</v>
      </c>
      <c r="BJ365" s="74">
        <f t="shared" si="109"/>
        <v>0</v>
      </c>
      <c r="BK365" s="223">
        <f t="shared" si="107"/>
        <v>0</v>
      </c>
      <c r="BL365" s="442">
        <v>9090.77</v>
      </c>
      <c r="BM365" s="70">
        <f t="shared" si="108"/>
        <v>0</v>
      </c>
      <c r="BN365" s="70">
        <f t="shared" si="110"/>
        <v>0</v>
      </c>
      <c r="BO365" s="373">
        <f>IFERROR(Tabla1[[#This Row],[ Re. Gas GC
 '[m3']]]/Tabla1[[#This Row],[G. HGS 
Con Gas '[kWh']]],0)</f>
        <v>0</v>
      </c>
      <c r="BP365" s="374">
        <f>Tank!Y366</f>
        <v>0</v>
      </c>
      <c r="BQ365" s="70">
        <f>Tank!AP366</f>
        <v>0</v>
      </c>
      <c r="BR365" s="70">
        <f>Tank!V366</f>
        <v>0</v>
      </c>
      <c r="BS365" s="372">
        <f>Tank!T366</f>
        <v>0</v>
      </c>
      <c r="BT365" s="375" t="s">
        <v>228</v>
      </c>
      <c r="BU365" s="452"/>
      <c r="BV365" s="376">
        <f>IF(Tabla1[[#This Row],[Combustible ofertado]]="GAS",Tabla1[[#This Row],[Disponibilidad]],0)</f>
        <v>0</v>
      </c>
      <c r="BW365" s="376">
        <f>IF(Tabla1[[#This Row],[Combustible ofertado]]="DIESEL",Tabla1[[#This Row],[Disponibilidad]],0)</f>
        <v>0</v>
      </c>
      <c r="BX365" s="376">
        <f>IF(Tabla1[[#This Row],[Combustible ofertado]]="HFO",Tabla1[[#This Row],[Disponibilidad]],0)</f>
        <v>0</v>
      </c>
      <c r="BY365" s="452"/>
      <c r="BZ365" s="446">
        <f>'Horo. M'!C366</f>
        <v>0</v>
      </c>
      <c r="CA365" s="446">
        <f>'Horo. M'!E366</f>
        <v>0</v>
      </c>
      <c r="CB365" s="446">
        <f>'Horo. M'!G366</f>
        <v>0</v>
      </c>
      <c r="CC365" s="446">
        <f>'Horo. M'!I366</f>
        <v>0</v>
      </c>
      <c r="CD365" s="446">
        <f>'Horo. M'!K366</f>
        <v>0</v>
      </c>
      <c r="CE365" s="446">
        <f>'Horo. M'!M366</f>
        <v>0</v>
      </c>
      <c r="CF365" s="446">
        <f>'Horo. M'!O366</f>
        <v>0</v>
      </c>
      <c r="CG365" s="446">
        <f>'Horo. M'!Q366</f>
        <v>0</v>
      </c>
      <c r="CH365" s="446">
        <f>'Horo. M'!S366</f>
        <v>0</v>
      </c>
      <c r="CI365" s="446">
        <f>'Horo. M'!U366</f>
        <v>0</v>
      </c>
      <c r="CJ365" s="70">
        <f>Tabla1[[#This Row],[Con. DO Storage '[gal']]]-Tabla1[[#This Row],[C. DO Storage Ge '[gal']]]</f>
        <v>0</v>
      </c>
      <c r="CK365" s="70"/>
      <c r="CL365" s="70"/>
      <c r="CM365" s="70">
        <f>Tabla1[[#This Row],[Con. DO Total '[gal']]]*131485.5/(1000000)</f>
        <v>0</v>
      </c>
    </row>
    <row r="366" spans="1:91" ht="15" customHeight="1">
      <c r="A366" s="362">
        <v>45291</v>
      </c>
      <c r="B366" s="363" t="str">
        <f>TEXT(Tabla1[[#This Row],[Fecha]],"mmmm")</f>
        <v>diciembre</v>
      </c>
      <c r="C366" s="364"/>
      <c r="D366" s="366"/>
      <c r="E366" s="366"/>
      <c r="F366" s="366"/>
      <c r="G366" s="377"/>
      <c r="H366" s="377"/>
      <c r="I366" s="378"/>
      <c r="J366" s="378"/>
      <c r="K366" s="366"/>
      <c r="L366" s="366"/>
      <c r="M366" s="365">
        <f>Tabla1[[#This Row],[Columna1]]-Tabla1[[#This Row],[PO '[h']]]</f>
        <v>0</v>
      </c>
      <c r="N366" s="366">
        <f t="shared" si="112"/>
        <v>0</v>
      </c>
      <c r="O366" s="365"/>
      <c r="P366" s="367">
        <f>Tabla1[[#This Row],[G. HGS 
'[MWh']]]</f>
        <v>0</v>
      </c>
      <c r="Q366" s="430">
        <v>0</v>
      </c>
      <c r="R366" s="367">
        <v>0</v>
      </c>
      <c r="S366" s="367">
        <f>Tabla1[[#This Row],[G. HGS 
Con Gas]]*1000</f>
        <v>0</v>
      </c>
      <c r="T366" s="365">
        <f>Tabla1[[#This Row],[G. HGS 
'[MWh']]]*1000</f>
        <v>0</v>
      </c>
      <c r="U366" s="368">
        <f>SUM('G. Un GE'!B366:Y366)</f>
        <v>0</v>
      </c>
      <c r="V366" s="369">
        <f>Tabla1[[#This Row],[R. GE
'[MWh']]]</f>
        <v>0</v>
      </c>
      <c r="W366" s="434">
        <v>0</v>
      </c>
      <c r="X366" s="369">
        <v>0</v>
      </c>
      <c r="Y366" s="365">
        <f>Tabla1[[#This Row],[R. GE
'[MWh']]]*1000</f>
        <v>0</v>
      </c>
      <c r="Z366" s="371"/>
      <c r="AA366" s="371">
        <f>IF(Tabla1[[#This Row],[E. Con. Red '[MWh']]]=0,Tabla1[[#This Row],[E. Con. Aux. '[MWh']]],IF(Tabla1[[#This Row],[E. Con. Aux. '[MWh']]]&lt;Tabla1[[#This Row],[E. Con. Red '[MWh']]],0,Tabla1[[#This Row],[E. Con. Aux. '[MWh']]]-Tabla1[[#This Row],[E. Con. Red '[MWh']]]))</f>
        <v>0</v>
      </c>
      <c r="AB366" s="371">
        <f>IF(Tabla1[[#This Row],[G. HGS 
'[MWh']]]=0,0,Tabla1[[#This Row],[G. HGS 
'[MWh']]]+Tabla1[[#This Row],[Con. Aux. '[MWh']2]])</f>
        <v>0</v>
      </c>
      <c r="AC366" s="368">
        <f>'C. ENER. TN'!F366</f>
        <v>0</v>
      </c>
      <c r="AD366" s="370">
        <f>'C. ENER. TN'!G366</f>
        <v>0</v>
      </c>
      <c r="AE366" s="370">
        <f>'G. Un GE'!AX366</f>
        <v>0</v>
      </c>
      <c r="AF366" s="368">
        <f>IFERROR('G. Un GE'!AX366/Tabla1[[#This Row],[PO '[h']]],0)</f>
        <v>0</v>
      </c>
      <c r="AG366" s="365">
        <f>'Ar-Pa'!AX366</f>
        <v>0</v>
      </c>
      <c r="AH366" s="365">
        <f>'Ar-Pa'!AY366</f>
        <v>0</v>
      </c>
      <c r="AI366" s="366">
        <f>SUM('Cal. Arr'!AB369:AY369)</f>
        <v>0</v>
      </c>
      <c r="AJ366" s="442"/>
      <c r="AK366" s="443"/>
      <c r="AL366" s="372">
        <f t="shared" si="113"/>
        <v>0</v>
      </c>
      <c r="AM366" s="372">
        <f>+CONVERT(AK366+Tabla1[[#This Row],[Con. DO Storage Gen. '[m3']]],"m^3","gal")</f>
        <v>0</v>
      </c>
      <c r="AN366" s="372">
        <f>SUM('DO Pilot'!B366:Y366)</f>
        <v>0</v>
      </c>
      <c r="AO366" s="372">
        <f t="shared" si="114"/>
        <v>0</v>
      </c>
      <c r="AP366" s="372">
        <f t="shared" si="115"/>
        <v>0</v>
      </c>
      <c r="AQ366" s="372">
        <f t="shared" si="116"/>
        <v>0</v>
      </c>
      <c r="AR366" s="443"/>
      <c r="AS366" s="443"/>
      <c r="AT366" s="267">
        <f>+CONVERT(SUM(Tabla1[[#This Row],[Repo. DO Storage '[gal']]:[Repo. DO Pilot '[gal']]]),"gal","m3")</f>
        <v>0</v>
      </c>
      <c r="AU366" s="442">
        <v>0</v>
      </c>
      <c r="AV366" s="372">
        <f t="shared" si="117"/>
        <v>0</v>
      </c>
      <c r="AW366" s="442">
        <v>0</v>
      </c>
      <c r="AX366" s="372">
        <f t="shared" si="118"/>
        <v>0</v>
      </c>
      <c r="AY366" s="372">
        <f t="shared" si="105"/>
        <v>0</v>
      </c>
      <c r="AZ366" s="372">
        <f>IFERROR(AL366/'Ar-Pa'!AX366,0)</f>
        <v>0</v>
      </c>
      <c r="BA366" s="372">
        <f>IFERROR(AL366/'Ar-Pa'!AY366,0)</f>
        <v>0</v>
      </c>
      <c r="BB366" s="372">
        <f t="shared" si="106"/>
        <v>0</v>
      </c>
      <c r="BC366" s="372">
        <f>IFERROR(AVERAGEIF('DO Pilot'!AX366:BU366,"&gt;0"),0)</f>
        <v>0</v>
      </c>
      <c r="BD366" s="446"/>
      <c r="BE366" s="446"/>
      <c r="BF366" s="446"/>
      <c r="BG366" s="223">
        <f>Tabla1[[#This Row],[ Re. Gas GC
 '[m3']]]</f>
        <v>0</v>
      </c>
      <c r="BH366" s="150">
        <f>IFERROR((BG366*Gas!$B$4)/28.31685,0)</f>
        <v>0</v>
      </c>
      <c r="BI366" s="73">
        <f t="shared" si="111"/>
        <v>0</v>
      </c>
      <c r="BJ366" s="74">
        <f t="shared" si="109"/>
        <v>0</v>
      </c>
      <c r="BK366" s="223">
        <f t="shared" si="107"/>
        <v>0</v>
      </c>
      <c r="BL366" s="442">
        <v>8922.75</v>
      </c>
      <c r="BM366" s="70">
        <f t="shared" si="108"/>
        <v>0</v>
      </c>
      <c r="BN366" s="70">
        <f t="shared" si="110"/>
        <v>0</v>
      </c>
      <c r="BO366" s="373">
        <f>IFERROR(Tabla1[[#This Row],[ Re. Gas GC
 '[m3']]]/Tabla1[[#This Row],[G. HGS 
Con Gas '[kWh']]],0)</f>
        <v>0</v>
      </c>
      <c r="BP366" s="374">
        <f>Tank!Y367</f>
        <v>0</v>
      </c>
      <c r="BQ366" s="70">
        <f>Tank!AP367</f>
        <v>0</v>
      </c>
      <c r="BR366" s="70">
        <f>Tank!V367</f>
        <v>0</v>
      </c>
      <c r="BS366" s="372">
        <f>Tank!T367</f>
        <v>0</v>
      </c>
      <c r="BT366" s="375" t="s">
        <v>228</v>
      </c>
      <c r="BU366" s="452"/>
      <c r="BV366" s="376">
        <f>IF(Tabla1[[#This Row],[Combustible ofertado]]="GAS",Tabla1[[#This Row],[Disponibilidad]],0)</f>
        <v>0</v>
      </c>
      <c r="BW366" s="376">
        <f>IF(Tabla1[[#This Row],[Combustible ofertado]]="DIESEL",Tabla1[[#This Row],[Disponibilidad]],0)</f>
        <v>0</v>
      </c>
      <c r="BX366" s="376">
        <f>IF(Tabla1[[#This Row],[Combustible ofertado]]="HFO",Tabla1[[#This Row],[Disponibilidad]],0)</f>
        <v>0</v>
      </c>
      <c r="BY366" s="452"/>
      <c r="BZ366" s="446">
        <f>'Horo. M'!C367</f>
        <v>0</v>
      </c>
      <c r="CA366" s="446">
        <f>'Horo. M'!E367</f>
        <v>0</v>
      </c>
      <c r="CB366" s="446">
        <f>'Horo. M'!G367</f>
        <v>0</v>
      </c>
      <c r="CC366" s="446">
        <f>'Horo. M'!I367</f>
        <v>0</v>
      </c>
      <c r="CD366" s="446">
        <f>'Horo. M'!K367</f>
        <v>0</v>
      </c>
      <c r="CE366" s="446">
        <f>'Horo. M'!M367</f>
        <v>0</v>
      </c>
      <c r="CF366" s="446">
        <f>'Horo. M'!O367</f>
        <v>0</v>
      </c>
      <c r="CG366" s="446">
        <f>'Horo. M'!Q367</f>
        <v>0</v>
      </c>
      <c r="CH366" s="446">
        <f>'Horo. M'!S367</f>
        <v>0</v>
      </c>
      <c r="CI366" s="446">
        <f>'Horo. M'!U367</f>
        <v>0</v>
      </c>
      <c r="CJ366" s="393">
        <f>Tabla1[[#This Row],[Con. DO Storage '[gal']]]-Tabla1[[#This Row],[C. DO Storage Ge '[gal']]]</f>
        <v>0</v>
      </c>
      <c r="CK366" s="393"/>
      <c r="CL366" s="393"/>
      <c r="CM366" s="393">
        <f>Tabla1[[#This Row],[Con. DO Total '[gal']]]*131485.5/(1000000)</f>
        <v>0</v>
      </c>
    </row>
    <row r="367" spans="1:91">
      <c r="A367" s="409"/>
      <c r="B367" s="410"/>
      <c r="C367" s="411"/>
      <c r="D367" s="412"/>
      <c r="E367" s="413">
        <f>SUBTOTAL(109,Tabla1[DP '[MWh']])</f>
        <v>272756</v>
      </c>
      <c r="F367" s="412"/>
      <c r="G367" s="414"/>
      <c r="H367" s="414"/>
      <c r="I367" s="415">
        <f>SUBTOTAL(109,Tabla1[AUT '[Un']])</f>
        <v>302</v>
      </c>
      <c r="J367" s="415"/>
      <c r="K367" s="412"/>
      <c r="L367" s="413"/>
      <c r="M367" s="412"/>
      <c r="N367" s="416"/>
      <c r="O367" s="413"/>
      <c r="P367" s="413"/>
      <c r="Q367" s="435">
        <f>SUBTOTAL(109,Tabla1[G. HGS 
Con DO])</f>
        <v>3669.8040999999998</v>
      </c>
      <c r="R367" s="413"/>
      <c r="S367" s="413"/>
      <c r="T367" s="413"/>
      <c r="U367" s="417">
        <f>SUBTOTAL(109,Tabla1[R. GE
'[MWh']])</f>
        <v>309996.58910000004</v>
      </c>
      <c r="V367" s="417"/>
      <c r="W367" s="417"/>
      <c r="X367" s="417"/>
      <c r="Y367" s="417">
        <f>SUBTOTAL(109,Tabla1[R. GE
'[kWh']])</f>
        <v>309996589.10000014</v>
      </c>
      <c r="Z367" s="418"/>
      <c r="AA367" s="418"/>
      <c r="AB367" s="417"/>
      <c r="AC367" s="438"/>
      <c r="AD367" s="439"/>
      <c r="AE367" s="440">
        <f>SUBTOTAL(109,Tabla1[G. Un. GE '[MWh']])</f>
        <v>39839.651899563491</v>
      </c>
      <c r="AF367" s="418"/>
      <c r="AG367" s="412"/>
      <c r="AH367" s="413"/>
      <c r="AI367" s="411">
        <f>SUBTOTAL(109,Tabla1[Ar. Planta])</f>
        <v>10</v>
      </c>
      <c r="AJ367" s="444">
        <f>SUBTOTAL(109,Tabla1[Con. DO Storage Gen. '[m3']])</f>
        <v>2308.3099999999995</v>
      </c>
      <c r="AK367" s="444">
        <f>SUBTOTAL(109,Tabla1[Con. DO Storage '[m3']])</f>
        <v>284.19</v>
      </c>
      <c r="AL367" s="68">
        <f>SUBTOTAL(109,Tabla1[Con. DO Storage '[gal']])</f>
        <v>75075.055559662171</v>
      </c>
      <c r="AM367" s="68"/>
      <c r="AN367" s="68">
        <f>SUBTOTAL(109,Tabla1[Con. DO Pilot '[m3']])</f>
        <v>1551.6099999999992</v>
      </c>
      <c r="AO367" s="68"/>
      <c r="AP367" s="68">
        <f>SUBTOTAL(109,Tabla1[Con. DO Total '[m3']])</f>
        <v>4144.1100000000024</v>
      </c>
      <c r="AQ367" s="68">
        <f>SUBTOTAL(109,Tabla1[Con. DO Total '[gal']])</f>
        <v>1094758.043897927</v>
      </c>
      <c r="AR367" s="444">
        <f>SUBTOTAL(109,Tabla1[Repo. DO Storage '[gal']])</f>
        <v>738198</v>
      </c>
      <c r="AS367" s="444">
        <f>SUBTOTAL(109,Tabla1[Repo. DO Pilot '[gal']])</f>
        <v>405155</v>
      </c>
      <c r="AT367" s="68">
        <f>SUBTOTAL(109,Tabla1[Repo. DO Total '[m3']])</f>
        <v>4328.0619194717519</v>
      </c>
      <c r="AU367" s="68"/>
      <c r="AV367" s="68"/>
      <c r="AW367" s="68"/>
      <c r="AX367" s="68"/>
      <c r="AY367" s="68"/>
      <c r="AZ367" s="68"/>
      <c r="BA367" s="68"/>
      <c r="BB367" s="68"/>
      <c r="BC367" s="68"/>
      <c r="BD367" s="447"/>
      <c r="BE367" s="447"/>
      <c r="BF367" s="447">
        <f>SUBTOTAL(109,Tabla1[] Tabla1[ Re. Gas GC
 '[m3']] )</f>
        <v>73688680</v>
      </c>
      <c r="BG367" s="347">
        <f>SUBTOTAL(109,Tabla1[] Tabla1[ Re. Gas GC
 '[m3'] Correg] )</f>
        <v>73688680</v>
      </c>
      <c r="BH367" s="347">
        <f>SUBTOTAL(109,Tabla1[ Re. Gas GC
 '[MBTU']])</f>
        <v>2592331.8115256452</v>
      </c>
      <c r="BI367" s="419"/>
      <c r="BJ367" s="420"/>
      <c r="BK367" s="420"/>
      <c r="BL367" s="448"/>
      <c r="BM367" s="347"/>
      <c r="BN367" s="347"/>
      <c r="BO367" s="348"/>
      <c r="BP367" s="46"/>
      <c r="BQ367" s="35"/>
      <c r="BR367" s="35"/>
      <c r="BS367" s="34"/>
      <c r="BU367" s="453"/>
      <c r="BY367" s="453"/>
      <c r="BZ367" s="35"/>
      <c r="CA367" s="35"/>
      <c r="CB367" s="35"/>
      <c r="CC367" s="35"/>
      <c r="CD367" s="35"/>
      <c r="CE367" s="35"/>
      <c r="CF367" s="35"/>
      <c r="CG367" s="35"/>
      <c r="CH367" s="35"/>
      <c r="CI367" s="35"/>
      <c r="CJ367" s="35">
        <f>SUBTOTAL(109,Tabla1[C. DO Storage Ar.'[gal']])</f>
        <v>-59430.664440337787</v>
      </c>
      <c r="CK367" s="35">
        <f>SUBTOTAL(109,Tabla1[C. DO Storage Ge '[gal']])</f>
        <v>134505.71999999997</v>
      </c>
      <c r="CL367" s="34">
        <f>SUBTOTAL(109,Tabla1[GEN  DO '[MWH']])</f>
        <v>1248041.2200000002</v>
      </c>
    </row>
    <row r="368" spans="1:91">
      <c r="W368" s="244"/>
      <c r="AM368" s="243"/>
    </row>
    <row r="370" spans="9:57">
      <c r="BE370" s="35"/>
    </row>
    <row r="371" spans="9:57">
      <c r="BE371" s="35"/>
    </row>
    <row r="372" spans="9:57">
      <c r="BE372" s="35"/>
    </row>
    <row r="373" spans="9:57">
      <c r="BE373" s="35"/>
    </row>
    <row r="377" spans="9:57" ht="15.75">
      <c r="BE377" s="342"/>
    </row>
    <row r="378" spans="9:57">
      <c r="BE378" s="343"/>
    </row>
    <row r="384" spans="9:57">
      <c r="I384" s="10" t="s">
        <v>232</v>
      </c>
    </row>
  </sheetData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H28"/>
  <sheetViews>
    <sheetView workbookViewId="0">
      <selection activeCell="B3" sqref="B3"/>
    </sheetView>
  </sheetViews>
  <sheetFormatPr defaultColWidth="11.42578125" defaultRowHeight="12.75"/>
  <cols>
    <col min="1" max="1" width="10" style="4" customWidth="1"/>
    <col min="2" max="2" width="10.5703125" style="4" bestFit="1" customWidth="1"/>
    <col min="3" max="3" width="8.42578125" style="4" bestFit="1" customWidth="1"/>
    <col min="4" max="4" width="9.28515625" style="4" bestFit="1" customWidth="1"/>
    <col min="5" max="5" width="12.28515625" style="4" bestFit="1" customWidth="1"/>
    <col min="6" max="8" width="15.85546875" style="4" customWidth="1"/>
    <col min="9" max="16384" width="11.42578125" style="4"/>
  </cols>
  <sheetData>
    <row r="1" spans="1:8" s="2" customFormat="1" ht="25.5">
      <c r="B1" s="7" t="s">
        <v>0</v>
      </c>
    </row>
    <row r="2" spans="1:8">
      <c r="B2" s="27">
        <f>996.13/1000</f>
        <v>0.99612999999999996</v>
      </c>
      <c r="C2" s="242">
        <v>44044</v>
      </c>
      <c r="D2" s="242">
        <v>44227</v>
      </c>
    </row>
    <row r="3" spans="1:8">
      <c r="B3" s="27">
        <f>996.18/1000</f>
        <v>0.99617999999999995</v>
      </c>
      <c r="C3" s="242">
        <v>44228</v>
      </c>
      <c r="D3" s="242">
        <v>44408</v>
      </c>
      <c r="E3" s="159"/>
      <c r="F3" s="159"/>
      <c r="G3" s="160"/>
      <c r="H3" s="161"/>
    </row>
    <row r="4" spans="1:8">
      <c r="B4" s="27">
        <f>996.18/1000</f>
        <v>0.99617999999999995</v>
      </c>
      <c r="E4" s="240"/>
      <c r="F4" s="240"/>
      <c r="G4" s="160"/>
      <c r="H4" s="161"/>
    </row>
    <row r="5" spans="1:8">
      <c r="E5" s="240"/>
      <c r="F5" s="240"/>
      <c r="G5" s="160"/>
      <c r="H5" s="161"/>
    </row>
    <row r="6" spans="1:8">
      <c r="F6" s="240"/>
      <c r="G6" s="160"/>
      <c r="H6" s="161"/>
    </row>
    <row r="8" spans="1:8">
      <c r="G8" s="160"/>
    </row>
    <row r="10" spans="1:8">
      <c r="E10" s="159"/>
      <c r="F10" s="159"/>
      <c r="G10" s="159"/>
      <c r="H10" s="161"/>
    </row>
    <row r="14" spans="1:8">
      <c r="E14" s="160"/>
      <c r="F14" s="160"/>
    </row>
    <row r="16" spans="1:8">
      <c r="A16" s="163"/>
      <c r="B16" s="164"/>
      <c r="E16" s="159"/>
      <c r="F16" s="159"/>
      <c r="G16" s="159"/>
    </row>
    <row r="17" spans="1:7">
      <c r="E17" s="159"/>
      <c r="F17" s="159"/>
      <c r="G17" s="159"/>
    </row>
    <row r="18" spans="1:7">
      <c r="E18" s="159"/>
      <c r="F18" s="159"/>
    </row>
    <row r="19" spans="1:7">
      <c r="A19" s="163"/>
      <c r="B19" s="159"/>
      <c r="E19" s="159"/>
      <c r="F19" s="159"/>
      <c r="G19" s="162"/>
    </row>
    <row r="20" spans="1:7">
      <c r="A20" s="163"/>
      <c r="E20" s="159"/>
    </row>
    <row r="21" spans="1:7">
      <c r="E21" s="241"/>
    </row>
    <row r="22" spans="1:7">
      <c r="E22" s="241"/>
    </row>
    <row r="23" spans="1:7">
      <c r="E23" s="110"/>
      <c r="F23" s="110"/>
      <c r="G23" s="110"/>
    </row>
    <row r="24" spans="1:7">
      <c r="E24" s="160"/>
      <c r="F24" s="160"/>
      <c r="G24" s="160"/>
    </row>
    <row r="26" spans="1:7">
      <c r="E26" s="159"/>
      <c r="F26" s="159"/>
      <c r="G26" s="159"/>
    </row>
    <row r="27" spans="1:7">
      <c r="E27" s="159"/>
      <c r="F27" s="159"/>
      <c r="G27" s="159"/>
    </row>
    <row r="28" spans="1:7">
      <c r="E28" s="159"/>
      <c r="F28" s="159"/>
      <c r="G28" s="15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C5F5FB"/>
  </sheetPr>
  <dimension ref="A1:AX366"/>
  <sheetViews>
    <sheetView zoomScaleNormal="100" workbookViewId="0">
      <pane ySplit="1" topLeftCell="A2" activePane="bottomLeft" state="frozen"/>
      <selection activeCell="AE23" sqref="AE23"/>
      <selection pane="bottomLeft" activeCell="A9" sqref="A9"/>
    </sheetView>
  </sheetViews>
  <sheetFormatPr defaultColWidth="11.42578125" defaultRowHeight="15"/>
  <cols>
    <col min="1" max="1" width="12.42578125" style="12" customWidth="1"/>
    <col min="2" max="15" width="4.140625" style="10" bestFit="1" customWidth="1"/>
    <col min="16" max="19" width="4.140625" style="10" customWidth="1"/>
    <col min="20" max="20" width="3.85546875" style="10" customWidth="1"/>
    <col min="21" max="21" width="4.140625" style="10" bestFit="1" customWidth="1"/>
    <col min="22" max="22" width="4" style="10" customWidth="1"/>
    <col min="23" max="23" width="3.7109375" style="10" customWidth="1"/>
    <col min="24" max="24" width="4.140625" style="10" bestFit="1" customWidth="1"/>
    <col min="25" max="25" width="4.140625" style="10" customWidth="1"/>
    <col min="26" max="26" width="7.42578125" style="10" customWidth="1"/>
    <col min="27" max="35" width="4.140625" style="10" bestFit="1" customWidth="1"/>
    <col min="36" max="36" width="4" style="10" customWidth="1"/>
    <col min="37" max="37" width="4.140625" style="10" bestFit="1" customWidth="1"/>
    <col min="38" max="38" width="5.7109375" style="10" customWidth="1"/>
    <col min="39" max="49" width="4.140625" style="10" bestFit="1" customWidth="1"/>
    <col min="50" max="50" width="6.5703125" style="10" bestFit="1" customWidth="1"/>
    <col min="51" max="16384" width="11.42578125" style="10"/>
  </cols>
  <sheetData>
    <row r="1" spans="1:50" s="12" customFormat="1">
      <c r="A1" s="13"/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4" t="s">
        <v>1</v>
      </c>
      <c r="AA1" s="14" t="s">
        <v>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4" t="s">
        <v>10</v>
      </c>
      <c r="AJ1" s="14" t="s">
        <v>11</v>
      </c>
      <c r="AK1" s="14" t="s">
        <v>12</v>
      </c>
      <c r="AL1" s="14" t="s">
        <v>13</v>
      </c>
      <c r="AM1" s="14" t="s">
        <v>14</v>
      </c>
      <c r="AN1" s="14" t="s">
        <v>15</v>
      </c>
      <c r="AO1" s="14" t="s">
        <v>16</v>
      </c>
      <c r="AP1" s="14" t="s">
        <v>17</v>
      </c>
      <c r="AQ1" s="14" t="s">
        <v>18</v>
      </c>
      <c r="AR1" s="14" t="s">
        <v>19</v>
      </c>
      <c r="AS1" s="14" t="s">
        <v>20</v>
      </c>
      <c r="AT1" s="14" t="s">
        <v>21</v>
      </c>
      <c r="AU1" s="14" t="s">
        <v>22</v>
      </c>
      <c r="AV1" s="14" t="s">
        <v>23</v>
      </c>
      <c r="AW1" s="14" t="s">
        <v>24</v>
      </c>
      <c r="AX1" s="13" t="s">
        <v>25</v>
      </c>
    </row>
    <row r="2" spans="1:50" s="12" customFormat="1">
      <c r="A2" s="15">
        <v>44927</v>
      </c>
      <c r="B2" s="437">
        <v>0</v>
      </c>
      <c r="C2" s="437">
        <v>0</v>
      </c>
      <c r="D2" s="437">
        <v>0</v>
      </c>
      <c r="E2" s="437">
        <v>0</v>
      </c>
      <c r="F2" s="437">
        <v>0</v>
      </c>
      <c r="G2" s="437">
        <v>0</v>
      </c>
      <c r="H2" s="437">
        <v>0</v>
      </c>
      <c r="I2" s="437">
        <v>0</v>
      </c>
      <c r="J2" s="437">
        <v>0</v>
      </c>
      <c r="K2" s="437">
        <v>0</v>
      </c>
      <c r="L2" s="437">
        <v>0</v>
      </c>
      <c r="M2" s="437">
        <v>0</v>
      </c>
      <c r="N2" s="437">
        <v>0</v>
      </c>
      <c r="O2" s="437">
        <v>0</v>
      </c>
      <c r="P2" s="437">
        <v>1.3055000000000001</v>
      </c>
      <c r="Q2" s="437">
        <v>16.739799999999999</v>
      </c>
      <c r="R2" s="437">
        <v>44.419499999999999</v>
      </c>
      <c r="S2" s="437">
        <v>52.374000000000002</v>
      </c>
      <c r="T2" s="437">
        <v>53.049300000000002</v>
      </c>
      <c r="U2" s="437">
        <v>53.023400000000002</v>
      </c>
      <c r="V2" s="437">
        <v>52.984999999999999</v>
      </c>
      <c r="W2" s="437">
        <v>52.984099999999998</v>
      </c>
      <c r="X2" s="437">
        <v>53.0732</v>
      </c>
      <c r="Y2" s="437">
        <v>53.060499999999998</v>
      </c>
      <c r="Z2" s="21">
        <f>IFERROR(B2/'Ar-Pa'!B2,0)</f>
        <v>0</v>
      </c>
      <c r="AA2" s="21">
        <f>IFERROR(C2/'Ar-Pa'!C2,0)</f>
        <v>0</v>
      </c>
      <c r="AB2" s="21">
        <f>IFERROR(D2/'Ar-Pa'!D2,0)</f>
        <v>0</v>
      </c>
      <c r="AC2" s="21">
        <f>IFERROR(E2/'Ar-Pa'!E2,0)</f>
        <v>0</v>
      </c>
      <c r="AD2" s="21">
        <f>IFERROR(F2/'Ar-Pa'!F2,0)</f>
        <v>0</v>
      </c>
      <c r="AE2" s="21">
        <f>IFERROR(G2/'Ar-Pa'!G2,0)</f>
        <v>0</v>
      </c>
      <c r="AF2" s="21">
        <f>IFERROR(H2/'Ar-Pa'!H2,0)</f>
        <v>0</v>
      </c>
      <c r="AG2" s="21">
        <f>IFERROR(I2/'Ar-Pa'!I2,0)</f>
        <v>0</v>
      </c>
      <c r="AH2" s="21">
        <f>IFERROR(J2/'Ar-Pa'!J2,0)</f>
        <v>0</v>
      </c>
      <c r="AI2" s="21">
        <f>IFERROR(K2/'Ar-Pa'!K2,0)</f>
        <v>0</v>
      </c>
      <c r="AJ2" s="21">
        <f>IFERROR(L2/'Ar-Pa'!L2,0)</f>
        <v>0</v>
      </c>
      <c r="AK2" s="21">
        <f>IFERROR(M2/'Ar-Pa'!M2,0)</f>
        <v>0</v>
      </c>
      <c r="AL2" s="21">
        <f>IFERROR(N2/'Ar-Pa'!N2,0)</f>
        <v>0</v>
      </c>
      <c r="AM2" s="21">
        <f>IFERROR(O2/'Ar-Pa'!O2,0)</f>
        <v>0</v>
      </c>
      <c r="AN2" s="21">
        <f>IFERROR(P2/'Ar-Pa'!P2,0)</f>
        <v>0.65275000000000005</v>
      </c>
      <c r="AO2" s="21">
        <f>IFERROR(Q2/'Ar-Pa'!Q2,0)</f>
        <v>3.3479599999999996</v>
      </c>
      <c r="AP2" s="21">
        <f>IFERROR(R2/'Ar-Pa'!R2,0)</f>
        <v>7.4032499999999999</v>
      </c>
      <c r="AQ2" s="21">
        <f>IFERROR(S2/'Ar-Pa'!S2,0)</f>
        <v>6.5467500000000003</v>
      </c>
      <c r="AR2" s="21">
        <f>IFERROR(T2/'Ar-Pa'!T2,0)</f>
        <v>6.6311625000000003</v>
      </c>
      <c r="AS2" s="21">
        <f>IFERROR(U2/'Ar-Pa'!U2,0)</f>
        <v>6.6279250000000003</v>
      </c>
      <c r="AT2" s="21">
        <f>IFERROR(V2/'Ar-Pa'!V2,0)</f>
        <v>6.6231249999999999</v>
      </c>
      <c r="AU2" s="21">
        <f>IFERROR(W2/'Ar-Pa'!W2,0)</f>
        <v>6.6230124999999997</v>
      </c>
      <c r="AV2" s="21">
        <f>IFERROR(X2/'Ar-Pa'!X2,0)</f>
        <v>6.63415</v>
      </c>
      <c r="AW2" s="21">
        <f>IFERROR(Y2/'Ar-Pa'!Y2,0)</f>
        <v>8.8434166666666663</v>
      </c>
      <c r="AX2" s="21">
        <f>SUM(Z2:AW2)</f>
        <v>59.933501666666672</v>
      </c>
    </row>
    <row r="3" spans="1:50" s="12" customFormat="1">
      <c r="A3" s="15">
        <v>44928</v>
      </c>
      <c r="B3" s="437">
        <v>19.064299999999999</v>
      </c>
      <c r="C3" s="437">
        <v>0</v>
      </c>
      <c r="D3" s="437">
        <v>0</v>
      </c>
      <c r="E3" s="437">
        <v>0</v>
      </c>
      <c r="F3" s="437">
        <v>0</v>
      </c>
      <c r="G3" s="437">
        <v>0</v>
      </c>
      <c r="H3" s="437">
        <v>1.6544000000000001</v>
      </c>
      <c r="I3" s="437">
        <v>16.319900000000001</v>
      </c>
      <c r="J3" s="437">
        <v>42.916800000000002</v>
      </c>
      <c r="K3" s="437">
        <v>52.686500000000002</v>
      </c>
      <c r="L3" s="437">
        <v>53.882599999999996</v>
      </c>
      <c r="M3" s="437">
        <v>53.204800000000006</v>
      </c>
      <c r="N3" s="437">
        <v>53.198999999999998</v>
      </c>
      <c r="O3" s="437">
        <v>53.2682</v>
      </c>
      <c r="P3" s="437">
        <v>53.296900000000001</v>
      </c>
      <c r="Q3" s="437">
        <v>53.271300000000004</v>
      </c>
      <c r="R3" s="437">
        <v>53.247500000000002</v>
      </c>
      <c r="S3" s="437">
        <v>53.182900000000004</v>
      </c>
      <c r="T3" s="437">
        <v>53.089700000000001</v>
      </c>
      <c r="U3" s="437">
        <v>53.164400000000001</v>
      </c>
      <c r="V3" s="437">
        <v>53.0717</v>
      </c>
      <c r="W3" s="437">
        <v>53.090699999999998</v>
      </c>
      <c r="X3" s="437">
        <v>53.012599999999999</v>
      </c>
      <c r="Y3" s="437">
        <v>53.500599999999999</v>
      </c>
      <c r="Z3" s="21">
        <f>IFERROR(B3/'Ar-Pa'!B3,0)</f>
        <v>9.5321499999999997</v>
      </c>
      <c r="AA3" s="21">
        <f>IFERROR(C3/'Ar-Pa'!C3,0)</f>
        <v>0</v>
      </c>
      <c r="AB3" s="21">
        <f>IFERROR(D3/'Ar-Pa'!D3,0)</f>
        <v>0</v>
      </c>
      <c r="AC3" s="21">
        <f>IFERROR(E3/'Ar-Pa'!E3,0)</f>
        <v>0</v>
      </c>
      <c r="AD3" s="21">
        <f>IFERROR(F3/'Ar-Pa'!F3,0)</f>
        <v>0</v>
      </c>
      <c r="AE3" s="21">
        <f>IFERROR(G3/'Ar-Pa'!G3,0)</f>
        <v>0</v>
      </c>
      <c r="AF3" s="21">
        <f>IFERROR(H3/'Ar-Pa'!H3,0)</f>
        <v>0.82720000000000005</v>
      </c>
      <c r="AG3" s="21">
        <f>IFERROR(I3/'Ar-Pa'!I3,0)</f>
        <v>3.2639800000000001</v>
      </c>
      <c r="AH3" s="21">
        <f>IFERROR(J3/'Ar-Pa'!J3,0)</f>
        <v>7.1528</v>
      </c>
      <c r="AI3" s="21">
        <f>IFERROR(K3/'Ar-Pa'!K3,0)</f>
        <v>6.5858125000000003</v>
      </c>
      <c r="AJ3" s="21">
        <f>IFERROR(L3/'Ar-Pa'!L3,0)</f>
        <v>6.7353249999999996</v>
      </c>
      <c r="AK3" s="21">
        <f>IFERROR(M3/'Ar-Pa'!M3,0)</f>
        <v>6.6506000000000007</v>
      </c>
      <c r="AL3" s="21">
        <f>IFERROR(N3/'Ar-Pa'!N3,0)</f>
        <v>6.6498749999999998</v>
      </c>
      <c r="AM3" s="21">
        <f>IFERROR(O3/'Ar-Pa'!O3,0)</f>
        <v>6.658525</v>
      </c>
      <c r="AN3" s="21">
        <f>IFERROR(P3/'Ar-Pa'!P3,0)</f>
        <v>6.6621125000000001</v>
      </c>
      <c r="AO3" s="21">
        <f>IFERROR(Q3/'Ar-Pa'!Q3,0)</f>
        <v>6.6589125000000005</v>
      </c>
      <c r="AP3" s="21">
        <f>IFERROR(R3/'Ar-Pa'!R3,0)</f>
        <v>6.6559375000000003</v>
      </c>
      <c r="AQ3" s="21">
        <f>IFERROR(S3/'Ar-Pa'!S3,0)</f>
        <v>6.6478625000000005</v>
      </c>
      <c r="AR3" s="21">
        <f>IFERROR(T3/'Ar-Pa'!T3,0)</f>
        <v>6.6362125000000001</v>
      </c>
      <c r="AS3" s="21">
        <f>IFERROR(U3/'Ar-Pa'!U3,0)</f>
        <v>6.6455500000000001</v>
      </c>
      <c r="AT3" s="21">
        <f>IFERROR(V3/'Ar-Pa'!V3,0)</f>
        <v>6.6339625</v>
      </c>
      <c r="AU3" s="21">
        <f>IFERROR(W3/'Ar-Pa'!W3,0)</f>
        <v>6.6363374999999998</v>
      </c>
      <c r="AV3" s="21">
        <f>IFERROR(X3/'Ar-Pa'!X3,0)</f>
        <v>6.6265749999999999</v>
      </c>
      <c r="AW3" s="21">
        <f>IFERROR(Y3/'Ar-Pa'!Y3,0)</f>
        <v>6.6875749999999998</v>
      </c>
      <c r="AX3" s="21">
        <f t="shared" ref="AX3:AX65" si="0">SUM(Z3:AW3)</f>
        <v>120.54730499999999</v>
      </c>
    </row>
    <row r="4" spans="1:50" s="12" customFormat="1">
      <c r="A4" s="15">
        <v>44929</v>
      </c>
      <c r="B4" s="437">
        <v>53.815899999999999</v>
      </c>
      <c r="C4" s="437">
        <v>54.084600000000002</v>
      </c>
      <c r="D4" s="437">
        <v>54.057099999999998</v>
      </c>
      <c r="E4" s="437">
        <v>52.140699999999995</v>
      </c>
      <c r="F4" s="437">
        <v>51.225999999999999</v>
      </c>
      <c r="G4" s="437">
        <v>51.172899999999998</v>
      </c>
      <c r="H4" s="437">
        <v>51.151000000000003</v>
      </c>
      <c r="I4" s="437">
        <v>51.192300000000003</v>
      </c>
      <c r="J4" s="437">
        <v>51.157400000000003</v>
      </c>
      <c r="K4" s="437">
        <v>51.122399999999999</v>
      </c>
      <c r="L4" s="437">
        <v>52.521699999999996</v>
      </c>
      <c r="M4" s="437">
        <v>53.496000000000002</v>
      </c>
      <c r="N4" s="437">
        <v>53.9666</v>
      </c>
      <c r="O4" s="437">
        <v>53.615199999999994</v>
      </c>
      <c r="P4" s="437">
        <v>53.6691</v>
      </c>
      <c r="Q4" s="437">
        <v>53.728099999999998</v>
      </c>
      <c r="R4" s="437">
        <v>65.238</v>
      </c>
      <c r="S4" s="437">
        <v>53.39</v>
      </c>
      <c r="T4" s="437">
        <v>53.351599999999998</v>
      </c>
      <c r="U4" s="437">
        <v>53.219699999999996</v>
      </c>
      <c r="V4" s="437">
        <v>53.320300000000003</v>
      </c>
      <c r="W4" s="437">
        <v>53.3123</v>
      </c>
      <c r="X4" s="437">
        <v>54.350099999999998</v>
      </c>
      <c r="Y4" s="437">
        <v>53.847499999999997</v>
      </c>
      <c r="Z4" s="21">
        <f>IFERROR(B4/'Ar-Pa'!B4,0)</f>
        <v>6.7269874999999999</v>
      </c>
      <c r="AA4" s="21">
        <f>IFERROR(C4/'Ar-Pa'!C4,0)</f>
        <v>6.7605750000000002</v>
      </c>
      <c r="AB4" s="21">
        <f>IFERROR(D4/'Ar-Pa'!D4,0)</f>
        <v>6.7571374999999998</v>
      </c>
      <c r="AC4" s="21">
        <f>IFERROR(E4/'Ar-Pa'!E4,0)</f>
        <v>8.6901166666666665</v>
      </c>
      <c r="AD4" s="21">
        <f>IFERROR(F4/'Ar-Pa'!F4,0)</f>
        <v>8.5376666666666665</v>
      </c>
      <c r="AE4" s="21">
        <f>IFERROR(G4/'Ar-Pa'!G4,0)</f>
        <v>8.5288166666666658</v>
      </c>
      <c r="AF4" s="21">
        <f>IFERROR(H4/'Ar-Pa'!H4,0)</f>
        <v>8.5251666666666672</v>
      </c>
      <c r="AG4" s="21">
        <f>IFERROR(I4/'Ar-Pa'!I4,0)</f>
        <v>8.5320499999999999</v>
      </c>
      <c r="AH4" s="21">
        <f>IFERROR(J4/'Ar-Pa'!J4,0)</f>
        <v>8.5262333333333338</v>
      </c>
      <c r="AI4" s="21">
        <f>IFERROR(K4/'Ar-Pa'!K4,0)</f>
        <v>8.5204000000000004</v>
      </c>
      <c r="AJ4" s="21">
        <f>IFERROR(L4/'Ar-Pa'!L4,0)</f>
        <v>7.503099999999999</v>
      </c>
      <c r="AK4" s="21">
        <f>IFERROR(M4/'Ar-Pa'!M4,0)</f>
        <v>7.6422857142857143</v>
      </c>
      <c r="AL4" s="21">
        <f>IFERROR(N4/'Ar-Pa'!N4,0)</f>
        <v>6.745825</v>
      </c>
      <c r="AM4" s="21">
        <f>IFERROR(O4/'Ar-Pa'!O4,0)</f>
        <v>6.7018999999999993</v>
      </c>
      <c r="AN4" s="21">
        <f>IFERROR(P4/'Ar-Pa'!P4,0)</f>
        <v>6.7086375</v>
      </c>
      <c r="AO4" s="21">
        <f>IFERROR(Q4/'Ar-Pa'!Q4,0)</f>
        <v>6.7160124999999997</v>
      </c>
      <c r="AP4" s="21">
        <f>IFERROR(R4/'Ar-Pa'!R4,0)</f>
        <v>8.1547499999999999</v>
      </c>
      <c r="AQ4" s="21">
        <f>IFERROR(S4/'Ar-Pa'!S4,0)</f>
        <v>6.6737500000000001</v>
      </c>
      <c r="AR4" s="21">
        <f>IFERROR(T4/'Ar-Pa'!T4,0)</f>
        <v>6.6689499999999997</v>
      </c>
      <c r="AS4" s="21">
        <f>IFERROR(U4/'Ar-Pa'!U4,0)</f>
        <v>6.6524624999999995</v>
      </c>
      <c r="AT4" s="21">
        <f>IFERROR(V4/'Ar-Pa'!V4,0)</f>
        <v>6.6650375000000004</v>
      </c>
      <c r="AU4" s="21">
        <f>IFERROR(W4/'Ar-Pa'!W4,0)</f>
        <v>6.6640375000000001</v>
      </c>
      <c r="AV4" s="21">
        <f>IFERROR(X4/'Ar-Pa'!X4,0)</f>
        <v>6.7937624999999997</v>
      </c>
      <c r="AW4" s="21">
        <f>IFERROR(Y4/'Ar-Pa'!Y4,0)</f>
        <v>6.7309374999999996</v>
      </c>
      <c r="AX4" s="21">
        <f t="shared" si="0"/>
        <v>177.12659821428574</v>
      </c>
    </row>
    <row r="5" spans="1:50" s="12" customFormat="1">
      <c r="A5" s="15">
        <v>44930</v>
      </c>
      <c r="B5" s="437">
        <v>53.605899999999998</v>
      </c>
      <c r="C5" s="437">
        <v>53.8399</v>
      </c>
      <c r="D5" s="437">
        <v>53.911799999999999</v>
      </c>
      <c r="E5" s="437">
        <v>53.912399999999998</v>
      </c>
      <c r="F5" s="437">
        <v>51.531800000000004</v>
      </c>
      <c r="G5" s="437">
        <v>51.0959</v>
      </c>
      <c r="H5" s="437">
        <v>49.944900000000004</v>
      </c>
      <c r="I5" s="437">
        <v>53.021800000000006</v>
      </c>
      <c r="J5" s="437">
        <v>53.957599999999999</v>
      </c>
      <c r="K5" s="437">
        <v>53.9482</v>
      </c>
      <c r="L5" s="437">
        <v>53.957300000000004</v>
      </c>
      <c r="M5" s="437">
        <v>53.948300000000003</v>
      </c>
      <c r="N5" s="437">
        <v>53.971699999999998</v>
      </c>
      <c r="O5" s="437">
        <v>53.933</v>
      </c>
      <c r="P5" s="437">
        <v>53.982199999999999</v>
      </c>
      <c r="Q5" s="437">
        <v>53.909500000000001</v>
      </c>
      <c r="R5" s="437">
        <v>53.881300000000003</v>
      </c>
      <c r="S5" s="437">
        <v>54.336199999999998</v>
      </c>
      <c r="T5" s="437">
        <v>52.670900000000003</v>
      </c>
      <c r="U5" s="437">
        <v>52.7239</v>
      </c>
      <c r="V5" s="437">
        <v>52.621400000000001</v>
      </c>
      <c r="W5" s="437">
        <v>52.689599999999999</v>
      </c>
      <c r="X5" s="437">
        <v>52.63</v>
      </c>
      <c r="Y5" s="437">
        <v>52.455800000000004</v>
      </c>
      <c r="Z5" s="21">
        <f>IFERROR(B5/'Ar-Pa'!B5,0)</f>
        <v>6.7007374999999998</v>
      </c>
      <c r="AA5" s="21">
        <f>IFERROR(C5/'Ar-Pa'!C5,0)</f>
        <v>6.7299875</v>
      </c>
      <c r="AB5" s="21">
        <f>IFERROR(D5/'Ar-Pa'!D5,0)</f>
        <v>6.7389749999999999</v>
      </c>
      <c r="AC5" s="21">
        <f>IFERROR(E5/'Ar-Pa'!E5,0)</f>
        <v>6.7390499999999998</v>
      </c>
      <c r="AD5" s="21">
        <f>IFERROR(F5/'Ar-Pa'!F5,0)</f>
        <v>7.3616857142857146</v>
      </c>
      <c r="AE5" s="21">
        <f>IFERROR(G5/'Ar-Pa'!G5,0)</f>
        <v>7.2994142857142856</v>
      </c>
      <c r="AF5" s="21">
        <f>IFERROR(H5/'Ar-Pa'!H5,0)</f>
        <v>7.1349857142857145</v>
      </c>
      <c r="AG5" s="21">
        <f>IFERROR(I5/'Ar-Pa'!I5,0)</f>
        <v>7.5745428571428581</v>
      </c>
      <c r="AH5" s="21">
        <f>IFERROR(J5/'Ar-Pa'!J5,0)</f>
        <v>7.7082285714285712</v>
      </c>
      <c r="AI5" s="21">
        <f>IFERROR(K5/'Ar-Pa'!K5,0)</f>
        <v>7.7068857142857139</v>
      </c>
      <c r="AJ5" s="21">
        <f>IFERROR(L5/'Ar-Pa'!L5,0)</f>
        <v>7.7081857142857144</v>
      </c>
      <c r="AK5" s="21">
        <f>IFERROR(M5/'Ar-Pa'!M5,0)</f>
        <v>7.7069000000000001</v>
      </c>
      <c r="AL5" s="21">
        <f>IFERROR(N5/'Ar-Pa'!N5,0)</f>
        <v>7.7102428571428572</v>
      </c>
      <c r="AM5" s="21">
        <f>IFERROR(O5/'Ar-Pa'!O5,0)</f>
        <v>7.7047142857142861</v>
      </c>
      <c r="AN5" s="21">
        <f>IFERROR(P5/'Ar-Pa'!P5,0)</f>
        <v>7.7117428571428572</v>
      </c>
      <c r="AO5" s="21">
        <f>IFERROR(Q5/'Ar-Pa'!Q5,0)</f>
        <v>7.7013571428571428</v>
      </c>
      <c r="AP5" s="21">
        <f>IFERROR(R5/'Ar-Pa'!R5,0)</f>
        <v>7.6973285714285717</v>
      </c>
      <c r="AQ5" s="21">
        <f>IFERROR(S5/'Ar-Pa'!S5,0)</f>
        <v>6.7920249999999998</v>
      </c>
      <c r="AR5" s="21">
        <f>IFERROR(T5/'Ar-Pa'!T5,0)</f>
        <v>6.5838625000000004</v>
      </c>
      <c r="AS5" s="21">
        <f>IFERROR(U5/'Ar-Pa'!U5,0)</f>
        <v>6.5904875000000001</v>
      </c>
      <c r="AT5" s="21">
        <f>IFERROR(V5/'Ar-Pa'!V5,0)</f>
        <v>6.5776750000000002</v>
      </c>
      <c r="AU5" s="21">
        <f>IFERROR(W5/'Ar-Pa'!W5,0)</f>
        <v>6.5861999999999998</v>
      </c>
      <c r="AV5" s="21">
        <f>IFERROR(X5/'Ar-Pa'!X5,0)</f>
        <v>6.5787500000000003</v>
      </c>
      <c r="AW5" s="21">
        <f>IFERROR(Y5/'Ar-Pa'!Y5,0)</f>
        <v>6.5569750000000004</v>
      </c>
      <c r="AX5" s="21">
        <f t="shared" si="0"/>
        <v>171.90093928571429</v>
      </c>
    </row>
    <row r="6" spans="1:50" s="12" customFormat="1">
      <c r="A6" s="15">
        <v>44931</v>
      </c>
      <c r="B6" s="437">
        <v>52.448800000000006</v>
      </c>
      <c r="C6" s="437">
        <v>52.571599999999997</v>
      </c>
      <c r="D6" s="437">
        <v>52.594900000000003</v>
      </c>
      <c r="E6" s="437">
        <v>51.582000000000001</v>
      </c>
      <c r="F6" s="437">
        <v>51.457000000000001</v>
      </c>
      <c r="G6" s="437">
        <v>51.430399999999999</v>
      </c>
      <c r="H6" s="437">
        <v>51.581800000000001</v>
      </c>
      <c r="I6" s="437">
        <v>51.526400000000002</v>
      </c>
      <c r="J6" s="437">
        <v>51.415099999999995</v>
      </c>
      <c r="K6" s="437">
        <v>53.126899999999999</v>
      </c>
      <c r="L6" s="437">
        <v>53.030099999999997</v>
      </c>
      <c r="M6" s="437">
        <v>53.080500000000001</v>
      </c>
      <c r="N6" s="437">
        <v>52.761099999999999</v>
      </c>
      <c r="O6" s="437">
        <v>53.365699999999997</v>
      </c>
      <c r="P6" s="437">
        <v>53.177199999999999</v>
      </c>
      <c r="Q6" s="437">
        <v>53.0289</v>
      </c>
      <c r="R6" s="437">
        <v>53.005199999999995</v>
      </c>
      <c r="S6" s="437">
        <v>53.0625</v>
      </c>
      <c r="T6" s="437">
        <v>53.033300000000004</v>
      </c>
      <c r="U6" s="437">
        <v>52.9056</v>
      </c>
      <c r="V6" s="437">
        <v>52.905199999999994</v>
      </c>
      <c r="W6" s="437">
        <v>52.985999999999997</v>
      </c>
      <c r="X6" s="437">
        <v>52.7821</v>
      </c>
      <c r="Y6" s="437">
        <v>53.027200000000001</v>
      </c>
      <c r="Z6" s="21">
        <f>IFERROR(B6/'Ar-Pa'!B6,0)</f>
        <v>6.5561000000000007</v>
      </c>
      <c r="AA6" s="21">
        <f>IFERROR(C6/'Ar-Pa'!C6,0)</f>
        <v>6.5714499999999996</v>
      </c>
      <c r="AB6" s="21">
        <f>IFERROR(D6/'Ar-Pa'!D6,0)</f>
        <v>6.5743625000000003</v>
      </c>
      <c r="AC6" s="21">
        <f>IFERROR(E6/'Ar-Pa'!E6,0)</f>
        <v>8.5969999999999995</v>
      </c>
      <c r="AD6" s="21">
        <f>IFERROR(F6/'Ar-Pa'!F6,0)</f>
        <v>8.5761666666666674</v>
      </c>
      <c r="AE6" s="21">
        <f>IFERROR(G6/'Ar-Pa'!G6,0)</f>
        <v>8.5717333333333325</v>
      </c>
      <c r="AF6" s="21">
        <f>IFERROR(H6/'Ar-Pa'!H6,0)</f>
        <v>8.5969666666666669</v>
      </c>
      <c r="AG6" s="21">
        <f>IFERROR(I6/'Ar-Pa'!I6,0)</f>
        <v>8.5877333333333343</v>
      </c>
      <c r="AH6" s="21">
        <f>IFERROR(J6/'Ar-Pa'!J6,0)</f>
        <v>8.5691833333333332</v>
      </c>
      <c r="AI6" s="21">
        <f>IFERROR(K6/'Ar-Pa'!K6,0)</f>
        <v>6.6408624999999999</v>
      </c>
      <c r="AJ6" s="21">
        <f>IFERROR(L6/'Ar-Pa'!L6,0)</f>
        <v>6.6287624999999997</v>
      </c>
      <c r="AK6" s="21">
        <f>IFERROR(M6/'Ar-Pa'!M6,0)</f>
        <v>6.6350625000000001</v>
      </c>
      <c r="AL6" s="21">
        <f>IFERROR(N6/'Ar-Pa'!N6,0)</f>
        <v>6.5951374999999999</v>
      </c>
      <c r="AM6" s="21">
        <f>IFERROR(O6/'Ar-Pa'!O6,0)</f>
        <v>6.6707124999999996</v>
      </c>
      <c r="AN6" s="21">
        <f>IFERROR(P6/'Ar-Pa'!P6,0)</f>
        <v>6.6471499999999999</v>
      </c>
      <c r="AO6" s="21">
        <f>IFERROR(Q6/'Ar-Pa'!Q6,0)</f>
        <v>6.6286125</v>
      </c>
      <c r="AP6" s="21">
        <f>IFERROR(R6/'Ar-Pa'!R6,0)</f>
        <v>6.6256499999999994</v>
      </c>
      <c r="AQ6" s="21">
        <f>IFERROR(S6/'Ar-Pa'!S6,0)</f>
        <v>6.6328125</v>
      </c>
      <c r="AR6" s="21">
        <f>IFERROR(T6/'Ar-Pa'!T6,0)</f>
        <v>6.6291625000000005</v>
      </c>
      <c r="AS6" s="21">
        <f>IFERROR(U6/'Ar-Pa'!U6,0)</f>
        <v>6.6132</v>
      </c>
      <c r="AT6" s="21">
        <f>IFERROR(V6/'Ar-Pa'!V6,0)</f>
        <v>6.6131499999999992</v>
      </c>
      <c r="AU6" s="21">
        <f>IFERROR(W6/'Ar-Pa'!W6,0)</f>
        <v>6.6232499999999996</v>
      </c>
      <c r="AV6" s="21">
        <f>IFERROR(X6/'Ar-Pa'!X6,0)</f>
        <v>6.5977625</v>
      </c>
      <c r="AW6" s="21">
        <f>IFERROR(Y6/'Ar-Pa'!Y6,0)</f>
        <v>6.6284000000000001</v>
      </c>
      <c r="AX6" s="21">
        <f t="shared" si="0"/>
        <v>170.61038333333329</v>
      </c>
    </row>
    <row r="7" spans="1:50" s="12" customFormat="1">
      <c r="A7" s="15">
        <v>44932</v>
      </c>
      <c r="B7" s="437">
        <v>53.207300000000004</v>
      </c>
      <c r="C7" s="437">
        <v>53.410199999999996</v>
      </c>
      <c r="D7" s="437">
        <v>53.310699999999997</v>
      </c>
      <c r="E7" s="437">
        <v>53.420300000000005</v>
      </c>
      <c r="F7" s="437">
        <v>50.1571</v>
      </c>
      <c r="G7" s="437">
        <v>49.676000000000002</v>
      </c>
      <c r="H7" s="437">
        <v>50.9636</v>
      </c>
      <c r="I7" s="437">
        <v>51.150700000000001</v>
      </c>
      <c r="J7" s="437">
        <v>51.148300000000006</v>
      </c>
      <c r="K7" s="437">
        <v>52.0501</v>
      </c>
      <c r="L7" s="437">
        <v>53.573900000000002</v>
      </c>
      <c r="M7" s="437">
        <v>53.6218</v>
      </c>
      <c r="N7" s="437">
        <v>53.597099999999998</v>
      </c>
      <c r="O7" s="437">
        <v>53.6145</v>
      </c>
      <c r="P7" s="437">
        <v>53.494900000000001</v>
      </c>
      <c r="Q7" s="437">
        <v>53.619399999999999</v>
      </c>
      <c r="R7" s="437">
        <v>53.486699999999999</v>
      </c>
      <c r="S7" s="437">
        <v>53.560300000000005</v>
      </c>
      <c r="T7" s="437">
        <v>53.522800000000004</v>
      </c>
      <c r="U7" s="437">
        <v>53.433999999999997</v>
      </c>
      <c r="V7" s="437">
        <v>53.442399999999999</v>
      </c>
      <c r="W7" s="437">
        <v>53.456600000000002</v>
      </c>
      <c r="X7" s="437">
        <v>53.4863</v>
      </c>
      <c r="Y7" s="437">
        <v>53.585999999999999</v>
      </c>
      <c r="Z7" s="21">
        <f>IFERROR(B7/'Ar-Pa'!B7,0)</f>
        <v>6.6509125000000004</v>
      </c>
      <c r="AA7" s="21">
        <f>IFERROR(C7/'Ar-Pa'!C7,0)</f>
        <v>6.6762749999999995</v>
      </c>
      <c r="AB7" s="21">
        <f>IFERROR(D7/'Ar-Pa'!D7,0)</f>
        <v>6.6638374999999996</v>
      </c>
      <c r="AC7" s="21">
        <f>IFERROR(E7/'Ar-Pa'!E7,0)</f>
        <v>6.6775375000000006</v>
      </c>
      <c r="AD7" s="21">
        <f>IFERROR(F7/'Ar-Pa'!F7,0)</f>
        <v>8.359516666666666</v>
      </c>
      <c r="AE7" s="21">
        <f>IFERROR(G7/'Ar-Pa'!G7,0)</f>
        <v>8.2793333333333337</v>
      </c>
      <c r="AF7" s="21">
        <f>IFERROR(H7/'Ar-Pa'!H7,0)</f>
        <v>8.4939333333333327</v>
      </c>
      <c r="AG7" s="21">
        <f>IFERROR(I7/'Ar-Pa'!I7,0)</f>
        <v>8.5251166666666673</v>
      </c>
      <c r="AH7" s="21">
        <f>IFERROR(J7/'Ar-Pa'!J7,0)</f>
        <v>8.5247166666666683</v>
      </c>
      <c r="AI7" s="21">
        <f>IFERROR(K7/'Ar-Pa'!K7,0)</f>
        <v>6.5062625000000001</v>
      </c>
      <c r="AJ7" s="21">
        <f>IFERROR(L7/'Ar-Pa'!L7,0)</f>
        <v>6.6967375000000002</v>
      </c>
      <c r="AK7" s="21">
        <f>IFERROR(M7/'Ar-Pa'!M7,0)</f>
        <v>6.702725</v>
      </c>
      <c r="AL7" s="21">
        <f>IFERROR(N7/'Ar-Pa'!N7,0)</f>
        <v>6.6996374999999997</v>
      </c>
      <c r="AM7" s="21">
        <f>IFERROR(O7/'Ar-Pa'!O7,0)</f>
        <v>6.7018125</v>
      </c>
      <c r="AN7" s="21">
        <f>IFERROR(P7/'Ar-Pa'!P7,0)</f>
        <v>6.6868625000000002</v>
      </c>
      <c r="AO7" s="21">
        <f>IFERROR(Q7/'Ar-Pa'!Q7,0)</f>
        <v>6.7024249999999999</v>
      </c>
      <c r="AP7" s="21">
        <f>IFERROR(R7/'Ar-Pa'!R7,0)</f>
        <v>6.6858374999999999</v>
      </c>
      <c r="AQ7" s="21">
        <f>IFERROR(S7/'Ar-Pa'!S7,0)</f>
        <v>6.6950375000000006</v>
      </c>
      <c r="AR7" s="21">
        <f>IFERROR(T7/'Ar-Pa'!T7,0)</f>
        <v>6.6903500000000005</v>
      </c>
      <c r="AS7" s="21">
        <f>IFERROR(U7/'Ar-Pa'!U7,0)</f>
        <v>6.6792499999999997</v>
      </c>
      <c r="AT7" s="21">
        <f>IFERROR(V7/'Ar-Pa'!V7,0)</f>
        <v>6.6802999999999999</v>
      </c>
      <c r="AU7" s="21">
        <f>IFERROR(W7/'Ar-Pa'!W7,0)</f>
        <v>6.6820750000000002</v>
      </c>
      <c r="AV7" s="21">
        <f>IFERROR(X7/'Ar-Pa'!X7,0)</f>
        <v>6.6857875</v>
      </c>
      <c r="AW7" s="21">
        <f>IFERROR(Y7/'Ar-Pa'!Y7,0)</f>
        <v>6.6982499999999998</v>
      </c>
      <c r="AX7" s="21">
        <f t="shared" si="0"/>
        <v>169.04452916666668</v>
      </c>
    </row>
    <row r="8" spans="1:50" s="12" customFormat="1">
      <c r="A8" s="15">
        <v>44933</v>
      </c>
      <c r="B8" s="437">
        <v>61.966099999999997</v>
      </c>
      <c r="C8" s="437">
        <v>63.389499999999998</v>
      </c>
      <c r="D8" s="437">
        <v>63.357300000000002</v>
      </c>
      <c r="E8" s="437">
        <v>60.0595</v>
      </c>
      <c r="F8" s="437">
        <v>59.564</v>
      </c>
      <c r="G8" s="437">
        <v>25.149799999999999</v>
      </c>
      <c r="H8" s="437">
        <v>2.0979999999999999</v>
      </c>
      <c r="I8" s="437">
        <v>3.0291999999999999</v>
      </c>
      <c r="J8" s="437">
        <v>16.926200000000001</v>
      </c>
      <c r="K8" s="437">
        <v>42.792999999999999</v>
      </c>
      <c r="L8" s="437">
        <v>59.847699999999996</v>
      </c>
      <c r="M8" s="437">
        <v>59.938400000000001</v>
      </c>
      <c r="N8" s="437">
        <v>60.160499999999999</v>
      </c>
      <c r="O8" s="437">
        <v>63.9833</v>
      </c>
      <c r="P8" s="437">
        <v>63.993900000000004</v>
      </c>
      <c r="Q8" s="437">
        <v>63.555399999999999</v>
      </c>
      <c r="R8" s="437">
        <v>63.513400000000004</v>
      </c>
      <c r="S8" s="437">
        <v>63.503900000000002</v>
      </c>
      <c r="T8" s="437">
        <v>63.529800000000002</v>
      </c>
      <c r="U8" s="437">
        <v>63.467100000000002</v>
      </c>
      <c r="V8" s="437">
        <v>63.523000000000003</v>
      </c>
      <c r="W8" s="437">
        <v>63.44</v>
      </c>
      <c r="X8" s="437">
        <v>63.467300000000002</v>
      </c>
      <c r="Y8" s="437">
        <v>63.332099999999997</v>
      </c>
      <c r="Z8" s="21">
        <f>IFERROR(B8/'Ar-Pa'!B8,0)</f>
        <v>6.8851222222222219</v>
      </c>
      <c r="AA8" s="21">
        <f>IFERROR(C8/'Ar-Pa'!C8,0)</f>
        <v>7.043277777777778</v>
      </c>
      <c r="AB8" s="21">
        <f>IFERROR(D8/'Ar-Pa'!D8,0)</f>
        <v>7.0396999999999998</v>
      </c>
      <c r="AC8" s="21">
        <f>IFERROR(E8/'Ar-Pa'!E8,0)</f>
        <v>8.5799285714285709</v>
      </c>
      <c r="AD8" s="21">
        <f>IFERROR(F8/'Ar-Pa'!F8,0)</f>
        <v>8.5091428571428569</v>
      </c>
      <c r="AE8" s="21">
        <f>IFERROR(G8/'Ar-Pa'!G8,0)</f>
        <v>8.3832666666666658</v>
      </c>
      <c r="AF8" s="21">
        <f>IFERROR(H8/'Ar-Pa'!H8,0)</f>
        <v>0.69933333333333325</v>
      </c>
      <c r="AG8" s="21">
        <f>IFERROR(I8/'Ar-Pa'!I8,0)</f>
        <v>1.5145999999999999</v>
      </c>
      <c r="AH8" s="21">
        <f>IFERROR(J8/'Ar-Pa'!J8,0)</f>
        <v>8.4631000000000007</v>
      </c>
      <c r="AI8" s="21">
        <f>IFERROR(K8/'Ar-Pa'!K8,0)</f>
        <v>7.1321666666666665</v>
      </c>
      <c r="AJ8" s="21">
        <f>IFERROR(L8/'Ar-Pa'!L8,0)</f>
        <v>9.974616666666666</v>
      </c>
      <c r="AK8" s="21">
        <f>IFERROR(M8/'Ar-Pa'!M8,0)</f>
        <v>6.6598222222222221</v>
      </c>
      <c r="AL8" s="21">
        <f>IFERROR(N8/'Ar-Pa'!N8,0)</f>
        <v>7.5200624999999999</v>
      </c>
      <c r="AM8" s="21">
        <f>IFERROR(O8/'Ar-Pa'!O8,0)</f>
        <v>7.1092555555555554</v>
      </c>
      <c r="AN8" s="21">
        <f>IFERROR(P8/'Ar-Pa'!P8,0)</f>
        <v>7.1104333333333338</v>
      </c>
      <c r="AO8" s="21">
        <f>IFERROR(Q8/'Ar-Pa'!Q8,0)</f>
        <v>7.0617111111111113</v>
      </c>
      <c r="AP8" s="21">
        <f>IFERROR(R8/'Ar-Pa'!R8,0)</f>
        <v>7.0570444444444451</v>
      </c>
      <c r="AQ8" s="21">
        <f>IFERROR(S8/'Ar-Pa'!S8,0)</f>
        <v>7.0559888888888889</v>
      </c>
      <c r="AR8" s="21">
        <f>IFERROR(T8/'Ar-Pa'!T8,0)</f>
        <v>7.0588666666666668</v>
      </c>
      <c r="AS8" s="21">
        <f>IFERROR(U8/'Ar-Pa'!U8,0)</f>
        <v>7.0518999999999998</v>
      </c>
      <c r="AT8" s="21">
        <f>IFERROR(V8/'Ar-Pa'!V8,0)</f>
        <v>7.0581111111111117</v>
      </c>
      <c r="AU8" s="21">
        <f>IFERROR(W8/'Ar-Pa'!W8,0)</f>
        <v>7.0488888888888885</v>
      </c>
      <c r="AV8" s="21">
        <f>IFERROR(X8/'Ar-Pa'!X8,0)</f>
        <v>7.0519222222222222</v>
      </c>
      <c r="AW8" s="21">
        <f>IFERROR(Y8/'Ar-Pa'!Y8,0)</f>
        <v>7.0368999999999993</v>
      </c>
      <c r="AX8" s="21">
        <f t="shared" si="0"/>
        <v>166.10516170634918</v>
      </c>
    </row>
    <row r="9" spans="1:50" s="12" customFormat="1">
      <c r="A9" s="15">
        <v>44934</v>
      </c>
      <c r="B9" s="437">
        <v>53.621900000000004</v>
      </c>
      <c r="C9" s="437">
        <v>53.354399999999998</v>
      </c>
      <c r="D9" s="437">
        <v>53.1999</v>
      </c>
      <c r="E9" s="437">
        <v>51.125500000000002</v>
      </c>
      <c r="F9" s="437">
        <v>50.5822</v>
      </c>
      <c r="G9" s="437">
        <v>50.555</v>
      </c>
      <c r="H9" s="437">
        <v>16.841200000000001</v>
      </c>
      <c r="I9" s="437">
        <v>1.3572</v>
      </c>
      <c r="J9" s="437">
        <v>0</v>
      </c>
      <c r="K9" s="437">
        <v>0</v>
      </c>
      <c r="L9" s="437">
        <v>4.8864999999999998</v>
      </c>
      <c r="M9" s="437">
        <v>17.2667</v>
      </c>
      <c r="N9" s="437">
        <v>44.552999999999997</v>
      </c>
      <c r="O9" s="437">
        <v>51.793300000000002</v>
      </c>
      <c r="P9" s="437">
        <v>53.863199999999999</v>
      </c>
      <c r="Q9" s="437">
        <v>53.816499999999998</v>
      </c>
      <c r="R9" s="437">
        <v>53.701900000000002</v>
      </c>
      <c r="S9" s="437">
        <v>53.763400000000004</v>
      </c>
      <c r="T9" s="437">
        <v>53.683399999999999</v>
      </c>
      <c r="U9" s="437">
        <v>53.652699999999996</v>
      </c>
      <c r="V9" s="437">
        <v>53.671800000000005</v>
      </c>
      <c r="W9" s="437">
        <v>53.751199999999997</v>
      </c>
      <c r="X9" s="437">
        <v>53.850900000000003</v>
      </c>
      <c r="Y9" s="437">
        <v>54.076500000000003</v>
      </c>
      <c r="Z9" s="21">
        <f>IFERROR(B9/'Ar-Pa'!B9,0)</f>
        <v>6.7027375000000005</v>
      </c>
      <c r="AA9" s="21">
        <f>IFERROR(C9/'Ar-Pa'!C9,0)</f>
        <v>6.6692999999999998</v>
      </c>
      <c r="AB9" s="21">
        <f>IFERROR(D9/'Ar-Pa'!D9,0)</f>
        <v>6.6499874999999999</v>
      </c>
      <c r="AC9" s="21">
        <f>IFERROR(E9/'Ar-Pa'!E9,0)</f>
        <v>6.3906875000000003</v>
      </c>
      <c r="AD9" s="21">
        <f>IFERROR(F9/'Ar-Pa'!F9,0)</f>
        <v>8.4303666666666661</v>
      </c>
      <c r="AE9" s="21">
        <f>IFERROR(G9/'Ar-Pa'!G9,0)</f>
        <v>8.4258333333333333</v>
      </c>
      <c r="AF9" s="21">
        <f>IFERROR(H9/'Ar-Pa'!H9,0)</f>
        <v>2.8068666666666666</v>
      </c>
      <c r="AG9" s="21">
        <f>IFERROR(I9/'Ar-Pa'!I9,0)</f>
        <v>0.67859999999999998</v>
      </c>
      <c r="AH9" s="21">
        <f>IFERROR(J9/'Ar-Pa'!J9,0)</f>
        <v>0</v>
      </c>
      <c r="AI9" s="21">
        <f>IFERROR(K9/'Ar-Pa'!K9,0)</f>
        <v>0</v>
      </c>
      <c r="AJ9" s="21">
        <f>IFERROR(L9/'Ar-Pa'!L9,0)</f>
        <v>2.4432499999999999</v>
      </c>
      <c r="AK9" s="21">
        <f>IFERROR(M9/'Ar-Pa'!M9,0)</f>
        <v>8.6333500000000001</v>
      </c>
      <c r="AL9" s="21">
        <f>IFERROR(N9/'Ar-Pa'!N9,0)</f>
        <v>7.4254999999999995</v>
      </c>
      <c r="AM9" s="21">
        <f>IFERROR(O9/'Ar-Pa'!O9,0)</f>
        <v>6.4741625000000003</v>
      </c>
      <c r="AN9" s="21">
        <f>IFERROR(P9/'Ar-Pa'!P9,0)</f>
        <v>6.7328999999999999</v>
      </c>
      <c r="AO9" s="21">
        <f>IFERROR(Q9/'Ar-Pa'!Q9,0)</f>
        <v>6.7270624999999997</v>
      </c>
      <c r="AP9" s="21">
        <f>IFERROR(R9/'Ar-Pa'!R9,0)</f>
        <v>6.7127375000000002</v>
      </c>
      <c r="AQ9" s="21">
        <f>IFERROR(S9/'Ar-Pa'!S9,0)</f>
        <v>6.7204250000000005</v>
      </c>
      <c r="AR9" s="21">
        <f>IFERROR(T9/'Ar-Pa'!T9,0)</f>
        <v>6.7104249999999999</v>
      </c>
      <c r="AS9" s="21">
        <f>IFERROR(U9/'Ar-Pa'!U9,0)</f>
        <v>6.7065874999999995</v>
      </c>
      <c r="AT9" s="21">
        <f>IFERROR(V9/'Ar-Pa'!V9,0)</f>
        <v>6.7089750000000006</v>
      </c>
      <c r="AU9" s="21">
        <f>IFERROR(W9/'Ar-Pa'!W9,0)</f>
        <v>6.7188999999999997</v>
      </c>
      <c r="AV9" s="21">
        <f>IFERROR(X9/'Ar-Pa'!X9,0)</f>
        <v>6.7313625000000004</v>
      </c>
      <c r="AW9" s="21">
        <f>IFERROR(Y9/'Ar-Pa'!Y9,0)</f>
        <v>6.7595625000000004</v>
      </c>
      <c r="AX9" s="21">
        <f t="shared" si="0"/>
        <v>138.95957916666666</v>
      </c>
    </row>
    <row r="10" spans="1:50" s="12" customFormat="1">
      <c r="A10" s="15">
        <v>44935</v>
      </c>
      <c r="B10" s="437">
        <v>62.427999999999997</v>
      </c>
      <c r="C10" s="437">
        <v>63.069699999999997</v>
      </c>
      <c r="D10" s="437">
        <v>63.1751</v>
      </c>
      <c r="E10" s="437">
        <v>62.977499999999999</v>
      </c>
      <c r="F10" s="437">
        <v>63.270300000000006</v>
      </c>
      <c r="G10" s="437">
        <v>61.819499999999998</v>
      </c>
      <c r="H10" s="437">
        <v>61.0062</v>
      </c>
      <c r="I10" s="437">
        <v>25.631599999999999</v>
      </c>
      <c r="J10" s="437">
        <v>0.1009</v>
      </c>
      <c r="K10" s="437">
        <v>8.2134999999999998</v>
      </c>
      <c r="L10" s="437">
        <v>17.3828</v>
      </c>
      <c r="M10" s="437">
        <v>43.289900000000003</v>
      </c>
      <c r="N10" s="437">
        <v>59.015999999999998</v>
      </c>
      <c r="O10" s="437">
        <v>62.855800000000002</v>
      </c>
      <c r="P10" s="437">
        <v>62.784699999999994</v>
      </c>
      <c r="Q10" s="437">
        <v>62.779600000000002</v>
      </c>
      <c r="R10" s="437">
        <v>62.505600000000001</v>
      </c>
      <c r="S10" s="437">
        <v>61.675899999999999</v>
      </c>
      <c r="T10" s="437">
        <v>63.411499999999997</v>
      </c>
      <c r="U10" s="437">
        <v>63.161499999999997</v>
      </c>
      <c r="V10" s="437">
        <v>62.981300000000005</v>
      </c>
      <c r="W10" s="437">
        <v>62.805999999999997</v>
      </c>
      <c r="X10" s="437">
        <v>62.759800000000006</v>
      </c>
      <c r="Y10" s="437">
        <v>62.537999999999997</v>
      </c>
      <c r="Z10" s="21">
        <f>IFERROR(B10/'Ar-Pa'!B10,0)</f>
        <v>6.9364444444444437</v>
      </c>
      <c r="AA10" s="21">
        <f>IFERROR(C10/'Ar-Pa'!C10,0)</f>
        <v>7.0077444444444446</v>
      </c>
      <c r="AB10" s="21">
        <f>IFERROR(D10/'Ar-Pa'!D10,0)</f>
        <v>7.019455555555556</v>
      </c>
      <c r="AC10" s="21">
        <f>IFERROR(E10/'Ar-Pa'!E10,0)</f>
        <v>6.9974999999999996</v>
      </c>
      <c r="AD10" s="21">
        <f>IFERROR(F10/'Ar-Pa'!F10,0)</f>
        <v>7.0300333333333338</v>
      </c>
      <c r="AE10" s="21">
        <f>IFERROR(G10/'Ar-Pa'!G10,0)</f>
        <v>7.7274374999999997</v>
      </c>
      <c r="AF10" s="21">
        <f>IFERROR(H10/'Ar-Pa'!H10,0)</f>
        <v>8.7151714285714288</v>
      </c>
      <c r="AG10" s="21">
        <f>IFERROR(I10/'Ar-Pa'!I10,0)</f>
        <v>3.6616571428571425</v>
      </c>
      <c r="AH10" s="21">
        <f>IFERROR(J10/'Ar-Pa'!J10,0)</f>
        <v>0</v>
      </c>
      <c r="AI10" s="21">
        <f>IFERROR(K10/'Ar-Pa'!K10,0)</f>
        <v>4.1067499999999999</v>
      </c>
      <c r="AJ10" s="21">
        <f>IFERROR(L10/'Ar-Pa'!L10,0)</f>
        <v>8.6913999999999998</v>
      </c>
      <c r="AK10" s="21">
        <f>IFERROR(M10/'Ar-Pa'!M10,0)</f>
        <v>7.2149833333333335</v>
      </c>
      <c r="AL10" s="21">
        <f>IFERROR(N10/'Ar-Pa'!N10,0)</f>
        <v>6.5573333333333332</v>
      </c>
      <c r="AM10" s="21">
        <f>IFERROR(O10/'Ar-Pa'!O10,0)</f>
        <v>6.9839777777777776</v>
      </c>
      <c r="AN10" s="21">
        <f>IFERROR(P10/'Ar-Pa'!P10,0)</f>
        <v>6.9760777777777774</v>
      </c>
      <c r="AO10" s="21">
        <f>IFERROR(Q10/'Ar-Pa'!Q10,0)</f>
        <v>6.9755111111111114</v>
      </c>
      <c r="AP10" s="21">
        <f>IFERROR(R10/'Ar-Pa'!R10,0)</f>
        <v>6.9450666666666665</v>
      </c>
      <c r="AQ10" s="21">
        <f>IFERROR(S10/'Ar-Pa'!S10,0)</f>
        <v>6.8528777777777776</v>
      </c>
      <c r="AR10" s="21">
        <f>IFERROR(T10/'Ar-Pa'!T10,0)</f>
        <v>7.0457222222222216</v>
      </c>
      <c r="AS10" s="21">
        <f>IFERROR(U10/'Ar-Pa'!U10,0)</f>
        <v>7.0179444444444439</v>
      </c>
      <c r="AT10" s="21">
        <f>IFERROR(V10/'Ar-Pa'!V10,0)</f>
        <v>6.9979222222222228</v>
      </c>
      <c r="AU10" s="21">
        <f>IFERROR(W10/'Ar-Pa'!W10,0)</f>
        <v>6.9784444444444444</v>
      </c>
      <c r="AV10" s="21">
        <f>IFERROR(X10/'Ar-Pa'!X10,0)</f>
        <v>6.9733111111111121</v>
      </c>
      <c r="AW10" s="21">
        <f>IFERROR(Y10/'Ar-Pa'!Y10,0)</f>
        <v>6.9486666666666661</v>
      </c>
      <c r="AX10" s="21">
        <f t="shared" si="0"/>
        <v>158.36143273809526</v>
      </c>
    </row>
    <row r="11" spans="1:50" s="12" customFormat="1">
      <c r="A11" s="15">
        <v>44936</v>
      </c>
      <c r="B11" s="437">
        <v>62.9375</v>
      </c>
      <c r="C11" s="437">
        <v>62.796999999999997</v>
      </c>
      <c r="D11" s="437">
        <v>62.936800000000005</v>
      </c>
      <c r="E11" s="437">
        <v>62.802</v>
      </c>
      <c r="F11" s="437">
        <v>61.571100000000001</v>
      </c>
      <c r="G11" s="437">
        <v>59.682600000000001</v>
      </c>
      <c r="H11" s="437">
        <v>59.572099999999999</v>
      </c>
      <c r="I11" s="437">
        <v>59.688300000000005</v>
      </c>
      <c r="J11" s="437">
        <v>59.740300000000005</v>
      </c>
      <c r="K11" s="437">
        <v>61.328600000000002</v>
      </c>
      <c r="L11" s="437">
        <v>63.756599999999999</v>
      </c>
      <c r="M11" s="437">
        <v>63.9148</v>
      </c>
      <c r="N11" s="437">
        <v>63.9313</v>
      </c>
      <c r="O11" s="437">
        <v>63.815100000000001</v>
      </c>
      <c r="P11" s="437">
        <v>63.912099999999995</v>
      </c>
      <c r="Q11" s="437">
        <v>63.951300000000003</v>
      </c>
      <c r="R11" s="437">
        <v>63.891400000000004</v>
      </c>
      <c r="S11" s="437">
        <v>63.851599999999998</v>
      </c>
      <c r="T11" s="437">
        <v>63.785899999999998</v>
      </c>
      <c r="U11" s="437">
        <v>63.642699999999998</v>
      </c>
      <c r="V11" s="437">
        <v>61.977899999999998</v>
      </c>
      <c r="W11" s="437">
        <v>62.086800000000004</v>
      </c>
      <c r="X11" s="437">
        <v>62.713000000000001</v>
      </c>
      <c r="Y11" s="437">
        <v>62.527099999999997</v>
      </c>
      <c r="Z11" s="21">
        <f>IFERROR(B11/'Ar-Pa'!B11,0)</f>
        <v>6.9930555555555554</v>
      </c>
      <c r="AA11" s="21">
        <f>IFERROR(C11/'Ar-Pa'!C11,0)</f>
        <v>6.9774444444444441</v>
      </c>
      <c r="AB11" s="21">
        <f>IFERROR(D11/'Ar-Pa'!D11,0)</f>
        <v>6.992977777777778</v>
      </c>
      <c r="AC11" s="21">
        <f>IFERROR(E11/'Ar-Pa'!E11,0)</f>
        <v>6.9779999999999998</v>
      </c>
      <c r="AD11" s="21">
        <f>IFERROR(F11/'Ar-Pa'!F11,0)</f>
        <v>6.8412333333333333</v>
      </c>
      <c r="AE11" s="21">
        <f>IFERROR(G11/'Ar-Pa'!G11,0)</f>
        <v>8.5260857142857152</v>
      </c>
      <c r="AF11" s="21">
        <f>IFERROR(H11/'Ar-Pa'!H11,0)</f>
        <v>8.5102999999999991</v>
      </c>
      <c r="AG11" s="21">
        <f>IFERROR(I11/'Ar-Pa'!I11,0)</f>
        <v>8.5269000000000013</v>
      </c>
      <c r="AH11" s="21">
        <f>IFERROR(J11/'Ar-Pa'!J11,0)</f>
        <v>8.5343285714285724</v>
      </c>
      <c r="AI11" s="21">
        <f>IFERROR(K11/'Ar-Pa'!K11,0)</f>
        <v>6.8142888888888891</v>
      </c>
      <c r="AJ11" s="21">
        <f>IFERROR(L11/'Ar-Pa'!L11,0)</f>
        <v>7.0840666666666667</v>
      </c>
      <c r="AK11" s="21">
        <f>IFERROR(M11/'Ar-Pa'!M11,0)</f>
        <v>7.1016444444444442</v>
      </c>
      <c r="AL11" s="21">
        <f>IFERROR(N11/'Ar-Pa'!N11,0)</f>
        <v>7.103477777777778</v>
      </c>
      <c r="AM11" s="21">
        <f>IFERROR(O11/'Ar-Pa'!O11,0)</f>
        <v>7.0905666666666667</v>
      </c>
      <c r="AN11" s="21">
        <f>IFERROR(P11/'Ar-Pa'!P11,0)</f>
        <v>7.101344444444444</v>
      </c>
      <c r="AO11" s="21">
        <f>IFERROR(Q11/'Ar-Pa'!Q11,0)</f>
        <v>7.1057000000000006</v>
      </c>
      <c r="AP11" s="21">
        <f>IFERROR(R11/'Ar-Pa'!R11,0)</f>
        <v>7.0990444444444449</v>
      </c>
      <c r="AQ11" s="21">
        <f>IFERROR(S11/'Ar-Pa'!S11,0)</f>
        <v>7.0946222222222222</v>
      </c>
      <c r="AR11" s="21">
        <f>IFERROR(T11/'Ar-Pa'!T11,0)</f>
        <v>7.0873222222222223</v>
      </c>
      <c r="AS11" s="21">
        <f>IFERROR(U11/'Ar-Pa'!U11,0)</f>
        <v>7.0714111111111109</v>
      </c>
      <c r="AT11" s="21">
        <f>IFERROR(V11/'Ar-Pa'!V11,0)</f>
        <v>6.8864333333333327</v>
      </c>
      <c r="AU11" s="21">
        <f>IFERROR(W11/'Ar-Pa'!W11,0)</f>
        <v>6.8985333333333339</v>
      </c>
      <c r="AV11" s="21">
        <f>IFERROR(X11/'Ar-Pa'!X11,0)</f>
        <v>6.9681111111111109</v>
      </c>
      <c r="AW11" s="21">
        <f>IFERROR(Y11/'Ar-Pa'!Y11,0)</f>
        <v>6.9474555555555551</v>
      </c>
      <c r="AX11" s="21">
        <f t="shared" si="0"/>
        <v>174.33434761904766</v>
      </c>
    </row>
    <row r="12" spans="1:50" s="12" customFormat="1">
      <c r="A12" s="15">
        <v>44937</v>
      </c>
      <c r="B12" s="437">
        <v>53.7044</v>
      </c>
      <c r="C12" s="437">
        <v>53.063099999999999</v>
      </c>
      <c r="D12" s="437">
        <v>53.055999999999997</v>
      </c>
      <c r="E12" s="437">
        <v>53.158699999999996</v>
      </c>
      <c r="F12" s="437">
        <v>51.539099999999998</v>
      </c>
      <c r="G12" s="437">
        <v>51.2194</v>
      </c>
      <c r="H12" s="437">
        <v>51.034699999999994</v>
      </c>
      <c r="I12" s="437">
        <v>51.136800000000001</v>
      </c>
      <c r="J12" s="437">
        <v>51.128699999999995</v>
      </c>
      <c r="K12" s="437">
        <v>54.2333</v>
      </c>
      <c r="L12" s="437">
        <v>53.827400000000004</v>
      </c>
      <c r="M12" s="437">
        <v>53.6098</v>
      </c>
      <c r="N12" s="437">
        <v>53.458599999999997</v>
      </c>
      <c r="O12" s="437">
        <v>53.402800000000006</v>
      </c>
      <c r="P12" s="437">
        <v>53.511300000000006</v>
      </c>
      <c r="Q12" s="437">
        <v>53.105699999999999</v>
      </c>
      <c r="R12" s="437">
        <v>53.507899999999999</v>
      </c>
      <c r="S12" s="437">
        <v>52.560400000000001</v>
      </c>
      <c r="T12" s="437">
        <v>53.752199999999995</v>
      </c>
      <c r="U12" s="437">
        <v>53.525700000000001</v>
      </c>
      <c r="V12" s="437">
        <v>53.384300000000003</v>
      </c>
      <c r="W12" s="437">
        <v>53.2087</v>
      </c>
      <c r="X12" s="437">
        <v>53.053199999999997</v>
      </c>
      <c r="Y12" s="437">
        <v>53.314500000000002</v>
      </c>
      <c r="Z12" s="21">
        <f>IFERROR(B12/'Ar-Pa'!B12,0)</f>
        <v>6.71305</v>
      </c>
      <c r="AA12" s="21">
        <f>IFERROR(C12/'Ar-Pa'!C12,0)</f>
        <v>6.6328874999999998</v>
      </c>
      <c r="AB12" s="21">
        <f>IFERROR(D12/'Ar-Pa'!D12,0)</f>
        <v>6.6319999999999997</v>
      </c>
      <c r="AC12" s="21">
        <f>IFERROR(E12/'Ar-Pa'!E12,0)</f>
        <v>6.6448374999999995</v>
      </c>
      <c r="AD12" s="21">
        <f>IFERROR(F12/'Ar-Pa'!F12,0)</f>
        <v>6.4423874999999997</v>
      </c>
      <c r="AE12" s="21">
        <f>IFERROR(G12/'Ar-Pa'!G12,0)</f>
        <v>8.5365666666666673</v>
      </c>
      <c r="AF12" s="21">
        <f>IFERROR(H12/'Ar-Pa'!H12,0)</f>
        <v>8.5057833333333317</v>
      </c>
      <c r="AG12" s="21">
        <f>IFERROR(I12/'Ar-Pa'!I12,0)</f>
        <v>8.5228000000000002</v>
      </c>
      <c r="AH12" s="21">
        <f>IFERROR(J12/'Ar-Pa'!J12,0)</f>
        <v>8.5214499999999997</v>
      </c>
      <c r="AI12" s="21">
        <f>IFERROR(K12/'Ar-Pa'!K12,0)</f>
        <v>6.7791625</v>
      </c>
      <c r="AJ12" s="21">
        <f>IFERROR(L12/'Ar-Pa'!L12,0)</f>
        <v>6.7284250000000005</v>
      </c>
      <c r="AK12" s="21">
        <f>IFERROR(M12/'Ar-Pa'!M12,0)</f>
        <v>6.701225</v>
      </c>
      <c r="AL12" s="21">
        <f>IFERROR(N12/'Ar-Pa'!N12,0)</f>
        <v>6.6823249999999996</v>
      </c>
      <c r="AM12" s="21">
        <f>IFERROR(O12/'Ar-Pa'!O12,0)</f>
        <v>6.6753500000000008</v>
      </c>
      <c r="AN12" s="21">
        <f>IFERROR(P12/'Ar-Pa'!P12,0)</f>
        <v>6.6889125000000007</v>
      </c>
      <c r="AO12" s="21">
        <f>IFERROR(Q12/'Ar-Pa'!Q12,0)</f>
        <v>6.6382124999999998</v>
      </c>
      <c r="AP12" s="21">
        <f>IFERROR(R12/'Ar-Pa'!R12,0)</f>
        <v>6.6884874999999999</v>
      </c>
      <c r="AQ12" s="21">
        <f>IFERROR(S12/'Ar-Pa'!S12,0)</f>
        <v>6.5700500000000002</v>
      </c>
      <c r="AR12" s="21">
        <f>IFERROR(T12/'Ar-Pa'!T12,0)</f>
        <v>6.7190249999999994</v>
      </c>
      <c r="AS12" s="21">
        <f>IFERROR(U12/'Ar-Pa'!U12,0)</f>
        <v>6.6907125000000001</v>
      </c>
      <c r="AT12" s="21">
        <f>IFERROR(V12/'Ar-Pa'!V12,0)</f>
        <v>6.6730375000000004</v>
      </c>
      <c r="AU12" s="21">
        <f>IFERROR(W12/'Ar-Pa'!W12,0)</f>
        <v>6.6510875</v>
      </c>
      <c r="AV12" s="21">
        <f>IFERROR(X12/'Ar-Pa'!X12,0)</f>
        <v>6.6316499999999996</v>
      </c>
      <c r="AW12" s="21">
        <f>IFERROR(Y12/'Ar-Pa'!Y12,0)</f>
        <v>6.6643125000000003</v>
      </c>
      <c r="AX12" s="21">
        <f t="shared" si="0"/>
        <v>167.33373749999996</v>
      </c>
    </row>
    <row r="13" spans="1:50" s="12" customFormat="1">
      <c r="A13" s="15">
        <v>44938</v>
      </c>
      <c r="B13" s="437">
        <v>52.739800000000002</v>
      </c>
      <c r="C13" s="437">
        <v>53.504800000000003</v>
      </c>
      <c r="D13" s="437">
        <v>53.740900000000003</v>
      </c>
      <c r="E13" s="437">
        <v>53.479599999999998</v>
      </c>
      <c r="F13" s="437">
        <v>51.863099999999996</v>
      </c>
      <c r="G13" s="437">
        <v>50.851099999999995</v>
      </c>
      <c r="H13" s="437">
        <v>50.752499999999998</v>
      </c>
      <c r="I13" s="437">
        <v>50.860800000000005</v>
      </c>
      <c r="J13" s="437">
        <v>51.490699999999997</v>
      </c>
      <c r="K13" s="437">
        <v>54.176699999999997</v>
      </c>
      <c r="L13" s="437">
        <v>54.320599999999999</v>
      </c>
      <c r="M13" s="437">
        <v>54.346599999999995</v>
      </c>
      <c r="N13" s="437">
        <v>54.379899999999999</v>
      </c>
      <c r="O13" s="437">
        <v>54.418199999999999</v>
      </c>
      <c r="P13" s="437">
        <v>54.364800000000002</v>
      </c>
      <c r="Q13" s="437">
        <v>54.323300000000003</v>
      </c>
      <c r="R13" s="437">
        <v>54.185699999999997</v>
      </c>
      <c r="S13" s="437">
        <v>54.2699</v>
      </c>
      <c r="T13" s="437">
        <v>54.003399999999999</v>
      </c>
      <c r="U13" s="437">
        <v>54.024300000000004</v>
      </c>
      <c r="V13" s="437">
        <v>52.862199999999994</v>
      </c>
      <c r="W13" s="437">
        <v>52.943100000000001</v>
      </c>
      <c r="X13" s="437">
        <v>52.874300000000005</v>
      </c>
      <c r="Y13" s="437">
        <v>52.757300000000001</v>
      </c>
      <c r="Z13" s="21">
        <f>IFERROR(B13/'Ar-Pa'!B13,0)</f>
        <v>6.5924750000000003</v>
      </c>
      <c r="AA13" s="21">
        <f>IFERROR(C13/'Ar-Pa'!C13,0)</f>
        <v>6.6881000000000004</v>
      </c>
      <c r="AB13" s="21">
        <f>IFERROR(D13/'Ar-Pa'!D13,0)</f>
        <v>6.7176125000000004</v>
      </c>
      <c r="AC13" s="21">
        <f>IFERROR(E13/'Ar-Pa'!E13,0)</f>
        <v>6.6849499999999997</v>
      </c>
      <c r="AD13" s="21">
        <f>IFERROR(F13/'Ar-Pa'!F13,0)</f>
        <v>6.4828874999999995</v>
      </c>
      <c r="AE13" s="21">
        <f>IFERROR(G13/'Ar-Pa'!G13,0)</f>
        <v>8.475183333333332</v>
      </c>
      <c r="AF13" s="21">
        <f>IFERROR(H13/'Ar-Pa'!H13,0)</f>
        <v>8.4587500000000002</v>
      </c>
      <c r="AG13" s="21">
        <f>IFERROR(I13/'Ar-Pa'!I13,0)</f>
        <v>8.4768000000000008</v>
      </c>
      <c r="AH13" s="21">
        <f>IFERROR(J13/'Ar-Pa'!J13,0)</f>
        <v>6.4363374999999996</v>
      </c>
      <c r="AI13" s="21">
        <f>IFERROR(K13/'Ar-Pa'!K13,0)</f>
        <v>6.7720874999999996</v>
      </c>
      <c r="AJ13" s="21">
        <f>IFERROR(L13/'Ar-Pa'!L13,0)</f>
        <v>6.7900749999999999</v>
      </c>
      <c r="AK13" s="21">
        <f>IFERROR(M13/'Ar-Pa'!M13,0)</f>
        <v>6.7933249999999994</v>
      </c>
      <c r="AL13" s="21">
        <f>IFERROR(N13/'Ar-Pa'!N13,0)</f>
        <v>6.7974874999999999</v>
      </c>
      <c r="AM13" s="21">
        <f>IFERROR(O13/'Ar-Pa'!O13,0)</f>
        <v>6.8022749999999998</v>
      </c>
      <c r="AN13" s="21">
        <f>IFERROR(P13/'Ar-Pa'!P13,0)</f>
        <v>6.7956000000000003</v>
      </c>
      <c r="AO13" s="21">
        <f>IFERROR(Q13/'Ar-Pa'!Q13,0)</f>
        <v>6.7904125000000004</v>
      </c>
      <c r="AP13" s="21">
        <f>IFERROR(R13/'Ar-Pa'!R13,0)</f>
        <v>6.7732124999999996</v>
      </c>
      <c r="AQ13" s="21">
        <f>IFERROR(S13/'Ar-Pa'!S13,0)</f>
        <v>6.7837375</v>
      </c>
      <c r="AR13" s="21">
        <f>IFERROR(T13/'Ar-Pa'!T13,0)</f>
        <v>6.7504249999999999</v>
      </c>
      <c r="AS13" s="21">
        <f>IFERROR(U13/'Ar-Pa'!U13,0)</f>
        <v>6.7530375000000005</v>
      </c>
      <c r="AT13" s="21">
        <f>IFERROR(V13/'Ar-Pa'!V13,0)</f>
        <v>6.6077749999999993</v>
      </c>
      <c r="AU13" s="21">
        <f>IFERROR(W13/'Ar-Pa'!W13,0)</f>
        <v>6.6178875000000001</v>
      </c>
      <c r="AV13" s="21">
        <f>IFERROR(X13/'Ar-Pa'!X13,0)</f>
        <v>6.6092875000000006</v>
      </c>
      <c r="AW13" s="21">
        <f>IFERROR(Y13/'Ar-Pa'!Y13,0)</f>
        <v>6.5946625000000001</v>
      </c>
      <c r="AX13" s="21">
        <f t="shared" si="0"/>
        <v>166.04438333333331</v>
      </c>
    </row>
    <row r="14" spans="1:50" s="12" customFormat="1">
      <c r="A14" s="15">
        <v>44939</v>
      </c>
      <c r="B14" s="437">
        <v>52.935199999999995</v>
      </c>
      <c r="C14" s="437">
        <v>53.8628</v>
      </c>
      <c r="D14" s="437">
        <v>53.880499999999998</v>
      </c>
      <c r="E14" s="437">
        <v>53.640800000000006</v>
      </c>
      <c r="F14" s="437">
        <v>53.897300000000001</v>
      </c>
      <c r="G14" s="437">
        <v>51.6218</v>
      </c>
      <c r="H14" s="437">
        <v>50.447900000000004</v>
      </c>
      <c r="I14" s="437">
        <v>50.384300000000003</v>
      </c>
      <c r="J14" s="437">
        <v>51.6631</v>
      </c>
      <c r="K14" s="437">
        <v>54.723399999999998</v>
      </c>
      <c r="L14" s="437">
        <v>54.303199999999997</v>
      </c>
      <c r="M14" s="437">
        <v>54.259</v>
      </c>
      <c r="N14" s="437">
        <v>54.2834</v>
      </c>
      <c r="O14" s="437">
        <v>54.314599999999999</v>
      </c>
      <c r="P14" s="437">
        <v>54.311800000000005</v>
      </c>
      <c r="Q14" s="437">
        <v>54.245100000000001</v>
      </c>
      <c r="R14" s="437">
        <v>54.247900000000001</v>
      </c>
      <c r="S14" s="437">
        <v>54.151699999999998</v>
      </c>
      <c r="T14" s="437">
        <v>54.1708</v>
      </c>
      <c r="U14" s="437">
        <v>54.095300000000002</v>
      </c>
      <c r="V14" s="437">
        <v>53.974400000000003</v>
      </c>
      <c r="W14" s="437">
        <v>53.730400000000003</v>
      </c>
      <c r="X14" s="437">
        <v>53.996000000000002</v>
      </c>
      <c r="Y14" s="437">
        <v>53.9833</v>
      </c>
      <c r="Z14" s="21">
        <f>IFERROR(B14/'Ar-Pa'!B14,0)</f>
        <v>6.6168999999999993</v>
      </c>
      <c r="AA14" s="21">
        <f>IFERROR(C14/'Ar-Pa'!C14,0)</f>
        <v>6.73285</v>
      </c>
      <c r="AB14" s="21">
        <f>IFERROR(D14/'Ar-Pa'!D14,0)</f>
        <v>6.7350624999999997</v>
      </c>
      <c r="AC14" s="21">
        <f>IFERROR(E14/'Ar-Pa'!E14,0)</f>
        <v>6.7051000000000007</v>
      </c>
      <c r="AD14" s="21">
        <f>IFERROR(F14/'Ar-Pa'!F14,0)</f>
        <v>6.7371625000000002</v>
      </c>
      <c r="AE14" s="21">
        <f>IFERROR(G14/'Ar-Pa'!G14,0)</f>
        <v>6.452725</v>
      </c>
      <c r="AF14" s="21">
        <f>IFERROR(H14/'Ar-Pa'!H14,0)</f>
        <v>8.407983333333334</v>
      </c>
      <c r="AG14" s="21">
        <f>IFERROR(I14/'Ar-Pa'!I14,0)</f>
        <v>8.3973833333333339</v>
      </c>
      <c r="AH14" s="21">
        <f>IFERROR(J14/'Ar-Pa'!J14,0)</f>
        <v>8.6105166666666673</v>
      </c>
      <c r="AI14" s="21">
        <f>IFERROR(K14/'Ar-Pa'!K14,0)</f>
        <v>6.8404249999999998</v>
      </c>
      <c r="AJ14" s="21">
        <f>IFERROR(L14/'Ar-Pa'!L14,0)</f>
        <v>6.7878999999999996</v>
      </c>
      <c r="AK14" s="21">
        <f>IFERROR(M14/'Ar-Pa'!M14,0)</f>
        <v>6.782375</v>
      </c>
      <c r="AL14" s="21">
        <f>IFERROR(N14/'Ar-Pa'!N14,0)</f>
        <v>6.785425</v>
      </c>
      <c r="AM14" s="21">
        <f>IFERROR(O14/'Ar-Pa'!O14,0)</f>
        <v>6.7893249999999998</v>
      </c>
      <c r="AN14" s="21">
        <f>IFERROR(P14/'Ar-Pa'!P14,0)</f>
        <v>6.7889750000000006</v>
      </c>
      <c r="AO14" s="21">
        <f>IFERROR(Q14/'Ar-Pa'!Q14,0)</f>
        <v>6.7806375000000001</v>
      </c>
      <c r="AP14" s="21">
        <f>IFERROR(R14/'Ar-Pa'!R14,0)</f>
        <v>6.7809875000000002</v>
      </c>
      <c r="AQ14" s="21">
        <f>IFERROR(S14/'Ar-Pa'!S14,0)</f>
        <v>6.7689624999999998</v>
      </c>
      <c r="AR14" s="21">
        <f>IFERROR(T14/'Ar-Pa'!T14,0)</f>
        <v>6.77135</v>
      </c>
      <c r="AS14" s="21">
        <f>IFERROR(U14/'Ar-Pa'!U14,0)</f>
        <v>6.7619125000000002</v>
      </c>
      <c r="AT14" s="21">
        <f>IFERROR(V14/'Ar-Pa'!V14,0)</f>
        <v>6.7468000000000004</v>
      </c>
      <c r="AU14" s="21">
        <f>IFERROR(W14/'Ar-Pa'!W14,0)</f>
        <v>6.7163000000000004</v>
      </c>
      <c r="AV14" s="21">
        <f>IFERROR(X14/'Ar-Pa'!X14,0)</f>
        <v>6.7495000000000003</v>
      </c>
      <c r="AW14" s="21">
        <f>IFERROR(Y14/'Ar-Pa'!Y14,0)</f>
        <v>6.7479125</v>
      </c>
      <c r="AX14" s="21">
        <f t="shared" si="0"/>
        <v>166.99447083333334</v>
      </c>
    </row>
    <row r="15" spans="1:50" s="12" customFormat="1">
      <c r="A15" s="15">
        <v>44940</v>
      </c>
      <c r="B15" s="437">
        <v>51.928800000000003</v>
      </c>
      <c r="C15" s="437">
        <v>53.091699999999996</v>
      </c>
      <c r="D15" s="437">
        <v>53.236400000000003</v>
      </c>
      <c r="E15" s="437">
        <v>53.109199999999994</v>
      </c>
      <c r="F15" s="437">
        <v>53.180199999999999</v>
      </c>
      <c r="G15" s="437">
        <v>53.0015</v>
      </c>
      <c r="H15" s="437">
        <v>53.040800000000004</v>
      </c>
      <c r="I15" s="437">
        <v>52.884699999999995</v>
      </c>
      <c r="J15" s="437">
        <v>52.492599999999996</v>
      </c>
      <c r="K15" s="437">
        <v>51.103099999999998</v>
      </c>
      <c r="L15" s="437">
        <v>53.590199999999996</v>
      </c>
      <c r="M15" s="437">
        <v>53.704500000000003</v>
      </c>
      <c r="N15" s="437">
        <v>53.853999999999999</v>
      </c>
      <c r="O15" s="437">
        <v>53.657699999999998</v>
      </c>
      <c r="P15" s="437">
        <v>53.760199999999998</v>
      </c>
      <c r="Q15" s="437">
        <v>53.509399999999999</v>
      </c>
      <c r="R15" s="437">
        <v>53.481499999999997</v>
      </c>
      <c r="S15" s="437">
        <v>53.401900000000005</v>
      </c>
      <c r="T15" s="437">
        <v>53.5383</v>
      </c>
      <c r="U15" s="437">
        <v>53.458599999999997</v>
      </c>
      <c r="V15" s="437">
        <v>53.440300000000001</v>
      </c>
      <c r="W15" s="437">
        <v>53.322300000000006</v>
      </c>
      <c r="X15" s="437">
        <v>53.253999999999998</v>
      </c>
      <c r="Y15" s="437">
        <v>53.479199999999999</v>
      </c>
      <c r="Z15" s="21">
        <f>IFERROR(B15/'Ar-Pa'!B15,0)</f>
        <v>6.4911000000000003</v>
      </c>
      <c r="AA15" s="21">
        <f>IFERROR(C15/'Ar-Pa'!C15,0)</f>
        <v>6.6364624999999995</v>
      </c>
      <c r="AB15" s="21">
        <f>IFERROR(D15/'Ar-Pa'!D15,0)</f>
        <v>6.6545500000000004</v>
      </c>
      <c r="AC15" s="21">
        <f>IFERROR(E15/'Ar-Pa'!E15,0)</f>
        <v>6.6386499999999993</v>
      </c>
      <c r="AD15" s="21">
        <f>IFERROR(F15/'Ar-Pa'!F15,0)</f>
        <v>6.6475249999999999</v>
      </c>
      <c r="AE15" s="21">
        <f>IFERROR(G15/'Ar-Pa'!G15,0)</f>
        <v>6.6251875</v>
      </c>
      <c r="AF15" s="21">
        <f>IFERROR(H15/'Ar-Pa'!H15,0)</f>
        <v>6.6301000000000005</v>
      </c>
      <c r="AG15" s="21">
        <f>IFERROR(I15/'Ar-Pa'!I15,0)</f>
        <v>6.6105874999999994</v>
      </c>
      <c r="AH15" s="21">
        <f>IFERROR(J15/'Ar-Pa'!J15,0)</f>
        <v>7.4989428571428567</v>
      </c>
      <c r="AI15" s="21">
        <f>IFERROR(K15/'Ar-Pa'!K15,0)</f>
        <v>6.3878874999999997</v>
      </c>
      <c r="AJ15" s="21">
        <f>IFERROR(L15/'Ar-Pa'!L15,0)</f>
        <v>6.6987749999999995</v>
      </c>
      <c r="AK15" s="21">
        <f>IFERROR(M15/'Ar-Pa'!M15,0)</f>
        <v>6.7130625000000004</v>
      </c>
      <c r="AL15" s="21">
        <f>IFERROR(N15/'Ar-Pa'!N15,0)</f>
        <v>6.7317499999999999</v>
      </c>
      <c r="AM15" s="21">
        <f>IFERROR(O15/'Ar-Pa'!O15,0)</f>
        <v>6.7072124999999998</v>
      </c>
      <c r="AN15" s="21">
        <f>IFERROR(P15/'Ar-Pa'!P15,0)</f>
        <v>6.7200249999999997</v>
      </c>
      <c r="AO15" s="21">
        <f>IFERROR(Q15/'Ar-Pa'!Q15,0)</f>
        <v>6.6886749999999999</v>
      </c>
      <c r="AP15" s="21">
        <f>IFERROR(R15/'Ar-Pa'!R15,0)</f>
        <v>6.6851874999999996</v>
      </c>
      <c r="AQ15" s="21">
        <f>IFERROR(S15/'Ar-Pa'!S15,0)</f>
        <v>6.6752375000000006</v>
      </c>
      <c r="AR15" s="21">
        <f>IFERROR(T15/'Ar-Pa'!T15,0)</f>
        <v>6.6922874999999999</v>
      </c>
      <c r="AS15" s="21">
        <f>IFERROR(U15/'Ar-Pa'!U15,0)</f>
        <v>6.6823249999999996</v>
      </c>
      <c r="AT15" s="21">
        <f>IFERROR(V15/'Ar-Pa'!V15,0)</f>
        <v>6.6800375000000001</v>
      </c>
      <c r="AU15" s="21">
        <f>IFERROR(W15/'Ar-Pa'!W15,0)</f>
        <v>6.6652875000000007</v>
      </c>
      <c r="AV15" s="21">
        <f>IFERROR(X15/'Ar-Pa'!X15,0)</f>
        <v>6.6567499999999997</v>
      </c>
      <c r="AW15" s="21">
        <f>IFERROR(Y15/'Ar-Pa'!Y15,0)</f>
        <v>6.6848999999999998</v>
      </c>
      <c r="AX15" s="21">
        <f t="shared" si="0"/>
        <v>160.50250535714284</v>
      </c>
    </row>
    <row r="16" spans="1:50" s="12" customFormat="1">
      <c r="A16" s="15">
        <v>44941</v>
      </c>
      <c r="B16" s="437">
        <v>54.269300000000001</v>
      </c>
      <c r="C16" s="437">
        <v>54.011900000000004</v>
      </c>
      <c r="D16" s="437">
        <v>53.986599999999996</v>
      </c>
      <c r="E16" s="437">
        <v>54.095800000000004</v>
      </c>
      <c r="F16" s="437">
        <v>54.137500000000003</v>
      </c>
      <c r="G16" s="437">
        <v>54.219099999999997</v>
      </c>
      <c r="H16" s="437">
        <v>51.358199999999997</v>
      </c>
      <c r="I16" s="437">
        <v>51.403700000000001</v>
      </c>
      <c r="J16" s="437">
        <v>51.370599999999996</v>
      </c>
      <c r="K16" s="437">
        <v>50.847799999999999</v>
      </c>
      <c r="L16" s="437">
        <v>52.7027</v>
      </c>
      <c r="M16" s="437">
        <v>54.908999999999999</v>
      </c>
      <c r="N16" s="437">
        <v>53.1631</v>
      </c>
      <c r="O16" s="437">
        <v>53.283900000000003</v>
      </c>
      <c r="P16" s="437">
        <v>53.300400000000003</v>
      </c>
      <c r="Q16" s="437">
        <v>53.265300000000003</v>
      </c>
      <c r="R16" s="437">
        <v>53.331300000000006</v>
      </c>
      <c r="S16" s="437">
        <v>53.274500000000003</v>
      </c>
      <c r="T16" s="437">
        <v>53.212900000000005</v>
      </c>
      <c r="U16" s="437">
        <v>53.304000000000002</v>
      </c>
      <c r="V16" s="437">
        <v>53.832599999999999</v>
      </c>
      <c r="W16" s="437">
        <v>53.479800000000004</v>
      </c>
      <c r="X16" s="437">
        <v>54.194000000000003</v>
      </c>
      <c r="Y16" s="437">
        <v>54.212900000000005</v>
      </c>
      <c r="Z16" s="21">
        <f>IFERROR(B16/'Ar-Pa'!B16,0)</f>
        <v>6.7836625000000002</v>
      </c>
      <c r="AA16" s="21">
        <f>IFERROR(C16/'Ar-Pa'!C16,0)</f>
        <v>6.7514875000000005</v>
      </c>
      <c r="AB16" s="21">
        <f>IFERROR(D16/'Ar-Pa'!D16,0)</f>
        <v>6.7483249999999995</v>
      </c>
      <c r="AC16" s="21">
        <f>IFERROR(E16/'Ar-Pa'!E16,0)</f>
        <v>6.7619750000000005</v>
      </c>
      <c r="AD16" s="21">
        <f>IFERROR(F16/'Ar-Pa'!F16,0)</f>
        <v>6.7671875000000004</v>
      </c>
      <c r="AE16" s="21">
        <f>IFERROR(G16/'Ar-Pa'!G16,0)</f>
        <v>6.7773874999999997</v>
      </c>
      <c r="AF16" s="21">
        <f>IFERROR(H16/'Ar-Pa'!H16,0)</f>
        <v>8.5596999999999994</v>
      </c>
      <c r="AG16" s="21">
        <f>IFERROR(I16/'Ar-Pa'!I16,0)</f>
        <v>8.567283333333334</v>
      </c>
      <c r="AH16" s="21">
        <f>IFERROR(J16/'Ar-Pa'!J16,0)</f>
        <v>8.5617666666666654</v>
      </c>
      <c r="AI16" s="21">
        <f>IFERROR(K16/'Ar-Pa'!K16,0)</f>
        <v>8.4746333333333332</v>
      </c>
      <c r="AJ16" s="21">
        <f>IFERROR(L16/'Ar-Pa'!L16,0)</f>
        <v>7.5289571428571431</v>
      </c>
      <c r="AK16" s="21">
        <f>IFERROR(M16/'Ar-Pa'!M16,0)</f>
        <v>6.8636249999999999</v>
      </c>
      <c r="AL16" s="21">
        <f>IFERROR(N16/'Ar-Pa'!N16,0)</f>
        <v>6.6453875</v>
      </c>
      <c r="AM16" s="21">
        <f>IFERROR(O16/'Ar-Pa'!O16,0)</f>
        <v>6.6604875000000003</v>
      </c>
      <c r="AN16" s="21">
        <f>IFERROR(P16/'Ar-Pa'!P16,0)</f>
        <v>6.6625500000000004</v>
      </c>
      <c r="AO16" s="21">
        <f>IFERROR(Q16/'Ar-Pa'!Q16,0)</f>
        <v>6.6581625000000004</v>
      </c>
      <c r="AP16" s="21">
        <f>IFERROR(R16/'Ar-Pa'!R16,0)</f>
        <v>6.6664125000000007</v>
      </c>
      <c r="AQ16" s="21">
        <f>IFERROR(S16/'Ar-Pa'!S16,0)</f>
        <v>6.6593125000000004</v>
      </c>
      <c r="AR16" s="21">
        <f>IFERROR(T16/'Ar-Pa'!T16,0)</f>
        <v>6.6516125000000006</v>
      </c>
      <c r="AS16" s="21">
        <f>IFERROR(U16/'Ar-Pa'!U16,0)</f>
        <v>6.6630000000000003</v>
      </c>
      <c r="AT16" s="21">
        <f>IFERROR(V16/'Ar-Pa'!V16,0)</f>
        <v>6.7290749999999999</v>
      </c>
      <c r="AU16" s="21">
        <f>IFERROR(W16/'Ar-Pa'!W16,0)</f>
        <v>6.6849750000000006</v>
      </c>
      <c r="AV16" s="21">
        <f>IFERROR(X16/'Ar-Pa'!X16,0)</f>
        <v>6.7742500000000003</v>
      </c>
      <c r="AW16" s="21">
        <f>IFERROR(Y16/'Ar-Pa'!Y16,0)</f>
        <v>6.7766125000000006</v>
      </c>
      <c r="AX16" s="21">
        <f t="shared" si="0"/>
        <v>169.37782797619047</v>
      </c>
    </row>
    <row r="17" spans="1:50" s="12" customFormat="1">
      <c r="A17" s="15">
        <v>44942</v>
      </c>
      <c r="B17" s="436">
        <v>54.269300000000001</v>
      </c>
      <c r="C17" s="436">
        <v>54.011900000000004</v>
      </c>
      <c r="D17" s="436">
        <v>53.986599999999996</v>
      </c>
      <c r="E17" s="436">
        <v>54.095800000000004</v>
      </c>
      <c r="F17" s="436">
        <v>54.137500000000003</v>
      </c>
      <c r="G17" s="436">
        <v>54.219099999999997</v>
      </c>
      <c r="H17" s="436">
        <v>51.358199999999997</v>
      </c>
      <c r="I17" s="436">
        <v>51.403700000000001</v>
      </c>
      <c r="J17" s="436">
        <v>51.370599999999996</v>
      </c>
      <c r="K17" s="436">
        <v>50.847799999999999</v>
      </c>
      <c r="L17" s="436">
        <v>52.7027</v>
      </c>
      <c r="M17" s="436">
        <v>54.908999999999999</v>
      </c>
      <c r="N17" s="436">
        <v>53.1631</v>
      </c>
      <c r="O17" s="436">
        <v>53.283900000000003</v>
      </c>
      <c r="P17" s="436">
        <v>53.300400000000003</v>
      </c>
      <c r="Q17" s="436">
        <v>53.265300000000003</v>
      </c>
      <c r="R17" s="436">
        <v>53.331300000000006</v>
      </c>
      <c r="S17" s="436">
        <v>53.274500000000003</v>
      </c>
      <c r="T17" s="437">
        <v>53.212900000000005</v>
      </c>
      <c r="U17" s="437">
        <v>53.304000000000002</v>
      </c>
      <c r="V17" s="437">
        <v>53.832599999999999</v>
      </c>
      <c r="W17" s="437">
        <v>53.479800000000004</v>
      </c>
      <c r="X17" s="436">
        <v>54.194000000000003</v>
      </c>
      <c r="Y17" s="436">
        <v>54.212900000000005</v>
      </c>
      <c r="Z17" s="21">
        <f>IFERROR(B17/'Ar-Pa'!B17,0)</f>
        <v>6.7836625000000002</v>
      </c>
      <c r="AA17" s="21">
        <f>IFERROR(C17/'Ar-Pa'!C17,0)</f>
        <v>6.7514875000000005</v>
      </c>
      <c r="AB17" s="21">
        <f>IFERROR(D17/'Ar-Pa'!D17,0)</f>
        <v>6.7483249999999995</v>
      </c>
      <c r="AC17" s="21">
        <f>IFERROR(E17/'Ar-Pa'!E17,0)</f>
        <v>7.7279714285714292</v>
      </c>
      <c r="AD17" s="21">
        <f>IFERROR(F17/'Ar-Pa'!F17,0)</f>
        <v>7.7339285714285717</v>
      </c>
      <c r="AE17" s="21">
        <f>IFERROR(G17/'Ar-Pa'!G17,0)</f>
        <v>6.0243444444444441</v>
      </c>
      <c r="AF17" s="21">
        <f>IFERROR(H17/'Ar-Pa'!H17,0)</f>
        <v>6.4197749999999996</v>
      </c>
      <c r="AG17" s="21">
        <f>IFERROR(I17/'Ar-Pa'!I17,0)</f>
        <v>6.4254625000000001</v>
      </c>
      <c r="AH17" s="21">
        <f>IFERROR(J17/'Ar-Pa'!J17,0)</f>
        <v>6.4213249999999995</v>
      </c>
      <c r="AI17" s="21">
        <f>IFERROR(K17/'Ar-Pa'!K17,0)</f>
        <v>6.3559749999999999</v>
      </c>
      <c r="AJ17" s="21">
        <f>IFERROR(L17/'Ar-Pa'!L17,0)</f>
        <v>6.5878375</v>
      </c>
      <c r="AK17" s="21">
        <f>IFERROR(M17/'Ar-Pa'!M17,0)</f>
        <v>6.8636249999999999</v>
      </c>
      <c r="AL17" s="21">
        <f>IFERROR(N17/'Ar-Pa'!N17,0)</f>
        <v>6.6453875</v>
      </c>
      <c r="AM17" s="21">
        <f>IFERROR(O17/'Ar-Pa'!O17,0)</f>
        <v>7.6119857142857148</v>
      </c>
      <c r="AN17" s="21">
        <f>IFERROR(P17/'Ar-Pa'!P17,0)</f>
        <v>7.6143428571428577</v>
      </c>
      <c r="AO17" s="21">
        <f>IFERROR(Q17/'Ar-Pa'!Q17,0)</f>
        <v>5.9183666666666674</v>
      </c>
      <c r="AP17" s="21">
        <f>IFERROR(R17/'Ar-Pa'!R17,0)</f>
        <v>5.9257000000000009</v>
      </c>
      <c r="AQ17" s="21">
        <f>IFERROR(S17/'Ar-Pa'!S17,0)</f>
        <v>5.9193888888888893</v>
      </c>
      <c r="AR17" s="21">
        <f>IFERROR(T17/'Ar-Pa'!T17,0)</f>
        <v>5.9125444444444453</v>
      </c>
      <c r="AS17" s="21">
        <f>IFERROR(U17/'Ar-Pa'!U17,0)</f>
        <v>5.9226666666666672</v>
      </c>
      <c r="AT17" s="21">
        <f>IFERROR(V17/'Ar-Pa'!V17,0)</f>
        <v>5.9813999999999998</v>
      </c>
      <c r="AU17" s="21">
        <f>IFERROR(W17/'Ar-Pa'!W17,0)</f>
        <v>5.9422000000000006</v>
      </c>
      <c r="AV17" s="21">
        <f>IFERROR(X17/'Ar-Pa'!X17,0)</f>
        <v>6.0215555555555556</v>
      </c>
      <c r="AW17" s="21">
        <f>IFERROR(Y17/'Ar-Pa'!Y17,0)</f>
        <v>6.023655555555556</v>
      </c>
      <c r="AX17" s="21">
        <f t="shared" si="0"/>
        <v>156.28291329365084</v>
      </c>
    </row>
    <row r="18" spans="1:50" s="12" customFormat="1">
      <c r="A18" s="15">
        <v>44943</v>
      </c>
      <c r="B18" s="436">
        <v>61.262599999999999</v>
      </c>
      <c r="C18" s="436">
        <v>61.546399999999998</v>
      </c>
      <c r="D18" s="436">
        <v>61.507100000000001</v>
      </c>
      <c r="E18" s="436">
        <v>61.456000000000003</v>
      </c>
      <c r="F18" s="436">
        <v>61.683099999999996</v>
      </c>
      <c r="G18" s="436">
        <v>62.271000000000001</v>
      </c>
      <c r="H18" s="436">
        <v>60.543199999999999</v>
      </c>
      <c r="I18" s="436">
        <v>60.566800000000001</v>
      </c>
      <c r="J18" s="436">
        <v>60.604900000000001</v>
      </c>
      <c r="K18" s="436">
        <v>60.527300000000004</v>
      </c>
      <c r="L18" s="436">
        <v>60.609300000000005</v>
      </c>
      <c r="M18" s="436">
        <v>60.549900000000001</v>
      </c>
      <c r="N18" s="436">
        <v>61.293199999999999</v>
      </c>
      <c r="O18" s="436">
        <v>60.078099999999999</v>
      </c>
      <c r="P18" s="436">
        <v>60.1477</v>
      </c>
      <c r="Q18" s="436">
        <v>60.814900000000002</v>
      </c>
      <c r="R18" s="436">
        <v>62.531500000000001</v>
      </c>
      <c r="S18" s="436">
        <v>62.535299999999999</v>
      </c>
      <c r="T18" s="437">
        <v>62.473800000000004</v>
      </c>
      <c r="U18" s="437">
        <v>62.385800000000003</v>
      </c>
      <c r="V18" s="437">
        <v>61.853999999999999</v>
      </c>
      <c r="W18" s="437">
        <v>61.258699999999997</v>
      </c>
      <c r="X18" s="436">
        <v>61.122300000000003</v>
      </c>
      <c r="Y18" s="436">
        <v>61.4559</v>
      </c>
      <c r="Z18" s="21">
        <f>IFERROR(B18/'Ar-Pa'!B18,0)</f>
        <v>6.8069555555555556</v>
      </c>
      <c r="AA18" s="21">
        <f>IFERROR(C18/'Ar-Pa'!C18,0)</f>
        <v>6.8384888888888886</v>
      </c>
      <c r="AB18" s="21">
        <f>IFERROR(D18/'Ar-Pa'!D18,0)</f>
        <v>6.8341222222222227</v>
      </c>
      <c r="AC18" s="21">
        <f>IFERROR(E18/'Ar-Pa'!E18,0)</f>
        <v>6.828444444444445</v>
      </c>
      <c r="AD18" s="21">
        <f>IFERROR(F18/'Ar-Pa'!F18,0)</f>
        <v>6.8536777777777775</v>
      </c>
      <c r="AE18" s="21">
        <f>IFERROR(G18/'Ar-Pa'!G18,0)</f>
        <v>6.9190000000000005</v>
      </c>
      <c r="AF18" s="21">
        <f>IFERROR(H18/'Ar-Pa'!H18,0)</f>
        <v>6.7270222222222218</v>
      </c>
      <c r="AG18" s="21">
        <f>IFERROR(I18/'Ar-Pa'!I18,0)</f>
        <v>6.7296444444444443</v>
      </c>
      <c r="AH18" s="21">
        <f>IFERROR(J18/'Ar-Pa'!J18,0)</f>
        <v>6.7338777777777779</v>
      </c>
      <c r="AI18" s="21">
        <f>IFERROR(K18/'Ar-Pa'!K18,0)</f>
        <v>6.725255555555556</v>
      </c>
      <c r="AJ18" s="21">
        <f>IFERROR(L18/'Ar-Pa'!L18,0)</f>
        <v>6.7343666666666673</v>
      </c>
      <c r="AK18" s="21">
        <f>IFERROR(M18/'Ar-Pa'!M18,0)</f>
        <v>6.7277666666666667</v>
      </c>
      <c r="AL18" s="21">
        <f>IFERROR(N18/'Ar-Pa'!N18,0)</f>
        <v>6.8103555555555557</v>
      </c>
      <c r="AM18" s="21">
        <f>IFERROR(O18/'Ar-Pa'!O18,0)</f>
        <v>6.6753444444444447</v>
      </c>
      <c r="AN18" s="21">
        <f>IFERROR(P18/'Ar-Pa'!P18,0)</f>
        <v>6.6830777777777781</v>
      </c>
      <c r="AO18" s="21">
        <f>IFERROR(Q18/'Ar-Pa'!Q18,0)</f>
        <v>6.7572111111111113</v>
      </c>
      <c r="AP18" s="21">
        <f>IFERROR(R18/'Ar-Pa'!R18,0)</f>
        <v>6.9479444444444445</v>
      </c>
      <c r="AQ18" s="21">
        <f>IFERROR(S18/'Ar-Pa'!S18,0)</f>
        <v>6.9483666666666668</v>
      </c>
      <c r="AR18" s="21">
        <f>IFERROR(T18/'Ar-Pa'!T18,0)</f>
        <v>6.941533333333334</v>
      </c>
      <c r="AS18" s="21">
        <f>IFERROR(U18/'Ar-Pa'!U18,0)</f>
        <v>6.9317555555555561</v>
      </c>
      <c r="AT18" s="21">
        <f>IFERROR(V18/'Ar-Pa'!V18,0)</f>
        <v>6.8726666666666665</v>
      </c>
      <c r="AU18" s="21">
        <f>IFERROR(W18/'Ar-Pa'!W18,0)</f>
        <v>6.8065222222222221</v>
      </c>
      <c r="AV18" s="21">
        <f>IFERROR(X18/'Ar-Pa'!X18,0)</f>
        <v>6.7913666666666668</v>
      </c>
      <c r="AW18" s="21">
        <f>IFERROR(Y18/'Ar-Pa'!Y18,0)</f>
        <v>6.8284333333333329</v>
      </c>
      <c r="AX18" s="21">
        <f t="shared" si="0"/>
        <v>163.45320000000001</v>
      </c>
    </row>
    <row r="19" spans="1:50" s="12" customFormat="1">
      <c r="A19" s="15">
        <v>44944</v>
      </c>
      <c r="B19" s="436">
        <v>61.204900000000002</v>
      </c>
      <c r="C19" s="436">
        <v>61.337600000000002</v>
      </c>
      <c r="D19" s="436">
        <v>61.357999999999997</v>
      </c>
      <c r="E19" s="436">
        <v>61.342300000000002</v>
      </c>
      <c r="F19" s="436">
        <v>61.308800000000005</v>
      </c>
      <c r="G19" s="436">
        <v>61.299800000000005</v>
      </c>
      <c r="H19" s="436">
        <v>61.334800000000001</v>
      </c>
      <c r="I19" s="436">
        <v>61.357199999999999</v>
      </c>
      <c r="J19" s="436">
        <v>61.129300000000001</v>
      </c>
      <c r="K19" s="436">
        <v>61.4557</v>
      </c>
      <c r="L19" s="436">
        <v>61.390099999999997</v>
      </c>
      <c r="M19" s="436">
        <v>61.359900000000003</v>
      </c>
      <c r="N19" s="436">
        <v>61.329800000000006</v>
      </c>
      <c r="O19" s="436">
        <v>61.395699999999998</v>
      </c>
      <c r="P19" s="436">
        <v>60.9876</v>
      </c>
      <c r="Q19" s="436">
        <v>61.052</v>
      </c>
      <c r="R19" s="436">
        <v>61.337199999999996</v>
      </c>
      <c r="S19" s="436">
        <v>61.102599999999995</v>
      </c>
      <c r="T19" s="437">
        <v>61.033699999999996</v>
      </c>
      <c r="U19" s="437">
        <v>60.976900000000001</v>
      </c>
      <c r="V19" s="437">
        <v>60.941400000000002</v>
      </c>
      <c r="W19" s="437">
        <v>60.9756</v>
      </c>
      <c r="X19" s="436">
        <v>61.011600000000001</v>
      </c>
      <c r="Y19" s="436">
        <v>61.011000000000003</v>
      </c>
      <c r="Z19" s="21">
        <f>IFERROR(B19/'Ar-Pa'!B19,0)</f>
        <v>7.6506125000000003</v>
      </c>
      <c r="AA19" s="21">
        <f>IFERROR(C19/'Ar-Pa'!C19,0)</f>
        <v>7.6672000000000002</v>
      </c>
      <c r="AB19" s="21">
        <f>IFERROR(D19/'Ar-Pa'!D19,0)</f>
        <v>7.6697499999999996</v>
      </c>
      <c r="AC19" s="21">
        <f>IFERROR(E19/'Ar-Pa'!E19,0)</f>
        <v>7.6677875000000002</v>
      </c>
      <c r="AD19" s="21">
        <f>IFERROR(F19/'Ar-Pa'!F19,0)</f>
        <v>30.654400000000003</v>
      </c>
      <c r="AE19" s="21">
        <f>IFERROR(G19/'Ar-Pa'!G19,0)</f>
        <v>0</v>
      </c>
      <c r="AF19" s="21">
        <f>IFERROR(H19/'Ar-Pa'!H19,0)</f>
        <v>30.667400000000001</v>
      </c>
      <c r="AG19" s="21">
        <f>IFERROR(I19/'Ar-Pa'!I19,0)</f>
        <v>30.678599999999999</v>
      </c>
      <c r="AH19" s="21">
        <f>IFERROR(J19/'Ar-Pa'!J19,0)</f>
        <v>8.7327571428571424</v>
      </c>
      <c r="AI19" s="21">
        <f>IFERROR(K19/'Ar-Pa'!K19,0)</f>
        <v>8.7793857142857146</v>
      </c>
      <c r="AJ19" s="21">
        <f>IFERROR(L19/'Ar-Pa'!L19,0)</f>
        <v>7.6737624999999996</v>
      </c>
      <c r="AK19" s="21">
        <f>IFERROR(M19/'Ar-Pa'!M19,0)</f>
        <v>7.6699875000000004</v>
      </c>
      <c r="AL19" s="21">
        <f>IFERROR(N19/'Ar-Pa'!N19,0)</f>
        <v>7.6662250000000007</v>
      </c>
      <c r="AM19" s="21">
        <f>IFERROR(O19/'Ar-Pa'!O19,0)</f>
        <v>7.6744624999999997</v>
      </c>
      <c r="AN19" s="21">
        <f>IFERROR(P19/'Ar-Pa'!P19,0)</f>
        <v>7.6234500000000001</v>
      </c>
      <c r="AO19" s="21">
        <f>IFERROR(Q19/'Ar-Pa'!Q19,0)</f>
        <v>7.6315</v>
      </c>
      <c r="AP19" s="21">
        <f>IFERROR(R19/'Ar-Pa'!R19,0)</f>
        <v>7.6671499999999995</v>
      </c>
      <c r="AQ19" s="21">
        <f>IFERROR(S19/'Ar-Pa'!S19,0)</f>
        <v>7.6378249999999994</v>
      </c>
      <c r="AR19" s="21">
        <f>IFERROR(T19/'Ar-Pa'!T19,0)</f>
        <v>7.6292124999999995</v>
      </c>
      <c r="AS19" s="21">
        <f>IFERROR(U19/'Ar-Pa'!U19,0)</f>
        <v>7.6221125000000001</v>
      </c>
      <c r="AT19" s="21">
        <f>IFERROR(V19/'Ar-Pa'!V19,0)</f>
        <v>7.6176750000000002</v>
      </c>
      <c r="AU19" s="21">
        <f>IFERROR(W19/'Ar-Pa'!W19,0)</f>
        <v>7.62195</v>
      </c>
      <c r="AV19" s="21">
        <f>IFERROR(X19/'Ar-Pa'!X19,0)</f>
        <v>7.6264500000000002</v>
      </c>
      <c r="AW19" s="21">
        <f>IFERROR(Y19/'Ar-Pa'!Y19,0)</f>
        <v>7.6263750000000003</v>
      </c>
      <c r="AX19" s="21">
        <f t="shared" si="0"/>
        <v>247.15603035714284</v>
      </c>
    </row>
    <row r="20" spans="1:50" s="12" customFormat="1">
      <c r="A20" s="15">
        <v>44945</v>
      </c>
      <c r="B20" s="436">
        <v>54.301000000000002</v>
      </c>
      <c r="C20" s="436">
        <v>54.399000000000001</v>
      </c>
      <c r="D20" s="436">
        <v>54.188499999999998</v>
      </c>
      <c r="E20" s="436">
        <v>54.235599999999998</v>
      </c>
      <c r="F20" s="436">
        <v>16.3627</v>
      </c>
      <c r="G20" s="436">
        <v>0.96950000000000003</v>
      </c>
      <c r="H20" s="436">
        <v>6.8146000000000004</v>
      </c>
      <c r="I20" s="436">
        <v>17.136800000000001</v>
      </c>
      <c r="J20" s="436">
        <v>44.748899999999999</v>
      </c>
      <c r="K20" s="436">
        <v>50.7669</v>
      </c>
      <c r="L20" s="436">
        <v>53.3155</v>
      </c>
      <c r="M20" s="436">
        <v>54.792699999999996</v>
      </c>
      <c r="N20" s="436">
        <v>54.77</v>
      </c>
      <c r="O20" s="436">
        <v>54.824300000000001</v>
      </c>
      <c r="P20" s="436">
        <v>54.774500000000003</v>
      </c>
      <c r="Q20" s="436">
        <v>54.162500000000001</v>
      </c>
      <c r="R20" s="436">
        <v>53.985999999999997</v>
      </c>
      <c r="S20" s="436">
        <v>54.054699999999997</v>
      </c>
      <c r="T20" s="437">
        <v>54.025300000000001</v>
      </c>
      <c r="U20" s="437">
        <v>54.086300000000001</v>
      </c>
      <c r="V20" s="437">
        <v>54.016800000000003</v>
      </c>
      <c r="W20" s="437">
        <v>53.959199999999996</v>
      </c>
      <c r="X20" s="436">
        <v>54.1494</v>
      </c>
      <c r="Y20" s="436">
        <v>53.785499999999999</v>
      </c>
      <c r="Z20" s="21">
        <f>IFERROR(B20/'Ar-Pa'!B20,0)</f>
        <v>6.7876250000000002</v>
      </c>
      <c r="AA20" s="21">
        <f>IFERROR(C20/'Ar-Pa'!C20,0)</f>
        <v>6.7998750000000001</v>
      </c>
      <c r="AB20" s="21">
        <f>IFERROR(D20/'Ar-Pa'!D20,0)</f>
        <v>6.7735624999999997</v>
      </c>
      <c r="AC20" s="21">
        <f>IFERROR(E20/'Ar-Pa'!E20,0)</f>
        <v>6.7794499999999998</v>
      </c>
      <c r="AD20" s="21">
        <f>IFERROR(F20/'Ar-Pa'!F20,0)</f>
        <v>8.1813500000000001</v>
      </c>
      <c r="AE20" s="21">
        <f>IFERROR(G20/'Ar-Pa'!G20,0)</f>
        <v>0</v>
      </c>
      <c r="AF20" s="21">
        <f>IFERROR(H20/'Ar-Pa'!H20,0)</f>
        <v>3.4073000000000002</v>
      </c>
      <c r="AG20" s="21">
        <f>IFERROR(I20/'Ar-Pa'!I20,0)</f>
        <v>8.5684000000000005</v>
      </c>
      <c r="AH20" s="21">
        <f>IFERROR(J20/'Ar-Pa'!J20,0)</f>
        <v>8.9497800000000005</v>
      </c>
      <c r="AI20" s="21">
        <f>IFERROR(K20/'Ar-Pa'!K20,0)</f>
        <v>12.691725</v>
      </c>
      <c r="AJ20" s="21">
        <f>IFERROR(L20/'Ar-Pa'!L20,0)</f>
        <v>13.328875</v>
      </c>
      <c r="AK20" s="21">
        <f>IFERROR(M20/'Ar-Pa'!M20,0)</f>
        <v>13.698174999999999</v>
      </c>
      <c r="AL20" s="21">
        <f>IFERROR(N20/'Ar-Pa'!N20,0)</f>
        <v>9.1283333333333339</v>
      </c>
      <c r="AM20" s="21">
        <f>IFERROR(O20/'Ar-Pa'!O20,0)</f>
        <v>9.1373833333333341</v>
      </c>
      <c r="AN20" s="21">
        <f>IFERROR(P20/'Ar-Pa'!P20,0)</f>
        <v>6.8468125000000004</v>
      </c>
      <c r="AO20" s="21">
        <f>IFERROR(Q20/'Ar-Pa'!Q20,0)</f>
        <v>6.7703125000000002</v>
      </c>
      <c r="AP20" s="21">
        <f>IFERROR(R20/'Ar-Pa'!R20,0)</f>
        <v>6.7482499999999996</v>
      </c>
      <c r="AQ20" s="21">
        <f>IFERROR(S20/'Ar-Pa'!S20,0)</f>
        <v>6.7568374999999996</v>
      </c>
      <c r="AR20" s="21">
        <f>IFERROR(T20/'Ar-Pa'!T20,0)</f>
        <v>6.7531625000000002</v>
      </c>
      <c r="AS20" s="21">
        <f>IFERROR(U20/'Ar-Pa'!U20,0)</f>
        <v>6.7607875000000002</v>
      </c>
      <c r="AT20" s="21">
        <f>IFERROR(V20/'Ar-Pa'!V20,0)</f>
        <v>6.7521000000000004</v>
      </c>
      <c r="AU20" s="21">
        <f>IFERROR(W20/'Ar-Pa'!W20,0)</f>
        <v>6.7448999999999995</v>
      </c>
      <c r="AV20" s="21">
        <f>IFERROR(X20/'Ar-Pa'!X20,0)</f>
        <v>6.768675</v>
      </c>
      <c r="AW20" s="21">
        <f>IFERROR(Y20/'Ar-Pa'!Y20,0)</f>
        <v>6.7231874999999999</v>
      </c>
      <c r="AX20" s="21">
        <f t="shared" si="0"/>
        <v>181.85685916666665</v>
      </c>
    </row>
    <row r="21" spans="1:50" s="12" customFormat="1">
      <c r="A21" s="15">
        <v>44946</v>
      </c>
      <c r="B21" s="436">
        <v>53.918500000000002</v>
      </c>
      <c r="C21" s="436">
        <v>54.103699999999996</v>
      </c>
      <c r="D21" s="436">
        <v>54.047899999999998</v>
      </c>
      <c r="E21" s="436">
        <v>53.776600000000002</v>
      </c>
      <c r="F21" s="436">
        <v>16.647200000000002</v>
      </c>
      <c r="G21" s="436">
        <v>0.35869999999999996</v>
      </c>
      <c r="H21" s="436">
        <v>6.0419999999999998</v>
      </c>
      <c r="I21" s="436">
        <v>17.463000000000001</v>
      </c>
      <c r="J21" s="436">
        <v>41.462800000000001</v>
      </c>
      <c r="K21" s="436">
        <v>47.951000000000001</v>
      </c>
      <c r="L21" s="436">
        <v>47.966300000000004</v>
      </c>
      <c r="M21" s="436">
        <v>48.247399999999999</v>
      </c>
      <c r="N21" s="436">
        <v>51.945699999999995</v>
      </c>
      <c r="O21" s="436">
        <v>51.125300000000003</v>
      </c>
      <c r="P21" s="436">
        <v>53.560499999999998</v>
      </c>
      <c r="Q21" s="436">
        <v>53.817</v>
      </c>
      <c r="R21" s="436">
        <v>53.755300000000005</v>
      </c>
      <c r="S21" s="436">
        <v>53.277099999999997</v>
      </c>
      <c r="T21" s="437">
        <v>53.355499999999999</v>
      </c>
      <c r="U21" s="437">
        <v>53.266199999999998</v>
      </c>
      <c r="V21" s="437">
        <v>53.154499999999999</v>
      </c>
      <c r="W21" s="437">
        <v>53.028100000000002</v>
      </c>
      <c r="X21" s="436">
        <v>53.004199999999997</v>
      </c>
      <c r="Y21" s="436">
        <v>52.959499999999998</v>
      </c>
      <c r="Z21" s="21">
        <f>IFERROR(B21/'Ar-Pa'!B21,0)</f>
        <v>6.7398125000000002</v>
      </c>
      <c r="AA21" s="21">
        <f>IFERROR(C21/'Ar-Pa'!C21,0)</f>
        <v>6.7629624999999995</v>
      </c>
      <c r="AB21" s="21">
        <f>IFERROR(D21/'Ar-Pa'!D21,0)</f>
        <v>6.7559874999999998</v>
      </c>
      <c r="AC21" s="21">
        <f>IFERROR(E21/'Ar-Pa'!E21,0)</f>
        <v>6.7220750000000002</v>
      </c>
      <c r="AD21" s="21">
        <f>IFERROR(F21/'Ar-Pa'!F21,0)</f>
        <v>8.3236000000000008</v>
      </c>
      <c r="AE21" s="21">
        <f>IFERROR(G21/'Ar-Pa'!G21,0)</f>
        <v>0</v>
      </c>
      <c r="AF21" s="21">
        <f>IFERROR(H21/'Ar-Pa'!H21,0)</f>
        <v>3.0209999999999999</v>
      </c>
      <c r="AG21" s="21">
        <f>IFERROR(I21/'Ar-Pa'!I21,0)</f>
        <v>8.7315000000000005</v>
      </c>
      <c r="AH21" s="21">
        <f>IFERROR(J21/'Ar-Pa'!J21,0)</f>
        <v>6.9104666666666672</v>
      </c>
      <c r="AI21" s="21">
        <f>IFERROR(K21/'Ar-Pa'!K21,0)</f>
        <v>5.9938750000000001</v>
      </c>
      <c r="AJ21" s="21">
        <f>IFERROR(L21/'Ar-Pa'!L21,0)</f>
        <v>5.9957875000000005</v>
      </c>
      <c r="AK21" s="21">
        <f>IFERROR(M21/'Ar-Pa'!M21,0)</f>
        <v>6.0309249999999999</v>
      </c>
      <c r="AL21" s="21">
        <f>IFERROR(N21/'Ar-Pa'!N21,0)</f>
        <v>6.4932124999999994</v>
      </c>
      <c r="AM21" s="21">
        <f>IFERROR(O21/'Ar-Pa'!O21,0)</f>
        <v>6.3906625000000004</v>
      </c>
      <c r="AN21" s="21">
        <f>IFERROR(P21/'Ar-Pa'!P21,0)</f>
        <v>6.6950624999999997</v>
      </c>
      <c r="AO21" s="21">
        <f>IFERROR(Q21/'Ar-Pa'!Q21,0)</f>
        <v>7.6881428571428572</v>
      </c>
      <c r="AP21" s="21">
        <f>IFERROR(R21/'Ar-Pa'!R21,0)</f>
        <v>7.6793285714285719</v>
      </c>
      <c r="AQ21" s="21">
        <f>IFERROR(S21/'Ar-Pa'!S21,0)</f>
        <v>6.6596374999999997</v>
      </c>
      <c r="AR21" s="21">
        <f>IFERROR(T21/'Ar-Pa'!T21,0)</f>
        <v>6.6694374999999999</v>
      </c>
      <c r="AS21" s="21">
        <f>IFERROR(U21/'Ar-Pa'!U21,0)</f>
        <v>6.6582749999999997</v>
      </c>
      <c r="AT21" s="21">
        <f>IFERROR(V21/'Ar-Pa'!V21,0)</f>
        <v>6.6443124999999998</v>
      </c>
      <c r="AU21" s="21">
        <f>IFERROR(W21/'Ar-Pa'!W21,0)</f>
        <v>6.6285125000000003</v>
      </c>
      <c r="AV21" s="21">
        <f>IFERROR(X21/'Ar-Pa'!X21,0)</f>
        <v>6.6255249999999997</v>
      </c>
      <c r="AW21" s="21">
        <f>IFERROR(Y21/'Ar-Pa'!Y21,0)</f>
        <v>6.6199374999999998</v>
      </c>
      <c r="AX21" s="21">
        <f t="shared" si="0"/>
        <v>153.44003809523812</v>
      </c>
    </row>
    <row r="22" spans="1:50" s="12" customFormat="1">
      <c r="A22" s="15">
        <v>44947</v>
      </c>
      <c r="B22" s="436">
        <v>52.808699999999995</v>
      </c>
      <c r="C22" s="436">
        <v>53.656800000000004</v>
      </c>
      <c r="D22" s="436">
        <v>53.709900000000005</v>
      </c>
      <c r="E22" s="436">
        <v>53.607800000000005</v>
      </c>
      <c r="F22" s="436">
        <v>16.660700000000002</v>
      </c>
      <c r="G22" s="436">
        <v>0.19019999999999998</v>
      </c>
      <c r="H22" s="436">
        <v>5.3096999999999994</v>
      </c>
      <c r="I22" s="436">
        <v>17.403400000000001</v>
      </c>
      <c r="J22" s="436">
        <v>43.266400000000004</v>
      </c>
      <c r="K22" s="436">
        <v>54.157599999999995</v>
      </c>
      <c r="L22" s="436">
        <v>54.317999999999998</v>
      </c>
      <c r="M22" s="436">
        <v>54.044800000000002</v>
      </c>
      <c r="N22" s="436">
        <v>54.117199999999997</v>
      </c>
      <c r="O22" s="436">
        <v>54.384</v>
      </c>
      <c r="P22" s="436">
        <v>54.371900000000004</v>
      </c>
      <c r="Q22" s="436">
        <v>54.493600000000001</v>
      </c>
      <c r="R22" s="436">
        <v>54.549199999999999</v>
      </c>
      <c r="S22" s="436">
        <v>54.527800000000006</v>
      </c>
      <c r="T22" s="437">
        <v>54.414199999999994</v>
      </c>
      <c r="U22" s="437">
        <v>54.500999999999998</v>
      </c>
      <c r="V22" s="437">
        <v>54.409399999999998</v>
      </c>
      <c r="W22" s="437">
        <v>54.405000000000001</v>
      </c>
      <c r="X22" s="436">
        <v>53.895000000000003</v>
      </c>
      <c r="Y22" s="436">
        <v>53.808500000000002</v>
      </c>
      <c r="Z22" s="21">
        <f>IFERROR(B22/'Ar-Pa'!B22,0)</f>
        <v>6.6010874999999993</v>
      </c>
      <c r="AA22" s="21">
        <f>IFERROR(C22/'Ar-Pa'!C22,0)</f>
        <v>6.7071000000000005</v>
      </c>
      <c r="AB22" s="21">
        <f>IFERROR(D22/'Ar-Pa'!D22,0)</f>
        <v>6.7137375000000006</v>
      </c>
      <c r="AC22" s="21">
        <f>IFERROR(E22/'Ar-Pa'!E22,0)</f>
        <v>6.7009750000000006</v>
      </c>
      <c r="AD22" s="21">
        <f>IFERROR(F22/'Ar-Pa'!F22,0)</f>
        <v>2.0825875000000003</v>
      </c>
      <c r="AE22" s="21">
        <f>IFERROR(G22/'Ar-Pa'!G22,0)</f>
        <v>2.3774999999999998E-2</v>
      </c>
      <c r="AF22" s="21">
        <f>IFERROR(H22/'Ar-Pa'!H22,0)</f>
        <v>0.75852857142857133</v>
      </c>
      <c r="AG22" s="21">
        <f>IFERROR(I22/'Ar-Pa'!I22,0)</f>
        <v>2.4862000000000002</v>
      </c>
      <c r="AH22" s="21">
        <f>IFERROR(J22/'Ar-Pa'!J22,0)</f>
        <v>6.1809142857142865</v>
      </c>
      <c r="AI22" s="21">
        <f>IFERROR(K22/'Ar-Pa'!K22,0)</f>
        <v>6.7696999999999994</v>
      </c>
      <c r="AJ22" s="21">
        <f>IFERROR(L22/'Ar-Pa'!L22,0)</f>
        <v>6.7897499999999997</v>
      </c>
      <c r="AK22" s="21">
        <f>IFERROR(M22/'Ar-Pa'!M22,0)</f>
        <v>6.7556000000000003</v>
      </c>
      <c r="AL22" s="21">
        <f>IFERROR(N22/'Ar-Pa'!N22,0)</f>
        <v>6.7646499999999996</v>
      </c>
      <c r="AM22" s="21">
        <f>IFERROR(O22/'Ar-Pa'!O22,0)</f>
        <v>6.798</v>
      </c>
      <c r="AN22" s="21">
        <f>IFERROR(P22/'Ar-Pa'!P22,0)</f>
        <v>6.7964875000000005</v>
      </c>
      <c r="AO22" s="21">
        <f>IFERROR(Q22/'Ar-Pa'!Q22,0)</f>
        <v>6.8117000000000001</v>
      </c>
      <c r="AP22" s="21">
        <f>IFERROR(R22/'Ar-Pa'!R22,0)</f>
        <v>6.8186499999999999</v>
      </c>
      <c r="AQ22" s="21">
        <f>IFERROR(S22/'Ar-Pa'!S22,0)</f>
        <v>6.8159750000000008</v>
      </c>
      <c r="AR22" s="21">
        <f>IFERROR(T22/'Ar-Pa'!T22,0)</f>
        <v>6.8017749999999992</v>
      </c>
      <c r="AS22" s="21">
        <f>IFERROR(U22/'Ar-Pa'!U22,0)</f>
        <v>6.8126249999999997</v>
      </c>
      <c r="AT22" s="21">
        <f>IFERROR(V22/'Ar-Pa'!V22,0)</f>
        <v>6.8011749999999997</v>
      </c>
      <c r="AU22" s="21">
        <f>IFERROR(W22/'Ar-Pa'!W22,0)</f>
        <v>6.8006250000000001</v>
      </c>
      <c r="AV22" s="21">
        <f>IFERROR(X22/'Ar-Pa'!X22,0)</f>
        <v>6.7368750000000004</v>
      </c>
      <c r="AW22" s="21">
        <f>IFERROR(Y22/'Ar-Pa'!Y22,0)</f>
        <v>6.7260625000000003</v>
      </c>
      <c r="AX22" s="21">
        <f t="shared" si="0"/>
        <v>140.05455535714285</v>
      </c>
    </row>
    <row r="23" spans="1:50" s="12" customFormat="1">
      <c r="A23" s="15">
        <v>44948</v>
      </c>
      <c r="B23" s="436">
        <v>54.160800000000002</v>
      </c>
      <c r="C23" s="436">
        <v>53.881699999999995</v>
      </c>
      <c r="D23" s="436">
        <v>54.147800000000004</v>
      </c>
      <c r="E23" s="436">
        <v>54.084000000000003</v>
      </c>
      <c r="F23" s="436">
        <v>54.1494</v>
      </c>
      <c r="G23" s="436">
        <v>54.524999999999999</v>
      </c>
      <c r="H23" s="436">
        <v>54.265999999999998</v>
      </c>
      <c r="I23" s="436">
        <v>54.270099999999999</v>
      </c>
      <c r="J23" s="436">
        <v>54.144400000000005</v>
      </c>
      <c r="K23" s="436">
        <v>54.5349</v>
      </c>
      <c r="L23" s="436">
        <v>54.288800000000002</v>
      </c>
      <c r="M23" s="436">
        <v>54.095399999999998</v>
      </c>
      <c r="N23" s="436">
        <v>54.193400000000004</v>
      </c>
      <c r="O23" s="436">
        <v>54.002199999999995</v>
      </c>
      <c r="P23" s="436">
        <v>54.236199999999997</v>
      </c>
      <c r="Q23" s="436">
        <v>54.256099999999996</v>
      </c>
      <c r="R23" s="436">
        <v>53.156699999999994</v>
      </c>
      <c r="S23" s="436">
        <v>53.773800000000001</v>
      </c>
      <c r="T23" s="437">
        <v>53.866699999999994</v>
      </c>
      <c r="U23" s="437">
        <v>53.790699999999994</v>
      </c>
      <c r="V23" s="437">
        <v>53.851599999999998</v>
      </c>
      <c r="W23" s="437">
        <v>53.809899999999999</v>
      </c>
      <c r="X23" s="436">
        <v>53.812800000000003</v>
      </c>
      <c r="Y23" s="436">
        <v>53.608899999999998</v>
      </c>
      <c r="Z23" s="21">
        <f>IFERROR(B23/'Ar-Pa'!B23,0)</f>
        <v>6.7701000000000002</v>
      </c>
      <c r="AA23" s="21">
        <f>IFERROR(C23/'Ar-Pa'!C23,0)</f>
        <v>6.7352124999999994</v>
      </c>
      <c r="AB23" s="21">
        <f>IFERROR(D23/'Ar-Pa'!D23,0)</f>
        <v>6.7684750000000005</v>
      </c>
      <c r="AC23" s="21">
        <f>IFERROR(E23/'Ar-Pa'!E23,0)</f>
        <v>6.7605000000000004</v>
      </c>
      <c r="AD23" s="21">
        <f>IFERROR(F23/'Ar-Pa'!F23,0)</f>
        <v>6.768675</v>
      </c>
      <c r="AE23" s="21">
        <f>IFERROR(G23/'Ar-Pa'!G23,0)</f>
        <v>6.8156249999999998</v>
      </c>
      <c r="AF23" s="21">
        <f>IFERROR(H23/'Ar-Pa'!H23,0)</f>
        <v>7.7522857142857138</v>
      </c>
      <c r="AG23" s="21">
        <f>IFERROR(I23/'Ar-Pa'!I23,0)</f>
        <v>7.7528714285714289</v>
      </c>
      <c r="AH23" s="21">
        <f>IFERROR(J23/'Ar-Pa'!J23,0)</f>
        <v>7.7349142857142867</v>
      </c>
      <c r="AI23" s="21">
        <f>IFERROR(K23/'Ar-Pa'!K23,0)</f>
        <v>7.7907000000000002</v>
      </c>
      <c r="AJ23" s="21">
        <f>IFERROR(L23/'Ar-Pa'!L23,0)</f>
        <v>7.7555428571428573</v>
      </c>
      <c r="AK23" s="21">
        <f>IFERROR(M23/'Ar-Pa'!M23,0)</f>
        <v>6.7619249999999997</v>
      </c>
      <c r="AL23" s="21">
        <f>IFERROR(N23/'Ar-Pa'!N23,0)</f>
        <v>6.7741750000000005</v>
      </c>
      <c r="AM23" s="21">
        <f>IFERROR(O23/'Ar-Pa'!O23,0)</f>
        <v>6.7502749999999994</v>
      </c>
      <c r="AN23" s="21">
        <f>IFERROR(P23/'Ar-Pa'!P23,0)</f>
        <v>6.7795249999999996</v>
      </c>
      <c r="AO23" s="21">
        <f>IFERROR(Q23/'Ar-Pa'!Q23,0)</f>
        <v>6.7820124999999996</v>
      </c>
      <c r="AP23" s="21">
        <f>IFERROR(R23/'Ar-Pa'!R23,0)</f>
        <v>6.6445874999999992</v>
      </c>
      <c r="AQ23" s="21">
        <f>IFERROR(S23/'Ar-Pa'!S23,0)</f>
        <v>6.7217250000000002</v>
      </c>
      <c r="AR23" s="21">
        <f>IFERROR(T23/'Ar-Pa'!T23,0)</f>
        <v>6.7333374999999993</v>
      </c>
      <c r="AS23" s="21">
        <f>IFERROR(U23/'Ar-Pa'!U23,0)</f>
        <v>6.7238374999999992</v>
      </c>
      <c r="AT23" s="21">
        <f>IFERROR(V23/'Ar-Pa'!V23,0)</f>
        <v>6.7314499999999997</v>
      </c>
      <c r="AU23" s="21">
        <f>IFERROR(W23/'Ar-Pa'!W23,0)</f>
        <v>6.7262374999999999</v>
      </c>
      <c r="AV23" s="21">
        <f>IFERROR(X23/'Ar-Pa'!X23,0)</f>
        <v>6.7266000000000004</v>
      </c>
      <c r="AW23" s="21">
        <f>IFERROR(Y23/'Ar-Pa'!Y23,0)</f>
        <v>6.7011124999999998</v>
      </c>
      <c r="AX23" s="21">
        <f t="shared" si="0"/>
        <v>166.96170178571427</v>
      </c>
    </row>
    <row r="24" spans="1:50" s="12" customFormat="1">
      <c r="A24" s="15">
        <v>44949</v>
      </c>
      <c r="B24" s="436">
        <v>53.049300000000002</v>
      </c>
      <c r="C24" s="436">
        <v>53.180300000000003</v>
      </c>
      <c r="D24" s="436">
        <v>53.162300000000002</v>
      </c>
      <c r="E24" s="436">
        <v>53.212499999999999</v>
      </c>
      <c r="F24" s="436">
        <v>53.253500000000003</v>
      </c>
      <c r="G24" s="436">
        <v>53.551300000000005</v>
      </c>
      <c r="H24" s="436">
        <v>53.456800000000001</v>
      </c>
      <c r="I24" s="436">
        <v>53.539900000000003</v>
      </c>
      <c r="J24" s="436">
        <v>53.957000000000001</v>
      </c>
      <c r="K24" s="436">
        <v>54.041699999999999</v>
      </c>
      <c r="L24" s="436">
        <v>54.059199999999997</v>
      </c>
      <c r="M24" s="436">
        <v>54.081600000000002</v>
      </c>
      <c r="N24" s="436">
        <v>54.146999999999998</v>
      </c>
      <c r="O24" s="436">
        <v>54.098800000000004</v>
      </c>
      <c r="P24" s="436">
        <v>54.1648</v>
      </c>
      <c r="Q24" s="436">
        <v>54.122</v>
      </c>
      <c r="R24" s="436">
        <v>54.148400000000002</v>
      </c>
      <c r="S24" s="436">
        <v>54.009</v>
      </c>
      <c r="T24" s="437">
        <v>54.135800000000003</v>
      </c>
      <c r="U24" s="437">
        <v>54.103199999999994</v>
      </c>
      <c r="V24" s="437">
        <v>53.927300000000002</v>
      </c>
      <c r="W24" s="437">
        <v>53.958100000000002</v>
      </c>
      <c r="X24" s="436">
        <v>53.887</v>
      </c>
      <c r="Y24" s="436">
        <v>53.793300000000002</v>
      </c>
      <c r="Z24" s="21">
        <f>IFERROR(B24/'Ar-Pa'!B24,0)</f>
        <v>6.6311625000000003</v>
      </c>
      <c r="AA24" s="21">
        <f>IFERROR(C24/'Ar-Pa'!C24,0)</f>
        <v>6.6475375000000003</v>
      </c>
      <c r="AB24" s="21">
        <f>IFERROR(D24/'Ar-Pa'!D24,0)</f>
        <v>7.594614285714286</v>
      </c>
      <c r="AC24" s="21">
        <f>IFERROR(E24/'Ar-Pa'!E24,0)</f>
        <v>7.6017857142857137</v>
      </c>
      <c r="AD24" s="21">
        <f>IFERROR(F24/'Ar-Pa'!F24,0)</f>
        <v>7.6076428571428574</v>
      </c>
      <c r="AE24" s="21">
        <f>IFERROR(G24/'Ar-Pa'!G24,0)</f>
        <v>7.6501857142857146</v>
      </c>
      <c r="AF24" s="21">
        <f>IFERROR(H24/'Ar-Pa'!H24,0)</f>
        <v>7.6366857142857141</v>
      </c>
      <c r="AG24" s="21">
        <f>IFERROR(I24/'Ar-Pa'!I24,0)</f>
        <v>7.6485571428571433</v>
      </c>
      <c r="AH24" s="21">
        <f>IFERROR(J24/'Ar-Pa'!J24,0)</f>
        <v>7.7081428571428576</v>
      </c>
      <c r="AI24" s="21">
        <f>IFERROR(K24/'Ar-Pa'!K24,0)</f>
        <v>7.720242857142857</v>
      </c>
      <c r="AJ24" s="21">
        <f>IFERROR(L24/'Ar-Pa'!L24,0)</f>
        <v>6.7573999999999996</v>
      </c>
      <c r="AK24" s="21">
        <f>IFERROR(M24/'Ar-Pa'!M24,0)</f>
        <v>6.7602000000000002</v>
      </c>
      <c r="AL24" s="21">
        <f>IFERROR(N24/'Ar-Pa'!N24,0)</f>
        <v>6.7683749999999998</v>
      </c>
      <c r="AM24" s="21">
        <f>IFERROR(O24/'Ar-Pa'!O24,0)</f>
        <v>6.7623500000000005</v>
      </c>
      <c r="AN24" s="21">
        <f>IFERROR(P24/'Ar-Pa'!P24,0)</f>
        <v>6.7706</v>
      </c>
      <c r="AO24" s="21">
        <f>IFERROR(Q24/'Ar-Pa'!Q24,0)</f>
        <v>6.76525</v>
      </c>
      <c r="AP24" s="21">
        <f>IFERROR(R24/'Ar-Pa'!R24,0)</f>
        <v>6.7685500000000003</v>
      </c>
      <c r="AQ24" s="21">
        <f>IFERROR(S24/'Ar-Pa'!S24,0)</f>
        <v>6.751125</v>
      </c>
      <c r="AR24" s="21">
        <f>IFERROR(T24/'Ar-Pa'!T24,0)</f>
        <v>6.7669750000000004</v>
      </c>
      <c r="AS24" s="21">
        <f>IFERROR(U24/'Ar-Pa'!U24,0)</f>
        <v>6.7628999999999992</v>
      </c>
      <c r="AT24" s="21">
        <f>IFERROR(V24/'Ar-Pa'!V24,0)</f>
        <v>6.7409125000000003</v>
      </c>
      <c r="AU24" s="21">
        <f>IFERROR(W24/'Ar-Pa'!W24,0)</f>
        <v>6.7447625000000002</v>
      </c>
      <c r="AV24" s="21">
        <f>IFERROR(X24/'Ar-Pa'!X24,0)</f>
        <v>6.7358750000000001</v>
      </c>
      <c r="AW24" s="21">
        <f>IFERROR(Y24/'Ar-Pa'!Y24,0)</f>
        <v>6.7241625000000003</v>
      </c>
      <c r="AX24" s="21">
        <f t="shared" si="0"/>
        <v>169.02599464285714</v>
      </c>
    </row>
    <row r="25" spans="1:50" s="12" customFormat="1">
      <c r="A25" s="15">
        <v>44950</v>
      </c>
      <c r="B25" s="436">
        <v>54.271500000000003</v>
      </c>
      <c r="C25" s="436">
        <v>54.360199999999999</v>
      </c>
      <c r="D25" s="436">
        <v>54.0092</v>
      </c>
      <c r="E25" s="436">
        <v>54.085300000000004</v>
      </c>
      <c r="F25" s="436">
        <v>54.180199999999999</v>
      </c>
      <c r="G25" s="436">
        <v>54.098099999999995</v>
      </c>
      <c r="H25" s="436">
        <v>54.060900000000004</v>
      </c>
      <c r="I25" s="436">
        <v>54.157800000000002</v>
      </c>
      <c r="J25" s="436">
        <v>54.054900000000004</v>
      </c>
      <c r="K25" s="436">
        <v>53.908999999999999</v>
      </c>
      <c r="L25" s="436">
        <v>54.7241</v>
      </c>
      <c r="M25" s="436">
        <v>54.353400000000001</v>
      </c>
      <c r="N25" s="436">
        <v>54.682699999999997</v>
      </c>
      <c r="O25" s="436">
        <v>54.351300000000002</v>
      </c>
      <c r="P25" s="436">
        <v>54.359900000000003</v>
      </c>
      <c r="Q25" s="436">
        <v>54.212000000000003</v>
      </c>
      <c r="R25" s="436">
        <v>54.255199999999995</v>
      </c>
      <c r="S25" s="436">
        <v>54.126800000000003</v>
      </c>
      <c r="T25" s="437">
        <v>54.017099999999999</v>
      </c>
      <c r="U25" s="437">
        <v>54.165199999999999</v>
      </c>
      <c r="V25" s="437">
        <v>54.130300000000005</v>
      </c>
      <c r="W25" s="437">
        <v>54.032800000000002</v>
      </c>
      <c r="X25" s="436">
        <v>54.114199999999997</v>
      </c>
      <c r="Y25" s="436">
        <v>53.984000000000002</v>
      </c>
      <c r="Z25" s="21">
        <f>IFERROR(B25/'Ar-Pa'!B25,0)</f>
        <v>6.7839375000000004</v>
      </c>
      <c r="AA25" s="21">
        <f>IFERROR(C25/'Ar-Pa'!C25,0)</f>
        <v>6.7950249999999999</v>
      </c>
      <c r="AB25" s="21">
        <f>IFERROR(D25/'Ar-Pa'!D25,0)</f>
        <v>6.75115</v>
      </c>
      <c r="AC25" s="21">
        <f>IFERROR(E25/'Ar-Pa'!E25,0)</f>
        <v>6.7606625000000005</v>
      </c>
      <c r="AD25" s="21">
        <f>IFERROR(F25/'Ar-Pa'!F25,0)</f>
        <v>7.7400285714285717</v>
      </c>
      <c r="AE25" s="21">
        <f>IFERROR(G25/'Ar-Pa'!G25,0)</f>
        <v>7.7282999999999991</v>
      </c>
      <c r="AF25" s="21">
        <f>IFERROR(H25/'Ar-Pa'!H25,0)</f>
        <v>7.7229857142857146</v>
      </c>
      <c r="AG25" s="21">
        <f>IFERROR(I25/'Ar-Pa'!I25,0)</f>
        <v>7.7368285714285721</v>
      </c>
      <c r="AH25" s="21">
        <f>IFERROR(J25/'Ar-Pa'!J25,0)</f>
        <v>7.7221285714285717</v>
      </c>
      <c r="AI25" s="21">
        <f>IFERROR(K25/'Ar-Pa'!K25,0)</f>
        <v>7.7012857142857145</v>
      </c>
      <c r="AJ25" s="21">
        <f>IFERROR(L25/'Ar-Pa'!L25,0)</f>
        <v>6.8405125</v>
      </c>
      <c r="AK25" s="21">
        <f>IFERROR(M25/'Ar-Pa'!M25,0)</f>
        <v>6.7941750000000001</v>
      </c>
      <c r="AL25" s="21">
        <f>IFERROR(N25/'Ar-Pa'!N25,0)</f>
        <v>6.8353374999999996</v>
      </c>
      <c r="AM25" s="21">
        <f>IFERROR(O25/'Ar-Pa'!O25,0)</f>
        <v>6.7939125000000002</v>
      </c>
      <c r="AN25" s="21">
        <f>IFERROR(P25/'Ar-Pa'!P25,0)</f>
        <v>6.7949875000000004</v>
      </c>
      <c r="AO25" s="21">
        <f>IFERROR(Q25/'Ar-Pa'!Q25,0)</f>
        <v>6.7765000000000004</v>
      </c>
      <c r="AP25" s="21">
        <f>IFERROR(R25/'Ar-Pa'!R25,0)</f>
        <v>6.7818999999999994</v>
      </c>
      <c r="AQ25" s="21">
        <f>IFERROR(S25/'Ar-Pa'!S25,0)</f>
        <v>6.7658500000000004</v>
      </c>
      <c r="AR25" s="21">
        <f>IFERROR(T25/'Ar-Pa'!T25,0)</f>
        <v>6.7521374999999999</v>
      </c>
      <c r="AS25" s="21">
        <f>IFERROR(U25/'Ar-Pa'!U25,0)</f>
        <v>6.7706499999999998</v>
      </c>
      <c r="AT25" s="21">
        <f>IFERROR(V25/'Ar-Pa'!V25,0)</f>
        <v>6.7662875000000007</v>
      </c>
      <c r="AU25" s="21">
        <f>IFERROR(W25/'Ar-Pa'!W25,0)</f>
        <v>6.7541000000000002</v>
      </c>
      <c r="AV25" s="21">
        <f>IFERROR(X25/'Ar-Pa'!X25,0)</f>
        <v>6.7642749999999996</v>
      </c>
      <c r="AW25" s="21">
        <f>IFERROR(Y25/'Ar-Pa'!Y25,0)</f>
        <v>6.7480000000000002</v>
      </c>
      <c r="AX25" s="21">
        <f t="shared" si="0"/>
        <v>168.38095714285711</v>
      </c>
    </row>
    <row r="26" spans="1:50" s="12" customFormat="1">
      <c r="A26" s="15">
        <v>44951</v>
      </c>
      <c r="B26" s="436">
        <v>52.791899999999998</v>
      </c>
      <c r="C26" s="436">
        <v>54.470099999999995</v>
      </c>
      <c r="D26" s="436">
        <v>53.524000000000001</v>
      </c>
      <c r="E26" s="436">
        <v>52.154499999999999</v>
      </c>
      <c r="F26" s="436">
        <v>53.657199999999996</v>
      </c>
      <c r="G26" s="436">
        <v>53.646699999999996</v>
      </c>
      <c r="H26" s="436">
        <v>53.626300000000001</v>
      </c>
      <c r="I26" s="436">
        <v>53.567900000000002</v>
      </c>
      <c r="J26" s="436">
        <v>53.578099999999999</v>
      </c>
      <c r="K26" s="436">
        <v>53.575000000000003</v>
      </c>
      <c r="L26" s="436">
        <v>55.119900000000001</v>
      </c>
      <c r="M26" s="436">
        <v>54.884999999999998</v>
      </c>
      <c r="N26" s="436">
        <v>54.969699999999996</v>
      </c>
      <c r="O26" s="436">
        <v>54.952300000000001</v>
      </c>
      <c r="P26" s="436">
        <v>55.026199999999996</v>
      </c>
      <c r="Q26" s="436">
        <v>54.911699999999996</v>
      </c>
      <c r="R26" s="436">
        <v>54.882300000000001</v>
      </c>
      <c r="S26" s="436">
        <v>54.920400000000001</v>
      </c>
      <c r="T26" s="437">
        <v>54.864599999999996</v>
      </c>
      <c r="U26" s="437">
        <v>54.807499999999997</v>
      </c>
      <c r="V26" s="437">
        <v>54.728400000000001</v>
      </c>
      <c r="W26" s="437">
        <v>54.720999999999997</v>
      </c>
      <c r="X26" s="436">
        <v>54.709499999999998</v>
      </c>
      <c r="Y26" s="436">
        <v>54.801600000000001</v>
      </c>
      <c r="Z26" s="21">
        <f>IFERROR(B26/'Ar-Pa'!B26,0)</f>
        <v>5.8657666666666666</v>
      </c>
      <c r="AA26" s="21">
        <f>IFERROR(C26/'Ar-Pa'!C26,0)</f>
        <v>6.0522333333333327</v>
      </c>
      <c r="AB26" s="21">
        <f>IFERROR(D26/'Ar-Pa'!D26,0)</f>
        <v>5.947111111111111</v>
      </c>
      <c r="AC26" s="21">
        <f>IFERROR(E26/'Ar-Pa'!E26,0)</f>
        <v>5.794944444444444</v>
      </c>
      <c r="AD26" s="21">
        <f>IFERROR(F26/'Ar-Pa'!F26,0)</f>
        <v>5.9619111111111103</v>
      </c>
      <c r="AE26" s="21">
        <f>IFERROR(G26/'Ar-Pa'!G26,0)</f>
        <v>10.729339999999999</v>
      </c>
      <c r="AF26" s="21">
        <f>IFERROR(H26/'Ar-Pa'!H26,0)</f>
        <v>0</v>
      </c>
      <c r="AG26" s="21">
        <f>IFERROR(I26/'Ar-Pa'!I26,0)</f>
        <v>10.71358</v>
      </c>
      <c r="AH26" s="21">
        <f>IFERROR(J26/'Ar-Pa'!J26,0)</f>
        <v>6.6972624999999999</v>
      </c>
      <c r="AI26" s="21">
        <f>IFERROR(K26/'Ar-Pa'!K26,0)</f>
        <v>5.9527777777777784</v>
      </c>
      <c r="AJ26" s="21">
        <f>IFERROR(L26/'Ar-Pa'!L26,0)</f>
        <v>6.1244333333333332</v>
      </c>
      <c r="AK26" s="21">
        <f>IFERROR(M26/'Ar-Pa'!M26,0)</f>
        <v>6.0983333333333327</v>
      </c>
      <c r="AL26" s="21">
        <f>IFERROR(N26/'Ar-Pa'!N26,0)</f>
        <v>6.1077444444444442</v>
      </c>
      <c r="AM26" s="21">
        <f>IFERROR(O26/'Ar-Pa'!O26,0)</f>
        <v>6.1058111111111115</v>
      </c>
      <c r="AN26" s="21">
        <f>IFERROR(P26/'Ar-Pa'!P26,0)</f>
        <v>6.1140222222222214</v>
      </c>
      <c r="AO26" s="21">
        <f>IFERROR(Q26/'Ar-Pa'!Q26,0)</f>
        <v>6.1012999999999993</v>
      </c>
      <c r="AP26" s="21">
        <f>IFERROR(R26/'Ar-Pa'!R26,0)</f>
        <v>6.0980333333333334</v>
      </c>
      <c r="AQ26" s="21">
        <f>IFERROR(S26/'Ar-Pa'!S26,0)</f>
        <v>6.1022666666666669</v>
      </c>
      <c r="AR26" s="21">
        <f>IFERROR(T26/'Ar-Pa'!T26,0)</f>
        <v>6.0960666666666663</v>
      </c>
      <c r="AS26" s="21">
        <f>IFERROR(U26/'Ar-Pa'!U26,0)</f>
        <v>6.089722222222222</v>
      </c>
      <c r="AT26" s="21">
        <f>IFERROR(V26/'Ar-Pa'!V26,0)</f>
        <v>6.8410500000000001</v>
      </c>
      <c r="AU26" s="21">
        <f>IFERROR(W26/'Ar-Pa'!W26,0)</f>
        <v>6.080111111111111</v>
      </c>
      <c r="AV26" s="21">
        <f>IFERROR(X26/'Ar-Pa'!X26,0)</f>
        <v>6.0788333333333329</v>
      </c>
      <c r="AW26" s="21">
        <f>IFERROR(Y26/'Ar-Pa'!Y26,0)</f>
        <v>6.0890666666666666</v>
      </c>
      <c r="AX26" s="21">
        <f t="shared" si="0"/>
        <v>149.84172138888889</v>
      </c>
    </row>
    <row r="27" spans="1:50" s="12" customFormat="1">
      <c r="A27" s="15">
        <v>44952</v>
      </c>
      <c r="B27" s="436">
        <v>61.362199999999994</v>
      </c>
      <c r="C27" s="436">
        <v>61.723999999999997</v>
      </c>
      <c r="D27" s="436">
        <v>63.768999999999998</v>
      </c>
      <c r="E27" s="436">
        <v>63.8279</v>
      </c>
      <c r="F27" s="436">
        <v>62.895400000000002</v>
      </c>
      <c r="G27" s="436">
        <v>26.765499999999999</v>
      </c>
      <c r="H27" s="436">
        <v>0.1305</v>
      </c>
      <c r="I27" s="436">
        <v>20.470800000000001</v>
      </c>
      <c r="J27" s="436">
        <v>44.275700000000001</v>
      </c>
      <c r="K27" s="436">
        <v>61.108599999999996</v>
      </c>
      <c r="L27" s="436">
        <v>62.783199999999994</v>
      </c>
      <c r="M27" s="436">
        <v>62.9452</v>
      </c>
      <c r="N27" s="436">
        <v>62.927500000000002</v>
      </c>
      <c r="O27" s="436">
        <v>62.948500000000003</v>
      </c>
      <c r="P27" s="436">
        <v>63.018300000000004</v>
      </c>
      <c r="Q27" s="436">
        <v>62.990300000000005</v>
      </c>
      <c r="R27" s="436">
        <v>62.991699999999994</v>
      </c>
      <c r="S27" s="436">
        <v>62.914699999999996</v>
      </c>
      <c r="T27" s="437">
        <v>63.015300000000003</v>
      </c>
      <c r="U27" s="437">
        <v>62.915999999999997</v>
      </c>
      <c r="V27" s="437">
        <v>60.7804</v>
      </c>
      <c r="W27" s="437">
        <v>62.674599999999998</v>
      </c>
      <c r="X27" s="436">
        <v>62.859699999999997</v>
      </c>
      <c r="Y27" s="436">
        <v>62.8613</v>
      </c>
      <c r="Z27" s="21">
        <f>IFERROR(B27/'Ar-Pa'!B27,0)</f>
        <v>6.818022222222222</v>
      </c>
      <c r="AA27" s="21">
        <f>IFERROR(C27/'Ar-Pa'!C27,0)</f>
        <v>6.8582222222222216</v>
      </c>
      <c r="AB27" s="21">
        <f>IFERROR(D27/'Ar-Pa'!D27,0)</f>
        <v>7.0854444444444447</v>
      </c>
      <c r="AC27" s="21">
        <f>IFERROR(E27/'Ar-Pa'!E27,0)</f>
        <v>7.0919888888888885</v>
      </c>
      <c r="AD27" s="21">
        <f>IFERROR(F27/'Ar-Pa'!F27,0)</f>
        <v>7.8619250000000003</v>
      </c>
      <c r="AE27" s="21">
        <f>IFERROR(G27/'Ar-Pa'!G27,0)</f>
        <v>3.8236428571428571</v>
      </c>
      <c r="AF27" s="21">
        <f>IFERROR(H27/'Ar-Pa'!H27,0)</f>
        <v>1.8642857142857145E-2</v>
      </c>
      <c r="AG27" s="21">
        <f>IFERROR(I27/'Ar-Pa'!I27,0)</f>
        <v>2.9243999999999999</v>
      </c>
      <c r="AH27" s="21">
        <f>IFERROR(J27/'Ar-Pa'!J27,0)</f>
        <v>6.3250999999999999</v>
      </c>
      <c r="AI27" s="21">
        <f>IFERROR(K27/'Ar-Pa'!K27,0)</f>
        <v>8.7297999999999991</v>
      </c>
      <c r="AJ27" s="21">
        <f>IFERROR(L27/'Ar-Pa'!L27,0)</f>
        <v>8.96902857142857</v>
      </c>
      <c r="AK27" s="21">
        <f>IFERROR(M27/'Ar-Pa'!M27,0)</f>
        <v>8.992171428571428</v>
      </c>
      <c r="AL27" s="21">
        <f>IFERROR(N27/'Ar-Pa'!N27,0)</f>
        <v>6.991944444444445</v>
      </c>
      <c r="AM27" s="21">
        <f>IFERROR(O27/'Ar-Pa'!O27,0)</f>
        <v>6.9942777777777785</v>
      </c>
      <c r="AN27" s="21">
        <f>IFERROR(P27/'Ar-Pa'!P27,0)</f>
        <v>7.0020333333333333</v>
      </c>
      <c r="AO27" s="21">
        <f>IFERROR(Q27/'Ar-Pa'!Q27,0)</f>
        <v>7.8737875000000006</v>
      </c>
      <c r="AP27" s="21">
        <f>IFERROR(R27/'Ar-Pa'!R27,0)</f>
        <v>7.8739624999999993</v>
      </c>
      <c r="AQ27" s="21">
        <f>IFERROR(S27/'Ar-Pa'!S27,0)</f>
        <v>6.9905222222222214</v>
      </c>
      <c r="AR27" s="21">
        <f>IFERROR(T27/'Ar-Pa'!T27,0)</f>
        <v>7.0017000000000005</v>
      </c>
      <c r="AS27" s="21">
        <f>IFERROR(U27/'Ar-Pa'!U27,0)</f>
        <v>6.9906666666666659</v>
      </c>
      <c r="AT27" s="21">
        <f>IFERROR(V27/'Ar-Pa'!V27,0)</f>
        <v>6.7533777777777777</v>
      </c>
      <c r="AU27" s="21">
        <f>IFERROR(W27/'Ar-Pa'!W27,0)</f>
        <v>6.9638444444444438</v>
      </c>
      <c r="AV27" s="21">
        <f>IFERROR(X27/'Ar-Pa'!X27,0)</f>
        <v>6.9844111111111111</v>
      </c>
      <c r="AW27" s="21">
        <f>IFERROR(Y27/'Ar-Pa'!Y27,0)</f>
        <v>6.9845888888888892</v>
      </c>
      <c r="AX27" s="21">
        <f t="shared" si="0"/>
        <v>160.90350515873016</v>
      </c>
    </row>
    <row r="28" spans="1:50" s="12" customFormat="1">
      <c r="A28" s="15">
        <v>44953</v>
      </c>
      <c r="B28" s="436">
        <v>62.624199999999995</v>
      </c>
      <c r="C28" s="436">
        <v>62.737699999999997</v>
      </c>
      <c r="D28" s="436">
        <v>62.646699999999996</v>
      </c>
      <c r="E28" s="436">
        <v>61.514900000000004</v>
      </c>
      <c r="F28" s="436">
        <v>62.076900000000002</v>
      </c>
      <c r="G28" s="436">
        <v>61.9938</v>
      </c>
      <c r="H28" s="436">
        <v>61.897100000000002</v>
      </c>
      <c r="I28" s="436">
        <v>61.903300000000002</v>
      </c>
      <c r="J28" s="436">
        <v>62.063000000000002</v>
      </c>
      <c r="K28" s="436">
        <v>61.910800000000002</v>
      </c>
      <c r="L28" s="436">
        <v>61.8459</v>
      </c>
      <c r="M28" s="436">
        <v>62.259399999999999</v>
      </c>
      <c r="N28" s="436">
        <v>62.721199999999996</v>
      </c>
      <c r="O28" s="436">
        <v>63.673300000000005</v>
      </c>
      <c r="P28" s="436">
        <v>63.523800000000001</v>
      </c>
      <c r="Q28" s="436">
        <v>63.025100000000002</v>
      </c>
      <c r="R28" s="436">
        <v>62.572000000000003</v>
      </c>
      <c r="S28" s="436">
        <v>63.243199999999995</v>
      </c>
      <c r="T28" s="437">
        <v>63.554600000000001</v>
      </c>
      <c r="U28" s="437">
        <v>61.332000000000001</v>
      </c>
      <c r="V28" s="437">
        <v>61.982099999999996</v>
      </c>
      <c r="W28" s="437">
        <v>63.359499999999997</v>
      </c>
      <c r="X28" s="436">
        <v>63.180800000000005</v>
      </c>
      <c r="Y28" s="436">
        <v>63.328000000000003</v>
      </c>
      <c r="Z28" s="21">
        <f>IFERROR(B28/'Ar-Pa'!B28,0)</f>
        <v>6.9582444444444436</v>
      </c>
      <c r="AA28" s="21">
        <f>IFERROR(C28/'Ar-Pa'!C28,0)</f>
        <v>6.9708555555555556</v>
      </c>
      <c r="AB28" s="21">
        <f>IFERROR(D28/'Ar-Pa'!D28,0)</f>
        <v>6.960744444444444</v>
      </c>
      <c r="AC28" s="21">
        <f>IFERROR(E28/'Ar-Pa'!E28,0)</f>
        <v>6.8349888888888897</v>
      </c>
      <c r="AD28" s="21">
        <f>IFERROR(F28/'Ar-Pa'!F28,0)</f>
        <v>6.8974333333333337</v>
      </c>
      <c r="AE28" s="21">
        <f>IFERROR(G28/'Ar-Pa'!G28,0)</f>
        <v>6.8882000000000003</v>
      </c>
      <c r="AF28" s="21">
        <f>IFERROR(H28/'Ar-Pa'!H28,0)</f>
        <v>8.8424428571428582</v>
      </c>
      <c r="AG28" s="21">
        <f>IFERROR(I28/'Ar-Pa'!I28,0)</f>
        <v>8.8433285714285716</v>
      </c>
      <c r="AH28" s="21">
        <f>IFERROR(J28/'Ar-Pa'!J28,0)</f>
        <v>8.866142857142858</v>
      </c>
      <c r="AI28" s="21">
        <f>IFERROR(K28/'Ar-Pa'!K28,0)</f>
        <v>8.8444000000000003</v>
      </c>
      <c r="AJ28" s="21">
        <f>IFERROR(L28/'Ar-Pa'!L28,0)</f>
        <v>8.8351285714285712</v>
      </c>
      <c r="AK28" s="21">
        <f>IFERROR(M28/'Ar-Pa'!M28,0)</f>
        <v>8.8941999999999997</v>
      </c>
      <c r="AL28" s="21">
        <f>IFERROR(N28/'Ar-Pa'!N28,0)</f>
        <v>8.960171428571428</v>
      </c>
      <c r="AM28" s="21">
        <f>IFERROR(O28/'Ar-Pa'!O28,0)</f>
        <v>9.0961857142857152</v>
      </c>
      <c r="AN28" s="21">
        <f>IFERROR(P28/'Ar-Pa'!P28,0)</f>
        <v>7.9404750000000002</v>
      </c>
      <c r="AO28" s="21">
        <f>IFERROR(Q28/'Ar-Pa'!Q28,0)</f>
        <v>7.8781375000000002</v>
      </c>
      <c r="AP28" s="21">
        <f>IFERROR(R28/'Ar-Pa'!R28,0)</f>
        <v>8.9388571428571435</v>
      </c>
      <c r="AQ28" s="21">
        <f>IFERROR(S28/'Ar-Pa'!S28,0)</f>
        <v>7.0270222222222216</v>
      </c>
      <c r="AR28" s="21">
        <f>IFERROR(T28/'Ar-Pa'!T28,0)</f>
        <v>7.0616222222222227</v>
      </c>
      <c r="AS28" s="21">
        <f>IFERROR(U28/'Ar-Pa'!U28,0)</f>
        <v>6.8146666666666667</v>
      </c>
      <c r="AT28" s="21">
        <f>IFERROR(V28/'Ar-Pa'!V28,0)</f>
        <v>6.8868999999999998</v>
      </c>
      <c r="AU28" s="21">
        <f>IFERROR(W28/'Ar-Pa'!W28,0)</f>
        <v>7.0399444444444441</v>
      </c>
      <c r="AV28" s="21">
        <f>IFERROR(X28/'Ar-Pa'!X28,0)</f>
        <v>7.020088888888889</v>
      </c>
      <c r="AW28" s="21">
        <f>IFERROR(Y28/'Ar-Pa'!Y28,0)</f>
        <v>7.0364444444444452</v>
      </c>
      <c r="AX28" s="21">
        <f t="shared" si="0"/>
        <v>186.33662519841266</v>
      </c>
    </row>
    <row r="29" spans="1:50" s="12" customFormat="1">
      <c r="A29" s="15">
        <v>44954</v>
      </c>
      <c r="B29" s="436">
        <v>63.191699999999997</v>
      </c>
      <c r="C29" s="436">
        <v>63.227800000000002</v>
      </c>
      <c r="D29" s="436">
        <v>63.293900000000001</v>
      </c>
      <c r="E29" s="436">
        <v>63.264800000000001</v>
      </c>
      <c r="F29" s="436">
        <v>63.397300000000001</v>
      </c>
      <c r="G29" s="436">
        <v>62.618499999999997</v>
      </c>
      <c r="H29" s="436">
        <v>62.043399999999998</v>
      </c>
      <c r="I29" s="436">
        <v>62.169899999999998</v>
      </c>
      <c r="J29" s="436">
        <v>61.930399999999999</v>
      </c>
      <c r="K29" s="436">
        <v>61.880699999999997</v>
      </c>
      <c r="L29" s="436">
        <v>61.872399999999999</v>
      </c>
      <c r="M29" s="436">
        <v>61.812599999999996</v>
      </c>
      <c r="N29" s="436">
        <v>61.873699999999999</v>
      </c>
      <c r="O29" s="436">
        <v>62.5824</v>
      </c>
      <c r="P29" s="436">
        <v>63.555300000000003</v>
      </c>
      <c r="Q29" s="436">
        <v>63.689300000000003</v>
      </c>
      <c r="R29" s="436">
        <v>62.014000000000003</v>
      </c>
      <c r="S29" s="436">
        <v>62.868699999999997</v>
      </c>
      <c r="T29" s="437">
        <v>62.869599999999998</v>
      </c>
      <c r="U29" s="437">
        <v>62.868199999999995</v>
      </c>
      <c r="V29" s="437">
        <v>62.313600000000001</v>
      </c>
      <c r="W29" s="437">
        <v>62.417400000000001</v>
      </c>
      <c r="X29" s="436">
        <v>64.1858</v>
      </c>
      <c r="Y29" s="436">
        <v>63.891199999999998</v>
      </c>
      <c r="Z29" s="21">
        <f>IFERROR(B29/'Ar-Pa'!B29,0)</f>
        <v>7.8989624999999997</v>
      </c>
      <c r="AA29" s="21">
        <f>IFERROR(C29/'Ar-Pa'!C29,0)</f>
        <v>7.9034750000000003</v>
      </c>
      <c r="AB29" s="21">
        <f>IFERROR(D29/'Ar-Pa'!D29,0)</f>
        <v>7.9117375000000001</v>
      </c>
      <c r="AC29" s="21">
        <f>IFERROR(E29/'Ar-Pa'!E29,0)</f>
        <v>7.9081000000000001</v>
      </c>
      <c r="AD29" s="21">
        <f>IFERROR(F29/'Ar-Pa'!F29,0)</f>
        <v>9.0567571428571423</v>
      </c>
      <c r="AE29" s="21">
        <f>IFERROR(G29/'Ar-Pa'!G29,0)</f>
        <v>8.9454999999999991</v>
      </c>
      <c r="AF29" s="21">
        <f>IFERROR(H29/'Ar-Pa'!H29,0)</f>
        <v>8.8633428571428574</v>
      </c>
      <c r="AG29" s="21">
        <f>IFERROR(I29/'Ar-Pa'!I29,0)</f>
        <v>7.7712374999999998</v>
      </c>
      <c r="AH29" s="21">
        <f>IFERROR(J29/'Ar-Pa'!J29,0)</f>
        <v>8.8471999999999991</v>
      </c>
      <c r="AI29" s="21">
        <f>IFERROR(K29/'Ar-Pa'!K29,0)</f>
        <v>8.8400999999999996</v>
      </c>
      <c r="AJ29" s="21">
        <f>IFERROR(L29/'Ar-Pa'!L29,0)</f>
        <v>7.7340499999999999</v>
      </c>
      <c r="AK29" s="21">
        <f>IFERROR(M29/'Ar-Pa'!M29,0)</f>
        <v>7.7265749999999995</v>
      </c>
      <c r="AL29" s="21">
        <f>IFERROR(N29/'Ar-Pa'!N29,0)</f>
        <v>7.7342124999999999</v>
      </c>
      <c r="AM29" s="21">
        <f>IFERROR(O29/'Ar-Pa'!O29,0)</f>
        <v>7.8228</v>
      </c>
      <c r="AN29" s="21">
        <f>IFERROR(P29/'Ar-Pa'!P29,0)</f>
        <v>7.9444125000000003</v>
      </c>
      <c r="AO29" s="21">
        <f>IFERROR(Q29/'Ar-Pa'!Q29,0)</f>
        <v>7.9611625000000004</v>
      </c>
      <c r="AP29" s="21">
        <f>IFERROR(R29/'Ar-Pa'!R29,0)</f>
        <v>7.7517500000000004</v>
      </c>
      <c r="AQ29" s="21">
        <f>IFERROR(S29/'Ar-Pa'!S29,0)</f>
        <v>7.8585874999999996</v>
      </c>
      <c r="AR29" s="21">
        <f>IFERROR(T29/'Ar-Pa'!T29,0)</f>
        <v>7.8586999999999998</v>
      </c>
      <c r="AS29" s="21">
        <f>IFERROR(U29/'Ar-Pa'!U29,0)</f>
        <v>7.8585249999999993</v>
      </c>
      <c r="AT29" s="21">
        <f>IFERROR(V29/'Ar-Pa'!V29,0)</f>
        <v>7.7892000000000001</v>
      </c>
      <c r="AU29" s="21">
        <f>IFERROR(W29/'Ar-Pa'!W29,0)</f>
        <v>7.8021750000000001</v>
      </c>
      <c r="AV29" s="21">
        <f>IFERROR(X29/'Ar-Pa'!X29,0)</f>
        <v>8.0232250000000001</v>
      </c>
      <c r="AW29" s="21">
        <f>IFERROR(Y29/'Ar-Pa'!Y29,0)</f>
        <v>7.9863999999999997</v>
      </c>
      <c r="AX29" s="21">
        <f t="shared" si="0"/>
        <v>193.79818749999995</v>
      </c>
    </row>
    <row r="30" spans="1:50" s="12" customFormat="1">
      <c r="A30" s="15">
        <v>44955</v>
      </c>
      <c r="B30" s="436">
        <v>54.5886</v>
      </c>
      <c r="C30" s="436">
        <v>53.783799999999999</v>
      </c>
      <c r="D30" s="436">
        <v>54.445699999999995</v>
      </c>
      <c r="E30" s="436">
        <v>54.459900000000005</v>
      </c>
      <c r="F30" s="436">
        <v>54.1113</v>
      </c>
      <c r="G30" s="436">
        <v>54.198599999999999</v>
      </c>
      <c r="H30" s="436">
        <v>54.039099999999998</v>
      </c>
      <c r="I30" s="436">
        <v>54.268099999999997</v>
      </c>
      <c r="J30" s="436">
        <v>53.749099999999999</v>
      </c>
      <c r="K30" s="436">
        <v>53.787199999999999</v>
      </c>
      <c r="L30" s="436">
        <v>53.973399999999998</v>
      </c>
      <c r="M30" s="436">
        <v>54.213099999999997</v>
      </c>
      <c r="N30" s="436">
        <v>54.2057</v>
      </c>
      <c r="O30" s="436">
        <v>54.096800000000002</v>
      </c>
      <c r="P30" s="436">
        <v>54.257800000000003</v>
      </c>
      <c r="Q30" s="436">
        <v>54.205500000000001</v>
      </c>
      <c r="R30" s="436">
        <v>53.636099999999999</v>
      </c>
      <c r="S30" s="436">
        <v>54.371400000000001</v>
      </c>
      <c r="T30" s="437">
        <v>54.1693</v>
      </c>
      <c r="U30" s="437">
        <v>54.124400000000001</v>
      </c>
      <c r="V30" s="437">
        <v>54.073</v>
      </c>
      <c r="W30" s="437">
        <v>53.601399999999998</v>
      </c>
      <c r="X30" s="436">
        <v>54.012599999999999</v>
      </c>
      <c r="Y30" s="436">
        <v>54.655699999999996</v>
      </c>
      <c r="Z30" s="21">
        <f>IFERROR(B30/'Ar-Pa'!B30,0)</f>
        <v>6.8235749999999999</v>
      </c>
      <c r="AA30" s="21">
        <f>IFERROR(C30/'Ar-Pa'!C30,0)</f>
        <v>6.7229749999999999</v>
      </c>
      <c r="AB30" s="21">
        <f>IFERROR(D30/'Ar-Pa'!D30,0)</f>
        <v>6.8057124999999994</v>
      </c>
      <c r="AC30" s="21">
        <f>IFERROR(E30/'Ar-Pa'!E30,0)</f>
        <v>6.8074875000000006</v>
      </c>
      <c r="AD30" s="21">
        <f>IFERROR(F30/'Ar-Pa'!F30,0)</f>
        <v>6.7639125</v>
      </c>
      <c r="AE30" s="21">
        <f>IFERROR(G30/'Ar-Pa'!G30,0)</f>
        <v>27.099299999999999</v>
      </c>
      <c r="AF30" s="21">
        <f>IFERROR(H30/'Ar-Pa'!H30,0)</f>
        <v>0</v>
      </c>
      <c r="AG30" s="21">
        <f>IFERROR(I30/'Ar-Pa'!I30,0)</f>
        <v>0</v>
      </c>
      <c r="AH30" s="21">
        <f>IFERROR(J30/'Ar-Pa'!J30,0)</f>
        <v>0</v>
      </c>
      <c r="AI30" s="21">
        <f>IFERROR(K30/'Ar-Pa'!K30,0)</f>
        <v>26.893599999999999</v>
      </c>
      <c r="AJ30" s="21">
        <f>IFERROR(L30/'Ar-Pa'!L30,0)</f>
        <v>26.986699999999999</v>
      </c>
      <c r="AK30" s="21">
        <f>IFERROR(M30/'Ar-Pa'!M30,0)</f>
        <v>9.0355166666666662</v>
      </c>
      <c r="AL30" s="21">
        <f>IFERROR(N30/'Ar-Pa'!N30,0)</f>
        <v>6.7757125</v>
      </c>
      <c r="AM30" s="21">
        <f>IFERROR(O30/'Ar-Pa'!O30,0)</f>
        <v>6.7621000000000002</v>
      </c>
      <c r="AN30" s="21">
        <f>IFERROR(P30/'Ar-Pa'!P30,0)</f>
        <v>9.0429666666666666</v>
      </c>
      <c r="AO30" s="21">
        <f>IFERROR(Q30/'Ar-Pa'!Q30,0)</f>
        <v>6.7756875000000001</v>
      </c>
      <c r="AP30" s="21">
        <f>IFERROR(R30/'Ar-Pa'!R30,0)</f>
        <v>6.7045124999999999</v>
      </c>
      <c r="AQ30" s="21">
        <f>IFERROR(S30/'Ar-Pa'!S30,0)</f>
        <v>6.7964250000000002</v>
      </c>
      <c r="AR30" s="21">
        <f>IFERROR(T30/'Ar-Pa'!T30,0)</f>
        <v>6.7711625</v>
      </c>
      <c r="AS30" s="21">
        <f>IFERROR(U30/'Ar-Pa'!U30,0)</f>
        <v>6.7655500000000002</v>
      </c>
      <c r="AT30" s="21">
        <f>IFERROR(V30/'Ar-Pa'!V30,0)</f>
        <v>6.759125</v>
      </c>
      <c r="AU30" s="21">
        <f>IFERROR(W30/'Ar-Pa'!W30,0)</f>
        <v>6.7001749999999998</v>
      </c>
      <c r="AV30" s="21">
        <f>IFERROR(X30/'Ar-Pa'!X30,0)</f>
        <v>6.7515749999999999</v>
      </c>
      <c r="AW30" s="21">
        <f>IFERROR(Y30/'Ar-Pa'!Y30,0)</f>
        <v>6.8319624999999995</v>
      </c>
      <c r="AX30" s="21">
        <f t="shared" si="0"/>
        <v>207.37573333333336</v>
      </c>
    </row>
    <row r="31" spans="1:50" s="12" customFormat="1">
      <c r="A31" s="15">
        <v>44956</v>
      </c>
      <c r="B31" s="436">
        <v>55.096499999999999</v>
      </c>
      <c r="C31" s="436">
        <v>52.874900000000004</v>
      </c>
      <c r="D31" s="436">
        <v>52.226099999999995</v>
      </c>
      <c r="E31" s="436">
        <v>53.369699999999995</v>
      </c>
      <c r="F31" s="436">
        <v>53.076699999999995</v>
      </c>
      <c r="G31" s="436">
        <v>16.590400000000002</v>
      </c>
      <c r="H31" s="436">
        <v>1.1785000000000001</v>
      </c>
      <c r="I31" s="436">
        <v>0</v>
      </c>
      <c r="J31" s="436">
        <v>0</v>
      </c>
      <c r="K31" s="436">
        <v>3.8718000000000004</v>
      </c>
      <c r="L31" s="436">
        <v>17.396999999999998</v>
      </c>
      <c r="M31" s="436">
        <v>42.936</v>
      </c>
      <c r="N31" s="436">
        <v>53.152200000000001</v>
      </c>
      <c r="O31" s="436">
        <v>57.618400000000001</v>
      </c>
      <c r="P31" s="436">
        <v>67.094399999999993</v>
      </c>
      <c r="Q31" s="436">
        <v>54.259399999999999</v>
      </c>
      <c r="R31" s="436">
        <v>53.732099999999996</v>
      </c>
      <c r="S31" s="436">
        <v>53.061199999999999</v>
      </c>
      <c r="T31" s="437">
        <v>54.2517</v>
      </c>
      <c r="U31" s="437">
        <v>54.406699999999994</v>
      </c>
      <c r="V31" s="437">
        <v>54.438900000000004</v>
      </c>
      <c r="W31" s="437">
        <v>54.344199999999994</v>
      </c>
      <c r="X31" s="436">
        <v>54.426300000000005</v>
      </c>
      <c r="Y31" s="436">
        <v>54.229599999999998</v>
      </c>
      <c r="Z31" s="21">
        <f>IFERROR(B31/'Ar-Pa'!B31,0)</f>
        <v>6.121833333333333</v>
      </c>
      <c r="AA31" s="21">
        <f>IFERROR(C31/'Ar-Pa'!C31,0)</f>
        <v>5.8749888888888897</v>
      </c>
      <c r="AB31" s="21">
        <f>IFERROR(D31/'Ar-Pa'!D31,0)</f>
        <v>5.8028999999999993</v>
      </c>
      <c r="AC31" s="21">
        <f>IFERROR(E31/'Ar-Pa'!E31,0)</f>
        <v>5.9299666666666662</v>
      </c>
      <c r="AD31" s="21">
        <f>IFERROR(F31/'Ar-Pa'!F31,0)</f>
        <v>13.269174999999999</v>
      </c>
      <c r="AE31" s="21">
        <f>IFERROR(G31/'Ar-Pa'!G31,0)</f>
        <v>5.5301333333333345</v>
      </c>
      <c r="AF31" s="21">
        <f>IFERROR(H31/'Ar-Pa'!H31,0)</f>
        <v>0.58925000000000005</v>
      </c>
      <c r="AG31" s="21">
        <f>IFERROR(I31/'Ar-Pa'!I31,0)</f>
        <v>0</v>
      </c>
      <c r="AH31" s="21">
        <f>IFERROR(J31/'Ar-Pa'!J31,0)</f>
        <v>0</v>
      </c>
      <c r="AI31" s="21">
        <f>IFERROR(K31/'Ar-Pa'!K31,0)</f>
        <v>0.48397500000000004</v>
      </c>
      <c r="AJ31" s="21">
        <f>IFERROR(L31/'Ar-Pa'!L31,0)</f>
        <v>1.9329999999999998</v>
      </c>
      <c r="AK31" s="21">
        <f>IFERROR(M31/'Ar-Pa'!M31,0)</f>
        <v>4.7706666666666671</v>
      </c>
      <c r="AL31" s="21">
        <f>IFERROR(N31/'Ar-Pa'!N31,0)</f>
        <v>5.9058000000000002</v>
      </c>
      <c r="AM31" s="21">
        <f>IFERROR(O31/'Ar-Pa'!O31,0)</f>
        <v>6.4020444444444449</v>
      </c>
      <c r="AN31" s="21">
        <f>IFERROR(P31/'Ar-Pa'!P31,0)</f>
        <v>7.454933333333333</v>
      </c>
      <c r="AO31" s="21">
        <f>IFERROR(Q31/'Ar-Pa'!Q31,0)</f>
        <v>6.0288222222222219</v>
      </c>
      <c r="AP31" s="21">
        <f>IFERROR(R31/'Ar-Pa'!R31,0)</f>
        <v>5.9702333333333328</v>
      </c>
      <c r="AQ31" s="21">
        <f>IFERROR(S31/'Ar-Pa'!S31,0)</f>
        <v>5.8956888888888885</v>
      </c>
      <c r="AR31" s="21">
        <f>IFERROR(T31/'Ar-Pa'!T31,0)</f>
        <v>6.0279666666666669</v>
      </c>
      <c r="AS31" s="21">
        <f>IFERROR(U31/'Ar-Pa'!U31,0)</f>
        <v>6.0451888888888883</v>
      </c>
      <c r="AT31" s="21">
        <f>IFERROR(V31/'Ar-Pa'!V31,0)</f>
        <v>6.0487666666666673</v>
      </c>
      <c r="AU31" s="21">
        <f>IFERROR(W31/'Ar-Pa'!W31,0)</f>
        <v>6.0382444444444436</v>
      </c>
      <c r="AV31" s="21">
        <f>IFERROR(X31/'Ar-Pa'!X31,0)</f>
        <v>6.047366666666667</v>
      </c>
      <c r="AW31" s="21">
        <f>IFERROR(Y31/'Ar-Pa'!Y31,0)</f>
        <v>6.0255111111111113</v>
      </c>
      <c r="AX31" s="21">
        <f t="shared" si="0"/>
        <v>124.19645555555554</v>
      </c>
    </row>
    <row r="32" spans="1:50" s="12" customFormat="1">
      <c r="A32" s="15">
        <v>44957</v>
      </c>
      <c r="B32" s="436">
        <v>62.594300000000004</v>
      </c>
      <c r="C32" s="436">
        <v>63.128900000000002</v>
      </c>
      <c r="D32" s="436">
        <v>63.119199999999999</v>
      </c>
      <c r="E32" s="436">
        <v>62.282300000000006</v>
      </c>
      <c r="F32" s="436">
        <v>25.831</v>
      </c>
      <c r="G32" s="436">
        <v>2.1441999999999997</v>
      </c>
      <c r="H32" s="436">
        <v>5.9941000000000004</v>
      </c>
      <c r="I32" s="436">
        <v>17.040500000000002</v>
      </c>
      <c r="J32" s="436">
        <v>44.306800000000003</v>
      </c>
      <c r="K32" s="436">
        <v>61.715600000000002</v>
      </c>
      <c r="L32" s="436">
        <v>64.37769999999999</v>
      </c>
      <c r="M32" s="436">
        <v>63.946599999999997</v>
      </c>
      <c r="N32" s="436">
        <v>63.931199999999997</v>
      </c>
      <c r="O32" s="436">
        <v>63.729399999999998</v>
      </c>
      <c r="P32" s="436">
        <v>62.417199999999994</v>
      </c>
      <c r="Q32" s="436">
        <v>63.1494</v>
      </c>
      <c r="R32" s="436">
        <v>63.129300000000001</v>
      </c>
      <c r="S32" s="436">
        <v>63.032599999999995</v>
      </c>
      <c r="T32" s="437">
        <v>63.133300000000006</v>
      </c>
      <c r="U32" s="437">
        <v>63.1691</v>
      </c>
      <c r="V32" s="437">
        <v>63.070900000000002</v>
      </c>
      <c r="W32" s="437">
        <v>62.985699999999994</v>
      </c>
      <c r="X32" s="436">
        <v>63.146000000000001</v>
      </c>
      <c r="Y32" s="436">
        <v>63.359499999999997</v>
      </c>
      <c r="Z32" s="21">
        <f>IFERROR(B32/'Ar-Pa'!B32,0)</f>
        <v>6.9549222222222227</v>
      </c>
      <c r="AA32" s="21">
        <f>IFERROR(C32/'Ar-Pa'!C32,0)</f>
        <v>7.0143222222222228</v>
      </c>
      <c r="AB32" s="21">
        <f>IFERROR(D32/'Ar-Pa'!D32,0)</f>
        <v>7.0132444444444442</v>
      </c>
      <c r="AC32" s="21">
        <f>IFERROR(E32/'Ar-Pa'!E32,0)</f>
        <v>6.9202555555555563</v>
      </c>
      <c r="AD32" s="21">
        <f>IFERROR(F32/'Ar-Pa'!F32,0)</f>
        <v>2.8701111111111111</v>
      </c>
      <c r="AE32" s="21">
        <f>IFERROR(G32/'Ar-Pa'!G32,0)</f>
        <v>0.2382444444444444</v>
      </c>
      <c r="AF32" s="21">
        <f>IFERROR(H32/'Ar-Pa'!H32,0)</f>
        <v>0.66601111111111111</v>
      </c>
      <c r="AG32" s="21">
        <f>IFERROR(I32/'Ar-Pa'!I32,0)</f>
        <v>1.893388888888889</v>
      </c>
      <c r="AH32" s="21">
        <f>IFERROR(J32/'Ar-Pa'!J32,0)</f>
        <v>7.3844666666666674</v>
      </c>
      <c r="AI32" s="21">
        <f>IFERROR(K32/'Ar-Pa'!K32,0)</f>
        <v>6.8572888888888892</v>
      </c>
      <c r="AJ32" s="21">
        <f>IFERROR(L32/'Ar-Pa'!L32,0)</f>
        <v>7.153077777777777</v>
      </c>
      <c r="AK32" s="21">
        <f>IFERROR(M32/'Ar-Pa'!M32,0)</f>
        <v>7.1051777777777776</v>
      </c>
      <c r="AL32" s="21">
        <f>IFERROR(N32/'Ar-Pa'!N32,0)</f>
        <v>7.1034666666666659</v>
      </c>
      <c r="AM32" s="21">
        <f>IFERROR(O32/'Ar-Pa'!O32,0)</f>
        <v>7.0810444444444443</v>
      </c>
      <c r="AN32" s="21">
        <f>IFERROR(P32/'Ar-Pa'!P32,0)</f>
        <v>6.9352444444444439</v>
      </c>
      <c r="AO32" s="21">
        <f>IFERROR(Q32/'Ar-Pa'!Q32,0)</f>
        <v>7.0166000000000004</v>
      </c>
      <c r="AP32" s="21">
        <f>IFERROR(R32/'Ar-Pa'!R32,0)</f>
        <v>7.0143666666666666</v>
      </c>
      <c r="AQ32" s="21">
        <f>IFERROR(S32/'Ar-Pa'!S32,0)</f>
        <v>7.003622222222222</v>
      </c>
      <c r="AR32" s="21">
        <f>IFERROR(T32/'Ar-Pa'!T32,0)</f>
        <v>7.0148111111111113</v>
      </c>
      <c r="AS32" s="21">
        <f>IFERROR(U32/'Ar-Pa'!U32,0)</f>
        <v>7.8961375</v>
      </c>
      <c r="AT32" s="21">
        <f>IFERROR(V32/'Ar-Pa'!V32,0)</f>
        <v>7.0078777777777779</v>
      </c>
      <c r="AU32" s="21">
        <f>IFERROR(W32/'Ar-Pa'!W32,0)</f>
        <v>6.9984111111111105</v>
      </c>
      <c r="AV32" s="21">
        <f>IFERROR(X32/'Ar-Pa'!X32,0)</f>
        <v>7.0162222222222219</v>
      </c>
      <c r="AW32" s="21">
        <f>IFERROR(Y32/'Ar-Pa'!Y32,0)</f>
        <v>7.9199374999999996</v>
      </c>
      <c r="AX32" s="21">
        <f t="shared" si="0"/>
        <v>148.07825277777775</v>
      </c>
    </row>
    <row r="33" spans="1:50" s="12" customFormat="1">
      <c r="A33" s="15">
        <v>44958</v>
      </c>
      <c r="B33" s="436">
        <v>64.255200000000002</v>
      </c>
      <c r="C33" s="436">
        <v>64.054100000000005</v>
      </c>
      <c r="D33" s="436">
        <v>64.053100000000001</v>
      </c>
      <c r="E33" s="436">
        <v>64.0608</v>
      </c>
      <c r="F33" s="436">
        <v>63.797800000000002</v>
      </c>
      <c r="G33" s="436">
        <v>63.355899999999998</v>
      </c>
      <c r="H33" s="436">
        <v>63.3491</v>
      </c>
      <c r="I33" s="436">
        <v>63.043300000000002</v>
      </c>
      <c r="J33" s="436">
        <v>60.885899999999999</v>
      </c>
      <c r="K33" s="436">
        <v>63.020400000000002</v>
      </c>
      <c r="L33" s="436">
        <v>63.984199999999994</v>
      </c>
      <c r="M33" s="436">
        <v>63.872599999999998</v>
      </c>
      <c r="N33" s="436">
        <v>64.114599999999996</v>
      </c>
      <c r="O33" s="436">
        <v>56.237900000000003</v>
      </c>
      <c r="P33" s="436">
        <v>53.103300000000004</v>
      </c>
      <c r="Q33" s="436">
        <v>54.228199999999994</v>
      </c>
      <c r="R33" s="436">
        <v>53.426600000000001</v>
      </c>
      <c r="S33" s="436">
        <v>53.545999999999999</v>
      </c>
      <c r="T33" s="437">
        <v>53.635400000000004</v>
      </c>
      <c r="U33" s="437">
        <v>54.313099999999999</v>
      </c>
      <c r="V33" s="437">
        <v>54.413800000000002</v>
      </c>
      <c r="W33" s="437">
        <v>54.386099999999999</v>
      </c>
      <c r="X33" s="436">
        <v>54.358899999999998</v>
      </c>
      <c r="Y33" s="436">
        <v>54.348199999999999</v>
      </c>
      <c r="Z33" s="21">
        <f>IFERROR(B33/'Ar-Pa'!B33,0)</f>
        <v>7.1394666666666673</v>
      </c>
      <c r="AA33" s="21">
        <f>IFERROR(C33/'Ar-Pa'!C33,0)</f>
        <v>7.117122222222223</v>
      </c>
      <c r="AB33" s="21">
        <f>IFERROR(D33/'Ar-Pa'!D33,0)</f>
        <v>7.1170111111111112</v>
      </c>
      <c r="AC33" s="21">
        <f>IFERROR(E33/'Ar-Pa'!E33,0)</f>
        <v>7.117866666666667</v>
      </c>
      <c r="AD33" s="21">
        <f>IFERROR(F33/'Ar-Pa'!F33,0)</f>
        <v>7.0886444444444443</v>
      </c>
      <c r="AE33" s="21">
        <f>IFERROR(G33/'Ar-Pa'!G33,0)</f>
        <v>7.9194874999999998</v>
      </c>
      <c r="AF33" s="21">
        <f>IFERROR(H33/'Ar-Pa'!H33,0)</f>
        <v>7.9186375</v>
      </c>
      <c r="AG33" s="21">
        <f>IFERROR(I33/'Ar-Pa'!I33,0)</f>
        <v>7.8804125000000003</v>
      </c>
      <c r="AH33" s="21">
        <f>IFERROR(J33/'Ar-Pa'!J33,0)</f>
        <v>7.6107374999999999</v>
      </c>
      <c r="AI33" s="21">
        <f>IFERROR(K33/'Ar-Pa'!K33,0)</f>
        <v>7.8775500000000003</v>
      </c>
      <c r="AJ33" s="21">
        <f>IFERROR(L33/'Ar-Pa'!L33,0)</f>
        <v>7.9980249999999993</v>
      </c>
      <c r="AK33" s="21">
        <f>IFERROR(M33/'Ar-Pa'!M33,0)</f>
        <v>7.9840749999999998</v>
      </c>
      <c r="AL33" s="21">
        <f>IFERROR(N33/'Ar-Pa'!N33,0)</f>
        <v>8.0143249999999995</v>
      </c>
      <c r="AM33" s="21">
        <f>IFERROR(O33/'Ar-Pa'!O33,0)</f>
        <v>7.0297375000000004</v>
      </c>
      <c r="AN33" s="21">
        <f>IFERROR(P33/'Ar-Pa'!P33,0)</f>
        <v>6.6379125000000005</v>
      </c>
      <c r="AO33" s="21">
        <f>IFERROR(Q33/'Ar-Pa'!Q33,0)</f>
        <v>6.7785249999999992</v>
      </c>
      <c r="AP33" s="21">
        <f>IFERROR(R33/'Ar-Pa'!R33,0)</f>
        <v>6.6783250000000001</v>
      </c>
      <c r="AQ33" s="21">
        <f>IFERROR(S33/'Ar-Pa'!S33,0)</f>
        <v>6.6932499999999999</v>
      </c>
      <c r="AR33" s="21">
        <f>IFERROR(T33/'Ar-Pa'!T33,0)</f>
        <v>6.7044250000000005</v>
      </c>
      <c r="AS33" s="21">
        <f>IFERROR(U33/'Ar-Pa'!U33,0)</f>
        <v>6.7891374999999998</v>
      </c>
      <c r="AT33" s="21">
        <f>IFERROR(V33/'Ar-Pa'!V33,0)</f>
        <v>6.8017250000000002</v>
      </c>
      <c r="AU33" s="21">
        <f>IFERROR(W33/'Ar-Pa'!W33,0)</f>
        <v>6.7982624999999999</v>
      </c>
      <c r="AV33" s="21">
        <f>IFERROR(X33/'Ar-Pa'!X33,0)</f>
        <v>6.7948624999999998</v>
      </c>
      <c r="AW33" s="21">
        <f>IFERROR(Y33/'Ar-Pa'!Y33,0)</f>
        <v>6.7935249999999998</v>
      </c>
      <c r="AX33" s="21">
        <f t="shared" si="0"/>
        <v>173.2830486111111</v>
      </c>
    </row>
    <row r="34" spans="1:50" s="12" customFormat="1">
      <c r="A34" s="15">
        <v>44959</v>
      </c>
      <c r="B34" s="436">
        <v>54.457500000000003</v>
      </c>
      <c r="C34" s="436">
        <v>54.354699999999994</v>
      </c>
      <c r="D34" s="436">
        <v>54.576699999999995</v>
      </c>
      <c r="E34" s="436">
        <v>52.542900000000003</v>
      </c>
      <c r="F34" s="436">
        <v>17.381400000000003</v>
      </c>
      <c r="G34" s="436">
        <v>1.5468</v>
      </c>
      <c r="H34" s="436">
        <v>5.4601999999999995</v>
      </c>
      <c r="I34" s="436">
        <v>18.359500000000001</v>
      </c>
      <c r="J34" s="436">
        <v>44.757100000000001</v>
      </c>
      <c r="K34" s="436">
        <v>53.262300000000003</v>
      </c>
      <c r="L34" s="436">
        <v>53.865099999999998</v>
      </c>
      <c r="M34" s="436">
        <v>53.434800000000003</v>
      </c>
      <c r="N34" s="436">
        <v>53.128599999999999</v>
      </c>
      <c r="O34" s="436">
        <v>54.013599999999997</v>
      </c>
      <c r="P34" s="436">
        <v>53.744699999999995</v>
      </c>
      <c r="Q34" s="436">
        <v>53.084099999999999</v>
      </c>
      <c r="R34" s="436">
        <v>54.114599999999996</v>
      </c>
      <c r="S34" s="436">
        <v>54.497199999999999</v>
      </c>
      <c r="T34" s="437">
        <v>54.574800000000003</v>
      </c>
      <c r="U34" s="437">
        <v>53.972999999999999</v>
      </c>
      <c r="V34" s="437">
        <v>54.168599999999998</v>
      </c>
      <c r="W34" s="437">
        <v>54.1813</v>
      </c>
      <c r="X34" s="436">
        <v>54.197199999999995</v>
      </c>
      <c r="Y34" s="436">
        <v>54.310900000000004</v>
      </c>
      <c r="Z34" s="21">
        <f>IFERROR(B34/'Ar-Pa'!B34,0)</f>
        <v>6.8071875000000004</v>
      </c>
      <c r="AA34" s="21">
        <f>IFERROR(C34/'Ar-Pa'!C34,0)</f>
        <v>6.7943374999999993</v>
      </c>
      <c r="AB34" s="21">
        <f>IFERROR(D34/'Ar-Pa'!D34,0)</f>
        <v>6.8220874999999994</v>
      </c>
      <c r="AC34" s="21">
        <f>IFERROR(E34/'Ar-Pa'!E34,0)</f>
        <v>7.5061285714285715</v>
      </c>
      <c r="AD34" s="21">
        <f>IFERROR(F34/'Ar-Pa'!F34,0)</f>
        <v>8.6907000000000014</v>
      </c>
      <c r="AE34" s="21">
        <f>IFERROR(G34/'Ar-Pa'!G34,0)</f>
        <v>0.77339999999999998</v>
      </c>
      <c r="AF34" s="21">
        <f>IFERROR(H34/'Ar-Pa'!H34,0)</f>
        <v>2.7300999999999997</v>
      </c>
      <c r="AG34" s="21">
        <f>IFERROR(I34/'Ar-Pa'!I34,0)</f>
        <v>3.6718999999999999</v>
      </c>
      <c r="AH34" s="21">
        <f>IFERROR(J34/'Ar-Pa'!J34,0)</f>
        <v>7.4595166666666666</v>
      </c>
      <c r="AI34" s="21">
        <f>IFERROR(K34/'Ar-Pa'!K34,0)</f>
        <v>6.6577875000000004</v>
      </c>
      <c r="AJ34" s="21">
        <f>IFERROR(L34/'Ar-Pa'!L34,0)</f>
        <v>7.6950142857142856</v>
      </c>
      <c r="AK34" s="21">
        <f>IFERROR(M34/'Ar-Pa'!M34,0)</f>
        <v>7.6335428571428574</v>
      </c>
      <c r="AL34" s="21">
        <f>IFERROR(N34/'Ar-Pa'!N34,0)</f>
        <v>6.6410749999999998</v>
      </c>
      <c r="AM34" s="21">
        <f>IFERROR(O34/'Ar-Pa'!O34,0)</f>
        <v>6.7516999999999996</v>
      </c>
      <c r="AN34" s="21">
        <f>IFERROR(P34/'Ar-Pa'!P34,0)</f>
        <v>6.7180874999999993</v>
      </c>
      <c r="AO34" s="21">
        <f>IFERROR(Q34/'Ar-Pa'!Q34,0)</f>
        <v>5.8982333333333337</v>
      </c>
      <c r="AP34" s="21">
        <f>IFERROR(R34/'Ar-Pa'!R34,0)</f>
        <v>6.0127333333333333</v>
      </c>
      <c r="AQ34" s="21">
        <f>IFERROR(S34/'Ar-Pa'!S34,0)</f>
        <v>6.055244444444444</v>
      </c>
      <c r="AR34" s="21">
        <f>IFERROR(T34/'Ar-Pa'!T34,0)</f>
        <v>6.0638666666666667</v>
      </c>
      <c r="AS34" s="21">
        <f>IFERROR(U34/'Ar-Pa'!U34,0)</f>
        <v>5.9969999999999999</v>
      </c>
      <c r="AT34" s="21">
        <f>IFERROR(V34/'Ar-Pa'!V34,0)</f>
        <v>6.0187333333333335</v>
      </c>
      <c r="AU34" s="21">
        <f>IFERROR(W34/'Ar-Pa'!W34,0)</f>
        <v>6.0201444444444441</v>
      </c>
      <c r="AV34" s="21">
        <f>IFERROR(X34/'Ar-Pa'!X34,0)</f>
        <v>6.0219111111111108</v>
      </c>
      <c r="AW34" s="21">
        <f>IFERROR(Y34/'Ar-Pa'!Y34,0)</f>
        <v>6.0345444444444452</v>
      </c>
      <c r="AX34" s="21">
        <f t="shared" si="0"/>
        <v>147.47497599206346</v>
      </c>
    </row>
    <row r="35" spans="1:50" s="12" customFormat="1">
      <c r="A35" s="15">
        <v>44960</v>
      </c>
      <c r="B35" s="436">
        <v>64.315699999999993</v>
      </c>
      <c r="C35" s="436">
        <v>62.331099999999999</v>
      </c>
      <c r="D35" s="436">
        <v>62.5533</v>
      </c>
      <c r="E35" s="436">
        <v>62.851500000000001</v>
      </c>
      <c r="F35" s="436">
        <v>26.417999999999999</v>
      </c>
      <c r="G35" s="436">
        <v>1.7743</v>
      </c>
      <c r="H35" s="436">
        <v>8.4478999999999989</v>
      </c>
      <c r="I35" s="436">
        <v>17.305700000000002</v>
      </c>
      <c r="J35" s="436">
        <v>44.3752</v>
      </c>
      <c r="K35" s="436">
        <v>60.286699999999996</v>
      </c>
      <c r="L35" s="436">
        <v>62.869599999999998</v>
      </c>
      <c r="M35" s="436">
        <v>62.800400000000003</v>
      </c>
      <c r="N35" s="436">
        <v>62.720399999999998</v>
      </c>
      <c r="O35" s="436">
        <v>62.802300000000002</v>
      </c>
      <c r="P35" s="436">
        <v>62.747500000000002</v>
      </c>
      <c r="Q35" s="436">
        <v>62.583800000000004</v>
      </c>
      <c r="R35" s="436">
        <v>62.752000000000002</v>
      </c>
      <c r="S35" s="436">
        <v>62.844499999999996</v>
      </c>
      <c r="T35" s="437">
        <v>62.777200000000001</v>
      </c>
      <c r="U35" s="437">
        <v>62.7059</v>
      </c>
      <c r="V35" s="437">
        <v>62.738500000000002</v>
      </c>
      <c r="W35" s="437">
        <v>62.984900000000003</v>
      </c>
      <c r="X35" s="436">
        <v>62.747300000000003</v>
      </c>
      <c r="Y35" s="436">
        <v>62.5398</v>
      </c>
      <c r="Z35" s="21">
        <f>IFERROR(B35/'Ar-Pa'!B35,0)</f>
        <v>7.1461888888888883</v>
      </c>
      <c r="AA35" s="21">
        <f>IFERROR(C35/'Ar-Pa'!C35,0)</f>
        <v>6.9256777777777776</v>
      </c>
      <c r="AB35" s="21">
        <f>IFERROR(D35/'Ar-Pa'!D35,0)</f>
        <v>6.9503666666666666</v>
      </c>
      <c r="AC35" s="21">
        <f>IFERROR(E35/'Ar-Pa'!E35,0)</f>
        <v>7.8564375000000002</v>
      </c>
      <c r="AD35" s="21">
        <f>IFERROR(F35/'Ar-Pa'!F35,0)</f>
        <v>8.8059999999999992</v>
      </c>
      <c r="AE35" s="21">
        <f>IFERROR(G35/'Ar-Pa'!G35,0)</f>
        <v>0.59143333333333337</v>
      </c>
      <c r="AF35" s="21">
        <f>IFERROR(H35/'Ar-Pa'!H35,0)</f>
        <v>4.2239499999999994</v>
      </c>
      <c r="AG35" s="21">
        <f>IFERROR(I35/'Ar-Pa'!I35,0)</f>
        <v>3.4611400000000003</v>
      </c>
      <c r="AH35" s="21">
        <f>IFERROR(J35/'Ar-Pa'!J35,0)</f>
        <v>6.3393142857142859</v>
      </c>
      <c r="AI35" s="21">
        <f>IFERROR(K35/'Ar-Pa'!K35,0)</f>
        <v>6.6985222222222216</v>
      </c>
      <c r="AJ35" s="21">
        <f>IFERROR(L35/'Ar-Pa'!L35,0)</f>
        <v>6.9855111111111112</v>
      </c>
      <c r="AK35" s="21">
        <f>IFERROR(M35/'Ar-Pa'!M35,0)</f>
        <v>6.9778222222222226</v>
      </c>
      <c r="AL35" s="21">
        <f>IFERROR(N35/'Ar-Pa'!N35,0)</f>
        <v>6.9689333333333332</v>
      </c>
      <c r="AM35" s="21">
        <f>IFERROR(O35/'Ar-Pa'!O35,0)</f>
        <v>6.9780333333333333</v>
      </c>
      <c r="AN35" s="21">
        <f>IFERROR(P35/'Ar-Pa'!P35,0)</f>
        <v>6.9719444444444445</v>
      </c>
      <c r="AO35" s="21">
        <f>IFERROR(Q35/'Ar-Pa'!Q35,0)</f>
        <v>6.9537555555555564</v>
      </c>
      <c r="AP35" s="21">
        <f>IFERROR(R35/'Ar-Pa'!R35,0)</f>
        <v>6.9724444444444451</v>
      </c>
      <c r="AQ35" s="21">
        <f>IFERROR(S35/'Ar-Pa'!S35,0)</f>
        <v>6.9827222222222218</v>
      </c>
      <c r="AR35" s="21">
        <f>IFERROR(T35/'Ar-Pa'!T35,0)</f>
        <v>6.9752444444444448</v>
      </c>
      <c r="AS35" s="21">
        <f>IFERROR(U35/'Ar-Pa'!U35,0)</f>
        <v>6.9673222222222222</v>
      </c>
      <c r="AT35" s="21">
        <f>IFERROR(V35/'Ar-Pa'!V35,0)</f>
        <v>6.9709444444444451</v>
      </c>
      <c r="AU35" s="21">
        <f>IFERROR(W35/'Ar-Pa'!W35,0)</f>
        <v>6.9983222222222228</v>
      </c>
      <c r="AV35" s="21">
        <f>IFERROR(X35/'Ar-Pa'!X35,0)</f>
        <v>6.9719222222222221</v>
      </c>
      <c r="AW35" s="21">
        <f>IFERROR(Y35/'Ar-Pa'!Y35,0)</f>
        <v>6.9488666666666665</v>
      </c>
      <c r="AX35" s="21">
        <f t="shared" si="0"/>
        <v>156.62281956349207</v>
      </c>
    </row>
    <row r="36" spans="1:50" s="12" customFormat="1">
      <c r="A36" s="15">
        <v>44961</v>
      </c>
      <c r="B36" s="436">
        <v>63.140500000000003</v>
      </c>
      <c r="C36" s="436">
        <v>63.984099999999998</v>
      </c>
      <c r="D36" s="436">
        <v>63.677599999999998</v>
      </c>
      <c r="E36" s="436">
        <v>59.8123</v>
      </c>
      <c r="F36" s="436">
        <v>25.786799999999999</v>
      </c>
      <c r="G36" s="436">
        <v>2.2810000000000001</v>
      </c>
      <c r="H36" s="436">
        <v>0</v>
      </c>
      <c r="I36" s="436">
        <v>5.5106999999999999</v>
      </c>
      <c r="J36" s="436">
        <v>17.3567</v>
      </c>
      <c r="K36" s="436">
        <v>44.9039</v>
      </c>
      <c r="L36" s="436">
        <v>60.029000000000003</v>
      </c>
      <c r="M36" s="436">
        <v>63.987099999999998</v>
      </c>
      <c r="N36" s="436">
        <v>63.782199999999996</v>
      </c>
      <c r="O36" s="436">
        <v>63.8979</v>
      </c>
      <c r="P36" s="436">
        <v>64.091400000000007</v>
      </c>
      <c r="Q36" s="436">
        <v>64.017399999999995</v>
      </c>
      <c r="R36" s="436">
        <v>63.9786</v>
      </c>
      <c r="S36" s="436">
        <v>64.057599999999994</v>
      </c>
      <c r="T36" s="437">
        <v>63.834400000000002</v>
      </c>
      <c r="U36" s="437">
        <v>63.985099999999996</v>
      </c>
      <c r="V36" s="437">
        <v>63.969699999999996</v>
      </c>
      <c r="W36" s="437">
        <v>64.179599999999994</v>
      </c>
      <c r="X36" s="436">
        <v>63.696899999999999</v>
      </c>
      <c r="Y36" s="436">
        <v>63.232599999999998</v>
      </c>
      <c r="Z36" s="21">
        <f>IFERROR(B36/'Ar-Pa'!B36,0)</f>
        <v>7.0156111111111112</v>
      </c>
      <c r="AA36" s="21">
        <f>IFERROR(C36/'Ar-Pa'!C36,0)</f>
        <v>7.109344444444444</v>
      </c>
      <c r="AB36" s="21">
        <f>IFERROR(D36/'Ar-Pa'!D36,0)</f>
        <v>7.0752888888888883</v>
      </c>
      <c r="AC36" s="21">
        <f>IFERROR(E36/'Ar-Pa'!E36,0)</f>
        <v>8.5446142857142853</v>
      </c>
      <c r="AD36" s="21">
        <f>IFERROR(F36/'Ar-Pa'!F36,0)</f>
        <v>4.2977999999999996</v>
      </c>
      <c r="AE36" s="21">
        <f>IFERROR(G36/'Ar-Pa'!G36,0)</f>
        <v>0.76033333333333342</v>
      </c>
      <c r="AF36" s="21">
        <f>IFERROR(H36/'Ar-Pa'!H36,0)</f>
        <v>0</v>
      </c>
      <c r="AG36" s="21">
        <f>IFERROR(I36/'Ar-Pa'!I36,0)</f>
        <v>2.75535</v>
      </c>
      <c r="AH36" s="21">
        <f>IFERROR(J36/'Ar-Pa'!J36,0)</f>
        <v>4.339175</v>
      </c>
      <c r="AI36" s="21">
        <f>IFERROR(K36/'Ar-Pa'!K36,0)</f>
        <v>7.4839833333333337</v>
      </c>
      <c r="AJ36" s="21">
        <f>IFERROR(L36/'Ar-Pa'!L36,0)</f>
        <v>7.5036250000000004</v>
      </c>
      <c r="AK36" s="21">
        <f>IFERROR(M36/'Ar-Pa'!M36,0)</f>
        <v>7.9983874999999998</v>
      </c>
      <c r="AL36" s="21">
        <f>IFERROR(N36/'Ar-Pa'!N36,0)</f>
        <v>7.0869111111111103</v>
      </c>
      <c r="AM36" s="21">
        <f>IFERROR(O36/'Ar-Pa'!O36,0)</f>
        <v>7.0997666666666666</v>
      </c>
      <c r="AN36" s="21">
        <f>IFERROR(P36/'Ar-Pa'!P36,0)</f>
        <v>7.1212666666666671</v>
      </c>
      <c r="AO36" s="21">
        <f>IFERROR(Q36/'Ar-Pa'!Q36,0)</f>
        <v>7.1130444444444443</v>
      </c>
      <c r="AP36" s="21">
        <f>IFERROR(R36/'Ar-Pa'!R36,0)</f>
        <v>7.1087333333333333</v>
      </c>
      <c r="AQ36" s="21">
        <f>IFERROR(S36/'Ar-Pa'!S36,0)</f>
        <v>7.11751111111111</v>
      </c>
      <c r="AR36" s="21">
        <f>IFERROR(T36/'Ar-Pa'!T36,0)</f>
        <v>7.092711111111111</v>
      </c>
      <c r="AS36" s="21">
        <f>IFERROR(U36/'Ar-Pa'!U36,0)</f>
        <v>7.109455555555555</v>
      </c>
      <c r="AT36" s="21">
        <f>IFERROR(V36/'Ar-Pa'!V36,0)</f>
        <v>7.1077444444444442</v>
      </c>
      <c r="AU36" s="21">
        <f>IFERROR(W36/'Ar-Pa'!W36,0)</f>
        <v>7.1310666666666656</v>
      </c>
      <c r="AV36" s="21">
        <f>IFERROR(X36/'Ar-Pa'!X36,0)</f>
        <v>7.0774333333333335</v>
      </c>
      <c r="AW36" s="21">
        <f>IFERROR(Y36/'Ar-Pa'!Y36,0)</f>
        <v>7.0258444444444441</v>
      </c>
      <c r="AX36" s="21">
        <f t="shared" si="0"/>
        <v>150.07500178571428</v>
      </c>
    </row>
    <row r="37" spans="1:50" s="12" customFormat="1">
      <c r="A37" s="15">
        <v>44962</v>
      </c>
      <c r="B37" s="436">
        <v>63.022800000000004</v>
      </c>
      <c r="C37" s="436">
        <v>63.143900000000002</v>
      </c>
      <c r="D37" s="436">
        <v>60.790900000000001</v>
      </c>
      <c r="E37" s="436">
        <v>26.019299999999998</v>
      </c>
      <c r="F37" s="436">
        <v>1.0226</v>
      </c>
      <c r="G37" s="436">
        <v>0</v>
      </c>
      <c r="H37" s="436">
        <v>0</v>
      </c>
      <c r="I37" s="436">
        <v>0</v>
      </c>
      <c r="J37" s="436">
        <v>0</v>
      </c>
      <c r="K37" s="436">
        <v>5.1295000000000002</v>
      </c>
      <c r="L37" s="436">
        <v>17.191700000000001</v>
      </c>
      <c r="M37" s="436">
        <v>42.428100000000001</v>
      </c>
      <c r="N37" s="436">
        <v>60.705500000000001</v>
      </c>
      <c r="O37" s="436">
        <v>64.083300000000008</v>
      </c>
      <c r="P37" s="436">
        <v>64.18719999999999</v>
      </c>
      <c r="Q37" s="436">
        <v>64.025099999999995</v>
      </c>
      <c r="R37" s="436">
        <v>64.104500000000002</v>
      </c>
      <c r="S37" s="436">
        <v>64.130499999999998</v>
      </c>
      <c r="T37" s="437">
        <v>64.125500000000002</v>
      </c>
      <c r="U37" s="437">
        <v>64.128699999999995</v>
      </c>
      <c r="V37" s="437">
        <v>63.995899999999999</v>
      </c>
      <c r="W37" s="437">
        <v>63.909699999999994</v>
      </c>
      <c r="X37" s="436">
        <v>64.075099999999992</v>
      </c>
      <c r="Y37" s="436">
        <v>63.0379</v>
      </c>
      <c r="Z37" s="21">
        <f>IFERROR(B37/'Ar-Pa'!B37,0)</f>
        <v>7.0025333333333339</v>
      </c>
      <c r="AA37" s="21">
        <f>IFERROR(C37/'Ar-Pa'!C37,0)</f>
        <v>7.0159888888888888</v>
      </c>
      <c r="AB37" s="21">
        <f>IFERROR(D37/'Ar-Pa'!D37,0)</f>
        <v>8.6844142857142863</v>
      </c>
      <c r="AC37" s="21">
        <f>IFERROR(E37/'Ar-Pa'!E37,0)</f>
        <v>8.6730999999999998</v>
      </c>
      <c r="AD37" s="21">
        <f>IFERROR(F37/'Ar-Pa'!F37,0)</f>
        <v>0</v>
      </c>
      <c r="AE37" s="21">
        <f>IFERROR(G37/'Ar-Pa'!G37,0)</f>
        <v>0</v>
      </c>
      <c r="AF37" s="21">
        <f>IFERROR(H37/'Ar-Pa'!H37,0)</f>
        <v>0</v>
      </c>
      <c r="AG37" s="21">
        <f>IFERROR(I37/'Ar-Pa'!I37,0)</f>
        <v>0</v>
      </c>
      <c r="AH37" s="21">
        <f>IFERROR(J37/'Ar-Pa'!J37,0)</f>
        <v>0</v>
      </c>
      <c r="AI37" s="21">
        <f>IFERROR(K37/'Ar-Pa'!K37,0)</f>
        <v>2.5647500000000001</v>
      </c>
      <c r="AJ37" s="21">
        <f>IFERROR(L37/'Ar-Pa'!L37,0)</f>
        <v>8.5958500000000004</v>
      </c>
      <c r="AK37" s="21">
        <f>IFERROR(M37/'Ar-Pa'!M37,0)</f>
        <v>6.0611571428571427</v>
      </c>
      <c r="AL37" s="21">
        <f>IFERROR(N37/'Ar-Pa'!N37,0)</f>
        <v>6.745055555555556</v>
      </c>
      <c r="AM37" s="21">
        <f>IFERROR(O37/'Ar-Pa'!O37,0)</f>
        <v>7.1203666666666674</v>
      </c>
      <c r="AN37" s="21">
        <f>IFERROR(P37/'Ar-Pa'!P37,0)</f>
        <v>7.1319111111111102</v>
      </c>
      <c r="AO37" s="21">
        <f>IFERROR(Q37/'Ar-Pa'!Q37,0)</f>
        <v>7.1138999999999992</v>
      </c>
      <c r="AP37" s="21">
        <f>IFERROR(R37/'Ar-Pa'!R37,0)</f>
        <v>7.1227222222222224</v>
      </c>
      <c r="AQ37" s="21">
        <f>IFERROR(S37/'Ar-Pa'!S37,0)</f>
        <v>7.1256111111111107</v>
      </c>
      <c r="AR37" s="21">
        <f>IFERROR(T37/'Ar-Pa'!T37,0)</f>
        <v>7.1250555555555559</v>
      </c>
      <c r="AS37" s="21">
        <f>IFERROR(U37/'Ar-Pa'!U37,0)</f>
        <v>7.1254111111111103</v>
      </c>
      <c r="AT37" s="21">
        <f>IFERROR(V37/'Ar-Pa'!V37,0)</f>
        <v>7.1106555555555557</v>
      </c>
      <c r="AU37" s="21">
        <f>IFERROR(W37/'Ar-Pa'!W37,0)</f>
        <v>7.1010777777777774</v>
      </c>
      <c r="AV37" s="21">
        <f>IFERROR(X37/'Ar-Pa'!X37,0)</f>
        <v>7.1194555555555548</v>
      </c>
      <c r="AW37" s="21">
        <f>IFERROR(Y37/'Ar-Pa'!Y37,0)</f>
        <v>7.0042111111111112</v>
      </c>
      <c r="AX37" s="21">
        <f t="shared" si="0"/>
        <v>133.54322698412699</v>
      </c>
    </row>
    <row r="38" spans="1:50" s="12" customFormat="1">
      <c r="A38" s="15">
        <v>44963</v>
      </c>
      <c r="B38" s="436">
        <v>63.346499999999999</v>
      </c>
      <c r="C38" s="436">
        <v>64.101199999999992</v>
      </c>
      <c r="D38" s="436">
        <v>59.856499999999997</v>
      </c>
      <c r="E38" s="436">
        <v>25.740599999999997</v>
      </c>
      <c r="F38" s="436">
        <v>3.0979999999999999</v>
      </c>
      <c r="G38" s="436">
        <v>0</v>
      </c>
      <c r="H38" s="436">
        <v>8.1998999999999995</v>
      </c>
      <c r="I38" s="436">
        <v>16.842500000000001</v>
      </c>
      <c r="J38" s="436">
        <v>43.771300000000004</v>
      </c>
      <c r="K38" s="436">
        <v>61.22</v>
      </c>
      <c r="L38" s="436">
        <v>63.334300000000006</v>
      </c>
      <c r="M38" s="436">
        <v>63.450499999999998</v>
      </c>
      <c r="N38" s="436">
        <v>63.917400000000001</v>
      </c>
      <c r="O38" s="436">
        <v>63.778700000000001</v>
      </c>
      <c r="P38" s="436">
        <v>63.854199999999999</v>
      </c>
      <c r="Q38" s="436">
        <v>64.199699999999993</v>
      </c>
      <c r="R38" s="436">
        <v>64.985100000000003</v>
      </c>
      <c r="S38" s="436">
        <v>64.860900000000001</v>
      </c>
      <c r="T38" s="437">
        <v>63.665800000000004</v>
      </c>
      <c r="U38" s="437">
        <v>63.652800000000006</v>
      </c>
      <c r="V38" s="437">
        <v>63.696100000000001</v>
      </c>
      <c r="W38" s="437">
        <v>64.401699999999991</v>
      </c>
      <c r="X38" s="436">
        <v>63.412099999999995</v>
      </c>
      <c r="Y38" s="436">
        <v>63.382100000000001</v>
      </c>
      <c r="Z38" s="21">
        <f>IFERROR(B38/'Ar-Pa'!B38,0)</f>
        <v>7.0385</v>
      </c>
      <c r="AA38" s="21">
        <f>IFERROR(C38/'Ar-Pa'!C38,0)</f>
        <v>7.1223555555555542</v>
      </c>
      <c r="AB38" s="21">
        <f>IFERROR(D38/'Ar-Pa'!D38,0)</f>
        <v>8.550928571428571</v>
      </c>
      <c r="AC38" s="21">
        <f>IFERROR(E38/'Ar-Pa'!E38,0)</f>
        <v>8.5801999999999996</v>
      </c>
      <c r="AD38" s="21">
        <f>IFERROR(F38/'Ar-Pa'!F38,0)</f>
        <v>1.0326666666666666</v>
      </c>
      <c r="AE38" s="21">
        <f>IFERROR(G38/'Ar-Pa'!G38,0)</f>
        <v>0</v>
      </c>
      <c r="AF38" s="21">
        <f>IFERROR(H38/'Ar-Pa'!H38,0)</f>
        <v>4.0999499999999998</v>
      </c>
      <c r="AG38" s="21">
        <f>IFERROR(I38/'Ar-Pa'!I38,0)</f>
        <v>8.4212500000000006</v>
      </c>
      <c r="AH38" s="21">
        <f>IFERROR(J38/'Ar-Pa'!J38,0)</f>
        <v>6.2530428571428578</v>
      </c>
      <c r="AI38" s="21">
        <f>IFERROR(K38/'Ar-Pa'!K38,0)</f>
        <v>6.8022222222222224</v>
      </c>
      <c r="AJ38" s="21">
        <f>IFERROR(L38/'Ar-Pa'!L38,0)</f>
        <v>7.0371444444444453</v>
      </c>
      <c r="AK38" s="21">
        <f>IFERROR(M38/'Ar-Pa'!M38,0)</f>
        <v>7.0500555555555557</v>
      </c>
      <c r="AL38" s="21">
        <f>IFERROR(N38/'Ar-Pa'!N38,0)</f>
        <v>7.1019333333333332</v>
      </c>
      <c r="AM38" s="21">
        <f>IFERROR(O38/'Ar-Pa'!O38,0)</f>
        <v>7.0865222222222224</v>
      </c>
      <c r="AN38" s="21">
        <f>IFERROR(P38/'Ar-Pa'!P38,0)</f>
        <v>7.0949111111111112</v>
      </c>
      <c r="AO38" s="21">
        <f>IFERROR(Q38/'Ar-Pa'!Q38,0)</f>
        <v>7.1332999999999993</v>
      </c>
      <c r="AP38" s="21">
        <f>IFERROR(R38/'Ar-Pa'!R38,0)</f>
        <v>7.2205666666666666</v>
      </c>
      <c r="AQ38" s="21">
        <f>IFERROR(S38/'Ar-Pa'!S38,0)</f>
        <v>7.2067666666666668</v>
      </c>
      <c r="AR38" s="21">
        <f>IFERROR(T38/'Ar-Pa'!T38,0)</f>
        <v>7.0739777777777784</v>
      </c>
      <c r="AS38" s="21">
        <f>IFERROR(U38/'Ar-Pa'!U38,0)</f>
        <v>7.0725333333333342</v>
      </c>
      <c r="AT38" s="21">
        <f>IFERROR(V38/'Ar-Pa'!V38,0)</f>
        <v>7.0773444444444449</v>
      </c>
      <c r="AU38" s="21">
        <f>IFERROR(W38/'Ar-Pa'!W38,0)</f>
        <v>7.1557444444444434</v>
      </c>
      <c r="AV38" s="21">
        <f>IFERROR(X38/'Ar-Pa'!X38,0)</f>
        <v>7.0457888888888887</v>
      </c>
      <c r="AW38" s="21">
        <f>IFERROR(Y38/'Ar-Pa'!Y38,0)</f>
        <v>7.0424555555555557</v>
      </c>
      <c r="AX38" s="21">
        <f t="shared" si="0"/>
        <v>157.30016031746035</v>
      </c>
    </row>
    <row r="39" spans="1:50" s="12" customFormat="1">
      <c r="A39" s="15">
        <v>44964</v>
      </c>
      <c r="B39" s="436">
        <v>63.506399999999999</v>
      </c>
      <c r="C39" s="436">
        <v>63.224899999999998</v>
      </c>
      <c r="D39" s="436">
        <v>63.017199999999995</v>
      </c>
      <c r="E39" s="436">
        <v>63.433500000000002</v>
      </c>
      <c r="F39" s="436">
        <v>63.627000000000002</v>
      </c>
      <c r="G39" s="436">
        <v>63.447499999999998</v>
      </c>
      <c r="H39" s="436">
        <v>63.440899999999999</v>
      </c>
      <c r="I39" s="436">
        <v>63.533999999999999</v>
      </c>
      <c r="J39" s="436">
        <v>63.410199999999996</v>
      </c>
      <c r="K39" s="436">
        <v>63.6051</v>
      </c>
      <c r="L39" s="436">
        <v>63.7849</v>
      </c>
      <c r="M39" s="436">
        <v>64.886099999999999</v>
      </c>
      <c r="N39" s="436">
        <v>64.721800000000002</v>
      </c>
      <c r="O39" s="436">
        <v>64.923500000000004</v>
      </c>
      <c r="P39" s="436">
        <v>63.5291</v>
      </c>
      <c r="Q39" s="436">
        <v>61.840400000000002</v>
      </c>
      <c r="R39" s="436">
        <v>62.157300000000006</v>
      </c>
      <c r="S39" s="436">
        <v>62.774500000000003</v>
      </c>
      <c r="T39" s="437">
        <v>63.6143</v>
      </c>
      <c r="U39" s="437">
        <v>63.6554</v>
      </c>
      <c r="V39" s="437">
        <v>63.613900000000001</v>
      </c>
      <c r="W39" s="437">
        <v>63.659599999999998</v>
      </c>
      <c r="X39" s="436">
        <v>63.583800000000004</v>
      </c>
      <c r="Y39" s="436">
        <v>63.629599999999996</v>
      </c>
      <c r="Z39" s="21">
        <f>IFERROR(B39/'Ar-Pa'!B39,0)</f>
        <v>7.0562666666666667</v>
      </c>
      <c r="AA39" s="21">
        <f>IFERROR(C39/'Ar-Pa'!C39,0)</f>
        <v>7.0249888888888883</v>
      </c>
      <c r="AB39" s="21">
        <f>IFERROR(D39/'Ar-Pa'!D39,0)</f>
        <v>7.0019111111111103</v>
      </c>
      <c r="AC39" s="21">
        <f>IFERROR(E39/'Ar-Pa'!E39,0)</f>
        <v>7.9291875000000003</v>
      </c>
      <c r="AD39" s="21">
        <f>IFERROR(F39/'Ar-Pa'!F39,0)</f>
        <v>7.9533750000000003</v>
      </c>
      <c r="AE39" s="21">
        <f>IFERROR(G39/'Ar-Pa'!G39,0)</f>
        <v>7.9309374999999998</v>
      </c>
      <c r="AF39" s="21">
        <f>IFERROR(H39/'Ar-Pa'!H39,0)</f>
        <v>7.9301124999999999</v>
      </c>
      <c r="AG39" s="21">
        <f>IFERROR(I39/'Ar-Pa'!I39,0)</f>
        <v>7.9417499999999999</v>
      </c>
      <c r="AH39" s="21">
        <f>IFERROR(J39/'Ar-Pa'!J39,0)</f>
        <v>7.9262749999999995</v>
      </c>
      <c r="AI39" s="21">
        <f>IFERROR(K39/'Ar-Pa'!K39,0)</f>
        <v>7.9506375</v>
      </c>
      <c r="AJ39" s="21">
        <f>IFERROR(L39/'Ar-Pa'!L39,0)</f>
        <v>7.0872111111111114</v>
      </c>
      <c r="AK39" s="21">
        <f>IFERROR(M39/'Ar-Pa'!M39,0)</f>
        <v>7.2095666666666665</v>
      </c>
      <c r="AL39" s="21">
        <f>IFERROR(N39/'Ar-Pa'!N39,0)</f>
        <v>7.1913111111111112</v>
      </c>
      <c r="AM39" s="21">
        <f>IFERROR(O39/'Ar-Pa'!O39,0)</f>
        <v>7.2137222222222226</v>
      </c>
      <c r="AN39" s="21">
        <f>IFERROR(P39/'Ar-Pa'!P39,0)</f>
        <v>7.0587888888888886</v>
      </c>
      <c r="AO39" s="21">
        <f>IFERROR(Q39/'Ar-Pa'!Q39,0)</f>
        <v>6.8711555555555561</v>
      </c>
      <c r="AP39" s="21">
        <f>IFERROR(R39/'Ar-Pa'!R39,0)</f>
        <v>6.906366666666667</v>
      </c>
      <c r="AQ39" s="21">
        <f>IFERROR(S39/'Ar-Pa'!S39,0)</f>
        <v>6.9749444444444446</v>
      </c>
      <c r="AR39" s="21">
        <f>IFERROR(T39/'Ar-Pa'!T39,0)</f>
        <v>7.068255555555556</v>
      </c>
      <c r="AS39" s="21">
        <f>IFERROR(U39/'Ar-Pa'!U39,0)</f>
        <v>7.0728222222222223</v>
      </c>
      <c r="AT39" s="21">
        <f>IFERROR(V39/'Ar-Pa'!V39,0)</f>
        <v>7.0682111111111112</v>
      </c>
      <c r="AU39" s="21">
        <f>IFERROR(W39/'Ar-Pa'!W39,0)</f>
        <v>7.0732888888888885</v>
      </c>
      <c r="AV39" s="21">
        <f>IFERROR(X39/'Ar-Pa'!X39,0)</f>
        <v>7.0648666666666671</v>
      </c>
      <c r="AW39" s="21">
        <f>IFERROR(Y39/'Ar-Pa'!Y39,0)</f>
        <v>7.0699555555555555</v>
      </c>
      <c r="AX39" s="21">
        <f t="shared" si="0"/>
        <v>175.57590833333333</v>
      </c>
    </row>
    <row r="40" spans="1:50" s="12" customFormat="1">
      <c r="A40" s="15">
        <v>44965</v>
      </c>
      <c r="B40" s="436">
        <v>63.306100000000001</v>
      </c>
      <c r="C40" s="436">
        <v>63.930099999999996</v>
      </c>
      <c r="D40" s="436">
        <v>63.598099999999995</v>
      </c>
      <c r="E40" s="436">
        <v>63.555399999999999</v>
      </c>
      <c r="F40" s="436">
        <v>63.688699999999997</v>
      </c>
      <c r="G40" s="436">
        <v>64.159300000000002</v>
      </c>
      <c r="H40" s="436">
        <v>63.535599999999995</v>
      </c>
      <c r="I40" s="436">
        <v>63.656099999999995</v>
      </c>
      <c r="J40" s="436">
        <v>63.575400000000002</v>
      </c>
      <c r="K40" s="436">
        <v>63.663699999999999</v>
      </c>
      <c r="L40" s="436">
        <v>63.0764</v>
      </c>
      <c r="M40" s="436">
        <v>63.102400000000003</v>
      </c>
      <c r="N40" s="436">
        <v>63.281500000000001</v>
      </c>
      <c r="O40" s="436">
        <v>63.0366</v>
      </c>
      <c r="P40" s="436">
        <v>63.152800000000006</v>
      </c>
      <c r="Q40" s="436">
        <v>63.921099999999996</v>
      </c>
      <c r="R40" s="436">
        <v>63.792999999999999</v>
      </c>
      <c r="S40" s="436">
        <v>63.7943</v>
      </c>
      <c r="T40" s="437">
        <v>63.7575</v>
      </c>
      <c r="U40" s="437">
        <v>63.783799999999999</v>
      </c>
      <c r="V40" s="437">
        <v>63.791899999999998</v>
      </c>
      <c r="W40" s="437">
        <v>63.743699999999997</v>
      </c>
      <c r="X40" s="436">
        <v>63.834699999999998</v>
      </c>
      <c r="Y40" s="436">
        <v>63.949300000000001</v>
      </c>
      <c r="Z40" s="21">
        <f>IFERROR(B40/'Ar-Pa'!B40,0)</f>
        <v>7.034011111111111</v>
      </c>
      <c r="AA40" s="21">
        <f>IFERROR(C40/'Ar-Pa'!C40,0)</f>
        <v>7.1033444444444438</v>
      </c>
      <c r="AB40" s="21">
        <f>IFERROR(D40/'Ar-Pa'!D40,0)</f>
        <v>7.0664555555555548</v>
      </c>
      <c r="AC40" s="21">
        <f>IFERROR(E40/'Ar-Pa'!E40,0)</f>
        <v>7.0617111111111113</v>
      </c>
      <c r="AD40" s="21">
        <f>IFERROR(F40/'Ar-Pa'!F40,0)</f>
        <v>7.9610874999999997</v>
      </c>
      <c r="AE40" s="21">
        <f>IFERROR(G40/'Ar-Pa'!G40,0)</f>
        <v>7.1288111111111112</v>
      </c>
      <c r="AF40" s="21">
        <f>IFERROR(H40/'Ar-Pa'!H40,0)</f>
        <v>7.9419499999999994</v>
      </c>
      <c r="AG40" s="21">
        <f>IFERROR(I40/'Ar-Pa'!I40,0)</f>
        <v>7.9570124999999994</v>
      </c>
      <c r="AH40" s="21">
        <f>IFERROR(J40/'Ar-Pa'!J40,0)</f>
        <v>7.9469250000000002</v>
      </c>
      <c r="AI40" s="21">
        <f>IFERROR(K40/'Ar-Pa'!K40,0)</f>
        <v>7.9579624999999998</v>
      </c>
      <c r="AJ40" s="21">
        <f>IFERROR(L40/'Ar-Pa'!L40,0)</f>
        <v>7.0084888888888885</v>
      </c>
      <c r="AK40" s="21">
        <f>IFERROR(M40/'Ar-Pa'!M40,0)</f>
        <v>7.0113777777777777</v>
      </c>
      <c r="AL40" s="21">
        <f>IFERROR(N40/'Ar-Pa'!N40,0)</f>
        <v>7.0312777777777775</v>
      </c>
      <c r="AM40" s="21">
        <f>IFERROR(O40/'Ar-Pa'!O40,0)</f>
        <v>7.0040666666666667</v>
      </c>
      <c r="AN40" s="21">
        <f>IFERROR(P40/'Ar-Pa'!P40,0)</f>
        <v>7.0169777777777789</v>
      </c>
      <c r="AO40" s="21">
        <f>IFERROR(Q40/'Ar-Pa'!Q40,0)</f>
        <v>7.1023444444444443</v>
      </c>
      <c r="AP40" s="21">
        <f>IFERROR(R40/'Ar-Pa'!R40,0)</f>
        <v>7.088111111111111</v>
      </c>
      <c r="AQ40" s="21">
        <f>IFERROR(S40/'Ar-Pa'!S40,0)</f>
        <v>7.0882555555555555</v>
      </c>
      <c r="AR40" s="21">
        <f>IFERROR(T40/'Ar-Pa'!T40,0)</f>
        <v>7.0841666666666665</v>
      </c>
      <c r="AS40" s="21">
        <f>IFERROR(U40/'Ar-Pa'!U40,0)</f>
        <v>7.0870888888888892</v>
      </c>
      <c r="AT40" s="21">
        <f>IFERROR(V40/'Ar-Pa'!V40,0)</f>
        <v>7.0879888888888889</v>
      </c>
      <c r="AU40" s="21">
        <f>IFERROR(W40/'Ar-Pa'!W40,0)</f>
        <v>7.0826333333333329</v>
      </c>
      <c r="AV40" s="21">
        <f>IFERROR(X40/'Ar-Pa'!X40,0)</f>
        <v>7.0927444444444445</v>
      </c>
      <c r="AW40" s="21">
        <f>IFERROR(Y40/'Ar-Pa'!Y40,0)</f>
        <v>7.1054777777777778</v>
      </c>
      <c r="AX40" s="21">
        <f t="shared" si="0"/>
        <v>174.05027083333331</v>
      </c>
    </row>
    <row r="41" spans="1:50" s="12" customFormat="1">
      <c r="A41" s="15">
        <v>44966</v>
      </c>
      <c r="B41" s="436">
        <v>63.612300000000005</v>
      </c>
      <c r="C41" s="436">
        <v>63.919400000000003</v>
      </c>
      <c r="D41" s="436">
        <v>63.758600000000001</v>
      </c>
      <c r="E41" s="436">
        <v>63.778300000000002</v>
      </c>
      <c r="F41" s="436">
        <v>64.642899999999997</v>
      </c>
      <c r="G41" s="436">
        <v>63.677900000000001</v>
      </c>
      <c r="H41" s="436">
        <v>64.043599999999998</v>
      </c>
      <c r="I41" s="436">
        <v>64.136099999999999</v>
      </c>
      <c r="J41" s="436">
        <v>64.008899999999997</v>
      </c>
      <c r="K41" s="436">
        <v>64.279399999999995</v>
      </c>
      <c r="L41" s="436">
        <v>64.0732</v>
      </c>
      <c r="M41" s="436">
        <v>63.977499999999999</v>
      </c>
      <c r="N41" s="436">
        <v>63.957099999999997</v>
      </c>
      <c r="O41" s="436">
        <v>63.972099999999998</v>
      </c>
      <c r="P41" s="436">
        <v>63.938300000000005</v>
      </c>
      <c r="Q41" s="436">
        <v>63.923000000000002</v>
      </c>
      <c r="R41" s="436">
        <v>64.043300000000002</v>
      </c>
      <c r="S41" s="436">
        <v>63.898600000000002</v>
      </c>
      <c r="T41" s="437">
        <v>63.831300000000006</v>
      </c>
      <c r="U41" s="437">
        <v>63.798099999999998</v>
      </c>
      <c r="V41" s="437">
        <v>64.013300000000001</v>
      </c>
      <c r="W41" s="437">
        <v>63.842300000000002</v>
      </c>
      <c r="X41" s="436">
        <v>63.705199999999998</v>
      </c>
      <c r="Y41" s="436">
        <v>64.049099999999996</v>
      </c>
      <c r="Z41" s="21">
        <f>IFERROR(B41/'Ar-Pa'!B41,0)</f>
        <v>7.0680333333333341</v>
      </c>
      <c r="AA41" s="21">
        <f>IFERROR(C41/'Ar-Pa'!C41,0)</f>
        <v>7.102155555555556</v>
      </c>
      <c r="AB41" s="21">
        <f>IFERROR(D41/'Ar-Pa'!D41,0)</f>
        <v>7.0842888888888886</v>
      </c>
      <c r="AC41" s="21">
        <f>IFERROR(E41/'Ar-Pa'!E41,0)</f>
        <v>7.0864777777777777</v>
      </c>
      <c r="AD41" s="21">
        <f>IFERROR(F41/'Ar-Pa'!F41,0)</f>
        <v>7.182544444444444</v>
      </c>
      <c r="AE41" s="21">
        <f>IFERROR(G41/'Ar-Pa'!G41,0)</f>
        <v>7.9597375000000001</v>
      </c>
      <c r="AF41" s="21">
        <f>IFERROR(H41/'Ar-Pa'!H41,0)</f>
        <v>8.0054499999999997</v>
      </c>
      <c r="AG41" s="21">
        <f>IFERROR(I41/'Ar-Pa'!I41,0)</f>
        <v>8.0170124999999999</v>
      </c>
      <c r="AH41" s="21">
        <f>IFERROR(J41/'Ar-Pa'!J41,0)</f>
        <v>8.0011124999999996</v>
      </c>
      <c r="AI41" s="21">
        <f>IFERROR(K41/'Ar-Pa'!K41,0)</f>
        <v>7.1421555555555551</v>
      </c>
      <c r="AJ41" s="21">
        <f>IFERROR(L41/'Ar-Pa'!L41,0)</f>
        <v>7.119244444444444</v>
      </c>
      <c r="AK41" s="21">
        <f>IFERROR(M41/'Ar-Pa'!M41,0)</f>
        <v>7.1086111111111112</v>
      </c>
      <c r="AL41" s="21">
        <f>IFERROR(N41/'Ar-Pa'!N41,0)</f>
        <v>7.1063444444444439</v>
      </c>
      <c r="AM41" s="21">
        <f>IFERROR(O41/'Ar-Pa'!O41,0)</f>
        <v>7.1080111111111108</v>
      </c>
      <c r="AN41" s="21">
        <f>IFERROR(P41/'Ar-Pa'!P41,0)</f>
        <v>7.1042555555555564</v>
      </c>
      <c r="AO41" s="21">
        <f>IFERROR(Q41/'Ar-Pa'!Q41,0)</f>
        <v>7.102555555555556</v>
      </c>
      <c r="AP41" s="21">
        <f>IFERROR(R41/'Ar-Pa'!R41,0)</f>
        <v>7.1159222222222223</v>
      </c>
      <c r="AQ41" s="21">
        <f>IFERROR(S41/'Ar-Pa'!S41,0)</f>
        <v>7.0998444444444448</v>
      </c>
      <c r="AR41" s="21">
        <f>IFERROR(T41/'Ar-Pa'!T41,0)</f>
        <v>7.0923666666666669</v>
      </c>
      <c r="AS41" s="21">
        <f>IFERROR(U41/'Ar-Pa'!U41,0)</f>
        <v>7.0886777777777779</v>
      </c>
      <c r="AT41" s="21">
        <f>IFERROR(V41/'Ar-Pa'!V41,0)</f>
        <v>7.1125888888888893</v>
      </c>
      <c r="AU41" s="21">
        <f>IFERROR(W41/'Ar-Pa'!W41,0)</f>
        <v>7.0935888888888892</v>
      </c>
      <c r="AV41" s="21">
        <f>IFERROR(X41/'Ar-Pa'!X41,0)</f>
        <v>7.0783555555555555</v>
      </c>
      <c r="AW41" s="21">
        <f>IFERROR(Y41/'Ar-Pa'!Y41,0)</f>
        <v>7.1165666666666665</v>
      </c>
      <c r="AX41" s="21">
        <f t="shared" si="0"/>
        <v>174.0959013888889</v>
      </c>
    </row>
    <row r="42" spans="1:50" s="12" customFormat="1">
      <c r="A42" s="15">
        <v>44967</v>
      </c>
      <c r="B42" s="436">
        <v>63.866500000000002</v>
      </c>
      <c r="C42" s="436">
        <v>63.881599999999999</v>
      </c>
      <c r="D42" s="436">
        <v>64.007400000000004</v>
      </c>
      <c r="E42" s="436">
        <v>63.9056</v>
      </c>
      <c r="F42" s="436">
        <v>64.009599999999992</v>
      </c>
      <c r="G42" s="436">
        <v>62.932000000000002</v>
      </c>
      <c r="H42" s="436">
        <v>63.778199999999998</v>
      </c>
      <c r="I42" s="436">
        <v>63.604099999999995</v>
      </c>
      <c r="J42" s="436">
        <v>63.2971</v>
      </c>
      <c r="K42" s="436">
        <v>64.027299999999997</v>
      </c>
      <c r="L42" s="436">
        <v>63.851099999999995</v>
      </c>
      <c r="M42" s="436">
        <v>63.76</v>
      </c>
      <c r="N42" s="436">
        <v>63.810699999999997</v>
      </c>
      <c r="O42" s="436">
        <v>63.860199999999999</v>
      </c>
      <c r="P42" s="436">
        <v>63.819699999999997</v>
      </c>
      <c r="Q42" s="436">
        <v>63.797899999999998</v>
      </c>
      <c r="R42" s="436">
        <v>63.783699999999996</v>
      </c>
      <c r="S42" s="436">
        <v>63.866</v>
      </c>
      <c r="T42" s="437">
        <v>63.935300000000005</v>
      </c>
      <c r="U42" s="437">
        <v>63.733499999999999</v>
      </c>
      <c r="V42" s="437">
        <v>63.698800000000006</v>
      </c>
      <c r="W42" s="437">
        <v>63.619699999999995</v>
      </c>
      <c r="X42" s="436">
        <v>63.692999999999998</v>
      </c>
      <c r="Y42" s="436">
        <v>63.852499999999999</v>
      </c>
      <c r="Z42" s="21">
        <f>IFERROR(B42/'Ar-Pa'!B42,0)</f>
        <v>7.0962777777777779</v>
      </c>
      <c r="AA42" s="21">
        <f>IFERROR(C42/'Ar-Pa'!C42,0)</f>
        <v>7.0979555555555551</v>
      </c>
      <c r="AB42" s="21">
        <f>IFERROR(D42/'Ar-Pa'!D42,0)</f>
        <v>7.1119333333333339</v>
      </c>
      <c r="AC42" s="21">
        <f>IFERROR(E42/'Ar-Pa'!E42,0)</f>
        <v>7.1006222222222224</v>
      </c>
      <c r="AD42" s="21">
        <f>IFERROR(F42/'Ar-Pa'!F42,0)</f>
        <v>7.1121777777777773</v>
      </c>
      <c r="AE42" s="21">
        <f>IFERROR(G42/'Ar-Pa'!G42,0)</f>
        <v>7.8665000000000003</v>
      </c>
      <c r="AF42" s="21">
        <f>IFERROR(H42/'Ar-Pa'!H42,0)</f>
        <v>7.0864666666666665</v>
      </c>
      <c r="AG42" s="21">
        <f>IFERROR(I42/'Ar-Pa'!I42,0)</f>
        <v>7.9505124999999994</v>
      </c>
      <c r="AH42" s="21">
        <f>IFERROR(J42/'Ar-Pa'!J42,0)</f>
        <v>7.0330111111111115</v>
      </c>
      <c r="AI42" s="21">
        <f>IFERROR(K42/'Ar-Pa'!K42,0)</f>
        <v>7.1141444444444444</v>
      </c>
      <c r="AJ42" s="21">
        <f>IFERROR(L42/'Ar-Pa'!L42,0)</f>
        <v>7.0945666666666662</v>
      </c>
      <c r="AK42" s="21">
        <f>IFERROR(M42/'Ar-Pa'!M42,0)</f>
        <v>7.0844444444444443</v>
      </c>
      <c r="AL42" s="21">
        <f>IFERROR(N42/'Ar-Pa'!N42,0)</f>
        <v>7.0900777777777773</v>
      </c>
      <c r="AM42" s="21">
        <f>IFERROR(O42/'Ar-Pa'!O42,0)</f>
        <v>7.0955777777777778</v>
      </c>
      <c r="AN42" s="21">
        <f>IFERROR(P42/'Ar-Pa'!P42,0)</f>
        <v>7.0910777777777776</v>
      </c>
      <c r="AO42" s="21">
        <f>IFERROR(Q42/'Ar-Pa'!Q42,0)</f>
        <v>7.0886555555555555</v>
      </c>
      <c r="AP42" s="21">
        <f>IFERROR(R42/'Ar-Pa'!R42,0)</f>
        <v>7.0870777777777771</v>
      </c>
      <c r="AQ42" s="21">
        <f>IFERROR(S42/'Ar-Pa'!S42,0)</f>
        <v>7.096222222222222</v>
      </c>
      <c r="AR42" s="21">
        <f>IFERROR(T42/'Ar-Pa'!T42,0)</f>
        <v>7.1039222222222227</v>
      </c>
      <c r="AS42" s="21">
        <f>IFERROR(U42/'Ar-Pa'!U42,0)</f>
        <v>7.0815000000000001</v>
      </c>
      <c r="AT42" s="21">
        <f>IFERROR(V42/'Ar-Pa'!V42,0)</f>
        <v>7.0776444444444451</v>
      </c>
      <c r="AU42" s="21">
        <f>IFERROR(W42/'Ar-Pa'!W42,0)</f>
        <v>7.0688555555555546</v>
      </c>
      <c r="AV42" s="21">
        <f>IFERROR(X42/'Ar-Pa'!X42,0)</f>
        <v>7.077</v>
      </c>
      <c r="AW42" s="21">
        <f>IFERROR(Y42/'Ar-Pa'!Y42,0)</f>
        <v>7.0947222222222219</v>
      </c>
      <c r="AX42" s="21">
        <f t="shared" si="0"/>
        <v>171.80094583333337</v>
      </c>
    </row>
    <row r="43" spans="1:50" s="12" customFormat="1">
      <c r="A43" s="15">
        <v>44968</v>
      </c>
      <c r="B43" s="436">
        <v>63.638800000000003</v>
      </c>
      <c r="C43" s="436">
        <v>63.907499999999999</v>
      </c>
      <c r="D43" s="436">
        <v>63.804499999999997</v>
      </c>
      <c r="E43" s="436">
        <v>63.834400000000002</v>
      </c>
      <c r="F43" s="436">
        <v>64.3125</v>
      </c>
      <c r="G43" s="436">
        <v>63.073300000000003</v>
      </c>
      <c r="H43" s="436">
        <v>63.225000000000001</v>
      </c>
      <c r="I43" s="436">
        <v>63.241599999999998</v>
      </c>
      <c r="J43" s="436">
        <v>62.760100000000001</v>
      </c>
      <c r="K43" s="436">
        <v>63.27</v>
      </c>
      <c r="L43" s="436">
        <v>62.703800000000001</v>
      </c>
      <c r="M43" s="436">
        <v>63.212900000000005</v>
      </c>
      <c r="N43" s="436">
        <v>63.161099999999998</v>
      </c>
      <c r="O43" s="436">
        <v>63.151000000000003</v>
      </c>
      <c r="P43" s="436">
        <v>63.262800000000006</v>
      </c>
      <c r="Q43" s="436">
        <v>63.263100000000001</v>
      </c>
      <c r="R43" s="436">
        <v>63.1158</v>
      </c>
      <c r="S43" s="436">
        <v>63.190899999999999</v>
      </c>
      <c r="T43" s="437">
        <v>63.1173</v>
      </c>
      <c r="U43" s="437">
        <v>63.034199999999998</v>
      </c>
      <c r="V43" s="437">
        <v>63.147300000000001</v>
      </c>
      <c r="W43" s="437">
        <v>63.177599999999998</v>
      </c>
      <c r="X43" s="436">
        <v>63.124499999999998</v>
      </c>
      <c r="Y43" s="436">
        <v>63.061399999999999</v>
      </c>
      <c r="Z43" s="21">
        <f>IFERROR(B43/'Ar-Pa'!B43,0)</f>
        <v>7.0709777777777783</v>
      </c>
      <c r="AA43" s="21">
        <f>IFERROR(C43/'Ar-Pa'!C43,0)</f>
        <v>7.1008333333333331</v>
      </c>
      <c r="AB43" s="21">
        <f>IFERROR(D43/'Ar-Pa'!D43,0)</f>
        <v>7.0893888888888883</v>
      </c>
      <c r="AC43" s="21">
        <f>IFERROR(E43/'Ar-Pa'!E43,0)</f>
        <v>7.092711111111111</v>
      </c>
      <c r="AD43" s="21">
        <f>IFERROR(F43/'Ar-Pa'!F43,0)</f>
        <v>8.0390625</v>
      </c>
      <c r="AE43" s="21">
        <f>IFERROR(G43/'Ar-Pa'!G43,0)</f>
        <v>7.8841625000000004</v>
      </c>
      <c r="AF43" s="21">
        <f>IFERROR(H43/'Ar-Pa'!H43,0)</f>
        <v>7.9031250000000002</v>
      </c>
      <c r="AG43" s="21">
        <f>IFERROR(I43/'Ar-Pa'!I43,0)</f>
        <v>7.9051999999999998</v>
      </c>
      <c r="AH43" s="21">
        <f>IFERROR(J43/'Ar-Pa'!J43,0)</f>
        <v>7.8450125000000002</v>
      </c>
      <c r="AI43" s="21">
        <f>IFERROR(K43/'Ar-Pa'!K43,0)</f>
        <v>7.9087500000000004</v>
      </c>
      <c r="AJ43" s="21">
        <f>IFERROR(L43/'Ar-Pa'!L43,0)</f>
        <v>6.9670888888888891</v>
      </c>
      <c r="AK43" s="21">
        <f>IFERROR(M43/'Ar-Pa'!M43,0)</f>
        <v>7.023655555555556</v>
      </c>
      <c r="AL43" s="21">
        <f>IFERROR(N43/'Ar-Pa'!N43,0)</f>
        <v>7.0179</v>
      </c>
      <c r="AM43" s="21">
        <f>IFERROR(O43/'Ar-Pa'!O43,0)</f>
        <v>7.0167777777777784</v>
      </c>
      <c r="AN43" s="21">
        <f>IFERROR(P43/'Ar-Pa'!P43,0)</f>
        <v>7.0292000000000003</v>
      </c>
      <c r="AO43" s="21">
        <f>IFERROR(Q43/'Ar-Pa'!Q43,0)</f>
        <v>7.0292333333333339</v>
      </c>
      <c r="AP43" s="21">
        <f>IFERROR(R43/'Ar-Pa'!R43,0)</f>
        <v>7.0128666666666666</v>
      </c>
      <c r="AQ43" s="21">
        <f>IFERROR(S43/'Ar-Pa'!S43,0)</f>
        <v>7.0212111111111106</v>
      </c>
      <c r="AR43" s="21">
        <f>IFERROR(T43/'Ar-Pa'!T43,0)</f>
        <v>7.0130333333333335</v>
      </c>
      <c r="AS43" s="21">
        <f>IFERROR(U43/'Ar-Pa'!U43,0)</f>
        <v>7.0038</v>
      </c>
      <c r="AT43" s="21">
        <f>IFERROR(V43/'Ar-Pa'!V43,0)</f>
        <v>7.0163666666666664</v>
      </c>
      <c r="AU43" s="21">
        <f>IFERROR(W43/'Ar-Pa'!W43,0)</f>
        <v>7.0197333333333329</v>
      </c>
      <c r="AV43" s="21">
        <f>IFERROR(X43/'Ar-Pa'!X43,0)</f>
        <v>7.0138333333333334</v>
      </c>
      <c r="AW43" s="21">
        <f>IFERROR(Y43/'Ar-Pa'!Y43,0)</f>
        <v>7.0068222222222225</v>
      </c>
      <c r="AX43" s="21">
        <f t="shared" si="0"/>
        <v>174.03074583333336</v>
      </c>
    </row>
    <row r="44" spans="1:50" s="12" customFormat="1">
      <c r="A44" s="15">
        <v>44969</v>
      </c>
      <c r="B44" s="436">
        <v>63.054099999999998</v>
      </c>
      <c r="C44" s="436">
        <v>63.101300000000002</v>
      </c>
      <c r="D44" s="436">
        <v>63.149699999999996</v>
      </c>
      <c r="E44" s="436">
        <v>63.085099999999997</v>
      </c>
      <c r="F44" s="436">
        <v>63.247199999999999</v>
      </c>
      <c r="G44" s="436">
        <v>64.498099999999994</v>
      </c>
      <c r="H44" s="436">
        <v>64.149799999999999</v>
      </c>
      <c r="I44" s="436">
        <v>64.278999999999996</v>
      </c>
      <c r="J44" s="436">
        <v>64.246700000000004</v>
      </c>
      <c r="K44" s="436">
        <v>64.159700000000001</v>
      </c>
      <c r="L44" s="436">
        <v>64.785300000000007</v>
      </c>
      <c r="M44" s="436">
        <v>64.279499999999999</v>
      </c>
      <c r="N44" s="436">
        <v>64.287099999999995</v>
      </c>
      <c r="O44" s="436">
        <v>64.286799999999999</v>
      </c>
      <c r="P44" s="436">
        <v>64.243499999999997</v>
      </c>
      <c r="Q44" s="436">
        <v>64.320099999999996</v>
      </c>
      <c r="R44" s="436">
        <v>63.7789</v>
      </c>
      <c r="S44" s="436">
        <v>63.806100000000001</v>
      </c>
      <c r="T44" s="437">
        <v>63.543500000000002</v>
      </c>
      <c r="U44" s="437">
        <v>63.758800000000001</v>
      </c>
      <c r="V44" s="437">
        <v>63.864599999999996</v>
      </c>
      <c r="W44" s="437">
        <v>63.734000000000002</v>
      </c>
      <c r="X44" s="436">
        <v>63.668399999999998</v>
      </c>
      <c r="Y44" s="436">
        <v>63.866599999999998</v>
      </c>
      <c r="Z44" s="21">
        <f>IFERROR(B44/'Ar-Pa'!B44,0)</f>
        <v>7.0060111111111105</v>
      </c>
      <c r="AA44" s="21">
        <f>IFERROR(C44/'Ar-Pa'!C44,0)</f>
        <v>7.0112555555555556</v>
      </c>
      <c r="AB44" s="21">
        <f>IFERROR(D44/'Ar-Pa'!D44,0)</f>
        <v>7.0166333333333331</v>
      </c>
      <c r="AC44" s="21">
        <f>IFERROR(E44/'Ar-Pa'!E44,0)</f>
        <v>7.0094555555555553</v>
      </c>
      <c r="AD44" s="21">
        <f>IFERROR(F44/'Ar-Pa'!F44,0)</f>
        <v>7.0274666666666663</v>
      </c>
      <c r="AE44" s="21">
        <f>IFERROR(G44/'Ar-Pa'!G44,0)</f>
        <v>7.1664555555555545</v>
      </c>
      <c r="AF44" s="21">
        <f>IFERROR(H44/'Ar-Pa'!H44,0)</f>
        <v>8.0187249999999999</v>
      </c>
      <c r="AG44" s="21">
        <f>IFERROR(I44/'Ar-Pa'!I44,0)</f>
        <v>8.0348749999999995</v>
      </c>
      <c r="AH44" s="21">
        <f>IFERROR(J44/'Ar-Pa'!J44,0)</f>
        <v>8.0308375000000005</v>
      </c>
      <c r="AI44" s="21">
        <f>IFERROR(K44/'Ar-Pa'!K44,0)</f>
        <v>8.0199625000000001</v>
      </c>
      <c r="AJ44" s="21">
        <f>IFERROR(L44/'Ar-Pa'!L44,0)</f>
        <v>7.1983666666666677</v>
      </c>
      <c r="AK44" s="21">
        <f>IFERROR(M44/'Ar-Pa'!M44,0)</f>
        <v>7.1421666666666663</v>
      </c>
      <c r="AL44" s="21">
        <f>IFERROR(N44/'Ar-Pa'!N44,0)</f>
        <v>7.143011111111111</v>
      </c>
      <c r="AM44" s="21">
        <f>IFERROR(O44/'Ar-Pa'!O44,0)</f>
        <v>7.1429777777777774</v>
      </c>
      <c r="AN44" s="21">
        <f>IFERROR(P44/'Ar-Pa'!P44,0)</f>
        <v>7.1381666666666668</v>
      </c>
      <c r="AO44" s="21">
        <f>IFERROR(Q44/'Ar-Pa'!Q44,0)</f>
        <v>7.1466777777777777</v>
      </c>
      <c r="AP44" s="21">
        <f>IFERROR(R44/'Ar-Pa'!R44,0)</f>
        <v>7.0865444444444448</v>
      </c>
      <c r="AQ44" s="21">
        <f>IFERROR(S44/'Ar-Pa'!S44,0)</f>
        <v>7.0895666666666664</v>
      </c>
      <c r="AR44" s="21">
        <f>IFERROR(T44/'Ar-Pa'!T44,0)</f>
        <v>7.0603888888888893</v>
      </c>
      <c r="AS44" s="21">
        <f>IFERROR(U44/'Ar-Pa'!U44,0)</f>
        <v>7.084311111111111</v>
      </c>
      <c r="AT44" s="21">
        <f>IFERROR(V44/'Ar-Pa'!V44,0)</f>
        <v>7.0960666666666663</v>
      </c>
      <c r="AU44" s="21">
        <f>IFERROR(W44/'Ar-Pa'!W44,0)</f>
        <v>7.081555555555556</v>
      </c>
      <c r="AV44" s="21">
        <f>IFERROR(X44/'Ar-Pa'!X44,0)</f>
        <v>7.0742666666666665</v>
      </c>
      <c r="AW44" s="21">
        <f>IFERROR(Y44/'Ar-Pa'!Y44,0)</f>
        <v>7.0962888888888891</v>
      </c>
      <c r="AX44" s="21">
        <f t="shared" si="0"/>
        <v>173.92203333333333</v>
      </c>
    </row>
    <row r="45" spans="1:50" s="12" customFormat="1">
      <c r="A45" s="15">
        <v>44970</v>
      </c>
      <c r="B45" s="436">
        <v>63.619300000000003</v>
      </c>
      <c r="C45" s="436">
        <v>63.774699999999996</v>
      </c>
      <c r="D45" s="436">
        <v>63.956600000000002</v>
      </c>
      <c r="E45" s="436">
        <v>63.833100000000002</v>
      </c>
      <c r="F45" s="436">
        <v>63.986899999999999</v>
      </c>
      <c r="G45" s="436">
        <v>63.706199999999995</v>
      </c>
      <c r="H45" s="436">
        <v>63.545000000000002</v>
      </c>
      <c r="I45" s="436">
        <v>63.618499999999997</v>
      </c>
      <c r="J45" s="436">
        <v>63.529400000000003</v>
      </c>
      <c r="K45" s="436">
        <v>61.489100000000001</v>
      </c>
      <c r="L45" s="436">
        <v>61.750399999999999</v>
      </c>
      <c r="M45" s="436">
        <v>61.642300000000006</v>
      </c>
      <c r="N45" s="436">
        <v>61.536099999999998</v>
      </c>
      <c r="O45" s="436">
        <v>61.566300000000005</v>
      </c>
      <c r="P45" s="436">
        <v>61.444800000000001</v>
      </c>
      <c r="Q45" s="436">
        <v>61.433199999999999</v>
      </c>
      <c r="R45" s="436">
        <v>61.619399999999999</v>
      </c>
      <c r="S45" s="436">
        <v>61.4133</v>
      </c>
      <c r="T45" s="437">
        <v>62.106099999999998</v>
      </c>
      <c r="U45" s="437">
        <v>62.404600000000002</v>
      </c>
      <c r="V45" s="437">
        <v>62.311699999999995</v>
      </c>
      <c r="W45" s="437">
        <v>62.173699999999997</v>
      </c>
      <c r="X45" s="436">
        <v>62.512900000000002</v>
      </c>
      <c r="Y45" s="436">
        <v>63.104800000000004</v>
      </c>
      <c r="Z45" s="21">
        <f>IFERROR(B45/'Ar-Pa'!B45,0)</f>
        <v>7.0688111111111116</v>
      </c>
      <c r="AA45" s="21">
        <f>IFERROR(C45/'Ar-Pa'!C45,0)</f>
        <v>7.0860777777777777</v>
      </c>
      <c r="AB45" s="21">
        <f>IFERROR(D45/'Ar-Pa'!D45,0)</f>
        <v>7.1062888888888889</v>
      </c>
      <c r="AC45" s="21">
        <f>IFERROR(E45/'Ar-Pa'!E45,0)</f>
        <v>7.0925666666666665</v>
      </c>
      <c r="AD45" s="21">
        <f>IFERROR(F45/'Ar-Pa'!F45,0)</f>
        <v>7.1096555555555554</v>
      </c>
      <c r="AE45" s="21">
        <f>IFERROR(G45/'Ar-Pa'!G45,0)</f>
        <v>7.9632749999999994</v>
      </c>
      <c r="AF45" s="21">
        <f>IFERROR(H45/'Ar-Pa'!H45,0)</f>
        <v>7.9431250000000002</v>
      </c>
      <c r="AG45" s="21">
        <f>IFERROR(I45/'Ar-Pa'!I45,0)</f>
        <v>7.9523124999999997</v>
      </c>
      <c r="AH45" s="21">
        <f>IFERROR(J45/'Ar-Pa'!J45,0)</f>
        <v>7.9411750000000003</v>
      </c>
      <c r="AI45" s="21">
        <f>IFERROR(K45/'Ar-Pa'!K45,0)</f>
        <v>6.832122222222222</v>
      </c>
      <c r="AJ45" s="21">
        <f>IFERROR(L45/'Ar-Pa'!L45,0)</f>
        <v>6.8611555555555555</v>
      </c>
      <c r="AK45" s="21">
        <f>IFERROR(M45/'Ar-Pa'!M45,0)</f>
        <v>6.8491444444444447</v>
      </c>
      <c r="AL45" s="21">
        <f>IFERROR(N45/'Ar-Pa'!N45,0)</f>
        <v>6.8373444444444438</v>
      </c>
      <c r="AM45" s="21">
        <f>IFERROR(O45/'Ar-Pa'!O45,0)</f>
        <v>6.8407000000000009</v>
      </c>
      <c r="AN45" s="21">
        <f>IFERROR(P45/'Ar-Pa'!P45,0)</f>
        <v>6.8272000000000004</v>
      </c>
      <c r="AO45" s="21">
        <f>IFERROR(Q45/'Ar-Pa'!Q45,0)</f>
        <v>6.825911111111111</v>
      </c>
      <c r="AP45" s="21">
        <f>IFERROR(R45/'Ar-Pa'!R45,0)</f>
        <v>6.8465999999999996</v>
      </c>
      <c r="AQ45" s="21">
        <f>IFERROR(S45/'Ar-Pa'!S45,0)</f>
        <v>6.8236999999999997</v>
      </c>
      <c r="AR45" s="21">
        <f>IFERROR(T45/'Ar-Pa'!T45,0)</f>
        <v>6.9006777777777772</v>
      </c>
      <c r="AS45" s="21">
        <f>IFERROR(U45/'Ar-Pa'!U45,0)</f>
        <v>6.9338444444444445</v>
      </c>
      <c r="AT45" s="21">
        <f>IFERROR(V45/'Ar-Pa'!V45,0)</f>
        <v>6.9235222222222212</v>
      </c>
      <c r="AU45" s="21">
        <f>IFERROR(W45/'Ar-Pa'!W45,0)</f>
        <v>6.9081888888888887</v>
      </c>
      <c r="AV45" s="21">
        <f>IFERROR(X45/'Ar-Pa'!X45,0)</f>
        <v>6.9458777777777776</v>
      </c>
      <c r="AW45" s="21">
        <f>IFERROR(Y45/'Ar-Pa'!Y45,0)</f>
        <v>7.0116444444444452</v>
      </c>
      <c r="AX45" s="21">
        <f t="shared" si="0"/>
        <v>170.43092083333337</v>
      </c>
    </row>
    <row r="46" spans="1:50" s="12" customFormat="1">
      <c r="A46" s="15">
        <v>44971</v>
      </c>
      <c r="B46" s="436">
        <v>63.820099999999996</v>
      </c>
      <c r="C46" s="436">
        <v>63.917199999999994</v>
      </c>
      <c r="D46" s="436">
        <v>63.8688</v>
      </c>
      <c r="E46" s="436">
        <v>63.742400000000004</v>
      </c>
      <c r="F46" s="436">
        <v>64.129300000000001</v>
      </c>
      <c r="G46" s="436">
        <v>60.088999999999999</v>
      </c>
      <c r="H46" s="436">
        <v>60.088699999999996</v>
      </c>
      <c r="I46" s="436">
        <v>59.932300000000005</v>
      </c>
      <c r="J46" s="436">
        <v>60.196100000000001</v>
      </c>
      <c r="K46" s="436">
        <v>60.5441</v>
      </c>
      <c r="L46" s="436">
        <v>62.636300000000006</v>
      </c>
      <c r="M46" s="436">
        <v>62.0381</v>
      </c>
      <c r="N46" s="436">
        <v>61.953900000000004</v>
      </c>
      <c r="O46" s="436">
        <v>62.659300000000002</v>
      </c>
      <c r="P46" s="436">
        <v>63.290099999999995</v>
      </c>
      <c r="Q46" s="436">
        <v>63.4161</v>
      </c>
      <c r="R46" s="436">
        <v>63.4465</v>
      </c>
      <c r="S46" s="436">
        <v>63.389800000000001</v>
      </c>
      <c r="T46" s="437">
        <v>63.408199999999994</v>
      </c>
      <c r="U46" s="437">
        <v>63.308699999999995</v>
      </c>
      <c r="V46" s="437">
        <v>63.250800000000005</v>
      </c>
      <c r="W46" s="437">
        <v>63.265800000000006</v>
      </c>
      <c r="X46" s="436">
        <v>63.308099999999996</v>
      </c>
      <c r="Y46" s="436">
        <v>64.5518</v>
      </c>
      <c r="Z46" s="21">
        <f>IFERROR(B46/'Ar-Pa'!B46,0)</f>
        <v>7.0911222222222214</v>
      </c>
      <c r="AA46" s="21">
        <f>IFERROR(C46/'Ar-Pa'!C46,0)</f>
        <v>7.1019111111111108</v>
      </c>
      <c r="AB46" s="21">
        <f>IFERROR(D46/'Ar-Pa'!D46,0)</f>
        <v>7.0965333333333334</v>
      </c>
      <c r="AC46" s="21">
        <f>IFERROR(E46/'Ar-Pa'!E46,0)</f>
        <v>7.0824888888888893</v>
      </c>
      <c r="AD46" s="21">
        <f>IFERROR(F46/'Ar-Pa'!F46,0)</f>
        <v>7.1254777777777782</v>
      </c>
      <c r="AE46" s="21">
        <f>IFERROR(G46/'Ar-Pa'!G46,0)</f>
        <v>8.5841428571428562</v>
      </c>
      <c r="AF46" s="21">
        <f>IFERROR(H46/'Ar-Pa'!H46,0)</f>
        <v>8.5840999999999994</v>
      </c>
      <c r="AG46" s="21">
        <f>IFERROR(I46/'Ar-Pa'!I46,0)</f>
        <v>8.5617571428571431</v>
      </c>
      <c r="AH46" s="21">
        <f>IFERROR(J46/'Ar-Pa'!J46,0)</f>
        <v>8.5994428571428578</v>
      </c>
      <c r="AI46" s="21">
        <f>IFERROR(K46/'Ar-Pa'!K46,0)</f>
        <v>8.6491571428571437</v>
      </c>
      <c r="AJ46" s="21">
        <f>IFERROR(L46/'Ar-Pa'!L46,0)</f>
        <v>6.9595888888888897</v>
      </c>
      <c r="AK46" s="21">
        <f>IFERROR(M46/'Ar-Pa'!M46,0)</f>
        <v>6.8931222222222219</v>
      </c>
      <c r="AL46" s="21">
        <f>IFERROR(N46/'Ar-Pa'!N46,0)</f>
        <v>6.8837666666666673</v>
      </c>
      <c r="AM46" s="21">
        <f>IFERROR(O46/'Ar-Pa'!O46,0)</f>
        <v>6.9621444444444442</v>
      </c>
      <c r="AN46" s="21">
        <f>IFERROR(P46/'Ar-Pa'!P46,0)</f>
        <v>7.0322333333333331</v>
      </c>
      <c r="AO46" s="21">
        <f>IFERROR(Q46/'Ar-Pa'!Q46,0)</f>
        <v>7.0462333333333333</v>
      </c>
      <c r="AP46" s="21">
        <f>IFERROR(R46/'Ar-Pa'!R46,0)</f>
        <v>7.0496111111111111</v>
      </c>
      <c r="AQ46" s="21">
        <f>IFERROR(S46/'Ar-Pa'!S46,0)</f>
        <v>7.0433111111111115</v>
      </c>
      <c r="AR46" s="21">
        <f>IFERROR(T46/'Ar-Pa'!T46,0)</f>
        <v>7.0453555555555551</v>
      </c>
      <c r="AS46" s="21">
        <f>IFERROR(U46/'Ar-Pa'!U46,0)</f>
        <v>7.0342999999999991</v>
      </c>
      <c r="AT46" s="21">
        <f>IFERROR(V46/'Ar-Pa'!V46,0)</f>
        <v>7.0278666666666672</v>
      </c>
      <c r="AU46" s="21">
        <f>IFERROR(W46/'Ar-Pa'!W46,0)</f>
        <v>7.0295333333333341</v>
      </c>
      <c r="AV46" s="21">
        <f>IFERROR(X46/'Ar-Pa'!X46,0)</f>
        <v>7.0342333333333329</v>
      </c>
      <c r="AW46" s="21">
        <f>IFERROR(Y46/'Ar-Pa'!Y46,0)</f>
        <v>7.172422222222222</v>
      </c>
      <c r="AX46" s="21">
        <f t="shared" si="0"/>
        <v>176.68985555555557</v>
      </c>
    </row>
    <row r="47" spans="1:50" s="12" customFormat="1">
      <c r="A47" s="15">
        <v>44972</v>
      </c>
      <c r="B47" s="436">
        <v>65.765699999999995</v>
      </c>
      <c r="C47" s="436">
        <v>63.3371</v>
      </c>
      <c r="D47" s="436">
        <v>63.2849</v>
      </c>
      <c r="E47" s="436">
        <v>63.280999999999999</v>
      </c>
      <c r="F47" s="436">
        <v>63.469099999999997</v>
      </c>
      <c r="G47" s="436">
        <v>59.5182</v>
      </c>
      <c r="H47" s="436">
        <v>59.9846</v>
      </c>
      <c r="I47" s="436">
        <v>59.943199999999997</v>
      </c>
      <c r="J47" s="436">
        <v>59.860599999999998</v>
      </c>
      <c r="K47" s="436">
        <v>61.768800000000006</v>
      </c>
      <c r="L47" s="436">
        <v>64.938000000000002</v>
      </c>
      <c r="M47" s="436">
        <v>63.069300000000005</v>
      </c>
      <c r="N47" s="436">
        <v>63.3444</v>
      </c>
      <c r="O47" s="436">
        <v>63.4026</v>
      </c>
      <c r="P47" s="436">
        <v>63.332699999999996</v>
      </c>
      <c r="Q47" s="436">
        <v>63.359300000000005</v>
      </c>
      <c r="R47" s="436">
        <v>63.366999999999997</v>
      </c>
      <c r="S47" s="436">
        <v>64.114199999999997</v>
      </c>
      <c r="T47" s="437">
        <v>64.053100000000001</v>
      </c>
      <c r="U47" s="437">
        <v>64.274100000000004</v>
      </c>
      <c r="V47" s="437">
        <v>64.011600000000001</v>
      </c>
      <c r="W47" s="437">
        <v>63.804699999999997</v>
      </c>
      <c r="X47" s="436">
        <v>63.912199999999999</v>
      </c>
      <c r="Y47" s="436">
        <v>64.194299999999998</v>
      </c>
      <c r="Z47" s="21">
        <f>IFERROR(B47/'Ar-Pa'!B47,0)</f>
        <v>7.3072999999999997</v>
      </c>
      <c r="AA47" s="21">
        <f>IFERROR(C47/'Ar-Pa'!C47,0)</f>
        <v>7.0374555555555558</v>
      </c>
      <c r="AB47" s="21">
        <f>IFERROR(D47/'Ar-Pa'!D47,0)</f>
        <v>7.031655555555556</v>
      </c>
      <c r="AC47" s="21">
        <f>IFERROR(E47/'Ar-Pa'!E47,0)</f>
        <v>7.0312222222222225</v>
      </c>
      <c r="AD47" s="21">
        <f>IFERROR(F47/'Ar-Pa'!F47,0)</f>
        <v>7.0521222222222217</v>
      </c>
      <c r="AE47" s="21">
        <f>IFERROR(G47/'Ar-Pa'!G47,0)</f>
        <v>8.5025999999999993</v>
      </c>
      <c r="AF47" s="21">
        <f>IFERROR(H47/'Ar-Pa'!H47,0)</f>
        <v>8.569228571428571</v>
      </c>
      <c r="AG47" s="21">
        <f>IFERROR(I47/'Ar-Pa'!I47,0)</f>
        <v>8.5633142857142861</v>
      </c>
      <c r="AH47" s="21">
        <f>IFERROR(J47/'Ar-Pa'!J47,0)</f>
        <v>8.5515142857142852</v>
      </c>
      <c r="AI47" s="21">
        <f>IFERROR(K47/'Ar-Pa'!K47,0)</f>
        <v>7.7211000000000007</v>
      </c>
      <c r="AJ47" s="21">
        <f>IFERROR(L47/'Ar-Pa'!L47,0)</f>
        <v>7.2153333333333336</v>
      </c>
      <c r="AK47" s="21">
        <f>IFERROR(M47/'Ar-Pa'!M47,0)</f>
        <v>7.0077000000000007</v>
      </c>
      <c r="AL47" s="21">
        <f>IFERROR(N47/'Ar-Pa'!N47,0)</f>
        <v>7.0382666666666669</v>
      </c>
      <c r="AM47" s="21">
        <f>IFERROR(O47/'Ar-Pa'!O47,0)</f>
        <v>7.0447333333333333</v>
      </c>
      <c r="AN47" s="21">
        <f>IFERROR(P47/'Ar-Pa'!P47,0)</f>
        <v>7.0369666666666664</v>
      </c>
      <c r="AO47" s="21">
        <f>IFERROR(Q47/'Ar-Pa'!Q47,0)</f>
        <v>7.0399222222222226</v>
      </c>
      <c r="AP47" s="21">
        <f>IFERROR(R47/'Ar-Pa'!R47,0)</f>
        <v>7.0407777777777776</v>
      </c>
      <c r="AQ47" s="21">
        <f>IFERROR(S47/'Ar-Pa'!S47,0)</f>
        <v>7.1237999999999992</v>
      </c>
      <c r="AR47" s="21">
        <f>IFERROR(T47/'Ar-Pa'!T47,0)</f>
        <v>7.1170111111111112</v>
      </c>
      <c r="AS47" s="21">
        <f>IFERROR(U47/'Ar-Pa'!U47,0)</f>
        <v>7.1415666666666668</v>
      </c>
      <c r="AT47" s="21">
        <f>IFERROR(V47/'Ar-Pa'!V47,0)</f>
        <v>7.1124000000000001</v>
      </c>
      <c r="AU47" s="21">
        <f>IFERROR(W47/'Ar-Pa'!W47,0)</f>
        <v>7.0894111111111107</v>
      </c>
      <c r="AV47" s="21">
        <f>IFERROR(X47/'Ar-Pa'!X47,0)</f>
        <v>7.1013555555555552</v>
      </c>
      <c r="AW47" s="21">
        <f>IFERROR(Y47/'Ar-Pa'!Y47,0)</f>
        <v>7.1326999999999998</v>
      </c>
      <c r="AX47" s="21">
        <f t="shared" si="0"/>
        <v>176.60945714285717</v>
      </c>
    </row>
    <row r="48" spans="1:50" s="12" customFormat="1">
      <c r="A48" s="15">
        <v>44973</v>
      </c>
      <c r="B48" s="436">
        <v>54.034500000000001</v>
      </c>
      <c r="C48" s="436">
        <v>53.903800000000004</v>
      </c>
      <c r="D48" s="436">
        <v>53.7179</v>
      </c>
      <c r="E48" s="436">
        <v>54.017199999999995</v>
      </c>
      <c r="F48" s="436">
        <v>53.964800000000004</v>
      </c>
      <c r="G48" s="436">
        <v>53.975300000000004</v>
      </c>
      <c r="H48" s="436">
        <v>54.029499999999999</v>
      </c>
      <c r="I48" s="436">
        <v>53.979300000000002</v>
      </c>
      <c r="J48" s="436">
        <v>54.200600000000001</v>
      </c>
      <c r="K48" s="436">
        <v>54.7941</v>
      </c>
      <c r="L48" s="436">
        <v>54.638400000000004</v>
      </c>
      <c r="M48" s="436">
        <v>54.4666</v>
      </c>
      <c r="N48" s="436">
        <v>54.610999999999997</v>
      </c>
      <c r="O48" s="436">
        <v>54.677099999999996</v>
      </c>
      <c r="P48" s="436">
        <v>54.652699999999996</v>
      </c>
      <c r="Q48" s="436">
        <v>54.6175</v>
      </c>
      <c r="R48" s="436">
        <v>54.588500000000003</v>
      </c>
      <c r="S48" s="436">
        <v>54.636699999999998</v>
      </c>
      <c r="T48" s="437">
        <v>54.317599999999999</v>
      </c>
      <c r="U48" s="437">
        <v>54.474899999999998</v>
      </c>
      <c r="V48" s="437">
        <v>54.381300000000003</v>
      </c>
      <c r="W48" s="437">
        <v>54.366699999999994</v>
      </c>
      <c r="X48" s="436">
        <v>54.407199999999996</v>
      </c>
      <c r="Y48" s="436">
        <v>54.448500000000003</v>
      </c>
      <c r="Z48" s="21">
        <f>IFERROR(B48/'Ar-Pa'!B48,0)</f>
        <v>6.7543125000000002</v>
      </c>
      <c r="AA48" s="21">
        <f>IFERROR(C48/'Ar-Pa'!C48,0)</f>
        <v>6.7379750000000005</v>
      </c>
      <c r="AB48" s="21">
        <f>IFERROR(D48/'Ar-Pa'!D48,0)</f>
        <v>6.7147375</v>
      </c>
      <c r="AC48" s="21">
        <f>IFERROR(E48/'Ar-Pa'!E48,0)</f>
        <v>6.7521499999999994</v>
      </c>
      <c r="AD48" s="21">
        <f>IFERROR(F48/'Ar-Pa'!F48,0)</f>
        <v>6.7456000000000005</v>
      </c>
      <c r="AE48" s="21">
        <f>IFERROR(G48/'Ar-Pa'!G48,0)</f>
        <v>6.7469125000000005</v>
      </c>
      <c r="AF48" s="21">
        <f>IFERROR(H48/'Ar-Pa'!H48,0)</f>
        <v>7.7184999999999997</v>
      </c>
      <c r="AG48" s="21">
        <f>IFERROR(I48/'Ar-Pa'!I48,0)</f>
        <v>7.711328571428572</v>
      </c>
      <c r="AH48" s="21">
        <f>IFERROR(J48/'Ar-Pa'!J48,0)</f>
        <v>7.7429428571428573</v>
      </c>
      <c r="AI48" s="21">
        <f>IFERROR(K48/'Ar-Pa'!K48,0)</f>
        <v>6.8492625</v>
      </c>
      <c r="AJ48" s="21">
        <f>IFERROR(L48/'Ar-Pa'!L48,0)</f>
        <v>6.8298000000000005</v>
      </c>
      <c r="AK48" s="21">
        <f>IFERROR(M48/'Ar-Pa'!M48,0)</f>
        <v>6.808325</v>
      </c>
      <c r="AL48" s="21">
        <f>IFERROR(N48/'Ar-Pa'!N48,0)</f>
        <v>6.8263749999999996</v>
      </c>
      <c r="AM48" s="21">
        <f>IFERROR(O48/'Ar-Pa'!O48,0)</f>
        <v>6.8346374999999995</v>
      </c>
      <c r="AN48" s="21">
        <f>IFERROR(P48/'Ar-Pa'!P48,0)</f>
        <v>6.8315874999999995</v>
      </c>
      <c r="AO48" s="21">
        <f>IFERROR(Q48/'Ar-Pa'!Q48,0)</f>
        <v>6.8271875</v>
      </c>
      <c r="AP48" s="21">
        <f>IFERROR(R48/'Ar-Pa'!R48,0)</f>
        <v>6.8235625000000004</v>
      </c>
      <c r="AQ48" s="21">
        <f>IFERROR(S48/'Ar-Pa'!S48,0)</f>
        <v>6.8295874999999997</v>
      </c>
      <c r="AR48" s="21">
        <f>IFERROR(T48/'Ar-Pa'!T48,0)</f>
        <v>6.7896999999999998</v>
      </c>
      <c r="AS48" s="21">
        <f>IFERROR(U48/'Ar-Pa'!U48,0)</f>
        <v>6.8093624999999998</v>
      </c>
      <c r="AT48" s="21">
        <f>IFERROR(V48/'Ar-Pa'!V48,0)</f>
        <v>6.7976625000000004</v>
      </c>
      <c r="AU48" s="21">
        <f>IFERROR(W48/'Ar-Pa'!W48,0)</f>
        <v>6.7958374999999993</v>
      </c>
      <c r="AV48" s="21">
        <f>IFERROR(X48/'Ar-Pa'!X48,0)</f>
        <v>6.8008999999999995</v>
      </c>
      <c r="AW48" s="21">
        <f>IFERROR(Y48/'Ar-Pa'!Y48,0)</f>
        <v>6.8060625000000003</v>
      </c>
      <c r="AX48" s="21">
        <f t="shared" si="0"/>
        <v>165.88430892857144</v>
      </c>
    </row>
    <row r="49" spans="1:50" s="12" customFormat="1">
      <c r="A49" s="15">
        <v>44974</v>
      </c>
      <c r="B49" s="436">
        <v>52.804499999999997</v>
      </c>
      <c r="C49" s="436">
        <v>52.7258</v>
      </c>
      <c r="D49" s="436">
        <v>52.624699999999997</v>
      </c>
      <c r="E49" s="436">
        <v>52.660800000000002</v>
      </c>
      <c r="F49" s="436">
        <v>52.7256</v>
      </c>
      <c r="G49" s="436">
        <v>51.0807</v>
      </c>
      <c r="H49" s="436">
        <v>51.193899999999999</v>
      </c>
      <c r="I49" s="436">
        <v>54.082699999999996</v>
      </c>
      <c r="J49" s="436">
        <v>52.752000000000002</v>
      </c>
      <c r="K49" s="436">
        <v>54.607399999999998</v>
      </c>
      <c r="L49" s="436">
        <v>54.587600000000002</v>
      </c>
      <c r="M49" s="436">
        <v>54.632800000000003</v>
      </c>
      <c r="N49" s="436">
        <v>54.637999999999998</v>
      </c>
      <c r="O49" s="436">
        <v>54.686599999999999</v>
      </c>
      <c r="P49" s="436">
        <v>54.609199999999994</v>
      </c>
      <c r="Q49" s="436">
        <v>54.576300000000003</v>
      </c>
      <c r="R49" s="436">
        <v>54.990900000000003</v>
      </c>
      <c r="S49" s="436">
        <v>54.700099999999999</v>
      </c>
      <c r="T49" s="437">
        <v>54.575699999999998</v>
      </c>
      <c r="U49" s="437">
        <v>54.541199999999996</v>
      </c>
      <c r="V49" s="437">
        <v>54.668999999999997</v>
      </c>
      <c r="W49" s="437">
        <v>54.545099999999998</v>
      </c>
      <c r="X49" s="436">
        <v>54.525800000000004</v>
      </c>
      <c r="Y49" s="436">
        <v>53.842500000000001</v>
      </c>
      <c r="Z49" s="21">
        <f>IFERROR(B49/'Ar-Pa'!B49,0)</f>
        <v>6.6005624999999997</v>
      </c>
      <c r="AA49" s="21">
        <f>IFERROR(C49/'Ar-Pa'!C49,0)</f>
        <v>6.5907249999999999</v>
      </c>
      <c r="AB49" s="21">
        <f>IFERROR(D49/'Ar-Pa'!D49,0)</f>
        <v>6.5780874999999996</v>
      </c>
      <c r="AC49" s="21">
        <f>IFERROR(E49/'Ar-Pa'!E49,0)</f>
        <v>6.5826000000000002</v>
      </c>
      <c r="AD49" s="21">
        <f>IFERROR(F49/'Ar-Pa'!F49,0)</f>
        <v>6.5907</v>
      </c>
      <c r="AE49" s="21">
        <f>IFERROR(G49/'Ar-Pa'!G49,0)</f>
        <v>6.3850875</v>
      </c>
      <c r="AF49" s="21">
        <f>IFERROR(H49/'Ar-Pa'!H49,0)</f>
        <v>7.3134142857142859</v>
      </c>
      <c r="AG49" s="21">
        <f>IFERROR(I49/'Ar-Pa'!I49,0)</f>
        <v>7.7260999999999997</v>
      </c>
      <c r="AH49" s="21">
        <f>IFERROR(J49/'Ar-Pa'!J49,0)</f>
        <v>6.5940000000000003</v>
      </c>
      <c r="AI49" s="21">
        <f>IFERROR(K49/'Ar-Pa'!K49,0)</f>
        <v>6.8259249999999998</v>
      </c>
      <c r="AJ49" s="21">
        <f>IFERROR(L49/'Ar-Pa'!L49,0)</f>
        <v>6.8234500000000002</v>
      </c>
      <c r="AK49" s="21">
        <f>IFERROR(M49/'Ar-Pa'!M49,0)</f>
        <v>6.8291000000000004</v>
      </c>
      <c r="AL49" s="21">
        <f>IFERROR(N49/'Ar-Pa'!N49,0)</f>
        <v>6.8297499999999998</v>
      </c>
      <c r="AM49" s="21">
        <f>IFERROR(O49/'Ar-Pa'!O49,0)</f>
        <v>6.8358249999999998</v>
      </c>
      <c r="AN49" s="21">
        <f>IFERROR(P49/'Ar-Pa'!P49,0)</f>
        <v>6.8261499999999993</v>
      </c>
      <c r="AO49" s="21">
        <f>IFERROR(Q49/'Ar-Pa'!Q49,0)</f>
        <v>6.8220375000000004</v>
      </c>
      <c r="AP49" s="21">
        <f>IFERROR(R49/'Ar-Pa'!R49,0)</f>
        <v>6.8738625000000004</v>
      </c>
      <c r="AQ49" s="21">
        <f>IFERROR(S49/'Ar-Pa'!S49,0)</f>
        <v>6.8375124999999999</v>
      </c>
      <c r="AR49" s="21">
        <f>IFERROR(T49/'Ar-Pa'!T49,0)</f>
        <v>6.8219624999999997</v>
      </c>
      <c r="AS49" s="21">
        <f>IFERROR(U49/'Ar-Pa'!U49,0)</f>
        <v>6.8176499999999995</v>
      </c>
      <c r="AT49" s="21">
        <f>IFERROR(V49/'Ar-Pa'!V49,0)</f>
        <v>6.8336249999999996</v>
      </c>
      <c r="AU49" s="21">
        <f>IFERROR(W49/'Ar-Pa'!W49,0)</f>
        <v>6.8181374999999997</v>
      </c>
      <c r="AV49" s="21">
        <f>IFERROR(X49/'Ar-Pa'!X49,0)</f>
        <v>6.8157250000000005</v>
      </c>
      <c r="AW49" s="21">
        <f>IFERROR(Y49/'Ar-Pa'!Y49,0)</f>
        <v>6.7303125000000001</v>
      </c>
      <c r="AX49" s="21">
        <f t="shared" si="0"/>
        <v>163.30230178571432</v>
      </c>
    </row>
    <row r="50" spans="1:50" s="12" customFormat="1">
      <c r="A50" s="15">
        <v>44975</v>
      </c>
      <c r="B50" s="436">
        <v>63.245800000000003</v>
      </c>
      <c r="C50" s="436">
        <v>63.976999999999997</v>
      </c>
      <c r="D50" s="436">
        <v>63.902699999999996</v>
      </c>
      <c r="E50" s="436">
        <v>63.991599999999998</v>
      </c>
      <c r="F50" s="436">
        <v>63.977699999999999</v>
      </c>
      <c r="G50" s="436">
        <v>63.465400000000002</v>
      </c>
      <c r="H50" s="436">
        <v>62.877800000000001</v>
      </c>
      <c r="I50" s="436">
        <v>60.739599999999996</v>
      </c>
      <c r="J50" s="436">
        <v>58.939500000000002</v>
      </c>
      <c r="K50" s="436">
        <v>60.18</v>
      </c>
      <c r="L50" s="436">
        <v>63.633499999999998</v>
      </c>
      <c r="M50" s="436">
        <v>64.169899999999998</v>
      </c>
      <c r="N50" s="436">
        <v>64.0672</v>
      </c>
      <c r="O50" s="436">
        <v>64.148399999999995</v>
      </c>
      <c r="P50" s="436">
        <v>64.162700000000001</v>
      </c>
      <c r="Q50" s="436">
        <v>63.996199999999995</v>
      </c>
      <c r="R50" s="436">
        <v>63.909699999999994</v>
      </c>
      <c r="S50" s="436">
        <v>63.9968</v>
      </c>
      <c r="T50" s="437">
        <v>63.721499999999999</v>
      </c>
      <c r="U50" s="437">
        <v>63.837000000000003</v>
      </c>
      <c r="V50" s="437">
        <v>63.898000000000003</v>
      </c>
      <c r="W50" s="437">
        <v>63.8718</v>
      </c>
      <c r="X50" s="436">
        <v>64.003399999999999</v>
      </c>
      <c r="Y50" s="436">
        <v>64.0321</v>
      </c>
      <c r="Z50" s="21">
        <f>IFERROR(B50/'Ar-Pa'!B50,0)</f>
        <v>7.0273111111111115</v>
      </c>
      <c r="AA50" s="21">
        <f>IFERROR(C50/'Ar-Pa'!C50,0)</f>
        <v>7.1085555555555553</v>
      </c>
      <c r="AB50" s="21">
        <f>IFERROR(D50/'Ar-Pa'!D50,0)</f>
        <v>7.1002999999999998</v>
      </c>
      <c r="AC50" s="21">
        <f>IFERROR(E50/'Ar-Pa'!E50,0)</f>
        <v>7.1101777777777775</v>
      </c>
      <c r="AD50" s="21">
        <f>IFERROR(F50/'Ar-Pa'!F50,0)</f>
        <v>7.1086333333333336</v>
      </c>
      <c r="AE50" s="21">
        <f>IFERROR(G50/'Ar-Pa'!G50,0)</f>
        <v>7.0517111111111115</v>
      </c>
      <c r="AF50" s="21">
        <f>IFERROR(H50/'Ar-Pa'!H50,0)</f>
        <v>7.8597250000000001</v>
      </c>
      <c r="AG50" s="21">
        <f>IFERROR(I50/'Ar-Pa'!I50,0)</f>
        <v>7.5924499999999995</v>
      </c>
      <c r="AH50" s="21">
        <f>IFERROR(J50/'Ar-Pa'!J50,0)</f>
        <v>8.4199285714285725</v>
      </c>
      <c r="AI50" s="21">
        <f>IFERROR(K50/'Ar-Pa'!K50,0)</f>
        <v>7.5225</v>
      </c>
      <c r="AJ50" s="21">
        <f>IFERROR(L50/'Ar-Pa'!L50,0)</f>
        <v>7.0703888888888891</v>
      </c>
      <c r="AK50" s="21">
        <f>IFERROR(M50/'Ar-Pa'!M50,0)</f>
        <v>7.1299888888888887</v>
      </c>
      <c r="AL50" s="21">
        <f>IFERROR(N50/'Ar-Pa'!N50,0)</f>
        <v>7.1185777777777774</v>
      </c>
      <c r="AM50" s="21">
        <f>IFERROR(O50/'Ar-Pa'!O50,0)</f>
        <v>7.1275999999999993</v>
      </c>
      <c r="AN50" s="21">
        <f>IFERROR(P50/'Ar-Pa'!P50,0)</f>
        <v>7.1291888888888888</v>
      </c>
      <c r="AO50" s="21">
        <f>IFERROR(Q50/'Ar-Pa'!Q50,0)</f>
        <v>7.1106888888888884</v>
      </c>
      <c r="AP50" s="21">
        <f>IFERROR(R50/'Ar-Pa'!R50,0)</f>
        <v>7.1010777777777774</v>
      </c>
      <c r="AQ50" s="21">
        <f>IFERROR(S50/'Ar-Pa'!S50,0)</f>
        <v>7.1107555555555555</v>
      </c>
      <c r="AR50" s="21">
        <f>IFERROR(T50/'Ar-Pa'!T50,0)</f>
        <v>7.0801666666666669</v>
      </c>
      <c r="AS50" s="21">
        <f>IFERROR(U50/'Ar-Pa'!U50,0)</f>
        <v>7.093</v>
      </c>
      <c r="AT50" s="21">
        <f>IFERROR(V50/'Ar-Pa'!V50,0)</f>
        <v>7.0997777777777777</v>
      </c>
      <c r="AU50" s="21">
        <f>IFERROR(W50/'Ar-Pa'!W50,0)</f>
        <v>7.0968666666666671</v>
      </c>
      <c r="AV50" s="21">
        <f>IFERROR(X50/'Ar-Pa'!X50,0)</f>
        <v>7.1114888888888892</v>
      </c>
      <c r="AW50" s="21">
        <f>IFERROR(Y50/'Ar-Pa'!Y50,0)</f>
        <v>7.1146777777777777</v>
      </c>
      <c r="AX50" s="21">
        <f t="shared" si="0"/>
        <v>173.39553690476185</v>
      </c>
    </row>
    <row r="51" spans="1:50" s="12" customFormat="1">
      <c r="A51" s="15">
        <v>44976</v>
      </c>
      <c r="B51" s="436">
        <v>64.343800000000002</v>
      </c>
      <c r="C51" s="436">
        <v>64.010199999999998</v>
      </c>
      <c r="D51" s="436">
        <v>64.1023</v>
      </c>
      <c r="E51" s="436">
        <v>63.999499999999998</v>
      </c>
      <c r="F51" s="436">
        <v>64.025499999999994</v>
      </c>
      <c r="G51" s="436">
        <v>63.982900000000001</v>
      </c>
      <c r="H51" s="436">
        <v>64.317700000000002</v>
      </c>
      <c r="I51" s="436">
        <v>64.161699999999996</v>
      </c>
      <c r="J51" s="436">
        <v>61.138100000000001</v>
      </c>
      <c r="K51" s="436">
        <v>60.9739</v>
      </c>
      <c r="L51" s="436">
        <v>62.637099999999997</v>
      </c>
      <c r="M51" s="436">
        <v>64.277699999999996</v>
      </c>
      <c r="N51" s="436">
        <v>64.016000000000005</v>
      </c>
      <c r="O51" s="436">
        <v>63.972900000000003</v>
      </c>
      <c r="P51" s="436">
        <v>64.067899999999995</v>
      </c>
      <c r="Q51" s="436">
        <v>64.022000000000006</v>
      </c>
      <c r="R51" s="436">
        <v>64.072400000000002</v>
      </c>
      <c r="S51" s="436">
        <v>63.910800000000002</v>
      </c>
      <c r="T51" s="437">
        <v>64.245099999999994</v>
      </c>
      <c r="U51" s="437">
        <v>63.832800000000006</v>
      </c>
      <c r="V51" s="437">
        <v>63.858499999999999</v>
      </c>
      <c r="W51" s="437">
        <v>63.759300000000003</v>
      </c>
      <c r="X51" s="436">
        <v>63.798699999999997</v>
      </c>
      <c r="Y51" s="436">
        <v>63.737300000000005</v>
      </c>
      <c r="Z51" s="21">
        <f>IFERROR(B51/'Ar-Pa'!B51,0)</f>
        <v>7.1493111111111114</v>
      </c>
      <c r="AA51" s="21">
        <f>IFERROR(C51/'Ar-Pa'!C51,0)</f>
        <v>7.1122444444444444</v>
      </c>
      <c r="AB51" s="21">
        <f>IFERROR(D51/'Ar-Pa'!D51,0)</f>
        <v>7.1224777777777781</v>
      </c>
      <c r="AC51" s="21">
        <f>IFERROR(E51/'Ar-Pa'!E51,0)</f>
        <v>7.1110555555555557</v>
      </c>
      <c r="AD51" s="21">
        <f>IFERROR(F51/'Ar-Pa'!F51,0)</f>
        <v>7.113944444444444</v>
      </c>
      <c r="AE51" s="21">
        <f>IFERROR(G51/'Ar-Pa'!G51,0)</f>
        <v>7.1092111111111116</v>
      </c>
      <c r="AF51" s="21">
        <f>IFERROR(H51/'Ar-Pa'!H51,0)</f>
        <v>8.0397125000000003</v>
      </c>
      <c r="AG51" s="21">
        <f>IFERROR(I51/'Ar-Pa'!I51,0)</f>
        <v>8.0202124999999995</v>
      </c>
      <c r="AH51" s="21">
        <f>IFERROR(J51/'Ar-Pa'!J51,0)</f>
        <v>7.6422625000000002</v>
      </c>
      <c r="AI51" s="21">
        <f>IFERROR(K51/'Ar-Pa'!K51,0)</f>
        <v>7.6217375000000001</v>
      </c>
      <c r="AJ51" s="21">
        <f>IFERROR(L51/'Ar-Pa'!L51,0)</f>
        <v>6.9596777777777774</v>
      </c>
      <c r="AK51" s="21">
        <f>IFERROR(M51/'Ar-Pa'!M51,0)</f>
        <v>7.1419666666666659</v>
      </c>
      <c r="AL51" s="21">
        <f>IFERROR(N51/'Ar-Pa'!N51,0)</f>
        <v>7.1128888888888895</v>
      </c>
      <c r="AM51" s="21">
        <f>IFERROR(O51/'Ar-Pa'!O51,0)</f>
        <v>7.1081000000000003</v>
      </c>
      <c r="AN51" s="21">
        <f>IFERROR(P51/'Ar-Pa'!P51,0)</f>
        <v>7.1186555555555548</v>
      </c>
      <c r="AO51" s="21">
        <f>IFERROR(Q51/'Ar-Pa'!Q51,0)</f>
        <v>7.1135555555555561</v>
      </c>
      <c r="AP51" s="21">
        <f>IFERROR(R51/'Ar-Pa'!R51,0)</f>
        <v>7.1191555555555555</v>
      </c>
      <c r="AQ51" s="21">
        <f>IFERROR(S51/'Ar-Pa'!S51,0)</f>
        <v>7.1012000000000004</v>
      </c>
      <c r="AR51" s="21">
        <f>IFERROR(T51/'Ar-Pa'!T51,0)</f>
        <v>7.1383444444444439</v>
      </c>
      <c r="AS51" s="21">
        <f>IFERROR(U51/'Ar-Pa'!U51,0)</f>
        <v>7.0925333333333338</v>
      </c>
      <c r="AT51" s="21">
        <f>IFERROR(V51/'Ar-Pa'!V51,0)</f>
        <v>7.0953888888888885</v>
      </c>
      <c r="AU51" s="21">
        <f>IFERROR(W51/'Ar-Pa'!W51,0)</f>
        <v>7.0843666666666669</v>
      </c>
      <c r="AV51" s="21">
        <f>IFERROR(X51/'Ar-Pa'!X51,0)</f>
        <v>7.0887444444444441</v>
      </c>
      <c r="AW51" s="21">
        <f>IFERROR(Y51/'Ar-Pa'!Y51,0)</f>
        <v>7.0819222222222225</v>
      </c>
      <c r="AX51" s="21">
        <f t="shared" si="0"/>
        <v>173.39866944444441</v>
      </c>
    </row>
    <row r="52" spans="1:50" s="12" customFormat="1">
      <c r="A52" s="15">
        <v>44977</v>
      </c>
      <c r="B52" s="436">
        <v>54.275800000000004</v>
      </c>
      <c r="C52" s="436">
        <v>53.634300000000003</v>
      </c>
      <c r="D52" s="436">
        <v>53.663599999999995</v>
      </c>
      <c r="E52" s="436">
        <v>53.684100000000001</v>
      </c>
      <c r="F52" s="436">
        <v>54.368600000000001</v>
      </c>
      <c r="G52" s="436">
        <v>52.651499999999999</v>
      </c>
      <c r="H52" s="436">
        <v>52.843400000000003</v>
      </c>
      <c r="I52" s="436">
        <v>53.081699999999998</v>
      </c>
      <c r="J52" s="436">
        <v>53.104500000000002</v>
      </c>
      <c r="K52" s="436">
        <v>54.437199999999997</v>
      </c>
      <c r="L52" s="436">
        <v>54.9422</v>
      </c>
      <c r="M52" s="436">
        <v>54.8919</v>
      </c>
      <c r="N52" s="436">
        <v>54.908799999999999</v>
      </c>
      <c r="O52" s="436">
        <v>54.873800000000003</v>
      </c>
      <c r="P52" s="436">
        <v>54.488199999999999</v>
      </c>
      <c r="Q52" s="436">
        <v>53.977499999999999</v>
      </c>
      <c r="R52" s="436">
        <v>54.262999999999998</v>
      </c>
      <c r="S52" s="436">
        <v>54.278800000000004</v>
      </c>
      <c r="T52" s="437">
        <v>54.077100000000002</v>
      </c>
      <c r="U52" s="437">
        <v>54.307900000000004</v>
      </c>
      <c r="V52" s="437">
        <v>54.232500000000002</v>
      </c>
      <c r="W52" s="437">
        <v>54.250500000000002</v>
      </c>
      <c r="X52" s="436">
        <v>54.183900000000001</v>
      </c>
      <c r="Y52" s="436">
        <v>53.667099999999998</v>
      </c>
      <c r="Z52" s="21">
        <f>IFERROR(B52/'Ar-Pa'!B52,0)</f>
        <v>6.7844750000000005</v>
      </c>
      <c r="AA52" s="21">
        <f>IFERROR(C52/'Ar-Pa'!C52,0)</f>
        <v>6.7042875000000004</v>
      </c>
      <c r="AB52" s="21">
        <f>IFERROR(D52/'Ar-Pa'!D52,0)</f>
        <v>6.7079499999999994</v>
      </c>
      <c r="AC52" s="21">
        <f>IFERROR(E52/'Ar-Pa'!E52,0)</f>
        <v>6.7105125000000001</v>
      </c>
      <c r="AD52" s="21">
        <f>IFERROR(F52/'Ar-Pa'!F52,0)</f>
        <v>6.7960750000000001</v>
      </c>
      <c r="AE52" s="21">
        <f>IFERROR(G52/'Ar-Pa'!G52,0)</f>
        <v>7.5216428571428571</v>
      </c>
      <c r="AF52" s="21">
        <f>IFERROR(H52/'Ar-Pa'!H52,0)</f>
        <v>7.5490571428571434</v>
      </c>
      <c r="AG52" s="21">
        <f>IFERROR(I52/'Ar-Pa'!I52,0)</f>
        <v>7.5831</v>
      </c>
      <c r="AH52" s="21">
        <f>IFERROR(J52/'Ar-Pa'!J52,0)</f>
        <v>7.5863571428571435</v>
      </c>
      <c r="AI52" s="21">
        <f>IFERROR(K52/'Ar-Pa'!K52,0)</f>
        <v>6.8046499999999996</v>
      </c>
      <c r="AJ52" s="21">
        <f>IFERROR(L52/'Ar-Pa'!L52,0)</f>
        <v>6.867775</v>
      </c>
      <c r="AK52" s="21">
        <f>IFERROR(M52/'Ar-Pa'!M52,0)</f>
        <v>6.8614875</v>
      </c>
      <c r="AL52" s="21">
        <f>IFERROR(N52/'Ar-Pa'!N52,0)</f>
        <v>6.8635999999999999</v>
      </c>
      <c r="AM52" s="21">
        <f>IFERROR(O52/'Ar-Pa'!O52,0)</f>
        <v>6.8592250000000003</v>
      </c>
      <c r="AN52" s="21">
        <f>IFERROR(P52/'Ar-Pa'!P52,0)</f>
        <v>6.8110249999999999</v>
      </c>
      <c r="AO52" s="21">
        <f>IFERROR(Q52/'Ar-Pa'!Q52,0)</f>
        <v>6.7471874999999999</v>
      </c>
      <c r="AP52" s="21">
        <f>IFERROR(R52/'Ar-Pa'!R52,0)</f>
        <v>6.7828749999999998</v>
      </c>
      <c r="AQ52" s="21">
        <f>IFERROR(S52/'Ar-Pa'!S52,0)</f>
        <v>6.7848500000000005</v>
      </c>
      <c r="AR52" s="21">
        <f>IFERROR(T52/'Ar-Pa'!T52,0)</f>
        <v>6.7596375000000002</v>
      </c>
      <c r="AS52" s="21">
        <f>IFERROR(U52/'Ar-Pa'!U52,0)</f>
        <v>6.7884875000000005</v>
      </c>
      <c r="AT52" s="21">
        <f>IFERROR(V52/'Ar-Pa'!V52,0)</f>
        <v>6.7790625000000002</v>
      </c>
      <c r="AU52" s="21">
        <f>IFERROR(W52/'Ar-Pa'!W52,0)</f>
        <v>6.7813125000000003</v>
      </c>
      <c r="AV52" s="21">
        <f>IFERROR(X52/'Ar-Pa'!X52,0)</f>
        <v>6.7729875000000002</v>
      </c>
      <c r="AW52" s="21">
        <f>IFERROR(Y52/'Ar-Pa'!Y52,0)</f>
        <v>6.7083874999999997</v>
      </c>
      <c r="AX52" s="21">
        <f t="shared" si="0"/>
        <v>165.91600714285715</v>
      </c>
    </row>
    <row r="53" spans="1:50" s="12" customFormat="1">
      <c r="A53" s="15">
        <v>44978</v>
      </c>
      <c r="B53" s="436">
        <v>53.496099999999998</v>
      </c>
      <c r="C53" s="436">
        <v>53.670999999999999</v>
      </c>
      <c r="D53" s="436">
        <v>53.5749</v>
      </c>
      <c r="E53" s="436">
        <v>53.472900000000003</v>
      </c>
      <c r="F53" s="436">
        <v>53.752499999999998</v>
      </c>
      <c r="G53" s="436">
        <v>53.816499999999998</v>
      </c>
      <c r="H53" s="436">
        <v>53.652500000000003</v>
      </c>
      <c r="I53" s="436">
        <v>53.780699999999996</v>
      </c>
      <c r="J53" s="436">
        <v>53.692599999999999</v>
      </c>
      <c r="K53" s="436">
        <v>53.6768</v>
      </c>
      <c r="L53" s="436">
        <v>52.977599999999995</v>
      </c>
      <c r="M53" s="436">
        <v>53.081099999999999</v>
      </c>
      <c r="N53" s="436">
        <v>54.011900000000004</v>
      </c>
      <c r="O53" s="436">
        <v>54.060499999999998</v>
      </c>
      <c r="P53" s="436">
        <v>54.019599999999997</v>
      </c>
      <c r="Q53" s="436">
        <v>54.002300000000005</v>
      </c>
      <c r="R53" s="436">
        <v>53.9026</v>
      </c>
      <c r="S53" s="436">
        <v>53.906199999999998</v>
      </c>
      <c r="T53" s="437">
        <v>53.8872</v>
      </c>
      <c r="U53" s="437">
        <v>53.872599999999998</v>
      </c>
      <c r="V53" s="437">
        <v>53.842400000000005</v>
      </c>
      <c r="W53" s="437">
        <v>53.757800000000003</v>
      </c>
      <c r="X53" s="436">
        <v>53.838000000000001</v>
      </c>
      <c r="Y53" s="436">
        <v>54.055099999999996</v>
      </c>
      <c r="Z53" s="21">
        <f>IFERROR(B53/'Ar-Pa'!B53,0)</f>
        <v>6.6870124999999998</v>
      </c>
      <c r="AA53" s="21">
        <f>IFERROR(C53/'Ar-Pa'!C53,0)</f>
        <v>6.7088749999999999</v>
      </c>
      <c r="AB53" s="21">
        <f>IFERROR(D53/'Ar-Pa'!D53,0)</f>
        <v>6.6968624999999999</v>
      </c>
      <c r="AC53" s="21">
        <f>IFERROR(E53/'Ar-Pa'!E53,0)</f>
        <v>6.6841125000000003</v>
      </c>
      <c r="AD53" s="21">
        <f>IFERROR(F53/'Ar-Pa'!F53,0)</f>
        <v>6.7190624999999997</v>
      </c>
      <c r="AE53" s="21">
        <f>IFERROR(G53/'Ar-Pa'!G53,0)</f>
        <v>7.688071428571428</v>
      </c>
      <c r="AF53" s="21">
        <f>IFERROR(H53/'Ar-Pa'!H53,0)</f>
        <v>7.6646428571428578</v>
      </c>
      <c r="AG53" s="21">
        <f>IFERROR(I53/'Ar-Pa'!I53,0)</f>
        <v>7.6829571428571422</v>
      </c>
      <c r="AH53" s="21">
        <f>IFERROR(J53/'Ar-Pa'!J53,0)</f>
        <v>7.6703714285714284</v>
      </c>
      <c r="AI53" s="21">
        <f>IFERROR(K53/'Ar-Pa'!K53,0)</f>
        <v>6.7096</v>
      </c>
      <c r="AJ53" s="21">
        <f>IFERROR(L53/'Ar-Pa'!L53,0)</f>
        <v>6.6221999999999994</v>
      </c>
      <c r="AK53" s="21">
        <f>IFERROR(M53/'Ar-Pa'!M53,0)</f>
        <v>6.6351374999999999</v>
      </c>
      <c r="AL53" s="21">
        <f>IFERROR(N53/'Ar-Pa'!N53,0)</f>
        <v>6.7514875000000005</v>
      </c>
      <c r="AM53" s="21">
        <f>IFERROR(O53/'Ar-Pa'!O53,0)</f>
        <v>6.7575624999999997</v>
      </c>
      <c r="AN53" s="21">
        <f>IFERROR(P53/'Ar-Pa'!P53,0)</f>
        <v>6.7524499999999996</v>
      </c>
      <c r="AO53" s="21">
        <f>IFERROR(Q53/'Ar-Pa'!Q53,0)</f>
        <v>6.7502875000000007</v>
      </c>
      <c r="AP53" s="21">
        <f>IFERROR(R53/'Ar-Pa'!R53,0)</f>
        <v>6.737825</v>
      </c>
      <c r="AQ53" s="21">
        <f>IFERROR(S53/'Ar-Pa'!S53,0)</f>
        <v>6.7382749999999998</v>
      </c>
      <c r="AR53" s="21">
        <f>IFERROR(T53/'Ar-Pa'!T53,0)</f>
        <v>6.7359</v>
      </c>
      <c r="AS53" s="21">
        <f>IFERROR(U53/'Ar-Pa'!U53,0)</f>
        <v>6.7340749999999998</v>
      </c>
      <c r="AT53" s="21">
        <f>IFERROR(V53/'Ar-Pa'!V53,0)</f>
        <v>6.7303000000000006</v>
      </c>
      <c r="AU53" s="21">
        <f>IFERROR(W53/'Ar-Pa'!W53,0)</f>
        <v>6.7197250000000004</v>
      </c>
      <c r="AV53" s="21">
        <f>IFERROR(X53/'Ar-Pa'!X53,0)</f>
        <v>6.7297500000000001</v>
      </c>
      <c r="AW53" s="21">
        <f>IFERROR(Y53/'Ar-Pa'!Y53,0)</f>
        <v>6.7568874999999995</v>
      </c>
      <c r="AX53" s="21">
        <f t="shared" si="0"/>
        <v>165.06343035714283</v>
      </c>
    </row>
    <row r="54" spans="1:50" s="12" customFormat="1">
      <c r="A54" s="15">
        <v>44979</v>
      </c>
      <c r="B54" s="436">
        <v>54.227499999999999</v>
      </c>
      <c r="C54" s="436">
        <v>54.124400000000001</v>
      </c>
      <c r="D54" s="436">
        <v>53.869</v>
      </c>
      <c r="E54" s="436">
        <v>53.939</v>
      </c>
      <c r="F54" s="436">
        <v>53.9236</v>
      </c>
      <c r="G54" s="436">
        <v>53.590400000000002</v>
      </c>
      <c r="H54" s="436">
        <v>54.147400000000005</v>
      </c>
      <c r="I54" s="436">
        <v>52.259500000000003</v>
      </c>
      <c r="J54" s="436">
        <v>53.652699999999996</v>
      </c>
      <c r="K54" s="436">
        <v>53.511900000000004</v>
      </c>
      <c r="L54" s="436">
        <v>53.2684</v>
      </c>
      <c r="M54" s="436">
        <v>52.786300000000004</v>
      </c>
      <c r="N54" s="436">
        <v>61.959199999999996</v>
      </c>
      <c r="O54" s="436">
        <v>62.346299999999999</v>
      </c>
      <c r="P54" s="436">
        <v>62.185699999999997</v>
      </c>
      <c r="Q54" s="436">
        <v>62.288899999999998</v>
      </c>
      <c r="R54" s="436">
        <v>62.286499999999997</v>
      </c>
      <c r="S54" s="436">
        <v>62.194099999999999</v>
      </c>
      <c r="T54" s="437">
        <v>62.173400000000001</v>
      </c>
      <c r="U54" s="437">
        <v>62.611400000000003</v>
      </c>
      <c r="V54" s="437">
        <v>63.341999999999999</v>
      </c>
      <c r="W54" s="437">
        <v>63.4726</v>
      </c>
      <c r="X54" s="436">
        <v>63.2821</v>
      </c>
      <c r="Y54" s="436">
        <v>63.640999999999998</v>
      </c>
      <c r="Z54" s="21">
        <f>IFERROR(B54/'Ar-Pa'!B54,0)</f>
        <v>6.7784374999999999</v>
      </c>
      <c r="AA54" s="21">
        <f>IFERROR(C54/'Ar-Pa'!C54,0)</f>
        <v>6.7655500000000002</v>
      </c>
      <c r="AB54" s="21">
        <f>IFERROR(D54/'Ar-Pa'!D54,0)</f>
        <v>6.733625</v>
      </c>
      <c r="AC54" s="21">
        <f>IFERROR(E54/'Ar-Pa'!E54,0)</f>
        <v>6.742375</v>
      </c>
      <c r="AD54" s="21">
        <f>IFERROR(F54/'Ar-Pa'!F54,0)</f>
        <v>6.7404500000000001</v>
      </c>
      <c r="AE54" s="21">
        <f>IFERROR(G54/'Ar-Pa'!G54,0)</f>
        <v>6.6988000000000003</v>
      </c>
      <c r="AF54" s="21">
        <f>IFERROR(H54/'Ar-Pa'!H54,0)</f>
        <v>7.7353428571428582</v>
      </c>
      <c r="AG54" s="21">
        <f>IFERROR(I54/'Ar-Pa'!I54,0)</f>
        <v>6.5324375000000003</v>
      </c>
      <c r="AH54" s="21">
        <f>IFERROR(J54/'Ar-Pa'!J54,0)</f>
        <v>7.6646714285714284</v>
      </c>
      <c r="AI54" s="21">
        <f>IFERROR(K54/'Ar-Pa'!K54,0)</f>
        <v>6.6889875000000005</v>
      </c>
      <c r="AJ54" s="21">
        <f>IFERROR(L54/'Ar-Pa'!L54,0)</f>
        <v>6.65855</v>
      </c>
      <c r="AK54" s="21">
        <f>IFERROR(M54/'Ar-Pa'!M54,0)</f>
        <v>6.5982875000000005</v>
      </c>
      <c r="AL54" s="21">
        <f>IFERROR(N54/'Ar-Pa'!N54,0)</f>
        <v>6.8843555555555547</v>
      </c>
      <c r="AM54" s="21">
        <f>IFERROR(O54/'Ar-Pa'!O54,0)</f>
        <v>6.9273666666666669</v>
      </c>
      <c r="AN54" s="21">
        <f>IFERROR(P54/'Ar-Pa'!P54,0)</f>
        <v>6.9095222222222219</v>
      </c>
      <c r="AO54" s="21">
        <f>IFERROR(Q54/'Ar-Pa'!Q54,0)</f>
        <v>6.9209888888888891</v>
      </c>
      <c r="AP54" s="21">
        <f>IFERROR(R54/'Ar-Pa'!R54,0)</f>
        <v>6.9207222222222216</v>
      </c>
      <c r="AQ54" s="21">
        <f>IFERROR(S54/'Ar-Pa'!S54,0)</f>
        <v>6.9104555555555551</v>
      </c>
      <c r="AR54" s="21">
        <f>IFERROR(T54/'Ar-Pa'!T54,0)</f>
        <v>6.908155555555556</v>
      </c>
      <c r="AS54" s="21">
        <f>IFERROR(U54/'Ar-Pa'!U54,0)</f>
        <v>6.9568222222222227</v>
      </c>
      <c r="AT54" s="21">
        <f>IFERROR(V54/'Ar-Pa'!V54,0)</f>
        <v>7.0380000000000003</v>
      </c>
      <c r="AU54" s="21">
        <f>IFERROR(W54/'Ar-Pa'!W54,0)</f>
        <v>7.0525111111111114</v>
      </c>
      <c r="AV54" s="21">
        <f>IFERROR(X54/'Ar-Pa'!X54,0)</f>
        <v>7.0313444444444446</v>
      </c>
      <c r="AW54" s="21">
        <f>IFERROR(Y54/'Ar-Pa'!Y54,0)</f>
        <v>7.0712222222222216</v>
      </c>
      <c r="AX54" s="21">
        <f t="shared" si="0"/>
        <v>165.86898095238098</v>
      </c>
    </row>
    <row r="55" spans="1:50" s="12" customFormat="1">
      <c r="A55" s="15">
        <v>44980</v>
      </c>
      <c r="B55" s="436">
        <v>63.560400000000001</v>
      </c>
      <c r="C55" s="436">
        <v>63.629100000000001</v>
      </c>
      <c r="D55" s="436">
        <v>62.892199999999995</v>
      </c>
      <c r="E55" s="436">
        <v>63.706199999999995</v>
      </c>
      <c r="F55" s="436">
        <v>64.101900000000001</v>
      </c>
      <c r="G55" s="436">
        <v>59.980400000000003</v>
      </c>
      <c r="H55" s="436">
        <v>59.704000000000001</v>
      </c>
      <c r="I55" s="436">
        <v>59.917199999999994</v>
      </c>
      <c r="J55" s="436">
        <v>61.491999999999997</v>
      </c>
      <c r="K55" s="436">
        <v>63.313600000000001</v>
      </c>
      <c r="L55" s="436">
        <v>62.877300000000005</v>
      </c>
      <c r="M55" s="436">
        <v>62.732500000000002</v>
      </c>
      <c r="N55" s="436">
        <v>62.9343</v>
      </c>
      <c r="O55" s="436">
        <v>62.931699999999999</v>
      </c>
      <c r="P55" s="436">
        <v>62.951699999999995</v>
      </c>
      <c r="Q55" s="436">
        <v>62.8249</v>
      </c>
      <c r="R55" s="436">
        <v>62.777099999999997</v>
      </c>
      <c r="S55" s="436">
        <v>62.924199999999999</v>
      </c>
      <c r="T55" s="437">
        <v>62.908900000000003</v>
      </c>
      <c r="U55" s="437">
        <v>62.779400000000003</v>
      </c>
      <c r="V55" s="437">
        <v>62.795300000000005</v>
      </c>
      <c r="W55" s="437">
        <v>62.701699999999995</v>
      </c>
      <c r="X55" s="436">
        <v>62.874499999999998</v>
      </c>
      <c r="Y55" s="436">
        <v>63.008400000000002</v>
      </c>
      <c r="Z55" s="21">
        <f>IFERROR(B55/'Ar-Pa'!B55,0)</f>
        <v>7.0622666666666669</v>
      </c>
      <c r="AA55" s="21">
        <f>IFERROR(C55/'Ar-Pa'!C55,0)</f>
        <v>7.0699000000000005</v>
      </c>
      <c r="AB55" s="21">
        <f>IFERROR(D55/'Ar-Pa'!D55,0)</f>
        <v>6.9880222222222219</v>
      </c>
      <c r="AC55" s="21">
        <f>IFERROR(E55/'Ar-Pa'!E55,0)</f>
        <v>7.0784666666666665</v>
      </c>
      <c r="AD55" s="21">
        <f>IFERROR(F55/'Ar-Pa'!F55,0)</f>
        <v>7.1224333333333334</v>
      </c>
      <c r="AE55" s="21">
        <f>IFERROR(G55/'Ar-Pa'!G55,0)</f>
        <v>8.5686285714285724</v>
      </c>
      <c r="AF55" s="21">
        <f>IFERROR(H55/'Ar-Pa'!H55,0)</f>
        <v>8.5291428571428565</v>
      </c>
      <c r="AG55" s="21">
        <f>IFERROR(I55/'Ar-Pa'!I55,0)</f>
        <v>8.5595999999999997</v>
      </c>
      <c r="AH55" s="21">
        <f>IFERROR(J55/'Ar-Pa'!J55,0)</f>
        <v>7.6864999999999997</v>
      </c>
      <c r="AI55" s="21">
        <f>IFERROR(K55/'Ar-Pa'!K55,0)</f>
        <v>7.0348444444444445</v>
      </c>
      <c r="AJ55" s="21">
        <f>IFERROR(L55/'Ar-Pa'!L55,0)</f>
        <v>6.9863666666666671</v>
      </c>
      <c r="AK55" s="21">
        <f>IFERROR(M55/'Ar-Pa'!M55,0)</f>
        <v>6.9702777777777776</v>
      </c>
      <c r="AL55" s="21">
        <f>IFERROR(N55/'Ar-Pa'!N55,0)</f>
        <v>6.9927000000000001</v>
      </c>
      <c r="AM55" s="21">
        <f>IFERROR(O55/'Ar-Pa'!O55,0)</f>
        <v>6.9924111111111111</v>
      </c>
      <c r="AN55" s="21">
        <f>IFERROR(P55/'Ar-Pa'!P55,0)</f>
        <v>6.9946333333333328</v>
      </c>
      <c r="AO55" s="21">
        <f>IFERROR(Q55/'Ar-Pa'!Q55,0)</f>
        <v>6.980544444444444</v>
      </c>
      <c r="AP55" s="21">
        <f>IFERROR(R55/'Ar-Pa'!R55,0)</f>
        <v>6.9752333333333327</v>
      </c>
      <c r="AQ55" s="21">
        <f>IFERROR(S55/'Ar-Pa'!S55,0)</f>
        <v>6.9915777777777777</v>
      </c>
      <c r="AR55" s="21">
        <f>IFERROR(T55/'Ar-Pa'!T55,0)</f>
        <v>6.9898777777777781</v>
      </c>
      <c r="AS55" s="21">
        <f>IFERROR(U55/'Ar-Pa'!U55,0)</f>
        <v>6.9754888888888891</v>
      </c>
      <c r="AT55" s="21">
        <f>IFERROR(V55/'Ar-Pa'!V55,0)</f>
        <v>6.9772555555555558</v>
      </c>
      <c r="AU55" s="21">
        <f>IFERROR(W55/'Ar-Pa'!W55,0)</f>
        <v>6.9668555555555551</v>
      </c>
      <c r="AV55" s="21">
        <f>IFERROR(X55/'Ar-Pa'!X55,0)</f>
        <v>6.9860555555555557</v>
      </c>
      <c r="AW55" s="21">
        <f>IFERROR(Y55/'Ar-Pa'!Y55,0)</f>
        <v>7.0009333333333332</v>
      </c>
      <c r="AX55" s="21">
        <f t="shared" si="0"/>
        <v>173.48001587301593</v>
      </c>
    </row>
    <row r="56" spans="1:50" s="12" customFormat="1">
      <c r="A56" s="15">
        <v>44981</v>
      </c>
      <c r="B56" s="436">
        <v>62.836400000000005</v>
      </c>
      <c r="C56" s="436">
        <v>62.797899999999998</v>
      </c>
      <c r="D56" s="436">
        <v>62.7515</v>
      </c>
      <c r="E56" s="436">
        <v>62.876199999999997</v>
      </c>
      <c r="F56" s="436">
        <v>60.6768</v>
      </c>
      <c r="G56" s="436">
        <v>60.084600000000002</v>
      </c>
      <c r="H56" s="436">
        <v>62.976999999999997</v>
      </c>
      <c r="I56" s="436">
        <v>59.192500000000003</v>
      </c>
      <c r="J56" s="436">
        <v>58.140300000000003</v>
      </c>
      <c r="K56" s="436">
        <v>58.5182</v>
      </c>
      <c r="L56" s="436">
        <v>59.371000000000002</v>
      </c>
      <c r="M56" s="436">
        <v>63.909599999999998</v>
      </c>
      <c r="N56" s="436">
        <v>64.519000000000005</v>
      </c>
      <c r="O56" s="436">
        <v>63.988</v>
      </c>
      <c r="P56" s="436">
        <v>64.085300000000004</v>
      </c>
      <c r="Q56" s="436">
        <v>63.978400000000001</v>
      </c>
      <c r="R56" s="436">
        <v>63.9223</v>
      </c>
      <c r="S56" s="436">
        <v>63.787800000000004</v>
      </c>
      <c r="T56" s="437">
        <v>63.948500000000003</v>
      </c>
      <c r="U56" s="437">
        <v>63.844900000000003</v>
      </c>
      <c r="V56" s="437">
        <v>63.845099999999995</v>
      </c>
      <c r="W56" s="437">
        <v>63.817099999999996</v>
      </c>
      <c r="X56" s="436">
        <v>63.854099999999995</v>
      </c>
      <c r="Y56" s="436">
        <v>63.8673</v>
      </c>
      <c r="Z56" s="21">
        <f>IFERROR(B56/'Ar-Pa'!B56,0)</f>
        <v>6.981822222222223</v>
      </c>
      <c r="AA56" s="21">
        <f>IFERROR(C56/'Ar-Pa'!C56,0)</f>
        <v>6.9775444444444439</v>
      </c>
      <c r="AB56" s="21">
        <f>IFERROR(D56/'Ar-Pa'!D56,0)</f>
        <v>6.9723888888888892</v>
      </c>
      <c r="AC56" s="21">
        <f>IFERROR(E56/'Ar-Pa'!E56,0)</f>
        <v>6.986244444444444</v>
      </c>
      <c r="AD56" s="21">
        <f>IFERROR(F56/'Ar-Pa'!F56,0)</f>
        <v>6.7418666666666667</v>
      </c>
      <c r="AE56" s="21">
        <f>IFERROR(G56/'Ar-Pa'!G56,0)</f>
        <v>7.5105750000000002</v>
      </c>
      <c r="AF56" s="21">
        <f>IFERROR(H56/'Ar-Pa'!H56,0)</f>
        <v>7.8721249999999996</v>
      </c>
      <c r="AG56" s="21">
        <f>IFERROR(I56/'Ar-Pa'!I56,0)</f>
        <v>8.4560714285714287</v>
      </c>
      <c r="AH56" s="21">
        <f>IFERROR(J56/'Ar-Pa'!J56,0)</f>
        <v>8.3057571428571428</v>
      </c>
      <c r="AI56" s="21">
        <f>IFERROR(K56/'Ar-Pa'!K56,0)</f>
        <v>8.3597428571428569</v>
      </c>
      <c r="AJ56" s="21">
        <f>IFERROR(L56/'Ar-Pa'!L56,0)</f>
        <v>8.4815714285714296</v>
      </c>
      <c r="AK56" s="21">
        <f>IFERROR(M56/'Ar-Pa'!M56,0)</f>
        <v>7.1010666666666662</v>
      </c>
      <c r="AL56" s="21">
        <f>IFERROR(N56/'Ar-Pa'!N56,0)</f>
        <v>7.1687777777777786</v>
      </c>
      <c r="AM56" s="21">
        <f>IFERROR(O56/'Ar-Pa'!O56,0)</f>
        <v>7.1097777777777775</v>
      </c>
      <c r="AN56" s="21">
        <f>IFERROR(P56/'Ar-Pa'!P56,0)</f>
        <v>7.1205888888888893</v>
      </c>
      <c r="AO56" s="21">
        <f>IFERROR(Q56/'Ar-Pa'!Q56,0)</f>
        <v>7.108711111111111</v>
      </c>
      <c r="AP56" s="21">
        <f>IFERROR(R56/'Ar-Pa'!R56,0)</f>
        <v>7.1024777777777777</v>
      </c>
      <c r="AQ56" s="21">
        <f>IFERROR(S56/'Ar-Pa'!S56,0)</f>
        <v>7.0875333333333339</v>
      </c>
      <c r="AR56" s="21">
        <f>IFERROR(T56/'Ar-Pa'!T56,0)</f>
        <v>7.1053888888888892</v>
      </c>
      <c r="AS56" s="21">
        <f>IFERROR(U56/'Ar-Pa'!U56,0)</f>
        <v>7.0938777777777782</v>
      </c>
      <c r="AT56" s="21">
        <f>IFERROR(V56/'Ar-Pa'!V56,0)</f>
        <v>7.0938999999999997</v>
      </c>
      <c r="AU56" s="21">
        <f>IFERROR(W56/'Ar-Pa'!W56,0)</f>
        <v>7.0907888888888886</v>
      </c>
      <c r="AV56" s="21">
        <f>IFERROR(X56/'Ar-Pa'!X56,0)</f>
        <v>7.0948999999999991</v>
      </c>
      <c r="AW56" s="21">
        <f>IFERROR(Y56/'Ar-Pa'!Y56,0)</f>
        <v>7.0963666666666665</v>
      </c>
      <c r="AX56" s="21">
        <f t="shared" si="0"/>
        <v>176.01986507936505</v>
      </c>
    </row>
    <row r="57" spans="1:50" s="12" customFormat="1">
      <c r="A57" s="15">
        <v>44982</v>
      </c>
      <c r="B57" s="436">
        <v>54.536099999999998</v>
      </c>
      <c r="C57" s="436">
        <v>54.368400000000001</v>
      </c>
      <c r="D57" s="436">
        <v>54.48</v>
      </c>
      <c r="E57" s="436">
        <v>54.533999999999999</v>
      </c>
      <c r="F57" s="436">
        <v>54.576699999999995</v>
      </c>
      <c r="G57" s="436">
        <v>51.006399999999999</v>
      </c>
      <c r="H57" s="436">
        <v>50.444199999999995</v>
      </c>
      <c r="I57" s="436">
        <v>53.616099999999996</v>
      </c>
      <c r="J57" s="436">
        <v>54.459199999999996</v>
      </c>
      <c r="K57" s="436">
        <v>54.326800000000006</v>
      </c>
      <c r="L57" s="436">
        <v>54.252300000000005</v>
      </c>
      <c r="M57" s="436">
        <v>54.269500000000001</v>
      </c>
      <c r="N57" s="436">
        <v>54.158699999999996</v>
      </c>
      <c r="O57" s="436">
        <v>54.2316</v>
      </c>
      <c r="P57" s="436">
        <v>54.0807</v>
      </c>
      <c r="Q57" s="436">
        <v>54.196899999999999</v>
      </c>
      <c r="R57" s="436">
        <v>54.132199999999997</v>
      </c>
      <c r="S57" s="436">
        <v>54.176400000000001</v>
      </c>
      <c r="T57" s="437">
        <v>54.267199999999995</v>
      </c>
      <c r="U57" s="437">
        <v>53.724899999999998</v>
      </c>
      <c r="V57" s="437">
        <v>53.5137</v>
      </c>
      <c r="W57" s="437">
        <v>53.569699999999997</v>
      </c>
      <c r="X57" s="436">
        <v>53.456400000000002</v>
      </c>
      <c r="Y57" s="436">
        <v>52.94</v>
      </c>
      <c r="Z57" s="21">
        <f>IFERROR(B57/'Ar-Pa'!B57,0)</f>
        <v>6.8170124999999997</v>
      </c>
      <c r="AA57" s="21">
        <f>IFERROR(C57/'Ar-Pa'!C57,0)</f>
        <v>6.7960500000000001</v>
      </c>
      <c r="AB57" s="21">
        <f>IFERROR(D57/'Ar-Pa'!D57,0)</f>
        <v>6.81</v>
      </c>
      <c r="AC57" s="21">
        <f>IFERROR(E57/'Ar-Pa'!E57,0)</f>
        <v>6.8167499999999999</v>
      </c>
      <c r="AD57" s="21">
        <f>IFERROR(F57/'Ar-Pa'!F57,0)</f>
        <v>6.8220874999999994</v>
      </c>
      <c r="AE57" s="21">
        <f>IFERROR(G57/'Ar-Pa'!G57,0)</f>
        <v>6.3757999999999999</v>
      </c>
      <c r="AF57" s="21">
        <f>IFERROR(H57/'Ar-Pa'!H57,0)</f>
        <v>8.4073666666666664</v>
      </c>
      <c r="AG57" s="21">
        <f>IFERROR(I57/'Ar-Pa'!I57,0)</f>
        <v>7.6594428571428566</v>
      </c>
      <c r="AH57" s="21">
        <f>IFERROR(J57/'Ar-Pa'!J57,0)</f>
        <v>7.7798857142857134</v>
      </c>
      <c r="AI57" s="21">
        <f>IFERROR(K57/'Ar-Pa'!K57,0)</f>
        <v>6.7908500000000007</v>
      </c>
      <c r="AJ57" s="21">
        <f>IFERROR(L57/'Ar-Pa'!L57,0)</f>
        <v>6.7815375000000007</v>
      </c>
      <c r="AK57" s="21">
        <f>IFERROR(M57/'Ar-Pa'!M57,0)</f>
        <v>6.7836875000000001</v>
      </c>
      <c r="AL57" s="21">
        <f>IFERROR(N57/'Ar-Pa'!N57,0)</f>
        <v>6.7698374999999995</v>
      </c>
      <c r="AM57" s="21">
        <f>IFERROR(O57/'Ar-Pa'!O57,0)</f>
        <v>6.77895</v>
      </c>
      <c r="AN57" s="21">
        <f>IFERROR(P57/'Ar-Pa'!P57,0)</f>
        <v>6.7600875</v>
      </c>
      <c r="AO57" s="21">
        <f>IFERROR(Q57/'Ar-Pa'!Q57,0)</f>
        <v>6.7746124999999999</v>
      </c>
      <c r="AP57" s="21">
        <f>IFERROR(R57/'Ar-Pa'!R57,0)</f>
        <v>6.7665249999999997</v>
      </c>
      <c r="AQ57" s="21">
        <f>IFERROR(S57/'Ar-Pa'!S57,0)</f>
        <v>6.7720500000000001</v>
      </c>
      <c r="AR57" s="21">
        <f>IFERROR(T57/'Ar-Pa'!T57,0)</f>
        <v>6.7833999999999994</v>
      </c>
      <c r="AS57" s="21">
        <f>IFERROR(U57/'Ar-Pa'!U57,0)</f>
        <v>6.7156124999999998</v>
      </c>
      <c r="AT57" s="21">
        <f>IFERROR(V57/'Ar-Pa'!V57,0)</f>
        <v>6.6892125</v>
      </c>
      <c r="AU57" s="21">
        <f>IFERROR(W57/'Ar-Pa'!W57,0)</f>
        <v>6.6962124999999997</v>
      </c>
      <c r="AV57" s="21">
        <f>IFERROR(X57/'Ar-Pa'!X57,0)</f>
        <v>6.6820500000000003</v>
      </c>
      <c r="AW57" s="21">
        <f>IFERROR(Y57/'Ar-Pa'!Y57,0)</f>
        <v>6.6174999999999997</v>
      </c>
      <c r="AX57" s="21">
        <f t="shared" si="0"/>
        <v>165.44652023809525</v>
      </c>
    </row>
    <row r="58" spans="1:50" s="12" customFormat="1">
      <c r="A58" s="15">
        <v>44983</v>
      </c>
      <c r="B58" s="436">
        <v>53.312800000000003</v>
      </c>
      <c r="C58" s="436">
        <v>53.671399999999998</v>
      </c>
      <c r="D58" s="436">
        <v>53.692300000000003</v>
      </c>
      <c r="E58" s="436">
        <v>53.859900000000003</v>
      </c>
      <c r="F58" s="436">
        <v>53.691400000000002</v>
      </c>
      <c r="G58" s="436">
        <v>51.130199999999995</v>
      </c>
      <c r="H58" s="436">
        <v>16.830400000000001</v>
      </c>
      <c r="I58" s="436">
        <v>7.0724999999999998</v>
      </c>
      <c r="J58" s="436">
        <v>1.5458000000000001</v>
      </c>
      <c r="K58" s="436">
        <v>17.0367</v>
      </c>
      <c r="L58" s="436">
        <v>42.095099999999995</v>
      </c>
      <c r="M58" s="436">
        <v>50.215199999999996</v>
      </c>
      <c r="N58" s="436">
        <v>54.948300000000003</v>
      </c>
      <c r="O58" s="436">
        <v>53.951000000000001</v>
      </c>
      <c r="P58" s="436">
        <v>53.896900000000002</v>
      </c>
      <c r="Q58" s="436">
        <v>53.890900000000002</v>
      </c>
      <c r="R58" s="436">
        <v>53.960900000000002</v>
      </c>
      <c r="S58" s="436">
        <v>53.928400000000003</v>
      </c>
      <c r="T58" s="437">
        <v>53.764099999999999</v>
      </c>
      <c r="U58" s="437">
        <v>53.813900000000004</v>
      </c>
      <c r="V58" s="437">
        <v>53.770499999999998</v>
      </c>
      <c r="W58" s="437">
        <v>53.869699999999995</v>
      </c>
      <c r="X58" s="436">
        <v>53.749900000000004</v>
      </c>
      <c r="Y58" s="436">
        <v>53.934400000000004</v>
      </c>
      <c r="Z58" s="21">
        <f>IFERROR(B58/'Ar-Pa'!B58,0)</f>
        <v>6.6641000000000004</v>
      </c>
      <c r="AA58" s="21">
        <f>IFERROR(C58/'Ar-Pa'!C58,0)</f>
        <v>6.7089249999999998</v>
      </c>
      <c r="AB58" s="21">
        <f>IFERROR(D58/'Ar-Pa'!D58,0)</f>
        <v>6.7115375000000004</v>
      </c>
      <c r="AC58" s="21">
        <f>IFERROR(E58/'Ar-Pa'!E58,0)</f>
        <v>6.7324875000000004</v>
      </c>
      <c r="AD58" s="21">
        <f>IFERROR(F58/'Ar-Pa'!F58,0)</f>
        <v>6.7114250000000002</v>
      </c>
      <c r="AE58" s="21">
        <f>IFERROR(G58/'Ar-Pa'!G58,0)</f>
        <v>6.3912749999999994</v>
      </c>
      <c r="AF58" s="21">
        <f>IFERROR(H58/'Ar-Pa'!H58,0)</f>
        <v>8.4152000000000005</v>
      </c>
      <c r="AG58" s="21">
        <f>IFERROR(I58/'Ar-Pa'!I58,0)</f>
        <v>3.5362499999999999</v>
      </c>
      <c r="AH58" s="21">
        <f>IFERROR(J58/'Ar-Pa'!J58,0)</f>
        <v>0.77290000000000003</v>
      </c>
      <c r="AI58" s="21">
        <f>IFERROR(K58/'Ar-Pa'!K58,0)</f>
        <v>3.40734</v>
      </c>
      <c r="AJ58" s="21">
        <f>IFERROR(L58/'Ar-Pa'!L58,0)</f>
        <v>7.0158499999999995</v>
      </c>
      <c r="AK58" s="21">
        <f>IFERROR(M58/'Ar-Pa'!M58,0)</f>
        <v>7.1735999999999995</v>
      </c>
      <c r="AL58" s="21">
        <f>IFERROR(N58/'Ar-Pa'!N58,0)</f>
        <v>6.8685375000000004</v>
      </c>
      <c r="AM58" s="21">
        <f>IFERROR(O58/'Ar-Pa'!O58,0)</f>
        <v>6.7438750000000001</v>
      </c>
      <c r="AN58" s="21">
        <f>IFERROR(P58/'Ar-Pa'!P58,0)</f>
        <v>6.7371125000000003</v>
      </c>
      <c r="AO58" s="21">
        <f>IFERROR(Q58/'Ar-Pa'!Q58,0)</f>
        <v>6.7363625000000003</v>
      </c>
      <c r="AP58" s="21">
        <f>IFERROR(R58/'Ar-Pa'!R58,0)</f>
        <v>6.7451125000000003</v>
      </c>
      <c r="AQ58" s="21">
        <f>IFERROR(S58/'Ar-Pa'!S58,0)</f>
        <v>6.7410500000000004</v>
      </c>
      <c r="AR58" s="21">
        <f>IFERROR(T58/'Ar-Pa'!T58,0)</f>
        <v>6.7205124999999999</v>
      </c>
      <c r="AS58" s="21">
        <f>IFERROR(U58/'Ar-Pa'!U58,0)</f>
        <v>6.7267375000000005</v>
      </c>
      <c r="AT58" s="21">
        <f>IFERROR(V58/'Ar-Pa'!V58,0)</f>
        <v>6.7213124999999998</v>
      </c>
      <c r="AU58" s="21">
        <f>IFERROR(W58/'Ar-Pa'!W58,0)</f>
        <v>6.7337124999999993</v>
      </c>
      <c r="AV58" s="21">
        <f>IFERROR(X58/'Ar-Pa'!X58,0)</f>
        <v>6.7187375000000005</v>
      </c>
      <c r="AW58" s="21">
        <f>IFERROR(Y58/'Ar-Pa'!Y58,0)</f>
        <v>6.7418000000000005</v>
      </c>
      <c r="AX58" s="21">
        <f t="shared" si="0"/>
        <v>151.17575250000002</v>
      </c>
    </row>
    <row r="59" spans="1:50" s="12" customFormat="1">
      <c r="A59" s="15">
        <v>44984</v>
      </c>
      <c r="B59" s="436">
        <v>53.784300000000002</v>
      </c>
      <c r="C59" s="436">
        <v>54.085099999999997</v>
      </c>
      <c r="D59" s="436">
        <v>53.875399999999999</v>
      </c>
      <c r="E59" s="436">
        <v>53.957599999999999</v>
      </c>
      <c r="F59" s="436">
        <v>53.305900000000001</v>
      </c>
      <c r="G59" s="436">
        <v>52.488099999999996</v>
      </c>
      <c r="H59" s="436">
        <v>52.3367</v>
      </c>
      <c r="I59" s="436">
        <v>53.1111</v>
      </c>
      <c r="J59" s="436">
        <v>53.5548</v>
      </c>
      <c r="K59" s="436">
        <v>53.914400000000001</v>
      </c>
      <c r="L59" s="436">
        <v>53.840699999999998</v>
      </c>
      <c r="M59" s="436">
        <v>53.755099999999999</v>
      </c>
      <c r="N59" s="436">
        <v>53.826999999999998</v>
      </c>
      <c r="O59" s="436">
        <v>53.714599999999997</v>
      </c>
      <c r="P59" s="436">
        <v>53.803100000000001</v>
      </c>
      <c r="Q59" s="436">
        <v>53.754400000000004</v>
      </c>
      <c r="R59" s="436">
        <v>53.727800000000002</v>
      </c>
      <c r="S59" s="436">
        <v>53.738300000000002</v>
      </c>
      <c r="T59" s="437">
        <v>53.675199999999997</v>
      </c>
      <c r="U59" s="437">
        <v>53.654600000000002</v>
      </c>
      <c r="V59" s="437">
        <v>53.67</v>
      </c>
      <c r="W59" s="437">
        <v>53.462499999999999</v>
      </c>
      <c r="X59" s="436">
        <v>53.6434</v>
      </c>
      <c r="Y59" s="436">
        <v>53.696300000000001</v>
      </c>
      <c r="Z59" s="21">
        <f>IFERROR(B59/'Ar-Pa'!B59,0)</f>
        <v>6.7230375000000002</v>
      </c>
      <c r="AA59" s="21">
        <f>IFERROR(C59/'Ar-Pa'!C59,0)</f>
        <v>6.7606374999999996</v>
      </c>
      <c r="AB59" s="21">
        <f>IFERROR(D59/'Ar-Pa'!D59,0)</f>
        <v>6.7344249999999999</v>
      </c>
      <c r="AC59" s="21">
        <f>IFERROR(E59/'Ar-Pa'!E59,0)</f>
        <v>6.7446999999999999</v>
      </c>
      <c r="AD59" s="21">
        <f>IFERROR(F59/'Ar-Pa'!F59,0)</f>
        <v>6.6632375000000001</v>
      </c>
      <c r="AE59" s="21">
        <f>IFERROR(G59/'Ar-Pa'!G59,0)</f>
        <v>7.4982999999999995</v>
      </c>
      <c r="AF59" s="21">
        <f>IFERROR(H59/'Ar-Pa'!H59,0)</f>
        <v>7.4766714285714286</v>
      </c>
      <c r="AG59" s="21">
        <f>IFERROR(I59/'Ar-Pa'!I59,0)</f>
        <v>7.5872999999999999</v>
      </c>
      <c r="AH59" s="21">
        <f>IFERROR(J59/'Ar-Pa'!J59,0)</f>
        <v>6.69435</v>
      </c>
      <c r="AI59" s="21">
        <f>IFERROR(K59/'Ar-Pa'!K59,0)</f>
        <v>6.7393000000000001</v>
      </c>
      <c r="AJ59" s="21">
        <f>IFERROR(L59/'Ar-Pa'!L59,0)</f>
        <v>6.7300874999999998</v>
      </c>
      <c r="AK59" s="21">
        <f>IFERROR(M59/'Ar-Pa'!M59,0)</f>
        <v>6.7193874999999998</v>
      </c>
      <c r="AL59" s="21">
        <f>IFERROR(N59/'Ar-Pa'!N59,0)</f>
        <v>6.7283749999999998</v>
      </c>
      <c r="AM59" s="21">
        <f>IFERROR(O59/'Ar-Pa'!O59,0)</f>
        <v>6.7143249999999997</v>
      </c>
      <c r="AN59" s="21">
        <f>IFERROR(P59/'Ar-Pa'!P59,0)</f>
        <v>6.7253875000000001</v>
      </c>
      <c r="AO59" s="21">
        <f>IFERROR(Q59/'Ar-Pa'!Q59,0)</f>
        <v>6.7193000000000005</v>
      </c>
      <c r="AP59" s="21">
        <f>IFERROR(R59/'Ar-Pa'!R59,0)</f>
        <v>6.7159750000000003</v>
      </c>
      <c r="AQ59" s="21">
        <f>IFERROR(S59/'Ar-Pa'!S59,0)</f>
        <v>6.7172875000000003</v>
      </c>
      <c r="AR59" s="21">
        <f>IFERROR(T59/'Ar-Pa'!T59,0)</f>
        <v>6.7093999999999996</v>
      </c>
      <c r="AS59" s="21">
        <f>IFERROR(U59/'Ar-Pa'!U59,0)</f>
        <v>6.7068250000000003</v>
      </c>
      <c r="AT59" s="21">
        <f>IFERROR(V59/'Ar-Pa'!V59,0)</f>
        <v>6.7087500000000002</v>
      </c>
      <c r="AU59" s="21">
        <f>IFERROR(W59/'Ar-Pa'!W59,0)</f>
        <v>6.6828124999999998</v>
      </c>
      <c r="AV59" s="21">
        <f>IFERROR(X59/'Ar-Pa'!X59,0)</f>
        <v>6.705425</v>
      </c>
      <c r="AW59" s="21">
        <f>IFERROR(Y59/'Ar-Pa'!Y59,0)</f>
        <v>6.7120375000000001</v>
      </c>
      <c r="AX59" s="21">
        <f t="shared" si="0"/>
        <v>163.61733392857144</v>
      </c>
    </row>
    <row r="60" spans="1:50" s="12" customFormat="1">
      <c r="A60" s="15">
        <v>44985</v>
      </c>
      <c r="B60" s="436">
        <v>53.150599999999997</v>
      </c>
      <c r="C60" s="436">
        <v>53.744900000000001</v>
      </c>
      <c r="D60" s="436">
        <v>53.758300000000006</v>
      </c>
      <c r="E60" s="436">
        <v>53.811099999999996</v>
      </c>
      <c r="F60" s="436">
        <v>54.138199999999998</v>
      </c>
      <c r="G60" s="436">
        <v>50.861199999999997</v>
      </c>
      <c r="H60" s="436">
        <v>53.631800000000005</v>
      </c>
      <c r="I60" s="436">
        <v>53.654900000000005</v>
      </c>
      <c r="J60" s="436">
        <v>53.295499999999997</v>
      </c>
      <c r="K60" s="436">
        <v>54.493300000000005</v>
      </c>
      <c r="L60" s="436">
        <v>53.510100000000001</v>
      </c>
      <c r="M60" s="436">
        <v>53.3703</v>
      </c>
      <c r="N60" s="436">
        <v>53.966300000000004</v>
      </c>
      <c r="O60" s="436">
        <v>53.936099999999996</v>
      </c>
      <c r="P60" s="436">
        <v>54.000900000000001</v>
      </c>
      <c r="Q60" s="436">
        <v>54.067599999999999</v>
      </c>
      <c r="R60" s="436">
        <v>54.109199999999994</v>
      </c>
      <c r="S60" s="436">
        <v>54.160699999999999</v>
      </c>
      <c r="T60" s="437">
        <v>54.101399999999998</v>
      </c>
      <c r="U60" s="437">
        <v>54.052099999999996</v>
      </c>
      <c r="V60" s="437">
        <v>54.020300000000006</v>
      </c>
      <c r="W60" s="437">
        <v>54.168900000000001</v>
      </c>
      <c r="X60" s="436">
        <v>54.0319</v>
      </c>
      <c r="Y60" s="436">
        <v>53.771800000000006</v>
      </c>
      <c r="Z60" s="21">
        <f>IFERROR(B60/'Ar-Pa'!B60,0)</f>
        <v>6.6438249999999996</v>
      </c>
      <c r="AA60" s="21">
        <f>IFERROR(C60/'Ar-Pa'!C60,0)</f>
        <v>6.7181125000000002</v>
      </c>
      <c r="AB60" s="21">
        <f>IFERROR(D60/'Ar-Pa'!D60,0)</f>
        <v>6.7197875000000007</v>
      </c>
      <c r="AC60" s="21">
        <f>IFERROR(E60/'Ar-Pa'!E60,0)</f>
        <v>6.7263874999999995</v>
      </c>
      <c r="AD60" s="21">
        <f>IFERROR(F60/'Ar-Pa'!F60,0)</f>
        <v>6.7672749999999997</v>
      </c>
      <c r="AE60" s="21">
        <f>IFERROR(G60/'Ar-Pa'!G60,0)</f>
        <v>6.3576499999999996</v>
      </c>
      <c r="AF60" s="21">
        <f>IFERROR(H60/'Ar-Pa'!H60,0)</f>
        <v>7.6616857142857153</v>
      </c>
      <c r="AG60" s="21">
        <f>IFERROR(I60/'Ar-Pa'!I60,0)</f>
        <v>7.6649857142857147</v>
      </c>
      <c r="AH60" s="21">
        <f>IFERROR(J60/'Ar-Pa'!J60,0)</f>
        <v>7.6136428571428567</v>
      </c>
      <c r="AI60" s="21">
        <f>IFERROR(K60/'Ar-Pa'!K60,0)</f>
        <v>6.8116625000000006</v>
      </c>
      <c r="AJ60" s="21">
        <f>IFERROR(L60/'Ar-Pa'!L60,0)</f>
        <v>6.6887625000000002</v>
      </c>
      <c r="AK60" s="21">
        <f>IFERROR(M60/'Ar-Pa'!M60,0)</f>
        <v>6.6712875</v>
      </c>
      <c r="AL60" s="21">
        <f>IFERROR(N60/'Ar-Pa'!N60,0)</f>
        <v>6.7457875000000005</v>
      </c>
      <c r="AM60" s="21">
        <f>IFERROR(O60/'Ar-Pa'!O60,0)</f>
        <v>6.7420124999999995</v>
      </c>
      <c r="AN60" s="21">
        <f>IFERROR(P60/'Ar-Pa'!P60,0)</f>
        <v>6.7501125000000002</v>
      </c>
      <c r="AO60" s="21">
        <f>IFERROR(Q60/'Ar-Pa'!Q60,0)</f>
        <v>6.7584499999999998</v>
      </c>
      <c r="AP60" s="21">
        <f>IFERROR(R60/'Ar-Pa'!R60,0)</f>
        <v>6.7636499999999993</v>
      </c>
      <c r="AQ60" s="21">
        <f>IFERROR(S60/'Ar-Pa'!S60,0)</f>
        <v>6.7700874999999998</v>
      </c>
      <c r="AR60" s="21">
        <f>IFERROR(T60/'Ar-Pa'!T60,0)</f>
        <v>6.7626749999999998</v>
      </c>
      <c r="AS60" s="21">
        <f>IFERROR(U60/'Ar-Pa'!U60,0)</f>
        <v>6.7565124999999995</v>
      </c>
      <c r="AT60" s="21">
        <f>IFERROR(V60/'Ar-Pa'!V60,0)</f>
        <v>6.7525375000000007</v>
      </c>
      <c r="AU60" s="21">
        <f>IFERROR(W60/'Ar-Pa'!W60,0)</f>
        <v>6.7711125000000001</v>
      </c>
      <c r="AV60" s="21">
        <f>IFERROR(X60/'Ar-Pa'!X60,0)</f>
        <v>6.7539875</v>
      </c>
      <c r="AW60" s="21">
        <f>IFERROR(Y60/'Ar-Pa'!Y60,0)</f>
        <v>6.7214750000000008</v>
      </c>
      <c r="AX60" s="21">
        <f t="shared" si="0"/>
        <v>164.09346428571428</v>
      </c>
    </row>
    <row r="61" spans="1:50" s="12" customFormat="1">
      <c r="A61" s="15">
        <v>44986</v>
      </c>
      <c r="B61" s="436">
        <v>53.2759</v>
      </c>
      <c r="C61" s="436">
        <v>53.699100000000001</v>
      </c>
      <c r="D61" s="436">
        <v>53.830400000000004</v>
      </c>
      <c r="E61" s="436">
        <v>53.422699999999999</v>
      </c>
      <c r="F61" s="436">
        <v>54.145099999999999</v>
      </c>
      <c r="G61" s="436">
        <v>54.122900000000001</v>
      </c>
      <c r="H61" s="436">
        <v>54.076699999999995</v>
      </c>
      <c r="I61" s="436">
        <v>54.009099999999997</v>
      </c>
      <c r="J61" s="436">
        <v>54.081300000000006</v>
      </c>
      <c r="K61" s="436">
        <v>55.015800000000006</v>
      </c>
      <c r="L61" s="436">
        <v>55.070099999999996</v>
      </c>
      <c r="M61" s="436">
        <v>54.967199999999998</v>
      </c>
      <c r="N61" s="436">
        <v>55.027800000000006</v>
      </c>
      <c r="O61" s="436">
        <v>55.052699999999994</v>
      </c>
      <c r="P61" s="436">
        <v>54.613300000000002</v>
      </c>
      <c r="Q61" s="436">
        <v>54.518599999999999</v>
      </c>
      <c r="R61" s="436">
        <v>54.406199999999998</v>
      </c>
      <c r="S61" s="436">
        <v>54.593000000000004</v>
      </c>
      <c r="T61" s="437">
        <v>54.453499999999998</v>
      </c>
      <c r="U61" s="437">
        <v>54.462400000000002</v>
      </c>
      <c r="V61" s="437">
        <v>54.457800000000006</v>
      </c>
      <c r="W61" s="437">
        <v>65.216099999999997</v>
      </c>
      <c r="X61" s="436">
        <v>67.5107</v>
      </c>
      <c r="Y61" s="436">
        <v>66.972300000000004</v>
      </c>
      <c r="Z61" s="21">
        <f>IFERROR(B61/'Ar-Pa'!B61,0)</f>
        <v>6.6594875</v>
      </c>
      <c r="AA61" s="21">
        <f>IFERROR(C61/'Ar-Pa'!C61,0)</f>
        <v>7.6713000000000005</v>
      </c>
      <c r="AB61" s="21">
        <f>IFERROR(D61/'Ar-Pa'!D61,0)</f>
        <v>7.6900571428571434</v>
      </c>
      <c r="AC61" s="21">
        <f>IFERROR(E61/'Ar-Pa'!E61,0)</f>
        <v>7.6318142857142854</v>
      </c>
      <c r="AD61" s="21">
        <f>IFERROR(F61/'Ar-Pa'!F61,0)</f>
        <v>7.7350142857142856</v>
      </c>
      <c r="AE61" s="21">
        <f>IFERROR(G61/'Ar-Pa'!G61,0)</f>
        <v>7.7318428571428575</v>
      </c>
      <c r="AF61" s="21">
        <f>IFERROR(H61/'Ar-Pa'!H61,0)</f>
        <v>7.7252428571428569</v>
      </c>
      <c r="AG61" s="21">
        <f>IFERROR(I61/'Ar-Pa'!I61,0)</f>
        <v>7.715585714285714</v>
      </c>
      <c r="AH61" s="21">
        <f>IFERROR(J61/'Ar-Pa'!J61,0)</f>
        <v>7.7259000000000011</v>
      </c>
      <c r="AI61" s="21">
        <f>IFERROR(K61/'Ar-Pa'!K61,0)</f>
        <v>6.8769750000000007</v>
      </c>
      <c r="AJ61" s="21">
        <f>IFERROR(L61/'Ar-Pa'!L61,0)</f>
        <v>6.8837624999999996</v>
      </c>
      <c r="AK61" s="21">
        <f>IFERROR(M61/'Ar-Pa'!M61,0)</f>
        <v>6.8708999999999998</v>
      </c>
      <c r="AL61" s="21">
        <f>IFERROR(N61/'Ar-Pa'!N61,0)</f>
        <v>6.8784750000000008</v>
      </c>
      <c r="AM61" s="21">
        <f>IFERROR(O61/'Ar-Pa'!O61,0)</f>
        <v>6.8815874999999993</v>
      </c>
      <c r="AN61" s="21">
        <f>IFERROR(P61/'Ar-Pa'!P61,0)</f>
        <v>6.8266625000000003</v>
      </c>
      <c r="AO61" s="21">
        <f>IFERROR(Q61/'Ar-Pa'!Q61,0)</f>
        <v>6.8148249999999999</v>
      </c>
      <c r="AP61" s="21">
        <f>IFERROR(R61/'Ar-Pa'!R61,0)</f>
        <v>6.8007749999999998</v>
      </c>
      <c r="AQ61" s="21">
        <f>IFERROR(S61/'Ar-Pa'!S61,0)</f>
        <v>6.8241250000000004</v>
      </c>
      <c r="AR61" s="21">
        <f>IFERROR(T61/'Ar-Pa'!T61,0)</f>
        <v>6.8066874999999998</v>
      </c>
      <c r="AS61" s="21">
        <f>IFERROR(U61/'Ar-Pa'!U61,0)</f>
        <v>6.8078000000000003</v>
      </c>
      <c r="AT61" s="21">
        <f>IFERROR(V61/'Ar-Pa'!V61,0)</f>
        <v>6.8072250000000007</v>
      </c>
      <c r="AU61" s="21">
        <f>IFERROR(W61/'Ar-Pa'!W61,0)</f>
        <v>8.1520124999999997</v>
      </c>
      <c r="AV61" s="21">
        <f>IFERROR(X61/'Ar-Pa'!X61,0)</f>
        <v>8.4388375</v>
      </c>
      <c r="AW61" s="21">
        <f>IFERROR(Y61/'Ar-Pa'!Y61,0)</f>
        <v>8.3715375000000005</v>
      </c>
      <c r="AX61" s="21">
        <f t="shared" si="0"/>
        <v>175.32843214285714</v>
      </c>
    </row>
    <row r="62" spans="1:50" s="12" customFormat="1">
      <c r="A62" s="15">
        <v>44987</v>
      </c>
      <c r="B62" s="436">
        <v>53.095300000000002</v>
      </c>
      <c r="C62" s="436">
        <v>53.296900000000001</v>
      </c>
      <c r="D62" s="436">
        <v>53.292999999999999</v>
      </c>
      <c r="E62" s="436">
        <v>54.403599999999997</v>
      </c>
      <c r="F62" s="436">
        <v>53.988699999999994</v>
      </c>
      <c r="G62" s="436">
        <v>52.685900000000004</v>
      </c>
      <c r="H62" s="436">
        <v>53.916800000000002</v>
      </c>
      <c r="I62" s="436">
        <v>53.3095</v>
      </c>
      <c r="J62" s="436">
        <v>53.127699999999997</v>
      </c>
      <c r="K62" s="436">
        <v>52.693300000000001</v>
      </c>
      <c r="L62" s="436">
        <v>53.289900000000003</v>
      </c>
      <c r="M62" s="436">
        <v>52.209300000000006</v>
      </c>
      <c r="N62" s="436">
        <v>52.328699999999998</v>
      </c>
      <c r="O62" s="436">
        <v>52.474899999999998</v>
      </c>
      <c r="P62" s="436">
        <v>52.534300000000002</v>
      </c>
      <c r="Q62" s="436">
        <v>53.004800000000003</v>
      </c>
      <c r="R62" s="436">
        <v>53.11</v>
      </c>
      <c r="S62" s="436">
        <v>53.161099999999998</v>
      </c>
      <c r="T62" s="437">
        <v>54.163499999999999</v>
      </c>
      <c r="U62" s="437">
        <v>67.420100000000005</v>
      </c>
      <c r="V62" s="437">
        <v>54.854300000000002</v>
      </c>
      <c r="W62" s="437">
        <v>54.522599999999997</v>
      </c>
      <c r="X62" s="436">
        <v>63.358400000000003</v>
      </c>
      <c r="Y62" s="436">
        <v>67.023399999999995</v>
      </c>
      <c r="Z62" s="21">
        <f>IFERROR(B62/'Ar-Pa'!B62,0)</f>
        <v>6.6369125000000002</v>
      </c>
      <c r="AA62" s="21">
        <f>IFERROR(C62/'Ar-Pa'!C62,0)</f>
        <v>6.6621125000000001</v>
      </c>
      <c r="AB62" s="21">
        <f>IFERROR(D62/'Ar-Pa'!D62,0)</f>
        <v>6.6616249999999999</v>
      </c>
      <c r="AC62" s="21">
        <f>IFERROR(E62/'Ar-Pa'!E62,0)</f>
        <v>6.8004499999999997</v>
      </c>
      <c r="AD62" s="21">
        <f>IFERROR(F62/'Ar-Pa'!F62,0)</f>
        <v>7.7126714285714275</v>
      </c>
      <c r="AE62" s="21">
        <f>IFERROR(G62/'Ar-Pa'!G62,0)</f>
        <v>7.5265571428571434</v>
      </c>
      <c r="AF62" s="21">
        <f>IFERROR(H62/'Ar-Pa'!H62,0)</f>
        <v>7.7023999999999999</v>
      </c>
      <c r="AG62" s="21">
        <f>IFERROR(I62/'Ar-Pa'!I62,0)</f>
        <v>7.6156428571428574</v>
      </c>
      <c r="AH62" s="21">
        <f>IFERROR(J62/'Ar-Pa'!J62,0)</f>
        <v>6.6409624999999997</v>
      </c>
      <c r="AI62" s="21">
        <f>IFERROR(K62/'Ar-Pa'!K62,0)</f>
        <v>7.5276142857142858</v>
      </c>
      <c r="AJ62" s="21">
        <f>IFERROR(L62/'Ar-Pa'!L62,0)</f>
        <v>6.6612375000000004</v>
      </c>
      <c r="AK62" s="21">
        <f>IFERROR(M62/'Ar-Pa'!M62,0)</f>
        <v>6.5261625000000008</v>
      </c>
      <c r="AL62" s="21">
        <f>IFERROR(N62/'Ar-Pa'!N62,0)</f>
        <v>6.5410874999999997</v>
      </c>
      <c r="AM62" s="21">
        <f>IFERROR(O62/'Ar-Pa'!O62,0)</f>
        <v>6.5593624999999998</v>
      </c>
      <c r="AN62" s="21">
        <f>IFERROR(P62/'Ar-Pa'!P62,0)</f>
        <v>6.5667875000000002</v>
      </c>
      <c r="AO62" s="21">
        <f>IFERROR(Q62/'Ar-Pa'!Q62,0)</f>
        <v>6.6256000000000004</v>
      </c>
      <c r="AP62" s="21">
        <f>IFERROR(R62/'Ar-Pa'!R62,0)</f>
        <v>6.6387499999999999</v>
      </c>
      <c r="AQ62" s="21">
        <f>IFERROR(S62/'Ar-Pa'!S62,0)</f>
        <v>6.6451374999999997</v>
      </c>
      <c r="AR62" s="21">
        <f>IFERROR(T62/'Ar-Pa'!T62,0)</f>
        <v>6.7704374999999999</v>
      </c>
      <c r="AS62" s="21">
        <f>IFERROR(U62/'Ar-Pa'!U62,0)</f>
        <v>8.4275125000000006</v>
      </c>
      <c r="AT62" s="21">
        <f>IFERROR(V62/'Ar-Pa'!V62,0)</f>
        <v>6.8567875000000003</v>
      </c>
      <c r="AU62" s="21">
        <f>IFERROR(W62/'Ar-Pa'!W62,0)</f>
        <v>6.8153249999999996</v>
      </c>
      <c r="AV62" s="21">
        <f>IFERROR(X62/'Ar-Pa'!X62,0)</f>
        <v>7.9198000000000004</v>
      </c>
      <c r="AW62" s="21">
        <f>IFERROR(Y62/'Ar-Pa'!Y62,0)</f>
        <v>8.3779249999999994</v>
      </c>
      <c r="AX62" s="21">
        <f t="shared" si="0"/>
        <v>169.41886071428576</v>
      </c>
    </row>
    <row r="63" spans="1:50" s="12" customFormat="1">
      <c r="A63" s="15">
        <v>44988</v>
      </c>
      <c r="B63" s="436">
        <v>54.799500000000002</v>
      </c>
      <c r="C63" s="436">
        <v>54.242100000000001</v>
      </c>
      <c r="D63" s="436">
        <v>54.048699999999997</v>
      </c>
      <c r="E63" s="436">
        <v>54.102400000000003</v>
      </c>
      <c r="F63" s="436">
        <v>54.179000000000002</v>
      </c>
      <c r="G63" s="436">
        <v>54.486899999999999</v>
      </c>
      <c r="H63" s="436">
        <v>54.924900000000001</v>
      </c>
      <c r="I63" s="436">
        <v>54.8887</v>
      </c>
      <c r="J63" s="436">
        <v>51.863199999999999</v>
      </c>
      <c r="K63" s="436">
        <v>50.494999999999997</v>
      </c>
      <c r="L63" s="436">
        <v>53.198</v>
      </c>
      <c r="M63" s="436">
        <v>53.032899999999998</v>
      </c>
      <c r="N63" s="436">
        <v>53.1417</v>
      </c>
      <c r="O63" s="436">
        <v>53.157800000000002</v>
      </c>
      <c r="P63" s="436">
        <v>53.225699999999996</v>
      </c>
      <c r="Q63" s="436">
        <v>52.94</v>
      </c>
      <c r="R63" s="436">
        <v>53.127300000000005</v>
      </c>
      <c r="S63" s="436">
        <v>53.016300000000001</v>
      </c>
      <c r="T63" s="437">
        <v>53.070699999999995</v>
      </c>
      <c r="U63" s="437">
        <v>52.885800000000003</v>
      </c>
      <c r="V63" s="437">
        <v>53.023900000000005</v>
      </c>
      <c r="W63" s="437">
        <v>53.685199999999995</v>
      </c>
      <c r="X63" s="436">
        <v>53.957000000000001</v>
      </c>
      <c r="Y63" s="436">
        <v>54.406800000000004</v>
      </c>
      <c r="Z63" s="21">
        <f>IFERROR(B63/'Ar-Pa'!B63,0)</f>
        <v>6.8499375000000002</v>
      </c>
      <c r="AA63" s="21">
        <f>IFERROR(C63/'Ar-Pa'!C63,0)</f>
        <v>6.7802625000000001</v>
      </c>
      <c r="AB63" s="21">
        <f>IFERROR(D63/'Ar-Pa'!D63,0)</f>
        <v>6.7560874999999996</v>
      </c>
      <c r="AC63" s="21">
        <f>IFERROR(E63/'Ar-Pa'!E63,0)</f>
        <v>6.7628000000000004</v>
      </c>
      <c r="AD63" s="21">
        <f>IFERROR(F63/'Ar-Pa'!F63,0)</f>
        <v>6.7723750000000003</v>
      </c>
      <c r="AE63" s="21">
        <f>IFERROR(G63/'Ar-Pa'!G63,0)</f>
        <v>7.7838428571428571</v>
      </c>
      <c r="AF63" s="21">
        <f>IFERROR(H63/'Ar-Pa'!H63,0)</f>
        <v>7.8464142857142862</v>
      </c>
      <c r="AG63" s="21">
        <f>IFERROR(I63/'Ar-Pa'!I63,0)</f>
        <v>7.8412428571428574</v>
      </c>
      <c r="AH63" s="21">
        <f>IFERROR(J63/'Ar-Pa'!J63,0)</f>
        <v>7.4090285714285713</v>
      </c>
      <c r="AI63" s="21">
        <f>IFERROR(K63/'Ar-Pa'!K63,0)</f>
        <v>8.4158333333333335</v>
      </c>
      <c r="AJ63" s="21">
        <f>IFERROR(L63/'Ar-Pa'!L63,0)</f>
        <v>6.64975</v>
      </c>
      <c r="AK63" s="21">
        <f>IFERROR(M63/'Ar-Pa'!M63,0)</f>
        <v>6.6291124999999997</v>
      </c>
      <c r="AL63" s="21">
        <f>IFERROR(N63/'Ar-Pa'!N63,0)</f>
        <v>6.6427125</v>
      </c>
      <c r="AM63" s="21">
        <f>IFERROR(O63/'Ar-Pa'!O63,0)</f>
        <v>6.6447250000000002</v>
      </c>
      <c r="AN63" s="21">
        <f>IFERROR(P63/'Ar-Pa'!P63,0)</f>
        <v>6.6532124999999995</v>
      </c>
      <c r="AO63" s="21">
        <f>IFERROR(Q63/'Ar-Pa'!Q63,0)</f>
        <v>6.6174999999999997</v>
      </c>
      <c r="AP63" s="21">
        <f>IFERROR(R63/'Ar-Pa'!R63,0)</f>
        <v>6.6409125000000007</v>
      </c>
      <c r="AQ63" s="21">
        <f>IFERROR(S63/'Ar-Pa'!S63,0)</f>
        <v>6.6270375000000001</v>
      </c>
      <c r="AR63" s="21">
        <f>IFERROR(T63/'Ar-Pa'!T63,0)</f>
        <v>6.6338374999999994</v>
      </c>
      <c r="AS63" s="21">
        <f>IFERROR(U63/'Ar-Pa'!U63,0)</f>
        <v>6.6107250000000004</v>
      </c>
      <c r="AT63" s="21">
        <f>IFERROR(V63/'Ar-Pa'!V63,0)</f>
        <v>6.6279875000000006</v>
      </c>
      <c r="AU63" s="21">
        <f>IFERROR(W63/'Ar-Pa'!W63,0)</f>
        <v>6.7106499999999993</v>
      </c>
      <c r="AV63" s="21">
        <f>IFERROR(X63/'Ar-Pa'!X63,0)</f>
        <v>6.7446250000000001</v>
      </c>
      <c r="AW63" s="21">
        <f>IFERROR(Y63/'Ar-Pa'!Y63,0)</f>
        <v>6.8008500000000005</v>
      </c>
      <c r="AX63" s="21">
        <f t="shared" si="0"/>
        <v>166.45146190476191</v>
      </c>
    </row>
    <row r="64" spans="1:50" s="12" customFormat="1">
      <c r="A64" s="15">
        <v>44989</v>
      </c>
      <c r="B64" s="436">
        <v>54.324199999999998</v>
      </c>
      <c r="C64" s="436">
        <v>54.719199999999994</v>
      </c>
      <c r="D64" s="436">
        <v>54.774999999999999</v>
      </c>
      <c r="E64" s="436">
        <v>54.640300000000003</v>
      </c>
      <c r="F64" s="436">
        <v>54.345999999999997</v>
      </c>
      <c r="G64" s="436">
        <v>54.260400000000004</v>
      </c>
      <c r="H64" s="436">
        <v>53.9099</v>
      </c>
      <c r="I64" s="436">
        <v>53.950400000000002</v>
      </c>
      <c r="J64" s="436">
        <v>53.847000000000001</v>
      </c>
      <c r="K64" s="436">
        <v>53.509900000000002</v>
      </c>
      <c r="L64" s="436">
        <v>53.3904</v>
      </c>
      <c r="M64" s="436">
        <v>53.446599999999997</v>
      </c>
      <c r="N64" s="436">
        <v>53.463300000000004</v>
      </c>
      <c r="O64" s="436">
        <v>52.967500000000001</v>
      </c>
      <c r="P64" s="436">
        <v>53.1387</v>
      </c>
      <c r="Q64" s="436">
        <v>53.325300000000006</v>
      </c>
      <c r="R64" s="436">
        <v>53.136900000000004</v>
      </c>
      <c r="S64" s="436">
        <v>53.085699999999996</v>
      </c>
      <c r="T64" s="437">
        <v>53.270900000000005</v>
      </c>
      <c r="U64" s="437">
        <v>53.120100000000001</v>
      </c>
      <c r="V64" s="437">
        <v>53.050699999999999</v>
      </c>
      <c r="W64" s="437">
        <v>53.5471</v>
      </c>
      <c r="X64" s="436">
        <v>54.539300000000004</v>
      </c>
      <c r="Y64" s="436">
        <v>54.402900000000002</v>
      </c>
      <c r="Z64" s="21">
        <f>IFERROR(B64/'Ar-Pa'!B64,0)</f>
        <v>6.7905249999999997</v>
      </c>
      <c r="AA64" s="21">
        <f>IFERROR(C64/'Ar-Pa'!C64,0)</f>
        <v>6.8398999999999992</v>
      </c>
      <c r="AB64" s="21">
        <f>IFERROR(D64/'Ar-Pa'!D64,0)</f>
        <v>6.8468749999999998</v>
      </c>
      <c r="AC64" s="21">
        <f>IFERROR(E64/'Ar-Pa'!E64,0)</f>
        <v>6.8300375000000004</v>
      </c>
      <c r="AD64" s="21">
        <f>IFERROR(F64/'Ar-Pa'!F64,0)</f>
        <v>7.7637142857142853</v>
      </c>
      <c r="AE64" s="21">
        <f>IFERROR(G64/'Ar-Pa'!G64,0)</f>
        <v>6.7825500000000005</v>
      </c>
      <c r="AF64" s="21">
        <f>IFERROR(H64/'Ar-Pa'!H64,0)</f>
        <v>7.7014142857142858</v>
      </c>
      <c r="AG64" s="21">
        <f>IFERROR(I64/'Ar-Pa'!I64,0)</f>
        <v>7.7072000000000003</v>
      </c>
      <c r="AH64" s="21">
        <f>IFERROR(J64/'Ar-Pa'!J64,0)</f>
        <v>7.6924285714285716</v>
      </c>
      <c r="AI64" s="21">
        <f>IFERROR(K64/'Ar-Pa'!K64,0)</f>
        <v>6.6887375000000002</v>
      </c>
      <c r="AJ64" s="21">
        <f>IFERROR(L64/'Ar-Pa'!L64,0)</f>
        <v>6.6738</v>
      </c>
      <c r="AK64" s="21">
        <f>IFERROR(M64/'Ar-Pa'!M64,0)</f>
        <v>6.6808249999999996</v>
      </c>
      <c r="AL64" s="21">
        <f>IFERROR(N64/'Ar-Pa'!N64,0)</f>
        <v>6.6829125000000005</v>
      </c>
      <c r="AM64" s="21">
        <f>IFERROR(O64/'Ar-Pa'!O64,0)</f>
        <v>6.6209375000000001</v>
      </c>
      <c r="AN64" s="21">
        <f>IFERROR(P64/'Ar-Pa'!P64,0)</f>
        <v>6.6423375</v>
      </c>
      <c r="AO64" s="21">
        <f>IFERROR(Q64/'Ar-Pa'!Q64,0)</f>
        <v>6.6656625000000007</v>
      </c>
      <c r="AP64" s="21">
        <f>IFERROR(R64/'Ar-Pa'!R64,0)</f>
        <v>6.6421125000000005</v>
      </c>
      <c r="AQ64" s="21">
        <f>IFERROR(S64/'Ar-Pa'!S64,0)</f>
        <v>6.6357124999999995</v>
      </c>
      <c r="AR64" s="21">
        <f>IFERROR(T64/'Ar-Pa'!T64,0)</f>
        <v>6.6588625000000006</v>
      </c>
      <c r="AS64" s="21">
        <f>IFERROR(U64/'Ar-Pa'!U64,0)</f>
        <v>6.6400125000000001</v>
      </c>
      <c r="AT64" s="21">
        <f>IFERROR(V64/'Ar-Pa'!V64,0)</f>
        <v>6.6313374999999999</v>
      </c>
      <c r="AU64" s="21">
        <f>IFERROR(W64/'Ar-Pa'!W64,0)</f>
        <v>6.6933875</v>
      </c>
      <c r="AV64" s="21">
        <f>IFERROR(X64/'Ar-Pa'!X64,0)</f>
        <v>6.8174125000000005</v>
      </c>
      <c r="AW64" s="21">
        <f>IFERROR(Y64/'Ar-Pa'!Y64,0)</f>
        <v>6.8003625000000003</v>
      </c>
      <c r="AX64" s="21">
        <f t="shared" si="0"/>
        <v>165.12905714285714</v>
      </c>
    </row>
    <row r="65" spans="1:50" s="12" customFormat="1">
      <c r="A65" s="15">
        <v>44990</v>
      </c>
      <c r="B65" s="436">
        <v>54.323699999999995</v>
      </c>
      <c r="C65" s="436">
        <v>54.843699999999998</v>
      </c>
      <c r="D65" s="436">
        <v>54.948399999999999</v>
      </c>
      <c r="E65" s="436">
        <v>54.6432</v>
      </c>
      <c r="F65" s="436">
        <v>54.413499999999999</v>
      </c>
      <c r="G65" s="436">
        <v>54.258499999999998</v>
      </c>
      <c r="H65" s="436">
        <v>54.047800000000002</v>
      </c>
      <c r="I65" s="436">
        <v>54.298900000000003</v>
      </c>
      <c r="J65" s="436">
        <v>54.220099999999995</v>
      </c>
      <c r="K65" s="436">
        <v>54.0989</v>
      </c>
      <c r="L65" s="436">
        <v>54.158099999999997</v>
      </c>
      <c r="M65" s="436">
        <v>54.561399999999999</v>
      </c>
      <c r="N65" s="436">
        <v>54.601800000000004</v>
      </c>
      <c r="O65" s="436">
        <v>54.6464</v>
      </c>
      <c r="P65" s="436">
        <v>54.6905</v>
      </c>
      <c r="Q65" s="436">
        <v>54.589599999999997</v>
      </c>
      <c r="R65" s="436">
        <v>54.566300000000005</v>
      </c>
      <c r="S65" s="436">
        <v>54.662099999999995</v>
      </c>
      <c r="T65" s="437">
        <v>54.264099999999999</v>
      </c>
      <c r="U65" s="437">
        <v>53.980899999999998</v>
      </c>
      <c r="V65" s="437">
        <v>54.021999999999998</v>
      </c>
      <c r="W65" s="437">
        <v>54.039900000000003</v>
      </c>
      <c r="X65" s="436">
        <v>57.679000000000002</v>
      </c>
      <c r="Y65" s="436">
        <v>60.856300000000005</v>
      </c>
      <c r="Z65" s="21">
        <f>IFERROR(B65/'Ar-Pa'!B65,0)</f>
        <v>6.7904624999999994</v>
      </c>
      <c r="AA65" s="21">
        <f>IFERROR(C65/'Ar-Pa'!C65,0)</f>
        <v>6.8554624999999998</v>
      </c>
      <c r="AB65" s="21">
        <f>IFERROR(D65/'Ar-Pa'!D65,0)</f>
        <v>6.8685499999999999</v>
      </c>
      <c r="AC65" s="21">
        <f>IFERROR(E65/'Ar-Pa'!E65,0)</f>
        <v>6.8304</v>
      </c>
      <c r="AD65" s="21">
        <f>IFERROR(F65/'Ar-Pa'!F65,0)</f>
        <v>6.8016874999999999</v>
      </c>
      <c r="AE65" s="21">
        <f>IFERROR(G65/'Ar-Pa'!G65,0)</f>
        <v>6.7823124999999997</v>
      </c>
      <c r="AF65" s="21">
        <f>IFERROR(H65/'Ar-Pa'!H65,0)</f>
        <v>7.721114285714286</v>
      </c>
      <c r="AG65" s="21">
        <f>IFERROR(I65/'Ar-Pa'!I65,0)</f>
        <v>7.7569857142857144</v>
      </c>
      <c r="AH65" s="21">
        <f>IFERROR(J65/'Ar-Pa'!J65,0)</f>
        <v>7.7457285714285709</v>
      </c>
      <c r="AI65" s="21">
        <f>IFERROR(K65/'Ar-Pa'!K65,0)</f>
        <v>7.7284142857142859</v>
      </c>
      <c r="AJ65" s="21">
        <f>IFERROR(L65/'Ar-Pa'!L65,0)</f>
        <v>7.736871428571428</v>
      </c>
      <c r="AK65" s="21">
        <f>IFERROR(M65/'Ar-Pa'!M65,0)</f>
        <v>6.8201749999999999</v>
      </c>
      <c r="AL65" s="21">
        <f>IFERROR(N65/'Ar-Pa'!N65,0)</f>
        <v>6.8252250000000005</v>
      </c>
      <c r="AM65" s="21">
        <f>IFERROR(O65/'Ar-Pa'!O65,0)</f>
        <v>6.8308</v>
      </c>
      <c r="AN65" s="21">
        <f>IFERROR(P65/'Ar-Pa'!P65,0)</f>
        <v>6.8363125</v>
      </c>
      <c r="AO65" s="21">
        <f>IFERROR(Q65/'Ar-Pa'!Q65,0)</f>
        <v>6.8236999999999997</v>
      </c>
      <c r="AP65" s="21">
        <f>IFERROR(R65/'Ar-Pa'!R65,0)</f>
        <v>6.8207875000000007</v>
      </c>
      <c r="AQ65" s="21">
        <f>IFERROR(S65/'Ar-Pa'!S65,0)</f>
        <v>6.8327624999999994</v>
      </c>
      <c r="AR65" s="21">
        <f>IFERROR(T65/'Ar-Pa'!T65,0)</f>
        <v>6.7830124999999999</v>
      </c>
      <c r="AS65" s="21">
        <f>IFERROR(U65/'Ar-Pa'!U65,0)</f>
        <v>6.7476124999999998</v>
      </c>
      <c r="AT65" s="21">
        <f>IFERROR(V65/'Ar-Pa'!V65,0)</f>
        <v>6.7527499999999998</v>
      </c>
      <c r="AU65" s="21">
        <f>IFERROR(W65/'Ar-Pa'!W65,0)</f>
        <v>6.7549875000000004</v>
      </c>
      <c r="AV65" s="21">
        <f>IFERROR(X65/'Ar-Pa'!X65,0)</f>
        <v>7.2098750000000003</v>
      </c>
      <c r="AW65" s="21">
        <f>IFERROR(Y65/'Ar-Pa'!Y65,0)</f>
        <v>7.6070375000000006</v>
      </c>
      <c r="AX65" s="21">
        <f t="shared" si="0"/>
        <v>169.26302678571429</v>
      </c>
    </row>
    <row r="66" spans="1:50" s="12" customFormat="1">
      <c r="A66" s="15">
        <v>44991</v>
      </c>
      <c r="B66" s="436">
        <v>53.095699999999994</v>
      </c>
      <c r="C66" s="436">
        <v>53.573099999999997</v>
      </c>
      <c r="D66" s="436">
        <v>53.562899999999999</v>
      </c>
      <c r="E66" s="436">
        <v>53.674699999999994</v>
      </c>
      <c r="F66" s="436">
        <v>53.547599999999996</v>
      </c>
      <c r="G66" s="436">
        <v>53.951099999999997</v>
      </c>
      <c r="H66" s="436">
        <v>54.058999999999997</v>
      </c>
      <c r="I66" s="436">
        <v>53.419400000000003</v>
      </c>
      <c r="J66" s="436">
        <v>54.276499999999999</v>
      </c>
      <c r="K66" s="436">
        <v>54.314399999999999</v>
      </c>
      <c r="L66" s="436">
        <v>55.174199999999999</v>
      </c>
      <c r="M66" s="436">
        <v>54.646699999999996</v>
      </c>
      <c r="N66" s="436">
        <v>54.636400000000002</v>
      </c>
      <c r="O66" s="436">
        <v>54.791800000000002</v>
      </c>
      <c r="P66" s="436">
        <v>65.055900000000008</v>
      </c>
      <c r="Q66" s="436">
        <v>66.120800000000003</v>
      </c>
      <c r="R66" s="436">
        <v>54.223999999999997</v>
      </c>
      <c r="S66" s="436">
        <v>53.946199999999997</v>
      </c>
      <c r="T66" s="437">
        <v>53.9696</v>
      </c>
      <c r="U66" s="437">
        <v>53.908699999999996</v>
      </c>
      <c r="V66" s="437">
        <v>53.857599999999998</v>
      </c>
      <c r="W66" s="437">
        <v>53.791800000000002</v>
      </c>
      <c r="X66" s="436">
        <v>53.2029</v>
      </c>
      <c r="Y66" s="436">
        <v>54.204999999999998</v>
      </c>
      <c r="Z66" s="21">
        <f>IFERROR(B66/'Ar-Pa'!B66,0)</f>
        <v>6.6369624999999992</v>
      </c>
      <c r="AA66" s="21">
        <f>IFERROR(C66/'Ar-Pa'!C66,0)</f>
        <v>6.6966374999999996</v>
      </c>
      <c r="AB66" s="21">
        <f>IFERROR(D66/'Ar-Pa'!D66,0)</f>
        <v>6.6953624999999999</v>
      </c>
      <c r="AC66" s="21">
        <f>IFERROR(E66/'Ar-Pa'!E66,0)</f>
        <v>6.7093374999999993</v>
      </c>
      <c r="AD66" s="21">
        <f>IFERROR(F66/'Ar-Pa'!F66,0)</f>
        <v>6.6934499999999995</v>
      </c>
      <c r="AE66" s="21">
        <f>IFERROR(G66/'Ar-Pa'!G66,0)</f>
        <v>6.7438874999999996</v>
      </c>
      <c r="AF66" s="21">
        <f>IFERROR(H66/'Ar-Pa'!H66,0)</f>
        <v>7.722714285714285</v>
      </c>
      <c r="AG66" s="21">
        <f>IFERROR(I66/'Ar-Pa'!I66,0)</f>
        <v>7.6313428571428572</v>
      </c>
      <c r="AH66" s="21">
        <f>IFERROR(J66/'Ar-Pa'!J66,0)</f>
        <v>7.7537857142857138</v>
      </c>
      <c r="AI66" s="21">
        <f>IFERROR(K66/'Ar-Pa'!K66,0)</f>
        <v>7.7591999999999999</v>
      </c>
      <c r="AJ66" s="21">
        <f>IFERROR(L66/'Ar-Pa'!L66,0)</f>
        <v>6.8967749999999999</v>
      </c>
      <c r="AK66" s="21">
        <f>IFERROR(M66/'Ar-Pa'!M66,0)</f>
        <v>6.8308374999999995</v>
      </c>
      <c r="AL66" s="21">
        <f>IFERROR(N66/'Ar-Pa'!N66,0)</f>
        <v>6.8295500000000002</v>
      </c>
      <c r="AM66" s="21">
        <f>IFERROR(O66/'Ar-Pa'!O66,0)</f>
        <v>6.8489750000000003</v>
      </c>
      <c r="AN66" s="21">
        <f>IFERROR(P66/'Ar-Pa'!P66,0)</f>
        <v>8.131987500000001</v>
      </c>
      <c r="AO66" s="21">
        <f>IFERROR(Q66/'Ar-Pa'!Q66,0)</f>
        <v>8.2651000000000003</v>
      </c>
      <c r="AP66" s="21">
        <f>IFERROR(R66/'Ar-Pa'!R66,0)</f>
        <v>6.7779999999999996</v>
      </c>
      <c r="AQ66" s="21">
        <f>IFERROR(S66/'Ar-Pa'!S66,0)</f>
        <v>6.7432749999999997</v>
      </c>
      <c r="AR66" s="21">
        <f>IFERROR(T66/'Ar-Pa'!T66,0)</f>
        <v>6.7462</v>
      </c>
      <c r="AS66" s="21">
        <f>IFERROR(U66/'Ar-Pa'!U66,0)</f>
        <v>6.7385874999999995</v>
      </c>
      <c r="AT66" s="21">
        <f>IFERROR(V66/'Ar-Pa'!V66,0)</f>
        <v>6.7321999999999997</v>
      </c>
      <c r="AU66" s="21">
        <f>IFERROR(W66/'Ar-Pa'!W66,0)</f>
        <v>6.7239750000000003</v>
      </c>
      <c r="AV66" s="21">
        <f>IFERROR(X66/'Ar-Pa'!X66,0)</f>
        <v>6.6503625</v>
      </c>
      <c r="AW66" s="21">
        <f>IFERROR(Y66/'Ar-Pa'!Y66,0)</f>
        <v>6.7756249999999998</v>
      </c>
      <c r="AX66" s="21">
        <f t="shared" ref="AX66:AX122" si="1">SUM(Z66:AW66)</f>
        <v>168.73413035714285</v>
      </c>
    </row>
    <row r="67" spans="1:50" s="12" customFormat="1">
      <c r="A67" s="15">
        <v>44992</v>
      </c>
      <c r="B67" s="436">
        <v>54.494199999999999</v>
      </c>
      <c r="C67" s="436">
        <v>54.421599999999998</v>
      </c>
      <c r="D67" s="436">
        <v>54.474899999999998</v>
      </c>
      <c r="E67" s="436">
        <v>54.398099999999999</v>
      </c>
      <c r="F67" s="436">
        <v>54.542699999999996</v>
      </c>
      <c r="G67" s="436">
        <v>54.176099999999998</v>
      </c>
      <c r="H67" s="436">
        <v>54.006399999999999</v>
      </c>
      <c r="I67" s="436">
        <v>53.9786</v>
      </c>
      <c r="J67" s="436">
        <v>54.924500000000002</v>
      </c>
      <c r="K67" s="436">
        <v>54.7408</v>
      </c>
      <c r="L67" s="436">
        <v>54.684599999999996</v>
      </c>
      <c r="M67" s="436">
        <v>54.619699999999995</v>
      </c>
      <c r="N67" s="436">
        <v>54.697099999999999</v>
      </c>
      <c r="O67" s="436">
        <v>54.632800000000003</v>
      </c>
      <c r="P67" s="436">
        <v>54.650300000000001</v>
      </c>
      <c r="Q67" s="436">
        <v>54.579099999999997</v>
      </c>
      <c r="R67" s="436">
        <v>54.5792</v>
      </c>
      <c r="S67" s="436">
        <v>54.6905</v>
      </c>
      <c r="T67" s="437">
        <v>54.647300000000001</v>
      </c>
      <c r="U67" s="437">
        <v>54.7074</v>
      </c>
      <c r="V67" s="437">
        <v>54.454000000000001</v>
      </c>
      <c r="W67" s="437">
        <v>54.435600000000001</v>
      </c>
      <c r="X67" s="436">
        <v>59.334000000000003</v>
      </c>
      <c r="Y67" s="436">
        <v>52.244900000000001</v>
      </c>
      <c r="Z67" s="21">
        <f>IFERROR(B67/'Ar-Pa'!B67,0)</f>
        <v>6.8117749999999999</v>
      </c>
      <c r="AA67" s="21">
        <f>IFERROR(C67/'Ar-Pa'!C67,0)</f>
        <v>6.8026999999999997</v>
      </c>
      <c r="AB67" s="21">
        <f>IFERROR(D67/'Ar-Pa'!D67,0)</f>
        <v>6.8093624999999998</v>
      </c>
      <c r="AC67" s="21">
        <f>IFERROR(E67/'Ar-Pa'!E67,0)</f>
        <v>6.7997624999999999</v>
      </c>
      <c r="AD67" s="21">
        <f>IFERROR(F67/'Ar-Pa'!F67,0)</f>
        <v>6.8178374999999996</v>
      </c>
      <c r="AE67" s="21">
        <f>IFERROR(G67/'Ar-Pa'!G67,0)</f>
        <v>6.7720124999999998</v>
      </c>
      <c r="AF67" s="21">
        <f>IFERROR(H67/'Ar-Pa'!H67,0)</f>
        <v>7.7152000000000003</v>
      </c>
      <c r="AG67" s="21">
        <f>IFERROR(I67/'Ar-Pa'!I67,0)</f>
        <v>6.747325</v>
      </c>
      <c r="AH67" s="21">
        <f>IFERROR(J67/'Ar-Pa'!J67,0)</f>
        <v>6.8655625000000002</v>
      </c>
      <c r="AI67" s="21">
        <f>IFERROR(K67/'Ar-Pa'!K67,0)</f>
        <v>6.8426</v>
      </c>
      <c r="AJ67" s="21">
        <f>IFERROR(L67/'Ar-Pa'!L67,0)</f>
        <v>6.8355749999999995</v>
      </c>
      <c r="AK67" s="21">
        <f>IFERROR(M67/'Ar-Pa'!M67,0)</f>
        <v>6.8274624999999993</v>
      </c>
      <c r="AL67" s="21">
        <f>IFERROR(N67/'Ar-Pa'!N67,0)</f>
        <v>6.8371374999999999</v>
      </c>
      <c r="AM67" s="21">
        <f>IFERROR(O67/'Ar-Pa'!O67,0)</f>
        <v>6.8291000000000004</v>
      </c>
      <c r="AN67" s="21">
        <f>IFERROR(P67/'Ar-Pa'!P67,0)</f>
        <v>6.8312875000000002</v>
      </c>
      <c r="AO67" s="21">
        <f>IFERROR(Q67/'Ar-Pa'!Q67,0)</f>
        <v>6.8223874999999996</v>
      </c>
      <c r="AP67" s="21">
        <f>IFERROR(R67/'Ar-Pa'!R67,0)</f>
        <v>6.8224</v>
      </c>
      <c r="AQ67" s="21">
        <f>IFERROR(S67/'Ar-Pa'!S67,0)</f>
        <v>6.8363125</v>
      </c>
      <c r="AR67" s="21">
        <f>IFERROR(T67/'Ar-Pa'!T67,0)</f>
        <v>6.8309125000000002</v>
      </c>
      <c r="AS67" s="21">
        <f>IFERROR(U67/'Ar-Pa'!U67,0)</f>
        <v>6.838425</v>
      </c>
      <c r="AT67" s="21">
        <f>IFERROR(V67/'Ar-Pa'!V67,0)</f>
        <v>6.8067500000000001</v>
      </c>
      <c r="AU67" s="21">
        <f>IFERROR(W67/'Ar-Pa'!W67,0)</f>
        <v>6.8044500000000001</v>
      </c>
      <c r="AV67" s="21">
        <f>IFERROR(X67/'Ar-Pa'!X67,0)</f>
        <v>7.4167500000000004</v>
      </c>
      <c r="AW67" s="21">
        <f>IFERROR(Y67/'Ar-Pa'!Y67,0)</f>
        <v>6.5306125000000002</v>
      </c>
      <c r="AX67" s="21">
        <f t="shared" si="1"/>
        <v>164.8537</v>
      </c>
    </row>
    <row r="68" spans="1:50" s="12" customFormat="1">
      <c r="A68" s="15">
        <v>44993</v>
      </c>
      <c r="B68" s="436">
        <v>53.5623</v>
      </c>
      <c r="C68" s="436">
        <v>52.613</v>
      </c>
      <c r="D68" s="436">
        <v>52.363099999999996</v>
      </c>
      <c r="E68" s="436">
        <v>52.566300000000005</v>
      </c>
      <c r="F68" s="436">
        <v>52.511699999999998</v>
      </c>
      <c r="G68" s="436">
        <v>52.417099999999998</v>
      </c>
      <c r="H68" s="436">
        <v>52.924800000000005</v>
      </c>
      <c r="I68" s="436">
        <v>53.100999999999999</v>
      </c>
      <c r="J68" s="436">
        <v>53.0608</v>
      </c>
      <c r="K68" s="436">
        <v>54.726500000000001</v>
      </c>
      <c r="L68" s="436">
        <v>54.863699999999994</v>
      </c>
      <c r="M68" s="436">
        <v>54.097999999999999</v>
      </c>
      <c r="N68" s="436">
        <v>54.4559</v>
      </c>
      <c r="O68" s="436">
        <v>54.459199999999996</v>
      </c>
      <c r="P68" s="436">
        <v>54.485099999999996</v>
      </c>
      <c r="Q68" s="436">
        <v>54.444000000000003</v>
      </c>
      <c r="R68" s="436">
        <v>54.366800000000005</v>
      </c>
      <c r="S68" s="436">
        <v>54.177699999999994</v>
      </c>
      <c r="T68" s="437">
        <v>54.537800000000004</v>
      </c>
      <c r="U68" s="437">
        <v>54.379300000000001</v>
      </c>
      <c r="V68" s="437">
        <v>63.216699999999996</v>
      </c>
      <c r="W68" s="437">
        <v>54.540999999999997</v>
      </c>
      <c r="X68" s="436">
        <v>54.034999999999997</v>
      </c>
      <c r="Y68" s="436">
        <v>53.662800000000004</v>
      </c>
      <c r="Z68" s="21">
        <f>IFERROR(B68/'Ar-Pa'!B68,0)</f>
        <v>6.6952875000000001</v>
      </c>
      <c r="AA68" s="21">
        <f>IFERROR(C68/'Ar-Pa'!C68,0)</f>
        <v>6.5766249999999999</v>
      </c>
      <c r="AB68" s="21">
        <f>IFERROR(D68/'Ar-Pa'!D68,0)</f>
        <v>6.5453874999999995</v>
      </c>
      <c r="AC68" s="21">
        <f>IFERROR(E68/'Ar-Pa'!E68,0)</f>
        <v>6.5707875000000007</v>
      </c>
      <c r="AD68" s="21">
        <f>IFERROR(F68/'Ar-Pa'!F68,0)</f>
        <v>6.5639624999999997</v>
      </c>
      <c r="AE68" s="21">
        <f>IFERROR(G68/'Ar-Pa'!G68,0)</f>
        <v>6.5521374999999997</v>
      </c>
      <c r="AF68" s="21">
        <f>IFERROR(H68/'Ar-Pa'!H68,0)</f>
        <v>7.5606857142857153</v>
      </c>
      <c r="AG68" s="21">
        <f>IFERROR(I68/'Ar-Pa'!I68,0)</f>
        <v>7.5858571428571429</v>
      </c>
      <c r="AH68" s="21">
        <f>IFERROR(J68/'Ar-Pa'!J68,0)</f>
        <v>7.580114285714286</v>
      </c>
      <c r="AI68" s="21">
        <f>IFERROR(K68/'Ar-Pa'!K68,0)</f>
        <v>6.8408125000000002</v>
      </c>
      <c r="AJ68" s="21">
        <f>IFERROR(L68/'Ar-Pa'!L68,0)</f>
        <v>6.8579624999999993</v>
      </c>
      <c r="AK68" s="21">
        <f>IFERROR(M68/'Ar-Pa'!M68,0)</f>
        <v>6.7622499999999999</v>
      </c>
      <c r="AL68" s="21">
        <f>IFERROR(N68/'Ar-Pa'!N68,0)</f>
        <v>6.8069875</v>
      </c>
      <c r="AM68" s="21">
        <f>IFERROR(O68/'Ar-Pa'!O68,0)</f>
        <v>6.8073999999999995</v>
      </c>
      <c r="AN68" s="21">
        <f>IFERROR(P68/'Ar-Pa'!P68,0)</f>
        <v>6.8106374999999995</v>
      </c>
      <c r="AO68" s="21">
        <f>IFERROR(Q68/'Ar-Pa'!Q68,0)</f>
        <v>6.8055000000000003</v>
      </c>
      <c r="AP68" s="21">
        <f>IFERROR(R68/'Ar-Pa'!R68,0)</f>
        <v>6.7958500000000006</v>
      </c>
      <c r="AQ68" s="21">
        <f>IFERROR(S68/'Ar-Pa'!S68,0)</f>
        <v>6.7722124999999993</v>
      </c>
      <c r="AR68" s="21">
        <f>IFERROR(T68/'Ar-Pa'!T68,0)</f>
        <v>6.8172250000000005</v>
      </c>
      <c r="AS68" s="21">
        <f>IFERROR(U68/'Ar-Pa'!U68,0)</f>
        <v>6.7974125000000001</v>
      </c>
      <c r="AT68" s="21">
        <f>IFERROR(V68/'Ar-Pa'!V68,0)</f>
        <v>7.9020874999999995</v>
      </c>
      <c r="AU68" s="21">
        <f>IFERROR(W68/'Ar-Pa'!W68,0)</f>
        <v>6.8176249999999996</v>
      </c>
      <c r="AV68" s="21">
        <f>IFERROR(X68/'Ar-Pa'!X68,0)</f>
        <v>6.7543749999999996</v>
      </c>
      <c r="AW68" s="21">
        <f>IFERROR(Y68/'Ar-Pa'!Y68,0)</f>
        <v>6.7078500000000005</v>
      </c>
      <c r="AX68" s="21">
        <f t="shared" si="1"/>
        <v>165.28703214285716</v>
      </c>
    </row>
    <row r="69" spans="1:50" s="12" customFormat="1">
      <c r="A69" s="15">
        <v>44994</v>
      </c>
      <c r="B69" s="436">
        <v>53.679300000000005</v>
      </c>
      <c r="C69" s="436">
        <v>54.348199999999999</v>
      </c>
      <c r="D69" s="436">
        <v>54.515099999999997</v>
      </c>
      <c r="E69" s="436">
        <v>54.4452</v>
      </c>
      <c r="F69" s="436">
        <v>54.767499999999998</v>
      </c>
      <c r="G69" s="436">
        <v>53.8108</v>
      </c>
      <c r="H69" s="436">
        <v>54.018000000000001</v>
      </c>
      <c r="I69" s="436">
        <v>54.123100000000001</v>
      </c>
      <c r="J69" s="436">
        <v>54.127400000000002</v>
      </c>
      <c r="K69" s="436">
        <v>55.148600000000002</v>
      </c>
      <c r="L69" s="436">
        <v>54.763300000000001</v>
      </c>
      <c r="M69" s="436">
        <v>54.761499999999998</v>
      </c>
      <c r="N69" s="436">
        <v>54.392699999999998</v>
      </c>
      <c r="O69" s="436">
        <v>54.581800000000001</v>
      </c>
      <c r="P69" s="436">
        <v>54.534300000000002</v>
      </c>
      <c r="Q69" s="436">
        <v>54.510400000000004</v>
      </c>
      <c r="R69" s="436">
        <v>54.396099999999997</v>
      </c>
      <c r="S69" s="436">
        <v>54.575099999999999</v>
      </c>
      <c r="T69" s="437">
        <v>54.591699999999996</v>
      </c>
      <c r="U69" s="437">
        <v>54.436</v>
      </c>
      <c r="V69" s="437">
        <v>59.771599999999999</v>
      </c>
      <c r="W69" s="437">
        <v>53.860999999999997</v>
      </c>
      <c r="X69" s="436">
        <v>53.961800000000004</v>
      </c>
      <c r="Y69" s="436">
        <v>54.0792</v>
      </c>
      <c r="Z69" s="21">
        <f>IFERROR(B69/'Ar-Pa'!B69,0)</f>
        <v>6.7099125000000006</v>
      </c>
      <c r="AA69" s="21">
        <f>IFERROR(C69/'Ar-Pa'!C69,0)</f>
        <v>6.7935249999999998</v>
      </c>
      <c r="AB69" s="21">
        <f>IFERROR(D69/'Ar-Pa'!D69,0)</f>
        <v>6.8143874999999996</v>
      </c>
      <c r="AC69" s="21">
        <f>IFERROR(E69/'Ar-Pa'!E69,0)</f>
        <v>6.80565</v>
      </c>
      <c r="AD69" s="21">
        <f>IFERROR(F69/'Ar-Pa'!F69,0)</f>
        <v>6.8459374999999998</v>
      </c>
      <c r="AE69" s="21">
        <f>IFERROR(G69/'Ar-Pa'!G69,0)</f>
        <v>7.6872571428571428</v>
      </c>
      <c r="AF69" s="21">
        <f>IFERROR(H69/'Ar-Pa'!H69,0)</f>
        <v>6.7522500000000001</v>
      </c>
      <c r="AG69" s="21">
        <f>IFERROR(I69/'Ar-Pa'!I69,0)</f>
        <v>7.731871428571429</v>
      </c>
      <c r="AH69" s="21">
        <f>IFERROR(J69/'Ar-Pa'!J69,0)</f>
        <v>7.7324857142857146</v>
      </c>
      <c r="AI69" s="21">
        <f>IFERROR(K69/'Ar-Pa'!K69,0)</f>
        <v>6.8935750000000002</v>
      </c>
      <c r="AJ69" s="21">
        <f>IFERROR(L69/'Ar-Pa'!L69,0)</f>
        <v>6.8454125000000001</v>
      </c>
      <c r="AK69" s="21">
        <f>IFERROR(M69/'Ar-Pa'!M69,0)</f>
        <v>6.8451874999999998</v>
      </c>
      <c r="AL69" s="21">
        <f>IFERROR(N69/'Ar-Pa'!N69,0)</f>
        <v>6.7990874999999997</v>
      </c>
      <c r="AM69" s="21">
        <f>IFERROR(O69/'Ar-Pa'!O69,0)</f>
        <v>6.8227250000000002</v>
      </c>
      <c r="AN69" s="21">
        <f>IFERROR(P69/'Ar-Pa'!P69,0)</f>
        <v>6.8167875000000002</v>
      </c>
      <c r="AO69" s="21">
        <f>IFERROR(Q69/'Ar-Pa'!Q69,0)</f>
        <v>6.8138000000000005</v>
      </c>
      <c r="AP69" s="21">
        <f>IFERROR(R69/'Ar-Pa'!R69,0)</f>
        <v>6.7995124999999996</v>
      </c>
      <c r="AQ69" s="21">
        <f>IFERROR(S69/'Ar-Pa'!S69,0)</f>
        <v>6.8218874999999999</v>
      </c>
      <c r="AR69" s="21">
        <f>IFERROR(T69/'Ar-Pa'!T69,0)</f>
        <v>6.8239624999999995</v>
      </c>
      <c r="AS69" s="21">
        <f>IFERROR(U69/'Ar-Pa'!U69,0)</f>
        <v>6.8045</v>
      </c>
      <c r="AT69" s="21">
        <f>IFERROR(V69/'Ar-Pa'!V69,0)</f>
        <v>7.4714499999999999</v>
      </c>
      <c r="AU69" s="21">
        <f>IFERROR(W69/'Ar-Pa'!W69,0)</f>
        <v>6.7326249999999996</v>
      </c>
      <c r="AV69" s="21">
        <f>IFERROR(X69/'Ar-Pa'!X69,0)</f>
        <v>6.7452250000000005</v>
      </c>
      <c r="AW69" s="21">
        <f>IFERROR(Y69/'Ar-Pa'!Y69,0)</f>
        <v>6.7599</v>
      </c>
      <c r="AX69" s="21">
        <f t="shared" si="1"/>
        <v>166.66891428571429</v>
      </c>
    </row>
    <row r="70" spans="1:50" s="12" customFormat="1">
      <c r="A70" s="15">
        <v>44995</v>
      </c>
      <c r="B70" s="436">
        <v>52.98</v>
      </c>
      <c r="C70" s="436">
        <v>53.762300000000003</v>
      </c>
      <c r="D70" s="436">
        <v>53.760800000000003</v>
      </c>
      <c r="E70" s="436">
        <v>53.673000000000002</v>
      </c>
      <c r="F70" s="436">
        <v>53.628</v>
      </c>
      <c r="G70" s="436">
        <v>52.9985</v>
      </c>
      <c r="H70" s="436">
        <v>53.444099999999999</v>
      </c>
      <c r="I70" s="436">
        <v>53.581199999999995</v>
      </c>
      <c r="J70" s="436">
        <v>53.482599999999998</v>
      </c>
      <c r="K70" s="436">
        <v>54.510199999999998</v>
      </c>
      <c r="L70" s="436">
        <v>54.499400000000001</v>
      </c>
      <c r="M70" s="436">
        <v>54.510400000000004</v>
      </c>
      <c r="N70" s="436">
        <v>54.4557</v>
      </c>
      <c r="O70" s="436">
        <v>54.517699999999998</v>
      </c>
      <c r="P70" s="436">
        <v>54.433800000000005</v>
      </c>
      <c r="Q70" s="436">
        <v>54.385800000000003</v>
      </c>
      <c r="R70" s="436">
        <v>54.366699999999994</v>
      </c>
      <c r="S70" s="436">
        <v>54.505800000000001</v>
      </c>
      <c r="T70" s="437">
        <v>54.526800000000001</v>
      </c>
      <c r="U70" s="437">
        <v>54.345699999999994</v>
      </c>
      <c r="V70" s="437">
        <v>54.3812</v>
      </c>
      <c r="W70" s="437">
        <v>54.395099999999999</v>
      </c>
      <c r="X70" s="436">
        <v>54.676499999999997</v>
      </c>
      <c r="Y70" s="436">
        <v>53.1907</v>
      </c>
      <c r="Z70" s="21">
        <f>IFERROR(B70/'Ar-Pa'!B70,0)</f>
        <v>6.6224999999999996</v>
      </c>
      <c r="AA70" s="21">
        <f>IFERROR(C70/'Ar-Pa'!C70,0)</f>
        <v>6.7202875000000004</v>
      </c>
      <c r="AB70" s="21">
        <f>IFERROR(D70/'Ar-Pa'!D70,0)</f>
        <v>6.7201000000000004</v>
      </c>
      <c r="AC70" s="21">
        <f>IFERROR(E70/'Ar-Pa'!E70,0)</f>
        <v>6.7091250000000002</v>
      </c>
      <c r="AD70" s="21">
        <f>IFERROR(F70/'Ar-Pa'!F70,0)</f>
        <v>6.7035</v>
      </c>
      <c r="AE70" s="21">
        <f>IFERROR(G70/'Ar-Pa'!G70,0)</f>
        <v>6.6248125</v>
      </c>
      <c r="AF70" s="21">
        <f>IFERROR(H70/'Ar-Pa'!H70,0)</f>
        <v>7.6348714285714285</v>
      </c>
      <c r="AG70" s="21">
        <f>IFERROR(I70/'Ar-Pa'!I70,0)</f>
        <v>7.654457142857142</v>
      </c>
      <c r="AH70" s="21">
        <f>IFERROR(J70/'Ar-Pa'!J70,0)</f>
        <v>7.6403714285714281</v>
      </c>
      <c r="AI70" s="21">
        <f>IFERROR(K70/'Ar-Pa'!K70,0)</f>
        <v>6.8137749999999997</v>
      </c>
      <c r="AJ70" s="21">
        <f>IFERROR(L70/'Ar-Pa'!L70,0)</f>
        <v>6.8124250000000002</v>
      </c>
      <c r="AK70" s="21">
        <f>IFERROR(M70/'Ar-Pa'!M70,0)</f>
        <v>6.8138000000000005</v>
      </c>
      <c r="AL70" s="21">
        <f>IFERROR(N70/'Ar-Pa'!N70,0)</f>
        <v>6.8069625</v>
      </c>
      <c r="AM70" s="21">
        <f>IFERROR(O70/'Ar-Pa'!O70,0)</f>
        <v>6.8147124999999997</v>
      </c>
      <c r="AN70" s="21">
        <f>IFERROR(P70/'Ar-Pa'!P70,0)</f>
        <v>6.8042250000000006</v>
      </c>
      <c r="AO70" s="21">
        <f>IFERROR(Q70/'Ar-Pa'!Q70,0)</f>
        <v>6.7982250000000004</v>
      </c>
      <c r="AP70" s="21">
        <f>IFERROR(R70/'Ar-Pa'!R70,0)</f>
        <v>6.7958374999999993</v>
      </c>
      <c r="AQ70" s="21">
        <f>IFERROR(S70/'Ar-Pa'!S70,0)</f>
        <v>6.8132250000000001</v>
      </c>
      <c r="AR70" s="21">
        <f>IFERROR(T70/'Ar-Pa'!T70,0)</f>
        <v>6.8158500000000002</v>
      </c>
      <c r="AS70" s="21">
        <f>IFERROR(U70/'Ar-Pa'!U70,0)</f>
        <v>6.7932124999999992</v>
      </c>
      <c r="AT70" s="21">
        <f>IFERROR(V70/'Ar-Pa'!V70,0)</f>
        <v>6.79765</v>
      </c>
      <c r="AU70" s="21">
        <f>IFERROR(W70/'Ar-Pa'!W70,0)</f>
        <v>6.7993874999999999</v>
      </c>
      <c r="AV70" s="21">
        <f>IFERROR(X70/'Ar-Pa'!X70,0)</f>
        <v>6.8345624999999997</v>
      </c>
      <c r="AW70" s="21">
        <f>IFERROR(Y70/'Ar-Pa'!Y70,0)</f>
        <v>6.6488375</v>
      </c>
      <c r="AX70" s="21">
        <f t="shared" si="1"/>
        <v>164.99271250000004</v>
      </c>
    </row>
    <row r="71" spans="1:50" s="12" customFormat="1">
      <c r="A71" s="15">
        <v>44996</v>
      </c>
      <c r="B71" s="436">
        <v>53.744199999999999</v>
      </c>
      <c r="C71" s="436">
        <v>54.322300000000006</v>
      </c>
      <c r="D71" s="436">
        <v>54.2256</v>
      </c>
      <c r="E71" s="436">
        <v>54.163199999999996</v>
      </c>
      <c r="F71" s="436">
        <v>54.057199999999995</v>
      </c>
      <c r="G71" s="436">
        <v>54.296599999999998</v>
      </c>
      <c r="H71" s="436">
        <v>53.056599999999996</v>
      </c>
      <c r="I71" s="436">
        <v>50.787699999999994</v>
      </c>
      <c r="J71" s="436">
        <v>51.583400000000005</v>
      </c>
      <c r="K71" s="436">
        <v>52.378800000000005</v>
      </c>
      <c r="L71" s="436">
        <v>53.2988</v>
      </c>
      <c r="M71" s="436">
        <v>53.279199999999996</v>
      </c>
      <c r="N71" s="436">
        <v>53.4313</v>
      </c>
      <c r="O71" s="436">
        <v>53.420099999999998</v>
      </c>
      <c r="P71" s="436">
        <v>53.481300000000005</v>
      </c>
      <c r="Q71" s="436">
        <v>53.397199999999998</v>
      </c>
      <c r="R71" s="436">
        <v>53.5595</v>
      </c>
      <c r="S71" s="436">
        <v>53.394300000000001</v>
      </c>
      <c r="T71" s="437">
        <v>53.620699999999999</v>
      </c>
      <c r="U71" s="437">
        <v>53.407800000000002</v>
      </c>
      <c r="V71" s="437">
        <v>53.389499999999998</v>
      </c>
      <c r="W71" s="437">
        <v>53.634099999999997</v>
      </c>
      <c r="X71" s="436">
        <v>53.816600000000001</v>
      </c>
      <c r="Y71" s="436">
        <v>53.380699999999997</v>
      </c>
      <c r="Z71" s="21">
        <f>IFERROR(B71/'Ar-Pa'!B71,0)</f>
        <v>7.6777428571428574</v>
      </c>
      <c r="AA71" s="21">
        <f>IFERROR(C71/'Ar-Pa'!C71,0)</f>
        <v>7.7603285714285724</v>
      </c>
      <c r="AB71" s="21">
        <f>IFERROR(D71/'Ar-Pa'!D71,0)</f>
        <v>7.7465142857142855</v>
      </c>
      <c r="AC71" s="21">
        <f>IFERROR(E71/'Ar-Pa'!E71,0)</f>
        <v>7.7375999999999996</v>
      </c>
      <c r="AD71" s="21">
        <f>IFERROR(F71/'Ar-Pa'!F71,0)</f>
        <v>7.7224571428571425</v>
      </c>
      <c r="AE71" s="21">
        <f>IFERROR(G71/'Ar-Pa'!G71,0)</f>
        <v>7.7566571428571427</v>
      </c>
      <c r="AF71" s="21">
        <f>IFERROR(H71/'Ar-Pa'!H71,0)</f>
        <v>7.5795142857142848</v>
      </c>
      <c r="AG71" s="21">
        <f>IFERROR(I71/'Ar-Pa'!I71,0)</f>
        <v>8.4646166666666662</v>
      </c>
      <c r="AH71" s="21">
        <f>IFERROR(J71/'Ar-Pa'!J71,0)</f>
        <v>8.5972333333333335</v>
      </c>
      <c r="AI71" s="21">
        <f>IFERROR(K71/'Ar-Pa'!K71,0)</f>
        <v>8.7298000000000009</v>
      </c>
      <c r="AJ71" s="21">
        <f>IFERROR(L71/'Ar-Pa'!L71,0)</f>
        <v>7.6141142857142858</v>
      </c>
      <c r="AK71" s="21">
        <f>IFERROR(M71/'Ar-Pa'!M71,0)</f>
        <v>6.6598999999999995</v>
      </c>
      <c r="AL71" s="21">
        <f>IFERROR(N71/'Ar-Pa'!N71,0)</f>
        <v>6.6789125</v>
      </c>
      <c r="AM71" s="21">
        <f>IFERROR(O71/'Ar-Pa'!O71,0)</f>
        <v>6.6775124999999997</v>
      </c>
      <c r="AN71" s="21">
        <f>IFERROR(P71/'Ar-Pa'!P71,0)</f>
        <v>6.6851625000000006</v>
      </c>
      <c r="AO71" s="21">
        <f>IFERROR(Q71/'Ar-Pa'!Q71,0)</f>
        <v>6.6746499999999997</v>
      </c>
      <c r="AP71" s="21">
        <f>IFERROR(R71/'Ar-Pa'!R71,0)</f>
        <v>6.6949375</v>
      </c>
      <c r="AQ71" s="21">
        <f>IFERROR(S71/'Ar-Pa'!S71,0)</f>
        <v>6.6742875000000002</v>
      </c>
      <c r="AR71" s="21">
        <f>IFERROR(T71/'Ar-Pa'!T71,0)</f>
        <v>6.7025874999999999</v>
      </c>
      <c r="AS71" s="21">
        <f>IFERROR(U71/'Ar-Pa'!U71,0)</f>
        <v>6.6759750000000002</v>
      </c>
      <c r="AT71" s="21">
        <f>IFERROR(V71/'Ar-Pa'!V71,0)</f>
        <v>6.6736874999999998</v>
      </c>
      <c r="AU71" s="21">
        <f>IFERROR(W71/'Ar-Pa'!W71,0)</f>
        <v>6.7042624999999996</v>
      </c>
      <c r="AV71" s="21">
        <f>IFERROR(X71/'Ar-Pa'!X71,0)</f>
        <v>6.7270750000000001</v>
      </c>
      <c r="AW71" s="21">
        <f>IFERROR(Y71/'Ar-Pa'!Y71,0)</f>
        <v>6.6725874999999997</v>
      </c>
      <c r="AX71" s="21">
        <f t="shared" si="1"/>
        <v>174.28811607142853</v>
      </c>
    </row>
    <row r="72" spans="1:50" s="12" customFormat="1">
      <c r="A72" s="15">
        <v>44997</v>
      </c>
      <c r="B72" s="436">
        <v>53.957999999999998</v>
      </c>
      <c r="C72" s="436">
        <v>54.877000000000002</v>
      </c>
      <c r="D72" s="436">
        <v>53.762599999999999</v>
      </c>
      <c r="E72" s="436">
        <v>53.161000000000001</v>
      </c>
      <c r="F72" s="436">
        <v>53.223199999999999</v>
      </c>
      <c r="G72" s="436">
        <v>53.005699999999997</v>
      </c>
      <c r="H72" s="436">
        <v>53.116900000000001</v>
      </c>
      <c r="I72" s="436">
        <v>53.336500000000001</v>
      </c>
      <c r="J72" s="436">
        <v>53.353199999999994</v>
      </c>
      <c r="K72" s="436">
        <v>52.328300000000006</v>
      </c>
      <c r="L72" s="436">
        <v>51.966900000000003</v>
      </c>
      <c r="M72" s="436">
        <v>52.070599999999999</v>
      </c>
      <c r="N72" s="436">
        <v>52.460900000000002</v>
      </c>
      <c r="O72" s="436">
        <v>52.508400000000002</v>
      </c>
      <c r="P72" s="436">
        <v>52.660299999999999</v>
      </c>
      <c r="Q72" s="436">
        <v>52.682499999999997</v>
      </c>
      <c r="R72" s="436">
        <v>52.687800000000003</v>
      </c>
      <c r="S72" s="436">
        <v>52.646000000000001</v>
      </c>
      <c r="T72" s="437">
        <v>51.903599999999997</v>
      </c>
      <c r="U72" s="437">
        <v>51.246699999999997</v>
      </c>
      <c r="V72" s="437">
        <v>52.9086</v>
      </c>
      <c r="W72" s="437">
        <v>55.096299999999999</v>
      </c>
      <c r="X72" s="436">
        <v>54.715199999999996</v>
      </c>
      <c r="Y72" s="436">
        <v>54.674900000000001</v>
      </c>
      <c r="Z72" s="21">
        <f>IFERROR(B72/'Ar-Pa'!B72,0)</f>
        <v>6.7447499999999998</v>
      </c>
      <c r="AA72" s="21">
        <f>IFERROR(C72/'Ar-Pa'!C72,0)</f>
        <v>6.8596250000000003</v>
      </c>
      <c r="AB72" s="21">
        <f>IFERROR(D72/'Ar-Pa'!D72,0)</f>
        <v>6.7203249999999999</v>
      </c>
      <c r="AC72" s="21">
        <f>IFERROR(E72/'Ar-Pa'!E72,0)</f>
        <v>7.5944285714285718</v>
      </c>
      <c r="AD72" s="21">
        <f>IFERROR(F72/'Ar-Pa'!F72,0)</f>
        <v>7.6033142857142852</v>
      </c>
      <c r="AE72" s="21">
        <f>IFERROR(G72/'Ar-Pa'!G72,0)</f>
        <v>7.5722428571428564</v>
      </c>
      <c r="AF72" s="21">
        <f>IFERROR(H72/'Ar-Pa'!H72,0)</f>
        <v>7.5881285714285713</v>
      </c>
      <c r="AG72" s="21">
        <f>IFERROR(I72/'Ar-Pa'!I72,0)</f>
        <v>7.6195000000000004</v>
      </c>
      <c r="AH72" s="21">
        <f>IFERROR(J72/'Ar-Pa'!J72,0)</f>
        <v>7.621885714285713</v>
      </c>
      <c r="AI72" s="21">
        <f>IFERROR(K72/'Ar-Pa'!K72,0)</f>
        <v>7.4754714285714297</v>
      </c>
      <c r="AJ72" s="21">
        <f>IFERROR(L72/'Ar-Pa'!L72,0)</f>
        <v>7.4238428571428576</v>
      </c>
      <c r="AK72" s="21">
        <f>IFERROR(M72/'Ar-Pa'!M72,0)</f>
        <v>7.4386571428571431</v>
      </c>
      <c r="AL72" s="21">
        <f>IFERROR(N72/'Ar-Pa'!N72,0)</f>
        <v>7.4944142857142859</v>
      </c>
      <c r="AM72" s="21">
        <f>IFERROR(O72/'Ar-Pa'!O72,0)</f>
        <v>7.5011999999999999</v>
      </c>
      <c r="AN72" s="21">
        <f>IFERROR(P72/'Ar-Pa'!P72,0)</f>
        <v>7.5228999999999999</v>
      </c>
      <c r="AO72" s="21">
        <f>IFERROR(Q72/'Ar-Pa'!Q72,0)</f>
        <v>7.5260714285714281</v>
      </c>
      <c r="AP72" s="21">
        <f>IFERROR(R72/'Ar-Pa'!R72,0)</f>
        <v>7.5268285714285721</v>
      </c>
      <c r="AQ72" s="21">
        <f>IFERROR(S72/'Ar-Pa'!S72,0)</f>
        <v>7.5208571428571434</v>
      </c>
      <c r="AR72" s="21">
        <f>IFERROR(T72/'Ar-Pa'!T72,0)</f>
        <v>7.4147999999999996</v>
      </c>
      <c r="AS72" s="21">
        <f>IFERROR(U72/'Ar-Pa'!U72,0)</f>
        <v>7.3209571428571421</v>
      </c>
      <c r="AT72" s="21">
        <f>IFERROR(V72/'Ar-Pa'!V72,0)</f>
        <v>7.5583714285714283</v>
      </c>
      <c r="AU72" s="21">
        <f>IFERROR(W72/'Ar-Pa'!W72,0)</f>
        <v>7.8708999999999998</v>
      </c>
      <c r="AV72" s="21">
        <f>IFERROR(X72/'Ar-Pa'!X72,0)</f>
        <v>6.8393999999999995</v>
      </c>
      <c r="AW72" s="21">
        <f>IFERROR(Y72/'Ar-Pa'!Y72,0)</f>
        <v>6.8343625000000001</v>
      </c>
      <c r="AX72" s="21">
        <f t="shared" si="1"/>
        <v>177.19323392857143</v>
      </c>
    </row>
    <row r="73" spans="1:50" s="12" customFormat="1">
      <c r="A73" s="15">
        <v>44998</v>
      </c>
      <c r="B73" s="436">
        <v>53.322800000000001</v>
      </c>
      <c r="C73" s="436">
        <v>53.846599999999995</v>
      </c>
      <c r="D73" s="436">
        <v>53.792999999999999</v>
      </c>
      <c r="E73" s="436">
        <v>53.849299999999999</v>
      </c>
      <c r="F73" s="436">
        <v>53.1096</v>
      </c>
      <c r="G73" s="436">
        <v>52.246000000000002</v>
      </c>
      <c r="H73" s="436">
        <v>52.172699999999999</v>
      </c>
      <c r="I73" s="436">
        <v>52.233499999999999</v>
      </c>
      <c r="J73" s="436">
        <v>52.452400000000004</v>
      </c>
      <c r="K73" s="436">
        <v>53.267300000000006</v>
      </c>
      <c r="L73" s="436">
        <v>53.072699999999998</v>
      </c>
      <c r="M73" s="436">
        <v>52.947699999999998</v>
      </c>
      <c r="N73" s="436">
        <v>52.974400000000003</v>
      </c>
      <c r="O73" s="436">
        <v>53.227899999999998</v>
      </c>
      <c r="P73" s="436">
        <v>53.0837</v>
      </c>
      <c r="Q73" s="436">
        <v>53.081499999999998</v>
      </c>
      <c r="R73" s="436">
        <v>53.000099999999996</v>
      </c>
      <c r="S73" s="436">
        <v>52.7395</v>
      </c>
      <c r="T73" s="437">
        <v>53.4664</v>
      </c>
      <c r="U73" s="437">
        <v>53.139600000000002</v>
      </c>
      <c r="V73" s="437">
        <v>52.998699999999999</v>
      </c>
      <c r="W73" s="437">
        <v>53.071400000000004</v>
      </c>
      <c r="X73" s="436">
        <v>54.113399999999999</v>
      </c>
      <c r="Y73" s="436">
        <v>54.068899999999999</v>
      </c>
      <c r="Z73" s="21">
        <f>IFERROR(B73/'Ar-Pa'!B73,0)</f>
        <v>6.6653500000000001</v>
      </c>
      <c r="AA73" s="21">
        <f>IFERROR(C73/'Ar-Pa'!C73,0)</f>
        <v>6.7308249999999994</v>
      </c>
      <c r="AB73" s="21">
        <f>IFERROR(D73/'Ar-Pa'!D73,0)</f>
        <v>6.7241249999999999</v>
      </c>
      <c r="AC73" s="21">
        <f>IFERROR(E73/'Ar-Pa'!E73,0)</f>
        <v>6.7311624999999999</v>
      </c>
      <c r="AD73" s="21">
        <f>IFERROR(F73/'Ar-Pa'!F73,0)</f>
        <v>6.6387</v>
      </c>
      <c r="AE73" s="21">
        <f>IFERROR(G73/'Ar-Pa'!G73,0)</f>
        <v>7.4637142857142864</v>
      </c>
      <c r="AF73" s="21">
        <f>IFERROR(H73/'Ar-Pa'!H73,0)</f>
        <v>7.4532428571428566</v>
      </c>
      <c r="AG73" s="21">
        <f>IFERROR(I73/'Ar-Pa'!I73,0)</f>
        <v>7.4619285714285715</v>
      </c>
      <c r="AH73" s="21">
        <f>IFERROR(J73/'Ar-Pa'!J73,0)</f>
        <v>6.5565500000000005</v>
      </c>
      <c r="AI73" s="21">
        <f>IFERROR(K73/'Ar-Pa'!K73,0)</f>
        <v>6.6584125000000007</v>
      </c>
      <c r="AJ73" s="21">
        <f>IFERROR(L73/'Ar-Pa'!L73,0)</f>
        <v>6.6340874999999997</v>
      </c>
      <c r="AK73" s="21">
        <f>IFERROR(M73/'Ar-Pa'!M73,0)</f>
        <v>6.6184624999999997</v>
      </c>
      <c r="AL73" s="21">
        <f>IFERROR(N73/'Ar-Pa'!N73,0)</f>
        <v>6.6218000000000004</v>
      </c>
      <c r="AM73" s="21">
        <f>IFERROR(O73/'Ar-Pa'!O73,0)</f>
        <v>6.6534874999999998</v>
      </c>
      <c r="AN73" s="21">
        <f>IFERROR(P73/'Ar-Pa'!P73,0)</f>
        <v>6.6354625</v>
      </c>
      <c r="AO73" s="21">
        <f>IFERROR(Q73/'Ar-Pa'!Q73,0)</f>
        <v>6.6351874999999998</v>
      </c>
      <c r="AP73" s="21">
        <f>IFERROR(R73/'Ar-Pa'!R73,0)</f>
        <v>6.6250124999999995</v>
      </c>
      <c r="AQ73" s="21">
        <f>IFERROR(S73/'Ar-Pa'!S73,0)</f>
        <v>6.5924375</v>
      </c>
      <c r="AR73" s="21">
        <f>IFERROR(T73/'Ar-Pa'!T73,0)</f>
        <v>6.6833</v>
      </c>
      <c r="AS73" s="21">
        <f>IFERROR(U73/'Ar-Pa'!U73,0)</f>
        <v>6.6424500000000002</v>
      </c>
      <c r="AT73" s="21">
        <f>IFERROR(V73/'Ar-Pa'!V73,0)</f>
        <v>6.6248374999999999</v>
      </c>
      <c r="AU73" s="21">
        <f>IFERROR(W73/'Ar-Pa'!W73,0)</f>
        <v>6.6339250000000005</v>
      </c>
      <c r="AV73" s="21">
        <f>IFERROR(X73/'Ar-Pa'!X73,0)</f>
        <v>6.7641749999999998</v>
      </c>
      <c r="AW73" s="21">
        <f>IFERROR(Y73/'Ar-Pa'!Y73,0)</f>
        <v>6.7586124999999999</v>
      </c>
      <c r="AX73" s="21">
        <f t="shared" si="1"/>
        <v>162.2072482142857</v>
      </c>
    </row>
    <row r="74" spans="1:50" s="12" customFormat="1">
      <c r="A74" s="15">
        <v>44999</v>
      </c>
      <c r="B74" s="436">
        <v>53.9071</v>
      </c>
      <c r="C74" s="436">
        <v>54.396599999999999</v>
      </c>
      <c r="D74" s="436">
        <v>54.516199999999998</v>
      </c>
      <c r="E74" s="436">
        <v>54.491399999999999</v>
      </c>
      <c r="F74" s="436">
        <v>53.497</v>
      </c>
      <c r="G74" s="436">
        <v>53.239899999999999</v>
      </c>
      <c r="H74" s="436">
        <v>53.088500000000003</v>
      </c>
      <c r="I74" s="436">
        <v>52.335599999999999</v>
      </c>
      <c r="J74" s="436">
        <v>52.795900000000003</v>
      </c>
      <c r="K74" s="436">
        <v>52.998899999999999</v>
      </c>
      <c r="L74" s="436">
        <v>53.378399999999999</v>
      </c>
      <c r="M74" s="436">
        <v>53.3431</v>
      </c>
      <c r="N74" s="436">
        <v>53.397400000000005</v>
      </c>
      <c r="O74" s="436">
        <v>53.4741</v>
      </c>
      <c r="P74" s="436">
        <v>53.491099999999996</v>
      </c>
      <c r="Q74" s="436">
        <v>53.417400000000001</v>
      </c>
      <c r="R74" s="436">
        <v>53.165900000000001</v>
      </c>
      <c r="S74" s="436">
        <v>53.482199999999999</v>
      </c>
      <c r="T74" s="437">
        <v>53.832300000000004</v>
      </c>
      <c r="U74" s="437">
        <v>53.2774</v>
      </c>
      <c r="V74" s="437">
        <v>53.4512</v>
      </c>
      <c r="W74" s="437">
        <v>53.232800000000005</v>
      </c>
      <c r="X74" s="436">
        <v>53.418199999999999</v>
      </c>
      <c r="Y74" s="436">
        <v>53.556699999999999</v>
      </c>
      <c r="Z74" s="21">
        <f>IFERROR(B74/'Ar-Pa'!B74,0)</f>
        <v>6.7383875</v>
      </c>
      <c r="AA74" s="21">
        <f>IFERROR(C74/'Ar-Pa'!C74,0)</f>
        <v>6.7995749999999999</v>
      </c>
      <c r="AB74" s="21">
        <f>IFERROR(D74/'Ar-Pa'!D74,0)</f>
        <v>6.8145249999999997</v>
      </c>
      <c r="AC74" s="21">
        <f>IFERROR(E74/'Ar-Pa'!E74,0)</f>
        <v>6.8114249999999998</v>
      </c>
      <c r="AD74" s="21">
        <f>IFERROR(F74/'Ar-Pa'!F74,0)</f>
        <v>7.6424285714285718</v>
      </c>
      <c r="AE74" s="21">
        <f>IFERROR(G74/'Ar-Pa'!G74,0)</f>
        <v>7.6056999999999997</v>
      </c>
      <c r="AF74" s="21">
        <f>IFERROR(H74/'Ar-Pa'!H74,0)</f>
        <v>7.5840714285714288</v>
      </c>
      <c r="AG74" s="21">
        <f>IFERROR(I74/'Ar-Pa'!I74,0)</f>
        <v>6.5419499999999999</v>
      </c>
      <c r="AH74" s="21">
        <f>IFERROR(J74/'Ar-Pa'!J74,0)</f>
        <v>7.5422714285714294</v>
      </c>
      <c r="AI74" s="21">
        <f>IFERROR(K74/'Ar-Pa'!K74,0)</f>
        <v>6.6248624999999999</v>
      </c>
      <c r="AJ74" s="21">
        <f>IFERROR(L74/'Ar-Pa'!L74,0)</f>
        <v>6.6722999999999999</v>
      </c>
      <c r="AK74" s="21">
        <f>IFERROR(M74/'Ar-Pa'!M74,0)</f>
        <v>6.6678875</v>
      </c>
      <c r="AL74" s="21">
        <f>IFERROR(N74/'Ar-Pa'!N74,0)</f>
        <v>6.6746750000000006</v>
      </c>
      <c r="AM74" s="21">
        <f>IFERROR(O74/'Ar-Pa'!O74,0)</f>
        <v>6.6842625</v>
      </c>
      <c r="AN74" s="21">
        <f>IFERROR(P74/'Ar-Pa'!P74,0)</f>
        <v>6.6863874999999995</v>
      </c>
      <c r="AO74" s="21">
        <f>IFERROR(Q74/'Ar-Pa'!Q74,0)</f>
        <v>6.6771750000000001</v>
      </c>
      <c r="AP74" s="21">
        <f>IFERROR(R74/'Ar-Pa'!R74,0)</f>
        <v>6.6457375000000001</v>
      </c>
      <c r="AQ74" s="21">
        <f>IFERROR(S74/'Ar-Pa'!S74,0)</f>
        <v>6.6852749999999999</v>
      </c>
      <c r="AR74" s="21">
        <f>IFERROR(T74/'Ar-Pa'!T74,0)</f>
        <v>6.7290375000000004</v>
      </c>
      <c r="AS74" s="21">
        <f>IFERROR(U74/'Ar-Pa'!U74,0)</f>
        <v>6.659675</v>
      </c>
      <c r="AT74" s="21">
        <f>IFERROR(V74/'Ar-Pa'!V74,0)</f>
        <v>6.6814</v>
      </c>
      <c r="AU74" s="21">
        <f>IFERROR(W74/'Ar-Pa'!W74,0)</f>
        <v>6.6541000000000006</v>
      </c>
      <c r="AV74" s="21">
        <f>IFERROR(X74/'Ar-Pa'!X74,0)</f>
        <v>6.6772749999999998</v>
      </c>
      <c r="AW74" s="21">
        <f>IFERROR(Y74/'Ar-Pa'!Y74,0)</f>
        <v>6.6945874999999999</v>
      </c>
      <c r="AX74" s="21">
        <f t="shared" si="1"/>
        <v>164.19497142857145</v>
      </c>
    </row>
    <row r="75" spans="1:50" s="12" customFormat="1">
      <c r="A75" s="15">
        <v>45000</v>
      </c>
      <c r="B75" s="436">
        <v>53.766800000000003</v>
      </c>
      <c r="C75" s="436">
        <v>54.292499999999997</v>
      </c>
      <c r="D75" s="436">
        <v>54.450099999999999</v>
      </c>
      <c r="E75" s="436">
        <v>53.252800000000001</v>
      </c>
      <c r="F75" s="436">
        <v>53.729399999999998</v>
      </c>
      <c r="G75" s="436">
        <v>53.664199999999994</v>
      </c>
      <c r="H75" s="436">
        <v>53.489599999999996</v>
      </c>
      <c r="I75" s="436">
        <v>53.774300000000004</v>
      </c>
      <c r="J75" s="436">
        <v>53.525400000000005</v>
      </c>
      <c r="K75" s="436">
        <v>53.297400000000003</v>
      </c>
      <c r="L75" s="436">
        <v>53.382800000000003</v>
      </c>
      <c r="M75" s="436">
        <v>53.586800000000004</v>
      </c>
      <c r="N75" s="436">
        <v>53.4681</v>
      </c>
      <c r="O75" s="436">
        <v>53.235399999999998</v>
      </c>
      <c r="P75" s="436">
        <v>52.981999999999999</v>
      </c>
      <c r="Q75" s="436">
        <v>53.112000000000002</v>
      </c>
      <c r="R75" s="436">
        <v>52.876400000000004</v>
      </c>
      <c r="S75" s="436">
        <v>52.748899999999999</v>
      </c>
      <c r="T75" s="437">
        <v>52.813300000000005</v>
      </c>
      <c r="U75" s="437">
        <v>52.4848</v>
      </c>
      <c r="V75" s="437">
        <v>54.698800000000006</v>
      </c>
      <c r="W75" s="437">
        <v>54.769599999999997</v>
      </c>
      <c r="X75" s="436">
        <v>54.866500000000002</v>
      </c>
      <c r="Y75" s="436">
        <v>54.773699999999998</v>
      </c>
      <c r="Z75" s="21">
        <f>IFERROR(B75/'Ar-Pa'!B75,0)</f>
        <v>6.7208500000000004</v>
      </c>
      <c r="AA75" s="21">
        <f>IFERROR(C75/'Ar-Pa'!C75,0)</f>
        <v>6.7865624999999996</v>
      </c>
      <c r="AB75" s="21">
        <f>IFERROR(D75/'Ar-Pa'!D75,0)</f>
        <v>6.8062624999999999</v>
      </c>
      <c r="AC75" s="21">
        <f>IFERROR(E75/'Ar-Pa'!E75,0)</f>
        <v>7.6075428571428576</v>
      </c>
      <c r="AD75" s="21">
        <f>IFERROR(F75/'Ar-Pa'!F75,0)</f>
        <v>7.6756285714285708</v>
      </c>
      <c r="AE75" s="21">
        <f>IFERROR(G75/'Ar-Pa'!G75,0)</f>
        <v>7.666314285714285</v>
      </c>
      <c r="AF75" s="21">
        <f>IFERROR(H75/'Ar-Pa'!H75,0)</f>
        <v>7.6413714285714276</v>
      </c>
      <c r="AG75" s="21">
        <f>IFERROR(I75/'Ar-Pa'!I75,0)</f>
        <v>7.6820428571428581</v>
      </c>
      <c r="AH75" s="21">
        <f>IFERROR(J75/'Ar-Pa'!J75,0)</f>
        <v>6.6906750000000006</v>
      </c>
      <c r="AI75" s="21">
        <f>IFERROR(K75/'Ar-Pa'!K75,0)</f>
        <v>6.6621750000000004</v>
      </c>
      <c r="AJ75" s="21">
        <f>IFERROR(L75/'Ar-Pa'!L75,0)</f>
        <v>6.6728500000000004</v>
      </c>
      <c r="AK75" s="21">
        <f>IFERROR(M75/'Ar-Pa'!M75,0)</f>
        <v>6.6983500000000005</v>
      </c>
      <c r="AL75" s="21">
        <f>IFERROR(N75/'Ar-Pa'!N75,0)</f>
        <v>6.6835125</v>
      </c>
      <c r="AM75" s="21">
        <f>IFERROR(O75/'Ar-Pa'!O75,0)</f>
        <v>6.6544249999999998</v>
      </c>
      <c r="AN75" s="21">
        <f>IFERROR(P75/'Ar-Pa'!P75,0)</f>
        <v>6.6227499999999999</v>
      </c>
      <c r="AO75" s="21">
        <f>IFERROR(Q75/'Ar-Pa'!Q75,0)</f>
        <v>6.6390000000000002</v>
      </c>
      <c r="AP75" s="21">
        <f>IFERROR(R75/'Ar-Pa'!R75,0)</f>
        <v>6.6095500000000005</v>
      </c>
      <c r="AQ75" s="21">
        <f>IFERROR(S75/'Ar-Pa'!S75,0)</f>
        <v>6.5936124999999999</v>
      </c>
      <c r="AR75" s="21">
        <f>IFERROR(T75/'Ar-Pa'!T75,0)</f>
        <v>6.6016625000000007</v>
      </c>
      <c r="AS75" s="21">
        <f>IFERROR(U75/'Ar-Pa'!U75,0)</f>
        <v>6.5606</v>
      </c>
      <c r="AT75" s="21">
        <f>IFERROR(V75/'Ar-Pa'!V75,0)</f>
        <v>6.8373500000000007</v>
      </c>
      <c r="AU75" s="21">
        <f>IFERROR(W75/'Ar-Pa'!W75,0)</f>
        <v>6.8461999999999996</v>
      </c>
      <c r="AV75" s="21">
        <f>IFERROR(X75/'Ar-Pa'!X75,0)</f>
        <v>6.8583125000000003</v>
      </c>
      <c r="AW75" s="21">
        <f>IFERROR(Y75/'Ar-Pa'!Y75,0)</f>
        <v>6.8467124999999998</v>
      </c>
      <c r="AX75" s="21">
        <f t="shared" si="1"/>
        <v>165.66431250000002</v>
      </c>
    </row>
    <row r="76" spans="1:50" s="12" customFormat="1">
      <c r="A76" s="15">
        <v>45001</v>
      </c>
      <c r="B76" s="436">
        <v>54.9161</v>
      </c>
      <c r="C76" s="436">
        <v>54.743000000000002</v>
      </c>
      <c r="D76" s="436">
        <v>53.709699999999998</v>
      </c>
      <c r="E76" s="436">
        <v>53.636900000000004</v>
      </c>
      <c r="F76" s="436">
        <v>53.8247</v>
      </c>
      <c r="G76" s="436">
        <v>17.265599999999999</v>
      </c>
      <c r="H76" s="436">
        <v>0.48070000000000002</v>
      </c>
      <c r="I76" s="436">
        <v>18.006400000000003</v>
      </c>
      <c r="J76" s="436">
        <v>42.955500000000001</v>
      </c>
      <c r="K76" s="436">
        <v>53.620199999999997</v>
      </c>
      <c r="L76" s="436">
        <v>53.554099999999998</v>
      </c>
      <c r="M76" s="436">
        <v>52.5642</v>
      </c>
      <c r="N76" s="436">
        <v>52.575800000000001</v>
      </c>
      <c r="O76" s="436">
        <v>52.627000000000002</v>
      </c>
      <c r="P76" s="436">
        <v>52.645300000000006</v>
      </c>
      <c r="Q76" s="436">
        <v>52.603400000000001</v>
      </c>
      <c r="R76" s="436">
        <v>52.527300000000004</v>
      </c>
      <c r="S76" s="436">
        <v>52.563000000000002</v>
      </c>
      <c r="T76" s="437">
        <v>52.661099999999998</v>
      </c>
      <c r="U76" s="437">
        <v>52.686199999999999</v>
      </c>
      <c r="V76" s="437">
        <v>52.570599999999999</v>
      </c>
      <c r="W76" s="437">
        <v>52.6599</v>
      </c>
      <c r="X76" s="436">
        <v>53.834800000000001</v>
      </c>
      <c r="Y76" s="436">
        <v>53.856999999999999</v>
      </c>
      <c r="Z76" s="21">
        <f>IFERROR(B76/'Ar-Pa'!B76,0)</f>
        <v>6.8645125</v>
      </c>
      <c r="AA76" s="21">
        <f>IFERROR(C76/'Ar-Pa'!C76,0)</f>
        <v>6.8428750000000003</v>
      </c>
      <c r="AB76" s="21">
        <f>IFERROR(D76/'Ar-Pa'!D76,0)</f>
        <v>7.6728142857142858</v>
      </c>
      <c r="AC76" s="21">
        <f>IFERROR(E76/'Ar-Pa'!E76,0)</f>
        <v>7.6624142857142861</v>
      </c>
      <c r="AD76" s="21">
        <f>IFERROR(F76/'Ar-Pa'!F76,0)</f>
        <v>7.6892428571428573</v>
      </c>
      <c r="AE76" s="21">
        <f>IFERROR(G76/'Ar-Pa'!G76,0)</f>
        <v>8.6327999999999996</v>
      </c>
      <c r="AF76" s="21">
        <f>IFERROR(H76/'Ar-Pa'!H76,0)</f>
        <v>0</v>
      </c>
      <c r="AG76" s="21">
        <f>IFERROR(I76/'Ar-Pa'!I76,0)</f>
        <v>9.0032000000000014</v>
      </c>
      <c r="AH76" s="21">
        <f>IFERROR(J76/'Ar-Pa'!J76,0)</f>
        <v>8.5911000000000008</v>
      </c>
      <c r="AI76" s="21">
        <f>IFERROR(K76/'Ar-Pa'!K76,0)</f>
        <v>7.6600285714285707</v>
      </c>
      <c r="AJ76" s="21">
        <f>IFERROR(L76/'Ar-Pa'!L76,0)</f>
        <v>7.6505857142857137</v>
      </c>
      <c r="AK76" s="21">
        <f>IFERROR(M76/'Ar-Pa'!M76,0)</f>
        <v>6.5705249999999999</v>
      </c>
      <c r="AL76" s="21">
        <f>IFERROR(N76/'Ar-Pa'!N76,0)</f>
        <v>6.5719750000000001</v>
      </c>
      <c r="AM76" s="21">
        <f>IFERROR(O76/'Ar-Pa'!O76,0)</f>
        <v>6.5783750000000003</v>
      </c>
      <c r="AN76" s="21">
        <f>IFERROR(P76/'Ar-Pa'!P76,0)</f>
        <v>6.5806625000000007</v>
      </c>
      <c r="AO76" s="21">
        <f>IFERROR(Q76/'Ar-Pa'!Q76,0)</f>
        <v>6.5754250000000001</v>
      </c>
      <c r="AP76" s="21">
        <f>IFERROR(R76/'Ar-Pa'!R76,0)</f>
        <v>6.5659125000000005</v>
      </c>
      <c r="AQ76" s="21">
        <f>IFERROR(S76/'Ar-Pa'!S76,0)</f>
        <v>6.5703750000000003</v>
      </c>
      <c r="AR76" s="21">
        <f>IFERROR(T76/'Ar-Pa'!T76,0)</f>
        <v>6.5826374999999997</v>
      </c>
      <c r="AS76" s="21">
        <f>IFERROR(U76/'Ar-Pa'!U76,0)</f>
        <v>6.5857749999999999</v>
      </c>
      <c r="AT76" s="21">
        <f>IFERROR(V76/'Ar-Pa'!V76,0)</f>
        <v>6.5713249999999999</v>
      </c>
      <c r="AU76" s="21">
        <f>IFERROR(W76/'Ar-Pa'!W76,0)</f>
        <v>6.5824875</v>
      </c>
      <c r="AV76" s="21">
        <f>IFERROR(X76/'Ar-Pa'!X76,0)</f>
        <v>6.7293500000000002</v>
      </c>
      <c r="AW76" s="21">
        <f>IFERROR(Y76/'Ar-Pa'!Y76,0)</f>
        <v>6.7321249999999999</v>
      </c>
      <c r="AX76" s="21">
        <f t="shared" si="1"/>
        <v>164.06652321428572</v>
      </c>
    </row>
    <row r="77" spans="1:50" s="12" customFormat="1">
      <c r="A77" s="15">
        <v>45002</v>
      </c>
      <c r="B77" s="436">
        <v>53.713500000000003</v>
      </c>
      <c r="C77" s="436">
        <v>53.966099999999997</v>
      </c>
      <c r="D77" s="436">
        <v>54.0214</v>
      </c>
      <c r="E77" s="436">
        <v>54.083199999999998</v>
      </c>
      <c r="F77" s="436">
        <v>54.467400000000005</v>
      </c>
      <c r="G77" s="436">
        <v>16.998000000000001</v>
      </c>
      <c r="H77" s="436">
        <v>4.7200000000000006E-2</v>
      </c>
      <c r="I77" s="436">
        <v>16.713799999999999</v>
      </c>
      <c r="J77" s="436">
        <v>42.911000000000001</v>
      </c>
      <c r="K77" s="436">
        <v>53.915999999999997</v>
      </c>
      <c r="L77" s="436">
        <v>54.965300000000006</v>
      </c>
      <c r="M77" s="436">
        <v>54.467500000000001</v>
      </c>
      <c r="N77" s="436">
        <v>54.4998</v>
      </c>
      <c r="O77" s="436">
        <v>54.448</v>
      </c>
      <c r="P77" s="436">
        <v>54.789400000000001</v>
      </c>
      <c r="Q77" s="436">
        <v>67.5488</v>
      </c>
      <c r="R77" s="436">
        <v>58.624499999999998</v>
      </c>
      <c r="S77" s="436">
        <v>54.7759</v>
      </c>
      <c r="T77" s="437">
        <v>54.207000000000001</v>
      </c>
      <c r="U77" s="437">
        <v>53.943400000000004</v>
      </c>
      <c r="V77" s="437">
        <v>54.123699999999999</v>
      </c>
      <c r="W77" s="437">
        <v>54.031300000000002</v>
      </c>
      <c r="X77" s="436">
        <v>54.228300000000004</v>
      </c>
      <c r="Y77" s="436">
        <v>54.205400000000004</v>
      </c>
      <c r="Z77" s="21">
        <f>IFERROR(B77/'Ar-Pa'!B77,0)</f>
        <v>6.7141875000000004</v>
      </c>
      <c r="AA77" s="21">
        <f>IFERROR(C77/'Ar-Pa'!C77,0)</f>
        <v>6.7457624999999997</v>
      </c>
      <c r="AB77" s="21">
        <f>IFERROR(D77/'Ar-Pa'!D77,0)</f>
        <v>6.752675</v>
      </c>
      <c r="AC77" s="21">
        <f>IFERROR(E77/'Ar-Pa'!E77,0)</f>
        <v>6.7603999999999997</v>
      </c>
      <c r="AD77" s="21">
        <f>IFERROR(F77/'Ar-Pa'!F77,0)</f>
        <v>6.8084250000000006</v>
      </c>
      <c r="AE77" s="21">
        <f>IFERROR(G77/'Ar-Pa'!G77,0)</f>
        <v>8.4990000000000006</v>
      </c>
      <c r="AF77" s="21">
        <f>IFERROR(H77/'Ar-Pa'!H77,0)</f>
        <v>0</v>
      </c>
      <c r="AG77" s="21">
        <f>IFERROR(I77/'Ar-Pa'!I77,0)</f>
        <v>5.5712666666666664</v>
      </c>
      <c r="AH77" s="21">
        <f>IFERROR(J77/'Ar-Pa'!J77,0)</f>
        <v>6.1301428571428573</v>
      </c>
      <c r="AI77" s="21">
        <f>IFERROR(K77/'Ar-Pa'!K77,0)</f>
        <v>7.702285714285714</v>
      </c>
      <c r="AJ77" s="21">
        <f>IFERROR(L77/'Ar-Pa'!L77,0)</f>
        <v>6.8706625000000008</v>
      </c>
      <c r="AK77" s="21">
        <f>IFERROR(M77/'Ar-Pa'!M77,0)</f>
        <v>6.8084375000000001</v>
      </c>
      <c r="AL77" s="21">
        <f>IFERROR(N77/'Ar-Pa'!N77,0)</f>
        <v>6.8124750000000001</v>
      </c>
      <c r="AM77" s="21">
        <f>IFERROR(O77/'Ar-Pa'!O77,0)</f>
        <v>6.806</v>
      </c>
      <c r="AN77" s="21">
        <f>IFERROR(P77/'Ar-Pa'!P77,0)</f>
        <v>6.8486750000000001</v>
      </c>
      <c r="AO77" s="21">
        <f>IFERROR(Q77/'Ar-Pa'!Q77,0)</f>
        <v>8.4436</v>
      </c>
      <c r="AP77" s="21">
        <f>IFERROR(R77/'Ar-Pa'!R77,0)</f>
        <v>7.3280624999999997</v>
      </c>
      <c r="AQ77" s="21">
        <f>IFERROR(S77/'Ar-Pa'!S77,0)</f>
        <v>6.8469875</v>
      </c>
      <c r="AR77" s="21">
        <f>IFERROR(T77/'Ar-Pa'!T77,0)</f>
        <v>6.7758750000000001</v>
      </c>
      <c r="AS77" s="21">
        <f>IFERROR(U77/'Ar-Pa'!U77,0)</f>
        <v>6.7429250000000005</v>
      </c>
      <c r="AT77" s="21">
        <f>IFERROR(V77/'Ar-Pa'!V77,0)</f>
        <v>6.7654624999999999</v>
      </c>
      <c r="AU77" s="21">
        <f>IFERROR(W77/'Ar-Pa'!W77,0)</f>
        <v>6.7539125000000002</v>
      </c>
      <c r="AV77" s="21">
        <f>IFERROR(X77/'Ar-Pa'!X77,0)</f>
        <v>6.7785375000000005</v>
      </c>
      <c r="AW77" s="21">
        <f>IFERROR(Y77/'Ar-Pa'!Y77,0)</f>
        <v>6.7756750000000006</v>
      </c>
      <c r="AX77" s="21">
        <f t="shared" si="1"/>
        <v>159.04143273809527</v>
      </c>
    </row>
    <row r="78" spans="1:50" s="12" customFormat="1">
      <c r="A78" s="15">
        <v>45003</v>
      </c>
      <c r="B78" s="436">
        <v>53.594099999999997</v>
      </c>
      <c r="C78" s="436">
        <v>54.3264</v>
      </c>
      <c r="D78" s="436">
        <v>54.228900000000003</v>
      </c>
      <c r="E78" s="436">
        <v>54.277099999999997</v>
      </c>
      <c r="F78" s="436">
        <v>53.723500000000001</v>
      </c>
      <c r="G78" s="436">
        <v>53.674599999999998</v>
      </c>
      <c r="H78" s="436">
        <v>53.832300000000004</v>
      </c>
      <c r="I78" s="436">
        <v>53.585500000000003</v>
      </c>
      <c r="J78" s="436">
        <v>53.817599999999999</v>
      </c>
      <c r="K78" s="436">
        <v>53.893699999999995</v>
      </c>
      <c r="L78" s="436">
        <v>54.787599999999998</v>
      </c>
      <c r="M78" s="436">
        <v>54.049800000000005</v>
      </c>
      <c r="N78" s="436">
        <v>54.278500000000001</v>
      </c>
      <c r="O78" s="436">
        <v>54.224899999999998</v>
      </c>
      <c r="P78" s="436">
        <v>54.128699999999995</v>
      </c>
      <c r="Q78" s="436">
        <v>54.089599999999997</v>
      </c>
      <c r="R78" s="436">
        <v>54.272599999999997</v>
      </c>
      <c r="S78" s="436">
        <v>54.154199999999996</v>
      </c>
      <c r="T78" s="437">
        <v>54.347999999999999</v>
      </c>
      <c r="U78" s="437">
        <v>54.034500000000001</v>
      </c>
      <c r="V78" s="437">
        <v>54.0595</v>
      </c>
      <c r="W78" s="437">
        <v>54.276400000000002</v>
      </c>
      <c r="X78" s="436">
        <v>54.225099999999998</v>
      </c>
      <c r="Y78" s="436">
        <v>54.0749</v>
      </c>
      <c r="Z78" s="21">
        <f>IFERROR(B78/'Ar-Pa'!B78,0)</f>
        <v>6.6992624999999997</v>
      </c>
      <c r="AA78" s="21">
        <f>IFERROR(C78/'Ar-Pa'!C78,0)</f>
        <v>6.7907999999999999</v>
      </c>
      <c r="AB78" s="21">
        <f>IFERROR(D78/'Ar-Pa'!D78,0)</f>
        <v>6.7786125000000004</v>
      </c>
      <c r="AC78" s="21">
        <f>IFERROR(E78/'Ar-Pa'!E78,0)</f>
        <v>6.7846374999999997</v>
      </c>
      <c r="AD78" s="21">
        <f>IFERROR(F78/'Ar-Pa'!F78,0)</f>
        <v>6.7154375000000002</v>
      </c>
      <c r="AE78" s="21">
        <f>IFERROR(G78/'Ar-Pa'!G78,0)</f>
        <v>7.6677999999999997</v>
      </c>
      <c r="AF78" s="21">
        <f>IFERROR(H78/'Ar-Pa'!H78,0)</f>
        <v>7.6903285714285721</v>
      </c>
      <c r="AG78" s="21">
        <f>IFERROR(I78/'Ar-Pa'!I78,0)</f>
        <v>7.6550714285714294</v>
      </c>
      <c r="AH78" s="21">
        <f>IFERROR(J78/'Ar-Pa'!J78,0)</f>
        <v>7.6882285714285716</v>
      </c>
      <c r="AI78" s="21">
        <f>IFERROR(K78/'Ar-Pa'!K78,0)</f>
        <v>7.6990999999999996</v>
      </c>
      <c r="AJ78" s="21">
        <f>IFERROR(L78/'Ar-Pa'!L78,0)</f>
        <v>6.8484499999999997</v>
      </c>
      <c r="AK78" s="21">
        <f>IFERROR(M78/'Ar-Pa'!M78,0)</f>
        <v>6.7562250000000006</v>
      </c>
      <c r="AL78" s="21">
        <f>IFERROR(N78/'Ar-Pa'!N78,0)</f>
        <v>6.7848125000000001</v>
      </c>
      <c r="AM78" s="21">
        <f>IFERROR(O78/'Ar-Pa'!O78,0)</f>
        <v>6.7781124999999998</v>
      </c>
      <c r="AN78" s="21">
        <f>IFERROR(P78/'Ar-Pa'!P78,0)</f>
        <v>6.7660874999999994</v>
      </c>
      <c r="AO78" s="21">
        <f>IFERROR(Q78/'Ar-Pa'!Q78,0)</f>
        <v>6.7611999999999997</v>
      </c>
      <c r="AP78" s="21">
        <f>IFERROR(R78/'Ar-Pa'!R78,0)</f>
        <v>6.7840749999999996</v>
      </c>
      <c r="AQ78" s="21">
        <f>IFERROR(S78/'Ar-Pa'!S78,0)</f>
        <v>6.7692749999999995</v>
      </c>
      <c r="AR78" s="21">
        <f>IFERROR(T78/'Ar-Pa'!T78,0)</f>
        <v>6.7934999999999999</v>
      </c>
      <c r="AS78" s="21">
        <f>IFERROR(U78/'Ar-Pa'!U78,0)</f>
        <v>6.7543125000000002</v>
      </c>
      <c r="AT78" s="21">
        <f>IFERROR(V78/'Ar-Pa'!V78,0)</f>
        <v>6.7574375</v>
      </c>
      <c r="AU78" s="21">
        <f>IFERROR(W78/'Ar-Pa'!W78,0)</f>
        <v>6.7845500000000003</v>
      </c>
      <c r="AV78" s="21">
        <f>IFERROR(X78/'Ar-Pa'!X78,0)</f>
        <v>6.7781374999999997</v>
      </c>
      <c r="AW78" s="21">
        <f>IFERROR(Y78/'Ar-Pa'!Y78,0)</f>
        <v>6.7593624999999999</v>
      </c>
      <c r="AX78" s="21">
        <f t="shared" si="1"/>
        <v>167.04481607142861</v>
      </c>
    </row>
    <row r="79" spans="1:50" s="12" customFormat="1">
      <c r="A79" s="15">
        <v>45004</v>
      </c>
      <c r="B79" s="436">
        <v>53.543699999999994</v>
      </c>
      <c r="C79" s="436">
        <v>53.847699999999996</v>
      </c>
      <c r="D79" s="436">
        <v>54.468900000000005</v>
      </c>
      <c r="E79" s="436">
        <v>54.451500000000003</v>
      </c>
      <c r="F79" s="436">
        <v>54.492100000000001</v>
      </c>
      <c r="G79" s="436">
        <v>54.412300000000002</v>
      </c>
      <c r="H79" s="436">
        <v>54.628599999999999</v>
      </c>
      <c r="I79" s="436">
        <v>54.844699999999996</v>
      </c>
      <c r="J79" s="436">
        <v>54.658099999999997</v>
      </c>
      <c r="K79" s="436">
        <v>54.749699999999997</v>
      </c>
      <c r="L79" s="436">
        <v>54.539499999999997</v>
      </c>
      <c r="M79" s="436">
        <v>54.768099999999997</v>
      </c>
      <c r="N79" s="436">
        <v>54.459699999999998</v>
      </c>
      <c r="O79" s="436">
        <v>54.773499999999999</v>
      </c>
      <c r="P79" s="436">
        <v>54.896099999999997</v>
      </c>
      <c r="Q79" s="436">
        <v>54.874900000000004</v>
      </c>
      <c r="R79" s="436">
        <v>54.851099999999995</v>
      </c>
      <c r="S79" s="436">
        <v>54.852599999999995</v>
      </c>
      <c r="T79" s="437">
        <v>54.837699999999998</v>
      </c>
      <c r="U79" s="437">
        <v>54.807000000000002</v>
      </c>
      <c r="V79" s="437">
        <v>54.820800000000006</v>
      </c>
      <c r="W79" s="437">
        <v>54.756300000000003</v>
      </c>
      <c r="X79" s="436">
        <v>54.802800000000005</v>
      </c>
      <c r="Y79" s="436">
        <v>54.827599999999997</v>
      </c>
      <c r="Z79" s="21">
        <f>IFERROR(B79/'Ar-Pa'!B79,0)</f>
        <v>7.6490999999999989</v>
      </c>
      <c r="AA79" s="21">
        <f>IFERROR(C79/'Ar-Pa'!C79,0)</f>
        <v>6.7309624999999995</v>
      </c>
      <c r="AB79" s="21">
        <f>IFERROR(D79/'Ar-Pa'!D79,0)</f>
        <v>6.8086125000000006</v>
      </c>
      <c r="AC79" s="21">
        <f>IFERROR(E79/'Ar-Pa'!E79,0)</f>
        <v>6.8064375000000004</v>
      </c>
      <c r="AD79" s="21">
        <f>IFERROR(F79/'Ar-Pa'!F79,0)</f>
        <v>6.8115125000000001</v>
      </c>
      <c r="AE79" s="21">
        <f>IFERROR(G79/'Ar-Pa'!G79,0)</f>
        <v>6.8015375000000002</v>
      </c>
      <c r="AF79" s="21">
        <f>IFERROR(H79/'Ar-Pa'!H79,0)</f>
        <v>7.8040857142857138</v>
      </c>
      <c r="AG79" s="21">
        <f>IFERROR(I79/'Ar-Pa'!I79,0)</f>
        <v>7.8349571428571423</v>
      </c>
      <c r="AH79" s="21">
        <f>IFERROR(J79/'Ar-Pa'!J79,0)</f>
        <v>7.8083</v>
      </c>
      <c r="AI79" s="21">
        <f>IFERROR(K79/'Ar-Pa'!K79,0)</f>
        <v>7.8213857142857135</v>
      </c>
      <c r="AJ79" s="21">
        <f>IFERROR(L79/'Ar-Pa'!L79,0)</f>
        <v>7.7913571428571426</v>
      </c>
      <c r="AK79" s="21">
        <f>IFERROR(M79/'Ar-Pa'!M79,0)</f>
        <v>7.8240142857142851</v>
      </c>
      <c r="AL79" s="21">
        <f>IFERROR(N79/'Ar-Pa'!N79,0)</f>
        <v>6.8074624999999997</v>
      </c>
      <c r="AM79" s="21">
        <f>IFERROR(O79/'Ar-Pa'!O79,0)</f>
        <v>6.8466874999999998</v>
      </c>
      <c r="AN79" s="21">
        <f>IFERROR(P79/'Ar-Pa'!P79,0)</f>
        <v>6.8620124999999996</v>
      </c>
      <c r="AO79" s="21">
        <f>IFERROR(Q79/'Ar-Pa'!Q79,0)</f>
        <v>6.8593625000000005</v>
      </c>
      <c r="AP79" s="21">
        <f>IFERROR(R79/'Ar-Pa'!R79,0)</f>
        <v>6.8563874999999994</v>
      </c>
      <c r="AQ79" s="21">
        <f>IFERROR(S79/'Ar-Pa'!S79,0)</f>
        <v>6.8565749999999994</v>
      </c>
      <c r="AR79" s="21">
        <f>IFERROR(T79/'Ar-Pa'!T79,0)</f>
        <v>6.8547124999999998</v>
      </c>
      <c r="AS79" s="21">
        <f>IFERROR(U79/'Ar-Pa'!U79,0)</f>
        <v>6.8508750000000003</v>
      </c>
      <c r="AT79" s="21">
        <f>IFERROR(V79/'Ar-Pa'!V79,0)</f>
        <v>6.8526000000000007</v>
      </c>
      <c r="AU79" s="21">
        <f>IFERROR(W79/'Ar-Pa'!W79,0)</f>
        <v>6.8445375000000004</v>
      </c>
      <c r="AV79" s="21">
        <f>IFERROR(X79/'Ar-Pa'!X79,0)</f>
        <v>6.8503500000000006</v>
      </c>
      <c r="AW79" s="21">
        <f>IFERROR(Y79/'Ar-Pa'!Y79,0)</f>
        <v>6.8534499999999996</v>
      </c>
      <c r="AX79" s="21">
        <f t="shared" si="1"/>
        <v>170.687275</v>
      </c>
    </row>
    <row r="80" spans="1:50" s="12" customFormat="1">
      <c r="A80" s="15">
        <v>45005</v>
      </c>
      <c r="B80" s="436">
        <v>54.266199999999998</v>
      </c>
      <c r="C80" s="436">
        <v>54.729099999999995</v>
      </c>
      <c r="D80" s="436">
        <v>54.423199999999994</v>
      </c>
      <c r="E80" s="436">
        <v>53.729500000000002</v>
      </c>
      <c r="F80" s="436">
        <v>53.892699999999998</v>
      </c>
      <c r="G80" s="436">
        <v>53.568100000000001</v>
      </c>
      <c r="H80" s="436">
        <v>53.255099999999999</v>
      </c>
      <c r="I80" s="436">
        <v>53.381500000000003</v>
      </c>
      <c r="J80" s="436">
        <v>52.767699999999998</v>
      </c>
      <c r="K80" s="436">
        <v>52.858199999999997</v>
      </c>
      <c r="L80" s="436">
        <v>52.542000000000002</v>
      </c>
      <c r="M80" s="436">
        <v>53.211199999999998</v>
      </c>
      <c r="N80" s="436">
        <v>53.233199999999997</v>
      </c>
      <c r="O80" s="436">
        <v>53.248400000000004</v>
      </c>
      <c r="P80" s="436">
        <v>53.050199999999997</v>
      </c>
      <c r="Q80" s="436">
        <v>53.170499999999997</v>
      </c>
      <c r="R80" s="436">
        <v>53.3279</v>
      </c>
      <c r="S80" s="436">
        <v>53.1721</v>
      </c>
      <c r="T80" s="437">
        <v>53.091900000000003</v>
      </c>
      <c r="U80" s="437">
        <v>53.103300000000004</v>
      </c>
      <c r="V80" s="437">
        <v>53.147599999999997</v>
      </c>
      <c r="W80" s="437">
        <v>53.131300000000003</v>
      </c>
      <c r="X80" s="436">
        <v>53.107800000000005</v>
      </c>
      <c r="Y80" s="436">
        <v>52.954099999999997</v>
      </c>
      <c r="Z80" s="21">
        <f>IFERROR(B80/'Ar-Pa'!B80,0)</f>
        <v>6.7832749999999997</v>
      </c>
      <c r="AA80" s="21">
        <f>IFERROR(C80/'Ar-Pa'!C80,0)</f>
        <v>6.8411374999999994</v>
      </c>
      <c r="AB80" s="21">
        <f>IFERROR(D80/'Ar-Pa'!D80,0)</f>
        <v>6.8028999999999993</v>
      </c>
      <c r="AC80" s="21">
        <f>IFERROR(E80/'Ar-Pa'!E80,0)</f>
        <v>6.7161875000000002</v>
      </c>
      <c r="AD80" s="21">
        <f>IFERROR(F80/'Ar-Pa'!F80,0)</f>
        <v>6.7365874999999997</v>
      </c>
      <c r="AE80" s="21">
        <f>IFERROR(G80/'Ar-Pa'!G80,0)</f>
        <v>7.6525857142857143</v>
      </c>
      <c r="AF80" s="21">
        <f>IFERROR(H80/'Ar-Pa'!H80,0)</f>
        <v>7.6078714285714284</v>
      </c>
      <c r="AG80" s="21">
        <f>IFERROR(I80/'Ar-Pa'!I80,0)</f>
        <v>7.6259285714285721</v>
      </c>
      <c r="AH80" s="21">
        <f>IFERROR(J80/'Ar-Pa'!J80,0)</f>
        <v>7.5382428571428566</v>
      </c>
      <c r="AI80" s="21">
        <f>IFERROR(K80/'Ar-Pa'!K80,0)</f>
        <v>7.5511714285714282</v>
      </c>
      <c r="AJ80" s="21">
        <f>IFERROR(L80/'Ar-Pa'!L80,0)</f>
        <v>7.5060000000000002</v>
      </c>
      <c r="AK80" s="21">
        <f>IFERROR(M80/'Ar-Pa'!M80,0)</f>
        <v>6.6513999999999998</v>
      </c>
      <c r="AL80" s="21">
        <f>IFERROR(N80/'Ar-Pa'!N80,0)</f>
        <v>6.6541499999999996</v>
      </c>
      <c r="AM80" s="21">
        <f>IFERROR(O80/'Ar-Pa'!O80,0)</f>
        <v>6.6560500000000005</v>
      </c>
      <c r="AN80" s="21">
        <f>IFERROR(P80/'Ar-Pa'!P80,0)</f>
        <v>6.6312749999999996</v>
      </c>
      <c r="AO80" s="21">
        <f>IFERROR(Q80/'Ar-Pa'!Q80,0)</f>
        <v>6.6463124999999996</v>
      </c>
      <c r="AP80" s="21">
        <f>IFERROR(R80/'Ar-Pa'!R80,0)</f>
        <v>6.6659875</v>
      </c>
      <c r="AQ80" s="21">
        <f>IFERROR(S80/'Ar-Pa'!S80,0)</f>
        <v>6.6465125</v>
      </c>
      <c r="AR80" s="21">
        <f>IFERROR(T80/'Ar-Pa'!T80,0)</f>
        <v>6.6364875000000003</v>
      </c>
      <c r="AS80" s="21">
        <f>IFERROR(U80/'Ar-Pa'!U80,0)</f>
        <v>6.6379125000000005</v>
      </c>
      <c r="AT80" s="21">
        <f>IFERROR(V80/'Ar-Pa'!V80,0)</f>
        <v>6.6434499999999996</v>
      </c>
      <c r="AU80" s="21">
        <f>IFERROR(W80/'Ar-Pa'!W80,0)</f>
        <v>6.6414125000000004</v>
      </c>
      <c r="AV80" s="21">
        <f>IFERROR(X80/'Ar-Pa'!X80,0)</f>
        <v>6.6384750000000006</v>
      </c>
      <c r="AW80" s="21">
        <f>IFERROR(Y80/'Ar-Pa'!Y80,0)</f>
        <v>6.6192624999999996</v>
      </c>
      <c r="AX80" s="21">
        <f t="shared" si="1"/>
        <v>165.73057499999999</v>
      </c>
    </row>
    <row r="81" spans="1:50" s="12" customFormat="1">
      <c r="A81" s="15">
        <v>45006</v>
      </c>
      <c r="B81" s="436">
        <v>51.7806</v>
      </c>
      <c r="C81" s="436">
        <v>53.552999999999997</v>
      </c>
      <c r="D81" s="436">
        <v>53.57</v>
      </c>
      <c r="E81" s="436">
        <v>53.485500000000002</v>
      </c>
      <c r="F81" s="436">
        <v>53.629400000000004</v>
      </c>
      <c r="G81" s="436">
        <v>53.641800000000003</v>
      </c>
      <c r="H81" s="436">
        <v>53.5623</v>
      </c>
      <c r="I81" s="436">
        <v>53.706499999999998</v>
      </c>
      <c r="J81" s="436">
        <v>53.735199999999999</v>
      </c>
      <c r="K81" s="436">
        <v>53.656999999999996</v>
      </c>
      <c r="L81" s="436">
        <v>53.100699999999996</v>
      </c>
      <c r="M81" s="436">
        <v>53.120800000000003</v>
      </c>
      <c r="N81" s="436">
        <v>53.199199999999998</v>
      </c>
      <c r="O81" s="436">
        <v>53.285800000000002</v>
      </c>
      <c r="P81" s="436">
        <v>53.303599999999996</v>
      </c>
      <c r="Q81" s="436">
        <v>52.662999999999997</v>
      </c>
      <c r="R81" s="436">
        <v>52.612199999999994</v>
      </c>
      <c r="S81" s="436">
        <v>52.589800000000004</v>
      </c>
      <c r="T81" s="437">
        <v>53.09</v>
      </c>
      <c r="U81" s="437">
        <v>53.833500000000001</v>
      </c>
      <c r="V81" s="437">
        <v>53.786699999999996</v>
      </c>
      <c r="W81" s="437">
        <v>53.867100000000001</v>
      </c>
      <c r="X81" s="436">
        <v>53.6678</v>
      </c>
      <c r="Y81" s="436">
        <v>53.589500000000001</v>
      </c>
      <c r="Z81" s="21">
        <f>IFERROR(B81/'Ar-Pa'!B81,0)</f>
        <v>6.472575</v>
      </c>
      <c r="AA81" s="21">
        <f>IFERROR(C81/'Ar-Pa'!C81,0)</f>
        <v>6.6941249999999997</v>
      </c>
      <c r="AB81" s="21">
        <f>IFERROR(D81/'Ar-Pa'!D81,0)</f>
        <v>6.69625</v>
      </c>
      <c r="AC81" s="21">
        <f>IFERROR(E81/'Ar-Pa'!E81,0)</f>
        <v>6.6856875000000002</v>
      </c>
      <c r="AD81" s="21">
        <f>IFERROR(F81/'Ar-Pa'!F81,0)</f>
        <v>7.6613428571428575</v>
      </c>
      <c r="AE81" s="21">
        <f>IFERROR(G81/'Ar-Pa'!G81,0)</f>
        <v>7.6631142857142862</v>
      </c>
      <c r="AF81" s="21">
        <f>IFERROR(H81/'Ar-Pa'!H81,0)</f>
        <v>7.6517571428571429</v>
      </c>
      <c r="AG81" s="21">
        <f>IFERROR(I81/'Ar-Pa'!I81,0)</f>
        <v>7.6723571428571429</v>
      </c>
      <c r="AH81" s="21">
        <f>IFERROR(J81/'Ar-Pa'!J81,0)</f>
        <v>7.6764571428571431</v>
      </c>
      <c r="AI81" s="21">
        <f>IFERROR(K81/'Ar-Pa'!K81,0)</f>
        <v>6.7071249999999996</v>
      </c>
      <c r="AJ81" s="21">
        <f>IFERROR(L81/'Ar-Pa'!L81,0)</f>
        <v>6.6375874999999995</v>
      </c>
      <c r="AK81" s="21">
        <f>IFERROR(M81/'Ar-Pa'!M81,0)</f>
        <v>6.6401000000000003</v>
      </c>
      <c r="AL81" s="21">
        <f>IFERROR(N81/'Ar-Pa'!N81,0)</f>
        <v>6.6498999999999997</v>
      </c>
      <c r="AM81" s="21">
        <f>IFERROR(O81/'Ar-Pa'!O81,0)</f>
        <v>6.6607250000000002</v>
      </c>
      <c r="AN81" s="21">
        <f>IFERROR(P81/'Ar-Pa'!P81,0)</f>
        <v>6.6629499999999995</v>
      </c>
      <c r="AO81" s="21">
        <f>IFERROR(Q81/'Ar-Pa'!Q81,0)</f>
        <v>6.5828749999999996</v>
      </c>
      <c r="AP81" s="21">
        <f>IFERROR(R81/'Ar-Pa'!R81,0)</f>
        <v>6.5765249999999993</v>
      </c>
      <c r="AQ81" s="21">
        <f>IFERROR(S81/'Ar-Pa'!S81,0)</f>
        <v>6.5737250000000005</v>
      </c>
      <c r="AR81" s="21">
        <f>IFERROR(T81/'Ar-Pa'!T81,0)</f>
        <v>6.6362500000000004</v>
      </c>
      <c r="AS81" s="21">
        <f>IFERROR(U81/'Ar-Pa'!U81,0)</f>
        <v>6.7291875000000001</v>
      </c>
      <c r="AT81" s="21">
        <f>IFERROR(V81/'Ar-Pa'!V81,0)</f>
        <v>6.7233374999999995</v>
      </c>
      <c r="AU81" s="21">
        <f>IFERROR(W81/'Ar-Pa'!W81,0)</f>
        <v>6.7333875000000001</v>
      </c>
      <c r="AV81" s="21">
        <f>IFERROR(X81/'Ar-Pa'!X81,0)</f>
        <v>6.708475</v>
      </c>
      <c r="AW81" s="21">
        <f>IFERROR(Y81/'Ar-Pa'!Y81,0)</f>
        <v>6.6986875000000001</v>
      </c>
      <c r="AX81" s="21">
        <f t="shared" si="1"/>
        <v>164.79450357142858</v>
      </c>
    </row>
    <row r="82" spans="1:50" s="12" customFormat="1">
      <c r="A82" s="15">
        <v>45007</v>
      </c>
      <c r="B82" s="436">
        <v>53.731699999999996</v>
      </c>
      <c r="C82" s="436">
        <v>54.173000000000002</v>
      </c>
      <c r="D82" s="436">
        <v>54.0396</v>
      </c>
      <c r="E82" s="436">
        <v>53.965600000000002</v>
      </c>
      <c r="F82" s="436">
        <v>54.145900000000005</v>
      </c>
      <c r="G82" s="436">
        <v>53.848300000000002</v>
      </c>
      <c r="H82" s="436">
        <v>54.072900000000004</v>
      </c>
      <c r="I82" s="436">
        <v>53.782800000000002</v>
      </c>
      <c r="J82" s="436">
        <v>53.017300000000006</v>
      </c>
      <c r="K82" s="436">
        <v>53.707599999999999</v>
      </c>
      <c r="L82" s="436">
        <v>53.537099999999995</v>
      </c>
      <c r="M82" s="436">
        <v>53.722099999999998</v>
      </c>
      <c r="N82" s="436">
        <v>53.717800000000004</v>
      </c>
      <c r="O82" s="436">
        <v>53.460699999999996</v>
      </c>
      <c r="P82" s="436">
        <v>52.854599999999998</v>
      </c>
      <c r="Q82" s="436">
        <v>53.348699999999994</v>
      </c>
      <c r="R82" s="436">
        <v>53.284300000000002</v>
      </c>
      <c r="S82" s="436">
        <v>53.226500000000001</v>
      </c>
      <c r="T82" s="437">
        <v>53.2057</v>
      </c>
      <c r="U82" s="437">
        <v>53.6355</v>
      </c>
      <c r="V82" s="437">
        <v>54.486899999999999</v>
      </c>
      <c r="W82" s="437">
        <v>54.270400000000002</v>
      </c>
      <c r="X82" s="436">
        <v>52.070999999999998</v>
      </c>
      <c r="Y82" s="436">
        <v>54.446599999999997</v>
      </c>
      <c r="Z82" s="21">
        <f>IFERROR(B82/'Ar-Pa'!B82,0)</f>
        <v>7.6759571428571425</v>
      </c>
      <c r="AA82" s="21">
        <f>IFERROR(C82/'Ar-Pa'!C82,0)</f>
        <v>7.7389999999999999</v>
      </c>
      <c r="AB82" s="21">
        <f>IFERROR(D82/'Ar-Pa'!D82,0)</f>
        <v>7.7199428571428568</v>
      </c>
      <c r="AC82" s="21">
        <f>IFERROR(E82/'Ar-Pa'!E82,0)</f>
        <v>7.709371428571429</v>
      </c>
      <c r="AD82" s="21">
        <f>IFERROR(F82/'Ar-Pa'!F82,0)</f>
        <v>7.7351285714285725</v>
      </c>
      <c r="AE82" s="21">
        <f>IFERROR(G82/'Ar-Pa'!G82,0)</f>
        <v>7.6926142857142858</v>
      </c>
      <c r="AF82" s="21">
        <f>IFERROR(H82/'Ar-Pa'!H82,0)</f>
        <v>7.7247000000000003</v>
      </c>
      <c r="AG82" s="21">
        <f>IFERROR(I82/'Ar-Pa'!I82,0)</f>
        <v>7.6832571428571432</v>
      </c>
      <c r="AH82" s="21">
        <f>IFERROR(J82/'Ar-Pa'!J82,0)</f>
        <v>7.573900000000001</v>
      </c>
      <c r="AI82" s="21">
        <f>IFERROR(K82/'Ar-Pa'!K82,0)</f>
        <v>7.6725142857142856</v>
      </c>
      <c r="AJ82" s="21">
        <f>IFERROR(L82/'Ar-Pa'!L82,0)</f>
        <v>7.6481571428571424</v>
      </c>
      <c r="AK82" s="21">
        <f>IFERROR(M82/'Ar-Pa'!M82,0)</f>
        <v>7.6745857142857137</v>
      </c>
      <c r="AL82" s="21">
        <f>IFERROR(N82/'Ar-Pa'!N82,0)</f>
        <v>7.6739714285714289</v>
      </c>
      <c r="AM82" s="21">
        <f>IFERROR(O82/'Ar-Pa'!O82,0)</f>
        <v>7.6372428571428568</v>
      </c>
      <c r="AN82" s="21">
        <f>IFERROR(P82/'Ar-Pa'!P82,0)</f>
        <v>6.6068249999999997</v>
      </c>
      <c r="AO82" s="21">
        <f>IFERROR(Q82/'Ar-Pa'!Q82,0)</f>
        <v>7.6212428571428559</v>
      </c>
      <c r="AP82" s="21">
        <f>IFERROR(R82/'Ar-Pa'!R82,0)</f>
        <v>7.6120428571428578</v>
      </c>
      <c r="AQ82" s="21">
        <f>IFERROR(S82/'Ar-Pa'!S82,0)</f>
        <v>7.6037857142857144</v>
      </c>
      <c r="AR82" s="21">
        <f>IFERROR(T82/'Ar-Pa'!T82,0)</f>
        <v>6.6507125</v>
      </c>
      <c r="AS82" s="21">
        <f>IFERROR(U82/'Ar-Pa'!U82,0)</f>
        <v>6.7044375</v>
      </c>
      <c r="AT82" s="21">
        <f>IFERROR(V82/'Ar-Pa'!V82,0)</f>
        <v>7.7838428571428571</v>
      </c>
      <c r="AU82" s="21">
        <f>IFERROR(W82/'Ar-Pa'!W82,0)</f>
        <v>7.7529142857142856</v>
      </c>
      <c r="AV82" s="21">
        <f>IFERROR(X82/'Ar-Pa'!X82,0)</f>
        <v>7.4387142857142852</v>
      </c>
      <c r="AW82" s="21">
        <f>IFERROR(Y82/'Ar-Pa'!Y82,0)</f>
        <v>7.778085714285714</v>
      </c>
      <c r="AX82" s="21">
        <f t="shared" si="1"/>
        <v>181.11294642857146</v>
      </c>
    </row>
    <row r="83" spans="1:50" s="12" customFormat="1">
      <c r="A83" s="15">
        <v>45008</v>
      </c>
      <c r="B83" s="436">
        <v>53.215199999999996</v>
      </c>
      <c r="C83" s="436">
        <v>54.535800000000002</v>
      </c>
      <c r="D83" s="436">
        <v>54.5563</v>
      </c>
      <c r="E83" s="436">
        <v>54.605800000000002</v>
      </c>
      <c r="F83" s="436">
        <v>54.570900000000002</v>
      </c>
      <c r="G83" s="436">
        <v>54.594699999999996</v>
      </c>
      <c r="H83" s="436">
        <v>54.510199999999998</v>
      </c>
      <c r="I83" s="436">
        <v>54.525100000000002</v>
      </c>
      <c r="J83" s="436">
        <v>54.547199999999997</v>
      </c>
      <c r="K83" s="436">
        <v>54.552399999999999</v>
      </c>
      <c r="L83" s="436">
        <v>55.273400000000002</v>
      </c>
      <c r="M83" s="436">
        <v>54.498599999999996</v>
      </c>
      <c r="N83" s="436">
        <v>54.491999999999997</v>
      </c>
      <c r="O83" s="436">
        <v>54.485099999999996</v>
      </c>
      <c r="P83" s="436">
        <v>54.489199999999997</v>
      </c>
      <c r="Q83" s="436">
        <v>54.556100000000001</v>
      </c>
      <c r="R83" s="436">
        <v>54.511400000000002</v>
      </c>
      <c r="S83" s="436">
        <v>54.545699999999997</v>
      </c>
      <c r="T83" s="437">
        <v>54.551499999999997</v>
      </c>
      <c r="U83" s="437">
        <v>54.338099999999997</v>
      </c>
      <c r="V83" s="437">
        <v>54.450499999999998</v>
      </c>
      <c r="W83" s="437">
        <v>54.465699999999998</v>
      </c>
      <c r="X83" s="436">
        <v>54.435400000000001</v>
      </c>
      <c r="Y83" s="436">
        <v>54.2239</v>
      </c>
      <c r="Z83" s="21">
        <f>IFERROR(B83/'Ar-Pa'!B83,0)</f>
        <v>7.6021714285714284</v>
      </c>
      <c r="AA83" s="21">
        <f>IFERROR(C83/'Ar-Pa'!C83,0)</f>
        <v>7.7908285714285714</v>
      </c>
      <c r="AB83" s="21">
        <f>IFERROR(D83/'Ar-Pa'!D83,0)</f>
        <v>7.7937571428571433</v>
      </c>
      <c r="AC83" s="21">
        <f>IFERROR(E83/'Ar-Pa'!E83,0)</f>
        <v>7.8008285714285721</v>
      </c>
      <c r="AD83" s="21">
        <f>IFERROR(F83/'Ar-Pa'!F83,0)</f>
        <v>7.7958428571428575</v>
      </c>
      <c r="AE83" s="21">
        <f>IFERROR(G83/'Ar-Pa'!G83,0)</f>
        <v>7.7992428571428567</v>
      </c>
      <c r="AF83" s="21">
        <f>IFERROR(H83/'Ar-Pa'!H83,0)</f>
        <v>7.787171428571428</v>
      </c>
      <c r="AG83" s="21">
        <f>IFERROR(I83/'Ar-Pa'!I83,0)</f>
        <v>7.7892999999999999</v>
      </c>
      <c r="AH83" s="21">
        <f>IFERROR(J83/'Ar-Pa'!J83,0)</f>
        <v>7.7924571428571427</v>
      </c>
      <c r="AI83" s="21">
        <f>IFERROR(K83/'Ar-Pa'!K83,0)</f>
        <v>7.7931999999999997</v>
      </c>
      <c r="AJ83" s="21">
        <f>IFERROR(L83/'Ar-Pa'!L83,0)</f>
        <v>6.9091750000000003</v>
      </c>
      <c r="AK83" s="21">
        <f>IFERROR(M83/'Ar-Pa'!M83,0)</f>
        <v>6.8123249999999995</v>
      </c>
      <c r="AL83" s="21">
        <f>IFERROR(N83/'Ar-Pa'!N83,0)</f>
        <v>6.8114999999999997</v>
      </c>
      <c r="AM83" s="21">
        <f>IFERROR(O83/'Ar-Pa'!O83,0)</f>
        <v>6.8106374999999995</v>
      </c>
      <c r="AN83" s="21">
        <f>IFERROR(P83/'Ar-Pa'!P83,0)</f>
        <v>6.8111499999999996</v>
      </c>
      <c r="AO83" s="21">
        <f>IFERROR(Q83/'Ar-Pa'!Q83,0)</f>
        <v>6.8195125000000001</v>
      </c>
      <c r="AP83" s="21">
        <f>IFERROR(R83/'Ar-Pa'!R83,0)</f>
        <v>6.8139250000000002</v>
      </c>
      <c r="AQ83" s="21">
        <f>IFERROR(S83/'Ar-Pa'!S83,0)</f>
        <v>6.8182124999999996</v>
      </c>
      <c r="AR83" s="21">
        <f>IFERROR(T83/'Ar-Pa'!T83,0)</f>
        <v>6.8189374999999997</v>
      </c>
      <c r="AS83" s="21">
        <f>IFERROR(U83/'Ar-Pa'!U83,0)</f>
        <v>6.7922624999999996</v>
      </c>
      <c r="AT83" s="21">
        <f>IFERROR(V83/'Ar-Pa'!V83,0)</f>
        <v>6.8063124999999998</v>
      </c>
      <c r="AU83" s="21">
        <f>IFERROR(W83/'Ar-Pa'!W83,0)</f>
        <v>6.8082124999999998</v>
      </c>
      <c r="AV83" s="21">
        <f>IFERROR(X83/'Ar-Pa'!X83,0)</f>
        <v>6.8044250000000002</v>
      </c>
      <c r="AW83" s="21">
        <f>IFERROR(Y83/'Ar-Pa'!Y83,0)</f>
        <v>6.7779875000000001</v>
      </c>
      <c r="AX83" s="21">
        <f t="shared" si="1"/>
        <v>173.15937499999998</v>
      </c>
    </row>
    <row r="84" spans="1:50" s="12" customFormat="1">
      <c r="A84" s="15">
        <v>45009</v>
      </c>
      <c r="B84" s="436">
        <v>53.110399999999998</v>
      </c>
      <c r="C84" s="436">
        <v>53.049399999999999</v>
      </c>
      <c r="D84" s="436">
        <v>53.009800000000006</v>
      </c>
      <c r="E84" s="436">
        <v>53.384500000000003</v>
      </c>
      <c r="F84" s="436">
        <v>53.369500000000002</v>
      </c>
      <c r="G84" s="436">
        <v>52.884399999999999</v>
      </c>
      <c r="H84" s="436">
        <v>53.052399999999999</v>
      </c>
      <c r="I84" s="436">
        <v>53.006399999999999</v>
      </c>
      <c r="J84" s="436">
        <v>53.2164</v>
      </c>
      <c r="K84" s="436">
        <v>54.820699999999995</v>
      </c>
      <c r="L84" s="436">
        <v>54.782599999999995</v>
      </c>
      <c r="M84" s="436">
        <v>53.957599999999999</v>
      </c>
      <c r="N84" s="436">
        <v>54.708500000000001</v>
      </c>
      <c r="O84" s="436">
        <v>54.076699999999995</v>
      </c>
      <c r="P84" s="436">
        <v>54.462900000000005</v>
      </c>
      <c r="Q84" s="436">
        <v>54.284999999999997</v>
      </c>
      <c r="R84" s="436">
        <v>54.208400000000005</v>
      </c>
      <c r="S84" s="436">
        <v>54.138100000000001</v>
      </c>
      <c r="T84" s="437">
        <v>54.041499999999999</v>
      </c>
      <c r="U84" s="437">
        <v>54.1145</v>
      </c>
      <c r="V84" s="437">
        <v>54.0852</v>
      </c>
      <c r="W84" s="437">
        <v>64.081800000000001</v>
      </c>
      <c r="X84" s="436">
        <v>65.340500000000006</v>
      </c>
      <c r="Y84" s="436">
        <v>64.226600000000005</v>
      </c>
      <c r="Z84" s="21">
        <f>IFERROR(B84/'Ar-Pa'!B84,0)</f>
        <v>6.6387999999999998</v>
      </c>
      <c r="AA84" s="21">
        <f>IFERROR(C84/'Ar-Pa'!C84,0)</f>
        <v>7.5784857142857138</v>
      </c>
      <c r="AB84" s="21">
        <f>IFERROR(D84/'Ar-Pa'!D84,0)</f>
        <v>7.5728285714285724</v>
      </c>
      <c r="AC84" s="21">
        <f>IFERROR(E84/'Ar-Pa'!E84,0)</f>
        <v>6.6730625000000003</v>
      </c>
      <c r="AD84" s="21">
        <f>IFERROR(F84/'Ar-Pa'!F84,0)</f>
        <v>6.6711875000000003</v>
      </c>
      <c r="AE84" s="21">
        <f>IFERROR(G84/'Ar-Pa'!G84,0)</f>
        <v>6.6105499999999999</v>
      </c>
      <c r="AF84" s="21">
        <f>IFERROR(H84/'Ar-Pa'!H84,0)</f>
        <v>7.5789142857142853</v>
      </c>
      <c r="AG84" s="21">
        <f>IFERROR(I84/'Ar-Pa'!I84,0)</f>
        <v>7.572342857142857</v>
      </c>
      <c r="AH84" s="21">
        <f>IFERROR(J84/'Ar-Pa'!J84,0)</f>
        <v>6.65205</v>
      </c>
      <c r="AI84" s="21">
        <f>IFERROR(K84/'Ar-Pa'!K84,0)</f>
        <v>6.8525874999999994</v>
      </c>
      <c r="AJ84" s="21">
        <f>IFERROR(L84/'Ar-Pa'!L84,0)</f>
        <v>6.8478249999999994</v>
      </c>
      <c r="AK84" s="21">
        <f>IFERROR(M84/'Ar-Pa'!M84,0)</f>
        <v>6.7446999999999999</v>
      </c>
      <c r="AL84" s="21">
        <f>IFERROR(N84/'Ar-Pa'!N84,0)</f>
        <v>6.8385625000000001</v>
      </c>
      <c r="AM84" s="21">
        <f>IFERROR(O84/'Ar-Pa'!O84,0)</f>
        <v>6.7595874999999994</v>
      </c>
      <c r="AN84" s="21">
        <f>IFERROR(P84/'Ar-Pa'!P84,0)</f>
        <v>6.8078625000000006</v>
      </c>
      <c r="AO84" s="21">
        <f>IFERROR(Q84/'Ar-Pa'!Q84,0)</f>
        <v>6.7856249999999996</v>
      </c>
      <c r="AP84" s="21">
        <f>IFERROR(R84/'Ar-Pa'!R84,0)</f>
        <v>6.7760500000000006</v>
      </c>
      <c r="AQ84" s="21">
        <f>IFERROR(S84/'Ar-Pa'!S84,0)</f>
        <v>6.7672625000000002</v>
      </c>
      <c r="AR84" s="21">
        <f>IFERROR(T84/'Ar-Pa'!T84,0)</f>
        <v>6.7551874999999999</v>
      </c>
      <c r="AS84" s="21">
        <f>IFERROR(U84/'Ar-Pa'!U84,0)</f>
        <v>6.7643125</v>
      </c>
      <c r="AT84" s="21">
        <f>IFERROR(V84/'Ar-Pa'!V84,0)</f>
        <v>6.76065</v>
      </c>
      <c r="AU84" s="21">
        <f>IFERROR(W84/'Ar-Pa'!W84,0)</f>
        <v>8.0102250000000002</v>
      </c>
      <c r="AV84" s="21">
        <f>IFERROR(X84/'Ar-Pa'!X84,0)</f>
        <v>8.1675625000000007</v>
      </c>
      <c r="AW84" s="21">
        <f>IFERROR(Y84/'Ar-Pa'!Y84,0)</f>
        <v>8.0283250000000006</v>
      </c>
      <c r="AX84" s="21">
        <f t="shared" si="1"/>
        <v>169.2145464285714</v>
      </c>
    </row>
    <row r="85" spans="1:50" s="12" customFormat="1">
      <c r="A85" s="15">
        <v>45010</v>
      </c>
      <c r="B85" s="436">
        <v>54.1143</v>
      </c>
      <c r="C85" s="436">
        <v>54.150599999999997</v>
      </c>
      <c r="D85" s="436">
        <v>54.254599999999996</v>
      </c>
      <c r="E85" s="436">
        <v>53.3748</v>
      </c>
      <c r="F85" s="436">
        <v>52.4636</v>
      </c>
      <c r="G85" s="436">
        <v>53.077800000000003</v>
      </c>
      <c r="H85" s="436">
        <v>53.210099999999997</v>
      </c>
      <c r="I85" s="436">
        <v>52.965199999999996</v>
      </c>
      <c r="J85" s="436">
        <v>53.430900000000001</v>
      </c>
      <c r="K85" s="436">
        <v>54.7605</v>
      </c>
      <c r="L85" s="436">
        <v>54.201500000000003</v>
      </c>
      <c r="M85" s="436">
        <v>54.264400000000002</v>
      </c>
      <c r="N85" s="436">
        <v>54.1723</v>
      </c>
      <c r="O85" s="436">
        <v>54.322400000000002</v>
      </c>
      <c r="P85" s="436">
        <v>54.361899999999999</v>
      </c>
      <c r="Q85" s="436">
        <v>54.117699999999999</v>
      </c>
      <c r="R85" s="436">
        <v>54.169800000000002</v>
      </c>
      <c r="S85" s="436">
        <v>54.255800000000001</v>
      </c>
      <c r="T85" s="437">
        <v>54.301900000000003</v>
      </c>
      <c r="U85" s="437">
        <v>54.134699999999995</v>
      </c>
      <c r="V85" s="437">
        <v>54.198300000000003</v>
      </c>
      <c r="W85" s="437">
        <v>53.832699999999996</v>
      </c>
      <c r="X85" s="436">
        <v>54.188099999999999</v>
      </c>
      <c r="Y85" s="436">
        <v>53.8812</v>
      </c>
      <c r="Z85" s="21">
        <f>IFERROR(B85/'Ar-Pa'!B85,0)</f>
        <v>6.7642875</v>
      </c>
      <c r="AA85" s="21">
        <f>IFERROR(C85/'Ar-Pa'!C85,0)</f>
        <v>7.7357999999999993</v>
      </c>
      <c r="AB85" s="21">
        <f>IFERROR(D85/'Ar-Pa'!D85,0)</f>
        <v>7.7506571428571425</v>
      </c>
      <c r="AC85" s="21">
        <f>IFERROR(E85/'Ar-Pa'!E85,0)</f>
        <v>6.6718500000000001</v>
      </c>
      <c r="AD85" s="21">
        <f>IFERROR(F85/'Ar-Pa'!F85,0)</f>
        <v>7.4947999999999997</v>
      </c>
      <c r="AE85" s="21">
        <f>IFERROR(G85/'Ar-Pa'!G85,0)</f>
        <v>7.5825428571428573</v>
      </c>
      <c r="AF85" s="21">
        <f>IFERROR(H85/'Ar-Pa'!H85,0)</f>
        <v>7.6014428571428567</v>
      </c>
      <c r="AG85" s="21">
        <f>IFERROR(I85/'Ar-Pa'!I85,0)</f>
        <v>7.5664571428571419</v>
      </c>
      <c r="AH85" s="21">
        <f>IFERROR(J85/'Ar-Pa'!J85,0)</f>
        <v>6.6788625000000001</v>
      </c>
      <c r="AI85" s="21">
        <f>IFERROR(K85/'Ar-Pa'!K85,0)</f>
        <v>6.8450625</v>
      </c>
      <c r="AJ85" s="21">
        <f>IFERROR(L85/'Ar-Pa'!L85,0)</f>
        <v>6.7751875000000004</v>
      </c>
      <c r="AK85" s="21">
        <f>IFERROR(M85/'Ar-Pa'!M85,0)</f>
        <v>6.7830500000000002</v>
      </c>
      <c r="AL85" s="21">
        <f>IFERROR(N85/'Ar-Pa'!N85,0)</f>
        <v>6.7715375</v>
      </c>
      <c r="AM85" s="21">
        <f>IFERROR(O85/'Ar-Pa'!O85,0)</f>
        <v>6.7903000000000002</v>
      </c>
      <c r="AN85" s="21">
        <f>IFERROR(P85/'Ar-Pa'!P85,0)</f>
        <v>6.7952374999999998</v>
      </c>
      <c r="AO85" s="21">
        <f>IFERROR(Q85/'Ar-Pa'!Q85,0)</f>
        <v>6.7647124999999999</v>
      </c>
      <c r="AP85" s="21">
        <f>IFERROR(R85/'Ar-Pa'!R85,0)</f>
        <v>6.7712250000000003</v>
      </c>
      <c r="AQ85" s="21">
        <f>IFERROR(S85/'Ar-Pa'!S85,0)</f>
        <v>6.7819750000000001</v>
      </c>
      <c r="AR85" s="21">
        <f>IFERROR(T85/'Ar-Pa'!T85,0)</f>
        <v>6.7877375000000004</v>
      </c>
      <c r="AS85" s="21">
        <f>IFERROR(U85/'Ar-Pa'!U85,0)</f>
        <v>6.7668374999999994</v>
      </c>
      <c r="AT85" s="21">
        <f>IFERROR(V85/'Ar-Pa'!V85,0)</f>
        <v>6.7747875000000004</v>
      </c>
      <c r="AU85" s="21">
        <f>IFERROR(W85/'Ar-Pa'!W85,0)</f>
        <v>6.7290874999999994</v>
      </c>
      <c r="AV85" s="21">
        <f>IFERROR(X85/'Ar-Pa'!X85,0)</f>
        <v>6.7735124999999998</v>
      </c>
      <c r="AW85" s="21">
        <f>IFERROR(Y85/'Ar-Pa'!Y85,0)</f>
        <v>6.73515</v>
      </c>
      <c r="AX85" s="21">
        <f t="shared" si="1"/>
        <v>167.49209999999999</v>
      </c>
    </row>
    <row r="86" spans="1:50" s="12" customFormat="1">
      <c r="A86" s="15">
        <v>45011</v>
      </c>
      <c r="B86" s="436">
        <v>52.872</v>
      </c>
      <c r="C86" s="436">
        <v>52.7547</v>
      </c>
      <c r="D86" s="436">
        <v>53.158000000000001</v>
      </c>
      <c r="E86" s="436">
        <v>53.234400000000001</v>
      </c>
      <c r="F86" s="436">
        <v>53.405999999999999</v>
      </c>
      <c r="G86" s="436">
        <v>53.323800000000006</v>
      </c>
      <c r="H86" s="436">
        <v>17.421400000000002</v>
      </c>
      <c r="I86" s="436">
        <v>0.1822</v>
      </c>
      <c r="J86" s="436">
        <v>16.590700000000002</v>
      </c>
      <c r="K86" s="436">
        <v>42.518500000000003</v>
      </c>
      <c r="L86" s="436">
        <v>51.540800000000004</v>
      </c>
      <c r="M86" s="436">
        <v>54.683699999999995</v>
      </c>
      <c r="N86" s="436">
        <v>54.6753</v>
      </c>
      <c r="O86" s="436">
        <v>54.537199999999999</v>
      </c>
      <c r="P86" s="436">
        <v>54.165199999999999</v>
      </c>
      <c r="Q86" s="436">
        <v>54.737499999999997</v>
      </c>
      <c r="R86" s="436">
        <v>54.758400000000002</v>
      </c>
      <c r="S86" s="436">
        <v>54.594699999999996</v>
      </c>
      <c r="T86" s="437">
        <v>54.785800000000002</v>
      </c>
      <c r="U86" s="437">
        <v>54.5578</v>
      </c>
      <c r="V86" s="437">
        <v>53.064</v>
      </c>
      <c r="W86" s="437">
        <v>53.135400000000004</v>
      </c>
      <c r="X86" s="436">
        <v>53.551199999999994</v>
      </c>
      <c r="Y86" s="436">
        <v>53.742699999999999</v>
      </c>
      <c r="Z86" s="21">
        <f>IFERROR(B86/'Ar-Pa'!B86,0)</f>
        <v>6.609</v>
      </c>
      <c r="AA86" s="21">
        <f>IFERROR(C86/'Ar-Pa'!C86,0)</f>
        <v>7.5363857142857142</v>
      </c>
      <c r="AB86" s="21">
        <f>IFERROR(D86/'Ar-Pa'!D86,0)</f>
        <v>7.5940000000000003</v>
      </c>
      <c r="AC86" s="21">
        <f>IFERROR(E86/'Ar-Pa'!E86,0)</f>
        <v>6.6543000000000001</v>
      </c>
      <c r="AD86" s="21">
        <f>IFERROR(F86/'Ar-Pa'!F86,0)</f>
        <v>6.6757499999999999</v>
      </c>
      <c r="AE86" s="21">
        <f>IFERROR(G86/'Ar-Pa'!G86,0)</f>
        <v>6.6654750000000007</v>
      </c>
      <c r="AF86" s="21">
        <f>IFERROR(H86/'Ar-Pa'!H86,0)</f>
        <v>5.8071333333333337</v>
      </c>
      <c r="AG86" s="21">
        <f>IFERROR(I86/'Ar-Pa'!I86,0)</f>
        <v>0</v>
      </c>
      <c r="AH86" s="21">
        <f>IFERROR(J86/'Ar-Pa'!J86,0)</f>
        <v>5.5302333333333342</v>
      </c>
      <c r="AI86" s="21">
        <f>IFERROR(K86/'Ar-Pa'!K86,0)</f>
        <v>7.0864166666666675</v>
      </c>
      <c r="AJ86" s="21">
        <f>IFERROR(L86/'Ar-Pa'!L86,0)</f>
        <v>6.4426000000000005</v>
      </c>
      <c r="AK86" s="21">
        <f>IFERROR(M86/'Ar-Pa'!M86,0)</f>
        <v>6.8354624999999993</v>
      </c>
      <c r="AL86" s="21">
        <f>IFERROR(N86/'Ar-Pa'!N86,0)</f>
        <v>6.8344125</v>
      </c>
      <c r="AM86" s="21">
        <f>IFERROR(O86/'Ar-Pa'!O86,0)</f>
        <v>6.8171499999999998</v>
      </c>
      <c r="AN86" s="21">
        <f>IFERROR(P86/'Ar-Pa'!P86,0)</f>
        <v>6.7706499999999998</v>
      </c>
      <c r="AO86" s="21">
        <f>IFERROR(Q86/'Ar-Pa'!Q86,0)</f>
        <v>6.8421874999999996</v>
      </c>
      <c r="AP86" s="21">
        <f>IFERROR(R86/'Ar-Pa'!R86,0)</f>
        <v>6.8448000000000002</v>
      </c>
      <c r="AQ86" s="21">
        <f>IFERROR(S86/'Ar-Pa'!S86,0)</f>
        <v>6.8243374999999995</v>
      </c>
      <c r="AR86" s="21">
        <f>IFERROR(T86/'Ar-Pa'!T86,0)</f>
        <v>6.8482250000000002</v>
      </c>
      <c r="AS86" s="21">
        <f>IFERROR(U86/'Ar-Pa'!U86,0)</f>
        <v>6.819725</v>
      </c>
      <c r="AT86" s="21">
        <f>IFERROR(V86/'Ar-Pa'!V86,0)</f>
        <v>6.633</v>
      </c>
      <c r="AU86" s="21">
        <f>IFERROR(W86/'Ar-Pa'!W86,0)</f>
        <v>7.5907714285714292</v>
      </c>
      <c r="AV86" s="21">
        <f>IFERROR(X86/'Ar-Pa'!X86,0)</f>
        <v>7.6501714285714275</v>
      </c>
      <c r="AW86" s="21">
        <f>IFERROR(Y86/'Ar-Pa'!Y86,0)</f>
        <v>7.6775285714285717</v>
      </c>
      <c r="AX86" s="21">
        <f t="shared" si="1"/>
        <v>157.58971547619052</v>
      </c>
    </row>
    <row r="87" spans="1:50" s="12" customFormat="1">
      <c r="A87" s="15">
        <v>45012</v>
      </c>
      <c r="B87" s="436">
        <v>54.256699999999995</v>
      </c>
      <c r="C87" s="436">
        <v>53.717300000000002</v>
      </c>
      <c r="D87" s="436">
        <v>53.758499999999998</v>
      </c>
      <c r="E87" s="436">
        <v>54.311099999999996</v>
      </c>
      <c r="F87" s="436">
        <v>54.781599999999997</v>
      </c>
      <c r="G87" s="436">
        <v>54.131599999999999</v>
      </c>
      <c r="H87" s="436">
        <v>53.886900000000004</v>
      </c>
      <c r="I87" s="436">
        <v>54.190599999999996</v>
      </c>
      <c r="J87" s="436">
        <v>54.0959</v>
      </c>
      <c r="K87" s="436">
        <v>54.101900000000001</v>
      </c>
      <c r="L87" s="436">
        <v>54.998100000000001</v>
      </c>
      <c r="M87" s="436">
        <v>54.6999</v>
      </c>
      <c r="N87" s="436">
        <v>54.818199999999997</v>
      </c>
      <c r="O87" s="436">
        <v>54.886600000000001</v>
      </c>
      <c r="P87" s="436">
        <v>54.745699999999999</v>
      </c>
      <c r="Q87" s="436">
        <v>54.769500000000001</v>
      </c>
      <c r="R87" s="436">
        <v>54.631099999999996</v>
      </c>
      <c r="S87" s="436">
        <v>54.784699999999994</v>
      </c>
      <c r="T87" s="437">
        <v>55.082699999999996</v>
      </c>
      <c r="U87" s="437">
        <v>54.782699999999998</v>
      </c>
      <c r="V87" s="437">
        <v>54.733499999999999</v>
      </c>
      <c r="W87" s="437">
        <v>64.618099999999998</v>
      </c>
      <c r="X87" s="436">
        <v>66.710300000000004</v>
      </c>
      <c r="Y87" s="436">
        <v>66.334699999999998</v>
      </c>
      <c r="Z87" s="21">
        <f>IFERROR(B87/'Ar-Pa'!B87,0)</f>
        <v>6.7820874999999994</v>
      </c>
      <c r="AA87" s="21">
        <f>IFERROR(C87/'Ar-Pa'!C87,0)</f>
        <v>7.6739000000000006</v>
      </c>
      <c r="AB87" s="21">
        <f>IFERROR(D87/'Ar-Pa'!D87,0)</f>
        <v>7.679785714285714</v>
      </c>
      <c r="AC87" s="21">
        <f>IFERROR(E87/'Ar-Pa'!E87,0)</f>
        <v>7.7587285714285708</v>
      </c>
      <c r="AD87" s="21">
        <f>IFERROR(F87/'Ar-Pa'!F87,0)</f>
        <v>6.8476999999999997</v>
      </c>
      <c r="AE87" s="21">
        <f>IFERROR(G87/'Ar-Pa'!G87,0)</f>
        <v>6.7664499999999999</v>
      </c>
      <c r="AF87" s="21">
        <f>IFERROR(H87/'Ar-Pa'!H87,0)</f>
        <v>7.6981285714285717</v>
      </c>
      <c r="AG87" s="21">
        <f>IFERROR(I87/'Ar-Pa'!I87,0)</f>
        <v>7.7415142857142856</v>
      </c>
      <c r="AH87" s="21">
        <f>IFERROR(J87/'Ar-Pa'!J87,0)</f>
        <v>7.7279857142857145</v>
      </c>
      <c r="AI87" s="21">
        <f>IFERROR(K87/'Ar-Pa'!K87,0)</f>
        <v>7.7288428571428573</v>
      </c>
      <c r="AJ87" s="21">
        <f>IFERROR(L87/'Ar-Pa'!L87,0)</f>
        <v>6.8747625000000001</v>
      </c>
      <c r="AK87" s="21">
        <f>IFERROR(M87/'Ar-Pa'!M87,0)</f>
        <v>6.8374874999999999</v>
      </c>
      <c r="AL87" s="21">
        <f>IFERROR(N87/'Ar-Pa'!N87,0)</f>
        <v>6.8522749999999997</v>
      </c>
      <c r="AM87" s="21">
        <f>IFERROR(O87/'Ar-Pa'!O87,0)</f>
        <v>6.8608250000000002</v>
      </c>
      <c r="AN87" s="21">
        <f>IFERROR(P87/'Ar-Pa'!P87,0)</f>
        <v>6.8432124999999999</v>
      </c>
      <c r="AO87" s="21">
        <f>IFERROR(Q87/'Ar-Pa'!Q87,0)</f>
        <v>6.8461875000000001</v>
      </c>
      <c r="AP87" s="21">
        <f>IFERROR(R87/'Ar-Pa'!R87,0)</f>
        <v>6.8288874999999996</v>
      </c>
      <c r="AQ87" s="21">
        <f>IFERROR(S87/'Ar-Pa'!S87,0)</f>
        <v>6.8480874999999992</v>
      </c>
      <c r="AR87" s="21">
        <f>IFERROR(T87/'Ar-Pa'!T87,0)</f>
        <v>6.8853374999999994</v>
      </c>
      <c r="AS87" s="21">
        <f>IFERROR(U87/'Ar-Pa'!U87,0)</f>
        <v>6.8478374999999998</v>
      </c>
      <c r="AT87" s="21">
        <f>IFERROR(V87/'Ar-Pa'!V87,0)</f>
        <v>6.8416874999999999</v>
      </c>
      <c r="AU87" s="21">
        <f>IFERROR(W87/'Ar-Pa'!W87,0)</f>
        <v>8.0772624999999998</v>
      </c>
      <c r="AV87" s="21">
        <f>IFERROR(X87/'Ar-Pa'!X87,0)</f>
        <v>8.3387875000000005</v>
      </c>
      <c r="AW87" s="21">
        <f>IFERROR(Y87/'Ar-Pa'!Y87,0)</f>
        <v>8.2918374999999997</v>
      </c>
      <c r="AX87" s="21">
        <f t="shared" si="1"/>
        <v>174.47959821428566</v>
      </c>
    </row>
    <row r="88" spans="1:50" s="12" customFormat="1">
      <c r="A88" s="15">
        <v>45013</v>
      </c>
      <c r="B88" s="436">
        <v>55.112499999999997</v>
      </c>
      <c r="C88" s="436">
        <v>53.508000000000003</v>
      </c>
      <c r="D88" s="436">
        <v>53.601199999999999</v>
      </c>
      <c r="E88" s="436">
        <v>53.560600000000001</v>
      </c>
      <c r="F88" s="436">
        <v>53.552599999999998</v>
      </c>
      <c r="G88" s="436">
        <v>54.178699999999999</v>
      </c>
      <c r="H88" s="436">
        <v>54.884800000000006</v>
      </c>
      <c r="I88" s="436">
        <v>54.479699999999994</v>
      </c>
      <c r="J88" s="436">
        <v>53.994199999999999</v>
      </c>
      <c r="K88" s="436">
        <v>53.9587</v>
      </c>
      <c r="L88" s="436">
        <v>53.881800000000005</v>
      </c>
      <c r="M88" s="436">
        <v>54.121499999999997</v>
      </c>
      <c r="N88" s="436">
        <v>54.760599999999997</v>
      </c>
      <c r="O88" s="436">
        <v>53.518699999999995</v>
      </c>
      <c r="P88" s="436">
        <v>53.652200000000001</v>
      </c>
      <c r="Q88" s="436">
        <v>53.609099999999998</v>
      </c>
      <c r="R88" s="436">
        <v>53.168999999999997</v>
      </c>
      <c r="S88" s="436">
        <v>54.293300000000002</v>
      </c>
      <c r="T88" s="437">
        <v>54.737000000000002</v>
      </c>
      <c r="U88" s="437">
        <v>58.797699999999999</v>
      </c>
      <c r="V88" s="437">
        <v>67.853499999999997</v>
      </c>
      <c r="W88" s="437">
        <v>66.146899999999988</v>
      </c>
      <c r="X88" s="436">
        <v>66.138000000000005</v>
      </c>
      <c r="Y88" s="436">
        <v>63.886699999999998</v>
      </c>
      <c r="Z88" s="21">
        <f>IFERROR(B88/'Ar-Pa'!B88,0)</f>
        <v>6.8890624999999996</v>
      </c>
      <c r="AA88" s="21">
        <f>IFERROR(C88/'Ar-Pa'!C88,0)</f>
        <v>6.6885000000000003</v>
      </c>
      <c r="AB88" s="21">
        <f>IFERROR(D88/'Ar-Pa'!D88,0)</f>
        <v>6.7001499999999998</v>
      </c>
      <c r="AC88" s="21">
        <f>IFERROR(E88/'Ar-Pa'!E88,0)</f>
        <v>6.6950750000000001</v>
      </c>
      <c r="AD88" s="21">
        <f>IFERROR(F88/'Ar-Pa'!F88,0)</f>
        <v>6.6940749999999998</v>
      </c>
      <c r="AE88" s="21">
        <f>IFERROR(G88/'Ar-Pa'!G88,0)</f>
        <v>6.7723374999999999</v>
      </c>
      <c r="AF88" s="21">
        <f>IFERROR(H88/'Ar-Pa'!H88,0)</f>
        <v>7.8406857142857147</v>
      </c>
      <c r="AG88" s="21">
        <f>IFERROR(I88/'Ar-Pa'!I88,0)</f>
        <v>6.8099624999999993</v>
      </c>
      <c r="AH88" s="21">
        <f>IFERROR(J88/'Ar-Pa'!J88,0)</f>
        <v>7.713457142857143</v>
      </c>
      <c r="AI88" s="21">
        <f>IFERROR(K88/'Ar-Pa'!K88,0)</f>
        <v>7.708385714285714</v>
      </c>
      <c r="AJ88" s="21">
        <f>IFERROR(L88/'Ar-Pa'!L88,0)</f>
        <v>7.6974000000000009</v>
      </c>
      <c r="AK88" s="21">
        <f>IFERROR(M88/'Ar-Pa'!M88,0)</f>
        <v>6.7651874999999997</v>
      </c>
      <c r="AL88" s="21">
        <f>IFERROR(N88/'Ar-Pa'!N88,0)</f>
        <v>6.8450749999999996</v>
      </c>
      <c r="AM88" s="21">
        <f>IFERROR(O88/'Ar-Pa'!O88,0)</f>
        <v>6.6898374999999994</v>
      </c>
      <c r="AN88" s="21">
        <f>IFERROR(P88/'Ar-Pa'!P88,0)</f>
        <v>6.7065250000000001</v>
      </c>
      <c r="AO88" s="21">
        <f>IFERROR(Q88/'Ar-Pa'!Q88,0)</f>
        <v>6.7011374999999997</v>
      </c>
      <c r="AP88" s="21">
        <f>IFERROR(R88/'Ar-Pa'!R88,0)</f>
        <v>6.6461249999999996</v>
      </c>
      <c r="AQ88" s="21">
        <f>IFERROR(S88/'Ar-Pa'!S88,0)</f>
        <v>6.7866625000000003</v>
      </c>
      <c r="AR88" s="21">
        <f>IFERROR(T88/'Ar-Pa'!T88,0)</f>
        <v>6.8421250000000002</v>
      </c>
      <c r="AS88" s="21">
        <f>IFERROR(U88/'Ar-Pa'!U88,0)</f>
        <v>7.3497124999999999</v>
      </c>
      <c r="AT88" s="21">
        <f>IFERROR(V88/'Ar-Pa'!V88,0)</f>
        <v>8.4816874999999996</v>
      </c>
      <c r="AU88" s="21">
        <f>IFERROR(W88/'Ar-Pa'!W88,0)</f>
        <v>8.2683624999999985</v>
      </c>
      <c r="AV88" s="21">
        <f>IFERROR(X88/'Ar-Pa'!X88,0)</f>
        <v>8.2672500000000007</v>
      </c>
      <c r="AW88" s="21">
        <f>IFERROR(Y88/'Ar-Pa'!Y88,0)</f>
        <v>7.9858374999999997</v>
      </c>
      <c r="AX88" s="21">
        <f t="shared" si="1"/>
        <v>172.54461607142855</v>
      </c>
    </row>
    <row r="89" spans="1:50" s="12" customFormat="1">
      <c r="A89" s="15">
        <v>45014</v>
      </c>
      <c r="B89" s="436">
        <v>54.871900000000004</v>
      </c>
      <c r="C89" s="436">
        <v>54.764800000000001</v>
      </c>
      <c r="D89" s="436">
        <v>54.728000000000002</v>
      </c>
      <c r="E89" s="436">
        <v>54.703699999999998</v>
      </c>
      <c r="F89" s="436">
        <v>54.316600000000001</v>
      </c>
      <c r="G89" s="436">
        <v>53.608899999999998</v>
      </c>
      <c r="H89" s="436">
        <v>53.721599999999995</v>
      </c>
      <c r="I89" s="436">
        <v>53.8095</v>
      </c>
      <c r="J89" s="436">
        <v>53.879599999999996</v>
      </c>
      <c r="K89" s="436">
        <v>53.865099999999998</v>
      </c>
      <c r="L89" s="436">
        <v>53.834499999999998</v>
      </c>
      <c r="M89" s="436">
        <v>53.559800000000003</v>
      </c>
      <c r="N89" s="436">
        <v>53.353999999999999</v>
      </c>
      <c r="O89" s="436">
        <v>53.3262</v>
      </c>
      <c r="P89" s="436">
        <v>53.355899999999998</v>
      </c>
      <c r="Q89" s="436">
        <v>53.240499999999997</v>
      </c>
      <c r="R89" s="436">
        <v>53.304099999999998</v>
      </c>
      <c r="S89" s="436">
        <v>53.213300000000004</v>
      </c>
      <c r="T89" s="437">
        <v>52.750300000000003</v>
      </c>
      <c r="U89" s="437">
        <v>53.619500000000002</v>
      </c>
      <c r="V89" s="437">
        <v>56.5413</v>
      </c>
      <c r="W89" s="437">
        <v>67.345799999999997</v>
      </c>
      <c r="X89" s="436">
        <v>68.68310000000001</v>
      </c>
      <c r="Y89" s="436">
        <v>68.197699999999998</v>
      </c>
      <c r="Z89" s="21">
        <f>IFERROR(B89/'Ar-Pa'!B89,0)</f>
        <v>6.8589875000000005</v>
      </c>
      <c r="AA89" s="21">
        <f>IFERROR(C89/'Ar-Pa'!C89,0)</f>
        <v>6.8456000000000001</v>
      </c>
      <c r="AB89" s="21">
        <f>IFERROR(D89/'Ar-Pa'!D89,0)</f>
        <v>6.8410000000000002</v>
      </c>
      <c r="AC89" s="21">
        <f>IFERROR(E89/'Ar-Pa'!E89,0)</f>
        <v>6.8379624999999997</v>
      </c>
      <c r="AD89" s="21">
        <f>IFERROR(F89/'Ar-Pa'!F89,0)</f>
        <v>6.7895750000000001</v>
      </c>
      <c r="AE89" s="21">
        <f>IFERROR(G89/'Ar-Pa'!G89,0)</f>
        <v>6.7011124999999998</v>
      </c>
      <c r="AF89" s="21">
        <f>IFERROR(H89/'Ar-Pa'!H89,0)</f>
        <v>7.6745142857142854</v>
      </c>
      <c r="AG89" s="21">
        <f>IFERROR(I89/'Ar-Pa'!I89,0)</f>
        <v>7.6870714285714286</v>
      </c>
      <c r="AH89" s="21">
        <f>IFERROR(J89/'Ar-Pa'!J89,0)</f>
        <v>7.6970857142857136</v>
      </c>
      <c r="AI89" s="21">
        <f>IFERROR(K89/'Ar-Pa'!K89,0)</f>
        <v>6.7331374999999998</v>
      </c>
      <c r="AJ89" s="21">
        <f>IFERROR(L89/'Ar-Pa'!L89,0)</f>
        <v>6.7293124999999998</v>
      </c>
      <c r="AK89" s="21">
        <f>IFERROR(M89/'Ar-Pa'!M89,0)</f>
        <v>6.6949750000000003</v>
      </c>
      <c r="AL89" s="21">
        <f>IFERROR(N89/'Ar-Pa'!N89,0)</f>
        <v>6.6692499999999999</v>
      </c>
      <c r="AM89" s="21">
        <f>IFERROR(O89/'Ar-Pa'!O89,0)</f>
        <v>6.665775</v>
      </c>
      <c r="AN89" s="21">
        <f>IFERROR(P89/'Ar-Pa'!P89,0)</f>
        <v>6.6694874999999998</v>
      </c>
      <c r="AO89" s="21">
        <f>IFERROR(Q89/'Ar-Pa'!Q89,0)</f>
        <v>6.6550624999999997</v>
      </c>
      <c r="AP89" s="21">
        <f>IFERROR(R89/'Ar-Pa'!R89,0)</f>
        <v>6.6630124999999998</v>
      </c>
      <c r="AQ89" s="21">
        <f>IFERROR(S89/'Ar-Pa'!S89,0)</f>
        <v>6.6516625000000005</v>
      </c>
      <c r="AR89" s="21">
        <f>IFERROR(T89/'Ar-Pa'!T89,0)</f>
        <v>6.5937875000000004</v>
      </c>
      <c r="AS89" s="21">
        <f>IFERROR(U89/'Ar-Pa'!U89,0)</f>
        <v>6.7024375000000003</v>
      </c>
      <c r="AT89" s="21">
        <f>IFERROR(V89/'Ar-Pa'!V89,0)</f>
        <v>7.0676625</v>
      </c>
      <c r="AU89" s="21">
        <f>IFERROR(W89/'Ar-Pa'!W89,0)</f>
        <v>8.4182249999999996</v>
      </c>
      <c r="AV89" s="21">
        <f>IFERROR(X89/'Ar-Pa'!X89,0)</f>
        <v>8.5853875000000013</v>
      </c>
      <c r="AW89" s="21">
        <f>IFERROR(Y89/'Ar-Pa'!Y89,0)</f>
        <v>8.5247124999999997</v>
      </c>
      <c r="AX89" s="21">
        <f t="shared" si="1"/>
        <v>169.95679642857144</v>
      </c>
    </row>
    <row r="90" spans="1:50" s="12" customFormat="1">
      <c r="A90" s="15">
        <v>45015</v>
      </c>
      <c r="B90" s="436">
        <v>58.974499999999999</v>
      </c>
      <c r="C90" s="436">
        <v>54.5762</v>
      </c>
      <c r="D90" s="436">
        <v>54.566900000000004</v>
      </c>
      <c r="E90" s="436">
        <v>54.591300000000004</v>
      </c>
      <c r="F90" s="436">
        <v>54.595999999999997</v>
      </c>
      <c r="G90" s="436">
        <v>53.967599999999997</v>
      </c>
      <c r="H90" s="436">
        <v>53.928899999999999</v>
      </c>
      <c r="I90" s="436">
        <v>53.118000000000002</v>
      </c>
      <c r="J90" s="436">
        <v>52.945800000000006</v>
      </c>
      <c r="K90" s="436">
        <v>52.5914</v>
      </c>
      <c r="L90" s="436">
        <v>52.564399999999999</v>
      </c>
      <c r="M90" s="436">
        <v>52.623899999999999</v>
      </c>
      <c r="N90" s="436">
        <v>55.495599999999996</v>
      </c>
      <c r="O90" s="436">
        <v>54.582300000000004</v>
      </c>
      <c r="P90" s="436">
        <v>54.8703</v>
      </c>
      <c r="Q90" s="436">
        <v>54.009699999999995</v>
      </c>
      <c r="R90" s="436">
        <v>54.047599999999996</v>
      </c>
      <c r="S90" s="436">
        <v>53.839800000000004</v>
      </c>
      <c r="T90" s="437">
        <v>55.205800000000004</v>
      </c>
      <c r="U90" s="437">
        <v>55.563600000000001</v>
      </c>
      <c r="V90" s="437">
        <v>57.439099999999996</v>
      </c>
      <c r="W90" s="437">
        <v>69.693100000000001</v>
      </c>
      <c r="X90" s="436">
        <v>69.607100000000003</v>
      </c>
      <c r="Y90" s="436">
        <v>69.1571</v>
      </c>
      <c r="Z90" s="21">
        <f>IFERROR(B90/'Ar-Pa'!B90,0)</f>
        <v>7.3718124999999999</v>
      </c>
      <c r="AA90" s="21">
        <f>IFERROR(C90/'Ar-Pa'!C90,0)</f>
        <v>6.822025</v>
      </c>
      <c r="AB90" s="21">
        <f>IFERROR(D90/'Ar-Pa'!D90,0)</f>
        <v>6.8208625000000005</v>
      </c>
      <c r="AC90" s="21">
        <f>IFERROR(E90/'Ar-Pa'!E90,0)</f>
        <v>6.8239125000000005</v>
      </c>
      <c r="AD90" s="21">
        <f>IFERROR(F90/'Ar-Pa'!F90,0)</f>
        <v>6.8244999999999996</v>
      </c>
      <c r="AE90" s="21">
        <f>IFERROR(G90/'Ar-Pa'!G90,0)</f>
        <v>6.7459499999999997</v>
      </c>
      <c r="AF90" s="21">
        <f>IFERROR(H90/'Ar-Pa'!H90,0)</f>
        <v>7.704128571428571</v>
      </c>
      <c r="AG90" s="21">
        <f>IFERROR(I90/'Ar-Pa'!I90,0)</f>
        <v>7.588285714285715</v>
      </c>
      <c r="AH90" s="21">
        <f>IFERROR(J90/'Ar-Pa'!J90,0)</f>
        <v>7.5636857142857155</v>
      </c>
      <c r="AI90" s="21">
        <f>IFERROR(K90/'Ar-Pa'!K90,0)</f>
        <v>6.573925</v>
      </c>
      <c r="AJ90" s="21">
        <f>IFERROR(L90/'Ar-Pa'!L90,0)</f>
        <v>6.5705499999999999</v>
      </c>
      <c r="AK90" s="21">
        <f>IFERROR(M90/'Ar-Pa'!M90,0)</f>
        <v>6.5779874999999999</v>
      </c>
      <c r="AL90" s="21">
        <f>IFERROR(N90/'Ar-Pa'!N90,0)</f>
        <v>6.9369499999999995</v>
      </c>
      <c r="AM90" s="21">
        <f>IFERROR(O90/'Ar-Pa'!O90,0)</f>
        <v>6.8227875000000004</v>
      </c>
      <c r="AN90" s="21">
        <f>IFERROR(P90/'Ar-Pa'!P90,0)</f>
        <v>6.8587875</v>
      </c>
      <c r="AO90" s="21">
        <f>IFERROR(Q90/'Ar-Pa'!Q90,0)</f>
        <v>6.7512124999999994</v>
      </c>
      <c r="AP90" s="21">
        <f>IFERROR(R90/'Ar-Pa'!R90,0)</f>
        <v>6.7559499999999995</v>
      </c>
      <c r="AQ90" s="21">
        <f>IFERROR(S90/'Ar-Pa'!S90,0)</f>
        <v>6.7299750000000005</v>
      </c>
      <c r="AR90" s="21">
        <f>IFERROR(T90/'Ar-Pa'!T90,0)</f>
        <v>6.9007250000000004</v>
      </c>
      <c r="AS90" s="21">
        <f>IFERROR(U90/'Ar-Pa'!U90,0)</f>
        <v>6.9454500000000001</v>
      </c>
      <c r="AT90" s="21">
        <f>IFERROR(V90/'Ar-Pa'!V90,0)</f>
        <v>7.1798874999999995</v>
      </c>
      <c r="AU90" s="21">
        <f>IFERROR(W90/'Ar-Pa'!W90,0)</f>
        <v>8.7116375000000001</v>
      </c>
      <c r="AV90" s="21">
        <f>IFERROR(X90/'Ar-Pa'!X90,0)</f>
        <v>8.7008875000000003</v>
      </c>
      <c r="AW90" s="21">
        <f>IFERROR(Y90/'Ar-Pa'!Y90,0)</f>
        <v>8.6446375</v>
      </c>
      <c r="AX90" s="21">
        <f t="shared" si="1"/>
        <v>171.92651249999997</v>
      </c>
    </row>
    <row r="91" spans="1:50" s="12" customFormat="1">
      <c r="A91" s="15">
        <v>45016</v>
      </c>
      <c r="B91" s="436">
        <v>61.316199999999995</v>
      </c>
      <c r="C91" s="436">
        <v>54.644599999999997</v>
      </c>
      <c r="D91" s="436">
        <v>54.619199999999999</v>
      </c>
      <c r="E91" s="436">
        <v>54.733599999999996</v>
      </c>
      <c r="F91" s="436">
        <v>54.818800000000003</v>
      </c>
      <c r="G91" s="436">
        <v>53.793300000000002</v>
      </c>
      <c r="H91" s="436">
        <v>53.8123</v>
      </c>
      <c r="I91" s="436">
        <v>53.8339</v>
      </c>
      <c r="J91" s="436">
        <v>54.183599999999998</v>
      </c>
      <c r="K91" s="436">
        <v>54.775100000000002</v>
      </c>
      <c r="L91" s="436">
        <v>53.783499999999997</v>
      </c>
      <c r="M91" s="436">
        <v>56.066800000000001</v>
      </c>
      <c r="N91" s="436">
        <v>54.879300000000001</v>
      </c>
      <c r="O91" s="436">
        <v>54.987699999999997</v>
      </c>
      <c r="P91" s="436">
        <v>54.894800000000004</v>
      </c>
      <c r="Q91" s="436">
        <v>54.893500000000003</v>
      </c>
      <c r="R91" s="436">
        <v>54.9452</v>
      </c>
      <c r="S91" s="436">
        <v>54.755699999999997</v>
      </c>
      <c r="T91" s="437">
        <v>54.855499999999999</v>
      </c>
      <c r="U91" s="437">
        <v>54.935600000000001</v>
      </c>
      <c r="V91" s="437">
        <v>54.879599999999996</v>
      </c>
      <c r="W91" s="437">
        <v>54.784399999999998</v>
      </c>
      <c r="X91" s="436">
        <v>54.760800000000003</v>
      </c>
      <c r="Y91" s="436">
        <v>54.759800000000006</v>
      </c>
      <c r="Z91" s="21">
        <f>IFERROR(B91/'Ar-Pa'!B91,0)</f>
        <v>7.6645249999999994</v>
      </c>
      <c r="AA91" s="21">
        <f>IFERROR(C91/'Ar-Pa'!C91,0)</f>
        <v>6.8305749999999996</v>
      </c>
      <c r="AB91" s="21">
        <f>IFERROR(D91/'Ar-Pa'!D91,0)</f>
        <v>6.8273999999999999</v>
      </c>
      <c r="AC91" s="21">
        <f>IFERROR(E91/'Ar-Pa'!E91,0)</f>
        <v>6.8416999999999994</v>
      </c>
      <c r="AD91" s="21">
        <f>IFERROR(F91/'Ar-Pa'!F91,0)</f>
        <v>6.8523500000000004</v>
      </c>
      <c r="AE91" s="21">
        <f>IFERROR(G91/'Ar-Pa'!G91,0)</f>
        <v>7.6847571428571433</v>
      </c>
      <c r="AF91" s="21">
        <f>IFERROR(H91/'Ar-Pa'!H91,0)</f>
        <v>7.6874714285714285</v>
      </c>
      <c r="AG91" s="21">
        <f>IFERROR(I91/'Ar-Pa'!I91,0)</f>
        <v>7.6905571428571431</v>
      </c>
      <c r="AH91" s="21">
        <f>IFERROR(J91/'Ar-Pa'!J91,0)</f>
        <v>7.7405142857142852</v>
      </c>
      <c r="AI91" s="21">
        <f>IFERROR(K91/'Ar-Pa'!K91,0)</f>
        <v>6.8468875000000002</v>
      </c>
      <c r="AJ91" s="21">
        <f>IFERROR(L91/'Ar-Pa'!L91,0)</f>
        <v>6.7229374999999996</v>
      </c>
      <c r="AK91" s="21">
        <f>IFERROR(M91/'Ar-Pa'!M91,0)</f>
        <v>7.0083500000000001</v>
      </c>
      <c r="AL91" s="21">
        <f>IFERROR(N91/'Ar-Pa'!N91,0)</f>
        <v>6.8599125000000001</v>
      </c>
      <c r="AM91" s="21">
        <f>IFERROR(O91/'Ar-Pa'!O91,0)</f>
        <v>6.8734624999999996</v>
      </c>
      <c r="AN91" s="21">
        <f>IFERROR(P91/'Ar-Pa'!P91,0)</f>
        <v>6.8618500000000004</v>
      </c>
      <c r="AO91" s="21">
        <f>IFERROR(Q91/'Ar-Pa'!Q91,0)</f>
        <v>6.8616875000000004</v>
      </c>
      <c r="AP91" s="21">
        <f>IFERROR(R91/'Ar-Pa'!R91,0)</f>
        <v>6.86815</v>
      </c>
      <c r="AQ91" s="21">
        <f>IFERROR(S91/'Ar-Pa'!S91,0)</f>
        <v>6.8444624999999997</v>
      </c>
      <c r="AR91" s="21">
        <f>IFERROR(T91/'Ar-Pa'!T91,0)</f>
        <v>6.8569374999999999</v>
      </c>
      <c r="AS91" s="21">
        <f>IFERROR(U91/'Ar-Pa'!U91,0)</f>
        <v>6.8669500000000001</v>
      </c>
      <c r="AT91" s="21">
        <f>IFERROR(V91/'Ar-Pa'!V91,0)</f>
        <v>6.8599499999999995</v>
      </c>
      <c r="AU91" s="21">
        <f>IFERROR(W91/'Ar-Pa'!W91,0)</f>
        <v>6.8480499999999997</v>
      </c>
      <c r="AV91" s="21">
        <f>IFERROR(X91/'Ar-Pa'!X91,0)</f>
        <v>6.8451000000000004</v>
      </c>
      <c r="AW91" s="21">
        <f>IFERROR(Y91/'Ar-Pa'!Y91,0)</f>
        <v>6.8449750000000007</v>
      </c>
      <c r="AX91" s="21">
        <f t="shared" si="1"/>
        <v>168.68951250000001</v>
      </c>
    </row>
    <row r="92" spans="1:50" s="12" customFormat="1">
      <c r="A92" s="15">
        <v>45017</v>
      </c>
      <c r="B92" s="436">
        <v>55.539300000000004</v>
      </c>
      <c r="C92" s="436">
        <v>55.8553</v>
      </c>
      <c r="D92" s="436">
        <v>55.804199999999994</v>
      </c>
      <c r="E92" s="436">
        <v>55.797599999999996</v>
      </c>
      <c r="F92" s="436">
        <v>54.602899999999998</v>
      </c>
      <c r="G92" s="436">
        <v>54.458100000000002</v>
      </c>
      <c r="H92" s="436">
        <v>53.818300000000001</v>
      </c>
      <c r="I92" s="436">
        <v>54.7746</v>
      </c>
      <c r="J92" s="436">
        <v>54.658000000000001</v>
      </c>
      <c r="K92" s="436">
        <v>54.638300000000001</v>
      </c>
      <c r="L92" s="436">
        <v>54.728099999999998</v>
      </c>
      <c r="M92" s="436">
        <v>54.657300000000006</v>
      </c>
      <c r="N92" s="436">
        <v>53.635100000000001</v>
      </c>
      <c r="O92" s="436">
        <v>54.1342</v>
      </c>
      <c r="P92" s="436">
        <v>54.106900000000003</v>
      </c>
      <c r="Q92" s="436">
        <v>53.926499999999997</v>
      </c>
      <c r="R92" s="436">
        <v>54.401800000000001</v>
      </c>
      <c r="S92" s="436">
        <v>54.640900000000002</v>
      </c>
      <c r="T92" s="437">
        <v>54.5291</v>
      </c>
      <c r="U92" s="436">
        <v>54.008199999999995</v>
      </c>
      <c r="V92" s="437">
        <v>54.656800000000004</v>
      </c>
      <c r="W92" s="437">
        <v>53.899300000000004</v>
      </c>
      <c r="X92" s="436">
        <v>54.069199999999995</v>
      </c>
      <c r="Y92" s="436">
        <v>54.431100000000001</v>
      </c>
      <c r="Z92" s="21">
        <f>IFERROR(B92/'Ar-Pa'!B92,0)</f>
        <v>7.9341857142857153</v>
      </c>
      <c r="AA92" s="21">
        <f>IFERROR(C92/'Ar-Pa'!C92,0)</f>
        <v>7.9793285714285718</v>
      </c>
      <c r="AB92" s="21">
        <f>IFERROR(D92/'Ar-Pa'!D92,0)</f>
        <v>7.972028571428571</v>
      </c>
      <c r="AC92" s="21">
        <f>IFERROR(E92/'Ar-Pa'!E92,0)</f>
        <v>7.9710857142857137</v>
      </c>
      <c r="AD92" s="21">
        <f>IFERROR(F92/'Ar-Pa'!F92,0)</f>
        <v>7.8004142857142851</v>
      </c>
      <c r="AE92" s="21">
        <f>IFERROR(G92/'Ar-Pa'!G92,0)</f>
        <v>7.7797285714285715</v>
      </c>
      <c r="AF92" s="21">
        <f>IFERROR(H92/'Ar-Pa'!H92,0)</f>
        <v>7.6883285714285714</v>
      </c>
      <c r="AG92" s="21">
        <f>IFERROR(I92/'Ar-Pa'!I92,0)</f>
        <v>7.8249428571428572</v>
      </c>
      <c r="AH92" s="21">
        <f>IFERROR(J92/'Ar-Pa'!J92,0)</f>
        <v>7.8082857142857147</v>
      </c>
      <c r="AI92" s="21">
        <f>IFERROR(K92/'Ar-Pa'!K92,0)</f>
        <v>7.8054714285714288</v>
      </c>
      <c r="AJ92" s="21">
        <f>IFERROR(L92/'Ar-Pa'!L92,0)</f>
        <v>7.8182999999999998</v>
      </c>
      <c r="AK92" s="21">
        <f>IFERROR(M92/'Ar-Pa'!M92,0)</f>
        <v>7.808185714285715</v>
      </c>
      <c r="AL92" s="21">
        <f>IFERROR(N92/'Ar-Pa'!N92,0)</f>
        <v>7.6621571428571427</v>
      </c>
      <c r="AM92" s="21">
        <f>IFERROR(O92/'Ar-Pa'!O92,0)</f>
        <v>7.7334571428571426</v>
      </c>
      <c r="AN92" s="21">
        <f>IFERROR(P92/'Ar-Pa'!P92,0)</f>
        <v>7.7295571428571437</v>
      </c>
      <c r="AO92" s="21">
        <f>IFERROR(Q92/'Ar-Pa'!Q92,0)</f>
        <v>7.703785714285714</v>
      </c>
      <c r="AP92" s="21">
        <f>IFERROR(R92/'Ar-Pa'!R92,0)</f>
        <v>7.7716857142857148</v>
      </c>
      <c r="AQ92" s="21">
        <f>IFERROR(S92/'Ar-Pa'!S92,0)</f>
        <v>7.8058428571428573</v>
      </c>
      <c r="AR92" s="21">
        <f>IFERROR(T92/'Ar-Pa'!T92,0)</f>
        <v>7.7898714285714288</v>
      </c>
      <c r="AS92" s="21">
        <f>IFERROR(U92/'Ar-Pa'!U92,0)</f>
        <v>7.7154571428571419</v>
      </c>
      <c r="AT92" s="21">
        <f>IFERROR(V92/'Ar-Pa'!V92,0)</f>
        <v>6.8321000000000005</v>
      </c>
      <c r="AU92" s="21">
        <f>IFERROR(W92/'Ar-Pa'!W92,0)</f>
        <v>6.7374125000000005</v>
      </c>
      <c r="AV92" s="21">
        <f>IFERROR(X92/'Ar-Pa'!X92,0)</f>
        <v>6.7586499999999994</v>
      </c>
      <c r="AW92" s="21">
        <f>IFERROR(Y92/'Ar-Pa'!Y92,0)</f>
        <v>6.8038875000000001</v>
      </c>
      <c r="AX92" s="21">
        <f t="shared" si="1"/>
        <v>183.23414999999997</v>
      </c>
    </row>
    <row r="93" spans="1:50" s="12" customFormat="1">
      <c r="A93" s="15">
        <v>45018</v>
      </c>
      <c r="B93" s="436">
        <v>54.7254</v>
      </c>
      <c r="C93" s="436">
        <v>54.920199999999994</v>
      </c>
      <c r="D93" s="436">
        <v>54.747300000000003</v>
      </c>
      <c r="E93" s="436">
        <v>53.844099999999997</v>
      </c>
      <c r="F93" s="436">
        <v>53.952300000000001</v>
      </c>
      <c r="G93" s="436">
        <v>52.277099999999997</v>
      </c>
      <c r="H93" s="436">
        <v>51.144800000000004</v>
      </c>
      <c r="I93" s="436">
        <v>51.328900000000004</v>
      </c>
      <c r="J93" s="436">
        <v>51.421599999999998</v>
      </c>
      <c r="K93" s="436">
        <v>51.7121</v>
      </c>
      <c r="L93" s="436">
        <v>54.888599999999997</v>
      </c>
      <c r="M93" s="436">
        <v>55.354199999999999</v>
      </c>
      <c r="N93" s="436">
        <v>55.118199999999995</v>
      </c>
      <c r="O93" s="436">
        <v>54.959499999999998</v>
      </c>
      <c r="P93" s="436">
        <v>54.902999999999999</v>
      </c>
      <c r="Q93" s="436">
        <v>54.613099999999996</v>
      </c>
      <c r="R93" s="436">
        <v>54.781199999999998</v>
      </c>
      <c r="S93" s="436">
        <v>54.571800000000003</v>
      </c>
      <c r="T93" s="437">
        <v>54.750800000000005</v>
      </c>
      <c r="U93" s="436">
        <v>54.5139</v>
      </c>
      <c r="V93" s="437">
        <v>54.498899999999999</v>
      </c>
      <c r="W93" s="437">
        <v>54.464100000000002</v>
      </c>
      <c r="X93" s="436">
        <v>54.559899999999999</v>
      </c>
      <c r="Y93" s="436">
        <v>54.740600000000001</v>
      </c>
      <c r="Z93" s="21">
        <f>IFERROR(B93/'Ar-Pa'!B93,0)</f>
        <v>7.817914285714286</v>
      </c>
      <c r="AA93" s="21">
        <f>IFERROR(C93/'Ar-Pa'!C93,0)</f>
        <v>7.8457428571428567</v>
      </c>
      <c r="AB93" s="21">
        <f>IFERROR(D93/'Ar-Pa'!D93,0)</f>
        <v>7.8210428571428574</v>
      </c>
      <c r="AC93" s="21">
        <f>IFERROR(E93/'Ar-Pa'!E93,0)</f>
        <v>6.7305124999999997</v>
      </c>
      <c r="AD93" s="21">
        <f>IFERROR(F93/'Ar-Pa'!F93,0)</f>
        <v>6.7440375000000001</v>
      </c>
      <c r="AE93" s="21">
        <f>IFERROR(G93/'Ar-Pa'!G93,0)</f>
        <v>6.5346374999999997</v>
      </c>
      <c r="AF93" s="21">
        <f>IFERROR(H93/'Ar-Pa'!H93,0)</f>
        <v>8.5241333333333333</v>
      </c>
      <c r="AG93" s="21">
        <f>IFERROR(I93/'Ar-Pa'!I93,0)</f>
        <v>8.5548166666666674</v>
      </c>
      <c r="AH93" s="21">
        <f>IFERROR(J93/'Ar-Pa'!J93,0)</f>
        <v>8.5702666666666669</v>
      </c>
      <c r="AI93" s="21">
        <f>IFERROR(K93/'Ar-Pa'!K93,0)</f>
        <v>8.6186833333333333</v>
      </c>
      <c r="AJ93" s="21">
        <f>IFERROR(L93/'Ar-Pa'!L93,0)</f>
        <v>6.8610749999999996</v>
      </c>
      <c r="AK93" s="21">
        <f>IFERROR(M93/'Ar-Pa'!M93,0)</f>
        <v>6.9192749999999998</v>
      </c>
      <c r="AL93" s="21">
        <f>IFERROR(N93/'Ar-Pa'!N93,0)</f>
        <v>6.8897749999999993</v>
      </c>
      <c r="AM93" s="21">
        <f>IFERROR(O93/'Ar-Pa'!O93,0)</f>
        <v>6.8699374999999998</v>
      </c>
      <c r="AN93" s="21">
        <f>IFERROR(P93/'Ar-Pa'!P93,0)</f>
        <v>6.8628749999999998</v>
      </c>
      <c r="AO93" s="21">
        <f>IFERROR(Q93/'Ar-Pa'!Q93,0)</f>
        <v>6.8266374999999995</v>
      </c>
      <c r="AP93" s="21">
        <f>IFERROR(R93/'Ar-Pa'!R93,0)</f>
        <v>6.8476499999999998</v>
      </c>
      <c r="AQ93" s="21">
        <f>IFERROR(S93/'Ar-Pa'!S93,0)</f>
        <v>6.8214750000000004</v>
      </c>
      <c r="AR93" s="21">
        <f>IFERROR(T93/'Ar-Pa'!T93,0)</f>
        <v>6.8438500000000007</v>
      </c>
      <c r="AS93" s="21">
        <f>IFERROR(U93/'Ar-Pa'!U93,0)</f>
        <v>6.8142374999999999</v>
      </c>
      <c r="AT93" s="21">
        <f>IFERROR(V93/'Ar-Pa'!V93,0)</f>
        <v>6.8123624999999999</v>
      </c>
      <c r="AU93" s="21">
        <f>IFERROR(W93/'Ar-Pa'!W93,0)</f>
        <v>6.8080125000000002</v>
      </c>
      <c r="AV93" s="21">
        <f>IFERROR(X93/'Ar-Pa'!X93,0)</f>
        <v>6.8199874999999999</v>
      </c>
      <c r="AW93" s="21">
        <f>IFERROR(Y93/'Ar-Pa'!Y93,0)</f>
        <v>6.8425750000000001</v>
      </c>
      <c r="AX93" s="21">
        <f t="shared" si="1"/>
        <v>173.60151250000001</v>
      </c>
    </row>
    <row r="94" spans="1:50" s="12" customFormat="1">
      <c r="A94" s="15">
        <v>45019</v>
      </c>
      <c r="B94" s="436">
        <v>55.050199999999997</v>
      </c>
      <c r="C94" s="436">
        <v>55.2774</v>
      </c>
      <c r="D94" s="436">
        <v>55.126199999999997</v>
      </c>
      <c r="E94" s="436">
        <v>54.120100000000001</v>
      </c>
      <c r="F94" s="436">
        <v>53.737699999999997</v>
      </c>
      <c r="G94" s="436">
        <v>54.335000000000001</v>
      </c>
      <c r="H94" s="436">
        <v>54.345699999999994</v>
      </c>
      <c r="I94" s="436">
        <v>54.511400000000002</v>
      </c>
      <c r="J94" s="436">
        <v>54.629800000000003</v>
      </c>
      <c r="K94" s="436">
        <v>54.568300000000001</v>
      </c>
      <c r="L94" s="436">
        <v>54.061900000000001</v>
      </c>
      <c r="M94" s="436">
        <v>53.900199999999998</v>
      </c>
      <c r="N94" s="436">
        <v>54.042999999999999</v>
      </c>
      <c r="O94" s="436">
        <v>53.930099999999996</v>
      </c>
      <c r="P94" s="436">
        <v>54.009500000000003</v>
      </c>
      <c r="Q94" s="436">
        <v>53.858899999999998</v>
      </c>
      <c r="R94" s="436">
        <v>53.877800000000001</v>
      </c>
      <c r="S94" s="436">
        <v>53.876100000000001</v>
      </c>
      <c r="T94" s="437">
        <v>54.070800000000006</v>
      </c>
      <c r="U94" s="436">
        <v>53.887599999999999</v>
      </c>
      <c r="V94" s="437">
        <v>62.431599999999996</v>
      </c>
      <c r="W94" s="437">
        <v>54.085300000000004</v>
      </c>
      <c r="X94" s="436">
        <v>57.245100000000001</v>
      </c>
      <c r="Y94" s="436">
        <v>68.377800000000008</v>
      </c>
      <c r="Z94" s="21">
        <f>IFERROR(B94/'Ar-Pa'!B94,0)</f>
        <v>7.8643142857142854</v>
      </c>
      <c r="AA94" s="21">
        <f>IFERROR(C94/'Ar-Pa'!C94,0)</f>
        <v>7.8967714285714283</v>
      </c>
      <c r="AB94" s="21">
        <f>IFERROR(D94/'Ar-Pa'!D94,0)</f>
        <v>7.875171428571428</v>
      </c>
      <c r="AC94" s="21">
        <f>IFERROR(E94/'Ar-Pa'!E94,0)</f>
        <v>6.7650125000000001</v>
      </c>
      <c r="AD94" s="21">
        <f>IFERROR(F94/'Ar-Pa'!F94,0)</f>
        <v>6.7172124999999996</v>
      </c>
      <c r="AE94" s="21">
        <f>IFERROR(G94/'Ar-Pa'!G94,0)</f>
        <v>7.762142857142857</v>
      </c>
      <c r="AF94" s="21">
        <f>IFERROR(H94/'Ar-Pa'!H94,0)</f>
        <v>7.7636714285714277</v>
      </c>
      <c r="AG94" s="21">
        <f>IFERROR(I94/'Ar-Pa'!I94,0)</f>
        <v>7.7873428571428578</v>
      </c>
      <c r="AH94" s="21">
        <f>IFERROR(J94/'Ar-Pa'!J94,0)</f>
        <v>7.8042571428571437</v>
      </c>
      <c r="AI94" s="21">
        <f>IFERROR(K94/'Ar-Pa'!K94,0)</f>
        <v>6.8210375000000001</v>
      </c>
      <c r="AJ94" s="21">
        <f>IFERROR(L94/'Ar-Pa'!L94,0)</f>
        <v>6.7577375000000002</v>
      </c>
      <c r="AK94" s="21">
        <f>IFERROR(M94/'Ar-Pa'!M94,0)</f>
        <v>6.7375249999999998</v>
      </c>
      <c r="AL94" s="21">
        <f>IFERROR(N94/'Ar-Pa'!N94,0)</f>
        <v>6.7553749999999999</v>
      </c>
      <c r="AM94" s="21">
        <f>IFERROR(O94/'Ar-Pa'!O94,0)</f>
        <v>6.7412624999999995</v>
      </c>
      <c r="AN94" s="21">
        <f>IFERROR(P94/'Ar-Pa'!P94,0)</f>
        <v>6.7511875000000003</v>
      </c>
      <c r="AO94" s="21">
        <f>IFERROR(Q94/'Ar-Pa'!Q94,0)</f>
        <v>6.7323624999999998</v>
      </c>
      <c r="AP94" s="21">
        <f>IFERROR(R94/'Ar-Pa'!R94,0)</f>
        <v>6.7347250000000001</v>
      </c>
      <c r="AQ94" s="21">
        <f>IFERROR(S94/'Ar-Pa'!S94,0)</f>
        <v>6.7345125000000001</v>
      </c>
      <c r="AR94" s="21">
        <f>IFERROR(T94/'Ar-Pa'!T94,0)</f>
        <v>6.7588500000000007</v>
      </c>
      <c r="AS94" s="21">
        <f>IFERROR(U94/'Ar-Pa'!U94,0)</f>
        <v>6.7359499999999999</v>
      </c>
      <c r="AT94" s="21">
        <f>IFERROR(V94/'Ar-Pa'!V94,0)</f>
        <v>7.8039499999999995</v>
      </c>
      <c r="AU94" s="21">
        <f>IFERROR(W94/'Ar-Pa'!W94,0)</f>
        <v>6.7606625000000005</v>
      </c>
      <c r="AV94" s="21">
        <f>IFERROR(X94/'Ar-Pa'!X94,0)</f>
        <v>7.1556375000000001</v>
      </c>
      <c r="AW94" s="21">
        <f>IFERROR(Y94/'Ar-Pa'!Y94,0)</f>
        <v>8.547225000000001</v>
      </c>
      <c r="AX94" s="21">
        <f t="shared" si="1"/>
        <v>172.76389642857143</v>
      </c>
    </row>
    <row r="95" spans="1:50" s="12" customFormat="1">
      <c r="A95" s="15">
        <v>45020</v>
      </c>
      <c r="B95" s="436">
        <v>53.903400000000005</v>
      </c>
      <c r="C95" s="436">
        <v>53.533300000000004</v>
      </c>
      <c r="D95" s="436">
        <v>53.550400000000003</v>
      </c>
      <c r="E95" s="436">
        <v>54.258000000000003</v>
      </c>
      <c r="F95" s="436">
        <v>54.2727</v>
      </c>
      <c r="G95" s="436">
        <v>54.099599999999995</v>
      </c>
      <c r="H95" s="436">
        <v>52.529199999999996</v>
      </c>
      <c r="I95" s="436">
        <v>53.734499999999997</v>
      </c>
      <c r="J95" s="436">
        <v>53.883600000000001</v>
      </c>
      <c r="K95" s="436">
        <v>54.394300000000001</v>
      </c>
      <c r="L95" s="436">
        <v>54.573399999999999</v>
      </c>
      <c r="M95" s="436">
        <v>54.308999999999997</v>
      </c>
      <c r="N95" s="436">
        <v>54.4529</v>
      </c>
      <c r="O95" s="436">
        <v>54.512999999999998</v>
      </c>
      <c r="P95" s="436">
        <v>54.507199999999997</v>
      </c>
      <c r="Q95" s="436">
        <v>54.417000000000002</v>
      </c>
      <c r="R95" s="436">
        <v>54.415199999999999</v>
      </c>
      <c r="S95" s="436">
        <v>54.546500000000002</v>
      </c>
      <c r="T95" s="437">
        <v>54.617400000000004</v>
      </c>
      <c r="U95" s="436">
        <v>61.384099999999997</v>
      </c>
      <c r="V95" s="437">
        <v>69.077100000000002</v>
      </c>
      <c r="W95" s="437">
        <v>68.687399999999997</v>
      </c>
      <c r="X95" s="436">
        <v>68.711699999999993</v>
      </c>
      <c r="Y95" s="436">
        <v>68.725499999999997</v>
      </c>
      <c r="Z95" s="21">
        <f>IFERROR(B95/'Ar-Pa'!B95,0)</f>
        <v>7.7004857142857146</v>
      </c>
      <c r="AA95" s="21">
        <f>IFERROR(C95/'Ar-Pa'!C95,0)</f>
        <v>7.6476142857142859</v>
      </c>
      <c r="AB95" s="21">
        <f>IFERROR(D95/'Ar-Pa'!D95,0)</f>
        <v>7.6500571428571433</v>
      </c>
      <c r="AC95" s="21">
        <f>IFERROR(E95/'Ar-Pa'!E95,0)</f>
        <v>6.7822500000000003</v>
      </c>
      <c r="AD95" s="21">
        <f>IFERROR(F95/'Ar-Pa'!F95,0)</f>
        <v>6.7840875</v>
      </c>
      <c r="AE95" s="21">
        <f>IFERROR(G95/'Ar-Pa'!G95,0)</f>
        <v>7.7285142857142848</v>
      </c>
      <c r="AF95" s="21">
        <f>IFERROR(H95/'Ar-Pa'!H95,0)</f>
        <v>7.5041714285714276</v>
      </c>
      <c r="AG95" s="21">
        <f>IFERROR(I95/'Ar-Pa'!I95,0)</f>
        <v>7.6763571428571424</v>
      </c>
      <c r="AH95" s="21">
        <f>IFERROR(J95/'Ar-Pa'!J95,0)</f>
        <v>7.6976571428571434</v>
      </c>
      <c r="AI95" s="21">
        <f>IFERROR(K95/'Ar-Pa'!K95,0)</f>
        <v>6.7992875000000002</v>
      </c>
      <c r="AJ95" s="21">
        <f>IFERROR(L95/'Ar-Pa'!L95,0)</f>
        <v>6.8216749999999999</v>
      </c>
      <c r="AK95" s="21">
        <f>IFERROR(M95/'Ar-Pa'!M95,0)</f>
        <v>6.7886249999999997</v>
      </c>
      <c r="AL95" s="21">
        <f>IFERROR(N95/'Ar-Pa'!N95,0)</f>
        <v>6.8066125</v>
      </c>
      <c r="AM95" s="21">
        <f>IFERROR(O95/'Ar-Pa'!O95,0)</f>
        <v>6.8141249999999998</v>
      </c>
      <c r="AN95" s="21">
        <f>IFERROR(P95/'Ar-Pa'!P95,0)</f>
        <v>6.8133999999999997</v>
      </c>
      <c r="AO95" s="21">
        <f>IFERROR(Q95/'Ar-Pa'!Q95,0)</f>
        <v>6.8021250000000002</v>
      </c>
      <c r="AP95" s="21">
        <f>IFERROR(R95/'Ar-Pa'!R95,0)</f>
        <v>6.8018999999999998</v>
      </c>
      <c r="AQ95" s="21">
        <f>IFERROR(S95/'Ar-Pa'!S95,0)</f>
        <v>6.8183125000000002</v>
      </c>
      <c r="AR95" s="21">
        <f>IFERROR(T95/'Ar-Pa'!T95,0)</f>
        <v>7.8024857142857149</v>
      </c>
      <c r="AS95" s="21">
        <f>IFERROR(U95/'Ar-Pa'!U95,0)</f>
        <v>8.7691571428571429</v>
      </c>
      <c r="AT95" s="21">
        <f>IFERROR(V95/'Ar-Pa'!V95,0)</f>
        <v>9.8681571428571431</v>
      </c>
      <c r="AU95" s="21">
        <f>IFERROR(W95/'Ar-Pa'!W95,0)</f>
        <v>9.8124857142857138</v>
      </c>
      <c r="AV95" s="21">
        <f>IFERROR(X95/'Ar-Pa'!X95,0)</f>
        <v>9.8159571428571422</v>
      </c>
      <c r="AW95" s="21">
        <f>IFERROR(Y95/'Ar-Pa'!Y95,0)</f>
        <v>9.8179285714285705</v>
      </c>
      <c r="AX95" s="21">
        <f t="shared" si="1"/>
        <v>184.32342857142862</v>
      </c>
    </row>
    <row r="96" spans="1:50" s="12" customFormat="1">
      <c r="A96" s="15">
        <v>45021</v>
      </c>
      <c r="B96" s="436">
        <v>66.9726</v>
      </c>
      <c r="C96" s="436">
        <v>54.568800000000003</v>
      </c>
      <c r="D96" s="436">
        <v>54.439900000000002</v>
      </c>
      <c r="E96" s="436">
        <v>54.756599999999999</v>
      </c>
      <c r="F96" s="436">
        <v>54.784300000000002</v>
      </c>
      <c r="G96" s="436">
        <v>54.844999999999999</v>
      </c>
      <c r="H96" s="436">
        <v>54.966699999999996</v>
      </c>
      <c r="I96" s="436">
        <v>54.692</v>
      </c>
      <c r="J96" s="436">
        <v>54.658699999999996</v>
      </c>
      <c r="K96" s="436">
        <v>54.672199999999997</v>
      </c>
      <c r="L96" s="436">
        <v>54.375900000000001</v>
      </c>
      <c r="M96" s="436">
        <v>54.517800000000001</v>
      </c>
      <c r="N96" s="436">
        <v>57.556800000000003</v>
      </c>
      <c r="O96" s="436">
        <v>68.184600000000003</v>
      </c>
      <c r="P96" s="436">
        <v>70.088200000000001</v>
      </c>
      <c r="Q96" s="436">
        <v>68.156199999999998</v>
      </c>
      <c r="R96" s="436">
        <v>68.157800000000009</v>
      </c>
      <c r="S96" s="436">
        <v>54.836300000000001</v>
      </c>
      <c r="T96" s="437">
        <v>67.599100000000007</v>
      </c>
      <c r="U96" s="436">
        <v>68.302000000000007</v>
      </c>
      <c r="V96" s="437">
        <v>64.979300000000009</v>
      </c>
      <c r="W96" s="437">
        <v>62.462300000000006</v>
      </c>
      <c r="X96" s="436">
        <v>67.526600000000002</v>
      </c>
      <c r="Y96" s="436">
        <v>65.614999999999995</v>
      </c>
      <c r="Z96" s="21">
        <f>IFERROR(B96/'Ar-Pa'!B96,0)</f>
        <v>9.5675142857142852</v>
      </c>
      <c r="AA96" s="21">
        <f>IFERROR(C96/'Ar-Pa'!C96,0)</f>
        <v>7.7955428571428573</v>
      </c>
      <c r="AB96" s="21">
        <f>IFERROR(D96/'Ar-Pa'!D96,0)</f>
        <v>7.7771285714285714</v>
      </c>
      <c r="AC96" s="21">
        <f>IFERROR(E96/'Ar-Pa'!E96,0)</f>
        <v>7.8223714285714285</v>
      </c>
      <c r="AD96" s="21">
        <f>IFERROR(F96/'Ar-Pa'!F96,0)</f>
        <v>7.8263285714285713</v>
      </c>
      <c r="AE96" s="21">
        <f>IFERROR(G96/'Ar-Pa'!G96,0)</f>
        <v>7.835</v>
      </c>
      <c r="AF96" s="21">
        <f>IFERROR(H96/'Ar-Pa'!H96,0)</f>
        <v>9.1611166666666666</v>
      </c>
      <c r="AG96" s="21">
        <f>IFERROR(I96/'Ar-Pa'!I96,0)</f>
        <v>9.115333333333334</v>
      </c>
      <c r="AH96" s="21">
        <f>IFERROR(J96/'Ar-Pa'!J96,0)</f>
        <v>6.8323374999999995</v>
      </c>
      <c r="AI96" s="21">
        <f>IFERROR(K96/'Ar-Pa'!K96,0)</f>
        <v>6.8340249999999996</v>
      </c>
      <c r="AJ96" s="21">
        <f>IFERROR(L96/'Ar-Pa'!L96,0)</f>
        <v>6.7969875000000002</v>
      </c>
      <c r="AK96" s="21">
        <f>IFERROR(M96/'Ar-Pa'!M96,0)</f>
        <v>6.8147250000000001</v>
      </c>
      <c r="AL96" s="21">
        <f>IFERROR(N96/'Ar-Pa'!N96,0)</f>
        <v>7.1946000000000003</v>
      </c>
      <c r="AM96" s="21">
        <f>IFERROR(O96/'Ar-Pa'!O96,0)</f>
        <v>8.5230750000000004</v>
      </c>
      <c r="AN96" s="21">
        <f>IFERROR(P96/'Ar-Pa'!P96,0)</f>
        <v>8.7610250000000001</v>
      </c>
      <c r="AO96" s="21">
        <f>IFERROR(Q96/'Ar-Pa'!Q96,0)</f>
        <v>8.5195249999999998</v>
      </c>
      <c r="AP96" s="21">
        <f>IFERROR(R96/'Ar-Pa'!R96,0)</f>
        <v>8.5197250000000011</v>
      </c>
      <c r="AQ96" s="21">
        <f>IFERROR(S96/'Ar-Pa'!S96,0)</f>
        <v>6.8545375000000002</v>
      </c>
      <c r="AR96" s="21">
        <f>IFERROR(T96/'Ar-Pa'!T96,0)</f>
        <v>8.4498875000000009</v>
      </c>
      <c r="AS96" s="21">
        <f>IFERROR(U96/'Ar-Pa'!U96,0)</f>
        <v>8.5377500000000008</v>
      </c>
      <c r="AT96" s="21">
        <f>IFERROR(V96/'Ar-Pa'!V96,0)</f>
        <v>8.1224125000000011</v>
      </c>
      <c r="AU96" s="21">
        <f>IFERROR(W96/'Ar-Pa'!W96,0)</f>
        <v>7.8077875000000008</v>
      </c>
      <c r="AV96" s="21">
        <f>IFERROR(X96/'Ar-Pa'!X96,0)</f>
        <v>8.4408250000000002</v>
      </c>
      <c r="AW96" s="21">
        <f>IFERROR(Y96/'Ar-Pa'!Y96,0)</f>
        <v>8.2018749999999994</v>
      </c>
      <c r="AX96" s="21">
        <f t="shared" si="1"/>
        <v>192.11143571428565</v>
      </c>
    </row>
    <row r="97" spans="1:50" s="12" customFormat="1">
      <c r="A97" s="15">
        <v>45022</v>
      </c>
      <c r="B97" s="436">
        <v>55.110699999999994</v>
      </c>
      <c r="C97" s="436">
        <v>54.624000000000002</v>
      </c>
      <c r="D97" s="436">
        <v>54.721299999999999</v>
      </c>
      <c r="E97" s="436">
        <v>54.139199999999995</v>
      </c>
      <c r="F97" s="436">
        <v>54.185000000000002</v>
      </c>
      <c r="G97" s="436">
        <v>54.299399999999999</v>
      </c>
      <c r="H97" s="436">
        <v>54.596800000000002</v>
      </c>
      <c r="I97" s="436">
        <v>54.184899999999999</v>
      </c>
      <c r="J97" s="436">
        <v>54.208800000000004</v>
      </c>
      <c r="K97" s="436">
        <v>54.688300000000005</v>
      </c>
      <c r="L97" s="436">
        <v>55.006500000000003</v>
      </c>
      <c r="M97" s="436">
        <v>54.581900000000005</v>
      </c>
      <c r="N97" s="436">
        <v>54.490300000000005</v>
      </c>
      <c r="O97" s="436">
        <v>54.425199999999997</v>
      </c>
      <c r="P97" s="436">
        <v>54.539000000000001</v>
      </c>
      <c r="Q97" s="436">
        <v>54.526900000000005</v>
      </c>
      <c r="R97" s="436">
        <v>54.472799999999999</v>
      </c>
      <c r="S97" s="436">
        <v>54.424999999999997</v>
      </c>
      <c r="T97" s="437">
        <v>54.655099999999997</v>
      </c>
      <c r="U97" s="436">
        <v>54.4343</v>
      </c>
      <c r="V97" s="437">
        <v>65.952799999999996</v>
      </c>
      <c r="W97" s="437">
        <v>55.561999999999998</v>
      </c>
      <c r="X97" s="436">
        <v>54.196599999999997</v>
      </c>
      <c r="Y97" s="436">
        <v>54.253900000000002</v>
      </c>
      <c r="Z97" s="21">
        <f>IFERROR(B97/'Ar-Pa'!B97,0)</f>
        <v>7.8729571428571417</v>
      </c>
      <c r="AA97" s="21">
        <f>IFERROR(C97/'Ar-Pa'!C97,0)</f>
        <v>7.8034285714285714</v>
      </c>
      <c r="AB97" s="21">
        <f>IFERROR(D97/'Ar-Pa'!D97,0)</f>
        <v>7.817328571428571</v>
      </c>
      <c r="AC97" s="21">
        <f>IFERROR(E97/'Ar-Pa'!E97,0)</f>
        <v>6.7673999999999994</v>
      </c>
      <c r="AD97" s="21">
        <f>IFERROR(F97/'Ar-Pa'!F97,0)</f>
        <v>6.7731250000000003</v>
      </c>
      <c r="AE97" s="21">
        <f>IFERROR(G97/'Ar-Pa'!G97,0)</f>
        <v>6.7874249999999998</v>
      </c>
      <c r="AF97" s="21">
        <f>IFERROR(H97/'Ar-Pa'!H97,0)</f>
        <v>6.8246000000000002</v>
      </c>
      <c r="AG97" s="21">
        <f>IFERROR(I97/'Ar-Pa'!I97,0)</f>
        <v>6.7731124999999999</v>
      </c>
      <c r="AH97" s="21">
        <f>IFERROR(J97/'Ar-Pa'!J97,0)</f>
        <v>6.7761000000000005</v>
      </c>
      <c r="AI97" s="21">
        <f>IFERROR(K97/'Ar-Pa'!K97,0)</f>
        <v>6.8360375000000007</v>
      </c>
      <c r="AJ97" s="21">
        <f>IFERROR(L97/'Ar-Pa'!L97,0)</f>
        <v>6.8758125000000003</v>
      </c>
      <c r="AK97" s="21">
        <f>IFERROR(M97/'Ar-Pa'!M97,0)</f>
        <v>6.8227375000000006</v>
      </c>
      <c r="AL97" s="21">
        <f>IFERROR(N97/'Ar-Pa'!N97,0)</f>
        <v>6.8112875000000006</v>
      </c>
      <c r="AM97" s="21">
        <f>IFERROR(O97/'Ar-Pa'!O97,0)</f>
        <v>6.8031499999999996</v>
      </c>
      <c r="AN97" s="21">
        <f>IFERROR(P97/'Ar-Pa'!P97,0)</f>
        <v>6.8173750000000002</v>
      </c>
      <c r="AO97" s="21">
        <f>IFERROR(Q97/'Ar-Pa'!Q97,0)</f>
        <v>6.8158625000000006</v>
      </c>
      <c r="AP97" s="21">
        <f>IFERROR(R97/'Ar-Pa'!R97,0)</f>
        <v>6.8090999999999999</v>
      </c>
      <c r="AQ97" s="21">
        <f>IFERROR(S97/'Ar-Pa'!S97,0)</f>
        <v>6.8031249999999996</v>
      </c>
      <c r="AR97" s="21">
        <f>IFERROR(T97/'Ar-Pa'!T97,0)</f>
        <v>6.8318874999999997</v>
      </c>
      <c r="AS97" s="21">
        <f>IFERROR(U97/'Ar-Pa'!U97,0)</f>
        <v>6.8042875</v>
      </c>
      <c r="AT97" s="21">
        <f>IFERROR(V97/'Ar-Pa'!V97,0)</f>
        <v>8.2440999999999995</v>
      </c>
      <c r="AU97" s="21">
        <f>IFERROR(W97/'Ar-Pa'!W97,0)</f>
        <v>6.9452499999999997</v>
      </c>
      <c r="AV97" s="21">
        <f>IFERROR(X97/'Ar-Pa'!X97,0)</f>
        <v>6.7745749999999996</v>
      </c>
      <c r="AW97" s="21">
        <f>IFERROR(Y97/'Ar-Pa'!Y97,0)</f>
        <v>6.7817375000000002</v>
      </c>
      <c r="AX97" s="21">
        <f t="shared" si="1"/>
        <v>167.97180178571423</v>
      </c>
    </row>
    <row r="98" spans="1:50" s="12" customFormat="1">
      <c r="A98" s="15">
        <v>45023</v>
      </c>
      <c r="B98" s="436">
        <v>54.370800000000003</v>
      </c>
      <c r="C98" s="436">
        <v>54.204800000000006</v>
      </c>
      <c r="D98" s="436">
        <v>54.306100000000001</v>
      </c>
      <c r="E98" s="436">
        <v>54.392400000000002</v>
      </c>
      <c r="F98" s="436">
        <v>54.528199999999998</v>
      </c>
      <c r="G98" s="436">
        <v>54.353499999999997</v>
      </c>
      <c r="H98" s="436">
        <v>53.275599999999997</v>
      </c>
      <c r="I98" s="436">
        <v>54.499000000000002</v>
      </c>
      <c r="J98" s="436">
        <v>53.205100000000002</v>
      </c>
      <c r="K98" s="436">
        <v>53.629300000000001</v>
      </c>
      <c r="L98" s="436">
        <v>52.930399999999999</v>
      </c>
      <c r="M98" s="436">
        <v>53.837699999999998</v>
      </c>
      <c r="N98" s="436">
        <v>53.716200000000001</v>
      </c>
      <c r="O98" s="436">
        <v>53.684699999999999</v>
      </c>
      <c r="P98" s="436">
        <v>52.890900000000002</v>
      </c>
      <c r="Q98" s="436">
        <v>54.9285</v>
      </c>
      <c r="R98" s="436">
        <v>54.5458</v>
      </c>
      <c r="S98" s="436">
        <v>54.7042</v>
      </c>
      <c r="T98" s="437">
        <v>54.301300000000005</v>
      </c>
      <c r="U98" s="436">
        <v>54.296199999999999</v>
      </c>
      <c r="V98" s="437">
        <v>67.162399999999991</v>
      </c>
      <c r="W98" s="437">
        <v>56.064300000000003</v>
      </c>
      <c r="X98" s="436">
        <v>54.171199999999999</v>
      </c>
      <c r="Y98" s="436">
        <v>54.628099999999996</v>
      </c>
      <c r="Z98" s="21">
        <f>IFERROR(B98/'Ar-Pa'!B98,0)</f>
        <v>6.7963500000000003</v>
      </c>
      <c r="AA98" s="21">
        <f>IFERROR(C98/'Ar-Pa'!C98,0)</f>
        <v>6.7756000000000007</v>
      </c>
      <c r="AB98" s="21">
        <f>IFERROR(D98/'Ar-Pa'!D98,0)</f>
        <v>6.7882625000000001</v>
      </c>
      <c r="AC98" s="21">
        <f>IFERROR(E98/'Ar-Pa'!E98,0)</f>
        <v>6.7990500000000003</v>
      </c>
      <c r="AD98" s="21">
        <f>IFERROR(F98/'Ar-Pa'!F98,0)</f>
        <v>6.8160249999999998</v>
      </c>
      <c r="AE98" s="21">
        <f>IFERROR(G98/'Ar-Pa'!G98,0)</f>
        <v>6.7941874999999996</v>
      </c>
      <c r="AF98" s="21">
        <f>IFERROR(H98/'Ar-Pa'!H98,0)</f>
        <v>7.6107999999999993</v>
      </c>
      <c r="AG98" s="21">
        <f>IFERROR(I98/'Ar-Pa'!I98,0)</f>
        <v>7.785571428571429</v>
      </c>
      <c r="AH98" s="21">
        <f>IFERROR(J98/'Ar-Pa'!J98,0)</f>
        <v>7.6007285714285713</v>
      </c>
      <c r="AI98" s="21">
        <f>IFERROR(K98/'Ar-Pa'!K98,0)</f>
        <v>7.6613285714285713</v>
      </c>
      <c r="AJ98" s="21">
        <f>IFERROR(L98/'Ar-Pa'!L98,0)</f>
        <v>6.6162999999999998</v>
      </c>
      <c r="AK98" s="21">
        <f>IFERROR(M98/'Ar-Pa'!M98,0)</f>
        <v>6.7297124999999998</v>
      </c>
      <c r="AL98" s="21">
        <f>IFERROR(N98/'Ar-Pa'!N98,0)</f>
        <v>6.7145250000000001</v>
      </c>
      <c r="AM98" s="21">
        <f>IFERROR(O98/'Ar-Pa'!O98,0)</f>
        <v>6.7105874999999999</v>
      </c>
      <c r="AN98" s="21">
        <f>IFERROR(P98/'Ar-Pa'!P98,0)</f>
        <v>6.6113625000000003</v>
      </c>
      <c r="AO98" s="21">
        <f>IFERROR(Q98/'Ar-Pa'!Q98,0)</f>
        <v>6.8660625</v>
      </c>
      <c r="AP98" s="21">
        <f>IFERROR(R98/'Ar-Pa'!R98,0)</f>
        <v>6.818225</v>
      </c>
      <c r="AQ98" s="21">
        <f>IFERROR(S98/'Ar-Pa'!S98,0)</f>
        <v>6.838025</v>
      </c>
      <c r="AR98" s="21">
        <f>IFERROR(T98/'Ar-Pa'!T98,0)</f>
        <v>6.7876625000000006</v>
      </c>
      <c r="AS98" s="21">
        <f>IFERROR(U98/'Ar-Pa'!U98,0)</f>
        <v>6.7870249999999999</v>
      </c>
      <c r="AT98" s="21">
        <f>IFERROR(V98/'Ar-Pa'!V98,0)</f>
        <v>8.3952999999999989</v>
      </c>
      <c r="AU98" s="21">
        <f>IFERROR(W98/'Ar-Pa'!W98,0)</f>
        <v>7.0080375000000004</v>
      </c>
      <c r="AV98" s="21">
        <f>IFERROR(X98/'Ar-Pa'!X98,0)</f>
        <v>6.7713999999999999</v>
      </c>
      <c r="AW98" s="21">
        <f>IFERROR(Y98/'Ar-Pa'!Y98,0)</f>
        <v>6.8285124999999995</v>
      </c>
      <c r="AX98" s="21">
        <f t="shared" si="1"/>
        <v>167.91064107142856</v>
      </c>
    </row>
    <row r="99" spans="1:50" s="12" customFormat="1">
      <c r="A99" s="15">
        <v>45024</v>
      </c>
      <c r="B99" s="436">
        <v>54.102599999999995</v>
      </c>
      <c r="C99" s="436">
        <v>54.499099999999999</v>
      </c>
      <c r="D99" s="436">
        <v>54.720500000000001</v>
      </c>
      <c r="E99" s="436">
        <v>54.823900000000002</v>
      </c>
      <c r="F99" s="436">
        <v>54.768500000000003</v>
      </c>
      <c r="G99" s="436">
        <v>54.646599999999999</v>
      </c>
      <c r="H99" s="436">
        <v>53.877499999999998</v>
      </c>
      <c r="I99" s="436">
        <v>53.161799999999999</v>
      </c>
      <c r="J99" s="436">
        <v>54.8078</v>
      </c>
      <c r="K99" s="436">
        <v>54.7714</v>
      </c>
      <c r="L99" s="436">
        <v>54.237900000000003</v>
      </c>
      <c r="M99" s="436">
        <v>54.304300000000005</v>
      </c>
      <c r="N99" s="436">
        <v>54.218400000000003</v>
      </c>
      <c r="O99" s="436">
        <v>54.194600000000001</v>
      </c>
      <c r="P99" s="436">
        <v>54.379199999999997</v>
      </c>
      <c r="Q99" s="436">
        <v>54.216300000000004</v>
      </c>
      <c r="R99" s="436">
        <v>54.218699999999998</v>
      </c>
      <c r="S99" s="436">
        <v>54.3429</v>
      </c>
      <c r="T99" s="437">
        <v>54.456900000000005</v>
      </c>
      <c r="U99" s="436">
        <v>56.527300000000004</v>
      </c>
      <c r="V99" s="437">
        <v>59.916599999999995</v>
      </c>
      <c r="W99" s="437">
        <v>54.549399999999999</v>
      </c>
      <c r="X99" s="436">
        <v>53.422199999999997</v>
      </c>
      <c r="Y99" s="436">
        <v>54.463500000000003</v>
      </c>
      <c r="Z99" s="21">
        <f>IFERROR(B99/'Ar-Pa'!B99,0)</f>
        <v>6.7628249999999994</v>
      </c>
      <c r="AA99" s="21">
        <f>IFERROR(C99/'Ar-Pa'!C99,0)</f>
        <v>6.8123874999999998</v>
      </c>
      <c r="AB99" s="21">
        <f>IFERROR(D99/'Ar-Pa'!D99,0)</f>
        <v>6.8400625000000002</v>
      </c>
      <c r="AC99" s="21">
        <f>IFERROR(E99/'Ar-Pa'!E99,0)</f>
        <v>6.8529875000000002</v>
      </c>
      <c r="AD99" s="21">
        <f>IFERROR(F99/'Ar-Pa'!F99,0)</f>
        <v>6.8460625000000004</v>
      </c>
      <c r="AE99" s="21">
        <f>IFERROR(G99/'Ar-Pa'!G99,0)</f>
        <v>6.8308249999999999</v>
      </c>
      <c r="AF99" s="21">
        <f>IFERROR(H99/'Ar-Pa'!H99,0)</f>
        <v>7.6967857142857143</v>
      </c>
      <c r="AG99" s="21">
        <f>IFERROR(I99/'Ar-Pa'!I99,0)</f>
        <v>6.6452249999999999</v>
      </c>
      <c r="AH99" s="21">
        <f>IFERROR(J99/'Ar-Pa'!J99,0)</f>
        <v>7.8296857142857146</v>
      </c>
      <c r="AI99" s="21">
        <f>IFERROR(K99/'Ar-Pa'!K99,0)</f>
        <v>6.846425</v>
      </c>
      <c r="AJ99" s="21">
        <f>IFERROR(L99/'Ar-Pa'!L99,0)</f>
        <v>6.7797375000000004</v>
      </c>
      <c r="AK99" s="21">
        <f>IFERROR(M99/'Ar-Pa'!M99,0)</f>
        <v>6.7880375000000006</v>
      </c>
      <c r="AL99" s="21">
        <f>IFERROR(N99/'Ar-Pa'!N99,0)</f>
        <v>6.7773000000000003</v>
      </c>
      <c r="AM99" s="21">
        <f>IFERROR(O99/'Ar-Pa'!O99,0)</f>
        <v>6.7743250000000002</v>
      </c>
      <c r="AN99" s="21">
        <f>IFERROR(P99/'Ar-Pa'!P99,0)</f>
        <v>6.7973999999999997</v>
      </c>
      <c r="AO99" s="21">
        <f>IFERROR(Q99/'Ar-Pa'!Q99,0)</f>
        <v>6.7770375000000005</v>
      </c>
      <c r="AP99" s="21">
        <f>IFERROR(R99/'Ar-Pa'!R99,0)</f>
        <v>6.7773374999999998</v>
      </c>
      <c r="AQ99" s="21">
        <f>IFERROR(S99/'Ar-Pa'!S99,0)</f>
        <v>6.7928625</v>
      </c>
      <c r="AR99" s="21">
        <f>IFERROR(T99/'Ar-Pa'!T99,0)</f>
        <v>6.8071125000000006</v>
      </c>
      <c r="AS99" s="21">
        <f>IFERROR(U99/'Ar-Pa'!U99,0)</f>
        <v>7.0659125000000005</v>
      </c>
      <c r="AT99" s="21">
        <f>IFERROR(V99/'Ar-Pa'!V99,0)</f>
        <v>7.4895749999999994</v>
      </c>
      <c r="AU99" s="21">
        <f>IFERROR(W99/'Ar-Pa'!W99,0)</f>
        <v>7.7927714285714282</v>
      </c>
      <c r="AV99" s="21">
        <f>IFERROR(X99/'Ar-Pa'!X99,0)</f>
        <v>6.6777749999999996</v>
      </c>
      <c r="AW99" s="21">
        <f>IFERROR(Y99/'Ar-Pa'!Y99,0)</f>
        <v>6.8079375000000004</v>
      </c>
      <c r="AX99" s="21">
        <f t="shared" si="1"/>
        <v>166.86839285714285</v>
      </c>
    </row>
    <row r="100" spans="1:50" s="12" customFormat="1">
      <c r="A100" s="15">
        <v>45025</v>
      </c>
      <c r="B100" s="436">
        <v>53.715300000000006</v>
      </c>
      <c r="C100" s="436">
        <v>54.24</v>
      </c>
      <c r="D100" s="436">
        <v>54.427800000000005</v>
      </c>
      <c r="E100" s="436">
        <v>54.311900000000001</v>
      </c>
      <c r="F100" s="436">
        <v>54.428199999999997</v>
      </c>
      <c r="G100" s="436">
        <v>54.091800000000006</v>
      </c>
      <c r="H100" s="436">
        <v>54.048999999999999</v>
      </c>
      <c r="I100" s="436">
        <v>53.464400000000005</v>
      </c>
      <c r="J100" s="436">
        <v>53.454500000000003</v>
      </c>
      <c r="K100" s="436">
        <v>53.319199999999995</v>
      </c>
      <c r="L100" s="436">
        <v>53.4529</v>
      </c>
      <c r="M100" s="436">
        <v>53.5837</v>
      </c>
      <c r="N100" s="436">
        <v>53.625300000000003</v>
      </c>
      <c r="O100" s="436">
        <v>53.518300000000004</v>
      </c>
      <c r="P100" s="436">
        <v>53.510800000000003</v>
      </c>
      <c r="Q100" s="436">
        <v>53.582800000000006</v>
      </c>
      <c r="R100" s="436">
        <v>53.5471</v>
      </c>
      <c r="S100" s="436">
        <v>53.554300000000005</v>
      </c>
      <c r="T100" s="437">
        <v>53.567599999999999</v>
      </c>
      <c r="U100" s="436">
        <v>53.448900000000002</v>
      </c>
      <c r="V100" s="437">
        <v>65.253699999999995</v>
      </c>
      <c r="W100" s="437">
        <v>68.095799999999997</v>
      </c>
      <c r="X100" s="436">
        <v>68.182899999999989</v>
      </c>
      <c r="Y100" s="436">
        <v>63.080199999999998</v>
      </c>
      <c r="Z100" s="21">
        <f>IFERROR(B100/'Ar-Pa'!B100,0)</f>
        <v>6.7144125000000008</v>
      </c>
      <c r="AA100" s="21">
        <f>IFERROR(C100/'Ar-Pa'!C100,0)</f>
        <v>6.78</v>
      </c>
      <c r="AB100" s="21">
        <f>IFERROR(D100/'Ar-Pa'!D100,0)</f>
        <v>6.8034750000000006</v>
      </c>
      <c r="AC100" s="21">
        <f>IFERROR(E100/'Ar-Pa'!E100,0)</f>
        <v>6.7889875000000002</v>
      </c>
      <c r="AD100" s="21">
        <f>IFERROR(F100/'Ar-Pa'!F100,0)</f>
        <v>6.8035249999999996</v>
      </c>
      <c r="AE100" s="21">
        <f>IFERROR(G100/'Ar-Pa'!G100,0)</f>
        <v>6.7614750000000008</v>
      </c>
      <c r="AF100" s="21">
        <f>IFERROR(H100/'Ar-Pa'!H100,0)</f>
        <v>9.008166666666666</v>
      </c>
      <c r="AG100" s="21">
        <f>IFERROR(I100/'Ar-Pa'!I100,0)</f>
        <v>7.6377714285714289</v>
      </c>
      <c r="AH100" s="21">
        <f>IFERROR(J100/'Ar-Pa'!J100,0)</f>
        <v>6.6818125000000004</v>
      </c>
      <c r="AI100" s="21">
        <f>IFERROR(K100/'Ar-Pa'!K100,0)</f>
        <v>6.6648999999999994</v>
      </c>
      <c r="AJ100" s="21">
        <f>IFERROR(L100/'Ar-Pa'!L100,0)</f>
        <v>6.6816125</v>
      </c>
      <c r="AK100" s="21">
        <f>IFERROR(M100/'Ar-Pa'!M100,0)</f>
        <v>6.6979625</v>
      </c>
      <c r="AL100" s="21">
        <f>IFERROR(N100/'Ar-Pa'!N100,0)</f>
        <v>6.7031625000000004</v>
      </c>
      <c r="AM100" s="21">
        <f>IFERROR(O100/'Ar-Pa'!O100,0)</f>
        <v>6.6897875000000004</v>
      </c>
      <c r="AN100" s="21">
        <f>IFERROR(P100/'Ar-Pa'!P100,0)</f>
        <v>6.6888500000000004</v>
      </c>
      <c r="AO100" s="21">
        <f>IFERROR(Q100/'Ar-Pa'!Q100,0)</f>
        <v>6.6978500000000007</v>
      </c>
      <c r="AP100" s="21">
        <f>IFERROR(R100/'Ar-Pa'!R100,0)</f>
        <v>6.6933875</v>
      </c>
      <c r="AQ100" s="21">
        <f>IFERROR(S100/'Ar-Pa'!S100,0)</f>
        <v>6.6942875000000006</v>
      </c>
      <c r="AR100" s="21">
        <f>IFERROR(T100/'Ar-Pa'!T100,0)</f>
        <v>6.6959499999999998</v>
      </c>
      <c r="AS100" s="21">
        <f>IFERROR(U100/'Ar-Pa'!U100,0)</f>
        <v>6.6811125000000002</v>
      </c>
      <c r="AT100" s="21">
        <f>IFERROR(V100/'Ar-Pa'!V100,0)</f>
        <v>8.1567124999999994</v>
      </c>
      <c r="AU100" s="21">
        <f>IFERROR(W100/'Ar-Pa'!W100,0)</f>
        <v>8.5119749999999996</v>
      </c>
      <c r="AV100" s="21">
        <f>IFERROR(X100/'Ar-Pa'!X100,0)</f>
        <v>8.5228624999999987</v>
      </c>
      <c r="AW100" s="21">
        <f>IFERROR(Y100/'Ar-Pa'!Y100,0)</f>
        <v>7.8850249999999997</v>
      </c>
      <c r="AX100" s="21">
        <f t="shared" si="1"/>
        <v>170.64506309523813</v>
      </c>
    </row>
    <row r="101" spans="1:50" s="12" customFormat="1">
      <c r="A101" s="15">
        <v>45026</v>
      </c>
      <c r="B101" s="436">
        <v>54.4604</v>
      </c>
      <c r="C101" s="436">
        <v>54.603099999999998</v>
      </c>
      <c r="D101" s="436">
        <v>54.5137</v>
      </c>
      <c r="E101" s="436">
        <v>54.597499999999997</v>
      </c>
      <c r="F101" s="436">
        <v>54.769500000000001</v>
      </c>
      <c r="G101" s="436">
        <v>54.4602</v>
      </c>
      <c r="H101" s="436">
        <v>53.645900000000005</v>
      </c>
      <c r="I101" s="436">
        <v>54.426099999999998</v>
      </c>
      <c r="J101" s="436">
        <v>54.758699999999997</v>
      </c>
      <c r="K101" s="436">
        <v>53.372599999999998</v>
      </c>
      <c r="L101" s="436">
        <v>54.493300000000005</v>
      </c>
      <c r="M101" s="436">
        <v>54.607099999999996</v>
      </c>
      <c r="N101" s="436">
        <v>55.292999999999999</v>
      </c>
      <c r="O101" s="436">
        <v>55.023000000000003</v>
      </c>
      <c r="P101" s="436">
        <v>54.953199999999995</v>
      </c>
      <c r="Q101" s="436">
        <v>54.664699999999996</v>
      </c>
      <c r="R101" s="436">
        <v>54.629300000000001</v>
      </c>
      <c r="S101" s="436">
        <v>53.108400000000003</v>
      </c>
      <c r="T101" s="437">
        <v>54.761600000000001</v>
      </c>
      <c r="U101" s="436">
        <v>55.0184</v>
      </c>
      <c r="V101" s="437">
        <v>67.0702</v>
      </c>
      <c r="W101" s="437">
        <v>67.598799999999997</v>
      </c>
      <c r="X101" s="436">
        <v>67.109399999999994</v>
      </c>
      <c r="Y101" s="436">
        <v>55.235999999999997</v>
      </c>
      <c r="Z101" s="21">
        <f>IFERROR(B101/'Ar-Pa'!B101,0)</f>
        <v>6.80755</v>
      </c>
      <c r="AA101" s="21">
        <f>IFERROR(C101/'Ar-Pa'!C101,0)</f>
        <v>6.8253874999999997</v>
      </c>
      <c r="AB101" s="21">
        <f>IFERROR(D101/'Ar-Pa'!D101,0)</f>
        <v>6.8142125</v>
      </c>
      <c r="AC101" s="21">
        <f>IFERROR(E101/'Ar-Pa'!E101,0)</f>
        <v>6.8246874999999996</v>
      </c>
      <c r="AD101" s="21">
        <f>IFERROR(F101/'Ar-Pa'!F101,0)</f>
        <v>6.8461875000000001</v>
      </c>
      <c r="AE101" s="21">
        <f>IFERROR(G101/'Ar-Pa'!G101,0)</f>
        <v>6.807525</v>
      </c>
      <c r="AF101" s="21">
        <f>IFERROR(H101/'Ar-Pa'!H101,0)</f>
        <v>7.6637000000000004</v>
      </c>
      <c r="AG101" s="21">
        <f>IFERROR(I101/'Ar-Pa'!I101,0)</f>
        <v>6.8032624999999998</v>
      </c>
      <c r="AH101" s="21">
        <f>IFERROR(J101/'Ar-Pa'!J101,0)</f>
        <v>6.8448374999999997</v>
      </c>
      <c r="AI101" s="21">
        <f>IFERROR(K101/'Ar-Pa'!K101,0)</f>
        <v>6.6715749999999998</v>
      </c>
      <c r="AJ101" s="21">
        <f>IFERROR(L101/'Ar-Pa'!L101,0)</f>
        <v>7.7847571428571438</v>
      </c>
      <c r="AK101" s="21">
        <f>IFERROR(M101/'Ar-Pa'!M101,0)</f>
        <v>7.8010142857142855</v>
      </c>
      <c r="AL101" s="21">
        <f>IFERROR(N101/'Ar-Pa'!N101,0)</f>
        <v>6.9116249999999999</v>
      </c>
      <c r="AM101" s="21">
        <f>IFERROR(O101/'Ar-Pa'!O101,0)</f>
        <v>6.8778750000000004</v>
      </c>
      <c r="AN101" s="21">
        <f>IFERROR(P101/'Ar-Pa'!P101,0)</f>
        <v>6.8691499999999994</v>
      </c>
      <c r="AO101" s="21">
        <f>IFERROR(Q101/'Ar-Pa'!Q101,0)</f>
        <v>6.8330874999999995</v>
      </c>
      <c r="AP101" s="21">
        <f>IFERROR(R101/'Ar-Pa'!R101,0)</f>
        <v>6.8286625000000001</v>
      </c>
      <c r="AQ101" s="21">
        <f>IFERROR(S101/'Ar-Pa'!S101,0)</f>
        <v>6.6385500000000004</v>
      </c>
      <c r="AR101" s="21">
        <f>IFERROR(T101/'Ar-Pa'!T101,0)</f>
        <v>6.8452000000000002</v>
      </c>
      <c r="AS101" s="21">
        <f>IFERROR(U101/'Ar-Pa'!U101,0)</f>
        <v>6.8773</v>
      </c>
      <c r="AT101" s="21">
        <f>IFERROR(V101/'Ar-Pa'!V101,0)</f>
        <v>8.383775</v>
      </c>
      <c r="AU101" s="21">
        <f>IFERROR(W101/'Ar-Pa'!W101,0)</f>
        <v>8.4498499999999996</v>
      </c>
      <c r="AV101" s="21">
        <f>IFERROR(X101/'Ar-Pa'!X101,0)</f>
        <v>8.3886749999999992</v>
      </c>
      <c r="AW101" s="21">
        <f>IFERROR(Y101/'Ar-Pa'!Y101,0)</f>
        <v>6.9044999999999996</v>
      </c>
      <c r="AX101" s="21">
        <f t="shared" si="1"/>
        <v>171.30294642857146</v>
      </c>
    </row>
    <row r="102" spans="1:50" s="12" customFormat="1">
      <c r="A102" s="15">
        <v>45027</v>
      </c>
      <c r="B102" s="436">
        <v>54.719300000000004</v>
      </c>
      <c r="C102" s="436">
        <v>54.730599999999995</v>
      </c>
      <c r="D102" s="436">
        <v>54.393000000000001</v>
      </c>
      <c r="E102" s="436">
        <v>54.514699999999998</v>
      </c>
      <c r="F102" s="436">
        <v>54.801900000000003</v>
      </c>
      <c r="G102" s="436">
        <v>54.513100000000001</v>
      </c>
      <c r="H102" s="436">
        <v>52.785400000000003</v>
      </c>
      <c r="I102" s="436">
        <v>53.568199999999997</v>
      </c>
      <c r="J102" s="436">
        <v>53.9848</v>
      </c>
      <c r="K102" s="436">
        <v>54.532599999999995</v>
      </c>
      <c r="L102" s="436">
        <v>54.569699999999997</v>
      </c>
      <c r="M102" s="436">
        <v>54.970199999999998</v>
      </c>
      <c r="N102" s="436">
        <v>54.203600000000002</v>
      </c>
      <c r="O102" s="436">
        <v>54.7699</v>
      </c>
      <c r="P102" s="436">
        <v>53.987699999999997</v>
      </c>
      <c r="Q102" s="436">
        <v>54.470300000000002</v>
      </c>
      <c r="R102" s="436">
        <v>54.811</v>
      </c>
      <c r="S102" s="436">
        <v>55.431699999999999</v>
      </c>
      <c r="T102" s="437">
        <v>53.837400000000002</v>
      </c>
      <c r="U102" s="436">
        <v>54.350499999999997</v>
      </c>
      <c r="V102" s="437">
        <v>65.912300000000002</v>
      </c>
      <c r="W102" s="437">
        <v>54.9773</v>
      </c>
      <c r="X102" s="436">
        <v>54.067</v>
      </c>
      <c r="Y102" s="436">
        <v>54.057699999999997</v>
      </c>
      <c r="Z102" s="21">
        <f>IFERROR(B102/'Ar-Pa'!B102,0)</f>
        <v>6.8399125000000005</v>
      </c>
      <c r="AA102" s="21">
        <f>IFERROR(C102/'Ar-Pa'!C102,0)</f>
        <v>6.8413249999999994</v>
      </c>
      <c r="AB102" s="21">
        <f>IFERROR(D102/'Ar-Pa'!D102,0)</f>
        <v>6.7991250000000001</v>
      </c>
      <c r="AC102" s="21">
        <f>IFERROR(E102/'Ar-Pa'!E102,0)</f>
        <v>6.8143374999999997</v>
      </c>
      <c r="AD102" s="21">
        <f>IFERROR(F102/'Ar-Pa'!F102,0)</f>
        <v>6.8502375000000004</v>
      </c>
      <c r="AE102" s="21">
        <f>IFERROR(G102/'Ar-Pa'!G102,0)</f>
        <v>6.8141375000000002</v>
      </c>
      <c r="AF102" s="21">
        <f>IFERROR(H102/'Ar-Pa'!H102,0)</f>
        <v>7.5407714285714293</v>
      </c>
      <c r="AG102" s="21">
        <f>IFERROR(I102/'Ar-Pa'!I102,0)</f>
        <v>6.6960249999999997</v>
      </c>
      <c r="AH102" s="21">
        <f>IFERROR(J102/'Ar-Pa'!J102,0)</f>
        <v>6.7481</v>
      </c>
      <c r="AI102" s="21">
        <f>IFERROR(K102/'Ar-Pa'!K102,0)</f>
        <v>7.7903714285714276</v>
      </c>
      <c r="AJ102" s="21">
        <f>IFERROR(L102/'Ar-Pa'!L102,0)</f>
        <v>7.7956714285714286</v>
      </c>
      <c r="AK102" s="21">
        <f>IFERROR(M102/'Ar-Pa'!M102,0)</f>
        <v>6.8712749999999998</v>
      </c>
      <c r="AL102" s="21">
        <f>IFERROR(N102/'Ar-Pa'!N102,0)</f>
        <v>6.7754500000000002</v>
      </c>
      <c r="AM102" s="21">
        <f>IFERROR(O102/'Ar-Pa'!O102,0)</f>
        <v>6.8462375</v>
      </c>
      <c r="AN102" s="21">
        <f>IFERROR(P102/'Ar-Pa'!P102,0)</f>
        <v>6.7484624999999996</v>
      </c>
      <c r="AO102" s="21">
        <f>IFERROR(Q102/'Ar-Pa'!Q102,0)</f>
        <v>6.8087875000000002</v>
      </c>
      <c r="AP102" s="21">
        <f>IFERROR(R102/'Ar-Pa'!R102,0)</f>
        <v>6.851375</v>
      </c>
      <c r="AQ102" s="21">
        <f>IFERROR(S102/'Ar-Pa'!S102,0)</f>
        <v>6.9289624999999999</v>
      </c>
      <c r="AR102" s="21">
        <f>IFERROR(T102/'Ar-Pa'!T102,0)</f>
        <v>6.7296750000000003</v>
      </c>
      <c r="AS102" s="21">
        <f>IFERROR(U102/'Ar-Pa'!U102,0)</f>
        <v>6.7938124999999996</v>
      </c>
      <c r="AT102" s="21">
        <f>IFERROR(V102/'Ar-Pa'!V102,0)</f>
        <v>8.2390375000000002</v>
      </c>
      <c r="AU102" s="21">
        <f>IFERROR(W102/'Ar-Pa'!W102,0)</f>
        <v>6.8721625</v>
      </c>
      <c r="AV102" s="21">
        <f>IFERROR(X102/'Ar-Pa'!X102,0)</f>
        <v>6.758375</v>
      </c>
      <c r="AW102" s="21">
        <f>IFERROR(Y102/'Ar-Pa'!Y102,0)</f>
        <v>6.7572124999999996</v>
      </c>
      <c r="AX102" s="21">
        <f t="shared" si="1"/>
        <v>167.5108392857143</v>
      </c>
    </row>
    <row r="103" spans="1:50" s="12" customFormat="1">
      <c r="A103" s="15">
        <v>45028</v>
      </c>
      <c r="B103" s="436">
        <v>45.532599999999995</v>
      </c>
      <c r="C103" s="436">
        <v>45.3414</v>
      </c>
      <c r="D103" s="436">
        <v>45.375900000000001</v>
      </c>
      <c r="E103" s="436">
        <v>45.237300000000005</v>
      </c>
      <c r="F103" s="436">
        <v>45.2958</v>
      </c>
      <c r="G103" s="436">
        <v>44.131599999999999</v>
      </c>
      <c r="H103" s="436">
        <v>44.603400000000001</v>
      </c>
      <c r="I103" s="436">
        <v>44.743900000000004</v>
      </c>
      <c r="J103" s="436">
        <v>44.613</v>
      </c>
      <c r="K103" s="436">
        <v>44.624600000000001</v>
      </c>
      <c r="L103" s="436">
        <v>44.232199999999999</v>
      </c>
      <c r="M103" s="436">
        <v>42.774999999999999</v>
      </c>
      <c r="N103" s="436">
        <v>43.538899999999998</v>
      </c>
      <c r="O103" s="436">
        <v>44.359300000000005</v>
      </c>
      <c r="P103" s="436">
        <v>44.117699999999999</v>
      </c>
      <c r="Q103" s="436">
        <v>41.616900000000001</v>
      </c>
      <c r="R103" s="436">
        <v>41.971199999999996</v>
      </c>
      <c r="S103" s="436">
        <v>44.405300000000004</v>
      </c>
      <c r="T103" s="437">
        <v>45.206600000000002</v>
      </c>
      <c r="U103" s="436">
        <v>48.641400000000004</v>
      </c>
      <c r="V103" s="437">
        <v>50.516599999999997</v>
      </c>
      <c r="W103" s="437">
        <v>52.973699999999994</v>
      </c>
      <c r="X103" s="436">
        <v>57.300599999999996</v>
      </c>
      <c r="Y103" s="436">
        <v>44.796699999999994</v>
      </c>
      <c r="Z103" s="21">
        <f>IFERROR(B103/'Ar-Pa'!B103,0)</f>
        <v>7.5887666666666656</v>
      </c>
      <c r="AA103" s="21">
        <f>IFERROR(C103/'Ar-Pa'!C103,0)</f>
        <v>7.5568999999999997</v>
      </c>
      <c r="AB103" s="21">
        <f>IFERROR(D103/'Ar-Pa'!D103,0)</f>
        <v>7.5626500000000005</v>
      </c>
      <c r="AC103" s="21">
        <f>IFERROR(E103/'Ar-Pa'!E103,0)</f>
        <v>7.5395500000000011</v>
      </c>
      <c r="AD103" s="21">
        <f>IFERROR(F103/'Ar-Pa'!F103,0)</f>
        <v>7.5492999999999997</v>
      </c>
      <c r="AE103" s="21">
        <f>IFERROR(G103/'Ar-Pa'!G103,0)</f>
        <v>7.3552666666666662</v>
      </c>
      <c r="AF103" s="21">
        <f>IFERROR(H103/'Ar-Pa'!H103,0)</f>
        <v>7.4339000000000004</v>
      </c>
      <c r="AG103" s="21">
        <f>IFERROR(I103/'Ar-Pa'!I103,0)</f>
        <v>7.4573166666666673</v>
      </c>
      <c r="AH103" s="21">
        <f>IFERROR(J103/'Ar-Pa'!J103,0)</f>
        <v>7.4355000000000002</v>
      </c>
      <c r="AI103" s="21">
        <f>IFERROR(K103/'Ar-Pa'!K103,0)</f>
        <v>0</v>
      </c>
      <c r="AJ103" s="21">
        <f>IFERROR(L103/'Ar-Pa'!L103,0)</f>
        <v>0</v>
      </c>
      <c r="AK103" s="21">
        <f>IFERROR(M103/'Ar-Pa'!M103,0)</f>
        <v>0</v>
      </c>
      <c r="AL103" s="21">
        <f>IFERROR(N103/'Ar-Pa'!N103,0)</f>
        <v>0</v>
      </c>
      <c r="AM103" s="21">
        <f>IFERROR(O103/'Ar-Pa'!O103,0)</f>
        <v>8.8718600000000016</v>
      </c>
      <c r="AN103" s="21">
        <f>IFERROR(P103/'Ar-Pa'!P103,0)</f>
        <v>8.8235399999999995</v>
      </c>
      <c r="AO103" s="21">
        <f>IFERROR(Q103/'Ar-Pa'!Q103,0)</f>
        <v>10.404225</v>
      </c>
      <c r="AP103" s="21">
        <f>IFERROR(R103/'Ar-Pa'!R103,0)</f>
        <v>8.3942399999999999</v>
      </c>
      <c r="AQ103" s="21">
        <f>IFERROR(S103/'Ar-Pa'!S103,0)</f>
        <v>8.8810600000000015</v>
      </c>
      <c r="AR103" s="21">
        <f>IFERROR(T103/'Ar-Pa'!T103,0)</f>
        <v>9.0413200000000007</v>
      </c>
      <c r="AS103" s="21">
        <f>IFERROR(U103/'Ar-Pa'!U103,0)</f>
        <v>9.7282800000000016</v>
      </c>
      <c r="AT103" s="21">
        <f>IFERROR(V103/'Ar-Pa'!V103,0)</f>
        <v>8.4194333333333322</v>
      </c>
      <c r="AU103" s="21">
        <f>IFERROR(W103/'Ar-Pa'!W103,0)</f>
        <v>8.828949999999999</v>
      </c>
      <c r="AV103" s="21">
        <f>IFERROR(X103/'Ar-Pa'!X103,0)</f>
        <v>9.5500999999999987</v>
      </c>
      <c r="AW103" s="21">
        <f>IFERROR(Y103/'Ar-Pa'!Y103,0)</f>
        <v>7.4661166666666654</v>
      </c>
      <c r="AX103" s="21">
        <f t="shared" si="1"/>
        <v>165.88827499999996</v>
      </c>
    </row>
    <row r="104" spans="1:50" s="12" customFormat="1">
      <c r="A104" s="15">
        <v>45029</v>
      </c>
      <c r="B104" s="436">
        <v>52.3596</v>
      </c>
      <c r="C104" s="436">
        <v>52.964100000000002</v>
      </c>
      <c r="D104" s="436">
        <v>53.255600000000001</v>
      </c>
      <c r="E104" s="436">
        <v>54.0426</v>
      </c>
      <c r="F104" s="436">
        <v>54.196100000000001</v>
      </c>
      <c r="G104" s="436">
        <v>54.276000000000003</v>
      </c>
      <c r="H104" s="436">
        <v>54.3596</v>
      </c>
      <c r="I104" s="436">
        <v>54.302</v>
      </c>
      <c r="J104" s="436">
        <v>54.144599999999997</v>
      </c>
      <c r="K104" s="436">
        <v>54.261099999999999</v>
      </c>
      <c r="L104" s="436">
        <v>53.409800000000004</v>
      </c>
      <c r="M104" s="436">
        <v>52.153800000000004</v>
      </c>
      <c r="N104" s="436">
        <v>54.624300000000005</v>
      </c>
      <c r="O104" s="436">
        <v>54.4711</v>
      </c>
      <c r="P104" s="436">
        <v>54.323699999999995</v>
      </c>
      <c r="Q104" s="436">
        <v>53.753500000000003</v>
      </c>
      <c r="R104" s="436">
        <v>53.753599999999999</v>
      </c>
      <c r="S104" s="436">
        <v>52.251599999999996</v>
      </c>
      <c r="T104" s="437">
        <v>53.706800000000001</v>
      </c>
      <c r="U104" s="436">
        <v>56.273400000000002</v>
      </c>
      <c r="V104" s="437">
        <v>66.919200000000004</v>
      </c>
      <c r="W104" s="437">
        <v>67.300600000000003</v>
      </c>
      <c r="X104" s="436">
        <v>67.375799999999998</v>
      </c>
      <c r="Y104" s="436">
        <v>55.200600000000001</v>
      </c>
      <c r="Z104" s="21">
        <f>IFERROR(B104/'Ar-Pa'!B104,0)</f>
        <v>7.4799428571428574</v>
      </c>
      <c r="AA104" s="21">
        <f>IFERROR(C104/'Ar-Pa'!C104,0)</f>
        <v>7.5663</v>
      </c>
      <c r="AB104" s="21">
        <f>IFERROR(D104/'Ar-Pa'!D104,0)</f>
        <v>6.6569500000000001</v>
      </c>
      <c r="AC104" s="21">
        <f>IFERROR(E104/'Ar-Pa'!E104,0)</f>
        <v>6.755325</v>
      </c>
      <c r="AD104" s="21">
        <f>IFERROR(F104/'Ar-Pa'!F104,0)</f>
        <v>6.7745125000000002</v>
      </c>
      <c r="AE104" s="21">
        <f>IFERROR(G104/'Ar-Pa'!G104,0)</f>
        <v>6.7845000000000004</v>
      </c>
      <c r="AF104" s="21">
        <f>IFERROR(H104/'Ar-Pa'!H104,0)</f>
        <v>7.765657142857143</v>
      </c>
      <c r="AG104" s="21">
        <f>IFERROR(I104/'Ar-Pa'!I104,0)</f>
        <v>6.78775</v>
      </c>
      <c r="AH104" s="21">
        <f>IFERROR(J104/'Ar-Pa'!J104,0)</f>
        <v>6.7680749999999996</v>
      </c>
      <c r="AI104" s="21">
        <f>IFERROR(K104/'Ar-Pa'!K104,0)</f>
        <v>6.7826374999999999</v>
      </c>
      <c r="AJ104" s="21">
        <f>IFERROR(L104/'Ar-Pa'!L104,0)</f>
        <v>6.6762250000000005</v>
      </c>
      <c r="AK104" s="21">
        <f>IFERROR(M104/'Ar-Pa'!M104,0)</f>
        <v>6.5192250000000005</v>
      </c>
      <c r="AL104" s="21">
        <f>IFERROR(N104/'Ar-Pa'!N104,0)</f>
        <v>6.8280375000000006</v>
      </c>
      <c r="AM104" s="21">
        <f>IFERROR(O104/'Ar-Pa'!O104,0)</f>
        <v>6.8088875</v>
      </c>
      <c r="AN104" s="21">
        <f>IFERROR(P104/'Ar-Pa'!P104,0)</f>
        <v>6.7904624999999994</v>
      </c>
      <c r="AO104" s="21">
        <f>IFERROR(Q104/'Ar-Pa'!Q104,0)</f>
        <v>6.7191875000000003</v>
      </c>
      <c r="AP104" s="21">
        <f>IFERROR(R104/'Ar-Pa'!R104,0)</f>
        <v>6.7191999999999998</v>
      </c>
      <c r="AQ104" s="21">
        <f>IFERROR(S104/'Ar-Pa'!S104,0)</f>
        <v>6.5314499999999995</v>
      </c>
      <c r="AR104" s="21">
        <f>IFERROR(T104/'Ar-Pa'!T104,0)</f>
        <v>6.7133500000000002</v>
      </c>
      <c r="AS104" s="21">
        <f>IFERROR(U104/'Ar-Pa'!U104,0)</f>
        <v>7.0341750000000003</v>
      </c>
      <c r="AT104" s="21">
        <f>IFERROR(V104/'Ar-Pa'!V104,0)</f>
        <v>8.3649000000000004</v>
      </c>
      <c r="AU104" s="21">
        <f>IFERROR(W104/'Ar-Pa'!W104,0)</f>
        <v>8.4125750000000004</v>
      </c>
      <c r="AV104" s="21">
        <f>IFERROR(X104/'Ar-Pa'!X104,0)</f>
        <v>8.4219749999999998</v>
      </c>
      <c r="AW104" s="21">
        <f>IFERROR(Y104/'Ar-Pa'!Y104,0)</f>
        <v>6.9000750000000002</v>
      </c>
      <c r="AX104" s="21">
        <f t="shared" si="1"/>
        <v>169.56137500000003</v>
      </c>
    </row>
    <row r="105" spans="1:50" s="12" customFormat="1">
      <c r="A105" s="15">
        <v>45030</v>
      </c>
      <c r="B105" s="436">
        <v>53.580199999999998</v>
      </c>
      <c r="C105" s="436">
        <v>54.047800000000002</v>
      </c>
      <c r="D105" s="436">
        <v>53.919699999999999</v>
      </c>
      <c r="E105" s="436">
        <v>54.036499999999997</v>
      </c>
      <c r="F105" s="436">
        <v>54.886099999999999</v>
      </c>
      <c r="G105" s="436">
        <v>54.046599999999998</v>
      </c>
      <c r="H105" s="436">
        <v>53.342800000000004</v>
      </c>
      <c r="I105" s="436">
        <v>53.476999999999997</v>
      </c>
      <c r="J105" s="436">
        <v>53.4666</v>
      </c>
      <c r="K105" s="436">
        <v>53.380300000000005</v>
      </c>
      <c r="L105" s="436">
        <v>53.375</v>
      </c>
      <c r="M105" s="436">
        <v>53.5822</v>
      </c>
      <c r="N105" s="436">
        <v>54.418500000000002</v>
      </c>
      <c r="O105" s="436">
        <v>54.364400000000003</v>
      </c>
      <c r="P105" s="436">
        <v>54.2059</v>
      </c>
      <c r="Q105" s="436">
        <v>53.437599999999996</v>
      </c>
      <c r="R105" s="436">
        <v>54.116199999999999</v>
      </c>
      <c r="S105" s="436">
        <v>54.6387</v>
      </c>
      <c r="T105" s="437">
        <v>54.580400000000004</v>
      </c>
      <c r="U105" s="436">
        <v>54.540599999999998</v>
      </c>
      <c r="V105" s="437">
        <v>66.154499999999999</v>
      </c>
      <c r="W105" s="437">
        <v>67.561700000000002</v>
      </c>
      <c r="X105" s="436">
        <v>67.391300000000001</v>
      </c>
      <c r="Y105" s="436">
        <v>61.664300000000004</v>
      </c>
      <c r="Z105" s="21">
        <f>IFERROR(B105/'Ar-Pa'!B105,0)</f>
        <v>6.6975249999999997</v>
      </c>
      <c r="AA105" s="21">
        <f>IFERROR(C105/'Ar-Pa'!C105,0)</f>
        <v>6.7559750000000003</v>
      </c>
      <c r="AB105" s="21">
        <f>IFERROR(D105/'Ar-Pa'!D105,0)</f>
        <v>6.7399624999999999</v>
      </c>
      <c r="AC105" s="21">
        <f>IFERROR(E105/'Ar-Pa'!E105,0)</f>
        <v>6.7545624999999996</v>
      </c>
      <c r="AD105" s="21">
        <f>IFERROR(F105/'Ar-Pa'!F105,0)</f>
        <v>6.8607624999999999</v>
      </c>
      <c r="AE105" s="21">
        <f>IFERROR(G105/'Ar-Pa'!G105,0)</f>
        <v>7.7209428571428571</v>
      </c>
      <c r="AF105" s="21">
        <f>IFERROR(H105/'Ar-Pa'!H105,0)</f>
        <v>7.620400000000001</v>
      </c>
      <c r="AG105" s="21">
        <f>IFERROR(I105/'Ar-Pa'!I105,0)</f>
        <v>7.6395714285714282</v>
      </c>
      <c r="AH105" s="21">
        <f>IFERROR(J105/'Ar-Pa'!J105,0)</f>
        <v>7.6380857142857144</v>
      </c>
      <c r="AI105" s="21">
        <f>IFERROR(K105/'Ar-Pa'!K105,0)</f>
        <v>7.625757142857144</v>
      </c>
      <c r="AJ105" s="21">
        <f>IFERROR(L105/'Ar-Pa'!L105,0)</f>
        <v>7.625</v>
      </c>
      <c r="AK105" s="21">
        <f>IFERROR(M105/'Ar-Pa'!M105,0)</f>
        <v>6.697775</v>
      </c>
      <c r="AL105" s="21">
        <f>IFERROR(N105/'Ar-Pa'!N105,0)</f>
        <v>7.7740714285714292</v>
      </c>
      <c r="AM105" s="21">
        <f>IFERROR(O105/'Ar-Pa'!O105,0)</f>
        <v>7.7663428571428579</v>
      </c>
      <c r="AN105" s="21">
        <f>IFERROR(P105/'Ar-Pa'!P105,0)</f>
        <v>6.7757375</v>
      </c>
      <c r="AO105" s="21">
        <f>IFERROR(Q105/'Ar-Pa'!Q105,0)</f>
        <v>6.6796999999999995</v>
      </c>
      <c r="AP105" s="21">
        <f>IFERROR(R105/'Ar-Pa'!R105,0)</f>
        <v>6.7645249999999999</v>
      </c>
      <c r="AQ105" s="21">
        <f>IFERROR(S105/'Ar-Pa'!S105,0)</f>
        <v>7.8055285714285718</v>
      </c>
      <c r="AR105" s="21">
        <f>IFERROR(T105/'Ar-Pa'!T105,0)</f>
        <v>7.797200000000001</v>
      </c>
      <c r="AS105" s="21">
        <f>IFERROR(U105/'Ar-Pa'!U105,0)</f>
        <v>7.7915142857142854</v>
      </c>
      <c r="AT105" s="21">
        <f>IFERROR(V105/'Ar-Pa'!V105,0)</f>
        <v>9.4506428571428565</v>
      </c>
      <c r="AU105" s="21">
        <f>IFERROR(W105/'Ar-Pa'!W105,0)</f>
        <v>9.6516714285714293</v>
      </c>
      <c r="AV105" s="21">
        <f>IFERROR(X105/'Ar-Pa'!X105,0)</f>
        <v>9.6273285714285723</v>
      </c>
      <c r="AW105" s="21">
        <f>IFERROR(Y105/'Ar-Pa'!Y105,0)</f>
        <v>8.8091857142857144</v>
      </c>
      <c r="AX105" s="21">
        <f t="shared" si="1"/>
        <v>183.06976785714286</v>
      </c>
    </row>
    <row r="106" spans="1:50" s="12" customFormat="1">
      <c r="A106" s="15">
        <v>45031</v>
      </c>
      <c r="B106" s="436">
        <v>53.3065</v>
      </c>
      <c r="C106" s="436">
        <v>53.348300000000002</v>
      </c>
      <c r="D106" s="436">
        <v>53.859400000000001</v>
      </c>
      <c r="E106" s="436">
        <v>53.7226</v>
      </c>
      <c r="F106" s="436">
        <v>53.718300000000006</v>
      </c>
      <c r="G106" s="436">
        <v>53.7498</v>
      </c>
      <c r="H106" s="436">
        <v>54.2592</v>
      </c>
      <c r="I106" s="436">
        <v>53.869599999999998</v>
      </c>
      <c r="J106" s="436">
        <v>54.263199999999998</v>
      </c>
      <c r="K106" s="436">
        <v>54.015599999999999</v>
      </c>
      <c r="L106" s="436">
        <v>54.142000000000003</v>
      </c>
      <c r="M106" s="436">
        <v>53.900700000000001</v>
      </c>
      <c r="N106" s="436">
        <v>54.067</v>
      </c>
      <c r="O106" s="436">
        <v>53.948399999999999</v>
      </c>
      <c r="P106" s="436">
        <v>54.211300000000001</v>
      </c>
      <c r="Q106" s="436">
        <v>53.983800000000002</v>
      </c>
      <c r="R106" s="436">
        <v>54.016400000000004</v>
      </c>
      <c r="S106" s="436">
        <v>53.804400000000001</v>
      </c>
      <c r="T106" s="437">
        <v>54.085300000000004</v>
      </c>
      <c r="U106" s="436">
        <v>54.930599999999998</v>
      </c>
      <c r="V106" s="437">
        <v>56.448399999999999</v>
      </c>
      <c r="W106" s="437">
        <v>54.8459</v>
      </c>
      <c r="X106" s="436">
        <v>54.670999999999999</v>
      </c>
      <c r="Y106" s="436">
        <v>54.839199999999998</v>
      </c>
      <c r="Z106" s="21">
        <f>IFERROR(B106/'Ar-Pa'!B106,0)</f>
        <v>7.6152142857142859</v>
      </c>
      <c r="AA106" s="21">
        <f>IFERROR(C106/'Ar-Pa'!C106,0)</f>
        <v>7.6211857142857147</v>
      </c>
      <c r="AB106" s="21">
        <f>IFERROR(D106/'Ar-Pa'!D106,0)</f>
        <v>7.6942000000000004</v>
      </c>
      <c r="AC106" s="21">
        <f>IFERROR(E106/'Ar-Pa'!E106,0)</f>
        <v>7.6746571428571428</v>
      </c>
      <c r="AD106" s="21">
        <f>IFERROR(F106/'Ar-Pa'!F106,0)</f>
        <v>7.6740428571428581</v>
      </c>
      <c r="AE106" s="21">
        <f>IFERROR(G106/'Ar-Pa'!G106,0)</f>
        <v>7.6785428571428573</v>
      </c>
      <c r="AF106" s="21">
        <f>IFERROR(H106/'Ar-Pa'!H106,0)</f>
        <v>7.7513142857142858</v>
      </c>
      <c r="AG106" s="21">
        <f>IFERROR(I106/'Ar-Pa'!I106,0)</f>
        <v>7.6956571428571428</v>
      </c>
      <c r="AH106" s="21">
        <f>IFERROR(J106/'Ar-Pa'!J106,0)</f>
        <v>7.7518857142857138</v>
      </c>
      <c r="AI106" s="21">
        <f>IFERROR(K106/'Ar-Pa'!K106,0)</f>
        <v>7.7165142857142852</v>
      </c>
      <c r="AJ106" s="21">
        <f>IFERROR(L106/'Ar-Pa'!L106,0)</f>
        <v>7.7345714285714289</v>
      </c>
      <c r="AK106" s="21">
        <f>IFERROR(M106/'Ar-Pa'!M106,0)</f>
        <v>7.7000999999999999</v>
      </c>
      <c r="AL106" s="21">
        <f>IFERROR(N106/'Ar-Pa'!N106,0)</f>
        <v>7.7238571428571428</v>
      </c>
      <c r="AM106" s="21">
        <f>IFERROR(O106/'Ar-Pa'!O106,0)</f>
        <v>13.4871</v>
      </c>
      <c r="AN106" s="21">
        <f>IFERROR(P106/'Ar-Pa'!P106,0)</f>
        <v>7.7444714285714289</v>
      </c>
      <c r="AO106" s="21">
        <f>IFERROR(Q106/'Ar-Pa'!Q106,0)</f>
        <v>7.7119714285714291</v>
      </c>
      <c r="AP106" s="21">
        <f>IFERROR(R106/'Ar-Pa'!R106,0)</f>
        <v>7.7166285714285721</v>
      </c>
      <c r="AQ106" s="21">
        <f>IFERROR(S106/'Ar-Pa'!S106,0)</f>
        <v>7.6863428571428569</v>
      </c>
      <c r="AR106" s="21">
        <f>IFERROR(T106/'Ar-Pa'!T106,0)</f>
        <v>7.7264714285714291</v>
      </c>
      <c r="AS106" s="21">
        <f>IFERROR(U106/'Ar-Pa'!U106,0)</f>
        <v>7.8472285714285714</v>
      </c>
      <c r="AT106" s="21">
        <f>IFERROR(V106/'Ar-Pa'!V106,0)</f>
        <v>8.064057142857143</v>
      </c>
      <c r="AU106" s="21">
        <f>IFERROR(W106/'Ar-Pa'!W106,0)</f>
        <v>7.8351285714285712</v>
      </c>
      <c r="AV106" s="21">
        <f>IFERROR(X106/'Ar-Pa'!X106,0)</f>
        <v>7.8101428571428571</v>
      </c>
      <c r="AW106" s="21">
        <f>IFERROR(Y106/'Ar-Pa'!Y106,0)</f>
        <v>7.8341714285714286</v>
      </c>
      <c r="AX106" s="21">
        <f t="shared" si="1"/>
        <v>191.49545714285713</v>
      </c>
    </row>
    <row r="107" spans="1:50" s="12" customFormat="1">
      <c r="A107" s="15">
        <v>45032</v>
      </c>
      <c r="B107" s="436">
        <v>44.904800000000002</v>
      </c>
      <c r="C107" s="436">
        <v>45.849899999999998</v>
      </c>
      <c r="D107" s="436">
        <v>45.771699999999996</v>
      </c>
      <c r="E107" s="436">
        <v>45.898300000000006</v>
      </c>
      <c r="F107" s="436">
        <v>45.861899999999999</v>
      </c>
      <c r="G107" s="436">
        <v>45.779199999999996</v>
      </c>
      <c r="H107" s="436">
        <v>45.822199999999995</v>
      </c>
      <c r="I107" s="436">
        <v>45.889000000000003</v>
      </c>
      <c r="J107" s="436">
        <v>44.569499999999998</v>
      </c>
      <c r="K107" s="436">
        <v>44.852400000000003</v>
      </c>
      <c r="L107" s="436">
        <v>44.839400000000005</v>
      </c>
      <c r="M107" s="436">
        <v>44.838900000000002</v>
      </c>
      <c r="N107" s="436">
        <v>44.815300000000001</v>
      </c>
      <c r="O107" s="436">
        <v>44.745599999999996</v>
      </c>
      <c r="P107" s="436">
        <v>44.823399999999999</v>
      </c>
      <c r="Q107" s="436">
        <v>44.810300000000005</v>
      </c>
      <c r="R107" s="436">
        <v>44.839500000000001</v>
      </c>
      <c r="S107" s="436">
        <v>44.942399999999999</v>
      </c>
      <c r="T107" s="437">
        <v>44.860800000000005</v>
      </c>
      <c r="U107" s="436">
        <v>44.686199999999999</v>
      </c>
      <c r="V107" s="437">
        <v>52.808699999999995</v>
      </c>
      <c r="W107" s="437">
        <v>45.314999999999998</v>
      </c>
      <c r="X107" s="436">
        <v>45.156500000000001</v>
      </c>
      <c r="Y107" s="436">
        <v>45.595099999999995</v>
      </c>
      <c r="Z107" s="21">
        <f>IFERROR(B107/'Ar-Pa'!B107,0)</f>
        <v>6.4149714285714285</v>
      </c>
      <c r="AA107" s="21">
        <f>IFERROR(C107/'Ar-Pa'!C107,0)</f>
        <v>6.5499857142857136</v>
      </c>
      <c r="AB107" s="21">
        <f>IFERROR(D107/'Ar-Pa'!D107,0)</f>
        <v>6.5388142857142855</v>
      </c>
      <c r="AC107" s="21">
        <f>IFERROR(E107/'Ar-Pa'!E107,0)</f>
        <v>6.5569000000000006</v>
      </c>
      <c r="AD107" s="21">
        <f>IFERROR(F107/'Ar-Pa'!F107,0)</f>
        <v>6.5516999999999994</v>
      </c>
      <c r="AE107" s="21">
        <f>IFERROR(G107/'Ar-Pa'!G107,0)</f>
        <v>6.5398857142857141</v>
      </c>
      <c r="AF107" s="21">
        <f>IFERROR(H107/'Ar-Pa'!H107,0)</f>
        <v>6.5460285714285709</v>
      </c>
      <c r="AG107" s="21">
        <f>IFERROR(I107/'Ar-Pa'!I107,0)</f>
        <v>6.5555714285714286</v>
      </c>
      <c r="AH107" s="21">
        <f>IFERROR(J107/'Ar-Pa'!J107,0)</f>
        <v>6.3670714285714283</v>
      </c>
      <c r="AI107" s="21">
        <f>IFERROR(K107/'Ar-Pa'!K107,0)</f>
        <v>6.4074857142857145</v>
      </c>
      <c r="AJ107" s="21">
        <f>IFERROR(L107/'Ar-Pa'!L107,0)</f>
        <v>6.4056285714285721</v>
      </c>
      <c r="AK107" s="21">
        <f>IFERROR(M107/'Ar-Pa'!M107,0)</f>
        <v>6.4055571428571429</v>
      </c>
      <c r="AL107" s="21">
        <f>IFERROR(N107/'Ar-Pa'!N107,0)</f>
        <v>6.4021857142857144</v>
      </c>
      <c r="AM107" s="21">
        <f>IFERROR(O107/'Ar-Pa'!O107,0)</f>
        <v>6.3922285714285705</v>
      </c>
      <c r="AN107" s="21">
        <f>IFERROR(P107/'Ar-Pa'!P107,0)</f>
        <v>6.4033428571428574</v>
      </c>
      <c r="AO107" s="21">
        <f>IFERROR(Q107/'Ar-Pa'!Q107,0)</f>
        <v>6.4014714285714289</v>
      </c>
      <c r="AP107" s="21">
        <f>IFERROR(R107/'Ar-Pa'!R107,0)</f>
        <v>6.4056428571428574</v>
      </c>
      <c r="AQ107" s="21">
        <f>IFERROR(S107/'Ar-Pa'!S107,0)</f>
        <v>6.4203428571428569</v>
      </c>
      <c r="AR107" s="21">
        <f>IFERROR(T107/'Ar-Pa'!T107,0)</f>
        <v>6.4086857142857152</v>
      </c>
      <c r="AS107" s="21">
        <f>IFERROR(U107/'Ar-Pa'!U107,0)</f>
        <v>6.3837428571428569</v>
      </c>
      <c r="AT107" s="21">
        <f>IFERROR(V107/'Ar-Pa'!V107,0)</f>
        <v>7.5440999999999994</v>
      </c>
      <c r="AU107" s="21">
        <f>IFERROR(W107/'Ar-Pa'!W107,0)</f>
        <v>6.4735714285714279</v>
      </c>
      <c r="AV107" s="21">
        <f>IFERROR(X107/'Ar-Pa'!X107,0)</f>
        <v>6.4509285714285713</v>
      </c>
      <c r="AW107" s="21">
        <f>IFERROR(Y107/'Ar-Pa'!Y107,0)</f>
        <v>6.5135857142857132</v>
      </c>
      <c r="AX107" s="21">
        <f t="shared" si="1"/>
        <v>156.03942857142854</v>
      </c>
    </row>
    <row r="108" spans="1:50" s="12" customFormat="1">
      <c r="A108" s="15">
        <v>45033</v>
      </c>
      <c r="B108" s="436">
        <v>53.457000000000001</v>
      </c>
      <c r="C108" s="436">
        <v>55.643000000000001</v>
      </c>
      <c r="D108" s="436">
        <v>54.509900000000002</v>
      </c>
      <c r="E108" s="436">
        <v>54.450699999999998</v>
      </c>
      <c r="F108" s="436">
        <v>54.8994</v>
      </c>
      <c r="G108" s="436">
        <v>54.436099999999996</v>
      </c>
      <c r="H108" s="436">
        <v>54.691499999999998</v>
      </c>
      <c r="I108" s="436">
        <v>54.717599999999997</v>
      </c>
      <c r="J108" s="436">
        <v>53.496600000000001</v>
      </c>
      <c r="K108" s="436">
        <v>54.027699999999996</v>
      </c>
      <c r="L108" s="436">
        <v>53.046999999999997</v>
      </c>
      <c r="M108" s="436">
        <v>52.334099999999999</v>
      </c>
      <c r="N108" s="436">
        <v>54.434199999999997</v>
      </c>
      <c r="O108" s="436">
        <v>54.863300000000002</v>
      </c>
      <c r="P108" s="436">
        <v>52.912800000000004</v>
      </c>
      <c r="Q108" s="436">
        <v>52.731499999999997</v>
      </c>
      <c r="R108" s="436">
        <v>51.945099999999996</v>
      </c>
      <c r="S108" s="436">
        <v>54.155000000000001</v>
      </c>
      <c r="T108" s="437">
        <v>53.5364</v>
      </c>
      <c r="U108" s="436">
        <v>62.632800000000003</v>
      </c>
      <c r="V108" s="437">
        <v>67.604300000000009</v>
      </c>
      <c r="W108" s="437">
        <v>54.922199999999997</v>
      </c>
      <c r="X108" s="436">
        <v>54.987300000000005</v>
      </c>
      <c r="Y108" s="436">
        <v>55.109099999999998</v>
      </c>
      <c r="Z108" s="21">
        <f>IFERROR(B108/'Ar-Pa'!B108,0)</f>
        <v>7.6367142857142856</v>
      </c>
      <c r="AA108" s="21">
        <f>IFERROR(C108/'Ar-Pa'!C108,0)</f>
        <v>7.9489999999999998</v>
      </c>
      <c r="AB108" s="21">
        <f>IFERROR(D108/'Ar-Pa'!D108,0)</f>
        <v>7.7871285714285721</v>
      </c>
      <c r="AC108" s="21">
        <f>IFERROR(E108/'Ar-Pa'!E108,0)</f>
        <v>6.8063374999999997</v>
      </c>
      <c r="AD108" s="21">
        <f>IFERROR(F108/'Ar-Pa'!F108,0)</f>
        <v>6.862425</v>
      </c>
      <c r="AE108" s="21">
        <f>IFERROR(G108/'Ar-Pa'!G108,0)</f>
        <v>6.8045124999999995</v>
      </c>
      <c r="AF108" s="21">
        <f>IFERROR(H108/'Ar-Pa'!H108,0)</f>
        <v>6.8364374999999997</v>
      </c>
      <c r="AG108" s="21">
        <f>IFERROR(I108/'Ar-Pa'!I108,0)</f>
        <v>6.8396999999999997</v>
      </c>
      <c r="AH108" s="21">
        <f>IFERROR(J108/'Ar-Pa'!J108,0)</f>
        <v>6.6870750000000001</v>
      </c>
      <c r="AI108" s="21">
        <f>IFERROR(K108/'Ar-Pa'!K108,0)</f>
        <v>6.7534624999999995</v>
      </c>
      <c r="AJ108" s="21">
        <f>IFERROR(L108/'Ar-Pa'!L108,0)</f>
        <v>6.6308749999999996</v>
      </c>
      <c r="AK108" s="21">
        <f>IFERROR(M108/'Ar-Pa'!M108,0)</f>
        <v>6.5417624999999999</v>
      </c>
      <c r="AL108" s="21">
        <f>IFERROR(N108/'Ar-Pa'!N108,0)</f>
        <v>6.8042749999999996</v>
      </c>
      <c r="AM108" s="21">
        <f>IFERROR(O108/'Ar-Pa'!O108,0)</f>
        <v>6.8579125000000003</v>
      </c>
      <c r="AN108" s="21">
        <f>IFERROR(P108/'Ar-Pa'!P108,0)</f>
        <v>6.6141000000000005</v>
      </c>
      <c r="AO108" s="21">
        <f>IFERROR(Q108/'Ar-Pa'!Q108,0)</f>
        <v>7.5330714285714278</v>
      </c>
      <c r="AP108" s="21">
        <f>IFERROR(R108/'Ar-Pa'!R108,0)</f>
        <v>6.4931374999999996</v>
      </c>
      <c r="AQ108" s="21">
        <f>IFERROR(S108/'Ar-Pa'!S108,0)</f>
        <v>6.7693750000000001</v>
      </c>
      <c r="AR108" s="21">
        <f>IFERROR(T108/'Ar-Pa'!T108,0)</f>
        <v>6.6920500000000001</v>
      </c>
      <c r="AS108" s="21">
        <f>IFERROR(U108/'Ar-Pa'!U108,0)</f>
        <v>7.8291000000000004</v>
      </c>
      <c r="AT108" s="21">
        <f>IFERROR(V108/'Ar-Pa'!V108,0)</f>
        <v>8.4505375000000011</v>
      </c>
      <c r="AU108" s="21">
        <f>IFERROR(W108/'Ar-Pa'!W108,0)</f>
        <v>6.8652749999999996</v>
      </c>
      <c r="AV108" s="21">
        <f>IFERROR(X108/'Ar-Pa'!X108,0)</f>
        <v>6.8734125000000006</v>
      </c>
      <c r="AW108" s="21">
        <f>IFERROR(Y108/'Ar-Pa'!Y108,0)</f>
        <v>6.8886374999999997</v>
      </c>
      <c r="AX108" s="21">
        <f t="shared" si="1"/>
        <v>168.80631428571428</v>
      </c>
    </row>
    <row r="109" spans="1:50" s="12" customFormat="1">
      <c r="A109" s="15">
        <v>45034</v>
      </c>
      <c r="B109" s="436">
        <v>54.362000000000002</v>
      </c>
      <c r="C109" s="436">
        <v>54.145099999999999</v>
      </c>
      <c r="D109" s="436">
        <v>54.305699999999995</v>
      </c>
      <c r="E109" s="436">
        <v>54.203800000000001</v>
      </c>
      <c r="F109" s="436">
        <v>54.190300000000001</v>
      </c>
      <c r="G109" s="436">
        <v>54.164300000000004</v>
      </c>
      <c r="H109" s="436">
        <v>54.251300000000001</v>
      </c>
      <c r="I109" s="436">
        <v>54.346199999999996</v>
      </c>
      <c r="J109" s="436">
        <v>53.758099999999999</v>
      </c>
      <c r="K109" s="436">
        <v>54.261099999999999</v>
      </c>
      <c r="L109" s="436">
        <v>53.522800000000004</v>
      </c>
      <c r="M109" s="436">
        <v>52.646599999999999</v>
      </c>
      <c r="N109" s="436">
        <v>54.213000000000001</v>
      </c>
      <c r="O109" s="436">
        <v>53.6252</v>
      </c>
      <c r="P109" s="436">
        <v>53.381099999999996</v>
      </c>
      <c r="Q109" s="436">
        <v>54.224699999999999</v>
      </c>
      <c r="R109" s="436">
        <v>54.3063</v>
      </c>
      <c r="S109" s="436">
        <v>54.082599999999999</v>
      </c>
      <c r="T109" s="437">
        <v>54.042999999999999</v>
      </c>
      <c r="U109" s="436">
        <v>54.313000000000002</v>
      </c>
      <c r="V109" s="437">
        <v>67.631799999999998</v>
      </c>
      <c r="W109" s="437">
        <v>61.566400000000002</v>
      </c>
      <c r="X109" s="436">
        <v>65.60860000000001</v>
      </c>
      <c r="Y109" s="436">
        <v>54.983199999999997</v>
      </c>
      <c r="Z109" s="21">
        <f>IFERROR(B109/'Ar-Pa'!B109,0)</f>
        <v>6.7952500000000002</v>
      </c>
      <c r="AA109" s="21">
        <f>IFERROR(C109/'Ar-Pa'!C109,0)</f>
        <v>6.7681374999999999</v>
      </c>
      <c r="AB109" s="21">
        <f>IFERROR(D109/'Ar-Pa'!D109,0)</f>
        <v>6.7882124999999993</v>
      </c>
      <c r="AC109" s="21">
        <f>IFERROR(E109/'Ar-Pa'!E109,0)</f>
        <v>6.7754750000000001</v>
      </c>
      <c r="AD109" s="21">
        <f>IFERROR(F109/'Ar-Pa'!F109,0)</f>
        <v>6.7737875000000001</v>
      </c>
      <c r="AE109" s="21">
        <f>IFERROR(G109/'Ar-Pa'!G109,0)</f>
        <v>6.7705375000000005</v>
      </c>
      <c r="AF109" s="21">
        <f>IFERROR(H109/'Ar-Pa'!H109,0)</f>
        <v>7.7501857142857142</v>
      </c>
      <c r="AG109" s="21">
        <f>IFERROR(I109/'Ar-Pa'!I109,0)</f>
        <v>7.7637428571428568</v>
      </c>
      <c r="AH109" s="21">
        <f>IFERROR(J109/'Ar-Pa'!J109,0)</f>
        <v>6.7197624999999999</v>
      </c>
      <c r="AI109" s="21">
        <f>IFERROR(K109/'Ar-Pa'!K109,0)</f>
        <v>6.7826374999999999</v>
      </c>
      <c r="AJ109" s="21">
        <f>IFERROR(L109/'Ar-Pa'!L109,0)</f>
        <v>6.6903500000000005</v>
      </c>
      <c r="AK109" s="21">
        <f>IFERROR(M109/'Ar-Pa'!M109,0)</f>
        <v>6.5808249999999999</v>
      </c>
      <c r="AL109" s="21">
        <f>IFERROR(N109/'Ar-Pa'!N109,0)</f>
        <v>6.7766250000000001</v>
      </c>
      <c r="AM109" s="21">
        <f>IFERROR(O109/'Ar-Pa'!O109,0)</f>
        <v>6.7031499999999999</v>
      </c>
      <c r="AN109" s="21">
        <f>IFERROR(P109/'Ar-Pa'!P109,0)</f>
        <v>6.6726374999999996</v>
      </c>
      <c r="AO109" s="21">
        <f>IFERROR(Q109/'Ar-Pa'!Q109,0)</f>
        <v>6.7780874999999998</v>
      </c>
      <c r="AP109" s="21">
        <f>IFERROR(R109/'Ar-Pa'!R109,0)</f>
        <v>6.7882875</v>
      </c>
      <c r="AQ109" s="21">
        <f>IFERROR(S109/'Ar-Pa'!S109,0)</f>
        <v>6.7603249999999999</v>
      </c>
      <c r="AR109" s="21">
        <f>IFERROR(T109/'Ar-Pa'!T109,0)</f>
        <v>6.7553749999999999</v>
      </c>
      <c r="AS109" s="21">
        <f>IFERROR(U109/'Ar-Pa'!U109,0)</f>
        <v>6.7891250000000003</v>
      </c>
      <c r="AT109" s="21">
        <f>IFERROR(V109/'Ar-Pa'!V109,0)</f>
        <v>8.4539749999999998</v>
      </c>
      <c r="AU109" s="21">
        <f>IFERROR(W109/'Ar-Pa'!W109,0)</f>
        <v>7.6958000000000002</v>
      </c>
      <c r="AV109" s="21">
        <f>IFERROR(X109/'Ar-Pa'!X109,0)</f>
        <v>8.2010750000000012</v>
      </c>
      <c r="AW109" s="21">
        <f>IFERROR(Y109/'Ar-Pa'!Y109,0)</f>
        <v>6.8728999999999996</v>
      </c>
      <c r="AX109" s="21">
        <f t="shared" si="1"/>
        <v>168.20626607142856</v>
      </c>
    </row>
    <row r="110" spans="1:50" s="12" customFormat="1">
      <c r="A110" s="15">
        <v>45035</v>
      </c>
      <c r="B110" s="436">
        <v>54.633099999999999</v>
      </c>
      <c r="C110" s="436">
        <v>54.521900000000002</v>
      </c>
      <c r="D110" s="436">
        <v>54.395699999999998</v>
      </c>
      <c r="E110" s="436">
        <v>54.631599999999999</v>
      </c>
      <c r="F110" s="436">
        <v>54.748699999999999</v>
      </c>
      <c r="G110" s="436">
        <v>54.476800000000004</v>
      </c>
      <c r="H110" s="436">
        <v>54.904000000000003</v>
      </c>
      <c r="I110" s="436">
        <v>54.943100000000001</v>
      </c>
      <c r="J110" s="436">
        <v>54.229900000000001</v>
      </c>
      <c r="K110" s="436">
        <v>54.1004</v>
      </c>
      <c r="L110" s="436">
        <v>54.133400000000002</v>
      </c>
      <c r="M110" s="436">
        <v>54.028100000000002</v>
      </c>
      <c r="N110" s="436">
        <v>54.066699999999997</v>
      </c>
      <c r="O110" s="436">
        <v>54.0867</v>
      </c>
      <c r="P110" s="436">
        <v>54.140500000000003</v>
      </c>
      <c r="Q110" s="436">
        <v>53.997699999999995</v>
      </c>
      <c r="R110" s="436">
        <v>53.08</v>
      </c>
      <c r="S110" s="436">
        <v>53.907699999999998</v>
      </c>
      <c r="T110" s="437">
        <v>53.5563</v>
      </c>
      <c r="U110" s="436">
        <v>55.5929</v>
      </c>
      <c r="V110" s="437">
        <v>67.313600000000008</v>
      </c>
      <c r="W110" s="437">
        <v>54.623699999999999</v>
      </c>
      <c r="X110" s="436">
        <v>53.653199999999998</v>
      </c>
      <c r="Y110" s="436">
        <v>53.7376</v>
      </c>
      <c r="Z110" s="21">
        <f>IFERROR(B110/'Ar-Pa'!B110,0)</f>
        <v>6.8291374999999999</v>
      </c>
      <c r="AA110" s="21">
        <f>IFERROR(C110/'Ar-Pa'!C110,0)</f>
        <v>6.8152375000000003</v>
      </c>
      <c r="AB110" s="21">
        <f>IFERROR(D110/'Ar-Pa'!D110,0)</f>
        <v>6.7994624999999997</v>
      </c>
      <c r="AC110" s="21">
        <f>IFERROR(E110/'Ar-Pa'!E110,0)</f>
        <v>6.8289499999999999</v>
      </c>
      <c r="AD110" s="21">
        <f>IFERROR(F110/'Ar-Pa'!F110,0)</f>
        <v>6.8435874999999999</v>
      </c>
      <c r="AE110" s="21">
        <f>IFERROR(G110/'Ar-Pa'!G110,0)</f>
        <v>6.8096000000000005</v>
      </c>
      <c r="AF110" s="21">
        <f>IFERROR(H110/'Ar-Pa'!H110,0)</f>
        <v>7.8434285714285723</v>
      </c>
      <c r="AG110" s="21">
        <f>IFERROR(I110/'Ar-Pa'!I110,0)</f>
        <v>7.8490142857142855</v>
      </c>
      <c r="AH110" s="21">
        <f>IFERROR(J110/'Ar-Pa'!J110,0)</f>
        <v>6.7787375000000001</v>
      </c>
      <c r="AI110" s="21">
        <f>IFERROR(K110/'Ar-Pa'!K110,0)</f>
        <v>6.7625500000000001</v>
      </c>
      <c r="AJ110" s="21">
        <f>IFERROR(L110/'Ar-Pa'!L110,0)</f>
        <v>6.7666750000000002</v>
      </c>
      <c r="AK110" s="21">
        <f>IFERROR(M110/'Ar-Pa'!M110,0)</f>
        <v>6.7535125000000003</v>
      </c>
      <c r="AL110" s="21">
        <f>IFERROR(N110/'Ar-Pa'!N110,0)</f>
        <v>6.7583374999999997</v>
      </c>
      <c r="AM110" s="21">
        <f>IFERROR(O110/'Ar-Pa'!O110,0)</f>
        <v>6.7608375000000001</v>
      </c>
      <c r="AN110" s="21">
        <f>IFERROR(P110/'Ar-Pa'!P110,0)</f>
        <v>6.7675625000000004</v>
      </c>
      <c r="AO110" s="21">
        <f>IFERROR(Q110/'Ar-Pa'!Q110,0)</f>
        <v>6.7497124999999993</v>
      </c>
      <c r="AP110" s="21">
        <f>IFERROR(R110/'Ar-Pa'!R110,0)</f>
        <v>6.6349999999999998</v>
      </c>
      <c r="AQ110" s="21">
        <f>IFERROR(S110/'Ar-Pa'!S110,0)</f>
        <v>6.7384624999999998</v>
      </c>
      <c r="AR110" s="21">
        <f>IFERROR(T110/'Ar-Pa'!T110,0)</f>
        <v>7.6509</v>
      </c>
      <c r="AS110" s="21">
        <f>IFERROR(U110/'Ar-Pa'!U110,0)</f>
        <v>7.9418428571428574</v>
      </c>
      <c r="AT110" s="21">
        <f>IFERROR(V110/'Ar-Pa'!V110,0)</f>
        <v>9.6162285714285733</v>
      </c>
      <c r="AU110" s="21">
        <f>IFERROR(W110/'Ar-Pa'!W110,0)</f>
        <v>7.8033857142857146</v>
      </c>
      <c r="AV110" s="21">
        <f>IFERROR(X110/'Ar-Pa'!X110,0)</f>
        <v>7.6647428571428566</v>
      </c>
      <c r="AW110" s="21">
        <f>IFERROR(Y110/'Ar-Pa'!Y110,0)</f>
        <v>7.6768000000000001</v>
      </c>
      <c r="AX110" s="21">
        <f>SUM(Z110:AW110)</f>
        <v>172.44370535714285</v>
      </c>
    </row>
    <row r="111" spans="1:50" s="12" customFormat="1">
      <c r="A111" s="15">
        <v>45036</v>
      </c>
      <c r="B111" s="436">
        <v>53.453499999999998</v>
      </c>
      <c r="C111" s="436">
        <v>53.368900000000004</v>
      </c>
      <c r="D111" s="436">
        <v>53.4788</v>
      </c>
      <c r="E111" s="436">
        <v>53.411099999999998</v>
      </c>
      <c r="F111" s="436">
        <v>53.5655</v>
      </c>
      <c r="G111" s="436">
        <v>53.557199999999995</v>
      </c>
      <c r="H111" s="436">
        <v>53.264099999999999</v>
      </c>
      <c r="I111" s="436">
        <v>53.314500000000002</v>
      </c>
      <c r="J111" s="436">
        <v>54.552199999999999</v>
      </c>
      <c r="K111" s="436">
        <v>53.4895</v>
      </c>
      <c r="L111" s="436">
        <v>53.456099999999999</v>
      </c>
      <c r="M111" s="436">
        <v>53.330100000000002</v>
      </c>
      <c r="N111" s="436">
        <v>53.697600000000001</v>
      </c>
      <c r="O111" s="436">
        <v>53.5304</v>
      </c>
      <c r="P111" s="436">
        <v>53.588200000000001</v>
      </c>
      <c r="Q111" s="436">
        <v>54.752099999999999</v>
      </c>
      <c r="R111" s="436">
        <v>54.998599999999996</v>
      </c>
      <c r="S111" s="436">
        <v>54.7395</v>
      </c>
      <c r="T111" s="437">
        <v>54.430999999999997</v>
      </c>
      <c r="U111" s="436">
        <v>54.4833</v>
      </c>
      <c r="V111" s="437">
        <v>64.454599999999999</v>
      </c>
      <c r="W111" s="437">
        <v>55.118900000000004</v>
      </c>
      <c r="X111" s="436">
        <v>57.472099999999998</v>
      </c>
      <c r="Y111" s="436">
        <v>66.7851</v>
      </c>
      <c r="Z111" s="21">
        <f>IFERROR(B111/'Ar-Pa'!B111,0)</f>
        <v>7.6362142857142858</v>
      </c>
      <c r="AA111" s="21">
        <f>IFERROR(C111/'Ar-Pa'!C111,0)</f>
        <v>7.6241285714285718</v>
      </c>
      <c r="AB111" s="21">
        <f>IFERROR(D111/'Ar-Pa'!D111,0)</f>
        <v>7.6398285714285716</v>
      </c>
      <c r="AC111" s="21">
        <f>IFERROR(E111/'Ar-Pa'!E111,0)</f>
        <v>7.6301571428571426</v>
      </c>
      <c r="AD111" s="21">
        <f>IFERROR(F111/'Ar-Pa'!F111,0)</f>
        <v>7.6522142857142859</v>
      </c>
      <c r="AE111" s="21">
        <f>IFERROR(G111/'Ar-Pa'!G111,0)</f>
        <v>8.9261999999999997</v>
      </c>
      <c r="AF111" s="21">
        <f>IFERROR(H111/'Ar-Pa'!H111,0)</f>
        <v>8.8773499999999999</v>
      </c>
      <c r="AG111" s="21">
        <f>IFERROR(I111/'Ar-Pa'!I111,0)</f>
        <v>7.6163571428571428</v>
      </c>
      <c r="AH111" s="21">
        <f>IFERROR(J111/'Ar-Pa'!J111,0)</f>
        <v>7.7931714285714282</v>
      </c>
      <c r="AI111" s="21">
        <f>IFERROR(K111/'Ar-Pa'!K111,0)</f>
        <v>7.6413571428571432</v>
      </c>
      <c r="AJ111" s="21">
        <f>IFERROR(L111/'Ar-Pa'!L111,0)</f>
        <v>7.6365857142857143</v>
      </c>
      <c r="AK111" s="21">
        <f>IFERROR(M111/'Ar-Pa'!M111,0)</f>
        <v>7.6185857142857145</v>
      </c>
      <c r="AL111" s="21">
        <f>IFERROR(N111/'Ar-Pa'!N111,0)</f>
        <v>7.6710857142857147</v>
      </c>
      <c r="AM111" s="21">
        <f>IFERROR(O111/'Ar-Pa'!O111,0)</f>
        <v>7.6471999999999998</v>
      </c>
      <c r="AN111" s="21">
        <f>IFERROR(P111/'Ar-Pa'!P111,0)</f>
        <v>7.6554571428571432</v>
      </c>
      <c r="AO111" s="21">
        <f>IFERROR(Q111/'Ar-Pa'!Q111,0)</f>
        <v>7.8217285714285714</v>
      </c>
      <c r="AP111" s="21">
        <f>IFERROR(R111/'Ar-Pa'!R111,0)</f>
        <v>7.8569428571428563</v>
      </c>
      <c r="AQ111" s="21">
        <f>IFERROR(S111/'Ar-Pa'!S111,0)</f>
        <v>7.8199285714285711</v>
      </c>
      <c r="AR111" s="21">
        <f>IFERROR(T111/'Ar-Pa'!T111,0)</f>
        <v>7.7758571428571424</v>
      </c>
      <c r="AS111" s="21">
        <f>IFERROR(U111/'Ar-Pa'!U111,0)</f>
        <v>7.7833285714285712</v>
      </c>
      <c r="AT111" s="21">
        <f>IFERROR(V111/'Ar-Pa'!V111,0)</f>
        <v>9.2078000000000007</v>
      </c>
      <c r="AU111" s="21">
        <f>IFERROR(W111/'Ar-Pa'!W111,0)</f>
        <v>7.8741285714285718</v>
      </c>
      <c r="AV111" s="21">
        <f>IFERROR(X111/'Ar-Pa'!X111,0)</f>
        <v>8.2103000000000002</v>
      </c>
      <c r="AW111" s="21">
        <f>IFERROR(Y111/'Ar-Pa'!Y111,0)</f>
        <v>9.5407285714285717</v>
      </c>
      <c r="AX111" s="21">
        <f>SUM(Z111:AW111)</f>
        <v>191.15663571428567</v>
      </c>
    </row>
    <row r="112" spans="1:50" s="12" customFormat="1">
      <c r="A112" s="15">
        <v>45037</v>
      </c>
      <c r="B112" s="436">
        <v>52.777900000000002</v>
      </c>
      <c r="C112" s="436">
        <v>52.809899999999999</v>
      </c>
      <c r="D112" s="436">
        <v>52.790099999999995</v>
      </c>
      <c r="E112" s="436">
        <v>52.389900000000004</v>
      </c>
      <c r="F112" s="436">
        <v>52.7164</v>
      </c>
      <c r="G112" s="436">
        <v>52.617699999999999</v>
      </c>
      <c r="H112" s="436">
        <v>54.011000000000003</v>
      </c>
      <c r="I112" s="436">
        <v>54.498100000000001</v>
      </c>
      <c r="J112" s="436">
        <v>54.7502</v>
      </c>
      <c r="K112" s="436">
        <v>54.267099999999999</v>
      </c>
      <c r="L112" s="436">
        <v>54.272199999999998</v>
      </c>
      <c r="M112" s="436">
        <v>54.433300000000003</v>
      </c>
      <c r="N112" s="436">
        <v>55.052999999999997</v>
      </c>
      <c r="O112" s="436">
        <v>55.194600000000001</v>
      </c>
      <c r="P112" s="436">
        <v>54.8782</v>
      </c>
      <c r="Q112" s="436">
        <v>54.837600000000002</v>
      </c>
      <c r="R112" s="436">
        <v>54.718400000000003</v>
      </c>
      <c r="S112" s="436">
        <v>54.932400000000001</v>
      </c>
      <c r="T112" s="437">
        <v>54.531099999999995</v>
      </c>
      <c r="U112" s="436">
        <v>54.418099999999995</v>
      </c>
      <c r="V112" s="437">
        <v>67.56110000000001</v>
      </c>
      <c r="W112" s="437">
        <v>55.376599999999996</v>
      </c>
      <c r="X112" s="436">
        <v>53.654699999999998</v>
      </c>
      <c r="Y112" s="436">
        <v>53.538699999999999</v>
      </c>
      <c r="Z112" s="21">
        <f>IFERROR(B112/'Ar-Pa'!B112,0)</f>
        <v>7.5397000000000007</v>
      </c>
      <c r="AA112" s="21">
        <f>IFERROR(C112/'Ar-Pa'!C112,0)</f>
        <v>7.5442714285714283</v>
      </c>
      <c r="AB112" s="21">
        <f>IFERROR(D112/'Ar-Pa'!D112,0)</f>
        <v>7.5414428571428562</v>
      </c>
      <c r="AC112" s="21">
        <f>IFERROR(E112/'Ar-Pa'!E112,0)</f>
        <v>7.4842714285714296</v>
      </c>
      <c r="AD112" s="21">
        <f>IFERROR(F112/'Ar-Pa'!F112,0)</f>
        <v>7.5309142857142861</v>
      </c>
      <c r="AE112" s="21">
        <f>IFERROR(G112/'Ar-Pa'!G112,0)</f>
        <v>7.5168142857142852</v>
      </c>
      <c r="AF112" s="21">
        <f>IFERROR(H112/'Ar-Pa'!H112,0)</f>
        <v>7.7158571428571436</v>
      </c>
      <c r="AG112" s="21">
        <f>IFERROR(I112/'Ar-Pa'!I112,0)</f>
        <v>7.7854428571428569</v>
      </c>
      <c r="AH112" s="21">
        <f>IFERROR(J112/'Ar-Pa'!J112,0)</f>
        <v>7.8214571428571427</v>
      </c>
      <c r="AI112" s="21">
        <f>IFERROR(K112/'Ar-Pa'!K112,0)</f>
        <v>7.7524428571428574</v>
      </c>
      <c r="AJ112" s="21">
        <f>IFERROR(L112/'Ar-Pa'!L112,0)</f>
        <v>7.7531714285714282</v>
      </c>
      <c r="AK112" s="21">
        <f>IFERROR(M112/'Ar-Pa'!M112,0)</f>
        <v>7.7761857142857149</v>
      </c>
      <c r="AL112" s="21">
        <f>IFERROR(N112/'Ar-Pa'!N112,0)</f>
        <v>7.8647142857142853</v>
      </c>
      <c r="AM112" s="21">
        <f>IFERROR(O112/'Ar-Pa'!O112,0)</f>
        <v>7.8849428571428577</v>
      </c>
      <c r="AN112" s="21">
        <f>IFERROR(P112/'Ar-Pa'!P112,0)</f>
        <v>7.8397428571428573</v>
      </c>
      <c r="AO112" s="21">
        <f>IFERROR(Q112/'Ar-Pa'!Q112,0)</f>
        <v>7.8339428571428575</v>
      </c>
      <c r="AP112" s="21">
        <f>IFERROR(R112/'Ar-Pa'!R112,0)</f>
        <v>7.8169142857142857</v>
      </c>
      <c r="AQ112" s="21">
        <f>IFERROR(S112/'Ar-Pa'!S112,0)</f>
        <v>7.8474857142857148</v>
      </c>
      <c r="AR112" s="21">
        <f>IFERROR(T112/'Ar-Pa'!T112,0)</f>
        <v>7.7901571428571419</v>
      </c>
      <c r="AS112" s="21">
        <f>IFERROR(U112/'Ar-Pa'!U112,0)</f>
        <v>7.7740142857142853</v>
      </c>
      <c r="AT112" s="21">
        <f>IFERROR(V112/'Ar-Pa'!V112,0)</f>
        <v>9.6515857142857158</v>
      </c>
      <c r="AU112" s="21">
        <f>IFERROR(W112/'Ar-Pa'!W112,0)</f>
        <v>7.9109428571428566</v>
      </c>
      <c r="AV112" s="21">
        <f>IFERROR(X112/'Ar-Pa'!X112,0)</f>
        <v>7.6649571428571424</v>
      </c>
      <c r="AW112" s="21">
        <f>IFERROR(Y112/'Ar-Pa'!Y112,0)</f>
        <v>7.6483857142857143</v>
      </c>
      <c r="AX112" s="21">
        <f t="shared" si="1"/>
        <v>187.28975714285713</v>
      </c>
    </row>
    <row r="113" spans="1:50" s="12" customFormat="1">
      <c r="A113" s="15">
        <v>45038</v>
      </c>
      <c r="B113" s="436">
        <v>53.3748</v>
      </c>
      <c r="C113" s="436">
        <v>53.5533</v>
      </c>
      <c r="D113" s="436">
        <v>53.609099999999998</v>
      </c>
      <c r="E113" s="436">
        <v>53.636800000000001</v>
      </c>
      <c r="F113" s="436">
        <v>53.728000000000002</v>
      </c>
      <c r="G113" s="436">
        <v>53.5852</v>
      </c>
      <c r="H113" s="436">
        <v>52.870100000000001</v>
      </c>
      <c r="I113" s="436">
        <v>53.3322</v>
      </c>
      <c r="J113" s="436">
        <v>54.7072</v>
      </c>
      <c r="K113" s="436">
        <v>54.735099999999996</v>
      </c>
      <c r="L113" s="436">
        <v>54.529800000000002</v>
      </c>
      <c r="M113" s="436">
        <v>54.31</v>
      </c>
      <c r="N113" s="436">
        <v>54.725099999999998</v>
      </c>
      <c r="O113" s="436">
        <v>54.070900000000002</v>
      </c>
      <c r="P113" s="436">
        <v>54.149699999999996</v>
      </c>
      <c r="Q113" s="436">
        <v>53.946599999999997</v>
      </c>
      <c r="R113" s="436">
        <v>54.065400000000004</v>
      </c>
      <c r="S113" s="436">
        <v>52.096499999999999</v>
      </c>
      <c r="T113" s="437">
        <v>54.1233</v>
      </c>
      <c r="U113" s="436">
        <v>63.025199999999998</v>
      </c>
      <c r="V113" s="437">
        <v>66.291200000000003</v>
      </c>
      <c r="W113" s="437">
        <v>55.481900000000003</v>
      </c>
      <c r="X113" s="436">
        <v>54.468800000000002</v>
      </c>
      <c r="Y113" s="436">
        <v>54.502699999999997</v>
      </c>
      <c r="Z113" s="21">
        <f>IFERROR(B113/'Ar-Pa'!B113,0)</f>
        <v>6.6718500000000001</v>
      </c>
      <c r="AA113" s="21">
        <f>IFERROR(C113/'Ar-Pa'!C113,0)</f>
        <v>6.6941625</v>
      </c>
      <c r="AB113" s="21">
        <f>IFERROR(D113/'Ar-Pa'!D113,0)</f>
        <v>6.7011374999999997</v>
      </c>
      <c r="AC113" s="21">
        <f>IFERROR(E113/'Ar-Pa'!E113,0)</f>
        <v>6.7046000000000001</v>
      </c>
      <c r="AD113" s="21">
        <f>IFERROR(F113/'Ar-Pa'!F113,0)</f>
        <v>6.7160000000000002</v>
      </c>
      <c r="AE113" s="21">
        <f>IFERROR(G113/'Ar-Pa'!G113,0)</f>
        <v>6.69815</v>
      </c>
      <c r="AF113" s="21">
        <f>IFERROR(H113/'Ar-Pa'!H113,0)</f>
        <v>7.5528714285714287</v>
      </c>
      <c r="AG113" s="21">
        <f>IFERROR(I113/'Ar-Pa'!I113,0)</f>
        <v>7.6188857142857147</v>
      </c>
      <c r="AH113" s="21">
        <f>IFERROR(J113/'Ar-Pa'!J113,0)</f>
        <v>6.8384</v>
      </c>
      <c r="AI113" s="21">
        <f>IFERROR(K113/'Ar-Pa'!K113,0)</f>
        <v>6.8418874999999995</v>
      </c>
      <c r="AJ113" s="21">
        <f>IFERROR(L113/'Ar-Pa'!L113,0)</f>
        <v>6.8162250000000002</v>
      </c>
      <c r="AK113" s="21">
        <f>IFERROR(M113/'Ar-Pa'!M113,0)</f>
        <v>6.7887500000000003</v>
      </c>
      <c r="AL113" s="21">
        <f>IFERROR(N113/'Ar-Pa'!N113,0)</f>
        <v>6.8406374999999997</v>
      </c>
      <c r="AM113" s="21">
        <f>IFERROR(O113/'Ar-Pa'!O113,0)</f>
        <v>6.7588625000000002</v>
      </c>
      <c r="AN113" s="21">
        <f>IFERROR(P113/'Ar-Pa'!P113,0)</f>
        <v>6.7687124999999995</v>
      </c>
      <c r="AO113" s="21">
        <f>IFERROR(Q113/'Ar-Pa'!Q113,0)</f>
        <v>6.7433249999999996</v>
      </c>
      <c r="AP113" s="21">
        <f>IFERROR(R113/'Ar-Pa'!R113,0)</f>
        <v>6.7581750000000005</v>
      </c>
      <c r="AQ113" s="21">
        <f>IFERROR(S113/'Ar-Pa'!S113,0)</f>
        <v>6.5120624999999999</v>
      </c>
      <c r="AR113" s="21">
        <f>IFERROR(T113/'Ar-Pa'!T113,0)</f>
        <v>6.7654125000000001</v>
      </c>
      <c r="AS113" s="21">
        <f>IFERROR(U113/'Ar-Pa'!U113,0)</f>
        <v>7.8781499999999998</v>
      </c>
      <c r="AT113" s="21">
        <f>IFERROR(V113/'Ar-Pa'!V113,0)</f>
        <v>8.2864000000000004</v>
      </c>
      <c r="AU113" s="21">
        <f>IFERROR(W113/'Ar-Pa'!W113,0)</f>
        <v>6.9352375000000004</v>
      </c>
      <c r="AV113" s="21">
        <f>IFERROR(X113/'Ar-Pa'!X113,0)</f>
        <v>6.8086000000000002</v>
      </c>
      <c r="AW113" s="21">
        <f>IFERROR(Y113/'Ar-Pa'!Y113,0)</f>
        <v>6.8128374999999997</v>
      </c>
      <c r="AX113" s="21">
        <f t="shared" si="1"/>
        <v>166.51133214285719</v>
      </c>
    </row>
    <row r="114" spans="1:50" s="12" customFormat="1">
      <c r="A114" s="15">
        <v>45039</v>
      </c>
      <c r="B114" s="436">
        <v>54.371699999999997</v>
      </c>
      <c r="C114" s="436">
        <v>54.440199999999997</v>
      </c>
      <c r="D114" s="436">
        <v>54.348300000000002</v>
      </c>
      <c r="E114" s="436">
        <v>53.0749</v>
      </c>
      <c r="F114" s="436">
        <v>52.944800000000001</v>
      </c>
      <c r="G114" s="436">
        <v>52.837600000000002</v>
      </c>
      <c r="H114" s="436">
        <v>52.991599999999998</v>
      </c>
      <c r="I114" s="436">
        <v>52.576699999999995</v>
      </c>
      <c r="J114" s="436">
        <v>52.217199999999998</v>
      </c>
      <c r="K114" s="436">
        <v>53.121499999999997</v>
      </c>
      <c r="L114" s="436">
        <v>53.042999999999999</v>
      </c>
      <c r="M114" s="436">
        <v>53.108199999999997</v>
      </c>
      <c r="N114" s="436">
        <v>53.116199999999999</v>
      </c>
      <c r="O114" s="436">
        <v>52.970999999999997</v>
      </c>
      <c r="P114" s="436">
        <v>53.099199999999996</v>
      </c>
      <c r="Q114" s="436">
        <v>53.070099999999996</v>
      </c>
      <c r="R114" s="436">
        <v>53.0443</v>
      </c>
      <c r="S114" s="436">
        <v>53.073999999999998</v>
      </c>
      <c r="T114" s="437">
        <v>53.257199999999997</v>
      </c>
      <c r="U114" s="436">
        <v>55.298699999999997</v>
      </c>
      <c r="V114" s="437">
        <v>67.464799999999997</v>
      </c>
      <c r="W114" s="437">
        <v>55.587699999999998</v>
      </c>
      <c r="X114" s="436">
        <v>53.878</v>
      </c>
      <c r="Y114" s="436">
        <v>53.824199999999998</v>
      </c>
      <c r="Z114" s="21">
        <f>IFERROR(B114/'Ar-Pa'!B114,0)</f>
        <v>6.7964624999999996</v>
      </c>
      <c r="AA114" s="21">
        <f>IFERROR(C114/'Ar-Pa'!C114,0)</f>
        <v>6.8050249999999997</v>
      </c>
      <c r="AB114" s="21">
        <f>IFERROR(D114/'Ar-Pa'!D114,0)</f>
        <v>6.7935375000000002</v>
      </c>
      <c r="AC114" s="21">
        <f>IFERROR(E114/'Ar-Pa'!E114,0)</f>
        <v>6.6343624999999999</v>
      </c>
      <c r="AD114" s="21">
        <f>IFERROR(F114/'Ar-Pa'!F114,0)</f>
        <v>6.6181000000000001</v>
      </c>
      <c r="AE114" s="21">
        <f>IFERROR(G114/'Ar-Pa'!G114,0)</f>
        <v>6.6047000000000002</v>
      </c>
      <c r="AF114" s="21">
        <f>IFERROR(H114/'Ar-Pa'!H114,0)</f>
        <v>7.5702285714285713</v>
      </c>
      <c r="AG114" s="21">
        <f>IFERROR(I114/'Ar-Pa'!I114,0)</f>
        <v>7.5109571428571424</v>
      </c>
      <c r="AH114" s="21">
        <f>IFERROR(J114/'Ar-Pa'!J114,0)</f>
        <v>6.5271499999999998</v>
      </c>
      <c r="AI114" s="21">
        <f>IFERROR(K114/'Ar-Pa'!K114,0)</f>
        <v>6.6401874999999997</v>
      </c>
      <c r="AJ114" s="21">
        <f>IFERROR(L114/'Ar-Pa'!L114,0)</f>
        <v>6.6303749999999999</v>
      </c>
      <c r="AK114" s="21">
        <f>IFERROR(M114/'Ar-Pa'!M114,0)</f>
        <v>6.6385249999999996</v>
      </c>
      <c r="AL114" s="21">
        <f>IFERROR(N114/'Ar-Pa'!N114,0)</f>
        <v>6.6395249999999999</v>
      </c>
      <c r="AM114" s="21">
        <f>IFERROR(O114/'Ar-Pa'!O114,0)</f>
        <v>6.6213749999999996</v>
      </c>
      <c r="AN114" s="21">
        <f>IFERROR(P114/'Ar-Pa'!P114,0)</f>
        <v>6.6373999999999995</v>
      </c>
      <c r="AO114" s="21">
        <f>IFERROR(Q114/'Ar-Pa'!Q114,0)</f>
        <v>6.6337624999999996</v>
      </c>
      <c r="AP114" s="21">
        <f>IFERROR(R114/'Ar-Pa'!R114,0)</f>
        <v>6.6305375</v>
      </c>
      <c r="AQ114" s="21">
        <f>IFERROR(S114/'Ar-Pa'!S114,0)</f>
        <v>6.6342499999999998</v>
      </c>
      <c r="AR114" s="21">
        <f>IFERROR(T114/'Ar-Pa'!T114,0)</f>
        <v>6.6571499999999997</v>
      </c>
      <c r="AS114" s="21">
        <f>IFERROR(U114/'Ar-Pa'!U114,0)</f>
        <v>6.9123374999999996</v>
      </c>
      <c r="AT114" s="21">
        <f>IFERROR(V114/'Ar-Pa'!V114,0)</f>
        <v>8.4330999999999996</v>
      </c>
      <c r="AU114" s="21">
        <f>IFERROR(W114/'Ar-Pa'!W114,0)</f>
        <v>6.9484624999999998</v>
      </c>
      <c r="AV114" s="21">
        <f>IFERROR(X114/'Ar-Pa'!X114,0)</f>
        <v>6.73475</v>
      </c>
      <c r="AW114" s="21">
        <f>IFERROR(Y114/'Ar-Pa'!Y114,0)</f>
        <v>6.7280249999999997</v>
      </c>
      <c r="AX114" s="21">
        <f t="shared" si="1"/>
        <v>163.98028571428571</v>
      </c>
    </row>
    <row r="115" spans="1:50" s="12" customFormat="1">
      <c r="A115" s="15">
        <v>45040</v>
      </c>
      <c r="B115" s="436">
        <v>44.469699999999996</v>
      </c>
      <c r="C115" s="436">
        <v>44.857699999999994</v>
      </c>
      <c r="D115" s="436">
        <v>45.002199999999995</v>
      </c>
      <c r="E115" s="436">
        <v>45.584199999999996</v>
      </c>
      <c r="F115" s="436">
        <v>44.886600000000001</v>
      </c>
      <c r="G115" s="436">
        <v>44.329599999999999</v>
      </c>
      <c r="H115" s="436">
        <v>44.2194</v>
      </c>
      <c r="I115" s="436">
        <v>43.571800000000003</v>
      </c>
      <c r="J115" s="436">
        <v>43.978999999999999</v>
      </c>
      <c r="K115" s="436">
        <v>43.968000000000004</v>
      </c>
      <c r="L115" s="436">
        <v>44.034699999999994</v>
      </c>
      <c r="M115" s="436">
        <v>44.085699999999996</v>
      </c>
      <c r="N115" s="436">
        <v>44.624900000000004</v>
      </c>
      <c r="O115" s="436">
        <v>58.951300000000003</v>
      </c>
      <c r="P115" s="436">
        <v>60.2864</v>
      </c>
      <c r="Q115" s="436">
        <v>60.490600000000001</v>
      </c>
      <c r="R115" s="436">
        <v>60.493199999999995</v>
      </c>
      <c r="S115" s="436">
        <v>44.503399999999999</v>
      </c>
      <c r="T115" s="437">
        <v>60.863199999999999</v>
      </c>
      <c r="U115" s="436">
        <v>60.71</v>
      </c>
      <c r="V115" s="437">
        <v>60.396699999999996</v>
      </c>
      <c r="W115" s="437">
        <v>60.2288</v>
      </c>
      <c r="X115" s="436">
        <v>60.0732</v>
      </c>
      <c r="Y115" s="436">
        <v>54.0381</v>
      </c>
      <c r="Z115" s="21">
        <f>IFERROR(B115/'Ar-Pa'!B115,0)</f>
        <v>6.3528142857142855</v>
      </c>
      <c r="AA115" s="21">
        <f>IFERROR(C115/'Ar-Pa'!C115,0)</f>
        <v>7.4762833333333321</v>
      </c>
      <c r="AB115" s="21">
        <f>IFERROR(D115/'Ar-Pa'!D115,0)</f>
        <v>7.5003666666666655</v>
      </c>
      <c r="AC115" s="21">
        <f>IFERROR(E115/'Ar-Pa'!E115,0)</f>
        <v>7.5973666666666659</v>
      </c>
      <c r="AD115" s="21">
        <f>IFERROR(F115/'Ar-Pa'!F115,0)</f>
        <v>7.4811000000000005</v>
      </c>
      <c r="AE115" s="21">
        <f>IFERROR(G115/'Ar-Pa'!G115,0)</f>
        <v>7.3882666666666665</v>
      </c>
      <c r="AF115" s="21">
        <f>IFERROR(H115/'Ar-Pa'!H115,0)</f>
        <v>7.3699000000000003</v>
      </c>
      <c r="AG115" s="21">
        <f>IFERROR(I115/'Ar-Pa'!I115,0)</f>
        <v>7.2619666666666669</v>
      </c>
      <c r="AH115" s="21">
        <f>IFERROR(J115/'Ar-Pa'!J115,0)</f>
        <v>7.3298333333333332</v>
      </c>
      <c r="AI115" s="21">
        <f>IFERROR(K115/'Ar-Pa'!K115,0)</f>
        <v>7.3280000000000003</v>
      </c>
      <c r="AJ115" s="21">
        <f>IFERROR(L115/'Ar-Pa'!L115,0)</f>
        <v>7.3391166666666656</v>
      </c>
      <c r="AK115" s="21">
        <f>IFERROR(M115/'Ar-Pa'!M115,0)</f>
        <v>7.3476166666666662</v>
      </c>
      <c r="AL115" s="21">
        <f>IFERROR(N115/'Ar-Pa'!N115,0)</f>
        <v>7.4374833333333337</v>
      </c>
      <c r="AM115" s="21">
        <f>IFERROR(O115/'Ar-Pa'!O115,0)</f>
        <v>8.4216142857142859</v>
      </c>
      <c r="AN115" s="21">
        <f>IFERROR(P115/'Ar-Pa'!P115,0)</f>
        <v>8.612342857142858</v>
      </c>
      <c r="AO115" s="21">
        <f>IFERROR(Q115/'Ar-Pa'!Q115,0)</f>
        <v>8.641514285714285</v>
      </c>
      <c r="AP115" s="21">
        <f>IFERROR(R115/'Ar-Pa'!R115,0)</f>
        <v>8.6418857142857135</v>
      </c>
      <c r="AQ115" s="21">
        <f>IFERROR(S115/'Ar-Pa'!S115,0)</f>
        <v>6.3576285714285712</v>
      </c>
      <c r="AR115" s="21">
        <f>IFERROR(T115/'Ar-Pa'!T115,0)</f>
        <v>8.6947428571428578</v>
      </c>
      <c r="AS115" s="21">
        <f>IFERROR(U115/'Ar-Pa'!U115,0)</f>
        <v>8.6728571428571435</v>
      </c>
      <c r="AT115" s="21">
        <f>IFERROR(V115/'Ar-Pa'!V115,0)</f>
        <v>8.6280999999999999</v>
      </c>
      <c r="AU115" s="21">
        <f>IFERROR(W115/'Ar-Pa'!W115,0)</f>
        <v>8.6041142857142852</v>
      </c>
      <c r="AV115" s="21">
        <f>IFERROR(X115/'Ar-Pa'!X115,0)</f>
        <v>8.5818857142857148</v>
      </c>
      <c r="AW115" s="21">
        <f>IFERROR(Y115/'Ar-Pa'!Y115,0)</f>
        <v>7.7197285714285711</v>
      </c>
      <c r="AX115" s="21">
        <f t="shared" si="1"/>
        <v>186.78652857142853</v>
      </c>
    </row>
    <row r="116" spans="1:50" s="12" customFormat="1">
      <c r="A116" s="15">
        <v>45041</v>
      </c>
      <c r="B116" s="436">
        <v>52.051499999999997</v>
      </c>
      <c r="C116" s="436">
        <v>51.201500000000003</v>
      </c>
      <c r="D116" s="436">
        <v>51.006900000000002</v>
      </c>
      <c r="E116" s="436">
        <v>51.4161</v>
      </c>
      <c r="F116" s="436">
        <v>51.982599999999998</v>
      </c>
      <c r="G116" s="436">
        <v>51.332900000000002</v>
      </c>
      <c r="H116" s="436">
        <v>51.312599999999996</v>
      </c>
      <c r="I116" s="436">
        <v>51.451999999999998</v>
      </c>
      <c r="J116" s="436">
        <v>51.389000000000003</v>
      </c>
      <c r="K116" s="436">
        <v>51.513599999999997</v>
      </c>
      <c r="L116" s="436">
        <v>51.444000000000003</v>
      </c>
      <c r="M116" s="436">
        <v>51.352400000000003</v>
      </c>
      <c r="N116" s="436">
        <v>51.481499999999997</v>
      </c>
      <c r="O116" s="436">
        <v>51.455199999999998</v>
      </c>
      <c r="P116" s="436">
        <v>51.333100000000002</v>
      </c>
      <c r="Q116" s="436">
        <v>51.285499999999999</v>
      </c>
      <c r="R116" s="436">
        <v>51.335699999999996</v>
      </c>
      <c r="S116" s="436">
        <v>57.206699999999998</v>
      </c>
      <c r="T116" s="437">
        <v>55.005600000000001</v>
      </c>
      <c r="U116" s="436">
        <v>68.279399999999995</v>
      </c>
      <c r="V116" s="437">
        <v>68.851199999999992</v>
      </c>
      <c r="W116" s="437">
        <v>69.81410000000001</v>
      </c>
      <c r="X116" s="436">
        <v>70.005499999999998</v>
      </c>
      <c r="Y116" s="436">
        <v>69.489699999999999</v>
      </c>
      <c r="Z116" s="21">
        <f>IFERROR(B116/'Ar-Pa'!B116,0)</f>
        <v>8.6752500000000001</v>
      </c>
      <c r="AA116" s="21">
        <f>IFERROR(C116/'Ar-Pa'!C116,0)</f>
        <v>8.5335833333333344</v>
      </c>
      <c r="AB116" s="21">
        <f>IFERROR(D116/'Ar-Pa'!D116,0)</f>
        <v>8.5011500000000009</v>
      </c>
      <c r="AC116" s="21">
        <f>IFERROR(E116/'Ar-Pa'!E116,0)</f>
        <v>7.3451571428571425</v>
      </c>
      <c r="AD116" s="21">
        <f>IFERROR(F116/'Ar-Pa'!F116,0)</f>
        <v>7.4260857142857137</v>
      </c>
      <c r="AE116" s="21">
        <f>IFERROR(G116/'Ar-Pa'!G116,0)</f>
        <v>7.3332714285714289</v>
      </c>
      <c r="AF116" s="21">
        <f>IFERROR(H116/'Ar-Pa'!H116,0)</f>
        <v>7.3303714285714276</v>
      </c>
      <c r="AG116" s="21">
        <f>IFERROR(I116/'Ar-Pa'!I116,0)</f>
        <v>7.3502857142857136</v>
      </c>
      <c r="AH116" s="21">
        <f>IFERROR(J116/'Ar-Pa'!J116,0)</f>
        <v>7.3412857142857151</v>
      </c>
      <c r="AI116" s="21">
        <f>IFERROR(K116/'Ar-Pa'!K116,0)</f>
        <v>6.4391999999999996</v>
      </c>
      <c r="AJ116" s="21">
        <f>IFERROR(L116/'Ar-Pa'!L116,0)</f>
        <v>6.4305000000000003</v>
      </c>
      <c r="AK116" s="21">
        <f>IFERROR(M116/'Ar-Pa'!M116,0)</f>
        <v>6.4190500000000004</v>
      </c>
      <c r="AL116" s="21">
        <f>IFERROR(N116/'Ar-Pa'!N116,0)</f>
        <v>6.4351874999999996</v>
      </c>
      <c r="AM116" s="21">
        <f>IFERROR(O116/'Ar-Pa'!O116,0)</f>
        <v>6.4318999999999997</v>
      </c>
      <c r="AN116" s="21">
        <f>IFERROR(P116/'Ar-Pa'!P116,0)</f>
        <v>6.4166375000000002</v>
      </c>
      <c r="AO116" s="21">
        <f>IFERROR(Q116/'Ar-Pa'!Q116,0)</f>
        <v>6.4106874999999999</v>
      </c>
      <c r="AP116" s="21">
        <f>IFERROR(R116/'Ar-Pa'!R116,0)</f>
        <v>6.4169624999999995</v>
      </c>
      <c r="AQ116" s="21">
        <f>IFERROR(S116/'Ar-Pa'!S116,0)</f>
        <v>7.1508374999999997</v>
      </c>
      <c r="AR116" s="21">
        <f>IFERROR(T116/'Ar-Pa'!T116,0)</f>
        <v>6.8757000000000001</v>
      </c>
      <c r="AS116" s="21">
        <f>IFERROR(U116/'Ar-Pa'!U116,0)</f>
        <v>8.5349249999999994</v>
      </c>
      <c r="AT116" s="21">
        <f>IFERROR(V116/'Ar-Pa'!V116,0)</f>
        <v>8.6063999999999989</v>
      </c>
      <c r="AU116" s="21">
        <f>IFERROR(W116/'Ar-Pa'!W116,0)</f>
        <v>8.7267625000000013</v>
      </c>
      <c r="AV116" s="21">
        <f>IFERROR(X116/'Ar-Pa'!X116,0)</f>
        <v>8.7506874999999997</v>
      </c>
      <c r="AW116" s="21">
        <f>IFERROR(Y116/'Ar-Pa'!Y116,0)</f>
        <v>8.6862124999999999</v>
      </c>
      <c r="AX116" s="21">
        <f t="shared" si="1"/>
        <v>178.56809047619046</v>
      </c>
    </row>
    <row r="117" spans="1:50" s="12" customFormat="1">
      <c r="A117" s="15">
        <v>45042</v>
      </c>
      <c r="B117" s="436">
        <v>54.310099999999998</v>
      </c>
      <c r="C117" s="436">
        <v>54.381099999999996</v>
      </c>
      <c r="D117" s="436">
        <v>54.351900000000001</v>
      </c>
      <c r="E117" s="436">
        <v>54.342400000000005</v>
      </c>
      <c r="F117" s="436">
        <v>54.3703</v>
      </c>
      <c r="G117" s="436">
        <v>53.235699999999994</v>
      </c>
      <c r="H117" s="436">
        <v>52.349400000000003</v>
      </c>
      <c r="I117" s="436">
        <v>52.522800000000004</v>
      </c>
      <c r="J117" s="436">
        <v>52.529900000000005</v>
      </c>
      <c r="K117" s="436">
        <v>52.157499999999999</v>
      </c>
      <c r="L117" s="436">
        <v>52.239400000000003</v>
      </c>
      <c r="M117" s="436">
        <v>53.493199999999995</v>
      </c>
      <c r="N117" s="436">
        <v>54.189599999999999</v>
      </c>
      <c r="O117" s="436">
        <v>54.735900000000001</v>
      </c>
      <c r="P117" s="436">
        <v>54.662199999999999</v>
      </c>
      <c r="Q117" s="436">
        <v>54.610300000000002</v>
      </c>
      <c r="R117" s="436">
        <v>54.509099999999997</v>
      </c>
      <c r="S117" s="436">
        <v>54.690599999999996</v>
      </c>
      <c r="T117" s="437">
        <v>56.060900000000004</v>
      </c>
      <c r="U117" s="436">
        <v>65.551899999999989</v>
      </c>
      <c r="V117" s="437">
        <v>67.545600000000007</v>
      </c>
      <c r="W117" s="437">
        <v>65.536299999999997</v>
      </c>
      <c r="X117" s="436">
        <v>66.728300000000004</v>
      </c>
      <c r="Y117" s="436">
        <v>66.653100000000009</v>
      </c>
      <c r="Z117" s="21">
        <f>IFERROR(B117/'Ar-Pa'!B117,0)</f>
        <v>6.7887624999999998</v>
      </c>
      <c r="AA117" s="21">
        <f>IFERROR(C117/'Ar-Pa'!C117,0)</f>
        <v>6.7976374999999996</v>
      </c>
      <c r="AB117" s="21">
        <f>IFERROR(D117/'Ar-Pa'!D117,0)</f>
        <v>6.7939875000000001</v>
      </c>
      <c r="AC117" s="21">
        <f>IFERROR(E117/'Ar-Pa'!E117,0)</f>
        <v>6.7928000000000006</v>
      </c>
      <c r="AD117" s="21">
        <f>IFERROR(F117/'Ar-Pa'!F117,0)</f>
        <v>6.7962875</v>
      </c>
      <c r="AE117" s="21">
        <f>IFERROR(G117/'Ar-Pa'!G117,0)</f>
        <v>7.6050999999999993</v>
      </c>
      <c r="AF117" s="21">
        <f>IFERROR(H117/'Ar-Pa'!H117,0)</f>
        <v>7.4784857142857151</v>
      </c>
      <c r="AG117" s="21">
        <f>IFERROR(I117/'Ar-Pa'!I117,0)</f>
        <v>7.5032571428571435</v>
      </c>
      <c r="AH117" s="21">
        <f>IFERROR(J117/'Ar-Pa'!J117,0)</f>
        <v>6.5662375000000006</v>
      </c>
      <c r="AI117" s="21">
        <f>IFERROR(K117/'Ar-Pa'!K117,0)</f>
        <v>6.5196874999999999</v>
      </c>
      <c r="AJ117" s="21">
        <f>IFERROR(L117/'Ar-Pa'!L117,0)</f>
        <v>6.5299250000000004</v>
      </c>
      <c r="AK117" s="21">
        <f>IFERROR(M117/'Ar-Pa'!M117,0)</f>
        <v>6.6866499999999993</v>
      </c>
      <c r="AL117" s="21">
        <f>IFERROR(N117/'Ar-Pa'!N117,0)</f>
        <v>6.7736999999999998</v>
      </c>
      <c r="AM117" s="21">
        <f>IFERROR(O117/'Ar-Pa'!O117,0)</f>
        <v>6.8419875000000001</v>
      </c>
      <c r="AN117" s="21">
        <f>IFERROR(P117/'Ar-Pa'!P117,0)</f>
        <v>6.8327749999999998</v>
      </c>
      <c r="AO117" s="21">
        <f>IFERROR(Q117/'Ar-Pa'!Q117,0)</f>
        <v>6.8262875000000003</v>
      </c>
      <c r="AP117" s="21">
        <f>IFERROR(R117/'Ar-Pa'!R117,0)</f>
        <v>6.8136374999999996</v>
      </c>
      <c r="AQ117" s="21">
        <f>IFERROR(S117/'Ar-Pa'!S117,0)</f>
        <v>6.8363249999999995</v>
      </c>
      <c r="AR117" s="21">
        <f>IFERROR(T117/'Ar-Pa'!T117,0)</f>
        <v>7.0076125000000005</v>
      </c>
      <c r="AS117" s="21">
        <f>IFERROR(U117/'Ar-Pa'!U117,0)</f>
        <v>8.1939874999999986</v>
      </c>
      <c r="AT117" s="21">
        <f>IFERROR(V117/'Ar-Pa'!V117,0)</f>
        <v>8.4432000000000009</v>
      </c>
      <c r="AU117" s="21">
        <f>IFERROR(W117/'Ar-Pa'!W117,0)</f>
        <v>8.1920374999999996</v>
      </c>
      <c r="AV117" s="21">
        <f>IFERROR(X117/'Ar-Pa'!X117,0)</f>
        <v>8.3410375000000005</v>
      </c>
      <c r="AW117" s="21">
        <f>IFERROR(Y117/'Ar-Pa'!Y117,0)</f>
        <v>8.3316375000000011</v>
      </c>
      <c r="AX117" s="21">
        <f t="shared" si="1"/>
        <v>172.29304285714286</v>
      </c>
    </row>
    <row r="118" spans="1:50" s="12" customFormat="1">
      <c r="A118" s="15">
        <v>45043</v>
      </c>
      <c r="B118" s="436">
        <v>56.931199999999997</v>
      </c>
      <c r="C118" s="436">
        <v>44.847000000000001</v>
      </c>
      <c r="D118" s="436">
        <v>44.471699999999998</v>
      </c>
      <c r="E118" s="436">
        <v>44.499199999999995</v>
      </c>
      <c r="F118" s="436">
        <v>44.7029</v>
      </c>
      <c r="G118" s="436">
        <v>44.247800000000005</v>
      </c>
      <c r="H118" s="436">
        <v>44.11</v>
      </c>
      <c r="I118" s="436">
        <v>44.144500000000001</v>
      </c>
      <c r="J118" s="436">
        <v>45.068800000000003</v>
      </c>
      <c r="K118" s="436">
        <v>44.894500000000001</v>
      </c>
      <c r="L118" s="436">
        <v>45.110900000000001</v>
      </c>
      <c r="M118" s="436">
        <v>45.205400000000004</v>
      </c>
      <c r="N118" s="436">
        <v>45.5443</v>
      </c>
      <c r="O118" s="436">
        <v>45.414199999999994</v>
      </c>
      <c r="P118" s="436">
        <v>45.359199999999994</v>
      </c>
      <c r="Q118" s="436">
        <v>45.309599999999996</v>
      </c>
      <c r="R118" s="436">
        <v>45.102800000000002</v>
      </c>
      <c r="S118" s="436">
        <v>56.173300000000005</v>
      </c>
      <c r="T118" s="437">
        <v>45.744900000000001</v>
      </c>
      <c r="U118" s="436">
        <v>56.1374</v>
      </c>
      <c r="V118" s="437">
        <v>58.029499999999999</v>
      </c>
      <c r="W118" s="437">
        <v>57.7042</v>
      </c>
      <c r="X118" s="436">
        <v>57.9039</v>
      </c>
      <c r="Y118" s="436">
        <v>57.7714</v>
      </c>
      <c r="Z118" s="21">
        <f>IFERROR(B118/'Ar-Pa'!B118,0)</f>
        <v>8.1330285714285715</v>
      </c>
      <c r="AA118" s="21">
        <f>IFERROR(C118/'Ar-Pa'!C118,0)</f>
        <v>6.406714285714286</v>
      </c>
      <c r="AB118" s="21">
        <f>IFERROR(D118/'Ar-Pa'!D118,0)</f>
        <v>6.3530999999999995</v>
      </c>
      <c r="AC118" s="21">
        <f>IFERROR(E118/'Ar-Pa'!E118,0)</f>
        <v>6.3570285714285708</v>
      </c>
      <c r="AD118" s="21">
        <f>IFERROR(F118/'Ar-Pa'!F118,0)</f>
        <v>6.3861285714285714</v>
      </c>
      <c r="AE118" s="21">
        <f>IFERROR(G118/'Ar-Pa'!G118,0)</f>
        <v>7.3746333333333345</v>
      </c>
      <c r="AF118" s="21">
        <f>IFERROR(H118/'Ar-Pa'!H118,0)</f>
        <v>7.3516666666666666</v>
      </c>
      <c r="AG118" s="21">
        <f>IFERROR(I118/'Ar-Pa'!I118,0)</f>
        <v>7.3574166666666665</v>
      </c>
      <c r="AH118" s="21">
        <f>IFERROR(J118/'Ar-Pa'!J118,0)</f>
        <v>6.4384000000000006</v>
      </c>
      <c r="AI118" s="21">
        <f>IFERROR(K118/'Ar-Pa'!K118,0)</f>
        <v>6.4135</v>
      </c>
      <c r="AJ118" s="21">
        <f>IFERROR(L118/'Ar-Pa'!L118,0)</f>
        <v>6.4444142857142861</v>
      </c>
      <c r="AK118" s="21">
        <f>IFERROR(M118/'Ar-Pa'!M118,0)</f>
        <v>6.4579142857142866</v>
      </c>
      <c r="AL118" s="21">
        <f>IFERROR(N118/'Ar-Pa'!N118,0)</f>
        <v>6.506328571428571</v>
      </c>
      <c r="AM118" s="21">
        <f>IFERROR(O118/'Ar-Pa'!O118,0)</f>
        <v>6.4877428571428561</v>
      </c>
      <c r="AN118" s="21">
        <f>IFERROR(P118/'Ar-Pa'!P118,0)</f>
        <v>6.4798857142857136</v>
      </c>
      <c r="AO118" s="21">
        <f>IFERROR(Q118/'Ar-Pa'!Q118,0)</f>
        <v>6.4727999999999994</v>
      </c>
      <c r="AP118" s="21">
        <f>IFERROR(R118/'Ar-Pa'!R118,0)</f>
        <v>6.443257142857143</v>
      </c>
      <c r="AQ118" s="21">
        <f>IFERROR(S118/'Ar-Pa'!S118,0)</f>
        <v>8.024757142857144</v>
      </c>
      <c r="AR118" s="21">
        <f>IFERROR(T118/'Ar-Pa'!T118,0)</f>
        <v>6.5349857142857148</v>
      </c>
      <c r="AS118" s="21">
        <f>IFERROR(U118/'Ar-Pa'!U118,0)</f>
        <v>8.0196285714285711</v>
      </c>
      <c r="AT118" s="21">
        <f>IFERROR(V118/'Ar-Pa'!V118,0)</f>
        <v>8.2899285714285718</v>
      </c>
      <c r="AU118" s="21">
        <f>IFERROR(W118/'Ar-Pa'!W118,0)</f>
        <v>8.2434571428571424</v>
      </c>
      <c r="AV118" s="21">
        <f>IFERROR(X118/'Ar-Pa'!X118,0)</f>
        <v>8.2719857142857141</v>
      </c>
      <c r="AW118" s="21">
        <f>IFERROR(Y118/'Ar-Pa'!Y118,0)</f>
        <v>8.2530571428571431</v>
      </c>
      <c r="AX118" s="21">
        <f t="shared" si="1"/>
        <v>169.50175952380951</v>
      </c>
    </row>
    <row r="119" spans="1:50" s="12" customFormat="1">
      <c r="A119" s="15">
        <v>45044</v>
      </c>
      <c r="B119" s="436">
        <v>57.720599999999997</v>
      </c>
      <c r="C119" s="436">
        <v>53.198500000000003</v>
      </c>
      <c r="D119" s="436">
        <v>53.726399999999998</v>
      </c>
      <c r="E119" s="436">
        <v>53.594000000000001</v>
      </c>
      <c r="F119" s="436">
        <v>53.537800000000004</v>
      </c>
      <c r="G119" s="436">
        <v>54.176099999999998</v>
      </c>
      <c r="H119" s="436">
        <v>54.427199999999999</v>
      </c>
      <c r="I119" s="436">
        <v>54.496300000000005</v>
      </c>
      <c r="J119" s="436">
        <v>53.494699999999995</v>
      </c>
      <c r="K119" s="436">
        <v>52.917000000000002</v>
      </c>
      <c r="L119" s="436">
        <v>54.081900000000005</v>
      </c>
      <c r="M119" s="436">
        <v>55.038699999999999</v>
      </c>
      <c r="N119" s="436">
        <v>54.855499999999999</v>
      </c>
      <c r="O119" s="436">
        <v>54.677300000000002</v>
      </c>
      <c r="P119" s="436">
        <v>54.197300000000006</v>
      </c>
      <c r="Q119" s="436">
        <v>54.285699999999999</v>
      </c>
      <c r="R119" s="436">
        <v>53.542099999999998</v>
      </c>
      <c r="S119" s="436">
        <v>53.4114</v>
      </c>
      <c r="T119" s="437">
        <v>54.585099999999997</v>
      </c>
      <c r="U119" s="436">
        <v>53.854900000000001</v>
      </c>
      <c r="V119" s="437">
        <v>66.003199999999993</v>
      </c>
      <c r="W119" s="437">
        <v>68.464699999999993</v>
      </c>
      <c r="X119" s="436">
        <v>67.72</v>
      </c>
      <c r="Y119" s="436">
        <v>67.147600000000011</v>
      </c>
      <c r="Z119" s="21">
        <f>IFERROR(B119/'Ar-Pa'!B119,0)</f>
        <v>8.2457999999999991</v>
      </c>
      <c r="AA119" s="21">
        <f>IFERROR(C119/'Ar-Pa'!C119,0)</f>
        <v>7.5997857142857148</v>
      </c>
      <c r="AB119" s="21">
        <f>IFERROR(D119/'Ar-Pa'!D119,0)</f>
        <v>7.6751999999999994</v>
      </c>
      <c r="AC119" s="21">
        <f>IFERROR(E119/'Ar-Pa'!E119,0)</f>
        <v>6.6992500000000001</v>
      </c>
      <c r="AD119" s="21">
        <f>IFERROR(F119/'Ar-Pa'!F119,0)</f>
        <v>6.6922250000000005</v>
      </c>
      <c r="AE119" s="21">
        <f>IFERROR(G119/'Ar-Pa'!G119,0)</f>
        <v>9.0293499999999991</v>
      </c>
      <c r="AF119" s="21">
        <f>IFERROR(H119/'Ar-Pa'!H119,0)</f>
        <v>9.0711999999999993</v>
      </c>
      <c r="AG119" s="21">
        <f>IFERROR(I119/'Ar-Pa'!I119,0)</f>
        <v>9.0827166666666681</v>
      </c>
      <c r="AH119" s="21">
        <f>IFERROR(J119/'Ar-Pa'!J119,0)</f>
        <v>7.6420999999999992</v>
      </c>
      <c r="AI119" s="21">
        <f>IFERROR(K119/'Ar-Pa'!K119,0)</f>
        <v>7.5595714285714291</v>
      </c>
      <c r="AJ119" s="21">
        <f>IFERROR(L119/'Ar-Pa'!L119,0)</f>
        <v>7.7259857142857147</v>
      </c>
      <c r="AK119" s="21">
        <f>IFERROR(M119/'Ar-Pa'!M119,0)</f>
        <v>7.8626714285714288</v>
      </c>
      <c r="AL119" s="21">
        <f>IFERROR(N119/'Ar-Pa'!N119,0)</f>
        <v>7.8365</v>
      </c>
      <c r="AM119" s="21">
        <f>IFERROR(O119/'Ar-Pa'!O119,0)</f>
        <v>7.8110428571428576</v>
      </c>
      <c r="AN119" s="21">
        <f>IFERROR(P119/'Ar-Pa'!P119,0)</f>
        <v>7.7424714285714291</v>
      </c>
      <c r="AO119" s="21">
        <f>IFERROR(Q119/'Ar-Pa'!Q119,0)</f>
        <v>7.7550999999999997</v>
      </c>
      <c r="AP119" s="21">
        <f>IFERROR(R119/'Ar-Pa'!R119,0)</f>
        <v>7.6488714285714279</v>
      </c>
      <c r="AQ119" s="21">
        <f>IFERROR(S119/'Ar-Pa'!S119,0)</f>
        <v>7.6302000000000003</v>
      </c>
      <c r="AR119" s="21">
        <f>IFERROR(T119/'Ar-Pa'!T119,0)</f>
        <v>7.7978714285714279</v>
      </c>
      <c r="AS119" s="21">
        <f>IFERROR(U119/'Ar-Pa'!U119,0)</f>
        <v>7.6935571428571432</v>
      </c>
      <c r="AT119" s="21">
        <f>IFERROR(V119/'Ar-Pa'!V119,0)</f>
        <v>9.4290285714285709</v>
      </c>
      <c r="AU119" s="21">
        <f>IFERROR(W119/'Ar-Pa'!W119,0)</f>
        <v>9.7806714285714271</v>
      </c>
      <c r="AV119" s="21">
        <f>IFERROR(X119/'Ar-Pa'!X119,0)</f>
        <v>9.6742857142857144</v>
      </c>
      <c r="AW119" s="21">
        <f>IFERROR(Y119/'Ar-Pa'!Y119,0)</f>
        <v>9.5925142857142873</v>
      </c>
      <c r="AX119" s="21">
        <f t="shared" si="1"/>
        <v>195.27797023809524</v>
      </c>
    </row>
    <row r="120" spans="1:50" s="12" customFormat="1">
      <c r="A120" s="15">
        <v>45045</v>
      </c>
      <c r="B120" s="436">
        <v>57.881500000000003</v>
      </c>
      <c r="C120" s="436">
        <v>54.748100000000001</v>
      </c>
      <c r="D120" s="436">
        <v>54.585000000000001</v>
      </c>
      <c r="E120" s="436">
        <v>54.607399999999998</v>
      </c>
      <c r="F120" s="436">
        <v>54.636800000000001</v>
      </c>
      <c r="G120" s="436">
        <v>54.366800000000005</v>
      </c>
      <c r="H120" s="436">
        <v>54.201500000000003</v>
      </c>
      <c r="I120" s="436">
        <v>54.431400000000004</v>
      </c>
      <c r="J120" s="436">
        <v>54.333500000000001</v>
      </c>
      <c r="K120" s="436">
        <v>54.3596</v>
      </c>
      <c r="L120" s="436">
        <v>54.374199999999995</v>
      </c>
      <c r="M120" s="436">
        <v>54.372500000000002</v>
      </c>
      <c r="N120" s="436">
        <v>54.254199999999997</v>
      </c>
      <c r="O120" s="436">
        <v>54.464599999999997</v>
      </c>
      <c r="P120" s="436">
        <v>54.3996</v>
      </c>
      <c r="Q120" s="436">
        <v>54.689900000000002</v>
      </c>
      <c r="R120" s="436">
        <v>52.645699999999998</v>
      </c>
      <c r="S120" s="436">
        <v>55.1614</v>
      </c>
      <c r="T120" s="437">
        <v>54.6496</v>
      </c>
      <c r="U120" s="436">
        <v>55.515800000000006</v>
      </c>
      <c r="V120" s="437">
        <v>55.118600000000001</v>
      </c>
      <c r="W120" s="437">
        <v>66.782699999999991</v>
      </c>
      <c r="X120" s="436">
        <v>53.3797</v>
      </c>
      <c r="Y120" s="436">
        <v>52.423000000000002</v>
      </c>
      <c r="Z120" s="21">
        <f>IFERROR(B120/'Ar-Pa'!B120,0)</f>
        <v>8.2687857142857144</v>
      </c>
      <c r="AA120" s="21">
        <f>IFERROR(C120/'Ar-Pa'!C120,0)</f>
        <v>7.8211571428571434</v>
      </c>
      <c r="AB120" s="21">
        <f>IFERROR(D120/'Ar-Pa'!D120,0)</f>
        <v>7.7978571428571426</v>
      </c>
      <c r="AC120" s="21">
        <f>IFERROR(E120/'Ar-Pa'!E120,0)</f>
        <v>7.8010571428571422</v>
      </c>
      <c r="AD120" s="21">
        <f>IFERROR(F120/'Ar-Pa'!F120,0)</f>
        <v>7.8052571428571431</v>
      </c>
      <c r="AE120" s="21">
        <f>IFERROR(G120/'Ar-Pa'!G120,0)</f>
        <v>7.7666857142857149</v>
      </c>
      <c r="AF120" s="21">
        <f>IFERROR(H120/'Ar-Pa'!H120,0)</f>
        <v>9.0335833333333344</v>
      </c>
      <c r="AG120" s="21">
        <f>IFERROR(I120/'Ar-Pa'!I120,0)</f>
        <v>9.0719000000000012</v>
      </c>
      <c r="AH120" s="21">
        <f>IFERROR(J120/'Ar-Pa'!J120,0)</f>
        <v>7.7619285714285713</v>
      </c>
      <c r="AI120" s="21">
        <f>IFERROR(K120/'Ar-Pa'!K120,0)</f>
        <v>7.765657142857143</v>
      </c>
      <c r="AJ120" s="21">
        <f>IFERROR(L120/'Ar-Pa'!L120,0)</f>
        <v>7.7677428571428564</v>
      </c>
      <c r="AK120" s="21">
        <f>IFERROR(M120/'Ar-Pa'!M120,0)</f>
        <v>7.7675000000000001</v>
      </c>
      <c r="AL120" s="21">
        <f>IFERROR(N120/'Ar-Pa'!N120,0)</f>
        <v>7.7505999999999995</v>
      </c>
      <c r="AM120" s="21">
        <f>IFERROR(O120/'Ar-Pa'!O120,0)</f>
        <v>7.7806571428571427</v>
      </c>
      <c r="AN120" s="21">
        <f>IFERROR(P120/'Ar-Pa'!P120,0)</f>
        <v>7.7713714285714284</v>
      </c>
      <c r="AO120" s="21">
        <f>IFERROR(Q120/'Ar-Pa'!Q120,0)</f>
        <v>7.812842857142857</v>
      </c>
      <c r="AP120" s="21">
        <f>IFERROR(R120/'Ar-Pa'!R120,0)</f>
        <v>7.5208142857142857</v>
      </c>
      <c r="AQ120" s="21">
        <f>IFERROR(S120/'Ar-Pa'!S120,0)</f>
        <v>7.8802000000000003</v>
      </c>
      <c r="AR120" s="21">
        <f>IFERROR(T120/'Ar-Pa'!T120,0)</f>
        <v>7.807085714285714</v>
      </c>
      <c r="AS120" s="21">
        <f>IFERROR(U120/'Ar-Pa'!U120,0)</f>
        <v>7.930828571428572</v>
      </c>
      <c r="AT120" s="21">
        <f>IFERROR(V120/'Ar-Pa'!V120,0)</f>
        <v>7.8740857142857141</v>
      </c>
      <c r="AU120" s="21">
        <f>IFERROR(W120/'Ar-Pa'!W120,0)</f>
        <v>9.5403857142857138</v>
      </c>
      <c r="AV120" s="21">
        <f>IFERROR(X120/'Ar-Pa'!X120,0)</f>
        <v>7.6256714285714287</v>
      </c>
      <c r="AW120" s="21">
        <f>IFERROR(Y120/'Ar-Pa'!Y120,0)</f>
        <v>7.4889999999999999</v>
      </c>
      <c r="AX120" s="21">
        <f t="shared" si="1"/>
        <v>191.21265476190476</v>
      </c>
    </row>
    <row r="121" spans="1:50" s="12" customFormat="1">
      <c r="A121" s="15">
        <v>45046</v>
      </c>
      <c r="B121" s="436">
        <v>52.0974</v>
      </c>
      <c r="C121" s="436">
        <v>53.594999999999999</v>
      </c>
      <c r="D121" s="436">
        <v>54.392699999999998</v>
      </c>
      <c r="E121" s="436">
        <v>54.5122</v>
      </c>
      <c r="F121" s="436">
        <v>54.164999999999999</v>
      </c>
      <c r="G121" s="436">
        <v>52.787199999999999</v>
      </c>
      <c r="H121" s="436">
        <v>52.670300000000005</v>
      </c>
      <c r="I121" s="436">
        <v>53.494599999999998</v>
      </c>
      <c r="J121" s="436">
        <v>53.724299999999999</v>
      </c>
      <c r="K121" s="436">
        <v>54.207900000000002</v>
      </c>
      <c r="L121" s="436">
        <v>53.742899999999999</v>
      </c>
      <c r="M121" s="436">
        <v>53.8825</v>
      </c>
      <c r="N121" s="436">
        <v>53.794400000000003</v>
      </c>
      <c r="O121" s="436">
        <v>53.671399999999998</v>
      </c>
      <c r="P121" s="436">
        <v>53.745199999999997</v>
      </c>
      <c r="Q121" s="436">
        <v>53.860099999999996</v>
      </c>
      <c r="R121" s="436">
        <v>53.841000000000001</v>
      </c>
      <c r="S121" s="436">
        <v>53.626199999999997</v>
      </c>
      <c r="T121" s="437">
        <v>54.799599999999998</v>
      </c>
      <c r="U121" s="436">
        <v>54.743600000000001</v>
      </c>
      <c r="V121" s="437">
        <v>53.638100000000001</v>
      </c>
      <c r="W121" s="437">
        <v>53.634300000000003</v>
      </c>
      <c r="X121" s="436">
        <v>53.709000000000003</v>
      </c>
      <c r="Y121" s="436">
        <v>53.504400000000004</v>
      </c>
      <c r="Z121" s="21">
        <f>IFERROR(B121/'Ar-Pa'!B121,0)</f>
        <v>7.4424857142857146</v>
      </c>
      <c r="AA121" s="21">
        <f>IFERROR(C121/'Ar-Pa'!C121,0)</f>
        <v>7.6564285714285711</v>
      </c>
      <c r="AB121" s="21">
        <f>IFERROR(D121/'Ar-Pa'!D121,0)</f>
        <v>7.7703857142857142</v>
      </c>
      <c r="AC121" s="21">
        <f>IFERROR(E121/'Ar-Pa'!E121,0)</f>
        <v>7.7874571428571429</v>
      </c>
      <c r="AD121" s="21">
        <f>IFERROR(F121/'Ar-Pa'!F121,0)</f>
        <v>7.737857142857143</v>
      </c>
      <c r="AE121" s="21">
        <f>IFERROR(G121/'Ar-Pa'!G121,0)</f>
        <v>7.541028571428571</v>
      </c>
      <c r="AF121" s="21">
        <f>IFERROR(H121/'Ar-Pa'!H121,0)</f>
        <v>8.7783833333333341</v>
      </c>
      <c r="AG121" s="21">
        <f>IFERROR(I121/'Ar-Pa'!I121,0)</f>
        <v>8.9157666666666664</v>
      </c>
      <c r="AH121" s="21">
        <f>IFERROR(J121/'Ar-Pa'!J121,0)</f>
        <v>7.6749000000000001</v>
      </c>
      <c r="AI121" s="21">
        <f>IFERROR(K121/'Ar-Pa'!K121,0)</f>
        <v>7.7439857142857145</v>
      </c>
      <c r="AJ121" s="21">
        <f>IFERROR(L121/'Ar-Pa'!L121,0)</f>
        <v>7.6775571428571423</v>
      </c>
      <c r="AK121" s="21">
        <f>IFERROR(M121/'Ar-Pa'!M121,0)</f>
        <v>7.6974999999999998</v>
      </c>
      <c r="AL121" s="21">
        <f>IFERROR(N121/'Ar-Pa'!N121,0)</f>
        <v>7.684914285714286</v>
      </c>
      <c r="AM121" s="21">
        <f>IFERROR(O121/'Ar-Pa'!O121,0)</f>
        <v>7.6673428571428568</v>
      </c>
      <c r="AN121" s="21">
        <f>IFERROR(P121/'Ar-Pa'!P121,0)</f>
        <v>7.677885714285714</v>
      </c>
      <c r="AO121" s="21">
        <f>IFERROR(Q121/'Ar-Pa'!Q121,0)</f>
        <v>7.6942999999999993</v>
      </c>
      <c r="AP121" s="21">
        <f>IFERROR(R121/'Ar-Pa'!R121,0)</f>
        <v>7.6915714285714287</v>
      </c>
      <c r="AQ121" s="21">
        <f>IFERROR(S121/'Ar-Pa'!S121,0)</f>
        <v>7.6608857142857136</v>
      </c>
      <c r="AR121" s="21">
        <f>IFERROR(T121/'Ar-Pa'!T121,0)</f>
        <v>7.8285142857142853</v>
      </c>
      <c r="AS121" s="21">
        <f>IFERROR(U121/'Ar-Pa'!U121,0)</f>
        <v>7.8205142857142862</v>
      </c>
      <c r="AT121" s="21">
        <f>IFERROR(V121/'Ar-Pa'!V121,0)</f>
        <v>7.6625857142857141</v>
      </c>
      <c r="AU121" s="21">
        <f>IFERROR(W121/'Ar-Pa'!W121,0)</f>
        <v>7.6620428571428576</v>
      </c>
      <c r="AV121" s="21">
        <f>IFERROR(X121/'Ar-Pa'!X121,0)</f>
        <v>7.672714285714286</v>
      </c>
      <c r="AW121" s="21">
        <f>IFERROR(Y121/'Ar-Pa'!Y121,0)</f>
        <v>7.6434857142857151</v>
      </c>
      <c r="AX121" s="21">
        <f t="shared" si="1"/>
        <v>186.79049285714282</v>
      </c>
    </row>
    <row r="122" spans="1:50" s="12" customFormat="1">
      <c r="A122" s="15">
        <v>45047</v>
      </c>
      <c r="B122" s="436">
        <v>53.527200000000001</v>
      </c>
      <c r="C122" s="436">
        <v>53.5426</v>
      </c>
      <c r="D122" s="436">
        <v>53.889699999999998</v>
      </c>
      <c r="E122" s="436">
        <v>53.572600000000001</v>
      </c>
      <c r="F122" s="436">
        <v>53.663599999999995</v>
      </c>
      <c r="G122" s="436">
        <v>53.67</v>
      </c>
      <c r="H122" s="436">
        <v>53.62</v>
      </c>
      <c r="I122" s="436">
        <v>53.667699999999996</v>
      </c>
      <c r="J122" s="436">
        <v>53.811300000000003</v>
      </c>
      <c r="K122" s="436">
        <v>53.729599999999998</v>
      </c>
      <c r="L122" s="436">
        <v>53.8048</v>
      </c>
      <c r="M122" s="436">
        <v>53.645499999999998</v>
      </c>
      <c r="N122" s="436">
        <v>53.598800000000004</v>
      </c>
      <c r="O122" s="436">
        <v>53.461599999999997</v>
      </c>
      <c r="P122" s="436">
        <v>53.5169</v>
      </c>
      <c r="Q122" s="436">
        <v>53.576099999999997</v>
      </c>
      <c r="R122" s="436">
        <v>53.4557</v>
      </c>
      <c r="S122" s="436">
        <v>53.408799999999999</v>
      </c>
      <c r="T122" s="437">
        <v>53.654199999999996</v>
      </c>
      <c r="U122" s="437">
        <v>53.553599999999996</v>
      </c>
      <c r="V122" s="437">
        <v>53.444300000000005</v>
      </c>
      <c r="W122" s="437">
        <v>53.466300000000004</v>
      </c>
      <c r="X122" s="436">
        <v>53.7577</v>
      </c>
      <c r="Y122" s="436">
        <v>53.564099999999996</v>
      </c>
      <c r="Z122" s="21">
        <f>IFERROR(B122/'Ar-Pa'!B122,0)</f>
        <v>6.6909000000000001</v>
      </c>
      <c r="AA122" s="21">
        <f>IFERROR(C122/'Ar-Pa'!C122,0)</f>
        <v>6.692825</v>
      </c>
      <c r="AB122" s="21">
        <f>IFERROR(D122/'Ar-Pa'!D122,0)</f>
        <v>6.7362124999999997</v>
      </c>
      <c r="AC122" s="21">
        <f>IFERROR(E122/'Ar-Pa'!E122,0)</f>
        <v>6.6965750000000002</v>
      </c>
      <c r="AD122" s="21">
        <f>IFERROR(F122/'Ar-Pa'!F122,0)</f>
        <v>6.7079499999999994</v>
      </c>
      <c r="AE122" s="21">
        <f>IFERROR(G122/'Ar-Pa'!G122,0)</f>
        <v>6.7087500000000002</v>
      </c>
      <c r="AF122" s="21">
        <f>IFERROR(H122/'Ar-Pa'!H122,0)</f>
        <v>6.7024999999999997</v>
      </c>
      <c r="AG122" s="21">
        <f>IFERROR(I122/'Ar-Pa'!I122,0)</f>
        <v>6.7084624999999996</v>
      </c>
      <c r="AH122" s="21">
        <f>IFERROR(J122/'Ar-Pa'!J122,0)</f>
        <v>6.7264125000000003</v>
      </c>
      <c r="AI122" s="21">
        <f>IFERROR(K122/'Ar-Pa'!K122,0)</f>
        <v>6.7161999999999997</v>
      </c>
      <c r="AJ122" s="21">
        <f>IFERROR(L122/'Ar-Pa'!L122,0)</f>
        <v>6.7256</v>
      </c>
      <c r="AK122" s="21">
        <f>IFERROR(M122/'Ar-Pa'!M122,0)</f>
        <v>6.7056874999999998</v>
      </c>
      <c r="AL122" s="21">
        <f>IFERROR(N122/'Ar-Pa'!N122,0)</f>
        <v>6.6998500000000005</v>
      </c>
      <c r="AM122" s="21">
        <f>IFERROR(O122/'Ar-Pa'!O122,0)</f>
        <v>6.6826999999999996</v>
      </c>
      <c r="AN122" s="21">
        <f>IFERROR(P122/'Ar-Pa'!P122,0)</f>
        <v>6.6896125</v>
      </c>
      <c r="AO122" s="21">
        <f>IFERROR(Q122/'Ar-Pa'!Q122,0)</f>
        <v>6.6970124999999996</v>
      </c>
      <c r="AP122" s="21">
        <f>IFERROR(R122/'Ar-Pa'!R122,0)</f>
        <v>6.6819625</v>
      </c>
      <c r="AQ122" s="21">
        <f>IFERROR(S122/'Ar-Pa'!S122,0)</f>
        <v>6.6760999999999999</v>
      </c>
      <c r="AR122" s="21">
        <f>IFERROR(T122/'Ar-Pa'!T122,0)</f>
        <v>6.7067749999999995</v>
      </c>
      <c r="AS122" s="21">
        <f>IFERROR(U122/'Ar-Pa'!U122,0)</f>
        <v>6.6941999999999995</v>
      </c>
      <c r="AT122" s="21">
        <f>IFERROR(V122/'Ar-Pa'!V122,0)</f>
        <v>6.6805375000000007</v>
      </c>
      <c r="AU122" s="21">
        <f>IFERROR(W122/'Ar-Pa'!W122,0)</f>
        <v>6.6832875000000005</v>
      </c>
      <c r="AV122" s="21">
        <f>IFERROR(X122/'Ar-Pa'!X122,0)</f>
        <v>6.7197125</v>
      </c>
      <c r="AW122" s="21">
        <f>IFERROR(Y122/'Ar-Pa'!Y122,0)</f>
        <v>6.6955124999999995</v>
      </c>
      <c r="AX122" s="21">
        <f t="shared" si="1"/>
        <v>160.82533749999999</v>
      </c>
    </row>
    <row r="123" spans="1:50">
      <c r="A123" s="15">
        <v>45048</v>
      </c>
      <c r="B123" s="437">
        <v>53.131099999999996</v>
      </c>
      <c r="C123" s="437">
        <v>53.518699999999995</v>
      </c>
      <c r="D123" s="437">
        <v>53.567999999999998</v>
      </c>
      <c r="E123" s="437">
        <v>53.741399999999999</v>
      </c>
      <c r="F123" s="437">
        <v>53.8917</v>
      </c>
      <c r="G123" s="437">
        <v>53.825000000000003</v>
      </c>
      <c r="H123" s="437">
        <v>54.290300000000002</v>
      </c>
      <c r="I123" s="437">
        <v>54.2883</v>
      </c>
      <c r="J123" s="437">
        <v>54.013199999999998</v>
      </c>
      <c r="K123" s="437">
        <v>53.991599999999998</v>
      </c>
      <c r="L123" s="437">
        <v>54.132400000000004</v>
      </c>
      <c r="M123" s="437">
        <v>54.092400000000005</v>
      </c>
      <c r="N123" s="437">
        <v>54.086500000000001</v>
      </c>
      <c r="O123" s="437">
        <v>54.043599999999998</v>
      </c>
      <c r="P123" s="437">
        <v>54.147500000000001</v>
      </c>
      <c r="Q123" s="437">
        <v>54.124499999999998</v>
      </c>
      <c r="R123" s="437">
        <v>53.851599999999998</v>
      </c>
      <c r="S123" s="437">
        <v>54.0961</v>
      </c>
      <c r="T123" s="437">
        <v>58.288400000000003</v>
      </c>
      <c r="U123" s="437">
        <v>69.30380000000001</v>
      </c>
      <c r="V123" s="437">
        <v>68.979399999999998</v>
      </c>
      <c r="W123" s="437">
        <v>68.260899999999992</v>
      </c>
      <c r="X123" s="437">
        <v>67.996600000000001</v>
      </c>
      <c r="Y123" s="437">
        <v>67.878600000000006</v>
      </c>
      <c r="Z123" s="21">
        <f>IFERROR(B123/'Ar-Pa'!B123,0)</f>
        <v>6.6413874999999996</v>
      </c>
      <c r="AA123" s="21">
        <f>IFERROR(C123/'Ar-Pa'!C123,0)</f>
        <v>6.6898374999999994</v>
      </c>
      <c r="AB123" s="21">
        <f>IFERROR(D123/'Ar-Pa'!D123,0)</f>
        <v>6.6959999999999997</v>
      </c>
      <c r="AC123" s="21">
        <f>IFERROR(E123/'Ar-Pa'!E123,0)</f>
        <v>6.7176749999999998</v>
      </c>
      <c r="AD123" s="21">
        <f>IFERROR(F123/'Ar-Pa'!F123,0)</f>
        <v>6.7364625</v>
      </c>
      <c r="AE123" s="21">
        <f>IFERROR(G123/'Ar-Pa'!G123,0)</f>
        <v>6.7281250000000004</v>
      </c>
      <c r="AF123" s="21">
        <f>IFERROR(H123/'Ar-Pa'!H123,0)</f>
        <v>6.7862875000000003</v>
      </c>
      <c r="AG123" s="21">
        <f>IFERROR(I123/'Ar-Pa'!I123,0)</f>
        <v>6.7860374999999999</v>
      </c>
      <c r="AH123" s="21">
        <f>IFERROR(J123/'Ar-Pa'!J123,0)</f>
        <v>6.7516499999999997</v>
      </c>
      <c r="AI123" s="21">
        <f>IFERROR(K123/'Ar-Pa'!K123,0)</f>
        <v>6.7489499999999998</v>
      </c>
      <c r="AJ123" s="21">
        <f>IFERROR(L123/'Ar-Pa'!L123,0)</f>
        <v>6.7665500000000005</v>
      </c>
      <c r="AK123" s="21">
        <f>IFERROR(M123/'Ar-Pa'!M123,0)</f>
        <v>6.7615500000000006</v>
      </c>
      <c r="AL123" s="21">
        <f>IFERROR(N123/'Ar-Pa'!N123,0)</f>
        <v>6.7608125000000001</v>
      </c>
      <c r="AM123" s="21">
        <f>IFERROR(O123/'Ar-Pa'!O123,0)</f>
        <v>6.7554499999999997</v>
      </c>
      <c r="AN123" s="21">
        <f>IFERROR(P123/'Ar-Pa'!P123,0)</f>
        <v>6.7684375000000001</v>
      </c>
      <c r="AO123" s="21">
        <f>IFERROR(Q123/'Ar-Pa'!Q123,0)</f>
        <v>6.7655624999999997</v>
      </c>
      <c r="AP123" s="21">
        <f>IFERROR(R123/'Ar-Pa'!R123,0)</f>
        <v>6.7314499999999997</v>
      </c>
      <c r="AQ123" s="21">
        <f>IFERROR(S123/'Ar-Pa'!S123,0)</f>
        <v>6.7620125</v>
      </c>
      <c r="AR123" s="21">
        <f>IFERROR(T123/'Ar-Pa'!T123,0)</f>
        <v>7.2860500000000004</v>
      </c>
      <c r="AS123" s="21">
        <f>IFERROR(U123/'Ar-Pa'!U123,0)</f>
        <v>8.6629750000000012</v>
      </c>
      <c r="AT123" s="21">
        <f>IFERROR(V123/'Ar-Pa'!V123,0)</f>
        <v>8.6224249999999998</v>
      </c>
      <c r="AU123" s="21">
        <f>IFERROR(W123/'Ar-Pa'!W123,0)</f>
        <v>8.532612499999999</v>
      </c>
      <c r="AV123" s="21">
        <f>IFERROR(X123/'Ar-Pa'!X123,0)</f>
        <v>8.4995750000000001</v>
      </c>
      <c r="AW123" s="21">
        <f>IFERROR(Y123/'Ar-Pa'!Y123,0)</f>
        <v>8.4848250000000007</v>
      </c>
      <c r="AX123" s="21">
        <f>SUM(Z123:AW123)</f>
        <v>171.44269999999995</v>
      </c>
    </row>
    <row r="124" spans="1:50">
      <c r="A124" s="15">
        <v>45049</v>
      </c>
      <c r="B124" s="436">
        <v>66.222800000000007</v>
      </c>
      <c r="C124" s="436">
        <v>55.139900000000004</v>
      </c>
      <c r="D124" s="436">
        <v>55.160800000000002</v>
      </c>
      <c r="E124" s="436">
        <v>55.247699999999995</v>
      </c>
      <c r="F124" s="436">
        <v>55.214800000000004</v>
      </c>
      <c r="G124" s="436">
        <v>54.713500000000003</v>
      </c>
      <c r="H124" s="436">
        <v>54.643500000000003</v>
      </c>
      <c r="I124" s="436">
        <v>54.415300000000002</v>
      </c>
      <c r="J124" s="436">
        <v>54.191600000000001</v>
      </c>
      <c r="K124" s="436">
        <v>54.344800000000006</v>
      </c>
      <c r="L124" s="436">
        <v>54.162399999999998</v>
      </c>
      <c r="M124" s="436">
        <v>54.064800000000005</v>
      </c>
      <c r="N124" s="436">
        <v>54.124199999999995</v>
      </c>
      <c r="O124" s="436">
        <v>54.0931</v>
      </c>
      <c r="P124" s="436">
        <v>64.2637</v>
      </c>
      <c r="Q124" s="436">
        <v>68.353300000000004</v>
      </c>
      <c r="R124" s="436">
        <v>54.005099999999999</v>
      </c>
      <c r="S124" s="436">
        <v>53.977199999999996</v>
      </c>
      <c r="T124" s="437">
        <v>67.945499999999996</v>
      </c>
      <c r="U124" s="437">
        <v>68.728499999999997</v>
      </c>
      <c r="V124" s="437">
        <v>68.493499999999997</v>
      </c>
      <c r="W124" s="437">
        <v>68.197699999999998</v>
      </c>
      <c r="X124" s="436">
        <v>68.193300000000008</v>
      </c>
      <c r="Y124" s="436">
        <v>68.368600000000001</v>
      </c>
      <c r="Z124" s="21">
        <f>IFERROR(B124/'Ar-Pa'!B124,0)</f>
        <v>8.2778500000000008</v>
      </c>
      <c r="AA124" s="21">
        <f>IFERROR(C124/'Ar-Pa'!C124,0)</f>
        <v>6.8924875000000005</v>
      </c>
      <c r="AB124" s="21">
        <f>IFERROR(D124/'Ar-Pa'!D124,0)</f>
        <v>6.8951000000000002</v>
      </c>
      <c r="AC124" s="21">
        <f>IFERROR(E124/'Ar-Pa'!E124,0)</f>
        <v>6.9059624999999993</v>
      </c>
      <c r="AD124" s="21">
        <f>IFERROR(F124/'Ar-Pa'!F124,0)</f>
        <v>6.9018500000000005</v>
      </c>
      <c r="AE124" s="21">
        <f>IFERROR(G124/'Ar-Pa'!G124,0)</f>
        <v>6.8391875000000004</v>
      </c>
      <c r="AF124" s="21">
        <f>IFERROR(H124/'Ar-Pa'!H124,0)</f>
        <v>6.8304375000000004</v>
      </c>
      <c r="AG124" s="21">
        <f>IFERROR(I124/'Ar-Pa'!I124,0)</f>
        <v>6.8019125000000003</v>
      </c>
      <c r="AH124" s="21">
        <f>IFERROR(J124/'Ar-Pa'!J124,0)</f>
        <v>6.7739500000000001</v>
      </c>
      <c r="AI124" s="21">
        <f>IFERROR(K124/'Ar-Pa'!K124,0)</f>
        <v>6.7931000000000008</v>
      </c>
      <c r="AJ124" s="21">
        <f>IFERROR(L124/'Ar-Pa'!L124,0)</f>
        <v>6.7702999999999998</v>
      </c>
      <c r="AK124" s="21">
        <f>IFERROR(M124/'Ar-Pa'!M124,0)</f>
        <v>6.7581000000000007</v>
      </c>
      <c r="AL124" s="21">
        <f>IFERROR(N124/'Ar-Pa'!N124,0)</f>
        <v>6.7655249999999993</v>
      </c>
      <c r="AM124" s="21">
        <f>IFERROR(O124/'Ar-Pa'!O124,0)</f>
        <v>6.7616375</v>
      </c>
      <c r="AN124" s="21">
        <f>IFERROR(P124/'Ar-Pa'!P124,0)</f>
        <v>8.0329625</v>
      </c>
      <c r="AO124" s="21">
        <f>IFERROR(Q124/'Ar-Pa'!Q124,0)</f>
        <v>8.5441625000000005</v>
      </c>
      <c r="AP124" s="21">
        <f>IFERROR(R124/'Ar-Pa'!R124,0)</f>
        <v>6.7506374999999998</v>
      </c>
      <c r="AQ124" s="21">
        <f>IFERROR(S124/'Ar-Pa'!S124,0)</f>
        <v>6.7471499999999995</v>
      </c>
      <c r="AR124" s="21">
        <f>IFERROR(T124/'Ar-Pa'!T124,0)</f>
        <v>8.4931874999999994</v>
      </c>
      <c r="AS124" s="21">
        <f>IFERROR(U124/'Ar-Pa'!U124,0)</f>
        <v>8.5910624999999996</v>
      </c>
      <c r="AT124" s="21">
        <f>IFERROR(V124/'Ar-Pa'!V124,0)</f>
        <v>8.5616874999999997</v>
      </c>
      <c r="AU124" s="21">
        <f>IFERROR(W124/'Ar-Pa'!W124,0)</f>
        <v>8.5247124999999997</v>
      </c>
      <c r="AV124" s="21">
        <f>IFERROR(X124/'Ar-Pa'!X124,0)</f>
        <v>8.524162500000001</v>
      </c>
      <c r="AW124" s="21">
        <f>IFERROR(Y124/'Ar-Pa'!Y124,0)</f>
        <v>8.5460750000000001</v>
      </c>
      <c r="AX124" s="21">
        <f t="shared" ref="AX124:AX183" si="2">SUM(Z124:AW124)</f>
        <v>178.28319999999999</v>
      </c>
    </row>
    <row r="125" spans="1:50">
      <c r="A125" s="15">
        <v>45050</v>
      </c>
      <c r="B125" s="436">
        <v>68.24730000000001</v>
      </c>
      <c r="C125" s="436">
        <v>55.3797</v>
      </c>
      <c r="D125" s="436">
        <v>54.968199999999996</v>
      </c>
      <c r="E125" s="436">
        <v>54.951999999999998</v>
      </c>
      <c r="F125" s="436">
        <v>54.979699999999994</v>
      </c>
      <c r="G125" s="436">
        <v>55.014699999999998</v>
      </c>
      <c r="H125" s="436">
        <v>53.854500000000002</v>
      </c>
      <c r="I125" s="436">
        <v>53.779600000000002</v>
      </c>
      <c r="J125" s="436">
        <v>53.0015</v>
      </c>
      <c r="K125" s="436">
        <v>53.027099999999997</v>
      </c>
      <c r="L125" s="436">
        <v>52.993699999999997</v>
      </c>
      <c r="M125" s="436">
        <v>52.935400000000001</v>
      </c>
      <c r="N125" s="436">
        <v>52.868699999999997</v>
      </c>
      <c r="O125" s="436">
        <v>57.574599999999997</v>
      </c>
      <c r="P125" s="436">
        <v>68.153100000000009</v>
      </c>
      <c r="Q125" s="436">
        <v>67.665199999999999</v>
      </c>
      <c r="R125" s="436">
        <v>65.956600000000009</v>
      </c>
      <c r="S125" s="436">
        <v>54.321100000000001</v>
      </c>
      <c r="T125" s="437">
        <v>61.869099999999996</v>
      </c>
      <c r="U125" s="437">
        <v>67.287600000000012</v>
      </c>
      <c r="V125" s="437">
        <v>67.106399999999994</v>
      </c>
      <c r="W125" s="437">
        <v>67.243499999999997</v>
      </c>
      <c r="X125" s="436">
        <v>67.148200000000003</v>
      </c>
      <c r="Y125" s="436">
        <v>67.963999999999999</v>
      </c>
      <c r="Z125" s="21">
        <f>IFERROR(B125/'Ar-Pa'!B125,0)</f>
        <v>8.5309125000000012</v>
      </c>
      <c r="AA125" s="21">
        <f>IFERROR(C125/'Ar-Pa'!C125,0)</f>
        <v>6.9224625</v>
      </c>
      <c r="AB125" s="21">
        <f>IFERROR(D125/'Ar-Pa'!D125,0)</f>
        <v>6.8710249999999995</v>
      </c>
      <c r="AC125" s="21">
        <f>IFERROR(E125/'Ar-Pa'!E125,0)</f>
        <v>6.8689999999999998</v>
      </c>
      <c r="AD125" s="21">
        <f>IFERROR(F125/'Ar-Pa'!F125,0)</f>
        <v>6.8724624999999993</v>
      </c>
      <c r="AE125" s="21">
        <f>IFERROR(G125/'Ar-Pa'!G125,0)</f>
        <v>6.8768374999999997</v>
      </c>
      <c r="AF125" s="21">
        <f>IFERROR(H125/'Ar-Pa'!H125,0)</f>
        <v>6.7318125000000002</v>
      </c>
      <c r="AG125" s="21">
        <f>IFERROR(I125/'Ar-Pa'!I125,0)</f>
        <v>6.7224500000000003</v>
      </c>
      <c r="AH125" s="21">
        <f>IFERROR(J125/'Ar-Pa'!J125,0)</f>
        <v>6.6251875</v>
      </c>
      <c r="AI125" s="21">
        <f>IFERROR(K125/'Ar-Pa'!K125,0)</f>
        <v>6.6283874999999997</v>
      </c>
      <c r="AJ125" s="21">
        <f>IFERROR(L125/'Ar-Pa'!L125,0)</f>
        <v>6.6242124999999996</v>
      </c>
      <c r="AK125" s="21">
        <f>IFERROR(M125/'Ar-Pa'!M125,0)</f>
        <v>6.6169250000000002</v>
      </c>
      <c r="AL125" s="21">
        <f>IFERROR(N125/'Ar-Pa'!N125,0)</f>
        <v>6.6085874999999996</v>
      </c>
      <c r="AM125" s="21">
        <f>IFERROR(O125/'Ar-Pa'!O125,0)</f>
        <v>7.1968249999999996</v>
      </c>
      <c r="AN125" s="21">
        <f>IFERROR(P125/'Ar-Pa'!P125,0)</f>
        <v>8.5191375000000011</v>
      </c>
      <c r="AO125" s="21">
        <f>IFERROR(Q125/'Ar-Pa'!Q125,0)</f>
        <v>8.4581499999999998</v>
      </c>
      <c r="AP125" s="21">
        <f>IFERROR(R125/'Ar-Pa'!R125,0)</f>
        <v>8.2445750000000011</v>
      </c>
      <c r="AQ125" s="21">
        <f>IFERROR(S125/'Ar-Pa'!S125,0)</f>
        <v>6.7901375000000002</v>
      </c>
      <c r="AR125" s="21">
        <f>IFERROR(T125/'Ar-Pa'!T125,0)</f>
        <v>7.7336374999999995</v>
      </c>
      <c r="AS125" s="21">
        <f>IFERROR(U125/'Ar-Pa'!U125,0)</f>
        <v>8.4109500000000015</v>
      </c>
      <c r="AT125" s="21">
        <f>IFERROR(V125/'Ar-Pa'!V125,0)</f>
        <v>8.3882999999999992</v>
      </c>
      <c r="AU125" s="21">
        <f>IFERROR(W125/'Ar-Pa'!W125,0)</f>
        <v>8.4054374999999997</v>
      </c>
      <c r="AV125" s="21">
        <f>IFERROR(X125/'Ar-Pa'!X125,0)</f>
        <v>8.3935250000000003</v>
      </c>
      <c r="AW125" s="21">
        <f>IFERROR(Y125/'Ar-Pa'!Y125,0)</f>
        <v>8.4954999999999998</v>
      </c>
      <c r="AX125" s="21">
        <f t="shared" si="2"/>
        <v>178.53643750000001</v>
      </c>
    </row>
    <row r="126" spans="1:50">
      <c r="A126" s="15">
        <v>45051</v>
      </c>
      <c r="B126" s="436">
        <v>67.884699999999995</v>
      </c>
      <c r="C126" s="436">
        <v>61.8155</v>
      </c>
      <c r="D126" s="436">
        <v>54.170099999999998</v>
      </c>
      <c r="E126" s="436">
        <v>53.957699999999996</v>
      </c>
      <c r="F126" s="436">
        <v>54.224899999999998</v>
      </c>
      <c r="G126" s="436">
        <v>53.665599999999998</v>
      </c>
      <c r="H126" s="436">
        <v>53.7592</v>
      </c>
      <c r="I126" s="436">
        <v>54.134599999999999</v>
      </c>
      <c r="J126" s="436">
        <v>53.625800000000005</v>
      </c>
      <c r="K126" s="436">
        <v>53.273699999999998</v>
      </c>
      <c r="L126" s="436">
        <v>53.287099999999995</v>
      </c>
      <c r="M126" s="436">
        <v>53.189500000000002</v>
      </c>
      <c r="N126" s="436">
        <v>53.1937</v>
      </c>
      <c r="O126" s="436">
        <v>57.2014</v>
      </c>
      <c r="P126" s="436">
        <v>65.201499999999996</v>
      </c>
      <c r="Q126" s="436">
        <v>65.690399999999997</v>
      </c>
      <c r="R126" s="436">
        <v>66.632300000000001</v>
      </c>
      <c r="S126" s="436">
        <v>66.977500000000006</v>
      </c>
      <c r="T126" s="437">
        <v>67.337299999999999</v>
      </c>
      <c r="U126" s="437">
        <v>70.531300000000002</v>
      </c>
      <c r="V126" s="437">
        <v>69.220300000000009</v>
      </c>
      <c r="W126" s="437">
        <v>71.166800000000009</v>
      </c>
      <c r="X126" s="436">
        <v>68.249100000000013</v>
      </c>
      <c r="Y126" s="436">
        <v>68.364699999999999</v>
      </c>
      <c r="Z126" s="21">
        <f>IFERROR(B126/'Ar-Pa'!B126,0)</f>
        <v>8.4855874999999994</v>
      </c>
      <c r="AA126" s="21">
        <f>IFERROR(C126/'Ar-Pa'!C126,0)</f>
        <v>7.7269375</v>
      </c>
      <c r="AB126" s="21">
        <f>IFERROR(D126/'Ar-Pa'!D126,0)</f>
        <v>6.7712624999999997</v>
      </c>
      <c r="AC126" s="21">
        <f>IFERROR(E126/'Ar-Pa'!E126,0)</f>
        <v>6.7447124999999994</v>
      </c>
      <c r="AD126" s="21">
        <f>IFERROR(F126/'Ar-Pa'!F126,0)</f>
        <v>6.7781124999999998</v>
      </c>
      <c r="AE126" s="21">
        <f>IFERROR(G126/'Ar-Pa'!G126,0)</f>
        <v>6.7081999999999997</v>
      </c>
      <c r="AF126" s="21">
        <f>IFERROR(H126/'Ar-Pa'!H126,0)</f>
        <v>7.6798857142857146</v>
      </c>
      <c r="AG126" s="21">
        <f>IFERROR(I126/'Ar-Pa'!I126,0)</f>
        <v>7.7335142857142856</v>
      </c>
      <c r="AH126" s="21">
        <f>IFERROR(J126/'Ar-Pa'!J126,0)</f>
        <v>6.7032250000000007</v>
      </c>
      <c r="AI126" s="21">
        <f>IFERROR(K126/'Ar-Pa'!K126,0)</f>
        <v>6.6592124999999998</v>
      </c>
      <c r="AJ126" s="21">
        <f>IFERROR(L126/'Ar-Pa'!L126,0)</f>
        <v>6.6608874999999994</v>
      </c>
      <c r="AK126" s="21">
        <f>IFERROR(M126/'Ar-Pa'!M126,0)</f>
        <v>6.6486875000000003</v>
      </c>
      <c r="AL126" s="21">
        <f>IFERROR(N126/'Ar-Pa'!N126,0)</f>
        <v>6.6492125</v>
      </c>
      <c r="AM126" s="21">
        <f>IFERROR(O126/'Ar-Pa'!O126,0)</f>
        <v>7.1501749999999999</v>
      </c>
      <c r="AN126" s="21">
        <f>IFERROR(P126/'Ar-Pa'!P126,0)</f>
        <v>8.1501874999999995</v>
      </c>
      <c r="AO126" s="21">
        <f>IFERROR(Q126/'Ar-Pa'!Q126,0)</f>
        <v>8.2112999999999996</v>
      </c>
      <c r="AP126" s="21">
        <f>IFERROR(R126/'Ar-Pa'!R126,0)</f>
        <v>8.3290375000000001</v>
      </c>
      <c r="AQ126" s="21">
        <f>IFERROR(S126/'Ar-Pa'!S126,0)</f>
        <v>8.3721875000000008</v>
      </c>
      <c r="AR126" s="21">
        <f>IFERROR(T126/'Ar-Pa'!T126,0)</f>
        <v>8.4171624999999999</v>
      </c>
      <c r="AS126" s="21">
        <f>IFERROR(U126/'Ar-Pa'!U126,0)</f>
        <v>8.8164125000000002</v>
      </c>
      <c r="AT126" s="21">
        <f>IFERROR(V126/'Ar-Pa'!V126,0)</f>
        <v>8.6525375000000011</v>
      </c>
      <c r="AU126" s="21">
        <f>IFERROR(W126/'Ar-Pa'!W126,0)</f>
        <v>8.8958500000000011</v>
      </c>
      <c r="AV126" s="21">
        <f>IFERROR(X126/'Ar-Pa'!X126,0)</f>
        <v>8.5311375000000016</v>
      </c>
      <c r="AW126" s="21">
        <f>IFERROR(Y126/'Ar-Pa'!Y126,0)</f>
        <v>8.5455874999999999</v>
      </c>
      <c r="AX126" s="21">
        <f t="shared" si="2"/>
        <v>184.02101249999998</v>
      </c>
    </row>
    <row r="127" spans="1:50">
      <c r="A127" s="15">
        <v>45052</v>
      </c>
      <c r="B127" s="436">
        <v>68.152100000000004</v>
      </c>
      <c r="C127" s="436">
        <v>68.293399999999991</v>
      </c>
      <c r="D127" s="436">
        <v>57.001199999999997</v>
      </c>
      <c r="E127" s="436">
        <v>54.338099999999997</v>
      </c>
      <c r="F127" s="436">
        <v>54.5884</v>
      </c>
      <c r="G127" s="436">
        <v>54.3416</v>
      </c>
      <c r="H127" s="436">
        <v>54.399000000000001</v>
      </c>
      <c r="I127" s="436">
        <v>54.477699999999999</v>
      </c>
      <c r="J127" s="436">
        <v>54.614800000000002</v>
      </c>
      <c r="K127" s="436">
        <v>54.34</v>
      </c>
      <c r="L127" s="436">
        <v>53.710800000000006</v>
      </c>
      <c r="M127" s="436">
        <v>53.224699999999999</v>
      </c>
      <c r="N127" s="436">
        <v>53.874300000000005</v>
      </c>
      <c r="O127" s="436">
        <v>53.880900000000004</v>
      </c>
      <c r="P127" s="436">
        <v>53.876599999999996</v>
      </c>
      <c r="Q127" s="436">
        <v>53.853999999999999</v>
      </c>
      <c r="R127" s="436">
        <v>53.946100000000001</v>
      </c>
      <c r="S127" s="436">
        <v>54.011000000000003</v>
      </c>
      <c r="T127" s="437">
        <v>66.084100000000007</v>
      </c>
      <c r="U127" s="437">
        <v>68.134399999999999</v>
      </c>
      <c r="V127" s="437">
        <v>68.3416</v>
      </c>
      <c r="W127" s="437">
        <v>58.332599999999999</v>
      </c>
      <c r="X127" s="436">
        <v>69.055399999999992</v>
      </c>
      <c r="Y127" s="436">
        <v>68.982199999999992</v>
      </c>
      <c r="Z127" s="21">
        <f>IFERROR(B127/'Ar-Pa'!B127,0)</f>
        <v>8.5190125000000005</v>
      </c>
      <c r="AA127" s="21">
        <f>IFERROR(C127/'Ar-Pa'!C127,0)</f>
        <v>8.5366749999999989</v>
      </c>
      <c r="AB127" s="21">
        <f>IFERROR(D127/'Ar-Pa'!D127,0)</f>
        <v>7.1251499999999997</v>
      </c>
      <c r="AC127" s="21">
        <f>IFERROR(E127/'Ar-Pa'!E127,0)</f>
        <v>6.7922624999999996</v>
      </c>
      <c r="AD127" s="21">
        <f>IFERROR(F127/'Ar-Pa'!F127,0)</f>
        <v>6.82355</v>
      </c>
      <c r="AE127" s="21">
        <f>IFERROR(G127/'Ar-Pa'!G127,0)</f>
        <v>6.7927</v>
      </c>
      <c r="AF127" s="21">
        <f>IFERROR(H127/'Ar-Pa'!H127,0)</f>
        <v>6.7998750000000001</v>
      </c>
      <c r="AG127" s="21">
        <f>IFERROR(I127/'Ar-Pa'!I127,0)</f>
        <v>6.8097124999999998</v>
      </c>
      <c r="AH127" s="21">
        <f>IFERROR(J127/'Ar-Pa'!J127,0)</f>
        <v>6.8268500000000003</v>
      </c>
      <c r="AI127" s="21">
        <f>IFERROR(K127/'Ar-Pa'!K127,0)</f>
        <v>6.7925000000000004</v>
      </c>
      <c r="AJ127" s="21">
        <f>IFERROR(L127/'Ar-Pa'!L127,0)</f>
        <v>6.7138500000000008</v>
      </c>
      <c r="AK127" s="21">
        <f>IFERROR(M127/'Ar-Pa'!M127,0)</f>
        <v>6.6530874999999998</v>
      </c>
      <c r="AL127" s="21">
        <f>IFERROR(N127/'Ar-Pa'!N127,0)</f>
        <v>6.7342875000000006</v>
      </c>
      <c r="AM127" s="21">
        <f>IFERROR(O127/'Ar-Pa'!O127,0)</f>
        <v>6.7351125000000005</v>
      </c>
      <c r="AN127" s="21">
        <f>IFERROR(P127/'Ar-Pa'!P127,0)</f>
        <v>6.7345749999999995</v>
      </c>
      <c r="AO127" s="21">
        <f>IFERROR(Q127/'Ar-Pa'!Q127,0)</f>
        <v>6.7317499999999999</v>
      </c>
      <c r="AP127" s="21">
        <f>IFERROR(R127/'Ar-Pa'!R127,0)</f>
        <v>6.7432625000000002</v>
      </c>
      <c r="AQ127" s="21">
        <f>IFERROR(S127/'Ar-Pa'!S127,0)</f>
        <v>6.7513750000000003</v>
      </c>
      <c r="AR127" s="21">
        <f>IFERROR(T127/'Ar-Pa'!T127,0)</f>
        <v>8.2605125000000008</v>
      </c>
      <c r="AS127" s="21">
        <f>IFERROR(U127/'Ar-Pa'!U127,0)</f>
        <v>8.5167999999999999</v>
      </c>
      <c r="AT127" s="21">
        <f>IFERROR(V127/'Ar-Pa'!V127,0)</f>
        <v>8.5427</v>
      </c>
      <c r="AU127" s="21">
        <f>IFERROR(W127/'Ar-Pa'!W127,0)</f>
        <v>7.2915749999999999</v>
      </c>
      <c r="AV127" s="21">
        <f>IFERROR(X127/'Ar-Pa'!X127,0)</f>
        <v>8.631924999999999</v>
      </c>
      <c r="AW127" s="21">
        <f>IFERROR(Y127/'Ar-Pa'!Y127,0)</f>
        <v>8.622774999999999</v>
      </c>
      <c r="AX127" s="21">
        <f t="shared" si="2"/>
        <v>175.48187499999995</v>
      </c>
    </row>
    <row r="128" spans="1:50">
      <c r="A128" s="15">
        <v>45053</v>
      </c>
      <c r="B128" s="436">
        <v>68.360600000000005</v>
      </c>
      <c r="C128" s="436">
        <v>63.617199999999997</v>
      </c>
      <c r="D128" s="436">
        <v>54.432900000000004</v>
      </c>
      <c r="E128" s="436">
        <v>54.118400000000001</v>
      </c>
      <c r="F128" s="436">
        <v>54.2014</v>
      </c>
      <c r="G128" s="436">
        <v>54.088800000000006</v>
      </c>
      <c r="H128" s="436">
        <v>53.818300000000001</v>
      </c>
      <c r="I128" s="436">
        <v>53.984999999999999</v>
      </c>
      <c r="J128" s="436">
        <v>53.931800000000003</v>
      </c>
      <c r="K128" s="436">
        <v>53.833300000000001</v>
      </c>
      <c r="L128" s="436">
        <v>53.969699999999996</v>
      </c>
      <c r="M128" s="436">
        <v>53.899300000000004</v>
      </c>
      <c r="N128" s="436">
        <v>53.898800000000001</v>
      </c>
      <c r="O128" s="436">
        <v>53.911799999999999</v>
      </c>
      <c r="P128" s="436">
        <v>53.871499999999997</v>
      </c>
      <c r="Q128" s="436">
        <v>53.923300000000005</v>
      </c>
      <c r="R128" s="436">
        <v>53.8919</v>
      </c>
      <c r="S128" s="436">
        <v>53.983199999999997</v>
      </c>
      <c r="T128" s="437">
        <v>60.6111</v>
      </c>
      <c r="U128" s="437">
        <v>66.405799999999999</v>
      </c>
      <c r="V128" s="437">
        <v>66.438399999999987</v>
      </c>
      <c r="W128" s="437">
        <v>66.099199999999996</v>
      </c>
      <c r="X128" s="436">
        <v>66.318300000000008</v>
      </c>
      <c r="Y128" s="436">
        <v>66.238199999999992</v>
      </c>
      <c r="Z128" s="21">
        <f>IFERROR(B128/'Ar-Pa'!B128,0)</f>
        <v>8.5450750000000006</v>
      </c>
      <c r="AA128" s="21">
        <f>IFERROR(C128/'Ar-Pa'!C128,0)</f>
        <v>7.9521499999999996</v>
      </c>
      <c r="AB128" s="21">
        <f>IFERROR(D128/'Ar-Pa'!D128,0)</f>
        <v>6.8041125000000005</v>
      </c>
      <c r="AC128" s="21">
        <f>IFERROR(E128/'Ar-Pa'!E128,0)</f>
        <v>6.7648000000000001</v>
      </c>
      <c r="AD128" s="21">
        <f>IFERROR(F128/'Ar-Pa'!F128,0)</f>
        <v>6.7751749999999999</v>
      </c>
      <c r="AE128" s="21">
        <f>IFERROR(G128/'Ar-Pa'!G128,0)</f>
        <v>6.7611000000000008</v>
      </c>
      <c r="AF128" s="21">
        <f>IFERROR(H128/'Ar-Pa'!H128,0)</f>
        <v>6.7272875000000001</v>
      </c>
      <c r="AG128" s="21">
        <f>IFERROR(I128/'Ar-Pa'!I128,0)</f>
        <v>7.7121428571428572</v>
      </c>
      <c r="AH128" s="21">
        <f>IFERROR(J128/'Ar-Pa'!J128,0)</f>
        <v>7.7045428571428571</v>
      </c>
      <c r="AI128" s="21">
        <f>IFERROR(K128/'Ar-Pa'!K128,0)</f>
        <v>6.7291625000000002</v>
      </c>
      <c r="AJ128" s="21">
        <f>IFERROR(L128/'Ar-Pa'!L128,0)</f>
        <v>6.7462124999999995</v>
      </c>
      <c r="AK128" s="21">
        <f>IFERROR(M128/'Ar-Pa'!M128,0)</f>
        <v>6.7374125000000005</v>
      </c>
      <c r="AL128" s="21">
        <f>IFERROR(N128/'Ar-Pa'!N128,0)</f>
        <v>6.7373500000000002</v>
      </c>
      <c r="AM128" s="21">
        <f>IFERROR(O128/'Ar-Pa'!O128,0)</f>
        <v>6.7389749999999999</v>
      </c>
      <c r="AN128" s="21">
        <f>IFERROR(P128/'Ar-Pa'!P128,0)</f>
        <v>6.7339374999999997</v>
      </c>
      <c r="AO128" s="21">
        <f>IFERROR(Q128/'Ar-Pa'!Q128,0)</f>
        <v>6.7404125000000006</v>
      </c>
      <c r="AP128" s="21">
        <f>IFERROR(R128/'Ar-Pa'!R128,0)</f>
        <v>6.7364875</v>
      </c>
      <c r="AQ128" s="21">
        <f>IFERROR(S128/'Ar-Pa'!S128,0)</f>
        <v>6.7478999999999996</v>
      </c>
      <c r="AR128" s="21">
        <f>IFERROR(T128/'Ar-Pa'!T128,0)</f>
        <v>7.5763875000000001</v>
      </c>
      <c r="AS128" s="21">
        <f>IFERROR(U128/'Ar-Pa'!U128,0)</f>
        <v>8.3007249999999999</v>
      </c>
      <c r="AT128" s="21">
        <f>IFERROR(V128/'Ar-Pa'!V128,0)</f>
        <v>8.3047999999999984</v>
      </c>
      <c r="AU128" s="21">
        <f>IFERROR(W128/'Ar-Pa'!W128,0)</f>
        <v>8.2623999999999995</v>
      </c>
      <c r="AV128" s="21">
        <f>IFERROR(X128/'Ar-Pa'!X128,0)</f>
        <v>8.289787500000001</v>
      </c>
      <c r="AW128" s="21">
        <f>IFERROR(Y128/'Ar-Pa'!Y128,0)</f>
        <v>8.279774999999999</v>
      </c>
      <c r="AX128" s="21">
        <f t="shared" si="2"/>
        <v>175.4081107142857</v>
      </c>
    </row>
    <row r="129" spans="1:50">
      <c r="A129" s="15">
        <v>45054</v>
      </c>
      <c r="B129" s="436">
        <v>66.021299999999997</v>
      </c>
      <c r="C129" s="436">
        <v>55.421699999999994</v>
      </c>
      <c r="D129" s="436">
        <v>55.232399999999998</v>
      </c>
      <c r="E129" s="436">
        <v>53.174099999999996</v>
      </c>
      <c r="F129" s="436">
        <v>53.630600000000001</v>
      </c>
      <c r="G129" s="436">
        <v>54.121000000000002</v>
      </c>
      <c r="H129" s="436">
        <v>54.662199999999999</v>
      </c>
      <c r="I129" s="436">
        <v>54.833199999999998</v>
      </c>
      <c r="J129" s="436">
        <v>53.81</v>
      </c>
      <c r="K129" s="436">
        <v>53.921599999999998</v>
      </c>
      <c r="L129" s="436">
        <v>54.054300000000005</v>
      </c>
      <c r="M129" s="436">
        <v>53.059199999999997</v>
      </c>
      <c r="N129" s="436">
        <v>57.071100000000001</v>
      </c>
      <c r="O129" s="436">
        <v>68.304400000000001</v>
      </c>
      <c r="P129" s="436">
        <v>68.39139999999999</v>
      </c>
      <c r="Q129" s="436">
        <v>68.654699999999991</v>
      </c>
      <c r="R129" s="436">
        <v>68.055899999999994</v>
      </c>
      <c r="S129" s="436">
        <v>68.046399999999991</v>
      </c>
      <c r="T129" s="437">
        <v>68.692999999999998</v>
      </c>
      <c r="U129" s="437">
        <v>68.597200000000001</v>
      </c>
      <c r="V129" s="437">
        <v>68.86</v>
      </c>
      <c r="W129" s="437">
        <v>68.99260000000001</v>
      </c>
      <c r="X129" s="436">
        <v>67.851799999999997</v>
      </c>
      <c r="Y129" s="436">
        <v>67.752399999999994</v>
      </c>
      <c r="Z129" s="21">
        <f>IFERROR(B129/'Ar-Pa'!B129,0)</f>
        <v>8.2526624999999996</v>
      </c>
      <c r="AA129" s="21">
        <f>IFERROR(C129/'Ar-Pa'!C129,0)</f>
        <v>7.9173857142857136</v>
      </c>
      <c r="AB129" s="21">
        <f>IFERROR(D129/'Ar-Pa'!D129,0)</f>
        <v>7.8903428571428567</v>
      </c>
      <c r="AC129" s="21">
        <f>IFERROR(E129/'Ar-Pa'!E129,0)</f>
        <v>6.6467624999999995</v>
      </c>
      <c r="AD129" s="21">
        <f>IFERROR(F129/'Ar-Pa'!F129,0)</f>
        <v>6.7038250000000001</v>
      </c>
      <c r="AE129" s="21">
        <f>IFERROR(G129/'Ar-Pa'!G129,0)</f>
        <v>6.7651250000000003</v>
      </c>
      <c r="AF129" s="21">
        <f>IFERROR(H129/'Ar-Pa'!H129,0)</f>
        <v>7.8088857142857142</v>
      </c>
      <c r="AG129" s="21">
        <f>IFERROR(I129/'Ar-Pa'!I129,0)</f>
        <v>7.8333142857142857</v>
      </c>
      <c r="AH129" s="21">
        <f>IFERROR(J129/'Ar-Pa'!J129,0)</f>
        <v>7.6871428571428577</v>
      </c>
      <c r="AI129" s="21">
        <f>IFERROR(K129/'Ar-Pa'!K129,0)</f>
        <v>7.7030857142857139</v>
      </c>
      <c r="AJ129" s="21">
        <f>IFERROR(L129/'Ar-Pa'!L129,0)</f>
        <v>7.7220428571428581</v>
      </c>
      <c r="AK129" s="21">
        <f>IFERROR(M129/'Ar-Pa'!M129,0)</f>
        <v>7.5798857142857141</v>
      </c>
      <c r="AL129" s="21">
        <f>IFERROR(N129/'Ar-Pa'!N129,0)</f>
        <v>8.1530142857142867</v>
      </c>
      <c r="AM129" s="21">
        <f>IFERROR(O129/'Ar-Pa'!O129,0)</f>
        <v>9.757771428571429</v>
      </c>
      <c r="AN129" s="21">
        <f>IFERROR(P129/'Ar-Pa'!P129,0)</f>
        <v>9.7701999999999991</v>
      </c>
      <c r="AO129" s="21">
        <f>IFERROR(Q129/'Ar-Pa'!Q129,0)</f>
        <v>9.8078142857142847</v>
      </c>
      <c r="AP129" s="21">
        <f>IFERROR(R129/'Ar-Pa'!R129,0)</f>
        <v>9.7222714285714282</v>
      </c>
      <c r="AQ129" s="21">
        <f>IFERROR(S129/'Ar-Pa'!S129,0)</f>
        <v>9.7209142857142847</v>
      </c>
      <c r="AR129" s="21">
        <f>IFERROR(T129/'Ar-Pa'!T129,0)</f>
        <v>9.8132857142857137</v>
      </c>
      <c r="AS129" s="21">
        <f>IFERROR(U129/'Ar-Pa'!U129,0)</f>
        <v>9.7995999999999999</v>
      </c>
      <c r="AT129" s="21">
        <f>IFERROR(V129/'Ar-Pa'!V129,0)</f>
        <v>9.8371428571428563</v>
      </c>
      <c r="AU129" s="21">
        <f>IFERROR(W129/'Ar-Pa'!W129,0)</f>
        <v>9.8560857142857152</v>
      </c>
      <c r="AV129" s="21">
        <f>IFERROR(X129/'Ar-Pa'!X129,0)</f>
        <v>9.6931142857142856</v>
      </c>
      <c r="AW129" s="21">
        <f>IFERROR(Y129/'Ar-Pa'!Y129,0)</f>
        <v>9.6789142857142849</v>
      </c>
      <c r="AX129" s="21">
        <f t="shared" si="2"/>
        <v>206.12058928571426</v>
      </c>
    </row>
    <row r="130" spans="1:50">
      <c r="A130" s="15">
        <v>45055</v>
      </c>
      <c r="B130" s="436">
        <v>64.959199999999996</v>
      </c>
      <c r="C130" s="436">
        <v>65.280599999999993</v>
      </c>
      <c r="D130" s="436">
        <v>58.7517</v>
      </c>
      <c r="E130" s="436">
        <v>65.144999999999996</v>
      </c>
      <c r="F130" s="436">
        <v>65.246300000000005</v>
      </c>
      <c r="G130" s="436">
        <v>56.521300000000004</v>
      </c>
      <c r="H130" s="436">
        <v>55.309699999999999</v>
      </c>
      <c r="I130" s="436">
        <v>54.223599999999998</v>
      </c>
      <c r="J130" s="436">
        <v>53.050599999999996</v>
      </c>
      <c r="K130" s="436">
        <v>52.995800000000003</v>
      </c>
      <c r="L130" s="436">
        <v>53.257400000000004</v>
      </c>
      <c r="M130" s="436">
        <v>64.329800000000006</v>
      </c>
      <c r="N130" s="436">
        <v>66.308999999999997</v>
      </c>
      <c r="O130" s="436">
        <v>67.8</v>
      </c>
      <c r="P130" s="436">
        <v>67.838300000000004</v>
      </c>
      <c r="Q130" s="436">
        <v>67.492500000000007</v>
      </c>
      <c r="R130" s="436">
        <v>67.622899999999987</v>
      </c>
      <c r="S130" s="436">
        <v>68.168600000000012</v>
      </c>
      <c r="T130" s="437">
        <v>67.610100000000003</v>
      </c>
      <c r="U130" s="437">
        <v>68.502200000000002</v>
      </c>
      <c r="V130" s="437">
        <v>68.517499999999998</v>
      </c>
      <c r="W130" s="437">
        <v>68.546800000000005</v>
      </c>
      <c r="X130" s="436">
        <v>69.309899999999999</v>
      </c>
      <c r="Y130" s="436">
        <v>69.340100000000007</v>
      </c>
      <c r="Z130" s="21">
        <f>IFERROR(B130/'Ar-Pa'!B130,0)</f>
        <v>9.2798857142857134</v>
      </c>
      <c r="AA130" s="21">
        <f>IFERROR(C130/'Ar-Pa'!C130,0)</f>
        <v>9.3257999999999992</v>
      </c>
      <c r="AB130" s="21">
        <f>IFERROR(D130/'Ar-Pa'!D130,0)</f>
        <v>8.3931000000000004</v>
      </c>
      <c r="AC130" s="21">
        <f>IFERROR(E130/'Ar-Pa'!E130,0)</f>
        <v>9.3064285714285706</v>
      </c>
      <c r="AD130" s="21">
        <f>IFERROR(F130/'Ar-Pa'!F130,0)</f>
        <v>9.3209</v>
      </c>
      <c r="AE130" s="21">
        <f>IFERROR(G130/'Ar-Pa'!G130,0)</f>
        <v>8.0744714285714299</v>
      </c>
      <c r="AF130" s="21">
        <f>IFERROR(H130/'Ar-Pa'!H130,0)</f>
        <v>7.9013857142857145</v>
      </c>
      <c r="AG130" s="21">
        <f>IFERROR(I130/'Ar-Pa'!I130,0)</f>
        <v>7.7462285714285715</v>
      </c>
      <c r="AH130" s="21">
        <f>IFERROR(J130/'Ar-Pa'!J130,0)</f>
        <v>8.8417666666666666</v>
      </c>
      <c r="AI130" s="21">
        <f>IFERROR(K130/'Ar-Pa'!K130,0)</f>
        <v>8.8326333333333338</v>
      </c>
      <c r="AJ130" s="21">
        <f>IFERROR(L130/'Ar-Pa'!L130,0)</f>
        <v>8.8762333333333334</v>
      </c>
      <c r="AK130" s="21">
        <f>IFERROR(M130/'Ar-Pa'!M130,0)</f>
        <v>9.1899714285714289</v>
      </c>
      <c r="AL130" s="21">
        <f>IFERROR(N130/'Ar-Pa'!N130,0)</f>
        <v>9.4727142857142859</v>
      </c>
      <c r="AM130" s="21">
        <f>IFERROR(O130/'Ar-Pa'!O130,0)</f>
        <v>9.6857142857142851</v>
      </c>
      <c r="AN130" s="21">
        <f>IFERROR(P130/'Ar-Pa'!P130,0)</f>
        <v>9.6911857142857141</v>
      </c>
      <c r="AO130" s="21">
        <f>IFERROR(Q130/'Ar-Pa'!Q130,0)</f>
        <v>9.6417857142857155</v>
      </c>
      <c r="AP130" s="21">
        <f>IFERROR(R130/'Ar-Pa'!R130,0)</f>
        <v>9.6604142857142836</v>
      </c>
      <c r="AQ130" s="21">
        <f>IFERROR(S130/'Ar-Pa'!S130,0)</f>
        <v>9.7383714285714298</v>
      </c>
      <c r="AR130" s="21">
        <f>IFERROR(T130/'Ar-Pa'!T130,0)</f>
        <v>8.4512625000000003</v>
      </c>
      <c r="AS130" s="21">
        <f>IFERROR(U130/'Ar-Pa'!U130,0)</f>
        <v>9.786028571428572</v>
      </c>
      <c r="AT130" s="21">
        <f>IFERROR(V130/'Ar-Pa'!V130,0)</f>
        <v>9.788214285714286</v>
      </c>
      <c r="AU130" s="21">
        <f>IFERROR(W130/'Ar-Pa'!W130,0)</f>
        <v>9.7924000000000007</v>
      </c>
      <c r="AV130" s="21">
        <f>IFERROR(X130/'Ar-Pa'!X130,0)</f>
        <v>9.9014142857142851</v>
      </c>
      <c r="AW130" s="21">
        <f>IFERROR(Y130/'Ar-Pa'!Y130,0)</f>
        <v>9.9057285714285719</v>
      </c>
      <c r="AX130" s="21">
        <f t="shared" si="2"/>
        <v>220.60403869047619</v>
      </c>
    </row>
    <row r="131" spans="1:50">
      <c r="A131" s="15">
        <v>45056</v>
      </c>
      <c r="B131" s="436">
        <v>68.851100000000002</v>
      </c>
      <c r="C131" s="436">
        <v>68.93719999999999</v>
      </c>
      <c r="D131" s="436">
        <v>68.339500000000001</v>
      </c>
      <c r="E131" s="436">
        <v>55.686999999999998</v>
      </c>
      <c r="F131" s="436">
        <v>54.881800000000005</v>
      </c>
      <c r="G131" s="436">
        <v>54.301600000000001</v>
      </c>
      <c r="H131" s="436">
        <v>54.796300000000002</v>
      </c>
      <c r="I131" s="436">
        <v>54.86</v>
      </c>
      <c r="J131" s="436">
        <v>55.018800000000006</v>
      </c>
      <c r="K131" s="436">
        <v>54.821100000000001</v>
      </c>
      <c r="L131" s="436">
        <v>54.461199999999998</v>
      </c>
      <c r="M131" s="436">
        <v>54.622999999999998</v>
      </c>
      <c r="N131" s="436">
        <v>53.852400000000003</v>
      </c>
      <c r="O131" s="436">
        <v>68.706199999999995</v>
      </c>
      <c r="P131" s="436">
        <v>68.931100000000001</v>
      </c>
      <c r="Q131" s="436">
        <v>68.247100000000003</v>
      </c>
      <c r="R131" s="436">
        <v>69.148099999999999</v>
      </c>
      <c r="S131" s="436">
        <v>68.551500000000004</v>
      </c>
      <c r="T131" s="437">
        <v>69.032300000000006</v>
      </c>
      <c r="U131" s="437">
        <v>68.912999999999997</v>
      </c>
      <c r="V131" s="437">
        <v>69.3035</v>
      </c>
      <c r="W131" s="437">
        <v>70.00139999999999</v>
      </c>
      <c r="X131" s="436">
        <v>69.978700000000003</v>
      </c>
      <c r="Y131" s="436">
        <v>69.9602</v>
      </c>
      <c r="Z131" s="21">
        <f>IFERROR(B131/'Ar-Pa'!B131,0)</f>
        <v>8.6063875000000003</v>
      </c>
      <c r="AA131" s="21">
        <f>IFERROR(C131/'Ar-Pa'!C131,0)</f>
        <v>8.6171499999999988</v>
      </c>
      <c r="AB131" s="21">
        <f>IFERROR(D131/'Ar-Pa'!D131,0)</f>
        <v>8.5424375000000001</v>
      </c>
      <c r="AC131" s="21">
        <f>IFERROR(E131/'Ar-Pa'!E131,0)</f>
        <v>6.9608749999999997</v>
      </c>
      <c r="AD131" s="21">
        <f>IFERROR(F131/'Ar-Pa'!F131,0)</f>
        <v>6.8602250000000007</v>
      </c>
      <c r="AE131" s="21">
        <f>IFERROR(G131/'Ar-Pa'!G131,0)</f>
        <v>6.7877000000000001</v>
      </c>
      <c r="AF131" s="21">
        <f>IFERROR(H131/'Ar-Pa'!H131,0)</f>
        <v>7.8280428571428571</v>
      </c>
      <c r="AG131" s="21">
        <f>IFERROR(I131/'Ar-Pa'!I131,0)</f>
        <v>7.8371428571428572</v>
      </c>
      <c r="AH131" s="21">
        <f>IFERROR(J131/'Ar-Pa'!J131,0)</f>
        <v>6.8773500000000007</v>
      </c>
      <c r="AI131" s="21">
        <f>IFERROR(K131/'Ar-Pa'!K131,0)</f>
        <v>6.8526375000000002</v>
      </c>
      <c r="AJ131" s="21">
        <f>IFERROR(L131/'Ar-Pa'!L131,0)</f>
        <v>6.8076499999999998</v>
      </c>
      <c r="AK131" s="21">
        <f>IFERROR(M131/'Ar-Pa'!M131,0)</f>
        <v>6.8278749999999997</v>
      </c>
      <c r="AL131" s="21">
        <f>IFERROR(N131/'Ar-Pa'!N131,0)</f>
        <v>6.7315500000000004</v>
      </c>
      <c r="AM131" s="21">
        <f>IFERROR(O131/'Ar-Pa'!O131,0)</f>
        <v>8.5882749999999994</v>
      </c>
      <c r="AN131" s="21">
        <f>IFERROR(P131/'Ar-Pa'!P131,0)</f>
        <v>8.6163875000000001</v>
      </c>
      <c r="AO131" s="21">
        <f>IFERROR(Q131/'Ar-Pa'!Q131,0)</f>
        <v>8.5308875000000004</v>
      </c>
      <c r="AP131" s="21">
        <f>IFERROR(R131/'Ar-Pa'!R131,0)</f>
        <v>8.6435124999999999</v>
      </c>
      <c r="AQ131" s="21">
        <f>IFERROR(S131/'Ar-Pa'!S131,0)</f>
        <v>8.5689375000000005</v>
      </c>
      <c r="AR131" s="21">
        <f>IFERROR(T131/'Ar-Pa'!T131,0)</f>
        <v>8.6290375000000008</v>
      </c>
      <c r="AS131" s="21">
        <f>IFERROR(U131/'Ar-Pa'!U131,0)</f>
        <v>8.6141249999999996</v>
      </c>
      <c r="AT131" s="21">
        <f>IFERROR(V131/'Ar-Pa'!V131,0)</f>
        <v>8.6629375</v>
      </c>
      <c r="AU131" s="21">
        <f>IFERROR(W131/'Ar-Pa'!W131,0)</f>
        <v>8.7501749999999987</v>
      </c>
      <c r="AV131" s="21">
        <f>IFERROR(X131/'Ar-Pa'!X131,0)</f>
        <v>8.7473375000000004</v>
      </c>
      <c r="AW131" s="21">
        <f>IFERROR(Y131/'Ar-Pa'!Y131,0)</f>
        <v>8.745025</v>
      </c>
      <c r="AX131" s="21">
        <f t="shared" si="2"/>
        <v>191.23366071428575</v>
      </c>
    </row>
    <row r="132" spans="1:50">
      <c r="A132" s="15">
        <v>45057</v>
      </c>
      <c r="B132" s="436">
        <v>69.392699999999991</v>
      </c>
      <c r="C132" s="436">
        <v>70.011899999999997</v>
      </c>
      <c r="D132" s="436">
        <v>69.813100000000006</v>
      </c>
      <c r="E132" s="436">
        <v>69.93589999999999</v>
      </c>
      <c r="F132" s="436">
        <v>55.237199999999994</v>
      </c>
      <c r="G132" s="436">
        <v>54.471400000000003</v>
      </c>
      <c r="H132" s="436">
        <v>54.64</v>
      </c>
      <c r="I132" s="436">
        <v>54.555099999999996</v>
      </c>
      <c r="J132" s="436">
        <v>54.544800000000002</v>
      </c>
      <c r="K132" s="436">
        <v>54.276000000000003</v>
      </c>
      <c r="L132" s="436">
        <v>54.234099999999998</v>
      </c>
      <c r="M132" s="436">
        <v>69.026899999999998</v>
      </c>
      <c r="N132" s="436">
        <v>69.9709</v>
      </c>
      <c r="O132" s="436">
        <v>69.769000000000005</v>
      </c>
      <c r="P132" s="436">
        <v>70.004800000000003</v>
      </c>
      <c r="Q132" s="436">
        <v>69.767800000000008</v>
      </c>
      <c r="R132" s="436">
        <v>69.908199999999994</v>
      </c>
      <c r="S132" s="436">
        <v>69.338300000000004</v>
      </c>
      <c r="T132" s="437">
        <v>69.298600000000008</v>
      </c>
      <c r="U132" s="437">
        <v>68.778199999999998</v>
      </c>
      <c r="V132" s="437">
        <v>64.549599999999998</v>
      </c>
      <c r="W132" s="437">
        <v>64.008200000000002</v>
      </c>
      <c r="X132" s="436">
        <v>68.85260000000001</v>
      </c>
      <c r="Y132" s="436">
        <v>68.2239</v>
      </c>
      <c r="Z132" s="21">
        <f>IFERROR(B132/'Ar-Pa'!B132,0)</f>
        <v>8.6740874999999988</v>
      </c>
      <c r="AA132" s="21">
        <f>IFERROR(C132/'Ar-Pa'!C132,0)</f>
        <v>10.0017</v>
      </c>
      <c r="AB132" s="21">
        <f>IFERROR(D132/'Ar-Pa'!D132,0)</f>
        <v>9.9733000000000001</v>
      </c>
      <c r="AC132" s="21">
        <f>IFERROR(E132/'Ar-Pa'!E132,0)</f>
        <v>8.7419874999999987</v>
      </c>
      <c r="AD132" s="21">
        <f>IFERROR(F132/'Ar-Pa'!F132,0)</f>
        <v>6.9046499999999993</v>
      </c>
      <c r="AE132" s="21">
        <f>IFERROR(G132/'Ar-Pa'!G132,0)</f>
        <v>6.8089250000000003</v>
      </c>
      <c r="AF132" s="21">
        <f>IFERROR(H132/'Ar-Pa'!H132,0)</f>
        <v>7.805714285714286</v>
      </c>
      <c r="AG132" s="21">
        <f>IFERROR(I132/'Ar-Pa'!I132,0)</f>
        <v>7.7935857142857135</v>
      </c>
      <c r="AH132" s="21">
        <f>IFERROR(J132/'Ar-Pa'!J132,0)</f>
        <v>6.8181000000000003</v>
      </c>
      <c r="AI132" s="21">
        <f>IFERROR(K132/'Ar-Pa'!K132,0)</f>
        <v>6.7845000000000004</v>
      </c>
      <c r="AJ132" s="21">
        <f>IFERROR(L132/'Ar-Pa'!L132,0)</f>
        <v>6.7792624999999997</v>
      </c>
      <c r="AK132" s="21">
        <f>IFERROR(M132/'Ar-Pa'!M132,0)</f>
        <v>8.6283624999999997</v>
      </c>
      <c r="AL132" s="21">
        <f>IFERROR(N132/'Ar-Pa'!N132,0)</f>
        <v>8.7463625</v>
      </c>
      <c r="AM132" s="21">
        <f>IFERROR(O132/'Ar-Pa'!O132,0)</f>
        <v>8.7211250000000007</v>
      </c>
      <c r="AN132" s="21">
        <f>IFERROR(P132/'Ar-Pa'!P132,0)</f>
        <v>8.7506000000000004</v>
      </c>
      <c r="AO132" s="21">
        <f>IFERROR(Q132/'Ar-Pa'!Q132,0)</f>
        <v>8.720975000000001</v>
      </c>
      <c r="AP132" s="21">
        <f>IFERROR(R132/'Ar-Pa'!R132,0)</f>
        <v>8.7385249999999992</v>
      </c>
      <c r="AQ132" s="21">
        <f>IFERROR(S132/'Ar-Pa'!S132,0)</f>
        <v>8.6672875000000005</v>
      </c>
      <c r="AR132" s="21">
        <f>IFERROR(T132/'Ar-Pa'!T132,0)</f>
        <v>8.6623250000000009</v>
      </c>
      <c r="AS132" s="21">
        <f>IFERROR(U132/'Ar-Pa'!U132,0)</f>
        <v>8.5972749999999998</v>
      </c>
      <c r="AT132" s="21">
        <f>IFERROR(V132/'Ar-Pa'!V132,0)</f>
        <v>8.0686999999999998</v>
      </c>
      <c r="AU132" s="21">
        <f>IFERROR(W132/'Ar-Pa'!W132,0)</f>
        <v>8.0010250000000003</v>
      </c>
      <c r="AV132" s="21">
        <f>IFERROR(X132/'Ar-Pa'!X132,0)</f>
        <v>8.6065750000000012</v>
      </c>
      <c r="AW132" s="21">
        <f>IFERROR(Y132/'Ar-Pa'!Y132,0)</f>
        <v>8.5279875000000001</v>
      </c>
      <c r="AX132" s="21">
        <f t="shared" si="2"/>
        <v>198.52293750000001</v>
      </c>
    </row>
    <row r="133" spans="1:50">
      <c r="A133" s="15">
        <v>45058</v>
      </c>
      <c r="B133" s="436">
        <v>69.407499999999999</v>
      </c>
      <c r="C133" s="436">
        <v>70.501999999999995</v>
      </c>
      <c r="D133" s="436">
        <v>70.344100000000012</v>
      </c>
      <c r="E133" s="436">
        <v>66.409700000000001</v>
      </c>
      <c r="F133" s="436">
        <v>55.0199</v>
      </c>
      <c r="G133" s="436">
        <v>54.7639</v>
      </c>
      <c r="H133" s="436">
        <v>54.849800000000002</v>
      </c>
      <c r="I133" s="436">
        <v>53.418500000000002</v>
      </c>
      <c r="J133" s="436">
        <v>53.693199999999997</v>
      </c>
      <c r="K133" s="436">
        <v>58.483800000000002</v>
      </c>
      <c r="L133" s="436">
        <v>69.184699999999992</v>
      </c>
      <c r="M133" s="436">
        <v>69.164899999999989</v>
      </c>
      <c r="N133" s="436">
        <v>69.226900000000001</v>
      </c>
      <c r="O133" s="436">
        <v>69.777100000000004</v>
      </c>
      <c r="P133" s="436">
        <v>69.624399999999994</v>
      </c>
      <c r="Q133" s="436">
        <v>69.692999999999998</v>
      </c>
      <c r="R133" s="436">
        <v>69.398200000000003</v>
      </c>
      <c r="S133" s="436">
        <v>69.503299999999996</v>
      </c>
      <c r="T133" s="437">
        <v>69.522300000000001</v>
      </c>
      <c r="U133" s="437">
        <v>68.826999999999998</v>
      </c>
      <c r="V133" s="437">
        <v>69.117899999999992</v>
      </c>
      <c r="W133" s="437">
        <v>68.450800000000001</v>
      </c>
      <c r="X133" s="436">
        <v>68.823399999999992</v>
      </c>
      <c r="Y133" s="436">
        <v>68.227899999999991</v>
      </c>
      <c r="Z133" s="21">
        <f>IFERROR(B133/'Ar-Pa'!B133,0)</f>
        <v>9.9153571428571432</v>
      </c>
      <c r="AA133" s="21">
        <f>IFERROR(C133/'Ar-Pa'!C133,0)</f>
        <v>10.071714285714284</v>
      </c>
      <c r="AB133" s="21">
        <f>IFERROR(D133/'Ar-Pa'!D133,0)</f>
        <v>10.049157142857144</v>
      </c>
      <c r="AC133" s="21">
        <f>IFERROR(E133/'Ar-Pa'!E133,0)</f>
        <v>9.4870999999999999</v>
      </c>
      <c r="AD133" s="21">
        <f>IFERROR(F133/'Ar-Pa'!F133,0)</f>
        <v>7.8599857142857141</v>
      </c>
      <c r="AE133" s="21">
        <f>IFERROR(G133/'Ar-Pa'!G133,0)</f>
        <v>7.8234142857142857</v>
      </c>
      <c r="AF133" s="21">
        <f>IFERROR(H133/'Ar-Pa'!H133,0)</f>
        <v>7.8356857142857148</v>
      </c>
      <c r="AG133" s="21">
        <f>IFERROR(I133/'Ar-Pa'!I133,0)</f>
        <v>6.6773125000000002</v>
      </c>
      <c r="AH133" s="21">
        <f>IFERROR(J133/'Ar-Pa'!J133,0)</f>
        <v>6.7116499999999997</v>
      </c>
      <c r="AI133" s="21">
        <f>IFERROR(K133/'Ar-Pa'!K133,0)</f>
        <v>7.3104750000000003</v>
      </c>
      <c r="AJ133" s="21">
        <f>IFERROR(L133/'Ar-Pa'!L133,0)</f>
        <v>8.648087499999999</v>
      </c>
      <c r="AK133" s="21">
        <f>IFERROR(M133/'Ar-Pa'!M133,0)</f>
        <v>8.6456124999999986</v>
      </c>
      <c r="AL133" s="21">
        <f>IFERROR(N133/'Ar-Pa'!N133,0)</f>
        <v>8.6533625000000001</v>
      </c>
      <c r="AM133" s="21">
        <f>IFERROR(O133/'Ar-Pa'!O133,0)</f>
        <v>8.7221375000000005</v>
      </c>
      <c r="AN133" s="21">
        <f>IFERROR(P133/'Ar-Pa'!P133,0)</f>
        <v>8.7030499999999993</v>
      </c>
      <c r="AO133" s="21">
        <f>IFERROR(Q133/'Ar-Pa'!Q133,0)</f>
        <v>8.7116249999999997</v>
      </c>
      <c r="AP133" s="21">
        <f>IFERROR(R133/'Ar-Pa'!R133,0)</f>
        <v>8.6747750000000003</v>
      </c>
      <c r="AQ133" s="21">
        <f>IFERROR(S133/'Ar-Pa'!S133,0)</f>
        <v>8.6879124999999995</v>
      </c>
      <c r="AR133" s="21">
        <f>IFERROR(T133/'Ar-Pa'!T133,0)</f>
        <v>8.6902875000000002</v>
      </c>
      <c r="AS133" s="21">
        <f>IFERROR(U133/'Ar-Pa'!U133,0)</f>
        <v>8.6033749999999998</v>
      </c>
      <c r="AT133" s="21">
        <f>IFERROR(V133/'Ar-Pa'!V133,0)</f>
        <v>8.639737499999999</v>
      </c>
      <c r="AU133" s="21">
        <f>IFERROR(W133/'Ar-Pa'!W133,0)</f>
        <v>8.5563500000000001</v>
      </c>
      <c r="AV133" s="21">
        <f>IFERROR(X133/'Ar-Pa'!X133,0)</f>
        <v>8.602924999999999</v>
      </c>
      <c r="AW133" s="21">
        <f>IFERROR(Y133/'Ar-Pa'!Y133,0)</f>
        <v>8.5284874999999989</v>
      </c>
      <c r="AX133" s="21">
        <f t="shared" si="2"/>
        <v>204.80957678571434</v>
      </c>
    </row>
    <row r="134" spans="1:50">
      <c r="A134" s="15">
        <v>45059</v>
      </c>
      <c r="B134" s="436">
        <v>65.795299999999997</v>
      </c>
      <c r="C134" s="436">
        <v>68.183700000000002</v>
      </c>
      <c r="D134" s="436">
        <v>68.365800000000007</v>
      </c>
      <c r="E134" s="436">
        <v>68.23960000000001</v>
      </c>
      <c r="F134" s="436">
        <v>63.730199999999996</v>
      </c>
      <c r="G134" s="436">
        <v>68.695700000000002</v>
      </c>
      <c r="H134" s="436">
        <v>64.496400000000008</v>
      </c>
      <c r="I134" s="436">
        <v>54.660899999999998</v>
      </c>
      <c r="J134" s="436">
        <v>54.402900000000002</v>
      </c>
      <c r="K134" s="436">
        <v>54.142900000000004</v>
      </c>
      <c r="L134" s="436">
        <v>54.259599999999999</v>
      </c>
      <c r="M134" s="436">
        <v>18.514400000000002</v>
      </c>
      <c r="N134" s="436">
        <v>3.5880000000000001</v>
      </c>
      <c r="O134" s="436">
        <v>53.008300000000006</v>
      </c>
      <c r="P134" s="436">
        <v>54.1907</v>
      </c>
      <c r="Q134" s="436">
        <v>54.249000000000002</v>
      </c>
      <c r="R134" s="436">
        <v>54.0458</v>
      </c>
      <c r="S134" s="436">
        <v>54.265000000000001</v>
      </c>
      <c r="T134" s="437">
        <v>67.7239</v>
      </c>
      <c r="U134" s="437">
        <v>68.729799999999997</v>
      </c>
      <c r="V134" s="437">
        <v>68.722300000000004</v>
      </c>
      <c r="W134" s="437">
        <v>68.424199999999999</v>
      </c>
      <c r="X134" s="436">
        <v>65.886899999999997</v>
      </c>
      <c r="Y134" s="436">
        <v>65.672399999999996</v>
      </c>
      <c r="Z134" s="21">
        <f>IFERROR(B134/'Ar-Pa'!B134,0)</f>
        <v>8.2244124999999997</v>
      </c>
      <c r="AA134" s="21">
        <f>IFERROR(C134/'Ar-Pa'!C134,0)</f>
        <v>8.5229625000000002</v>
      </c>
      <c r="AB134" s="21">
        <f>IFERROR(D134/'Ar-Pa'!D134,0)</f>
        <v>8.5457250000000009</v>
      </c>
      <c r="AC134" s="21">
        <f>IFERROR(E134/'Ar-Pa'!E134,0)</f>
        <v>8.5299500000000013</v>
      </c>
      <c r="AD134" s="21">
        <f>IFERROR(F134/'Ar-Pa'!F134,0)</f>
        <v>7.9662749999999996</v>
      </c>
      <c r="AE134" s="21">
        <f>IFERROR(G134/'Ar-Pa'!G134,0)</f>
        <v>8.5869625000000003</v>
      </c>
      <c r="AF134" s="21">
        <f>IFERROR(H134/'Ar-Pa'!H134,0)</f>
        <v>8.062050000000001</v>
      </c>
      <c r="AG134" s="21">
        <f>IFERROR(I134/'Ar-Pa'!I134,0)</f>
        <v>6.8326124999999998</v>
      </c>
      <c r="AH134" s="21">
        <f>IFERROR(J134/'Ar-Pa'!J134,0)</f>
        <v>6.8003625000000003</v>
      </c>
      <c r="AI134" s="21">
        <f>IFERROR(K134/'Ar-Pa'!K134,0)</f>
        <v>6.7678625000000006</v>
      </c>
      <c r="AJ134" s="21">
        <f>IFERROR(L134/'Ar-Pa'!L134,0)</f>
        <v>6.7824499999999999</v>
      </c>
      <c r="AK134" s="21">
        <f>IFERROR(M134/'Ar-Pa'!M134,0)</f>
        <v>2.3143000000000002</v>
      </c>
      <c r="AL134" s="21">
        <f>IFERROR(N134/'Ar-Pa'!N134,0)</f>
        <v>0.44850000000000001</v>
      </c>
      <c r="AM134" s="21">
        <f>IFERROR(O134/'Ar-Pa'!O134,0)</f>
        <v>6.6260375000000007</v>
      </c>
      <c r="AN134" s="21">
        <f>IFERROR(P134/'Ar-Pa'!P134,0)</f>
        <v>6.7738375</v>
      </c>
      <c r="AO134" s="21">
        <f>IFERROR(Q134/'Ar-Pa'!Q134,0)</f>
        <v>6.7811250000000003</v>
      </c>
      <c r="AP134" s="21">
        <f>IFERROR(R134/'Ar-Pa'!R134,0)</f>
        <v>6.755725</v>
      </c>
      <c r="AQ134" s="21">
        <f>IFERROR(S134/'Ar-Pa'!S134,0)</f>
        <v>6.7831250000000001</v>
      </c>
      <c r="AR134" s="21">
        <f>IFERROR(T134/'Ar-Pa'!T134,0)</f>
        <v>8.4654875000000001</v>
      </c>
      <c r="AS134" s="21">
        <f>IFERROR(U134/'Ar-Pa'!U134,0)</f>
        <v>8.5912249999999997</v>
      </c>
      <c r="AT134" s="21">
        <f>IFERROR(V134/'Ar-Pa'!V134,0)</f>
        <v>8.5902875000000005</v>
      </c>
      <c r="AU134" s="21">
        <f>IFERROR(W134/'Ar-Pa'!W134,0)</f>
        <v>8.5530249999999999</v>
      </c>
      <c r="AV134" s="21">
        <f>IFERROR(X134/'Ar-Pa'!X134,0)</f>
        <v>8.2358624999999996</v>
      </c>
      <c r="AW134" s="21">
        <f>IFERROR(Y134/'Ar-Pa'!Y134,0)</f>
        <v>8.2090499999999995</v>
      </c>
      <c r="AX134" s="21">
        <f t="shared" si="2"/>
        <v>172.74921249999997</v>
      </c>
    </row>
    <row r="135" spans="1:50">
      <c r="A135" s="15">
        <v>45060</v>
      </c>
      <c r="B135" s="436">
        <v>66.226600000000005</v>
      </c>
      <c r="C135" s="436">
        <v>59.687899999999999</v>
      </c>
      <c r="D135" s="436">
        <v>54.286199999999994</v>
      </c>
      <c r="E135" s="436">
        <v>54.304600000000001</v>
      </c>
      <c r="F135" s="436">
        <v>54.351199999999999</v>
      </c>
      <c r="G135" s="436">
        <v>54.337900000000005</v>
      </c>
      <c r="H135" s="436">
        <v>54.436300000000003</v>
      </c>
      <c r="I135" s="436">
        <v>54.413699999999999</v>
      </c>
      <c r="J135" s="436">
        <v>54.381399999999999</v>
      </c>
      <c r="K135" s="436">
        <v>53.518099999999997</v>
      </c>
      <c r="L135" s="436">
        <v>53.419199999999996</v>
      </c>
      <c r="M135" s="436">
        <v>53.8551</v>
      </c>
      <c r="N135" s="436">
        <v>53.255800000000001</v>
      </c>
      <c r="O135" s="436">
        <v>54.103900000000003</v>
      </c>
      <c r="P135" s="436">
        <v>54.0989</v>
      </c>
      <c r="Q135" s="436">
        <v>54.133300000000006</v>
      </c>
      <c r="R135" s="436">
        <v>54.123699999999999</v>
      </c>
      <c r="S135" s="436">
        <v>54.2331</v>
      </c>
      <c r="T135" s="437">
        <v>53.874300000000005</v>
      </c>
      <c r="U135" s="437">
        <v>68.724600000000009</v>
      </c>
      <c r="V135" s="437">
        <v>69.010300000000001</v>
      </c>
      <c r="W135" s="437">
        <v>69.06519999999999</v>
      </c>
      <c r="X135" s="436">
        <v>68.376899999999992</v>
      </c>
      <c r="Y135" s="436">
        <v>63.426199999999994</v>
      </c>
      <c r="Z135" s="21">
        <f>IFERROR(B135/'Ar-Pa'!B135,0)</f>
        <v>9.4609428571428573</v>
      </c>
      <c r="AA135" s="21">
        <f>IFERROR(C135/'Ar-Pa'!C135,0)</f>
        <v>8.5268428571428565</v>
      </c>
      <c r="AB135" s="21">
        <f>IFERROR(D135/'Ar-Pa'!D135,0)</f>
        <v>7.7551714285714279</v>
      </c>
      <c r="AC135" s="21">
        <f>IFERROR(E135/'Ar-Pa'!E135,0)</f>
        <v>7.7578000000000005</v>
      </c>
      <c r="AD135" s="21">
        <f>IFERROR(F135/'Ar-Pa'!F135,0)</f>
        <v>7.7644571428571423</v>
      </c>
      <c r="AE135" s="21">
        <f>IFERROR(G135/'Ar-Pa'!G135,0)</f>
        <v>7.7625571428571432</v>
      </c>
      <c r="AF135" s="21">
        <f>IFERROR(H135/'Ar-Pa'!H135,0)</f>
        <v>7.7766142857142864</v>
      </c>
      <c r="AG135" s="21">
        <f>IFERROR(I135/'Ar-Pa'!I135,0)</f>
        <v>7.7733857142857143</v>
      </c>
      <c r="AH135" s="21">
        <f>IFERROR(J135/'Ar-Pa'!J135,0)</f>
        <v>7.7687714285714282</v>
      </c>
      <c r="AI135" s="21">
        <f>IFERROR(K135/'Ar-Pa'!K135,0)</f>
        <v>7.6454428571428563</v>
      </c>
      <c r="AJ135" s="21">
        <f>IFERROR(L135/'Ar-Pa'!L135,0)</f>
        <v>7.6313142857142848</v>
      </c>
      <c r="AK135" s="21">
        <f>IFERROR(M135/'Ar-Pa'!M135,0)</f>
        <v>7.6935857142857147</v>
      </c>
      <c r="AL135" s="21">
        <f>IFERROR(N135/'Ar-Pa'!N135,0)</f>
        <v>7.6079714285714291</v>
      </c>
      <c r="AM135" s="21">
        <f>IFERROR(O135/'Ar-Pa'!O135,0)</f>
        <v>7.7291285714285722</v>
      </c>
      <c r="AN135" s="21">
        <f>IFERROR(P135/'Ar-Pa'!P135,0)</f>
        <v>7.7284142857142859</v>
      </c>
      <c r="AO135" s="21">
        <f>IFERROR(Q135/'Ar-Pa'!Q135,0)</f>
        <v>7.7333285714285722</v>
      </c>
      <c r="AP135" s="21">
        <f>IFERROR(R135/'Ar-Pa'!R135,0)</f>
        <v>7.7319571428571425</v>
      </c>
      <c r="AQ135" s="21">
        <f>IFERROR(S135/'Ar-Pa'!S135,0)</f>
        <v>7.7475857142857141</v>
      </c>
      <c r="AR135" s="21">
        <f>IFERROR(T135/'Ar-Pa'!T135,0)</f>
        <v>7.6963285714285723</v>
      </c>
      <c r="AS135" s="21">
        <f>IFERROR(U135/'Ar-Pa'!U135,0)</f>
        <v>9.8178000000000019</v>
      </c>
      <c r="AT135" s="21">
        <f>IFERROR(V135/'Ar-Pa'!V135,0)</f>
        <v>9.8586142857142853</v>
      </c>
      <c r="AU135" s="21">
        <f>IFERROR(W135/'Ar-Pa'!W135,0)</f>
        <v>9.8664571428571417</v>
      </c>
      <c r="AV135" s="21">
        <f>IFERROR(X135/'Ar-Pa'!X135,0)</f>
        <v>9.768128571428571</v>
      </c>
      <c r="AW135" s="21">
        <f>IFERROR(Y135/'Ar-Pa'!Y135,0)</f>
        <v>9.060885714285714</v>
      </c>
      <c r="AX135" s="21">
        <f t="shared" si="2"/>
        <v>197.66348571428574</v>
      </c>
    </row>
    <row r="136" spans="1:50">
      <c r="A136" s="15">
        <v>45061</v>
      </c>
      <c r="B136" s="436">
        <v>54.820099999999996</v>
      </c>
      <c r="C136" s="436">
        <v>54.074800000000003</v>
      </c>
      <c r="D136" s="436">
        <v>54.234499999999997</v>
      </c>
      <c r="E136" s="436">
        <v>54.237499999999997</v>
      </c>
      <c r="F136" s="436">
        <v>54.359900000000003</v>
      </c>
      <c r="G136" s="436">
        <v>54.330300000000001</v>
      </c>
      <c r="H136" s="436">
        <v>54.248699999999999</v>
      </c>
      <c r="I136" s="436">
        <v>54.405500000000004</v>
      </c>
      <c r="J136" s="436">
        <v>54.314900000000002</v>
      </c>
      <c r="K136" s="436">
        <v>53.572699999999998</v>
      </c>
      <c r="L136" s="436">
        <v>53.980599999999995</v>
      </c>
      <c r="M136" s="436">
        <v>55.162199999999999</v>
      </c>
      <c r="N136" s="436">
        <v>52.558099999999996</v>
      </c>
      <c r="O136" s="436">
        <v>52.8307</v>
      </c>
      <c r="P136" s="436">
        <v>64.965999999999994</v>
      </c>
      <c r="Q136" s="436">
        <v>67.914299999999997</v>
      </c>
      <c r="R136" s="436">
        <v>67.368600000000001</v>
      </c>
      <c r="S136" s="436">
        <v>54.542300000000004</v>
      </c>
      <c r="T136" s="437">
        <v>66.361199999999997</v>
      </c>
      <c r="U136" s="437">
        <v>67.659100000000009</v>
      </c>
      <c r="V136" s="437">
        <v>67.971600000000009</v>
      </c>
      <c r="W136" s="437">
        <v>69.303899999999999</v>
      </c>
      <c r="X136" s="436">
        <v>68.158000000000001</v>
      </c>
      <c r="Y136" s="436">
        <v>68.014300000000006</v>
      </c>
      <c r="Z136" s="21">
        <f>IFERROR(B136/'Ar-Pa'!B136,0)</f>
        <v>7.8314428571428563</v>
      </c>
      <c r="AA136" s="21">
        <f>IFERROR(C136/'Ar-Pa'!C136,0)</f>
        <v>7.724971428571429</v>
      </c>
      <c r="AB136" s="21">
        <f>IFERROR(D136/'Ar-Pa'!D136,0)</f>
        <v>7.7477857142857136</v>
      </c>
      <c r="AC136" s="21">
        <f>IFERROR(E136/'Ar-Pa'!E136,0)</f>
        <v>7.7482142857142851</v>
      </c>
      <c r="AD136" s="21">
        <f>IFERROR(F136/'Ar-Pa'!F136,0)</f>
        <v>7.7657000000000007</v>
      </c>
      <c r="AE136" s="21">
        <f>IFERROR(G136/'Ar-Pa'!G136,0)</f>
        <v>7.7614714285714284</v>
      </c>
      <c r="AF136" s="21">
        <f>IFERROR(H136/'Ar-Pa'!H136,0)</f>
        <v>7.7498142857142858</v>
      </c>
      <c r="AG136" s="21">
        <f>IFERROR(I136/'Ar-Pa'!I136,0)</f>
        <v>7.772214285714286</v>
      </c>
      <c r="AH136" s="21">
        <f>IFERROR(J136/'Ar-Pa'!J136,0)</f>
        <v>7.759271428571429</v>
      </c>
      <c r="AI136" s="21">
        <f>IFERROR(K136/'Ar-Pa'!K136,0)</f>
        <v>7.6532428571428568</v>
      </c>
      <c r="AJ136" s="21">
        <f>IFERROR(L136/'Ar-Pa'!L136,0)</f>
        <v>7.7115142857142853</v>
      </c>
      <c r="AK136" s="21">
        <f>IFERROR(M136/'Ar-Pa'!M136,0)</f>
        <v>6.8952749999999998</v>
      </c>
      <c r="AL136" s="21">
        <f>IFERROR(N136/'Ar-Pa'!N136,0)</f>
        <v>7.5082999999999993</v>
      </c>
      <c r="AM136" s="21">
        <f>IFERROR(O136/'Ar-Pa'!O136,0)</f>
        <v>7.5472428571428569</v>
      </c>
      <c r="AN136" s="21">
        <f>IFERROR(P136/'Ar-Pa'!P136,0)</f>
        <v>9.2808571428571423</v>
      </c>
      <c r="AO136" s="21">
        <f>IFERROR(Q136/'Ar-Pa'!Q136,0)</f>
        <v>8.4892874999999997</v>
      </c>
      <c r="AP136" s="21">
        <f>IFERROR(R136/'Ar-Pa'!R136,0)</f>
        <v>8.4210750000000001</v>
      </c>
      <c r="AQ136" s="21">
        <f>IFERROR(S136/'Ar-Pa'!S136,0)</f>
        <v>6.8177875000000006</v>
      </c>
      <c r="AR136" s="21">
        <f>IFERROR(T136/'Ar-Pa'!T136,0)</f>
        <v>8.2951499999999996</v>
      </c>
      <c r="AS136" s="21">
        <f>IFERROR(U136/'Ar-Pa'!U136,0)</f>
        <v>9.6655857142857151</v>
      </c>
      <c r="AT136" s="21">
        <f>IFERROR(V136/'Ar-Pa'!V136,0)</f>
        <v>9.7102285714285728</v>
      </c>
      <c r="AU136" s="21">
        <f>IFERROR(W136/'Ar-Pa'!W136,0)</f>
        <v>8.6629874999999998</v>
      </c>
      <c r="AV136" s="21">
        <f>IFERROR(X136/'Ar-Pa'!X136,0)</f>
        <v>8.5197500000000002</v>
      </c>
      <c r="AW136" s="21">
        <f>IFERROR(Y136/'Ar-Pa'!Y136,0)</f>
        <v>9.7163285714285728</v>
      </c>
      <c r="AX136" s="21">
        <f t="shared" si="2"/>
        <v>194.75549821428569</v>
      </c>
    </row>
    <row r="137" spans="1:50">
      <c r="A137" s="15">
        <v>45062</v>
      </c>
      <c r="B137" s="436">
        <v>67.176400000000001</v>
      </c>
      <c r="C137" s="436">
        <v>56.242199999999997</v>
      </c>
      <c r="D137" s="436">
        <v>54.743099999999998</v>
      </c>
      <c r="E137" s="436">
        <v>54.601599999999998</v>
      </c>
      <c r="F137" s="436">
        <v>54.338300000000004</v>
      </c>
      <c r="G137" s="436">
        <v>52.9925</v>
      </c>
      <c r="H137" s="436">
        <v>53.162999999999997</v>
      </c>
      <c r="I137" s="436">
        <v>54.109099999999998</v>
      </c>
      <c r="J137" s="436">
        <v>63.851199999999999</v>
      </c>
      <c r="K137" s="436">
        <v>68.855999999999995</v>
      </c>
      <c r="L137" s="436">
        <v>68.704300000000003</v>
      </c>
      <c r="M137" s="436">
        <v>68.986399999999989</v>
      </c>
      <c r="N137" s="436">
        <v>68.928300000000007</v>
      </c>
      <c r="O137" s="436">
        <v>68.807899999999989</v>
      </c>
      <c r="P137" s="436">
        <v>69.018500000000003</v>
      </c>
      <c r="Q137" s="436">
        <v>68.974699999999999</v>
      </c>
      <c r="R137" s="436">
        <v>69.0291</v>
      </c>
      <c r="S137" s="436">
        <v>69.021799999999999</v>
      </c>
      <c r="T137" s="437">
        <v>68.597399999999993</v>
      </c>
      <c r="U137" s="437">
        <v>69.020099999999999</v>
      </c>
      <c r="V137" s="437">
        <v>68.949399999999997</v>
      </c>
      <c r="W137" s="437">
        <v>68.937699999999992</v>
      </c>
      <c r="X137" s="436">
        <v>68.567100000000011</v>
      </c>
      <c r="Y137" s="436">
        <v>68.889300000000006</v>
      </c>
      <c r="Z137" s="21">
        <f>IFERROR(B137/'Ar-Pa'!B137,0)</f>
        <v>9.5966285714285711</v>
      </c>
      <c r="AA137" s="21">
        <f>IFERROR(C137/'Ar-Pa'!C137,0)</f>
        <v>8.0345999999999993</v>
      </c>
      <c r="AB137" s="21">
        <f>IFERROR(D137/'Ar-Pa'!D137,0)</f>
        <v>7.820442857142857</v>
      </c>
      <c r="AC137" s="21">
        <f>IFERROR(E137/'Ar-Pa'!E137,0)</f>
        <v>7.8002285714285708</v>
      </c>
      <c r="AD137" s="21">
        <f>IFERROR(F137/'Ar-Pa'!F137,0)</f>
        <v>7.7626142857142861</v>
      </c>
      <c r="AE137" s="21">
        <f>IFERROR(G137/'Ar-Pa'!G137,0)</f>
        <v>7.5703571428571426</v>
      </c>
      <c r="AF137" s="21">
        <f>IFERROR(H137/'Ar-Pa'!H137,0)</f>
        <v>7.5947142857142849</v>
      </c>
      <c r="AG137" s="21">
        <f>IFERROR(I137/'Ar-Pa'!I137,0)</f>
        <v>7.7298714285714283</v>
      </c>
      <c r="AH137" s="21">
        <f>IFERROR(J137/'Ar-Pa'!J137,0)</f>
        <v>9.121599999999999</v>
      </c>
      <c r="AI137" s="21">
        <f>IFERROR(K137/'Ar-Pa'!K137,0)</f>
        <v>9.8365714285714283</v>
      </c>
      <c r="AJ137" s="21">
        <f>IFERROR(L137/'Ar-Pa'!L137,0)</f>
        <v>9.8148999999999997</v>
      </c>
      <c r="AK137" s="21">
        <f>IFERROR(M137/'Ar-Pa'!M137,0)</f>
        <v>9.8551999999999982</v>
      </c>
      <c r="AL137" s="21">
        <f>IFERROR(N137/'Ar-Pa'!N137,0)</f>
        <v>9.8469000000000015</v>
      </c>
      <c r="AM137" s="21">
        <f>IFERROR(O137/'Ar-Pa'!O137,0)</f>
        <v>9.829699999999999</v>
      </c>
      <c r="AN137" s="21">
        <f>IFERROR(P137/'Ar-Pa'!P137,0)</f>
        <v>9.8597857142857155</v>
      </c>
      <c r="AO137" s="21">
        <f>IFERROR(Q137/'Ar-Pa'!Q137,0)</f>
        <v>9.853528571428571</v>
      </c>
      <c r="AP137" s="21">
        <f>IFERROR(R137/'Ar-Pa'!R137,0)</f>
        <v>9.8613</v>
      </c>
      <c r="AQ137" s="21">
        <f>IFERROR(S137/'Ar-Pa'!S137,0)</f>
        <v>9.8602571428571419</v>
      </c>
      <c r="AR137" s="21">
        <f>IFERROR(T137/'Ar-Pa'!T137,0)</f>
        <v>9.7996285714285705</v>
      </c>
      <c r="AS137" s="21">
        <f>IFERROR(U137/'Ar-Pa'!U137,0)</f>
        <v>9.8600142857142856</v>
      </c>
      <c r="AT137" s="21">
        <f>IFERROR(V137/'Ar-Pa'!V137,0)</f>
        <v>9.8499142857142861</v>
      </c>
      <c r="AU137" s="21">
        <f>IFERROR(W137/'Ar-Pa'!W137,0)</f>
        <v>9.8482428571428553</v>
      </c>
      <c r="AV137" s="21">
        <f>IFERROR(X137/'Ar-Pa'!X137,0)</f>
        <v>9.795300000000001</v>
      </c>
      <c r="AW137" s="21">
        <f>IFERROR(Y137/'Ar-Pa'!Y137,0)</f>
        <v>9.8413285714285728</v>
      </c>
      <c r="AX137" s="21">
        <f t="shared" si="2"/>
        <v>220.64362857142854</v>
      </c>
    </row>
    <row r="138" spans="1:50">
      <c r="A138" s="15">
        <v>45063</v>
      </c>
      <c r="B138" s="436">
        <v>61.559100000000001</v>
      </c>
      <c r="C138" s="436">
        <v>61.197600000000001</v>
      </c>
      <c r="D138" s="436">
        <v>60.192800000000005</v>
      </c>
      <c r="E138" s="436">
        <v>68.096699999999998</v>
      </c>
      <c r="F138" s="436">
        <v>65.63669999999999</v>
      </c>
      <c r="G138" s="436">
        <v>51.663499999999999</v>
      </c>
      <c r="H138" s="436">
        <v>54.796599999999998</v>
      </c>
      <c r="I138" s="436">
        <v>54.718400000000003</v>
      </c>
      <c r="J138" s="436">
        <v>54.709499999999998</v>
      </c>
      <c r="K138" s="436">
        <v>67.596600000000009</v>
      </c>
      <c r="L138" s="436">
        <v>69.135300000000001</v>
      </c>
      <c r="M138" s="436">
        <v>69.419499999999999</v>
      </c>
      <c r="N138" s="436">
        <v>69.43910000000001</v>
      </c>
      <c r="O138" s="436">
        <v>68.968699999999998</v>
      </c>
      <c r="P138" s="436">
        <v>69.248100000000008</v>
      </c>
      <c r="Q138" s="436">
        <v>69.120999999999995</v>
      </c>
      <c r="R138" s="436">
        <v>69.153899999999993</v>
      </c>
      <c r="S138" s="436">
        <v>69.16</v>
      </c>
      <c r="T138" s="437">
        <v>69.289000000000001</v>
      </c>
      <c r="U138" s="437">
        <v>62.121600000000001</v>
      </c>
      <c r="V138" s="437">
        <v>61.249400000000001</v>
      </c>
      <c r="W138" s="437">
        <v>59.569300000000005</v>
      </c>
      <c r="X138" s="436">
        <v>66.297899999999998</v>
      </c>
      <c r="Y138" s="436">
        <v>54.2744</v>
      </c>
      <c r="Z138" s="21">
        <f>IFERROR(B138/'Ar-Pa'!B138,0)</f>
        <v>7.6948875000000001</v>
      </c>
      <c r="AA138" s="21">
        <f>IFERROR(C138/'Ar-Pa'!C138,0)</f>
        <v>8.7425142857142859</v>
      </c>
      <c r="AB138" s="21">
        <f>IFERROR(D138/'Ar-Pa'!D138,0)</f>
        <v>8.5989714285714296</v>
      </c>
      <c r="AC138" s="21">
        <f>IFERROR(E138/'Ar-Pa'!E138,0)</f>
        <v>9.7280999999999995</v>
      </c>
      <c r="AD138" s="21">
        <f>IFERROR(F138/'Ar-Pa'!F138,0)</f>
        <v>9.3766714285714272</v>
      </c>
      <c r="AE138" s="21">
        <f>IFERROR(G138/'Ar-Pa'!G138,0)</f>
        <v>7.3804999999999996</v>
      </c>
      <c r="AF138" s="21">
        <f>IFERROR(H138/'Ar-Pa'!H138,0)</f>
        <v>7.8280857142857139</v>
      </c>
      <c r="AG138" s="21">
        <f>IFERROR(I138/'Ar-Pa'!I138,0)</f>
        <v>7.8169142857142857</v>
      </c>
      <c r="AH138" s="21">
        <f>IFERROR(J138/'Ar-Pa'!J138,0)</f>
        <v>7.8156428571428567</v>
      </c>
      <c r="AI138" s="21">
        <f>IFERROR(K138/'Ar-Pa'!K138,0)</f>
        <v>9.6566571428571439</v>
      </c>
      <c r="AJ138" s="21">
        <f>IFERROR(L138/'Ar-Pa'!L138,0)</f>
        <v>9.8764714285714295</v>
      </c>
      <c r="AK138" s="21">
        <f>IFERROR(M138/'Ar-Pa'!M138,0)</f>
        <v>9.917071428571429</v>
      </c>
      <c r="AL138" s="21">
        <f>IFERROR(N138/'Ar-Pa'!N138,0)</f>
        <v>9.9198714285714296</v>
      </c>
      <c r="AM138" s="21">
        <f>IFERROR(O138/'Ar-Pa'!O138,0)</f>
        <v>9.8526714285714281</v>
      </c>
      <c r="AN138" s="21">
        <f>IFERROR(P138/'Ar-Pa'!P138,0)</f>
        <v>9.8925857142857154</v>
      </c>
      <c r="AO138" s="21">
        <f>IFERROR(Q138/'Ar-Pa'!Q138,0)</f>
        <v>9.8744285714285702</v>
      </c>
      <c r="AP138" s="21">
        <f>IFERROR(R138/'Ar-Pa'!R138,0)</f>
        <v>9.8791285714285699</v>
      </c>
      <c r="AQ138" s="21">
        <f>IFERROR(S138/'Ar-Pa'!S138,0)</f>
        <v>9.879999999999999</v>
      </c>
      <c r="AR138" s="21">
        <f>IFERROR(T138/'Ar-Pa'!T138,0)</f>
        <v>9.8984285714285711</v>
      </c>
      <c r="AS138" s="21">
        <f>IFERROR(U138/'Ar-Pa'!U138,0)</f>
        <v>7.7652000000000001</v>
      </c>
      <c r="AT138" s="21">
        <f>IFERROR(V138/'Ar-Pa'!V138,0)</f>
        <v>8.7499142857142864</v>
      </c>
      <c r="AU138" s="21">
        <f>IFERROR(W138/'Ar-Pa'!W138,0)</f>
        <v>8.5099</v>
      </c>
      <c r="AV138" s="21">
        <f>IFERROR(X138/'Ar-Pa'!X138,0)</f>
        <v>8.2872374999999998</v>
      </c>
      <c r="AW138" s="21">
        <f>IFERROR(Y138/'Ar-Pa'!Y138,0)</f>
        <v>6.7843</v>
      </c>
      <c r="AX138" s="21">
        <f t="shared" si="2"/>
        <v>213.72615357142857</v>
      </c>
    </row>
    <row r="139" spans="1:50">
      <c r="A139" s="15">
        <v>45064</v>
      </c>
      <c r="B139" s="436">
        <v>53.735300000000002</v>
      </c>
      <c r="C139" s="436">
        <v>53.039699999999996</v>
      </c>
      <c r="D139" s="436">
        <v>52.811199999999999</v>
      </c>
      <c r="E139" s="436">
        <v>54.342599999999997</v>
      </c>
      <c r="F139" s="436">
        <v>54.425699999999999</v>
      </c>
      <c r="G139" s="436">
        <v>54.436399999999999</v>
      </c>
      <c r="H139" s="436">
        <v>54.3431</v>
      </c>
      <c r="I139" s="436">
        <v>54.545300000000005</v>
      </c>
      <c r="J139" s="436">
        <v>54.258699999999997</v>
      </c>
      <c r="K139" s="436">
        <v>53.805699999999995</v>
      </c>
      <c r="L139" s="436">
        <v>53.720300000000002</v>
      </c>
      <c r="M139" s="436">
        <v>53.709099999999999</v>
      </c>
      <c r="N139" s="436">
        <v>53.704800000000006</v>
      </c>
      <c r="O139" s="436">
        <v>53.9741</v>
      </c>
      <c r="P139" s="436">
        <v>68.517600000000002</v>
      </c>
      <c r="Q139" s="436">
        <v>63.334400000000002</v>
      </c>
      <c r="R139" s="436">
        <v>68.74730000000001</v>
      </c>
      <c r="S139" s="436">
        <v>55.203099999999999</v>
      </c>
      <c r="T139" s="437">
        <v>68.354699999999994</v>
      </c>
      <c r="U139" s="437">
        <v>61.149900000000002</v>
      </c>
      <c r="V139" s="437">
        <v>60.479199999999999</v>
      </c>
      <c r="W139" s="437">
        <v>65.350800000000007</v>
      </c>
      <c r="X139" s="436">
        <v>66.816399999999987</v>
      </c>
      <c r="Y139" s="436">
        <v>66.00139999999999</v>
      </c>
      <c r="Z139" s="21">
        <f>IFERROR(B139/'Ar-Pa'!B139,0)</f>
        <v>6.7169125000000003</v>
      </c>
      <c r="AA139" s="21">
        <f>IFERROR(C139/'Ar-Pa'!C139,0)</f>
        <v>8.83995</v>
      </c>
      <c r="AB139" s="21">
        <f>IFERROR(D139/'Ar-Pa'!D139,0)</f>
        <v>7.5444571428571425</v>
      </c>
      <c r="AC139" s="21">
        <f>IFERROR(E139/'Ar-Pa'!E139,0)</f>
        <v>7.7632285714285709</v>
      </c>
      <c r="AD139" s="21">
        <f>IFERROR(F139/'Ar-Pa'!F139,0)</f>
        <v>7.7751000000000001</v>
      </c>
      <c r="AE139" s="21">
        <f>IFERROR(G139/'Ar-Pa'!G139,0)</f>
        <v>7.7766285714285717</v>
      </c>
      <c r="AF139" s="21">
        <f>IFERROR(H139/'Ar-Pa'!H139,0)</f>
        <v>7.7633000000000001</v>
      </c>
      <c r="AG139" s="21">
        <f>IFERROR(I139/'Ar-Pa'!I139,0)</f>
        <v>7.7921857142857149</v>
      </c>
      <c r="AH139" s="21">
        <f>IFERROR(J139/'Ar-Pa'!J139,0)</f>
        <v>7.7512428571428567</v>
      </c>
      <c r="AI139" s="21">
        <f>IFERROR(K139/'Ar-Pa'!K139,0)</f>
        <v>7.6865285714285703</v>
      </c>
      <c r="AJ139" s="21">
        <f>IFERROR(L139/'Ar-Pa'!L139,0)</f>
        <v>7.6743285714285721</v>
      </c>
      <c r="AK139" s="21">
        <f>IFERROR(M139/'Ar-Pa'!M139,0)</f>
        <v>7.6727285714285713</v>
      </c>
      <c r="AL139" s="21">
        <f>IFERROR(N139/'Ar-Pa'!N139,0)</f>
        <v>7.6721142857142866</v>
      </c>
      <c r="AM139" s="21">
        <f>IFERROR(O139/'Ar-Pa'!O139,0)</f>
        <v>7.7105857142857142</v>
      </c>
      <c r="AN139" s="21">
        <f>IFERROR(P139/'Ar-Pa'!P139,0)</f>
        <v>9.7882285714285722</v>
      </c>
      <c r="AO139" s="21">
        <f>IFERROR(Q139/'Ar-Pa'!Q139,0)</f>
        <v>9.0477714285714281</v>
      </c>
      <c r="AP139" s="21">
        <f>IFERROR(R139/'Ar-Pa'!R139,0)</f>
        <v>9.8210428571428583</v>
      </c>
      <c r="AQ139" s="21">
        <f>IFERROR(S139/'Ar-Pa'!S139,0)</f>
        <v>7.8861571428571429</v>
      </c>
      <c r="AR139" s="21">
        <f>IFERROR(T139/'Ar-Pa'!T139,0)</f>
        <v>9.764957142857142</v>
      </c>
      <c r="AS139" s="21">
        <f>IFERROR(U139/'Ar-Pa'!U139,0)</f>
        <v>8.7356999999999996</v>
      </c>
      <c r="AT139" s="21">
        <f>IFERROR(V139/'Ar-Pa'!V139,0)</f>
        <v>8.6398857142857146</v>
      </c>
      <c r="AU139" s="21">
        <f>IFERROR(W139/'Ar-Pa'!W139,0)</f>
        <v>8.1688500000000008</v>
      </c>
      <c r="AV139" s="21">
        <f>IFERROR(X139/'Ar-Pa'!X139,0)</f>
        <v>8.3520499999999984</v>
      </c>
      <c r="AW139" s="21">
        <f>IFERROR(Y139/'Ar-Pa'!Y139,0)</f>
        <v>9.4287714285714266</v>
      </c>
      <c r="AX139" s="21">
        <f t="shared" si="2"/>
        <v>197.77270535714285</v>
      </c>
    </row>
    <row r="140" spans="1:50">
      <c r="A140" s="15">
        <v>45065</v>
      </c>
      <c r="B140" s="436">
        <v>55.589300000000001</v>
      </c>
      <c r="C140" s="436">
        <v>53.860199999999999</v>
      </c>
      <c r="D140" s="436">
        <v>53.918099999999995</v>
      </c>
      <c r="E140" s="436">
        <v>54.122599999999998</v>
      </c>
      <c r="F140" s="436">
        <v>54.4801</v>
      </c>
      <c r="G140" s="436">
        <v>53.302699999999994</v>
      </c>
      <c r="H140" s="436">
        <v>53.699199999999998</v>
      </c>
      <c r="I140" s="436">
        <v>53.901800000000001</v>
      </c>
      <c r="J140" s="436">
        <v>53.580100000000002</v>
      </c>
      <c r="K140" s="436">
        <v>54.135400000000004</v>
      </c>
      <c r="L140" s="436">
        <v>53.673199999999994</v>
      </c>
      <c r="M140" s="436">
        <v>53.366900000000001</v>
      </c>
      <c r="N140" s="436">
        <v>53.566800000000001</v>
      </c>
      <c r="O140" s="436">
        <v>53.842400000000005</v>
      </c>
      <c r="P140" s="436">
        <v>53.5764</v>
      </c>
      <c r="Q140" s="436">
        <v>53.820599999999999</v>
      </c>
      <c r="R140" s="436">
        <v>53.295999999999999</v>
      </c>
      <c r="S140" s="436">
        <v>53.531099999999995</v>
      </c>
      <c r="T140" s="437">
        <v>56.139800000000001</v>
      </c>
      <c r="U140" s="437">
        <v>62.197800000000001</v>
      </c>
      <c r="V140" s="437">
        <v>63.629400000000004</v>
      </c>
      <c r="W140" s="437">
        <v>56.9268</v>
      </c>
      <c r="X140" s="436">
        <v>68.088999999999999</v>
      </c>
      <c r="Y140" s="436">
        <v>67.869100000000003</v>
      </c>
      <c r="Z140" s="21">
        <f>IFERROR(B140/'Ar-Pa'!B140,0)</f>
        <v>7.9413285714285715</v>
      </c>
      <c r="AA140" s="21">
        <f>IFERROR(C140/'Ar-Pa'!C140,0)</f>
        <v>7.6943142857142854</v>
      </c>
      <c r="AB140" s="21">
        <f>IFERROR(D140/'Ar-Pa'!D140,0)</f>
        <v>7.7025857142857133</v>
      </c>
      <c r="AC140" s="21">
        <f>IFERROR(E140/'Ar-Pa'!E140,0)</f>
        <v>6.7653249999999998</v>
      </c>
      <c r="AD140" s="21">
        <f>IFERROR(F140/'Ar-Pa'!F140,0)</f>
        <v>6.8100125</v>
      </c>
      <c r="AE140" s="21">
        <f>IFERROR(G140/'Ar-Pa'!G140,0)</f>
        <v>6.6628374999999993</v>
      </c>
      <c r="AF140" s="21">
        <f>IFERROR(H140/'Ar-Pa'!H140,0)</f>
        <v>6.7123999999999997</v>
      </c>
      <c r="AG140" s="21">
        <f>IFERROR(I140/'Ar-Pa'!I140,0)</f>
        <v>6.7377250000000002</v>
      </c>
      <c r="AH140" s="21">
        <f>IFERROR(J140/'Ar-Pa'!J140,0)</f>
        <v>6.6975125000000002</v>
      </c>
      <c r="AI140" s="21">
        <f>IFERROR(K140/'Ar-Pa'!K140,0)</f>
        <v>6.7669250000000005</v>
      </c>
      <c r="AJ140" s="21">
        <f>IFERROR(L140/'Ar-Pa'!L140,0)</f>
        <v>6.7091499999999993</v>
      </c>
      <c r="AK140" s="21">
        <f>IFERROR(M140/'Ar-Pa'!M140,0)</f>
        <v>6.6708625000000001</v>
      </c>
      <c r="AL140" s="21">
        <f>IFERROR(N140/'Ar-Pa'!N140,0)</f>
        <v>6.6958500000000001</v>
      </c>
      <c r="AM140" s="21">
        <f>IFERROR(O140/'Ar-Pa'!O140,0)</f>
        <v>6.7303000000000006</v>
      </c>
      <c r="AN140" s="21">
        <f>IFERROR(P140/'Ar-Pa'!P140,0)</f>
        <v>6.6970499999999999</v>
      </c>
      <c r="AO140" s="21">
        <f>IFERROR(Q140/'Ar-Pa'!Q140,0)</f>
        <v>6.7275749999999999</v>
      </c>
      <c r="AP140" s="21">
        <f>IFERROR(R140/'Ar-Pa'!R140,0)</f>
        <v>6.6619999999999999</v>
      </c>
      <c r="AQ140" s="21">
        <f>IFERROR(S140/'Ar-Pa'!S140,0)</f>
        <v>6.6913874999999994</v>
      </c>
      <c r="AR140" s="21">
        <f>IFERROR(T140/'Ar-Pa'!T140,0)</f>
        <v>7.0174750000000001</v>
      </c>
      <c r="AS140" s="21">
        <f>IFERROR(U140/'Ar-Pa'!U140,0)</f>
        <v>7.7747250000000001</v>
      </c>
      <c r="AT140" s="21">
        <f>IFERROR(V140/'Ar-Pa'!V140,0)</f>
        <v>7.9536750000000005</v>
      </c>
      <c r="AU140" s="21">
        <f>IFERROR(W140/'Ar-Pa'!W140,0)</f>
        <v>7.11585</v>
      </c>
      <c r="AV140" s="21">
        <f>IFERROR(X140/'Ar-Pa'!X140,0)</f>
        <v>8.5111249999999998</v>
      </c>
      <c r="AW140" s="21">
        <f>IFERROR(Y140/'Ar-Pa'!Y140,0)</f>
        <v>8.4836375000000004</v>
      </c>
      <c r="AX140" s="21">
        <f t="shared" si="2"/>
        <v>170.93162857142858</v>
      </c>
    </row>
    <row r="141" spans="1:50">
      <c r="A141" s="15">
        <v>45066</v>
      </c>
      <c r="B141" s="436">
        <v>54.791699999999999</v>
      </c>
      <c r="C141" s="436">
        <v>54.440300000000001</v>
      </c>
      <c r="D141" s="436">
        <v>54.473599999999998</v>
      </c>
      <c r="E141" s="436">
        <v>54.427900000000001</v>
      </c>
      <c r="F141" s="436">
        <v>54.2699</v>
      </c>
      <c r="G141" s="436">
        <v>53.973999999999997</v>
      </c>
      <c r="H141" s="436">
        <v>54.443100000000001</v>
      </c>
      <c r="I141" s="436">
        <v>54.695</v>
      </c>
      <c r="J141" s="436">
        <v>54.6492</v>
      </c>
      <c r="K141" s="436">
        <v>54.644599999999997</v>
      </c>
      <c r="L141" s="436">
        <v>54.689099999999996</v>
      </c>
      <c r="M141" s="436">
        <v>54.523900000000005</v>
      </c>
      <c r="N141" s="436">
        <v>53.908799999999999</v>
      </c>
      <c r="O141" s="436">
        <v>53.406599999999997</v>
      </c>
      <c r="P141" s="436">
        <v>53.427199999999999</v>
      </c>
      <c r="Q141" s="436">
        <v>54.1768</v>
      </c>
      <c r="R141" s="436">
        <v>69.216899999999995</v>
      </c>
      <c r="S141" s="436">
        <v>69.808300000000003</v>
      </c>
      <c r="T141" s="437">
        <v>69.789100000000005</v>
      </c>
      <c r="U141" s="437">
        <v>69.629000000000005</v>
      </c>
      <c r="V141" s="437">
        <v>69.708100000000002</v>
      </c>
      <c r="W141" s="437">
        <v>69.43310000000001</v>
      </c>
      <c r="X141" s="436">
        <v>69.825600000000009</v>
      </c>
      <c r="Y141" s="436">
        <v>69.569299999999998</v>
      </c>
      <c r="Z141" s="21">
        <f>IFERROR(B141/'Ar-Pa'!B141,0)</f>
        <v>6.8489624999999998</v>
      </c>
      <c r="AA141" s="21">
        <f>IFERROR(C141/'Ar-Pa'!C141,0)</f>
        <v>6.8050375000000001</v>
      </c>
      <c r="AB141" s="21">
        <f>IFERROR(D141/'Ar-Pa'!D141,0)</f>
        <v>6.8091999999999997</v>
      </c>
      <c r="AC141" s="21">
        <f>IFERROR(E141/'Ar-Pa'!E141,0)</f>
        <v>6.0475444444444442</v>
      </c>
      <c r="AD141" s="21">
        <f>IFERROR(F141/'Ar-Pa'!F141,0)</f>
        <v>7.7528428571428574</v>
      </c>
      <c r="AE141" s="21">
        <f>IFERROR(G141/'Ar-Pa'!G141,0)</f>
        <v>7.710571428571428</v>
      </c>
      <c r="AF141" s="21">
        <f>IFERROR(H141/'Ar-Pa'!H141,0)</f>
        <v>6.8053875000000001</v>
      </c>
      <c r="AG141" s="21">
        <f>IFERROR(I141/'Ar-Pa'!I141,0)</f>
        <v>6.836875</v>
      </c>
      <c r="AH141" s="21">
        <f>IFERROR(J141/'Ar-Pa'!J141,0)</f>
        <v>6.8311500000000001</v>
      </c>
      <c r="AI141" s="21">
        <f>IFERROR(K141/'Ar-Pa'!K141,0)</f>
        <v>6.8305749999999996</v>
      </c>
      <c r="AJ141" s="21">
        <f>IFERROR(L141/'Ar-Pa'!L141,0)</f>
        <v>6.8361374999999995</v>
      </c>
      <c r="AK141" s="21">
        <f>IFERROR(M141/'Ar-Pa'!M141,0)</f>
        <v>6.8154875000000006</v>
      </c>
      <c r="AL141" s="21">
        <f>IFERROR(N141/'Ar-Pa'!N141,0)</f>
        <v>7.701257142857143</v>
      </c>
      <c r="AM141" s="21">
        <f>IFERROR(O141/'Ar-Pa'!O141,0)</f>
        <v>7.6295142857142855</v>
      </c>
      <c r="AN141" s="21">
        <f>IFERROR(P141/'Ar-Pa'!P141,0)</f>
        <v>7.6324571428571426</v>
      </c>
      <c r="AO141" s="21">
        <f>IFERROR(Q141/'Ar-Pa'!Q141,0)</f>
        <v>6.7721</v>
      </c>
      <c r="AP141" s="21">
        <f>IFERROR(R141/'Ar-Pa'!R141,0)</f>
        <v>8.6521124999999994</v>
      </c>
      <c r="AQ141" s="21">
        <f>IFERROR(S141/'Ar-Pa'!S141,0)</f>
        <v>8.7260375000000003</v>
      </c>
      <c r="AR141" s="21">
        <f>IFERROR(T141/'Ar-Pa'!T141,0)</f>
        <v>8.7236375000000006</v>
      </c>
      <c r="AS141" s="21">
        <f>IFERROR(U141/'Ar-Pa'!U141,0)</f>
        <v>8.7036250000000006</v>
      </c>
      <c r="AT141" s="21">
        <f>IFERROR(V141/'Ar-Pa'!V141,0)</f>
        <v>8.7135125000000002</v>
      </c>
      <c r="AU141" s="21">
        <f>IFERROR(W141/'Ar-Pa'!W141,0)</f>
        <v>8.6791375000000013</v>
      </c>
      <c r="AV141" s="21">
        <f>IFERROR(X141/'Ar-Pa'!X141,0)</f>
        <v>8.7282000000000011</v>
      </c>
      <c r="AW141" s="21">
        <f>IFERROR(Y141/'Ar-Pa'!Y141,0)</f>
        <v>8.6961624999999998</v>
      </c>
      <c r="AX141" s="21">
        <f t="shared" si="2"/>
        <v>182.28752480158727</v>
      </c>
    </row>
    <row r="142" spans="1:50">
      <c r="A142" s="15">
        <v>45067</v>
      </c>
      <c r="B142" s="436">
        <v>69.328699999999998</v>
      </c>
      <c r="C142" s="436">
        <v>53.766300000000001</v>
      </c>
      <c r="D142" s="436">
        <v>53.362099999999998</v>
      </c>
      <c r="E142" s="436">
        <v>54.151600000000002</v>
      </c>
      <c r="F142" s="436">
        <v>54.168300000000002</v>
      </c>
      <c r="G142" s="436">
        <v>54.17</v>
      </c>
      <c r="H142" s="436">
        <v>54.260599999999997</v>
      </c>
      <c r="I142" s="436">
        <v>54.249900000000004</v>
      </c>
      <c r="J142" s="436">
        <v>54.352400000000003</v>
      </c>
      <c r="K142" s="436">
        <v>53.716900000000003</v>
      </c>
      <c r="L142" s="436">
        <v>53.812100000000001</v>
      </c>
      <c r="M142" s="436">
        <v>53.775599999999997</v>
      </c>
      <c r="N142" s="436">
        <v>53.784999999999997</v>
      </c>
      <c r="O142" s="436">
        <v>53.749000000000002</v>
      </c>
      <c r="P142" s="436">
        <v>53.934199999999997</v>
      </c>
      <c r="Q142" s="436">
        <v>53.886699999999998</v>
      </c>
      <c r="R142" s="436">
        <v>53.9116</v>
      </c>
      <c r="S142" s="436">
        <v>53.884699999999995</v>
      </c>
      <c r="T142" s="437">
        <v>68.292699999999996</v>
      </c>
      <c r="U142" s="437">
        <v>68.98060000000001</v>
      </c>
      <c r="V142" s="437">
        <v>68.852000000000004</v>
      </c>
      <c r="W142" s="437">
        <v>55.052099999999996</v>
      </c>
      <c r="X142" s="436">
        <v>54.380600000000001</v>
      </c>
      <c r="Y142" s="436">
        <v>54.421399999999998</v>
      </c>
      <c r="Z142" s="21">
        <f>IFERROR(B142/'Ar-Pa'!B142,0)</f>
        <v>8.6660874999999997</v>
      </c>
      <c r="AA142" s="21">
        <f>IFERROR(C142/'Ar-Pa'!C142,0)</f>
        <v>6.7207875000000001</v>
      </c>
      <c r="AB142" s="21">
        <f>IFERROR(D142/'Ar-Pa'!D142,0)</f>
        <v>6.6702624999999998</v>
      </c>
      <c r="AC142" s="21">
        <f>IFERROR(E142/'Ar-Pa'!E142,0)</f>
        <v>6.7689500000000002</v>
      </c>
      <c r="AD142" s="21">
        <f>IFERROR(F142/'Ar-Pa'!F142,0)</f>
        <v>6.7710375000000003</v>
      </c>
      <c r="AE142" s="21">
        <f>IFERROR(G142/'Ar-Pa'!G142,0)</f>
        <v>6.7712500000000002</v>
      </c>
      <c r="AF142" s="21">
        <f>IFERROR(H142/'Ar-Pa'!H142,0)</f>
        <v>6.7825749999999996</v>
      </c>
      <c r="AG142" s="21">
        <f>IFERROR(I142/'Ar-Pa'!I142,0)</f>
        <v>6.7812375000000005</v>
      </c>
      <c r="AH142" s="21">
        <f>IFERROR(J142/'Ar-Pa'!J142,0)</f>
        <v>6.7940500000000004</v>
      </c>
      <c r="AI142" s="21">
        <f>IFERROR(K142/'Ar-Pa'!K142,0)</f>
        <v>6.7146125000000003</v>
      </c>
      <c r="AJ142" s="21">
        <f>IFERROR(L142/'Ar-Pa'!L142,0)</f>
        <v>6.7265125000000001</v>
      </c>
      <c r="AK142" s="21">
        <f>IFERROR(M142/'Ar-Pa'!M142,0)</f>
        <v>6.7219499999999996</v>
      </c>
      <c r="AL142" s="21">
        <f>IFERROR(N142/'Ar-Pa'!N142,0)</f>
        <v>6.7231249999999996</v>
      </c>
      <c r="AM142" s="21">
        <f>IFERROR(O142/'Ar-Pa'!O142,0)</f>
        <v>6.7186250000000003</v>
      </c>
      <c r="AN142" s="21">
        <f>IFERROR(P142/'Ar-Pa'!P142,0)</f>
        <v>6.7417749999999996</v>
      </c>
      <c r="AO142" s="21">
        <f>IFERROR(Q142/'Ar-Pa'!Q142,0)</f>
        <v>6.7358374999999997</v>
      </c>
      <c r="AP142" s="21">
        <f>IFERROR(R142/'Ar-Pa'!R142,0)</f>
        <v>6.73895</v>
      </c>
      <c r="AQ142" s="21">
        <f>IFERROR(S142/'Ar-Pa'!S142,0)</f>
        <v>6.7355874999999994</v>
      </c>
      <c r="AR142" s="21">
        <f>IFERROR(T142/'Ar-Pa'!T142,0)</f>
        <v>8.5365874999999996</v>
      </c>
      <c r="AS142" s="21">
        <f>IFERROR(U142/'Ar-Pa'!U142,0)</f>
        <v>8.6225750000000012</v>
      </c>
      <c r="AT142" s="21">
        <f>IFERROR(V142/'Ar-Pa'!V142,0)</f>
        <v>8.6065000000000005</v>
      </c>
      <c r="AU142" s="21">
        <f>IFERROR(W142/'Ar-Pa'!W142,0)</f>
        <v>6.8815124999999995</v>
      </c>
      <c r="AV142" s="21">
        <f>IFERROR(X142/'Ar-Pa'!X142,0)</f>
        <v>6.7975750000000001</v>
      </c>
      <c r="AW142" s="21">
        <f>IFERROR(Y142/'Ar-Pa'!Y142,0)</f>
        <v>6.8026749999999998</v>
      </c>
      <c r="AX142" s="21">
        <f t="shared" si="2"/>
        <v>169.53063749999998</v>
      </c>
    </row>
    <row r="143" spans="1:50">
      <c r="A143" s="15">
        <v>45068</v>
      </c>
      <c r="B143" s="436">
        <v>53.915500000000002</v>
      </c>
      <c r="C143" s="436">
        <v>54.853699999999996</v>
      </c>
      <c r="D143" s="436">
        <v>54.6235</v>
      </c>
      <c r="E143" s="436">
        <v>54.781300000000002</v>
      </c>
      <c r="F143" s="436">
        <v>54.427399999999999</v>
      </c>
      <c r="G143" s="436">
        <v>54.3399</v>
      </c>
      <c r="H143" s="436">
        <v>54.095399999999998</v>
      </c>
      <c r="I143" s="436">
        <v>54.004100000000001</v>
      </c>
      <c r="J143" s="436">
        <v>53.881900000000002</v>
      </c>
      <c r="K143" s="436">
        <v>53.735099999999996</v>
      </c>
      <c r="L143" s="436">
        <v>53.835099999999997</v>
      </c>
      <c r="M143" s="436">
        <v>53.871000000000002</v>
      </c>
      <c r="N143" s="436">
        <v>53.749199999999995</v>
      </c>
      <c r="O143" s="436">
        <v>53.773900000000005</v>
      </c>
      <c r="P143" s="436">
        <v>53.744599999999998</v>
      </c>
      <c r="Q143" s="436">
        <v>53.820300000000003</v>
      </c>
      <c r="R143" s="436">
        <v>53.665800000000004</v>
      </c>
      <c r="S143" s="436">
        <v>53.909699999999994</v>
      </c>
      <c r="T143" s="437">
        <v>53.9876</v>
      </c>
      <c r="U143" s="437">
        <v>53.9893</v>
      </c>
      <c r="V143" s="437">
        <v>69.450100000000006</v>
      </c>
      <c r="W143" s="437">
        <v>69.50160000000001</v>
      </c>
      <c r="X143" s="436">
        <v>68.674600000000012</v>
      </c>
      <c r="Y143" s="436">
        <v>68.889200000000002</v>
      </c>
      <c r="Z143" s="21">
        <f>IFERROR(B143/'Ar-Pa'!B143,0)</f>
        <v>6.7394375000000002</v>
      </c>
      <c r="AA143" s="21">
        <f>IFERROR(C143/'Ar-Pa'!C143,0)</f>
        <v>6.8567124999999995</v>
      </c>
      <c r="AB143" s="21">
        <f>IFERROR(D143/'Ar-Pa'!D143,0)</f>
        <v>6.8279375</v>
      </c>
      <c r="AC143" s="21">
        <f>IFERROR(E143/'Ar-Pa'!E143,0)</f>
        <v>6.8476625000000002</v>
      </c>
      <c r="AD143" s="21">
        <f>IFERROR(F143/'Ar-Pa'!F143,0)</f>
        <v>6.8034249999999998</v>
      </c>
      <c r="AE143" s="21">
        <f>IFERROR(G143/'Ar-Pa'!G143,0)</f>
        <v>6.7924875</v>
      </c>
      <c r="AF143" s="21">
        <f>IFERROR(H143/'Ar-Pa'!H143,0)</f>
        <v>6.7619249999999997</v>
      </c>
      <c r="AG143" s="21">
        <f>IFERROR(I143/'Ar-Pa'!I143,0)</f>
        <v>6.7505125000000001</v>
      </c>
      <c r="AH143" s="21">
        <f>IFERROR(J143/'Ar-Pa'!J143,0)</f>
        <v>6.7352375000000002</v>
      </c>
      <c r="AI143" s="21">
        <f>IFERROR(K143/'Ar-Pa'!K143,0)</f>
        <v>6.7168874999999995</v>
      </c>
      <c r="AJ143" s="21">
        <f>IFERROR(L143/'Ar-Pa'!L143,0)</f>
        <v>6.7293874999999996</v>
      </c>
      <c r="AK143" s="21">
        <f>IFERROR(M143/'Ar-Pa'!M143,0)</f>
        <v>6.7338750000000003</v>
      </c>
      <c r="AL143" s="21">
        <f>IFERROR(N143/'Ar-Pa'!N143,0)</f>
        <v>6.7186499999999993</v>
      </c>
      <c r="AM143" s="21">
        <f>IFERROR(O143/'Ar-Pa'!O143,0)</f>
        <v>6.7217375000000006</v>
      </c>
      <c r="AN143" s="21">
        <f>IFERROR(P143/'Ar-Pa'!P143,0)</f>
        <v>6.7180749999999998</v>
      </c>
      <c r="AO143" s="21">
        <f>IFERROR(Q143/'Ar-Pa'!Q143,0)</f>
        <v>6.7275375000000004</v>
      </c>
      <c r="AP143" s="21">
        <f>IFERROR(R143/'Ar-Pa'!R143,0)</f>
        <v>6.7082250000000005</v>
      </c>
      <c r="AQ143" s="21">
        <f>IFERROR(S143/'Ar-Pa'!S143,0)</f>
        <v>6.7387124999999992</v>
      </c>
      <c r="AR143" s="21">
        <f>IFERROR(T143/'Ar-Pa'!T143,0)</f>
        <v>6.7484500000000001</v>
      </c>
      <c r="AS143" s="21">
        <f>IFERROR(U143/'Ar-Pa'!U143,0)</f>
        <v>6.7486625</v>
      </c>
      <c r="AT143" s="21">
        <f>IFERROR(V143/'Ar-Pa'!V143,0)</f>
        <v>8.6812625000000008</v>
      </c>
      <c r="AU143" s="21">
        <f>IFERROR(W143/'Ar-Pa'!W143,0)</f>
        <v>8.6877000000000013</v>
      </c>
      <c r="AV143" s="21">
        <f>IFERROR(X143/'Ar-Pa'!X143,0)</f>
        <v>8.5843250000000015</v>
      </c>
      <c r="AW143" s="21">
        <f>IFERROR(Y143/'Ar-Pa'!Y143,0)</f>
        <v>8.6111500000000003</v>
      </c>
      <c r="AX143" s="21">
        <f t="shared" si="2"/>
        <v>169.689975</v>
      </c>
    </row>
    <row r="144" spans="1:50">
      <c r="A144" s="15">
        <v>45069</v>
      </c>
      <c r="B144" s="436">
        <v>53.408099999999997</v>
      </c>
      <c r="C144" s="436">
        <v>54.188300000000005</v>
      </c>
      <c r="D144" s="436">
        <v>54.162999999999997</v>
      </c>
      <c r="E144" s="436">
        <v>54.382400000000004</v>
      </c>
      <c r="F144" s="436">
        <v>54.508000000000003</v>
      </c>
      <c r="G144" s="436">
        <v>54.355699999999999</v>
      </c>
      <c r="H144" s="436">
        <v>52.483499999999999</v>
      </c>
      <c r="I144" s="436">
        <v>52.467500000000001</v>
      </c>
      <c r="J144" s="436">
        <v>52.682000000000002</v>
      </c>
      <c r="K144" s="436">
        <v>52.769300000000001</v>
      </c>
      <c r="L144" s="436">
        <v>53.034599999999998</v>
      </c>
      <c r="M144" s="436">
        <v>52.746400000000001</v>
      </c>
      <c r="N144" s="436">
        <v>52.967599999999997</v>
      </c>
      <c r="O144" s="436">
        <v>52.868600000000001</v>
      </c>
      <c r="P144" s="436">
        <v>52.995599999999996</v>
      </c>
      <c r="Q144" s="436">
        <v>59.415300000000002</v>
      </c>
      <c r="R144" s="436">
        <v>67.8917</v>
      </c>
      <c r="S144" s="436">
        <v>68.156300000000002</v>
      </c>
      <c r="T144" s="437">
        <v>68.165399999999991</v>
      </c>
      <c r="U144" s="437">
        <v>68.551899999999989</v>
      </c>
      <c r="V144" s="437">
        <v>68.603899999999996</v>
      </c>
      <c r="W144" s="437">
        <v>67.398099999999999</v>
      </c>
      <c r="X144" s="436">
        <v>66.820300000000003</v>
      </c>
      <c r="Y144" s="436">
        <v>66.704499999999996</v>
      </c>
      <c r="Z144" s="21">
        <f>IFERROR(B144/'Ar-Pa'!B144,0)</f>
        <v>6.6760124999999997</v>
      </c>
      <c r="AA144" s="21">
        <f>IFERROR(C144/'Ar-Pa'!C144,0)</f>
        <v>6.7735375000000007</v>
      </c>
      <c r="AB144" s="21">
        <f>IFERROR(D144/'Ar-Pa'!D144,0)</f>
        <v>6.7703749999999996</v>
      </c>
      <c r="AC144" s="21">
        <f>IFERROR(E144/'Ar-Pa'!E144,0)</f>
        <v>6.7978000000000005</v>
      </c>
      <c r="AD144" s="21">
        <f>IFERROR(F144/'Ar-Pa'!F144,0)</f>
        <v>6.8135000000000003</v>
      </c>
      <c r="AE144" s="21">
        <f>IFERROR(G144/'Ar-Pa'!G144,0)</f>
        <v>6.7944624999999998</v>
      </c>
      <c r="AF144" s="21">
        <f>IFERROR(H144/'Ar-Pa'!H144,0)</f>
        <v>7.4976428571428571</v>
      </c>
      <c r="AG144" s="21">
        <f>IFERROR(I144/'Ar-Pa'!I144,0)</f>
        <v>7.4953571428571433</v>
      </c>
      <c r="AH144" s="21">
        <f>IFERROR(J144/'Ar-Pa'!J144,0)</f>
        <v>6.5852500000000003</v>
      </c>
      <c r="AI144" s="21">
        <f>IFERROR(K144/'Ar-Pa'!K144,0)</f>
        <v>6.5961625000000002</v>
      </c>
      <c r="AJ144" s="21">
        <f>IFERROR(L144/'Ar-Pa'!L144,0)</f>
        <v>6.6293249999999997</v>
      </c>
      <c r="AK144" s="21">
        <f>IFERROR(M144/'Ar-Pa'!M144,0)</f>
        <v>6.5933000000000002</v>
      </c>
      <c r="AL144" s="21">
        <f>IFERROR(N144/'Ar-Pa'!N144,0)</f>
        <v>6.6209499999999997</v>
      </c>
      <c r="AM144" s="21">
        <f>IFERROR(O144/'Ar-Pa'!O144,0)</f>
        <v>6.6085750000000001</v>
      </c>
      <c r="AN144" s="21">
        <f>IFERROR(P144/'Ar-Pa'!P144,0)</f>
        <v>6.6244499999999995</v>
      </c>
      <c r="AO144" s="21">
        <f>IFERROR(Q144/'Ar-Pa'!Q144,0)</f>
        <v>7.4269125000000003</v>
      </c>
      <c r="AP144" s="21">
        <f>IFERROR(R144/'Ar-Pa'!R144,0)</f>
        <v>8.4864625</v>
      </c>
      <c r="AQ144" s="21">
        <f>IFERROR(S144/'Ar-Pa'!S144,0)</f>
        <v>8.5195375000000002</v>
      </c>
      <c r="AR144" s="21">
        <f>IFERROR(T144/'Ar-Pa'!T144,0)</f>
        <v>8.5206749999999989</v>
      </c>
      <c r="AS144" s="21">
        <f>IFERROR(U144/'Ar-Pa'!U144,0)</f>
        <v>8.5689874999999986</v>
      </c>
      <c r="AT144" s="21">
        <f>IFERROR(V144/'Ar-Pa'!V144,0)</f>
        <v>8.5754874999999995</v>
      </c>
      <c r="AU144" s="21">
        <f>IFERROR(W144/'Ar-Pa'!W144,0)</f>
        <v>8.4247624999999999</v>
      </c>
      <c r="AV144" s="21">
        <f>IFERROR(X144/'Ar-Pa'!X144,0)</f>
        <v>8.3525375000000004</v>
      </c>
      <c r="AW144" s="21">
        <f>IFERROR(Y144/'Ar-Pa'!Y144,0)</f>
        <v>8.3380624999999995</v>
      </c>
      <c r="AX144" s="21">
        <f t="shared" si="2"/>
        <v>177.090125</v>
      </c>
    </row>
    <row r="145" spans="1:50">
      <c r="A145" s="15">
        <v>45070</v>
      </c>
      <c r="B145" s="436">
        <v>63.214500000000001</v>
      </c>
      <c r="C145" s="436">
        <v>56.333500000000001</v>
      </c>
      <c r="D145" s="436">
        <v>57.278400000000005</v>
      </c>
      <c r="E145" s="436">
        <v>57.0214</v>
      </c>
      <c r="F145" s="436">
        <v>57.013400000000004</v>
      </c>
      <c r="G145" s="436">
        <v>56.483800000000002</v>
      </c>
      <c r="H145" s="436">
        <v>56.272599999999997</v>
      </c>
      <c r="I145" s="436">
        <v>56.540800000000004</v>
      </c>
      <c r="J145" s="436">
        <v>56.450900000000004</v>
      </c>
      <c r="K145" s="436">
        <v>56.343800000000002</v>
      </c>
      <c r="L145" s="436">
        <v>56.384</v>
      </c>
      <c r="M145" s="436">
        <v>56.359199999999994</v>
      </c>
      <c r="N145" s="436">
        <v>55.82</v>
      </c>
      <c r="O145" s="436">
        <v>56.596899999999998</v>
      </c>
      <c r="P145" s="436">
        <v>55.982099999999996</v>
      </c>
      <c r="Q145" s="436">
        <v>55.822300000000006</v>
      </c>
      <c r="R145" s="436">
        <v>55.790500000000002</v>
      </c>
      <c r="S145" s="436">
        <v>56.136400000000002</v>
      </c>
      <c r="T145" s="437">
        <v>57.048900000000003</v>
      </c>
      <c r="U145" s="437">
        <v>69.415399999999991</v>
      </c>
      <c r="V145" s="437">
        <v>69.368300000000005</v>
      </c>
      <c r="W145" s="437">
        <v>62.460800000000006</v>
      </c>
      <c r="X145" s="436">
        <v>57.199199999999998</v>
      </c>
      <c r="Y145" s="436">
        <v>56.684800000000003</v>
      </c>
      <c r="Z145" s="21">
        <f>IFERROR(B145/'Ar-Pa'!B145,0)</f>
        <v>7.9018125000000001</v>
      </c>
      <c r="AA145" s="21">
        <f>IFERROR(C145/'Ar-Pa'!C145,0)</f>
        <v>7.0416875000000001</v>
      </c>
      <c r="AB145" s="21">
        <f>IFERROR(D145/'Ar-Pa'!D145,0)</f>
        <v>7.1598000000000006</v>
      </c>
      <c r="AC145" s="21">
        <f>IFERROR(E145/'Ar-Pa'!E145,0)</f>
        <v>7.127675</v>
      </c>
      <c r="AD145" s="21">
        <f>IFERROR(F145/'Ar-Pa'!F145,0)</f>
        <v>7.1266750000000005</v>
      </c>
      <c r="AE145" s="21">
        <f>IFERROR(G145/'Ar-Pa'!G145,0)</f>
        <v>7.0604750000000003</v>
      </c>
      <c r="AF145" s="21">
        <f>IFERROR(H145/'Ar-Pa'!H145,0)</f>
        <v>7.0340749999999996</v>
      </c>
      <c r="AG145" s="21">
        <f>IFERROR(I145/'Ar-Pa'!I145,0)</f>
        <v>7.0676000000000005</v>
      </c>
      <c r="AH145" s="21">
        <f>IFERROR(J145/'Ar-Pa'!J145,0)</f>
        <v>7.0563625000000005</v>
      </c>
      <c r="AI145" s="21">
        <f>IFERROR(K145/'Ar-Pa'!K145,0)</f>
        <v>7.0429750000000002</v>
      </c>
      <c r="AJ145" s="21">
        <f>IFERROR(L145/'Ar-Pa'!L145,0)</f>
        <v>7.048</v>
      </c>
      <c r="AK145" s="21">
        <f>IFERROR(M145/'Ar-Pa'!M145,0)</f>
        <v>7.0448999999999993</v>
      </c>
      <c r="AL145" s="21">
        <f>IFERROR(N145/'Ar-Pa'!N145,0)</f>
        <v>6.9775</v>
      </c>
      <c r="AM145" s="21">
        <f>IFERROR(O145/'Ar-Pa'!O145,0)</f>
        <v>7.0746124999999997</v>
      </c>
      <c r="AN145" s="21">
        <f>IFERROR(P145/'Ar-Pa'!P145,0)</f>
        <v>6.9977624999999994</v>
      </c>
      <c r="AO145" s="21">
        <f>IFERROR(Q145/'Ar-Pa'!Q145,0)</f>
        <v>6.9777875000000007</v>
      </c>
      <c r="AP145" s="21">
        <f>IFERROR(R145/'Ar-Pa'!R145,0)</f>
        <v>6.9738125000000002</v>
      </c>
      <c r="AQ145" s="21">
        <f>IFERROR(S145/'Ar-Pa'!S145,0)</f>
        <v>7.0170500000000002</v>
      </c>
      <c r="AR145" s="21">
        <f>IFERROR(T145/'Ar-Pa'!T145,0)</f>
        <v>7.1311125000000004</v>
      </c>
      <c r="AS145" s="21">
        <f>IFERROR(U145/'Ar-Pa'!U145,0)</f>
        <v>8.6769249999999989</v>
      </c>
      <c r="AT145" s="21">
        <f>IFERROR(V145/'Ar-Pa'!V145,0)</f>
        <v>8.6710375000000006</v>
      </c>
      <c r="AU145" s="21">
        <f>IFERROR(W145/'Ar-Pa'!W145,0)</f>
        <v>7.8076000000000008</v>
      </c>
      <c r="AV145" s="21">
        <f>IFERROR(X145/'Ar-Pa'!X145,0)</f>
        <v>7.1498999999999997</v>
      </c>
      <c r="AW145" s="21">
        <f>IFERROR(Y145/'Ar-Pa'!Y145,0)</f>
        <v>7.0856000000000003</v>
      </c>
      <c r="AX145" s="21">
        <f t="shared" si="2"/>
        <v>174.25273750000002</v>
      </c>
    </row>
    <row r="146" spans="1:50">
      <c r="A146" s="15">
        <v>45071</v>
      </c>
      <c r="B146" s="436">
        <v>52.517900000000004</v>
      </c>
      <c r="C146" s="436">
        <v>52.473699999999994</v>
      </c>
      <c r="D146" s="436">
        <v>52.571400000000004</v>
      </c>
      <c r="E146" s="436">
        <v>52.578300000000006</v>
      </c>
      <c r="F146" s="436">
        <v>52.622199999999999</v>
      </c>
      <c r="G146" s="436">
        <v>52.726199999999999</v>
      </c>
      <c r="H146" s="436">
        <v>52.4664</v>
      </c>
      <c r="I146" s="436">
        <v>52.7468</v>
      </c>
      <c r="J146" s="436">
        <v>52.7102</v>
      </c>
      <c r="K146" s="436">
        <v>54.102599999999995</v>
      </c>
      <c r="L146" s="436">
        <v>54.800899999999999</v>
      </c>
      <c r="M146" s="436">
        <v>54.2346</v>
      </c>
      <c r="N146" s="436">
        <v>54.222300000000004</v>
      </c>
      <c r="O146" s="436">
        <v>54.059400000000004</v>
      </c>
      <c r="P146" s="436">
        <v>67.843999999999994</v>
      </c>
      <c r="Q146" s="436">
        <v>68.486000000000004</v>
      </c>
      <c r="R146" s="436">
        <v>55.199300000000001</v>
      </c>
      <c r="S146" s="436">
        <v>54.234499999999997</v>
      </c>
      <c r="T146" s="437">
        <v>67.806899999999999</v>
      </c>
      <c r="U146" s="437">
        <v>68.557899999999989</v>
      </c>
      <c r="V146" s="437">
        <v>68.521899999999988</v>
      </c>
      <c r="W146" s="437">
        <v>68.399299999999997</v>
      </c>
      <c r="X146" s="436">
        <v>68.406199999999998</v>
      </c>
      <c r="Y146" s="436">
        <v>54.305599999999998</v>
      </c>
      <c r="Z146" s="21">
        <f>IFERROR(B146/'Ar-Pa'!B146,0)</f>
        <v>6.5647375000000006</v>
      </c>
      <c r="AA146" s="21">
        <f>IFERROR(C146/'Ar-Pa'!C146,0)</f>
        <v>6.5592124999999992</v>
      </c>
      <c r="AB146" s="21">
        <f>IFERROR(D146/'Ar-Pa'!D146,0)</f>
        <v>6.5714250000000005</v>
      </c>
      <c r="AC146" s="21">
        <f>IFERROR(E146/'Ar-Pa'!E146,0)</f>
        <v>6.5722875000000007</v>
      </c>
      <c r="AD146" s="21">
        <f>IFERROR(F146/'Ar-Pa'!F146,0)</f>
        <v>6.5777749999999999</v>
      </c>
      <c r="AE146" s="21">
        <f>IFERROR(G146/'Ar-Pa'!G146,0)</f>
        <v>6.5907749999999998</v>
      </c>
      <c r="AF146" s="21">
        <f>IFERROR(H146/'Ar-Pa'!H146,0)</f>
        <v>7.4951999999999996</v>
      </c>
      <c r="AG146" s="21">
        <f>IFERROR(I146/'Ar-Pa'!I146,0)</f>
        <v>7.5352571428571427</v>
      </c>
      <c r="AH146" s="21">
        <f>IFERROR(J146/'Ar-Pa'!J146,0)</f>
        <v>7.5300285714285717</v>
      </c>
      <c r="AI146" s="21">
        <f>IFERROR(K146/'Ar-Pa'!K146,0)</f>
        <v>7.7289428571428562</v>
      </c>
      <c r="AJ146" s="21">
        <f>IFERROR(L146/'Ar-Pa'!L146,0)</f>
        <v>7.8286999999999995</v>
      </c>
      <c r="AK146" s="21">
        <f>IFERROR(M146/'Ar-Pa'!M146,0)</f>
        <v>7.7477999999999998</v>
      </c>
      <c r="AL146" s="21">
        <f>IFERROR(N146/'Ar-Pa'!N146,0)</f>
        <v>7.7460428571428581</v>
      </c>
      <c r="AM146" s="21">
        <f>IFERROR(O146/'Ar-Pa'!O146,0)</f>
        <v>7.7227714285714288</v>
      </c>
      <c r="AN146" s="21">
        <f>IFERROR(P146/'Ar-Pa'!P146,0)</f>
        <v>9.6919999999999984</v>
      </c>
      <c r="AO146" s="21">
        <f>IFERROR(Q146/'Ar-Pa'!Q146,0)</f>
        <v>9.7837142857142858</v>
      </c>
      <c r="AP146" s="21">
        <f>IFERROR(R146/'Ar-Pa'!R146,0)</f>
        <v>7.8856142857142855</v>
      </c>
      <c r="AQ146" s="21">
        <f>IFERROR(S146/'Ar-Pa'!S146,0)</f>
        <v>7.7477857142857136</v>
      </c>
      <c r="AR146" s="21">
        <f>IFERROR(T146/'Ar-Pa'!T146,0)</f>
        <v>9.6867000000000001</v>
      </c>
      <c r="AS146" s="21">
        <f>IFERROR(U146/'Ar-Pa'!U146,0)</f>
        <v>9.7939857142857125</v>
      </c>
      <c r="AT146" s="21">
        <f>IFERROR(V146/'Ar-Pa'!V146,0)</f>
        <v>9.7888428571428552</v>
      </c>
      <c r="AU146" s="21">
        <f>IFERROR(W146/'Ar-Pa'!W146,0)</f>
        <v>9.7713285714285707</v>
      </c>
      <c r="AV146" s="21">
        <f>IFERROR(X146/'Ar-Pa'!X146,0)</f>
        <v>9.7723142857142857</v>
      </c>
      <c r="AW146" s="21">
        <f>IFERROR(Y146/'Ar-Pa'!Y146,0)</f>
        <v>7.757942857142857</v>
      </c>
      <c r="AX146" s="21">
        <f t="shared" si="2"/>
        <v>192.45118392857145</v>
      </c>
    </row>
    <row r="147" spans="1:50">
      <c r="A147" s="15">
        <v>45072</v>
      </c>
      <c r="B147" s="436">
        <v>52.623100000000001</v>
      </c>
      <c r="C147" s="436">
        <v>52.528199999999998</v>
      </c>
      <c r="D147" s="436">
        <v>52.325199999999995</v>
      </c>
      <c r="E147" s="436">
        <v>52.456099999999999</v>
      </c>
      <c r="F147" s="436">
        <v>52.496900000000004</v>
      </c>
      <c r="G147" s="436">
        <v>52.337199999999996</v>
      </c>
      <c r="H147" s="436">
        <v>53.8384</v>
      </c>
      <c r="I147" s="436">
        <v>54.3566</v>
      </c>
      <c r="J147" s="436">
        <v>53.896500000000003</v>
      </c>
      <c r="K147" s="436">
        <v>53.7821</v>
      </c>
      <c r="L147" s="436">
        <v>53.682900000000004</v>
      </c>
      <c r="M147" s="436">
        <v>53.765599999999999</v>
      </c>
      <c r="N147" s="436">
        <v>53.688699999999997</v>
      </c>
      <c r="O147" s="436">
        <v>53.7789</v>
      </c>
      <c r="P147" s="436">
        <v>53.867899999999999</v>
      </c>
      <c r="Q147" s="436">
        <v>54.017199999999995</v>
      </c>
      <c r="R147" s="436">
        <v>54.674599999999998</v>
      </c>
      <c r="S147" s="436">
        <v>54.5428</v>
      </c>
      <c r="T147" s="437">
        <v>68.271100000000004</v>
      </c>
      <c r="U147" s="437">
        <v>69.266000000000005</v>
      </c>
      <c r="V147" s="437">
        <v>69.2333</v>
      </c>
      <c r="W147" s="437">
        <v>56.103900000000003</v>
      </c>
      <c r="X147" s="436">
        <v>53.685600000000001</v>
      </c>
      <c r="Y147" s="436">
        <v>54.001899999999999</v>
      </c>
      <c r="Z147" s="21">
        <f>IFERROR(B147/'Ar-Pa'!B147,0)</f>
        <v>7.5175857142857145</v>
      </c>
      <c r="AA147" s="21">
        <f>IFERROR(C147/'Ar-Pa'!C147,0)</f>
        <v>7.504028571428571</v>
      </c>
      <c r="AB147" s="21">
        <f>IFERROR(D147/'Ar-Pa'!D147,0)</f>
        <v>7.4750285714285711</v>
      </c>
      <c r="AC147" s="21">
        <f>IFERROR(E147/'Ar-Pa'!E147,0)</f>
        <v>7.4937285714285711</v>
      </c>
      <c r="AD147" s="21">
        <f>IFERROR(F147/'Ar-Pa'!F147,0)</f>
        <v>7.4995571428571433</v>
      </c>
      <c r="AE147" s="21">
        <f>IFERROR(G147/'Ar-Pa'!G147,0)</f>
        <v>7.4767428571428569</v>
      </c>
      <c r="AF147" s="21">
        <f>IFERROR(H147/'Ar-Pa'!H147,0)</f>
        <v>8.9730666666666661</v>
      </c>
      <c r="AG147" s="21">
        <f>IFERROR(I147/'Ar-Pa'!I147,0)</f>
        <v>7.7652285714285716</v>
      </c>
      <c r="AH147" s="21">
        <f>IFERROR(J147/'Ar-Pa'!J147,0)</f>
        <v>7.6995000000000005</v>
      </c>
      <c r="AI147" s="21">
        <f>IFERROR(K147/'Ar-Pa'!K147,0)</f>
        <v>7.6831571428571426</v>
      </c>
      <c r="AJ147" s="21">
        <f>IFERROR(L147/'Ar-Pa'!L147,0)</f>
        <v>7.6689857142857152</v>
      </c>
      <c r="AK147" s="21">
        <f>IFERROR(M147/'Ar-Pa'!M147,0)</f>
        <v>7.6807999999999996</v>
      </c>
      <c r="AL147" s="21">
        <f>IFERROR(N147/'Ar-Pa'!N147,0)</f>
        <v>7.6698142857142857</v>
      </c>
      <c r="AM147" s="21">
        <f>IFERROR(O147/'Ar-Pa'!O147,0)</f>
        <v>7.6826999999999996</v>
      </c>
      <c r="AN147" s="21">
        <f>IFERROR(P147/'Ar-Pa'!P147,0)</f>
        <v>7.6954142857142855</v>
      </c>
      <c r="AO147" s="21">
        <f>IFERROR(Q147/'Ar-Pa'!Q147,0)</f>
        <v>7.7167428571428562</v>
      </c>
      <c r="AP147" s="21">
        <f>IFERROR(R147/'Ar-Pa'!R147,0)</f>
        <v>7.810657142857143</v>
      </c>
      <c r="AQ147" s="21">
        <f>IFERROR(S147/'Ar-Pa'!S147,0)</f>
        <v>7.7918285714285718</v>
      </c>
      <c r="AR147" s="21">
        <f>IFERROR(T147/'Ar-Pa'!T147,0)</f>
        <v>9.7530142857142863</v>
      </c>
      <c r="AS147" s="21">
        <f>IFERROR(U147/'Ar-Pa'!U147,0)</f>
        <v>9.8951428571428579</v>
      </c>
      <c r="AT147" s="21">
        <f>IFERROR(V147/'Ar-Pa'!V147,0)</f>
        <v>9.8904714285714288</v>
      </c>
      <c r="AU147" s="21">
        <f>IFERROR(W147/'Ar-Pa'!W147,0)</f>
        <v>8.0148428571428578</v>
      </c>
      <c r="AV147" s="21">
        <f>IFERROR(X147/'Ar-Pa'!X147,0)</f>
        <v>7.669371428571429</v>
      </c>
      <c r="AW147" s="21">
        <f>IFERROR(Y147/'Ar-Pa'!Y147,0)</f>
        <v>7.7145571428571431</v>
      </c>
      <c r="AX147" s="21">
        <f t="shared" si="2"/>
        <v>191.74196666666663</v>
      </c>
    </row>
    <row r="148" spans="1:50">
      <c r="A148" s="15">
        <v>45073</v>
      </c>
      <c r="B148" s="436">
        <v>53.844900000000003</v>
      </c>
      <c r="C148" s="436">
        <v>53.981099999999998</v>
      </c>
      <c r="D148" s="436">
        <v>54.152300000000004</v>
      </c>
      <c r="E148" s="436">
        <v>54.170999999999999</v>
      </c>
      <c r="F148" s="436">
        <v>54.209400000000002</v>
      </c>
      <c r="G148" s="436">
        <v>54.227800000000002</v>
      </c>
      <c r="H148" s="436">
        <v>54.196199999999997</v>
      </c>
      <c r="I148" s="436">
        <v>54.222699999999996</v>
      </c>
      <c r="J148" s="436">
        <v>53.988</v>
      </c>
      <c r="K148" s="436">
        <v>54.092300000000002</v>
      </c>
      <c r="L148" s="436">
        <v>54.576099999999997</v>
      </c>
      <c r="M148" s="436">
        <v>53.521300000000004</v>
      </c>
      <c r="N148" s="436">
        <v>54.167099999999998</v>
      </c>
      <c r="O148" s="436">
        <v>54.275500000000001</v>
      </c>
      <c r="P148" s="436">
        <v>54.214199999999998</v>
      </c>
      <c r="Q148" s="436">
        <v>53.813900000000004</v>
      </c>
      <c r="R148" s="436">
        <v>53.641599999999997</v>
      </c>
      <c r="S148" s="436">
        <v>54.001400000000004</v>
      </c>
      <c r="T148" s="437">
        <v>54.149900000000002</v>
      </c>
      <c r="U148" s="437">
        <v>66.016100000000009</v>
      </c>
      <c r="V148" s="437">
        <v>68.301400000000001</v>
      </c>
      <c r="W148" s="437">
        <v>55.997900000000001</v>
      </c>
      <c r="X148" s="436">
        <v>55.205599999999997</v>
      </c>
      <c r="Y148" s="436">
        <v>55.348199999999999</v>
      </c>
      <c r="Z148" s="21">
        <f>IFERROR(B148/'Ar-Pa'!B148,0)</f>
        <v>7.6921285714285714</v>
      </c>
      <c r="AA148" s="21">
        <f>IFERROR(C148/'Ar-Pa'!C148,0)</f>
        <v>7.7115857142857136</v>
      </c>
      <c r="AB148" s="21">
        <f>IFERROR(D148/'Ar-Pa'!D148,0)</f>
        <v>7.7360428571428574</v>
      </c>
      <c r="AC148" s="21">
        <f>IFERROR(E148/'Ar-Pa'!E148,0)</f>
        <v>7.7387142857142859</v>
      </c>
      <c r="AD148" s="21">
        <f>IFERROR(F148/'Ar-Pa'!F148,0)</f>
        <v>7.7442000000000002</v>
      </c>
      <c r="AE148" s="21">
        <f>IFERROR(G148/'Ar-Pa'!G148,0)</f>
        <v>7.7468285714285718</v>
      </c>
      <c r="AF148" s="21">
        <f>IFERROR(H148/'Ar-Pa'!H148,0)</f>
        <v>7.7423142857142855</v>
      </c>
      <c r="AG148" s="21">
        <f>IFERROR(I148/'Ar-Pa'!I148,0)</f>
        <v>7.7460999999999993</v>
      </c>
      <c r="AH148" s="21">
        <f>IFERROR(J148/'Ar-Pa'!J148,0)</f>
        <v>7.7125714285714286</v>
      </c>
      <c r="AI148" s="21">
        <f>IFERROR(K148/'Ar-Pa'!K148,0)</f>
        <v>6.7615375000000002</v>
      </c>
      <c r="AJ148" s="21">
        <f>IFERROR(L148/'Ar-Pa'!L148,0)</f>
        <v>6.8220124999999996</v>
      </c>
      <c r="AK148" s="21">
        <f>IFERROR(M148/'Ar-Pa'!M148,0)</f>
        <v>6.6901625000000005</v>
      </c>
      <c r="AL148" s="21">
        <f>IFERROR(N148/'Ar-Pa'!N148,0)</f>
        <v>6.7708874999999997</v>
      </c>
      <c r="AM148" s="21">
        <f>IFERROR(O148/'Ar-Pa'!O148,0)</f>
        <v>6.7844375000000001</v>
      </c>
      <c r="AN148" s="21">
        <f>IFERROR(P148/'Ar-Pa'!P148,0)</f>
        <v>6.7767749999999998</v>
      </c>
      <c r="AO148" s="21">
        <f>IFERROR(Q148/'Ar-Pa'!Q148,0)</f>
        <v>6.7267375000000005</v>
      </c>
      <c r="AP148" s="21">
        <f>IFERROR(R148/'Ar-Pa'!R148,0)</f>
        <v>6.7051999999999996</v>
      </c>
      <c r="AQ148" s="21">
        <f>IFERROR(S148/'Ar-Pa'!S148,0)</f>
        <v>6.7501750000000005</v>
      </c>
      <c r="AR148" s="21">
        <f>IFERROR(T148/'Ar-Pa'!T148,0)</f>
        <v>6.7687375000000003</v>
      </c>
      <c r="AS148" s="21">
        <f>IFERROR(U148/'Ar-Pa'!U148,0)</f>
        <v>8.2520125000000011</v>
      </c>
      <c r="AT148" s="21">
        <f>IFERROR(V148/'Ar-Pa'!V148,0)</f>
        <v>8.5376750000000001</v>
      </c>
      <c r="AU148" s="21">
        <f>IFERROR(W148/'Ar-Pa'!W148,0)</f>
        <v>6.9997375000000002</v>
      </c>
      <c r="AV148" s="21">
        <f>IFERROR(X148/'Ar-Pa'!X148,0)</f>
        <v>6.9006999999999996</v>
      </c>
      <c r="AW148" s="21">
        <f>IFERROR(Y148/'Ar-Pa'!Y148,0)</f>
        <v>6.9185249999999998</v>
      </c>
      <c r="AX148" s="21">
        <f t="shared" si="2"/>
        <v>174.73579821428575</v>
      </c>
    </row>
    <row r="149" spans="1:50">
      <c r="A149" s="15">
        <v>45074</v>
      </c>
      <c r="B149" s="436">
        <v>55.1828</v>
      </c>
      <c r="C149" s="436">
        <v>55.153199999999998</v>
      </c>
      <c r="D149" s="436">
        <v>55.058300000000003</v>
      </c>
      <c r="E149" s="436">
        <v>54.88</v>
      </c>
      <c r="F149" s="436">
        <v>55.1188</v>
      </c>
      <c r="G149" s="436">
        <v>54.571300000000001</v>
      </c>
      <c r="H149" s="436">
        <v>53.767199999999995</v>
      </c>
      <c r="I149" s="436">
        <v>53.875900000000001</v>
      </c>
      <c r="J149" s="436">
        <v>54.0428</v>
      </c>
      <c r="K149" s="436">
        <v>54.069099999999999</v>
      </c>
      <c r="L149" s="436">
        <v>54.1693</v>
      </c>
      <c r="M149" s="436">
        <v>53.843400000000003</v>
      </c>
      <c r="N149" s="436">
        <v>53.929400000000001</v>
      </c>
      <c r="O149" s="436">
        <v>53.738399999999999</v>
      </c>
      <c r="P149" s="436">
        <v>53.905900000000003</v>
      </c>
      <c r="Q149" s="436">
        <v>54.052800000000005</v>
      </c>
      <c r="R149" s="436">
        <v>54.320800000000006</v>
      </c>
      <c r="S149" s="436">
        <v>54.341300000000004</v>
      </c>
      <c r="T149" s="437">
        <v>54.233400000000003</v>
      </c>
      <c r="U149" s="437">
        <v>54.191199999999995</v>
      </c>
      <c r="V149" s="437">
        <v>68.0625</v>
      </c>
      <c r="W149" s="437">
        <v>54.851699999999994</v>
      </c>
      <c r="X149" s="436">
        <v>53.708500000000001</v>
      </c>
      <c r="Y149" s="436">
        <v>54.058399999999999</v>
      </c>
      <c r="Z149" s="21">
        <f>IFERROR(B149/'Ar-Pa'!B149,0)</f>
        <v>6.89785</v>
      </c>
      <c r="AA149" s="21">
        <f>IFERROR(C149/'Ar-Pa'!C149,0)</f>
        <v>6.8941499999999998</v>
      </c>
      <c r="AB149" s="21">
        <f>IFERROR(D149/'Ar-Pa'!D149,0)</f>
        <v>6.8822875000000003</v>
      </c>
      <c r="AC149" s="21">
        <f>IFERROR(E149/'Ar-Pa'!E149,0)</f>
        <v>6.86</v>
      </c>
      <c r="AD149" s="21">
        <f>IFERROR(F149/'Ar-Pa'!F149,0)</f>
        <v>6.88985</v>
      </c>
      <c r="AE149" s="21">
        <f>IFERROR(G149/'Ar-Pa'!G149,0)</f>
        <v>6.8214125000000001</v>
      </c>
      <c r="AF149" s="21">
        <f>IFERROR(H149/'Ar-Pa'!H149,0)</f>
        <v>6.7208999999999994</v>
      </c>
      <c r="AG149" s="21">
        <f>IFERROR(I149/'Ar-Pa'!I149,0)</f>
        <v>6.7344875000000002</v>
      </c>
      <c r="AH149" s="21">
        <f>IFERROR(J149/'Ar-Pa'!J149,0)</f>
        <v>6.75535</v>
      </c>
      <c r="AI149" s="21">
        <f>IFERROR(K149/'Ar-Pa'!K149,0)</f>
        <v>6.7586374999999999</v>
      </c>
      <c r="AJ149" s="21">
        <f>IFERROR(L149/'Ar-Pa'!L149,0)</f>
        <v>6.7711625</v>
      </c>
      <c r="AK149" s="21">
        <f>IFERROR(M149/'Ar-Pa'!M149,0)</f>
        <v>6.7304250000000003</v>
      </c>
      <c r="AL149" s="21">
        <f>IFERROR(N149/'Ar-Pa'!N149,0)</f>
        <v>6.7411750000000001</v>
      </c>
      <c r="AM149" s="21">
        <f>IFERROR(O149/'Ar-Pa'!O149,0)</f>
        <v>6.7172999999999998</v>
      </c>
      <c r="AN149" s="21">
        <f>IFERROR(P149/'Ar-Pa'!P149,0)</f>
        <v>6.7382375000000003</v>
      </c>
      <c r="AO149" s="21">
        <f>IFERROR(Q149/'Ar-Pa'!Q149,0)</f>
        <v>6.7566000000000006</v>
      </c>
      <c r="AP149" s="21">
        <f>IFERROR(R149/'Ar-Pa'!R149,0)</f>
        <v>6.7901000000000007</v>
      </c>
      <c r="AQ149" s="21">
        <f>IFERROR(S149/'Ar-Pa'!S149,0)</f>
        <v>6.7926625000000005</v>
      </c>
      <c r="AR149" s="21">
        <f>IFERROR(T149/'Ar-Pa'!T149,0)</f>
        <v>6.7791750000000004</v>
      </c>
      <c r="AS149" s="21">
        <f>IFERROR(U149/'Ar-Pa'!U149,0)</f>
        <v>6.7738999999999994</v>
      </c>
      <c r="AT149" s="21">
        <f>IFERROR(V149/'Ar-Pa'!V149,0)</f>
        <v>8.5078125</v>
      </c>
      <c r="AU149" s="21">
        <f>IFERROR(W149/'Ar-Pa'!W149,0)</f>
        <v>6.8564624999999992</v>
      </c>
      <c r="AV149" s="21">
        <f>IFERROR(X149/'Ar-Pa'!X149,0)</f>
        <v>6.7135625000000001</v>
      </c>
      <c r="AW149" s="21">
        <f>IFERROR(Y149/'Ar-Pa'!Y149,0)</f>
        <v>6.7572999999999999</v>
      </c>
      <c r="AX149" s="21">
        <f t="shared" si="2"/>
        <v>164.64079999999998</v>
      </c>
    </row>
    <row r="150" spans="1:50">
      <c r="A150" s="15">
        <v>45075</v>
      </c>
      <c r="B150" s="436">
        <v>54.868600000000001</v>
      </c>
      <c r="C150" s="436">
        <v>54.743099999999998</v>
      </c>
      <c r="D150" s="436">
        <v>54.661499999999997</v>
      </c>
      <c r="E150" s="436">
        <v>54.753399999999999</v>
      </c>
      <c r="F150" s="436">
        <v>54.894300000000001</v>
      </c>
      <c r="G150" s="436">
        <v>54.118300000000005</v>
      </c>
      <c r="H150" s="436">
        <v>54.123100000000001</v>
      </c>
      <c r="I150" s="436">
        <v>53.962699999999998</v>
      </c>
      <c r="J150" s="436">
        <v>54.918800000000005</v>
      </c>
      <c r="K150" s="436">
        <v>54.971599999999995</v>
      </c>
      <c r="L150" s="436">
        <v>55.2879</v>
      </c>
      <c r="M150" s="436">
        <v>55.147400000000005</v>
      </c>
      <c r="N150" s="436">
        <v>55.1096</v>
      </c>
      <c r="O150" s="436">
        <v>55.459600000000002</v>
      </c>
      <c r="P150" s="436">
        <v>54.414999999999999</v>
      </c>
      <c r="Q150" s="436">
        <v>54.398099999999999</v>
      </c>
      <c r="R150" s="436">
        <v>54.150500000000001</v>
      </c>
      <c r="S150" s="436">
        <v>54.0991</v>
      </c>
      <c r="T150" s="437">
        <v>55.943800000000003</v>
      </c>
      <c r="U150" s="437">
        <v>67.766100000000009</v>
      </c>
      <c r="V150" s="437">
        <v>68.302199999999999</v>
      </c>
      <c r="W150" s="437">
        <v>54.7973</v>
      </c>
      <c r="X150" s="436">
        <v>54.383400000000002</v>
      </c>
      <c r="Y150" s="436">
        <v>54.0276</v>
      </c>
      <c r="Z150" s="21">
        <f>IFERROR(B150/'Ar-Pa'!B150,0)</f>
        <v>6.8585750000000001</v>
      </c>
      <c r="AA150" s="21">
        <f>IFERROR(C150/'Ar-Pa'!C150,0)</f>
        <v>6.8428874999999998</v>
      </c>
      <c r="AB150" s="21">
        <f>IFERROR(D150/'Ar-Pa'!D150,0)</f>
        <v>6.8326874999999996</v>
      </c>
      <c r="AC150" s="21">
        <f>IFERROR(E150/'Ar-Pa'!E150,0)</f>
        <v>6.8441749999999999</v>
      </c>
      <c r="AD150" s="21">
        <f>IFERROR(F150/'Ar-Pa'!F150,0)</f>
        <v>6.8617875000000002</v>
      </c>
      <c r="AE150" s="21">
        <f>IFERROR(G150/'Ar-Pa'!G150,0)</f>
        <v>7.731185714285715</v>
      </c>
      <c r="AF150" s="21">
        <f>IFERROR(H150/'Ar-Pa'!H150,0)</f>
        <v>7.731871428571429</v>
      </c>
      <c r="AG150" s="21">
        <f>IFERROR(I150/'Ar-Pa'!I150,0)</f>
        <v>7.7089571428571428</v>
      </c>
      <c r="AH150" s="21">
        <f>IFERROR(J150/'Ar-Pa'!J150,0)</f>
        <v>6.8648500000000006</v>
      </c>
      <c r="AI150" s="21">
        <f>IFERROR(K150/'Ar-Pa'!K150,0)</f>
        <v>6.8714499999999994</v>
      </c>
      <c r="AJ150" s="21">
        <f>IFERROR(L150/'Ar-Pa'!L150,0)</f>
        <v>6.9109875000000001</v>
      </c>
      <c r="AK150" s="21">
        <f>IFERROR(M150/'Ar-Pa'!M150,0)</f>
        <v>6.8934250000000006</v>
      </c>
      <c r="AL150" s="21">
        <f>IFERROR(N150/'Ar-Pa'!N150,0)</f>
        <v>6.8887</v>
      </c>
      <c r="AM150" s="21">
        <f>IFERROR(O150/'Ar-Pa'!O150,0)</f>
        <v>6.9324500000000002</v>
      </c>
      <c r="AN150" s="21">
        <f>IFERROR(P150/'Ar-Pa'!P150,0)</f>
        <v>6.8018749999999999</v>
      </c>
      <c r="AO150" s="21">
        <f>IFERROR(Q150/'Ar-Pa'!Q150,0)</f>
        <v>6.7997624999999999</v>
      </c>
      <c r="AP150" s="21">
        <f>IFERROR(R150/'Ar-Pa'!R150,0)</f>
        <v>6.7688125000000001</v>
      </c>
      <c r="AQ150" s="21">
        <f>IFERROR(S150/'Ar-Pa'!S150,0)</f>
        <v>6.7623875</v>
      </c>
      <c r="AR150" s="21">
        <f>IFERROR(T150/'Ar-Pa'!T150,0)</f>
        <v>6.9929750000000004</v>
      </c>
      <c r="AS150" s="21">
        <f>IFERROR(U150/'Ar-Pa'!U150,0)</f>
        <v>8.4707625000000011</v>
      </c>
      <c r="AT150" s="21">
        <f>IFERROR(V150/'Ar-Pa'!V150,0)</f>
        <v>8.5377749999999999</v>
      </c>
      <c r="AU150" s="21">
        <f>IFERROR(W150/'Ar-Pa'!W150,0)</f>
        <v>6.8496625</v>
      </c>
      <c r="AV150" s="21">
        <f>IFERROR(X150/'Ar-Pa'!X150,0)</f>
        <v>6.7979250000000002</v>
      </c>
      <c r="AW150" s="21">
        <f>IFERROR(Y150/'Ar-Pa'!Y150,0)</f>
        <v>6.75345</v>
      </c>
      <c r="AX150" s="21">
        <f t="shared" si="2"/>
        <v>170.30937678571428</v>
      </c>
    </row>
    <row r="151" spans="1:50">
      <c r="A151" s="15">
        <v>45076</v>
      </c>
      <c r="B151" s="436">
        <v>54.505400000000002</v>
      </c>
      <c r="C151" s="436">
        <v>54.638400000000004</v>
      </c>
      <c r="D151" s="436">
        <v>54.680599999999998</v>
      </c>
      <c r="E151" s="436">
        <v>54.393599999999999</v>
      </c>
      <c r="F151" s="436">
        <v>54.448699999999995</v>
      </c>
      <c r="G151" s="436">
        <v>54.0486</v>
      </c>
      <c r="H151" s="436">
        <v>54.068199999999997</v>
      </c>
      <c r="I151" s="436">
        <v>54.510400000000004</v>
      </c>
      <c r="J151" s="436">
        <v>54.965499999999999</v>
      </c>
      <c r="K151" s="436">
        <v>55.347000000000001</v>
      </c>
      <c r="L151" s="436">
        <v>54.807600000000001</v>
      </c>
      <c r="M151" s="436">
        <v>54.563400000000001</v>
      </c>
      <c r="N151" s="436">
        <v>54.550199999999997</v>
      </c>
      <c r="O151" s="436">
        <v>54.619800000000005</v>
      </c>
      <c r="P151" s="436">
        <v>54.487300000000005</v>
      </c>
      <c r="Q151" s="436">
        <v>54.515999999999998</v>
      </c>
      <c r="R151" s="436">
        <v>54.152000000000001</v>
      </c>
      <c r="S151" s="436">
        <v>54.203900000000004</v>
      </c>
      <c r="T151" s="437">
        <v>54.703699999999998</v>
      </c>
      <c r="U151" s="437">
        <v>67.535499999999999</v>
      </c>
      <c r="V151" s="437">
        <v>67.890600000000006</v>
      </c>
      <c r="W151" s="437">
        <v>55.179300000000005</v>
      </c>
      <c r="X151" s="436">
        <v>54.305300000000003</v>
      </c>
      <c r="Y151" s="436">
        <v>54.625800000000005</v>
      </c>
      <c r="Z151" s="21">
        <f>IFERROR(B151/'Ar-Pa'!B151,0)</f>
        <v>6.8131750000000002</v>
      </c>
      <c r="AA151" s="21">
        <f>IFERROR(C151/'Ar-Pa'!C151,0)</f>
        <v>6.8298000000000005</v>
      </c>
      <c r="AB151" s="21">
        <f>IFERROR(D151/'Ar-Pa'!D151,0)</f>
        <v>6.8350749999999998</v>
      </c>
      <c r="AC151" s="21">
        <f>IFERROR(E151/'Ar-Pa'!E151,0)</f>
        <v>6.7991999999999999</v>
      </c>
      <c r="AD151" s="21">
        <f>IFERROR(F151/'Ar-Pa'!F151,0)</f>
        <v>6.8060874999999994</v>
      </c>
      <c r="AE151" s="21">
        <f>IFERROR(G151/'Ar-Pa'!G151,0)</f>
        <v>7.7212285714285711</v>
      </c>
      <c r="AF151" s="21">
        <f>IFERROR(H151/'Ar-Pa'!H151,0)</f>
        <v>7.7240285714285708</v>
      </c>
      <c r="AG151" s="21">
        <f>IFERROR(I151/'Ar-Pa'!I151,0)</f>
        <v>7.7872000000000003</v>
      </c>
      <c r="AH151" s="21">
        <f>IFERROR(J151/'Ar-Pa'!J151,0)</f>
        <v>6.8706874999999998</v>
      </c>
      <c r="AI151" s="21">
        <f>IFERROR(K151/'Ar-Pa'!K151,0)</f>
        <v>6.9183750000000002</v>
      </c>
      <c r="AJ151" s="21">
        <f>IFERROR(L151/'Ar-Pa'!L151,0)</f>
        <v>6.8509500000000001</v>
      </c>
      <c r="AK151" s="21">
        <f>IFERROR(M151/'Ar-Pa'!M151,0)</f>
        <v>6.8204250000000002</v>
      </c>
      <c r="AL151" s="21">
        <f>IFERROR(N151/'Ar-Pa'!N151,0)</f>
        <v>6.8187749999999996</v>
      </c>
      <c r="AM151" s="21">
        <f>IFERROR(O151/'Ar-Pa'!O151,0)</f>
        <v>6.8274750000000006</v>
      </c>
      <c r="AN151" s="21">
        <f>IFERROR(P151/'Ar-Pa'!P151,0)</f>
        <v>6.8109125000000006</v>
      </c>
      <c r="AO151" s="21">
        <f>IFERROR(Q151/'Ar-Pa'!Q151,0)</f>
        <v>6.8144999999999998</v>
      </c>
      <c r="AP151" s="21">
        <f>IFERROR(R151/'Ar-Pa'!R151,0)</f>
        <v>6.7690000000000001</v>
      </c>
      <c r="AQ151" s="21">
        <f>IFERROR(S151/'Ar-Pa'!S151,0)</f>
        <v>6.7754875000000006</v>
      </c>
      <c r="AR151" s="21">
        <f>IFERROR(T151/'Ar-Pa'!T151,0)</f>
        <v>6.8379624999999997</v>
      </c>
      <c r="AS151" s="21">
        <f>IFERROR(U151/'Ar-Pa'!U151,0)</f>
        <v>8.4419374999999999</v>
      </c>
      <c r="AT151" s="21">
        <f>IFERROR(V151/'Ar-Pa'!V151,0)</f>
        <v>8.4863250000000008</v>
      </c>
      <c r="AU151" s="21">
        <f>IFERROR(W151/'Ar-Pa'!W151,0)</f>
        <v>6.8974125000000006</v>
      </c>
      <c r="AV151" s="21">
        <f>IFERROR(X151/'Ar-Pa'!X151,0)</f>
        <v>6.7881625000000003</v>
      </c>
      <c r="AW151" s="21">
        <f>IFERROR(Y151/'Ar-Pa'!Y151,0)</f>
        <v>6.8282250000000007</v>
      </c>
      <c r="AX151" s="21">
        <f t="shared" si="2"/>
        <v>169.87240714285713</v>
      </c>
    </row>
    <row r="152" spans="1:50">
      <c r="A152" s="15">
        <v>45077</v>
      </c>
      <c r="B152" s="436">
        <v>54.8294</v>
      </c>
      <c r="C152" s="436">
        <v>54.738099999999996</v>
      </c>
      <c r="D152" s="436">
        <v>54.581900000000005</v>
      </c>
      <c r="E152" s="436">
        <v>53.696899999999999</v>
      </c>
      <c r="F152" s="436">
        <v>53.8523</v>
      </c>
      <c r="G152" s="436">
        <v>54.367699999999999</v>
      </c>
      <c r="H152" s="436">
        <v>54.106000000000002</v>
      </c>
      <c r="I152" s="436">
        <v>54.221800000000002</v>
      </c>
      <c r="J152" s="436">
        <v>54.2117</v>
      </c>
      <c r="K152" s="436">
        <v>53.724400000000003</v>
      </c>
      <c r="L152" s="436">
        <v>52.9998</v>
      </c>
      <c r="M152" s="436">
        <v>53.662300000000002</v>
      </c>
      <c r="N152" s="436">
        <v>53.649099999999997</v>
      </c>
      <c r="O152" s="436">
        <v>53.761000000000003</v>
      </c>
      <c r="P152" s="436">
        <v>54.003300000000003</v>
      </c>
      <c r="Q152" s="436">
        <v>54.0092</v>
      </c>
      <c r="R152" s="436">
        <v>53.724400000000003</v>
      </c>
      <c r="S152" s="436">
        <v>53.843800000000002</v>
      </c>
      <c r="T152" s="437">
        <v>54.059400000000004</v>
      </c>
      <c r="U152" s="437">
        <v>66.125600000000006</v>
      </c>
      <c r="V152" s="437">
        <v>68.107199999999992</v>
      </c>
      <c r="W152" s="437">
        <v>54.946300000000001</v>
      </c>
      <c r="X152" s="436">
        <v>53.874199999999995</v>
      </c>
      <c r="Y152" s="436">
        <v>53.765900000000002</v>
      </c>
      <c r="Z152" s="21">
        <f>IFERROR(B152/'Ar-Pa'!B152,0)</f>
        <v>6.853675</v>
      </c>
      <c r="AA152" s="21">
        <f>IFERROR(C152/'Ar-Pa'!C152,0)</f>
        <v>6.8422624999999995</v>
      </c>
      <c r="AB152" s="21">
        <f>IFERROR(D152/'Ar-Pa'!D152,0)</f>
        <v>6.8227375000000006</v>
      </c>
      <c r="AC152" s="21">
        <f>IFERROR(E152/'Ar-Pa'!E152,0)</f>
        <v>6.7121124999999999</v>
      </c>
      <c r="AD152" s="21">
        <f>IFERROR(F152/'Ar-Pa'!F152,0)</f>
        <v>6.7315375</v>
      </c>
      <c r="AE152" s="21">
        <f>IFERROR(G152/'Ar-Pa'!G152,0)</f>
        <v>7.7668142857142852</v>
      </c>
      <c r="AF152" s="21">
        <f>IFERROR(H152/'Ar-Pa'!H152,0)</f>
        <v>7.7294285714285715</v>
      </c>
      <c r="AG152" s="21">
        <f>IFERROR(I152/'Ar-Pa'!I152,0)</f>
        <v>7.745971428571429</v>
      </c>
      <c r="AH152" s="21">
        <f>IFERROR(J152/'Ar-Pa'!J152,0)</f>
        <v>7.7445285714285719</v>
      </c>
      <c r="AI152" s="21">
        <f>IFERROR(K152/'Ar-Pa'!K152,0)</f>
        <v>6.7155500000000004</v>
      </c>
      <c r="AJ152" s="21">
        <f>IFERROR(L152/'Ar-Pa'!L152,0)</f>
        <v>6.6249750000000001</v>
      </c>
      <c r="AK152" s="21">
        <f>IFERROR(M152/'Ar-Pa'!M152,0)</f>
        <v>6.7077875000000002</v>
      </c>
      <c r="AL152" s="21">
        <f>IFERROR(N152/'Ar-Pa'!N152,0)</f>
        <v>6.7061374999999996</v>
      </c>
      <c r="AM152" s="21">
        <f>IFERROR(O152/'Ar-Pa'!O152,0)</f>
        <v>6.7201250000000003</v>
      </c>
      <c r="AN152" s="21">
        <f>IFERROR(P152/'Ar-Pa'!P152,0)</f>
        <v>6.7504125000000004</v>
      </c>
      <c r="AO152" s="21">
        <f>IFERROR(Q152/'Ar-Pa'!Q152,0)</f>
        <v>6.75115</v>
      </c>
      <c r="AP152" s="21">
        <f>IFERROR(R152/'Ar-Pa'!R152,0)</f>
        <v>6.7155500000000004</v>
      </c>
      <c r="AQ152" s="21">
        <f>IFERROR(S152/'Ar-Pa'!S152,0)</f>
        <v>6.7304750000000002</v>
      </c>
      <c r="AR152" s="21">
        <f>IFERROR(T152/'Ar-Pa'!T152,0)</f>
        <v>6.7574250000000005</v>
      </c>
      <c r="AS152" s="21">
        <f>IFERROR(U152/'Ar-Pa'!U152,0)</f>
        <v>8.2657000000000007</v>
      </c>
      <c r="AT152" s="21">
        <f>IFERROR(V152/'Ar-Pa'!V152,0)</f>
        <v>8.513399999999999</v>
      </c>
      <c r="AU152" s="21">
        <f>IFERROR(W152/'Ar-Pa'!W152,0)</f>
        <v>6.8682875000000001</v>
      </c>
      <c r="AV152" s="21">
        <f>IFERROR(X152/'Ar-Pa'!X152,0)</f>
        <v>6.7342749999999993</v>
      </c>
      <c r="AW152" s="21">
        <f>IFERROR(Y152/'Ar-Pa'!Y152,0)</f>
        <v>6.7207375000000003</v>
      </c>
      <c r="AX152" s="21">
        <f t="shared" si="2"/>
        <v>169.23105535714285</v>
      </c>
    </row>
    <row r="153" spans="1:50">
      <c r="A153" s="15">
        <v>45078</v>
      </c>
      <c r="B153" s="436">
        <v>53.926199999999994</v>
      </c>
      <c r="C153" s="436">
        <v>53.9011</v>
      </c>
      <c r="D153" s="436">
        <v>53.908900000000003</v>
      </c>
      <c r="E153" s="436">
        <v>53.906999999999996</v>
      </c>
      <c r="F153" s="436">
        <v>53.709199999999996</v>
      </c>
      <c r="G153" s="436">
        <v>53.791400000000003</v>
      </c>
      <c r="H153" s="436">
        <v>53.6297</v>
      </c>
      <c r="I153" s="436">
        <v>53.656400000000005</v>
      </c>
      <c r="J153" s="436">
        <v>53.493499999999997</v>
      </c>
      <c r="K153" s="436">
        <v>53.411999999999999</v>
      </c>
      <c r="L153" s="436">
        <v>54.037300000000002</v>
      </c>
      <c r="M153" s="436">
        <v>54.047400000000003</v>
      </c>
      <c r="N153" s="436">
        <v>54.048099999999998</v>
      </c>
      <c r="O153" s="436">
        <v>54.055</v>
      </c>
      <c r="P153" s="436">
        <v>54.919699999999999</v>
      </c>
      <c r="Q153" s="436">
        <v>53.748899999999999</v>
      </c>
      <c r="R153" s="436">
        <v>53.785899999999998</v>
      </c>
      <c r="S153" s="436">
        <v>53.646900000000002</v>
      </c>
      <c r="T153" s="436">
        <v>67.532800000000009</v>
      </c>
      <c r="U153" s="436">
        <v>67.860900000000001</v>
      </c>
      <c r="V153" s="437">
        <v>67.886300000000006</v>
      </c>
      <c r="W153" s="437">
        <v>59.225900000000003</v>
      </c>
      <c r="X153" s="436">
        <v>54.603000000000002</v>
      </c>
      <c r="Y153" s="436">
        <v>54.283300000000004</v>
      </c>
      <c r="Z153" s="21">
        <f>IFERROR(B153/'Ar-Pa'!B153,0)</f>
        <v>6.7407749999999993</v>
      </c>
      <c r="AA153" s="21">
        <f>IFERROR(C153/'Ar-Pa'!C153,0)</f>
        <v>6.7376374999999999</v>
      </c>
      <c r="AB153" s="21">
        <f>IFERROR(D153/'Ar-Pa'!D153,0)</f>
        <v>6.7386125000000003</v>
      </c>
      <c r="AC153" s="21">
        <f>IFERROR(E153/'Ar-Pa'!E153,0)</f>
        <v>6.7383749999999996</v>
      </c>
      <c r="AD153" s="21">
        <f>IFERROR(F153/'Ar-Pa'!F153,0)</f>
        <v>6.7136499999999995</v>
      </c>
      <c r="AE153" s="21">
        <f>IFERROR(G153/'Ar-Pa'!G153,0)</f>
        <v>7.6844857142857146</v>
      </c>
      <c r="AF153" s="21">
        <f>IFERROR(H153/'Ar-Pa'!H153,0)</f>
        <v>7.6613857142857142</v>
      </c>
      <c r="AG153" s="21">
        <f>IFERROR(I153/'Ar-Pa'!I153,0)</f>
        <v>7.6652000000000005</v>
      </c>
      <c r="AH153" s="21">
        <f>IFERROR(J153/'Ar-Pa'!J153,0)</f>
        <v>6.6866874999999997</v>
      </c>
      <c r="AI153" s="21">
        <f>IFERROR(K153/'Ar-Pa'!K153,0)</f>
        <v>6.6764999999999999</v>
      </c>
      <c r="AJ153" s="21">
        <f>IFERROR(L153/'Ar-Pa'!L153,0)</f>
        <v>6.7546625000000002</v>
      </c>
      <c r="AK153" s="21">
        <f>IFERROR(M153/'Ar-Pa'!M153,0)</f>
        <v>6.7559250000000004</v>
      </c>
      <c r="AL153" s="21">
        <f>IFERROR(N153/'Ar-Pa'!N153,0)</f>
        <v>6.7560124999999998</v>
      </c>
      <c r="AM153" s="21">
        <f>IFERROR(O153/'Ar-Pa'!O153,0)</f>
        <v>6.756875</v>
      </c>
      <c r="AN153" s="21">
        <f>IFERROR(P153/'Ar-Pa'!P153,0)</f>
        <v>6.8649624999999999</v>
      </c>
      <c r="AO153" s="21">
        <f>IFERROR(Q153/'Ar-Pa'!Q153,0)</f>
        <v>6.7186124999999999</v>
      </c>
      <c r="AP153" s="21">
        <f>IFERROR(R153/'Ar-Pa'!R153,0)</f>
        <v>6.7232374999999998</v>
      </c>
      <c r="AQ153" s="21">
        <f>IFERROR(S153/'Ar-Pa'!S153,0)</f>
        <v>6.7058625000000003</v>
      </c>
      <c r="AR153" s="21">
        <f>IFERROR(T153/'Ar-Pa'!T153,0)</f>
        <v>8.4416000000000011</v>
      </c>
      <c r="AS153" s="21">
        <f>IFERROR(U153/'Ar-Pa'!U153,0)</f>
        <v>8.4826125000000001</v>
      </c>
      <c r="AT153" s="21">
        <f>IFERROR(V153/'Ar-Pa'!V153,0)</f>
        <v>8.4857875000000007</v>
      </c>
      <c r="AU153" s="21">
        <f>IFERROR(W153/'Ar-Pa'!W153,0)</f>
        <v>7.4032375000000004</v>
      </c>
      <c r="AV153" s="21">
        <f>IFERROR(X153/'Ar-Pa'!X153,0)</f>
        <v>6.8253750000000002</v>
      </c>
      <c r="AW153" s="21">
        <f>IFERROR(Y153/'Ar-Pa'!Y153,0)</f>
        <v>6.7854125000000005</v>
      </c>
      <c r="AX153" s="21">
        <f t="shared" si="2"/>
        <v>170.50348392857143</v>
      </c>
    </row>
    <row r="154" spans="1:50">
      <c r="A154" s="15">
        <v>45079</v>
      </c>
      <c r="B154" s="436">
        <v>54.165599999999998</v>
      </c>
      <c r="C154" s="436">
        <v>54.328400000000002</v>
      </c>
      <c r="D154" s="436">
        <v>54.290199999999999</v>
      </c>
      <c r="E154" s="436">
        <v>54.301099999999998</v>
      </c>
      <c r="F154" s="436">
        <v>54.5214</v>
      </c>
      <c r="G154" s="436">
        <v>54.271900000000002</v>
      </c>
      <c r="H154" s="436">
        <v>53.855699999999999</v>
      </c>
      <c r="I154" s="436">
        <v>54.1526</v>
      </c>
      <c r="J154" s="436">
        <v>54.110399999999998</v>
      </c>
      <c r="K154" s="436">
        <v>53.859099999999998</v>
      </c>
      <c r="L154" s="436">
        <v>54.150599999999997</v>
      </c>
      <c r="M154" s="436">
        <v>53.234900000000003</v>
      </c>
      <c r="N154" s="436">
        <v>52.652900000000002</v>
      </c>
      <c r="O154" s="436">
        <v>53.732500000000002</v>
      </c>
      <c r="P154" s="436">
        <v>53.862000000000002</v>
      </c>
      <c r="Q154" s="436">
        <v>53.9617</v>
      </c>
      <c r="R154" s="436">
        <v>53.878699999999995</v>
      </c>
      <c r="S154" s="436">
        <v>52.943800000000003</v>
      </c>
      <c r="T154" s="436">
        <v>53.232900000000001</v>
      </c>
      <c r="U154" s="436">
        <v>69.573300000000003</v>
      </c>
      <c r="V154" s="437">
        <v>69.851900000000001</v>
      </c>
      <c r="W154" s="437">
        <v>54.7971</v>
      </c>
      <c r="X154" s="436">
        <v>54.141500000000001</v>
      </c>
      <c r="Y154" s="436">
        <v>53.994300000000003</v>
      </c>
      <c r="Z154" s="21">
        <f>IFERROR(B154/'Ar-Pa'!B154,0)</f>
        <v>6.7706999999999997</v>
      </c>
      <c r="AA154" s="21">
        <f>IFERROR(C154/'Ar-Pa'!C154,0)</f>
        <v>6.7910500000000003</v>
      </c>
      <c r="AB154" s="21">
        <f>IFERROR(D154/'Ar-Pa'!D154,0)</f>
        <v>6.7862749999999998</v>
      </c>
      <c r="AC154" s="21">
        <f>IFERROR(E154/'Ar-Pa'!E154,0)</f>
        <v>6.7876374999999998</v>
      </c>
      <c r="AD154" s="21">
        <f>IFERROR(F154/'Ar-Pa'!F154,0)</f>
        <v>6.815175</v>
      </c>
      <c r="AE154" s="21">
        <f>IFERROR(G154/'Ar-Pa'!G154,0)</f>
        <v>7.7531285714285714</v>
      </c>
      <c r="AF154" s="21">
        <f>IFERROR(H154/'Ar-Pa'!H154,0)</f>
        <v>7.6936714285714283</v>
      </c>
      <c r="AG154" s="21">
        <f>IFERROR(I154/'Ar-Pa'!I154,0)</f>
        <v>7.7360857142857142</v>
      </c>
      <c r="AH154" s="21">
        <f>IFERROR(J154/'Ar-Pa'!J154,0)</f>
        <v>7.7300571428571425</v>
      </c>
      <c r="AI154" s="21">
        <f>IFERROR(K154/'Ar-Pa'!K154,0)</f>
        <v>6.7323874999999997</v>
      </c>
      <c r="AJ154" s="21">
        <f>IFERROR(L154/'Ar-Pa'!L154,0)</f>
        <v>6.7688249999999996</v>
      </c>
      <c r="AK154" s="21">
        <f>IFERROR(M154/'Ar-Pa'!M154,0)</f>
        <v>6.6543625000000004</v>
      </c>
      <c r="AL154" s="21">
        <f>IFERROR(N154/'Ar-Pa'!N154,0)</f>
        <v>6.5816125000000003</v>
      </c>
      <c r="AM154" s="21">
        <f>IFERROR(O154/'Ar-Pa'!O154,0)</f>
        <v>6.7165625000000002</v>
      </c>
      <c r="AN154" s="21">
        <f>IFERROR(P154/'Ar-Pa'!P154,0)</f>
        <v>6.7327500000000002</v>
      </c>
      <c r="AO154" s="21">
        <f>IFERROR(Q154/'Ar-Pa'!Q154,0)</f>
        <v>6.7452125000000001</v>
      </c>
      <c r="AP154" s="21">
        <f>IFERROR(R154/'Ar-Pa'!R154,0)</f>
        <v>6.7348374999999994</v>
      </c>
      <c r="AQ154" s="21">
        <f>IFERROR(S154/'Ar-Pa'!S154,0)</f>
        <v>6.6179750000000004</v>
      </c>
      <c r="AR154" s="21">
        <f>IFERROR(T154/'Ar-Pa'!T154,0)</f>
        <v>6.6541125000000001</v>
      </c>
      <c r="AS154" s="21">
        <f>IFERROR(U154/'Ar-Pa'!U154,0)</f>
        <v>8.6966625000000004</v>
      </c>
      <c r="AT154" s="21">
        <f>IFERROR(V154/'Ar-Pa'!V154,0)</f>
        <v>8.7314875000000001</v>
      </c>
      <c r="AU154" s="21">
        <f>IFERROR(W154/'Ar-Pa'!W154,0)</f>
        <v>6.8496375</v>
      </c>
      <c r="AV154" s="21">
        <f>IFERROR(X154/'Ar-Pa'!X154,0)</f>
        <v>6.7676875000000001</v>
      </c>
      <c r="AW154" s="21">
        <f>IFERROR(Y154/'Ar-Pa'!Y154,0)</f>
        <v>6.7492875000000003</v>
      </c>
      <c r="AX154" s="21">
        <f t="shared" si="2"/>
        <v>169.59718035714283</v>
      </c>
    </row>
    <row r="155" spans="1:50">
      <c r="A155" s="15">
        <v>45080</v>
      </c>
      <c r="B155" s="436">
        <v>54.3521</v>
      </c>
      <c r="C155" s="436">
        <v>54.476500000000001</v>
      </c>
      <c r="D155" s="436">
        <v>54.790800000000004</v>
      </c>
      <c r="E155" s="436">
        <v>54.753399999999999</v>
      </c>
      <c r="F155" s="436">
        <v>54.7044</v>
      </c>
      <c r="G155" s="436">
        <v>54.0764</v>
      </c>
      <c r="H155" s="436">
        <v>52.8855</v>
      </c>
      <c r="I155" s="436">
        <v>54.3917</v>
      </c>
      <c r="J155" s="436">
        <v>54.237900000000003</v>
      </c>
      <c r="K155" s="436">
        <v>54.287699999999994</v>
      </c>
      <c r="L155" s="436">
        <v>54.017000000000003</v>
      </c>
      <c r="M155" s="436">
        <v>54.190199999999997</v>
      </c>
      <c r="N155" s="436">
        <v>54.557199999999995</v>
      </c>
      <c r="O155" s="436">
        <v>54.454900000000002</v>
      </c>
      <c r="P155" s="436">
        <v>54.3416</v>
      </c>
      <c r="Q155" s="436">
        <v>56.511400000000002</v>
      </c>
      <c r="R155" s="436">
        <v>68.204499999999996</v>
      </c>
      <c r="S155" s="436">
        <v>68.844200000000001</v>
      </c>
      <c r="T155" s="436">
        <v>69.220100000000002</v>
      </c>
      <c r="U155" s="436">
        <v>68.161699999999996</v>
      </c>
      <c r="V155" s="437">
        <v>68.153100000000009</v>
      </c>
      <c r="W155" s="437">
        <v>68.179600000000008</v>
      </c>
      <c r="X155" s="436">
        <v>68.0411</v>
      </c>
      <c r="Y155" s="436">
        <v>67.31519999999999</v>
      </c>
      <c r="Z155" s="21">
        <f>IFERROR(B155/'Ar-Pa'!B155,0)</f>
        <v>6.7940125</v>
      </c>
      <c r="AA155" s="21">
        <f>IFERROR(C155/'Ar-Pa'!C155,0)</f>
        <v>6.8095625000000002</v>
      </c>
      <c r="AB155" s="21">
        <f>IFERROR(D155/'Ar-Pa'!D155,0)</f>
        <v>6.8488500000000005</v>
      </c>
      <c r="AC155" s="21">
        <f>IFERROR(E155/'Ar-Pa'!E155,0)</f>
        <v>6.8441749999999999</v>
      </c>
      <c r="AD155" s="21">
        <f>IFERROR(F155/'Ar-Pa'!F155,0)</f>
        <v>6.83805</v>
      </c>
      <c r="AE155" s="21">
        <f>IFERROR(G155/'Ar-Pa'!G155,0)</f>
        <v>6.7595499999999999</v>
      </c>
      <c r="AF155" s="21">
        <f>IFERROR(H155/'Ar-Pa'!H155,0)</f>
        <v>6.6106875</v>
      </c>
      <c r="AG155" s="21">
        <f>IFERROR(I155/'Ar-Pa'!I155,0)</f>
        <v>6.7989625</v>
      </c>
      <c r="AH155" s="21">
        <f>IFERROR(J155/'Ar-Pa'!J155,0)</f>
        <v>6.7797375000000004</v>
      </c>
      <c r="AI155" s="21">
        <f>IFERROR(K155/'Ar-Pa'!K155,0)</f>
        <v>6.7859624999999992</v>
      </c>
      <c r="AJ155" s="21">
        <f>IFERROR(L155/'Ar-Pa'!L155,0)</f>
        <v>6.7521250000000004</v>
      </c>
      <c r="AK155" s="21">
        <f>IFERROR(M155/'Ar-Pa'!M155,0)</f>
        <v>6.7737749999999997</v>
      </c>
      <c r="AL155" s="21">
        <f>IFERROR(N155/'Ar-Pa'!N155,0)</f>
        <v>6.8196499999999993</v>
      </c>
      <c r="AM155" s="21">
        <f>IFERROR(O155/'Ar-Pa'!O155,0)</f>
        <v>6.8068625000000003</v>
      </c>
      <c r="AN155" s="21">
        <f>IFERROR(P155/'Ar-Pa'!P155,0)</f>
        <v>6.7927</v>
      </c>
      <c r="AO155" s="21">
        <f>IFERROR(Q155/'Ar-Pa'!Q155,0)</f>
        <v>7.0639250000000002</v>
      </c>
      <c r="AP155" s="21">
        <f>IFERROR(R155/'Ar-Pa'!R155,0)</f>
        <v>8.5255624999999995</v>
      </c>
      <c r="AQ155" s="21">
        <f>IFERROR(S155/'Ar-Pa'!S155,0)</f>
        <v>8.6055250000000001</v>
      </c>
      <c r="AR155" s="21">
        <f>IFERROR(T155/'Ar-Pa'!T155,0)</f>
        <v>8.6525125000000003</v>
      </c>
      <c r="AS155" s="21">
        <f>IFERROR(U155/'Ar-Pa'!U155,0)</f>
        <v>8.5202124999999995</v>
      </c>
      <c r="AT155" s="21">
        <f>IFERROR(V155/'Ar-Pa'!V155,0)</f>
        <v>8.5191375000000011</v>
      </c>
      <c r="AU155" s="21">
        <f>IFERROR(W155/'Ar-Pa'!W155,0)</f>
        <v>8.522450000000001</v>
      </c>
      <c r="AV155" s="21">
        <f>IFERROR(X155/'Ar-Pa'!X155,0)</f>
        <v>8.5051375</v>
      </c>
      <c r="AW155" s="21">
        <f>IFERROR(Y155/'Ar-Pa'!Y155,0)</f>
        <v>8.4143999999999988</v>
      </c>
      <c r="AX155" s="21">
        <f t="shared" si="2"/>
        <v>177.14352499999995</v>
      </c>
    </row>
    <row r="156" spans="1:50">
      <c r="A156" s="15">
        <v>45081</v>
      </c>
      <c r="B156" s="436">
        <v>66.126800000000003</v>
      </c>
      <c r="C156" s="436">
        <v>53.518999999999998</v>
      </c>
      <c r="D156" s="436">
        <v>53.581499999999998</v>
      </c>
      <c r="E156" s="436">
        <v>53.561199999999999</v>
      </c>
      <c r="F156" s="436">
        <v>53.687199999999997</v>
      </c>
      <c r="G156" s="436">
        <v>53.544499999999999</v>
      </c>
      <c r="H156" s="436">
        <v>52.782800000000002</v>
      </c>
      <c r="I156" s="436">
        <v>54.7438</v>
      </c>
      <c r="J156" s="436">
        <v>53.913599999999995</v>
      </c>
      <c r="K156" s="436">
        <v>54.3277</v>
      </c>
      <c r="L156" s="436">
        <v>54.368600000000001</v>
      </c>
      <c r="M156" s="436">
        <v>54.399699999999996</v>
      </c>
      <c r="N156" s="436">
        <v>54.359300000000005</v>
      </c>
      <c r="O156" s="436">
        <v>54.406500000000001</v>
      </c>
      <c r="P156" s="436">
        <v>54.426900000000003</v>
      </c>
      <c r="Q156" s="436">
        <v>54.497199999999999</v>
      </c>
      <c r="R156" s="436">
        <v>54.6145</v>
      </c>
      <c r="S156" s="436">
        <v>54.332800000000006</v>
      </c>
      <c r="T156" s="436">
        <v>54.983699999999999</v>
      </c>
      <c r="U156" s="436">
        <v>60.207800000000006</v>
      </c>
      <c r="V156" s="437">
        <v>68.2804</v>
      </c>
      <c r="W156" s="437">
        <v>54.380699999999997</v>
      </c>
      <c r="X156" s="436">
        <v>53.456800000000001</v>
      </c>
      <c r="Y156" s="436">
        <v>53.658900000000003</v>
      </c>
      <c r="Z156" s="21">
        <f>IFERROR(B156/'Ar-Pa'!B156,0)</f>
        <v>8.2658500000000004</v>
      </c>
      <c r="AA156" s="21">
        <f>IFERROR(C156/'Ar-Pa'!C156,0)</f>
        <v>6.6898749999999998</v>
      </c>
      <c r="AB156" s="21">
        <f>IFERROR(D156/'Ar-Pa'!D156,0)</f>
        <v>6.6976874999999998</v>
      </c>
      <c r="AC156" s="21">
        <f>IFERROR(E156/'Ar-Pa'!E156,0)</f>
        <v>6.6951499999999999</v>
      </c>
      <c r="AD156" s="21">
        <f>IFERROR(F156/'Ar-Pa'!F156,0)</f>
        <v>6.7108999999999996</v>
      </c>
      <c r="AE156" s="21">
        <f>IFERROR(G156/'Ar-Pa'!G156,0)</f>
        <v>6.6930624999999999</v>
      </c>
      <c r="AF156" s="21">
        <f>IFERROR(H156/'Ar-Pa'!H156,0)</f>
        <v>7.5404</v>
      </c>
      <c r="AG156" s="21">
        <f>IFERROR(I156/'Ar-Pa'!I156,0)</f>
        <v>7.8205428571428568</v>
      </c>
      <c r="AH156" s="21">
        <f>IFERROR(J156/'Ar-Pa'!J156,0)</f>
        <v>6.7391999999999994</v>
      </c>
      <c r="AI156" s="21">
        <f>IFERROR(K156/'Ar-Pa'!K156,0)</f>
        <v>6.7909625</v>
      </c>
      <c r="AJ156" s="21">
        <f>IFERROR(L156/'Ar-Pa'!L156,0)</f>
        <v>6.7960750000000001</v>
      </c>
      <c r="AK156" s="21">
        <f>IFERROR(M156/'Ar-Pa'!M156,0)</f>
        <v>6.7999624999999995</v>
      </c>
      <c r="AL156" s="21">
        <f>IFERROR(N156/'Ar-Pa'!N156,0)</f>
        <v>6.7949125000000006</v>
      </c>
      <c r="AM156" s="21">
        <f>IFERROR(O156/'Ar-Pa'!O156,0)</f>
        <v>6.8008125000000001</v>
      </c>
      <c r="AN156" s="21">
        <f>IFERROR(P156/'Ar-Pa'!P156,0)</f>
        <v>6.8033625000000004</v>
      </c>
      <c r="AO156" s="21">
        <f>IFERROR(Q156/'Ar-Pa'!Q156,0)</f>
        <v>6.8121499999999999</v>
      </c>
      <c r="AP156" s="21">
        <f>IFERROR(R156/'Ar-Pa'!R156,0)</f>
        <v>6.8268125</v>
      </c>
      <c r="AQ156" s="21">
        <f>IFERROR(S156/'Ar-Pa'!S156,0)</f>
        <v>6.7916000000000007</v>
      </c>
      <c r="AR156" s="21">
        <f>IFERROR(T156/'Ar-Pa'!T156,0)</f>
        <v>6.8729624999999999</v>
      </c>
      <c r="AS156" s="21">
        <f>IFERROR(U156/'Ar-Pa'!U156,0)</f>
        <v>7.5259750000000007</v>
      </c>
      <c r="AT156" s="21">
        <f>IFERROR(V156/'Ar-Pa'!V156,0)</f>
        <v>8.53505</v>
      </c>
      <c r="AU156" s="21">
        <f>IFERROR(W156/'Ar-Pa'!W156,0)</f>
        <v>6.7975874999999997</v>
      </c>
      <c r="AV156" s="21">
        <f>IFERROR(X156/'Ar-Pa'!X156,0)</f>
        <v>6.6821000000000002</v>
      </c>
      <c r="AW156" s="21">
        <f>IFERROR(Y156/'Ar-Pa'!Y156,0)</f>
        <v>6.7073625000000003</v>
      </c>
      <c r="AX156" s="21">
        <f>SUM(Z156:AW156)</f>
        <v>168.19035535714283</v>
      </c>
    </row>
    <row r="157" spans="1:50">
      <c r="A157" s="15">
        <v>45082</v>
      </c>
      <c r="B157" s="436">
        <v>52.936999999999998</v>
      </c>
      <c r="C157" s="436">
        <v>54.0227</v>
      </c>
      <c r="D157" s="436">
        <v>54.525199999999998</v>
      </c>
      <c r="E157" s="436">
        <v>54.5242</v>
      </c>
      <c r="F157" s="436">
        <v>54.665500000000002</v>
      </c>
      <c r="G157" s="436">
        <v>54.785800000000002</v>
      </c>
      <c r="H157" s="436">
        <v>53.389400000000002</v>
      </c>
      <c r="I157" s="436">
        <v>53.588000000000001</v>
      </c>
      <c r="J157" s="436">
        <v>54.559400000000004</v>
      </c>
      <c r="K157" s="436">
        <v>54.521900000000002</v>
      </c>
      <c r="L157" s="436">
        <v>54.630699999999997</v>
      </c>
      <c r="M157" s="436">
        <v>54.517600000000002</v>
      </c>
      <c r="N157" s="436">
        <v>54.548999999999999</v>
      </c>
      <c r="O157" s="436">
        <v>54.486400000000003</v>
      </c>
      <c r="P157" s="436">
        <v>54.552099999999996</v>
      </c>
      <c r="Q157" s="436">
        <v>54.502800000000001</v>
      </c>
      <c r="R157" s="436">
        <v>54.344699999999996</v>
      </c>
      <c r="S157" s="436">
        <v>54.324199999999998</v>
      </c>
      <c r="T157" s="436">
        <v>60.9163</v>
      </c>
      <c r="U157" s="436">
        <v>67.757499999999993</v>
      </c>
      <c r="V157" s="437">
        <v>68.225800000000007</v>
      </c>
      <c r="W157" s="437">
        <v>55.318199999999997</v>
      </c>
      <c r="X157" s="436">
        <v>54.158900000000003</v>
      </c>
      <c r="Y157" s="436">
        <v>54.293300000000002</v>
      </c>
      <c r="Z157" s="21">
        <f>IFERROR(B157/'Ar-Pa'!B157,0)</f>
        <v>6.6171249999999997</v>
      </c>
      <c r="AA157" s="21">
        <f>IFERROR(C157/'Ar-Pa'!C157,0)</f>
        <v>6.7528375</v>
      </c>
      <c r="AB157" s="21">
        <f>IFERROR(D157/'Ar-Pa'!D157,0)</f>
        <v>6.8156499999999998</v>
      </c>
      <c r="AC157" s="21">
        <f>IFERROR(E157/'Ar-Pa'!E157,0)</f>
        <v>6.8155250000000001</v>
      </c>
      <c r="AD157" s="21">
        <f>IFERROR(F157/'Ar-Pa'!F157,0)</f>
        <v>6.8331875000000002</v>
      </c>
      <c r="AE157" s="21">
        <f>IFERROR(G157/'Ar-Pa'!G157,0)</f>
        <v>7.826542857142857</v>
      </c>
      <c r="AF157" s="21">
        <f>IFERROR(H157/'Ar-Pa'!H157,0)</f>
        <v>7.6270571428571428</v>
      </c>
      <c r="AG157" s="21">
        <f>IFERROR(I157/'Ar-Pa'!I157,0)</f>
        <v>7.6554285714285717</v>
      </c>
      <c r="AH157" s="21">
        <f>IFERROR(J157/'Ar-Pa'!J157,0)</f>
        <v>6.8199250000000005</v>
      </c>
      <c r="AI157" s="21">
        <f>IFERROR(K157/'Ar-Pa'!K157,0)</f>
        <v>6.8152375000000003</v>
      </c>
      <c r="AJ157" s="21">
        <f>IFERROR(L157/'Ar-Pa'!L157,0)</f>
        <v>6.8288374999999997</v>
      </c>
      <c r="AK157" s="21">
        <f>IFERROR(M157/'Ar-Pa'!M157,0)</f>
        <v>6.8147000000000002</v>
      </c>
      <c r="AL157" s="21">
        <f>IFERROR(N157/'Ar-Pa'!N157,0)</f>
        <v>6.8186249999999999</v>
      </c>
      <c r="AM157" s="21">
        <f>IFERROR(O157/'Ar-Pa'!O157,0)</f>
        <v>6.8108000000000004</v>
      </c>
      <c r="AN157" s="21">
        <f>IFERROR(P157/'Ar-Pa'!P157,0)</f>
        <v>6.8190124999999995</v>
      </c>
      <c r="AO157" s="21">
        <f>IFERROR(Q157/'Ar-Pa'!Q157,0)</f>
        <v>6.8128500000000001</v>
      </c>
      <c r="AP157" s="21">
        <f>IFERROR(R157/'Ar-Pa'!R157,0)</f>
        <v>6.7930874999999995</v>
      </c>
      <c r="AQ157" s="21">
        <f>IFERROR(S157/'Ar-Pa'!S157,0)</f>
        <v>6.7905249999999997</v>
      </c>
      <c r="AR157" s="21">
        <f>IFERROR(T157/'Ar-Pa'!T157,0)</f>
        <v>7.6145375</v>
      </c>
      <c r="AS157" s="21">
        <f>IFERROR(U157/'Ar-Pa'!U157,0)</f>
        <v>8.4696874999999991</v>
      </c>
      <c r="AT157" s="21">
        <f>IFERROR(V157/'Ar-Pa'!V157,0)</f>
        <v>8.5282250000000008</v>
      </c>
      <c r="AU157" s="21">
        <f>IFERROR(W157/'Ar-Pa'!W157,0)</f>
        <v>6.9147749999999997</v>
      </c>
      <c r="AV157" s="21">
        <f>IFERROR(X157/'Ar-Pa'!X157,0)</f>
        <v>6.7698625000000003</v>
      </c>
      <c r="AW157" s="21">
        <f>IFERROR(Y157/'Ar-Pa'!Y157,0)</f>
        <v>6.7866625000000003</v>
      </c>
      <c r="AX157" s="21">
        <f t="shared" si="2"/>
        <v>170.15070357142855</v>
      </c>
    </row>
    <row r="158" spans="1:50">
      <c r="A158" s="15">
        <v>45083</v>
      </c>
      <c r="B158" s="436">
        <v>54.109900000000003</v>
      </c>
      <c r="C158" s="436">
        <v>54.352400000000003</v>
      </c>
      <c r="D158" s="436">
        <v>54.122099999999996</v>
      </c>
      <c r="E158" s="436">
        <v>54.185400000000001</v>
      </c>
      <c r="F158" s="436">
        <v>53.814399999999999</v>
      </c>
      <c r="G158" s="436">
        <v>53.834699999999998</v>
      </c>
      <c r="H158" s="436">
        <v>53.690300000000001</v>
      </c>
      <c r="I158" s="436">
        <v>53.470300000000002</v>
      </c>
      <c r="J158" s="436">
        <v>53.633499999999998</v>
      </c>
      <c r="K158" s="436">
        <v>54.447800000000001</v>
      </c>
      <c r="L158" s="436">
        <v>54.6584</v>
      </c>
      <c r="M158" s="436">
        <v>54.529900000000005</v>
      </c>
      <c r="N158" s="436">
        <v>54.697300000000006</v>
      </c>
      <c r="O158" s="436">
        <v>54.632100000000001</v>
      </c>
      <c r="P158" s="436">
        <v>54.380099999999999</v>
      </c>
      <c r="Q158" s="436">
        <v>54.2913</v>
      </c>
      <c r="R158" s="436">
        <v>54.176300000000005</v>
      </c>
      <c r="S158" s="436">
        <v>54.368600000000001</v>
      </c>
      <c r="T158" s="436">
        <v>54.390699999999995</v>
      </c>
      <c r="U158" s="436">
        <v>61.093699999999998</v>
      </c>
      <c r="V158" s="437">
        <v>68.504100000000008</v>
      </c>
      <c r="W158" s="437">
        <v>54.947900000000004</v>
      </c>
      <c r="X158" s="436">
        <v>53.148699999999998</v>
      </c>
      <c r="Y158" s="436">
        <v>54.021900000000002</v>
      </c>
      <c r="Z158" s="21">
        <f>IFERROR(B158/'Ar-Pa'!B158,0)</f>
        <v>6.7637375000000004</v>
      </c>
      <c r="AA158" s="21">
        <f>IFERROR(C158/'Ar-Pa'!C158,0)</f>
        <v>6.7940500000000004</v>
      </c>
      <c r="AB158" s="21">
        <f>IFERROR(D158/'Ar-Pa'!D158,0)</f>
        <v>6.7652624999999995</v>
      </c>
      <c r="AC158" s="21">
        <f>IFERROR(E158/'Ar-Pa'!E158,0)</f>
        <v>6.7731750000000002</v>
      </c>
      <c r="AD158" s="21">
        <f>IFERROR(F158/'Ar-Pa'!F158,0)</f>
        <v>6.7267999999999999</v>
      </c>
      <c r="AE158" s="21">
        <f>IFERROR(G158/'Ar-Pa'!G158,0)</f>
        <v>7.6906714285714282</v>
      </c>
      <c r="AF158" s="21">
        <f>IFERROR(H158/'Ar-Pa'!H158,0)</f>
        <v>6.7112875000000001</v>
      </c>
      <c r="AG158" s="21">
        <f>IFERROR(I158/'Ar-Pa'!I158,0)</f>
        <v>7.6386142857142856</v>
      </c>
      <c r="AH158" s="21">
        <f>IFERROR(J158/'Ar-Pa'!J158,0)</f>
        <v>7.6619285714285708</v>
      </c>
      <c r="AI158" s="21">
        <f>IFERROR(K158/'Ar-Pa'!K158,0)</f>
        <v>6.8059750000000001</v>
      </c>
      <c r="AJ158" s="21">
        <f>IFERROR(L158/'Ar-Pa'!L158,0)</f>
        <v>6.8323</v>
      </c>
      <c r="AK158" s="21">
        <f>IFERROR(M158/'Ar-Pa'!M158,0)</f>
        <v>6.8162375000000006</v>
      </c>
      <c r="AL158" s="21">
        <f>IFERROR(N158/'Ar-Pa'!N158,0)</f>
        <v>6.8371625000000007</v>
      </c>
      <c r="AM158" s="21">
        <f>IFERROR(O158/'Ar-Pa'!O158,0)</f>
        <v>6.8290125000000002</v>
      </c>
      <c r="AN158" s="21">
        <f>IFERROR(P158/'Ar-Pa'!P158,0)</f>
        <v>6.7975124999999998</v>
      </c>
      <c r="AO158" s="21">
        <f>IFERROR(Q158/'Ar-Pa'!Q158,0)</f>
        <v>6.7864125</v>
      </c>
      <c r="AP158" s="21">
        <f>IFERROR(R158/'Ar-Pa'!R158,0)</f>
        <v>6.7720375000000006</v>
      </c>
      <c r="AQ158" s="21">
        <f>IFERROR(S158/'Ar-Pa'!S158,0)</f>
        <v>6.7960750000000001</v>
      </c>
      <c r="AR158" s="21">
        <f>IFERROR(T158/'Ar-Pa'!T158,0)</f>
        <v>6.7988374999999994</v>
      </c>
      <c r="AS158" s="21">
        <f>IFERROR(U158/'Ar-Pa'!U158,0)</f>
        <v>7.6367124999999998</v>
      </c>
      <c r="AT158" s="21">
        <f>IFERROR(V158/'Ar-Pa'!V158,0)</f>
        <v>8.563012500000001</v>
      </c>
      <c r="AU158" s="21">
        <f>IFERROR(W158/'Ar-Pa'!W158,0)</f>
        <v>6.8684875000000005</v>
      </c>
      <c r="AV158" s="21">
        <f>IFERROR(X158/'Ar-Pa'!X158,0)</f>
        <v>6.6435874999999998</v>
      </c>
      <c r="AW158" s="21">
        <f>IFERROR(Y158/'Ar-Pa'!Y158,0)</f>
        <v>6.7527375000000003</v>
      </c>
      <c r="AX158" s="21">
        <f t="shared" si="2"/>
        <v>168.06162678571428</v>
      </c>
    </row>
    <row r="159" spans="1:50">
      <c r="A159" s="15">
        <v>45084</v>
      </c>
      <c r="B159" s="436">
        <v>53.6173</v>
      </c>
      <c r="C159" s="436">
        <v>54.422400000000003</v>
      </c>
      <c r="D159" s="436">
        <v>54.46</v>
      </c>
      <c r="E159" s="436">
        <v>54.354199999999999</v>
      </c>
      <c r="F159" s="436">
        <v>54.597900000000003</v>
      </c>
      <c r="G159" s="436">
        <v>53.887900000000002</v>
      </c>
      <c r="H159" s="436">
        <v>54.046099999999996</v>
      </c>
      <c r="I159" s="436">
        <v>54.832500000000003</v>
      </c>
      <c r="J159" s="436">
        <v>54.821100000000001</v>
      </c>
      <c r="K159" s="436">
        <v>54.812800000000003</v>
      </c>
      <c r="L159" s="436">
        <v>54.811900000000001</v>
      </c>
      <c r="M159" s="436">
        <v>54.862699999999997</v>
      </c>
      <c r="N159" s="436">
        <v>68.724100000000007</v>
      </c>
      <c r="O159" s="436">
        <v>69.372500000000002</v>
      </c>
      <c r="P159" s="436">
        <v>69.326800000000006</v>
      </c>
      <c r="Q159" s="436">
        <v>70.012500000000003</v>
      </c>
      <c r="R159" s="436">
        <v>55.453000000000003</v>
      </c>
      <c r="S159" s="436">
        <v>53.847699999999996</v>
      </c>
      <c r="T159" s="436">
        <v>56.4726</v>
      </c>
      <c r="U159" s="436">
        <v>56.144599999999997</v>
      </c>
      <c r="V159" s="437">
        <v>68.068799999999996</v>
      </c>
      <c r="W159" s="437">
        <v>55.070599999999999</v>
      </c>
      <c r="X159" s="436">
        <v>53.972199999999994</v>
      </c>
      <c r="Y159" s="436">
        <v>53.718300000000006</v>
      </c>
      <c r="Z159" s="21">
        <f>IFERROR(B159/'Ar-Pa'!B159,0)</f>
        <v>6.7021625</v>
      </c>
      <c r="AA159" s="21">
        <f>IFERROR(C159/'Ar-Pa'!C159,0)</f>
        <v>6.8028000000000004</v>
      </c>
      <c r="AB159" s="21">
        <f>IFERROR(D159/'Ar-Pa'!D159,0)</f>
        <v>6.8075000000000001</v>
      </c>
      <c r="AC159" s="21">
        <f>IFERROR(E159/'Ar-Pa'!E159,0)</f>
        <v>6.7942749999999998</v>
      </c>
      <c r="AD159" s="21">
        <f>IFERROR(F159/'Ar-Pa'!F159,0)</f>
        <v>6.8247375000000003</v>
      </c>
      <c r="AE159" s="21">
        <f>IFERROR(G159/'Ar-Pa'!G159,0)</f>
        <v>7.6982714285714291</v>
      </c>
      <c r="AF159" s="21">
        <f>IFERROR(H159/'Ar-Pa'!H159,0)</f>
        <v>6.7557624999999994</v>
      </c>
      <c r="AG159" s="21">
        <f>IFERROR(I159/'Ar-Pa'!I159,0)</f>
        <v>6.8540625000000004</v>
      </c>
      <c r="AH159" s="21">
        <f>IFERROR(J159/'Ar-Pa'!J159,0)</f>
        <v>6.8526375000000002</v>
      </c>
      <c r="AI159" s="21">
        <f>IFERROR(K159/'Ar-Pa'!K159,0)</f>
        <v>6.8516000000000004</v>
      </c>
      <c r="AJ159" s="21">
        <f>IFERROR(L159/'Ar-Pa'!L159,0)</f>
        <v>6.8514875000000002</v>
      </c>
      <c r="AK159" s="21">
        <f>IFERROR(M159/'Ar-Pa'!M159,0)</f>
        <v>6.8578374999999996</v>
      </c>
      <c r="AL159" s="21">
        <f>IFERROR(N159/'Ar-Pa'!N159,0)</f>
        <v>8.5905125000000009</v>
      </c>
      <c r="AM159" s="21">
        <f>IFERROR(O159/'Ar-Pa'!O159,0)</f>
        <v>8.6715625000000003</v>
      </c>
      <c r="AN159" s="21">
        <f>IFERROR(P159/'Ar-Pa'!P159,0)</f>
        <v>8.6658500000000007</v>
      </c>
      <c r="AO159" s="21">
        <f>IFERROR(Q159/'Ar-Pa'!Q159,0)</f>
        <v>8.7515625000000004</v>
      </c>
      <c r="AP159" s="21">
        <f>IFERROR(R159/'Ar-Pa'!R159,0)</f>
        <v>6.9316250000000004</v>
      </c>
      <c r="AQ159" s="21">
        <f>IFERROR(S159/'Ar-Pa'!S159,0)</f>
        <v>6.7309624999999995</v>
      </c>
      <c r="AR159" s="21">
        <f>IFERROR(T159/'Ar-Pa'!T159,0)</f>
        <v>7.059075</v>
      </c>
      <c r="AS159" s="21">
        <f>IFERROR(U159/'Ar-Pa'!U159,0)</f>
        <v>7.0180749999999996</v>
      </c>
      <c r="AT159" s="21">
        <f>IFERROR(V159/'Ar-Pa'!V159,0)</f>
        <v>8.5085999999999995</v>
      </c>
      <c r="AU159" s="21">
        <f>IFERROR(W159/'Ar-Pa'!W159,0)</f>
        <v>6.8838249999999999</v>
      </c>
      <c r="AV159" s="21">
        <f>IFERROR(X159/'Ar-Pa'!X159,0)</f>
        <v>5.9969111111111104</v>
      </c>
      <c r="AW159" s="21">
        <f>IFERROR(Y159/'Ar-Pa'!Y159,0)</f>
        <v>6.7147875000000008</v>
      </c>
      <c r="AX159" s="21">
        <f t="shared" si="2"/>
        <v>173.17648253968258</v>
      </c>
    </row>
    <row r="160" spans="1:50">
      <c r="A160" s="15">
        <v>45085</v>
      </c>
      <c r="B160" s="436">
        <v>53.681400000000004</v>
      </c>
      <c r="C160" s="436">
        <v>53.6629</v>
      </c>
      <c r="D160" s="436">
        <v>54.867599999999996</v>
      </c>
      <c r="E160" s="436">
        <v>54.740699999999997</v>
      </c>
      <c r="F160" s="436">
        <v>54.526900000000005</v>
      </c>
      <c r="G160" s="436">
        <v>54.203800000000001</v>
      </c>
      <c r="H160" s="436">
        <v>53.760300000000001</v>
      </c>
      <c r="I160" s="436">
        <v>54.482800000000005</v>
      </c>
      <c r="J160" s="436">
        <v>53.717599999999997</v>
      </c>
      <c r="K160" s="436">
        <v>54.295199999999994</v>
      </c>
      <c r="L160" s="436">
        <v>53.570800000000006</v>
      </c>
      <c r="M160" s="436">
        <v>54.013300000000001</v>
      </c>
      <c r="N160" s="436">
        <v>54.203000000000003</v>
      </c>
      <c r="O160" s="436">
        <v>54.197000000000003</v>
      </c>
      <c r="P160" s="436">
        <v>54.256999999999998</v>
      </c>
      <c r="Q160" s="436">
        <v>54.0441</v>
      </c>
      <c r="R160" s="436">
        <v>54.0364</v>
      </c>
      <c r="S160" s="436">
        <v>53.068599999999996</v>
      </c>
      <c r="T160" s="436">
        <v>54.647300000000001</v>
      </c>
      <c r="U160" s="436">
        <v>53.832999999999998</v>
      </c>
      <c r="V160" s="437">
        <v>54.779300000000006</v>
      </c>
      <c r="W160" s="437">
        <v>54.701000000000001</v>
      </c>
      <c r="X160" s="436">
        <v>55.010100000000001</v>
      </c>
      <c r="Y160" s="436">
        <v>54.573999999999998</v>
      </c>
      <c r="Z160" s="21">
        <f>IFERROR(B160/'Ar-Pa'!B160,0)</f>
        <v>6.7101750000000004</v>
      </c>
      <c r="AA160" s="21">
        <f>IFERROR(C160/'Ar-Pa'!C160,0)</f>
        <v>6.7078625000000001</v>
      </c>
      <c r="AB160" s="21">
        <f>IFERROR(D160/'Ar-Pa'!D160,0)</f>
        <v>6.8584499999999995</v>
      </c>
      <c r="AC160" s="21">
        <f>IFERROR(E160/'Ar-Pa'!E160,0)</f>
        <v>6.8425874999999996</v>
      </c>
      <c r="AD160" s="21">
        <f>IFERROR(F160/'Ar-Pa'!F160,0)</f>
        <v>6.8158625000000006</v>
      </c>
      <c r="AE160" s="21">
        <f>IFERROR(G160/'Ar-Pa'!G160,0)</f>
        <v>6.7754750000000001</v>
      </c>
      <c r="AF160" s="21">
        <f>IFERROR(H160/'Ar-Pa'!H160,0)</f>
        <v>7.6800428571428574</v>
      </c>
      <c r="AG160" s="21">
        <f>IFERROR(I160/'Ar-Pa'!I160,0)</f>
        <v>7.7832571428571438</v>
      </c>
      <c r="AH160" s="21">
        <f>IFERROR(J160/'Ar-Pa'!J160,0)</f>
        <v>7.6739428571428565</v>
      </c>
      <c r="AI160" s="21">
        <f>IFERROR(K160/'Ar-Pa'!K160,0)</f>
        <v>7.7564571428571423</v>
      </c>
      <c r="AJ160" s="21">
        <f>IFERROR(L160/'Ar-Pa'!L160,0)</f>
        <v>6.6963500000000007</v>
      </c>
      <c r="AK160" s="21">
        <f>IFERROR(M160/'Ar-Pa'!M160,0)</f>
        <v>6.7516625000000001</v>
      </c>
      <c r="AL160" s="21">
        <f>IFERROR(N160/'Ar-Pa'!N160,0)</f>
        <v>6.7753750000000004</v>
      </c>
      <c r="AM160" s="21">
        <f>IFERROR(O160/'Ar-Pa'!O160,0)</f>
        <v>6.7746250000000003</v>
      </c>
      <c r="AN160" s="21">
        <f>IFERROR(P160/'Ar-Pa'!P160,0)</f>
        <v>6.7821249999999997</v>
      </c>
      <c r="AO160" s="21">
        <f>IFERROR(Q160/'Ar-Pa'!Q160,0)</f>
        <v>6.7555125</v>
      </c>
      <c r="AP160" s="21">
        <f>IFERROR(R160/'Ar-Pa'!R160,0)</f>
        <v>6.7545500000000001</v>
      </c>
      <c r="AQ160" s="21">
        <f>IFERROR(S160/'Ar-Pa'!S160,0)</f>
        <v>6.6335749999999996</v>
      </c>
      <c r="AR160" s="21">
        <f>IFERROR(T160/'Ar-Pa'!T160,0)</f>
        <v>6.8309125000000002</v>
      </c>
      <c r="AS160" s="21">
        <f>IFERROR(U160/'Ar-Pa'!U160,0)</f>
        <v>6.7291249999999998</v>
      </c>
      <c r="AT160" s="21">
        <f>IFERROR(V160/'Ar-Pa'!V160,0)</f>
        <v>6.8474125000000008</v>
      </c>
      <c r="AU160" s="21">
        <f>IFERROR(W160/'Ar-Pa'!W160,0)</f>
        <v>6.8376250000000001</v>
      </c>
      <c r="AV160" s="21">
        <f>IFERROR(X160/'Ar-Pa'!X160,0)</f>
        <v>6.1122333333333332</v>
      </c>
      <c r="AW160" s="21">
        <f>IFERROR(Y160/'Ar-Pa'!Y160,0)</f>
        <v>6.0637777777777773</v>
      </c>
      <c r="AX160" s="21">
        <f t="shared" si="2"/>
        <v>164.94897361111109</v>
      </c>
    </row>
    <row r="161" spans="1:50">
      <c r="A161" s="15">
        <v>45086</v>
      </c>
      <c r="B161" s="436">
        <v>54.383600000000001</v>
      </c>
      <c r="C161" s="436">
        <v>54.548199999999994</v>
      </c>
      <c r="D161" s="436">
        <v>54.045199999999994</v>
      </c>
      <c r="E161" s="436">
        <v>54.183099999999996</v>
      </c>
      <c r="F161" s="436">
        <v>54.193599999999996</v>
      </c>
      <c r="G161" s="436">
        <v>53.930500000000002</v>
      </c>
      <c r="H161" s="436">
        <v>53.745199999999997</v>
      </c>
      <c r="I161" s="436">
        <v>53.682699999999997</v>
      </c>
      <c r="J161" s="436">
        <v>53.905800000000006</v>
      </c>
      <c r="K161" s="436">
        <v>53.043800000000005</v>
      </c>
      <c r="L161" s="436">
        <v>53.008099999999999</v>
      </c>
      <c r="M161" s="436">
        <v>53.069499999999998</v>
      </c>
      <c r="N161" s="436">
        <v>52.998100000000001</v>
      </c>
      <c r="O161" s="436">
        <v>53.078199999999995</v>
      </c>
      <c r="P161" s="436">
        <v>53.110099999999996</v>
      </c>
      <c r="Q161" s="436">
        <v>53.037099999999995</v>
      </c>
      <c r="R161" s="436">
        <v>53.923900000000003</v>
      </c>
      <c r="S161" s="436">
        <v>55.198500000000003</v>
      </c>
      <c r="T161" s="436">
        <v>66.571799999999996</v>
      </c>
      <c r="U161" s="436">
        <v>72.269499999999994</v>
      </c>
      <c r="V161" s="437">
        <v>71.537999999999997</v>
      </c>
      <c r="W161" s="437">
        <v>54.849199999999996</v>
      </c>
      <c r="X161" s="436">
        <v>53.898699999999998</v>
      </c>
      <c r="Y161" s="436">
        <v>54.632199999999997</v>
      </c>
      <c r="Z161" s="21">
        <f>IFERROR(B161/'Ar-Pa'!B161,0)</f>
        <v>6.0426222222222226</v>
      </c>
      <c r="AA161" s="21">
        <f>IFERROR(C161/'Ar-Pa'!C161,0)</f>
        <v>6.0609111111111105</v>
      </c>
      <c r="AB161" s="21">
        <f>IFERROR(D161/'Ar-Pa'!D161,0)</f>
        <v>6.0050222222222214</v>
      </c>
      <c r="AC161" s="21">
        <f>IFERROR(E161/'Ar-Pa'!E161,0)</f>
        <v>6.7728874999999995</v>
      </c>
      <c r="AD161" s="21">
        <f>IFERROR(F161/'Ar-Pa'!F161,0)</f>
        <v>6.7741999999999996</v>
      </c>
      <c r="AE161" s="21">
        <f>IFERROR(G161/'Ar-Pa'!G161,0)</f>
        <v>6.7413125000000003</v>
      </c>
      <c r="AF161" s="21">
        <f>IFERROR(H161/'Ar-Pa'!H161,0)</f>
        <v>7.677885714285714</v>
      </c>
      <c r="AG161" s="21">
        <f>IFERROR(I161/'Ar-Pa'!I161,0)</f>
        <v>7.6689571428571428</v>
      </c>
      <c r="AH161" s="21">
        <f>IFERROR(J161/'Ar-Pa'!J161,0)</f>
        <v>6.7382250000000008</v>
      </c>
      <c r="AI161" s="21">
        <f>IFERROR(K161/'Ar-Pa'!K161,0)</f>
        <v>6.6304750000000006</v>
      </c>
      <c r="AJ161" s="21">
        <f>IFERROR(L161/'Ar-Pa'!L161,0)</f>
        <v>6.6260124999999999</v>
      </c>
      <c r="AK161" s="21">
        <f>IFERROR(M161/'Ar-Pa'!M161,0)</f>
        <v>6.6336874999999997</v>
      </c>
      <c r="AL161" s="21">
        <f>IFERROR(N161/'Ar-Pa'!N161,0)</f>
        <v>6.6247625000000001</v>
      </c>
      <c r="AM161" s="21">
        <f>IFERROR(O161/'Ar-Pa'!O161,0)</f>
        <v>6.6347749999999994</v>
      </c>
      <c r="AN161" s="21">
        <f>IFERROR(P161/'Ar-Pa'!P161,0)</f>
        <v>6.6387624999999995</v>
      </c>
      <c r="AO161" s="21">
        <f>IFERROR(Q161/'Ar-Pa'!Q161,0)</f>
        <v>6.6296374999999994</v>
      </c>
      <c r="AP161" s="21">
        <f>IFERROR(R161/'Ar-Pa'!R161,0)</f>
        <v>6.7404875000000004</v>
      </c>
      <c r="AQ161" s="21">
        <f>IFERROR(S161/'Ar-Pa'!S161,0)</f>
        <v>6.1331666666666669</v>
      </c>
      <c r="AR161" s="21">
        <f>IFERROR(T161/'Ar-Pa'!T161,0)</f>
        <v>7.396866666666666</v>
      </c>
      <c r="AS161" s="21">
        <f>IFERROR(U161/'Ar-Pa'!U161,0)</f>
        <v>8.0299444444444443</v>
      </c>
      <c r="AT161" s="21">
        <f>IFERROR(V161/'Ar-Pa'!V161,0)</f>
        <v>7.9486666666666661</v>
      </c>
      <c r="AU161" s="21">
        <f>IFERROR(W161/'Ar-Pa'!W161,0)</f>
        <v>6.0943555555555555</v>
      </c>
      <c r="AV161" s="21">
        <f>IFERROR(X161/'Ar-Pa'!X161,0)</f>
        <v>5.9887444444444444</v>
      </c>
      <c r="AW161" s="21">
        <f>IFERROR(Y161/'Ar-Pa'!Y161,0)</f>
        <v>6.0702444444444446</v>
      </c>
      <c r="AX161" s="21">
        <f t="shared" si="2"/>
        <v>161.30261230158732</v>
      </c>
    </row>
    <row r="162" spans="1:50">
      <c r="A162" s="15">
        <v>45087</v>
      </c>
      <c r="B162" s="436">
        <v>54.631399999999999</v>
      </c>
      <c r="C162" s="436">
        <v>54.4069</v>
      </c>
      <c r="D162" s="436">
        <v>54.396599999999999</v>
      </c>
      <c r="E162" s="436">
        <v>54.421399999999998</v>
      </c>
      <c r="F162" s="436">
        <v>54.372900000000001</v>
      </c>
      <c r="G162" s="436">
        <v>54.386499999999998</v>
      </c>
      <c r="H162" s="436">
        <v>54.373599999999996</v>
      </c>
      <c r="I162" s="436">
        <v>54.304300000000005</v>
      </c>
      <c r="J162" s="436">
        <v>54.204999999999998</v>
      </c>
      <c r="K162" s="436">
        <v>54.908000000000001</v>
      </c>
      <c r="L162" s="436">
        <v>53.125500000000002</v>
      </c>
      <c r="M162" s="436">
        <v>54.546599999999998</v>
      </c>
      <c r="N162" s="436">
        <v>53.244500000000002</v>
      </c>
      <c r="O162" s="436">
        <v>53.591000000000001</v>
      </c>
      <c r="P162" s="436">
        <v>53.722300000000004</v>
      </c>
      <c r="Q162" s="436">
        <v>53.448800000000006</v>
      </c>
      <c r="R162" s="436">
        <v>53.558900000000001</v>
      </c>
      <c r="S162" s="436">
        <v>53.531199999999998</v>
      </c>
      <c r="T162" s="436">
        <v>60.063600000000001</v>
      </c>
      <c r="U162" s="436">
        <v>53.596299999999999</v>
      </c>
      <c r="V162" s="437">
        <v>54.144400000000005</v>
      </c>
      <c r="W162" s="437">
        <v>54.467400000000005</v>
      </c>
      <c r="X162" s="436">
        <v>55.069099999999999</v>
      </c>
      <c r="Y162" s="436">
        <v>54.577199999999998</v>
      </c>
      <c r="Z162" s="21">
        <f>IFERROR(B162/'Ar-Pa'!B162,0)</f>
        <v>6.8289249999999999</v>
      </c>
      <c r="AA162" s="21">
        <f>IFERROR(C162/'Ar-Pa'!C162,0)</f>
        <v>6.8008625</v>
      </c>
      <c r="AB162" s="21">
        <f>IFERROR(D162/'Ar-Pa'!D162,0)</f>
        <v>6.7995749999999999</v>
      </c>
      <c r="AC162" s="21">
        <f>IFERROR(E162/'Ar-Pa'!E162,0)</f>
        <v>6.8026749999999998</v>
      </c>
      <c r="AD162" s="21">
        <f>IFERROR(F162/'Ar-Pa'!F162,0)</f>
        <v>6.7966125000000002</v>
      </c>
      <c r="AE162" s="21">
        <f>IFERROR(G162/'Ar-Pa'!G162,0)</f>
        <v>6.7983124999999998</v>
      </c>
      <c r="AF162" s="21">
        <f>IFERROR(H162/'Ar-Pa'!H162,0)</f>
        <v>6.7966999999999995</v>
      </c>
      <c r="AG162" s="21">
        <f>IFERROR(I162/'Ar-Pa'!I162,0)</f>
        <v>6.7880375000000006</v>
      </c>
      <c r="AH162" s="21">
        <f>IFERROR(J162/'Ar-Pa'!J162,0)</f>
        <v>6.7756249999999998</v>
      </c>
      <c r="AI162" s="21">
        <f>IFERROR(K162/'Ar-Pa'!K162,0)</f>
        <v>6.8635000000000002</v>
      </c>
      <c r="AJ162" s="21">
        <f>IFERROR(L162/'Ar-Pa'!L162,0)</f>
        <v>6.6406875000000003</v>
      </c>
      <c r="AK162" s="21">
        <f>IFERROR(M162/'Ar-Pa'!M162,0)</f>
        <v>6.8183249999999997</v>
      </c>
      <c r="AL162" s="21">
        <f>IFERROR(N162/'Ar-Pa'!N162,0)</f>
        <v>6.6555625000000003</v>
      </c>
      <c r="AM162" s="21">
        <f>IFERROR(O162/'Ar-Pa'!O162,0)</f>
        <v>6.6988750000000001</v>
      </c>
      <c r="AN162" s="21">
        <f>IFERROR(P162/'Ar-Pa'!P162,0)</f>
        <v>6.7152875000000005</v>
      </c>
      <c r="AO162" s="21">
        <f>IFERROR(Q162/'Ar-Pa'!Q162,0)</f>
        <v>6.6811000000000007</v>
      </c>
      <c r="AP162" s="21">
        <f>IFERROR(R162/'Ar-Pa'!R162,0)</f>
        <v>7.6512714285714285</v>
      </c>
      <c r="AQ162" s="21">
        <f>IFERROR(S162/'Ar-Pa'!S162,0)</f>
        <v>7.6473142857142857</v>
      </c>
      <c r="AR162" s="21">
        <f>IFERROR(T162/'Ar-Pa'!T162,0)</f>
        <v>7.5079500000000001</v>
      </c>
      <c r="AS162" s="21">
        <f>IFERROR(U162/'Ar-Pa'!U162,0)</f>
        <v>6.6995374999999999</v>
      </c>
      <c r="AT162" s="21">
        <f>IFERROR(V162/'Ar-Pa'!V162,0)</f>
        <v>6.0160444444444447</v>
      </c>
      <c r="AU162" s="21">
        <f>IFERROR(W162/'Ar-Pa'!W162,0)</f>
        <v>6.8084250000000006</v>
      </c>
      <c r="AV162" s="21">
        <f>IFERROR(X162/'Ar-Pa'!X162,0)</f>
        <v>6.8836374999999999</v>
      </c>
      <c r="AW162" s="21">
        <f>IFERROR(Y162/'Ar-Pa'!Y162,0)</f>
        <v>6.8221499999999997</v>
      </c>
      <c r="AX162" s="21">
        <f t="shared" si="2"/>
        <v>164.29699265873015</v>
      </c>
    </row>
    <row r="163" spans="1:50">
      <c r="A163" s="15">
        <v>45088</v>
      </c>
      <c r="B163" s="436">
        <v>54.658300000000004</v>
      </c>
      <c r="C163" s="436">
        <v>54.775599999999997</v>
      </c>
      <c r="D163" s="436">
        <v>54.5563</v>
      </c>
      <c r="E163" s="436">
        <v>54.553899999999999</v>
      </c>
      <c r="F163" s="436">
        <v>54.632800000000003</v>
      </c>
      <c r="G163" s="436">
        <v>54.457999999999998</v>
      </c>
      <c r="H163" s="436">
        <v>53.956900000000005</v>
      </c>
      <c r="I163" s="436">
        <v>53.765999999999998</v>
      </c>
      <c r="J163" s="436">
        <v>53.854900000000001</v>
      </c>
      <c r="K163" s="436">
        <v>54.3065</v>
      </c>
      <c r="L163" s="436">
        <v>54.611699999999999</v>
      </c>
      <c r="M163" s="436">
        <v>54.569600000000001</v>
      </c>
      <c r="N163" s="436">
        <v>54.533900000000003</v>
      </c>
      <c r="O163" s="436">
        <v>54.505499999999998</v>
      </c>
      <c r="P163" s="436">
        <v>54.543900000000001</v>
      </c>
      <c r="Q163" s="436">
        <v>54.671999999999997</v>
      </c>
      <c r="R163" s="436">
        <v>54.499300000000005</v>
      </c>
      <c r="S163" s="436">
        <v>54.5261</v>
      </c>
      <c r="T163" s="436">
        <v>54.854599999999998</v>
      </c>
      <c r="U163" s="436">
        <v>54.345599999999997</v>
      </c>
      <c r="V163" s="437">
        <v>54.212199999999996</v>
      </c>
      <c r="W163" s="437">
        <v>55.0914</v>
      </c>
      <c r="X163" s="436">
        <v>54.915900000000001</v>
      </c>
      <c r="Y163" s="436">
        <v>54.830400000000004</v>
      </c>
      <c r="Z163" s="21">
        <f>IFERROR(B163/'Ar-Pa'!B163,0)</f>
        <v>6.8322875000000005</v>
      </c>
      <c r="AA163" s="21">
        <f>IFERROR(C163/'Ar-Pa'!C163,0)</f>
        <v>6.8469499999999996</v>
      </c>
      <c r="AB163" s="21">
        <f>IFERROR(D163/'Ar-Pa'!D163,0)</f>
        <v>6.8195375</v>
      </c>
      <c r="AC163" s="21">
        <f>IFERROR(E163/'Ar-Pa'!E163,0)</f>
        <v>6.8192374999999998</v>
      </c>
      <c r="AD163" s="21">
        <f>IFERROR(F163/'Ar-Pa'!F163,0)</f>
        <v>6.8291000000000004</v>
      </c>
      <c r="AE163" s="21">
        <f>IFERROR(G163/'Ar-Pa'!G163,0)</f>
        <v>6.8072499999999998</v>
      </c>
      <c r="AF163" s="21">
        <f>IFERROR(H163/'Ar-Pa'!H163,0)</f>
        <v>6.7446125000000006</v>
      </c>
      <c r="AG163" s="21">
        <f>IFERROR(I163/'Ar-Pa'!I163,0)</f>
        <v>7.6808571428571426</v>
      </c>
      <c r="AH163" s="21">
        <f>IFERROR(J163/'Ar-Pa'!J163,0)</f>
        <v>7.6935571428571432</v>
      </c>
      <c r="AI163" s="21">
        <f>IFERROR(K163/'Ar-Pa'!K163,0)</f>
        <v>6.7883125</v>
      </c>
      <c r="AJ163" s="21">
        <f>IFERROR(L163/'Ar-Pa'!L163,0)</f>
        <v>6.8264624999999999</v>
      </c>
      <c r="AK163" s="21">
        <f>IFERROR(M163/'Ar-Pa'!M163,0)</f>
        <v>6.8212000000000002</v>
      </c>
      <c r="AL163" s="21">
        <f>IFERROR(N163/'Ar-Pa'!N163,0)</f>
        <v>6.8167375000000003</v>
      </c>
      <c r="AM163" s="21">
        <f>IFERROR(O163/'Ar-Pa'!O163,0)</f>
        <v>6.8131874999999997</v>
      </c>
      <c r="AN163" s="21">
        <f>IFERROR(P163/'Ar-Pa'!P163,0)</f>
        <v>6.8179875000000001</v>
      </c>
      <c r="AO163" s="21">
        <f>IFERROR(Q163/'Ar-Pa'!Q163,0)</f>
        <v>6.8339999999999996</v>
      </c>
      <c r="AP163" s="21">
        <f>IFERROR(R163/'Ar-Pa'!R163,0)</f>
        <v>6.8124125000000006</v>
      </c>
      <c r="AQ163" s="21">
        <f>IFERROR(S163/'Ar-Pa'!S163,0)</f>
        <v>6.8157624999999999</v>
      </c>
      <c r="AR163" s="21">
        <f>IFERROR(T163/'Ar-Pa'!T163,0)</f>
        <v>6.8568249999999997</v>
      </c>
      <c r="AS163" s="21">
        <f>IFERROR(U163/'Ar-Pa'!U163,0)</f>
        <v>6.7931999999999997</v>
      </c>
      <c r="AT163" s="21">
        <f>IFERROR(V163/'Ar-Pa'!V163,0)</f>
        <v>6.7765249999999995</v>
      </c>
      <c r="AU163" s="21">
        <f>IFERROR(W163/'Ar-Pa'!W163,0)</f>
        <v>6.1212666666666671</v>
      </c>
      <c r="AV163" s="21">
        <f>IFERROR(X163/'Ar-Pa'!X163,0)</f>
        <v>6.1017666666666663</v>
      </c>
      <c r="AW163" s="21">
        <f>IFERROR(Y163/'Ar-Pa'!Y163,0)</f>
        <v>6.0922666666666672</v>
      </c>
      <c r="AX163" s="21">
        <f t="shared" si="2"/>
        <v>163.16130178571427</v>
      </c>
    </row>
    <row r="164" spans="1:50">
      <c r="A164" s="15">
        <v>45089</v>
      </c>
      <c r="B164" s="436">
        <v>54.966099999999997</v>
      </c>
      <c r="C164" s="436">
        <v>54.962800000000001</v>
      </c>
      <c r="D164" s="436">
        <v>54.809899999999999</v>
      </c>
      <c r="E164" s="436">
        <v>53.715900000000005</v>
      </c>
      <c r="F164" s="436">
        <v>54.506500000000003</v>
      </c>
      <c r="G164" s="436">
        <v>54.527500000000003</v>
      </c>
      <c r="H164" s="436">
        <v>52.978199999999994</v>
      </c>
      <c r="I164" s="436">
        <v>53.936399999999999</v>
      </c>
      <c r="J164" s="436">
        <v>54.114100000000001</v>
      </c>
      <c r="K164" s="436">
        <v>54.633000000000003</v>
      </c>
      <c r="L164" s="436">
        <v>54.888100000000001</v>
      </c>
      <c r="M164" s="436">
        <v>54.712699999999998</v>
      </c>
      <c r="N164" s="436">
        <v>54.817699999999995</v>
      </c>
      <c r="O164" s="436">
        <v>54.701699999999995</v>
      </c>
      <c r="P164" s="436">
        <v>54.800199999999997</v>
      </c>
      <c r="Q164" s="436">
        <v>54.654900000000005</v>
      </c>
      <c r="R164" s="436">
        <v>54.493199999999995</v>
      </c>
      <c r="S164" s="436">
        <v>54.658699999999996</v>
      </c>
      <c r="T164" s="436">
        <v>54.649699999999996</v>
      </c>
      <c r="U164" s="436">
        <v>67.37939999999999</v>
      </c>
      <c r="V164" s="437">
        <v>68.498999999999995</v>
      </c>
      <c r="W164" s="437">
        <v>68.028999999999996</v>
      </c>
      <c r="X164" s="436">
        <v>67.383099999999999</v>
      </c>
      <c r="Y164" s="436">
        <v>67.914199999999994</v>
      </c>
      <c r="Z164" s="21">
        <f>IFERROR(B164/'Ar-Pa'!B164,0)</f>
        <v>6.8707624999999997</v>
      </c>
      <c r="AA164" s="21">
        <f>IFERROR(C164/'Ar-Pa'!C164,0)</f>
        <v>6.8703500000000002</v>
      </c>
      <c r="AB164" s="21">
        <f>IFERROR(D164/'Ar-Pa'!D164,0)</f>
        <v>6.8512374999999999</v>
      </c>
      <c r="AC164" s="21">
        <f>IFERROR(E164/'Ar-Pa'!E164,0)</f>
        <v>6.7144875000000006</v>
      </c>
      <c r="AD164" s="21">
        <f>IFERROR(F164/'Ar-Pa'!F164,0)</f>
        <v>6.8133125000000003</v>
      </c>
      <c r="AE164" s="21">
        <f>IFERROR(G164/'Ar-Pa'!G164,0)</f>
        <v>6.8159375000000004</v>
      </c>
      <c r="AF164" s="21">
        <f>IFERROR(H164/'Ar-Pa'!H164,0)</f>
        <v>7.5683142857142851</v>
      </c>
      <c r="AG164" s="21">
        <f>IFERROR(I164/'Ar-Pa'!I164,0)</f>
        <v>7.7051999999999996</v>
      </c>
      <c r="AH164" s="21">
        <f>IFERROR(J164/'Ar-Pa'!J164,0)</f>
        <v>6.7642625000000001</v>
      </c>
      <c r="AI164" s="21">
        <f>IFERROR(K164/'Ar-Pa'!K164,0)</f>
        <v>6.8291250000000003</v>
      </c>
      <c r="AJ164" s="21">
        <f>IFERROR(L164/'Ar-Pa'!L164,0)</f>
        <v>6.8610125000000002</v>
      </c>
      <c r="AK164" s="21">
        <f>IFERROR(M164/'Ar-Pa'!M164,0)</f>
        <v>6.8390874999999998</v>
      </c>
      <c r="AL164" s="21">
        <f>IFERROR(N164/'Ar-Pa'!N164,0)</f>
        <v>6.8522124999999994</v>
      </c>
      <c r="AM164" s="21">
        <f>IFERROR(O164/'Ar-Pa'!O164,0)</f>
        <v>6.8377124999999994</v>
      </c>
      <c r="AN164" s="21">
        <f>IFERROR(P164/'Ar-Pa'!P164,0)</f>
        <v>6.8500249999999996</v>
      </c>
      <c r="AO164" s="21">
        <f>IFERROR(Q164/'Ar-Pa'!Q164,0)</f>
        <v>6.8318625000000006</v>
      </c>
      <c r="AP164" s="21">
        <f>IFERROR(R164/'Ar-Pa'!R164,0)</f>
        <v>6.8116499999999993</v>
      </c>
      <c r="AQ164" s="21">
        <f>IFERROR(S164/'Ar-Pa'!S164,0)</f>
        <v>6.8323374999999995</v>
      </c>
      <c r="AR164" s="21">
        <f>IFERROR(T164/'Ar-Pa'!T164,0)</f>
        <v>6.8312124999999995</v>
      </c>
      <c r="AS164" s="21">
        <f>IFERROR(U164/'Ar-Pa'!U164,0)</f>
        <v>8.4224249999999987</v>
      </c>
      <c r="AT164" s="21">
        <f>IFERROR(V164/'Ar-Pa'!V164,0)</f>
        <v>8.5623749999999994</v>
      </c>
      <c r="AU164" s="21">
        <f>IFERROR(W164/'Ar-Pa'!W164,0)</f>
        <v>8.5036249999999995</v>
      </c>
      <c r="AV164" s="21">
        <f>IFERROR(X164/'Ar-Pa'!X164,0)</f>
        <v>8.4228874999999999</v>
      </c>
      <c r="AW164" s="21">
        <f>IFERROR(Y164/'Ar-Pa'!Y164,0)</f>
        <v>8.4892749999999992</v>
      </c>
      <c r="AX164" s="21">
        <f t="shared" si="2"/>
        <v>173.75068928571429</v>
      </c>
    </row>
    <row r="165" spans="1:50">
      <c r="A165" s="15">
        <v>45090</v>
      </c>
      <c r="B165" s="436">
        <v>60.401600000000002</v>
      </c>
      <c r="C165" s="436">
        <v>53.004899999999999</v>
      </c>
      <c r="D165" s="436">
        <v>53.048199999999994</v>
      </c>
      <c r="E165" s="436">
        <v>53.150500000000001</v>
      </c>
      <c r="F165" s="436">
        <v>53.095199999999998</v>
      </c>
      <c r="G165" s="436">
        <v>52.961800000000004</v>
      </c>
      <c r="H165" s="436">
        <v>52.698800000000006</v>
      </c>
      <c r="I165" s="436">
        <v>53.910699999999999</v>
      </c>
      <c r="J165" s="436">
        <v>54.3003</v>
      </c>
      <c r="K165" s="436">
        <v>54.685300000000005</v>
      </c>
      <c r="L165" s="436">
        <v>54.912800000000004</v>
      </c>
      <c r="M165" s="436">
        <v>54.4328</v>
      </c>
      <c r="N165" s="436">
        <v>54.933099999999996</v>
      </c>
      <c r="O165" s="436">
        <v>54.008600000000001</v>
      </c>
      <c r="P165" s="436">
        <v>54.426099999999998</v>
      </c>
      <c r="Q165" s="436">
        <v>62.707999999999998</v>
      </c>
      <c r="R165" s="436">
        <v>68.1828</v>
      </c>
      <c r="S165" s="436">
        <v>68.254499999999993</v>
      </c>
      <c r="T165" s="436">
        <v>68.415700000000001</v>
      </c>
      <c r="U165" s="436">
        <v>68.331600000000009</v>
      </c>
      <c r="V165" s="437">
        <v>68.231899999999996</v>
      </c>
      <c r="W165" s="437">
        <v>67.740700000000004</v>
      </c>
      <c r="X165" s="436">
        <v>68.046800000000005</v>
      </c>
      <c r="Y165" s="436">
        <v>66.091100000000012</v>
      </c>
      <c r="Z165" s="21">
        <f>IFERROR(B165/'Ar-Pa'!B165,0)</f>
        <v>7.5502000000000002</v>
      </c>
      <c r="AA165" s="21">
        <f>IFERROR(C165/'Ar-Pa'!C165,0)</f>
        <v>6.6256124999999999</v>
      </c>
      <c r="AB165" s="21">
        <f>IFERROR(D165/'Ar-Pa'!D165,0)</f>
        <v>6.6310249999999993</v>
      </c>
      <c r="AC165" s="21">
        <f>IFERROR(E165/'Ar-Pa'!E165,0)</f>
        <v>6.6438125000000001</v>
      </c>
      <c r="AD165" s="21">
        <f>IFERROR(F165/'Ar-Pa'!F165,0)</f>
        <v>6.6368999999999998</v>
      </c>
      <c r="AE165" s="21">
        <f>IFERROR(G165/'Ar-Pa'!G165,0)</f>
        <v>7.5659714285714292</v>
      </c>
      <c r="AF165" s="21">
        <f>IFERROR(H165/'Ar-Pa'!H165,0)</f>
        <v>7.5284000000000004</v>
      </c>
      <c r="AG165" s="21">
        <f>IFERROR(I165/'Ar-Pa'!I165,0)</f>
        <v>7.7015285714285708</v>
      </c>
      <c r="AH165" s="21">
        <f>IFERROR(J165/'Ar-Pa'!J165,0)</f>
        <v>6.7875375</v>
      </c>
      <c r="AI165" s="21">
        <f>IFERROR(K165/'Ar-Pa'!K165,0)</f>
        <v>6.8356625000000006</v>
      </c>
      <c r="AJ165" s="21">
        <f>IFERROR(L165/'Ar-Pa'!L165,0)</f>
        <v>6.8641000000000005</v>
      </c>
      <c r="AK165" s="21">
        <f>IFERROR(M165/'Ar-Pa'!M165,0)</f>
        <v>6.8041</v>
      </c>
      <c r="AL165" s="21">
        <f>IFERROR(N165/'Ar-Pa'!N165,0)</f>
        <v>6.8666374999999995</v>
      </c>
      <c r="AM165" s="21">
        <f>IFERROR(O165/'Ar-Pa'!O165,0)</f>
        <v>6.7510750000000002</v>
      </c>
      <c r="AN165" s="21">
        <f>IFERROR(P165/'Ar-Pa'!P165,0)</f>
        <v>6.8032624999999998</v>
      </c>
      <c r="AO165" s="21">
        <f>IFERROR(Q165/'Ar-Pa'!Q165,0)</f>
        <v>7.8384999999999998</v>
      </c>
      <c r="AP165" s="21">
        <f>IFERROR(R165/'Ar-Pa'!R165,0)</f>
        <v>8.52285</v>
      </c>
      <c r="AQ165" s="21">
        <f>IFERROR(S165/'Ar-Pa'!S165,0)</f>
        <v>8.5318124999999991</v>
      </c>
      <c r="AR165" s="21">
        <f>IFERROR(T165/'Ar-Pa'!T165,0)</f>
        <v>8.5519625000000001</v>
      </c>
      <c r="AS165" s="21">
        <f>IFERROR(U165/'Ar-Pa'!U165,0)</f>
        <v>8.5414500000000011</v>
      </c>
      <c r="AT165" s="21">
        <f>IFERROR(V165/'Ar-Pa'!V165,0)</f>
        <v>8.5289874999999995</v>
      </c>
      <c r="AU165" s="21">
        <f>IFERROR(W165/'Ar-Pa'!W165,0)</f>
        <v>8.4675875000000005</v>
      </c>
      <c r="AV165" s="21">
        <f>IFERROR(X165/'Ar-Pa'!X165,0)</f>
        <v>8.5058500000000006</v>
      </c>
      <c r="AW165" s="21">
        <f>IFERROR(Y165/'Ar-Pa'!Y165,0)</f>
        <v>8.2613875000000014</v>
      </c>
      <c r="AX165" s="21">
        <f t="shared" si="2"/>
        <v>180.34621250000001</v>
      </c>
    </row>
    <row r="166" spans="1:50">
      <c r="A166" s="15">
        <v>45091</v>
      </c>
      <c r="B166" s="436">
        <v>54.956600000000002</v>
      </c>
      <c r="C166" s="436">
        <v>54.140900000000002</v>
      </c>
      <c r="D166" s="436">
        <v>54.082900000000002</v>
      </c>
      <c r="E166" s="436">
        <v>54.079900000000002</v>
      </c>
      <c r="F166" s="436">
        <v>54.003099999999996</v>
      </c>
      <c r="G166" s="436">
        <v>54.097699999999996</v>
      </c>
      <c r="H166" s="436">
        <v>53.997999999999998</v>
      </c>
      <c r="I166" s="436">
        <v>54.113699999999994</v>
      </c>
      <c r="J166" s="436">
        <v>54.160599999999995</v>
      </c>
      <c r="K166" s="436">
        <v>54.0715</v>
      </c>
      <c r="L166" s="436">
        <v>54.409500000000001</v>
      </c>
      <c r="M166" s="436">
        <v>54.308</v>
      </c>
      <c r="N166" s="436">
        <v>54.238800000000005</v>
      </c>
      <c r="O166" s="436">
        <v>53.771300000000004</v>
      </c>
      <c r="P166" s="436">
        <v>57.369300000000003</v>
      </c>
      <c r="Q166" s="436">
        <v>67.807500000000005</v>
      </c>
      <c r="R166" s="436">
        <v>67.997600000000006</v>
      </c>
      <c r="S166" s="436">
        <v>68.619500000000002</v>
      </c>
      <c r="T166" s="436">
        <v>68.678200000000004</v>
      </c>
      <c r="U166" s="436">
        <v>67.80380000000001</v>
      </c>
      <c r="V166" s="437">
        <v>67.67</v>
      </c>
      <c r="W166" s="437">
        <v>67.825600000000009</v>
      </c>
      <c r="X166" s="436">
        <v>68.123899999999992</v>
      </c>
      <c r="Y166" s="436">
        <v>68.025600000000011</v>
      </c>
      <c r="Z166" s="21">
        <f>IFERROR(B166/'Ar-Pa'!B166,0)</f>
        <v>6.8695750000000002</v>
      </c>
      <c r="AA166" s="21">
        <f>IFERROR(C166/'Ar-Pa'!C166,0)</f>
        <v>6.7676125000000003</v>
      </c>
      <c r="AB166" s="21">
        <f>IFERROR(D166/'Ar-Pa'!D166,0)</f>
        <v>6.7603625000000003</v>
      </c>
      <c r="AC166" s="21">
        <f>IFERROR(E166/'Ar-Pa'!E166,0)</f>
        <v>6.7599875000000003</v>
      </c>
      <c r="AD166" s="21">
        <f>IFERROR(F166/'Ar-Pa'!F166,0)</f>
        <v>6.7503874999999995</v>
      </c>
      <c r="AE166" s="21">
        <f>IFERROR(G166/'Ar-Pa'!G166,0)</f>
        <v>6.7622124999999995</v>
      </c>
      <c r="AF166" s="21">
        <f>IFERROR(H166/'Ar-Pa'!H166,0)</f>
        <v>6.7497499999999997</v>
      </c>
      <c r="AG166" s="21">
        <f>IFERROR(I166/'Ar-Pa'!I166,0)</f>
        <v>6.7642124999999993</v>
      </c>
      <c r="AH166" s="21">
        <f>IFERROR(J166/'Ar-Pa'!J166,0)</f>
        <v>6.7700749999999994</v>
      </c>
      <c r="AI166" s="21">
        <f>IFERROR(K166/'Ar-Pa'!K166,0)</f>
        <v>6.7589375</v>
      </c>
      <c r="AJ166" s="21">
        <f>IFERROR(L166/'Ar-Pa'!L166,0)</f>
        <v>6.8011875000000002</v>
      </c>
      <c r="AK166" s="21">
        <f>IFERROR(M166/'Ar-Pa'!M166,0)</f>
        <v>6.7885</v>
      </c>
      <c r="AL166" s="21">
        <f>IFERROR(N166/'Ar-Pa'!N166,0)</f>
        <v>6.7798500000000006</v>
      </c>
      <c r="AM166" s="21">
        <f>IFERROR(O166/'Ar-Pa'!O166,0)</f>
        <v>6.7214125000000005</v>
      </c>
      <c r="AN166" s="21">
        <f>IFERROR(P166/'Ar-Pa'!P166,0)</f>
        <v>7.1711625000000003</v>
      </c>
      <c r="AO166" s="21">
        <f>IFERROR(Q166/'Ar-Pa'!Q166,0)</f>
        <v>8.4759375000000006</v>
      </c>
      <c r="AP166" s="21">
        <f>IFERROR(R166/'Ar-Pa'!R166,0)</f>
        <v>8.4997000000000007</v>
      </c>
      <c r="AQ166" s="21">
        <f>IFERROR(S166/'Ar-Pa'!S166,0)</f>
        <v>8.5774375000000003</v>
      </c>
      <c r="AR166" s="21">
        <f>IFERROR(T166/'Ar-Pa'!T166,0)</f>
        <v>8.5847750000000005</v>
      </c>
      <c r="AS166" s="21">
        <f>IFERROR(U166/'Ar-Pa'!U166,0)</f>
        <v>8.4754750000000012</v>
      </c>
      <c r="AT166" s="21">
        <f>IFERROR(V166/'Ar-Pa'!V166,0)</f>
        <v>8.4587500000000002</v>
      </c>
      <c r="AU166" s="21">
        <f>IFERROR(W166/'Ar-Pa'!W166,0)</f>
        <v>8.4782000000000011</v>
      </c>
      <c r="AV166" s="21">
        <f>IFERROR(X166/'Ar-Pa'!X166,0)</f>
        <v>8.515487499999999</v>
      </c>
      <c r="AW166" s="21">
        <f>IFERROR(Y166/'Ar-Pa'!Y166,0)</f>
        <v>8.5032000000000014</v>
      </c>
      <c r="AX166" s="21">
        <f t="shared" si="2"/>
        <v>178.54418749999996</v>
      </c>
    </row>
    <row r="167" spans="1:50">
      <c r="A167" s="15">
        <v>45092</v>
      </c>
      <c r="B167" s="436">
        <v>54.262900000000002</v>
      </c>
      <c r="C167" s="436">
        <v>53.301099999999998</v>
      </c>
      <c r="D167" s="436">
        <v>53.346400000000003</v>
      </c>
      <c r="E167" s="436">
        <v>53.346599999999995</v>
      </c>
      <c r="F167" s="436">
        <v>53.3446</v>
      </c>
      <c r="G167" s="436">
        <v>54.918599999999998</v>
      </c>
      <c r="H167" s="436">
        <v>53.436399999999999</v>
      </c>
      <c r="I167" s="436">
        <v>53.297599999999996</v>
      </c>
      <c r="J167" s="436">
        <v>55.610999999999997</v>
      </c>
      <c r="K167" s="436">
        <v>55.017900000000004</v>
      </c>
      <c r="L167" s="436">
        <v>54.404699999999998</v>
      </c>
      <c r="M167" s="436">
        <v>54.469000000000001</v>
      </c>
      <c r="N167" s="436">
        <v>54.645600000000002</v>
      </c>
      <c r="O167" s="436">
        <v>56.136000000000003</v>
      </c>
      <c r="P167" s="436">
        <v>68.257800000000003</v>
      </c>
      <c r="Q167" s="436">
        <v>67.462800000000001</v>
      </c>
      <c r="R167" s="436">
        <v>67.766199999999998</v>
      </c>
      <c r="S167" s="436">
        <v>55.023499999999999</v>
      </c>
      <c r="T167" s="436">
        <v>62.482900000000001</v>
      </c>
      <c r="U167" s="436">
        <v>69.015799999999999</v>
      </c>
      <c r="V167" s="437">
        <v>67.880499999999998</v>
      </c>
      <c r="W167" s="437">
        <v>65.565399999999997</v>
      </c>
      <c r="X167" s="436">
        <v>69.000600000000006</v>
      </c>
      <c r="Y167" s="436">
        <v>69.382499999999993</v>
      </c>
      <c r="Z167" s="21">
        <f>IFERROR(B167/'Ar-Pa'!B167,0)</f>
        <v>6.7828625000000002</v>
      </c>
      <c r="AA167" s="21">
        <f>IFERROR(C167/'Ar-Pa'!C167,0)</f>
        <v>6.6626374999999998</v>
      </c>
      <c r="AB167" s="21">
        <f>IFERROR(D167/'Ar-Pa'!D167,0)</f>
        <v>6.6683000000000003</v>
      </c>
      <c r="AC167" s="21">
        <f>IFERROR(E167/'Ar-Pa'!E167,0)</f>
        <v>6.6683249999999994</v>
      </c>
      <c r="AD167" s="21">
        <f>IFERROR(F167/'Ar-Pa'!F167,0)</f>
        <v>6.668075</v>
      </c>
      <c r="AE167" s="21">
        <f>IFERROR(G167/'Ar-Pa'!G167,0)</f>
        <v>7.8455142857142857</v>
      </c>
      <c r="AF167" s="21">
        <f>IFERROR(H167/'Ar-Pa'!H167,0)</f>
        <v>7.6337714285714284</v>
      </c>
      <c r="AG167" s="21">
        <f>IFERROR(I167/'Ar-Pa'!I167,0)</f>
        <v>7.6139428571428569</v>
      </c>
      <c r="AH167" s="21">
        <f>IFERROR(J167/'Ar-Pa'!J167,0)</f>
        <v>6.9513749999999996</v>
      </c>
      <c r="AI167" s="21">
        <f>IFERROR(K167/'Ar-Pa'!K167,0)</f>
        <v>6.8772375000000006</v>
      </c>
      <c r="AJ167" s="21">
        <f>IFERROR(L167/'Ar-Pa'!L167,0)</f>
        <v>6.8005874999999998</v>
      </c>
      <c r="AK167" s="21">
        <f>IFERROR(M167/'Ar-Pa'!M167,0)</f>
        <v>6.8086250000000001</v>
      </c>
      <c r="AL167" s="21">
        <f>IFERROR(N167/'Ar-Pa'!N167,0)</f>
        <v>6.8307000000000002</v>
      </c>
      <c r="AM167" s="21">
        <f>IFERROR(O167/'Ar-Pa'!O167,0)</f>
        <v>7.0170000000000003</v>
      </c>
      <c r="AN167" s="21">
        <f>IFERROR(P167/'Ar-Pa'!P167,0)</f>
        <v>8.5322250000000004</v>
      </c>
      <c r="AO167" s="21">
        <f>IFERROR(Q167/'Ar-Pa'!Q167,0)</f>
        <v>8.4328500000000002</v>
      </c>
      <c r="AP167" s="21">
        <f>IFERROR(R167/'Ar-Pa'!R167,0)</f>
        <v>8.4707749999999997</v>
      </c>
      <c r="AQ167" s="21">
        <f>IFERROR(S167/'Ar-Pa'!S167,0)</f>
        <v>6.8779374999999998</v>
      </c>
      <c r="AR167" s="21">
        <f>IFERROR(T167/'Ar-Pa'!T167,0)</f>
        <v>7.8103625000000001</v>
      </c>
      <c r="AS167" s="21">
        <f>IFERROR(U167/'Ar-Pa'!U167,0)</f>
        <v>8.6269749999999998</v>
      </c>
      <c r="AT167" s="21">
        <f>IFERROR(V167/'Ar-Pa'!V167,0)</f>
        <v>8.4850624999999997</v>
      </c>
      <c r="AU167" s="21">
        <f>IFERROR(W167/'Ar-Pa'!W167,0)</f>
        <v>8.1956749999999996</v>
      </c>
      <c r="AV167" s="21">
        <f>IFERROR(X167/'Ar-Pa'!X167,0)</f>
        <v>8.6250750000000007</v>
      </c>
      <c r="AW167" s="21">
        <f>IFERROR(Y167/'Ar-Pa'!Y167,0)</f>
        <v>8.6728124999999991</v>
      </c>
      <c r="AX167" s="21">
        <f t="shared" si="2"/>
        <v>180.55870357142854</v>
      </c>
    </row>
    <row r="168" spans="1:50">
      <c r="A168" s="15">
        <v>45093</v>
      </c>
      <c r="B168" s="436">
        <v>64.601699999999994</v>
      </c>
      <c r="C168" s="436">
        <v>54.709199999999996</v>
      </c>
      <c r="D168" s="436">
        <v>54.537800000000004</v>
      </c>
      <c r="E168" s="436">
        <v>54.613199999999999</v>
      </c>
      <c r="F168" s="436">
        <v>54.669199999999996</v>
      </c>
      <c r="G168" s="436">
        <v>54.694099999999999</v>
      </c>
      <c r="H168" s="436">
        <v>53.942399999999999</v>
      </c>
      <c r="I168" s="436">
        <v>54.646999999999998</v>
      </c>
      <c r="J168" s="436">
        <v>54.219000000000001</v>
      </c>
      <c r="K168" s="436">
        <v>54.045699999999997</v>
      </c>
      <c r="L168" s="436">
        <v>53.926499999999997</v>
      </c>
      <c r="M168" s="436">
        <v>54.110800000000005</v>
      </c>
      <c r="N168" s="436">
        <v>45.2971</v>
      </c>
      <c r="O168" s="436">
        <v>44.835000000000001</v>
      </c>
      <c r="P168" s="436">
        <v>58.069600000000001</v>
      </c>
      <c r="Q168" s="436">
        <v>59.2241</v>
      </c>
      <c r="R168" s="436">
        <v>62.499000000000002</v>
      </c>
      <c r="S168" s="436">
        <v>62.621900000000004</v>
      </c>
      <c r="T168" s="436">
        <v>61.142099999999999</v>
      </c>
      <c r="U168" s="436">
        <v>61.857599999999998</v>
      </c>
      <c r="V168" s="437">
        <v>60.155099999999997</v>
      </c>
      <c r="W168" s="437">
        <v>60.042499999999997</v>
      </c>
      <c r="X168" s="436">
        <v>60.096800000000002</v>
      </c>
      <c r="Y168" s="436">
        <v>60.085900000000002</v>
      </c>
      <c r="Z168" s="21">
        <f>IFERROR(B168/'Ar-Pa'!B168,0)</f>
        <v>8.0752124999999992</v>
      </c>
      <c r="AA168" s="21">
        <f>IFERROR(C168/'Ar-Pa'!C168,0)</f>
        <v>6.8386499999999995</v>
      </c>
      <c r="AB168" s="21">
        <f>IFERROR(D168/'Ar-Pa'!D168,0)</f>
        <v>6.8172250000000005</v>
      </c>
      <c r="AC168" s="21">
        <f>IFERROR(E168/'Ar-Pa'!E168,0)</f>
        <v>6.8266499999999999</v>
      </c>
      <c r="AD168" s="21">
        <f>IFERROR(F168/'Ar-Pa'!F168,0)</f>
        <v>6.8336499999999996</v>
      </c>
      <c r="AE168" s="21">
        <f>IFERROR(G168/'Ar-Pa'!G168,0)</f>
        <v>6.8367624999999999</v>
      </c>
      <c r="AF168" s="21">
        <f>IFERROR(H168/'Ar-Pa'!H168,0)</f>
        <v>6.7427999999999999</v>
      </c>
      <c r="AG168" s="21">
        <f>IFERROR(I168/'Ar-Pa'!I168,0)</f>
        <v>6.8308749999999998</v>
      </c>
      <c r="AH168" s="21">
        <f>IFERROR(J168/'Ar-Pa'!J168,0)</f>
        <v>6.7773750000000001</v>
      </c>
      <c r="AI168" s="21">
        <f>IFERROR(K168/'Ar-Pa'!K168,0)</f>
        <v>7.720814285714285</v>
      </c>
      <c r="AJ168" s="21">
        <f>IFERROR(L168/'Ar-Pa'!L168,0)</f>
        <v>7.703785714285714</v>
      </c>
      <c r="AK168" s="21">
        <f>IFERROR(M168/'Ar-Pa'!M168,0)</f>
        <v>7.7301142857142864</v>
      </c>
      <c r="AL168" s="21">
        <f>IFERROR(N168/'Ar-Pa'!N168,0)</f>
        <v>6.4710142857142854</v>
      </c>
      <c r="AM168" s="21">
        <f>IFERROR(O168/'Ar-Pa'!O168,0)</f>
        <v>6.4050000000000002</v>
      </c>
      <c r="AN168" s="21">
        <f>IFERROR(P168/'Ar-Pa'!P168,0)</f>
        <v>8.2956571428571433</v>
      </c>
      <c r="AO168" s="21">
        <f>IFERROR(Q168/'Ar-Pa'!Q168,0)</f>
        <v>8.460585714285715</v>
      </c>
      <c r="AP168" s="21">
        <f>IFERROR(R168/'Ar-Pa'!R168,0)</f>
        <v>8.9284285714285723</v>
      </c>
      <c r="AQ168" s="21">
        <f>IFERROR(S168/'Ar-Pa'!S168,0)</f>
        <v>8.9459857142857153</v>
      </c>
      <c r="AR168" s="21">
        <f>IFERROR(T168/'Ar-Pa'!T168,0)</f>
        <v>8.7345857142857142</v>
      </c>
      <c r="AS168" s="21">
        <f>IFERROR(U168/'Ar-Pa'!U168,0)</f>
        <v>8.8368000000000002</v>
      </c>
      <c r="AT168" s="21">
        <f>IFERROR(V168/'Ar-Pa'!V168,0)</f>
        <v>8.5935857142857142</v>
      </c>
      <c r="AU168" s="21">
        <f>IFERROR(W168/'Ar-Pa'!W168,0)</f>
        <v>8.5774999999999988</v>
      </c>
      <c r="AV168" s="21">
        <f>IFERROR(X168/'Ar-Pa'!X168,0)</f>
        <v>8.5852571428571434</v>
      </c>
      <c r="AW168" s="21">
        <f>IFERROR(Y168/'Ar-Pa'!Y168,0)</f>
        <v>8.5837000000000003</v>
      </c>
      <c r="AX168" s="21">
        <f t="shared" si="2"/>
        <v>185.15201428571427</v>
      </c>
    </row>
    <row r="169" spans="1:50">
      <c r="A169" s="15">
        <v>45094</v>
      </c>
      <c r="B169" s="436">
        <v>67.256799999999998</v>
      </c>
      <c r="C169" s="436">
        <v>55.165900000000001</v>
      </c>
      <c r="D169" s="436">
        <v>54.861699999999999</v>
      </c>
      <c r="E169" s="436">
        <v>55.017300000000006</v>
      </c>
      <c r="F169" s="436">
        <v>54.960500000000003</v>
      </c>
      <c r="G169" s="436">
        <v>54.838699999999996</v>
      </c>
      <c r="H169" s="436">
        <v>54.6203</v>
      </c>
      <c r="I169" s="436">
        <v>54.743300000000005</v>
      </c>
      <c r="J169" s="436">
        <v>54.728000000000002</v>
      </c>
      <c r="K169" s="436">
        <v>54.680800000000005</v>
      </c>
      <c r="L169" s="436">
        <v>54.708400000000005</v>
      </c>
      <c r="M169" s="436">
        <v>54.414400000000001</v>
      </c>
      <c r="N169" s="436">
        <v>54.374400000000001</v>
      </c>
      <c r="O169" s="436">
        <v>54.299500000000002</v>
      </c>
      <c r="P169" s="436">
        <v>54.481900000000003</v>
      </c>
      <c r="Q169" s="436">
        <v>54.294699999999999</v>
      </c>
      <c r="R169" s="436">
        <v>54.396599999999999</v>
      </c>
      <c r="S169" s="436">
        <v>54.275599999999997</v>
      </c>
      <c r="T169" s="436">
        <v>54.359499999999997</v>
      </c>
      <c r="U169" s="436">
        <v>68.1554</v>
      </c>
      <c r="V169" s="437">
        <v>68.685399999999987</v>
      </c>
      <c r="W169" s="437">
        <v>68.315600000000003</v>
      </c>
      <c r="X169" s="436">
        <v>58.998699999999999</v>
      </c>
      <c r="Y169" s="436">
        <v>54.210599999999999</v>
      </c>
      <c r="Z169" s="21">
        <f>IFERROR(B169/'Ar-Pa'!B169,0)</f>
        <v>8.4070999999999998</v>
      </c>
      <c r="AA169" s="21">
        <f>IFERROR(C169/'Ar-Pa'!C169,0)</f>
        <v>6.8957375000000001</v>
      </c>
      <c r="AB169" s="21">
        <f>IFERROR(D169/'Ar-Pa'!D169,0)</f>
        <v>6.8577124999999999</v>
      </c>
      <c r="AC169" s="21">
        <f>IFERROR(E169/'Ar-Pa'!E169,0)</f>
        <v>6.8771625000000007</v>
      </c>
      <c r="AD169" s="21">
        <f>IFERROR(F169/'Ar-Pa'!F169,0)</f>
        <v>6.8700625000000004</v>
      </c>
      <c r="AE169" s="21">
        <f>IFERROR(G169/'Ar-Pa'!G169,0)</f>
        <v>6.8548374999999995</v>
      </c>
      <c r="AF169" s="21">
        <f>IFERROR(H169/'Ar-Pa'!H169,0)</f>
        <v>6.8275375</v>
      </c>
      <c r="AG169" s="21">
        <f>IFERROR(I169/'Ar-Pa'!I169,0)</f>
        <v>6.8429125000000006</v>
      </c>
      <c r="AH169" s="21">
        <f>IFERROR(J169/'Ar-Pa'!J169,0)</f>
        <v>6.8410000000000002</v>
      </c>
      <c r="AI169" s="21">
        <f>IFERROR(K169/'Ar-Pa'!K169,0)</f>
        <v>6.8351000000000006</v>
      </c>
      <c r="AJ169" s="21">
        <f>IFERROR(L169/'Ar-Pa'!L169,0)</f>
        <v>6.8385500000000006</v>
      </c>
      <c r="AK169" s="21">
        <f>IFERROR(M169/'Ar-Pa'!M169,0)</f>
        <v>6.8018000000000001</v>
      </c>
      <c r="AL169" s="21">
        <f>IFERROR(N169/'Ar-Pa'!N169,0)</f>
        <v>6.7968000000000002</v>
      </c>
      <c r="AM169" s="21">
        <f>IFERROR(O169/'Ar-Pa'!O169,0)</f>
        <v>6.7874375000000002</v>
      </c>
      <c r="AN169" s="21">
        <f>IFERROR(P169/'Ar-Pa'!P169,0)</f>
        <v>6.8102375000000004</v>
      </c>
      <c r="AO169" s="21">
        <f>IFERROR(Q169/'Ar-Pa'!Q169,0)</f>
        <v>6.7868374999999999</v>
      </c>
      <c r="AP169" s="21">
        <f>IFERROR(R169/'Ar-Pa'!R169,0)</f>
        <v>6.7995749999999999</v>
      </c>
      <c r="AQ169" s="21">
        <f>IFERROR(S169/'Ar-Pa'!S169,0)</f>
        <v>6.7844499999999996</v>
      </c>
      <c r="AR169" s="21">
        <f>IFERROR(T169/'Ar-Pa'!T169,0)</f>
        <v>6.7949374999999996</v>
      </c>
      <c r="AS169" s="21">
        <f>IFERROR(U169/'Ar-Pa'!U169,0)</f>
        <v>8.519425</v>
      </c>
      <c r="AT169" s="21">
        <f>IFERROR(V169/'Ar-Pa'!V169,0)</f>
        <v>8.5856749999999984</v>
      </c>
      <c r="AU169" s="21">
        <f>IFERROR(W169/'Ar-Pa'!W169,0)</f>
        <v>8.5394500000000004</v>
      </c>
      <c r="AV169" s="21">
        <f>IFERROR(X169/'Ar-Pa'!X169,0)</f>
        <v>7.3748374999999999</v>
      </c>
      <c r="AW169" s="21">
        <f>IFERROR(Y169/'Ar-Pa'!Y169,0)</f>
        <v>6.7763249999999999</v>
      </c>
      <c r="AX169" s="21">
        <f t="shared" si="2"/>
        <v>171.10550000000006</v>
      </c>
    </row>
    <row r="170" spans="1:50">
      <c r="A170" s="15">
        <v>45095</v>
      </c>
      <c r="B170" s="436">
        <v>54.123400000000004</v>
      </c>
      <c r="C170" s="436">
        <v>54.434100000000001</v>
      </c>
      <c r="D170" s="436">
        <v>54.1648</v>
      </c>
      <c r="E170" s="436">
        <v>53.965600000000002</v>
      </c>
      <c r="F170" s="436">
        <v>54.163800000000002</v>
      </c>
      <c r="G170" s="436">
        <v>53.993699999999997</v>
      </c>
      <c r="H170" s="436">
        <v>54.470800000000004</v>
      </c>
      <c r="I170" s="436">
        <v>54.472000000000001</v>
      </c>
      <c r="J170" s="436">
        <v>54.575199999999995</v>
      </c>
      <c r="K170" s="436">
        <v>54.474299999999999</v>
      </c>
      <c r="L170" s="436">
        <v>54.400800000000004</v>
      </c>
      <c r="M170" s="436">
        <v>54.530900000000003</v>
      </c>
      <c r="N170" s="436">
        <v>54.3872</v>
      </c>
      <c r="O170" s="436">
        <v>54.279199999999996</v>
      </c>
      <c r="P170" s="436">
        <v>54.306100000000001</v>
      </c>
      <c r="Q170" s="436">
        <v>54.2926</v>
      </c>
      <c r="R170" s="436">
        <v>54.217599999999997</v>
      </c>
      <c r="S170" s="436">
        <v>54.079300000000003</v>
      </c>
      <c r="T170" s="436">
        <v>58.976699999999994</v>
      </c>
      <c r="U170" s="436">
        <v>67.909199999999998</v>
      </c>
      <c r="V170" s="437">
        <v>68.448800000000006</v>
      </c>
      <c r="W170" s="437">
        <v>68.337199999999996</v>
      </c>
      <c r="X170" s="436">
        <v>67.786100000000005</v>
      </c>
      <c r="Y170" s="436">
        <v>67.874100000000013</v>
      </c>
      <c r="Z170" s="21">
        <f>IFERROR(B170/'Ar-Pa'!B170,0)</f>
        <v>7.7319142857142866</v>
      </c>
      <c r="AA170" s="21">
        <f>IFERROR(C170/'Ar-Pa'!C170,0)</f>
        <v>7.7763</v>
      </c>
      <c r="AB170" s="21">
        <f>IFERROR(D170/'Ar-Pa'!D170,0)</f>
        <v>6.7706</v>
      </c>
      <c r="AC170" s="21">
        <f>IFERROR(E170/'Ar-Pa'!E170,0)</f>
        <v>6.7457000000000003</v>
      </c>
      <c r="AD170" s="21">
        <f>IFERROR(F170/'Ar-Pa'!F170,0)</f>
        <v>6.7704750000000002</v>
      </c>
      <c r="AE170" s="21">
        <f>IFERROR(G170/'Ar-Pa'!G170,0)</f>
        <v>6.7492124999999996</v>
      </c>
      <c r="AF170" s="21">
        <f>IFERROR(H170/'Ar-Pa'!H170,0)</f>
        <v>6.8088500000000005</v>
      </c>
      <c r="AG170" s="21">
        <f>IFERROR(I170/'Ar-Pa'!I170,0)</f>
        <v>6.8090000000000002</v>
      </c>
      <c r="AH170" s="21">
        <f>IFERROR(J170/'Ar-Pa'!J170,0)</f>
        <v>6.8218999999999994</v>
      </c>
      <c r="AI170" s="21">
        <f>IFERROR(K170/'Ar-Pa'!K170,0)</f>
        <v>6.8092874999999999</v>
      </c>
      <c r="AJ170" s="21">
        <f>IFERROR(L170/'Ar-Pa'!L170,0)</f>
        <v>6.8001000000000005</v>
      </c>
      <c r="AK170" s="21">
        <f>IFERROR(M170/'Ar-Pa'!M170,0)</f>
        <v>6.8163625000000003</v>
      </c>
      <c r="AL170" s="21">
        <f>IFERROR(N170/'Ar-Pa'!N170,0)</f>
        <v>6.7984</v>
      </c>
      <c r="AM170" s="21">
        <f>IFERROR(O170/'Ar-Pa'!O170,0)</f>
        <v>6.7848999999999995</v>
      </c>
      <c r="AN170" s="21">
        <f>IFERROR(P170/'Ar-Pa'!P170,0)</f>
        <v>6.7882625000000001</v>
      </c>
      <c r="AO170" s="21">
        <f>IFERROR(Q170/'Ar-Pa'!Q170,0)</f>
        <v>6.786575</v>
      </c>
      <c r="AP170" s="21">
        <f>IFERROR(R170/'Ar-Pa'!R170,0)</f>
        <v>6.7771999999999997</v>
      </c>
      <c r="AQ170" s="21">
        <f>IFERROR(S170/'Ar-Pa'!S170,0)</f>
        <v>6.7599125000000004</v>
      </c>
      <c r="AR170" s="21">
        <f>IFERROR(T170/'Ar-Pa'!T170,0)</f>
        <v>7.3720874999999992</v>
      </c>
      <c r="AS170" s="21">
        <f>IFERROR(U170/'Ar-Pa'!U170,0)</f>
        <v>8.4886499999999998</v>
      </c>
      <c r="AT170" s="21">
        <f>IFERROR(V170/'Ar-Pa'!V170,0)</f>
        <v>8.5561000000000007</v>
      </c>
      <c r="AU170" s="21">
        <f>IFERROR(W170/'Ar-Pa'!W170,0)</f>
        <v>8.5421499999999995</v>
      </c>
      <c r="AV170" s="21">
        <f>IFERROR(X170/'Ar-Pa'!X170,0)</f>
        <v>8.4732625000000006</v>
      </c>
      <c r="AW170" s="21">
        <f>IFERROR(Y170/'Ar-Pa'!Y170,0)</f>
        <v>8.4842625000000016</v>
      </c>
      <c r="AX170" s="21">
        <f t="shared" si="2"/>
        <v>174.02146428571425</v>
      </c>
    </row>
    <row r="171" spans="1:50">
      <c r="A171" s="15">
        <v>45096</v>
      </c>
      <c r="B171" s="436">
        <v>67.911699999999996</v>
      </c>
      <c r="C171" s="436">
        <v>55.1616</v>
      </c>
      <c r="D171" s="436">
        <v>53.781199999999998</v>
      </c>
      <c r="E171" s="436">
        <v>54.267199999999995</v>
      </c>
      <c r="F171" s="436">
        <v>54.354399999999998</v>
      </c>
      <c r="G171" s="436">
        <v>54.387999999999998</v>
      </c>
      <c r="H171" s="436">
        <v>54.2316</v>
      </c>
      <c r="I171" s="436">
        <v>52.588800000000006</v>
      </c>
      <c r="J171" s="436">
        <v>52.704000000000001</v>
      </c>
      <c r="K171" s="436">
        <v>53.472300000000004</v>
      </c>
      <c r="L171" s="436">
        <v>53.5991</v>
      </c>
      <c r="M171" s="436">
        <v>53.506300000000003</v>
      </c>
      <c r="N171" s="436">
        <v>53.616699999999994</v>
      </c>
      <c r="O171" s="436">
        <v>53.437899999999999</v>
      </c>
      <c r="P171" s="436">
        <v>53.488999999999997</v>
      </c>
      <c r="Q171" s="436">
        <v>53.507199999999997</v>
      </c>
      <c r="R171" s="436">
        <v>53.446400000000004</v>
      </c>
      <c r="S171" s="436">
        <v>53.409399999999998</v>
      </c>
      <c r="T171" s="436">
        <v>60.408199999999994</v>
      </c>
      <c r="U171" s="436">
        <v>68.2333</v>
      </c>
      <c r="V171" s="437">
        <v>68.372500000000002</v>
      </c>
      <c r="W171" s="437">
        <v>68.563299999999998</v>
      </c>
      <c r="X171" s="436">
        <v>68.351799999999997</v>
      </c>
      <c r="Y171" s="436">
        <v>55.4084</v>
      </c>
      <c r="Z171" s="21">
        <f>IFERROR(B171/'Ar-Pa'!B171,0)</f>
        <v>8.4889624999999995</v>
      </c>
      <c r="AA171" s="21">
        <f>IFERROR(C171/'Ar-Pa'!C171,0)</f>
        <v>6.8952</v>
      </c>
      <c r="AB171" s="21">
        <f>IFERROR(D171/'Ar-Pa'!D171,0)</f>
        <v>6.7226499999999998</v>
      </c>
      <c r="AC171" s="21">
        <f>IFERROR(E171/'Ar-Pa'!E171,0)</f>
        <v>6.7833999999999994</v>
      </c>
      <c r="AD171" s="21">
        <f>IFERROR(F171/'Ar-Pa'!F171,0)</f>
        <v>6.7942999999999998</v>
      </c>
      <c r="AE171" s="21">
        <f>IFERROR(G171/'Ar-Pa'!G171,0)</f>
        <v>6.7984999999999998</v>
      </c>
      <c r="AF171" s="21">
        <f>IFERROR(H171/'Ar-Pa'!H171,0)</f>
        <v>6.77895</v>
      </c>
      <c r="AG171" s="21">
        <f>IFERROR(I171/'Ar-Pa'!I171,0)</f>
        <v>6.5736000000000008</v>
      </c>
      <c r="AH171" s="21">
        <f>IFERROR(J171/'Ar-Pa'!J171,0)</f>
        <v>6.5880000000000001</v>
      </c>
      <c r="AI171" s="21">
        <f>IFERROR(K171/'Ar-Pa'!K171,0)</f>
        <v>6.6840375000000005</v>
      </c>
      <c r="AJ171" s="21">
        <f>IFERROR(L171/'Ar-Pa'!L171,0)</f>
        <v>6.6998875</v>
      </c>
      <c r="AK171" s="21">
        <f>IFERROR(M171/'Ar-Pa'!M171,0)</f>
        <v>6.6882875000000004</v>
      </c>
      <c r="AL171" s="21">
        <f>IFERROR(N171/'Ar-Pa'!N171,0)</f>
        <v>6.7020874999999993</v>
      </c>
      <c r="AM171" s="21">
        <f>IFERROR(O171/'Ar-Pa'!O171,0)</f>
        <v>6.6797374999999999</v>
      </c>
      <c r="AN171" s="21">
        <f>IFERROR(P171/'Ar-Pa'!P171,0)</f>
        <v>6.6861249999999997</v>
      </c>
      <c r="AO171" s="21">
        <f>IFERROR(Q171/'Ar-Pa'!Q171,0)</f>
        <v>6.6883999999999997</v>
      </c>
      <c r="AP171" s="21">
        <f>IFERROR(R171/'Ar-Pa'!R171,0)</f>
        <v>6.6808000000000005</v>
      </c>
      <c r="AQ171" s="21">
        <f>IFERROR(S171/'Ar-Pa'!S171,0)</f>
        <v>6.6761749999999997</v>
      </c>
      <c r="AR171" s="21">
        <f>IFERROR(T171/'Ar-Pa'!T171,0)</f>
        <v>7.5510249999999992</v>
      </c>
      <c r="AS171" s="21">
        <f>IFERROR(U171/'Ar-Pa'!U171,0)</f>
        <v>8.5291625</v>
      </c>
      <c r="AT171" s="21">
        <f>IFERROR(V171/'Ar-Pa'!V171,0)</f>
        <v>8.5465625000000003</v>
      </c>
      <c r="AU171" s="21">
        <f>IFERROR(W171/'Ar-Pa'!W171,0)</f>
        <v>8.5704124999999998</v>
      </c>
      <c r="AV171" s="21">
        <f>IFERROR(X171/'Ar-Pa'!X171,0)</f>
        <v>8.5439749999999997</v>
      </c>
      <c r="AW171" s="21">
        <f>IFERROR(Y171/'Ar-Pa'!Y171,0)</f>
        <v>6.92605</v>
      </c>
      <c r="AX171" s="21">
        <f t="shared" si="2"/>
        <v>171.27628750000002</v>
      </c>
    </row>
    <row r="172" spans="1:50">
      <c r="A172" s="15">
        <v>45097</v>
      </c>
      <c r="B172" s="436">
        <v>66.034999999999997</v>
      </c>
      <c r="C172" s="436">
        <v>68.480399999999989</v>
      </c>
      <c r="D172" s="436">
        <v>63.960599999999999</v>
      </c>
      <c r="E172" s="436">
        <v>54.602599999999995</v>
      </c>
      <c r="F172" s="436">
        <v>54.636699999999998</v>
      </c>
      <c r="G172" s="436">
        <v>54.874199999999995</v>
      </c>
      <c r="H172" s="436">
        <v>53.885199999999998</v>
      </c>
      <c r="I172" s="436">
        <v>54.541499999999999</v>
      </c>
      <c r="J172" s="436">
        <v>54.134999999999998</v>
      </c>
      <c r="K172" s="436">
        <v>54.291400000000003</v>
      </c>
      <c r="L172" s="436">
        <v>54.341999999999999</v>
      </c>
      <c r="M172" s="436">
        <v>54.479800000000004</v>
      </c>
      <c r="N172" s="436">
        <v>53.853900000000003</v>
      </c>
      <c r="O172" s="436">
        <v>60.488399999999999</v>
      </c>
      <c r="P172" s="436">
        <v>67.838800000000006</v>
      </c>
      <c r="Q172" s="436">
        <v>68.026699999999991</v>
      </c>
      <c r="R172" s="436">
        <v>61.715000000000003</v>
      </c>
      <c r="S172" s="436">
        <v>55.427800000000005</v>
      </c>
      <c r="T172" s="436">
        <v>60.231099999999998</v>
      </c>
      <c r="U172" s="436">
        <v>60.889800000000001</v>
      </c>
      <c r="V172" s="437">
        <v>60.854099999999995</v>
      </c>
      <c r="W172" s="437">
        <v>60.253699999999995</v>
      </c>
      <c r="X172" s="436">
        <v>60.5762</v>
      </c>
      <c r="Y172" s="436">
        <v>60.441699999999997</v>
      </c>
      <c r="Z172" s="21">
        <f>IFERROR(B172/'Ar-Pa'!B172,0)</f>
        <v>8.2543749999999996</v>
      </c>
      <c r="AA172" s="21">
        <f>IFERROR(C172/'Ar-Pa'!C172,0)</f>
        <v>8.5600499999999986</v>
      </c>
      <c r="AB172" s="21">
        <f>IFERROR(D172/'Ar-Pa'!D172,0)</f>
        <v>7.9950749999999999</v>
      </c>
      <c r="AC172" s="21">
        <f>IFERROR(E172/'Ar-Pa'!E172,0)</f>
        <v>6.8253249999999994</v>
      </c>
      <c r="AD172" s="21">
        <f>IFERROR(F172/'Ar-Pa'!F172,0)</f>
        <v>6.8295874999999997</v>
      </c>
      <c r="AE172" s="21">
        <f>IFERROR(G172/'Ar-Pa'!G172,0)</f>
        <v>6.8592749999999993</v>
      </c>
      <c r="AF172" s="21">
        <f>IFERROR(H172/'Ar-Pa'!H172,0)</f>
        <v>7.6978857142857136</v>
      </c>
      <c r="AG172" s="21">
        <f>IFERROR(I172/'Ar-Pa'!I172,0)</f>
        <v>6.8176874999999999</v>
      </c>
      <c r="AH172" s="21">
        <f>IFERROR(J172/'Ar-Pa'!J172,0)</f>
        <v>6.7668749999999998</v>
      </c>
      <c r="AI172" s="21">
        <f>IFERROR(K172/'Ar-Pa'!K172,0)</f>
        <v>6.7864250000000004</v>
      </c>
      <c r="AJ172" s="21">
        <f>IFERROR(L172/'Ar-Pa'!L172,0)</f>
        <v>6.7927499999999998</v>
      </c>
      <c r="AK172" s="21">
        <f>IFERROR(M172/'Ar-Pa'!M172,0)</f>
        <v>6.8099750000000006</v>
      </c>
      <c r="AL172" s="21">
        <f>IFERROR(N172/'Ar-Pa'!N172,0)</f>
        <v>6.7317375000000004</v>
      </c>
      <c r="AM172" s="21">
        <f>IFERROR(O172/'Ar-Pa'!O172,0)</f>
        <v>7.5610499999999998</v>
      </c>
      <c r="AN172" s="21">
        <f>IFERROR(P172/'Ar-Pa'!P172,0)</f>
        <v>8.4798500000000008</v>
      </c>
      <c r="AO172" s="21">
        <f>IFERROR(Q172/'Ar-Pa'!Q172,0)</f>
        <v>8.5033374999999989</v>
      </c>
      <c r="AP172" s="21">
        <f>IFERROR(R172/'Ar-Pa'!R172,0)</f>
        <v>7.7143750000000004</v>
      </c>
      <c r="AQ172" s="21">
        <f>IFERROR(S172/'Ar-Pa'!S172,0)</f>
        <v>6.9284750000000006</v>
      </c>
      <c r="AR172" s="21">
        <f>IFERROR(T172/'Ar-Pa'!T172,0)</f>
        <v>8.6044428571428568</v>
      </c>
      <c r="AS172" s="21">
        <f>IFERROR(U172/'Ar-Pa'!U172,0)</f>
        <v>8.6985428571428578</v>
      </c>
      <c r="AT172" s="21">
        <f>IFERROR(V172/'Ar-Pa'!V172,0)</f>
        <v>8.6934428571428572</v>
      </c>
      <c r="AU172" s="21">
        <f>IFERROR(W172/'Ar-Pa'!W172,0)</f>
        <v>8.6076714285714271</v>
      </c>
      <c r="AV172" s="21">
        <f>IFERROR(X172/'Ar-Pa'!X172,0)</f>
        <v>8.6537428571428574</v>
      </c>
      <c r="AW172" s="21">
        <f>IFERROR(Y172/'Ar-Pa'!Y172,0)</f>
        <v>8.6345285714285716</v>
      </c>
      <c r="AX172" s="21">
        <f t="shared" si="2"/>
        <v>184.80648214285711</v>
      </c>
    </row>
    <row r="173" spans="1:50">
      <c r="A173" s="15">
        <v>45098</v>
      </c>
      <c r="B173" s="436">
        <v>60.427500000000002</v>
      </c>
      <c r="C173" s="436">
        <v>60.812199999999997</v>
      </c>
      <c r="D173" s="436">
        <v>55.505199999999995</v>
      </c>
      <c r="E173" s="436">
        <v>54.797199999999997</v>
      </c>
      <c r="F173" s="436">
        <v>54.821899999999999</v>
      </c>
      <c r="G173" s="436">
        <v>54.886600000000001</v>
      </c>
      <c r="H173" s="436">
        <v>54.793199999999999</v>
      </c>
      <c r="I173" s="436">
        <v>54.994699999999995</v>
      </c>
      <c r="J173" s="436">
        <v>55.012300000000003</v>
      </c>
      <c r="K173" s="436">
        <v>55.091900000000003</v>
      </c>
      <c r="L173" s="436">
        <v>55.095999999999997</v>
      </c>
      <c r="M173" s="436">
        <v>55.254300000000001</v>
      </c>
      <c r="N173" s="436">
        <v>54.784500000000001</v>
      </c>
      <c r="O173" s="436">
        <v>56.296999999999997</v>
      </c>
      <c r="P173" s="436">
        <v>67.074699999999993</v>
      </c>
      <c r="Q173" s="436">
        <v>68.302899999999994</v>
      </c>
      <c r="R173" s="436">
        <v>57.040300000000002</v>
      </c>
      <c r="S173" s="436">
        <v>66.773300000000006</v>
      </c>
      <c r="T173" s="436">
        <v>63.211500000000001</v>
      </c>
      <c r="U173" s="436">
        <v>59.961300000000001</v>
      </c>
      <c r="V173" s="437">
        <v>59.483499999999999</v>
      </c>
      <c r="W173" s="437">
        <v>60.313699999999997</v>
      </c>
      <c r="X173" s="436">
        <v>60.156699999999994</v>
      </c>
      <c r="Y173" s="436">
        <v>60.004599999999996</v>
      </c>
      <c r="Z173" s="21">
        <f>IFERROR(B173/'Ar-Pa'!B173,0)</f>
        <v>8.6325000000000003</v>
      </c>
      <c r="AA173" s="21">
        <f>IFERROR(C173/'Ar-Pa'!C173,0)</f>
        <v>7.6015249999999996</v>
      </c>
      <c r="AB173" s="21">
        <f>IFERROR(D173/'Ar-Pa'!D173,0)</f>
        <v>6.9381499999999994</v>
      </c>
      <c r="AC173" s="21">
        <f>IFERROR(E173/'Ar-Pa'!E173,0)</f>
        <v>6.8496499999999996</v>
      </c>
      <c r="AD173" s="21">
        <f>IFERROR(F173/'Ar-Pa'!F173,0)</f>
        <v>6.8527374999999999</v>
      </c>
      <c r="AE173" s="21">
        <f>IFERROR(G173/'Ar-Pa'!G173,0)</f>
        <v>6.8608250000000002</v>
      </c>
      <c r="AF173" s="21">
        <f>IFERROR(H173/'Ar-Pa'!H173,0)</f>
        <v>6.8491499999999998</v>
      </c>
      <c r="AG173" s="21">
        <f>IFERROR(I173/'Ar-Pa'!I173,0)</f>
        <v>6.8743374999999993</v>
      </c>
      <c r="AH173" s="21">
        <f>IFERROR(J173/'Ar-Pa'!J173,0)</f>
        <v>6.8765375000000004</v>
      </c>
      <c r="AI173" s="21">
        <f>IFERROR(K173/'Ar-Pa'!K173,0)</f>
        <v>6.8864875000000003</v>
      </c>
      <c r="AJ173" s="21">
        <f>IFERROR(L173/'Ar-Pa'!L173,0)</f>
        <v>6.8869999999999996</v>
      </c>
      <c r="AK173" s="21">
        <f>IFERROR(M173/'Ar-Pa'!M173,0)</f>
        <v>6.9067875000000001</v>
      </c>
      <c r="AL173" s="21">
        <f>IFERROR(N173/'Ar-Pa'!N173,0)</f>
        <v>6.8480625000000002</v>
      </c>
      <c r="AM173" s="21">
        <f>IFERROR(O173/'Ar-Pa'!O173,0)</f>
        <v>7.0371249999999996</v>
      </c>
      <c r="AN173" s="21">
        <f>IFERROR(P173/'Ar-Pa'!P173,0)</f>
        <v>8.3843374999999991</v>
      </c>
      <c r="AO173" s="21">
        <f>IFERROR(Q173/'Ar-Pa'!Q173,0)</f>
        <v>8.5378624999999992</v>
      </c>
      <c r="AP173" s="21">
        <f>IFERROR(R173/'Ar-Pa'!R173,0)</f>
        <v>7.1300375000000003</v>
      </c>
      <c r="AQ173" s="21">
        <f>IFERROR(S173/'Ar-Pa'!S173,0)</f>
        <v>8.3466625000000008</v>
      </c>
      <c r="AR173" s="21">
        <f>IFERROR(T173/'Ar-Pa'!T173,0)</f>
        <v>7.9014375000000001</v>
      </c>
      <c r="AS173" s="21">
        <f>IFERROR(U173/'Ar-Pa'!U173,0)</f>
        <v>8.565900000000001</v>
      </c>
      <c r="AT173" s="21">
        <f>IFERROR(V173/'Ar-Pa'!V173,0)</f>
        <v>8.4976428571428571</v>
      </c>
      <c r="AU173" s="21">
        <f>IFERROR(W173/'Ar-Pa'!W173,0)</f>
        <v>8.616242857142856</v>
      </c>
      <c r="AV173" s="21">
        <f>IFERROR(X173/'Ar-Pa'!X173,0)</f>
        <v>8.5938142857142843</v>
      </c>
      <c r="AW173" s="21">
        <f>IFERROR(Y173/'Ar-Pa'!Y173,0)</f>
        <v>8.5720857142857145</v>
      </c>
      <c r="AX173" s="21">
        <f t="shared" si="2"/>
        <v>182.0468982142857</v>
      </c>
    </row>
    <row r="174" spans="1:50">
      <c r="A174" s="15">
        <v>45099</v>
      </c>
      <c r="B174" s="436">
        <v>59.8352</v>
      </c>
      <c r="C174" s="436">
        <v>59.743400000000001</v>
      </c>
      <c r="D174" s="436">
        <v>44.203000000000003</v>
      </c>
      <c r="E174" s="436">
        <v>43.291400000000003</v>
      </c>
      <c r="F174" s="436">
        <v>43.365300000000005</v>
      </c>
      <c r="G174" s="436">
        <v>44.2239</v>
      </c>
      <c r="H174" s="436">
        <v>44.736199999999997</v>
      </c>
      <c r="I174" s="436">
        <v>44.955500000000001</v>
      </c>
      <c r="J174" s="436">
        <v>44.858899999999998</v>
      </c>
      <c r="K174" s="436">
        <v>45.268000000000001</v>
      </c>
      <c r="L174" s="436">
        <v>45.3095</v>
      </c>
      <c r="M174" s="436">
        <v>51.787999999999997</v>
      </c>
      <c r="N174" s="436">
        <v>52.241699999999994</v>
      </c>
      <c r="O174" s="436">
        <v>55.628300000000003</v>
      </c>
      <c r="P174" s="436">
        <v>69.025499999999994</v>
      </c>
      <c r="Q174" s="436">
        <v>69.040700000000001</v>
      </c>
      <c r="R174" s="436">
        <v>63.041899999999998</v>
      </c>
      <c r="S174" s="436">
        <v>66.640600000000006</v>
      </c>
      <c r="T174" s="436">
        <v>66.459800000000001</v>
      </c>
      <c r="U174" s="436">
        <v>67.31689999999999</v>
      </c>
      <c r="V174" s="437">
        <v>67.646000000000001</v>
      </c>
      <c r="W174" s="437">
        <v>67.283799999999999</v>
      </c>
      <c r="X174" s="436">
        <v>66.344499999999996</v>
      </c>
      <c r="Y174" s="436">
        <v>67.354100000000003</v>
      </c>
      <c r="Z174" s="21">
        <f>IFERROR(B174/'Ar-Pa'!B174,0)</f>
        <v>8.5478857142857141</v>
      </c>
      <c r="AA174" s="21">
        <f>IFERROR(C174/'Ar-Pa'!C174,0)</f>
        <v>8.5347714285714282</v>
      </c>
      <c r="AB174" s="21">
        <f>IFERROR(D174/'Ar-Pa'!D174,0)</f>
        <v>6.3147142857142864</v>
      </c>
      <c r="AC174" s="21">
        <f>IFERROR(E174/'Ar-Pa'!E174,0)</f>
        <v>6.1844857142857146</v>
      </c>
      <c r="AD174" s="21">
        <f>IFERROR(F174/'Ar-Pa'!F174,0)</f>
        <v>6.195042857142858</v>
      </c>
      <c r="AE174" s="21">
        <f>IFERROR(G174/'Ar-Pa'!G174,0)</f>
        <v>6.3177000000000003</v>
      </c>
      <c r="AF174" s="21">
        <f>IFERROR(H174/'Ar-Pa'!H174,0)</f>
        <v>6.3908857142857141</v>
      </c>
      <c r="AG174" s="21">
        <f>IFERROR(I174/'Ar-Pa'!I174,0)</f>
        <v>6.4222142857142854</v>
      </c>
      <c r="AH174" s="21">
        <f>IFERROR(J174/'Ar-Pa'!J174,0)</f>
        <v>6.4084142857142856</v>
      </c>
      <c r="AI174" s="21">
        <f>IFERROR(K174/'Ar-Pa'!K174,0)</f>
        <v>6.4668571428571431</v>
      </c>
      <c r="AJ174" s="21">
        <f>IFERROR(L174/'Ar-Pa'!L174,0)</f>
        <v>6.4727857142857141</v>
      </c>
      <c r="AK174" s="21">
        <f>IFERROR(M174/'Ar-Pa'!M174,0)</f>
        <v>6.4734999999999996</v>
      </c>
      <c r="AL174" s="21">
        <f>IFERROR(N174/'Ar-Pa'!N174,0)</f>
        <v>6.5302124999999993</v>
      </c>
      <c r="AM174" s="21">
        <f>IFERROR(O174/'Ar-Pa'!O174,0)</f>
        <v>6.9535375000000004</v>
      </c>
      <c r="AN174" s="21">
        <f>IFERROR(P174/'Ar-Pa'!P174,0)</f>
        <v>8.6281874999999992</v>
      </c>
      <c r="AO174" s="21">
        <f>IFERROR(Q174/'Ar-Pa'!Q174,0)</f>
        <v>8.6300875000000001</v>
      </c>
      <c r="AP174" s="21">
        <f>IFERROR(R174/'Ar-Pa'!R174,0)</f>
        <v>7.8802374999999998</v>
      </c>
      <c r="AQ174" s="21">
        <f>IFERROR(S174/'Ar-Pa'!S174,0)</f>
        <v>8.3300750000000008</v>
      </c>
      <c r="AR174" s="21">
        <f>IFERROR(T174/'Ar-Pa'!T174,0)</f>
        <v>8.3074750000000002</v>
      </c>
      <c r="AS174" s="21">
        <f>IFERROR(U174/'Ar-Pa'!U174,0)</f>
        <v>8.4146124999999987</v>
      </c>
      <c r="AT174" s="21">
        <f>IFERROR(V174/'Ar-Pa'!V174,0)</f>
        <v>8.4557500000000001</v>
      </c>
      <c r="AU174" s="21">
        <f>IFERROR(W174/'Ar-Pa'!W174,0)</f>
        <v>8.4104749999999999</v>
      </c>
      <c r="AV174" s="21">
        <f>IFERROR(X174/'Ar-Pa'!X174,0)</f>
        <v>8.2930624999999996</v>
      </c>
      <c r="AW174" s="21">
        <f>IFERROR(Y174/'Ar-Pa'!Y174,0)</f>
        <v>8.4192625000000003</v>
      </c>
      <c r="AX174" s="21">
        <f t="shared" si="2"/>
        <v>177.98223214285713</v>
      </c>
    </row>
    <row r="175" spans="1:50">
      <c r="A175" s="15">
        <v>45100</v>
      </c>
      <c r="B175" s="436">
        <v>53.3767</v>
      </c>
      <c r="C175" s="436">
        <v>51.354599999999998</v>
      </c>
      <c r="D175" s="436">
        <v>51.328199999999995</v>
      </c>
      <c r="E175" s="436">
        <v>51.429600000000001</v>
      </c>
      <c r="F175" s="436">
        <v>51.400700000000001</v>
      </c>
      <c r="G175" s="436">
        <v>51.309699999999999</v>
      </c>
      <c r="H175" s="436">
        <v>51.311599999999999</v>
      </c>
      <c r="I175" s="436">
        <v>51.547199999999997</v>
      </c>
      <c r="J175" s="436">
        <v>51.4482</v>
      </c>
      <c r="K175" s="436">
        <v>51.506099999999996</v>
      </c>
      <c r="L175" s="436">
        <v>51.637</v>
      </c>
      <c r="M175" s="436">
        <v>51.414999999999999</v>
      </c>
      <c r="N175" s="436">
        <v>51.625900000000001</v>
      </c>
      <c r="O175" s="436">
        <v>53.890900000000002</v>
      </c>
      <c r="P175" s="436">
        <v>64.512100000000004</v>
      </c>
      <c r="Q175" s="436">
        <v>65.775800000000004</v>
      </c>
      <c r="R175" s="436">
        <v>67.56389999999999</v>
      </c>
      <c r="S175" s="436">
        <v>67.56519999999999</v>
      </c>
      <c r="T175" s="436">
        <v>67.649799999999999</v>
      </c>
      <c r="U175" s="436">
        <v>67.936600000000013</v>
      </c>
      <c r="V175" s="437">
        <v>68.666600000000003</v>
      </c>
      <c r="W175" s="437">
        <v>68.49260000000001</v>
      </c>
      <c r="X175" s="436">
        <v>68.734499999999997</v>
      </c>
      <c r="Y175" s="436">
        <v>68.945700000000002</v>
      </c>
      <c r="Z175" s="21">
        <f>IFERROR(B175/'Ar-Pa'!B175,0)</f>
        <v>6.6720874999999999</v>
      </c>
      <c r="AA175" s="21">
        <f>IFERROR(C175/'Ar-Pa'!C175,0)</f>
        <v>6.4193249999999997</v>
      </c>
      <c r="AB175" s="21">
        <f>IFERROR(D175/'Ar-Pa'!D175,0)</f>
        <v>6.4160249999999994</v>
      </c>
      <c r="AC175" s="21">
        <f>IFERROR(E175/'Ar-Pa'!E175,0)</f>
        <v>6.4287000000000001</v>
      </c>
      <c r="AD175" s="21">
        <f>IFERROR(F175/'Ar-Pa'!F175,0)</f>
        <v>6.4250875000000001</v>
      </c>
      <c r="AE175" s="21">
        <f>IFERROR(G175/'Ar-Pa'!G175,0)</f>
        <v>6.4137124999999999</v>
      </c>
      <c r="AF175" s="21">
        <f>IFERROR(H175/'Ar-Pa'!H175,0)</f>
        <v>6.4139499999999998</v>
      </c>
      <c r="AG175" s="21">
        <f>IFERROR(I175/'Ar-Pa'!I175,0)</f>
        <v>6.4433999999999996</v>
      </c>
      <c r="AH175" s="21">
        <f>IFERROR(J175/'Ar-Pa'!J175,0)</f>
        <v>6.431025</v>
      </c>
      <c r="AI175" s="21">
        <f>IFERROR(K175/'Ar-Pa'!K175,0)</f>
        <v>6.4382624999999996</v>
      </c>
      <c r="AJ175" s="21">
        <f>IFERROR(L175/'Ar-Pa'!L175,0)</f>
        <v>6.4546250000000001</v>
      </c>
      <c r="AK175" s="21">
        <f>IFERROR(M175/'Ar-Pa'!M175,0)</f>
        <v>6.4268749999999999</v>
      </c>
      <c r="AL175" s="21">
        <f>IFERROR(N175/'Ar-Pa'!N175,0)</f>
        <v>6.4532375000000002</v>
      </c>
      <c r="AM175" s="21">
        <f>IFERROR(O175/'Ar-Pa'!O175,0)</f>
        <v>6.7363625000000003</v>
      </c>
      <c r="AN175" s="21">
        <f>IFERROR(P175/'Ar-Pa'!P175,0)</f>
        <v>8.0640125000000005</v>
      </c>
      <c r="AO175" s="21">
        <f>IFERROR(Q175/'Ar-Pa'!Q175,0)</f>
        <v>8.2219750000000005</v>
      </c>
      <c r="AP175" s="21">
        <f>IFERROR(R175/'Ar-Pa'!R175,0)</f>
        <v>8.4454874999999987</v>
      </c>
      <c r="AQ175" s="21">
        <f>IFERROR(S175/'Ar-Pa'!S175,0)</f>
        <v>8.4456499999999988</v>
      </c>
      <c r="AR175" s="21">
        <f>IFERROR(T175/'Ar-Pa'!T175,0)</f>
        <v>8.4562249999999999</v>
      </c>
      <c r="AS175" s="21">
        <f>IFERROR(U175/'Ar-Pa'!U175,0)</f>
        <v>8.4920750000000016</v>
      </c>
      <c r="AT175" s="21">
        <f>IFERROR(V175/'Ar-Pa'!V175,0)</f>
        <v>8.5833250000000003</v>
      </c>
      <c r="AU175" s="21">
        <f>IFERROR(W175/'Ar-Pa'!W175,0)</f>
        <v>8.5615750000000013</v>
      </c>
      <c r="AV175" s="21">
        <f>IFERROR(X175/'Ar-Pa'!X175,0)</f>
        <v>8.5918124999999996</v>
      </c>
      <c r="AW175" s="21">
        <f>IFERROR(Y175/'Ar-Pa'!Y175,0)</f>
        <v>8.6182125000000003</v>
      </c>
      <c r="AX175" s="21">
        <f t="shared" si="2"/>
        <v>175.05302499999999</v>
      </c>
    </row>
    <row r="176" spans="1:50">
      <c r="A176" s="15">
        <v>45101</v>
      </c>
      <c r="B176" s="436">
        <v>68.8001</v>
      </c>
      <c r="C176" s="436">
        <v>68.856200000000001</v>
      </c>
      <c r="D176" s="436">
        <v>68.556699999999992</v>
      </c>
      <c r="E176" s="436">
        <v>68.61630000000001</v>
      </c>
      <c r="F176" s="436">
        <v>65.400599999999997</v>
      </c>
      <c r="G176" s="436">
        <v>52.6081</v>
      </c>
      <c r="H176" s="436">
        <v>52.046599999999998</v>
      </c>
      <c r="I176" s="436">
        <v>52.070999999999998</v>
      </c>
      <c r="J176" s="436">
        <v>51.1768</v>
      </c>
      <c r="K176" s="436">
        <v>64.620099999999994</v>
      </c>
      <c r="L176" s="436">
        <v>67.994399999999999</v>
      </c>
      <c r="M176" s="436">
        <v>68.10560000000001</v>
      </c>
      <c r="N176" s="436">
        <v>68.086199999999991</v>
      </c>
      <c r="O176" s="436">
        <v>68.096299999999999</v>
      </c>
      <c r="P176" s="436">
        <v>68.128600000000006</v>
      </c>
      <c r="Q176" s="436">
        <v>68.070499999999996</v>
      </c>
      <c r="R176" s="436">
        <v>68.193600000000004</v>
      </c>
      <c r="S176" s="436">
        <v>67.993800000000007</v>
      </c>
      <c r="T176" s="436">
        <v>68.166699999999992</v>
      </c>
      <c r="U176" s="436">
        <v>67.940699999999993</v>
      </c>
      <c r="V176" s="437">
        <v>67.767800000000008</v>
      </c>
      <c r="W176" s="437">
        <v>67.230899999999991</v>
      </c>
      <c r="X176" s="436">
        <v>66.74969999999999</v>
      </c>
      <c r="Y176" s="436">
        <v>68.452300000000008</v>
      </c>
      <c r="Z176" s="21">
        <f>IFERROR(B176/'Ar-Pa'!B176,0)</f>
        <v>8.6000125000000001</v>
      </c>
      <c r="AA176" s="21">
        <f>IFERROR(C176/'Ar-Pa'!C176,0)</f>
        <v>8.6070250000000001</v>
      </c>
      <c r="AB176" s="21">
        <f>IFERROR(D176/'Ar-Pa'!D176,0)</f>
        <v>8.569587499999999</v>
      </c>
      <c r="AC176" s="21">
        <f>IFERROR(E176/'Ar-Pa'!E176,0)</f>
        <v>8.5770375000000012</v>
      </c>
      <c r="AD176" s="21">
        <f>IFERROR(F176/'Ar-Pa'!F176,0)</f>
        <v>8.1750749999999996</v>
      </c>
      <c r="AE176" s="21">
        <f>IFERROR(G176/'Ar-Pa'!G176,0)</f>
        <v>6.5760125</v>
      </c>
      <c r="AF176" s="21">
        <f>IFERROR(H176/'Ar-Pa'!H176,0)</f>
        <v>6.5058249999999997</v>
      </c>
      <c r="AG176" s="21">
        <f>IFERROR(I176/'Ar-Pa'!I176,0)</f>
        <v>6.5088749999999997</v>
      </c>
      <c r="AH176" s="21">
        <f>IFERROR(J176/'Ar-Pa'!J176,0)</f>
        <v>6.3971</v>
      </c>
      <c r="AI176" s="21">
        <f>IFERROR(K176/'Ar-Pa'!K176,0)</f>
        <v>8.0775124999999992</v>
      </c>
      <c r="AJ176" s="21">
        <f>IFERROR(L176/'Ar-Pa'!L176,0)</f>
        <v>8.4992999999999999</v>
      </c>
      <c r="AK176" s="21">
        <f>IFERROR(M176/'Ar-Pa'!M176,0)</f>
        <v>8.5132000000000012</v>
      </c>
      <c r="AL176" s="21">
        <f>IFERROR(N176/'Ar-Pa'!N176,0)</f>
        <v>8.5107749999999989</v>
      </c>
      <c r="AM176" s="21">
        <f>IFERROR(O176/'Ar-Pa'!O176,0)</f>
        <v>8.5120374999999999</v>
      </c>
      <c r="AN176" s="21">
        <f>IFERROR(P176/'Ar-Pa'!P176,0)</f>
        <v>8.5160750000000007</v>
      </c>
      <c r="AO176" s="21">
        <f>IFERROR(Q176/'Ar-Pa'!Q176,0)</f>
        <v>8.5088124999999994</v>
      </c>
      <c r="AP176" s="21">
        <f>IFERROR(R176/'Ar-Pa'!R176,0)</f>
        <v>8.5242000000000004</v>
      </c>
      <c r="AQ176" s="21">
        <f>IFERROR(S176/'Ar-Pa'!S176,0)</f>
        <v>8.4992250000000009</v>
      </c>
      <c r="AR176" s="21">
        <f>IFERROR(T176/'Ar-Pa'!T176,0)</f>
        <v>8.520837499999999</v>
      </c>
      <c r="AS176" s="21">
        <f>IFERROR(U176/'Ar-Pa'!U176,0)</f>
        <v>8.4925874999999991</v>
      </c>
      <c r="AT176" s="21">
        <f>IFERROR(V176/'Ar-Pa'!V176,0)</f>
        <v>8.470975000000001</v>
      </c>
      <c r="AU176" s="21">
        <f>IFERROR(W176/'Ar-Pa'!W176,0)</f>
        <v>8.4038624999999989</v>
      </c>
      <c r="AV176" s="21">
        <f>IFERROR(X176/'Ar-Pa'!X176,0)</f>
        <v>8.3437124999999988</v>
      </c>
      <c r="AW176" s="21">
        <f>IFERROR(Y176/'Ar-Pa'!Y176,0)</f>
        <v>8.556537500000001</v>
      </c>
      <c r="AX176" s="21">
        <f t="shared" si="2"/>
        <v>195.46619999999999</v>
      </c>
    </row>
    <row r="177" spans="1:50">
      <c r="A177" s="15">
        <v>45102</v>
      </c>
      <c r="B177" s="436">
        <v>59.360699999999994</v>
      </c>
      <c r="C177" s="436">
        <v>67.469800000000006</v>
      </c>
      <c r="D177" s="436">
        <v>68.631299999999996</v>
      </c>
      <c r="E177" s="436">
        <v>68.658699999999996</v>
      </c>
      <c r="F177" s="436">
        <v>65.359499999999997</v>
      </c>
      <c r="G177" s="436">
        <v>54.7943</v>
      </c>
      <c r="H177" s="436">
        <v>55.126199999999997</v>
      </c>
      <c r="I177" s="436">
        <v>54.917900000000003</v>
      </c>
      <c r="J177" s="436">
        <v>54.900700000000001</v>
      </c>
      <c r="K177" s="436">
        <v>54.997999999999998</v>
      </c>
      <c r="L177" s="436">
        <v>55.0137</v>
      </c>
      <c r="M177" s="436">
        <v>69.033799999999999</v>
      </c>
      <c r="N177" s="436">
        <v>69.289400000000001</v>
      </c>
      <c r="O177" s="436">
        <v>69.339699999999993</v>
      </c>
      <c r="P177" s="436">
        <v>69.219200000000001</v>
      </c>
      <c r="Q177" s="436">
        <v>69.116799999999998</v>
      </c>
      <c r="R177" s="436">
        <v>69.204100000000011</v>
      </c>
      <c r="S177" s="436">
        <v>69.094300000000004</v>
      </c>
      <c r="T177" s="436">
        <v>69.176199999999994</v>
      </c>
      <c r="U177" s="436">
        <v>69.250199999999992</v>
      </c>
      <c r="V177" s="437">
        <v>69.165499999999994</v>
      </c>
      <c r="W177" s="437">
        <v>68.870399999999989</v>
      </c>
      <c r="X177" s="436">
        <v>68.844999999999999</v>
      </c>
      <c r="Y177" s="436">
        <v>68.44489999999999</v>
      </c>
      <c r="Z177" s="21">
        <f>IFERROR(B177/'Ar-Pa'!B177,0)</f>
        <v>6.5956333333333328</v>
      </c>
      <c r="AA177" s="21">
        <f>IFERROR(C177/'Ar-Pa'!C177,0)</f>
        <v>8.4337250000000008</v>
      </c>
      <c r="AB177" s="21">
        <f>IFERROR(D177/'Ar-Pa'!D177,0)</f>
        <v>8.5789124999999995</v>
      </c>
      <c r="AC177" s="21">
        <f>IFERROR(E177/'Ar-Pa'!E177,0)</f>
        <v>8.5823374999999995</v>
      </c>
      <c r="AD177" s="21">
        <f>IFERROR(F177/'Ar-Pa'!F177,0)</f>
        <v>8.1699374999999996</v>
      </c>
      <c r="AE177" s="21">
        <f>IFERROR(G177/'Ar-Pa'!G177,0)</f>
        <v>6.8492875</v>
      </c>
      <c r="AF177" s="21">
        <f>IFERROR(H177/'Ar-Pa'!H177,0)</f>
        <v>6.8907749999999997</v>
      </c>
      <c r="AG177" s="21">
        <f>IFERROR(I177/'Ar-Pa'!I177,0)</f>
        <v>6.8647375000000004</v>
      </c>
      <c r="AH177" s="21">
        <f>IFERROR(J177/'Ar-Pa'!J177,0)</f>
        <v>6.8625875000000001</v>
      </c>
      <c r="AI177" s="21">
        <f>IFERROR(K177/'Ar-Pa'!K177,0)</f>
        <v>6.8747499999999997</v>
      </c>
      <c r="AJ177" s="21">
        <f>IFERROR(L177/'Ar-Pa'!L177,0)</f>
        <v>6.8767125</v>
      </c>
      <c r="AK177" s="21">
        <f>IFERROR(M177/'Ar-Pa'!M177,0)</f>
        <v>8.6292249999999999</v>
      </c>
      <c r="AL177" s="21">
        <f>IFERROR(N177/'Ar-Pa'!N177,0)</f>
        <v>8.6611750000000001</v>
      </c>
      <c r="AM177" s="21">
        <f>IFERROR(O177/'Ar-Pa'!O177,0)</f>
        <v>8.6674624999999992</v>
      </c>
      <c r="AN177" s="21">
        <f>IFERROR(P177/'Ar-Pa'!P177,0)</f>
        <v>8.6524000000000001</v>
      </c>
      <c r="AO177" s="21">
        <f>IFERROR(Q177/'Ar-Pa'!Q177,0)</f>
        <v>8.6395999999999997</v>
      </c>
      <c r="AP177" s="21">
        <f>IFERROR(R177/'Ar-Pa'!R177,0)</f>
        <v>8.6505125000000014</v>
      </c>
      <c r="AQ177" s="21">
        <f>IFERROR(S177/'Ar-Pa'!S177,0)</f>
        <v>8.6367875000000005</v>
      </c>
      <c r="AR177" s="21">
        <f>IFERROR(T177/'Ar-Pa'!T177,0)</f>
        <v>8.6470249999999993</v>
      </c>
      <c r="AS177" s="21">
        <f>IFERROR(U177/'Ar-Pa'!U177,0)</f>
        <v>8.6562749999999991</v>
      </c>
      <c r="AT177" s="21">
        <f>IFERROR(V177/'Ar-Pa'!V177,0)</f>
        <v>8.6456874999999993</v>
      </c>
      <c r="AU177" s="21">
        <f>IFERROR(W177/'Ar-Pa'!W177,0)</f>
        <v>8.6087999999999987</v>
      </c>
      <c r="AV177" s="21">
        <f>IFERROR(X177/'Ar-Pa'!X177,0)</f>
        <v>8.6056249999999999</v>
      </c>
      <c r="AW177" s="21">
        <f>IFERROR(Y177/'Ar-Pa'!Y177,0)</f>
        <v>8.5556124999999987</v>
      </c>
      <c r="AX177" s="21">
        <f t="shared" si="2"/>
        <v>193.83558333333332</v>
      </c>
    </row>
    <row r="178" spans="1:50">
      <c r="A178" s="15">
        <v>45103</v>
      </c>
      <c r="B178" s="436">
        <v>67.397100000000009</v>
      </c>
      <c r="C178" s="436">
        <v>67.862399999999994</v>
      </c>
      <c r="D178" s="436">
        <v>67.869199999999992</v>
      </c>
      <c r="E178" s="436">
        <v>67.936600000000013</v>
      </c>
      <c r="F178" s="436">
        <v>68.270899999999997</v>
      </c>
      <c r="G178" s="436">
        <v>68.412700000000001</v>
      </c>
      <c r="H178" s="436">
        <v>51.327100000000002</v>
      </c>
      <c r="I178" s="436">
        <v>51.251100000000001</v>
      </c>
      <c r="J178" s="436">
        <v>67.983899999999991</v>
      </c>
      <c r="K178" s="436">
        <v>67.974299999999999</v>
      </c>
      <c r="L178" s="436">
        <v>68.256899999999987</v>
      </c>
      <c r="M178" s="436">
        <v>68.210399999999993</v>
      </c>
      <c r="N178" s="436">
        <v>68.134500000000003</v>
      </c>
      <c r="O178" s="436">
        <v>68.034999999999997</v>
      </c>
      <c r="P178" s="436">
        <v>68.070999999999998</v>
      </c>
      <c r="Q178" s="436">
        <v>67.965999999999994</v>
      </c>
      <c r="R178" s="436">
        <v>68.033199999999994</v>
      </c>
      <c r="S178" s="436">
        <v>68.126800000000003</v>
      </c>
      <c r="T178" s="436">
        <v>68.239100000000008</v>
      </c>
      <c r="U178" s="436">
        <v>68.143299999999996</v>
      </c>
      <c r="V178" s="437">
        <v>67.945800000000006</v>
      </c>
      <c r="W178" s="437">
        <v>67.415800000000004</v>
      </c>
      <c r="X178" s="436">
        <v>66.694199999999995</v>
      </c>
      <c r="Y178" s="436">
        <v>67.883300000000006</v>
      </c>
      <c r="Z178" s="21">
        <f>IFERROR(B178/'Ar-Pa'!B178,0)</f>
        <v>8.4246375000000011</v>
      </c>
      <c r="AA178" s="21">
        <f>IFERROR(C178/'Ar-Pa'!C178,0)</f>
        <v>8.4827999999999992</v>
      </c>
      <c r="AB178" s="21">
        <f>IFERROR(D178/'Ar-Pa'!D178,0)</f>
        <v>8.483649999999999</v>
      </c>
      <c r="AC178" s="21">
        <f>IFERROR(E178/'Ar-Pa'!E178,0)</f>
        <v>8.4920750000000016</v>
      </c>
      <c r="AD178" s="21">
        <f>IFERROR(F178/'Ar-Pa'!F178,0)</f>
        <v>8.5338624999999997</v>
      </c>
      <c r="AE178" s="21">
        <f>IFERROR(G178/'Ar-Pa'!G178,0)</f>
        <v>8.5515875000000001</v>
      </c>
      <c r="AF178" s="21">
        <f>IFERROR(H178/'Ar-Pa'!H178,0)</f>
        <v>6.4158875000000002</v>
      </c>
      <c r="AG178" s="21">
        <f>IFERROR(I178/'Ar-Pa'!I178,0)</f>
        <v>6.4063875000000001</v>
      </c>
      <c r="AH178" s="21">
        <f>IFERROR(J178/'Ar-Pa'!J178,0)</f>
        <v>8.4979874999999989</v>
      </c>
      <c r="AI178" s="21">
        <f>IFERROR(K178/'Ar-Pa'!K178,0)</f>
        <v>8.4967874999999999</v>
      </c>
      <c r="AJ178" s="21">
        <f>IFERROR(L178/'Ar-Pa'!L178,0)</f>
        <v>8.5321124999999984</v>
      </c>
      <c r="AK178" s="21">
        <f>IFERROR(M178/'Ar-Pa'!M178,0)</f>
        <v>8.5262999999999991</v>
      </c>
      <c r="AL178" s="21">
        <f>IFERROR(N178/'Ar-Pa'!N178,0)</f>
        <v>8.5168125000000003</v>
      </c>
      <c r="AM178" s="21">
        <f>IFERROR(O178/'Ar-Pa'!O178,0)</f>
        <v>8.5043749999999996</v>
      </c>
      <c r="AN178" s="21">
        <f>IFERROR(P178/'Ar-Pa'!P178,0)</f>
        <v>8.5088749999999997</v>
      </c>
      <c r="AO178" s="21">
        <f>IFERROR(Q178/'Ar-Pa'!Q178,0)</f>
        <v>8.4957499999999992</v>
      </c>
      <c r="AP178" s="21">
        <f>IFERROR(R178/'Ar-Pa'!R178,0)</f>
        <v>8.5041499999999992</v>
      </c>
      <c r="AQ178" s="21">
        <f>IFERROR(S178/'Ar-Pa'!S178,0)</f>
        <v>8.5158500000000004</v>
      </c>
      <c r="AR178" s="21">
        <f>IFERROR(T178/'Ar-Pa'!T178,0)</f>
        <v>8.529887500000001</v>
      </c>
      <c r="AS178" s="21">
        <f>IFERROR(U178/'Ar-Pa'!U178,0)</f>
        <v>8.5179124999999996</v>
      </c>
      <c r="AT178" s="21">
        <f>IFERROR(V178/'Ar-Pa'!V178,0)</f>
        <v>8.4932250000000007</v>
      </c>
      <c r="AU178" s="21">
        <f>IFERROR(W178/'Ar-Pa'!W178,0)</f>
        <v>8.4269750000000005</v>
      </c>
      <c r="AV178" s="21">
        <f>IFERROR(X178/'Ar-Pa'!X178,0)</f>
        <v>8.3367749999999994</v>
      </c>
      <c r="AW178" s="21">
        <f>IFERROR(Y178/'Ar-Pa'!Y178,0)</f>
        <v>7.5425888888888899</v>
      </c>
      <c r="AX178" s="21">
        <f t="shared" si="2"/>
        <v>198.73725138888886</v>
      </c>
    </row>
    <row r="179" spans="1:50">
      <c r="A179" s="15">
        <v>45104</v>
      </c>
      <c r="B179" s="437">
        <v>63.372500000000002</v>
      </c>
      <c r="C179" s="437">
        <v>67.448999999999998</v>
      </c>
      <c r="D179" s="437">
        <v>67.426400000000001</v>
      </c>
      <c r="E179" s="437">
        <v>67.513000000000005</v>
      </c>
      <c r="F179" s="437">
        <v>67.689300000000003</v>
      </c>
      <c r="G179" s="437">
        <v>62.505300000000005</v>
      </c>
      <c r="H179" s="437">
        <v>51.0807</v>
      </c>
      <c r="I179" s="437">
        <v>51.073399999999999</v>
      </c>
      <c r="J179" s="437">
        <v>67.273600000000002</v>
      </c>
      <c r="K179" s="437">
        <v>67.781199999999998</v>
      </c>
      <c r="L179" s="437">
        <v>67.673000000000002</v>
      </c>
      <c r="M179" s="437">
        <v>67.765600000000006</v>
      </c>
      <c r="N179" s="437">
        <v>67.494500000000002</v>
      </c>
      <c r="O179" s="437">
        <v>67.472999999999999</v>
      </c>
      <c r="P179" s="437">
        <v>67.597999999999999</v>
      </c>
      <c r="Q179" s="437">
        <v>67.735600000000005</v>
      </c>
      <c r="R179" s="437">
        <v>67.801899999999989</v>
      </c>
      <c r="S179" s="437">
        <v>67.864199999999997</v>
      </c>
      <c r="T179" s="437">
        <v>67.868100000000013</v>
      </c>
      <c r="U179" s="437">
        <v>67.846500000000006</v>
      </c>
      <c r="V179" s="437">
        <v>67.932100000000005</v>
      </c>
      <c r="W179" s="437">
        <v>67.813699999999997</v>
      </c>
      <c r="X179" s="437">
        <v>67.542500000000004</v>
      </c>
      <c r="Y179" s="437">
        <v>67.307100000000005</v>
      </c>
      <c r="Z179" s="21">
        <f>IFERROR(B179/'Ar-Pa'!B179,0)</f>
        <v>7.9215625000000003</v>
      </c>
      <c r="AA179" s="21">
        <f>IFERROR(C179/'Ar-Pa'!C179,0)</f>
        <v>8.4311249999999998</v>
      </c>
      <c r="AB179" s="21">
        <f>IFERROR(D179/'Ar-Pa'!D179,0)</f>
        <v>8.4283000000000001</v>
      </c>
      <c r="AC179" s="21">
        <f>IFERROR(E179/'Ar-Pa'!E179,0)</f>
        <v>8.4391250000000007</v>
      </c>
      <c r="AD179" s="21">
        <f>IFERROR(F179/'Ar-Pa'!F179,0)</f>
        <v>8.4611625000000004</v>
      </c>
      <c r="AE179" s="21">
        <f>IFERROR(G179/'Ar-Pa'!G179,0)</f>
        <v>7.8131625000000007</v>
      </c>
      <c r="AF179" s="21">
        <f>IFERROR(H179/'Ar-Pa'!H179,0)</f>
        <v>6.3850875</v>
      </c>
      <c r="AG179" s="21">
        <f>IFERROR(I179/'Ar-Pa'!I179,0)</f>
        <v>6.3841749999999999</v>
      </c>
      <c r="AH179" s="21">
        <f>IFERROR(J179/'Ar-Pa'!J179,0)</f>
        <v>8.4092000000000002</v>
      </c>
      <c r="AI179" s="21">
        <f>IFERROR(K179/'Ar-Pa'!K179,0)</f>
        <v>8.4726499999999998</v>
      </c>
      <c r="AJ179" s="21">
        <f>IFERROR(L179/'Ar-Pa'!L179,0)</f>
        <v>8.4591250000000002</v>
      </c>
      <c r="AK179" s="21">
        <f>IFERROR(M179/'Ar-Pa'!M179,0)</f>
        <v>8.4707000000000008</v>
      </c>
      <c r="AL179" s="21">
        <f>IFERROR(N179/'Ar-Pa'!N179,0)</f>
        <v>8.4368125000000003</v>
      </c>
      <c r="AM179" s="21">
        <f>IFERROR(O179/'Ar-Pa'!O179,0)</f>
        <v>8.4341249999999999</v>
      </c>
      <c r="AN179" s="21">
        <f>IFERROR(P179/'Ar-Pa'!P179,0)</f>
        <v>8.4497499999999999</v>
      </c>
      <c r="AO179" s="21">
        <f>IFERROR(Q179/'Ar-Pa'!Q179,0)</f>
        <v>8.4669500000000006</v>
      </c>
      <c r="AP179" s="21">
        <f>IFERROR(R179/'Ar-Pa'!R179,0)</f>
        <v>8.4752374999999986</v>
      </c>
      <c r="AQ179" s="21">
        <f>IFERROR(S179/'Ar-Pa'!S179,0)</f>
        <v>8.4830249999999996</v>
      </c>
      <c r="AR179" s="21">
        <f>IFERROR(T179/'Ar-Pa'!T179,0)</f>
        <v>8.4835125000000016</v>
      </c>
      <c r="AS179" s="21">
        <f>IFERROR(U179/'Ar-Pa'!U179,0)</f>
        <v>8.4808125000000008</v>
      </c>
      <c r="AT179" s="21">
        <f>IFERROR(V179/'Ar-Pa'!V179,0)</f>
        <v>8.4915125000000007</v>
      </c>
      <c r="AU179" s="21">
        <f>IFERROR(W179/'Ar-Pa'!W179,0)</f>
        <v>8.4767124999999997</v>
      </c>
      <c r="AV179" s="21">
        <f>IFERROR(X179/'Ar-Pa'!X179,0)</f>
        <v>8.4428125000000005</v>
      </c>
      <c r="AW179" s="21">
        <f>IFERROR(Y179/'Ar-Pa'!Y179,0)</f>
        <v>8.4133875000000007</v>
      </c>
      <c r="AX179" s="21">
        <f t="shared" si="2"/>
        <v>197.61002499999998</v>
      </c>
    </row>
    <row r="180" spans="1:50">
      <c r="A180" s="15">
        <v>45105</v>
      </c>
      <c r="B180" s="437">
        <v>52.084199999999996</v>
      </c>
      <c r="C180" s="437">
        <v>51.594499999999996</v>
      </c>
      <c r="D180" s="437">
        <v>51.4268</v>
      </c>
      <c r="E180" s="437">
        <v>51.616800000000005</v>
      </c>
      <c r="F180" s="437">
        <v>51.703499999999998</v>
      </c>
      <c r="G180" s="437">
        <v>51.655500000000004</v>
      </c>
      <c r="H180" s="437">
        <v>51.600900000000003</v>
      </c>
      <c r="I180" s="437">
        <v>51.449199999999998</v>
      </c>
      <c r="J180" s="437">
        <v>51.860199999999999</v>
      </c>
      <c r="K180" s="437">
        <v>53.523400000000002</v>
      </c>
      <c r="L180" s="437">
        <v>53.570399999999999</v>
      </c>
      <c r="M180" s="437">
        <v>53.4861</v>
      </c>
      <c r="N180" s="437">
        <v>53.481300000000005</v>
      </c>
      <c r="O180" s="437">
        <v>53.921300000000002</v>
      </c>
      <c r="P180" s="437">
        <v>54.309699999999999</v>
      </c>
      <c r="Q180" s="437">
        <v>45.0505</v>
      </c>
      <c r="R180" s="437">
        <v>52.7258</v>
      </c>
      <c r="S180" s="437">
        <v>69.229100000000003</v>
      </c>
      <c r="T180" s="437">
        <v>55.492699999999999</v>
      </c>
      <c r="U180" s="437">
        <v>53.853400000000001</v>
      </c>
      <c r="V180" s="437">
        <v>53.799399999999999</v>
      </c>
      <c r="W180" s="437">
        <v>53.9816</v>
      </c>
      <c r="X180" s="437">
        <v>53.651499999999999</v>
      </c>
      <c r="Y180" s="437">
        <v>53.408199999999994</v>
      </c>
      <c r="Z180" s="21">
        <f>IFERROR(B180/'Ar-Pa'!B180,0)</f>
        <v>6.5105249999999995</v>
      </c>
      <c r="AA180" s="21">
        <f>IFERROR(C180/'Ar-Pa'!C180,0)</f>
        <v>6.4493124999999996</v>
      </c>
      <c r="AB180" s="21">
        <f>IFERROR(D180/'Ar-Pa'!D180,0)</f>
        <v>6.42835</v>
      </c>
      <c r="AC180" s="21">
        <f>IFERROR(E180/'Ar-Pa'!E180,0)</f>
        <v>6.4521000000000006</v>
      </c>
      <c r="AD180" s="21">
        <f>IFERROR(F180/'Ar-Pa'!F180,0)</f>
        <v>6.4629374999999998</v>
      </c>
      <c r="AE180" s="21">
        <f>IFERROR(G180/'Ar-Pa'!G180,0)</f>
        <v>6.4569375000000004</v>
      </c>
      <c r="AF180" s="21">
        <f>IFERROR(H180/'Ar-Pa'!H180,0)</f>
        <v>6.4501125000000004</v>
      </c>
      <c r="AG180" s="21">
        <f>IFERROR(I180/'Ar-Pa'!I180,0)</f>
        <v>6.4311499999999997</v>
      </c>
      <c r="AH180" s="21">
        <f>IFERROR(J180/'Ar-Pa'!J180,0)</f>
        <v>6.4825249999999999</v>
      </c>
      <c r="AI180" s="21">
        <f>IFERROR(K180/'Ar-Pa'!K180,0)</f>
        <v>6.6904250000000003</v>
      </c>
      <c r="AJ180" s="21">
        <f>IFERROR(L180/'Ar-Pa'!L180,0)</f>
        <v>6.6962999999999999</v>
      </c>
      <c r="AK180" s="21">
        <f>IFERROR(M180/'Ar-Pa'!M180,0)</f>
        <v>6.6857625000000001</v>
      </c>
      <c r="AL180" s="21">
        <f>IFERROR(N180/'Ar-Pa'!N180,0)</f>
        <v>6.6851625000000006</v>
      </c>
      <c r="AM180" s="21">
        <f>IFERROR(O180/'Ar-Pa'!O180,0)</f>
        <v>6.7401625000000003</v>
      </c>
      <c r="AN180" s="21">
        <f>IFERROR(P180/'Ar-Pa'!P180,0)</f>
        <v>7.7585285714285712</v>
      </c>
      <c r="AO180" s="21">
        <f>IFERROR(Q180/'Ar-Pa'!Q180,0)</f>
        <v>5.6313124999999999</v>
      </c>
      <c r="AP180" s="21">
        <f>IFERROR(R180/'Ar-Pa'!R180,0)</f>
        <v>6.5907249999999999</v>
      </c>
      <c r="AQ180" s="21">
        <f>IFERROR(S180/'Ar-Pa'!S180,0)</f>
        <v>8.6536375000000003</v>
      </c>
      <c r="AR180" s="21">
        <f>IFERROR(T180/'Ar-Pa'!T180,0)</f>
        <v>6.9365874999999999</v>
      </c>
      <c r="AS180" s="21">
        <f>IFERROR(U180/'Ar-Pa'!U180,0)</f>
        <v>6.7316750000000001</v>
      </c>
      <c r="AT180" s="21">
        <f>IFERROR(V180/'Ar-Pa'!V180,0)</f>
        <v>6.7249249999999998</v>
      </c>
      <c r="AU180" s="21">
        <f>IFERROR(W180/'Ar-Pa'!W180,0)</f>
        <v>6.7477</v>
      </c>
      <c r="AV180" s="21">
        <f>IFERROR(X180/'Ar-Pa'!X180,0)</f>
        <v>6.7064374999999998</v>
      </c>
      <c r="AW180" s="21">
        <f>IFERROR(Y180/'Ar-Pa'!Y180,0)</f>
        <v>6.6760249999999992</v>
      </c>
      <c r="AX180" s="21">
        <f t="shared" si="2"/>
        <v>160.77931607142861</v>
      </c>
    </row>
    <row r="181" spans="1:50">
      <c r="A181" s="15">
        <v>45106</v>
      </c>
      <c r="B181" s="437">
        <v>45.101999999999997</v>
      </c>
      <c r="C181" s="437">
        <v>44.607800000000005</v>
      </c>
      <c r="D181" s="437">
        <v>44.587600000000002</v>
      </c>
      <c r="E181" s="437">
        <v>44.5486</v>
      </c>
      <c r="F181" s="437">
        <v>44.588699999999996</v>
      </c>
      <c r="G181" s="437">
        <v>44.704300000000003</v>
      </c>
      <c r="H181" s="437">
        <v>44.526199999999996</v>
      </c>
      <c r="I181" s="437">
        <v>44.7898</v>
      </c>
      <c r="J181" s="437">
        <v>44.6541</v>
      </c>
      <c r="K181" s="437">
        <v>44.672499999999999</v>
      </c>
      <c r="L181" s="437">
        <v>44.554900000000004</v>
      </c>
      <c r="M181" s="437">
        <v>44.762099999999997</v>
      </c>
      <c r="N181" s="437">
        <v>44.162999999999997</v>
      </c>
      <c r="O181" s="437">
        <v>43.655800000000006</v>
      </c>
      <c r="P181" s="437">
        <v>44.426699999999997</v>
      </c>
      <c r="Q181" s="437">
        <v>44.179499999999997</v>
      </c>
      <c r="R181" s="437">
        <v>44.193300000000001</v>
      </c>
      <c r="S181" s="437">
        <v>44.114400000000003</v>
      </c>
      <c r="T181" s="437">
        <v>44.052900000000001</v>
      </c>
      <c r="U181" s="437">
        <v>44.156999999999996</v>
      </c>
      <c r="V181" s="437">
        <v>44.182900000000004</v>
      </c>
      <c r="W181" s="437">
        <v>47.6417</v>
      </c>
      <c r="X181" s="437">
        <v>58.6631</v>
      </c>
      <c r="Y181" s="437">
        <v>58.453499999999998</v>
      </c>
      <c r="Z181" s="21">
        <f>IFERROR(B181/'Ar-Pa'!B181,0)</f>
        <v>6.4431428571428571</v>
      </c>
      <c r="AA181" s="21">
        <f>IFERROR(C181/'Ar-Pa'!C181,0)</f>
        <v>6.3725428571428582</v>
      </c>
      <c r="AB181" s="21">
        <f>IFERROR(D181/'Ar-Pa'!D181,0)</f>
        <v>6.3696571428571431</v>
      </c>
      <c r="AC181" s="21">
        <f>IFERROR(E181/'Ar-Pa'!E181,0)</f>
        <v>6.3640857142857143</v>
      </c>
      <c r="AD181" s="21">
        <f>IFERROR(F181/'Ar-Pa'!F181,0)</f>
        <v>6.369814285714285</v>
      </c>
      <c r="AE181" s="21">
        <f>IFERROR(G181/'Ar-Pa'!G181,0)</f>
        <v>6.3863285714285718</v>
      </c>
      <c r="AF181" s="21">
        <f>IFERROR(H181/'Ar-Pa'!H181,0)</f>
        <v>6.3608857142857138</v>
      </c>
      <c r="AG181" s="21">
        <f>IFERROR(I181/'Ar-Pa'!I181,0)</f>
        <v>6.3985428571428571</v>
      </c>
      <c r="AH181" s="21">
        <f>IFERROR(J181/'Ar-Pa'!J181,0)</f>
        <v>6.3791571428571432</v>
      </c>
      <c r="AI181" s="21">
        <f>IFERROR(K181/'Ar-Pa'!K181,0)</f>
        <v>6.381785714285714</v>
      </c>
      <c r="AJ181" s="21">
        <f>IFERROR(L181/'Ar-Pa'!L181,0)</f>
        <v>6.3649857142857149</v>
      </c>
      <c r="AK181" s="21">
        <f>IFERROR(M181/'Ar-Pa'!M181,0)</f>
        <v>6.3945857142857134</v>
      </c>
      <c r="AL181" s="21">
        <f>IFERROR(N181/'Ar-Pa'!N181,0)</f>
        <v>7.3604999999999992</v>
      </c>
      <c r="AM181" s="21">
        <f>IFERROR(O181/'Ar-Pa'!O181,0)</f>
        <v>7.275966666666668</v>
      </c>
      <c r="AN181" s="21">
        <f>IFERROR(P181/'Ar-Pa'!P181,0)</f>
        <v>6.3466714285714279</v>
      </c>
      <c r="AO181" s="21">
        <f>IFERROR(Q181/'Ar-Pa'!Q181,0)</f>
        <v>6.3113571428571422</v>
      </c>
      <c r="AP181" s="21">
        <f>IFERROR(R181/'Ar-Pa'!R181,0)</f>
        <v>6.3133285714285714</v>
      </c>
      <c r="AQ181" s="21">
        <f>IFERROR(S181/'Ar-Pa'!S181,0)</f>
        <v>6.3020571428571435</v>
      </c>
      <c r="AR181" s="21">
        <f>IFERROR(T181/'Ar-Pa'!T181,0)</f>
        <v>6.2932714285714288</v>
      </c>
      <c r="AS181" s="21">
        <f>IFERROR(U181/'Ar-Pa'!U181,0)</f>
        <v>6.3081428571428564</v>
      </c>
      <c r="AT181" s="21">
        <f>IFERROR(V181/'Ar-Pa'!V181,0)</f>
        <v>6.3118428571428575</v>
      </c>
      <c r="AU181" s="21">
        <f>IFERROR(W181/'Ar-Pa'!W181,0)</f>
        <v>6.8059571428571433</v>
      </c>
      <c r="AV181" s="21">
        <f>IFERROR(X181/'Ar-Pa'!X181,0)</f>
        <v>8.3804428571428566</v>
      </c>
      <c r="AW181" s="21">
        <f>IFERROR(Y181/'Ar-Pa'!Y181,0)</f>
        <v>8.3505000000000003</v>
      </c>
      <c r="AX181" s="21">
        <f t="shared" si="2"/>
        <v>158.94555238095242</v>
      </c>
    </row>
    <row r="182" spans="1:50">
      <c r="A182" s="15">
        <v>45107</v>
      </c>
      <c r="B182" s="436">
        <v>46.555500000000002</v>
      </c>
      <c r="C182" s="436">
        <v>44.9191</v>
      </c>
      <c r="D182" s="436">
        <v>44.966000000000001</v>
      </c>
      <c r="E182" s="436">
        <v>44.8874</v>
      </c>
      <c r="F182" s="436">
        <v>44.987099999999998</v>
      </c>
      <c r="G182" s="436">
        <v>44.979199999999999</v>
      </c>
      <c r="H182" s="436">
        <v>44.933099999999996</v>
      </c>
      <c r="I182" s="436">
        <v>45.165900000000001</v>
      </c>
      <c r="J182" s="436">
        <v>45.003599999999999</v>
      </c>
      <c r="K182" s="436">
        <v>45.054699999999997</v>
      </c>
      <c r="L182" s="436">
        <v>45.186</v>
      </c>
      <c r="M182" s="436">
        <v>45.147800000000004</v>
      </c>
      <c r="N182" s="436">
        <v>45.212900000000005</v>
      </c>
      <c r="O182" s="436">
        <v>43.945599999999999</v>
      </c>
      <c r="P182" s="436">
        <v>43.5762</v>
      </c>
      <c r="Q182" s="436">
        <v>44.3262</v>
      </c>
      <c r="R182" s="436">
        <v>43.420900000000003</v>
      </c>
      <c r="S182" s="436">
        <v>43.910499999999999</v>
      </c>
      <c r="T182" s="436">
        <v>43.860300000000002</v>
      </c>
      <c r="U182" s="436">
        <v>43.908499999999997</v>
      </c>
      <c r="V182" s="436">
        <v>43.936199999999999</v>
      </c>
      <c r="W182" s="436">
        <v>46.2575</v>
      </c>
      <c r="X182" s="436">
        <v>58.8489</v>
      </c>
      <c r="Y182" s="436">
        <v>59.2943</v>
      </c>
      <c r="Z182" s="21">
        <f>IFERROR(B182/'Ar-Pa'!B182,0)</f>
        <v>6.650785714285715</v>
      </c>
      <c r="AA182" s="21">
        <f>IFERROR(C182/'Ar-Pa'!C182,0)</f>
        <v>6.417014285714286</v>
      </c>
      <c r="AB182" s="21">
        <f>IFERROR(D182/'Ar-Pa'!D182,0)</f>
        <v>6.4237142857142855</v>
      </c>
      <c r="AC182" s="21">
        <f>IFERROR(E182/'Ar-Pa'!E182,0)</f>
        <v>6.4124857142857143</v>
      </c>
      <c r="AD182" s="21">
        <f>IFERROR(F182/'Ar-Pa'!F182,0)</f>
        <v>6.4267285714285709</v>
      </c>
      <c r="AE182" s="21">
        <f>IFERROR(G182/'Ar-Pa'!G182,0)</f>
        <v>6.4256000000000002</v>
      </c>
      <c r="AF182" s="21">
        <f>IFERROR(H182/'Ar-Pa'!H182,0)</f>
        <v>6.4190142857142849</v>
      </c>
      <c r="AG182" s="21">
        <f>IFERROR(I182/'Ar-Pa'!I182,0)</f>
        <v>6.4522714285714287</v>
      </c>
      <c r="AH182" s="21">
        <f>IFERROR(J182/'Ar-Pa'!J182,0)</f>
        <v>6.4290857142857138</v>
      </c>
      <c r="AI182" s="21">
        <f>IFERROR(K182/'Ar-Pa'!K182,0)</f>
        <v>6.4363857142857137</v>
      </c>
      <c r="AJ182" s="21">
        <f>IFERROR(L182/'Ar-Pa'!L182,0)</f>
        <v>6.4551428571428575</v>
      </c>
      <c r="AK182" s="21">
        <f>IFERROR(M182/'Ar-Pa'!M182,0)</f>
        <v>6.4496857142857147</v>
      </c>
      <c r="AL182" s="21">
        <f>IFERROR(N182/'Ar-Pa'!N182,0)</f>
        <v>6.4589857142857152</v>
      </c>
      <c r="AM182" s="21">
        <f>IFERROR(O182/'Ar-Pa'!O182,0)</f>
        <v>6.2779428571428566</v>
      </c>
      <c r="AN182" s="21">
        <f>IFERROR(P182/'Ar-Pa'!P182,0)</f>
        <v>6.2251714285714286</v>
      </c>
      <c r="AO182" s="21">
        <f>IFERROR(Q182/'Ar-Pa'!Q182,0)</f>
        <v>6.3323142857142853</v>
      </c>
      <c r="AP182" s="21">
        <f>IFERROR(R182/'Ar-Pa'!R182,0)</f>
        <v>6.202985714285715</v>
      </c>
      <c r="AQ182" s="21">
        <f>IFERROR(S182/'Ar-Pa'!S182,0)</f>
        <v>6.2729285714285714</v>
      </c>
      <c r="AR182" s="21">
        <f>IFERROR(T182/'Ar-Pa'!T182,0)</f>
        <v>6.2657571428571428</v>
      </c>
      <c r="AS182" s="21">
        <f>IFERROR(U182/'Ar-Pa'!U182,0)</f>
        <v>6.2726428571428565</v>
      </c>
      <c r="AT182" s="21">
        <f>IFERROR(V182/'Ar-Pa'!V182,0)</f>
        <v>6.2766000000000002</v>
      </c>
      <c r="AU182" s="21">
        <f>IFERROR(W182/'Ar-Pa'!W182,0)</f>
        <v>6.6082142857142854</v>
      </c>
      <c r="AV182" s="21">
        <f>IFERROR(X182/'Ar-Pa'!X182,0)</f>
        <v>8.4069857142857138</v>
      </c>
      <c r="AW182" s="21">
        <f>IFERROR(Y182/'Ar-Pa'!Y182,0)</f>
        <v>8.4706142857142854</v>
      </c>
      <c r="AX182" s="21">
        <f t="shared" si="2"/>
        <v>157.46905714285717</v>
      </c>
    </row>
    <row r="183" spans="1:50">
      <c r="A183" s="15">
        <v>45108</v>
      </c>
      <c r="B183" s="436">
        <v>54.956699999999998</v>
      </c>
      <c r="C183" s="436">
        <v>54.398099999999999</v>
      </c>
      <c r="D183" s="436">
        <v>54.648900000000005</v>
      </c>
      <c r="E183" s="436">
        <v>54.846199999999996</v>
      </c>
      <c r="F183" s="436">
        <v>54.931699999999999</v>
      </c>
      <c r="G183" s="436">
        <v>54.886300000000006</v>
      </c>
      <c r="H183" s="436">
        <v>55.075300000000006</v>
      </c>
      <c r="I183" s="436">
        <v>54.307600000000001</v>
      </c>
      <c r="J183" s="436">
        <v>54.070900000000002</v>
      </c>
      <c r="K183" s="436">
        <v>54.091099999999997</v>
      </c>
      <c r="L183" s="436">
        <v>53.985900000000001</v>
      </c>
      <c r="M183" s="436">
        <v>53.6021</v>
      </c>
      <c r="N183" s="436">
        <v>53.607500000000002</v>
      </c>
      <c r="O183" s="436">
        <v>53.861599999999996</v>
      </c>
      <c r="P183" s="436">
        <v>53.770600000000002</v>
      </c>
      <c r="Q183" s="436">
        <v>53.870800000000003</v>
      </c>
      <c r="R183" s="436">
        <v>53.755699999999997</v>
      </c>
      <c r="S183" s="436">
        <v>53.565300000000001</v>
      </c>
      <c r="T183" s="436">
        <v>53.764199999999995</v>
      </c>
      <c r="U183" s="436">
        <v>54.058599999999998</v>
      </c>
      <c r="V183" s="436">
        <v>54.422400000000003</v>
      </c>
      <c r="W183" s="436">
        <v>54.713699999999996</v>
      </c>
      <c r="X183" s="436">
        <v>54.603000000000002</v>
      </c>
      <c r="Y183" s="436">
        <v>54.558300000000003</v>
      </c>
      <c r="Z183" s="21">
        <f>IFERROR(B183/'Ar-Pa'!B183,0)</f>
        <v>6.8695874999999997</v>
      </c>
      <c r="AA183" s="21">
        <f>IFERROR(C183/'Ar-Pa'!C183,0)</f>
        <v>6.7997624999999999</v>
      </c>
      <c r="AB183" s="21">
        <f>IFERROR(D183/'Ar-Pa'!D183,0)</f>
        <v>6.8311125000000006</v>
      </c>
      <c r="AC183" s="21">
        <f>IFERROR(E183/'Ar-Pa'!E183,0)</f>
        <v>6.8557749999999995</v>
      </c>
      <c r="AD183" s="21">
        <f>IFERROR(F183/'Ar-Pa'!F183,0)</f>
        <v>6.8664624999999999</v>
      </c>
      <c r="AE183" s="21">
        <f>IFERROR(G183/'Ar-Pa'!G183,0)</f>
        <v>6.8607875000000007</v>
      </c>
      <c r="AF183" s="21">
        <f>IFERROR(H183/'Ar-Pa'!H183,0)</f>
        <v>6.8844125000000007</v>
      </c>
      <c r="AG183" s="21">
        <f>IFERROR(I183/'Ar-Pa'!I183,0)</f>
        <v>6.7884500000000001</v>
      </c>
      <c r="AH183" s="21">
        <f>IFERROR(J183/'Ar-Pa'!J183,0)</f>
        <v>6.7588625000000002</v>
      </c>
      <c r="AI183" s="21">
        <f>IFERROR(K183/'Ar-Pa'!K183,0)</f>
        <v>6.7613874999999997</v>
      </c>
      <c r="AJ183" s="21">
        <f>IFERROR(L183/'Ar-Pa'!L183,0)</f>
        <v>6.7482375000000001</v>
      </c>
      <c r="AK183" s="21">
        <f>IFERROR(M183/'Ar-Pa'!M183,0)</f>
        <v>6.7002625</v>
      </c>
      <c r="AL183" s="21">
        <f>IFERROR(N183/'Ar-Pa'!N183,0)</f>
        <v>6.7009375000000002</v>
      </c>
      <c r="AM183" s="21">
        <f>IFERROR(O183/'Ar-Pa'!O183,0)</f>
        <v>6.7326999999999995</v>
      </c>
      <c r="AN183" s="21">
        <f>IFERROR(P183/'Ar-Pa'!P183,0)</f>
        <v>6.7213250000000002</v>
      </c>
      <c r="AO183" s="21">
        <f>IFERROR(Q183/'Ar-Pa'!Q183,0)</f>
        <v>6.7338500000000003</v>
      </c>
      <c r="AP183" s="21">
        <f>IFERROR(R183/'Ar-Pa'!R183,0)</f>
        <v>6.7194624999999997</v>
      </c>
      <c r="AQ183" s="21">
        <f>IFERROR(S183/'Ar-Pa'!S183,0)</f>
        <v>6.6956625000000001</v>
      </c>
      <c r="AR183" s="21">
        <f>IFERROR(T183/'Ar-Pa'!T183,0)</f>
        <v>6.7205249999999994</v>
      </c>
      <c r="AS183" s="21">
        <f>IFERROR(U183/'Ar-Pa'!U183,0)</f>
        <v>6.7573249999999998</v>
      </c>
      <c r="AT183" s="21">
        <f>IFERROR(V183/'Ar-Pa'!V183,0)</f>
        <v>6.8028000000000004</v>
      </c>
      <c r="AU183" s="21">
        <f>IFERROR(W183/'Ar-Pa'!W183,0)</f>
        <v>6.8392124999999995</v>
      </c>
      <c r="AV183" s="21">
        <f>IFERROR(X183/'Ar-Pa'!X183,0)</f>
        <v>6.8253750000000002</v>
      </c>
      <c r="AW183" s="21">
        <f>IFERROR(Y183/'Ar-Pa'!Y183,0)</f>
        <v>6.8197875000000003</v>
      </c>
      <c r="AX183" s="21">
        <f t="shared" si="2"/>
        <v>162.7940625</v>
      </c>
    </row>
    <row r="184" spans="1:50">
      <c r="A184" s="15">
        <v>45109</v>
      </c>
      <c r="B184" s="436">
        <v>54.533900000000003</v>
      </c>
      <c r="C184" s="436">
        <v>54.721599999999995</v>
      </c>
      <c r="D184" s="436">
        <v>54.910499999999999</v>
      </c>
      <c r="E184" s="436">
        <v>54.514600000000002</v>
      </c>
      <c r="F184" s="436">
        <v>54.700900000000004</v>
      </c>
      <c r="G184" s="436">
        <v>54.876400000000004</v>
      </c>
      <c r="H184" s="436">
        <v>54.872099999999996</v>
      </c>
      <c r="I184" s="436">
        <v>55.0867</v>
      </c>
      <c r="J184" s="436">
        <v>54.862400000000001</v>
      </c>
      <c r="K184" s="436">
        <v>54.996900000000004</v>
      </c>
      <c r="L184" s="436">
        <v>54.978400000000001</v>
      </c>
      <c r="M184" s="436">
        <v>54.898099999999999</v>
      </c>
      <c r="N184" s="436">
        <v>54.932900000000004</v>
      </c>
      <c r="O184" s="436">
        <v>54.818800000000003</v>
      </c>
      <c r="P184" s="436">
        <v>54.922699999999999</v>
      </c>
      <c r="Q184" s="436">
        <v>54.857699999999994</v>
      </c>
      <c r="R184" s="436">
        <v>54.945900000000002</v>
      </c>
      <c r="S184" s="436">
        <v>54.8232</v>
      </c>
      <c r="T184" s="436">
        <v>54.8979</v>
      </c>
      <c r="U184" s="436">
        <v>54.9268</v>
      </c>
      <c r="V184" s="436">
        <v>54.808699999999995</v>
      </c>
      <c r="W184" s="436">
        <v>54.7149</v>
      </c>
      <c r="X184" s="436">
        <v>54.631599999999999</v>
      </c>
      <c r="Y184" s="436">
        <v>54.4236</v>
      </c>
      <c r="Z184" s="21">
        <f>IFERROR(B184/'Ar-Pa'!B184,0)</f>
        <v>6.8167375000000003</v>
      </c>
      <c r="AA184" s="21">
        <f>IFERROR(C184/'Ar-Pa'!C184,0)</f>
        <v>6.8401999999999994</v>
      </c>
      <c r="AB184" s="21">
        <f>IFERROR(D184/'Ar-Pa'!D184,0)</f>
        <v>6.8638124999999999</v>
      </c>
      <c r="AC184" s="21">
        <f>IFERROR(E184/'Ar-Pa'!E184,0)</f>
        <v>6.8143250000000002</v>
      </c>
      <c r="AD184" s="21">
        <f>IFERROR(F184/'Ar-Pa'!F184,0)</f>
        <v>6.8376125000000005</v>
      </c>
      <c r="AE184" s="21">
        <f>IFERROR(G184/'Ar-Pa'!G184,0)</f>
        <v>6.8595500000000005</v>
      </c>
      <c r="AF184" s="21">
        <f>IFERROR(H184/'Ar-Pa'!H184,0)</f>
        <v>6.8590124999999995</v>
      </c>
      <c r="AG184" s="21">
        <f>IFERROR(I184/'Ar-Pa'!I184,0)</f>
        <v>6.8858375000000001</v>
      </c>
      <c r="AH184" s="21">
        <f>IFERROR(J184/'Ar-Pa'!J184,0)</f>
        <v>6.8578000000000001</v>
      </c>
      <c r="AI184" s="21">
        <f>IFERROR(K184/'Ar-Pa'!K184,0)</f>
        <v>6.8746125000000005</v>
      </c>
      <c r="AJ184" s="21">
        <f>IFERROR(L184/'Ar-Pa'!L184,0)</f>
        <v>6.8723000000000001</v>
      </c>
      <c r="AK184" s="21">
        <f>IFERROR(M184/'Ar-Pa'!M184,0)</f>
        <v>6.8622624999999999</v>
      </c>
      <c r="AL184" s="21">
        <f>IFERROR(N184/'Ar-Pa'!N184,0)</f>
        <v>6.8666125000000005</v>
      </c>
      <c r="AM184" s="21">
        <f>IFERROR(O184/'Ar-Pa'!O184,0)</f>
        <v>6.8523500000000004</v>
      </c>
      <c r="AN184" s="21">
        <f>IFERROR(P184/'Ar-Pa'!P184,0)</f>
        <v>6.8653374999999999</v>
      </c>
      <c r="AO184" s="21">
        <f>IFERROR(Q184/'Ar-Pa'!Q184,0)</f>
        <v>6.8572124999999993</v>
      </c>
      <c r="AP184" s="21">
        <f>IFERROR(R184/'Ar-Pa'!R184,0)</f>
        <v>6.8682375000000002</v>
      </c>
      <c r="AQ184" s="21">
        <f>IFERROR(S184/'Ar-Pa'!S184,0)</f>
        <v>6.8529</v>
      </c>
      <c r="AR184" s="21">
        <f>IFERROR(T184/'Ar-Pa'!T184,0)</f>
        <v>6.8622375</v>
      </c>
      <c r="AS184" s="21">
        <f>IFERROR(U184/'Ar-Pa'!U184,0)</f>
        <v>6.86585</v>
      </c>
      <c r="AT184" s="21">
        <f>IFERROR(V184/'Ar-Pa'!V184,0)</f>
        <v>6.8510874999999993</v>
      </c>
      <c r="AU184" s="21">
        <f>IFERROR(W184/'Ar-Pa'!W184,0)</f>
        <v>6.8393625</v>
      </c>
      <c r="AV184" s="21">
        <f>IFERROR(X184/'Ar-Pa'!X184,0)</f>
        <v>6.8289499999999999</v>
      </c>
      <c r="AW184" s="21">
        <f>IFERROR(Y184/'Ar-Pa'!Y184,0)</f>
        <v>6.8029500000000001</v>
      </c>
      <c r="AX184" s="21">
        <f t="shared" ref="AX184:AX214" si="3">SUM(Z184:AW184)</f>
        <v>164.45715000000001</v>
      </c>
    </row>
    <row r="185" spans="1:50">
      <c r="A185" s="15">
        <v>45110</v>
      </c>
      <c r="B185" s="436">
        <v>54.418199999999999</v>
      </c>
      <c r="C185" s="436">
        <v>54.396900000000002</v>
      </c>
      <c r="D185" s="436">
        <v>54.368900000000004</v>
      </c>
      <c r="E185" s="436">
        <v>54.408199999999994</v>
      </c>
      <c r="F185" s="436">
        <v>54.7196</v>
      </c>
      <c r="G185" s="436">
        <v>54.708100000000002</v>
      </c>
      <c r="H185" s="436">
        <v>54.686900000000001</v>
      </c>
      <c r="I185" s="436">
        <v>54.8371</v>
      </c>
      <c r="J185" s="436">
        <v>54.757400000000004</v>
      </c>
      <c r="K185" s="436">
        <v>54.248100000000001</v>
      </c>
      <c r="L185" s="436">
        <v>54.2273</v>
      </c>
      <c r="M185" s="436">
        <v>54.366599999999998</v>
      </c>
      <c r="N185" s="436">
        <v>54.481999999999999</v>
      </c>
      <c r="O185" s="436">
        <v>54.385800000000003</v>
      </c>
      <c r="P185" s="436">
        <v>53.916499999999999</v>
      </c>
      <c r="Q185" s="436">
        <v>53.570800000000006</v>
      </c>
      <c r="R185" s="436">
        <v>53.7684</v>
      </c>
      <c r="S185" s="436">
        <v>53.729500000000002</v>
      </c>
      <c r="T185" s="436">
        <v>53.527300000000004</v>
      </c>
      <c r="U185" s="436">
        <v>53.785899999999998</v>
      </c>
      <c r="V185" s="436">
        <v>53.739599999999996</v>
      </c>
      <c r="W185" s="436">
        <v>53.464599999999997</v>
      </c>
      <c r="X185" s="436">
        <v>54.047699999999999</v>
      </c>
      <c r="Y185" s="436">
        <v>54.660800000000002</v>
      </c>
      <c r="Z185" s="21">
        <f>IFERROR(B185/'Ar-Pa'!B185,0)</f>
        <v>6.8022749999999998</v>
      </c>
      <c r="AA185" s="21">
        <f>IFERROR(C185/'Ar-Pa'!C185,0)</f>
        <v>6.7996125000000003</v>
      </c>
      <c r="AB185" s="21">
        <f>IFERROR(D185/'Ar-Pa'!D185,0)</f>
        <v>6.7961125000000004</v>
      </c>
      <c r="AC185" s="21">
        <f>IFERROR(E185/'Ar-Pa'!E185,0)</f>
        <v>6.8010249999999992</v>
      </c>
      <c r="AD185" s="21">
        <f>IFERROR(F185/'Ar-Pa'!F185,0)</f>
        <v>6.83995</v>
      </c>
      <c r="AE185" s="21">
        <f>IFERROR(G185/'Ar-Pa'!G185,0)</f>
        <v>6.8385125000000002</v>
      </c>
      <c r="AF185" s="21">
        <f>IFERROR(H185/'Ar-Pa'!H185,0)</f>
        <v>6.8358625000000002</v>
      </c>
      <c r="AG185" s="21">
        <f>IFERROR(I185/'Ar-Pa'!I185,0)</f>
        <v>6.8546374999999999</v>
      </c>
      <c r="AH185" s="21">
        <f>IFERROR(J185/'Ar-Pa'!J185,0)</f>
        <v>6.8446750000000005</v>
      </c>
      <c r="AI185" s="21">
        <f>IFERROR(K185/'Ar-Pa'!K185,0)</f>
        <v>6.7810125000000001</v>
      </c>
      <c r="AJ185" s="21">
        <f>IFERROR(L185/'Ar-Pa'!L185,0)</f>
        <v>6.7784125</v>
      </c>
      <c r="AK185" s="21">
        <f>IFERROR(M185/'Ar-Pa'!M185,0)</f>
        <v>6.7958249999999998</v>
      </c>
      <c r="AL185" s="21">
        <f>IFERROR(N185/'Ar-Pa'!N185,0)</f>
        <v>6.8102499999999999</v>
      </c>
      <c r="AM185" s="21">
        <f>IFERROR(O185/'Ar-Pa'!O185,0)</f>
        <v>6.7982250000000004</v>
      </c>
      <c r="AN185" s="21">
        <f>IFERROR(P185/'Ar-Pa'!P185,0)</f>
        <v>6.7395624999999999</v>
      </c>
      <c r="AO185" s="21">
        <f>IFERROR(Q185/'Ar-Pa'!Q185,0)</f>
        <v>6.6963500000000007</v>
      </c>
      <c r="AP185" s="21">
        <f>IFERROR(R185/'Ar-Pa'!R185,0)</f>
        <v>6.72105</v>
      </c>
      <c r="AQ185" s="21">
        <f>IFERROR(S185/'Ar-Pa'!S185,0)</f>
        <v>6.7161875000000002</v>
      </c>
      <c r="AR185" s="21">
        <f>IFERROR(T185/'Ar-Pa'!T185,0)</f>
        <v>6.6909125000000005</v>
      </c>
      <c r="AS185" s="21">
        <f>IFERROR(U185/'Ar-Pa'!U185,0)</f>
        <v>6.7232374999999998</v>
      </c>
      <c r="AT185" s="21">
        <f>IFERROR(V185/'Ar-Pa'!V185,0)</f>
        <v>6.7174499999999995</v>
      </c>
      <c r="AU185" s="21">
        <f>IFERROR(W185/'Ar-Pa'!W185,0)</f>
        <v>6.6830749999999997</v>
      </c>
      <c r="AV185" s="21">
        <f>IFERROR(X185/'Ar-Pa'!X185,0)</f>
        <v>6.7559624999999999</v>
      </c>
      <c r="AW185" s="21">
        <f>IFERROR(Y185/'Ar-Pa'!Y185,0)</f>
        <v>6.8326000000000002</v>
      </c>
      <c r="AX185" s="21">
        <f t="shared" si="3"/>
        <v>162.65277500000005</v>
      </c>
    </row>
    <row r="186" spans="1:50">
      <c r="A186" s="15">
        <v>45111</v>
      </c>
      <c r="B186" s="436">
        <v>54.3566</v>
      </c>
      <c r="C186" s="436">
        <v>54.369</v>
      </c>
      <c r="D186" s="436">
        <v>54.412300000000002</v>
      </c>
      <c r="E186" s="436">
        <v>54.623699999999999</v>
      </c>
      <c r="F186" s="436">
        <v>54.731900000000003</v>
      </c>
      <c r="G186" s="436">
        <v>54.531699999999994</v>
      </c>
      <c r="H186" s="436">
        <v>54.529300000000006</v>
      </c>
      <c r="I186" s="436">
        <v>54.817599999999999</v>
      </c>
      <c r="J186" s="436">
        <v>54.460500000000003</v>
      </c>
      <c r="K186" s="436">
        <v>54.546099999999996</v>
      </c>
      <c r="L186" s="436">
        <v>54.516500000000001</v>
      </c>
      <c r="M186" s="436">
        <v>54.595999999999997</v>
      </c>
      <c r="N186" s="436">
        <v>54.603499999999997</v>
      </c>
      <c r="O186" s="436">
        <v>54.454800000000006</v>
      </c>
      <c r="P186" s="436">
        <v>54.564900000000002</v>
      </c>
      <c r="Q186" s="436">
        <v>54.537500000000001</v>
      </c>
      <c r="R186" s="436">
        <v>54.593699999999998</v>
      </c>
      <c r="S186" s="436">
        <v>54.382199999999997</v>
      </c>
      <c r="T186" s="436">
        <v>54.673900000000003</v>
      </c>
      <c r="U186" s="436">
        <v>54.701500000000003</v>
      </c>
      <c r="V186" s="436">
        <v>54.6434</v>
      </c>
      <c r="W186" s="436">
        <v>54.303699999999999</v>
      </c>
      <c r="X186" s="436">
        <v>54.552900000000001</v>
      </c>
      <c r="Y186" s="436">
        <v>54.679600000000001</v>
      </c>
      <c r="Z186" s="21">
        <f>IFERROR(B186/'Ar-Pa'!B186,0)</f>
        <v>6.794575</v>
      </c>
      <c r="AA186" s="21">
        <f>IFERROR(C186/'Ar-Pa'!C186,0)</f>
        <v>6.796125</v>
      </c>
      <c r="AB186" s="21">
        <f>IFERROR(D186/'Ar-Pa'!D186,0)</f>
        <v>6.8015375000000002</v>
      </c>
      <c r="AC186" s="21">
        <f>IFERROR(E186/'Ar-Pa'!E186,0)</f>
        <v>6.8279624999999999</v>
      </c>
      <c r="AD186" s="21">
        <f>IFERROR(F186/'Ar-Pa'!F186,0)</f>
        <v>6.8414875000000004</v>
      </c>
      <c r="AE186" s="21">
        <f>IFERROR(G186/'Ar-Pa'!G186,0)</f>
        <v>6.8164624999999992</v>
      </c>
      <c r="AF186" s="21">
        <f>IFERROR(H186/'Ar-Pa'!H186,0)</f>
        <v>6.8161625000000008</v>
      </c>
      <c r="AG186" s="21">
        <f>IFERROR(I186/'Ar-Pa'!I186,0)</f>
        <v>6.8521999999999998</v>
      </c>
      <c r="AH186" s="21">
        <f>IFERROR(J186/'Ar-Pa'!J186,0)</f>
        <v>6.8075625000000004</v>
      </c>
      <c r="AI186" s="21">
        <f>IFERROR(K186/'Ar-Pa'!K186,0)</f>
        <v>6.8182624999999994</v>
      </c>
      <c r="AJ186" s="21">
        <f>IFERROR(L186/'Ar-Pa'!L186,0)</f>
        <v>6.8145625000000001</v>
      </c>
      <c r="AK186" s="21">
        <f>IFERROR(M186/'Ar-Pa'!M186,0)</f>
        <v>6.8244999999999996</v>
      </c>
      <c r="AL186" s="21">
        <f>IFERROR(N186/'Ar-Pa'!N186,0)</f>
        <v>6.8254374999999996</v>
      </c>
      <c r="AM186" s="21">
        <f>IFERROR(O186/'Ar-Pa'!O186,0)</f>
        <v>6.8068500000000007</v>
      </c>
      <c r="AN186" s="21">
        <f>IFERROR(P186/'Ar-Pa'!P186,0)</f>
        <v>6.8206125000000002</v>
      </c>
      <c r="AO186" s="21">
        <f>IFERROR(Q186/'Ar-Pa'!Q186,0)</f>
        <v>6.8171875000000002</v>
      </c>
      <c r="AP186" s="21">
        <f>IFERROR(R186/'Ar-Pa'!R186,0)</f>
        <v>6.8242124999999998</v>
      </c>
      <c r="AQ186" s="21">
        <f>IFERROR(S186/'Ar-Pa'!S186,0)</f>
        <v>6.7977749999999997</v>
      </c>
      <c r="AR186" s="21">
        <f>IFERROR(T186/'Ar-Pa'!T186,0)</f>
        <v>6.8342375000000004</v>
      </c>
      <c r="AS186" s="21">
        <f>IFERROR(U186/'Ar-Pa'!U186,0)</f>
        <v>6.8376875000000004</v>
      </c>
      <c r="AT186" s="21">
        <f>IFERROR(V186/'Ar-Pa'!V186,0)</f>
        <v>6.830425</v>
      </c>
      <c r="AU186" s="21">
        <f>IFERROR(W186/'Ar-Pa'!W186,0)</f>
        <v>6.7879624999999999</v>
      </c>
      <c r="AV186" s="21">
        <f>IFERROR(X186/'Ar-Pa'!X186,0)</f>
        <v>6.8191125000000001</v>
      </c>
      <c r="AW186" s="21">
        <f>IFERROR(Y186/'Ar-Pa'!Y186,0)</f>
        <v>6.8349500000000001</v>
      </c>
      <c r="AX186" s="21">
        <f t="shared" si="3"/>
        <v>163.64784999999995</v>
      </c>
    </row>
    <row r="187" spans="1:50">
      <c r="A187" s="15">
        <v>45112</v>
      </c>
      <c r="B187" s="436">
        <v>54.380499999999998</v>
      </c>
      <c r="C187" s="436">
        <v>54.306699999999999</v>
      </c>
      <c r="D187" s="436">
        <v>54.629899999999999</v>
      </c>
      <c r="E187" s="436">
        <v>54.794800000000002</v>
      </c>
      <c r="F187" s="436">
        <v>54.893000000000001</v>
      </c>
      <c r="G187" s="436">
        <v>54.7254</v>
      </c>
      <c r="H187" s="436">
        <v>54.756500000000003</v>
      </c>
      <c r="I187" s="436">
        <v>54.6892</v>
      </c>
      <c r="J187" s="436">
        <v>54.718800000000002</v>
      </c>
      <c r="K187" s="436">
        <v>54.821100000000001</v>
      </c>
      <c r="L187" s="436">
        <v>54.6586</v>
      </c>
      <c r="M187" s="436">
        <v>55.081699999999998</v>
      </c>
      <c r="N187" s="436">
        <v>54.309599999999996</v>
      </c>
      <c r="O187" s="436">
        <v>54.408799999999999</v>
      </c>
      <c r="P187" s="436">
        <v>54.354099999999995</v>
      </c>
      <c r="Q187" s="436">
        <v>54.006599999999999</v>
      </c>
      <c r="R187" s="436">
        <v>54.184599999999996</v>
      </c>
      <c r="S187" s="436">
        <v>54.337400000000002</v>
      </c>
      <c r="T187" s="436">
        <v>54.381800000000005</v>
      </c>
      <c r="U187" s="436">
        <v>54.274500000000003</v>
      </c>
      <c r="V187" s="436">
        <v>54.238800000000005</v>
      </c>
      <c r="W187" s="436">
        <v>54.040999999999997</v>
      </c>
      <c r="X187" s="436">
        <v>54.138599999999997</v>
      </c>
      <c r="Y187" s="436">
        <v>54.168099999999995</v>
      </c>
      <c r="Z187" s="21">
        <f>IFERROR(B187/'Ar-Pa'!B187,0)</f>
        <v>6.7975624999999997</v>
      </c>
      <c r="AA187" s="21">
        <f>IFERROR(C187/'Ar-Pa'!C187,0)</f>
        <v>6.7883374999999999</v>
      </c>
      <c r="AB187" s="21">
        <f>IFERROR(D187/'Ar-Pa'!D187,0)</f>
        <v>6.8287374999999999</v>
      </c>
      <c r="AC187" s="21">
        <f>IFERROR(E187/'Ar-Pa'!E187,0)</f>
        <v>6.8493500000000003</v>
      </c>
      <c r="AD187" s="21">
        <f>IFERROR(F187/'Ar-Pa'!F187,0)</f>
        <v>6.8616250000000001</v>
      </c>
      <c r="AE187" s="21">
        <f>IFERROR(G187/'Ar-Pa'!G187,0)</f>
        <v>6.8406750000000001</v>
      </c>
      <c r="AF187" s="21">
        <f>IFERROR(H187/'Ar-Pa'!H187,0)</f>
        <v>6.8445625000000003</v>
      </c>
      <c r="AG187" s="21">
        <f>IFERROR(I187/'Ar-Pa'!I187,0)</f>
        <v>6.8361499999999999</v>
      </c>
      <c r="AH187" s="21">
        <f>IFERROR(J187/'Ar-Pa'!J187,0)</f>
        <v>6.8398500000000002</v>
      </c>
      <c r="AI187" s="21">
        <f>IFERROR(K187/'Ar-Pa'!K187,0)</f>
        <v>6.8526375000000002</v>
      </c>
      <c r="AJ187" s="21">
        <f>IFERROR(L187/'Ar-Pa'!L187,0)</f>
        <v>6.832325</v>
      </c>
      <c r="AK187" s="21">
        <f>IFERROR(M187/'Ar-Pa'!M187,0)</f>
        <v>6.8852124999999997</v>
      </c>
      <c r="AL187" s="21">
        <f>IFERROR(N187/'Ar-Pa'!N187,0)</f>
        <v>6.7886999999999995</v>
      </c>
      <c r="AM187" s="21">
        <f>IFERROR(O187/'Ar-Pa'!O187,0)</f>
        <v>6.8010999999999999</v>
      </c>
      <c r="AN187" s="21">
        <f>IFERROR(P187/'Ar-Pa'!P187,0)</f>
        <v>6.7942624999999994</v>
      </c>
      <c r="AO187" s="21">
        <f>IFERROR(Q187/'Ar-Pa'!Q187,0)</f>
        <v>6.7508249999999999</v>
      </c>
      <c r="AP187" s="21">
        <f>IFERROR(R187/'Ar-Pa'!R187,0)</f>
        <v>6.7730749999999995</v>
      </c>
      <c r="AQ187" s="21">
        <f>IFERROR(S187/'Ar-Pa'!S187,0)</f>
        <v>6.7921750000000003</v>
      </c>
      <c r="AR187" s="21">
        <f>IFERROR(T187/'Ar-Pa'!T187,0)</f>
        <v>6.7977250000000007</v>
      </c>
      <c r="AS187" s="21">
        <f>IFERROR(U187/'Ar-Pa'!U187,0)</f>
        <v>6.7843125000000004</v>
      </c>
      <c r="AT187" s="21">
        <f>IFERROR(V187/'Ar-Pa'!V187,0)</f>
        <v>6.7798500000000006</v>
      </c>
      <c r="AU187" s="21">
        <f>IFERROR(W187/'Ar-Pa'!W187,0)</f>
        <v>6.7551249999999996</v>
      </c>
      <c r="AV187" s="21">
        <f>IFERROR(X187/'Ar-Pa'!X187,0)</f>
        <v>6.7673249999999996</v>
      </c>
      <c r="AW187" s="21">
        <f>IFERROR(Y187/'Ar-Pa'!Y187,0)</f>
        <v>6.7710124999999994</v>
      </c>
      <c r="AX187" s="21">
        <f t="shared" si="3"/>
        <v>163.41251250000005</v>
      </c>
    </row>
    <row r="188" spans="1:50">
      <c r="A188" s="15">
        <v>45113</v>
      </c>
      <c r="B188" s="436">
        <v>53.920900000000003</v>
      </c>
      <c r="C188" s="436">
        <v>53.850300000000004</v>
      </c>
      <c r="D188" s="436">
        <v>54.076999999999998</v>
      </c>
      <c r="E188" s="436">
        <v>53.948599999999999</v>
      </c>
      <c r="F188" s="436">
        <v>54.205100000000002</v>
      </c>
      <c r="G188" s="436">
        <v>54.103099999999998</v>
      </c>
      <c r="H188" s="436">
        <v>54.119800000000005</v>
      </c>
      <c r="I188" s="436">
        <v>54.320399999999999</v>
      </c>
      <c r="J188" s="436">
        <v>54.386099999999999</v>
      </c>
      <c r="K188" s="436">
        <v>54.368000000000002</v>
      </c>
      <c r="L188" s="436">
        <v>54.3857</v>
      </c>
      <c r="M188" s="436">
        <v>54.328300000000006</v>
      </c>
      <c r="N188" s="436">
        <v>54.260300000000001</v>
      </c>
      <c r="O188" s="436">
        <v>54.788699999999999</v>
      </c>
      <c r="P188" s="436">
        <v>54.756399999999999</v>
      </c>
      <c r="Q188" s="436">
        <v>54.799300000000002</v>
      </c>
      <c r="R188" s="436">
        <v>54.643000000000001</v>
      </c>
      <c r="S188" s="436">
        <v>54.627900000000004</v>
      </c>
      <c r="T188" s="436">
        <v>54.828800000000001</v>
      </c>
      <c r="U188" s="436">
        <v>54.740300000000005</v>
      </c>
      <c r="V188" s="436">
        <v>54.540699999999994</v>
      </c>
      <c r="W188" s="436">
        <v>53.964199999999998</v>
      </c>
      <c r="X188" s="436">
        <v>54.0242</v>
      </c>
      <c r="Y188" s="436">
        <v>54.075800000000001</v>
      </c>
      <c r="Z188" s="21">
        <f>IFERROR(B188/'Ar-Pa'!B188,0)</f>
        <v>6.7401125000000004</v>
      </c>
      <c r="AA188" s="21">
        <f>IFERROR(C188/'Ar-Pa'!C188,0)</f>
        <v>6.7312875000000005</v>
      </c>
      <c r="AB188" s="21">
        <f>IFERROR(D188/'Ar-Pa'!D188,0)</f>
        <v>6.7596249999999998</v>
      </c>
      <c r="AC188" s="21">
        <f>IFERROR(E188/'Ar-Pa'!E188,0)</f>
        <v>6.7435749999999999</v>
      </c>
      <c r="AD188" s="21">
        <f>IFERROR(F188/'Ar-Pa'!F188,0)</f>
        <v>6.7756375000000002</v>
      </c>
      <c r="AE188" s="21">
        <f>IFERROR(G188/'Ar-Pa'!G188,0)</f>
        <v>6.7628874999999997</v>
      </c>
      <c r="AF188" s="21">
        <f>IFERROR(H188/'Ar-Pa'!H188,0)</f>
        <v>6.7649750000000006</v>
      </c>
      <c r="AG188" s="21">
        <f>IFERROR(I188/'Ar-Pa'!I188,0)</f>
        <v>6.7900499999999999</v>
      </c>
      <c r="AH188" s="21">
        <f>IFERROR(J188/'Ar-Pa'!J188,0)</f>
        <v>6.7982624999999999</v>
      </c>
      <c r="AI188" s="21">
        <f>IFERROR(K188/'Ar-Pa'!K188,0)</f>
        <v>6.7960000000000003</v>
      </c>
      <c r="AJ188" s="21">
        <f>IFERROR(L188/'Ar-Pa'!L188,0)</f>
        <v>6.7982125</v>
      </c>
      <c r="AK188" s="21">
        <f>IFERROR(M188/'Ar-Pa'!M188,0)</f>
        <v>6.7910375000000007</v>
      </c>
      <c r="AL188" s="21">
        <f>IFERROR(N188/'Ar-Pa'!N188,0)</f>
        <v>6.7825375000000001</v>
      </c>
      <c r="AM188" s="21">
        <f>IFERROR(O188/'Ar-Pa'!O188,0)</f>
        <v>6.8485874999999998</v>
      </c>
      <c r="AN188" s="21">
        <f>IFERROR(P188/'Ar-Pa'!P188,0)</f>
        <v>6.8445499999999999</v>
      </c>
      <c r="AO188" s="21">
        <f>IFERROR(Q188/'Ar-Pa'!Q188,0)</f>
        <v>6.8499125000000003</v>
      </c>
      <c r="AP188" s="21">
        <f>IFERROR(R188/'Ar-Pa'!R188,0)</f>
        <v>6.8303750000000001</v>
      </c>
      <c r="AQ188" s="21">
        <f>IFERROR(S188/'Ar-Pa'!S188,0)</f>
        <v>6.8284875000000005</v>
      </c>
      <c r="AR188" s="21">
        <f>IFERROR(T188/'Ar-Pa'!T188,0)</f>
        <v>6.8536000000000001</v>
      </c>
      <c r="AS188" s="21">
        <f>IFERROR(U188/'Ar-Pa'!U188,0)</f>
        <v>6.8425375000000006</v>
      </c>
      <c r="AT188" s="21">
        <f>IFERROR(V188/'Ar-Pa'!V188,0)</f>
        <v>6.8175874999999992</v>
      </c>
      <c r="AU188" s="21">
        <f>IFERROR(W188/'Ar-Pa'!W188,0)</f>
        <v>6.7455249999999998</v>
      </c>
      <c r="AV188" s="21">
        <f>IFERROR(X188/'Ar-Pa'!X188,0)</f>
        <v>6.7530250000000001</v>
      </c>
      <c r="AW188" s="21">
        <f>IFERROR(Y188/'Ar-Pa'!Y188,0)</f>
        <v>6.7594750000000001</v>
      </c>
      <c r="AX188" s="21">
        <f t="shared" si="3"/>
        <v>163.00786250000002</v>
      </c>
    </row>
    <row r="189" spans="1:50">
      <c r="A189" s="15">
        <v>45114</v>
      </c>
      <c r="B189" s="436">
        <v>54.392300000000006</v>
      </c>
      <c r="C189" s="436">
        <v>54.1586</v>
      </c>
      <c r="D189" s="436">
        <v>54.207699999999996</v>
      </c>
      <c r="E189" s="436">
        <v>54.180699999999995</v>
      </c>
      <c r="F189" s="436">
        <v>54.373400000000004</v>
      </c>
      <c r="G189" s="436">
        <v>54.378500000000003</v>
      </c>
      <c r="H189" s="436">
        <v>54.205599999999997</v>
      </c>
      <c r="I189" s="436">
        <v>54.018500000000003</v>
      </c>
      <c r="J189" s="436">
        <v>54.116800000000005</v>
      </c>
      <c r="K189" s="436">
        <v>54.0197</v>
      </c>
      <c r="L189" s="436">
        <v>54.190599999999996</v>
      </c>
      <c r="M189" s="436">
        <v>54.148000000000003</v>
      </c>
      <c r="N189" s="436">
        <v>54.078199999999995</v>
      </c>
      <c r="O189" s="436">
        <v>54.181100000000001</v>
      </c>
      <c r="P189" s="436">
        <v>54.287399999999998</v>
      </c>
      <c r="Q189" s="436">
        <v>54.214300000000001</v>
      </c>
      <c r="R189" s="436">
        <v>54.009900000000002</v>
      </c>
      <c r="S189" s="436">
        <v>54.185199999999995</v>
      </c>
      <c r="T189" s="436">
        <v>54.193400000000004</v>
      </c>
      <c r="U189" s="436">
        <v>54.114899999999999</v>
      </c>
      <c r="V189" s="436">
        <v>54.211599999999997</v>
      </c>
      <c r="W189" s="436">
        <v>53.947600000000001</v>
      </c>
      <c r="X189" s="436">
        <v>53.975999999999999</v>
      </c>
      <c r="Y189" s="436">
        <v>54.055099999999996</v>
      </c>
      <c r="Z189" s="21">
        <f>IFERROR(B189/'Ar-Pa'!B189,0)</f>
        <v>6.7990375000000007</v>
      </c>
      <c r="AA189" s="21">
        <f>IFERROR(C189/'Ar-Pa'!C189,0)</f>
        <v>6.769825</v>
      </c>
      <c r="AB189" s="21">
        <f>IFERROR(D189/'Ar-Pa'!D189,0)</f>
        <v>6.7759624999999994</v>
      </c>
      <c r="AC189" s="21">
        <f>IFERROR(E189/'Ar-Pa'!E189,0)</f>
        <v>6.7725874999999993</v>
      </c>
      <c r="AD189" s="21">
        <f>IFERROR(F189/'Ar-Pa'!F189,0)</f>
        <v>6.7966750000000005</v>
      </c>
      <c r="AE189" s="21">
        <f>IFERROR(G189/'Ar-Pa'!G189,0)</f>
        <v>6.7973125000000003</v>
      </c>
      <c r="AF189" s="21">
        <f>IFERROR(H189/'Ar-Pa'!H189,0)</f>
        <v>6.7756999999999996</v>
      </c>
      <c r="AG189" s="21">
        <f>IFERROR(I189/'Ar-Pa'!I189,0)</f>
        <v>6.7523125000000004</v>
      </c>
      <c r="AH189" s="21">
        <f>IFERROR(J189/'Ar-Pa'!J189,0)</f>
        <v>6.7646000000000006</v>
      </c>
      <c r="AI189" s="21">
        <f>IFERROR(K189/'Ar-Pa'!K189,0)</f>
        <v>6.7524625</v>
      </c>
      <c r="AJ189" s="21">
        <f>IFERROR(L189/'Ar-Pa'!L189,0)</f>
        <v>6.7738249999999995</v>
      </c>
      <c r="AK189" s="21">
        <f>IFERROR(M189/'Ar-Pa'!M189,0)</f>
        <v>6.7685000000000004</v>
      </c>
      <c r="AL189" s="21">
        <f>IFERROR(N189/'Ar-Pa'!N189,0)</f>
        <v>6.7597749999999994</v>
      </c>
      <c r="AM189" s="21">
        <f>IFERROR(O189/'Ar-Pa'!O189,0)</f>
        <v>6.7726375000000001</v>
      </c>
      <c r="AN189" s="21">
        <f>IFERROR(P189/'Ar-Pa'!P189,0)</f>
        <v>6.7859249999999998</v>
      </c>
      <c r="AO189" s="21">
        <f>IFERROR(Q189/'Ar-Pa'!Q189,0)</f>
        <v>6.7767875000000002</v>
      </c>
      <c r="AP189" s="21">
        <f>IFERROR(R189/'Ar-Pa'!R189,0)</f>
        <v>6.7512375000000002</v>
      </c>
      <c r="AQ189" s="21">
        <f>IFERROR(S189/'Ar-Pa'!S189,0)</f>
        <v>6.7731499999999993</v>
      </c>
      <c r="AR189" s="21">
        <f>IFERROR(T189/'Ar-Pa'!T189,0)</f>
        <v>6.7741750000000005</v>
      </c>
      <c r="AS189" s="21">
        <f>IFERROR(U189/'Ar-Pa'!U189,0)</f>
        <v>6.7643624999999998</v>
      </c>
      <c r="AT189" s="21">
        <f>IFERROR(V189/'Ar-Pa'!V189,0)</f>
        <v>6.7764499999999996</v>
      </c>
      <c r="AU189" s="21">
        <f>IFERROR(W189/'Ar-Pa'!W189,0)</f>
        <v>6.7434500000000002</v>
      </c>
      <c r="AV189" s="21">
        <f>IFERROR(X189/'Ar-Pa'!X189,0)</f>
        <v>6.7469999999999999</v>
      </c>
      <c r="AW189" s="21">
        <f>IFERROR(Y189/'Ar-Pa'!Y189,0)</f>
        <v>6.7568874999999995</v>
      </c>
      <c r="AX189" s="21">
        <f t="shared" si="3"/>
        <v>162.48063750000006</v>
      </c>
    </row>
    <row r="190" spans="1:50">
      <c r="A190" s="15">
        <v>45115</v>
      </c>
      <c r="B190" s="436">
        <v>54.095599999999997</v>
      </c>
      <c r="C190" s="436">
        <v>54.250999999999998</v>
      </c>
      <c r="D190" s="436">
        <v>54.267600000000002</v>
      </c>
      <c r="E190" s="436">
        <v>54.237000000000002</v>
      </c>
      <c r="F190" s="436">
        <v>54.295000000000002</v>
      </c>
      <c r="G190" s="436">
        <v>54.283000000000001</v>
      </c>
      <c r="H190" s="436">
        <v>54.267699999999998</v>
      </c>
      <c r="I190" s="436">
        <v>54.303400000000003</v>
      </c>
      <c r="J190" s="436">
        <v>54.264300000000006</v>
      </c>
      <c r="K190" s="436">
        <v>54.2712</v>
      </c>
      <c r="L190" s="436">
        <v>54.223800000000004</v>
      </c>
      <c r="M190" s="436">
        <v>54.267099999999999</v>
      </c>
      <c r="N190" s="436">
        <v>54.220599999999997</v>
      </c>
      <c r="O190" s="436">
        <v>54.1614</v>
      </c>
      <c r="P190" s="436">
        <v>54.264600000000002</v>
      </c>
      <c r="Q190" s="436">
        <v>54.281599999999997</v>
      </c>
      <c r="R190" s="436">
        <v>54.207699999999996</v>
      </c>
      <c r="S190" s="436">
        <v>54.171399999999998</v>
      </c>
      <c r="T190" s="436">
        <v>54.3005</v>
      </c>
      <c r="U190" s="436">
        <v>54.144199999999998</v>
      </c>
      <c r="V190" s="436">
        <v>54.088300000000004</v>
      </c>
      <c r="W190" s="436">
        <v>54.050800000000002</v>
      </c>
      <c r="X190" s="436">
        <v>54.253999999999998</v>
      </c>
      <c r="Y190" s="436">
        <v>54.306599999999996</v>
      </c>
      <c r="Z190" s="21">
        <f>IFERROR(B190/'Ar-Pa'!B190,0)</f>
        <v>6.7619499999999997</v>
      </c>
      <c r="AA190" s="21">
        <f>IFERROR(C190/'Ar-Pa'!C190,0)</f>
        <v>6.7813749999999997</v>
      </c>
      <c r="AB190" s="21">
        <f>IFERROR(D190/'Ar-Pa'!D190,0)</f>
        <v>6.7834500000000002</v>
      </c>
      <c r="AC190" s="21">
        <f>IFERROR(E190/'Ar-Pa'!E190,0)</f>
        <v>6.7796250000000002</v>
      </c>
      <c r="AD190" s="21">
        <f>IFERROR(F190/'Ar-Pa'!F190,0)</f>
        <v>6.7868750000000002</v>
      </c>
      <c r="AE190" s="21">
        <f>IFERROR(G190/'Ar-Pa'!G190,0)</f>
        <v>6.7853750000000002</v>
      </c>
      <c r="AF190" s="21">
        <f>IFERROR(H190/'Ar-Pa'!H190,0)</f>
        <v>6.7834624999999997</v>
      </c>
      <c r="AG190" s="21">
        <f>IFERROR(I190/'Ar-Pa'!I190,0)</f>
        <v>6.7879250000000004</v>
      </c>
      <c r="AH190" s="21">
        <f>IFERROR(J190/'Ar-Pa'!J190,0)</f>
        <v>6.7830375000000007</v>
      </c>
      <c r="AI190" s="21">
        <f>IFERROR(K190/'Ar-Pa'!K190,0)</f>
        <v>6.7839</v>
      </c>
      <c r="AJ190" s="21">
        <f>IFERROR(L190/'Ar-Pa'!L190,0)</f>
        <v>6.7779750000000005</v>
      </c>
      <c r="AK190" s="21">
        <f>IFERROR(M190/'Ar-Pa'!M190,0)</f>
        <v>6.7833874999999999</v>
      </c>
      <c r="AL190" s="21">
        <f>IFERROR(N190/'Ar-Pa'!N190,0)</f>
        <v>6.7775749999999997</v>
      </c>
      <c r="AM190" s="21">
        <f>IFERROR(O190/'Ar-Pa'!O190,0)</f>
        <v>6.7701750000000001</v>
      </c>
      <c r="AN190" s="21">
        <f>IFERROR(P190/'Ar-Pa'!P190,0)</f>
        <v>6.7830750000000002</v>
      </c>
      <c r="AO190" s="21">
        <f>IFERROR(Q190/'Ar-Pa'!Q190,0)</f>
        <v>6.7851999999999997</v>
      </c>
      <c r="AP190" s="21">
        <f>IFERROR(R190/'Ar-Pa'!R190,0)</f>
        <v>6.7759624999999994</v>
      </c>
      <c r="AQ190" s="21">
        <f>IFERROR(S190/'Ar-Pa'!S190,0)</f>
        <v>6.7714249999999998</v>
      </c>
      <c r="AR190" s="21">
        <f>IFERROR(T190/'Ar-Pa'!T190,0)</f>
        <v>6.7875624999999999</v>
      </c>
      <c r="AS190" s="21">
        <f>IFERROR(U190/'Ar-Pa'!U190,0)</f>
        <v>6.7680249999999997</v>
      </c>
      <c r="AT190" s="21">
        <f>IFERROR(V190/'Ar-Pa'!V190,0)</f>
        <v>6.7610375000000005</v>
      </c>
      <c r="AU190" s="21">
        <f>IFERROR(W190/'Ar-Pa'!W190,0)</f>
        <v>6.7563500000000003</v>
      </c>
      <c r="AV190" s="21">
        <f>IFERROR(X190/'Ar-Pa'!X190,0)</f>
        <v>6.7817499999999997</v>
      </c>
      <c r="AW190" s="21">
        <f>IFERROR(Y190/'Ar-Pa'!Y190,0)</f>
        <v>6.7883249999999995</v>
      </c>
      <c r="AX190" s="21">
        <f t="shared" si="3"/>
        <v>162.68479999999994</v>
      </c>
    </row>
    <row r="191" spans="1:50">
      <c r="A191" s="15">
        <v>45116</v>
      </c>
      <c r="B191" s="436">
        <v>54.382400000000004</v>
      </c>
      <c r="C191" s="436">
        <v>53.948699999999995</v>
      </c>
      <c r="D191" s="436">
        <v>53.9574</v>
      </c>
      <c r="E191" s="436">
        <v>53.8977</v>
      </c>
      <c r="F191" s="436">
        <v>53.932000000000002</v>
      </c>
      <c r="G191" s="436">
        <v>53.896099999999997</v>
      </c>
      <c r="H191" s="436">
        <v>53.974400000000003</v>
      </c>
      <c r="I191" s="436">
        <v>54.092599999999997</v>
      </c>
      <c r="J191" s="436">
        <v>54.080599999999997</v>
      </c>
      <c r="K191" s="436">
        <v>54.305</v>
      </c>
      <c r="L191" s="436">
        <v>54.399900000000002</v>
      </c>
      <c r="M191" s="436">
        <v>54.2821</v>
      </c>
      <c r="N191" s="436">
        <v>54.614100000000001</v>
      </c>
      <c r="O191" s="436">
        <v>54.728099999999998</v>
      </c>
      <c r="P191" s="436">
        <v>54.857199999999999</v>
      </c>
      <c r="Q191" s="436">
        <v>54.836500000000001</v>
      </c>
      <c r="R191" s="436">
        <v>54.860099999999996</v>
      </c>
      <c r="S191" s="436">
        <v>54.854199999999999</v>
      </c>
      <c r="T191" s="436">
        <v>54.975499999999997</v>
      </c>
      <c r="U191" s="436">
        <v>54.738999999999997</v>
      </c>
      <c r="V191" s="436">
        <v>54.642300000000006</v>
      </c>
      <c r="W191" s="436">
        <v>54.641800000000003</v>
      </c>
      <c r="X191" s="436">
        <v>54.687800000000003</v>
      </c>
      <c r="Y191" s="436">
        <v>54.719699999999996</v>
      </c>
      <c r="Z191" s="21">
        <f>IFERROR(B191/'Ar-Pa'!B191,0)</f>
        <v>6.7978000000000005</v>
      </c>
      <c r="AA191" s="21">
        <f>IFERROR(C191/'Ar-Pa'!C191,0)</f>
        <v>6.7435874999999994</v>
      </c>
      <c r="AB191" s="21">
        <f>IFERROR(D191/'Ar-Pa'!D191,0)</f>
        <v>6.744675</v>
      </c>
      <c r="AC191" s="21">
        <f>IFERROR(E191/'Ar-Pa'!E191,0)</f>
        <v>6.7372125</v>
      </c>
      <c r="AD191" s="21">
        <f>IFERROR(F191/'Ar-Pa'!F191,0)</f>
        <v>6.7415000000000003</v>
      </c>
      <c r="AE191" s="21">
        <f>IFERROR(G191/'Ar-Pa'!G191,0)</f>
        <v>6.7370124999999996</v>
      </c>
      <c r="AF191" s="21">
        <f>IFERROR(H191/'Ar-Pa'!H191,0)</f>
        <v>6.7468000000000004</v>
      </c>
      <c r="AG191" s="21">
        <f>IFERROR(I191/'Ar-Pa'!I191,0)</f>
        <v>6.7615749999999997</v>
      </c>
      <c r="AH191" s="21">
        <f>IFERROR(J191/'Ar-Pa'!J191,0)</f>
        <v>6.7600749999999996</v>
      </c>
      <c r="AI191" s="21">
        <f>IFERROR(K191/'Ar-Pa'!K191,0)</f>
        <v>6.788125</v>
      </c>
      <c r="AJ191" s="21">
        <f>IFERROR(L191/'Ar-Pa'!L191,0)</f>
        <v>6.7999875000000003</v>
      </c>
      <c r="AK191" s="21">
        <f>IFERROR(M191/'Ar-Pa'!M191,0)</f>
        <v>6.7852625</v>
      </c>
      <c r="AL191" s="21">
        <f>IFERROR(N191/'Ar-Pa'!N191,0)</f>
        <v>6.8267625000000001</v>
      </c>
      <c r="AM191" s="21">
        <f>IFERROR(O191/'Ar-Pa'!O191,0)</f>
        <v>6.8410124999999997</v>
      </c>
      <c r="AN191" s="21">
        <f>IFERROR(P191/'Ar-Pa'!P191,0)</f>
        <v>6.8571499999999999</v>
      </c>
      <c r="AO191" s="21">
        <f>IFERROR(Q191/'Ar-Pa'!Q191,0)</f>
        <v>6.8545625000000001</v>
      </c>
      <c r="AP191" s="21">
        <f>IFERROR(R191/'Ar-Pa'!R191,0)</f>
        <v>6.8575124999999995</v>
      </c>
      <c r="AQ191" s="21">
        <f>IFERROR(S191/'Ar-Pa'!S191,0)</f>
        <v>6.8567749999999998</v>
      </c>
      <c r="AR191" s="21">
        <f>IFERROR(T191/'Ar-Pa'!T191,0)</f>
        <v>6.8719374999999996</v>
      </c>
      <c r="AS191" s="21">
        <f>IFERROR(U191/'Ar-Pa'!U191,0)</f>
        <v>6.8423749999999997</v>
      </c>
      <c r="AT191" s="21">
        <f>IFERROR(V191/'Ar-Pa'!V191,0)</f>
        <v>6.8302875000000007</v>
      </c>
      <c r="AU191" s="21">
        <f>IFERROR(W191/'Ar-Pa'!W191,0)</f>
        <v>6.8302250000000004</v>
      </c>
      <c r="AV191" s="21">
        <f>IFERROR(X191/'Ar-Pa'!X191,0)</f>
        <v>6.8359750000000004</v>
      </c>
      <c r="AW191" s="21">
        <f>IFERROR(Y191/'Ar-Pa'!Y191,0)</f>
        <v>6.8399624999999995</v>
      </c>
      <c r="AX191" s="21">
        <f t="shared" si="3"/>
        <v>163.28815000000003</v>
      </c>
    </row>
    <row r="192" spans="1:50">
      <c r="A192" s="15">
        <v>45117</v>
      </c>
      <c r="B192" s="436">
        <v>54.560400000000001</v>
      </c>
      <c r="C192" s="436">
        <v>54.226099999999995</v>
      </c>
      <c r="D192" s="436">
        <v>54.7819</v>
      </c>
      <c r="E192" s="436">
        <v>54.639800000000001</v>
      </c>
      <c r="F192" s="436">
        <v>54.670300000000005</v>
      </c>
      <c r="G192" s="436">
        <v>54.584800000000001</v>
      </c>
      <c r="H192" s="436">
        <v>53.683900000000001</v>
      </c>
      <c r="I192" s="436">
        <v>54.802500000000002</v>
      </c>
      <c r="J192" s="436">
        <v>54.847300000000004</v>
      </c>
      <c r="K192" s="436">
        <v>54.717400000000005</v>
      </c>
      <c r="L192" s="436">
        <v>54.425800000000002</v>
      </c>
      <c r="M192" s="436">
        <v>54.516400000000004</v>
      </c>
      <c r="N192" s="436">
        <v>54.7881</v>
      </c>
      <c r="O192" s="436">
        <v>54.887599999999999</v>
      </c>
      <c r="P192" s="436">
        <v>54.769800000000004</v>
      </c>
      <c r="Q192" s="436">
        <v>54.666699999999999</v>
      </c>
      <c r="R192" s="436">
        <v>54.766199999999998</v>
      </c>
      <c r="S192" s="436">
        <v>54.605599999999995</v>
      </c>
      <c r="T192" s="436">
        <v>54.526300000000006</v>
      </c>
      <c r="U192" s="436">
        <v>54.281400000000005</v>
      </c>
      <c r="V192" s="436">
        <v>54.377699999999997</v>
      </c>
      <c r="W192" s="436">
        <v>54.321300000000001</v>
      </c>
      <c r="X192" s="436">
        <v>54.448699999999995</v>
      </c>
      <c r="Y192" s="436">
        <v>54.096800000000002</v>
      </c>
      <c r="Z192" s="21">
        <f>IFERROR(B192/'Ar-Pa'!B192,0)</f>
        <v>6.8200500000000002</v>
      </c>
      <c r="AA192" s="21">
        <f>IFERROR(C192/'Ar-Pa'!C192,0)</f>
        <v>6.7782624999999994</v>
      </c>
      <c r="AB192" s="21">
        <f>IFERROR(D192/'Ar-Pa'!D192,0)</f>
        <v>6.8477375</v>
      </c>
      <c r="AC192" s="21">
        <f>IFERROR(E192/'Ar-Pa'!E192,0)</f>
        <v>6.8299750000000001</v>
      </c>
      <c r="AD192" s="21">
        <f>IFERROR(F192/'Ar-Pa'!F192,0)</f>
        <v>6.8337875000000006</v>
      </c>
      <c r="AE192" s="21">
        <f>IFERROR(G192/'Ar-Pa'!G192,0)</f>
        <v>6.8231000000000002</v>
      </c>
      <c r="AF192" s="21">
        <f>IFERROR(H192/'Ar-Pa'!H192,0)</f>
        <v>6.7104875000000002</v>
      </c>
      <c r="AG192" s="21">
        <f>IFERROR(I192/'Ar-Pa'!I192,0)</f>
        <v>6.8503125000000002</v>
      </c>
      <c r="AH192" s="21">
        <f>IFERROR(J192/'Ar-Pa'!J192,0)</f>
        <v>6.8559125000000005</v>
      </c>
      <c r="AI192" s="21">
        <f>IFERROR(K192/'Ar-Pa'!K192,0)</f>
        <v>6.8396750000000006</v>
      </c>
      <c r="AJ192" s="21">
        <f>IFERROR(L192/'Ar-Pa'!L192,0)</f>
        <v>6.8032250000000003</v>
      </c>
      <c r="AK192" s="21">
        <f>IFERROR(M192/'Ar-Pa'!M192,0)</f>
        <v>6.8145500000000006</v>
      </c>
      <c r="AL192" s="21">
        <f>IFERROR(N192/'Ar-Pa'!N192,0)</f>
        <v>6.8485125</v>
      </c>
      <c r="AM192" s="21">
        <f>IFERROR(O192/'Ar-Pa'!O192,0)</f>
        <v>6.8609499999999999</v>
      </c>
      <c r="AN192" s="21">
        <f>IFERROR(P192/'Ar-Pa'!P192,0)</f>
        <v>6.8462250000000004</v>
      </c>
      <c r="AO192" s="21">
        <f>IFERROR(Q192/'Ar-Pa'!Q192,0)</f>
        <v>6.8333374999999998</v>
      </c>
      <c r="AP192" s="21">
        <f>IFERROR(R192/'Ar-Pa'!R192,0)</f>
        <v>6.8457749999999997</v>
      </c>
      <c r="AQ192" s="21">
        <f>IFERROR(S192/'Ar-Pa'!S192,0)</f>
        <v>6.8256999999999994</v>
      </c>
      <c r="AR192" s="21">
        <f>IFERROR(T192/'Ar-Pa'!T192,0)</f>
        <v>6.8157875000000008</v>
      </c>
      <c r="AS192" s="21">
        <f>IFERROR(U192/'Ar-Pa'!U192,0)</f>
        <v>6.7851750000000006</v>
      </c>
      <c r="AT192" s="21">
        <f>IFERROR(V192/'Ar-Pa'!V192,0)</f>
        <v>6.7972124999999997</v>
      </c>
      <c r="AU192" s="21">
        <f>IFERROR(W192/'Ar-Pa'!W192,0)</f>
        <v>6.7901625000000001</v>
      </c>
      <c r="AV192" s="21">
        <f>IFERROR(X192/'Ar-Pa'!X192,0)</f>
        <v>6.8060874999999994</v>
      </c>
      <c r="AW192" s="21">
        <f>IFERROR(Y192/'Ar-Pa'!Y192,0)</f>
        <v>6.7621000000000002</v>
      </c>
      <c r="AX192" s="21">
        <f t="shared" si="3"/>
        <v>163.62410000000003</v>
      </c>
    </row>
    <row r="193" spans="1:50">
      <c r="A193" s="15">
        <v>45118</v>
      </c>
      <c r="B193" s="436">
        <v>54.186399999999999</v>
      </c>
      <c r="C193" s="436">
        <v>54.112199999999994</v>
      </c>
      <c r="D193" s="436">
        <v>54.281400000000005</v>
      </c>
      <c r="E193" s="436">
        <v>54.495599999999996</v>
      </c>
      <c r="F193" s="436">
        <v>54.524999999999999</v>
      </c>
      <c r="G193" s="436">
        <v>54.236800000000002</v>
      </c>
      <c r="H193" s="436">
        <v>54.0867</v>
      </c>
      <c r="I193" s="436">
        <v>54.228300000000004</v>
      </c>
      <c r="J193" s="436">
        <v>54.363500000000002</v>
      </c>
      <c r="K193" s="436">
        <v>54.9084</v>
      </c>
      <c r="L193" s="436">
        <v>54.951800000000006</v>
      </c>
      <c r="M193" s="436">
        <v>54.356199999999994</v>
      </c>
      <c r="N193" s="436">
        <v>54.331900000000005</v>
      </c>
      <c r="O193" s="436">
        <v>54.556199999999997</v>
      </c>
      <c r="P193" s="436">
        <v>54.862199999999994</v>
      </c>
      <c r="Q193" s="436">
        <v>54.011199999999995</v>
      </c>
      <c r="R193" s="436">
        <v>54.426499999999997</v>
      </c>
      <c r="S193" s="436">
        <v>54.283099999999997</v>
      </c>
      <c r="T193" s="436">
        <v>54.490199999999994</v>
      </c>
      <c r="U193" s="436">
        <v>54.379199999999997</v>
      </c>
      <c r="V193" s="436">
        <v>54.360699999999994</v>
      </c>
      <c r="W193" s="436">
        <v>54.487699999999997</v>
      </c>
      <c r="X193" s="436">
        <v>54.234000000000002</v>
      </c>
      <c r="Y193" s="436">
        <v>54.35</v>
      </c>
      <c r="Z193" s="21">
        <f>IFERROR(B193/'Ar-Pa'!B193,0)</f>
        <v>6.7732999999999999</v>
      </c>
      <c r="AA193" s="21">
        <f>IFERROR(C193/'Ar-Pa'!C193,0)</f>
        <v>6.7640249999999993</v>
      </c>
      <c r="AB193" s="21">
        <f>IFERROR(D193/'Ar-Pa'!D193,0)</f>
        <v>6.7851750000000006</v>
      </c>
      <c r="AC193" s="21">
        <f>IFERROR(E193/'Ar-Pa'!E193,0)</f>
        <v>6.8119499999999995</v>
      </c>
      <c r="AD193" s="21">
        <f>IFERROR(F193/'Ar-Pa'!F193,0)</f>
        <v>6.8156249999999998</v>
      </c>
      <c r="AE193" s="21">
        <f>IFERROR(G193/'Ar-Pa'!G193,0)</f>
        <v>6.7796000000000003</v>
      </c>
      <c r="AF193" s="21">
        <f>IFERROR(H193/'Ar-Pa'!H193,0)</f>
        <v>6.7608375000000001</v>
      </c>
      <c r="AG193" s="21">
        <f>IFERROR(I193/'Ar-Pa'!I193,0)</f>
        <v>6.7785375000000005</v>
      </c>
      <c r="AH193" s="21">
        <f>IFERROR(J193/'Ar-Pa'!J193,0)</f>
        <v>6.7954375000000002</v>
      </c>
      <c r="AI193" s="21">
        <f>IFERROR(K193/'Ar-Pa'!K193,0)</f>
        <v>6.86355</v>
      </c>
      <c r="AJ193" s="21">
        <f>IFERROR(L193/'Ar-Pa'!L193,0)</f>
        <v>6.8689750000000007</v>
      </c>
      <c r="AK193" s="21">
        <f>IFERROR(M193/'Ar-Pa'!M193,0)</f>
        <v>7.7651714285714277</v>
      </c>
      <c r="AL193" s="21">
        <f>IFERROR(N193/'Ar-Pa'!N193,0)</f>
        <v>7.7617000000000003</v>
      </c>
      <c r="AM193" s="21">
        <f>IFERROR(O193/'Ar-Pa'!O193,0)</f>
        <v>7.7937428571428571</v>
      </c>
      <c r="AN193" s="21">
        <f>IFERROR(P193/'Ar-Pa'!P193,0)</f>
        <v>7.8374571428571418</v>
      </c>
      <c r="AO193" s="21">
        <f>IFERROR(Q193/'Ar-Pa'!Q193,0)</f>
        <v>6.7513999999999994</v>
      </c>
      <c r="AP193" s="21">
        <f>IFERROR(R193/'Ar-Pa'!R193,0)</f>
        <v>6.8033124999999997</v>
      </c>
      <c r="AQ193" s="21">
        <f>IFERROR(S193/'Ar-Pa'!S193,0)</f>
        <v>6.7853874999999997</v>
      </c>
      <c r="AR193" s="21">
        <f>IFERROR(T193/'Ar-Pa'!T193,0)</f>
        <v>6.8112749999999993</v>
      </c>
      <c r="AS193" s="21">
        <f>IFERROR(U193/'Ar-Pa'!U193,0)</f>
        <v>6.7973999999999997</v>
      </c>
      <c r="AT193" s="21">
        <f>IFERROR(V193/'Ar-Pa'!V193,0)</f>
        <v>6.7950874999999993</v>
      </c>
      <c r="AU193" s="21">
        <f>IFERROR(W193/'Ar-Pa'!W193,0)</f>
        <v>6.8109624999999996</v>
      </c>
      <c r="AV193" s="21">
        <f>IFERROR(X193/'Ar-Pa'!X193,0)</f>
        <v>6.7792500000000002</v>
      </c>
      <c r="AW193" s="21">
        <f>IFERROR(Y193/'Ar-Pa'!Y193,0)</f>
        <v>6.7937500000000002</v>
      </c>
      <c r="AX193" s="21">
        <f t="shared" si="3"/>
        <v>167.08290892857144</v>
      </c>
    </row>
    <row r="194" spans="1:50">
      <c r="A194" s="15">
        <v>45119</v>
      </c>
      <c r="B194" s="436">
        <v>53.927399999999999</v>
      </c>
      <c r="C194" s="436">
        <v>54.046199999999999</v>
      </c>
      <c r="D194" s="436">
        <v>54.0809</v>
      </c>
      <c r="E194" s="436">
        <v>54.115199999999994</v>
      </c>
      <c r="F194" s="436">
        <v>54.244099999999996</v>
      </c>
      <c r="G194" s="436">
        <v>53.782499999999999</v>
      </c>
      <c r="H194" s="436">
        <v>53.382100000000001</v>
      </c>
      <c r="I194" s="436">
        <v>54.297599999999996</v>
      </c>
      <c r="J194" s="436">
        <v>54.0687</v>
      </c>
      <c r="K194" s="436">
        <v>54.096599999999995</v>
      </c>
      <c r="L194" s="436">
        <v>54.824100000000001</v>
      </c>
      <c r="M194" s="436">
        <v>54.915500000000002</v>
      </c>
      <c r="N194" s="436">
        <v>54.932099999999998</v>
      </c>
      <c r="O194" s="436">
        <v>53.703099999999999</v>
      </c>
      <c r="P194" s="436">
        <v>53.7928</v>
      </c>
      <c r="Q194" s="436">
        <v>54.490600000000001</v>
      </c>
      <c r="R194" s="436">
        <v>53.915300000000002</v>
      </c>
      <c r="S194" s="436">
        <v>53.8444</v>
      </c>
      <c r="T194" s="436">
        <v>53.971800000000002</v>
      </c>
      <c r="U194" s="436">
        <v>54.541800000000002</v>
      </c>
      <c r="V194" s="436">
        <v>54.674500000000002</v>
      </c>
      <c r="W194" s="436">
        <v>54.4056</v>
      </c>
      <c r="X194" s="436">
        <v>54.823300000000003</v>
      </c>
      <c r="Y194" s="436">
        <v>55.150300000000001</v>
      </c>
      <c r="Z194" s="21">
        <f>IFERROR(B194/'Ar-Pa'!B194,0)</f>
        <v>6.7409249999999998</v>
      </c>
      <c r="AA194" s="21">
        <f>IFERROR(C194/'Ar-Pa'!C194,0)</f>
        <v>6.7557749999999999</v>
      </c>
      <c r="AB194" s="21">
        <f>IFERROR(D194/'Ar-Pa'!D194,0)</f>
        <v>6.7601125</v>
      </c>
      <c r="AC194" s="21">
        <f>IFERROR(E194/'Ar-Pa'!E194,0)</f>
        <v>6.7643999999999993</v>
      </c>
      <c r="AD194" s="21">
        <f>IFERROR(F194/'Ar-Pa'!F194,0)</f>
        <v>6.7805124999999995</v>
      </c>
      <c r="AE194" s="21">
        <f>IFERROR(G194/'Ar-Pa'!G194,0)</f>
        <v>6.7228124999999999</v>
      </c>
      <c r="AF194" s="21">
        <f>IFERROR(H194/'Ar-Pa'!H194,0)</f>
        <v>6.6727625000000002</v>
      </c>
      <c r="AG194" s="21">
        <f>IFERROR(I194/'Ar-Pa'!I194,0)</f>
        <v>6.7871999999999995</v>
      </c>
      <c r="AH194" s="21">
        <f>IFERROR(J194/'Ar-Pa'!J194,0)</f>
        <v>6.7585875</v>
      </c>
      <c r="AI194" s="21">
        <f>IFERROR(K194/'Ar-Pa'!K194,0)</f>
        <v>6.7620749999999994</v>
      </c>
      <c r="AJ194" s="21">
        <f>IFERROR(L194/'Ar-Pa'!L194,0)</f>
        <v>7.832014285714286</v>
      </c>
      <c r="AK194" s="21">
        <f>IFERROR(M194/'Ar-Pa'!M194,0)</f>
        <v>7.8450714285714289</v>
      </c>
      <c r="AL194" s="21">
        <f>IFERROR(N194/'Ar-Pa'!N194,0)</f>
        <v>7.8474428571428572</v>
      </c>
      <c r="AM194" s="21">
        <f>IFERROR(O194/'Ar-Pa'!O194,0)</f>
        <v>6.7128874999999999</v>
      </c>
      <c r="AN194" s="21">
        <f>IFERROR(P194/'Ar-Pa'!P194,0)</f>
        <v>6.7241</v>
      </c>
      <c r="AO194" s="21">
        <f>IFERROR(Q194/'Ar-Pa'!Q194,0)</f>
        <v>6.8113250000000001</v>
      </c>
      <c r="AP194" s="21">
        <f>IFERROR(R194/'Ar-Pa'!R194,0)</f>
        <v>6.7394125000000003</v>
      </c>
      <c r="AQ194" s="21">
        <f>IFERROR(S194/'Ar-Pa'!S194,0)</f>
        <v>6.73055</v>
      </c>
      <c r="AR194" s="21">
        <f>IFERROR(T194/'Ar-Pa'!T194,0)</f>
        <v>6.7464750000000002</v>
      </c>
      <c r="AS194" s="21">
        <f>IFERROR(U194/'Ar-Pa'!U194,0)</f>
        <v>6.8177250000000003</v>
      </c>
      <c r="AT194" s="21">
        <f>IFERROR(V194/'Ar-Pa'!V194,0)</f>
        <v>6.8343125000000002</v>
      </c>
      <c r="AU194" s="21">
        <f>IFERROR(W194/'Ar-Pa'!W194,0)</f>
        <v>6.8007</v>
      </c>
      <c r="AV194" s="21">
        <f>IFERROR(X194/'Ar-Pa'!X194,0)</f>
        <v>6.8529125000000004</v>
      </c>
      <c r="AW194" s="21">
        <f>IFERROR(Y194/'Ar-Pa'!Y194,0)</f>
        <v>6.8937875000000002</v>
      </c>
      <c r="AX194" s="21">
        <f t="shared" si="3"/>
        <v>165.69387857142854</v>
      </c>
    </row>
    <row r="195" spans="1:50">
      <c r="A195" s="15">
        <v>45120</v>
      </c>
      <c r="B195" s="436">
        <v>52.9557</v>
      </c>
      <c r="C195" s="436">
        <v>54.470500000000001</v>
      </c>
      <c r="D195" s="436">
        <v>53.947199999999995</v>
      </c>
      <c r="E195" s="436">
        <v>54.365600000000001</v>
      </c>
      <c r="F195" s="436">
        <v>54.617599999999996</v>
      </c>
      <c r="G195" s="436">
        <v>54.470399999999998</v>
      </c>
      <c r="H195" s="436">
        <v>54.559100000000001</v>
      </c>
      <c r="I195" s="436">
        <v>54.5428</v>
      </c>
      <c r="J195" s="436">
        <v>54.747699999999995</v>
      </c>
      <c r="K195" s="436">
        <v>54.91</v>
      </c>
      <c r="L195" s="436">
        <v>53.891199999999998</v>
      </c>
      <c r="M195" s="436">
        <v>53.8354</v>
      </c>
      <c r="N195" s="436">
        <v>53.863199999999999</v>
      </c>
      <c r="O195" s="436">
        <v>53.654600000000002</v>
      </c>
      <c r="P195" s="436">
        <v>53.713900000000002</v>
      </c>
      <c r="Q195" s="436">
        <v>53.485500000000002</v>
      </c>
      <c r="R195" s="436">
        <v>54.286000000000001</v>
      </c>
      <c r="S195" s="436">
        <v>54.380699999999997</v>
      </c>
      <c r="T195" s="436">
        <v>53.384599999999999</v>
      </c>
      <c r="U195" s="436">
        <v>54.653599999999997</v>
      </c>
      <c r="V195" s="436">
        <v>54.437899999999999</v>
      </c>
      <c r="W195" s="436">
        <v>54.5214</v>
      </c>
      <c r="X195" s="436">
        <v>54.769500000000001</v>
      </c>
      <c r="Y195" s="436">
        <v>54.3215</v>
      </c>
      <c r="Z195" s="21">
        <f>IFERROR(B195/'Ar-Pa'!B195,0)</f>
        <v>5.8839666666666668</v>
      </c>
      <c r="AA195" s="21">
        <f>IFERROR(C195/'Ar-Pa'!C195,0)</f>
        <v>6.0522777777777783</v>
      </c>
      <c r="AB195" s="21">
        <f>IFERROR(D195/'Ar-Pa'!D195,0)</f>
        <v>6.7433999999999994</v>
      </c>
      <c r="AC195" s="21">
        <f>IFERROR(E195/'Ar-Pa'!E195,0)</f>
        <v>6.7957000000000001</v>
      </c>
      <c r="AD195" s="21">
        <f>IFERROR(F195/'Ar-Pa'!F195,0)</f>
        <v>6.8271999999999995</v>
      </c>
      <c r="AE195" s="21">
        <f>IFERROR(G195/'Ar-Pa'!G195,0)</f>
        <v>6.8087999999999997</v>
      </c>
      <c r="AF195" s="21">
        <f>IFERROR(H195/'Ar-Pa'!H195,0)</f>
        <v>6.8198875000000001</v>
      </c>
      <c r="AG195" s="21">
        <f>IFERROR(I195/'Ar-Pa'!I195,0)</f>
        <v>6.81785</v>
      </c>
      <c r="AH195" s="21">
        <f>IFERROR(J195/'Ar-Pa'!J195,0)</f>
        <v>6.8434624999999993</v>
      </c>
      <c r="AI195" s="21">
        <f>IFERROR(K195/'Ar-Pa'!K195,0)</f>
        <v>6.8637499999999996</v>
      </c>
      <c r="AJ195" s="21">
        <f>IFERROR(L195/'Ar-Pa'!L195,0)</f>
        <v>6.7363999999999997</v>
      </c>
      <c r="AK195" s="21">
        <f>IFERROR(M195/'Ar-Pa'!M195,0)</f>
        <v>7.6907714285714288</v>
      </c>
      <c r="AL195" s="21">
        <f>IFERROR(N195/'Ar-Pa'!N195,0)</f>
        <v>7.6947428571428569</v>
      </c>
      <c r="AM195" s="21">
        <f>IFERROR(O195/'Ar-Pa'!O195,0)</f>
        <v>7.6649428571428571</v>
      </c>
      <c r="AN195" s="21">
        <f>IFERROR(P195/'Ar-Pa'!P195,0)</f>
        <v>6.7142375000000003</v>
      </c>
      <c r="AO195" s="21">
        <f>IFERROR(Q195/'Ar-Pa'!Q195,0)</f>
        <v>5.9428333333333336</v>
      </c>
      <c r="AP195" s="21">
        <f>IFERROR(R195/'Ar-Pa'!R195,0)</f>
        <v>6.7857500000000002</v>
      </c>
      <c r="AQ195" s="21">
        <f>IFERROR(S195/'Ar-Pa'!S195,0)</f>
        <v>6.7975874999999997</v>
      </c>
      <c r="AR195" s="21">
        <f>IFERROR(T195/'Ar-Pa'!T195,0)</f>
        <v>5.9316222222222219</v>
      </c>
      <c r="AS195" s="21">
        <f>IFERROR(U195/'Ar-Pa'!U195,0)</f>
        <v>6.0726222222222219</v>
      </c>
      <c r="AT195" s="21">
        <f>IFERROR(V195/'Ar-Pa'!V195,0)</f>
        <v>6.0486555555555555</v>
      </c>
      <c r="AU195" s="21">
        <f>IFERROR(W195/'Ar-Pa'!W195,0)</f>
        <v>6.0579333333333336</v>
      </c>
      <c r="AV195" s="21">
        <f>IFERROR(X195/'Ar-Pa'!X195,0)</f>
        <v>6.0854999999999997</v>
      </c>
      <c r="AW195" s="21">
        <f>IFERROR(Y195/'Ar-Pa'!Y195,0)</f>
        <v>6.0357222222222227</v>
      </c>
      <c r="AX195" s="21">
        <f t="shared" si="3"/>
        <v>158.71561547619052</v>
      </c>
    </row>
    <row r="196" spans="1:50">
      <c r="A196" s="15">
        <v>45121</v>
      </c>
      <c r="B196" s="436">
        <v>53.976800000000004</v>
      </c>
      <c r="C196" s="436">
        <v>54.163899999999998</v>
      </c>
      <c r="D196" s="436">
        <v>54.240900000000003</v>
      </c>
      <c r="E196" s="436">
        <v>54.117400000000004</v>
      </c>
      <c r="F196" s="436">
        <v>54.293999999999997</v>
      </c>
      <c r="G196" s="436">
        <v>54.172800000000002</v>
      </c>
      <c r="H196" s="436">
        <v>54.353099999999998</v>
      </c>
      <c r="I196" s="436">
        <v>54.238599999999998</v>
      </c>
      <c r="J196" s="436">
        <v>54.307000000000002</v>
      </c>
      <c r="K196" s="436">
        <v>54.113699999999994</v>
      </c>
      <c r="L196" s="436">
        <v>54.027900000000002</v>
      </c>
      <c r="M196" s="436">
        <v>54.117800000000003</v>
      </c>
      <c r="N196" s="436">
        <v>54.298999999999999</v>
      </c>
      <c r="O196" s="436">
        <v>54.526300000000006</v>
      </c>
      <c r="P196" s="436">
        <v>54.499199999999995</v>
      </c>
      <c r="Q196" s="436">
        <v>54.446899999999999</v>
      </c>
      <c r="R196" s="436">
        <v>54.365699999999997</v>
      </c>
      <c r="S196" s="436">
        <v>54.410199999999996</v>
      </c>
      <c r="T196" s="436">
        <v>54.578300000000006</v>
      </c>
      <c r="U196" s="436">
        <v>54.631500000000003</v>
      </c>
      <c r="V196" s="436">
        <v>54.594300000000004</v>
      </c>
      <c r="W196" s="436">
        <v>54.137900000000002</v>
      </c>
      <c r="X196" s="436">
        <v>54.3018</v>
      </c>
      <c r="Y196" s="436">
        <v>54.648600000000002</v>
      </c>
      <c r="Z196" s="21">
        <f>IFERROR(B196/'Ar-Pa'!B196,0)</f>
        <v>6.7471000000000005</v>
      </c>
      <c r="AA196" s="21">
        <f>IFERROR(C196/'Ar-Pa'!C196,0)</f>
        <v>6.7704874999999998</v>
      </c>
      <c r="AB196" s="21">
        <f>IFERROR(D196/'Ar-Pa'!D196,0)</f>
        <v>6.7801125000000004</v>
      </c>
      <c r="AC196" s="21">
        <f>IFERROR(E196/'Ar-Pa'!E196,0)</f>
        <v>6.7646750000000004</v>
      </c>
      <c r="AD196" s="21">
        <f>IFERROR(F196/'Ar-Pa'!F196,0)</f>
        <v>6.7867499999999996</v>
      </c>
      <c r="AE196" s="21">
        <f>IFERROR(G196/'Ar-Pa'!G196,0)</f>
        <v>6.7716000000000003</v>
      </c>
      <c r="AF196" s="21">
        <f>IFERROR(H196/'Ar-Pa'!H196,0)</f>
        <v>6.7941374999999997</v>
      </c>
      <c r="AG196" s="21">
        <f>IFERROR(I196/'Ar-Pa'!I196,0)</f>
        <v>6.7798249999999998</v>
      </c>
      <c r="AH196" s="21">
        <f>IFERROR(J196/'Ar-Pa'!J196,0)</f>
        <v>6.7883750000000003</v>
      </c>
      <c r="AI196" s="21">
        <f>IFERROR(K196/'Ar-Pa'!K196,0)</f>
        <v>6.7642124999999993</v>
      </c>
      <c r="AJ196" s="21">
        <f>IFERROR(L196/'Ar-Pa'!L196,0)</f>
        <v>6.7534875000000003</v>
      </c>
      <c r="AK196" s="21">
        <f>IFERROR(M196/'Ar-Pa'!M196,0)</f>
        <v>6.7647250000000003</v>
      </c>
      <c r="AL196" s="21">
        <f>IFERROR(N196/'Ar-Pa'!N196,0)</f>
        <v>6.7873749999999999</v>
      </c>
      <c r="AM196" s="21">
        <f>IFERROR(O196/'Ar-Pa'!O196,0)</f>
        <v>6.8157875000000008</v>
      </c>
      <c r="AN196" s="21">
        <f>IFERROR(P196/'Ar-Pa'!P196,0)</f>
        <v>6.8123999999999993</v>
      </c>
      <c r="AO196" s="21">
        <f>IFERROR(Q196/'Ar-Pa'!Q196,0)</f>
        <v>6.8058624999999999</v>
      </c>
      <c r="AP196" s="21">
        <f>IFERROR(R196/'Ar-Pa'!R196,0)</f>
        <v>6.7957124999999996</v>
      </c>
      <c r="AQ196" s="21">
        <f>IFERROR(S196/'Ar-Pa'!S196,0)</f>
        <v>6.8012749999999995</v>
      </c>
      <c r="AR196" s="21">
        <f>IFERROR(T196/'Ar-Pa'!T196,0)</f>
        <v>6.8222875000000007</v>
      </c>
      <c r="AS196" s="21">
        <f>IFERROR(U196/'Ar-Pa'!U196,0)</f>
        <v>6.8289375000000003</v>
      </c>
      <c r="AT196" s="21">
        <f>IFERROR(V196/'Ar-Pa'!V196,0)</f>
        <v>6.8242875000000005</v>
      </c>
      <c r="AU196" s="21">
        <f>IFERROR(W196/'Ar-Pa'!W196,0)</f>
        <v>6.7672375000000002</v>
      </c>
      <c r="AV196" s="21">
        <f>IFERROR(X196/'Ar-Pa'!X196,0)</f>
        <v>6.787725</v>
      </c>
      <c r="AW196" s="21">
        <f>IFERROR(Y196/'Ar-Pa'!Y196,0)</f>
        <v>6.8310750000000002</v>
      </c>
      <c r="AX196" s="21">
        <f t="shared" si="3"/>
        <v>162.94544999999997</v>
      </c>
    </row>
    <row r="197" spans="1:50">
      <c r="A197" s="15">
        <v>45122</v>
      </c>
      <c r="B197" s="436">
        <v>53.251100000000001</v>
      </c>
      <c r="C197" s="436">
        <v>51.743199999999995</v>
      </c>
      <c r="D197" s="436">
        <v>53.0398</v>
      </c>
      <c r="E197" s="436">
        <v>54.558099999999996</v>
      </c>
      <c r="F197" s="436">
        <v>54.7042</v>
      </c>
      <c r="G197" s="436">
        <v>54.662699999999994</v>
      </c>
      <c r="H197" s="436">
        <v>54.759599999999999</v>
      </c>
      <c r="I197" s="436">
        <v>54.5473</v>
      </c>
      <c r="J197" s="436">
        <v>54.349400000000003</v>
      </c>
      <c r="K197" s="436">
        <v>54.702400000000004</v>
      </c>
      <c r="L197" s="436">
        <v>53.714500000000001</v>
      </c>
      <c r="M197" s="436">
        <v>53.438099999999999</v>
      </c>
      <c r="N197" s="436">
        <v>50.237699999999997</v>
      </c>
      <c r="O197" s="436">
        <v>52.479900000000001</v>
      </c>
      <c r="P197" s="436">
        <v>53.012099999999997</v>
      </c>
      <c r="Q197" s="436">
        <v>52.658099999999997</v>
      </c>
      <c r="R197" s="436">
        <v>53.351800000000004</v>
      </c>
      <c r="S197" s="436">
        <v>54.392300000000006</v>
      </c>
      <c r="T197" s="436">
        <v>54.42</v>
      </c>
      <c r="U197" s="436">
        <v>52.652500000000003</v>
      </c>
      <c r="V197" s="436">
        <v>52.922800000000002</v>
      </c>
      <c r="W197" s="436">
        <v>54.664099999999998</v>
      </c>
      <c r="X197" s="436">
        <v>54.771500000000003</v>
      </c>
      <c r="Y197" s="436">
        <v>54.8536</v>
      </c>
      <c r="Z197" s="21">
        <f>IFERROR(B197/'Ar-Pa'!B197,0)</f>
        <v>7.6073000000000004</v>
      </c>
      <c r="AA197" s="21">
        <f>IFERROR(C197/'Ar-Pa'!C197,0)</f>
        <v>7.3918857142857135</v>
      </c>
      <c r="AB197" s="21">
        <f>IFERROR(D197/'Ar-Pa'!D197,0)</f>
        <v>7.5771142857142859</v>
      </c>
      <c r="AC197" s="21">
        <f>IFERROR(E197/'Ar-Pa'!E197,0)</f>
        <v>7.7940142857142849</v>
      </c>
      <c r="AD197" s="21">
        <f>IFERROR(F197/'Ar-Pa'!F197,0)</f>
        <v>7.8148857142857144</v>
      </c>
      <c r="AE197" s="21">
        <f>IFERROR(G197/'Ar-Pa'!G197,0)</f>
        <v>7.8089571428571416</v>
      </c>
      <c r="AF197" s="21">
        <f>IFERROR(H197/'Ar-Pa'!H197,0)</f>
        <v>7.8228</v>
      </c>
      <c r="AG197" s="21">
        <f>IFERROR(I197/'Ar-Pa'!I197,0)</f>
        <v>7.7924714285714289</v>
      </c>
      <c r="AH197" s="21">
        <f>IFERROR(J197/'Ar-Pa'!J197,0)</f>
        <v>7.7642000000000007</v>
      </c>
      <c r="AI197" s="21">
        <f>IFERROR(K197/'Ar-Pa'!K197,0)</f>
        <v>7.8146285714285719</v>
      </c>
      <c r="AJ197" s="21">
        <f>IFERROR(L197/'Ar-Pa'!L197,0)</f>
        <v>7.6734999999999998</v>
      </c>
      <c r="AK197" s="21">
        <f>IFERROR(M197/'Ar-Pa'!M197,0)</f>
        <v>7.6340142857142856</v>
      </c>
      <c r="AL197" s="21">
        <f>IFERROR(N197/'Ar-Pa'!N197,0)</f>
        <v>8.3729499999999994</v>
      </c>
      <c r="AM197" s="21">
        <f>IFERROR(O197/'Ar-Pa'!O197,0)</f>
        <v>7.4971285714285711</v>
      </c>
      <c r="AN197" s="21">
        <f>IFERROR(P197/'Ar-Pa'!P197,0)</f>
        <v>7.5731571428571423</v>
      </c>
      <c r="AO197" s="21">
        <f>IFERROR(Q197/'Ar-Pa'!Q197,0)</f>
        <v>7.5225857142857135</v>
      </c>
      <c r="AP197" s="21">
        <f>IFERROR(R197/'Ar-Pa'!R197,0)</f>
        <v>6.6689750000000005</v>
      </c>
      <c r="AQ197" s="21">
        <f>IFERROR(S197/'Ar-Pa'!S197,0)</f>
        <v>6.7990375000000007</v>
      </c>
      <c r="AR197" s="21">
        <f>IFERROR(T197/'Ar-Pa'!T197,0)</f>
        <v>6.8025000000000002</v>
      </c>
      <c r="AS197" s="21">
        <f>IFERROR(U197/'Ar-Pa'!U197,0)</f>
        <v>6.5815625000000004</v>
      </c>
      <c r="AT197" s="21">
        <f>IFERROR(V197/'Ar-Pa'!V197,0)</f>
        <v>6.6153500000000003</v>
      </c>
      <c r="AU197" s="21">
        <f>IFERROR(W197/'Ar-Pa'!W197,0)</f>
        <v>6.8330124999999997</v>
      </c>
      <c r="AV197" s="21">
        <f>IFERROR(X197/'Ar-Pa'!X197,0)</f>
        <v>6.8464375000000004</v>
      </c>
      <c r="AW197" s="21">
        <f>IFERROR(Y197/'Ar-Pa'!Y197,0)</f>
        <v>6.8567</v>
      </c>
      <c r="AX197" s="21">
        <f t="shared" si="3"/>
        <v>177.46516785714286</v>
      </c>
    </row>
    <row r="198" spans="1:50">
      <c r="A198" s="15">
        <v>45123</v>
      </c>
      <c r="B198" s="436">
        <v>50.734099999999998</v>
      </c>
      <c r="C198" s="436">
        <v>48.396699999999996</v>
      </c>
      <c r="D198" s="436">
        <v>53.456699999999998</v>
      </c>
      <c r="E198" s="436">
        <v>54.261300000000006</v>
      </c>
      <c r="F198" s="436">
        <v>54.147199999999998</v>
      </c>
      <c r="G198" s="436">
        <v>53.9405</v>
      </c>
      <c r="H198" s="436">
        <v>54.036000000000001</v>
      </c>
      <c r="I198" s="436">
        <v>54.085800000000006</v>
      </c>
      <c r="J198" s="436">
        <v>54.3825</v>
      </c>
      <c r="K198" s="436">
        <v>54.2408</v>
      </c>
      <c r="L198" s="436">
        <v>54.292499999999997</v>
      </c>
      <c r="M198" s="436">
        <v>54.2027</v>
      </c>
      <c r="N198" s="436">
        <v>54.168800000000005</v>
      </c>
      <c r="O198" s="436">
        <v>54.245100000000001</v>
      </c>
      <c r="P198" s="436">
        <v>54.2303</v>
      </c>
      <c r="Q198" s="436">
        <v>54.311199999999999</v>
      </c>
      <c r="R198" s="436">
        <v>54.159599999999998</v>
      </c>
      <c r="S198" s="436">
        <v>54.325900000000004</v>
      </c>
      <c r="T198" s="436">
        <v>60.569900000000004</v>
      </c>
      <c r="U198" s="436">
        <v>54.497399999999999</v>
      </c>
      <c r="V198" s="436">
        <v>53.511900000000004</v>
      </c>
      <c r="W198" s="436">
        <v>53.650599999999997</v>
      </c>
      <c r="X198" s="436">
        <v>54.339500000000001</v>
      </c>
      <c r="Y198" s="436">
        <v>54.216300000000004</v>
      </c>
      <c r="Z198" s="21">
        <f>IFERROR(B198/'Ar-Pa'!B198,0)</f>
        <v>8.455683333333333</v>
      </c>
      <c r="AA198" s="21">
        <f>IFERROR(C198/'Ar-Pa'!C198,0)</f>
        <v>6.9138142857142855</v>
      </c>
      <c r="AB198" s="21">
        <f>IFERROR(D198/'Ar-Pa'!D198,0)</f>
        <v>7.6366714285714279</v>
      </c>
      <c r="AC198" s="21">
        <f>IFERROR(E198/'Ar-Pa'!E198,0)</f>
        <v>6.7826625000000007</v>
      </c>
      <c r="AD198" s="21">
        <f>IFERROR(F198/'Ar-Pa'!F198,0)</f>
        <v>6.7683999999999997</v>
      </c>
      <c r="AE198" s="21">
        <f>IFERROR(G198/'Ar-Pa'!G198,0)</f>
        <v>6.7425625</v>
      </c>
      <c r="AF198" s="21">
        <f>IFERROR(H198/'Ar-Pa'!H198,0)</f>
        <v>6.7545000000000002</v>
      </c>
      <c r="AG198" s="21">
        <f>IFERROR(I198/'Ar-Pa'!I198,0)</f>
        <v>6.7607250000000008</v>
      </c>
      <c r="AH198" s="21">
        <f>IFERROR(J198/'Ar-Pa'!J198,0)</f>
        <v>6.7978125</v>
      </c>
      <c r="AI198" s="21">
        <f>IFERROR(K198/'Ar-Pa'!K198,0)</f>
        <v>6.7801</v>
      </c>
      <c r="AJ198" s="21">
        <f>IFERROR(L198/'Ar-Pa'!L198,0)</f>
        <v>6.7865624999999996</v>
      </c>
      <c r="AK198" s="21">
        <f>IFERROR(M198/'Ar-Pa'!M198,0)</f>
        <v>6.7753375</v>
      </c>
      <c r="AL198" s="21">
        <f>IFERROR(N198/'Ar-Pa'!N198,0)</f>
        <v>6.7711000000000006</v>
      </c>
      <c r="AM198" s="21">
        <f>IFERROR(O198/'Ar-Pa'!O198,0)</f>
        <v>6.7806375000000001</v>
      </c>
      <c r="AN198" s="21">
        <f>IFERROR(P198/'Ar-Pa'!P198,0)</f>
        <v>6.7787875</v>
      </c>
      <c r="AO198" s="21">
        <f>IFERROR(Q198/'Ar-Pa'!Q198,0)</f>
        <v>6.7888999999999999</v>
      </c>
      <c r="AP198" s="21">
        <f>IFERROR(R198/'Ar-Pa'!R198,0)</f>
        <v>6.7699499999999997</v>
      </c>
      <c r="AQ198" s="21">
        <f>IFERROR(S198/'Ar-Pa'!S198,0)</f>
        <v>6.7907375000000005</v>
      </c>
      <c r="AR198" s="21">
        <f>IFERROR(T198/'Ar-Pa'!T198,0)</f>
        <v>7.5712375000000005</v>
      </c>
      <c r="AS198" s="21">
        <f>IFERROR(U198/'Ar-Pa'!U198,0)</f>
        <v>6.8121749999999999</v>
      </c>
      <c r="AT198" s="21">
        <f>IFERROR(V198/'Ar-Pa'!V198,0)</f>
        <v>6.6889875000000005</v>
      </c>
      <c r="AU198" s="21">
        <f>IFERROR(W198/'Ar-Pa'!W198,0)</f>
        <v>6.7063249999999996</v>
      </c>
      <c r="AV198" s="21">
        <f>IFERROR(X198/'Ar-Pa'!X198,0)</f>
        <v>6.7924375000000001</v>
      </c>
      <c r="AW198" s="21">
        <f>IFERROR(Y198/'Ar-Pa'!Y198,0)</f>
        <v>6.7770375000000005</v>
      </c>
      <c r="AX198" s="21">
        <f t="shared" si="3"/>
        <v>165.98314404761905</v>
      </c>
    </row>
    <row r="199" spans="1:50">
      <c r="A199" s="15">
        <v>45124</v>
      </c>
      <c r="B199" s="436">
        <v>54.192300000000003</v>
      </c>
      <c r="C199" s="436">
        <v>53.969699999999996</v>
      </c>
      <c r="D199" s="436">
        <v>54.013300000000001</v>
      </c>
      <c r="E199" s="436">
        <v>54.080400000000004</v>
      </c>
      <c r="F199" s="436">
        <v>54.146900000000002</v>
      </c>
      <c r="G199" s="436">
        <v>54.007800000000003</v>
      </c>
      <c r="H199" s="436">
        <v>54.101999999999997</v>
      </c>
      <c r="I199" s="436">
        <v>54.181699999999999</v>
      </c>
      <c r="J199" s="436">
        <v>54.1768</v>
      </c>
      <c r="K199" s="436">
        <v>54.4758</v>
      </c>
      <c r="L199" s="436">
        <v>54.369</v>
      </c>
      <c r="M199" s="436">
        <v>54.547400000000003</v>
      </c>
      <c r="N199" s="436">
        <v>54.334000000000003</v>
      </c>
      <c r="O199" s="436">
        <v>54.357500000000002</v>
      </c>
      <c r="P199" s="436">
        <v>54.457999999999998</v>
      </c>
      <c r="Q199" s="436">
        <v>54.413499999999999</v>
      </c>
      <c r="R199" s="436">
        <v>54.347199999999994</v>
      </c>
      <c r="S199" s="436">
        <v>54.525599999999997</v>
      </c>
      <c r="T199" s="436">
        <v>54.420099999999998</v>
      </c>
      <c r="U199" s="436">
        <v>54.484999999999999</v>
      </c>
      <c r="V199" s="436">
        <v>54.713800000000006</v>
      </c>
      <c r="W199" s="436">
        <v>52.980699999999999</v>
      </c>
      <c r="X199" s="436">
        <v>53.331800000000001</v>
      </c>
      <c r="Y199" s="436">
        <v>54.705800000000004</v>
      </c>
      <c r="Z199" s="21">
        <f>IFERROR(B199/'Ar-Pa'!B199,0)</f>
        <v>6.7740375000000004</v>
      </c>
      <c r="AA199" s="21">
        <f>IFERROR(C199/'Ar-Pa'!C199,0)</f>
        <v>6.7462124999999995</v>
      </c>
      <c r="AB199" s="21">
        <f>IFERROR(D199/'Ar-Pa'!D199,0)</f>
        <v>6.7516625000000001</v>
      </c>
      <c r="AC199" s="21">
        <f>IFERROR(E199/'Ar-Pa'!E199,0)</f>
        <v>6.7600500000000006</v>
      </c>
      <c r="AD199" s="21">
        <f>IFERROR(F199/'Ar-Pa'!F199,0)</f>
        <v>6.7683625000000003</v>
      </c>
      <c r="AE199" s="21">
        <f>IFERROR(G199/'Ar-Pa'!G199,0)</f>
        <v>6.7509750000000004</v>
      </c>
      <c r="AF199" s="21">
        <f>IFERROR(H199/'Ar-Pa'!H199,0)</f>
        <v>6.7627499999999996</v>
      </c>
      <c r="AG199" s="21">
        <f>IFERROR(I199/'Ar-Pa'!I199,0)</f>
        <v>6.7727124999999999</v>
      </c>
      <c r="AH199" s="21">
        <f>IFERROR(J199/'Ar-Pa'!J199,0)</f>
        <v>6.7721</v>
      </c>
      <c r="AI199" s="21">
        <f>IFERROR(K199/'Ar-Pa'!K199,0)</f>
        <v>6.8094749999999999</v>
      </c>
      <c r="AJ199" s="21">
        <f>IFERROR(L199/'Ar-Pa'!L199,0)</f>
        <v>6.796125</v>
      </c>
      <c r="AK199" s="21">
        <f>IFERROR(M199/'Ar-Pa'!M199,0)</f>
        <v>6.8184250000000004</v>
      </c>
      <c r="AL199" s="21">
        <f>IFERROR(N199/'Ar-Pa'!N199,0)</f>
        <v>6.7917500000000004</v>
      </c>
      <c r="AM199" s="21">
        <f>IFERROR(O199/'Ar-Pa'!O199,0)</f>
        <v>6.7946875000000002</v>
      </c>
      <c r="AN199" s="21">
        <f>IFERROR(P199/'Ar-Pa'!P199,0)</f>
        <v>6.8072499999999998</v>
      </c>
      <c r="AO199" s="21">
        <f>IFERROR(Q199/'Ar-Pa'!Q199,0)</f>
        <v>6.8016874999999999</v>
      </c>
      <c r="AP199" s="21">
        <f>IFERROR(R199/'Ar-Pa'!R199,0)</f>
        <v>6.7933999999999992</v>
      </c>
      <c r="AQ199" s="21">
        <f>IFERROR(S199/'Ar-Pa'!S199,0)</f>
        <v>6.8156999999999996</v>
      </c>
      <c r="AR199" s="21">
        <f>IFERROR(T199/'Ar-Pa'!T199,0)</f>
        <v>6.8025124999999997</v>
      </c>
      <c r="AS199" s="21">
        <f>IFERROR(U199/'Ar-Pa'!U199,0)</f>
        <v>6.8106249999999999</v>
      </c>
      <c r="AT199" s="21">
        <f>IFERROR(V199/'Ar-Pa'!V199,0)</f>
        <v>6.8392250000000008</v>
      </c>
      <c r="AU199" s="21">
        <f>IFERROR(W199/'Ar-Pa'!W199,0)</f>
        <v>6.6225874999999998</v>
      </c>
      <c r="AV199" s="21">
        <f>IFERROR(X199/'Ar-Pa'!X199,0)</f>
        <v>6.6664750000000002</v>
      </c>
      <c r="AW199" s="21">
        <f>IFERROR(Y199/'Ar-Pa'!Y199,0)</f>
        <v>6.8382250000000004</v>
      </c>
      <c r="AX199" s="21">
        <f t="shared" si="3"/>
        <v>162.66701249999997</v>
      </c>
    </row>
    <row r="200" spans="1:50">
      <c r="A200" s="15">
        <v>45125</v>
      </c>
      <c r="B200" s="436">
        <v>53.070099999999996</v>
      </c>
      <c r="C200" s="436">
        <v>53.806899999999999</v>
      </c>
      <c r="D200" s="436">
        <v>53.851399999999998</v>
      </c>
      <c r="E200" s="436">
        <v>54.943300000000001</v>
      </c>
      <c r="F200" s="436">
        <v>54.674300000000002</v>
      </c>
      <c r="G200" s="436">
        <v>54.3782</v>
      </c>
      <c r="H200" s="436">
        <v>54.341900000000003</v>
      </c>
      <c r="I200" s="436">
        <v>54.498899999999999</v>
      </c>
      <c r="J200" s="436">
        <v>54.557499999999997</v>
      </c>
      <c r="K200" s="436">
        <v>54.431899999999999</v>
      </c>
      <c r="L200" s="436">
        <v>54.504800000000003</v>
      </c>
      <c r="M200" s="436">
        <v>53.957500000000003</v>
      </c>
      <c r="N200" s="436">
        <v>54.417699999999996</v>
      </c>
      <c r="O200" s="436">
        <v>54.238599999999998</v>
      </c>
      <c r="P200" s="436">
        <v>54.136600000000001</v>
      </c>
      <c r="Q200" s="436">
        <v>54.356699999999996</v>
      </c>
      <c r="R200" s="436">
        <v>54.244500000000002</v>
      </c>
      <c r="S200" s="436">
        <v>55.534599999999998</v>
      </c>
      <c r="T200" s="436">
        <v>53.406699999999994</v>
      </c>
      <c r="U200" s="436">
        <v>51.783199999999994</v>
      </c>
      <c r="V200" s="436">
        <v>54.5321</v>
      </c>
      <c r="W200" s="436">
        <v>51.567999999999998</v>
      </c>
      <c r="X200" s="436">
        <v>52.896300000000004</v>
      </c>
      <c r="Y200" s="436">
        <v>54.841200000000001</v>
      </c>
      <c r="Z200" s="21">
        <f>IFERROR(B200/'Ar-Pa'!B200,0)</f>
        <v>6.6337624999999996</v>
      </c>
      <c r="AA200" s="21">
        <f>IFERROR(C200/'Ar-Pa'!C200,0)</f>
        <v>6.7258624999999999</v>
      </c>
      <c r="AB200" s="21">
        <f>IFERROR(D200/'Ar-Pa'!D200,0)</f>
        <v>6.7314249999999998</v>
      </c>
      <c r="AC200" s="21">
        <f>IFERROR(E200/'Ar-Pa'!E200,0)</f>
        <v>6.8679125000000001</v>
      </c>
      <c r="AD200" s="21">
        <f>IFERROR(F200/'Ar-Pa'!F200,0)</f>
        <v>6.8342875000000003</v>
      </c>
      <c r="AE200" s="21">
        <f>IFERROR(G200/'Ar-Pa'!G200,0)</f>
        <v>6.797275</v>
      </c>
      <c r="AF200" s="21">
        <f>IFERROR(H200/'Ar-Pa'!H200,0)</f>
        <v>6.7927375000000003</v>
      </c>
      <c r="AG200" s="21">
        <f>IFERROR(I200/'Ar-Pa'!I200,0)</f>
        <v>6.8123624999999999</v>
      </c>
      <c r="AH200" s="21">
        <f>IFERROR(J200/'Ar-Pa'!J200,0)</f>
        <v>6.8196874999999997</v>
      </c>
      <c r="AI200" s="21">
        <f>IFERROR(K200/'Ar-Pa'!K200,0)</f>
        <v>6.8039874999999999</v>
      </c>
      <c r="AJ200" s="21">
        <f>IFERROR(L200/'Ar-Pa'!L200,0)</f>
        <v>6.8131000000000004</v>
      </c>
      <c r="AK200" s="21">
        <f>IFERROR(M200/'Ar-Pa'!M200,0)</f>
        <v>6.7446875000000004</v>
      </c>
      <c r="AL200" s="21">
        <f>IFERROR(N200/'Ar-Pa'!N200,0)</f>
        <v>6.8022124999999996</v>
      </c>
      <c r="AM200" s="21">
        <f>IFERROR(O200/'Ar-Pa'!O200,0)</f>
        <v>6.7798249999999998</v>
      </c>
      <c r="AN200" s="21">
        <f>IFERROR(P200/'Ar-Pa'!P200,0)</f>
        <v>6.7670750000000002</v>
      </c>
      <c r="AO200" s="21">
        <f>IFERROR(Q200/'Ar-Pa'!Q200,0)</f>
        <v>6.7945874999999996</v>
      </c>
      <c r="AP200" s="21">
        <f>IFERROR(R200/'Ar-Pa'!R200,0)</f>
        <v>6.7805625000000003</v>
      </c>
      <c r="AQ200" s="21">
        <f>IFERROR(S200/'Ar-Pa'!S200,0)</f>
        <v>6.9418249999999997</v>
      </c>
      <c r="AR200" s="21">
        <f>IFERROR(T200/'Ar-Pa'!T200,0)</f>
        <v>6.6758374999999992</v>
      </c>
      <c r="AS200" s="21">
        <f>IFERROR(U200/'Ar-Pa'!U200,0)</f>
        <v>6.4728999999999992</v>
      </c>
      <c r="AT200" s="21">
        <f>IFERROR(V200/'Ar-Pa'!V200,0)</f>
        <v>6.8165125</v>
      </c>
      <c r="AU200" s="21">
        <f>IFERROR(W200/'Ar-Pa'!W200,0)</f>
        <v>6.4459999999999997</v>
      </c>
      <c r="AV200" s="21">
        <f>IFERROR(X200/'Ar-Pa'!X200,0)</f>
        <v>6.6120375000000005</v>
      </c>
      <c r="AW200" s="21">
        <f>IFERROR(Y200/'Ar-Pa'!Y200,0)</f>
        <v>6.8551500000000001</v>
      </c>
      <c r="AX200" s="21">
        <f t="shared" si="3"/>
        <v>162.12161250000003</v>
      </c>
    </row>
    <row r="201" spans="1:50">
      <c r="A201" s="15">
        <v>45126</v>
      </c>
      <c r="B201" s="436">
        <v>55.067800000000005</v>
      </c>
      <c r="C201" s="436">
        <v>55.261900000000004</v>
      </c>
      <c r="D201" s="436">
        <v>54.541599999999995</v>
      </c>
      <c r="E201" s="436">
        <v>54.436999999999998</v>
      </c>
      <c r="F201" s="436">
        <v>54.584900000000005</v>
      </c>
      <c r="G201" s="436">
        <v>54.570300000000003</v>
      </c>
      <c r="H201" s="436">
        <v>54.353099999999998</v>
      </c>
      <c r="I201" s="436">
        <v>54.851300000000002</v>
      </c>
      <c r="J201" s="436">
        <v>54.197800000000001</v>
      </c>
      <c r="K201" s="436">
        <v>53.943800000000003</v>
      </c>
      <c r="L201" s="436">
        <v>53.871000000000002</v>
      </c>
      <c r="M201" s="436">
        <v>53.835300000000004</v>
      </c>
      <c r="N201" s="436">
        <v>53.563800000000001</v>
      </c>
      <c r="O201" s="436">
        <v>53.605599999999995</v>
      </c>
      <c r="P201" s="436">
        <v>53.570900000000002</v>
      </c>
      <c r="Q201" s="436">
        <v>53.636000000000003</v>
      </c>
      <c r="R201" s="436">
        <v>53.282599999999995</v>
      </c>
      <c r="S201" s="436">
        <v>53.152200000000001</v>
      </c>
      <c r="T201" s="436">
        <v>53.732599999999998</v>
      </c>
      <c r="U201" s="436">
        <v>54.436199999999999</v>
      </c>
      <c r="V201" s="436">
        <v>54.441499999999998</v>
      </c>
      <c r="W201" s="436">
        <v>54.516800000000003</v>
      </c>
      <c r="X201" s="436">
        <v>54.487499999999997</v>
      </c>
      <c r="Y201" s="436">
        <v>54.246699999999997</v>
      </c>
      <c r="Z201" s="21">
        <f>IFERROR(B201/'Ar-Pa'!B201,0)</f>
        <v>6.8834750000000007</v>
      </c>
      <c r="AA201" s="21">
        <f>IFERROR(C201/'Ar-Pa'!C201,0)</f>
        <v>6.9077375000000005</v>
      </c>
      <c r="AB201" s="21">
        <f>IFERROR(D201/'Ar-Pa'!D201,0)</f>
        <v>6.8176999999999994</v>
      </c>
      <c r="AC201" s="21">
        <f>IFERROR(E201/'Ar-Pa'!E201,0)</f>
        <v>6.8046249999999997</v>
      </c>
      <c r="AD201" s="21">
        <f>IFERROR(F201/'Ar-Pa'!F201,0)</f>
        <v>6.8231125000000006</v>
      </c>
      <c r="AE201" s="21">
        <f>IFERROR(G201/'Ar-Pa'!G201,0)</f>
        <v>6.8212875000000004</v>
      </c>
      <c r="AF201" s="21">
        <f>IFERROR(H201/'Ar-Pa'!H201,0)</f>
        <v>6.7941374999999997</v>
      </c>
      <c r="AG201" s="21">
        <f>IFERROR(I201/'Ar-Pa'!I201,0)</f>
        <v>6.8564125000000002</v>
      </c>
      <c r="AH201" s="21">
        <f>IFERROR(J201/'Ar-Pa'!J201,0)</f>
        <v>6.7747250000000001</v>
      </c>
      <c r="AI201" s="21">
        <f>IFERROR(K201/'Ar-Pa'!K201,0)</f>
        <v>7.7062571428571429</v>
      </c>
      <c r="AJ201" s="21">
        <f>IFERROR(L201/'Ar-Pa'!L201,0)</f>
        <v>7.6958571428571432</v>
      </c>
      <c r="AK201" s="21">
        <f>IFERROR(M201/'Ar-Pa'!M201,0)</f>
        <v>7.6907571428571435</v>
      </c>
      <c r="AL201" s="21">
        <f>IFERROR(N201/'Ar-Pa'!N201,0)</f>
        <v>6.6954750000000001</v>
      </c>
      <c r="AM201" s="21">
        <f>IFERROR(O201/'Ar-Pa'!O201,0)</f>
        <v>6.7006999999999994</v>
      </c>
      <c r="AN201" s="21">
        <f>IFERROR(P201/'Ar-Pa'!P201,0)</f>
        <v>6.6963625000000002</v>
      </c>
      <c r="AO201" s="21">
        <f>IFERROR(Q201/'Ar-Pa'!Q201,0)</f>
        <v>6.7045000000000003</v>
      </c>
      <c r="AP201" s="21">
        <f>IFERROR(R201/'Ar-Pa'!R201,0)</f>
        <v>6.6603249999999994</v>
      </c>
      <c r="AQ201" s="21">
        <f>IFERROR(S201/'Ar-Pa'!S201,0)</f>
        <v>6.6440250000000001</v>
      </c>
      <c r="AR201" s="21">
        <f>IFERROR(T201/'Ar-Pa'!T201,0)</f>
        <v>6.7165749999999997</v>
      </c>
      <c r="AS201" s="21">
        <f>IFERROR(U201/'Ar-Pa'!U201,0)</f>
        <v>6.8045249999999999</v>
      </c>
      <c r="AT201" s="21">
        <f>IFERROR(V201/'Ar-Pa'!V201,0)</f>
        <v>6.8051874999999997</v>
      </c>
      <c r="AU201" s="21">
        <f>IFERROR(W201/'Ar-Pa'!W201,0)</f>
        <v>6.8146000000000004</v>
      </c>
      <c r="AV201" s="21">
        <f>IFERROR(X201/'Ar-Pa'!X201,0)</f>
        <v>6.8109374999999996</v>
      </c>
      <c r="AW201" s="21">
        <f>IFERROR(Y201/'Ar-Pa'!Y201,0)</f>
        <v>6.7808374999999996</v>
      </c>
      <c r="AX201" s="21">
        <f t="shared" si="3"/>
        <v>165.41013392857141</v>
      </c>
    </row>
    <row r="202" spans="1:50">
      <c r="A202" s="15">
        <v>45127</v>
      </c>
      <c r="B202" s="436">
        <v>54.6967</v>
      </c>
      <c r="C202" s="436">
        <v>54.6571</v>
      </c>
      <c r="D202" s="436">
        <v>54.566499999999998</v>
      </c>
      <c r="E202" s="436">
        <v>54.22</v>
      </c>
      <c r="F202" s="436">
        <v>55.035899999999998</v>
      </c>
      <c r="G202" s="436">
        <v>54.71</v>
      </c>
      <c r="H202" s="436">
        <v>54.4253</v>
      </c>
      <c r="I202" s="436">
        <v>54.741599999999998</v>
      </c>
      <c r="J202" s="436">
        <v>54.697199999999995</v>
      </c>
      <c r="K202" s="436">
        <v>54.752800000000001</v>
      </c>
      <c r="L202" s="436">
        <v>54.674800000000005</v>
      </c>
      <c r="M202" s="436">
        <v>54.582800000000006</v>
      </c>
      <c r="N202" s="436">
        <v>54.490300000000005</v>
      </c>
      <c r="O202" s="436">
        <v>54.608800000000002</v>
      </c>
      <c r="P202" s="436">
        <v>54.019100000000002</v>
      </c>
      <c r="Q202" s="436">
        <v>54.5779</v>
      </c>
      <c r="R202" s="436">
        <v>54.821899999999999</v>
      </c>
      <c r="S202" s="436">
        <v>53.747599999999998</v>
      </c>
      <c r="T202" s="436">
        <v>54.140599999999999</v>
      </c>
      <c r="U202" s="436">
        <v>54.326800000000006</v>
      </c>
      <c r="V202" s="436">
        <v>53.6</v>
      </c>
      <c r="W202" s="436">
        <v>53.882800000000003</v>
      </c>
      <c r="X202" s="436">
        <v>53.578499999999998</v>
      </c>
      <c r="Y202" s="436">
        <v>53.1325</v>
      </c>
      <c r="Z202" s="21">
        <f>IFERROR(B202/'Ar-Pa'!B202,0)</f>
        <v>6.8370875</v>
      </c>
      <c r="AA202" s="21">
        <f>IFERROR(C202/'Ar-Pa'!C202,0)</f>
        <v>6.8321375</v>
      </c>
      <c r="AB202" s="21">
        <f>IFERROR(D202/'Ar-Pa'!D202,0)</f>
        <v>6.8208124999999997</v>
      </c>
      <c r="AC202" s="21">
        <f>IFERROR(E202/'Ar-Pa'!E202,0)</f>
        <v>6.7774999999999999</v>
      </c>
      <c r="AD202" s="21">
        <f>IFERROR(F202/'Ar-Pa'!F202,0)</f>
        <v>6.8794874999999998</v>
      </c>
      <c r="AE202" s="21">
        <f>IFERROR(G202/'Ar-Pa'!G202,0)</f>
        <v>6.8387500000000001</v>
      </c>
      <c r="AF202" s="21">
        <f>IFERROR(H202/'Ar-Pa'!H202,0)</f>
        <v>6.8031625</v>
      </c>
      <c r="AG202" s="21">
        <f>IFERROR(I202/'Ar-Pa'!I202,0)</f>
        <v>6.8426999999999998</v>
      </c>
      <c r="AH202" s="21">
        <f>IFERROR(J202/'Ar-Pa'!J202,0)</f>
        <v>6.8371499999999994</v>
      </c>
      <c r="AI202" s="21">
        <f>IFERROR(K202/'Ar-Pa'!K202,0)</f>
        <v>7.8218285714285711</v>
      </c>
      <c r="AJ202" s="21">
        <f>IFERROR(L202/'Ar-Pa'!L202,0)</f>
        <v>7.8106857142857153</v>
      </c>
      <c r="AK202" s="21">
        <f>IFERROR(M202/'Ar-Pa'!M202,0)</f>
        <v>7.797542857142858</v>
      </c>
      <c r="AL202" s="21">
        <f>IFERROR(N202/'Ar-Pa'!N202,0)</f>
        <v>7.7843285714285724</v>
      </c>
      <c r="AM202" s="21">
        <f>IFERROR(O202/'Ar-Pa'!O202,0)</f>
        <v>7.8012571428571436</v>
      </c>
      <c r="AN202" s="21">
        <f>IFERROR(P202/'Ar-Pa'!P202,0)</f>
        <v>7.7170142857142858</v>
      </c>
      <c r="AO202" s="21">
        <f>IFERROR(Q202/'Ar-Pa'!Q202,0)</f>
        <v>7.796842857142857</v>
      </c>
      <c r="AP202" s="21">
        <f>IFERROR(R202/'Ar-Pa'!R202,0)</f>
        <v>7.8316999999999997</v>
      </c>
      <c r="AQ202" s="21">
        <f>IFERROR(S202/'Ar-Pa'!S202,0)</f>
        <v>7.678228571428571</v>
      </c>
      <c r="AR202" s="21">
        <f>IFERROR(T202/'Ar-Pa'!T202,0)</f>
        <v>9.0234333333333332</v>
      </c>
      <c r="AS202" s="21">
        <f>IFERROR(U202/'Ar-Pa'!U202,0)</f>
        <v>9.0544666666666682</v>
      </c>
      <c r="AT202" s="21">
        <f>IFERROR(V202/'Ar-Pa'!V202,0)</f>
        <v>7.6571428571428575</v>
      </c>
      <c r="AU202" s="21">
        <f>IFERROR(W202/'Ar-Pa'!W202,0)</f>
        <v>7.6975428571428575</v>
      </c>
      <c r="AV202" s="21">
        <f>IFERROR(X202/'Ar-Pa'!X202,0)</f>
        <v>7.6540714285714282</v>
      </c>
      <c r="AW202" s="21">
        <f>IFERROR(Y202/'Ar-Pa'!Y202,0)</f>
        <v>6.6415625</v>
      </c>
      <c r="AX202" s="21">
        <f t="shared" si="3"/>
        <v>179.23643571428568</v>
      </c>
    </row>
    <row r="203" spans="1:50">
      <c r="A203" s="15">
        <v>45128</v>
      </c>
      <c r="B203" s="436">
        <v>45.483800000000002</v>
      </c>
      <c r="C203" s="436">
        <v>45.153400000000005</v>
      </c>
      <c r="D203" s="436">
        <v>44.777300000000004</v>
      </c>
      <c r="E203" s="436">
        <v>44.003099999999996</v>
      </c>
      <c r="F203" s="436">
        <v>43.781599999999997</v>
      </c>
      <c r="G203" s="436">
        <v>43.892800000000001</v>
      </c>
      <c r="H203" s="436">
        <v>44.717500000000001</v>
      </c>
      <c r="I203" s="436">
        <v>43.843199999999996</v>
      </c>
      <c r="J203" s="436">
        <v>43.744099999999996</v>
      </c>
      <c r="K203" s="436">
        <v>43.791199999999996</v>
      </c>
      <c r="L203" s="436">
        <v>45.19</v>
      </c>
      <c r="M203" s="436">
        <v>44.115099999999998</v>
      </c>
      <c r="N203" s="436">
        <v>43.195300000000003</v>
      </c>
      <c r="O203" s="436">
        <v>43.3782</v>
      </c>
      <c r="P203" s="436">
        <v>44.056699999999999</v>
      </c>
      <c r="Q203" s="436">
        <v>44.700300000000006</v>
      </c>
      <c r="R203" s="436">
        <v>44.570999999999998</v>
      </c>
      <c r="S203" s="436">
        <v>44.234199999999994</v>
      </c>
      <c r="T203" s="436">
        <v>44.536799999999999</v>
      </c>
      <c r="U203" s="436">
        <v>44.670699999999997</v>
      </c>
      <c r="V203" s="436">
        <v>44.5471</v>
      </c>
      <c r="W203" s="436">
        <v>44.389600000000002</v>
      </c>
      <c r="X203" s="436">
        <v>44.579800000000006</v>
      </c>
      <c r="Y203" s="436">
        <v>43.717500000000001</v>
      </c>
      <c r="Z203" s="21">
        <f>IFERROR(B203/'Ar-Pa'!B203,0)</f>
        <v>6.4976857142857147</v>
      </c>
      <c r="AA203" s="21">
        <f>IFERROR(C203/'Ar-Pa'!C203,0)</f>
        <v>6.4504857142857146</v>
      </c>
      <c r="AB203" s="21">
        <f>IFERROR(D203/'Ar-Pa'!D203,0)</f>
        <v>6.396757142857143</v>
      </c>
      <c r="AC203" s="21">
        <f>IFERROR(E203/'Ar-Pa'!E203,0)</f>
        <v>6.2861571428571423</v>
      </c>
      <c r="AD203" s="21">
        <f>IFERROR(F203/'Ar-Pa'!F203,0)</f>
        <v>6.2545142857142855</v>
      </c>
      <c r="AE203" s="21">
        <f>IFERROR(G203/'Ar-Pa'!G203,0)</f>
        <v>6.2704000000000004</v>
      </c>
      <c r="AF203" s="21">
        <f>IFERROR(H203/'Ar-Pa'!H203,0)</f>
        <v>6.3882142857142856</v>
      </c>
      <c r="AG203" s="21">
        <f>IFERROR(I203/'Ar-Pa'!I203,0)</f>
        <v>6.2633142857142854</v>
      </c>
      <c r="AH203" s="21">
        <f>IFERROR(J203/'Ar-Pa'!J203,0)</f>
        <v>6.2491571428571424</v>
      </c>
      <c r="AI203" s="21">
        <f>IFERROR(K203/'Ar-Pa'!K203,0)</f>
        <v>6.2558857142857134</v>
      </c>
      <c r="AJ203" s="21">
        <f>IFERROR(L203/'Ar-Pa'!L203,0)</f>
        <v>6.4557142857142855</v>
      </c>
      <c r="AK203" s="21">
        <f>IFERROR(M203/'Ar-Pa'!M203,0)</f>
        <v>6.3021571428571423</v>
      </c>
      <c r="AL203" s="21">
        <f>IFERROR(N203/'Ar-Pa'!N203,0)</f>
        <v>6.1707571428571431</v>
      </c>
      <c r="AM203" s="21">
        <f>IFERROR(O203/'Ar-Pa'!O203,0)</f>
        <v>6.1968857142857141</v>
      </c>
      <c r="AN203" s="21">
        <f>IFERROR(P203/'Ar-Pa'!P203,0)</f>
        <v>6.2938142857142854</v>
      </c>
      <c r="AO203" s="21">
        <f>IFERROR(Q203/'Ar-Pa'!Q203,0)</f>
        <v>6.3857571428571438</v>
      </c>
      <c r="AP203" s="21">
        <f>IFERROR(R203/'Ar-Pa'!R203,0)</f>
        <v>6.367285714285714</v>
      </c>
      <c r="AQ203" s="21">
        <f>IFERROR(S203/'Ar-Pa'!S203,0)</f>
        <v>6.319171428571428</v>
      </c>
      <c r="AR203" s="21">
        <f>IFERROR(T203/'Ar-Pa'!T203,0)</f>
        <v>6.3624000000000001</v>
      </c>
      <c r="AS203" s="21">
        <f>IFERROR(U203/'Ar-Pa'!U203,0)</f>
        <v>6.3815285714285706</v>
      </c>
      <c r="AT203" s="21">
        <f>IFERROR(V203/'Ar-Pa'!V203,0)</f>
        <v>6.3638714285714286</v>
      </c>
      <c r="AU203" s="21">
        <f>IFERROR(W203/'Ar-Pa'!W203,0)</f>
        <v>6.3413714285714287</v>
      </c>
      <c r="AV203" s="21">
        <f>IFERROR(X203/'Ar-Pa'!X203,0)</f>
        <v>6.3685428571428577</v>
      </c>
      <c r="AW203" s="21">
        <f>IFERROR(Y203/'Ar-Pa'!Y203,0)</f>
        <v>6.2453571428571433</v>
      </c>
      <c r="AX203" s="21">
        <f t="shared" si="3"/>
        <v>151.86718571428568</v>
      </c>
    </row>
    <row r="204" spans="1:50">
      <c r="A204" s="15">
        <v>45129</v>
      </c>
      <c r="B204" s="436">
        <v>44.339300000000001</v>
      </c>
      <c r="C204" s="436">
        <v>53.299599999999998</v>
      </c>
      <c r="D204" s="436">
        <v>54.732300000000002</v>
      </c>
      <c r="E204" s="436">
        <v>54.596699999999998</v>
      </c>
      <c r="F204" s="436">
        <v>54.7515</v>
      </c>
      <c r="G204" s="436">
        <v>54.636600000000001</v>
      </c>
      <c r="H204" s="436">
        <v>54.679900000000004</v>
      </c>
      <c r="I204" s="436">
        <v>54.936300000000003</v>
      </c>
      <c r="J204" s="436">
        <v>54.712600000000002</v>
      </c>
      <c r="K204" s="436">
        <v>54.898400000000002</v>
      </c>
      <c r="L204" s="436">
        <v>54.464300000000001</v>
      </c>
      <c r="M204" s="436">
        <v>54.569099999999999</v>
      </c>
      <c r="N204" s="436">
        <v>54.732199999999999</v>
      </c>
      <c r="O204" s="436">
        <v>54.733599999999996</v>
      </c>
      <c r="P204" s="436">
        <v>54.8322</v>
      </c>
      <c r="Q204" s="436">
        <v>54.596599999999995</v>
      </c>
      <c r="R204" s="436">
        <v>54.554400000000001</v>
      </c>
      <c r="S204" s="436">
        <v>54.628099999999996</v>
      </c>
      <c r="T204" s="436">
        <v>54.637300000000003</v>
      </c>
      <c r="U204" s="436">
        <v>54.557400000000001</v>
      </c>
      <c r="V204" s="436">
        <v>54.399699999999996</v>
      </c>
      <c r="W204" s="436">
        <v>54.439500000000002</v>
      </c>
      <c r="X204" s="436">
        <v>54.435000000000002</v>
      </c>
      <c r="Y204" s="436">
        <v>54.454099999999997</v>
      </c>
      <c r="Z204" s="21">
        <f>IFERROR(B204/'Ar-Pa'!B204,0)</f>
        <v>5.5424125000000002</v>
      </c>
      <c r="AA204" s="21">
        <f>IFERROR(C204/'Ar-Pa'!C204,0)</f>
        <v>6.6624499999999998</v>
      </c>
      <c r="AB204" s="21">
        <f>IFERROR(D204/'Ar-Pa'!D204,0)</f>
        <v>6.8415375000000003</v>
      </c>
      <c r="AC204" s="21">
        <f>IFERROR(E204/'Ar-Pa'!E204,0)</f>
        <v>6.8245874999999998</v>
      </c>
      <c r="AD204" s="21">
        <f>IFERROR(F204/'Ar-Pa'!F204,0)</f>
        <v>6.8439375</v>
      </c>
      <c r="AE204" s="21">
        <f>IFERROR(G204/'Ar-Pa'!G204,0)</f>
        <v>6.8295750000000002</v>
      </c>
      <c r="AF204" s="21">
        <f>IFERROR(H204/'Ar-Pa'!H204,0)</f>
        <v>6.8349875000000004</v>
      </c>
      <c r="AG204" s="21">
        <f>IFERROR(I204/'Ar-Pa'!I204,0)</f>
        <v>6.8670375000000003</v>
      </c>
      <c r="AH204" s="21">
        <f>IFERROR(J204/'Ar-Pa'!J204,0)</f>
        <v>6.8390750000000002</v>
      </c>
      <c r="AI204" s="21">
        <f>IFERROR(K204/'Ar-Pa'!K204,0)</f>
        <v>6.8623000000000003</v>
      </c>
      <c r="AJ204" s="21">
        <f>IFERROR(L204/'Ar-Pa'!L204,0)</f>
        <v>6.8080375000000002</v>
      </c>
      <c r="AK204" s="21">
        <f>IFERROR(M204/'Ar-Pa'!M204,0)</f>
        <v>6.8211374999999999</v>
      </c>
      <c r="AL204" s="21">
        <f>IFERROR(N204/'Ar-Pa'!N204,0)</f>
        <v>6.8415249999999999</v>
      </c>
      <c r="AM204" s="21">
        <f>IFERROR(O204/'Ar-Pa'!O204,0)</f>
        <v>6.8416999999999994</v>
      </c>
      <c r="AN204" s="21">
        <f>IFERROR(P204/'Ar-Pa'!P204,0)</f>
        <v>6.854025</v>
      </c>
      <c r="AO204" s="21">
        <f>IFERROR(Q204/'Ar-Pa'!Q204,0)</f>
        <v>6.8245749999999994</v>
      </c>
      <c r="AP204" s="21">
        <f>IFERROR(R204/'Ar-Pa'!R204,0)</f>
        <v>6.8193000000000001</v>
      </c>
      <c r="AQ204" s="21">
        <f>IFERROR(S204/'Ar-Pa'!S204,0)</f>
        <v>6.8285124999999995</v>
      </c>
      <c r="AR204" s="21">
        <f>IFERROR(T204/'Ar-Pa'!T204,0)</f>
        <v>6.8296625000000004</v>
      </c>
      <c r="AS204" s="21">
        <f>IFERROR(U204/'Ar-Pa'!U204,0)</f>
        <v>6.8196750000000002</v>
      </c>
      <c r="AT204" s="21">
        <f>IFERROR(V204/'Ar-Pa'!V204,0)</f>
        <v>6.7999624999999995</v>
      </c>
      <c r="AU204" s="21">
        <f>IFERROR(W204/'Ar-Pa'!W204,0)</f>
        <v>6.8049375000000003</v>
      </c>
      <c r="AV204" s="21">
        <f>IFERROR(X204/'Ar-Pa'!X204,0)</f>
        <v>6.8043750000000003</v>
      </c>
      <c r="AW204" s="21">
        <f>IFERROR(Y204/'Ar-Pa'!Y204,0)</f>
        <v>6.8067624999999996</v>
      </c>
      <c r="AX204" s="21">
        <f t="shared" si="3"/>
        <v>162.45208749999998</v>
      </c>
    </row>
    <row r="205" spans="1:50">
      <c r="A205" s="15">
        <v>45130</v>
      </c>
      <c r="B205" s="436">
        <v>54.524300000000004</v>
      </c>
      <c r="C205" s="436">
        <v>54.554099999999998</v>
      </c>
      <c r="D205" s="436">
        <v>54.528599999999997</v>
      </c>
      <c r="E205" s="436">
        <v>53.525599999999997</v>
      </c>
      <c r="F205" s="436">
        <v>54.5396</v>
      </c>
      <c r="G205" s="436">
        <v>54.568100000000001</v>
      </c>
      <c r="H205" s="436">
        <v>54.614699999999999</v>
      </c>
      <c r="I205" s="436">
        <v>54.785899999999998</v>
      </c>
      <c r="J205" s="436">
        <v>54.782400000000003</v>
      </c>
      <c r="K205" s="436">
        <v>54.572099999999999</v>
      </c>
      <c r="L205" s="436">
        <v>54.636199999999995</v>
      </c>
      <c r="M205" s="436">
        <v>54.347699999999996</v>
      </c>
      <c r="N205" s="436">
        <v>54.547599999999996</v>
      </c>
      <c r="O205" s="436">
        <v>54.578699999999998</v>
      </c>
      <c r="P205" s="436">
        <v>54.090300000000006</v>
      </c>
      <c r="Q205" s="436">
        <v>54.328800000000001</v>
      </c>
      <c r="R205" s="436">
        <v>54.236599999999996</v>
      </c>
      <c r="S205" s="436">
        <v>54.236800000000002</v>
      </c>
      <c r="T205" s="436">
        <v>54.188600000000001</v>
      </c>
      <c r="U205" s="436">
        <v>54.098399999999998</v>
      </c>
      <c r="V205" s="436">
        <v>53.897300000000001</v>
      </c>
      <c r="W205" s="436">
        <v>53.9955</v>
      </c>
      <c r="X205" s="436">
        <v>54.101900000000001</v>
      </c>
      <c r="Y205" s="436">
        <v>54.159500000000001</v>
      </c>
      <c r="Z205" s="21">
        <f>IFERROR(B205/'Ar-Pa'!B205,0)</f>
        <v>6.8155375000000005</v>
      </c>
      <c r="AA205" s="21">
        <f>IFERROR(C205/'Ar-Pa'!C205,0)</f>
        <v>6.8192624999999998</v>
      </c>
      <c r="AB205" s="21">
        <f>IFERROR(D205/'Ar-Pa'!D205,0)</f>
        <v>6.8160749999999997</v>
      </c>
      <c r="AC205" s="21">
        <f>IFERROR(E205/'Ar-Pa'!E205,0)</f>
        <v>6.6906999999999996</v>
      </c>
      <c r="AD205" s="21">
        <f>IFERROR(F205/'Ar-Pa'!F205,0)</f>
        <v>6.81745</v>
      </c>
      <c r="AE205" s="21">
        <f>IFERROR(G205/'Ar-Pa'!G205,0)</f>
        <v>6.8210125000000001</v>
      </c>
      <c r="AF205" s="21">
        <f>IFERROR(H205/'Ar-Pa'!H205,0)</f>
        <v>6.8268374999999999</v>
      </c>
      <c r="AG205" s="21">
        <f>IFERROR(I205/'Ar-Pa'!I205,0)</f>
        <v>6.8482374999999998</v>
      </c>
      <c r="AH205" s="21">
        <f>IFERROR(J205/'Ar-Pa'!J205,0)</f>
        <v>6.8478000000000003</v>
      </c>
      <c r="AI205" s="21">
        <f>IFERROR(K205/'Ar-Pa'!K205,0)</f>
        <v>6.8215124999999999</v>
      </c>
      <c r="AJ205" s="21">
        <f>IFERROR(L205/'Ar-Pa'!L205,0)</f>
        <v>6.8295249999999994</v>
      </c>
      <c r="AK205" s="21">
        <f>IFERROR(M205/'Ar-Pa'!M205,0)</f>
        <v>6.7934624999999995</v>
      </c>
      <c r="AL205" s="21">
        <f>IFERROR(N205/'Ar-Pa'!N205,0)</f>
        <v>6.8184499999999995</v>
      </c>
      <c r="AM205" s="21">
        <f>IFERROR(O205/'Ar-Pa'!O205,0)</f>
        <v>6.8223374999999997</v>
      </c>
      <c r="AN205" s="21">
        <f>IFERROR(P205/'Ar-Pa'!P205,0)</f>
        <v>6.7612875000000008</v>
      </c>
      <c r="AO205" s="21">
        <f>IFERROR(Q205/'Ar-Pa'!Q205,0)</f>
        <v>6.7911000000000001</v>
      </c>
      <c r="AP205" s="21">
        <f>IFERROR(R205/'Ar-Pa'!R205,0)</f>
        <v>6.7795749999999995</v>
      </c>
      <c r="AQ205" s="21">
        <f>IFERROR(S205/'Ar-Pa'!S205,0)</f>
        <v>6.7796000000000003</v>
      </c>
      <c r="AR205" s="21">
        <f>IFERROR(T205/'Ar-Pa'!T205,0)</f>
        <v>6.7735750000000001</v>
      </c>
      <c r="AS205" s="21">
        <f>IFERROR(U205/'Ar-Pa'!U205,0)</f>
        <v>6.7622999999999998</v>
      </c>
      <c r="AT205" s="21">
        <f>IFERROR(V205/'Ar-Pa'!V205,0)</f>
        <v>6.7371625000000002</v>
      </c>
      <c r="AU205" s="21">
        <f>IFERROR(W205/'Ar-Pa'!W205,0)</f>
        <v>6.7494375</v>
      </c>
      <c r="AV205" s="21">
        <f>IFERROR(X205/'Ar-Pa'!X205,0)</f>
        <v>6.7627375000000001</v>
      </c>
      <c r="AW205" s="21">
        <f>IFERROR(Y205/'Ar-Pa'!Y205,0)</f>
        <v>6.7699375000000002</v>
      </c>
      <c r="AX205" s="21">
        <f t="shared" si="3"/>
        <v>163.05491250000003</v>
      </c>
    </row>
    <row r="206" spans="1:50">
      <c r="A206" s="15">
        <v>45131</v>
      </c>
      <c r="B206" s="436">
        <v>54.188600000000001</v>
      </c>
      <c r="C206" s="436">
        <v>54.210500000000003</v>
      </c>
      <c r="D206" s="436">
        <v>53.994800000000005</v>
      </c>
      <c r="E206" s="436">
        <v>54.1723</v>
      </c>
      <c r="F206" s="436">
        <v>54.245599999999996</v>
      </c>
      <c r="G206" s="436">
        <v>54.254300000000001</v>
      </c>
      <c r="H206" s="436">
        <v>54.106000000000002</v>
      </c>
      <c r="I206" s="436">
        <v>54.283999999999999</v>
      </c>
      <c r="J206" s="436">
        <v>54.161900000000003</v>
      </c>
      <c r="K206" s="436">
        <v>54.143599999999999</v>
      </c>
      <c r="L206" s="436">
        <v>53.359699999999997</v>
      </c>
      <c r="M206" s="436">
        <v>52.018900000000002</v>
      </c>
      <c r="N206" s="436">
        <v>52.096800000000002</v>
      </c>
      <c r="O206" s="436">
        <v>52.107300000000002</v>
      </c>
      <c r="P206" s="436">
        <v>52.629899999999999</v>
      </c>
      <c r="Q206" s="436">
        <v>53.6188</v>
      </c>
      <c r="R206" s="436">
        <v>53.476500000000001</v>
      </c>
      <c r="S206" s="436">
        <v>53.523400000000002</v>
      </c>
      <c r="T206" s="436">
        <v>53.6691</v>
      </c>
      <c r="U206" s="436">
        <v>53.223300000000002</v>
      </c>
      <c r="V206" s="436">
        <v>53.682499999999997</v>
      </c>
      <c r="W206" s="436">
        <v>53.898699999999998</v>
      </c>
      <c r="X206" s="436">
        <v>53.679199999999994</v>
      </c>
      <c r="Y206" s="436">
        <v>53.726800000000004</v>
      </c>
      <c r="Z206" s="21">
        <f>IFERROR(B206/'Ar-Pa'!B206,0)</f>
        <v>6.7735750000000001</v>
      </c>
      <c r="AA206" s="21">
        <f>IFERROR(C206/'Ar-Pa'!C206,0)</f>
        <v>6.7763125000000004</v>
      </c>
      <c r="AB206" s="21">
        <f>IFERROR(D206/'Ar-Pa'!D206,0)</f>
        <v>6.7493500000000006</v>
      </c>
      <c r="AC206" s="21">
        <f>IFERROR(E206/'Ar-Pa'!E206,0)</f>
        <v>6.7715375</v>
      </c>
      <c r="AD206" s="21">
        <f>IFERROR(F206/'Ar-Pa'!F206,0)</f>
        <v>6.7806999999999995</v>
      </c>
      <c r="AE206" s="21">
        <f>IFERROR(G206/'Ar-Pa'!G206,0)</f>
        <v>6.7817875000000001</v>
      </c>
      <c r="AF206" s="21">
        <f>IFERROR(H206/'Ar-Pa'!H206,0)</f>
        <v>6.7632500000000002</v>
      </c>
      <c r="AG206" s="21">
        <f>IFERROR(I206/'Ar-Pa'!I206,0)</f>
        <v>6.7854999999999999</v>
      </c>
      <c r="AH206" s="21">
        <f>IFERROR(J206/'Ar-Pa'!J206,0)</f>
        <v>6.7702375000000004</v>
      </c>
      <c r="AI206" s="21">
        <f>IFERROR(K206/'Ar-Pa'!K206,0)</f>
        <v>6.7679499999999999</v>
      </c>
      <c r="AJ206" s="21">
        <f>IFERROR(L206/'Ar-Pa'!L206,0)</f>
        <v>6.6699624999999996</v>
      </c>
      <c r="AK206" s="21">
        <f>IFERROR(M206/'Ar-Pa'!M206,0)</f>
        <v>6.5023625000000003</v>
      </c>
      <c r="AL206" s="21">
        <f>IFERROR(N206/'Ar-Pa'!N206,0)</f>
        <v>6.5121000000000002</v>
      </c>
      <c r="AM206" s="21">
        <f>IFERROR(O206/'Ar-Pa'!O206,0)</f>
        <v>6.5134125000000003</v>
      </c>
      <c r="AN206" s="21">
        <f>IFERROR(P206/'Ar-Pa'!P206,0)</f>
        <v>6.5787374999999999</v>
      </c>
      <c r="AO206" s="21">
        <f>IFERROR(Q206/'Ar-Pa'!Q206,0)</f>
        <v>6.70235</v>
      </c>
      <c r="AP206" s="21">
        <f>IFERROR(R206/'Ar-Pa'!R206,0)</f>
        <v>6.6845625000000002</v>
      </c>
      <c r="AQ206" s="21">
        <f>IFERROR(S206/'Ar-Pa'!S206,0)</f>
        <v>6.6904250000000003</v>
      </c>
      <c r="AR206" s="21">
        <f>IFERROR(T206/'Ar-Pa'!T206,0)</f>
        <v>6.7086375</v>
      </c>
      <c r="AS206" s="21">
        <f>IFERROR(U206/'Ar-Pa'!U206,0)</f>
        <v>6.6529125000000002</v>
      </c>
      <c r="AT206" s="21">
        <f>IFERROR(V206/'Ar-Pa'!V206,0)</f>
        <v>6.7103124999999997</v>
      </c>
      <c r="AU206" s="21">
        <f>IFERROR(W206/'Ar-Pa'!W206,0)</f>
        <v>6.7373374999999998</v>
      </c>
      <c r="AV206" s="21">
        <f>IFERROR(X206/'Ar-Pa'!X206,0)</f>
        <v>6.7098999999999993</v>
      </c>
      <c r="AW206" s="21">
        <f>IFERROR(Y206/'Ar-Pa'!Y206,0)</f>
        <v>6.7158500000000005</v>
      </c>
      <c r="AX206" s="21">
        <f t="shared" si="3"/>
        <v>160.80906249999998</v>
      </c>
    </row>
    <row r="207" spans="1:50">
      <c r="A207" s="15">
        <v>45132</v>
      </c>
      <c r="B207" s="436">
        <v>53.994900000000001</v>
      </c>
      <c r="C207" s="436">
        <v>53.833400000000005</v>
      </c>
      <c r="D207" s="436">
        <v>54.049399999999999</v>
      </c>
      <c r="E207" s="436">
        <v>53.978400000000001</v>
      </c>
      <c r="F207" s="436">
        <v>54.040599999999998</v>
      </c>
      <c r="G207" s="436">
        <v>53.9358</v>
      </c>
      <c r="H207" s="436">
        <v>53.933699999999995</v>
      </c>
      <c r="I207" s="436">
        <v>53.851099999999995</v>
      </c>
      <c r="J207" s="436">
        <v>53.697099999999999</v>
      </c>
      <c r="K207" s="436">
        <v>53.736699999999999</v>
      </c>
      <c r="L207" s="436">
        <v>52.468300000000006</v>
      </c>
      <c r="M207" s="436">
        <v>51.9223</v>
      </c>
      <c r="N207" s="436">
        <v>52.4011</v>
      </c>
      <c r="O207" s="436">
        <v>52.372900000000001</v>
      </c>
      <c r="P207" s="436">
        <v>52.368900000000004</v>
      </c>
      <c r="Q207" s="436">
        <v>52.406400000000005</v>
      </c>
      <c r="R207" s="436">
        <v>52.290300000000002</v>
      </c>
      <c r="S207" s="436">
        <v>52.3005</v>
      </c>
      <c r="T207" s="436">
        <v>52.412599999999998</v>
      </c>
      <c r="U207" s="436">
        <v>53.563499999999998</v>
      </c>
      <c r="V207" s="436">
        <v>53.272400000000005</v>
      </c>
      <c r="W207" s="436">
        <v>54.023099999999999</v>
      </c>
      <c r="X207" s="436">
        <v>54.095999999999997</v>
      </c>
      <c r="Y207" s="436">
        <v>53.626800000000003</v>
      </c>
      <c r="Z207" s="21">
        <f>IFERROR(B207/'Ar-Pa'!B207,0)</f>
        <v>6.7493625000000002</v>
      </c>
      <c r="AA207" s="21">
        <f>IFERROR(C207/'Ar-Pa'!C207,0)</f>
        <v>6.7291750000000006</v>
      </c>
      <c r="AB207" s="21">
        <f>IFERROR(D207/'Ar-Pa'!D207,0)</f>
        <v>6.7561749999999998</v>
      </c>
      <c r="AC207" s="21">
        <f>IFERROR(E207/'Ar-Pa'!E207,0)</f>
        <v>6.7473000000000001</v>
      </c>
      <c r="AD207" s="21">
        <f>IFERROR(F207/'Ar-Pa'!F207,0)</f>
        <v>6.7550749999999997</v>
      </c>
      <c r="AE207" s="21">
        <f>IFERROR(G207/'Ar-Pa'!G207,0)</f>
        <v>6.7419750000000001</v>
      </c>
      <c r="AF207" s="21">
        <f>IFERROR(H207/'Ar-Pa'!H207,0)</f>
        <v>6.7417124999999993</v>
      </c>
      <c r="AG207" s="21">
        <f>IFERROR(I207/'Ar-Pa'!I207,0)</f>
        <v>6.7313874999999994</v>
      </c>
      <c r="AH207" s="21">
        <f>IFERROR(J207/'Ar-Pa'!J207,0)</f>
        <v>6.7121374999999999</v>
      </c>
      <c r="AI207" s="21">
        <f>IFERROR(K207/'Ar-Pa'!K207,0)</f>
        <v>6.7170874999999999</v>
      </c>
      <c r="AJ207" s="21">
        <f>IFERROR(L207/'Ar-Pa'!L207,0)</f>
        <v>6.5585375000000008</v>
      </c>
      <c r="AK207" s="21">
        <f>IFERROR(M207/'Ar-Pa'!M207,0)</f>
        <v>6.4902875</v>
      </c>
      <c r="AL207" s="21">
        <f>IFERROR(N207/'Ar-Pa'!N207,0)</f>
        <v>6.5501374999999999</v>
      </c>
      <c r="AM207" s="21">
        <f>IFERROR(O207/'Ar-Pa'!O207,0)</f>
        <v>6.5466125000000002</v>
      </c>
      <c r="AN207" s="21">
        <f>IFERROR(P207/'Ar-Pa'!P207,0)</f>
        <v>6.5461125000000004</v>
      </c>
      <c r="AO207" s="21">
        <f>IFERROR(Q207/'Ar-Pa'!Q207,0)</f>
        <v>6.5508000000000006</v>
      </c>
      <c r="AP207" s="21">
        <f>IFERROR(R207/'Ar-Pa'!R207,0)</f>
        <v>6.5362875000000003</v>
      </c>
      <c r="AQ207" s="21">
        <f>IFERROR(S207/'Ar-Pa'!S207,0)</f>
        <v>6.5375624999999999</v>
      </c>
      <c r="AR207" s="21">
        <f>IFERROR(T207/'Ar-Pa'!T207,0)</f>
        <v>6.5515749999999997</v>
      </c>
      <c r="AS207" s="21">
        <f>IFERROR(U207/'Ar-Pa'!U207,0)</f>
        <v>6.6954374999999997</v>
      </c>
      <c r="AT207" s="21">
        <f>IFERROR(V207/'Ar-Pa'!V207,0)</f>
        <v>6.6590500000000006</v>
      </c>
      <c r="AU207" s="21">
        <f>IFERROR(W207/'Ar-Pa'!W207,0)</f>
        <v>6.7528874999999999</v>
      </c>
      <c r="AV207" s="21">
        <f>IFERROR(X207/'Ar-Pa'!X207,0)</f>
        <v>6.7619999999999996</v>
      </c>
      <c r="AW207" s="21">
        <f>IFERROR(Y207/'Ar-Pa'!Y207,0)</f>
        <v>6.7033500000000004</v>
      </c>
      <c r="AX207" s="21">
        <f t="shared" si="3"/>
        <v>159.822025</v>
      </c>
    </row>
    <row r="208" spans="1:50">
      <c r="A208" s="15">
        <v>45133</v>
      </c>
      <c r="B208" s="436">
        <v>46.035899999999998</v>
      </c>
      <c r="C208" s="436">
        <v>44.972300000000004</v>
      </c>
      <c r="D208" s="436">
        <v>45.065300000000001</v>
      </c>
      <c r="E208" s="436">
        <v>44.956800000000001</v>
      </c>
      <c r="F208" s="436">
        <v>45.215900000000005</v>
      </c>
      <c r="G208" s="436">
        <v>45.014800000000001</v>
      </c>
      <c r="H208" s="436">
        <v>45.344699999999996</v>
      </c>
      <c r="I208" s="436">
        <v>45.380199999999995</v>
      </c>
      <c r="J208" s="436">
        <v>45.259</v>
      </c>
      <c r="K208" s="436">
        <v>45.325699999999998</v>
      </c>
      <c r="L208" s="436">
        <v>44.1663</v>
      </c>
      <c r="M208" s="436">
        <v>44.317300000000003</v>
      </c>
      <c r="N208" s="436">
        <v>44.753900000000002</v>
      </c>
      <c r="O208" s="436">
        <v>44.7517</v>
      </c>
      <c r="P208" s="436">
        <v>44.7575</v>
      </c>
      <c r="Q208" s="436">
        <v>44.847300000000004</v>
      </c>
      <c r="R208" s="436">
        <v>44.710599999999999</v>
      </c>
      <c r="S208" s="436">
        <v>45.153800000000004</v>
      </c>
      <c r="T208" s="436">
        <v>44.589599999999997</v>
      </c>
      <c r="U208" s="436">
        <v>44.462600000000002</v>
      </c>
      <c r="V208" s="436">
        <v>44.620800000000003</v>
      </c>
      <c r="W208" s="436">
        <v>44.641100000000002</v>
      </c>
      <c r="X208" s="436">
        <v>44.653800000000004</v>
      </c>
      <c r="Y208" s="436">
        <v>45.405699999999996</v>
      </c>
      <c r="Z208" s="21">
        <f>IFERROR(B208/'Ar-Pa'!B208,0)</f>
        <v>6.5765571428571423</v>
      </c>
      <c r="AA208" s="21">
        <f>IFERROR(C208/'Ar-Pa'!C208,0)</f>
        <v>6.4246142857142861</v>
      </c>
      <c r="AB208" s="21">
        <f>IFERROR(D208/'Ar-Pa'!D208,0)</f>
        <v>6.4379</v>
      </c>
      <c r="AC208" s="21">
        <f>IFERROR(E208/'Ar-Pa'!E208,0)</f>
        <v>6.4224000000000006</v>
      </c>
      <c r="AD208" s="21">
        <f>IFERROR(F208/'Ar-Pa'!F208,0)</f>
        <v>6.4594142857142867</v>
      </c>
      <c r="AE208" s="21">
        <f>IFERROR(G208/'Ar-Pa'!G208,0)</f>
        <v>6.4306857142857146</v>
      </c>
      <c r="AF208" s="21">
        <f>IFERROR(H208/'Ar-Pa'!H208,0)</f>
        <v>6.4778142857142855</v>
      </c>
      <c r="AG208" s="21">
        <f>IFERROR(I208/'Ar-Pa'!I208,0)</f>
        <v>6.4828857142857137</v>
      </c>
      <c r="AH208" s="21">
        <f>IFERROR(J208/'Ar-Pa'!J208,0)</f>
        <v>6.4655714285714287</v>
      </c>
      <c r="AI208" s="21">
        <f>IFERROR(K208/'Ar-Pa'!K208,0)</f>
        <v>6.4750999999999994</v>
      </c>
      <c r="AJ208" s="21">
        <f>IFERROR(L208/'Ar-Pa'!L208,0)</f>
        <v>6.3094714285714284</v>
      </c>
      <c r="AK208" s="21">
        <f>IFERROR(M208/'Ar-Pa'!M208,0)</f>
        <v>6.3310428571428572</v>
      </c>
      <c r="AL208" s="21">
        <f>IFERROR(N208/'Ar-Pa'!N208,0)</f>
        <v>6.3934142857142859</v>
      </c>
      <c r="AM208" s="21">
        <f>IFERROR(O208/'Ar-Pa'!O208,0)</f>
        <v>6.3930999999999996</v>
      </c>
      <c r="AN208" s="21">
        <f>IFERROR(P208/'Ar-Pa'!P208,0)</f>
        <v>6.3939285714285718</v>
      </c>
      <c r="AO208" s="21">
        <f>IFERROR(Q208/'Ar-Pa'!Q208,0)</f>
        <v>6.4067571428571437</v>
      </c>
      <c r="AP208" s="21">
        <f>IFERROR(R208/'Ar-Pa'!R208,0)</f>
        <v>6.3872285714285715</v>
      </c>
      <c r="AQ208" s="21">
        <f>IFERROR(S208/'Ar-Pa'!S208,0)</f>
        <v>6.4505428571428576</v>
      </c>
      <c r="AR208" s="21">
        <f>IFERROR(T208/'Ar-Pa'!T208,0)</f>
        <v>6.3699428571428571</v>
      </c>
      <c r="AS208" s="21">
        <f>IFERROR(U208/'Ar-Pa'!U208,0)</f>
        <v>6.3517999999999999</v>
      </c>
      <c r="AT208" s="21">
        <f>IFERROR(V208/'Ar-Pa'!V208,0)</f>
        <v>6.3744000000000005</v>
      </c>
      <c r="AU208" s="21">
        <f>IFERROR(W208/'Ar-Pa'!W208,0)</f>
        <v>6.3773</v>
      </c>
      <c r="AV208" s="21">
        <f>IFERROR(X208/'Ar-Pa'!X208,0)</f>
        <v>5.5817250000000005</v>
      </c>
      <c r="AW208" s="21">
        <f>IFERROR(Y208/'Ar-Pa'!Y208,0)</f>
        <v>6.486528571428571</v>
      </c>
      <c r="AX208" s="21">
        <f t="shared" si="3"/>
        <v>153.26012500000004</v>
      </c>
    </row>
    <row r="209" spans="1:50">
      <c r="A209" s="15">
        <v>45134</v>
      </c>
      <c r="B209" s="436">
        <v>51.783999999999999</v>
      </c>
      <c r="C209" s="436">
        <v>54.014000000000003</v>
      </c>
      <c r="D209" s="436">
        <v>53.7532</v>
      </c>
      <c r="E209" s="436">
        <v>53.922400000000003</v>
      </c>
      <c r="F209" s="436">
        <v>54.313900000000004</v>
      </c>
      <c r="G209" s="436">
        <v>54.024099999999997</v>
      </c>
      <c r="H209" s="436">
        <v>54.377800000000001</v>
      </c>
      <c r="I209" s="436">
        <v>54.453300000000006</v>
      </c>
      <c r="J209" s="436">
        <v>54.496900000000004</v>
      </c>
      <c r="K209" s="436">
        <v>54.5505</v>
      </c>
      <c r="L209" s="436">
        <v>53.974299999999999</v>
      </c>
      <c r="M209" s="436">
        <v>54.061199999999999</v>
      </c>
      <c r="N209" s="436">
        <v>54.1282</v>
      </c>
      <c r="O209" s="436">
        <v>54.131099999999996</v>
      </c>
      <c r="P209" s="436">
        <v>54.130600000000001</v>
      </c>
      <c r="Q209" s="436">
        <v>54.099699999999999</v>
      </c>
      <c r="R209" s="436">
        <v>54.043599999999998</v>
      </c>
      <c r="S209" s="436">
        <v>53.985300000000002</v>
      </c>
      <c r="T209" s="436">
        <v>53.825800000000001</v>
      </c>
      <c r="U209" s="436">
        <v>54.062800000000003</v>
      </c>
      <c r="V209" s="436">
        <v>54.057600000000001</v>
      </c>
      <c r="W209" s="436">
        <v>53.994599999999998</v>
      </c>
      <c r="X209" s="436">
        <v>54.046900000000001</v>
      </c>
      <c r="Y209" s="436">
        <v>53.918500000000002</v>
      </c>
      <c r="Z209" s="21">
        <f>IFERROR(B209/'Ar-Pa'!B209,0)</f>
        <v>7.3977142857142857</v>
      </c>
      <c r="AA209" s="21">
        <f>IFERROR(C209/'Ar-Pa'!C209,0)</f>
        <v>6.7517500000000004</v>
      </c>
      <c r="AB209" s="21">
        <f>IFERROR(D209/'Ar-Pa'!D209,0)</f>
        <v>7.6790285714285718</v>
      </c>
      <c r="AC209" s="21">
        <f>IFERROR(E209/'Ar-Pa'!E209,0)</f>
        <v>6.7403000000000004</v>
      </c>
      <c r="AD209" s="21">
        <f>IFERROR(F209/'Ar-Pa'!F209,0)</f>
        <v>6.7892375000000005</v>
      </c>
      <c r="AE209" s="21">
        <f>IFERROR(G209/'Ar-Pa'!G209,0)</f>
        <v>6.7530124999999996</v>
      </c>
      <c r="AF209" s="21">
        <f>IFERROR(H209/'Ar-Pa'!H209,0)</f>
        <v>6.7972250000000001</v>
      </c>
      <c r="AG209" s="21">
        <f>IFERROR(I209/'Ar-Pa'!I209,0)</f>
        <v>6.8066625000000007</v>
      </c>
      <c r="AH209" s="21">
        <f>IFERROR(J209/'Ar-Pa'!J209,0)</f>
        <v>6.8121125000000005</v>
      </c>
      <c r="AI209" s="21">
        <f>IFERROR(K209/'Ar-Pa'!K209,0)</f>
        <v>6.8188124999999999</v>
      </c>
      <c r="AJ209" s="21">
        <f>IFERROR(L209/'Ar-Pa'!L209,0)</f>
        <v>6.7467874999999999</v>
      </c>
      <c r="AK209" s="21">
        <f>IFERROR(M209/'Ar-Pa'!M209,0)</f>
        <v>6.7576499999999999</v>
      </c>
      <c r="AL209" s="21">
        <f>IFERROR(N209/'Ar-Pa'!N209,0)</f>
        <v>6.766025</v>
      </c>
      <c r="AM209" s="21">
        <f>IFERROR(O209/'Ar-Pa'!O209,0)</f>
        <v>6.7663874999999996</v>
      </c>
      <c r="AN209" s="21">
        <f>IFERROR(P209/'Ar-Pa'!P209,0)</f>
        <v>6.7663250000000001</v>
      </c>
      <c r="AO209" s="21">
        <f>IFERROR(Q209/'Ar-Pa'!Q209,0)</f>
        <v>6.7624624999999998</v>
      </c>
      <c r="AP209" s="21">
        <f>IFERROR(R209/'Ar-Pa'!R209,0)</f>
        <v>6.7554499999999997</v>
      </c>
      <c r="AQ209" s="21">
        <f>IFERROR(S209/'Ar-Pa'!S209,0)</f>
        <v>6.7481625000000003</v>
      </c>
      <c r="AR209" s="21">
        <f>IFERROR(T209/'Ar-Pa'!T209,0)</f>
        <v>6.7282250000000001</v>
      </c>
      <c r="AS209" s="21">
        <f>IFERROR(U209/'Ar-Pa'!U209,0)</f>
        <v>6.7578500000000004</v>
      </c>
      <c r="AT209" s="21">
        <f>IFERROR(V209/'Ar-Pa'!V209,0)</f>
        <v>6.7572000000000001</v>
      </c>
      <c r="AU209" s="21">
        <f>IFERROR(W209/'Ar-Pa'!W209,0)</f>
        <v>6.7493249999999998</v>
      </c>
      <c r="AV209" s="21">
        <f>IFERROR(X209/'Ar-Pa'!X209,0)</f>
        <v>6.7558625000000001</v>
      </c>
      <c r="AW209" s="21">
        <f>IFERROR(Y209/'Ar-Pa'!Y209,0)</f>
        <v>6.7398125000000002</v>
      </c>
      <c r="AX209" s="21">
        <f t="shared" si="3"/>
        <v>163.90338035714285</v>
      </c>
    </row>
    <row r="210" spans="1:50">
      <c r="A210" s="15">
        <v>45135</v>
      </c>
      <c r="B210" s="436">
        <v>53.860300000000002</v>
      </c>
      <c r="C210" s="436">
        <v>53.9131</v>
      </c>
      <c r="D210" s="436">
        <v>53.482900000000001</v>
      </c>
      <c r="E210" s="436">
        <v>53.713300000000004</v>
      </c>
      <c r="F210" s="436">
        <v>53.823399999999999</v>
      </c>
      <c r="G210" s="436">
        <v>53.6357</v>
      </c>
      <c r="H210" s="436">
        <v>53.872800000000005</v>
      </c>
      <c r="I210" s="436">
        <v>53.8078</v>
      </c>
      <c r="J210" s="436">
        <v>53.7624</v>
      </c>
      <c r="K210" s="436">
        <v>53.757599999999996</v>
      </c>
      <c r="L210" s="436">
        <v>54.140099999999997</v>
      </c>
      <c r="M210" s="436">
        <v>54.082300000000004</v>
      </c>
      <c r="N210" s="436">
        <v>54.0886</v>
      </c>
      <c r="O210" s="436">
        <v>53.651300000000006</v>
      </c>
      <c r="P210" s="436">
        <v>53.808</v>
      </c>
      <c r="Q210" s="436">
        <v>54.1036</v>
      </c>
      <c r="R210" s="436">
        <v>54.6372</v>
      </c>
      <c r="S210" s="436">
        <v>54.622300000000003</v>
      </c>
      <c r="T210" s="436">
        <v>54.577199999999998</v>
      </c>
      <c r="U210" s="436">
        <v>54.535400000000003</v>
      </c>
      <c r="V210" s="436">
        <v>54.517699999999998</v>
      </c>
      <c r="W210" s="436">
        <v>54.594900000000003</v>
      </c>
      <c r="X210" s="436">
        <v>54.318800000000003</v>
      </c>
      <c r="Y210" s="436">
        <v>54.049099999999996</v>
      </c>
      <c r="Z210" s="21">
        <f>IFERROR(B210/'Ar-Pa'!B210,0)</f>
        <v>6.7325375000000003</v>
      </c>
      <c r="AA210" s="21">
        <f>IFERROR(C210/'Ar-Pa'!C210,0)</f>
        <v>6.7391375</v>
      </c>
      <c r="AB210" s="21">
        <f>IFERROR(D210/'Ar-Pa'!D210,0)</f>
        <v>6.6853625000000001</v>
      </c>
      <c r="AC210" s="21">
        <f>IFERROR(E210/'Ar-Pa'!E210,0)</f>
        <v>6.7141625000000005</v>
      </c>
      <c r="AD210" s="21">
        <f>IFERROR(F210/'Ar-Pa'!F210,0)</f>
        <v>6.7279249999999999</v>
      </c>
      <c r="AE210" s="21">
        <f>IFERROR(G210/'Ar-Pa'!G210,0)</f>
        <v>6.7044625</v>
      </c>
      <c r="AF210" s="21">
        <f>IFERROR(H210/'Ar-Pa'!H210,0)</f>
        <v>6.7341000000000006</v>
      </c>
      <c r="AG210" s="21">
        <f>IFERROR(I210/'Ar-Pa'!I210,0)</f>
        <v>6.725975</v>
      </c>
      <c r="AH210" s="21">
        <f>IFERROR(J210/'Ar-Pa'!J210,0)</f>
        <v>6.7202999999999999</v>
      </c>
      <c r="AI210" s="21">
        <f>IFERROR(K210/'Ar-Pa'!K210,0)</f>
        <v>6.7196999999999996</v>
      </c>
      <c r="AJ210" s="21">
        <f>IFERROR(L210/'Ar-Pa'!L210,0)</f>
        <v>6.7675124999999996</v>
      </c>
      <c r="AK210" s="21">
        <f>IFERROR(M210/'Ar-Pa'!M210,0)</f>
        <v>6.7602875000000004</v>
      </c>
      <c r="AL210" s="21">
        <f>IFERROR(N210/'Ar-Pa'!N210,0)</f>
        <v>6.7610749999999999</v>
      </c>
      <c r="AM210" s="21">
        <f>IFERROR(O210/'Ar-Pa'!O210,0)</f>
        <v>6.7064125000000008</v>
      </c>
      <c r="AN210" s="21">
        <f>IFERROR(P210/'Ar-Pa'!P210,0)</f>
        <v>6.726</v>
      </c>
      <c r="AO210" s="21">
        <f>IFERROR(Q210/'Ar-Pa'!Q210,0)</f>
        <v>6.76295</v>
      </c>
      <c r="AP210" s="21">
        <f>IFERROR(R210/'Ar-Pa'!R210,0)</f>
        <v>6.82965</v>
      </c>
      <c r="AQ210" s="21">
        <f>IFERROR(S210/'Ar-Pa'!S210,0)</f>
        <v>6.8277875000000003</v>
      </c>
      <c r="AR210" s="21">
        <f>IFERROR(T210/'Ar-Pa'!T210,0)</f>
        <v>6.8221499999999997</v>
      </c>
      <c r="AS210" s="21">
        <f>IFERROR(U210/'Ar-Pa'!U210,0)</f>
        <v>6.8169250000000003</v>
      </c>
      <c r="AT210" s="21">
        <f>IFERROR(V210/'Ar-Pa'!V210,0)</f>
        <v>6.8147124999999997</v>
      </c>
      <c r="AU210" s="21">
        <f>IFERROR(W210/'Ar-Pa'!W210,0)</f>
        <v>6.8243625000000003</v>
      </c>
      <c r="AV210" s="21">
        <f>IFERROR(X210/'Ar-Pa'!X210,0)</f>
        <v>6.7898500000000004</v>
      </c>
      <c r="AW210" s="21">
        <f>IFERROR(Y210/'Ar-Pa'!Y210,0)</f>
        <v>6.7561374999999995</v>
      </c>
      <c r="AX210" s="21">
        <f t="shared" si="3"/>
        <v>162.16947500000001</v>
      </c>
    </row>
    <row r="211" spans="1:50">
      <c r="A211" s="15">
        <v>45136</v>
      </c>
      <c r="B211" s="436">
        <v>54.332699999999996</v>
      </c>
      <c r="C211" s="436">
        <v>54.202800000000003</v>
      </c>
      <c r="D211" s="436">
        <v>54.171500000000002</v>
      </c>
      <c r="E211" s="436">
        <v>54.197199999999995</v>
      </c>
      <c r="F211" s="436">
        <v>54.318599999999996</v>
      </c>
      <c r="G211" s="436">
        <v>54.204800000000006</v>
      </c>
      <c r="H211" s="436">
        <v>53.637099999999997</v>
      </c>
      <c r="I211" s="436">
        <v>53.711800000000004</v>
      </c>
      <c r="J211" s="436">
        <v>53.574100000000001</v>
      </c>
      <c r="K211" s="436">
        <v>53.650500000000001</v>
      </c>
      <c r="L211" s="436">
        <v>54.282199999999996</v>
      </c>
      <c r="M211" s="436">
        <v>54.415199999999999</v>
      </c>
      <c r="N211" s="436">
        <v>54.24</v>
      </c>
      <c r="O211" s="436">
        <v>53.0486</v>
      </c>
      <c r="P211" s="436">
        <v>54.509099999999997</v>
      </c>
      <c r="Q211" s="436">
        <v>54.254100000000001</v>
      </c>
      <c r="R211" s="436">
        <v>54.4086</v>
      </c>
      <c r="S211" s="436">
        <v>54.336599999999997</v>
      </c>
      <c r="T211" s="436">
        <v>54.4651</v>
      </c>
      <c r="U211" s="436">
        <v>54.329599999999999</v>
      </c>
      <c r="V211" s="436">
        <v>54.400800000000004</v>
      </c>
      <c r="W211" s="436">
        <v>54.111599999999996</v>
      </c>
      <c r="X211" s="436">
        <v>54.269100000000002</v>
      </c>
      <c r="Y211" s="436">
        <v>54.232900000000001</v>
      </c>
      <c r="Z211" s="21">
        <f>IFERROR(B211/'Ar-Pa'!B211,0)</f>
        <v>6.7915874999999994</v>
      </c>
      <c r="AA211" s="21">
        <f>IFERROR(C211/'Ar-Pa'!C211,0)</f>
        <v>6.7753500000000004</v>
      </c>
      <c r="AB211" s="21">
        <f>IFERROR(D211/'Ar-Pa'!D211,0)</f>
        <v>6.7714375000000002</v>
      </c>
      <c r="AC211" s="21">
        <f>IFERROR(E211/'Ar-Pa'!E211,0)</f>
        <v>6.7746499999999994</v>
      </c>
      <c r="AD211" s="21">
        <f>IFERROR(F211/'Ar-Pa'!F211,0)</f>
        <v>6.7898249999999996</v>
      </c>
      <c r="AE211" s="21">
        <f>IFERROR(G211/'Ar-Pa'!G211,0)</f>
        <v>6.7756000000000007</v>
      </c>
      <c r="AF211" s="21">
        <f>IFERROR(H211/'Ar-Pa'!H211,0)</f>
        <v>6.7046374999999996</v>
      </c>
      <c r="AG211" s="21">
        <f>IFERROR(I211/'Ar-Pa'!I211,0)</f>
        <v>6.7139750000000005</v>
      </c>
      <c r="AH211" s="21">
        <f>IFERROR(J211/'Ar-Pa'!J211,0)</f>
        <v>6.6967625000000002</v>
      </c>
      <c r="AI211" s="21">
        <f>IFERROR(K211/'Ar-Pa'!K211,0)</f>
        <v>6.7063125000000001</v>
      </c>
      <c r="AJ211" s="21">
        <f>IFERROR(L211/'Ar-Pa'!L211,0)</f>
        <v>6.7852749999999995</v>
      </c>
      <c r="AK211" s="21">
        <f>IFERROR(M211/'Ar-Pa'!M211,0)</f>
        <v>9.0692000000000004</v>
      </c>
      <c r="AL211" s="21">
        <f>IFERROR(N211/'Ar-Pa'!N211,0)</f>
        <v>9.0400000000000009</v>
      </c>
      <c r="AM211" s="21">
        <f>IFERROR(O211/'Ar-Pa'!O211,0)</f>
        <v>6.6310750000000001</v>
      </c>
      <c r="AN211" s="21">
        <f>IFERROR(P211/'Ar-Pa'!P211,0)</f>
        <v>6.8136374999999996</v>
      </c>
      <c r="AO211" s="21">
        <f>IFERROR(Q211/'Ar-Pa'!Q211,0)</f>
        <v>6.7817625000000001</v>
      </c>
      <c r="AP211" s="21">
        <f>IFERROR(R211/'Ar-Pa'!R211,0)</f>
        <v>6.801075</v>
      </c>
      <c r="AQ211" s="21">
        <f>IFERROR(S211/'Ar-Pa'!S211,0)</f>
        <v>6.7920749999999996</v>
      </c>
      <c r="AR211" s="21">
        <f>IFERROR(T211/'Ar-Pa'!T211,0)</f>
        <v>6.8081375</v>
      </c>
      <c r="AS211" s="21">
        <f>IFERROR(U211/'Ar-Pa'!U211,0)</f>
        <v>6.7911999999999999</v>
      </c>
      <c r="AT211" s="21">
        <f>IFERROR(V211/'Ar-Pa'!V211,0)</f>
        <v>6.8001000000000005</v>
      </c>
      <c r="AU211" s="21">
        <f>IFERROR(W211/'Ar-Pa'!W211,0)</f>
        <v>6.7639499999999995</v>
      </c>
      <c r="AV211" s="21">
        <f>IFERROR(X211/'Ar-Pa'!X211,0)</f>
        <v>6.7836375000000002</v>
      </c>
      <c r="AW211" s="21">
        <f>IFERROR(Y211/'Ar-Pa'!Y211,0)</f>
        <v>6.7791125000000001</v>
      </c>
      <c r="AX211" s="21">
        <f t="shared" si="3"/>
        <v>166.94037499999999</v>
      </c>
    </row>
    <row r="212" spans="1:50">
      <c r="A212" s="15">
        <v>45137</v>
      </c>
      <c r="B212" s="436">
        <v>53.770900000000005</v>
      </c>
      <c r="C212" s="436">
        <v>53.939900000000002</v>
      </c>
      <c r="D212" s="436">
        <v>54.1631</v>
      </c>
      <c r="E212" s="436">
        <v>54.1571</v>
      </c>
      <c r="F212" s="436">
        <v>54.192999999999998</v>
      </c>
      <c r="G212" s="436">
        <v>54.082500000000003</v>
      </c>
      <c r="H212" s="436">
        <v>54.1723</v>
      </c>
      <c r="I212" s="436">
        <v>54.401699999999998</v>
      </c>
      <c r="J212" s="436">
        <v>54.415500000000002</v>
      </c>
      <c r="K212" s="436">
        <v>54.344800000000006</v>
      </c>
      <c r="L212" s="436">
        <v>54.538199999999996</v>
      </c>
      <c r="M212" s="436">
        <v>54.445399999999999</v>
      </c>
      <c r="N212" s="436">
        <v>53.677999999999997</v>
      </c>
      <c r="O212" s="436">
        <v>53.390599999999999</v>
      </c>
      <c r="P212" s="436">
        <v>53.426600000000001</v>
      </c>
      <c r="Q212" s="436">
        <v>52.783199999999994</v>
      </c>
      <c r="R212" s="436">
        <v>54.304699999999997</v>
      </c>
      <c r="S212" s="436">
        <v>54.3643</v>
      </c>
      <c r="T212" s="436">
        <v>54.7547</v>
      </c>
      <c r="U212" s="436">
        <v>54.386600000000001</v>
      </c>
      <c r="V212" s="436">
        <v>54.3324</v>
      </c>
      <c r="W212" s="436">
        <v>54.385400000000004</v>
      </c>
      <c r="X212" s="436">
        <v>54.353099999999998</v>
      </c>
      <c r="Y212" s="436">
        <v>54.266300000000001</v>
      </c>
      <c r="Z212" s="21">
        <f>IFERROR(B212/'Ar-Pa'!B212,0)</f>
        <v>6.7213625000000006</v>
      </c>
      <c r="AA212" s="21">
        <f>IFERROR(C212/'Ar-Pa'!C212,0)</f>
        <v>6.7424875000000002</v>
      </c>
      <c r="AB212" s="21">
        <f>IFERROR(D212/'Ar-Pa'!D212,0)</f>
        <v>6.7703875</v>
      </c>
      <c r="AC212" s="21">
        <f>IFERROR(E212/'Ar-Pa'!E212,0)</f>
        <v>6.7696375</v>
      </c>
      <c r="AD212" s="21">
        <f>IFERROR(F212/'Ar-Pa'!F212,0)</f>
        <v>6.7741249999999997</v>
      </c>
      <c r="AE212" s="21">
        <f>IFERROR(G212/'Ar-Pa'!G212,0)</f>
        <v>6.7603125000000004</v>
      </c>
      <c r="AF212" s="21">
        <f>IFERROR(H212/'Ar-Pa'!H212,0)</f>
        <v>6.7715375</v>
      </c>
      <c r="AG212" s="21">
        <f>IFERROR(I212/'Ar-Pa'!I212,0)</f>
        <v>6.8002124999999998</v>
      </c>
      <c r="AH212" s="21">
        <f>IFERROR(J212/'Ar-Pa'!J212,0)</f>
        <v>6.8019375000000002</v>
      </c>
      <c r="AI212" s="21">
        <f>IFERROR(K212/'Ar-Pa'!K212,0)</f>
        <v>6.7931000000000008</v>
      </c>
      <c r="AJ212" s="21">
        <f>IFERROR(L212/'Ar-Pa'!L212,0)</f>
        <v>6.8172749999999995</v>
      </c>
      <c r="AK212" s="21">
        <f>IFERROR(M212/'Ar-Pa'!M212,0)</f>
        <v>6.8056749999999999</v>
      </c>
      <c r="AL212" s="21">
        <f>IFERROR(N212/'Ar-Pa'!N212,0)</f>
        <v>6.7097499999999997</v>
      </c>
      <c r="AM212" s="21">
        <f>IFERROR(O212/'Ar-Pa'!O212,0)</f>
        <v>6.6738249999999999</v>
      </c>
      <c r="AN212" s="21">
        <f>IFERROR(P212/'Ar-Pa'!P212,0)</f>
        <v>6.6783250000000001</v>
      </c>
      <c r="AO212" s="21">
        <f>IFERROR(Q212/'Ar-Pa'!Q212,0)</f>
        <v>6.5978999999999992</v>
      </c>
      <c r="AP212" s="21">
        <f>IFERROR(R212/'Ar-Pa'!R212,0)</f>
        <v>6.7880874999999996</v>
      </c>
      <c r="AQ212" s="21">
        <f>IFERROR(S212/'Ar-Pa'!S212,0)</f>
        <v>6.7955375</v>
      </c>
      <c r="AR212" s="21">
        <f>IFERROR(T212/'Ar-Pa'!T212,0)</f>
        <v>6.8443375</v>
      </c>
      <c r="AS212" s="21">
        <f>IFERROR(U212/'Ar-Pa'!U212,0)</f>
        <v>6.7983250000000002</v>
      </c>
      <c r="AT212" s="21">
        <f>IFERROR(V212/'Ar-Pa'!V212,0)</f>
        <v>6.79155</v>
      </c>
      <c r="AU212" s="21">
        <f>IFERROR(W212/'Ar-Pa'!W212,0)</f>
        <v>6.7981750000000005</v>
      </c>
      <c r="AV212" s="21">
        <f>IFERROR(X212/'Ar-Pa'!X212,0)</f>
        <v>6.7941374999999997</v>
      </c>
      <c r="AW212" s="21">
        <f>IFERROR(Y212/'Ar-Pa'!Y212,0)</f>
        <v>6.7832875000000001</v>
      </c>
      <c r="AX212" s="21">
        <f t="shared" si="3"/>
        <v>162.38128749999998</v>
      </c>
    </row>
    <row r="213" spans="1:50">
      <c r="A213" s="15">
        <v>45138</v>
      </c>
      <c r="B213" s="436">
        <v>44.605199999999996</v>
      </c>
      <c r="C213" s="436">
        <v>44.341699999999996</v>
      </c>
      <c r="D213" s="436">
        <v>44.222300000000004</v>
      </c>
      <c r="E213" s="436">
        <v>44.212900000000005</v>
      </c>
      <c r="F213" s="436">
        <v>44.335699999999996</v>
      </c>
      <c r="G213" s="436">
        <v>44.399300000000004</v>
      </c>
      <c r="H213" s="436">
        <v>53.7241</v>
      </c>
      <c r="I213" s="436">
        <v>54.648000000000003</v>
      </c>
      <c r="J213" s="436">
        <v>55.065899999999999</v>
      </c>
      <c r="K213" s="436">
        <v>54.734999999999999</v>
      </c>
      <c r="L213" s="436">
        <v>54.8262</v>
      </c>
      <c r="M213" s="436">
        <v>54.613500000000002</v>
      </c>
      <c r="N213" s="436">
        <v>54.724699999999999</v>
      </c>
      <c r="O213" s="436">
        <v>54.453499999999998</v>
      </c>
      <c r="P213" s="436">
        <v>54.453400000000002</v>
      </c>
      <c r="Q213" s="436">
        <v>53.960300000000004</v>
      </c>
      <c r="R213" s="436">
        <v>54.889800000000001</v>
      </c>
      <c r="S213" s="436">
        <v>54.923699999999997</v>
      </c>
      <c r="T213" s="436">
        <v>55.219099999999997</v>
      </c>
      <c r="U213" s="436">
        <v>54.280999999999999</v>
      </c>
      <c r="V213" s="436">
        <v>54.2211</v>
      </c>
      <c r="W213" s="436">
        <v>54.212600000000002</v>
      </c>
      <c r="X213" s="436">
        <v>54.236199999999997</v>
      </c>
      <c r="Y213" s="436">
        <v>54.584099999999999</v>
      </c>
      <c r="Z213" s="21">
        <f>IFERROR(B213/'Ar-Pa'!B213,0)</f>
        <v>6.3721714285714279</v>
      </c>
      <c r="AA213" s="21">
        <f>IFERROR(C213/'Ar-Pa'!C213,0)</f>
        <v>6.3345285714285708</v>
      </c>
      <c r="AB213" s="21">
        <f>IFERROR(D213/'Ar-Pa'!D213,0)</f>
        <v>6.3174714285714293</v>
      </c>
      <c r="AC213" s="21">
        <f>IFERROR(E213/'Ar-Pa'!E213,0)</f>
        <v>6.316128571428572</v>
      </c>
      <c r="AD213" s="21">
        <f>IFERROR(F213/'Ar-Pa'!F213,0)</f>
        <v>6.333671428571428</v>
      </c>
      <c r="AE213" s="21">
        <f>IFERROR(G213/'Ar-Pa'!G213,0)</f>
        <v>6.3427571428571436</v>
      </c>
      <c r="AF213" s="21">
        <f>IFERROR(H213/'Ar-Pa'!H213,0)</f>
        <v>6.7155125</v>
      </c>
      <c r="AG213" s="21">
        <f>IFERROR(I213/'Ar-Pa'!I213,0)</f>
        <v>6.8310000000000004</v>
      </c>
      <c r="AH213" s="21">
        <f>IFERROR(J213/'Ar-Pa'!J213,0)</f>
        <v>6.8832374999999999</v>
      </c>
      <c r="AI213" s="21">
        <f>IFERROR(K213/'Ar-Pa'!K213,0)</f>
        <v>6.8418749999999999</v>
      </c>
      <c r="AJ213" s="21">
        <f>IFERROR(L213/'Ar-Pa'!L213,0)</f>
        <v>6.853275</v>
      </c>
      <c r="AK213" s="21">
        <f>IFERROR(M213/'Ar-Pa'!M213,0)</f>
        <v>6.8266875000000002</v>
      </c>
      <c r="AL213" s="21">
        <f>IFERROR(N213/'Ar-Pa'!N213,0)</f>
        <v>6.8405874999999998</v>
      </c>
      <c r="AM213" s="21">
        <f>IFERROR(O213/'Ar-Pa'!O213,0)</f>
        <v>6.8066874999999998</v>
      </c>
      <c r="AN213" s="21">
        <f>IFERROR(P213/'Ar-Pa'!P213,0)</f>
        <v>6.8066750000000003</v>
      </c>
      <c r="AO213" s="21">
        <f>IFERROR(Q213/'Ar-Pa'!Q213,0)</f>
        <v>6.7450375000000005</v>
      </c>
      <c r="AP213" s="21">
        <f>IFERROR(R213/'Ar-Pa'!R213,0)</f>
        <v>6.8612250000000001</v>
      </c>
      <c r="AQ213" s="21">
        <f>IFERROR(S213/'Ar-Pa'!S213,0)</f>
        <v>6.8654624999999996</v>
      </c>
      <c r="AR213" s="21">
        <f>IFERROR(T213/'Ar-Pa'!T213,0)</f>
        <v>6.9023874999999997</v>
      </c>
      <c r="AS213" s="21">
        <f>IFERROR(U213/'Ar-Pa'!U213,0)</f>
        <v>6.7851249999999999</v>
      </c>
      <c r="AT213" s="21">
        <f>IFERROR(V213/'Ar-Pa'!V213,0)</f>
        <v>6.7776375</v>
      </c>
      <c r="AU213" s="21">
        <f>IFERROR(W213/'Ar-Pa'!W213,0)</f>
        <v>6.7765750000000002</v>
      </c>
      <c r="AV213" s="21">
        <f>IFERROR(X213/'Ar-Pa'!X213,0)</f>
        <v>6.7795249999999996</v>
      </c>
      <c r="AW213" s="21">
        <f>IFERROR(Y213/'Ar-Pa'!Y213,0)</f>
        <v>6.8230124999999999</v>
      </c>
      <c r="AX213" s="21">
        <f t="shared" si="3"/>
        <v>160.73825357142857</v>
      </c>
    </row>
    <row r="214" spans="1:50">
      <c r="A214" s="15">
        <v>45139</v>
      </c>
      <c r="B214" s="436">
        <v>54.735699999999994</v>
      </c>
      <c r="C214" s="436">
        <v>54.653800000000004</v>
      </c>
      <c r="D214" s="436">
        <v>54.657800000000002</v>
      </c>
      <c r="E214" s="436">
        <v>54.628900000000002</v>
      </c>
      <c r="F214" s="436">
        <v>55.287300000000002</v>
      </c>
      <c r="G214" s="436">
        <v>55.1113</v>
      </c>
      <c r="H214" s="436">
        <v>55.119399999999999</v>
      </c>
      <c r="I214" s="436">
        <v>55.3857</v>
      </c>
      <c r="J214" s="436">
        <v>55.412099999999995</v>
      </c>
      <c r="K214" s="436">
        <v>54.165999999999997</v>
      </c>
      <c r="L214" s="436">
        <v>54.1768</v>
      </c>
      <c r="M214" s="436">
        <v>54.087699999999998</v>
      </c>
      <c r="N214" s="436">
        <v>54.507400000000004</v>
      </c>
      <c r="O214" s="436">
        <v>54.449599999999997</v>
      </c>
      <c r="P214" s="436">
        <v>53.986499999999999</v>
      </c>
      <c r="Q214" s="436">
        <v>53.671199999999999</v>
      </c>
      <c r="R214" s="436">
        <v>53.719199999999994</v>
      </c>
      <c r="S214" s="436">
        <v>52.975699999999996</v>
      </c>
      <c r="T214" s="436">
        <v>54.459600000000002</v>
      </c>
      <c r="U214" s="436">
        <v>54.4041</v>
      </c>
      <c r="V214" s="436">
        <v>54.308500000000002</v>
      </c>
      <c r="W214" s="436">
        <v>66.399699999999996</v>
      </c>
      <c r="X214" s="436">
        <v>69.500199999999992</v>
      </c>
      <c r="Y214" s="436">
        <v>60.005499999999998</v>
      </c>
      <c r="Z214" s="21">
        <f>IFERROR(B214/'Ar-Pa'!B214,0)</f>
        <v>6.8419624999999993</v>
      </c>
      <c r="AA214" s="21">
        <f>IFERROR(C214/'Ar-Pa'!C214,0)</f>
        <v>6.8317250000000005</v>
      </c>
      <c r="AB214" s="21">
        <f>IFERROR(D214/'Ar-Pa'!D214,0)</f>
        <v>6.8322250000000002</v>
      </c>
      <c r="AC214" s="21">
        <f>IFERROR(E214/'Ar-Pa'!E214,0)</f>
        <v>6.8286125000000002</v>
      </c>
      <c r="AD214" s="21">
        <f>IFERROR(F214/'Ar-Pa'!F214,0)</f>
        <v>6.9109125000000002</v>
      </c>
      <c r="AE214" s="21">
        <f>IFERROR(G214/'Ar-Pa'!G214,0)</f>
        <v>6.8889125</v>
      </c>
      <c r="AF214" s="21">
        <f>IFERROR(H214/'Ar-Pa'!H214,0)</f>
        <v>6.8899249999999999</v>
      </c>
      <c r="AG214" s="21">
        <f>IFERROR(I214/'Ar-Pa'!I214,0)</f>
        <v>6.9232125</v>
      </c>
      <c r="AH214" s="21">
        <f>IFERROR(J214/'Ar-Pa'!J214,0)</f>
        <v>6.9265124999999994</v>
      </c>
      <c r="AI214" s="21">
        <f>IFERROR(K214/'Ar-Pa'!K214,0)</f>
        <v>6.7707499999999996</v>
      </c>
      <c r="AJ214" s="21">
        <f>IFERROR(L214/'Ar-Pa'!L214,0)</f>
        <v>6.7721</v>
      </c>
      <c r="AK214" s="21">
        <f>IFERROR(M214/'Ar-Pa'!M214,0)</f>
        <v>6.7609624999999998</v>
      </c>
      <c r="AL214" s="21">
        <f>IFERROR(N214/'Ar-Pa'!N214,0)</f>
        <v>6.8134250000000005</v>
      </c>
      <c r="AM214" s="21">
        <f>IFERROR(O214/'Ar-Pa'!O214,0)</f>
        <v>6.8061999999999996</v>
      </c>
      <c r="AN214" s="21">
        <f>IFERROR(P214/'Ar-Pa'!P214,0)</f>
        <v>6.7483124999999999</v>
      </c>
      <c r="AO214" s="21">
        <f>IFERROR(Q214/'Ar-Pa'!Q214,0)</f>
        <v>6.7088999999999999</v>
      </c>
      <c r="AP214" s="21">
        <f>IFERROR(R214/'Ar-Pa'!R214,0)</f>
        <v>6.7148999999999992</v>
      </c>
      <c r="AQ214" s="21">
        <f>IFERROR(S214/'Ar-Pa'!S214,0)</f>
        <v>6.6219624999999995</v>
      </c>
      <c r="AR214" s="21">
        <f>IFERROR(T214/'Ar-Pa'!T214,0)</f>
        <v>6.8074500000000002</v>
      </c>
      <c r="AS214" s="21">
        <f>IFERROR(U214/'Ar-Pa'!U214,0)</f>
        <v>6.8005125</v>
      </c>
      <c r="AT214" s="21">
        <f>IFERROR(V214/'Ar-Pa'!V214,0)</f>
        <v>6.7885625000000003</v>
      </c>
      <c r="AU214" s="21">
        <f>IFERROR(W214/'Ar-Pa'!W214,0)</f>
        <v>8.2999624999999995</v>
      </c>
      <c r="AV214" s="21">
        <f>IFERROR(X214/'Ar-Pa'!X214,0)</f>
        <v>8.6875249999999991</v>
      </c>
      <c r="AW214" s="21">
        <f>IFERROR(Y214/'Ar-Pa'!Y214,0)</f>
        <v>7.5006874999999997</v>
      </c>
      <c r="AX214" s="21">
        <f t="shared" si="3"/>
        <v>167.47621249999997</v>
      </c>
    </row>
    <row r="215" spans="1:50">
      <c r="A215" s="15">
        <v>45140</v>
      </c>
      <c r="B215" s="436">
        <v>54.179300000000005</v>
      </c>
      <c r="C215" s="436">
        <v>54.834099999999999</v>
      </c>
      <c r="D215" s="436">
        <v>54.6282</v>
      </c>
      <c r="E215" s="436">
        <v>54.513599999999997</v>
      </c>
      <c r="F215" s="436">
        <v>54.537099999999995</v>
      </c>
      <c r="G215" s="436">
        <v>54.641300000000001</v>
      </c>
      <c r="H215" s="436">
        <v>54.44</v>
      </c>
      <c r="I215" s="436">
        <v>54.794400000000003</v>
      </c>
      <c r="J215" s="436">
        <v>54.7624</v>
      </c>
      <c r="K215" s="436">
        <v>54.8264</v>
      </c>
      <c r="L215" s="436">
        <v>54.777200000000001</v>
      </c>
      <c r="M215" s="436">
        <v>54.855499999999999</v>
      </c>
      <c r="N215" s="436">
        <v>54.827599999999997</v>
      </c>
      <c r="O215" s="436">
        <v>54.898900000000005</v>
      </c>
      <c r="P215" s="436">
        <v>57.508300000000006</v>
      </c>
      <c r="Q215" s="436">
        <v>65.651200000000003</v>
      </c>
      <c r="R215" s="436">
        <v>62.061500000000002</v>
      </c>
      <c r="S215" s="436">
        <v>53.087600000000002</v>
      </c>
      <c r="T215" s="436">
        <v>53.411999999999999</v>
      </c>
      <c r="U215" s="436">
        <v>59.419400000000003</v>
      </c>
      <c r="V215" s="436">
        <v>56.840199999999996</v>
      </c>
      <c r="W215" s="436">
        <v>60.144599999999997</v>
      </c>
      <c r="X215" s="436">
        <v>53.573599999999999</v>
      </c>
      <c r="Y215" s="436">
        <v>53.770699999999998</v>
      </c>
      <c r="Z215" s="21">
        <f>IFERROR(B215/'Ar-Pa'!B215,0)</f>
        <v>6.7724125000000006</v>
      </c>
      <c r="AA215" s="21">
        <f>IFERROR(C215/'Ar-Pa'!C215,0)</f>
        <v>6.8542624999999999</v>
      </c>
      <c r="AB215" s="21">
        <f>IFERROR(D215/'Ar-Pa'!D215,0)</f>
        <v>6.828525</v>
      </c>
      <c r="AC215" s="21">
        <f>IFERROR(E215/'Ar-Pa'!E215,0)</f>
        <v>6.8141999999999996</v>
      </c>
      <c r="AD215" s="21">
        <f>IFERROR(F215/'Ar-Pa'!F215,0)</f>
        <v>6.8171374999999994</v>
      </c>
      <c r="AE215" s="21">
        <f>IFERROR(G215/'Ar-Pa'!G215,0)</f>
        <v>6.8301625000000001</v>
      </c>
      <c r="AF215" s="21">
        <f>IFERROR(H215/'Ar-Pa'!H215,0)</f>
        <v>6.8049999999999997</v>
      </c>
      <c r="AG215" s="21">
        <f>IFERROR(I215/'Ar-Pa'!I215,0)</f>
        <v>6.8493000000000004</v>
      </c>
      <c r="AH215" s="21">
        <f>IFERROR(J215/'Ar-Pa'!J215,0)</f>
        <v>6.8452999999999999</v>
      </c>
      <c r="AI215" s="21">
        <f>IFERROR(K215/'Ar-Pa'!K215,0)</f>
        <v>6.8532999999999999</v>
      </c>
      <c r="AJ215" s="21">
        <f>IFERROR(L215/'Ar-Pa'!L215,0)</f>
        <v>6.8471500000000001</v>
      </c>
      <c r="AK215" s="21">
        <f>IFERROR(M215/'Ar-Pa'!M215,0)</f>
        <v>6.8569374999999999</v>
      </c>
      <c r="AL215" s="21">
        <f>IFERROR(N215/'Ar-Pa'!N215,0)</f>
        <v>6.8534499999999996</v>
      </c>
      <c r="AM215" s="21">
        <f>IFERROR(O215/'Ar-Pa'!O215,0)</f>
        <v>6.8623625000000006</v>
      </c>
      <c r="AN215" s="21">
        <f>IFERROR(P215/'Ar-Pa'!P215,0)</f>
        <v>7.1885375000000007</v>
      </c>
      <c r="AO215" s="21">
        <f>IFERROR(Q215/'Ar-Pa'!Q215,0)</f>
        <v>8.2064000000000004</v>
      </c>
      <c r="AP215" s="21">
        <f>IFERROR(R215/'Ar-Pa'!R215,0)</f>
        <v>10.343583333333333</v>
      </c>
      <c r="AQ215" s="21">
        <f>IFERROR(S215/'Ar-Pa'!S215,0)</f>
        <v>7.5839428571428575</v>
      </c>
      <c r="AR215" s="21">
        <f>IFERROR(T215/'Ar-Pa'!T215,0)</f>
        <v>7.6302857142857139</v>
      </c>
      <c r="AS215" s="21">
        <f>IFERROR(U215/'Ar-Pa'!U215,0)</f>
        <v>8.488485714285714</v>
      </c>
      <c r="AT215" s="21">
        <f>IFERROR(V215/'Ar-Pa'!V215,0)</f>
        <v>8.1200285714285716</v>
      </c>
      <c r="AU215" s="21">
        <f>IFERROR(W215/'Ar-Pa'!W215,0)</f>
        <v>8.5920857142857141</v>
      </c>
      <c r="AV215" s="21">
        <f>IFERROR(X215/'Ar-Pa'!X215,0)</f>
        <v>7.653371428571428</v>
      </c>
      <c r="AW215" s="21">
        <f>IFERROR(Y215/'Ar-Pa'!Y215,0)</f>
        <v>7.6815285714285713</v>
      </c>
      <c r="AX215" s="21">
        <f>SUM(Z215:AW215)</f>
        <v>177.17774940476187</v>
      </c>
    </row>
    <row r="216" spans="1:50">
      <c r="A216" s="15">
        <v>45141</v>
      </c>
      <c r="B216" s="436">
        <v>54.367599999999996</v>
      </c>
      <c r="C216" s="436">
        <v>54.158699999999996</v>
      </c>
      <c r="D216" s="436">
        <v>54.0974</v>
      </c>
      <c r="E216" s="436">
        <v>54.249699999999997</v>
      </c>
      <c r="F216" s="436">
        <v>54.192699999999995</v>
      </c>
      <c r="G216" s="436">
        <v>54.203300000000006</v>
      </c>
      <c r="H216" s="436">
        <v>54.131</v>
      </c>
      <c r="I216" s="436">
        <v>54.323500000000003</v>
      </c>
      <c r="J216" s="436">
        <v>54.330199999999998</v>
      </c>
      <c r="K216" s="436">
        <v>54.256999999999998</v>
      </c>
      <c r="L216" s="436">
        <v>54.515999999999998</v>
      </c>
      <c r="M216" s="436">
        <v>55.045199999999994</v>
      </c>
      <c r="N216" s="436">
        <v>55.1616</v>
      </c>
      <c r="O216" s="436">
        <v>55.051199999999994</v>
      </c>
      <c r="P216" s="436">
        <v>62.8309</v>
      </c>
      <c r="Q216" s="436">
        <v>68.3703</v>
      </c>
      <c r="R216" s="436">
        <v>68.296999999999997</v>
      </c>
      <c r="S216" s="436">
        <v>67.107100000000003</v>
      </c>
      <c r="T216" s="436">
        <v>54.929099999999998</v>
      </c>
      <c r="U216" s="436">
        <v>65.94619999999999</v>
      </c>
      <c r="V216" s="436">
        <v>67.286699999999996</v>
      </c>
      <c r="W216" s="436">
        <v>67.126100000000008</v>
      </c>
      <c r="X216" s="436">
        <v>55.146099999999997</v>
      </c>
      <c r="Y216" s="436">
        <v>53.940400000000004</v>
      </c>
      <c r="Z216" s="21">
        <f>IFERROR(B216/'Ar-Pa'!B216,0)</f>
        <v>7.766799999999999</v>
      </c>
      <c r="AA216" s="21">
        <f>IFERROR(C216/'Ar-Pa'!C216,0)</f>
        <v>7.7369571428571424</v>
      </c>
      <c r="AB216" s="21">
        <f>IFERROR(D216/'Ar-Pa'!D216,0)</f>
        <v>7.7282000000000002</v>
      </c>
      <c r="AC216" s="21">
        <f>IFERROR(E216/'Ar-Pa'!E216,0)</f>
        <v>7.7499571428571423</v>
      </c>
      <c r="AD216" s="21">
        <f>IFERROR(F216/'Ar-Pa'!F216,0)</f>
        <v>7.7418142857142849</v>
      </c>
      <c r="AE216" s="21">
        <f>IFERROR(G216/'Ar-Pa'!G216,0)</f>
        <v>7.743328571428572</v>
      </c>
      <c r="AF216" s="21">
        <f>IFERROR(H216/'Ar-Pa'!H216,0)</f>
        <v>7.7329999999999997</v>
      </c>
      <c r="AG216" s="21">
        <f>IFERROR(I216/'Ar-Pa'!I216,0)</f>
        <v>7.7605000000000004</v>
      </c>
      <c r="AH216" s="21">
        <f>IFERROR(J216/'Ar-Pa'!J216,0)</f>
        <v>7.7614571428571422</v>
      </c>
      <c r="AI216" s="21">
        <f>IFERROR(K216/'Ar-Pa'!K216,0)</f>
        <v>7.7509999999999994</v>
      </c>
      <c r="AJ216" s="21">
        <f>IFERROR(L216/'Ar-Pa'!L216,0)</f>
        <v>7.7879999999999994</v>
      </c>
      <c r="AK216" s="21">
        <f>IFERROR(M216/'Ar-Pa'!M216,0)</f>
        <v>6.8806499999999993</v>
      </c>
      <c r="AL216" s="21">
        <f>IFERROR(N216/'Ar-Pa'!N216,0)</f>
        <v>6.8952</v>
      </c>
      <c r="AM216" s="21">
        <f>IFERROR(O216/'Ar-Pa'!O216,0)</f>
        <v>6.8813999999999993</v>
      </c>
      <c r="AN216" s="21">
        <f>IFERROR(P216/'Ar-Pa'!P216,0)</f>
        <v>7.8538625</v>
      </c>
      <c r="AO216" s="21">
        <f>IFERROR(Q216/'Ar-Pa'!Q216,0)</f>
        <v>8.5462875</v>
      </c>
      <c r="AP216" s="21">
        <f>IFERROR(R216/'Ar-Pa'!R216,0)</f>
        <v>8.5371249999999996</v>
      </c>
      <c r="AQ216" s="21">
        <f>IFERROR(S216/'Ar-Pa'!S216,0)</f>
        <v>8.3883875000000003</v>
      </c>
      <c r="AR216" s="21">
        <f>IFERROR(T216/'Ar-Pa'!T216,0)</f>
        <v>6.8661374999999998</v>
      </c>
      <c r="AS216" s="21">
        <f>IFERROR(U216/'Ar-Pa'!U216,0)</f>
        <v>8.2432749999999988</v>
      </c>
      <c r="AT216" s="21">
        <f>IFERROR(V216/'Ar-Pa'!V216,0)</f>
        <v>8.4108374999999995</v>
      </c>
      <c r="AU216" s="21">
        <f>IFERROR(W216/'Ar-Pa'!W216,0)</f>
        <v>8.390762500000001</v>
      </c>
      <c r="AV216" s="21">
        <f>IFERROR(X216/'Ar-Pa'!X216,0)</f>
        <v>6.8932624999999996</v>
      </c>
      <c r="AW216" s="21">
        <f>IFERROR(Y216/'Ar-Pa'!Y216,0)</f>
        <v>6.7425500000000005</v>
      </c>
      <c r="AX216" s="21">
        <f>SUM(Z216:AW216)</f>
        <v>184.79075178571429</v>
      </c>
    </row>
    <row r="217" spans="1:50">
      <c r="A217" s="15">
        <v>45142</v>
      </c>
      <c r="B217" s="436">
        <v>52.590300000000006</v>
      </c>
      <c r="C217" s="436">
        <v>52.952400000000004</v>
      </c>
      <c r="D217" s="436">
        <v>52.8247</v>
      </c>
      <c r="E217" s="436">
        <v>52.798300000000005</v>
      </c>
      <c r="F217" s="436">
        <v>52.8123</v>
      </c>
      <c r="G217" s="436">
        <v>52.884699999999995</v>
      </c>
      <c r="H217" s="436">
        <v>52.908699999999996</v>
      </c>
      <c r="I217" s="436">
        <v>52.922400000000003</v>
      </c>
      <c r="J217" s="436">
        <v>52.990600000000001</v>
      </c>
      <c r="K217" s="436">
        <v>53.042900000000003</v>
      </c>
      <c r="L217" s="436">
        <v>52.851399999999998</v>
      </c>
      <c r="M217" s="436">
        <v>53.082699999999996</v>
      </c>
      <c r="N217" s="436">
        <v>53.058</v>
      </c>
      <c r="O217" s="436">
        <v>53.0595</v>
      </c>
      <c r="P217" s="436">
        <v>58.388300000000001</v>
      </c>
      <c r="Q217" s="436">
        <v>68.093899999999991</v>
      </c>
      <c r="R217" s="436">
        <v>67.38669999999999</v>
      </c>
      <c r="S217" s="436">
        <v>66.840399999999988</v>
      </c>
      <c r="T217" s="436">
        <v>69.149000000000001</v>
      </c>
      <c r="U217" s="436">
        <v>54.476599999999998</v>
      </c>
      <c r="V217" s="436">
        <v>58.208300000000001</v>
      </c>
      <c r="W217" s="436">
        <v>70.261899999999997</v>
      </c>
      <c r="X217" s="436">
        <v>69.500899999999987</v>
      </c>
      <c r="Y217" s="436">
        <v>54.015900000000002</v>
      </c>
      <c r="Z217" s="21">
        <f>IFERROR(B217/'Ar-Pa'!B217,0)</f>
        <v>6.5737875000000008</v>
      </c>
      <c r="AA217" s="21">
        <f>IFERROR(C217/'Ar-Pa'!C217,0)</f>
        <v>6.6190500000000005</v>
      </c>
      <c r="AB217" s="21">
        <f>IFERROR(D217/'Ar-Pa'!D217,0)</f>
        <v>6.6030875</v>
      </c>
      <c r="AC217" s="21">
        <f>IFERROR(E217/'Ar-Pa'!E217,0)</f>
        <v>6.5997875000000006</v>
      </c>
      <c r="AD217" s="21">
        <f>IFERROR(F217/'Ar-Pa'!F217,0)</f>
        <v>6.6015375000000001</v>
      </c>
      <c r="AE217" s="21">
        <f>IFERROR(G217/'Ar-Pa'!G217,0)</f>
        <v>6.6105874999999994</v>
      </c>
      <c r="AF217" s="21">
        <f>IFERROR(H217/'Ar-Pa'!H217,0)</f>
        <v>6.6135874999999995</v>
      </c>
      <c r="AG217" s="21">
        <f>IFERROR(I217/'Ar-Pa'!I217,0)</f>
        <v>6.6153000000000004</v>
      </c>
      <c r="AH217" s="21">
        <f>IFERROR(J217/'Ar-Pa'!J217,0)</f>
        <v>6.6238250000000001</v>
      </c>
      <c r="AI217" s="21">
        <f>IFERROR(K217/'Ar-Pa'!K217,0)</f>
        <v>6.6303625000000004</v>
      </c>
      <c r="AJ217" s="21">
        <f>IFERROR(L217/'Ar-Pa'!L217,0)</f>
        <v>6.6064249999999998</v>
      </c>
      <c r="AK217" s="21">
        <f>IFERROR(M217/'Ar-Pa'!M217,0)</f>
        <v>6.6353374999999994</v>
      </c>
      <c r="AL217" s="21">
        <f>IFERROR(N217/'Ar-Pa'!N217,0)</f>
        <v>6.63225</v>
      </c>
      <c r="AM217" s="21">
        <f>IFERROR(O217/'Ar-Pa'!O217,0)</f>
        <v>6.6324375</v>
      </c>
      <c r="AN217" s="21">
        <f>IFERROR(P217/'Ar-Pa'!P217,0)</f>
        <v>7.2985375000000001</v>
      </c>
      <c r="AO217" s="21">
        <f>IFERROR(Q217/'Ar-Pa'!Q217,0)</f>
        <v>11.348983333333331</v>
      </c>
      <c r="AP217" s="21">
        <f>IFERROR(R217/'Ar-Pa'!R217,0)</f>
        <v>11.231116666666665</v>
      </c>
      <c r="AQ217" s="21">
        <f>IFERROR(S217/'Ar-Pa'!S217,0)</f>
        <v>11.140066666666664</v>
      </c>
      <c r="AR217" s="21">
        <f>IFERROR(T217/'Ar-Pa'!T217,0)</f>
        <v>8.6436250000000001</v>
      </c>
      <c r="AS217" s="21">
        <f>IFERROR(U217/'Ar-Pa'!U217,0)</f>
        <v>6.8095749999999997</v>
      </c>
      <c r="AT217" s="21">
        <f>IFERROR(V217/'Ar-Pa'!V217,0)</f>
        <v>7.2760375000000002</v>
      </c>
      <c r="AU217" s="21">
        <f>IFERROR(W217/'Ar-Pa'!W217,0)</f>
        <v>8.7827374999999996</v>
      </c>
      <c r="AV217" s="21">
        <f>IFERROR(X217/'Ar-Pa'!X217,0)</f>
        <v>8.6876124999999984</v>
      </c>
      <c r="AW217" s="21">
        <f>IFERROR(Y217/'Ar-Pa'!Y217,0)</f>
        <v>6.7519875000000003</v>
      </c>
      <c r="AX217" s="21">
        <f t="shared" ref="AX217:AX233" si="4">SUM(Z217:AW217)</f>
        <v>180.56764166666665</v>
      </c>
    </row>
    <row r="218" spans="1:50">
      <c r="A218" s="15">
        <v>45143</v>
      </c>
      <c r="B218" s="436">
        <v>53.991099999999996</v>
      </c>
      <c r="C218" s="436">
        <v>54.027800000000006</v>
      </c>
      <c r="D218" s="436">
        <v>53.798099999999998</v>
      </c>
      <c r="E218" s="436">
        <v>53.807900000000004</v>
      </c>
      <c r="F218" s="436">
        <v>53.853300000000004</v>
      </c>
      <c r="G218" s="436">
        <v>53.847799999999999</v>
      </c>
      <c r="H218" s="436">
        <v>53.922400000000003</v>
      </c>
      <c r="I218" s="436">
        <v>53.932300000000005</v>
      </c>
      <c r="J218" s="436">
        <v>53.979699999999994</v>
      </c>
      <c r="K218" s="436">
        <v>53.5426</v>
      </c>
      <c r="L218" s="436">
        <v>53.448500000000003</v>
      </c>
      <c r="M218" s="436">
        <v>53.446199999999997</v>
      </c>
      <c r="N218" s="436">
        <v>53.346699999999998</v>
      </c>
      <c r="O218" s="436">
        <v>52.412800000000004</v>
      </c>
      <c r="P218" s="436">
        <v>53.9041</v>
      </c>
      <c r="Q218" s="436">
        <v>54.217300000000002</v>
      </c>
      <c r="R218" s="436">
        <v>53.805399999999999</v>
      </c>
      <c r="S218" s="436">
        <v>53.893300000000004</v>
      </c>
      <c r="T218" s="436">
        <v>68.917899999999989</v>
      </c>
      <c r="U218" s="436">
        <v>55.692</v>
      </c>
      <c r="V218" s="436">
        <v>54.015000000000001</v>
      </c>
      <c r="W218" s="436">
        <v>54.12</v>
      </c>
      <c r="X218" s="436">
        <v>53.917499999999997</v>
      </c>
      <c r="Y218" s="436">
        <v>53.995699999999999</v>
      </c>
      <c r="Z218" s="21">
        <f>IFERROR(B218/'Ar-Pa'!B218,0)</f>
        <v>6.7488874999999995</v>
      </c>
      <c r="AA218" s="21">
        <f>IFERROR(C218/'Ar-Pa'!C218,0)</f>
        <v>6.7534750000000008</v>
      </c>
      <c r="AB218" s="21">
        <f>IFERROR(D218/'Ar-Pa'!D218,0)</f>
        <v>6.7247624999999998</v>
      </c>
      <c r="AC218" s="21">
        <f>IFERROR(E218/'Ar-Pa'!E218,0)</f>
        <v>6.7259875000000005</v>
      </c>
      <c r="AD218" s="21">
        <f>IFERROR(F218/'Ar-Pa'!F218,0)</f>
        <v>6.7316625000000005</v>
      </c>
      <c r="AE218" s="21">
        <f>IFERROR(G218/'Ar-Pa'!G218,0)</f>
        <v>6.7309749999999999</v>
      </c>
      <c r="AF218" s="21">
        <f>IFERROR(H218/'Ar-Pa'!H218,0)</f>
        <v>6.7403000000000004</v>
      </c>
      <c r="AG218" s="21">
        <f>IFERROR(I218/'Ar-Pa'!I218,0)</f>
        <v>6.7415375000000006</v>
      </c>
      <c r="AH218" s="21">
        <f>IFERROR(J218/'Ar-Pa'!J218,0)</f>
        <v>6.7474624999999993</v>
      </c>
      <c r="AI218" s="21">
        <f>IFERROR(K218/'Ar-Pa'!K218,0)</f>
        <v>6.692825</v>
      </c>
      <c r="AJ218" s="21">
        <f>IFERROR(L218/'Ar-Pa'!L218,0)</f>
        <v>6.6810625000000003</v>
      </c>
      <c r="AK218" s="21">
        <f>IFERROR(M218/'Ar-Pa'!M218,0)</f>
        <v>6.6807749999999997</v>
      </c>
      <c r="AL218" s="21">
        <f>IFERROR(N218/'Ar-Pa'!N218,0)</f>
        <v>6.6683374999999998</v>
      </c>
      <c r="AM218" s="21">
        <f>IFERROR(O218/'Ar-Pa'!O218,0)</f>
        <v>6.5516000000000005</v>
      </c>
      <c r="AN218" s="21">
        <f>IFERROR(P218/'Ar-Pa'!P218,0)</f>
        <v>8.9840166666666672</v>
      </c>
      <c r="AO218" s="21">
        <f>IFERROR(Q218/'Ar-Pa'!Q218,0)</f>
        <v>9.0362166666666663</v>
      </c>
      <c r="AP218" s="21">
        <f>IFERROR(R218/'Ar-Pa'!R218,0)</f>
        <v>7.6864857142857144</v>
      </c>
      <c r="AQ218" s="21">
        <f>IFERROR(S218/'Ar-Pa'!S218,0)</f>
        <v>5.9881444444444449</v>
      </c>
      <c r="AR218" s="21">
        <f>IFERROR(T218/'Ar-Pa'!T218,0)</f>
        <v>7.6575444444444436</v>
      </c>
      <c r="AS218" s="21">
        <f>IFERROR(U218/'Ar-Pa'!U218,0)</f>
        <v>6.1879999999999997</v>
      </c>
      <c r="AT218" s="21">
        <f>IFERROR(V218/'Ar-Pa'!V218,0)</f>
        <v>6.0016666666666669</v>
      </c>
      <c r="AU218" s="21">
        <f>IFERROR(W218/'Ar-Pa'!W218,0)</f>
        <v>6.0133333333333328</v>
      </c>
      <c r="AV218" s="21">
        <f>IFERROR(X218/'Ar-Pa'!X218,0)</f>
        <v>5.9908333333333328</v>
      </c>
      <c r="AW218" s="21">
        <f>IFERROR(Y218/'Ar-Pa'!Y218,0)</f>
        <v>5.9995222222222218</v>
      </c>
      <c r="AX218" s="21">
        <f t="shared" si="4"/>
        <v>163.46541349206345</v>
      </c>
    </row>
    <row r="219" spans="1:50">
      <c r="A219" s="15">
        <v>45144</v>
      </c>
      <c r="B219" s="436">
        <v>61.336400000000005</v>
      </c>
      <c r="C219" s="436">
        <v>61.7699</v>
      </c>
      <c r="D219" s="436">
        <v>61.808099999999996</v>
      </c>
      <c r="E219" s="436">
        <v>61.781599999999997</v>
      </c>
      <c r="F219" s="436">
        <v>61.8491</v>
      </c>
      <c r="G219" s="436">
        <v>74.455300000000008</v>
      </c>
      <c r="H219" s="436">
        <v>76.060100000000006</v>
      </c>
      <c r="I219" s="436">
        <v>76.855399999999989</v>
      </c>
      <c r="J219" s="436">
        <v>76.609899999999996</v>
      </c>
      <c r="K219" s="436">
        <v>76.393299999999996</v>
      </c>
      <c r="L219" s="436">
        <v>76.972800000000007</v>
      </c>
      <c r="M219" s="436">
        <v>76.341399999999993</v>
      </c>
      <c r="N219" s="436">
        <v>76.18719999999999</v>
      </c>
      <c r="O219" s="436">
        <v>76.413600000000002</v>
      </c>
      <c r="P219" s="436">
        <v>76.51039999999999</v>
      </c>
      <c r="Q219" s="436">
        <v>76.371899999999997</v>
      </c>
      <c r="R219" s="436">
        <v>76.602999999999994</v>
      </c>
      <c r="S219" s="436">
        <v>63.721499999999999</v>
      </c>
      <c r="T219" s="436">
        <v>62.497099999999996</v>
      </c>
      <c r="U219" s="436">
        <v>62.7654</v>
      </c>
      <c r="V219" s="436">
        <v>61.602400000000003</v>
      </c>
      <c r="W219" s="436">
        <v>63.005900000000004</v>
      </c>
      <c r="X219" s="436">
        <v>62.8508</v>
      </c>
      <c r="Y219" s="436">
        <v>62.980699999999999</v>
      </c>
      <c r="Z219" s="21">
        <f>IFERROR(B219/'Ar-Pa'!B219,0)</f>
        <v>6.8151555555555561</v>
      </c>
      <c r="AA219" s="21">
        <f>IFERROR(C219/'Ar-Pa'!C219,0)</f>
        <v>6.8633222222222221</v>
      </c>
      <c r="AB219" s="21">
        <f>IFERROR(D219/'Ar-Pa'!D219,0)</f>
        <v>6.8675666666666659</v>
      </c>
      <c r="AC219" s="21">
        <f>IFERROR(E219/'Ar-Pa'!E219,0)</f>
        <v>6.8646222222222217</v>
      </c>
      <c r="AD219" s="21">
        <f>IFERROR(F219/'Ar-Pa'!F219,0)</f>
        <v>6.872122222222222</v>
      </c>
      <c r="AE219" s="21">
        <f>IFERROR(G219/'Ar-Pa'!G219,0)</f>
        <v>8.2728111111111122</v>
      </c>
      <c r="AF219" s="21">
        <f>IFERROR(H219/'Ar-Pa'!H219,0)</f>
        <v>8.4511222222222226</v>
      </c>
      <c r="AG219" s="21">
        <f>IFERROR(I219/'Ar-Pa'!I219,0)</f>
        <v>8.5394888888888882</v>
      </c>
      <c r="AH219" s="21">
        <f>IFERROR(J219/'Ar-Pa'!J219,0)</f>
        <v>8.5122111111111103</v>
      </c>
      <c r="AI219" s="21">
        <f>IFERROR(K219/'Ar-Pa'!K219,0)</f>
        <v>8.488144444444444</v>
      </c>
      <c r="AJ219" s="21">
        <f>IFERROR(L219/'Ar-Pa'!L219,0)</f>
        <v>8.5525333333333347</v>
      </c>
      <c r="AK219" s="21">
        <f>IFERROR(M219/'Ar-Pa'!M219,0)</f>
        <v>8.4823777777777778</v>
      </c>
      <c r="AL219" s="21">
        <f>IFERROR(N219/'Ar-Pa'!N219,0)</f>
        <v>8.4652444444444441</v>
      </c>
      <c r="AM219" s="21">
        <f>IFERROR(O219/'Ar-Pa'!O219,0)</f>
        <v>8.4904000000000011</v>
      </c>
      <c r="AN219" s="21">
        <f>IFERROR(P219/'Ar-Pa'!P219,0)</f>
        <v>8.5011555555555542</v>
      </c>
      <c r="AO219" s="21">
        <f>IFERROR(Q219/'Ar-Pa'!Q219,0)</f>
        <v>8.4857666666666667</v>
      </c>
      <c r="AP219" s="21">
        <f>IFERROR(R219/'Ar-Pa'!R219,0)</f>
        <v>8.511444444444443</v>
      </c>
      <c r="AQ219" s="21">
        <f>IFERROR(S219/'Ar-Pa'!S219,0)</f>
        <v>9.1030714285714289</v>
      </c>
      <c r="AR219" s="21">
        <f>IFERROR(T219/'Ar-Pa'!T219,0)</f>
        <v>8.9281571428571418</v>
      </c>
      <c r="AS219" s="21">
        <f>IFERROR(U219/'Ar-Pa'!U219,0)</f>
        <v>8.9664857142857137</v>
      </c>
      <c r="AT219" s="21">
        <f>IFERROR(V219/'Ar-Pa'!V219,0)</f>
        <v>6.8447111111111116</v>
      </c>
      <c r="AU219" s="21">
        <f>IFERROR(W219/'Ar-Pa'!W219,0)</f>
        <v>7.0006555555555563</v>
      </c>
      <c r="AV219" s="21">
        <f>IFERROR(X219/'Ar-Pa'!X219,0)</f>
        <v>6.983422222222222</v>
      </c>
      <c r="AW219" s="21">
        <f>IFERROR(Y219/'Ar-Pa'!Y219,0)</f>
        <v>6.9978555555555557</v>
      </c>
      <c r="AX219" s="21">
        <f t="shared" si="4"/>
        <v>190.85984761904763</v>
      </c>
    </row>
    <row r="220" spans="1:50">
      <c r="A220" s="15">
        <v>45145</v>
      </c>
      <c r="B220" s="436">
        <v>63.009900000000002</v>
      </c>
      <c r="C220" s="436">
        <v>62.508800000000001</v>
      </c>
      <c r="D220" s="436">
        <v>62.363699999999994</v>
      </c>
      <c r="E220" s="436">
        <v>62.400500000000001</v>
      </c>
      <c r="F220" s="436">
        <v>62.42</v>
      </c>
      <c r="G220" s="436">
        <v>62.371600000000001</v>
      </c>
      <c r="H220" s="436">
        <v>62.348399999999998</v>
      </c>
      <c r="I220" s="436">
        <v>62.445800000000006</v>
      </c>
      <c r="J220" s="436">
        <v>62.835900000000002</v>
      </c>
      <c r="K220" s="436">
        <v>62.5745</v>
      </c>
      <c r="L220" s="436">
        <v>62.714500000000001</v>
      </c>
      <c r="M220" s="436">
        <v>62.5535</v>
      </c>
      <c r="N220" s="436">
        <v>62.402699999999996</v>
      </c>
      <c r="O220" s="436">
        <v>62.467300000000002</v>
      </c>
      <c r="P220" s="436">
        <v>62.4482</v>
      </c>
      <c r="Q220" s="436">
        <v>62.670999999999999</v>
      </c>
      <c r="R220" s="436">
        <v>62.991699999999994</v>
      </c>
      <c r="S220" s="436">
        <v>61.918500000000002</v>
      </c>
      <c r="T220" s="436">
        <v>62.032400000000003</v>
      </c>
      <c r="U220" s="436">
        <v>62.132100000000001</v>
      </c>
      <c r="V220" s="436">
        <v>62.778500000000001</v>
      </c>
      <c r="W220" s="436">
        <v>62.627699999999997</v>
      </c>
      <c r="X220" s="436">
        <v>61.970699999999994</v>
      </c>
      <c r="Y220" s="436">
        <v>61.882400000000004</v>
      </c>
      <c r="Z220" s="21">
        <f>IFERROR(B220/'Ar-Pa'!B220,0)</f>
        <v>7.0011000000000001</v>
      </c>
      <c r="AA220" s="21">
        <f>IFERROR(C220/'Ar-Pa'!C220,0)</f>
        <v>6.9454222222222226</v>
      </c>
      <c r="AB220" s="21">
        <f>IFERROR(D220/'Ar-Pa'!D220,0)</f>
        <v>6.9292999999999996</v>
      </c>
      <c r="AC220" s="21">
        <f>IFERROR(E220/'Ar-Pa'!E220,0)</f>
        <v>6.9333888888888886</v>
      </c>
      <c r="AD220" s="21">
        <f>IFERROR(F220/'Ar-Pa'!F220,0)</f>
        <v>6.9355555555555561</v>
      </c>
      <c r="AE220" s="21">
        <f>IFERROR(G220/'Ar-Pa'!G220,0)</f>
        <v>6.9301777777777778</v>
      </c>
      <c r="AF220" s="21">
        <f>IFERROR(H220/'Ar-Pa'!H220,0)</f>
        <v>6.9276</v>
      </c>
      <c r="AG220" s="21">
        <f>IFERROR(I220/'Ar-Pa'!I220,0)</f>
        <v>6.9384222222222229</v>
      </c>
      <c r="AH220" s="21">
        <f>IFERROR(J220/'Ar-Pa'!J220,0)</f>
        <v>8.9765571428571427</v>
      </c>
      <c r="AI220" s="21">
        <f>IFERROR(K220/'Ar-Pa'!K220,0)</f>
        <v>8.9392142857142858</v>
      </c>
      <c r="AJ220" s="21">
        <f>IFERROR(L220/'Ar-Pa'!L220,0)</f>
        <v>8.9592142857142854</v>
      </c>
      <c r="AK220" s="21">
        <f>IFERROR(M220/'Ar-Pa'!M220,0)</f>
        <v>6.9503888888888889</v>
      </c>
      <c r="AL220" s="21">
        <f>IFERROR(N220/'Ar-Pa'!N220,0)</f>
        <v>6.9336333333333329</v>
      </c>
      <c r="AM220" s="21">
        <f>IFERROR(O220/'Ar-Pa'!O220,0)</f>
        <v>6.9408111111111115</v>
      </c>
      <c r="AN220" s="21">
        <f>IFERROR(P220/'Ar-Pa'!P220,0)</f>
        <v>6.9386888888888887</v>
      </c>
      <c r="AO220" s="21">
        <f>IFERROR(Q220/'Ar-Pa'!Q220,0)</f>
        <v>6.9634444444444448</v>
      </c>
      <c r="AP220" s="21">
        <f>IFERROR(R220/'Ar-Pa'!R220,0)</f>
        <v>6.9990777777777771</v>
      </c>
      <c r="AQ220" s="21">
        <f>IFERROR(S220/'Ar-Pa'!S220,0)</f>
        <v>6.8798333333333339</v>
      </c>
      <c r="AR220" s="21">
        <f>IFERROR(T220/'Ar-Pa'!T220,0)</f>
        <v>7.7540500000000003</v>
      </c>
      <c r="AS220" s="21">
        <f>IFERROR(U220/'Ar-Pa'!U220,0)</f>
        <v>6.9035666666666664</v>
      </c>
      <c r="AT220" s="21">
        <f>IFERROR(V220/'Ar-Pa'!V220,0)</f>
        <v>6.9753888888888893</v>
      </c>
      <c r="AU220" s="21">
        <f>IFERROR(W220/'Ar-Pa'!W220,0)</f>
        <v>6.9586333333333332</v>
      </c>
      <c r="AV220" s="21">
        <f>IFERROR(X220/'Ar-Pa'!X220,0)</f>
        <v>6.8856333333333328</v>
      </c>
      <c r="AW220" s="21">
        <f>IFERROR(Y220/'Ar-Pa'!Y220,0)</f>
        <v>6.8758222222222223</v>
      </c>
      <c r="AX220" s="21">
        <f t="shared" si="4"/>
        <v>173.37492460317461</v>
      </c>
    </row>
    <row r="221" spans="1:50">
      <c r="A221" s="15">
        <v>45146</v>
      </c>
      <c r="B221" s="436">
        <v>61.760599999999997</v>
      </c>
      <c r="C221" s="436">
        <v>62.090499999999999</v>
      </c>
      <c r="D221" s="436">
        <v>62.0364</v>
      </c>
      <c r="E221" s="436">
        <v>62.115199999999994</v>
      </c>
      <c r="F221" s="436">
        <v>62.064999999999998</v>
      </c>
      <c r="G221" s="436">
        <v>61.993400000000001</v>
      </c>
      <c r="H221" s="436">
        <v>62.451300000000003</v>
      </c>
      <c r="I221" s="436">
        <v>61.916400000000003</v>
      </c>
      <c r="J221" s="436">
        <v>63.131099999999996</v>
      </c>
      <c r="K221" s="436">
        <v>62.896500000000003</v>
      </c>
      <c r="L221" s="436">
        <v>63.1389</v>
      </c>
      <c r="M221" s="436">
        <v>63.150800000000004</v>
      </c>
      <c r="N221" s="436">
        <v>63.069600000000001</v>
      </c>
      <c r="O221" s="436">
        <v>63.209300000000006</v>
      </c>
      <c r="P221" s="436">
        <v>63.110599999999998</v>
      </c>
      <c r="Q221" s="436">
        <v>63.195300000000003</v>
      </c>
      <c r="R221" s="436">
        <v>62.848300000000002</v>
      </c>
      <c r="S221" s="436">
        <v>63.012099999999997</v>
      </c>
      <c r="T221" s="436">
        <v>62.858599999999996</v>
      </c>
      <c r="U221" s="436">
        <v>62.931400000000004</v>
      </c>
      <c r="V221" s="436">
        <v>62.152999999999999</v>
      </c>
      <c r="W221" s="436">
        <v>62.2667</v>
      </c>
      <c r="X221" s="436">
        <v>62.132300000000001</v>
      </c>
      <c r="Y221" s="436">
        <v>62.273000000000003</v>
      </c>
      <c r="Z221" s="21">
        <f>IFERROR(B221/'Ar-Pa'!B221,0)</f>
        <v>6.8622888888888882</v>
      </c>
      <c r="AA221" s="21">
        <f>IFERROR(C221/'Ar-Pa'!C221,0)</f>
        <v>6.8989444444444441</v>
      </c>
      <c r="AB221" s="21">
        <f>IFERROR(D221/'Ar-Pa'!D221,0)</f>
        <v>6.8929333333333336</v>
      </c>
      <c r="AC221" s="21">
        <f>IFERROR(E221/'Ar-Pa'!E221,0)</f>
        <v>6.9016888888888879</v>
      </c>
      <c r="AD221" s="21">
        <f>IFERROR(F221/'Ar-Pa'!F221,0)</f>
        <v>6.8961111111111109</v>
      </c>
      <c r="AE221" s="21">
        <f>IFERROR(G221/'Ar-Pa'!G221,0)</f>
        <v>6.8881555555555556</v>
      </c>
      <c r="AF221" s="21">
        <f>IFERROR(H221/'Ar-Pa'!H221,0)</f>
        <v>6.9390333333333336</v>
      </c>
      <c r="AG221" s="21">
        <f>IFERROR(I221/'Ar-Pa'!I221,0)</f>
        <v>6.8795999999999999</v>
      </c>
      <c r="AH221" s="21">
        <f>IFERROR(J221/'Ar-Pa'!J221,0)</f>
        <v>7.0145666666666662</v>
      </c>
      <c r="AI221" s="21">
        <f>IFERROR(K221/'Ar-Pa'!K221,0)</f>
        <v>6.9885000000000002</v>
      </c>
      <c r="AJ221" s="21">
        <f>IFERROR(L221/'Ar-Pa'!L221,0)</f>
        <v>7.0154333333333332</v>
      </c>
      <c r="AK221" s="21">
        <f>IFERROR(M221/'Ar-Pa'!M221,0)</f>
        <v>7.0167555555555561</v>
      </c>
      <c r="AL221" s="21">
        <f>IFERROR(N221/'Ar-Pa'!N221,0)</f>
        <v>7.0077333333333334</v>
      </c>
      <c r="AM221" s="21">
        <f>IFERROR(O221/'Ar-Pa'!O221,0)</f>
        <v>7.023255555555556</v>
      </c>
      <c r="AN221" s="21">
        <f>IFERROR(P221/'Ar-Pa'!P221,0)</f>
        <v>7.0122888888888886</v>
      </c>
      <c r="AO221" s="21">
        <f>IFERROR(Q221/'Ar-Pa'!Q221,0)</f>
        <v>7.0217000000000001</v>
      </c>
      <c r="AP221" s="21">
        <f>IFERROR(R221/'Ar-Pa'!R221,0)</f>
        <v>6.983144444444445</v>
      </c>
      <c r="AQ221" s="21">
        <f>IFERROR(S221/'Ar-Pa'!S221,0)</f>
        <v>9.0017285714285702</v>
      </c>
      <c r="AR221" s="21">
        <f>IFERROR(T221/'Ar-Pa'!T221,0)</f>
        <v>8.9797999999999991</v>
      </c>
      <c r="AS221" s="21">
        <f>IFERROR(U221/'Ar-Pa'!U221,0)</f>
        <v>8.9901999999999997</v>
      </c>
      <c r="AT221" s="21">
        <f>IFERROR(V221/'Ar-Pa'!V221,0)</f>
        <v>6.9058888888888887</v>
      </c>
      <c r="AU221" s="21">
        <f>IFERROR(W221/'Ar-Pa'!W221,0)</f>
        <v>6.9185222222222222</v>
      </c>
      <c r="AV221" s="21">
        <f>IFERROR(X221/'Ar-Pa'!X221,0)</f>
        <v>6.9035888888888888</v>
      </c>
      <c r="AW221" s="21">
        <f>IFERROR(Y221/'Ar-Pa'!Y221,0)</f>
        <v>6.9192222222222224</v>
      </c>
      <c r="AX221" s="21">
        <f t="shared" si="4"/>
        <v>172.86108412698414</v>
      </c>
    </row>
    <row r="222" spans="1:50">
      <c r="A222" s="15">
        <v>45147</v>
      </c>
      <c r="B222" s="436">
        <v>60.122900000000001</v>
      </c>
      <c r="C222" s="436">
        <v>60.040800000000004</v>
      </c>
      <c r="D222" s="436">
        <v>60.128599999999999</v>
      </c>
      <c r="E222" s="436">
        <v>59.995899999999999</v>
      </c>
      <c r="F222" s="436">
        <v>60.166499999999999</v>
      </c>
      <c r="G222" s="436">
        <v>59.948500000000003</v>
      </c>
      <c r="H222" s="436">
        <v>60.027900000000002</v>
      </c>
      <c r="I222" s="436">
        <v>60.414199999999994</v>
      </c>
      <c r="J222" s="436">
        <v>61.201900000000002</v>
      </c>
      <c r="K222" s="436">
        <v>61.3125</v>
      </c>
      <c r="L222" s="436">
        <v>61.309699999999999</v>
      </c>
      <c r="M222" s="436">
        <v>61.252300000000005</v>
      </c>
      <c r="N222" s="436">
        <v>61.323599999999999</v>
      </c>
      <c r="O222" s="436">
        <v>68.386399999999995</v>
      </c>
      <c r="P222" s="436">
        <v>76.14139999999999</v>
      </c>
      <c r="Q222" s="436">
        <v>76.024100000000004</v>
      </c>
      <c r="R222" s="436">
        <v>76.107900000000001</v>
      </c>
      <c r="S222" s="436">
        <v>74.020699999999991</v>
      </c>
      <c r="T222" s="436">
        <v>62.927399999999999</v>
      </c>
      <c r="U222" s="436">
        <v>60.032300000000006</v>
      </c>
      <c r="V222" s="436">
        <v>60.049800000000005</v>
      </c>
      <c r="W222" s="436">
        <v>71.4238</v>
      </c>
      <c r="X222" s="436">
        <v>76.020399999999995</v>
      </c>
      <c r="Y222" s="436">
        <v>74.384699999999995</v>
      </c>
      <c r="Z222" s="21">
        <f>IFERROR(B222/'Ar-Pa'!B222,0)</f>
        <v>6.6803222222222223</v>
      </c>
      <c r="AA222" s="21">
        <f>IFERROR(C222/'Ar-Pa'!C222,0)</f>
        <v>6.6712000000000007</v>
      </c>
      <c r="AB222" s="21">
        <f>IFERROR(D222/'Ar-Pa'!D222,0)</f>
        <v>6.6809555555555553</v>
      </c>
      <c r="AC222" s="21">
        <f>IFERROR(E222/'Ar-Pa'!E222,0)</f>
        <v>6.6662111111111111</v>
      </c>
      <c r="AD222" s="21">
        <f>IFERROR(F222/'Ar-Pa'!F222,0)</f>
        <v>6.6851666666666665</v>
      </c>
      <c r="AE222" s="21">
        <f>IFERROR(G222/'Ar-Pa'!G222,0)</f>
        <v>6.6609444444444446</v>
      </c>
      <c r="AF222" s="21">
        <f>IFERROR(H222/'Ar-Pa'!H222,0)</f>
        <v>6.6697666666666668</v>
      </c>
      <c r="AG222" s="21">
        <f>IFERROR(I222/'Ar-Pa'!I222,0)</f>
        <v>6.7126888888888878</v>
      </c>
      <c r="AH222" s="21">
        <f>IFERROR(J222/'Ar-Pa'!J222,0)</f>
        <v>6.8002111111111114</v>
      </c>
      <c r="AI222" s="21">
        <f>IFERROR(K222/'Ar-Pa'!K222,0)</f>
        <v>6.8125</v>
      </c>
      <c r="AJ222" s="21">
        <f>IFERROR(L222/'Ar-Pa'!L222,0)</f>
        <v>6.8121888888888886</v>
      </c>
      <c r="AK222" s="21">
        <f>IFERROR(M222/'Ar-Pa'!M222,0)</f>
        <v>6.8058111111111117</v>
      </c>
      <c r="AL222" s="21">
        <f>IFERROR(N222/'Ar-Pa'!N222,0)</f>
        <v>6.8137333333333334</v>
      </c>
      <c r="AM222" s="21">
        <f>IFERROR(O222/'Ar-Pa'!O222,0)</f>
        <v>7.5984888888888884</v>
      </c>
      <c r="AN222" s="21">
        <f>IFERROR(P222/'Ar-Pa'!P222,0)</f>
        <v>8.4601555555555539</v>
      </c>
      <c r="AO222" s="21">
        <f>IFERROR(Q222/'Ar-Pa'!Q222,0)</f>
        <v>8.4471222222222231</v>
      </c>
      <c r="AP222" s="21">
        <f>IFERROR(R222/'Ar-Pa'!R222,0)</f>
        <v>8.456433333333333</v>
      </c>
      <c r="AQ222" s="21">
        <f>IFERROR(S222/'Ar-Pa'!S222,0)</f>
        <v>8.2245222222222214</v>
      </c>
      <c r="AR222" s="21">
        <f>IFERROR(T222/'Ar-Pa'!T222,0)</f>
        <v>6.9919333333333329</v>
      </c>
      <c r="AS222" s="21">
        <f>IFERROR(U222/'Ar-Pa'!U222,0)</f>
        <v>6.6702555555555563</v>
      </c>
      <c r="AT222" s="21">
        <f>IFERROR(V222/'Ar-Pa'!V222,0)</f>
        <v>6.6722000000000001</v>
      </c>
      <c r="AU222" s="21">
        <f>IFERROR(W222/'Ar-Pa'!W222,0)</f>
        <v>7.9359777777777776</v>
      </c>
      <c r="AV222" s="21">
        <f>IFERROR(X222/'Ar-Pa'!X222,0)</f>
        <v>8.4467111111111102</v>
      </c>
      <c r="AW222" s="21">
        <f>IFERROR(Y222/'Ar-Pa'!Y222,0)</f>
        <v>8.2649666666666661</v>
      </c>
      <c r="AX222" s="21">
        <f t="shared" si="4"/>
        <v>173.64046666666667</v>
      </c>
    </row>
    <row r="223" spans="1:50">
      <c r="A223" s="15">
        <v>45148</v>
      </c>
      <c r="B223" s="436">
        <v>50.558099999999996</v>
      </c>
      <c r="C223" s="436">
        <v>50.901300000000006</v>
      </c>
      <c r="D223" s="436">
        <v>51.014099999999999</v>
      </c>
      <c r="E223" s="436">
        <v>50.944300000000005</v>
      </c>
      <c r="F223" s="436">
        <v>50.642900000000004</v>
      </c>
      <c r="G223" s="436">
        <v>50.717100000000002</v>
      </c>
      <c r="H223" s="436">
        <v>50.538800000000002</v>
      </c>
      <c r="I223" s="436">
        <v>50.785299999999999</v>
      </c>
      <c r="J223" s="436">
        <v>51.5976</v>
      </c>
      <c r="K223" s="436">
        <v>50.726699999999994</v>
      </c>
      <c r="L223" s="436">
        <v>50.7879</v>
      </c>
      <c r="M223" s="436">
        <v>50.622599999999998</v>
      </c>
      <c r="N223" s="436">
        <v>50.862300000000005</v>
      </c>
      <c r="O223" s="436">
        <v>51.261900000000004</v>
      </c>
      <c r="P223" s="436">
        <v>51.489100000000001</v>
      </c>
      <c r="Q223" s="436">
        <v>51.462499999999999</v>
      </c>
      <c r="R223" s="436">
        <v>51.392699999999998</v>
      </c>
      <c r="S223" s="436">
        <v>51.423900000000003</v>
      </c>
      <c r="T223" s="436">
        <v>51.404300000000006</v>
      </c>
      <c r="U223" s="436">
        <v>66.7149</v>
      </c>
      <c r="V223" s="436">
        <v>67.391499999999994</v>
      </c>
      <c r="W223" s="436">
        <v>60.088999999999999</v>
      </c>
      <c r="X223" s="436">
        <v>67.327100000000002</v>
      </c>
      <c r="Y223" s="436">
        <v>66.701800000000006</v>
      </c>
      <c r="Z223" s="21">
        <f>IFERROR(B223/'Ar-Pa'!B223,0)</f>
        <v>6.3197624999999995</v>
      </c>
      <c r="AA223" s="21">
        <f>IFERROR(C223/'Ar-Pa'!C223,0)</f>
        <v>6.3626625000000008</v>
      </c>
      <c r="AB223" s="21">
        <f>IFERROR(D223/'Ar-Pa'!D223,0)</f>
        <v>6.3767624999999999</v>
      </c>
      <c r="AC223" s="21">
        <f>IFERROR(E223/'Ar-Pa'!E223,0)</f>
        <v>6.3680375000000007</v>
      </c>
      <c r="AD223" s="21">
        <f>IFERROR(F223/'Ar-Pa'!F223,0)</f>
        <v>6.3303625000000006</v>
      </c>
      <c r="AE223" s="21">
        <f>IFERROR(G223/'Ar-Pa'!G223,0)</f>
        <v>6.3396375000000003</v>
      </c>
      <c r="AF223" s="21">
        <f>IFERROR(H223/'Ar-Pa'!H223,0)</f>
        <v>6.3173500000000002</v>
      </c>
      <c r="AG223" s="21">
        <f>IFERROR(I223/'Ar-Pa'!I223,0)</f>
        <v>6.3481624999999999</v>
      </c>
      <c r="AH223" s="21">
        <f>IFERROR(J223/'Ar-Pa'!J223,0)</f>
        <v>6.4497</v>
      </c>
      <c r="AI223" s="21">
        <f>IFERROR(K223/'Ar-Pa'!K223,0)</f>
        <v>6.3408374999999992</v>
      </c>
      <c r="AJ223" s="21">
        <f>IFERROR(L223/'Ar-Pa'!L223,0)</f>
        <v>6.3484875000000001</v>
      </c>
      <c r="AK223" s="21">
        <f>IFERROR(M223/'Ar-Pa'!M223,0)</f>
        <v>6.3278249999999998</v>
      </c>
      <c r="AL223" s="21">
        <f>IFERROR(N223/'Ar-Pa'!N223,0)</f>
        <v>6.3577875000000006</v>
      </c>
      <c r="AM223" s="21">
        <f>IFERROR(O223/'Ar-Pa'!O223,0)</f>
        <v>6.4077375000000005</v>
      </c>
      <c r="AN223" s="21">
        <f>IFERROR(P223/'Ar-Pa'!P223,0)</f>
        <v>6.4361375000000001</v>
      </c>
      <c r="AO223" s="21">
        <f>IFERROR(Q223/'Ar-Pa'!Q223,0)</f>
        <v>6.4328124999999998</v>
      </c>
      <c r="AP223" s="21">
        <f>IFERROR(R223/'Ar-Pa'!R223,0)</f>
        <v>6.4240874999999997</v>
      </c>
      <c r="AQ223" s="21">
        <f>IFERROR(S223/'Ar-Pa'!S223,0)</f>
        <v>6.4279875000000004</v>
      </c>
      <c r="AR223" s="21">
        <f>IFERROR(T223/'Ar-Pa'!T223,0)</f>
        <v>6.4255375000000008</v>
      </c>
      <c r="AS223" s="21">
        <f>IFERROR(U223/'Ar-Pa'!U223,0)</f>
        <v>8.3393625</v>
      </c>
      <c r="AT223" s="21">
        <f>IFERROR(V223/'Ar-Pa'!V223,0)</f>
        <v>8.4239374999999992</v>
      </c>
      <c r="AU223" s="21">
        <f>IFERROR(W223/'Ar-Pa'!W223,0)</f>
        <v>7.5111249999999998</v>
      </c>
      <c r="AV223" s="21">
        <f>IFERROR(X223/'Ar-Pa'!X223,0)</f>
        <v>8.4158875000000002</v>
      </c>
      <c r="AW223" s="21">
        <f>IFERROR(Y223/'Ar-Pa'!Y223,0)</f>
        <v>8.3377250000000007</v>
      </c>
      <c r="AX223" s="21">
        <f t="shared" si="4"/>
        <v>162.1697125</v>
      </c>
    </row>
    <row r="224" spans="1:50">
      <c r="A224" s="15">
        <v>45149</v>
      </c>
      <c r="B224" s="436">
        <v>67.027299999999997</v>
      </c>
      <c r="C224" s="436">
        <v>67.674899999999994</v>
      </c>
      <c r="D224" s="436">
        <v>67.537499999999994</v>
      </c>
      <c r="E224" s="436">
        <v>52.685600000000001</v>
      </c>
      <c r="F224" s="436">
        <v>51.123100000000001</v>
      </c>
      <c r="G224" s="436">
        <v>51.018500000000003</v>
      </c>
      <c r="H224" s="436">
        <v>51.083199999999998</v>
      </c>
      <c r="I224" s="436">
        <v>50.965900000000005</v>
      </c>
      <c r="J224" s="436">
        <v>51.746000000000002</v>
      </c>
      <c r="K224" s="436">
        <v>51.759800000000006</v>
      </c>
      <c r="L224" s="436">
        <v>51.765999999999998</v>
      </c>
      <c r="M224" s="436">
        <v>51.794699999999999</v>
      </c>
      <c r="N224" s="436">
        <v>51.7956</v>
      </c>
      <c r="O224" s="436">
        <v>51.822699999999998</v>
      </c>
      <c r="P224" s="436">
        <v>61.867699999999999</v>
      </c>
      <c r="Q224" s="436">
        <v>65.495099999999994</v>
      </c>
      <c r="R224" s="436">
        <v>53.106499999999997</v>
      </c>
      <c r="S224" s="436">
        <v>53.238300000000002</v>
      </c>
      <c r="T224" s="436">
        <v>53.300699999999999</v>
      </c>
      <c r="U224" s="436">
        <v>53.252300000000005</v>
      </c>
      <c r="V224" s="436">
        <v>64.510099999999994</v>
      </c>
      <c r="W224" s="436">
        <v>54.984300000000005</v>
      </c>
      <c r="X224" s="436">
        <v>53.8142</v>
      </c>
      <c r="Y224" s="436">
        <v>53.420099999999998</v>
      </c>
      <c r="Z224" s="21">
        <f>IFERROR(B224/'Ar-Pa'!B224,0)</f>
        <v>8.3784124999999996</v>
      </c>
      <c r="AA224" s="21">
        <f>IFERROR(C224/'Ar-Pa'!C224,0)</f>
        <v>8.4593624999999992</v>
      </c>
      <c r="AB224" s="21">
        <f>IFERROR(D224/'Ar-Pa'!D224,0)</f>
        <v>8.4421874999999993</v>
      </c>
      <c r="AC224" s="21">
        <f>IFERROR(E224/'Ar-Pa'!E224,0)</f>
        <v>6.5857000000000001</v>
      </c>
      <c r="AD224" s="21">
        <f>IFERROR(F224/'Ar-Pa'!F224,0)</f>
        <v>6.3903875000000001</v>
      </c>
      <c r="AE224" s="21">
        <f>IFERROR(G224/'Ar-Pa'!G224,0)</f>
        <v>6.3773125000000004</v>
      </c>
      <c r="AF224" s="21">
        <f>IFERROR(H224/'Ar-Pa'!H224,0)</f>
        <v>6.3853999999999997</v>
      </c>
      <c r="AG224" s="21">
        <f>IFERROR(I224/'Ar-Pa'!I224,0)</f>
        <v>6.3707375000000006</v>
      </c>
      <c r="AH224" s="21">
        <f>IFERROR(J224/'Ar-Pa'!J224,0)</f>
        <v>6.4682500000000003</v>
      </c>
      <c r="AI224" s="21">
        <f>IFERROR(K224/'Ar-Pa'!K224,0)</f>
        <v>6.4699750000000007</v>
      </c>
      <c r="AJ224" s="21">
        <f>IFERROR(L224/'Ar-Pa'!L224,0)</f>
        <v>6.4707499999999998</v>
      </c>
      <c r="AK224" s="21">
        <f>IFERROR(M224/'Ar-Pa'!M224,0)</f>
        <v>6.4743374999999999</v>
      </c>
      <c r="AL224" s="21">
        <f>IFERROR(N224/'Ar-Pa'!N224,0)</f>
        <v>6.47445</v>
      </c>
      <c r="AM224" s="21">
        <f>IFERROR(O224/'Ar-Pa'!O224,0)</f>
        <v>6.4778374999999997</v>
      </c>
      <c r="AN224" s="21">
        <f>IFERROR(P224/'Ar-Pa'!P224,0)</f>
        <v>7.7334624999999999</v>
      </c>
      <c r="AO224" s="21">
        <f>IFERROR(Q224/'Ar-Pa'!Q224,0)</f>
        <v>8.1868874999999992</v>
      </c>
      <c r="AP224" s="21">
        <f>IFERROR(R224/'Ar-Pa'!R224,0)</f>
        <v>6.6383124999999996</v>
      </c>
      <c r="AQ224" s="21">
        <f>IFERROR(S224/'Ar-Pa'!S224,0)</f>
        <v>8.873050000000001</v>
      </c>
      <c r="AR224" s="21">
        <f>IFERROR(T224/'Ar-Pa'!T224,0)</f>
        <v>8.8834499999999998</v>
      </c>
      <c r="AS224" s="21">
        <f>IFERROR(U224/'Ar-Pa'!U224,0)</f>
        <v>8.8753833333333336</v>
      </c>
      <c r="AT224" s="21">
        <f>IFERROR(V224/'Ar-Pa'!V224,0)</f>
        <v>8.0637624999999993</v>
      </c>
      <c r="AU224" s="21">
        <f>IFERROR(W224/'Ar-Pa'!W224,0)</f>
        <v>6.8730375000000006</v>
      </c>
      <c r="AV224" s="21">
        <f>IFERROR(X224/'Ar-Pa'!X224,0)</f>
        <v>6.7267749999999999</v>
      </c>
      <c r="AW224" s="21">
        <f>IFERROR(Y224/'Ar-Pa'!Y224,0)</f>
        <v>6.6775124999999997</v>
      </c>
      <c r="AX224" s="21">
        <f t="shared" si="4"/>
        <v>173.75673333333336</v>
      </c>
    </row>
    <row r="225" spans="1:50">
      <c r="A225" s="15">
        <v>45150</v>
      </c>
      <c r="B225" s="436">
        <v>52.959900000000005</v>
      </c>
      <c r="C225" s="436">
        <v>53.1584</v>
      </c>
      <c r="D225" s="436">
        <v>53.323999999999998</v>
      </c>
      <c r="E225" s="436">
        <v>53.819800000000001</v>
      </c>
      <c r="F225" s="436">
        <v>53.719300000000004</v>
      </c>
      <c r="G225" s="436">
        <v>54.115199999999994</v>
      </c>
      <c r="H225" s="436">
        <v>54.175400000000003</v>
      </c>
      <c r="I225" s="436">
        <v>54.128</v>
      </c>
      <c r="J225" s="436">
        <v>54.2166</v>
      </c>
      <c r="K225" s="436">
        <v>54.293300000000002</v>
      </c>
      <c r="L225" s="436">
        <v>54.293800000000005</v>
      </c>
      <c r="M225" s="436">
        <v>54.265300000000003</v>
      </c>
      <c r="N225" s="436">
        <v>54.226300000000002</v>
      </c>
      <c r="O225" s="436">
        <v>63.935900000000004</v>
      </c>
      <c r="P225" s="436">
        <v>68.214500000000001</v>
      </c>
      <c r="Q225" s="436">
        <v>55.006399999999999</v>
      </c>
      <c r="R225" s="436">
        <v>53.893699999999995</v>
      </c>
      <c r="S225" s="436">
        <v>53.342100000000002</v>
      </c>
      <c r="T225" s="436">
        <v>53.408300000000004</v>
      </c>
      <c r="U225" s="436">
        <v>52.712499999999999</v>
      </c>
      <c r="V225" s="436">
        <v>54.426600000000001</v>
      </c>
      <c r="W225" s="436">
        <v>54.465900000000005</v>
      </c>
      <c r="X225" s="436">
        <v>54.533900000000003</v>
      </c>
      <c r="Y225" s="436">
        <v>54.050800000000002</v>
      </c>
      <c r="Z225" s="21">
        <f>IFERROR(B225/'Ar-Pa'!B225,0)</f>
        <v>7.5657000000000005</v>
      </c>
      <c r="AA225" s="21">
        <f>IFERROR(C225/'Ar-Pa'!C225,0)</f>
        <v>7.5940571428571433</v>
      </c>
      <c r="AB225" s="21">
        <f>IFERROR(D225/'Ar-Pa'!D225,0)</f>
        <v>7.6177142857142854</v>
      </c>
      <c r="AC225" s="21">
        <f>IFERROR(E225/'Ar-Pa'!E225,0)</f>
        <v>7.6885428571428571</v>
      </c>
      <c r="AD225" s="21">
        <f>IFERROR(F225/'Ar-Pa'!F225,0)</f>
        <v>7.6741857142857146</v>
      </c>
      <c r="AE225" s="21">
        <f>IFERROR(G225/'Ar-Pa'!G225,0)</f>
        <v>7.7307428571428565</v>
      </c>
      <c r="AF225" s="21">
        <f>IFERROR(H225/'Ar-Pa'!H225,0)</f>
        <v>7.7393428571428577</v>
      </c>
      <c r="AG225" s="21">
        <f>IFERROR(I225/'Ar-Pa'!I225,0)</f>
        <v>7.7325714285714282</v>
      </c>
      <c r="AH225" s="21">
        <f>IFERROR(J225/'Ar-Pa'!J225,0)</f>
        <v>7.7452285714285711</v>
      </c>
      <c r="AI225" s="21">
        <f>IFERROR(K225/'Ar-Pa'!K225,0)</f>
        <v>7.7561857142857145</v>
      </c>
      <c r="AJ225" s="21">
        <f>IFERROR(L225/'Ar-Pa'!L225,0)</f>
        <v>7.7562571428571436</v>
      </c>
      <c r="AK225" s="21">
        <f>IFERROR(M225/'Ar-Pa'!M225,0)</f>
        <v>7.7521857142857149</v>
      </c>
      <c r="AL225" s="21">
        <f>IFERROR(N225/'Ar-Pa'!N225,0)</f>
        <v>7.7466142857142861</v>
      </c>
      <c r="AM225" s="21">
        <f>IFERROR(O225/'Ar-Pa'!O225,0)</f>
        <v>7.9919875000000005</v>
      </c>
      <c r="AN225" s="21">
        <f>IFERROR(P225/'Ar-Pa'!P225,0)</f>
        <v>8.5268125000000001</v>
      </c>
      <c r="AO225" s="21">
        <f>IFERROR(Q225/'Ar-Pa'!Q225,0)</f>
        <v>6.8757999999999999</v>
      </c>
      <c r="AP225" s="21">
        <f>IFERROR(R225/'Ar-Pa'!R225,0)</f>
        <v>6.7367124999999994</v>
      </c>
      <c r="AQ225" s="21">
        <f>IFERROR(S225/'Ar-Pa'!S225,0)</f>
        <v>7.6203000000000003</v>
      </c>
      <c r="AR225" s="21">
        <f>IFERROR(T225/'Ar-Pa'!T225,0)</f>
        <v>7.6297571428571436</v>
      </c>
      <c r="AS225" s="21">
        <f>IFERROR(U225/'Ar-Pa'!U225,0)</f>
        <v>7.5303571428571425</v>
      </c>
      <c r="AT225" s="21">
        <f>IFERROR(V225/'Ar-Pa'!V225,0)</f>
        <v>7.7752285714285714</v>
      </c>
      <c r="AU225" s="21">
        <f>IFERROR(W225/'Ar-Pa'!W225,0)</f>
        <v>7.7808428571428578</v>
      </c>
      <c r="AV225" s="21">
        <f>IFERROR(X225/'Ar-Pa'!X225,0)</f>
        <v>7.7905571428571436</v>
      </c>
      <c r="AW225" s="21">
        <f>IFERROR(Y225/'Ar-Pa'!Y225,0)</f>
        <v>7.7215428571428575</v>
      </c>
      <c r="AX225" s="21">
        <f t="shared" si="4"/>
        <v>184.0792267857143</v>
      </c>
    </row>
    <row r="226" spans="1:50">
      <c r="A226" s="15">
        <v>45151</v>
      </c>
      <c r="B226" s="436">
        <v>53.713300000000004</v>
      </c>
      <c r="C226" s="436">
        <v>53.529400000000003</v>
      </c>
      <c r="D226" s="436">
        <v>53.577500000000001</v>
      </c>
      <c r="E226" s="436">
        <v>53.523300000000006</v>
      </c>
      <c r="F226" s="436">
        <v>53.526199999999996</v>
      </c>
      <c r="G226" s="436">
        <v>53.479900000000001</v>
      </c>
      <c r="H226" s="436">
        <v>53.515999999999998</v>
      </c>
      <c r="I226" s="436">
        <v>53.5749</v>
      </c>
      <c r="J226" s="436">
        <v>53.600199999999994</v>
      </c>
      <c r="K226" s="436">
        <v>53.5655</v>
      </c>
      <c r="L226" s="436">
        <v>53.5779</v>
      </c>
      <c r="M226" s="436">
        <v>53.6873</v>
      </c>
      <c r="N226" s="436">
        <v>53.679600000000001</v>
      </c>
      <c r="O226" s="436">
        <v>53.676199999999994</v>
      </c>
      <c r="P226" s="436">
        <v>53.657199999999996</v>
      </c>
      <c r="Q226" s="436">
        <v>53.692699999999995</v>
      </c>
      <c r="R226" s="436">
        <v>52.686399999999999</v>
      </c>
      <c r="S226" s="436">
        <v>52.591200000000001</v>
      </c>
      <c r="T226" s="436">
        <v>52.687400000000004</v>
      </c>
      <c r="U226" s="436">
        <v>53.348999999999997</v>
      </c>
      <c r="V226" s="436">
        <v>54.006900000000002</v>
      </c>
      <c r="W226" s="436">
        <v>53.057300000000005</v>
      </c>
      <c r="X226" s="436">
        <v>54.1843</v>
      </c>
      <c r="Y226" s="436">
        <v>54.214500000000001</v>
      </c>
      <c r="Z226" s="21">
        <f>IFERROR(B226/'Ar-Pa'!B226,0)</f>
        <v>7.6733285714285717</v>
      </c>
      <c r="AA226" s="21">
        <f>IFERROR(C226/'Ar-Pa'!C226,0)</f>
        <v>7.6470571428571432</v>
      </c>
      <c r="AB226" s="21">
        <f>IFERROR(D226/'Ar-Pa'!D226,0)</f>
        <v>7.6539285714285716</v>
      </c>
      <c r="AC226" s="21">
        <f>IFERROR(E226/'Ar-Pa'!E226,0)</f>
        <v>7.646185714285715</v>
      </c>
      <c r="AD226" s="21">
        <f>IFERROR(F226/'Ar-Pa'!F226,0)</f>
        <v>7.6465999999999994</v>
      </c>
      <c r="AE226" s="21">
        <f>IFERROR(G226/'Ar-Pa'!G226,0)</f>
        <v>7.6399857142857144</v>
      </c>
      <c r="AF226" s="21">
        <f>IFERROR(H226/'Ar-Pa'!H226,0)</f>
        <v>7.645142857142857</v>
      </c>
      <c r="AG226" s="21">
        <f>IFERROR(I226/'Ar-Pa'!I226,0)</f>
        <v>7.6535571428571432</v>
      </c>
      <c r="AH226" s="21">
        <f>IFERROR(J226/'Ar-Pa'!J226,0)</f>
        <v>7.6571714285714281</v>
      </c>
      <c r="AI226" s="21">
        <f>IFERROR(K226/'Ar-Pa'!K226,0)</f>
        <v>7.6522142857142859</v>
      </c>
      <c r="AJ226" s="21">
        <f>IFERROR(L226/'Ar-Pa'!L226,0)</f>
        <v>7.6539857142857146</v>
      </c>
      <c r="AK226" s="21">
        <f>IFERROR(M226/'Ar-Pa'!M226,0)</f>
        <v>7.6696142857142862</v>
      </c>
      <c r="AL226" s="21">
        <f>IFERROR(N226/'Ar-Pa'!N226,0)</f>
        <v>7.6685142857142861</v>
      </c>
      <c r="AM226" s="21">
        <f>IFERROR(O226/'Ar-Pa'!O226,0)</f>
        <v>7.6680285714285707</v>
      </c>
      <c r="AN226" s="21">
        <f>IFERROR(P226/'Ar-Pa'!P226,0)</f>
        <v>7.6653142857142855</v>
      </c>
      <c r="AO226" s="21">
        <f>IFERROR(Q226/'Ar-Pa'!Q226,0)</f>
        <v>7.6703857142857137</v>
      </c>
      <c r="AP226" s="21">
        <f>IFERROR(R226/'Ar-Pa'!R226,0)</f>
        <v>7.5266285714285717</v>
      </c>
      <c r="AQ226" s="21">
        <f>IFERROR(S226/'Ar-Pa'!S226,0)</f>
        <v>7.5130285714285714</v>
      </c>
      <c r="AR226" s="21">
        <f>IFERROR(T226/'Ar-Pa'!T226,0)</f>
        <v>7.5267714285714291</v>
      </c>
      <c r="AS226" s="21">
        <f>IFERROR(U226/'Ar-Pa'!U226,0)</f>
        <v>7.6212857142857136</v>
      </c>
      <c r="AT226" s="21">
        <f>IFERROR(V226/'Ar-Pa'!V226,0)</f>
        <v>7.7152714285714286</v>
      </c>
      <c r="AU226" s="21">
        <f>IFERROR(W226/'Ar-Pa'!W226,0)</f>
        <v>7.5796142857142863</v>
      </c>
      <c r="AV226" s="21">
        <f>IFERROR(X226/'Ar-Pa'!X226,0)</f>
        <v>7.7406142857142859</v>
      </c>
      <c r="AW226" s="21">
        <f>IFERROR(Y226/'Ar-Pa'!Y226,0)</f>
        <v>7.7449285714285718</v>
      </c>
      <c r="AX226" s="21">
        <f t="shared" si="4"/>
        <v>183.47915714285713</v>
      </c>
    </row>
    <row r="227" spans="1:50">
      <c r="A227" s="15">
        <v>45152</v>
      </c>
      <c r="B227" s="436">
        <v>60.530900000000003</v>
      </c>
      <c r="C227" s="436">
        <v>60.923300000000005</v>
      </c>
      <c r="D227" s="436">
        <v>61.551199999999994</v>
      </c>
      <c r="E227" s="436">
        <v>61.662399999999998</v>
      </c>
      <c r="F227" s="436">
        <v>62.5002</v>
      </c>
      <c r="G227" s="436">
        <v>62.353000000000002</v>
      </c>
      <c r="H227" s="436">
        <v>62.436599999999999</v>
      </c>
      <c r="I227" s="436">
        <v>62.512300000000003</v>
      </c>
      <c r="J227" s="436">
        <v>62.528800000000004</v>
      </c>
      <c r="K227" s="436">
        <v>62.607500000000002</v>
      </c>
      <c r="L227" s="436">
        <v>62.417900000000003</v>
      </c>
      <c r="M227" s="436">
        <v>62.6387</v>
      </c>
      <c r="N227" s="436">
        <v>62.472699999999996</v>
      </c>
      <c r="O227" s="436">
        <v>62.556899999999999</v>
      </c>
      <c r="P227" s="436">
        <v>62.5383</v>
      </c>
      <c r="Q227" s="436">
        <v>62.490300000000005</v>
      </c>
      <c r="R227" s="436">
        <v>62.455800000000004</v>
      </c>
      <c r="S227" s="436">
        <v>62.299699999999994</v>
      </c>
      <c r="T227" s="436">
        <v>61.298300000000005</v>
      </c>
      <c r="U227" s="436">
        <v>72.104500000000002</v>
      </c>
      <c r="V227" s="436">
        <v>76.3416</v>
      </c>
      <c r="W227" s="436">
        <v>75.79910000000001</v>
      </c>
      <c r="X227" s="436">
        <v>74.236999999999995</v>
      </c>
      <c r="Y227" s="436">
        <v>76.469300000000004</v>
      </c>
      <c r="Z227" s="21">
        <f>IFERROR(B227/'Ar-Pa'!B227,0)</f>
        <v>7.5663625000000003</v>
      </c>
      <c r="AA227" s="21">
        <f>IFERROR(C227/'Ar-Pa'!C227,0)</f>
        <v>6.7692555555555565</v>
      </c>
      <c r="AB227" s="21">
        <f>IFERROR(D227/'Ar-Pa'!D227,0)</f>
        <v>6.8390222222222219</v>
      </c>
      <c r="AC227" s="21">
        <f>IFERROR(E227/'Ar-Pa'!E227,0)</f>
        <v>6.8513777777777776</v>
      </c>
      <c r="AD227" s="21">
        <f>IFERROR(F227/'Ar-Pa'!F227,0)</f>
        <v>6.944466666666667</v>
      </c>
      <c r="AE227" s="21">
        <f>IFERROR(G227/'Ar-Pa'!G227,0)</f>
        <v>6.9281111111111109</v>
      </c>
      <c r="AF227" s="21">
        <f>IFERROR(H227/'Ar-Pa'!H227,0)</f>
        <v>6.9374000000000002</v>
      </c>
      <c r="AG227" s="21">
        <f>IFERROR(I227/'Ar-Pa'!I227,0)</f>
        <v>6.9458111111111114</v>
      </c>
      <c r="AH227" s="21">
        <f>IFERROR(J227/'Ar-Pa'!J227,0)</f>
        <v>6.9476444444444452</v>
      </c>
      <c r="AI227" s="21">
        <f>IFERROR(K227/'Ar-Pa'!K227,0)</f>
        <v>6.9563888888888892</v>
      </c>
      <c r="AJ227" s="21">
        <f>IFERROR(L227/'Ar-Pa'!L227,0)</f>
        <v>6.9353222222222222</v>
      </c>
      <c r="AK227" s="21">
        <f>IFERROR(M227/'Ar-Pa'!M227,0)</f>
        <v>6.9598555555555555</v>
      </c>
      <c r="AL227" s="21">
        <f>IFERROR(N227/'Ar-Pa'!N227,0)</f>
        <v>6.941411111111111</v>
      </c>
      <c r="AM227" s="21">
        <f>IFERROR(O227/'Ar-Pa'!O227,0)</f>
        <v>6.9507666666666665</v>
      </c>
      <c r="AN227" s="21">
        <f>IFERROR(P227/'Ar-Pa'!P227,0)</f>
        <v>6.9486999999999997</v>
      </c>
      <c r="AO227" s="21">
        <f>IFERROR(Q227/'Ar-Pa'!Q227,0)</f>
        <v>6.9433666666666669</v>
      </c>
      <c r="AP227" s="21">
        <f>IFERROR(R227/'Ar-Pa'!R227,0)</f>
        <v>6.9395333333333333</v>
      </c>
      <c r="AQ227" s="21">
        <f>IFERROR(S227/'Ar-Pa'!S227,0)</f>
        <v>6.9221888888888881</v>
      </c>
      <c r="AR227" s="21">
        <f>IFERROR(T227/'Ar-Pa'!T227,0)</f>
        <v>6.8109222222222225</v>
      </c>
      <c r="AS227" s="21">
        <f>IFERROR(U227/'Ar-Pa'!U227,0)</f>
        <v>8.0116111111111117</v>
      </c>
      <c r="AT227" s="21">
        <f>IFERROR(V227/'Ar-Pa'!V227,0)</f>
        <v>8.4824000000000002</v>
      </c>
      <c r="AU227" s="21">
        <f>IFERROR(W227/'Ar-Pa'!W227,0)</f>
        <v>8.4221222222222227</v>
      </c>
      <c r="AV227" s="21">
        <f>IFERROR(X227/'Ar-Pa'!X227,0)</f>
        <v>8.248555555555555</v>
      </c>
      <c r="AW227" s="21">
        <f>IFERROR(Y227/'Ar-Pa'!Y227,0)</f>
        <v>8.4965888888888887</v>
      </c>
      <c r="AX227" s="21">
        <f t="shared" si="4"/>
        <v>173.69918472222218</v>
      </c>
    </row>
    <row r="228" spans="1:50">
      <c r="A228" s="15">
        <v>45153</v>
      </c>
      <c r="B228" s="436">
        <v>62.3508</v>
      </c>
      <c r="C228" s="436">
        <v>59.162099999999995</v>
      </c>
      <c r="D228" s="436">
        <v>59.134699999999995</v>
      </c>
      <c r="E228" s="436">
        <v>59.516199999999998</v>
      </c>
      <c r="F228" s="436">
        <v>59.879199999999997</v>
      </c>
      <c r="G228" s="436">
        <v>59.924599999999998</v>
      </c>
      <c r="H228" s="436">
        <v>59.844099999999997</v>
      </c>
      <c r="I228" s="436">
        <v>59.759800000000006</v>
      </c>
      <c r="J228" s="436">
        <v>61.633400000000002</v>
      </c>
      <c r="K228" s="436">
        <v>59.379100000000001</v>
      </c>
      <c r="L228" s="436">
        <v>59.992599999999996</v>
      </c>
      <c r="M228" s="436">
        <v>59.856499999999997</v>
      </c>
      <c r="N228" s="436">
        <v>59.1676</v>
      </c>
      <c r="O228" s="436">
        <v>64.548000000000002</v>
      </c>
      <c r="P228" s="436">
        <v>75.36160000000001</v>
      </c>
      <c r="Q228" s="436">
        <v>66.234800000000007</v>
      </c>
      <c r="R228" s="436">
        <v>62.838999999999999</v>
      </c>
      <c r="S228" s="436">
        <v>62.5184</v>
      </c>
      <c r="T228" s="436">
        <v>62.194400000000002</v>
      </c>
      <c r="U228" s="436">
        <v>61.821899999999999</v>
      </c>
      <c r="V228" s="436">
        <v>62.441199999999995</v>
      </c>
      <c r="W228" s="436">
        <v>62.118499999999997</v>
      </c>
      <c r="X228" s="436">
        <v>62.257199999999997</v>
      </c>
      <c r="Y228" s="436">
        <v>61.622099999999996</v>
      </c>
      <c r="Z228" s="21">
        <f>IFERROR(B228/'Ar-Pa'!B228,0)</f>
        <v>6.9278666666666666</v>
      </c>
      <c r="AA228" s="21">
        <f>IFERROR(C228/'Ar-Pa'!C228,0)</f>
        <v>6.5735666666666663</v>
      </c>
      <c r="AB228" s="21">
        <f>IFERROR(D228/'Ar-Pa'!D228,0)</f>
        <v>6.5705222222222215</v>
      </c>
      <c r="AC228" s="21">
        <f>IFERROR(E228/'Ar-Pa'!E228,0)</f>
        <v>6.612911111111111</v>
      </c>
      <c r="AD228" s="21">
        <f>IFERROR(F228/'Ar-Pa'!F228,0)</f>
        <v>6.6532444444444439</v>
      </c>
      <c r="AE228" s="21">
        <f>IFERROR(G228/'Ar-Pa'!G228,0)</f>
        <v>6.6582888888888885</v>
      </c>
      <c r="AF228" s="21">
        <f>IFERROR(H228/'Ar-Pa'!H228,0)</f>
        <v>6.6493444444444441</v>
      </c>
      <c r="AG228" s="21">
        <f>IFERROR(I228/'Ar-Pa'!I228,0)</f>
        <v>6.6399777777777782</v>
      </c>
      <c r="AH228" s="21">
        <f>IFERROR(J228/'Ar-Pa'!J228,0)</f>
        <v>6.8481555555555556</v>
      </c>
      <c r="AI228" s="21">
        <f>IFERROR(K228/'Ar-Pa'!K228,0)</f>
        <v>7.4223875000000001</v>
      </c>
      <c r="AJ228" s="21">
        <f>IFERROR(L228/'Ar-Pa'!L228,0)</f>
        <v>7.4990749999999995</v>
      </c>
      <c r="AK228" s="21">
        <f>IFERROR(M228/'Ar-Pa'!M228,0)</f>
        <v>6.650722222222222</v>
      </c>
      <c r="AL228" s="21">
        <f>IFERROR(N228/'Ar-Pa'!N228,0)</f>
        <v>6.5741777777777779</v>
      </c>
      <c r="AM228" s="21">
        <f>IFERROR(O228/'Ar-Pa'!O228,0)</f>
        <v>7.1720000000000006</v>
      </c>
      <c r="AN228" s="21">
        <f>IFERROR(P228/'Ar-Pa'!P228,0)</f>
        <v>8.373511111111112</v>
      </c>
      <c r="AO228" s="21">
        <f>IFERROR(Q228/'Ar-Pa'!Q228,0)</f>
        <v>7.3594222222222232</v>
      </c>
      <c r="AP228" s="21">
        <f>IFERROR(R228/'Ar-Pa'!R228,0)</f>
        <v>6.9821111111111112</v>
      </c>
      <c r="AQ228" s="21">
        <f>IFERROR(S228/'Ar-Pa'!S228,0)</f>
        <v>6.9464888888888892</v>
      </c>
      <c r="AR228" s="21">
        <f>IFERROR(T228/'Ar-Pa'!T228,0)</f>
        <v>6.9104888888888887</v>
      </c>
      <c r="AS228" s="21">
        <f>IFERROR(U228/'Ar-Pa'!U228,0)</f>
        <v>6.8690999999999995</v>
      </c>
      <c r="AT228" s="21">
        <f>IFERROR(V228/'Ar-Pa'!V228,0)</f>
        <v>6.9379111111111103</v>
      </c>
      <c r="AU228" s="21">
        <f>IFERROR(W228/'Ar-Pa'!W228,0)</f>
        <v>6.9020555555555552</v>
      </c>
      <c r="AV228" s="21">
        <f>IFERROR(X228/'Ar-Pa'!X228,0)</f>
        <v>6.917466666666666</v>
      </c>
      <c r="AW228" s="21">
        <f>IFERROR(Y228/'Ar-Pa'!Y228,0)</f>
        <v>6.8468999999999998</v>
      </c>
      <c r="AX228" s="21">
        <f t="shared" si="4"/>
        <v>166.49769583333335</v>
      </c>
    </row>
    <row r="229" spans="1:50">
      <c r="A229" s="15">
        <v>45154</v>
      </c>
      <c r="B229" s="436">
        <v>52.066400000000002</v>
      </c>
      <c r="C229" s="436">
        <v>51.389000000000003</v>
      </c>
      <c r="D229" s="436">
        <v>51.329099999999997</v>
      </c>
      <c r="E229" s="436">
        <v>51.386800000000001</v>
      </c>
      <c r="F229" s="436">
        <v>51.392699999999998</v>
      </c>
      <c r="G229" s="436">
        <v>51.283300000000004</v>
      </c>
      <c r="H229" s="436">
        <v>51.377000000000002</v>
      </c>
      <c r="I229" s="436">
        <v>51.371199999999995</v>
      </c>
      <c r="J229" s="436">
        <v>51.502900000000004</v>
      </c>
      <c r="K229" s="436">
        <v>51.465400000000002</v>
      </c>
      <c r="L229" s="436">
        <v>51.6524</v>
      </c>
      <c r="M229" s="436">
        <v>51.563900000000004</v>
      </c>
      <c r="N229" s="436">
        <v>51.518300000000004</v>
      </c>
      <c r="O229" s="436">
        <v>51.508600000000001</v>
      </c>
      <c r="P229" s="436">
        <v>51.601999999999997</v>
      </c>
      <c r="Q229" s="436">
        <v>51.588300000000004</v>
      </c>
      <c r="R229" s="436">
        <v>51.573699999999995</v>
      </c>
      <c r="S229" s="436">
        <v>51.637999999999998</v>
      </c>
      <c r="T229" s="436">
        <v>52.054199999999994</v>
      </c>
      <c r="U229" s="436">
        <v>52.0379</v>
      </c>
      <c r="V229" s="436">
        <v>52.080100000000002</v>
      </c>
      <c r="W229" s="436">
        <v>51.849400000000003</v>
      </c>
      <c r="X229" s="436">
        <v>51.8992</v>
      </c>
      <c r="Y229" s="436">
        <v>51.989100000000001</v>
      </c>
      <c r="Z229" s="21">
        <f>IFERROR(B229/'Ar-Pa'!B229,0)</f>
        <v>6.5083000000000002</v>
      </c>
      <c r="AA229" s="21">
        <f>IFERROR(C229/'Ar-Pa'!C229,0)</f>
        <v>6.4236250000000004</v>
      </c>
      <c r="AB229" s="21">
        <f>IFERROR(D229/'Ar-Pa'!D229,0)</f>
        <v>6.4161374999999996</v>
      </c>
      <c r="AC229" s="21">
        <f>IFERROR(E229/'Ar-Pa'!E229,0)</f>
        <v>6.4233500000000001</v>
      </c>
      <c r="AD229" s="21">
        <f>IFERROR(F229/'Ar-Pa'!F229,0)</f>
        <v>6.4240874999999997</v>
      </c>
      <c r="AE229" s="21">
        <f>IFERROR(G229/'Ar-Pa'!G229,0)</f>
        <v>6.4104125000000005</v>
      </c>
      <c r="AF229" s="21">
        <f>IFERROR(H229/'Ar-Pa'!H229,0)</f>
        <v>6.4221250000000003</v>
      </c>
      <c r="AG229" s="21">
        <f>IFERROR(I229/'Ar-Pa'!I229,0)</f>
        <v>6.4213999999999993</v>
      </c>
      <c r="AH229" s="21">
        <f>IFERROR(J229/'Ar-Pa'!J229,0)</f>
        <v>6.4378625000000005</v>
      </c>
      <c r="AI229" s="21">
        <f>IFERROR(K229/'Ar-Pa'!K229,0)</f>
        <v>6.4331750000000003</v>
      </c>
      <c r="AJ229" s="21">
        <f>IFERROR(L229/'Ar-Pa'!L229,0)</f>
        <v>6.45655</v>
      </c>
      <c r="AK229" s="21">
        <f>IFERROR(M229/'Ar-Pa'!M229,0)</f>
        <v>6.4454875000000005</v>
      </c>
      <c r="AL229" s="21">
        <f>IFERROR(N229/'Ar-Pa'!N229,0)</f>
        <v>6.4397875000000004</v>
      </c>
      <c r="AM229" s="21">
        <f>IFERROR(O229/'Ar-Pa'!O229,0)</f>
        <v>6.4385750000000002</v>
      </c>
      <c r="AN229" s="21">
        <f>IFERROR(P229/'Ar-Pa'!P229,0)</f>
        <v>6.4502499999999996</v>
      </c>
      <c r="AO229" s="21">
        <f>IFERROR(Q229/'Ar-Pa'!Q229,0)</f>
        <v>6.4485375000000005</v>
      </c>
      <c r="AP229" s="21">
        <f>IFERROR(R229/'Ar-Pa'!R229,0)</f>
        <v>6.4467124999999994</v>
      </c>
      <c r="AQ229" s="21">
        <f>IFERROR(S229/'Ar-Pa'!S229,0)</f>
        <v>6.4547499999999998</v>
      </c>
      <c r="AR229" s="21">
        <f>IFERROR(T229/'Ar-Pa'!T229,0)</f>
        <v>6.5067749999999993</v>
      </c>
      <c r="AS229" s="21">
        <f>IFERROR(U229/'Ar-Pa'!U229,0)</f>
        <v>6.5047375000000001</v>
      </c>
      <c r="AT229" s="21">
        <f>IFERROR(V229/'Ar-Pa'!V229,0)</f>
        <v>6.5100125000000002</v>
      </c>
      <c r="AU229" s="21">
        <f>IFERROR(W229/'Ar-Pa'!W229,0)</f>
        <v>6.4811750000000004</v>
      </c>
      <c r="AV229" s="21">
        <f>IFERROR(X229/'Ar-Pa'!X229,0)</f>
        <v>6.4874000000000001</v>
      </c>
      <c r="AW229" s="21">
        <f>IFERROR(Y229/'Ar-Pa'!Y229,0)</f>
        <v>6.4986375000000001</v>
      </c>
      <c r="AX229" s="21">
        <f t="shared" si="4"/>
        <v>154.88986250000002</v>
      </c>
    </row>
    <row r="230" spans="1:50">
      <c r="A230" s="15">
        <v>45155</v>
      </c>
      <c r="B230" s="436">
        <v>51.939300000000003</v>
      </c>
      <c r="C230" s="436">
        <v>51.223699999999994</v>
      </c>
      <c r="D230" s="436">
        <v>51.415500000000002</v>
      </c>
      <c r="E230" s="436">
        <v>51.492800000000003</v>
      </c>
      <c r="F230" s="436">
        <v>52.046300000000002</v>
      </c>
      <c r="G230" s="436">
        <v>51.931599999999996</v>
      </c>
      <c r="H230" s="436">
        <v>51.954800000000006</v>
      </c>
      <c r="I230" s="436">
        <v>52.0319</v>
      </c>
      <c r="J230" s="436">
        <v>52.002099999999999</v>
      </c>
      <c r="K230" s="436">
        <v>51.848699999999994</v>
      </c>
      <c r="L230" s="436">
        <v>52.036799999999999</v>
      </c>
      <c r="M230" s="436">
        <v>52.111800000000002</v>
      </c>
      <c r="N230" s="436">
        <v>52.039400000000001</v>
      </c>
      <c r="O230" s="436">
        <v>52.157899999999998</v>
      </c>
      <c r="P230" s="436">
        <v>52.069600000000001</v>
      </c>
      <c r="Q230" s="436">
        <v>52.1434</v>
      </c>
      <c r="R230" s="436">
        <v>52.097699999999996</v>
      </c>
      <c r="S230" s="436">
        <v>52.057499999999997</v>
      </c>
      <c r="T230" s="436">
        <v>52.677099999999996</v>
      </c>
      <c r="U230" s="436">
        <v>52.5929</v>
      </c>
      <c r="V230" s="436">
        <v>62.452400000000004</v>
      </c>
      <c r="W230" s="436">
        <v>52.860099999999996</v>
      </c>
      <c r="X230" s="436">
        <v>52.161999999999999</v>
      </c>
      <c r="Y230" s="436">
        <v>52.358699999999999</v>
      </c>
      <c r="Z230" s="21">
        <f>IFERROR(B230/'Ar-Pa'!B230,0)</f>
        <v>6.4924125000000004</v>
      </c>
      <c r="AA230" s="21">
        <f>IFERROR(C230/'Ar-Pa'!C230,0)</f>
        <v>6.4029624999999992</v>
      </c>
      <c r="AB230" s="21">
        <f>IFERROR(D230/'Ar-Pa'!D230,0)</f>
        <v>6.4269375000000002</v>
      </c>
      <c r="AC230" s="21">
        <f>IFERROR(E230/'Ar-Pa'!E230,0)</f>
        <v>6.4366000000000003</v>
      </c>
      <c r="AD230" s="21">
        <f>IFERROR(F230/'Ar-Pa'!F230,0)</f>
        <v>6.5057875000000003</v>
      </c>
      <c r="AE230" s="21">
        <f>IFERROR(G230/'Ar-Pa'!G230,0)</f>
        <v>6.4914499999999995</v>
      </c>
      <c r="AF230" s="21">
        <f>IFERROR(H230/'Ar-Pa'!H230,0)</f>
        <v>6.4943500000000007</v>
      </c>
      <c r="AG230" s="21">
        <f>IFERROR(I230/'Ar-Pa'!I230,0)</f>
        <v>6.5039875</v>
      </c>
      <c r="AH230" s="21">
        <f>IFERROR(J230/'Ar-Pa'!J230,0)</f>
        <v>6.5002624999999998</v>
      </c>
      <c r="AI230" s="21">
        <f>IFERROR(K230/'Ar-Pa'!K230,0)</f>
        <v>6.4810874999999992</v>
      </c>
      <c r="AJ230" s="21">
        <f>IFERROR(L230/'Ar-Pa'!L230,0)</f>
        <v>6.5045999999999999</v>
      </c>
      <c r="AK230" s="21">
        <f>IFERROR(M230/'Ar-Pa'!M230,0)</f>
        <v>6.5139750000000003</v>
      </c>
      <c r="AL230" s="21">
        <f>IFERROR(N230/'Ar-Pa'!N230,0)</f>
        <v>6.5049250000000001</v>
      </c>
      <c r="AM230" s="21">
        <f>IFERROR(O230/'Ar-Pa'!O230,0)</f>
        <v>6.5197374999999997</v>
      </c>
      <c r="AN230" s="21">
        <f>IFERROR(P230/'Ar-Pa'!P230,0)</f>
        <v>6.5087000000000002</v>
      </c>
      <c r="AO230" s="21">
        <f>IFERROR(Q230/'Ar-Pa'!Q230,0)</f>
        <v>6.517925</v>
      </c>
      <c r="AP230" s="21">
        <f>IFERROR(R230/'Ar-Pa'!R230,0)</f>
        <v>6.5122124999999995</v>
      </c>
      <c r="AQ230" s="21">
        <f>IFERROR(S230/'Ar-Pa'!S230,0)</f>
        <v>6.5071874999999997</v>
      </c>
      <c r="AR230" s="21">
        <f>IFERROR(T230/'Ar-Pa'!T230,0)</f>
        <v>8.779516666666666</v>
      </c>
      <c r="AS230" s="21">
        <f>IFERROR(U230/'Ar-Pa'!U230,0)</f>
        <v>8.765483333333334</v>
      </c>
      <c r="AT230" s="21">
        <f>IFERROR(V230/'Ar-Pa'!V230,0)</f>
        <v>7.8065500000000005</v>
      </c>
      <c r="AU230" s="21">
        <f>IFERROR(W230/'Ar-Pa'!W230,0)</f>
        <v>6.6075124999999995</v>
      </c>
      <c r="AV230" s="21">
        <f>IFERROR(X230/'Ar-Pa'!X230,0)</f>
        <v>6.5202499999999999</v>
      </c>
      <c r="AW230" s="21">
        <f>IFERROR(Y230/'Ar-Pa'!Y230,0)</f>
        <v>6.5448374999999999</v>
      </c>
      <c r="AX230" s="21">
        <f t="shared" si="4"/>
        <v>161.84925000000001</v>
      </c>
    </row>
    <row r="231" spans="1:50">
      <c r="A231" s="15">
        <v>45156</v>
      </c>
      <c r="B231" s="436">
        <v>51.713300000000004</v>
      </c>
      <c r="C231" s="436">
        <v>50.9953</v>
      </c>
      <c r="D231" s="436">
        <v>51.502099999999999</v>
      </c>
      <c r="E231" s="436">
        <v>51.622</v>
      </c>
      <c r="F231" s="436">
        <v>51.688800000000001</v>
      </c>
      <c r="G231" s="436">
        <v>51.630900000000004</v>
      </c>
      <c r="H231" s="436">
        <v>51.667000000000002</v>
      </c>
      <c r="I231" s="436">
        <v>51.8048</v>
      </c>
      <c r="J231" s="436">
        <v>51.794699999999999</v>
      </c>
      <c r="K231" s="436">
        <v>51.877800000000001</v>
      </c>
      <c r="L231" s="436">
        <v>51.905500000000004</v>
      </c>
      <c r="M231" s="436">
        <v>51.880699999999997</v>
      </c>
      <c r="N231" s="436">
        <v>51.814399999999999</v>
      </c>
      <c r="O231" s="436">
        <v>51.905099999999997</v>
      </c>
      <c r="P231" s="436">
        <v>50.545199999999994</v>
      </c>
      <c r="Q231" s="436">
        <v>51.200400000000002</v>
      </c>
      <c r="R231" s="436">
        <v>51.2699</v>
      </c>
      <c r="S231" s="436">
        <v>51.244399999999999</v>
      </c>
      <c r="T231" s="436">
        <v>51.935600000000001</v>
      </c>
      <c r="U231" s="436">
        <v>52.640999999999998</v>
      </c>
      <c r="V231" s="436">
        <v>52.497099999999996</v>
      </c>
      <c r="W231" s="436">
        <v>52.226699999999994</v>
      </c>
      <c r="X231" s="436">
        <v>52.357500000000002</v>
      </c>
      <c r="Y231" s="436">
        <v>53.2361</v>
      </c>
      <c r="Z231" s="21">
        <f>IFERROR(B231/'Ar-Pa'!B231,0)</f>
        <v>7.3876142857142861</v>
      </c>
      <c r="AA231" s="21">
        <f>IFERROR(C231/'Ar-Pa'!C231,0)</f>
        <v>7.2850428571428569</v>
      </c>
      <c r="AB231" s="21">
        <f>IFERROR(D231/'Ar-Pa'!D231,0)</f>
        <v>6.4377624999999998</v>
      </c>
      <c r="AC231" s="21">
        <f>IFERROR(E231/'Ar-Pa'!E231,0)</f>
        <v>6.45275</v>
      </c>
      <c r="AD231" s="21">
        <f>IFERROR(F231/'Ar-Pa'!F231,0)</f>
        <v>6.4611000000000001</v>
      </c>
      <c r="AE231" s="21">
        <f>IFERROR(G231/'Ar-Pa'!G231,0)</f>
        <v>6.4538625000000005</v>
      </c>
      <c r="AF231" s="21">
        <f>IFERROR(H231/'Ar-Pa'!H231,0)</f>
        <v>6.4583750000000002</v>
      </c>
      <c r="AG231" s="21">
        <f>IFERROR(I231/'Ar-Pa'!I231,0)</f>
        <v>6.4756</v>
      </c>
      <c r="AH231" s="21">
        <f>IFERROR(J231/'Ar-Pa'!J231,0)</f>
        <v>6.4743374999999999</v>
      </c>
      <c r="AI231" s="21">
        <f>IFERROR(K231/'Ar-Pa'!K231,0)</f>
        <v>6.4847250000000001</v>
      </c>
      <c r="AJ231" s="21">
        <f>IFERROR(L231/'Ar-Pa'!L231,0)</f>
        <v>6.4881875000000004</v>
      </c>
      <c r="AK231" s="21">
        <f>IFERROR(M231/'Ar-Pa'!M231,0)</f>
        <v>6.4850874999999997</v>
      </c>
      <c r="AL231" s="21">
        <f>IFERROR(N231/'Ar-Pa'!N231,0)</f>
        <v>6.4767999999999999</v>
      </c>
      <c r="AM231" s="21">
        <f>IFERROR(O231/'Ar-Pa'!O231,0)</f>
        <v>6.4881374999999997</v>
      </c>
      <c r="AN231" s="21">
        <f>IFERROR(P231/'Ar-Pa'!P231,0)</f>
        <v>7.2207428571428567</v>
      </c>
      <c r="AO231" s="21">
        <f>IFERROR(Q231/'Ar-Pa'!Q231,0)</f>
        <v>6.4000500000000002</v>
      </c>
      <c r="AP231" s="21">
        <f>IFERROR(R231/'Ar-Pa'!R231,0)</f>
        <v>6.4087375</v>
      </c>
      <c r="AQ231" s="21">
        <f>IFERROR(S231/'Ar-Pa'!S231,0)</f>
        <v>6.4055499999999999</v>
      </c>
      <c r="AR231" s="21">
        <f>IFERROR(T231/'Ar-Pa'!T231,0)</f>
        <v>6.4919500000000001</v>
      </c>
      <c r="AS231" s="21">
        <f>IFERROR(U231/'Ar-Pa'!U231,0)</f>
        <v>6.5801249999999998</v>
      </c>
      <c r="AT231" s="21">
        <f>IFERROR(V231/'Ar-Pa'!V231,0)</f>
        <v>6.5621374999999995</v>
      </c>
      <c r="AU231" s="21">
        <f>IFERROR(W231/'Ar-Pa'!W231,0)</f>
        <v>6.5283374999999992</v>
      </c>
      <c r="AV231" s="21">
        <f>IFERROR(X231/'Ar-Pa'!X231,0)</f>
        <v>6.5446875000000002</v>
      </c>
      <c r="AW231" s="21">
        <f>IFERROR(Y231/'Ar-Pa'!Y231,0)</f>
        <v>6.6545125000000001</v>
      </c>
      <c r="AX231" s="21">
        <f t="shared" si="4"/>
        <v>158.10621250000003</v>
      </c>
    </row>
    <row r="232" spans="1:50">
      <c r="A232" s="15">
        <v>45157</v>
      </c>
      <c r="B232" s="436">
        <v>54.413199999999996</v>
      </c>
      <c r="C232" s="436">
        <v>53.905900000000003</v>
      </c>
      <c r="D232" s="436">
        <v>53.081600000000002</v>
      </c>
      <c r="E232" s="436">
        <v>53.741699999999994</v>
      </c>
      <c r="F232" s="436">
        <v>54.480499999999999</v>
      </c>
      <c r="G232" s="436">
        <v>54.192500000000003</v>
      </c>
      <c r="H232" s="436">
        <v>53.910699999999999</v>
      </c>
      <c r="I232" s="436">
        <v>53.627900000000004</v>
      </c>
      <c r="J232" s="436">
        <v>53.552399999999999</v>
      </c>
      <c r="K232" s="436">
        <v>53.660199999999996</v>
      </c>
      <c r="L232" s="436">
        <v>53.6</v>
      </c>
      <c r="M232" s="436">
        <v>53.665300000000002</v>
      </c>
      <c r="N232" s="436">
        <v>53.493300000000005</v>
      </c>
      <c r="O232" s="436">
        <v>53.537099999999995</v>
      </c>
      <c r="P232" s="436">
        <v>53.651199999999996</v>
      </c>
      <c r="Q232" s="436">
        <v>52.877400000000002</v>
      </c>
      <c r="R232" s="436">
        <v>52.667999999999999</v>
      </c>
      <c r="S232" s="436">
        <v>52.6631</v>
      </c>
      <c r="T232" s="436">
        <v>52.281500000000001</v>
      </c>
      <c r="U232" s="436">
        <v>52.886099999999999</v>
      </c>
      <c r="V232" s="436">
        <v>53.774500000000003</v>
      </c>
      <c r="W232" s="436">
        <v>53.584900000000005</v>
      </c>
      <c r="X232" s="436">
        <v>53.5154</v>
      </c>
      <c r="Y232" s="436">
        <v>53.973099999999995</v>
      </c>
      <c r="Z232" s="21">
        <f>IFERROR(B232/'Ar-Pa'!B232,0)</f>
        <v>6.8016499999999995</v>
      </c>
      <c r="AA232" s="21">
        <f>IFERROR(C232/'Ar-Pa'!C232,0)</f>
        <v>6.7382375000000003</v>
      </c>
      <c r="AB232" s="21">
        <f>IFERROR(D232/'Ar-Pa'!D232,0)</f>
        <v>6.6352000000000002</v>
      </c>
      <c r="AC232" s="21">
        <f>IFERROR(E232/'Ar-Pa'!E232,0)</f>
        <v>6.7177124999999993</v>
      </c>
      <c r="AD232" s="21">
        <f>IFERROR(F232/'Ar-Pa'!F232,0)</f>
        <v>6.8100624999999999</v>
      </c>
      <c r="AE232" s="21">
        <f>IFERROR(G232/'Ar-Pa'!G232,0)</f>
        <v>6.7740625000000003</v>
      </c>
      <c r="AF232" s="21">
        <f>IFERROR(H232/'Ar-Pa'!H232,0)</f>
        <v>6.7388374999999998</v>
      </c>
      <c r="AG232" s="21">
        <f>IFERROR(I232/'Ar-Pa'!I232,0)</f>
        <v>6.7034875000000005</v>
      </c>
      <c r="AH232" s="21">
        <f>IFERROR(J232/'Ar-Pa'!J232,0)</f>
        <v>6.6940499999999998</v>
      </c>
      <c r="AI232" s="21">
        <f>IFERROR(K232/'Ar-Pa'!K232,0)</f>
        <v>6.7075249999999995</v>
      </c>
      <c r="AJ232" s="21">
        <f>IFERROR(L232/'Ar-Pa'!L232,0)</f>
        <v>6.7</v>
      </c>
      <c r="AK232" s="21">
        <f>IFERROR(M232/'Ar-Pa'!M232,0)</f>
        <v>6.7081625000000003</v>
      </c>
      <c r="AL232" s="21">
        <f>IFERROR(N232/'Ar-Pa'!N232,0)</f>
        <v>6.6866625000000006</v>
      </c>
      <c r="AM232" s="21">
        <f>IFERROR(O232/'Ar-Pa'!O232,0)</f>
        <v>6.6921374999999994</v>
      </c>
      <c r="AN232" s="21">
        <f>IFERROR(P232/'Ar-Pa'!P232,0)</f>
        <v>6.7063999999999995</v>
      </c>
      <c r="AO232" s="21">
        <f>IFERROR(Q232/'Ar-Pa'!Q232,0)</f>
        <v>6.6096750000000002</v>
      </c>
      <c r="AP232" s="21">
        <f>IFERROR(R232/'Ar-Pa'!R232,0)</f>
        <v>6.5834999999999999</v>
      </c>
      <c r="AQ232" s="21">
        <f>IFERROR(S232/'Ar-Pa'!S232,0)</f>
        <v>6.5828875</v>
      </c>
      <c r="AR232" s="21">
        <f>IFERROR(T232/'Ar-Pa'!T232,0)</f>
        <v>6.5351875000000001</v>
      </c>
      <c r="AS232" s="21">
        <f>IFERROR(U232/'Ar-Pa'!U232,0)</f>
        <v>6.6107624999999999</v>
      </c>
      <c r="AT232" s="21">
        <f>IFERROR(V232/'Ar-Pa'!V232,0)</f>
        <v>6.7218125000000004</v>
      </c>
      <c r="AU232" s="21">
        <f>IFERROR(W232/'Ar-Pa'!W232,0)</f>
        <v>6.6981125000000006</v>
      </c>
      <c r="AV232" s="21">
        <f>IFERROR(X232/'Ar-Pa'!X232,0)</f>
        <v>6.689425</v>
      </c>
      <c r="AW232" s="21">
        <f>IFERROR(Y232/'Ar-Pa'!Y232,0)</f>
        <v>6.7466374999999994</v>
      </c>
      <c r="AX232" s="21">
        <f t="shared" si="4"/>
        <v>160.59218749999999</v>
      </c>
    </row>
    <row r="233" spans="1:50">
      <c r="A233" s="15">
        <v>45158</v>
      </c>
      <c r="B233" s="436">
        <v>54.173000000000002</v>
      </c>
      <c r="C233" s="436">
        <v>52.912599999999998</v>
      </c>
      <c r="D233" s="436">
        <v>53.3489</v>
      </c>
      <c r="E233" s="436">
        <v>53.692699999999995</v>
      </c>
      <c r="F233" s="436">
        <v>68.198800000000006</v>
      </c>
      <c r="G233" s="436">
        <v>68.14139999999999</v>
      </c>
      <c r="H233" s="436">
        <v>72.511899999999997</v>
      </c>
      <c r="I233" s="436">
        <v>68.58</v>
      </c>
      <c r="J233" s="436">
        <v>53.686</v>
      </c>
      <c r="K233" s="436">
        <v>53.564099999999996</v>
      </c>
      <c r="L233" s="436">
        <v>53.755600000000001</v>
      </c>
      <c r="M233" s="436">
        <v>53.4176</v>
      </c>
      <c r="N233" s="436">
        <v>53.151499999999999</v>
      </c>
      <c r="O233" s="436">
        <v>52.141100000000002</v>
      </c>
      <c r="P233" s="436">
        <v>53.879100000000001</v>
      </c>
      <c r="Q233" s="436">
        <v>54.1233</v>
      </c>
      <c r="R233" s="436">
        <v>54.194099999999999</v>
      </c>
      <c r="S233" s="436">
        <v>54.209300000000006</v>
      </c>
      <c r="T233" s="436">
        <v>53.566000000000003</v>
      </c>
      <c r="U233" s="436">
        <v>53.761099999999999</v>
      </c>
      <c r="V233" s="436">
        <v>53.696400000000004</v>
      </c>
      <c r="W233" s="436">
        <v>53.599599999999995</v>
      </c>
      <c r="X233" s="436">
        <v>53.640999999999998</v>
      </c>
      <c r="Y233" s="436">
        <v>54.065899999999999</v>
      </c>
      <c r="Z233" s="21">
        <f>IFERROR(B233/'Ar-Pa'!B233,0)</f>
        <v>6.7716250000000002</v>
      </c>
      <c r="AA233" s="21">
        <f>IFERROR(C233/'Ar-Pa'!C233,0)</f>
        <v>6.6140749999999997</v>
      </c>
      <c r="AB233" s="21">
        <f>IFERROR(D233/'Ar-Pa'!D233,0)</f>
        <v>6.6686125000000001</v>
      </c>
      <c r="AC233" s="21">
        <f>IFERROR(E233/'Ar-Pa'!E233,0)</f>
        <v>6.7115874999999994</v>
      </c>
      <c r="AD233" s="21">
        <f>IFERROR(F233/'Ar-Pa'!F233,0)</f>
        <v>7.5776444444444451</v>
      </c>
      <c r="AE233" s="21">
        <f>IFERROR(G233/'Ar-Pa'!G233,0)</f>
        <v>7.5712666666666655</v>
      </c>
      <c r="AF233" s="21">
        <f>IFERROR(H233/'Ar-Pa'!H233,0)</f>
        <v>8.0568777777777782</v>
      </c>
      <c r="AG233" s="21">
        <f>IFERROR(I233/'Ar-Pa'!I233,0)</f>
        <v>7.62</v>
      </c>
      <c r="AH233" s="21">
        <f>IFERROR(J233/'Ar-Pa'!J233,0)</f>
        <v>6.71075</v>
      </c>
      <c r="AI233" s="21">
        <f>IFERROR(K233/'Ar-Pa'!K233,0)</f>
        <v>6.6955124999999995</v>
      </c>
      <c r="AJ233" s="21">
        <f>IFERROR(L233/'Ar-Pa'!L233,0)</f>
        <v>5.9728444444444442</v>
      </c>
      <c r="AK233" s="21">
        <f>IFERROR(M233/'Ar-Pa'!M233,0)</f>
        <v>5.9352888888888886</v>
      </c>
      <c r="AL233" s="21">
        <f>IFERROR(N233/'Ar-Pa'!N233,0)</f>
        <v>5.9057222222222219</v>
      </c>
      <c r="AM233" s="21">
        <f>IFERROR(O233/'Ar-Pa'!O233,0)</f>
        <v>5.793455555555556</v>
      </c>
      <c r="AN233" s="21">
        <f>IFERROR(P233/'Ar-Pa'!P233,0)</f>
        <v>7.6970142857142863</v>
      </c>
      <c r="AO233" s="21">
        <f>IFERROR(Q233/'Ar-Pa'!Q233,0)</f>
        <v>6.7654125000000001</v>
      </c>
      <c r="AP233" s="21">
        <f>IFERROR(R233/'Ar-Pa'!R233,0)</f>
        <v>6.7742624999999999</v>
      </c>
      <c r="AQ233" s="21">
        <f>IFERROR(S233/'Ar-Pa'!S233,0)</f>
        <v>6.7761625000000008</v>
      </c>
      <c r="AR233" s="21">
        <f>IFERROR(T233/'Ar-Pa'!T233,0)</f>
        <v>6.6957500000000003</v>
      </c>
      <c r="AS233" s="21">
        <f>IFERROR(U233/'Ar-Pa'!U233,0)</f>
        <v>6.7201374999999999</v>
      </c>
      <c r="AT233" s="21">
        <f>IFERROR(V233/'Ar-Pa'!V233,0)</f>
        <v>6.7120500000000005</v>
      </c>
      <c r="AU233" s="21">
        <f>IFERROR(W233/'Ar-Pa'!W233,0)</f>
        <v>6.6999499999999994</v>
      </c>
      <c r="AV233" s="21">
        <f>IFERROR(X233/'Ar-Pa'!X233,0)</f>
        <v>6.7051249999999998</v>
      </c>
      <c r="AW233" s="21">
        <f>IFERROR(Y233/'Ar-Pa'!Y233,0)</f>
        <v>6.7582374999999999</v>
      </c>
      <c r="AX233" s="21">
        <f t="shared" si="4"/>
        <v>162.9093642857143</v>
      </c>
    </row>
    <row r="234" spans="1:50">
      <c r="A234" s="15">
        <v>45159</v>
      </c>
      <c r="B234" s="436">
        <v>52.927</v>
      </c>
      <c r="C234" s="436">
        <v>54.686999999999998</v>
      </c>
      <c r="D234" s="436">
        <v>54.273600000000002</v>
      </c>
      <c r="E234" s="436">
        <v>53.637500000000003</v>
      </c>
      <c r="F234" s="436">
        <v>53.646999999999998</v>
      </c>
      <c r="G234" s="436">
        <v>53.549900000000001</v>
      </c>
      <c r="H234" s="436">
        <v>53.613500000000002</v>
      </c>
      <c r="I234" s="436">
        <v>53.611699999999999</v>
      </c>
      <c r="J234" s="436">
        <v>53.781599999999997</v>
      </c>
      <c r="K234" s="436">
        <v>53.591999999999999</v>
      </c>
      <c r="L234" s="436">
        <v>53.643300000000004</v>
      </c>
      <c r="M234" s="436">
        <v>53.58</v>
      </c>
      <c r="N234" s="436">
        <v>53.676699999999997</v>
      </c>
      <c r="O234" s="436">
        <v>53.634800000000006</v>
      </c>
      <c r="P234" s="436">
        <v>53.6372</v>
      </c>
      <c r="Q234" s="436">
        <v>53.696599999999997</v>
      </c>
      <c r="R234" s="436">
        <v>53.625999999999998</v>
      </c>
      <c r="S234" s="436">
        <v>53.707699999999996</v>
      </c>
      <c r="T234" s="436">
        <v>67.977999999999994</v>
      </c>
      <c r="U234" s="436">
        <v>67.926299999999998</v>
      </c>
      <c r="V234" s="436">
        <v>67.910800000000009</v>
      </c>
      <c r="W234" s="436">
        <v>69.190600000000003</v>
      </c>
      <c r="X234" s="436">
        <v>70.148200000000003</v>
      </c>
      <c r="Y234" s="436">
        <v>69.829399999999993</v>
      </c>
      <c r="Z234" s="21">
        <f>IFERROR(B234/'Ar-Pa'!B234,0)</f>
        <v>6.615875</v>
      </c>
      <c r="AA234" s="21">
        <f>IFERROR(C234/'Ar-Pa'!C234,0)</f>
        <v>6.8358749999999997</v>
      </c>
      <c r="AB234" s="21">
        <f>IFERROR(D234/'Ar-Pa'!D234,0)</f>
        <v>6.7842000000000002</v>
      </c>
      <c r="AC234" s="21">
        <f>IFERROR(E234/'Ar-Pa'!E234,0)</f>
        <v>6.7046875000000004</v>
      </c>
      <c r="AD234" s="21">
        <f>IFERROR(F234/'Ar-Pa'!F234,0)</f>
        <v>6.7058749999999998</v>
      </c>
      <c r="AE234" s="21">
        <f>IFERROR(G234/'Ar-Pa'!G234,0)</f>
        <v>6.6937375000000001</v>
      </c>
      <c r="AF234" s="21">
        <f>IFERROR(H234/'Ar-Pa'!H234,0)</f>
        <v>6.7016875000000002</v>
      </c>
      <c r="AG234" s="21">
        <f>IFERROR(I234/'Ar-Pa'!I234,0)</f>
        <v>6.7014624999999999</v>
      </c>
      <c r="AH234" s="21">
        <f>IFERROR(J234/'Ar-Pa'!J234,0)</f>
        <v>6.7226999999999997</v>
      </c>
      <c r="AI234" s="21">
        <f>IFERROR(K234/'Ar-Pa'!K234,0)</f>
        <v>6.6989999999999998</v>
      </c>
      <c r="AJ234" s="21">
        <f>IFERROR(L234/'Ar-Pa'!L234,0)</f>
        <v>6.7054125000000004</v>
      </c>
      <c r="AK234" s="21">
        <f>IFERROR(M234/'Ar-Pa'!M234,0)</f>
        <v>6.6974999999999998</v>
      </c>
      <c r="AL234" s="21">
        <f>IFERROR(N234/'Ar-Pa'!N234,0)</f>
        <v>6.7095874999999996</v>
      </c>
      <c r="AM234" s="21">
        <f>IFERROR(O234/'Ar-Pa'!O234,0)</f>
        <v>6.7043500000000007</v>
      </c>
      <c r="AN234" s="21">
        <f>IFERROR(P234/'Ar-Pa'!P234,0)</f>
        <v>6.70465</v>
      </c>
      <c r="AO234" s="21">
        <f>IFERROR(Q234/'Ar-Pa'!Q234,0)</f>
        <v>6.7120749999999996</v>
      </c>
      <c r="AP234" s="21">
        <f>IFERROR(R234/'Ar-Pa'!R234,0)</f>
        <v>6.7032499999999997</v>
      </c>
      <c r="AQ234" s="21">
        <f>IFERROR(S234/'Ar-Pa'!S234,0)</f>
        <v>6.7134624999999994</v>
      </c>
      <c r="AR234" s="21">
        <f>IFERROR(T234/'Ar-Pa'!T234,0)</f>
        <v>8.4972499999999993</v>
      </c>
      <c r="AS234" s="21">
        <f>IFERROR(U234/'Ar-Pa'!U234,0)</f>
        <v>8.4907874999999997</v>
      </c>
      <c r="AT234" s="21">
        <f>IFERROR(V234/'Ar-Pa'!V234,0)</f>
        <v>8.4888500000000011</v>
      </c>
      <c r="AU234" s="21">
        <f>IFERROR(W234/'Ar-Pa'!W234,0)</f>
        <v>8.6488250000000004</v>
      </c>
      <c r="AV234" s="21">
        <f>IFERROR(X234/'Ar-Pa'!X234,0)</f>
        <v>8.7685250000000003</v>
      </c>
      <c r="AW234" s="21">
        <f>IFERROR(Y234/'Ar-Pa'!Y234,0)</f>
        <v>8.7286749999999991</v>
      </c>
      <c r="AX234" s="21">
        <f t="shared" ref="AX234:AX245" si="5">SUM(Z234:AW234)</f>
        <v>172.43830000000003</v>
      </c>
    </row>
    <row r="235" spans="1:50">
      <c r="A235" s="15">
        <v>45160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21">
        <f>IFERROR(B235/'Ar-Pa'!B235,0)</f>
        <v>0</v>
      </c>
      <c r="AA235" s="21">
        <f>IFERROR(C235/'Ar-Pa'!C235,0)</f>
        <v>0</v>
      </c>
      <c r="AB235" s="21">
        <f>IFERROR(D235/'Ar-Pa'!D235,0)</f>
        <v>0</v>
      </c>
      <c r="AC235" s="21">
        <f>IFERROR(E235/'Ar-Pa'!E235,0)</f>
        <v>0</v>
      </c>
      <c r="AD235" s="21">
        <f>IFERROR(F235/'Ar-Pa'!F235,0)</f>
        <v>0</v>
      </c>
      <c r="AE235" s="21">
        <f>IFERROR(G235/'Ar-Pa'!G235,0)</f>
        <v>0</v>
      </c>
      <c r="AF235" s="21">
        <f>IFERROR(H235/'Ar-Pa'!H235,0)</f>
        <v>0</v>
      </c>
      <c r="AG235" s="21">
        <f>IFERROR(I235/'Ar-Pa'!I235,0)</f>
        <v>0</v>
      </c>
      <c r="AH235" s="21">
        <f>IFERROR(J235/'Ar-Pa'!J235,0)</f>
        <v>0</v>
      </c>
      <c r="AI235" s="21">
        <f>IFERROR(K235/'Ar-Pa'!K235,0)</f>
        <v>0</v>
      </c>
      <c r="AJ235" s="21">
        <f>IFERROR(L235/'Ar-Pa'!L235,0)</f>
        <v>0</v>
      </c>
      <c r="AK235" s="21">
        <f>IFERROR(M235/'Ar-Pa'!M235,0)</f>
        <v>0</v>
      </c>
      <c r="AL235" s="21">
        <f>IFERROR(N235/'Ar-Pa'!N235,0)</f>
        <v>0</v>
      </c>
      <c r="AM235" s="21">
        <f>IFERROR(O235/'Ar-Pa'!O235,0)</f>
        <v>0</v>
      </c>
      <c r="AN235" s="21">
        <f>IFERROR(P235/'Ar-Pa'!P235,0)</f>
        <v>0</v>
      </c>
      <c r="AO235" s="21">
        <f>IFERROR(Q235/'Ar-Pa'!Q235,0)</f>
        <v>0</v>
      </c>
      <c r="AP235" s="21">
        <f>IFERROR(R235/'Ar-Pa'!R235,0)</f>
        <v>0</v>
      </c>
      <c r="AQ235" s="21">
        <f>IFERROR(S235/'Ar-Pa'!S235,0)</f>
        <v>0</v>
      </c>
      <c r="AR235" s="21">
        <f>IFERROR(T235/'Ar-Pa'!T235,0)</f>
        <v>0</v>
      </c>
      <c r="AS235" s="21">
        <f>IFERROR(U235/'Ar-Pa'!U235,0)</f>
        <v>0</v>
      </c>
      <c r="AT235" s="21">
        <f>IFERROR(V235/'Ar-Pa'!V235,0)</f>
        <v>0</v>
      </c>
      <c r="AU235" s="21">
        <f>IFERROR(W235/'Ar-Pa'!W235,0)</f>
        <v>0</v>
      </c>
      <c r="AV235" s="21">
        <f>IFERROR(X235/'Ar-Pa'!X235,0)</f>
        <v>0</v>
      </c>
      <c r="AW235" s="21">
        <f>IFERROR(Y235/'Ar-Pa'!Y235,0)</f>
        <v>0</v>
      </c>
      <c r="AX235" s="21">
        <f t="shared" si="5"/>
        <v>0</v>
      </c>
    </row>
    <row r="236" spans="1:50">
      <c r="A236" s="15">
        <v>45161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21">
        <f>IFERROR(B236/'Ar-Pa'!B236,0)</f>
        <v>0</v>
      </c>
      <c r="AA236" s="21">
        <f>IFERROR(C236/'Ar-Pa'!C236,0)</f>
        <v>0</v>
      </c>
      <c r="AB236" s="21">
        <f>IFERROR(D236/'Ar-Pa'!D236,0)</f>
        <v>0</v>
      </c>
      <c r="AC236" s="21">
        <f>IFERROR(E236/'Ar-Pa'!E236,0)</f>
        <v>0</v>
      </c>
      <c r="AD236" s="21">
        <f>IFERROR(F236/'Ar-Pa'!F236,0)</f>
        <v>0</v>
      </c>
      <c r="AE236" s="21">
        <f>IFERROR(G236/'Ar-Pa'!G236,0)</f>
        <v>0</v>
      </c>
      <c r="AF236" s="21">
        <f>IFERROR(H236/'Ar-Pa'!H236,0)</f>
        <v>0</v>
      </c>
      <c r="AG236" s="21">
        <f>IFERROR(I236/'Ar-Pa'!I236,0)</f>
        <v>0</v>
      </c>
      <c r="AH236" s="21">
        <f>IFERROR(J236/'Ar-Pa'!J236,0)</f>
        <v>0</v>
      </c>
      <c r="AI236" s="21">
        <f>IFERROR(K236/'Ar-Pa'!K236,0)</f>
        <v>0</v>
      </c>
      <c r="AJ236" s="21">
        <f>IFERROR(L236/'Ar-Pa'!L236,0)</f>
        <v>0</v>
      </c>
      <c r="AK236" s="21">
        <f>IFERROR(M236/'Ar-Pa'!M236,0)</f>
        <v>0</v>
      </c>
      <c r="AL236" s="21">
        <f>IFERROR(N236/'Ar-Pa'!N236,0)</f>
        <v>0</v>
      </c>
      <c r="AM236" s="21">
        <f>IFERROR(O236/'Ar-Pa'!O236,0)</f>
        <v>0</v>
      </c>
      <c r="AN236" s="21">
        <f>IFERROR(P236/'Ar-Pa'!P236,0)</f>
        <v>0</v>
      </c>
      <c r="AO236" s="21">
        <f>IFERROR(Q236/'Ar-Pa'!Q236,0)</f>
        <v>0</v>
      </c>
      <c r="AP236" s="21">
        <f>IFERROR(R236/'Ar-Pa'!R236,0)</f>
        <v>0</v>
      </c>
      <c r="AQ236" s="21">
        <f>IFERROR(S236/'Ar-Pa'!S236,0)</f>
        <v>0</v>
      </c>
      <c r="AR236" s="21">
        <f>IFERROR(T236/'Ar-Pa'!T236,0)</f>
        <v>0</v>
      </c>
      <c r="AS236" s="21">
        <f>IFERROR(U236/'Ar-Pa'!U236,0)</f>
        <v>0</v>
      </c>
      <c r="AT236" s="21">
        <f>IFERROR(V236/'Ar-Pa'!V236,0)</f>
        <v>0</v>
      </c>
      <c r="AU236" s="21">
        <f>IFERROR(W236/'Ar-Pa'!W236,0)</f>
        <v>0</v>
      </c>
      <c r="AV236" s="21">
        <f>IFERROR(X236/'Ar-Pa'!X236,0)</f>
        <v>0</v>
      </c>
      <c r="AW236" s="21">
        <f>IFERROR(Y236/'Ar-Pa'!Y236,0)</f>
        <v>0</v>
      </c>
      <c r="AX236" s="21">
        <f t="shared" si="5"/>
        <v>0</v>
      </c>
    </row>
    <row r="237" spans="1:50">
      <c r="A237" s="15">
        <v>45162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21">
        <f>IFERROR(B237/'Ar-Pa'!B237,0)</f>
        <v>0</v>
      </c>
      <c r="AA237" s="21">
        <f>IFERROR(C237/'Ar-Pa'!C237,0)</f>
        <v>0</v>
      </c>
      <c r="AB237" s="21">
        <f>IFERROR(D237/'Ar-Pa'!D237,0)</f>
        <v>0</v>
      </c>
      <c r="AC237" s="21">
        <f>IFERROR(E237/'Ar-Pa'!E237,0)</f>
        <v>0</v>
      </c>
      <c r="AD237" s="21">
        <f>IFERROR(F237/'Ar-Pa'!F237,0)</f>
        <v>0</v>
      </c>
      <c r="AE237" s="21">
        <f>IFERROR(G237/'Ar-Pa'!G237,0)</f>
        <v>0</v>
      </c>
      <c r="AF237" s="21">
        <f>IFERROR(H237/'Ar-Pa'!H237,0)</f>
        <v>0</v>
      </c>
      <c r="AG237" s="21">
        <f>IFERROR(I237/'Ar-Pa'!I237,0)</f>
        <v>0</v>
      </c>
      <c r="AH237" s="21">
        <f>IFERROR(J237/'Ar-Pa'!J237,0)</f>
        <v>0</v>
      </c>
      <c r="AI237" s="21">
        <f>IFERROR(K237/'Ar-Pa'!K237,0)</f>
        <v>0</v>
      </c>
      <c r="AJ237" s="21">
        <f>IFERROR(L237/'Ar-Pa'!L237,0)</f>
        <v>0</v>
      </c>
      <c r="AK237" s="21">
        <f>IFERROR(M237/'Ar-Pa'!M237,0)</f>
        <v>0</v>
      </c>
      <c r="AL237" s="21">
        <f>IFERROR(N237/'Ar-Pa'!N237,0)</f>
        <v>0</v>
      </c>
      <c r="AM237" s="21">
        <f>IFERROR(O237/'Ar-Pa'!O237,0)</f>
        <v>0</v>
      </c>
      <c r="AN237" s="21">
        <f>IFERROR(P237/'Ar-Pa'!P237,0)</f>
        <v>0</v>
      </c>
      <c r="AO237" s="21">
        <f>IFERROR(Q237/'Ar-Pa'!Q237,0)</f>
        <v>0</v>
      </c>
      <c r="AP237" s="21">
        <f>IFERROR(R237/'Ar-Pa'!R237,0)</f>
        <v>0</v>
      </c>
      <c r="AQ237" s="21">
        <f>IFERROR(S237/'Ar-Pa'!S237,0)</f>
        <v>0</v>
      </c>
      <c r="AR237" s="21">
        <f>IFERROR(T237/'Ar-Pa'!T237,0)</f>
        <v>0</v>
      </c>
      <c r="AS237" s="21">
        <f>IFERROR(U237/'Ar-Pa'!U237,0)</f>
        <v>0</v>
      </c>
      <c r="AT237" s="21">
        <f>IFERROR(V237/'Ar-Pa'!V237,0)</f>
        <v>0</v>
      </c>
      <c r="AU237" s="21">
        <f>IFERROR(W237/'Ar-Pa'!W237,0)</f>
        <v>0</v>
      </c>
      <c r="AV237" s="21">
        <f>IFERROR(X237/'Ar-Pa'!X237,0)</f>
        <v>0</v>
      </c>
      <c r="AW237" s="21">
        <f>IFERROR(Y237/'Ar-Pa'!Y237,0)</f>
        <v>0</v>
      </c>
      <c r="AX237" s="21">
        <f t="shared" si="5"/>
        <v>0</v>
      </c>
    </row>
    <row r="238" spans="1:50">
      <c r="A238" s="15">
        <v>45163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21">
        <f>IFERROR(B238/'Ar-Pa'!B238,0)</f>
        <v>0</v>
      </c>
      <c r="AA238" s="21">
        <f>IFERROR(C238/'Ar-Pa'!C238,0)</f>
        <v>0</v>
      </c>
      <c r="AB238" s="21">
        <f>IFERROR(D238/'Ar-Pa'!D238,0)</f>
        <v>0</v>
      </c>
      <c r="AC238" s="21">
        <f>IFERROR(E238/'Ar-Pa'!E238,0)</f>
        <v>0</v>
      </c>
      <c r="AD238" s="21">
        <f>IFERROR(F238/'Ar-Pa'!F238,0)</f>
        <v>0</v>
      </c>
      <c r="AE238" s="21">
        <f>IFERROR(G238/'Ar-Pa'!G238,0)</f>
        <v>0</v>
      </c>
      <c r="AF238" s="21">
        <f>IFERROR(H238/'Ar-Pa'!H238,0)</f>
        <v>0</v>
      </c>
      <c r="AG238" s="21">
        <f>IFERROR(I238/'Ar-Pa'!I238,0)</f>
        <v>0</v>
      </c>
      <c r="AH238" s="21">
        <f>IFERROR(J238/'Ar-Pa'!J238,0)</f>
        <v>0</v>
      </c>
      <c r="AI238" s="21">
        <f>IFERROR(K238/'Ar-Pa'!K238,0)</f>
        <v>0</v>
      </c>
      <c r="AJ238" s="21">
        <f>IFERROR(L238/'Ar-Pa'!L238,0)</f>
        <v>0</v>
      </c>
      <c r="AK238" s="21">
        <f>IFERROR(M238/'Ar-Pa'!M238,0)</f>
        <v>0</v>
      </c>
      <c r="AL238" s="21">
        <f>IFERROR(N238/'Ar-Pa'!N238,0)</f>
        <v>0</v>
      </c>
      <c r="AM238" s="21">
        <f>IFERROR(O238/'Ar-Pa'!O238,0)</f>
        <v>0</v>
      </c>
      <c r="AN238" s="21">
        <f>IFERROR(P238/'Ar-Pa'!P238,0)</f>
        <v>0</v>
      </c>
      <c r="AO238" s="21">
        <f>IFERROR(Q238/'Ar-Pa'!Q238,0)</f>
        <v>0</v>
      </c>
      <c r="AP238" s="21">
        <f>IFERROR(R238/'Ar-Pa'!R238,0)</f>
        <v>0</v>
      </c>
      <c r="AQ238" s="21">
        <f>IFERROR(S238/'Ar-Pa'!S238,0)</f>
        <v>0</v>
      </c>
      <c r="AR238" s="21">
        <f>IFERROR(T238/'Ar-Pa'!T238,0)</f>
        <v>0</v>
      </c>
      <c r="AS238" s="21">
        <f>IFERROR(U238/'Ar-Pa'!U238,0)</f>
        <v>0</v>
      </c>
      <c r="AT238" s="21">
        <f>IFERROR(V238/'Ar-Pa'!V238,0)</f>
        <v>0</v>
      </c>
      <c r="AU238" s="21">
        <f>IFERROR(W238/'Ar-Pa'!W238,0)</f>
        <v>0</v>
      </c>
      <c r="AV238" s="21">
        <f>IFERROR(X238/'Ar-Pa'!X238,0)</f>
        <v>0</v>
      </c>
      <c r="AW238" s="21">
        <f>IFERROR(Y238/'Ar-Pa'!Y238,0)</f>
        <v>0</v>
      </c>
      <c r="AX238" s="21">
        <f t="shared" si="5"/>
        <v>0</v>
      </c>
    </row>
    <row r="239" spans="1:50">
      <c r="A239" s="15">
        <v>45164</v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21">
        <f>IFERROR(B239/'Ar-Pa'!B239,0)</f>
        <v>0</v>
      </c>
      <c r="AA239" s="21">
        <f>IFERROR(C239/'Ar-Pa'!C239,0)</f>
        <v>0</v>
      </c>
      <c r="AB239" s="21">
        <f>IFERROR(D239/'Ar-Pa'!D239,0)</f>
        <v>0</v>
      </c>
      <c r="AC239" s="21">
        <f>IFERROR(E239/'Ar-Pa'!E239,0)</f>
        <v>0</v>
      </c>
      <c r="AD239" s="21">
        <f>IFERROR(F239/'Ar-Pa'!F239,0)</f>
        <v>0</v>
      </c>
      <c r="AE239" s="21">
        <f>IFERROR(G239/'Ar-Pa'!G239,0)</f>
        <v>0</v>
      </c>
      <c r="AF239" s="21">
        <f>IFERROR(H239/'Ar-Pa'!H239,0)</f>
        <v>0</v>
      </c>
      <c r="AG239" s="21">
        <f>IFERROR(I239/'Ar-Pa'!I239,0)</f>
        <v>0</v>
      </c>
      <c r="AH239" s="21">
        <f>IFERROR(J239/'Ar-Pa'!J239,0)</f>
        <v>0</v>
      </c>
      <c r="AI239" s="21">
        <f>IFERROR(K239/'Ar-Pa'!K239,0)</f>
        <v>0</v>
      </c>
      <c r="AJ239" s="21">
        <f>IFERROR(L239/'Ar-Pa'!L239,0)</f>
        <v>0</v>
      </c>
      <c r="AK239" s="21">
        <f>IFERROR(M239/'Ar-Pa'!M239,0)</f>
        <v>0</v>
      </c>
      <c r="AL239" s="21">
        <f>IFERROR(N239/'Ar-Pa'!N239,0)</f>
        <v>0</v>
      </c>
      <c r="AM239" s="21">
        <f>IFERROR(O239/'Ar-Pa'!O239,0)</f>
        <v>0</v>
      </c>
      <c r="AN239" s="21">
        <f>IFERROR(P239/'Ar-Pa'!P239,0)</f>
        <v>0</v>
      </c>
      <c r="AO239" s="21">
        <f>IFERROR(Q239/'Ar-Pa'!Q239,0)</f>
        <v>0</v>
      </c>
      <c r="AP239" s="21">
        <f>IFERROR(R239/'Ar-Pa'!R239,0)</f>
        <v>0</v>
      </c>
      <c r="AQ239" s="21">
        <f>IFERROR(S239/'Ar-Pa'!S239,0)</f>
        <v>0</v>
      </c>
      <c r="AR239" s="21">
        <f>IFERROR(T239/'Ar-Pa'!T239,0)</f>
        <v>0</v>
      </c>
      <c r="AS239" s="21">
        <f>IFERROR(U239/'Ar-Pa'!U239,0)</f>
        <v>0</v>
      </c>
      <c r="AT239" s="21">
        <f>IFERROR(V239/'Ar-Pa'!V239,0)</f>
        <v>0</v>
      </c>
      <c r="AU239" s="21">
        <f>IFERROR(W239/'Ar-Pa'!W239,0)</f>
        <v>0</v>
      </c>
      <c r="AV239" s="21">
        <f>IFERROR(X239/'Ar-Pa'!X239,0)</f>
        <v>0</v>
      </c>
      <c r="AW239" s="21">
        <f>IFERROR(Y239/'Ar-Pa'!Y239,0)</f>
        <v>0</v>
      </c>
      <c r="AX239" s="21">
        <f t="shared" si="5"/>
        <v>0</v>
      </c>
    </row>
    <row r="240" spans="1:50">
      <c r="A240" s="15">
        <v>45165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21">
        <f>IFERROR(B240/'Ar-Pa'!B240,0)</f>
        <v>0</v>
      </c>
      <c r="AA240" s="21">
        <f>IFERROR(C240/'Ar-Pa'!C240,0)</f>
        <v>0</v>
      </c>
      <c r="AB240" s="21">
        <f>IFERROR(D240/'Ar-Pa'!D240,0)</f>
        <v>0</v>
      </c>
      <c r="AC240" s="21">
        <f>IFERROR(E240/'Ar-Pa'!E240,0)</f>
        <v>0</v>
      </c>
      <c r="AD240" s="21">
        <f>IFERROR(F240/'Ar-Pa'!F240,0)</f>
        <v>0</v>
      </c>
      <c r="AE240" s="21">
        <f>IFERROR(G240/'Ar-Pa'!G240,0)</f>
        <v>0</v>
      </c>
      <c r="AF240" s="21">
        <f>IFERROR(H240/'Ar-Pa'!H240,0)</f>
        <v>0</v>
      </c>
      <c r="AG240" s="21">
        <f>IFERROR(I240/'Ar-Pa'!I240,0)</f>
        <v>0</v>
      </c>
      <c r="AH240" s="21">
        <f>IFERROR(J240/'Ar-Pa'!J240,0)</f>
        <v>0</v>
      </c>
      <c r="AI240" s="21">
        <f>IFERROR(K240/'Ar-Pa'!K240,0)</f>
        <v>0</v>
      </c>
      <c r="AJ240" s="21">
        <f>IFERROR(L240/'Ar-Pa'!L240,0)</f>
        <v>0</v>
      </c>
      <c r="AK240" s="21">
        <f>IFERROR(M240/'Ar-Pa'!M240,0)</f>
        <v>0</v>
      </c>
      <c r="AL240" s="21">
        <f>IFERROR(N240/'Ar-Pa'!N240,0)</f>
        <v>0</v>
      </c>
      <c r="AM240" s="21">
        <f>IFERROR(O240/'Ar-Pa'!O240,0)</f>
        <v>0</v>
      </c>
      <c r="AN240" s="21">
        <f>IFERROR(P240/'Ar-Pa'!P240,0)</f>
        <v>0</v>
      </c>
      <c r="AO240" s="21">
        <f>IFERROR(Q240/'Ar-Pa'!Q240,0)</f>
        <v>0</v>
      </c>
      <c r="AP240" s="21">
        <f>IFERROR(R240/'Ar-Pa'!R240,0)</f>
        <v>0</v>
      </c>
      <c r="AQ240" s="21">
        <f>IFERROR(S240/'Ar-Pa'!S240,0)</f>
        <v>0</v>
      </c>
      <c r="AR240" s="21">
        <f>IFERROR(T240/'Ar-Pa'!T240,0)</f>
        <v>0</v>
      </c>
      <c r="AS240" s="21">
        <f>IFERROR(U240/'Ar-Pa'!U240,0)</f>
        <v>0</v>
      </c>
      <c r="AT240" s="21">
        <f>IFERROR(V240/'Ar-Pa'!V240,0)</f>
        <v>0</v>
      </c>
      <c r="AU240" s="21">
        <f>IFERROR(W240/'Ar-Pa'!W240,0)</f>
        <v>0</v>
      </c>
      <c r="AV240" s="21">
        <f>IFERROR(X240/'Ar-Pa'!X240,0)</f>
        <v>0</v>
      </c>
      <c r="AW240" s="21">
        <f>IFERROR(Y240/'Ar-Pa'!Y240,0)</f>
        <v>0</v>
      </c>
      <c r="AX240" s="21">
        <f t="shared" si="5"/>
        <v>0</v>
      </c>
    </row>
    <row r="241" spans="1:50">
      <c r="A241" s="15">
        <v>45166</v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21">
        <f>IFERROR(B241/'Ar-Pa'!B241,0)</f>
        <v>0</v>
      </c>
      <c r="AA241" s="21">
        <f>IFERROR(C241/'Ar-Pa'!C241,0)</f>
        <v>0</v>
      </c>
      <c r="AB241" s="21">
        <f>IFERROR(D241/'Ar-Pa'!D241,0)</f>
        <v>0</v>
      </c>
      <c r="AC241" s="21">
        <f>IFERROR(E241/'Ar-Pa'!E241,0)</f>
        <v>0</v>
      </c>
      <c r="AD241" s="21">
        <f>IFERROR(F241/'Ar-Pa'!F241,0)</f>
        <v>0</v>
      </c>
      <c r="AE241" s="21">
        <f>IFERROR(G241/'Ar-Pa'!G241,0)</f>
        <v>0</v>
      </c>
      <c r="AF241" s="21">
        <f>IFERROR(H241/'Ar-Pa'!H241,0)</f>
        <v>0</v>
      </c>
      <c r="AG241" s="21">
        <f>IFERROR(I241/'Ar-Pa'!I241,0)</f>
        <v>0</v>
      </c>
      <c r="AH241" s="21">
        <f>IFERROR(J241/'Ar-Pa'!J241,0)</f>
        <v>0</v>
      </c>
      <c r="AI241" s="21">
        <f>IFERROR(K241/'Ar-Pa'!K241,0)</f>
        <v>0</v>
      </c>
      <c r="AJ241" s="21">
        <f>IFERROR(L241/'Ar-Pa'!L241,0)</f>
        <v>0</v>
      </c>
      <c r="AK241" s="21">
        <f>IFERROR(M241/'Ar-Pa'!M241,0)</f>
        <v>0</v>
      </c>
      <c r="AL241" s="21">
        <f>IFERROR(N241/'Ar-Pa'!N241,0)</f>
        <v>0</v>
      </c>
      <c r="AM241" s="21">
        <f>IFERROR(O241/'Ar-Pa'!O241,0)</f>
        <v>0</v>
      </c>
      <c r="AN241" s="21">
        <f>IFERROR(P241/'Ar-Pa'!P241,0)</f>
        <v>0</v>
      </c>
      <c r="AO241" s="21">
        <f>IFERROR(Q241/'Ar-Pa'!Q241,0)</f>
        <v>0</v>
      </c>
      <c r="AP241" s="21">
        <f>IFERROR(R241/'Ar-Pa'!R241,0)</f>
        <v>0</v>
      </c>
      <c r="AQ241" s="21">
        <f>IFERROR(S241/'Ar-Pa'!S241,0)</f>
        <v>0</v>
      </c>
      <c r="AR241" s="21">
        <f>IFERROR(T241/'Ar-Pa'!T241,0)</f>
        <v>0</v>
      </c>
      <c r="AS241" s="21">
        <f>IFERROR(U241/'Ar-Pa'!U241,0)</f>
        <v>0</v>
      </c>
      <c r="AT241" s="21">
        <f>IFERROR(V241/'Ar-Pa'!V241,0)</f>
        <v>0</v>
      </c>
      <c r="AU241" s="21">
        <f>IFERROR(W241/'Ar-Pa'!W241,0)</f>
        <v>0</v>
      </c>
      <c r="AV241" s="21">
        <f>IFERROR(X241/'Ar-Pa'!X241,0)</f>
        <v>0</v>
      </c>
      <c r="AW241" s="21">
        <f>IFERROR(Y241/'Ar-Pa'!Y241,0)</f>
        <v>0</v>
      </c>
      <c r="AX241" s="21">
        <f t="shared" si="5"/>
        <v>0</v>
      </c>
    </row>
    <row r="242" spans="1:50">
      <c r="A242" s="15">
        <v>45167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21">
        <f>IFERROR(B242/'Ar-Pa'!B242,0)</f>
        <v>0</v>
      </c>
      <c r="AA242" s="21">
        <f>IFERROR(C242/'Ar-Pa'!C242,0)</f>
        <v>0</v>
      </c>
      <c r="AB242" s="21">
        <f>IFERROR(D242/'Ar-Pa'!D242,0)</f>
        <v>0</v>
      </c>
      <c r="AC242" s="21">
        <f>IFERROR(E242/'Ar-Pa'!E242,0)</f>
        <v>0</v>
      </c>
      <c r="AD242" s="21">
        <f>IFERROR(F242/'Ar-Pa'!F242,0)</f>
        <v>0</v>
      </c>
      <c r="AE242" s="21">
        <f>IFERROR(G242/'Ar-Pa'!G242,0)</f>
        <v>0</v>
      </c>
      <c r="AF242" s="21">
        <f>IFERROR(H242/'Ar-Pa'!H242,0)</f>
        <v>0</v>
      </c>
      <c r="AG242" s="21">
        <f>IFERROR(I242/'Ar-Pa'!I242,0)</f>
        <v>0</v>
      </c>
      <c r="AH242" s="21">
        <f>IFERROR(J242/'Ar-Pa'!J242,0)</f>
        <v>0</v>
      </c>
      <c r="AI242" s="21">
        <f>IFERROR(K242/'Ar-Pa'!K242,0)</f>
        <v>0</v>
      </c>
      <c r="AJ242" s="21">
        <f>IFERROR(L242/'Ar-Pa'!L242,0)</f>
        <v>0</v>
      </c>
      <c r="AK242" s="21">
        <f>IFERROR(M242/'Ar-Pa'!M242,0)</f>
        <v>0</v>
      </c>
      <c r="AL242" s="21">
        <f>IFERROR(N242/'Ar-Pa'!N242,0)</f>
        <v>0</v>
      </c>
      <c r="AM242" s="21">
        <f>IFERROR(O242/'Ar-Pa'!O242,0)</f>
        <v>0</v>
      </c>
      <c r="AN242" s="21">
        <f>IFERROR(P242/'Ar-Pa'!P242,0)</f>
        <v>0</v>
      </c>
      <c r="AO242" s="21">
        <f>IFERROR(Q242/'Ar-Pa'!Q242,0)</f>
        <v>0</v>
      </c>
      <c r="AP242" s="21">
        <f>IFERROR(R242/'Ar-Pa'!R242,0)</f>
        <v>0</v>
      </c>
      <c r="AQ242" s="21">
        <f>IFERROR(S242/'Ar-Pa'!S242,0)</f>
        <v>0</v>
      </c>
      <c r="AR242" s="21">
        <f>IFERROR(T242/'Ar-Pa'!T242,0)</f>
        <v>0</v>
      </c>
      <c r="AS242" s="21">
        <f>IFERROR(U242/'Ar-Pa'!U242,0)</f>
        <v>0</v>
      </c>
      <c r="AT242" s="21">
        <f>IFERROR(V242/'Ar-Pa'!V242,0)</f>
        <v>0</v>
      </c>
      <c r="AU242" s="21">
        <f>IFERROR(W242/'Ar-Pa'!W242,0)</f>
        <v>0</v>
      </c>
      <c r="AV242" s="21">
        <f>IFERROR(X242/'Ar-Pa'!X242,0)</f>
        <v>0</v>
      </c>
      <c r="AW242" s="21">
        <f>IFERROR(Y242/'Ar-Pa'!Y242,0)</f>
        <v>0</v>
      </c>
      <c r="AX242" s="21">
        <f t="shared" si="5"/>
        <v>0</v>
      </c>
    </row>
    <row r="243" spans="1:50">
      <c r="A243" s="15">
        <v>45168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21">
        <f>IFERROR(B243/'Ar-Pa'!B243,0)</f>
        <v>0</v>
      </c>
      <c r="AA243" s="21">
        <f>IFERROR(C243/'Ar-Pa'!C243,0)</f>
        <v>0</v>
      </c>
      <c r="AB243" s="21">
        <f>IFERROR(D243/'Ar-Pa'!D243,0)</f>
        <v>0</v>
      </c>
      <c r="AC243" s="21">
        <f>IFERROR(E243/'Ar-Pa'!E243,0)</f>
        <v>0</v>
      </c>
      <c r="AD243" s="21">
        <f>IFERROR(F243/'Ar-Pa'!F243,0)</f>
        <v>0</v>
      </c>
      <c r="AE243" s="21">
        <f>IFERROR(G243/'Ar-Pa'!G243,0)</f>
        <v>0</v>
      </c>
      <c r="AF243" s="21">
        <f>IFERROR(H243/'Ar-Pa'!H243,0)</f>
        <v>0</v>
      </c>
      <c r="AG243" s="21">
        <f>IFERROR(I243/'Ar-Pa'!I243,0)</f>
        <v>0</v>
      </c>
      <c r="AH243" s="21">
        <f>IFERROR(J243/'Ar-Pa'!J243,0)</f>
        <v>0</v>
      </c>
      <c r="AI243" s="21">
        <f>IFERROR(K243/'Ar-Pa'!K243,0)</f>
        <v>0</v>
      </c>
      <c r="AJ243" s="21">
        <f>IFERROR(L243/'Ar-Pa'!L243,0)</f>
        <v>0</v>
      </c>
      <c r="AK243" s="21">
        <f>IFERROR(M243/'Ar-Pa'!M243,0)</f>
        <v>0</v>
      </c>
      <c r="AL243" s="21">
        <f>IFERROR(N243/'Ar-Pa'!N243,0)</f>
        <v>0</v>
      </c>
      <c r="AM243" s="21">
        <f>IFERROR(O243/'Ar-Pa'!O243,0)</f>
        <v>0</v>
      </c>
      <c r="AN243" s="21">
        <f>IFERROR(P243/'Ar-Pa'!P243,0)</f>
        <v>0</v>
      </c>
      <c r="AO243" s="21">
        <f>IFERROR(Q243/'Ar-Pa'!Q243,0)</f>
        <v>0</v>
      </c>
      <c r="AP243" s="21">
        <f>IFERROR(R243/'Ar-Pa'!R243,0)</f>
        <v>0</v>
      </c>
      <c r="AQ243" s="21">
        <f>IFERROR(S243/'Ar-Pa'!S243,0)</f>
        <v>0</v>
      </c>
      <c r="AR243" s="21">
        <f>IFERROR(T243/'Ar-Pa'!T243,0)</f>
        <v>0</v>
      </c>
      <c r="AS243" s="21">
        <f>IFERROR(U243/'Ar-Pa'!U243,0)</f>
        <v>0</v>
      </c>
      <c r="AT243" s="21">
        <f>IFERROR(V243/'Ar-Pa'!V243,0)</f>
        <v>0</v>
      </c>
      <c r="AU243" s="21">
        <f>IFERROR(W243/'Ar-Pa'!W243,0)</f>
        <v>0</v>
      </c>
      <c r="AV243" s="21">
        <f>IFERROR(X243/'Ar-Pa'!X243,0)</f>
        <v>0</v>
      </c>
      <c r="AW243" s="21">
        <f>IFERROR(Y243/'Ar-Pa'!Y243,0)</f>
        <v>0</v>
      </c>
      <c r="AX243" s="21">
        <f t="shared" si="5"/>
        <v>0</v>
      </c>
    </row>
    <row r="244" spans="1:50">
      <c r="A244" s="15">
        <v>45169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21">
        <f>IFERROR(B244/'Ar-Pa'!B244,0)</f>
        <v>0</v>
      </c>
      <c r="AA244" s="21">
        <f>IFERROR(C244/'Ar-Pa'!C244,0)</f>
        <v>0</v>
      </c>
      <c r="AB244" s="21">
        <f>IFERROR(D244/'Ar-Pa'!D244,0)</f>
        <v>0</v>
      </c>
      <c r="AC244" s="21">
        <f>IFERROR(E244/'Ar-Pa'!E244,0)</f>
        <v>0</v>
      </c>
      <c r="AD244" s="21">
        <f>IFERROR(F244/'Ar-Pa'!F244,0)</f>
        <v>0</v>
      </c>
      <c r="AE244" s="21">
        <f>IFERROR(G244/'Ar-Pa'!G244,0)</f>
        <v>0</v>
      </c>
      <c r="AF244" s="21">
        <f>IFERROR(H244/'Ar-Pa'!H244,0)</f>
        <v>0</v>
      </c>
      <c r="AG244" s="21">
        <f>IFERROR(I244/'Ar-Pa'!I244,0)</f>
        <v>0</v>
      </c>
      <c r="AH244" s="21">
        <f>IFERROR(J244/'Ar-Pa'!J244,0)</f>
        <v>0</v>
      </c>
      <c r="AI244" s="21">
        <f>IFERROR(K244/'Ar-Pa'!K244,0)</f>
        <v>0</v>
      </c>
      <c r="AJ244" s="21">
        <f>IFERROR(L244/'Ar-Pa'!L244,0)</f>
        <v>0</v>
      </c>
      <c r="AK244" s="21">
        <f>IFERROR(M244/'Ar-Pa'!M244,0)</f>
        <v>0</v>
      </c>
      <c r="AL244" s="21">
        <f>IFERROR(N244/'Ar-Pa'!N244,0)</f>
        <v>0</v>
      </c>
      <c r="AM244" s="21">
        <f>IFERROR(O244/'Ar-Pa'!O244,0)</f>
        <v>0</v>
      </c>
      <c r="AN244" s="21">
        <f>IFERROR(P244/'Ar-Pa'!P244,0)</f>
        <v>0</v>
      </c>
      <c r="AO244" s="21">
        <f>IFERROR(Q244/'Ar-Pa'!Q244,0)</f>
        <v>0</v>
      </c>
      <c r="AP244" s="21">
        <f>IFERROR(R244/'Ar-Pa'!R244,0)</f>
        <v>0</v>
      </c>
      <c r="AQ244" s="21">
        <f>IFERROR(S244/'Ar-Pa'!S244,0)</f>
        <v>0</v>
      </c>
      <c r="AR244" s="21">
        <f>IFERROR(T244/'Ar-Pa'!T244,0)</f>
        <v>0</v>
      </c>
      <c r="AS244" s="21">
        <f>IFERROR(U244/'Ar-Pa'!U244,0)</f>
        <v>0</v>
      </c>
      <c r="AT244" s="21">
        <f>IFERROR(V244/'Ar-Pa'!V244,0)</f>
        <v>0</v>
      </c>
      <c r="AU244" s="21">
        <f>IFERROR(W244/'Ar-Pa'!W244,0)</f>
        <v>0</v>
      </c>
      <c r="AV244" s="21">
        <f>IFERROR(X244/'Ar-Pa'!X244,0)</f>
        <v>0</v>
      </c>
      <c r="AW244" s="21">
        <f>IFERROR(Y244/'Ar-Pa'!Y244,0)</f>
        <v>0</v>
      </c>
      <c r="AX244" s="21">
        <f t="shared" si="5"/>
        <v>0</v>
      </c>
    </row>
    <row r="245" spans="1:50">
      <c r="A245" s="15">
        <v>45170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21">
        <f>IFERROR(B245/'Ar-Pa'!B245,0)</f>
        <v>0</v>
      </c>
      <c r="AA245" s="21">
        <f>IFERROR(C245/'Ar-Pa'!C245,0)</f>
        <v>0</v>
      </c>
      <c r="AB245" s="21">
        <f>IFERROR(D245/'Ar-Pa'!D245,0)</f>
        <v>0</v>
      </c>
      <c r="AC245" s="21">
        <f>IFERROR(E245/'Ar-Pa'!E245,0)</f>
        <v>0</v>
      </c>
      <c r="AD245" s="21">
        <f>IFERROR(F245/'Ar-Pa'!F245,0)</f>
        <v>0</v>
      </c>
      <c r="AE245" s="21">
        <f>IFERROR(G245/'Ar-Pa'!G245,0)</f>
        <v>0</v>
      </c>
      <c r="AF245" s="21">
        <f>IFERROR(H245/'Ar-Pa'!H245,0)</f>
        <v>0</v>
      </c>
      <c r="AG245" s="21">
        <f>IFERROR(I245/'Ar-Pa'!I245,0)</f>
        <v>0</v>
      </c>
      <c r="AH245" s="21">
        <f>IFERROR(J245/'Ar-Pa'!J245,0)</f>
        <v>0</v>
      </c>
      <c r="AI245" s="21">
        <f>IFERROR(K245/'Ar-Pa'!K245,0)</f>
        <v>0</v>
      </c>
      <c r="AJ245" s="21">
        <f>IFERROR(L245/'Ar-Pa'!L245,0)</f>
        <v>0</v>
      </c>
      <c r="AK245" s="21">
        <f>IFERROR(M245/'Ar-Pa'!M245,0)</f>
        <v>0</v>
      </c>
      <c r="AL245" s="21">
        <f>IFERROR(N245/'Ar-Pa'!N245,0)</f>
        <v>0</v>
      </c>
      <c r="AM245" s="21">
        <f>IFERROR(O245/'Ar-Pa'!O245,0)</f>
        <v>0</v>
      </c>
      <c r="AN245" s="21">
        <f>IFERROR(P245/'Ar-Pa'!P245,0)</f>
        <v>0</v>
      </c>
      <c r="AO245" s="21">
        <f>IFERROR(Q245/'Ar-Pa'!Q245,0)</f>
        <v>0</v>
      </c>
      <c r="AP245" s="21">
        <f>IFERROR(R245/'Ar-Pa'!R245,0)</f>
        <v>0</v>
      </c>
      <c r="AQ245" s="21">
        <f>IFERROR(S245/'Ar-Pa'!S245,0)</f>
        <v>0</v>
      </c>
      <c r="AR245" s="21">
        <f>IFERROR(T245/'Ar-Pa'!T245,0)</f>
        <v>0</v>
      </c>
      <c r="AS245" s="21">
        <f>IFERROR(U245/'Ar-Pa'!U245,0)</f>
        <v>0</v>
      </c>
      <c r="AT245" s="21">
        <f>IFERROR(V245/'Ar-Pa'!V245,0)</f>
        <v>0</v>
      </c>
      <c r="AU245" s="21">
        <f>IFERROR(W245/'Ar-Pa'!W245,0)</f>
        <v>0</v>
      </c>
      <c r="AV245" s="21">
        <f>IFERROR(X245/'Ar-Pa'!X245,0)</f>
        <v>0</v>
      </c>
      <c r="AW245" s="21">
        <f>IFERROR(Y245/'Ar-Pa'!Y245,0)</f>
        <v>0</v>
      </c>
      <c r="AX245" s="21">
        <f t="shared" si="5"/>
        <v>0</v>
      </c>
    </row>
    <row r="246" spans="1:50">
      <c r="A246" s="15">
        <v>45171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21">
        <f>IFERROR(B246/'Ar-Pa'!B246,0)</f>
        <v>0</v>
      </c>
      <c r="AA246" s="21">
        <f>IFERROR(C246/'Ar-Pa'!C246,0)</f>
        <v>0</v>
      </c>
      <c r="AB246" s="21">
        <f>IFERROR(D246/'Ar-Pa'!D246,0)</f>
        <v>0</v>
      </c>
      <c r="AC246" s="21">
        <f>IFERROR(E246/'Ar-Pa'!E246,0)</f>
        <v>0</v>
      </c>
      <c r="AD246" s="21">
        <f>IFERROR(F246/'Ar-Pa'!F246,0)</f>
        <v>0</v>
      </c>
      <c r="AE246" s="21">
        <f>IFERROR(G246/'Ar-Pa'!G246,0)</f>
        <v>0</v>
      </c>
      <c r="AF246" s="21">
        <f>IFERROR(H246/'Ar-Pa'!H246,0)</f>
        <v>0</v>
      </c>
      <c r="AG246" s="21">
        <f>IFERROR(I246/'Ar-Pa'!I246,0)</f>
        <v>0</v>
      </c>
      <c r="AH246" s="21">
        <f>IFERROR(J246/'Ar-Pa'!J246,0)</f>
        <v>0</v>
      </c>
      <c r="AI246" s="21">
        <f>IFERROR(K246/'Ar-Pa'!K246,0)</f>
        <v>0</v>
      </c>
      <c r="AJ246" s="21">
        <f>IFERROR(L246/'Ar-Pa'!L246,0)</f>
        <v>0</v>
      </c>
      <c r="AK246" s="21">
        <f>IFERROR(M246/'Ar-Pa'!M246,0)</f>
        <v>0</v>
      </c>
      <c r="AL246" s="21">
        <f>IFERROR(N246/'Ar-Pa'!N246,0)</f>
        <v>0</v>
      </c>
      <c r="AM246" s="21">
        <f>IFERROR(O246/'Ar-Pa'!O246,0)</f>
        <v>0</v>
      </c>
      <c r="AN246" s="21">
        <f>IFERROR(P246/'Ar-Pa'!P246,0)</f>
        <v>0</v>
      </c>
      <c r="AO246" s="21">
        <f>IFERROR(Q246/'Ar-Pa'!Q246,0)</f>
        <v>0</v>
      </c>
      <c r="AP246" s="21">
        <f>IFERROR(R246/'Ar-Pa'!R246,0)</f>
        <v>0</v>
      </c>
      <c r="AQ246" s="21">
        <f>IFERROR(S246/'Ar-Pa'!S246,0)</f>
        <v>0</v>
      </c>
      <c r="AR246" s="21">
        <f>IFERROR(T246/'Ar-Pa'!T246,0)</f>
        <v>0</v>
      </c>
      <c r="AS246" s="21">
        <f>IFERROR(U246/'Ar-Pa'!U246,0)</f>
        <v>0</v>
      </c>
      <c r="AT246" s="21">
        <f>IFERROR(V246/'Ar-Pa'!V246,0)</f>
        <v>0</v>
      </c>
      <c r="AU246" s="21">
        <f>IFERROR(W246/'Ar-Pa'!W246,0)</f>
        <v>0</v>
      </c>
      <c r="AV246" s="21">
        <f>IFERROR(X246/'Ar-Pa'!X246,0)</f>
        <v>0</v>
      </c>
      <c r="AW246" s="21">
        <f>IFERROR(Y246/'Ar-Pa'!Y246,0)</f>
        <v>0</v>
      </c>
      <c r="AX246" s="21">
        <f>SUM(Z246:AW246)</f>
        <v>0</v>
      </c>
    </row>
    <row r="247" spans="1:50">
      <c r="A247" s="15">
        <v>45172</v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21">
        <f>IFERROR(B247/'Ar-Pa'!B247,0)</f>
        <v>0</v>
      </c>
      <c r="AA247" s="21">
        <f>IFERROR(C247/'Ar-Pa'!C247,0)</f>
        <v>0</v>
      </c>
      <c r="AB247" s="21">
        <f>IFERROR(D247/'Ar-Pa'!D247,0)</f>
        <v>0</v>
      </c>
      <c r="AC247" s="21">
        <f>IFERROR(E247/'Ar-Pa'!E247,0)</f>
        <v>0</v>
      </c>
      <c r="AD247" s="21">
        <f>IFERROR(F247/'Ar-Pa'!F247,0)</f>
        <v>0</v>
      </c>
      <c r="AE247" s="21">
        <f>IFERROR(G247/'Ar-Pa'!G247,0)</f>
        <v>0</v>
      </c>
      <c r="AF247" s="21">
        <f>IFERROR(H247/'Ar-Pa'!H247,0)</f>
        <v>0</v>
      </c>
      <c r="AG247" s="21">
        <f>IFERROR(I247/'Ar-Pa'!I247,0)</f>
        <v>0</v>
      </c>
      <c r="AH247" s="21">
        <f>IFERROR(J247/'Ar-Pa'!J247,0)</f>
        <v>0</v>
      </c>
      <c r="AI247" s="21">
        <f>IFERROR(K247/'Ar-Pa'!K247,0)</f>
        <v>0</v>
      </c>
      <c r="AJ247" s="21">
        <f>IFERROR(L247/'Ar-Pa'!L247,0)</f>
        <v>0</v>
      </c>
      <c r="AK247" s="21">
        <f>IFERROR(M247/'Ar-Pa'!M247,0)</f>
        <v>0</v>
      </c>
      <c r="AL247" s="21">
        <f>IFERROR(N247/'Ar-Pa'!N247,0)</f>
        <v>0</v>
      </c>
      <c r="AM247" s="21">
        <f>IFERROR(O247/'Ar-Pa'!O247,0)</f>
        <v>0</v>
      </c>
      <c r="AN247" s="21">
        <f>IFERROR(P247/'Ar-Pa'!P247,0)</f>
        <v>0</v>
      </c>
      <c r="AO247" s="21">
        <f>IFERROR(Q247/'Ar-Pa'!Q247,0)</f>
        <v>0</v>
      </c>
      <c r="AP247" s="21">
        <f>IFERROR(R247/'Ar-Pa'!R247,0)</f>
        <v>0</v>
      </c>
      <c r="AQ247" s="21">
        <f>IFERROR(S247/'Ar-Pa'!S247,0)</f>
        <v>0</v>
      </c>
      <c r="AR247" s="21">
        <f>IFERROR(T247/'Ar-Pa'!T247,0)</f>
        <v>0</v>
      </c>
      <c r="AS247" s="21">
        <f>IFERROR(U247/'Ar-Pa'!U247,0)</f>
        <v>0</v>
      </c>
      <c r="AT247" s="21">
        <f>IFERROR(V247/'Ar-Pa'!V247,0)</f>
        <v>0</v>
      </c>
      <c r="AU247" s="21">
        <f>IFERROR(W247/'Ar-Pa'!W247,0)</f>
        <v>0</v>
      </c>
      <c r="AV247" s="21">
        <f>IFERROR(X247/'Ar-Pa'!X247,0)</f>
        <v>0</v>
      </c>
      <c r="AW247" s="21">
        <f>IFERROR(Y247/'Ar-Pa'!Y247,0)</f>
        <v>0</v>
      </c>
      <c r="AX247" s="21">
        <f t="shared" ref="AX247:AX275" si="6">SUM(Z247:AW247)</f>
        <v>0</v>
      </c>
    </row>
    <row r="248" spans="1:50">
      <c r="A248" s="15">
        <v>45173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21">
        <f>IFERROR(B248/'Ar-Pa'!B248,0)</f>
        <v>0</v>
      </c>
      <c r="AA248" s="21">
        <f>IFERROR(C248/'Ar-Pa'!C248,0)</f>
        <v>0</v>
      </c>
      <c r="AB248" s="21">
        <f>IFERROR(D248/'Ar-Pa'!D248,0)</f>
        <v>0</v>
      </c>
      <c r="AC248" s="21">
        <f>IFERROR(E248/'Ar-Pa'!E248,0)</f>
        <v>0</v>
      </c>
      <c r="AD248" s="21">
        <f>IFERROR(F248/'Ar-Pa'!F248,0)</f>
        <v>0</v>
      </c>
      <c r="AE248" s="21">
        <f>IFERROR(G248/'Ar-Pa'!G248,0)</f>
        <v>0</v>
      </c>
      <c r="AF248" s="21">
        <f>IFERROR(H248/'Ar-Pa'!H248,0)</f>
        <v>0</v>
      </c>
      <c r="AG248" s="21">
        <f>IFERROR(I248/'Ar-Pa'!I248,0)</f>
        <v>0</v>
      </c>
      <c r="AH248" s="21">
        <f>IFERROR(J248/'Ar-Pa'!J248,0)</f>
        <v>0</v>
      </c>
      <c r="AI248" s="21">
        <f>IFERROR(K248/'Ar-Pa'!K248,0)</f>
        <v>0</v>
      </c>
      <c r="AJ248" s="21">
        <f>IFERROR(L248/'Ar-Pa'!L248,0)</f>
        <v>0</v>
      </c>
      <c r="AK248" s="21">
        <f>IFERROR(M248/'Ar-Pa'!M248,0)</f>
        <v>0</v>
      </c>
      <c r="AL248" s="21">
        <f>IFERROR(N248/'Ar-Pa'!N248,0)</f>
        <v>0</v>
      </c>
      <c r="AM248" s="21">
        <f>IFERROR(O248/'Ar-Pa'!O248,0)</f>
        <v>0</v>
      </c>
      <c r="AN248" s="21">
        <f>IFERROR(P248/'Ar-Pa'!P248,0)</f>
        <v>0</v>
      </c>
      <c r="AO248" s="21">
        <f>IFERROR(Q248/'Ar-Pa'!Q248,0)</f>
        <v>0</v>
      </c>
      <c r="AP248" s="21">
        <f>IFERROR(R248/'Ar-Pa'!R248,0)</f>
        <v>0</v>
      </c>
      <c r="AQ248" s="21">
        <f>IFERROR(S248/'Ar-Pa'!S248,0)</f>
        <v>0</v>
      </c>
      <c r="AR248" s="21">
        <f>IFERROR(T248/'Ar-Pa'!T248,0)</f>
        <v>0</v>
      </c>
      <c r="AS248" s="21">
        <f>IFERROR(U248/'Ar-Pa'!U248,0)</f>
        <v>0</v>
      </c>
      <c r="AT248" s="21">
        <f>IFERROR(V248/'Ar-Pa'!V248,0)</f>
        <v>0</v>
      </c>
      <c r="AU248" s="21">
        <f>IFERROR(W248/'Ar-Pa'!W248,0)</f>
        <v>0</v>
      </c>
      <c r="AV248" s="21">
        <f>IFERROR(X248/'Ar-Pa'!X248,0)</f>
        <v>0</v>
      </c>
      <c r="AW248" s="21">
        <f>IFERROR(Y248/'Ar-Pa'!Y248,0)</f>
        <v>0</v>
      </c>
      <c r="AX248" s="21">
        <f t="shared" si="6"/>
        <v>0</v>
      </c>
    </row>
    <row r="249" spans="1:50">
      <c r="A249" s="15">
        <v>45174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21">
        <f>IFERROR(B249/'Ar-Pa'!B249,0)</f>
        <v>0</v>
      </c>
      <c r="AA249" s="21">
        <f>IFERROR(C249/'Ar-Pa'!C249,0)</f>
        <v>0</v>
      </c>
      <c r="AB249" s="21">
        <f>IFERROR(D249/'Ar-Pa'!D249,0)</f>
        <v>0</v>
      </c>
      <c r="AC249" s="21">
        <f>IFERROR(E249/'Ar-Pa'!E249,0)</f>
        <v>0</v>
      </c>
      <c r="AD249" s="21">
        <f>IFERROR(F249/'Ar-Pa'!F249,0)</f>
        <v>0</v>
      </c>
      <c r="AE249" s="21">
        <f>IFERROR(G249/'Ar-Pa'!G249,0)</f>
        <v>0</v>
      </c>
      <c r="AF249" s="21">
        <f>IFERROR(H249/'Ar-Pa'!H249,0)</f>
        <v>0</v>
      </c>
      <c r="AG249" s="21">
        <f>IFERROR(I249/'Ar-Pa'!I249,0)</f>
        <v>0</v>
      </c>
      <c r="AH249" s="21">
        <f>IFERROR(J249/'Ar-Pa'!J249,0)</f>
        <v>0</v>
      </c>
      <c r="AI249" s="21">
        <f>IFERROR(K249/'Ar-Pa'!K249,0)</f>
        <v>0</v>
      </c>
      <c r="AJ249" s="21">
        <f>IFERROR(L249/'Ar-Pa'!L249,0)</f>
        <v>0</v>
      </c>
      <c r="AK249" s="21">
        <f>IFERROR(M249/'Ar-Pa'!M249,0)</f>
        <v>0</v>
      </c>
      <c r="AL249" s="21">
        <f>IFERROR(N249/'Ar-Pa'!N249,0)</f>
        <v>0</v>
      </c>
      <c r="AM249" s="21">
        <f>IFERROR(O249/'Ar-Pa'!O249,0)</f>
        <v>0</v>
      </c>
      <c r="AN249" s="21">
        <f>IFERROR(P249/'Ar-Pa'!P249,0)</f>
        <v>0</v>
      </c>
      <c r="AO249" s="21">
        <f>IFERROR(Q249/'Ar-Pa'!Q249,0)</f>
        <v>0</v>
      </c>
      <c r="AP249" s="21">
        <f>IFERROR(R249/'Ar-Pa'!R249,0)</f>
        <v>0</v>
      </c>
      <c r="AQ249" s="21">
        <f>IFERROR(S249/'Ar-Pa'!S249,0)</f>
        <v>0</v>
      </c>
      <c r="AR249" s="21">
        <f>IFERROR(T249/'Ar-Pa'!T249,0)</f>
        <v>0</v>
      </c>
      <c r="AS249" s="21">
        <f>IFERROR(U249/'Ar-Pa'!U249,0)</f>
        <v>0</v>
      </c>
      <c r="AT249" s="21">
        <f>IFERROR(V249/'Ar-Pa'!V249,0)</f>
        <v>0</v>
      </c>
      <c r="AU249" s="21">
        <f>IFERROR(W249/'Ar-Pa'!W249,0)</f>
        <v>0</v>
      </c>
      <c r="AV249" s="21">
        <f>IFERROR(X249/'Ar-Pa'!X249,0)</f>
        <v>0</v>
      </c>
      <c r="AW249" s="21">
        <f>IFERROR(Y249/'Ar-Pa'!Y249,0)</f>
        <v>0</v>
      </c>
      <c r="AX249" s="21">
        <f t="shared" si="6"/>
        <v>0</v>
      </c>
    </row>
    <row r="250" spans="1:50">
      <c r="A250" s="15">
        <v>45175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21">
        <f>IFERROR(B250/'Ar-Pa'!B250,0)</f>
        <v>0</v>
      </c>
      <c r="AA250" s="21">
        <f>IFERROR(C250/'Ar-Pa'!C250,0)</f>
        <v>0</v>
      </c>
      <c r="AB250" s="21">
        <f>IFERROR(D250/'Ar-Pa'!D250,0)</f>
        <v>0</v>
      </c>
      <c r="AC250" s="21">
        <f>IFERROR(E250/'Ar-Pa'!E250,0)</f>
        <v>0</v>
      </c>
      <c r="AD250" s="21">
        <f>IFERROR(F250/'Ar-Pa'!F250,0)</f>
        <v>0</v>
      </c>
      <c r="AE250" s="21">
        <f>IFERROR(G250/'Ar-Pa'!G250,0)</f>
        <v>0</v>
      </c>
      <c r="AF250" s="21">
        <f>IFERROR(H250/'Ar-Pa'!H250,0)</f>
        <v>0</v>
      </c>
      <c r="AG250" s="21">
        <f>IFERROR(I250/'Ar-Pa'!I250,0)</f>
        <v>0</v>
      </c>
      <c r="AH250" s="21">
        <f>IFERROR(J250/'Ar-Pa'!J250,0)</f>
        <v>0</v>
      </c>
      <c r="AI250" s="21">
        <f>IFERROR(K250/'Ar-Pa'!K250,0)</f>
        <v>0</v>
      </c>
      <c r="AJ250" s="21">
        <f>IFERROR(L250/'Ar-Pa'!L250,0)</f>
        <v>0</v>
      </c>
      <c r="AK250" s="21">
        <f>IFERROR(M250/'Ar-Pa'!M250,0)</f>
        <v>0</v>
      </c>
      <c r="AL250" s="21">
        <f>IFERROR(N250/'Ar-Pa'!N250,0)</f>
        <v>0</v>
      </c>
      <c r="AM250" s="21">
        <f>IFERROR(O250/'Ar-Pa'!O250,0)</f>
        <v>0</v>
      </c>
      <c r="AN250" s="21">
        <f>IFERROR(P250/'Ar-Pa'!P250,0)</f>
        <v>0</v>
      </c>
      <c r="AO250" s="21">
        <f>IFERROR(Q250/'Ar-Pa'!Q250,0)</f>
        <v>0</v>
      </c>
      <c r="AP250" s="21">
        <f>IFERROR(R250/'Ar-Pa'!R250,0)</f>
        <v>0</v>
      </c>
      <c r="AQ250" s="21">
        <f>IFERROR(S250/'Ar-Pa'!S250,0)</f>
        <v>0</v>
      </c>
      <c r="AR250" s="21">
        <f>IFERROR(T250/'Ar-Pa'!T250,0)</f>
        <v>0</v>
      </c>
      <c r="AS250" s="21">
        <f>IFERROR(U250/'Ar-Pa'!U250,0)</f>
        <v>0</v>
      </c>
      <c r="AT250" s="21">
        <f>IFERROR(V250/'Ar-Pa'!V250,0)</f>
        <v>0</v>
      </c>
      <c r="AU250" s="21">
        <f>IFERROR(W250/'Ar-Pa'!W250,0)</f>
        <v>0</v>
      </c>
      <c r="AV250" s="21">
        <f>IFERROR(X250/'Ar-Pa'!X250,0)</f>
        <v>0</v>
      </c>
      <c r="AW250" s="21">
        <f>IFERROR(Y250/'Ar-Pa'!Y250,0)</f>
        <v>0</v>
      </c>
      <c r="AX250" s="21">
        <f t="shared" si="6"/>
        <v>0</v>
      </c>
    </row>
    <row r="251" spans="1:50">
      <c r="A251" s="15">
        <v>45176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21">
        <f>IFERROR(B251/'Ar-Pa'!B251,0)</f>
        <v>0</v>
      </c>
      <c r="AA251" s="21">
        <f>IFERROR(C251/'Ar-Pa'!C251,0)</f>
        <v>0</v>
      </c>
      <c r="AB251" s="21">
        <f>IFERROR(D251/'Ar-Pa'!D251,0)</f>
        <v>0</v>
      </c>
      <c r="AC251" s="21">
        <f>IFERROR(E251/'Ar-Pa'!E251,0)</f>
        <v>0</v>
      </c>
      <c r="AD251" s="21">
        <f>IFERROR(F251/'Ar-Pa'!F251,0)</f>
        <v>0</v>
      </c>
      <c r="AE251" s="21">
        <f>IFERROR(G251/'Ar-Pa'!G251,0)</f>
        <v>0</v>
      </c>
      <c r="AF251" s="21">
        <f>IFERROR(H251/'Ar-Pa'!H251,0)</f>
        <v>0</v>
      </c>
      <c r="AG251" s="21">
        <f>IFERROR(I251/'Ar-Pa'!I251,0)</f>
        <v>0</v>
      </c>
      <c r="AH251" s="21">
        <f>IFERROR(J251/'Ar-Pa'!J251,0)</f>
        <v>0</v>
      </c>
      <c r="AI251" s="21">
        <f>IFERROR(K251/'Ar-Pa'!K251,0)</f>
        <v>0</v>
      </c>
      <c r="AJ251" s="21">
        <f>IFERROR(L251/'Ar-Pa'!L251,0)</f>
        <v>0</v>
      </c>
      <c r="AK251" s="21">
        <f>IFERROR(M251/'Ar-Pa'!M251,0)</f>
        <v>0</v>
      </c>
      <c r="AL251" s="21">
        <f>IFERROR(N251/'Ar-Pa'!N251,0)</f>
        <v>0</v>
      </c>
      <c r="AM251" s="21">
        <f>IFERROR(O251/'Ar-Pa'!O251,0)</f>
        <v>0</v>
      </c>
      <c r="AN251" s="21">
        <f>IFERROR(P251/'Ar-Pa'!P251,0)</f>
        <v>0</v>
      </c>
      <c r="AO251" s="21">
        <f>IFERROR(Q251/'Ar-Pa'!Q251,0)</f>
        <v>0</v>
      </c>
      <c r="AP251" s="21">
        <f>IFERROR(R251/'Ar-Pa'!R251,0)</f>
        <v>0</v>
      </c>
      <c r="AQ251" s="21">
        <f>IFERROR(S251/'Ar-Pa'!S251,0)</f>
        <v>0</v>
      </c>
      <c r="AR251" s="21">
        <f>IFERROR(T251/'Ar-Pa'!T251,0)</f>
        <v>0</v>
      </c>
      <c r="AS251" s="21">
        <f>IFERROR(U251/'Ar-Pa'!U251,0)</f>
        <v>0</v>
      </c>
      <c r="AT251" s="21">
        <f>IFERROR(V251/'Ar-Pa'!V251,0)</f>
        <v>0</v>
      </c>
      <c r="AU251" s="21">
        <f>IFERROR(W251/'Ar-Pa'!W251,0)</f>
        <v>0</v>
      </c>
      <c r="AV251" s="21">
        <f>IFERROR(X251/'Ar-Pa'!X251,0)</f>
        <v>0</v>
      </c>
      <c r="AW251" s="21">
        <f>IFERROR(Y251/'Ar-Pa'!Y251,0)</f>
        <v>0</v>
      </c>
      <c r="AX251" s="21">
        <f t="shared" si="6"/>
        <v>0</v>
      </c>
    </row>
    <row r="252" spans="1:50">
      <c r="A252" s="15">
        <v>45177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21">
        <f>IFERROR(B252/'Ar-Pa'!B252,0)</f>
        <v>0</v>
      </c>
      <c r="AA252" s="21">
        <f>IFERROR(C252/'Ar-Pa'!C252,0)</f>
        <v>0</v>
      </c>
      <c r="AB252" s="21">
        <f>IFERROR(D252/'Ar-Pa'!D252,0)</f>
        <v>0</v>
      </c>
      <c r="AC252" s="21">
        <f>IFERROR(E252/'Ar-Pa'!E252,0)</f>
        <v>0</v>
      </c>
      <c r="AD252" s="21">
        <f>IFERROR(F252/'Ar-Pa'!F252,0)</f>
        <v>0</v>
      </c>
      <c r="AE252" s="21">
        <f>IFERROR(G252/'Ar-Pa'!G252,0)</f>
        <v>0</v>
      </c>
      <c r="AF252" s="21">
        <f>IFERROR(H252/'Ar-Pa'!H252,0)</f>
        <v>0</v>
      </c>
      <c r="AG252" s="21">
        <f>IFERROR(I252/'Ar-Pa'!I252,0)</f>
        <v>0</v>
      </c>
      <c r="AH252" s="21">
        <f>IFERROR(J252/'Ar-Pa'!J252,0)</f>
        <v>0</v>
      </c>
      <c r="AI252" s="21">
        <f>IFERROR(K252/'Ar-Pa'!K252,0)</f>
        <v>0</v>
      </c>
      <c r="AJ252" s="21">
        <f>IFERROR(L252/'Ar-Pa'!L252,0)</f>
        <v>0</v>
      </c>
      <c r="AK252" s="21">
        <f>IFERROR(M252/'Ar-Pa'!M252,0)</f>
        <v>0</v>
      </c>
      <c r="AL252" s="21">
        <f>IFERROR(N252/'Ar-Pa'!N252,0)</f>
        <v>0</v>
      </c>
      <c r="AM252" s="21">
        <f>IFERROR(O252/'Ar-Pa'!O252,0)</f>
        <v>0</v>
      </c>
      <c r="AN252" s="21">
        <f>IFERROR(P252/'Ar-Pa'!P252,0)</f>
        <v>0</v>
      </c>
      <c r="AO252" s="21">
        <f>IFERROR(Q252/'Ar-Pa'!Q252,0)</f>
        <v>0</v>
      </c>
      <c r="AP252" s="21">
        <f>IFERROR(R252/'Ar-Pa'!R252,0)</f>
        <v>0</v>
      </c>
      <c r="AQ252" s="21">
        <f>IFERROR(S252/'Ar-Pa'!S252,0)</f>
        <v>0</v>
      </c>
      <c r="AR252" s="21">
        <f>IFERROR(T252/'Ar-Pa'!T252,0)</f>
        <v>0</v>
      </c>
      <c r="AS252" s="21">
        <f>IFERROR(U252/'Ar-Pa'!U252,0)</f>
        <v>0</v>
      </c>
      <c r="AT252" s="21">
        <f>IFERROR(V252/'Ar-Pa'!V252,0)</f>
        <v>0</v>
      </c>
      <c r="AU252" s="21">
        <f>IFERROR(W252/'Ar-Pa'!W252,0)</f>
        <v>0</v>
      </c>
      <c r="AV252" s="21">
        <f>IFERROR(X252/'Ar-Pa'!X252,0)</f>
        <v>0</v>
      </c>
      <c r="AW252" s="21">
        <f>IFERROR(Y252/'Ar-Pa'!Y252,0)</f>
        <v>0</v>
      </c>
      <c r="AX252" s="21">
        <f t="shared" si="6"/>
        <v>0</v>
      </c>
    </row>
    <row r="253" spans="1:50">
      <c r="A253" s="15">
        <v>45178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21">
        <f>IFERROR(B253/'Ar-Pa'!B253,0)</f>
        <v>0</v>
      </c>
      <c r="AA253" s="21">
        <f>IFERROR(C253/'Ar-Pa'!C253,0)</f>
        <v>0</v>
      </c>
      <c r="AB253" s="21">
        <f>IFERROR(D253/'Ar-Pa'!D253,0)</f>
        <v>0</v>
      </c>
      <c r="AC253" s="21">
        <f>IFERROR(E253/'Ar-Pa'!E253,0)</f>
        <v>0</v>
      </c>
      <c r="AD253" s="21">
        <f>IFERROR(F253/'Ar-Pa'!F253,0)</f>
        <v>0</v>
      </c>
      <c r="AE253" s="21">
        <f>IFERROR(G253/'Ar-Pa'!G253,0)</f>
        <v>0</v>
      </c>
      <c r="AF253" s="21">
        <f>IFERROR(H253/'Ar-Pa'!H253,0)</f>
        <v>0</v>
      </c>
      <c r="AG253" s="21">
        <f>IFERROR(I253/'Ar-Pa'!I253,0)</f>
        <v>0</v>
      </c>
      <c r="AH253" s="21">
        <f>IFERROR(J253/'Ar-Pa'!J253,0)</f>
        <v>0</v>
      </c>
      <c r="AI253" s="21">
        <f>IFERROR(K253/'Ar-Pa'!K253,0)</f>
        <v>0</v>
      </c>
      <c r="AJ253" s="21">
        <f>IFERROR(L253/'Ar-Pa'!L253,0)</f>
        <v>0</v>
      </c>
      <c r="AK253" s="21">
        <f>IFERROR(M253/'Ar-Pa'!M253,0)</f>
        <v>0</v>
      </c>
      <c r="AL253" s="21">
        <f>IFERROR(N253/'Ar-Pa'!N253,0)</f>
        <v>0</v>
      </c>
      <c r="AM253" s="21">
        <f>IFERROR(O253/'Ar-Pa'!O253,0)</f>
        <v>0</v>
      </c>
      <c r="AN253" s="21">
        <f>IFERROR(P253/'Ar-Pa'!P253,0)</f>
        <v>0</v>
      </c>
      <c r="AO253" s="21">
        <f>IFERROR(Q253/'Ar-Pa'!Q253,0)</f>
        <v>0</v>
      </c>
      <c r="AP253" s="21">
        <f>IFERROR(R253/'Ar-Pa'!R253,0)</f>
        <v>0</v>
      </c>
      <c r="AQ253" s="21">
        <f>IFERROR(S253/'Ar-Pa'!S253,0)</f>
        <v>0</v>
      </c>
      <c r="AR253" s="21">
        <f>IFERROR(T253/'Ar-Pa'!T253,0)</f>
        <v>0</v>
      </c>
      <c r="AS253" s="21">
        <f>IFERROR(U253/'Ar-Pa'!U253,0)</f>
        <v>0</v>
      </c>
      <c r="AT253" s="21">
        <f>IFERROR(V253/'Ar-Pa'!V253,0)</f>
        <v>0</v>
      </c>
      <c r="AU253" s="21">
        <f>IFERROR(W253/'Ar-Pa'!W253,0)</f>
        <v>0</v>
      </c>
      <c r="AV253" s="21">
        <f>IFERROR(X253/'Ar-Pa'!X253,0)</f>
        <v>0</v>
      </c>
      <c r="AW253" s="21">
        <f>IFERROR(Y253/'Ar-Pa'!Y253,0)</f>
        <v>0</v>
      </c>
      <c r="AX253" s="21">
        <f t="shared" si="6"/>
        <v>0</v>
      </c>
    </row>
    <row r="254" spans="1:50">
      <c r="A254" s="15">
        <v>45179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21">
        <f>IFERROR(B254/'Ar-Pa'!B254,0)</f>
        <v>0</v>
      </c>
      <c r="AA254" s="21">
        <f>IFERROR(C254/'Ar-Pa'!C254,0)</f>
        <v>0</v>
      </c>
      <c r="AB254" s="21">
        <f>IFERROR(D254/'Ar-Pa'!D254,0)</f>
        <v>0</v>
      </c>
      <c r="AC254" s="21">
        <f>IFERROR(E254/'Ar-Pa'!E254,0)</f>
        <v>0</v>
      </c>
      <c r="AD254" s="21">
        <f>IFERROR(F254/'Ar-Pa'!F254,0)</f>
        <v>0</v>
      </c>
      <c r="AE254" s="21">
        <f>IFERROR(G254/'Ar-Pa'!G254,0)</f>
        <v>0</v>
      </c>
      <c r="AF254" s="21">
        <f>IFERROR(H254/'Ar-Pa'!H254,0)</f>
        <v>0</v>
      </c>
      <c r="AG254" s="21">
        <f>IFERROR(I254/'Ar-Pa'!I254,0)</f>
        <v>0</v>
      </c>
      <c r="AH254" s="21">
        <f>IFERROR(J254/'Ar-Pa'!J254,0)</f>
        <v>0</v>
      </c>
      <c r="AI254" s="21">
        <f>IFERROR(K254/'Ar-Pa'!K254,0)</f>
        <v>0</v>
      </c>
      <c r="AJ254" s="21">
        <f>IFERROR(L254/'Ar-Pa'!L254,0)</f>
        <v>0</v>
      </c>
      <c r="AK254" s="21">
        <f>IFERROR(M254/'Ar-Pa'!M254,0)</f>
        <v>0</v>
      </c>
      <c r="AL254" s="21">
        <f>IFERROR(N254/'Ar-Pa'!N254,0)</f>
        <v>0</v>
      </c>
      <c r="AM254" s="21">
        <f>IFERROR(O254/'Ar-Pa'!O254,0)</f>
        <v>0</v>
      </c>
      <c r="AN254" s="21">
        <f>IFERROR(P254/'Ar-Pa'!P254,0)</f>
        <v>0</v>
      </c>
      <c r="AO254" s="21">
        <f>IFERROR(Q254/'Ar-Pa'!Q254,0)</f>
        <v>0</v>
      </c>
      <c r="AP254" s="21">
        <f>IFERROR(R254/'Ar-Pa'!R254,0)</f>
        <v>0</v>
      </c>
      <c r="AQ254" s="21">
        <f>IFERROR(S254/'Ar-Pa'!S254,0)</f>
        <v>0</v>
      </c>
      <c r="AR254" s="21">
        <f>IFERROR(T254/'Ar-Pa'!T254,0)</f>
        <v>0</v>
      </c>
      <c r="AS254" s="21">
        <f>IFERROR(U254/'Ar-Pa'!U254,0)</f>
        <v>0</v>
      </c>
      <c r="AT254" s="21">
        <f>IFERROR(V254/'Ar-Pa'!V254,0)</f>
        <v>0</v>
      </c>
      <c r="AU254" s="21">
        <f>IFERROR(W254/'Ar-Pa'!W254,0)</f>
        <v>0</v>
      </c>
      <c r="AV254" s="21">
        <f>IFERROR(X254/'Ar-Pa'!X254,0)</f>
        <v>0</v>
      </c>
      <c r="AW254" s="21">
        <f>IFERROR(Y254/'Ar-Pa'!Y254,0)</f>
        <v>0</v>
      </c>
      <c r="AX254" s="21">
        <f t="shared" si="6"/>
        <v>0</v>
      </c>
    </row>
    <row r="255" spans="1:50">
      <c r="A255" s="15">
        <v>45180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21">
        <f>IFERROR(B255/'Ar-Pa'!B255,0)</f>
        <v>0</v>
      </c>
      <c r="AA255" s="21">
        <f>IFERROR(C255/'Ar-Pa'!C255,0)</f>
        <v>0</v>
      </c>
      <c r="AB255" s="21">
        <f>IFERROR(D255/'Ar-Pa'!D255,0)</f>
        <v>0</v>
      </c>
      <c r="AC255" s="21">
        <f>IFERROR(E255/'Ar-Pa'!E255,0)</f>
        <v>0</v>
      </c>
      <c r="AD255" s="21">
        <f>IFERROR(F255/'Ar-Pa'!F255,0)</f>
        <v>0</v>
      </c>
      <c r="AE255" s="21">
        <f>IFERROR(G255/'Ar-Pa'!G255,0)</f>
        <v>0</v>
      </c>
      <c r="AF255" s="21">
        <f>IFERROR(H255/'Ar-Pa'!H255,0)</f>
        <v>0</v>
      </c>
      <c r="AG255" s="21">
        <f>IFERROR(I255/'Ar-Pa'!I255,0)</f>
        <v>0</v>
      </c>
      <c r="AH255" s="21">
        <f>IFERROR(J255/'Ar-Pa'!J255,0)</f>
        <v>0</v>
      </c>
      <c r="AI255" s="21">
        <f>IFERROR(K255/'Ar-Pa'!K255,0)</f>
        <v>0</v>
      </c>
      <c r="AJ255" s="21">
        <f>IFERROR(L255/'Ar-Pa'!L255,0)</f>
        <v>0</v>
      </c>
      <c r="AK255" s="21">
        <f>IFERROR(M255/'Ar-Pa'!M255,0)</f>
        <v>0</v>
      </c>
      <c r="AL255" s="21">
        <f>IFERROR(N255/'Ar-Pa'!N255,0)</f>
        <v>0</v>
      </c>
      <c r="AM255" s="21">
        <f>IFERROR(O255/'Ar-Pa'!O255,0)</f>
        <v>0</v>
      </c>
      <c r="AN255" s="21">
        <f>IFERROR(P255/'Ar-Pa'!P255,0)</f>
        <v>0</v>
      </c>
      <c r="AO255" s="21">
        <f>IFERROR(Q255/'Ar-Pa'!Q255,0)</f>
        <v>0</v>
      </c>
      <c r="AP255" s="21">
        <f>IFERROR(R255/'Ar-Pa'!R255,0)</f>
        <v>0</v>
      </c>
      <c r="AQ255" s="21">
        <f>IFERROR(S255/'Ar-Pa'!S255,0)</f>
        <v>0</v>
      </c>
      <c r="AR255" s="21">
        <f>IFERROR(T255/'Ar-Pa'!T255,0)</f>
        <v>0</v>
      </c>
      <c r="AS255" s="21">
        <f>IFERROR(U255/'Ar-Pa'!U255,0)</f>
        <v>0</v>
      </c>
      <c r="AT255" s="21">
        <f>IFERROR(V255/'Ar-Pa'!V255,0)</f>
        <v>0</v>
      </c>
      <c r="AU255" s="21">
        <f>IFERROR(W255/'Ar-Pa'!W255,0)</f>
        <v>0</v>
      </c>
      <c r="AV255" s="21">
        <f>IFERROR(X255/'Ar-Pa'!X255,0)</f>
        <v>0</v>
      </c>
      <c r="AW255" s="21">
        <f>IFERROR(Y255/'Ar-Pa'!Y255,0)</f>
        <v>0</v>
      </c>
      <c r="AX255" s="21">
        <f t="shared" si="6"/>
        <v>0</v>
      </c>
    </row>
    <row r="256" spans="1:50">
      <c r="A256" s="15">
        <v>45181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21">
        <f>IFERROR(B256/'Ar-Pa'!B256,0)</f>
        <v>0</v>
      </c>
      <c r="AA256" s="21">
        <f>IFERROR(C256/'Ar-Pa'!C256,0)</f>
        <v>0</v>
      </c>
      <c r="AB256" s="21">
        <f>IFERROR(D256/'Ar-Pa'!D256,0)</f>
        <v>0</v>
      </c>
      <c r="AC256" s="21">
        <f>IFERROR(E256/'Ar-Pa'!E256,0)</f>
        <v>0</v>
      </c>
      <c r="AD256" s="21">
        <f>IFERROR(F256/'Ar-Pa'!F256,0)</f>
        <v>0</v>
      </c>
      <c r="AE256" s="21">
        <f>IFERROR(G256/'Ar-Pa'!G256,0)</f>
        <v>0</v>
      </c>
      <c r="AF256" s="21">
        <f>IFERROR(H256/'Ar-Pa'!H256,0)</f>
        <v>0</v>
      </c>
      <c r="AG256" s="21">
        <f>IFERROR(I256/'Ar-Pa'!I256,0)</f>
        <v>0</v>
      </c>
      <c r="AH256" s="21">
        <f>IFERROR(J256/'Ar-Pa'!J256,0)</f>
        <v>0</v>
      </c>
      <c r="AI256" s="21">
        <f>IFERROR(K256/'Ar-Pa'!K256,0)</f>
        <v>0</v>
      </c>
      <c r="AJ256" s="21">
        <f>IFERROR(L256/'Ar-Pa'!L256,0)</f>
        <v>0</v>
      </c>
      <c r="AK256" s="21">
        <f>IFERROR(M256/'Ar-Pa'!M256,0)</f>
        <v>0</v>
      </c>
      <c r="AL256" s="21">
        <f>IFERROR(N256/'Ar-Pa'!N256,0)</f>
        <v>0</v>
      </c>
      <c r="AM256" s="21">
        <f>IFERROR(O256/'Ar-Pa'!O256,0)</f>
        <v>0</v>
      </c>
      <c r="AN256" s="21">
        <f>IFERROR(P256/'Ar-Pa'!P256,0)</f>
        <v>0</v>
      </c>
      <c r="AO256" s="21">
        <f>IFERROR(Q256/'Ar-Pa'!Q256,0)</f>
        <v>0</v>
      </c>
      <c r="AP256" s="21">
        <f>IFERROR(R256/'Ar-Pa'!R256,0)</f>
        <v>0</v>
      </c>
      <c r="AQ256" s="21">
        <f>IFERROR(S256/'Ar-Pa'!S256,0)</f>
        <v>0</v>
      </c>
      <c r="AR256" s="21">
        <f>IFERROR(T256/'Ar-Pa'!T256,0)</f>
        <v>0</v>
      </c>
      <c r="AS256" s="21">
        <f>IFERROR(U256/'Ar-Pa'!U256,0)</f>
        <v>0</v>
      </c>
      <c r="AT256" s="21">
        <f>IFERROR(V256/'Ar-Pa'!V256,0)</f>
        <v>0</v>
      </c>
      <c r="AU256" s="21">
        <f>IFERROR(W256/'Ar-Pa'!W256,0)</f>
        <v>0</v>
      </c>
      <c r="AV256" s="21">
        <f>IFERROR(X256/'Ar-Pa'!X256,0)</f>
        <v>0</v>
      </c>
      <c r="AW256" s="21">
        <f>IFERROR(Y256/'Ar-Pa'!Y256,0)</f>
        <v>0</v>
      </c>
      <c r="AX256" s="21">
        <f t="shared" si="6"/>
        <v>0</v>
      </c>
    </row>
    <row r="257" spans="1:50">
      <c r="A257" s="15">
        <v>45182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21">
        <f>IFERROR(B257/'Ar-Pa'!B257,0)</f>
        <v>0</v>
      </c>
      <c r="AA257" s="21">
        <f>IFERROR(C257/'Ar-Pa'!C257,0)</f>
        <v>0</v>
      </c>
      <c r="AB257" s="21">
        <f>IFERROR(D257/'Ar-Pa'!D257,0)</f>
        <v>0</v>
      </c>
      <c r="AC257" s="21">
        <f>IFERROR(E257/'Ar-Pa'!E257,0)</f>
        <v>0</v>
      </c>
      <c r="AD257" s="21">
        <f>IFERROR(F257/'Ar-Pa'!F257,0)</f>
        <v>0</v>
      </c>
      <c r="AE257" s="21">
        <f>IFERROR(G257/'Ar-Pa'!G257,0)</f>
        <v>0</v>
      </c>
      <c r="AF257" s="21">
        <f>IFERROR(H257/'Ar-Pa'!H257,0)</f>
        <v>0</v>
      </c>
      <c r="AG257" s="21">
        <f>IFERROR(I257/'Ar-Pa'!I257,0)</f>
        <v>0</v>
      </c>
      <c r="AH257" s="21">
        <f>IFERROR(J257/'Ar-Pa'!J257,0)</f>
        <v>0</v>
      </c>
      <c r="AI257" s="21">
        <f>IFERROR(K257/'Ar-Pa'!K257,0)</f>
        <v>0</v>
      </c>
      <c r="AJ257" s="21">
        <f>IFERROR(L257/'Ar-Pa'!L257,0)</f>
        <v>0</v>
      </c>
      <c r="AK257" s="21">
        <f>IFERROR(M257/'Ar-Pa'!M257,0)</f>
        <v>0</v>
      </c>
      <c r="AL257" s="21">
        <f>IFERROR(N257/'Ar-Pa'!N257,0)</f>
        <v>0</v>
      </c>
      <c r="AM257" s="21">
        <f>IFERROR(O257/'Ar-Pa'!O257,0)</f>
        <v>0</v>
      </c>
      <c r="AN257" s="21">
        <f>IFERROR(P257/'Ar-Pa'!P257,0)</f>
        <v>0</v>
      </c>
      <c r="AO257" s="21">
        <f>IFERROR(Q257/'Ar-Pa'!Q257,0)</f>
        <v>0</v>
      </c>
      <c r="AP257" s="21">
        <f>IFERROR(R257/'Ar-Pa'!R257,0)</f>
        <v>0</v>
      </c>
      <c r="AQ257" s="21">
        <f>IFERROR(S257/'Ar-Pa'!S257,0)</f>
        <v>0</v>
      </c>
      <c r="AR257" s="21">
        <f>IFERROR(T257/'Ar-Pa'!T257,0)</f>
        <v>0</v>
      </c>
      <c r="AS257" s="21">
        <f>IFERROR(U257/'Ar-Pa'!U257,0)</f>
        <v>0</v>
      </c>
      <c r="AT257" s="21">
        <f>IFERROR(V257/'Ar-Pa'!V257,0)</f>
        <v>0</v>
      </c>
      <c r="AU257" s="21">
        <f>IFERROR(W257/'Ar-Pa'!W257,0)</f>
        <v>0</v>
      </c>
      <c r="AV257" s="21">
        <f>IFERROR(X257/'Ar-Pa'!X257,0)</f>
        <v>0</v>
      </c>
      <c r="AW257" s="21">
        <f>IFERROR(Y257/'Ar-Pa'!Y257,0)</f>
        <v>0</v>
      </c>
      <c r="AX257" s="21">
        <f t="shared" si="6"/>
        <v>0</v>
      </c>
    </row>
    <row r="258" spans="1:50">
      <c r="A258" s="15">
        <v>45183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21">
        <f>IFERROR(B258/'Ar-Pa'!B258,0)</f>
        <v>0</v>
      </c>
      <c r="AA258" s="21">
        <f>IFERROR(C258/'Ar-Pa'!C258,0)</f>
        <v>0</v>
      </c>
      <c r="AB258" s="21">
        <f>IFERROR(D258/'Ar-Pa'!D258,0)</f>
        <v>0</v>
      </c>
      <c r="AC258" s="21">
        <f>IFERROR(E258/'Ar-Pa'!E258,0)</f>
        <v>0</v>
      </c>
      <c r="AD258" s="21">
        <f>IFERROR(F258/'Ar-Pa'!F258,0)</f>
        <v>0</v>
      </c>
      <c r="AE258" s="21">
        <f>IFERROR(G258/'Ar-Pa'!G258,0)</f>
        <v>0</v>
      </c>
      <c r="AF258" s="21">
        <f>IFERROR(H258/'Ar-Pa'!H258,0)</f>
        <v>0</v>
      </c>
      <c r="AG258" s="21">
        <f>IFERROR(I258/'Ar-Pa'!I258,0)</f>
        <v>0</v>
      </c>
      <c r="AH258" s="21">
        <f>IFERROR(J258/'Ar-Pa'!J258,0)</f>
        <v>0</v>
      </c>
      <c r="AI258" s="21">
        <f>IFERROR(K258/'Ar-Pa'!K258,0)</f>
        <v>0</v>
      </c>
      <c r="AJ258" s="21">
        <f>IFERROR(L258/'Ar-Pa'!L258,0)</f>
        <v>0</v>
      </c>
      <c r="AK258" s="21">
        <f>IFERROR(M258/'Ar-Pa'!M258,0)</f>
        <v>0</v>
      </c>
      <c r="AL258" s="21">
        <f>IFERROR(N258/'Ar-Pa'!N258,0)</f>
        <v>0</v>
      </c>
      <c r="AM258" s="21">
        <f>IFERROR(O258/'Ar-Pa'!O258,0)</f>
        <v>0</v>
      </c>
      <c r="AN258" s="21">
        <f>IFERROR(P258/'Ar-Pa'!P258,0)</f>
        <v>0</v>
      </c>
      <c r="AO258" s="21">
        <f>IFERROR(Q258/'Ar-Pa'!Q258,0)</f>
        <v>0</v>
      </c>
      <c r="AP258" s="21">
        <f>IFERROR(R258/'Ar-Pa'!R258,0)</f>
        <v>0</v>
      </c>
      <c r="AQ258" s="21">
        <f>IFERROR(S258/'Ar-Pa'!S258,0)</f>
        <v>0</v>
      </c>
      <c r="AR258" s="21">
        <f>IFERROR(T258/'Ar-Pa'!T258,0)</f>
        <v>0</v>
      </c>
      <c r="AS258" s="21">
        <f>IFERROR(U258/'Ar-Pa'!U258,0)</f>
        <v>0</v>
      </c>
      <c r="AT258" s="21">
        <f>IFERROR(V258/'Ar-Pa'!V258,0)</f>
        <v>0</v>
      </c>
      <c r="AU258" s="21">
        <f>IFERROR(W258/'Ar-Pa'!W258,0)</f>
        <v>0</v>
      </c>
      <c r="AV258" s="21">
        <f>IFERROR(X258/'Ar-Pa'!X258,0)</f>
        <v>0</v>
      </c>
      <c r="AW258" s="21">
        <f>IFERROR(Y258/'Ar-Pa'!Y258,0)</f>
        <v>0</v>
      </c>
      <c r="AX258" s="21">
        <f t="shared" si="6"/>
        <v>0</v>
      </c>
    </row>
    <row r="259" spans="1:50">
      <c r="A259" s="15">
        <v>45184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21">
        <f>IFERROR(B259/'Ar-Pa'!B259,0)</f>
        <v>0</v>
      </c>
      <c r="AA259" s="21">
        <f>IFERROR(C259/'Ar-Pa'!C259,0)</f>
        <v>0</v>
      </c>
      <c r="AB259" s="21">
        <f>IFERROR(D259/'Ar-Pa'!D259,0)</f>
        <v>0</v>
      </c>
      <c r="AC259" s="21">
        <f>IFERROR(E259/'Ar-Pa'!E259,0)</f>
        <v>0</v>
      </c>
      <c r="AD259" s="21">
        <f>IFERROR(F259/'Ar-Pa'!F259,0)</f>
        <v>0</v>
      </c>
      <c r="AE259" s="21">
        <f>IFERROR(G259/'Ar-Pa'!G259,0)</f>
        <v>0</v>
      </c>
      <c r="AF259" s="21">
        <f>IFERROR(H259/'Ar-Pa'!H259,0)</f>
        <v>0</v>
      </c>
      <c r="AG259" s="21">
        <f>IFERROR(I259/'Ar-Pa'!I259,0)</f>
        <v>0</v>
      </c>
      <c r="AH259" s="21">
        <f>IFERROR(J259/'Ar-Pa'!J259,0)</f>
        <v>0</v>
      </c>
      <c r="AI259" s="21">
        <f>IFERROR(K259/'Ar-Pa'!K259,0)</f>
        <v>0</v>
      </c>
      <c r="AJ259" s="21">
        <f>IFERROR(L259/'Ar-Pa'!L259,0)</f>
        <v>0</v>
      </c>
      <c r="AK259" s="21">
        <f>IFERROR(M259/'Ar-Pa'!M259,0)</f>
        <v>0</v>
      </c>
      <c r="AL259" s="21">
        <f>IFERROR(N259/'Ar-Pa'!N259,0)</f>
        <v>0</v>
      </c>
      <c r="AM259" s="21">
        <f>IFERROR(O259/'Ar-Pa'!O259,0)</f>
        <v>0</v>
      </c>
      <c r="AN259" s="21">
        <f>IFERROR(P259/'Ar-Pa'!P259,0)</f>
        <v>0</v>
      </c>
      <c r="AO259" s="21">
        <f>IFERROR(Q259/'Ar-Pa'!Q259,0)</f>
        <v>0</v>
      </c>
      <c r="AP259" s="21">
        <f>IFERROR(R259/'Ar-Pa'!R259,0)</f>
        <v>0</v>
      </c>
      <c r="AQ259" s="21">
        <f>IFERROR(S259/'Ar-Pa'!S259,0)</f>
        <v>0</v>
      </c>
      <c r="AR259" s="21">
        <f>IFERROR(T259/'Ar-Pa'!T259,0)</f>
        <v>0</v>
      </c>
      <c r="AS259" s="21">
        <f>IFERROR(U259/'Ar-Pa'!U259,0)</f>
        <v>0</v>
      </c>
      <c r="AT259" s="21">
        <f>IFERROR(V259/'Ar-Pa'!V259,0)</f>
        <v>0</v>
      </c>
      <c r="AU259" s="21">
        <f>IFERROR(W259/'Ar-Pa'!W259,0)</f>
        <v>0</v>
      </c>
      <c r="AV259" s="21">
        <f>IFERROR(X259/'Ar-Pa'!X259,0)</f>
        <v>0</v>
      </c>
      <c r="AW259" s="21">
        <f>IFERROR(Y259/'Ar-Pa'!Y259,0)</f>
        <v>0</v>
      </c>
      <c r="AX259" s="21">
        <f t="shared" si="6"/>
        <v>0</v>
      </c>
    </row>
    <row r="260" spans="1:50">
      <c r="A260" s="15">
        <v>45185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21">
        <f>IFERROR(B260/'Ar-Pa'!B260,0)</f>
        <v>0</v>
      </c>
      <c r="AA260" s="21">
        <f>IFERROR(C260/'Ar-Pa'!C260,0)</f>
        <v>0</v>
      </c>
      <c r="AB260" s="21">
        <f>IFERROR(D260/'Ar-Pa'!D260,0)</f>
        <v>0</v>
      </c>
      <c r="AC260" s="21">
        <f>IFERROR(E260/'Ar-Pa'!E260,0)</f>
        <v>0</v>
      </c>
      <c r="AD260" s="21">
        <f>IFERROR(F260/'Ar-Pa'!F260,0)</f>
        <v>0</v>
      </c>
      <c r="AE260" s="21">
        <f>IFERROR(G260/'Ar-Pa'!G260,0)</f>
        <v>0</v>
      </c>
      <c r="AF260" s="21">
        <f>IFERROR(H260/'Ar-Pa'!H260,0)</f>
        <v>0</v>
      </c>
      <c r="AG260" s="21">
        <f>IFERROR(I260/'Ar-Pa'!I260,0)</f>
        <v>0</v>
      </c>
      <c r="AH260" s="21">
        <f>IFERROR(J260/'Ar-Pa'!J260,0)</f>
        <v>0</v>
      </c>
      <c r="AI260" s="21">
        <f>IFERROR(K260/'Ar-Pa'!K260,0)</f>
        <v>0</v>
      </c>
      <c r="AJ260" s="21">
        <f>IFERROR(L260/'Ar-Pa'!L260,0)</f>
        <v>0</v>
      </c>
      <c r="AK260" s="21">
        <f>IFERROR(M260/'Ar-Pa'!M260,0)</f>
        <v>0</v>
      </c>
      <c r="AL260" s="21">
        <f>IFERROR(N260/'Ar-Pa'!N260,0)</f>
        <v>0</v>
      </c>
      <c r="AM260" s="21">
        <f>IFERROR(O260/'Ar-Pa'!O260,0)</f>
        <v>0</v>
      </c>
      <c r="AN260" s="21">
        <f>IFERROR(P260/'Ar-Pa'!P260,0)</f>
        <v>0</v>
      </c>
      <c r="AO260" s="21">
        <f>IFERROR(Q260/'Ar-Pa'!Q260,0)</f>
        <v>0</v>
      </c>
      <c r="AP260" s="21">
        <f>IFERROR(R260/'Ar-Pa'!R260,0)</f>
        <v>0</v>
      </c>
      <c r="AQ260" s="21">
        <f>IFERROR(S260/'Ar-Pa'!S260,0)</f>
        <v>0</v>
      </c>
      <c r="AR260" s="21">
        <f>IFERROR(T260/'Ar-Pa'!T260,0)</f>
        <v>0</v>
      </c>
      <c r="AS260" s="21">
        <f>IFERROR(U260/'Ar-Pa'!U260,0)</f>
        <v>0</v>
      </c>
      <c r="AT260" s="21">
        <f>IFERROR(V260/'Ar-Pa'!V260,0)</f>
        <v>0</v>
      </c>
      <c r="AU260" s="21">
        <f>IFERROR(W260/'Ar-Pa'!W260,0)</f>
        <v>0</v>
      </c>
      <c r="AV260" s="21">
        <f>IFERROR(X260/'Ar-Pa'!X260,0)</f>
        <v>0</v>
      </c>
      <c r="AW260" s="21">
        <f>IFERROR(Y260/'Ar-Pa'!Y260,0)</f>
        <v>0</v>
      </c>
      <c r="AX260" s="21">
        <f t="shared" si="6"/>
        <v>0</v>
      </c>
    </row>
    <row r="261" spans="1:50">
      <c r="A261" s="15">
        <v>45186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21">
        <f>IFERROR(B261/'Ar-Pa'!B261,0)</f>
        <v>0</v>
      </c>
      <c r="AA261" s="21">
        <f>IFERROR(C261/'Ar-Pa'!C261,0)</f>
        <v>0</v>
      </c>
      <c r="AB261" s="21">
        <f>IFERROR(D261/'Ar-Pa'!D261,0)</f>
        <v>0</v>
      </c>
      <c r="AC261" s="21">
        <f>IFERROR(E261/'Ar-Pa'!E261,0)</f>
        <v>0</v>
      </c>
      <c r="AD261" s="21">
        <f>IFERROR(F261/'Ar-Pa'!F261,0)</f>
        <v>0</v>
      </c>
      <c r="AE261" s="21">
        <f>IFERROR(G261/'Ar-Pa'!G261,0)</f>
        <v>0</v>
      </c>
      <c r="AF261" s="21">
        <f>IFERROR(H261/'Ar-Pa'!H261,0)</f>
        <v>0</v>
      </c>
      <c r="AG261" s="21">
        <f>IFERROR(I261/'Ar-Pa'!I261,0)</f>
        <v>0</v>
      </c>
      <c r="AH261" s="21">
        <f>IFERROR(J261/'Ar-Pa'!J261,0)</f>
        <v>0</v>
      </c>
      <c r="AI261" s="21">
        <f>IFERROR(K261/'Ar-Pa'!K261,0)</f>
        <v>0</v>
      </c>
      <c r="AJ261" s="21">
        <f>IFERROR(L261/'Ar-Pa'!L261,0)</f>
        <v>0</v>
      </c>
      <c r="AK261" s="21">
        <f>IFERROR(M261/'Ar-Pa'!M261,0)</f>
        <v>0</v>
      </c>
      <c r="AL261" s="21">
        <f>IFERROR(N261/'Ar-Pa'!N261,0)</f>
        <v>0</v>
      </c>
      <c r="AM261" s="21">
        <f>IFERROR(O261/'Ar-Pa'!O261,0)</f>
        <v>0</v>
      </c>
      <c r="AN261" s="21">
        <f>IFERROR(P261/'Ar-Pa'!P261,0)</f>
        <v>0</v>
      </c>
      <c r="AO261" s="21">
        <f>IFERROR(Q261/'Ar-Pa'!Q261,0)</f>
        <v>0</v>
      </c>
      <c r="AP261" s="21">
        <f>IFERROR(R261/'Ar-Pa'!R261,0)</f>
        <v>0</v>
      </c>
      <c r="AQ261" s="21">
        <f>IFERROR(S261/'Ar-Pa'!S261,0)</f>
        <v>0</v>
      </c>
      <c r="AR261" s="21">
        <f>IFERROR(T261/'Ar-Pa'!T261,0)</f>
        <v>0</v>
      </c>
      <c r="AS261" s="21">
        <f>IFERROR(U261/'Ar-Pa'!U261,0)</f>
        <v>0</v>
      </c>
      <c r="AT261" s="21">
        <f>IFERROR(V261/'Ar-Pa'!V261,0)</f>
        <v>0</v>
      </c>
      <c r="AU261" s="21">
        <f>IFERROR(W261/'Ar-Pa'!W261,0)</f>
        <v>0</v>
      </c>
      <c r="AV261" s="21">
        <f>IFERROR(X261/'Ar-Pa'!X261,0)</f>
        <v>0</v>
      </c>
      <c r="AW261" s="21">
        <f>IFERROR(Y261/'Ar-Pa'!Y261,0)</f>
        <v>0</v>
      </c>
      <c r="AX261" s="21">
        <f t="shared" si="6"/>
        <v>0</v>
      </c>
    </row>
    <row r="262" spans="1:50">
      <c r="A262" s="15">
        <v>45187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21">
        <f>IFERROR(B262/'Ar-Pa'!B262,0)</f>
        <v>0</v>
      </c>
      <c r="AA262" s="21">
        <f>IFERROR(C262/'Ar-Pa'!C262,0)</f>
        <v>0</v>
      </c>
      <c r="AB262" s="21">
        <f>IFERROR(D262/'Ar-Pa'!D262,0)</f>
        <v>0</v>
      </c>
      <c r="AC262" s="21">
        <f>IFERROR(E262/'Ar-Pa'!E262,0)</f>
        <v>0</v>
      </c>
      <c r="AD262" s="21">
        <f>IFERROR(F262/'Ar-Pa'!F262,0)</f>
        <v>0</v>
      </c>
      <c r="AE262" s="21">
        <f>IFERROR(G262/'Ar-Pa'!G262,0)</f>
        <v>0</v>
      </c>
      <c r="AF262" s="21">
        <f>IFERROR(H262/'Ar-Pa'!H262,0)</f>
        <v>0</v>
      </c>
      <c r="AG262" s="21">
        <f>IFERROR(I262/'Ar-Pa'!I262,0)</f>
        <v>0</v>
      </c>
      <c r="AH262" s="21">
        <f>IFERROR(J262/'Ar-Pa'!J262,0)</f>
        <v>0</v>
      </c>
      <c r="AI262" s="21">
        <f>IFERROR(K262/'Ar-Pa'!K262,0)</f>
        <v>0</v>
      </c>
      <c r="AJ262" s="21">
        <f>IFERROR(L262/'Ar-Pa'!L262,0)</f>
        <v>0</v>
      </c>
      <c r="AK262" s="21">
        <f>IFERROR(M262/'Ar-Pa'!M262,0)</f>
        <v>0</v>
      </c>
      <c r="AL262" s="21">
        <f>IFERROR(N262/'Ar-Pa'!N262,0)</f>
        <v>0</v>
      </c>
      <c r="AM262" s="21">
        <f>IFERROR(O262/'Ar-Pa'!O262,0)</f>
        <v>0</v>
      </c>
      <c r="AN262" s="21">
        <f>IFERROR(P262/'Ar-Pa'!P262,0)</f>
        <v>0</v>
      </c>
      <c r="AO262" s="21">
        <f>IFERROR(Q262/'Ar-Pa'!Q262,0)</f>
        <v>0</v>
      </c>
      <c r="AP262" s="21">
        <f>IFERROR(R262/'Ar-Pa'!R262,0)</f>
        <v>0</v>
      </c>
      <c r="AQ262" s="21">
        <f>IFERROR(S262/'Ar-Pa'!S262,0)</f>
        <v>0</v>
      </c>
      <c r="AR262" s="21">
        <f>IFERROR(T262/'Ar-Pa'!T262,0)</f>
        <v>0</v>
      </c>
      <c r="AS262" s="21">
        <f>IFERROR(U262/'Ar-Pa'!U262,0)</f>
        <v>0</v>
      </c>
      <c r="AT262" s="21">
        <f>IFERROR(V262/'Ar-Pa'!V262,0)</f>
        <v>0</v>
      </c>
      <c r="AU262" s="21">
        <f>IFERROR(W262/'Ar-Pa'!W262,0)</f>
        <v>0</v>
      </c>
      <c r="AV262" s="21">
        <f>IFERROR(X262/'Ar-Pa'!X262,0)</f>
        <v>0</v>
      </c>
      <c r="AW262" s="21">
        <f>IFERROR(Y262/'Ar-Pa'!Y262,0)</f>
        <v>0</v>
      </c>
      <c r="AX262" s="21">
        <f t="shared" si="6"/>
        <v>0</v>
      </c>
    </row>
    <row r="263" spans="1:50">
      <c r="A263" s="15">
        <v>45188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21">
        <f>IFERROR(B263/'Ar-Pa'!B263,0)</f>
        <v>0</v>
      </c>
      <c r="AA263" s="21">
        <f>IFERROR(C263/'Ar-Pa'!C263,0)</f>
        <v>0</v>
      </c>
      <c r="AB263" s="21">
        <f>IFERROR(D263/'Ar-Pa'!D263,0)</f>
        <v>0</v>
      </c>
      <c r="AC263" s="21">
        <f>IFERROR(E263/'Ar-Pa'!E263,0)</f>
        <v>0</v>
      </c>
      <c r="AD263" s="21">
        <f>IFERROR(F263/'Ar-Pa'!F263,0)</f>
        <v>0</v>
      </c>
      <c r="AE263" s="21">
        <f>IFERROR(G263/'Ar-Pa'!G263,0)</f>
        <v>0</v>
      </c>
      <c r="AF263" s="21">
        <f>IFERROR(H263/'Ar-Pa'!H263,0)</f>
        <v>0</v>
      </c>
      <c r="AG263" s="21">
        <f>IFERROR(I263/'Ar-Pa'!I263,0)</f>
        <v>0</v>
      </c>
      <c r="AH263" s="21">
        <f>IFERROR(J263/'Ar-Pa'!J263,0)</f>
        <v>0</v>
      </c>
      <c r="AI263" s="21">
        <f>IFERROR(K263/'Ar-Pa'!K263,0)</f>
        <v>0</v>
      </c>
      <c r="AJ263" s="21">
        <f>IFERROR(L263/'Ar-Pa'!L263,0)</f>
        <v>0</v>
      </c>
      <c r="AK263" s="21">
        <f>IFERROR(M263/'Ar-Pa'!M263,0)</f>
        <v>0</v>
      </c>
      <c r="AL263" s="21">
        <f>IFERROR(N263/'Ar-Pa'!N263,0)</f>
        <v>0</v>
      </c>
      <c r="AM263" s="21">
        <f>IFERROR(O263/'Ar-Pa'!O263,0)</f>
        <v>0</v>
      </c>
      <c r="AN263" s="21">
        <f>IFERROR(P263/'Ar-Pa'!P263,0)</f>
        <v>0</v>
      </c>
      <c r="AO263" s="21">
        <f>IFERROR(Q263/'Ar-Pa'!Q263,0)</f>
        <v>0</v>
      </c>
      <c r="AP263" s="21">
        <f>IFERROR(R263/'Ar-Pa'!R263,0)</f>
        <v>0</v>
      </c>
      <c r="AQ263" s="21">
        <f>IFERROR(S263/'Ar-Pa'!S263,0)</f>
        <v>0</v>
      </c>
      <c r="AR263" s="21">
        <f>IFERROR(T263/'Ar-Pa'!T263,0)</f>
        <v>0</v>
      </c>
      <c r="AS263" s="21">
        <f>IFERROR(U263/'Ar-Pa'!U263,0)</f>
        <v>0</v>
      </c>
      <c r="AT263" s="21">
        <f>IFERROR(V263/'Ar-Pa'!V263,0)</f>
        <v>0</v>
      </c>
      <c r="AU263" s="21">
        <f>IFERROR(W263/'Ar-Pa'!W263,0)</f>
        <v>0</v>
      </c>
      <c r="AV263" s="21">
        <f>IFERROR(X263/'Ar-Pa'!X263,0)</f>
        <v>0</v>
      </c>
      <c r="AW263" s="21">
        <f>IFERROR(Y263/'Ar-Pa'!Y263,0)</f>
        <v>0</v>
      </c>
      <c r="AX263" s="21">
        <f t="shared" si="6"/>
        <v>0</v>
      </c>
    </row>
    <row r="264" spans="1:50">
      <c r="A264" s="15">
        <v>45189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21">
        <f>IFERROR(B264/'Ar-Pa'!B264,0)</f>
        <v>0</v>
      </c>
      <c r="AA264" s="21">
        <f>IFERROR(C264/'Ar-Pa'!C264,0)</f>
        <v>0</v>
      </c>
      <c r="AB264" s="21">
        <f>IFERROR(D264/'Ar-Pa'!D264,0)</f>
        <v>0</v>
      </c>
      <c r="AC264" s="21">
        <f>IFERROR(E264/'Ar-Pa'!E264,0)</f>
        <v>0</v>
      </c>
      <c r="AD264" s="21">
        <f>IFERROR(F264/'Ar-Pa'!F264,0)</f>
        <v>0</v>
      </c>
      <c r="AE264" s="21">
        <f>IFERROR(G264/'Ar-Pa'!G264,0)</f>
        <v>0</v>
      </c>
      <c r="AF264" s="21">
        <f>IFERROR(H264/'Ar-Pa'!H264,0)</f>
        <v>0</v>
      </c>
      <c r="AG264" s="21">
        <f>IFERROR(I264/'Ar-Pa'!I264,0)</f>
        <v>0</v>
      </c>
      <c r="AH264" s="21">
        <f>IFERROR(J264/'Ar-Pa'!J264,0)</f>
        <v>0</v>
      </c>
      <c r="AI264" s="21">
        <f>IFERROR(K264/'Ar-Pa'!K264,0)</f>
        <v>0</v>
      </c>
      <c r="AJ264" s="21">
        <f>IFERROR(L264/'Ar-Pa'!L264,0)</f>
        <v>0</v>
      </c>
      <c r="AK264" s="21">
        <f>IFERROR(M264/'Ar-Pa'!M264,0)</f>
        <v>0</v>
      </c>
      <c r="AL264" s="21">
        <f>IFERROR(N264/'Ar-Pa'!N264,0)</f>
        <v>0</v>
      </c>
      <c r="AM264" s="21">
        <f>IFERROR(O264/'Ar-Pa'!O264,0)</f>
        <v>0</v>
      </c>
      <c r="AN264" s="21">
        <f>IFERROR(P264/'Ar-Pa'!P264,0)</f>
        <v>0</v>
      </c>
      <c r="AO264" s="21">
        <f>IFERROR(Q264/'Ar-Pa'!Q264,0)</f>
        <v>0</v>
      </c>
      <c r="AP264" s="21">
        <f>IFERROR(R264/'Ar-Pa'!R264,0)</f>
        <v>0</v>
      </c>
      <c r="AQ264" s="21">
        <f>IFERROR(S264/'Ar-Pa'!S264,0)</f>
        <v>0</v>
      </c>
      <c r="AR264" s="21">
        <f>IFERROR(T264/'Ar-Pa'!T264,0)</f>
        <v>0</v>
      </c>
      <c r="AS264" s="21">
        <f>IFERROR(U264/'Ar-Pa'!U264,0)</f>
        <v>0</v>
      </c>
      <c r="AT264" s="21">
        <f>IFERROR(V264/'Ar-Pa'!V264,0)</f>
        <v>0</v>
      </c>
      <c r="AU264" s="21">
        <f>IFERROR(W264/'Ar-Pa'!W264,0)</f>
        <v>0</v>
      </c>
      <c r="AV264" s="21">
        <f>IFERROR(X264/'Ar-Pa'!X264,0)</f>
        <v>0</v>
      </c>
      <c r="AW264" s="21">
        <f>IFERROR(Y264/'Ar-Pa'!Y264,0)</f>
        <v>0</v>
      </c>
      <c r="AX264" s="21">
        <f t="shared" si="6"/>
        <v>0</v>
      </c>
    </row>
    <row r="265" spans="1:50">
      <c r="A265" s="15">
        <v>45190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21">
        <f>IFERROR(B265/'Ar-Pa'!B265,0)</f>
        <v>0</v>
      </c>
      <c r="AA265" s="21">
        <f>IFERROR(C265/'Ar-Pa'!C265,0)</f>
        <v>0</v>
      </c>
      <c r="AB265" s="21">
        <f>IFERROR(D265/'Ar-Pa'!D265,0)</f>
        <v>0</v>
      </c>
      <c r="AC265" s="21">
        <f>IFERROR(E265/'Ar-Pa'!E265,0)</f>
        <v>0</v>
      </c>
      <c r="AD265" s="21">
        <f>IFERROR(F265/'Ar-Pa'!F265,0)</f>
        <v>0</v>
      </c>
      <c r="AE265" s="21">
        <f>IFERROR(G265/'Ar-Pa'!G265,0)</f>
        <v>0</v>
      </c>
      <c r="AF265" s="21">
        <f>IFERROR(H265/'Ar-Pa'!H265,0)</f>
        <v>0</v>
      </c>
      <c r="AG265" s="21">
        <f>IFERROR(I265/'Ar-Pa'!I265,0)</f>
        <v>0</v>
      </c>
      <c r="AH265" s="21">
        <f>IFERROR(J265/'Ar-Pa'!J265,0)</f>
        <v>0</v>
      </c>
      <c r="AI265" s="21">
        <f>IFERROR(K265/'Ar-Pa'!K265,0)</f>
        <v>0</v>
      </c>
      <c r="AJ265" s="21">
        <f>IFERROR(L265/'Ar-Pa'!L265,0)</f>
        <v>0</v>
      </c>
      <c r="AK265" s="21">
        <f>IFERROR(M265/'Ar-Pa'!M265,0)</f>
        <v>0</v>
      </c>
      <c r="AL265" s="21">
        <f>IFERROR(N265/'Ar-Pa'!N265,0)</f>
        <v>0</v>
      </c>
      <c r="AM265" s="21">
        <f>IFERROR(O265/'Ar-Pa'!O265,0)</f>
        <v>0</v>
      </c>
      <c r="AN265" s="21">
        <f>IFERROR(P265/'Ar-Pa'!P265,0)</f>
        <v>0</v>
      </c>
      <c r="AO265" s="21">
        <f>IFERROR(Q265/'Ar-Pa'!Q265,0)</f>
        <v>0</v>
      </c>
      <c r="AP265" s="21">
        <f>IFERROR(R265/'Ar-Pa'!R265,0)</f>
        <v>0</v>
      </c>
      <c r="AQ265" s="21">
        <f>IFERROR(S265/'Ar-Pa'!S265,0)</f>
        <v>0</v>
      </c>
      <c r="AR265" s="21">
        <f>IFERROR(T265/'Ar-Pa'!T265,0)</f>
        <v>0</v>
      </c>
      <c r="AS265" s="21">
        <f>IFERROR(U265/'Ar-Pa'!U265,0)</f>
        <v>0</v>
      </c>
      <c r="AT265" s="21">
        <f>IFERROR(V265/'Ar-Pa'!V265,0)</f>
        <v>0</v>
      </c>
      <c r="AU265" s="21">
        <f>IFERROR(W265/'Ar-Pa'!W265,0)</f>
        <v>0</v>
      </c>
      <c r="AV265" s="21">
        <f>IFERROR(X265/'Ar-Pa'!X265,0)</f>
        <v>0</v>
      </c>
      <c r="AW265" s="21">
        <f>IFERROR(Y265/'Ar-Pa'!Y265,0)</f>
        <v>0</v>
      </c>
      <c r="AX265" s="21">
        <f t="shared" si="6"/>
        <v>0</v>
      </c>
    </row>
    <row r="266" spans="1:50">
      <c r="A266" s="15">
        <v>45191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21">
        <f>IFERROR(B266/'Ar-Pa'!B266,0)</f>
        <v>0</v>
      </c>
      <c r="AA266" s="21">
        <f>IFERROR(C266/'Ar-Pa'!C266,0)</f>
        <v>0</v>
      </c>
      <c r="AB266" s="21">
        <f>IFERROR(D266/'Ar-Pa'!D266,0)</f>
        <v>0</v>
      </c>
      <c r="AC266" s="21">
        <f>IFERROR(E266/'Ar-Pa'!E266,0)</f>
        <v>0</v>
      </c>
      <c r="AD266" s="21">
        <f>IFERROR(F266/'Ar-Pa'!F266,0)</f>
        <v>0</v>
      </c>
      <c r="AE266" s="21">
        <f>IFERROR(G266/'Ar-Pa'!G266,0)</f>
        <v>0</v>
      </c>
      <c r="AF266" s="21">
        <f>IFERROR(H266/'Ar-Pa'!H266,0)</f>
        <v>0</v>
      </c>
      <c r="AG266" s="21">
        <f>IFERROR(I266/'Ar-Pa'!I266,0)</f>
        <v>0</v>
      </c>
      <c r="AH266" s="21">
        <f>IFERROR(J266/'Ar-Pa'!J266,0)</f>
        <v>0</v>
      </c>
      <c r="AI266" s="21">
        <f>IFERROR(K266/'Ar-Pa'!K266,0)</f>
        <v>0</v>
      </c>
      <c r="AJ266" s="21">
        <f>IFERROR(L266/'Ar-Pa'!L266,0)</f>
        <v>0</v>
      </c>
      <c r="AK266" s="21">
        <f>IFERROR(M266/'Ar-Pa'!M266,0)</f>
        <v>0</v>
      </c>
      <c r="AL266" s="21">
        <f>IFERROR(N266/'Ar-Pa'!N266,0)</f>
        <v>0</v>
      </c>
      <c r="AM266" s="21">
        <f>IFERROR(O266/'Ar-Pa'!O266,0)</f>
        <v>0</v>
      </c>
      <c r="AN266" s="21">
        <f>IFERROR(P266/'Ar-Pa'!P266,0)</f>
        <v>0</v>
      </c>
      <c r="AO266" s="21">
        <f>IFERROR(Q266/'Ar-Pa'!Q266,0)</f>
        <v>0</v>
      </c>
      <c r="AP266" s="21">
        <f>IFERROR(R266/'Ar-Pa'!R266,0)</f>
        <v>0</v>
      </c>
      <c r="AQ266" s="21">
        <f>IFERROR(S266/'Ar-Pa'!S266,0)</f>
        <v>0</v>
      </c>
      <c r="AR266" s="21">
        <f>IFERROR(T266/'Ar-Pa'!T266,0)</f>
        <v>0</v>
      </c>
      <c r="AS266" s="21">
        <f>IFERROR(U266/'Ar-Pa'!U266,0)</f>
        <v>0</v>
      </c>
      <c r="AT266" s="21">
        <f>IFERROR(V266/'Ar-Pa'!V266,0)</f>
        <v>0</v>
      </c>
      <c r="AU266" s="21">
        <f>IFERROR(W266/'Ar-Pa'!W266,0)</f>
        <v>0</v>
      </c>
      <c r="AV266" s="21">
        <f>IFERROR(X266/'Ar-Pa'!X266,0)</f>
        <v>0</v>
      </c>
      <c r="AW266" s="21">
        <f>IFERROR(Y266/'Ar-Pa'!Y266,0)</f>
        <v>0</v>
      </c>
      <c r="AX266" s="21">
        <f t="shared" si="6"/>
        <v>0</v>
      </c>
    </row>
    <row r="267" spans="1:50">
      <c r="A267" s="15">
        <v>45192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21">
        <f>IFERROR(B267/'Ar-Pa'!B267,0)</f>
        <v>0</v>
      </c>
      <c r="AA267" s="21">
        <f>IFERROR(C267/'Ar-Pa'!C267,0)</f>
        <v>0</v>
      </c>
      <c r="AB267" s="21">
        <f>IFERROR(D267/'Ar-Pa'!D267,0)</f>
        <v>0</v>
      </c>
      <c r="AC267" s="21">
        <f>IFERROR(E267/'Ar-Pa'!E267,0)</f>
        <v>0</v>
      </c>
      <c r="AD267" s="21">
        <f>IFERROR(F267/'Ar-Pa'!F267,0)</f>
        <v>0</v>
      </c>
      <c r="AE267" s="21">
        <f>IFERROR(G267/'Ar-Pa'!G267,0)</f>
        <v>0</v>
      </c>
      <c r="AF267" s="21">
        <f>IFERROR(H267/'Ar-Pa'!H267,0)</f>
        <v>0</v>
      </c>
      <c r="AG267" s="21">
        <f>IFERROR(I267/'Ar-Pa'!I267,0)</f>
        <v>0</v>
      </c>
      <c r="AH267" s="21">
        <f>IFERROR(J267/'Ar-Pa'!J267,0)</f>
        <v>0</v>
      </c>
      <c r="AI267" s="21">
        <f>IFERROR(K267/'Ar-Pa'!K267,0)</f>
        <v>0</v>
      </c>
      <c r="AJ267" s="21">
        <f>IFERROR(L267/'Ar-Pa'!L267,0)</f>
        <v>0</v>
      </c>
      <c r="AK267" s="21">
        <f>IFERROR(M267/'Ar-Pa'!M267,0)</f>
        <v>0</v>
      </c>
      <c r="AL267" s="21">
        <f>IFERROR(N267/'Ar-Pa'!N267,0)</f>
        <v>0</v>
      </c>
      <c r="AM267" s="21">
        <f>IFERROR(O267/'Ar-Pa'!O267,0)</f>
        <v>0</v>
      </c>
      <c r="AN267" s="21">
        <f>IFERROR(P267/'Ar-Pa'!P267,0)</f>
        <v>0</v>
      </c>
      <c r="AO267" s="21">
        <f>IFERROR(Q267/'Ar-Pa'!Q267,0)</f>
        <v>0</v>
      </c>
      <c r="AP267" s="21">
        <f>IFERROR(R267/'Ar-Pa'!R267,0)</f>
        <v>0</v>
      </c>
      <c r="AQ267" s="21">
        <f>IFERROR(S267/'Ar-Pa'!S267,0)</f>
        <v>0</v>
      </c>
      <c r="AR267" s="21">
        <f>IFERROR(T267/'Ar-Pa'!T267,0)</f>
        <v>0</v>
      </c>
      <c r="AS267" s="21">
        <f>IFERROR(U267/'Ar-Pa'!U267,0)</f>
        <v>0</v>
      </c>
      <c r="AT267" s="21">
        <f>IFERROR(V267/'Ar-Pa'!V267,0)</f>
        <v>0</v>
      </c>
      <c r="AU267" s="21">
        <f>IFERROR(W267/'Ar-Pa'!W267,0)</f>
        <v>0</v>
      </c>
      <c r="AV267" s="21">
        <f>IFERROR(X267/'Ar-Pa'!X267,0)</f>
        <v>0</v>
      </c>
      <c r="AW267" s="21">
        <f>IFERROR(Y267/'Ar-Pa'!Y267,0)</f>
        <v>0</v>
      </c>
      <c r="AX267" s="21">
        <f t="shared" si="6"/>
        <v>0</v>
      </c>
    </row>
    <row r="268" spans="1:50">
      <c r="A268" s="15">
        <v>45193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21">
        <f>IFERROR(B268/'Ar-Pa'!B268,0)</f>
        <v>0</v>
      </c>
      <c r="AA268" s="21">
        <f>IFERROR(C268/'Ar-Pa'!C268,0)</f>
        <v>0</v>
      </c>
      <c r="AB268" s="21">
        <f>IFERROR(D268/'Ar-Pa'!D268,0)</f>
        <v>0</v>
      </c>
      <c r="AC268" s="21">
        <f>IFERROR(E268/'Ar-Pa'!E268,0)</f>
        <v>0</v>
      </c>
      <c r="AD268" s="21">
        <f>IFERROR(F268/'Ar-Pa'!F268,0)</f>
        <v>0</v>
      </c>
      <c r="AE268" s="21">
        <f>IFERROR(G268/'Ar-Pa'!G268,0)</f>
        <v>0</v>
      </c>
      <c r="AF268" s="21">
        <f>IFERROR(H268/'Ar-Pa'!H268,0)</f>
        <v>0</v>
      </c>
      <c r="AG268" s="21">
        <f>IFERROR(I268/'Ar-Pa'!I268,0)</f>
        <v>0</v>
      </c>
      <c r="AH268" s="21">
        <f>IFERROR(J268/'Ar-Pa'!J268,0)</f>
        <v>0</v>
      </c>
      <c r="AI268" s="21">
        <f>IFERROR(K268/'Ar-Pa'!K268,0)</f>
        <v>0</v>
      </c>
      <c r="AJ268" s="21">
        <f>IFERROR(L268/'Ar-Pa'!L268,0)</f>
        <v>0</v>
      </c>
      <c r="AK268" s="21">
        <f>IFERROR(M268/'Ar-Pa'!M268,0)</f>
        <v>0</v>
      </c>
      <c r="AL268" s="21">
        <f>IFERROR(N268/'Ar-Pa'!N268,0)</f>
        <v>0</v>
      </c>
      <c r="AM268" s="21">
        <f>IFERROR(O268/'Ar-Pa'!O268,0)</f>
        <v>0</v>
      </c>
      <c r="AN268" s="21">
        <f>IFERROR(P268/'Ar-Pa'!P268,0)</f>
        <v>0</v>
      </c>
      <c r="AO268" s="21">
        <f>IFERROR(Q268/'Ar-Pa'!Q268,0)</f>
        <v>0</v>
      </c>
      <c r="AP268" s="21">
        <f>IFERROR(R268/'Ar-Pa'!R268,0)</f>
        <v>0</v>
      </c>
      <c r="AQ268" s="21">
        <f>IFERROR(S268/'Ar-Pa'!S268,0)</f>
        <v>0</v>
      </c>
      <c r="AR268" s="21">
        <f>IFERROR(T268/'Ar-Pa'!T268,0)</f>
        <v>0</v>
      </c>
      <c r="AS268" s="21">
        <f>IFERROR(U268/'Ar-Pa'!U268,0)</f>
        <v>0</v>
      </c>
      <c r="AT268" s="21">
        <f>IFERROR(V268/'Ar-Pa'!V268,0)</f>
        <v>0</v>
      </c>
      <c r="AU268" s="21">
        <f>IFERROR(W268/'Ar-Pa'!W268,0)</f>
        <v>0</v>
      </c>
      <c r="AV268" s="21">
        <f>IFERROR(X268/'Ar-Pa'!X268,0)</f>
        <v>0</v>
      </c>
      <c r="AW268" s="21">
        <f>IFERROR(Y268/'Ar-Pa'!Y268,0)</f>
        <v>0</v>
      </c>
      <c r="AX268" s="21">
        <f t="shared" si="6"/>
        <v>0</v>
      </c>
    </row>
    <row r="269" spans="1:50">
      <c r="A269" s="15">
        <v>45194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21">
        <f>IFERROR(B269/'Ar-Pa'!B269,0)</f>
        <v>0</v>
      </c>
      <c r="AA269" s="21">
        <f>IFERROR(C269/'Ar-Pa'!C269,0)</f>
        <v>0</v>
      </c>
      <c r="AB269" s="21">
        <f>IFERROR(D269/'Ar-Pa'!D269,0)</f>
        <v>0</v>
      </c>
      <c r="AC269" s="21">
        <f>IFERROR(E269/'Ar-Pa'!E269,0)</f>
        <v>0</v>
      </c>
      <c r="AD269" s="21">
        <f>IFERROR(F269/'Ar-Pa'!F269,0)</f>
        <v>0</v>
      </c>
      <c r="AE269" s="21">
        <f>IFERROR(G269/'Ar-Pa'!G269,0)</f>
        <v>0</v>
      </c>
      <c r="AF269" s="21">
        <f>IFERROR(H269/'Ar-Pa'!H269,0)</f>
        <v>0</v>
      </c>
      <c r="AG269" s="21">
        <f>IFERROR(I269/'Ar-Pa'!I269,0)</f>
        <v>0</v>
      </c>
      <c r="AH269" s="21">
        <f>IFERROR(J269/'Ar-Pa'!J269,0)</f>
        <v>0</v>
      </c>
      <c r="AI269" s="21">
        <f>IFERROR(K269/'Ar-Pa'!K269,0)</f>
        <v>0</v>
      </c>
      <c r="AJ269" s="21">
        <f>IFERROR(L269/'Ar-Pa'!L269,0)</f>
        <v>0</v>
      </c>
      <c r="AK269" s="21">
        <f>IFERROR(M269/'Ar-Pa'!M269,0)</f>
        <v>0</v>
      </c>
      <c r="AL269" s="21">
        <f>IFERROR(N269/'Ar-Pa'!N269,0)</f>
        <v>0</v>
      </c>
      <c r="AM269" s="21">
        <f>IFERROR(O269/'Ar-Pa'!O269,0)</f>
        <v>0</v>
      </c>
      <c r="AN269" s="21">
        <f>IFERROR(P269/'Ar-Pa'!P269,0)</f>
        <v>0</v>
      </c>
      <c r="AO269" s="21">
        <f>IFERROR(Q269/'Ar-Pa'!Q269,0)</f>
        <v>0</v>
      </c>
      <c r="AP269" s="21">
        <f>IFERROR(R269/'Ar-Pa'!R269,0)</f>
        <v>0</v>
      </c>
      <c r="AQ269" s="21">
        <f>IFERROR(S269/'Ar-Pa'!S269,0)</f>
        <v>0</v>
      </c>
      <c r="AR269" s="21">
        <f>IFERROR(T269/'Ar-Pa'!T269,0)</f>
        <v>0</v>
      </c>
      <c r="AS269" s="21">
        <f>IFERROR(U269/'Ar-Pa'!U269,0)</f>
        <v>0</v>
      </c>
      <c r="AT269" s="21">
        <f>IFERROR(V269/'Ar-Pa'!V269,0)</f>
        <v>0</v>
      </c>
      <c r="AU269" s="21">
        <f>IFERROR(W269/'Ar-Pa'!W269,0)</f>
        <v>0</v>
      </c>
      <c r="AV269" s="21">
        <f>IFERROR(X269/'Ar-Pa'!X269,0)</f>
        <v>0</v>
      </c>
      <c r="AW269" s="21">
        <f>IFERROR(Y269/'Ar-Pa'!Y269,0)</f>
        <v>0</v>
      </c>
      <c r="AX269" s="21">
        <f t="shared" si="6"/>
        <v>0</v>
      </c>
    </row>
    <row r="270" spans="1:50">
      <c r="A270" s="15">
        <v>45195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21">
        <f>IFERROR(B270/'Ar-Pa'!B270,0)</f>
        <v>0</v>
      </c>
      <c r="AA270" s="21">
        <f>IFERROR(C270/'Ar-Pa'!C270,0)</f>
        <v>0</v>
      </c>
      <c r="AB270" s="21">
        <f>IFERROR(D270/'Ar-Pa'!D270,0)</f>
        <v>0</v>
      </c>
      <c r="AC270" s="21">
        <f>IFERROR(E270/'Ar-Pa'!E270,0)</f>
        <v>0</v>
      </c>
      <c r="AD270" s="21">
        <f>IFERROR(F270/'Ar-Pa'!F270,0)</f>
        <v>0</v>
      </c>
      <c r="AE270" s="21">
        <f>IFERROR(G270/'Ar-Pa'!G270,0)</f>
        <v>0</v>
      </c>
      <c r="AF270" s="21">
        <f>IFERROR(H270/'Ar-Pa'!H270,0)</f>
        <v>0</v>
      </c>
      <c r="AG270" s="21">
        <f>IFERROR(I270/'Ar-Pa'!I270,0)</f>
        <v>0</v>
      </c>
      <c r="AH270" s="21">
        <f>IFERROR(J270/'Ar-Pa'!J270,0)</f>
        <v>0</v>
      </c>
      <c r="AI270" s="21">
        <f>IFERROR(K270/'Ar-Pa'!K270,0)</f>
        <v>0</v>
      </c>
      <c r="AJ270" s="21">
        <f>IFERROR(L270/'Ar-Pa'!L270,0)</f>
        <v>0</v>
      </c>
      <c r="AK270" s="21">
        <f>IFERROR(M270/'Ar-Pa'!M270,0)</f>
        <v>0</v>
      </c>
      <c r="AL270" s="21">
        <f>IFERROR(N270/'Ar-Pa'!N270,0)</f>
        <v>0</v>
      </c>
      <c r="AM270" s="21">
        <f>IFERROR(O270/'Ar-Pa'!O270,0)</f>
        <v>0</v>
      </c>
      <c r="AN270" s="21">
        <f>IFERROR(P270/'Ar-Pa'!P270,0)</f>
        <v>0</v>
      </c>
      <c r="AO270" s="21">
        <f>IFERROR(Q270/'Ar-Pa'!Q270,0)</f>
        <v>0</v>
      </c>
      <c r="AP270" s="21">
        <f>IFERROR(R270/'Ar-Pa'!R270,0)</f>
        <v>0</v>
      </c>
      <c r="AQ270" s="21">
        <f>IFERROR(S270/'Ar-Pa'!S270,0)</f>
        <v>0</v>
      </c>
      <c r="AR270" s="21">
        <f>IFERROR(T270/'Ar-Pa'!T270,0)</f>
        <v>0</v>
      </c>
      <c r="AS270" s="21">
        <f>IFERROR(U270/'Ar-Pa'!U270,0)</f>
        <v>0</v>
      </c>
      <c r="AT270" s="21">
        <f>IFERROR(V270/'Ar-Pa'!V270,0)</f>
        <v>0</v>
      </c>
      <c r="AU270" s="21">
        <f>IFERROR(W270/'Ar-Pa'!W270,0)</f>
        <v>0</v>
      </c>
      <c r="AV270" s="21">
        <f>IFERROR(X270/'Ar-Pa'!X270,0)</f>
        <v>0</v>
      </c>
      <c r="AW270" s="21">
        <f>IFERROR(Y270/'Ar-Pa'!Y270,0)</f>
        <v>0</v>
      </c>
      <c r="AX270" s="21">
        <f t="shared" si="6"/>
        <v>0</v>
      </c>
    </row>
    <row r="271" spans="1:50">
      <c r="A271" s="15">
        <v>45196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21">
        <f>IFERROR(B271/'Ar-Pa'!B271,0)</f>
        <v>0</v>
      </c>
      <c r="AA271" s="21">
        <f>IFERROR(C271/'Ar-Pa'!C271,0)</f>
        <v>0</v>
      </c>
      <c r="AB271" s="21">
        <f>IFERROR(D271/'Ar-Pa'!D271,0)</f>
        <v>0</v>
      </c>
      <c r="AC271" s="21">
        <f>IFERROR(E271/'Ar-Pa'!E271,0)</f>
        <v>0</v>
      </c>
      <c r="AD271" s="21">
        <f>IFERROR(F271/'Ar-Pa'!F271,0)</f>
        <v>0</v>
      </c>
      <c r="AE271" s="21">
        <f>IFERROR(G271/'Ar-Pa'!G271,0)</f>
        <v>0</v>
      </c>
      <c r="AF271" s="21">
        <f>IFERROR(H271/'Ar-Pa'!H271,0)</f>
        <v>0</v>
      </c>
      <c r="AG271" s="21">
        <f>IFERROR(I271/'Ar-Pa'!I271,0)</f>
        <v>0</v>
      </c>
      <c r="AH271" s="21">
        <f>IFERROR(J271/'Ar-Pa'!J271,0)</f>
        <v>0</v>
      </c>
      <c r="AI271" s="21">
        <f>IFERROR(K271/'Ar-Pa'!K271,0)</f>
        <v>0</v>
      </c>
      <c r="AJ271" s="21">
        <f>IFERROR(L271/'Ar-Pa'!L271,0)</f>
        <v>0</v>
      </c>
      <c r="AK271" s="21">
        <f>IFERROR(M271/'Ar-Pa'!M271,0)</f>
        <v>0</v>
      </c>
      <c r="AL271" s="21">
        <f>IFERROR(N271/'Ar-Pa'!N271,0)</f>
        <v>0</v>
      </c>
      <c r="AM271" s="21">
        <f>IFERROR(O271/'Ar-Pa'!O271,0)</f>
        <v>0</v>
      </c>
      <c r="AN271" s="21">
        <f>IFERROR(P271/'Ar-Pa'!P271,0)</f>
        <v>0</v>
      </c>
      <c r="AO271" s="21">
        <f>IFERROR(Q271/'Ar-Pa'!Q271,0)</f>
        <v>0</v>
      </c>
      <c r="AP271" s="21">
        <f>IFERROR(R271/'Ar-Pa'!R271,0)</f>
        <v>0</v>
      </c>
      <c r="AQ271" s="21">
        <f>IFERROR(S271/'Ar-Pa'!S271,0)</f>
        <v>0</v>
      </c>
      <c r="AR271" s="21">
        <f>IFERROR(T271/'Ar-Pa'!T271,0)</f>
        <v>0</v>
      </c>
      <c r="AS271" s="21">
        <f>IFERROR(U271/'Ar-Pa'!U271,0)</f>
        <v>0</v>
      </c>
      <c r="AT271" s="21">
        <f>IFERROR(V271/'Ar-Pa'!V271,0)</f>
        <v>0</v>
      </c>
      <c r="AU271" s="21">
        <f>IFERROR(W271/'Ar-Pa'!W271,0)</f>
        <v>0</v>
      </c>
      <c r="AV271" s="21">
        <f>IFERROR(X271/'Ar-Pa'!X271,0)</f>
        <v>0</v>
      </c>
      <c r="AW271" s="21">
        <f>IFERROR(Y271/'Ar-Pa'!Y271,0)</f>
        <v>0</v>
      </c>
      <c r="AX271" s="21">
        <f t="shared" si="6"/>
        <v>0</v>
      </c>
    </row>
    <row r="272" spans="1:50">
      <c r="A272" s="15">
        <v>45197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21">
        <f>IFERROR(B272/'Ar-Pa'!B272,0)</f>
        <v>0</v>
      </c>
      <c r="AA272" s="21">
        <f>IFERROR(C272/'Ar-Pa'!C272,0)</f>
        <v>0</v>
      </c>
      <c r="AB272" s="21">
        <f>IFERROR(D272/'Ar-Pa'!D272,0)</f>
        <v>0</v>
      </c>
      <c r="AC272" s="21">
        <f>IFERROR(E272/'Ar-Pa'!E272,0)</f>
        <v>0</v>
      </c>
      <c r="AD272" s="21">
        <f>IFERROR(F272/'Ar-Pa'!F272,0)</f>
        <v>0</v>
      </c>
      <c r="AE272" s="21">
        <f>IFERROR(G272/'Ar-Pa'!G272,0)</f>
        <v>0</v>
      </c>
      <c r="AF272" s="21">
        <f>IFERROR(H272/'Ar-Pa'!H272,0)</f>
        <v>0</v>
      </c>
      <c r="AG272" s="21">
        <f>IFERROR(I272/'Ar-Pa'!I272,0)</f>
        <v>0</v>
      </c>
      <c r="AH272" s="21">
        <f>IFERROR(J272/'Ar-Pa'!J272,0)</f>
        <v>0</v>
      </c>
      <c r="AI272" s="21">
        <f>IFERROR(K272/'Ar-Pa'!K272,0)</f>
        <v>0</v>
      </c>
      <c r="AJ272" s="21">
        <f>IFERROR(L272/'Ar-Pa'!L272,0)</f>
        <v>0</v>
      </c>
      <c r="AK272" s="21">
        <f>IFERROR(M272/'Ar-Pa'!M272,0)</f>
        <v>0</v>
      </c>
      <c r="AL272" s="21">
        <f>IFERROR(N272/'Ar-Pa'!N272,0)</f>
        <v>0</v>
      </c>
      <c r="AM272" s="21">
        <f>IFERROR(O272/'Ar-Pa'!O272,0)</f>
        <v>0</v>
      </c>
      <c r="AN272" s="21">
        <f>IFERROR(P272/'Ar-Pa'!P272,0)</f>
        <v>0</v>
      </c>
      <c r="AO272" s="21">
        <f>IFERROR(Q272/'Ar-Pa'!Q272,0)</f>
        <v>0</v>
      </c>
      <c r="AP272" s="21">
        <f>IFERROR(R272/'Ar-Pa'!R272,0)</f>
        <v>0</v>
      </c>
      <c r="AQ272" s="21">
        <f>IFERROR(S272/'Ar-Pa'!S272,0)</f>
        <v>0</v>
      </c>
      <c r="AR272" s="21">
        <f>IFERROR(T272/'Ar-Pa'!T272,0)</f>
        <v>0</v>
      </c>
      <c r="AS272" s="21">
        <f>IFERROR(U272/'Ar-Pa'!U272,0)</f>
        <v>0</v>
      </c>
      <c r="AT272" s="21">
        <f>IFERROR(V272/'Ar-Pa'!V272,0)</f>
        <v>0</v>
      </c>
      <c r="AU272" s="21">
        <f>IFERROR(W272/'Ar-Pa'!W272,0)</f>
        <v>0</v>
      </c>
      <c r="AV272" s="21">
        <f>IFERROR(X272/'Ar-Pa'!X272,0)</f>
        <v>0</v>
      </c>
      <c r="AW272" s="21">
        <f>IFERROR(Y272/'Ar-Pa'!Y272,0)</f>
        <v>0</v>
      </c>
      <c r="AX272" s="21">
        <f t="shared" si="6"/>
        <v>0</v>
      </c>
    </row>
    <row r="273" spans="1:50">
      <c r="A273" s="15">
        <v>45198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21">
        <f>IFERROR(B273/'Ar-Pa'!B273,0)</f>
        <v>0</v>
      </c>
      <c r="AA273" s="21">
        <f>IFERROR(C273/'Ar-Pa'!C273,0)</f>
        <v>0</v>
      </c>
      <c r="AB273" s="21">
        <f>IFERROR(D273/'Ar-Pa'!D273,0)</f>
        <v>0</v>
      </c>
      <c r="AC273" s="21">
        <f>IFERROR(E273/'Ar-Pa'!E273,0)</f>
        <v>0</v>
      </c>
      <c r="AD273" s="21">
        <f>IFERROR(F273/'Ar-Pa'!F273,0)</f>
        <v>0</v>
      </c>
      <c r="AE273" s="21">
        <f>IFERROR(G273/'Ar-Pa'!G273,0)</f>
        <v>0</v>
      </c>
      <c r="AF273" s="21">
        <f>IFERROR(H273/'Ar-Pa'!H273,0)</f>
        <v>0</v>
      </c>
      <c r="AG273" s="21">
        <f>IFERROR(I273/'Ar-Pa'!I273,0)</f>
        <v>0</v>
      </c>
      <c r="AH273" s="21">
        <f>IFERROR(J273/'Ar-Pa'!J273,0)</f>
        <v>0</v>
      </c>
      <c r="AI273" s="21">
        <f>IFERROR(K273/'Ar-Pa'!K273,0)</f>
        <v>0</v>
      </c>
      <c r="AJ273" s="21">
        <f>IFERROR(L273/'Ar-Pa'!L273,0)</f>
        <v>0</v>
      </c>
      <c r="AK273" s="21">
        <f>IFERROR(M273/'Ar-Pa'!M273,0)</f>
        <v>0</v>
      </c>
      <c r="AL273" s="21">
        <f>IFERROR(N273/'Ar-Pa'!N273,0)</f>
        <v>0</v>
      </c>
      <c r="AM273" s="21">
        <f>IFERROR(O273/'Ar-Pa'!O273,0)</f>
        <v>0</v>
      </c>
      <c r="AN273" s="21">
        <f>IFERROR(P273/'Ar-Pa'!P273,0)</f>
        <v>0</v>
      </c>
      <c r="AO273" s="21">
        <f>IFERROR(Q273/'Ar-Pa'!Q273,0)</f>
        <v>0</v>
      </c>
      <c r="AP273" s="21">
        <f>IFERROR(R273/'Ar-Pa'!R273,0)</f>
        <v>0</v>
      </c>
      <c r="AQ273" s="21">
        <f>IFERROR(S273/'Ar-Pa'!S273,0)</f>
        <v>0</v>
      </c>
      <c r="AR273" s="21">
        <f>IFERROR(T273/'Ar-Pa'!T273,0)</f>
        <v>0</v>
      </c>
      <c r="AS273" s="21">
        <f>IFERROR(U273/'Ar-Pa'!U273,0)</f>
        <v>0</v>
      </c>
      <c r="AT273" s="21">
        <f>IFERROR(V273/'Ar-Pa'!V273,0)</f>
        <v>0</v>
      </c>
      <c r="AU273" s="21">
        <f>IFERROR(W273/'Ar-Pa'!W273,0)</f>
        <v>0</v>
      </c>
      <c r="AV273" s="21">
        <f>IFERROR(X273/'Ar-Pa'!X273,0)</f>
        <v>0</v>
      </c>
      <c r="AW273" s="21">
        <f>IFERROR(Y273/'Ar-Pa'!Y273,0)</f>
        <v>0</v>
      </c>
      <c r="AX273" s="21">
        <f t="shared" si="6"/>
        <v>0</v>
      </c>
    </row>
    <row r="274" spans="1:50">
      <c r="A274" s="15">
        <v>45199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21">
        <f>IFERROR(B274/'Ar-Pa'!B274,0)</f>
        <v>0</v>
      </c>
      <c r="AA274" s="21">
        <f>IFERROR(C274/'Ar-Pa'!C274,0)</f>
        <v>0</v>
      </c>
      <c r="AB274" s="21">
        <f>IFERROR(D274/'Ar-Pa'!D274,0)</f>
        <v>0</v>
      </c>
      <c r="AC274" s="21">
        <f>IFERROR(E274/'Ar-Pa'!E274,0)</f>
        <v>0</v>
      </c>
      <c r="AD274" s="21">
        <f>IFERROR(F274/'Ar-Pa'!F274,0)</f>
        <v>0</v>
      </c>
      <c r="AE274" s="21">
        <f>IFERROR(G274/'Ar-Pa'!G274,0)</f>
        <v>0</v>
      </c>
      <c r="AF274" s="21">
        <f>IFERROR(H274/'Ar-Pa'!H274,0)</f>
        <v>0</v>
      </c>
      <c r="AG274" s="21">
        <f>IFERROR(I274/'Ar-Pa'!I274,0)</f>
        <v>0</v>
      </c>
      <c r="AH274" s="21">
        <f>IFERROR(J274/'Ar-Pa'!J274,0)</f>
        <v>0</v>
      </c>
      <c r="AI274" s="21">
        <f>IFERROR(K274/'Ar-Pa'!K274,0)</f>
        <v>0</v>
      </c>
      <c r="AJ274" s="21">
        <f>IFERROR(L274/'Ar-Pa'!L274,0)</f>
        <v>0</v>
      </c>
      <c r="AK274" s="21">
        <f>IFERROR(M274/'Ar-Pa'!M274,0)</f>
        <v>0</v>
      </c>
      <c r="AL274" s="21">
        <f>IFERROR(N274/'Ar-Pa'!N274,0)</f>
        <v>0</v>
      </c>
      <c r="AM274" s="21">
        <f>IFERROR(O274/'Ar-Pa'!O274,0)</f>
        <v>0</v>
      </c>
      <c r="AN274" s="21">
        <f>IFERROR(P274/'Ar-Pa'!P274,0)</f>
        <v>0</v>
      </c>
      <c r="AO274" s="21">
        <f>IFERROR(Q274/'Ar-Pa'!Q274,0)</f>
        <v>0</v>
      </c>
      <c r="AP274" s="21">
        <f>IFERROR(R274/'Ar-Pa'!R274,0)</f>
        <v>0</v>
      </c>
      <c r="AQ274" s="21">
        <f>IFERROR(S274/'Ar-Pa'!S274,0)</f>
        <v>0</v>
      </c>
      <c r="AR274" s="21">
        <f>IFERROR(T274/'Ar-Pa'!T274,0)</f>
        <v>0</v>
      </c>
      <c r="AS274" s="21">
        <f>IFERROR(U274/'Ar-Pa'!U274,0)</f>
        <v>0</v>
      </c>
      <c r="AT274" s="21">
        <f>IFERROR(V274/'Ar-Pa'!V274,0)</f>
        <v>0</v>
      </c>
      <c r="AU274" s="21">
        <f>IFERROR(W274/'Ar-Pa'!W274,0)</f>
        <v>0</v>
      </c>
      <c r="AV274" s="21">
        <f>IFERROR(X274/'Ar-Pa'!X274,0)</f>
        <v>0</v>
      </c>
      <c r="AW274" s="21">
        <f>IFERROR(Y274/'Ar-Pa'!Y274,0)</f>
        <v>0</v>
      </c>
      <c r="AX274" s="21">
        <f t="shared" si="6"/>
        <v>0</v>
      </c>
    </row>
    <row r="275" spans="1:50">
      <c r="A275" s="15">
        <v>45200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21">
        <f>IFERROR(B275/'Ar-Pa'!B275,0)</f>
        <v>0</v>
      </c>
      <c r="AA275" s="21">
        <f>IFERROR(C275/'Ar-Pa'!C275,0)</f>
        <v>0</v>
      </c>
      <c r="AB275" s="21">
        <f>IFERROR(D275/'Ar-Pa'!D275,0)</f>
        <v>0</v>
      </c>
      <c r="AC275" s="21">
        <f>IFERROR(E275/'Ar-Pa'!E275,0)</f>
        <v>0</v>
      </c>
      <c r="AD275" s="21">
        <f>IFERROR(F275/'Ar-Pa'!F275,0)</f>
        <v>0</v>
      </c>
      <c r="AE275" s="21">
        <f>IFERROR(G275/'Ar-Pa'!G275,0)</f>
        <v>0</v>
      </c>
      <c r="AF275" s="21">
        <f>IFERROR(H275/'Ar-Pa'!H275,0)</f>
        <v>0</v>
      </c>
      <c r="AG275" s="21">
        <f>IFERROR(I275/'Ar-Pa'!I275,0)</f>
        <v>0</v>
      </c>
      <c r="AH275" s="21">
        <f>IFERROR(J275/'Ar-Pa'!J275,0)</f>
        <v>0</v>
      </c>
      <c r="AI275" s="21">
        <f>IFERROR(K275/'Ar-Pa'!K275,0)</f>
        <v>0</v>
      </c>
      <c r="AJ275" s="21">
        <f>IFERROR(L275/'Ar-Pa'!L275,0)</f>
        <v>0</v>
      </c>
      <c r="AK275" s="21">
        <f>IFERROR(M275/'Ar-Pa'!M275,0)</f>
        <v>0</v>
      </c>
      <c r="AL275" s="21">
        <f>IFERROR(N275/'Ar-Pa'!N275,0)</f>
        <v>0</v>
      </c>
      <c r="AM275" s="21">
        <f>IFERROR(O275/'Ar-Pa'!O275,0)</f>
        <v>0</v>
      </c>
      <c r="AN275" s="21">
        <f>IFERROR(P275/'Ar-Pa'!P275,0)</f>
        <v>0</v>
      </c>
      <c r="AO275" s="21">
        <f>IFERROR(Q275/'Ar-Pa'!Q275,0)</f>
        <v>0</v>
      </c>
      <c r="AP275" s="21">
        <f>IFERROR(R275/'Ar-Pa'!R275,0)</f>
        <v>0</v>
      </c>
      <c r="AQ275" s="21">
        <f>IFERROR(S275/'Ar-Pa'!S275,0)</f>
        <v>0</v>
      </c>
      <c r="AR275" s="21">
        <f>IFERROR(T275/'Ar-Pa'!T275,0)</f>
        <v>0</v>
      </c>
      <c r="AS275" s="21">
        <f>IFERROR(U275/'Ar-Pa'!U275,0)</f>
        <v>0</v>
      </c>
      <c r="AT275" s="21">
        <f>IFERROR(V275/'Ar-Pa'!V275,0)</f>
        <v>0</v>
      </c>
      <c r="AU275" s="21">
        <f>IFERROR(W275/'Ar-Pa'!W275,0)</f>
        <v>0</v>
      </c>
      <c r="AV275" s="21">
        <f>IFERROR(X275/'Ar-Pa'!X275,0)</f>
        <v>0</v>
      </c>
      <c r="AW275" s="21">
        <f>IFERROR(Y275/'Ar-Pa'!Y275,0)</f>
        <v>0</v>
      </c>
      <c r="AX275" s="21">
        <f t="shared" si="6"/>
        <v>0</v>
      </c>
    </row>
    <row r="276" spans="1:50">
      <c r="A276" s="15">
        <v>45201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21">
        <f>IFERROR(B276/'Ar-Pa'!B276,0)</f>
        <v>0</v>
      </c>
      <c r="AA276" s="21">
        <f>IFERROR(C276/'Ar-Pa'!C276,0)</f>
        <v>0</v>
      </c>
      <c r="AB276" s="21">
        <f>IFERROR(D276/'Ar-Pa'!D276,0)</f>
        <v>0</v>
      </c>
      <c r="AC276" s="21">
        <f>IFERROR(E276/'Ar-Pa'!E276,0)</f>
        <v>0</v>
      </c>
      <c r="AD276" s="21">
        <f>IFERROR(F276/'Ar-Pa'!F276,0)</f>
        <v>0</v>
      </c>
      <c r="AE276" s="21">
        <f>IFERROR(G276/'Ar-Pa'!G276,0)</f>
        <v>0</v>
      </c>
      <c r="AF276" s="21">
        <f>IFERROR(H276/'Ar-Pa'!H276,0)</f>
        <v>0</v>
      </c>
      <c r="AG276" s="21">
        <f>IFERROR(I276/'Ar-Pa'!I276,0)</f>
        <v>0</v>
      </c>
      <c r="AH276" s="21">
        <f>IFERROR(J276/'Ar-Pa'!J276,0)</f>
        <v>0</v>
      </c>
      <c r="AI276" s="21">
        <f>IFERROR(K276/'Ar-Pa'!K276,0)</f>
        <v>0</v>
      </c>
      <c r="AJ276" s="21">
        <f>IFERROR(L276/'Ar-Pa'!L276,0)</f>
        <v>0</v>
      </c>
      <c r="AK276" s="21">
        <f>IFERROR(M276/'Ar-Pa'!M276,0)</f>
        <v>0</v>
      </c>
      <c r="AL276" s="21">
        <f>IFERROR(N276/'Ar-Pa'!N276,0)</f>
        <v>0</v>
      </c>
      <c r="AM276" s="21">
        <f>IFERROR(O276/'Ar-Pa'!O276,0)</f>
        <v>0</v>
      </c>
      <c r="AN276" s="21">
        <f>IFERROR(P276/'Ar-Pa'!P276,0)</f>
        <v>0</v>
      </c>
      <c r="AO276" s="21">
        <f>IFERROR(Q276/'Ar-Pa'!Q276,0)</f>
        <v>0</v>
      </c>
      <c r="AP276" s="21">
        <f>IFERROR(R276/'Ar-Pa'!R276,0)</f>
        <v>0</v>
      </c>
      <c r="AQ276" s="21">
        <f>IFERROR(S276/'Ar-Pa'!S276,0)</f>
        <v>0</v>
      </c>
      <c r="AR276" s="21">
        <f>IFERROR(T276/'Ar-Pa'!T276,0)</f>
        <v>0</v>
      </c>
      <c r="AS276" s="21">
        <f>IFERROR(U276/'Ar-Pa'!U276,0)</f>
        <v>0</v>
      </c>
      <c r="AT276" s="21">
        <f>IFERROR(V276/'Ar-Pa'!V276,0)</f>
        <v>0</v>
      </c>
      <c r="AU276" s="21">
        <f>IFERROR(W276/'Ar-Pa'!W276,0)</f>
        <v>0</v>
      </c>
      <c r="AV276" s="21">
        <f>IFERROR(X276/'Ar-Pa'!X276,0)</f>
        <v>0</v>
      </c>
      <c r="AW276" s="21">
        <f>IFERROR(Y276/'Ar-Pa'!Y276,0)</f>
        <v>0</v>
      </c>
      <c r="AX276" s="21">
        <f t="shared" ref="AX276:AX306" si="7">SUM(Z276:AW276)</f>
        <v>0</v>
      </c>
    </row>
    <row r="277" spans="1:50">
      <c r="A277" s="15">
        <v>45202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21">
        <f>IFERROR(B277/'Ar-Pa'!B277,0)</f>
        <v>0</v>
      </c>
      <c r="AA277" s="21">
        <f>IFERROR(C277/'Ar-Pa'!C277,0)</f>
        <v>0</v>
      </c>
      <c r="AB277" s="21">
        <f>IFERROR(D277/'Ar-Pa'!D277,0)</f>
        <v>0</v>
      </c>
      <c r="AC277" s="21">
        <f>IFERROR(E277/'Ar-Pa'!E277,0)</f>
        <v>0</v>
      </c>
      <c r="AD277" s="21">
        <f>IFERROR(F277/'Ar-Pa'!F277,0)</f>
        <v>0</v>
      </c>
      <c r="AE277" s="21">
        <f>IFERROR(G277/'Ar-Pa'!G277,0)</f>
        <v>0</v>
      </c>
      <c r="AF277" s="21">
        <f>IFERROR(H277/'Ar-Pa'!H277,0)</f>
        <v>0</v>
      </c>
      <c r="AG277" s="21">
        <f>IFERROR(I277/'Ar-Pa'!I277,0)</f>
        <v>0</v>
      </c>
      <c r="AH277" s="21">
        <f>IFERROR(J277/'Ar-Pa'!J277,0)</f>
        <v>0</v>
      </c>
      <c r="AI277" s="21">
        <f>IFERROR(K277/'Ar-Pa'!K277,0)</f>
        <v>0</v>
      </c>
      <c r="AJ277" s="21">
        <f>IFERROR(L277/'Ar-Pa'!L277,0)</f>
        <v>0</v>
      </c>
      <c r="AK277" s="21">
        <f>IFERROR(M277/'Ar-Pa'!M277,0)</f>
        <v>0</v>
      </c>
      <c r="AL277" s="21">
        <f>IFERROR(N277/'Ar-Pa'!N277,0)</f>
        <v>0</v>
      </c>
      <c r="AM277" s="21">
        <f>IFERROR(O277/'Ar-Pa'!O277,0)</f>
        <v>0</v>
      </c>
      <c r="AN277" s="21">
        <f>IFERROR(P277/'Ar-Pa'!P277,0)</f>
        <v>0</v>
      </c>
      <c r="AO277" s="21">
        <f>IFERROR(Q277/'Ar-Pa'!Q277,0)</f>
        <v>0</v>
      </c>
      <c r="AP277" s="21">
        <f>IFERROR(R277/'Ar-Pa'!R277,0)</f>
        <v>0</v>
      </c>
      <c r="AQ277" s="21">
        <f>IFERROR(S277/'Ar-Pa'!S277,0)</f>
        <v>0</v>
      </c>
      <c r="AR277" s="21">
        <f>IFERROR(T277/'Ar-Pa'!T277,0)</f>
        <v>0</v>
      </c>
      <c r="AS277" s="21">
        <f>IFERROR(U277/'Ar-Pa'!U277,0)</f>
        <v>0</v>
      </c>
      <c r="AT277" s="21">
        <f>IFERROR(V277/'Ar-Pa'!V277,0)</f>
        <v>0</v>
      </c>
      <c r="AU277" s="21">
        <f>IFERROR(W277/'Ar-Pa'!W277,0)</f>
        <v>0</v>
      </c>
      <c r="AV277" s="21">
        <f>IFERROR(X277/'Ar-Pa'!X277,0)</f>
        <v>0</v>
      </c>
      <c r="AW277" s="21">
        <f>IFERROR(Y277/'Ar-Pa'!Y277,0)</f>
        <v>0</v>
      </c>
      <c r="AX277" s="21">
        <f t="shared" si="7"/>
        <v>0</v>
      </c>
    </row>
    <row r="278" spans="1:50">
      <c r="A278" s="15">
        <v>45203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21">
        <f>IFERROR(B278/'Ar-Pa'!B278,0)</f>
        <v>0</v>
      </c>
      <c r="AA278" s="21">
        <f>IFERROR(C278/'Ar-Pa'!C278,0)</f>
        <v>0</v>
      </c>
      <c r="AB278" s="21">
        <f>IFERROR(D278/'Ar-Pa'!D278,0)</f>
        <v>0</v>
      </c>
      <c r="AC278" s="21">
        <f>IFERROR(E278/'Ar-Pa'!E278,0)</f>
        <v>0</v>
      </c>
      <c r="AD278" s="21">
        <f>IFERROR(F278/'Ar-Pa'!F278,0)</f>
        <v>0</v>
      </c>
      <c r="AE278" s="21">
        <f>IFERROR(G278/'Ar-Pa'!G278,0)</f>
        <v>0</v>
      </c>
      <c r="AF278" s="21">
        <f>IFERROR(H278/'Ar-Pa'!H278,0)</f>
        <v>0</v>
      </c>
      <c r="AG278" s="21">
        <f>IFERROR(I278/'Ar-Pa'!I278,0)</f>
        <v>0</v>
      </c>
      <c r="AH278" s="21">
        <f>IFERROR(J278/'Ar-Pa'!J278,0)</f>
        <v>0</v>
      </c>
      <c r="AI278" s="21">
        <f>IFERROR(K278/'Ar-Pa'!K278,0)</f>
        <v>0</v>
      </c>
      <c r="AJ278" s="21">
        <f>IFERROR(L278/'Ar-Pa'!L278,0)</f>
        <v>0</v>
      </c>
      <c r="AK278" s="21">
        <f>IFERROR(M278/'Ar-Pa'!M278,0)</f>
        <v>0</v>
      </c>
      <c r="AL278" s="21">
        <f>IFERROR(N278/'Ar-Pa'!N278,0)</f>
        <v>0</v>
      </c>
      <c r="AM278" s="21">
        <f>IFERROR(O278/'Ar-Pa'!O278,0)</f>
        <v>0</v>
      </c>
      <c r="AN278" s="21">
        <f>IFERROR(P278/'Ar-Pa'!P278,0)</f>
        <v>0</v>
      </c>
      <c r="AO278" s="21">
        <f>IFERROR(Q278/'Ar-Pa'!Q278,0)</f>
        <v>0</v>
      </c>
      <c r="AP278" s="21">
        <f>IFERROR(R278/'Ar-Pa'!R278,0)</f>
        <v>0</v>
      </c>
      <c r="AQ278" s="21">
        <f>IFERROR(S278/'Ar-Pa'!S278,0)</f>
        <v>0</v>
      </c>
      <c r="AR278" s="21">
        <f>IFERROR(T278/'Ar-Pa'!T278,0)</f>
        <v>0</v>
      </c>
      <c r="AS278" s="21">
        <f>IFERROR(U278/'Ar-Pa'!U278,0)</f>
        <v>0</v>
      </c>
      <c r="AT278" s="21">
        <f>IFERROR(V278/'Ar-Pa'!V278,0)</f>
        <v>0</v>
      </c>
      <c r="AU278" s="21">
        <f>IFERROR(W278/'Ar-Pa'!W278,0)</f>
        <v>0</v>
      </c>
      <c r="AV278" s="21">
        <f>IFERROR(X278/'Ar-Pa'!X278,0)</f>
        <v>0</v>
      </c>
      <c r="AW278" s="21">
        <f>IFERROR(Y278/'Ar-Pa'!Y278,0)</f>
        <v>0</v>
      </c>
      <c r="AX278" s="21">
        <f t="shared" si="7"/>
        <v>0</v>
      </c>
    </row>
    <row r="279" spans="1:50">
      <c r="A279" s="15">
        <v>45204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21">
        <f>IFERROR(B279/'Ar-Pa'!B279,0)</f>
        <v>0</v>
      </c>
      <c r="AA279" s="21">
        <f>IFERROR(C279/'Ar-Pa'!C279,0)</f>
        <v>0</v>
      </c>
      <c r="AB279" s="21">
        <f>IFERROR(D279/'Ar-Pa'!D279,0)</f>
        <v>0</v>
      </c>
      <c r="AC279" s="21">
        <f>IFERROR(E279/'Ar-Pa'!E279,0)</f>
        <v>0</v>
      </c>
      <c r="AD279" s="21">
        <f>IFERROR(F279/'Ar-Pa'!F279,0)</f>
        <v>0</v>
      </c>
      <c r="AE279" s="21">
        <f>IFERROR(G279/'Ar-Pa'!G279,0)</f>
        <v>0</v>
      </c>
      <c r="AF279" s="21">
        <f>IFERROR(H279/'Ar-Pa'!H279,0)</f>
        <v>0</v>
      </c>
      <c r="AG279" s="21">
        <f>IFERROR(I279/'Ar-Pa'!I279,0)</f>
        <v>0</v>
      </c>
      <c r="AH279" s="21">
        <f>IFERROR(J279/'Ar-Pa'!J279,0)</f>
        <v>0</v>
      </c>
      <c r="AI279" s="21">
        <f>IFERROR(K279/'Ar-Pa'!K279,0)</f>
        <v>0</v>
      </c>
      <c r="AJ279" s="21">
        <f>IFERROR(L279/'Ar-Pa'!L279,0)</f>
        <v>0</v>
      </c>
      <c r="AK279" s="21">
        <f>IFERROR(M279/'Ar-Pa'!M279,0)</f>
        <v>0</v>
      </c>
      <c r="AL279" s="21">
        <f>IFERROR(N279/'Ar-Pa'!N279,0)</f>
        <v>0</v>
      </c>
      <c r="AM279" s="21">
        <f>IFERROR(O279/'Ar-Pa'!O279,0)</f>
        <v>0</v>
      </c>
      <c r="AN279" s="21">
        <f>IFERROR(P279/'Ar-Pa'!P279,0)</f>
        <v>0</v>
      </c>
      <c r="AO279" s="21">
        <f>IFERROR(Q279/'Ar-Pa'!Q279,0)</f>
        <v>0</v>
      </c>
      <c r="AP279" s="21">
        <f>IFERROR(R279/'Ar-Pa'!R279,0)</f>
        <v>0</v>
      </c>
      <c r="AQ279" s="21">
        <f>IFERROR(S279/'Ar-Pa'!S279,0)</f>
        <v>0</v>
      </c>
      <c r="AR279" s="21">
        <f>IFERROR(T279/'Ar-Pa'!T279,0)</f>
        <v>0</v>
      </c>
      <c r="AS279" s="21">
        <f>IFERROR(U279/'Ar-Pa'!U279,0)</f>
        <v>0</v>
      </c>
      <c r="AT279" s="21">
        <f>IFERROR(V279/'Ar-Pa'!V279,0)</f>
        <v>0</v>
      </c>
      <c r="AU279" s="21">
        <f>IFERROR(W279/'Ar-Pa'!W279,0)</f>
        <v>0</v>
      </c>
      <c r="AV279" s="21">
        <f>IFERROR(X279/'Ar-Pa'!X279,0)</f>
        <v>0</v>
      </c>
      <c r="AW279" s="21">
        <f>IFERROR(Y279/'Ar-Pa'!Y279,0)</f>
        <v>0</v>
      </c>
      <c r="AX279" s="21">
        <f t="shared" si="7"/>
        <v>0</v>
      </c>
    </row>
    <row r="280" spans="1:50">
      <c r="A280" s="15">
        <v>45205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21">
        <f>IFERROR(B280/'Ar-Pa'!B280,0)</f>
        <v>0</v>
      </c>
      <c r="AA280" s="21">
        <f>IFERROR(C280/'Ar-Pa'!C280,0)</f>
        <v>0</v>
      </c>
      <c r="AB280" s="21">
        <f>IFERROR(D280/'Ar-Pa'!D280,0)</f>
        <v>0</v>
      </c>
      <c r="AC280" s="21">
        <f>IFERROR(E280/'Ar-Pa'!E280,0)</f>
        <v>0</v>
      </c>
      <c r="AD280" s="21">
        <f>IFERROR(F280/'Ar-Pa'!F280,0)</f>
        <v>0</v>
      </c>
      <c r="AE280" s="21">
        <f>IFERROR(G280/'Ar-Pa'!G280,0)</f>
        <v>0</v>
      </c>
      <c r="AF280" s="21">
        <f>IFERROR(H280/'Ar-Pa'!H280,0)</f>
        <v>0</v>
      </c>
      <c r="AG280" s="21">
        <f>IFERROR(I280/'Ar-Pa'!I280,0)</f>
        <v>0</v>
      </c>
      <c r="AH280" s="21">
        <f>IFERROR(J280/'Ar-Pa'!J280,0)</f>
        <v>0</v>
      </c>
      <c r="AI280" s="21">
        <f>IFERROR(K280/'Ar-Pa'!K280,0)</f>
        <v>0</v>
      </c>
      <c r="AJ280" s="21">
        <f>IFERROR(L280/'Ar-Pa'!L280,0)</f>
        <v>0</v>
      </c>
      <c r="AK280" s="21">
        <f>IFERROR(M280/'Ar-Pa'!M280,0)</f>
        <v>0</v>
      </c>
      <c r="AL280" s="21">
        <f>IFERROR(N280/'Ar-Pa'!N280,0)</f>
        <v>0</v>
      </c>
      <c r="AM280" s="21">
        <f>IFERROR(O280/'Ar-Pa'!O280,0)</f>
        <v>0</v>
      </c>
      <c r="AN280" s="21">
        <f>IFERROR(P280/'Ar-Pa'!P280,0)</f>
        <v>0</v>
      </c>
      <c r="AO280" s="21">
        <f>IFERROR(Q280/'Ar-Pa'!Q280,0)</f>
        <v>0</v>
      </c>
      <c r="AP280" s="21">
        <f>IFERROR(R280/'Ar-Pa'!R280,0)</f>
        <v>0</v>
      </c>
      <c r="AQ280" s="21">
        <f>IFERROR(S280/'Ar-Pa'!S280,0)</f>
        <v>0</v>
      </c>
      <c r="AR280" s="21">
        <f>IFERROR(T280/'Ar-Pa'!T280,0)</f>
        <v>0</v>
      </c>
      <c r="AS280" s="21">
        <f>IFERROR(U280/'Ar-Pa'!U280,0)</f>
        <v>0</v>
      </c>
      <c r="AT280" s="21">
        <f>IFERROR(V280/'Ar-Pa'!V280,0)</f>
        <v>0</v>
      </c>
      <c r="AU280" s="21">
        <f>IFERROR(W280/'Ar-Pa'!W280,0)</f>
        <v>0</v>
      </c>
      <c r="AV280" s="21">
        <f>IFERROR(X280/'Ar-Pa'!X280,0)</f>
        <v>0</v>
      </c>
      <c r="AW280" s="21">
        <f>IFERROR(Y280/'Ar-Pa'!Y280,0)</f>
        <v>0</v>
      </c>
      <c r="AX280" s="21">
        <f t="shared" si="7"/>
        <v>0</v>
      </c>
    </row>
    <row r="281" spans="1:50">
      <c r="A281" s="15">
        <v>45206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21">
        <f>IFERROR(B281/'Ar-Pa'!B281,0)</f>
        <v>0</v>
      </c>
      <c r="AA281" s="21">
        <f>IFERROR(C281/'Ar-Pa'!C281,0)</f>
        <v>0</v>
      </c>
      <c r="AB281" s="21">
        <f>IFERROR(D281/'Ar-Pa'!D281,0)</f>
        <v>0</v>
      </c>
      <c r="AC281" s="21">
        <f>IFERROR(E281/'Ar-Pa'!E281,0)</f>
        <v>0</v>
      </c>
      <c r="AD281" s="21">
        <f>IFERROR(F281/'Ar-Pa'!F281,0)</f>
        <v>0</v>
      </c>
      <c r="AE281" s="21">
        <f>IFERROR(G281/'Ar-Pa'!G281,0)</f>
        <v>0</v>
      </c>
      <c r="AF281" s="21">
        <f>IFERROR(H281/'Ar-Pa'!H281,0)</f>
        <v>0</v>
      </c>
      <c r="AG281" s="21">
        <f>IFERROR(I281/'Ar-Pa'!I281,0)</f>
        <v>0</v>
      </c>
      <c r="AH281" s="21">
        <f>IFERROR(J281/'Ar-Pa'!J281,0)</f>
        <v>0</v>
      </c>
      <c r="AI281" s="21">
        <f>IFERROR(K281/'Ar-Pa'!K281,0)</f>
        <v>0</v>
      </c>
      <c r="AJ281" s="21">
        <f>IFERROR(L281/'Ar-Pa'!L281,0)</f>
        <v>0</v>
      </c>
      <c r="AK281" s="21">
        <f>IFERROR(M281/'Ar-Pa'!M281,0)</f>
        <v>0</v>
      </c>
      <c r="AL281" s="21">
        <f>IFERROR(N281/'Ar-Pa'!N281,0)</f>
        <v>0</v>
      </c>
      <c r="AM281" s="21">
        <f>IFERROR(O281/'Ar-Pa'!O281,0)</f>
        <v>0</v>
      </c>
      <c r="AN281" s="21">
        <f>IFERROR(P281/'Ar-Pa'!P281,0)</f>
        <v>0</v>
      </c>
      <c r="AO281" s="21">
        <f>IFERROR(Q281/'Ar-Pa'!Q281,0)</f>
        <v>0</v>
      </c>
      <c r="AP281" s="21">
        <f>IFERROR(R281/'Ar-Pa'!R281,0)</f>
        <v>0</v>
      </c>
      <c r="AQ281" s="21">
        <f>IFERROR(S281/'Ar-Pa'!S281,0)</f>
        <v>0</v>
      </c>
      <c r="AR281" s="21">
        <f>IFERROR(T281/'Ar-Pa'!T281,0)</f>
        <v>0</v>
      </c>
      <c r="AS281" s="21">
        <f>IFERROR(U281/'Ar-Pa'!U281,0)</f>
        <v>0</v>
      </c>
      <c r="AT281" s="21">
        <f>IFERROR(V281/'Ar-Pa'!V281,0)</f>
        <v>0</v>
      </c>
      <c r="AU281" s="21">
        <f>IFERROR(W281/'Ar-Pa'!W281,0)</f>
        <v>0</v>
      </c>
      <c r="AV281" s="21">
        <f>IFERROR(X281/'Ar-Pa'!X281,0)</f>
        <v>0</v>
      </c>
      <c r="AW281" s="21">
        <f>IFERROR(Y281/'Ar-Pa'!Y281,0)</f>
        <v>0</v>
      </c>
      <c r="AX281" s="21">
        <f t="shared" si="7"/>
        <v>0</v>
      </c>
    </row>
    <row r="282" spans="1:50">
      <c r="A282" s="15">
        <v>45207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21">
        <f>IFERROR(B282/'Ar-Pa'!B282,0)</f>
        <v>0</v>
      </c>
      <c r="AA282" s="21">
        <f>IFERROR(C282/'Ar-Pa'!C282,0)</f>
        <v>0</v>
      </c>
      <c r="AB282" s="21">
        <f>IFERROR(D282/'Ar-Pa'!D282,0)</f>
        <v>0</v>
      </c>
      <c r="AC282" s="21">
        <f>IFERROR(E282/'Ar-Pa'!E282,0)</f>
        <v>0</v>
      </c>
      <c r="AD282" s="21">
        <f>IFERROR(F282/'Ar-Pa'!F282,0)</f>
        <v>0</v>
      </c>
      <c r="AE282" s="21">
        <f>IFERROR(G282/'Ar-Pa'!G282,0)</f>
        <v>0</v>
      </c>
      <c r="AF282" s="21">
        <f>IFERROR(H282/'Ar-Pa'!H282,0)</f>
        <v>0</v>
      </c>
      <c r="AG282" s="21">
        <f>IFERROR(I282/'Ar-Pa'!I282,0)</f>
        <v>0</v>
      </c>
      <c r="AH282" s="21">
        <f>IFERROR(J282/'Ar-Pa'!J282,0)</f>
        <v>0</v>
      </c>
      <c r="AI282" s="21">
        <f>IFERROR(K282/'Ar-Pa'!K282,0)</f>
        <v>0</v>
      </c>
      <c r="AJ282" s="21">
        <f>IFERROR(L282/'Ar-Pa'!L282,0)</f>
        <v>0</v>
      </c>
      <c r="AK282" s="21">
        <f>IFERROR(M282/'Ar-Pa'!M282,0)</f>
        <v>0</v>
      </c>
      <c r="AL282" s="21">
        <f>IFERROR(N282/'Ar-Pa'!N282,0)</f>
        <v>0</v>
      </c>
      <c r="AM282" s="21">
        <f>IFERROR(O282/'Ar-Pa'!O282,0)</f>
        <v>0</v>
      </c>
      <c r="AN282" s="21">
        <f>IFERROR(P282/'Ar-Pa'!P282,0)</f>
        <v>0</v>
      </c>
      <c r="AO282" s="21">
        <f>IFERROR(Q282/'Ar-Pa'!Q282,0)</f>
        <v>0</v>
      </c>
      <c r="AP282" s="21">
        <f>IFERROR(R282/'Ar-Pa'!R282,0)</f>
        <v>0</v>
      </c>
      <c r="AQ282" s="21">
        <f>IFERROR(S282/'Ar-Pa'!S282,0)</f>
        <v>0</v>
      </c>
      <c r="AR282" s="21">
        <f>IFERROR(T282/'Ar-Pa'!T282,0)</f>
        <v>0</v>
      </c>
      <c r="AS282" s="21">
        <f>IFERROR(U282/'Ar-Pa'!U282,0)</f>
        <v>0</v>
      </c>
      <c r="AT282" s="21">
        <f>IFERROR(V282/'Ar-Pa'!V282,0)</f>
        <v>0</v>
      </c>
      <c r="AU282" s="21">
        <f>IFERROR(W282/'Ar-Pa'!W282,0)</f>
        <v>0</v>
      </c>
      <c r="AV282" s="21">
        <f>IFERROR(X282/'Ar-Pa'!X282,0)</f>
        <v>0</v>
      </c>
      <c r="AW282" s="21">
        <f>IFERROR(Y282/'Ar-Pa'!Y282,0)</f>
        <v>0</v>
      </c>
      <c r="AX282" s="21">
        <f t="shared" si="7"/>
        <v>0</v>
      </c>
    </row>
    <row r="283" spans="1:50">
      <c r="A283" s="15">
        <v>45208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21">
        <f>IFERROR(B283/'Ar-Pa'!B283,0)</f>
        <v>0</v>
      </c>
      <c r="AA283" s="21">
        <f>IFERROR(C283/'Ar-Pa'!C283,0)</f>
        <v>0</v>
      </c>
      <c r="AB283" s="21">
        <f>IFERROR(D283/'Ar-Pa'!D283,0)</f>
        <v>0</v>
      </c>
      <c r="AC283" s="21">
        <f>IFERROR(E283/'Ar-Pa'!E283,0)</f>
        <v>0</v>
      </c>
      <c r="AD283" s="21">
        <f>IFERROR(F283/'Ar-Pa'!F283,0)</f>
        <v>0</v>
      </c>
      <c r="AE283" s="21">
        <f>IFERROR(G283/'Ar-Pa'!G283,0)</f>
        <v>0</v>
      </c>
      <c r="AF283" s="21">
        <f>IFERROR(H283/'Ar-Pa'!H283,0)</f>
        <v>0</v>
      </c>
      <c r="AG283" s="21">
        <f>IFERROR(I283/'Ar-Pa'!I283,0)</f>
        <v>0</v>
      </c>
      <c r="AH283" s="21">
        <f>IFERROR(J283/'Ar-Pa'!J283,0)</f>
        <v>0</v>
      </c>
      <c r="AI283" s="21">
        <f>IFERROR(K283/'Ar-Pa'!K283,0)</f>
        <v>0</v>
      </c>
      <c r="AJ283" s="21">
        <f>IFERROR(L283/'Ar-Pa'!L283,0)</f>
        <v>0</v>
      </c>
      <c r="AK283" s="21">
        <f>IFERROR(M283/'Ar-Pa'!M283,0)</f>
        <v>0</v>
      </c>
      <c r="AL283" s="21">
        <f>IFERROR(N283/'Ar-Pa'!N283,0)</f>
        <v>0</v>
      </c>
      <c r="AM283" s="21">
        <f>IFERROR(O283/'Ar-Pa'!O283,0)</f>
        <v>0</v>
      </c>
      <c r="AN283" s="21">
        <f>IFERROR(P283/'Ar-Pa'!P283,0)</f>
        <v>0</v>
      </c>
      <c r="AO283" s="21">
        <f>IFERROR(Q283/'Ar-Pa'!Q283,0)</f>
        <v>0</v>
      </c>
      <c r="AP283" s="21">
        <f>IFERROR(R283/'Ar-Pa'!R283,0)</f>
        <v>0</v>
      </c>
      <c r="AQ283" s="21">
        <f>IFERROR(S283/'Ar-Pa'!S283,0)</f>
        <v>0</v>
      </c>
      <c r="AR283" s="21">
        <f>IFERROR(T283/'Ar-Pa'!T283,0)</f>
        <v>0</v>
      </c>
      <c r="AS283" s="21">
        <f>IFERROR(U283/'Ar-Pa'!U283,0)</f>
        <v>0</v>
      </c>
      <c r="AT283" s="21">
        <f>IFERROR(V283/'Ar-Pa'!V283,0)</f>
        <v>0</v>
      </c>
      <c r="AU283" s="21">
        <f>IFERROR(W283/'Ar-Pa'!W283,0)</f>
        <v>0</v>
      </c>
      <c r="AV283" s="21">
        <f>IFERROR(X283/'Ar-Pa'!X283,0)</f>
        <v>0</v>
      </c>
      <c r="AW283" s="21">
        <f>IFERROR(Y283/'Ar-Pa'!Y283,0)</f>
        <v>0</v>
      </c>
      <c r="AX283" s="21">
        <f t="shared" si="7"/>
        <v>0</v>
      </c>
    </row>
    <row r="284" spans="1:50">
      <c r="A284" s="15">
        <v>45209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21">
        <f>IFERROR(B284/'Ar-Pa'!B284,0)</f>
        <v>0</v>
      </c>
      <c r="AA284" s="21">
        <f>IFERROR(C284/'Ar-Pa'!C284,0)</f>
        <v>0</v>
      </c>
      <c r="AB284" s="21">
        <f>IFERROR(D284/'Ar-Pa'!D284,0)</f>
        <v>0</v>
      </c>
      <c r="AC284" s="21">
        <f>IFERROR(E284/'Ar-Pa'!E284,0)</f>
        <v>0</v>
      </c>
      <c r="AD284" s="21">
        <f>IFERROR(F284/'Ar-Pa'!F284,0)</f>
        <v>0</v>
      </c>
      <c r="AE284" s="21">
        <f>IFERROR(G284/'Ar-Pa'!G284,0)</f>
        <v>0</v>
      </c>
      <c r="AF284" s="21">
        <f>IFERROR(H284/'Ar-Pa'!H284,0)</f>
        <v>0</v>
      </c>
      <c r="AG284" s="21">
        <f>IFERROR(I284/'Ar-Pa'!I284,0)</f>
        <v>0</v>
      </c>
      <c r="AH284" s="21">
        <f>IFERROR(J284/'Ar-Pa'!J284,0)</f>
        <v>0</v>
      </c>
      <c r="AI284" s="21">
        <f>IFERROR(K284/'Ar-Pa'!K284,0)</f>
        <v>0</v>
      </c>
      <c r="AJ284" s="21">
        <f>IFERROR(L284/'Ar-Pa'!L284,0)</f>
        <v>0</v>
      </c>
      <c r="AK284" s="21">
        <f>IFERROR(M284/'Ar-Pa'!M284,0)</f>
        <v>0</v>
      </c>
      <c r="AL284" s="21">
        <f>IFERROR(N284/'Ar-Pa'!N284,0)</f>
        <v>0</v>
      </c>
      <c r="AM284" s="21">
        <f>IFERROR(O284/'Ar-Pa'!O284,0)</f>
        <v>0</v>
      </c>
      <c r="AN284" s="21">
        <f>IFERROR(P284/'Ar-Pa'!P284,0)</f>
        <v>0</v>
      </c>
      <c r="AO284" s="21">
        <f>IFERROR(Q284/'Ar-Pa'!Q284,0)</f>
        <v>0</v>
      </c>
      <c r="AP284" s="21">
        <f>IFERROR(R284/'Ar-Pa'!R284,0)</f>
        <v>0</v>
      </c>
      <c r="AQ284" s="21">
        <f>IFERROR(S284/'Ar-Pa'!S284,0)</f>
        <v>0</v>
      </c>
      <c r="AR284" s="21">
        <f>IFERROR(T284/'Ar-Pa'!T284,0)</f>
        <v>0</v>
      </c>
      <c r="AS284" s="21">
        <f>IFERROR(U284/'Ar-Pa'!U284,0)</f>
        <v>0</v>
      </c>
      <c r="AT284" s="21">
        <f>IFERROR(V284/'Ar-Pa'!V284,0)</f>
        <v>0</v>
      </c>
      <c r="AU284" s="21">
        <f>IFERROR(W284/'Ar-Pa'!W284,0)</f>
        <v>0</v>
      </c>
      <c r="AV284" s="21">
        <f>IFERROR(X284/'Ar-Pa'!X284,0)</f>
        <v>0</v>
      </c>
      <c r="AW284" s="21">
        <f>IFERROR(Y284/'Ar-Pa'!Y284,0)</f>
        <v>0</v>
      </c>
      <c r="AX284" s="21">
        <f t="shared" si="7"/>
        <v>0</v>
      </c>
    </row>
    <row r="285" spans="1:50">
      <c r="A285" s="15">
        <v>45210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21">
        <f>IFERROR(B285/'Ar-Pa'!B285,0)</f>
        <v>0</v>
      </c>
      <c r="AA285" s="21">
        <f>IFERROR(C285/'Ar-Pa'!C285,0)</f>
        <v>0</v>
      </c>
      <c r="AB285" s="21">
        <f>IFERROR(D285/'Ar-Pa'!D285,0)</f>
        <v>0</v>
      </c>
      <c r="AC285" s="21">
        <f>IFERROR(E285/'Ar-Pa'!E285,0)</f>
        <v>0</v>
      </c>
      <c r="AD285" s="21">
        <f>IFERROR(F285/'Ar-Pa'!F285,0)</f>
        <v>0</v>
      </c>
      <c r="AE285" s="21">
        <f>IFERROR(G285/'Ar-Pa'!G285,0)</f>
        <v>0</v>
      </c>
      <c r="AF285" s="21">
        <f>IFERROR(H285/'Ar-Pa'!H285,0)</f>
        <v>0</v>
      </c>
      <c r="AG285" s="21">
        <f>IFERROR(I285/'Ar-Pa'!I285,0)</f>
        <v>0</v>
      </c>
      <c r="AH285" s="21">
        <f>IFERROR(J285/'Ar-Pa'!J285,0)</f>
        <v>0</v>
      </c>
      <c r="AI285" s="21">
        <f>IFERROR(K285/'Ar-Pa'!K285,0)</f>
        <v>0</v>
      </c>
      <c r="AJ285" s="21">
        <f>IFERROR(L285/'Ar-Pa'!L285,0)</f>
        <v>0</v>
      </c>
      <c r="AK285" s="21">
        <f>IFERROR(M285/'Ar-Pa'!M285,0)</f>
        <v>0</v>
      </c>
      <c r="AL285" s="21">
        <f>IFERROR(N285/'Ar-Pa'!N285,0)</f>
        <v>0</v>
      </c>
      <c r="AM285" s="21">
        <f>IFERROR(O285/'Ar-Pa'!O285,0)</f>
        <v>0</v>
      </c>
      <c r="AN285" s="21">
        <f>IFERROR(P285/'Ar-Pa'!P285,0)</f>
        <v>0</v>
      </c>
      <c r="AO285" s="21">
        <f>IFERROR(Q285/'Ar-Pa'!Q285,0)</f>
        <v>0</v>
      </c>
      <c r="AP285" s="21">
        <f>IFERROR(R285/'Ar-Pa'!R285,0)</f>
        <v>0</v>
      </c>
      <c r="AQ285" s="21">
        <f>IFERROR(S285/'Ar-Pa'!S285,0)</f>
        <v>0</v>
      </c>
      <c r="AR285" s="21">
        <f>IFERROR(T285/'Ar-Pa'!T285,0)</f>
        <v>0</v>
      </c>
      <c r="AS285" s="21">
        <f>IFERROR(U285/'Ar-Pa'!U285,0)</f>
        <v>0</v>
      </c>
      <c r="AT285" s="21">
        <f>IFERROR(V285/'Ar-Pa'!V285,0)</f>
        <v>0</v>
      </c>
      <c r="AU285" s="21">
        <f>IFERROR(W285/'Ar-Pa'!W285,0)</f>
        <v>0</v>
      </c>
      <c r="AV285" s="21">
        <f>IFERROR(X285/'Ar-Pa'!X285,0)</f>
        <v>0</v>
      </c>
      <c r="AW285" s="21">
        <f>IFERROR(Y285/'Ar-Pa'!Y285,0)</f>
        <v>0</v>
      </c>
      <c r="AX285" s="21">
        <f t="shared" si="7"/>
        <v>0</v>
      </c>
    </row>
    <row r="286" spans="1:50">
      <c r="A286" s="15">
        <v>45211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21">
        <f>IFERROR(B286/'Ar-Pa'!B286,0)</f>
        <v>0</v>
      </c>
      <c r="AA286" s="21">
        <f>IFERROR(C286/'Ar-Pa'!C286,0)</f>
        <v>0</v>
      </c>
      <c r="AB286" s="21">
        <f>IFERROR(D286/'Ar-Pa'!D286,0)</f>
        <v>0</v>
      </c>
      <c r="AC286" s="21">
        <f>IFERROR(E286/'Ar-Pa'!E286,0)</f>
        <v>0</v>
      </c>
      <c r="AD286" s="21">
        <f>IFERROR(F286/'Ar-Pa'!F286,0)</f>
        <v>0</v>
      </c>
      <c r="AE286" s="21">
        <f>IFERROR(G286/'Ar-Pa'!G286,0)</f>
        <v>0</v>
      </c>
      <c r="AF286" s="21">
        <f>IFERROR(H286/'Ar-Pa'!H286,0)</f>
        <v>0</v>
      </c>
      <c r="AG286" s="21">
        <f>IFERROR(I286/'Ar-Pa'!I286,0)</f>
        <v>0</v>
      </c>
      <c r="AH286" s="21">
        <f>IFERROR(J286/'Ar-Pa'!J286,0)</f>
        <v>0</v>
      </c>
      <c r="AI286" s="21">
        <f>IFERROR(K286/'Ar-Pa'!K286,0)</f>
        <v>0</v>
      </c>
      <c r="AJ286" s="21">
        <f>IFERROR(L286/'Ar-Pa'!L286,0)</f>
        <v>0</v>
      </c>
      <c r="AK286" s="21">
        <f>IFERROR(M286/'Ar-Pa'!M286,0)</f>
        <v>0</v>
      </c>
      <c r="AL286" s="21">
        <f>IFERROR(N286/'Ar-Pa'!N286,0)</f>
        <v>0</v>
      </c>
      <c r="AM286" s="21">
        <f>IFERROR(O286/'Ar-Pa'!O286,0)</f>
        <v>0</v>
      </c>
      <c r="AN286" s="21">
        <f>IFERROR(P286/'Ar-Pa'!P286,0)</f>
        <v>0</v>
      </c>
      <c r="AO286" s="21">
        <f>IFERROR(Q286/'Ar-Pa'!Q286,0)</f>
        <v>0</v>
      </c>
      <c r="AP286" s="21">
        <f>IFERROR(R286/'Ar-Pa'!R286,0)</f>
        <v>0</v>
      </c>
      <c r="AQ286" s="21">
        <f>IFERROR(S286/'Ar-Pa'!S286,0)</f>
        <v>0</v>
      </c>
      <c r="AR286" s="21">
        <f>IFERROR(T286/'Ar-Pa'!T286,0)</f>
        <v>0</v>
      </c>
      <c r="AS286" s="21">
        <f>IFERROR(U286/'Ar-Pa'!U286,0)</f>
        <v>0</v>
      </c>
      <c r="AT286" s="21">
        <f>IFERROR(V286/'Ar-Pa'!V286,0)</f>
        <v>0</v>
      </c>
      <c r="AU286" s="21">
        <f>IFERROR(W286/'Ar-Pa'!W286,0)</f>
        <v>0</v>
      </c>
      <c r="AV286" s="21">
        <f>IFERROR(X286/'Ar-Pa'!X286,0)</f>
        <v>0</v>
      </c>
      <c r="AW286" s="21">
        <f>IFERROR(Y286/'Ar-Pa'!Y286,0)</f>
        <v>0</v>
      </c>
      <c r="AX286" s="21">
        <f t="shared" si="7"/>
        <v>0</v>
      </c>
    </row>
    <row r="287" spans="1:50">
      <c r="A287" s="15">
        <v>45212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21">
        <f>IFERROR(B287/'Ar-Pa'!B287,0)</f>
        <v>0</v>
      </c>
      <c r="AA287" s="21">
        <f>IFERROR(C287/'Ar-Pa'!C287,0)</f>
        <v>0</v>
      </c>
      <c r="AB287" s="21">
        <f>IFERROR(D287/'Ar-Pa'!D287,0)</f>
        <v>0</v>
      </c>
      <c r="AC287" s="21">
        <f>IFERROR(E287/'Ar-Pa'!E287,0)</f>
        <v>0</v>
      </c>
      <c r="AD287" s="21">
        <f>IFERROR(F287/'Ar-Pa'!F287,0)</f>
        <v>0</v>
      </c>
      <c r="AE287" s="21">
        <f>IFERROR(G287/'Ar-Pa'!G287,0)</f>
        <v>0</v>
      </c>
      <c r="AF287" s="21">
        <f>IFERROR(H287/'Ar-Pa'!H287,0)</f>
        <v>0</v>
      </c>
      <c r="AG287" s="21">
        <f>IFERROR(I287/'Ar-Pa'!I287,0)</f>
        <v>0</v>
      </c>
      <c r="AH287" s="21">
        <f>IFERROR(J287/'Ar-Pa'!J287,0)</f>
        <v>0</v>
      </c>
      <c r="AI287" s="21">
        <f>IFERROR(K287/'Ar-Pa'!K287,0)</f>
        <v>0</v>
      </c>
      <c r="AJ287" s="21">
        <f>IFERROR(L287/'Ar-Pa'!L287,0)</f>
        <v>0</v>
      </c>
      <c r="AK287" s="21">
        <f>IFERROR(M287/'Ar-Pa'!M287,0)</f>
        <v>0</v>
      </c>
      <c r="AL287" s="21">
        <f>IFERROR(N287/'Ar-Pa'!N287,0)</f>
        <v>0</v>
      </c>
      <c r="AM287" s="21">
        <f>IFERROR(O287/'Ar-Pa'!O287,0)</f>
        <v>0</v>
      </c>
      <c r="AN287" s="21">
        <f>IFERROR(P287/'Ar-Pa'!P287,0)</f>
        <v>0</v>
      </c>
      <c r="AO287" s="21">
        <f>IFERROR(Q287/'Ar-Pa'!Q287,0)</f>
        <v>0</v>
      </c>
      <c r="AP287" s="21">
        <f>IFERROR(R287/'Ar-Pa'!R287,0)</f>
        <v>0</v>
      </c>
      <c r="AQ287" s="21">
        <f>IFERROR(S287/'Ar-Pa'!S287,0)</f>
        <v>0</v>
      </c>
      <c r="AR287" s="21">
        <f>IFERROR(T287/'Ar-Pa'!T287,0)</f>
        <v>0</v>
      </c>
      <c r="AS287" s="21">
        <f>IFERROR(U287/'Ar-Pa'!U287,0)</f>
        <v>0</v>
      </c>
      <c r="AT287" s="21">
        <f>IFERROR(V287/'Ar-Pa'!V287,0)</f>
        <v>0</v>
      </c>
      <c r="AU287" s="21">
        <f>IFERROR(W287/'Ar-Pa'!W287,0)</f>
        <v>0</v>
      </c>
      <c r="AV287" s="21">
        <f>IFERROR(X287/'Ar-Pa'!X287,0)</f>
        <v>0</v>
      </c>
      <c r="AW287" s="21">
        <f>IFERROR(Y287/'Ar-Pa'!Y287,0)</f>
        <v>0</v>
      </c>
      <c r="AX287" s="21">
        <f t="shared" si="7"/>
        <v>0</v>
      </c>
    </row>
    <row r="288" spans="1:50">
      <c r="A288" s="15">
        <v>45213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21">
        <f>IFERROR(B288/'Ar-Pa'!B288,0)</f>
        <v>0</v>
      </c>
      <c r="AA288" s="21">
        <f>IFERROR(C288/'Ar-Pa'!C288,0)</f>
        <v>0</v>
      </c>
      <c r="AB288" s="21">
        <f>IFERROR(D288/'Ar-Pa'!D288,0)</f>
        <v>0</v>
      </c>
      <c r="AC288" s="21">
        <f>IFERROR(E288/'Ar-Pa'!E288,0)</f>
        <v>0</v>
      </c>
      <c r="AD288" s="21">
        <f>IFERROR(F288/'Ar-Pa'!F288,0)</f>
        <v>0</v>
      </c>
      <c r="AE288" s="21">
        <f>IFERROR(G288/'Ar-Pa'!G288,0)</f>
        <v>0</v>
      </c>
      <c r="AF288" s="21">
        <f>IFERROR(H288/'Ar-Pa'!H288,0)</f>
        <v>0</v>
      </c>
      <c r="AG288" s="21">
        <f>IFERROR(I288/'Ar-Pa'!I288,0)</f>
        <v>0</v>
      </c>
      <c r="AH288" s="21">
        <f>IFERROR(J288/'Ar-Pa'!J288,0)</f>
        <v>0</v>
      </c>
      <c r="AI288" s="21">
        <f>IFERROR(K288/'Ar-Pa'!K288,0)</f>
        <v>0</v>
      </c>
      <c r="AJ288" s="21">
        <f>IFERROR(L288/'Ar-Pa'!L288,0)</f>
        <v>0</v>
      </c>
      <c r="AK288" s="21">
        <f>IFERROR(M288/'Ar-Pa'!M288,0)</f>
        <v>0</v>
      </c>
      <c r="AL288" s="21">
        <f>IFERROR(N288/'Ar-Pa'!N288,0)</f>
        <v>0</v>
      </c>
      <c r="AM288" s="21">
        <f>IFERROR(O288/'Ar-Pa'!O288,0)</f>
        <v>0</v>
      </c>
      <c r="AN288" s="21">
        <f>IFERROR(P288/'Ar-Pa'!P288,0)</f>
        <v>0</v>
      </c>
      <c r="AO288" s="21">
        <f>IFERROR(Q288/'Ar-Pa'!Q288,0)</f>
        <v>0</v>
      </c>
      <c r="AP288" s="21">
        <f>IFERROR(R288/'Ar-Pa'!R288,0)</f>
        <v>0</v>
      </c>
      <c r="AQ288" s="21">
        <f>IFERROR(S288/'Ar-Pa'!S288,0)</f>
        <v>0</v>
      </c>
      <c r="AR288" s="21">
        <f>IFERROR(T288/'Ar-Pa'!T288,0)</f>
        <v>0</v>
      </c>
      <c r="AS288" s="21">
        <f>IFERROR(U288/'Ar-Pa'!U288,0)</f>
        <v>0</v>
      </c>
      <c r="AT288" s="21">
        <f>IFERROR(V288/'Ar-Pa'!V288,0)</f>
        <v>0</v>
      </c>
      <c r="AU288" s="21">
        <f>IFERROR(W288/'Ar-Pa'!W288,0)</f>
        <v>0</v>
      </c>
      <c r="AV288" s="21">
        <f>IFERROR(X288/'Ar-Pa'!X288,0)</f>
        <v>0</v>
      </c>
      <c r="AW288" s="21">
        <f>IFERROR(Y288/'Ar-Pa'!Y288,0)</f>
        <v>0</v>
      </c>
      <c r="AX288" s="21">
        <f t="shared" si="7"/>
        <v>0</v>
      </c>
    </row>
    <row r="289" spans="1:50">
      <c r="A289" s="15">
        <v>45214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21">
        <f>IFERROR(B289/'Ar-Pa'!B289,0)</f>
        <v>0</v>
      </c>
      <c r="AA289" s="21">
        <f>IFERROR(C289/'Ar-Pa'!C289,0)</f>
        <v>0</v>
      </c>
      <c r="AB289" s="21">
        <f>IFERROR(D289/'Ar-Pa'!D289,0)</f>
        <v>0</v>
      </c>
      <c r="AC289" s="21">
        <f>IFERROR(E289/'Ar-Pa'!E289,0)</f>
        <v>0</v>
      </c>
      <c r="AD289" s="21">
        <f>IFERROR(F289/'Ar-Pa'!F289,0)</f>
        <v>0</v>
      </c>
      <c r="AE289" s="21">
        <f>IFERROR(G289/'Ar-Pa'!G289,0)</f>
        <v>0</v>
      </c>
      <c r="AF289" s="21">
        <f>IFERROR(H289/'Ar-Pa'!H289,0)</f>
        <v>0</v>
      </c>
      <c r="AG289" s="21">
        <f>IFERROR(I289/'Ar-Pa'!I289,0)</f>
        <v>0</v>
      </c>
      <c r="AH289" s="21">
        <f>IFERROR(J289/'Ar-Pa'!J289,0)</f>
        <v>0</v>
      </c>
      <c r="AI289" s="21">
        <f>IFERROR(K289/'Ar-Pa'!K289,0)</f>
        <v>0</v>
      </c>
      <c r="AJ289" s="21">
        <f>IFERROR(L289/'Ar-Pa'!L289,0)</f>
        <v>0</v>
      </c>
      <c r="AK289" s="21">
        <f>IFERROR(M289/'Ar-Pa'!M289,0)</f>
        <v>0</v>
      </c>
      <c r="AL289" s="21">
        <f>IFERROR(N289/'Ar-Pa'!N289,0)</f>
        <v>0</v>
      </c>
      <c r="AM289" s="21">
        <f>IFERROR(O289/'Ar-Pa'!O289,0)</f>
        <v>0</v>
      </c>
      <c r="AN289" s="21">
        <f>IFERROR(P289/'Ar-Pa'!P289,0)</f>
        <v>0</v>
      </c>
      <c r="AO289" s="21">
        <f>IFERROR(Q289/'Ar-Pa'!Q289,0)</f>
        <v>0</v>
      </c>
      <c r="AP289" s="21">
        <f>IFERROR(R289/'Ar-Pa'!R289,0)</f>
        <v>0</v>
      </c>
      <c r="AQ289" s="21">
        <f>IFERROR(S289/'Ar-Pa'!S289,0)</f>
        <v>0</v>
      </c>
      <c r="AR289" s="21">
        <f>IFERROR(T289/'Ar-Pa'!T289,0)</f>
        <v>0</v>
      </c>
      <c r="AS289" s="21">
        <f>IFERROR(U289/'Ar-Pa'!U289,0)</f>
        <v>0</v>
      </c>
      <c r="AT289" s="21">
        <f>IFERROR(V289/'Ar-Pa'!V289,0)</f>
        <v>0</v>
      </c>
      <c r="AU289" s="21">
        <f>IFERROR(W289/'Ar-Pa'!W289,0)</f>
        <v>0</v>
      </c>
      <c r="AV289" s="21">
        <f>IFERROR(X289/'Ar-Pa'!X289,0)</f>
        <v>0</v>
      </c>
      <c r="AW289" s="21">
        <f>IFERROR(Y289/'Ar-Pa'!Y289,0)</f>
        <v>0</v>
      </c>
      <c r="AX289" s="21">
        <f t="shared" si="7"/>
        <v>0</v>
      </c>
    </row>
    <row r="290" spans="1:50">
      <c r="A290" s="15">
        <v>45215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21">
        <f>IFERROR(B290/'Ar-Pa'!B290,0)</f>
        <v>0</v>
      </c>
      <c r="AA290" s="21">
        <f>IFERROR(C290/'Ar-Pa'!C290,0)</f>
        <v>0</v>
      </c>
      <c r="AB290" s="21">
        <f>IFERROR(D290/'Ar-Pa'!D290,0)</f>
        <v>0</v>
      </c>
      <c r="AC290" s="21">
        <f>IFERROR(E290/'Ar-Pa'!E290,0)</f>
        <v>0</v>
      </c>
      <c r="AD290" s="21">
        <f>IFERROR(F290/'Ar-Pa'!F290,0)</f>
        <v>0</v>
      </c>
      <c r="AE290" s="21">
        <f>IFERROR(G290/'Ar-Pa'!G290,0)</f>
        <v>0</v>
      </c>
      <c r="AF290" s="21">
        <f>IFERROR(H290/'Ar-Pa'!H290,0)</f>
        <v>0</v>
      </c>
      <c r="AG290" s="21">
        <f>IFERROR(I290/'Ar-Pa'!I290,0)</f>
        <v>0</v>
      </c>
      <c r="AH290" s="21">
        <f>IFERROR(J290/'Ar-Pa'!J290,0)</f>
        <v>0</v>
      </c>
      <c r="AI290" s="21">
        <f>IFERROR(K290/'Ar-Pa'!K290,0)</f>
        <v>0</v>
      </c>
      <c r="AJ290" s="21">
        <f>IFERROR(L290/'Ar-Pa'!L290,0)</f>
        <v>0</v>
      </c>
      <c r="AK290" s="21">
        <f>IFERROR(M290/'Ar-Pa'!M290,0)</f>
        <v>0</v>
      </c>
      <c r="AL290" s="21">
        <f>IFERROR(N290/'Ar-Pa'!N290,0)</f>
        <v>0</v>
      </c>
      <c r="AM290" s="21">
        <f>IFERROR(O290/'Ar-Pa'!O290,0)</f>
        <v>0</v>
      </c>
      <c r="AN290" s="21">
        <f>IFERROR(P290/'Ar-Pa'!P290,0)</f>
        <v>0</v>
      </c>
      <c r="AO290" s="21">
        <f>IFERROR(Q290/'Ar-Pa'!Q290,0)</f>
        <v>0</v>
      </c>
      <c r="AP290" s="21">
        <f>IFERROR(R290/'Ar-Pa'!R290,0)</f>
        <v>0</v>
      </c>
      <c r="AQ290" s="21">
        <f>IFERROR(S290/'Ar-Pa'!S290,0)</f>
        <v>0</v>
      </c>
      <c r="AR290" s="21">
        <f>IFERROR(T290/'Ar-Pa'!T290,0)</f>
        <v>0</v>
      </c>
      <c r="AS290" s="21">
        <f>IFERROR(U290/'Ar-Pa'!U290,0)</f>
        <v>0</v>
      </c>
      <c r="AT290" s="21">
        <f>IFERROR(V290/'Ar-Pa'!V290,0)</f>
        <v>0</v>
      </c>
      <c r="AU290" s="21">
        <f>IFERROR(W290/'Ar-Pa'!W290,0)</f>
        <v>0</v>
      </c>
      <c r="AV290" s="21">
        <f>IFERROR(X290/'Ar-Pa'!X290,0)</f>
        <v>0</v>
      </c>
      <c r="AW290" s="21">
        <f>IFERROR(Y290/'Ar-Pa'!Y290,0)</f>
        <v>0</v>
      </c>
      <c r="AX290" s="21">
        <f t="shared" si="7"/>
        <v>0</v>
      </c>
    </row>
    <row r="291" spans="1:50">
      <c r="A291" s="15">
        <v>45216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21">
        <f>IFERROR(B291/'Ar-Pa'!B291,0)</f>
        <v>0</v>
      </c>
      <c r="AA291" s="21">
        <f>IFERROR(C291/'Ar-Pa'!C291,0)</f>
        <v>0</v>
      </c>
      <c r="AB291" s="21">
        <f>IFERROR(D291/'Ar-Pa'!D291,0)</f>
        <v>0</v>
      </c>
      <c r="AC291" s="21">
        <f>IFERROR(E291/'Ar-Pa'!E291,0)</f>
        <v>0</v>
      </c>
      <c r="AD291" s="21">
        <f>IFERROR(F291/'Ar-Pa'!F291,0)</f>
        <v>0</v>
      </c>
      <c r="AE291" s="21">
        <f>IFERROR(G291/'Ar-Pa'!G291,0)</f>
        <v>0</v>
      </c>
      <c r="AF291" s="21">
        <f>IFERROR(H291/'Ar-Pa'!H291,0)</f>
        <v>0</v>
      </c>
      <c r="AG291" s="21">
        <f>IFERROR(I291/'Ar-Pa'!I291,0)</f>
        <v>0</v>
      </c>
      <c r="AH291" s="21">
        <f>IFERROR(J291/'Ar-Pa'!J291,0)</f>
        <v>0</v>
      </c>
      <c r="AI291" s="21">
        <f>IFERROR(K291/'Ar-Pa'!K291,0)</f>
        <v>0</v>
      </c>
      <c r="AJ291" s="21">
        <f>IFERROR(L291/'Ar-Pa'!L291,0)</f>
        <v>0</v>
      </c>
      <c r="AK291" s="21">
        <f>IFERROR(M291/'Ar-Pa'!M291,0)</f>
        <v>0</v>
      </c>
      <c r="AL291" s="21">
        <f>IFERROR(N291/'Ar-Pa'!N291,0)</f>
        <v>0</v>
      </c>
      <c r="AM291" s="21">
        <f>IFERROR(O291/'Ar-Pa'!O291,0)</f>
        <v>0</v>
      </c>
      <c r="AN291" s="21">
        <f>IFERROR(P291/'Ar-Pa'!P291,0)</f>
        <v>0</v>
      </c>
      <c r="AO291" s="21">
        <f>IFERROR(Q291/'Ar-Pa'!Q291,0)</f>
        <v>0</v>
      </c>
      <c r="AP291" s="21">
        <f>IFERROR(R291/'Ar-Pa'!R291,0)</f>
        <v>0</v>
      </c>
      <c r="AQ291" s="21">
        <f>IFERROR(S291/'Ar-Pa'!S291,0)</f>
        <v>0</v>
      </c>
      <c r="AR291" s="21">
        <f>IFERROR(T291/'Ar-Pa'!T291,0)</f>
        <v>0</v>
      </c>
      <c r="AS291" s="21">
        <f>IFERROR(U291/'Ar-Pa'!U291,0)</f>
        <v>0</v>
      </c>
      <c r="AT291" s="21">
        <f>IFERROR(V291/'Ar-Pa'!V291,0)</f>
        <v>0</v>
      </c>
      <c r="AU291" s="21">
        <f>IFERROR(W291/'Ar-Pa'!W291,0)</f>
        <v>0</v>
      </c>
      <c r="AV291" s="21">
        <f>IFERROR(X291/'Ar-Pa'!X291,0)</f>
        <v>0</v>
      </c>
      <c r="AW291" s="21">
        <f>IFERROR(Y291/'Ar-Pa'!Y291,0)</f>
        <v>0</v>
      </c>
      <c r="AX291" s="21">
        <f t="shared" si="7"/>
        <v>0</v>
      </c>
    </row>
    <row r="292" spans="1:50">
      <c r="A292" s="15">
        <v>45217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21">
        <f>IFERROR(B292/'Ar-Pa'!B292,0)</f>
        <v>0</v>
      </c>
      <c r="AA292" s="21">
        <f>IFERROR(C292/'Ar-Pa'!C292,0)</f>
        <v>0</v>
      </c>
      <c r="AB292" s="21">
        <f>IFERROR(D292/'Ar-Pa'!D292,0)</f>
        <v>0</v>
      </c>
      <c r="AC292" s="21">
        <f>IFERROR(E292/'Ar-Pa'!E292,0)</f>
        <v>0</v>
      </c>
      <c r="AD292" s="21">
        <f>IFERROR(F292/'Ar-Pa'!F292,0)</f>
        <v>0</v>
      </c>
      <c r="AE292" s="21">
        <f>IFERROR(G292/'Ar-Pa'!G292,0)</f>
        <v>0</v>
      </c>
      <c r="AF292" s="21">
        <f>IFERROR(H292/'Ar-Pa'!H292,0)</f>
        <v>0</v>
      </c>
      <c r="AG292" s="21">
        <f>IFERROR(I292/'Ar-Pa'!I292,0)</f>
        <v>0</v>
      </c>
      <c r="AH292" s="21">
        <f>IFERROR(J292/'Ar-Pa'!J292,0)</f>
        <v>0</v>
      </c>
      <c r="AI292" s="21">
        <f>IFERROR(K292/'Ar-Pa'!K292,0)</f>
        <v>0</v>
      </c>
      <c r="AJ292" s="21">
        <f>IFERROR(L292/'Ar-Pa'!L292,0)</f>
        <v>0</v>
      </c>
      <c r="AK292" s="21">
        <f>IFERROR(M292/'Ar-Pa'!M292,0)</f>
        <v>0</v>
      </c>
      <c r="AL292" s="21">
        <f>IFERROR(N292/'Ar-Pa'!N292,0)</f>
        <v>0</v>
      </c>
      <c r="AM292" s="21">
        <f>IFERROR(O292/'Ar-Pa'!O292,0)</f>
        <v>0</v>
      </c>
      <c r="AN292" s="21">
        <f>IFERROR(P292/'Ar-Pa'!P292,0)</f>
        <v>0</v>
      </c>
      <c r="AO292" s="21">
        <f>IFERROR(Q292/'Ar-Pa'!Q292,0)</f>
        <v>0</v>
      </c>
      <c r="AP292" s="21">
        <f>IFERROR(R292/'Ar-Pa'!R292,0)</f>
        <v>0</v>
      </c>
      <c r="AQ292" s="21">
        <f>IFERROR(S292/'Ar-Pa'!S292,0)</f>
        <v>0</v>
      </c>
      <c r="AR292" s="21">
        <f>IFERROR(T292/'Ar-Pa'!T292,0)</f>
        <v>0</v>
      </c>
      <c r="AS292" s="21">
        <f>IFERROR(U292/'Ar-Pa'!U292,0)</f>
        <v>0</v>
      </c>
      <c r="AT292" s="21">
        <f>IFERROR(V292/'Ar-Pa'!V292,0)</f>
        <v>0</v>
      </c>
      <c r="AU292" s="21">
        <f>IFERROR(W292/'Ar-Pa'!W292,0)</f>
        <v>0</v>
      </c>
      <c r="AV292" s="21">
        <f>IFERROR(X292/'Ar-Pa'!X292,0)</f>
        <v>0</v>
      </c>
      <c r="AW292" s="21">
        <f>IFERROR(Y292/'Ar-Pa'!Y292,0)</f>
        <v>0</v>
      </c>
      <c r="AX292" s="21">
        <f t="shared" si="7"/>
        <v>0</v>
      </c>
    </row>
    <row r="293" spans="1:50">
      <c r="A293" s="15">
        <v>45218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21">
        <f>IFERROR(B293/'Ar-Pa'!B293,0)</f>
        <v>0</v>
      </c>
      <c r="AA293" s="21">
        <f>IFERROR(C293/'Ar-Pa'!C293,0)</f>
        <v>0</v>
      </c>
      <c r="AB293" s="21">
        <f>IFERROR(D293/'Ar-Pa'!D293,0)</f>
        <v>0</v>
      </c>
      <c r="AC293" s="21">
        <f>IFERROR(E293/'Ar-Pa'!E293,0)</f>
        <v>0</v>
      </c>
      <c r="AD293" s="21">
        <f>IFERROR(F293/'Ar-Pa'!F293,0)</f>
        <v>0</v>
      </c>
      <c r="AE293" s="21">
        <f>IFERROR(G293/'Ar-Pa'!G293,0)</f>
        <v>0</v>
      </c>
      <c r="AF293" s="21">
        <f>IFERROR(H293/'Ar-Pa'!H293,0)</f>
        <v>0</v>
      </c>
      <c r="AG293" s="21">
        <f>IFERROR(I293/'Ar-Pa'!I293,0)</f>
        <v>0</v>
      </c>
      <c r="AH293" s="21">
        <f>IFERROR(J293/'Ar-Pa'!J293,0)</f>
        <v>0</v>
      </c>
      <c r="AI293" s="21">
        <f>IFERROR(K293/'Ar-Pa'!K293,0)</f>
        <v>0</v>
      </c>
      <c r="AJ293" s="21">
        <f>IFERROR(L293/'Ar-Pa'!L293,0)</f>
        <v>0</v>
      </c>
      <c r="AK293" s="21">
        <f>IFERROR(M293/'Ar-Pa'!M293,0)</f>
        <v>0</v>
      </c>
      <c r="AL293" s="21">
        <f>IFERROR(N293/'Ar-Pa'!N293,0)</f>
        <v>0</v>
      </c>
      <c r="AM293" s="21">
        <f>IFERROR(O293/'Ar-Pa'!O293,0)</f>
        <v>0</v>
      </c>
      <c r="AN293" s="21">
        <f>IFERROR(P293/'Ar-Pa'!P293,0)</f>
        <v>0</v>
      </c>
      <c r="AO293" s="21">
        <f>IFERROR(Q293/'Ar-Pa'!Q293,0)</f>
        <v>0</v>
      </c>
      <c r="AP293" s="21">
        <f>IFERROR(R293/'Ar-Pa'!R293,0)</f>
        <v>0</v>
      </c>
      <c r="AQ293" s="21">
        <f>IFERROR(S293/'Ar-Pa'!S293,0)</f>
        <v>0</v>
      </c>
      <c r="AR293" s="21">
        <f>IFERROR(T293/'Ar-Pa'!T293,0)</f>
        <v>0</v>
      </c>
      <c r="AS293" s="21">
        <f>IFERROR(U293/'Ar-Pa'!U293,0)</f>
        <v>0</v>
      </c>
      <c r="AT293" s="21">
        <f>IFERROR(V293/'Ar-Pa'!V293,0)</f>
        <v>0</v>
      </c>
      <c r="AU293" s="21">
        <f>IFERROR(W293/'Ar-Pa'!W293,0)</f>
        <v>0</v>
      </c>
      <c r="AV293" s="21">
        <f>IFERROR(X293/'Ar-Pa'!X293,0)</f>
        <v>0</v>
      </c>
      <c r="AW293" s="21">
        <f>IFERROR(Y293/'Ar-Pa'!Y293,0)</f>
        <v>0</v>
      </c>
      <c r="AX293" s="21">
        <f t="shared" si="7"/>
        <v>0</v>
      </c>
    </row>
    <row r="294" spans="1:50">
      <c r="A294" s="15">
        <v>45219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21">
        <f>IFERROR(B294/'Ar-Pa'!B294,0)</f>
        <v>0</v>
      </c>
      <c r="AA294" s="21">
        <f>IFERROR(C294/'Ar-Pa'!C294,0)</f>
        <v>0</v>
      </c>
      <c r="AB294" s="21">
        <f>IFERROR(D294/'Ar-Pa'!D294,0)</f>
        <v>0</v>
      </c>
      <c r="AC294" s="21">
        <f>IFERROR(E294/'Ar-Pa'!E294,0)</f>
        <v>0</v>
      </c>
      <c r="AD294" s="21">
        <f>IFERROR(F294/'Ar-Pa'!F294,0)</f>
        <v>0</v>
      </c>
      <c r="AE294" s="21">
        <f>IFERROR(G294/'Ar-Pa'!G294,0)</f>
        <v>0</v>
      </c>
      <c r="AF294" s="21">
        <f>IFERROR(H294/'Ar-Pa'!H294,0)</f>
        <v>0</v>
      </c>
      <c r="AG294" s="21">
        <f>IFERROR(I294/'Ar-Pa'!I294,0)</f>
        <v>0</v>
      </c>
      <c r="AH294" s="21">
        <f>IFERROR(J294/'Ar-Pa'!J294,0)</f>
        <v>0</v>
      </c>
      <c r="AI294" s="21">
        <f>IFERROR(K294/'Ar-Pa'!K294,0)</f>
        <v>0</v>
      </c>
      <c r="AJ294" s="21">
        <f>IFERROR(L294/'Ar-Pa'!L294,0)</f>
        <v>0</v>
      </c>
      <c r="AK294" s="21">
        <f>IFERROR(M294/'Ar-Pa'!M294,0)</f>
        <v>0</v>
      </c>
      <c r="AL294" s="21">
        <f>IFERROR(N294/'Ar-Pa'!N294,0)</f>
        <v>0</v>
      </c>
      <c r="AM294" s="21">
        <f>IFERROR(O294/'Ar-Pa'!O294,0)</f>
        <v>0</v>
      </c>
      <c r="AN294" s="21">
        <f>IFERROR(P294/'Ar-Pa'!P294,0)</f>
        <v>0</v>
      </c>
      <c r="AO294" s="21">
        <f>IFERROR(Q294/'Ar-Pa'!Q294,0)</f>
        <v>0</v>
      </c>
      <c r="AP294" s="21">
        <f>IFERROR(R294/'Ar-Pa'!R294,0)</f>
        <v>0</v>
      </c>
      <c r="AQ294" s="21">
        <f>IFERROR(S294/'Ar-Pa'!S294,0)</f>
        <v>0</v>
      </c>
      <c r="AR294" s="21">
        <f>IFERROR(T294/'Ar-Pa'!T294,0)</f>
        <v>0</v>
      </c>
      <c r="AS294" s="21">
        <f>IFERROR(U294/'Ar-Pa'!U294,0)</f>
        <v>0</v>
      </c>
      <c r="AT294" s="21">
        <f>IFERROR(V294/'Ar-Pa'!V294,0)</f>
        <v>0</v>
      </c>
      <c r="AU294" s="21">
        <f>IFERROR(W294/'Ar-Pa'!W294,0)</f>
        <v>0</v>
      </c>
      <c r="AV294" s="21">
        <f>IFERROR(X294/'Ar-Pa'!X294,0)</f>
        <v>0</v>
      </c>
      <c r="AW294" s="21">
        <f>IFERROR(Y294/'Ar-Pa'!Y294,0)</f>
        <v>0</v>
      </c>
      <c r="AX294" s="21">
        <f t="shared" si="7"/>
        <v>0</v>
      </c>
    </row>
    <row r="295" spans="1:50">
      <c r="A295" s="15">
        <v>45220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21">
        <f>IFERROR(B295/'Ar-Pa'!B295,0)</f>
        <v>0</v>
      </c>
      <c r="AA295" s="21">
        <f>IFERROR(C295/'Ar-Pa'!C295,0)</f>
        <v>0</v>
      </c>
      <c r="AB295" s="21">
        <f>IFERROR(D295/'Ar-Pa'!D295,0)</f>
        <v>0</v>
      </c>
      <c r="AC295" s="21">
        <f>IFERROR(E295/'Ar-Pa'!E295,0)</f>
        <v>0</v>
      </c>
      <c r="AD295" s="21">
        <f>IFERROR(F295/'Ar-Pa'!F295,0)</f>
        <v>0</v>
      </c>
      <c r="AE295" s="21">
        <f>IFERROR(G295/'Ar-Pa'!G295,0)</f>
        <v>0</v>
      </c>
      <c r="AF295" s="21">
        <f>IFERROR(H295/'Ar-Pa'!H295,0)</f>
        <v>0</v>
      </c>
      <c r="AG295" s="21">
        <f>IFERROR(I295/'Ar-Pa'!I295,0)</f>
        <v>0</v>
      </c>
      <c r="AH295" s="21">
        <f>IFERROR(J295/'Ar-Pa'!J295,0)</f>
        <v>0</v>
      </c>
      <c r="AI295" s="21">
        <f>IFERROR(K295/'Ar-Pa'!K295,0)</f>
        <v>0</v>
      </c>
      <c r="AJ295" s="21">
        <f>IFERROR(L295/'Ar-Pa'!L295,0)</f>
        <v>0</v>
      </c>
      <c r="AK295" s="21">
        <f>IFERROR(M295/'Ar-Pa'!M295,0)</f>
        <v>0</v>
      </c>
      <c r="AL295" s="21">
        <f>IFERROR(N295/'Ar-Pa'!N295,0)</f>
        <v>0</v>
      </c>
      <c r="AM295" s="21">
        <f>IFERROR(O295/'Ar-Pa'!O295,0)</f>
        <v>0</v>
      </c>
      <c r="AN295" s="21">
        <f>IFERROR(P295/'Ar-Pa'!P295,0)</f>
        <v>0</v>
      </c>
      <c r="AO295" s="21">
        <f>IFERROR(Q295/'Ar-Pa'!Q295,0)</f>
        <v>0</v>
      </c>
      <c r="AP295" s="21">
        <f>IFERROR(R295/'Ar-Pa'!R295,0)</f>
        <v>0</v>
      </c>
      <c r="AQ295" s="21">
        <f>IFERROR(S295/'Ar-Pa'!S295,0)</f>
        <v>0</v>
      </c>
      <c r="AR295" s="21">
        <f>IFERROR(T295/'Ar-Pa'!T295,0)</f>
        <v>0</v>
      </c>
      <c r="AS295" s="21">
        <f>IFERROR(U295/'Ar-Pa'!U295,0)</f>
        <v>0</v>
      </c>
      <c r="AT295" s="21">
        <f>IFERROR(V295/'Ar-Pa'!V295,0)</f>
        <v>0</v>
      </c>
      <c r="AU295" s="21">
        <f>IFERROR(W295/'Ar-Pa'!W295,0)</f>
        <v>0</v>
      </c>
      <c r="AV295" s="21">
        <f>IFERROR(X295/'Ar-Pa'!X295,0)</f>
        <v>0</v>
      </c>
      <c r="AW295" s="21">
        <f>IFERROR(Y295/'Ar-Pa'!Y295,0)</f>
        <v>0</v>
      </c>
      <c r="AX295" s="21">
        <f t="shared" si="7"/>
        <v>0</v>
      </c>
    </row>
    <row r="296" spans="1:50">
      <c r="A296" s="15">
        <v>45221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21">
        <f>IFERROR(B296/'Ar-Pa'!B296,0)</f>
        <v>0</v>
      </c>
      <c r="AA296" s="21">
        <f>IFERROR(C296/'Ar-Pa'!C296,0)</f>
        <v>0</v>
      </c>
      <c r="AB296" s="21">
        <f>IFERROR(D296/'Ar-Pa'!D296,0)</f>
        <v>0</v>
      </c>
      <c r="AC296" s="21">
        <f>IFERROR(E296/'Ar-Pa'!E296,0)</f>
        <v>0</v>
      </c>
      <c r="AD296" s="21">
        <f>IFERROR(F296/'Ar-Pa'!F296,0)</f>
        <v>0</v>
      </c>
      <c r="AE296" s="21">
        <f>IFERROR(G296/'Ar-Pa'!G296,0)</f>
        <v>0</v>
      </c>
      <c r="AF296" s="21">
        <f>IFERROR(H296/'Ar-Pa'!H296,0)</f>
        <v>0</v>
      </c>
      <c r="AG296" s="21">
        <f>IFERROR(I296/'Ar-Pa'!I296,0)</f>
        <v>0</v>
      </c>
      <c r="AH296" s="21">
        <f>IFERROR(J296/'Ar-Pa'!J296,0)</f>
        <v>0</v>
      </c>
      <c r="AI296" s="21">
        <f>IFERROR(K296/'Ar-Pa'!K296,0)</f>
        <v>0</v>
      </c>
      <c r="AJ296" s="21">
        <f>IFERROR(L296/'Ar-Pa'!L296,0)</f>
        <v>0</v>
      </c>
      <c r="AK296" s="21">
        <f>IFERROR(M296/'Ar-Pa'!M296,0)</f>
        <v>0</v>
      </c>
      <c r="AL296" s="21">
        <f>IFERROR(N296/'Ar-Pa'!N296,0)</f>
        <v>0</v>
      </c>
      <c r="AM296" s="21">
        <f>IFERROR(O296/'Ar-Pa'!O296,0)</f>
        <v>0</v>
      </c>
      <c r="AN296" s="21">
        <f>IFERROR(P296/'Ar-Pa'!P296,0)</f>
        <v>0</v>
      </c>
      <c r="AO296" s="21">
        <f>IFERROR(Q296/'Ar-Pa'!Q296,0)</f>
        <v>0</v>
      </c>
      <c r="AP296" s="21">
        <f>IFERROR(R296/'Ar-Pa'!R296,0)</f>
        <v>0</v>
      </c>
      <c r="AQ296" s="21">
        <f>IFERROR(S296/'Ar-Pa'!S296,0)</f>
        <v>0</v>
      </c>
      <c r="AR296" s="21">
        <f>IFERROR(T296/'Ar-Pa'!T296,0)</f>
        <v>0</v>
      </c>
      <c r="AS296" s="21">
        <f>IFERROR(U296/'Ar-Pa'!U296,0)</f>
        <v>0</v>
      </c>
      <c r="AT296" s="21">
        <f>IFERROR(V296/'Ar-Pa'!V296,0)</f>
        <v>0</v>
      </c>
      <c r="AU296" s="21">
        <f>IFERROR(W296/'Ar-Pa'!W296,0)</f>
        <v>0</v>
      </c>
      <c r="AV296" s="21">
        <f>IFERROR(X296/'Ar-Pa'!X296,0)</f>
        <v>0</v>
      </c>
      <c r="AW296" s="21">
        <f>IFERROR(Y296/'Ar-Pa'!Y296,0)</f>
        <v>0</v>
      </c>
      <c r="AX296" s="21">
        <f t="shared" si="7"/>
        <v>0</v>
      </c>
    </row>
    <row r="297" spans="1:50">
      <c r="A297" s="15">
        <v>45222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21">
        <f>IFERROR(B297/'Ar-Pa'!B297,0)</f>
        <v>0</v>
      </c>
      <c r="AA297" s="21">
        <f>IFERROR(C297/'Ar-Pa'!C297,0)</f>
        <v>0</v>
      </c>
      <c r="AB297" s="21">
        <f>IFERROR(D297/'Ar-Pa'!D297,0)</f>
        <v>0</v>
      </c>
      <c r="AC297" s="21">
        <f>IFERROR(E297/'Ar-Pa'!E297,0)</f>
        <v>0</v>
      </c>
      <c r="AD297" s="21">
        <f>IFERROR(F297/'Ar-Pa'!F297,0)</f>
        <v>0</v>
      </c>
      <c r="AE297" s="21">
        <f>IFERROR(G297/'Ar-Pa'!G297,0)</f>
        <v>0</v>
      </c>
      <c r="AF297" s="21">
        <f>IFERROR(H297/'Ar-Pa'!H297,0)</f>
        <v>0</v>
      </c>
      <c r="AG297" s="21">
        <f>IFERROR(I297/'Ar-Pa'!I297,0)</f>
        <v>0</v>
      </c>
      <c r="AH297" s="21">
        <f>IFERROR(J297/'Ar-Pa'!J297,0)</f>
        <v>0</v>
      </c>
      <c r="AI297" s="21">
        <f>IFERROR(K297/'Ar-Pa'!K297,0)</f>
        <v>0</v>
      </c>
      <c r="AJ297" s="21">
        <f>IFERROR(L297/'Ar-Pa'!L297,0)</f>
        <v>0</v>
      </c>
      <c r="AK297" s="21">
        <f>IFERROR(M297/'Ar-Pa'!M297,0)</f>
        <v>0</v>
      </c>
      <c r="AL297" s="21">
        <f>IFERROR(N297/'Ar-Pa'!N297,0)</f>
        <v>0</v>
      </c>
      <c r="AM297" s="21">
        <f>IFERROR(O297/'Ar-Pa'!O297,0)</f>
        <v>0</v>
      </c>
      <c r="AN297" s="21">
        <f>IFERROR(P297/'Ar-Pa'!P297,0)</f>
        <v>0</v>
      </c>
      <c r="AO297" s="21">
        <f>IFERROR(Q297/'Ar-Pa'!Q297,0)</f>
        <v>0</v>
      </c>
      <c r="AP297" s="21">
        <f>IFERROR(R297/'Ar-Pa'!R297,0)</f>
        <v>0</v>
      </c>
      <c r="AQ297" s="21">
        <f>IFERROR(S297/'Ar-Pa'!S297,0)</f>
        <v>0</v>
      </c>
      <c r="AR297" s="21">
        <f>IFERROR(T297/'Ar-Pa'!T297,0)</f>
        <v>0</v>
      </c>
      <c r="AS297" s="21">
        <f>IFERROR(U297/'Ar-Pa'!U297,0)</f>
        <v>0</v>
      </c>
      <c r="AT297" s="21">
        <f>IFERROR(V297/'Ar-Pa'!V297,0)</f>
        <v>0</v>
      </c>
      <c r="AU297" s="21">
        <f>IFERROR(W297/'Ar-Pa'!W297,0)</f>
        <v>0</v>
      </c>
      <c r="AV297" s="21">
        <f>IFERROR(X297/'Ar-Pa'!X297,0)</f>
        <v>0</v>
      </c>
      <c r="AW297" s="21">
        <f>IFERROR(Y297/'Ar-Pa'!Y297,0)</f>
        <v>0</v>
      </c>
      <c r="AX297" s="21">
        <f t="shared" si="7"/>
        <v>0</v>
      </c>
    </row>
    <row r="298" spans="1:50">
      <c r="A298" s="15">
        <v>45223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21">
        <f>IFERROR(B298/'Ar-Pa'!B298,0)</f>
        <v>0</v>
      </c>
      <c r="AA298" s="21">
        <f>IFERROR(C298/'Ar-Pa'!C298,0)</f>
        <v>0</v>
      </c>
      <c r="AB298" s="21">
        <f>IFERROR(D298/'Ar-Pa'!D298,0)</f>
        <v>0</v>
      </c>
      <c r="AC298" s="21">
        <f>IFERROR(E298/'Ar-Pa'!E298,0)</f>
        <v>0</v>
      </c>
      <c r="AD298" s="21">
        <f>IFERROR(F298/'Ar-Pa'!F298,0)</f>
        <v>0</v>
      </c>
      <c r="AE298" s="21">
        <f>IFERROR(G298/'Ar-Pa'!G298,0)</f>
        <v>0</v>
      </c>
      <c r="AF298" s="21">
        <f>IFERROR(H298/'Ar-Pa'!H298,0)</f>
        <v>0</v>
      </c>
      <c r="AG298" s="21">
        <f>IFERROR(I298/'Ar-Pa'!I298,0)</f>
        <v>0</v>
      </c>
      <c r="AH298" s="21">
        <f>IFERROR(J298/'Ar-Pa'!J298,0)</f>
        <v>0</v>
      </c>
      <c r="AI298" s="21">
        <f>IFERROR(K298/'Ar-Pa'!K298,0)</f>
        <v>0</v>
      </c>
      <c r="AJ298" s="21">
        <f>IFERROR(L298/'Ar-Pa'!L298,0)</f>
        <v>0</v>
      </c>
      <c r="AK298" s="21">
        <f>IFERROR(M298/'Ar-Pa'!M298,0)</f>
        <v>0</v>
      </c>
      <c r="AL298" s="21">
        <f>IFERROR(N298/'Ar-Pa'!N298,0)</f>
        <v>0</v>
      </c>
      <c r="AM298" s="21">
        <f>IFERROR(O298/'Ar-Pa'!O298,0)</f>
        <v>0</v>
      </c>
      <c r="AN298" s="21">
        <f>IFERROR(P298/'Ar-Pa'!P298,0)</f>
        <v>0</v>
      </c>
      <c r="AO298" s="21">
        <f>IFERROR(Q298/'Ar-Pa'!Q298,0)</f>
        <v>0</v>
      </c>
      <c r="AP298" s="21">
        <f>IFERROR(R298/'Ar-Pa'!R298,0)</f>
        <v>0</v>
      </c>
      <c r="AQ298" s="21">
        <f>IFERROR(S298/'Ar-Pa'!S298,0)</f>
        <v>0</v>
      </c>
      <c r="AR298" s="21">
        <f>IFERROR(T298/'Ar-Pa'!T298,0)</f>
        <v>0</v>
      </c>
      <c r="AS298" s="21">
        <f>IFERROR(U298/'Ar-Pa'!U298,0)</f>
        <v>0</v>
      </c>
      <c r="AT298" s="21">
        <f>IFERROR(V298/'Ar-Pa'!V298,0)</f>
        <v>0</v>
      </c>
      <c r="AU298" s="21">
        <f>IFERROR(W298/'Ar-Pa'!W298,0)</f>
        <v>0</v>
      </c>
      <c r="AV298" s="21">
        <f>IFERROR(X298/'Ar-Pa'!X298,0)</f>
        <v>0</v>
      </c>
      <c r="AW298" s="21">
        <f>IFERROR(Y298/'Ar-Pa'!Y298,0)</f>
        <v>0</v>
      </c>
      <c r="AX298" s="21">
        <f t="shared" si="7"/>
        <v>0</v>
      </c>
    </row>
    <row r="299" spans="1:50">
      <c r="A299" s="15">
        <v>45224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21">
        <f>IFERROR(B299/'Ar-Pa'!B299,0)</f>
        <v>0</v>
      </c>
      <c r="AA299" s="21">
        <f>IFERROR(C299/'Ar-Pa'!C299,0)</f>
        <v>0</v>
      </c>
      <c r="AB299" s="21">
        <f>IFERROR(D299/'Ar-Pa'!D299,0)</f>
        <v>0</v>
      </c>
      <c r="AC299" s="21">
        <f>IFERROR(E299/'Ar-Pa'!E299,0)</f>
        <v>0</v>
      </c>
      <c r="AD299" s="21">
        <f>IFERROR(F299/'Ar-Pa'!F299,0)</f>
        <v>0</v>
      </c>
      <c r="AE299" s="21">
        <f>IFERROR(G299/'Ar-Pa'!G299,0)</f>
        <v>0</v>
      </c>
      <c r="AF299" s="21">
        <f>IFERROR(H299/'Ar-Pa'!H299,0)</f>
        <v>0</v>
      </c>
      <c r="AG299" s="21">
        <f>IFERROR(I299/'Ar-Pa'!I299,0)</f>
        <v>0</v>
      </c>
      <c r="AH299" s="21">
        <f>IFERROR(J299/'Ar-Pa'!J299,0)</f>
        <v>0</v>
      </c>
      <c r="AI299" s="21">
        <f>IFERROR(K299/'Ar-Pa'!K299,0)</f>
        <v>0</v>
      </c>
      <c r="AJ299" s="21">
        <f>IFERROR(L299/'Ar-Pa'!L299,0)</f>
        <v>0</v>
      </c>
      <c r="AK299" s="21">
        <f>IFERROR(M299/'Ar-Pa'!M299,0)</f>
        <v>0</v>
      </c>
      <c r="AL299" s="21">
        <f>IFERROR(N299/'Ar-Pa'!N299,0)</f>
        <v>0</v>
      </c>
      <c r="AM299" s="21">
        <f>IFERROR(O299/'Ar-Pa'!O299,0)</f>
        <v>0</v>
      </c>
      <c r="AN299" s="21">
        <f>IFERROR(P299/'Ar-Pa'!P299,0)</f>
        <v>0</v>
      </c>
      <c r="AO299" s="21">
        <f>IFERROR(Q299/'Ar-Pa'!Q299,0)</f>
        <v>0</v>
      </c>
      <c r="AP299" s="21">
        <f>IFERROR(R299/'Ar-Pa'!R299,0)</f>
        <v>0</v>
      </c>
      <c r="AQ299" s="21">
        <f>IFERROR(S299/'Ar-Pa'!S299,0)</f>
        <v>0</v>
      </c>
      <c r="AR299" s="21">
        <f>IFERROR(T299/'Ar-Pa'!T299,0)</f>
        <v>0</v>
      </c>
      <c r="AS299" s="21">
        <f>IFERROR(U299/'Ar-Pa'!U299,0)</f>
        <v>0</v>
      </c>
      <c r="AT299" s="21">
        <f>IFERROR(V299/'Ar-Pa'!V299,0)</f>
        <v>0</v>
      </c>
      <c r="AU299" s="21">
        <f>IFERROR(W299/'Ar-Pa'!W299,0)</f>
        <v>0</v>
      </c>
      <c r="AV299" s="21">
        <f>IFERROR(X299/'Ar-Pa'!X299,0)</f>
        <v>0</v>
      </c>
      <c r="AW299" s="21">
        <f>IFERROR(Y299/'Ar-Pa'!Y299,0)</f>
        <v>0</v>
      </c>
      <c r="AX299" s="21">
        <f t="shared" si="7"/>
        <v>0</v>
      </c>
    </row>
    <row r="300" spans="1:50">
      <c r="A300" s="15">
        <v>45225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21">
        <f>IFERROR(B300/'Ar-Pa'!B300,0)</f>
        <v>0</v>
      </c>
      <c r="AA300" s="21">
        <f>IFERROR(C300/'Ar-Pa'!C300,0)</f>
        <v>0</v>
      </c>
      <c r="AB300" s="21">
        <f>IFERROR(D300/'Ar-Pa'!D300,0)</f>
        <v>0</v>
      </c>
      <c r="AC300" s="21">
        <f>IFERROR(E300/'Ar-Pa'!E300,0)</f>
        <v>0</v>
      </c>
      <c r="AD300" s="21">
        <f>IFERROR(F300/'Ar-Pa'!F300,0)</f>
        <v>0</v>
      </c>
      <c r="AE300" s="21">
        <f>IFERROR(G300/'Ar-Pa'!G300,0)</f>
        <v>0</v>
      </c>
      <c r="AF300" s="21">
        <f>IFERROR(H300/'Ar-Pa'!H300,0)</f>
        <v>0</v>
      </c>
      <c r="AG300" s="21">
        <f>IFERROR(I300/'Ar-Pa'!I300,0)</f>
        <v>0</v>
      </c>
      <c r="AH300" s="21">
        <f>IFERROR(J300/'Ar-Pa'!J300,0)</f>
        <v>0</v>
      </c>
      <c r="AI300" s="21">
        <f>IFERROR(K300/'Ar-Pa'!K300,0)</f>
        <v>0</v>
      </c>
      <c r="AJ300" s="21">
        <f>IFERROR(L300/'Ar-Pa'!L300,0)</f>
        <v>0</v>
      </c>
      <c r="AK300" s="21">
        <f>IFERROR(M300/'Ar-Pa'!M300,0)</f>
        <v>0</v>
      </c>
      <c r="AL300" s="21">
        <f>IFERROR(N300/'Ar-Pa'!N300,0)</f>
        <v>0</v>
      </c>
      <c r="AM300" s="21">
        <f>IFERROR(O300/'Ar-Pa'!O300,0)</f>
        <v>0</v>
      </c>
      <c r="AN300" s="21">
        <f>IFERROR(P300/'Ar-Pa'!P300,0)</f>
        <v>0</v>
      </c>
      <c r="AO300" s="21">
        <f>IFERROR(Q300/'Ar-Pa'!Q300,0)</f>
        <v>0</v>
      </c>
      <c r="AP300" s="21">
        <f>IFERROR(R300/'Ar-Pa'!R300,0)</f>
        <v>0</v>
      </c>
      <c r="AQ300" s="21">
        <f>IFERROR(S300/'Ar-Pa'!S300,0)</f>
        <v>0</v>
      </c>
      <c r="AR300" s="21">
        <f>IFERROR(T300/'Ar-Pa'!T300,0)</f>
        <v>0</v>
      </c>
      <c r="AS300" s="21">
        <f>IFERROR(U300/'Ar-Pa'!U300,0)</f>
        <v>0</v>
      </c>
      <c r="AT300" s="21">
        <f>IFERROR(V300/'Ar-Pa'!V300,0)</f>
        <v>0</v>
      </c>
      <c r="AU300" s="21">
        <f>IFERROR(W300/'Ar-Pa'!W300,0)</f>
        <v>0</v>
      </c>
      <c r="AV300" s="21">
        <f>IFERROR(X300/'Ar-Pa'!X300,0)</f>
        <v>0</v>
      </c>
      <c r="AW300" s="21">
        <f>IFERROR(Y300/'Ar-Pa'!Y300,0)</f>
        <v>0</v>
      </c>
      <c r="AX300" s="21">
        <f t="shared" si="7"/>
        <v>0</v>
      </c>
    </row>
    <row r="301" spans="1:50">
      <c r="A301" s="15">
        <v>45226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21">
        <f>IFERROR(B301/'Ar-Pa'!B301,0)</f>
        <v>0</v>
      </c>
      <c r="AA301" s="21">
        <f>IFERROR(C301/'Ar-Pa'!C301,0)</f>
        <v>0</v>
      </c>
      <c r="AB301" s="21">
        <f>IFERROR(D301/'Ar-Pa'!D301,0)</f>
        <v>0</v>
      </c>
      <c r="AC301" s="21">
        <f>IFERROR(E301/'Ar-Pa'!E301,0)</f>
        <v>0</v>
      </c>
      <c r="AD301" s="21">
        <f>IFERROR(F301/'Ar-Pa'!F301,0)</f>
        <v>0</v>
      </c>
      <c r="AE301" s="21">
        <f>IFERROR(G301/'Ar-Pa'!G301,0)</f>
        <v>0</v>
      </c>
      <c r="AF301" s="21">
        <f>IFERROR(H301/'Ar-Pa'!H301,0)</f>
        <v>0</v>
      </c>
      <c r="AG301" s="21">
        <f>IFERROR(I301/'Ar-Pa'!I301,0)</f>
        <v>0</v>
      </c>
      <c r="AH301" s="21">
        <f>IFERROR(J301/'Ar-Pa'!J301,0)</f>
        <v>0</v>
      </c>
      <c r="AI301" s="21">
        <f>IFERROR(K301/'Ar-Pa'!K301,0)</f>
        <v>0</v>
      </c>
      <c r="AJ301" s="21">
        <f>IFERROR(L301/'Ar-Pa'!L301,0)</f>
        <v>0</v>
      </c>
      <c r="AK301" s="21">
        <f>IFERROR(M301/'Ar-Pa'!M301,0)</f>
        <v>0</v>
      </c>
      <c r="AL301" s="21">
        <f>IFERROR(N301/'Ar-Pa'!N301,0)</f>
        <v>0</v>
      </c>
      <c r="AM301" s="21">
        <f>IFERROR(O301/'Ar-Pa'!O301,0)</f>
        <v>0</v>
      </c>
      <c r="AN301" s="21">
        <f>IFERROR(P301/'Ar-Pa'!P301,0)</f>
        <v>0</v>
      </c>
      <c r="AO301" s="21">
        <f>IFERROR(Q301/'Ar-Pa'!Q301,0)</f>
        <v>0</v>
      </c>
      <c r="AP301" s="21">
        <f>IFERROR(R301/'Ar-Pa'!R301,0)</f>
        <v>0</v>
      </c>
      <c r="AQ301" s="21">
        <f>IFERROR(S301/'Ar-Pa'!S301,0)</f>
        <v>0</v>
      </c>
      <c r="AR301" s="21">
        <f>IFERROR(T301/'Ar-Pa'!T301,0)</f>
        <v>0</v>
      </c>
      <c r="AS301" s="21">
        <f>IFERROR(U301/'Ar-Pa'!U301,0)</f>
        <v>0</v>
      </c>
      <c r="AT301" s="21">
        <f>IFERROR(V301/'Ar-Pa'!V301,0)</f>
        <v>0</v>
      </c>
      <c r="AU301" s="21">
        <f>IFERROR(W301/'Ar-Pa'!W301,0)</f>
        <v>0</v>
      </c>
      <c r="AV301" s="21">
        <f>IFERROR(X301/'Ar-Pa'!X301,0)</f>
        <v>0</v>
      </c>
      <c r="AW301" s="21">
        <f>IFERROR(Y301/'Ar-Pa'!Y301,0)</f>
        <v>0</v>
      </c>
      <c r="AX301" s="21">
        <f t="shared" si="7"/>
        <v>0</v>
      </c>
    </row>
    <row r="302" spans="1:50">
      <c r="A302" s="15">
        <v>45227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21">
        <f>IFERROR(B302/'Ar-Pa'!B302,0)</f>
        <v>0</v>
      </c>
      <c r="AA302" s="21">
        <f>IFERROR(C302/'Ar-Pa'!C302,0)</f>
        <v>0</v>
      </c>
      <c r="AB302" s="21">
        <f>IFERROR(D302/'Ar-Pa'!D302,0)</f>
        <v>0</v>
      </c>
      <c r="AC302" s="21">
        <f>IFERROR(E302/'Ar-Pa'!E302,0)</f>
        <v>0</v>
      </c>
      <c r="AD302" s="21">
        <f>IFERROR(F302/'Ar-Pa'!F302,0)</f>
        <v>0</v>
      </c>
      <c r="AE302" s="21">
        <f>IFERROR(G302/'Ar-Pa'!G302,0)</f>
        <v>0</v>
      </c>
      <c r="AF302" s="21">
        <f>IFERROR(H302/'Ar-Pa'!H302,0)</f>
        <v>0</v>
      </c>
      <c r="AG302" s="21">
        <f>IFERROR(I302/'Ar-Pa'!I302,0)</f>
        <v>0</v>
      </c>
      <c r="AH302" s="21">
        <f>IFERROR(J302/'Ar-Pa'!J302,0)</f>
        <v>0</v>
      </c>
      <c r="AI302" s="21">
        <f>IFERROR(K302/'Ar-Pa'!K302,0)</f>
        <v>0</v>
      </c>
      <c r="AJ302" s="21">
        <f>IFERROR(L302/'Ar-Pa'!L302,0)</f>
        <v>0</v>
      </c>
      <c r="AK302" s="21">
        <f>IFERROR(M302/'Ar-Pa'!M302,0)</f>
        <v>0</v>
      </c>
      <c r="AL302" s="21">
        <f>IFERROR(N302/'Ar-Pa'!N302,0)</f>
        <v>0</v>
      </c>
      <c r="AM302" s="21">
        <f>IFERROR(O302/'Ar-Pa'!O302,0)</f>
        <v>0</v>
      </c>
      <c r="AN302" s="21">
        <f>IFERROR(P302/'Ar-Pa'!P302,0)</f>
        <v>0</v>
      </c>
      <c r="AO302" s="21">
        <f>IFERROR(Q302/'Ar-Pa'!Q302,0)</f>
        <v>0</v>
      </c>
      <c r="AP302" s="21">
        <f>IFERROR(R302/'Ar-Pa'!R302,0)</f>
        <v>0</v>
      </c>
      <c r="AQ302" s="21">
        <f>IFERROR(S302/'Ar-Pa'!S302,0)</f>
        <v>0</v>
      </c>
      <c r="AR302" s="21">
        <f>IFERROR(T302/'Ar-Pa'!T302,0)</f>
        <v>0</v>
      </c>
      <c r="AS302" s="21">
        <f>IFERROR(U302/'Ar-Pa'!U302,0)</f>
        <v>0</v>
      </c>
      <c r="AT302" s="21">
        <f>IFERROR(V302/'Ar-Pa'!V302,0)</f>
        <v>0</v>
      </c>
      <c r="AU302" s="21">
        <f>IFERROR(W302/'Ar-Pa'!W302,0)</f>
        <v>0</v>
      </c>
      <c r="AV302" s="21">
        <f>IFERROR(X302/'Ar-Pa'!X302,0)</f>
        <v>0</v>
      </c>
      <c r="AW302" s="21">
        <f>IFERROR(Y302/'Ar-Pa'!Y302,0)</f>
        <v>0</v>
      </c>
      <c r="AX302" s="21">
        <f t="shared" si="7"/>
        <v>0</v>
      </c>
    </row>
    <row r="303" spans="1:50">
      <c r="A303" s="15">
        <v>45228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21">
        <f>IFERROR(B303/'Ar-Pa'!B303,0)</f>
        <v>0</v>
      </c>
      <c r="AA303" s="21">
        <f>IFERROR(C303/'Ar-Pa'!C303,0)</f>
        <v>0</v>
      </c>
      <c r="AB303" s="21">
        <f>IFERROR(D303/'Ar-Pa'!D303,0)</f>
        <v>0</v>
      </c>
      <c r="AC303" s="21">
        <f>IFERROR(E303/'Ar-Pa'!E303,0)</f>
        <v>0</v>
      </c>
      <c r="AD303" s="21">
        <f>IFERROR(F303/'Ar-Pa'!F303,0)</f>
        <v>0</v>
      </c>
      <c r="AE303" s="21">
        <f>IFERROR(G303/'Ar-Pa'!G303,0)</f>
        <v>0</v>
      </c>
      <c r="AF303" s="21">
        <f>IFERROR(H303/'Ar-Pa'!H303,0)</f>
        <v>0</v>
      </c>
      <c r="AG303" s="21">
        <f>IFERROR(I303/'Ar-Pa'!I303,0)</f>
        <v>0</v>
      </c>
      <c r="AH303" s="21">
        <f>IFERROR(J303/'Ar-Pa'!J303,0)</f>
        <v>0</v>
      </c>
      <c r="AI303" s="21">
        <f>IFERROR(K303/'Ar-Pa'!K303,0)</f>
        <v>0</v>
      </c>
      <c r="AJ303" s="21">
        <f>IFERROR(L303/'Ar-Pa'!L303,0)</f>
        <v>0</v>
      </c>
      <c r="AK303" s="21">
        <f>IFERROR(M303/'Ar-Pa'!M303,0)</f>
        <v>0</v>
      </c>
      <c r="AL303" s="21">
        <f>IFERROR(N303/'Ar-Pa'!N303,0)</f>
        <v>0</v>
      </c>
      <c r="AM303" s="21">
        <f>IFERROR(O303/'Ar-Pa'!O303,0)</f>
        <v>0</v>
      </c>
      <c r="AN303" s="21">
        <f>IFERROR(P303/'Ar-Pa'!P303,0)</f>
        <v>0</v>
      </c>
      <c r="AO303" s="21">
        <f>IFERROR(Q303/'Ar-Pa'!Q303,0)</f>
        <v>0</v>
      </c>
      <c r="AP303" s="21">
        <f>IFERROR(R303/'Ar-Pa'!R303,0)</f>
        <v>0</v>
      </c>
      <c r="AQ303" s="21">
        <f>IFERROR(S303/'Ar-Pa'!S303,0)</f>
        <v>0</v>
      </c>
      <c r="AR303" s="21">
        <f>IFERROR(T303/'Ar-Pa'!T303,0)</f>
        <v>0</v>
      </c>
      <c r="AS303" s="21">
        <f>IFERROR(U303/'Ar-Pa'!U303,0)</f>
        <v>0</v>
      </c>
      <c r="AT303" s="21">
        <f>IFERROR(V303/'Ar-Pa'!V303,0)</f>
        <v>0</v>
      </c>
      <c r="AU303" s="21">
        <f>IFERROR(W303/'Ar-Pa'!W303,0)</f>
        <v>0</v>
      </c>
      <c r="AV303" s="21">
        <f>IFERROR(X303/'Ar-Pa'!X303,0)</f>
        <v>0</v>
      </c>
      <c r="AW303" s="21">
        <f>IFERROR(Y303/'Ar-Pa'!Y303,0)</f>
        <v>0</v>
      </c>
      <c r="AX303" s="21">
        <f t="shared" si="7"/>
        <v>0</v>
      </c>
    </row>
    <row r="304" spans="1:50">
      <c r="A304" s="15">
        <v>45229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21">
        <f>IFERROR(B304/'Ar-Pa'!B304,0)</f>
        <v>0</v>
      </c>
      <c r="AA304" s="21">
        <f>IFERROR(C304/'Ar-Pa'!C304,0)</f>
        <v>0</v>
      </c>
      <c r="AB304" s="21">
        <f>IFERROR(D304/'Ar-Pa'!D304,0)</f>
        <v>0</v>
      </c>
      <c r="AC304" s="21">
        <f>IFERROR(E304/'Ar-Pa'!E304,0)</f>
        <v>0</v>
      </c>
      <c r="AD304" s="21">
        <f>IFERROR(F304/'Ar-Pa'!F304,0)</f>
        <v>0</v>
      </c>
      <c r="AE304" s="21">
        <f>IFERROR(G304/'Ar-Pa'!G304,0)</f>
        <v>0</v>
      </c>
      <c r="AF304" s="21">
        <f>IFERROR(H304/'Ar-Pa'!H304,0)</f>
        <v>0</v>
      </c>
      <c r="AG304" s="21">
        <f>IFERROR(I304/'Ar-Pa'!I304,0)</f>
        <v>0</v>
      </c>
      <c r="AH304" s="21">
        <f>IFERROR(J304/'Ar-Pa'!J304,0)</f>
        <v>0</v>
      </c>
      <c r="AI304" s="21">
        <f>IFERROR(K304/'Ar-Pa'!K304,0)</f>
        <v>0</v>
      </c>
      <c r="AJ304" s="21">
        <f>IFERROR(L304/'Ar-Pa'!L304,0)</f>
        <v>0</v>
      </c>
      <c r="AK304" s="21">
        <f>IFERROR(M304/'Ar-Pa'!M304,0)</f>
        <v>0</v>
      </c>
      <c r="AL304" s="21">
        <f>IFERROR(N304/'Ar-Pa'!N304,0)</f>
        <v>0</v>
      </c>
      <c r="AM304" s="21">
        <f>IFERROR(O304/'Ar-Pa'!O304,0)</f>
        <v>0</v>
      </c>
      <c r="AN304" s="21">
        <f>IFERROR(P304/'Ar-Pa'!P304,0)</f>
        <v>0</v>
      </c>
      <c r="AO304" s="21">
        <f>IFERROR(Q304/'Ar-Pa'!Q304,0)</f>
        <v>0</v>
      </c>
      <c r="AP304" s="21">
        <f>IFERROR(R304/'Ar-Pa'!R304,0)</f>
        <v>0</v>
      </c>
      <c r="AQ304" s="21">
        <f>IFERROR(S304/'Ar-Pa'!S304,0)</f>
        <v>0</v>
      </c>
      <c r="AR304" s="21">
        <f>IFERROR(T304/'Ar-Pa'!T304,0)</f>
        <v>0</v>
      </c>
      <c r="AS304" s="21">
        <f>IFERROR(U304/'Ar-Pa'!U304,0)</f>
        <v>0</v>
      </c>
      <c r="AT304" s="21">
        <f>IFERROR(V304/'Ar-Pa'!V304,0)</f>
        <v>0</v>
      </c>
      <c r="AU304" s="21">
        <f>IFERROR(W304/'Ar-Pa'!W304,0)</f>
        <v>0</v>
      </c>
      <c r="AV304" s="21">
        <f>IFERROR(X304/'Ar-Pa'!X304,0)</f>
        <v>0</v>
      </c>
      <c r="AW304" s="21">
        <f>IFERROR(Y304/'Ar-Pa'!Y304,0)</f>
        <v>0</v>
      </c>
      <c r="AX304" s="21">
        <f t="shared" si="7"/>
        <v>0</v>
      </c>
    </row>
    <row r="305" spans="1:50">
      <c r="A305" s="15">
        <v>45230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21">
        <f>IFERROR(B305/'Ar-Pa'!B305,0)</f>
        <v>0</v>
      </c>
      <c r="AA305" s="21">
        <f>IFERROR(C305/'Ar-Pa'!C305,0)</f>
        <v>0</v>
      </c>
      <c r="AB305" s="21">
        <f>IFERROR(D305/'Ar-Pa'!D305,0)</f>
        <v>0</v>
      </c>
      <c r="AC305" s="21">
        <f>IFERROR(E305/'Ar-Pa'!E305,0)</f>
        <v>0</v>
      </c>
      <c r="AD305" s="21">
        <f>IFERROR(F305/'Ar-Pa'!F305,0)</f>
        <v>0</v>
      </c>
      <c r="AE305" s="21">
        <f>IFERROR(G305/'Ar-Pa'!G305,0)</f>
        <v>0</v>
      </c>
      <c r="AF305" s="21">
        <f>IFERROR(H305/'Ar-Pa'!H305,0)</f>
        <v>0</v>
      </c>
      <c r="AG305" s="21">
        <f>IFERROR(I305/'Ar-Pa'!I305,0)</f>
        <v>0</v>
      </c>
      <c r="AH305" s="21">
        <f>IFERROR(J305/'Ar-Pa'!J305,0)</f>
        <v>0</v>
      </c>
      <c r="AI305" s="21">
        <f>IFERROR(K305/'Ar-Pa'!K305,0)</f>
        <v>0</v>
      </c>
      <c r="AJ305" s="21">
        <f>IFERROR(L305/'Ar-Pa'!L305,0)</f>
        <v>0</v>
      </c>
      <c r="AK305" s="21">
        <f>IFERROR(M305/'Ar-Pa'!M305,0)</f>
        <v>0</v>
      </c>
      <c r="AL305" s="21">
        <f>IFERROR(N305/'Ar-Pa'!N305,0)</f>
        <v>0</v>
      </c>
      <c r="AM305" s="21">
        <f>IFERROR(O305/'Ar-Pa'!O305,0)</f>
        <v>0</v>
      </c>
      <c r="AN305" s="21">
        <f>IFERROR(P305/'Ar-Pa'!P305,0)</f>
        <v>0</v>
      </c>
      <c r="AO305" s="21">
        <f>IFERROR(Q305/'Ar-Pa'!Q305,0)</f>
        <v>0</v>
      </c>
      <c r="AP305" s="21">
        <f>IFERROR(R305/'Ar-Pa'!R305,0)</f>
        <v>0</v>
      </c>
      <c r="AQ305" s="21">
        <f>IFERROR(S305/'Ar-Pa'!S305,0)</f>
        <v>0</v>
      </c>
      <c r="AR305" s="21">
        <f>IFERROR(T305/'Ar-Pa'!T305,0)</f>
        <v>0</v>
      </c>
      <c r="AS305" s="21">
        <f>IFERROR(U305/'Ar-Pa'!U305,0)</f>
        <v>0</v>
      </c>
      <c r="AT305" s="21">
        <f>IFERROR(V305/'Ar-Pa'!V305,0)</f>
        <v>0</v>
      </c>
      <c r="AU305" s="21">
        <f>IFERROR(W305/'Ar-Pa'!W305,0)</f>
        <v>0</v>
      </c>
      <c r="AV305" s="21">
        <f>IFERROR(X305/'Ar-Pa'!X305,0)</f>
        <v>0</v>
      </c>
      <c r="AW305" s="21">
        <f>IFERROR(Y305/'Ar-Pa'!Y305,0)</f>
        <v>0</v>
      </c>
      <c r="AX305" s="21">
        <f t="shared" si="7"/>
        <v>0</v>
      </c>
    </row>
    <row r="306" spans="1:50">
      <c r="A306" s="15">
        <v>45231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21">
        <f>IFERROR(B306/'Ar-Pa'!B306,0)</f>
        <v>0</v>
      </c>
      <c r="AA306" s="21">
        <f>IFERROR(C306/'Ar-Pa'!C306,0)</f>
        <v>0</v>
      </c>
      <c r="AB306" s="21">
        <f>IFERROR(D306/'Ar-Pa'!D306,0)</f>
        <v>0</v>
      </c>
      <c r="AC306" s="21">
        <f>IFERROR(E306/'Ar-Pa'!E306,0)</f>
        <v>0</v>
      </c>
      <c r="AD306" s="21">
        <f>IFERROR(F306/'Ar-Pa'!F306,0)</f>
        <v>0</v>
      </c>
      <c r="AE306" s="21">
        <f>IFERROR(G306/'Ar-Pa'!G306,0)</f>
        <v>0</v>
      </c>
      <c r="AF306" s="21">
        <f>IFERROR(H306/'Ar-Pa'!H306,0)</f>
        <v>0</v>
      </c>
      <c r="AG306" s="21">
        <f>IFERROR(I306/'Ar-Pa'!I306,0)</f>
        <v>0</v>
      </c>
      <c r="AH306" s="21">
        <f>IFERROR(J306/'Ar-Pa'!J306,0)</f>
        <v>0</v>
      </c>
      <c r="AI306" s="21">
        <f>IFERROR(K306/'Ar-Pa'!K306,0)</f>
        <v>0</v>
      </c>
      <c r="AJ306" s="21">
        <f>IFERROR(L306/'Ar-Pa'!L306,0)</f>
        <v>0</v>
      </c>
      <c r="AK306" s="21">
        <f>IFERROR(M306/'Ar-Pa'!M306,0)</f>
        <v>0</v>
      </c>
      <c r="AL306" s="21">
        <f>IFERROR(N306/'Ar-Pa'!N306,0)</f>
        <v>0</v>
      </c>
      <c r="AM306" s="21">
        <f>IFERROR(O306/'Ar-Pa'!O306,0)</f>
        <v>0</v>
      </c>
      <c r="AN306" s="21">
        <f>IFERROR(P306/'Ar-Pa'!P306,0)</f>
        <v>0</v>
      </c>
      <c r="AO306" s="21">
        <f>IFERROR(Q306/'Ar-Pa'!Q306,0)</f>
        <v>0</v>
      </c>
      <c r="AP306" s="21">
        <f>IFERROR(R306/'Ar-Pa'!R306,0)</f>
        <v>0</v>
      </c>
      <c r="AQ306" s="21">
        <f>IFERROR(S306/'Ar-Pa'!S306,0)</f>
        <v>0</v>
      </c>
      <c r="AR306" s="21">
        <f>IFERROR(T306/'Ar-Pa'!T306,0)</f>
        <v>0</v>
      </c>
      <c r="AS306" s="21">
        <f>IFERROR(U306/'Ar-Pa'!U306,0)</f>
        <v>0</v>
      </c>
      <c r="AT306" s="21">
        <f>IFERROR(V306/'Ar-Pa'!V306,0)</f>
        <v>0</v>
      </c>
      <c r="AU306" s="21">
        <f>IFERROR(W306/'Ar-Pa'!W306,0)</f>
        <v>0</v>
      </c>
      <c r="AV306" s="21">
        <f>IFERROR(X306/'Ar-Pa'!X306,0)</f>
        <v>0</v>
      </c>
      <c r="AW306" s="21">
        <f>IFERROR(Y306/'Ar-Pa'!Y306,0)</f>
        <v>0</v>
      </c>
      <c r="AX306" s="21">
        <f t="shared" si="7"/>
        <v>0</v>
      </c>
    </row>
    <row r="307" spans="1:50">
      <c r="A307" s="15">
        <v>45232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21">
        <f>IFERROR(B307/'Ar-Pa'!B307,0)</f>
        <v>0</v>
      </c>
      <c r="AA307" s="21">
        <f>IFERROR(C307/'Ar-Pa'!C307,0)</f>
        <v>0</v>
      </c>
      <c r="AB307" s="21">
        <f>IFERROR(D307/'Ar-Pa'!D307,0)</f>
        <v>0</v>
      </c>
      <c r="AC307" s="21">
        <f>IFERROR(E307/'Ar-Pa'!E307,0)</f>
        <v>0</v>
      </c>
      <c r="AD307" s="21">
        <f>IFERROR(F307/'Ar-Pa'!F307,0)</f>
        <v>0</v>
      </c>
      <c r="AE307" s="21">
        <f>IFERROR(G307/'Ar-Pa'!G307,0)</f>
        <v>0</v>
      </c>
      <c r="AF307" s="21">
        <f>IFERROR(H307/'Ar-Pa'!H307,0)</f>
        <v>0</v>
      </c>
      <c r="AG307" s="21">
        <f>IFERROR(I307/'Ar-Pa'!I307,0)</f>
        <v>0</v>
      </c>
      <c r="AH307" s="21">
        <f>IFERROR(J307/'Ar-Pa'!J307,0)</f>
        <v>0</v>
      </c>
      <c r="AI307" s="21">
        <f>IFERROR(K307/'Ar-Pa'!K307,0)</f>
        <v>0</v>
      </c>
      <c r="AJ307" s="21">
        <f>IFERROR(L307/'Ar-Pa'!L307,0)</f>
        <v>0</v>
      </c>
      <c r="AK307" s="21">
        <f>IFERROR(M307/'Ar-Pa'!M307,0)</f>
        <v>0</v>
      </c>
      <c r="AL307" s="21">
        <f>IFERROR(N307/'Ar-Pa'!N307,0)</f>
        <v>0</v>
      </c>
      <c r="AM307" s="21">
        <f>IFERROR(O307/'Ar-Pa'!O307,0)</f>
        <v>0</v>
      </c>
      <c r="AN307" s="21">
        <f>IFERROR(P307/'Ar-Pa'!P307,0)</f>
        <v>0</v>
      </c>
      <c r="AO307" s="21">
        <f>IFERROR(Q307/'Ar-Pa'!Q307,0)</f>
        <v>0</v>
      </c>
      <c r="AP307" s="21">
        <f>IFERROR(R307/'Ar-Pa'!R307,0)</f>
        <v>0</v>
      </c>
      <c r="AQ307" s="21">
        <f>IFERROR(S307/'Ar-Pa'!S307,0)</f>
        <v>0</v>
      </c>
      <c r="AR307" s="21">
        <f>IFERROR(T307/'Ar-Pa'!T307,0)</f>
        <v>0</v>
      </c>
      <c r="AS307" s="21">
        <f>IFERROR(U307/'Ar-Pa'!U307,0)</f>
        <v>0</v>
      </c>
      <c r="AT307" s="21">
        <f>IFERROR(V307/'Ar-Pa'!V307,0)</f>
        <v>0</v>
      </c>
      <c r="AU307" s="21">
        <f>IFERROR(W307/'Ar-Pa'!W307,0)</f>
        <v>0</v>
      </c>
      <c r="AV307" s="21">
        <f>IFERROR(X307/'Ar-Pa'!X307,0)</f>
        <v>0</v>
      </c>
      <c r="AW307" s="21">
        <f>IFERROR(Y307/'Ar-Pa'!Y307,0)</f>
        <v>0</v>
      </c>
      <c r="AX307" s="21">
        <f>SUM(Z307:AW307)</f>
        <v>0</v>
      </c>
    </row>
    <row r="308" spans="1:50">
      <c r="A308" s="15">
        <v>45233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21">
        <f>IFERROR(B308/'Ar-Pa'!B308,0)</f>
        <v>0</v>
      </c>
      <c r="AA308" s="21">
        <f>IFERROR(C308/'Ar-Pa'!C308,0)</f>
        <v>0</v>
      </c>
      <c r="AB308" s="21">
        <f>IFERROR(D308/'Ar-Pa'!D308,0)</f>
        <v>0</v>
      </c>
      <c r="AC308" s="21">
        <f>IFERROR(E308/'Ar-Pa'!E308,0)</f>
        <v>0</v>
      </c>
      <c r="AD308" s="21">
        <f>IFERROR(F308/'Ar-Pa'!F308,0)</f>
        <v>0</v>
      </c>
      <c r="AE308" s="21">
        <f>IFERROR(G308/'Ar-Pa'!G308,0)</f>
        <v>0</v>
      </c>
      <c r="AF308" s="21">
        <f>IFERROR(H308/'Ar-Pa'!H308,0)</f>
        <v>0</v>
      </c>
      <c r="AG308" s="21">
        <f>IFERROR(I308/'Ar-Pa'!I308,0)</f>
        <v>0</v>
      </c>
      <c r="AH308" s="21">
        <f>IFERROR(J308/'Ar-Pa'!J308,0)</f>
        <v>0</v>
      </c>
      <c r="AI308" s="21">
        <f>IFERROR(K308/'Ar-Pa'!K308,0)</f>
        <v>0</v>
      </c>
      <c r="AJ308" s="21">
        <f>IFERROR(L308/'Ar-Pa'!L308,0)</f>
        <v>0</v>
      </c>
      <c r="AK308" s="21">
        <f>IFERROR(M308/'Ar-Pa'!M308,0)</f>
        <v>0</v>
      </c>
      <c r="AL308" s="21">
        <f>IFERROR(N308/'Ar-Pa'!N308,0)</f>
        <v>0</v>
      </c>
      <c r="AM308" s="21">
        <f>IFERROR(O308/'Ar-Pa'!O308,0)</f>
        <v>0</v>
      </c>
      <c r="AN308" s="21">
        <f>IFERROR(P308/'Ar-Pa'!P308,0)</f>
        <v>0</v>
      </c>
      <c r="AO308" s="21">
        <f>IFERROR(Q308/'Ar-Pa'!Q308,0)</f>
        <v>0</v>
      </c>
      <c r="AP308" s="21">
        <f>IFERROR(R308/'Ar-Pa'!R308,0)</f>
        <v>0</v>
      </c>
      <c r="AQ308" s="21">
        <f>IFERROR(S308/'Ar-Pa'!S308,0)</f>
        <v>0</v>
      </c>
      <c r="AR308" s="21">
        <f>IFERROR(T308/'Ar-Pa'!T308,0)</f>
        <v>0</v>
      </c>
      <c r="AS308" s="21">
        <f>IFERROR(U308/'Ar-Pa'!U308,0)</f>
        <v>0</v>
      </c>
      <c r="AT308" s="21">
        <f>IFERROR(V308/'Ar-Pa'!V308,0)</f>
        <v>0</v>
      </c>
      <c r="AU308" s="21">
        <f>IFERROR(W308/'Ar-Pa'!W308,0)</f>
        <v>0</v>
      </c>
      <c r="AV308" s="21">
        <f>IFERROR(X308/'Ar-Pa'!X308,0)</f>
        <v>0</v>
      </c>
      <c r="AW308" s="21">
        <f>IFERROR(Y308/'Ar-Pa'!Y308,0)</f>
        <v>0</v>
      </c>
      <c r="AX308" s="21">
        <f>SUM(Z308:AW308)</f>
        <v>0</v>
      </c>
    </row>
    <row r="309" spans="1:50">
      <c r="A309" s="15">
        <v>45234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21">
        <f>IFERROR(B309/'Ar-Pa'!B309,0)</f>
        <v>0</v>
      </c>
      <c r="AA309" s="21">
        <f>IFERROR(C309/'Ar-Pa'!C309,0)</f>
        <v>0</v>
      </c>
      <c r="AB309" s="21">
        <f>IFERROR(D309/'Ar-Pa'!D309,0)</f>
        <v>0</v>
      </c>
      <c r="AC309" s="21">
        <f>IFERROR(E309/'Ar-Pa'!E309,0)</f>
        <v>0</v>
      </c>
      <c r="AD309" s="21">
        <f>IFERROR(F309/'Ar-Pa'!F309,0)</f>
        <v>0</v>
      </c>
      <c r="AE309" s="21">
        <f>IFERROR(G309/'Ar-Pa'!G309,0)</f>
        <v>0</v>
      </c>
      <c r="AF309" s="21">
        <f>IFERROR(H309/'Ar-Pa'!H309,0)</f>
        <v>0</v>
      </c>
      <c r="AG309" s="21">
        <f>IFERROR(I309/'Ar-Pa'!I309,0)</f>
        <v>0</v>
      </c>
      <c r="AH309" s="21">
        <f>IFERROR(J309/'Ar-Pa'!J309,0)</f>
        <v>0</v>
      </c>
      <c r="AI309" s="21">
        <f>IFERROR(K309/'Ar-Pa'!K309,0)</f>
        <v>0</v>
      </c>
      <c r="AJ309" s="21">
        <f>IFERROR(L309/'Ar-Pa'!L309,0)</f>
        <v>0</v>
      </c>
      <c r="AK309" s="21">
        <f>IFERROR(M309/'Ar-Pa'!M309,0)</f>
        <v>0</v>
      </c>
      <c r="AL309" s="21">
        <f>IFERROR(N309/'Ar-Pa'!N309,0)</f>
        <v>0</v>
      </c>
      <c r="AM309" s="21">
        <f>IFERROR(O309/'Ar-Pa'!O309,0)</f>
        <v>0</v>
      </c>
      <c r="AN309" s="21">
        <f>IFERROR(P309/'Ar-Pa'!P309,0)</f>
        <v>0</v>
      </c>
      <c r="AO309" s="21">
        <f>IFERROR(Q309/'Ar-Pa'!Q309,0)</f>
        <v>0</v>
      </c>
      <c r="AP309" s="21">
        <f>IFERROR(R309/'Ar-Pa'!R309,0)</f>
        <v>0</v>
      </c>
      <c r="AQ309" s="21">
        <f>IFERROR(S309/'Ar-Pa'!S309,0)</f>
        <v>0</v>
      </c>
      <c r="AR309" s="21">
        <f>IFERROR(T309/'Ar-Pa'!T309,0)</f>
        <v>0</v>
      </c>
      <c r="AS309" s="21">
        <f>IFERROR(U309/'Ar-Pa'!U309,0)</f>
        <v>0</v>
      </c>
      <c r="AT309" s="21">
        <f>IFERROR(V309/'Ar-Pa'!V309,0)</f>
        <v>0</v>
      </c>
      <c r="AU309" s="21">
        <f>IFERROR(W309/'Ar-Pa'!W309,0)</f>
        <v>0</v>
      </c>
      <c r="AV309" s="21">
        <f>IFERROR(X309/'Ar-Pa'!X309,0)</f>
        <v>0</v>
      </c>
      <c r="AW309" s="21">
        <f>IFERROR(Y309/'Ar-Pa'!Y309,0)</f>
        <v>0</v>
      </c>
      <c r="AX309" s="21">
        <f t="shared" ref="AX309:AX336" si="8">SUM(Z309:AW309)</f>
        <v>0</v>
      </c>
    </row>
    <row r="310" spans="1:50">
      <c r="A310" s="15">
        <v>45235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21">
        <f>IFERROR(B310/'Ar-Pa'!B310,0)</f>
        <v>0</v>
      </c>
      <c r="AA310" s="21">
        <f>IFERROR(C310/'Ar-Pa'!C310,0)</f>
        <v>0</v>
      </c>
      <c r="AB310" s="21">
        <f>IFERROR(D310/'Ar-Pa'!D310,0)</f>
        <v>0</v>
      </c>
      <c r="AC310" s="21">
        <f>IFERROR(E310/'Ar-Pa'!E310,0)</f>
        <v>0</v>
      </c>
      <c r="AD310" s="21">
        <f>IFERROR(F310/'Ar-Pa'!F310,0)</f>
        <v>0</v>
      </c>
      <c r="AE310" s="21">
        <f>IFERROR(G310/'Ar-Pa'!G310,0)</f>
        <v>0</v>
      </c>
      <c r="AF310" s="21">
        <f>IFERROR(H310/'Ar-Pa'!H310,0)</f>
        <v>0</v>
      </c>
      <c r="AG310" s="21">
        <f>IFERROR(I310/'Ar-Pa'!I310,0)</f>
        <v>0</v>
      </c>
      <c r="AH310" s="21">
        <f>IFERROR(J310/'Ar-Pa'!J310,0)</f>
        <v>0</v>
      </c>
      <c r="AI310" s="21">
        <f>IFERROR(K310/'Ar-Pa'!K310,0)</f>
        <v>0</v>
      </c>
      <c r="AJ310" s="21">
        <f>IFERROR(L310/'Ar-Pa'!L310,0)</f>
        <v>0</v>
      </c>
      <c r="AK310" s="21">
        <f>IFERROR(M310/'Ar-Pa'!M310,0)</f>
        <v>0</v>
      </c>
      <c r="AL310" s="21">
        <f>IFERROR(N310/'Ar-Pa'!N310,0)</f>
        <v>0</v>
      </c>
      <c r="AM310" s="21">
        <f>IFERROR(O310/'Ar-Pa'!O310,0)</f>
        <v>0</v>
      </c>
      <c r="AN310" s="21">
        <f>IFERROR(P310/'Ar-Pa'!P310,0)</f>
        <v>0</v>
      </c>
      <c r="AO310" s="21">
        <f>IFERROR(Q310/'Ar-Pa'!Q310,0)</f>
        <v>0</v>
      </c>
      <c r="AP310" s="21">
        <f>IFERROR(R310/'Ar-Pa'!R310,0)</f>
        <v>0</v>
      </c>
      <c r="AQ310" s="21">
        <f>IFERROR(S310/'Ar-Pa'!S310,0)</f>
        <v>0</v>
      </c>
      <c r="AR310" s="21">
        <f>IFERROR(T310/'Ar-Pa'!T310,0)</f>
        <v>0</v>
      </c>
      <c r="AS310" s="21">
        <f>IFERROR(U310/'Ar-Pa'!U310,0)</f>
        <v>0</v>
      </c>
      <c r="AT310" s="21">
        <f>IFERROR(V310/'Ar-Pa'!V310,0)</f>
        <v>0</v>
      </c>
      <c r="AU310" s="21">
        <f>IFERROR(W310/'Ar-Pa'!W310,0)</f>
        <v>0</v>
      </c>
      <c r="AV310" s="21">
        <f>IFERROR(X310/'Ar-Pa'!X310,0)</f>
        <v>0</v>
      </c>
      <c r="AW310" s="21">
        <f>IFERROR(Y310/'Ar-Pa'!Y310,0)</f>
        <v>0</v>
      </c>
      <c r="AX310" s="21">
        <f t="shared" si="8"/>
        <v>0</v>
      </c>
    </row>
    <row r="311" spans="1:50">
      <c r="A311" s="15">
        <v>45236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21">
        <f>IFERROR(B311/'Ar-Pa'!B311,0)</f>
        <v>0</v>
      </c>
      <c r="AA311" s="21">
        <f>IFERROR(C311/'Ar-Pa'!C311,0)</f>
        <v>0</v>
      </c>
      <c r="AB311" s="21">
        <f>IFERROR(D311/'Ar-Pa'!D311,0)</f>
        <v>0</v>
      </c>
      <c r="AC311" s="21">
        <f>IFERROR(E311/'Ar-Pa'!E311,0)</f>
        <v>0</v>
      </c>
      <c r="AD311" s="21">
        <f>IFERROR(F311/'Ar-Pa'!F311,0)</f>
        <v>0</v>
      </c>
      <c r="AE311" s="21">
        <f>IFERROR(G311/'Ar-Pa'!G311,0)</f>
        <v>0</v>
      </c>
      <c r="AF311" s="21">
        <f>IFERROR(H311/'Ar-Pa'!H311,0)</f>
        <v>0</v>
      </c>
      <c r="AG311" s="21">
        <f>IFERROR(I311/'Ar-Pa'!I311,0)</f>
        <v>0</v>
      </c>
      <c r="AH311" s="21">
        <f>IFERROR(J311/'Ar-Pa'!J311,0)</f>
        <v>0</v>
      </c>
      <c r="AI311" s="21">
        <f>IFERROR(K311/'Ar-Pa'!K311,0)</f>
        <v>0</v>
      </c>
      <c r="AJ311" s="21">
        <f>IFERROR(L311/'Ar-Pa'!L311,0)</f>
        <v>0</v>
      </c>
      <c r="AK311" s="21">
        <f>IFERROR(M311/'Ar-Pa'!M311,0)</f>
        <v>0</v>
      </c>
      <c r="AL311" s="21">
        <f>IFERROR(N311/'Ar-Pa'!N311,0)</f>
        <v>0</v>
      </c>
      <c r="AM311" s="21">
        <f>IFERROR(O311/'Ar-Pa'!O311,0)</f>
        <v>0</v>
      </c>
      <c r="AN311" s="21">
        <f>IFERROR(P311/'Ar-Pa'!P311,0)</f>
        <v>0</v>
      </c>
      <c r="AO311" s="21">
        <f>IFERROR(Q311/'Ar-Pa'!Q311,0)</f>
        <v>0</v>
      </c>
      <c r="AP311" s="21">
        <f>IFERROR(R311/'Ar-Pa'!R311,0)</f>
        <v>0</v>
      </c>
      <c r="AQ311" s="21">
        <f>IFERROR(S311/'Ar-Pa'!S311,0)</f>
        <v>0</v>
      </c>
      <c r="AR311" s="21">
        <f>IFERROR(T311/'Ar-Pa'!T311,0)</f>
        <v>0</v>
      </c>
      <c r="AS311" s="21">
        <f>IFERROR(U311/'Ar-Pa'!U311,0)</f>
        <v>0</v>
      </c>
      <c r="AT311" s="21">
        <f>IFERROR(V311/'Ar-Pa'!V311,0)</f>
        <v>0</v>
      </c>
      <c r="AU311" s="21">
        <f>IFERROR(W311/'Ar-Pa'!W311,0)</f>
        <v>0</v>
      </c>
      <c r="AV311" s="21">
        <f>IFERROR(X311/'Ar-Pa'!X311,0)</f>
        <v>0</v>
      </c>
      <c r="AW311" s="21">
        <f>IFERROR(Y311/'Ar-Pa'!Y311,0)</f>
        <v>0</v>
      </c>
      <c r="AX311" s="21">
        <f t="shared" si="8"/>
        <v>0</v>
      </c>
    </row>
    <row r="312" spans="1:50">
      <c r="A312" s="15">
        <v>45237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21">
        <f>IFERROR(B312/'Ar-Pa'!B312,0)</f>
        <v>0</v>
      </c>
      <c r="AA312" s="21">
        <f>IFERROR(C312/'Ar-Pa'!C312,0)</f>
        <v>0</v>
      </c>
      <c r="AB312" s="21">
        <f>IFERROR(D312/'Ar-Pa'!D312,0)</f>
        <v>0</v>
      </c>
      <c r="AC312" s="21">
        <f>IFERROR(E312/'Ar-Pa'!E312,0)</f>
        <v>0</v>
      </c>
      <c r="AD312" s="21">
        <f>IFERROR(F312/'Ar-Pa'!F312,0)</f>
        <v>0</v>
      </c>
      <c r="AE312" s="21">
        <f>IFERROR(G312/'Ar-Pa'!G312,0)</f>
        <v>0</v>
      </c>
      <c r="AF312" s="21">
        <f>IFERROR(H312/'Ar-Pa'!H312,0)</f>
        <v>0</v>
      </c>
      <c r="AG312" s="21">
        <f>IFERROR(I312/'Ar-Pa'!I312,0)</f>
        <v>0</v>
      </c>
      <c r="AH312" s="21">
        <f>IFERROR(J312/'Ar-Pa'!J312,0)</f>
        <v>0</v>
      </c>
      <c r="AI312" s="21">
        <f>IFERROR(K312/'Ar-Pa'!K312,0)</f>
        <v>0</v>
      </c>
      <c r="AJ312" s="21">
        <f>IFERROR(L312/'Ar-Pa'!L312,0)</f>
        <v>0</v>
      </c>
      <c r="AK312" s="21">
        <f>IFERROR(M312/'Ar-Pa'!M312,0)</f>
        <v>0</v>
      </c>
      <c r="AL312" s="21">
        <f>IFERROR(N312/'Ar-Pa'!N312,0)</f>
        <v>0</v>
      </c>
      <c r="AM312" s="21">
        <f>IFERROR(O312/'Ar-Pa'!O312,0)</f>
        <v>0</v>
      </c>
      <c r="AN312" s="21">
        <f>IFERROR(P312/'Ar-Pa'!P312,0)</f>
        <v>0</v>
      </c>
      <c r="AO312" s="21">
        <f>IFERROR(Q312/'Ar-Pa'!Q312,0)</f>
        <v>0</v>
      </c>
      <c r="AP312" s="21">
        <f>IFERROR(R312/'Ar-Pa'!R312,0)</f>
        <v>0</v>
      </c>
      <c r="AQ312" s="21">
        <f>IFERROR(S312/'Ar-Pa'!S312,0)</f>
        <v>0</v>
      </c>
      <c r="AR312" s="21">
        <f>IFERROR(T312/'Ar-Pa'!T312,0)</f>
        <v>0</v>
      </c>
      <c r="AS312" s="21">
        <f>IFERROR(U312/'Ar-Pa'!U312,0)</f>
        <v>0</v>
      </c>
      <c r="AT312" s="21">
        <f>IFERROR(V312/'Ar-Pa'!V312,0)</f>
        <v>0</v>
      </c>
      <c r="AU312" s="21">
        <f>IFERROR(W312/'Ar-Pa'!W312,0)</f>
        <v>0</v>
      </c>
      <c r="AV312" s="21">
        <f>IFERROR(X312/'Ar-Pa'!X312,0)</f>
        <v>0</v>
      </c>
      <c r="AW312" s="21">
        <f>IFERROR(Y312/'Ar-Pa'!Y312,0)</f>
        <v>0</v>
      </c>
      <c r="AX312" s="21">
        <f t="shared" si="8"/>
        <v>0</v>
      </c>
    </row>
    <row r="313" spans="1:50">
      <c r="A313" s="15">
        <v>45238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21">
        <f>IFERROR(B313/'Ar-Pa'!B313,0)</f>
        <v>0</v>
      </c>
      <c r="AA313" s="21">
        <f>IFERROR(C313/'Ar-Pa'!C313,0)</f>
        <v>0</v>
      </c>
      <c r="AB313" s="21">
        <f>IFERROR(D313/'Ar-Pa'!D313,0)</f>
        <v>0</v>
      </c>
      <c r="AC313" s="21">
        <f>IFERROR(E313/'Ar-Pa'!E313,0)</f>
        <v>0</v>
      </c>
      <c r="AD313" s="21">
        <f>IFERROR(F313/'Ar-Pa'!F313,0)</f>
        <v>0</v>
      </c>
      <c r="AE313" s="21">
        <f>IFERROR(G313/'Ar-Pa'!G313,0)</f>
        <v>0</v>
      </c>
      <c r="AF313" s="21">
        <f>IFERROR(H313/'Ar-Pa'!H313,0)</f>
        <v>0</v>
      </c>
      <c r="AG313" s="21">
        <f>IFERROR(I313/'Ar-Pa'!I313,0)</f>
        <v>0</v>
      </c>
      <c r="AH313" s="21">
        <f>IFERROR(J313/'Ar-Pa'!J313,0)</f>
        <v>0</v>
      </c>
      <c r="AI313" s="21">
        <f>IFERROR(K313/'Ar-Pa'!K313,0)</f>
        <v>0</v>
      </c>
      <c r="AJ313" s="21">
        <f>IFERROR(L313/'Ar-Pa'!L313,0)</f>
        <v>0</v>
      </c>
      <c r="AK313" s="21">
        <f>IFERROR(M313/'Ar-Pa'!M313,0)</f>
        <v>0</v>
      </c>
      <c r="AL313" s="21">
        <f>IFERROR(N313/'Ar-Pa'!N313,0)</f>
        <v>0</v>
      </c>
      <c r="AM313" s="21">
        <f>IFERROR(O313/'Ar-Pa'!O313,0)</f>
        <v>0</v>
      </c>
      <c r="AN313" s="21">
        <f>IFERROR(P313/'Ar-Pa'!P313,0)</f>
        <v>0</v>
      </c>
      <c r="AO313" s="21">
        <f>IFERROR(Q313/'Ar-Pa'!Q313,0)</f>
        <v>0</v>
      </c>
      <c r="AP313" s="21">
        <f>IFERROR(R313/'Ar-Pa'!R313,0)</f>
        <v>0</v>
      </c>
      <c r="AQ313" s="21">
        <f>IFERROR(S313/'Ar-Pa'!S313,0)</f>
        <v>0</v>
      </c>
      <c r="AR313" s="21">
        <f>IFERROR(T313/'Ar-Pa'!T313,0)</f>
        <v>0</v>
      </c>
      <c r="AS313" s="21">
        <f>IFERROR(U313/'Ar-Pa'!U313,0)</f>
        <v>0</v>
      </c>
      <c r="AT313" s="21">
        <f>IFERROR(V313/'Ar-Pa'!V313,0)</f>
        <v>0</v>
      </c>
      <c r="AU313" s="21">
        <f>IFERROR(W313/'Ar-Pa'!W313,0)</f>
        <v>0</v>
      </c>
      <c r="AV313" s="21">
        <f>IFERROR(X313/'Ar-Pa'!X313,0)</f>
        <v>0</v>
      </c>
      <c r="AW313" s="21">
        <f>IFERROR(Y313/'Ar-Pa'!Y313,0)</f>
        <v>0</v>
      </c>
      <c r="AX313" s="21">
        <f t="shared" si="8"/>
        <v>0</v>
      </c>
    </row>
    <row r="314" spans="1:50">
      <c r="A314" s="15">
        <v>45239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21">
        <f>IFERROR(B314/'Ar-Pa'!B314,0)</f>
        <v>0</v>
      </c>
      <c r="AA314" s="21">
        <f>IFERROR(C314/'Ar-Pa'!C314,0)</f>
        <v>0</v>
      </c>
      <c r="AB314" s="21">
        <f>IFERROR(D314/'Ar-Pa'!D314,0)</f>
        <v>0</v>
      </c>
      <c r="AC314" s="21">
        <f>IFERROR(E314/'Ar-Pa'!E314,0)</f>
        <v>0</v>
      </c>
      <c r="AD314" s="21">
        <f>IFERROR(F314/'Ar-Pa'!F314,0)</f>
        <v>0</v>
      </c>
      <c r="AE314" s="21">
        <f>IFERROR(G314/'Ar-Pa'!G314,0)</f>
        <v>0</v>
      </c>
      <c r="AF314" s="21">
        <f>IFERROR(H314/'Ar-Pa'!H314,0)</f>
        <v>0</v>
      </c>
      <c r="AG314" s="21">
        <f>IFERROR(I314/'Ar-Pa'!I314,0)</f>
        <v>0</v>
      </c>
      <c r="AH314" s="21">
        <f>IFERROR(J314/'Ar-Pa'!J314,0)</f>
        <v>0</v>
      </c>
      <c r="AI314" s="21">
        <f>IFERROR(K314/'Ar-Pa'!K314,0)</f>
        <v>0</v>
      </c>
      <c r="AJ314" s="21">
        <f>IFERROR(L314/'Ar-Pa'!L314,0)</f>
        <v>0</v>
      </c>
      <c r="AK314" s="21">
        <f>IFERROR(M314/'Ar-Pa'!M314,0)</f>
        <v>0</v>
      </c>
      <c r="AL314" s="21">
        <f>IFERROR(N314/'Ar-Pa'!N314,0)</f>
        <v>0</v>
      </c>
      <c r="AM314" s="21">
        <f>IFERROR(O314/'Ar-Pa'!O314,0)</f>
        <v>0</v>
      </c>
      <c r="AN314" s="21">
        <f>IFERROR(P314/'Ar-Pa'!P314,0)</f>
        <v>0</v>
      </c>
      <c r="AO314" s="21">
        <f>IFERROR(Q314/'Ar-Pa'!Q314,0)</f>
        <v>0</v>
      </c>
      <c r="AP314" s="21">
        <f>IFERROR(R314/'Ar-Pa'!R314,0)</f>
        <v>0</v>
      </c>
      <c r="AQ314" s="21">
        <f>IFERROR(S314/'Ar-Pa'!S314,0)</f>
        <v>0</v>
      </c>
      <c r="AR314" s="21">
        <f>IFERROR(T314/'Ar-Pa'!T314,0)</f>
        <v>0</v>
      </c>
      <c r="AS314" s="21">
        <f>IFERROR(U314/'Ar-Pa'!U314,0)</f>
        <v>0</v>
      </c>
      <c r="AT314" s="21">
        <f>IFERROR(V314/'Ar-Pa'!V314,0)</f>
        <v>0</v>
      </c>
      <c r="AU314" s="21">
        <f>IFERROR(W314/'Ar-Pa'!W314,0)</f>
        <v>0</v>
      </c>
      <c r="AV314" s="21">
        <f>IFERROR(X314/'Ar-Pa'!X314,0)</f>
        <v>0</v>
      </c>
      <c r="AW314" s="21">
        <f>IFERROR(Y314/'Ar-Pa'!Y314,0)</f>
        <v>0</v>
      </c>
      <c r="AX314" s="21">
        <f t="shared" si="8"/>
        <v>0</v>
      </c>
    </row>
    <row r="315" spans="1:50">
      <c r="A315" s="15">
        <v>45240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21">
        <f>IFERROR(B315/'Ar-Pa'!B315,0)</f>
        <v>0</v>
      </c>
      <c r="AA315" s="21">
        <f>IFERROR(C315/'Ar-Pa'!C315,0)</f>
        <v>0</v>
      </c>
      <c r="AB315" s="21">
        <f>IFERROR(D315/'Ar-Pa'!D315,0)</f>
        <v>0</v>
      </c>
      <c r="AC315" s="21">
        <f>IFERROR(E315/'Ar-Pa'!E315,0)</f>
        <v>0</v>
      </c>
      <c r="AD315" s="21">
        <f>IFERROR(F315/'Ar-Pa'!F315,0)</f>
        <v>0</v>
      </c>
      <c r="AE315" s="21">
        <f>IFERROR(G315/'Ar-Pa'!G315,0)</f>
        <v>0</v>
      </c>
      <c r="AF315" s="21">
        <f>IFERROR(H315/'Ar-Pa'!H315,0)</f>
        <v>0</v>
      </c>
      <c r="AG315" s="21">
        <f>IFERROR(I315/'Ar-Pa'!I315,0)</f>
        <v>0</v>
      </c>
      <c r="AH315" s="21">
        <f>IFERROR(J315/'Ar-Pa'!J315,0)</f>
        <v>0</v>
      </c>
      <c r="AI315" s="21">
        <f>IFERROR(K315/'Ar-Pa'!K315,0)</f>
        <v>0</v>
      </c>
      <c r="AJ315" s="21">
        <f>IFERROR(L315/'Ar-Pa'!L315,0)</f>
        <v>0</v>
      </c>
      <c r="AK315" s="21">
        <f>IFERROR(M315/'Ar-Pa'!M315,0)</f>
        <v>0</v>
      </c>
      <c r="AL315" s="21">
        <f>IFERROR(N315/'Ar-Pa'!N315,0)</f>
        <v>0</v>
      </c>
      <c r="AM315" s="21">
        <f>IFERROR(O315/'Ar-Pa'!O315,0)</f>
        <v>0</v>
      </c>
      <c r="AN315" s="21">
        <f>IFERROR(P315/'Ar-Pa'!P315,0)</f>
        <v>0</v>
      </c>
      <c r="AO315" s="21">
        <f>IFERROR(Q315/'Ar-Pa'!Q315,0)</f>
        <v>0</v>
      </c>
      <c r="AP315" s="21">
        <f>IFERROR(R315/'Ar-Pa'!R315,0)</f>
        <v>0</v>
      </c>
      <c r="AQ315" s="21">
        <f>IFERROR(S315/'Ar-Pa'!S315,0)</f>
        <v>0</v>
      </c>
      <c r="AR315" s="21">
        <f>IFERROR(T315/'Ar-Pa'!T315,0)</f>
        <v>0</v>
      </c>
      <c r="AS315" s="21">
        <f>IFERROR(U315/'Ar-Pa'!U315,0)</f>
        <v>0</v>
      </c>
      <c r="AT315" s="21">
        <f>IFERROR(V315/'Ar-Pa'!V315,0)</f>
        <v>0</v>
      </c>
      <c r="AU315" s="21">
        <f>IFERROR(W315/'Ar-Pa'!W315,0)</f>
        <v>0</v>
      </c>
      <c r="AV315" s="21">
        <f>IFERROR(X315/'Ar-Pa'!X315,0)</f>
        <v>0</v>
      </c>
      <c r="AW315" s="21">
        <f>IFERROR(Y315/'Ar-Pa'!Y315,0)</f>
        <v>0</v>
      </c>
      <c r="AX315" s="21">
        <f t="shared" si="8"/>
        <v>0</v>
      </c>
    </row>
    <row r="316" spans="1:50">
      <c r="A316" s="15">
        <v>45241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21">
        <f>IFERROR(B316/'Ar-Pa'!B316,0)</f>
        <v>0</v>
      </c>
      <c r="AA316" s="21">
        <f>IFERROR(C316/'Ar-Pa'!C316,0)</f>
        <v>0</v>
      </c>
      <c r="AB316" s="21">
        <f>IFERROR(D316/'Ar-Pa'!D316,0)</f>
        <v>0</v>
      </c>
      <c r="AC316" s="21">
        <f>IFERROR(E316/'Ar-Pa'!E316,0)</f>
        <v>0</v>
      </c>
      <c r="AD316" s="21">
        <f>IFERROR(F316/'Ar-Pa'!F316,0)</f>
        <v>0</v>
      </c>
      <c r="AE316" s="21">
        <f>IFERROR(G316/'Ar-Pa'!G316,0)</f>
        <v>0</v>
      </c>
      <c r="AF316" s="21">
        <f>IFERROR(H316/'Ar-Pa'!H316,0)</f>
        <v>0</v>
      </c>
      <c r="AG316" s="21">
        <f>IFERROR(I316/'Ar-Pa'!I316,0)</f>
        <v>0</v>
      </c>
      <c r="AH316" s="21">
        <f>IFERROR(J316/'Ar-Pa'!J316,0)</f>
        <v>0</v>
      </c>
      <c r="AI316" s="21">
        <f>IFERROR(K316/'Ar-Pa'!K316,0)</f>
        <v>0</v>
      </c>
      <c r="AJ316" s="21">
        <f>IFERROR(L316/'Ar-Pa'!L316,0)</f>
        <v>0</v>
      </c>
      <c r="AK316" s="21">
        <f>IFERROR(M316/'Ar-Pa'!M316,0)</f>
        <v>0</v>
      </c>
      <c r="AL316" s="21">
        <f>IFERROR(N316/'Ar-Pa'!N316,0)</f>
        <v>0</v>
      </c>
      <c r="AM316" s="21">
        <f>IFERROR(O316/'Ar-Pa'!O316,0)</f>
        <v>0</v>
      </c>
      <c r="AN316" s="21">
        <f>IFERROR(P316/'Ar-Pa'!P316,0)</f>
        <v>0</v>
      </c>
      <c r="AO316" s="21">
        <f>IFERROR(Q316/'Ar-Pa'!Q316,0)</f>
        <v>0</v>
      </c>
      <c r="AP316" s="21">
        <f>IFERROR(R316/'Ar-Pa'!R316,0)</f>
        <v>0</v>
      </c>
      <c r="AQ316" s="21">
        <f>IFERROR(S316/'Ar-Pa'!S316,0)</f>
        <v>0</v>
      </c>
      <c r="AR316" s="21">
        <f>IFERROR(T316/'Ar-Pa'!T316,0)</f>
        <v>0</v>
      </c>
      <c r="AS316" s="21">
        <f>IFERROR(U316/'Ar-Pa'!U316,0)</f>
        <v>0</v>
      </c>
      <c r="AT316" s="21">
        <f>IFERROR(V316/'Ar-Pa'!V316,0)</f>
        <v>0</v>
      </c>
      <c r="AU316" s="21">
        <f>IFERROR(W316/'Ar-Pa'!W316,0)</f>
        <v>0</v>
      </c>
      <c r="AV316" s="21">
        <f>IFERROR(X316/'Ar-Pa'!X316,0)</f>
        <v>0</v>
      </c>
      <c r="AW316" s="21">
        <f>IFERROR(Y316/'Ar-Pa'!Y316,0)</f>
        <v>0</v>
      </c>
      <c r="AX316" s="21">
        <f t="shared" si="8"/>
        <v>0</v>
      </c>
    </row>
    <row r="317" spans="1:50">
      <c r="A317" s="15">
        <v>45242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21">
        <f>IFERROR(B317/'Ar-Pa'!B317,0)</f>
        <v>0</v>
      </c>
      <c r="AA317" s="21">
        <f>IFERROR(C317/'Ar-Pa'!C317,0)</f>
        <v>0</v>
      </c>
      <c r="AB317" s="21">
        <f>IFERROR(D317/'Ar-Pa'!D317,0)</f>
        <v>0</v>
      </c>
      <c r="AC317" s="21">
        <f>IFERROR(E317/'Ar-Pa'!E317,0)</f>
        <v>0</v>
      </c>
      <c r="AD317" s="21">
        <f>IFERROR(F317/'Ar-Pa'!F317,0)</f>
        <v>0</v>
      </c>
      <c r="AE317" s="21">
        <f>IFERROR(G317/'Ar-Pa'!G317,0)</f>
        <v>0</v>
      </c>
      <c r="AF317" s="21">
        <f>IFERROR(H317/'Ar-Pa'!H317,0)</f>
        <v>0</v>
      </c>
      <c r="AG317" s="21">
        <f>IFERROR(I317/'Ar-Pa'!I317,0)</f>
        <v>0</v>
      </c>
      <c r="AH317" s="21">
        <f>IFERROR(J317/'Ar-Pa'!J317,0)</f>
        <v>0</v>
      </c>
      <c r="AI317" s="21">
        <f>IFERROR(K317/'Ar-Pa'!K317,0)</f>
        <v>0</v>
      </c>
      <c r="AJ317" s="21">
        <f>IFERROR(L317/'Ar-Pa'!L317,0)</f>
        <v>0</v>
      </c>
      <c r="AK317" s="21">
        <f>IFERROR(M317/'Ar-Pa'!M317,0)</f>
        <v>0</v>
      </c>
      <c r="AL317" s="21">
        <f>IFERROR(N317/'Ar-Pa'!N317,0)</f>
        <v>0</v>
      </c>
      <c r="AM317" s="21">
        <f>IFERROR(O317/'Ar-Pa'!O317,0)</f>
        <v>0</v>
      </c>
      <c r="AN317" s="21">
        <f>IFERROR(P317/'Ar-Pa'!P317,0)</f>
        <v>0</v>
      </c>
      <c r="AO317" s="21">
        <f>IFERROR(Q317/'Ar-Pa'!Q317,0)</f>
        <v>0</v>
      </c>
      <c r="AP317" s="21">
        <f>IFERROR(R317/'Ar-Pa'!R317,0)</f>
        <v>0</v>
      </c>
      <c r="AQ317" s="21">
        <f>IFERROR(S317/'Ar-Pa'!S317,0)</f>
        <v>0</v>
      </c>
      <c r="AR317" s="21">
        <f>IFERROR(T317/'Ar-Pa'!T317,0)</f>
        <v>0</v>
      </c>
      <c r="AS317" s="21">
        <f>IFERROR(U317/'Ar-Pa'!U317,0)</f>
        <v>0</v>
      </c>
      <c r="AT317" s="21">
        <f>IFERROR(V317/'Ar-Pa'!V317,0)</f>
        <v>0</v>
      </c>
      <c r="AU317" s="21">
        <f>IFERROR(W317/'Ar-Pa'!W317,0)</f>
        <v>0</v>
      </c>
      <c r="AV317" s="21">
        <f>IFERROR(X317/'Ar-Pa'!X317,0)</f>
        <v>0</v>
      </c>
      <c r="AW317" s="21">
        <f>IFERROR(Y317/'Ar-Pa'!Y317,0)</f>
        <v>0</v>
      </c>
      <c r="AX317" s="21">
        <f t="shared" si="8"/>
        <v>0</v>
      </c>
    </row>
    <row r="318" spans="1:50">
      <c r="A318" s="15">
        <v>45243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21">
        <f>IFERROR(B318/'Ar-Pa'!B318,0)</f>
        <v>0</v>
      </c>
      <c r="AA318" s="21">
        <f>IFERROR(C318/'Ar-Pa'!C318,0)</f>
        <v>0</v>
      </c>
      <c r="AB318" s="21">
        <f>IFERROR(D318/'Ar-Pa'!D318,0)</f>
        <v>0</v>
      </c>
      <c r="AC318" s="21">
        <f>IFERROR(E318/'Ar-Pa'!E318,0)</f>
        <v>0</v>
      </c>
      <c r="AD318" s="21">
        <f>IFERROR(F318/'Ar-Pa'!F318,0)</f>
        <v>0</v>
      </c>
      <c r="AE318" s="21">
        <f>IFERROR(G318/'Ar-Pa'!G318,0)</f>
        <v>0</v>
      </c>
      <c r="AF318" s="21">
        <f>IFERROR(H318/'Ar-Pa'!H318,0)</f>
        <v>0</v>
      </c>
      <c r="AG318" s="21">
        <f>IFERROR(I318/'Ar-Pa'!I318,0)</f>
        <v>0</v>
      </c>
      <c r="AH318" s="21">
        <f>IFERROR(J318/'Ar-Pa'!J318,0)</f>
        <v>0</v>
      </c>
      <c r="AI318" s="21">
        <f>IFERROR(K318/'Ar-Pa'!K318,0)</f>
        <v>0</v>
      </c>
      <c r="AJ318" s="21">
        <f>IFERROR(L318/'Ar-Pa'!L318,0)</f>
        <v>0</v>
      </c>
      <c r="AK318" s="21">
        <f>IFERROR(M318/'Ar-Pa'!M318,0)</f>
        <v>0</v>
      </c>
      <c r="AL318" s="21">
        <f>IFERROR(N318/'Ar-Pa'!N318,0)</f>
        <v>0</v>
      </c>
      <c r="AM318" s="21">
        <f>IFERROR(O318/'Ar-Pa'!O318,0)</f>
        <v>0</v>
      </c>
      <c r="AN318" s="21">
        <f>IFERROR(P318/'Ar-Pa'!P318,0)</f>
        <v>0</v>
      </c>
      <c r="AO318" s="21">
        <f>IFERROR(Q318/'Ar-Pa'!Q318,0)</f>
        <v>0</v>
      </c>
      <c r="AP318" s="21">
        <f>IFERROR(R318/'Ar-Pa'!R318,0)</f>
        <v>0</v>
      </c>
      <c r="AQ318" s="21">
        <f>IFERROR(S318/'Ar-Pa'!S318,0)</f>
        <v>0</v>
      </c>
      <c r="AR318" s="21">
        <f>IFERROR(T318/'Ar-Pa'!T318,0)</f>
        <v>0</v>
      </c>
      <c r="AS318" s="21">
        <f>IFERROR(U318/'Ar-Pa'!U318,0)</f>
        <v>0</v>
      </c>
      <c r="AT318" s="21">
        <f>IFERROR(V318/'Ar-Pa'!V318,0)</f>
        <v>0</v>
      </c>
      <c r="AU318" s="21">
        <f>IFERROR(W318/'Ar-Pa'!W318,0)</f>
        <v>0</v>
      </c>
      <c r="AV318" s="21">
        <f>IFERROR(X318/'Ar-Pa'!X318,0)</f>
        <v>0</v>
      </c>
      <c r="AW318" s="21">
        <f>IFERROR(Y318/'Ar-Pa'!Y318,0)</f>
        <v>0</v>
      </c>
      <c r="AX318" s="21">
        <f t="shared" si="8"/>
        <v>0</v>
      </c>
    </row>
    <row r="319" spans="1:50">
      <c r="A319" s="15">
        <v>45244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21">
        <f>IFERROR(B319/'Ar-Pa'!B319,0)</f>
        <v>0</v>
      </c>
      <c r="AA319" s="21">
        <f>IFERROR(C319/'Ar-Pa'!C319,0)</f>
        <v>0</v>
      </c>
      <c r="AB319" s="21">
        <f>IFERROR(D319/'Ar-Pa'!D319,0)</f>
        <v>0</v>
      </c>
      <c r="AC319" s="21">
        <f>IFERROR(E319/'Ar-Pa'!E319,0)</f>
        <v>0</v>
      </c>
      <c r="AD319" s="21">
        <f>IFERROR(F319/'Ar-Pa'!F319,0)</f>
        <v>0</v>
      </c>
      <c r="AE319" s="21">
        <f>IFERROR(G319/'Ar-Pa'!G319,0)</f>
        <v>0</v>
      </c>
      <c r="AF319" s="21">
        <f>IFERROR(H319/'Ar-Pa'!H319,0)</f>
        <v>0</v>
      </c>
      <c r="AG319" s="21">
        <f>IFERROR(I319/'Ar-Pa'!I319,0)</f>
        <v>0</v>
      </c>
      <c r="AH319" s="21">
        <f>IFERROR(J319/'Ar-Pa'!J319,0)</f>
        <v>0</v>
      </c>
      <c r="AI319" s="21">
        <f>IFERROR(K319/'Ar-Pa'!K319,0)</f>
        <v>0</v>
      </c>
      <c r="AJ319" s="21">
        <f>IFERROR(L319/'Ar-Pa'!L319,0)</f>
        <v>0</v>
      </c>
      <c r="AK319" s="21">
        <f>IFERROR(M319/'Ar-Pa'!M319,0)</f>
        <v>0</v>
      </c>
      <c r="AL319" s="21">
        <f>IFERROR(N319/'Ar-Pa'!N319,0)</f>
        <v>0</v>
      </c>
      <c r="AM319" s="21">
        <f>IFERROR(O319/'Ar-Pa'!O319,0)</f>
        <v>0</v>
      </c>
      <c r="AN319" s="21">
        <f>IFERROR(P319/'Ar-Pa'!P319,0)</f>
        <v>0</v>
      </c>
      <c r="AO319" s="21">
        <f>IFERROR(Q319/'Ar-Pa'!Q319,0)</f>
        <v>0</v>
      </c>
      <c r="AP319" s="21">
        <f>IFERROR(R319/'Ar-Pa'!R319,0)</f>
        <v>0</v>
      </c>
      <c r="AQ319" s="21">
        <f>IFERROR(S319/'Ar-Pa'!S319,0)</f>
        <v>0</v>
      </c>
      <c r="AR319" s="21">
        <f>IFERROR(T319/'Ar-Pa'!T319,0)</f>
        <v>0</v>
      </c>
      <c r="AS319" s="21">
        <f>IFERROR(U319/'Ar-Pa'!U319,0)</f>
        <v>0</v>
      </c>
      <c r="AT319" s="21">
        <f>IFERROR(V319/'Ar-Pa'!V319,0)</f>
        <v>0</v>
      </c>
      <c r="AU319" s="21">
        <f>IFERROR(W319/'Ar-Pa'!W319,0)</f>
        <v>0</v>
      </c>
      <c r="AV319" s="21">
        <f>IFERROR(X319/'Ar-Pa'!X319,0)</f>
        <v>0</v>
      </c>
      <c r="AW319" s="21">
        <f>IFERROR(Y319/'Ar-Pa'!Y319,0)</f>
        <v>0</v>
      </c>
      <c r="AX319" s="21">
        <f t="shared" si="8"/>
        <v>0</v>
      </c>
    </row>
    <row r="320" spans="1:50">
      <c r="A320" s="15">
        <v>45245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21">
        <f>IFERROR(B320/'Ar-Pa'!B320,0)</f>
        <v>0</v>
      </c>
      <c r="AA320" s="21">
        <f>IFERROR(C320/'Ar-Pa'!C320,0)</f>
        <v>0</v>
      </c>
      <c r="AB320" s="21">
        <f>IFERROR(D320/'Ar-Pa'!D320,0)</f>
        <v>0</v>
      </c>
      <c r="AC320" s="21">
        <f>IFERROR(E320/'Ar-Pa'!E320,0)</f>
        <v>0</v>
      </c>
      <c r="AD320" s="21">
        <f>IFERROR(F320/'Ar-Pa'!F320,0)</f>
        <v>0</v>
      </c>
      <c r="AE320" s="21">
        <f>IFERROR(G320/'Ar-Pa'!G320,0)</f>
        <v>0</v>
      </c>
      <c r="AF320" s="21">
        <f>IFERROR(H320/'Ar-Pa'!H320,0)</f>
        <v>0</v>
      </c>
      <c r="AG320" s="21">
        <f>IFERROR(I320/'Ar-Pa'!I320,0)</f>
        <v>0</v>
      </c>
      <c r="AH320" s="21">
        <f>IFERROR(J320/'Ar-Pa'!J320,0)</f>
        <v>0</v>
      </c>
      <c r="AI320" s="21">
        <f>IFERROR(K320/'Ar-Pa'!K320,0)</f>
        <v>0</v>
      </c>
      <c r="AJ320" s="21">
        <f>IFERROR(L320/'Ar-Pa'!L320,0)</f>
        <v>0</v>
      </c>
      <c r="AK320" s="21">
        <f>IFERROR(M320/'Ar-Pa'!M320,0)</f>
        <v>0</v>
      </c>
      <c r="AL320" s="21">
        <f>IFERROR(N320/'Ar-Pa'!N320,0)</f>
        <v>0</v>
      </c>
      <c r="AM320" s="21">
        <f>IFERROR(O320/'Ar-Pa'!O320,0)</f>
        <v>0</v>
      </c>
      <c r="AN320" s="21">
        <f>IFERROR(P320/'Ar-Pa'!P320,0)</f>
        <v>0</v>
      </c>
      <c r="AO320" s="21">
        <f>IFERROR(Q320/'Ar-Pa'!Q320,0)</f>
        <v>0</v>
      </c>
      <c r="AP320" s="21">
        <f>IFERROR(R320/'Ar-Pa'!R320,0)</f>
        <v>0</v>
      </c>
      <c r="AQ320" s="21">
        <f>IFERROR(S320/'Ar-Pa'!S320,0)</f>
        <v>0</v>
      </c>
      <c r="AR320" s="21">
        <f>IFERROR(T320/'Ar-Pa'!T320,0)</f>
        <v>0</v>
      </c>
      <c r="AS320" s="21">
        <f>IFERROR(U320/'Ar-Pa'!U320,0)</f>
        <v>0</v>
      </c>
      <c r="AT320" s="21">
        <f>IFERROR(V320/'Ar-Pa'!V320,0)</f>
        <v>0</v>
      </c>
      <c r="AU320" s="21">
        <f>IFERROR(W320/'Ar-Pa'!W320,0)</f>
        <v>0</v>
      </c>
      <c r="AV320" s="21">
        <f>IFERROR(X320/'Ar-Pa'!X320,0)</f>
        <v>0</v>
      </c>
      <c r="AW320" s="21">
        <f>IFERROR(Y320/'Ar-Pa'!Y320,0)</f>
        <v>0</v>
      </c>
      <c r="AX320" s="21">
        <f t="shared" si="8"/>
        <v>0</v>
      </c>
    </row>
    <row r="321" spans="1:50">
      <c r="A321" s="15">
        <v>45246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21">
        <f>IFERROR(B321/'Ar-Pa'!B321,0)</f>
        <v>0</v>
      </c>
      <c r="AA321" s="21">
        <f>IFERROR(C321/'Ar-Pa'!C321,0)</f>
        <v>0</v>
      </c>
      <c r="AB321" s="21">
        <f>IFERROR(D321/'Ar-Pa'!D321,0)</f>
        <v>0</v>
      </c>
      <c r="AC321" s="21">
        <f>IFERROR(E321/'Ar-Pa'!E321,0)</f>
        <v>0</v>
      </c>
      <c r="AD321" s="21">
        <f>IFERROR(F321/'Ar-Pa'!F321,0)</f>
        <v>0</v>
      </c>
      <c r="AE321" s="21">
        <f>IFERROR(G321/'Ar-Pa'!G321,0)</f>
        <v>0</v>
      </c>
      <c r="AF321" s="21">
        <f>IFERROR(H321/'Ar-Pa'!H321,0)</f>
        <v>0</v>
      </c>
      <c r="AG321" s="21">
        <f>IFERROR(I321/'Ar-Pa'!I321,0)</f>
        <v>0</v>
      </c>
      <c r="AH321" s="21">
        <f>IFERROR(J321/'Ar-Pa'!J321,0)</f>
        <v>0</v>
      </c>
      <c r="AI321" s="21">
        <f>IFERROR(K321/'Ar-Pa'!K321,0)</f>
        <v>0</v>
      </c>
      <c r="AJ321" s="21">
        <f>IFERROR(L321/'Ar-Pa'!L321,0)</f>
        <v>0</v>
      </c>
      <c r="AK321" s="21">
        <f>IFERROR(M321/'Ar-Pa'!M321,0)</f>
        <v>0</v>
      </c>
      <c r="AL321" s="21">
        <f>IFERROR(N321/'Ar-Pa'!N321,0)</f>
        <v>0</v>
      </c>
      <c r="AM321" s="21">
        <f>IFERROR(O321/'Ar-Pa'!O321,0)</f>
        <v>0</v>
      </c>
      <c r="AN321" s="21">
        <f>IFERROR(P321/'Ar-Pa'!P321,0)</f>
        <v>0</v>
      </c>
      <c r="AO321" s="21">
        <f>IFERROR(Q321/'Ar-Pa'!Q321,0)</f>
        <v>0</v>
      </c>
      <c r="AP321" s="21">
        <f>IFERROR(R321/'Ar-Pa'!R321,0)</f>
        <v>0</v>
      </c>
      <c r="AQ321" s="21">
        <f>IFERROR(S321/'Ar-Pa'!S321,0)</f>
        <v>0</v>
      </c>
      <c r="AR321" s="21">
        <f>IFERROR(T321/'Ar-Pa'!T321,0)</f>
        <v>0</v>
      </c>
      <c r="AS321" s="21">
        <f>IFERROR(U321/'Ar-Pa'!U321,0)</f>
        <v>0</v>
      </c>
      <c r="AT321" s="21">
        <f>IFERROR(V321/'Ar-Pa'!V321,0)</f>
        <v>0</v>
      </c>
      <c r="AU321" s="21">
        <f>IFERROR(W321/'Ar-Pa'!W321,0)</f>
        <v>0</v>
      </c>
      <c r="AV321" s="21">
        <f>IFERROR(X321/'Ar-Pa'!X321,0)</f>
        <v>0</v>
      </c>
      <c r="AW321" s="21">
        <f>IFERROR(Y321/'Ar-Pa'!Y321,0)</f>
        <v>0</v>
      </c>
      <c r="AX321" s="21">
        <f t="shared" si="8"/>
        <v>0</v>
      </c>
    </row>
    <row r="322" spans="1:50">
      <c r="A322" s="15">
        <v>45247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21">
        <f>IFERROR(B322/'Ar-Pa'!B322,0)</f>
        <v>0</v>
      </c>
      <c r="AA322" s="21">
        <f>IFERROR(C322/'Ar-Pa'!C322,0)</f>
        <v>0</v>
      </c>
      <c r="AB322" s="21">
        <f>IFERROR(D322/'Ar-Pa'!D322,0)</f>
        <v>0</v>
      </c>
      <c r="AC322" s="21">
        <f>IFERROR(E322/'Ar-Pa'!E322,0)</f>
        <v>0</v>
      </c>
      <c r="AD322" s="21">
        <f>IFERROR(F322/'Ar-Pa'!F322,0)</f>
        <v>0</v>
      </c>
      <c r="AE322" s="21">
        <f>IFERROR(G322/'Ar-Pa'!G322,0)</f>
        <v>0</v>
      </c>
      <c r="AF322" s="21">
        <f>IFERROR(H322/'Ar-Pa'!H322,0)</f>
        <v>0</v>
      </c>
      <c r="AG322" s="21">
        <f>IFERROR(I322/'Ar-Pa'!I322,0)</f>
        <v>0</v>
      </c>
      <c r="AH322" s="21">
        <f>IFERROR(J322/'Ar-Pa'!J322,0)</f>
        <v>0</v>
      </c>
      <c r="AI322" s="21">
        <f>IFERROR(K322/'Ar-Pa'!K322,0)</f>
        <v>0</v>
      </c>
      <c r="AJ322" s="21">
        <f>IFERROR(L322/'Ar-Pa'!L322,0)</f>
        <v>0</v>
      </c>
      <c r="AK322" s="21">
        <f>IFERROR(M322/'Ar-Pa'!M322,0)</f>
        <v>0</v>
      </c>
      <c r="AL322" s="21">
        <f>IFERROR(N322/'Ar-Pa'!N322,0)</f>
        <v>0</v>
      </c>
      <c r="AM322" s="21">
        <f>IFERROR(O322/'Ar-Pa'!O322,0)</f>
        <v>0</v>
      </c>
      <c r="AN322" s="21">
        <f>IFERROR(P322/'Ar-Pa'!P322,0)</f>
        <v>0</v>
      </c>
      <c r="AO322" s="21">
        <f>IFERROR(Q322/'Ar-Pa'!Q322,0)</f>
        <v>0</v>
      </c>
      <c r="AP322" s="21">
        <f>IFERROR(R322/'Ar-Pa'!R322,0)</f>
        <v>0</v>
      </c>
      <c r="AQ322" s="21">
        <f>IFERROR(S322/'Ar-Pa'!S322,0)</f>
        <v>0</v>
      </c>
      <c r="AR322" s="21">
        <f>IFERROR(T322/'Ar-Pa'!T322,0)</f>
        <v>0</v>
      </c>
      <c r="AS322" s="21">
        <f>IFERROR(U322/'Ar-Pa'!U322,0)</f>
        <v>0</v>
      </c>
      <c r="AT322" s="21">
        <f>IFERROR(V322/'Ar-Pa'!V322,0)</f>
        <v>0</v>
      </c>
      <c r="AU322" s="21">
        <f>IFERROR(W322/'Ar-Pa'!W322,0)</f>
        <v>0</v>
      </c>
      <c r="AV322" s="21">
        <f>IFERROR(X322/'Ar-Pa'!X322,0)</f>
        <v>0</v>
      </c>
      <c r="AW322" s="21">
        <f>IFERROR(Y322/'Ar-Pa'!Y322,0)</f>
        <v>0</v>
      </c>
      <c r="AX322" s="21">
        <f t="shared" si="8"/>
        <v>0</v>
      </c>
    </row>
    <row r="323" spans="1:50">
      <c r="A323" s="15">
        <v>45248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21">
        <f>IFERROR(B323/'Ar-Pa'!B323,0)</f>
        <v>0</v>
      </c>
      <c r="AA323" s="21">
        <f>IFERROR(C323/'Ar-Pa'!C323,0)</f>
        <v>0</v>
      </c>
      <c r="AB323" s="21">
        <f>IFERROR(D323/'Ar-Pa'!D323,0)</f>
        <v>0</v>
      </c>
      <c r="AC323" s="21">
        <f>IFERROR(E323/'Ar-Pa'!E323,0)</f>
        <v>0</v>
      </c>
      <c r="AD323" s="21">
        <f>IFERROR(F323/'Ar-Pa'!F323,0)</f>
        <v>0</v>
      </c>
      <c r="AE323" s="21">
        <f>IFERROR(G323/'Ar-Pa'!G323,0)</f>
        <v>0</v>
      </c>
      <c r="AF323" s="21">
        <f>IFERROR(H323/'Ar-Pa'!H323,0)</f>
        <v>0</v>
      </c>
      <c r="AG323" s="21">
        <f>IFERROR(I323/'Ar-Pa'!I323,0)</f>
        <v>0</v>
      </c>
      <c r="AH323" s="21">
        <f>IFERROR(J323/'Ar-Pa'!J323,0)</f>
        <v>0</v>
      </c>
      <c r="AI323" s="21">
        <f>IFERROR(K323/'Ar-Pa'!K323,0)</f>
        <v>0</v>
      </c>
      <c r="AJ323" s="21">
        <f>IFERROR(L323/'Ar-Pa'!L323,0)</f>
        <v>0</v>
      </c>
      <c r="AK323" s="21">
        <f>IFERROR(M323/'Ar-Pa'!M323,0)</f>
        <v>0</v>
      </c>
      <c r="AL323" s="21">
        <f>IFERROR(N323/'Ar-Pa'!N323,0)</f>
        <v>0</v>
      </c>
      <c r="AM323" s="21">
        <f>IFERROR(O323/'Ar-Pa'!O323,0)</f>
        <v>0</v>
      </c>
      <c r="AN323" s="21">
        <f>IFERROR(P323/'Ar-Pa'!P323,0)</f>
        <v>0</v>
      </c>
      <c r="AO323" s="21">
        <f>IFERROR(Q323/'Ar-Pa'!Q323,0)</f>
        <v>0</v>
      </c>
      <c r="AP323" s="21">
        <f>IFERROR(R323/'Ar-Pa'!R323,0)</f>
        <v>0</v>
      </c>
      <c r="AQ323" s="21">
        <f>IFERROR(S323/'Ar-Pa'!S323,0)</f>
        <v>0</v>
      </c>
      <c r="AR323" s="21">
        <f>IFERROR(T323/'Ar-Pa'!T323,0)</f>
        <v>0</v>
      </c>
      <c r="AS323" s="21">
        <f>IFERROR(U323/'Ar-Pa'!U323,0)</f>
        <v>0</v>
      </c>
      <c r="AT323" s="21">
        <f>IFERROR(V323/'Ar-Pa'!V323,0)</f>
        <v>0</v>
      </c>
      <c r="AU323" s="21">
        <f>IFERROR(W323/'Ar-Pa'!W323,0)</f>
        <v>0</v>
      </c>
      <c r="AV323" s="21">
        <f>IFERROR(X323/'Ar-Pa'!X323,0)</f>
        <v>0</v>
      </c>
      <c r="AW323" s="21">
        <f>IFERROR(Y323/'Ar-Pa'!Y323,0)</f>
        <v>0</v>
      </c>
      <c r="AX323" s="21">
        <f t="shared" si="8"/>
        <v>0</v>
      </c>
    </row>
    <row r="324" spans="1:50">
      <c r="A324" s="15">
        <v>45249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21">
        <f>IFERROR(B324/'Ar-Pa'!B324,0)</f>
        <v>0</v>
      </c>
      <c r="AA324" s="21">
        <f>IFERROR(C324/'Ar-Pa'!C324,0)</f>
        <v>0</v>
      </c>
      <c r="AB324" s="21">
        <f>IFERROR(D324/'Ar-Pa'!D324,0)</f>
        <v>0</v>
      </c>
      <c r="AC324" s="21">
        <f>IFERROR(E324/'Ar-Pa'!E324,0)</f>
        <v>0</v>
      </c>
      <c r="AD324" s="21">
        <f>IFERROR(F324/'Ar-Pa'!F324,0)</f>
        <v>0</v>
      </c>
      <c r="AE324" s="21">
        <f>IFERROR(G324/'Ar-Pa'!G324,0)</f>
        <v>0</v>
      </c>
      <c r="AF324" s="21">
        <f>IFERROR(H324/'Ar-Pa'!H324,0)</f>
        <v>0</v>
      </c>
      <c r="AG324" s="21">
        <f>IFERROR(I324/'Ar-Pa'!I324,0)</f>
        <v>0</v>
      </c>
      <c r="AH324" s="21">
        <f>IFERROR(J324/'Ar-Pa'!J324,0)</f>
        <v>0</v>
      </c>
      <c r="AI324" s="21">
        <f>IFERROR(K324/'Ar-Pa'!K324,0)</f>
        <v>0</v>
      </c>
      <c r="AJ324" s="21">
        <f>IFERROR(L324/'Ar-Pa'!L324,0)</f>
        <v>0</v>
      </c>
      <c r="AK324" s="21">
        <f>IFERROR(M324/'Ar-Pa'!M324,0)</f>
        <v>0</v>
      </c>
      <c r="AL324" s="21">
        <f>IFERROR(N324/'Ar-Pa'!N324,0)</f>
        <v>0</v>
      </c>
      <c r="AM324" s="21">
        <f>IFERROR(O324/'Ar-Pa'!O324,0)</f>
        <v>0</v>
      </c>
      <c r="AN324" s="21">
        <f>IFERROR(P324/'Ar-Pa'!P324,0)</f>
        <v>0</v>
      </c>
      <c r="AO324" s="21">
        <f>IFERROR(Q324/'Ar-Pa'!Q324,0)</f>
        <v>0</v>
      </c>
      <c r="AP324" s="21">
        <f>IFERROR(R324/'Ar-Pa'!R324,0)</f>
        <v>0</v>
      </c>
      <c r="AQ324" s="21">
        <f>IFERROR(S324/'Ar-Pa'!S324,0)</f>
        <v>0</v>
      </c>
      <c r="AR324" s="21">
        <f>IFERROR(T324/'Ar-Pa'!T324,0)</f>
        <v>0</v>
      </c>
      <c r="AS324" s="21">
        <f>IFERROR(U324/'Ar-Pa'!U324,0)</f>
        <v>0</v>
      </c>
      <c r="AT324" s="21">
        <f>IFERROR(V324/'Ar-Pa'!V324,0)</f>
        <v>0</v>
      </c>
      <c r="AU324" s="21">
        <f>IFERROR(W324/'Ar-Pa'!W324,0)</f>
        <v>0</v>
      </c>
      <c r="AV324" s="21">
        <f>IFERROR(X324/'Ar-Pa'!X324,0)</f>
        <v>0</v>
      </c>
      <c r="AW324" s="21">
        <f>IFERROR(Y324/'Ar-Pa'!Y324,0)</f>
        <v>0</v>
      </c>
      <c r="AX324" s="21">
        <f t="shared" si="8"/>
        <v>0</v>
      </c>
    </row>
    <row r="325" spans="1:50">
      <c r="A325" s="15">
        <v>45250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21">
        <f>IFERROR(B325/'Ar-Pa'!B325,0)</f>
        <v>0</v>
      </c>
      <c r="AA325" s="21">
        <f>IFERROR(C325/'Ar-Pa'!C325,0)</f>
        <v>0</v>
      </c>
      <c r="AB325" s="21">
        <f>IFERROR(D325/'Ar-Pa'!D325,0)</f>
        <v>0</v>
      </c>
      <c r="AC325" s="21">
        <f>IFERROR(E325/'Ar-Pa'!E325,0)</f>
        <v>0</v>
      </c>
      <c r="AD325" s="21">
        <f>IFERROR(F325/'Ar-Pa'!F325,0)</f>
        <v>0</v>
      </c>
      <c r="AE325" s="21">
        <f>IFERROR(G325/'Ar-Pa'!G325,0)</f>
        <v>0</v>
      </c>
      <c r="AF325" s="21">
        <f>IFERROR(H325/'Ar-Pa'!H325,0)</f>
        <v>0</v>
      </c>
      <c r="AG325" s="21">
        <f>IFERROR(I325/'Ar-Pa'!I325,0)</f>
        <v>0</v>
      </c>
      <c r="AH325" s="21">
        <f>IFERROR(J325/'Ar-Pa'!J325,0)</f>
        <v>0</v>
      </c>
      <c r="AI325" s="21">
        <f>IFERROR(K325/'Ar-Pa'!K325,0)</f>
        <v>0</v>
      </c>
      <c r="AJ325" s="21">
        <f>IFERROR(L325/'Ar-Pa'!L325,0)</f>
        <v>0</v>
      </c>
      <c r="AK325" s="21">
        <f>IFERROR(M325/'Ar-Pa'!M325,0)</f>
        <v>0</v>
      </c>
      <c r="AL325" s="21">
        <f>IFERROR(N325/'Ar-Pa'!N325,0)</f>
        <v>0</v>
      </c>
      <c r="AM325" s="21">
        <f>IFERROR(O325/'Ar-Pa'!O325,0)</f>
        <v>0</v>
      </c>
      <c r="AN325" s="21">
        <f>IFERROR(P325/'Ar-Pa'!P325,0)</f>
        <v>0</v>
      </c>
      <c r="AO325" s="21">
        <f>IFERROR(Q325/'Ar-Pa'!Q325,0)</f>
        <v>0</v>
      </c>
      <c r="AP325" s="21">
        <f>IFERROR(R325/'Ar-Pa'!R325,0)</f>
        <v>0</v>
      </c>
      <c r="AQ325" s="21">
        <f>IFERROR(S325/'Ar-Pa'!S325,0)</f>
        <v>0</v>
      </c>
      <c r="AR325" s="21">
        <f>IFERROR(T325/'Ar-Pa'!T325,0)</f>
        <v>0</v>
      </c>
      <c r="AS325" s="21">
        <f>IFERROR(U325/'Ar-Pa'!U325,0)</f>
        <v>0</v>
      </c>
      <c r="AT325" s="21">
        <f>IFERROR(V325/'Ar-Pa'!V325,0)</f>
        <v>0</v>
      </c>
      <c r="AU325" s="21">
        <f>IFERROR(W325/'Ar-Pa'!W325,0)</f>
        <v>0</v>
      </c>
      <c r="AV325" s="21">
        <f>IFERROR(X325/'Ar-Pa'!X325,0)</f>
        <v>0</v>
      </c>
      <c r="AW325" s="21">
        <f>IFERROR(Y325/'Ar-Pa'!Y325,0)</f>
        <v>0</v>
      </c>
      <c r="AX325" s="21">
        <f t="shared" si="8"/>
        <v>0</v>
      </c>
    </row>
    <row r="326" spans="1:50">
      <c r="A326" s="15">
        <v>45251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21">
        <f>IFERROR(B326/'Ar-Pa'!B326,0)</f>
        <v>0</v>
      </c>
      <c r="AA326" s="21">
        <f>IFERROR(C326/'Ar-Pa'!C326,0)</f>
        <v>0</v>
      </c>
      <c r="AB326" s="21">
        <f>IFERROR(D326/'Ar-Pa'!D326,0)</f>
        <v>0</v>
      </c>
      <c r="AC326" s="21">
        <f>IFERROR(E326/'Ar-Pa'!E326,0)</f>
        <v>0</v>
      </c>
      <c r="AD326" s="21">
        <f>IFERROR(F326/'Ar-Pa'!F326,0)</f>
        <v>0</v>
      </c>
      <c r="AE326" s="21">
        <f>IFERROR(G326/'Ar-Pa'!G326,0)</f>
        <v>0</v>
      </c>
      <c r="AF326" s="21">
        <f>IFERROR(H326/'Ar-Pa'!H326,0)</f>
        <v>0</v>
      </c>
      <c r="AG326" s="21">
        <f>IFERROR(I326/'Ar-Pa'!I326,0)</f>
        <v>0</v>
      </c>
      <c r="AH326" s="21">
        <f>IFERROR(J326/'Ar-Pa'!J326,0)</f>
        <v>0</v>
      </c>
      <c r="AI326" s="21">
        <f>IFERROR(K326/'Ar-Pa'!K326,0)</f>
        <v>0</v>
      </c>
      <c r="AJ326" s="21">
        <f>IFERROR(L326/'Ar-Pa'!L326,0)</f>
        <v>0</v>
      </c>
      <c r="AK326" s="21">
        <f>IFERROR(M326/'Ar-Pa'!M326,0)</f>
        <v>0</v>
      </c>
      <c r="AL326" s="21">
        <f>IFERROR(N326/'Ar-Pa'!N326,0)</f>
        <v>0</v>
      </c>
      <c r="AM326" s="21">
        <f>IFERROR(O326/'Ar-Pa'!O326,0)</f>
        <v>0</v>
      </c>
      <c r="AN326" s="21">
        <f>IFERROR(P326/'Ar-Pa'!P326,0)</f>
        <v>0</v>
      </c>
      <c r="AO326" s="21">
        <f>IFERROR(Q326/'Ar-Pa'!Q326,0)</f>
        <v>0</v>
      </c>
      <c r="AP326" s="21">
        <f>IFERROR(R326/'Ar-Pa'!R326,0)</f>
        <v>0</v>
      </c>
      <c r="AQ326" s="21">
        <f>IFERROR(S326/'Ar-Pa'!S326,0)</f>
        <v>0</v>
      </c>
      <c r="AR326" s="21">
        <f>IFERROR(T326/'Ar-Pa'!T326,0)</f>
        <v>0</v>
      </c>
      <c r="AS326" s="21">
        <f>IFERROR(U326/'Ar-Pa'!U326,0)</f>
        <v>0</v>
      </c>
      <c r="AT326" s="21">
        <f>IFERROR(V326/'Ar-Pa'!V326,0)</f>
        <v>0</v>
      </c>
      <c r="AU326" s="21">
        <f>IFERROR(W326/'Ar-Pa'!W326,0)</f>
        <v>0</v>
      </c>
      <c r="AV326" s="21">
        <f>IFERROR(X326/'Ar-Pa'!X326,0)</f>
        <v>0</v>
      </c>
      <c r="AW326" s="21">
        <f>IFERROR(Y326/'Ar-Pa'!Y326,0)</f>
        <v>0</v>
      </c>
      <c r="AX326" s="21">
        <f t="shared" si="8"/>
        <v>0</v>
      </c>
    </row>
    <row r="327" spans="1:50">
      <c r="A327" s="15">
        <v>45252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21">
        <f>IFERROR(B327/'Ar-Pa'!B327,0)</f>
        <v>0</v>
      </c>
      <c r="AA327" s="21">
        <f>IFERROR(C327/'Ar-Pa'!C327,0)</f>
        <v>0</v>
      </c>
      <c r="AB327" s="21">
        <f>IFERROR(D327/'Ar-Pa'!D327,0)</f>
        <v>0</v>
      </c>
      <c r="AC327" s="21">
        <f>IFERROR(E327/'Ar-Pa'!E327,0)</f>
        <v>0</v>
      </c>
      <c r="AD327" s="21">
        <f>IFERROR(F327/'Ar-Pa'!F327,0)</f>
        <v>0</v>
      </c>
      <c r="AE327" s="21">
        <f>IFERROR(G327/'Ar-Pa'!G327,0)</f>
        <v>0</v>
      </c>
      <c r="AF327" s="21">
        <f>IFERROR(H327/'Ar-Pa'!H327,0)</f>
        <v>0</v>
      </c>
      <c r="AG327" s="21">
        <f>IFERROR(I327/'Ar-Pa'!I327,0)</f>
        <v>0</v>
      </c>
      <c r="AH327" s="21">
        <f>IFERROR(J327/'Ar-Pa'!J327,0)</f>
        <v>0</v>
      </c>
      <c r="AI327" s="21">
        <f>IFERROR(K327/'Ar-Pa'!K327,0)</f>
        <v>0</v>
      </c>
      <c r="AJ327" s="21">
        <f>IFERROR(L327/'Ar-Pa'!L327,0)</f>
        <v>0</v>
      </c>
      <c r="AK327" s="21">
        <f>IFERROR(M327/'Ar-Pa'!M327,0)</f>
        <v>0</v>
      </c>
      <c r="AL327" s="21">
        <f>IFERROR(N327/'Ar-Pa'!N327,0)</f>
        <v>0</v>
      </c>
      <c r="AM327" s="21">
        <f>IFERROR(O327/'Ar-Pa'!O327,0)</f>
        <v>0</v>
      </c>
      <c r="AN327" s="21">
        <f>IFERROR(P327/'Ar-Pa'!P327,0)</f>
        <v>0</v>
      </c>
      <c r="AO327" s="21">
        <f>IFERROR(Q327/'Ar-Pa'!Q327,0)</f>
        <v>0</v>
      </c>
      <c r="AP327" s="21">
        <f>IFERROR(R327/'Ar-Pa'!R327,0)</f>
        <v>0</v>
      </c>
      <c r="AQ327" s="21">
        <f>IFERROR(S327/'Ar-Pa'!S327,0)</f>
        <v>0</v>
      </c>
      <c r="AR327" s="21">
        <f>IFERROR(T327/'Ar-Pa'!T327,0)</f>
        <v>0</v>
      </c>
      <c r="AS327" s="21">
        <f>IFERROR(U327/'Ar-Pa'!U327,0)</f>
        <v>0</v>
      </c>
      <c r="AT327" s="21">
        <f>IFERROR(V327/'Ar-Pa'!V327,0)</f>
        <v>0</v>
      </c>
      <c r="AU327" s="21">
        <f>IFERROR(W327/'Ar-Pa'!W327,0)</f>
        <v>0</v>
      </c>
      <c r="AV327" s="21">
        <f>IFERROR(X327/'Ar-Pa'!X327,0)</f>
        <v>0</v>
      </c>
      <c r="AW327" s="21">
        <f>IFERROR(Y327/'Ar-Pa'!Y327,0)</f>
        <v>0</v>
      </c>
      <c r="AX327" s="21">
        <f t="shared" si="8"/>
        <v>0</v>
      </c>
    </row>
    <row r="328" spans="1:50">
      <c r="A328" s="15">
        <v>45253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21">
        <f>IFERROR(B328/'Ar-Pa'!B328,0)</f>
        <v>0</v>
      </c>
      <c r="AA328" s="21">
        <f>IFERROR(C328/'Ar-Pa'!C328,0)</f>
        <v>0</v>
      </c>
      <c r="AB328" s="21">
        <f>IFERROR(D328/'Ar-Pa'!D328,0)</f>
        <v>0</v>
      </c>
      <c r="AC328" s="21">
        <f>IFERROR(E328/'Ar-Pa'!E328,0)</f>
        <v>0</v>
      </c>
      <c r="AD328" s="21">
        <f>IFERROR(F328/'Ar-Pa'!F328,0)</f>
        <v>0</v>
      </c>
      <c r="AE328" s="21">
        <f>IFERROR(G328/'Ar-Pa'!G328,0)</f>
        <v>0</v>
      </c>
      <c r="AF328" s="21">
        <f>IFERROR(H328/'Ar-Pa'!H328,0)</f>
        <v>0</v>
      </c>
      <c r="AG328" s="21">
        <f>IFERROR(I328/'Ar-Pa'!I328,0)</f>
        <v>0</v>
      </c>
      <c r="AH328" s="21">
        <f>IFERROR(J328/'Ar-Pa'!J328,0)</f>
        <v>0</v>
      </c>
      <c r="AI328" s="21">
        <f>IFERROR(K328/'Ar-Pa'!K328,0)</f>
        <v>0</v>
      </c>
      <c r="AJ328" s="21">
        <f>IFERROR(L328/'Ar-Pa'!L328,0)</f>
        <v>0</v>
      </c>
      <c r="AK328" s="21">
        <f>IFERROR(M328/'Ar-Pa'!M328,0)</f>
        <v>0</v>
      </c>
      <c r="AL328" s="21">
        <f>IFERROR(N328/'Ar-Pa'!N328,0)</f>
        <v>0</v>
      </c>
      <c r="AM328" s="21">
        <f>IFERROR(O328/'Ar-Pa'!O328,0)</f>
        <v>0</v>
      </c>
      <c r="AN328" s="21">
        <f>IFERROR(P328/'Ar-Pa'!P328,0)</f>
        <v>0</v>
      </c>
      <c r="AO328" s="21">
        <f>IFERROR(Q328/'Ar-Pa'!Q328,0)</f>
        <v>0</v>
      </c>
      <c r="AP328" s="21">
        <f>IFERROR(R328/'Ar-Pa'!R328,0)</f>
        <v>0</v>
      </c>
      <c r="AQ328" s="21">
        <f>IFERROR(S328/'Ar-Pa'!S328,0)</f>
        <v>0</v>
      </c>
      <c r="AR328" s="21">
        <f>IFERROR(T328/'Ar-Pa'!T328,0)</f>
        <v>0</v>
      </c>
      <c r="AS328" s="21">
        <f>IFERROR(U328/'Ar-Pa'!U328,0)</f>
        <v>0</v>
      </c>
      <c r="AT328" s="21">
        <f>IFERROR(V328/'Ar-Pa'!V328,0)</f>
        <v>0</v>
      </c>
      <c r="AU328" s="21">
        <f>IFERROR(W328/'Ar-Pa'!W328,0)</f>
        <v>0</v>
      </c>
      <c r="AV328" s="21">
        <f>IFERROR(X328/'Ar-Pa'!X328,0)</f>
        <v>0</v>
      </c>
      <c r="AW328" s="21">
        <f>IFERROR(Y328/'Ar-Pa'!Y328,0)</f>
        <v>0</v>
      </c>
      <c r="AX328" s="21">
        <f t="shared" si="8"/>
        <v>0</v>
      </c>
    </row>
    <row r="329" spans="1:50">
      <c r="A329" s="15">
        <v>45254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21">
        <f>IFERROR(B329/'Ar-Pa'!B329,0)</f>
        <v>0</v>
      </c>
      <c r="AA329" s="21">
        <f>IFERROR(C329/'Ar-Pa'!C329,0)</f>
        <v>0</v>
      </c>
      <c r="AB329" s="21">
        <f>IFERROR(D329/'Ar-Pa'!D329,0)</f>
        <v>0</v>
      </c>
      <c r="AC329" s="21">
        <f>IFERROR(E329/'Ar-Pa'!E329,0)</f>
        <v>0</v>
      </c>
      <c r="AD329" s="21">
        <f>IFERROR(F329/'Ar-Pa'!F329,0)</f>
        <v>0</v>
      </c>
      <c r="AE329" s="21">
        <f>IFERROR(G329/'Ar-Pa'!G329,0)</f>
        <v>0</v>
      </c>
      <c r="AF329" s="21">
        <f>IFERROR(H329/'Ar-Pa'!H329,0)</f>
        <v>0</v>
      </c>
      <c r="AG329" s="21">
        <f>IFERROR(I329/'Ar-Pa'!I329,0)</f>
        <v>0</v>
      </c>
      <c r="AH329" s="21">
        <f>IFERROR(J329/'Ar-Pa'!J329,0)</f>
        <v>0</v>
      </c>
      <c r="AI329" s="21">
        <f>IFERROR(K329/'Ar-Pa'!K329,0)</f>
        <v>0</v>
      </c>
      <c r="AJ329" s="21">
        <f>IFERROR(L329/'Ar-Pa'!L329,0)</f>
        <v>0</v>
      </c>
      <c r="AK329" s="21">
        <f>IFERROR(M329/'Ar-Pa'!M329,0)</f>
        <v>0</v>
      </c>
      <c r="AL329" s="21">
        <f>IFERROR(N329/'Ar-Pa'!N329,0)</f>
        <v>0</v>
      </c>
      <c r="AM329" s="21">
        <f>IFERROR(O329/'Ar-Pa'!O329,0)</f>
        <v>0</v>
      </c>
      <c r="AN329" s="21">
        <f>IFERROR(P329/'Ar-Pa'!P329,0)</f>
        <v>0</v>
      </c>
      <c r="AO329" s="21">
        <f>IFERROR(Q329/'Ar-Pa'!Q329,0)</f>
        <v>0</v>
      </c>
      <c r="AP329" s="21">
        <f>IFERROR(R329/'Ar-Pa'!R329,0)</f>
        <v>0</v>
      </c>
      <c r="AQ329" s="21">
        <f>IFERROR(S329/'Ar-Pa'!S329,0)</f>
        <v>0</v>
      </c>
      <c r="AR329" s="21">
        <f>IFERROR(T329/'Ar-Pa'!T329,0)</f>
        <v>0</v>
      </c>
      <c r="AS329" s="21">
        <f>IFERROR(U329/'Ar-Pa'!U329,0)</f>
        <v>0</v>
      </c>
      <c r="AT329" s="21">
        <f>IFERROR(V329/'Ar-Pa'!V329,0)</f>
        <v>0</v>
      </c>
      <c r="AU329" s="21">
        <f>IFERROR(W329/'Ar-Pa'!W329,0)</f>
        <v>0</v>
      </c>
      <c r="AV329" s="21">
        <f>IFERROR(X329/'Ar-Pa'!X329,0)</f>
        <v>0</v>
      </c>
      <c r="AW329" s="21">
        <f>IFERROR(Y329/'Ar-Pa'!Y329,0)</f>
        <v>0</v>
      </c>
      <c r="AX329" s="21">
        <f t="shared" si="8"/>
        <v>0</v>
      </c>
    </row>
    <row r="330" spans="1:50">
      <c r="A330" s="15">
        <v>45255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21">
        <f>IFERROR(B330/'Ar-Pa'!B330,0)</f>
        <v>0</v>
      </c>
      <c r="AA330" s="21">
        <f>IFERROR(C330/'Ar-Pa'!C330,0)</f>
        <v>0</v>
      </c>
      <c r="AB330" s="21">
        <f>IFERROR(D330/'Ar-Pa'!D330,0)</f>
        <v>0</v>
      </c>
      <c r="AC330" s="21">
        <f>IFERROR(E330/'Ar-Pa'!E330,0)</f>
        <v>0</v>
      </c>
      <c r="AD330" s="21">
        <f>IFERROR(F330/'Ar-Pa'!F330,0)</f>
        <v>0</v>
      </c>
      <c r="AE330" s="21">
        <f>IFERROR(G330/'Ar-Pa'!G330,0)</f>
        <v>0</v>
      </c>
      <c r="AF330" s="21">
        <f>IFERROR(H330/'Ar-Pa'!H330,0)</f>
        <v>0</v>
      </c>
      <c r="AG330" s="21">
        <f>IFERROR(I330/'Ar-Pa'!I330,0)</f>
        <v>0</v>
      </c>
      <c r="AH330" s="21">
        <f>IFERROR(J330/'Ar-Pa'!J330,0)</f>
        <v>0</v>
      </c>
      <c r="AI330" s="21">
        <f>IFERROR(K330/'Ar-Pa'!K330,0)</f>
        <v>0</v>
      </c>
      <c r="AJ330" s="21">
        <f>IFERROR(L330/'Ar-Pa'!L330,0)</f>
        <v>0</v>
      </c>
      <c r="AK330" s="21">
        <f>IFERROR(M330/'Ar-Pa'!M330,0)</f>
        <v>0</v>
      </c>
      <c r="AL330" s="21">
        <f>IFERROR(N330/'Ar-Pa'!N330,0)</f>
        <v>0</v>
      </c>
      <c r="AM330" s="21">
        <f>IFERROR(O330/'Ar-Pa'!O330,0)</f>
        <v>0</v>
      </c>
      <c r="AN330" s="21">
        <f>IFERROR(P330/'Ar-Pa'!P330,0)</f>
        <v>0</v>
      </c>
      <c r="AO330" s="21">
        <f>IFERROR(Q330/'Ar-Pa'!Q330,0)</f>
        <v>0</v>
      </c>
      <c r="AP330" s="21">
        <f>IFERROR(R330/'Ar-Pa'!R330,0)</f>
        <v>0</v>
      </c>
      <c r="AQ330" s="21">
        <f>IFERROR(S330/'Ar-Pa'!S330,0)</f>
        <v>0</v>
      </c>
      <c r="AR330" s="21">
        <f>IFERROR(T330/'Ar-Pa'!T330,0)</f>
        <v>0</v>
      </c>
      <c r="AS330" s="21">
        <f>IFERROR(U330/'Ar-Pa'!U330,0)</f>
        <v>0</v>
      </c>
      <c r="AT330" s="21">
        <f>IFERROR(V330/'Ar-Pa'!V330,0)</f>
        <v>0</v>
      </c>
      <c r="AU330" s="21">
        <f>IFERROR(W330/'Ar-Pa'!W330,0)</f>
        <v>0</v>
      </c>
      <c r="AV330" s="21">
        <f>IFERROR(X330/'Ar-Pa'!X330,0)</f>
        <v>0</v>
      </c>
      <c r="AW330" s="21">
        <f>IFERROR(Y330/'Ar-Pa'!Y330,0)</f>
        <v>0</v>
      </c>
      <c r="AX330" s="21">
        <f t="shared" si="8"/>
        <v>0</v>
      </c>
    </row>
    <row r="331" spans="1:50">
      <c r="A331" s="15">
        <v>45256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21">
        <f>IFERROR(B331/'Ar-Pa'!B331,0)</f>
        <v>0</v>
      </c>
      <c r="AA331" s="21">
        <f>IFERROR(C331/'Ar-Pa'!C331,0)</f>
        <v>0</v>
      </c>
      <c r="AB331" s="21">
        <f>IFERROR(D331/'Ar-Pa'!D331,0)</f>
        <v>0</v>
      </c>
      <c r="AC331" s="21">
        <f>IFERROR(E331/'Ar-Pa'!E331,0)</f>
        <v>0</v>
      </c>
      <c r="AD331" s="21">
        <f>IFERROR(F331/'Ar-Pa'!F331,0)</f>
        <v>0</v>
      </c>
      <c r="AE331" s="21">
        <f>IFERROR(G331/'Ar-Pa'!G331,0)</f>
        <v>0</v>
      </c>
      <c r="AF331" s="21">
        <f>IFERROR(H331/'Ar-Pa'!H331,0)</f>
        <v>0</v>
      </c>
      <c r="AG331" s="21">
        <f>IFERROR(I331/'Ar-Pa'!I331,0)</f>
        <v>0</v>
      </c>
      <c r="AH331" s="21">
        <f>IFERROR(J331/'Ar-Pa'!J331,0)</f>
        <v>0</v>
      </c>
      <c r="AI331" s="21">
        <f>IFERROR(K331/'Ar-Pa'!K331,0)</f>
        <v>0</v>
      </c>
      <c r="AJ331" s="21">
        <f>IFERROR(L331/'Ar-Pa'!L331,0)</f>
        <v>0</v>
      </c>
      <c r="AK331" s="21">
        <f>IFERROR(M331/'Ar-Pa'!M331,0)</f>
        <v>0</v>
      </c>
      <c r="AL331" s="21">
        <f>IFERROR(N331/'Ar-Pa'!N331,0)</f>
        <v>0</v>
      </c>
      <c r="AM331" s="21">
        <f>IFERROR(O331/'Ar-Pa'!O331,0)</f>
        <v>0</v>
      </c>
      <c r="AN331" s="21">
        <f>IFERROR(P331/'Ar-Pa'!P331,0)</f>
        <v>0</v>
      </c>
      <c r="AO331" s="21">
        <f>IFERROR(Q331/'Ar-Pa'!Q331,0)</f>
        <v>0</v>
      </c>
      <c r="AP331" s="21">
        <f>IFERROR(R331/'Ar-Pa'!R331,0)</f>
        <v>0</v>
      </c>
      <c r="AQ331" s="21">
        <f>IFERROR(S331/'Ar-Pa'!S331,0)</f>
        <v>0</v>
      </c>
      <c r="AR331" s="21">
        <f>IFERROR(T331/'Ar-Pa'!T331,0)</f>
        <v>0</v>
      </c>
      <c r="AS331" s="21">
        <f>IFERROR(U331/'Ar-Pa'!U331,0)</f>
        <v>0</v>
      </c>
      <c r="AT331" s="21">
        <f>IFERROR(V331/'Ar-Pa'!V331,0)</f>
        <v>0</v>
      </c>
      <c r="AU331" s="21">
        <f>IFERROR(W331/'Ar-Pa'!W331,0)</f>
        <v>0</v>
      </c>
      <c r="AV331" s="21">
        <f>IFERROR(X331/'Ar-Pa'!X331,0)</f>
        <v>0</v>
      </c>
      <c r="AW331" s="21">
        <f>IFERROR(Y331/'Ar-Pa'!Y331,0)</f>
        <v>0</v>
      </c>
      <c r="AX331" s="21">
        <f t="shared" si="8"/>
        <v>0</v>
      </c>
    </row>
    <row r="332" spans="1:50">
      <c r="A332" s="15">
        <v>45257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21">
        <f>IFERROR(B332/'Ar-Pa'!B332,0)</f>
        <v>0</v>
      </c>
      <c r="AA332" s="21">
        <f>IFERROR(C332/'Ar-Pa'!C332,0)</f>
        <v>0</v>
      </c>
      <c r="AB332" s="21">
        <f>IFERROR(D332/'Ar-Pa'!D332,0)</f>
        <v>0</v>
      </c>
      <c r="AC332" s="21">
        <f>IFERROR(E332/'Ar-Pa'!E332,0)</f>
        <v>0</v>
      </c>
      <c r="AD332" s="21">
        <f>IFERROR(F332/'Ar-Pa'!F332,0)</f>
        <v>0</v>
      </c>
      <c r="AE332" s="21">
        <f>IFERROR(G332/'Ar-Pa'!G332,0)</f>
        <v>0</v>
      </c>
      <c r="AF332" s="21">
        <f>IFERROR(H332/'Ar-Pa'!H332,0)</f>
        <v>0</v>
      </c>
      <c r="AG332" s="21">
        <f>IFERROR(I332/'Ar-Pa'!I332,0)</f>
        <v>0</v>
      </c>
      <c r="AH332" s="21">
        <f>IFERROR(J332/'Ar-Pa'!J332,0)</f>
        <v>0</v>
      </c>
      <c r="AI332" s="21">
        <f>IFERROR(K332/'Ar-Pa'!K332,0)</f>
        <v>0</v>
      </c>
      <c r="AJ332" s="21">
        <f>IFERROR(L332/'Ar-Pa'!L332,0)</f>
        <v>0</v>
      </c>
      <c r="AK332" s="21">
        <f>IFERROR(M332/'Ar-Pa'!M332,0)</f>
        <v>0</v>
      </c>
      <c r="AL332" s="21">
        <f>IFERROR(N332/'Ar-Pa'!N332,0)</f>
        <v>0</v>
      </c>
      <c r="AM332" s="21">
        <f>IFERROR(O332/'Ar-Pa'!O332,0)</f>
        <v>0</v>
      </c>
      <c r="AN332" s="21">
        <f>IFERROR(P332/'Ar-Pa'!P332,0)</f>
        <v>0</v>
      </c>
      <c r="AO332" s="21">
        <f>IFERROR(Q332/'Ar-Pa'!Q332,0)</f>
        <v>0</v>
      </c>
      <c r="AP332" s="21">
        <f>IFERROR(R332/'Ar-Pa'!R332,0)</f>
        <v>0</v>
      </c>
      <c r="AQ332" s="21">
        <f>IFERROR(S332/'Ar-Pa'!S332,0)</f>
        <v>0</v>
      </c>
      <c r="AR332" s="21">
        <f>IFERROR(T332/'Ar-Pa'!T332,0)</f>
        <v>0</v>
      </c>
      <c r="AS332" s="21">
        <f>IFERROR(U332/'Ar-Pa'!U332,0)</f>
        <v>0</v>
      </c>
      <c r="AT332" s="21">
        <f>IFERROR(V332/'Ar-Pa'!V332,0)</f>
        <v>0</v>
      </c>
      <c r="AU332" s="21">
        <f>IFERROR(W332/'Ar-Pa'!W332,0)</f>
        <v>0</v>
      </c>
      <c r="AV332" s="21">
        <f>IFERROR(X332/'Ar-Pa'!X332,0)</f>
        <v>0</v>
      </c>
      <c r="AW332" s="21">
        <f>IFERROR(Y332/'Ar-Pa'!Y332,0)</f>
        <v>0</v>
      </c>
      <c r="AX332" s="21">
        <f t="shared" si="8"/>
        <v>0</v>
      </c>
    </row>
    <row r="333" spans="1:50">
      <c r="A333" s="15">
        <v>45258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21">
        <f>IFERROR(B333/'Ar-Pa'!B333,0)</f>
        <v>0</v>
      </c>
      <c r="AA333" s="21">
        <f>IFERROR(C333/'Ar-Pa'!C333,0)</f>
        <v>0</v>
      </c>
      <c r="AB333" s="21">
        <f>IFERROR(D333/'Ar-Pa'!D333,0)</f>
        <v>0</v>
      </c>
      <c r="AC333" s="21">
        <f>IFERROR(E333/'Ar-Pa'!E333,0)</f>
        <v>0</v>
      </c>
      <c r="AD333" s="21">
        <f>IFERROR(F333/'Ar-Pa'!F333,0)</f>
        <v>0</v>
      </c>
      <c r="AE333" s="21">
        <f>IFERROR(G333/'Ar-Pa'!G333,0)</f>
        <v>0</v>
      </c>
      <c r="AF333" s="21">
        <f>IFERROR(H333/'Ar-Pa'!H333,0)</f>
        <v>0</v>
      </c>
      <c r="AG333" s="21">
        <f>IFERROR(I333/'Ar-Pa'!I333,0)</f>
        <v>0</v>
      </c>
      <c r="AH333" s="21">
        <f>IFERROR(J333/'Ar-Pa'!J333,0)</f>
        <v>0</v>
      </c>
      <c r="AI333" s="21">
        <f>IFERROR(K333/'Ar-Pa'!K333,0)</f>
        <v>0</v>
      </c>
      <c r="AJ333" s="21">
        <f>IFERROR(L333/'Ar-Pa'!L333,0)</f>
        <v>0</v>
      </c>
      <c r="AK333" s="21">
        <f>IFERROR(M333/'Ar-Pa'!M333,0)</f>
        <v>0</v>
      </c>
      <c r="AL333" s="21">
        <f>IFERROR(N333/'Ar-Pa'!N333,0)</f>
        <v>0</v>
      </c>
      <c r="AM333" s="21">
        <f>IFERROR(O333/'Ar-Pa'!O333,0)</f>
        <v>0</v>
      </c>
      <c r="AN333" s="21">
        <f>IFERROR(P333/'Ar-Pa'!P333,0)</f>
        <v>0</v>
      </c>
      <c r="AO333" s="21">
        <f>IFERROR(Q333/'Ar-Pa'!Q333,0)</f>
        <v>0</v>
      </c>
      <c r="AP333" s="21">
        <f>IFERROR(R333/'Ar-Pa'!R333,0)</f>
        <v>0</v>
      </c>
      <c r="AQ333" s="21">
        <f>IFERROR(S333/'Ar-Pa'!S333,0)</f>
        <v>0</v>
      </c>
      <c r="AR333" s="21">
        <f>IFERROR(T333/'Ar-Pa'!T333,0)</f>
        <v>0</v>
      </c>
      <c r="AS333" s="21">
        <f>IFERROR(U333/'Ar-Pa'!U333,0)</f>
        <v>0</v>
      </c>
      <c r="AT333" s="21">
        <f>IFERROR(V333/'Ar-Pa'!V333,0)</f>
        <v>0</v>
      </c>
      <c r="AU333" s="21">
        <f>IFERROR(W333/'Ar-Pa'!W333,0)</f>
        <v>0</v>
      </c>
      <c r="AV333" s="21">
        <f>IFERROR(X333/'Ar-Pa'!X333,0)</f>
        <v>0</v>
      </c>
      <c r="AW333" s="21">
        <f>IFERROR(Y333/'Ar-Pa'!Y333,0)</f>
        <v>0</v>
      </c>
      <c r="AX333" s="21">
        <f t="shared" si="8"/>
        <v>0</v>
      </c>
    </row>
    <row r="334" spans="1:50">
      <c r="A334" s="15">
        <v>45259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21">
        <f>IFERROR(B334/'Ar-Pa'!B334,0)</f>
        <v>0</v>
      </c>
      <c r="AA334" s="21">
        <f>IFERROR(C334/'Ar-Pa'!C334,0)</f>
        <v>0</v>
      </c>
      <c r="AB334" s="21">
        <f>IFERROR(D334/'Ar-Pa'!D334,0)</f>
        <v>0</v>
      </c>
      <c r="AC334" s="21">
        <f>IFERROR(E334/'Ar-Pa'!E334,0)</f>
        <v>0</v>
      </c>
      <c r="AD334" s="21">
        <f>IFERROR(F334/'Ar-Pa'!F334,0)</f>
        <v>0</v>
      </c>
      <c r="AE334" s="21">
        <f>IFERROR(G334/'Ar-Pa'!G334,0)</f>
        <v>0</v>
      </c>
      <c r="AF334" s="21">
        <f>IFERROR(H334/'Ar-Pa'!H334,0)</f>
        <v>0</v>
      </c>
      <c r="AG334" s="21">
        <f>IFERROR(I334/'Ar-Pa'!I334,0)</f>
        <v>0</v>
      </c>
      <c r="AH334" s="21">
        <f>IFERROR(J334/'Ar-Pa'!J334,0)</f>
        <v>0</v>
      </c>
      <c r="AI334" s="21">
        <f>IFERROR(K334/'Ar-Pa'!K334,0)</f>
        <v>0</v>
      </c>
      <c r="AJ334" s="21">
        <f>IFERROR(L334/'Ar-Pa'!L334,0)</f>
        <v>0</v>
      </c>
      <c r="AK334" s="21">
        <f>IFERROR(M334/'Ar-Pa'!M334,0)</f>
        <v>0</v>
      </c>
      <c r="AL334" s="21">
        <f>IFERROR(N334/'Ar-Pa'!N334,0)</f>
        <v>0</v>
      </c>
      <c r="AM334" s="21">
        <f>IFERROR(O334/'Ar-Pa'!O334,0)</f>
        <v>0</v>
      </c>
      <c r="AN334" s="21">
        <f>IFERROR(P334/'Ar-Pa'!P334,0)</f>
        <v>0</v>
      </c>
      <c r="AO334" s="21">
        <f>IFERROR(Q334/'Ar-Pa'!Q334,0)</f>
        <v>0</v>
      </c>
      <c r="AP334" s="21">
        <f>IFERROR(R334/'Ar-Pa'!R334,0)</f>
        <v>0</v>
      </c>
      <c r="AQ334" s="21">
        <f>IFERROR(S334/'Ar-Pa'!S334,0)</f>
        <v>0</v>
      </c>
      <c r="AR334" s="21">
        <f>IFERROR(T334/'Ar-Pa'!T334,0)</f>
        <v>0</v>
      </c>
      <c r="AS334" s="21">
        <f>IFERROR(U334/'Ar-Pa'!U334,0)</f>
        <v>0</v>
      </c>
      <c r="AT334" s="21">
        <f>IFERROR(V334/'Ar-Pa'!V334,0)</f>
        <v>0</v>
      </c>
      <c r="AU334" s="21">
        <f>IFERROR(W334/'Ar-Pa'!W334,0)</f>
        <v>0</v>
      </c>
      <c r="AV334" s="21">
        <f>IFERROR(X334/'Ar-Pa'!X334,0)</f>
        <v>0</v>
      </c>
      <c r="AW334" s="21">
        <f>IFERROR(Y334/'Ar-Pa'!Y334,0)</f>
        <v>0</v>
      </c>
      <c r="AX334" s="21">
        <f t="shared" si="8"/>
        <v>0</v>
      </c>
    </row>
    <row r="335" spans="1:50">
      <c r="A335" s="15">
        <v>45260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21">
        <f>IFERROR(B335/'Ar-Pa'!B335,0)</f>
        <v>0</v>
      </c>
      <c r="AA335" s="21">
        <f>IFERROR(C335/'Ar-Pa'!C335,0)</f>
        <v>0</v>
      </c>
      <c r="AB335" s="21">
        <f>IFERROR(D335/'Ar-Pa'!D335,0)</f>
        <v>0</v>
      </c>
      <c r="AC335" s="21">
        <f>IFERROR(E335/'Ar-Pa'!E335,0)</f>
        <v>0</v>
      </c>
      <c r="AD335" s="21">
        <f>IFERROR(F335/'Ar-Pa'!F335,0)</f>
        <v>0</v>
      </c>
      <c r="AE335" s="21">
        <f>IFERROR(G335/'Ar-Pa'!G335,0)</f>
        <v>0</v>
      </c>
      <c r="AF335" s="21">
        <f>IFERROR(H335/'Ar-Pa'!H335,0)</f>
        <v>0</v>
      </c>
      <c r="AG335" s="21">
        <f>IFERROR(I335/'Ar-Pa'!I335,0)</f>
        <v>0</v>
      </c>
      <c r="AH335" s="21">
        <f>IFERROR(J335/'Ar-Pa'!J335,0)</f>
        <v>0</v>
      </c>
      <c r="AI335" s="21">
        <f>IFERROR(K335/'Ar-Pa'!K335,0)</f>
        <v>0</v>
      </c>
      <c r="AJ335" s="21">
        <f>IFERROR(L335/'Ar-Pa'!L335,0)</f>
        <v>0</v>
      </c>
      <c r="AK335" s="21">
        <f>IFERROR(M335/'Ar-Pa'!M335,0)</f>
        <v>0</v>
      </c>
      <c r="AL335" s="21">
        <f>IFERROR(N335/'Ar-Pa'!N335,0)</f>
        <v>0</v>
      </c>
      <c r="AM335" s="21">
        <f>IFERROR(O335/'Ar-Pa'!O335,0)</f>
        <v>0</v>
      </c>
      <c r="AN335" s="21">
        <f>IFERROR(P335/'Ar-Pa'!P335,0)</f>
        <v>0</v>
      </c>
      <c r="AO335" s="21">
        <f>IFERROR(Q335/'Ar-Pa'!Q335,0)</f>
        <v>0</v>
      </c>
      <c r="AP335" s="21">
        <f>IFERROR(R335/'Ar-Pa'!R335,0)</f>
        <v>0</v>
      </c>
      <c r="AQ335" s="21">
        <f>IFERROR(S335/'Ar-Pa'!S335,0)</f>
        <v>0</v>
      </c>
      <c r="AR335" s="21">
        <f>IFERROR(T335/'Ar-Pa'!T335,0)</f>
        <v>0</v>
      </c>
      <c r="AS335" s="21">
        <f>IFERROR(U335/'Ar-Pa'!U335,0)</f>
        <v>0</v>
      </c>
      <c r="AT335" s="21">
        <f>IFERROR(V335/'Ar-Pa'!V335,0)</f>
        <v>0</v>
      </c>
      <c r="AU335" s="21">
        <f>IFERROR(W335/'Ar-Pa'!W335,0)</f>
        <v>0</v>
      </c>
      <c r="AV335" s="21">
        <f>IFERROR(X335/'Ar-Pa'!X335,0)</f>
        <v>0</v>
      </c>
      <c r="AW335" s="21">
        <f>IFERROR(Y335/'Ar-Pa'!Y335,0)</f>
        <v>0</v>
      </c>
      <c r="AX335" s="21">
        <f t="shared" si="8"/>
        <v>0</v>
      </c>
    </row>
    <row r="336" spans="1:50">
      <c r="A336" s="15">
        <v>45261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21">
        <f>IFERROR(B336/'Ar-Pa'!B336,0)</f>
        <v>0</v>
      </c>
      <c r="AA336" s="21">
        <f>IFERROR(C336/'Ar-Pa'!C336,0)</f>
        <v>0</v>
      </c>
      <c r="AB336" s="21">
        <f>IFERROR(D336/'Ar-Pa'!D336,0)</f>
        <v>0</v>
      </c>
      <c r="AC336" s="21">
        <f>IFERROR(E336/'Ar-Pa'!E336,0)</f>
        <v>0</v>
      </c>
      <c r="AD336" s="21">
        <f>IFERROR(F336/'Ar-Pa'!F336,0)</f>
        <v>0</v>
      </c>
      <c r="AE336" s="21">
        <f>IFERROR(G336/'Ar-Pa'!G336,0)</f>
        <v>0</v>
      </c>
      <c r="AF336" s="21">
        <f>IFERROR(H336/'Ar-Pa'!H336,0)</f>
        <v>0</v>
      </c>
      <c r="AG336" s="21">
        <f>IFERROR(I336/'Ar-Pa'!I336,0)</f>
        <v>0</v>
      </c>
      <c r="AH336" s="21">
        <f>IFERROR(J336/'Ar-Pa'!J336,0)</f>
        <v>0</v>
      </c>
      <c r="AI336" s="21">
        <f>IFERROR(K336/'Ar-Pa'!K336,0)</f>
        <v>0</v>
      </c>
      <c r="AJ336" s="21">
        <f>IFERROR(L336/'Ar-Pa'!L336,0)</f>
        <v>0</v>
      </c>
      <c r="AK336" s="21">
        <f>IFERROR(M336/'Ar-Pa'!M336,0)</f>
        <v>0</v>
      </c>
      <c r="AL336" s="21">
        <f>IFERROR(N336/'Ar-Pa'!N336,0)</f>
        <v>0</v>
      </c>
      <c r="AM336" s="21">
        <f>IFERROR(O336/'Ar-Pa'!O336,0)</f>
        <v>0</v>
      </c>
      <c r="AN336" s="21">
        <f>IFERROR(P336/'Ar-Pa'!P336,0)</f>
        <v>0</v>
      </c>
      <c r="AO336" s="21">
        <f>IFERROR(Q336/'Ar-Pa'!Q336,0)</f>
        <v>0</v>
      </c>
      <c r="AP336" s="21">
        <f>IFERROR(R336/'Ar-Pa'!R336,0)</f>
        <v>0</v>
      </c>
      <c r="AQ336" s="21">
        <f>IFERROR(S336/'Ar-Pa'!S336,0)</f>
        <v>0</v>
      </c>
      <c r="AR336" s="21">
        <f>IFERROR(T336/'Ar-Pa'!T336,0)</f>
        <v>0</v>
      </c>
      <c r="AS336" s="21">
        <f>IFERROR(U336/'Ar-Pa'!U336,0)</f>
        <v>0</v>
      </c>
      <c r="AT336" s="21">
        <f>IFERROR(V336/'Ar-Pa'!V336,0)</f>
        <v>0</v>
      </c>
      <c r="AU336" s="21">
        <f>IFERROR(W336/'Ar-Pa'!W336,0)</f>
        <v>0</v>
      </c>
      <c r="AV336" s="21">
        <f>IFERROR(X336/'Ar-Pa'!X336,0)</f>
        <v>0</v>
      </c>
      <c r="AW336" s="21">
        <f>IFERROR(Y336/'Ar-Pa'!Y336,0)</f>
        <v>0</v>
      </c>
      <c r="AX336" s="21">
        <f t="shared" si="8"/>
        <v>0</v>
      </c>
    </row>
    <row r="337" spans="1:50">
      <c r="A337" s="15">
        <v>45262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21">
        <f>IFERROR(B337/'Ar-Pa'!B337,0)</f>
        <v>0</v>
      </c>
      <c r="AA337" s="21">
        <f>IFERROR(C337/'Ar-Pa'!C337,0)</f>
        <v>0</v>
      </c>
      <c r="AB337" s="21">
        <f>IFERROR(D337/'Ar-Pa'!D337,0)</f>
        <v>0</v>
      </c>
      <c r="AC337" s="21">
        <f>IFERROR(E337/'Ar-Pa'!E337,0)</f>
        <v>0</v>
      </c>
      <c r="AD337" s="21">
        <f>IFERROR(F337/'Ar-Pa'!F337,0)</f>
        <v>0</v>
      </c>
      <c r="AE337" s="21">
        <f>IFERROR(G337/'Ar-Pa'!G337,0)</f>
        <v>0</v>
      </c>
      <c r="AF337" s="21">
        <f>IFERROR(H337/'Ar-Pa'!H337,0)</f>
        <v>0</v>
      </c>
      <c r="AG337" s="21">
        <f>IFERROR(I337/'Ar-Pa'!I337,0)</f>
        <v>0</v>
      </c>
      <c r="AH337" s="21">
        <f>IFERROR(J337/'Ar-Pa'!J337,0)</f>
        <v>0</v>
      </c>
      <c r="AI337" s="21">
        <f>IFERROR(K337/'Ar-Pa'!K337,0)</f>
        <v>0</v>
      </c>
      <c r="AJ337" s="21">
        <f>IFERROR(L337/'Ar-Pa'!L337,0)</f>
        <v>0</v>
      </c>
      <c r="AK337" s="21">
        <f>IFERROR(M337/'Ar-Pa'!M337,0)</f>
        <v>0</v>
      </c>
      <c r="AL337" s="21">
        <f>IFERROR(N337/'Ar-Pa'!N337,0)</f>
        <v>0</v>
      </c>
      <c r="AM337" s="21">
        <f>IFERROR(O337/'Ar-Pa'!O337,0)</f>
        <v>0</v>
      </c>
      <c r="AN337" s="21">
        <f>IFERROR(P337/'Ar-Pa'!P337,0)</f>
        <v>0</v>
      </c>
      <c r="AO337" s="21">
        <f>IFERROR(Q337/'Ar-Pa'!Q337,0)</f>
        <v>0</v>
      </c>
      <c r="AP337" s="21">
        <f>IFERROR(R337/'Ar-Pa'!R337,0)</f>
        <v>0</v>
      </c>
      <c r="AQ337" s="21">
        <f>IFERROR(S337/'Ar-Pa'!S337,0)</f>
        <v>0</v>
      </c>
      <c r="AR337" s="21">
        <f>IFERROR(T337/'Ar-Pa'!T337,0)</f>
        <v>0</v>
      </c>
      <c r="AS337" s="21">
        <f>IFERROR(U337/'Ar-Pa'!U337,0)</f>
        <v>0</v>
      </c>
      <c r="AT337" s="21">
        <f>IFERROR(V337/'Ar-Pa'!V337,0)</f>
        <v>0</v>
      </c>
      <c r="AU337" s="21">
        <f>IFERROR(W337/'Ar-Pa'!W337,0)</f>
        <v>0</v>
      </c>
      <c r="AV337" s="21">
        <f>IFERROR(X337/'Ar-Pa'!X337,0)</f>
        <v>0</v>
      </c>
      <c r="AW337" s="21">
        <f>IFERROR(Y337/'Ar-Pa'!Y337,0)</f>
        <v>0</v>
      </c>
      <c r="AX337" s="21">
        <f>SUM(Z337:AW337)</f>
        <v>0</v>
      </c>
    </row>
    <row r="338" spans="1:50">
      <c r="A338" s="15">
        <v>45263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21">
        <f>IFERROR(B338/'Ar-Pa'!B338,0)</f>
        <v>0</v>
      </c>
      <c r="AA338" s="21">
        <f>IFERROR(C338/'Ar-Pa'!C338,0)</f>
        <v>0</v>
      </c>
      <c r="AB338" s="21">
        <f>IFERROR(D338/'Ar-Pa'!D338,0)</f>
        <v>0</v>
      </c>
      <c r="AC338" s="21">
        <f>IFERROR(E338/'Ar-Pa'!E338,0)</f>
        <v>0</v>
      </c>
      <c r="AD338" s="21">
        <f>IFERROR(F338/'Ar-Pa'!F338,0)</f>
        <v>0</v>
      </c>
      <c r="AE338" s="21">
        <f>IFERROR(G338/'Ar-Pa'!G338,0)</f>
        <v>0</v>
      </c>
      <c r="AF338" s="21">
        <f>IFERROR(H338/'Ar-Pa'!H338,0)</f>
        <v>0</v>
      </c>
      <c r="AG338" s="21">
        <f>IFERROR(I338/'Ar-Pa'!I338,0)</f>
        <v>0</v>
      </c>
      <c r="AH338" s="21">
        <f>IFERROR(J338/'Ar-Pa'!J338,0)</f>
        <v>0</v>
      </c>
      <c r="AI338" s="21">
        <f>IFERROR(K338/'Ar-Pa'!K338,0)</f>
        <v>0</v>
      </c>
      <c r="AJ338" s="21">
        <f>IFERROR(L338/'Ar-Pa'!L338,0)</f>
        <v>0</v>
      </c>
      <c r="AK338" s="21">
        <f>IFERROR(M338/'Ar-Pa'!M338,0)</f>
        <v>0</v>
      </c>
      <c r="AL338" s="21">
        <f>IFERROR(N338/'Ar-Pa'!N338,0)</f>
        <v>0</v>
      </c>
      <c r="AM338" s="21">
        <f>IFERROR(O338/'Ar-Pa'!O338,0)</f>
        <v>0</v>
      </c>
      <c r="AN338" s="21">
        <f>IFERROR(P338/'Ar-Pa'!P338,0)</f>
        <v>0</v>
      </c>
      <c r="AO338" s="21">
        <f>IFERROR(Q338/'Ar-Pa'!Q338,0)</f>
        <v>0</v>
      </c>
      <c r="AP338" s="21">
        <f>IFERROR(R338/'Ar-Pa'!R338,0)</f>
        <v>0</v>
      </c>
      <c r="AQ338" s="21">
        <f>IFERROR(S338/'Ar-Pa'!S338,0)</f>
        <v>0</v>
      </c>
      <c r="AR338" s="21">
        <f>IFERROR(T338/'Ar-Pa'!T338,0)</f>
        <v>0</v>
      </c>
      <c r="AS338" s="21">
        <f>IFERROR(U338/'Ar-Pa'!U338,0)</f>
        <v>0</v>
      </c>
      <c r="AT338" s="21">
        <f>IFERROR(V338/'Ar-Pa'!V338,0)</f>
        <v>0</v>
      </c>
      <c r="AU338" s="21">
        <f>IFERROR(W338/'Ar-Pa'!W338,0)</f>
        <v>0</v>
      </c>
      <c r="AV338" s="21">
        <f>IFERROR(X338/'Ar-Pa'!X338,0)</f>
        <v>0</v>
      </c>
      <c r="AW338" s="21">
        <f>IFERROR(Y338/'Ar-Pa'!Y338,0)</f>
        <v>0</v>
      </c>
      <c r="AX338" s="21">
        <f>SUM(Z338:AW338)</f>
        <v>0</v>
      </c>
    </row>
    <row r="339" spans="1:50">
      <c r="A339" s="15">
        <v>45264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21">
        <f>IFERROR(B339/'Ar-Pa'!B339,0)</f>
        <v>0</v>
      </c>
      <c r="AA339" s="21">
        <f>IFERROR(C339/'Ar-Pa'!C339,0)</f>
        <v>0</v>
      </c>
      <c r="AB339" s="21">
        <f>IFERROR(D339/'Ar-Pa'!D339,0)</f>
        <v>0</v>
      </c>
      <c r="AC339" s="21">
        <f>IFERROR(E339/'Ar-Pa'!E339,0)</f>
        <v>0</v>
      </c>
      <c r="AD339" s="21">
        <f>IFERROR(F339/'Ar-Pa'!F339,0)</f>
        <v>0</v>
      </c>
      <c r="AE339" s="21">
        <f>IFERROR(G339/'Ar-Pa'!G339,0)</f>
        <v>0</v>
      </c>
      <c r="AF339" s="21">
        <f>IFERROR(H339/'Ar-Pa'!H339,0)</f>
        <v>0</v>
      </c>
      <c r="AG339" s="21">
        <f>IFERROR(I339/'Ar-Pa'!I339,0)</f>
        <v>0</v>
      </c>
      <c r="AH339" s="21">
        <f>IFERROR(J339/'Ar-Pa'!J339,0)</f>
        <v>0</v>
      </c>
      <c r="AI339" s="21">
        <f>IFERROR(K339/'Ar-Pa'!K339,0)</f>
        <v>0</v>
      </c>
      <c r="AJ339" s="21">
        <f>IFERROR(L339/'Ar-Pa'!L339,0)</f>
        <v>0</v>
      </c>
      <c r="AK339" s="21">
        <f>IFERROR(M339/'Ar-Pa'!M339,0)</f>
        <v>0</v>
      </c>
      <c r="AL339" s="21">
        <f>IFERROR(N339/'Ar-Pa'!N339,0)</f>
        <v>0</v>
      </c>
      <c r="AM339" s="21">
        <f>IFERROR(O339/'Ar-Pa'!O339,0)</f>
        <v>0</v>
      </c>
      <c r="AN339" s="21">
        <f>IFERROR(P339/'Ar-Pa'!P339,0)</f>
        <v>0</v>
      </c>
      <c r="AO339" s="21">
        <f>IFERROR(Q339/'Ar-Pa'!Q339,0)</f>
        <v>0</v>
      </c>
      <c r="AP339" s="21">
        <f>IFERROR(R339/'Ar-Pa'!R339,0)</f>
        <v>0</v>
      </c>
      <c r="AQ339" s="21">
        <f>IFERROR(S339/'Ar-Pa'!S339,0)</f>
        <v>0</v>
      </c>
      <c r="AR339" s="21">
        <f>IFERROR(T339/'Ar-Pa'!T339,0)</f>
        <v>0</v>
      </c>
      <c r="AS339" s="21">
        <f>IFERROR(U339/'Ar-Pa'!U339,0)</f>
        <v>0</v>
      </c>
      <c r="AT339" s="21">
        <f>IFERROR(V339/'Ar-Pa'!V339,0)</f>
        <v>0</v>
      </c>
      <c r="AU339" s="21">
        <f>IFERROR(W339/'Ar-Pa'!W339,0)</f>
        <v>0</v>
      </c>
      <c r="AV339" s="21">
        <f>IFERROR(X339/'Ar-Pa'!X339,0)</f>
        <v>0</v>
      </c>
      <c r="AW339" s="21">
        <f>IFERROR(Y339/'Ar-Pa'!Y339,0)</f>
        <v>0</v>
      </c>
      <c r="AX339" s="21">
        <f t="shared" ref="AX339:AX366" si="9">SUM(Z339:AW339)</f>
        <v>0</v>
      </c>
    </row>
    <row r="340" spans="1:50">
      <c r="A340" s="15">
        <v>45265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21">
        <f>IFERROR(B340/'Ar-Pa'!B340,0)</f>
        <v>0</v>
      </c>
      <c r="AA340" s="21">
        <f>IFERROR(C340/'Ar-Pa'!C340,0)</f>
        <v>0</v>
      </c>
      <c r="AB340" s="21">
        <f>IFERROR(D340/'Ar-Pa'!D340,0)</f>
        <v>0</v>
      </c>
      <c r="AC340" s="21">
        <f>IFERROR(E340/'Ar-Pa'!E340,0)</f>
        <v>0</v>
      </c>
      <c r="AD340" s="21">
        <f>IFERROR(F340/'Ar-Pa'!F340,0)</f>
        <v>0</v>
      </c>
      <c r="AE340" s="21">
        <f>IFERROR(G340/'Ar-Pa'!G340,0)</f>
        <v>0</v>
      </c>
      <c r="AF340" s="21">
        <f>IFERROR(H340/'Ar-Pa'!H340,0)</f>
        <v>0</v>
      </c>
      <c r="AG340" s="21">
        <f>IFERROR(I340/'Ar-Pa'!I340,0)</f>
        <v>0</v>
      </c>
      <c r="AH340" s="21">
        <f>IFERROR(J340/'Ar-Pa'!J340,0)</f>
        <v>0</v>
      </c>
      <c r="AI340" s="21">
        <f>IFERROR(K340/'Ar-Pa'!K340,0)</f>
        <v>0</v>
      </c>
      <c r="AJ340" s="21">
        <f>IFERROR(L340/'Ar-Pa'!L340,0)</f>
        <v>0</v>
      </c>
      <c r="AK340" s="21">
        <f>IFERROR(M340/'Ar-Pa'!M340,0)</f>
        <v>0</v>
      </c>
      <c r="AL340" s="21">
        <f>IFERROR(N340/'Ar-Pa'!N340,0)</f>
        <v>0</v>
      </c>
      <c r="AM340" s="21">
        <f>IFERROR(O340/'Ar-Pa'!O340,0)</f>
        <v>0</v>
      </c>
      <c r="AN340" s="21">
        <f>IFERROR(P340/'Ar-Pa'!P340,0)</f>
        <v>0</v>
      </c>
      <c r="AO340" s="21">
        <f>IFERROR(Q340/'Ar-Pa'!Q340,0)</f>
        <v>0</v>
      </c>
      <c r="AP340" s="21">
        <f>IFERROR(R340/'Ar-Pa'!R340,0)</f>
        <v>0</v>
      </c>
      <c r="AQ340" s="21">
        <f>IFERROR(S340/'Ar-Pa'!S340,0)</f>
        <v>0</v>
      </c>
      <c r="AR340" s="21">
        <f>IFERROR(T340/'Ar-Pa'!T340,0)</f>
        <v>0</v>
      </c>
      <c r="AS340" s="21">
        <f>IFERROR(U340/'Ar-Pa'!U340,0)</f>
        <v>0</v>
      </c>
      <c r="AT340" s="21">
        <f>IFERROR(V340/'Ar-Pa'!V340,0)</f>
        <v>0</v>
      </c>
      <c r="AU340" s="21">
        <f>IFERROR(W340/'Ar-Pa'!W340,0)</f>
        <v>0</v>
      </c>
      <c r="AV340" s="21">
        <f>IFERROR(X340/'Ar-Pa'!X340,0)</f>
        <v>0</v>
      </c>
      <c r="AW340" s="21">
        <f>IFERROR(Y340/'Ar-Pa'!Y340,0)</f>
        <v>0</v>
      </c>
      <c r="AX340" s="21">
        <f t="shared" si="9"/>
        <v>0</v>
      </c>
    </row>
    <row r="341" spans="1:50">
      <c r="A341" s="15">
        <v>45266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21">
        <f>IFERROR(B341/'Ar-Pa'!B341,0)</f>
        <v>0</v>
      </c>
      <c r="AA341" s="21">
        <f>IFERROR(C341/'Ar-Pa'!C341,0)</f>
        <v>0</v>
      </c>
      <c r="AB341" s="21">
        <f>IFERROR(D341/'Ar-Pa'!D341,0)</f>
        <v>0</v>
      </c>
      <c r="AC341" s="21">
        <f>IFERROR(E341/'Ar-Pa'!E341,0)</f>
        <v>0</v>
      </c>
      <c r="AD341" s="21">
        <f>IFERROR(F341/'Ar-Pa'!F341,0)</f>
        <v>0</v>
      </c>
      <c r="AE341" s="21">
        <f>IFERROR(G341/'Ar-Pa'!G341,0)</f>
        <v>0</v>
      </c>
      <c r="AF341" s="21">
        <f>IFERROR(H341/'Ar-Pa'!H341,0)</f>
        <v>0</v>
      </c>
      <c r="AG341" s="21">
        <f>IFERROR(I341/'Ar-Pa'!I341,0)</f>
        <v>0</v>
      </c>
      <c r="AH341" s="21">
        <f>IFERROR(J341/'Ar-Pa'!J341,0)</f>
        <v>0</v>
      </c>
      <c r="AI341" s="21">
        <f>IFERROR(K341/'Ar-Pa'!K341,0)</f>
        <v>0</v>
      </c>
      <c r="AJ341" s="21">
        <f>IFERROR(L341/'Ar-Pa'!L341,0)</f>
        <v>0</v>
      </c>
      <c r="AK341" s="21">
        <f>IFERROR(M341/'Ar-Pa'!M341,0)</f>
        <v>0</v>
      </c>
      <c r="AL341" s="21">
        <f>IFERROR(N341/'Ar-Pa'!N341,0)</f>
        <v>0</v>
      </c>
      <c r="AM341" s="21">
        <f>IFERROR(O341/'Ar-Pa'!O341,0)</f>
        <v>0</v>
      </c>
      <c r="AN341" s="21">
        <f>IFERROR(P341/'Ar-Pa'!P341,0)</f>
        <v>0</v>
      </c>
      <c r="AO341" s="21">
        <f>IFERROR(Q341/'Ar-Pa'!Q341,0)</f>
        <v>0</v>
      </c>
      <c r="AP341" s="21">
        <f>IFERROR(R341/'Ar-Pa'!R341,0)</f>
        <v>0</v>
      </c>
      <c r="AQ341" s="21">
        <f>IFERROR(S341/'Ar-Pa'!S341,0)</f>
        <v>0</v>
      </c>
      <c r="AR341" s="21">
        <f>IFERROR(T341/'Ar-Pa'!T341,0)</f>
        <v>0</v>
      </c>
      <c r="AS341" s="21">
        <f>IFERROR(U341/'Ar-Pa'!U341,0)</f>
        <v>0</v>
      </c>
      <c r="AT341" s="21">
        <f>IFERROR(V341/'Ar-Pa'!V341,0)</f>
        <v>0</v>
      </c>
      <c r="AU341" s="21">
        <f>IFERROR(W341/'Ar-Pa'!W341,0)</f>
        <v>0</v>
      </c>
      <c r="AV341" s="21">
        <f>IFERROR(X341/'Ar-Pa'!X341,0)</f>
        <v>0</v>
      </c>
      <c r="AW341" s="21">
        <f>IFERROR(Y341/'Ar-Pa'!Y341,0)</f>
        <v>0</v>
      </c>
      <c r="AX341" s="21">
        <f t="shared" si="9"/>
        <v>0</v>
      </c>
    </row>
    <row r="342" spans="1:50">
      <c r="A342" s="15">
        <v>45267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21">
        <f>IFERROR(B342/'Ar-Pa'!B342,0)</f>
        <v>0</v>
      </c>
      <c r="AA342" s="21">
        <f>IFERROR(C342/'Ar-Pa'!C342,0)</f>
        <v>0</v>
      </c>
      <c r="AB342" s="21">
        <f>IFERROR(D342/'Ar-Pa'!D342,0)</f>
        <v>0</v>
      </c>
      <c r="AC342" s="21">
        <f>IFERROR(E342/'Ar-Pa'!E342,0)</f>
        <v>0</v>
      </c>
      <c r="AD342" s="21">
        <f>IFERROR(F342/'Ar-Pa'!F342,0)</f>
        <v>0</v>
      </c>
      <c r="AE342" s="21">
        <f>IFERROR(G342/'Ar-Pa'!G342,0)</f>
        <v>0</v>
      </c>
      <c r="AF342" s="21">
        <f>IFERROR(H342/'Ar-Pa'!H342,0)</f>
        <v>0</v>
      </c>
      <c r="AG342" s="21">
        <f>IFERROR(I342/'Ar-Pa'!I342,0)</f>
        <v>0</v>
      </c>
      <c r="AH342" s="21">
        <f>IFERROR(J342/'Ar-Pa'!J342,0)</f>
        <v>0</v>
      </c>
      <c r="AI342" s="21">
        <f>IFERROR(K342/'Ar-Pa'!K342,0)</f>
        <v>0</v>
      </c>
      <c r="AJ342" s="21">
        <f>IFERROR(L342/'Ar-Pa'!L342,0)</f>
        <v>0</v>
      </c>
      <c r="AK342" s="21">
        <f>IFERROR(M342/'Ar-Pa'!M342,0)</f>
        <v>0</v>
      </c>
      <c r="AL342" s="21">
        <f>IFERROR(N342/'Ar-Pa'!N342,0)</f>
        <v>0</v>
      </c>
      <c r="AM342" s="21">
        <f>IFERROR(O342/'Ar-Pa'!O342,0)</f>
        <v>0</v>
      </c>
      <c r="AN342" s="21">
        <f>IFERROR(P342/'Ar-Pa'!P342,0)</f>
        <v>0</v>
      </c>
      <c r="AO342" s="21">
        <f>IFERROR(Q342/'Ar-Pa'!Q342,0)</f>
        <v>0</v>
      </c>
      <c r="AP342" s="21">
        <f>IFERROR(R342/'Ar-Pa'!R342,0)</f>
        <v>0</v>
      </c>
      <c r="AQ342" s="21">
        <f>IFERROR(S342/'Ar-Pa'!S342,0)</f>
        <v>0</v>
      </c>
      <c r="AR342" s="21">
        <f>IFERROR(T342/'Ar-Pa'!T342,0)</f>
        <v>0</v>
      </c>
      <c r="AS342" s="21">
        <f>IFERROR(U342/'Ar-Pa'!U342,0)</f>
        <v>0</v>
      </c>
      <c r="AT342" s="21">
        <f>IFERROR(V342/'Ar-Pa'!V342,0)</f>
        <v>0</v>
      </c>
      <c r="AU342" s="21">
        <f>IFERROR(W342/'Ar-Pa'!W342,0)</f>
        <v>0</v>
      </c>
      <c r="AV342" s="21">
        <f>IFERROR(X342/'Ar-Pa'!X342,0)</f>
        <v>0</v>
      </c>
      <c r="AW342" s="21">
        <f>IFERROR(Y342/'Ar-Pa'!Y342,0)</f>
        <v>0</v>
      </c>
      <c r="AX342" s="21">
        <f t="shared" si="9"/>
        <v>0</v>
      </c>
    </row>
    <row r="343" spans="1:50">
      <c r="A343" s="15">
        <v>45268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21">
        <f>IFERROR(B343/'Ar-Pa'!B343,0)</f>
        <v>0</v>
      </c>
      <c r="AA343" s="21">
        <f>IFERROR(C343/'Ar-Pa'!C343,0)</f>
        <v>0</v>
      </c>
      <c r="AB343" s="21">
        <f>IFERROR(D343/'Ar-Pa'!D343,0)</f>
        <v>0</v>
      </c>
      <c r="AC343" s="21">
        <f>IFERROR(E343/'Ar-Pa'!E343,0)</f>
        <v>0</v>
      </c>
      <c r="AD343" s="21">
        <f>IFERROR(F343/'Ar-Pa'!F343,0)</f>
        <v>0</v>
      </c>
      <c r="AE343" s="21">
        <f>IFERROR(G343/'Ar-Pa'!G343,0)</f>
        <v>0</v>
      </c>
      <c r="AF343" s="21">
        <f>IFERROR(H343/'Ar-Pa'!H343,0)</f>
        <v>0</v>
      </c>
      <c r="AG343" s="21">
        <f>IFERROR(I343/'Ar-Pa'!I343,0)</f>
        <v>0</v>
      </c>
      <c r="AH343" s="21">
        <f>IFERROR(J343/'Ar-Pa'!J343,0)</f>
        <v>0</v>
      </c>
      <c r="AI343" s="21">
        <f>IFERROR(K343/'Ar-Pa'!K343,0)</f>
        <v>0</v>
      </c>
      <c r="AJ343" s="21">
        <f>IFERROR(L343/'Ar-Pa'!L343,0)</f>
        <v>0</v>
      </c>
      <c r="AK343" s="21">
        <f>IFERROR(M343/'Ar-Pa'!M343,0)</f>
        <v>0</v>
      </c>
      <c r="AL343" s="21">
        <f>IFERROR(N343/'Ar-Pa'!N343,0)</f>
        <v>0</v>
      </c>
      <c r="AM343" s="21">
        <f>IFERROR(O343/'Ar-Pa'!O343,0)</f>
        <v>0</v>
      </c>
      <c r="AN343" s="21">
        <f>IFERROR(P343/'Ar-Pa'!P343,0)</f>
        <v>0</v>
      </c>
      <c r="AO343" s="21">
        <f>IFERROR(Q343/'Ar-Pa'!Q343,0)</f>
        <v>0</v>
      </c>
      <c r="AP343" s="21">
        <f>IFERROR(R343/'Ar-Pa'!R343,0)</f>
        <v>0</v>
      </c>
      <c r="AQ343" s="21">
        <f>IFERROR(S343/'Ar-Pa'!S343,0)</f>
        <v>0</v>
      </c>
      <c r="AR343" s="21">
        <f>IFERROR(T343/'Ar-Pa'!T343,0)</f>
        <v>0</v>
      </c>
      <c r="AS343" s="21">
        <f>IFERROR(U343/'Ar-Pa'!U343,0)</f>
        <v>0</v>
      </c>
      <c r="AT343" s="21">
        <f>IFERROR(V343/'Ar-Pa'!V343,0)</f>
        <v>0</v>
      </c>
      <c r="AU343" s="21">
        <f>IFERROR(W343/'Ar-Pa'!W343,0)</f>
        <v>0</v>
      </c>
      <c r="AV343" s="21">
        <f>IFERROR(X343/'Ar-Pa'!X343,0)</f>
        <v>0</v>
      </c>
      <c r="AW343" s="21">
        <f>IFERROR(Y343/'Ar-Pa'!Y343,0)</f>
        <v>0</v>
      </c>
      <c r="AX343" s="21">
        <f t="shared" si="9"/>
        <v>0</v>
      </c>
    </row>
    <row r="344" spans="1:50">
      <c r="A344" s="15">
        <v>45269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21">
        <f>IFERROR(B344/'Ar-Pa'!B344,0)</f>
        <v>0</v>
      </c>
      <c r="AA344" s="21">
        <f>IFERROR(C344/'Ar-Pa'!C344,0)</f>
        <v>0</v>
      </c>
      <c r="AB344" s="21">
        <f>IFERROR(D344/'Ar-Pa'!D344,0)</f>
        <v>0</v>
      </c>
      <c r="AC344" s="21">
        <f>IFERROR(E344/'Ar-Pa'!E344,0)</f>
        <v>0</v>
      </c>
      <c r="AD344" s="21">
        <f>IFERROR(F344/'Ar-Pa'!F344,0)</f>
        <v>0</v>
      </c>
      <c r="AE344" s="21">
        <f>IFERROR(G344/'Ar-Pa'!G344,0)</f>
        <v>0</v>
      </c>
      <c r="AF344" s="21">
        <f>IFERROR(H344/'Ar-Pa'!H344,0)</f>
        <v>0</v>
      </c>
      <c r="AG344" s="21">
        <f>IFERROR(I344/'Ar-Pa'!I344,0)</f>
        <v>0</v>
      </c>
      <c r="AH344" s="21">
        <f>IFERROR(J344/'Ar-Pa'!J344,0)</f>
        <v>0</v>
      </c>
      <c r="AI344" s="21">
        <f>IFERROR(K344/'Ar-Pa'!K344,0)</f>
        <v>0</v>
      </c>
      <c r="AJ344" s="21">
        <f>IFERROR(L344/'Ar-Pa'!L344,0)</f>
        <v>0</v>
      </c>
      <c r="AK344" s="21">
        <f>IFERROR(M344/'Ar-Pa'!M344,0)</f>
        <v>0</v>
      </c>
      <c r="AL344" s="21">
        <f>IFERROR(N344/'Ar-Pa'!N344,0)</f>
        <v>0</v>
      </c>
      <c r="AM344" s="21">
        <f>IFERROR(O344/'Ar-Pa'!O344,0)</f>
        <v>0</v>
      </c>
      <c r="AN344" s="21">
        <f>IFERROR(P344/'Ar-Pa'!P344,0)</f>
        <v>0</v>
      </c>
      <c r="AO344" s="21">
        <f>IFERROR(Q344/'Ar-Pa'!Q344,0)</f>
        <v>0</v>
      </c>
      <c r="AP344" s="21">
        <f>IFERROR(R344/'Ar-Pa'!R344,0)</f>
        <v>0</v>
      </c>
      <c r="AQ344" s="21">
        <f>IFERROR(S344/'Ar-Pa'!S344,0)</f>
        <v>0</v>
      </c>
      <c r="AR344" s="21">
        <f>IFERROR(T344/'Ar-Pa'!T344,0)</f>
        <v>0</v>
      </c>
      <c r="AS344" s="21">
        <f>IFERROR(U344/'Ar-Pa'!U344,0)</f>
        <v>0</v>
      </c>
      <c r="AT344" s="21">
        <f>IFERROR(V344/'Ar-Pa'!V344,0)</f>
        <v>0</v>
      </c>
      <c r="AU344" s="21">
        <f>IFERROR(W344/'Ar-Pa'!W344,0)</f>
        <v>0</v>
      </c>
      <c r="AV344" s="21">
        <f>IFERROR(X344/'Ar-Pa'!X344,0)</f>
        <v>0</v>
      </c>
      <c r="AW344" s="21">
        <f>IFERROR(Y344/'Ar-Pa'!Y344,0)</f>
        <v>0</v>
      </c>
      <c r="AX344" s="21">
        <f t="shared" si="9"/>
        <v>0</v>
      </c>
    </row>
    <row r="345" spans="1:50">
      <c r="A345" s="15">
        <v>45270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21">
        <f>IFERROR(B345/'Ar-Pa'!B345,0)</f>
        <v>0</v>
      </c>
      <c r="AA345" s="21">
        <f>IFERROR(C345/'Ar-Pa'!C345,0)</f>
        <v>0</v>
      </c>
      <c r="AB345" s="21">
        <f>IFERROR(D345/'Ar-Pa'!D345,0)</f>
        <v>0</v>
      </c>
      <c r="AC345" s="21">
        <f>IFERROR(E345/'Ar-Pa'!E345,0)</f>
        <v>0</v>
      </c>
      <c r="AD345" s="21">
        <f>IFERROR(F345/'Ar-Pa'!F345,0)</f>
        <v>0</v>
      </c>
      <c r="AE345" s="21">
        <f>IFERROR(G345/'Ar-Pa'!G345,0)</f>
        <v>0</v>
      </c>
      <c r="AF345" s="21">
        <f>IFERROR(H345/'Ar-Pa'!H345,0)</f>
        <v>0</v>
      </c>
      <c r="AG345" s="21">
        <f>IFERROR(I345/'Ar-Pa'!I345,0)</f>
        <v>0</v>
      </c>
      <c r="AH345" s="21">
        <f>IFERROR(J345/'Ar-Pa'!J345,0)</f>
        <v>0</v>
      </c>
      <c r="AI345" s="21">
        <f>IFERROR(K345/'Ar-Pa'!K345,0)</f>
        <v>0</v>
      </c>
      <c r="AJ345" s="21">
        <f>IFERROR(L345/'Ar-Pa'!L345,0)</f>
        <v>0</v>
      </c>
      <c r="AK345" s="21">
        <f>IFERROR(M345/'Ar-Pa'!M345,0)</f>
        <v>0</v>
      </c>
      <c r="AL345" s="21">
        <f>IFERROR(N345/'Ar-Pa'!N345,0)</f>
        <v>0</v>
      </c>
      <c r="AM345" s="21">
        <f>IFERROR(O345/'Ar-Pa'!O345,0)</f>
        <v>0</v>
      </c>
      <c r="AN345" s="21">
        <f>IFERROR(P345/'Ar-Pa'!P345,0)</f>
        <v>0</v>
      </c>
      <c r="AO345" s="21">
        <f>IFERROR(Q345/'Ar-Pa'!Q345,0)</f>
        <v>0</v>
      </c>
      <c r="AP345" s="21">
        <f>IFERROR(R345/'Ar-Pa'!R345,0)</f>
        <v>0</v>
      </c>
      <c r="AQ345" s="21">
        <f>IFERROR(S345/'Ar-Pa'!S345,0)</f>
        <v>0</v>
      </c>
      <c r="AR345" s="21">
        <f>IFERROR(T345/'Ar-Pa'!T345,0)</f>
        <v>0</v>
      </c>
      <c r="AS345" s="21">
        <f>IFERROR(U345/'Ar-Pa'!U345,0)</f>
        <v>0</v>
      </c>
      <c r="AT345" s="21">
        <f>IFERROR(V345/'Ar-Pa'!V345,0)</f>
        <v>0</v>
      </c>
      <c r="AU345" s="21">
        <f>IFERROR(W345/'Ar-Pa'!W345,0)</f>
        <v>0</v>
      </c>
      <c r="AV345" s="21">
        <f>IFERROR(X345/'Ar-Pa'!X345,0)</f>
        <v>0</v>
      </c>
      <c r="AW345" s="21">
        <f>IFERROR(Y345/'Ar-Pa'!Y345,0)</f>
        <v>0</v>
      </c>
      <c r="AX345" s="21">
        <f t="shared" si="9"/>
        <v>0</v>
      </c>
    </row>
    <row r="346" spans="1:50">
      <c r="A346" s="15">
        <v>45271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21">
        <f>IFERROR(B346/'Ar-Pa'!B346,0)</f>
        <v>0</v>
      </c>
      <c r="AA346" s="21">
        <f>IFERROR(C346/'Ar-Pa'!C346,0)</f>
        <v>0</v>
      </c>
      <c r="AB346" s="21">
        <f>IFERROR(D346/'Ar-Pa'!D346,0)</f>
        <v>0</v>
      </c>
      <c r="AC346" s="21">
        <f>IFERROR(E346/'Ar-Pa'!E346,0)</f>
        <v>0</v>
      </c>
      <c r="AD346" s="21">
        <f>IFERROR(F346/'Ar-Pa'!F346,0)</f>
        <v>0</v>
      </c>
      <c r="AE346" s="21">
        <f>IFERROR(G346/'Ar-Pa'!G346,0)</f>
        <v>0</v>
      </c>
      <c r="AF346" s="21">
        <f>IFERROR(H346/'Ar-Pa'!H346,0)</f>
        <v>0</v>
      </c>
      <c r="AG346" s="21">
        <f>IFERROR(I346/'Ar-Pa'!I346,0)</f>
        <v>0</v>
      </c>
      <c r="AH346" s="21">
        <f>IFERROR(J346/'Ar-Pa'!J346,0)</f>
        <v>0</v>
      </c>
      <c r="AI346" s="21">
        <f>IFERROR(K346/'Ar-Pa'!K346,0)</f>
        <v>0</v>
      </c>
      <c r="AJ346" s="21">
        <f>IFERROR(L346/'Ar-Pa'!L346,0)</f>
        <v>0</v>
      </c>
      <c r="AK346" s="21">
        <f>IFERROR(M346/'Ar-Pa'!M346,0)</f>
        <v>0</v>
      </c>
      <c r="AL346" s="21">
        <f>IFERROR(N346/'Ar-Pa'!N346,0)</f>
        <v>0</v>
      </c>
      <c r="AM346" s="21">
        <f>IFERROR(O346/'Ar-Pa'!O346,0)</f>
        <v>0</v>
      </c>
      <c r="AN346" s="21">
        <f>IFERROR(P346/'Ar-Pa'!P346,0)</f>
        <v>0</v>
      </c>
      <c r="AO346" s="21">
        <f>IFERROR(Q346/'Ar-Pa'!Q346,0)</f>
        <v>0</v>
      </c>
      <c r="AP346" s="21">
        <f>IFERROR(R346/'Ar-Pa'!R346,0)</f>
        <v>0</v>
      </c>
      <c r="AQ346" s="21">
        <f>IFERROR(S346/'Ar-Pa'!S346,0)</f>
        <v>0</v>
      </c>
      <c r="AR346" s="21">
        <f>IFERROR(T346/'Ar-Pa'!T346,0)</f>
        <v>0</v>
      </c>
      <c r="AS346" s="21">
        <f>IFERROR(U346/'Ar-Pa'!U346,0)</f>
        <v>0</v>
      </c>
      <c r="AT346" s="21">
        <f>IFERROR(V346/'Ar-Pa'!V346,0)</f>
        <v>0</v>
      </c>
      <c r="AU346" s="21">
        <f>IFERROR(W346/'Ar-Pa'!W346,0)</f>
        <v>0</v>
      </c>
      <c r="AV346" s="21">
        <f>IFERROR(X346/'Ar-Pa'!X346,0)</f>
        <v>0</v>
      </c>
      <c r="AW346" s="21">
        <f>IFERROR(Y346/'Ar-Pa'!Y346,0)</f>
        <v>0</v>
      </c>
      <c r="AX346" s="21">
        <f t="shared" si="9"/>
        <v>0</v>
      </c>
    </row>
    <row r="347" spans="1:50">
      <c r="A347" s="15">
        <v>45272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21">
        <f>IFERROR(B347/'Ar-Pa'!B347,0)</f>
        <v>0</v>
      </c>
      <c r="AA347" s="21">
        <f>IFERROR(C347/'Ar-Pa'!C347,0)</f>
        <v>0</v>
      </c>
      <c r="AB347" s="21">
        <f>IFERROR(D347/'Ar-Pa'!D347,0)</f>
        <v>0</v>
      </c>
      <c r="AC347" s="21">
        <f>IFERROR(E347/'Ar-Pa'!E347,0)</f>
        <v>0</v>
      </c>
      <c r="AD347" s="21">
        <f>IFERROR(F347/'Ar-Pa'!F347,0)</f>
        <v>0</v>
      </c>
      <c r="AE347" s="21">
        <f>IFERROR(G347/'Ar-Pa'!G347,0)</f>
        <v>0</v>
      </c>
      <c r="AF347" s="21">
        <f>IFERROR(H347/'Ar-Pa'!H347,0)</f>
        <v>0</v>
      </c>
      <c r="AG347" s="21">
        <f>IFERROR(I347/'Ar-Pa'!I347,0)</f>
        <v>0</v>
      </c>
      <c r="AH347" s="21">
        <f>IFERROR(J347/'Ar-Pa'!J347,0)</f>
        <v>0</v>
      </c>
      <c r="AI347" s="21">
        <f>IFERROR(K347/'Ar-Pa'!K347,0)</f>
        <v>0</v>
      </c>
      <c r="AJ347" s="21">
        <f>IFERROR(L347/'Ar-Pa'!L347,0)</f>
        <v>0</v>
      </c>
      <c r="AK347" s="21">
        <f>IFERROR(M347/'Ar-Pa'!M347,0)</f>
        <v>0</v>
      </c>
      <c r="AL347" s="21">
        <f>IFERROR(N347/'Ar-Pa'!N347,0)</f>
        <v>0</v>
      </c>
      <c r="AM347" s="21">
        <f>IFERROR(O347/'Ar-Pa'!O347,0)</f>
        <v>0</v>
      </c>
      <c r="AN347" s="21">
        <f>IFERROR(P347/'Ar-Pa'!P347,0)</f>
        <v>0</v>
      </c>
      <c r="AO347" s="21">
        <f>IFERROR(Q347/'Ar-Pa'!Q347,0)</f>
        <v>0</v>
      </c>
      <c r="AP347" s="21">
        <f>IFERROR(R347/'Ar-Pa'!R347,0)</f>
        <v>0</v>
      </c>
      <c r="AQ347" s="21">
        <f>IFERROR(S347/'Ar-Pa'!S347,0)</f>
        <v>0</v>
      </c>
      <c r="AR347" s="21">
        <f>IFERROR(T347/'Ar-Pa'!T347,0)</f>
        <v>0</v>
      </c>
      <c r="AS347" s="21">
        <f>IFERROR(U347/'Ar-Pa'!U347,0)</f>
        <v>0</v>
      </c>
      <c r="AT347" s="21">
        <f>IFERROR(V347/'Ar-Pa'!V347,0)</f>
        <v>0</v>
      </c>
      <c r="AU347" s="21">
        <f>IFERROR(W347/'Ar-Pa'!W347,0)</f>
        <v>0</v>
      </c>
      <c r="AV347" s="21">
        <f>IFERROR(X347/'Ar-Pa'!X347,0)</f>
        <v>0</v>
      </c>
      <c r="AW347" s="21">
        <f>IFERROR(Y347/'Ar-Pa'!Y347,0)</f>
        <v>0</v>
      </c>
      <c r="AX347" s="21">
        <f t="shared" si="9"/>
        <v>0</v>
      </c>
    </row>
    <row r="348" spans="1:50">
      <c r="A348" s="15">
        <v>45273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21">
        <f>IFERROR(B348/'Ar-Pa'!B348,0)</f>
        <v>0</v>
      </c>
      <c r="AA348" s="21">
        <f>IFERROR(C348/'Ar-Pa'!C348,0)</f>
        <v>0</v>
      </c>
      <c r="AB348" s="21">
        <f>IFERROR(D348/'Ar-Pa'!D348,0)</f>
        <v>0</v>
      </c>
      <c r="AC348" s="21">
        <f>IFERROR(E348/'Ar-Pa'!E348,0)</f>
        <v>0</v>
      </c>
      <c r="AD348" s="21">
        <f>IFERROR(F348/'Ar-Pa'!F348,0)</f>
        <v>0</v>
      </c>
      <c r="AE348" s="21">
        <f>IFERROR(G348/'Ar-Pa'!G348,0)</f>
        <v>0</v>
      </c>
      <c r="AF348" s="21">
        <f>IFERROR(H348/'Ar-Pa'!H348,0)</f>
        <v>0</v>
      </c>
      <c r="AG348" s="21">
        <f>IFERROR(I348/'Ar-Pa'!I348,0)</f>
        <v>0</v>
      </c>
      <c r="AH348" s="21">
        <f>IFERROR(J348/'Ar-Pa'!J348,0)</f>
        <v>0</v>
      </c>
      <c r="AI348" s="21">
        <f>IFERROR(K348/'Ar-Pa'!K348,0)</f>
        <v>0</v>
      </c>
      <c r="AJ348" s="21">
        <f>IFERROR(L348/'Ar-Pa'!L348,0)</f>
        <v>0</v>
      </c>
      <c r="AK348" s="21">
        <f>IFERROR(M348/'Ar-Pa'!M348,0)</f>
        <v>0</v>
      </c>
      <c r="AL348" s="21">
        <f>IFERROR(N348/'Ar-Pa'!N348,0)</f>
        <v>0</v>
      </c>
      <c r="AM348" s="21">
        <f>IFERROR(O348/'Ar-Pa'!O348,0)</f>
        <v>0</v>
      </c>
      <c r="AN348" s="21">
        <f>IFERROR(P348/'Ar-Pa'!P348,0)</f>
        <v>0</v>
      </c>
      <c r="AO348" s="21">
        <f>IFERROR(Q348/'Ar-Pa'!Q348,0)</f>
        <v>0</v>
      </c>
      <c r="AP348" s="21">
        <f>IFERROR(R348/'Ar-Pa'!R348,0)</f>
        <v>0</v>
      </c>
      <c r="AQ348" s="21">
        <f>IFERROR(S348/'Ar-Pa'!S348,0)</f>
        <v>0</v>
      </c>
      <c r="AR348" s="21">
        <f>IFERROR(T348/'Ar-Pa'!T348,0)</f>
        <v>0</v>
      </c>
      <c r="AS348" s="21">
        <f>IFERROR(U348/'Ar-Pa'!U348,0)</f>
        <v>0</v>
      </c>
      <c r="AT348" s="21">
        <f>IFERROR(V348/'Ar-Pa'!V348,0)</f>
        <v>0</v>
      </c>
      <c r="AU348" s="21">
        <f>IFERROR(W348/'Ar-Pa'!W348,0)</f>
        <v>0</v>
      </c>
      <c r="AV348" s="21">
        <f>IFERROR(X348/'Ar-Pa'!X348,0)</f>
        <v>0</v>
      </c>
      <c r="AW348" s="21">
        <f>IFERROR(Y348/'Ar-Pa'!Y348,0)</f>
        <v>0</v>
      </c>
      <c r="AX348" s="21">
        <f t="shared" si="9"/>
        <v>0</v>
      </c>
    </row>
    <row r="349" spans="1:50">
      <c r="A349" s="15">
        <v>45274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21">
        <f>IFERROR(B349/'Ar-Pa'!B349,0)</f>
        <v>0</v>
      </c>
      <c r="AA349" s="21">
        <f>IFERROR(C349/'Ar-Pa'!C349,0)</f>
        <v>0</v>
      </c>
      <c r="AB349" s="21">
        <f>IFERROR(D349/'Ar-Pa'!D349,0)</f>
        <v>0</v>
      </c>
      <c r="AC349" s="21">
        <f>IFERROR(E349/'Ar-Pa'!E349,0)</f>
        <v>0</v>
      </c>
      <c r="AD349" s="21">
        <f>IFERROR(F349/'Ar-Pa'!F349,0)</f>
        <v>0</v>
      </c>
      <c r="AE349" s="21">
        <f>IFERROR(G349/'Ar-Pa'!G349,0)</f>
        <v>0</v>
      </c>
      <c r="AF349" s="21">
        <f>IFERROR(H349/'Ar-Pa'!H349,0)</f>
        <v>0</v>
      </c>
      <c r="AG349" s="21">
        <f>IFERROR(I349/'Ar-Pa'!I349,0)</f>
        <v>0</v>
      </c>
      <c r="AH349" s="21">
        <f>IFERROR(J349/'Ar-Pa'!J349,0)</f>
        <v>0</v>
      </c>
      <c r="AI349" s="21">
        <f>IFERROR(K349/'Ar-Pa'!K349,0)</f>
        <v>0</v>
      </c>
      <c r="AJ349" s="21">
        <f>IFERROR(L349/'Ar-Pa'!L349,0)</f>
        <v>0</v>
      </c>
      <c r="AK349" s="21">
        <f>IFERROR(M349/'Ar-Pa'!M349,0)</f>
        <v>0</v>
      </c>
      <c r="AL349" s="21">
        <f>IFERROR(N349/'Ar-Pa'!N349,0)</f>
        <v>0</v>
      </c>
      <c r="AM349" s="21">
        <f>IFERROR(O349/'Ar-Pa'!O349,0)</f>
        <v>0</v>
      </c>
      <c r="AN349" s="21">
        <f>IFERROR(P349/'Ar-Pa'!P349,0)</f>
        <v>0</v>
      </c>
      <c r="AO349" s="21">
        <f>IFERROR(Q349/'Ar-Pa'!Q349,0)</f>
        <v>0</v>
      </c>
      <c r="AP349" s="21">
        <f>IFERROR(R349/'Ar-Pa'!R349,0)</f>
        <v>0</v>
      </c>
      <c r="AQ349" s="21">
        <f>IFERROR(S349/'Ar-Pa'!S349,0)</f>
        <v>0</v>
      </c>
      <c r="AR349" s="21">
        <f>IFERROR(T349/'Ar-Pa'!T349,0)</f>
        <v>0</v>
      </c>
      <c r="AS349" s="21">
        <f>IFERROR(U349/'Ar-Pa'!U349,0)</f>
        <v>0</v>
      </c>
      <c r="AT349" s="21">
        <f>IFERROR(V349/'Ar-Pa'!V349,0)</f>
        <v>0</v>
      </c>
      <c r="AU349" s="21">
        <f>IFERROR(W349/'Ar-Pa'!W349,0)</f>
        <v>0</v>
      </c>
      <c r="AV349" s="21">
        <f>IFERROR(X349/'Ar-Pa'!X349,0)</f>
        <v>0</v>
      </c>
      <c r="AW349" s="21">
        <f>IFERROR(Y349/'Ar-Pa'!Y349,0)</f>
        <v>0</v>
      </c>
      <c r="AX349" s="21">
        <f t="shared" si="9"/>
        <v>0</v>
      </c>
    </row>
    <row r="350" spans="1:50">
      <c r="A350" s="15">
        <v>45275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21">
        <f>IFERROR(B350/'Ar-Pa'!B350,0)</f>
        <v>0</v>
      </c>
      <c r="AA350" s="21">
        <f>IFERROR(C350/'Ar-Pa'!C350,0)</f>
        <v>0</v>
      </c>
      <c r="AB350" s="21">
        <f>IFERROR(D350/'Ar-Pa'!D350,0)</f>
        <v>0</v>
      </c>
      <c r="AC350" s="21">
        <f>IFERROR(E350/'Ar-Pa'!E350,0)</f>
        <v>0</v>
      </c>
      <c r="AD350" s="21">
        <f>IFERROR(F350/'Ar-Pa'!F350,0)</f>
        <v>0</v>
      </c>
      <c r="AE350" s="21">
        <f>IFERROR(G350/'Ar-Pa'!G350,0)</f>
        <v>0</v>
      </c>
      <c r="AF350" s="21">
        <f>IFERROR(H350/'Ar-Pa'!H350,0)</f>
        <v>0</v>
      </c>
      <c r="AG350" s="21">
        <f>IFERROR(I350/'Ar-Pa'!I350,0)</f>
        <v>0</v>
      </c>
      <c r="AH350" s="21">
        <f>IFERROR(J350/'Ar-Pa'!J350,0)</f>
        <v>0</v>
      </c>
      <c r="AI350" s="21">
        <f>IFERROR(K350/'Ar-Pa'!K350,0)</f>
        <v>0</v>
      </c>
      <c r="AJ350" s="21">
        <f>IFERROR(L350/'Ar-Pa'!L350,0)</f>
        <v>0</v>
      </c>
      <c r="AK350" s="21">
        <f>IFERROR(M350/'Ar-Pa'!M350,0)</f>
        <v>0</v>
      </c>
      <c r="AL350" s="21">
        <f>IFERROR(N350/'Ar-Pa'!N350,0)</f>
        <v>0</v>
      </c>
      <c r="AM350" s="21">
        <f>IFERROR(O350/'Ar-Pa'!O350,0)</f>
        <v>0</v>
      </c>
      <c r="AN350" s="21">
        <f>IFERROR(P350/'Ar-Pa'!P350,0)</f>
        <v>0</v>
      </c>
      <c r="AO350" s="21">
        <f>IFERROR(Q350/'Ar-Pa'!Q350,0)</f>
        <v>0</v>
      </c>
      <c r="AP350" s="21">
        <f>IFERROR(R350/'Ar-Pa'!R350,0)</f>
        <v>0</v>
      </c>
      <c r="AQ350" s="21">
        <f>IFERROR(S350/'Ar-Pa'!S350,0)</f>
        <v>0</v>
      </c>
      <c r="AR350" s="21">
        <f>IFERROR(T350/'Ar-Pa'!T350,0)</f>
        <v>0</v>
      </c>
      <c r="AS350" s="21">
        <f>IFERROR(U350/'Ar-Pa'!U350,0)</f>
        <v>0</v>
      </c>
      <c r="AT350" s="21">
        <f>IFERROR(V350/'Ar-Pa'!V350,0)</f>
        <v>0</v>
      </c>
      <c r="AU350" s="21">
        <f>IFERROR(W350/'Ar-Pa'!W350,0)</f>
        <v>0</v>
      </c>
      <c r="AV350" s="21">
        <f>IFERROR(X350/'Ar-Pa'!X350,0)</f>
        <v>0</v>
      </c>
      <c r="AW350" s="21">
        <f>IFERROR(Y350/'Ar-Pa'!Y350,0)</f>
        <v>0</v>
      </c>
      <c r="AX350" s="21">
        <f t="shared" si="9"/>
        <v>0</v>
      </c>
    </row>
    <row r="351" spans="1:50">
      <c r="A351" s="15">
        <v>45276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21">
        <f>IFERROR(B351/'Ar-Pa'!B351,0)</f>
        <v>0</v>
      </c>
      <c r="AA351" s="21">
        <f>IFERROR(C351/'Ar-Pa'!C351,0)</f>
        <v>0</v>
      </c>
      <c r="AB351" s="21">
        <f>IFERROR(D351/'Ar-Pa'!D351,0)</f>
        <v>0</v>
      </c>
      <c r="AC351" s="21">
        <f>IFERROR(E351/'Ar-Pa'!E351,0)</f>
        <v>0</v>
      </c>
      <c r="AD351" s="21">
        <f>IFERROR(F351/'Ar-Pa'!F351,0)</f>
        <v>0</v>
      </c>
      <c r="AE351" s="21">
        <f>IFERROR(G351/'Ar-Pa'!G351,0)</f>
        <v>0</v>
      </c>
      <c r="AF351" s="21">
        <f>IFERROR(H351/'Ar-Pa'!H351,0)</f>
        <v>0</v>
      </c>
      <c r="AG351" s="21">
        <f>IFERROR(I351/'Ar-Pa'!I351,0)</f>
        <v>0</v>
      </c>
      <c r="AH351" s="21">
        <f>IFERROR(J351/'Ar-Pa'!J351,0)</f>
        <v>0</v>
      </c>
      <c r="AI351" s="21">
        <f>IFERROR(K351/'Ar-Pa'!K351,0)</f>
        <v>0</v>
      </c>
      <c r="AJ351" s="21">
        <f>IFERROR(L351/'Ar-Pa'!L351,0)</f>
        <v>0</v>
      </c>
      <c r="AK351" s="21">
        <f>IFERROR(M351/'Ar-Pa'!M351,0)</f>
        <v>0</v>
      </c>
      <c r="AL351" s="21">
        <f>IFERROR(N351/'Ar-Pa'!N351,0)</f>
        <v>0</v>
      </c>
      <c r="AM351" s="21">
        <f>IFERROR(O351/'Ar-Pa'!O351,0)</f>
        <v>0</v>
      </c>
      <c r="AN351" s="21">
        <f>IFERROR(P351/'Ar-Pa'!P351,0)</f>
        <v>0</v>
      </c>
      <c r="AO351" s="21">
        <f>IFERROR(Q351/'Ar-Pa'!Q351,0)</f>
        <v>0</v>
      </c>
      <c r="AP351" s="21">
        <f>IFERROR(R351/'Ar-Pa'!R351,0)</f>
        <v>0</v>
      </c>
      <c r="AQ351" s="21">
        <f>IFERROR(S351/'Ar-Pa'!S351,0)</f>
        <v>0</v>
      </c>
      <c r="AR351" s="21">
        <f>IFERROR(T351/'Ar-Pa'!T351,0)</f>
        <v>0</v>
      </c>
      <c r="AS351" s="21">
        <f>IFERROR(U351/'Ar-Pa'!U351,0)</f>
        <v>0</v>
      </c>
      <c r="AT351" s="21">
        <f>IFERROR(V351/'Ar-Pa'!V351,0)</f>
        <v>0</v>
      </c>
      <c r="AU351" s="21">
        <f>IFERROR(W351/'Ar-Pa'!W351,0)</f>
        <v>0</v>
      </c>
      <c r="AV351" s="21">
        <f>IFERROR(X351/'Ar-Pa'!X351,0)</f>
        <v>0</v>
      </c>
      <c r="AW351" s="21">
        <f>IFERROR(Y351/'Ar-Pa'!Y351,0)</f>
        <v>0</v>
      </c>
      <c r="AX351" s="21">
        <f t="shared" si="9"/>
        <v>0</v>
      </c>
    </row>
    <row r="352" spans="1:50">
      <c r="A352" s="15">
        <v>45277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21">
        <f>IFERROR(B352/'Ar-Pa'!B352,0)</f>
        <v>0</v>
      </c>
      <c r="AA352" s="21">
        <f>IFERROR(C352/'Ar-Pa'!C352,0)</f>
        <v>0</v>
      </c>
      <c r="AB352" s="21">
        <f>IFERROR(D352/'Ar-Pa'!D352,0)</f>
        <v>0</v>
      </c>
      <c r="AC352" s="21">
        <f>IFERROR(E352/'Ar-Pa'!E352,0)</f>
        <v>0</v>
      </c>
      <c r="AD352" s="21">
        <f>IFERROR(F352/'Ar-Pa'!F352,0)</f>
        <v>0</v>
      </c>
      <c r="AE352" s="21">
        <f>IFERROR(G352/'Ar-Pa'!G352,0)</f>
        <v>0</v>
      </c>
      <c r="AF352" s="21">
        <f>IFERROR(H352/'Ar-Pa'!H352,0)</f>
        <v>0</v>
      </c>
      <c r="AG352" s="21">
        <f>IFERROR(I352/'Ar-Pa'!I352,0)</f>
        <v>0</v>
      </c>
      <c r="AH352" s="21">
        <f>IFERROR(J352/'Ar-Pa'!J352,0)</f>
        <v>0</v>
      </c>
      <c r="AI352" s="21">
        <f>IFERROR(K352/'Ar-Pa'!K352,0)</f>
        <v>0</v>
      </c>
      <c r="AJ352" s="21">
        <f>IFERROR(L352/'Ar-Pa'!L352,0)</f>
        <v>0</v>
      </c>
      <c r="AK352" s="21">
        <f>IFERROR(M352/'Ar-Pa'!M352,0)</f>
        <v>0</v>
      </c>
      <c r="AL352" s="21">
        <f>IFERROR(N352/'Ar-Pa'!N352,0)</f>
        <v>0</v>
      </c>
      <c r="AM352" s="21">
        <f>IFERROR(O352/'Ar-Pa'!O352,0)</f>
        <v>0</v>
      </c>
      <c r="AN352" s="21">
        <f>IFERROR(P352/'Ar-Pa'!P352,0)</f>
        <v>0</v>
      </c>
      <c r="AO352" s="21">
        <f>IFERROR(Q352/'Ar-Pa'!Q352,0)</f>
        <v>0</v>
      </c>
      <c r="AP352" s="21">
        <f>IFERROR(R352/'Ar-Pa'!R352,0)</f>
        <v>0</v>
      </c>
      <c r="AQ352" s="21">
        <f>IFERROR(S352/'Ar-Pa'!S352,0)</f>
        <v>0</v>
      </c>
      <c r="AR352" s="21">
        <f>IFERROR(T352/'Ar-Pa'!T352,0)</f>
        <v>0</v>
      </c>
      <c r="AS352" s="21">
        <f>IFERROR(U352/'Ar-Pa'!U352,0)</f>
        <v>0</v>
      </c>
      <c r="AT352" s="21">
        <f>IFERROR(V352/'Ar-Pa'!V352,0)</f>
        <v>0</v>
      </c>
      <c r="AU352" s="21">
        <f>IFERROR(W352/'Ar-Pa'!W352,0)</f>
        <v>0</v>
      </c>
      <c r="AV352" s="21">
        <f>IFERROR(X352/'Ar-Pa'!X352,0)</f>
        <v>0</v>
      </c>
      <c r="AW352" s="21">
        <f>IFERROR(Y352/'Ar-Pa'!Y352,0)</f>
        <v>0</v>
      </c>
      <c r="AX352" s="21">
        <f t="shared" si="9"/>
        <v>0</v>
      </c>
    </row>
    <row r="353" spans="1:50">
      <c r="A353" s="15">
        <v>45278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21">
        <f>IFERROR(B353/'Ar-Pa'!B353,0)</f>
        <v>0</v>
      </c>
      <c r="AA353" s="21">
        <f>IFERROR(C353/'Ar-Pa'!C353,0)</f>
        <v>0</v>
      </c>
      <c r="AB353" s="21">
        <f>IFERROR(D353/'Ar-Pa'!D353,0)</f>
        <v>0</v>
      </c>
      <c r="AC353" s="21">
        <f>IFERROR(E353/'Ar-Pa'!E353,0)</f>
        <v>0</v>
      </c>
      <c r="AD353" s="21">
        <f>IFERROR(F353/'Ar-Pa'!F353,0)</f>
        <v>0</v>
      </c>
      <c r="AE353" s="21">
        <f>IFERROR(G353/'Ar-Pa'!G353,0)</f>
        <v>0</v>
      </c>
      <c r="AF353" s="21">
        <f>IFERROR(H353/'Ar-Pa'!H353,0)</f>
        <v>0</v>
      </c>
      <c r="AG353" s="21">
        <f>IFERROR(I353/'Ar-Pa'!I353,0)</f>
        <v>0</v>
      </c>
      <c r="AH353" s="21">
        <f>IFERROR(J353/'Ar-Pa'!J353,0)</f>
        <v>0</v>
      </c>
      <c r="AI353" s="21">
        <f>IFERROR(K353/'Ar-Pa'!K353,0)</f>
        <v>0</v>
      </c>
      <c r="AJ353" s="21">
        <f>IFERROR(L353/'Ar-Pa'!L353,0)</f>
        <v>0</v>
      </c>
      <c r="AK353" s="21">
        <f>IFERROR(M353/'Ar-Pa'!M353,0)</f>
        <v>0</v>
      </c>
      <c r="AL353" s="21">
        <f>IFERROR(N353/'Ar-Pa'!N353,0)</f>
        <v>0</v>
      </c>
      <c r="AM353" s="21">
        <f>IFERROR(O353/'Ar-Pa'!O353,0)</f>
        <v>0</v>
      </c>
      <c r="AN353" s="21">
        <f>IFERROR(P353/'Ar-Pa'!P353,0)</f>
        <v>0</v>
      </c>
      <c r="AO353" s="21">
        <f>IFERROR(Q353/'Ar-Pa'!Q353,0)</f>
        <v>0</v>
      </c>
      <c r="AP353" s="21">
        <f>IFERROR(R353/'Ar-Pa'!R353,0)</f>
        <v>0</v>
      </c>
      <c r="AQ353" s="21">
        <f>IFERROR(S353/'Ar-Pa'!S353,0)</f>
        <v>0</v>
      </c>
      <c r="AR353" s="21">
        <f>IFERROR(T353/'Ar-Pa'!T353,0)</f>
        <v>0</v>
      </c>
      <c r="AS353" s="21">
        <f>IFERROR(U353/'Ar-Pa'!U353,0)</f>
        <v>0</v>
      </c>
      <c r="AT353" s="21">
        <f>IFERROR(V353/'Ar-Pa'!V353,0)</f>
        <v>0</v>
      </c>
      <c r="AU353" s="21">
        <f>IFERROR(W353/'Ar-Pa'!W353,0)</f>
        <v>0</v>
      </c>
      <c r="AV353" s="21">
        <f>IFERROR(X353/'Ar-Pa'!X353,0)</f>
        <v>0</v>
      </c>
      <c r="AW353" s="21">
        <f>IFERROR(Y353/'Ar-Pa'!Y353,0)</f>
        <v>0</v>
      </c>
      <c r="AX353" s="21">
        <f t="shared" si="9"/>
        <v>0</v>
      </c>
    </row>
    <row r="354" spans="1:50">
      <c r="A354" s="15">
        <v>45279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21">
        <f>IFERROR(B354/'Ar-Pa'!B354,0)</f>
        <v>0</v>
      </c>
      <c r="AA354" s="21">
        <f>IFERROR(C354/'Ar-Pa'!C354,0)</f>
        <v>0</v>
      </c>
      <c r="AB354" s="21">
        <f>IFERROR(D354/'Ar-Pa'!D354,0)</f>
        <v>0</v>
      </c>
      <c r="AC354" s="21">
        <f>IFERROR(E354/'Ar-Pa'!E354,0)</f>
        <v>0</v>
      </c>
      <c r="AD354" s="21">
        <f>IFERROR(F354/'Ar-Pa'!F354,0)</f>
        <v>0</v>
      </c>
      <c r="AE354" s="21">
        <f>IFERROR(G354/'Ar-Pa'!G354,0)</f>
        <v>0</v>
      </c>
      <c r="AF354" s="21">
        <f>IFERROR(H354/'Ar-Pa'!H354,0)</f>
        <v>0</v>
      </c>
      <c r="AG354" s="21">
        <f>IFERROR(I354/'Ar-Pa'!I354,0)</f>
        <v>0</v>
      </c>
      <c r="AH354" s="21">
        <f>IFERROR(J354/'Ar-Pa'!J354,0)</f>
        <v>0</v>
      </c>
      <c r="AI354" s="21">
        <f>IFERROR(K354/'Ar-Pa'!K354,0)</f>
        <v>0</v>
      </c>
      <c r="AJ354" s="21">
        <f>IFERROR(L354/'Ar-Pa'!L354,0)</f>
        <v>0</v>
      </c>
      <c r="AK354" s="21">
        <f>IFERROR(M354/'Ar-Pa'!M354,0)</f>
        <v>0</v>
      </c>
      <c r="AL354" s="21">
        <f>IFERROR(N354/'Ar-Pa'!N354,0)</f>
        <v>0</v>
      </c>
      <c r="AM354" s="21">
        <f>IFERROR(O354/'Ar-Pa'!O354,0)</f>
        <v>0</v>
      </c>
      <c r="AN354" s="21">
        <f>IFERROR(P354/'Ar-Pa'!P354,0)</f>
        <v>0</v>
      </c>
      <c r="AO354" s="21">
        <f>IFERROR(Q354/'Ar-Pa'!Q354,0)</f>
        <v>0</v>
      </c>
      <c r="AP354" s="21">
        <f>IFERROR(R354/'Ar-Pa'!R354,0)</f>
        <v>0</v>
      </c>
      <c r="AQ354" s="21">
        <f>IFERROR(S354/'Ar-Pa'!S354,0)</f>
        <v>0</v>
      </c>
      <c r="AR354" s="21">
        <f>IFERROR(T354/'Ar-Pa'!T354,0)</f>
        <v>0</v>
      </c>
      <c r="AS354" s="21">
        <f>IFERROR(U354/'Ar-Pa'!U354,0)</f>
        <v>0</v>
      </c>
      <c r="AT354" s="21">
        <f>IFERROR(V354/'Ar-Pa'!V354,0)</f>
        <v>0</v>
      </c>
      <c r="AU354" s="21">
        <f>IFERROR(W354/'Ar-Pa'!W354,0)</f>
        <v>0</v>
      </c>
      <c r="AV354" s="21">
        <f>IFERROR(X354/'Ar-Pa'!X354,0)</f>
        <v>0</v>
      </c>
      <c r="AW354" s="21">
        <f>IFERROR(Y354/'Ar-Pa'!Y354,0)</f>
        <v>0</v>
      </c>
      <c r="AX354" s="21">
        <f t="shared" si="9"/>
        <v>0</v>
      </c>
    </row>
    <row r="355" spans="1:50">
      <c r="A355" s="15">
        <v>45280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21">
        <f>IFERROR(B355/'Ar-Pa'!B355,0)</f>
        <v>0</v>
      </c>
      <c r="AA355" s="21">
        <f>IFERROR(C355/'Ar-Pa'!C355,0)</f>
        <v>0</v>
      </c>
      <c r="AB355" s="21">
        <f>IFERROR(D355/'Ar-Pa'!D355,0)</f>
        <v>0</v>
      </c>
      <c r="AC355" s="21">
        <f>IFERROR(E355/'Ar-Pa'!E355,0)</f>
        <v>0</v>
      </c>
      <c r="AD355" s="21">
        <f>IFERROR(F355/'Ar-Pa'!F355,0)</f>
        <v>0</v>
      </c>
      <c r="AE355" s="21">
        <f>IFERROR(G355/'Ar-Pa'!G355,0)</f>
        <v>0</v>
      </c>
      <c r="AF355" s="21">
        <f>IFERROR(H355/'Ar-Pa'!H355,0)</f>
        <v>0</v>
      </c>
      <c r="AG355" s="21">
        <f>IFERROR(I355/'Ar-Pa'!I355,0)</f>
        <v>0</v>
      </c>
      <c r="AH355" s="21">
        <f>IFERROR(J355/'Ar-Pa'!J355,0)</f>
        <v>0</v>
      </c>
      <c r="AI355" s="21">
        <f>IFERROR(K355/'Ar-Pa'!K355,0)</f>
        <v>0</v>
      </c>
      <c r="AJ355" s="21">
        <f>IFERROR(L355/'Ar-Pa'!L355,0)</f>
        <v>0</v>
      </c>
      <c r="AK355" s="21">
        <f>IFERROR(M355/'Ar-Pa'!M355,0)</f>
        <v>0</v>
      </c>
      <c r="AL355" s="21">
        <f>IFERROR(N355/'Ar-Pa'!N355,0)</f>
        <v>0</v>
      </c>
      <c r="AM355" s="21">
        <f>IFERROR(O355/'Ar-Pa'!O355,0)</f>
        <v>0</v>
      </c>
      <c r="AN355" s="21">
        <f>IFERROR(P355/'Ar-Pa'!P355,0)</f>
        <v>0</v>
      </c>
      <c r="AO355" s="21">
        <f>IFERROR(Q355/'Ar-Pa'!Q355,0)</f>
        <v>0</v>
      </c>
      <c r="AP355" s="21">
        <f>IFERROR(R355/'Ar-Pa'!R355,0)</f>
        <v>0</v>
      </c>
      <c r="AQ355" s="21">
        <f>IFERROR(S355/'Ar-Pa'!S355,0)</f>
        <v>0</v>
      </c>
      <c r="AR355" s="21">
        <f>IFERROR(T355/'Ar-Pa'!T355,0)</f>
        <v>0</v>
      </c>
      <c r="AS355" s="21">
        <f>IFERROR(U355/'Ar-Pa'!U355,0)</f>
        <v>0</v>
      </c>
      <c r="AT355" s="21">
        <f>IFERROR(V355/'Ar-Pa'!V355,0)</f>
        <v>0</v>
      </c>
      <c r="AU355" s="21">
        <f>IFERROR(W355/'Ar-Pa'!W355,0)</f>
        <v>0</v>
      </c>
      <c r="AV355" s="21">
        <f>IFERROR(X355/'Ar-Pa'!X355,0)</f>
        <v>0</v>
      </c>
      <c r="AW355" s="21">
        <f>IFERROR(Y355/'Ar-Pa'!Y355,0)</f>
        <v>0</v>
      </c>
      <c r="AX355" s="21">
        <f t="shared" si="9"/>
        <v>0</v>
      </c>
    </row>
    <row r="356" spans="1:50">
      <c r="A356" s="15">
        <v>45281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21">
        <f>IFERROR(B356/'Ar-Pa'!B356,0)</f>
        <v>0</v>
      </c>
      <c r="AA356" s="21">
        <f>IFERROR(C356/'Ar-Pa'!C356,0)</f>
        <v>0</v>
      </c>
      <c r="AB356" s="21">
        <f>IFERROR(D356/'Ar-Pa'!D356,0)</f>
        <v>0</v>
      </c>
      <c r="AC356" s="21">
        <f>IFERROR(E356/'Ar-Pa'!E356,0)</f>
        <v>0</v>
      </c>
      <c r="AD356" s="21">
        <f>IFERROR(F356/'Ar-Pa'!F356,0)</f>
        <v>0</v>
      </c>
      <c r="AE356" s="21">
        <f>IFERROR(G356/'Ar-Pa'!G356,0)</f>
        <v>0</v>
      </c>
      <c r="AF356" s="21">
        <f>IFERROR(H356/'Ar-Pa'!H356,0)</f>
        <v>0</v>
      </c>
      <c r="AG356" s="21">
        <f>IFERROR(I356/'Ar-Pa'!I356,0)</f>
        <v>0</v>
      </c>
      <c r="AH356" s="21">
        <f>IFERROR(J356/'Ar-Pa'!J356,0)</f>
        <v>0</v>
      </c>
      <c r="AI356" s="21">
        <f>IFERROR(K356/'Ar-Pa'!K356,0)</f>
        <v>0</v>
      </c>
      <c r="AJ356" s="21">
        <f>IFERROR(L356/'Ar-Pa'!L356,0)</f>
        <v>0</v>
      </c>
      <c r="AK356" s="21">
        <f>IFERROR(M356/'Ar-Pa'!M356,0)</f>
        <v>0</v>
      </c>
      <c r="AL356" s="21">
        <f>IFERROR(N356/'Ar-Pa'!N356,0)</f>
        <v>0</v>
      </c>
      <c r="AM356" s="21">
        <f>IFERROR(O356/'Ar-Pa'!O356,0)</f>
        <v>0</v>
      </c>
      <c r="AN356" s="21">
        <f>IFERROR(P356/'Ar-Pa'!P356,0)</f>
        <v>0</v>
      </c>
      <c r="AO356" s="21">
        <f>IFERROR(Q356/'Ar-Pa'!Q356,0)</f>
        <v>0</v>
      </c>
      <c r="AP356" s="21">
        <f>IFERROR(R356/'Ar-Pa'!R356,0)</f>
        <v>0</v>
      </c>
      <c r="AQ356" s="21">
        <f>IFERROR(S356/'Ar-Pa'!S356,0)</f>
        <v>0</v>
      </c>
      <c r="AR356" s="21">
        <f>IFERROR(T356/'Ar-Pa'!T356,0)</f>
        <v>0</v>
      </c>
      <c r="AS356" s="21">
        <f>IFERROR(U356/'Ar-Pa'!U356,0)</f>
        <v>0</v>
      </c>
      <c r="AT356" s="21">
        <f>IFERROR(V356/'Ar-Pa'!V356,0)</f>
        <v>0</v>
      </c>
      <c r="AU356" s="21">
        <f>IFERROR(W356/'Ar-Pa'!W356,0)</f>
        <v>0</v>
      </c>
      <c r="AV356" s="21">
        <f>IFERROR(X356/'Ar-Pa'!X356,0)</f>
        <v>0</v>
      </c>
      <c r="AW356" s="21">
        <f>IFERROR(Y356/'Ar-Pa'!Y356,0)</f>
        <v>0</v>
      </c>
      <c r="AX356" s="21">
        <f t="shared" si="9"/>
        <v>0</v>
      </c>
    </row>
    <row r="357" spans="1:50">
      <c r="A357" s="15">
        <v>45282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21">
        <f>IFERROR(B357/'Ar-Pa'!B357,0)</f>
        <v>0</v>
      </c>
      <c r="AA357" s="21">
        <f>IFERROR(C357/'Ar-Pa'!C357,0)</f>
        <v>0</v>
      </c>
      <c r="AB357" s="21">
        <f>IFERROR(D357/'Ar-Pa'!D357,0)</f>
        <v>0</v>
      </c>
      <c r="AC357" s="21">
        <f>IFERROR(E357/'Ar-Pa'!E357,0)</f>
        <v>0</v>
      </c>
      <c r="AD357" s="21">
        <f>IFERROR(F357/'Ar-Pa'!F357,0)</f>
        <v>0</v>
      </c>
      <c r="AE357" s="21">
        <f>IFERROR(G357/'Ar-Pa'!G357,0)</f>
        <v>0</v>
      </c>
      <c r="AF357" s="21">
        <f>IFERROR(H357/'Ar-Pa'!H357,0)</f>
        <v>0</v>
      </c>
      <c r="AG357" s="21">
        <f>IFERROR(I357/'Ar-Pa'!I357,0)</f>
        <v>0</v>
      </c>
      <c r="AH357" s="21">
        <f>IFERROR(J357/'Ar-Pa'!J357,0)</f>
        <v>0</v>
      </c>
      <c r="AI357" s="21">
        <f>IFERROR(K357/'Ar-Pa'!K357,0)</f>
        <v>0</v>
      </c>
      <c r="AJ357" s="21">
        <f>IFERROR(L357/'Ar-Pa'!L357,0)</f>
        <v>0</v>
      </c>
      <c r="AK357" s="21">
        <f>IFERROR(M357/'Ar-Pa'!M357,0)</f>
        <v>0</v>
      </c>
      <c r="AL357" s="21">
        <f>IFERROR(N357/'Ar-Pa'!N357,0)</f>
        <v>0</v>
      </c>
      <c r="AM357" s="21">
        <f>IFERROR(O357/'Ar-Pa'!O357,0)</f>
        <v>0</v>
      </c>
      <c r="AN357" s="21">
        <f>IFERROR(P357/'Ar-Pa'!P357,0)</f>
        <v>0</v>
      </c>
      <c r="AO357" s="21">
        <f>IFERROR(Q357/'Ar-Pa'!Q357,0)</f>
        <v>0</v>
      </c>
      <c r="AP357" s="21">
        <f>IFERROR(R357/'Ar-Pa'!R357,0)</f>
        <v>0</v>
      </c>
      <c r="AQ357" s="21">
        <f>IFERROR(S357/'Ar-Pa'!S357,0)</f>
        <v>0</v>
      </c>
      <c r="AR357" s="21">
        <f>IFERROR(T357/'Ar-Pa'!T357,0)</f>
        <v>0</v>
      </c>
      <c r="AS357" s="21">
        <f>IFERROR(U357/'Ar-Pa'!U357,0)</f>
        <v>0</v>
      </c>
      <c r="AT357" s="21">
        <f>IFERROR(V357/'Ar-Pa'!V357,0)</f>
        <v>0</v>
      </c>
      <c r="AU357" s="21">
        <f>IFERROR(W357/'Ar-Pa'!W357,0)</f>
        <v>0</v>
      </c>
      <c r="AV357" s="21">
        <f>IFERROR(X357/'Ar-Pa'!X357,0)</f>
        <v>0</v>
      </c>
      <c r="AW357" s="21">
        <f>IFERROR(Y357/'Ar-Pa'!Y357,0)</f>
        <v>0</v>
      </c>
      <c r="AX357" s="21">
        <f t="shared" si="9"/>
        <v>0</v>
      </c>
    </row>
    <row r="358" spans="1:50">
      <c r="A358" s="15">
        <v>45283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21">
        <f>IFERROR(B358/'Ar-Pa'!B358,0)</f>
        <v>0</v>
      </c>
      <c r="AA358" s="21">
        <f>IFERROR(C358/'Ar-Pa'!C358,0)</f>
        <v>0</v>
      </c>
      <c r="AB358" s="21">
        <f>IFERROR(D358/'Ar-Pa'!D358,0)</f>
        <v>0</v>
      </c>
      <c r="AC358" s="21">
        <f>IFERROR(E358/'Ar-Pa'!E358,0)</f>
        <v>0</v>
      </c>
      <c r="AD358" s="21">
        <f>IFERROR(F358/'Ar-Pa'!F358,0)</f>
        <v>0</v>
      </c>
      <c r="AE358" s="21">
        <f>IFERROR(G358/'Ar-Pa'!G358,0)</f>
        <v>0</v>
      </c>
      <c r="AF358" s="21">
        <f>IFERROR(H358/'Ar-Pa'!H358,0)</f>
        <v>0</v>
      </c>
      <c r="AG358" s="21">
        <f>IFERROR(I358/'Ar-Pa'!I358,0)</f>
        <v>0</v>
      </c>
      <c r="AH358" s="21">
        <f>IFERROR(J358/'Ar-Pa'!J358,0)</f>
        <v>0</v>
      </c>
      <c r="AI358" s="21">
        <f>IFERROR(K358/'Ar-Pa'!K358,0)</f>
        <v>0</v>
      </c>
      <c r="AJ358" s="21">
        <f>IFERROR(L358/'Ar-Pa'!L358,0)</f>
        <v>0</v>
      </c>
      <c r="AK358" s="21">
        <f>IFERROR(M358/'Ar-Pa'!M358,0)</f>
        <v>0</v>
      </c>
      <c r="AL358" s="21">
        <f>IFERROR(N358/'Ar-Pa'!N358,0)</f>
        <v>0</v>
      </c>
      <c r="AM358" s="21">
        <f>IFERROR(O358/'Ar-Pa'!O358,0)</f>
        <v>0</v>
      </c>
      <c r="AN358" s="21">
        <f>IFERROR(P358/'Ar-Pa'!P358,0)</f>
        <v>0</v>
      </c>
      <c r="AO358" s="21">
        <f>IFERROR(Q358/'Ar-Pa'!Q358,0)</f>
        <v>0</v>
      </c>
      <c r="AP358" s="21">
        <f>IFERROR(R358/'Ar-Pa'!R358,0)</f>
        <v>0</v>
      </c>
      <c r="AQ358" s="21">
        <f>IFERROR(S358/'Ar-Pa'!S358,0)</f>
        <v>0</v>
      </c>
      <c r="AR358" s="21">
        <f>IFERROR(T358/'Ar-Pa'!T358,0)</f>
        <v>0</v>
      </c>
      <c r="AS358" s="21">
        <f>IFERROR(U358/'Ar-Pa'!U358,0)</f>
        <v>0</v>
      </c>
      <c r="AT358" s="21">
        <f>IFERROR(V358/'Ar-Pa'!V358,0)</f>
        <v>0</v>
      </c>
      <c r="AU358" s="21">
        <f>IFERROR(W358/'Ar-Pa'!W358,0)</f>
        <v>0</v>
      </c>
      <c r="AV358" s="21">
        <f>IFERROR(X358/'Ar-Pa'!X358,0)</f>
        <v>0</v>
      </c>
      <c r="AW358" s="21">
        <f>IFERROR(Y358/'Ar-Pa'!Y358,0)</f>
        <v>0</v>
      </c>
      <c r="AX358" s="21">
        <f t="shared" si="9"/>
        <v>0</v>
      </c>
    </row>
    <row r="359" spans="1:50">
      <c r="A359" s="15">
        <v>45284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21">
        <f>IFERROR(B359/'Ar-Pa'!B359,0)</f>
        <v>0</v>
      </c>
      <c r="AA359" s="21">
        <f>IFERROR(C359/'Ar-Pa'!C359,0)</f>
        <v>0</v>
      </c>
      <c r="AB359" s="21">
        <f>IFERROR(D359/'Ar-Pa'!D359,0)</f>
        <v>0</v>
      </c>
      <c r="AC359" s="21">
        <f>IFERROR(E359/'Ar-Pa'!E359,0)</f>
        <v>0</v>
      </c>
      <c r="AD359" s="21">
        <f>IFERROR(F359/'Ar-Pa'!F359,0)</f>
        <v>0</v>
      </c>
      <c r="AE359" s="21">
        <f>IFERROR(G359/'Ar-Pa'!G359,0)</f>
        <v>0</v>
      </c>
      <c r="AF359" s="21">
        <f>IFERROR(H359/'Ar-Pa'!H359,0)</f>
        <v>0</v>
      </c>
      <c r="AG359" s="21">
        <f>IFERROR(I359/'Ar-Pa'!I359,0)</f>
        <v>0</v>
      </c>
      <c r="AH359" s="21">
        <f>IFERROR(J359/'Ar-Pa'!J359,0)</f>
        <v>0</v>
      </c>
      <c r="AI359" s="21">
        <f>IFERROR(K359/'Ar-Pa'!K359,0)</f>
        <v>0</v>
      </c>
      <c r="AJ359" s="21">
        <f>IFERROR(L359/'Ar-Pa'!L359,0)</f>
        <v>0</v>
      </c>
      <c r="AK359" s="21">
        <f>IFERROR(M359/'Ar-Pa'!M359,0)</f>
        <v>0</v>
      </c>
      <c r="AL359" s="21">
        <f>IFERROR(N359/'Ar-Pa'!N359,0)</f>
        <v>0</v>
      </c>
      <c r="AM359" s="21">
        <f>IFERROR(O359/'Ar-Pa'!O359,0)</f>
        <v>0</v>
      </c>
      <c r="AN359" s="21">
        <f>IFERROR(P359/'Ar-Pa'!P359,0)</f>
        <v>0</v>
      </c>
      <c r="AO359" s="21">
        <f>IFERROR(Q359/'Ar-Pa'!Q359,0)</f>
        <v>0</v>
      </c>
      <c r="AP359" s="21">
        <f>IFERROR(R359/'Ar-Pa'!R359,0)</f>
        <v>0</v>
      </c>
      <c r="AQ359" s="21">
        <f>IFERROR(S359/'Ar-Pa'!S359,0)</f>
        <v>0</v>
      </c>
      <c r="AR359" s="21">
        <f>IFERROR(T359/'Ar-Pa'!T359,0)</f>
        <v>0</v>
      </c>
      <c r="AS359" s="21">
        <f>IFERROR(U359/'Ar-Pa'!U359,0)</f>
        <v>0</v>
      </c>
      <c r="AT359" s="21">
        <f>IFERROR(V359/'Ar-Pa'!V359,0)</f>
        <v>0</v>
      </c>
      <c r="AU359" s="21">
        <f>IFERROR(W359/'Ar-Pa'!W359,0)</f>
        <v>0</v>
      </c>
      <c r="AV359" s="21">
        <f>IFERROR(X359/'Ar-Pa'!X359,0)</f>
        <v>0</v>
      </c>
      <c r="AW359" s="21">
        <f>IFERROR(Y359/'Ar-Pa'!Y359,0)</f>
        <v>0</v>
      </c>
      <c r="AX359" s="21">
        <f t="shared" si="9"/>
        <v>0</v>
      </c>
    </row>
    <row r="360" spans="1:50">
      <c r="A360" s="15">
        <v>45285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21">
        <f>IFERROR(B360/'Ar-Pa'!B360,0)</f>
        <v>0</v>
      </c>
      <c r="AA360" s="21">
        <f>IFERROR(C360/'Ar-Pa'!C360,0)</f>
        <v>0</v>
      </c>
      <c r="AB360" s="21">
        <f>IFERROR(D360/'Ar-Pa'!D360,0)</f>
        <v>0</v>
      </c>
      <c r="AC360" s="21">
        <f>IFERROR(E360/'Ar-Pa'!E360,0)</f>
        <v>0</v>
      </c>
      <c r="AD360" s="21">
        <f>IFERROR(F360/'Ar-Pa'!F360,0)</f>
        <v>0</v>
      </c>
      <c r="AE360" s="21">
        <f>IFERROR(G360/'Ar-Pa'!G360,0)</f>
        <v>0</v>
      </c>
      <c r="AF360" s="21">
        <f>IFERROR(H360/'Ar-Pa'!H360,0)</f>
        <v>0</v>
      </c>
      <c r="AG360" s="21">
        <f>IFERROR(I360/'Ar-Pa'!I360,0)</f>
        <v>0</v>
      </c>
      <c r="AH360" s="21">
        <f>IFERROR(J360/'Ar-Pa'!J360,0)</f>
        <v>0</v>
      </c>
      <c r="AI360" s="21">
        <f>IFERROR(K360/'Ar-Pa'!K360,0)</f>
        <v>0</v>
      </c>
      <c r="AJ360" s="21">
        <f>IFERROR(L360/'Ar-Pa'!L360,0)</f>
        <v>0</v>
      </c>
      <c r="AK360" s="21">
        <f>IFERROR(M360/'Ar-Pa'!M360,0)</f>
        <v>0</v>
      </c>
      <c r="AL360" s="21">
        <f>IFERROR(N360/'Ar-Pa'!N360,0)</f>
        <v>0</v>
      </c>
      <c r="AM360" s="21">
        <f>IFERROR(O360/'Ar-Pa'!O360,0)</f>
        <v>0</v>
      </c>
      <c r="AN360" s="21">
        <f>IFERROR(P360/'Ar-Pa'!P360,0)</f>
        <v>0</v>
      </c>
      <c r="AO360" s="21">
        <f>IFERROR(Q360/'Ar-Pa'!Q360,0)</f>
        <v>0</v>
      </c>
      <c r="AP360" s="21">
        <f>IFERROR(R360/'Ar-Pa'!R360,0)</f>
        <v>0</v>
      </c>
      <c r="AQ360" s="21">
        <f>IFERROR(S360/'Ar-Pa'!S360,0)</f>
        <v>0</v>
      </c>
      <c r="AR360" s="21">
        <f>IFERROR(T360/'Ar-Pa'!T360,0)</f>
        <v>0</v>
      </c>
      <c r="AS360" s="21">
        <f>IFERROR(U360/'Ar-Pa'!U360,0)</f>
        <v>0</v>
      </c>
      <c r="AT360" s="21">
        <f>IFERROR(V360/'Ar-Pa'!V360,0)</f>
        <v>0</v>
      </c>
      <c r="AU360" s="21">
        <f>IFERROR(W360/'Ar-Pa'!W360,0)</f>
        <v>0</v>
      </c>
      <c r="AV360" s="21">
        <f>IFERROR(X360/'Ar-Pa'!X360,0)</f>
        <v>0</v>
      </c>
      <c r="AW360" s="21">
        <f>IFERROR(Y360/'Ar-Pa'!Y360,0)</f>
        <v>0</v>
      </c>
      <c r="AX360" s="21">
        <f t="shared" si="9"/>
        <v>0</v>
      </c>
    </row>
    <row r="361" spans="1:50">
      <c r="A361" s="15">
        <v>45286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21">
        <f>IFERROR(B361/'Ar-Pa'!B361,0)</f>
        <v>0</v>
      </c>
      <c r="AA361" s="21">
        <f>IFERROR(C361/'Ar-Pa'!C361,0)</f>
        <v>0</v>
      </c>
      <c r="AB361" s="21">
        <f>IFERROR(D361/'Ar-Pa'!D361,0)</f>
        <v>0</v>
      </c>
      <c r="AC361" s="21">
        <f>IFERROR(E361/'Ar-Pa'!E361,0)</f>
        <v>0</v>
      </c>
      <c r="AD361" s="21">
        <f>IFERROR(F361/'Ar-Pa'!F361,0)</f>
        <v>0</v>
      </c>
      <c r="AE361" s="21">
        <f>IFERROR(G361/'Ar-Pa'!G361,0)</f>
        <v>0</v>
      </c>
      <c r="AF361" s="21">
        <f>IFERROR(H361/'Ar-Pa'!H361,0)</f>
        <v>0</v>
      </c>
      <c r="AG361" s="21">
        <f>IFERROR(I361/'Ar-Pa'!I361,0)</f>
        <v>0</v>
      </c>
      <c r="AH361" s="21">
        <f>IFERROR(J361/'Ar-Pa'!J361,0)</f>
        <v>0</v>
      </c>
      <c r="AI361" s="21">
        <f>IFERROR(K361/'Ar-Pa'!K361,0)</f>
        <v>0</v>
      </c>
      <c r="AJ361" s="21">
        <f>IFERROR(L361/'Ar-Pa'!L361,0)</f>
        <v>0</v>
      </c>
      <c r="AK361" s="21">
        <f>IFERROR(M361/'Ar-Pa'!M361,0)</f>
        <v>0</v>
      </c>
      <c r="AL361" s="21">
        <f>IFERROR(N361/'Ar-Pa'!N361,0)</f>
        <v>0</v>
      </c>
      <c r="AM361" s="21">
        <f>IFERROR(O361/'Ar-Pa'!O361,0)</f>
        <v>0</v>
      </c>
      <c r="AN361" s="21">
        <f>IFERROR(P361/'Ar-Pa'!P361,0)</f>
        <v>0</v>
      </c>
      <c r="AO361" s="21">
        <f>IFERROR(Q361/'Ar-Pa'!Q361,0)</f>
        <v>0</v>
      </c>
      <c r="AP361" s="21">
        <f>IFERROR(R361/'Ar-Pa'!R361,0)</f>
        <v>0</v>
      </c>
      <c r="AQ361" s="21">
        <f>IFERROR(S361/'Ar-Pa'!S361,0)</f>
        <v>0</v>
      </c>
      <c r="AR361" s="21">
        <f>IFERROR(T361/'Ar-Pa'!T361,0)</f>
        <v>0</v>
      </c>
      <c r="AS361" s="21">
        <f>IFERROR(U361/'Ar-Pa'!U361,0)</f>
        <v>0</v>
      </c>
      <c r="AT361" s="21">
        <f>IFERROR(V361/'Ar-Pa'!V361,0)</f>
        <v>0</v>
      </c>
      <c r="AU361" s="21">
        <f>IFERROR(W361/'Ar-Pa'!W361,0)</f>
        <v>0</v>
      </c>
      <c r="AV361" s="21">
        <f>IFERROR(X361/'Ar-Pa'!X361,0)</f>
        <v>0</v>
      </c>
      <c r="AW361" s="21">
        <f>IFERROR(Y361/'Ar-Pa'!Y361,0)</f>
        <v>0</v>
      </c>
      <c r="AX361" s="21">
        <f t="shared" si="9"/>
        <v>0</v>
      </c>
    </row>
    <row r="362" spans="1:50">
      <c r="A362" s="15">
        <v>45287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21">
        <f>IFERROR(B362/'Ar-Pa'!B362,0)</f>
        <v>0</v>
      </c>
      <c r="AA362" s="21">
        <f>IFERROR(C362/'Ar-Pa'!C362,0)</f>
        <v>0</v>
      </c>
      <c r="AB362" s="21">
        <f>IFERROR(D362/'Ar-Pa'!D362,0)</f>
        <v>0</v>
      </c>
      <c r="AC362" s="21">
        <f>IFERROR(E362/'Ar-Pa'!E362,0)</f>
        <v>0</v>
      </c>
      <c r="AD362" s="21">
        <f>IFERROR(F362/'Ar-Pa'!F362,0)</f>
        <v>0</v>
      </c>
      <c r="AE362" s="21">
        <f>IFERROR(G362/'Ar-Pa'!G362,0)</f>
        <v>0</v>
      </c>
      <c r="AF362" s="21">
        <f>IFERROR(H362/'Ar-Pa'!H362,0)</f>
        <v>0</v>
      </c>
      <c r="AG362" s="21">
        <f>IFERROR(I362/'Ar-Pa'!I362,0)</f>
        <v>0</v>
      </c>
      <c r="AH362" s="21">
        <f>IFERROR(J362/'Ar-Pa'!J362,0)</f>
        <v>0</v>
      </c>
      <c r="AI362" s="21">
        <f>IFERROR(K362/'Ar-Pa'!K362,0)</f>
        <v>0</v>
      </c>
      <c r="AJ362" s="21">
        <f>IFERROR(L362/'Ar-Pa'!L362,0)</f>
        <v>0</v>
      </c>
      <c r="AK362" s="21">
        <f>IFERROR(M362/'Ar-Pa'!M362,0)</f>
        <v>0</v>
      </c>
      <c r="AL362" s="21">
        <f>IFERROR(N362/'Ar-Pa'!N362,0)</f>
        <v>0</v>
      </c>
      <c r="AM362" s="21">
        <f>IFERROR(O362/'Ar-Pa'!O362,0)</f>
        <v>0</v>
      </c>
      <c r="AN362" s="21">
        <f>IFERROR(P362/'Ar-Pa'!P362,0)</f>
        <v>0</v>
      </c>
      <c r="AO362" s="21">
        <f>IFERROR(Q362/'Ar-Pa'!Q362,0)</f>
        <v>0</v>
      </c>
      <c r="AP362" s="21">
        <f>IFERROR(R362/'Ar-Pa'!R362,0)</f>
        <v>0</v>
      </c>
      <c r="AQ362" s="21">
        <f>IFERROR(S362/'Ar-Pa'!S362,0)</f>
        <v>0</v>
      </c>
      <c r="AR362" s="21">
        <f>IFERROR(T362/'Ar-Pa'!T362,0)</f>
        <v>0</v>
      </c>
      <c r="AS362" s="21">
        <f>IFERROR(U362/'Ar-Pa'!U362,0)</f>
        <v>0</v>
      </c>
      <c r="AT362" s="21">
        <f>IFERROR(V362/'Ar-Pa'!V362,0)</f>
        <v>0</v>
      </c>
      <c r="AU362" s="21">
        <f>IFERROR(W362/'Ar-Pa'!W362,0)</f>
        <v>0</v>
      </c>
      <c r="AV362" s="21">
        <f>IFERROR(X362/'Ar-Pa'!X362,0)</f>
        <v>0</v>
      </c>
      <c r="AW362" s="21">
        <f>IFERROR(Y362/'Ar-Pa'!Y362,0)</f>
        <v>0</v>
      </c>
      <c r="AX362" s="21">
        <f t="shared" si="9"/>
        <v>0</v>
      </c>
    </row>
    <row r="363" spans="1:50">
      <c r="A363" s="15">
        <v>45288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21">
        <f>IFERROR(B363/'Ar-Pa'!B363,0)</f>
        <v>0</v>
      </c>
      <c r="AA363" s="21">
        <f>IFERROR(C363/'Ar-Pa'!C363,0)</f>
        <v>0</v>
      </c>
      <c r="AB363" s="21">
        <f>IFERROR(D363/'Ar-Pa'!D363,0)</f>
        <v>0</v>
      </c>
      <c r="AC363" s="21">
        <f>IFERROR(E363/'Ar-Pa'!E363,0)</f>
        <v>0</v>
      </c>
      <c r="AD363" s="21">
        <f>IFERROR(F363/'Ar-Pa'!F363,0)</f>
        <v>0</v>
      </c>
      <c r="AE363" s="21">
        <f>IFERROR(G363/'Ar-Pa'!G363,0)</f>
        <v>0</v>
      </c>
      <c r="AF363" s="21">
        <f>IFERROR(H363/'Ar-Pa'!H363,0)</f>
        <v>0</v>
      </c>
      <c r="AG363" s="21">
        <f>IFERROR(I363/'Ar-Pa'!I363,0)</f>
        <v>0</v>
      </c>
      <c r="AH363" s="21">
        <f>IFERROR(J363/'Ar-Pa'!J363,0)</f>
        <v>0</v>
      </c>
      <c r="AI363" s="21">
        <f>IFERROR(K363/'Ar-Pa'!K363,0)</f>
        <v>0</v>
      </c>
      <c r="AJ363" s="21">
        <f>IFERROR(L363/'Ar-Pa'!L363,0)</f>
        <v>0</v>
      </c>
      <c r="AK363" s="21">
        <f>IFERROR(M363/'Ar-Pa'!M363,0)</f>
        <v>0</v>
      </c>
      <c r="AL363" s="21">
        <f>IFERROR(N363/'Ar-Pa'!N363,0)</f>
        <v>0</v>
      </c>
      <c r="AM363" s="21">
        <f>IFERROR(O363/'Ar-Pa'!O363,0)</f>
        <v>0</v>
      </c>
      <c r="AN363" s="21">
        <f>IFERROR(P363/'Ar-Pa'!P363,0)</f>
        <v>0</v>
      </c>
      <c r="AO363" s="21">
        <f>IFERROR(Q363/'Ar-Pa'!Q363,0)</f>
        <v>0</v>
      </c>
      <c r="AP363" s="21">
        <f>IFERROR(R363/'Ar-Pa'!R363,0)</f>
        <v>0</v>
      </c>
      <c r="AQ363" s="21">
        <f>IFERROR(S363/'Ar-Pa'!S363,0)</f>
        <v>0</v>
      </c>
      <c r="AR363" s="21">
        <f>IFERROR(T363/'Ar-Pa'!T363,0)</f>
        <v>0</v>
      </c>
      <c r="AS363" s="21">
        <f>IFERROR(U363/'Ar-Pa'!U363,0)</f>
        <v>0</v>
      </c>
      <c r="AT363" s="21">
        <f>IFERROR(V363/'Ar-Pa'!V363,0)</f>
        <v>0</v>
      </c>
      <c r="AU363" s="21">
        <f>IFERROR(W363/'Ar-Pa'!W363,0)</f>
        <v>0</v>
      </c>
      <c r="AV363" s="21">
        <f>IFERROR(X363/'Ar-Pa'!X363,0)</f>
        <v>0</v>
      </c>
      <c r="AW363" s="21">
        <f>IFERROR(Y363/'Ar-Pa'!Y363,0)</f>
        <v>0</v>
      </c>
      <c r="AX363" s="21">
        <f t="shared" si="9"/>
        <v>0</v>
      </c>
    </row>
    <row r="364" spans="1:50">
      <c r="A364" s="15">
        <v>45289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21">
        <f>IFERROR(B364/'Ar-Pa'!B364,0)</f>
        <v>0</v>
      </c>
      <c r="AA364" s="21">
        <f>IFERROR(C364/'Ar-Pa'!C364,0)</f>
        <v>0</v>
      </c>
      <c r="AB364" s="21">
        <f>IFERROR(D364/'Ar-Pa'!D364,0)</f>
        <v>0</v>
      </c>
      <c r="AC364" s="21">
        <f>IFERROR(E364/'Ar-Pa'!E364,0)</f>
        <v>0</v>
      </c>
      <c r="AD364" s="21">
        <f>IFERROR(F364/'Ar-Pa'!F364,0)</f>
        <v>0</v>
      </c>
      <c r="AE364" s="21">
        <f>IFERROR(G364/'Ar-Pa'!G364,0)</f>
        <v>0</v>
      </c>
      <c r="AF364" s="21">
        <f>IFERROR(H364/'Ar-Pa'!H364,0)</f>
        <v>0</v>
      </c>
      <c r="AG364" s="21">
        <f>IFERROR(I364/'Ar-Pa'!I364,0)</f>
        <v>0</v>
      </c>
      <c r="AH364" s="21">
        <f>IFERROR(J364/'Ar-Pa'!J364,0)</f>
        <v>0</v>
      </c>
      <c r="AI364" s="21">
        <f>IFERROR(K364/'Ar-Pa'!K364,0)</f>
        <v>0</v>
      </c>
      <c r="AJ364" s="21">
        <f>IFERROR(L364/'Ar-Pa'!L364,0)</f>
        <v>0</v>
      </c>
      <c r="AK364" s="21">
        <f>IFERROR(M364/'Ar-Pa'!M364,0)</f>
        <v>0</v>
      </c>
      <c r="AL364" s="21">
        <f>IFERROR(N364/'Ar-Pa'!N364,0)</f>
        <v>0</v>
      </c>
      <c r="AM364" s="21">
        <f>IFERROR(O364/'Ar-Pa'!O364,0)</f>
        <v>0</v>
      </c>
      <c r="AN364" s="21">
        <f>IFERROR(P364/'Ar-Pa'!P364,0)</f>
        <v>0</v>
      </c>
      <c r="AO364" s="21">
        <f>IFERROR(Q364/'Ar-Pa'!Q364,0)</f>
        <v>0</v>
      </c>
      <c r="AP364" s="21">
        <f>IFERROR(R364/'Ar-Pa'!R364,0)</f>
        <v>0</v>
      </c>
      <c r="AQ364" s="21">
        <f>IFERROR(S364/'Ar-Pa'!S364,0)</f>
        <v>0</v>
      </c>
      <c r="AR364" s="21">
        <f>IFERROR(T364/'Ar-Pa'!T364,0)</f>
        <v>0</v>
      </c>
      <c r="AS364" s="21">
        <f>IFERROR(U364/'Ar-Pa'!U364,0)</f>
        <v>0</v>
      </c>
      <c r="AT364" s="21">
        <f>IFERROR(V364/'Ar-Pa'!V364,0)</f>
        <v>0</v>
      </c>
      <c r="AU364" s="21">
        <f>IFERROR(W364/'Ar-Pa'!W364,0)</f>
        <v>0</v>
      </c>
      <c r="AV364" s="21">
        <f>IFERROR(X364/'Ar-Pa'!X364,0)</f>
        <v>0</v>
      </c>
      <c r="AW364" s="21">
        <f>IFERROR(Y364/'Ar-Pa'!Y364,0)</f>
        <v>0</v>
      </c>
      <c r="AX364" s="21">
        <f t="shared" si="9"/>
        <v>0</v>
      </c>
    </row>
    <row r="365" spans="1:50">
      <c r="A365" s="15">
        <v>45290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21">
        <f>IFERROR(B365/'Ar-Pa'!B365,0)</f>
        <v>0</v>
      </c>
      <c r="AA365" s="21">
        <f>IFERROR(C365/'Ar-Pa'!C365,0)</f>
        <v>0</v>
      </c>
      <c r="AB365" s="21">
        <f>IFERROR(D365/'Ar-Pa'!D365,0)</f>
        <v>0</v>
      </c>
      <c r="AC365" s="21">
        <f>IFERROR(E365/'Ar-Pa'!E365,0)</f>
        <v>0</v>
      </c>
      <c r="AD365" s="21">
        <f>IFERROR(F365/'Ar-Pa'!F365,0)</f>
        <v>0</v>
      </c>
      <c r="AE365" s="21">
        <f>IFERROR(G365/'Ar-Pa'!G365,0)</f>
        <v>0</v>
      </c>
      <c r="AF365" s="21">
        <f>IFERROR(H365/'Ar-Pa'!H365,0)</f>
        <v>0</v>
      </c>
      <c r="AG365" s="21">
        <f>IFERROR(I365/'Ar-Pa'!I365,0)</f>
        <v>0</v>
      </c>
      <c r="AH365" s="21">
        <f>IFERROR(J365/'Ar-Pa'!J365,0)</f>
        <v>0</v>
      </c>
      <c r="AI365" s="21">
        <f>IFERROR(K365/'Ar-Pa'!K365,0)</f>
        <v>0</v>
      </c>
      <c r="AJ365" s="21">
        <f>IFERROR(L365/'Ar-Pa'!L365,0)</f>
        <v>0</v>
      </c>
      <c r="AK365" s="21">
        <f>IFERROR(M365/'Ar-Pa'!M365,0)</f>
        <v>0</v>
      </c>
      <c r="AL365" s="21">
        <f>IFERROR(N365/'Ar-Pa'!N365,0)</f>
        <v>0</v>
      </c>
      <c r="AM365" s="21">
        <f>IFERROR(O365/'Ar-Pa'!O365,0)</f>
        <v>0</v>
      </c>
      <c r="AN365" s="21">
        <f>IFERROR(P365/'Ar-Pa'!P365,0)</f>
        <v>0</v>
      </c>
      <c r="AO365" s="21">
        <f>IFERROR(Q365/'Ar-Pa'!Q365,0)</f>
        <v>0</v>
      </c>
      <c r="AP365" s="21">
        <f>IFERROR(R365/'Ar-Pa'!R365,0)</f>
        <v>0</v>
      </c>
      <c r="AQ365" s="21">
        <f>IFERROR(S365/'Ar-Pa'!S365,0)</f>
        <v>0</v>
      </c>
      <c r="AR365" s="21">
        <f>IFERROR(T365/'Ar-Pa'!T365,0)</f>
        <v>0</v>
      </c>
      <c r="AS365" s="21">
        <f>IFERROR(U365/'Ar-Pa'!U365,0)</f>
        <v>0</v>
      </c>
      <c r="AT365" s="21">
        <f>IFERROR(V365/'Ar-Pa'!V365,0)</f>
        <v>0</v>
      </c>
      <c r="AU365" s="21">
        <f>IFERROR(W365/'Ar-Pa'!W365,0)</f>
        <v>0</v>
      </c>
      <c r="AV365" s="21">
        <f>IFERROR(X365/'Ar-Pa'!X365,0)</f>
        <v>0</v>
      </c>
      <c r="AW365" s="21">
        <f>IFERROR(Y365/'Ar-Pa'!Y365,0)</f>
        <v>0</v>
      </c>
      <c r="AX365" s="21">
        <f t="shared" si="9"/>
        <v>0</v>
      </c>
    </row>
    <row r="366" spans="1:50">
      <c r="A366" s="15">
        <v>45291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21">
        <f>IFERROR(B366/'Ar-Pa'!B366,0)</f>
        <v>0</v>
      </c>
      <c r="AA366" s="21">
        <f>IFERROR(C366/'Ar-Pa'!C366,0)</f>
        <v>0</v>
      </c>
      <c r="AB366" s="21">
        <f>IFERROR(D366/'Ar-Pa'!D366,0)</f>
        <v>0</v>
      </c>
      <c r="AC366" s="21">
        <f>IFERROR(E366/'Ar-Pa'!E366,0)</f>
        <v>0</v>
      </c>
      <c r="AD366" s="21">
        <f>IFERROR(F366/'Ar-Pa'!F366,0)</f>
        <v>0</v>
      </c>
      <c r="AE366" s="21">
        <f>IFERROR(G366/'Ar-Pa'!G366,0)</f>
        <v>0</v>
      </c>
      <c r="AF366" s="21">
        <f>IFERROR(H366/'Ar-Pa'!H366,0)</f>
        <v>0</v>
      </c>
      <c r="AG366" s="21">
        <f>IFERROR(I366/'Ar-Pa'!I366,0)</f>
        <v>0</v>
      </c>
      <c r="AH366" s="21">
        <f>IFERROR(J366/'Ar-Pa'!J366,0)</f>
        <v>0</v>
      </c>
      <c r="AI366" s="21">
        <f>IFERROR(K366/'Ar-Pa'!K366,0)</f>
        <v>0</v>
      </c>
      <c r="AJ366" s="21">
        <f>IFERROR(L366/'Ar-Pa'!L366,0)</f>
        <v>0</v>
      </c>
      <c r="AK366" s="21">
        <f>IFERROR(M366/'Ar-Pa'!M366,0)</f>
        <v>0</v>
      </c>
      <c r="AL366" s="21">
        <f>IFERROR(N366/'Ar-Pa'!N366,0)</f>
        <v>0</v>
      </c>
      <c r="AM366" s="21">
        <f>IFERROR(O366/'Ar-Pa'!O366,0)</f>
        <v>0</v>
      </c>
      <c r="AN366" s="21">
        <f>IFERROR(P366/'Ar-Pa'!P366,0)</f>
        <v>0</v>
      </c>
      <c r="AO366" s="21">
        <f>IFERROR(Q366/'Ar-Pa'!Q366,0)</f>
        <v>0</v>
      </c>
      <c r="AP366" s="21">
        <f>IFERROR(R366/'Ar-Pa'!R366,0)</f>
        <v>0</v>
      </c>
      <c r="AQ366" s="21">
        <f>IFERROR(S366/'Ar-Pa'!S366,0)</f>
        <v>0</v>
      </c>
      <c r="AR366" s="21">
        <f>IFERROR(T366/'Ar-Pa'!T366,0)</f>
        <v>0</v>
      </c>
      <c r="AS366" s="21">
        <f>IFERROR(U366/'Ar-Pa'!U366,0)</f>
        <v>0</v>
      </c>
      <c r="AT366" s="21">
        <f>IFERROR(V366/'Ar-Pa'!V366,0)</f>
        <v>0</v>
      </c>
      <c r="AU366" s="21">
        <f>IFERROR(W366/'Ar-Pa'!W366,0)</f>
        <v>0</v>
      </c>
      <c r="AV366" s="21">
        <f>IFERROR(X366/'Ar-Pa'!X366,0)</f>
        <v>0</v>
      </c>
      <c r="AW366" s="21">
        <f>IFERROR(Y366/'Ar-Pa'!Y366,0)</f>
        <v>0</v>
      </c>
      <c r="AX366" s="21">
        <f t="shared" si="9"/>
        <v>0</v>
      </c>
    </row>
  </sheetData>
  <autoFilter ref="A1:AX366" xr:uid="{00000000-0009-0000-0000-000001000000}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0">
    <outlinePr summaryBelow="0"/>
  </sheetPr>
  <dimension ref="A1:X8761"/>
  <sheetViews>
    <sheetView showGridLines="0" workbookViewId="0">
      <pane ySplit="1" topLeftCell="A8742" activePane="bottomLeft" state="frozen"/>
      <selection activeCell="AE23" sqref="AE23"/>
      <selection pane="bottomLeft" activeCell="A2" sqref="A2"/>
    </sheetView>
  </sheetViews>
  <sheetFormatPr defaultColWidth="11.42578125" defaultRowHeight="15"/>
  <cols>
    <col min="1" max="1" width="10.28515625" customWidth="1"/>
    <col min="2" max="2" width="5" customWidth="1"/>
    <col min="3" max="3" width="26.7109375" style="51" bestFit="1" customWidth="1"/>
    <col min="4" max="4" width="24.7109375" style="51" bestFit="1" customWidth="1"/>
    <col min="5" max="254" width="9.140625" customWidth="1"/>
    <col min="255" max="255" width="10.28515625" customWidth="1"/>
    <col min="256" max="256" width="5" customWidth="1"/>
    <col min="257" max="260" width="14" customWidth="1"/>
    <col min="261" max="510" width="9.140625" customWidth="1"/>
    <col min="511" max="511" width="10.28515625" customWidth="1"/>
    <col min="512" max="512" width="5" customWidth="1"/>
    <col min="513" max="516" width="14" customWidth="1"/>
    <col min="517" max="766" width="9.140625" customWidth="1"/>
    <col min="767" max="767" width="10.28515625" customWidth="1"/>
    <col min="768" max="768" width="5" customWidth="1"/>
    <col min="769" max="772" width="14" customWidth="1"/>
    <col min="773" max="1022" width="9.140625" customWidth="1"/>
    <col min="1023" max="1023" width="10.28515625" customWidth="1"/>
    <col min="1024" max="1024" width="5" customWidth="1"/>
    <col min="1025" max="1028" width="14" customWidth="1"/>
    <col min="1029" max="1278" width="9.140625" customWidth="1"/>
    <col min="1279" max="1279" width="10.28515625" customWidth="1"/>
    <col min="1280" max="1280" width="5" customWidth="1"/>
    <col min="1281" max="1284" width="14" customWidth="1"/>
    <col min="1285" max="1534" width="9.140625" customWidth="1"/>
    <col min="1535" max="1535" width="10.28515625" customWidth="1"/>
    <col min="1536" max="1536" width="5" customWidth="1"/>
    <col min="1537" max="1540" width="14" customWidth="1"/>
    <col min="1541" max="1790" width="9.140625" customWidth="1"/>
    <col min="1791" max="1791" width="10.28515625" customWidth="1"/>
    <col min="1792" max="1792" width="5" customWidth="1"/>
    <col min="1793" max="1796" width="14" customWidth="1"/>
    <col min="1797" max="2046" width="9.140625" customWidth="1"/>
    <col min="2047" max="2047" width="10.28515625" customWidth="1"/>
    <col min="2048" max="2048" width="5" customWidth="1"/>
    <col min="2049" max="2052" width="14" customWidth="1"/>
    <col min="2053" max="2302" width="9.140625" customWidth="1"/>
    <col min="2303" max="2303" width="10.28515625" customWidth="1"/>
    <col min="2304" max="2304" width="5" customWidth="1"/>
    <col min="2305" max="2308" width="14" customWidth="1"/>
    <col min="2309" max="2558" width="9.140625" customWidth="1"/>
    <col min="2559" max="2559" width="10.28515625" customWidth="1"/>
    <col min="2560" max="2560" width="5" customWidth="1"/>
    <col min="2561" max="2564" width="14" customWidth="1"/>
    <col min="2565" max="2814" width="9.140625" customWidth="1"/>
    <col min="2815" max="2815" width="10.28515625" customWidth="1"/>
    <col min="2816" max="2816" width="5" customWidth="1"/>
    <col min="2817" max="2820" width="14" customWidth="1"/>
    <col min="2821" max="3070" width="9.140625" customWidth="1"/>
    <col min="3071" max="3071" width="10.28515625" customWidth="1"/>
    <col min="3072" max="3072" width="5" customWidth="1"/>
    <col min="3073" max="3076" width="14" customWidth="1"/>
    <col min="3077" max="3326" width="9.140625" customWidth="1"/>
    <col min="3327" max="3327" width="10.28515625" customWidth="1"/>
    <col min="3328" max="3328" width="5" customWidth="1"/>
    <col min="3329" max="3332" width="14" customWidth="1"/>
    <col min="3333" max="3582" width="9.140625" customWidth="1"/>
    <col min="3583" max="3583" width="10.28515625" customWidth="1"/>
    <col min="3584" max="3584" width="5" customWidth="1"/>
    <col min="3585" max="3588" width="14" customWidth="1"/>
    <col min="3589" max="3838" width="9.140625" customWidth="1"/>
    <col min="3839" max="3839" width="10.28515625" customWidth="1"/>
    <col min="3840" max="3840" width="5" customWidth="1"/>
    <col min="3841" max="3844" width="14" customWidth="1"/>
    <col min="3845" max="4094" width="9.140625" customWidth="1"/>
    <col min="4095" max="4095" width="10.28515625" customWidth="1"/>
    <col min="4096" max="4096" width="5" customWidth="1"/>
    <col min="4097" max="4100" width="14" customWidth="1"/>
    <col min="4101" max="4350" width="9.140625" customWidth="1"/>
    <col min="4351" max="4351" width="10.28515625" customWidth="1"/>
    <col min="4352" max="4352" width="5" customWidth="1"/>
    <col min="4353" max="4356" width="14" customWidth="1"/>
    <col min="4357" max="4606" width="9.140625" customWidth="1"/>
    <col min="4607" max="4607" width="10.28515625" customWidth="1"/>
    <col min="4608" max="4608" width="5" customWidth="1"/>
    <col min="4609" max="4612" width="14" customWidth="1"/>
    <col min="4613" max="4862" width="9.140625" customWidth="1"/>
    <col min="4863" max="4863" width="10.28515625" customWidth="1"/>
    <col min="4864" max="4864" width="5" customWidth="1"/>
    <col min="4865" max="4868" width="14" customWidth="1"/>
    <col min="4869" max="5118" width="9.140625" customWidth="1"/>
    <col min="5119" max="5119" width="10.28515625" customWidth="1"/>
    <col min="5120" max="5120" width="5" customWidth="1"/>
    <col min="5121" max="5124" width="14" customWidth="1"/>
    <col min="5125" max="5374" width="9.140625" customWidth="1"/>
    <col min="5375" max="5375" width="10.28515625" customWidth="1"/>
    <col min="5376" max="5376" width="5" customWidth="1"/>
    <col min="5377" max="5380" width="14" customWidth="1"/>
    <col min="5381" max="5630" width="9.140625" customWidth="1"/>
    <col min="5631" max="5631" width="10.28515625" customWidth="1"/>
    <col min="5632" max="5632" width="5" customWidth="1"/>
    <col min="5633" max="5636" width="14" customWidth="1"/>
    <col min="5637" max="5886" width="9.140625" customWidth="1"/>
    <col min="5887" max="5887" width="10.28515625" customWidth="1"/>
    <col min="5888" max="5888" width="5" customWidth="1"/>
    <col min="5889" max="5892" width="14" customWidth="1"/>
    <col min="5893" max="6142" width="9.140625" customWidth="1"/>
    <col min="6143" max="6143" width="10.28515625" customWidth="1"/>
    <col min="6144" max="6144" width="5" customWidth="1"/>
    <col min="6145" max="6148" width="14" customWidth="1"/>
    <col min="6149" max="6398" width="9.140625" customWidth="1"/>
    <col min="6399" max="6399" width="10.28515625" customWidth="1"/>
    <col min="6400" max="6400" width="5" customWidth="1"/>
    <col min="6401" max="6404" width="14" customWidth="1"/>
    <col min="6405" max="6654" width="9.140625" customWidth="1"/>
    <col min="6655" max="6655" width="10.28515625" customWidth="1"/>
    <col min="6656" max="6656" width="5" customWidth="1"/>
    <col min="6657" max="6660" width="14" customWidth="1"/>
    <col min="6661" max="6910" width="9.140625" customWidth="1"/>
    <col min="6911" max="6911" width="10.28515625" customWidth="1"/>
    <col min="6912" max="6912" width="5" customWidth="1"/>
    <col min="6913" max="6916" width="14" customWidth="1"/>
    <col min="6917" max="7166" width="9.140625" customWidth="1"/>
    <col min="7167" max="7167" width="10.28515625" customWidth="1"/>
    <col min="7168" max="7168" width="5" customWidth="1"/>
    <col min="7169" max="7172" width="14" customWidth="1"/>
    <col min="7173" max="7422" width="9.140625" customWidth="1"/>
    <col min="7423" max="7423" width="10.28515625" customWidth="1"/>
    <col min="7424" max="7424" width="5" customWidth="1"/>
    <col min="7425" max="7428" width="14" customWidth="1"/>
    <col min="7429" max="7678" width="9.140625" customWidth="1"/>
    <col min="7679" max="7679" width="10.28515625" customWidth="1"/>
    <col min="7680" max="7680" width="5" customWidth="1"/>
    <col min="7681" max="7684" width="14" customWidth="1"/>
    <col min="7685" max="7934" width="9.140625" customWidth="1"/>
    <col min="7935" max="7935" width="10.28515625" customWidth="1"/>
    <col min="7936" max="7936" width="5" customWidth="1"/>
    <col min="7937" max="7940" width="14" customWidth="1"/>
    <col min="7941" max="8190" width="9.140625" customWidth="1"/>
    <col min="8191" max="8191" width="10.28515625" customWidth="1"/>
    <col min="8192" max="8192" width="5" customWidth="1"/>
    <col min="8193" max="8196" width="14" customWidth="1"/>
    <col min="8197" max="8446" width="9.140625" customWidth="1"/>
    <col min="8447" max="8447" width="10.28515625" customWidth="1"/>
    <col min="8448" max="8448" width="5" customWidth="1"/>
    <col min="8449" max="8452" width="14" customWidth="1"/>
    <col min="8453" max="8702" width="9.140625" customWidth="1"/>
    <col min="8703" max="8703" width="10.28515625" customWidth="1"/>
    <col min="8704" max="8704" width="5" customWidth="1"/>
    <col min="8705" max="8708" width="14" customWidth="1"/>
    <col min="8709" max="8958" width="9.140625" customWidth="1"/>
    <col min="8959" max="8959" width="10.28515625" customWidth="1"/>
    <col min="8960" max="8960" width="5" customWidth="1"/>
    <col min="8961" max="8964" width="14" customWidth="1"/>
    <col min="8965" max="9214" width="9.140625" customWidth="1"/>
    <col min="9215" max="9215" width="10.28515625" customWidth="1"/>
    <col min="9216" max="9216" width="5" customWidth="1"/>
    <col min="9217" max="9220" width="14" customWidth="1"/>
    <col min="9221" max="9470" width="9.140625" customWidth="1"/>
    <col min="9471" max="9471" width="10.28515625" customWidth="1"/>
    <col min="9472" max="9472" width="5" customWidth="1"/>
    <col min="9473" max="9476" width="14" customWidth="1"/>
    <col min="9477" max="9726" width="9.140625" customWidth="1"/>
    <col min="9727" max="9727" width="10.28515625" customWidth="1"/>
    <col min="9728" max="9728" width="5" customWidth="1"/>
    <col min="9729" max="9732" width="14" customWidth="1"/>
    <col min="9733" max="9982" width="9.140625" customWidth="1"/>
    <col min="9983" max="9983" width="10.28515625" customWidth="1"/>
    <col min="9984" max="9984" width="5" customWidth="1"/>
    <col min="9985" max="9988" width="14" customWidth="1"/>
    <col min="9989" max="10238" width="9.140625" customWidth="1"/>
    <col min="10239" max="10239" width="10.28515625" customWidth="1"/>
    <col min="10240" max="10240" width="5" customWidth="1"/>
    <col min="10241" max="10244" width="14" customWidth="1"/>
    <col min="10245" max="10494" width="9.140625" customWidth="1"/>
    <col min="10495" max="10495" width="10.28515625" customWidth="1"/>
    <col min="10496" max="10496" width="5" customWidth="1"/>
    <col min="10497" max="10500" width="14" customWidth="1"/>
    <col min="10501" max="10750" width="9.140625" customWidth="1"/>
    <col min="10751" max="10751" width="10.28515625" customWidth="1"/>
    <col min="10752" max="10752" width="5" customWidth="1"/>
    <col min="10753" max="10756" width="14" customWidth="1"/>
    <col min="10757" max="11006" width="9.140625" customWidth="1"/>
    <col min="11007" max="11007" width="10.28515625" customWidth="1"/>
    <col min="11008" max="11008" width="5" customWidth="1"/>
    <col min="11009" max="11012" width="14" customWidth="1"/>
    <col min="11013" max="11262" width="9.140625" customWidth="1"/>
    <col min="11263" max="11263" width="10.28515625" customWidth="1"/>
    <col min="11264" max="11264" width="5" customWidth="1"/>
    <col min="11265" max="11268" width="14" customWidth="1"/>
    <col min="11269" max="11518" width="9.140625" customWidth="1"/>
    <col min="11519" max="11519" width="10.28515625" customWidth="1"/>
    <col min="11520" max="11520" width="5" customWidth="1"/>
    <col min="11521" max="11524" width="14" customWidth="1"/>
    <col min="11525" max="11774" width="9.140625" customWidth="1"/>
    <col min="11775" max="11775" width="10.28515625" customWidth="1"/>
    <col min="11776" max="11776" width="5" customWidth="1"/>
    <col min="11777" max="11780" width="14" customWidth="1"/>
    <col min="11781" max="12030" width="9.140625" customWidth="1"/>
    <col min="12031" max="12031" width="10.28515625" customWidth="1"/>
    <col min="12032" max="12032" width="5" customWidth="1"/>
    <col min="12033" max="12036" width="14" customWidth="1"/>
    <col min="12037" max="12286" width="9.140625" customWidth="1"/>
    <col min="12287" max="12287" width="10.28515625" customWidth="1"/>
    <col min="12288" max="12288" width="5" customWidth="1"/>
    <col min="12289" max="12292" width="14" customWidth="1"/>
    <col min="12293" max="12542" width="9.140625" customWidth="1"/>
    <col min="12543" max="12543" width="10.28515625" customWidth="1"/>
    <col min="12544" max="12544" width="5" customWidth="1"/>
    <col min="12545" max="12548" width="14" customWidth="1"/>
    <col min="12549" max="12798" width="9.140625" customWidth="1"/>
    <col min="12799" max="12799" width="10.28515625" customWidth="1"/>
    <col min="12800" max="12800" width="5" customWidth="1"/>
    <col min="12801" max="12804" width="14" customWidth="1"/>
    <col min="12805" max="13054" width="9.140625" customWidth="1"/>
    <col min="13055" max="13055" width="10.28515625" customWidth="1"/>
    <col min="13056" max="13056" width="5" customWidth="1"/>
    <col min="13057" max="13060" width="14" customWidth="1"/>
    <col min="13061" max="13310" width="9.140625" customWidth="1"/>
    <col min="13311" max="13311" width="10.28515625" customWidth="1"/>
    <col min="13312" max="13312" width="5" customWidth="1"/>
    <col min="13313" max="13316" width="14" customWidth="1"/>
    <col min="13317" max="13566" width="9.140625" customWidth="1"/>
    <col min="13567" max="13567" width="10.28515625" customWidth="1"/>
    <col min="13568" max="13568" width="5" customWidth="1"/>
    <col min="13569" max="13572" width="14" customWidth="1"/>
    <col min="13573" max="13822" width="9.140625" customWidth="1"/>
    <col min="13823" max="13823" width="10.28515625" customWidth="1"/>
    <col min="13824" max="13824" width="5" customWidth="1"/>
    <col min="13825" max="13828" width="14" customWidth="1"/>
    <col min="13829" max="14078" width="9.140625" customWidth="1"/>
    <col min="14079" max="14079" width="10.28515625" customWidth="1"/>
    <col min="14080" max="14080" width="5" customWidth="1"/>
    <col min="14081" max="14084" width="14" customWidth="1"/>
    <col min="14085" max="14334" width="9.140625" customWidth="1"/>
    <col min="14335" max="14335" width="10.28515625" customWidth="1"/>
    <col min="14336" max="14336" width="5" customWidth="1"/>
    <col min="14337" max="14340" width="14" customWidth="1"/>
    <col min="14341" max="14590" width="9.140625" customWidth="1"/>
    <col min="14591" max="14591" width="10.28515625" customWidth="1"/>
    <col min="14592" max="14592" width="5" customWidth="1"/>
    <col min="14593" max="14596" width="14" customWidth="1"/>
    <col min="14597" max="14846" width="9.140625" customWidth="1"/>
    <col min="14847" max="14847" width="10.28515625" customWidth="1"/>
    <col min="14848" max="14848" width="5" customWidth="1"/>
    <col min="14849" max="14852" width="14" customWidth="1"/>
    <col min="14853" max="15102" width="9.140625" customWidth="1"/>
    <col min="15103" max="15103" width="10.28515625" customWidth="1"/>
    <col min="15104" max="15104" width="5" customWidth="1"/>
    <col min="15105" max="15108" width="14" customWidth="1"/>
    <col min="15109" max="15358" width="9.140625" customWidth="1"/>
    <col min="15359" max="15359" width="10.28515625" customWidth="1"/>
    <col min="15360" max="15360" width="5" customWidth="1"/>
    <col min="15361" max="15364" width="14" customWidth="1"/>
    <col min="15365" max="15614" width="9.140625" customWidth="1"/>
    <col min="15615" max="15615" width="10.28515625" customWidth="1"/>
    <col min="15616" max="15616" width="5" customWidth="1"/>
    <col min="15617" max="15620" width="14" customWidth="1"/>
    <col min="15621" max="15870" width="9.140625" customWidth="1"/>
    <col min="15871" max="15871" width="10.28515625" customWidth="1"/>
    <col min="15872" max="15872" width="5" customWidth="1"/>
    <col min="15873" max="15876" width="14" customWidth="1"/>
    <col min="15877" max="16126" width="9.140625" customWidth="1"/>
    <col min="16127" max="16127" width="10.28515625" customWidth="1"/>
    <col min="16128" max="16128" width="5" customWidth="1"/>
    <col min="16129" max="16132" width="14" customWidth="1"/>
    <col min="16133" max="16384" width="9.140625" customWidth="1"/>
  </cols>
  <sheetData>
    <row r="1" spans="1:4">
      <c r="A1" s="49" t="s">
        <v>26</v>
      </c>
      <c r="B1" s="49" t="s">
        <v>27</v>
      </c>
      <c r="C1" s="51" t="s">
        <v>28</v>
      </c>
      <c r="D1" s="51" t="s">
        <v>29</v>
      </c>
    </row>
    <row r="2" spans="1:4" ht="15" customHeight="1">
      <c r="A2" s="50">
        <v>44927</v>
      </c>
      <c r="B2" s="49" t="s">
        <v>30</v>
      </c>
      <c r="C2" s="51">
        <v>0</v>
      </c>
      <c r="D2" s="51">
        <v>361.2</v>
      </c>
    </row>
    <row r="3" spans="1:4" ht="15" customHeight="1">
      <c r="A3" s="50">
        <v>44927</v>
      </c>
      <c r="B3" s="49" t="s">
        <v>31</v>
      </c>
      <c r="C3" s="51">
        <v>0</v>
      </c>
      <c r="D3" s="51">
        <v>328.7</v>
      </c>
    </row>
    <row r="4" spans="1:4" ht="15" customHeight="1">
      <c r="A4" s="50">
        <v>44927</v>
      </c>
      <c r="B4" s="49" t="s">
        <v>32</v>
      </c>
      <c r="C4" s="51">
        <v>0</v>
      </c>
      <c r="D4" s="51">
        <v>342.6</v>
      </c>
    </row>
    <row r="5" spans="1:4" ht="15" customHeight="1">
      <c r="A5" s="50">
        <v>44927</v>
      </c>
      <c r="B5" s="49" t="s">
        <v>33</v>
      </c>
      <c r="C5" s="51">
        <v>0</v>
      </c>
      <c r="D5" s="51">
        <v>335.1</v>
      </c>
    </row>
    <row r="6" spans="1:4" ht="15" customHeight="1">
      <c r="A6" s="50">
        <v>44927</v>
      </c>
      <c r="B6" s="49" t="s">
        <v>34</v>
      </c>
      <c r="C6" s="51">
        <v>0</v>
      </c>
      <c r="D6" s="51">
        <v>320</v>
      </c>
    </row>
    <row r="7" spans="1:4" ht="15" customHeight="1">
      <c r="A7" s="50">
        <v>44927</v>
      </c>
      <c r="B7" s="49" t="s">
        <v>35</v>
      </c>
      <c r="C7" s="51">
        <v>0</v>
      </c>
      <c r="D7" s="51">
        <v>273.60000000000002</v>
      </c>
    </row>
    <row r="8" spans="1:4" ht="15" customHeight="1">
      <c r="A8" s="50">
        <v>44927</v>
      </c>
      <c r="B8" s="49" t="s">
        <v>36</v>
      </c>
      <c r="C8" s="51">
        <v>0</v>
      </c>
      <c r="D8" s="51">
        <v>263.7</v>
      </c>
    </row>
    <row r="9" spans="1:4" ht="15" customHeight="1">
      <c r="A9" s="50">
        <v>44927</v>
      </c>
      <c r="B9" s="49" t="s">
        <v>37</v>
      </c>
      <c r="C9" s="51">
        <v>0</v>
      </c>
      <c r="D9" s="51">
        <v>227.6</v>
      </c>
    </row>
    <row r="10" spans="1:4" ht="15" customHeight="1">
      <c r="A10" s="50">
        <v>44927</v>
      </c>
      <c r="B10" s="49" t="s">
        <v>38</v>
      </c>
      <c r="C10" s="51">
        <v>0</v>
      </c>
      <c r="D10" s="51">
        <v>184.5</v>
      </c>
    </row>
    <row r="11" spans="1:4" ht="15" customHeight="1">
      <c r="A11" s="50">
        <v>44927</v>
      </c>
      <c r="B11" s="49" t="s">
        <v>39</v>
      </c>
      <c r="C11" s="51">
        <v>0</v>
      </c>
      <c r="D11" s="51">
        <v>203.4</v>
      </c>
    </row>
    <row r="12" spans="1:4" ht="15" customHeight="1">
      <c r="A12" s="50">
        <v>44927</v>
      </c>
      <c r="B12" s="49" t="s">
        <v>40</v>
      </c>
      <c r="C12" s="51">
        <v>0</v>
      </c>
      <c r="D12" s="51">
        <v>260.60000000000002</v>
      </c>
    </row>
    <row r="13" spans="1:4" ht="15" customHeight="1">
      <c r="A13" s="50">
        <v>44927</v>
      </c>
      <c r="B13" s="49" t="s">
        <v>41</v>
      </c>
      <c r="C13" s="51">
        <v>0</v>
      </c>
      <c r="D13" s="51">
        <v>265.5</v>
      </c>
    </row>
    <row r="14" spans="1:4" ht="15" customHeight="1">
      <c r="A14" s="50">
        <v>44927</v>
      </c>
      <c r="B14" s="49" t="s">
        <v>42</v>
      </c>
      <c r="C14" s="51">
        <v>0</v>
      </c>
      <c r="D14" s="51">
        <v>268.5</v>
      </c>
    </row>
    <row r="15" spans="1:4" ht="15" customHeight="1">
      <c r="A15" s="50">
        <v>44927</v>
      </c>
      <c r="B15" s="49" t="s">
        <v>43</v>
      </c>
      <c r="C15" s="51">
        <v>0</v>
      </c>
      <c r="D15" s="51">
        <v>781</v>
      </c>
    </row>
    <row r="16" spans="1:4" ht="15" customHeight="1">
      <c r="A16" s="50">
        <v>44927</v>
      </c>
      <c r="B16" s="49" t="s">
        <v>44</v>
      </c>
      <c r="C16" s="51">
        <v>1305.5</v>
      </c>
      <c r="D16" s="51">
        <v>721.3</v>
      </c>
    </row>
    <row r="17" spans="1:4" ht="15" customHeight="1">
      <c r="A17" s="50">
        <v>44927</v>
      </c>
      <c r="B17" s="49" t="s">
        <v>45</v>
      </c>
      <c r="C17" s="51">
        <v>16739.8</v>
      </c>
      <c r="D17" s="51">
        <v>0</v>
      </c>
    </row>
    <row r="18" spans="1:4" ht="15" customHeight="1">
      <c r="A18" s="50">
        <v>44927</v>
      </c>
      <c r="B18" s="49" t="s">
        <v>46</v>
      </c>
      <c r="C18" s="51">
        <v>44419.5</v>
      </c>
      <c r="D18" s="51">
        <v>0</v>
      </c>
    </row>
    <row r="19" spans="1:4" ht="15" customHeight="1">
      <c r="A19" s="50">
        <v>44927</v>
      </c>
      <c r="B19" s="49" t="s">
        <v>47</v>
      </c>
      <c r="C19" s="51">
        <v>52374</v>
      </c>
      <c r="D19" s="51">
        <v>0</v>
      </c>
    </row>
    <row r="20" spans="1:4" ht="15" customHeight="1">
      <c r="A20" s="50">
        <v>44927</v>
      </c>
      <c r="B20" s="49" t="s">
        <v>48</v>
      </c>
      <c r="C20" s="51">
        <v>53049.3</v>
      </c>
      <c r="D20" s="51">
        <v>0</v>
      </c>
    </row>
    <row r="21" spans="1:4" ht="15" customHeight="1">
      <c r="A21" s="50">
        <v>44927</v>
      </c>
      <c r="B21" s="49" t="s">
        <v>49</v>
      </c>
      <c r="C21" s="51">
        <v>53023.4</v>
      </c>
      <c r="D21" s="51">
        <v>0</v>
      </c>
    </row>
    <row r="22" spans="1:4" ht="15" customHeight="1">
      <c r="A22" s="50">
        <v>44927</v>
      </c>
      <c r="B22" s="49" t="s">
        <v>50</v>
      </c>
      <c r="C22" s="51">
        <v>52985</v>
      </c>
      <c r="D22" s="51">
        <v>0</v>
      </c>
    </row>
    <row r="23" spans="1:4" ht="15" customHeight="1">
      <c r="A23" s="50">
        <v>44927</v>
      </c>
      <c r="B23" s="49" t="s">
        <v>51</v>
      </c>
      <c r="C23" s="51">
        <v>52984.1</v>
      </c>
      <c r="D23" s="51">
        <v>0</v>
      </c>
    </row>
    <row r="24" spans="1:4" ht="15" customHeight="1">
      <c r="A24" s="50">
        <v>44927</v>
      </c>
      <c r="B24" s="49" t="s">
        <v>52</v>
      </c>
      <c r="C24" s="51">
        <v>53073.2</v>
      </c>
      <c r="D24" s="51">
        <v>0</v>
      </c>
    </row>
    <row r="25" spans="1:4" ht="15" customHeight="1">
      <c r="A25" s="50">
        <v>44927</v>
      </c>
      <c r="B25" s="49" t="s">
        <v>53</v>
      </c>
      <c r="C25" s="51">
        <v>53060.5</v>
      </c>
      <c r="D25" s="51">
        <v>0</v>
      </c>
    </row>
    <row r="26" spans="1:4" ht="15" customHeight="1">
      <c r="A26" s="50">
        <v>44928</v>
      </c>
      <c r="B26" s="49" t="s">
        <v>30</v>
      </c>
      <c r="C26" s="51">
        <v>19064.3</v>
      </c>
      <c r="D26" s="51">
        <v>12.3</v>
      </c>
    </row>
    <row r="27" spans="1:4" ht="15" customHeight="1">
      <c r="A27" s="50">
        <v>44928</v>
      </c>
      <c r="B27" s="49" t="s">
        <v>31</v>
      </c>
      <c r="C27" s="51">
        <v>0</v>
      </c>
      <c r="D27" s="51">
        <v>635.5</v>
      </c>
    </row>
    <row r="28" spans="1:4" ht="15" customHeight="1">
      <c r="A28" s="50">
        <v>44928</v>
      </c>
      <c r="B28" s="49" t="s">
        <v>32</v>
      </c>
      <c r="C28" s="51">
        <v>0</v>
      </c>
      <c r="D28" s="51">
        <v>593.5</v>
      </c>
    </row>
    <row r="29" spans="1:4" ht="15" customHeight="1">
      <c r="A29" s="50">
        <v>44928</v>
      </c>
      <c r="B29" s="49" t="s">
        <v>33</v>
      </c>
      <c r="C29" s="51">
        <v>0</v>
      </c>
      <c r="D29" s="51">
        <v>632</v>
      </c>
    </row>
    <row r="30" spans="1:4" ht="15" customHeight="1">
      <c r="A30" s="50">
        <v>44928</v>
      </c>
      <c r="B30" s="49" t="s">
        <v>34</v>
      </c>
      <c r="C30" s="51">
        <v>0</v>
      </c>
      <c r="D30" s="51">
        <v>667.9</v>
      </c>
    </row>
    <row r="31" spans="1:4" ht="15" customHeight="1">
      <c r="A31" s="50">
        <v>44928</v>
      </c>
      <c r="B31" s="49" t="s">
        <v>35</v>
      </c>
      <c r="C31" s="51">
        <v>0</v>
      </c>
      <c r="D31" s="51">
        <v>687.5</v>
      </c>
    </row>
    <row r="32" spans="1:4" ht="15" customHeight="1">
      <c r="A32" s="50">
        <v>44928</v>
      </c>
      <c r="B32" s="49" t="s">
        <v>36</v>
      </c>
      <c r="C32" s="51">
        <v>1654.4</v>
      </c>
      <c r="D32" s="51">
        <v>580.79999999999995</v>
      </c>
    </row>
    <row r="33" spans="1:4" ht="15" customHeight="1">
      <c r="A33" s="50">
        <v>44928</v>
      </c>
      <c r="B33" s="49" t="s">
        <v>37</v>
      </c>
      <c r="C33" s="51">
        <v>16319.9</v>
      </c>
      <c r="D33" s="51">
        <v>0</v>
      </c>
    </row>
    <row r="34" spans="1:4" ht="15" customHeight="1">
      <c r="A34" s="50">
        <v>44928</v>
      </c>
      <c r="B34" s="49" t="s">
        <v>38</v>
      </c>
      <c r="C34" s="51">
        <v>42916.800000000003</v>
      </c>
      <c r="D34" s="51">
        <v>0</v>
      </c>
    </row>
    <row r="35" spans="1:4" ht="15" customHeight="1">
      <c r="A35" s="50">
        <v>44928</v>
      </c>
      <c r="B35" s="49" t="s">
        <v>39</v>
      </c>
      <c r="C35" s="51">
        <v>52686.5</v>
      </c>
      <c r="D35" s="51">
        <v>0</v>
      </c>
    </row>
    <row r="36" spans="1:4" ht="15" customHeight="1">
      <c r="A36" s="50">
        <v>44928</v>
      </c>
      <c r="B36" s="49" t="s">
        <v>40</v>
      </c>
      <c r="C36" s="51">
        <v>53882.6</v>
      </c>
      <c r="D36" s="51">
        <v>0</v>
      </c>
    </row>
    <row r="37" spans="1:4" ht="15" customHeight="1">
      <c r="A37" s="50">
        <v>44928</v>
      </c>
      <c r="B37" s="49" t="s">
        <v>41</v>
      </c>
      <c r="C37" s="51">
        <v>53204.800000000003</v>
      </c>
      <c r="D37" s="51">
        <v>0</v>
      </c>
    </row>
    <row r="38" spans="1:4" ht="15" customHeight="1">
      <c r="A38" s="50">
        <v>44928</v>
      </c>
      <c r="B38" s="49" t="s">
        <v>42</v>
      </c>
      <c r="C38" s="51">
        <v>53199</v>
      </c>
      <c r="D38" s="51">
        <v>0</v>
      </c>
    </row>
    <row r="39" spans="1:4" ht="15" customHeight="1">
      <c r="A39" s="50">
        <v>44928</v>
      </c>
      <c r="B39" s="49" t="s">
        <v>43</v>
      </c>
      <c r="C39" s="51">
        <v>53268.2</v>
      </c>
      <c r="D39" s="51">
        <v>0</v>
      </c>
    </row>
    <row r="40" spans="1:4" ht="15" customHeight="1">
      <c r="A40" s="50">
        <v>44928</v>
      </c>
      <c r="B40" s="49" t="s">
        <v>44</v>
      </c>
      <c r="C40" s="51">
        <v>53296.9</v>
      </c>
      <c r="D40" s="51">
        <v>0</v>
      </c>
    </row>
    <row r="41" spans="1:4" ht="15" customHeight="1">
      <c r="A41" s="50">
        <v>44928</v>
      </c>
      <c r="B41" s="49" t="s">
        <v>45</v>
      </c>
      <c r="C41" s="51">
        <v>53271.3</v>
      </c>
      <c r="D41" s="51">
        <v>0</v>
      </c>
    </row>
    <row r="42" spans="1:4" ht="15" customHeight="1">
      <c r="A42" s="50">
        <v>44928</v>
      </c>
      <c r="B42" s="49" t="s">
        <v>46</v>
      </c>
      <c r="C42" s="51">
        <v>53247.5</v>
      </c>
      <c r="D42" s="51">
        <v>0</v>
      </c>
    </row>
    <row r="43" spans="1:4" ht="15" customHeight="1">
      <c r="A43" s="50">
        <v>44928</v>
      </c>
      <c r="B43" s="49" t="s">
        <v>47</v>
      </c>
      <c r="C43" s="51">
        <v>53182.9</v>
      </c>
      <c r="D43" s="51">
        <v>0</v>
      </c>
    </row>
    <row r="44" spans="1:4" ht="15" customHeight="1">
      <c r="A44" s="50">
        <v>44928</v>
      </c>
      <c r="B44" s="49" t="s">
        <v>48</v>
      </c>
      <c r="C44" s="51">
        <v>53089.7</v>
      </c>
      <c r="D44" s="51">
        <v>0</v>
      </c>
    </row>
    <row r="45" spans="1:4" ht="15" customHeight="1">
      <c r="A45" s="50">
        <v>44928</v>
      </c>
      <c r="B45" s="49" t="s">
        <v>49</v>
      </c>
      <c r="C45" s="51">
        <v>53164.4</v>
      </c>
      <c r="D45" s="51">
        <v>0</v>
      </c>
    </row>
    <row r="46" spans="1:4" ht="15" customHeight="1">
      <c r="A46" s="50">
        <v>44928</v>
      </c>
      <c r="B46" s="49" t="s">
        <v>50</v>
      </c>
      <c r="C46" s="51">
        <v>53071.7</v>
      </c>
      <c r="D46" s="51">
        <v>0</v>
      </c>
    </row>
    <row r="47" spans="1:4" ht="15" customHeight="1">
      <c r="A47" s="50">
        <v>44928</v>
      </c>
      <c r="B47" s="49" t="s">
        <v>51</v>
      </c>
      <c r="C47" s="51">
        <v>53090.7</v>
      </c>
      <c r="D47" s="51">
        <v>0</v>
      </c>
    </row>
    <row r="48" spans="1:4" ht="15" customHeight="1">
      <c r="A48" s="50">
        <v>44928</v>
      </c>
      <c r="B48" s="49" t="s">
        <v>52</v>
      </c>
      <c r="C48" s="51">
        <v>53012.6</v>
      </c>
      <c r="D48" s="51">
        <v>0</v>
      </c>
    </row>
    <row r="49" spans="1:4" ht="15" customHeight="1">
      <c r="A49" s="50">
        <v>44928</v>
      </c>
      <c r="B49" s="49" t="s">
        <v>53</v>
      </c>
      <c r="C49" s="51">
        <v>53500.6</v>
      </c>
      <c r="D49" s="51">
        <v>0</v>
      </c>
    </row>
    <row r="50" spans="1:4" ht="15" customHeight="1">
      <c r="A50" s="50">
        <v>44929</v>
      </c>
      <c r="B50" s="49" t="s">
        <v>30</v>
      </c>
      <c r="C50" s="51">
        <v>53815.9</v>
      </c>
      <c r="D50" s="51">
        <v>0</v>
      </c>
    </row>
    <row r="51" spans="1:4" ht="15" customHeight="1">
      <c r="A51" s="50">
        <v>44929</v>
      </c>
      <c r="B51" s="49" t="s">
        <v>31</v>
      </c>
      <c r="C51" s="51">
        <v>54084.6</v>
      </c>
      <c r="D51" s="51">
        <v>0</v>
      </c>
    </row>
    <row r="52" spans="1:4" ht="15" customHeight="1">
      <c r="A52" s="50">
        <v>44929</v>
      </c>
      <c r="B52" s="49" t="s">
        <v>32</v>
      </c>
      <c r="C52" s="51">
        <v>54057.1</v>
      </c>
      <c r="D52" s="51">
        <v>0</v>
      </c>
    </row>
    <row r="53" spans="1:4" ht="15" customHeight="1">
      <c r="A53" s="50">
        <v>44929</v>
      </c>
      <c r="B53" s="49" t="s">
        <v>33</v>
      </c>
      <c r="C53" s="51">
        <v>52140.7</v>
      </c>
      <c r="D53" s="51">
        <v>0</v>
      </c>
    </row>
    <row r="54" spans="1:4" ht="15" customHeight="1">
      <c r="A54" s="50">
        <v>44929</v>
      </c>
      <c r="B54" s="49" t="s">
        <v>34</v>
      </c>
      <c r="C54" s="51">
        <v>51226</v>
      </c>
      <c r="D54" s="51">
        <v>0</v>
      </c>
    </row>
    <row r="55" spans="1:4" ht="15" customHeight="1">
      <c r="A55" s="50">
        <v>44929</v>
      </c>
      <c r="B55" s="49" t="s">
        <v>35</v>
      </c>
      <c r="C55" s="51">
        <v>51172.9</v>
      </c>
      <c r="D55" s="51">
        <v>0</v>
      </c>
    </row>
    <row r="56" spans="1:4" ht="15" customHeight="1">
      <c r="A56" s="50">
        <v>44929</v>
      </c>
      <c r="B56" s="49" t="s">
        <v>36</v>
      </c>
      <c r="C56" s="51">
        <v>51151</v>
      </c>
      <c r="D56" s="51">
        <v>0</v>
      </c>
    </row>
    <row r="57" spans="1:4" ht="15" customHeight="1">
      <c r="A57" s="50">
        <v>44929</v>
      </c>
      <c r="B57" s="49" t="s">
        <v>37</v>
      </c>
      <c r="C57" s="51">
        <v>51192.3</v>
      </c>
      <c r="D57" s="51">
        <v>0</v>
      </c>
    </row>
    <row r="58" spans="1:4" ht="15" customHeight="1">
      <c r="A58" s="50">
        <v>44929</v>
      </c>
      <c r="B58" s="49" t="s">
        <v>38</v>
      </c>
      <c r="C58" s="51">
        <v>51157.4</v>
      </c>
      <c r="D58" s="51">
        <v>0</v>
      </c>
    </row>
    <row r="59" spans="1:4" ht="15" customHeight="1">
      <c r="A59" s="50">
        <v>44929</v>
      </c>
      <c r="B59" s="49" t="s">
        <v>39</v>
      </c>
      <c r="C59" s="51">
        <v>51122.400000000001</v>
      </c>
      <c r="D59" s="51">
        <v>0</v>
      </c>
    </row>
    <row r="60" spans="1:4" ht="15" customHeight="1">
      <c r="A60" s="50">
        <v>44929</v>
      </c>
      <c r="B60" s="49" t="s">
        <v>40</v>
      </c>
      <c r="C60" s="51">
        <v>52521.7</v>
      </c>
      <c r="D60" s="51">
        <v>0</v>
      </c>
    </row>
    <row r="61" spans="1:4" ht="15" customHeight="1">
      <c r="A61" s="50">
        <v>44929</v>
      </c>
      <c r="B61" s="49" t="s">
        <v>41</v>
      </c>
      <c r="C61" s="51">
        <v>53496</v>
      </c>
      <c r="D61" s="51">
        <v>0</v>
      </c>
    </row>
    <row r="62" spans="1:4" ht="15" customHeight="1">
      <c r="A62" s="50">
        <v>44929</v>
      </c>
      <c r="B62" s="49" t="s">
        <v>42</v>
      </c>
      <c r="C62" s="51">
        <v>53966.6</v>
      </c>
      <c r="D62" s="51">
        <v>0</v>
      </c>
    </row>
    <row r="63" spans="1:4" ht="15" customHeight="1">
      <c r="A63" s="50">
        <v>44929</v>
      </c>
      <c r="B63" s="49" t="s">
        <v>43</v>
      </c>
      <c r="C63" s="51">
        <v>53615.199999999997</v>
      </c>
      <c r="D63" s="51">
        <v>0</v>
      </c>
    </row>
    <row r="64" spans="1:4" ht="15" customHeight="1">
      <c r="A64" s="50">
        <v>44929</v>
      </c>
      <c r="B64" s="49" t="s">
        <v>44</v>
      </c>
      <c r="C64" s="51">
        <v>53669.1</v>
      </c>
      <c r="D64" s="51">
        <v>0</v>
      </c>
    </row>
    <row r="65" spans="1:4" ht="15" customHeight="1">
      <c r="A65" s="50">
        <v>44929</v>
      </c>
      <c r="B65" s="49" t="s">
        <v>45</v>
      </c>
      <c r="C65" s="51">
        <v>53728.1</v>
      </c>
      <c r="D65" s="51">
        <v>0</v>
      </c>
    </row>
    <row r="66" spans="1:4" ht="15" customHeight="1">
      <c r="A66" s="50">
        <v>44929</v>
      </c>
      <c r="B66" s="49" t="s">
        <v>46</v>
      </c>
      <c r="C66" s="51">
        <v>65238</v>
      </c>
      <c r="D66" s="51">
        <v>0</v>
      </c>
    </row>
    <row r="67" spans="1:4" ht="15" customHeight="1">
      <c r="A67" s="50">
        <v>44929</v>
      </c>
      <c r="B67" s="49" t="s">
        <v>47</v>
      </c>
      <c r="C67" s="51">
        <v>53390</v>
      </c>
      <c r="D67" s="51">
        <v>0</v>
      </c>
    </row>
    <row r="68" spans="1:4" ht="15" customHeight="1">
      <c r="A68" s="50">
        <v>44929</v>
      </c>
      <c r="B68" s="49" t="s">
        <v>48</v>
      </c>
      <c r="C68" s="51">
        <v>53351.6</v>
      </c>
      <c r="D68" s="51">
        <v>0</v>
      </c>
    </row>
    <row r="69" spans="1:4" ht="15" customHeight="1">
      <c r="A69" s="50">
        <v>44929</v>
      </c>
      <c r="B69" s="49" t="s">
        <v>49</v>
      </c>
      <c r="C69" s="51">
        <v>53219.7</v>
      </c>
      <c r="D69" s="51">
        <v>0</v>
      </c>
    </row>
    <row r="70" spans="1:4" ht="15" customHeight="1">
      <c r="A70" s="50">
        <v>44929</v>
      </c>
      <c r="B70" s="49" t="s">
        <v>50</v>
      </c>
      <c r="C70" s="51">
        <v>53320.3</v>
      </c>
      <c r="D70" s="51">
        <v>0</v>
      </c>
    </row>
    <row r="71" spans="1:4" ht="15" customHeight="1">
      <c r="A71" s="50">
        <v>44929</v>
      </c>
      <c r="B71" s="49" t="s">
        <v>51</v>
      </c>
      <c r="C71" s="51">
        <v>53312.3</v>
      </c>
      <c r="D71" s="51">
        <v>0</v>
      </c>
    </row>
    <row r="72" spans="1:4" ht="15" customHeight="1">
      <c r="A72" s="50">
        <v>44929</v>
      </c>
      <c r="B72" s="49" t="s">
        <v>52</v>
      </c>
      <c r="C72" s="51">
        <v>54350.1</v>
      </c>
      <c r="D72" s="51">
        <v>0</v>
      </c>
    </row>
    <row r="73" spans="1:4" ht="15" customHeight="1">
      <c r="A73" s="50">
        <v>44929</v>
      </c>
      <c r="B73" s="49" t="s">
        <v>53</v>
      </c>
      <c r="C73" s="51">
        <v>53847.5</v>
      </c>
      <c r="D73" s="51">
        <v>0</v>
      </c>
    </row>
    <row r="74" spans="1:4" ht="15" customHeight="1">
      <c r="A74" s="50">
        <v>44930</v>
      </c>
      <c r="B74" s="49" t="s">
        <v>30</v>
      </c>
      <c r="C74" s="51">
        <v>53605.9</v>
      </c>
      <c r="D74" s="51">
        <v>0</v>
      </c>
    </row>
    <row r="75" spans="1:4" ht="15" customHeight="1">
      <c r="A75" s="50">
        <v>44930</v>
      </c>
      <c r="B75" s="49" t="s">
        <v>31</v>
      </c>
      <c r="C75" s="51">
        <v>53839.9</v>
      </c>
      <c r="D75" s="51">
        <v>0</v>
      </c>
    </row>
    <row r="76" spans="1:4" ht="15" customHeight="1">
      <c r="A76" s="50">
        <v>44930</v>
      </c>
      <c r="B76" s="49" t="s">
        <v>32</v>
      </c>
      <c r="C76" s="51">
        <v>53911.8</v>
      </c>
      <c r="D76" s="51">
        <v>0</v>
      </c>
    </row>
    <row r="77" spans="1:4" ht="15" customHeight="1">
      <c r="A77" s="50">
        <v>44930</v>
      </c>
      <c r="B77" s="49" t="s">
        <v>33</v>
      </c>
      <c r="C77" s="51">
        <v>53912.4</v>
      </c>
      <c r="D77" s="51">
        <v>0</v>
      </c>
    </row>
    <row r="78" spans="1:4" ht="15" customHeight="1">
      <c r="A78" s="50">
        <v>44930</v>
      </c>
      <c r="B78" s="49" t="s">
        <v>34</v>
      </c>
      <c r="C78" s="51">
        <v>51531.8</v>
      </c>
      <c r="D78" s="51">
        <v>0</v>
      </c>
    </row>
    <row r="79" spans="1:4" ht="15" customHeight="1">
      <c r="A79" s="50">
        <v>44930</v>
      </c>
      <c r="B79" s="49" t="s">
        <v>35</v>
      </c>
      <c r="C79" s="51">
        <v>51095.9</v>
      </c>
      <c r="D79" s="51">
        <v>0</v>
      </c>
    </row>
    <row r="80" spans="1:4" ht="15" customHeight="1">
      <c r="A80" s="50">
        <v>44930</v>
      </c>
      <c r="B80" s="49" t="s">
        <v>36</v>
      </c>
      <c r="C80" s="51">
        <v>49944.9</v>
      </c>
      <c r="D80" s="51">
        <v>0</v>
      </c>
    </row>
    <row r="81" spans="1:4" ht="15" customHeight="1">
      <c r="A81" s="50">
        <v>44930</v>
      </c>
      <c r="B81" s="49" t="s">
        <v>37</v>
      </c>
      <c r="C81" s="51">
        <v>53021.8</v>
      </c>
      <c r="D81" s="51">
        <v>0</v>
      </c>
    </row>
    <row r="82" spans="1:4" ht="15" customHeight="1">
      <c r="A82" s="50">
        <v>44930</v>
      </c>
      <c r="B82" s="49" t="s">
        <v>38</v>
      </c>
      <c r="C82" s="51">
        <v>53957.599999999999</v>
      </c>
      <c r="D82" s="51">
        <v>0</v>
      </c>
    </row>
    <row r="83" spans="1:4" ht="15" customHeight="1">
      <c r="A83" s="50">
        <v>44930</v>
      </c>
      <c r="B83" s="49" t="s">
        <v>39</v>
      </c>
      <c r="C83" s="51">
        <v>53948.2</v>
      </c>
      <c r="D83" s="51">
        <v>0</v>
      </c>
    </row>
    <row r="84" spans="1:4" ht="15" customHeight="1">
      <c r="A84" s="50">
        <v>44930</v>
      </c>
      <c r="B84" s="49" t="s">
        <v>40</v>
      </c>
      <c r="C84" s="51">
        <v>53957.3</v>
      </c>
      <c r="D84" s="51">
        <v>0</v>
      </c>
    </row>
    <row r="85" spans="1:4" ht="15" customHeight="1">
      <c r="A85" s="50">
        <v>44930</v>
      </c>
      <c r="B85" s="49" t="s">
        <v>41</v>
      </c>
      <c r="C85" s="51">
        <v>53948.3</v>
      </c>
      <c r="D85" s="51">
        <v>0</v>
      </c>
    </row>
    <row r="86" spans="1:4" ht="15" customHeight="1">
      <c r="A86" s="50">
        <v>44930</v>
      </c>
      <c r="B86" s="49" t="s">
        <v>42</v>
      </c>
      <c r="C86" s="51">
        <v>53971.7</v>
      </c>
      <c r="D86" s="51">
        <v>0</v>
      </c>
    </row>
    <row r="87" spans="1:4" ht="15" customHeight="1">
      <c r="A87" s="50">
        <v>44930</v>
      </c>
      <c r="B87" s="49" t="s">
        <v>43</v>
      </c>
      <c r="C87" s="51">
        <v>53933</v>
      </c>
      <c r="D87" s="51">
        <v>0</v>
      </c>
    </row>
    <row r="88" spans="1:4" ht="15" customHeight="1">
      <c r="A88" s="50">
        <v>44930</v>
      </c>
      <c r="B88" s="49" t="s">
        <v>44</v>
      </c>
      <c r="C88" s="51">
        <v>53982.2</v>
      </c>
      <c r="D88" s="51">
        <v>0</v>
      </c>
    </row>
    <row r="89" spans="1:4" ht="15" customHeight="1">
      <c r="A89" s="50">
        <v>44930</v>
      </c>
      <c r="B89" s="49" t="s">
        <v>45</v>
      </c>
      <c r="C89" s="51">
        <v>53909.5</v>
      </c>
      <c r="D89" s="51">
        <v>0</v>
      </c>
    </row>
    <row r="90" spans="1:4" ht="15" customHeight="1">
      <c r="A90" s="50">
        <v>44930</v>
      </c>
      <c r="B90" s="49" t="s">
        <v>46</v>
      </c>
      <c r="C90" s="51">
        <v>53881.3</v>
      </c>
      <c r="D90" s="51">
        <v>0</v>
      </c>
    </row>
    <row r="91" spans="1:4" ht="15" customHeight="1">
      <c r="A91" s="50">
        <v>44930</v>
      </c>
      <c r="B91" s="49" t="s">
        <v>47</v>
      </c>
      <c r="C91" s="51">
        <v>54336.2</v>
      </c>
      <c r="D91" s="51">
        <v>0</v>
      </c>
    </row>
    <row r="92" spans="1:4" ht="15" customHeight="1">
      <c r="A92" s="50">
        <v>44930</v>
      </c>
      <c r="B92" s="49" t="s">
        <v>48</v>
      </c>
      <c r="C92" s="51">
        <v>52670.9</v>
      </c>
      <c r="D92" s="51">
        <v>0</v>
      </c>
    </row>
    <row r="93" spans="1:4" ht="15" customHeight="1">
      <c r="A93" s="50">
        <v>44930</v>
      </c>
      <c r="B93" s="49" t="s">
        <v>49</v>
      </c>
      <c r="C93" s="51">
        <v>52723.9</v>
      </c>
      <c r="D93" s="51">
        <v>0</v>
      </c>
    </row>
    <row r="94" spans="1:4" ht="15" customHeight="1">
      <c r="A94" s="50">
        <v>44930</v>
      </c>
      <c r="B94" s="49" t="s">
        <v>50</v>
      </c>
      <c r="C94" s="51">
        <v>52621.4</v>
      </c>
      <c r="D94" s="51">
        <v>0</v>
      </c>
    </row>
    <row r="95" spans="1:4" ht="15" customHeight="1">
      <c r="A95" s="50">
        <v>44930</v>
      </c>
      <c r="B95" s="49" t="s">
        <v>51</v>
      </c>
      <c r="C95" s="51">
        <v>52689.599999999999</v>
      </c>
      <c r="D95" s="51">
        <v>0</v>
      </c>
    </row>
    <row r="96" spans="1:4" ht="15" customHeight="1">
      <c r="A96" s="50">
        <v>44930</v>
      </c>
      <c r="B96" s="49" t="s">
        <v>52</v>
      </c>
      <c r="C96" s="51">
        <v>52630</v>
      </c>
      <c r="D96" s="51">
        <v>0</v>
      </c>
    </row>
    <row r="97" spans="1:4" ht="15" customHeight="1">
      <c r="A97" s="50">
        <v>44930</v>
      </c>
      <c r="B97" s="49" t="s">
        <v>53</v>
      </c>
      <c r="C97" s="51">
        <v>52455.8</v>
      </c>
      <c r="D97" s="51">
        <v>0</v>
      </c>
    </row>
    <row r="98" spans="1:4" ht="15" customHeight="1">
      <c r="A98" s="50">
        <v>44931</v>
      </c>
      <c r="B98" s="49" t="s">
        <v>30</v>
      </c>
      <c r="C98" s="51">
        <v>52448.800000000003</v>
      </c>
      <c r="D98" s="51">
        <v>0</v>
      </c>
    </row>
    <row r="99" spans="1:4" ht="15" customHeight="1">
      <c r="A99" s="50">
        <v>44931</v>
      </c>
      <c r="B99" s="49" t="s">
        <v>31</v>
      </c>
      <c r="C99" s="51">
        <v>52571.6</v>
      </c>
      <c r="D99" s="51">
        <v>0</v>
      </c>
    </row>
    <row r="100" spans="1:4" ht="15" customHeight="1">
      <c r="A100" s="50">
        <v>44931</v>
      </c>
      <c r="B100" s="49" t="s">
        <v>32</v>
      </c>
      <c r="C100" s="51">
        <v>52594.9</v>
      </c>
      <c r="D100" s="51">
        <v>0</v>
      </c>
    </row>
    <row r="101" spans="1:4" ht="15" customHeight="1">
      <c r="A101" s="50">
        <v>44931</v>
      </c>
      <c r="B101" s="49" t="s">
        <v>33</v>
      </c>
      <c r="C101" s="51">
        <v>51582</v>
      </c>
      <c r="D101" s="51">
        <v>0</v>
      </c>
    </row>
    <row r="102" spans="1:4" ht="15" customHeight="1">
      <c r="A102" s="50">
        <v>44931</v>
      </c>
      <c r="B102" s="49" t="s">
        <v>34</v>
      </c>
      <c r="C102" s="51">
        <v>51457</v>
      </c>
      <c r="D102" s="51">
        <v>0</v>
      </c>
    </row>
    <row r="103" spans="1:4" ht="15" customHeight="1">
      <c r="A103" s="50">
        <v>44931</v>
      </c>
      <c r="B103" s="49" t="s">
        <v>35</v>
      </c>
      <c r="C103" s="51">
        <v>51430.400000000001</v>
      </c>
      <c r="D103" s="51">
        <v>0</v>
      </c>
    </row>
    <row r="104" spans="1:4" ht="15" customHeight="1">
      <c r="A104" s="50">
        <v>44931</v>
      </c>
      <c r="B104" s="49" t="s">
        <v>36</v>
      </c>
      <c r="C104" s="51">
        <v>51581.8</v>
      </c>
      <c r="D104" s="51">
        <v>0</v>
      </c>
    </row>
    <row r="105" spans="1:4" ht="15" customHeight="1">
      <c r="A105" s="50">
        <v>44931</v>
      </c>
      <c r="B105" s="49" t="s">
        <v>37</v>
      </c>
      <c r="C105" s="51">
        <v>51526.400000000001</v>
      </c>
      <c r="D105" s="51">
        <v>0</v>
      </c>
    </row>
    <row r="106" spans="1:4" ht="15" customHeight="1">
      <c r="A106" s="50">
        <v>44931</v>
      </c>
      <c r="B106" s="49" t="s">
        <v>38</v>
      </c>
      <c r="C106" s="51">
        <v>51415.1</v>
      </c>
      <c r="D106" s="51">
        <v>0</v>
      </c>
    </row>
    <row r="107" spans="1:4" ht="15" customHeight="1">
      <c r="A107" s="50">
        <v>44931</v>
      </c>
      <c r="B107" s="49" t="s">
        <v>39</v>
      </c>
      <c r="C107" s="51">
        <v>53126.9</v>
      </c>
      <c r="D107" s="51">
        <v>0</v>
      </c>
    </row>
    <row r="108" spans="1:4" ht="15" customHeight="1">
      <c r="A108" s="50">
        <v>44931</v>
      </c>
      <c r="B108" s="49" t="s">
        <v>40</v>
      </c>
      <c r="C108" s="51">
        <v>53030.1</v>
      </c>
      <c r="D108" s="51">
        <v>0</v>
      </c>
    </row>
    <row r="109" spans="1:4" ht="15" customHeight="1">
      <c r="A109" s="50">
        <v>44931</v>
      </c>
      <c r="B109" s="49" t="s">
        <v>41</v>
      </c>
      <c r="C109" s="51">
        <v>53080.5</v>
      </c>
      <c r="D109" s="51">
        <v>0</v>
      </c>
    </row>
    <row r="110" spans="1:4" ht="15" customHeight="1">
      <c r="A110" s="50">
        <v>44931</v>
      </c>
      <c r="B110" s="49" t="s">
        <v>42</v>
      </c>
      <c r="C110" s="51">
        <v>52761.1</v>
      </c>
      <c r="D110" s="51">
        <v>0</v>
      </c>
    </row>
    <row r="111" spans="1:4" ht="15" customHeight="1">
      <c r="A111" s="50">
        <v>44931</v>
      </c>
      <c r="B111" s="49" t="s">
        <v>43</v>
      </c>
      <c r="C111" s="51">
        <v>53365.7</v>
      </c>
      <c r="D111" s="51">
        <v>0</v>
      </c>
    </row>
    <row r="112" spans="1:4" ht="15" customHeight="1">
      <c r="A112" s="50">
        <v>44931</v>
      </c>
      <c r="B112" s="49" t="s">
        <v>44</v>
      </c>
      <c r="C112" s="51">
        <v>53177.2</v>
      </c>
      <c r="D112" s="51">
        <v>0</v>
      </c>
    </row>
    <row r="113" spans="1:4" ht="15" customHeight="1">
      <c r="A113" s="50">
        <v>44931</v>
      </c>
      <c r="B113" s="49" t="s">
        <v>45</v>
      </c>
      <c r="C113" s="51">
        <v>53028.9</v>
      </c>
      <c r="D113" s="51">
        <v>0</v>
      </c>
    </row>
    <row r="114" spans="1:4" ht="15" customHeight="1">
      <c r="A114" s="50">
        <v>44931</v>
      </c>
      <c r="B114" s="49" t="s">
        <v>46</v>
      </c>
      <c r="C114" s="51">
        <v>53005.2</v>
      </c>
      <c r="D114" s="51">
        <v>0</v>
      </c>
    </row>
    <row r="115" spans="1:4" ht="15" customHeight="1">
      <c r="A115" s="50">
        <v>44931</v>
      </c>
      <c r="B115" s="49" t="s">
        <v>47</v>
      </c>
      <c r="C115" s="51">
        <v>53062.5</v>
      </c>
      <c r="D115" s="51">
        <v>0</v>
      </c>
    </row>
    <row r="116" spans="1:4" ht="15" customHeight="1">
      <c r="A116" s="50">
        <v>44931</v>
      </c>
      <c r="B116" s="49" t="s">
        <v>48</v>
      </c>
      <c r="C116" s="51">
        <v>53033.3</v>
      </c>
      <c r="D116" s="51">
        <v>0</v>
      </c>
    </row>
    <row r="117" spans="1:4" ht="15" customHeight="1">
      <c r="A117" s="50">
        <v>44931</v>
      </c>
      <c r="B117" s="49" t="s">
        <v>49</v>
      </c>
      <c r="C117" s="51">
        <v>52905.599999999999</v>
      </c>
      <c r="D117" s="51">
        <v>0</v>
      </c>
    </row>
    <row r="118" spans="1:4" ht="15" customHeight="1">
      <c r="A118" s="50">
        <v>44931</v>
      </c>
      <c r="B118" s="49" t="s">
        <v>50</v>
      </c>
      <c r="C118" s="51">
        <v>52905.2</v>
      </c>
      <c r="D118" s="51">
        <v>0</v>
      </c>
    </row>
    <row r="119" spans="1:4" ht="15" customHeight="1">
      <c r="A119" s="50">
        <v>44931</v>
      </c>
      <c r="B119" s="49" t="s">
        <v>51</v>
      </c>
      <c r="C119" s="51">
        <v>52986</v>
      </c>
      <c r="D119" s="51">
        <v>0</v>
      </c>
    </row>
    <row r="120" spans="1:4" ht="15" customHeight="1">
      <c r="A120" s="50">
        <v>44931</v>
      </c>
      <c r="B120" s="49" t="s">
        <v>52</v>
      </c>
      <c r="C120" s="51">
        <v>52782.1</v>
      </c>
      <c r="D120" s="51">
        <v>0</v>
      </c>
    </row>
    <row r="121" spans="1:4" ht="15" customHeight="1">
      <c r="A121" s="50">
        <v>44931</v>
      </c>
      <c r="B121" s="49" t="s">
        <v>53</v>
      </c>
      <c r="C121" s="51">
        <v>53027.199999999997</v>
      </c>
      <c r="D121" s="51">
        <v>0</v>
      </c>
    </row>
    <row r="122" spans="1:4" ht="15" customHeight="1">
      <c r="A122" s="50">
        <v>44932</v>
      </c>
      <c r="B122" s="49" t="s">
        <v>30</v>
      </c>
      <c r="C122" s="51">
        <v>53207.3</v>
      </c>
      <c r="D122" s="51">
        <v>0</v>
      </c>
    </row>
    <row r="123" spans="1:4" ht="15" customHeight="1">
      <c r="A123" s="50">
        <v>44932</v>
      </c>
      <c r="B123" s="49" t="s">
        <v>31</v>
      </c>
      <c r="C123" s="51">
        <v>53410.2</v>
      </c>
      <c r="D123" s="51">
        <v>0</v>
      </c>
    </row>
    <row r="124" spans="1:4" ht="15" customHeight="1">
      <c r="A124" s="50">
        <v>44932</v>
      </c>
      <c r="B124" s="49" t="s">
        <v>32</v>
      </c>
      <c r="C124" s="51">
        <v>53310.7</v>
      </c>
      <c r="D124" s="51">
        <v>0</v>
      </c>
    </row>
    <row r="125" spans="1:4" ht="15" customHeight="1">
      <c r="A125" s="50">
        <v>44932</v>
      </c>
      <c r="B125" s="49" t="s">
        <v>33</v>
      </c>
      <c r="C125" s="51">
        <v>53420.3</v>
      </c>
      <c r="D125" s="51">
        <v>0</v>
      </c>
    </row>
    <row r="126" spans="1:4" ht="15" customHeight="1">
      <c r="A126" s="50">
        <v>44932</v>
      </c>
      <c r="B126" s="49" t="s">
        <v>34</v>
      </c>
      <c r="C126" s="51">
        <v>50157.1</v>
      </c>
      <c r="D126" s="51">
        <v>0</v>
      </c>
    </row>
    <row r="127" spans="1:4" ht="15" customHeight="1">
      <c r="A127" s="50">
        <v>44932</v>
      </c>
      <c r="B127" s="49" t="s">
        <v>35</v>
      </c>
      <c r="C127" s="51">
        <v>49676</v>
      </c>
      <c r="D127" s="51">
        <v>0</v>
      </c>
    </row>
    <row r="128" spans="1:4" ht="15" customHeight="1">
      <c r="A128" s="50">
        <v>44932</v>
      </c>
      <c r="B128" s="49" t="s">
        <v>36</v>
      </c>
      <c r="C128" s="51">
        <v>50963.6</v>
      </c>
      <c r="D128" s="51">
        <v>0</v>
      </c>
    </row>
    <row r="129" spans="1:4" ht="15" customHeight="1">
      <c r="A129" s="50">
        <v>44932</v>
      </c>
      <c r="B129" s="49" t="s">
        <v>37</v>
      </c>
      <c r="C129" s="51">
        <v>51150.7</v>
      </c>
      <c r="D129" s="51">
        <v>0</v>
      </c>
    </row>
    <row r="130" spans="1:4" ht="15" customHeight="1">
      <c r="A130" s="50">
        <v>44932</v>
      </c>
      <c r="B130" s="49" t="s">
        <v>38</v>
      </c>
      <c r="C130" s="51">
        <v>51148.3</v>
      </c>
      <c r="D130" s="51">
        <v>0</v>
      </c>
    </row>
    <row r="131" spans="1:4" ht="15" customHeight="1">
      <c r="A131" s="50">
        <v>44932</v>
      </c>
      <c r="B131" s="49" t="s">
        <v>39</v>
      </c>
      <c r="C131" s="51">
        <v>52050.1</v>
      </c>
      <c r="D131" s="51">
        <v>0</v>
      </c>
    </row>
    <row r="132" spans="1:4" ht="15" customHeight="1">
      <c r="A132" s="50">
        <v>44932</v>
      </c>
      <c r="B132" s="49" t="s">
        <v>40</v>
      </c>
      <c r="C132" s="51">
        <v>53573.9</v>
      </c>
      <c r="D132" s="51">
        <v>0</v>
      </c>
    </row>
    <row r="133" spans="1:4" ht="15" customHeight="1">
      <c r="A133" s="50">
        <v>44932</v>
      </c>
      <c r="B133" s="49" t="s">
        <v>41</v>
      </c>
      <c r="C133" s="51">
        <v>53621.8</v>
      </c>
      <c r="D133" s="51">
        <v>0</v>
      </c>
    </row>
    <row r="134" spans="1:4" ht="15" customHeight="1">
      <c r="A134" s="50">
        <v>44932</v>
      </c>
      <c r="B134" s="49" t="s">
        <v>42</v>
      </c>
      <c r="C134" s="51">
        <v>53597.1</v>
      </c>
      <c r="D134" s="51">
        <v>0</v>
      </c>
    </row>
    <row r="135" spans="1:4" ht="15" customHeight="1">
      <c r="A135" s="50">
        <v>44932</v>
      </c>
      <c r="B135" s="49" t="s">
        <v>43</v>
      </c>
      <c r="C135" s="51">
        <v>53614.5</v>
      </c>
      <c r="D135" s="51">
        <v>0</v>
      </c>
    </row>
    <row r="136" spans="1:4" ht="15" customHeight="1">
      <c r="A136" s="50">
        <v>44932</v>
      </c>
      <c r="B136" s="49" t="s">
        <v>44</v>
      </c>
      <c r="C136" s="51">
        <v>53494.9</v>
      </c>
      <c r="D136" s="51">
        <v>0</v>
      </c>
    </row>
    <row r="137" spans="1:4" ht="15" customHeight="1">
      <c r="A137" s="50">
        <v>44932</v>
      </c>
      <c r="B137" s="49" t="s">
        <v>45</v>
      </c>
      <c r="C137" s="51">
        <v>53619.4</v>
      </c>
      <c r="D137" s="51">
        <v>0</v>
      </c>
    </row>
    <row r="138" spans="1:4" ht="15" customHeight="1">
      <c r="A138" s="50">
        <v>44932</v>
      </c>
      <c r="B138" s="49" t="s">
        <v>46</v>
      </c>
      <c r="C138" s="51">
        <v>53486.7</v>
      </c>
      <c r="D138" s="51">
        <v>0</v>
      </c>
    </row>
    <row r="139" spans="1:4" ht="15" customHeight="1">
      <c r="A139" s="50">
        <v>44932</v>
      </c>
      <c r="B139" s="49" t="s">
        <v>47</v>
      </c>
      <c r="C139" s="51">
        <v>53560.3</v>
      </c>
      <c r="D139" s="51">
        <v>0</v>
      </c>
    </row>
    <row r="140" spans="1:4" ht="15" customHeight="1">
      <c r="A140" s="50">
        <v>44932</v>
      </c>
      <c r="B140" s="49" t="s">
        <v>48</v>
      </c>
      <c r="C140" s="51">
        <v>53522.8</v>
      </c>
      <c r="D140" s="51">
        <v>0</v>
      </c>
    </row>
    <row r="141" spans="1:4" ht="15" customHeight="1">
      <c r="A141" s="50">
        <v>44932</v>
      </c>
      <c r="B141" s="49" t="s">
        <v>49</v>
      </c>
      <c r="C141" s="51">
        <v>53434</v>
      </c>
      <c r="D141" s="51">
        <v>0</v>
      </c>
    </row>
    <row r="142" spans="1:4" ht="15" customHeight="1">
      <c r="A142" s="50">
        <v>44932</v>
      </c>
      <c r="B142" s="49" t="s">
        <v>50</v>
      </c>
      <c r="C142" s="51">
        <v>53442.400000000001</v>
      </c>
      <c r="D142" s="51">
        <v>0</v>
      </c>
    </row>
    <row r="143" spans="1:4" ht="15" customHeight="1">
      <c r="A143" s="50">
        <v>44932</v>
      </c>
      <c r="B143" s="49" t="s">
        <v>51</v>
      </c>
      <c r="C143" s="51">
        <v>53456.6</v>
      </c>
      <c r="D143" s="51">
        <v>0</v>
      </c>
    </row>
    <row r="144" spans="1:4" ht="15" customHeight="1">
      <c r="A144" s="50">
        <v>44932</v>
      </c>
      <c r="B144" s="49" t="s">
        <v>52</v>
      </c>
      <c r="C144" s="51">
        <v>53486.3</v>
      </c>
      <c r="D144" s="51">
        <v>0</v>
      </c>
    </row>
    <row r="145" spans="1:4" ht="15" customHeight="1">
      <c r="A145" s="50">
        <v>44932</v>
      </c>
      <c r="B145" s="49" t="s">
        <v>53</v>
      </c>
      <c r="C145" s="51">
        <v>53586</v>
      </c>
      <c r="D145" s="51">
        <v>0</v>
      </c>
    </row>
    <row r="146" spans="1:4" ht="15" customHeight="1">
      <c r="A146" s="50">
        <v>44933</v>
      </c>
      <c r="B146" s="49" t="s">
        <v>30</v>
      </c>
      <c r="C146" s="51">
        <v>61966.1</v>
      </c>
      <c r="D146" s="51">
        <v>0</v>
      </c>
    </row>
    <row r="147" spans="1:4" ht="15" customHeight="1">
      <c r="A147" s="50">
        <v>44933</v>
      </c>
      <c r="B147" s="49" t="s">
        <v>31</v>
      </c>
      <c r="C147" s="51">
        <v>63389.5</v>
      </c>
      <c r="D147" s="51">
        <v>0</v>
      </c>
    </row>
    <row r="148" spans="1:4" ht="15" customHeight="1">
      <c r="A148" s="50">
        <v>44933</v>
      </c>
      <c r="B148" s="49" t="s">
        <v>32</v>
      </c>
      <c r="C148" s="51">
        <v>63357.3</v>
      </c>
      <c r="D148" s="51">
        <v>0</v>
      </c>
    </row>
    <row r="149" spans="1:4" ht="15" customHeight="1">
      <c r="A149" s="50">
        <v>44933</v>
      </c>
      <c r="B149" s="49" t="s">
        <v>33</v>
      </c>
      <c r="C149" s="51">
        <v>60059.5</v>
      </c>
      <c r="D149" s="51">
        <v>0</v>
      </c>
    </row>
    <row r="150" spans="1:4" ht="15" customHeight="1">
      <c r="A150" s="50">
        <v>44933</v>
      </c>
      <c r="B150" s="49" t="s">
        <v>34</v>
      </c>
      <c r="C150" s="51">
        <v>59564</v>
      </c>
      <c r="D150" s="51">
        <v>0</v>
      </c>
    </row>
    <row r="151" spans="1:4" ht="15" customHeight="1">
      <c r="A151" s="50">
        <v>44933</v>
      </c>
      <c r="B151" s="49" t="s">
        <v>35</v>
      </c>
      <c r="C151" s="51">
        <v>25149.8</v>
      </c>
      <c r="D151" s="51">
        <v>0</v>
      </c>
    </row>
    <row r="152" spans="1:4" ht="15" customHeight="1">
      <c r="A152" s="50">
        <v>44933</v>
      </c>
      <c r="B152" s="49" t="s">
        <v>36</v>
      </c>
      <c r="C152" s="51">
        <v>2098</v>
      </c>
      <c r="D152" s="51">
        <v>563</v>
      </c>
    </row>
    <row r="153" spans="1:4" ht="15" customHeight="1">
      <c r="A153" s="50">
        <v>44933</v>
      </c>
      <c r="B153" s="49" t="s">
        <v>37</v>
      </c>
      <c r="C153" s="51">
        <v>3029.2</v>
      </c>
      <c r="D153" s="51">
        <v>433.3</v>
      </c>
    </row>
    <row r="154" spans="1:4" ht="15" customHeight="1">
      <c r="A154" s="50">
        <v>44933</v>
      </c>
      <c r="B154" s="49" t="s">
        <v>38</v>
      </c>
      <c r="C154" s="51">
        <v>16926.2</v>
      </c>
      <c r="D154" s="51">
        <v>0</v>
      </c>
    </row>
    <row r="155" spans="1:4" ht="15" customHeight="1">
      <c r="A155" s="50">
        <v>44933</v>
      </c>
      <c r="B155" s="49" t="s">
        <v>39</v>
      </c>
      <c r="C155" s="51">
        <v>42793</v>
      </c>
      <c r="D155" s="51">
        <v>0</v>
      </c>
    </row>
    <row r="156" spans="1:4" ht="15" customHeight="1">
      <c r="A156" s="50">
        <v>44933</v>
      </c>
      <c r="B156" s="49" t="s">
        <v>40</v>
      </c>
      <c r="C156" s="51">
        <v>59847.7</v>
      </c>
      <c r="D156" s="51">
        <v>0</v>
      </c>
    </row>
    <row r="157" spans="1:4" ht="15" customHeight="1">
      <c r="A157" s="50">
        <v>44933</v>
      </c>
      <c r="B157" s="49" t="s">
        <v>41</v>
      </c>
      <c r="C157" s="51">
        <v>59938.400000000001</v>
      </c>
      <c r="D157" s="51">
        <v>0</v>
      </c>
    </row>
    <row r="158" spans="1:4" ht="15" customHeight="1">
      <c r="A158" s="50">
        <v>44933</v>
      </c>
      <c r="B158" s="49" t="s">
        <v>42</v>
      </c>
      <c r="C158" s="51">
        <v>60160.5</v>
      </c>
      <c r="D158" s="51">
        <v>0</v>
      </c>
    </row>
    <row r="159" spans="1:4" ht="15" customHeight="1">
      <c r="A159" s="50">
        <v>44933</v>
      </c>
      <c r="B159" s="49" t="s">
        <v>43</v>
      </c>
      <c r="C159" s="51">
        <v>63983.3</v>
      </c>
      <c r="D159" s="51">
        <v>0</v>
      </c>
    </row>
    <row r="160" spans="1:4" ht="15" customHeight="1">
      <c r="A160" s="50">
        <v>44933</v>
      </c>
      <c r="B160" s="49" t="s">
        <v>44</v>
      </c>
      <c r="C160" s="51">
        <v>63993.9</v>
      </c>
      <c r="D160" s="51">
        <v>0</v>
      </c>
    </row>
    <row r="161" spans="1:4" ht="15" customHeight="1">
      <c r="A161" s="50">
        <v>44933</v>
      </c>
      <c r="B161" s="49" t="s">
        <v>45</v>
      </c>
      <c r="C161" s="51">
        <v>63555.4</v>
      </c>
      <c r="D161" s="51">
        <v>0</v>
      </c>
    </row>
    <row r="162" spans="1:4" ht="15" customHeight="1">
      <c r="A162" s="50">
        <v>44933</v>
      </c>
      <c r="B162" s="49" t="s">
        <v>46</v>
      </c>
      <c r="C162" s="51">
        <v>63513.4</v>
      </c>
      <c r="D162" s="51">
        <v>0</v>
      </c>
    </row>
    <row r="163" spans="1:4" ht="15" customHeight="1">
      <c r="A163" s="50">
        <v>44933</v>
      </c>
      <c r="B163" s="49" t="s">
        <v>47</v>
      </c>
      <c r="C163" s="51">
        <v>63503.9</v>
      </c>
      <c r="D163" s="51">
        <v>0</v>
      </c>
    </row>
    <row r="164" spans="1:4" ht="15" customHeight="1">
      <c r="A164" s="50">
        <v>44933</v>
      </c>
      <c r="B164" s="49" t="s">
        <v>48</v>
      </c>
      <c r="C164" s="51">
        <v>63529.8</v>
      </c>
      <c r="D164" s="51">
        <v>0</v>
      </c>
    </row>
    <row r="165" spans="1:4" ht="15" customHeight="1">
      <c r="A165" s="50">
        <v>44933</v>
      </c>
      <c r="B165" s="49" t="s">
        <v>49</v>
      </c>
      <c r="C165" s="51">
        <v>63467.1</v>
      </c>
      <c r="D165" s="51">
        <v>0</v>
      </c>
    </row>
    <row r="166" spans="1:4" ht="15" customHeight="1">
      <c r="A166" s="50">
        <v>44933</v>
      </c>
      <c r="B166" s="49" t="s">
        <v>50</v>
      </c>
      <c r="C166" s="51">
        <v>63523</v>
      </c>
      <c r="D166" s="51">
        <v>0</v>
      </c>
    </row>
    <row r="167" spans="1:4" ht="15" customHeight="1">
      <c r="A167" s="50">
        <v>44933</v>
      </c>
      <c r="B167" s="49" t="s">
        <v>51</v>
      </c>
      <c r="C167" s="51">
        <v>63440</v>
      </c>
      <c r="D167" s="51">
        <v>0</v>
      </c>
    </row>
    <row r="168" spans="1:4" ht="15" customHeight="1">
      <c r="A168" s="50">
        <v>44933</v>
      </c>
      <c r="B168" s="49" t="s">
        <v>52</v>
      </c>
      <c r="C168" s="51">
        <v>63467.3</v>
      </c>
      <c r="D168" s="51">
        <v>0</v>
      </c>
    </row>
    <row r="169" spans="1:4" ht="15" customHeight="1">
      <c r="A169" s="50">
        <v>44933</v>
      </c>
      <c r="B169" s="49" t="s">
        <v>53</v>
      </c>
      <c r="C169" s="51">
        <v>63332.1</v>
      </c>
      <c r="D169" s="51">
        <v>0</v>
      </c>
    </row>
    <row r="170" spans="1:4" ht="15" customHeight="1">
      <c r="A170" s="50">
        <v>44934</v>
      </c>
      <c r="B170" s="49" t="s">
        <v>30</v>
      </c>
      <c r="C170" s="51">
        <v>53621.9</v>
      </c>
      <c r="D170" s="51">
        <v>0</v>
      </c>
    </row>
    <row r="171" spans="1:4" ht="15" customHeight="1">
      <c r="A171" s="50">
        <v>44934</v>
      </c>
      <c r="B171" s="49" t="s">
        <v>31</v>
      </c>
      <c r="C171" s="51">
        <v>53354.400000000001</v>
      </c>
      <c r="D171" s="51">
        <v>0</v>
      </c>
    </row>
    <row r="172" spans="1:4" ht="15" customHeight="1">
      <c r="A172" s="50">
        <v>44934</v>
      </c>
      <c r="B172" s="49" t="s">
        <v>32</v>
      </c>
      <c r="C172" s="51">
        <v>53199.9</v>
      </c>
      <c r="D172" s="51">
        <v>0</v>
      </c>
    </row>
    <row r="173" spans="1:4" ht="15" customHeight="1">
      <c r="A173" s="50">
        <v>44934</v>
      </c>
      <c r="B173" s="49" t="s">
        <v>33</v>
      </c>
      <c r="C173" s="51">
        <v>51125.5</v>
      </c>
      <c r="D173" s="51">
        <v>0</v>
      </c>
    </row>
    <row r="174" spans="1:4" ht="15" customHeight="1">
      <c r="A174" s="50">
        <v>44934</v>
      </c>
      <c r="B174" s="49" t="s">
        <v>34</v>
      </c>
      <c r="C174" s="51">
        <v>50582.2</v>
      </c>
      <c r="D174" s="51">
        <v>0</v>
      </c>
    </row>
    <row r="175" spans="1:4" ht="15" customHeight="1">
      <c r="A175" s="50">
        <v>44934</v>
      </c>
      <c r="B175" s="49" t="s">
        <v>35</v>
      </c>
      <c r="C175" s="51">
        <v>50555</v>
      </c>
      <c r="D175" s="51">
        <v>0</v>
      </c>
    </row>
    <row r="176" spans="1:4" ht="15" customHeight="1">
      <c r="A176" s="50">
        <v>44934</v>
      </c>
      <c r="B176" s="49" t="s">
        <v>36</v>
      </c>
      <c r="C176" s="51">
        <v>16841.2</v>
      </c>
      <c r="D176" s="51">
        <v>0</v>
      </c>
    </row>
    <row r="177" spans="1:4" ht="15" customHeight="1">
      <c r="A177" s="50">
        <v>44934</v>
      </c>
      <c r="B177" s="49" t="s">
        <v>37</v>
      </c>
      <c r="C177" s="51">
        <v>1357.2</v>
      </c>
      <c r="D177" s="51">
        <v>640.5</v>
      </c>
    </row>
    <row r="178" spans="1:4" ht="15" customHeight="1">
      <c r="A178" s="50">
        <v>44934</v>
      </c>
      <c r="B178" s="49" t="s">
        <v>38</v>
      </c>
      <c r="C178" s="51">
        <v>0</v>
      </c>
      <c r="D178" s="51">
        <v>724.8</v>
      </c>
    </row>
    <row r="179" spans="1:4" ht="15" customHeight="1">
      <c r="A179" s="50">
        <v>44934</v>
      </c>
      <c r="B179" s="49" t="s">
        <v>39</v>
      </c>
      <c r="C179" s="51">
        <v>0</v>
      </c>
      <c r="D179" s="51">
        <v>768.7</v>
      </c>
    </row>
    <row r="180" spans="1:4" ht="15" customHeight="1">
      <c r="A180" s="50">
        <v>44934</v>
      </c>
      <c r="B180" s="49" t="s">
        <v>40</v>
      </c>
      <c r="C180" s="51">
        <v>4886.5</v>
      </c>
      <c r="D180" s="51">
        <v>506.4</v>
      </c>
    </row>
    <row r="181" spans="1:4" ht="15" customHeight="1">
      <c r="A181" s="50">
        <v>44934</v>
      </c>
      <c r="B181" s="49" t="s">
        <v>41</v>
      </c>
      <c r="C181" s="51">
        <v>17266.7</v>
      </c>
      <c r="D181" s="51">
        <v>0</v>
      </c>
    </row>
    <row r="182" spans="1:4" ht="15" customHeight="1">
      <c r="A182" s="50">
        <v>44934</v>
      </c>
      <c r="B182" s="49" t="s">
        <v>42</v>
      </c>
      <c r="C182" s="51">
        <v>44553</v>
      </c>
      <c r="D182" s="51">
        <v>0</v>
      </c>
    </row>
    <row r="183" spans="1:4" ht="15" customHeight="1">
      <c r="A183" s="50">
        <v>44934</v>
      </c>
      <c r="B183" s="49" t="s">
        <v>43</v>
      </c>
      <c r="C183" s="51">
        <v>51793.3</v>
      </c>
      <c r="D183" s="51">
        <v>0</v>
      </c>
    </row>
    <row r="184" spans="1:4" ht="15" customHeight="1">
      <c r="A184" s="50">
        <v>44934</v>
      </c>
      <c r="B184" s="49" t="s">
        <v>44</v>
      </c>
      <c r="C184" s="51">
        <v>53863.199999999997</v>
      </c>
      <c r="D184" s="51">
        <v>0</v>
      </c>
    </row>
    <row r="185" spans="1:4" ht="15" customHeight="1">
      <c r="A185" s="50">
        <v>44934</v>
      </c>
      <c r="B185" s="49" t="s">
        <v>45</v>
      </c>
      <c r="C185" s="51">
        <v>53816.5</v>
      </c>
      <c r="D185" s="51">
        <v>0</v>
      </c>
    </row>
    <row r="186" spans="1:4" ht="15" customHeight="1">
      <c r="A186" s="50">
        <v>44934</v>
      </c>
      <c r="B186" s="49" t="s">
        <v>46</v>
      </c>
      <c r="C186" s="51">
        <v>53701.9</v>
      </c>
      <c r="D186" s="51">
        <v>0</v>
      </c>
    </row>
    <row r="187" spans="1:4" ht="15" customHeight="1">
      <c r="A187" s="50">
        <v>44934</v>
      </c>
      <c r="B187" s="49" t="s">
        <v>47</v>
      </c>
      <c r="C187" s="51">
        <v>53763.4</v>
      </c>
      <c r="D187" s="51">
        <v>0</v>
      </c>
    </row>
    <row r="188" spans="1:4" ht="15" customHeight="1">
      <c r="A188" s="50">
        <v>44934</v>
      </c>
      <c r="B188" s="49" t="s">
        <v>48</v>
      </c>
      <c r="C188" s="51">
        <v>53683.4</v>
      </c>
      <c r="D188" s="51">
        <v>0</v>
      </c>
    </row>
    <row r="189" spans="1:4" ht="15" customHeight="1">
      <c r="A189" s="50">
        <v>44934</v>
      </c>
      <c r="B189" s="49" t="s">
        <v>49</v>
      </c>
      <c r="C189" s="51">
        <v>53652.7</v>
      </c>
      <c r="D189" s="51">
        <v>0</v>
      </c>
    </row>
    <row r="190" spans="1:4" ht="15" customHeight="1">
      <c r="A190" s="50">
        <v>44934</v>
      </c>
      <c r="B190" s="49" t="s">
        <v>50</v>
      </c>
      <c r="C190" s="51">
        <v>53671.8</v>
      </c>
      <c r="D190" s="51">
        <v>0</v>
      </c>
    </row>
    <row r="191" spans="1:4" ht="15" customHeight="1">
      <c r="A191" s="50">
        <v>44934</v>
      </c>
      <c r="B191" s="49" t="s">
        <v>51</v>
      </c>
      <c r="C191" s="51">
        <v>53751.199999999997</v>
      </c>
      <c r="D191" s="51">
        <v>0</v>
      </c>
    </row>
    <row r="192" spans="1:4" ht="15" customHeight="1">
      <c r="A192" s="50">
        <v>44934</v>
      </c>
      <c r="B192" s="49" t="s">
        <v>52</v>
      </c>
      <c r="C192" s="51">
        <v>53850.9</v>
      </c>
      <c r="D192" s="51">
        <v>0</v>
      </c>
    </row>
    <row r="193" spans="1:4" ht="15" customHeight="1">
      <c r="A193" s="50">
        <v>44934</v>
      </c>
      <c r="B193" s="49" t="s">
        <v>53</v>
      </c>
      <c r="C193" s="51">
        <v>54076.5</v>
      </c>
      <c r="D193" s="51">
        <v>0</v>
      </c>
    </row>
    <row r="194" spans="1:4" ht="15" customHeight="1">
      <c r="A194" s="50">
        <v>44935</v>
      </c>
      <c r="B194" s="49" t="s">
        <v>30</v>
      </c>
      <c r="C194" s="51">
        <v>62428</v>
      </c>
      <c r="D194" s="51">
        <v>0</v>
      </c>
    </row>
    <row r="195" spans="1:4" ht="15" customHeight="1">
      <c r="A195" s="50">
        <v>44935</v>
      </c>
      <c r="B195" s="49" t="s">
        <v>31</v>
      </c>
      <c r="C195" s="51">
        <v>63069.7</v>
      </c>
      <c r="D195" s="51">
        <v>0</v>
      </c>
    </row>
    <row r="196" spans="1:4" ht="15" customHeight="1">
      <c r="A196" s="50">
        <v>44935</v>
      </c>
      <c r="B196" s="49" t="s">
        <v>32</v>
      </c>
      <c r="C196" s="51">
        <v>63175.1</v>
      </c>
      <c r="D196" s="51">
        <v>0</v>
      </c>
    </row>
    <row r="197" spans="1:4" ht="15" customHeight="1">
      <c r="A197" s="50">
        <v>44935</v>
      </c>
      <c r="B197" s="49" t="s">
        <v>33</v>
      </c>
      <c r="C197" s="51">
        <v>62977.5</v>
      </c>
      <c r="D197" s="51">
        <v>0</v>
      </c>
    </row>
    <row r="198" spans="1:4" ht="15" customHeight="1">
      <c r="A198" s="50">
        <v>44935</v>
      </c>
      <c r="B198" s="49" t="s">
        <v>34</v>
      </c>
      <c r="C198" s="51">
        <v>63270.3</v>
      </c>
      <c r="D198" s="51">
        <v>0</v>
      </c>
    </row>
    <row r="199" spans="1:4" ht="15" customHeight="1">
      <c r="A199" s="50">
        <v>44935</v>
      </c>
      <c r="B199" s="49" t="s">
        <v>35</v>
      </c>
      <c r="C199" s="51">
        <v>61819.5</v>
      </c>
      <c r="D199" s="51">
        <v>0</v>
      </c>
    </row>
    <row r="200" spans="1:4" ht="15" customHeight="1">
      <c r="A200" s="50">
        <v>44935</v>
      </c>
      <c r="B200" s="49" t="s">
        <v>36</v>
      </c>
      <c r="C200" s="51">
        <v>61006.2</v>
      </c>
      <c r="D200" s="51">
        <v>0</v>
      </c>
    </row>
    <row r="201" spans="1:4" ht="15" customHeight="1">
      <c r="A201" s="50">
        <v>44935</v>
      </c>
      <c r="B201" s="49" t="s">
        <v>37</v>
      </c>
      <c r="C201" s="51">
        <v>25631.599999999999</v>
      </c>
      <c r="D201" s="51">
        <v>0</v>
      </c>
    </row>
    <row r="202" spans="1:4" ht="15" customHeight="1">
      <c r="A202" s="50">
        <v>44935</v>
      </c>
      <c r="B202" s="49" t="s">
        <v>38</v>
      </c>
      <c r="C202" s="51">
        <v>100.9</v>
      </c>
      <c r="D202" s="51">
        <v>600.20000000000005</v>
      </c>
    </row>
    <row r="203" spans="1:4" ht="15" customHeight="1">
      <c r="A203" s="50">
        <v>44935</v>
      </c>
      <c r="B203" s="49" t="s">
        <v>39</v>
      </c>
      <c r="C203" s="51">
        <v>8213.5</v>
      </c>
      <c r="D203" s="51">
        <v>235.7</v>
      </c>
    </row>
    <row r="204" spans="1:4" ht="15" customHeight="1">
      <c r="A204" s="50">
        <v>44935</v>
      </c>
      <c r="B204" s="49" t="s">
        <v>40</v>
      </c>
      <c r="C204" s="51">
        <v>17382.8</v>
      </c>
      <c r="D204" s="51">
        <v>0</v>
      </c>
    </row>
    <row r="205" spans="1:4" ht="15" customHeight="1">
      <c r="A205" s="50">
        <v>44935</v>
      </c>
      <c r="B205" s="49" t="s">
        <v>41</v>
      </c>
      <c r="C205" s="51">
        <v>43289.9</v>
      </c>
      <c r="D205" s="51">
        <v>0</v>
      </c>
    </row>
    <row r="206" spans="1:4" ht="15" customHeight="1">
      <c r="A206" s="50">
        <v>44935</v>
      </c>
      <c r="B206" s="49" t="s">
        <v>42</v>
      </c>
      <c r="C206" s="51">
        <v>59016</v>
      </c>
      <c r="D206" s="51">
        <v>0</v>
      </c>
    </row>
    <row r="207" spans="1:4" ht="15" customHeight="1">
      <c r="A207" s="50">
        <v>44935</v>
      </c>
      <c r="B207" s="49" t="s">
        <v>43</v>
      </c>
      <c r="C207" s="51">
        <v>62855.8</v>
      </c>
      <c r="D207" s="51">
        <v>0</v>
      </c>
    </row>
    <row r="208" spans="1:4" ht="15" customHeight="1">
      <c r="A208" s="50">
        <v>44935</v>
      </c>
      <c r="B208" s="49" t="s">
        <v>44</v>
      </c>
      <c r="C208" s="51">
        <v>62784.7</v>
      </c>
      <c r="D208" s="51">
        <v>0</v>
      </c>
    </row>
    <row r="209" spans="1:4" ht="15" customHeight="1">
      <c r="A209" s="50">
        <v>44935</v>
      </c>
      <c r="B209" s="49" t="s">
        <v>45</v>
      </c>
      <c r="C209" s="51">
        <v>62779.6</v>
      </c>
      <c r="D209" s="51">
        <v>0</v>
      </c>
    </row>
    <row r="210" spans="1:4" ht="15" customHeight="1">
      <c r="A210" s="50">
        <v>44935</v>
      </c>
      <c r="B210" s="49" t="s">
        <v>46</v>
      </c>
      <c r="C210" s="51">
        <v>62505.599999999999</v>
      </c>
      <c r="D210" s="51">
        <v>0</v>
      </c>
    </row>
    <row r="211" spans="1:4" ht="15" customHeight="1">
      <c r="A211" s="50">
        <v>44935</v>
      </c>
      <c r="B211" s="49" t="s">
        <v>47</v>
      </c>
      <c r="C211" s="51">
        <v>61675.9</v>
      </c>
      <c r="D211" s="51">
        <v>0</v>
      </c>
    </row>
    <row r="212" spans="1:4" ht="15" customHeight="1">
      <c r="A212" s="50">
        <v>44935</v>
      </c>
      <c r="B212" s="49" t="s">
        <v>48</v>
      </c>
      <c r="C212" s="51">
        <v>63411.5</v>
      </c>
      <c r="D212" s="51">
        <v>0</v>
      </c>
    </row>
    <row r="213" spans="1:4" ht="15" customHeight="1">
      <c r="A213" s="50">
        <v>44935</v>
      </c>
      <c r="B213" s="49" t="s">
        <v>49</v>
      </c>
      <c r="C213" s="51">
        <v>63161.5</v>
      </c>
      <c r="D213" s="51">
        <v>0</v>
      </c>
    </row>
    <row r="214" spans="1:4" ht="15" customHeight="1">
      <c r="A214" s="50">
        <v>44935</v>
      </c>
      <c r="B214" s="49" t="s">
        <v>50</v>
      </c>
      <c r="C214" s="51">
        <v>62981.3</v>
      </c>
      <c r="D214" s="51">
        <v>0</v>
      </c>
    </row>
    <row r="215" spans="1:4" ht="15" customHeight="1">
      <c r="A215" s="50">
        <v>44935</v>
      </c>
      <c r="B215" s="49" t="s">
        <v>51</v>
      </c>
      <c r="C215" s="51">
        <v>62806</v>
      </c>
      <c r="D215" s="51">
        <v>0</v>
      </c>
    </row>
    <row r="216" spans="1:4" ht="15" customHeight="1">
      <c r="A216" s="50">
        <v>44935</v>
      </c>
      <c r="B216" s="49" t="s">
        <v>52</v>
      </c>
      <c r="C216" s="51">
        <v>62759.8</v>
      </c>
      <c r="D216" s="51">
        <v>0</v>
      </c>
    </row>
    <row r="217" spans="1:4" ht="15" customHeight="1">
      <c r="A217" s="50">
        <v>44935</v>
      </c>
      <c r="B217" s="49" t="s">
        <v>53</v>
      </c>
      <c r="C217" s="51">
        <v>62538</v>
      </c>
      <c r="D217" s="51">
        <v>0</v>
      </c>
    </row>
    <row r="218" spans="1:4" ht="15" customHeight="1">
      <c r="A218" s="50">
        <v>44936</v>
      </c>
      <c r="B218" s="49" t="s">
        <v>30</v>
      </c>
      <c r="C218" s="51">
        <v>62937.5</v>
      </c>
      <c r="D218" s="51">
        <v>0</v>
      </c>
    </row>
    <row r="219" spans="1:4" ht="15" customHeight="1">
      <c r="A219" s="50">
        <v>44936</v>
      </c>
      <c r="B219" s="49" t="s">
        <v>31</v>
      </c>
      <c r="C219" s="51">
        <v>62797</v>
      </c>
      <c r="D219" s="51">
        <v>0</v>
      </c>
    </row>
    <row r="220" spans="1:4" ht="15" customHeight="1">
      <c r="A220" s="50">
        <v>44936</v>
      </c>
      <c r="B220" s="49" t="s">
        <v>32</v>
      </c>
      <c r="C220" s="51">
        <v>62936.800000000003</v>
      </c>
      <c r="D220" s="51">
        <v>0</v>
      </c>
    </row>
    <row r="221" spans="1:4" ht="15" customHeight="1">
      <c r="A221" s="50">
        <v>44936</v>
      </c>
      <c r="B221" s="49" t="s">
        <v>33</v>
      </c>
      <c r="C221" s="51">
        <v>62802</v>
      </c>
      <c r="D221" s="51">
        <v>0</v>
      </c>
    </row>
    <row r="222" spans="1:4" ht="15" customHeight="1">
      <c r="A222" s="50">
        <v>44936</v>
      </c>
      <c r="B222" s="49" t="s">
        <v>34</v>
      </c>
      <c r="C222" s="51">
        <v>61571.1</v>
      </c>
      <c r="D222" s="51">
        <v>0</v>
      </c>
    </row>
    <row r="223" spans="1:4" ht="15" customHeight="1">
      <c r="A223" s="50">
        <v>44936</v>
      </c>
      <c r="B223" s="49" t="s">
        <v>35</v>
      </c>
      <c r="C223" s="51">
        <v>59682.6</v>
      </c>
      <c r="D223" s="51">
        <v>0</v>
      </c>
    </row>
    <row r="224" spans="1:4" ht="15" customHeight="1">
      <c r="A224" s="50">
        <v>44936</v>
      </c>
      <c r="B224" s="49" t="s">
        <v>36</v>
      </c>
      <c r="C224" s="51">
        <v>59572.1</v>
      </c>
      <c r="D224" s="51">
        <v>0</v>
      </c>
    </row>
    <row r="225" spans="1:4" ht="15" customHeight="1">
      <c r="A225" s="50">
        <v>44936</v>
      </c>
      <c r="B225" s="49" t="s">
        <v>37</v>
      </c>
      <c r="C225" s="51">
        <v>59688.3</v>
      </c>
      <c r="D225" s="51">
        <v>0</v>
      </c>
    </row>
    <row r="226" spans="1:4" ht="15" customHeight="1">
      <c r="A226" s="50">
        <v>44936</v>
      </c>
      <c r="B226" s="49" t="s">
        <v>38</v>
      </c>
      <c r="C226" s="51">
        <v>59740.3</v>
      </c>
      <c r="D226" s="51">
        <v>0</v>
      </c>
    </row>
    <row r="227" spans="1:4" ht="15" customHeight="1">
      <c r="A227" s="50">
        <v>44936</v>
      </c>
      <c r="B227" s="49" t="s">
        <v>39</v>
      </c>
      <c r="C227" s="51">
        <v>61328.6</v>
      </c>
      <c r="D227" s="51">
        <v>0</v>
      </c>
    </row>
    <row r="228" spans="1:4" ht="15" customHeight="1">
      <c r="A228" s="50">
        <v>44936</v>
      </c>
      <c r="B228" s="49" t="s">
        <v>40</v>
      </c>
      <c r="C228" s="51">
        <v>63756.6</v>
      </c>
      <c r="D228" s="51">
        <v>0</v>
      </c>
    </row>
    <row r="229" spans="1:4" ht="15" customHeight="1">
      <c r="A229" s="50">
        <v>44936</v>
      </c>
      <c r="B229" s="49" t="s">
        <v>41</v>
      </c>
      <c r="C229" s="51">
        <v>63914.8</v>
      </c>
      <c r="D229" s="51">
        <v>0</v>
      </c>
    </row>
    <row r="230" spans="1:4" ht="15" customHeight="1">
      <c r="A230" s="50">
        <v>44936</v>
      </c>
      <c r="B230" s="49" t="s">
        <v>42</v>
      </c>
      <c r="C230" s="51">
        <v>63931.3</v>
      </c>
      <c r="D230" s="51">
        <v>0</v>
      </c>
    </row>
    <row r="231" spans="1:4" ht="15" customHeight="1">
      <c r="A231" s="50">
        <v>44936</v>
      </c>
      <c r="B231" s="49" t="s">
        <v>43</v>
      </c>
      <c r="C231" s="51">
        <v>63815.1</v>
      </c>
      <c r="D231" s="51">
        <v>0</v>
      </c>
    </row>
    <row r="232" spans="1:4" ht="15" customHeight="1">
      <c r="A232" s="50">
        <v>44936</v>
      </c>
      <c r="B232" s="49" t="s">
        <v>44</v>
      </c>
      <c r="C232" s="51">
        <v>63912.1</v>
      </c>
      <c r="D232" s="51">
        <v>0</v>
      </c>
    </row>
    <row r="233" spans="1:4" ht="15" customHeight="1">
      <c r="A233" s="50">
        <v>44936</v>
      </c>
      <c r="B233" s="49" t="s">
        <v>45</v>
      </c>
      <c r="C233" s="51">
        <v>63951.3</v>
      </c>
      <c r="D233" s="51">
        <v>0</v>
      </c>
    </row>
    <row r="234" spans="1:4" ht="15" customHeight="1">
      <c r="A234" s="50">
        <v>44936</v>
      </c>
      <c r="B234" s="49" t="s">
        <v>46</v>
      </c>
      <c r="C234" s="51">
        <v>63891.4</v>
      </c>
      <c r="D234" s="51">
        <v>0</v>
      </c>
    </row>
    <row r="235" spans="1:4" ht="15" customHeight="1">
      <c r="A235" s="50">
        <v>44936</v>
      </c>
      <c r="B235" s="49" t="s">
        <v>47</v>
      </c>
      <c r="C235" s="51">
        <v>63851.6</v>
      </c>
      <c r="D235" s="51">
        <v>0</v>
      </c>
    </row>
    <row r="236" spans="1:4" ht="15" customHeight="1">
      <c r="A236" s="50">
        <v>44936</v>
      </c>
      <c r="B236" s="49" t="s">
        <v>48</v>
      </c>
      <c r="C236" s="51">
        <v>63785.9</v>
      </c>
      <c r="D236" s="51">
        <v>0</v>
      </c>
    </row>
    <row r="237" spans="1:4" ht="15" customHeight="1">
      <c r="A237" s="50">
        <v>44936</v>
      </c>
      <c r="B237" s="49" t="s">
        <v>49</v>
      </c>
      <c r="C237" s="51">
        <v>63642.7</v>
      </c>
      <c r="D237" s="51">
        <v>0</v>
      </c>
    </row>
    <row r="238" spans="1:4" ht="15" customHeight="1">
      <c r="A238" s="50">
        <v>44936</v>
      </c>
      <c r="B238" s="49" t="s">
        <v>50</v>
      </c>
      <c r="C238" s="51">
        <v>61977.9</v>
      </c>
      <c r="D238" s="51">
        <v>0</v>
      </c>
    </row>
    <row r="239" spans="1:4" ht="15" customHeight="1">
      <c r="A239" s="50">
        <v>44936</v>
      </c>
      <c r="B239" s="49" t="s">
        <v>51</v>
      </c>
      <c r="C239" s="51">
        <v>62086.8</v>
      </c>
      <c r="D239" s="51">
        <v>0</v>
      </c>
    </row>
    <row r="240" spans="1:4" ht="15" customHeight="1">
      <c r="A240" s="50">
        <v>44936</v>
      </c>
      <c r="B240" s="49" t="s">
        <v>52</v>
      </c>
      <c r="C240" s="51">
        <v>62713</v>
      </c>
      <c r="D240" s="51">
        <v>0</v>
      </c>
    </row>
    <row r="241" spans="1:4" ht="15" customHeight="1">
      <c r="A241" s="50">
        <v>44936</v>
      </c>
      <c r="B241" s="49" t="s">
        <v>53</v>
      </c>
      <c r="C241" s="51">
        <v>62527.1</v>
      </c>
      <c r="D241" s="51">
        <v>0</v>
      </c>
    </row>
    <row r="242" spans="1:4" ht="15" customHeight="1">
      <c r="A242" s="50">
        <v>44937</v>
      </c>
      <c r="B242" s="49" t="s">
        <v>30</v>
      </c>
      <c r="C242" s="51">
        <v>53704.4</v>
      </c>
      <c r="D242" s="51">
        <v>0</v>
      </c>
    </row>
    <row r="243" spans="1:4" ht="15" customHeight="1">
      <c r="A243" s="50">
        <v>44937</v>
      </c>
      <c r="B243" s="49" t="s">
        <v>31</v>
      </c>
      <c r="C243" s="51">
        <v>53063.1</v>
      </c>
      <c r="D243" s="51">
        <v>0</v>
      </c>
    </row>
    <row r="244" spans="1:4" ht="15" customHeight="1">
      <c r="A244" s="50">
        <v>44937</v>
      </c>
      <c r="B244" s="49" t="s">
        <v>32</v>
      </c>
      <c r="C244" s="51">
        <v>53056</v>
      </c>
      <c r="D244" s="51">
        <v>0</v>
      </c>
    </row>
    <row r="245" spans="1:4" ht="15" customHeight="1">
      <c r="A245" s="50">
        <v>44937</v>
      </c>
      <c r="B245" s="49" t="s">
        <v>33</v>
      </c>
      <c r="C245" s="51">
        <v>53158.7</v>
      </c>
      <c r="D245" s="51">
        <v>0</v>
      </c>
    </row>
    <row r="246" spans="1:4" ht="15" customHeight="1">
      <c r="A246" s="50">
        <v>44937</v>
      </c>
      <c r="B246" s="49" t="s">
        <v>34</v>
      </c>
      <c r="C246" s="51">
        <v>51539.1</v>
      </c>
      <c r="D246" s="51">
        <v>0</v>
      </c>
    </row>
    <row r="247" spans="1:4" ht="15" customHeight="1">
      <c r="A247" s="50">
        <v>44937</v>
      </c>
      <c r="B247" s="49" t="s">
        <v>35</v>
      </c>
      <c r="C247" s="51">
        <v>51219.4</v>
      </c>
      <c r="D247" s="51">
        <v>0</v>
      </c>
    </row>
    <row r="248" spans="1:4" ht="15" customHeight="1">
      <c r="A248" s="50">
        <v>44937</v>
      </c>
      <c r="B248" s="49" t="s">
        <v>36</v>
      </c>
      <c r="C248" s="51">
        <v>51034.7</v>
      </c>
      <c r="D248" s="51">
        <v>0</v>
      </c>
    </row>
    <row r="249" spans="1:4" ht="15" customHeight="1">
      <c r="A249" s="50">
        <v>44937</v>
      </c>
      <c r="B249" s="49" t="s">
        <v>37</v>
      </c>
      <c r="C249" s="51">
        <v>51136.800000000003</v>
      </c>
      <c r="D249" s="51">
        <v>0</v>
      </c>
    </row>
    <row r="250" spans="1:4" ht="15" customHeight="1">
      <c r="A250" s="50">
        <v>44937</v>
      </c>
      <c r="B250" s="49" t="s">
        <v>38</v>
      </c>
      <c r="C250" s="51">
        <v>51128.7</v>
      </c>
      <c r="D250" s="51">
        <v>0</v>
      </c>
    </row>
    <row r="251" spans="1:4" ht="15" customHeight="1">
      <c r="A251" s="50">
        <v>44937</v>
      </c>
      <c r="B251" s="49" t="s">
        <v>39</v>
      </c>
      <c r="C251" s="51">
        <v>54233.3</v>
      </c>
      <c r="D251" s="51">
        <v>0</v>
      </c>
    </row>
    <row r="252" spans="1:4" ht="15" customHeight="1">
      <c r="A252" s="50">
        <v>44937</v>
      </c>
      <c r="B252" s="49" t="s">
        <v>40</v>
      </c>
      <c r="C252" s="51">
        <v>53827.4</v>
      </c>
      <c r="D252" s="51">
        <v>0</v>
      </c>
    </row>
    <row r="253" spans="1:4" ht="15" customHeight="1">
      <c r="A253" s="50">
        <v>44937</v>
      </c>
      <c r="B253" s="49" t="s">
        <v>41</v>
      </c>
      <c r="C253" s="51">
        <v>53609.8</v>
      </c>
      <c r="D253" s="51">
        <v>0</v>
      </c>
    </row>
    <row r="254" spans="1:4" ht="15" customHeight="1">
      <c r="A254" s="50">
        <v>44937</v>
      </c>
      <c r="B254" s="49" t="s">
        <v>42</v>
      </c>
      <c r="C254" s="51">
        <v>53458.6</v>
      </c>
      <c r="D254" s="51">
        <v>0</v>
      </c>
    </row>
    <row r="255" spans="1:4" ht="15" customHeight="1">
      <c r="A255" s="50">
        <v>44937</v>
      </c>
      <c r="B255" s="49" t="s">
        <v>43</v>
      </c>
      <c r="C255" s="51">
        <v>53402.8</v>
      </c>
      <c r="D255" s="51">
        <v>0</v>
      </c>
    </row>
    <row r="256" spans="1:4" ht="15" customHeight="1">
      <c r="A256" s="50">
        <v>44937</v>
      </c>
      <c r="B256" s="49" t="s">
        <v>44</v>
      </c>
      <c r="C256" s="51">
        <v>53511.3</v>
      </c>
      <c r="D256" s="51">
        <v>0</v>
      </c>
    </row>
    <row r="257" spans="1:4" ht="15" customHeight="1">
      <c r="A257" s="50">
        <v>44937</v>
      </c>
      <c r="B257" s="49" t="s">
        <v>45</v>
      </c>
      <c r="C257" s="51">
        <v>53105.7</v>
      </c>
      <c r="D257" s="51">
        <v>0</v>
      </c>
    </row>
    <row r="258" spans="1:4" ht="15" customHeight="1">
      <c r="A258" s="50">
        <v>44937</v>
      </c>
      <c r="B258" s="49" t="s">
        <v>46</v>
      </c>
      <c r="C258" s="51">
        <v>53507.9</v>
      </c>
      <c r="D258" s="51">
        <v>0</v>
      </c>
    </row>
    <row r="259" spans="1:4" ht="15" customHeight="1">
      <c r="A259" s="50">
        <v>44937</v>
      </c>
      <c r="B259" s="49" t="s">
        <v>47</v>
      </c>
      <c r="C259" s="51">
        <v>52560.4</v>
      </c>
      <c r="D259" s="51">
        <v>0</v>
      </c>
    </row>
    <row r="260" spans="1:4" ht="15" customHeight="1">
      <c r="A260" s="50">
        <v>44937</v>
      </c>
      <c r="B260" s="49" t="s">
        <v>48</v>
      </c>
      <c r="C260" s="51">
        <v>53752.2</v>
      </c>
      <c r="D260" s="51">
        <v>0</v>
      </c>
    </row>
    <row r="261" spans="1:4" ht="15" customHeight="1">
      <c r="A261" s="50">
        <v>44937</v>
      </c>
      <c r="B261" s="49" t="s">
        <v>49</v>
      </c>
      <c r="C261" s="51">
        <v>53525.7</v>
      </c>
      <c r="D261" s="51">
        <v>0</v>
      </c>
    </row>
    <row r="262" spans="1:4" ht="15" customHeight="1">
      <c r="A262" s="50">
        <v>44937</v>
      </c>
      <c r="B262" s="49" t="s">
        <v>50</v>
      </c>
      <c r="C262" s="51">
        <v>53384.3</v>
      </c>
      <c r="D262" s="51">
        <v>0</v>
      </c>
    </row>
    <row r="263" spans="1:4" ht="15" customHeight="1">
      <c r="A263" s="50">
        <v>44937</v>
      </c>
      <c r="B263" s="49" t="s">
        <v>51</v>
      </c>
      <c r="C263" s="51">
        <v>53208.7</v>
      </c>
      <c r="D263" s="51">
        <v>0</v>
      </c>
    </row>
    <row r="264" spans="1:4" ht="15" customHeight="1">
      <c r="A264" s="50">
        <v>44937</v>
      </c>
      <c r="B264" s="49" t="s">
        <v>52</v>
      </c>
      <c r="C264" s="51">
        <v>53053.2</v>
      </c>
      <c r="D264" s="51">
        <v>0</v>
      </c>
    </row>
    <row r="265" spans="1:4" ht="15" customHeight="1">
      <c r="A265" s="50">
        <v>44937</v>
      </c>
      <c r="B265" s="49" t="s">
        <v>53</v>
      </c>
      <c r="C265" s="51">
        <v>53314.5</v>
      </c>
      <c r="D265" s="51">
        <v>0</v>
      </c>
    </row>
    <row r="266" spans="1:4" ht="15" customHeight="1">
      <c r="A266" s="50">
        <v>44938</v>
      </c>
      <c r="B266" s="49" t="s">
        <v>30</v>
      </c>
      <c r="C266" s="51">
        <v>52739.8</v>
      </c>
      <c r="D266" s="51">
        <v>0</v>
      </c>
    </row>
    <row r="267" spans="1:4" ht="15" customHeight="1">
      <c r="A267" s="50">
        <v>44938</v>
      </c>
      <c r="B267" s="49" t="s">
        <v>31</v>
      </c>
      <c r="C267" s="51">
        <v>53504.800000000003</v>
      </c>
      <c r="D267" s="51">
        <v>0</v>
      </c>
    </row>
    <row r="268" spans="1:4" ht="15" customHeight="1">
      <c r="A268" s="50">
        <v>44938</v>
      </c>
      <c r="B268" s="49" t="s">
        <v>32</v>
      </c>
      <c r="C268" s="51">
        <v>53740.9</v>
      </c>
      <c r="D268" s="51">
        <v>0</v>
      </c>
    </row>
    <row r="269" spans="1:4" ht="15" customHeight="1">
      <c r="A269" s="50">
        <v>44938</v>
      </c>
      <c r="B269" s="49" t="s">
        <v>33</v>
      </c>
      <c r="C269" s="51">
        <v>53479.6</v>
      </c>
      <c r="D269" s="51">
        <v>0</v>
      </c>
    </row>
    <row r="270" spans="1:4" ht="15" customHeight="1">
      <c r="A270" s="50">
        <v>44938</v>
      </c>
      <c r="B270" s="49" t="s">
        <v>34</v>
      </c>
      <c r="C270" s="51">
        <v>51863.1</v>
      </c>
      <c r="D270" s="51">
        <v>0</v>
      </c>
    </row>
    <row r="271" spans="1:4" ht="15" customHeight="1">
      <c r="A271" s="50">
        <v>44938</v>
      </c>
      <c r="B271" s="49" t="s">
        <v>35</v>
      </c>
      <c r="C271" s="51">
        <v>50851.1</v>
      </c>
      <c r="D271" s="51">
        <v>0</v>
      </c>
    </row>
    <row r="272" spans="1:4" ht="15" customHeight="1">
      <c r="A272" s="50">
        <v>44938</v>
      </c>
      <c r="B272" s="49" t="s">
        <v>36</v>
      </c>
      <c r="C272" s="51">
        <v>50752.5</v>
      </c>
      <c r="D272" s="51">
        <v>0</v>
      </c>
    </row>
    <row r="273" spans="1:4" ht="15" customHeight="1">
      <c r="A273" s="50">
        <v>44938</v>
      </c>
      <c r="B273" s="49" t="s">
        <v>37</v>
      </c>
      <c r="C273" s="51">
        <v>50860.800000000003</v>
      </c>
      <c r="D273" s="51">
        <v>0</v>
      </c>
    </row>
    <row r="274" spans="1:4" ht="15" customHeight="1">
      <c r="A274" s="50">
        <v>44938</v>
      </c>
      <c r="B274" s="49" t="s">
        <v>38</v>
      </c>
      <c r="C274" s="51">
        <v>51490.7</v>
      </c>
      <c r="D274" s="51">
        <v>0</v>
      </c>
    </row>
    <row r="275" spans="1:4" ht="15" customHeight="1">
      <c r="A275" s="50">
        <v>44938</v>
      </c>
      <c r="B275" s="49" t="s">
        <v>39</v>
      </c>
      <c r="C275" s="51">
        <v>54176.7</v>
      </c>
      <c r="D275" s="51">
        <v>0</v>
      </c>
    </row>
    <row r="276" spans="1:4" ht="15" customHeight="1">
      <c r="A276" s="50">
        <v>44938</v>
      </c>
      <c r="B276" s="49" t="s">
        <v>40</v>
      </c>
      <c r="C276" s="51">
        <v>54320.6</v>
      </c>
      <c r="D276" s="51">
        <v>0</v>
      </c>
    </row>
    <row r="277" spans="1:4" ht="15" customHeight="1">
      <c r="A277" s="50">
        <v>44938</v>
      </c>
      <c r="B277" s="49" t="s">
        <v>41</v>
      </c>
      <c r="C277" s="51">
        <v>54346.6</v>
      </c>
      <c r="D277" s="51">
        <v>0</v>
      </c>
    </row>
    <row r="278" spans="1:4" ht="15" customHeight="1">
      <c r="A278" s="50">
        <v>44938</v>
      </c>
      <c r="B278" s="49" t="s">
        <v>42</v>
      </c>
      <c r="C278" s="51">
        <v>54379.9</v>
      </c>
      <c r="D278" s="51">
        <v>0</v>
      </c>
    </row>
    <row r="279" spans="1:4" ht="15" customHeight="1">
      <c r="A279" s="50">
        <v>44938</v>
      </c>
      <c r="B279" s="49" t="s">
        <v>43</v>
      </c>
      <c r="C279" s="51">
        <v>54418.2</v>
      </c>
      <c r="D279" s="51">
        <v>0</v>
      </c>
    </row>
    <row r="280" spans="1:4" ht="15" customHeight="1">
      <c r="A280" s="50">
        <v>44938</v>
      </c>
      <c r="B280" s="49" t="s">
        <v>44</v>
      </c>
      <c r="C280" s="51">
        <v>54364.800000000003</v>
      </c>
      <c r="D280" s="51">
        <v>0</v>
      </c>
    </row>
    <row r="281" spans="1:4" ht="15" customHeight="1">
      <c r="A281" s="50">
        <v>44938</v>
      </c>
      <c r="B281" s="49" t="s">
        <v>45</v>
      </c>
      <c r="C281" s="51">
        <v>54323.3</v>
      </c>
      <c r="D281" s="51">
        <v>0</v>
      </c>
    </row>
    <row r="282" spans="1:4" ht="15" customHeight="1">
      <c r="A282" s="50">
        <v>44938</v>
      </c>
      <c r="B282" s="49" t="s">
        <v>46</v>
      </c>
      <c r="C282" s="51">
        <v>54185.7</v>
      </c>
      <c r="D282" s="51">
        <v>0</v>
      </c>
    </row>
    <row r="283" spans="1:4" ht="15" customHeight="1">
      <c r="A283" s="50">
        <v>44938</v>
      </c>
      <c r="B283" s="49" t="s">
        <v>47</v>
      </c>
      <c r="C283" s="51">
        <v>54269.9</v>
      </c>
      <c r="D283" s="51">
        <v>0</v>
      </c>
    </row>
    <row r="284" spans="1:4" ht="15" customHeight="1">
      <c r="A284" s="50">
        <v>44938</v>
      </c>
      <c r="B284" s="49" t="s">
        <v>48</v>
      </c>
      <c r="C284" s="51">
        <v>54003.4</v>
      </c>
      <c r="D284" s="51">
        <v>0</v>
      </c>
    </row>
    <row r="285" spans="1:4" ht="15" customHeight="1">
      <c r="A285" s="50">
        <v>44938</v>
      </c>
      <c r="B285" s="49" t="s">
        <v>49</v>
      </c>
      <c r="C285" s="51">
        <v>54024.3</v>
      </c>
      <c r="D285" s="51">
        <v>0</v>
      </c>
    </row>
    <row r="286" spans="1:4" ht="15" customHeight="1">
      <c r="A286" s="50">
        <v>44938</v>
      </c>
      <c r="B286" s="49" t="s">
        <v>50</v>
      </c>
      <c r="C286" s="51">
        <v>52862.2</v>
      </c>
      <c r="D286" s="51">
        <v>0</v>
      </c>
    </row>
    <row r="287" spans="1:4" ht="15" customHeight="1">
      <c r="A287" s="50">
        <v>44938</v>
      </c>
      <c r="B287" s="49" t="s">
        <v>51</v>
      </c>
      <c r="C287" s="51">
        <v>52943.1</v>
      </c>
      <c r="D287" s="51">
        <v>0</v>
      </c>
    </row>
    <row r="288" spans="1:4" ht="15" customHeight="1">
      <c r="A288" s="50">
        <v>44938</v>
      </c>
      <c r="B288" s="49" t="s">
        <v>52</v>
      </c>
      <c r="C288" s="51">
        <v>52874.3</v>
      </c>
      <c r="D288" s="51">
        <v>0</v>
      </c>
    </row>
    <row r="289" spans="1:4" ht="15" customHeight="1">
      <c r="A289" s="50">
        <v>44938</v>
      </c>
      <c r="B289" s="49" t="s">
        <v>53</v>
      </c>
      <c r="C289" s="51">
        <v>52757.3</v>
      </c>
      <c r="D289" s="51">
        <v>0</v>
      </c>
    </row>
    <row r="290" spans="1:4" ht="15" customHeight="1">
      <c r="A290" s="50">
        <v>44939</v>
      </c>
      <c r="B290" s="49" t="s">
        <v>30</v>
      </c>
      <c r="C290" s="51">
        <v>52935.199999999997</v>
      </c>
      <c r="D290" s="51">
        <v>0</v>
      </c>
    </row>
    <row r="291" spans="1:4" ht="15" customHeight="1">
      <c r="A291" s="50">
        <v>44939</v>
      </c>
      <c r="B291" s="49" t="s">
        <v>31</v>
      </c>
      <c r="C291" s="51">
        <v>53862.8</v>
      </c>
      <c r="D291" s="51">
        <v>0</v>
      </c>
    </row>
    <row r="292" spans="1:4" ht="15" customHeight="1">
      <c r="A292" s="50">
        <v>44939</v>
      </c>
      <c r="B292" s="49" t="s">
        <v>32</v>
      </c>
      <c r="C292" s="51">
        <v>53880.5</v>
      </c>
      <c r="D292" s="51">
        <v>0</v>
      </c>
    </row>
    <row r="293" spans="1:4" ht="15" customHeight="1">
      <c r="A293" s="50">
        <v>44939</v>
      </c>
      <c r="B293" s="49" t="s">
        <v>33</v>
      </c>
      <c r="C293" s="51">
        <v>53640.800000000003</v>
      </c>
      <c r="D293" s="51">
        <v>0</v>
      </c>
    </row>
    <row r="294" spans="1:4" ht="15" customHeight="1">
      <c r="A294" s="50">
        <v>44939</v>
      </c>
      <c r="B294" s="49" t="s">
        <v>34</v>
      </c>
      <c r="C294" s="51">
        <v>53897.3</v>
      </c>
      <c r="D294" s="51">
        <v>0</v>
      </c>
    </row>
    <row r="295" spans="1:4" ht="15" customHeight="1">
      <c r="A295" s="50">
        <v>44939</v>
      </c>
      <c r="B295" s="49" t="s">
        <v>35</v>
      </c>
      <c r="C295" s="51">
        <v>51621.8</v>
      </c>
      <c r="D295" s="51">
        <v>0</v>
      </c>
    </row>
    <row r="296" spans="1:4" ht="15" customHeight="1">
      <c r="A296" s="50">
        <v>44939</v>
      </c>
      <c r="B296" s="49" t="s">
        <v>36</v>
      </c>
      <c r="C296" s="51">
        <v>50447.9</v>
      </c>
      <c r="D296" s="51">
        <v>0</v>
      </c>
    </row>
    <row r="297" spans="1:4" ht="15" customHeight="1">
      <c r="A297" s="50">
        <v>44939</v>
      </c>
      <c r="B297" s="49" t="s">
        <v>37</v>
      </c>
      <c r="C297" s="51">
        <v>50384.3</v>
      </c>
      <c r="D297" s="51">
        <v>0</v>
      </c>
    </row>
    <row r="298" spans="1:4" ht="15" customHeight="1">
      <c r="A298" s="50">
        <v>44939</v>
      </c>
      <c r="B298" s="49" t="s">
        <v>38</v>
      </c>
      <c r="C298" s="51">
        <v>51663.1</v>
      </c>
      <c r="D298" s="51">
        <v>0</v>
      </c>
    </row>
    <row r="299" spans="1:4" ht="15" customHeight="1">
      <c r="A299" s="50">
        <v>44939</v>
      </c>
      <c r="B299" s="49" t="s">
        <v>39</v>
      </c>
      <c r="C299" s="51">
        <v>54723.4</v>
      </c>
      <c r="D299" s="51">
        <v>0</v>
      </c>
    </row>
    <row r="300" spans="1:4" ht="15" customHeight="1">
      <c r="A300" s="50">
        <v>44939</v>
      </c>
      <c r="B300" s="49" t="s">
        <v>40</v>
      </c>
      <c r="C300" s="51">
        <v>54303.199999999997</v>
      </c>
      <c r="D300" s="51">
        <v>0</v>
      </c>
    </row>
    <row r="301" spans="1:4" ht="15" customHeight="1">
      <c r="A301" s="50">
        <v>44939</v>
      </c>
      <c r="B301" s="49" t="s">
        <v>41</v>
      </c>
      <c r="C301" s="51">
        <v>54259</v>
      </c>
      <c r="D301" s="51">
        <v>0</v>
      </c>
    </row>
    <row r="302" spans="1:4" ht="15" customHeight="1">
      <c r="A302" s="50">
        <v>44939</v>
      </c>
      <c r="B302" s="49" t="s">
        <v>42</v>
      </c>
      <c r="C302" s="51">
        <v>54283.4</v>
      </c>
      <c r="D302" s="51">
        <v>0</v>
      </c>
    </row>
    <row r="303" spans="1:4" ht="15" customHeight="1">
      <c r="A303" s="50">
        <v>44939</v>
      </c>
      <c r="B303" s="49" t="s">
        <v>43</v>
      </c>
      <c r="C303" s="51">
        <v>54314.6</v>
      </c>
      <c r="D303" s="51">
        <v>0</v>
      </c>
    </row>
    <row r="304" spans="1:4" ht="15" customHeight="1">
      <c r="A304" s="50">
        <v>44939</v>
      </c>
      <c r="B304" s="49" t="s">
        <v>44</v>
      </c>
      <c r="C304" s="51">
        <v>54311.8</v>
      </c>
      <c r="D304" s="51">
        <v>0</v>
      </c>
    </row>
    <row r="305" spans="1:4" ht="15" customHeight="1">
      <c r="A305" s="50">
        <v>44939</v>
      </c>
      <c r="B305" s="49" t="s">
        <v>45</v>
      </c>
      <c r="C305" s="51">
        <v>54245.1</v>
      </c>
      <c r="D305" s="51">
        <v>0</v>
      </c>
    </row>
    <row r="306" spans="1:4" ht="15" customHeight="1">
      <c r="A306" s="50">
        <v>44939</v>
      </c>
      <c r="B306" s="49" t="s">
        <v>46</v>
      </c>
      <c r="C306" s="51">
        <v>54247.9</v>
      </c>
      <c r="D306" s="51">
        <v>0</v>
      </c>
    </row>
    <row r="307" spans="1:4" ht="15" customHeight="1">
      <c r="A307" s="50">
        <v>44939</v>
      </c>
      <c r="B307" s="49" t="s">
        <v>47</v>
      </c>
      <c r="C307" s="51">
        <v>54151.7</v>
      </c>
      <c r="D307" s="51">
        <v>0</v>
      </c>
    </row>
    <row r="308" spans="1:4" ht="15" customHeight="1">
      <c r="A308" s="50">
        <v>44939</v>
      </c>
      <c r="B308" s="49" t="s">
        <v>48</v>
      </c>
      <c r="C308" s="51">
        <v>54170.8</v>
      </c>
      <c r="D308" s="51">
        <v>0</v>
      </c>
    </row>
    <row r="309" spans="1:4" ht="15" customHeight="1">
      <c r="A309" s="50">
        <v>44939</v>
      </c>
      <c r="B309" s="49" t="s">
        <v>49</v>
      </c>
      <c r="C309" s="51">
        <v>54095.3</v>
      </c>
      <c r="D309" s="51">
        <v>0</v>
      </c>
    </row>
    <row r="310" spans="1:4" ht="15" customHeight="1">
      <c r="A310" s="50">
        <v>44939</v>
      </c>
      <c r="B310" s="49" t="s">
        <v>50</v>
      </c>
      <c r="C310" s="51">
        <v>53974.400000000001</v>
      </c>
      <c r="D310" s="51">
        <v>0</v>
      </c>
    </row>
    <row r="311" spans="1:4" ht="15" customHeight="1">
      <c r="A311" s="50">
        <v>44939</v>
      </c>
      <c r="B311" s="49" t="s">
        <v>51</v>
      </c>
      <c r="C311" s="51">
        <v>53730.400000000001</v>
      </c>
      <c r="D311" s="51">
        <v>0</v>
      </c>
    </row>
    <row r="312" spans="1:4" ht="15" customHeight="1">
      <c r="A312" s="50">
        <v>44939</v>
      </c>
      <c r="B312" s="49" t="s">
        <v>52</v>
      </c>
      <c r="C312" s="51">
        <v>53996</v>
      </c>
      <c r="D312" s="51">
        <v>0</v>
      </c>
    </row>
    <row r="313" spans="1:4" ht="15" customHeight="1">
      <c r="A313" s="50">
        <v>44939</v>
      </c>
      <c r="B313" s="49" t="s">
        <v>53</v>
      </c>
      <c r="C313" s="51">
        <v>53983.3</v>
      </c>
      <c r="D313" s="51">
        <v>0</v>
      </c>
    </row>
    <row r="314" spans="1:4" ht="15" customHeight="1">
      <c r="A314" s="50">
        <v>44940</v>
      </c>
      <c r="B314" s="49" t="s">
        <v>30</v>
      </c>
      <c r="C314" s="51">
        <v>51928.800000000003</v>
      </c>
      <c r="D314" s="51">
        <v>0</v>
      </c>
    </row>
    <row r="315" spans="1:4" ht="15" customHeight="1">
      <c r="A315" s="50">
        <v>44940</v>
      </c>
      <c r="B315" s="49" t="s">
        <v>31</v>
      </c>
      <c r="C315" s="51">
        <v>53091.7</v>
      </c>
      <c r="D315" s="51">
        <v>0</v>
      </c>
    </row>
    <row r="316" spans="1:4" ht="15" customHeight="1">
      <c r="A316" s="50">
        <v>44940</v>
      </c>
      <c r="B316" s="49" t="s">
        <v>32</v>
      </c>
      <c r="C316" s="51">
        <v>53236.4</v>
      </c>
      <c r="D316" s="51">
        <v>0</v>
      </c>
    </row>
    <row r="317" spans="1:4" ht="15" customHeight="1">
      <c r="A317" s="50">
        <v>44940</v>
      </c>
      <c r="B317" s="49" t="s">
        <v>33</v>
      </c>
      <c r="C317" s="51">
        <v>53109.2</v>
      </c>
      <c r="D317" s="51">
        <v>0</v>
      </c>
    </row>
    <row r="318" spans="1:4" ht="15" customHeight="1">
      <c r="A318" s="50">
        <v>44940</v>
      </c>
      <c r="B318" s="49" t="s">
        <v>34</v>
      </c>
      <c r="C318" s="51">
        <v>53180.2</v>
      </c>
      <c r="D318" s="51">
        <v>0</v>
      </c>
    </row>
    <row r="319" spans="1:4" ht="15" customHeight="1">
      <c r="A319" s="50">
        <v>44940</v>
      </c>
      <c r="B319" s="49" t="s">
        <v>35</v>
      </c>
      <c r="C319" s="51">
        <v>53001.5</v>
      </c>
      <c r="D319" s="51">
        <v>0</v>
      </c>
    </row>
    <row r="320" spans="1:4" ht="15" customHeight="1">
      <c r="A320" s="50">
        <v>44940</v>
      </c>
      <c r="B320" s="49" t="s">
        <v>36</v>
      </c>
      <c r="C320" s="51">
        <v>53040.800000000003</v>
      </c>
      <c r="D320" s="51">
        <v>0</v>
      </c>
    </row>
    <row r="321" spans="1:4" ht="15" customHeight="1">
      <c r="A321" s="50">
        <v>44940</v>
      </c>
      <c r="B321" s="49" t="s">
        <v>37</v>
      </c>
      <c r="C321" s="51">
        <v>52884.7</v>
      </c>
      <c r="D321" s="51">
        <v>0</v>
      </c>
    </row>
    <row r="322" spans="1:4" ht="15" customHeight="1">
      <c r="A322" s="50">
        <v>44940</v>
      </c>
      <c r="B322" s="49" t="s">
        <v>38</v>
      </c>
      <c r="C322" s="51">
        <v>52492.6</v>
      </c>
      <c r="D322" s="51">
        <v>0</v>
      </c>
    </row>
    <row r="323" spans="1:4" ht="15" customHeight="1">
      <c r="A323" s="50">
        <v>44940</v>
      </c>
      <c r="B323" s="49" t="s">
        <v>39</v>
      </c>
      <c r="C323" s="51">
        <v>51103.1</v>
      </c>
      <c r="D323" s="51">
        <v>0</v>
      </c>
    </row>
    <row r="324" spans="1:4" ht="15" customHeight="1">
      <c r="A324" s="50">
        <v>44940</v>
      </c>
      <c r="B324" s="49" t="s">
        <v>40</v>
      </c>
      <c r="C324" s="51">
        <v>53590.2</v>
      </c>
      <c r="D324" s="51">
        <v>0</v>
      </c>
    </row>
    <row r="325" spans="1:4" ht="15" customHeight="1">
      <c r="A325" s="50">
        <v>44940</v>
      </c>
      <c r="B325" s="49" t="s">
        <v>41</v>
      </c>
      <c r="C325" s="51">
        <v>53704.5</v>
      </c>
      <c r="D325" s="51">
        <v>0</v>
      </c>
    </row>
    <row r="326" spans="1:4" ht="15" customHeight="1">
      <c r="A326" s="50">
        <v>44940</v>
      </c>
      <c r="B326" s="49" t="s">
        <v>42</v>
      </c>
      <c r="C326" s="51">
        <v>53854</v>
      </c>
      <c r="D326" s="51">
        <v>0</v>
      </c>
    </row>
    <row r="327" spans="1:4" ht="15" customHeight="1">
      <c r="A327" s="50">
        <v>44940</v>
      </c>
      <c r="B327" s="49" t="s">
        <v>43</v>
      </c>
      <c r="C327" s="51">
        <v>53657.7</v>
      </c>
      <c r="D327" s="51">
        <v>0</v>
      </c>
    </row>
    <row r="328" spans="1:4" ht="15" customHeight="1">
      <c r="A328" s="50">
        <v>44940</v>
      </c>
      <c r="B328" s="49" t="s">
        <v>44</v>
      </c>
      <c r="C328" s="51">
        <v>53760.2</v>
      </c>
      <c r="D328" s="51">
        <v>0</v>
      </c>
    </row>
    <row r="329" spans="1:4" ht="15" customHeight="1">
      <c r="A329" s="50">
        <v>44940</v>
      </c>
      <c r="B329" s="49" t="s">
        <v>45</v>
      </c>
      <c r="C329" s="51">
        <v>53509.4</v>
      </c>
      <c r="D329" s="51">
        <v>0</v>
      </c>
    </row>
    <row r="330" spans="1:4" ht="15" customHeight="1">
      <c r="A330" s="50">
        <v>44940</v>
      </c>
      <c r="B330" s="49" t="s">
        <v>46</v>
      </c>
      <c r="C330" s="51">
        <v>53481.5</v>
      </c>
      <c r="D330" s="51">
        <v>0</v>
      </c>
    </row>
    <row r="331" spans="1:4" ht="15" customHeight="1">
      <c r="A331" s="50">
        <v>44940</v>
      </c>
      <c r="B331" s="49" t="s">
        <v>47</v>
      </c>
      <c r="C331" s="51">
        <v>53401.9</v>
      </c>
      <c r="D331" s="51">
        <v>0</v>
      </c>
    </row>
    <row r="332" spans="1:4" ht="15" customHeight="1">
      <c r="A332" s="50">
        <v>44940</v>
      </c>
      <c r="B332" s="49" t="s">
        <v>48</v>
      </c>
      <c r="C332" s="51">
        <v>53538.3</v>
      </c>
      <c r="D332" s="51">
        <v>0</v>
      </c>
    </row>
    <row r="333" spans="1:4" ht="15" customHeight="1">
      <c r="A333" s="50">
        <v>44940</v>
      </c>
      <c r="B333" s="49" t="s">
        <v>49</v>
      </c>
      <c r="C333" s="51">
        <v>53458.6</v>
      </c>
      <c r="D333" s="51">
        <v>0</v>
      </c>
    </row>
    <row r="334" spans="1:4" ht="15" customHeight="1">
      <c r="A334" s="50">
        <v>44940</v>
      </c>
      <c r="B334" s="49" t="s">
        <v>50</v>
      </c>
      <c r="C334" s="51">
        <v>53440.3</v>
      </c>
      <c r="D334" s="51">
        <v>0</v>
      </c>
    </row>
    <row r="335" spans="1:4" ht="15" customHeight="1">
      <c r="A335" s="50">
        <v>44940</v>
      </c>
      <c r="B335" s="49" t="s">
        <v>51</v>
      </c>
      <c r="C335" s="51">
        <v>53322.3</v>
      </c>
      <c r="D335" s="51">
        <v>0</v>
      </c>
    </row>
    <row r="336" spans="1:4" ht="15" customHeight="1">
      <c r="A336" s="50">
        <v>44940</v>
      </c>
      <c r="B336" s="49" t="s">
        <v>52</v>
      </c>
      <c r="C336" s="51">
        <v>53254</v>
      </c>
      <c r="D336" s="51">
        <v>0</v>
      </c>
    </row>
    <row r="337" spans="1:4" ht="15" customHeight="1">
      <c r="A337" s="50">
        <v>44940</v>
      </c>
      <c r="B337" s="49" t="s">
        <v>53</v>
      </c>
      <c r="C337" s="51">
        <v>53479.199999999997</v>
      </c>
      <c r="D337" s="51">
        <v>0</v>
      </c>
    </row>
    <row r="338" spans="1:4" ht="15" customHeight="1">
      <c r="A338" s="50">
        <v>44941</v>
      </c>
      <c r="B338" s="49" t="s">
        <v>30</v>
      </c>
      <c r="C338" s="51">
        <v>54269.3</v>
      </c>
      <c r="D338" s="51">
        <v>0</v>
      </c>
    </row>
    <row r="339" spans="1:4" ht="15" customHeight="1">
      <c r="A339" s="50">
        <v>44941</v>
      </c>
      <c r="B339" s="49" t="s">
        <v>31</v>
      </c>
      <c r="C339" s="51">
        <v>54011.9</v>
      </c>
      <c r="D339" s="51">
        <v>0</v>
      </c>
    </row>
    <row r="340" spans="1:4" ht="15" customHeight="1">
      <c r="A340" s="50">
        <v>44941</v>
      </c>
      <c r="B340" s="49" t="s">
        <v>32</v>
      </c>
      <c r="C340" s="51">
        <v>53986.6</v>
      </c>
      <c r="D340" s="51">
        <v>0</v>
      </c>
    </row>
    <row r="341" spans="1:4" ht="15" customHeight="1">
      <c r="A341" s="50">
        <v>44941</v>
      </c>
      <c r="B341" s="49" t="s">
        <v>33</v>
      </c>
      <c r="C341" s="51">
        <v>54095.8</v>
      </c>
      <c r="D341" s="51">
        <v>0</v>
      </c>
    </row>
    <row r="342" spans="1:4" ht="15" customHeight="1">
      <c r="A342" s="50">
        <v>44941</v>
      </c>
      <c r="B342" s="49" t="s">
        <v>34</v>
      </c>
      <c r="C342" s="51">
        <v>54137.5</v>
      </c>
      <c r="D342" s="51">
        <v>0</v>
      </c>
    </row>
    <row r="343" spans="1:4" ht="15" customHeight="1">
      <c r="A343" s="50">
        <v>44941</v>
      </c>
      <c r="B343" s="49" t="s">
        <v>35</v>
      </c>
      <c r="C343" s="51">
        <v>54219.1</v>
      </c>
      <c r="D343" s="51">
        <v>0</v>
      </c>
    </row>
    <row r="344" spans="1:4" ht="15" customHeight="1">
      <c r="A344" s="50">
        <v>44941</v>
      </c>
      <c r="B344" s="49" t="s">
        <v>36</v>
      </c>
      <c r="C344" s="51">
        <v>51358.2</v>
      </c>
      <c r="D344" s="51">
        <v>0</v>
      </c>
    </row>
    <row r="345" spans="1:4" ht="15" customHeight="1">
      <c r="A345" s="50">
        <v>44941</v>
      </c>
      <c r="B345" s="49" t="s">
        <v>37</v>
      </c>
      <c r="C345" s="51">
        <v>51403.7</v>
      </c>
      <c r="D345" s="51">
        <v>0</v>
      </c>
    </row>
    <row r="346" spans="1:4" ht="15" customHeight="1">
      <c r="A346" s="50">
        <v>44941</v>
      </c>
      <c r="B346" s="49" t="s">
        <v>38</v>
      </c>
      <c r="C346" s="51">
        <v>51370.6</v>
      </c>
      <c r="D346" s="51">
        <v>0</v>
      </c>
    </row>
    <row r="347" spans="1:4" ht="15" customHeight="1">
      <c r="A347" s="50">
        <v>44941</v>
      </c>
      <c r="B347" s="49" t="s">
        <v>39</v>
      </c>
      <c r="C347" s="51">
        <v>50847.8</v>
      </c>
      <c r="D347" s="51">
        <v>0</v>
      </c>
    </row>
    <row r="348" spans="1:4" ht="15" customHeight="1">
      <c r="A348" s="50">
        <v>44941</v>
      </c>
      <c r="B348" s="49" t="s">
        <v>40</v>
      </c>
      <c r="C348" s="51">
        <v>52702.7</v>
      </c>
      <c r="D348" s="51">
        <v>0</v>
      </c>
    </row>
    <row r="349" spans="1:4" ht="15" customHeight="1">
      <c r="A349" s="50">
        <v>44941</v>
      </c>
      <c r="B349" s="49" t="s">
        <v>41</v>
      </c>
      <c r="C349" s="51">
        <v>54909</v>
      </c>
      <c r="D349" s="51">
        <v>0</v>
      </c>
    </row>
    <row r="350" spans="1:4" ht="15" customHeight="1">
      <c r="A350" s="50">
        <v>44941</v>
      </c>
      <c r="B350" s="49" t="s">
        <v>42</v>
      </c>
      <c r="C350" s="51">
        <v>53163.1</v>
      </c>
      <c r="D350" s="51">
        <v>0</v>
      </c>
    </row>
    <row r="351" spans="1:4" ht="15" customHeight="1">
      <c r="A351" s="50">
        <v>44941</v>
      </c>
      <c r="B351" s="49" t="s">
        <v>43</v>
      </c>
      <c r="C351" s="51">
        <v>53283.9</v>
      </c>
      <c r="D351" s="51">
        <v>0</v>
      </c>
    </row>
    <row r="352" spans="1:4" ht="15" customHeight="1">
      <c r="A352" s="50">
        <v>44941</v>
      </c>
      <c r="B352" s="49" t="s">
        <v>44</v>
      </c>
      <c r="C352" s="51">
        <v>53300.4</v>
      </c>
      <c r="D352" s="51">
        <v>0</v>
      </c>
    </row>
    <row r="353" spans="1:4" ht="15" customHeight="1">
      <c r="A353" s="50">
        <v>44941</v>
      </c>
      <c r="B353" s="49" t="s">
        <v>45</v>
      </c>
      <c r="C353" s="51">
        <v>53265.3</v>
      </c>
      <c r="D353" s="51">
        <v>0</v>
      </c>
    </row>
    <row r="354" spans="1:4" ht="15" customHeight="1">
      <c r="A354" s="50">
        <v>44941</v>
      </c>
      <c r="B354" s="49" t="s">
        <v>46</v>
      </c>
      <c r="C354" s="51">
        <v>53331.3</v>
      </c>
      <c r="D354" s="51">
        <v>0</v>
      </c>
    </row>
    <row r="355" spans="1:4" ht="15" customHeight="1">
      <c r="A355" s="50">
        <v>44941</v>
      </c>
      <c r="B355" s="49" t="s">
        <v>47</v>
      </c>
      <c r="C355" s="51">
        <v>53274.5</v>
      </c>
      <c r="D355" s="51">
        <v>0</v>
      </c>
    </row>
    <row r="356" spans="1:4" ht="15" customHeight="1">
      <c r="A356" s="50">
        <v>44941</v>
      </c>
      <c r="B356" s="49" t="s">
        <v>48</v>
      </c>
      <c r="C356" s="51">
        <v>53212.9</v>
      </c>
      <c r="D356" s="51">
        <v>0</v>
      </c>
    </row>
    <row r="357" spans="1:4" ht="15" customHeight="1">
      <c r="A357" s="50">
        <v>44941</v>
      </c>
      <c r="B357" s="49" t="s">
        <v>49</v>
      </c>
      <c r="C357" s="51">
        <v>53304</v>
      </c>
      <c r="D357" s="51">
        <v>0</v>
      </c>
    </row>
    <row r="358" spans="1:4" ht="15" customHeight="1">
      <c r="A358" s="50">
        <v>44941</v>
      </c>
      <c r="B358" s="49" t="s">
        <v>50</v>
      </c>
      <c r="C358" s="51">
        <v>53832.6</v>
      </c>
      <c r="D358" s="51">
        <v>0</v>
      </c>
    </row>
    <row r="359" spans="1:4" ht="15" customHeight="1">
      <c r="A359" s="50">
        <v>44941</v>
      </c>
      <c r="B359" s="49" t="s">
        <v>51</v>
      </c>
      <c r="C359" s="51">
        <v>53479.8</v>
      </c>
      <c r="D359" s="51">
        <v>0</v>
      </c>
    </row>
    <row r="360" spans="1:4" ht="15" customHeight="1">
      <c r="A360" s="50">
        <v>44941</v>
      </c>
      <c r="B360" s="49" t="s">
        <v>52</v>
      </c>
      <c r="C360" s="51">
        <v>54194</v>
      </c>
      <c r="D360" s="51">
        <v>0</v>
      </c>
    </row>
    <row r="361" spans="1:4" ht="15" customHeight="1">
      <c r="A361" s="50">
        <v>44941</v>
      </c>
      <c r="B361" s="49" t="s">
        <v>53</v>
      </c>
      <c r="C361" s="51">
        <v>54212.9</v>
      </c>
      <c r="D361" s="51">
        <v>0</v>
      </c>
    </row>
    <row r="362" spans="1:4" ht="15" customHeight="1">
      <c r="A362" s="50">
        <v>44942</v>
      </c>
      <c r="B362" s="49" t="s">
        <v>30</v>
      </c>
      <c r="C362" s="51">
        <v>61262.6</v>
      </c>
      <c r="D362" s="51">
        <v>0</v>
      </c>
    </row>
    <row r="363" spans="1:4" ht="15" customHeight="1">
      <c r="A363" s="50">
        <v>44942</v>
      </c>
      <c r="B363" s="49" t="s">
        <v>31</v>
      </c>
      <c r="C363" s="51">
        <v>61546.400000000001</v>
      </c>
      <c r="D363" s="51">
        <v>0</v>
      </c>
    </row>
    <row r="364" spans="1:4" ht="15" customHeight="1">
      <c r="A364" s="50">
        <v>44942</v>
      </c>
      <c r="B364" s="49" t="s">
        <v>32</v>
      </c>
      <c r="C364" s="51">
        <v>61507.1</v>
      </c>
      <c r="D364" s="51">
        <v>0</v>
      </c>
    </row>
    <row r="365" spans="1:4" ht="15" customHeight="1">
      <c r="A365" s="50">
        <v>44942</v>
      </c>
      <c r="B365" s="49" t="s">
        <v>33</v>
      </c>
      <c r="C365" s="51">
        <v>61456</v>
      </c>
      <c r="D365" s="51">
        <v>0</v>
      </c>
    </row>
    <row r="366" spans="1:4" ht="15" customHeight="1">
      <c r="A366" s="50">
        <v>44942</v>
      </c>
      <c r="B366" s="49" t="s">
        <v>34</v>
      </c>
      <c r="C366" s="51">
        <v>61683.1</v>
      </c>
      <c r="D366" s="51">
        <v>0</v>
      </c>
    </row>
    <row r="367" spans="1:4" ht="15" customHeight="1">
      <c r="A367" s="50">
        <v>44942</v>
      </c>
      <c r="B367" s="49" t="s">
        <v>35</v>
      </c>
      <c r="C367" s="51">
        <v>62271</v>
      </c>
      <c r="D367" s="51">
        <v>0</v>
      </c>
    </row>
    <row r="368" spans="1:4" ht="15" customHeight="1">
      <c r="A368" s="50">
        <v>44942</v>
      </c>
      <c r="B368" s="49" t="s">
        <v>36</v>
      </c>
      <c r="C368" s="51">
        <v>60543.199999999997</v>
      </c>
      <c r="D368" s="51">
        <v>0</v>
      </c>
    </row>
    <row r="369" spans="1:4" ht="15" customHeight="1">
      <c r="A369" s="50">
        <v>44942</v>
      </c>
      <c r="B369" s="49" t="s">
        <v>37</v>
      </c>
      <c r="C369" s="51">
        <v>60566.8</v>
      </c>
      <c r="D369" s="51">
        <v>0</v>
      </c>
    </row>
    <row r="370" spans="1:4" ht="15" customHeight="1">
      <c r="A370" s="50">
        <v>44942</v>
      </c>
      <c r="B370" s="49" t="s">
        <v>38</v>
      </c>
      <c r="C370" s="51">
        <v>60604.9</v>
      </c>
      <c r="D370" s="51">
        <v>0</v>
      </c>
    </row>
    <row r="371" spans="1:4" ht="15" customHeight="1">
      <c r="A371" s="50">
        <v>44942</v>
      </c>
      <c r="B371" s="49" t="s">
        <v>39</v>
      </c>
      <c r="C371" s="51">
        <v>60527.3</v>
      </c>
      <c r="D371" s="51">
        <v>0</v>
      </c>
    </row>
    <row r="372" spans="1:4" ht="15" customHeight="1">
      <c r="A372" s="50">
        <v>44942</v>
      </c>
      <c r="B372" s="49" t="s">
        <v>40</v>
      </c>
      <c r="C372" s="51">
        <v>60609.3</v>
      </c>
      <c r="D372" s="51">
        <v>0</v>
      </c>
    </row>
    <row r="373" spans="1:4" ht="15" customHeight="1">
      <c r="A373" s="50">
        <v>44942</v>
      </c>
      <c r="B373" s="49" t="s">
        <v>41</v>
      </c>
      <c r="C373" s="51">
        <v>60549.9</v>
      </c>
      <c r="D373" s="51">
        <v>0</v>
      </c>
    </row>
    <row r="374" spans="1:4" ht="15" customHeight="1">
      <c r="A374" s="50">
        <v>44942</v>
      </c>
      <c r="B374" s="49" t="s">
        <v>42</v>
      </c>
      <c r="C374" s="51">
        <v>61293.2</v>
      </c>
      <c r="D374" s="51">
        <v>0</v>
      </c>
    </row>
    <row r="375" spans="1:4" ht="15" customHeight="1">
      <c r="A375" s="50">
        <v>44942</v>
      </c>
      <c r="B375" s="49" t="s">
        <v>43</v>
      </c>
      <c r="C375" s="51">
        <v>60078.1</v>
      </c>
      <c r="D375" s="51">
        <v>0</v>
      </c>
    </row>
    <row r="376" spans="1:4" ht="15" customHeight="1">
      <c r="A376" s="50">
        <v>44942</v>
      </c>
      <c r="B376" s="49" t="s">
        <v>44</v>
      </c>
      <c r="C376" s="51">
        <v>60147.7</v>
      </c>
      <c r="D376" s="51">
        <v>0</v>
      </c>
    </row>
    <row r="377" spans="1:4" ht="15" customHeight="1">
      <c r="A377" s="50">
        <v>44942</v>
      </c>
      <c r="B377" s="49" t="s">
        <v>45</v>
      </c>
      <c r="C377" s="51">
        <v>60814.9</v>
      </c>
      <c r="D377" s="51">
        <v>0</v>
      </c>
    </row>
    <row r="378" spans="1:4" ht="15" customHeight="1">
      <c r="A378" s="50">
        <v>44942</v>
      </c>
      <c r="B378" s="49" t="s">
        <v>46</v>
      </c>
      <c r="C378" s="51">
        <v>62531.5</v>
      </c>
      <c r="D378" s="51">
        <v>0</v>
      </c>
    </row>
    <row r="379" spans="1:4" ht="15" customHeight="1">
      <c r="A379" s="50">
        <v>44942</v>
      </c>
      <c r="B379" s="49" t="s">
        <v>47</v>
      </c>
      <c r="C379" s="51">
        <v>62535.3</v>
      </c>
      <c r="D379" s="51">
        <v>0</v>
      </c>
    </row>
    <row r="380" spans="1:4" ht="15" customHeight="1">
      <c r="A380" s="50">
        <v>44942</v>
      </c>
      <c r="B380" s="49" t="s">
        <v>48</v>
      </c>
      <c r="C380" s="51">
        <v>62473.8</v>
      </c>
      <c r="D380" s="51">
        <v>0</v>
      </c>
    </row>
    <row r="381" spans="1:4" ht="15" customHeight="1">
      <c r="A381" s="50">
        <v>44942</v>
      </c>
      <c r="B381" s="49" t="s">
        <v>49</v>
      </c>
      <c r="C381" s="51">
        <v>62385.8</v>
      </c>
      <c r="D381" s="51">
        <v>0</v>
      </c>
    </row>
    <row r="382" spans="1:4" ht="15" customHeight="1">
      <c r="A382" s="50">
        <v>44942</v>
      </c>
      <c r="B382" s="49" t="s">
        <v>50</v>
      </c>
      <c r="C382" s="51">
        <v>61854</v>
      </c>
      <c r="D382" s="51">
        <v>0</v>
      </c>
    </row>
    <row r="383" spans="1:4" ht="15" customHeight="1">
      <c r="A383" s="50">
        <v>44942</v>
      </c>
      <c r="B383" s="49" t="s">
        <v>51</v>
      </c>
      <c r="C383" s="51">
        <v>61258.7</v>
      </c>
      <c r="D383" s="51">
        <v>0</v>
      </c>
    </row>
    <row r="384" spans="1:4" ht="15" customHeight="1">
      <c r="A384" s="50">
        <v>44942</v>
      </c>
      <c r="B384" s="49" t="s">
        <v>52</v>
      </c>
      <c r="C384" s="51">
        <v>61122.3</v>
      </c>
      <c r="D384" s="51">
        <v>0</v>
      </c>
    </row>
    <row r="385" spans="1:4" ht="15" customHeight="1">
      <c r="A385" s="50">
        <v>44942</v>
      </c>
      <c r="B385" s="49" t="s">
        <v>53</v>
      </c>
      <c r="C385" s="51">
        <v>61455.9</v>
      </c>
      <c r="D385" s="51">
        <v>0</v>
      </c>
    </row>
    <row r="386" spans="1:4" ht="15" customHeight="1">
      <c r="A386" s="50">
        <v>44943</v>
      </c>
      <c r="B386" s="49" t="s">
        <v>30</v>
      </c>
      <c r="C386" s="51">
        <v>61204.9</v>
      </c>
      <c r="D386" s="51">
        <v>0</v>
      </c>
    </row>
    <row r="387" spans="1:4" ht="15" customHeight="1">
      <c r="A387" s="50">
        <v>44943</v>
      </c>
      <c r="B387" s="49" t="s">
        <v>31</v>
      </c>
      <c r="C387" s="51">
        <v>61337.599999999999</v>
      </c>
      <c r="D387" s="51">
        <v>0</v>
      </c>
    </row>
    <row r="388" spans="1:4" ht="15" customHeight="1">
      <c r="A388" s="50">
        <v>44943</v>
      </c>
      <c r="B388" s="49" t="s">
        <v>32</v>
      </c>
      <c r="C388" s="51">
        <v>61358</v>
      </c>
      <c r="D388" s="51">
        <v>0</v>
      </c>
    </row>
    <row r="389" spans="1:4" ht="15" customHeight="1">
      <c r="A389" s="50">
        <v>44943</v>
      </c>
      <c r="B389" s="49" t="s">
        <v>33</v>
      </c>
      <c r="C389" s="51">
        <v>61342.3</v>
      </c>
      <c r="D389" s="51">
        <v>0</v>
      </c>
    </row>
    <row r="390" spans="1:4" ht="15" customHeight="1">
      <c r="A390" s="50">
        <v>44943</v>
      </c>
      <c r="B390" s="49" t="s">
        <v>34</v>
      </c>
      <c r="C390" s="51">
        <v>61308.800000000003</v>
      </c>
      <c r="D390" s="51">
        <v>0</v>
      </c>
    </row>
    <row r="391" spans="1:4" ht="15" customHeight="1">
      <c r="A391" s="50">
        <v>44943</v>
      </c>
      <c r="B391" s="49" t="s">
        <v>35</v>
      </c>
      <c r="C391" s="51">
        <v>61299.8</v>
      </c>
      <c r="D391" s="51">
        <v>0</v>
      </c>
    </row>
    <row r="392" spans="1:4" ht="15" customHeight="1">
      <c r="A392" s="50">
        <v>44943</v>
      </c>
      <c r="B392" s="49" t="s">
        <v>36</v>
      </c>
      <c r="C392" s="51">
        <v>61334.8</v>
      </c>
      <c r="D392" s="51">
        <v>0</v>
      </c>
    </row>
    <row r="393" spans="1:4" ht="15" customHeight="1">
      <c r="A393" s="50">
        <v>44943</v>
      </c>
      <c r="B393" s="49" t="s">
        <v>37</v>
      </c>
      <c r="C393" s="51">
        <v>61357.2</v>
      </c>
      <c r="D393" s="51">
        <v>0</v>
      </c>
    </row>
    <row r="394" spans="1:4" ht="15" customHeight="1">
      <c r="A394" s="50">
        <v>44943</v>
      </c>
      <c r="B394" s="49" t="s">
        <v>38</v>
      </c>
      <c r="C394" s="51">
        <v>61129.3</v>
      </c>
      <c r="D394" s="51">
        <v>0</v>
      </c>
    </row>
    <row r="395" spans="1:4" ht="15" customHeight="1">
      <c r="A395" s="50">
        <v>44943</v>
      </c>
      <c r="B395" s="49" t="s">
        <v>39</v>
      </c>
      <c r="C395" s="51">
        <v>61455.7</v>
      </c>
      <c r="D395" s="51">
        <v>0</v>
      </c>
    </row>
    <row r="396" spans="1:4" ht="15" customHeight="1">
      <c r="A396" s="50">
        <v>44943</v>
      </c>
      <c r="B396" s="49" t="s">
        <v>40</v>
      </c>
      <c r="C396" s="51">
        <v>61390.1</v>
      </c>
      <c r="D396" s="51">
        <v>0</v>
      </c>
    </row>
    <row r="397" spans="1:4" ht="15" customHeight="1">
      <c r="A397" s="50">
        <v>44943</v>
      </c>
      <c r="B397" s="49" t="s">
        <v>41</v>
      </c>
      <c r="C397" s="51">
        <v>61359.9</v>
      </c>
      <c r="D397" s="51">
        <v>0</v>
      </c>
    </row>
    <row r="398" spans="1:4" ht="15" customHeight="1">
      <c r="A398" s="50">
        <v>44943</v>
      </c>
      <c r="B398" s="49" t="s">
        <v>42</v>
      </c>
      <c r="C398" s="51">
        <v>61329.8</v>
      </c>
      <c r="D398" s="51">
        <v>0</v>
      </c>
    </row>
    <row r="399" spans="1:4" ht="15" customHeight="1">
      <c r="A399" s="50">
        <v>44943</v>
      </c>
      <c r="B399" s="49" t="s">
        <v>43</v>
      </c>
      <c r="C399" s="51">
        <v>61395.7</v>
      </c>
      <c r="D399" s="51">
        <v>0</v>
      </c>
    </row>
    <row r="400" spans="1:4" ht="15" customHeight="1">
      <c r="A400" s="50">
        <v>44943</v>
      </c>
      <c r="B400" s="49" t="s">
        <v>44</v>
      </c>
      <c r="C400" s="51">
        <v>60987.6</v>
      </c>
      <c r="D400" s="51">
        <v>0</v>
      </c>
    </row>
    <row r="401" spans="1:4" ht="15" customHeight="1">
      <c r="A401" s="50">
        <v>44943</v>
      </c>
      <c r="B401" s="49" t="s">
        <v>45</v>
      </c>
      <c r="C401" s="51">
        <v>61052</v>
      </c>
      <c r="D401" s="51">
        <v>0</v>
      </c>
    </row>
    <row r="402" spans="1:4" ht="15" customHeight="1">
      <c r="A402" s="50">
        <v>44943</v>
      </c>
      <c r="B402" s="49" t="s">
        <v>46</v>
      </c>
      <c r="C402" s="51">
        <v>61337.2</v>
      </c>
      <c r="D402" s="51">
        <v>0</v>
      </c>
    </row>
    <row r="403" spans="1:4" ht="15" customHeight="1">
      <c r="A403" s="50">
        <v>44943</v>
      </c>
      <c r="B403" s="49" t="s">
        <v>47</v>
      </c>
      <c r="C403" s="51">
        <v>61102.6</v>
      </c>
      <c r="D403" s="51">
        <v>0</v>
      </c>
    </row>
    <row r="404" spans="1:4" ht="15" customHeight="1">
      <c r="A404" s="50">
        <v>44943</v>
      </c>
      <c r="B404" s="49" t="s">
        <v>48</v>
      </c>
      <c r="C404" s="51">
        <v>61033.7</v>
      </c>
      <c r="D404" s="51">
        <v>0</v>
      </c>
    </row>
    <row r="405" spans="1:4" ht="15" customHeight="1">
      <c r="A405" s="50">
        <v>44943</v>
      </c>
      <c r="B405" s="49" t="s">
        <v>49</v>
      </c>
      <c r="C405" s="51">
        <v>60976.9</v>
      </c>
      <c r="D405" s="51">
        <v>0</v>
      </c>
    </row>
    <row r="406" spans="1:4" ht="15" customHeight="1">
      <c r="A406" s="50">
        <v>44943</v>
      </c>
      <c r="B406" s="49" t="s">
        <v>50</v>
      </c>
      <c r="C406" s="51">
        <v>60941.4</v>
      </c>
      <c r="D406" s="51">
        <v>0</v>
      </c>
    </row>
    <row r="407" spans="1:4" ht="15" customHeight="1">
      <c r="A407" s="50">
        <v>44943</v>
      </c>
      <c r="B407" s="49" t="s">
        <v>51</v>
      </c>
      <c r="C407" s="51">
        <v>60975.6</v>
      </c>
      <c r="D407" s="51">
        <v>0</v>
      </c>
    </row>
    <row r="408" spans="1:4" ht="15" customHeight="1">
      <c r="A408" s="50">
        <v>44943</v>
      </c>
      <c r="B408" s="49" t="s">
        <v>52</v>
      </c>
      <c r="C408" s="51">
        <v>61011.6</v>
      </c>
      <c r="D408" s="51">
        <v>0</v>
      </c>
    </row>
    <row r="409" spans="1:4" ht="15" customHeight="1">
      <c r="A409" s="50">
        <v>44943</v>
      </c>
      <c r="B409" s="49" t="s">
        <v>53</v>
      </c>
      <c r="C409" s="51">
        <v>61011</v>
      </c>
      <c r="D409" s="51">
        <v>0</v>
      </c>
    </row>
    <row r="410" spans="1:4" ht="15" customHeight="1">
      <c r="A410" s="50">
        <v>44944</v>
      </c>
      <c r="B410" s="49" t="s">
        <v>30</v>
      </c>
      <c r="C410" s="51">
        <v>54301</v>
      </c>
      <c r="D410" s="51">
        <v>0</v>
      </c>
    </row>
    <row r="411" spans="1:4" ht="15" customHeight="1">
      <c r="A411" s="50">
        <v>44944</v>
      </c>
      <c r="B411" s="49" t="s">
        <v>31</v>
      </c>
      <c r="C411" s="51">
        <v>54399</v>
      </c>
      <c r="D411" s="51">
        <v>0</v>
      </c>
    </row>
    <row r="412" spans="1:4" ht="15" customHeight="1">
      <c r="A412" s="50">
        <v>44944</v>
      </c>
      <c r="B412" s="49" t="s">
        <v>32</v>
      </c>
      <c r="C412" s="51">
        <v>54188.5</v>
      </c>
      <c r="D412" s="51">
        <v>0</v>
      </c>
    </row>
    <row r="413" spans="1:4" ht="15" customHeight="1">
      <c r="A413" s="50">
        <v>44944</v>
      </c>
      <c r="B413" s="49" t="s">
        <v>33</v>
      </c>
      <c r="C413" s="51">
        <v>54235.6</v>
      </c>
      <c r="D413" s="51">
        <v>0</v>
      </c>
    </row>
    <row r="414" spans="1:4" ht="15" customHeight="1">
      <c r="A414" s="50">
        <v>44944</v>
      </c>
      <c r="B414" s="49" t="s">
        <v>34</v>
      </c>
      <c r="C414" s="51">
        <v>16362.7</v>
      </c>
      <c r="D414" s="51">
        <v>0</v>
      </c>
    </row>
    <row r="415" spans="1:4" ht="15" customHeight="1">
      <c r="A415" s="50">
        <v>44944</v>
      </c>
      <c r="B415" s="49" t="s">
        <v>35</v>
      </c>
      <c r="C415" s="51">
        <v>969.5</v>
      </c>
      <c r="D415" s="51">
        <v>502.6</v>
      </c>
    </row>
    <row r="416" spans="1:4" ht="15" customHeight="1">
      <c r="A416" s="50">
        <v>44944</v>
      </c>
      <c r="B416" s="49" t="s">
        <v>36</v>
      </c>
      <c r="C416" s="51">
        <v>6814.6</v>
      </c>
      <c r="D416" s="51">
        <v>263.5</v>
      </c>
    </row>
    <row r="417" spans="1:4" ht="15" customHeight="1">
      <c r="A417" s="50">
        <v>44944</v>
      </c>
      <c r="B417" s="49" t="s">
        <v>37</v>
      </c>
      <c r="C417" s="51">
        <v>17136.8</v>
      </c>
      <c r="D417" s="51">
        <v>0</v>
      </c>
    </row>
    <row r="418" spans="1:4" ht="15" customHeight="1">
      <c r="A418" s="50">
        <v>44944</v>
      </c>
      <c r="B418" s="49" t="s">
        <v>38</v>
      </c>
      <c r="C418" s="51">
        <v>44748.9</v>
      </c>
      <c r="D418" s="51">
        <v>0</v>
      </c>
    </row>
    <row r="419" spans="1:4" ht="15" customHeight="1">
      <c r="A419" s="50">
        <v>44944</v>
      </c>
      <c r="B419" s="49" t="s">
        <v>39</v>
      </c>
      <c r="C419" s="51">
        <v>50766.9</v>
      </c>
      <c r="D419" s="51">
        <v>0</v>
      </c>
    </row>
    <row r="420" spans="1:4" ht="15" customHeight="1">
      <c r="A420" s="50">
        <v>44944</v>
      </c>
      <c r="B420" s="49" t="s">
        <v>40</v>
      </c>
      <c r="C420" s="51">
        <v>53315.5</v>
      </c>
      <c r="D420" s="51">
        <v>0</v>
      </c>
    </row>
    <row r="421" spans="1:4" ht="15" customHeight="1">
      <c r="A421" s="50">
        <v>44944</v>
      </c>
      <c r="B421" s="49" t="s">
        <v>41</v>
      </c>
      <c r="C421" s="51">
        <v>54792.7</v>
      </c>
      <c r="D421" s="51">
        <v>0</v>
      </c>
    </row>
    <row r="422" spans="1:4" ht="15" customHeight="1">
      <c r="A422" s="50">
        <v>44944</v>
      </c>
      <c r="B422" s="49" t="s">
        <v>42</v>
      </c>
      <c r="C422" s="51">
        <v>54770</v>
      </c>
      <c r="D422" s="51">
        <v>0</v>
      </c>
    </row>
    <row r="423" spans="1:4" ht="15" customHeight="1">
      <c r="A423" s="50">
        <v>44944</v>
      </c>
      <c r="B423" s="49" t="s">
        <v>43</v>
      </c>
      <c r="C423" s="51">
        <v>54824.3</v>
      </c>
      <c r="D423" s="51">
        <v>0</v>
      </c>
    </row>
    <row r="424" spans="1:4" ht="15" customHeight="1">
      <c r="A424" s="50">
        <v>44944</v>
      </c>
      <c r="B424" s="49" t="s">
        <v>44</v>
      </c>
      <c r="C424" s="51">
        <v>54774.5</v>
      </c>
      <c r="D424" s="51">
        <v>0</v>
      </c>
    </row>
    <row r="425" spans="1:4" ht="15" customHeight="1">
      <c r="A425" s="50">
        <v>44944</v>
      </c>
      <c r="B425" s="49" t="s">
        <v>45</v>
      </c>
      <c r="C425" s="51">
        <v>54162.5</v>
      </c>
      <c r="D425" s="51">
        <v>0</v>
      </c>
    </row>
    <row r="426" spans="1:4" ht="15" customHeight="1">
      <c r="A426" s="50">
        <v>44944</v>
      </c>
      <c r="B426" s="49" t="s">
        <v>46</v>
      </c>
      <c r="C426" s="51">
        <v>53986</v>
      </c>
      <c r="D426" s="51">
        <v>0</v>
      </c>
    </row>
    <row r="427" spans="1:4" ht="15" customHeight="1">
      <c r="A427" s="50">
        <v>44944</v>
      </c>
      <c r="B427" s="49" t="s">
        <v>47</v>
      </c>
      <c r="C427" s="51">
        <v>54054.7</v>
      </c>
      <c r="D427" s="51">
        <v>0</v>
      </c>
    </row>
    <row r="428" spans="1:4" ht="15" customHeight="1">
      <c r="A428" s="50">
        <v>44944</v>
      </c>
      <c r="B428" s="49" t="s">
        <v>48</v>
      </c>
      <c r="C428" s="51">
        <v>54025.3</v>
      </c>
      <c r="D428" s="51">
        <v>0</v>
      </c>
    </row>
    <row r="429" spans="1:4" ht="15" customHeight="1">
      <c r="A429" s="50">
        <v>44944</v>
      </c>
      <c r="B429" s="49" t="s">
        <v>49</v>
      </c>
      <c r="C429" s="51">
        <v>54086.3</v>
      </c>
      <c r="D429" s="51">
        <v>0</v>
      </c>
    </row>
    <row r="430" spans="1:4" ht="15" customHeight="1">
      <c r="A430" s="50">
        <v>44944</v>
      </c>
      <c r="B430" s="49" t="s">
        <v>50</v>
      </c>
      <c r="C430" s="51">
        <v>54016.800000000003</v>
      </c>
      <c r="D430" s="51">
        <v>0</v>
      </c>
    </row>
    <row r="431" spans="1:4" ht="15" customHeight="1">
      <c r="A431" s="50">
        <v>44944</v>
      </c>
      <c r="B431" s="49" t="s">
        <v>51</v>
      </c>
      <c r="C431" s="51">
        <v>53959.199999999997</v>
      </c>
      <c r="D431" s="51">
        <v>0</v>
      </c>
    </row>
    <row r="432" spans="1:4" ht="15" customHeight="1">
      <c r="A432" s="50">
        <v>44944</v>
      </c>
      <c r="B432" s="49" t="s">
        <v>52</v>
      </c>
      <c r="C432" s="51">
        <v>54149.4</v>
      </c>
      <c r="D432" s="51">
        <v>0</v>
      </c>
    </row>
    <row r="433" spans="1:4" ht="15" customHeight="1">
      <c r="A433" s="50">
        <v>44944</v>
      </c>
      <c r="B433" s="49" t="s">
        <v>53</v>
      </c>
      <c r="C433" s="51">
        <v>53785.5</v>
      </c>
      <c r="D433" s="51">
        <v>0</v>
      </c>
    </row>
    <row r="434" spans="1:4" ht="15" customHeight="1">
      <c r="A434" s="50">
        <v>44945</v>
      </c>
      <c r="B434" s="49" t="s">
        <v>30</v>
      </c>
      <c r="C434" s="51">
        <v>53918.5</v>
      </c>
      <c r="D434" s="51">
        <v>0</v>
      </c>
    </row>
    <row r="435" spans="1:4" ht="15" customHeight="1">
      <c r="A435" s="50">
        <v>44945</v>
      </c>
      <c r="B435" s="49" t="s">
        <v>31</v>
      </c>
      <c r="C435" s="51">
        <v>54103.7</v>
      </c>
      <c r="D435" s="51">
        <v>0</v>
      </c>
    </row>
    <row r="436" spans="1:4" ht="15" customHeight="1">
      <c r="A436" s="50">
        <v>44945</v>
      </c>
      <c r="B436" s="49" t="s">
        <v>32</v>
      </c>
      <c r="C436" s="51">
        <v>54047.9</v>
      </c>
      <c r="D436" s="51">
        <v>0</v>
      </c>
    </row>
    <row r="437" spans="1:4" ht="15" customHeight="1">
      <c r="A437" s="50">
        <v>44945</v>
      </c>
      <c r="B437" s="49" t="s">
        <v>33</v>
      </c>
      <c r="C437" s="51">
        <v>53776.6</v>
      </c>
      <c r="D437" s="51">
        <v>0</v>
      </c>
    </row>
    <row r="438" spans="1:4" ht="15" customHeight="1">
      <c r="A438" s="50">
        <v>44945</v>
      </c>
      <c r="B438" s="49" t="s">
        <v>34</v>
      </c>
      <c r="C438" s="51">
        <v>16647.2</v>
      </c>
      <c r="D438" s="51">
        <v>0</v>
      </c>
    </row>
    <row r="439" spans="1:4" ht="15" customHeight="1">
      <c r="A439" s="50">
        <v>44945</v>
      </c>
      <c r="B439" s="49" t="s">
        <v>35</v>
      </c>
      <c r="C439" s="51">
        <v>358.7</v>
      </c>
      <c r="D439" s="51">
        <v>529.5</v>
      </c>
    </row>
    <row r="440" spans="1:4" ht="15" customHeight="1">
      <c r="A440" s="50">
        <v>44945</v>
      </c>
      <c r="B440" s="49" t="s">
        <v>36</v>
      </c>
      <c r="C440" s="51">
        <v>6042</v>
      </c>
      <c r="D440" s="51">
        <v>218.8</v>
      </c>
    </row>
    <row r="441" spans="1:4" ht="15" customHeight="1">
      <c r="A441" s="50">
        <v>44945</v>
      </c>
      <c r="B441" s="49" t="s">
        <v>37</v>
      </c>
      <c r="C441" s="51">
        <v>17463</v>
      </c>
      <c r="D441" s="51">
        <v>0</v>
      </c>
    </row>
    <row r="442" spans="1:4" ht="15" customHeight="1">
      <c r="A442" s="50">
        <v>44945</v>
      </c>
      <c r="B442" s="49" t="s">
        <v>38</v>
      </c>
      <c r="C442" s="51">
        <v>41462.800000000003</v>
      </c>
      <c r="D442" s="51">
        <v>0</v>
      </c>
    </row>
    <row r="443" spans="1:4" ht="15" customHeight="1">
      <c r="A443" s="50">
        <v>44945</v>
      </c>
      <c r="B443" s="49" t="s">
        <v>39</v>
      </c>
      <c r="C443" s="51">
        <v>47951</v>
      </c>
      <c r="D443" s="51">
        <v>0</v>
      </c>
    </row>
    <row r="444" spans="1:4" ht="15" customHeight="1">
      <c r="A444" s="50">
        <v>44945</v>
      </c>
      <c r="B444" s="49" t="s">
        <v>40</v>
      </c>
      <c r="C444" s="51">
        <v>47966.3</v>
      </c>
      <c r="D444" s="51">
        <v>0</v>
      </c>
    </row>
    <row r="445" spans="1:4" ht="15" customHeight="1">
      <c r="A445" s="50">
        <v>44945</v>
      </c>
      <c r="B445" s="49" t="s">
        <v>41</v>
      </c>
      <c r="C445" s="51">
        <v>48247.4</v>
      </c>
      <c r="D445" s="51">
        <v>0</v>
      </c>
    </row>
    <row r="446" spans="1:4" ht="15" customHeight="1">
      <c r="A446" s="50">
        <v>44945</v>
      </c>
      <c r="B446" s="49" t="s">
        <v>42</v>
      </c>
      <c r="C446" s="51">
        <v>51945.7</v>
      </c>
      <c r="D446" s="51">
        <v>0</v>
      </c>
    </row>
    <row r="447" spans="1:4" ht="15" customHeight="1">
      <c r="A447" s="50">
        <v>44945</v>
      </c>
      <c r="B447" s="49" t="s">
        <v>43</v>
      </c>
      <c r="C447" s="51">
        <v>51125.3</v>
      </c>
      <c r="D447" s="51">
        <v>0</v>
      </c>
    </row>
    <row r="448" spans="1:4" ht="15" customHeight="1">
      <c r="A448" s="50">
        <v>44945</v>
      </c>
      <c r="B448" s="49" t="s">
        <v>44</v>
      </c>
      <c r="C448" s="51">
        <v>53560.5</v>
      </c>
      <c r="D448" s="51">
        <v>0</v>
      </c>
    </row>
    <row r="449" spans="1:4" ht="15" customHeight="1">
      <c r="A449" s="50">
        <v>44945</v>
      </c>
      <c r="B449" s="49" t="s">
        <v>45</v>
      </c>
      <c r="C449" s="51">
        <v>53817</v>
      </c>
      <c r="D449" s="51">
        <v>0</v>
      </c>
    </row>
    <row r="450" spans="1:4" ht="15" customHeight="1">
      <c r="A450" s="50">
        <v>44945</v>
      </c>
      <c r="B450" s="49" t="s">
        <v>46</v>
      </c>
      <c r="C450" s="51">
        <v>53755.3</v>
      </c>
      <c r="D450" s="51">
        <v>0</v>
      </c>
    </row>
    <row r="451" spans="1:4" ht="15" customHeight="1">
      <c r="A451" s="50">
        <v>44945</v>
      </c>
      <c r="B451" s="49" t="s">
        <v>47</v>
      </c>
      <c r="C451" s="51">
        <v>53277.1</v>
      </c>
      <c r="D451" s="51">
        <v>0</v>
      </c>
    </row>
    <row r="452" spans="1:4" ht="15" customHeight="1">
      <c r="A452" s="50">
        <v>44945</v>
      </c>
      <c r="B452" s="49" t="s">
        <v>48</v>
      </c>
      <c r="C452" s="51">
        <v>53355.5</v>
      </c>
      <c r="D452" s="51">
        <v>0</v>
      </c>
    </row>
    <row r="453" spans="1:4" ht="15" customHeight="1">
      <c r="A453" s="50">
        <v>44945</v>
      </c>
      <c r="B453" s="49" t="s">
        <v>49</v>
      </c>
      <c r="C453" s="51">
        <v>53266.2</v>
      </c>
      <c r="D453" s="51">
        <v>0</v>
      </c>
    </row>
    <row r="454" spans="1:4" ht="15" customHeight="1">
      <c r="A454" s="50">
        <v>44945</v>
      </c>
      <c r="B454" s="49" t="s">
        <v>50</v>
      </c>
      <c r="C454" s="51">
        <v>53154.5</v>
      </c>
      <c r="D454" s="51">
        <v>0</v>
      </c>
    </row>
    <row r="455" spans="1:4" ht="15" customHeight="1">
      <c r="A455" s="50">
        <v>44945</v>
      </c>
      <c r="B455" s="49" t="s">
        <v>51</v>
      </c>
      <c r="C455" s="51">
        <v>53028.1</v>
      </c>
      <c r="D455" s="51">
        <v>0</v>
      </c>
    </row>
    <row r="456" spans="1:4" ht="15" customHeight="1">
      <c r="A456" s="50">
        <v>44945</v>
      </c>
      <c r="B456" s="49" t="s">
        <v>52</v>
      </c>
      <c r="C456" s="51">
        <v>53004.2</v>
      </c>
      <c r="D456" s="51">
        <v>0</v>
      </c>
    </row>
    <row r="457" spans="1:4" ht="15" customHeight="1">
      <c r="A457" s="50">
        <v>44945</v>
      </c>
      <c r="B457" s="49" t="s">
        <v>53</v>
      </c>
      <c r="C457" s="51">
        <v>52959.5</v>
      </c>
      <c r="D457" s="51">
        <v>0</v>
      </c>
    </row>
    <row r="458" spans="1:4" ht="15" customHeight="1">
      <c r="A458" s="50">
        <v>44946</v>
      </c>
      <c r="B458" s="49" t="s">
        <v>30</v>
      </c>
      <c r="C458" s="51">
        <v>52808.7</v>
      </c>
      <c r="D458" s="51">
        <v>0</v>
      </c>
    </row>
    <row r="459" spans="1:4" ht="15" customHeight="1">
      <c r="A459" s="50">
        <v>44946</v>
      </c>
      <c r="B459" s="49" t="s">
        <v>31</v>
      </c>
      <c r="C459" s="51">
        <v>53656.800000000003</v>
      </c>
      <c r="D459" s="51">
        <v>0</v>
      </c>
    </row>
    <row r="460" spans="1:4" ht="15" customHeight="1">
      <c r="A460" s="50">
        <v>44946</v>
      </c>
      <c r="B460" s="49" t="s">
        <v>32</v>
      </c>
      <c r="C460" s="51">
        <v>53709.9</v>
      </c>
      <c r="D460" s="51">
        <v>0</v>
      </c>
    </row>
    <row r="461" spans="1:4" ht="15" customHeight="1">
      <c r="A461" s="50">
        <v>44946</v>
      </c>
      <c r="B461" s="49" t="s">
        <v>33</v>
      </c>
      <c r="C461" s="51">
        <v>53607.8</v>
      </c>
      <c r="D461" s="51">
        <v>0</v>
      </c>
    </row>
    <row r="462" spans="1:4" ht="15" customHeight="1">
      <c r="A462" s="50">
        <v>44946</v>
      </c>
      <c r="B462" s="49" t="s">
        <v>34</v>
      </c>
      <c r="C462" s="51">
        <v>16660.7</v>
      </c>
      <c r="D462" s="51">
        <v>0</v>
      </c>
    </row>
    <row r="463" spans="1:4" ht="15" customHeight="1">
      <c r="A463" s="50">
        <v>44946</v>
      </c>
      <c r="B463" s="49" t="s">
        <v>35</v>
      </c>
      <c r="C463" s="51">
        <v>190.2</v>
      </c>
      <c r="D463" s="51">
        <v>505.1</v>
      </c>
    </row>
    <row r="464" spans="1:4" ht="15" customHeight="1">
      <c r="A464" s="50">
        <v>44946</v>
      </c>
      <c r="B464" s="49" t="s">
        <v>36</v>
      </c>
      <c r="C464" s="51">
        <v>5309.7</v>
      </c>
      <c r="D464" s="51">
        <v>319.5</v>
      </c>
    </row>
    <row r="465" spans="1:4" ht="15" customHeight="1">
      <c r="A465" s="50">
        <v>44946</v>
      </c>
      <c r="B465" s="49" t="s">
        <v>37</v>
      </c>
      <c r="C465" s="51">
        <v>17403.400000000001</v>
      </c>
      <c r="D465" s="51">
        <v>0</v>
      </c>
    </row>
    <row r="466" spans="1:4" ht="15" customHeight="1">
      <c r="A466" s="50">
        <v>44946</v>
      </c>
      <c r="B466" s="49" t="s">
        <v>38</v>
      </c>
      <c r="C466" s="51">
        <v>43266.400000000001</v>
      </c>
      <c r="D466" s="51">
        <v>0</v>
      </c>
    </row>
    <row r="467" spans="1:4" ht="15" customHeight="1">
      <c r="A467" s="50">
        <v>44946</v>
      </c>
      <c r="B467" s="49" t="s">
        <v>39</v>
      </c>
      <c r="C467" s="51">
        <v>54157.599999999999</v>
      </c>
      <c r="D467" s="51">
        <v>0</v>
      </c>
    </row>
    <row r="468" spans="1:4" ht="15" customHeight="1">
      <c r="A468" s="50">
        <v>44946</v>
      </c>
      <c r="B468" s="49" t="s">
        <v>40</v>
      </c>
      <c r="C468" s="51">
        <v>54318</v>
      </c>
      <c r="D468" s="51">
        <v>0</v>
      </c>
    </row>
    <row r="469" spans="1:4" ht="15" customHeight="1">
      <c r="A469" s="50">
        <v>44946</v>
      </c>
      <c r="B469" s="49" t="s">
        <v>41</v>
      </c>
      <c r="C469" s="51">
        <v>54044.800000000003</v>
      </c>
      <c r="D469" s="51">
        <v>0</v>
      </c>
    </row>
    <row r="470" spans="1:4" ht="15" customHeight="1">
      <c r="A470" s="50">
        <v>44946</v>
      </c>
      <c r="B470" s="49" t="s">
        <v>42</v>
      </c>
      <c r="C470" s="51">
        <v>54117.2</v>
      </c>
      <c r="D470" s="51">
        <v>0</v>
      </c>
    </row>
    <row r="471" spans="1:4" ht="15" customHeight="1">
      <c r="A471" s="50">
        <v>44946</v>
      </c>
      <c r="B471" s="49" t="s">
        <v>43</v>
      </c>
      <c r="C471" s="51">
        <v>54384</v>
      </c>
      <c r="D471" s="51">
        <v>0</v>
      </c>
    </row>
    <row r="472" spans="1:4" ht="15" customHeight="1">
      <c r="A472" s="50">
        <v>44946</v>
      </c>
      <c r="B472" s="49" t="s">
        <v>44</v>
      </c>
      <c r="C472" s="51">
        <v>54371.9</v>
      </c>
      <c r="D472" s="51">
        <v>0</v>
      </c>
    </row>
    <row r="473" spans="1:4" ht="15" customHeight="1">
      <c r="A473" s="50">
        <v>44946</v>
      </c>
      <c r="B473" s="49" t="s">
        <v>45</v>
      </c>
      <c r="C473" s="51">
        <v>54493.599999999999</v>
      </c>
      <c r="D473" s="51">
        <v>0</v>
      </c>
    </row>
    <row r="474" spans="1:4" ht="15" customHeight="1">
      <c r="A474" s="50">
        <v>44946</v>
      </c>
      <c r="B474" s="49" t="s">
        <v>46</v>
      </c>
      <c r="C474" s="51">
        <v>54549.2</v>
      </c>
      <c r="D474" s="51">
        <v>0</v>
      </c>
    </row>
    <row r="475" spans="1:4" ht="15" customHeight="1">
      <c r="A475" s="50">
        <v>44946</v>
      </c>
      <c r="B475" s="49" t="s">
        <v>47</v>
      </c>
      <c r="C475" s="51">
        <v>54527.8</v>
      </c>
      <c r="D475" s="51">
        <v>0</v>
      </c>
    </row>
    <row r="476" spans="1:4" ht="15" customHeight="1">
      <c r="A476" s="50">
        <v>44946</v>
      </c>
      <c r="B476" s="49" t="s">
        <v>48</v>
      </c>
      <c r="C476" s="51">
        <v>54414.2</v>
      </c>
      <c r="D476" s="51">
        <v>0</v>
      </c>
    </row>
    <row r="477" spans="1:4" ht="15" customHeight="1">
      <c r="A477" s="50">
        <v>44946</v>
      </c>
      <c r="B477" s="49" t="s">
        <v>49</v>
      </c>
      <c r="C477" s="51">
        <v>54501</v>
      </c>
      <c r="D477" s="51">
        <v>0</v>
      </c>
    </row>
    <row r="478" spans="1:4" ht="15" customHeight="1">
      <c r="A478" s="50">
        <v>44946</v>
      </c>
      <c r="B478" s="49" t="s">
        <v>50</v>
      </c>
      <c r="C478" s="51">
        <v>54409.4</v>
      </c>
      <c r="D478" s="51">
        <v>0</v>
      </c>
    </row>
    <row r="479" spans="1:4" ht="15" customHeight="1">
      <c r="A479" s="50">
        <v>44946</v>
      </c>
      <c r="B479" s="49" t="s">
        <v>51</v>
      </c>
      <c r="C479" s="51">
        <v>54405</v>
      </c>
      <c r="D479" s="51">
        <v>0</v>
      </c>
    </row>
    <row r="480" spans="1:4" ht="15" customHeight="1">
      <c r="A480" s="50">
        <v>44946</v>
      </c>
      <c r="B480" s="49" t="s">
        <v>52</v>
      </c>
      <c r="C480" s="51">
        <v>53895</v>
      </c>
      <c r="D480" s="51">
        <v>0</v>
      </c>
    </row>
    <row r="481" spans="1:4" ht="15" customHeight="1">
      <c r="A481" s="50">
        <v>44946</v>
      </c>
      <c r="B481" s="49" t="s">
        <v>53</v>
      </c>
      <c r="C481" s="51">
        <v>53808.5</v>
      </c>
      <c r="D481" s="51">
        <v>0</v>
      </c>
    </row>
    <row r="482" spans="1:4" ht="15" customHeight="1">
      <c r="A482" s="50">
        <v>44947</v>
      </c>
      <c r="B482" s="49" t="s">
        <v>30</v>
      </c>
      <c r="C482" s="51">
        <v>54160.800000000003</v>
      </c>
      <c r="D482" s="51">
        <v>0</v>
      </c>
    </row>
    <row r="483" spans="1:4" ht="15" customHeight="1">
      <c r="A483" s="50">
        <v>44947</v>
      </c>
      <c r="B483" s="49" t="s">
        <v>31</v>
      </c>
      <c r="C483" s="51">
        <v>53881.7</v>
      </c>
      <c r="D483" s="51">
        <v>0</v>
      </c>
    </row>
    <row r="484" spans="1:4" ht="15" customHeight="1">
      <c r="A484" s="50">
        <v>44947</v>
      </c>
      <c r="B484" s="49" t="s">
        <v>32</v>
      </c>
      <c r="C484" s="51">
        <v>54147.8</v>
      </c>
      <c r="D484" s="51">
        <v>0</v>
      </c>
    </row>
    <row r="485" spans="1:4" ht="15" customHeight="1">
      <c r="A485" s="50">
        <v>44947</v>
      </c>
      <c r="B485" s="49" t="s">
        <v>33</v>
      </c>
      <c r="C485" s="51">
        <v>54084</v>
      </c>
      <c r="D485" s="51">
        <v>0</v>
      </c>
    </row>
    <row r="486" spans="1:4" ht="15" customHeight="1">
      <c r="A486" s="50">
        <v>44947</v>
      </c>
      <c r="B486" s="49" t="s">
        <v>34</v>
      </c>
      <c r="C486" s="51">
        <v>54149.4</v>
      </c>
      <c r="D486" s="51">
        <v>0</v>
      </c>
    </row>
    <row r="487" spans="1:4" ht="15" customHeight="1">
      <c r="A487" s="50">
        <v>44947</v>
      </c>
      <c r="B487" s="49" t="s">
        <v>35</v>
      </c>
      <c r="C487" s="51">
        <v>54525</v>
      </c>
      <c r="D487" s="51">
        <v>0</v>
      </c>
    </row>
    <row r="488" spans="1:4" ht="15" customHeight="1">
      <c r="A488" s="50">
        <v>44947</v>
      </c>
      <c r="B488" s="49" t="s">
        <v>36</v>
      </c>
      <c r="C488" s="51">
        <v>54266</v>
      </c>
      <c r="D488" s="51">
        <v>0</v>
      </c>
    </row>
    <row r="489" spans="1:4" ht="15" customHeight="1">
      <c r="A489" s="50">
        <v>44947</v>
      </c>
      <c r="B489" s="49" t="s">
        <v>37</v>
      </c>
      <c r="C489" s="51">
        <v>54270.1</v>
      </c>
      <c r="D489" s="51">
        <v>0</v>
      </c>
    </row>
    <row r="490" spans="1:4" ht="15" customHeight="1">
      <c r="A490" s="50">
        <v>44947</v>
      </c>
      <c r="B490" s="49" t="s">
        <v>38</v>
      </c>
      <c r="C490" s="51">
        <v>54144.4</v>
      </c>
      <c r="D490" s="51">
        <v>0</v>
      </c>
    </row>
    <row r="491" spans="1:4" ht="15" customHeight="1">
      <c r="A491" s="50">
        <v>44947</v>
      </c>
      <c r="B491" s="49" t="s">
        <v>39</v>
      </c>
      <c r="C491" s="51">
        <v>54534.9</v>
      </c>
      <c r="D491" s="51">
        <v>0</v>
      </c>
    </row>
    <row r="492" spans="1:4" ht="15" customHeight="1">
      <c r="A492" s="50">
        <v>44947</v>
      </c>
      <c r="B492" s="49" t="s">
        <v>40</v>
      </c>
      <c r="C492" s="51">
        <v>54288.800000000003</v>
      </c>
      <c r="D492" s="51">
        <v>0</v>
      </c>
    </row>
    <row r="493" spans="1:4" ht="15" customHeight="1">
      <c r="A493" s="50">
        <v>44947</v>
      </c>
      <c r="B493" s="49" t="s">
        <v>41</v>
      </c>
      <c r="C493" s="51">
        <v>54095.4</v>
      </c>
      <c r="D493" s="51">
        <v>0</v>
      </c>
    </row>
    <row r="494" spans="1:4" ht="15" customHeight="1">
      <c r="A494" s="50">
        <v>44947</v>
      </c>
      <c r="B494" s="49" t="s">
        <v>42</v>
      </c>
      <c r="C494" s="51">
        <v>54193.4</v>
      </c>
      <c r="D494" s="51">
        <v>0</v>
      </c>
    </row>
    <row r="495" spans="1:4" ht="15" customHeight="1">
      <c r="A495" s="50">
        <v>44947</v>
      </c>
      <c r="B495" s="49" t="s">
        <v>43</v>
      </c>
      <c r="C495" s="51">
        <v>54002.2</v>
      </c>
      <c r="D495" s="51">
        <v>0</v>
      </c>
    </row>
    <row r="496" spans="1:4" ht="15" customHeight="1">
      <c r="A496" s="50">
        <v>44947</v>
      </c>
      <c r="B496" s="49" t="s">
        <v>44</v>
      </c>
      <c r="C496" s="51">
        <v>54236.2</v>
      </c>
      <c r="D496" s="51">
        <v>0</v>
      </c>
    </row>
    <row r="497" spans="1:4" ht="15" customHeight="1">
      <c r="A497" s="50">
        <v>44947</v>
      </c>
      <c r="B497" s="49" t="s">
        <v>45</v>
      </c>
      <c r="C497" s="51">
        <v>54256.1</v>
      </c>
      <c r="D497" s="51">
        <v>0</v>
      </c>
    </row>
    <row r="498" spans="1:4" ht="15" customHeight="1">
      <c r="A498" s="50">
        <v>44947</v>
      </c>
      <c r="B498" s="49" t="s">
        <v>46</v>
      </c>
      <c r="C498" s="51">
        <v>53156.7</v>
      </c>
      <c r="D498" s="51">
        <v>0</v>
      </c>
    </row>
    <row r="499" spans="1:4" ht="15" customHeight="1">
      <c r="A499" s="50">
        <v>44947</v>
      </c>
      <c r="B499" s="49" t="s">
        <v>47</v>
      </c>
      <c r="C499" s="51">
        <v>53773.8</v>
      </c>
      <c r="D499" s="51">
        <v>0</v>
      </c>
    </row>
    <row r="500" spans="1:4" ht="15" customHeight="1">
      <c r="A500" s="50">
        <v>44947</v>
      </c>
      <c r="B500" s="49" t="s">
        <v>48</v>
      </c>
      <c r="C500" s="51">
        <v>53866.7</v>
      </c>
      <c r="D500" s="51">
        <v>0</v>
      </c>
    </row>
    <row r="501" spans="1:4" ht="15" customHeight="1">
      <c r="A501" s="50">
        <v>44947</v>
      </c>
      <c r="B501" s="49" t="s">
        <v>49</v>
      </c>
      <c r="C501" s="51">
        <v>53790.7</v>
      </c>
      <c r="D501" s="51">
        <v>0</v>
      </c>
    </row>
    <row r="502" spans="1:4" ht="15" customHeight="1">
      <c r="A502" s="50">
        <v>44947</v>
      </c>
      <c r="B502" s="49" t="s">
        <v>50</v>
      </c>
      <c r="C502" s="51">
        <v>53851.6</v>
      </c>
      <c r="D502" s="51">
        <v>0</v>
      </c>
    </row>
    <row r="503" spans="1:4" ht="15" customHeight="1">
      <c r="A503" s="50">
        <v>44947</v>
      </c>
      <c r="B503" s="49" t="s">
        <v>51</v>
      </c>
      <c r="C503" s="51">
        <v>53809.9</v>
      </c>
      <c r="D503" s="51">
        <v>0</v>
      </c>
    </row>
    <row r="504" spans="1:4" ht="15" customHeight="1">
      <c r="A504" s="50">
        <v>44947</v>
      </c>
      <c r="B504" s="49" t="s">
        <v>52</v>
      </c>
      <c r="C504" s="51">
        <v>53812.800000000003</v>
      </c>
      <c r="D504" s="51">
        <v>0</v>
      </c>
    </row>
    <row r="505" spans="1:4" ht="15" customHeight="1">
      <c r="A505" s="50">
        <v>44947</v>
      </c>
      <c r="B505" s="49" t="s">
        <v>53</v>
      </c>
      <c r="C505" s="51">
        <v>53608.9</v>
      </c>
      <c r="D505" s="51">
        <v>0</v>
      </c>
    </row>
    <row r="506" spans="1:4" ht="15" customHeight="1">
      <c r="A506" s="50">
        <v>44948</v>
      </c>
      <c r="B506" s="49" t="s">
        <v>30</v>
      </c>
      <c r="C506" s="51">
        <v>53049.3</v>
      </c>
      <c r="D506" s="51">
        <v>0</v>
      </c>
    </row>
    <row r="507" spans="1:4" ht="15" customHeight="1">
      <c r="A507" s="50">
        <v>44948</v>
      </c>
      <c r="B507" s="49" t="s">
        <v>31</v>
      </c>
      <c r="C507" s="51">
        <v>53180.3</v>
      </c>
      <c r="D507" s="51">
        <v>0</v>
      </c>
    </row>
    <row r="508" spans="1:4" ht="15" customHeight="1">
      <c r="A508" s="50">
        <v>44948</v>
      </c>
      <c r="B508" s="49" t="s">
        <v>32</v>
      </c>
      <c r="C508" s="51">
        <v>53162.3</v>
      </c>
      <c r="D508" s="51">
        <v>0</v>
      </c>
    </row>
    <row r="509" spans="1:4" ht="15" customHeight="1">
      <c r="A509" s="50">
        <v>44948</v>
      </c>
      <c r="B509" s="49" t="s">
        <v>33</v>
      </c>
      <c r="C509" s="51">
        <v>53212.5</v>
      </c>
      <c r="D509" s="51">
        <v>0</v>
      </c>
    </row>
    <row r="510" spans="1:4" ht="15" customHeight="1">
      <c r="A510" s="50">
        <v>44948</v>
      </c>
      <c r="B510" s="49" t="s">
        <v>34</v>
      </c>
      <c r="C510" s="51">
        <v>53253.5</v>
      </c>
      <c r="D510" s="51">
        <v>0</v>
      </c>
    </row>
    <row r="511" spans="1:4" ht="15" customHeight="1">
      <c r="A511" s="50">
        <v>44948</v>
      </c>
      <c r="B511" s="49" t="s">
        <v>35</v>
      </c>
      <c r="C511" s="51">
        <v>53551.3</v>
      </c>
      <c r="D511" s="51">
        <v>0</v>
      </c>
    </row>
    <row r="512" spans="1:4" ht="15" customHeight="1">
      <c r="A512" s="50">
        <v>44948</v>
      </c>
      <c r="B512" s="49" t="s">
        <v>36</v>
      </c>
      <c r="C512" s="51">
        <v>53456.800000000003</v>
      </c>
      <c r="D512" s="51">
        <v>0</v>
      </c>
    </row>
    <row r="513" spans="1:4" ht="15" customHeight="1">
      <c r="A513" s="50">
        <v>44948</v>
      </c>
      <c r="B513" s="49" t="s">
        <v>37</v>
      </c>
      <c r="C513" s="51">
        <v>53539.9</v>
      </c>
      <c r="D513" s="51">
        <v>0</v>
      </c>
    </row>
    <row r="514" spans="1:4" ht="15" customHeight="1">
      <c r="A514" s="50">
        <v>44948</v>
      </c>
      <c r="B514" s="49" t="s">
        <v>38</v>
      </c>
      <c r="C514" s="51">
        <v>53957</v>
      </c>
      <c r="D514" s="51">
        <v>0</v>
      </c>
    </row>
    <row r="515" spans="1:4" ht="15" customHeight="1">
      <c r="A515" s="50">
        <v>44948</v>
      </c>
      <c r="B515" s="49" t="s">
        <v>39</v>
      </c>
      <c r="C515" s="51">
        <v>54041.7</v>
      </c>
      <c r="D515" s="51">
        <v>0</v>
      </c>
    </row>
    <row r="516" spans="1:4" ht="15" customHeight="1">
      <c r="A516" s="50">
        <v>44948</v>
      </c>
      <c r="B516" s="49" t="s">
        <v>40</v>
      </c>
      <c r="C516" s="51">
        <v>54059.199999999997</v>
      </c>
      <c r="D516" s="51">
        <v>0</v>
      </c>
    </row>
    <row r="517" spans="1:4" ht="15" customHeight="1">
      <c r="A517" s="50">
        <v>44948</v>
      </c>
      <c r="B517" s="49" t="s">
        <v>41</v>
      </c>
      <c r="C517" s="51">
        <v>54081.599999999999</v>
      </c>
      <c r="D517" s="51">
        <v>0</v>
      </c>
    </row>
    <row r="518" spans="1:4" ht="15" customHeight="1">
      <c r="A518" s="50">
        <v>44948</v>
      </c>
      <c r="B518" s="49" t="s">
        <v>42</v>
      </c>
      <c r="C518" s="51">
        <v>54147</v>
      </c>
      <c r="D518" s="51">
        <v>0</v>
      </c>
    </row>
    <row r="519" spans="1:4" ht="15" customHeight="1">
      <c r="A519" s="50">
        <v>44948</v>
      </c>
      <c r="B519" s="49" t="s">
        <v>43</v>
      </c>
      <c r="C519" s="51">
        <v>54098.8</v>
      </c>
      <c r="D519" s="51">
        <v>0</v>
      </c>
    </row>
    <row r="520" spans="1:4" ht="15" customHeight="1">
      <c r="A520" s="50">
        <v>44948</v>
      </c>
      <c r="B520" s="49" t="s">
        <v>44</v>
      </c>
      <c r="C520" s="51">
        <v>54164.800000000003</v>
      </c>
      <c r="D520" s="51">
        <v>0</v>
      </c>
    </row>
    <row r="521" spans="1:4" ht="15" customHeight="1">
      <c r="A521" s="50">
        <v>44948</v>
      </c>
      <c r="B521" s="49" t="s">
        <v>45</v>
      </c>
      <c r="C521" s="51">
        <v>54122</v>
      </c>
      <c r="D521" s="51">
        <v>0</v>
      </c>
    </row>
    <row r="522" spans="1:4" ht="15" customHeight="1">
      <c r="A522" s="50">
        <v>44948</v>
      </c>
      <c r="B522" s="49" t="s">
        <v>46</v>
      </c>
      <c r="C522" s="51">
        <v>54148.4</v>
      </c>
      <c r="D522" s="51">
        <v>0</v>
      </c>
    </row>
    <row r="523" spans="1:4" ht="15" customHeight="1">
      <c r="A523" s="50">
        <v>44948</v>
      </c>
      <c r="B523" s="49" t="s">
        <v>47</v>
      </c>
      <c r="C523" s="51">
        <v>54009</v>
      </c>
      <c r="D523" s="51">
        <v>0</v>
      </c>
    </row>
    <row r="524" spans="1:4" ht="15" customHeight="1">
      <c r="A524" s="50">
        <v>44948</v>
      </c>
      <c r="B524" s="49" t="s">
        <v>48</v>
      </c>
      <c r="C524" s="51">
        <v>54135.8</v>
      </c>
      <c r="D524" s="51">
        <v>0</v>
      </c>
    </row>
    <row r="525" spans="1:4" ht="15" customHeight="1">
      <c r="A525" s="50">
        <v>44948</v>
      </c>
      <c r="B525" s="49" t="s">
        <v>49</v>
      </c>
      <c r="C525" s="51">
        <v>54103.199999999997</v>
      </c>
      <c r="D525" s="51">
        <v>0</v>
      </c>
    </row>
    <row r="526" spans="1:4" ht="15" customHeight="1">
      <c r="A526" s="50">
        <v>44948</v>
      </c>
      <c r="B526" s="49" t="s">
        <v>50</v>
      </c>
      <c r="C526" s="51">
        <v>53927.3</v>
      </c>
      <c r="D526" s="51">
        <v>0</v>
      </c>
    </row>
    <row r="527" spans="1:4" ht="15" customHeight="1">
      <c r="A527" s="50">
        <v>44948</v>
      </c>
      <c r="B527" s="49" t="s">
        <v>51</v>
      </c>
      <c r="C527" s="51">
        <v>53958.1</v>
      </c>
      <c r="D527" s="51">
        <v>0</v>
      </c>
    </row>
    <row r="528" spans="1:4" ht="15" customHeight="1">
      <c r="A528" s="50">
        <v>44948</v>
      </c>
      <c r="B528" s="49" t="s">
        <v>52</v>
      </c>
      <c r="C528" s="51">
        <v>53887</v>
      </c>
      <c r="D528" s="51">
        <v>0</v>
      </c>
    </row>
    <row r="529" spans="1:4" ht="15" customHeight="1">
      <c r="A529" s="50">
        <v>44948</v>
      </c>
      <c r="B529" s="49" t="s">
        <v>53</v>
      </c>
      <c r="C529" s="51">
        <v>53793.3</v>
      </c>
      <c r="D529" s="51">
        <v>0</v>
      </c>
    </row>
    <row r="530" spans="1:4" ht="15" customHeight="1">
      <c r="A530" s="50">
        <v>44949</v>
      </c>
      <c r="B530" s="49" t="s">
        <v>30</v>
      </c>
      <c r="C530" s="51">
        <v>54271.5</v>
      </c>
      <c r="D530" s="51">
        <v>0</v>
      </c>
    </row>
    <row r="531" spans="1:4" ht="15" customHeight="1">
      <c r="A531" s="50">
        <v>44949</v>
      </c>
      <c r="B531" s="49" t="s">
        <v>31</v>
      </c>
      <c r="C531" s="51">
        <v>54360.2</v>
      </c>
      <c r="D531" s="51">
        <v>0</v>
      </c>
    </row>
    <row r="532" spans="1:4" ht="15" customHeight="1">
      <c r="A532" s="50">
        <v>44949</v>
      </c>
      <c r="B532" s="49" t="s">
        <v>32</v>
      </c>
      <c r="C532" s="51">
        <v>54009.2</v>
      </c>
      <c r="D532" s="51">
        <v>0</v>
      </c>
    </row>
    <row r="533" spans="1:4" ht="15" customHeight="1">
      <c r="A533" s="50">
        <v>44949</v>
      </c>
      <c r="B533" s="49" t="s">
        <v>33</v>
      </c>
      <c r="C533" s="51">
        <v>54085.3</v>
      </c>
      <c r="D533" s="51">
        <v>0</v>
      </c>
    </row>
    <row r="534" spans="1:4" ht="15" customHeight="1">
      <c r="A534" s="50">
        <v>44949</v>
      </c>
      <c r="B534" s="49" t="s">
        <v>34</v>
      </c>
      <c r="C534" s="51">
        <v>54180.2</v>
      </c>
      <c r="D534" s="51">
        <v>0</v>
      </c>
    </row>
    <row r="535" spans="1:4" ht="15" customHeight="1">
      <c r="A535" s="50">
        <v>44949</v>
      </c>
      <c r="B535" s="49" t="s">
        <v>35</v>
      </c>
      <c r="C535" s="51">
        <v>54098.1</v>
      </c>
      <c r="D535" s="51">
        <v>0</v>
      </c>
    </row>
    <row r="536" spans="1:4" ht="15" customHeight="1">
      <c r="A536" s="50">
        <v>44949</v>
      </c>
      <c r="B536" s="49" t="s">
        <v>36</v>
      </c>
      <c r="C536" s="51">
        <v>54060.9</v>
      </c>
      <c r="D536" s="51">
        <v>0</v>
      </c>
    </row>
    <row r="537" spans="1:4" ht="15" customHeight="1">
      <c r="A537" s="50">
        <v>44949</v>
      </c>
      <c r="B537" s="49" t="s">
        <v>37</v>
      </c>
      <c r="C537" s="51">
        <v>54157.8</v>
      </c>
      <c r="D537" s="51">
        <v>0</v>
      </c>
    </row>
    <row r="538" spans="1:4" ht="15" customHeight="1">
      <c r="A538" s="50">
        <v>44949</v>
      </c>
      <c r="B538" s="49" t="s">
        <v>38</v>
      </c>
      <c r="C538" s="51">
        <v>54054.9</v>
      </c>
      <c r="D538" s="51">
        <v>0</v>
      </c>
    </row>
    <row r="539" spans="1:4" ht="15" customHeight="1">
      <c r="A539" s="50">
        <v>44949</v>
      </c>
      <c r="B539" s="49" t="s">
        <v>39</v>
      </c>
      <c r="C539" s="51">
        <v>53909</v>
      </c>
      <c r="D539" s="51">
        <v>0</v>
      </c>
    </row>
    <row r="540" spans="1:4" ht="15" customHeight="1">
      <c r="A540" s="50">
        <v>44949</v>
      </c>
      <c r="B540" s="49" t="s">
        <v>40</v>
      </c>
      <c r="C540" s="51">
        <v>54724.1</v>
      </c>
      <c r="D540" s="51">
        <v>0</v>
      </c>
    </row>
    <row r="541" spans="1:4" ht="15" customHeight="1">
      <c r="A541" s="50">
        <v>44949</v>
      </c>
      <c r="B541" s="49" t="s">
        <v>41</v>
      </c>
      <c r="C541" s="51">
        <v>54353.4</v>
      </c>
      <c r="D541" s="51">
        <v>0</v>
      </c>
    </row>
    <row r="542" spans="1:4" ht="15" customHeight="1">
      <c r="A542" s="50">
        <v>44949</v>
      </c>
      <c r="B542" s="49" t="s">
        <v>42</v>
      </c>
      <c r="C542" s="51">
        <v>54682.7</v>
      </c>
      <c r="D542" s="51">
        <v>0</v>
      </c>
    </row>
    <row r="543" spans="1:4" ht="15" customHeight="1">
      <c r="A543" s="50">
        <v>44949</v>
      </c>
      <c r="B543" s="49" t="s">
        <v>43</v>
      </c>
      <c r="C543" s="51">
        <v>54351.3</v>
      </c>
      <c r="D543" s="51">
        <v>0</v>
      </c>
    </row>
    <row r="544" spans="1:4" ht="15" customHeight="1">
      <c r="A544" s="50">
        <v>44949</v>
      </c>
      <c r="B544" s="49" t="s">
        <v>44</v>
      </c>
      <c r="C544" s="51">
        <v>54359.9</v>
      </c>
      <c r="D544" s="51">
        <v>0</v>
      </c>
    </row>
    <row r="545" spans="1:4" ht="15" customHeight="1">
      <c r="A545" s="50">
        <v>44949</v>
      </c>
      <c r="B545" s="49" t="s">
        <v>45</v>
      </c>
      <c r="C545" s="51">
        <v>54212</v>
      </c>
      <c r="D545" s="51">
        <v>0</v>
      </c>
    </row>
    <row r="546" spans="1:4" ht="15" customHeight="1">
      <c r="A546" s="50">
        <v>44949</v>
      </c>
      <c r="B546" s="49" t="s">
        <v>46</v>
      </c>
      <c r="C546" s="51">
        <v>54255.199999999997</v>
      </c>
      <c r="D546" s="51">
        <v>0</v>
      </c>
    </row>
    <row r="547" spans="1:4" ht="15" customHeight="1">
      <c r="A547" s="50">
        <v>44949</v>
      </c>
      <c r="B547" s="49" t="s">
        <v>47</v>
      </c>
      <c r="C547" s="51">
        <v>54126.8</v>
      </c>
      <c r="D547" s="51">
        <v>0</v>
      </c>
    </row>
    <row r="548" spans="1:4" ht="15" customHeight="1">
      <c r="A548" s="50">
        <v>44949</v>
      </c>
      <c r="B548" s="49" t="s">
        <v>48</v>
      </c>
      <c r="C548" s="51">
        <v>54017.1</v>
      </c>
      <c r="D548" s="51">
        <v>0</v>
      </c>
    </row>
    <row r="549" spans="1:4" ht="15" customHeight="1">
      <c r="A549" s="50">
        <v>44949</v>
      </c>
      <c r="B549" s="49" t="s">
        <v>49</v>
      </c>
      <c r="C549" s="51">
        <v>54165.2</v>
      </c>
      <c r="D549" s="51">
        <v>0</v>
      </c>
    </row>
    <row r="550" spans="1:4" ht="15" customHeight="1">
      <c r="A550" s="50">
        <v>44949</v>
      </c>
      <c r="B550" s="49" t="s">
        <v>50</v>
      </c>
      <c r="C550" s="51">
        <v>54130.3</v>
      </c>
      <c r="D550" s="51">
        <v>0</v>
      </c>
    </row>
    <row r="551" spans="1:4" ht="15" customHeight="1">
      <c r="A551" s="50">
        <v>44949</v>
      </c>
      <c r="B551" s="49" t="s">
        <v>51</v>
      </c>
      <c r="C551" s="51">
        <v>54032.800000000003</v>
      </c>
      <c r="D551" s="51">
        <v>0</v>
      </c>
    </row>
    <row r="552" spans="1:4" ht="15" customHeight="1">
      <c r="A552" s="50">
        <v>44949</v>
      </c>
      <c r="B552" s="49" t="s">
        <v>52</v>
      </c>
      <c r="C552" s="51">
        <v>54114.2</v>
      </c>
      <c r="D552" s="51">
        <v>0</v>
      </c>
    </row>
    <row r="553" spans="1:4" ht="15" customHeight="1">
      <c r="A553" s="50">
        <v>44949</v>
      </c>
      <c r="B553" s="49" t="s">
        <v>53</v>
      </c>
      <c r="C553" s="51">
        <v>53984</v>
      </c>
      <c r="D553" s="51">
        <v>0</v>
      </c>
    </row>
    <row r="554" spans="1:4" ht="15" customHeight="1">
      <c r="A554" s="50">
        <v>44950</v>
      </c>
      <c r="B554" s="49" t="s">
        <v>30</v>
      </c>
      <c r="C554" s="51">
        <v>52791.9</v>
      </c>
      <c r="D554" s="51">
        <v>0</v>
      </c>
    </row>
    <row r="555" spans="1:4" ht="15" customHeight="1">
      <c r="A555" s="50">
        <v>44950</v>
      </c>
      <c r="B555" s="49" t="s">
        <v>31</v>
      </c>
      <c r="C555" s="51">
        <v>54470.1</v>
      </c>
      <c r="D555" s="51">
        <v>0</v>
      </c>
    </row>
    <row r="556" spans="1:4" ht="15" customHeight="1">
      <c r="A556" s="50">
        <v>44950</v>
      </c>
      <c r="B556" s="49" t="s">
        <v>32</v>
      </c>
      <c r="C556" s="51">
        <v>53524</v>
      </c>
      <c r="D556" s="51">
        <v>0</v>
      </c>
    </row>
    <row r="557" spans="1:4" ht="15" customHeight="1">
      <c r="A557" s="50">
        <v>44950</v>
      </c>
      <c r="B557" s="49" t="s">
        <v>33</v>
      </c>
      <c r="C557" s="51">
        <v>52154.5</v>
      </c>
      <c r="D557" s="51">
        <v>0</v>
      </c>
    </row>
    <row r="558" spans="1:4" ht="15" customHeight="1">
      <c r="A558" s="50">
        <v>44950</v>
      </c>
      <c r="B558" s="49" t="s">
        <v>34</v>
      </c>
      <c r="C558" s="51">
        <v>53657.2</v>
      </c>
      <c r="D558" s="51">
        <v>0</v>
      </c>
    </row>
    <row r="559" spans="1:4" ht="15" customHeight="1">
      <c r="A559" s="50">
        <v>44950</v>
      </c>
      <c r="B559" s="49" t="s">
        <v>35</v>
      </c>
      <c r="C559" s="51">
        <v>53646.7</v>
      </c>
      <c r="D559" s="51">
        <v>0</v>
      </c>
    </row>
    <row r="560" spans="1:4" ht="15" customHeight="1">
      <c r="A560" s="50">
        <v>44950</v>
      </c>
      <c r="B560" s="49" t="s">
        <v>36</v>
      </c>
      <c r="C560" s="51">
        <v>53626.3</v>
      </c>
      <c r="D560" s="51">
        <v>0</v>
      </c>
    </row>
    <row r="561" spans="1:4" ht="15" customHeight="1">
      <c r="A561" s="50">
        <v>44950</v>
      </c>
      <c r="B561" s="49" t="s">
        <v>37</v>
      </c>
      <c r="C561" s="51">
        <v>53567.9</v>
      </c>
      <c r="D561" s="51">
        <v>0</v>
      </c>
    </row>
    <row r="562" spans="1:4" ht="15" customHeight="1">
      <c r="A562" s="50">
        <v>44950</v>
      </c>
      <c r="B562" s="49" t="s">
        <v>38</v>
      </c>
      <c r="C562" s="51">
        <v>53578.1</v>
      </c>
      <c r="D562" s="51">
        <v>0</v>
      </c>
    </row>
    <row r="563" spans="1:4" ht="15" customHeight="1">
      <c r="A563" s="50">
        <v>44950</v>
      </c>
      <c r="B563" s="49" t="s">
        <v>39</v>
      </c>
      <c r="C563" s="51">
        <v>53575</v>
      </c>
      <c r="D563" s="51">
        <v>0</v>
      </c>
    </row>
    <row r="564" spans="1:4" ht="15" customHeight="1">
      <c r="A564" s="50">
        <v>44950</v>
      </c>
      <c r="B564" s="49" t="s">
        <v>40</v>
      </c>
      <c r="C564" s="51">
        <v>55119.9</v>
      </c>
      <c r="D564" s="51">
        <v>0</v>
      </c>
    </row>
    <row r="565" spans="1:4" ht="15" customHeight="1">
      <c r="A565" s="50">
        <v>44950</v>
      </c>
      <c r="B565" s="49" t="s">
        <v>41</v>
      </c>
      <c r="C565" s="51">
        <v>54885</v>
      </c>
      <c r="D565" s="51">
        <v>0</v>
      </c>
    </row>
    <row r="566" spans="1:4" ht="15" customHeight="1">
      <c r="A566" s="50">
        <v>44950</v>
      </c>
      <c r="B566" s="49" t="s">
        <v>42</v>
      </c>
      <c r="C566" s="51">
        <v>54969.7</v>
      </c>
      <c r="D566" s="51">
        <v>0</v>
      </c>
    </row>
    <row r="567" spans="1:4" ht="15" customHeight="1">
      <c r="A567" s="50">
        <v>44950</v>
      </c>
      <c r="B567" s="49" t="s">
        <v>43</v>
      </c>
      <c r="C567" s="51">
        <v>54952.3</v>
      </c>
      <c r="D567" s="51">
        <v>0</v>
      </c>
    </row>
    <row r="568" spans="1:4" ht="15" customHeight="1">
      <c r="A568" s="50">
        <v>44950</v>
      </c>
      <c r="B568" s="49" t="s">
        <v>44</v>
      </c>
      <c r="C568" s="51">
        <v>55026.2</v>
      </c>
      <c r="D568" s="51">
        <v>0</v>
      </c>
    </row>
    <row r="569" spans="1:4" ht="15" customHeight="1">
      <c r="A569" s="50">
        <v>44950</v>
      </c>
      <c r="B569" s="49" t="s">
        <v>45</v>
      </c>
      <c r="C569" s="51">
        <v>54911.7</v>
      </c>
      <c r="D569" s="51">
        <v>0</v>
      </c>
    </row>
    <row r="570" spans="1:4" ht="15" customHeight="1">
      <c r="A570" s="50">
        <v>44950</v>
      </c>
      <c r="B570" s="49" t="s">
        <v>46</v>
      </c>
      <c r="C570" s="51">
        <v>54882.3</v>
      </c>
      <c r="D570" s="51">
        <v>0</v>
      </c>
    </row>
    <row r="571" spans="1:4" ht="15" customHeight="1">
      <c r="A571" s="50">
        <v>44950</v>
      </c>
      <c r="B571" s="49" t="s">
        <v>47</v>
      </c>
      <c r="C571" s="51">
        <v>54920.4</v>
      </c>
      <c r="D571" s="51">
        <v>0</v>
      </c>
    </row>
    <row r="572" spans="1:4" ht="15" customHeight="1">
      <c r="A572" s="50">
        <v>44950</v>
      </c>
      <c r="B572" s="49" t="s">
        <v>48</v>
      </c>
      <c r="C572" s="51">
        <v>54864.6</v>
      </c>
      <c r="D572" s="51">
        <v>0</v>
      </c>
    </row>
    <row r="573" spans="1:4" ht="15" customHeight="1">
      <c r="A573" s="50">
        <v>44950</v>
      </c>
      <c r="B573" s="49" t="s">
        <v>49</v>
      </c>
      <c r="C573" s="51">
        <v>54807.5</v>
      </c>
      <c r="D573" s="51">
        <v>0</v>
      </c>
    </row>
    <row r="574" spans="1:4" ht="15" customHeight="1">
      <c r="A574" s="50">
        <v>44950</v>
      </c>
      <c r="B574" s="49" t="s">
        <v>50</v>
      </c>
      <c r="C574" s="51">
        <v>54728.4</v>
      </c>
      <c r="D574" s="51">
        <v>0</v>
      </c>
    </row>
    <row r="575" spans="1:4" ht="15" customHeight="1">
      <c r="A575" s="50">
        <v>44950</v>
      </c>
      <c r="B575" s="49" t="s">
        <v>51</v>
      </c>
      <c r="C575" s="51">
        <v>54721</v>
      </c>
      <c r="D575" s="51">
        <v>0</v>
      </c>
    </row>
    <row r="576" spans="1:4" ht="15" customHeight="1">
      <c r="A576" s="50">
        <v>44950</v>
      </c>
      <c r="B576" s="49" t="s">
        <v>52</v>
      </c>
      <c r="C576" s="51">
        <v>54709.5</v>
      </c>
      <c r="D576" s="51">
        <v>0</v>
      </c>
    </row>
    <row r="577" spans="1:4" ht="15" customHeight="1">
      <c r="A577" s="50">
        <v>44950</v>
      </c>
      <c r="B577" s="49" t="s">
        <v>53</v>
      </c>
      <c r="C577" s="51">
        <v>54801.599999999999</v>
      </c>
      <c r="D577" s="51">
        <v>0</v>
      </c>
    </row>
    <row r="578" spans="1:4" ht="15" customHeight="1">
      <c r="A578" s="50">
        <v>44951</v>
      </c>
      <c r="B578" s="49" t="s">
        <v>30</v>
      </c>
      <c r="C578" s="51">
        <v>61362.2</v>
      </c>
      <c r="D578" s="51">
        <v>0</v>
      </c>
    </row>
    <row r="579" spans="1:4" ht="15" customHeight="1">
      <c r="A579" s="50">
        <v>44951</v>
      </c>
      <c r="B579" s="49" t="s">
        <v>31</v>
      </c>
      <c r="C579" s="51">
        <v>61724</v>
      </c>
      <c r="D579" s="51">
        <v>0</v>
      </c>
    </row>
    <row r="580" spans="1:4" ht="15" customHeight="1">
      <c r="A580" s="50">
        <v>44951</v>
      </c>
      <c r="B580" s="49" t="s">
        <v>32</v>
      </c>
      <c r="C580" s="51">
        <v>63769</v>
      </c>
      <c r="D580" s="51">
        <v>0</v>
      </c>
    </row>
    <row r="581" spans="1:4" ht="15" customHeight="1">
      <c r="A581" s="50">
        <v>44951</v>
      </c>
      <c r="B581" s="49" t="s">
        <v>33</v>
      </c>
      <c r="C581" s="51">
        <v>63827.9</v>
      </c>
      <c r="D581" s="51">
        <v>0</v>
      </c>
    </row>
    <row r="582" spans="1:4" ht="15" customHeight="1">
      <c r="A582" s="50">
        <v>44951</v>
      </c>
      <c r="B582" s="49" t="s">
        <v>34</v>
      </c>
      <c r="C582" s="51">
        <v>62895.4</v>
      </c>
      <c r="D582" s="51">
        <v>0</v>
      </c>
    </row>
    <row r="583" spans="1:4" ht="15" customHeight="1">
      <c r="A583" s="50">
        <v>44951</v>
      </c>
      <c r="B583" s="49" t="s">
        <v>35</v>
      </c>
      <c r="C583" s="51">
        <v>26765.5</v>
      </c>
      <c r="D583" s="51">
        <v>0</v>
      </c>
    </row>
    <row r="584" spans="1:4" ht="15" customHeight="1">
      <c r="A584" s="50">
        <v>44951</v>
      </c>
      <c r="B584" s="49" t="s">
        <v>36</v>
      </c>
      <c r="C584" s="51">
        <v>130.5</v>
      </c>
      <c r="D584" s="51">
        <v>642.6</v>
      </c>
    </row>
    <row r="585" spans="1:4" ht="15" customHeight="1">
      <c r="A585" s="50">
        <v>44951</v>
      </c>
      <c r="B585" s="49" t="s">
        <v>37</v>
      </c>
      <c r="C585" s="51">
        <v>20470.8</v>
      </c>
      <c r="D585" s="51">
        <v>6.7</v>
      </c>
    </row>
    <row r="586" spans="1:4" ht="15" customHeight="1">
      <c r="A586" s="50">
        <v>44951</v>
      </c>
      <c r="B586" s="49" t="s">
        <v>38</v>
      </c>
      <c r="C586" s="51">
        <v>44275.7</v>
      </c>
      <c r="D586" s="51">
        <v>0</v>
      </c>
    </row>
    <row r="587" spans="1:4" ht="15" customHeight="1">
      <c r="A587" s="50">
        <v>44951</v>
      </c>
      <c r="B587" s="49" t="s">
        <v>39</v>
      </c>
      <c r="C587" s="51">
        <v>61108.6</v>
      </c>
      <c r="D587" s="51">
        <v>0</v>
      </c>
    </row>
    <row r="588" spans="1:4" ht="15" customHeight="1">
      <c r="A588" s="50">
        <v>44951</v>
      </c>
      <c r="B588" s="49" t="s">
        <v>40</v>
      </c>
      <c r="C588" s="51">
        <v>62783.199999999997</v>
      </c>
      <c r="D588" s="51">
        <v>0</v>
      </c>
    </row>
    <row r="589" spans="1:4" ht="15" customHeight="1">
      <c r="A589" s="50">
        <v>44951</v>
      </c>
      <c r="B589" s="49" t="s">
        <v>41</v>
      </c>
      <c r="C589" s="51">
        <v>62945.2</v>
      </c>
      <c r="D589" s="51">
        <v>0</v>
      </c>
    </row>
    <row r="590" spans="1:4" ht="15" customHeight="1">
      <c r="A590" s="50">
        <v>44951</v>
      </c>
      <c r="B590" s="49" t="s">
        <v>42</v>
      </c>
      <c r="C590" s="51">
        <v>62927.5</v>
      </c>
      <c r="D590" s="51">
        <v>0</v>
      </c>
    </row>
    <row r="591" spans="1:4" ht="15" customHeight="1">
      <c r="A591" s="50">
        <v>44951</v>
      </c>
      <c r="B591" s="49" t="s">
        <v>43</v>
      </c>
      <c r="C591" s="51">
        <v>62948.5</v>
      </c>
      <c r="D591" s="51">
        <v>0</v>
      </c>
    </row>
    <row r="592" spans="1:4" ht="15" customHeight="1">
      <c r="A592" s="50">
        <v>44951</v>
      </c>
      <c r="B592" s="49" t="s">
        <v>44</v>
      </c>
      <c r="C592" s="51">
        <v>63018.3</v>
      </c>
      <c r="D592" s="51">
        <v>0</v>
      </c>
    </row>
    <row r="593" spans="1:4" ht="15" customHeight="1">
      <c r="A593" s="50">
        <v>44951</v>
      </c>
      <c r="B593" s="49" t="s">
        <v>45</v>
      </c>
      <c r="C593" s="51">
        <v>62990.3</v>
      </c>
      <c r="D593" s="51">
        <v>0</v>
      </c>
    </row>
    <row r="594" spans="1:4" ht="15" customHeight="1">
      <c r="A594" s="50">
        <v>44951</v>
      </c>
      <c r="B594" s="49" t="s">
        <v>46</v>
      </c>
      <c r="C594" s="51">
        <v>62991.7</v>
      </c>
      <c r="D594" s="51">
        <v>0</v>
      </c>
    </row>
    <row r="595" spans="1:4" ht="15" customHeight="1">
      <c r="A595" s="50">
        <v>44951</v>
      </c>
      <c r="B595" s="49" t="s">
        <v>47</v>
      </c>
      <c r="C595" s="51">
        <v>62914.7</v>
      </c>
      <c r="D595" s="51">
        <v>0</v>
      </c>
    </row>
    <row r="596" spans="1:4" ht="15" customHeight="1">
      <c r="A596" s="50">
        <v>44951</v>
      </c>
      <c r="B596" s="49" t="s">
        <v>48</v>
      </c>
      <c r="C596" s="51">
        <v>63015.3</v>
      </c>
      <c r="D596" s="51">
        <v>0</v>
      </c>
    </row>
    <row r="597" spans="1:4" ht="15" customHeight="1">
      <c r="A597" s="50">
        <v>44951</v>
      </c>
      <c r="B597" s="49" t="s">
        <v>49</v>
      </c>
      <c r="C597" s="51">
        <v>62916</v>
      </c>
      <c r="D597" s="51">
        <v>0</v>
      </c>
    </row>
    <row r="598" spans="1:4" ht="15" customHeight="1">
      <c r="A598" s="50">
        <v>44951</v>
      </c>
      <c r="B598" s="49" t="s">
        <v>50</v>
      </c>
      <c r="C598" s="51">
        <v>60780.4</v>
      </c>
      <c r="D598" s="51">
        <v>0</v>
      </c>
    </row>
    <row r="599" spans="1:4" ht="15" customHeight="1">
      <c r="A599" s="50">
        <v>44951</v>
      </c>
      <c r="B599" s="49" t="s">
        <v>51</v>
      </c>
      <c r="C599" s="51">
        <v>62674.6</v>
      </c>
      <c r="D599" s="51">
        <v>0</v>
      </c>
    </row>
    <row r="600" spans="1:4" ht="15" customHeight="1">
      <c r="A600" s="50">
        <v>44951</v>
      </c>
      <c r="B600" s="49" t="s">
        <v>52</v>
      </c>
      <c r="C600" s="51">
        <v>62859.7</v>
      </c>
      <c r="D600" s="51">
        <v>0</v>
      </c>
    </row>
    <row r="601" spans="1:4" ht="15" customHeight="1">
      <c r="A601" s="50">
        <v>44951</v>
      </c>
      <c r="B601" s="49" t="s">
        <v>53</v>
      </c>
      <c r="C601" s="51">
        <v>62861.3</v>
      </c>
      <c r="D601" s="51">
        <v>0</v>
      </c>
    </row>
    <row r="602" spans="1:4" ht="15" customHeight="1">
      <c r="A602" s="50">
        <v>44952</v>
      </c>
      <c r="B602" s="49" t="s">
        <v>30</v>
      </c>
      <c r="C602" s="51">
        <v>62624.2</v>
      </c>
      <c r="D602" s="51">
        <v>0</v>
      </c>
    </row>
    <row r="603" spans="1:4" ht="15" customHeight="1">
      <c r="A603" s="50">
        <v>44952</v>
      </c>
      <c r="B603" s="49" t="s">
        <v>31</v>
      </c>
      <c r="C603" s="51">
        <v>62737.7</v>
      </c>
      <c r="D603" s="51">
        <v>0</v>
      </c>
    </row>
    <row r="604" spans="1:4" ht="15" customHeight="1">
      <c r="A604" s="50">
        <v>44952</v>
      </c>
      <c r="B604" s="49" t="s">
        <v>32</v>
      </c>
      <c r="C604" s="51">
        <v>62646.7</v>
      </c>
      <c r="D604" s="51">
        <v>0</v>
      </c>
    </row>
    <row r="605" spans="1:4" ht="15" customHeight="1">
      <c r="A605" s="50">
        <v>44952</v>
      </c>
      <c r="B605" s="49" t="s">
        <v>33</v>
      </c>
      <c r="C605" s="51">
        <v>61514.9</v>
      </c>
      <c r="D605" s="51">
        <v>0</v>
      </c>
    </row>
    <row r="606" spans="1:4" ht="15" customHeight="1">
      <c r="A606" s="50">
        <v>44952</v>
      </c>
      <c r="B606" s="49" t="s">
        <v>34</v>
      </c>
      <c r="C606" s="51">
        <v>62076.9</v>
      </c>
      <c r="D606" s="51">
        <v>0</v>
      </c>
    </row>
    <row r="607" spans="1:4" ht="15" customHeight="1">
      <c r="A607" s="50">
        <v>44952</v>
      </c>
      <c r="B607" s="49" t="s">
        <v>35</v>
      </c>
      <c r="C607" s="51">
        <v>61993.8</v>
      </c>
      <c r="D607" s="51">
        <v>0</v>
      </c>
    </row>
    <row r="608" spans="1:4" ht="15" customHeight="1">
      <c r="A608" s="50">
        <v>44952</v>
      </c>
      <c r="B608" s="49" t="s">
        <v>36</v>
      </c>
      <c r="C608" s="51">
        <v>61897.1</v>
      </c>
      <c r="D608" s="51">
        <v>0</v>
      </c>
    </row>
    <row r="609" spans="1:4" ht="15" customHeight="1">
      <c r="A609" s="50">
        <v>44952</v>
      </c>
      <c r="B609" s="49" t="s">
        <v>37</v>
      </c>
      <c r="C609" s="51">
        <v>61903.3</v>
      </c>
      <c r="D609" s="51">
        <v>0</v>
      </c>
    </row>
    <row r="610" spans="1:4" ht="15" customHeight="1">
      <c r="A610" s="50">
        <v>44952</v>
      </c>
      <c r="B610" s="49" t="s">
        <v>38</v>
      </c>
      <c r="C610" s="51">
        <v>62063</v>
      </c>
      <c r="D610" s="51">
        <v>0</v>
      </c>
    </row>
    <row r="611" spans="1:4" ht="15" customHeight="1">
      <c r="A611" s="50">
        <v>44952</v>
      </c>
      <c r="B611" s="49" t="s">
        <v>39</v>
      </c>
      <c r="C611" s="51">
        <v>61910.8</v>
      </c>
      <c r="D611" s="51">
        <v>0</v>
      </c>
    </row>
    <row r="612" spans="1:4" ht="15" customHeight="1">
      <c r="A612" s="50">
        <v>44952</v>
      </c>
      <c r="B612" s="49" t="s">
        <v>40</v>
      </c>
      <c r="C612" s="51">
        <v>61845.9</v>
      </c>
      <c r="D612" s="51">
        <v>0</v>
      </c>
    </row>
    <row r="613" spans="1:4" ht="15" customHeight="1">
      <c r="A613" s="50">
        <v>44952</v>
      </c>
      <c r="B613" s="49" t="s">
        <v>41</v>
      </c>
      <c r="C613" s="51">
        <v>62259.4</v>
      </c>
      <c r="D613" s="51">
        <v>0</v>
      </c>
    </row>
    <row r="614" spans="1:4" ht="15" customHeight="1">
      <c r="A614" s="50">
        <v>44952</v>
      </c>
      <c r="B614" s="49" t="s">
        <v>42</v>
      </c>
      <c r="C614" s="51">
        <v>62721.2</v>
      </c>
      <c r="D614" s="51">
        <v>0</v>
      </c>
    </row>
    <row r="615" spans="1:4" ht="15" customHeight="1">
      <c r="A615" s="50">
        <v>44952</v>
      </c>
      <c r="B615" s="49" t="s">
        <v>43</v>
      </c>
      <c r="C615" s="51">
        <v>63673.3</v>
      </c>
      <c r="D615" s="51">
        <v>0</v>
      </c>
    </row>
    <row r="616" spans="1:4" ht="15" customHeight="1">
      <c r="A616" s="50">
        <v>44952</v>
      </c>
      <c r="B616" s="49" t="s">
        <v>44</v>
      </c>
      <c r="C616" s="51">
        <v>63523.8</v>
      </c>
      <c r="D616" s="51">
        <v>0</v>
      </c>
    </row>
    <row r="617" spans="1:4" ht="15" customHeight="1">
      <c r="A617" s="50">
        <v>44952</v>
      </c>
      <c r="B617" s="49" t="s">
        <v>45</v>
      </c>
      <c r="C617" s="51">
        <v>63025.1</v>
      </c>
      <c r="D617" s="51">
        <v>0</v>
      </c>
    </row>
    <row r="618" spans="1:4" ht="15" customHeight="1">
      <c r="A618" s="50">
        <v>44952</v>
      </c>
      <c r="B618" s="49" t="s">
        <v>46</v>
      </c>
      <c r="C618" s="51">
        <v>62572</v>
      </c>
      <c r="D618" s="51">
        <v>0</v>
      </c>
    </row>
    <row r="619" spans="1:4" ht="15" customHeight="1">
      <c r="A619" s="50">
        <v>44952</v>
      </c>
      <c r="B619" s="49" t="s">
        <v>47</v>
      </c>
      <c r="C619" s="51">
        <v>63243.199999999997</v>
      </c>
      <c r="D619" s="51">
        <v>0</v>
      </c>
    </row>
    <row r="620" spans="1:4" ht="15" customHeight="1">
      <c r="A620" s="50">
        <v>44952</v>
      </c>
      <c r="B620" s="49" t="s">
        <v>48</v>
      </c>
      <c r="C620" s="51">
        <v>63554.6</v>
      </c>
      <c r="D620" s="51">
        <v>0</v>
      </c>
    </row>
    <row r="621" spans="1:4" ht="15" customHeight="1">
      <c r="A621" s="50">
        <v>44952</v>
      </c>
      <c r="B621" s="49" t="s">
        <v>49</v>
      </c>
      <c r="C621" s="51">
        <v>61332</v>
      </c>
      <c r="D621" s="51">
        <v>0</v>
      </c>
    </row>
    <row r="622" spans="1:4" ht="15" customHeight="1">
      <c r="A622" s="50">
        <v>44952</v>
      </c>
      <c r="B622" s="49" t="s">
        <v>50</v>
      </c>
      <c r="C622" s="51">
        <v>61982.1</v>
      </c>
      <c r="D622" s="51">
        <v>0</v>
      </c>
    </row>
    <row r="623" spans="1:4" ht="15" customHeight="1">
      <c r="A623" s="50">
        <v>44952</v>
      </c>
      <c r="B623" s="49" t="s">
        <v>51</v>
      </c>
      <c r="C623" s="51">
        <v>63359.5</v>
      </c>
      <c r="D623" s="51">
        <v>0</v>
      </c>
    </row>
    <row r="624" spans="1:4" ht="15" customHeight="1">
      <c r="A624" s="50">
        <v>44952</v>
      </c>
      <c r="B624" s="49" t="s">
        <v>52</v>
      </c>
      <c r="C624" s="51">
        <v>63180.800000000003</v>
      </c>
      <c r="D624" s="51">
        <v>0</v>
      </c>
    </row>
    <row r="625" spans="1:4" ht="15" customHeight="1">
      <c r="A625" s="50">
        <v>44952</v>
      </c>
      <c r="B625" s="49" t="s">
        <v>53</v>
      </c>
      <c r="C625" s="51">
        <v>63328</v>
      </c>
      <c r="D625" s="51">
        <v>0</v>
      </c>
    </row>
    <row r="626" spans="1:4" ht="15" customHeight="1">
      <c r="A626" s="50">
        <v>44953</v>
      </c>
      <c r="B626" s="49" t="s">
        <v>30</v>
      </c>
      <c r="C626" s="51">
        <v>63191.7</v>
      </c>
      <c r="D626" s="51">
        <v>0</v>
      </c>
    </row>
    <row r="627" spans="1:4" ht="15" customHeight="1">
      <c r="A627" s="50">
        <v>44953</v>
      </c>
      <c r="B627" s="49" t="s">
        <v>31</v>
      </c>
      <c r="C627" s="51">
        <v>63227.8</v>
      </c>
      <c r="D627" s="51">
        <v>0</v>
      </c>
    </row>
    <row r="628" spans="1:4" ht="15" customHeight="1">
      <c r="A628" s="50">
        <v>44953</v>
      </c>
      <c r="B628" s="49" t="s">
        <v>32</v>
      </c>
      <c r="C628" s="51">
        <v>63293.9</v>
      </c>
      <c r="D628" s="51">
        <v>0</v>
      </c>
    </row>
    <row r="629" spans="1:4" ht="15" customHeight="1">
      <c r="A629" s="50">
        <v>44953</v>
      </c>
      <c r="B629" s="49" t="s">
        <v>33</v>
      </c>
      <c r="C629" s="51">
        <v>63264.800000000003</v>
      </c>
      <c r="D629" s="51">
        <v>0</v>
      </c>
    </row>
    <row r="630" spans="1:4" ht="15" customHeight="1">
      <c r="A630" s="50">
        <v>44953</v>
      </c>
      <c r="B630" s="49" t="s">
        <v>34</v>
      </c>
      <c r="C630" s="51">
        <v>63397.3</v>
      </c>
      <c r="D630" s="51">
        <v>0</v>
      </c>
    </row>
    <row r="631" spans="1:4" ht="15" customHeight="1">
      <c r="A631" s="50">
        <v>44953</v>
      </c>
      <c r="B631" s="49" t="s">
        <v>35</v>
      </c>
      <c r="C631" s="51">
        <v>62618.5</v>
      </c>
      <c r="D631" s="51">
        <v>0</v>
      </c>
    </row>
    <row r="632" spans="1:4" ht="15" customHeight="1">
      <c r="A632" s="50">
        <v>44953</v>
      </c>
      <c r="B632" s="49" t="s">
        <v>36</v>
      </c>
      <c r="C632" s="51">
        <v>62043.4</v>
      </c>
      <c r="D632" s="51">
        <v>0</v>
      </c>
    </row>
    <row r="633" spans="1:4" ht="15" customHeight="1">
      <c r="A633" s="50">
        <v>44953</v>
      </c>
      <c r="B633" s="49" t="s">
        <v>37</v>
      </c>
      <c r="C633" s="51">
        <v>62169.9</v>
      </c>
      <c r="D633" s="51">
        <v>0</v>
      </c>
    </row>
    <row r="634" spans="1:4" ht="15" customHeight="1">
      <c r="A634" s="50">
        <v>44953</v>
      </c>
      <c r="B634" s="49" t="s">
        <v>38</v>
      </c>
      <c r="C634" s="51">
        <v>61930.400000000001</v>
      </c>
      <c r="D634" s="51">
        <v>0</v>
      </c>
    </row>
    <row r="635" spans="1:4" ht="15" customHeight="1">
      <c r="A635" s="50">
        <v>44953</v>
      </c>
      <c r="B635" s="49" t="s">
        <v>39</v>
      </c>
      <c r="C635" s="51">
        <v>61880.7</v>
      </c>
      <c r="D635" s="51">
        <v>0</v>
      </c>
    </row>
    <row r="636" spans="1:4" ht="15" customHeight="1">
      <c r="A636" s="50">
        <v>44953</v>
      </c>
      <c r="B636" s="49" t="s">
        <v>40</v>
      </c>
      <c r="C636" s="51">
        <v>61872.4</v>
      </c>
      <c r="D636" s="51">
        <v>0</v>
      </c>
    </row>
    <row r="637" spans="1:4" ht="15" customHeight="1">
      <c r="A637" s="50">
        <v>44953</v>
      </c>
      <c r="B637" s="49" t="s">
        <v>41</v>
      </c>
      <c r="C637" s="51">
        <v>61812.6</v>
      </c>
      <c r="D637" s="51">
        <v>0</v>
      </c>
    </row>
    <row r="638" spans="1:4" ht="15" customHeight="1">
      <c r="A638" s="50">
        <v>44953</v>
      </c>
      <c r="B638" s="49" t="s">
        <v>42</v>
      </c>
      <c r="C638" s="51">
        <v>61873.7</v>
      </c>
      <c r="D638" s="51">
        <v>0</v>
      </c>
    </row>
    <row r="639" spans="1:4" ht="15" customHeight="1">
      <c r="A639" s="50">
        <v>44953</v>
      </c>
      <c r="B639" s="49" t="s">
        <v>43</v>
      </c>
      <c r="C639" s="51">
        <v>62582.400000000001</v>
      </c>
      <c r="D639" s="51">
        <v>0</v>
      </c>
    </row>
    <row r="640" spans="1:4" ht="15" customHeight="1">
      <c r="A640" s="50">
        <v>44953</v>
      </c>
      <c r="B640" s="49" t="s">
        <v>44</v>
      </c>
      <c r="C640" s="51">
        <v>63555.3</v>
      </c>
      <c r="D640" s="51">
        <v>0</v>
      </c>
    </row>
    <row r="641" spans="1:4" ht="15" customHeight="1">
      <c r="A641" s="50">
        <v>44953</v>
      </c>
      <c r="B641" s="49" t="s">
        <v>45</v>
      </c>
      <c r="C641" s="51">
        <v>63689.3</v>
      </c>
      <c r="D641" s="51">
        <v>0</v>
      </c>
    </row>
    <row r="642" spans="1:4" ht="15" customHeight="1">
      <c r="A642" s="50">
        <v>44953</v>
      </c>
      <c r="B642" s="49" t="s">
        <v>46</v>
      </c>
      <c r="C642" s="51">
        <v>62014</v>
      </c>
      <c r="D642" s="51">
        <v>0</v>
      </c>
    </row>
    <row r="643" spans="1:4" ht="15" customHeight="1">
      <c r="A643" s="50">
        <v>44953</v>
      </c>
      <c r="B643" s="49" t="s">
        <v>47</v>
      </c>
      <c r="C643" s="51">
        <v>62868.7</v>
      </c>
      <c r="D643" s="51">
        <v>0</v>
      </c>
    </row>
    <row r="644" spans="1:4" ht="15" customHeight="1">
      <c r="A644" s="50">
        <v>44953</v>
      </c>
      <c r="B644" s="49" t="s">
        <v>48</v>
      </c>
      <c r="C644" s="51">
        <v>62869.599999999999</v>
      </c>
      <c r="D644" s="51">
        <v>0</v>
      </c>
    </row>
    <row r="645" spans="1:4" ht="15" customHeight="1">
      <c r="A645" s="50">
        <v>44953</v>
      </c>
      <c r="B645" s="49" t="s">
        <v>49</v>
      </c>
      <c r="C645" s="51">
        <v>62868.2</v>
      </c>
      <c r="D645" s="51">
        <v>0</v>
      </c>
    </row>
    <row r="646" spans="1:4" ht="15" customHeight="1">
      <c r="A646" s="50">
        <v>44953</v>
      </c>
      <c r="B646" s="49" t="s">
        <v>50</v>
      </c>
      <c r="C646" s="51">
        <v>62313.599999999999</v>
      </c>
      <c r="D646" s="51">
        <v>0</v>
      </c>
    </row>
    <row r="647" spans="1:4" ht="15" customHeight="1">
      <c r="A647" s="50">
        <v>44953</v>
      </c>
      <c r="B647" s="49" t="s">
        <v>51</v>
      </c>
      <c r="C647" s="51">
        <v>62417.4</v>
      </c>
      <c r="D647" s="51">
        <v>0</v>
      </c>
    </row>
    <row r="648" spans="1:4" ht="15" customHeight="1">
      <c r="A648" s="50">
        <v>44953</v>
      </c>
      <c r="B648" s="49" t="s">
        <v>52</v>
      </c>
      <c r="C648" s="51">
        <v>64185.8</v>
      </c>
      <c r="D648" s="51">
        <v>0</v>
      </c>
    </row>
    <row r="649" spans="1:4" ht="15" customHeight="1">
      <c r="A649" s="50">
        <v>44953</v>
      </c>
      <c r="B649" s="49" t="s">
        <v>53</v>
      </c>
      <c r="C649" s="51">
        <v>63891.199999999997</v>
      </c>
      <c r="D649" s="51">
        <v>0</v>
      </c>
    </row>
    <row r="650" spans="1:4" ht="15" customHeight="1">
      <c r="A650" s="50">
        <v>44954</v>
      </c>
      <c r="B650" s="49" t="s">
        <v>30</v>
      </c>
      <c r="C650" s="51">
        <v>54588.6</v>
      </c>
      <c r="D650" s="51">
        <v>0</v>
      </c>
    </row>
    <row r="651" spans="1:4" ht="15" customHeight="1">
      <c r="A651" s="50">
        <v>44954</v>
      </c>
      <c r="B651" s="49" t="s">
        <v>31</v>
      </c>
      <c r="C651" s="51">
        <v>53783.8</v>
      </c>
      <c r="D651" s="51">
        <v>0</v>
      </c>
    </row>
    <row r="652" spans="1:4" ht="15" customHeight="1">
      <c r="A652" s="50">
        <v>44954</v>
      </c>
      <c r="B652" s="49" t="s">
        <v>32</v>
      </c>
      <c r="C652" s="51">
        <v>54445.7</v>
      </c>
      <c r="D652" s="51">
        <v>0</v>
      </c>
    </row>
    <row r="653" spans="1:4" ht="15" customHeight="1">
      <c r="A653" s="50">
        <v>44954</v>
      </c>
      <c r="B653" s="49" t="s">
        <v>33</v>
      </c>
      <c r="C653" s="51">
        <v>54459.9</v>
      </c>
      <c r="D653" s="51">
        <v>0</v>
      </c>
    </row>
    <row r="654" spans="1:4" ht="15" customHeight="1">
      <c r="A654" s="50">
        <v>44954</v>
      </c>
      <c r="B654" s="49" t="s">
        <v>34</v>
      </c>
      <c r="C654" s="51">
        <v>54111.3</v>
      </c>
      <c r="D654" s="51">
        <v>0</v>
      </c>
    </row>
    <row r="655" spans="1:4" ht="15" customHeight="1">
      <c r="A655" s="50">
        <v>44954</v>
      </c>
      <c r="B655" s="49" t="s">
        <v>35</v>
      </c>
      <c r="C655" s="51">
        <v>54198.6</v>
      </c>
      <c r="D655" s="51">
        <v>0</v>
      </c>
    </row>
    <row r="656" spans="1:4" ht="15" customHeight="1">
      <c r="A656" s="50">
        <v>44954</v>
      </c>
      <c r="B656" s="49" t="s">
        <v>36</v>
      </c>
      <c r="C656" s="51">
        <v>54039.1</v>
      </c>
      <c r="D656" s="51">
        <v>0</v>
      </c>
    </row>
    <row r="657" spans="1:4" ht="15" customHeight="1">
      <c r="A657" s="50">
        <v>44954</v>
      </c>
      <c r="B657" s="49" t="s">
        <v>37</v>
      </c>
      <c r="C657" s="51">
        <v>54268.1</v>
      </c>
      <c r="D657" s="51">
        <v>0</v>
      </c>
    </row>
    <row r="658" spans="1:4" ht="15" customHeight="1">
      <c r="A658" s="50">
        <v>44954</v>
      </c>
      <c r="B658" s="49" t="s">
        <v>38</v>
      </c>
      <c r="C658" s="51">
        <v>53749.1</v>
      </c>
      <c r="D658" s="51">
        <v>0</v>
      </c>
    </row>
    <row r="659" spans="1:4" ht="15" customHeight="1">
      <c r="A659" s="50">
        <v>44954</v>
      </c>
      <c r="B659" s="49" t="s">
        <v>39</v>
      </c>
      <c r="C659" s="51">
        <v>53787.199999999997</v>
      </c>
      <c r="D659" s="51">
        <v>0</v>
      </c>
    </row>
    <row r="660" spans="1:4" ht="15" customHeight="1">
      <c r="A660" s="50">
        <v>44954</v>
      </c>
      <c r="B660" s="49" t="s">
        <v>40</v>
      </c>
      <c r="C660" s="51">
        <v>53973.4</v>
      </c>
      <c r="D660" s="51">
        <v>0</v>
      </c>
    </row>
    <row r="661" spans="1:4" ht="15" customHeight="1">
      <c r="A661" s="50">
        <v>44954</v>
      </c>
      <c r="B661" s="49" t="s">
        <v>41</v>
      </c>
      <c r="C661" s="51">
        <v>54213.1</v>
      </c>
      <c r="D661" s="51">
        <v>0</v>
      </c>
    </row>
    <row r="662" spans="1:4" ht="15" customHeight="1">
      <c r="A662" s="50">
        <v>44954</v>
      </c>
      <c r="B662" s="49" t="s">
        <v>42</v>
      </c>
      <c r="C662" s="51">
        <v>54205.7</v>
      </c>
      <c r="D662" s="51">
        <v>0</v>
      </c>
    </row>
    <row r="663" spans="1:4" ht="15" customHeight="1">
      <c r="A663" s="50">
        <v>44954</v>
      </c>
      <c r="B663" s="49" t="s">
        <v>43</v>
      </c>
      <c r="C663" s="51">
        <v>54096.800000000003</v>
      </c>
      <c r="D663" s="51">
        <v>0</v>
      </c>
    </row>
    <row r="664" spans="1:4" ht="15" customHeight="1">
      <c r="A664" s="50">
        <v>44954</v>
      </c>
      <c r="B664" s="49" t="s">
        <v>44</v>
      </c>
      <c r="C664" s="51">
        <v>54257.8</v>
      </c>
      <c r="D664" s="51">
        <v>0</v>
      </c>
    </row>
    <row r="665" spans="1:4" ht="15" customHeight="1">
      <c r="A665" s="50">
        <v>44954</v>
      </c>
      <c r="B665" s="49" t="s">
        <v>45</v>
      </c>
      <c r="C665" s="51">
        <v>54205.5</v>
      </c>
      <c r="D665" s="51">
        <v>0</v>
      </c>
    </row>
    <row r="666" spans="1:4" ht="15" customHeight="1">
      <c r="A666" s="50">
        <v>44954</v>
      </c>
      <c r="B666" s="49" t="s">
        <v>46</v>
      </c>
      <c r="C666" s="51">
        <v>53636.1</v>
      </c>
      <c r="D666" s="51">
        <v>0</v>
      </c>
    </row>
    <row r="667" spans="1:4" ht="15" customHeight="1">
      <c r="A667" s="50">
        <v>44954</v>
      </c>
      <c r="B667" s="49" t="s">
        <v>47</v>
      </c>
      <c r="C667" s="51">
        <v>54371.4</v>
      </c>
      <c r="D667" s="51">
        <v>0</v>
      </c>
    </row>
    <row r="668" spans="1:4" ht="15" customHeight="1">
      <c r="A668" s="50">
        <v>44954</v>
      </c>
      <c r="B668" s="49" t="s">
        <v>48</v>
      </c>
      <c r="C668" s="51">
        <v>54169.3</v>
      </c>
      <c r="D668" s="51">
        <v>0</v>
      </c>
    </row>
    <row r="669" spans="1:4" ht="15" customHeight="1">
      <c r="A669" s="50">
        <v>44954</v>
      </c>
      <c r="B669" s="49" t="s">
        <v>49</v>
      </c>
      <c r="C669" s="51">
        <v>54124.4</v>
      </c>
      <c r="D669" s="51">
        <v>0</v>
      </c>
    </row>
    <row r="670" spans="1:4" ht="15" customHeight="1">
      <c r="A670" s="50">
        <v>44954</v>
      </c>
      <c r="B670" s="49" t="s">
        <v>50</v>
      </c>
      <c r="C670" s="51">
        <v>54073</v>
      </c>
      <c r="D670" s="51">
        <v>0</v>
      </c>
    </row>
    <row r="671" spans="1:4" ht="15" customHeight="1">
      <c r="A671" s="50">
        <v>44954</v>
      </c>
      <c r="B671" s="49" t="s">
        <v>51</v>
      </c>
      <c r="C671" s="51">
        <v>53601.4</v>
      </c>
      <c r="D671" s="51">
        <v>0</v>
      </c>
    </row>
    <row r="672" spans="1:4" ht="15" customHeight="1">
      <c r="A672" s="50">
        <v>44954</v>
      </c>
      <c r="B672" s="49" t="s">
        <v>52</v>
      </c>
      <c r="C672" s="51">
        <v>54012.6</v>
      </c>
      <c r="D672" s="51">
        <v>0</v>
      </c>
    </row>
    <row r="673" spans="1:4" ht="15" customHeight="1">
      <c r="A673" s="50">
        <v>44954</v>
      </c>
      <c r="B673" s="49" t="s">
        <v>53</v>
      </c>
      <c r="C673" s="51">
        <v>54655.7</v>
      </c>
      <c r="D673" s="51">
        <v>0</v>
      </c>
    </row>
    <row r="674" spans="1:4" ht="15" customHeight="1">
      <c r="A674" s="50">
        <v>44955</v>
      </c>
      <c r="B674" s="49" t="s">
        <v>30</v>
      </c>
      <c r="C674" s="51">
        <v>55096.5</v>
      </c>
      <c r="D674" s="51">
        <v>0</v>
      </c>
    </row>
    <row r="675" spans="1:4" ht="15" customHeight="1">
      <c r="A675" s="50">
        <v>44955</v>
      </c>
      <c r="B675" s="49" t="s">
        <v>31</v>
      </c>
      <c r="C675" s="51">
        <v>52874.9</v>
      </c>
      <c r="D675" s="51">
        <v>0</v>
      </c>
    </row>
    <row r="676" spans="1:4" ht="15" customHeight="1">
      <c r="A676" s="50">
        <v>44955</v>
      </c>
      <c r="B676" s="49" t="s">
        <v>32</v>
      </c>
      <c r="C676" s="51">
        <v>52226.1</v>
      </c>
      <c r="D676" s="51">
        <v>0</v>
      </c>
    </row>
    <row r="677" spans="1:4" ht="15" customHeight="1">
      <c r="A677" s="50">
        <v>44955</v>
      </c>
      <c r="B677" s="49" t="s">
        <v>33</v>
      </c>
      <c r="C677" s="51">
        <v>53369.7</v>
      </c>
      <c r="D677" s="51">
        <v>0</v>
      </c>
    </row>
    <row r="678" spans="1:4" ht="15" customHeight="1">
      <c r="A678" s="50">
        <v>44955</v>
      </c>
      <c r="B678" s="49" t="s">
        <v>34</v>
      </c>
      <c r="C678" s="51">
        <v>53076.7</v>
      </c>
      <c r="D678" s="51">
        <v>0</v>
      </c>
    </row>
    <row r="679" spans="1:4" ht="15" customHeight="1">
      <c r="A679" s="50">
        <v>44955</v>
      </c>
      <c r="B679" s="49" t="s">
        <v>35</v>
      </c>
      <c r="C679" s="51">
        <v>16590.400000000001</v>
      </c>
      <c r="D679" s="51">
        <v>0</v>
      </c>
    </row>
    <row r="680" spans="1:4" ht="15" customHeight="1">
      <c r="A680" s="50">
        <v>44955</v>
      </c>
      <c r="B680" s="49" t="s">
        <v>36</v>
      </c>
      <c r="C680" s="51">
        <v>1178.5</v>
      </c>
      <c r="D680" s="51">
        <v>512.70000000000005</v>
      </c>
    </row>
    <row r="681" spans="1:4" ht="15" customHeight="1">
      <c r="A681" s="50">
        <v>44955</v>
      </c>
      <c r="B681" s="49" t="s">
        <v>37</v>
      </c>
      <c r="C681" s="51">
        <v>0</v>
      </c>
      <c r="D681" s="51">
        <v>557.29999999999995</v>
      </c>
    </row>
    <row r="682" spans="1:4" ht="15" customHeight="1">
      <c r="A682" s="50">
        <v>44955</v>
      </c>
      <c r="B682" s="49" t="s">
        <v>38</v>
      </c>
      <c r="C682" s="51">
        <v>0</v>
      </c>
      <c r="D682" s="51">
        <v>606.79999999999995</v>
      </c>
    </row>
    <row r="683" spans="1:4" ht="15" customHeight="1">
      <c r="A683" s="50">
        <v>44955</v>
      </c>
      <c r="B683" s="49" t="s">
        <v>39</v>
      </c>
      <c r="C683" s="51">
        <v>3871.8</v>
      </c>
      <c r="D683" s="51">
        <v>364.6</v>
      </c>
    </row>
    <row r="684" spans="1:4" ht="15" customHeight="1">
      <c r="A684" s="50">
        <v>44955</v>
      </c>
      <c r="B684" s="49" t="s">
        <v>40</v>
      </c>
      <c r="C684" s="51">
        <v>17397</v>
      </c>
      <c r="D684" s="51">
        <v>0</v>
      </c>
    </row>
    <row r="685" spans="1:4" ht="15" customHeight="1">
      <c r="A685" s="50">
        <v>44955</v>
      </c>
      <c r="B685" s="49" t="s">
        <v>41</v>
      </c>
      <c r="C685" s="51">
        <v>42936</v>
      </c>
      <c r="D685" s="51">
        <v>0</v>
      </c>
    </row>
    <row r="686" spans="1:4" ht="15" customHeight="1">
      <c r="A686" s="50">
        <v>44955</v>
      </c>
      <c r="B686" s="49" t="s">
        <v>42</v>
      </c>
      <c r="C686" s="51">
        <v>53152.2</v>
      </c>
      <c r="D686" s="51">
        <v>0</v>
      </c>
    </row>
    <row r="687" spans="1:4" ht="15" customHeight="1">
      <c r="A687" s="50">
        <v>44955</v>
      </c>
      <c r="B687" s="49" t="s">
        <v>43</v>
      </c>
      <c r="C687" s="51">
        <v>57618.400000000001</v>
      </c>
      <c r="D687" s="51">
        <v>0</v>
      </c>
    </row>
    <row r="688" spans="1:4" ht="15" customHeight="1">
      <c r="A688" s="50">
        <v>44955</v>
      </c>
      <c r="B688" s="49" t="s">
        <v>44</v>
      </c>
      <c r="C688" s="51">
        <v>67094.399999999994</v>
      </c>
      <c r="D688" s="51">
        <v>0</v>
      </c>
    </row>
    <row r="689" spans="1:4" ht="15" customHeight="1">
      <c r="A689" s="50">
        <v>44955</v>
      </c>
      <c r="B689" s="49" t="s">
        <v>45</v>
      </c>
      <c r="C689" s="51">
        <v>54259.4</v>
      </c>
      <c r="D689" s="51">
        <v>0</v>
      </c>
    </row>
    <row r="690" spans="1:4" ht="15" customHeight="1">
      <c r="A690" s="50">
        <v>44955</v>
      </c>
      <c r="B690" s="49" t="s">
        <v>46</v>
      </c>
      <c r="C690" s="51">
        <v>53732.1</v>
      </c>
      <c r="D690" s="51">
        <v>0</v>
      </c>
    </row>
    <row r="691" spans="1:4" ht="15" customHeight="1">
      <c r="A691" s="50">
        <v>44955</v>
      </c>
      <c r="B691" s="49" t="s">
        <v>47</v>
      </c>
      <c r="C691" s="51">
        <v>53061.2</v>
      </c>
      <c r="D691" s="51">
        <v>0</v>
      </c>
    </row>
    <row r="692" spans="1:4" ht="15" customHeight="1">
      <c r="A692" s="50">
        <v>44955</v>
      </c>
      <c r="B692" s="49" t="s">
        <v>48</v>
      </c>
      <c r="C692" s="51">
        <v>54251.7</v>
      </c>
      <c r="D692" s="51">
        <v>0</v>
      </c>
    </row>
    <row r="693" spans="1:4" ht="15" customHeight="1">
      <c r="A693" s="50">
        <v>44955</v>
      </c>
      <c r="B693" s="49" t="s">
        <v>49</v>
      </c>
      <c r="C693" s="51">
        <v>54406.7</v>
      </c>
      <c r="D693" s="51">
        <v>0</v>
      </c>
    </row>
    <row r="694" spans="1:4" ht="15" customHeight="1">
      <c r="A694" s="50">
        <v>44955</v>
      </c>
      <c r="B694" s="49" t="s">
        <v>50</v>
      </c>
      <c r="C694" s="51">
        <v>54438.9</v>
      </c>
      <c r="D694" s="51">
        <v>0</v>
      </c>
    </row>
    <row r="695" spans="1:4" ht="15" customHeight="1">
      <c r="A695" s="50">
        <v>44955</v>
      </c>
      <c r="B695" s="49" t="s">
        <v>51</v>
      </c>
      <c r="C695" s="51">
        <v>54344.2</v>
      </c>
      <c r="D695" s="51">
        <v>0</v>
      </c>
    </row>
    <row r="696" spans="1:4" ht="15" customHeight="1">
      <c r="A696" s="50">
        <v>44955</v>
      </c>
      <c r="B696" s="49" t="s">
        <v>52</v>
      </c>
      <c r="C696" s="51">
        <v>54426.3</v>
      </c>
      <c r="D696" s="51">
        <v>0</v>
      </c>
    </row>
    <row r="697" spans="1:4" ht="15" customHeight="1">
      <c r="A697" s="50">
        <v>44955</v>
      </c>
      <c r="B697" s="49" t="s">
        <v>53</v>
      </c>
      <c r="C697" s="51">
        <v>54229.599999999999</v>
      </c>
      <c r="D697" s="51">
        <v>0</v>
      </c>
    </row>
    <row r="698" spans="1:4" ht="15" customHeight="1">
      <c r="A698" s="50">
        <v>44956</v>
      </c>
      <c r="B698" s="49" t="s">
        <v>30</v>
      </c>
      <c r="C698" s="51">
        <v>62594.3</v>
      </c>
      <c r="D698" s="51">
        <v>0</v>
      </c>
    </row>
    <row r="699" spans="1:4" ht="15" customHeight="1">
      <c r="A699" s="50">
        <v>44956</v>
      </c>
      <c r="B699" s="49" t="s">
        <v>31</v>
      </c>
      <c r="C699" s="51">
        <v>63128.9</v>
      </c>
      <c r="D699" s="51">
        <v>0</v>
      </c>
    </row>
    <row r="700" spans="1:4" ht="15" customHeight="1">
      <c r="A700" s="50">
        <v>44956</v>
      </c>
      <c r="B700" s="49" t="s">
        <v>32</v>
      </c>
      <c r="C700" s="51">
        <v>63119.199999999997</v>
      </c>
      <c r="D700" s="51">
        <v>0</v>
      </c>
    </row>
    <row r="701" spans="1:4" ht="15" customHeight="1">
      <c r="A701" s="50">
        <v>44956</v>
      </c>
      <c r="B701" s="49" t="s">
        <v>33</v>
      </c>
      <c r="C701" s="51">
        <v>62282.3</v>
      </c>
      <c r="D701" s="51">
        <v>0</v>
      </c>
    </row>
    <row r="702" spans="1:4" ht="15" customHeight="1">
      <c r="A702" s="50">
        <v>44956</v>
      </c>
      <c r="B702" s="49" t="s">
        <v>34</v>
      </c>
      <c r="C702" s="51">
        <v>25831</v>
      </c>
      <c r="D702" s="51">
        <v>0</v>
      </c>
    </row>
    <row r="703" spans="1:4" ht="15" customHeight="1">
      <c r="A703" s="50">
        <v>44956</v>
      </c>
      <c r="B703" s="49" t="s">
        <v>35</v>
      </c>
      <c r="C703" s="51">
        <v>2144.1999999999998</v>
      </c>
      <c r="D703" s="51">
        <v>606.1</v>
      </c>
    </row>
    <row r="704" spans="1:4" ht="15" customHeight="1">
      <c r="A704" s="50">
        <v>44956</v>
      </c>
      <c r="B704" s="49" t="s">
        <v>36</v>
      </c>
      <c r="C704" s="51">
        <v>5994.1</v>
      </c>
      <c r="D704" s="51">
        <v>351.9</v>
      </c>
    </row>
    <row r="705" spans="1:4" ht="15" customHeight="1">
      <c r="A705" s="50">
        <v>44956</v>
      </c>
      <c r="B705" s="49" t="s">
        <v>37</v>
      </c>
      <c r="C705" s="51">
        <v>17040.5</v>
      </c>
      <c r="D705" s="51">
        <v>0</v>
      </c>
    </row>
    <row r="706" spans="1:4" ht="15" customHeight="1">
      <c r="A706" s="50">
        <v>44956</v>
      </c>
      <c r="B706" s="49" t="s">
        <v>38</v>
      </c>
      <c r="C706" s="51">
        <v>44306.8</v>
      </c>
      <c r="D706" s="51">
        <v>0</v>
      </c>
    </row>
    <row r="707" spans="1:4" ht="15" customHeight="1">
      <c r="A707" s="50">
        <v>44956</v>
      </c>
      <c r="B707" s="49" t="s">
        <v>39</v>
      </c>
      <c r="C707" s="51">
        <v>61715.6</v>
      </c>
      <c r="D707" s="51">
        <v>0</v>
      </c>
    </row>
    <row r="708" spans="1:4" ht="15" customHeight="1">
      <c r="A708" s="50">
        <v>44956</v>
      </c>
      <c r="B708" s="49" t="s">
        <v>40</v>
      </c>
      <c r="C708" s="51">
        <v>64377.7</v>
      </c>
      <c r="D708" s="51">
        <v>0</v>
      </c>
    </row>
    <row r="709" spans="1:4" ht="15" customHeight="1">
      <c r="A709" s="50">
        <v>44956</v>
      </c>
      <c r="B709" s="49" t="s">
        <v>41</v>
      </c>
      <c r="C709" s="51">
        <v>63946.6</v>
      </c>
      <c r="D709" s="51">
        <v>0</v>
      </c>
    </row>
    <row r="710" spans="1:4" ht="15" customHeight="1">
      <c r="A710" s="50">
        <v>44956</v>
      </c>
      <c r="B710" s="49" t="s">
        <v>42</v>
      </c>
      <c r="C710" s="51">
        <v>63931.199999999997</v>
      </c>
      <c r="D710" s="51">
        <v>0</v>
      </c>
    </row>
    <row r="711" spans="1:4" ht="15" customHeight="1">
      <c r="A711" s="50">
        <v>44956</v>
      </c>
      <c r="B711" s="49" t="s">
        <v>43</v>
      </c>
      <c r="C711" s="51">
        <v>63729.4</v>
      </c>
      <c r="D711" s="51">
        <v>0</v>
      </c>
    </row>
    <row r="712" spans="1:4" ht="15" customHeight="1">
      <c r="A712" s="50">
        <v>44956</v>
      </c>
      <c r="B712" s="49" t="s">
        <v>44</v>
      </c>
      <c r="C712" s="51">
        <v>62417.2</v>
      </c>
      <c r="D712" s="51">
        <v>0</v>
      </c>
    </row>
    <row r="713" spans="1:4" ht="15" customHeight="1">
      <c r="A713" s="50">
        <v>44956</v>
      </c>
      <c r="B713" s="49" t="s">
        <v>45</v>
      </c>
      <c r="C713" s="51">
        <v>63149.4</v>
      </c>
      <c r="D713" s="51">
        <v>0</v>
      </c>
    </row>
    <row r="714" spans="1:4" ht="15" customHeight="1">
      <c r="A714" s="50">
        <v>44956</v>
      </c>
      <c r="B714" s="49" t="s">
        <v>46</v>
      </c>
      <c r="C714" s="51">
        <v>63129.3</v>
      </c>
      <c r="D714" s="51">
        <v>0</v>
      </c>
    </row>
    <row r="715" spans="1:4" ht="15" customHeight="1">
      <c r="A715" s="50">
        <v>44956</v>
      </c>
      <c r="B715" s="49" t="s">
        <v>47</v>
      </c>
      <c r="C715" s="51">
        <v>63032.6</v>
      </c>
      <c r="D715" s="51">
        <v>0</v>
      </c>
    </row>
    <row r="716" spans="1:4" ht="15" customHeight="1">
      <c r="A716" s="50">
        <v>44956</v>
      </c>
      <c r="B716" s="49" t="s">
        <v>48</v>
      </c>
      <c r="C716" s="51">
        <v>63133.3</v>
      </c>
      <c r="D716" s="51">
        <v>0</v>
      </c>
    </row>
    <row r="717" spans="1:4" ht="15" customHeight="1">
      <c r="A717" s="50">
        <v>44956</v>
      </c>
      <c r="B717" s="49" t="s">
        <v>49</v>
      </c>
      <c r="C717" s="51">
        <v>63169.1</v>
      </c>
      <c r="D717" s="51">
        <v>0</v>
      </c>
    </row>
    <row r="718" spans="1:4" ht="15" customHeight="1">
      <c r="A718" s="50">
        <v>44956</v>
      </c>
      <c r="B718" s="49" t="s">
        <v>50</v>
      </c>
      <c r="C718" s="51">
        <v>63070.9</v>
      </c>
      <c r="D718" s="51">
        <v>0</v>
      </c>
    </row>
    <row r="719" spans="1:4" ht="15" customHeight="1">
      <c r="A719" s="50">
        <v>44956</v>
      </c>
      <c r="B719" s="49" t="s">
        <v>51</v>
      </c>
      <c r="C719" s="51">
        <v>62985.7</v>
      </c>
      <c r="D719" s="51">
        <v>0</v>
      </c>
    </row>
    <row r="720" spans="1:4" ht="15" customHeight="1">
      <c r="A720" s="50">
        <v>44956</v>
      </c>
      <c r="B720" s="49" t="s">
        <v>52</v>
      </c>
      <c r="C720" s="51">
        <v>63146</v>
      </c>
      <c r="D720" s="51">
        <v>0</v>
      </c>
    </row>
    <row r="721" spans="1:4" ht="15" customHeight="1">
      <c r="A721" s="50">
        <v>44956</v>
      </c>
      <c r="B721" s="49" t="s">
        <v>53</v>
      </c>
      <c r="C721" s="51">
        <v>63359.5</v>
      </c>
      <c r="D721" s="51">
        <v>0</v>
      </c>
    </row>
    <row r="722" spans="1:4" ht="15" customHeight="1">
      <c r="A722" s="50">
        <v>44957</v>
      </c>
      <c r="B722" s="49" t="s">
        <v>30</v>
      </c>
      <c r="C722" s="51">
        <v>63038</v>
      </c>
      <c r="D722" s="51">
        <v>0</v>
      </c>
    </row>
    <row r="723" spans="1:4" ht="15" customHeight="1">
      <c r="A723" s="50">
        <v>44957</v>
      </c>
      <c r="B723" s="49" t="s">
        <v>31</v>
      </c>
      <c r="C723" s="51">
        <v>59465.5</v>
      </c>
      <c r="D723" s="51">
        <v>0</v>
      </c>
    </row>
    <row r="724" spans="1:4" ht="15" customHeight="1">
      <c r="A724" s="50">
        <v>44957</v>
      </c>
      <c r="B724" s="49" t="s">
        <v>32</v>
      </c>
      <c r="C724" s="51">
        <v>61168.9</v>
      </c>
      <c r="D724" s="51">
        <v>0</v>
      </c>
    </row>
    <row r="725" spans="1:4" ht="15" customHeight="1">
      <c r="A725" s="50">
        <v>44957</v>
      </c>
      <c r="B725" s="49" t="s">
        <v>33</v>
      </c>
      <c r="C725" s="51">
        <v>61224.1</v>
      </c>
      <c r="D725" s="51">
        <v>0</v>
      </c>
    </row>
    <row r="726" spans="1:4" ht="15" customHeight="1">
      <c r="A726" s="50">
        <v>44957</v>
      </c>
      <c r="B726" s="49" t="s">
        <v>34</v>
      </c>
      <c r="C726" s="51">
        <v>60379.5</v>
      </c>
      <c r="D726" s="51">
        <v>0</v>
      </c>
    </row>
    <row r="727" spans="1:4" ht="15" customHeight="1">
      <c r="A727" s="50">
        <v>44957</v>
      </c>
      <c r="B727" s="49" t="s">
        <v>35</v>
      </c>
      <c r="C727" s="51">
        <v>61281</v>
      </c>
      <c r="D727" s="51">
        <v>0</v>
      </c>
    </row>
    <row r="728" spans="1:4" ht="15" customHeight="1">
      <c r="A728" s="50">
        <v>44957</v>
      </c>
      <c r="B728" s="49" t="s">
        <v>36</v>
      </c>
      <c r="C728" s="51">
        <v>60440.1</v>
      </c>
      <c r="D728" s="51">
        <v>0</v>
      </c>
    </row>
    <row r="729" spans="1:4" ht="15" customHeight="1">
      <c r="A729" s="50">
        <v>44957</v>
      </c>
      <c r="B729" s="49" t="s">
        <v>37</v>
      </c>
      <c r="C729" s="51">
        <v>60896.6</v>
      </c>
      <c r="D729" s="51">
        <v>0</v>
      </c>
    </row>
    <row r="730" spans="1:4" ht="15" customHeight="1">
      <c r="A730" s="50">
        <v>44957</v>
      </c>
      <c r="B730" s="49" t="s">
        <v>38</v>
      </c>
      <c r="C730" s="51">
        <v>60769.2</v>
      </c>
      <c r="D730" s="51">
        <v>0</v>
      </c>
    </row>
    <row r="731" spans="1:4" ht="15" customHeight="1">
      <c r="A731" s="50">
        <v>44957</v>
      </c>
      <c r="B731" s="49" t="s">
        <v>39</v>
      </c>
      <c r="C731" s="51">
        <v>61809.7</v>
      </c>
      <c r="D731" s="51">
        <v>0</v>
      </c>
    </row>
    <row r="732" spans="1:4" ht="15" customHeight="1">
      <c r="A732" s="50">
        <v>44957</v>
      </c>
      <c r="B732" s="49" t="s">
        <v>40</v>
      </c>
      <c r="C732" s="51">
        <v>62880.4</v>
      </c>
      <c r="D732" s="51">
        <v>0</v>
      </c>
    </row>
    <row r="733" spans="1:4" ht="15" customHeight="1">
      <c r="A733" s="50">
        <v>44957</v>
      </c>
      <c r="B733" s="49" t="s">
        <v>41</v>
      </c>
      <c r="C733" s="51">
        <v>63871.8</v>
      </c>
      <c r="D733" s="51">
        <v>0</v>
      </c>
    </row>
    <row r="734" spans="1:4" ht="15" customHeight="1">
      <c r="A734" s="50">
        <v>44957</v>
      </c>
      <c r="B734" s="49" t="s">
        <v>42</v>
      </c>
      <c r="C734" s="51">
        <v>63954.2</v>
      </c>
      <c r="D734" s="51">
        <v>0</v>
      </c>
    </row>
    <row r="735" spans="1:4" ht="15" customHeight="1">
      <c r="A735" s="50">
        <v>44957</v>
      </c>
      <c r="B735" s="49" t="s">
        <v>43</v>
      </c>
      <c r="C735" s="51">
        <v>63781.5</v>
      </c>
      <c r="D735" s="51">
        <v>0</v>
      </c>
    </row>
    <row r="736" spans="1:4" ht="15" customHeight="1">
      <c r="A736" s="50">
        <v>44957</v>
      </c>
      <c r="B736" s="49" t="s">
        <v>44</v>
      </c>
      <c r="C736" s="51">
        <v>63127.6</v>
      </c>
      <c r="D736" s="51">
        <v>0</v>
      </c>
    </row>
    <row r="737" spans="1:4" ht="15" customHeight="1">
      <c r="A737" s="50">
        <v>44957</v>
      </c>
      <c r="B737" s="49" t="s">
        <v>45</v>
      </c>
      <c r="C737" s="51">
        <v>62485.3</v>
      </c>
      <c r="D737" s="51">
        <v>0</v>
      </c>
    </row>
    <row r="738" spans="1:4" ht="15" customHeight="1">
      <c r="A738" s="50">
        <v>44957</v>
      </c>
      <c r="B738" s="49" t="s">
        <v>46</v>
      </c>
      <c r="C738" s="51">
        <v>62501.9</v>
      </c>
      <c r="D738" s="51">
        <v>0</v>
      </c>
    </row>
    <row r="739" spans="1:4" ht="15" customHeight="1">
      <c r="A739" s="50">
        <v>44957</v>
      </c>
      <c r="B739" s="49" t="s">
        <v>47</v>
      </c>
      <c r="C739" s="51">
        <v>62469.3</v>
      </c>
      <c r="D739" s="51">
        <v>0</v>
      </c>
    </row>
    <row r="740" spans="1:4" ht="15" customHeight="1">
      <c r="A740" s="50">
        <v>44957</v>
      </c>
      <c r="B740" s="49" t="s">
        <v>48</v>
      </c>
      <c r="C740" s="51">
        <v>62243.199999999997</v>
      </c>
      <c r="D740" s="51">
        <v>0</v>
      </c>
    </row>
    <row r="741" spans="1:4" ht="15" customHeight="1">
      <c r="A741" s="50">
        <v>44957</v>
      </c>
      <c r="B741" s="49" t="s">
        <v>49</v>
      </c>
      <c r="C741" s="51">
        <v>62944.6</v>
      </c>
      <c r="D741" s="51">
        <v>0</v>
      </c>
    </row>
    <row r="742" spans="1:4" ht="15" customHeight="1">
      <c r="A742" s="50">
        <v>44957</v>
      </c>
      <c r="B742" s="49" t="s">
        <v>50</v>
      </c>
      <c r="C742" s="51">
        <v>64135.3</v>
      </c>
      <c r="D742" s="51">
        <v>0</v>
      </c>
    </row>
    <row r="743" spans="1:4" ht="15" customHeight="1">
      <c r="A743" s="50">
        <v>44957</v>
      </c>
      <c r="B743" s="49" t="s">
        <v>51</v>
      </c>
      <c r="C743" s="51">
        <v>64147.1</v>
      </c>
      <c r="D743" s="51">
        <v>0</v>
      </c>
    </row>
    <row r="744" spans="1:4" ht="15" customHeight="1">
      <c r="A744" s="50">
        <v>44957</v>
      </c>
      <c r="B744" s="49" t="s">
        <v>52</v>
      </c>
      <c r="C744" s="51">
        <v>63248.2</v>
      </c>
      <c r="D744" s="51">
        <v>0</v>
      </c>
    </row>
    <row r="745" spans="1:4" ht="15" customHeight="1">
      <c r="A745" s="50">
        <v>44957</v>
      </c>
      <c r="B745" s="49" t="s">
        <v>53</v>
      </c>
      <c r="C745" s="51">
        <v>62007.3</v>
      </c>
      <c r="D745" s="51">
        <v>0</v>
      </c>
    </row>
    <row r="746" spans="1:4" ht="15" customHeight="1">
      <c r="A746" s="50">
        <v>44958</v>
      </c>
      <c r="B746" s="49" t="s">
        <v>30</v>
      </c>
      <c r="C746" s="51">
        <v>64255.199999999997</v>
      </c>
      <c r="D746" s="51">
        <v>0</v>
      </c>
    </row>
    <row r="747" spans="1:4" ht="15" customHeight="1">
      <c r="A747" s="50">
        <v>44958</v>
      </c>
      <c r="B747" s="49" t="s">
        <v>31</v>
      </c>
      <c r="C747" s="51">
        <v>64054.1</v>
      </c>
      <c r="D747" s="51">
        <v>0</v>
      </c>
    </row>
    <row r="748" spans="1:4" ht="15" customHeight="1">
      <c r="A748" s="50">
        <v>44958</v>
      </c>
      <c r="B748" s="49" t="s">
        <v>32</v>
      </c>
      <c r="C748" s="51">
        <v>64053.1</v>
      </c>
      <c r="D748" s="51">
        <v>0</v>
      </c>
    </row>
    <row r="749" spans="1:4" ht="15" customHeight="1">
      <c r="A749" s="50">
        <v>44958</v>
      </c>
      <c r="B749" s="49" t="s">
        <v>33</v>
      </c>
      <c r="C749" s="51">
        <v>64060.800000000003</v>
      </c>
      <c r="D749" s="51">
        <v>0</v>
      </c>
    </row>
    <row r="750" spans="1:4" ht="15" customHeight="1">
      <c r="A750" s="50">
        <v>44958</v>
      </c>
      <c r="B750" s="49" t="s">
        <v>34</v>
      </c>
      <c r="C750" s="51">
        <v>63797.8</v>
      </c>
      <c r="D750" s="51">
        <v>0</v>
      </c>
    </row>
    <row r="751" spans="1:4" ht="15" customHeight="1">
      <c r="A751" s="50">
        <v>44958</v>
      </c>
      <c r="B751" s="49" t="s">
        <v>35</v>
      </c>
      <c r="C751" s="51">
        <v>63355.9</v>
      </c>
      <c r="D751" s="51">
        <v>0</v>
      </c>
    </row>
    <row r="752" spans="1:4" ht="15" customHeight="1">
      <c r="A752" s="50">
        <v>44958</v>
      </c>
      <c r="B752" s="49" t="s">
        <v>36</v>
      </c>
      <c r="C752" s="51">
        <v>63349.1</v>
      </c>
      <c r="D752" s="51">
        <v>0</v>
      </c>
    </row>
    <row r="753" spans="1:4" ht="15" customHeight="1">
      <c r="A753" s="50">
        <v>44958</v>
      </c>
      <c r="B753" s="49" t="s">
        <v>37</v>
      </c>
      <c r="C753" s="51">
        <v>63043.3</v>
      </c>
      <c r="D753" s="51">
        <v>0</v>
      </c>
    </row>
    <row r="754" spans="1:4" ht="15" customHeight="1">
      <c r="A754" s="50">
        <v>44958</v>
      </c>
      <c r="B754" s="49" t="s">
        <v>38</v>
      </c>
      <c r="C754" s="51">
        <v>60885.9</v>
      </c>
      <c r="D754" s="51">
        <v>0</v>
      </c>
    </row>
    <row r="755" spans="1:4" ht="15" customHeight="1">
      <c r="A755" s="50">
        <v>44958</v>
      </c>
      <c r="B755" s="49" t="s">
        <v>39</v>
      </c>
      <c r="C755" s="51">
        <v>63020.4</v>
      </c>
      <c r="D755" s="51">
        <v>0</v>
      </c>
    </row>
    <row r="756" spans="1:4" ht="15" customHeight="1">
      <c r="A756" s="50">
        <v>44958</v>
      </c>
      <c r="B756" s="49" t="s">
        <v>40</v>
      </c>
      <c r="C756" s="51">
        <v>63984.2</v>
      </c>
      <c r="D756" s="51">
        <v>0</v>
      </c>
    </row>
    <row r="757" spans="1:4" ht="15" customHeight="1">
      <c r="A757" s="50">
        <v>44958</v>
      </c>
      <c r="B757" s="49" t="s">
        <v>41</v>
      </c>
      <c r="C757" s="51">
        <v>63872.6</v>
      </c>
      <c r="D757" s="51">
        <v>0</v>
      </c>
    </row>
    <row r="758" spans="1:4" ht="15" customHeight="1">
      <c r="A758" s="50">
        <v>44958</v>
      </c>
      <c r="B758" s="49" t="s">
        <v>42</v>
      </c>
      <c r="C758" s="51">
        <v>64114.6</v>
      </c>
      <c r="D758" s="51">
        <v>0</v>
      </c>
    </row>
    <row r="759" spans="1:4" ht="15" customHeight="1">
      <c r="A759" s="50">
        <v>44958</v>
      </c>
      <c r="B759" s="49" t="s">
        <v>43</v>
      </c>
      <c r="C759" s="51">
        <v>56237.9</v>
      </c>
      <c r="D759" s="51">
        <v>0</v>
      </c>
    </row>
    <row r="760" spans="1:4" ht="15" customHeight="1">
      <c r="A760" s="50">
        <v>44958</v>
      </c>
      <c r="B760" s="49" t="s">
        <v>44</v>
      </c>
      <c r="C760" s="51">
        <v>53103.3</v>
      </c>
      <c r="D760" s="51">
        <v>0</v>
      </c>
    </row>
    <row r="761" spans="1:4" ht="15" customHeight="1">
      <c r="A761" s="50">
        <v>44958</v>
      </c>
      <c r="B761" s="49" t="s">
        <v>45</v>
      </c>
      <c r="C761" s="51">
        <v>54228.2</v>
      </c>
      <c r="D761" s="51">
        <v>0</v>
      </c>
    </row>
    <row r="762" spans="1:4" ht="15" customHeight="1">
      <c r="A762" s="50">
        <v>44958</v>
      </c>
      <c r="B762" s="49" t="s">
        <v>46</v>
      </c>
      <c r="C762" s="51">
        <v>53426.6</v>
      </c>
      <c r="D762" s="51">
        <v>0</v>
      </c>
    </row>
    <row r="763" spans="1:4" ht="15" customHeight="1">
      <c r="A763" s="50">
        <v>44958</v>
      </c>
      <c r="B763" s="49" t="s">
        <v>47</v>
      </c>
      <c r="C763" s="51">
        <v>53546</v>
      </c>
      <c r="D763" s="51">
        <v>0</v>
      </c>
    </row>
    <row r="764" spans="1:4" ht="15" customHeight="1">
      <c r="A764" s="50">
        <v>44958</v>
      </c>
      <c r="B764" s="49" t="s">
        <v>48</v>
      </c>
      <c r="C764" s="51">
        <v>53635.4</v>
      </c>
      <c r="D764" s="51">
        <v>0</v>
      </c>
    </row>
    <row r="765" spans="1:4" ht="15" customHeight="1">
      <c r="A765" s="50">
        <v>44958</v>
      </c>
      <c r="B765" s="49" t="s">
        <v>49</v>
      </c>
      <c r="C765" s="51">
        <v>54313.1</v>
      </c>
      <c r="D765" s="51">
        <v>0</v>
      </c>
    </row>
    <row r="766" spans="1:4" ht="15" customHeight="1">
      <c r="A766" s="50">
        <v>44958</v>
      </c>
      <c r="B766" s="49" t="s">
        <v>50</v>
      </c>
      <c r="C766" s="51">
        <v>54413.8</v>
      </c>
      <c r="D766" s="51">
        <v>0</v>
      </c>
    </row>
    <row r="767" spans="1:4" ht="15" customHeight="1">
      <c r="A767" s="50">
        <v>44958</v>
      </c>
      <c r="B767" s="49" t="s">
        <v>51</v>
      </c>
      <c r="C767" s="51">
        <v>54386.1</v>
      </c>
      <c r="D767" s="51">
        <v>0</v>
      </c>
    </row>
    <row r="768" spans="1:4" ht="15" customHeight="1">
      <c r="A768" s="50">
        <v>44958</v>
      </c>
      <c r="B768" s="49" t="s">
        <v>52</v>
      </c>
      <c r="C768" s="51">
        <v>54358.9</v>
      </c>
      <c r="D768" s="51">
        <v>0</v>
      </c>
    </row>
    <row r="769" spans="1:4" ht="15" customHeight="1">
      <c r="A769" s="50">
        <v>44958</v>
      </c>
      <c r="B769" s="49" t="s">
        <v>53</v>
      </c>
      <c r="C769" s="51">
        <v>54348.2</v>
      </c>
      <c r="D769" s="51">
        <v>0</v>
      </c>
    </row>
    <row r="770" spans="1:4" ht="15" customHeight="1">
      <c r="A770" s="50">
        <v>44959</v>
      </c>
      <c r="B770" s="49" t="s">
        <v>30</v>
      </c>
      <c r="C770" s="51">
        <v>54457.5</v>
      </c>
      <c r="D770" s="51">
        <v>0</v>
      </c>
    </row>
    <row r="771" spans="1:4" ht="15" customHeight="1">
      <c r="A771" s="50">
        <v>44959</v>
      </c>
      <c r="B771" s="49" t="s">
        <v>31</v>
      </c>
      <c r="C771" s="51">
        <v>54354.7</v>
      </c>
      <c r="D771" s="51">
        <v>0</v>
      </c>
    </row>
    <row r="772" spans="1:4" ht="15" customHeight="1">
      <c r="A772" s="50">
        <v>44959</v>
      </c>
      <c r="B772" s="49" t="s">
        <v>32</v>
      </c>
      <c r="C772" s="51">
        <v>54576.7</v>
      </c>
      <c r="D772" s="51">
        <v>0</v>
      </c>
    </row>
    <row r="773" spans="1:4" ht="15" customHeight="1">
      <c r="A773" s="50">
        <v>44959</v>
      </c>
      <c r="B773" s="49" t="s">
        <v>33</v>
      </c>
      <c r="C773" s="51">
        <v>52542.9</v>
      </c>
      <c r="D773" s="51">
        <v>0</v>
      </c>
    </row>
    <row r="774" spans="1:4" ht="15" customHeight="1">
      <c r="A774" s="50">
        <v>44959</v>
      </c>
      <c r="B774" s="49" t="s">
        <v>34</v>
      </c>
      <c r="C774" s="51">
        <v>17381.400000000001</v>
      </c>
      <c r="D774" s="51">
        <v>0</v>
      </c>
    </row>
    <row r="775" spans="1:4" ht="15" customHeight="1">
      <c r="A775" s="50">
        <v>44959</v>
      </c>
      <c r="B775" s="49" t="s">
        <v>35</v>
      </c>
      <c r="C775" s="51">
        <v>1546.8</v>
      </c>
      <c r="D775" s="51">
        <v>552.70000000000005</v>
      </c>
    </row>
    <row r="776" spans="1:4" ht="15" customHeight="1">
      <c r="A776" s="50">
        <v>44959</v>
      </c>
      <c r="B776" s="49" t="s">
        <v>36</v>
      </c>
      <c r="C776" s="51">
        <v>5460.2</v>
      </c>
      <c r="D776" s="51">
        <v>292.60000000000002</v>
      </c>
    </row>
    <row r="777" spans="1:4" ht="15" customHeight="1">
      <c r="A777" s="50">
        <v>44959</v>
      </c>
      <c r="B777" s="49" t="s">
        <v>37</v>
      </c>
      <c r="C777" s="51">
        <v>18359.5</v>
      </c>
      <c r="D777" s="51">
        <v>0</v>
      </c>
    </row>
    <row r="778" spans="1:4" ht="15" customHeight="1">
      <c r="A778" s="50">
        <v>44959</v>
      </c>
      <c r="B778" s="49" t="s">
        <v>38</v>
      </c>
      <c r="C778" s="51">
        <v>44757.1</v>
      </c>
      <c r="D778" s="51">
        <v>0</v>
      </c>
    </row>
    <row r="779" spans="1:4" ht="15" customHeight="1">
      <c r="A779" s="50">
        <v>44959</v>
      </c>
      <c r="B779" s="49" t="s">
        <v>39</v>
      </c>
      <c r="C779" s="51">
        <v>53262.3</v>
      </c>
      <c r="D779" s="51">
        <v>0</v>
      </c>
    </row>
    <row r="780" spans="1:4" ht="15" customHeight="1">
      <c r="A780" s="50">
        <v>44959</v>
      </c>
      <c r="B780" s="49" t="s">
        <v>40</v>
      </c>
      <c r="C780" s="51">
        <v>53865.1</v>
      </c>
      <c r="D780" s="51">
        <v>0</v>
      </c>
    </row>
    <row r="781" spans="1:4" ht="15" customHeight="1">
      <c r="A781" s="50">
        <v>44959</v>
      </c>
      <c r="B781" s="49" t="s">
        <v>41</v>
      </c>
      <c r="C781" s="51">
        <v>53434.8</v>
      </c>
      <c r="D781" s="51">
        <v>0</v>
      </c>
    </row>
    <row r="782" spans="1:4" ht="15" customHeight="1">
      <c r="A782" s="50">
        <v>44959</v>
      </c>
      <c r="B782" s="49" t="s">
        <v>42</v>
      </c>
      <c r="C782" s="51">
        <v>53128.6</v>
      </c>
      <c r="D782" s="51">
        <v>0</v>
      </c>
    </row>
    <row r="783" spans="1:4" ht="15" customHeight="1">
      <c r="A783" s="50">
        <v>44959</v>
      </c>
      <c r="B783" s="49" t="s">
        <v>43</v>
      </c>
      <c r="C783" s="51">
        <v>54013.599999999999</v>
      </c>
      <c r="D783" s="51">
        <v>0</v>
      </c>
    </row>
    <row r="784" spans="1:4" ht="15" customHeight="1">
      <c r="A784" s="50">
        <v>44959</v>
      </c>
      <c r="B784" s="49" t="s">
        <v>44</v>
      </c>
      <c r="C784" s="51">
        <v>53744.7</v>
      </c>
      <c r="D784" s="51">
        <v>0</v>
      </c>
    </row>
    <row r="785" spans="1:4" ht="15" customHeight="1">
      <c r="A785" s="50">
        <v>44959</v>
      </c>
      <c r="B785" s="49" t="s">
        <v>45</v>
      </c>
      <c r="C785" s="51">
        <v>53084.1</v>
      </c>
      <c r="D785" s="51">
        <v>0</v>
      </c>
    </row>
    <row r="786" spans="1:4" ht="15" customHeight="1">
      <c r="A786" s="50">
        <v>44959</v>
      </c>
      <c r="B786" s="49" t="s">
        <v>46</v>
      </c>
      <c r="C786" s="51">
        <v>54114.6</v>
      </c>
      <c r="D786" s="51">
        <v>0</v>
      </c>
    </row>
    <row r="787" spans="1:4" ht="15" customHeight="1">
      <c r="A787" s="50">
        <v>44959</v>
      </c>
      <c r="B787" s="49" t="s">
        <v>47</v>
      </c>
      <c r="C787" s="51">
        <v>54497.2</v>
      </c>
      <c r="D787" s="51">
        <v>0</v>
      </c>
    </row>
    <row r="788" spans="1:4" ht="15" customHeight="1">
      <c r="A788" s="50">
        <v>44959</v>
      </c>
      <c r="B788" s="49" t="s">
        <v>48</v>
      </c>
      <c r="C788" s="51">
        <v>54574.8</v>
      </c>
      <c r="D788" s="51">
        <v>0</v>
      </c>
    </row>
    <row r="789" spans="1:4" ht="15" customHeight="1">
      <c r="A789" s="50">
        <v>44959</v>
      </c>
      <c r="B789" s="49" t="s">
        <v>49</v>
      </c>
      <c r="C789" s="51">
        <v>53973</v>
      </c>
      <c r="D789" s="51">
        <v>0</v>
      </c>
    </row>
    <row r="790" spans="1:4" ht="15" customHeight="1">
      <c r="A790" s="50">
        <v>44959</v>
      </c>
      <c r="B790" s="49" t="s">
        <v>50</v>
      </c>
      <c r="C790" s="51">
        <v>54168.6</v>
      </c>
      <c r="D790" s="51">
        <v>0</v>
      </c>
    </row>
    <row r="791" spans="1:4" ht="15" customHeight="1">
      <c r="A791" s="50">
        <v>44959</v>
      </c>
      <c r="B791" s="49" t="s">
        <v>51</v>
      </c>
      <c r="C791" s="51">
        <v>54181.3</v>
      </c>
      <c r="D791" s="51">
        <v>0</v>
      </c>
    </row>
    <row r="792" spans="1:4" ht="15" customHeight="1">
      <c r="A792" s="50">
        <v>44959</v>
      </c>
      <c r="B792" s="49" t="s">
        <v>52</v>
      </c>
      <c r="C792" s="51">
        <v>54197.2</v>
      </c>
      <c r="D792" s="51">
        <v>0</v>
      </c>
    </row>
    <row r="793" spans="1:4" ht="15" customHeight="1">
      <c r="A793" s="50">
        <v>44959</v>
      </c>
      <c r="B793" s="49" t="s">
        <v>53</v>
      </c>
      <c r="C793" s="51">
        <v>54310.9</v>
      </c>
      <c r="D793" s="51">
        <v>0</v>
      </c>
    </row>
    <row r="794" spans="1:4" ht="15" customHeight="1">
      <c r="A794" s="50">
        <v>44960</v>
      </c>
      <c r="B794" s="49" t="s">
        <v>30</v>
      </c>
      <c r="C794" s="51">
        <v>64315.7</v>
      </c>
      <c r="D794" s="51">
        <v>0</v>
      </c>
    </row>
    <row r="795" spans="1:4" ht="15" customHeight="1">
      <c r="A795" s="50">
        <v>44960</v>
      </c>
      <c r="B795" s="49" t="s">
        <v>31</v>
      </c>
      <c r="C795" s="51">
        <v>62331.1</v>
      </c>
      <c r="D795" s="51">
        <v>0</v>
      </c>
    </row>
    <row r="796" spans="1:4" ht="15" customHeight="1">
      <c r="A796" s="50">
        <v>44960</v>
      </c>
      <c r="B796" s="49" t="s">
        <v>32</v>
      </c>
      <c r="C796" s="51">
        <v>62553.3</v>
      </c>
      <c r="D796" s="51">
        <v>0</v>
      </c>
    </row>
    <row r="797" spans="1:4" ht="15" customHeight="1">
      <c r="A797" s="50">
        <v>44960</v>
      </c>
      <c r="B797" s="49" t="s">
        <v>33</v>
      </c>
      <c r="C797" s="51">
        <v>62851.5</v>
      </c>
      <c r="D797" s="51">
        <v>0</v>
      </c>
    </row>
    <row r="798" spans="1:4" ht="15" customHeight="1">
      <c r="A798" s="50">
        <v>44960</v>
      </c>
      <c r="B798" s="49" t="s">
        <v>34</v>
      </c>
      <c r="C798" s="51">
        <v>26418</v>
      </c>
      <c r="D798" s="51">
        <v>0</v>
      </c>
    </row>
    <row r="799" spans="1:4" ht="15" customHeight="1">
      <c r="A799" s="50">
        <v>44960</v>
      </c>
      <c r="B799" s="49" t="s">
        <v>35</v>
      </c>
      <c r="C799" s="51">
        <v>1774.3</v>
      </c>
      <c r="D799" s="51">
        <v>667.1</v>
      </c>
    </row>
    <row r="800" spans="1:4" ht="15" customHeight="1">
      <c r="A800" s="50">
        <v>44960</v>
      </c>
      <c r="B800" s="49" t="s">
        <v>36</v>
      </c>
      <c r="C800" s="51">
        <v>8447.9</v>
      </c>
      <c r="D800" s="51">
        <v>310.8</v>
      </c>
    </row>
    <row r="801" spans="1:4" ht="15" customHeight="1">
      <c r="A801" s="50">
        <v>44960</v>
      </c>
      <c r="B801" s="49" t="s">
        <v>37</v>
      </c>
      <c r="C801" s="51">
        <v>17305.7</v>
      </c>
      <c r="D801" s="51">
        <v>0</v>
      </c>
    </row>
    <row r="802" spans="1:4" ht="15" customHeight="1">
      <c r="A802" s="50">
        <v>44960</v>
      </c>
      <c r="B802" s="49" t="s">
        <v>38</v>
      </c>
      <c r="C802" s="51">
        <v>44375.199999999997</v>
      </c>
      <c r="D802" s="51">
        <v>0</v>
      </c>
    </row>
    <row r="803" spans="1:4" ht="15" customHeight="1">
      <c r="A803" s="50">
        <v>44960</v>
      </c>
      <c r="B803" s="49" t="s">
        <v>39</v>
      </c>
      <c r="C803" s="51">
        <v>60286.7</v>
      </c>
      <c r="D803" s="51">
        <v>0</v>
      </c>
    </row>
    <row r="804" spans="1:4" ht="15" customHeight="1">
      <c r="A804" s="50">
        <v>44960</v>
      </c>
      <c r="B804" s="49" t="s">
        <v>40</v>
      </c>
      <c r="C804" s="51">
        <v>62869.599999999999</v>
      </c>
      <c r="D804" s="51">
        <v>0</v>
      </c>
    </row>
    <row r="805" spans="1:4" ht="15" customHeight="1">
      <c r="A805" s="50">
        <v>44960</v>
      </c>
      <c r="B805" s="49" t="s">
        <v>41</v>
      </c>
      <c r="C805" s="51">
        <v>62800.4</v>
      </c>
      <c r="D805" s="51">
        <v>0</v>
      </c>
    </row>
    <row r="806" spans="1:4" ht="15" customHeight="1">
      <c r="A806" s="50">
        <v>44960</v>
      </c>
      <c r="B806" s="49" t="s">
        <v>42</v>
      </c>
      <c r="C806" s="51">
        <v>62720.4</v>
      </c>
      <c r="D806" s="51">
        <v>0</v>
      </c>
    </row>
    <row r="807" spans="1:4" ht="15" customHeight="1">
      <c r="A807" s="50">
        <v>44960</v>
      </c>
      <c r="B807" s="49" t="s">
        <v>43</v>
      </c>
      <c r="C807" s="51">
        <v>62802.3</v>
      </c>
      <c r="D807" s="51">
        <v>0</v>
      </c>
    </row>
    <row r="808" spans="1:4" ht="15" customHeight="1">
      <c r="A808" s="50">
        <v>44960</v>
      </c>
      <c r="B808" s="49" t="s">
        <v>44</v>
      </c>
      <c r="C808" s="51">
        <v>62747.5</v>
      </c>
      <c r="D808" s="51">
        <v>0</v>
      </c>
    </row>
    <row r="809" spans="1:4" ht="15" customHeight="1">
      <c r="A809" s="50">
        <v>44960</v>
      </c>
      <c r="B809" s="49" t="s">
        <v>45</v>
      </c>
      <c r="C809" s="51">
        <v>62583.8</v>
      </c>
      <c r="D809" s="51">
        <v>0</v>
      </c>
    </row>
    <row r="810" spans="1:4" ht="15" customHeight="1">
      <c r="A810" s="50">
        <v>44960</v>
      </c>
      <c r="B810" s="49" t="s">
        <v>46</v>
      </c>
      <c r="C810" s="51">
        <v>62752</v>
      </c>
      <c r="D810" s="51">
        <v>0</v>
      </c>
    </row>
    <row r="811" spans="1:4" ht="15" customHeight="1">
      <c r="A811" s="50">
        <v>44960</v>
      </c>
      <c r="B811" s="49" t="s">
        <v>47</v>
      </c>
      <c r="C811" s="51">
        <v>62844.5</v>
      </c>
      <c r="D811" s="51">
        <v>0</v>
      </c>
    </row>
    <row r="812" spans="1:4" ht="15" customHeight="1">
      <c r="A812" s="50">
        <v>44960</v>
      </c>
      <c r="B812" s="49" t="s">
        <v>48</v>
      </c>
      <c r="C812" s="51">
        <v>62777.2</v>
      </c>
      <c r="D812" s="51">
        <v>0</v>
      </c>
    </row>
    <row r="813" spans="1:4" ht="15" customHeight="1">
      <c r="A813" s="50">
        <v>44960</v>
      </c>
      <c r="B813" s="49" t="s">
        <v>49</v>
      </c>
      <c r="C813" s="51">
        <v>62705.9</v>
      </c>
      <c r="D813" s="51">
        <v>0</v>
      </c>
    </row>
    <row r="814" spans="1:4" ht="15" customHeight="1">
      <c r="A814" s="50">
        <v>44960</v>
      </c>
      <c r="B814" s="49" t="s">
        <v>50</v>
      </c>
      <c r="C814" s="51">
        <v>62738.5</v>
      </c>
      <c r="D814" s="51">
        <v>0</v>
      </c>
    </row>
    <row r="815" spans="1:4" ht="15" customHeight="1">
      <c r="A815" s="50">
        <v>44960</v>
      </c>
      <c r="B815" s="49" t="s">
        <v>51</v>
      </c>
      <c r="C815" s="51">
        <v>62984.9</v>
      </c>
      <c r="D815" s="51">
        <v>0</v>
      </c>
    </row>
    <row r="816" spans="1:4" ht="15" customHeight="1">
      <c r="A816" s="50">
        <v>44960</v>
      </c>
      <c r="B816" s="49" t="s">
        <v>52</v>
      </c>
      <c r="C816" s="51">
        <v>62747.3</v>
      </c>
      <c r="D816" s="51">
        <v>0</v>
      </c>
    </row>
    <row r="817" spans="1:4" ht="15" customHeight="1">
      <c r="A817" s="50">
        <v>44960</v>
      </c>
      <c r="B817" s="49" t="s">
        <v>53</v>
      </c>
      <c r="C817" s="51">
        <v>62539.8</v>
      </c>
      <c r="D817" s="51">
        <v>0</v>
      </c>
    </row>
    <row r="818" spans="1:4" ht="15" customHeight="1">
      <c r="A818" s="50">
        <v>44961</v>
      </c>
      <c r="B818" s="49" t="s">
        <v>30</v>
      </c>
      <c r="C818" s="51">
        <v>63140.5</v>
      </c>
      <c r="D818" s="51">
        <v>0</v>
      </c>
    </row>
    <row r="819" spans="1:4" ht="15" customHeight="1">
      <c r="A819" s="50">
        <v>44961</v>
      </c>
      <c r="B819" s="49" t="s">
        <v>31</v>
      </c>
      <c r="C819" s="51">
        <v>63984.1</v>
      </c>
      <c r="D819" s="51">
        <v>0</v>
      </c>
    </row>
    <row r="820" spans="1:4" ht="15" customHeight="1">
      <c r="A820" s="50">
        <v>44961</v>
      </c>
      <c r="B820" s="49" t="s">
        <v>32</v>
      </c>
      <c r="C820" s="51">
        <v>63677.599999999999</v>
      </c>
      <c r="D820" s="51">
        <v>0</v>
      </c>
    </row>
    <row r="821" spans="1:4" ht="15" customHeight="1">
      <c r="A821" s="50">
        <v>44961</v>
      </c>
      <c r="B821" s="49" t="s">
        <v>33</v>
      </c>
      <c r="C821" s="51">
        <v>59812.3</v>
      </c>
      <c r="D821" s="51">
        <v>0</v>
      </c>
    </row>
    <row r="822" spans="1:4" ht="15" customHeight="1">
      <c r="A822" s="50">
        <v>44961</v>
      </c>
      <c r="B822" s="49" t="s">
        <v>34</v>
      </c>
      <c r="C822" s="51">
        <v>25786.799999999999</v>
      </c>
      <c r="D822" s="51">
        <v>0</v>
      </c>
    </row>
    <row r="823" spans="1:4" ht="15" customHeight="1">
      <c r="A823" s="50">
        <v>44961</v>
      </c>
      <c r="B823" s="49" t="s">
        <v>35</v>
      </c>
      <c r="C823" s="51">
        <v>2281</v>
      </c>
      <c r="D823" s="51">
        <v>622.29999999999995</v>
      </c>
    </row>
    <row r="824" spans="1:4" ht="15" customHeight="1">
      <c r="A824" s="50">
        <v>44961</v>
      </c>
      <c r="B824" s="49" t="s">
        <v>36</v>
      </c>
      <c r="C824" s="51">
        <v>0</v>
      </c>
      <c r="D824" s="51">
        <v>803.4</v>
      </c>
    </row>
    <row r="825" spans="1:4" ht="15" customHeight="1">
      <c r="A825" s="50">
        <v>44961</v>
      </c>
      <c r="B825" s="49" t="s">
        <v>37</v>
      </c>
      <c r="C825" s="51">
        <v>5510.7</v>
      </c>
      <c r="D825" s="51">
        <v>491.8</v>
      </c>
    </row>
    <row r="826" spans="1:4" ht="15" customHeight="1">
      <c r="A826" s="50">
        <v>44961</v>
      </c>
      <c r="B826" s="49" t="s">
        <v>38</v>
      </c>
      <c r="C826" s="51">
        <v>17356.7</v>
      </c>
      <c r="D826" s="51">
        <v>0</v>
      </c>
    </row>
    <row r="827" spans="1:4" ht="15" customHeight="1">
      <c r="A827" s="50">
        <v>44961</v>
      </c>
      <c r="B827" s="49" t="s">
        <v>39</v>
      </c>
      <c r="C827" s="51">
        <v>44903.9</v>
      </c>
      <c r="D827" s="51">
        <v>0</v>
      </c>
    </row>
    <row r="828" spans="1:4" ht="15" customHeight="1">
      <c r="A828" s="50">
        <v>44961</v>
      </c>
      <c r="B828" s="49" t="s">
        <v>40</v>
      </c>
      <c r="C828" s="51">
        <v>60029</v>
      </c>
      <c r="D828" s="51">
        <v>0</v>
      </c>
    </row>
    <row r="829" spans="1:4" ht="15" customHeight="1">
      <c r="A829" s="50">
        <v>44961</v>
      </c>
      <c r="B829" s="49" t="s">
        <v>41</v>
      </c>
      <c r="C829" s="51">
        <v>63987.1</v>
      </c>
      <c r="D829" s="51">
        <v>0</v>
      </c>
    </row>
    <row r="830" spans="1:4" ht="15" customHeight="1">
      <c r="A830" s="50">
        <v>44961</v>
      </c>
      <c r="B830" s="49" t="s">
        <v>42</v>
      </c>
      <c r="C830" s="51">
        <v>63782.2</v>
      </c>
      <c r="D830" s="51">
        <v>0</v>
      </c>
    </row>
    <row r="831" spans="1:4" ht="15" customHeight="1">
      <c r="A831" s="50">
        <v>44961</v>
      </c>
      <c r="B831" s="49" t="s">
        <v>43</v>
      </c>
      <c r="C831" s="51">
        <v>63897.9</v>
      </c>
      <c r="D831" s="51">
        <v>0</v>
      </c>
    </row>
    <row r="832" spans="1:4" ht="15" customHeight="1">
      <c r="A832" s="50">
        <v>44961</v>
      </c>
      <c r="B832" s="49" t="s">
        <v>44</v>
      </c>
      <c r="C832" s="51">
        <v>64091.4</v>
      </c>
      <c r="D832" s="51">
        <v>0</v>
      </c>
    </row>
    <row r="833" spans="1:4" ht="15" customHeight="1">
      <c r="A833" s="50">
        <v>44961</v>
      </c>
      <c r="B833" s="49" t="s">
        <v>45</v>
      </c>
      <c r="C833" s="51">
        <v>64017.4</v>
      </c>
      <c r="D833" s="51">
        <v>0</v>
      </c>
    </row>
    <row r="834" spans="1:4" ht="15" customHeight="1">
      <c r="A834" s="50">
        <v>44961</v>
      </c>
      <c r="B834" s="49" t="s">
        <v>46</v>
      </c>
      <c r="C834" s="51">
        <v>63978.6</v>
      </c>
      <c r="D834" s="51">
        <v>0</v>
      </c>
    </row>
    <row r="835" spans="1:4" ht="15" customHeight="1">
      <c r="A835" s="50">
        <v>44961</v>
      </c>
      <c r="B835" s="49" t="s">
        <v>47</v>
      </c>
      <c r="C835" s="51">
        <v>64057.599999999999</v>
      </c>
      <c r="D835" s="51">
        <v>0</v>
      </c>
    </row>
    <row r="836" spans="1:4" ht="15" customHeight="1">
      <c r="A836" s="50">
        <v>44961</v>
      </c>
      <c r="B836" s="49" t="s">
        <v>48</v>
      </c>
      <c r="C836" s="51">
        <v>63834.400000000001</v>
      </c>
      <c r="D836" s="51">
        <v>0</v>
      </c>
    </row>
    <row r="837" spans="1:4" ht="15" customHeight="1">
      <c r="A837" s="50">
        <v>44961</v>
      </c>
      <c r="B837" s="49" t="s">
        <v>49</v>
      </c>
      <c r="C837" s="51">
        <v>63985.1</v>
      </c>
      <c r="D837" s="51">
        <v>0</v>
      </c>
    </row>
    <row r="838" spans="1:4" ht="15" customHeight="1">
      <c r="A838" s="50">
        <v>44961</v>
      </c>
      <c r="B838" s="49" t="s">
        <v>50</v>
      </c>
      <c r="C838" s="51">
        <v>63969.7</v>
      </c>
      <c r="D838" s="51">
        <v>0</v>
      </c>
    </row>
    <row r="839" spans="1:4" ht="15" customHeight="1">
      <c r="A839" s="50">
        <v>44961</v>
      </c>
      <c r="B839" s="49" t="s">
        <v>51</v>
      </c>
      <c r="C839" s="51">
        <v>64179.6</v>
      </c>
      <c r="D839" s="51">
        <v>0</v>
      </c>
    </row>
    <row r="840" spans="1:4" ht="15" customHeight="1">
      <c r="A840" s="50">
        <v>44961</v>
      </c>
      <c r="B840" s="49" t="s">
        <v>52</v>
      </c>
      <c r="C840" s="51">
        <v>63696.9</v>
      </c>
      <c r="D840" s="51">
        <v>0</v>
      </c>
    </row>
    <row r="841" spans="1:4" ht="15" customHeight="1">
      <c r="A841" s="50">
        <v>44961</v>
      </c>
      <c r="B841" s="49" t="s">
        <v>53</v>
      </c>
      <c r="C841" s="51">
        <v>63232.6</v>
      </c>
      <c r="D841" s="51">
        <v>0</v>
      </c>
    </row>
    <row r="842" spans="1:4" ht="15" customHeight="1">
      <c r="A842" s="50">
        <v>44962</v>
      </c>
      <c r="B842" s="49" t="s">
        <v>30</v>
      </c>
      <c r="C842" s="51">
        <v>63022.8</v>
      </c>
      <c r="D842" s="51">
        <v>0</v>
      </c>
    </row>
    <row r="843" spans="1:4" ht="15" customHeight="1">
      <c r="A843" s="50">
        <v>44962</v>
      </c>
      <c r="B843" s="49" t="s">
        <v>31</v>
      </c>
      <c r="C843" s="51">
        <v>63143.9</v>
      </c>
      <c r="D843" s="51">
        <v>0</v>
      </c>
    </row>
    <row r="844" spans="1:4" ht="15" customHeight="1">
      <c r="A844" s="50">
        <v>44962</v>
      </c>
      <c r="B844" s="49" t="s">
        <v>32</v>
      </c>
      <c r="C844" s="51">
        <v>60790.9</v>
      </c>
      <c r="D844" s="51">
        <v>0</v>
      </c>
    </row>
    <row r="845" spans="1:4" ht="15" customHeight="1">
      <c r="A845" s="50">
        <v>44962</v>
      </c>
      <c r="B845" s="49" t="s">
        <v>33</v>
      </c>
      <c r="C845" s="51">
        <v>26019.3</v>
      </c>
      <c r="D845" s="51">
        <v>0</v>
      </c>
    </row>
    <row r="846" spans="1:4" ht="15" customHeight="1">
      <c r="A846" s="50">
        <v>44962</v>
      </c>
      <c r="B846" s="49" t="s">
        <v>34</v>
      </c>
      <c r="C846" s="51">
        <v>1022.6</v>
      </c>
      <c r="D846" s="51">
        <v>330.4</v>
      </c>
    </row>
    <row r="847" spans="1:4" ht="15" customHeight="1">
      <c r="A847" s="50">
        <v>44962</v>
      </c>
      <c r="B847" s="49" t="s">
        <v>35</v>
      </c>
      <c r="C847" s="51">
        <v>0</v>
      </c>
      <c r="D847" s="51">
        <v>225.1</v>
      </c>
    </row>
    <row r="848" spans="1:4" ht="15" customHeight="1">
      <c r="A848" s="50">
        <v>44962</v>
      </c>
      <c r="B848" s="49" t="s">
        <v>36</v>
      </c>
      <c r="C848" s="51">
        <v>0</v>
      </c>
      <c r="D848" s="51">
        <v>227.6</v>
      </c>
    </row>
    <row r="849" spans="1:4" ht="15" customHeight="1">
      <c r="A849" s="50">
        <v>44962</v>
      </c>
      <c r="B849" s="49" t="s">
        <v>37</v>
      </c>
      <c r="C849" s="51">
        <v>0</v>
      </c>
      <c r="D849" s="51">
        <v>244.4</v>
      </c>
    </row>
    <row r="850" spans="1:4" ht="15" customHeight="1">
      <c r="A850" s="50">
        <v>44962</v>
      </c>
      <c r="B850" s="49" t="s">
        <v>38</v>
      </c>
      <c r="C850" s="51">
        <v>0</v>
      </c>
      <c r="D850" s="51">
        <v>534.6</v>
      </c>
    </row>
    <row r="851" spans="1:4" ht="15" customHeight="1">
      <c r="A851" s="50">
        <v>44962</v>
      </c>
      <c r="B851" s="49" t="s">
        <v>39</v>
      </c>
      <c r="C851" s="51">
        <v>5129.5</v>
      </c>
      <c r="D851" s="51">
        <v>366.4</v>
      </c>
    </row>
    <row r="852" spans="1:4" ht="15" customHeight="1">
      <c r="A852" s="50">
        <v>44962</v>
      </c>
      <c r="B852" s="49" t="s">
        <v>40</v>
      </c>
      <c r="C852" s="51">
        <v>17191.7</v>
      </c>
      <c r="D852" s="51">
        <v>0</v>
      </c>
    </row>
    <row r="853" spans="1:4" ht="15" customHeight="1">
      <c r="A853" s="50">
        <v>44962</v>
      </c>
      <c r="B853" s="49" t="s">
        <v>41</v>
      </c>
      <c r="C853" s="51">
        <v>42428.1</v>
      </c>
      <c r="D853" s="51">
        <v>0</v>
      </c>
    </row>
    <row r="854" spans="1:4" ht="15" customHeight="1">
      <c r="A854" s="50">
        <v>44962</v>
      </c>
      <c r="B854" s="49" t="s">
        <v>42</v>
      </c>
      <c r="C854" s="51">
        <v>60705.5</v>
      </c>
      <c r="D854" s="51">
        <v>0</v>
      </c>
    </row>
    <row r="855" spans="1:4" ht="15" customHeight="1">
      <c r="A855" s="50">
        <v>44962</v>
      </c>
      <c r="B855" s="49" t="s">
        <v>43</v>
      </c>
      <c r="C855" s="51">
        <v>64083.3</v>
      </c>
      <c r="D855" s="51">
        <v>0</v>
      </c>
    </row>
    <row r="856" spans="1:4" ht="15" customHeight="1">
      <c r="A856" s="50">
        <v>44962</v>
      </c>
      <c r="B856" s="49" t="s">
        <v>44</v>
      </c>
      <c r="C856" s="51">
        <v>64187.199999999997</v>
      </c>
      <c r="D856" s="51">
        <v>0</v>
      </c>
    </row>
    <row r="857" spans="1:4" ht="15" customHeight="1">
      <c r="A857" s="50">
        <v>44962</v>
      </c>
      <c r="B857" s="49" t="s">
        <v>45</v>
      </c>
      <c r="C857" s="51">
        <v>64025.1</v>
      </c>
      <c r="D857" s="51">
        <v>0</v>
      </c>
    </row>
    <row r="858" spans="1:4" ht="15" customHeight="1">
      <c r="A858" s="50">
        <v>44962</v>
      </c>
      <c r="B858" s="49" t="s">
        <v>46</v>
      </c>
      <c r="C858" s="51">
        <v>64104.5</v>
      </c>
      <c r="D858" s="51">
        <v>0</v>
      </c>
    </row>
    <row r="859" spans="1:4" ht="15" customHeight="1">
      <c r="A859" s="50">
        <v>44962</v>
      </c>
      <c r="B859" s="49" t="s">
        <v>47</v>
      </c>
      <c r="C859" s="51">
        <v>64130.5</v>
      </c>
      <c r="D859" s="51">
        <v>0</v>
      </c>
    </row>
    <row r="860" spans="1:4" ht="15" customHeight="1">
      <c r="A860" s="50">
        <v>44962</v>
      </c>
      <c r="B860" s="49" t="s">
        <v>48</v>
      </c>
      <c r="C860" s="51">
        <v>64125.5</v>
      </c>
      <c r="D860" s="51">
        <v>0</v>
      </c>
    </row>
    <row r="861" spans="1:4" ht="15" customHeight="1">
      <c r="A861" s="50">
        <v>44962</v>
      </c>
      <c r="B861" s="49" t="s">
        <v>49</v>
      </c>
      <c r="C861" s="51">
        <v>64128.7</v>
      </c>
      <c r="D861" s="51">
        <v>0</v>
      </c>
    </row>
    <row r="862" spans="1:4" ht="15" customHeight="1">
      <c r="A862" s="50">
        <v>44962</v>
      </c>
      <c r="B862" s="49" t="s">
        <v>50</v>
      </c>
      <c r="C862" s="51">
        <v>63995.9</v>
      </c>
      <c r="D862" s="51">
        <v>0</v>
      </c>
    </row>
    <row r="863" spans="1:4" ht="15" customHeight="1">
      <c r="A863" s="50">
        <v>44962</v>
      </c>
      <c r="B863" s="49" t="s">
        <v>51</v>
      </c>
      <c r="C863" s="51">
        <v>63909.7</v>
      </c>
      <c r="D863" s="51">
        <v>0</v>
      </c>
    </row>
    <row r="864" spans="1:4" ht="15" customHeight="1">
      <c r="A864" s="50">
        <v>44962</v>
      </c>
      <c r="B864" s="49" t="s">
        <v>52</v>
      </c>
      <c r="C864" s="51">
        <v>64075.1</v>
      </c>
      <c r="D864" s="51">
        <v>0</v>
      </c>
    </row>
    <row r="865" spans="1:4" ht="15" customHeight="1">
      <c r="A865" s="50">
        <v>44962</v>
      </c>
      <c r="B865" s="49" t="s">
        <v>53</v>
      </c>
      <c r="C865" s="51">
        <v>63037.9</v>
      </c>
      <c r="D865" s="51">
        <v>0</v>
      </c>
    </row>
    <row r="866" spans="1:4" ht="15" customHeight="1">
      <c r="A866" s="50">
        <v>44963</v>
      </c>
      <c r="B866" s="49" t="s">
        <v>30</v>
      </c>
      <c r="C866" s="51">
        <v>63346.5</v>
      </c>
      <c r="D866" s="51">
        <v>0</v>
      </c>
    </row>
    <row r="867" spans="1:4" ht="15" customHeight="1">
      <c r="A867" s="50">
        <v>44963</v>
      </c>
      <c r="B867" s="49" t="s">
        <v>31</v>
      </c>
      <c r="C867" s="51">
        <v>64101.2</v>
      </c>
      <c r="D867" s="51">
        <v>0</v>
      </c>
    </row>
    <row r="868" spans="1:4" ht="15" customHeight="1">
      <c r="A868" s="50">
        <v>44963</v>
      </c>
      <c r="B868" s="49" t="s">
        <v>32</v>
      </c>
      <c r="C868" s="51">
        <v>59856.5</v>
      </c>
      <c r="D868" s="51">
        <v>0</v>
      </c>
    </row>
    <row r="869" spans="1:4" ht="15" customHeight="1">
      <c r="A869" s="50">
        <v>44963</v>
      </c>
      <c r="B869" s="49" t="s">
        <v>33</v>
      </c>
      <c r="C869" s="51">
        <v>25740.6</v>
      </c>
      <c r="D869" s="51">
        <v>0</v>
      </c>
    </row>
    <row r="870" spans="1:4" ht="15" customHeight="1">
      <c r="A870" s="50">
        <v>44963</v>
      </c>
      <c r="B870" s="49" t="s">
        <v>34</v>
      </c>
      <c r="C870" s="51">
        <v>3098</v>
      </c>
      <c r="D870" s="51">
        <v>501.5</v>
      </c>
    </row>
    <row r="871" spans="1:4" ht="15" customHeight="1">
      <c r="A871" s="50">
        <v>44963</v>
      </c>
      <c r="B871" s="49" t="s">
        <v>35</v>
      </c>
      <c r="C871" s="51">
        <v>0</v>
      </c>
      <c r="D871" s="51">
        <v>582.6</v>
      </c>
    </row>
    <row r="872" spans="1:4" ht="15" customHeight="1">
      <c r="A872" s="50">
        <v>44963</v>
      </c>
      <c r="B872" s="49" t="s">
        <v>36</v>
      </c>
      <c r="C872" s="51">
        <v>8199.9</v>
      </c>
      <c r="D872" s="51">
        <v>244.2</v>
      </c>
    </row>
    <row r="873" spans="1:4" ht="15" customHeight="1">
      <c r="A873" s="50">
        <v>44963</v>
      </c>
      <c r="B873" s="49" t="s">
        <v>37</v>
      </c>
      <c r="C873" s="51">
        <v>16842.5</v>
      </c>
      <c r="D873" s="51">
        <v>0</v>
      </c>
    </row>
    <row r="874" spans="1:4" ht="15" customHeight="1">
      <c r="A874" s="50">
        <v>44963</v>
      </c>
      <c r="B874" s="49" t="s">
        <v>38</v>
      </c>
      <c r="C874" s="51">
        <v>43771.3</v>
      </c>
      <c r="D874" s="51">
        <v>0</v>
      </c>
    </row>
    <row r="875" spans="1:4" ht="15" customHeight="1">
      <c r="A875" s="50">
        <v>44963</v>
      </c>
      <c r="B875" s="49" t="s">
        <v>39</v>
      </c>
      <c r="C875" s="51">
        <v>61220</v>
      </c>
      <c r="D875" s="51">
        <v>0</v>
      </c>
    </row>
    <row r="876" spans="1:4" ht="15" customHeight="1">
      <c r="A876" s="50">
        <v>44963</v>
      </c>
      <c r="B876" s="49" t="s">
        <v>40</v>
      </c>
      <c r="C876" s="51">
        <v>63334.3</v>
      </c>
      <c r="D876" s="51">
        <v>0</v>
      </c>
    </row>
    <row r="877" spans="1:4" ht="15" customHeight="1">
      <c r="A877" s="50">
        <v>44963</v>
      </c>
      <c r="B877" s="49" t="s">
        <v>41</v>
      </c>
      <c r="C877" s="51">
        <v>63450.5</v>
      </c>
      <c r="D877" s="51">
        <v>0</v>
      </c>
    </row>
    <row r="878" spans="1:4" ht="15" customHeight="1">
      <c r="A878" s="50">
        <v>44963</v>
      </c>
      <c r="B878" s="49" t="s">
        <v>42</v>
      </c>
      <c r="C878" s="51">
        <v>63917.4</v>
      </c>
      <c r="D878" s="51">
        <v>0</v>
      </c>
    </row>
    <row r="879" spans="1:4" ht="15" customHeight="1">
      <c r="A879" s="50">
        <v>44963</v>
      </c>
      <c r="B879" s="49" t="s">
        <v>43</v>
      </c>
      <c r="C879" s="51">
        <v>63778.7</v>
      </c>
      <c r="D879" s="51">
        <v>0</v>
      </c>
    </row>
    <row r="880" spans="1:4" ht="15" customHeight="1">
      <c r="A880" s="50">
        <v>44963</v>
      </c>
      <c r="B880" s="49" t="s">
        <v>44</v>
      </c>
      <c r="C880" s="51">
        <v>63854.2</v>
      </c>
      <c r="D880" s="51">
        <v>0</v>
      </c>
    </row>
    <row r="881" spans="1:4" ht="15" customHeight="1">
      <c r="A881" s="50">
        <v>44963</v>
      </c>
      <c r="B881" s="49" t="s">
        <v>45</v>
      </c>
      <c r="C881" s="51">
        <v>64199.7</v>
      </c>
      <c r="D881" s="51">
        <v>0</v>
      </c>
    </row>
    <row r="882" spans="1:4" ht="15" customHeight="1">
      <c r="A882" s="50">
        <v>44963</v>
      </c>
      <c r="B882" s="49" t="s">
        <v>46</v>
      </c>
      <c r="C882" s="51">
        <v>64985.1</v>
      </c>
      <c r="D882" s="51">
        <v>0</v>
      </c>
    </row>
    <row r="883" spans="1:4" ht="15" customHeight="1">
      <c r="A883" s="50">
        <v>44963</v>
      </c>
      <c r="B883" s="49" t="s">
        <v>47</v>
      </c>
      <c r="C883" s="51">
        <v>64860.9</v>
      </c>
      <c r="D883" s="51">
        <v>0</v>
      </c>
    </row>
    <row r="884" spans="1:4" ht="15" customHeight="1">
      <c r="A884" s="50">
        <v>44963</v>
      </c>
      <c r="B884" s="49" t="s">
        <v>48</v>
      </c>
      <c r="C884" s="51">
        <v>63665.8</v>
      </c>
      <c r="D884" s="51">
        <v>0</v>
      </c>
    </row>
    <row r="885" spans="1:4" ht="15" customHeight="1">
      <c r="A885" s="50">
        <v>44963</v>
      </c>
      <c r="B885" s="49" t="s">
        <v>49</v>
      </c>
      <c r="C885" s="51">
        <v>63652.800000000003</v>
      </c>
      <c r="D885" s="51">
        <v>0</v>
      </c>
    </row>
    <row r="886" spans="1:4" ht="15" customHeight="1">
      <c r="A886" s="50">
        <v>44963</v>
      </c>
      <c r="B886" s="49" t="s">
        <v>50</v>
      </c>
      <c r="C886" s="51">
        <v>63696.1</v>
      </c>
      <c r="D886" s="51">
        <v>0</v>
      </c>
    </row>
    <row r="887" spans="1:4" ht="15" customHeight="1">
      <c r="A887" s="50">
        <v>44963</v>
      </c>
      <c r="B887" s="49" t="s">
        <v>51</v>
      </c>
      <c r="C887" s="51">
        <v>64401.7</v>
      </c>
      <c r="D887" s="51">
        <v>0</v>
      </c>
    </row>
    <row r="888" spans="1:4" ht="15" customHeight="1">
      <c r="A888" s="50">
        <v>44963</v>
      </c>
      <c r="B888" s="49" t="s">
        <v>52</v>
      </c>
      <c r="C888" s="51">
        <v>63412.1</v>
      </c>
      <c r="D888" s="51">
        <v>0</v>
      </c>
    </row>
    <row r="889" spans="1:4" ht="15" customHeight="1">
      <c r="A889" s="50">
        <v>44963</v>
      </c>
      <c r="B889" s="49" t="s">
        <v>53</v>
      </c>
      <c r="C889" s="51">
        <v>63382.1</v>
      </c>
      <c r="D889" s="51">
        <v>0</v>
      </c>
    </row>
    <row r="890" spans="1:4" ht="15" customHeight="1">
      <c r="A890" s="50">
        <v>44964</v>
      </c>
      <c r="B890" s="49" t="s">
        <v>30</v>
      </c>
      <c r="C890" s="51">
        <v>63506.400000000001</v>
      </c>
      <c r="D890" s="51">
        <v>0</v>
      </c>
    </row>
    <row r="891" spans="1:4" ht="15" customHeight="1">
      <c r="A891" s="50">
        <v>44964</v>
      </c>
      <c r="B891" s="49" t="s">
        <v>31</v>
      </c>
      <c r="C891" s="51">
        <v>63224.9</v>
      </c>
      <c r="D891" s="51">
        <v>0</v>
      </c>
    </row>
    <row r="892" spans="1:4" ht="15" customHeight="1">
      <c r="A892" s="50">
        <v>44964</v>
      </c>
      <c r="B892" s="49" t="s">
        <v>32</v>
      </c>
      <c r="C892" s="51">
        <v>63017.2</v>
      </c>
      <c r="D892" s="51">
        <v>0</v>
      </c>
    </row>
    <row r="893" spans="1:4" ht="15" customHeight="1">
      <c r="A893" s="50">
        <v>44964</v>
      </c>
      <c r="B893" s="49" t="s">
        <v>33</v>
      </c>
      <c r="C893" s="51">
        <v>63433.5</v>
      </c>
      <c r="D893" s="51">
        <v>0</v>
      </c>
    </row>
    <row r="894" spans="1:4" ht="15" customHeight="1">
      <c r="A894" s="50">
        <v>44964</v>
      </c>
      <c r="B894" s="49" t="s">
        <v>34</v>
      </c>
      <c r="C894" s="51">
        <v>63627</v>
      </c>
      <c r="D894" s="51">
        <v>0</v>
      </c>
    </row>
    <row r="895" spans="1:4" ht="15" customHeight="1">
      <c r="A895" s="50">
        <v>44964</v>
      </c>
      <c r="B895" s="49" t="s">
        <v>35</v>
      </c>
      <c r="C895" s="51">
        <v>63447.5</v>
      </c>
      <c r="D895" s="51">
        <v>0</v>
      </c>
    </row>
    <row r="896" spans="1:4" ht="15" customHeight="1">
      <c r="A896" s="50">
        <v>44964</v>
      </c>
      <c r="B896" s="49" t="s">
        <v>36</v>
      </c>
      <c r="C896" s="51">
        <v>63440.9</v>
      </c>
      <c r="D896" s="51">
        <v>0</v>
      </c>
    </row>
    <row r="897" spans="1:4" ht="15" customHeight="1">
      <c r="A897" s="50">
        <v>44964</v>
      </c>
      <c r="B897" s="49" t="s">
        <v>37</v>
      </c>
      <c r="C897" s="51">
        <v>63534</v>
      </c>
      <c r="D897" s="51">
        <v>0</v>
      </c>
    </row>
    <row r="898" spans="1:4" ht="15" customHeight="1">
      <c r="A898" s="50">
        <v>44964</v>
      </c>
      <c r="B898" s="49" t="s">
        <v>38</v>
      </c>
      <c r="C898" s="51">
        <v>63410.2</v>
      </c>
      <c r="D898" s="51">
        <v>0</v>
      </c>
    </row>
    <row r="899" spans="1:4" ht="15" customHeight="1">
      <c r="A899" s="50">
        <v>44964</v>
      </c>
      <c r="B899" s="49" t="s">
        <v>39</v>
      </c>
      <c r="C899" s="51">
        <v>63605.1</v>
      </c>
      <c r="D899" s="51">
        <v>0</v>
      </c>
    </row>
    <row r="900" spans="1:4" ht="15" customHeight="1">
      <c r="A900" s="50">
        <v>44964</v>
      </c>
      <c r="B900" s="49" t="s">
        <v>40</v>
      </c>
      <c r="C900" s="51">
        <v>63784.9</v>
      </c>
      <c r="D900" s="51">
        <v>0</v>
      </c>
    </row>
    <row r="901" spans="1:4" ht="15" customHeight="1">
      <c r="A901" s="50">
        <v>44964</v>
      </c>
      <c r="B901" s="49" t="s">
        <v>41</v>
      </c>
      <c r="C901" s="51">
        <v>64886.1</v>
      </c>
      <c r="D901" s="51">
        <v>0</v>
      </c>
    </row>
    <row r="902" spans="1:4" ht="15" customHeight="1">
      <c r="A902" s="50">
        <v>44964</v>
      </c>
      <c r="B902" s="49" t="s">
        <v>42</v>
      </c>
      <c r="C902" s="51">
        <v>64721.8</v>
      </c>
      <c r="D902" s="51">
        <v>0</v>
      </c>
    </row>
    <row r="903" spans="1:4" ht="15" customHeight="1">
      <c r="A903" s="50">
        <v>44964</v>
      </c>
      <c r="B903" s="49" t="s">
        <v>43</v>
      </c>
      <c r="C903" s="51">
        <v>64923.5</v>
      </c>
      <c r="D903" s="51">
        <v>0</v>
      </c>
    </row>
    <row r="904" spans="1:4" ht="15" customHeight="1">
      <c r="A904" s="50">
        <v>44964</v>
      </c>
      <c r="B904" s="49" t="s">
        <v>44</v>
      </c>
      <c r="C904" s="51">
        <v>63529.1</v>
      </c>
      <c r="D904" s="51">
        <v>0</v>
      </c>
    </row>
    <row r="905" spans="1:4" ht="15" customHeight="1">
      <c r="A905" s="50">
        <v>44964</v>
      </c>
      <c r="B905" s="49" t="s">
        <v>45</v>
      </c>
      <c r="C905" s="51">
        <v>61840.4</v>
      </c>
      <c r="D905" s="51">
        <v>0</v>
      </c>
    </row>
    <row r="906" spans="1:4" ht="15" customHeight="1">
      <c r="A906" s="50">
        <v>44964</v>
      </c>
      <c r="B906" s="49" t="s">
        <v>46</v>
      </c>
      <c r="C906" s="51">
        <v>62157.3</v>
      </c>
      <c r="D906" s="51">
        <v>0</v>
      </c>
    </row>
    <row r="907" spans="1:4" ht="15" customHeight="1">
      <c r="A907" s="50">
        <v>44964</v>
      </c>
      <c r="B907" s="49" t="s">
        <v>47</v>
      </c>
      <c r="C907" s="51">
        <v>62774.5</v>
      </c>
      <c r="D907" s="51">
        <v>0</v>
      </c>
    </row>
    <row r="908" spans="1:4" ht="15" customHeight="1">
      <c r="A908" s="50">
        <v>44964</v>
      </c>
      <c r="B908" s="49" t="s">
        <v>48</v>
      </c>
      <c r="C908" s="51">
        <v>63614.3</v>
      </c>
      <c r="D908" s="51">
        <v>0</v>
      </c>
    </row>
    <row r="909" spans="1:4" ht="15" customHeight="1">
      <c r="A909" s="50">
        <v>44964</v>
      </c>
      <c r="B909" s="49" t="s">
        <v>49</v>
      </c>
      <c r="C909" s="51">
        <v>63655.4</v>
      </c>
      <c r="D909" s="51">
        <v>0</v>
      </c>
    </row>
    <row r="910" spans="1:4" ht="15" customHeight="1">
      <c r="A910" s="50">
        <v>44964</v>
      </c>
      <c r="B910" s="49" t="s">
        <v>50</v>
      </c>
      <c r="C910" s="51">
        <v>63613.9</v>
      </c>
      <c r="D910" s="51">
        <v>0</v>
      </c>
    </row>
    <row r="911" spans="1:4" ht="15" customHeight="1">
      <c r="A911" s="50">
        <v>44964</v>
      </c>
      <c r="B911" s="49" t="s">
        <v>51</v>
      </c>
      <c r="C911" s="51">
        <v>63659.6</v>
      </c>
      <c r="D911" s="51">
        <v>0</v>
      </c>
    </row>
    <row r="912" spans="1:4" ht="15" customHeight="1">
      <c r="A912" s="50">
        <v>44964</v>
      </c>
      <c r="B912" s="49" t="s">
        <v>52</v>
      </c>
      <c r="C912" s="51">
        <v>63583.8</v>
      </c>
      <c r="D912" s="51">
        <v>0</v>
      </c>
    </row>
    <row r="913" spans="1:4" ht="15" customHeight="1">
      <c r="A913" s="50">
        <v>44964</v>
      </c>
      <c r="B913" s="49" t="s">
        <v>53</v>
      </c>
      <c r="C913" s="51">
        <v>63629.599999999999</v>
      </c>
      <c r="D913" s="51">
        <v>0</v>
      </c>
    </row>
    <row r="914" spans="1:4" ht="15" customHeight="1">
      <c r="A914" s="50">
        <v>44965</v>
      </c>
      <c r="B914" s="49" t="s">
        <v>30</v>
      </c>
      <c r="C914" s="51">
        <v>63306.1</v>
      </c>
      <c r="D914" s="51">
        <v>0</v>
      </c>
    </row>
    <row r="915" spans="1:4" ht="15" customHeight="1">
      <c r="A915" s="50">
        <v>44965</v>
      </c>
      <c r="B915" s="49" t="s">
        <v>31</v>
      </c>
      <c r="C915" s="51">
        <v>63930.1</v>
      </c>
      <c r="D915" s="51">
        <v>0</v>
      </c>
    </row>
    <row r="916" spans="1:4" ht="15" customHeight="1">
      <c r="A916" s="50">
        <v>44965</v>
      </c>
      <c r="B916" s="49" t="s">
        <v>32</v>
      </c>
      <c r="C916" s="51">
        <v>63598.1</v>
      </c>
      <c r="D916" s="51">
        <v>0</v>
      </c>
    </row>
    <row r="917" spans="1:4" ht="15" customHeight="1">
      <c r="A917" s="50">
        <v>44965</v>
      </c>
      <c r="B917" s="49" t="s">
        <v>33</v>
      </c>
      <c r="C917" s="51">
        <v>63555.4</v>
      </c>
      <c r="D917" s="51">
        <v>0</v>
      </c>
    </row>
    <row r="918" spans="1:4" ht="15" customHeight="1">
      <c r="A918" s="50">
        <v>44965</v>
      </c>
      <c r="B918" s="49" t="s">
        <v>34</v>
      </c>
      <c r="C918" s="51">
        <v>63688.7</v>
      </c>
      <c r="D918" s="51">
        <v>0</v>
      </c>
    </row>
    <row r="919" spans="1:4" ht="15" customHeight="1">
      <c r="A919" s="50">
        <v>44965</v>
      </c>
      <c r="B919" s="49" t="s">
        <v>35</v>
      </c>
      <c r="C919" s="51">
        <v>64159.3</v>
      </c>
      <c r="D919" s="51">
        <v>0</v>
      </c>
    </row>
    <row r="920" spans="1:4" ht="15" customHeight="1">
      <c r="A920" s="50">
        <v>44965</v>
      </c>
      <c r="B920" s="49" t="s">
        <v>36</v>
      </c>
      <c r="C920" s="51">
        <v>63535.6</v>
      </c>
      <c r="D920" s="51">
        <v>0</v>
      </c>
    </row>
    <row r="921" spans="1:4" ht="15" customHeight="1">
      <c r="A921" s="50">
        <v>44965</v>
      </c>
      <c r="B921" s="49" t="s">
        <v>37</v>
      </c>
      <c r="C921" s="51">
        <v>63656.1</v>
      </c>
      <c r="D921" s="51">
        <v>0</v>
      </c>
    </row>
    <row r="922" spans="1:4" ht="15" customHeight="1">
      <c r="A922" s="50">
        <v>44965</v>
      </c>
      <c r="B922" s="49" t="s">
        <v>38</v>
      </c>
      <c r="C922" s="51">
        <v>63575.4</v>
      </c>
      <c r="D922" s="51">
        <v>0</v>
      </c>
    </row>
    <row r="923" spans="1:4" ht="15" customHeight="1">
      <c r="A923" s="50">
        <v>44965</v>
      </c>
      <c r="B923" s="49" t="s">
        <v>39</v>
      </c>
      <c r="C923" s="51">
        <v>63663.7</v>
      </c>
      <c r="D923" s="51">
        <v>0</v>
      </c>
    </row>
    <row r="924" spans="1:4" ht="15" customHeight="1">
      <c r="A924" s="50">
        <v>44965</v>
      </c>
      <c r="B924" s="49" t="s">
        <v>40</v>
      </c>
      <c r="C924" s="51">
        <v>63076.4</v>
      </c>
      <c r="D924" s="51">
        <v>0</v>
      </c>
    </row>
    <row r="925" spans="1:4" ht="15" customHeight="1">
      <c r="A925" s="50">
        <v>44965</v>
      </c>
      <c r="B925" s="49" t="s">
        <v>41</v>
      </c>
      <c r="C925" s="51">
        <v>63102.400000000001</v>
      </c>
      <c r="D925" s="51">
        <v>0</v>
      </c>
    </row>
    <row r="926" spans="1:4" ht="15" customHeight="1">
      <c r="A926" s="50">
        <v>44965</v>
      </c>
      <c r="B926" s="49" t="s">
        <v>42</v>
      </c>
      <c r="C926" s="51">
        <v>63281.5</v>
      </c>
      <c r="D926" s="51">
        <v>0</v>
      </c>
    </row>
    <row r="927" spans="1:4" ht="15" customHeight="1">
      <c r="A927" s="50">
        <v>44965</v>
      </c>
      <c r="B927" s="49" t="s">
        <v>43</v>
      </c>
      <c r="C927" s="51">
        <v>63036.6</v>
      </c>
      <c r="D927" s="51">
        <v>0</v>
      </c>
    </row>
    <row r="928" spans="1:4" ht="15" customHeight="1">
      <c r="A928" s="50">
        <v>44965</v>
      </c>
      <c r="B928" s="49" t="s">
        <v>44</v>
      </c>
      <c r="C928" s="51">
        <v>63152.800000000003</v>
      </c>
      <c r="D928" s="51">
        <v>0</v>
      </c>
    </row>
    <row r="929" spans="1:4" ht="15" customHeight="1">
      <c r="A929" s="50">
        <v>44965</v>
      </c>
      <c r="B929" s="49" t="s">
        <v>45</v>
      </c>
      <c r="C929" s="51">
        <v>63921.1</v>
      </c>
      <c r="D929" s="51">
        <v>0</v>
      </c>
    </row>
    <row r="930" spans="1:4" ht="15" customHeight="1">
      <c r="A930" s="50">
        <v>44965</v>
      </c>
      <c r="B930" s="49" t="s">
        <v>46</v>
      </c>
      <c r="C930" s="51">
        <v>63793</v>
      </c>
      <c r="D930" s="51">
        <v>0</v>
      </c>
    </row>
    <row r="931" spans="1:4" ht="15" customHeight="1">
      <c r="A931" s="50">
        <v>44965</v>
      </c>
      <c r="B931" s="49" t="s">
        <v>47</v>
      </c>
      <c r="C931" s="51">
        <v>63794.3</v>
      </c>
      <c r="D931" s="51">
        <v>0</v>
      </c>
    </row>
    <row r="932" spans="1:4" ht="15" customHeight="1">
      <c r="A932" s="50">
        <v>44965</v>
      </c>
      <c r="B932" s="49" t="s">
        <v>48</v>
      </c>
      <c r="C932" s="51">
        <v>63757.5</v>
      </c>
      <c r="D932" s="51">
        <v>0</v>
      </c>
    </row>
    <row r="933" spans="1:4" ht="15" customHeight="1">
      <c r="A933" s="50">
        <v>44965</v>
      </c>
      <c r="B933" s="49" t="s">
        <v>49</v>
      </c>
      <c r="C933" s="51">
        <v>63783.8</v>
      </c>
      <c r="D933" s="51">
        <v>0</v>
      </c>
    </row>
    <row r="934" spans="1:4" ht="15" customHeight="1">
      <c r="A934" s="50">
        <v>44965</v>
      </c>
      <c r="B934" s="49" t="s">
        <v>50</v>
      </c>
      <c r="C934" s="51">
        <v>63791.9</v>
      </c>
      <c r="D934" s="51">
        <v>0</v>
      </c>
    </row>
    <row r="935" spans="1:4" ht="15" customHeight="1">
      <c r="A935" s="50">
        <v>44965</v>
      </c>
      <c r="B935" s="49" t="s">
        <v>51</v>
      </c>
      <c r="C935" s="51">
        <v>63743.7</v>
      </c>
      <c r="D935" s="51">
        <v>0</v>
      </c>
    </row>
    <row r="936" spans="1:4" ht="15" customHeight="1">
      <c r="A936" s="50">
        <v>44965</v>
      </c>
      <c r="B936" s="49" t="s">
        <v>52</v>
      </c>
      <c r="C936" s="51">
        <v>63834.7</v>
      </c>
      <c r="D936" s="51">
        <v>0</v>
      </c>
    </row>
    <row r="937" spans="1:4" ht="15" customHeight="1">
      <c r="A937" s="50">
        <v>44965</v>
      </c>
      <c r="B937" s="49" t="s">
        <v>53</v>
      </c>
      <c r="C937" s="51">
        <v>63949.3</v>
      </c>
      <c r="D937" s="51">
        <v>0</v>
      </c>
    </row>
    <row r="938" spans="1:4" ht="15" customHeight="1">
      <c r="A938" s="50">
        <v>44966</v>
      </c>
      <c r="B938" s="49" t="s">
        <v>30</v>
      </c>
      <c r="C938" s="51">
        <v>63612.3</v>
      </c>
      <c r="D938" s="51">
        <v>0</v>
      </c>
    </row>
    <row r="939" spans="1:4" ht="15" customHeight="1">
      <c r="A939" s="50">
        <v>44966</v>
      </c>
      <c r="B939" s="49" t="s">
        <v>31</v>
      </c>
      <c r="C939" s="51">
        <v>63919.4</v>
      </c>
      <c r="D939" s="51">
        <v>0</v>
      </c>
    </row>
    <row r="940" spans="1:4" ht="15" customHeight="1">
      <c r="A940" s="50">
        <v>44966</v>
      </c>
      <c r="B940" s="49" t="s">
        <v>32</v>
      </c>
      <c r="C940" s="51">
        <v>63758.6</v>
      </c>
      <c r="D940" s="51">
        <v>0</v>
      </c>
    </row>
    <row r="941" spans="1:4" ht="15" customHeight="1">
      <c r="A941" s="50">
        <v>44966</v>
      </c>
      <c r="B941" s="49" t="s">
        <v>33</v>
      </c>
      <c r="C941" s="51">
        <v>63778.3</v>
      </c>
      <c r="D941" s="51">
        <v>0</v>
      </c>
    </row>
    <row r="942" spans="1:4" ht="15" customHeight="1">
      <c r="A942" s="50">
        <v>44966</v>
      </c>
      <c r="B942" s="49" t="s">
        <v>34</v>
      </c>
      <c r="C942" s="51">
        <v>64642.9</v>
      </c>
      <c r="D942" s="51">
        <v>0</v>
      </c>
    </row>
    <row r="943" spans="1:4" ht="15" customHeight="1">
      <c r="A943" s="50">
        <v>44966</v>
      </c>
      <c r="B943" s="49" t="s">
        <v>35</v>
      </c>
      <c r="C943" s="51">
        <v>63677.9</v>
      </c>
      <c r="D943" s="51">
        <v>0</v>
      </c>
    </row>
    <row r="944" spans="1:4" ht="15" customHeight="1">
      <c r="A944" s="50">
        <v>44966</v>
      </c>
      <c r="B944" s="49" t="s">
        <v>36</v>
      </c>
      <c r="C944" s="51">
        <v>64043.6</v>
      </c>
      <c r="D944" s="51">
        <v>0</v>
      </c>
    </row>
    <row r="945" spans="1:4" ht="15" customHeight="1">
      <c r="A945" s="50">
        <v>44966</v>
      </c>
      <c r="B945" s="49" t="s">
        <v>37</v>
      </c>
      <c r="C945" s="51">
        <v>64136.1</v>
      </c>
      <c r="D945" s="51">
        <v>0</v>
      </c>
    </row>
    <row r="946" spans="1:4" ht="15" customHeight="1">
      <c r="A946" s="50">
        <v>44966</v>
      </c>
      <c r="B946" s="49" t="s">
        <v>38</v>
      </c>
      <c r="C946" s="51">
        <v>64008.9</v>
      </c>
      <c r="D946" s="51">
        <v>0</v>
      </c>
    </row>
    <row r="947" spans="1:4" ht="15" customHeight="1">
      <c r="A947" s="50">
        <v>44966</v>
      </c>
      <c r="B947" s="49" t="s">
        <v>39</v>
      </c>
      <c r="C947" s="51">
        <v>64279.4</v>
      </c>
      <c r="D947" s="51">
        <v>0</v>
      </c>
    </row>
    <row r="948" spans="1:4" ht="15" customHeight="1">
      <c r="A948" s="50">
        <v>44966</v>
      </c>
      <c r="B948" s="49" t="s">
        <v>40</v>
      </c>
      <c r="C948" s="51">
        <v>64073.2</v>
      </c>
      <c r="D948" s="51">
        <v>0</v>
      </c>
    </row>
    <row r="949" spans="1:4" ht="15" customHeight="1">
      <c r="A949" s="50">
        <v>44966</v>
      </c>
      <c r="B949" s="49" t="s">
        <v>41</v>
      </c>
      <c r="C949" s="51">
        <v>63977.5</v>
      </c>
      <c r="D949" s="51">
        <v>0</v>
      </c>
    </row>
    <row r="950" spans="1:4" ht="15" customHeight="1">
      <c r="A950" s="50">
        <v>44966</v>
      </c>
      <c r="B950" s="49" t="s">
        <v>42</v>
      </c>
      <c r="C950" s="51">
        <v>63957.1</v>
      </c>
      <c r="D950" s="51">
        <v>0</v>
      </c>
    </row>
    <row r="951" spans="1:4" ht="15" customHeight="1">
      <c r="A951" s="50">
        <v>44966</v>
      </c>
      <c r="B951" s="49" t="s">
        <v>43</v>
      </c>
      <c r="C951" s="51">
        <v>63972.1</v>
      </c>
      <c r="D951" s="51">
        <v>0</v>
      </c>
    </row>
    <row r="952" spans="1:4" ht="15" customHeight="1">
      <c r="A952" s="50">
        <v>44966</v>
      </c>
      <c r="B952" s="49" t="s">
        <v>44</v>
      </c>
      <c r="C952" s="51">
        <v>63938.3</v>
      </c>
      <c r="D952" s="51">
        <v>0</v>
      </c>
    </row>
    <row r="953" spans="1:4" ht="15" customHeight="1">
      <c r="A953" s="50">
        <v>44966</v>
      </c>
      <c r="B953" s="49" t="s">
        <v>45</v>
      </c>
      <c r="C953" s="51">
        <v>63923</v>
      </c>
      <c r="D953" s="51">
        <v>0</v>
      </c>
    </row>
    <row r="954" spans="1:4" ht="15" customHeight="1">
      <c r="A954" s="50">
        <v>44966</v>
      </c>
      <c r="B954" s="49" t="s">
        <v>46</v>
      </c>
      <c r="C954" s="51">
        <v>64043.3</v>
      </c>
      <c r="D954" s="51">
        <v>0</v>
      </c>
    </row>
    <row r="955" spans="1:4" ht="15" customHeight="1">
      <c r="A955" s="50">
        <v>44966</v>
      </c>
      <c r="B955" s="49" t="s">
        <v>47</v>
      </c>
      <c r="C955" s="51">
        <v>63898.6</v>
      </c>
      <c r="D955" s="51">
        <v>0</v>
      </c>
    </row>
    <row r="956" spans="1:4" ht="15" customHeight="1">
      <c r="A956" s="50">
        <v>44966</v>
      </c>
      <c r="B956" s="49" t="s">
        <v>48</v>
      </c>
      <c r="C956" s="51">
        <v>63831.3</v>
      </c>
      <c r="D956" s="51">
        <v>0</v>
      </c>
    </row>
    <row r="957" spans="1:4" ht="15" customHeight="1">
      <c r="A957" s="50">
        <v>44966</v>
      </c>
      <c r="B957" s="49" t="s">
        <v>49</v>
      </c>
      <c r="C957" s="51">
        <v>63798.1</v>
      </c>
      <c r="D957" s="51">
        <v>0</v>
      </c>
    </row>
    <row r="958" spans="1:4" ht="15" customHeight="1">
      <c r="A958" s="50">
        <v>44966</v>
      </c>
      <c r="B958" s="49" t="s">
        <v>50</v>
      </c>
      <c r="C958" s="51">
        <v>64013.3</v>
      </c>
      <c r="D958" s="51">
        <v>0</v>
      </c>
    </row>
    <row r="959" spans="1:4" ht="15" customHeight="1">
      <c r="A959" s="50">
        <v>44966</v>
      </c>
      <c r="B959" s="49" t="s">
        <v>51</v>
      </c>
      <c r="C959" s="51">
        <v>63842.3</v>
      </c>
      <c r="D959" s="51">
        <v>0</v>
      </c>
    </row>
    <row r="960" spans="1:4" ht="15" customHeight="1">
      <c r="A960" s="50">
        <v>44966</v>
      </c>
      <c r="B960" s="49" t="s">
        <v>52</v>
      </c>
      <c r="C960" s="51">
        <v>63705.2</v>
      </c>
      <c r="D960" s="51">
        <v>0</v>
      </c>
    </row>
    <row r="961" spans="1:4" ht="15" customHeight="1">
      <c r="A961" s="50">
        <v>44966</v>
      </c>
      <c r="B961" s="49" t="s">
        <v>53</v>
      </c>
      <c r="C961" s="51">
        <v>64049.1</v>
      </c>
      <c r="D961" s="51">
        <v>0</v>
      </c>
    </row>
    <row r="962" spans="1:4" ht="15" customHeight="1">
      <c r="A962" s="50">
        <v>44967</v>
      </c>
      <c r="B962" s="49" t="s">
        <v>30</v>
      </c>
      <c r="C962" s="51">
        <v>63866.5</v>
      </c>
      <c r="D962" s="51">
        <v>0</v>
      </c>
    </row>
    <row r="963" spans="1:4" ht="15" customHeight="1">
      <c r="A963" s="50">
        <v>44967</v>
      </c>
      <c r="B963" s="49" t="s">
        <v>31</v>
      </c>
      <c r="C963" s="51">
        <v>63881.599999999999</v>
      </c>
      <c r="D963" s="51">
        <v>0</v>
      </c>
    </row>
    <row r="964" spans="1:4" ht="15" customHeight="1">
      <c r="A964" s="50">
        <v>44967</v>
      </c>
      <c r="B964" s="49" t="s">
        <v>32</v>
      </c>
      <c r="C964" s="51">
        <v>64007.4</v>
      </c>
      <c r="D964" s="51">
        <v>0</v>
      </c>
    </row>
    <row r="965" spans="1:4" ht="15" customHeight="1">
      <c r="A965" s="50">
        <v>44967</v>
      </c>
      <c r="B965" s="49" t="s">
        <v>33</v>
      </c>
      <c r="C965" s="51">
        <v>63905.599999999999</v>
      </c>
      <c r="D965" s="51">
        <v>0</v>
      </c>
    </row>
    <row r="966" spans="1:4" ht="15" customHeight="1">
      <c r="A966" s="50">
        <v>44967</v>
      </c>
      <c r="B966" s="49" t="s">
        <v>34</v>
      </c>
      <c r="C966" s="51">
        <v>64009.599999999999</v>
      </c>
      <c r="D966" s="51">
        <v>0</v>
      </c>
    </row>
    <row r="967" spans="1:4" ht="15" customHeight="1">
      <c r="A967" s="50">
        <v>44967</v>
      </c>
      <c r="B967" s="49" t="s">
        <v>35</v>
      </c>
      <c r="C967" s="51">
        <v>62932</v>
      </c>
      <c r="D967" s="51">
        <v>0</v>
      </c>
    </row>
    <row r="968" spans="1:4" ht="15" customHeight="1">
      <c r="A968" s="50">
        <v>44967</v>
      </c>
      <c r="B968" s="49" t="s">
        <v>36</v>
      </c>
      <c r="C968" s="51">
        <v>63778.2</v>
      </c>
      <c r="D968" s="51">
        <v>0</v>
      </c>
    </row>
    <row r="969" spans="1:4" ht="15" customHeight="1">
      <c r="A969" s="50">
        <v>44967</v>
      </c>
      <c r="B969" s="49" t="s">
        <v>37</v>
      </c>
      <c r="C969" s="51">
        <v>63604.1</v>
      </c>
      <c r="D969" s="51">
        <v>0</v>
      </c>
    </row>
    <row r="970" spans="1:4" ht="15" customHeight="1">
      <c r="A970" s="50">
        <v>44967</v>
      </c>
      <c r="B970" s="49" t="s">
        <v>38</v>
      </c>
      <c r="C970" s="51">
        <v>63297.1</v>
      </c>
      <c r="D970" s="51">
        <v>0</v>
      </c>
    </row>
    <row r="971" spans="1:4" ht="15" customHeight="1">
      <c r="A971" s="50">
        <v>44967</v>
      </c>
      <c r="B971" s="49" t="s">
        <v>39</v>
      </c>
      <c r="C971" s="51">
        <v>64027.3</v>
      </c>
      <c r="D971" s="51">
        <v>0</v>
      </c>
    </row>
    <row r="972" spans="1:4" ht="15" customHeight="1">
      <c r="A972" s="50">
        <v>44967</v>
      </c>
      <c r="B972" s="49" t="s">
        <v>40</v>
      </c>
      <c r="C972" s="51">
        <v>63851.1</v>
      </c>
      <c r="D972" s="51">
        <v>0</v>
      </c>
    </row>
    <row r="973" spans="1:4" ht="15" customHeight="1">
      <c r="A973" s="50">
        <v>44967</v>
      </c>
      <c r="B973" s="49" t="s">
        <v>41</v>
      </c>
      <c r="C973" s="51">
        <v>63760</v>
      </c>
      <c r="D973" s="51">
        <v>0</v>
      </c>
    </row>
    <row r="974" spans="1:4" ht="15" customHeight="1">
      <c r="A974" s="50">
        <v>44967</v>
      </c>
      <c r="B974" s="49" t="s">
        <v>42</v>
      </c>
      <c r="C974" s="51">
        <v>63810.7</v>
      </c>
      <c r="D974" s="51">
        <v>0</v>
      </c>
    </row>
    <row r="975" spans="1:4" ht="15" customHeight="1">
      <c r="A975" s="50">
        <v>44967</v>
      </c>
      <c r="B975" s="49" t="s">
        <v>43</v>
      </c>
      <c r="C975" s="51">
        <v>63860.2</v>
      </c>
      <c r="D975" s="51">
        <v>0</v>
      </c>
    </row>
    <row r="976" spans="1:4" ht="15" customHeight="1">
      <c r="A976" s="50">
        <v>44967</v>
      </c>
      <c r="B976" s="49" t="s">
        <v>44</v>
      </c>
      <c r="C976" s="51">
        <v>63819.7</v>
      </c>
      <c r="D976" s="51">
        <v>0</v>
      </c>
    </row>
    <row r="977" spans="1:4" ht="15" customHeight="1">
      <c r="A977" s="50">
        <v>44967</v>
      </c>
      <c r="B977" s="49" t="s">
        <v>45</v>
      </c>
      <c r="C977" s="51">
        <v>63797.9</v>
      </c>
      <c r="D977" s="51">
        <v>0</v>
      </c>
    </row>
    <row r="978" spans="1:4" ht="15" customHeight="1">
      <c r="A978" s="50">
        <v>44967</v>
      </c>
      <c r="B978" s="49" t="s">
        <v>46</v>
      </c>
      <c r="C978" s="51">
        <v>63783.7</v>
      </c>
      <c r="D978" s="51">
        <v>0</v>
      </c>
    </row>
    <row r="979" spans="1:4" ht="15" customHeight="1">
      <c r="A979" s="50">
        <v>44967</v>
      </c>
      <c r="B979" s="49" t="s">
        <v>47</v>
      </c>
      <c r="C979" s="51">
        <v>63866</v>
      </c>
      <c r="D979" s="51">
        <v>0</v>
      </c>
    </row>
    <row r="980" spans="1:4" ht="15" customHeight="1">
      <c r="A980" s="50">
        <v>44967</v>
      </c>
      <c r="B980" s="49" t="s">
        <v>48</v>
      </c>
      <c r="C980" s="51">
        <v>63935.3</v>
      </c>
      <c r="D980" s="51">
        <v>0</v>
      </c>
    </row>
    <row r="981" spans="1:4" ht="15" customHeight="1">
      <c r="A981" s="50">
        <v>44967</v>
      </c>
      <c r="B981" s="49" t="s">
        <v>49</v>
      </c>
      <c r="C981" s="51">
        <v>63733.5</v>
      </c>
      <c r="D981" s="51">
        <v>0</v>
      </c>
    </row>
    <row r="982" spans="1:4" ht="15" customHeight="1">
      <c r="A982" s="50">
        <v>44967</v>
      </c>
      <c r="B982" s="49" t="s">
        <v>50</v>
      </c>
      <c r="C982" s="51">
        <v>63698.8</v>
      </c>
      <c r="D982" s="51">
        <v>0</v>
      </c>
    </row>
    <row r="983" spans="1:4" ht="15" customHeight="1">
      <c r="A983" s="50">
        <v>44967</v>
      </c>
      <c r="B983" s="49" t="s">
        <v>51</v>
      </c>
      <c r="C983" s="51">
        <v>63619.7</v>
      </c>
      <c r="D983" s="51">
        <v>0</v>
      </c>
    </row>
    <row r="984" spans="1:4" ht="15" customHeight="1">
      <c r="A984" s="50">
        <v>44967</v>
      </c>
      <c r="B984" s="49" t="s">
        <v>52</v>
      </c>
      <c r="C984" s="51">
        <v>63693</v>
      </c>
      <c r="D984" s="51">
        <v>0</v>
      </c>
    </row>
    <row r="985" spans="1:4" ht="15" customHeight="1">
      <c r="A985" s="50">
        <v>44967</v>
      </c>
      <c r="B985" s="49" t="s">
        <v>53</v>
      </c>
      <c r="C985" s="51">
        <v>63852.5</v>
      </c>
      <c r="D985" s="51">
        <v>0</v>
      </c>
    </row>
    <row r="986" spans="1:4" ht="15" customHeight="1">
      <c r="A986" s="50">
        <v>44968</v>
      </c>
      <c r="B986" s="49" t="s">
        <v>30</v>
      </c>
      <c r="C986" s="51">
        <v>63638.8</v>
      </c>
      <c r="D986" s="51">
        <v>0</v>
      </c>
    </row>
    <row r="987" spans="1:4" ht="15" customHeight="1">
      <c r="A987" s="50">
        <v>44968</v>
      </c>
      <c r="B987" s="49" t="s">
        <v>31</v>
      </c>
      <c r="C987" s="51">
        <v>63907.5</v>
      </c>
      <c r="D987" s="51">
        <v>0</v>
      </c>
    </row>
    <row r="988" spans="1:4" ht="15" customHeight="1">
      <c r="A988" s="50">
        <v>44968</v>
      </c>
      <c r="B988" s="49" t="s">
        <v>32</v>
      </c>
      <c r="C988" s="51">
        <v>63804.5</v>
      </c>
      <c r="D988" s="51">
        <v>0</v>
      </c>
    </row>
    <row r="989" spans="1:4" ht="15" customHeight="1">
      <c r="A989" s="50">
        <v>44968</v>
      </c>
      <c r="B989" s="49" t="s">
        <v>33</v>
      </c>
      <c r="C989" s="51">
        <v>63834.400000000001</v>
      </c>
      <c r="D989" s="51">
        <v>0</v>
      </c>
    </row>
    <row r="990" spans="1:4" ht="15" customHeight="1">
      <c r="A990" s="50">
        <v>44968</v>
      </c>
      <c r="B990" s="49" t="s">
        <v>34</v>
      </c>
      <c r="C990" s="51">
        <v>64312.5</v>
      </c>
      <c r="D990" s="51">
        <v>0</v>
      </c>
    </row>
    <row r="991" spans="1:4" ht="15" customHeight="1">
      <c r="A991" s="50">
        <v>44968</v>
      </c>
      <c r="B991" s="49" t="s">
        <v>35</v>
      </c>
      <c r="C991" s="51">
        <v>63073.3</v>
      </c>
      <c r="D991" s="51">
        <v>0</v>
      </c>
    </row>
    <row r="992" spans="1:4" ht="15" customHeight="1">
      <c r="A992" s="50">
        <v>44968</v>
      </c>
      <c r="B992" s="49" t="s">
        <v>36</v>
      </c>
      <c r="C992" s="51">
        <v>63225</v>
      </c>
      <c r="D992" s="51">
        <v>0</v>
      </c>
    </row>
    <row r="993" spans="1:4" ht="15" customHeight="1">
      <c r="A993" s="50">
        <v>44968</v>
      </c>
      <c r="B993" s="49" t="s">
        <v>37</v>
      </c>
      <c r="C993" s="51">
        <v>63241.599999999999</v>
      </c>
      <c r="D993" s="51">
        <v>0</v>
      </c>
    </row>
    <row r="994" spans="1:4" ht="15" customHeight="1">
      <c r="A994" s="50">
        <v>44968</v>
      </c>
      <c r="B994" s="49" t="s">
        <v>38</v>
      </c>
      <c r="C994" s="51">
        <v>62760.1</v>
      </c>
      <c r="D994" s="51">
        <v>0</v>
      </c>
    </row>
    <row r="995" spans="1:4" ht="15" customHeight="1">
      <c r="A995" s="50">
        <v>44968</v>
      </c>
      <c r="B995" s="49" t="s">
        <v>39</v>
      </c>
      <c r="C995" s="51">
        <v>63270</v>
      </c>
      <c r="D995" s="51">
        <v>0</v>
      </c>
    </row>
    <row r="996" spans="1:4" ht="15" customHeight="1">
      <c r="A996" s="50">
        <v>44968</v>
      </c>
      <c r="B996" s="49" t="s">
        <v>40</v>
      </c>
      <c r="C996" s="51">
        <v>62703.8</v>
      </c>
      <c r="D996" s="51">
        <v>0</v>
      </c>
    </row>
    <row r="997" spans="1:4" ht="15" customHeight="1">
      <c r="A997" s="50">
        <v>44968</v>
      </c>
      <c r="B997" s="49" t="s">
        <v>41</v>
      </c>
      <c r="C997" s="51">
        <v>63212.9</v>
      </c>
      <c r="D997" s="51">
        <v>0</v>
      </c>
    </row>
    <row r="998" spans="1:4" ht="15" customHeight="1">
      <c r="A998" s="50">
        <v>44968</v>
      </c>
      <c r="B998" s="49" t="s">
        <v>42</v>
      </c>
      <c r="C998" s="51">
        <v>63161.1</v>
      </c>
      <c r="D998" s="51">
        <v>0</v>
      </c>
    </row>
    <row r="999" spans="1:4" ht="15" customHeight="1">
      <c r="A999" s="50">
        <v>44968</v>
      </c>
      <c r="B999" s="49" t="s">
        <v>43</v>
      </c>
      <c r="C999" s="51">
        <v>63151</v>
      </c>
      <c r="D999" s="51">
        <v>0</v>
      </c>
    </row>
    <row r="1000" spans="1:4" ht="15" customHeight="1">
      <c r="A1000" s="50">
        <v>44968</v>
      </c>
      <c r="B1000" s="49" t="s">
        <v>44</v>
      </c>
      <c r="C1000" s="51">
        <v>63262.8</v>
      </c>
      <c r="D1000" s="51">
        <v>0</v>
      </c>
    </row>
    <row r="1001" spans="1:4" ht="15" customHeight="1">
      <c r="A1001" s="50">
        <v>44968</v>
      </c>
      <c r="B1001" s="49" t="s">
        <v>45</v>
      </c>
      <c r="C1001" s="51">
        <v>63263.1</v>
      </c>
      <c r="D1001" s="51">
        <v>0</v>
      </c>
    </row>
    <row r="1002" spans="1:4" ht="15" customHeight="1">
      <c r="A1002" s="50">
        <v>44968</v>
      </c>
      <c r="B1002" s="49" t="s">
        <v>46</v>
      </c>
      <c r="C1002" s="51">
        <v>63115.8</v>
      </c>
      <c r="D1002" s="51">
        <v>0</v>
      </c>
    </row>
    <row r="1003" spans="1:4" ht="15" customHeight="1">
      <c r="A1003" s="50">
        <v>44968</v>
      </c>
      <c r="B1003" s="49" t="s">
        <v>47</v>
      </c>
      <c r="C1003" s="51">
        <v>63190.9</v>
      </c>
      <c r="D1003" s="51">
        <v>0</v>
      </c>
    </row>
    <row r="1004" spans="1:4" ht="15" customHeight="1">
      <c r="A1004" s="50">
        <v>44968</v>
      </c>
      <c r="B1004" s="49" t="s">
        <v>48</v>
      </c>
      <c r="C1004" s="51">
        <v>63117.3</v>
      </c>
      <c r="D1004" s="51">
        <v>0</v>
      </c>
    </row>
    <row r="1005" spans="1:4" ht="15" customHeight="1">
      <c r="A1005" s="50">
        <v>44968</v>
      </c>
      <c r="B1005" s="49" t="s">
        <v>49</v>
      </c>
      <c r="C1005" s="51">
        <v>63034.2</v>
      </c>
      <c r="D1005" s="51">
        <v>0</v>
      </c>
    </row>
    <row r="1006" spans="1:4" ht="15" customHeight="1">
      <c r="A1006" s="50">
        <v>44968</v>
      </c>
      <c r="B1006" s="49" t="s">
        <v>50</v>
      </c>
      <c r="C1006" s="51">
        <v>63147.3</v>
      </c>
      <c r="D1006" s="51">
        <v>0</v>
      </c>
    </row>
    <row r="1007" spans="1:4" ht="15" customHeight="1">
      <c r="A1007" s="50">
        <v>44968</v>
      </c>
      <c r="B1007" s="49" t="s">
        <v>51</v>
      </c>
      <c r="C1007" s="51">
        <v>63177.599999999999</v>
      </c>
      <c r="D1007" s="51">
        <v>0</v>
      </c>
    </row>
    <row r="1008" spans="1:4" ht="15" customHeight="1">
      <c r="A1008" s="50">
        <v>44968</v>
      </c>
      <c r="B1008" s="49" t="s">
        <v>52</v>
      </c>
      <c r="C1008" s="51">
        <v>63124.5</v>
      </c>
      <c r="D1008" s="51">
        <v>0</v>
      </c>
    </row>
    <row r="1009" spans="1:4" ht="15" customHeight="1">
      <c r="A1009" s="50">
        <v>44968</v>
      </c>
      <c r="B1009" s="49" t="s">
        <v>53</v>
      </c>
      <c r="C1009" s="51">
        <v>63061.4</v>
      </c>
      <c r="D1009" s="51">
        <v>0</v>
      </c>
    </row>
    <row r="1010" spans="1:4" ht="15" customHeight="1">
      <c r="A1010" s="50">
        <v>44969</v>
      </c>
      <c r="B1010" s="49" t="s">
        <v>30</v>
      </c>
      <c r="C1010" s="51">
        <v>63054.1</v>
      </c>
      <c r="D1010" s="51">
        <v>0</v>
      </c>
    </row>
    <row r="1011" spans="1:4" ht="15" customHeight="1">
      <c r="A1011" s="50">
        <v>44969</v>
      </c>
      <c r="B1011" s="49" t="s">
        <v>31</v>
      </c>
      <c r="C1011" s="51">
        <v>63101.3</v>
      </c>
      <c r="D1011" s="51">
        <v>0</v>
      </c>
    </row>
    <row r="1012" spans="1:4" ht="15" customHeight="1">
      <c r="A1012" s="50">
        <v>44969</v>
      </c>
      <c r="B1012" s="49" t="s">
        <v>32</v>
      </c>
      <c r="C1012" s="51">
        <v>63149.7</v>
      </c>
      <c r="D1012" s="51">
        <v>0</v>
      </c>
    </row>
    <row r="1013" spans="1:4" ht="15" customHeight="1">
      <c r="A1013" s="50">
        <v>44969</v>
      </c>
      <c r="B1013" s="49" t="s">
        <v>33</v>
      </c>
      <c r="C1013" s="51">
        <v>63085.1</v>
      </c>
      <c r="D1013" s="51">
        <v>0</v>
      </c>
    </row>
    <row r="1014" spans="1:4" ht="15" customHeight="1">
      <c r="A1014" s="50">
        <v>44969</v>
      </c>
      <c r="B1014" s="49" t="s">
        <v>34</v>
      </c>
      <c r="C1014" s="51">
        <v>63247.199999999997</v>
      </c>
      <c r="D1014" s="51">
        <v>0</v>
      </c>
    </row>
    <row r="1015" spans="1:4" ht="15" customHeight="1">
      <c r="A1015" s="50">
        <v>44969</v>
      </c>
      <c r="B1015" s="49" t="s">
        <v>35</v>
      </c>
      <c r="C1015" s="51">
        <v>64498.1</v>
      </c>
      <c r="D1015" s="51">
        <v>0</v>
      </c>
    </row>
    <row r="1016" spans="1:4" ht="15" customHeight="1">
      <c r="A1016" s="50">
        <v>44969</v>
      </c>
      <c r="B1016" s="49" t="s">
        <v>36</v>
      </c>
      <c r="C1016" s="51">
        <v>64149.8</v>
      </c>
      <c r="D1016" s="51">
        <v>0</v>
      </c>
    </row>
    <row r="1017" spans="1:4" ht="15" customHeight="1">
      <c r="A1017" s="50">
        <v>44969</v>
      </c>
      <c r="B1017" s="49" t="s">
        <v>37</v>
      </c>
      <c r="C1017" s="51">
        <v>64279</v>
      </c>
      <c r="D1017" s="51">
        <v>0</v>
      </c>
    </row>
    <row r="1018" spans="1:4" ht="15" customHeight="1">
      <c r="A1018" s="50">
        <v>44969</v>
      </c>
      <c r="B1018" s="49" t="s">
        <v>38</v>
      </c>
      <c r="C1018" s="51">
        <v>64246.7</v>
      </c>
      <c r="D1018" s="51">
        <v>0</v>
      </c>
    </row>
    <row r="1019" spans="1:4" ht="15" customHeight="1">
      <c r="A1019" s="50">
        <v>44969</v>
      </c>
      <c r="B1019" s="49" t="s">
        <v>39</v>
      </c>
      <c r="C1019" s="51">
        <v>64159.7</v>
      </c>
      <c r="D1019" s="51">
        <v>0</v>
      </c>
    </row>
    <row r="1020" spans="1:4" ht="15" customHeight="1">
      <c r="A1020" s="50">
        <v>44969</v>
      </c>
      <c r="B1020" s="49" t="s">
        <v>40</v>
      </c>
      <c r="C1020" s="51">
        <v>64785.3</v>
      </c>
      <c r="D1020" s="51">
        <v>0</v>
      </c>
    </row>
    <row r="1021" spans="1:4" ht="15" customHeight="1">
      <c r="A1021" s="50">
        <v>44969</v>
      </c>
      <c r="B1021" s="49" t="s">
        <v>41</v>
      </c>
      <c r="C1021" s="51">
        <v>64279.5</v>
      </c>
      <c r="D1021" s="51">
        <v>0</v>
      </c>
    </row>
    <row r="1022" spans="1:4" ht="15" customHeight="1">
      <c r="A1022" s="50">
        <v>44969</v>
      </c>
      <c r="B1022" s="49" t="s">
        <v>42</v>
      </c>
      <c r="C1022" s="51">
        <v>64287.1</v>
      </c>
      <c r="D1022" s="51">
        <v>0</v>
      </c>
    </row>
    <row r="1023" spans="1:4" ht="15" customHeight="1">
      <c r="A1023" s="50">
        <v>44969</v>
      </c>
      <c r="B1023" s="49" t="s">
        <v>43</v>
      </c>
      <c r="C1023" s="51">
        <v>64286.8</v>
      </c>
      <c r="D1023" s="51">
        <v>0</v>
      </c>
    </row>
    <row r="1024" spans="1:4" ht="15" customHeight="1">
      <c r="A1024" s="50">
        <v>44969</v>
      </c>
      <c r="B1024" s="49" t="s">
        <v>44</v>
      </c>
      <c r="C1024" s="51">
        <v>64243.5</v>
      </c>
      <c r="D1024" s="51">
        <v>0</v>
      </c>
    </row>
    <row r="1025" spans="1:4" ht="15" customHeight="1">
      <c r="A1025" s="50">
        <v>44969</v>
      </c>
      <c r="B1025" s="49" t="s">
        <v>45</v>
      </c>
      <c r="C1025" s="51">
        <v>64320.1</v>
      </c>
      <c r="D1025" s="51">
        <v>0</v>
      </c>
    </row>
    <row r="1026" spans="1:4" ht="15" customHeight="1">
      <c r="A1026" s="50">
        <v>44969</v>
      </c>
      <c r="B1026" s="49" t="s">
        <v>46</v>
      </c>
      <c r="C1026" s="51">
        <v>63778.9</v>
      </c>
      <c r="D1026" s="51">
        <v>0</v>
      </c>
    </row>
    <row r="1027" spans="1:4" ht="15" customHeight="1">
      <c r="A1027" s="50">
        <v>44969</v>
      </c>
      <c r="B1027" s="49" t="s">
        <v>47</v>
      </c>
      <c r="C1027" s="51">
        <v>63806.1</v>
      </c>
      <c r="D1027" s="51">
        <v>0</v>
      </c>
    </row>
    <row r="1028" spans="1:4" ht="15" customHeight="1">
      <c r="A1028" s="50">
        <v>44969</v>
      </c>
      <c r="B1028" s="49" t="s">
        <v>48</v>
      </c>
      <c r="C1028" s="51">
        <v>63543.5</v>
      </c>
      <c r="D1028" s="51">
        <v>0</v>
      </c>
    </row>
    <row r="1029" spans="1:4" ht="15" customHeight="1">
      <c r="A1029" s="50">
        <v>44969</v>
      </c>
      <c r="B1029" s="49" t="s">
        <v>49</v>
      </c>
      <c r="C1029" s="51">
        <v>63758.8</v>
      </c>
      <c r="D1029" s="51">
        <v>0</v>
      </c>
    </row>
    <row r="1030" spans="1:4" ht="15" customHeight="1">
      <c r="A1030" s="50">
        <v>44969</v>
      </c>
      <c r="B1030" s="49" t="s">
        <v>50</v>
      </c>
      <c r="C1030" s="51">
        <v>63864.6</v>
      </c>
      <c r="D1030" s="51">
        <v>0</v>
      </c>
    </row>
    <row r="1031" spans="1:4" ht="15" customHeight="1">
      <c r="A1031" s="50">
        <v>44969</v>
      </c>
      <c r="B1031" s="49" t="s">
        <v>51</v>
      </c>
      <c r="C1031" s="51">
        <v>63734</v>
      </c>
      <c r="D1031" s="51">
        <v>0</v>
      </c>
    </row>
    <row r="1032" spans="1:4" ht="15" customHeight="1">
      <c r="A1032" s="50">
        <v>44969</v>
      </c>
      <c r="B1032" s="49" t="s">
        <v>52</v>
      </c>
      <c r="C1032" s="51">
        <v>63668.4</v>
      </c>
      <c r="D1032" s="51">
        <v>0</v>
      </c>
    </row>
    <row r="1033" spans="1:4" ht="15" customHeight="1">
      <c r="A1033" s="50">
        <v>44969</v>
      </c>
      <c r="B1033" s="49" t="s">
        <v>53</v>
      </c>
      <c r="C1033" s="51">
        <v>63866.6</v>
      </c>
      <c r="D1033" s="51">
        <v>0</v>
      </c>
    </row>
    <row r="1034" spans="1:4" ht="15" customHeight="1">
      <c r="A1034" s="50">
        <v>44970</v>
      </c>
      <c r="B1034" s="49" t="s">
        <v>30</v>
      </c>
      <c r="C1034" s="51">
        <v>63619.3</v>
      </c>
      <c r="D1034" s="51">
        <v>0</v>
      </c>
    </row>
    <row r="1035" spans="1:4" ht="15" customHeight="1">
      <c r="A1035" s="50">
        <v>44970</v>
      </c>
      <c r="B1035" s="49" t="s">
        <v>31</v>
      </c>
      <c r="C1035" s="51">
        <v>63774.7</v>
      </c>
      <c r="D1035" s="51">
        <v>0</v>
      </c>
    </row>
    <row r="1036" spans="1:4" ht="15" customHeight="1">
      <c r="A1036" s="50">
        <v>44970</v>
      </c>
      <c r="B1036" s="49" t="s">
        <v>32</v>
      </c>
      <c r="C1036" s="51">
        <v>63956.6</v>
      </c>
      <c r="D1036" s="51">
        <v>0</v>
      </c>
    </row>
    <row r="1037" spans="1:4" ht="15" customHeight="1">
      <c r="A1037" s="50">
        <v>44970</v>
      </c>
      <c r="B1037" s="49" t="s">
        <v>33</v>
      </c>
      <c r="C1037" s="51">
        <v>63833.1</v>
      </c>
      <c r="D1037" s="51">
        <v>0</v>
      </c>
    </row>
    <row r="1038" spans="1:4" ht="15" customHeight="1">
      <c r="A1038" s="50">
        <v>44970</v>
      </c>
      <c r="B1038" s="49" t="s">
        <v>34</v>
      </c>
      <c r="C1038" s="51">
        <v>63986.9</v>
      </c>
      <c r="D1038" s="51">
        <v>0</v>
      </c>
    </row>
    <row r="1039" spans="1:4" ht="15" customHeight="1">
      <c r="A1039" s="50">
        <v>44970</v>
      </c>
      <c r="B1039" s="49" t="s">
        <v>35</v>
      </c>
      <c r="C1039" s="51">
        <v>63706.2</v>
      </c>
      <c r="D1039" s="51">
        <v>0</v>
      </c>
    </row>
    <row r="1040" spans="1:4" ht="15" customHeight="1">
      <c r="A1040" s="50">
        <v>44970</v>
      </c>
      <c r="B1040" s="49" t="s">
        <v>36</v>
      </c>
      <c r="C1040" s="51">
        <v>63545</v>
      </c>
      <c r="D1040" s="51">
        <v>0</v>
      </c>
    </row>
    <row r="1041" spans="1:4" ht="15" customHeight="1">
      <c r="A1041" s="50">
        <v>44970</v>
      </c>
      <c r="B1041" s="49" t="s">
        <v>37</v>
      </c>
      <c r="C1041" s="51">
        <v>63618.5</v>
      </c>
      <c r="D1041" s="51">
        <v>0</v>
      </c>
    </row>
    <row r="1042" spans="1:4" ht="15" customHeight="1">
      <c r="A1042" s="50">
        <v>44970</v>
      </c>
      <c r="B1042" s="49" t="s">
        <v>38</v>
      </c>
      <c r="C1042" s="51">
        <v>63529.4</v>
      </c>
      <c r="D1042" s="51">
        <v>0</v>
      </c>
    </row>
    <row r="1043" spans="1:4" ht="15" customHeight="1">
      <c r="A1043" s="50">
        <v>44970</v>
      </c>
      <c r="B1043" s="49" t="s">
        <v>39</v>
      </c>
      <c r="C1043" s="51">
        <v>61489.1</v>
      </c>
      <c r="D1043" s="51">
        <v>0</v>
      </c>
    </row>
    <row r="1044" spans="1:4" ht="15" customHeight="1">
      <c r="A1044" s="50">
        <v>44970</v>
      </c>
      <c r="B1044" s="49" t="s">
        <v>40</v>
      </c>
      <c r="C1044" s="51">
        <v>61750.400000000001</v>
      </c>
      <c r="D1044" s="51">
        <v>0</v>
      </c>
    </row>
    <row r="1045" spans="1:4" ht="15" customHeight="1">
      <c r="A1045" s="50">
        <v>44970</v>
      </c>
      <c r="B1045" s="49" t="s">
        <v>41</v>
      </c>
      <c r="C1045" s="51">
        <v>61642.3</v>
      </c>
      <c r="D1045" s="51">
        <v>0</v>
      </c>
    </row>
    <row r="1046" spans="1:4" ht="15" customHeight="1">
      <c r="A1046" s="50">
        <v>44970</v>
      </c>
      <c r="B1046" s="49" t="s">
        <v>42</v>
      </c>
      <c r="C1046" s="51">
        <v>61536.1</v>
      </c>
      <c r="D1046" s="51">
        <v>0</v>
      </c>
    </row>
    <row r="1047" spans="1:4" ht="15" customHeight="1">
      <c r="A1047" s="50">
        <v>44970</v>
      </c>
      <c r="B1047" s="49" t="s">
        <v>43</v>
      </c>
      <c r="C1047" s="51">
        <v>61566.3</v>
      </c>
      <c r="D1047" s="51">
        <v>0</v>
      </c>
    </row>
    <row r="1048" spans="1:4" ht="15" customHeight="1">
      <c r="A1048" s="50">
        <v>44970</v>
      </c>
      <c r="B1048" s="49" t="s">
        <v>44</v>
      </c>
      <c r="C1048" s="51">
        <v>61444.800000000003</v>
      </c>
      <c r="D1048" s="51">
        <v>0</v>
      </c>
    </row>
    <row r="1049" spans="1:4" ht="15" customHeight="1">
      <c r="A1049" s="50">
        <v>44970</v>
      </c>
      <c r="B1049" s="49" t="s">
        <v>45</v>
      </c>
      <c r="C1049" s="51">
        <v>61433.2</v>
      </c>
      <c r="D1049" s="51">
        <v>0</v>
      </c>
    </row>
    <row r="1050" spans="1:4" ht="15" customHeight="1">
      <c r="A1050" s="50">
        <v>44970</v>
      </c>
      <c r="B1050" s="49" t="s">
        <v>46</v>
      </c>
      <c r="C1050" s="51">
        <v>61619.4</v>
      </c>
      <c r="D1050" s="51">
        <v>0</v>
      </c>
    </row>
    <row r="1051" spans="1:4" ht="15" customHeight="1">
      <c r="A1051" s="50">
        <v>44970</v>
      </c>
      <c r="B1051" s="49" t="s">
        <v>47</v>
      </c>
      <c r="C1051" s="51">
        <v>61413.3</v>
      </c>
      <c r="D1051" s="51">
        <v>0</v>
      </c>
    </row>
    <row r="1052" spans="1:4" ht="15" customHeight="1">
      <c r="A1052" s="50">
        <v>44970</v>
      </c>
      <c r="B1052" s="49" t="s">
        <v>48</v>
      </c>
      <c r="C1052" s="51">
        <v>62106.1</v>
      </c>
      <c r="D1052" s="51">
        <v>0</v>
      </c>
    </row>
    <row r="1053" spans="1:4" ht="15" customHeight="1">
      <c r="A1053" s="50">
        <v>44970</v>
      </c>
      <c r="B1053" s="49" t="s">
        <v>49</v>
      </c>
      <c r="C1053" s="51">
        <v>62404.6</v>
      </c>
      <c r="D1053" s="51">
        <v>0</v>
      </c>
    </row>
    <row r="1054" spans="1:4" ht="15" customHeight="1">
      <c r="A1054" s="50">
        <v>44970</v>
      </c>
      <c r="B1054" s="49" t="s">
        <v>50</v>
      </c>
      <c r="C1054" s="51">
        <v>62311.7</v>
      </c>
      <c r="D1054" s="51">
        <v>0</v>
      </c>
    </row>
    <row r="1055" spans="1:4" ht="15" customHeight="1">
      <c r="A1055" s="50">
        <v>44970</v>
      </c>
      <c r="B1055" s="49" t="s">
        <v>51</v>
      </c>
      <c r="C1055" s="51">
        <v>62173.7</v>
      </c>
      <c r="D1055" s="51">
        <v>0</v>
      </c>
    </row>
    <row r="1056" spans="1:4" ht="15" customHeight="1">
      <c r="A1056" s="50">
        <v>44970</v>
      </c>
      <c r="B1056" s="49" t="s">
        <v>52</v>
      </c>
      <c r="C1056" s="51">
        <v>62512.9</v>
      </c>
      <c r="D1056" s="51">
        <v>0</v>
      </c>
    </row>
    <row r="1057" spans="1:4" ht="15" customHeight="1">
      <c r="A1057" s="50">
        <v>44970</v>
      </c>
      <c r="B1057" s="49" t="s">
        <v>53</v>
      </c>
      <c r="C1057" s="51">
        <v>63104.800000000003</v>
      </c>
      <c r="D1057" s="51">
        <v>0</v>
      </c>
    </row>
    <row r="1058" spans="1:4" ht="15" customHeight="1">
      <c r="A1058" s="50">
        <v>44971</v>
      </c>
      <c r="B1058" s="49" t="s">
        <v>30</v>
      </c>
      <c r="C1058" s="51">
        <v>63820.1</v>
      </c>
      <c r="D1058" s="51">
        <v>0</v>
      </c>
    </row>
    <row r="1059" spans="1:4" ht="15" customHeight="1">
      <c r="A1059" s="50">
        <v>44971</v>
      </c>
      <c r="B1059" s="49" t="s">
        <v>31</v>
      </c>
      <c r="C1059" s="51">
        <v>63917.2</v>
      </c>
      <c r="D1059" s="51">
        <v>0</v>
      </c>
    </row>
    <row r="1060" spans="1:4" ht="15" customHeight="1">
      <c r="A1060" s="50">
        <v>44971</v>
      </c>
      <c r="B1060" s="49" t="s">
        <v>32</v>
      </c>
      <c r="C1060" s="51">
        <v>63868.800000000003</v>
      </c>
      <c r="D1060" s="51">
        <v>0</v>
      </c>
    </row>
    <row r="1061" spans="1:4" ht="15" customHeight="1">
      <c r="A1061" s="50">
        <v>44971</v>
      </c>
      <c r="B1061" s="49" t="s">
        <v>33</v>
      </c>
      <c r="C1061" s="51">
        <v>63742.400000000001</v>
      </c>
      <c r="D1061" s="51">
        <v>0</v>
      </c>
    </row>
    <row r="1062" spans="1:4" ht="15" customHeight="1">
      <c r="A1062" s="50">
        <v>44971</v>
      </c>
      <c r="B1062" s="49" t="s">
        <v>34</v>
      </c>
      <c r="C1062" s="51">
        <v>64129.3</v>
      </c>
      <c r="D1062" s="51">
        <v>0</v>
      </c>
    </row>
    <row r="1063" spans="1:4" ht="15" customHeight="1">
      <c r="A1063" s="50">
        <v>44971</v>
      </c>
      <c r="B1063" s="49" t="s">
        <v>35</v>
      </c>
      <c r="C1063" s="51">
        <v>60089</v>
      </c>
      <c r="D1063" s="51">
        <v>0</v>
      </c>
    </row>
    <row r="1064" spans="1:4" ht="15" customHeight="1">
      <c r="A1064" s="50">
        <v>44971</v>
      </c>
      <c r="B1064" s="49" t="s">
        <v>36</v>
      </c>
      <c r="C1064" s="51">
        <v>60088.7</v>
      </c>
      <c r="D1064" s="51">
        <v>0</v>
      </c>
    </row>
    <row r="1065" spans="1:4" ht="15" customHeight="1">
      <c r="A1065" s="50">
        <v>44971</v>
      </c>
      <c r="B1065" s="49" t="s">
        <v>37</v>
      </c>
      <c r="C1065" s="51">
        <v>59932.3</v>
      </c>
      <c r="D1065" s="51">
        <v>0</v>
      </c>
    </row>
    <row r="1066" spans="1:4" ht="15" customHeight="1">
      <c r="A1066" s="50">
        <v>44971</v>
      </c>
      <c r="B1066" s="49" t="s">
        <v>38</v>
      </c>
      <c r="C1066" s="51">
        <v>60196.1</v>
      </c>
      <c r="D1066" s="51">
        <v>0</v>
      </c>
    </row>
    <row r="1067" spans="1:4" ht="15" customHeight="1">
      <c r="A1067" s="50">
        <v>44971</v>
      </c>
      <c r="B1067" s="49" t="s">
        <v>39</v>
      </c>
      <c r="C1067" s="51">
        <v>60544.1</v>
      </c>
      <c r="D1067" s="51">
        <v>0</v>
      </c>
    </row>
    <row r="1068" spans="1:4" ht="15" customHeight="1">
      <c r="A1068" s="50">
        <v>44971</v>
      </c>
      <c r="B1068" s="49" t="s">
        <v>40</v>
      </c>
      <c r="C1068" s="51">
        <v>62636.3</v>
      </c>
      <c r="D1068" s="51">
        <v>0</v>
      </c>
    </row>
    <row r="1069" spans="1:4" ht="15" customHeight="1">
      <c r="A1069" s="50">
        <v>44971</v>
      </c>
      <c r="B1069" s="49" t="s">
        <v>41</v>
      </c>
      <c r="C1069" s="51">
        <v>62038.1</v>
      </c>
      <c r="D1069" s="51">
        <v>0</v>
      </c>
    </row>
    <row r="1070" spans="1:4" ht="15" customHeight="1">
      <c r="A1070" s="50">
        <v>44971</v>
      </c>
      <c r="B1070" s="49" t="s">
        <v>42</v>
      </c>
      <c r="C1070" s="51">
        <v>61953.9</v>
      </c>
      <c r="D1070" s="51">
        <v>0</v>
      </c>
    </row>
    <row r="1071" spans="1:4" ht="15" customHeight="1">
      <c r="A1071" s="50">
        <v>44971</v>
      </c>
      <c r="B1071" s="49" t="s">
        <v>43</v>
      </c>
      <c r="C1071" s="51">
        <v>62659.3</v>
      </c>
      <c r="D1071" s="51">
        <v>0</v>
      </c>
    </row>
    <row r="1072" spans="1:4" ht="15" customHeight="1">
      <c r="A1072" s="50">
        <v>44971</v>
      </c>
      <c r="B1072" s="49" t="s">
        <v>44</v>
      </c>
      <c r="C1072" s="51">
        <v>63290.1</v>
      </c>
      <c r="D1072" s="51">
        <v>0</v>
      </c>
    </row>
    <row r="1073" spans="1:4" ht="15" customHeight="1">
      <c r="A1073" s="50">
        <v>44971</v>
      </c>
      <c r="B1073" s="49" t="s">
        <v>45</v>
      </c>
      <c r="C1073" s="51">
        <v>63416.1</v>
      </c>
      <c r="D1073" s="51">
        <v>0</v>
      </c>
    </row>
    <row r="1074" spans="1:4" ht="15" customHeight="1">
      <c r="A1074" s="50">
        <v>44971</v>
      </c>
      <c r="B1074" s="49" t="s">
        <v>46</v>
      </c>
      <c r="C1074" s="51">
        <v>63446.5</v>
      </c>
      <c r="D1074" s="51">
        <v>0</v>
      </c>
    </row>
    <row r="1075" spans="1:4" ht="15" customHeight="1">
      <c r="A1075" s="50">
        <v>44971</v>
      </c>
      <c r="B1075" s="49" t="s">
        <v>47</v>
      </c>
      <c r="C1075" s="51">
        <v>63389.8</v>
      </c>
      <c r="D1075" s="51">
        <v>0</v>
      </c>
    </row>
    <row r="1076" spans="1:4" ht="15" customHeight="1">
      <c r="A1076" s="50">
        <v>44971</v>
      </c>
      <c r="B1076" s="49" t="s">
        <v>48</v>
      </c>
      <c r="C1076" s="51">
        <v>63408.2</v>
      </c>
      <c r="D1076" s="51">
        <v>0</v>
      </c>
    </row>
    <row r="1077" spans="1:4" ht="15" customHeight="1">
      <c r="A1077" s="50">
        <v>44971</v>
      </c>
      <c r="B1077" s="49" t="s">
        <v>49</v>
      </c>
      <c r="C1077" s="51">
        <v>63308.7</v>
      </c>
      <c r="D1077" s="51">
        <v>0</v>
      </c>
    </row>
    <row r="1078" spans="1:4" ht="15" customHeight="1">
      <c r="A1078" s="50">
        <v>44971</v>
      </c>
      <c r="B1078" s="49" t="s">
        <v>50</v>
      </c>
      <c r="C1078" s="51">
        <v>63250.8</v>
      </c>
      <c r="D1078" s="51">
        <v>0</v>
      </c>
    </row>
    <row r="1079" spans="1:4" ht="15" customHeight="1">
      <c r="A1079" s="50">
        <v>44971</v>
      </c>
      <c r="B1079" s="49" t="s">
        <v>51</v>
      </c>
      <c r="C1079" s="51">
        <v>63265.8</v>
      </c>
      <c r="D1079" s="51">
        <v>0</v>
      </c>
    </row>
    <row r="1080" spans="1:4" ht="15" customHeight="1">
      <c r="A1080" s="50">
        <v>44971</v>
      </c>
      <c r="B1080" s="49" t="s">
        <v>52</v>
      </c>
      <c r="C1080" s="51">
        <v>63308.1</v>
      </c>
      <c r="D1080" s="51">
        <v>0</v>
      </c>
    </row>
    <row r="1081" spans="1:4" ht="15" customHeight="1">
      <c r="A1081" s="50">
        <v>44971</v>
      </c>
      <c r="B1081" s="49" t="s">
        <v>53</v>
      </c>
      <c r="C1081" s="51">
        <v>64551.8</v>
      </c>
      <c r="D1081" s="51">
        <v>0</v>
      </c>
    </row>
    <row r="1082" spans="1:4" ht="15" customHeight="1">
      <c r="A1082" s="50">
        <v>44972</v>
      </c>
      <c r="B1082" s="49" t="s">
        <v>30</v>
      </c>
      <c r="C1082" s="51">
        <v>65765.7</v>
      </c>
      <c r="D1082" s="51">
        <v>0</v>
      </c>
    </row>
    <row r="1083" spans="1:4" ht="15" customHeight="1">
      <c r="A1083" s="50">
        <v>44972</v>
      </c>
      <c r="B1083" s="49" t="s">
        <v>31</v>
      </c>
      <c r="C1083" s="51">
        <v>63337.1</v>
      </c>
      <c r="D1083" s="51">
        <v>0</v>
      </c>
    </row>
    <row r="1084" spans="1:4" ht="15" customHeight="1">
      <c r="A1084" s="50">
        <v>44972</v>
      </c>
      <c r="B1084" s="49" t="s">
        <v>32</v>
      </c>
      <c r="C1084" s="51">
        <v>63284.9</v>
      </c>
      <c r="D1084" s="51">
        <v>0</v>
      </c>
    </row>
    <row r="1085" spans="1:4" ht="15" customHeight="1">
      <c r="A1085" s="50">
        <v>44972</v>
      </c>
      <c r="B1085" s="49" t="s">
        <v>33</v>
      </c>
      <c r="C1085" s="51">
        <v>63281</v>
      </c>
      <c r="D1085" s="51">
        <v>0</v>
      </c>
    </row>
    <row r="1086" spans="1:4" ht="15" customHeight="1">
      <c r="A1086" s="50">
        <v>44972</v>
      </c>
      <c r="B1086" s="49" t="s">
        <v>34</v>
      </c>
      <c r="C1086" s="51">
        <v>63469.1</v>
      </c>
      <c r="D1086" s="51">
        <v>0</v>
      </c>
    </row>
    <row r="1087" spans="1:4" ht="15" customHeight="1">
      <c r="A1087" s="50">
        <v>44972</v>
      </c>
      <c r="B1087" s="49" t="s">
        <v>35</v>
      </c>
      <c r="C1087" s="51">
        <v>59518.2</v>
      </c>
      <c r="D1087" s="51">
        <v>0</v>
      </c>
    </row>
    <row r="1088" spans="1:4" ht="15" customHeight="1">
      <c r="A1088" s="50">
        <v>44972</v>
      </c>
      <c r="B1088" s="49" t="s">
        <v>36</v>
      </c>
      <c r="C1088" s="51">
        <v>59984.6</v>
      </c>
      <c r="D1088" s="51">
        <v>0</v>
      </c>
    </row>
    <row r="1089" spans="1:4" ht="15" customHeight="1">
      <c r="A1089" s="50">
        <v>44972</v>
      </c>
      <c r="B1089" s="49" t="s">
        <v>37</v>
      </c>
      <c r="C1089" s="51">
        <v>59943.199999999997</v>
      </c>
      <c r="D1089" s="51">
        <v>0</v>
      </c>
    </row>
    <row r="1090" spans="1:4" ht="15" customHeight="1">
      <c r="A1090" s="50">
        <v>44972</v>
      </c>
      <c r="B1090" s="49" t="s">
        <v>38</v>
      </c>
      <c r="C1090" s="51">
        <v>59860.6</v>
      </c>
      <c r="D1090" s="51">
        <v>0</v>
      </c>
    </row>
    <row r="1091" spans="1:4" ht="15" customHeight="1">
      <c r="A1091" s="50">
        <v>44972</v>
      </c>
      <c r="B1091" s="49" t="s">
        <v>39</v>
      </c>
      <c r="C1091" s="51">
        <v>61768.800000000003</v>
      </c>
      <c r="D1091" s="51">
        <v>0</v>
      </c>
    </row>
    <row r="1092" spans="1:4" ht="15" customHeight="1">
      <c r="A1092" s="50">
        <v>44972</v>
      </c>
      <c r="B1092" s="49" t="s">
        <v>40</v>
      </c>
      <c r="C1092" s="51">
        <v>64938</v>
      </c>
      <c r="D1092" s="51">
        <v>0</v>
      </c>
    </row>
    <row r="1093" spans="1:4" ht="15" customHeight="1">
      <c r="A1093" s="50">
        <v>44972</v>
      </c>
      <c r="B1093" s="49" t="s">
        <v>41</v>
      </c>
      <c r="C1093" s="51">
        <v>63069.3</v>
      </c>
      <c r="D1093" s="51">
        <v>0</v>
      </c>
    </row>
    <row r="1094" spans="1:4" ht="15" customHeight="1">
      <c r="A1094" s="50">
        <v>44972</v>
      </c>
      <c r="B1094" s="49" t="s">
        <v>42</v>
      </c>
      <c r="C1094" s="51">
        <v>63344.4</v>
      </c>
      <c r="D1094" s="51">
        <v>0</v>
      </c>
    </row>
    <row r="1095" spans="1:4" ht="15" customHeight="1">
      <c r="A1095" s="50">
        <v>44972</v>
      </c>
      <c r="B1095" s="49" t="s">
        <v>43</v>
      </c>
      <c r="C1095" s="51">
        <v>63402.6</v>
      </c>
      <c r="D1095" s="51">
        <v>0</v>
      </c>
    </row>
    <row r="1096" spans="1:4" ht="15" customHeight="1">
      <c r="A1096" s="50">
        <v>44972</v>
      </c>
      <c r="B1096" s="49" t="s">
        <v>44</v>
      </c>
      <c r="C1096" s="51">
        <v>63332.7</v>
      </c>
      <c r="D1096" s="51">
        <v>0</v>
      </c>
    </row>
    <row r="1097" spans="1:4" ht="15" customHeight="1">
      <c r="A1097" s="50">
        <v>44972</v>
      </c>
      <c r="B1097" s="49" t="s">
        <v>45</v>
      </c>
      <c r="C1097" s="51">
        <v>63359.3</v>
      </c>
      <c r="D1097" s="51">
        <v>0</v>
      </c>
    </row>
    <row r="1098" spans="1:4" ht="15" customHeight="1">
      <c r="A1098" s="50">
        <v>44972</v>
      </c>
      <c r="B1098" s="49" t="s">
        <v>46</v>
      </c>
      <c r="C1098" s="51">
        <v>63367</v>
      </c>
      <c r="D1098" s="51">
        <v>0</v>
      </c>
    </row>
    <row r="1099" spans="1:4" ht="15" customHeight="1">
      <c r="A1099" s="50">
        <v>44972</v>
      </c>
      <c r="B1099" s="49" t="s">
        <v>47</v>
      </c>
      <c r="C1099" s="51">
        <v>64114.2</v>
      </c>
      <c r="D1099" s="51">
        <v>0</v>
      </c>
    </row>
    <row r="1100" spans="1:4" ht="15" customHeight="1">
      <c r="A1100" s="50">
        <v>44972</v>
      </c>
      <c r="B1100" s="49" t="s">
        <v>48</v>
      </c>
      <c r="C1100" s="51">
        <v>64053.1</v>
      </c>
      <c r="D1100" s="51">
        <v>0</v>
      </c>
    </row>
    <row r="1101" spans="1:4" ht="15" customHeight="1">
      <c r="A1101" s="50">
        <v>44972</v>
      </c>
      <c r="B1101" s="49" t="s">
        <v>49</v>
      </c>
      <c r="C1101" s="51">
        <v>64274.1</v>
      </c>
      <c r="D1101" s="51">
        <v>0</v>
      </c>
    </row>
    <row r="1102" spans="1:4" ht="15" customHeight="1">
      <c r="A1102" s="50">
        <v>44972</v>
      </c>
      <c r="B1102" s="49" t="s">
        <v>50</v>
      </c>
      <c r="C1102" s="51">
        <v>64011.6</v>
      </c>
      <c r="D1102" s="51">
        <v>0</v>
      </c>
    </row>
    <row r="1103" spans="1:4" ht="15" customHeight="1">
      <c r="A1103" s="50">
        <v>44972</v>
      </c>
      <c r="B1103" s="49" t="s">
        <v>51</v>
      </c>
      <c r="C1103" s="51">
        <v>63804.7</v>
      </c>
      <c r="D1103" s="51">
        <v>0</v>
      </c>
    </row>
    <row r="1104" spans="1:4" ht="15" customHeight="1">
      <c r="A1104" s="50">
        <v>44972</v>
      </c>
      <c r="B1104" s="49" t="s">
        <v>52</v>
      </c>
      <c r="C1104" s="51">
        <v>63912.2</v>
      </c>
      <c r="D1104" s="51">
        <v>0</v>
      </c>
    </row>
    <row r="1105" spans="1:4" ht="15" customHeight="1">
      <c r="A1105" s="50">
        <v>44972</v>
      </c>
      <c r="B1105" s="49" t="s">
        <v>53</v>
      </c>
      <c r="C1105" s="51">
        <v>64194.3</v>
      </c>
      <c r="D1105" s="51">
        <v>0</v>
      </c>
    </row>
    <row r="1106" spans="1:4" ht="15" customHeight="1">
      <c r="A1106" s="50">
        <v>44973</v>
      </c>
      <c r="B1106" s="49" t="s">
        <v>30</v>
      </c>
      <c r="C1106" s="51">
        <v>54034.5</v>
      </c>
      <c r="D1106" s="51">
        <v>0</v>
      </c>
    </row>
    <row r="1107" spans="1:4" ht="15" customHeight="1">
      <c r="A1107" s="50">
        <v>44973</v>
      </c>
      <c r="B1107" s="49" t="s">
        <v>31</v>
      </c>
      <c r="C1107" s="51">
        <v>53903.8</v>
      </c>
      <c r="D1107" s="51">
        <v>0</v>
      </c>
    </row>
    <row r="1108" spans="1:4" ht="15" customHeight="1">
      <c r="A1108" s="50">
        <v>44973</v>
      </c>
      <c r="B1108" s="49" t="s">
        <v>32</v>
      </c>
      <c r="C1108" s="51">
        <v>53717.9</v>
      </c>
      <c r="D1108" s="51">
        <v>0</v>
      </c>
    </row>
    <row r="1109" spans="1:4" ht="15" customHeight="1">
      <c r="A1109" s="50">
        <v>44973</v>
      </c>
      <c r="B1109" s="49" t="s">
        <v>33</v>
      </c>
      <c r="C1109" s="51">
        <v>54017.2</v>
      </c>
      <c r="D1109" s="51">
        <v>0</v>
      </c>
    </row>
    <row r="1110" spans="1:4" ht="15" customHeight="1">
      <c r="A1110" s="50">
        <v>44973</v>
      </c>
      <c r="B1110" s="49" t="s">
        <v>34</v>
      </c>
      <c r="C1110" s="51">
        <v>53964.800000000003</v>
      </c>
      <c r="D1110" s="51">
        <v>0</v>
      </c>
    </row>
    <row r="1111" spans="1:4" ht="15" customHeight="1">
      <c r="A1111" s="50">
        <v>44973</v>
      </c>
      <c r="B1111" s="49" t="s">
        <v>35</v>
      </c>
      <c r="C1111" s="51">
        <v>53975.3</v>
      </c>
      <c r="D1111" s="51">
        <v>0</v>
      </c>
    </row>
    <row r="1112" spans="1:4" ht="15" customHeight="1">
      <c r="A1112" s="50">
        <v>44973</v>
      </c>
      <c r="B1112" s="49" t="s">
        <v>36</v>
      </c>
      <c r="C1112" s="51">
        <v>54029.5</v>
      </c>
      <c r="D1112" s="51">
        <v>0</v>
      </c>
    </row>
    <row r="1113" spans="1:4" ht="15" customHeight="1">
      <c r="A1113" s="50">
        <v>44973</v>
      </c>
      <c r="B1113" s="49" t="s">
        <v>37</v>
      </c>
      <c r="C1113" s="51">
        <v>53979.3</v>
      </c>
      <c r="D1113" s="51">
        <v>0</v>
      </c>
    </row>
    <row r="1114" spans="1:4" ht="15" customHeight="1">
      <c r="A1114" s="50">
        <v>44973</v>
      </c>
      <c r="B1114" s="49" t="s">
        <v>38</v>
      </c>
      <c r="C1114" s="51">
        <v>54200.6</v>
      </c>
      <c r="D1114" s="51">
        <v>0</v>
      </c>
    </row>
    <row r="1115" spans="1:4" ht="15" customHeight="1">
      <c r="A1115" s="50">
        <v>44973</v>
      </c>
      <c r="B1115" s="49" t="s">
        <v>39</v>
      </c>
      <c r="C1115" s="51">
        <v>54794.1</v>
      </c>
      <c r="D1115" s="51">
        <v>0</v>
      </c>
    </row>
    <row r="1116" spans="1:4" ht="15" customHeight="1">
      <c r="A1116" s="50">
        <v>44973</v>
      </c>
      <c r="B1116" s="49" t="s">
        <v>40</v>
      </c>
      <c r="C1116" s="51">
        <v>54638.400000000001</v>
      </c>
      <c r="D1116" s="51">
        <v>0</v>
      </c>
    </row>
    <row r="1117" spans="1:4" ht="15" customHeight="1">
      <c r="A1117" s="50">
        <v>44973</v>
      </c>
      <c r="B1117" s="49" t="s">
        <v>41</v>
      </c>
      <c r="C1117" s="51">
        <v>54466.6</v>
      </c>
      <c r="D1117" s="51">
        <v>0</v>
      </c>
    </row>
    <row r="1118" spans="1:4" ht="15" customHeight="1">
      <c r="A1118" s="50">
        <v>44973</v>
      </c>
      <c r="B1118" s="49" t="s">
        <v>42</v>
      </c>
      <c r="C1118" s="51">
        <v>54611</v>
      </c>
      <c r="D1118" s="51">
        <v>0</v>
      </c>
    </row>
    <row r="1119" spans="1:4" ht="15" customHeight="1">
      <c r="A1119" s="50">
        <v>44973</v>
      </c>
      <c r="B1119" s="49" t="s">
        <v>43</v>
      </c>
      <c r="C1119" s="51">
        <v>54677.1</v>
      </c>
      <c r="D1119" s="51">
        <v>0</v>
      </c>
    </row>
    <row r="1120" spans="1:4" ht="15" customHeight="1">
      <c r="A1120" s="50">
        <v>44973</v>
      </c>
      <c r="B1120" s="49" t="s">
        <v>44</v>
      </c>
      <c r="C1120" s="51">
        <v>54652.7</v>
      </c>
      <c r="D1120" s="51">
        <v>0</v>
      </c>
    </row>
    <row r="1121" spans="1:4" ht="15" customHeight="1">
      <c r="A1121" s="50">
        <v>44973</v>
      </c>
      <c r="B1121" s="49" t="s">
        <v>45</v>
      </c>
      <c r="C1121" s="51">
        <v>54617.5</v>
      </c>
      <c r="D1121" s="51">
        <v>0</v>
      </c>
    </row>
    <row r="1122" spans="1:4" ht="15" customHeight="1">
      <c r="A1122" s="50">
        <v>44973</v>
      </c>
      <c r="B1122" s="49" t="s">
        <v>46</v>
      </c>
      <c r="C1122" s="51">
        <v>54588.5</v>
      </c>
      <c r="D1122" s="51">
        <v>0</v>
      </c>
    </row>
    <row r="1123" spans="1:4" ht="15" customHeight="1">
      <c r="A1123" s="50">
        <v>44973</v>
      </c>
      <c r="B1123" s="49" t="s">
        <v>47</v>
      </c>
      <c r="C1123" s="51">
        <v>54636.7</v>
      </c>
      <c r="D1123" s="51">
        <v>0</v>
      </c>
    </row>
    <row r="1124" spans="1:4" ht="15" customHeight="1">
      <c r="A1124" s="50">
        <v>44973</v>
      </c>
      <c r="B1124" s="49" t="s">
        <v>48</v>
      </c>
      <c r="C1124" s="51">
        <v>54317.599999999999</v>
      </c>
      <c r="D1124" s="51">
        <v>0</v>
      </c>
    </row>
    <row r="1125" spans="1:4" ht="15" customHeight="1">
      <c r="A1125" s="50">
        <v>44973</v>
      </c>
      <c r="B1125" s="49" t="s">
        <v>49</v>
      </c>
      <c r="C1125" s="51">
        <v>54474.9</v>
      </c>
      <c r="D1125" s="51">
        <v>0</v>
      </c>
    </row>
    <row r="1126" spans="1:4" ht="15" customHeight="1">
      <c r="A1126" s="50">
        <v>44973</v>
      </c>
      <c r="B1126" s="49" t="s">
        <v>50</v>
      </c>
      <c r="C1126" s="51">
        <v>54381.3</v>
      </c>
      <c r="D1126" s="51">
        <v>0</v>
      </c>
    </row>
    <row r="1127" spans="1:4" ht="15" customHeight="1">
      <c r="A1127" s="50">
        <v>44973</v>
      </c>
      <c r="B1127" s="49" t="s">
        <v>51</v>
      </c>
      <c r="C1127" s="51">
        <v>54366.7</v>
      </c>
      <c r="D1127" s="51">
        <v>0</v>
      </c>
    </row>
    <row r="1128" spans="1:4" ht="15" customHeight="1">
      <c r="A1128" s="50">
        <v>44973</v>
      </c>
      <c r="B1128" s="49" t="s">
        <v>52</v>
      </c>
      <c r="C1128" s="51">
        <v>54407.199999999997</v>
      </c>
      <c r="D1128" s="51">
        <v>0</v>
      </c>
    </row>
    <row r="1129" spans="1:4" ht="15" customHeight="1">
      <c r="A1129" s="50">
        <v>44973</v>
      </c>
      <c r="B1129" s="49" t="s">
        <v>53</v>
      </c>
      <c r="C1129" s="51">
        <v>54448.5</v>
      </c>
      <c r="D1129" s="51">
        <v>0</v>
      </c>
    </row>
    <row r="1130" spans="1:4" ht="15" customHeight="1">
      <c r="A1130" s="50">
        <v>44974</v>
      </c>
      <c r="B1130" s="49" t="s">
        <v>30</v>
      </c>
      <c r="C1130" s="51">
        <v>52804.5</v>
      </c>
      <c r="D1130" s="51">
        <v>0</v>
      </c>
    </row>
    <row r="1131" spans="1:4" ht="15" customHeight="1">
      <c r="A1131" s="50">
        <v>44974</v>
      </c>
      <c r="B1131" s="49" t="s">
        <v>31</v>
      </c>
      <c r="C1131" s="51">
        <v>52725.8</v>
      </c>
      <c r="D1131" s="51">
        <v>0</v>
      </c>
    </row>
    <row r="1132" spans="1:4" ht="15" customHeight="1">
      <c r="A1132" s="50">
        <v>44974</v>
      </c>
      <c r="B1132" s="49" t="s">
        <v>32</v>
      </c>
      <c r="C1132" s="51">
        <v>52624.7</v>
      </c>
      <c r="D1132" s="51">
        <v>0</v>
      </c>
    </row>
    <row r="1133" spans="1:4" ht="15" customHeight="1">
      <c r="A1133" s="50">
        <v>44974</v>
      </c>
      <c r="B1133" s="49" t="s">
        <v>33</v>
      </c>
      <c r="C1133" s="51">
        <v>52660.800000000003</v>
      </c>
      <c r="D1133" s="51">
        <v>0</v>
      </c>
    </row>
    <row r="1134" spans="1:4" ht="15" customHeight="1">
      <c r="A1134" s="50">
        <v>44974</v>
      </c>
      <c r="B1134" s="49" t="s">
        <v>34</v>
      </c>
      <c r="C1134" s="51">
        <v>52725.599999999999</v>
      </c>
      <c r="D1134" s="51">
        <v>0</v>
      </c>
    </row>
    <row r="1135" spans="1:4" ht="15" customHeight="1">
      <c r="A1135" s="50">
        <v>44974</v>
      </c>
      <c r="B1135" s="49" t="s">
        <v>35</v>
      </c>
      <c r="C1135" s="51">
        <v>51080.7</v>
      </c>
      <c r="D1135" s="51">
        <v>0</v>
      </c>
    </row>
    <row r="1136" spans="1:4" ht="15" customHeight="1">
      <c r="A1136" s="50">
        <v>44974</v>
      </c>
      <c r="B1136" s="49" t="s">
        <v>36</v>
      </c>
      <c r="C1136" s="51">
        <v>51193.9</v>
      </c>
      <c r="D1136" s="51">
        <v>0</v>
      </c>
    </row>
    <row r="1137" spans="1:4" ht="15" customHeight="1">
      <c r="A1137" s="50">
        <v>44974</v>
      </c>
      <c r="B1137" s="49" t="s">
        <v>37</v>
      </c>
      <c r="C1137" s="51">
        <v>54082.7</v>
      </c>
      <c r="D1137" s="51">
        <v>0</v>
      </c>
    </row>
    <row r="1138" spans="1:4" ht="15" customHeight="1">
      <c r="A1138" s="50">
        <v>44974</v>
      </c>
      <c r="B1138" s="49" t="s">
        <v>38</v>
      </c>
      <c r="C1138" s="51">
        <v>52752</v>
      </c>
      <c r="D1138" s="51">
        <v>0</v>
      </c>
    </row>
    <row r="1139" spans="1:4" ht="15" customHeight="1">
      <c r="A1139" s="50">
        <v>44974</v>
      </c>
      <c r="B1139" s="49" t="s">
        <v>39</v>
      </c>
      <c r="C1139" s="51">
        <v>54607.4</v>
      </c>
      <c r="D1139" s="51">
        <v>0</v>
      </c>
    </row>
    <row r="1140" spans="1:4" ht="15" customHeight="1">
      <c r="A1140" s="50">
        <v>44974</v>
      </c>
      <c r="B1140" s="49" t="s">
        <v>40</v>
      </c>
      <c r="C1140" s="51">
        <v>54587.6</v>
      </c>
      <c r="D1140" s="51">
        <v>0</v>
      </c>
    </row>
    <row r="1141" spans="1:4" ht="15" customHeight="1">
      <c r="A1141" s="50">
        <v>44974</v>
      </c>
      <c r="B1141" s="49" t="s">
        <v>41</v>
      </c>
      <c r="C1141" s="51">
        <v>54632.800000000003</v>
      </c>
      <c r="D1141" s="51">
        <v>0</v>
      </c>
    </row>
    <row r="1142" spans="1:4" ht="15" customHeight="1">
      <c r="A1142" s="50">
        <v>44974</v>
      </c>
      <c r="B1142" s="49" t="s">
        <v>42</v>
      </c>
      <c r="C1142" s="51">
        <v>54638</v>
      </c>
      <c r="D1142" s="51">
        <v>0</v>
      </c>
    </row>
    <row r="1143" spans="1:4" ht="15" customHeight="1">
      <c r="A1143" s="50">
        <v>44974</v>
      </c>
      <c r="B1143" s="49" t="s">
        <v>43</v>
      </c>
      <c r="C1143" s="51">
        <v>54686.6</v>
      </c>
      <c r="D1143" s="51">
        <v>0</v>
      </c>
    </row>
    <row r="1144" spans="1:4" ht="15" customHeight="1">
      <c r="A1144" s="50">
        <v>44974</v>
      </c>
      <c r="B1144" s="49" t="s">
        <v>44</v>
      </c>
      <c r="C1144" s="51">
        <v>54609.2</v>
      </c>
      <c r="D1144" s="51">
        <v>0</v>
      </c>
    </row>
    <row r="1145" spans="1:4" ht="15" customHeight="1">
      <c r="A1145" s="50">
        <v>44974</v>
      </c>
      <c r="B1145" s="49" t="s">
        <v>45</v>
      </c>
      <c r="C1145" s="51">
        <v>54576.3</v>
      </c>
      <c r="D1145" s="51">
        <v>0</v>
      </c>
    </row>
    <row r="1146" spans="1:4" ht="15" customHeight="1">
      <c r="A1146" s="50">
        <v>44974</v>
      </c>
      <c r="B1146" s="49" t="s">
        <v>46</v>
      </c>
      <c r="C1146" s="51">
        <v>54990.9</v>
      </c>
      <c r="D1146" s="51">
        <v>0</v>
      </c>
    </row>
    <row r="1147" spans="1:4" ht="15" customHeight="1">
      <c r="A1147" s="50">
        <v>44974</v>
      </c>
      <c r="B1147" s="49" t="s">
        <v>47</v>
      </c>
      <c r="C1147" s="51">
        <v>54700.1</v>
      </c>
      <c r="D1147" s="51">
        <v>0</v>
      </c>
    </row>
    <row r="1148" spans="1:4" ht="15" customHeight="1">
      <c r="A1148" s="50">
        <v>44974</v>
      </c>
      <c r="B1148" s="49" t="s">
        <v>48</v>
      </c>
      <c r="C1148" s="51">
        <v>54575.7</v>
      </c>
      <c r="D1148" s="51">
        <v>0</v>
      </c>
    </row>
    <row r="1149" spans="1:4" ht="15" customHeight="1">
      <c r="A1149" s="50">
        <v>44974</v>
      </c>
      <c r="B1149" s="49" t="s">
        <v>49</v>
      </c>
      <c r="C1149" s="51">
        <v>54541.2</v>
      </c>
      <c r="D1149" s="51">
        <v>0</v>
      </c>
    </row>
    <row r="1150" spans="1:4" ht="15" customHeight="1">
      <c r="A1150" s="50">
        <v>44974</v>
      </c>
      <c r="B1150" s="49" t="s">
        <v>50</v>
      </c>
      <c r="C1150" s="51">
        <v>54669</v>
      </c>
      <c r="D1150" s="51">
        <v>0</v>
      </c>
    </row>
    <row r="1151" spans="1:4" ht="15" customHeight="1">
      <c r="A1151" s="50">
        <v>44974</v>
      </c>
      <c r="B1151" s="49" t="s">
        <v>51</v>
      </c>
      <c r="C1151" s="51">
        <v>54545.1</v>
      </c>
      <c r="D1151" s="51">
        <v>0</v>
      </c>
    </row>
    <row r="1152" spans="1:4" ht="15" customHeight="1">
      <c r="A1152" s="50">
        <v>44974</v>
      </c>
      <c r="B1152" s="49" t="s">
        <v>52</v>
      </c>
      <c r="C1152" s="51">
        <v>54525.8</v>
      </c>
      <c r="D1152" s="51">
        <v>0</v>
      </c>
    </row>
    <row r="1153" spans="1:4" ht="15" customHeight="1">
      <c r="A1153" s="50">
        <v>44974</v>
      </c>
      <c r="B1153" s="49" t="s">
        <v>53</v>
      </c>
      <c r="C1153" s="51">
        <v>53842.5</v>
      </c>
      <c r="D1153" s="51">
        <v>0</v>
      </c>
    </row>
    <row r="1154" spans="1:4" ht="15" customHeight="1">
      <c r="A1154" s="50">
        <v>44975</v>
      </c>
      <c r="B1154" s="49" t="s">
        <v>30</v>
      </c>
      <c r="C1154" s="51">
        <v>63245.8</v>
      </c>
      <c r="D1154" s="51">
        <v>0</v>
      </c>
    </row>
    <row r="1155" spans="1:4" ht="15" customHeight="1">
      <c r="A1155" s="50">
        <v>44975</v>
      </c>
      <c r="B1155" s="49" t="s">
        <v>31</v>
      </c>
      <c r="C1155" s="51">
        <v>63977</v>
      </c>
      <c r="D1155" s="51">
        <v>0</v>
      </c>
    </row>
    <row r="1156" spans="1:4" ht="15" customHeight="1">
      <c r="A1156" s="50">
        <v>44975</v>
      </c>
      <c r="B1156" s="49" t="s">
        <v>32</v>
      </c>
      <c r="C1156" s="51">
        <v>63902.7</v>
      </c>
      <c r="D1156" s="51">
        <v>0</v>
      </c>
    </row>
    <row r="1157" spans="1:4" ht="15" customHeight="1">
      <c r="A1157" s="50">
        <v>44975</v>
      </c>
      <c r="B1157" s="49" t="s">
        <v>33</v>
      </c>
      <c r="C1157" s="51">
        <v>63991.6</v>
      </c>
      <c r="D1157" s="51">
        <v>0</v>
      </c>
    </row>
    <row r="1158" spans="1:4" ht="15" customHeight="1">
      <c r="A1158" s="50">
        <v>44975</v>
      </c>
      <c r="B1158" s="49" t="s">
        <v>34</v>
      </c>
      <c r="C1158" s="51">
        <v>63977.7</v>
      </c>
      <c r="D1158" s="51">
        <v>0</v>
      </c>
    </row>
    <row r="1159" spans="1:4" ht="15" customHeight="1">
      <c r="A1159" s="50">
        <v>44975</v>
      </c>
      <c r="B1159" s="49" t="s">
        <v>35</v>
      </c>
      <c r="C1159" s="51">
        <v>63465.4</v>
      </c>
      <c r="D1159" s="51">
        <v>0</v>
      </c>
    </row>
    <row r="1160" spans="1:4" ht="15" customHeight="1">
      <c r="A1160" s="50">
        <v>44975</v>
      </c>
      <c r="B1160" s="49" t="s">
        <v>36</v>
      </c>
      <c r="C1160" s="51">
        <v>62877.8</v>
      </c>
      <c r="D1160" s="51">
        <v>0</v>
      </c>
    </row>
    <row r="1161" spans="1:4" ht="15" customHeight="1">
      <c r="A1161" s="50">
        <v>44975</v>
      </c>
      <c r="B1161" s="49" t="s">
        <v>37</v>
      </c>
      <c r="C1161" s="51">
        <v>60739.6</v>
      </c>
      <c r="D1161" s="51">
        <v>0</v>
      </c>
    </row>
    <row r="1162" spans="1:4" ht="15" customHeight="1">
      <c r="A1162" s="50">
        <v>44975</v>
      </c>
      <c r="B1162" s="49" t="s">
        <v>38</v>
      </c>
      <c r="C1162" s="51">
        <v>58939.5</v>
      </c>
      <c r="D1162" s="51">
        <v>0</v>
      </c>
    </row>
    <row r="1163" spans="1:4" ht="15" customHeight="1">
      <c r="A1163" s="50">
        <v>44975</v>
      </c>
      <c r="B1163" s="49" t="s">
        <v>39</v>
      </c>
      <c r="C1163" s="51">
        <v>60180</v>
      </c>
      <c r="D1163" s="51">
        <v>0</v>
      </c>
    </row>
    <row r="1164" spans="1:4" ht="15" customHeight="1">
      <c r="A1164" s="50">
        <v>44975</v>
      </c>
      <c r="B1164" s="49" t="s">
        <v>40</v>
      </c>
      <c r="C1164" s="51">
        <v>63633.5</v>
      </c>
      <c r="D1164" s="51">
        <v>0</v>
      </c>
    </row>
    <row r="1165" spans="1:4" ht="15" customHeight="1">
      <c r="A1165" s="50">
        <v>44975</v>
      </c>
      <c r="B1165" s="49" t="s">
        <v>41</v>
      </c>
      <c r="C1165" s="51">
        <v>64169.9</v>
      </c>
      <c r="D1165" s="51">
        <v>0</v>
      </c>
    </row>
    <row r="1166" spans="1:4" ht="15" customHeight="1">
      <c r="A1166" s="50">
        <v>44975</v>
      </c>
      <c r="B1166" s="49" t="s">
        <v>42</v>
      </c>
      <c r="C1166" s="51">
        <v>64067.199999999997</v>
      </c>
      <c r="D1166" s="51">
        <v>0</v>
      </c>
    </row>
    <row r="1167" spans="1:4" ht="15" customHeight="1">
      <c r="A1167" s="50">
        <v>44975</v>
      </c>
      <c r="B1167" s="49" t="s">
        <v>43</v>
      </c>
      <c r="C1167" s="51">
        <v>64148.4</v>
      </c>
      <c r="D1167" s="51">
        <v>0</v>
      </c>
    </row>
    <row r="1168" spans="1:4" ht="15" customHeight="1">
      <c r="A1168" s="50">
        <v>44975</v>
      </c>
      <c r="B1168" s="49" t="s">
        <v>44</v>
      </c>
      <c r="C1168" s="51">
        <v>64162.7</v>
      </c>
      <c r="D1168" s="51">
        <v>0</v>
      </c>
    </row>
    <row r="1169" spans="1:4" ht="15" customHeight="1">
      <c r="A1169" s="50">
        <v>44975</v>
      </c>
      <c r="B1169" s="49" t="s">
        <v>45</v>
      </c>
      <c r="C1169" s="51">
        <v>63996.2</v>
      </c>
      <c r="D1169" s="51">
        <v>0</v>
      </c>
    </row>
    <row r="1170" spans="1:4" ht="15" customHeight="1">
      <c r="A1170" s="50">
        <v>44975</v>
      </c>
      <c r="B1170" s="49" t="s">
        <v>46</v>
      </c>
      <c r="C1170" s="51">
        <v>63909.7</v>
      </c>
      <c r="D1170" s="51">
        <v>0</v>
      </c>
    </row>
    <row r="1171" spans="1:4" ht="15" customHeight="1">
      <c r="A1171" s="50">
        <v>44975</v>
      </c>
      <c r="B1171" s="49" t="s">
        <v>47</v>
      </c>
      <c r="C1171" s="51">
        <v>63996.800000000003</v>
      </c>
      <c r="D1171" s="51">
        <v>0</v>
      </c>
    </row>
    <row r="1172" spans="1:4" ht="15" customHeight="1">
      <c r="A1172" s="50">
        <v>44975</v>
      </c>
      <c r="B1172" s="49" t="s">
        <v>48</v>
      </c>
      <c r="C1172" s="51">
        <v>63721.5</v>
      </c>
      <c r="D1172" s="51">
        <v>0</v>
      </c>
    </row>
    <row r="1173" spans="1:4" ht="15" customHeight="1">
      <c r="A1173" s="50">
        <v>44975</v>
      </c>
      <c r="B1173" s="49" t="s">
        <v>49</v>
      </c>
      <c r="C1173" s="51">
        <v>63837</v>
      </c>
      <c r="D1173" s="51">
        <v>0</v>
      </c>
    </row>
    <row r="1174" spans="1:4" ht="15" customHeight="1">
      <c r="A1174" s="50">
        <v>44975</v>
      </c>
      <c r="B1174" s="49" t="s">
        <v>50</v>
      </c>
      <c r="C1174" s="51">
        <v>63898</v>
      </c>
      <c r="D1174" s="51">
        <v>0</v>
      </c>
    </row>
    <row r="1175" spans="1:4" ht="15" customHeight="1">
      <c r="A1175" s="50">
        <v>44975</v>
      </c>
      <c r="B1175" s="49" t="s">
        <v>51</v>
      </c>
      <c r="C1175" s="51">
        <v>63871.8</v>
      </c>
      <c r="D1175" s="51">
        <v>0</v>
      </c>
    </row>
    <row r="1176" spans="1:4" ht="15" customHeight="1">
      <c r="A1176" s="50">
        <v>44975</v>
      </c>
      <c r="B1176" s="49" t="s">
        <v>52</v>
      </c>
      <c r="C1176" s="51">
        <v>64003.4</v>
      </c>
      <c r="D1176" s="51">
        <v>0</v>
      </c>
    </row>
    <row r="1177" spans="1:4" ht="15" customHeight="1">
      <c r="A1177" s="50">
        <v>44975</v>
      </c>
      <c r="B1177" s="49" t="s">
        <v>53</v>
      </c>
      <c r="C1177" s="51">
        <v>64032.1</v>
      </c>
      <c r="D1177" s="51">
        <v>0</v>
      </c>
    </row>
    <row r="1178" spans="1:4" ht="15" customHeight="1">
      <c r="A1178" s="50">
        <v>44976</v>
      </c>
      <c r="B1178" s="49" t="s">
        <v>30</v>
      </c>
      <c r="C1178" s="51">
        <v>64343.8</v>
      </c>
      <c r="D1178" s="51">
        <v>0</v>
      </c>
    </row>
    <row r="1179" spans="1:4" ht="15" customHeight="1">
      <c r="A1179" s="50">
        <v>44976</v>
      </c>
      <c r="B1179" s="49" t="s">
        <v>31</v>
      </c>
      <c r="C1179" s="51">
        <v>64010.2</v>
      </c>
      <c r="D1179" s="51">
        <v>0</v>
      </c>
    </row>
    <row r="1180" spans="1:4" ht="15" customHeight="1">
      <c r="A1180" s="50">
        <v>44976</v>
      </c>
      <c r="B1180" s="49" t="s">
        <v>32</v>
      </c>
      <c r="C1180" s="51">
        <v>64102.3</v>
      </c>
      <c r="D1180" s="51">
        <v>0</v>
      </c>
    </row>
    <row r="1181" spans="1:4" ht="15" customHeight="1">
      <c r="A1181" s="50">
        <v>44976</v>
      </c>
      <c r="B1181" s="49" t="s">
        <v>33</v>
      </c>
      <c r="C1181" s="51">
        <v>63999.5</v>
      </c>
      <c r="D1181" s="51">
        <v>0</v>
      </c>
    </row>
    <row r="1182" spans="1:4" ht="15" customHeight="1">
      <c r="A1182" s="50">
        <v>44976</v>
      </c>
      <c r="B1182" s="49" t="s">
        <v>34</v>
      </c>
      <c r="C1182" s="51">
        <v>64025.5</v>
      </c>
      <c r="D1182" s="51">
        <v>0</v>
      </c>
    </row>
    <row r="1183" spans="1:4" ht="15" customHeight="1">
      <c r="A1183" s="50">
        <v>44976</v>
      </c>
      <c r="B1183" s="49" t="s">
        <v>35</v>
      </c>
      <c r="C1183" s="51">
        <v>63982.9</v>
      </c>
      <c r="D1183" s="51">
        <v>0</v>
      </c>
    </row>
    <row r="1184" spans="1:4" ht="15" customHeight="1">
      <c r="A1184" s="50">
        <v>44976</v>
      </c>
      <c r="B1184" s="49" t="s">
        <v>36</v>
      </c>
      <c r="C1184" s="51">
        <v>64317.7</v>
      </c>
      <c r="D1184" s="51">
        <v>0</v>
      </c>
    </row>
    <row r="1185" spans="1:4" ht="15" customHeight="1">
      <c r="A1185" s="50">
        <v>44976</v>
      </c>
      <c r="B1185" s="49" t="s">
        <v>37</v>
      </c>
      <c r="C1185" s="51">
        <v>64161.7</v>
      </c>
      <c r="D1185" s="51">
        <v>0</v>
      </c>
    </row>
    <row r="1186" spans="1:4" ht="15" customHeight="1">
      <c r="A1186" s="50">
        <v>44976</v>
      </c>
      <c r="B1186" s="49" t="s">
        <v>38</v>
      </c>
      <c r="C1186" s="51">
        <v>61138.1</v>
      </c>
      <c r="D1186" s="51">
        <v>0</v>
      </c>
    </row>
    <row r="1187" spans="1:4" ht="15" customHeight="1">
      <c r="A1187" s="50">
        <v>44976</v>
      </c>
      <c r="B1187" s="49" t="s">
        <v>39</v>
      </c>
      <c r="C1187" s="51">
        <v>60973.9</v>
      </c>
      <c r="D1187" s="51">
        <v>0</v>
      </c>
    </row>
    <row r="1188" spans="1:4" ht="15" customHeight="1">
      <c r="A1188" s="50">
        <v>44976</v>
      </c>
      <c r="B1188" s="49" t="s">
        <v>40</v>
      </c>
      <c r="C1188" s="51">
        <v>62637.1</v>
      </c>
      <c r="D1188" s="51">
        <v>0</v>
      </c>
    </row>
    <row r="1189" spans="1:4" ht="15" customHeight="1">
      <c r="A1189" s="50">
        <v>44976</v>
      </c>
      <c r="B1189" s="49" t="s">
        <v>41</v>
      </c>
      <c r="C1189" s="51">
        <v>64277.7</v>
      </c>
      <c r="D1189" s="51">
        <v>0</v>
      </c>
    </row>
    <row r="1190" spans="1:4" ht="15" customHeight="1">
      <c r="A1190" s="50">
        <v>44976</v>
      </c>
      <c r="B1190" s="49" t="s">
        <v>42</v>
      </c>
      <c r="C1190" s="51">
        <v>64016</v>
      </c>
      <c r="D1190" s="51">
        <v>0</v>
      </c>
    </row>
    <row r="1191" spans="1:4" ht="15" customHeight="1">
      <c r="A1191" s="50">
        <v>44976</v>
      </c>
      <c r="B1191" s="49" t="s">
        <v>43</v>
      </c>
      <c r="C1191" s="51">
        <v>63972.9</v>
      </c>
      <c r="D1191" s="51">
        <v>0</v>
      </c>
    </row>
    <row r="1192" spans="1:4" ht="15" customHeight="1">
      <c r="A1192" s="50">
        <v>44976</v>
      </c>
      <c r="B1192" s="49" t="s">
        <v>44</v>
      </c>
      <c r="C1192" s="51">
        <v>64067.9</v>
      </c>
      <c r="D1192" s="51">
        <v>0</v>
      </c>
    </row>
    <row r="1193" spans="1:4" ht="15" customHeight="1">
      <c r="A1193" s="50">
        <v>44976</v>
      </c>
      <c r="B1193" s="49" t="s">
        <v>45</v>
      </c>
      <c r="C1193" s="51">
        <v>64022</v>
      </c>
      <c r="D1193" s="51">
        <v>0</v>
      </c>
    </row>
    <row r="1194" spans="1:4" ht="15" customHeight="1">
      <c r="A1194" s="50">
        <v>44976</v>
      </c>
      <c r="B1194" s="49" t="s">
        <v>46</v>
      </c>
      <c r="C1194" s="51">
        <v>64072.4</v>
      </c>
      <c r="D1194" s="51">
        <v>0</v>
      </c>
    </row>
    <row r="1195" spans="1:4" ht="15" customHeight="1">
      <c r="A1195" s="50">
        <v>44976</v>
      </c>
      <c r="B1195" s="49" t="s">
        <v>47</v>
      </c>
      <c r="C1195" s="51">
        <v>63910.8</v>
      </c>
      <c r="D1195" s="51">
        <v>0</v>
      </c>
    </row>
    <row r="1196" spans="1:4" ht="15" customHeight="1">
      <c r="A1196" s="50">
        <v>44976</v>
      </c>
      <c r="B1196" s="49" t="s">
        <v>48</v>
      </c>
      <c r="C1196" s="51">
        <v>64245.1</v>
      </c>
      <c r="D1196" s="51">
        <v>0</v>
      </c>
    </row>
    <row r="1197" spans="1:4" ht="15" customHeight="1">
      <c r="A1197" s="50">
        <v>44976</v>
      </c>
      <c r="B1197" s="49" t="s">
        <v>49</v>
      </c>
      <c r="C1197" s="51">
        <v>63832.800000000003</v>
      </c>
      <c r="D1197" s="51">
        <v>0</v>
      </c>
    </row>
    <row r="1198" spans="1:4" ht="15" customHeight="1">
      <c r="A1198" s="50">
        <v>44976</v>
      </c>
      <c r="B1198" s="49" t="s">
        <v>50</v>
      </c>
      <c r="C1198" s="51">
        <v>63858.5</v>
      </c>
      <c r="D1198" s="51">
        <v>0</v>
      </c>
    </row>
    <row r="1199" spans="1:4" ht="15" customHeight="1">
      <c r="A1199" s="50">
        <v>44976</v>
      </c>
      <c r="B1199" s="49" t="s">
        <v>51</v>
      </c>
      <c r="C1199" s="51">
        <v>63759.3</v>
      </c>
      <c r="D1199" s="51">
        <v>0</v>
      </c>
    </row>
    <row r="1200" spans="1:4" ht="15" customHeight="1">
      <c r="A1200" s="50">
        <v>44976</v>
      </c>
      <c r="B1200" s="49" t="s">
        <v>52</v>
      </c>
      <c r="C1200" s="51">
        <v>63798.7</v>
      </c>
      <c r="D1200" s="51">
        <v>0</v>
      </c>
    </row>
    <row r="1201" spans="1:4" ht="15" customHeight="1">
      <c r="A1201" s="50">
        <v>44976</v>
      </c>
      <c r="B1201" s="49" t="s">
        <v>53</v>
      </c>
      <c r="C1201" s="51">
        <v>63737.3</v>
      </c>
      <c r="D1201" s="51">
        <v>0</v>
      </c>
    </row>
    <row r="1202" spans="1:4" ht="15" customHeight="1">
      <c r="A1202" s="50">
        <v>44977</v>
      </c>
      <c r="B1202" s="49" t="s">
        <v>30</v>
      </c>
      <c r="C1202" s="51">
        <v>54275.8</v>
      </c>
      <c r="D1202" s="51">
        <v>0</v>
      </c>
    </row>
    <row r="1203" spans="1:4" ht="15" customHeight="1">
      <c r="A1203" s="50">
        <v>44977</v>
      </c>
      <c r="B1203" s="49" t="s">
        <v>31</v>
      </c>
      <c r="C1203" s="51">
        <v>53634.3</v>
      </c>
      <c r="D1203" s="51">
        <v>0</v>
      </c>
    </row>
    <row r="1204" spans="1:4" ht="15" customHeight="1">
      <c r="A1204" s="50">
        <v>44977</v>
      </c>
      <c r="B1204" s="49" t="s">
        <v>32</v>
      </c>
      <c r="C1204" s="51">
        <v>53663.6</v>
      </c>
      <c r="D1204" s="51">
        <v>0</v>
      </c>
    </row>
    <row r="1205" spans="1:4" ht="15" customHeight="1">
      <c r="A1205" s="50">
        <v>44977</v>
      </c>
      <c r="B1205" s="49" t="s">
        <v>33</v>
      </c>
      <c r="C1205" s="51">
        <v>53684.1</v>
      </c>
      <c r="D1205" s="51">
        <v>0</v>
      </c>
    </row>
    <row r="1206" spans="1:4" ht="15" customHeight="1">
      <c r="A1206" s="50">
        <v>44977</v>
      </c>
      <c r="B1206" s="49" t="s">
        <v>34</v>
      </c>
      <c r="C1206" s="51">
        <v>54368.6</v>
      </c>
      <c r="D1206" s="51">
        <v>0</v>
      </c>
    </row>
    <row r="1207" spans="1:4" ht="15" customHeight="1">
      <c r="A1207" s="50">
        <v>44977</v>
      </c>
      <c r="B1207" s="49" t="s">
        <v>35</v>
      </c>
      <c r="C1207" s="51">
        <v>52651.5</v>
      </c>
      <c r="D1207" s="51">
        <v>0</v>
      </c>
    </row>
    <row r="1208" spans="1:4" ht="15" customHeight="1">
      <c r="A1208" s="50">
        <v>44977</v>
      </c>
      <c r="B1208" s="49" t="s">
        <v>36</v>
      </c>
      <c r="C1208" s="51">
        <v>52843.4</v>
      </c>
      <c r="D1208" s="51">
        <v>0</v>
      </c>
    </row>
    <row r="1209" spans="1:4" ht="15" customHeight="1">
      <c r="A1209" s="50">
        <v>44977</v>
      </c>
      <c r="B1209" s="49" t="s">
        <v>37</v>
      </c>
      <c r="C1209" s="51">
        <v>53081.7</v>
      </c>
      <c r="D1209" s="51">
        <v>0</v>
      </c>
    </row>
    <row r="1210" spans="1:4" ht="15" customHeight="1">
      <c r="A1210" s="50">
        <v>44977</v>
      </c>
      <c r="B1210" s="49" t="s">
        <v>38</v>
      </c>
      <c r="C1210" s="51">
        <v>53104.5</v>
      </c>
      <c r="D1210" s="51">
        <v>0</v>
      </c>
    </row>
    <row r="1211" spans="1:4" ht="15" customHeight="1">
      <c r="A1211" s="50">
        <v>44977</v>
      </c>
      <c r="B1211" s="49" t="s">
        <v>39</v>
      </c>
      <c r="C1211" s="51">
        <v>54437.2</v>
      </c>
      <c r="D1211" s="51">
        <v>0</v>
      </c>
    </row>
    <row r="1212" spans="1:4" ht="15" customHeight="1">
      <c r="A1212" s="50">
        <v>44977</v>
      </c>
      <c r="B1212" s="49" t="s">
        <v>40</v>
      </c>
      <c r="C1212" s="51">
        <v>54942.2</v>
      </c>
      <c r="D1212" s="51">
        <v>0</v>
      </c>
    </row>
    <row r="1213" spans="1:4" ht="15" customHeight="1">
      <c r="A1213" s="50">
        <v>44977</v>
      </c>
      <c r="B1213" s="49" t="s">
        <v>41</v>
      </c>
      <c r="C1213" s="51">
        <v>54891.9</v>
      </c>
      <c r="D1213" s="51">
        <v>0</v>
      </c>
    </row>
    <row r="1214" spans="1:4" ht="15" customHeight="1">
      <c r="A1214" s="50">
        <v>44977</v>
      </c>
      <c r="B1214" s="49" t="s">
        <v>42</v>
      </c>
      <c r="C1214" s="51">
        <v>54908.800000000003</v>
      </c>
      <c r="D1214" s="51">
        <v>0</v>
      </c>
    </row>
    <row r="1215" spans="1:4" ht="15" customHeight="1">
      <c r="A1215" s="50">
        <v>44977</v>
      </c>
      <c r="B1215" s="49" t="s">
        <v>43</v>
      </c>
      <c r="C1215" s="51">
        <v>54873.8</v>
      </c>
      <c r="D1215" s="51">
        <v>0</v>
      </c>
    </row>
    <row r="1216" spans="1:4" ht="15" customHeight="1">
      <c r="A1216" s="50">
        <v>44977</v>
      </c>
      <c r="B1216" s="49" t="s">
        <v>44</v>
      </c>
      <c r="C1216" s="51">
        <v>54488.2</v>
      </c>
      <c r="D1216" s="51">
        <v>0</v>
      </c>
    </row>
    <row r="1217" spans="1:4" ht="15" customHeight="1">
      <c r="A1217" s="50">
        <v>44977</v>
      </c>
      <c r="B1217" s="49" t="s">
        <v>45</v>
      </c>
      <c r="C1217" s="51">
        <v>53977.5</v>
      </c>
      <c r="D1217" s="51">
        <v>0</v>
      </c>
    </row>
    <row r="1218" spans="1:4" ht="15" customHeight="1">
      <c r="A1218" s="50">
        <v>44977</v>
      </c>
      <c r="B1218" s="49" t="s">
        <v>46</v>
      </c>
      <c r="C1218" s="51">
        <v>54263</v>
      </c>
      <c r="D1218" s="51">
        <v>0</v>
      </c>
    </row>
    <row r="1219" spans="1:4" ht="15" customHeight="1">
      <c r="A1219" s="50">
        <v>44977</v>
      </c>
      <c r="B1219" s="49" t="s">
        <v>47</v>
      </c>
      <c r="C1219" s="51">
        <v>54278.8</v>
      </c>
      <c r="D1219" s="51">
        <v>0</v>
      </c>
    </row>
    <row r="1220" spans="1:4" ht="15" customHeight="1">
      <c r="A1220" s="50">
        <v>44977</v>
      </c>
      <c r="B1220" s="49" t="s">
        <v>48</v>
      </c>
      <c r="C1220" s="51">
        <v>54077.1</v>
      </c>
      <c r="D1220" s="51">
        <v>0</v>
      </c>
    </row>
    <row r="1221" spans="1:4" ht="15" customHeight="1">
      <c r="A1221" s="50">
        <v>44977</v>
      </c>
      <c r="B1221" s="49" t="s">
        <v>49</v>
      </c>
      <c r="C1221" s="51">
        <v>54307.9</v>
      </c>
      <c r="D1221" s="51">
        <v>0</v>
      </c>
    </row>
    <row r="1222" spans="1:4" ht="15" customHeight="1">
      <c r="A1222" s="50">
        <v>44977</v>
      </c>
      <c r="B1222" s="49" t="s">
        <v>50</v>
      </c>
      <c r="C1222" s="51">
        <v>54232.5</v>
      </c>
      <c r="D1222" s="51">
        <v>0</v>
      </c>
    </row>
    <row r="1223" spans="1:4" ht="15" customHeight="1">
      <c r="A1223" s="50">
        <v>44977</v>
      </c>
      <c r="B1223" s="49" t="s">
        <v>51</v>
      </c>
      <c r="C1223" s="51">
        <v>54250.5</v>
      </c>
      <c r="D1223" s="51">
        <v>0</v>
      </c>
    </row>
    <row r="1224" spans="1:4" ht="15" customHeight="1">
      <c r="A1224" s="50">
        <v>44977</v>
      </c>
      <c r="B1224" s="49" t="s">
        <v>52</v>
      </c>
      <c r="C1224" s="51">
        <v>54183.9</v>
      </c>
      <c r="D1224" s="51">
        <v>0</v>
      </c>
    </row>
    <row r="1225" spans="1:4" ht="15" customHeight="1">
      <c r="A1225" s="50">
        <v>44977</v>
      </c>
      <c r="B1225" s="49" t="s">
        <v>53</v>
      </c>
      <c r="C1225" s="51">
        <v>53667.1</v>
      </c>
      <c r="D1225" s="51">
        <v>0</v>
      </c>
    </row>
    <row r="1226" spans="1:4" ht="15" customHeight="1">
      <c r="A1226" s="50">
        <v>44978</v>
      </c>
      <c r="B1226" s="49" t="s">
        <v>30</v>
      </c>
      <c r="C1226" s="51">
        <v>53496.1</v>
      </c>
      <c r="D1226" s="51">
        <v>0</v>
      </c>
    </row>
    <row r="1227" spans="1:4" ht="15" customHeight="1">
      <c r="A1227" s="50">
        <v>44978</v>
      </c>
      <c r="B1227" s="49" t="s">
        <v>31</v>
      </c>
      <c r="C1227" s="51">
        <v>53671</v>
      </c>
      <c r="D1227" s="51">
        <v>0</v>
      </c>
    </row>
    <row r="1228" spans="1:4" ht="15" customHeight="1">
      <c r="A1228" s="50">
        <v>44978</v>
      </c>
      <c r="B1228" s="49" t="s">
        <v>32</v>
      </c>
      <c r="C1228" s="51">
        <v>53574.9</v>
      </c>
      <c r="D1228" s="51">
        <v>0</v>
      </c>
    </row>
    <row r="1229" spans="1:4" ht="15" customHeight="1">
      <c r="A1229" s="50">
        <v>44978</v>
      </c>
      <c r="B1229" s="49" t="s">
        <v>33</v>
      </c>
      <c r="C1229" s="51">
        <v>53472.9</v>
      </c>
      <c r="D1229" s="51">
        <v>0</v>
      </c>
    </row>
    <row r="1230" spans="1:4" ht="15" customHeight="1">
      <c r="A1230" s="50">
        <v>44978</v>
      </c>
      <c r="B1230" s="49" t="s">
        <v>34</v>
      </c>
      <c r="C1230" s="51">
        <v>53752.5</v>
      </c>
      <c r="D1230" s="51">
        <v>0</v>
      </c>
    </row>
    <row r="1231" spans="1:4" ht="15" customHeight="1">
      <c r="A1231" s="50">
        <v>44978</v>
      </c>
      <c r="B1231" s="49" t="s">
        <v>35</v>
      </c>
      <c r="C1231" s="51">
        <v>53816.5</v>
      </c>
      <c r="D1231" s="51">
        <v>0</v>
      </c>
    </row>
    <row r="1232" spans="1:4" ht="15" customHeight="1">
      <c r="A1232" s="50">
        <v>44978</v>
      </c>
      <c r="B1232" s="49" t="s">
        <v>36</v>
      </c>
      <c r="C1232" s="51">
        <v>53652.5</v>
      </c>
      <c r="D1232" s="51">
        <v>0</v>
      </c>
    </row>
    <row r="1233" spans="1:4" ht="15" customHeight="1">
      <c r="A1233" s="50">
        <v>44978</v>
      </c>
      <c r="B1233" s="49" t="s">
        <v>37</v>
      </c>
      <c r="C1233" s="51">
        <v>53780.7</v>
      </c>
      <c r="D1233" s="51">
        <v>0</v>
      </c>
    </row>
    <row r="1234" spans="1:4" ht="15" customHeight="1">
      <c r="A1234" s="50">
        <v>44978</v>
      </c>
      <c r="B1234" s="49" t="s">
        <v>38</v>
      </c>
      <c r="C1234" s="51">
        <v>53692.6</v>
      </c>
      <c r="D1234" s="51">
        <v>0</v>
      </c>
    </row>
    <row r="1235" spans="1:4" ht="15" customHeight="1">
      <c r="A1235" s="50">
        <v>44978</v>
      </c>
      <c r="B1235" s="49" t="s">
        <v>39</v>
      </c>
      <c r="C1235" s="51">
        <v>53676.800000000003</v>
      </c>
      <c r="D1235" s="51">
        <v>0</v>
      </c>
    </row>
    <row r="1236" spans="1:4" ht="15" customHeight="1">
      <c r="A1236" s="50">
        <v>44978</v>
      </c>
      <c r="B1236" s="49" t="s">
        <v>40</v>
      </c>
      <c r="C1236" s="51">
        <v>52977.599999999999</v>
      </c>
      <c r="D1236" s="51">
        <v>0</v>
      </c>
    </row>
    <row r="1237" spans="1:4" ht="15" customHeight="1">
      <c r="A1237" s="50">
        <v>44978</v>
      </c>
      <c r="B1237" s="49" t="s">
        <v>41</v>
      </c>
      <c r="C1237" s="51">
        <v>53081.1</v>
      </c>
      <c r="D1237" s="51">
        <v>0</v>
      </c>
    </row>
    <row r="1238" spans="1:4" ht="15" customHeight="1">
      <c r="A1238" s="50">
        <v>44978</v>
      </c>
      <c r="B1238" s="49" t="s">
        <v>42</v>
      </c>
      <c r="C1238" s="51">
        <v>54011.9</v>
      </c>
      <c r="D1238" s="51">
        <v>0</v>
      </c>
    </row>
    <row r="1239" spans="1:4" ht="15" customHeight="1">
      <c r="A1239" s="50">
        <v>44978</v>
      </c>
      <c r="B1239" s="49" t="s">
        <v>43</v>
      </c>
      <c r="C1239" s="51">
        <v>54060.5</v>
      </c>
      <c r="D1239" s="51">
        <v>0</v>
      </c>
    </row>
    <row r="1240" spans="1:4" ht="15" customHeight="1">
      <c r="A1240" s="50">
        <v>44978</v>
      </c>
      <c r="B1240" s="49" t="s">
        <v>44</v>
      </c>
      <c r="C1240" s="51">
        <v>54019.6</v>
      </c>
      <c r="D1240" s="51">
        <v>0</v>
      </c>
    </row>
    <row r="1241" spans="1:4" ht="15" customHeight="1">
      <c r="A1241" s="50">
        <v>44978</v>
      </c>
      <c r="B1241" s="49" t="s">
        <v>45</v>
      </c>
      <c r="C1241" s="51">
        <v>54002.3</v>
      </c>
      <c r="D1241" s="51">
        <v>0</v>
      </c>
    </row>
    <row r="1242" spans="1:4" ht="15" customHeight="1">
      <c r="A1242" s="50">
        <v>44978</v>
      </c>
      <c r="B1242" s="49" t="s">
        <v>46</v>
      </c>
      <c r="C1242" s="51">
        <v>53902.6</v>
      </c>
      <c r="D1242" s="51">
        <v>0</v>
      </c>
    </row>
    <row r="1243" spans="1:4" ht="15" customHeight="1">
      <c r="A1243" s="50">
        <v>44978</v>
      </c>
      <c r="B1243" s="49" t="s">
        <v>47</v>
      </c>
      <c r="C1243" s="51">
        <v>53906.2</v>
      </c>
      <c r="D1243" s="51">
        <v>0</v>
      </c>
    </row>
    <row r="1244" spans="1:4" ht="15" customHeight="1">
      <c r="A1244" s="50">
        <v>44978</v>
      </c>
      <c r="B1244" s="49" t="s">
        <v>48</v>
      </c>
      <c r="C1244" s="51">
        <v>53887.199999999997</v>
      </c>
      <c r="D1244" s="51">
        <v>0</v>
      </c>
    </row>
    <row r="1245" spans="1:4" ht="15" customHeight="1">
      <c r="A1245" s="50">
        <v>44978</v>
      </c>
      <c r="B1245" s="49" t="s">
        <v>49</v>
      </c>
      <c r="C1245" s="51">
        <v>53872.6</v>
      </c>
      <c r="D1245" s="51">
        <v>0</v>
      </c>
    </row>
    <row r="1246" spans="1:4" ht="15" customHeight="1">
      <c r="A1246" s="50">
        <v>44978</v>
      </c>
      <c r="B1246" s="49" t="s">
        <v>50</v>
      </c>
      <c r="C1246" s="51">
        <v>53842.400000000001</v>
      </c>
      <c r="D1246" s="51">
        <v>0</v>
      </c>
    </row>
    <row r="1247" spans="1:4" ht="15" customHeight="1">
      <c r="A1247" s="50">
        <v>44978</v>
      </c>
      <c r="B1247" s="49" t="s">
        <v>51</v>
      </c>
      <c r="C1247" s="51">
        <v>53757.8</v>
      </c>
      <c r="D1247" s="51">
        <v>0</v>
      </c>
    </row>
    <row r="1248" spans="1:4" ht="15" customHeight="1">
      <c r="A1248" s="50">
        <v>44978</v>
      </c>
      <c r="B1248" s="49" t="s">
        <v>52</v>
      </c>
      <c r="C1248" s="51">
        <v>53838</v>
      </c>
      <c r="D1248" s="51">
        <v>0</v>
      </c>
    </row>
    <row r="1249" spans="1:4" ht="15" customHeight="1">
      <c r="A1249" s="50">
        <v>44978</v>
      </c>
      <c r="B1249" s="49" t="s">
        <v>53</v>
      </c>
      <c r="C1249" s="51">
        <v>54055.1</v>
      </c>
      <c r="D1249" s="51">
        <v>0</v>
      </c>
    </row>
    <row r="1250" spans="1:4" ht="15" customHeight="1">
      <c r="A1250" s="50">
        <v>44979</v>
      </c>
      <c r="B1250" s="49" t="s">
        <v>30</v>
      </c>
      <c r="C1250" s="51">
        <v>54227.5</v>
      </c>
      <c r="D1250" s="51">
        <v>0</v>
      </c>
    </row>
    <row r="1251" spans="1:4" ht="15" customHeight="1">
      <c r="A1251" s="50">
        <v>44979</v>
      </c>
      <c r="B1251" s="49" t="s">
        <v>31</v>
      </c>
      <c r="C1251" s="51">
        <v>54124.4</v>
      </c>
      <c r="D1251" s="51">
        <v>0</v>
      </c>
    </row>
    <row r="1252" spans="1:4" ht="15" customHeight="1">
      <c r="A1252" s="50">
        <v>44979</v>
      </c>
      <c r="B1252" s="49" t="s">
        <v>32</v>
      </c>
      <c r="C1252" s="51">
        <v>53869</v>
      </c>
      <c r="D1252" s="51">
        <v>0</v>
      </c>
    </row>
    <row r="1253" spans="1:4" ht="15" customHeight="1">
      <c r="A1253" s="50">
        <v>44979</v>
      </c>
      <c r="B1253" s="49" t="s">
        <v>33</v>
      </c>
      <c r="C1253" s="51">
        <v>53939</v>
      </c>
      <c r="D1253" s="51">
        <v>0</v>
      </c>
    </row>
    <row r="1254" spans="1:4" ht="15" customHeight="1">
      <c r="A1254" s="50">
        <v>44979</v>
      </c>
      <c r="B1254" s="49" t="s">
        <v>34</v>
      </c>
      <c r="C1254" s="51">
        <v>53923.6</v>
      </c>
      <c r="D1254" s="51">
        <v>0</v>
      </c>
    </row>
    <row r="1255" spans="1:4" ht="15" customHeight="1">
      <c r="A1255" s="50">
        <v>44979</v>
      </c>
      <c r="B1255" s="49" t="s">
        <v>35</v>
      </c>
      <c r="C1255" s="51">
        <v>53590.400000000001</v>
      </c>
      <c r="D1255" s="51">
        <v>0</v>
      </c>
    </row>
    <row r="1256" spans="1:4" ht="15" customHeight="1">
      <c r="A1256" s="50">
        <v>44979</v>
      </c>
      <c r="B1256" s="49" t="s">
        <v>36</v>
      </c>
      <c r="C1256" s="51">
        <v>54147.4</v>
      </c>
      <c r="D1256" s="51">
        <v>0</v>
      </c>
    </row>
    <row r="1257" spans="1:4" ht="15" customHeight="1">
      <c r="A1257" s="50">
        <v>44979</v>
      </c>
      <c r="B1257" s="49" t="s">
        <v>37</v>
      </c>
      <c r="C1257" s="51">
        <v>52259.5</v>
      </c>
      <c r="D1257" s="51">
        <v>0</v>
      </c>
    </row>
    <row r="1258" spans="1:4" ht="15" customHeight="1">
      <c r="A1258" s="50">
        <v>44979</v>
      </c>
      <c r="B1258" s="49" t="s">
        <v>38</v>
      </c>
      <c r="C1258" s="51">
        <v>53652.7</v>
      </c>
      <c r="D1258" s="51">
        <v>0</v>
      </c>
    </row>
    <row r="1259" spans="1:4" ht="15" customHeight="1">
      <c r="A1259" s="50">
        <v>44979</v>
      </c>
      <c r="B1259" s="49" t="s">
        <v>39</v>
      </c>
      <c r="C1259" s="51">
        <v>53511.9</v>
      </c>
      <c r="D1259" s="51">
        <v>0</v>
      </c>
    </row>
    <row r="1260" spans="1:4" ht="15" customHeight="1">
      <c r="A1260" s="50">
        <v>44979</v>
      </c>
      <c r="B1260" s="49" t="s">
        <v>40</v>
      </c>
      <c r="C1260" s="51">
        <v>53268.4</v>
      </c>
      <c r="D1260" s="51">
        <v>0</v>
      </c>
    </row>
    <row r="1261" spans="1:4" ht="15" customHeight="1">
      <c r="A1261" s="50">
        <v>44979</v>
      </c>
      <c r="B1261" s="49" t="s">
        <v>41</v>
      </c>
      <c r="C1261" s="51">
        <v>52786.3</v>
      </c>
      <c r="D1261" s="51">
        <v>0</v>
      </c>
    </row>
    <row r="1262" spans="1:4" ht="15" customHeight="1">
      <c r="A1262" s="50">
        <v>44979</v>
      </c>
      <c r="B1262" s="49" t="s">
        <v>42</v>
      </c>
      <c r="C1262" s="51">
        <v>61959.199999999997</v>
      </c>
      <c r="D1262" s="51">
        <v>0</v>
      </c>
    </row>
    <row r="1263" spans="1:4" ht="15" customHeight="1">
      <c r="A1263" s="50">
        <v>44979</v>
      </c>
      <c r="B1263" s="49" t="s">
        <v>43</v>
      </c>
      <c r="C1263" s="51">
        <v>62346.3</v>
      </c>
      <c r="D1263" s="51">
        <v>0</v>
      </c>
    </row>
    <row r="1264" spans="1:4" ht="15" customHeight="1">
      <c r="A1264" s="50">
        <v>44979</v>
      </c>
      <c r="B1264" s="49" t="s">
        <v>44</v>
      </c>
      <c r="C1264" s="51">
        <v>62185.7</v>
      </c>
      <c r="D1264" s="51">
        <v>0</v>
      </c>
    </row>
    <row r="1265" spans="1:4" ht="15" customHeight="1">
      <c r="A1265" s="50">
        <v>44979</v>
      </c>
      <c r="B1265" s="49" t="s">
        <v>45</v>
      </c>
      <c r="C1265" s="51">
        <v>62288.9</v>
      </c>
      <c r="D1265" s="51">
        <v>0</v>
      </c>
    </row>
    <row r="1266" spans="1:4" ht="15" customHeight="1">
      <c r="A1266" s="50">
        <v>44979</v>
      </c>
      <c r="B1266" s="49" t="s">
        <v>46</v>
      </c>
      <c r="C1266" s="51">
        <v>62286.5</v>
      </c>
      <c r="D1266" s="51">
        <v>0</v>
      </c>
    </row>
    <row r="1267" spans="1:4" ht="15" customHeight="1">
      <c r="A1267" s="50">
        <v>44979</v>
      </c>
      <c r="B1267" s="49" t="s">
        <v>47</v>
      </c>
      <c r="C1267" s="51">
        <v>62194.1</v>
      </c>
      <c r="D1267" s="51">
        <v>0</v>
      </c>
    </row>
    <row r="1268" spans="1:4" ht="15" customHeight="1">
      <c r="A1268" s="50">
        <v>44979</v>
      </c>
      <c r="B1268" s="49" t="s">
        <v>48</v>
      </c>
      <c r="C1268" s="51">
        <v>62173.4</v>
      </c>
      <c r="D1268" s="51">
        <v>0</v>
      </c>
    </row>
    <row r="1269" spans="1:4" ht="15" customHeight="1">
      <c r="A1269" s="50">
        <v>44979</v>
      </c>
      <c r="B1269" s="49" t="s">
        <v>49</v>
      </c>
      <c r="C1269" s="51">
        <v>62611.4</v>
      </c>
      <c r="D1269" s="51">
        <v>0</v>
      </c>
    </row>
    <row r="1270" spans="1:4" ht="15" customHeight="1">
      <c r="A1270" s="50">
        <v>44979</v>
      </c>
      <c r="B1270" s="49" t="s">
        <v>50</v>
      </c>
      <c r="C1270" s="51">
        <v>63342</v>
      </c>
      <c r="D1270" s="51">
        <v>0</v>
      </c>
    </row>
    <row r="1271" spans="1:4" ht="15" customHeight="1">
      <c r="A1271" s="50">
        <v>44979</v>
      </c>
      <c r="B1271" s="49" t="s">
        <v>51</v>
      </c>
      <c r="C1271" s="51">
        <v>63472.6</v>
      </c>
      <c r="D1271" s="51">
        <v>0</v>
      </c>
    </row>
    <row r="1272" spans="1:4" ht="15" customHeight="1">
      <c r="A1272" s="50">
        <v>44979</v>
      </c>
      <c r="B1272" s="49" t="s">
        <v>52</v>
      </c>
      <c r="C1272" s="51">
        <v>63282.1</v>
      </c>
      <c r="D1272" s="51">
        <v>0</v>
      </c>
    </row>
    <row r="1273" spans="1:4" ht="15" customHeight="1">
      <c r="A1273" s="50">
        <v>44979</v>
      </c>
      <c r="B1273" s="49" t="s">
        <v>53</v>
      </c>
      <c r="C1273" s="51">
        <v>63641</v>
      </c>
      <c r="D1273" s="51">
        <v>0</v>
      </c>
    </row>
    <row r="1274" spans="1:4" ht="15" customHeight="1">
      <c r="A1274" s="50">
        <v>44980</v>
      </c>
      <c r="B1274" s="49" t="s">
        <v>30</v>
      </c>
      <c r="C1274" s="51">
        <v>63560.4</v>
      </c>
      <c r="D1274" s="51">
        <v>0</v>
      </c>
    </row>
    <row r="1275" spans="1:4" ht="15" customHeight="1">
      <c r="A1275" s="50">
        <v>44980</v>
      </c>
      <c r="B1275" s="49" t="s">
        <v>31</v>
      </c>
      <c r="C1275" s="51">
        <v>63629.1</v>
      </c>
      <c r="D1275" s="51">
        <v>0</v>
      </c>
    </row>
    <row r="1276" spans="1:4" ht="15" customHeight="1">
      <c r="A1276" s="50">
        <v>44980</v>
      </c>
      <c r="B1276" s="49" t="s">
        <v>32</v>
      </c>
      <c r="C1276" s="51">
        <v>62892.2</v>
      </c>
      <c r="D1276" s="51">
        <v>0</v>
      </c>
    </row>
    <row r="1277" spans="1:4" ht="15" customHeight="1">
      <c r="A1277" s="50">
        <v>44980</v>
      </c>
      <c r="B1277" s="49" t="s">
        <v>33</v>
      </c>
      <c r="C1277" s="51">
        <v>63706.2</v>
      </c>
      <c r="D1277" s="51">
        <v>0</v>
      </c>
    </row>
    <row r="1278" spans="1:4" ht="15" customHeight="1">
      <c r="A1278" s="50">
        <v>44980</v>
      </c>
      <c r="B1278" s="49" t="s">
        <v>34</v>
      </c>
      <c r="C1278" s="51">
        <v>64101.9</v>
      </c>
      <c r="D1278" s="51">
        <v>0</v>
      </c>
    </row>
    <row r="1279" spans="1:4" ht="15" customHeight="1">
      <c r="A1279" s="50">
        <v>44980</v>
      </c>
      <c r="B1279" s="49" t="s">
        <v>35</v>
      </c>
      <c r="C1279" s="51">
        <v>59980.4</v>
      </c>
      <c r="D1279" s="51">
        <v>0</v>
      </c>
    </row>
    <row r="1280" spans="1:4" ht="15" customHeight="1">
      <c r="A1280" s="50">
        <v>44980</v>
      </c>
      <c r="B1280" s="49" t="s">
        <v>36</v>
      </c>
      <c r="C1280" s="51">
        <v>59704</v>
      </c>
      <c r="D1280" s="51">
        <v>0</v>
      </c>
    </row>
    <row r="1281" spans="1:4" ht="15" customHeight="1">
      <c r="A1281" s="50">
        <v>44980</v>
      </c>
      <c r="B1281" s="49" t="s">
        <v>37</v>
      </c>
      <c r="C1281" s="51">
        <v>59917.2</v>
      </c>
      <c r="D1281" s="51">
        <v>0</v>
      </c>
    </row>
    <row r="1282" spans="1:4" ht="15" customHeight="1">
      <c r="A1282" s="50">
        <v>44980</v>
      </c>
      <c r="B1282" s="49" t="s">
        <v>38</v>
      </c>
      <c r="C1282" s="51">
        <v>61492</v>
      </c>
      <c r="D1282" s="51">
        <v>0</v>
      </c>
    </row>
    <row r="1283" spans="1:4" ht="15" customHeight="1">
      <c r="A1283" s="50">
        <v>44980</v>
      </c>
      <c r="B1283" s="49" t="s">
        <v>39</v>
      </c>
      <c r="C1283" s="51">
        <v>63313.599999999999</v>
      </c>
      <c r="D1283" s="51">
        <v>0</v>
      </c>
    </row>
    <row r="1284" spans="1:4" ht="15" customHeight="1">
      <c r="A1284" s="50">
        <v>44980</v>
      </c>
      <c r="B1284" s="49" t="s">
        <v>40</v>
      </c>
      <c r="C1284" s="51">
        <v>62877.3</v>
      </c>
      <c r="D1284" s="51">
        <v>0</v>
      </c>
    </row>
    <row r="1285" spans="1:4" ht="15" customHeight="1">
      <c r="A1285" s="50">
        <v>44980</v>
      </c>
      <c r="B1285" s="49" t="s">
        <v>41</v>
      </c>
      <c r="C1285" s="51">
        <v>62732.5</v>
      </c>
      <c r="D1285" s="51">
        <v>0</v>
      </c>
    </row>
    <row r="1286" spans="1:4" ht="15" customHeight="1">
      <c r="A1286" s="50">
        <v>44980</v>
      </c>
      <c r="B1286" s="49" t="s">
        <v>42</v>
      </c>
      <c r="C1286" s="51">
        <v>62934.3</v>
      </c>
      <c r="D1286" s="51">
        <v>0</v>
      </c>
    </row>
    <row r="1287" spans="1:4" ht="15" customHeight="1">
      <c r="A1287" s="50">
        <v>44980</v>
      </c>
      <c r="B1287" s="49" t="s">
        <v>43</v>
      </c>
      <c r="C1287" s="51">
        <v>62931.7</v>
      </c>
      <c r="D1287" s="51">
        <v>0</v>
      </c>
    </row>
    <row r="1288" spans="1:4" ht="15" customHeight="1">
      <c r="A1288" s="50">
        <v>44980</v>
      </c>
      <c r="B1288" s="49" t="s">
        <v>44</v>
      </c>
      <c r="C1288" s="51">
        <v>62951.7</v>
      </c>
      <c r="D1288" s="51">
        <v>0</v>
      </c>
    </row>
    <row r="1289" spans="1:4" ht="15" customHeight="1">
      <c r="A1289" s="50">
        <v>44980</v>
      </c>
      <c r="B1289" s="49" t="s">
        <v>45</v>
      </c>
      <c r="C1289" s="51">
        <v>62824.9</v>
      </c>
      <c r="D1289" s="51">
        <v>0</v>
      </c>
    </row>
    <row r="1290" spans="1:4" ht="15" customHeight="1">
      <c r="A1290" s="50">
        <v>44980</v>
      </c>
      <c r="B1290" s="49" t="s">
        <v>46</v>
      </c>
      <c r="C1290" s="51">
        <v>62777.1</v>
      </c>
      <c r="D1290" s="51">
        <v>0</v>
      </c>
    </row>
    <row r="1291" spans="1:4" ht="15" customHeight="1">
      <c r="A1291" s="50">
        <v>44980</v>
      </c>
      <c r="B1291" s="49" t="s">
        <v>47</v>
      </c>
      <c r="C1291" s="51">
        <v>62924.2</v>
      </c>
      <c r="D1291" s="51">
        <v>0</v>
      </c>
    </row>
    <row r="1292" spans="1:4" ht="15" customHeight="1">
      <c r="A1292" s="50">
        <v>44980</v>
      </c>
      <c r="B1292" s="49" t="s">
        <v>48</v>
      </c>
      <c r="C1292" s="51">
        <v>62908.9</v>
      </c>
      <c r="D1292" s="51">
        <v>0</v>
      </c>
    </row>
    <row r="1293" spans="1:4" ht="15" customHeight="1">
      <c r="A1293" s="50">
        <v>44980</v>
      </c>
      <c r="B1293" s="49" t="s">
        <v>49</v>
      </c>
      <c r="C1293" s="51">
        <v>62779.4</v>
      </c>
      <c r="D1293" s="51">
        <v>0</v>
      </c>
    </row>
    <row r="1294" spans="1:4" ht="15" customHeight="1">
      <c r="A1294" s="50">
        <v>44980</v>
      </c>
      <c r="B1294" s="49" t="s">
        <v>50</v>
      </c>
      <c r="C1294" s="51">
        <v>62795.3</v>
      </c>
      <c r="D1294" s="51">
        <v>0</v>
      </c>
    </row>
    <row r="1295" spans="1:4" ht="15" customHeight="1">
      <c r="A1295" s="50">
        <v>44980</v>
      </c>
      <c r="B1295" s="49" t="s">
        <v>51</v>
      </c>
      <c r="C1295" s="51">
        <v>62701.7</v>
      </c>
      <c r="D1295" s="51">
        <v>0</v>
      </c>
    </row>
    <row r="1296" spans="1:4" ht="15" customHeight="1">
      <c r="A1296" s="50">
        <v>44980</v>
      </c>
      <c r="B1296" s="49" t="s">
        <v>52</v>
      </c>
      <c r="C1296" s="51">
        <v>62874.5</v>
      </c>
      <c r="D1296" s="51">
        <v>0</v>
      </c>
    </row>
    <row r="1297" spans="1:4" ht="15" customHeight="1">
      <c r="A1297" s="50">
        <v>44980</v>
      </c>
      <c r="B1297" s="49" t="s">
        <v>53</v>
      </c>
      <c r="C1297" s="51">
        <v>63008.4</v>
      </c>
      <c r="D1297" s="51">
        <v>0</v>
      </c>
    </row>
    <row r="1298" spans="1:4" ht="15" customHeight="1">
      <c r="A1298" s="50">
        <v>44981</v>
      </c>
      <c r="B1298" s="49" t="s">
        <v>30</v>
      </c>
      <c r="C1298" s="51">
        <v>62836.4</v>
      </c>
      <c r="D1298" s="51">
        <v>0</v>
      </c>
    </row>
    <row r="1299" spans="1:4" ht="15" customHeight="1">
      <c r="A1299" s="50">
        <v>44981</v>
      </c>
      <c r="B1299" s="49" t="s">
        <v>31</v>
      </c>
      <c r="C1299" s="51">
        <v>62797.9</v>
      </c>
      <c r="D1299" s="51">
        <v>0</v>
      </c>
    </row>
    <row r="1300" spans="1:4" ht="15" customHeight="1">
      <c r="A1300" s="50">
        <v>44981</v>
      </c>
      <c r="B1300" s="49" t="s">
        <v>32</v>
      </c>
      <c r="C1300" s="51">
        <v>62751.5</v>
      </c>
      <c r="D1300" s="51">
        <v>0</v>
      </c>
    </row>
    <row r="1301" spans="1:4" ht="15" customHeight="1">
      <c r="A1301" s="50">
        <v>44981</v>
      </c>
      <c r="B1301" s="49" t="s">
        <v>33</v>
      </c>
      <c r="C1301" s="51">
        <v>62876.2</v>
      </c>
      <c r="D1301" s="51">
        <v>0</v>
      </c>
    </row>
    <row r="1302" spans="1:4" ht="15" customHeight="1">
      <c r="A1302" s="50">
        <v>44981</v>
      </c>
      <c r="B1302" s="49" t="s">
        <v>34</v>
      </c>
      <c r="C1302" s="51">
        <v>60676.800000000003</v>
      </c>
      <c r="D1302" s="51">
        <v>0</v>
      </c>
    </row>
    <row r="1303" spans="1:4" ht="15" customHeight="1">
      <c r="A1303" s="50">
        <v>44981</v>
      </c>
      <c r="B1303" s="49" t="s">
        <v>35</v>
      </c>
      <c r="C1303" s="51">
        <v>60084.6</v>
      </c>
      <c r="D1303" s="51">
        <v>0</v>
      </c>
    </row>
    <row r="1304" spans="1:4" ht="15" customHeight="1">
      <c r="A1304" s="50">
        <v>44981</v>
      </c>
      <c r="B1304" s="49" t="s">
        <v>36</v>
      </c>
      <c r="C1304" s="51">
        <v>62977</v>
      </c>
      <c r="D1304" s="51">
        <v>0</v>
      </c>
    </row>
    <row r="1305" spans="1:4" ht="15" customHeight="1">
      <c r="A1305" s="50">
        <v>44981</v>
      </c>
      <c r="B1305" s="49" t="s">
        <v>37</v>
      </c>
      <c r="C1305" s="51">
        <v>59192.5</v>
      </c>
      <c r="D1305" s="51">
        <v>0</v>
      </c>
    </row>
    <row r="1306" spans="1:4" ht="15" customHeight="1">
      <c r="A1306" s="50">
        <v>44981</v>
      </c>
      <c r="B1306" s="49" t="s">
        <v>38</v>
      </c>
      <c r="C1306" s="51">
        <v>58140.3</v>
      </c>
      <c r="D1306" s="51">
        <v>0</v>
      </c>
    </row>
    <row r="1307" spans="1:4" ht="15" customHeight="1">
      <c r="A1307" s="50">
        <v>44981</v>
      </c>
      <c r="B1307" s="49" t="s">
        <v>39</v>
      </c>
      <c r="C1307" s="51">
        <v>58518.2</v>
      </c>
      <c r="D1307" s="51">
        <v>0</v>
      </c>
    </row>
    <row r="1308" spans="1:4" ht="15" customHeight="1">
      <c r="A1308" s="50">
        <v>44981</v>
      </c>
      <c r="B1308" s="49" t="s">
        <v>40</v>
      </c>
      <c r="C1308" s="51">
        <v>59371</v>
      </c>
      <c r="D1308" s="51">
        <v>0</v>
      </c>
    </row>
    <row r="1309" spans="1:4" ht="15" customHeight="1">
      <c r="A1309" s="50">
        <v>44981</v>
      </c>
      <c r="B1309" s="49" t="s">
        <v>41</v>
      </c>
      <c r="C1309" s="51">
        <v>63909.599999999999</v>
      </c>
      <c r="D1309" s="51">
        <v>0</v>
      </c>
    </row>
    <row r="1310" spans="1:4" ht="15" customHeight="1">
      <c r="A1310" s="50">
        <v>44981</v>
      </c>
      <c r="B1310" s="49" t="s">
        <v>42</v>
      </c>
      <c r="C1310" s="51">
        <v>64519</v>
      </c>
      <c r="D1310" s="51">
        <v>0</v>
      </c>
    </row>
    <row r="1311" spans="1:4" ht="15" customHeight="1">
      <c r="A1311" s="50">
        <v>44981</v>
      </c>
      <c r="B1311" s="49" t="s">
        <v>43</v>
      </c>
      <c r="C1311" s="51">
        <v>63988</v>
      </c>
      <c r="D1311" s="51">
        <v>0</v>
      </c>
    </row>
    <row r="1312" spans="1:4" ht="15" customHeight="1">
      <c r="A1312" s="50">
        <v>44981</v>
      </c>
      <c r="B1312" s="49" t="s">
        <v>44</v>
      </c>
      <c r="C1312" s="51">
        <v>64085.3</v>
      </c>
      <c r="D1312" s="51">
        <v>0</v>
      </c>
    </row>
    <row r="1313" spans="1:4" ht="15" customHeight="1">
      <c r="A1313" s="50">
        <v>44981</v>
      </c>
      <c r="B1313" s="49" t="s">
        <v>45</v>
      </c>
      <c r="C1313" s="51">
        <v>63978.400000000001</v>
      </c>
      <c r="D1313" s="51">
        <v>0</v>
      </c>
    </row>
    <row r="1314" spans="1:4" ht="15" customHeight="1">
      <c r="A1314" s="50">
        <v>44981</v>
      </c>
      <c r="B1314" s="49" t="s">
        <v>46</v>
      </c>
      <c r="C1314" s="51">
        <v>63922.3</v>
      </c>
      <c r="D1314" s="51">
        <v>0</v>
      </c>
    </row>
    <row r="1315" spans="1:4" ht="15" customHeight="1">
      <c r="A1315" s="50">
        <v>44981</v>
      </c>
      <c r="B1315" s="49" t="s">
        <v>47</v>
      </c>
      <c r="C1315" s="51">
        <v>63787.8</v>
      </c>
      <c r="D1315" s="51">
        <v>0</v>
      </c>
    </row>
    <row r="1316" spans="1:4" ht="15" customHeight="1">
      <c r="A1316" s="50">
        <v>44981</v>
      </c>
      <c r="B1316" s="49" t="s">
        <v>48</v>
      </c>
      <c r="C1316" s="51">
        <v>63948.5</v>
      </c>
      <c r="D1316" s="51">
        <v>0</v>
      </c>
    </row>
    <row r="1317" spans="1:4" ht="15" customHeight="1">
      <c r="A1317" s="50">
        <v>44981</v>
      </c>
      <c r="B1317" s="49" t="s">
        <v>49</v>
      </c>
      <c r="C1317" s="51">
        <v>63844.9</v>
      </c>
      <c r="D1317" s="51">
        <v>0</v>
      </c>
    </row>
    <row r="1318" spans="1:4" ht="15" customHeight="1">
      <c r="A1318" s="50">
        <v>44981</v>
      </c>
      <c r="B1318" s="49" t="s">
        <v>50</v>
      </c>
      <c r="C1318" s="51">
        <v>63845.1</v>
      </c>
      <c r="D1318" s="51">
        <v>0</v>
      </c>
    </row>
    <row r="1319" spans="1:4" ht="15" customHeight="1">
      <c r="A1319" s="50">
        <v>44981</v>
      </c>
      <c r="B1319" s="49" t="s">
        <v>51</v>
      </c>
      <c r="C1319" s="51">
        <v>63817.1</v>
      </c>
      <c r="D1319" s="51">
        <v>0</v>
      </c>
    </row>
    <row r="1320" spans="1:4" ht="15" customHeight="1">
      <c r="A1320" s="50">
        <v>44981</v>
      </c>
      <c r="B1320" s="49" t="s">
        <v>52</v>
      </c>
      <c r="C1320" s="51">
        <v>63854.1</v>
      </c>
      <c r="D1320" s="51">
        <v>0</v>
      </c>
    </row>
    <row r="1321" spans="1:4" ht="15" customHeight="1">
      <c r="A1321" s="50">
        <v>44981</v>
      </c>
      <c r="B1321" s="49" t="s">
        <v>53</v>
      </c>
      <c r="C1321" s="51">
        <v>63867.3</v>
      </c>
      <c r="D1321" s="51">
        <v>0</v>
      </c>
    </row>
    <row r="1322" spans="1:4" ht="15" customHeight="1">
      <c r="A1322" s="50">
        <v>44982</v>
      </c>
      <c r="B1322" s="49" t="s">
        <v>30</v>
      </c>
      <c r="C1322" s="51">
        <v>54536.1</v>
      </c>
      <c r="D1322" s="51">
        <v>0</v>
      </c>
    </row>
    <row r="1323" spans="1:4" ht="15" customHeight="1">
      <c r="A1323" s="50">
        <v>44982</v>
      </c>
      <c r="B1323" s="49" t="s">
        <v>31</v>
      </c>
      <c r="C1323" s="51">
        <v>54368.4</v>
      </c>
      <c r="D1323" s="51">
        <v>0</v>
      </c>
    </row>
    <row r="1324" spans="1:4" ht="15" customHeight="1">
      <c r="A1324" s="50">
        <v>44982</v>
      </c>
      <c r="B1324" s="49" t="s">
        <v>32</v>
      </c>
      <c r="C1324" s="51">
        <v>54480</v>
      </c>
      <c r="D1324" s="51">
        <v>0</v>
      </c>
    </row>
    <row r="1325" spans="1:4" ht="15" customHeight="1">
      <c r="A1325" s="50">
        <v>44982</v>
      </c>
      <c r="B1325" s="49" t="s">
        <v>33</v>
      </c>
      <c r="C1325" s="51">
        <v>54534</v>
      </c>
      <c r="D1325" s="51">
        <v>0</v>
      </c>
    </row>
    <row r="1326" spans="1:4" ht="15" customHeight="1">
      <c r="A1326" s="50">
        <v>44982</v>
      </c>
      <c r="B1326" s="49" t="s">
        <v>34</v>
      </c>
      <c r="C1326" s="51">
        <v>54576.7</v>
      </c>
      <c r="D1326" s="51">
        <v>0</v>
      </c>
    </row>
    <row r="1327" spans="1:4" ht="15" customHeight="1">
      <c r="A1327" s="50">
        <v>44982</v>
      </c>
      <c r="B1327" s="49" t="s">
        <v>35</v>
      </c>
      <c r="C1327" s="51">
        <v>51006.400000000001</v>
      </c>
      <c r="D1327" s="51">
        <v>0</v>
      </c>
    </row>
    <row r="1328" spans="1:4" ht="15" customHeight="1">
      <c r="A1328" s="50">
        <v>44982</v>
      </c>
      <c r="B1328" s="49" t="s">
        <v>36</v>
      </c>
      <c r="C1328" s="51">
        <v>50444.2</v>
      </c>
      <c r="D1328" s="51">
        <v>0</v>
      </c>
    </row>
    <row r="1329" spans="1:4" ht="15" customHeight="1">
      <c r="A1329" s="50">
        <v>44982</v>
      </c>
      <c r="B1329" s="49" t="s">
        <v>37</v>
      </c>
      <c r="C1329" s="51">
        <v>53616.1</v>
      </c>
      <c r="D1329" s="51">
        <v>0</v>
      </c>
    </row>
    <row r="1330" spans="1:4" ht="15" customHeight="1">
      <c r="A1330" s="50">
        <v>44982</v>
      </c>
      <c r="B1330" s="49" t="s">
        <v>38</v>
      </c>
      <c r="C1330" s="51">
        <v>54459.199999999997</v>
      </c>
      <c r="D1330" s="51">
        <v>0</v>
      </c>
    </row>
    <row r="1331" spans="1:4" ht="15" customHeight="1">
      <c r="A1331" s="50">
        <v>44982</v>
      </c>
      <c r="B1331" s="49" t="s">
        <v>39</v>
      </c>
      <c r="C1331" s="51">
        <v>54326.8</v>
      </c>
      <c r="D1331" s="51">
        <v>0</v>
      </c>
    </row>
    <row r="1332" spans="1:4" ht="15" customHeight="1">
      <c r="A1332" s="50">
        <v>44982</v>
      </c>
      <c r="B1332" s="49" t="s">
        <v>40</v>
      </c>
      <c r="C1332" s="51">
        <v>54252.3</v>
      </c>
      <c r="D1332" s="51">
        <v>0</v>
      </c>
    </row>
    <row r="1333" spans="1:4" ht="15" customHeight="1">
      <c r="A1333" s="50">
        <v>44982</v>
      </c>
      <c r="B1333" s="49" t="s">
        <v>41</v>
      </c>
      <c r="C1333" s="51">
        <v>54269.5</v>
      </c>
      <c r="D1333" s="51">
        <v>0</v>
      </c>
    </row>
    <row r="1334" spans="1:4" ht="15" customHeight="1">
      <c r="A1334" s="50">
        <v>44982</v>
      </c>
      <c r="B1334" s="49" t="s">
        <v>42</v>
      </c>
      <c r="C1334" s="51">
        <v>54158.7</v>
      </c>
      <c r="D1334" s="51">
        <v>0</v>
      </c>
    </row>
    <row r="1335" spans="1:4" ht="15" customHeight="1">
      <c r="A1335" s="50">
        <v>44982</v>
      </c>
      <c r="B1335" s="49" t="s">
        <v>43</v>
      </c>
      <c r="C1335" s="51">
        <v>54231.6</v>
      </c>
      <c r="D1335" s="51">
        <v>0</v>
      </c>
    </row>
    <row r="1336" spans="1:4" ht="15" customHeight="1">
      <c r="A1336" s="50">
        <v>44982</v>
      </c>
      <c r="B1336" s="49" t="s">
        <v>44</v>
      </c>
      <c r="C1336" s="51">
        <v>54080.7</v>
      </c>
      <c r="D1336" s="51">
        <v>0</v>
      </c>
    </row>
    <row r="1337" spans="1:4" ht="15" customHeight="1">
      <c r="A1337" s="50">
        <v>44982</v>
      </c>
      <c r="B1337" s="49" t="s">
        <v>45</v>
      </c>
      <c r="C1337" s="51">
        <v>54196.9</v>
      </c>
      <c r="D1337" s="51">
        <v>0</v>
      </c>
    </row>
    <row r="1338" spans="1:4" ht="15" customHeight="1">
      <c r="A1338" s="50">
        <v>44982</v>
      </c>
      <c r="B1338" s="49" t="s">
        <v>46</v>
      </c>
      <c r="C1338" s="51">
        <v>54132.2</v>
      </c>
      <c r="D1338" s="51">
        <v>0</v>
      </c>
    </row>
    <row r="1339" spans="1:4" ht="15" customHeight="1">
      <c r="A1339" s="50">
        <v>44982</v>
      </c>
      <c r="B1339" s="49" t="s">
        <v>47</v>
      </c>
      <c r="C1339" s="51">
        <v>54176.4</v>
      </c>
      <c r="D1339" s="51">
        <v>0</v>
      </c>
    </row>
    <row r="1340" spans="1:4" ht="15" customHeight="1">
      <c r="A1340" s="50">
        <v>44982</v>
      </c>
      <c r="B1340" s="49" t="s">
        <v>48</v>
      </c>
      <c r="C1340" s="51">
        <v>54267.199999999997</v>
      </c>
      <c r="D1340" s="51">
        <v>0</v>
      </c>
    </row>
    <row r="1341" spans="1:4" ht="15" customHeight="1">
      <c r="A1341" s="50">
        <v>44982</v>
      </c>
      <c r="B1341" s="49" t="s">
        <v>49</v>
      </c>
      <c r="C1341" s="51">
        <v>53724.9</v>
      </c>
      <c r="D1341" s="51">
        <v>0</v>
      </c>
    </row>
    <row r="1342" spans="1:4" ht="15" customHeight="1">
      <c r="A1342" s="50">
        <v>44982</v>
      </c>
      <c r="B1342" s="49" t="s">
        <v>50</v>
      </c>
      <c r="C1342" s="51">
        <v>53513.7</v>
      </c>
      <c r="D1342" s="51">
        <v>0</v>
      </c>
    </row>
    <row r="1343" spans="1:4" ht="15" customHeight="1">
      <c r="A1343" s="50">
        <v>44982</v>
      </c>
      <c r="B1343" s="49" t="s">
        <v>51</v>
      </c>
      <c r="C1343" s="51">
        <v>53569.7</v>
      </c>
      <c r="D1343" s="51">
        <v>0</v>
      </c>
    </row>
    <row r="1344" spans="1:4" ht="15" customHeight="1">
      <c r="A1344" s="50">
        <v>44982</v>
      </c>
      <c r="B1344" s="49" t="s">
        <v>52</v>
      </c>
      <c r="C1344" s="51">
        <v>53456.4</v>
      </c>
      <c r="D1344" s="51">
        <v>0</v>
      </c>
    </row>
    <row r="1345" spans="1:4" ht="15" customHeight="1">
      <c r="A1345" s="50">
        <v>44982</v>
      </c>
      <c r="B1345" s="49" t="s">
        <v>53</v>
      </c>
      <c r="C1345" s="51">
        <v>52940</v>
      </c>
      <c r="D1345" s="51">
        <v>0</v>
      </c>
    </row>
    <row r="1346" spans="1:4" ht="15" customHeight="1">
      <c r="A1346" s="50">
        <v>44983</v>
      </c>
      <c r="B1346" s="49" t="s">
        <v>30</v>
      </c>
      <c r="C1346" s="51">
        <v>53312.800000000003</v>
      </c>
      <c r="D1346" s="51">
        <v>0</v>
      </c>
    </row>
    <row r="1347" spans="1:4" ht="15" customHeight="1">
      <c r="A1347" s="50">
        <v>44983</v>
      </c>
      <c r="B1347" s="49" t="s">
        <v>31</v>
      </c>
      <c r="C1347" s="51">
        <v>53671.4</v>
      </c>
      <c r="D1347" s="51">
        <v>0</v>
      </c>
    </row>
    <row r="1348" spans="1:4" ht="15" customHeight="1">
      <c r="A1348" s="50">
        <v>44983</v>
      </c>
      <c r="B1348" s="49" t="s">
        <v>32</v>
      </c>
      <c r="C1348" s="51">
        <v>53692.3</v>
      </c>
      <c r="D1348" s="51">
        <v>0</v>
      </c>
    </row>
    <row r="1349" spans="1:4" ht="15" customHeight="1">
      <c r="A1349" s="50">
        <v>44983</v>
      </c>
      <c r="B1349" s="49" t="s">
        <v>33</v>
      </c>
      <c r="C1349" s="51">
        <v>53859.9</v>
      </c>
      <c r="D1349" s="51">
        <v>0</v>
      </c>
    </row>
    <row r="1350" spans="1:4" ht="15" customHeight="1">
      <c r="A1350" s="50">
        <v>44983</v>
      </c>
      <c r="B1350" s="49" t="s">
        <v>34</v>
      </c>
      <c r="C1350" s="51">
        <v>53691.4</v>
      </c>
      <c r="D1350" s="51">
        <v>0</v>
      </c>
    </row>
    <row r="1351" spans="1:4" ht="15" customHeight="1">
      <c r="A1351" s="50">
        <v>44983</v>
      </c>
      <c r="B1351" s="49" t="s">
        <v>35</v>
      </c>
      <c r="C1351" s="51">
        <v>51130.2</v>
      </c>
      <c r="D1351" s="51">
        <v>0</v>
      </c>
    </row>
    <row r="1352" spans="1:4" ht="15" customHeight="1">
      <c r="A1352" s="50">
        <v>44983</v>
      </c>
      <c r="B1352" s="49" t="s">
        <v>36</v>
      </c>
      <c r="C1352" s="51">
        <v>16830.400000000001</v>
      </c>
      <c r="D1352" s="51">
        <v>0</v>
      </c>
    </row>
    <row r="1353" spans="1:4" ht="15" customHeight="1">
      <c r="A1353" s="50">
        <v>44983</v>
      </c>
      <c r="B1353" s="49" t="s">
        <v>37</v>
      </c>
      <c r="C1353" s="51">
        <v>7072.5</v>
      </c>
      <c r="D1353" s="51">
        <v>435.1</v>
      </c>
    </row>
    <row r="1354" spans="1:4" ht="15" customHeight="1">
      <c r="A1354" s="50">
        <v>44983</v>
      </c>
      <c r="B1354" s="49" t="s">
        <v>38</v>
      </c>
      <c r="C1354" s="51">
        <v>1545.8</v>
      </c>
      <c r="D1354" s="51">
        <v>499.6</v>
      </c>
    </row>
    <row r="1355" spans="1:4" ht="15" customHeight="1">
      <c r="A1355" s="50">
        <v>44983</v>
      </c>
      <c r="B1355" s="49" t="s">
        <v>39</v>
      </c>
      <c r="C1355" s="51">
        <v>17036.7</v>
      </c>
      <c r="D1355" s="51">
        <v>0</v>
      </c>
    </row>
    <row r="1356" spans="1:4" ht="15" customHeight="1">
      <c r="A1356" s="50">
        <v>44983</v>
      </c>
      <c r="B1356" s="49" t="s">
        <v>40</v>
      </c>
      <c r="C1356" s="51">
        <v>42095.1</v>
      </c>
      <c r="D1356" s="51">
        <v>0</v>
      </c>
    </row>
    <row r="1357" spans="1:4" ht="15" customHeight="1">
      <c r="A1357" s="50">
        <v>44983</v>
      </c>
      <c r="B1357" s="49" t="s">
        <v>41</v>
      </c>
      <c r="C1357" s="51">
        <v>50215.199999999997</v>
      </c>
      <c r="D1357" s="51">
        <v>0</v>
      </c>
    </row>
    <row r="1358" spans="1:4" ht="15" customHeight="1">
      <c r="A1358" s="50">
        <v>44983</v>
      </c>
      <c r="B1358" s="49" t="s">
        <v>42</v>
      </c>
      <c r="C1358" s="51">
        <v>54948.3</v>
      </c>
      <c r="D1358" s="51">
        <v>0</v>
      </c>
    </row>
    <row r="1359" spans="1:4" ht="15" customHeight="1">
      <c r="A1359" s="50">
        <v>44983</v>
      </c>
      <c r="B1359" s="49" t="s">
        <v>43</v>
      </c>
      <c r="C1359" s="51">
        <v>53951</v>
      </c>
      <c r="D1359" s="51">
        <v>0</v>
      </c>
    </row>
    <row r="1360" spans="1:4" ht="15" customHeight="1">
      <c r="A1360" s="50">
        <v>44983</v>
      </c>
      <c r="B1360" s="49" t="s">
        <v>44</v>
      </c>
      <c r="C1360" s="51">
        <v>53896.9</v>
      </c>
      <c r="D1360" s="51">
        <v>0</v>
      </c>
    </row>
    <row r="1361" spans="1:4" ht="15" customHeight="1">
      <c r="A1361" s="50">
        <v>44983</v>
      </c>
      <c r="B1361" s="49" t="s">
        <v>45</v>
      </c>
      <c r="C1361" s="51">
        <v>53890.9</v>
      </c>
      <c r="D1361" s="51">
        <v>0</v>
      </c>
    </row>
    <row r="1362" spans="1:4" ht="15" customHeight="1">
      <c r="A1362" s="50">
        <v>44983</v>
      </c>
      <c r="B1362" s="49" t="s">
        <v>46</v>
      </c>
      <c r="C1362" s="51">
        <v>53960.9</v>
      </c>
      <c r="D1362" s="51">
        <v>0</v>
      </c>
    </row>
    <row r="1363" spans="1:4" ht="15" customHeight="1">
      <c r="A1363" s="50">
        <v>44983</v>
      </c>
      <c r="B1363" s="49" t="s">
        <v>47</v>
      </c>
      <c r="C1363" s="51">
        <v>53928.4</v>
      </c>
      <c r="D1363" s="51">
        <v>0</v>
      </c>
    </row>
    <row r="1364" spans="1:4" ht="15" customHeight="1">
      <c r="A1364" s="50">
        <v>44983</v>
      </c>
      <c r="B1364" s="49" t="s">
        <v>48</v>
      </c>
      <c r="C1364" s="51">
        <v>53764.1</v>
      </c>
      <c r="D1364" s="51">
        <v>0</v>
      </c>
    </row>
    <row r="1365" spans="1:4" ht="15" customHeight="1">
      <c r="A1365" s="50">
        <v>44983</v>
      </c>
      <c r="B1365" s="49" t="s">
        <v>49</v>
      </c>
      <c r="C1365" s="51">
        <v>53813.9</v>
      </c>
      <c r="D1365" s="51">
        <v>0</v>
      </c>
    </row>
    <row r="1366" spans="1:4" ht="15" customHeight="1">
      <c r="A1366" s="50">
        <v>44983</v>
      </c>
      <c r="B1366" s="49" t="s">
        <v>50</v>
      </c>
      <c r="C1366" s="51">
        <v>53770.5</v>
      </c>
      <c r="D1366" s="51">
        <v>0</v>
      </c>
    </row>
    <row r="1367" spans="1:4" ht="15" customHeight="1">
      <c r="A1367" s="50">
        <v>44983</v>
      </c>
      <c r="B1367" s="49" t="s">
        <v>51</v>
      </c>
      <c r="C1367" s="51">
        <v>53869.7</v>
      </c>
      <c r="D1367" s="51">
        <v>0</v>
      </c>
    </row>
    <row r="1368" spans="1:4" ht="15" customHeight="1">
      <c r="A1368" s="50">
        <v>44983</v>
      </c>
      <c r="B1368" s="49" t="s">
        <v>52</v>
      </c>
      <c r="C1368" s="51">
        <v>53749.9</v>
      </c>
      <c r="D1368" s="51">
        <v>0</v>
      </c>
    </row>
    <row r="1369" spans="1:4" ht="15" customHeight="1">
      <c r="A1369" s="50">
        <v>44983</v>
      </c>
      <c r="B1369" s="49" t="s">
        <v>53</v>
      </c>
      <c r="C1369" s="51">
        <v>53934.400000000001</v>
      </c>
      <c r="D1369" s="51">
        <v>0</v>
      </c>
    </row>
    <row r="1370" spans="1:4" ht="15" customHeight="1">
      <c r="A1370" s="50">
        <v>44984</v>
      </c>
      <c r="B1370" s="49" t="s">
        <v>30</v>
      </c>
      <c r="C1370" s="51">
        <v>53784.3</v>
      </c>
      <c r="D1370" s="51">
        <v>0</v>
      </c>
    </row>
    <row r="1371" spans="1:4" ht="15" customHeight="1">
      <c r="A1371" s="50">
        <v>44984</v>
      </c>
      <c r="B1371" s="49" t="s">
        <v>31</v>
      </c>
      <c r="C1371" s="51">
        <v>54085.1</v>
      </c>
      <c r="D1371" s="51">
        <v>0</v>
      </c>
    </row>
    <row r="1372" spans="1:4" ht="15" customHeight="1">
      <c r="A1372" s="50">
        <v>44984</v>
      </c>
      <c r="B1372" s="49" t="s">
        <v>32</v>
      </c>
      <c r="C1372" s="51">
        <v>53875.4</v>
      </c>
      <c r="D1372" s="51">
        <v>0</v>
      </c>
    </row>
    <row r="1373" spans="1:4" ht="15" customHeight="1">
      <c r="A1373" s="50">
        <v>44984</v>
      </c>
      <c r="B1373" s="49" t="s">
        <v>33</v>
      </c>
      <c r="C1373" s="51">
        <v>53957.599999999999</v>
      </c>
      <c r="D1373" s="51">
        <v>0</v>
      </c>
    </row>
    <row r="1374" spans="1:4" ht="15" customHeight="1">
      <c r="A1374" s="50">
        <v>44984</v>
      </c>
      <c r="B1374" s="49" t="s">
        <v>34</v>
      </c>
      <c r="C1374" s="51">
        <v>53305.9</v>
      </c>
      <c r="D1374" s="51">
        <v>0</v>
      </c>
    </row>
    <row r="1375" spans="1:4" ht="15" customHeight="1">
      <c r="A1375" s="50">
        <v>44984</v>
      </c>
      <c r="B1375" s="49" t="s">
        <v>35</v>
      </c>
      <c r="C1375" s="51">
        <v>52488.1</v>
      </c>
      <c r="D1375" s="51">
        <v>0</v>
      </c>
    </row>
    <row r="1376" spans="1:4" ht="15" customHeight="1">
      <c r="A1376" s="50">
        <v>44984</v>
      </c>
      <c r="B1376" s="49" t="s">
        <v>36</v>
      </c>
      <c r="C1376" s="51">
        <v>52336.7</v>
      </c>
      <c r="D1376" s="51">
        <v>0</v>
      </c>
    </row>
    <row r="1377" spans="1:4" ht="15" customHeight="1">
      <c r="A1377" s="50">
        <v>44984</v>
      </c>
      <c r="B1377" s="49" t="s">
        <v>37</v>
      </c>
      <c r="C1377" s="51">
        <v>53111.1</v>
      </c>
      <c r="D1377" s="51">
        <v>0</v>
      </c>
    </row>
    <row r="1378" spans="1:4" ht="15" customHeight="1">
      <c r="A1378" s="50">
        <v>44984</v>
      </c>
      <c r="B1378" s="49" t="s">
        <v>38</v>
      </c>
      <c r="C1378" s="51">
        <v>53554.8</v>
      </c>
      <c r="D1378" s="51">
        <v>0</v>
      </c>
    </row>
    <row r="1379" spans="1:4" ht="15" customHeight="1">
      <c r="A1379" s="50">
        <v>44984</v>
      </c>
      <c r="B1379" s="49" t="s">
        <v>39</v>
      </c>
      <c r="C1379" s="51">
        <v>53914.400000000001</v>
      </c>
      <c r="D1379" s="51">
        <v>0</v>
      </c>
    </row>
    <row r="1380" spans="1:4" ht="15" customHeight="1">
      <c r="A1380" s="50">
        <v>44984</v>
      </c>
      <c r="B1380" s="49" t="s">
        <v>40</v>
      </c>
      <c r="C1380" s="51">
        <v>53840.7</v>
      </c>
      <c r="D1380" s="51">
        <v>0</v>
      </c>
    </row>
    <row r="1381" spans="1:4" ht="15" customHeight="1">
      <c r="A1381" s="50">
        <v>44984</v>
      </c>
      <c r="B1381" s="49" t="s">
        <v>41</v>
      </c>
      <c r="C1381" s="51">
        <v>53755.1</v>
      </c>
      <c r="D1381" s="51">
        <v>0</v>
      </c>
    </row>
    <row r="1382" spans="1:4" ht="15" customHeight="1">
      <c r="A1382" s="50">
        <v>44984</v>
      </c>
      <c r="B1382" s="49" t="s">
        <v>42</v>
      </c>
      <c r="C1382" s="51">
        <v>53827</v>
      </c>
      <c r="D1382" s="51">
        <v>0</v>
      </c>
    </row>
    <row r="1383" spans="1:4" ht="15" customHeight="1">
      <c r="A1383" s="50">
        <v>44984</v>
      </c>
      <c r="B1383" s="49" t="s">
        <v>43</v>
      </c>
      <c r="C1383" s="51">
        <v>53714.6</v>
      </c>
      <c r="D1383" s="51">
        <v>0</v>
      </c>
    </row>
    <row r="1384" spans="1:4" ht="15" customHeight="1">
      <c r="A1384" s="50">
        <v>44984</v>
      </c>
      <c r="B1384" s="49" t="s">
        <v>44</v>
      </c>
      <c r="C1384" s="51">
        <v>53803.1</v>
      </c>
      <c r="D1384" s="51">
        <v>0</v>
      </c>
    </row>
    <row r="1385" spans="1:4" ht="15" customHeight="1">
      <c r="A1385" s="50">
        <v>44984</v>
      </c>
      <c r="B1385" s="49" t="s">
        <v>45</v>
      </c>
      <c r="C1385" s="51">
        <v>53754.400000000001</v>
      </c>
      <c r="D1385" s="51">
        <v>0</v>
      </c>
    </row>
    <row r="1386" spans="1:4" ht="15" customHeight="1">
      <c r="A1386" s="50">
        <v>44984</v>
      </c>
      <c r="B1386" s="49" t="s">
        <v>46</v>
      </c>
      <c r="C1386" s="51">
        <v>53727.8</v>
      </c>
      <c r="D1386" s="51">
        <v>0</v>
      </c>
    </row>
    <row r="1387" spans="1:4" ht="15" customHeight="1">
      <c r="A1387" s="50">
        <v>44984</v>
      </c>
      <c r="B1387" s="49" t="s">
        <v>47</v>
      </c>
      <c r="C1387" s="51">
        <v>53738.3</v>
      </c>
      <c r="D1387" s="51">
        <v>0</v>
      </c>
    </row>
    <row r="1388" spans="1:4" ht="15" customHeight="1">
      <c r="A1388" s="50">
        <v>44984</v>
      </c>
      <c r="B1388" s="49" t="s">
        <v>48</v>
      </c>
      <c r="C1388" s="51">
        <v>53675.199999999997</v>
      </c>
      <c r="D1388" s="51">
        <v>0</v>
      </c>
    </row>
    <row r="1389" spans="1:4" ht="15" customHeight="1">
      <c r="A1389" s="50">
        <v>44984</v>
      </c>
      <c r="B1389" s="49" t="s">
        <v>49</v>
      </c>
      <c r="C1389" s="51">
        <v>53654.6</v>
      </c>
      <c r="D1389" s="51">
        <v>0</v>
      </c>
    </row>
    <row r="1390" spans="1:4" ht="15" customHeight="1">
      <c r="A1390" s="50">
        <v>44984</v>
      </c>
      <c r="B1390" s="49" t="s">
        <v>50</v>
      </c>
      <c r="C1390" s="51">
        <v>53670</v>
      </c>
      <c r="D1390" s="51">
        <v>0</v>
      </c>
    </row>
    <row r="1391" spans="1:4" ht="15" customHeight="1">
      <c r="A1391" s="50">
        <v>44984</v>
      </c>
      <c r="B1391" s="49" t="s">
        <v>51</v>
      </c>
      <c r="C1391" s="51">
        <v>53462.5</v>
      </c>
      <c r="D1391" s="51">
        <v>0</v>
      </c>
    </row>
    <row r="1392" spans="1:4" ht="15" customHeight="1">
      <c r="A1392" s="50">
        <v>44984</v>
      </c>
      <c r="B1392" s="49" t="s">
        <v>52</v>
      </c>
      <c r="C1392" s="51">
        <v>53643.4</v>
      </c>
      <c r="D1392" s="51">
        <v>0</v>
      </c>
    </row>
    <row r="1393" spans="1:4" ht="15" customHeight="1">
      <c r="A1393" s="50">
        <v>44984</v>
      </c>
      <c r="B1393" s="49" t="s">
        <v>53</v>
      </c>
      <c r="C1393" s="51">
        <v>53696.3</v>
      </c>
      <c r="D1393" s="51">
        <v>0</v>
      </c>
    </row>
    <row r="1394" spans="1:4" ht="15" customHeight="1">
      <c r="A1394" s="50">
        <v>44985</v>
      </c>
      <c r="B1394" s="49" t="s">
        <v>30</v>
      </c>
      <c r="C1394" s="51">
        <v>53150.6</v>
      </c>
      <c r="D1394" s="51">
        <v>0</v>
      </c>
    </row>
    <row r="1395" spans="1:4" ht="15" customHeight="1">
      <c r="A1395" s="50">
        <v>44985</v>
      </c>
      <c r="B1395" s="49" t="s">
        <v>31</v>
      </c>
      <c r="C1395" s="51">
        <v>53744.9</v>
      </c>
      <c r="D1395" s="51">
        <v>0</v>
      </c>
    </row>
    <row r="1396" spans="1:4" ht="15" customHeight="1">
      <c r="A1396" s="50">
        <v>44985</v>
      </c>
      <c r="B1396" s="49" t="s">
        <v>32</v>
      </c>
      <c r="C1396" s="51">
        <v>53758.3</v>
      </c>
      <c r="D1396" s="51">
        <v>0</v>
      </c>
    </row>
    <row r="1397" spans="1:4" ht="15" customHeight="1">
      <c r="A1397" s="50">
        <v>44985</v>
      </c>
      <c r="B1397" s="49" t="s">
        <v>33</v>
      </c>
      <c r="C1397" s="51">
        <v>53811.1</v>
      </c>
      <c r="D1397" s="51">
        <v>0</v>
      </c>
    </row>
    <row r="1398" spans="1:4" ht="15" customHeight="1">
      <c r="A1398" s="50">
        <v>44985</v>
      </c>
      <c r="B1398" s="49" t="s">
        <v>34</v>
      </c>
      <c r="C1398" s="51">
        <v>54138.2</v>
      </c>
      <c r="D1398" s="51">
        <v>0</v>
      </c>
    </row>
    <row r="1399" spans="1:4" ht="15" customHeight="1">
      <c r="A1399" s="50">
        <v>44985</v>
      </c>
      <c r="B1399" s="49" t="s">
        <v>35</v>
      </c>
      <c r="C1399" s="51">
        <v>50861.2</v>
      </c>
      <c r="D1399" s="51">
        <v>0</v>
      </c>
    </row>
    <row r="1400" spans="1:4" ht="15" customHeight="1">
      <c r="A1400" s="50">
        <v>44985</v>
      </c>
      <c r="B1400" s="49" t="s">
        <v>36</v>
      </c>
      <c r="C1400" s="51">
        <v>53631.8</v>
      </c>
      <c r="D1400" s="51">
        <v>0</v>
      </c>
    </row>
    <row r="1401" spans="1:4" ht="15" customHeight="1">
      <c r="A1401" s="50">
        <v>44985</v>
      </c>
      <c r="B1401" s="49" t="s">
        <v>37</v>
      </c>
      <c r="C1401" s="51">
        <v>53654.9</v>
      </c>
      <c r="D1401" s="51">
        <v>0</v>
      </c>
    </row>
    <row r="1402" spans="1:4" ht="15" customHeight="1">
      <c r="A1402" s="50">
        <v>44985</v>
      </c>
      <c r="B1402" s="49" t="s">
        <v>38</v>
      </c>
      <c r="C1402" s="51">
        <v>53295.5</v>
      </c>
      <c r="D1402" s="51">
        <v>0</v>
      </c>
    </row>
    <row r="1403" spans="1:4" ht="15" customHeight="1">
      <c r="A1403" s="50">
        <v>44985</v>
      </c>
      <c r="B1403" s="49" t="s">
        <v>39</v>
      </c>
      <c r="C1403" s="51">
        <v>54493.3</v>
      </c>
      <c r="D1403" s="51">
        <v>0</v>
      </c>
    </row>
    <row r="1404" spans="1:4" ht="15" customHeight="1">
      <c r="A1404" s="50">
        <v>44985</v>
      </c>
      <c r="B1404" s="49" t="s">
        <v>40</v>
      </c>
      <c r="C1404" s="51">
        <v>53510.1</v>
      </c>
      <c r="D1404" s="51">
        <v>0</v>
      </c>
    </row>
    <row r="1405" spans="1:4" ht="15" customHeight="1">
      <c r="A1405" s="50">
        <v>44985</v>
      </c>
      <c r="B1405" s="49" t="s">
        <v>41</v>
      </c>
      <c r="C1405" s="51">
        <v>53370.3</v>
      </c>
      <c r="D1405" s="51">
        <v>0</v>
      </c>
    </row>
    <row r="1406" spans="1:4" ht="15" customHeight="1">
      <c r="A1406" s="50">
        <v>44985</v>
      </c>
      <c r="B1406" s="49" t="s">
        <v>42</v>
      </c>
      <c r="C1406" s="51">
        <v>53966.3</v>
      </c>
      <c r="D1406" s="51">
        <v>0</v>
      </c>
    </row>
    <row r="1407" spans="1:4" ht="15" customHeight="1">
      <c r="A1407" s="50">
        <v>44985</v>
      </c>
      <c r="B1407" s="49" t="s">
        <v>43</v>
      </c>
      <c r="C1407" s="51">
        <v>53936.1</v>
      </c>
      <c r="D1407" s="51">
        <v>0</v>
      </c>
    </row>
    <row r="1408" spans="1:4" ht="15" customHeight="1">
      <c r="A1408" s="50">
        <v>44985</v>
      </c>
      <c r="B1408" s="49" t="s">
        <v>44</v>
      </c>
      <c r="C1408" s="51">
        <v>54000.9</v>
      </c>
      <c r="D1408" s="51">
        <v>0</v>
      </c>
    </row>
    <row r="1409" spans="1:4" ht="15" customHeight="1">
      <c r="A1409" s="50">
        <v>44985</v>
      </c>
      <c r="B1409" s="49" t="s">
        <v>45</v>
      </c>
      <c r="C1409" s="51">
        <v>54067.6</v>
      </c>
      <c r="D1409" s="51">
        <v>0</v>
      </c>
    </row>
    <row r="1410" spans="1:4" ht="15" customHeight="1">
      <c r="A1410" s="50">
        <v>44985</v>
      </c>
      <c r="B1410" s="49" t="s">
        <v>46</v>
      </c>
      <c r="C1410" s="51">
        <v>54109.2</v>
      </c>
      <c r="D1410" s="51">
        <v>0</v>
      </c>
    </row>
    <row r="1411" spans="1:4" ht="15" customHeight="1">
      <c r="A1411" s="50">
        <v>44985</v>
      </c>
      <c r="B1411" s="49" t="s">
        <v>47</v>
      </c>
      <c r="C1411" s="51">
        <v>54160.7</v>
      </c>
      <c r="D1411" s="51">
        <v>0</v>
      </c>
    </row>
    <row r="1412" spans="1:4" ht="15" customHeight="1">
      <c r="A1412" s="50">
        <v>44985</v>
      </c>
      <c r="B1412" s="49" t="s">
        <v>48</v>
      </c>
      <c r="C1412" s="51">
        <v>54101.4</v>
      </c>
      <c r="D1412" s="51">
        <v>0</v>
      </c>
    </row>
    <row r="1413" spans="1:4" ht="15" customHeight="1">
      <c r="A1413" s="50">
        <v>44985</v>
      </c>
      <c r="B1413" s="49" t="s">
        <v>49</v>
      </c>
      <c r="C1413" s="51">
        <v>54052.1</v>
      </c>
      <c r="D1413" s="51">
        <v>0</v>
      </c>
    </row>
    <row r="1414" spans="1:4" ht="15" customHeight="1">
      <c r="A1414" s="50">
        <v>44985</v>
      </c>
      <c r="B1414" s="49" t="s">
        <v>50</v>
      </c>
      <c r="C1414" s="51">
        <v>54020.3</v>
      </c>
      <c r="D1414" s="51">
        <v>0</v>
      </c>
    </row>
    <row r="1415" spans="1:4" ht="15" customHeight="1">
      <c r="A1415" s="50">
        <v>44985</v>
      </c>
      <c r="B1415" s="49" t="s">
        <v>51</v>
      </c>
      <c r="C1415" s="51">
        <v>54168.9</v>
      </c>
      <c r="D1415" s="51">
        <v>0</v>
      </c>
    </row>
    <row r="1416" spans="1:4" ht="15" customHeight="1">
      <c r="A1416" s="50">
        <v>44985</v>
      </c>
      <c r="B1416" s="49" t="s">
        <v>52</v>
      </c>
      <c r="C1416" s="51">
        <v>54031.9</v>
      </c>
      <c r="D1416" s="51">
        <v>0</v>
      </c>
    </row>
    <row r="1417" spans="1:4" ht="15" customHeight="1">
      <c r="A1417" s="50">
        <v>44985</v>
      </c>
      <c r="B1417" s="49" t="s">
        <v>53</v>
      </c>
      <c r="C1417" s="51">
        <v>53771.8</v>
      </c>
      <c r="D1417" s="51">
        <v>0</v>
      </c>
    </row>
    <row r="1418" spans="1:4" ht="15" customHeight="1">
      <c r="A1418" s="50">
        <v>44986</v>
      </c>
      <c r="B1418" s="49" t="s">
        <v>30</v>
      </c>
      <c r="C1418" s="51">
        <v>53275.9</v>
      </c>
      <c r="D1418" s="51">
        <v>0</v>
      </c>
    </row>
    <row r="1419" spans="1:4" ht="15" customHeight="1">
      <c r="A1419" s="50">
        <v>44986</v>
      </c>
      <c r="B1419" s="49" t="s">
        <v>31</v>
      </c>
      <c r="C1419" s="51">
        <v>53699.1</v>
      </c>
      <c r="D1419" s="51">
        <v>0</v>
      </c>
    </row>
    <row r="1420" spans="1:4" ht="15" customHeight="1">
      <c r="A1420" s="50">
        <v>44986</v>
      </c>
      <c r="B1420" s="49" t="s">
        <v>32</v>
      </c>
      <c r="C1420" s="51">
        <v>53830.400000000001</v>
      </c>
      <c r="D1420" s="51">
        <v>0</v>
      </c>
    </row>
    <row r="1421" spans="1:4" ht="15" customHeight="1">
      <c r="A1421" s="50">
        <v>44986</v>
      </c>
      <c r="B1421" s="49" t="s">
        <v>33</v>
      </c>
      <c r="C1421" s="51">
        <v>53422.7</v>
      </c>
      <c r="D1421" s="51">
        <v>0</v>
      </c>
    </row>
    <row r="1422" spans="1:4" ht="15" customHeight="1">
      <c r="A1422" s="50">
        <v>44986</v>
      </c>
      <c r="B1422" s="49" t="s">
        <v>34</v>
      </c>
      <c r="C1422" s="51">
        <v>54145.1</v>
      </c>
      <c r="D1422" s="51">
        <v>0</v>
      </c>
    </row>
    <row r="1423" spans="1:4" ht="15" customHeight="1">
      <c r="A1423" s="50">
        <v>44986</v>
      </c>
      <c r="B1423" s="49" t="s">
        <v>35</v>
      </c>
      <c r="C1423" s="51">
        <v>54122.9</v>
      </c>
      <c r="D1423" s="51">
        <v>0</v>
      </c>
    </row>
    <row r="1424" spans="1:4" ht="15" customHeight="1">
      <c r="A1424" s="50">
        <v>44986</v>
      </c>
      <c r="B1424" s="49" t="s">
        <v>36</v>
      </c>
      <c r="C1424" s="51">
        <v>54076.7</v>
      </c>
      <c r="D1424" s="51">
        <v>0</v>
      </c>
    </row>
    <row r="1425" spans="1:4" ht="15" customHeight="1">
      <c r="A1425" s="50">
        <v>44986</v>
      </c>
      <c r="B1425" s="49" t="s">
        <v>37</v>
      </c>
      <c r="C1425" s="51">
        <v>54009.1</v>
      </c>
      <c r="D1425" s="51">
        <v>0</v>
      </c>
    </row>
    <row r="1426" spans="1:4" ht="15" customHeight="1">
      <c r="A1426" s="50">
        <v>44986</v>
      </c>
      <c r="B1426" s="49" t="s">
        <v>38</v>
      </c>
      <c r="C1426" s="51">
        <v>54081.3</v>
      </c>
      <c r="D1426" s="51">
        <v>0</v>
      </c>
    </row>
    <row r="1427" spans="1:4" ht="15" customHeight="1">
      <c r="A1427" s="50">
        <v>44986</v>
      </c>
      <c r="B1427" s="49" t="s">
        <v>39</v>
      </c>
      <c r="C1427" s="51">
        <v>55015.8</v>
      </c>
      <c r="D1427" s="51">
        <v>0</v>
      </c>
    </row>
    <row r="1428" spans="1:4" ht="15" customHeight="1">
      <c r="A1428" s="50">
        <v>44986</v>
      </c>
      <c r="B1428" s="49" t="s">
        <v>40</v>
      </c>
      <c r="C1428" s="51">
        <v>55070.1</v>
      </c>
      <c r="D1428" s="51">
        <v>0</v>
      </c>
    </row>
    <row r="1429" spans="1:4" ht="15" customHeight="1">
      <c r="A1429" s="50">
        <v>44986</v>
      </c>
      <c r="B1429" s="49" t="s">
        <v>41</v>
      </c>
      <c r="C1429" s="51">
        <v>54967.199999999997</v>
      </c>
      <c r="D1429" s="51">
        <v>0</v>
      </c>
    </row>
    <row r="1430" spans="1:4" ht="15" customHeight="1">
      <c r="A1430" s="50">
        <v>44986</v>
      </c>
      <c r="B1430" s="49" t="s">
        <v>42</v>
      </c>
      <c r="C1430" s="51">
        <v>55027.8</v>
      </c>
      <c r="D1430" s="51">
        <v>0</v>
      </c>
    </row>
    <row r="1431" spans="1:4" ht="15" customHeight="1">
      <c r="A1431" s="50">
        <v>44986</v>
      </c>
      <c r="B1431" s="49" t="s">
        <v>43</v>
      </c>
      <c r="C1431" s="51">
        <v>55052.7</v>
      </c>
      <c r="D1431" s="51">
        <v>0</v>
      </c>
    </row>
    <row r="1432" spans="1:4" ht="15" customHeight="1">
      <c r="A1432" s="50">
        <v>44986</v>
      </c>
      <c r="B1432" s="49" t="s">
        <v>44</v>
      </c>
      <c r="C1432" s="51">
        <v>54613.3</v>
      </c>
      <c r="D1432" s="51">
        <v>0</v>
      </c>
    </row>
    <row r="1433" spans="1:4" ht="15" customHeight="1">
      <c r="A1433" s="50">
        <v>44986</v>
      </c>
      <c r="B1433" s="49" t="s">
        <v>45</v>
      </c>
      <c r="C1433" s="51">
        <v>54518.6</v>
      </c>
      <c r="D1433" s="51">
        <v>0</v>
      </c>
    </row>
    <row r="1434" spans="1:4" ht="15" customHeight="1">
      <c r="A1434" s="50">
        <v>44986</v>
      </c>
      <c r="B1434" s="49" t="s">
        <v>46</v>
      </c>
      <c r="C1434" s="51">
        <v>54406.2</v>
      </c>
      <c r="D1434" s="51">
        <v>0</v>
      </c>
    </row>
    <row r="1435" spans="1:4" ht="15" customHeight="1">
      <c r="A1435" s="50">
        <v>44986</v>
      </c>
      <c r="B1435" s="49" t="s">
        <v>47</v>
      </c>
      <c r="C1435" s="51">
        <v>54593</v>
      </c>
      <c r="D1435" s="51">
        <v>0</v>
      </c>
    </row>
    <row r="1436" spans="1:4" ht="15" customHeight="1">
      <c r="A1436" s="50">
        <v>44986</v>
      </c>
      <c r="B1436" s="49" t="s">
        <v>48</v>
      </c>
      <c r="C1436" s="51">
        <v>54453.5</v>
      </c>
      <c r="D1436" s="51">
        <v>0</v>
      </c>
    </row>
    <row r="1437" spans="1:4" ht="15" customHeight="1">
      <c r="A1437" s="50">
        <v>44986</v>
      </c>
      <c r="B1437" s="49" t="s">
        <v>49</v>
      </c>
      <c r="C1437" s="51">
        <v>54462.400000000001</v>
      </c>
      <c r="D1437" s="51">
        <v>0</v>
      </c>
    </row>
    <row r="1438" spans="1:4" ht="15" customHeight="1">
      <c r="A1438" s="50">
        <v>44986</v>
      </c>
      <c r="B1438" s="49" t="s">
        <v>50</v>
      </c>
      <c r="C1438" s="51">
        <v>54457.8</v>
      </c>
      <c r="D1438" s="51">
        <v>0</v>
      </c>
    </row>
    <row r="1439" spans="1:4" ht="15" customHeight="1">
      <c r="A1439" s="50">
        <v>44986</v>
      </c>
      <c r="B1439" s="49" t="s">
        <v>51</v>
      </c>
      <c r="C1439" s="51">
        <v>65216.1</v>
      </c>
      <c r="D1439" s="51">
        <v>0</v>
      </c>
    </row>
    <row r="1440" spans="1:4" ht="15" customHeight="1">
      <c r="A1440" s="50">
        <v>44986</v>
      </c>
      <c r="B1440" s="49" t="s">
        <v>52</v>
      </c>
      <c r="C1440" s="51">
        <v>67510.7</v>
      </c>
      <c r="D1440" s="51">
        <v>0</v>
      </c>
    </row>
    <row r="1441" spans="1:4" ht="15" customHeight="1">
      <c r="A1441" s="50">
        <v>44986</v>
      </c>
      <c r="B1441" s="49" t="s">
        <v>53</v>
      </c>
      <c r="C1441" s="51">
        <v>66972.3</v>
      </c>
      <c r="D1441" s="51">
        <v>0</v>
      </c>
    </row>
    <row r="1442" spans="1:4" ht="15" customHeight="1">
      <c r="A1442" s="50">
        <v>44987</v>
      </c>
      <c r="B1442" s="49" t="s">
        <v>30</v>
      </c>
      <c r="C1442" s="51">
        <v>53095.3</v>
      </c>
      <c r="D1442" s="51">
        <v>0</v>
      </c>
    </row>
    <row r="1443" spans="1:4" ht="15" customHeight="1">
      <c r="A1443" s="50">
        <v>44987</v>
      </c>
      <c r="B1443" s="49" t="s">
        <v>31</v>
      </c>
      <c r="C1443" s="51">
        <v>53296.9</v>
      </c>
      <c r="D1443" s="51">
        <v>0</v>
      </c>
    </row>
    <row r="1444" spans="1:4" ht="15" customHeight="1">
      <c r="A1444" s="50">
        <v>44987</v>
      </c>
      <c r="B1444" s="49" t="s">
        <v>32</v>
      </c>
      <c r="C1444" s="51">
        <v>53293</v>
      </c>
      <c r="D1444" s="51">
        <v>0</v>
      </c>
    </row>
    <row r="1445" spans="1:4" ht="15" customHeight="1">
      <c r="A1445" s="50">
        <v>44987</v>
      </c>
      <c r="B1445" s="49" t="s">
        <v>33</v>
      </c>
      <c r="C1445" s="51">
        <v>54403.6</v>
      </c>
      <c r="D1445" s="51">
        <v>0</v>
      </c>
    </row>
    <row r="1446" spans="1:4" ht="15" customHeight="1">
      <c r="A1446" s="50">
        <v>44987</v>
      </c>
      <c r="B1446" s="49" t="s">
        <v>34</v>
      </c>
      <c r="C1446" s="51">
        <v>53988.7</v>
      </c>
      <c r="D1446" s="51">
        <v>0</v>
      </c>
    </row>
    <row r="1447" spans="1:4" ht="15" customHeight="1">
      <c r="A1447" s="50">
        <v>44987</v>
      </c>
      <c r="B1447" s="49" t="s">
        <v>35</v>
      </c>
      <c r="C1447" s="51">
        <v>52685.9</v>
      </c>
      <c r="D1447" s="51">
        <v>0</v>
      </c>
    </row>
    <row r="1448" spans="1:4" ht="15" customHeight="1">
      <c r="A1448" s="50">
        <v>44987</v>
      </c>
      <c r="B1448" s="49" t="s">
        <v>36</v>
      </c>
      <c r="C1448" s="51">
        <v>53916.800000000003</v>
      </c>
      <c r="D1448" s="51">
        <v>0</v>
      </c>
    </row>
    <row r="1449" spans="1:4" ht="15" customHeight="1">
      <c r="A1449" s="50">
        <v>44987</v>
      </c>
      <c r="B1449" s="49" t="s">
        <v>37</v>
      </c>
      <c r="C1449" s="51">
        <v>53309.5</v>
      </c>
      <c r="D1449" s="51">
        <v>0</v>
      </c>
    </row>
    <row r="1450" spans="1:4" ht="15" customHeight="1">
      <c r="A1450" s="50">
        <v>44987</v>
      </c>
      <c r="B1450" s="49" t="s">
        <v>38</v>
      </c>
      <c r="C1450" s="51">
        <v>53127.7</v>
      </c>
      <c r="D1450" s="51">
        <v>0</v>
      </c>
    </row>
    <row r="1451" spans="1:4" ht="15" customHeight="1">
      <c r="A1451" s="50">
        <v>44987</v>
      </c>
      <c r="B1451" s="49" t="s">
        <v>39</v>
      </c>
      <c r="C1451" s="51">
        <v>52693.3</v>
      </c>
      <c r="D1451" s="51">
        <v>0</v>
      </c>
    </row>
    <row r="1452" spans="1:4" ht="15" customHeight="1">
      <c r="A1452" s="50">
        <v>44987</v>
      </c>
      <c r="B1452" s="49" t="s">
        <v>40</v>
      </c>
      <c r="C1452" s="51">
        <v>53289.9</v>
      </c>
      <c r="D1452" s="51">
        <v>0</v>
      </c>
    </row>
    <row r="1453" spans="1:4" ht="15" customHeight="1">
      <c r="A1453" s="50">
        <v>44987</v>
      </c>
      <c r="B1453" s="49" t="s">
        <v>41</v>
      </c>
      <c r="C1453" s="51">
        <v>52209.3</v>
      </c>
      <c r="D1453" s="51">
        <v>0</v>
      </c>
    </row>
    <row r="1454" spans="1:4" ht="15" customHeight="1">
      <c r="A1454" s="50">
        <v>44987</v>
      </c>
      <c r="B1454" s="49" t="s">
        <v>42</v>
      </c>
      <c r="C1454" s="51">
        <v>52328.7</v>
      </c>
      <c r="D1454" s="51">
        <v>0</v>
      </c>
    </row>
    <row r="1455" spans="1:4" ht="15" customHeight="1">
      <c r="A1455" s="50">
        <v>44987</v>
      </c>
      <c r="B1455" s="49" t="s">
        <v>43</v>
      </c>
      <c r="C1455" s="51">
        <v>52474.9</v>
      </c>
      <c r="D1455" s="51">
        <v>0</v>
      </c>
    </row>
    <row r="1456" spans="1:4" ht="15" customHeight="1">
      <c r="A1456" s="50">
        <v>44987</v>
      </c>
      <c r="B1456" s="49" t="s">
        <v>44</v>
      </c>
      <c r="C1456" s="51">
        <v>52534.3</v>
      </c>
      <c r="D1456" s="51">
        <v>0</v>
      </c>
    </row>
    <row r="1457" spans="1:4" ht="15" customHeight="1">
      <c r="A1457" s="50">
        <v>44987</v>
      </c>
      <c r="B1457" s="49" t="s">
        <v>45</v>
      </c>
      <c r="C1457" s="51">
        <v>53004.800000000003</v>
      </c>
      <c r="D1457" s="51">
        <v>0</v>
      </c>
    </row>
    <row r="1458" spans="1:4" ht="15" customHeight="1">
      <c r="A1458" s="50">
        <v>44987</v>
      </c>
      <c r="B1458" s="49" t="s">
        <v>46</v>
      </c>
      <c r="C1458" s="51">
        <v>53110</v>
      </c>
      <c r="D1458" s="51">
        <v>0</v>
      </c>
    </row>
    <row r="1459" spans="1:4" ht="15" customHeight="1">
      <c r="A1459" s="50">
        <v>44987</v>
      </c>
      <c r="B1459" s="49" t="s">
        <v>47</v>
      </c>
      <c r="C1459" s="51">
        <v>53161.1</v>
      </c>
      <c r="D1459" s="51">
        <v>0</v>
      </c>
    </row>
    <row r="1460" spans="1:4" ht="15" customHeight="1">
      <c r="A1460" s="50">
        <v>44987</v>
      </c>
      <c r="B1460" s="49" t="s">
        <v>48</v>
      </c>
      <c r="C1460" s="51">
        <v>54163.5</v>
      </c>
      <c r="D1460" s="51">
        <v>0</v>
      </c>
    </row>
    <row r="1461" spans="1:4" ht="15" customHeight="1">
      <c r="A1461" s="50">
        <v>44987</v>
      </c>
      <c r="B1461" s="49" t="s">
        <v>49</v>
      </c>
      <c r="C1461" s="51">
        <v>67420.100000000006</v>
      </c>
      <c r="D1461" s="51">
        <v>0</v>
      </c>
    </row>
    <row r="1462" spans="1:4" ht="15" customHeight="1">
      <c r="A1462" s="50">
        <v>44987</v>
      </c>
      <c r="B1462" s="49" t="s">
        <v>50</v>
      </c>
      <c r="C1462" s="51">
        <v>54854.3</v>
      </c>
      <c r="D1462" s="51">
        <v>0</v>
      </c>
    </row>
    <row r="1463" spans="1:4" ht="15" customHeight="1">
      <c r="A1463" s="50">
        <v>44987</v>
      </c>
      <c r="B1463" s="49" t="s">
        <v>51</v>
      </c>
      <c r="C1463" s="51">
        <v>54522.6</v>
      </c>
      <c r="D1463" s="51">
        <v>0</v>
      </c>
    </row>
    <row r="1464" spans="1:4" ht="15" customHeight="1">
      <c r="A1464" s="50">
        <v>44987</v>
      </c>
      <c r="B1464" s="49" t="s">
        <v>52</v>
      </c>
      <c r="C1464" s="51">
        <v>63358.400000000001</v>
      </c>
      <c r="D1464" s="51">
        <v>0</v>
      </c>
    </row>
    <row r="1465" spans="1:4" ht="15" customHeight="1">
      <c r="A1465" s="50">
        <v>44987</v>
      </c>
      <c r="B1465" s="49" t="s">
        <v>53</v>
      </c>
      <c r="C1465" s="51">
        <v>67023.399999999994</v>
      </c>
      <c r="D1465" s="51">
        <v>0</v>
      </c>
    </row>
    <row r="1466" spans="1:4" ht="15" customHeight="1">
      <c r="A1466" s="50">
        <v>44988</v>
      </c>
      <c r="B1466" s="49" t="s">
        <v>30</v>
      </c>
      <c r="C1466" s="51">
        <v>54799.5</v>
      </c>
      <c r="D1466" s="51">
        <v>0</v>
      </c>
    </row>
    <row r="1467" spans="1:4" ht="15" customHeight="1">
      <c r="A1467" s="50">
        <v>44988</v>
      </c>
      <c r="B1467" s="49" t="s">
        <v>31</v>
      </c>
      <c r="C1467" s="51">
        <v>54242.1</v>
      </c>
      <c r="D1467" s="51">
        <v>0</v>
      </c>
    </row>
    <row r="1468" spans="1:4" ht="15" customHeight="1">
      <c r="A1468" s="50">
        <v>44988</v>
      </c>
      <c r="B1468" s="49" t="s">
        <v>32</v>
      </c>
      <c r="C1468" s="51">
        <v>54048.7</v>
      </c>
      <c r="D1468" s="51">
        <v>0</v>
      </c>
    </row>
    <row r="1469" spans="1:4" ht="15" customHeight="1">
      <c r="A1469" s="50">
        <v>44988</v>
      </c>
      <c r="B1469" s="49" t="s">
        <v>33</v>
      </c>
      <c r="C1469" s="51">
        <v>54102.400000000001</v>
      </c>
      <c r="D1469" s="51">
        <v>0</v>
      </c>
    </row>
    <row r="1470" spans="1:4" ht="15" customHeight="1">
      <c r="A1470" s="50">
        <v>44988</v>
      </c>
      <c r="B1470" s="49" t="s">
        <v>34</v>
      </c>
      <c r="C1470" s="51">
        <v>54179</v>
      </c>
      <c r="D1470" s="51">
        <v>0</v>
      </c>
    </row>
    <row r="1471" spans="1:4" ht="15" customHeight="1">
      <c r="A1471" s="50">
        <v>44988</v>
      </c>
      <c r="B1471" s="49" t="s">
        <v>35</v>
      </c>
      <c r="C1471" s="51">
        <v>54486.9</v>
      </c>
      <c r="D1471" s="51">
        <v>0</v>
      </c>
    </row>
    <row r="1472" spans="1:4" ht="15" customHeight="1">
      <c r="A1472" s="50">
        <v>44988</v>
      </c>
      <c r="B1472" s="49" t="s">
        <v>36</v>
      </c>
      <c r="C1472" s="51">
        <v>54924.9</v>
      </c>
      <c r="D1472" s="51">
        <v>0</v>
      </c>
    </row>
    <row r="1473" spans="1:4" ht="15" customHeight="1">
      <c r="A1473" s="50">
        <v>44988</v>
      </c>
      <c r="B1473" s="49" t="s">
        <v>37</v>
      </c>
      <c r="C1473" s="51">
        <v>54888.7</v>
      </c>
      <c r="D1473" s="51">
        <v>0</v>
      </c>
    </row>
    <row r="1474" spans="1:4" ht="15" customHeight="1">
      <c r="A1474" s="50">
        <v>44988</v>
      </c>
      <c r="B1474" s="49" t="s">
        <v>38</v>
      </c>
      <c r="C1474" s="51">
        <v>51863.199999999997</v>
      </c>
      <c r="D1474" s="51">
        <v>0</v>
      </c>
    </row>
    <row r="1475" spans="1:4" ht="15" customHeight="1">
      <c r="A1475" s="50">
        <v>44988</v>
      </c>
      <c r="B1475" s="49" t="s">
        <v>39</v>
      </c>
      <c r="C1475" s="51">
        <v>50495</v>
      </c>
      <c r="D1475" s="51">
        <v>0</v>
      </c>
    </row>
    <row r="1476" spans="1:4" ht="15" customHeight="1">
      <c r="A1476" s="50">
        <v>44988</v>
      </c>
      <c r="B1476" s="49" t="s">
        <v>40</v>
      </c>
      <c r="C1476" s="51">
        <v>53198</v>
      </c>
      <c r="D1476" s="51">
        <v>0</v>
      </c>
    </row>
    <row r="1477" spans="1:4" ht="15" customHeight="1">
      <c r="A1477" s="50">
        <v>44988</v>
      </c>
      <c r="B1477" s="49" t="s">
        <v>41</v>
      </c>
      <c r="C1477" s="51">
        <v>53032.9</v>
      </c>
      <c r="D1477" s="51">
        <v>0</v>
      </c>
    </row>
    <row r="1478" spans="1:4" ht="15" customHeight="1">
      <c r="A1478" s="50">
        <v>44988</v>
      </c>
      <c r="B1478" s="49" t="s">
        <v>42</v>
      </c>
      <c r="C1478" s="51">
        <v>53141.7</v>
      </c>
      <c r="D1478" s="51">
        <v>0</v>
      </c>
    </row>
    <row r="1479" spans="1:4" ht="15" customHeight="1">
      <c r="A1479" s="50">
        <v>44988</v>
      </c>
      <c r="B1479" s="49" t="s">
        <v>43</v>
      </c>
      <c r="C1479" s="51">
        <v>53157.8</v>
      </c>
      <c r="D1479" s="51">
        <v>0</v>
      </c>
    </row>
    <row r="1480" spans="1:4" ht="15" customHeight="1">
      <c r="A1480" s="50">
        <v>44988</v>
      </c>
      <c r="B1480" s="49" t="s">
        <v>44</v>
      </c>
      <c r="C1480" s="51">
        <v>53225.7</v>
      </c>
      <c r="D1480" s="51">
        <v>0</v>
      </c>
    </row>
    <row r="1481" spans="1:4" ht="15" customHeight="1">
      <c r="A1481" s="50">
        <v>44988</v>
      </c>
      <c r="B1481" s="49" t="s">
        <v>45</v>
      </c>
      <c r="C1481" s="51">
        <v>52940</v>
      </c>
      <c r="D1481" s="51">
        <v>0</v>
      </c>
    </row>
    <row r="1482" spans="1:4" ht="15" customHeight="1">
      <c r="A1482" s="50">
        <v>44988</v>
      </c>
      <c r="B1482" s="49" t="s">
        <v>46</v>
      </c>
      <c r="C1482" s="51">
        <v>53127.3</v>
      </c>
      <c r="D1482" s="51">
        <v>0</v>
      </c>
    </row>
    <row r="1483" spans="1:4" ht="15" customHeight="1">
      <c r="A1483" s="50">
        <v>44988</v>
      </c>
      <c r="B1483" s="49" t="s">
        <v>47</v>
      </c>
      <c r="C1483" s="51">
        <v>53016.3</v>
      </c>
      <c r="D1483" s="51">
        <v>0</v>
      </c>
    </row>
    <row r="1484" spans="1:4" ht="15" customHeight="1">
      <c r="A1484" s="50">
        <v>44988</v>
      </c>
      <c r="B1484" s="49" t="s">
        <v>48</v>
      </c>
      <c r="C1484" s="51">
        <v>53070.7</v>
      </c>
      <c r="D1484" s="51">
        <v>0</v>
      </c>
    </row>
    <row r="1485" spans="1:4" ht="15" customHeight="1">
      <c r="A1485" s="50">
        <v>44988</v>
      </c>
      <c r="B1485" s="49" t="s">
        <v>49</v>
      </c>
      <c r="C1485" s="51">
        <v>52885.8</v>
      </c>
      <c r="D1485" s="51">
        <v>0</v>
      </c>
    </row>
    <row r="1486" spans="1:4" ht="15" customHeight="1">
      <c r="A1486" s="50">
        <v>44988</v>
      </c>
      <c r="B1486" s="49" t="s">
        <v>50</v>
      </c>
      <c r="C1486" s="51">
        <v>53023.9</v>
      </c>
      <c r="D1486" s="51">
        <v>0</v>
      </c>
    </row>
    <row r="1487" spans="1:4" ht="15" customHeight="1">
      <c r="A1487" s="50">
        <v>44988</v>
      </c>
      <c r="B1487" s="49" t="s">
        <v>51</v>
      </c>
      <c r="C1487" s="51">
        <v>53685.2</v>
      </c>
      <c r="D1487" s="51">
        <v>0</v>
      </c>
    </row>
    <row r="1488" spans="1:4" ht="15" customHeight="1">
      <c r="A1488" s="50">
        <v>44988</v>
      </c>
      <c r="B1488" s="49" t="s">
        <v>52</v>
      </c>
      <c r="C1488" s="51">
        <v>53957</v>
      </c>
      <c r="D1488" s="51">
        <v>0</v>
      </c>
    </row>
    <row r="1489" spans="1:4" ht="15" customHeight="1">
      <c r="A1489" s="50">
        <v>44988</v>
      </c>
      <c r="B1489" s="49" t="s">
        <v>53</v>
      </c>
      <c r="C1489" s="51">
        <v>54406.8</v>
      </c>
      <c r="D1489" s="51">
        <v>0</v>
      </c>
    </row>
    <row r="1490" spans="1:4" ht="15" customHeight="1">
      <c r="A1490" s="50">
        <v>44989</v>
      </c>
      <c r="B1490" s="49" t="s">
        <v>30</v>
      </c>
      <c r="C1490" s="51">
        <v>54324.2</v>
      </c>
      <c r="D1490" s="51">
        <v>0</v>
      </c>
    </row>
    <row r="1491" spans="1:4" ht="15" customHeight="1">
      <c r="A1491" s="50">
        <v>44989</v>
      </c>
      <c r="B1491" s="49" t="s">
        <v>31</v>
      </c>
      <c r="C1491" s="51">
        <v>54719.199999999997</v>
      </c>
      <c r="D1491" s="51">
        <v>0</v>
      </c>
    </row>
    <row r="1492" spans="1:4" ht="15" customHeight="1">
      <c r="A1492" s="50">
        <v>44989</v>
      </c>
      <c r="B1492" s="49" t="s">
        <v>32</v>
      </c>
      <c r="C1492" s="51">
        <v>54775</v>
      </c>
      <c r="D1492" s="51">
        <v>0</v>
      </c>
    </row>
    <row r="1493" spans="1:4" ht="15" customHeight="1">
      <c r="A1493" s="50">
        <v>44989</v>
      </c>
      <c r="B1493" s="49" t="s">
        <v>33</v>
      </c>
      <c r="C1493" s="51">
        <v>54640.3</v>
      </c>
      <c r="D1493" s="51">
        <v>0</v>
      </c>
    </row>
    <row r="1494" spans="1:4" ht="15" customHeight="1">
      <c r="A1494" s="50">
        <v>44989</v>
      </c>
      <c r="B1494" s="49" t="s">
        <v>34</v>
      </c>
      <c r="C1494" s="51">
        <v>54346</v>
      </c>
      <c r="D1494" s="51">
        <v>0</v>
      </c>
    </row>
    <row r="1495" spans="1:4" ht="15" customHeight="1">
      <c r="A1495" s="50">
        <v>44989</v>
      </c>
      <c r="B1495" s="49" t="s">
        <v>35</v>
      </c>
      <c r="C1495" s="51">
        <v>54260.4</v>
      </c>
      <c r="D1495" s="51">
        <v>0</v>
      </c>
    </row>
    <row r="1496" spans="1:4" ht="15" customHeight="1">
      <c r="A1496" s="50">
        <v>44989</v>
      </c>
      <c r="B1496" s="49" t="s">
        <v>36</v>
      </c>
      <c r="C1496" s="51">
        <v>53909.9</v>
      </c>
      <c r="D1496" s="51">
        <v>0</v>
      </c>
    </row>
    <row r="1497" spans="1:4" ht="15" customHeight="1">
      <c r="A1497" s="50">
        <v>44989</v>
      </c>
      <c r="B1497" s="49" t="s">
        <v>37</v>
      </c>
      <c r="C1497" s="51">
        <v>53950.400000000001</v>
      </c>
      <c r="D1497" s="51">
        <v>0</v>
      </c>
    </row>
    <row r="1498" spans="1:4" ht="15" customHeight="1">
      <c r="A1498" s="50">
        <v>44989</v>
      </c>
      <c r="B1498" s="49" t="s">
        <v>38</v>
      </c>
      <c r="C1498" s="51">
        <v>53847</v>
      </c>
      <c r="D1498" s="51">
        <v>0</v>
      </c>
    </row>
    <row r="1499" spans="1:4" ht="15" customHeight="1">
      <c r="A1499" s="50">
        <v>44989</v>
      </c>
      <c r="B1499" s="49" t="s">
        <v>39</v>
      </c>
      <c r="C1499" s="51">
        <v>53509.9</v>
      </c>
      <c r="D1499" s="51">
        <v>0</v>
      </c>
    </row>
    <row r="1500" spans="1:4" ht="15" customHeight="1">
      <c r="A1500" s="50">
        <v>44989</v>
      </c>
      <c r="B1500" s="49" t="s">
        <v>40</v>
      </c>
      <c r="C1500" s="51">
        <v>53390.400000000001</v>
      </c>
      <c r="D1500" s="51">
        <v>0</v>
      </c>
    </row>
    <row r="1501" spans="1:4" ht="15" customHeight="1">
      <c r="A1501" s="50">
        <v>44989</v>
      </c>
      <c r="B1501" s="49" t="s">
        <v>41</v>
      </c>
      <c r="C1501" s="51">
        <v>53446.6</v>
      </c>
      <c r="D1501" s="51">
        <v>0</v>
      </c>
    </row>
    <row r="1502" spans="1:4" ht="15" customHeight="1">
      <c r="A1502" s="50">
        <v>44989</v>
      </c>
      <c r="B1502" s="49" t="s">
        <v>42</v>
      </c>
      <c r="C1502" s="51">
        <v>53463.3</v>
      </c>
      <c r="D1502" s="51">
        <v>0</v>
      </c>
    </row>
    <row r="1503" spans="1:4" ht="15" customHeight="1">
      <c r="A1503" s="50">
        <v>44989</v>
      </c>
      <c r="B1503" s="49" t="s">
        <v>43</v>
      </c>
      <c r="C1503" s="51">
        <v>52967.5</v>
      </c>
      <c r="D1503" s="51">
        <v>0</v>
      </c>
    </row>
    <row r="1504" spans="1:4" ht="15" customHeight="1">
      <c r="A1504" s="50">
        <v>44989</v>
      </c>
      <c r="B1504" s="49" t="s">
        <v>44</v>
      </c>
      <c r="C1504" s="51">
        <v>53138.7</v>
      </c>
      <c r="D1504" s="51">
        <v>0</v>
      </c>
    </row>
    <row r="1505" spans="1:4" ht="15" customHeight="1">
      <c r="A1505" s="50">
        <v>44989</v>
      </c>
      <c r="B1505" s="49" t="s">
        <v>45</v>
      </c>
      <c r="C1505" s="51">
        <v>53325.3</v>
      </c>
      <c r="D1505" s="51">
        <v>0</v>
      </c>
    </row>
    <row r="1506" spans="1:4" ht="15" customHeight="1">
      <c r="A1506" s="50">
        <v>44989</v>
      </c>
      <c r="B1506" s="49" t="s">
        <v>46</v>
      </c>
      <c r="C1506" s="51">
        <v>53136.9</v>
      </c>
      <c r="D1506" s="51">
        <v>0</v>
      </c>
    </row>
    <row r="1507" spans="1:4" ht="15" customHeight="1">
      <c r="A1507" s="50">
        <v>44989</v>
      </c>
      <c r="B1507" s="49" t="s">
        <v>47</v>
      </c>
      <c r="C1507" s="51">
        <v>53085.7</v>
      </c>
      <c r="D1507" s="51">
        <v>0</v>
      </c>
    </row>
    <row r="1508" spans="1:4" ht="15" customHeight="1">
      <c r="A1508" s="50">
        <v>44989</v>
      </c>
      <c r="B1508" s="49" t="s">
        <v>48</v>
      </c>
      <c r="C1508" s="51">
        <v>53270.9</v>
      </c>
      <c r="D1508" s="51">
        <v>0</v>
      </c>
    </row>
    <row r="1509" spans="1:4" ht="15" customHeight="1">
      <c r="A1509" s="50">
        <v>44989</v>
      </c>
      <c r="B1509" s="49" t="s">
        <v>49</v>
      </c>
      <c r="C1509" s="51">
        <v>53120.1</v>
      </c>
      <c r="D1509" s="51">
        <v>0</v>
      </c>
    </row>
    <row r="1510" spans="1:4" ht="15" customHeight="1">
      <c r="A1510" s="50">
        <v>44989</v>
      </c>
      <c r="B1510" s="49" t="s">
        <v>50</v>
      </c>
      <c r="C1510" s="51">
        <v>53050.7</v>
      </c>
      <c r="D1510" s="51">
        <v>0</v>
      </c>
    </row>
    <row r="1511" spans="1:4" ht="15" customHeight="1">
      <c r="A1511" s="50">
        <v>44989</v>
      </c>
      <c r="B1511" s="49" t="s">
        <v>51</v>
      </c>
      <c r="C1511" s="51">
        <v>53547.1</v>
      </c>
      <c r="D1511" s="51">
        <v>0</v>
      </c>
    </row>
    <row r="1512" spans="1:4" ht="15" customHeight="1">
      <c r="A1512" s="50">
        <v>44989</v>
      </c>
      <c r="B1512" s="49" t="s">
        <v>52</v>
      </c>
      <c r="C1512" s="51">
        <v>54539.3</v>
      </c>
      <c r="D1512" s="51">
        <v>0</v>
      </c>
    </row>
    <row r="1513" spans="1:4" ht="15" customHeight="1">
      <c r="A1513" s="50">
        <v>44989</v>
      </c>
      <c r="B1513" s="49" t="s">
        <v>53</v>
      </c>
      <c r="C1513" s="51">
        <v>54402.9</v>
      </c>
      <c r="D1513" s="51">
        <v>0</v>
      </c>
    </row>
    <row r="1514" spans="1:4" ht="15" customHeight="1">
      <c r="A1514" s="50">
        <v>44990</v>
      </c>
      <c r="B1514" s="49" t="s">
        <v>30</v>
      </c>
      <c r="C1514" s="51">
        <v>54323.7</v>
      </c>
      <c r="D1514" s="51">
        <v>0</v>
      </c>
    </row>
    <row r="1515" spans="1:4" ht="15" customHeight="1">
      <c r="A1515" s="50">
        <v>44990</v>
      </c>
      <c r="B1515" s="49" t="s">
        <v>31</v>
      </c>
      <c r="C1515" s="51">
        <v>54843.7</v>
      </c>
      <c r="D1515" s="51">
        <v>0</v>
      </c>
    </row>
    <row r="1516" spans="1:4" ht="15" customHeight="1">
      <c r="A1516" s="50">
        <v>44990</v>
      </c>
      <c r="B1516" s="49" t="s">
        <v>32</v>
      </c>
      <c r="C1516" s="51">
        <v>54948.4</v>
      </c>
      <c r="D1516" s="51">
        <v>0</v>
      </c>
    </row>
    <row r="1517" spans="1:4" ht="15" customHeight="1">
      <c r="A1517" s="50">
        <v>44990</v>
      </c>
      <c r="B1517" s="49" t="s">
        <v>33</v>
      </c>
      <c r="C1517" s="51">
        <v>54643.199999999997</v>
      </c>
      <c r="D1517" s="51">
        <v>0</v>
      </c>
    </row>
    <row r="1518" spans="1:4" ht="15" customHeight="1">
      <c r="A1518" s="50">
        <v>44990</v>
      </c>
      <c r="B1518" s="49" t="s">
        <v>34</v>
      </c>
      <c r="C1518" s="51">
        <v>54413.5</v>
      </c>
      <c r="D1518" s="51">
        <v>0</v>
      </c>
    </row>
    <row r="1519" spans="1:4" ht="15" customHeight="1">
      <c r="A1519" s="50">
        <v>44990</v>
      </c>
      <c r="B1519" s="49" t="s">
        <v>35</v>
      </c>
      <c r="C1519" s="51">
        <v>54258.5</v>
      </c>
      <c r="D1519" s="51">
        <v>0</v>
      </c>
    </row>
    <row r="1520" spans="1:4" ht="15" customHeight="1">
      <c r="A1520" s="50">
        <v>44990</v>
      </c>
      <c r="B1520" s="49" t="s">
        <v>36</v>
      </c>
      <c r="C1520" s="51">
        <v>54047.8</v>
      </c>
      <c r="D1520" s="51">
        <v>0</v>
      </c>
    </row>
    <row r="1521" spans="1:4" ht="15" customHeight="1">
      <c r="A1521" s="50">
        <v>44990</v>
      </c>
      <c r="B1521" s="49" t="s">
        <v>37</v>
      </c>
      <c r="C1521" s="51">
        <v>54298.9</v>
      </c>
      <c r="D1521" s="51">
        <v>0</v>
      </c>
    </row>
    <row r="1522" spans="1:4" ht="15" customHeight="1">
      <c r="A1522" s="50">
        <v>44990</v>
      </c>
      <c r="B1522" s="49" t="s">
        <v>38</v>
      </c>
      <c r="C1522" s="51">
        <v>54220.1</v>
      </c>
      <c r="D1522" s="51">
        <v>0</v>
      </c>
    </row>
    <row r="1523" spans="1:4" ht="15" customHeight="1">
      <c r="A1523" s="50">
        <v>44990</v>
      </c>
      <c r="B1523" s="49" t="s">
        <v>39</v>
      </c>
      <c r="C1523" s="51">
        <v>54098.9</v>
      </c>
      <c r="D1523" s="51">
        <v>0</v>
      </c>
    </row>
    <row r="1524" spans="1:4" ht="15" customHeight="1">
      <c r="A1524" s="50">
        <v>44990</v>
      </c>
      <c r="B1524" s="49" t="s">
        <v>40</v>
      </c>
      <c r="C1524" s="51">
        <v>54158.1</v>
      </c>
      <c r="D1524" s="51">
        <v>0</v>
      </c>
    </row>
    <row r="1525" spans="1:4" ht="15" customHeight="1">
      <c r="A1525" s="50">
        <v>44990</v>
      </c>
      <c r="B1525" s="49" t="s">
        <v>41</v>
      </c>
      <c r="C1525" s="51">
        <v>54561.4</v>
      </c>
      <c r="D1525" s="51">
        <v>0</v>
      </c>
    </row>
    <row r="1526" spans="1:4" ht="15" customHeight="1">
      <c r="A1526" s="50">
        <v>44990</v>
      </c>
      <c r="B1526" s="49" t="s">
        <v>42</v>
      </c>
      <c r="C1526" s="51">
        <v>54601.8</v>
      </c>
      <c r="D1526" s="51">
        <v>0</v>
      </c>
    </row>
    <row r="1527" spans="1:4" ht="15" customHeight="1">
      <c r="A1527" s="50">
        <v>44990</v>
      </c>
      <c r="B1527" s="49" t="s">
        <v>43</v>
      </c>
      <c r="C1527" s="51">
        <v>54646.400000000001</v>
      </c>
      <c r="D1527" s="51">
        <v>0</v>
      </c>
    </row>
    <row r="1528" spans="1:4" ht="15" customHeight="1">
      <c r="A1528" s="50">
        <v>44990</v>
      </c>
      <c r="B1528" s="49" t="s">
        <v>44</v>
      </c>
      <c r="C1528" s="51">
        <v>54690.5</v>
      </c>
      <c r="D1528" s="51">
        <v>0</v>
      </c>
    </row>
    <row r="1529" spans="1:4" ht="15" customHeight="1">
      <c r="A1529" s="50">
        <v>44990</v>
      </c>
      <c r="B1529" s="49" t="s">
        <v>45</v>
      </c>
      <c r="C1529" s="51">
        <v>54589.599999999999</v>
      </c>
      <c r="D1529" s="51">
        <v>0</v>
      </c>
    </row>
    <row r="1530" spans="1:4" ht="15" customHeight="1">
      <c r="A1530" s="50">
        <v>44990</v>
      </c>
      <c r="B1530" s="49" t="s">
        <v>46</v>
      </c>
      <c r="C1530" s="51">
        <v>54566.3</v>
      </c>
      <c r="D1530" s="51">
        <v>0</v>
      </c>
    </row>
    <row r="1531" spans="1:4" ht="15" customHeight="1">
      <c r="A1531" s="50">
        <v>44990</v>
      </c>
      <c r="B1531" s="49" t="s">
        <v>47</v>
      </c>
      <c r="C1531" s="51">
        <v>54662.1</v>
      </c>
      <c r="D1531" s="51">
        <v>0</v>
      </c>
    </row>
    <row r="1532" spans="1:4" ht="15" customHeight="1">
      <c r="A1532" s="50">
        <v>44990</v>
      </c>
      <c r="B1532" s="49" t="s">
        <v>48</v>
      </c>
      <c r="C1532" s="51">
        <v>54264.1</v>
      </c>
      <c r="D1532" s="51">
        <v>0</v>
      </c>
    </row>
    <row r="1533" spans="1:4" ht="15" customHeight="1">
      <c r="A1533" s="50">
        <v>44990</v>
      </c>
      <c r="B1533" s="49" t="s">
        <v>49</v>
      </c>
      <c r="C1533" s="51">
        <v>53980.9</v>
      </c>
      <c r="D1533" s="51">
        <v>0</v>
      </c>
    </row>
    <row r="1534" spans="1:4" ht="15" customHeight="1">
      <c r="A1534" s="50">
        <v>44990</v>
      </c>
      <c r="B1534" s="49" t="s">
        <v>50</v>
      </c>
      <c r="C1534" s="51">
        <v>54022</v>
      </c>
      <c r="D1534" s="51">
        <v>0</v>
      </c>
    </row>
    <row r="1535" spans="1:4" ht="15" customHeight="1">
      <c r="A1535" s="50">
        <v>44990</v>
      </c>
      <c r="B1535" s="49" t="s">
        <v>51</v>
      </c>
      <c r="C1535" s="51">
        <v>54039.9</v>
      </c>
      <c r="D1535" s="51">
        <v>0</v>
      </c>
    </row>
    <row r="1536" spans="1:4" ht="15" customHeight="1">
      <c r="A1536" s="50">
        <v>44990</v>
      </c>
      <c r="B1536" s="49" t="s">
        <v>52</v>
      </c>
      <c r="C1536" s="51">
        <v>57679</v>
      </c>
      <c r="D1536" s="51">
        <v>0</v>
      </c>
    </row>
    <row r="1537" spans="1:4" ht="15" customHeight="1">
      <c r="A1537" s="50">
        <v>44990</v>
      </c>
      <c r="B1537" s="49" t="s">
        <v>53</v>
      </c>
      <c r="C1537" s="51">
        <v>60856.3</v>
      </c>
      <c r="D1537" s="51">
        <v>0</v>
      </c>
    </row>
    <row r="1538" spans="1:4" ht="15" customHeight="1">
      <c r="A1538" s="50">
        <v>44991</v>
      </c>
      <c r="B1538" s="49" t="s">
        <v>30</v>
      </c>
      <c r="C1538" s="51">
        <v>53095.7</v>
      </c>
      <c r="D1538" s="51">
        <v>0</v>
      </c>
    </row>
    <row r="1539" spans="1:4" ht="15" customHeight="1">
      <c r="A1539" s="50">
        <v>44991</v>
      </c>
      <c r="B1539" s="49" t="s">
        <v>31</v>
      </c>
      <c r="C1539" s="51">
        <v>53573.1</v>
      </c>
      <c r="D1539" s="51">
        <v>0</v>
      </c>
    </row>
    <row r="1540" spans="1:4" ht="15" customHeight="1">
      <c r="A1540" s="50">
        <v>44991</v>
      </c>
      <c r="B1540" s="49" t="s">
        <v>32</v>
      </c>
      <c r="C1540" s="51">
        <v>53562.9</v>
      </c>
      <c r="D1540" s="51">
        <v>0</v>
      </c>
    </row>
    <row r="1541" spans="1:4" ht="15" customHeight="1">
      <c r="A1541" s="50">
        <v>44991</v>
      </c>
      <c r="B1541" s="49" t="s">
        <v>33</v>
      </c>
      <c r="C1541" s="51">
        <v>53674.7</v>
      </c>
      <c r="D1541" s="51">
        <v>0</v>
      </c>
    </row>
    <row r="1542" spans="1:4" ht="15" customHeight="1">
      <c r="A1542" s="50">
        <v>44991</v>
      </c>
      <c r="B1542" s="49" t="s">
        <v>34</v>
      </c>
      <c r="C1542" s="51">
        <v>53547.6</v>
      </c>
      <c r="D1542" s="51">
        <v>0</v>
      </c>
    </row>
    <row r="1543" spans="1:4" ht="15" customHeight="1">
      <c r="A1543" s="50">
        <v>44991</v>
      </c>
      <c r="B1543" s="49" t="s">
        <v>35</v>
      </c>
      <c r="C1543" s="51">
        <v>53951.1</v>
      </c>
      <c r="D1543" s="51">
        <v>0</v>
      </c>
    </row>
    <row r="1544" spans="1:4" ht="15" customHeight="1">
      <c r="A1544" s="50">
        <v>44991</v>
      </c>
      <c r="B1544" s="49" t="s">
        <v>36</v>
      </c>
      <c r="C1544" s="51">
        <v>54059</v>
      </c>
      <c r="D1544" s="51">
        <v>0</v>
      </c>
    </row>
    <row r="1545" spans="1:4" ht="15" customHeight="1">
      <c r="A1545" s="50">
        <v>44991</v>
      </c>
      <c r="B1545" s="49" t="s">
        <v>37</v>
      </c>
      <c r="C1545" s="51">
        <v>53419.4</v>
      </c>
      <c r="D1545" s="51">
        <v>0</v>
      </c>
    </row>
    <row r="1546" spans="1:4" ht="15" customHeight="1">
      <c r="A1546" s="50">
        <v>44991</v>
      </c>
      <c r="B1546" s="49" t="s">
        <v>38</v>
      </c>
      <c r="C1546" s="51">
        <v>54276.5</v>
      </c>
      <c r="D1546" s="51">
        <v>0</v>
      </c>
    </row>
    <row r="1547" spans="1:4" ht="15" customHeight="1">
      <c r="A1547" s="50">
        <v>44991</v>
      </c>
      <c r="B1547" s="49" t="s">
        <v>39</v>
      </c>
      <c r="C1547" s="51">
        <v>54314.400000000001</v>
      </c>
      <c r="D1547" s="51">
        <v>0</v>
      </c>
    </row>
    <row r="1548" spans="1:4" ht="15" customHeight="1">
      <c r="A1548" s="50">
        <v>44991</v>
      </c>
      <c r="B1548" s="49" t="s">
        <v>40</v>
      </c>
      <c r="C1548" s="51">
        <v>55174.2</v>
      </c>
      <c r="D1548" s="51">
        <v>0</v>
      </c>
    </row>
    <row r="1549" spans="1:4" ht="15" customHeight="1">
      <c r="A1549" s="50">
        <v>44991</v>
      </c>
      <c r="B1549" s="49" t="s">
        <v>41</v>
      </c>
      <c r="C1549" s="51">
        <v>54646.7</v>
      </c>
      <c r="D1549" s="51">
        <v>0</v>
      </c>
    </row>
    <row r="1550" spans="1:4" ht="15" customHeight="1">
      <c r="A1550" s="50">
        <v>44991</v>
      </c>
      <c r="B1550" s="49" t="s">
        <v>42</v>
      </c>
      <c r="C1550" s="51">
        <v>54636.4</v>
      </c>
      <c r="D1550" s="51">
        <v>0</v>
      </c>
    </row>
    <row r="1551" spans="1:4" ht="15" customHeight="1">
      <c r="A1551" s="50">
        <v>44991</v>
      </c>
      <c r="B1551" s="49" t="s">
        <v>43</v>
      </c>
      <c r="C1551" s="51">
        <v>54791.8</v>
      </c>
      <c r="D1551" s="51">
        <v>0</v>
      </c>
    </row>
    <row r="1552" spans="1:4" ht="15" customHeight="1">
      <c r="A1552" s="50">
        <v>44991</v>
      </c>
      <c r="B1552" s="49" t="s">
        <v>44</v>
      </c>
      <c r="C1552" s="51">
        <v>65055.9</v>
      </c>
      <c r="D1552" s="51">
        <v>0</v>
      </c>
    </row>
    <row r="1553" spans="1:4" ht="15" customHeight="1">
      <c r="A1553" s="50">
        <v>44991</v>
      </c>
      <c r="B1553" s="49" t="s">
        <v>45</v>
      </c>
      <c r="C1553" s="51">
        <v>66120.800000000003</v>
      </c>
      <c r="D1553" s="51">
        <v>0</v>
      </c>
    </row>
    <row r="1554" spans="1:4" ht="15" customHeight="1">
      <c r="A1554" s="50">
        <v>44991</v>
      </c>
      <c r="B1554" s="49" t="s">
        <v>46</v>
      </c>
      <c r="C1554" s="51">
        <v>54224</v>
      </c>
      <c r="D1554" s="51">
        <v>0</v>
      </c>
    </row>
    <row r="1555" spans="1:4" ht="15" customHeight="1">
      <c r="A1555" s="50">
        <v>44991</v>
      </c>
      <c r="B1555" s="49" t="s">
        <v>47</v>
      </c>
      <c r="C1555" s="51">
        <v>53946.2</v>
      </c>
      <c r="D1555" s="51">
        <v>0</v>
      </c>
    </row>
    <row r="1556" spans="1:4" ht="15" customHeight="1">
      <c r="A1556" s="50">
        <v>44991</v>
      </c>
      <c r="B1556" s="49" t="s">
        <v>48</v>
      </c>
      <c r="C1556" s="51">
        <v>53969.599999999999</v>
      </c>
      <c r="D1556" s="51">
        <v>0</v>
      </c>
    </row>
    <row r="1557" spans="1:4" ht="15" customHeight="1">
      <c r="A1557" s="50">
        <v>44991</v>
      </c>
      <c r="B1557" s="49" t="s">
        <v>49</v>
      </c>
      <c r="C1557" s="51">
        <v>53908.7</v>
      </c>
      <c r="D1557" s="51">
        <v>0</v>
      </c>
    </row>
    <row r="1558" spans="1:4" ht="15" customHeight="1">
      <c r="A1558" s="50">
        <v>44991</v>
      </c>
      <c r="B1558" s="49" t="s">
        <v>50</v>
      </c>
      <c r="C1558" s="51">
        <v>53857.599999999999</v>
      </c>
      <c r="D1558" s="51">
        <v>0</v>
      </c>
    </row>
    <row r="1559" spans="1:4" ht="15" customHeight="1">
      <c r="A1559" s="50">
        <v>44991</v>
      </c>
      <c r="B1559" s="49" t="s">
        <v>51</v>
      </c>
      <c r="C1559" s="51">
        <v>53791.8</v>
      </c>
      <c r="D1559" s="51">
        <v>0</v>
      </c>
    </row>
    <row r="1560" spans="1:4" ht="15" customHeight="1">
      <c r="A1560" s="50">
        <v>44991</v>
      </c>
      <c r="B1560" s="49" t="s">
        <v>52</v>
      </c>
      <c r="C1560" s="51">
        <v>53202.9</v>
      </c>
      <c r="D1560" s="51">
        <v>0</v>
      </c>
    </row>
    <row r="1561" spans="1:4" ht="15" customHeight="1">
      <c r="A1561" s="50">
        <v>44991</v>
      </c>
      <c r="B1561" s="49" t="s">
        <v>53</v>
      </c>
      <c r="C1561" s="51">
        <v>54205</v>
      </c>
      <c r="D1561" s="51">
        <v>0</v>
      </c>
    </row>
    <row r="1562" spans="1:4" ht="15" customHeight="1">
      <c r="A1562" s="50">
        <v>44992</v>
      </c>
      <c r="B1562" s="49" t="s">
        <v>30</v>
      </c>
      <c r="C1562" s="51">
        <v>54494.2</v>
      </c>
      <c r="D1562" s="51">
        <v>0</v>
      </c>
    </row>
    <row r="1563" spans="1:4" ht="15" customHeight="1">
      <c r="A1563" s="50">
        <v>44992</v>
      </c>
      <c r="B1563" s="49" t="s">
        <v>31</v>
      </c>
      <c r="C1563" s="51">
        <v>54421.599999999999</v>
      </c>
      <c r="D1563" s="51">
        <v>0</v>
      </c>
    </row>
    <row r="1564" spans="1:4" ht="15" customHeight="1">
      <c r="A1564" s="50">
        <v>44992</v>
      </c>
      <c r="B1564" s="49" t="s">
        <v>32</v>
      </c>
      <c r="C1564" s="51">
        <v>54474.9</v>
      </c>
      <c r="D1564" s="51">
        <v>0</v>
      </c>
    </row>
    <row r="1565" spans="1:4" ht="15" customHeight="1">
      <c r="A1565" s="50">
        <v>44992</v>
      </c>
      <c r="B1565" s="49" t="s">
        <v>33</v>
      </c>
      <c r="C1565" s="51">
        <v>54398.1</v>
      </c>
      <c r="D1565" s="51">
        <v>0</v>
      </c>
    </row>
    <row r="1566" spans="1:4" ht="15" customHeight="1">
      <c r="A1566" s="50">
        <v>44992</v>
      </c>
      <c r="B1566" s="49" t="s">
        <v>34</v>
      </c>
      <c r="C1566" s="51">
        <v>54542.7</v>
      </c>
      <c r="D1566" s="51">
        <v>0</v>
      </c>
    </row>
    <row r="1567" spans="1:4" ht="15" customHeight="1">
      <c r="A1567" s="50">
        <v>44992</v>
      </c>
      <c r="B1567" s="49" t="s">
        <v>35</v>
      </c>
      <c r="C1567" s="51">
        <v>54176.1</v>
      </c>
      <c r="D1567" s="51">
        <v>0</v>
      </c>
    </row>
    <row r="1568" spans="1:4" ht="15" customHeight="1">
      <c r="A1568" s="50">
        <v>44992</v>
      </c>
      <c r="B1568" s="49" t="s">
        <v>36</v>
      </c>
      <c r="C1568" s="51">
        <v>54006.400000000001</v>
      </c>
      <c r="D1568" s="51">
        <v>0</v>
      </c>
    </row>
    <row r="1569" spans="1:4" ht="15" customHeight="1">
      <c r="A1569" s="50">
        <v>44992</v>
      </c>
      <c r="B1569" s="49" t="s">
        <v>37</v>
      </c>
      <c r="C1569" s="51">
        <v>53978.6</v>
      </c>
      <c r="D1569" s="51">
        <v>0</v>
      </c>
    </row>
    <row r="1570" spans="1:4" ht="15" customHeight="1">
      <c r="A1570" s="50">
        <v>44992</v>
      </c>
      <c r="B1570" s="49" t="s">
        <v>38</v>
      </c>
      <c r="C1570" s="51">
        <v>54924.5</v>
      </c>
      <c r="D1570" s="51">
        <v>0</v>
      </c>
    </row>
    <row r="1571" spans="1:4" ht="15" customHeight="1">
      <c r="A1571" s="50">
        <v>44992</v>
      </c>
      <c r="B1571" s="49" t="s">
        <v>39</v>
      </c>
      <c r="C1571" s="51">
        <v>54740.800000000003</v>
      </c>
      <c r="D1571" s="51">
        <v>0</v>
      </c>
    </row>
    <row r="1572" spans="1:4" ht="15" customHeight="1">
      <c r="A1572" s="50">
        <v>44992</v>
      </c>
      <c r="B1572" s="49" t="s">
        <v>40</v>
      </c>
      <c r="C1572" s="51">
        <v>54684.6</v>
      </c>
      <c r="D1572" s="51">
        <v>0</v>
      </c>
    </row>
    <row r="1573" spans="1:4" ht="15" customHeight="1">
      <c r="A1573" s="50">
        <v>44992</v>
      </c>
      <c r="B1573" s="49" t="s">
        <v>41</v>
      </c>
      <c r="C1573" s="51">
        <v>54619.7</v>
      </c>
      <c r="D1573" s="51">
        <v>0</v>
      </c>
    </row>
    <row r="1574" spans="1:4" ht="15" customHeight="1">
      <c r="A1574" s="50">
        <v>44992</v>
      </c>
      <c r="B1574" s="49" t="s">
        <v>42</v>
      </c>
      <c r="C1574" s="51">
        <v>54697.1</v>
      </c>
      <c r="D1574" s="51">
        <v>0</v>
      </c>
    </row>
    <row r="1575" spans="1:4" ht="15" customHeight="1">
      <c r="A1575" s="50">
        <v>44992</v>
      </c>
      <c r="B1575" s="49" t="s">
        <v>43</v>
      </c>
      <c r="C1575" s="51">
        <v>54632.800000000003</v>
      </c>
      <c r="D1575" s="51">
        <v>0</v>
      </c>
    </row>
    <row r="1576" spans="1:4" ht="15" customHeight="1">
      <c r="A1576" s="50">
        <v>44992</v>
      </c>
      <c r="B1576" s="49" t="s">
        <v>44</v>
      </c>
      <c r="C1576" s="51">
        <v>54650.3</v>
      </c>
      <c r="D1576" s="51">
        <v>0</v>
      </c>
    </row>
    <row r="1577" spans="1:4" ht="15" customHeight="1">
      <c r="A1577" s="50">
        <v>44992</v>
      </c>
      <c r="B1577" s="49" t="s">
        <v>45</v>
      </c>
      <c r="C1577" s="51">
        <v>54579.1</v>
      </c>
      <c r="D1577" s="51">
        <v>0</v>
      </c>
    </row>
    <row r="1578" spans="1:4" ht="15" customHeight="1">
      <c r="A1578" s="50">
        <v>44992</v>
      </c>
      <c r="B1578" s="49" t="s">
        <v>46</v>
      </c>
      <c r="C1578" s="51">
        <v>54579.199999999997</v>
      </c>
      <c r="D1578" s="51">
        <v>0</v>
      </c>
    </row>
    <row r="1579" spans="1:4" ht="15" customHeight="1">
      <c r="A1579" s="50">
        <v>44992</v>
      </c>
      <c r="B1579" s="49" t="s">
        <v>47</v>
      </c>
      <c r="C1579" s="51">
        <v>54690.5</v>
      </c>
      <c r="D1579" s="51">
        <v>0</v>
      </c>
    </row>
    <row r="1580" spans="1:4" ht="15" customHeight="1">
      <c r="A1580" s="50">
        <v>44992</v>
      </c>
      <c r="B1580" s="49" t="s">
        <v>48</v>
      </c>
      <c r="C1580" s="51">
        <v>54647.3</v>
      </c>
      <c r="D1580" s="51">
        <v>0</v>
      </c>
    </row>
    <row r="1581" spans="1:4" ht="15" customHeight="1">
      <c r="A1581" s="50">
        <v>44992</v>
      </c>
      <c r="B1581" s="49" t="s">
        <v>49</v>
      </c>
      <c r="C1581" s="51">
        <v>54707.4</v>
      </c>
      <c r="D1581" s="51">
        <v>0</v>
      </c>
    </row>
    <row r="1582" spans="1:4" ht="15" customHeight="1">
      <c r="A1582" s="50">
        <v>44992</v>
      </c>
      <c r="B1582" s="49" t="s">
        <v>50</v>
      </c>
      <c r="C1582" s="51">
        <v>54454</v>
      </c>
      <c r="D1582" s="51">
        <v>0</v>
      </c>
    </row>
    <row r="1583" spans="1:4" ht="15" customHeight="1">
      <c r="A1583" s="50">
        <v>44992</v>
      </c>
      <c r="B1583" s="49" t="s">
        <v>51</v>
      </c>
      <c r="C1583" s="51">
        <v>54435.6</v>
      </c>
      <c r="D1583" s="51">
        <v>0</v>
      </c>
    </row>
    <row r="1584" spans="1:4" ht="15" customHeight="1">
      <c r="A1584" s="50">
        <v>44992</v>
      </c>
      <c r="B1584" s="49" t="s">
        <v>52</v>
      </c>
      <c r="C1584" s="51">
        <v>59334</v>
      </c>
      <c r="D1584" s="51">
        <v>0</v>
      </c>
    </row>
    <row r="1585" spans="1:4" ht="15" customHeight="1">
      <c r="A1585" s="50">
        <v>44992</v>
      </c>
      <c r="B1585" s="49" t="s">
        <v>53</v>
      </c>
      <c r="C1585" s="51">
        <v>52244.9</v>
      </c>
      <c r="D1585" s="51">
        <v>0</v>
      </c>
    </row>
    <row r="1586" spans="1:4" ht="15" customHeight="1">
      <c r="A1586" s="50">
        <v>44993</v>
      </c>
      <c r="B1586" s="49" t="s">
        <v>30</v>
      </c>
      <c r="C1586" s="51">
        <v>53562.3</v>
      </c>
      <c r="D1586" s="51">
        <v>0</v>
      </c>
    </row>
    <row r="1587" spans="1:4" ht="15" customHeight="1">
      <c r="A1587" s="50">
        <v>44993</v>
      </c>
      <c r="B1587" s="49" t="s">
        <v>31</v>
      </c>
      <c r="C1587" s="51">
        <v>52613</v>
      </c>
      <c r="D1587" s="51">
        <v>0</v>
      </c>
    </row>
    <row r="1588" spans="1:4" ht="15" customHeight="1">
      <c r="A1588" s="50">
        <v>44993</v>
      </c>
      <c r="B1588" s="49" t="s">
        <v>32</v>
      </c>
      <c r="C1588" s="51">
        <v>52363.1</v>
      </c>
      <c r="D1588" s="51">
        <v>0</v>
      </c>
    </row>
    <row r="1589" spans="1:4" ht="15" customHeight="1">
      <c r="A1589" s="50">
        <v>44993</v>
      </c>
      <c r="B1589" s="49" t="s">
        <v>33</v>
      </c>
      <c r="C1589" s="51">
        <v>52566.3</v>
      </c>
      <c r="D1589" s="51">
        <v>0</v>
      </c>
    </row>
    <row r="1590" spans="1:4" ht="15" customHeight="1">
      <c r="A1590" s="50">
        <v>44993</v>
      </c>
      <c r="B1590" s="49" t="s">
        <v>34</v>
      </c>
      <c r="C1590" s="51">
        <v>52511.7</v>
      </c>
      <c r="D1590" s="51">
        <v>0</v>
      </c>
    </row>
    <row r="1591" spans="1:4" ht="15" customHeight="1">
      <c r="A1591" s="50">
        <v>44993</v>
      </c>
      <c r="B1591" s="49" t="s">
        <v>35</v>
      </c>
      <c r="C1591" s="51">
        <v>52417.1</v>
      </c>
      <c r="D1591" s="51">
        <v>0</v>
      </c>
    </row>
    <row r="1592" spans="1:4" ht="15" customHeight="1">
      <c r="A1592" s="50">
        <v>44993</v>
      </c>
      <c r="B1592" s="49" t="s">
        <v>36</v>
      </c>
      <c r="C1592" s="51">
        <v>52924.800000000003</v>
      </c>
      <c r="D1592" s="51">
        <v>0</v>
      </c>
    </row>
    <row r="1593" spans="1:4" ht="15" customHeight="1">
      <c r="A1593" s="50">
        <v>44993</v>
      </c>
      <c r="B1593" s="49" t="s">
        <v>37</v>
      </c>
      <c r="C1593" s="51">
        <v>53101</v>
      </c>
      <c r="D1593" s="51">
        <v>0</v>
      </c>
    </row>
    <row r="1594" spans="1:4" ht="15" customHeight="1">
      <c r="A1594" s="50">
        <v>44993</v>
      </c>
      <c r="B1594" s="49" t="s">
        <v>38</v>
      </c>
      <c r="C1594" s="51">
        <v>53060.800000000003</v>
      </c>
      <c r="D1594" s="51">
        <v>0</v>
      </c>
    </row>
    <row r="1595" spans="1:4" ht="15" customHeight="1">
      <c r="A1595" s="50">
        <v>44993</v>
      </c>
      <c r="B1595" s="49" t="s">
        <v>39</v>
      </c>
      <c r="C1595" s="51">
        <v>54726.5</v>
      </c>
      <c r="D1595" s="51">
        <v>0</v>
      </c>
    </row>
    <row r="1596" spans="1:4" ht="15" customHeight="1">
      <c r="A1596" s="50">
        <v>44993</v>
      </c>
      <c r="B1596" s="49" t="s">
        <v>40</v>
      </c>
      <c r="C1596" s="51">
        <v>54863.7</v>
      </c>
      <c r="D1596" s="51">
        <v>0</v>
      </c>
    </row>
    <row r="1597" spans="1:4" ht="15" customHeight="1">
      <c r="A1597" s="50">
        <v>44993</v>
      </c>
      <c r="B1597" s="49" t="s">
        <v>41</v>
      </c>
      <c r="C1597" s="51">
        <v>54098</v>
      </c>
      <c r="D1597" s="51">
        <v>0</v>
      </c>
    </row>
    <row r="1598" spans="1:4" ht="15" customHeight="1">
      <c r="A1598" s="50">
        <v>44993</v>
      </c>
      <c r="B1598" s="49" t="s">
        <v>42</v>
      </c>
      <c r="C1598" s="51">
        <v>54455.9</v>
      </c>
      <c r="D1598" s="51">
        <v>0</v>
      </c>
    </row>
    <row r="1599" spans="1:4" ht="15" customHeight="1">
      <c r="A1599" s="50">
        <v>44993</v>
      </c>
      <c r="B1599" s="49" t="s">
        <v>43</v>
      </c>
      <c r="C1599" s="51">
        <v>54459.199999999997</v>
      </c>
      <c r="D1599" s="51">
        <v>0</v>
      </c>
    </row>
    <row r="1600" spans="1:4" ht="15" customHeight="1">
      <c r="A1600" s="50">
        <v>44993</v>
      </c>
      <c r="B1600" s="49" t="s">
        <v>44</v>
      </c>
      <c r="C1600" s="51">
        <v>54485.1</v>
      </c>
      <c r="D1600" s="51">
        <v>0</v>
      </c>
    </row>
    <row r="1601" spans="1:4" ht="15" customHeight="1">
      <c r="A1601" s="50">
        <v>44993</v>
      </c>
      <c r="B1601" s="49" t="s">
        <v>45</v>
      </c>
      <c r="C1601" s="51">
        <v>54444</v>
      </c>
      <c r="D1601" s="51">
        <v>0</v>
      </c>
    </row>
    <row r="1602" spans="1:4" ht="15" customHeight="1">
      <c r="A1602" s="50">
        <v>44993</v>
      </c>
      <c r="B1602" s="49" t="s">
        <v>46</v>
      </c>
      <c r="C1602" s="51">
        <v>54366.8</v>
      </c>
      <c r="D1602" s="51">
        <v>0</v>
      </c>
    </row>
    <row r="1603" spans="1:4" ht="15" customHeight="1">
      <c r="A1603" s="50">
        <v>44993</v>
      </c>
      <c r="B1603" s="49" t="s">
        <v>47</v>
      </c>
      <c r="C1603" s="51">
        <v>54177.7</v>
      </c>
      <c r="D1603" s="51">
        <v>0</v>
      </c>
    </row>
    <row r="1604" spans="1:4" ht="15" customHeight="1">
      <c r="A1604" s="50">
        <v>44993</v>
      </c>
      <c r="B1604" s="49" t="s">
        <v>48</v>
      </c>
      <c r="C1604" s="51">
        <v>54537.8</v>
      </c>
      <c r="D1604" s="51">
        <v>0</v>
      </c>
    </row>
    <row r="1605" spans="1:4" ht="15" customHeight="1">
      <c r="A1605" s="50">
        <v>44993</v>
      </c>
      <c r="B1605" s="49" t="s">
        <v>49</v>
      </c>
      <c r="C1605" s="51">
        <v>54379.3</v>
      </c>
      <c r="D1605" s="51">
        <v>0</v>
      </c>
    </row>
    <row r="1606" spans="1:4" ht="15" customHeight="1">
      <c r="A1606" s="50">
        <v>44993</v>
      </c>
      <c r="B1606" s="49" t="s">
        <v>50</v>
      </c>
      <c r="C1606" s="51">
        <v>63216.7</v>
      </c>
      <c r="D1606" s="51">
        <v>0</v>
      </c>
    </row>
    <row r="1607" spans="1:4" ht="15" customHeight="1">
      <c r="A1607" s="50">
        <v>44993</v>
      </c>
      <c r="B1607" s="49" t="s">
        <v>51</v>
      </c>
      <c r="C1607" s="51">
        <v>54541</v>
      </c>
      <c r="D1607" s="51">
        <v>0</v>
      </c>
    </row>
    <row r="1608" spans="1:4" ht="15" customHeight="1">
      <c r="A1608" s="50">
        <v>44993</v>
      </c>
      <c r="B1608" s="49" t="s">
        <v>52</v>
      </c>
      <c r="C1608" s="51">
        <v>54035</v>
      </c>
      <c r="D1608" s="51">
        <v>0</v>
      </c>
    </row>
    <row r="1609" spans="1:4" ht="15" customHeight="1">
      <c r="A1609" s="50">
        <v>44993</v>
      </c>
      <c r="B1609" s="49" t="s">
        <v>53</v>
      </c>
      <c r="C1609" s="51">
        <v>53662.8</v>
      </c>
      <c r="D1609" s="51">
        <v>0</v>
      </c>
    </row>
    <row r="1610" spans="1:4" ht="15" customHeight="1">
      <c r="A1610" s="50">
        <v>44994</v>
      </c>
      <c r="B1610" s="49" t="s">
        <v>30</v>
      </c>
      <c r="C1610" s="51">
        <v>53679.3</v>
      </c>
      <c r="D1610" s="51">
        <v>0</v>
      </c>
    </row>
    <row r="1611" spans="1:4" ht="15" customHeight="1">
      <c r="A1611" s="50">
        <v>44994</v>
      </c>
      <c r="B1611" s="49" t="s">
        <v>31</v>
      </c>
      <c r="C1611" s="51">
        <v>54348.2</v>
      </c>
      <c r="D1611" s="51">
        <v>0</v>
      </c>
    </row>
    <row r="1612" spans="1:4" ht="15" customHeight="1">
      <c r="A1612" s="50">
        <v>44994</v>
      </c>
      <c r="B1612" s="49" t="s">
        <v>32</v>
      </c>
      <c r="C1612" s="51">
        <v>54515.1</v>
      </c>
      <c r="D1612" s="51">
        <v>0</v>
      </c>
    </row>
    <row r="1613" spans="1:4" ht="15" customHeight="1">
      <c r="A1613" s="50">
        <v>44994</v>
      </c>
      <c r="B1613" s="49" t="s">
        <v>33</v>
      </c>
      <c r="C1613" s="51">
        <v>54445.2</v>
      </c>
      <c r="D1613" s="51">
        <v>0</v>
      </c>
    </row>
    <row r="1614" spans="1:4" ht="15" customHeight="1">
      <c r="A1614" s="50">
        <v>44994</v>
      </c>
      <c r="B1614" s="49" t="s">
        <v>34</v>
      </c>
      <c r="C1614" s="51">
        <v>54767.5</v>
      </c>
      <c r="D1614" s="51">
        <v>0</v>
      </c>
    </row>
    <row r="1615" spans="1:4" ht="15" customHeight="1">
      <c r="A1615" s="50">
        <v>44994</v>
      </c>
      <c r="B1615" s="49" t="s">
        <v>35</v>
      </c>
      <c r="C1615" s="51">
        <v>53810.8</v>
      </c>
      <c r="D1615" s="51">
        <v>0</v>
      </c>
    </row>
    <row r="1616" spans="1:4" ht="15" customHeight="1">
      <c r="A1616" s="50">
        <v>44994</v>
      </c>
      <c r="B1616" s="49" t="s">
        <v>36</v>
      </c>
      <c r="C1616" s="51">
        <v>54018</v>
      </c>
      <c r="D1616" s="51">
        <v>0</v>
      </c>
    </row>
    <row r="1617" spans="1:4" ht="15" customHeight="1">
      <c r="A1617" s="50">
        <v>44994</v>
      </c>
      <c r="B1617" s="49" t="s">
        <v>37</v>
      </c>
      <c r="C1617" s="51">
        <v>54123.1</v>
      </c>
      <c r="D1617" s="51">
        <v>0</v>
      </c>
    </row>
    <row r="1618" spans="1:4" ht="15" customHeight="1">
      <c r="A1618" s="50">
        <v>44994</v>
      </c>
      <c r="B1618" s="49" t="s">
        <v>38</v>
      </c>
      <c r="C1618" s="51">
        <v>54127.4</v>
      </c>
      <c r="D1618" s="51">
        <v>0</v>
      </c>
    </row>
    <row r="1619" spans="1:4" ht="15" customHeight="1">
      <c r="A1619" s="50">
        <v>44994</v>
      </c>
      <c r="B1619" s="49" t="s">
        <v>39</v>
      </c>
      <c r="C1619" s="51">
        <v>55148.6</v>
      </c>
      <c r="D1619" s="51">
        <v>0</v>
      </c>
    </row>
    <row r="1620" spans="1:4" ht="15" customHeight="1">
      <c r="A1620" s="50">
        <v>44994</v>
      </c>
      <c r="B1620" s="49" t="s">
        <v>40</v>
      </c>
      <c r="C1620" s="51">
        <v>54763.3</v>
      </c>
      <c r="D1620" s="51">
        <v>0</v>
      </c>
    </row>
    <row r="1621" spans="1:4" ht="15" customHeight="1">
      <c r="A1621" s="50">
        <v>44994</v>
      </c>
      <c r="B1621" s="49" t="s">
        <v>41</v>
      </c>
      <c r="C1621" s="51">
        <v>54761.5</v>
      </c>
      <c r="D1621" s="51">
        <v>0</v>
      </c>
    </row>
    <row r="1622" spans="1:4" ht="15" customHeight="1">
      <c r="A1622" s="50">
        <v>44994</v>
      </c>
      <c r="B1622" s="49" t="s">
        <v>42</v>
      </c>
      <c r="C1622" s="51">
        <v>54392.7</v>
      </c>
      <c r="D1622" s="51">
        <v>0</v>
      </c>
    </row>
    <row r="1623" spans="1:4" ht="15" customHeight="1">
      <c r="A1623" s="50">
        <v>44994</v>
      </c>
      <c r="B1623" s="49" t="s">
        <v>43</v>
      </c>
      <c r="C1623" s="51">
        <v>54581.8</v>
      </c>
      <c r="D1623" s="51">
        <v>0</v>
      </c>
    </row>
    <row r="1624" spans="1:4" ht="15" customHeight="1">
      <c r="A1624" s="50">
        <v>44994</v>
      </c>
      <c r="B1624" s="49" t="s">
        <v>44</v>
      </c>
      <c r="C1624" s="51">
        <v>54534.3</v>
      </c>
      <c r="D1624" s="51">
        <v>0</v>
      </c>
    </row>
    <row r="1625" spans="1:4" ht="15" customHeight="1">
      <c r="A1625" s="50">
        <v>44994</v>
      </c>
      <c r="B1625" s="49" t="s">
        <v>45</v>
      </c>
      <c r="C1625" s="51">
        <v>54510.400000000001</v>
      </c>
      <c r="D1625" s="51">
        <v>0</v>
      </c>
    </row>
    <row r="1626" spans="1:4" ht="15" customHeight="1">
      <c r="A1626" s="50">
        <v>44994</v>
      </c>
      <c r="B1626" s="49" t="s">
        <v>46</v>
      </c>
      <c r="C1626" s="51">
        <v>54396.1</v>
      </c>
      <c r="D1626" s="51">
        <v>0</v>
      </c>
    </row>
    <row r="1627" spans="1:4" ht="15" customHeight="1">
      <c r="A1627" s="50">
        <v>44994</v>
      </c>
      <c r="B1627" s="49" t="s">
        <v>47</v>
      </c>
      <c r="C1627" s="51">
        <v>54575.1</v>
      </c>
      <c r="D1627" s="51">
        <v>0</v>
      </c>
    </row>
    <row r="1628" spans="1:4" ht="15" customHeight="1">
      <c r="A1628" s="50">
        <v>44994</v>
      </c>
      <c r="B1628" s="49" t="s">
        <v>48</v>
      </c>
      <c r="C1628" s="51">
        <v>54591.7</v>
      </c>
      <c r="D1628" s="51">
        <v>0</v>
      </c>
    </row>
    <row r="1629" spans="1:4" ht="15" customHeight="1">
      <c r="A1629" s="50">
        <v>44994</v>
      </c>
      <c r="B1629" s="49" t="s">
        <v>49</v>
      </c>
      <c r="C1629" s="51">
        <v>54436</v>
      </c>
      <c r="D1629" s="51">
        <v>0</v>
      </c>
    </row>
    <row r="1630" spans="1:4" ht="15" customHeight="1">
      <c r="A1630" s="50">
        <v>44994</v>
      </c>
      <c r="B1630" s="49" t="s">
        <v>50</v>
      </c>
      <c r="C1630" s="51">
        <v>59771.6</v>
      </c>
      <c r="D1630" s="51">
        <v>0</v>
      </c>
    </row>
    <row r="1631" spans="1:4" ht="15" customHeight="1">
      <c r="A1631" s="50">
        <v>44994</v>
      </c>
      <c r="B1631" s="49" t="s">
        <v>51</v>
      </c>
      <c r="C1631" s="51">
        <v>53861</v>
      </c>
      <c r="D1631" s="51">
        <v>0</v>
      </c>
    </row>
    <row r="1632" spans="1:4" ht="15" customHeight="1">
      <c r="A1632" s="50">
        <v>44994</v>
      </c>
      <c r="B1632" s="49" t="s">
        <v>52</v>
      </c>
      <c r="C1632" s="51">
        <v>53961.8</v>
      </c>
      <c r="D1632" s="51">
        <v>0</v>
      </c>
    </row>
    <row r="1633" spans="1:4" ht="15" customHeight="1">
      <c r="A1633" s="50">
        <v>44994</v>
      </c>
      <c r="B1633" s="49" t="s">
        <v>53</v>
      </c>
      <c r="C1633" s="51">
        <v>54079.199999999997</v>
      </c>
      <c r="D1633" s="51">
        <v>0</v>
      </c>
    </row>
    <row r="1634" spans="1:4" ht="15" customHeight="1">
      <c r="A1634" s="50">
        <v>44995</v>
      </c>
      <c r="B1634" s="49" t="s">
        <v>30</v>
      </c>
      <c r="C1634" s="51">
        <v>52980</v>
      </c>
      <c r="D1634" s="51">
        <v>0</v>
      </c>
    </row>
    <row r="1635" spans="1:4" ht="15" customHeight="1">
      <c r="A1635" s="50">
        <v>44995</v>
      </c>
      <c r="B1635" s="49" t="s">
        <v>31</v>
      </c>
      <c r="C1635" s="51">
        <v>53762.3</v>
      </c>
      <c r="D1635" s="51">
        <v>0</v>
      </c>
    </row>
    <row r="1636" spans="1:4" ht="15" customHeight="1">
      <c r="A1636" s="50">
        <v>44995</v>
      </c>
      <c r="B1636" s="49" t="s">
        <v>32</v>
      </c>
      <c r="C1636" s="51">
        <v>53760.800000000003</v>
      </c>
      <c r="D1636" s="51">
        <v>0</v>
      </c>
    </row>
    <row r="1637" spans="1:4" ht="15" customHeight="1">
      <c r="A1637" s="50">
        <v>44995</v>
      </c>
      <c r="B1637" s="49" t="s">
        <v>33</v>
      </c>
      <c r="C1637" s="51">
        <v>53673</v>
      </c>
      <c r="D1637" s="51">
        <v>0</v>
      </c>
    </row>
    <row r="1638" spans="1:4" ht="15" customHeight="1">
      <c r="A1638" s="50">
        <v>44995</v>
      </c>
      <c r="B1638" s="49" t="s">
        <v>34</v>
      </c>
      <c r="C1638" s="51">
        <v>53628</v>
      </c>
      <c r="D1638" s="51">
        <v>0</v>
      </c>
    </row>
    <row r="1639" spans="1:4" ht="15" customHeight="1">
      <c r="A1639" s="50">
        <v>44995</v>
      </c>
      <c r="B1639" s="49" t="s">
        <v>35</v>
      </c>
      <c r="C1639" s="51">
        <v>52998.5</v>
      </c>
      <c r="D1639" s="51">
        <v>0</v>
      </c>
    </row>
    <row r="1640" spans="1:4" ht="15" customHeight="1">
      <c r="A1640" s="50">
        <v>44995</v>
      </c>
      <c r="B1640" s="49" t="s">
        <v>36</v>
      </c>
      <c r="C1640" s="51">
        <v>53444.1</v>
      </c>
      <c r="D1640" s="51">
        <v>0</v>
      </c>
    </row>
    <row r="1641" spans="1:4" ht="15" customHeight="1">
      <c r="A1641" s="50">
        <v>44995</v>
      </c>
      <c r="B1641" s="49" t="s">
        <v>37</v>
      </c>
      <c r="C1641" s="51">
        <v>53581.2</v>
      </c>
      <c r="D1641" s="51">
        <v>0</v>
      </c>
    </row>
    <row r="1642" spans="1:4" ht="15" customHeight="1">
      <c r="A1642" s="50">
        <v>44995</v>
      </c>
      <c r="B1642" s="49" t="s">
        <v>38</v>
      </c>
      <c r="C1642" s="51">
        <v>53482.6</v>
      </c>
      <c r="D1642" s="51">
        <v>0</v>
      </c>
    </row>
    <row r="1643" spans="1:4" ht="15" customHeight="1">
      <c r="A1643" s="50">
        <v>44995</v>
      </c>
      <c r="B1643" s="49" t="s">
        <v>39</v>
      </c>
      <c r="C1643" s="51">
        <v>54510.2</v>
      </c>
      <c r="D1643" s="51">
        <v>0</v>
      </c>
    </row>
    <row r="1644" spans="1:4" ht="15" customHeight="1">
      <c r="A1644" s="50">
        <v>44995</v>
      </c>
      <c r="B1644" s="49" t="s">
        <v>40</v>
      </c>
      <c r="C1644" s="51">
        <v>54499.4</v>
      </c>
      <c r="D1644" s="51">
        <v>0</v>
      </c>
    </row>
    <row r="1645" spans="1:4" ht="15" customHeight="1">
      <c r="A1645" s="50">
        <v>44995</v>
      </c>
      <c r="B1645" s="49" t="s">
        <v>41</v>
      </c>
      <c r="C1645" s="51">
        <v>54510.400000000001</v>
      </c>
      <c r="D1645" s="51">
        <v>0</v>
      </c>
    </row>
    <row r="1646" spans="1:4" ht="15" customHeight="1">
      <c r="A1646" s="50">
        <v>44995</v>
      </c>
      <c r="B1646" s="49" t="s">
        <v>42</v>
      </c>
      <c r="C1646" s="51">
        <v>54455.7</v>
      </c>
      <c r="D1646" s="51">
        <v>0</v>
      </c>
    </row>
    <row r="1647" spans="1:4" ht="15" customHeight="1">
      <c r="A1647" s="50">
        <v>44995</v>
      </c>
      <c r="B1647" s="49" t="s">
        <v>43</v>
      </c>
      <c r="C1647" s="51">
        <v>54517.7</v>
      </c>
      <c r="D1647" s="51">
        <v>0</v>
      </c>
    </row>
    <row r="1648" spans="1:4" ht="15" customHeight="1">
      <c r="A1648" s="50">
        <v>44995</v>
      </c>
      <c r="B1648" s="49" t="s">
        <v>44</v>
      </c>
      <c r="C1648" s="51">
        <v>54433.8</v>
      </c>
      <c r="D1648" s="51">
        <v>0</v>
      </c>
    </row>
    <row r="1649" spans="1:4" ht="15" customHeight="1">
      <c r="A1649" s="50">
        <v>44995</v>
      </c>
      <c r="B1649" s="49" t="s">
        <v>45</v>
      </c>
      <c r="C1649" s="51">
        <v>54385.8</v>
      </c>
      <c r="D1649" s="51">
        <v>0</v>
      </c>
    </row>
    <row r="1650" spans="1:4" ht="15" customHeight="1">
      <c r="A1650" s="50">
        <v>44995</v>
      </c>
      <c r="B1650" s="49" t="s">
        <v>46</v>
      </c>
      <c r="C1650" s="51">
        <v>54366.7</v>
      </c>
      <c r="D1650" s="51">
        <v>0</v>
      </c>
    </row>
    <row r="1651" spans="1:4" ht="15" customHeight="1">
      <c r="A1651" s="50">
        <v>44995</v>
      </c>
      <c r="B1651" s="49" t="s">
        <v>47</v>
      </c>
      <c r="C1651" s="51">
        <v>54505.8</v>
      </c>
      <c r="D1651" s="51">
        <v>0</v>
      </c>
    </row>
    <row r="1652" spans="1:4" ht="15" customHeight="1">
      <c r="A1652" s="50">
        <v>44995</v>
      </c>
      <c r="B1652" s="49" t="s">
        <v>48</v>
      </c>
      <c r="C1652" s="51">
        <v>54526.8</v>
      </c>
      <c r="D1652" s="51">
        <v>0</v>
      </c>
    </row>
    <row r="1653" spans="1:4" ht="15" customHeight="1">
      <c r="A1653" s="50">
        <v>44995</v>
      </c>
      <c r="B1653" s="49" t="s">
        <v>49</v>
      </c>
      <c r="C1653" s="51">
        <v>54345.7</v>
      </c>
      <c r="D1653" s="51">
        <v>0</v>
      </c>
    </row>
    <row r="1654" spans="1:4" ht="15" customHeight="1">
      <c r="A1654" s="50">
        <v>44995</v>
      </c>
      <c r="B1654" s="49" t="s">
        <v>50</v>
      </c>
      <c r="C1654" s="51">
        <v>54381.2</v>
      </c>
      <c r="D1654" s="51">
        <v>0</v>
      </c>
    </row>
    <row r="1655" spans="1:4" ht="15" customHeight="1">
      <c r="A1655" s="50">
        <v>44995</v>
      </c>
      <c r="B1655" s="49" t="s">
        <v>51</v>
      </c>
      <c r="C1655" s="51">
        <v>54395.1</v>
      </c>
      <c r="D1655" s="51">
        <v>0</v>
      </c>
    </row>
    <row r="1656" spans="1:4" ht="15" customHeight="1">
      <c r="A1656" s="50">
        <v>44995</v>
      </c>
      <c r="B1656" s="49" t="s">
        <v>52</v>
      </c>
      <c r="C1656" s="51">
        <v>54676.5</v>
      </c>
      <c r="D1656" s="51">
        <v>0</v>
      </c>
    </row>
    <row r="1657" spans="1:4" ht="15" customHeight="1">
      <c r="A1657" s="50">
        <v>44995</v>
      </c>
      <c r="B1657" s="49" t="s">
        <v>53</v>
      </c>
      <c r="C1657" s="51">
        <v>53190.7</v>
      </c>
      <c r="D1657" s="51">
        <v>0</v>
      </c>
    </row>
    <row r="1658" spans="1:4" ht="15" customHeight="1">
      <c r="A1658" s="50">
        <v>44996</v>
      </c>
      <c r="B1658" s="49" t="s">
        <v>30</v>
      </c>
      <c r="C1658" s="51">
        <v>53744.2</v>
      </c>
      <c r="D1658" s="51">
        <v>0</v>
      </c>
    </row>
    <row r="1659" spans="1:4" ht="15" customHeight="1">
      <c r="A1659" s="50">
        <v>44996</v>
      </c>
      <c r="B1659" s="49" t="s">
        <v>31</v>
      </c>
      <c r="C1659" s="51">
        <v>54322.3</v>
      </c>
      <c r="D1659" s="51">
        <v>0</v>
      </c>
    </row>
    <row r="1660" spans="1:4" ht="15" customHeight="1">
      <c r="A1660" s="50">
        <v>44996</v>
      </c>
      <c r="B1660" s="49" t="s">
        <v>32</v>
      </c>
      <c r="C1660" s="51">
        <v>54225.599999999999</v>
      </c>
      <c r="D1660" s="51">
        <v>0</v>
      </c>
    </row>
    <row r="1661" spans="1:4" ht="15" customHeight="1">
      <c r="A1661" s="50">
        <v>44996</v>
      </c>
      <c r="B1661" s="49" t="s">
        <v>33</v>
      </c>
      <c r="C1661" s="51">
        <v>54163.199999999997</v>
      </c>
      <c r="D1661" s="51">
        <v>0</v>
      </c>
    </row>
    <row r="1662" spans="1:4" ht="15" customHeight="1">
      <c r="A1662" s="50">
        <v>44996</v>
      </c>
      <c r="B1662" s="49" t="s">
        <v>34</v>
      </c>
      <c r="C1662" s="51">
        <v>54057.2</v>
      </c>
      <c r="D1662" s="51">
        <v>0</v>
      </c>
    </row>
    <row r="1663" spans="1:4" ht="15" customHeight="1">
      <c r="A1663" s="50">
        <v>44996</v>
      </c>
      <c r="B1663" s="49" t="s">
        <v>35</v>
      </c>
      <c r="C1663" s="51">
        <v>54296.6</v>
      </c>
      <c r="D1663" s="51">
        <v>0</v>
      </c>
    </row>
    <row r="1664" spans="1:4" ht="15" customHeight="1">
      <c r="A1664" s="50">
        <v>44996</v>
      </c>
      <c r="B1664" s="49" t="s">
        <v>36</v>
      </c>
      <c r="C1664" s="51">
        <v>53056.6</v>
      </c>
      <c r="D1664" s="51">
        <v>0</v>
      </c>
    </row>
    <row r="1665" spans="1:4" ht="15" customHeight="1">
      <c r="A1665" s="50">
        <v>44996</v>
      </c>
      <c r="B1665" s="49" t="s">
        <v>37</v>
      </c>
      <c r="C1665" s="51">
        <v>50787.7</v>
      </c>
      <c r="D1665" s="51">
        <v>0</v>
      </c>
    </row>
    <row r="1666" spans="1:4" ht="15" customHeight="1">
      <c r="A1666" s="50">
        <v>44996</v>
      </c>
      <c r="B1666" s="49" t="s">
        <v>38</v>
      </c>
      <c r="C1666" s="51">
        <v>51583.4</v>
      </c>
      <c r="D1666" s="51">
        <v>0</v>
      </c>
    </row>
    <row r="1667" spans="1:4" ht="15" customHeight="1">
      <c r="A1667" s="50">
        <v>44996</v>
      </c>
      <c r="B1667" s="49" t="s">
        <v>39</v>
      </c>
      <c r="C1667" s="51">
        <v>52378.8</v>
      </c>
      <c r="D1667" s="51">
        <v>0</v>
      </c>
    </row>
    <row r="1668" spans="1:4" ht="15" customHeight="1">
      <c r="A1668" s="50">
        <v>44996</v>
      </c>
      <c r="B1668" s="49" t="s">
        <v>40</v>
      </c>
      <c r="C1668" s="51">
        <v>53298.8</v>
      </c>
      <c r="D1668" s="51">
        <v>0</v>
      </c>
    </row>
    <row r="1669" spans="1:4" ht="15" customHeight="1">
      <c r="A1669" s="50">
        <v>44996</v>
      </c>
      <c r="B1669" s="49" t="s">
        <v>41</v>
      </c>
      <c r="C1669" s="51">
        <v>53279.199999999997</v>
      </c>
      <c r="D1669" s="51">
        <v>0</v>
      </c>
    </row>
    <row r="1670" spans="1:4" ht="15" customHeight="1">
      <c r="A1670" s="50">
        <v>44996</v>
      </c>
      <c r="B1670" s="49" t="s">
        <v>42</v>
      </c>
      <c r="C1670" s="51">
        <v>53431.3</v>
      </c>
      <c r="D1670" s="51">
        <v>0</v>
      </c>
    </row>
    <row r="1671" spans="1:4" ht="15" customHeight="1">
      <c r="A1671" s="50">
        <v>44996</v>
      </c>
      <c r="B1671" s="49" t="s">
        <v>43</v>
      </c>
      <c r="C1671" s="51">
        <v>53420.1</v>
      </c>
      <c r="D1671" s="51">
        <v>0</v>
      </c>
    </row>
    <row r="1672" spans="1:4" ht="15" customHeight="1">
      <c r="A1672" s="50">
        <v>44996</v>
      </c>
      <c r="B1672" s="49" t="s">
        <v>44</v>
      </c>
      <c r="C1672" s="51">
        <v>53481.3</v>
      </c>
      <c r="D1672" s="51">
        <v>0</v>
      </c>
    </row>
    <row r="1673" spans="1:4" ht="15" customHeight="1">
      <c r="A1673" s="50">
        <v>44996</v>
      </c>
      <c r="B1673" s="49" t="s">
        <v>45</v>
      </c>
      <c r="C1673" s="51">
        <v>53397.2</v>
      </c>
      <c r="D1673" s="51">
        <v>0</v>
      </c>
    </row>
    <row r="1674" spans="1:4" ht="15" customHeight="1">
      <c r="A1674" s="50">
        <v>44996</v>
      </c>
      <c r="B1674" s="49" t="s">
        <v>46</v>
      </c>
      <c r="C1674" s="51">
        <v>53559.5</v>
      </c>
      <c r="D1674" s="51">
        <v>0</v>
      </c>
    </row>
    <row r="1675" spans="1:4" ht="15" customHeight="1">
      <c r="A1675" s="50">
        <v>44996</v>
      </c>
      <c r="B1675" s="49" t="s">
        <v>47</v>
      </c>
      <c r="C1675" s="51">
        <v>53394.3</v>
      </c>
      <c r="D1675" s="51">
        <v>0</v>
      </c>
    </row>
    <row r="1676" spans="1:4" ht="15" customHeight="1">
      <c r="A1676" s="50">
        <v>44996</v>
      </c>
      <c r="B1676" s="49" t="s">
        <v>48</v>
      </c>
      <c r="C1676" s="51">
        <v>53620.7</v>
      </c>
      <c r="D1676" s="51">
        <v>0</v>
      </c>
    </row>
    <row r="1677" spans="1:4" ht="15" customHeight="1">
      <c r="A1677" s="50">
        <v>44996</v>
      </c>
      <c r="B1677" s="49" t="s">
        <v>49</v>
      </c>
      <c r="C1677" s="51">
        <v>53407.8</v>
      </c>
      <c r="D1677" s="51">
        <v>0</v>
      </c>
    </row>
    <row r="1678" spans="1:4" ht="15" customHeight="1">
      <c r="A1678" s="50">
        <v>44996</v>
      </c>
      <c r="B1678" s="49" t="s">
        <v>50</v>
      </c>
      <c r="C1678" s="51">
        <v>53389.5</v>
      </c>
      <c r="D1678" s="51">
        <v>0</v>
      </c>
    </row>
    <row r="1679" spans="1:4" ht="15" customHeight="1">
      <c r="A1679" s="50">
        <v>44996</v>
      </c>
      <c r="B1679" s="49" t="s">
        <v>51</v>
      </c>
      <c r="C1679" s="51">
        <v>53634.1</v>
      </c>
      <c r="D1679" s="51">
        <v>0</v>
      </c>
    </row>
    <row r="1680" spans="1:4" ht="15" customHeight="1">
      <c r="A1680" s="50">
        <v>44996</v>
      </c>
      <c r="B1680" s="49" t="s">
        <v>52</v>
      </c>
      <c r="C1680" s="51">
        <v>53816.6</v>
      </c>
      <c r="D1680" s="51">
        <v>0</v>
      </c>
    </row>
    <row r="1681" spans="1:4" ht="15" customHeight="1">
      <c r="A1681" s="50">
        <v>44996</v>
      </c>
      <c r="B1681" s="49" t="s">
        <v>53</v>
      </c>
      <c r="C1681" s="51">
        <v>53380.7</v>
      </c>
      <c r="D1681" s="51">
        <v>0</v>
      </c>
    </row>
    <row r="1682" spans="1:4" ht="15" customHeight="1">
      <c r="A1682" s="50">
        <v>44997</v>
      </c>
      <c r="B1682" s="49" t="s">
        <v>30</v>
      </c>
      <c r="C1682" s="51">
        <v>53958</v>
      </c>
      <c r="D1682" s="51">
        <v>0</v>
      </c>
    </row>
    <row r="1683" spans="1:4" ht="15" customHeight="1">
      <c r="A1683" s="50">
        <v>44997</v>
      </c>
      <c r="B1683" s="49" t="s">
        <v>31</v>
      </c>
      <c r="C1683" s="51">
        <v>54877</v>
      </c>
      <c r="D1683" s="51">
        <v>0</v>
      </c>
    </row>
    <row r="1684" spans="1:4" ht="15" customHeight="1">
      <c r="A1684" s="50">
        <v>44997</v>
      </c>
      <c r="B1684" s="49" t="s">
        <v>32</v>
      </c>
      <c r="C1684" s="51">
        <v>53762.6</v>
      </c>
      <c r="D1684" s="51">
        <v>0</v>
      </c>
    </row>
    <row r="1685" spans="1:4" ht="15" customHeight="1">
      <c r="A1685" s="50">
        <v>44997</v>
      </c>
      <c r="B1685" s="49" t="s">
        <v>33</v>
      </c>
      <c r="C1685" s="51">
        <v>53161</v>
      </c>
      <c r="D1685" s="51">
        <v>0</v>
      </c>
    </row>
    <row r="1686" spans="1:4" ht="15" customHeight="1">
      <c r="A1686" s="50">
        <v>44997</v>
      </c>
      <c r="B1686" s="49" t="s">
        <v>34</v>
      </c>
      <c r="C1686" s="51">
        <v>53223.199999999997</v>
      </c>
      <c r="D1686" s="51">
        <v>0</v>
      </c>
    </row>
    <row r="1687" spans="1:4" ht="15" customHeight="1">
      <c r="A1687" s="50">
        <v>44997</v>
      </c>
      <c r="B1687" s="49" t="s">
        <v>35</v>
      </c>
      <c r="C1687" s="51">
        <v>53005.7</v>
      </c>
      <c r="D1687" s="51">
        <v>0</v>
      </c>
    </row>
    <row r="1688" spans="1:4" ht="15" customHeight="1">
      <c r="A1688" s="50">
        <v>44997</v>
      </c>
      <c r="B1688" s="49" t="s">
        <v>36</v>
      </c>
      <c r="C1688" s="51">
        <v>53116.9</v>
      </c>
      <c r="D1688" s="51">
        <v>0</v>
      </c>
    </row>
    <row r="1689" spans="1:4" ht="15" customHeight="1">
      <c r="A1689" s="50">
        <v>44997</v>
      </c>
      <c r="B1689" s="49" t="s">
        <v>37</v>
      </c>
      <c r="C1689" s="51">
        <v>53336.5</v>
      </c>
      <c r="D1689" s="51">
        <v>0</v>
      </c>
    </row>
    <row r="1690" spans="1:4" ht="15" customHeight="1">
      <c r="A1690" s="50">
        <v>44997</v>
      </c>
      <c r="B1690" s="49" t="s">
        <v>38</v>
      </c>
      <c r="C1690" s="51">
        <v>53353.2</v>
      </c>
      <c r="D1690" s="51">
        <v>0</v>
      </c>
    </row>
    <row r="1691" spans="1:4" ht="15" customHeight="1">
      <c r="A1691" s="50">
        <v>44997</v>
      </c>
      <c r="B1691" s="49" t="s">
        <v>39</v>
      </c>
      <c r="C1691" s="51">
        <v>52328.3</v>
      </c>
      <c r="D1691" s="51">
        <v>0</v>
      </c>
    </row>
    <row r="1692" spans="1:4" ht="15" customHeight="1">
      <c r="A1692" s="50">
        <v>44997</v>
      </c>
      <c r="B1692" s="49" t="s">
        <v>40</v>
      </c>
      <c r="C1692" s="51">
        <v>51966.9</v>
      </c>
      <c r="D1692" s="51">
        <v>0</v>
      </c>
    </row>
    <row r="1693" spans="1:4" ht="15" customHeight="1">
      <c r="A1693" s="50">
        <v>44997</v>
      </c>
      <c r="B1693" s="49" t="s">
        <v>41</v>
      </c>
      <c r="C1693" s="51">
        <v>52070.6</v>
      </c>
      <c r="D1693" s="51">
        <v>0</v>
      </c>
    </row>
    <row r="1694" spans="1:4" ht="15" customHeight="1">
      <c r="A1694" s="50">
        <v>44997</v>
      </c>
      <c r="B1694" s="49" t="s">
        <v>42</v>
      </c>
      <c r="C1694" s="51">
        <v>52460.9</v>
      </c>
      <c r="D1694" s="51">
        <v>0</v>
      </c>
    </row>
    <row r="1695" spans="1:4" ht="15" customHeight="1">
      <c r="A1695" s="50">
        <v>44997</v>
      </c>
      <c r="B1695" s="49" t="s">
        <v>43</v>
      </c>
      <c r="C1695" s="51">
        <v>52508.4</v>
      </c>
      <c r="D1695" s="51">
        <v>0</v>
      </c>
    </row>
    <row r="1696" spans="1:4" ht="15" customHeight="1">
      <c r="A1696" s="50">
        <v>44997</v>
      </c>
      <c r="B1696" s="49" t="s">
        <v>44</v>
      </c>
      <c r="C1696" s="51">
        <v>52660.3</v>
      </c>
      <c r="D1696" s="51">
        <v>0</v>
      </c>
    </row>
    <row r="1697" spans="1:4" ht="15" customHeight="1">
      <c r="A1697" s="50">
        <v>44997</v>
      </c>
      <c r="B1697" s="49" t="s">
        <v>45</v>
      </c>
      <c r="C1697" s="51">
        <v>52682.5</v>
      </c>
      <c r="D1697" s="51">
        <v>0</v>
      </c>
    </row>
    <row r="1698" spans="1:4" ht="15" customHeight="1">
      <c r="A1698" s="50">
        <v>44997</v>
      </c>
      <c r="B1698" s="49" t="s">
        <v>46</v>
      </c>
      <c r="C1698" s="51">
        <v>52687.8</v>
      </c>
      <c r="D1698" s="51">
        <v>0</v>
      </c>
    </row>
    <row r="1699" spans="1:4" ht="15" customHeight="1">
      <c r="A1699" s="50">
        <v>44997</v>
      </c>
      <c r="B1699" s="49" t="s">
        <v>47</v>
      </c>
      <c r="C1699" s="51">
        <v>52646</v>
      </c>
      <c r="D1699" s="51">
        <v>0</v>
      </c>
    </row>
    <row r="1700" spans="1:4" ht="15" customHeight="1">
      <c r="A1700" s="50">
        <v>44997</v>
      </c>
      <c r="B1700" s="49" t="s">
        <v>48</v>
      </c>
      <c r="C1700" s="51">
        <v>51903.6</v>
      </c>
      <c r="D1700" s="51">
        <v>0</v>
      </c>
    </row>
    <row r="1701" spans="1:4" ht="15" customHeight="1">
      <c r="A1701" s="50">
        <v>44997</v>
      </c>
      <c r="B1701" s="49" t="s">
        <v>49</v>
      </c>
      <c r="C1701" s="51">
        <v>51246.7</v>
      </c>
      <c r="D1701" s="51">
        <v>0</v>
      </c>
    </row>
    <row r="1702" spans="1:4" ht="15" customHeight="1">
      <c r="A1702" s="50">
        <v>44997</v>
      </c>
      <c r="B1702" s="49" t="s">
        <v>50</v>
      </c>
      <c r="C1702" s="51">
        <v>52908.6</v>
      </c>
      <c r="D1702" s="51">
        <v>0</v>
      </c>
    </row>
    <row r="1703" spans="1:4" ht="15" customHeight="1">
      <c r="A1703" s="50">
        <v>44997</v>
      </c>
      <c r="B1703" s="49" t="s">
        <v>51</v>
      </c>
      <c r="C1703" s="51">
        <v>55096.3</v>
      </c>
      <c r="D1703" s="51">
        <v>0</v>
      </c>
    </row>
    <row r="1704" spans="1:4" ht="15" customHeight="1">
      <c r="A1704" s="50">
        <v>44997</v>
      </c>
      <c r="B1704" s="49" t="s">
        <v>52</v>
      </c>
      <c r="C1704" s="51">
        <v>54715.199999999997</v>
      </c>
      <c r="D1704" s="51">
        <v>0</v>
      </c>
    </row>
    <row r="1705" spans="1:4" ht="15" customHeight="1">
      <c r="A1705" s="50">
        <v>44997</v>
      </c>
      <c r="B1705" s="49" t="s">
        <v>53</v>
      </c>
      <c r="C1705" s="51">
        <v>54674.9</v>
      </c>
      <c r="D1705" s="51">
        <v>0</v>
      </c>
    </row>
    <row r="1706" spans="1:4" ht="15" customHeight="1">
      <c r="A1706" s="50">
        <v>44998</v>
      </c>
      <c r="B1706" s="49" t="s">
        <v>30</v>
      </c>
      <c r="C1706" s="51">
        <v>53322.8</v>
      </c>
      <c r="D1706" s="51">
        <v>0</v>
      </c>
    </row>
    <row r="1707" spans="1:4" ht="15" customHeight="1">
      <c r="A1707" s="50">
        <v>44998</v>
      </c>
      <c r="B1707" s="49" t="s">
        <v>31</v>
      </c>
      <c r="C1707" s="51">
        <v>53846.6</v>
      </c>
      <c r="D1707" s="51">
        <v>0</v>
      </c>
    </row>
    <row r="1708" spans="1:4" ht="15" customHeight="1">
      <c r="A1708" s="50">
        <v>44998</v>
      </c>
      <c r="B1708" s="49" t="s">
        <v>32</v>
      </c>
      <c r="C1708" s="51">
        <v>53793</v>
      </c>
      <c r="D1708" s="51">
        <v>0</v>
      </c>
    </row>
    <row r="1709" spans="1:4" ht="15" customHeight="1">
      <c r="A1709" s="50">
        <v>44998</v>
      </c>
      <c r="B1709" s="49" t="s">
        <v>33</v>
      </c>
      <c r="C1709" s="51">
        <v>53849.3</v>
      </c>
      <c r="D1709" s="51">
        <v>0</v>
      </c>
    </row>
    <row r="1710" spans="1:4" ht="15" customHeight="1">
      <c r="A1710" s="50">
        <v>44998</v>
      </c>
      <c r="B1710" s="49" t="s">
        <v>34</v>
      </c>
      <c r="C1710" s="51">
        <v>53109.599999999999</v>
      </c>
      <c r="D1710" s="51">
        <v>0</v>
      </c>
    </row>
    <row r="1711" spans="1:4" ht="15" customHeight="1">
      <c r="A1711" s="50">
        <v>44998</v>
      </c>
      <c r="B1711" s="49" t="s">
        <v>35</v>
      </c>
      <c r="C1711" s="51">
        <v>52246</v>
      </c>
      <c r="D1711" s="51">
        <v>0</v>
      </c>
    </row>
    <row r="1712" spans="1:4" ht="15" customHeight="1">
      <c r="A1712" s="50">
        <v>44998</v>
      </c>
      <c r="B1712" s="49" t="s">
        <v>36</v>
      </c>
      <c r="C1712" s="51">
        <v>52172.7</v>
      </c>
      <c r="D1712" s="51">
        <v>0</v>
      </c>
    </row>
    <row r="1713" spans="1:4" ht="15" customHeight="1">
      <c r="A1713" s="50">
        <v>44998</v>
      </c>
      <c r="B1713" s="49" t="s">
        <v>37</v>
      </c>
      <c r="C1713" s="51">
        <v>52233.5</v>
      </c>
      <c r="D1713" s="51">
        <v>0</v>
      </c>
    </row>
    <row r="1714" spans="1:4" ht="15" customHeight="1">
      <c r="A1714" s="50">
        <v>44998</v>
      </c>
      <c r="B1714" s="49" t="s">
        <v>38</v>
      </c>
      <c r="C1714" s="51">
        <v>52452.4</v>
      </c>
      <c r="D1714" s="51">
        <v>0</v>
      </c>
    </row>
    <row r="1715" spans="1:4" ht="15" customHeight="1">
      <c r="A1715" s="50">
        <v>44998</v>
      </c>
      <c r="B1715" s="49" t="s">
        <v>39</v>
      </c>
      <c r="C1715" s="51">
        <v>53267.3</v>
      </c>
      <c r="D1715" s="51">
        <v>0</v>
      </c>
    </row>
    <row r="1716" spans="1:4" ht="15" customHeight="1">
      <c r="A1716" s="50">
        <v>44998</v>
      </c>
      <c r="B1716" s="49" t="s">
        <v>40</v>
      </c>
      <c r="C1716" s="51">
        <v>53072.7</v>
      </c>
      <c r="D1716" s="51">
        <v>0</v>
      </c>
    </row>
    <row r="1717" spans="1:4" ht="15" customHeight="1">
      <c r="A1717" s="50">
        <v>44998</v>
      </c>
      <c r="B1717" s="49" t="s">
        <v>41</v>
      </c>
      <c r="C1717" s="51">
        <v>52947.7</v>
      </c>
      <c r="D1717" s="51">
        <v>0</v>
      </c>
    </row>
    <row r="1718" spans="1:4" ht="15" customHeight="1">
      <c r="A1718" s="50">
        <v>44998</v>
      </c>
      <c r="B1718" s="49" t="s">
        <v>42</v>
      </c>
      <c r="C1718" s="51">
        <v>52974.400000000001</v>
      </c>
      <c r="D1718" s="51">
        <v>0</v>
      </c>
    </row>
    <row r="1719" spans="1:4" ht="15" customHeight="1">
      <c r="A1719" s="50">
        <v>44998</v>
      </c>
      <c r="B1719" s="49" t="s">
        <v>43</v>
      </c>
      <c r="C1719" s="51">
        <v>53227.9</v>
      </c>
      <c r="D1719" s="51">
        <v>0</v>
      </c>
    </row>
    <row r="1720" spans="1:4" ht="15" customHeight="1">
      <c r="A1720" s="50">
        <v>44998</v>
      </c>
      <c r="B1720" s="49" t="s">
        <v>44</v>
      </c>
      <c r="C1720" s="51">
        <v>53083.7</v>
      </c>
      <c r="D1720" s="51">
        <v>0</v>
      </c>
    </row>
    <row r="1721" spans="1:4" ht="15" customHeight="1">
      <c r="A1721" s="50">
        <v>44998</v>
      </c>
      <c r="B1721" s="49" t="s">
        <v>45</v>
      </c>
      <c r="C1721" s="51">
        <v>53081.5</v>
      </c>
      <c r="D1721" s="51">
        <v>0</v>
      </c>
    </row>
    <row r="1722" spans="1:4" ht="15" customHeight="1">
      <c r="A1722" s="50">
        <v>44998</v>
      </c>
      <c r="B1722" s="49" t="s">
        <v>46</v>
      </c>
      <c r="C1722" s="51">
        <v>53000.1</v>
      </c>
      <c r="D1722" s="51">
        <v>0</v>
      </c>
    </row>
    <row r="1723" spans="1:4" ht="15" customHeight="1">
      <c r="A1723" s="50">
        <v>44998</v>
      </c>
      <c r="B1723" s="49" t="s">
        <v>47</v>
      </c>
      <c r="C1723" s="51">
        <v>52739.5</v>
      </c>
      <c r="D1723" s="51">
        <v>0</v>
      </c>
    </row>
    <row r="1724" spans="1:4" ht="15" customHeight="1">
      <c r="A1724" s="50">
        <v>44998</v>
      </c>
      <c r="B1724" s="49" t="s">
        <v>48</v>
      </c>
      <c r="C1724" s="51">
        <v>53466.400000000001</v>
      </c>
      <c r="D1724" s="51">
        <v>0</v>
      </c>
    </row>
    <row r="1725" spans="1:4" ht="15" customHeight="1">
      <c r="A1725" s="50">
        <v>44998</v>
      </c>
      <c r="B1725" s="49" t="s">
        <v>49</v>
      </c>
      <c r="C1725" s="51">
        <v>53139.6</v>
      </c>
      <c r="D1725" s="51">
        <v>0</v>
      </c>
    </row>
    <row r="1726" spans="1:4" ht="15" customHeight="1">
      <c r="A1726" s="50">
        <v>44998</v>
      </c>
      <c r="B1726" s="49" t="s">
        <v>50</v>
      </c>
      <c r="C1726" s="51">
        <v>52998.7</v>
      </c>
      <c r="D1726" s="51">
        <v>0</v>
      </c>
    </row>
    <row r="1727" spans="1:4" ht="15" customHeight="1">
      <c r="A1727" s="50">
        <v>44998</v>
      </c>
      <c r="B1727" s="49" t="s">
        <v>51</v>
      </c>
      <c r="C1727" s="51">
        <v>53071.4</v>
      </c>
      <c r="D1727" s="51">
        <v>0</v>
      </c>
    </row>
    <row r="1728" spans="1:4" ht="15" customHeight="1">
      <c r="A1728" s="50">
        <v>44998</v>
      </c>
      <c r="B1728" s="49" t="s">
        <v>52</v>
      </c>
      <c r="C1728" s="51">
        <v>54113.4</v>
      </c>
      <c r="D1728" s="51">
        <v>0</v>
      </c>
    </row>
    <row r="1729" spans="1:4" ht="15" customHeight="1">
      <c r="A1729" s="50">
        <v>44998</v>
      </c>
      <c r="B1729" s="49" t="s">
        <v>53</v>
      </c>
      <c r="C1729" s="51">
        <v>54068.9</v>
      </c>
      <c r="D1729" s="51">
        <v>0</v>
      </c>
    </row>
    <row r="1730" spans="1:4" ht="15" customHeight="1">
      <c r="A1730" s="50">
        <v>44999</v>
      </c>
      <c r="B1730" s="49" t="s">
        <v>30</v>
      </c>
      <c r="C1730" s="51">
        <v>53907.1</v>
      </c>
      <c r="D1730" s="51">
        <v>0</v>
      </c>
    </row>
    <row r="1731" spans="1:4" ht="15" customHeight="1">
      <c r="A1731" s="50">
        <v>44999</v>
      </c>
      <c r="B1731" s="49" t="s">
        <v>31</v>
      </c>
      <c r="C1731" s="51">
        <v>54396.6</v>
      </c>
      <c r="D1731" s="51">
        <v>0</v>
      </c>
    </row>
    <row r="1732" spans="1:4" ht="15" customHeight="1">
      <c r="A1732" s="50">
        <v>44999</v>
      </c>
      <c r="B1732" s="49" t="s">
        <v>32</v>
      </c>
      <c r="C1732" s="51">
        <v>54516.2</v>
      </c>
      <c r="D1732" s="51">
        <v>0</v>
      </c>
    </row>
    <row r="1733" spans="1:4" ht="15" customHeight="1">
      <c r="A1733" s="50">
        <v>44999</v>
      </c>
      <c r="B1733" s="49" t="s">
        <v>33</v>
      </c>
      <c r="C1733" s="51">
        <v>54491.4</v>
      </c>
      <c r="D1733" s="51">
        <v>0</v>
      </c>
    </row>
    <row r="1734" spans="1:4" ht="15" customHeight="1">
      <c r="A1734" s="50">
        <v>44999</v>
      </c>
      <c r="B1734" s="49" t="s">
        <v>34</v>
      </c>
      <c r="C1734" s="51">
        <v>53497</v>
      </c>
      <c r="D1734" s="51">
        <v>0</v>
      </c>
    </row>
    <row r="1735" spans="1:4" ht="15" customHeight="1">
      <c r="A1735" s="50">
        <v>44999</v>
      </c>
      <c r="B1735" s="49" t="s">
        <v>35</v>
      </c>
      <c r="C1735" s="51">
        <v>53239.9</v>
      </c>
      <c r="D1735" s="51">
        <v>0</v>
      </c>
    </row>
    <row r="1736" spans="1:4" ht="15" customHeight="1">
      <c r="A1736" s="50">
        <v>44999</v>
      </c>
      <c r="B1736" s="49" t="s">
        <v>36</v>
      </c>
      <c r="C1736" s="51">
        <v>53088.5</v>
      </c>
      <c r="D1736" s="51">
        <v>0</v>
      </c>
    </row>
    <row r="1737" spans="1:4" ht="15" customHeight="1">
      <c r="A1737" s="50">
        <v>44999</v>
      </c>
      <c r="B1737" s="49" t="s">
        <v>37</v>
      </c>
      <c r="C1737" s="51">
        <v>52335.6</v>
      </c>
      <c r="D1737" s="51">
        <v>0</v>
      </c>
    </row>
    <row r="1738" spans="1:4" ht="15" customHeight="1">
      <c r="A1738" s="50">
        <v>44999</v>
      </c>
      <c r="B1738" s="49" t="s">
        <v>38</v>
      </c>
      <c r="C1738" s="51">
        <v>52795.9</v>
      </c>
      <c r="D1738" s="51">
        <v>0</v>
      </c>
    </row>
    <row r="1739" spans="1:4" ht="15" customHeight="1">
      <c r="A1739" s="50">
        <v>44999</v>
      </c>
      <c r="B1739" s="49" t="s">
        <v>39</v>
      </c>
      <c r="C1739" s="51">
        <v>52998.9</v>
      </c>
      <c r="D1739" s="51">
        <v>0</v>
      </c>
    </row>
    <row r="1740" spans="1:4" ht="15" customHeight="1">
      <c r="A1740" s="50">
        <v>44999</v>
      </c>
      <c r="B1740" s="49" t="s">
        <v>40</v>
      </c>
      <c r="C1740" s="51">
        <v>53378.400000000001</v>
      </c>
      <c r="D1740" s="51">
        <v>0</v>
      </c>
    </row>
    <row r="1741" spans="1:4" ht="15" customHeight="1">
      <c r="A1741" s="50">
        <v>44999</v>
      </c>
      <c r="B1741" s="49" t="s">
        <v>41</v>
      </c>
      <c r="C1741" s="51">
        <v>53343.1</v>
      </c>
      <c r="D1741" s="51">
        <v>0</v>
      </c>
    </row>
    <row r="1742" spans="1:4" ht="15" customHeight="1">
      <c r="A1742" s="50">
        <v>44999</v>
      </c>
      <c r="B1742" s="49" t="s">
        <v>42</v>
      </c>
      <c r="C1742" s="51">
        <v>53397.4</v>
      </c>
      <c r="D1742" s="51">
        <v>0</v>
      </c>
    </row>
    <row r="1743" spans="1:4" ht="15" customHeight="1">
      <c r="A1743" s="50">
        <v>44999</v>
      </c>
      <c r="B1743" s="49" t="s">
        <v>43</v>
      </c>
      <c r="C1743" s="51">
        <v>53474.1</v>
      </c>
      <c r="D1743" s="51">
        <v>0</v>
      </c>
    </row>
    <row r="1744" spans="1:4" ht="15" customHeight="1">
      <c r="A1744" s="50">
        <v>44999</v>
      </c>
      <c r="B1744" s="49" t="s">
        <v>44</v>
      </c>
      <c r="C1744" s="51">
        <v>53491.1</v>
      </c>
      <c r="D1744" s="51">
        <v>0</v>
      </c>
    </row>
    <row r="1745" spans="1:4" ht="15" customHeight="1">
      <c r="A1745" s="50">
        <v>44999</v>
      </c>
      <c r="B1745" s="49" t="s">
        <v>45</v>
      </c>
      <c r="C1745" s="51">
        <v>53417.4</v>
      </c>
      <c r="D1745" s="51">
        <v>0</v>
      </c>
    </row>
    <row r="1746" spans="1:4" ht="15" customHeight="1">
      <c r="A1746" s="50">
        <v>44999</v>
      </c>
      <c r="B1746" s="49" t="s">
        <v>46</v>
      </c>
      <c r="C1746" s="51">
        <v>53165.9</v>
      </c>
      <c r="D1746" s="51">
        <v>0</v>
      </c>
    </row>
    <row r="1747" spans="1:4" ht="15" customHeight="1">
      <c r="A1747" s="50">
        <v>44999</v>
      </c>
      <c r="B1747" s="49" t="s">
        <v>47</v>
      </c>
      <c r="C1747" s="51">
        <v>53482.2</v>
      </c>
      <c r="D1747" s="51">
        <v>0</v>
      </c>
    </row>
    <row r="1748" spans="1:4" ht="15" customHeight="1">
      <c r="A1748" s="50">
        <v>44999</v>
      </c>
      <c r="B1748" s="49" t="s">
        <v>48</v>
      </c>
      <c r="C1748" s="51">
        <v>53832.3</v>
      </c>
      <c r="D1748" s="51">
        <v>0</v>
      </c>
    </row>
    <row r="1749" spans="1:4" ht="15" customHeight="1">
      <c r="A1749" s="50">
        <v>44999</v>
      </c>
      <c r="B1749" s="49" t="s">
        <v>49</v>
      </c>
      <c r="C1749" s="51">
        <v>53277.4</v>
      </c>
      <c r="D1749" s="51">
        <v>0</v>
      </c>
    </row>
    <row r="1750" spans="1:4" ht="15" customHeight="1">
      <c r="A1750" s="50">
        <v>44999</v>
      </c>
      <c r="B1750" s="49" t="s">
        <v>50</v>
      </c>
      <c r="C1750" s="51">
        <v>53451.199999999997</v>
      </c>
      <c r="D1750" s="51">
        <v>0</v>
      </c>
    </row>
    <row r="1751" spans="1:4" ht="15" customHeight="1">
      <c r="A1751" s="50">
        <v>44999</v>
      </c>
      <c r="B1751" s="49" t="s">
        <v>51</v>
      </c>
      <c r="C1751" s="51">
        <v>53232.800000000003</v>
      </c>
      <c r="D1751" s="51">
        <v>0</v>
      </c>
    </row>
    <row r="1752" spans="1:4" ht="15" customHeight="1">
      <c r="A1752" s="50">
        <v>44999</v>
      </c>
      <c r="B1752" s="49" t="s">
        <v>52</v>
      </c>
      <c r="C1752" s="51">
        <v>53418.2</v>
      </c>
      <c r="D1752" s="51">
        <v>0</v>
      </c>
    </row>
    <row r="1753" spans="1:4" ht="15" customHeight="1">
      <c r="A1753" s="50">
        <v>44999</v>
      </c>
      <c r="B1753" s="49" t="s">
        <v>53</v>
      </c>
      <c r="C1753" s="51">
        <v>53556.7</v>
      </c>
      <c r="D1753" s="51">
        <v>0</v>
      </c>
    </row>
    <row r="1754" spans="1:4" ht="15" customHeight="1">
      <c r="A1754" s="50">
        <v>45000</v>
      </c>
      <c r="B1754" s="49" t="s">
        <v>30</v>
      </c>
      <c r="C1754" s="51">
        <v>53766.8</v>
      </c>
      <c r="D1754" s="51">
        <v>0</v>
      </c>
    </row>
    <row r="1755" spans="1:4" ht="15" customHeight="1">
      <c r="A1755" s="50">
        <v>45000</v>
      </c>
      <c r="B1755" s="49" t="s">
        <v>31</v>
      </c>
      <c r="C1755" s="51">
        <v>54292.5</v>
      </c>
      <c r="D1755" s="51">
        <v>0</v>
      </c>
    </row>
    <row r="1756" spans="1:4" ht="15" customHeight="1">
      <c r="A1756" s="50">
        <v>45000</v>
      </c>
      <c r="B1756" s="49" t="s">
        <v>32</v>
      </c>
      <c r="C1756" s="51">
        <v>54450.1</v>
      </c>
      <c r="D1756" s="51">
        <v>0</v>
      </c>
    </row>
    <row r="1757" spans="1:4" ht="15" customHeight="1">
      <c r="A1757" s="50">
        <v>45000</v>
      </c>
      <c r="B1757" s="49" t="s">
        <v>33</v>
      </c>
      <c r="C1757" s="51">
        <v>53252.800000000003</v>
      </c>
      <c r="D1757" s="51">
        <v>0</v>
      </c>
    </row>
    <row r="1758" spans="1:4" ht="15" customHeight="1">
      <c r="A1758" s="50">
        <v>45000</v>
      </c>
      <c r="B1758" s="49" t="s">
        <v>34</v>
      </c>
      <c r="C1758" s="51">
        <v>53729.4</v>
      </c>
      <c r="D1758" s="51">
        <v>0</v>
      </c>
    </row>
    <row r="1759" spans="1:4" ht="15" customHeight="1">
      <c r="A1759" s="50">
        <v>45000</v>
      </c>
      <c r="B1759" s="49" t="s">
        <v>35</v>
      </c>
      <c r="C1759" s="51">
        <v>53664.2</v>
      </c>
      <c r="D1759" s="51">
        <v>0</v>
      </c>
    </row>
    <row r="1760" spans="1:4" ht="15" customHeight="1">
      <c r="A1760" s="50">
        <v>45000</v>
      </c>
      <c r="B1760" s="49" t="s">
        <v>36</v>
      </c>
      <c r="C1760" s="51">
        <v>53489.599999999999</v>
      </c>
      <c r="D1760" s="51">
        <v>0</v>
      </c>
    </row>
    <row r="1761" spans="1:4" ht="15" customHeight="1">
      <c r="A1761" s="50">
        <v>45000</v>
      </c>
      <c r="B1761" s="49" t="s">
        <v>37</v>
      </c>
      <c r="C1761" s="51">
        <v>53774.3</v>
      </c>
      <c r="D1761" s="51">
        <v>0</v>
      </c>
    </row>
    <row r="1762" spans="1:4" ht="15" customHeight="1">
      <c r="A1762" s="50">
        <v>45000</v>
      </c>
      <c r="B1762" s="49" t="s">
        <v>38</v>
      </c>
      <c r="C1762" s="51">
        <v>53525.4</v>
      </c>
      <c r="D1762" s="51">
        <v>0</v>
      </c>
    </row>
    <row r="1763" spans="1:4" ht="15" customHeight="1">
      <c r="A1763" s="50">
        <v>45000</v>
      </c>
      <c r="B1763" s="49" t="s">
        <v>39</v>
      </c>
      <c r="C1763" s="51">
        <v>53297.4</v>
      </c>
      <c r="D1763" s="51">
        <v>0</v>
      </c>
    </row>
    <row r="1764" spans="1:4" ht="15" customHeight="1">
      <c r="A1764" s="50">
        <v>45000</v>
      </c>
      <c r="B1764" s="49" t="s">
        <v>40</v>
      </c>
      <c r="C1764" s="51">
        <v>53382.8</v>
      </c>
      <c r="D1764" s="51">
        <v>0</v>
      </c>
    </row>
    <row r="1765" spans="1:4" ht="15" customHeight="1">
      <c r="A1765" s="50">
        <v>45000</v>
      </c>
      <c r="B1765" s="49" t="s">
        <v>41</v>
      </c>
      <c r="C1765" s="51">
        <v>53586.8</v>
      </c>
      <c r="D1765" s="51">
        <v>0</v>
      </c>
    </row>
    <row r="1766" spans="1:4" ht="15" customHeight="1">
      <c r="A1766" s="50">
        <v>45000</v>
      </c>
      <c r="B1766" s="49" t="s">
        <v>42</v>
      </c>
      <c r="C1766" s="51">
        <v>53468.1</v>
      </c>
      <c r="D1766" s="51">
        <v>0</v>
      </c>
    </row>
    <row r="1767" spans="1:4" ht="15" customHeight="1">
      <c r="A1767" s="50">
        <v>45000</v>
      </c>
      <c r="B1767" s="49" t="s">
        <v>43</v>
      </c>
      <c r="C1767" s="51">
        <v>53235.4</v>
      </c>
      <c r="D1767" s="51">
        <v>0</v>
      </c>
    </row>
    <row r="1768" spans="1:4" ht="15" customHeight="1">
      <c r="A1768" s="50">
        <v>45000</v>
      </c>
      <c r="B1768" s="49" t="s">
        <v>44</v>
      </c>
      <c r="C1768" s="51">
        <v>52982</v>
      </c>
      <c r="D1768" s="51">
        <v>0</v>
      </c>
    </row>
    <row r="1769" spans="1:4" ht="15" customHeight="1">
      <c r="A1769" s="50">
        <v>45000</v>
      </c>
      <c r="B1769" s="49" t="s">
        <v>45</v>
      </c>
      <c r="C1769" s="51">
        <v>53112</v>
      </c>
      <c r="D1769" s="51">
        <v>0</v>
      </c>
    </row>
    <row r="1770" spans="1:4" ht="15" customHeight="1">
      <c r="A1770" s="50">
        <v>45000</v>
      </c>
      <c r="B1770" s="49" t="s">
        <v>46</v>
      </c>
      <c r="C1770" s="51">
        <v>52876.4</v>
      </c>
      <c r="D1770" s="51">
        <v>0</v>
      </c>
    </row>
    <row r="1771" spans="1:4" ht="15" customHeight="1">
      <c r="A1771" s="50">
        <v>45000</v>
      </c>
      <c r="B1771" s="49" t="s">
        <v>47</v>
      </c>
      <c r="C1771" s="51">
        <v>52748.9</v>
      </c>
      <c r="D1771" s="51">
        <v>0</v>
      </c>
    </row>
    <row r="1772" spans="1:4" ht="15" customHeight="1">
      <c r="A1772" s="50">
        <v>45000</v>
      </c>
      <c r="B1772" s="49" t="s">
        <v>48</v>
      </c>
      <c r="C1772" s="51">
        <v>52813.3</v>
      </c>
      <c r="D1772" s="51">
        <v>0</v>
      </c>
    </row>
    <row r="1773" spans="1:4" ht="15" customHeight="1">
      <c r="A1773" s="50">
        <v>45000</v>
      </c>
      <c r="B1773" s="49" t="s">
        <v>49</v>
      </c>
      <c r="C1773" s="51">
        <v>52484.800000000003</v>
      </c>
      <c r="D1773" s="51">
        <v>0</v>
      </c>
    </row>
    <row r="1774" spans="1:4" ht="15" customHeight="1">
      <c r="A1774" s="50">
        <v>45000</v>
      </c>
      <c r="B1774" s="49" t="s">
        <v>50</v>
      </c>
      <c r="C1774" s="51">
        <v>54698.8</v>
      </c>
      <c r="D1774" s="51">
        <v>0</v>
      </c>
    </row>
    <row r="1775" spans="1:4" ht="15" customHeight="1">
      <c r="A1775" s="50">
        <v>45000</v>
      </c>
      <c r="B1775" s="49" t="s">
        <v>51</v>
      </c>
      <c r="C1775" s="51">
        <v>54769.599999999999</v>
      </c>
      <c r="D1775" s="51">
        <v>0</v>
      </c>
    </row>
    <row r="1776" spans="1:4" ht="15" customHeight="1">
      <c r="A1776" s="50">
        <v>45000</v>
      </c>
      <c r="B1776" s="49" t="s">
        <v>52</v>
      </c>
      <c r="C1776" s="51">
        <v>54866.5</v>
      </c>
      <c r="D1776" s="51">
        <v>0</v>
      </c>
    </row>
    <row r="1777" spans="1:4" ht="15" customHeight="1">
      <c r="A1777" s="50">
        <v>45000</v>
      </c>
      <c r="B1777" s="49" t="s">
        <v>53</v>
      </c>
      <c r="C1777" s="51">
        <v>54773.7</v>
      </c>
      <c r="D1777" s="51">
        <v>0</v>
      </c>
    </row>
    <row r="1778" spans="1:4" ht="15" customHeight="1">
      <c r="A1778" s="50">
        <v>45001</v>
      </c>
      <c r="B1778" s="49" t="s">
        <v>30</v>
      </c>
      <c r="C1778" s="51">
        <v>54916.1</v>
      </c>
      <c r="D1778" s="51">
        <v>0</v>
      </c>
    </row>
    <row r="1779" spans="1:4" ht="15" customHeight="1">
      <c r="A1779" s="50">
        <v>45001</v>
      </c>
      <c r="B1779" s="49" t="s">
        <v>31</v>
      </c>
      <c r="C1779" s="51">
        <v>54743</v>
      </c>
      <c r="D1779" s="51">
        <v>0</v>
      </c>
    </row>
    <row r="1780" spans="1:4" ht="15" customHeight="1">
      <c r="A1780" s="50">
        <v>45001</v>
      </c>
      <c r="B1780" s="49" t="s">
        <v>32</v>
      </c>
      <c r="C1780" s="51">
        <v>53709.7</v>
      </c>
      <c r="D1780" s="51">
        <v>0</v>
      </c>
    </row>
    <row r="1781" spans="1:4" ht="15" customHeight="1">
      <c r="A1781" s="50">
        <v>45001</v>
      </c>
      <c r="B1781" s="49" t="s">
        <v>33</v>
      </c>
      <c r="C1781" s="51">
        <v>53636.9</v>
      </c>
      <c r="D1781" s="51">
        <v>0</v>
      </c>
    </row>
    <row r="1782" spans="1:4" ht="15" customHeight="1">
      <c r="A1782" s="50">
        <v>45001</v>
      </c>
      <c r="B1782" s="49" t="s">
        <v>34</v>
      </c>
      <c r="C1782" s="51">
        <v>53824.7</v>
      </c>
      <c r="D1782" s="51">
        <v>0</v>
      </c>
    </row>
    <row r="1783" spans="1:4" ht="15" customHeight="1">
      <c r="A1783" s="50">
        <v>45001</v>
      </c>
      <c r="B1783" s="49" t="s">
        <v>35</v>
      </c>
      <c r="C1783" s="51">
        <v>17265.599999999999</v>
      </c>
      <c r="D1783" s="51">
        <v>0</v>
      </c>
    </row>
    <row r="1784" spans="1:4" ht="15" customHeight="1">
      <c r="A1784" s="50">
        <v>45001</v>
      </c>
      <c r="B1784" s="49" t="s">
        <v>36</v>
      </c>
      <c r="C1784" s="51">
        <v>480.7</v>
      </c>
      <c r="D1784" s="51">
        <v>699.4</v>
      </c>
    </row>
    <row r="1785" spans="1:4" ht="15" customHeight="1">
      <c r="A1785" s="50">
        <v>45001</v>
      </c>
      <c r="B1785" s="49" t="s">
        <v>37</v>
      </c>
      <c r="C1785" s="51">
        <v>18006.400000000001</v>
      </c>
      <c r="D1785" s="51">
        <v>9.5</v>
      </c>
    </row>
    <row r="1786" spans="1:4" ht="15" customHeight="1">
      <c r="A1786" s="50">
        <v>45001</v>
      </c>
      <c r="B1786" s="49" t="s">
        <v>38</v>
      </c>
      <c r="C1786" s="51">
        <v>42955.5</v>
      </c>
      <c r="D1786" s="51">
        <v>0</v>
      </c>
    </row>
    <row r="1787" spans="1:4" ht="15" customHeight="1">
      <c r="A1787" s="50">
        <v>45001</v>
      </c>
      <c r="B1787" s="49" t="s">
        <v>39</v>
      </c>
      <c r="C1787" s="51">
        <v>53620.2</v>
      </c>
      <c r="D1787" s="51">
        <v>0</v>
      </c>
    </row>
    <row r="1788" spans="1:4" ht="15" customHeight="1">
      <c r="A1788" s="50">
        <v>45001</v>
      </c>
      <c r="B1788" s="49" t="s">
        <v>40</v>
      </c>
      <c r="C1788" s="51">
        <v>53554.1</v>
      </c>
      <c r="D1788" s="51">
        <v>0</v>
      </c>
    </row>
    <row r="1789" spans="1:4" ht="15" customHeight="1">
      <c r="A1789" s="50">
        <v>45001</v>
      </c>
      <c r="B1789" s="49" t="s">
        <v>41</v>
      </c>
      <c r="C1789" s="51">
        <v>52564.2</v>
      </c>
      <c r="D1789" s="51">
        <v>0</v>
      </c>
    </row>
    <row r="1790" spans="1:4" ht="15" customHeight="1">
      <c r="A1790" s="50">
        <v>45001</v>
      </c>
      <c r="B1790" s="49" t="s">
        <v>42</v>
      </c>
      <c r="C1790" s="51">
        <v>52575.8</v>
      </c>
      <c r="D1790" s="51">
        <v>0</v>
      </c>
    </row>
    <row r="1791" spans="1:4" ht="15" customHeight="1">
      <c r="A1791" s="50">
        <v>45001</v>
      </c>
      <c r="B1791" s="49" t="s">
        <v>43</v>
      </c>
      <c r="C1791" s="51">
        <v>52627</v>
      </c>
      <c r="D1791" s="51">
        <v>0</v>
      </c>
    </row>
    <row r="1792" spans="1:4" ht="15" customHeight="1">
      <c r="A1792" s="50">
        <v>45001</v>
      </c>
      <c r="B1792" s="49" t="s">
        <v>44</v>
      </c>
      <c r="C1792" s="51">
        <v>52645.3</v>
      </c>
      <c r="D1792" s="51">
        <v>0</v>
      </c>
    </row>
    <row r="1793" spans="1:4" ht="15" customHeight="1">
      <c r="A1793" s="50">
        <v>45001</v>
      </c>
      <c r="B1793" s="49" t="s">
        <v>45</v>
      </c>
      <c r="C1793" s="51">
        <v>52603.4</v>
      </c>
      <c r="D1793" s="51">
        <v>0</v>
      </c>
    </row>
    <row r="1794" spans="1:4" ht="15" customHeight="1">
      <c r="A1794" s="50">
        <v>45001</v>
      </c>
      <c r="B1794" s="49" t="s">
        <v>46</v>
      </c>
      <c r="C1794" s="51">
        <v>52527.3</v>
      </c>
      <c r="D1794" s="51">
        <v>0</v>
      </c>
    </row>
    <row r="1795" spans="1:4" ht="15" customHeight="1">
      <c r="A1795" s="50">
        <v>45001</v>
      </c>
      <c r="B1795" s="49" t="s">
        <v>47</v>
      </c>
      <c r="C1795" s="51">
        <v>52563</v>
      </c>
      <c r="D1795" s="51">
        <v>0</v>
      </c>
    </row>
    <row r="1796" spans="1:4" ht="15" customHeight="1">
      <c r="A1796" s="50">
        <v>45001</v>
      </c>
      <c r="B1796" s="49" t="s">
        <v>48</v>
      </c>
      <c r="C1796" s="51">
        <v>52661.1</v>
      </c>
      <c r="D1796" s="51">
        <v>0</v>
      </c>
    </row>
    <row r="1797" spans="1:4" ht="15" customHeight="1">
      <c r="A1797" s="50">
        <v>45001</v>
      </c>
      <c r="B1797" s="49" t="s">
        <v>49</v>
      </c>
      <c r="C1797" s="51">
        <v>52686.2</v>
      </c>
      <c r="D1797" s="51">
        <v>0</v>
      </c>
    </row>
    <row r="1798" spans="1:4" ht="15" customHeight="1">
      <c r="A1798" s="50">
        <v>45001</v>
      </c>
      <c r="B1798" s="49" t="s">
        <v>50</v>
      </c>
      <c r="C1798" s="51">
        <v>52570.6</v>
      </c>
      <c r="D1798" s="51">
        <v>0</v>
      </c>
    </row>
    <row r="1799" spans="1:4" ht="15" customHeight="1">
      <c r="A1799" s="50">
        <v>45001</v>
      </c>
      <c r="B1799" s="49" t="s">
        <v>51</v>
      </c>
      <c r="C1799" s="51">
        <v>52659.9</v>
      </c>
      <c r="D1799" s="51">
        <v>0</v>
      </c>
    </row>
    <row r="1800" spans="1:4" ht="15" customHeight="1">
      <c r="A1800" s="50">
        <v>45001</v>
      </c>
      <c r="B1800" s="49" t="s">
        <v>52</v>
      </c>
      <c r="C1800" s="51">
        <v>53834.8</v>
      </c>
      <c r="D1800" s="51">
        <v>0</v>
      </c>
    </row>
    <row r="1801" spans="1:4" ht="15" customHeight="1">
      <c r="A1801" s="50">
        <v>45001</v>
      </c>
      <c r="B1801" s="49" t="s">
        <v>53</v>
      </c>
      <c r="C1801" s="51">
        <v>53857</v>
      </c>
      <c r="D1801" s="51">
        <v>0</v>
      </c>
    </row>
    <row r="1802" spans="1:4" ht="15" customHeight="1">
      <c r="A1802" s="50">
        <v>45002</v>
      </c>
      <c r="B1802" s="49" t="s">
        <v>30</v>
      </c>
      <c r="C1802" s="51">
        <v>53713.5</v>
      </c>
      <c r="D1802" s="51">
        <v>0</v>
      </c>
    </row>
    <row r="1803" spans="1:4" ht="15" customHeight="1">
      <c r="A1803" s="50">
        <v>45002</v>
      </c>
      <c r="B1803" s="49" t="s">
        <v>31</v>
      </c>
      <c r="C1803" s="51">
        <v>53966.1</v>
      </c>
      <c r="D1803" s="51">
        <v>0</v>
      </c>
    </row>
    <row r="1804" spans="1:4" ht="15" customHeight="1">
      <c r="A1804" s="50">
        <v>45002</v>
      </c>
      <c r="B1804" s="49" t="s">
        <v>32</v>
      </c>
      <c r="C1804" s="51">
        <v>54021.4</v>
      </c>
      <c r="D1804" s="51">
        <v>0</v>
      </c>
    </row>
    <row r="1805" spans="1:4" ht="15" customHeight="1">
      <c r="A1805" s="50">
        <v>45002</v>
      </c>
      <c r="B1805" s="49" t="s">
        <v>33</v>
      </c>
      <c r="C1805" s="51">
        <v>54083.199999999997</v>
      </c>
      <c r="D1805" s="51">
        <v>0</v>
      </c>
    </row>
    <row r="1806" spans="1:4" ht="15" customHeight="1">
      <c r="A1806" s="50">
        <v>45002</v>
      </c>
      <c r="B1806" s="49" t="s">
        <v>34</v>
      </c>
      <c r="C1806" s="51">
        <v>54467.4</v>
      </c>
      <c r="D1806" s="51">
        <v>0</v>
      </c>
    </row>
    <row r="1807" spans="1:4" ht="15" customHeight="1">
      <c r="A1807" s="50">
        <v>45002</v>
      </c>
      <c r="B1807" s="49" t="s">
        <v>35</v>
      </c>
      <c r="C1807" s="51">
        <v>16998</v>
      </c>
      <c r="D1807" s="51">
        <v>0</v>
      </c>
    </row>
    <row r="1808" spans="1:4" ht="15" customHeight="1">
      <c r="A1808" s="50">
        <v>45002</v>
      </c>
      <c r="B1808" s="49" t="s">
        <v>36</v>
      </c>
      <c r="C1808" s="51">
        <v>47.2</v>
      </c>
      <c r="D1808" s="51">
        <v>672.9</v>
      </c>
    </row>
    <row r="1809" spans="1:4" ht="15" customHeight="1">
      <c r="A1809" s="50">
        <v>45002</v>
      </c>
      <c r="B1809" s="49" t="s">
        <v>37</v>
      </c>
      <c r="C1809" s="51">
        <v>16713.8</v>
      </c>
      <c r="D1809" s="51">
        <v>21</v>
      </c>
    </row>
    <row r="1810" spans="1:4" ht="15" customHeight="1">
      <c r="A1810" s="50">
        <v>45002</v>
      </c>
      <c r="B1810" s="49" t="s">
        <v>38</v>
      </c>
      <c r="C1810" s="51">
        <v>42911</v>
      </c>
      <c r="D1810" s="51">
        <v>0</v>
      </c>
    </row>
    <row r="1811" spans="1:4" ht="15" customHeight="1">
      <c r="A1811" s="50">
        <v>45002</v>
      </c>
      <c r="B1811" s="49" t="s">
        <v>39</v>
      </c>
      <c r="C1811" s="51">
        <v>53916</v>
      </c>
      <c r="D1811" s="51">
        <v>0</v>
      </c>
    </row>
    <row r="1812" spans="1:4" ht="15" customHeight="1">
      <c r="A1812" s="50">
        <v>45002</v>
      </c>
      <c r="B1812" s="49" t="s">
        <v>40</v>
      </c>
      <c r="C1812" s="51">
        <v>54965.3</v>
      </c>
      <c r="D1812" s="51">
        <v>0</v>
      </c>
    </row>
    <row r="1813" spans="1:4" ht="15" customHeight="1">
      <c r="A1813" s="50">
        <v>45002</v>
      </c>
      <c r="B1813" s="49" t="s">
        <v>41</v>
      </c>
      <c r="C1813" s="51">
        <v>54467.5</v>
      </c>
      <c r="D1813" s="51">
        <v>0</v>
      </c>
    </row>
    <row r="1814" spans="1:4" ht="15" customHeight="1">
      <c r="A1814" s="50">
        <v>45002</v>
      </c>
      <c r="B1814" s="49" t="s">
        <v>42</v>
      </c>
      <c r="C1814" s="51">
        <v>54499.8</v>
      </c>
      <c r="D1814" s="51">
        <v>0</v>
      </c>
    </row>
    <row r="1815" spans="1:4" ht="15" customHeight="1">
      <c r="A1815" s="50">
        <v>45002</v>
      </c>
      <c r="B1815" s="49" t="s">
        <v>43</v>
      </c>
      <c r="C1815" s="51">
        <v>54448</v>
      </c>
      <c r="D1815" s="51">
        <v>0</v>
      </c>
    </row>
    <row r="1816" spans="1:4" ht="15" customHeight="1">
      <c r="A1816" s="50">
        <v>45002</v>
      </c>
      <c r="B1816" s="49" t="s">
        <v>44</v>
      </c>
      <c r="C1816" s="51">
        <v>54789.4</v>
      </c>
      <c r="D1816" s="51">
        <v>0</v>
      </c>
    </row>
    <row r="1817" spans="1:4" ht="15" customHeight="1">
      <c r="A1817" s="50">
        <v>45002</v>
      </c>
      <c r="B1817" s="49" t="s">
        <v>45</v>
      </c>
      <c r="C1817" s="51">
        <v>67548.800000000003</v>
      </c>
      <c r="D1817" s="51">
        <v>0</v>
      </c>
    </row>
    <row r="1818" spans="1:4" ht="15" customHeight="1">
      <c r="A1818" s="50">
        <v>45002</v>
      </c>
      <c r="B1818" s="49" t="s">
        <v>46</v>
      </c>
      <c r="C1818" s="51">
        <v>58624.5</v>
      </c>
      <c r="D1818" s="51">
        <v>0</v>
      </c>
    </row>
    <row r="1819" spans="1:4" ht="15" customHeight="1">
      <c r="A1819" s="50">
        <v>45002</v>
      </c>
      <c r="B1819" s="49" t="s">
        <v>47</v>
      </c>
      <c r="C1819" s="51">
        <v>54775.9</v>
      </c>
      <c r="D1819" s="51">
        <v>0</v>
      </c>
    </row>
    <row r="1820" spans="1:4" ht="15" customHeight="1">
      <c r="A1820" s="50">
        <v>45002</v>
      </c>
      <c r="B1820" s="49" t="s">
        <v>48</v>
      </c>
      <c r="C1820" s="51">
        <v>54207</v>
      </c>
      <c r="D1820" s="51">
        <v>0</v>
      </c>
    </row>
    <row r="1821" spans="1:4" ht="15" customHeight="1">
      <c r="A1821" s="50">
        <v>45002</v>
      </c>
      <c r="B1821" s="49" t="s">
        <v>49</v>
      </c>
      <c r="C1821" s="51">
        <v>53943.4</v>
      </c>
      <c r="D1821" s="51">
        <v>0</v>
      </c>
    </row>
    <row r="1822" spans="1:4" ht="15" customHeight="1">
      <c r="A1822" s="50">
        <v>45002</v>
      </c>
      <c r="B1822" s="49" t="s">
        <v>50</v>
      </c>
      <c r="C1822" s="51">
        <v>54123.7</v>
      </c>
      <c r="D1822" s="51">
        <v>0</v>
      </c>
    </row>
    <row r="1823" spans="1:4" ht="15" customHeight="1">
      <c r="A1823" s="50">
        <v>45002</v>
      </c>
      <c r="B1823" s="49" t="s">
        <v>51</v>
      </c>
      <c r="C1823" s="51">
        <v>54031.3</v>
      </c>
      <c r="D1823" s="51">
        <v>0</v>
      </c>
    </row>
    <row r="1824" spans="1:4" ht="15" customHeight="1">
      <c r="A1824" s="50">
        <v>45002</v>
      </c>
      <c r="B1824" s="49" t="s">
        <v>52</v>
      </c>
      <c r="C1824" s="51">
        <v>54228.3</v>
      </c>
      <c r="D1824" s="51">
        <v>0</v>
      </c>
    </row>
    <row r="1825" spans="1:4" ht="15" customHeight="1">
      <c r="A1825" s="50">
        <v>45002</v>
      </c>
      <c r="B1825" s="49" t="s">
        <v>53</v>
      </c>
      <c r="C1825" s="51">
        <v>54205.4</v>
      </c>
      <c r="D1825" s="51">
        <v>0</v>
      </c>
    </row>
    <row r="1826" spans="1:4" ht="15" customHeight="1">
      <c r="A1826" s="50">
        <v>45003</v>
      </c>
      <c r="B1826" s="49" t="s">
        <v>30</v>
      </c>
      <c r="C1826" s="51">
        <v>53594.1</v>
      </c>
      <c r="D1826" s="51">
        <v>0</v>
      </c>
    </row>
    <row r="1827" spans="1:4" ht="15" customHeight="1">
      <c r="A1827" s="50">
        <v>45003</v>
      </c>
      <c r="B1827" s="49" t="s">
        <v>31</v>
      </c>
      <c r="C1827" s="51">
        <v>54326.400000000001</v>
      </c>
      <c r="D1827" s="51">
        <v>0</v>
      </c>
    </row>
    <row r="1828" spans="1:4" ht="15" customHeight="1">
      <c r="A1828" s="50">
        <v>45003</v>
      </c>
      <c r="B1828" s="49" t="s">
        <v>32</v>
      </c>
      <c r="C1828" s="51">
        <v>54228.9</v>
      </c>
      <c r="D1828" s="51">
        <v>0</v>
      </c>
    </row>
    <row r="1829" spans="1:4" ht="15" customHeight="1">
      <c r="A1829" s="50">
        <v>45003</v>
      </c>
      <c r="B1829" s="49" t="s">
        <v>33</v>
      </c>
      <c r="C1829" s="51">
        <v>54277.1</v>
      </c>
      <c r="D1829" s="51">
        <v>0</v>
      </c>
    </row>
    <row r="1830" spans="1:4" ht="15" customHeight="1">
      <c r="A1830" s="50">
        <v>45003</v>
      </c>
      <c r="B1830" s="49" t="s">
        <v>34</v>
      </c>
      <c r="C1830" s="51">
        <v>53723.5</v>
      </c>
      <c r="D1830" s="51">
        <v>0</v>
      </c>
    </row>
    <row r="1831" spans="1:4" ht="15" customHeight="1">
      <c r="A1831" s="50">
        <v>45003</v>
      </c>
      <c r="B1831" s="49" t="s">
        <v>35</v>
      </c>
      <c r="C1831" s="51">
        <v>53674.6</v>
      </c>
      <c r="D1831" s="51">
        <v>0</v>
      </c>
    </row>
    <row r="1832" spans="1:4" ht="15" customHeight="1">
      <c r="A1832" s="50">
        <v>45003</v>
      </c>
      <c r="B1832" s="49" t="s">
        <v>36</v>
      </c>
      <c r="C1832" s="51">
        <v>53832.3</v>
      </c>
      <c r="D1832" s="51">
        <v>0</v>
      </c>
    </row>
    <row r="1833" spans="1:4" ht="15" customHeight="1">
      <c r="A1833" s="50">
        <v>45003</v>
      </c>
      <c r="B1833" s="49" t="s">
        <v>37</v>
      </c>
      <c r="C1833" s="51">
        <v>53585.5</v>
      </c>
      <c r="D1833" s="51">
        <v>0</v>
      </c>
    </row>
    <row r="1834" spans="1:4" ht="15" customHeight="1">
      <c r="A1834" s="50">
        <v>45003</v>
      </c>
      <c r="B1834" s="49" t="s">
        <v>38</v>
      </c>
      <c r="C1834" s="51">
        <v>53817.599999999999</v>
      </c>
      <c r="D1834" s="51">
        <v>0</v>
      </c>
    </row>
    <row r="1835" spans="1:4" ht="15" customHeight="1">
      <c r="A1835" s="50">
        <v>45003</v>
      </c>
      <c r="B1835" s="49" t="s">
        <v>39</v>
      </c>
      <c r="C1835" s="51">
        <v>53893.7</v>
      </c>
      <c r="D1835" s="51">
        <v>0</v>
      </c>
    </row>
    <row r="1836" spans="1:4" ht="15" customHeight="1">
      <c r="A1836" s="50">
        <v>45003</v>
      </c>
      <c r="B1836" s="49" t="s">
        <v>40</v>
      </c>
      <c r="C1836" s="51">
        <v>54787.6</v>
      </c>
      <c r="D1836" s="51">
        <v>0</v>
      </c>
    </row>
    <row r="1837" spans="1:4" ht="15" customHeight="1">
      <c r="A1837" s="50">
        <v>45003</v>
      </c>
      <c r="B1837" s="49" t="s">
        <v>41</v>
      </c>
      <c r="C1837" s="51">
        <v>54049.8</v>
      </c>
      <c r="D1837" s="51">
        <v>0</v>
      </c>
    </row>
    <row r="1838" spans="1:4" ht="15" customHeight="1">
      <c r="A1838" s="50">
        <v>45003</v>
      </c>
      <c r="B1838" s="49" t="s">
        <v>42</v>
      </c>
      <c r="C1838" s="51">
        <v>54278.5</v>
      </c>
      <c r="D1838" s="51">
        <v>0</v>
      </c>
    </row>
    <row r="1839" spans="1:4" ht="15" customHeight="1">
      <c r="A1839" s="50">
        <v>45003</v>
      </c>
      <c r="B1839" s="49" t="s">
        <v>43</v>
      </c>
      <c r="C1839" s="51">
        <v>54224.9</v>
      </c>
      <c r="D1839" s="51">
        <v>0</v>
      </c>
    </row>
    <row r="1840" spans="1:4" ht="15" customHeight="1">
      <c r="A1840" s="50">
        <v>45003</v>
      </c>
      <c r="B1840" s="49" t="s">
        <v>44</v>
      </c>
      <c r="C1840" s="51">
        <v>54128.7</v>
      </c>
      <c r="D1840" s="51">
        <v>0</v>
      </c>
    </row>
    <row r="1841" spans="1:4" ht="15" customHeight="1">
      <c r="A1841" s="50">
        <v>45003</v>
      </c>
      <c r="B1841" s="49" t="s">
        <v>45</v>
      </c>
      <c r="C1841" s="51">
        <v>54089.599999999999</v>
      </c>
      <c r="D1841" s="51">
        <v>0</v>
      </c>
    </row>
    <row r="1842" spans="1:4" ht="15" customHeight="1">
      <c r="A1842" s="50">
        <v>45003</v>
      </c>
      <c r="B1842" s="49" t="s">
        <v>46</v>
      </c>
      <c r="C1842" s="51">
        <v>54272.6</v>
      </c>
      <c r="D1842" s="51">
        <v>0</v>
      </c>
    </row>
    <row r="1843" spans="1:4" ht="15" customHeight="1">
      <c r="A1843" s="50">
        <v>45003</v>
      </c>
      <c r="B1843" s="49" t="s">
        <v>47</v>
      </c>
      <c r="C1843" s="51">
        <v>54154.2</v>
      </c>
      <c r="D1843" s="51">
        <v>0</v>
      </c>
    </row>
    <row r="1844" spans="1:4" ht="15" customHeight="1">
      <c r="A1844" s="50">
        <v>45003</v>
      </c>
      <c r="B1844" s="49" t="s">
        <v>48</v>
      </c>
      <c r="C1844" s="51">
        <v>54348</v>
      </c>
      <c r="D1844" s="51">
        <v>0</v>
      </c>
    </row>
    <row r="1845" spans="1:4" ht="15" customHeight="1">
      <c r="A1845" s="50">
        <v>45003</v>
      </c>
      <c r="B1845" s="49" t="s">
        <v>49</v>
      </c>
      <c r="C1845" s="51">
        <v>54034.5</v>
      </c>
      <c r="D1845" s="51">
        <v>0</v>
      </c>
    </row>
    <row r="1846" spans="1:4" ht="15" customHeight="1">
      <c r="A1846" s="50">
        <v>45003</v>
      </c>
      <c r="B1846" s="49" t="s">
        <v>50</v>
      </c>
      <c r="C1846" s="51">
        <v>54059.5</v>
      </c>
      <c r="D1846" s="51">
        <v>0</v>
      </c>
    </row>
    <row r="1847" spans="1:4" ht="15" customHeight="1">
      <c r="A1847" s="50">
        <v>45003</v>
      </c>
      <c r="B1847" s="49" t="s">
        <v>51</v>
      </c>
      <c r="C1847" s="51">
        <v>54276.4</v>
      </c>
      <c r="D1847" s="51">
        <v>0</v>
      </c>
    </row>
    <row r="1848" spans="1:4" ht="15" customHeight="1">
      <c r="A1848" s="50">
        <v>45003</v>
      </c>
      <c r="B1848" s="49" t="s">
        <v>52</v>
      </c>
      <c r="C1848" s="51">
        <v>54225.1</v>
      </c>
      <c r="D1848" s="51">
        <v>0</v>
      </c>
    </row>
    <row r="1849" spans="1:4" ht="15" customHeight="1">
      <c r="A1849" s="50">
        <v>45003</v>
      </c>
      <c r="B1849" s="49" t="s">
        <v>53</v>
      </c>
      <c r="C1849" s="51">
        <v>54074.9</v>
      </c>
      <c r="D1849" s="51">
        <v>0</v>
      </c>
    </row>
    <row r="1850" spans="1:4" ht="15" customHeight="1">
      <c r="A1850" s="50">
        <v>45004</v>
      </c>
      <c r="B1850" s="49" t="s">
        <v>30</v>
      </c>
      <c r="C1850" s="51">
        <v>53543.7</v>
      </c>
      <c r="D1850" s="51">
        <v>0</v>
      </c>
    </row>
    <row r="1851" spans="1:4" ht="15" customHeight="1">
      <c r="A1851" s="50">
        <v>45004</v>
      </c>
      <c r="B1851" s="49" t="s">
        <v>31</v>
      </c>
      <c r="C1851" s="51">
        <v>53847.7</v>
      </c>
      <c r="D1851" s="51">
        <v>0</v>
      </c>
    </row>
    <row r="1852" spans="1:4" ht="15" customHeight="1">
      <c r="A1852" s="50">
        <v>45004</v>
      </c>
      <c r="B1852" s="49" t="s">
        <v>32</v>
      </c>
      <c r="C1852" s="51">
        <v>54468.9</v>
      </c>
      <c r="D1852" s="51">
        <v>0</v>
      </c>
    </row>
    <row r="1853" spans="1:4" ht="15" customHeight="1">
      <c r="A1853" s="50">
        <v>45004</v>
      </c>
      <c r="B1853" s="49" t="s">
        <v>33</v>
      </c>
      <c r="C1853" s="51">
        <v>54451.5</v>
      </c>
      <c r="D1853" s="51">
        <v>0</v>
      </c>
    </row>
    <row r="1854" spans="1:4" ht="15" customHeight="1">
      <c r="A1854" s="50">
        <v>45004</v>
      </c>
      <c r="B1854" s="49" t="s">
        <v>34</v>
      </c>
      <c r="C1854" s="51">
        <v>54492.1</v>
      </c>
      <c r="D1854" s="51">
        <v>0</v>
      </c>
    </row>
    <row r="1855" spans="1:4" ht="15" customHeight="1">
      <c r="A1855" s="50">
        <v>45004</v>
      </c>
      <c r="B1855" s="49" t="s">
        <v>35</v>
      </c>
      <c r="C1855" s="51">
        <v>54412.3</v>
      </c>
      <c r="D1855" s="51">
        <v>0</v>
      </c>
    </row>
    <row r="1856" spans="1:4" ht="15" customHeight="1">
      <c r="A1856" s="50">
        <v>45004</v>
      </c>
      <c r="B1856" s="49" t="s">
        <v>36</v>
      </c>
      <c r="C1856" s="51">
        <v>54628.6</v>
      </c>
      <c r="D1856" s="51">
        <v>0</v>
      </c>
    </row>
    <row r="1857" spans="1:4" ht="15" customHeight="1">
      <c r="A1857" s="50">
        <v>45004</v>
      </c>
      <c r="B1857" s="49" t="s">
        <v>37</v>
      </c>
      <c r="C1857" s="51">
        <v>54844.7</v>
      </c>
      <c r="D1857" s="51">
        <v>0</v>
      </c>
    </row>
    <row r="1858" spans="1:4" ht="15" customHeight="1">
      <c r="A1858" s="50">
        <v>45004</v>
      </c>
      <c r="B1858" s="49" t="s">
        <v>38</v>
      </c>
      <c r="C1858" s="51">
        <v>54658.1</v>
      </c>
      <c r="D1858" s="51">
        <v>0</v>
      </c>
    </row>
    <row r="1859" spans="1:4" ht="15" customHeight="1">
      <c r="A1859" s="50">
        <v>45004</v>
      </c>
      <c r="B1859" s="49" t="s">
        <v>39</v>
      </c>
      <c r="C1859" s="51">
        <v>54749.7</v>
      </c>
      <c r="D1859" s="51">
        <v>0</v>
      </c>
    </row>
    <row r="1860" spans="1:4" ht="15" customHeight="1">
      <c r="A1860" s="50">
        <v>45004</v>
      </c>
      <c r="B1860" s="49" t="s">
        <v>40</v>
      </c>
      <c r="C1860" s="51">
        <v>54539.5</v>
      </c>
      <c r="D1860" s="51">
        <v>0</v>
      </c>
    </row>
    <row r="1861" spans="1:4" ht="15" customHeight="1">
      <c r="A1861" s="50">
        <v>45004</v>
      </c>
      <c r="B1861" s="49" t="s">
        <v>41</v>
      </c>
      <c r="C1861" s="51">
        <v>54768.1</v>
      </c>
      <c r="D1861" s="51">
        <v>0</v>
      </c>
    </row>
    <row r="1862" spans="1:4" ht="15" customHeight="1">
      <c r="A1862" s="50">
        <v>45004</v>
      </c>
      <c r="B1862" s="49" t="s">
        <v>42</v>
      </c>
      <c r="C1862" s="51">
        <v>54459.7</v>
      </c>
      <c r="D1862" s="51">
        <v>0</v>
      </c>
    </row>
    <row r="1863" spans="1:4" ht="15" customHeight="1">
      <c r="A1863" s="50">
        <v>45004</v>
      </c>
      <c r="B1863" s="49" t="s">
        <v>43</v>
      </c>
      <c r="C1863" s="51">
        <v>54773.5</v>
      </c>
      <c r="D1863" s="51">
        <v>0</v>
      </c>
    </row>
    <row r="1864" spans="1:4" ht="15" customHeight="1">
      <c r="A1864" s="50">
        <v>45004</v>
      </c>
      <c r="B1864" s="49" t="s">
        <v>44</v>
      </c>
      <c r="C1864" s="51">
        <v>54896.1</v>
      </c>
      <c r="D1864" s="51">
        <v>0</v>
      </c>
    </row>
    <row r="1865" spans="1:4" ht="15" customHeight="1">
      <c r="A1865" s="50">
        <v>45004</v>
      </c>
      <c r="B1865" s="49" t="s">
        <v>45</v>
      </c>
      <c r="C1865" s="51">
        <v>54874.9</v>
      </c>
      <c r="D1865" s="51">
        <v>0</v>
      </c>
    </row>
    <row r="1866" spans="1:4" ht="15" customHeight="1">
      <c r="A1866" s="50">
        <v>45004</v>
      </c>
      <c r="B1866" s="49" t="s">
        <v>46</v>
      </c>
      <c r="C1866" s="51">
        <v>54851.1</v>
      </c>
      <c r="D1866" s="51">
        <v>0</v>
      </c>
    </row>
    <row r="1867" spans="1:4" ht="15" customHeight="1">
      <c r="A1867" s="50">
        <v>45004</v>
      </c>
      <c r="B1867" s="49" t="s">
        <v>47</v>
      </c>
      <c r="C1867" s="51">
        <v>54852.6</v>
      </c>
      <c r="D1867" s="51">
        <v>0</v>
      </c>
    </row>
    <row r="1868" spans="1:4" ht="15" customHeight="1">
      <c r="A1868" s="50">
        <v>45004</v>
      </c>
      <c r="B1868" s="49" t="s">
        <v>48</v>
      </c>
      <c r="C1868" s="51">
        <v>54837.7</v>
      </c>
      <c r="D1868" s="51">
        <v>0</v>
      </c>
    </row>
    <row r="1869" spans="1:4" ht="15" customHeight="1">
      <c r="A1869" s="50">
        <v>45004</v>
      </c>
      <c r="B1869" s="49" t="s">
        <v>49</v>
      </c>
      <c r="C1869" s="51">
        <v>54807</v>
      </c>
      <c r="D1869" s="51">
        <v>0</v>
      </c>
    </row>
    <row r="1870" spans="1:4" ht="15" customHeight="1">
      <c r="A1870" s="50">
        <v>45004</v>
      </c>
      <c r="B1870" s="49" t="s">
        <v>50</v>
      </c>
      <c r="C1870" s="51">
        <v>54820.800000000003</v>
      </c>
      <c r="D1870" s="51">
        <v>0</v>
      </c>
    </row>
    <row r="1871" spans="1:4" ht="15" customHeight="1">
      <c r="A1871" s="50">
        <v>45004</v>
      </c>
      <c r="B1871" s="49" t="s">
        <v>51</v>
      </c>
      <c r="C1871" s="51">
        <v>54756.3</v>
      </c>
      <c r="D1871" s="51">
        <v>0</v>
      </c>
    </row>
    <row r="1872" spans="1:4" ht="15" customHeight="1">
      <c r="A1872" s="50">
        <v>45004</v>
      </c>
      <c r="B1872" s="49" t="s">
        <v>52</v>
      </c>
      <c r="C1872" s="51">
        <v>54802.8</v>
      </c>
      <c r="D1872" s="51">
        <v>0</v>
      </c>
    </row>
    <row r="1873" spans="1:4" ht="15" customHeight="1">
      <c r="A1873" s="50">
        <v>45004</v>
      </c>
      <c r="B1873" s="49" t="s">
        <v>53</v>
      </c>
      <c r="C1873" s="51">
        <v>54827.6</v>
      </c>
      <c r="D1873" s="51">
        <v>0</v>
      </c>
    </row>
    <row r="1874" spans="1:4" ht="15" customHeight="1">
      <c r="A1874" s="50">
        <v>45005</v>
      </c>
      <c r="B1874" s="49" t="s">
        <v>30</v>
      </c>
      <c r="C1874" s="51">
        <v>54266.2</v>
      </c>
      <c r="D1874" s="51">
        <v>0</v>
      </c>
    </row>
    <row r="1875" spans="1:4" ht="15" customHeight="1">
      <c r="A1875" s="50">
        <v>45005</v>
      </c>
      <c r="B1875" s="49" t="s">
        <v>31</v>
      </c>
      <c r="C1875" s="51">
        <v>54729.1</v>
      </c>
      <c r="D1875" s="51">
        <v>0</v>
      </c>
    </row>
    <row r="1876" spans="1:4" ht="15" customHeight="1">
      <c r="A1876" s="50">
        <v>45005</v>
      </c>
      <c r="B1876" s="49" t="s">
        <v>32</v>
      </c>
      <c r="C1876" s="51">
        <v>54423.199999999997</v>
      </c>
      <c r="D1876" s="51">
        <v>0</v>
      </c>
    </row>
    <row r="1877" spans="1:4" ht="15" customHeight="1">
      <c r="A1877" s="50">
        <v>45005</v>
      </c>
      <c r="B1877" s="49" t="s">
        <v>33</v>
      </c>
      <c r="C1877" s="51">
        <v>53729.5</v>
      </c>
      <c r="D1877" s="51">
        <v>0</v>
      </c>
    </row>
    <row r="1878" spans="1:4" ht="15" customHeight="1">
      <c r="A1878" s="50">
        <v>45005</v>
      </c>
      <c r="B1878" s="49" t="s">
        <v>34</v>
      </c>
      <c r="C1878" s="51">
        <v>53892.7</v>
      </c>
      <c r="D1878" s="51">
        <v>0</v>
      </c>
    </row>
    <row r="1879" spans="1:4" ht="15" customHeight="1">
      <c r="A1879" s="50">
        <v>45005</v>
      </c>
      <c r="B1879" s="49" t="s">
        <v>35</v>
      </c>
      <c r="C1879" s="51">
        <v>53568.1</v>
      </c>
      <c r="D1879" s="51">
        <v>0</v>
      </c>
    </row>
    <row r="1880" spans="1:4" ht="15" customHeight="1">
      <c r="A1880" s="50">
        <v>45005</v>
      </c>
      <c r="B1880" s="49" t="s">
        <v>36</v>
      </c>
      <c r="C1880" s="51">
        <v>53255.1</v>
      </c>
      <c r="D1880" s="51">
        <v>0</v>
      </c>
    </row>
    <row r="1881" spans="1:4" ht="15" customHeight="1">
      <c r="A1881" s="50">
        <v>45005</v>
      </c>
      <c r="B1881" s="49" t="s">
        <v>37</v>
      </c>
      <c r="C1881" s="51">
        <v>53381.5</v>
      </c>
      <c r="D1881" s="51">
        <v>0</v>
      </c>
    </row>
    <row r="1882" spans="1:4" ht="15" customHeight="1">
      <c r="A1882" s="50">
        <v>45005</v>
      </c>
      <c r="B1882" s="49" t="s">
        <v>38</v>
      </c>
      <c r="C1882" s="51">
        <v>52767.7</v>
      </c>
      <c r="D1882" s="51">
        <v>0</v>
      </c>
    </row>
    <row r="1883" spans="1:4" ht="15" customHeight="1">
      <c r="A1883" s="50">
        <v>45005</v>
      </c>
      <c r="B1883" s="49" t="s">
        <v>39</v>
      </c>
      <c r="C1883" s="51">
        <v>52858.2</v>
      </c>
      <c r="D1883" s="51">
        <v>0</v>
      </c>
    </row>
    <row r="1884" spans="1:4" ht="15" customHeight="1">
      <c r="A1884" s="50">
        <v>45005</v>
      </c>
      <c r="B1884" s="49" t="s">
        <v>40</v>
      </c>
      <c r="C1884" s="51">
        <v>52542</v>
      </c>
      <c r="D1884" s="51">
        <v>0</v>
      </c>
    </row>
    <row r="1885" spans="1:4" ht="15" customHeight="1">
      <c r="A1885" s="50">
        <v>45005</v>
      </c>
      <c r="B1885" s="49" t="s">
        <v>41</v>
      </c>
      <c r="C1885" s="51">
        <v>53211.199999999997</v>
      </c>
      <c r="D1885" s="51">
        <v>0</v>
      </c>
    </row>
    <row r="1886" spans="1:4" ht="15" customHeight="1">
      <c r="A1886" s="50">
        <v>45005</v>
      </c>
      <c r="B1886" s="49" t="s">
        <v>42</v>
      </c>
      <c r="C1886" s="51">
        <v>53233.2</v>
      </c>
      <c r="D1886" s="51">
        <v>0</v>
      </c>
    </row>
    <row r="1887" spans="1:4" ht="15" customHeight="1">
      <c r="A1887" s="50">
        <v>45005</v>
      </c>
      <c r="B1887" s="49" t="s">
        <v>43</v>
      </c>
      <c r="C1887" s="51">
        <v>53248.4</v>
      </c>
      <c r="D1887" s="51">
        <v>0</v>
      </c>
    </row>
    <row r="1888" spans="1:4" ht="15" customHeight="1">
      <c r="A1888" s="50">
        <v>45005</v>
      </c>
      <c r="B1888" s="49" t="s">
        <v>44</v>
      </c>
      <c r="C1888" s="51">
        <v>53050.2</v>
      </c>
      <c r="D1888" s="51">
        <v>0</v>
      </c>
    </row>
    <row r="1889" spans="1:4" ht="15" customHeight="1">
      <c r="A1889" s="50">
        <v>45005</v>
      </c>
      <c r="B1889" s="49" t="s">
        <v>45</v>
      </c>
      <c r="C1889" s="51">
        <v>53170.5</v>
      </c>
      <c r="D1889" s="51">
        <v>0</v>
      </c>
    </row>
    <row r="1890" spans="1:4" ht="15" customHeight="1">
      <c r="A1890" s="50">
        <v>45005</v>
      </c>
      <c r="B1890" s="49" t="s">
        <v>46</v>
      </c>
      <c r="C1890" s="51">
        <v>53327.9</v>
      </c>
      <c r="D1890" s="51">
        <v>0</v>
      </c>
    </row>
    <row r="1891" spans="1:4" ht="15" customHeight="1">
      <c r="A1891" s="50">
        <v>45005</v>
      </c>
      <c r="B1891" s="49" t="s">
        <v>47</v>
      </c>
      <c r="C1891" s="51">
        <v>53172.1</v>
      </c>
      <c r="D1891" s="51">
        <v>0</v>
      </c>
    </row>
    <row r="1892" spans="1:4" ht="15" customHeight="1">
      <c r="A1892" s="50">
        <v>45005</v>
      </c>
      <c r="B1892" s="49" t="s">
        <v>48</v>
      </c>
      <c r="C1892" s="51">
        <v>53091.9</v>
      </c>
      <c r="D1892" s="51">
        <v>0</v>
      </c>
    </row>
    <row r="1893" spans="1:4" ht="15" customHeight="1">
      <c r="A1893" s="50">
        <v>45005</v>
      </c>
      <c r="B1893" s="49" t="s">
        <v>49</v>
      </c>
      <c r="C1893" s="51">
        <v>53103.3</v>
      </c>
      <c r="D1893" s="51">
        <v>0</v>
      </c>
    </row>
    <row r="1894" spans="1:4" ht="15" customHeight="1">
      <c r="A1894" s="50">
        <v>45005</v>
      </c>
      <c r="B1894" s="49" t="s">
        <v>50</v>
      </c>
      <c r="C1894" s="51">
        <v>53147.6</v>
      </c>
      <c r="D1894" s="51">
        <v>0</v>
      </c>
    </row>
    <row r="1895" spans="1:4" ht="15" customHeight="1">
      <c r="A1895" s="50">
        <v>45005</v>
      </c>
      <c r="B1895" s="49" t="s">
        <v>51</v>
      </c>
      <c r="C1895" s="51">
        <v>53131.3</v>
      </c>
      <c r="D1895" s="51">
        <v>0</v>
      </c>
    </row>
    <row r="1896" spans="1:4" ht="15" customHeight="1">
      <c r="A1896" s="50">
        <v>45005</v>
      </c>
      <c r="B1896" s="49" t="s">
        <v>52</v>
      </c>
      <c r="C1896" s="51">
        <v>53107.8</v>
      </c>
      <c r="D1896" s="51">
        <v>0</v>
      </c>
    </row>
    <row r="1897" spans="1:4" ht="15" customHeight="1">
      <c r="A1897" s="50">
        <v>45005</v>
      </c>
      <c r="B1897" s="49" t="s">
        <v>53</v>
      </c>
      <c r="C1897" s="51">
        <v>52954.1</v>
      </c>
      <c r="D1897" s="51">
        <v>0</v>
      </c>
    </row>
    <row r="1898" spans="1:4" ht="15" customHeight="1">
      <c r="A1898" s="50">
        <v>45006</v>
      </c>
      <c r="B1898" s="49" t="s">
        <v>30</v>
      </c>
      <c r="C1898" s="51">
        <v>51780.6</v>
      </c>
      <c r="D1898" s="51">
        <v>0</v>
      </c>
    </row>
    <row r="1899" spans="1:4" ht="15" customHeight="1">
      <c r="A1899" s="50">
        <v>45006</v>
      </c>
      <c r="B1899" s="49" t="s">
        <v>31</v>
      </c>
      <c r="C1899" s="51">
        <v>53553</v>
      </c>
      <c r="D1899" s="51">
        <v>0</v>
      </c>
    </row>
    <row r="1900" spans="1:4" ht="15" customHeight="1">
      <c r="A1900" s="50">
        <v>45006</v>
      </c>
      <c r="B1900" s="49" t="s">
        <v>32</v>
      </c>
      <c r="C1900" s="51">
        <v>53570</v>
      </c>
      <c r="D1900" s="51">
        <v>0</v>
      </c>
    </row>
    <row r="1901" spans="1:4" ht="15" customHeight="1">
      <c r="A1901" s="50">
        <v>45006</v>
      </c>
      <c r="B1901" s="49" t="s">
        <v>33</v>
      </c>
      <c r="C1901" s="51">
        <v>53485.5</v>
      </c>
      <c r="D1901" s="51">
        <v>0</v>
      </c>
    </row>
    <row r="1902" spans="1:4" ht="15" customHeight="1">
      <c r="A1902" s="50">
        <v>45006</v>
      </c>
      <c r="B1902" s="49" t="s">
        <v>34</v>
      </c>
      <c r="C1902" s="51">
        <v>53629.4</v>
      </c>
      <c r="D1902" s="51">
        <v>0</v>
      </c>
    </row>
    <row r="1903" spans="1:4" ht="15" customHeight="1">
      <c r="A1903" s="50">
        <v>45006</v>
      </c>
      <c r="B1903" s="49" t="s">
        <v>35</v>
      </c>
      <c r="C1903" s="51">
        <v>53641.8</v>
      </c>
      <c r="D1903" s="51">
        <v>0</v>
      </c>
    </row>
    <row r="1904" spans="1:4" ht="15" customHeight="1">
      <c r="A1904" s="50">
        <v>45006</v>
      </c>
      <c r="B1904" s="49" t="s">
        <v>36</v>
      </c>
      <c r="C1904" s="51">
        <v>53562.3</v>
      </c>
      <c r="D1904" s="51">
        <v>0</v>
      </c>
    </row>
    <row r="1905" spans="1:4" ht="15" customHeight="1">
      <c r="A1905" s="50">
        <v>45006</v>
      </c>
      <c r="B1905" s="49" t="s">
        <v>37</v>
      </c>
      <c r="C1905" s="51">
        <v>53706.5</v>
      </c>
      <c r="D1905" s="51">
        <v>0</v>
      </c>
    </row>
    <row r="1906" spans="1:4" ht="15" customHeight="1">
      <c r="A1906" s="50">
        <v>45006</v>
      </c>
      <c r="B1906" s="49" t="s">
        <v>38</v>
      </c>
      <c r="C1906" s="51">
        <v>53735.199999999997</v>
      </c>
      <c r="D1906" s="51">
        <v>0</v>
      </c>
    </row>
    <row r="1907" spans="1:4" ht="15" customHeight="1">
      <c r="A1907" s="50">
        <v>45006</v>
      </c>
      <c r="B1907" s="49" t="s">
        <v>39</v>
      </c>
      <c r="C1907" s="51">
        <v>53657</v>
      </c>
      <c r="D1907" s="51">
        <v>0</v>
      </c>
    </row>
    <row r="1908" spans="1:4" ht="15" customHeight="1">
      <c r="A1908" s="50">
        <v>45006</v>
      </c>
      <c r="B1908" s="49" t="s">
        <v>40</v>
      </c>
      <c r="C1908" s="51">
        <v>53100.7</v>
      </c>
      <c r="D1908" s="51">
        <v>0</v>
      </c>
    </row>
    <row r="1909" spans="1:4" ht="15" customHeight="1">
      <c r="A1909" s="50">
        <v>45006</v>
      </c>
      <c r="B1909" s="49" t="s">
        <v>41</v>
      </c>
      <c r="C1909" s="51">
        <v>53120.800000000003</v>
      </c>
      <c r="D1909" s="51">
        <v>0</v>
      </c>
    </row>
    <row r="1910" spans="1:4" ht="15" customHeight="1">
      <c r="A1910" s="50">
        <v>45006</v>
      </c>
      <c r="B1910" s="49" t="s">
        <v>42</v>
      </c>
      <c r="C1910" s="51">
        <v>53199.199999999997</v>
      </c>
      <c r="D1910" s="51">
        <v>0</v>
      </c>
    </row>
    <row r="1911" spans="1:4" ht="15" customHeight="1">
      <c r="A1911" s="50">
        <v>45006</v>
      </c>
      <c r="B1911" s="49" t="s">
        <v>43</v>
      </c>
      <c r="C1911" s="51">
        <v>53285.8</v>
      </c>
      <c r="D1911" s="51">
        <v>0</v>
      </c>
    </row>
    <row r="1912" spans="1:4" ht="15" customHeight="1">
      <c r="A1912" s="50">
        <v>45006</v>
      </c>
      <c r="B1912" s="49" t="s">
        <v>44</v>
      </c>
      <c r="C1912" s="51">
        <v>53303.6</v>
      </c>
      <c r="D1912" s="51">
        <v>0</v>
      </c>
    </row>
    <row r="1913" spans="1:4" ht="15" customHeight="1">
      <c r="A1913" s="50">
        <v>45006</v>
      </c>
      <c r="B1913" s="49" t="s">
        <v>45</v>
      </c>
      <c r="C1913" s="51">
        <v>52663</v>
      </c>
      <c r="D1913" s="51">
        <v>0</v>
      </c>
    </row>
    <row r="1914" spans="1:4" ht="15" customHeight="1">
      <c r="A1914" s="50">
        <v>45006</v>
      </c>
      <c r="B1914" s="49" t="s">
        <v>46</v>
      </c>
      <c r="C1914" s="51">
        <v>52612.2</v>
      </c>
      <c r="D1914" s="51">
        <v>0</v>
      </c>
    </row>
    <row r="1915" spans="1:4" ht="15" customHeight="1">
      <c r="A1915" s="50">
        <v>45006</v>
      </c>
      <c r="B1915" s="49" t="s">
        <v>47</v>
      </c>
      <c r="C1915" s="51">
        <v>52589.8</v>
      </c>
      <c r="D1915" s="51">
        <v>0</v>
      </c>
    </row>
    <row r="1916" spans="1:4" ht="15" customHeight="1">
      <c r="A1916" s="50">
        <v>45006</v>
      </c>
      <c r="B1916" s="49" t="s">
        <v>48</v>
      </c>
      <c r="C1916" s="51">
        <v>53090</v>
      </c>
      <c r="D1916" s="51">
        <v>0</v>
      </c>
    </row>
    <row r="1917" spans="1:4" ht="15" customHeight="1">
      <c r="A1917" s="50">
        <v>45006</v>
      </c>
      <c r="B1917" s="49" t="s">
        <v>49</v>
      </c>
      <c r="C1917" s="51">
        <v>53833.5</v>
      </c>
      <c r="D1917" s="51">
        <v>0</v>
      </c>
    </row>
    <row r="1918" spans="1:4" ht="15" customHeight="1">
      <c r="A1918" s="50">
        <v>45006</v>
      </c>
      <c r="B1918" s="49" t="s">
        <v>50</v>
      </c>
      <c r="C1918" s="51">
        <v>53786.7</v>
      </c>
      <c r="D1918" s="51">
        <v>0</v>
      </c>
    </row>
    <row r="1919" spans="1:4" ht="15" customHeight="1">
      <c r="A1919" s="50">
        <v>45006</v>
      </c>
      <c r="B1919" s="49" t="s">
        <v>51</v>
      </c>
      <c r="C1919" s="51">
        <v>53867.1</v>
      </c>
      <c r="D1919" s="51">
        <v>0</v>
      </c>
    </row>
    <row r="1920" spans="1:4" ht="15" customHeight="1">
      <c r="A1920" s="50">
        <v>45006</v>
      </c>
      <c r="B1920" s="49" t="s">
        <v>52</v>
      </c>
      <c r="C1920" s="51">
        <v>53667.8</v>
      </c>
      <c r="D1920" s="51">
        <v>0</v>
      </c>
    </row>
    <row r="1921" spans="1:4" ht="15" customHeight="1">
      <c r="A1921" s="50">
        <v>45006</v>
      </c>
      <c r="B1921" s="49" t="s">
        <v>53</v>
      </c>
      <c r="C1921" s="51">
        <v>53589.5</v>
      </c>
      <c r="D1921" s="51">
        <v>0</v>
      </c>
    </row>
    <row r="1922" spans="1:4" ht="15" customHeight="1">
      <c r="A1922" s="50">
        <v>45007</v>
      </c>
      <c r="B1922" s="49" t="s">
        <v>30</v>
      </c>
      <c r="C1922" s="51">
        <v>53731.7</v>
      </c>
      <c r="D1922" s="51">
        <v>0</v>
      </c>
    </row>
    <row r="1923" spans="1:4" ht="15" customHeight="1">
      <c r="A1923" s="50">
        <v>45007</v>
      </c>
      <c r="B1923" s="49" t="s">
        <v>31</v>
      </c>
      <c r="C1923" s="51">
        <v>54173</v>
      </c>
      <c r="D1923" s="51">
        <v>0</v>
      </c>
    </row>
    <row r="1924" spans="1:4" ht="15" customHeight="1">
      <c r="A1924" s="50">
        <v>45007</v>
      </c>
      <c r="B1924" s="49" t="s">
        <v>32</v>
      </c>
      <c r="C1924" s="51">
        <v>54039.6</v>
      </c>
      <c r="D1924" s="51">
        <v>0</v>
      </c>
    </row>
    <row r="1925" spans="1:4" ht="15" customHeight="1">
      <c r="A1925" s="50">
        <v>45007</v>
      </c>
      <c r="B1925" s="49" t="s">
        <v>33</v>
      </c>
      <c r="C1925" s="51">
        <v>53965.599999999999</v>
      </c>
      <c r="D1925" s="51">
        <v>0</v>
      </c>
    </row>
    <row r="1926" spans="1:4" ht="15" customHeight="1">
      <c r="A1926" s="50">
        <v>45007</v>
      </c>
      <c r="B1926" s="49" t="s">
        <v>34</v>
      </c>
      <c r="C1926" s="51">
        <v>54145.9</v>
      </c>
      <c r="D1926" s="51">
        <v>0</v>
      </c>
    </row>
    <row r="1927" spans="1:4" ht="15" customHeight="1">
      <c r="A1927" s="50">
        <v>45007</v>
      </c>
      <c r="B1927" s="49" t="s">
        <v>35</v>
      </c>
      <c r="C1927" s="51">
        <v>53848.3</v>
      </c>
      <c r="D1927" s="51">
        <v>0</v>
      </c>
    </row>
    <row r="1928" spans="1:4" ht="15" customHeight="1">
      <c r="A1928" s="50">
        <v>45007</v>
      </c>
      <c r="B1928" s="49" t="s">
        <v>36</v>
      </c>
      <c r="C1928" s="51">
        <v>54072.9</v>
      </c>
      <c r="D1928" s="51">
        <v>0</v>
      </c>
    </row>
    <row r="1929" spans="1:4" ht="15" customHeight="1">
      <c r="A1929" s="50">
        <v>45007</v>
      </c>
      <c r="B1929" s="49" t="s">
        <v>37</v>
      </c>
      <c r="C1929" s="51">
        <v>53782.8</v>
      </c>
      <c r="D1929" s="51">
        <v>0</v>
      </c>
    </row>
    <row r="1930" spans="1:4" ht="15" customHeight="1">
      <c r="A1930" s="50">
        <v>45007</v>
      </c>
      <c r="B1930" s="49" t="s">
        <v>38</v>
      </c>
      <c r="C1930" s="51">
        <v>53017.3</v>
      </c>
      <c r="D1930" s="51">
        <v>0</v>
      </c>
    </row>
    <row r="1931" spans="1:4" ht="15" customHeight="1">
      <c r="A1931" s="50">
        <v>45007</v>
      </c>
      <c r="B1931" s="49" t="s">
        <v>39</v>
      </c>
      <c r="C1931" s="51">
        <v>53707.6</v>
      </c>
      <c r="D1931" s="51">
        <v>0</v>
      </c>
    </row>
    <row r="1932" spans="1:4" ht="15" customHeight="1">
      <c r="A1932" s="50">
        <v>45007</v>
      </c>
      <c r="B1932" s="49" t="s">
        <v>40</v>
      </c>
      <c r="C1932" s="51">
        <v>53537.1</v>
      </c>
      <c r="D1932" s="51">
        <v>0</v>
      </c>
    </row>
    <row r="1933" spans="1:4" ht="15" customHeight="1">
      <c r="A1933" s="50">
        <v>45007</v>
      </c>
      <c r="B1933" s="49" t="s">
        <v>41</v>
      </c>
      <c r="C1933" s="51">
        <v>53722.1</v>
      </c>
      <c r="D1933" s="51">
        <v>0</v>
      </c>
    </row>
    <row r="1934" spans="1:4" ht="15" customHeight="1">
      <c r="A1934" s="50">
        <v>45007</v>
      </c>
      <c r="B1934" s="49" t="s">
        <v>42</v>
      </c>
      <c r="C1934" s="51">
        <v>53717.8</v>
      </c>
      <c r="D1934" s="51">
        <v>0</v>
      </c>
    </row>
    <row r="1935" spans="1:4" ht="15" customHeight="1">
      <c r="A1935" s="50">
        <v>45007</v>
      </c>
      <c r="B1935" s="49" t="s">
        <v>43</v>
      </c>
      <c r="C1935" s="51">
        <v>53460.7</v>
      </c>
      <c r="D1935" s="51">
        <v>0</v>
      </c>
    </row>
    <row r="1936" spans="1:4" ht="15" customHeight="1">
      <c r="A1936" s="50">
        <v>45007</v>
      </c>
      <c r="B1936" s="49" t="s">
        <v>44</v>
      </c>
      <c r="C1936" s="51">
        <v>52854.6</v>
      </c>
      <c r="D1936" s="51">
        <v>0</v>
      </c>
    </row>
    <row r="1937" spans="1:4" ht="15" customHeight="1">
      <c r="A1937" s="50">
        <v>45007</v>
      </c>
      <c r="B1937" s="49" t="s">
        <v>45</v>
      </c>
      <c r="C1937" s="51">
        <v>53348.7</v>
      </c>
      <c r="D1937" s="51">
        <v>0</v>
      </c>
    </row>
    <row r="1938" spans="1:4" ht="15" customHeight="1">
      <c r="A1938" s="50">
        <v>45007</v>
      </c>
      <c r="B1938" s="49" t="s">
        <v>46</v>
      </c>
      <c r="C1938" s="51">
        <v>53284.3</v>
      </c>
      <c r="D1938" s="51">
        <v>0</v>
      </c>
    </row>
    <row r="1939" spans="1:4" ht="15" customHeight="1">
      <c r="A1939" s="50">
        <v>45007</v>
      </c>
      <c r="B1939" s="49" t="s">
        <v>47</v>
      </c>
      <c r="C1939" s="51">
        <v>53226.5</v>
      </c>
      <c r="D1939" s="51">
        <v>0</v>
      </c>
    </row>
    <row r="1940" spans="1:4" ht="15" customHeight="1">
      <c r="A1940" s="50">
        <v>45007</v>
      </c>
      <c r="B1940" s="49" t="s">
        <v>48</v>
      </c>
      <c r="C1940" s="51">
        <v>53205.7</v>
      </c>
      <c r="D1940" s="51">
        <v>0</v>
      </c>
    </row>
    <row r="1941" spans="1:4" ht="15" customHeight="1">
      <c r="A1941" s="50">
        <v>45007</v>
      </c>
      <c r="B1941" s="49" t="s">
        <v>49</v>
      </c>
      <c r="C1941" s="51">
        <v>53635.5</v>
      </c>
      <c r="D1941" s="51">
        <v>0</v>
      </c>
    </row>
    <row r="1942" spans="1:4" ht="15" customHeight="1">
      <c r="A1942" s="50">
        <v>45007</v>
      </c>
      <c r="B1942" s="49" t="s">
        <v>50</v>
      </c>
      <c r="C1942" s="51">
        <v>54486.9</v>
      </c>
      <c r="D1942" s="51">
        <v>0</v>
      </c>
    </row>
    <row r="1943" spans="1:4" ht="15" customHeight="1">
      <c r="A1943" s="50">
        <v>45007</v>
      </c>
      <c r="B1943" s="49" t="s">
        <v>51</v>
      </c>
      <c r="C1943" s="51">
        <v>54270.400000000001</v>
      </c>
      <c r="D1943" s="51">
        <v>0</v>
      </c>
    </row>
    <row r="1944" spans="1:4" ht="15" customHeight="1">
      <c r="A1944" s="50">
        <v>45007</v>
      </c>
      <c r="B1944" s="49" t="s">
        <v>52</v>
      </c>
      <c r="C1944" s="51">
        <v>52071</v>
      </c>
      <c r="D1944" s="51">
        <v>0</v>
      </c>
    </row>
    <row r="1945" spans="1:4" ht="15" customHeight="1">
      <c r="A1945" s="50">
        <v>45007</v>
      </c>
      <c r="B1945" s="49" t="s">
        <v>53</v>
      </c>
      <c r="C1945" s="51">
        <v>54446.6</v>
      </c>
      <c r="D1945" s="51">
        <v>0</v>
      </c>
    </row>
    <row r="1946" spans="1:4" ht="15" customHeight="1">
      <c r="A1946" s="50">
        <v>45008</v>
      </c>
      <c r="B1946" s="49" t="s">
        <v>30</v>
      </c>
      <c r="C1946" s="51">
        <v>53215.199999999997</v>
      </c>
      <c r="D1946" s="51">
        <v>0</v>
      </c>
    </row>
    <row r="1947" spans="1:4" ht="15" customHeight="1">
      <c r="A1947" s="50">
        <v>45008</v>
      </c>
      <c r="B1947" s="49" t="s">
        <v>31</v>
      </c>
      <c r="C1947" s="51">
        <v>54535.8</v>
      </c>
      <c r="D1947" s="51">
        <v>0</v>
      </c>
    </row>
    <row r="1948" spans="1:4" ht="15" customHeight="1">
      <c r="A1948" s="50">
        <v>45008</v>
      </c>
      <c r="B1948" s="49" t="s">
        <v>32</v>
      </c>
      <c r="C1948" s="51">
        <v>54556.3</v>
      </c>
      <c r="D1948" s="51">
        <v>0</v>
      </c>
    </row>
    <row r="1949" spans="1:4" ht="15" customHeight="1">
      <c r="A1949" s="50">
        <v>45008</v>
      </c>
      <c r="B1949" s="49" t="s">
        <v>33</v>
      </c>
      <c r="C1949" s="51">
        <v>54605.8</v>
      </c>
      <c r="D1949" s="51">
        <v>0</v>
      </c>
    </row>
    <row r="1950" spans="1:4" ht="15" customHeight="1">
      <c r="A1950" s="50">
        <v>45008</v>
      </c>
      <c r="B1950" s="49" t="s">
        <v>34</v>
      </c>
      <c r="C1950" s="51">
        <v>54570.9</v>
      </c>
      <c r="D1950" s="51">
        <v>0</v>
      </c>
    </row>
    <row r="1951" spans="1:4" ht="15" customHeight="1">
      <c r="A1951" s="50">
        <v>45008</v>
      </c>
      <c r="B1951" s="49" t="s">
        <v>35</v>
      </c>
      <c r="C1951" s="51">
        <v>54594.7</v>
      </c>
      <c r="D1951" s="51">
        <v>0</v>
      </c>
    </row>
    <row r="1952" spans="1:4" ht="15" customHeight="1">
      <c r="A1952" s="50">
        <v>45008</v>
      </c>
      <c r="B1952" s="49" t="s">
        <v>36</v>
      </c>
      <c r="C1952" s="51">
        <v>54510.2</v>
      </c>
      <c r="D1952" s="51">
        <v>0</v>
      </c>
    </row>
    <row r="1953" spans="1:4" ht="15" customHeight="1">
      <c r="A1953" s="50">
        <v>45008</v>
      </c>
      <c r="B1953" s="49" t="s">
        <v>37</v>
      </c>
      <c r="C1953" s="51">
        <v>54525.1</v>
      </c>
      <c r="D1953" s="51">
        <v>0</v>
      </c>
    </row>
    <row r="1954" spans="1:4" ht="15" customHeight="1">
      <c r="A1954" s="50">
        <v>45008</v>
      </c>
      <c r="B1954" s="49" t="s">
        <v>38</v>
      </c>
      <c r="C1954" s="51">
        <v>54547.199999999997</v>
      </c>
      <c r="D1954" s="51">
        <v>0</v>
      </c>
    </row>
    <row r="1955" spans="1:4" ht="15" customHeight="1">
      <c r="A1955" s="50">
        <v>45008</v>
      </c>
      <c r="B1955" s="49" t="s">
        <v>39</v>
      </c>
      <c r="C1955" s="51">
        <v>54552.4</v>
      </c>
      <c r="D1955" s="51">
        <v>0</v>
      </c>
    </row>
    <row r="1956" spans="1:4" ht="15" customHeight="1">
      <c r="A1956" s="50">
        <v>45008</v>
      </c>
      <c r="B1956" s="49" t="s">
        <v>40</v>
      </c>
      <c r="C1956" s="51">
        <v>55273.4</v>
      </c>
      <c r="D1956" s="51">
        <v>0</v>
      </c>
    </row>
    <row r="1957" spans="1:4" ht="15" customHeight="1">
      <c r="A1957" s="50">
        <v>45008</v>
      </c>
      <c r="B1957" s="49" t="s">
        <v>41</v>
      </c>
      <c r="C1957" s="51">
        <v>54498.6</v>
      </c>
      <c r="D1957" s="51">
        <v>0</v>
      </c>
    </row>
    <row r="1958" spans="1:4" ht="15" customHeight="1">
      <c r="A1958" s="50">
        <v>45008</v>
      </c>
      <c r="B1958" s="49" t="s">
        <v>42</v>
      </c>
      <c r="C1958" s="51">
        <v>54492</v>
      </c>
      <c r="D1958" s="51">
        <v>0</v>
      </c>
    </row>
    <row r="1959" spans="1:4" ht="15" customHeight="1">
      <c r="A1959" s="50">
        <v>45008</v>
      </c>
      <c r="B1959" s="49" t="s">
        <v>43</v>
      </c>
      <c r="C1959" s="51">
        <v>54485.1</v>
      </c>
      <c r="D1959" s="51">
        <v>0</v>
      </c>
    </row>
    <row r="1960" spans="1:4" ht="15" customHeight="1">
      <c r="A1960" s="50">
        <v>45008</v>
      </c>
      <c r="B1960" s="49" t="s">
        <v>44</v>
      </c>
      <c r="C1960" s="51">
        <v>54489.2</v>
      </c>
      <c r="D1960" s="51">
        <v>0</v>
      </c>
    </row>
    <row r="1961" spans="1:4" ht="15" customHeight="1">
      <c r="A1961" s="50">
        <v>45008</v>
      </c>
      <c r="B1961" s="49" t="s">
        <v>45</v>
      </c>
      <c r="C1961" s="51">
        <v>54556.1</v>
      </c>
      <c r="D1961" s="51">
        <v>0</v>
      </c>
    </row>
    <row r="1962" spans="1:4" ht="15" customHeight="1">
      <c r="A1962" s="50">
        <v>45008</v>
      </c>
      <c r="B1962" s="49" t="s">
        <v>46</v>
      </c>
      <c r="C1962" s="51">
        <v>54511.4</v>
      </c>
      <c r="D1962" s="51">
        <v>0</v>
      </c>
    </row>
    <row r="1963" spans="1:4" ht="15" customHeight="1">
      <c r="A1963" s="50">
        <v>45008</v>
      </c>
      <c r="B1963" s="49" t="s">
        <v>47</v>
      </c>
      <c r="C1963" s="51">
        <v>54545.7</v>
      </c>
      <c r="D1963" s="51">
        <v>0</v>
      </c>
    </row>
    <row r="1964" spans="1:4" ht="15" customHeight="1">
      <c r="A1964" s="50">
        <v>45008</v>
      </c>
      <c r="B1964" s="49" t="s">
        <v>48</v>
      </c>
      <c r="C1964" s="51">
        <v>54551.5</v>
      </c>
      <c r="D1964" s="51">
        <v>0</v>
      </c>
    </row>
    <row r="1965" spans="1:4" ht="15" customHeight="1">
      <c r="A1965" s="50">
        <v>45008</v>
      </c>
      <c r="B1965" s="49" t="s">
        <v>49</v>
      </c>
      <c r="C1965" s="51">
        <v>54338.1</v>
      </c>
      <c r="D1965" s="51">
        <v>0</v>
      </c>
    </row>
    <row r="1966" spans="1:4" ht="15" customHeight="1">
      <c r="A1966" s="50">
        <v>45008</v>
      </c>
      <c r="B1966" s="49" t="s">
        <v>50</v>
      </c>
      <c r="C1966" s="51">
        <v>54450.5</v>
      </c>
      <c r="D1966" s="51">
        <v>0</v>
      </c>
    </row>
    <row r="1967" spans="1:4" ht="15" customHeight="1">
      <c r="A1967" s="50">
        <v>45008</v>
      </c>
      <c r="B1967" s="49" t="s">
        <v>51</v>
      </c>
      <c r="C1967" s="51">
        <v>54465.7</v>
      </c>
      <c r="D1967" s="51">
        <v>0</v>
      </c>
    </row>
    <row r="1968" spans="1:4" ht="15" customHeight="1">
      <c r="A1968" s="50">
        <v>45008</v>
      </c>
      <c r="B1968" s="49" t="s">
        <v>52</v>
      </c>
      <c r="C1968" s="51">
        <v>54435.4</v>
      </c>
      <c r="D1968" s="51">
        <v>0</v>
      </c>
    </row>
    <row r="1969" spans="1:4" ht="15" customHeight="1">
      <c r="A1969" s="50">
        <v>45008</v>
      </c>
      <c r="B1969" s="49" t="s">
        <v>53</v>
      </c>
      <c r="C1969" s="51">
        <v>54223.9</v>
      </c>
      <c r="D1969" s="51">
        <v>0</v>
      </c>
    </row>
    <row r="1970" spans="1:4" ht="15" customHeight="1">
      <c r="A1970" s="50">
        <v>45009</v>
      </c>
      <c r="B1970" s="49" t="s">
        <v>30</v>
      </c>
      <c r="C1970" s="85">
        <v>53110.400000000001</v>
      </c>
      <c r="D1970" s="51">
        <v>0</v>
      </c>
    </row>
    <row r="1971" spans="1:4" ht="15" customHeight="1">
      <c r="A1971" s="50">
        <v>45009</v>
      </c>
      <c r="B1971" s="49" t="s">
        <v>31</v>
      </c>
      <c r="C1971" s="85">
        <v>53049.4</v>
      </c>
      <c r="D1971" s="51">
        <v>0</v>
      </c>
    </row>
    <row r="1972" spans="1:4" ht="15" customHeight="1">
      <c r="A1972" s="50">
        <v>45009</v>
      </c>
      <c r="B1972" s="49" t="s">
        <v>32</v>
      </c>
      <c r="C1972" s="85">
        <v>53009.8</v>
      </c>
      <c r="D1972" s="51">
        <v>0</v>
      </c>
    </row>
    <row r="1973" spans="1:4" ht="15" customHeight="1">
      <c r="A1973" s="50">
        <v>45009</v>
      </c>
      <c r="B1973" s="49" t="s">
        <v>33</v>
      </c>
      <c r="C1973" s="85">
        <v>53384.5</v>
      </c>
      <c r="D1973" s="51">
        <v>0</v>
      </c>
    </row>
    <row r="1974" spans="1:4" ht="15" customHeight="1">
      <c r="A1974" s="50">
        <v>45009</v>
      </c>
      <c r="B1974" s="49" t="s">
        <v>34</v>
      </c>
      <c r="C1974" s="85">
        <v>53369.5</v>
      </c>
      <c r="D1974" s="51">
        <v>0</v>
      </c>
    </row>
    <row r="1975" spans="1:4" ht="15" customHeight="1">
      <c r="A1975" s="50">
        <v>45009</v>
      </c>
      <c r="B1975" s="49" t="s">
        <v>35</v>
      </c>
      <c r="C1975" s="85">
        <v>52884.4</v>
      </c>
      <c r="D1975" s="51">
        <v>0</v>
      </c>
    </row>
    <row r="1976" spans="1:4" ht="15" customHeight="1">
      <c r="A1976" s="50">
        <v>45009</v>
      </c>
      <c r="B1976" s="49" t="s">
        <v>36</v>
      </c>
      <c r="C1976" s="85">
        <v>53052.4</v>
      </c>
      <c r="D1976" s="51">
        <v>0</v>
      </c>
    </row>
    <row r="1977" spans="1:4" ht="15" customHeight="1">
      <c r="A1977" s="50">
        <v>45009</v>
      </c>
      <c r="B1977" s="49" t="s">
        <v>37</v>
      </c>
      <c r="C1977" s="85">
        <v>53006.400000000001</v>
      </c>
      <c r="D1977" s="51">
        <v>0</v>
      </c>
    </row>
    <row r="1978" spans="1:4" ht="15" customHeight="1">
      <c r="A1978" s="50">
        <v>45009</v>
      </c>
      <c r="B1978" s="49" t="s">
        <v>38</v>
      </c>
      <c r="C1978" s="85">
        <v>53216.4</v>
      </c>
      <c r="D1978" s="51">
        <v>0</v>
      </c>
    </row>
    <row r="1979" spans="1:4" ht="15" customHeight="1">
      <c r="A1979" s="50">
        <v>45009</v>
      </c>
      <c r="B1979" s="49" t="s">
        <v>39</v>
      </c>
      <c r="C1979" s="85">
        <v>54820.7</v>
      </c>
      <c r="D1979" s="51">
        <v>0</v>
      </c>
    </row>
    <row r="1980" spans="1:4" ht="15" customHeight="1">
      <c r="A1980" s="50">
        <v>45009</v>
      </c>
      <c r="B1980" s="49" t="s">
        <v>40</v>
      </c>
      <c r="C1980" s="85">
        <v>54782.6</v>
      </c>
      <c r="D1980" s="51">
        <v>0</v>
      </c>
    </row>
    <row r="1981" spans="1:4" ht="15" customHeight="1">
      <c r="A1981" s="50">
        <v>45009</v>
      </c>
      <c r="B1981" s="49" t="s">
        <v>41</v>
      </c>
      <c r="C1981" s="85">
        <v>53957.599999999999</v>
      </c>
      <c r="D1981" s="51">
        <v>0</v>
      </c>
    </row>
    <row r="1982" spans="1:4" ht="15" customHeight="1">
      <c r="A1982" s="50">
        <v>45009</v>
      </c>
      <c r="B1982" s="49" t="s">
        <v>42</v>
      </c>
      <c r="C1982" s="85">
        <v>54708.5</v>
      </c>
      <c r="D1982" s="51">
        <v>0</v>
      </c>
    </row>
    <row r="1983" spans="1:4" ht="15" customHeight="1">
      <c r="A1983" s="50">
        <v>45009</v>
      </c>
      <c r="B1983" s="49" t="s">
        <v>43</v>
      </c>
      <c r="C1983" s="85">
        <v>54076.7</v>
      </c>
      <c r="D1983" s="51">
        <v>0</v>
      </c>
    </row>
    <row r="1984" spans="1:4" ht="15" customHeight="1">
      <c r="A1984" s="50">
        <v>45009</v>
      </c>
      <c r="B1984" s="49" t="s">
        <v>44</v>
      </c>
      <c r="C1984" s="85">
        <v>54462.9</v>
      </c>
      <c r="D1984" s="51">
        <v>0</v>
      </c>
    </row>
    <row r="1985" spans="1:4" ht="15" customHeight="1">
      <c r="A1985" s="50">
        <v>45009</v>
      </c>
      <c r="B1985" s="49" t="s">
        <v>45</v>
      </c>
      <c r="C1985" s="85">
        <v>54285</v>
      </c>
      <c r="D1985" s="51">
        <v>0</v>
      </c>
    </row>
    <row r="1986" spans="1:4" ht="15" customHeight="1">
      <c r="A1986" s="50">
        <v>45009</v>
      </c>
      <c r="B1986" s="49" t="s">
        <v>46</v>
      </c>
      <c r="C1986" s="85">
        <v>54208.4</v>
      </c>
      <c r="D1986" s="51">
        <v>0</v>
      </c>
    </row>
    <row r="1987" spans="1:4" ht="15" customHeight="1">
      <c r="A1987" s="50">
        <v>45009</v>
      </c>
      <c r="B1987" s="49" t="s">
        <v>47</v>
      </c>
      <c r="C1987" s="85">
        <v>54138.1</v>
      </c>
      <c r="D1987" s="51">
        <v>0</v>
      </c>
    </row>
    <row r="1988" spans="1:4" ht="15" customHeight="1">
      <c r="A1988" s="50">
        <v>45009</v>
      </c>
      <c r="B1988" s="49" t="s">
        <v>48</v>
      </c>
      <c r="C1988" s="85">
        <v>54041.5</v>
      </c>
      <c r="D1988" s="51">
        <v>0</v>
      </c>
    </row>
    <row r="1989" spans="1:4" ht="15" customHeight="1">
      <c r="A1989" s="50">
        <v>45009</v>
      </c>
      <c r="B1989" s="49" t="s">
        <v>49</v>
      </c>
      <c r="C1989" s="85">
        <v>54114.5</v>
      </c>
      <c r="D1989" s="51">
        <v>0</v>
      </c>
    </row>
    <row r="1990" spans="1:4" ht="15" customHeight="1">
      <c r="A1990" s="50">
        <v>45009</v>
      </c>
      <c r="B1990" s="49" t="s">
        <v>50</v>
      </c>
      <c r="C1990" s="85">
        <v>54085.2</v>
      </c>
      <c r="D1990" s="51">
        <v>0</v>
      </c>
    </row>
    <row r="1991" spans="1:4" ht="15" customHeight="1">
      <c r="A1991" s="50">
        <v>45009</v>
      </c>
      <c r="B1991" s="49" t="s">
        <v>51</v>
      </c>
      <c r="C1991" s="85">
        <v>64081.8</v>
      </c>
      <c r="D1991" s="51">
        <v>0</v>
      </c>
    </row>
    <row r="1992" spans="1:4" ht="15" customHeight="1">
      <c r="A1992" s="50">
        <v>45009</v>
      </c>
      <c r="B1992" s="49" t="s">
        <v>52</v>
      </c>
      <c r="C1992" s="85">
        <v>65340.5</v>
      </c>
      <c r="D1992" s="51">
        <v>0</v>
      </c>
    </row>
    <row r="1993" spans="1:4" ht="15" customHeight="1">
      <c r="A1993" s="50">
        <v>45009</v>
      </c>
      <c r="B1993" s="49" t="s">
        <v>53</v>
      </c>
      <c r="C1993" s="85">
        <v>64226.6</v>
      </c>
      <c r="D1993" s="51">
        <v>0</v>
      </c>
    </row>
    <row r="1994" spans="1:4" ht="15" customHeight="1">
      <c r="A1994" s="50">
        <v>45010</v>
      </c>
      <c r="B1994" s="49" t="s">
        <v>30</v>
      </c>
      <c r="C1994" s="51">
        <v>54114.3</v>
      </c>
      <c r="D1994" s="51">
        <v>0</v>
      </c>
    </row>
    <row r="1995" spans="1:4" ht="15" customHeight="1">
      <c r="A1995" s="50">
        <v>45010</v>
      </c>
      <c r="B1995" s="49" t="s">
        <v>31</v>
      </c>
      <c r="C1995" s="51">
        <v>54150.6</v>
      </c>
      <c r="D1995" s="51">
        <v>0</v>
      </c>
    </row>
    <row r="1996" spans="1:4" ht="15" customHeight="1">
      <c r="A1996" s="50">
        <v>45010</v>
      </c>
      <c r="B1996" s="49" t="s">
        <v>32</v>
      </c>
      <c r="C1996" s="51">
        <v>54254.6</v>
      </c>
      <c r="D1996" s="51">
        <v>0</v>
      </c>
    </row>
    <row r="1997" spans="1:4" ht="15" customHeight="1">
      <c r="A1997" s="50">
        <v>45010</v>
      </c>
      <c r="B1997" s="49" t="s">
        <v>33</v>
      </c>
      <c r="C1997" s="51">
        <v>53374.8</v>
      </c>
      <c r="D1997" s="51">
        <v>0</v>
      </c>
    </row>
    <row r="1998" spans="1:4" ht="15" customHeight="1">
      <c r="A1998" s="50">
        <v>45010</v>
      </c>
      <c r="B1998" s="49" t="s">
        <v>34</v>
      </c>
      <c r="C1998" s="51">
        <v>52463.6</v>
      </c>
      <c r="D1998" s="51">
        <v>0</v>
      </c>
    </row>
    <row r="1999" spans="1:4" ht="15" customHeight="1">
      <c r="A1999" s="50">
        <v>45010</v>
      </c>
      <c r="B1999" s="49" t="s">
        <v>35</v>
      </c>
      <c r="C1999" s="51">
        <v>53077.8</v>
      </c>
      <c r="D1999" s="51">
        <v>0</v>
      </c>
    </row>
    <row r="2000" spans="1:4" ht="15" customHeight="1">
      <c r="A2000" s="50">
        <v>45010</v>
      </c>
      <c r="B2000" s="49" t="s">
        <v>36</v>
      </c>
      <c r="C2000" s="51">
        <v>53210.1</v>
      </c>
      <c r="D2000" s="51">
        <v>0</v>
      </c>
    </row>
    <row r="2001" spans="1:4" ht="15" customHeight="1">
      <c r="A2001" s="50">
        <v>45010</v>
      </c>
      <c r="B2001" s="49" t="s">
        <v>37</v>
      </c>
      <c r="C2001" s="51">
        <v>52965.2</v>
      </c>
      <c r="D2001" s="51">
        <v>0</v>
      </c>
    </row>
    <row r="2002" spans="1:4" ht="15" customHeight="1">
      <c r="A2002" s="50">
        <v>45010</v>
      </c>
      <c r="B2002" s="49" t="s">
        <v>38</v>
      </c>
      <c r="C2002" s="51">
        <v>53430.9</v>
      </c>
      <c r="D2002" s="51">
        <v>0</v>
      </c>
    </row>
    <row r="2003" spans="1:4" ht="15" customHeight="1">
      <c r="A2003" s="50">
        <v>45010</v>
      </c>
      <c r="B2003" s="49" t="s">
        <v>39</v>
      </c>
      <c r="C2003" s="51">
        <v>54760.5</v>
      </c>
      <c r="D2003" s="51">
        <v>0</v>
      </c>
    </row>
    <row r="2004" spans="1:4" ht="15" customHeight="1">
      <c r="A2004" s="50">
        <v>45010</v>
      </c>
      <c r="B2004" s="49" t="s">
        <v>40</v>
      </c>
      <c r="C2004" s="51">
        <v>54201.5</v>
      </c>
      <c r="D2004" s="51">
        <v>0</v>
      </c>
    </row>
    <row r="2005" spans="1:4" ht="15" customHeight="1">
      <c r="A2005" s="50">
        <v>45010</v>
      </c>
      <c r="B2005" s="49" t="s">
        <v>41</v>
      </c>
      <c r="C2005" s="51">
        <v>54264.4</v>
      </c>
      <c r="D2005" s="51">
        <v>0</v>
      </c>
    </row>
    <row r="2006" spans="1:4" ht="15" customHeight="1">
      <c r="A2006" s="50">
        <v>45010</v>
      </c>
      <c r="B2006" s="49" t="s">
        <v>42</v>
      </c>
      <c r="C2006" s="51">
        <v>54172.3</v>
      </c>
      <c r="D2006" s="51">
        <v>0</v>
      </c>
    </row>
    <row r="2007" spans="1:4" ht="15" customHeight="1">
      <c r="A2007" s="50">
        <v>45010</v>
      </c>
      <c r="B2007" s="49" t="s">
        <v>43</v>
      </c>
      <c r="C2007" s="51">
        <v>54322.400000000001</v>
      </c>
      <c r="D2007" s="51">
        <v>0</v>
      </c>
    </row>
    <row r="2008" spans="1:4" ht="15" customHeight="1">
      <c r="A2008" s="50">
        <v>45010</v>
      </c>
      <c r="B2008" s="49" t="s">
        <v>44</v>
      </c>
      <c r="C2008" s="51">
        <v>54361.9</v>
      </c>
      <c r="D2008" s="51">
        <v>0</v>
      </c>
    </row>
    <row r="2009" spans="1:4" ht="15" customHeight="1">
      <c r="A2009" s="50">
        <v>45010</v>
      </c>
      <c r="B2009" s="49" t="s">
        <v>45</v>
      </c>
      <c r="C2009" s="51">
        <v>54117.7</v>
      </c>
      <c r="D2009" s="51">
        <v>0</v>
      </c>
    </row>
    <row r="2010" spans="1:4" ht="15" customHeight="1">
      <c r="A2010" s="50">
        <v>45010</v>
      </c>
      <c r="B2010" s="49" t="s">
        <v>46</v>
      </c>
      <c r="C2010" s="51">
        <v>54169.8</v>
      </c>
      <c r="D2010" s="51">
        <v>0</v>
      </c>
    </row>
    <row r="2011" spans="1:4" ht="15" customHeight="1">
      <c r="A2011" s="50">
        <v>45010</v>
      </c>
      <c r="B2011" s="49" t="s">
        <v>47</v>
      </c>
      <c r="C2011" s="51">
        <v>54255.8</v>
      </c>
      <c r="D2011" s="51">
        <v>0</v>
      </c>
    </row>
    <row r="2012" spans="1:4" ht="15" customHeight="1">
      <c r="A2012" s="50">
        <v>45010</v>
      </c>
      <c r="B2012" s="49" t="s">
        <v>48</v>
      </c>
      <c r="C2012" s="51">
        <v>54301.9</v>
      </c>
      <c r="D2012" s="51">
        <v>0</v>
      </c>
    </row>
    <row r="2013" spans="1:4" ht="15" customHeight="1">
      <c r="A2013" s="50">
        <v>45010</v>
      </c>
      <c r="B2013" s="49" t="s">
        <v>49</v>
      </c>
      <c r="C2013" s="51">
        <v>54134.7</v>
      </c>
      <c r="D2013" s="51">
        <v>0</v>
      </c>
    </row>
    <row r="2014" spans="1:4" ht="15" customHeight="1">
      <c r="A2014" s="50">
        <v>45010</v>
      </c>
      <c r="B2014" s="49" t="s">
        <v>50</v>
      </c>
      <c r="C2014" s="51">
        <v>54198.3</v>
      </c>
      <c r="D2014" s="51">
        <v>0</v>
      </c>
    </row>
    <row r="2015" spans="1:4" ht="15" customHeight="1">
      <c r="A2015" s="50">
        <v>45010</v>
      </c>
      <c r="B2015" s="49" t="s">
        <v>51</v>
      </c>
      <c r="C2015" s="51">
        <v>53832.7</v>
      </c>
      <c r="D2015" s="51">
        <v>0</v>
      </c>
    </row>
    <row r="2016" spans="1:4" ht="15" customHeight="1">
      <c r="A2016" s="50">
        <v>45010</v>
      </c>
      <c r="B2016" s="49" t="s">
        <v>52</v>
      </c>
      <c r="C2016" s="51">
        <v>54188.1</v>
      </c>
      <c r="D2016" s="51">
        <v>0</v>
      </c>
    </row>
    <row r="2017" spans="1:4" ht="15" customHeight="1">
      <c r="A2017" s="50">
        <v>45010</v>
      </c>
      <c r="B2017" s="49" t="s">
        <v>53</v>
      </c>
      <c r="C2017" s="51">
        <v>53881.2</v>
      </c>
      <c r="D2017" s="51">
        <v>0</v>
      </c>
    </row>
    <row r="2018" spans="1:4" ht="15" customHeight="1">
      <c r="A2018" s="50">
        <v>45011</v>
      </c>
      <c r="B2018" s="49" t="s">
        <v>30</v>
      </c>
      <c r="C2018" s="51">
        <v>52872</v>
      </c>
      <c r="D2018" s="51">
        <v>0</v>
      </c>
    </row>
    <row r="2019" spans="1:4" ht="15" customHeight="1">
      <c r="A2019" s="50">
        <v>45011</v>
      </c>
      <c r="B2019" s="49" t="s">
        <v>31</v>
      </c>
      <c r="C2019" s="51">
        <v>52754.7</v>
      </c>
      <c r="D2019" s="51">
        <v>0</v>
      </c>
    </row>
    <row r="2020" spans="1:4" ht="15" customHeight="1">
      <c r="A2020" s="50">
        <v>45011</v>
      </c>
      <c r="B2020" s="49" t="s">
        <v>32</v>
      </c>
      <c r="C2020" s="51">
        <v>53158</v>
      </c>
      <c r="D2020" s="51">
        <v>0</v>
      </c>
    </row>
    <row r="2021" spans="1:4" ht="15" customHeight="1">
      <c r="A2021" s="50">
        <v>45011</v>
      </c>
      <c r="B2021" s="49" t="s">
        <v>33</v>
      </c>
      <c r="C2021" s="51">
        <v>53234.400000000001</v>
      </c>
      <c r="D2021" s="51">
        <v>0</v>
      </c>
    </row>
    <row r="2022" spans="1:4" ht="15" customHeight="1">
      <c r="A2022" s="50">
        <v>45011</v>
      </c>
      <c r="B2022" s="49" t="s">
        <v>34</v>
      </c>
      <c r="C2022" s="51">
        <v>53406</v>
      </c>
      <c r="D2022" s="51">
        <v>0</v>
      </c>
    </row>
    <row r="2023" spans="1:4" ht="15" customHeight="1">
      <c r="A2023" s="50">
        <v>45011</v>
      </c>
      <c r="B2023" s="49" t="s">
        <v>35</v>
      </c>
      <c r="C2023" s="51">
        <v>53323.8</v>
      </c>
      <c r="D2023" s="51">
        <v>0</v>
      </c>
    </row>
    <row r="2024" spans="1:4" ht="15" customHeight="1">
      <c r="A2024" s="50">
        <v>45011</v>
      </c>
      <c r="B2024" s="49" t="s">
        <v>36</v>
      </c>
      <c r="C2024" s="51">
        <v>17421.400000000001</v>
      </c>
      <c r="D2024" s="51">
        <v>0</v>
      </c>
    </row>
    <row r="2025" spans="1:4" ht="15" customHeight="1">
      <c r="A2025" s="50">
        <v>45011</v>
      </c>
      <c r="B2025" s="49" t="s">
        <v>37</v>
      </c>
      <c r="C2025" s="51">
        <v>182.2</v>
      </c>
      <c r="D2025" s="51">
        <v>702.8</v>
      </c>
    </row>
    <row r="2026" spans="1:4" ht="15" customHeight="1">
      <c r="A2026" s="50">
        <v>45011</v>
      </c>
      <c r="B2026" s="49" t="s">
        <v>38</v>
      </c>
      <c r="C2026" s="51">
        <v>16590.7</v>
      </c>
      <c r="D2026" s="51">
        <v>8.6</v>
      </c>
    </row>
    <row r="2027" spans="1:4" ht="15" customHeight="1">
      <c r="A2027" s="50">
        <v>45011</v>
      </c>
      <c r="B2027" s="49" t="s">
        <v>39</v>
      </c>
      <c r="C2027" s="51">
        <v>42518.5</v>
      </c>
      <c r="D2027" s="51">
        <v>0</v>
      </c>
    </row>
    <row r="2028" spans="1:4" ht="15" customHeight="1">
      <c r="A2028" s="50">
        <v>45011</v>
      </c>
      <c r="B2028" s="49" t="s">
        <v>40</v>
      </c>
      <c r="C2028" s="51">
        <v>51540.800000000003</v>
      </c>
      <c r="D2028" s="51">
        <v>0</v>
      </c>
    </row>
    <row r="2029" spans="1:4" ht="15" customHeight="1">
      <c r="A2029" s="50">
        <v>45011</v>
      </c>
      <c r="B2029" s="49" t="s">
        <v>41</v>
      </c>
      <c r="C2029" s="51">
        <v>54683.7</v>
      </c>
      <c r="D2029" s="51">
        <v>0</v>
      </c>
    </row>
    <row r="2030" spans="1:4" ht="15" customHeight="1">
      <c r="A2030" s="50">
        <v>45011</v>
      </c>
      <c r="B2030" s="49" t="s">
        <v>42</v>
      </c>
      <c r="C2030" s="51">
        <v>54675.3</v>
      </c>
      <c r="D2030" s="51">
        <v>0</v>
      </c>
    </row>
    <row r="2031" spans="1:4" ht="15" customHeight="1">
      <c r="A2031" s="50">
        <v>45011</v>
      </c>
      <c r="B2031" s="49" t="s">
        <v>43</v>
      </c>
      <c r="C2031" s="51">
        <v>54537.2</v>
      </c>
      <c r="D2031" s="51">
        <v>0</v>
      </c>
    </row>
    <row r="2032" spans="1:4" ht="15" customHeight="1">
      <c r="A2032" s="50">
        <v>45011</v>
      </c>
      <c r="B2032" s="49" t="s">
        <v>44</v>
      </c>
      <c r="C2032" s="51">
        <v>54165.2</v>
      </c>
      <c r="D2032" s="51">
        <v>0</v>
      </c>
    </row>
    <row r="2033" spans="1:4" ht="15" customHeight="1">
      <c r="A2033" s="50">
        <v>45011</v>
      </c>
      <c r="B2033" s="49" t="s">
        <v>45</v>
      </c>
      <c r="C2033" s="51">
        <v>54737.5</v>
      </c>
      <c r="D2033" s="51">
        <v>0</v>
      </c>
    </row>
    <row r="2034" spans="1:4" ht="15" customHeight="1">
      <c r="A2034" s="50">
        <v>45011</v>
      </c>
      <c r="B2034" s="49" t="s">
        <v>46</v>
      </c>
      <c r="C2034" s="51">
        <v>54758.400000000001</v>
      </c>
      <c r="D2034" s="51">
        <v>0</v>
      </c>
    </row>
    <row r="2035" spans="1:4" ht="15" customHeight="1">
      <c r="A2035" s="50">
        <v>45011</v>
      </c>
      <c r="B2035" s="49" t="s">
        <v>47</v>
      </c>
      <c r="C2035" s="51">
        <v>54594.7</v>
      </c>
      <c r="D2035" s="51">
        <v>0</v>
      </c>
    </row>
    <row r="2036" spans="1:4" ht="15" customHeight="1">
      <c r="A2036" s="50">
        <v>45011</v>
      </c>
      <c r="B2036" s="49" t="s">
        <v>48</v>
      </c>
      <c r="C2036" s="51">
        <v>54785.8</v>
      </c>
      <c r="D2036" s="51">
        <v>0</v>
      </c>
    </row>
    <row r="2037" spans="1:4" ht="15" customHeight="1">
      <c r="A2037" s="50">
        <v>45011</v>
      </c>
      <c r="B2037" s="49" t="s">
        <v>49</v>
      </c>
      <c r="C2037" s="51">
        <v>54557.8</v>
      </c>
      <c r="D2037" s="51">
        <v>0</v>
      </c>
    </row>
    <row r="2038" spans="1:4" ht="15" customHeight="1">
      <c r="A2038" s="50">
        <v>45011</v>
      </c>
      <c r="B2038" s="49" t="s">
        <v>50</v>
      </c>
      <c r="C2038" s="51">
        <v>53064</v>
      </c>
      <c r="D2038" s="51">
        <v>0</v>
      </c>
    </row>
    <row r="2039" spans="1:4" ht="15" customHeight="1">
      <c r="A2039" s="50">
        <v>45011</v>
      </c>
      <c r="B2039" s="49" t="s">
        <v>51</v>
      </c>
      <c r="C2039" s="51">
        <v>53135.4</v>
      </c>
      <c r="D2039" s="51">
        <v>0</v>
      </c>
    </row>
    <row r="2040" spans="1:4" ht="15" customHeight="1">
      <c r="A2040" s="50">
        <v>45011</v>
      </c>
      <c r="B2040" s="49" t="s">
        <v>52</v>
      </c>
      <c r="C2040" s="51">
        <v>53551.199999999997</v>
      </c>
      <c r="D2040" s="51">
        <v>0</v>
      </c>
    </row>
    <row r="2041" spans="1:4" ht="15" customHeight="1">
      <c r="A2041" s="50">
        <v>45011</v>
      </c>
      <c r="B2041" s="49" t="s">
        <v>53</v>
      </c>
      <c r="C2041" s="51">
        <v>53742.7</v>
      </c>
      <c r="D2041" s="51">
        <v>0</v>
      </c>
    </row>
    <row r="2042" spans="1:4" ht="15" customHeight="1">
      <c r="A2042" s="50">
        <v>45012</v>
      </c>
      <c r="B2042" s="49" t="s">
        <v>30</v>
      </c>
      <c r="C2042" s="51">
        <v>54256.7</v>
      </c>
      <c r="D2042" s="51">
        <v>0</v>
      </c>
    </row>
    <row r="2043" spans="1:4" ht="15" customHeight="1">
      <c r="A2043" s="50">
        <v>45012</v>
      </c>
      <c r="B2043" s="49" t="s">
        <v>31</v>
      </c>
      <c r="C2043" s="51">
        <v>53717.3</v>
      </c>
      <c r="D2043" s="51">
        <v>0</v>
      </c>
    </row>
    <row r="2044" spans="1:4" ht="15" customHeight="1">
      <c r="A2044" s="50">
        <v>45012</v>
      </c>
      <c r="B2044" s="49" t="s">
        <v>32</v>
      </c>
      <c r="C2044" s="51">
        <v>53758.5</v>
      </c>
      <c r="D2044" s="51">
        <v>0</v>
      </c>
    </row>
    <row r="2045" spans="1:4" ht="15" customHeight="1">
      <c r="A2045" s="50">
        <v>45012</v>
      </c>
      <c r="B2045" s="49" t="s">
        <v>33</v>
      </c>
      <c r="C2045" s="51">
        <v>54311.1</v>
      </c>
      <c r="D2045" s="51">
        <v>0</v>
      </c>
    </row>
    <row r="2046" spans="1:4" ht="15" customHeight="1">
      <c r="A2046" s="50">
        <v>45012</v>
      </c>
      <c r="B2046" s="49" t="s">
        <v>34</v>
      </c>
      <c r="C2046" s="51">
        <v>54781.599999999999</v>
      </c>
      <c r="D2046" s="51">
        <v>0</v>
      </c>
    </row>
    <row r="2047" spans="1:4" ht="15" customHeight="1">
      <c r="A2047" s="50">
        <v>45012</v>
      </c>
      <c r="B2047" s="49" t="s">
        <v>35</v>
      </c>
      <c r="C2047" s="51">
        <v>54131.6</v>
      </c>
      <c r="D2047" s="51">
        <v>0</v>
      </c>
    </row>
    <row r="2048" spans="1:4" ht="15" customHeight="1">
      <c r="A2048" s="50">
        <v>45012</v>
      </c>
      <c r="B2048" s="49" t="s">
        <v>36</v>
      </c>
      <c r="C2048" s="51">
        <v>53886.9</v>
      </c>
      <c r="D2048" s="51">
        <v>0</v>
      </c>
    </row>
    <row r="2049" spans="1:4" ht="15" customHeight="1">
      <c r="A2049" s="50">
        <v>45012</v>
      </c>
      <c r="B2049" s="49" t="s">
        <v>37</v>
      </c>
      <c r="C2049" s="51">
        <v>54190.6</v>
      </c>
      <c r="D2049" s="51">
        <v>0</v>
      </c>
    </row>
    <row r="2050" spans="1:4" ht="15" customHeight="1">
      <c r="A2050" s="50">
        <v>45012</v>
      </c>
      <c r="B2050" s="49" t="s">
        <v>38</v>
      </c>
      <c r="C2050" s="51">
        <v>54095.9</v>
      </c>
      <c r="D2050" s="51">
        <v>0</v>
      </c>
    </row>
    <row r="2051" spans="1:4" ht="15" customHeight="1">
      <c r="A2051" s="50">
        <v>45012</v>
      </c>
      <c r="B2051" s="49" t="s">
        <v>39</v>
      </c>
      <c r="C2051" s="51">
        <v>54101.9</v>
      </c>
      <c r="D2051" s="51">
        <v>0</v>
      </c>
    </row>
    <row r="2052" spans="1:4" ht="15" customHeight="1">
      <c r="A2052" s="50">
        <v>45012</v>
      </c>
      <c r="B2052" s="49" t="s">
        <v>40</v>
      </c>
      <c r="C2052" s="51">
        <v>54998.1</v>
      </c>
      <c r="D2052" s="51">
        <v>0</v>
      </c>
    </row>
    <row r="2053" spans="1:4" ht="15" customHeight="1">
      <c r="A2053" s="50">
        <v>45012</v>
      </c>
      <c r="B2053" s="49" t="s">
        <v>41</v>
      </c>
      <c r="C2053" s="51">
        <v>54699.9</v>
      </c>
      <c r="D2053" s="51">
        <v>0</v>
      </c>
    </row>
    <row r="2054" spans="1:4" ht="15" customHeight="1">
      <c r="A2054" s="50">
        <v>45012</v>
      </c>
      <c r="B2054" s="49" t="s">
        <v>42</v>
      </c>
      <c r="C2054" s="51">
        <v>54818.2</v>
      </c>
      <c r="D2054" s="51">
        <v>0</v>
      </c>
    </row>
    <row r="2055" spans="1:4" ht="15" customHeight="1">
      <c r="A2055" s="50">
        <v>45012</v>
      </c>
      <c r="B2055" s="49" t="s">
        <v>43</v>
      </c>
      <c r="C2055" s="51">
        <v>54886.6</v>
      </c>
      <c r="D2055" s="51">
        <v>0</v>
      </c>
    </row>
    <row r="2056" spans="1:4" ht="15" customHeight="1">
      <c r="A2056" s="50">
        <v>45012</v>
      </c>
      <c r="B2056" s="49" t="s">
        <v>44</v>
      </c>
      <c r="C2056" s="51">
        <v>54745.7</v>
      </c>
      <c r="D2056" s="51">
        <v>0</v>
      </c>
    </row>
    <row r="2057" spans="1:4" ht="15" customHeight="1">
      <c r="A2057" s="50">
        <v>45012</v>
      </c>
      <c r="B2057" s="49" t="s">
        <v>45</v>
      </c>
      <c r="C2057" s="51">
        <v>54769.5</v>
      </c>
      <c r="D2057" s="51">
        <v>0</v>
      </c>
    </row>
    <row r="2058" spans="1:4" ht="15" customHeight="1">
      <c r="A2058" s="50">
        <v>45012</v>
      </c>
      <c r="B2058" s="49" t="s">
        <v>46</v>
      </c>
      <c r="C2058" s="51">
        <v>54631.1</v>
      </c>
      <c r="D2058" s="51">
        <v>0</v>
      </c>
    </row>
    <row r="2059" spans="1:4" ht="15" customHeight="1">
      <c r="A2059" s="50">
        <v>45012</v>
      </c>
      <c r="B2059" s="49" t="s">
        <v>47</v>
      </c>
      <c r="C2059" s="51">
        <v>54784.7</v>
      </c>
      <c r="D2059" s="51">
        <v>0</v>
      </c>
    </row>
    <row r="2060" spans="1:4" ht="15" customHeight="1">
      <c r="A2060" s="50">
        <v>45012</v>
      </c>
      <c r="B2060" s="49" t="s">
        <v>48</v>
      </c>
      <c r="C2060" s="51">
        <v>55082.7</v>
      </c>
      <c r="D2060" s="51">
        <v>0</v>
      </c>
    </row>
    <row r="2061" spans="1:4" ht="15" customHeight="1">
      <c r="A2061" s="50">
        <v>45012</v>
      </c>
      <c r="B2061" s="49" t="s">
        <v>49</v>
      </c>
      <c r="C2061" s="51">
        <v>54782.7</v>
      </c>
      <c r="D2061" s="51">
        <v>0</v>
      </c>
    </row>
    <row r="2062" spans="1:4" ht="15" customHeight="1">
      <c r="A2062" s="50">
        <v>45012</v>
      </c>
      <c r="B2062" s="49" t="s">
        <v>50</v>
      </c>
      <c r="C2062" s="51">
        <v>54733.5</v>
      </c>
      <c r="D2062" s="51">
        <v>0</v>
      </c>
    </row>
    <row r="2063" spans="1:4" ht="15" customHeight="1">
      <c r="A2063" s="50">
        <v>45012</v>
      </c>
      <c r="B2063" s="49" t="s">
        <v>51</v>
      </c>
      <c r="C2063" s="51">
        <v>64618.1</v>
      </c>
      <c r="D2063" s="51">
        <v>0</v>
      </c>
    </row>
    <row r="2064" spans="1:4" ht="15" customHeight="1">
      <c r="A2064" s="50">
        <v>45012</v>
      </c>
      <c r="B2064" s="49" t="s">
        <v>52</v>
      </c>
      <c r="C2064" s="51">
        <v>66710.3</v>
      </c>
      <c r="D2064" s="51">
        <v>0</v>
      </c>
    </row>
    <row r="2065" spans="1:4" ht="15" customHeight="1">
      <c r="A2065" s="50">
        <v>45012</v>
      </c>
      <c r="B2065" s="49" t="s">
        <v>53</v>
      </c>
      <c r="C2065" s="51">
        <v>66334.7</v>
      </c>
      <c r="D2065" s="51">
        <v>0</v>
      </c>
    </row>
    <row r="2066" spans="1:4" ht="15" customHeight="1">
      <c r="A2066" s="50">
        <v>45013</v>
      </c>
      <c r="B2066" s="49" t="s">
        <v>30</v>
      </c>
      <c r="C2066" s="51">
        <v>55112.5</v>
      </c>
      <c r="D2066" s="51">
        <v>0</v>
      </c>
    </row>
    <row r="2067" spans="1:4" ht="15" customHeight="1">
      <c r="A2067" s="50">
        <v>45013</v>
      </c>
      <c r="B2067" s="49" t="s">
        <v>31</v>
      </c>
      <c r="C2067" s="51">
        <v>53508</v>
      </c>
      <c r="D2067" s="51">
        <v>0</v>
      </c>
    </row>
    <row r="2068" spans="1:4" ht="15" customHeight="1">
      <c r="A2068" s="50">
        <v>45013</v>
      </c>
      <c r="B2068" s="49" t="s">
        <v>32</v>
      </c>
      <c r="C2068" s="51">
        <v>53601.2</v>
      </c>
      <c r="D2068" s="51">
        <v>0</v>
      </c>
    </row>
    <row r="2069" spans="1:4" ht="15" customHeight="1">
      <c r="A2069" s="50">
        <v>45013</v>
      </c>
      <c r="B2069" s="49" t="s">
        <v>33</v>
      </c>
      <c r="C2069" s="51">
        <v>53560.6</v>
      </c>
      <c r="D2069" s="51">
        <v>0</v>
      </c>
    </row>
    <row r="2070" spans="1:4" ht="15" customHeight="1">
      <c r="A2070" s="50">
        <v>45013</v>
      </c>
      <c r="B2070" s="49" t="s">
        <v>34</v>
      </c>
      <c r="C2070" s="51">
        <v>53552.6</v>
      </c>
      <c r="D2070" s="51">
        <v>0</v>
      </c>
    </row>
    <row r="2071" spans="1:4" ht="15" customHeight="1">
      <c r="A2071" s="50">
        <v>45013</v>
      </c>
      <c r="B2071" s="49" t="s">
        <v>35</v>
      </c>
      <c r="C2071" s="51">
        <v>54178.7</v>
      </c>
      <c r="D2071" s="51">
        <v>0</v>
      </c>
    </row>
    <row r="2072" spans="1:4" ht="15" customHeight="1">
      <c r="A2072" s="50">
        <v>45013</v>
      </c>
      <c r="B2072" s="49" t="s">
        <v>36</v>
      </c>
      <c r="C2072" s="51">
        <v>54884.800000000003</v>
      </c>
      <c r="D2072" s="51">
        <v>0</v>
      </c>
    </row>
    <row r="2073" spans="1:4" ht="15" customHeight="1">
      <c r="A2073" s="50">
        <v>45013</v>
      </c>
      <c r="B2073" s="49" t="s">
        <v>37</v>
      </c>
      <c r="C2073" s="51">
        <v>54479.7</v>
      </c>
      <c r="D2073" s="51">
        <v>0</v>
      </c>
    </row>
    <row r="2074" spans="1:4" ht="15" customHeight="1">
      <c r="A2074" s="50">
        <v>45013</v>
      </c>
      <c r="B2074" s="49" t="s">
        <v>38</v>
      </c>
      <c r="C2074" s="51">
        <v>53994.2</v>
      </c>
      <c r="D2074" s="51">
        <v>0</v>
      </c>
    </row>
    <row r="2075" spans="1:4" ht="15" customHeight="1">
      <c r="A2075" s="50">
        <v>45013</v>
      </c>
      <c r="B2075" s="49" t="s">
        <v>39</v>
      </c>
      <c r="C2075" s="51">
        <v>53958.7</v>
      </c>
      <c r="D2075" s="51">
        <v>0</v>
      </c>
    </row>
    <row r="2076" spans="1:4" ht="15" customHeight="1">
      <c r="A2076" s="50">
        <v>45013</v>
      </c>
      <c r="B2076" s="49" t="s">
        <v>40</v>
      </c>
      <c r="C2076" s="51">
        <v>53881.8</v>
      </c>
      <c r="D2076" s="51">
        <v>0</v>
      </c>
    </row>
    <row r="2077" spans="1:4" ht="15" customHeight="1">
      <c r="A2077" s="50">
        <v>45013</v>
      </c>
      <c r="B2077" s="49" t="s">
        <v>41</v>
      </c>
      <c r="C2077" s="51">
        <v>54121.5</v>
      </c>
      <c r="D2077" s="51">
        <v>0</v>
      </c>
    </row>
    <row r="2078" spans="1:4" ht="15" customHeight="1">
      <c r="A2078" s="50">
        <v>45013</v>
      </c>
      <c r="B2078" s="49" t="s">
        <v>42</v>
      </c>
      <c r="C2078" s="51">
        <v>54760.6</v>
      </c>
      <c r="D2078" s="51">
        <v>0</v>
      </c>
    </row>
    <row r="2079" spans="1:4" ht="15" customHeight="1">
      <c r="A2079" s="50">
        <v>45013</v>
      </c>
      <c r="B2079" s="49" t="s">
        <v>43</v>
      </c>
      <c r="C2079" s="51">
        <v>53518.7</v>
      </c>
      <c r="D2079" s="51">
        <v>0</v>
      </c>
    </row>
    <row r="2080" spans="1:4" ht="15" customHeight="1">
      <c r="A2080" s="50">
        <v>45013</v>
      </c>
      <c r="B2080" s="49" t="s">
        <v>44</v>
      </c>
      <c r="C2080" s="51">
        <v>53652.2</v>
      </c>
      <c r="D2080" s="51">
        <v>0</v>
      </c>
    </row>
    <row r="2081" spans="1:4" ht="15" customHeight="1">
      <c r="A2081" s="50">
        <v>45013</v>
      </c>
      <c r="B2081" s="49" t="s">
        <v>45</v>
      </c>
      <c r="C2081" s="51">
        <v>53609.1</v>
      </c>
      <c r="D2081" s="51">
        <v>0</v>
      </c>
    </row>
    <row r="2082" spans="1:4" ht="15" customHeight="1">
      <c r="A2082" s="50">
        <v>45013</v>
      </c>
      <c r="B2082" s="49" t="s">
        <v>46</v>
      </c>
      <c r="C2082" s="51">
        <v>53169</v>
      </c>
      <c r="D2082" s="51">
        <v>0</v>
      </c>
    </row>
    <row r="2083" spans="1:4" ht="15" customHeight="1">
      <c r="A2083" s="50">
        <v>45013</v>
      </c>
      <c r="B2083" s="49" t="s">
        <v>47</v>
      </c>
      <c r="C2083" s="51">
        <v>54293.3</v>
      </c>
      <c r="D2083" s="51">
        <v>0</v>
      </c>
    </row>
    <row r="2084" spans="1:4" ht="15" customHeight="1">
      <c r="A2084" s="50">
        <v>45013</v>
      </c>
      <c r="B2084" s="49" t="s">
        <v>48</v>
      </c>
      <c r="C2084" s="51">
        <v>54737</v>
      </c>
      <c r="D2084" s="51">
        <v>0</v>
      </c>
    </row>
    <row r="2085" spans="1:4" ht="15" customHeight="1">
      <c r="A2085" s="50">
        <v>45013</v>
      </c>
      <c r="B2085" s="49" t="s">
        <v>49</v>
      </c>
      <c r="C2085" s="51">
        <v>58797.7</v>
      </c>
      <c r="D2085" s="51">
        <v>0</v>
      </c>
    </row>
    <row r="2086" spans="1:4" ht="15" customHeight="1">
      <c r="A2086" s="50">
        <v>45013</v>
      </c>
      <c r="B2086" s="49" t="s">
        <v>50</v>
      </c>
      <c r="C2086" s="51">
        <v>67853.5</v>
      </c>
      <c r="D2086" s="51">
        <v>0</v>
      </c>
    </row>
    <row r="2087" spans="1:4" ht="15" customHeight="1">
      <c r="A2087" s="50">
        <v>45013</v>
      </c>
      <c r="B2087" s="49" t="s">
        <v>51</v>
      </c>
      <c r="C2087" s="51">
        <v>66146.899999999994</v>
      </c>
      <c r="D2087" s="51">
        <v>0</v>
      </c>
    </row>
    <row r="2088" spans="1:4" ht="15" customHeight="1">
      <c r="A2088" s="50">
        <v>45013</v>
      </c>
      <c r="B2088" s="49" t="s">
        <v>52</v>
      </c>
      <c r="C2088" s="51">
        <v>66138</v>
      </c>
      <c r="D2088" s="51">
        <v>0</v>
      </c>
    </row>
    <row r="2089" spans="1:4" ht="15" customHeight="1">
      <c r="A2089" s="50">
        <v>45013</v>
      </c>
      <c r="B2089" s="49" t="s">
        <v>53</v>
      </c>
      <c r="C2089" s="51">
        <v>63886.7</v>
      </c>
      <c r="D2089" s="51">
        <v>0</v>
      </c>
    </row>
    <row r="2090" spans="1:4" ht="15" customHeight="1">
      <c r="A2090" s="50">
        <v>45014</v>
      </c>
      <c r="B2090" s="49" t="s">
        <v>30</v>
      </c>
      <c r="C2090" s="51">
        <v>54871.9</v>
      </c>
      <c r="D2090" s="51">
        <v>0</v>
      </c>
    </row>
    <row r="2091" spans="1:4" ht="15" customHeight="1">
      <c r="A2091" s="50">
        <v>45014</v>
      </c>
      <c r="B2091" s="49" t="s">
        <v>31</v>
      </c>
      <c r="C2091" s="51">
        <v>54764.800000000003</v>
      </c>
      <c r="D2091" s="51">
        <v>0</v>
      </c>
    </row>
    <row r="2092" spans="1:4" ht="15" customHeight="1">
      <c r="A2092" s="50">
        <v>45014</v>
      </c>
      <c r="B2092" s="49" t="s">
        <v>32</v>
      </c>
      <c r="C2092" s="51">
        <v>54728</v>
      </c>
      <c r="D2092" s="51">
        <v>0</v>
      </c>
    </row>
    <row r="2093" spans="1:4" ht="15" customHeight="1">
      <c r="A2093" s="50">
        <v>45014</v>
      </c>
      <c r="B2093" s="49" t="s">
        <v>33</v>
      </c>
      <c r="C2093" s="51">
        <v>54703.7</v>
      </c>
      <c r="D2093" s="51">
        <v>0</v>
      </c>
    </row>
    <row r="2094" spans="1:4" ht="15" customHeight="1">
      <c r="A2094" s="50">
        <v>45014</v>
      </c>
      <c r="B2094" s="49" t="s">
        <v>34</v>
      </c>
      <c r="C2094" s="51">
        <v>54316.6</v>
      </c>
      <c r="D2094" s="51">
        <v>0</v>
      </c>
    </row>
    <row r="2095" spans="1:4" ht="15" customHeight="1">
      <c r="A2095" s="50">
        <v>45014</v>
      </c>
      <c r="B2095" s="49" t="s">
        <v>35</v>
      </c>
      <c r="C2095" s="51">
        <v>53608.9</v>
      </c>
      <c r="D2095" s="51">
        <v>0</v>
      </c>
    </row>
    <row r="2096" spans="1:4" ht="15" customHeight="1">
      <c r="A2096" s="50">
        <v>45014</v>
      </c>
      <c r="B2096" s="49" t="s">
        <v>36</v>
      </c>
      <c r="C2096" s="51">
        <v>53721.599999999999</v>
      </c>
      <c r="D2096" s="51">
        <v>0</v>
      </c>
    </row>
    <row r="2097" spans="1:4" ht="15" customHeight="1">
      <c r="A2097" s="50">
        <v>45014</v>
      </c>
      <c r="B2097" s="49" t="s">
        <v>37</v>
      </c>
      <c r="C2097" s="51">
        <v>53809.5</v>
      </c>
      <c r="D2097" s="51">
        <v>0</v>
      </c>
    </row>
    <row r="2098" spans="1:4" ht="15" customHeight="1">
      <c r="A2098" s="50">
        <v>45014</v>
      </c>
      <c r="B2098" s="49" t="s">
        <v>38</v>
      </c>
      <c r="C2098" s="51">
        <v>53879.6</v>
      </c>
      <c r="D2098" s="51">
        <v>0</v>
      </c>
    </row>
    <row r="2099" spans="1:4" ht="15" customHeight="1">
      <c r="A2099" s="50">
        <v>45014</v>
      </c>
      <c r="B2099" s="49" t="s">
        <v>39</v>
      </c>
      <c r="C2099" s="51">
        <v>53865.1</v>
      </c>
      <c r="D2099" s="51">
        <v>0</v>
      </c>
    </row>
    <row r="2100" spans="1:4" ht="15" customHeight="1">
      <c r="A2100" s="50">
        <v>45014</v>
      </c>
      <c r="B2100" s="49" t="s">
        <v>40</v>
      </c>
      <c r="C2100" s="51">
        <v>53834.5</v>
      </c>
      <c r="D2100" s="51">
        <v>0</v>
      </c>
    </row>
    <row r="2101" spans="1:4" ht="15" customHeight="1">
      <c r="A2101" s="50">
        <v>45014</v>
      </c>
      <c r="B2101" s="49" t="s">
        <v>41</v>
      </c>
      <c r="C2101" s="51">
        <v>53559.8</v>
      </c>
      <c r="D2101" s="51">
        <v>0</v>
      </c>
    </row>
    <row r="2102" spans="1:4" ht="15" customHeight="1">
      <c r="A2102" s="50">
        <v>45014</v>
      </c>
      <c r="B2102" s="49" t="s">
        <v>42</v>
      </c>
      <c r="C2102" s="51">
        <v>53354</v>
      </c>
      <c r="D2102" s="51">
        <v>0</v>
      </c>
    </row>
    <row r="2103" spans="1:4" ht="15" customHeight="1">
      <c r="A2103" s="50">
        <v>45014</v>
      </c>
      <c r="B2103" s="49" t="s">
        <v>43</v>
      </c>
      <c r="C2103" s="51">
        <v>53326.2</v>
      </c>
      <c r="D2103" s="51">
        <v>0</v>
      </c>
    </row>
    <row r="2104" spans="1:4" ht="15" customHeight="1">
      <c r="A2104" s="50">
        <v>45014</v>
      </c>
      <c r="B2104" s="49" t="s">
        <v>44</v>
      </c>
      <c r="C2104" s="51">
        <v>53355.9</v>
      </c>
      <c r="D2104" s="51">
        <v>0</v>
      </c>
    </row>
    <row r="2105" spans="1:4" ht="15" customHeight="1">
      <c r="A2105" s="50">
        <v>45014</v>
      </c>
      <c r="B2105" s="49" t="s">
        <v>45</v>
      </c>
      <c r="C2105" s="51">
        <v>53240.5</v>
      </c>
      <c r="D2105" s="51">
        <v>0</v>
      </c>
    </row>
    <row r="2106" spans="1:4" ht="15" customHeight="1">
      <c r="A2106" s="50">
        <v>45014</v>
      </c>
      <c r="B2106" s="49" t="s">
        <v>46</v>
      </c>
      <c r="C2106" s="51">
        <v>53304.1</v>
      </c>
      <c r="D2106" s="51">
        <v>0</v>
      </c>
    </row>
    <row r="2107" spans="1:4" ht="15" customHeight="1">
      <c r="A2107" s="50">
        <v>45014</v>
      </c>
      <c r="B2107" s="49" t="s">
        <v>47</v>
      </c>
      <c r="C2107" s="51">
        <v>53213.3</v>
      </c>
      <c r="D2107" s="51">
        <v>0</v>
      </c>
    </row>
    <row r="2108" spans="1:4" ht="15" customHeight="1">
      <c r="A2108" s="50">
        <v>45014</v>
      </c>
      <c r="B2108" s="49" t="s">
        <v>48</v>
      </c>
      <c r="C2108" s="51">
        <v>52750.3</v>
      </c>
      <c r="D2108" s="51">
        <v>0</v>
      </c>
    </row>
    <row r="2109" spans="1:4" ht="15" customHeight="1">
      <c r="A2109" s="50">
        <v>45014</v>
      </c>
      <c r="B2109" s="49" t="s">
        <v>49</v>
      </c>
      <c r="C2109" s="51">
        <v>53619.5</v>
      </c>
      <c r="D2109" s="51">
        <v>0</v>
      </c>
    </row>
    <row r="2110" spans="1:4" ht="15" customHeight="1">
      <c r="A2110" s="50">
        <v>45014</v>
      </c>
      <c r="B2110" s="49" t="s">
        <v>50</v>
      </c>
      <c r="C2110" s="51">
        <v>56541.3</v>
      </c>
      <c r="D2110" s="51">
        <v>0</v>
      </c>
    </row>
    <row r="2111" spans="1:4" ht="15" customHeight="1">
      <c r="A2111" s="50">
        <v>45014</v>
      </c>
      <c r="B2111" s="49" t="s">
        <v>51</v>
      </c>
      <c r="C2111" s="51">
        <v>67345.8</v>
      </c>
      <c r="D2111" s="51">
        <v>0</v>
      </c>
    </row>
    <row r="2112" spans="1:4" ht="15" customHeight="1">
      <c r="A2112" s="50">
        <v>45014</v>
      </c>
      <c r="B2112" s="49" t="s">
        <v>52</v>
      </c>
      <c r="C2112" s="51">
        <v>68683.100000000006</v>
      </c>
      <c r="D2112" s="51">
        <v>0</v>
      </c>
    </row>
    <row r="2113" spans="1:4" ht="15" customHeight="1">
      <c r="A2113" s="50">
        <v>45014</v>
      </c>
      <c r="B2113" s="49" t="s">
        <v>53</v>
      </c>
      <c r="C2113" s="51">
        <v>68197.7</v>
      </c>
      <c r="D2113" s="51">
        <v>0</v>
      </c>
    </row>
    <row r="2114" spans="1:4" ht="15" customHeight="1">
      <c r="A2114" s="50">
        <v>45015</v>
      </c>
      <c r="B2114" s="49" t="s">
        <v>30</v>
      </c>
      <c r="C2114" s="51">
        <v>58974.5</v>
      </c>
      <c r="D2114" s="51">
        <v>0</v>
      </c>
    </row>
    <row r="2115" spans="1:4" ht="15" customHeight="1">
      <c r="A2115" s="50">
        <v>45015</v>
      </c>
      <c r="B2115" s="49" t="s">
        <v>31</v>
      </c>
      <c r="C2115" s="51">
        <v>54576.2</v>
      </c>
      <c r="D2115" s="51">
        <v>0</v>
      </c>
    </row>
    <row r="2116" spans="1:4" ht="15" customHeight="1">
      <c r="A2116" s="50">
        <v>45015</v>
      </c>
      <c r="B2116" s="49" t="s">
        <v>32</v>
      </c>
      <c r="C2116" s="51">
        <v>54566.9</v>
      </c>
      <c r="D2116" s="51">
        <v>0</v>
      </c>
    </row>
    <row r="2117" spans="1:4" ht="15" customHeight="1">
      <c r="A2117" s="50">
        <v>45015</v>
      </c>
      <c r="B2117" s="49" t="s">
        <v>33</v>
      </c>
      <c r="C2117" s="51">
        <v>54591.3</v>
      </c>
      <c r="D2117" s="51">
        <v>0</v>
      </c>
    </row>
    <row r="2118" spans="1:4" ht="15" customHeight="1">
      <c r="A2118" s="50">
        <v>45015</v>
      </c>
      <c r="B2118" s="49" t="s">
        <v>34</v>
      </c>
      <c r="C2118" s="51">
        <v>54596</v>
      </c>
      <c r="D2118" s="51">
        <v>0</v>
      </c>
    </row>
    <row r="2119" spans="1:4" ht="15" customHeight="1">
      <c r="A2119" s="50">
        <v>45015</v>
      </c>
      <c r="B2119" s="49" t="s">
        <v>35</v>
      </c>
      <c r="C2119" s="51">
        <v>53967.6</v>
      </c>
      <c r="D2119" s="51">
        <v>0</v>
      </c>
    </row>
    <row r="2120" spans="1:4" ht="15" customHeight="1">
      <c r="A2120" s="50">
        <v>45015</v>
      </c>
      <c r="B2120" s="49" t="s">
        <v>36</v>
      </c>
      <c r="C2120" s="51">
        <v>53928.9</v>
      </c>
      <c r="D2120" s="51">
        <v>0</v>
      </c>
    </row>
    <row r="2121" spans="1:4" ht="15" customHeight="1">
      <c r="A2121" s="50">
        <v>45015</v>
      </c>
      <c r="B2121" s="49" t="s">
        <v>37</v>
      </c>
      <c r="C2121" s="51">
        <v>53118</v>
      </c>
      <c r="D2121" s="51">
        <v>0</v>
      </c>
    </row>
    <row r="2122" spans="1:4" ht="15" customHeight="1">
      <c r="A2122" s="50">
        <v>45015</v>
      </c>
      <c r="B2122" s="49" t="s">
        <v>38</v>
      </c>
      <c r="C2122" s="51">
        <v>52945.8</v>
      </c>
      <c r="D2122" s="51">
        <v>0</v>
      </c>
    </row>
    <row r="2123" spans="1:4" ht="15" customHeight="1">
      <c r="A2123" s="50">
        <v>45015</v>
      </c>
      <c r="B2123" s="49" t="s">
        <v>39</v>
      </c>
      <c r="C2123" s="51">
        <v>52591.4</v>
      </c>
      <c r="D2123" s="51">
        <v>0</v>
      </c>
    </row>
    <row r="2124" spans="1:4" ht="15" customHeight="1">
      <c r="A2124" s="50">
        <v>45015</v>
      </c>
      <c r="B2124" s="49" t="s">
        <v>40</v>
      </c>
      <c r="C2124" s="51">
        <v>52564.4</v>
      </c>
      <c r="D2124" s="51">
        <v>0</v>
      </c>
    </row>
    <row r="2125" spans="1:4" ht="15" customHeight="1">
      <c r="A2125" s="50">
        <v>45015</v>
      </c>
      <c r="B2125" s="49" t="s">
        <v>41</v>
      </c>
      <c r="C2125" s="51">
        <v>52623.9</v>
      </c>
      <c r="D2125" s="51">
        <v>0</v>
      </c>
    </row>
    <row r="2126" spans="1:4" ht="15" customHeight="1">
      <c r="A2126" s="50">
        <v>45015</v>
      </c>
      <c r="B2126" s="49" t="s">
        <v>42</v>
      </c>
      <c r="C2126" s="51">
        <v>55495.6</v>
      </c>
      <c r="D2126" s="51">
        <v>0</v>
      </c>
    </row>
    <row r="2127" spans="1:4" ht="15" customHeight="1">
      <c r="A2127" s="50">
        <v>45015</v>
      </c>
      <c r="B2127" s="49" t="s">
        <v>43</v>
      </c>
      <c r="C2127" s="51">
        <v>54582.3</v>
      </c>
      <c r="D2127" s="51">
        <v>0</v>
      </c>
    </row>
    <row r="2128" spans="1:4" ht="15" customHeight="1">
      <c r="A2128" s="50">
        <v>45015</v>
      </c>
      <c r="B2128" s="49" t="s">
        <v>44</v>
      </c>
      <c r="C2128" s="51">
        <v>54870.3</v>
      </c>
      <c r="D2128" s="51">
        <v>0</v>
      </c>
    </row>
    <row r="2129" spans="1:4" ht="15" customHeight="1">
      <c r="A2129" s="50">
        <v>45015</v>
      </c>
      <c r="B2129" s="49" t="s">
        <v>45</v>
      </c>
      <c r="C2129" s="51">
        <v>54009.7</v>
      </c>
      <c r="D2129" s="51">
        <v>0</v>
      </c>
    </row>
    <row r="2130" spans="1:4" ht="15" customHeight="1">
      <c r="A2130" s="50">
        <v>45015</v>
      </c>
      <c r="B2130" s="49" t="s">
        <v>46</v>
      </c>
      <c r="C2130" s="51">
        <v>54047.6</v>
      </c>
      <c r="D2130" s="51">
        <v>0</v>
      </c>
    </row>
    <row r="2131" spans="1:4" ht="15" customHeight="1">
      <c r="A2131" s="50">
        <v>45015</v>
      </c>
      <c r="B2131" s="49" t="s">
        <v>47</v>
      </c>
      <c r="C2131" s="51">
        <v>53839.8</v>
      </c>
      <c r="D2131" s="51">
        <v>0</v>
      </c>
    </row>
    <row r="2132" spans="1:4" ht="15" customHeight="1">
      <c r="A2132" s="50">
        <v>45015</v>
      </c>
      <c r="B2132" s="49" t="s">
        <v>48</v>
      </c>
      <c r="C2132" s="51">
        <v>55205.8</v>
      </c>
      <c r="D2132" s="51">
        <v>0</v>
      </c>
    </row>
    <row r="2133" spans="1:4" ht="15" customHeight="1">
      <c r="A2133" s="50">
        <v>45015</v>
      </c>
      <c r="B2133" s="49" t="s">
        <v>49</v>
      </c>
      <c r="C2133" s="51">
        <v>55563.6</v>
      </c>
      <c r="D2133" s="51">
        <v>0</v>
      </c>
    </row>
    <row r="2134" spans="1:4" ht="15" customHeight="1">
      <c r="A2134" s="50">
        <v>45015</v>
      </c>
      <c r="B2134" s="49" t="s">
        <v>50</v>
      </c>
      <c r="C2134" s="51">
        <v>57439.1</v>
      </c>
      <c r="D2134" s="51">
        <v>0</v>
      </c>
    </row>
    <row r="2135" spans="1:4" ht="15" customHeight="1">
      <c r="A2135" s="50">
        <v>45015</v>
      </c>
      <c r="B2135" s="49" t="s">
        <v>51</v>
      </c>
      <c r="C2135" s="51">
        <v>69693.100000000006</v>
      </c>
      <c r="D2135" s="51">
        <v>0</v>
      </c>
    </row>
    <row r="2136" spans="1:4" ht="15" customHeight="1">
      <c r="A2136" s="50">
        <v>45015</v>
      </c>
      <c r="B2136" s="49" t="s">
        <v>52</v>
      </c>
      <c r="C2136" s="51">
        <v>69607.100000000006</v>
      </c>
      <c r="D2136" s="51">
        <v>0</v>
      </c>
    </row>
    <row r="2137" spans="1:4" ht="15" customHeight="1">
      <c r="A2137" s="50">
        <v>45015</v>
      </c>
      <c r="B2137" s="49" t="s">
        <v>53</v>
      </c>
      <c r="C2137" s="51">
        <v>69157.100000000006</v>
      </c>
      <c r="D2137" s="51">
        <v>0</v>
      </c>
    </row>
    <row r="2138" spans="1:4" ht="15" customHeight="1">
      <c r="A2138" s="50">
        <v>45016</v>
      </c>
      <c r="B2138" s="49" t="s">
        <v>30</v>
      </c>
      <c r="C2138" s="51">
        <v>61316.2</v>
      </c>
      <c r="D2138" s="51">
        <v>0</v>
      </c>
    </row>
    <row r="2139" spans="1:4" ht="15" customHeight="1">
      <c r="A2139" s="50">
        <v>45016</v>
      </c>
      <c r="B2139" s="49" t="s">
        <v>31</v>
      </c>
      <c r="C2139" s="51">
        <v>54644.6</v>
      </c>
      <c r="D2139" s="51">
        <v>0</v>
      </c>
    </row>
    <row r="2140" spans="1:4" ht="15" customHeight="1">
      <c r="A2140" s="50">
        <v>45016</v>
      </c>
      <c r="B2140" s="49" t="s">
        <v>32</v>
      </c>
      <c r="C2140" s="51">
        <v>54619.199999999997</v>
      </c>
      <c r="D2140" s="51">
        <v>0</v>
      </c>
    </row>
    <row r="2141" spans="1:4" ht="15" customHeight="1">
      <c r="A2141" s="50">
        <v>45016</v>
      </c>
      <c r="B2141" s="49" t="s">
        <v>33</v>
      </c>
      <c r="C2141" s="51">
        <v>54733.599999999999</v>
      </c>
      <c r="D2141" s="51">
        <v>0</v>
      </c>
    </row>
    <row r="2142" spans="1:4" ht="15" customHeight="1">
      <c r="A2142" s="50">
        <v>45016</v>
      </c>
      <c r="B2142" s="49" t="s">
        <v>34</v>
      </c>
      <c r="C2142" s="51">
        <v>54818.8</v>
      </c>
      <c r="D2142" s="51">
        <v>0</v>
      </c>
    </row>
    <row r="2143" spans="1:4" ht="15" customHeight="1">
      <c r="A2143" s="50">
        <v>45016</v>
      </c>
      <c r="B2143" s="49" t="s">
        <v>35</v>
      </c>
      <c r="C2143" s="51">
        <v>53793.3</v>
      </c>
      <c r="D2143" s="51">
        <v>0</v>
      </c>
    </row>
    <row r="2144" spans="1:4" ht="15" customHeight="1">
      <c r="A2144" s="50">
        <v>45016</v>
      </c>
      <c r="B2144" s="49" t="s">
        <v>36</v>
      </c>
      <c r="C2144" s="51">
        <v>53812.3</v>
      </c>
      <c r="D2144" s="51">
        <v>0</v>
      </c>
    </row>
    <row r="2145" spans="1:4" ht="15" customHeight="1">
      <c r="A2145" s="50">
        <v>45016</v>
      </c>
      <c r="B2145" s="49" t="s">
        <v>37</v>
      </c>
      <c r="C2145" s="51">
        <v>53833.9</v>
      </c>
      <c r="D2145" s="51">
        <v>0</v>
      </c>
    </row>
    <row r="2146" spans="1:4" ht="15" customHeight="1">
      <c r="A2146" s="50">
        <v>45016</v>
      </c>
      <c r="B2146" s="49" t="s">
        <v>38</v>
      </c>
      <c r="C2146" s="51">
        <v>54183.6</v>
      </c>
      <c r="D2146" s="51">
        <v>0</v>
      </c>
    </row>
    <row r="2147" spans="1:4" ht="15" customHeight="1">
      <c r="A2147" s="50">
        <v>45016</v>
      </c>
      <c r="B2147" s="49" t="s">
        <v>39</v>
      </c>
      <c r="C2147" s="51">
        <v>54775.1</v>
      </c>
      <c r="D2147" s="51">
        <v>0</v>
      </c>
    </row>
    <row r="2148" spans="1:4" ht="15" customHeight="1">
      <c r="A2148" s="50">
        <v>45016</v>
      </c>
      <c r="B2148" s="49" t="s">
        <v>40</v>
      </c>
      <c r="C2148" s="51">
        <v>53783.5</v>
      </c>
      <c r="D2148" s="51">
        <v>0</v>
      </c>
    </row>
    <row r="2149" spans="1:4" ht="15" customHeight="1">
      <c r="A2149" s="50">
        <v>45016</v>
      </c>
      <c r="B2149" s="49" t="s">
        <v>41</v>
      </c>
      <c r="C2149" s="51">
        <v>56066.8</v>
      </c>
      <c r="D2149" s="51">
        <v>0</v>
      </c>
    </row>
    <row r="2150" spans="1:4" ht="15" customHeight="1">
      <c r="A2150" s="50">
        <v>45016</v>
      </c>
      <c r="B2150" s="49" t="s">
        <v>42</v>
      </c>
      <c r="C2150" s="51">
        <v>54879.3</v>
      </c>
      <c r="D2150" s="51">
        <v>0</v>
      </c>
    </row>
    <row r="2151" spans="1:4" ht="15" customHeight="1">
      <c r="A2151" s="50">
        <v>45016</v>
      </c>
      <c r="B2151" s="49" t="s">
        <v>43</v>
      </c>
      <c r="C2151" s="51">
        <v>54987.7</v>
      </c>
      <c r="D2151" s="51">
        <v>0</v>
      </c>
    </row>
    <row r="2152" spans="1:4" ht="15" customHeight="1">
      <c r="A2152" s="50">
        <v>45016</v>
      </c>
      <c r="B2152" s="49" t="s">
        <v>44</v>
      </c>
      <c r="C2152" s="51">
        <v>54894.8</v>
      </c>
      <c r="D2152" s="51">
        <v>0</v>
      </c>
    </row>
    <row r="2153" spans="1:4" ht="15" customHeight="1">
      <c r="A2153" s="50">
        <v>45016</v>
      </c>
      <c r="B2153" s="49" t="s">
        <v>45</v>
      </c>
      <c r="C2153" s="51">
        <v>54893.5</v>
      </c>
      <c r="D2153" s="51">
        <v>0</v>
      </c>
    </row>
    <row r="2154" spans="1:4" ht="15" customHeight="1">
      <c r="A2154" s="50">
        <v>45016</v>
      </c>
      <c r="B2154" s="49" t="s">
        <v>46</v>
      </c>
      <c r="C2154" s="51">
        <v>54945.2</v>
      </c>
      <c r="D2154" s="51">
        <v>0</v>
      </c>
    </row>
    <row r="2155" spans="1:4" ht="15" customHeight="1">
      <c r="A2155" s="50">
        <v>45016</v>
      </c>
      <c r="B2155" s="49" t="s">
        <v>47</v>
      </c>
      <c r="C2155" s="51">
        <v>54755.7</v>
      </c>
      <c r="D2155" s="51">
        <v>0</v>
      </c>
    </row>
    <row r="2156" spans="1:4" ht="15" customHeight="1">
      <c r="A2156" s="50">
        <v>45016</v>
      </c>
      <c r="B2156" s="49" t="s">
        <v>48</v>
      </c>
      <c r="C2156" s="51">
        <v>54855.5</v>
      </c>
      <c r="D2156" s="51">
        <v>0</v>
      </c>
    </row>
    <row r="2157" spans="1:4" ht="15" customHeight="1">
      <c r="A2157" s="50">
        <v>45016</v>
      </c>
      <c r="B2157" s="49" t="s">
        <v>49</v>
      </c>
      <c r="C2157" s="51">
        <v>54935.6</v>
      </c>
      <c r="D2157" s="51">
        <v>0</v>
      </c>
    </row>
    <row r="2158" spans="1:4" ht="15" customHeight="1">
      <c r="A2158" s="50">
        <v>45016</v>
      </c>
      <c r="B2158" s="49" t="s">
        <v>50</v>
      </c>
      <c r="C2158" s="51">
        <v>54879.6</v>
      </c>
      <c r="D2158" s="51">
        <v>0</v>
      </c>
    </row>
    <row r="2159" spans="1:4" ht="15" customHeight="1">
      <c r="A2159" s="50">
        <v>45016</v>
      </c>
      <c r="B2159" s="49" t="s">
        <v>51</v>
      </c>
      <c r="C2159" s="51">
        <v>54784.4</v>
      </c>
      <c r="D2159" s="51">
        <v>0</v>
      </c>
    </row>
    <row r="2160" spans="1:4" ht="15" customHeight="1">
      <c r="A2160" s="50">
        <v>45016</v>
      </c>
      <c r="B2160" s="49" t="s">
        <v>52</v>
      </c>
      <c r="C2160" s="51">
        <v>54760.800000000003</v>
      </c>
      <c r="D2160" s="51">
        <v>0</v>
      </c>
    </row>
    <row r="2161" spans="1:4" ht="15" customHeight="1">
      <c r="A2161" s="50">
        <v>45016</v>
      </c>
      <c r="B2161" s="49" t="s">
        <v>53</v>
      </c>
      <c r="C2161" s="51">
        <v>54759.8</v>
      </c>
      <c r="D2161" s="51">
        <v>0</v>
      </c>
    </row>
    <row r="2162" spans="1:4" ht="15" customHeight="1">
      <c r="A2162" s="50">
        <v>45017</v>
      </c>
      <c r="B2162" s="49" t="s">
        <v>30</v>
      </c>
      <c r="C2162" s="51">
        <v>55539.3</v>
      </c>
      <c r="D2162" s="51">
        <v>0</v>
      </c>
    </row>
    <row r="2163" spans="1:4" ht="15" customHeight="1">
      <c r="A2163" s="50">
        <v>45017</v>
      </c>
      <c r="B2163" s="49" t="s">
        <v>31</v>
      </c>
      <c r="C2163" s="51">
        <v>55855.3</v>
      </c>
      <c r="D2163" s="51">
        <v>0</v>
      </c>
    </row>
    <row r="2164" spans="1:4" ht="15" customHeight="1">
      <c r="A2164" s="50">
        <v>45017</v>
      </c>
      <c r="B2164" s="49" t="s">
        <v>32</v>
      </c>
      <c r="C2164" s="51">
        <v>55804.2</v>
      </c>
      <c r="D2164" s="51">
        <v>0</v>
      </c>
    </row>
    <row r="2165" spans="1:4" ht="15" customHeight="1">
      <c r="A2165" s="50">
        <v>45017</v>
      </c>
      <c r="B2165" s="49" t="s">
        <v>33</v>
      </c>
      <c r="C2165" s="51">
        <v>55797.599999999999</v>
      </c>
      <c r="D2165" s="51">
        <v>0</v>
      </c>
    </row>
    <row r="2166" spans="1:4" ht="15" customHeight="1">
      <c r="A2166" s="50">
        <v>45017</v>
      </c>
      <c r="B2166" s="49" t="s">
        <v>34</v>
      </c>
      <c r="C2166" s="51">
        <v>54602.9</v>
      </c>
      <c r="D2166" s="51">
        <v>0</v>
      </c>
    </row>
    <row r="2167" spans="1:4" ht="15" customHeight="1">
      <c r="A2167" s="50">
        <v>45017</v>
      </c>
      <c r="B2167" s="49" t="s">
        <v>35</v>
      </c>
      <c r="C2167" s="51">
        <v>54458.1</v>
      </c>
      <c r="D2167" s="51">
        <v>0</v>
      </c>
    </row>
    <row r="2168" spans="1:4" ht="15" customHeight="1">
      <c r="A2168" s="50">
        <v>45017</v>
      </c>
      <c r="B2168" s="49" t="s">
        <v>36</v>
      </c>
      <c r="C2168" s="51">
        <v>53818.3</v>
      </c>
      <c r="D2168" s="51">
        <v>0</v>
      </c>
    </row>
    <row r="2169" spans="1:4" ht="15" customHeight="1">
      <c r="A2169" s="50">
        <v>45017</v>
      </c>
      <c r="B2169" s="49" t="s">
        <v>37</v>
      </c>
      <c r="C2169" s="51">
        <v>54774.6</v>
      </c>
      <c r="D2169" s="51">
        <v>0</v>
      </c>
    </row>
    <row r="2170" spans="1:4" ht="15" customHeight="1">
      <c r="A2170" s="50">
        <v>45017</v>
      </c>
      <c r="B2170" s="49" t="s">
        <v>38</v>
      </c>
      <c r="C2170" s="51">
        <v>54658</v>
      </c>
      <c r="D2170" s="51">
        <v>0</v>
      </c>
    </row>
    <row r="2171" spans="1:4" ht="15" customHeight="1">
      <c r="A2171" s="50">
        <v>45017</v>
      </c>
      <c r="B2171" s="49" t="s">
        <v>39</v>
      </c>
      <c r="C2171" s="51">
        <v>54638.3</v>
      </c>
      <c r="D2171" s="51">
        <v>0</v>
      </c>
    </row>
    <row r="2172" spans="1:4" ht="15" customHeight="1">
      <c r="A2172" s="50">
        <v>45017</v>
      </c>
      <c r="B2172" s="49" t="s">
        <v>40</v>
      </c>
      <c r="C2172" s="51">
        <v>54728.1</v>
      </c>
      <c r="D2172" s="51">
        <v>0</v>
      </c>
    </row>
    <row r="2173" spans="1:4" ht="15" customHeight="1">
      <c r="A2173" s="50">
        <v>45017</v>
      </c>
      <c r="B2173" s="49" t="s">
        <v>41</v>
      </c>
      <c r="C2173" s="51">
        <v>54657.3</v>
      </c>
      <c r="D2173" s="51">
        <v>0</v>
      </c>
    </row>
    <row r="2174" spans="1:4" ht="15" customHeight="1">
      <c r="A2174" s="50">
        <v>45017</v>
      </c>
      <c r="B2174" s="49" t="s">
        <v>42</v>
      </c>
      <c r="C2174" s="51">
        <v>53635.1</v>
      </c>
      <c r="D2174" s="51">
        <v>0</v>
      </c>
    </row>
    <row r="2175" spans="1:4" ht="15" customHeight="1">
      <c r="A2175" s="50">
        <v>45017</v>
      </c>
      <c r="B2175" s="49" t="s">
        <v>43</v>
      </c>
      <c r="C2175" s="51">
        <v>54134.2</v>
      </c>
      <c r="D2175" s="51">
        <v>0</v>
      </c>
    </row>
    <row r="2176" spans="1:4" ht="15" customHeight="1">
      <c r="A2176" s="50">
        <v>45017</v>
      </c>
      <c r="B2176" s="49" t="s">
        <v>44</v>
      </c>
      <c r="C2176" s="51">
        <v>54106.9</v>
      </c>
      <c r="D2176" s="51">
        <v>0</v>
      </c>
    </row>
    <row r="2177" spans="1:4" ht="15" customHeight="1">
      <c r="A2177" s="50">
        <v>45017</v>
      </c>
      <c r="B2177" s="49" t="s">
        <v>45</v>
      </c>
      <c r="C2177" s="51">
        <v>53926.5</v>
      </c>
      <c r="D2177" s="51">
        <v>0</v>
      </c>
    </row>
    <row r="2178" spans="1:4" ht="15" customHeight="1">
      <c r="A2178" s="50">
        <v>45017</v>
      </c>
      <c r="B2178" s="49" t="s">
        <v>46</v>
      </c>
      <c r="C2178" s="51">
        <v>54401.8</v>
      </c>
      <c r="D2178" s="51">
        <v>0</v>
      </c>
    </row>
    <row r="2179" spans="1:4" ht="15" customHeight="1">
      <c r="A2179" s="50">
        <v>45017</v>
      </c>
      <c r="B2179" s="49" t="s">
        <v>47</v>
      </c>
      <c r="C2179" s="51">
        <v>54640.9</v>
      </c>
      <c r="D2179" s="51">
        <v>0</v>
      </c>
    </row>
    <row r="2180" spans="1:4" ht="15" customHeight="1">
      <c r="A2180" s="50">
        <v>45017</v>
      </c>
      <c r="B2180" s="49" t="s">
        <v>48</v>
      </c>
      <c r="C2180" s="51">
        <v>54529.1</v>
      </c>
      <c r="D2180" s="51">
        <v>0</v>
      </c>
    </row>
    <row r="2181" spans="1:4" ht="15" customHeight="1">
      <c r="A2181" s="50">
        <v>45017</v>
      </c>
      <c r="B2181" s="49" t="s">
        <v>49</v>
      </c>
      <c r="C2181" s="51">
        <v>54008.2</v>
      </c>
      <c r="D2181" s="51">
        <v>0</v>
      </c>
    </row>
    <row r="2182" spans="1:4" ht="15" customHeight="1">
      <c r="A2182" s="50">
        <v>45017</v>
      </c>
      <c r="B2182" s="49" t="s">
        <v>50</v>
      </c>
      <c r="C2182" s="51">
        <v>54656.800000000003</v>
      </c>
      <c r="D2182" s="51">
        <v>0</v>
      </c>
    </row>
    <row r="2183" spans="1:4" ht="15" customHeight="1">
      <c r="A2183" s="50">
        <v>45017</v>
      </c>
      <c r="B2183" s="49" t="s">
        <v>51</v>
      </c>
      <c r="C2183" s="51">
        <v>53899.3</v>
      </c>
      <c r="D2183" s="51">
        <v>0</v>
      </c>
    </row>
    <row r="2184" spans="1:4" ht="15" customHeight="1">
      <c r="A2184" s="50">
        <v>45017</v>
      </c>
      <c r="B2184" s="49" t="s">
        <v>52</v>
      </c>
      <c r="C2184" s="51">
        <v>54069.2</v>
      </c>
      <c r="D2184" s="51">
        <v>0</v>
      </c>
    </row>
    <row r="2185" spans="1:4" ht="15" customHeight="1">
      <c r="A2185" s="50">
        <v>45017</v>
      </c>
      <c r="B2185" s="49" t="s">
        <v>53</v>
      </c>
      <c r="C2185" s="51">
        <v>54431.1</v>
      </c>
      <c r="D2185" s="51">
        <v>0</v>
      </c>
    </row>
    <row r="2186" spans="1:4" ht="15" customHeight="1">
      <c r="A2186" s="50">
        <v>45018</v>
      </c>
      <c r="B2186" s="49" t="s">
        <v>30</v>
      </c>
      <c r="C2186" s="51">
        <v>54725.4</v>
      </c>
      <c r="D2186" s="51">
        <v>0</v>
      </c>
    </row>
    <row r="2187" spans="1:4" ht="15" customHeight="1">
      <c r="A2187" s="50">
        <v>45018</v>
      </c>
      <c r="B2187" s="49" t="s">
        <v>31</v>
      </c>
      <c r="C2187" s="51">
        <v>54920.2</v>
      </c>
      <c r="D2187" s="51">
        <v>0</v>
      </c>
    </row>
    <row r="2188" spans="1:4" ht="15" customHeight="1">
      <c r="A2188" s="50">
        <v>45018</v>
      </c>
      <c r="B2188" s="49" t="s">
        <v>32</v>
      </c>
      <c r="C2188" s="51">
        <v>54747.3</v>
      </c>
      <c r="D2188" s="51">
        <v>0</v>
      </c>
    </row>
    <row r="2189" spans="1:4" ht="15" customHeight="1">
      <c r="A2189" s="50">
        <v>45018</v>
      </c>
      <c r="B2189" s="49" t="s">
        <v>33</v>
      </c>
      <c r="C2189" s="51">
        <v>53844.1</v>
      </c>
      <c r="D2189" s="51">
        <v>0</v>
      </c>
    </row>
    <row r="2190" spans="1:4" ht="15" customHeight="1">
      <c r="A2190" s="50">
        <v>45018</v>
      </c>
      <c r="B2190" s="49" t="s">
        <v>34</v>
      </c>
      <c r="C2190" s="51">
        <v>53952.3</v>
      </c>
      <c r="D2190" s="51">
        <v>0</v>
      </c>
    </row>
    <row r="2191" spans="1:4" ht="15" customHeight="1">
      <c r="A2191" s="50">
        <v>45018</v>
      </c>
      <c r="B2191" s="49" t="s">
        <v>35</v>
      </c>
      <c r="C2191" s="51">
        <v>52277.1</v>
      </c>
      <c r="D2191" s="51">
        <v>0</v>
      </c>
    </row>
    <row r="2192" spans="1:4" ht="15" customHeight="1">
      <c r="A2192" s="50">
        <v>45018</v>
      </c>
      <c r="B2192" s="49" t="s">
        <v>36</v>
      </c>
      <c r="C2192" s="51">
        <v>51144.800000000003</v>
      </c>
      <c r="D2192" s="51">
        <v>0</v>
      </c>
    </row>
    <row r="2193" spans="1:4" ht="15" customHeight="1">
      <c r="A2193" s="50">
        <v>45018</v>
      </c>
      <c r="B2193" s="49" t="s">
        <v>37</v>
      </c>
      <c r="C2193" s="51">
        <v>51328.9</v>
      </c>
      <c r="D2193" s="51">
        <v>0</v>
      </c>
    </row>
    <row r="2194" spans="1:4" ht="15" customHeight="1">
      <c r="A2194" s="50">
        <v>45018</v>
      </c>
      <c r="B2194" s="49" t="s">
        <v>38</v>
      </c>
      <c r="C2194" s="51">
        <v>51421.599999999999</v>
      </c>
      <c r="D2194" s="51">
        <v>0</v>
      </c>
    </row>
    <row r="2195" spans="1:4" ht="15" customHeight="1">
      <c r="A2195" s="50">
        <v>45018</v>
      </c>
      <c r="B2195" s="49" t="s">
        <v>39</v>
      </c>
      <c r="C2195" s="51">
        <v>51712.1</v>
      </c>
      <c r="D2195" s="51">
        <v>0</v>
      </c>
    </row>
    <row r="2196" spans="1:4" ht="15" customHeight="1">
      <c r="A2196" s="50">
        <v>45018</v>
      </c>
      <c r="B2196" s="49" t="s">
        <v>40</v>
      </c>
      <c r="C2196" s="51">
        <v>54888.6</v>
      </c>
      <c r="D2196" s="51">
        <v>0</v>
      </c>
    </row>
    <row r="2197" spans="1:4" ht="15" customHeight="1">
      <c r="A2197" s="50">
        <v>45018</v>
      </c>
      <c r="B2197" s="49" t="s">
        <v>41</v>
      </c>
      <c r="C2197" s="51">
        <v>55354.2</v>
      </c>
      <c r="D2197" s="51">
        <v>0</v>
      </c>
    </row>
    <row r="2198" spans="1:4" ht="15" customHeight="1">
      <c r="A2198" s="50">
        <v>45018</v>
      </c>
      <c r="B2198" s="49" t="s">
        <v>42</v>
      </c>
      <c r="C2198" s="51">
        <v>55118.2</v>
      </c>
      <c r="D2198" s="51">
        <v>0</v>
      </c>
    </row>
    <row r="2199" spans="1:4" ht="15" customHeight="1">
      <c r="A2199" s="50">
        <v>45018</v>
      </c>
      <c r="B2199" s="49" t="s">
        <v>43</v>
      </c>
      <c r="C2199" s="51">
        <v>54959.5</v>
      </c>
      <c r="D2199" s="51">
        <v>0</v>
      </c>
    </row>
    <row r="2200" spans="1:4" ht="15" customHeight="1">
      <c r="A2200" s="50">
        <v>45018</v>
      </c>
      <c r="B2200" s="49" t="s">
        <v>44</v>
      </c>
      <c r="C2200" s="51">
        <v>54903</v>
      </c>
      <c r="D2200" s="51">
        <v>0</v>
      </c>
    </row>
    <row r="2201" spans="1:4" ht="15" customHeight="1">
      <c r="A2201" s="50">
        <v>45018</v>
      </c>
      <c r="B2201" s="49" t="s">
        <v>45</v>
      </c>
      <c r="C2201" s="51">
        <v>54613.1</v>
      </c>
      <c r="D2201" s="51">
        <v>0</v>
      </c>
    </row>
    <row r="2202" spans="1:4" ht="15" customHeight="1">
      <c r="A2202" s="50">
        <v>45018</v>
      </c>
      <c r="B2202" s="49" t="s">
        <v>46</v>
      </c>
      <c r="C2202" s="51">
        <v>54781.2</v>
      </c>
      <c r="D2202" s="51">
        <v>0</v>
      </c>
    </row>
    <row r="2203" spans="1:4" ht="15" customHeight="1">
      <c r="A2203" s="50">
        <v>45018</v>
      </c>
      <c r="B2203" s="49" t="s">
        <v>47</v>
      </c>
      <c r="C2203" s="51">
        <v>54571.8</v>
      </c>
      <c r="D2203" s="51">
        <v>0</v>
      </c>
    </row>
    <row r="2204" spans="1:4" ht="15" customHeight="1">
      <c r="A2204" s="50">
        <v>45018</v>
      </c>
      <c r="B2204" s="49" t="s">
        <v>48</v>
      </c>
      <c r="C2204" s="51">
        <v>54750.8</v>
      </c>
      <c r="D2204" s="51">
        <v>0</v>
      </c>
    </row>
    <row r="2205" spans="1:4" ht="15" customHeight="1">
      <c r="A2205" s="50">
        <v>45018</v>
      </c>
      <c r="B2205" s="49" t="s">
        <v>49</v>
      </c>
      <c r="C2205" s="51">
        <v>54513.9</v>
      </c>
      <c r="D2205" s="51">
        <v>0</v>
      </c>
    </row>
    <row r="2206" spans="1:4" ht="15" customHeight="1">
      <c r="A2206" s="50">
        <v>45018</v>
      </c>
      <c r="B2206" s="49" t="s">
        <v>50</v>
      </c>
      <c r="C2206" s="51">
        <v>54498.9</v>
      </c>
      <c r="D2206" s="51">
        <v>0</v>
      </c>
    </row>
    <row r="2207" spans="1:4" ht="15" customHeight="1">
      <c r="A2207" s="50">
        <v>45018</v>
      </c>
      <c r="B2207" s="49" t="s">
        <v>51</v>
      </c>
      <c r="C2207" s="51">
        <v>54464.1</v>
      </c>
      <c r="D2207" s="51">
        <v>0</v>
      </c>
    </row>
    <row r="2208" spans="1:4" ht="15" customHeight="1">
      <c r="A2208" s="50">
        <v>45018</v>
      </c>
      <c r="B2208" s="49" t="s">
        <v>52</v>
      </c>
      <c r="C2208" s="51">
        <v>54559.9</v>
      </c>
      <c r="D2208" s="51">
        <v>0</v>
      </c>
    </row>
    <row r="2209" spans="1:4" ht="15" customHeight="1">
      <c r="A2209" s="50">
        <v>45018</v>
      </c>
      <c r="B2209" s="49" t="s">
        <v>53</v>
      </c>
      <c r="C2209" s="51">
        <v>54740.6</v>
      </c>
      <c r="D2209" s="51">
        <v>0</v>
      </c>
    </row>
    <row r="2210" spans="1:4" ht="15" customHeight="1">
      <c r="A2210" s="50">
        <v>45019</v>
      </c>
      <c r="B2210" s="49" t="s">
        <v>30</v>
      </c>
      <c r="C2210" s="51">
        <v>55050.2</v>
      </c>
      <c r="D2210" s="51">
        <v>0</v>
      </c>
    </row>
    <row r="2211" spans="1:4" ht="15" customHeight="1">
      <c r="A2211" s="50">
        <v>45019</v>
      </c>
      <c r="B2211" s="49" t="s">
        <v>31</v>
      </c>
      <c r="C2211" s="51">
        <v>55277.4</v>
      </c>
      <c r="D2211" s="51">
        <v>0</v>
      </c>
    </row>
    <row r="2212" spans="1:4" ht="15" customHeight="1">
      <c r="A2212" s="50">
        <v>45019</v>
      </c>
      <c r="B2212" s="49" t="s">
        <v>32</v>
      </c>
      <c r="C2212" s="51">
        <v>55126.2</v>
      </c>
      <c r="D2212" s="51">
        <v>0</v>
      </c>
    </row>
    <row r="2213" spans="1:4" ht="15" customHeight="1">
      <c r="A2213" s="50">
        <v>45019</v>
      </c>
      <c r="B2213" s="49" t="s">
        <v>33</v>
      </c>
      <c r="C2213" s="51">
        <v>54120.1</v>
      </c>
      <c r="D2213" s="51">
        <v>0</v>
      </c>
    </row>
    <row r="2214" spans="1:4" ht="15" customHeight="1">
      <c r="A2214" s="50">
        <v>45019</v>
      </c>
      <c r="B2214" s="49" t="s">
        <v>34</v>
      </c>
      <c r="C2214" s="51">
        <v>53737.7</v>
      </c>
      <c r="D2214" s="51">
        <v>0</v>
      </c>
    </row>
    <row r="2215" spans="1:4" ht="15" customHeight="1">
      <c r="A2215" s="50">
        <v>45019</v>
      </c>
      <c r="B2215" s="49" t="s">
        <v>35</v>
      </c>
      <c r="C2215" s="51">
        <v>54335</v>
      </c>
      <c r="D2215" s="51">
        <v>0</v>
      </c>
    </row>
    <row r="2216" spans="1:4" ht="15" customHeight="1">
      <c r="A2216" s="50">
        <v>45019</v>
      </c>
      <c r="B2216" s="49" t="s">
        <v>36</v>
      </c>
      <c r="C2216" s="51">
        <v>54345.7</v>
      </c>
      <c r="D2216" s="51">
        <v>0</v>
      </c>
    </row>
    <row r="2217" spans="1:4" ht="15" customHeight="1">
      <c r="A2217" s="50">
        <v>45019</v>
      </c>
      <c r="B2217" s="49" t="s">
        <v>37</v>
      </c>
      <c r="C2217" s="51">
        <v>54511.4</v>
      </c>
      <c r="D2217" s="51">
        <v>0</v>
      </c>
    </row>
    <row r="2218" spans="1:4" ht="15" customHeight="1">
      <c r="A2218" s="50">
        <v>45019</v>
      </c>
      <c r="B2218" s="49" t="s">
        <v>38</v>
      </c>
      <c r="C2218" s="51">
        <v>54629.8</v>
      </c>
      <c r="D2218" s="51">
        <v>0</v>
      </c>
    </row>
    <row r="2219" spans="1:4" ht="15" customHeight="1">
      <c r="A2219" s="50">
        <v>45019</v>
      </c>
      <c r="B2219" s="49" t="s">
        <v>39</v>
      </c>
      <c r="C2219" s="51">
        <v>54568.3</v>
      </c>
      <c r="D2219" s="51">
        <v>0</v>
      </c>
    </row>
    <row r="2220" spans="1:4" ht="15" customHeight="1">
      <c r="A2220" s="50">
        <v>45019</v>
      </c>
      <c r="B2220" s="49" t="s">
        <v>40</v>
      </c>
      <c r="C2220" s="51">
        <v>54061.9</v>
      </c>
      <c r="D2220" s="51">
        <v>0</v>
      </c>
    </row>
    <row r="2221" spans="1:4" ht="15" customHeight="1">
      <c r="A2221" s="50">
        <v>45019</v>
      </c>
      <c r="B2221" s="49" t="s">
        <v>41</v>
      </c>
      <c r="C2221" s="51">
        <v>53900.2</v>
      </c>
      <c r="D2221" s="51">
        <v>0</v>
      </c>
    </row>
    <row r="2222" spans="1:4" ht="15" customHeight="1">
      <c r="A2222" s="50">
        <v>45019</v>
      </c>
      <c r="B2222" s="49" t="s">
        <v>42</v>
      </c>
      <c r="C2222" s="51">
        <v>54043</v>
      </c>
      <c r="D2222" s="51">
        <v>0</v>
      </c>
    </row>
    <row r="2223" spans="1:4" ht="15" customHeight="1">
      <c r="A2223" s="50">
        <v>45019</v>
      </c>
      <c r="B2223" s="49" t="s">
        <v>43</v>
      </c>
      <c r="C2223" s="51">
        <v>53930.1</v>
      </c>
      <c r="D2223" s="51">
        <v>0</v>
      </c>
    </row>
    <row r="2224" spans="1:4" ht="15" customHeight="1">
      <c r="A2224" s="50">
        <v>45019</v>
      </c>
      <c r="B2224" s="49" t="s">
        <v>44</v>
      </c>
      <c r="C2224" s="51">
        <v>54009.5</v>
      </c>
      <c r="D2224" s="51">
        <v>0</v>
      </c>
    </row>
    <row r="2225" spans="1:4" ht="15" customHeight="1">
      <c r="A2225" s="50">
        <v>45019</v>
      </c>
      <c r="B2225" s="49" t="s">
        <v>45</v>
      </c>
      <c r="C2225" s="51">
        <v>53858.9</v>
      </c>
      <c r="D2225" s="51">
        <v>0</v>
      </c>
    </row>
    <row r="2226" spans="1:4" ht="15" customHeight="1">
      <c r="A2226" s="50">
        <v>45019</v>
      </c>
      <c r="B2226" s="49" t="s">
        <v>46</v>
      </c>
      <c r="C2226" s="51">
        <v>53877.8</v>
      </c>
      <c r="D2226" s="51">
        <v>0</v>
      </c>
    </row>
    <row r="2227" spans="1:4" ht="15" customHeight="1">
      <c r="A2227" s="50">
        <v>45019</v>
      </c>
      <c r="B2227" s="49" t="s">
        <v>47</v>
      </c>
      <c r="C2227" s="51">
        <v>53876.1</v>
      </c>
      <c r="D2227" s="51">
        <v>0</v>
      </c>
    </row>
    <row r="2228" spans="1:4" ht="15" customHeight="1">
      <c r="A2228" s="50">
        <v>45019</v>
      </c>
      <c r="B2228" s="49" t="s">
        <v>48</v>
      </c>
      <c r="C2228" s="51">
        <v>54070.8</v>
      </c>
      <c r="D2228" s="51">
        <v>0</v>
      </c>
    </row>
    <row r="2229" spans="1:4" ht="15" customHeight="1">
      <c r="A2229" s="50">
        <v>45019</v>
      </c>
      <c r="B2229" s="49" t="s">
        <v>49</v>
      </c>
      <c r="C2229" s="51">
        <v>53887.6</v>
      </c>
      <c r="D2229" s="51">
        <v>0</v>
      </c>
    </row>
    <row r="2230" spans="1:4" ht="15" customHeight="1">
      <c r="A2230" s="50">
        <v>45019</v>
      </c>
      <c r="B2230" s="49" t="s">
        <v>50</v>
      </c>
      <c r="C2230" s="51">
        <v>62431.6</v>
      </c>
      <c r="D2230" s="51">
        <v>0</v>
      </c>
    </row>
    <row r="2231" spans="1:4" ht="15" customHeight="1">
      <c r="A2231" s="50">
        <v>45019</v>
      </c>
      <c r="B2231" s="49" t="s">
        <v>51</v>
      </c>
      <c r="C2231" s="51">
        <v>54085.3</v>
      </c>
      <c r="D2231" s="51">
        <v>0</v>
      </c>
    </row>
    <row r="2232" spans="1:4" ht="15" customHeight="1">
      <c r="A2232" s="50">
        <v>45019</v>
      </c>
      <c r="B2232" s="49" t="s">
        <v>52</v>
      </c>
      <c r="C2232" s="51">
        <v>57245.1</v>
      </c>
      <c r="D2232" s="51">
        <v>0</v>
      </c>
    </row>
    <row r="2233" spans="1:4" ht="15" customHeight="1">
      <c r="A2233" s="50">
        <v>45019</v>
      </c>
      <c r="B2233" s="49" t="s">
        <v>53</v>
      </c>
      <c r="C2233" s="51">
        <v>68377.8</v>
      </c>
      <c r="D2233" s="51">
        <v>0</v>
      </c>
    </row>
    <row r="2234" spans="1:4" ht="15" customHeight="1">
      <c r="A2234" s="50">
        <v>45020</v>
      </c>
      <c r="B2234" s="49" t="s">
        <v>30</v>
      </c>
      <c r="C2234" s="51">
        <v>53903.4</v>
      </c>
      <c r="D2234" s="51">
        <v>0</v>
      </c>
    </row>
    <row r="2235" spans="1:4" ht="15" customHeight="1">
      <c r="A2235" s="50">
        <v>45020</v>
      </c>
      <c r="B2235" s="49" t="s">
        <v>31</v>
      </c>
      <c r="C2235" s="51">
        <v>53533.3</v>
      </c>
      <c r="D2235" s="51">
        <v>0</v>
      </c>
    </row>
    <row r="2236" spans="1:4" ht="15" customHeight="1">
      <c r="A2236" s="50">
        <v>45020</v>
      </c>
      <c r="B2236" s="49" t="s">
        <v>32</v>
      </c>
      <c r="C2236" s="51">
        <v>53550.400000000001</v>
      </c>
      <c r="D2236" s="51">
        <v>0</v>
      </c>
    </row>
    <row r="2237" spans="1:4" ht="15" customHeight="1">
      <c r="A2237" s="50">
        <v>45020</v>
      </c>
      <c r="B2237" s="49" t="s">
        <v>33</v>
      </c>
      <c r="C2237" s="51">
        <v>54258</v>
      </c>
      <c r="D2237" s="51">
        <v>0</v>
      </c>
    </row>
    <row r="2238" spans="1:4" ht="15" customHeight="1">
      <c r="A2238" s="50">
        <v>45020</v>
      </c>
      <c r="B2238" s="49" t="s">
        <v>34</v>
      </c>
      <c r="C2238" s="51">
        <v>54272.7</v>
      </c>
      <c r="D2238" s="51">
        <v>0</v>
      </c>
    </row>
    <row r="2239" spans="1:4" ht="15" customHeight="1">
      <c r="A2239" s="50">
        <v>45020</v>
      </c>
      <c r="B2239" s="49" t="s">
        <v>35</v>
      </c>
      <c r="C2239" s="51">
        <v>54099.6</v>
      </c>
      <c r="D2239" s="51">
        <v>0</v>
      </c>
    </row>
    <row r="2240" spans="1:4" ht="15" customHeight="1">
      <c r="A2240" s="50">
        <v>45020</v>
      </c>
      <c r="B2240" s="49" t="s">
        <v>36</v>
      </c>
      <c r="C2240" s="51">
        <v>52529.2</v>
      </c>
      <c r="D2240" s="51">
        <v>0</v>
      </c>
    </row>
    <row r="2241" spans="1:4" ht="15" customHeight="1">
      <c r="A2241" s="50">
        <v>45020</v>
      </c>
      <c r="B2241" s="49" t="s">
        <v>37</v>
      </c>
      <c r="C2241" s="51">
        <v>53734.5</v>
      </c>
      <c r="D2241" s="51">
        <v>0</v>
      </c>
    </row>
    <row r="2242" spans="1:4" ht="15" customHeight="1">
      <c r="A2242" s="50">
        <v>45020</v>
      </c>
      <c r="B2242" s="49" t="s">
        <v>38</v>
      </c>
      <c r="C2242" s="51">
        <v>53883.6</v>
      </c>
      <c r="D2242" s="51">
        <v>0</v>
      </c>
    </row>
    <row r="2243" spans="1:4" ht="15" customHeight="1">
      <c r="A2243" s="50">
        <v>45020</v>
      </c>
      <c r="B2243" s="49" t="s">
        <v>39</v>
      </c>
      <c r="C2243" s="51">
        <v>54394.3</v>
      </c>
      <c r="D2243" s="51">
        <v>0</v>
      </c>
    </row>
    <row r="2244" spans="1:4" ht="15" customHeight="1">
      <c r="A2244" s="50">
        <v>45020</v>
      </c>
      <c r="B2244" s="49" t="s">
        <v>40</v>
      </c>
      <c r="C2244" s="51">
        <v>54573.4</v>
      </c>
      <c r="D2244" s="51">
        <v>0</v>
      </c>
    </row>
    <row r="2245" spans="1:4" ht="15" customHeight="1">
      <c r="A2245" s="50">
        <v>45020</v>
      </c>
      <c r="B2245" s="49" t="s">
        <v>41</v>
      </c>
      <c r="C2245" s="51">
        <v>54309</v>
      </c>
      <c r="D2245" s="51">
        <v>0</v>
      </c>
    </row>
    <row r="2246" spans="1:4" ht="15" customHeight="1">
      <c r="A2246" s="50">
        <v>45020</v>
      </c>
      <c r="B2246" s="49" t="s">
        <v>42</v>
      </c>
      <c r="C2246" s="51">
        <v>54452.9</v>
      </c>
      <c r="D2246" s="51">
        <v>0</v>
      </c>
    </row>
    <row r="2247" spans="1:4" ht="15" customHeight="1">
      <c r="A2247" s="50">
        <v>45020</v>
      </c>
      <c r="B2247" s="49" t="s">
        <v>43</v>
      </c>
      <c r="C2247" s="51">
        <v>54513</v>
      </c>
      <c r="D2247" s="51">
        <v>0</v>
      </c>
    </row>
    <row r="2248" spans="1:4" ht="15" customHeight="1">
      <c r="A2248" s="50">
        <v>45020</v>
      </c>
      <c r="B2248" s="49" t="s">
        <v>44</v>
      </c>
      <c r="C2248" s="51">
        <v>54507.199999999997</v>
      </c>
      <c r="D2248" s="51">
        <v>0</v>
      </c>
    </row>
    <row r="2249" spans="1:4" ht="15" customHeight="1">
      <c r="A2249" s="50">
        <v>45020</v>
      </c>
      <c r="B2249" s="49" t="s">
        <v>45</v>
      </c>
      <c r="C2249" s="51">
        <v>54417</v>
      </c>
      <c r="D2249" s="51">
        <v>0</v>
      </c>
    </row>
    <row r="2250" spans="1:4" ht="15" customHeight="1">
      <c r="A2250" s="50">
        <v>45020</v>
      </c>
      <c r="B2250" s="49" t="s">
        <v>46</v>
      </c>
      <c r="C2250" s="51">
        <v>54415.199999999997</v>
      </c>
      <c r="D2250" s="51">
        <v>0</v>
      </c>
    </row>
    <row r="2251" spans="1:4" ht="15" customHeight="1">
      <c r="A2251" s="50">
        <v>45020</v>
      </c>
      <c r="B2251" s="49" t="s">
        <v>47</v>
      </c>
      <c r="C2251" s="51">
        <v>54546.5</v>
      </c>
      <c r="D2251" s="51">
        <v>0</v>
      </c>
    </row>
    <row r="2252" spans="1:4" ht="15" customHeight="1">
      <c r="A2252" s="50">
        <v>45020</v>
      </c>
      <c r="B2252" s="49" t="s">
        <v>48</v>
      </c>
      <c r="C2252" s="51">
        <v>54617.4</v>
      </c>
      <c r="D2252" s="51">
        <v>0</v>
      </c>
    </row>
    <row r="2253" spans="1:4" ht="15" customHeight="1">
      <c r="A2253" s="50">
        <v>45020</v>
      </c>
      <c r="B2253" s="49" t="s">
        <v>49</v>
      </c>
      <c r="C2253" s="51">
        <v>61384.1</v>
      </c>
      <c r="D2253" s="51">
        <v>0</v>
      </c>
    </row>
    <row r="2254" spans="1:4" ht="15" customHeight="1">
      <c r="A2254" s="50">
        <v>45020</v>
      </c>
      <c r="B2254" s="49" t="s">
        <v>50</v>
      </c>
      <c r="C2254" s="51">
        <v>69077.100000000006</v>
      </c>
      <c r="D2254" s="51">
        <v>0</v>
      </c>
    </row>
    <row r="2255" spans="1:4" ht="15" customHeight="1">
      <c r="A2255" s="50">
        <v>45020</v>
      </c>
      <c r="B2255" s="49" t="s">
        <v>51</v>
      </c>
      <c r="C2255" s="51">
        <v>68687.399999999994</v>
      </c>
      <c r="D2255" s="51">
        <v>0</v>
      </c>
    </row>
    <row r="2256" spans="1:4" ht="15" customHeight="1">
      <c r="A2256" s="50">
        <v>45020</v>
      </c>
      <c r="B2256" s="49" t="s">
        <v>52</v>
      </c>
      <c r="C2256" s="51">
        <v>68711.7</v>
      </c>
      <c r="D2256" s="51">
        <v>0</v>
      </c>
    </row>
    <row r="2257" spans="1:4" ht="15" customHeight="1">
      <c r="A2257" s="50">
        <v>45020</v>
      </c>
      <c r="B2257" s="49" t="s">
        <v>53</v>
      </c>
      <c r="C2257" s="51">
        <v>68725.5</v>
      </c>
      <c r="D2257" s="51">
        <v>0</v>
      </c>
    </row>
    <row r="2258" spans="1:4" ht="15" customHeight="1">
      <c r="A2258" s="50">
        <v>45021</v>
      </c>
      <c r="B2258" s="49" t="s">
        <v>30</v>
      </c>
      <c r="C2258" s="51">
        <v>66972.600000000006</v>
      </c>
      <c r="D2258" s="51">
        <v>0</v>
      </c>
    </row>
    <row r="2259" spans="1:4" ht="15" customHeight="1">
      <c r="A2259" s="50">
        <v>45021</v>
      </c>
      <c r="B2259" s="49" t="s">
        <v>31</v>
      </c>
      <c r="C2259" s="51">
        <v>54568.800000000003</v>
      </c>
      <c r="D2259" s="51">
        <v>0</v>
      </c>
    </row>
    <row r="2260" spans="1:4" ht="15" customHeight="1">
      <c r="A2260" s="50">
        <v>45021</v>
      </c>
      <c r="B2260" s="49" t="s">
        <v>32</v>
      </c>
      <c r="C2260" s="51">
        <v>54439.9</v>
      </c>
      <c r="D2260" s="51">
        <v>0</v>
      </c>
    </row>
    <row r="2261" spans="1:4" ht="15" customHeight="1">
      <c r="A2261" s="50">
        <v>45021</v>
      </c>
      <c r="B2261" s="49" t="s">
        <v>33</v>
      </c>
      <c r="C2261" s="51">
        <v>54756.6</v>
      </c>
      <c r="D2261" s="51">
        <v>0</v>
      </c>
    </row>
    <row r="2262" spans="1:4" ht="15" customHeight="1">
      <c r="A2262" s="50">
        <v>45021</v>
      </c>
      <c r="B2262" s="49" t="s">
        <v>34</v>
      </c>
      <c r="C2262" s="51">
        <v>54784.3</v>
      </c>
      <c r="D2262" s="51">
        <v>0</v>
      </c>
    </row>
    <row r="2263" spans="1:4" ht="15" customHeight="1">
      <c r="A2263" s="50">
        <v>45021</v>
      </c>
      <c r="B2263" s="49" t="s">
        <v>35</v>
      </c>
      <c r="C2263" s="51">
        <v>54845</v>
      </c>
      <c r="D2263" s="51">
        <v>0</v>
      </c>
    </row>
    <row r="2264" spans="1:4" ht="15" customHeight="1">
      <c r="A2264" s="50">
        <v>45021</v>
      </c>
      <c r="B2264" s="49" t="s">
        <v>36</v>
      </c>
      <c r="C2264" s="51">
        <v>54966.7</v>
      </c>
      <c r="D2264" s="51">
        <v>0</v>
      </c>
    </row>
    <row r="2265" spans="1:4" ht="15" customHeight="1">
      <c r="A2265" s="50">
        <v>45021</v>
      </c>
      <c r="B2265" s="49" t="s">
        <v>37</v>
      </c>
      <c r="C2265" s="51">
        <v>54692</v>
      </c>
      <c r="D2265" s="51">
        <v>0</v>
      </c>
    </row>
    <row r="2266" spans="1:4" ht="15" customHeight="1">
      <c r="A2266" s="50">
        <v>45021</v>
      </c>
      <c r="B2266" s="49" t="s">
        <v>38</v>
      </c>
      <c r="C2266" s="51">
        <v>54658.7</v>
      </c>
      <c r="D2266" s="51">
        <v>0</v>
      </c>
    </row>
    <row r="2267" spans="1:4" ht="15" customHeight="1">
      <c r="A2267" s="50">
        <v>45021</v>
      </c>
      <c r="B2267" s="49" t="s">
        <v>39</v>
      </c>
      <c r="C2267" s="51">
        <v>54672.2</v>
      </c>
      <c r="D2267" s="51">
        <v>0</v>
      </c>
    </row>
    <row r="2268" spans="1:4" ht="15" customHeight="1">
      <c r="A2268" s="50">
        <v>45021</v>
      </c>
      <c r="B2268" s="49" t="s">
        <v>40</v>
      </c>
      <c r="C2268" s="51">
        <v>54375.9</v>
      </c>
      <c r="D2268" s="51">
        <v>0</v>
      </c>
    </row>
    <row r="2269" spans="1:4" ht="15" customHeight="1">
      <c r="A2269" s="50">
        <v>45021</v>
      </c>
      <c r="B2269" s="49" t="s">
        <v>41</v>
      </c>
      <c r="C2269" s="51">
        <v>54517.8</v>
      </c>
      <c r="D2269" s="51">
        <v>0</v>
      </c>
    </row>
    <row r="2270" spans="1:4" ht="15" customHeight="1">
      <c r="A2270" s="50">
        <v>45021</v>
      </c>
      <c r="B2270" s="49" t="s">
        <v>42</v>
      </c>
      <c r="C2270" s="51">
        <v>57556.800000000003</v>
      </c>
      <c r="D2270" s="51">
        <v>0</v>
      </c>
    </row>
    <row r="2271" spans="1:4" ht="15" customHeight="1">
      <c r="A2271" s="50">
        <v>45021</v>
      </c>
      <c r="B2271" s="49" t="s">
        <v>43</v>
      </c>
      <c r="C2271" s="51">
        <v>68184.600000000006</v>
      </c>
      <c r="D2271" s="51">
        <v>0</v>
      </c>
    </row>
    <row r="2272" spans="1:4" ht="15" customHeight="1">
      <c r="A2272" s="50">
        <v>45021</v>
      </c>
      <c r="B2272" s="49" t="s">
        <v>44</v>
      </c>
      <c r="C2272" s="51">
        <v>70088.2</v>
      </c>
      <c r="D2272" s="51">
        <v>0</v>
      </c>
    </row>
    <row r="2273" spans="1:4" ht="15" customHeight="1">
      <c r="A2273" s="50">
        <v>45021</v>
      </c>
      <c r="B2273" s="49" t="s">
        <v>45</v>
      </c>
      <c r="C2273" s="51">
        <v>68156.2</v>
      </c>
      <c r="D2273" s="51">
        <v>0</v>
      </c>
    </row>
    <row r="2274" spans="1:4" ht="15" customHeight="1">
      <c r="A2274" s="50">
        <v>45021</v>
      </c>
      <c r="B2274" s="49" t="s">
        <v>46</v>
      </c>
      <c r="C2274" s="51">
        <v>68157.8</v>
      </c>
      <c r="D2274" s="51">
        <v>0</v>
      </c>
    </row>
    <row r="2275" spans="1:4" ht="15" customHeight="1">
      <c r="A2275" s="50">
        <v>45021</v>
      </c>
      <c r="B2275" s="49" t="s">
        <v>47</v>
      </c>
      <c r="C2275" s="51">
        <v>54836.3</v>
      </c>
      <c r="D2275" s="51">
        <v>0</v>
      </c>
    </row>
    <row r="2276" spans="1:4" ht="15" customHeight="1">
      <c r="A2276" s="50">
        <v>45021</v>
      </c>
      <c r="B2276" s="49" t="s">
        <v>48</v>
      </c>
      <c r="C2276" s="51">
        <v>67599.100000000006</v>
      </c>
      <c r="D2276" s="51">
        <v>0</v>
      </c>
    </row>
    <row r="2277" spans="1:4" ht="15" customHeight="1">
      <c r="A2277" s="50">
        <v>45021</v>
      </c>
      <c r="B2277" s="49" t="s">
        <v>49</v>
      </c>
      <c r="C2277" s="51">
        <v>68302</v>
      </c>
      <c r="D2277" s="51">
        <v>0</v>
      </c>
    </row>
    <row r="2278" spans="1:4" ht="15" customHeight="1">
      <c r="A2278" s="50">
        <v>45021</v>
      </c>
      <c r="B2278" s="49" t="s">
        <v>50</v>
      </c>
      <c r="C2278" s="51">
        <v>64979.3</v>
      </c>
      <c r="D2278" s="51">
        <v>0</v>
      </c>
    </row>
    <row r="2279" spans="1:4" ht="15" customHeight="1">
      <c r="A2279" s="50">
        <v>45021</v>
      </c>
      <c r="B2279" s="49" t="s">
        <v>51</v>
      </c>
      <c r="C2279" s="51">
        <v>62462.3</v>
      </c>
      <c r="D2279" s="51">
        <v>0</v>
      </c>
    </row>
    <row r="2280" spans="1:4" ht="15" customHeight="1">
      <c r="A2280" s="50">
        <v>45021</v>
      </c>
      <c r="B2280" s="49" t="s">
        <v>52</v>
      </c>
      <c r="C2280" s="51">
        <v>67526.600000000006</v>
      </c>
      <c r="D2280" s="51">
        <v>0</v>
      </c>
    </row>
    <row r="2281" spans="1:4" ht="15" customHeight="1">
      <c r="A2281" s="50">
        <v>45021</v>
      </c>
      <c r="B2281" s="49" t="s">
        <v>53</v>
      </c>
      <c r="C2281" s="51">
        <v>65615</v>
      </c>
      <c r="D2281" s="51">
        <v>0</v>
      </c>
    </row>
    <row r="2282" spans="1:4" ht="15" customHeight="1">
      <c r="A2282" s="50">
        <v>45022</v>
      </c>
      <c r="B2282" s="49" t="s">
        <v>30</v>
      </c>
      <c r="C2282" s="51">
        <v>55110.7</v>
      </c>
      <c r="D2282" s="51">
        <v>0</v>
      </c>
    </row>
    <row r="2283" spans="1:4" ht="15" customHeight="1">
      <c r="A2283" s="50">
        <v>45022</v>
      </c>
      <c r="B2283" s="49" t="s">
        <v>31</v>
      </c>
      <c r="C2283" s="51">
        <v>54624</v>
      </c>
      <c r="D2283" s="51">
        <v>0</v>
      </c>
    </row>
    <row r="2284" spans="1:4" ht="15" customHeight="1">
      <c r="A2284" s="50">
        <v>45022</v>
      </c>
      <c r="B2284" s="49" t="s">
        <v>32</v>
      </c>
      <c r="C2284" s="51">
        <v>54721.3</v>
      </c>
      <c r="D2284" s="51">
        <v>0</v>
      </c>
    </row>
    <row r="2285" spans="1:4" ht="15" customHeight="1">
      <c r="A2285" s="50">
        <v>45022</v>
      </c>
      <c r="B2285" s="49" t="s">
        <v>33</v>
      </c>
      <c r="C2285" s="51">
        <v>54139.199999999997</v>
      </c>
      <c r="D2285" s="51">
        <v>0</v>
      </c>
    </row>
    <row r="2286" spans="1:4" ht="15" customHeight="1">
      <c r="A2286" s="50">
        <v>45022</v>
      </c>
      <c r="B2286" s="49" t="s">
        <v>34</v>
      </c>
      <c r="C2286" s="51">
        <v>54185</v>
      </c>
      <c r="D2286" s="51">
        <v>0</v>
      </c>
    </row>
    <row r="2287" spans="1:4" ht="15" customHeight="1">
      <c r="A2287" s="50">
        <v>45022</v>
      </c>
      <c r="B2287" s="49" t="s">
        <v>35</v>
      </c>
      <c r="C2287" s="51">
        <v>54299.4</v>
      </c>
      <c r="D2287" s="51">
        <v>0</v>
      </c>
    </row>
    <row r="2288" spans="1:4" ht="15" customHeight="1">
      <c r="A2288" s="50">
        <v>45022</v>
      </c>
      <c r="B2288" s="49" t="s">
        <v>36</v>
      </c>
      <c r="C2288" s="51">
        <v>54596.800000000003</v>
      </c>
      <c r="D2288" s="51">
        <v>0</v>
      </c>
    </row>
    <row r="2289" spans="1:4" ht="15" customHeight="1">
      <c r="A2289" s="50">
        <v>45022</v>
      </c>
      <c r="B2289" s="49" t="s">
        <v>37</v>
      </c>
      <c r="C2289" s="51">
        <v>54184.9</v>
      </c>
      <c r="D2289" s="51">
        <v>0</v>
      </c>
    </row>
    <row r="2290" spans="1:4" ht="15" customHeight="1">
      <c r="A2290" s="50">
        <v>45022</v>
      </c>
      <c r="B2290" s="49" t="s">
        <v>38</v>
      </c>
      <c r="C2290" s="51">
        <v>54208.800000000003</v>
      </c>
      <c r="D2290" s="51">
        <v>0</v>
      </c>
    </row>
    <row r="2291" spans="1:4" ht="15" customHeight="1">
      <c r="A2291" s="50">
        <v>45022</v>
      </c>
      <c r="B2291" s="49" t="s">
        <v>39</v>
      </c>
      <c r="C2291" s="51">
        <v>54688.3</v>
      </c>
      <c r="D2291" s="51">
        <v>0</v>
      </c>
    </row>
    <row r="2292" spans="1:4" ht="15" customHeight="1">
      <c r="A2292" s="50">
        <v>45022</v>
      </c>
      <c r="B2292" s="49" t="s">
        <v>40</v>
      </c>
      <c r="C2292" s="51">
        <v>55006.5</v>
      </c>
      <c r="D2292" s="51">
        <v>0</v>
      </c>
    </row>
    <row r="2293" spans="1:4" ht="15" customHeight="1">
      <c r="A2293" s="50">
        <v>45022</v>
      </c>
      <c r="B2293" s="49" t="s">
        <v>41</v>
      </c>
      <c r="C2293" s="51">
        <v>54581.9</v>
      </c>
      <c r="D2293" s="51">
        <v>0</v>
      </c>
    </row>
    <row r="2294" spans="1:4" ht="15" customHeight="1">
      <c r="A2294" s="50">
        <v>45022</v>
      </c>
      <c r="B2294" s="49" t="s">
        <v>42</v>
      </c>
      <c r="C2294" s="51">
        <v>54490.3</v>
      </c>
      <c r="D2294" s="51">
        <v>0</v>
      </c>
    </row>
    <row r="2295" spans="1:4" ht="15" customHeight="1">
      <c r="A2295" s="50">
        <v>45022</v>
      </c>
      <c r="B2295" s="49" t="s">
        <v>43</v>
      </c>
      <c r="C2295" s="51">
        <v>54425.2</v>
      </c>
      <c r="D2295" s="51">
        <v>0</v>
      </c>
    </row>
    <row r="2296" spans="1:4" ht="15" customHeight="1">
      <c r="A2296" s="50">
        <v>45022</v>
      </c>
      <c r="B2296" s="49" t="s">
        <v>44</v>
      </c>
      <c r="C2296" s="51">
        <v>54539</v>
      </c>
      <c r="D2296" s="51">
        <v>0</v>
      </c>
    </row>
    <row r="2297" spans="1:4" ht="15" customHeight="1">
      <c r="A2297" s="50">
        <v>45022</v>
      </c>
      <c r="B2297" s="49" t="s">
        <v>45</v>
      </c>
      <c r="C2297" s="51">
        <v>54526.9</v>
      </c>
      <c r="D2297" s="51">
        <v>0</v>
      </c>
    </row>
    <row r="2298" spans="1:4" ht="15" customHeight="1">
      <c r="A2298" s="50">
        <v>45022</v>
      </c>
      <c r="B2298" s="49" t="s">
        <v>46</v>
      </c>
      <c r="C2298" s="51">
        <v>54472.800000000003</v>
      </c>
      <c r="D2298" s="51">
        <v>0</v>
      </c>
    </row>
    <row r="2299" spans="1:4" ht="15" customHeight="1">
      <c r="A2299" s="50">
        <v>45022</v>
      </c>
      <c r="B2299" s="49" t="s">
        <v>47</v>
      </c>
      <c r="C2299" s="51">
        <v>54425</v>
      </c>
      <c r="D2299" s="51">
        <v>0</v>
      </c>
    </row>
    <row r="2300" spans="1:4" ht="15" customHeight="1">
      <c r="A2300" s="50">
        <v>45022</v>
      </c>
      <c r="B2300" s="49" t="s">
        <v>48</v>
      </c>
      <c r="C2300" s="51">
        <v>54655.1</v>
      </c>
      <c r="D2300" s="51">
        <v>0</v>
      </c>
    </row>
    <row r="2301" spans="1:4" ht="15" customHeight="1">
      <c r="A2301" s="50">
        <v>45022</v>
      </c>
      <c r="B2301" s="49" t="s">
        <v>49</v>
      </c>
      <c r="C2301" s="51">
        <v>54434.3</v>
      </c>
      <c r="D2301" s="51">
        <v>0</v>
      </c>
    </row>
    <row r="2302" spans="1:4" ht="15" customHeight="1">
      <c r="A2302" s="50">
        <v>45022</v>
      </c>
      <c r="B2302" s="49" t="s">
        <v>50</v>
      </c>
      <c r="C2302" s="51">
        <v>65952.800000000003</v>
      </c>
      <c r="D2302" s="51">
        <v>0</v>
      </c>
    </row>
    <row r="2303" spans="1:4" ht="15" customHeight="1">
      <c r="A2303" s="50">
        <v>45022</v>
      </c>
      <c r="B2303" s="49" t="s">
        <v>51</v>
      </c>
      <c r="C2303" s="51">
        <v>55562</v>
      </c>
      <c r="D2303" s="51">
        <v>0</v>
      </c>
    </row>
    <row r="2304" spans="1:4" ht="15" customHeight="1">
      <c r="A2304" s="50">
        <v>45022</v>
      </c>
      <c r="B2304" s="49" t="s">
        <v>52</v>
      </c>
      <c r="C2304" s="51">
        <v>54196.6</v>
      </c>
      <c r="D2304" s="51">
        <v>0</v>
      </c>
    </row>
    <row r="2305" spans="1:4" ht="15" customHeight="1">
      <c r="A2305" s="50">
        <v>45022</v>
      </c>
      <c r="B2305" s="49" t="s">
        <v>53</v>
      </c>
      <c r="C2305" s="51">
        <v>54253.9</v>
      </c>
      <c r="D2305" s="51">
        <v>0</v>
      </c>
    </row>
    <row r="2306" spans="1:4" ht="15" customHeight="1">
      <c r="A2306" s="50">
        <v>45023</v>
      </c>
      <c r="B2306" s="49" t="s">
        <v>30</v>
      </c>
      <c r="C2306" s="51">
        <v>54370.8</v>
      </c>
      <c r="D2306" s="51">
        <v>0</v>
      </c>
    </row>
    <row r="2307" spans="1:4" ht="15" customHeight="1">
      <c r="A2307" s="50">
        <v>45023</v>
      </c>
      <c r="B2307" s="49" t="s">
        <v>31</v>
      </c>
      <c r="C2307" s="51">
        <v>54204.800000000003</v>
      </c>
      <c r="D2307" s="51">
        <v>0</v>
      </c>
    </row>
    <row r="2308" spans="1:4" ht="15" customHeight="1">
      <c r="A2308" s="50">
        <v>45023</v>
      </c>
      <c r="B2308" s="49" t="s">
        <v>32</v>
      </c>
      <c r="C2308" s="51">
        <v>54306.1</v>
      </c>
      <c r="D2308" s="51">
        <v>0</v>
      </c>
    </row>
    <row r="2309" spans="1:4" ht="15" customHeight="1">
      <c r="A2309" s="50">
        <v>45023</v>
      </c>
      <c r="B2309" s="49" t="s">
        <v>33</v>
      </c>
      <c r="C2309" s="51">
        <v>54392.4</v>
      </c>
      <c r="D2309" s="51">
        <v>0</v>
      </c>
    </row>
    <row r="2310" spans="1:4" ht="15" customHeight="1">
      <c r="A2310" s="50">
        <v>45023</v>
      </c>
      <c r="B2310" s="49" t="s">
        <v>34</v>
      </c>
      <c r="C2310" s="51">
        <v>54528.2</v>
      </c>
      <c r="D2310" s="51">
        <v>0</v>
      </c>
    </row>
    <row r="2311" spans="1:4" ht="15" customHeight="1">
      <c r="A2311" s="50">
        <v>45023</v>
      </c>
      <c r="B2311" s="49" t="s">
        <v>35</v>
      </c>
      <c r="C2311" s="51">
        <v>54353.5</v>
      </c>
      <c r="D2311" s="51">
        <v>0</v>
      </c>
    </row>
    <row r="2312" spans="1:4" ht="15" customHeight="1">
      <c r="A2312" s="50">
        <v>45023</v>
      </c>
      <c r="B2312" s="49" t="s">
        <v>36</v>
      </c>
      <c r="C2312" s="51">
        <v>53275.6</v>
      </c>
      <c r="D2312" s="51">
        <v>0</v>
      </c>
    </row>
    <row r="2313" spans="1:4" ht="15" customHeight="1">
      <c r="A2313" s="50">
        <v>45023</v>
      </c>
      <c r="B2313" s="49" t="s">
        <v>37</v>
      </c>
      <c r="C2313" s="51">
        <v>54499</v>
      </c>
      <c r="D2313" s="51">
        <v>0</v>
      </c>
    </row>
    <row r="2314" spans="1:4" ht="15" customHeight="1">
      <c r="A2314" s="50">
        <v>45023</v>
      </c>
      <c r="B2314" s="49" t="s">
        <v>38</v>
      </c>
      <c r="C2314" s="51">
        <v>53205.1</v>
      </c>
      <c r="D2314" s="51">
        <v>0</v>
      </c>
    </row>
    <row r="2315" spans="1:4" ht="15" customHeight="1">
      <c r="A2315" s="50">
        <v>45023</v>
      </c>
      <c r="B2315" s="49" t="s">
        <v>39</v>
      </c>
      <c r="C2315" s="51">
        <v>53629.3</v>
      </c>
      <c r="D2315" s="51">
        <v>0</v>
      </c>
    </row>
    <row r="2316" spans="1:4" ht="15" customHeight="1">
      <c r="A2316" s="50">
        <v>45023</v>
      </c>
      <c r="B2316" s="49" t="s">
        <v>40</v>
      </c>
      <c r="C2316" s="51">
        <v>52930.400000000001</v>
      </c>
      <c r="D2316" s="51">
        <v>0</v>
      </c>
    </row>
    <row r="2317" spans="1:4" ht="15" customHeight="1">
      <c r="A2317" s="50">
        <v>45023</v>
      </c>
      <c r="B2317" s="49" t="s">
        <v>41</v>
      </c>
      <c r="C2317" s="51">
        <v>53837.7</v>
      </c>
      <c r="D2317" s="51">
        <v>0</v>
      </c>
    </row>
    <row r="2318" spans="1:4" ht="15" customHeight="1">
      <c r="A2318" s="50">
        <v>45023</v>
      </c>
      <c r="B2318" s="49" t="s">
        <v>42</v>
      </c>
      <c r="C2318" s="51">
        <v>53716.2</v>
      </c>
      <c r="D2318" s="51">
        <v>0</v>
      </c>
    </row>
    <row r="2319" spans="1:4" ht="15" customHeight="1">
      <c r="A2319" s="50">
        <v>45023</v>
      </c>
      <c r="B2319" s="49" t="s">
        <v>43</v>
      </c>
      <c r="C2319" s="51">
        <v>53684.7</v>
      </c>
      <c r="D2319" s="51">
        <v>0</v>
      </c>
    </row>
    <row r="2320" spans="1:4" ht="15" customHeight="1">
      <c r="A2320" s="50">
        <v>45023</v>
      </c>
      <c r="B2320" s="49" t="s">
        <v>44</v>
      </c>
      <c r="C2320" s="51">
        <v>52890.9</v>
      </c>
      <c r="D2320" s="51">
        <v>0</v>
      </c>
    </row>
    <row r="2321" spans="1:4" ht="15" customHeight="1">
      <c r="A2321" s="50">
        <v>45023</v>
      </c>
      <c r="B2321" s="49" t="s">
        <v>45</v>
      </c>
      <c r="C2321" s="51">
        <v>54928.5</v>
      </c>
      <c r="D2321" s="51">
        <v>0</v>
      </c>
    </row>
    <row r="2322" spans="1:4" ht="15" customHeight="1">
      <c r="A2322" s="50">
        <v>45023</v>
      </c>
      <c r="B2322" s="49" t="s">
        <v>46</v>
      </c>
      <c r="C2322" s="51">
        <v>54545.8</v>
      </c>
      <c r="D2322" s="51">
        <v>0</v>
      </c>
    </row>
    <row r="2323" spans="1:4" ht="15" customHeight="1">
      <c r="A2323" s="50">
        <v>45023</v>
      </c>
      <c r="B2323" s="49" t="s">
        <v>47</v>
      </c>
      <c r="C2323" s="51">
        <v>54704.2</v>
      </c>
      <c r="D2323" s="51">
        <v>0</v>
      </c>
    </row>
    <row r="2324" spans="1:4" ht="15" customHeight="1">
      <c r="A2324" s="50">
        <v>45023</v>
      </c>
      <c r="B2324" s="49" t="s">
        <v>48</v>
      </c>
      <c r="C2324" s="51">
        <v>54301.3</v>
      </c>
      <c r="D2324" s="51">
        <v>0</v>
      </c>
    </row>
    <row r="2325" spans="1:4" ht="15" customHeight="1">
      <c r="A2325" s="50">
        <v>45023</v>
      </c>
      <c r="B2325" s="49" t="s">
        <v>49</v>
      </c>
      <c r="C2325" s="51">
        <v>54296.2</v>
      </c>
      <c r="D2325" s="51">
        <v>0</v>
      </c>
    </row>
    <row r="2326" spans="1:4" ht="15" customHeight="1">
      <c r="A2326" s="50">
        <v>45023</v>
      </c>
      <c r="B2326" s="49" t="s">
        <v>50</v>
      </c>
      <c r="C2326" s="51">
        <v>67162.399999999994</v>
      </c>
      <c r="D2326" s="51">
        <v>0</v>
      </c>
    </row>
    <row r="2327" spans="1:4" ht="15" customHeight="1">
      <c r="A2327" s="50">
        <v>45023</v>
      </c>
      <c r="B2327" s="49" t="s">
        <v>51</v>
      </c>
      <c r="C2327" s="51">
        <v>56064.3</v>
      </c>
      <c r="D2327" s="51">
        <v>0</v>
      </c>
    </row>
    <row r="2328" spans="1:4" ht="15" customHeight="1">
      <c r="A2328" s="50">
        <v>45023</v>
      </c>
      <c r="B2328" s="49" t="s">
        <v>52</v>
      </c>
      <c r="C2328" s="51">
        <v>54171.199999999997</v>
      </c>
      <c r="D2328" s="51">
        <v>0</v>
      </c>
    </row>
    <row r="2329" spans="1:4" ht="15" customHeight="1">
      <c r="A2329" s="50">
        <v>45023</v>
      </c>
      <c r="B2329" s="49" t="s">
        <v>53</v>
      </c>
      <c r="C2329" s="51">
        <v>54628.1</v>
      </c>
      <c r="D2329" s="51">
        <v>0</v>
      </c>
    </row>
    <row r="2330" spans="1:4" ht="15" customHeight="1">
      <c r="A2330" s="50">
        <v>45024</v>
      </c>
      <c r="B2330" s="49" t="s">
        <v>30</v>
      </c>
      <c r="C2330" s="51">
        <v>54102.6</v>
      </c>
      <c r="D2330" s="51">
        <v>0</v>
      </c>
    </row>
    <row r="2331" spans="1:4" ht="15" customHeight="1">
      <c r="A2331" s="50">
        <v>45024</v>
      </c>
      <c r="B2331" s="49" t="s">
        <v>31</v>
      </c>
      <c r="C2331" s="51">
        <v>54499.1</v>
      </c>
      <c r="D2331" s="51">
        <v>0</v>
      </c>
    </row>
    <row r="2332" spans="1:4" ht="15" customHeight="1">
      <c r="A2332" s="50">
        <v>45024</v>
      </c>
      <c r="B2332" s="49" t="s">
        <v>32</v>
      </c>
      <c r="C2332" s="51">
        <v>54720.5</v>
      </c>
      <c r="D2332" s="51">
        <v>0</v>
      </c>
    </row>
    <row r="2333" spans="1:4" ht="15" customHeight="1">
      <c r="A2333" s="50">
        <v>45024</v>
      </c>
      <c r="B2333" s="49" t="s">
        <v>33</v>
      </c>
      <c r="C2333" s="51">
        <v>54823.9</v>
      </c>
      <c r="D2333" s="51">
        <v>0</v>
      </c>
    </row>
    <row r="2334" spans="1:4" ht="15" customHeight="1">
      <c r="A2334" s="50">
        <v>45024</v>
      </c>
      <c r="B2334" s="49" t="s">
        <v>34</v>
      </c>
      <c r="C2334" s="51">
        <v>54768.5</v>
      </c>
      <c r="D2334" s="51">
        <v>0</v>
      </c>
    </row>
    <row r="2335" spans="1:4" ht="15" customHeight="1">
      <c r="A2335" s="50">
        <v>45024</v>
      </c>
      <c r="B2335" s="49" t="s">
        <v>35</v>
      </c>
      <c r="C2335" s="51">
        <v>54646.6</v>
      </c>
      <c r="D2335" s="51">
        <v>0</v>
      </c>
    </row>
    <row r="2336" spans="1:4" ht="15" customHeight="1">
      <c r="A2336" s="50">
        <v>45024</v>
      </c>
      <c r="B2336" s="49" t="s">
        <v>36</v>
      </c>
      <c r="C2336" s="51">
        <v>53877.5</v>
      </c>
      <c r="D2336" s="51">
        <v>0</v>
      </c>
    </row>
    <row r="2337" spans="1:4" ht="15" customHeight="1">
      <c r="A2337" s="50">
        <v>45024</v>
      </c>
      <c r="B2337" s="49" t="s">
        <v>37</v>
      </c>
      <c r="C2337" s="51">
        <v>53161.8</v>
      </c>
      <c r="D2337" s="51">
        <v>0</v>
      </c>
    </row>
    <row r="2338" spans="1:4" ht="15" customHeight="1">
      <c r="A2338" s="50">
        <v>45024</v>
      </c>
      <c r="B2338" s="49" t="s">
        <v>38</v>
      </c>
      <c r="C2338" s="51">
        <v>54807.8</v>
      </c>
      <c r="D2338" s="51">
        <v>0</v>
      </c>
    </row>
    <row r="2339" spans="1:4" ht="15" customHeight="1">
      <c r="A2339" s="50">
        <v>45024</v>
      </c>
      <c r="B2339" s="49" t="s">
        <v>39</v>
      </c>
      <c r="C2339" s="51">
        <v>54771.4</v>
      </c>
      <c r="D2339" s="51">
        <v>0</v>
      </c>
    </row>
    <row r="2340" spans="1:4" ht="15" customHeight="1">
      <c r="A2340" s="50">
        <v>45024</v>
      </c>
      <c r="B2340" s="49" t="s">
        <v>40</v>
      </c>
      <c r="C2340" s="51">
        <v>54237.9</v>
      </c>
      <c r="D2340" s="51">
        <v>0</v>
      </c>
    </row>
    <row r="2341" spans="1:4" ht="15" customHeight="1">
      <c r="A2341" s="50">
        <v>45024</v>
      </c>
      <c r="B2341" s="49" t="s">
        <v>41</v>
      </c>
      <c r="C2341" s="51">
        <v>54304.3</v>
      </c>
      <c r="D2341" s="51">
        <v>0</v>
      </c>
    </row>
    <row r="2342" spans="1:4" ht="15" customHeight="1">
      <c r="A2342" s="50">
        <v>45024</v>
      </c>
      <c r="B2342" s="49" t="s">
        <v>42</v>
      </c>
      <c r="C2342" s="51">
        <v>54218.400000000001</v>
      </c>
      <c r="D2342" s="51">
        <v>0</v>
      </c>
    </row>
    <row r="2343" spans="1:4" ht="15" customHeight="1">
      <c r="A2343" s="50">
        <v>45024</v>
      </c>
      <c r="B2343" s="49" t="s">
        <v>43</v>
      </c>
      <c r="C2343" s="51">
        <v>54194.6</v>
      </c>
      <c r="D2343" s="51">
        <v>0</v>
      </c>
    </row>
    <row r="2344" spans="1:4" ht="15" customHeight="1">
      <c r="A2344" s="50">
        <v>45024</v>
      </c>
      <c r="B2344" s="49" t="s">
        <v>44</v>
      </c>
      <c r="C2344" s="51">
        <v>54379.199999999997</v>
      </c>
      <c r="D2344" s="51">
        <v>0</v>
      </c>
    </row>
    <row r="2345" spans="1:4" ht="15" customHeight="1">
      <c r="A2345" s="50">
        <v>45024</v>
      </c>
      <c r="B2345" s="49" t="s">
        <v>45</v>
      </c>
      <c r="C2345" s="51">
        <v>54216.3</v>
      </c>
      <c r="D2345" s="51">
        <v>0</v>
      </c>
    </row>
    <row r="2346" spans="1:4" ht="15" customHeight="1">
      <c r="A2346" s="50">
        <v>45024</v>
      </c>
      <c r="B2346" s="49" t="s">
        <v>46</v>
      </c>
      <c r="C2346" s="51">
        <v>54218.7</v>
      </c>
      <c r="D2346" s="51">
        <v>0</v>
      </c>
    </row>
    <row r="2347" spans="1:4" ht="15" customHeight="1">
      <c r="A2347" s="50">
        <v>45024</v>
      </c>
      <c r="B2347" s="49" t="s">
        <v>47</v>
      </c>
      <c r="C2347" s="51">
        <v>54342.9</v>
      </c>
      <c r="D2347" s="51">
        <v>0</v>
      </c>
    </row>
    <row r="2348" spans="1:4" ht="15" customHeight="1">
      <c r="A2348" s="50">
        <v>45024</v>
      </c>
      <c r="B2348" s="49" t="s">
        <v>48</v>
      </c>
      <c r="C2348" s="51">
        <v>54456.9</v>
      </c>
      <c r="D2348" s="51">
        <v>0</v>
      </c>
    </row>
    <row r="2349" spans="1:4" ht="15" customHeight="1">
      <c r="A2349" s="50">
        <v>45024</v>
      </c>
      <c r="B2349" s="49" t="s">
        <v>49</v>
      </c>
      <c r="C2349" s="51">
        <v>56527.3</v>
      </c>
      <c r="D2349" s="51">
        <v>0</v>
      </c>
    </row>
    <row r="2350" spans="1:4" ht="15" customHeight="1">
      <c r="A2350" s="50">
        <v>45024</v>
      </c>
      <c r="B2350" s="49" t="s">
        <v>50</v>
      </c>
      <c r="C2350" s="51">
        <v>59916.6</v>
      </c>
      <c r="D2350" s="51">
        <v>0</v>
      </c>
    </row>
    <row r="2351" spans="1:4" ht="15" customHeight="1">
      <c r="A2351" s="50">
        <v>45024</v>
      </c>
      <c r="B2351" s="49" t="s">
        <v>51</v>
      </c>
      <c r="C2351" s="51">
        <v>54549.4</v>
      </c>
      <c r="D2351" s="51">
        <v>0</v>
      </c>
    </row>
    <row r="2352" spans="1:4" ht="15" customHeight="1">
      <c r="A2352" s="50">
        <v>45024</v>
      </c>
      <c r="B2352" s="49" t="s">
        <v>52</v>
      </c>
      <c r="C2352" s="51">
        <v>53422.2</v>
      </c>
      <c r="D2352" s="51">
        <v>0</v>
      </c>
    </row>
    <row r="2353" spans="1:4" ht="15" customHeight="1">
      <c r="A2353" s="50">
        <v>45024</v>
      </c>
      <c r="B2353" s="49" t="s">
        <v>53</v>
      </c>
      <c r="C2353" s="51">
        <v>54463.5</v>
      </c>
      <c r="D2353" s="51">
        <v>0</v>
      </c>
    </row>
    <row r="2354" spans="1:4" ht="15" customHeight="1">
      <c r="A2354" s="50">
        <v>45025</v>
      </c>
      <c r="B2354" s="49" t="s">
        <v>30</v>
      </c>
      <c r="C2354" s="51">
        <v>53715.3</v>
      </c>
      <c r="D2354" s="51">
        <v>0</v>
      </c>
    </row>
    <row r="2355" spans="1:4" ht="15" customHeight="1">
      <c r="A2355" s="50">
        <v>45025</v>
      </c>
      <c r="B2355" s="49" t="s">
        <v>31</v>
      </c>
      <c r="C2355" s="51">
        <v>54240</v>
      </c>
      <c r="D2355" s="51">
        <v>0</v>
      </c>
    </row>
    <row r="2356" spans="1:4" ht="15" customHeight="1">
      <c r="A2356" s="50">
        <v>45025</v>
      </c>
      <c r="B2356" s="49" t="s">
        <v>32</v>
      </c>
      <c r="C2356" s="51">
        <v>54427.8</v>
      </c>
      <c r="D2356" s="51">
        <v>0</v>
      </c>
    </row>
    <row r="2357" spans="1:4" ht="15" customHeight="1">
      <c r="A2357" s="50">
        <v>45025</v>
      </c>
      <c r="B2357" s="49" t="s">
        <v>33</v>
      </c>
      <c r="C2357" s="51">
        <v>54311.9</v>
      </c>
      <c r="D2357" s="51">
        <v>0</v>
      </c>
    </row>
    <row r="2358" spans="1:4" ht="15" customHeight="1">
      <c r="A2358" s="50">
        <v>45025</v>
      </c>
      <c r="B2358" s="49" t="s">
        <v>34</v>
      </c>
      <c r="C2358" s="51">
        <v>54428.2</v>
      </c>
      <c r="D2358" s="51">
        <v>0</v>
      </c>
    </row>
    <row r="2359" spans="1:4" ht="15" customHeight="1">
      <c r="A2359" s="50">
        <v>45025</v>
      </c>
      <c r="B2359" s="49" t="s">
        <v>35</v>
      </c>
      <c r="C2359" s="51">
        <v>54091.8</v>
      </c>
      <c r="D2359" s="51">
        <v>0</v>
      </c>
    </row>
    <row r="2360" spans="1:4" ht="15" customHeight="1">
      <c r="A2360" s="50">
        <v>45025</v>
      </c>
      <c r="B2360" s="49" t="s">
        <v>36</v>
      </c>
      <c r="C2360" s="51">
        <v>54049</v>
      </c>
      <c r="D2360" s="51">
        <v>0</v>
      </c>
    </row>
    <row r="2361" spans="1:4" ht="15" customHeight="1">
      <c r="A2361" s="50">
        <v>45025</v>
      </c>
      <c r="B2361" s="49" t="s">
        <v>37</v>
      </c>
      <c r="C2361" s="51">
        <v>53464.4</v>
      </c>
      <c r="D2361" s="51">
        <v>0</v>
      </c>
    </row>
    <row r="2362" spans="1:4" ht="15" customHeight="1">
      <c r="A2362" s="50">
        <v>45025</v>
      </c>
      <c r="B2362" s="49" t="s">
        <v>38</v>
      </c>
      <c r="C2362" s="51">
        <v>53454.5</v>
      </c>
      <c r="D2362" s="51">
        <v>0</v>
      </c>
    </row>
    <row r="2363" spans="1:4" ht="15" customHeight="1">
      <c r="A2363" s="50">
        <v>45025</v>
      </c>
      <c r="B2363" s="49" t="s">
        <v>39</v>
      </c>
      <c r="C2363" s="51">
        <v>53319.199999999997</v>
      </c>
      <c r="D2363" s="51">
        <v>0</v>
      </c>
    </row>
    <row r="2364" spans="1:4" ht="15" customHeight="1">
      <c r="A2364" s="50">
        <v>45025</v>
      </c>
      <c r="B2364" s="49" t="s">
        <v>40</v>
      </c>
      <c r="C2364" s="51">
        <v>53452.9</v>
      </c>
      <c r="D2364" s="51">
        <v>0</v>
      </c>
    </row>
    <row r="2365" spans="1:4" ht="15" customHeight="1">
      <c r="A2365" s="50">
        <v>45025</v>
      </c>
      <c r="B2365" s="49" t="s">
        <v>41</v>
      </c>
      <c r="C2365" s="51">
        <v>53583.7</v>
      </c>
      <c r="D2365" s="51">
        <v>0</v>
      </c>
    </row>
    <row r="2366" spans="1:4" ht="15" customHeight="1">
      <c r="A2366" s="50">
        <v>45025</v>
      </c>
      <c r="B2366" s="49" t="s">
        <v>42</v>
      </c>
      <c r="C2366" s="51">
        <v>53625.3</v>
      </c>
      <c r="D2366" s="51">
        <v>0</v>
      </c>
    </row>
    <row r="2367" spans="1:4" ht="15" customHeight="1">
      <c r="A2367" s="50">
        <v>45025</v>
      </c>
      <c r="B2367" s="49" t="s">
        <v>43</v>
      </c>
      <c r="C2367" s="51">
        <v>53518.3</v>
      </c>
      <c r="D2367" s="51">
        <v>0</v>
      </c>
    </row>
    <row r="2368" spans="1:4" ht="15" customHeight="1">
      <c r="A2368" s="50">
        <v>45025</v>
      </c>
      <c r="B2368" s="49" t="s">
        <v>44</v>
      </c>
      <c r="C2368" s="51">
        <v>53510.8</v>
      </c>
      <c r="D2368" s="51">
        <v>0</v>
      </c>
    </row>
    <row r="2369" spans="1:4" ht="15" customHeight="1">
      <c r="A2369" s="50">
        <v>45025</v>
      </c>
      <c r="B2369" s="49" t="s">
        <v>45</v>
      </c>
      <c r="C2369" s="51">
        <v>53582.8</v>
      </c>
      <c r="D2369" s="51">
        <v>0</v>
      </c>
    </row>
    <row r="2370" spans="1:4" ht="15" customHeight="1">
      <c r="A2370" s="50">
        <v>45025</v>
      </c>
      <c r="B2370" s="49" t="s">
        <v>46</v>
      </c>
      <c r="C2370" s="51">
        <v>53547.1</v>
      </c>
      <c r="D2370" s="51">
        <v>0</v>
      </c>
    </row>
    <row r="2371" spans="1:4" ht="15" customHeight="1">
      <c r="A2371" s="50">
        <v>45025</v>
      </c>
      <c r="B2371" s="49" t="s">
        <v>47</v>
      </c>
      <c r="C2371" s="51">
        <v>53554.3</v>
      </c>
      <c r="D2371" s="51">
        <v>0</v>
      </c>
    </row>
    <row r="2372" spans="1:4" ht="15" customHeight="1">
      <c r="A2372" s="50">
        <v>45025</v>
      </c>
      <c r="B2372" s="49" t="s">
        <v>48</v>
      </c>
      <c r="C2372" s="51">
        <v>53567.6</v>
      </c>
      <c r="D2372" s="51">
        <v>0</v>
      </c>
    </row>
    <row r="2373" spans="1:4" ht="15" customHeight="1">
      <c r="A2373" s="50">
        <v>45025</v>
      </c>
      <c r="B2373" s="49" t="s">
        <v>49</v>
      </c>
      <c r="C2373" s="51">
        <v>53448.9</v>
      </c>
      <c r="D2373" s="51">
        <v>0</v>
      </c>
    </row>
    <row r="2374" spans="1:4" ht="15" customHeight="1">
      <c r="A2374" s="50">
        <v>45025</v>
      </c>
      <c r="B2374" s="49" t="s">
        <v>50</v>
      </c>
      <c r="C2374" s="51">
        <v>65253.7</v>
      </c>
      <c r="D2374" s="51">
        <v>0</v>
      </c>
    </row>
    <row r="2375" spans="1:4" ht="15" customHeight="1">
      <c r="A2375" s="50">
        <v>45025</v>
      </c>
      <c r="B2375" s="49" t="s">
        <v>51</v>
      </c>
      <c r="C2375" s="51">
        <v>68095.8</v>
      </c>
      <c r="D2375" s="51">
        <v>0</v>
      </c>
    </row>
    <row r="2376" spans="1:4" ht="15" customHeight="1">
      <c r="A2376" s="50">
        <v>45025</v>
      </c>
      <c r="B2376" s="49" t="s">
        <v>52</v>
      </c>
      <c r="C2376" s="51">
        <v>68182.899999999994</v>
      </c>
      <c r="D2376" s="51">
        <v>0</v>
      </c>
    </row>
    <row r="2377" spans="1:4" ht="15" customHeight="1">
      <c r="A2377" s="50">
        <v>45025</v>
      </c>
      <c r="B2377" s="49" t="s">
        <v>53</v>
      </c>
      <c r="C2377" s="51">
        <v>63080.2</v>
      </c>
      <c r="D2377" s="51">
        <v>0</v>
      </c>
    </row>
    <row r="2378" spans="1:4" ht="15" customHeight="1">
      <c r="A2378" s="50">
        <v>45026</v>
      </c>
      <c r="B2378" s="49" t="s">
        <v>30</v>
      </c>
      <c r="C2378" s="51">
        <v>54460.4</v>
      </c>
      <c r="D2378" s="51">
        <v>0</v>
      </c>
    </row>
    <row r="2379" spans="1:4" ht="15" customHeight="1">
      <c r="A2379" s="50">
        <v>45026</v>
      </c>
      <c r="B2379" s="49" t="s">
        <v>31</v>
      </c>
      <c r="C2379" s="51">
        <v>54603.1</v>
      </c>
      <c r="D2379" s="51">
        <v>0</v>
      </c>
    </row>
    <row r="2380" spans="1:4" ht="15" customHeight="1">
      <c r="A2380" s="50">
        <v>45026</v>
      </c>
      <c r="B2380" s="49" t="s">
        <v>32</v>
      </c>
      <c r="C2380" s="51">
        <v>54513.7</v>
      </c>
      <c r="D2380" s="51">
        <v>0</v>
      </c>
    </row>
    <row r="2381" spans="1:4" ht="15" customHeight="1">
      <c r="A2381" s="50">
        <v>45026</v>
      </c>
      <c r="B2381" s="49" t="s">
        <v>33</v>
      </c>
      <c r="C2381" s="51">
        <v>54597.5</v>
      </c>
      <c r="D2381" s="51">
        <v>0</v>
      </c>
    </row>
    <row r="2382" spans="1:4" ht="15" customHeight="1">
      <c r="A2382" s="50">
        <v>45026</v>
      </c>
      <c r="B2382" s="49" t="s">
        <v>34</v>
      </c>
      <c r="C2382" s="51">
        <v>54769.5</v>
      </c>
      <c r="D2382" s="51">
        <v>0</v>
      </c>
    </row>
    <row r="2383" spans="1:4" ht="15" customHeight="1">
      <c r="A2383" s="50">
        <v>45026</v>
      </c>
      <c r="B2383" s="49" t="s">
        <v>35</v>
      </c>
      <c r="C2383" s="51">
        <v>54460.2</v>
      </c>
      <c r="D2383" s="51">
        <v>0</v>
      </c>
    </row>
    <row r="2384" spans="1:4" ht="15" customHeight="1">
      <c r="A2384" s="50">
        <v>45026</v>
      </c>
      <c r="B2384" s="49" t="s">
        <v>36</v>
      </c>
      <c r="C2384" s="51">
        <v>53645.9</v>
      </c>
      <c r="D2384" s="51">
        <v>0</v>
      </c>
    </row>
    <row r="2385" spans="1:4" ht="15" customHeight="1">
      <c r="A2385" s="50">
        <v>45026</v>
      </c>
      <c r="B2385" s="49" t="s">
        <v>37</v>
      </c>
      <c r="C2385" s="51">
        <v>54426.1</v>
      </c>
      <c r="D2385" s="51">
        <v>0</v>
      </c>
    </row>
    <row r="2386" spans="1:4" ht="15" customHeight="1">
      <c r="A2386" s="50">
        <v>45026</v>
      </c>
      <c r="B2386" s="49" t="s">
        <v>38</v>
      </c>
      <c r="C2386" s="51">
        <v>54758.7</v>
      </c>
      <c r="D2386" s="51">
        <v>0</v>
      </c>
    </row>
    <row r="2387" spans="1:4" ht="15" customHeight="1">
      <c r="A2387" s="50">
        <v>45026</v>
      </c>
      <c r="B2387" s="49" t="s">
        <v>39</v>
      </c>
      <c r="C2387" s="51">
        <v>53372.6</v>
      </c>
      <c r="D2387" s="51">
        <v>0</v>
      </c>
    </row>
    <row r="2388" spans="1:4" ht="15" customHeight="1">
      <c r="A2388" s="50">
        <v>45026</v>
      </c>
      <c r="B2388" s="49" t="s">
        <v>40</v>
      </c>
      <c r="C2388" s="51">
        <v>54493.3</v>
      </c>
      <c r="D2388" s="51">
        <v>0</v>
      </c>
    </row>
    <row r="2389" spans="1:4" ht="15" customHeight="1">
      <c r="A2389" s="50">
        <v>45026</v>
      </c>
      <c r="B2389" s="49" t="s">
        <v>41</v>
      </c>
      <c r="C2389" s="51">
        <v>54607.1</v>
      </c>
      <c r="D2389" s="51">
        <v>0</v>
      </c>
    </row>
    <row r="2390" spans="1:4" ht="15" customHeight="1">
      <c r="A2390" s="50">
        <v>45026</v>
      </c>
      <c r="B2390" s="49" t="s">
        <v>42</v>
      </c>
      <c r="C2390" s="51">
        <v>55293</v>
      </c>
      <c r="D2390" s="51">
        <v>0</v>
      </c>
    </row>
    <row r="2391" spans="1:4" ht="15" customHeight="1">
      <c r="A2391" s="50">
        <v>45026</v>
      </c>
      <c r="B2391" s="49" t="s">
        <v>43</v>
      </c>
      <c r="C2391" s="51">
        <v>55023</v>
      </c>
      <c r="D2391" s="51">
        <v>0</v>
      </c>
    </row>
    <row r="2392" spans="1:4" ht="15" customHeight="1">
      <c r="A2392" s="50">
        <v>45026</v>
      </c>
      <c r="B2392" s="49" t="s">
        <v>44</v>
      </c>
      <c r="C2392" s="51">
        <v>54953.2</v>
      </c>
      <c r="D2392" s="51">
        <v>0</v>
      </c>
    </row>
    <row r="2393" spans="1:4" ht="15" customHeight="1">
      <c r="A2393" s="50">
        <v>45026</v>
      </c>
      <c r="B2393" s="49" t="s">
        <v>45</v>
      </c>
      <c r="C2393" s="51">
        <v>54664.7</v>
      </c>
      <c r="D2393" s="51">
        <v>0</v>
      </c>
    </row>
    <row r="2394" spans="1:4" ht="15" customHeight="1">
      <c r="A2394" s="50">
        <v>45026</v>
      </c>
      <c r="B2394" s="49" t="s">
        <v>46</v>
      </c>
      <c r="C2394" s="51">
        <v>54629.3</v>
      </c>
      <c r="D2394" s="51">
        <v>0</v>
      </c>
    </row>
    <row r="2395" spans="1:4" ht="15" customHeight="1">
      <c r="A2395" s="50">
        <v>45026</v>
      </c>
      <c r="B2395" s="49" t="s">
        <v>47</v>
      </c>
      <c r="C2395" s="51">
        <v>53108.4</v>
      </c>
      <c r="D2395" s="51">
        <v>0</v>
      </c>
    </row>
    <row r="2396" spans="1:4" ht="15" customHeight="1">
      <c r="A2396" s="50">
        <v>45026</v>
      </c>
      <c r="B2396" s="49" t="s">
        <v>48</v>
      </c>
      <c r="C2396" s="51">
        <v>54761.599999999999</v>
      </c>
      <c r="D2396" s="51">
        <v>0</v>
      </c>
    </row>
    <row r="2397" spans="1:4" ht="15" customHeight="1">
      <c r="A2397" s="50">
        <v>45026</v>
      </c>
      <c r="B2397" s="49" t="s">
        <v>49</v>
      </c>
      <c r="C2397" s="51">
        <v>55018.400000000001</v>
      </c>
      <c r="D2397" s="51">
        <v>0</v>
      </c>
    </row>
    <row r="2398" spans="1:4" ht="15" customHeight="1">
      <c r="A2398" s="50">
        <v>45026</v>
      </c>
      <c r="B2398" s="49" t="s">
        <v>50</v>
      </c>
      <c r="C2398" s="51">
        <v>67070.2</v>
      </c>
      <c r="D2398" s="51">
        <v>0</v>
      </c>
    </row>
    <row r="2399" spans="1:4" ht="15" customHeight="1">
      <c r="A2399" s="50">
        <v>45026</v>
      </c>
      <c r="B2399" s="49" t="s">
        <v>51</v>
      </c>
      <c r="C2399" s="51">
        <v>67598.8</v>
      </c>
      <c r="D2399" s="51">
        <v>0</v>
      </c>
    </row>
    <row r="2400" spans="1:4" ht="15" customHeight="1">
      <c r="A2400" s="50">
        <v>45026</v>
      </c>
      <c r="B2400" s="49" t="s">
        <v>52</v>
      </c>
      <c r="C2400" s="51">
        <v>67109.399999999994</v>
      </c>
      <c r="D2400" s="51">
        <v>0</v>
      </c>
    </row>
    <row r="2401" spans="1:4" ht="15" customHeight="1">
      <c r="A2401" s="50">
        <v>45026</v>
      </c>
      <c r="B2401" s="49" t="s">
        <v>53</v>
      </c>
      <c r="C2401" s="51">
        <v>55236</v>
      </c>
      <c r="D2401" s="51">
        <v>0</v>
      </c>
    </row>
    <row r="2402" spans="1:4" ht="15" customHeight="1">
      <c r="A2402" s="50">
        <v>45027</v>
      </c>
      <c r="B2402" s="49" t="s">
        <v>30</v>
      </c>
      <c r="C2402" s="51">
        <v>54719.3</v>
      </c>
      <c r="D2402" s="51">
        <v>0</v>
      </c>
    </row>
    <row r="2403" spans="1:4" ht="15" customHeight="1">
      <c r="A2403" s="50">
        <v>45027</v>
      </c>
      <c r="B2403" s="49" t="s">
        <v>31</v>
      </c>
      <c r="C2403" s="51">
        <v>54730.6</v>
      </c>
      <c r="D2403" s="51">
        <v>0</v>
      </c>
    </row>
    <row r="2404" spans="1:4" ht="15" customHeight="1">
      <c r="A2404" s="50">
        <v>45027</v>
      </c>
      <c r="B2404" s="49" t="s">
        <v>32</v>
      </c>
      <c r="C2404" s="51">
        <v>54393</v>
      </c>
      <c r="D2404" s="51">
        <v>0</v>
      </c>
    </row>
    <row r="2405" spans="1:4" ht="15" customHeight="1">
      <c r="A2405" s="50">
        <v>45027</v>
      </c>
      <c r="B2405" s="49" t="s">
        <v>33</v>
      </c>
      <c r="C2405" s="51">
        <v>54514.7</v>
      </c>
      <c r="D2405" s="51">
        <v>0</v>
      </c>
    </row>
    <row r="2406" spans="1:4" ht="15" customHeight="1">
      <c r="A2406" s="50">
        <v>45027</v>
      </c>
      <c r="B2406" s="49" t="s">
        <v>34</v>
      </c>
      <c r="C2406" s="51">
        <v>54801.9</v>
      </c>
      <c r="D2406" s="51">
        <v>0</v>
      </c>
    </row>
    <row r="2407" spans="1:4" ht="15" customHeight="1">
      <c r="A2407" s="50">
        <v>45027</v>
      </c>
      <c r="B2407" s="49" t="s">
        <v>35</v>
      </c>
      <c r="C2407" s="51">
        <v>54513.1</v>
      </c>
      <c r="D2407" s="51">
        <v>0</v>
      </c>
    </row>
    <row r="2408" spans="1:4" ht="15" customHeight="1">
      <c r="A2408" s="50">
        <v>45027</v>
      </c>
      <c r="B2408" s="49" t="s">
        <v>36</v>
      </c>
      <c r="C2408" s="51">
        <v>52785.4</v>
      </c>
      <c r="D2408" s="51">
        <v>0</v>
      </c>
    </row>
    <row r="2409" spans="1:4" ht="15" customHeight="1">
      <c r="A2409" s="50">
        <v>45027</v>
      </c>
      <c r="B2409" s="49" t="s">
        <v>37</v>
      </c>
      <c r="C2409" s="51">
        <v>53568.2</v>
      </c>
      <c r="D2409" s="51">
        <v>0</v>
      </c>
    </row>
    <row r="2410" spans="1:4" ht="15" customHeight="1">
      <c r="A2410" s="50">
        <v>45027</v>
      </c>
      <c r="B2410" s="49" t="s">
        <v>38</v>
      </c>
      <c r="C2410" s="51">
        <v>53984.800000000003</v>
      </c>
      <c r="D2410" s="51">
        <v>0</v>
      </c>
    </row>
    <row r="2411" spans="1:4" ht="15" customHeight="1">
      <c r="A2411" s="50">
        <v>45027</v>
      </c>
      <c r="B2411" s="49" t="s">
        <v>39</v>
      </c>
      <c r="C2411" s="51">
        <v>54532.6</v>
      </c>
      <c r="D2411" s="51">
        <v>0</v>
      </c>
    </row>
    <row r="2412" spans="1:4" ht="15" customHeight="1">
      <c r="A2412" s="50">
        <v>45027</v>
      </c>
      <c r="B2412" s="49" t="s">
        <v>40</v>
      </c>
      <c r="C2412" s="51">
        <v>54569.7</v>
      </c>
      <c r="D2412" s="51">
        <v>0</v>
      </c>
    </row>
    <row r="2413" spans="1:4" ht="15" customHeight="1">
      <c r="A2413" s="50">
        <v>45027</v>
      </c>
      <c r="B2413" s="49" t="s">
        <v>41</v>
      </c>
      <c r="C2413" s="51">
        <v>54970.2</v>
      </c>
      <c r="D2413" s="51">
        <v>0</v>
      </c>
    </row>
    <row r="2414" spans="1:4" ht="15" customHeight="1">
      <c r="A2414" s="50">
        <v>45027</v>
      </c>
      <c r="B2414" s="49" t="s">
        <v>42</v>
      </c>
      <c r="C2414" s="51">
        <v>54203.6</v>
      </c>
      <c r="D2414" s="51">
        <v>0</v>
      </c>
    </row>
    <row r="2415" spans="1:4" ht="15" customHeight="1">
      <c r="A2415" s="50">
        <v>45027</v>
      </c>
      <c r="B2415" s="49" t="s">
        <v>43</v>
      </c>
      <c r="C2415" s="51">
        <v>54769.9</v>
      </c>
      <c r="D2415" s="51">
        <v>0</v>
      </c>
    </row>
    <row r="2416" spans="1:4" ht="15" customHeight="1">
      <c r="A2416" s="50">
        <v>45027</v>
      </c>
      <c r="B2416" s="49" t="s">
        <v>44</v>
      </c>
      <c r="C2416" s="51">
        <v>53987.7</v>
      </c>
      <c r="D2416" s="51">
        <v>0</v>
      </c>
    </row>
    <row r="2417" spans="1:4" ht="15" customHeight="1">
      <c r="A2417" s="50">
        <v>45027</v>
      </c>
      <c r="B2417" s="49" t="s">
        <v>45</v>
      </c>
      <c r="C2417" s="51">
        <v>54470.3</v>
      </c>
      <c r="D2417" s="51">
        <v>0</v>
      </c>
    </row>
    <row r="2418" spans="1:4" ht="15" customHeight="1">
      <c r="A2418" s="50">
        <v>45027</v>
      </c>
      <c r="B2418" s="49" t="s">
        <v>46</v>
      </c>
      <c r="C2418" s="51">
        <v>54811</v>
      </c>
      <c r="D2418" s="51">
        <v>0</v>
      </c>
    </row>
    <row r="2419" spans="1:4" ht="15" customHeight="1">
      <c r="A2419" s="50">
        <v>45027</v>
      </c>
      <c r="B2419" s="49" t="s">
        <v>47</v>
      </c>
      <c r="C2419" s="51">
        <v>55431.7</v>
      </c>
      <c r="D2419" s="51">
        <v>0</v>
      </c>
    </row>
    <row r="2420" spans="1:4" ht="15" customHeight="1">
      <c r="A2420" s="50">
        <v>45027</v>
      </c>
      <c r="B2420" s="49" t="s">
        <v>48</v>
      </c>
      <c r="C2420" s="51">
        <v>53837.4</v>
      </c>
      <c r="D2420" s="51">
        <v>0</v>
      </c>
    </row>
    <row r="2421" spans="1:4" ht="15" customHeight="1">
      <c r="A2421" s="50">
        <v>45027</v>
      </c>
      <c r="B2421" s="49" t="s">
        <v>49</v>
      </c>
      <c r="C2421" s="51">
        <v>54350.5</v>
      </c>
      <c r="D2421" s="51">
        <v>0</v>
      </c>
    </row>
    <row r="2422" spans="1:4" ht="15" customHeight="1">
      <c r="A2422" s="50">
        <v>45027</v>
      </c>
      <c r="B2422" s="49" t="s">
        <v>50</v>
      </c>
      <c r="C2422" s="51">
        <v>65912.3</v>
      </c>
      <c r="D2422" s="51">
        <v>0</v>
      </c>
    </row>
    <row r="2423" spans="1:4" ht="15" customHeight="1">
      <c r="A2423" s="50">
        <v>45027</v>
      </c>
      <c r="B2423" s="49" t="s">
        <v>51</v>
      </c>
      <c r="C2423" s="51">
        <v>54977.3</v>
      </c>
      <c r="D2423" s="51">
        <v>0</v>
      </c>
    </row>
    <row r="2424" spans="1:4" ht="15" customHeight="1">
      <c r="A2424" s="50">
        <v>45027</v>
      </c>
      <c r="B2424" s="49" t="s">
        <v>52</v>
      </c>
      <c r="C2424" s="51">
        <v>54067</v>
      </c>
      <c r="D2424" s="51">
        <v>0</v>
      </c>
    </row>
    <row r="2425" spans="1:4" ht="15" customHeight="1">
      <c r="A2425" s="50">
        <v>45027</v>
      </c>
      <c r="B2425" s="49" t="s">
        <v>53</v>
      </c>
      <c r="C2425" s="51">
        <v>54057.7</v>
      </c>
      <c r="D2425" s="51">
        <v>0</v>
      </c>
    </row>
    <row r="2426" spans="1:4" ht="15" customHeight="1">
      <c r="A2426" s="50">
        <v>45028</v>
      </c>
      <c r="B2426" s="49" t="s">
        <v>30</v>
      </c>
      <c r="C2426" s="51">
        <v>45532.6</v>
      </c>
      <c r="D2426" s="51">
        <v>0</v>
      </c>
    </row>
    <row r="2427" spans="1:4" ht="15" customHeight="1">
      <c r="A2427" s="50">
        <v>45028</v>
      </c>
      <c r="B2427" s="49" t="s">
        <v>31</v>
      </c>
      <c r="C2427" s="51">
        <v>45341.4</v>
      </c>
      <c r="D2427" s="51">
        <v>0</v>
      </c>
    </row>
    <row r="2428" spans="1:4" ht="15" customHeight="1">
      <c r="A2428" s="50">
        <v>45028</v>
      </c>
      <c r="B2428" s="49" t="s">
        <v>32</v>
      </c>
      <c r="C2428" s="51">
        <v>45375.9</v>
      </c>
      <c r="D2428" s="51">
        <v>0</v>
      </c>
    </row>
    <row r="2429" spans="1:4" ht="15" customHeight="1">
      <c r="A2429" s="50">
        <v>45028</v>
      </c>
      <c r="B2429" s="49" t="s">
        <v>33</v>
      </c>
      <c r="C2429" s="51">
        <v>45237.3</v>
      </c>
      <c r="D2429" s="51">
        <v>0</v>
      </c>
    </row>
    <row r="2430" spans="1:4" ht="15" customHeight="1">
      <c r="A2430" s="50">
        <v>45028</v>
      </c>
      <c r="B2430" s="49" t="s">
        <v>34</v>
      </c>
      <c r="C2430" s="51">
        <v>45295.8</v>
      </c>
      <c r="D2430" s="51">
        <v>0</v>
      </c>
    </row>
    <row r="2431" spans="1:4" ht="15" customHeight="1">
      <c r="A2431" s="50">
        <v>45028</v>
      </c>
      <c r="B2431" s="49" t="s">
        <v>35</v>
      </c>
      <c r="C2431" s="51">
        <v>44131.6</v>
      </c>
      <c r="D2431" s="51">
        <v>0</v>
      </c>
    </row>
    <row r="2432" spans="1:4" ht="15" customHeight="1">
      <c r="A2432" s="50">
        <v>45028</v>
      </c>
      <c r="B2432" s="49" t="s">
        <v>36</v>
      </c>
      <c r="C2432" s="51">
        <v>44603.4</v>
      </c>
      <c r="D2432" s="51">
        <v>0</v>
      </c>
    </row>
    <row r="2433" spans="1:4" ht="15" customHeight="1">
      <c r="A2433" s="50">
        <v>45028</v>
      </c>
      <c r="B2433" s="49" t="s">
        <v>37</v>
      </c>
      <c r="C2433" s="51">
        <v>44743.9</v>
      </c>
      <c r="D2433" s="51">
        <v>0</v>
      </c>
    </row>
    <row r="2434" spans="1:4" ht="15" customHeight="1">
      <c r="A2434" s="50">
        <v>45028</v>
      </c>
      <c r="B2434" s="49" t="s">
        <v>38</v>
      </c>
      <c r="C2434" s="51">
        <v>44613</v>
      </c>
      <c r="D2434" s="51">
        <v>0</v>
      </c>
    </row>
    <row r="2435" spans="1:4" ht="15" customHeight="1">
      <c r="A2435" s="50">
        <v>45028</v>
      </c>
      <c r="B2435" s="49" t="s">
        <v>39</v>
      </c>
      <c r="C2435" s="51">
        <v>44624.6</v>
      </c>
      <c r="D2435" s="51">
        <v>0</v>
      </c>
    </row>
    <row r="2436" spans="1:4" ht="15" customHeight="1">
      <c r="A2436" s="50">
        <v>45028</v>
      </c>
      <c r="B2436" s="49" t="s">
        <v>40</v>
      </c>
      <c r="C2436" s="51">
        <v>44232.2</v>
      </c>
      <c r="D2436" s="51">
        <v>0</v>
      </c>
    </row>
    <row r="2437" spans="1:4" ht="15" customHeight="1">
      <c r="A2437" s="50">
        <v>45028</v>
      </c>
      <c r="B2437" s="49" t="s">
        <v>41</v>
      </c>
      <c r="C2437" s="51">
        <v>42775</v>
      </c>
      <c r="D2437" s="51">
        <v>0</v>
      </c>
    </row>
    <row r="2438" spans="1:4" ht="15" customHeight="1">
      <c r="A2438" s="50">
        <v>45028</v>
      </c>
      <c r="B2438" s="49" t="s">
        <v>42</v>
      </c>
      <c r="C2438" s="51">
        <v>43538.9</v>
      </c>
      <c r="D2438" s="51">
        <v>0</v>
      </c>
    </row>
    <row r="2439" spans="1:4" ht="15" customHeight="1">
      <c r="A2439" s="50">
        <v>45028</v>
      </c>
      <c r="B2439" s="49" t="s">
        <v>43</v>
      </c>
      <c r="C2439" s="51">
        <v>44359.3</v>
      </c>
      <c r="D2439" s="51">
        <v>0</v>
      </c>
    </row>
    <row r="2440" spans="1:4" ht="15" customHeight="1">
      <c r="A2440" s="50">
        <v>45028</v>
      </c>
      <c r="B2440" s="49" t="s">
        <v>44</v>
      </c>
      <c r="C2440" s="51">
        <v>44117.7</v>
      </c>
      <c r="D2440" s="51">
        <v>0</v>
      </c>
    </row>
    <row r="2441" spans="1:4" ht="15" customHeight="1">
      <c r="A2441" s="50">
        <v>45028</v>
      </c>
      <c r="B2441" s="49" t="s">
        <v>45</v>
      </c>
      <c r="C2441" s="51">
        <v>41616.9</v>
      </c>
      <c r="D2441" s="51">
        <v>0</v>
      </c>
    </row>
    <row r="2442" spans="1:4" ht="15" customHeight="1">
      <c r="A2442" s="50">
        <v>45028</v>
      </c>
      <c r="B2442" s="49" t="s">
        <v>46</v>
      </c>
      <c r="C2442" s="51">
        <v>41971.199999999997</v>
      </c>
      <c r="D2442" s="51">
        <v>0</v>
      </c>
    </row>
    <row r="2443" spans="1:4" ht="15" customHeight="1">
      <c r="A2443" s="50">
        <v>45028</v>
      </c>
      <c r="B2443" s="49" t="s">
        <v>47</v>
      </c>
      <c r="C2443" s="51">
        <v>44405.3</v>
      </c>
      <c r="D2443" s="51">
        <v>0</v>
      </c>
    </row>
    <row r="2444" spans="1:4" ht="15" customHeight="1">
      <c r="A2444" s="50">
        <v>45028</v>
      </c>
      <c r="B2444" s="49" t="s">
        <v>48</v>
      </c>
      <c r="C2444" s="51">
        <v>45206.6</v>
      </c>
      <c r="D2444" s="51">
        <v>0</v>
      </c>
    </row>
    <row r="2445" spans="1:4" ht="15" customHeight="1">
      <c r="A2445" s="50">
        <v>45028</v>
      </c>
      <c r="B2445" s="49" t="s">
        <v>49</v>
      </c>
      <c r="C2445" s="51">
        <v>48641.4</v>
      </c>
      <c r="D2445" s="51">
        <v>0</v>
      </c>
    </row>
    <row r="2446" spans="1:4" ht="15" customHeight="1">
      <c r="A2446" s="50">
        <v>45028</v>
      </c>
      <c r="B2446" s="49" t="s">
        <v>50</v>
      </c>
      <c r="C2446" s="51">
        <v>50516.6</v>
      </c>
      <c r="D2446" s="51">
        <v>0</v>
      </c>
    </row>
    <row r="2447" spans="1:4" ht="15" customHeight="1">
      <c r="A2447" s="50">
        <v>45028</v>
      </c>
      <c r="B2447" s="49" t="s">
        <v>51</v>
      </c>
      <c r="C2447" s="51">
        <v>52973.7</v>
      </c>
      <c r="D2447" s="51">
        <v>0</v>
      </c>
    </row>
    <row r="2448" spans="1:4" ht="15" customHeight="1">
      <c r="A2448" s="50">
        <v>45028</v>
      </c>
      <c r="B2448" s="49" t="s">
        <v>52</v>
      </c>
      <c r="C2448" s="51">
        <v>57300.6</v>
      </c>
      <c r="D2448" s="51">
        <v>0</v>
      </c>
    </row>
    <row r="2449" spans="1:4" ht="15" customHeight="1">
      <c r="A2449" s="50">
        <v>45028</v>
      </c>
      <c r="B2449" s="49" t="s">
        <v>53</v>
      </c>
      <c r="C2449" s="51">
        <v>44796.7</v>
      </c>
      <c r="D2449" s="51">
        <v>0</v>
      </c>
    </row>
    <row r="2450" spans="1:4" ht="15" customHeight="1">
      <c r="A2450" s="50">
        <v>45029</v>
      </c>
      <c r="B2450" s="49" t="s">
        <v>30</v>
      </c>
      <c r="C2450" s="51">
        <v>52359.6</v>
      </c>
      <c r="D2450" s="51">
        <v>0</v>
      </c>
    </row>
    <row r="2451" spans="1:4" ht="15" customHeight="1">
      <c r="A2451" s="50">
        <v>45029</v>
      </c>
      <c r="B2451" s="49" t="s">
        <v>31</v>
      </c>
      <c r="C2451" s="51">
        <v>52964.1</v>
      </c>
      <c r="D2451" s="51">
        <v>0</v>
      </c>
    </row>
    <row r="2452" spans="1:4" ht="15" customHeight="1">
      <c r="A2452" s="50">
        <v>45029</v>
      </c>
      <c r="B2452" s="49" t="s">
        <v>32</v>
      </c>
      <c r="C2452" s="51">
        <v>53255.6</v>
      </c>
      <c r="D2452" s="51">
        <v>0</v>
      </c>
    </row>
    <row r="2453" spans="1:4" ht="15" customHeight="1">
      <c r="A2453" s="50">
        <v>45029</v>
      </c>
      <c r="B2453" s="49" t="s">
        <v>33</v>
      </c>
      <c r="C2453" s="51">
        <v>54042.6</v>
      </c>
      <c r="D2453" s="51">
        <v>0</v>
      </c>
    </row>
    <row r="2454" spans="1:4" ht="15" customHeight="1">
      <c r="A2454" s="50">
        <v>45029</v>
      </c>
      <c r="B2454" s="49" t="s">
        <v>34</v>
      </c>
      <c r="C2454" s="51">
        <v>54196.1</v>
      </c>
      <c r="D2454" s="51">
        <v>0</v>
      </c>
    </row>
    <row r="2455" spans="1:4" ht="15" customHeight="1">
      <c r="A2455" s="50">
        <v>45029</v>
      </c>
      <c r="B2455" s="49" t="s">
        <v>35</v>
      </c>
      <c r="C2455" s="51">
        <v>54276</v>
      </c>
      <c r="D2455" s="51">
        <v>0</v>
      </c>
    </row>
    <row r="2456" spans="1:4" ht="15" customHeight="1">
      <c r="A2456" s="50">
        <v>45029</v>
      </c>
      <c r="B2456" s="49" t="s">
        <v>36</v>
      </c>
      <c r="C2456" s="51">
        <v>54359.6</v>
      </c>
      <c r="D2456" s="51">
        <v>0</v>
      </c>
    </row>
    <row r="2457" spans="1:4" ht="15" customHeight="1">
      <c r="A2457" s="50">
        <v>45029</v>
      </c>
      <c r="B2457" s="49" t="s">
        <v>37</v>
      </c>
      <c r="C2457" s="51">
        <v>54302</v>
      </c>
      <c r="D2457" s="51">
        <v>0</v>
      </c>
    </row>
    <row r="2458" spans="1:4" ht="15" customHeight="1">
      <c r="A2458" s="50">
        <v>45029</v>
      </c>
      <c r="B2458" s="49" t="s">
        <v>38</v>
      </c>
      <c r="C2458" s="51">
        <v>54144.6</v>
      </c>
      <c r="D2458" s="51">
        <v>0</v>
      </c>
    </row>
    <row r="2459" spans="1:4" ht="15" customHeight="1">
      <c r="A2459" s="50">
        <v>45029</v>
      </c>
      <c r="B2459" s="49" t="s">
        <v>39</v>
      </c>
      <c r="C2459" s="51">
        <v>54261.1</v>
      </c>
      <c r="D2459" s="51">
        <v>0</v>
      </c>
    </row>
    <row r="2460" spans="1:4" ht="15" customHeight="1">
      <c r="A2460" s="50">
        <v>45029</v>
      </c>
      <c r="B2460" s="49" t="s">
        <v>40</v>
      </c>
      <c r="C2460" s="51">
        <v>53409.8</v>
      </c>
      <c r="D2460" s="51">
        <v>0</v>
      </c>
    </row>
    <row r="2461" spans="1:4" ht="15" customHeight="1">
      <c r="A2461" s="50">
        <v>45029</v>
      </c>
      <c r="B2461" s="49" t="s">
        <v>41</v>
      </c>
      <c r="C2461" s="51">
        <v>52153.8</v>
      </c>
      <c r="D2461" s="51">
        <v>0</v>
      </c>
    </row>
    <row r="2462" spans="1:4" ht="15" customHeight="1">
      <c r="A2462" s="50">
        <v>45029</v>
      </c>
      <c r="B2462" s="49" t="s">
        <v>42</v>
      </c>
      <c r="C2462" s="51">
        <v>54624.3</v>
      </c>
      <c r="D2462" s="51">
        <v>0</v>
      </c>
    </row>
    <row r="2463" spans="1:4" ht="15" customHeight="1">
      <c r="A2463" s="50">
        <v>45029</v>
      </c>
      <c r="B2463" s="49" t="s">
        <v>43</v>
      </c>
      <c r="C2463" s="51">
        <v>54471.1</v>
      </c>
      <c r="D2463" s="51">
        <v>0</v>
      </c>
    </row>
    <row r="2464" spans="1:4" ht="15" customHeight="1">
      <c r="A2464" s="50">
        <v>45029</v>
      </c>
      <c r="B2464" s="49" t="s">
        <v>44</v>
      </c>
      <c r="C2464" s="51">
        <v>54323.7</v>
      </c>
      <c r="D2464" s="51">
        <v>0</v>
      </c>
    </row>
    <row r="2465" spans="1:4" ht="15" customHeight="1">
      <c r="A2465" s="50">
        <v>45029</v>
      </c>
      <c r="B2465" s="49" t="s">
        <v>45</v>
      </c>
      <c r="C2465" s="51">
        <v>53753.5</v>
      </c>
      <c r="D2465" s="51">
        <v>0</v>
      </c>
    </row>
    <row r="2466" spans="1:4" ht="15" customHeight="1">
      <c r="A2466" s="50">
        <v>45029</v>
      </c>
      <c r="B2466" s="49" t="s">
        <v>46</v>
      </c>
      <c r="C2466" s="51">
        <v>53753.599999999999</v>
      </c>
      <c r="D2466" s="51">
        <v>0</v>
      </c>
    </row>
    <row r="2467" spans="1:4" ht="15" customHeight="1">
      <c r="A2467" s="50">
        <v>45029</v>
      </c>
      <c r="B2467" s="49" t="s">
        <v>47</v>
      </c>
      <c r="C2467" s="51">
        <v>52251.6</v>
      </c>
      <c r="D2467" s="51">
        <v>0</v>
      </c>
    </row>
    <row r="2468" spans="1:4" ht="15" customHeight="1">
      <c r="A2468" s="50">
        <v>45029</v>
      </c>
      <c r="B2468" s="49" t="s">
        <v>48</v>
      </c>
      <c r="C2468" s="51">
        <v>53706.8</v>
      </c>
      <c r="D2468" s="51">
        <v>0</v>
      </c>
    </row>
    <row r="2469" spans="1:4" ht="15" customHeight="1">
      <c r="A2469" s="50">
        <v>45029</v>
      </c>
      <c r="B2469" s="49" t="s">
        <v>49</v>
      </c>
      <c r="C2469" s="51">
        <v>56273.4</v>
      </c>
      <c r="D2469" s="51">
        <v>0</v>
      </c>
    </row>
    <row r="2470" spans="1:4" ht="15" customHeight="1">
      <c r="A2470" s="50">
        <v>45029</v>
      </c>
      <c r="B2470" s="49" t="s">
        <v>50</v>
      </c>
      <c r="C2470" s="51">
        <v>66919.199999999997</v>
      </c>
      <c r="D2470" s="51">
        <v>0</v>
      </c>
    </row>
    <row r="2471" spans="1:4" ht="15" customHeight="1">
      <c r="A2471" s="50">
        <v>45029</v>
      </c>
      <c r="B2471" s="49" t="s">
        <v>51</v>
      </c>
      <c r="C2471" s="51">
        <v>67300.600000000006</v>
      </c>
      <c r="D2471" s="51">
        <v>0</v>
      </c>
    </row>
    <row r="2472" spans="1:4" ht="15" customHeight="1">
      <c r="A2472" s="50">
        <v>45029</v>
      </c>
      <c r="B2472" s="49" t="s">
        <v>52</v>
      </c>
      <c r="C2472" s="51">
        <v>67375.8</v>
      </c>
      <c r="D2472" s="51">
        <v>0</v>
      </c>
    </row>
    <row r="2473" spans="1:4" ht="15" customHeight="1">
      <c r="A2473" s="50">
        <v>45029</v>
      </c>
      <c r="B2473" s="49" t="s">
        <v>53</v>
      </c>
      <c r="C2473" s="51">
        <v>55200.6</v>
      </c>
      <c r="D2473" s="51">
        <v>0</v>
      </c>
    </row>
    <row r="2474" spans="1:4" ht="15" customHeight="1">
      <c r="A2474" s="50">
        <v>45030</v>
      </c>
      <c r="B2474" s="49" t="s">
        <v>30</v>
      </c>
      <c r="C2474" s="51">
        <v>53580.2</v>
      </c>
      <c r="D2474" s="51">
        <v>0</v>
      </c>
    </row>
    <row r="2475" spans="1:4" ht="15" customHeight="1">
      <c r="A2475" s="50">
        <v>45030</v>
      </c>
      <c r="B2475" s="49" t="s">
        <v>31</v>
      </c>
      <c r="C2475" s="51">
        <v>54047.8</v>
      </c>
      <c r="D2475" s="51">
        <v>0</v>
      </c>
    </row>
    <row r="2476" spans="1:4" ht="15" customHeight="1">
      <c r="A2476" s="50">
        <v>45030</v>
      </c>
      <c r="B2476" s="49" t="s">
        <v>32</v>
      </c>
      <c r="C2476" s="51">
        <v>53919.7</v>
      </c>
      <c r="D2476" s="51">
        <v>0</v>
      </c>
    </row>
    <row r="2477" spans="1:4" ht="15" customHeight="1">
      <c r="A2477" s="50">
        <v>45030</v>
      </c>
      <c r="B2477" s="49" t="s">
        <v>33</v>
      </c>
      <c r="C2477" s="51">
        <v>54036.5</v>
      </c>
      <c r="D2477" s="51">
        <v>0</v>
      </c>
    </row>
    <row r="2478" spans="1:4" ht="15" customHeight="1">
      <c r="A2478" s="50">
        <v>45030</v>
      </c>
      <c r="B2478" s="49" t="s">
        <v>34</v>
      </c>
      <c r="C2478" s="51">
        <v>54886.1</v>
      </c>
      <c r="D2478" s="51">
        <v>0</v>
      </c>
    </row>
    <row r="2479" spans="1:4" ht="15" customHeight="1">
      <c r="A2479" s="50">
        <v>45030</v>
      </c>
      <c r="B2479" s="49" t="s">
        <v>35</v>
      </c>
      <c r="C2479" s="51">
        <v>54046.6</v>
      </c>
      <c r="D2479" s="51">
        <v>0</v>
      </c>
    </row>
    <row r="2480" spans="1:4" ht="15" customHeight="1">
      <c r="A2480" s="50">
        <v>45030</v>
      </c>
      <c r="B2480" s="49" t="s">
        <v>36</v>
      </c>
      <c r="C2480" s="51">
        <v>53342.8</v>
      </c>
      <c r="D2480" s="51">
        <v>0</v>
      </c>
    </row>
    <row r="2481" spans="1:4" ht="15" customHeight="1">
      <c r="A2481" s="50">
        <v>45030</v>
      </c>
      <c r="B2481" s="49" t="s">
        <v>37</v>
      </c>
      <c r="C2481" s="51">
        <v>53477</v>
      </c>
      <c r="D2481" s="51">
        <v>0</v>
      </c>
    </row>
    <row r="2482" spans="1:4" ht="15" customHeight="1">
      <c r="A2482" s="50">
        <v>45030</v>
      </c>
      <c r="B2482" s="49" t="s">
        <v>38</v>
      </c>
      <c r="C2482" s="51">
        <v>53466.6</v>
      </c>
      <c r="D2482" s="51">
        <v>0</v>
      </c>
    </row>
    <row r="2483" spans="1:4" ht="15" customHeight="1">
      <c r="A2483" s="50">
        <v>45030</v>
      </c>
      <c r="B2483" s="49" t="s">
        <v>39</v>
      </c>
      <c r="C2483" s="51">
        <v>53380.3</v>
      </c>
      <c r="D2483" s="51">
        <v>0</v>
      </c>
    </row>
    <row r="2484" spans="1:4" ht="15" customHeight="1">
      <c r="A2484" s="50">
        <v>45030</v>
      </c>
      <c r="B2484" s="49" t="s">
        <v>40</v>
      </c>
      <c r="C2484" s="51">
        <v>53375</v>
      </c>
      <c r="D2484" s="51">
        <v>0</v>
      </c>
    </row>
    <row r="2485" spans="1:4" ht="15" customHeight="1">
      <c r="A2485" s="50">
        <v>45030</v>
      </c>
      <c r="B2485" s="49" t="s">
        <v>41</v>
      </c>
      <c r="C2485" s="51">
        <v>53582.2</v>
      </c>
      <c r="D2485" s="51">
        <v>0</v>
      </c>
    </row>
    <row r="2486" spans="1:4" ht="15" customHeight="1">
      <c r="A2486" s="50">
        <v>45030</v>
      </c>
      <c r="B2486" s="49" t="s">
        <v>42</v>
      </c>
      <c r="C2486" s="51">
        <v>54418.5</v>
      </c>
      <c r="D2486" s="51">
        <v>0</v>
      </c>
    </row>
    <row r="2487" spans="1:4" ht="15" customHeight="1">
      <c r="A2487" s="50">
        <v>45030</v>
      </c>
      <c r="B2487" s="49" t="s">
        <v>43</v>
      </c>
      <c r="C2487" s="51">
        <v>54364.4</v>
      </c>
      <c r="D2487" s="51">
        <v>0</v>
      </c>
    </row>
    <row r="2488" spans="1:4" ht="15" customHeight="1">
      <c r="A2488" s="50">
        <v>45030</v>
      </c>
      <c r="B2488" s="49" t="s">
        <v>44</v>
      </c>
      <c r="C2488" s="51">
        <v>54205.9</v>
      </c>
      <c r="D2488" s="51">
        <v>0</v>
      </c>
    </row>
    <row r="2489" spans="1:4" ht="15" customHeight="1">
      <c r="A2489" s="50">
        <v>45030</v>
      </c>
      <c r="B2489" s="49" t="s">
        <v>45</v>
      </c>
      <c r="C2489" s="51">
        <v>53437.599999999999</v>
      </c>
      <c r="D2489" s="51">
        <v>0</v>
      </c>
    </row>
    <row r="2490" spans="1:4" ht="15" customHeight="1">
      <c r="A2490" s="50">
        <v>45030</v>
      </c>
      <c r="B2490" s="49" t="s">
        <v>46</v>
      </c>
      <c r="C2490" s="51">
        <v>54116.2</v>
      </c>
      <c r="D2490" s="51">
        <v>0</v>
      </c>
    </row>
    <row r="2491" spans="1:4" ht="15" customHeight="1">
      <c r="A2491" s="50">
        <v>45030</v>
      </c>
      <c r="B2491" s="49" t="s">
        <v>47</v>
      </c>
      <c r="C2491" s="51">
        <v>54638.7</v>
      </c>
      <c r="D2491" s="51">
        <v>0</v>
      </c>
    </row>
    <row r="2492" spans="1:4" ht="15" customHeight="1">
      <c r="A2492" s="50">
        <v>45030</v>
      </c>
      <c r="B2492" s="49" t="s">
        <v>48</v>
      </c>
      <c r="C2492" s="51">
        <v>54580.4</v>
      </c>
      <c r="D2492" s="51">
        <v>0</v>
      </c>
    </row>
    <row r="2493" spans="1:4" ht="15" customHeight="1">
      <c r="A2493" s="50">
        <v>45030</v>
      </c>
      <c r="B2493" s="49" t="s">
        <v>49</v>
      </c>
      <c r="C2493" s="51">
        <v>54540.6</v>
      </c>
      <c r="D2493" s="51">
        <v>0</v>
      </c>
    </row>
    <row r="2494" spans="1:4" ht="15" customHeight="1">
      <c r="A2494" s="50">
        <v>45030</v>
      </c>
      <c r="B2494" s="49" t="s">
        <v>50</v>
      </c>
      <c r="C2494" s="51">
        <v>66154.5</v>
      </c>
      <c r="D2494" s="51">
        <v>0</v>
      </c>
    </row>
    <row r="2495" spans="1:4" ht="15" customHeight="1">
      <c r="A2495" s="50">
        <v>45030</v>
      </c>
      <c r="B2495" s="49" t="s">
        <v>51</v>
      </c>
      <c r="C2495" s="51">
        <v>67561.7</v>
      </c>
      <c r="D2495" s="51">
        <v>0</v>
      </c>
    </row>
    <row r="2496" spans="1:4" ht="15" customHeight="1">
      <c r="A2496" s="50">
        <v>45030</v>
      </c>
      <c r="B2496" s="49" t="s">
        <v>52</v>
      </c>
      <c r="C2496" s="51">
        <v>67391.3</v>
      </c>
      <c r="D2496" s="51">
        <v>0</v>
      </c>
    </row>
    <row r="2497" spans="1:4" ht="15" customHeight="1">
      <c r="A2497" s="50">
        <v>45030</v>
      </c>
      <c r="B2497" s="49" t="s">
        <v>53</v>
      </c>
      <c r="C2497" s="51">
        <v>61664.3</v>
      </c>
      <c r="D2497" s="51">
        <v>0</v>
      </c>
    </row>
    <row r="2498" spans="1:4" ht="15" customHeight="1">
      <c r="A2498" s="50">
        <v>45031</v>
      </c>
      <c r="B2498" s="49" t="s">
        <v>30</v>
      </c>
      <c r="C2498" s="51">
        <v>53306.5</v>
      </c>
      <c r="D2498" s="51">
        <v>0</v>
      </c>
    </row>
    <row r="2499" spans="1:4" ht="15" customHeight="1">
      <c r="A2499" s="50">
        <v>45031</v>
      </c>
      <c r="B2499" s="49" t="s">
        <v>31</v>
      </c>
      <c r="C2499" s="51">
        <v>53348.3</v>
      </c>
      <c r="D2499" s="51">
        <v>0</v>
      </c>
    </row>
    <row r="2500" spans="1:4" ht="15" customHeight="1">
      <c r="A2500" s="50">
        <v>45031</v>
      </c>
      <c r="B2500" s="49" t="s">
        <v>32</v>
      </c>
      <c r="C2500" s="51">
        <v>53859.4</v>
      </c>
      <c r="D2500" s="51">
        <v>0</v>
      </c>
    </row>
    <row r="2501" spans="1:4" ht="15" customHeight="1">
      <c r="A2501" s="50">
        <v>45031</v>
      </c>
      <c r="B2501" s="49" t="s">
        <v>33</v>
      </c>
      <c r="C2501" s="51">
        <v>53722.6</v>
      </c>
      <c r="D2501" s="51">
        <v>0</v>
      </c>
    </row>
    <row r="2502" spans="1:4" ht="15" customHeight="1">
      <c r="A2502" s="50">
        <v>45031</v>
      </c>
      <c r="B2502" s="49" t="s">
        <v>34</v>
      </c>
      <c r="C2502" s="51">
        <v>53718.3</v>
      </c>
      <c r="D2502" s="51">
        <v>0</v>
      </c>
    </row>
    <row r="2503" spans="1:4" ht="15" customHeight="1">
      <c r="A2503" s="50">
        <v>45031</v>
      </c>
      <c r="B2503" s="49" t="s">
        <v>35</v>
      </c>
      <c r="C2503" s="51">
        <v>53749.8</v>
      </c>
      <c r="D2503" s="51">
        <v>0</v>
      </c>
    </row>
    <row r="2504" spans="1:4" ht="15" customHeight="1">
      <c r="A2504" s="50">
        <v>45031</v>
      </c>
      <c r="B2504" s="49" t="s">
        <v>36</v>
      </c>
      <c r="C2504" s="51">
        <v>54259.199999999997</v>
      </c>
      <c r="D2504" s="51">
        <v>0</v>
      </c>
    </row>
    <row r="2505" spans="1:4" ht="15" customHeight="1">
      <c r="A2505" s="50">
        <v>45031</v>
      </c>
      <c r="B2505" s="49" t="s">
        <v>37</v>
      </c>
      <c r="C2505" s="51">
        <v>53869.599999999999</v>
      </c>
      <c r="D2505" s="51">
        <v>0</v>
      </c>
    </row>
    <row r="2506" spans="1:4" ht="15" customHeight="1">
      <c r="A2506" s="50">
        <v>45031</v>
      </c>
      <c r="B2506" s="49" t="s">
        <v>38</v>
      </c>
      <c r="C2506" s="51">
        <v>54263.199999999997</v>
      </c>
      <c r="D2506" s="51">
        <v>0</v>
      </c>
    </row>
    <row r="2507" spans="1:4" ht="15" customHeight="1">
      <c r="A2507" s="50">
        <v>45031</v>
      </c>
      <c r="B2507" s="49" t="s">
        <v>39</v>
      </c>
      <c r="C2507" s="51">
        <v>54015.6</v>
      </c>
      <c r="D2507" s="51">
        <v>0</v>
      </c>
    </row>
    <row r="2508" spans="1:4" ht="15" customHeight="1">
      <c r="A2508" s="50">
        <v>45031</v>
      </c>
      <c r="B2508" s="49" t="s">
        <v>40</v>
      </c>
      <c r="C2508" s="51">
        <v>54142</v>
      </c>
      <c r="D2508" s="51">
        <v>0</v>
      </c>
    </row>
    <row r="2509" spans="1:4" ht="15" customHeight="1">
      <c r="A2509" s="50">
        <v>45031</v>
      </c>
      <c r="B2509" s="49" t="s">
        <v>41</v>
      </c>
      <c r="C2509" s="51">
        <v>53900.7</v>
      </c>
      <c r="D2509" s="51">
        <v>0</v>
      </c>
    </row>
    <row r="2510" spans="1:4" ht="15" customHeight="1">
      <c r="A2510" s="50">
        <v>45031</v>
      </c>
      <c r="B2510" s="49" t="s">
        <v>42</v>
      </c>
      <c r="C2510" s="51">
        <v>54067</v>
      </c>
      <c r="D2510" s="51">
        <v>0</v>
      </c>
    </row>
    <row r="2511" spans="1:4" ht="15" customHeight="1">
      <c r="A2511" s="50">
        <v>45031</v>
      </c>
      <c r="B2511" s="49" t="s">
        <v>43</v>
      </c>
      <c r="C2511" s="51">
        <v>53948.4</v>
      </c>
      <c r="D2511" s="51">
        <v>0</v>
      </c>
    </row>
    <row r="2512" spans="1:4" ht="15" customHeight="1">
      <c r="A2512" s="50">
        <v>45031</v>
      </c>
      <c r="B2512" s="49" t="s">
        <v>44</v>
      </c>
      <c r="C2512" s="51">
        <v>54211.3</v>
      </c>
      <c r="D2512" s="51">
        <v>0</v>
      </c>
    </row>
    <row r="2513" spans="1:4" ht="15" customHeight="1">
      <c r="A2513" s="50">
        <v>45031</v>
      </c>
      <c r="B2513" s="49" t="s">
        <v>45</v>
      </c>
      <c r="C2513" s="51">
        <v>53983.8</v>
      </c>
      <c r="D2513" s="51">
        <v>0</v>
      </c>
    </row>
    <row r="2514" spans="1:4" ht="15" customHeight="1">
      <c r="A2514" s="50">
        <v>45031</v>
      </c>
      <c r="B2514" s="49" t="s">
        <v>46</v>
      </c>
      <c r="C2514" s="51">
        <v>54016.4</v>
      </c>
      <c r="D2514" s="51">
        <v>0</v>
      </c>
    </row>
    <row r="2515" spans="1:4" ht="15" customHeight="1">
      <c r="A2515" s="50">
        <v>45031</v>
      </c>
      <c r="B2515" s="49" t="s">
        <v>47</v>
      </c>
      <c r="C2515" s="51">
        <v>53804.4</v>
      </c>
      <c r="D2515" s="51">
        <v>0</v>
      </c>
    </row>
    <row r="2516" spans="1:4" ht="15" customHeight="1">
      <c r="A2516" s="50">
        <v>45031</v>
      </c>
      <c r="B2516" s="49" t="s">
        <v>48</v>
      </c>
      <c r="C2516" s="51">
        <v>54085.3</v>
      </c>
      <c r="D2516" s="51">
        <v>0</v>
      </c>
    </row>
    <row r="2517" spans="1:4" ht="15" customHeight="1">
      <c r="A2517" s="50">
        <v>45031</v>
      </c>
      <c r="B2517" s="49" t="s">
        <v>49</v>
      </c>
      <c r="C2517" s="51">
        <v>54930.6</v>
      </c>
      <c r="D2517" s="51">
        <v>0</v>
      </c>
    </row>
    <row r="2518" spans="1:4" ht="15" customHeight="1">
      <c r="A2518" s="50">
        <v>45031</v>
      </c>
      <c r="B2518" s="49" t="s">
        <v>50</v>
      </c>
      <c r="C2518" s="51">
        <v>56448.4</v>
      </c>
      <c r="D2518" s="51">
        <v>0</v>
      </c>
    </row>
    <row r="2519" spans="1:4" ht="15" customHeight="1">
      <c r="A2519" s="50">
        <v>45031</v>
      </c>
      <c r="B2519" s="49" t="s">
        <v>51</v>
      </c>
      <c r="C2519" s="51">
        <v>54845.9</v>
      </c>
      <c r="D2519" s="51">
        <v>0</v>
      </c>
    </row>
    <row r="2520" spans="1:4" ht="15" customHeight="1">
      <c r="A2520" s="50">
        <v>45031</v>
      </c>
      <c r="B2520" s="49" t="s">
        <v>52</v>
      </c>
      <c r="C2520" s="51">
        <v>54671</v>
      </c>
      <c r="D2520" s="51">
        <v>0</v>
      </c>
    </row>
    <row r="2521" spans="1:4" ht="15" customHeight="1">
      <c r="A2521" s="50">
        <v>45031</v>
      </c>
      <c r="B2521" s="49" t="s">
        <v>53</v>
      </c>
      <c r="C2521" s="51">
        <v>54839.199999999997</v>
      </c>
      <c r="D2521" s="51">
        <v>0</v>
      </c>
    </row>
    <row r="2522" spans="1:4" ht="15" customHeight="1">
      <c r="A2522" s="50">
        <v>45032</v>
      </c>
      <c r="B2522" s="49" t="s">
        <v>30</v>
      </c>
      <c r="C2522" s="51">
        <v>44904.800000000003</v>
      </c>
      <c r="D2522" s="51">
        <v>0</v>
      </c>
    </row>
    <row r="2523" spans="1:4" ht="15" customHeight="1">
      <c r="A2523" s="50">
        <v>45032</v>
      </c>
      <c r="B2523" s="49" t="s">
        <v>31</v>
      </c>
      <c r="C2523" s="51">
        <v>45849.9</v>
      </c>
      <c r="D2523" s="51">
        <v>0</v>
      </c>
    </row>
    <row r="2524" spans="1:4" ht="15" customHeight="1">
      <c r="A2524" s="50">
        <v>45032</v>
      </c>
      <c r="B2524" s="49" t="s">
        <v>32</v>
      </c>
      <c r="C2524" s="51">
        <v>45771.7</v>
      </c>
      <c r="D2524" s="51">
        <v>0</v>
      </c>
    </row>
    <row r="2525" spans="1:4" ht="15" customHeight="1">
      <c r="A2525" s="50">
        <v>45032</v>
      </c>
      <c r="B2525" s="49" t="s">
        <v>33</v>
      </c>
      <c r="C2525" s="51">
        <v>45898.3</v>
      </c>
      <c r="D2525" s="51">
        <v>0</v>
      </c>
    </row>
    <row r="2526" spans="1:4" ht="15" customHeight="1">
      <c r="A2526" s="50">
        <v>45032</v>
      </c>
      <c r="B2526" s="49" t="s">
        <v>34</v>
      </c>
      <c r="C2526" s="51">
        <v>45861.9</v>
      </c>
      <c r="D2526" s="51">
        <v>0</v>
      </c>
    </row>
    <row r="2527" spans="1:4" ht="15" customHeight="1">
      <c r="A2527" s="50">
        <v>45032</v>
      </c>
      <c r="B2527" s="49" t="s">
        <v>35</v>
      </c>
      <c r="C2527" s="51">
        <v>45779.199999999997</v>
      </c>
      <c r="D2527" s="51">
        <v>0</v>
      </c>
    </row>
    <row r="2528" spans="1:4" ht="15" customHeight="1">
      <c r="A2528" s="50">
        <v>45032</v>
      </c>
      <c r="B2528" s="49" t="s">
        <v>36</v>
      </c>
      <c r="C2528" s="51">
        <v>45822.2</v>
      </c>
      <c r="D2528" s="51">
        <v>0</v>
      </c>
    </row>
    <row r="2529" spans="1:4" ht="15" customHeight="1">
      <c r="A2529" s="50">
        <v>45032</v>
      </c>
      <c r="B2529" s="49" t="s">
        <v>37</v>
      </c>
      <c r="C2529" s="51">
        <v>45889</v>
      </c>
      <c r="D2529" s="51">
        <v>0</v>
      </c>
    </row>
    <row r="2530" spans="1:4" ht="15" customHeight="1">
      <c r="A2530" s="50">
        <v>45032</v>
      </c>
      <c r="B2530" s="49" t="s">
        <v>38</v>
      </c>
      <c r="C2530" s="51">
        <v>44569.5</v>
      </c>
      <c r="D2530" s="51">
        <v>0</v>
      </c>
    </row>
    <row r="2531" spans="1:4" ht="15" customHeight="1">
      <c r="A2531" s="50">
        <v>45032</v>
      </c>
      <c r="B2531" s="49" t="s">
        <v>39</v>
      </c>
      <c r="C2531" s="51">
        <v>44852.4</v>
      </c>
      <c r="D2531" s="51">
        <v>0</v>
      </c>
    </row>
    <row r="2532" spans="1:4" ht="15" customHeight="1">
      <c r="A2532" s="50">
        <v>45032</v>
      </c>
      <c r="B2532" s="49" t="s">
        <v>40</v>
      </c>
      <c r="C2532" s="51">
        <v>44839.4</v>
      </c>
      <c r="D2532" s="51">
        <v>0</v>
      </c>
    </row>
    <row r="2533" spans="1:4" ht="15" customHeight="1">
      <c r="A2533" s="50">
        <v>45032</v>
      </c>
      <c r="B2533" s="49" t="s">
        <v>41</v>
      </c>
      <c r="C2533" s="51">
        <v>44838.9</v>
      </c>
      <c r="D2533" s="51">
        <v>0</v>
      </c>
    </row>
    <row r="2534" spans="1:4" ht="15" customHeight="1">
      <c r="A2534" s="50">
        <v>45032</v>
      </c>
      <c r="B2534" s="49" t="s">
        <v>42</v>
      </c>
      <c r="C2534" s="51">
        <v>44815.3</v>
      </c>
      <c r="D2534" s="51">
        <v>0</v>
      </c>
    </row>
    <row r="2535" spans="1:4" ht="15" customHeight="1">
      <c r="A2535" s="50">
        <v>45032</v>
      </c>
      <c r="B2535" s="49" t="s">
        <v>43</v>
      </c>
      <c r="C2535" s="51">
        <v>44745.599999999999</v>
      </c>
      <c r="D2535" s="51">
        <v>0</v>
      </c>
    </row>
    <row r="2536" spans="1:4" ht="15" customHeight="1">
      <c r="A2536" s="50">
        <v>45032</v>
      </c>
      <c r="B2536" s="49" t="s">
        <v>44</v>
      </c>
      <c r="C2536" s="51">
        <v>44823.4</v>
      </c>
      <c r="D2536" s="51">
        <v>0</v>
      </c>
    </row>
    <row r="2537" spans="1:4" ht="15" customHeight="1">
      <c r="A2537" s="50">
        <v>45032</v>
      </c>
      <c r="B2537" s="49" t="s">
        <v>45</v>
      </c>
      <c r="C2537" s="51">
        <v>44810.3</v>
      </c>
      <c r="D2537" s="51">
        <v>0</v>
      </c>
    </row>
    <row r="2538" spans="1:4" ht="15" customHeight="1">
      <c r="A2538" s="50">
        <v>45032</v>
      </c>
      <c r="B2538" s="49" t="s">
        <v>46</v>
      </c>
      <c r="C2538" s="51">
        <v>44839.5</v>
      </c>
      <c r="D2538" s="51">
        <v>0</v>
      </c>
    </row>
    <row r="2539" spans="1:4" ht="15" customHeight="1">
      <c r="A2539" s="50">
        <v>45032</v>
      </c>
      <c r="B2539" s="49" t="s">
        <v>47</v>
      </c>
      <c r="C2539" s="51">
        <v>44942.400000000001</v>
      </c>
      <c r="D2539" s="51">
        <v>0</v>
      </c>
    </row>
    <row r="2540" spans="1:4" ht="15" customHeight="1">
      <c r="A2540" s="50">
        <v>45032</v>
      </c>
      <c r="B2540" s="49" t="s">
        <v>48</v>
      </c>
      <c r="C2540" s="51">
        <v>44860.800000000003</v>
      </c>
      <c r="D2540" s="51">
        <v>0</v>
      </c>
    </row>
    <row r="2541" spans="1:4" ht="15" customHeight="1">
      <c r="A2541" s="50">
        <v>45032</v>
      </c>
      <c r="B2541" s="49" t="s">
        <v>49</v>
      </c>
      <c r="C2541" s="51">
        <v>44686.2</v>
      </c>
      <c r="D2541" s="51">
        <v>0</v>
      </c>
    </row>
    <row r="2542" spans="1:4" ht="15" customHeight="1">
      <c r="A2542" s="50">
        <v>45032</v>
      </c>
      <c r="B2542" s="49" t="s">
        <v>50</v>
      </c>
      <c r="C2542" s="51">
        <v>52808.7</v>
      </c>
      <c r="D2542" s="51">
        <v>0</v>
      </c>
    </row>
    <row r="2543" spans="1:4" ht="15" customHeight="1">
      <c r="A2543" s="50">
        <v>45032</v>
      </c>
      <c r="B2543" s="49" t="s">
        <v>51</v>
      </c>
      <c r="C2543" s="51">
        <v>45315</v>
      </c>
      <c r="D2543" s="51">
        <v>0</v>
      </c>
    </row>
    <row r="2544" spans="1:4" ht="15" customHeight="1">
      <c r="A2544" s="50">
        <v>45032</v>
      </c>
      <c r="B2544" s="49" t="s">
        <v>52</v>
      </c>
      <c r="C2544" s="51">
        <v>45156.5</v>
      </c>
      <c r="D2544" s="51">
        <v>0</v>
      </c>
    </row>
    <row r="2545" spans="1:4" ht="15" customHeight="1">
      <c r="A2545" s="50">
        <v>45032</v>
      </c>
      <c r="B2545" s="49" t="s">
        <v>53</v>
      </c>
      <c r="C2545" s="51">
        <v>45595.1</v>
      </c>
      <c r="D2545" s="51">
        <v>0</v>
      </c>
    </row>
    <row r="2546" spans="1:4" ht="15" customHeight="1">
      <c r="A2546" s="50">
        <v>45033</v>
      </c>
      <c r="B2546" s="49" t="s">
        <v>30</v>
      </c>
      <c r="C2546" s="51">
        <v>53457</v>
      </c>
      <c r="D2546" s="51">
        <v>0</v>
      </c>
    </row>
    <row r="2547" spans="1:4" ht="15" customHeight="1">
      <c r="A2547" s="50">
        <v>45033</v>
      </c>
      <c r="B2547" s="49" t="s">
        <v>31</v>
      </c>
      <c r="C2547" s="51">
        <v>55643</v>
      </c>
      <c r="D2547" s="51">
        <v>0</v>
      </c>
    </row>
    <row r="2548" spans="1:4" ht="15" customHeight="1">
      <c r="A2548" s="50">
        <v>45033</v>
      </c>
      <c r="B2548" s="49" t="s">
        <v>32</v>
      </c>
      <c r="C2548" s="51">
        <v>54509.9</v>
      </c>
      <c r="D2548" s="51">
        <v>0</v>
      </c>
    </row>
    <row r="2549" spans="1:4" ht="15" customHeight="1">
      <c r="A2549" s="50">
        <v>45033</v>
      </c>
      <c r="B2549" s="49" t="s">
        <v>33</v>
      </c>
      <c r="C2549" s="51">
        <v>54450.7</v>
      </c>
      <c r="D2549" s="51">
        <v>0</v>
      </c>
    </row>
    <row r="2550" spans="1:4" ht="15" customHeight="1">
      <c r="A2550" s="50">
        <v>45033</v>
      </c>
      <c r="B2550" s="49" t="s">
        <v>34</v>
      </c>
      <c r="C2550" s="51">
        <v>54899.4</v>
      </c>
      <c r="D2550" s="51">
        <v>0</v>
      </c>
    </row>
    <row r="2551" spans="1:4" ht="15" customHeight="1">
      <c r="A2551" s="50">
        <v>45033</v>
      </c>
      <c r="B2551" s="49" t="s">
        <v>35</v>
      </c>
      <c r="C2551" s="51">
        <v>54436.1</v>
      </c>
      <c r="D2551" s="51">
        <v>0</v>
      </c>
    </row>
    <row r="2552" spans="1:4" ht="15" customHeight="1">
      <c r="A2552" s="50">
        <v>45033</v>
      </c>
      <c r="B2552" s="49" t="s">
        <v>36</v>
      </c>
      <c r="C2552" s="51">
        <v>54691.5</v>
      </c>
      <c r="D2552" s="51">
        <v>0</v>
      </c>
    </row>
    <row r="2553" spans="1:4" ht="15" customHeight="1">
      <c r="A2553" s="50">
        <v>45033</v>
      </c>
      <c r="B2553" s="49" t="s">
        <v>37</v>
      </c>
      <c r="C2553" s="51">
        <v>54717.599999999999</v>
      </c>
      <c r="D2553" s="51">
        <v>0</v>
      </c>
    </row>
    <row r="2554" spans="1:4" ht="15" customHeight="1">
      <c r="A2554" s="50">
        <v>45033</v>
      </c>
      <c r="B2554" s="49" t="s">
        <v>38</v>
      </c>
      <c r="C2554" s="51">
        <v>53496.6</v>
      </c>
      <c r="D2554" s="51">
        <v>0</v>
      </c>
    </row>
    <row r="2555" spans="1:4" ht="15" customHeight="1">
      <c r="A2555" s="50">
        <v>45033</v>
      </c>
      <c r="B2555" s="49" t="s">
        <v>39</v>
      </c>
      <c r="C2555" s="51">
        <v>54027.7</v>
      </c>
      <c r="D2555" s="51">
        <v>0</v>
      </c>
    </row>
    <row r="2556" spans="1:4" ht="15" customHeight="1">
      <c r="A2556" s="50">
        <v>45033</v>
      </c>
      <c r="B2556" s="49" t="s">
        <v>40</v>
      </c>
      <c r="C2556" s="51">
        <v>53047</v>
      </c>
      <c r="D2556" s="51">
        <v>0</v>
      </c>
    </row>
    <row r="2557" spans="1:4" ht="15" customHeight="1">
      <c r="A2557" s="50">
        <v>45033</v>
      </c>
      <c r="B2557" s="49" t="s">
        <v>41</v>
      </c>
      <c r="C2557" s="51">
        <v>52334.1</v>
      </c>
      <c r="D2557" s="51">
        <v>0</v>
      </c>
    </row>
    <row r="2558" spans="1:4" ht="15" customHeight="1">
      <c r="A2558" s="50">
        <v>45033</v>
      </c>
      <c r="B2558" s="49" t="s">
        <v>42</v>
      </c>
      <c r="C2558" s="51">
        <v>54434.2</v>
      </c>
      <c r="D2558" s="51">
        <v>0</v>
      </c>
    </row>
    <row r="2559" spans="1:4" ht="15" customHeight="1">
      <c r="A2559" s="50">
        <v>45033</v>
      </c>
      <c r="B2559" s="49" t="s">
        <v>43</v>
      </c>
      <c r="C2559" s="51">
        <v>54863.3</v>
      </c>
      <c r="D2559" s="51">
        <v>0</v>
      </c>
    </row>
    <row r="2560" spans="1:4" ht="15" customHeight="1">
      <c r="A2560" s="50">
        <v>45033</v>
      </c>
      <c r="B2560" s="49" t="s">
        <v>44</v>
      </c>
      <c r="C2560" s="51">
        <v>52912.800000000003</v>
      </c>
      <c r="D2560" s="51">
        <v>0</v>
      </c>
    </row>
    <row r="2561" spans="1:4" ht="15" customHeight="1">
      <c r="A2561" s="50">
        <v>45033</v>
      </c>
      <c r="B2561" s="49" t="s">
        <v>45</v>
      </c>
      <c r="C2561" s="51">
        <v>52731.5</v>
      </c>
      <c r="D2561" s="51">
        <v>0</v>
      </c>
    </row>
    <row r="2562" spans="1:4" ht="15" customHeight="1">
      <c r="A2562" s="50">
        <v>45033</v>
      </c>
      <c r="B2562" s="49" t="s">
        <v>46</v>
      </c>
      <c r="C2562" s="51">
        <v>51945.1</v>
      </c>
      <c r="D2562" s="51">
        <v>0</v>
      </c>
    </row>
    <row r="2563" spans="1:4" ht="15" customHeight="1">
      <c r="A2563" s="50">
        <v>45033</v>
      </c>
      <c r="B2563" s="49" t="s">
        <v>47</v>
      </c>
      <c r="C2563" s="51">
        <v>54155</v>
      </c>
      <c r="D2563" s="51">
        <v>0</v>
      </c>
    </row>
    <row r="2564" spans="1:4" ht="15" customHeight="1">
      <c r="A2564" s="50">
        <v>45033</v>
      </c>
      <c r="B2564" s="49" t="s">
        <v>48</v>
      </c>
      <c r="C2564" s="51">
        <v>53536.4</v>
      </c>
      <c r="D2564" s="51">
        <v>0</v>
      </c>
    </row>
    <row r="2565" spans="1:4" ht="15" customHeight="1">
      <c r="A2565" s="50">
        <v>45033</v>
      </c>
      <c r="B2565" s="49" t="s">
        <v>49</v>
      </c>
      <c r="C2565" s="51">
        <v>62632.800000000003</v>
      </c>
      <c r="D2565" s="51">
        <v>0</v>
      </c>
    </row>
    <row r="2566" spans="1:4" ht="15" customHeight="1">
      <c r="A2566" s="50">
        <v>45033</v>
      </c>
      <c r="B2566" s="49" t="s">
        <v>50</v>
      </c>
      <c r="C2566" s="51">
        <v>67604.3</v>
      </c>
      <c r="D2566" s="51">
        <v>0</v>
      </c>
    </row>
    <row r="2567" spans="1:4" ht="15" customHeight="1">
      <c r="A2567" s="50">
        <v>45033</v>
      </c>
      <c r="B2567" s="49" t="s">
        <v>51</v>
      </c>
      <c r="C2567" s="51">
        <v>54922.2</v>
      </c>
      <c r="D2567" s="51">
        <v>0</v>
      </c>
    </row>
    <row r="2568" spans="1:4" ht="15" customHeight="1">
      <c r="A2568" s="50">
        <v>45033</v>
      </c>
      <c r="B2568" s="49" t="s">
        <v>52</v>
      </c>
      <c r="C2568" s="51">
        <v>54987.3</v>
      </c>
      <c r="D2568" s="51">
        <v>0</v>
      </c>
    </row>
    <row r="2569" spans="1:4" ht="15" customHeight="1">
      <c r="A2569" s="50">
        <v>45033</v>
      </c>
      <c r="B2569" s="49" t="s">
        <v>53</v>
      </c>
      <c r="C2569" s="51">
        <v>55109.1</v>
      </c>
      <c r="D2569" s="51">
        <v>0</v>
      </c>
    </row>
    <row r="2570" spans="1:4" ht="15" customHeight="1">
      <c r="A2570" s="50">
        <v>45034</v>
      </c>
      <c r="B2570" s="49" t="s">
        <v>30</v>
      </c>
      <c r="C2570" s="51">
        <v>54362</v>
      </c>
      <c r="D2570" s="51">
        <v>0</v>
      </c>
    </row>
    <row r="2571" spans="1:4" ht="15" customHeight="1">
      <c r="A2571" s="50">
        <v>45034</v>
      </c>
      <c r="B2571" s="49" t="s">
        <v>31</v>
      </c>
      <c r="C2571" s="51">
        <v>54145.1</v>
      </c>
      <c r="D2571" s="51">
        <v>0</v>
      </c>
    </row>
    <row r="2572" spans="1:4" ht="15" customHeight="1">
      <c r="A2572" s="50">
        <v>45034</v>
      </c>
      <c r="B2572" s="49" t="s">
        <v>32</v>
      </c>
      <c r="C2572" s="51">
        <v>54305.7</v>
      </c>
      <c r="D2572" s="51">
        <v>0</v>
      </c>
    </row>
    <row r="2573" spans="1:4" ht="15" customHeight="1">
      <c r="A2573" s="50">
        <v>45034</v>
      </c>
      <c r="B2573" s="49" t="s">
        <v>33</v>
      </c>
      <c r="C2573" s="51">
        <v>54203.8</v>
      </c>
      <c r="D2573" s="51">
        <v>0</v>
      </c>
    </row>
    <row r="2574" spans="1:4" ht="15" customHeight="1">
      <c r="A2574" s="50">
        <v>45034</v>
      </c>
      <c r="B2574" s="49" t="s">
        <v>34</v>
      </c>
      <c r="C2574" s="51">
        <v>54190.3</v>
      </c>
      <c r="D2574" s="51">
        <v>0</v>
      </c>
    </row>
    <row r="2575" spans="1:4" ht="15" customHeight="1">
      <c r="A2575" s="50">
        <v>45034</v>
      </c>
      <c r="B2575" s="49" t="s">
        <v>35</v>
      </c>
      <c r="C2575" s="51">
        <v>54164.3</v>
      </c>
      <c r="D2575" s="51">
        <v>0</v>
      </c>
    </row>
    <row r="2576" spans="1:4" ht="15" customHeight="1">
      <c r="A2576" s="50">
        <v>45034</v>
      </c>
      <c r="B2576" s="49" t="s">
        <v>36</v>
      </c>
      <c r="C2576" s="51">
        <v>54251.3</v>
      </c>
      <c r="D2576" s="51">
        <v>0</v>
      </c>
    </row>
    <row r="2577" spans="1:4" ht="15" customHeight="1">
      <c r="A2577" s="50">
        <v>45034</v>
      </c>
      <c r="B2577" s="49" t="s">
        <v>37</v>
      </c>
      <c r="C2577" s="51">
        <v>54346.2</v>
      </c>
      <c r="D2577" s="51">
        <v>0</v>
      </c>
    </row>
    <row r="2578" spans="1:4" ht="15" customHeight="1">
      <c r="A2578" s="50">
        <v>45034</v>
      </c>
      <c r="B2578" s="49" t="s">
        <v>38</v>
      </c>
      <c r="C2578" s="51">
        <v>53758.1</v>
      </c>
      <c r="D2578" s="51">
        <v>0</v>
      </c>
    </row>
    <row r="2579" spans="1:4" ht="15" customHeight="1">
      <c r="A2579" s="50">
        <v>45034</v>
      </c>
      <c r="B2579" s="49" t="s">
        <v>39</v>
      </c>
      <c r="C2579" s="51">
        <v>54261.1</v>
      </c>
      <c r="D2579" s="51">
        <v>0</v>
      </c>
    </row>
    <row r="2580" spans="1:4" ht="15" customHeight="1">
      <c r="A2580" s="50">
        <v>45034</v>
      </c>
      <c r="B2580" s="49" t="s">
        <v>40</v>
      </c>
      <c r="C2580" s="51">
        <v>53522.8</v>
      </c>
      <c r="D2580" s="51">
        <v>0</v>
      </c>
    </row>
    <row r="2581" spans="1:4" ht="15" customHeight="1">
      <c r="A2581" s="50">
        <v>45034</v>
      </c>
      <c r="B2581" s="49" t="s">
        <v>41</v>
      </c>
      <c r="C2581" s="51">
        <v>52646.6</v>
      </c>
      <c r="D2581" s="51">
        <v>0</v>
      </c>
    </row>
    <row r="2582" spans="1:4" ht="15" customHeight="1">
      <c r="A2582" s="50">
        <v>45034</v>
      </c>
      <c r="B2582" s="49" t="s">
        <v>42</v>
      </c>
      <c r="C2582" s="51">
        <v>54213</v>
      </c>
      <c r="D2582" s="51">
        <v>0</v>
      </c>
    </row>
    <row r="2583" spans="1:4" ht="15" customHeight="1">
      <c r="A2583" s="50">
        <v>45034</v>
      </c>
      <c r="B2583" s="49" t="s">
        <v>43</v>
      </c>
      <c r="C2583" s="51">
        <v>53625.2</v>
      </c>
      <c r="D2583" s="51">
        <v>0</v>
      </c>
    </row>
    <row r="2584" spans="1:4" ht="15" customHeight="1">
      <c r="A2584" s="50">
        <v>45034</v>
      </c>
      <c r="B2584" s="49" t="s">
        <v>44</v>
      </c>
      <c r="C2584" s="51">
        <v>53381.1</v>
      </c>
      <c r="D2584" s="51">
        <v>0</v>
      </c>
    </row>
    <row r="2585" spans="1:4" ht="15" customHeight="1">
      <c r="A2585" s="50">
        <v>45034</v>
      </c>
      <c r="B2585" s="49" t="s">
        <v>45</v>
      </c>
      <c r="C2585" s="51">
        <v>54224.7</v>
      </c>
      <c r="D2585" s="51">
        <v>0</v>
      </c>
    </row>
    <row r="2586" spans="1:4" ht="15" customHeight="1">
      <c r="A2586" s="50">
        <v>45034</v>
      </c>
      <c r="B2586" s="49" t="s">
        <v>46</v>
      </c>
      <c r="C2586" s="51">
        <v>54306.3</v>
      </c>
      <c r="D2586" s="51">
        <v>0</v>
      </c>
    </row>
    <row r="2587" spans="1:4" ht="15" customHeight="1">
      <c r="A2587" s="50">
        <v>45034</v>
      </c>
      <c r="B2587" s="49" t="s">
        <v>47</v>
      </c>
      <c r="C2587" s="51">
        <v>54082.6</v>
      </c>
      <c r="D2587" s="51">
        <v>0</v>
      </c>
    </row>
    <row r="2588" spans="1:4" ht="15" customHeight="1">
      <c r="A2588" s="50">
        <v>45034</v>
      </c>
      <c r="B2588" s="49" t="s">
        <v>48</v>
      </c>
      <c r="C2588" s="51">
        <v>54043</v>
      </c>
      <c r="D2588" s="51">
        <v>0</v>
      </c>
    </row>
    <row r="2589" spans="1:4" ht="15" customHeight="1">
      <c r="A2589" s="50">
        <v>45034</v>
      </c>
      <c r="B2589" s="49" t="s">
        <v>49</v>
      </c>
      <c r="C2589" s="51">
        <v>54313</v>
      </c>
      <c r="D2589" s="51">
        <v>0</v>
      </c>
    </row>
    <row r="2590" spans="1:4" ht="15" customHeight="1">
      <c r="A2590" s="50">
        <v>45034</v>
      </c>
      <c r="B2590" s="49" t="s">
        <v>50</v>
      </c>
      <c r="C2590" s="51">
        <v>67631.8</v>
      </c>
      <c r="D2590" s="51">
        <v>0</v>
      </c>
    </row>
    <row r="2591" spans="1:4" ht="15" customHeight="1">
      <c r="A2591" s="50">
        <v>45034</v>
      </c>
      <c r="B2591" s="49" t="s">
        <v>51</v>
      </c>
      <c r="C2591" s="51">
        <v>61566.400000000001</v>
      </c>
      <c r="D2591" s="51">
        <v>0</v>
      </c>
    </row>
    <row r="2592" spans="1:4" ht="15" customHeight="1">
      <c r="A2592" s="50">
        <v>45034</v>
      </c>
      <c r="B2592" s="49" t="s">
        <v>52</v>
      </c>
      <c r="C2592" s="51">
        <v>65608.600000000006</v>
      </c>
      <c r="D2592" s="51">
        <v>0</v>
      </c>
    </row>
    <row r="2593" spans="1:4" ht="15" customHeight="1">
      <c r="A2593" s="50">
        <v>45034</v>
      </c>
      <c r="B2593" s="49" t="s">
        <v>53</v>
      </c>
      <c r="C2593" s="51">
        <v>54983.199999999997</v>
      </c>
      <c r="D2593" s="51">
        <v>0</v>
      </c>
    </row>
    <row r="2594" spans="1:4" ht="15" customHeight="1">
      <c r="A2594" s="50">
        <v>45035</v>
      </c>
      <c r="B2594" s="49" t="s">
        <v>30</v>
      </c>
      <c r="C2594" s="51">
        <v>54633.1</v>
      </c>
      <c r="D2594" s="51">
        <v>0</v>
      </c>
    </row>
    <row r="2595" spans="1:4" ht="15" customHeight="1">
      <c r="A2595" s="50">
        <v>45035</v>
      </c>
      <c r="B2595" s="49" t="s">
        <v>31</v>
      </c>
      <c r="C2595" s="51">
        <v>54521.9</v>
      </c>
      <c r="D2595" s="51">
        <v>0</v>
      </c>
    </row>
    <row r="2596" spans="1:4" ht="15" customHeight="1">
      <c r="A2596" s="50">
        <v>45035</v>
      </c>
      <c r="B2596" s="49" t="s">
        <v>32</v>
      </c>
      <c r="C2596" s="51">
        <v>54395.7</v>
      </c>
      <c r="D2596" s="51">
        <v>0</v>
      </c>
    </row>
    <row r="2597" spans="1:4" ht="15" customHeight="1">
      <c r="A2597" s="50">
        <v>45035</v>
      </c>
      <c r="B2597" s="49" t="s">
        <v>33</v>
      </c>
      <c r="C2597" s="51">
        <v>54631.6</v>
      </c>
      <c r="D2597" s="51">
        <v>0</v>
      </c>
    </row>
    <row r="2598" spans="1:4" ht="15" customHeight="1">
      <c r="A2598" s="50">
        <v>45035</v>
      </c>
      <c r="B2598" s="49" t="s">
        <v>34</v>
      </c>
      <c r="C2598" s="51">
        <v>54748.7</v>
      </c>
      <c r="D2598" s="51">
        <v>0</v>
      </c>
    </row>
    <row r="2599" spans="1:4" ht="15" customHeight="1">
      <c r="A2599" s="50">
        <v>45035</v>
      </c>
      <c r="B2599" s="49" t="s">
        <v>35</v>
      </c>
      <c r="C2599" s="51">
        <v>54476.800000000003</v>
      </c>
      <c r="D2599" s="51">
        <v>0</v>
      </c>
    </row>
    <row r="2600" spans="1:4" ht="15" customHeight="1">
      <c r="A2600" s="50">
        <v>45035</v>
      </c>
      <c r="B2600" s="49" t="s">
        <v>36</v>
      </c>
      <c r="C2600" s="51">
        <v>54904</v>
      </c>
      <c r="D2600" s="51">
        <v>0</v>
      </c>
    </row>
    <row r="2601" spans="1:4" ht="15" customHeight="1">
      <c r="A2601" s="50">
        <v>45035</v>
      </c>
      <c r="B2601" s="49" t="s">
        <v>37</v>
      </c>
      <c r="C2601" s="51">
        <v>54943.1</v>
      </c>
      <c r="D2601" s="51">
        <v>0</v>
      </c>
    </row>
    <row r="2602" spans="1:4" ht="15" customHeight="1">
      <c r="A2602" s="50">
        <v>45035</v>
      </c>
      <c r="B2602" s="49" t="s">
        <v>38</v>
      </c>
      <c r="C2602" s="51">
        <v>54229.9</v>
      </c>
      <c r="D2602" s="51">
        <v>0</v>
      </c>
    </row>
    <row r="2603" spans="1:4" ht="15" customHeight="1">
      <c r="A2603" s="50">
        <v>45035</v>
      </c>
      <c r="B2603" s="49" t="s">
        <v>39</v>
      </c>
      <c r="C2603" s="51">
        <v>54100.4</v>
      </c>
      <c r="D2603" s="51">
        <v>0</v>
      </c>
    </row>
    <row r="2604" spans="1:4" ht="15" customHeight="1">
      <c r="A2604" s="50">
        <v>45035</v>
      </c>
      <c r="B2604" s="49" t="s">
        <v>40</v>
      </c>
      <c r="C2604" s="51">
        <v>54133.4</v>
      </c>
      <c r="D2604" s="51">
        <v>0</v>
      </c>
    </row>
    <row r="2605" spans="1:4" ht="15" customHeight="1">
      <c r="A2605" s="50">
        <v>45035</v>
      </c>
      <c r="B2605" s="49" t="s">
        <v>41</v>
      </c>
      <c r="C2605" s="51">
        <v>54028.1</v>
      </c>
      <c r="D2605" s="51">
        <v>0</v>
      </c>
    </row>
    <row r="2606" spans="1:4" ht="15" customHeight="1">
      <c r="A2606" s="50">
        <v>45035</v>
      </c>
      <c r="B2606" s="49" t="s">
        <v>42</v>
      </c>
      <c r="C2606" s="51">
        <v>54066.7</v>
      </c>
      <c r="D2606" s="51">
        <v>0</v>
      </c>
    </row>
    <row r="2607" spans="1:4" ht="15" customHeight="1">
      <c r="A2607" s="50">
        <v>45035</v>
      </c>
      <c r="B2607" s="49" t="s">
        <v>43</v>
      </c>
      <c r="C2607" s="51">
        <v>54086.7</v>
      </c>
      <c r="D2607" s="51">
        <v>0</v>
      </c>
    </row>
    <row r="2608" spans="1:4" ht="15" customHeight="1">
      <c r="A2608" s="50">
        <v>45035</v>
      </c>
      <c r="B2608" s="49" t="s">
        <v>44</v>
      </c>
      <c r="C2608" s="51">
        <v>54140.5</v>
      </c>
      <c r="D2608" s="51">
        <v>0</v>
      </c>
    </row>
    <row r="2609" spans="1:4" ht="15" customHeight="1">
      <c r="A2609" s="50">
        <v>45035</v>
      </c>
      <c r="B2609" s="49" t="s">
        <v>45</v>
      </c>
      <c r="C2609" s="51">
        <v>53997.7</v>
      </c>
      <c r="D2609" s="51">
        <v>0</v>
      </c>
    </row>
    <row r="2610" spans="1:4" ht="15" customHeight="1">
      <c r="A2610" s="50">
        <v>45035</v>
      </c>
      <c r="B2610" s="49" t="s">
        <v>46</v>
      </c>
      <c r="C2610" s="51">
        <v>53080</v>
      </c>
      <c r="D2610" s="51">
        <v>0</v>
      </c>
    </row>
    <row r="2611" spans="1:4" ht="15" customHeight="1">
      <c r="A2611" s="50">
        <v>45035</v>
      </c>
      <c r="B2611" s="49" t="s">
        <v>47</v>
      </c>
      <c r="C2611" s="51">
        <v>53907.7</v>
      </c>
      <c r="D2611" s="51">
        <v>0</v>
      </c>
    </row>
    <row r="2612" spans="1:4" ht="15" customHeight="1">
      <c r="A2612" s="50">
        <v>45035</v>
      </c>
      <c r="B2612" s="49" t="s">
        <v>48</v>
      </c>
      <c r="C2612" s="51">
        <v>53556.3</v>
      </c>
      <c r="D2612" s="51">
        <v>0</v>
      </c>
    </row>
    <row r="2613" spans="1:4" ht="15" customHeight="1">
      <c r="A2613" s="50">
        <v>45035</v>
      </c>
      <c r="B2613" s="49" t="s">
        <v>49</v>
      </c>
      <c r="C2613" s="51">
        <v>55592.9</v>
      </c>
      <c r="D2613" s="51">
        <v>0</v>
      </c>
    </row>
    <row r="2614" spans="1:4" ht="15" customHeight="1">
      <c r="A2614" s="50">
        <v>45035</v>
      </c>
      <c r="B2614" s="49" t="s">
        <v>50</v>
      </c>
      <c r="C2614" s="51">
        <v>67313.600000000006</v>
      </c>
      <c r="D2614" s="51">
        <v>0</v>
      </c>
    </row>
    <row r="2615" spans="1:4" ht="15" customHeight="1">
      <c r="A2615" s="50">
        <v>45035</v>
      </c>
      <c r="B2615" s="49" t="s">
        <v>51</v>
      </c>
      <c r="C2615" s="51">
        <v>54623.7</v>
      </c>
      <c r="D2615" s="51">
        <v>0</v>
      </c>
    </row>
    <row r="2616" spans="1:4" ht="15" customHeight="1">
      <c r="A2616" s="50">
        <v>45035</v>
      </c>
      <c r="B2616" s="49" t="s">
        <v>52</v>
      </c>
      <c r="C2616" s="51">
        <v>53653.2</v>
      </c>
      <c r="D2616" s="51">
        <v>0</v>
      </c>
    </row>
    <row r="2617" spans="1:4" ht="15" customHeight="1">
      <c r="A2617" s="50">
        <v>45035</v>
      </c>
      <c r="B2617" s="49" t="s">
        <v>53</v>
      </c>
      <c r="C2617" s="51">
        <v>53737.599999999999</v>
      </c>
      <c r="D2617" s="51">
        <v>0</v>
      </c>
    </row>
    <row r="2618" spans="1:4" ht="15" customHeight="1">
      <c r="A2618" s="50">
        <v>45036</v>
      </c>
      <c r="B2618" s="49" t="s">
        <v>30</v>
      </c>
      <c r="C2618" s="51">
        <v>53453.5</v>
      </c>
      <c r="D2618" s="51">
        <v>0</v>
      </c>
    </row>
    <row r="2619" spans="1:4" ht="15" customHeight="1">
      <c r="A2619" s="50">
        <v>45036</v>
      </c>
      <c r="B2619" s="49" t="s">
        <v>31</v>
      </c>
      <c r="C2619" s="51">
        <v>53368.9</v>
      </c>
      <c r="D2619" s="51">
        <v>0</v>
      </c>
    </row>
    <row r="2620" spans="1:4" ht="15" customHeight="1">
      <c r="A2620" s="50">
        <v>45036</v>
      </c>
      <c r="B2620" s="49" t="s">
        <v>32</v>
      </c>
      <c r="C2620" s="51">
        <v>53478.8</v>
      </c>
      <c r="D2620" s="51">
        <v>0</v>
      </c>
    </row>
    <row r="2621" spans="1:4" ht="15" customHeight="1">
      <c r="A2621" s="50">
        <v>45036</v>
      </c>
      <c r="B2621" s="49" t="s">
        <v>33</v>
      </c>
      <c r="C2621" s="51">
        <v>53411.1</v>
      </c>
      <c r="D2621" s="51">
        <v>0</v>
      </c>
    </row>
    <row r="2622" spans="1:4" ht="15" customHeight="1">
      <c r="A2622" s="50">
        <v>45036</v>
      </c>
      <c r="B2622" s="49" t="s">
        <v>34</v>
      </c>
      <c r="C2622" s="51">
        <v>53565.5</v>
      </c>
      <c r="D2622" s="51">
        <v>0</v>
      </c>
    </row>
    <row r="2623" spans="1:4" ht="15" customHeight="1">
      <c r="A2623" s="50">
        <v>45036</v>
      </c>
      <c r="B2623" s="49" t="s">
        <v>35</v>
      </c>
      <c r="C2623" s="51">
        <v>53557.2</v>
      </c>
      <c r="D2623" s="51">
        <v>0</v>
      </c>
    </row>
    <row r="2624" spans="1:4" ht="15" customHeight="1">
      <c r="A2624" s="50">
        <v>45036</v>
      </c>
      <c r="B2624" s="49" t="s">
        <v>36</v>
      </c>
      <c r="C2624" s="51">
        <v>53264.1</v>
      </c>
      <c r="D2624" s="51">
        <v>0</v>
      </c>
    </row>
    <row r="2625" spans="1:4" ht="15" customHeight="1">
      <c r="A2625" s="50">
        <v>45036</v>
      </c>
      <c r="B2625" s="49" t="s">
        <v>37</v>
      </c>
      <c r="C2625" s="51">
        <v>53314.5</v>
      </c>
      <c r="D2625" s="51">
        <v>0</v>
      </c>
    </row>
    <row r="2626" spans="1:4" ht="15" customHeight="1">
      <c r="A2626" s="50">
        <v>45036</v>
      </c>
      <c r="B2626" s="49" t="s">
        <v>38</v>
      </c>
      <c r="C2626" s="51">
        <v>54552.2</v>
      </c>
      <c r="D2626" s="51">
        <v>0</v>
      </c>
    </row>
    <row r="2627" spans="1:4" ht="15" customHeight="1">
      <c r="A2627" s="50">
        <v>45036</v>
      </c>
      <c r="B2627" s="49" t="s">
        <v>39</v>
      </c>
      <c r="C2627" s="51">
        <v>53489.5</v>
      </c>
      <c r="D2627" s="51">
        <v>0</v>
      </c>
    </row>
    <row r="2628" spans="1:4" ht="15" customHeight="1">
      <c r="A2628" s="50">
        <v>45036</v>
      </c>
      <c r="B2628" s="49" t="s">
        <v>40</v>
      </c>
      <c r="C2628" s="51">
        <v>53456.1</v>
      </c>
      <c r="D2628" s="51">
        <v>0</v>
      </c>
    </row>
    <row r="2629" spans="1:4" ht="15" customHeight="1">
      <c r="A2629" s="50">
        <v>45036</v>
      </c>
      <c r="B2629" s="49" t="s">
        <v>41</v>
      </c>
      <c r="C2629" s="51">
        <v>53330.1</v>
      </c>
      <c r="D2629" s="51">
        <v>0</v>
      </c>
    </row>
    <row r="2630" spans="1:4" ht="15" customHeight="1">
      <c r="A2630" s="50">
        <v>45036</v>
      </c>
      <c r="B2630" s="49" t="s">
        <v>42</v>
      </c>
      <c r="C2630" s="51">
        <v>53697.599999999999</v>
      </c>
      <c r="D2630" s="51">
        <v>0</v>
      </c>
    </row>
    <row r="2631" spans="1:4" ht="15" customHeight="1">
      <c r="A2631" s="50">
        <v>45036</v>
      </c>
      <c r="B2631" s="49" t="s">
        <v>43</v>
      </c>
      <c r="C2631" s="51">
        <v>53530.400000000001</v>
      </c>
      <c r="D2631" s="51">
        <v>0</v>
      </c>
    </row>
    <row r="2632" spans="1:4" ht="15" customHeight="1">
      <c r="A2632" s="50">
        <v>45036</v>
      </c>
      <c r="B2632" s="49" t="s">
        <v>44</v>
      </c>
      <c r="C2632" s="51">
        <v>53588.2</v>
      </c>
      <c r="D2632" s="51">
        <v>0</v>
      </c>
    </row>
    <row r="2633" spans="1:4" ht="15" customHeight="1">
      <c r="A2633" s="50">
        <v>45036</v>
      </c>
      <c r="B2633" s="49" t="s">
        <v>45</v>
      </c>
      <c r="C2633" s="51">
        <v>54752.1</v>
      </c>
      <c r="D2633" s="51">
        <v>0</v>
      </c>
    </row>
    <row r="2634" spans="1:4" ht="15" customHeight="1">
      <c r="A2634" s="50">
        <v>45036</v>
      </c>
      <c r="B2634" s="49" t="s">
        <v>46</v>
      </c>
      <c r="C2634" s="51">
        <v>54998.6</v>
      </c>
      <c r="D2634" s="51">
        <v>0</v>
      </c>
    </row>
    <row r="2635" spans="1:4" ht="15" customHeight="1">
      <c r="A2635" s="50">
        <v>45036</v>
      </c>
      <c r="B2635" s="49" t="s">
        <v>47</v>
      </c>
      <c r="C2635" s="51">
        <v>54739.5</v>
      </c>
      <c r="D2635" s="51">
        <v>0</v>
      </c>
    </row>
    <row r="2636" spans="1:4" ht="15" customHeight="1">
      <c r="A2636" s="50">
        <v>45036</v>
      </c>
      <c r="B2636" s="49" t="s">
        <v>48</v>
      </c>
      <c r="C2636" s="51">
        <v>54431</v>
      </c>
      <c r="D2636" s="51">
        <v>0</v>
      </c>
    </row>
    <row r="2637" spans="1:4" ht="15" customHeight="1">
      <c r="A2637" s="50">
        <v>45036</v>
      </c>
      <c r="B2637" s="49" t="s">
        <v>49</v>
      </c>
      <c r="C2637" s="51">
        <v>54483.3</v>
      </c>
      <c r="D2637" s="51">
        <v>0</v>
      </c>
    </row>
    <row r="2638" spans="1:4" ht="15" customHeight="1">
      <c r="A2638" s="50">
        <v>45036</v>
      </c>
      <c r="B2638" s="49" t="s">
        <v>50</v>
      </c>
      <c r="C2638" s="51">
        <v>64454.6</v>
      </c>
      <c r="D2638" s="51">
        <v>0</v>
      </c>
    </row>
    <row r="2639" spans="1:4" ht="15" customHeight="1">
      <c r="A2639" s="50">
        <v>45036</v>
      </c>
      <c r="B2639" s="49" t="s">
        <v>51</v>
      </c>
      <c r="C2639" s="51">
        <v>55118.9</v>
      </c>
      <c r="D2639" s="51">
        <v>0</v>
      </c>
    </row>
    <row r="2640" spans="1:4" ht="15" customHeight="1">
      <c r="A2640" s="50">
        <v>45036</v>
      </c>
      <c r="B2640" s="49" t="s">
        <v>52</v>
      </c>
      <c r="C2640" s="51">
        <v>57472.1</v>
      </c>
      <c r="D2640" s="51">
        <v>0</v>
      </c>
    </row>
    <row r="2641" spans="1:4" ht="15" customHeight="1">
      <c r="A2641" s="50">
        <v>45036</v>
      </c>
      <c r="B2641" s="49" t="s">
        <v>53</v>
      </c>
      <c r="C2641" s="51">
        <v>66785.100000000006</v>
      </c>
      <c r="D2641" s="51">
        <v>0</v>
      </c>
    </row>
    <row r="2642" spans="1:4" ht="15" customHeight="1">
      <c r="A2642" s="50">
        <v>45037</v>
      </c>
      <c r="B2642" s="49" t="s">
        <v>30</v>
      </c>
      <c r="C2642" s="51">
        <v>52777.9</v>
      </c>
      <c r="D2642" s="51">
        <v>0</v>
      </c>
    </row>
    <row r="2643" spans="1:4" ht="15" customHeight="1">
      <c r="A2643" s="50">
        <v>45037</v>
      </c>
      <c r="B2643" s="49" t="s">
        <v>31</v>
      </c>
      <c r="C2643" s="51">
        <v>52809.9</v>
      </c>
      <c r="D2643" s="51">
        <v>0</v>
      </c>
    </row>
    <row r="2644" spans="1:4" ht="15" customHeight="1">
      <c r="A2644" s="50">
        <v>45037</v>
      </c>
      <c r="B2644" s="49" t="s">
        <v>32</v>
      </c>
      <c r="C2644" s="51">
        <v>52790.1</v>
      </c>
      <c r="D2644" s="51">
        <v>0</v>
      </c>
    </row>
    <row r="2645" spans="1:4" ht="15" customHeight="1">
      <c r="A2645" s="50">
        <v>45037</v>
      </c>
      <c r="B2645" s="49" t="s">
        <v>33</v>
      </c>
      <c r="C2645" s="51">
        <v>52389.9</v>
      </c>
      <c r="D2645" s="51">
        <v>0</v>
      </c>
    </row>
    <row r="2646" spans="1:4" ht="15" customHeight="1">
      <c r="A2646" s="50">
        <v>45037</v>
      </c>
      <c r="B2646" s="49" t="s">
        <v>34</v>
      </c>
      <c r="C2646" s="51">
        <v>52716.4</v>
      </c>
      <c r="D2646" s="51">
        <v>0</v>
      </c>
    </row>
    <row r="2647" spans="1:4" ht="15" customHeight="1">
      <c r="A2647" s="50">
        <v>45037</v>
      </c>
      <c r="B2647" s="49" t="s">
        <v>35</v>
      </c>
      <c r="C2647" s="51">
        <v>52617.7</v>
      </c>
      <c r="D2647" s="51">
        <v>0</v>
      </c>
    </row>
    <row r="2648" spans="1:4" ht="15" customHeight="1">
      <c r="A2648" s="50">
        <v>45037</v>
      </c>
      <c r="B2648" s="49" t="s">
        <v>36</v>
      </c>
      <c r="C2648" s="51">
        <v>54011</v>
      </c>
      <c r="D2648" s="51">
        <v>0</v>
      </c>
    </row>
    <row r="2649" spans="1:4" ht="15" customHeight="1">
      <c r="A2649" s="50">
        <v>45037</v>
      </c>
      <c r="B2649" s="49" t="s">
        <v>37</v>
      </c>
      <c r="C2649" s="51">
        <v>54498.1</v>
      </c>
      <c r="D2649" s="51">
        <v>0</v>
      </c>
    </row>
    <row r="2650" spans="1:4" ht="15" customHeight="1">
      <c r="A2650" s="50">
        <v>45037</v>
      </c>
      <c r="B2650" s="49" t="s">
        <v>38</v>
      </c>
      <c r="C2650" s="51">
        <v>54750.2</v>
      </c>
      <c r="D2650" s="51">
        <v>0</v>
      </c>
    </row>
    <row r="2651" spans="1:4" ht="15" customHeight="1">
      <c r="A2651" s="50">
        <v>45037</v>
      </c>
      <c r="B2651" s="49" t="s">
        <v>39</v>
      </c>
      <c r="C2651" s="51">
        <v>54267.1</v>
      </c>
      <c r="D2651" s="51">
        <v>0</v>
      </c>
    </row>
    <row r="2652" spans="1:4" ht="15" customHeight="1">
      <c r="A2652" s="50">
        <v>45037</v>
      </c>
      <c r="B2652" s="49" t="s">
        <v>40</v>
      </c>
      <c r="C2652" s="51">
        <v>54272.2</v>
      </c>
      <c r="D2652" s="51">
        <v>0</v>
      </c>
    </row>
    <row r="2653" spans="1:4" ht="15" customHeight="1">
      <c r="A2653" s="50">
        <v>45037</v>
      </c>
      <c r="B2653" s="49" t="s">
        <v>41</v>
      </c>
      <c r="C2653" s="51">
        <v>54433.3</v>
      </c>
      <c r="D2653" s="51">
        <v>0</v>
      </c>
    </row>
    <row r="2654" spans="1:4" ht="15" customHeight="1">
      <c r="A2654" s="50">
        <v>45037</v>
      </c>
      <c r="B2654" s="49" t="s">
        <v>42</v>
      </c>
      <c r="C2654" s="51">
        <v>55053</v>
      </c>
      <c r="D2654" s="51">
        <v>0</v>
      </c>
    </row>
    <row r="2655" spans="1:4" ht="15" customHeight="1">
      <c r="A2655" s="50">
        <v>45037</v>
      </c>
      <c r="B2655" s="49" t="s">
        <v>43</v>
      </c>
      <c r="C2655" s="51">
        <v>55194.6</v>
      </c>
      <c r="D2655" s="51">
        <v>0</v>
      </c>
    </row>
    <row r="2656" spans="1:4" ht="15" customHeight="1">
      <c r="A2656" s="50">
        <v>45037</v>
      </c>
      <c r="B2656" s="49" t="s">
        <v>44</v>
      </c>
      <c r="C2656" s="51">
        <v>54878.2</v>
      </c>
      <c r="D2656" s="51">
        <v>0</v>
      </c>
    </row>
    <row r="2657" spans="1:4" ht="15" customHeight="1">
      <c r="A2657" s="50">
        <v>45037</v>
      </c>
      <c r="B2657" s="49" t="s">
        <v>45</v>
      </c>
      <c r="C2657" s="51">
        <v>54837.599999999999</v>
      </c>
      <c r="D2657" s="51">
        <v>0</v>
      </c>
    </row>
    <row r="2658" spans="1:4" ht="15" customHeight="1">
      <c r="A2658" s="50">
        <v>45037</v>
      </c>
      <c r="B2658" s="49" t="s">
        <v>46</v>
      </c>
      <c r="C2658" s="51">
        <v>54718.400000000001</v>
      </c>
      <c r="D2658" s="51">
        <v>0</v>
      </c>
    </row>
    <row r="2659" spans="1:4" ht="15" customHeight="1">
      <c r="A2659" s="50">
        <v>45037</v>
      </c>
      <c r="B2659" s="49" t="s">
        <v>47</v>
      </c>
      <c r="C2659" s="51">
        <v>54932.4</v>
      </c>
      <c r="D2659" s="51">
        <v>0</v>
      </c>
    </row>
    <row r="2660" spans="1:4" ht="15" customHeight="1">
      <c r="A2660" s="50">
        <v>45037</v>
      </c>
      <c r="B2660" s="49" t="s">
        <v>48</v>
      </c>
      <c r="C2660" s="51">
        <v>54531.1</v>
      </c>
      <c r="D2660" s="51">
        <v>0</v>
      </c>
    </row>
    <row r="2661" spans="1:4" ht="15" customHeight="1">
      <c r="A2661" s="50">
        <v>45037</v>
      </c>
      <c r="B2661" s="49" t="s">
        <v>49</v>
      </c>
      <c r="C2661" s="51">
        <v>54418.1</v>
      </c>
      <c r="D2661" s="51">
        <v>0</v>
      </c>
    </row>
    <row r="2662" spans="1:4" ht="15" customHeight="1">
      <c r="A2662" s="50">
        <v>45037</v>
      </c>
      <c r="B2662" s="49" t="s">
        <v>50</v>
      </c>
      <c r="C2662" s="51">
        <v>67561.100000000006</v>
      </c>
      <c r="D2662" s="51">
        <v>0</v>
      </c>
    </row>
    <row r="2663" spans="1:4" ht="15" customHeight="1">
      <c r="A2663" s="50">
        <v>45037</v>
      </c>
      <c r="B2663" s="49" t="s">
        <v>51</v>
      </c>
      <c r="C2663" s="51">
        <v>55376.6</v>
      </c>
      <c r="D2663" s="51">
        <v>0</v>
      </c>
    </row>
    <row r="2664" spans="1:4" ht="15" customHeight="1">
      <c r="A2664" s="50">
        <v>45037</v>
      </c>
      <c r="B2664" s="49" t="s">
        <v>52</v>
      </c>
      <c r="C2664" s="51">
        <v>53654.7</v>
      </c>
      <c r="D2664" s="51">
        <v>0</v>
      </c>
    </row>
    <row r="2665" spans="1:4" ht="15" customHeight="1">
      <c r="A2665" s="50">
        <v>45037</v>
      </c>
      <c r="B2665" s="49" t="s">
        <v>53</v>
      </c>
      <c r="C2665" s="51">
        <v>53538.7</v>
      </c>
      <c r="D2665" s="51">
        <v>0</v>
      </c>
    </row>
    <row r="2666" spans="1:4" ht="15" customHeight="1">
      <c r="A2666" s="50">
        <v>45038</v>
      </c>
      <c r="B2666" s="49" t="s">
        <v>30</v>
      </c>
      <c r="C2666" s="51">
        <v>53374.8</v>
      </c>
      <c r="D2666" s="51">
        <v>0</v>
      </c>
    </row>
    <row r="2667" spans="1:4" ht="15" customHeight="1">
      <c r="A2667" s="50">
        <v>45038</v>
      </c>
      <c r="B2667" s="49" t="s">
        <v>31</v>
      </c>
      <c r="C2667" s="51">
        <v>53553.3</v>
      </c>
      <c r="D2667" s="51">
        <v>0</v>
      </c>
    </row>
    <row r="2668" spans="1:4" ht="15" customHeight="1">
      <c r="A2668" s="50">
        <v>45038</v>
      </c>
      <c r="B2668" s="49" t="s">
        <v>32</v>
      </c>
      <c r="C2668" s="51">
        <v>53609.1</v>
      </c>
      <c r="D2668" s="51">
        <v>0</v>
      </c>
    </row>
    <row r="2669" spans="1:4" ht="15" customHeight="1">
      <c r="A2669" s="50">
        <v>45038</v>
      </c>
      <c r="B2669" s="49" t="s">
        <v>33</v>
      </c>
      <c r="C2669" s="51">
        <v>53636.800000000003</v>
      </c>
      <c r="D2669" s="51">
        <v>0</v>
      </c>
    </row>
    <row r="2670" spans="1:4" ht="15" customHeight="1">
      <c r="A2670" s="50">
        <v>45038</v>
      </c>
      <c r="B2670" s="49" t="s">
        <v>34</v>
      </c>
      <c r="C2670" s="51">
        <v>53728</v>
      </c>
      <c r="D2670" s="51">
        <v>0</v>
      </c>
    </row>
    <row r="2671" spans="1:4" ht="15" customHeight="1">
      <c r="A2671" s="50">
        <v>45038</v>
      </c>
      <c r="B2671" s="49" t="s">
        <v>35</v>
      </c>
      <c r="C2671" s="51">
        <v>53585.2</v>
      </c>
      <c r="D2671" s="51">
        <v>0</v>
      </c>
    </row>
    <row r="2672" spans="1:4" ht="15" customHeight="1">
      <c r="A2672" s="50">
        <v>45038</v>
      </c>
      <c r="B2672" s="49" t="s">
        <v>36</v>
      </c>
      <c r="C2672" s="51">
        <v>52870.1</v>
      </c>
      <c r="D2672" s="51">
        <v>0</v>
      </c>
    </row>
    <row r="2673" spans="1:4" ht="15" customHeight="1">
      <c r="A2673" s="50">
        <v>45038</v>
      </c>
      <c r="B2673" s="49" t="s">
        <v>37</v>
      </c>
      <c r="C2673" s="51">
        <v>53332.2</v>
      </c>
      <c r="D2673" s="51">
        <v>0</v>
      </c>
    </row>
    <row r="2674" spans="1:4" ht="15" customHeight="1">
      <c r="A2674" s="50">
        <v>45038</v>
      </c>
      <c r="B2674" s="49" t="s">
        <v>38</v>
      </c>
      <c r="C2674" s="51">
        <v>54707.199999999997</v>
      </c>
      <c r="D2674" s="51">
        <v>0</v>
      </c>
    </row>
    <row r="2675" spans="1:4" ht="15" customHeight="1">
      <c r="A2675" s="50">
        <v>45038</v>
      </c>
      <c r="B2675" s="49" t="s">
        <v>39</v>
      </c>
      <c r="C2675" s="51">
        <v>54735.1</v>
      </c>
      <c r="D2675" s="51">
        <v>0</v>
      </c>
    </row>
    <row r="2676" spans="1:4" ht="15" customHeight="1">
      <c r="A2676" s="50">
        <v>45038</v>
      </c>
      <c r="B2676" s="49" t="s">
        <v>40</v>
      </c>
      <c r="C2676" s="51">
        <v>54529.8</v>
      </c>
      <c r="D2676" s="51">
        <v>0</v>
      </c>
    </row>
    <row r="2677" spans="1:4" ht="15" customHeight="1">
      <c r="A2677" s="50">
        <v>45038</v>
      </c>
      <c r="B2677" s="49" t="s">
        <v>41</v>
      </c>
      <c r="C2677" s="51">
        <v>54310</v>
      </c>
      <c r="D2677" s="51">
        <v>0</v>
      </c>
    </row>
    <row r="2678" spans="1:4" ht="15" customHeight="1">
      <c r="A2678" s="50">
        <v>45038</v>
      </c>
      <c r="B2678" s="49" t="s">
        <v>42</v>
      </c>
      <c r="C2678" s="51">
        <v>54725.1</v>
      </c>
      <c r="D2678" s="51">
        <v>0</v>
      </c>
    </row>
    <row r="2679" spans="1:4" ht="15" customHeight="1">
      <c r="A2679" s="50">
        <v>45038</v>
      </c>
      <c r="B2679" s="49" t="s">
        <v>43</v>
      </c>
      <c r="C2679" s="51">
        <v>54070.9</v>
      </c>
      <c r="D2679" s="51">
        <v>0</v>
      </c>
    </row>
    <row r="2680" spans="1:4" ht="15" customHeight="1">
      <c r="A2680" s="50">
        <v>45038</v>
      </c>
      <c r="B2680" s="49" t="s">
        <v>44</v>
      </c>
      <c r="C2680" s="51">
        <v>54149.7</v>
      </c>
      <c r="D2680" s="51">
        <v>0</v>
      </c>
    </row>
    <row r="2681" spans="1:4" ht="15" customHeight="1">
      <c r="A2681" s="50">
        <v>45038</v>
      </c>
      <c r="B2681" s="49" t="s">
        <v>45</v>
      </c>
      <c r="C2681" s="51">
        <v>53946.6</v>
      </c>
      <c r="D2681" s="51">
        <v>0</v>
      </c>
    </row>
    <row r="2682" spans="1:4" ht="15" customHeight="1">
      <c r="A2682" s="50">
        <v>45038</v>
      </c>
      <c r="B2682" s="49" t="s">
        <v>46</v>
      </c>
      <c r="C2682" s="51">
        <v>54065.4</v>
      </c>
      <c r="D2682" s="51">
        <v>0</v>
      </c>
    </row>
    <row r="2683" spans="1:4" ht="15" customHeight="1">
      <c r="A2683" s="50">
        <v>45038</v>
      </c>
      <c r="B2683" s="49" t="s">
        <v>47</v>
      </c>
      <c r="C2683" s="51">
        <v>52096.5</v>
      </c>
      <c r="D2683" s="51">
        <v>0</v>
      </c>
    </row>
    <row r="2684" spans="1:4" ht="15" customHeight="1">
      <c r="A2684" s="50">
        <v>45038</v>
      </c>
      <c r="B2684" s="49" t="s">
        <v>48</v>
      </c>
      <c r="C2684" s="51">
        <v>54123.3</v>
      </c>
      <c r="D2684" s="51">
        <v>0</v>
      </c>
    </row>
    <row r="2685" spans="1:4" ht="15" customHeight="1">
      <c r="A2685" s="50">
        <v>45038</v>
      </c>
      <c r="B2685" s="49" t="s">
        <v>49</v>
      </c>
      <c r="C2685" s="51">
        <v>63025.2</v>
      </c>
      <c r="D2685" s="51">
        <v>0</v>
      </c>
    </row>
    <row r="2686" spans="1:4" ht="15" customHeight="1">
      <c r="A2686" s="50">
        <v>45038</v>
      </c>
      <c r="B2686" s="49" t="s">
        <v>50</v>
      </c>
      <c r="C2686" s="51">
        <v>66291.199999999997</v>
      </c>
      <c r="D2686" s="51">
        <v>0</v>
      </c>
    </row>
    <row r="2687" spans="1:4" ht="15" customHeight="1">
      <c r="A2687" s="50">
        <v>45038</v>
      </c>
      <c r="B2687" s="49" t="s">
        <v>51</v>
      </c>
      <c r="C2687" s="51">
        <v>55481.9</v>
      </c>
      <c r="D2687" s="51">
        <v>0</v>
      </c>
    </row>
    <row r="2688" spans="1:4" ht="15" customHeight="1">
      <c r="A2688" s="50">
        <v>45038</v>
      </c>
      <c r="B2688" s="49" t="s">
        <v>52</v>
      </c>
      <c r="C2688" s="51">
        <v>54468.800000000003</v>
      </c>
      <c r="D2688" s="51">
        <v>0</v>
      </c>
    </row>
    <row r="2689" spans="1:4" ht="15" customHeight="1">
      <c r="A2689" s="50">
        <v>45038</v>
      </c>
      <c r="B2689" s="49" t="s">
        <v>53</v>
      </c>
      <c r="C2689" s="51">
        <v>54502.7</v>
      </c>
      <c r="D2689" s="51">
        <v>0</v>
      </c>
    </row>
    <row r="2690" spans="1:4" ht="15" customHeight="1">
      <c r="A2690" s="50">
        <v>45039</v>
      </c>
      <c r="B2690" s="49" t="s">
        <v>30</v>
      </c>
      <c r="C2690" s="51">
        <v>54371.7</v>
      </c>
      <c r="D2690" s="51">
        <v>0</v>
      </c>
    </row>
    <row r="2691" spans="1:4" ht="15" customHeight="1">
      <c r="A2691" s="50">
        <v>45039</v>
      </c>
      <c r="B2691" s="49" t="s">
        <v>31</v>
      </c>
      <c r="C2691" s="51">
        <v>54440.2</v>
      </c>
      <c r="D2691" s="51">
        <v>0</v>
      </c>
    </row>
    <row r="2692" spans="1:4" ht="15" customHeight="1">
      <c r="A2692" s="50">
        <v>45039</v>
      </c>
      <c r="B2692" s="49" t="s">
        <v>32</v>
      </c>
      <c r="C2692" s="51">
        <v>54348.3</v>
      </c>
      <c r="D2692" s="51">
        <v>0</v>
      </c>
    </row>
    <row r="2693" spans="1:4" ht="15" customHeight="1">
      <c r="A2693" s="50">
        <v>45039</v>
      </c>
      <c r="B2693" s="49" t="s">
        <v>33</v>
      </c>
      <c r="C2693" s="51">
        <v>53074.9</v>
      </c>
      <c r="D2693" s="51">
        <v>0</v>
      </c>
    </row>
    <row r="2694" spans="1:4" ht="15" customHeight="1">
      <c r="A2694" s="50">
        <v>45039</v>
      </c>
      <c r="B2694" s="49" t="s">
        <v>34</v>
      </c>
      <c r="C2694" s="51">
        <v>52944.800000000003</v>
      </c>
      <c r="D2694" s="51">
        <v>0</v>
      </c>
    </row>
    <row r="2695" spans="1:4" ht="15" customHeight="1">
      <c r="A2695" s="50">
        <v>45039</v>
      </c>
      <c r="B2695" s="49" t="s">
        <v>35</v>
      </c>
      <c r="C2695" s="51">
        <v>52837.599999999999</v>
      </c>
      <c r="D2695" s="51">
        <v>0</v>
      </c>
    </row>
    <row r="2696" spans="1:4" ht="15" customHeight="1">
      <c r="A2696" s="50">
        <v>45039</v>
      </c>
      <c r="B2696" s="49" t="s">
        <v>36</v>
      </c>
      <c r="C2696" s="51">
        <v>52991.6</v>
      </c>
      <c r="D2696" s="51">
        <v>0</v>
      </c>
    </row>
    <row r="2697" spans="1:4" ht="15" customHeight="1">
      <c r="A2697" s="50">
        <v>45039</v>
      </c>
      <c r="B2697" s="49" t="s">
        <v>37</v>
      </c>
      <c r="C2697" s="51">
        <v>52576.7</v>
      </c>
      <c r="D2697" s="51">
        <v>0</v>
      </c>
    </row>
    <row r="2698" spans="1:4" ht="15" customHeight="1">
      <c r="A2698" s="50">
        <v>45039</v>
      </c>
      <c r="B2698" s="49" t="s">
        <v>38</v>
      </c>
      <c r="C2698" s="51">
        <v>52217.2</v>
      </c>
      <c r="D2698" s="51">
        <v>0</v>
      </c>
    </row>
    <row r="2699" spans="1:4" ht="15" customHeight="1">
      <c r="A2699" s="50">
        <v>45039</v>
      </c>
      <c r="B2699" s="49" t="s">
        <v>39</v>
      </c>
      <c r="C2699" s="51">
        <v>53121.5</v>
      </c>
      <c r="D2699" s="51">
        <v>0</v>
      </c>
    </row>
    <row r="2700" spans="1:4" ht="15" customHeight="1">
      <c r="A2700" s="50">
        <v>45039</v>
      </c>
      <c r="B2700" s="49" t="s">
        <v>40</v>
      </c>
      <c r="C2700" s="51">
        <v>53043</v>
      </c>
      <c r="D2700" s="51">
        <v>0</v>
      </c>
    </row>
    <row r="2701" spans="1:4" ht="15" customHeight="1">
      <c r="A2701" s="50">
        <v>45039</v>
      </c>
      <c r="B2701" s="49" t="s">
        <v>41</v>
      </c>
      <c r="C2701" s="51">
        <v>53108.2</v>
      </c>
      <c r="D2701" s="51">
        <v>0</v>
      </c>
    </row>
    <row r="2702" spans="1:4" ht="15" customHeight="1">
      <c r="A2702" s="50">
        <v>45039</v>
      </c>
      <c r="B2702" s="49" t="s">
        <v>42</v>
      </c>
      <c r="C2702" s="51">
        <v>53116.2</v>
      </c>
      <c r="D2702" s="51">
        <v>0</v>
      </c>
    </row>
    <row r="2703" spans="1:4" ht="15" customHeight="1">
      <c r="A2703" s="50">
        <v>45039</v>
      </c>
      <c r="B2703" s="49" t="s">
        <v>43</v>
      </c>
      <c r="C2703" s="51">
        <v>52971</v>
      </c>
      <c r="D2703" s="51">
        <v>0</v>
      </c>
    </row>
    <row r="2704" spans="1:4" ht="15" customHeight="1">
      <c r="A2704" s="50">
        <v>45039</v>
      </c>
      <c r="B2704" s="49" t="s">
        <v>44</v>
      </c>
      <c r="C2704" s="51">
        <v>53099.199999999997</v>
      </c>
      <c r="D2704" s="51">
        <v>0</v>
      </c>
    </row>
    <row r="2705" spans="1:4" ht="15" customHeight="1">
      <c r="A2705" s="50">
        <v>45039</v>
      </c>
      <c r="B2705" s="49" t="s">
        <v>45</v>
      </c>
      <c r="C2705" s="51">
        <v>53070.1</v>
      </c>
      <c r="D2705" s="51">
        <v>0</v>
      </c>
    </row>
    <row r="2706" spans="1:4" ht="15" customHeight="1">
      <c r="A2706" s="50">
        <v>45039</v>
      </c>
      <c r="B2706" s="49" t="s">
        <v>46</v>
      </c>
      <c r="C2706" s="51">
        <v>53044.3</v>
      </c>
      <c r="D2706" s="51">
        <v>0</v>
      </c>
    </row>
    <row r="2707" spans="1:4" ht="15" customHeight="1">
      <c r="A2707" s="50">
        <v>45039</v>
      </c>
      <c r="B2707" s="49" t="s">
        <v>47</v>
      </c>
      <c r="C2707" s="51">
        <v>53074</v>
      </c>
      <c r="D2707" s="51">
        <v>0</v>
      </c>
    </row>
    <row r="2708" spans="1:4" ht="15" customHeight="1">
      <c r="A2708" s="50">
        <v>45039</v>
      </c>
      <c r="B2708" s="49" t="s">
        <v>48</v>
      </c>
      <c r="C2708" s="51">
        <v>53257.2</v>
      </c>
      <c r="D2708" s="51">
        <v>0</v>
      </c>
    </row>
    <row r="2709" spans="1:4" ht="15" customHeight="1">
      <c r="A2709" s="50">
        <v>45039</v>
      </c>
      <c r="B2709" s="49" t="s">
        <v>49</v>
      </c>
      <c r="C2709" s="51">
        <v>55298.7</v>
      </c>
      <c r="D2709" s="51">
        <v>0</v>
      </c>
    </row>
    <row r="2710" spans="1:4" ht="15" customHeight="1">
      <c r="A2710" s="50">
        <v>45039</v>
      </c>
      <c r="B2710" s="49" t="s">
        <v>50</v>
      </c>
      <c r="C2710" s="51">
        <v>67464.800000000003</v>
      </c>
      <c r="D2710" s="51">
        <v>0</v>
      </c>
    </row>
    <row r="2711" spans="1:4" ht="15" customHeight="1">
      <c r="A2711" s="50">
        <v>45039</v>
      </c>
      <c r="B2711" s="49" t="s">
        <v>51</v>
      </c>
      <c r="C2711" s="51">
        <v>55587.7</v>
      </c>
      <c r="D2711" s="51">
        <v>0</v>
      </c>
    </row>
    <row r="2712" spans="1:4" ht="15" customHeight="1">
      <c r="A2712" s="50">
        <v>45039</v>
      </c>
      <c r="B2712" s="49" t="s">
        <v>52</v>
      </c>
      <c r="C2712" s="51">
        <v>53878</v>
      </c>
      <c r="D2712" s="51">
        <v>0</v>
      </c>
    </row>
    <row r="2713" spans="1:4" ht="15" customHeight="1">
      <c r="A2713" s="50">
        <v>45039</v>
      </c>
      <c r="B2713" s="49" t="s">
        <v>53</v>
      </c>
      <c r="C2713" s="51">
        <v>53824.2</v>
      </c>
      <c r="D2713" s="51">
        <v>0</v>
      </c>
    </row>
    <row r="2714" spans="1:4" ht="15" customHeight="1">
      <c r="A2714" s="50">
        <v>45040</v>
      </c>
      <c r="B2714" s="49" t="s">
        <v>30</v>
      </c>
      <c r="C2714" s="51">
        <v>44469.7</v>
      </c>
      <c r="D2714" s="51">
        <v>0</v>
      </c>
    </row>
    <row r="2715" spans="1:4" ht="15" customHeight="1">
      <c r="A2715" s="50">
        <v>45040</v>
      </c>
      <c r="B2715" s="49" t="s">
        <v>31</v>
      </c>
      <c r="C2715" s="51">
        <v>44857.7</v>
      </c>
      <c r="D2715" s="51">
        <v>0</v>
      </c>
    </row>
    <row r="2716" spans="1:4" ht="15" customHeight="1">
      <c r="A2716" s="50">
        <v>45040</v>
      </c>
      <c r="B2716" s="49" t="s">
        <v>32</v>
      </c>
      <c r="C2716" s="51">
        <v>45002.2</v>
      </c>
      <c r="D2716" s="51">
        <v>0</v>
      </c>
    </row>
    <row r="2717" spans="1:4" ht="15" customHeight="1">
      <c r="A2717" s="50">
        <v>45040</v>
      </c>
      <c r="B2717" s="49" t="s">
        <v>33</v>
      </c>
      <c r="C2717" s="51">
        <v>45584.2</v>
      </c>
      <c r="D2717" s="51">
        <v>0</v>
      </c>
    </row>
    <row r="2718" spans="1:4" ht="15" customHeight="1">
      <c r="A2718" s="50">
        <v>45040</v>
      </c>
      <c r="B2718" s="49" t="s">
        <v>34</v>
      </c>
      <c r="C2718" s="51">
        <v>44886.6</v>
      </c>
      <c r="D2718" s="51">
        <v>0</v>
      </c>
    </row>
    <row r="2719" spans="1:4" ht="15" customHeight="1">
      <c r="A2719" s="50">
        <v>45040</v>
      </c>
      <c r="B2719" s="49" t="s">
        <v>35</v>
      </c>
      <c r="C2719" s="51">
        <v>44329.599999999999</v>
      </c>
      <c r="D2719" s="51">
        <v>0</v>
      </c>
    </row>
    <row r="2720" spans="1:4" ht="15" customHeight="1">
      <c r="A2720" s="50">
        <v>45040</v>
      </c>
      <c r="B2720" s="49" t="s">
        <v>36</v>
      </c>
      <c r="C2720" s="51">
        <v>44219.4</v>
      </c>
      <c r="D2720" s="51">
        <v>0</v>
      </c>
    </row>
    <row r="2721" spans="1:4" ht="15" customHeight="1">
      <c r="A2721" s="50">
        <v>45040</v>
      </c>
      <c r="B2721" s="49" t="s">
        <v>37</v>
      </c>
      <c r="C2721" s="51">
        <v>43571.8</v>
      </c>
      <c r="D2721" s="51">
        <v>0</v>
      </c>
    </row>
    <row r="2722" spans="1:4" ht="15" customHeight="1">
      <c r="A2722" s="50">
        <v>45040</v>
      </c>
      <c r="B2722" s="49" t="s">
        <v>38</v>
      </c>
      <c r="C2722" s="51">
        <v>43979</v>
      </c>
      <c r="D2722" s="51">
        <v>0</v>
      </c>
    </row>
    <row r="2723" spans="1:4" ht="15" customHeight="1">
      <c r="A2723" s="50">
        <v>45040</v>
      </c>
      <c r="B2723" s="49" t="s">
        <v>39</v>
      </c>
      <c r="C2723" s="51">
        <v>43968</v>
      </c>
      <c r="D2723" s="51">
        <v>0</v>
      </c>
    </row>
    <row r="2724" spans="1:4" ht="15" customHeight="1">
      <c r="A2724" s="50">
        <v>45040</v>
      </c>
      <c r="B2724" s="49" t="s">
        <v>40</v>
      </c>
      <c r="C2724" s="51">
        <v>44034.7</v>
      </c>
      <c r="D2724" s="51">
        <v>0</v>
      </c>
    </row>
    <row r="2725" spans="1:4" ht="15" customHeight="1">
      <c r="A2725" s="50">
        <v>45040</v>
      </c>
      <c r="B2725" s="49" t="s">
        <v>41</v>
      </c>
      <c r="C2725" s="51">
        <v>44085.7</v>
      </c>
      <c r="D2725" s="51">
        <v>0</v>
      </c>
    </row>
    <row r="2726" spans="1:4" ht="15" customHeight="1">
      <c r="A2726" s="50">
        <v>45040</v>
      </c>
      <c r="B2726" s="49" t="s">
        <v>42</v>
      </c>
      <c r="C2726" s="51">
        <v>44624.9</v>
      </c>
      <c r="D2726" s="51">
        <v>0</v>
      </c>
    </row>
    <row r="2727" spans="1:4" ht="15" customHeight="1">
      <c r="A2727" s="50">
        <v>45040</v>
      </c>
      <c r="B2727" s="49" t="s">
        <v>43</v>
      </c>
      <c r="C2727" s="51">
        <v>58951.3</v>
      </c>
      <c r="D2727" s="51">
        <v>0</v>
      </c>
    </row>
    <row r="2728" spans="1:4" ht="15" customHeight="1">
      <c r="A2728" s="50">
        <v>45040</v>
      </c>
      <c r="B2728" s="49" t="s">
        <v>44</v>
      </c>
      <c r="C2728" s="51">
        <v>60286.400000000001</v>
      </c>
      <c r="D2728" s="51">
        <v>0</v>
      </c>
    </row>
    <row r="2729" spans="1:4" ht="15" customHeight="1">
      <c r="A2729" s="50">
        <v>45040</v>
      </c>
      <c r="B2729" s="49" t="s">
        <v>45</v>
      </c>
      <c r="C2729" s="51">
        <v>60490.6</v>
      </c>
      <c r="D2729" s="51">
        <v>0</v>
      </c>
    </row>
    <row r="2730" spans="1:4" ht="15" customHeight="1">
      <c r="A2730" s="50">
        <v>45040</v>
      </c>
      <c r="B2730" s="49" t="s">
        <v>46</v>
      </c>
      <c r="C2730" s="51">
        <v>60493.2</v>
      </c>
      <c r="D2730" s="51">
        <v>0</v>
      </c>
    </row>
    <row r="2731" spans="1:4" ht="15" customHeight="1">
      <c r="A2731" s="50">
        <v>45040</v>
      </c>
      <c r="B2731" s="49" t="s">
        <v>47</v>
      </c>
      <c r="C2731" s="51">
        <v>44503.4</v>
      </c>
      <c r="D2731" s="51">
        <v>0</v>
      </c>
    </row>
    <row r="2732" spans="1:4" ht="15" customHeight="1">
      <c r="A2732" s="50">
        <v>45040</v>
      </c>
      <c r="B2732" s="49" t="s">
        <v>48</v>
      </c>
      <c r="C2732" s="51">
        <v>60863.199999999997</v>
      </c>
      <c r="D2732" s="51">
        <v>0</v>
      </c>
    </row>
    <row r="2733" spans="1:4" ht="15" customHeight="1">
      <c r="A2733" s="50">
        <v>45040</v>
      </c>
      <c r="B2733" s="49" t="s">
        <v>49</v>
      </c>
      <c r="C2733" s="51">
        <v>60710</v>
      </c>
      <c r="D2733" s="51">
        <v>0</v>
      </c>
    </row>
    <row r="2734" spans="1:4" ht="15" customHeight="1">
      <c r="A2734" s="50">
        <v>45040</v>
      </c>
      <c r="B2734" s="49" t="s">
        <v>50</v>
      </c>
      <c r="C2734" s="51">
        <v>60396.7</v>
      </c>
      <c r="D2734" s="51">
        <v>0</v>
      </c>
    </row>
    <row r="2735" spans="1:4" ht="15" customHeight="1">
      <c r="A2735" s="50">
        <v>45040</v>
      </c>
      <c r="B2735" s="49" t="s">
        <v>51</v>
      </c>
      <c r="C2735" s="51">
        <v>60228.800000000003</v>
      </c>
      <c r="D2735" s="51">
        <v>0</v>
      </c>
    </row>
    <row r="2736" spans="1:4" ht="15" customHeight="1">
      <c r="A2736" s="50">
        <v>45040</v>
      </c>
      <c r="B2736" s="49" t="s">
        <v>52</v>
      </c>
      <c r="C2736" s="51">
        <v>60073.2</v>
      </c>
      <c r="D2736" s="51">
        <v>0</v>
      </c>
    </row>
    <row r="2737" spans="1:4" ht="15" customHeight="1">
      <c r="A2737" s="50">
        <v>45040</v>
      </c>
      <c r="B2737" s="49" t="s">
        <v>53</v>
      </c>
      <c r="C2737" s="51">
        <v>54038.1</v>
      </c>
      <c r="D2737" s="51">
        <v>0</v>
      </c>
    </row>
    <row r="2738" spans="1:4" ht="15" customHeight="1">
      <c r="A2738" s="50">
        <v>45041</v>
      </c>
      <c r="B2738" s="49" t="s">
        <v>30</v>
      </c>
      <c r="C2738" s="51">
        <v>52051.5</v>
      </c>
      <c r="D2738" s="51">
        <v>0</v>
      </c>
    </row>
    <row r="2739" spans="1:4" ht="15" customHeight="1">
      <c r="A2739" s="50">
        <v>45041</v>
      </c>
      <c r="B2739" s="49" t="s">
        <v>31</v>
      </c>
      <c r="C2739" s="51">
        <v>51201.5</v>
      </c>
      <c r="D2739" s="51">
        <v>0</v>
      </c>
    </row>
    <row r="2740" spans="1:4" ht="15" customHeight="1">
      <c r="A2740" s="50">
        <v>45041</v>
      </c>
      <c r="B2740" s="49" t="s">
        <v>32</v>
      </c>
      <c r="C2740" s="51">
        <v>51006.9</v>
      </c>
      <c r="D2740" s="51">
        <v>0</v>
      </c>
    </row>
    <row r="2741" spans="1:4" ht="15" customHeight="1">
      <c r="A2741" s="50">
        <v>45041</v>
      </c>
      <c r="B2741" s="49" t="s">
        <v>33</v>
      </c>
      <c r="C2741" s="51">
        <v>51416.1</v>
      </c>
      <c r="D2741" s="51">
        <v>0</v>
      </c>
    </row>
    <row r="2742" spans="1:4" ht="15" customHeight="1">
      <c r="A2742" s="50">
        <v>45041</v>
      </c>
      <c r="B2742" s="49" t="s">
        <v>34</v>
      </c>
      <c r="C2742" s="51">
        <v>51982.6</v>
      </c>
      <c r="D2742" s="51">
        <v>0</v>
      </c>
    </row>
    <row r="2743" spans="1:4" ht="15" customHeight="1">
      <c r="A2743" s="50">
        <v>45041</v>
      </c>
      <c r="B2743" s="49" t="s">
        <v>35</v>
      </c>
      <c r="C2743" s="51">
        <v>51332.9</v>
      </c>
      <c r="D2743" s="51">
        <v>0</v>
      </c>
    </row>
    <row r="2744" spans="1:4" ht="15" customHeight="1">
      <c r="A2744" s="50">
        <v>45041</v>
      </c>
      <c r="B2744" s="49" t="s">
        <v>36</v>
      </c>
      <c r="C2744" s="51">
        <v>51312.6</v>
      </c>
      <c r="D2744" s="51">
        <v>0</v>
      </c>
    </row>
    <row r="2745" spans="1:4" ht="15" customHeight="1">
      <c r="A2745" s="50">
        <v>45041</v>
      </c>
      <c r="B2745" s="49" t="s">
        <v>37</v>
      </c>
      <c r="C2745" s="51">
        <v>51452</v>
      </c>
      <c r="D2745" s="51">
        <v>0</v>
      </c>
    </row>
    <row r="2746" spans="1:4" ht="15" customHeight="1">
      <c r="A2746" s="50">
        <v>45041</v>
      </c>
      <c r="B2746" s="49" t="s">
        <v>38</v>
      </c>
      <c r="C2746" s="51">
        <v>51389</v>
      </c>
      <c r="D2746" s="51">
        <v>0</v>
      </c>
    </row>
    <row r="2747" spans="1:4" ht="15" customHeight="1">
      <c r="A2747" s="50">
        <v>45041</v>
      </c>
      <c r="B2747" s="49" t="s">
        <v>39</v>
      </c>
      <c r="C2747" s="51">
        <v>51513.599999999999</v>
      </c>
      <c r="D2747" s="51">
        <v>0</v>
      </c>
    </row>
    <row r="2748" spans="1:4" ht="15" customHeight="1">
      <c r="A2748" s="50">
        <v>45041</v>
      </c>
      <c r="B2748" s="49" t="s">
        <v>40</v>
      </c>
      <c r="C2748" s="51">
        <v>51444</v>
      </c>
      <c r="D2748" s="51">
        <v>0</v>
      </c>
    </row>
    <row r="2749" spans="1:4" ht="15" customHeight="1">
      <c r="A2749" s="50">
        <v>45041</v>
      </c>
      <c r="B2749" s="49" t="s">
        <v>41</v>
      </c>
      <c r="C2749" s="51">
        <v>51352.4</v>
      </c>
      <c r="D2749" s="51">
        <v>0</v>
      </c>
    </row>
    <row r="2750" spans="1:4" ht="15" customHeight="1">
      <c r="A2750" s="50">
        <v>45041</v>
      </c>
      <c r="B2750" s="49" t="s">
        <v>42</v>
      </c>
      <c r="C2750" s="51">
        <v>51481.5</v>
      </c>
      <c r="D2750" s="51">
        <v>0</v>
      </c>
    </row>
    <row r="2751" spans="1:4" ht="15" customHeight="1">
      <c r="A2751" s="50">
        <v>45041</v>
      </c>
      <c r="B2751" s="49" t="s">
        <v>43</v>
      </c>
      <c r="C2751" s="51">
        <v>51455.199999999997</v>
      </c>
      <c r="D2751" s="51">
        <v>0</v>
      </c>
    </row>
    <row r="2752" spans="1:4" ht="15" customHeight="1">
      <c r="A2752" s="50">
        <v>45041</v>
      </c>
      <c r="B2752" s="49" t="s">
        <v>44</v>
      </c>
      <c r="C2752" s="51">
        <v>51333.1</v>
      </c>
      <c r="D2752" s="51">
        <v>0</v>
      </c>
    </row>
    <row r="2753" spans="1:4" ht="15" customHeight="1">
      <c r="A2753" s="50">
        <v>45041</v>
      </c>
      <c r="B2753" s="49" t="s">
        <v>45</v>
      </c>
      <c r="C2753" s="51">
        <v>51285.5</v>
      </c>
      <c r="D2753" s="51">
        <v>0</v>
      </c>
    </row>
    <row r="2754" spans="1:4" ht="15" customHeight="1">
      <c r="A2754" s="50">
        <v>45041</v>
      </c>
      <c r="B2754" s="49" t="s">
        <v>46</v>
      </c>
      <c r="C2754" s="51">
        <v>51335.7</v>
      </c>
      <c r="D2754" s="51">
        <v>0</v>
      </c>
    </row>
    <row r="2755" spans="1:4" ht="15" customHeight="1">
      <c r="A2755" s="50">
        <v>45041</v>
      </c>
      <c r="B2755" s="49" t="s">
        <v>47</v>
      </c>
      <c r="C2755" s="51">
        <v>57206.7</v>
      </c>
      <c r="D2755" s="51">
        <v>0</v>
      </c>
    </row>
    <row r="2756" spans="1:4" ht="15" customHeight="1">
      <c r="A2756" s="50">
        <v>45041</v>
      </c>
      <c r="B2756" s="49" t="s">
        <v>48</v>
      </c>
      <c r="C2756" s="51">
        <v>55005.599999999999</v>
      </c>
      <c r="D2756" s="51">
        <v>0</v>
      </c>
    </row>
    <row r="2757" spans="1:4" ht="15" customHeight="1">
      <c r="A2757" s="50">
        <v>45041</v>
      </c>
      <c r="B2757" s="49" t="s">
        <v>49</v>
      </c>
      <c r="C2757" s="51">
        <v>68279.399999999994</v>
      </c>
      <c r="D2757" s="51">
        <v>0</v>
      </c>
    </row>
    <row r="2758" spans="1:4" ht="15" customHeight="1">
      <c r="A2758" s="50">
        <v>45041</v>
      </c>
      <c r="B2758" s="49" t="s">
        <v>50</v>
      </c>
      <c r="C2758" s="51">
        <v>68851.199999999997</v>
      </c>
      <c r="D2758" s="51">
        <v>0</v>
      </c>
    </row>
    <row r="2759" spans="1:4" ht="15" customHeight="1">
      <c r="A2759" s="50">
        <v>45041</v>
      </c>
      <c r="B2759" s="49" t="s">
        <v>51</v>
      </c>
      <c r="C2759" s="51">
        <v>69814.100000000006</v>
      </c>
      <c r="D2759" s="51">
        <v>0</v>
      </c>
    </row>
    <row r="2760" spans="1:4" ht="15" customHeight="1">
      <c r="A2760" s="50">
        <v>45041</v>
      </c>
      <c r="B2760" s="49" t="s">
        <v>52</v>
      </c>
      <c r="C2760" s="51">
        <v>70005.5</v>
      </c>
      <c r="D2760" s="51">
        <v>0</v>
      </c>
    </row>
    <row r="2761" spans="1:4" ht="15" customHeight="1">
      <c r="A2761" s="50">
        <v>45041</v>
      </c>
      <c r="B2761" s="49" t="s">
        <v>53</v>
      </c>
      <c r="C2761" s="51">
        <v>69489.7</v>
      </c>
      <c r="D2761" s="51">
        <v>0</v>
      </c>
    </row>
    <row r="2762" spans="1:4" ht="15" customHeight="1">
      <c r="A2762" s="50">
        <v>45042</v>
      </c>
      <c r="B2762" s="49" t="s">
        <v>30</v>
      </c>
      <c r="C2762" s="51">
        <v>54310.1</v>
      </c>
      <c r="D2762" s="51">
        <v>0</v>
      </c>
    </row>
    <row r="2763" spans="1:4" ht="15" customHeight="1">
      <c r="A2763" s="50">
        <v>45042</v>
      </c>
      <c r="B2763" s="49" t="s">
        <v>31</v>
      </c>
      <c r="C2763" s="51">
        <v>54381.1</v>
      </c>
      <c r="D2763" s="51">
        <v>0</v>
      </c>
    </row>
    <row r="2764" spans="1:4" ht="15" customHeight="1">
      <c r="A2764" s="50">
        <v>45042</v>
      </c>
      <c r="B2764" s="49" t="s">
        <v>32</v>
      </c>
      <c r="C2764" s="51">
        <v>54351.9</v>
      </c>
      <c r="D2764" s="51">
        <v>0</v>
      </c>
    </row>
    <row r="2765" spans="1:4" ht="15" customHeight="1">
      <c r="A2765" s="50">
        <v>45042</v>
      </c>
      <c r="B2765" s="49" t="s">
        <v>33</v>
      </c>
      <c r="C2765" s="51">
        <v>54342.400000000001</v>
      </c>
      <c r="D2765" s="51">
        <v>0</v>
      </c>
    </row>
    <row r="2766" spans="1:4" ht="15" customHeight="1">
      <c r="A2766" s="50">
        <v>45042</v>
      </c>
      <c r="B2766" s="49" t="s">
        <v>34</v>
      </c>
      <c r="C2766" s="51">
        <v>54370.3</v>
      </c>
      <c r="D2766" s="51">
        <v>0</v>
      </c>
    </row>
    <row r="2767" spans="1:4" ht="15" customHeight="1">
      <c r="A2767" s="50">
        <v>45042</v>
      </c>
      <c r="B2767" s="49" t="s">
        <v>35</v>
      </c>
      <c r="C2767" s="51">
        <v>53235.7</v>
      </c>
      <c r="D2767" s="51">
        <v>0</v>
      </c>
    </row>
    <row r="2768" spans="1:4" ht="15" customHeight="1">
      <c r="A2768" s="50">
        <v>45042</v>
      </c>
      <c r="B2768" s="49" t="s">
        <v>36</v>
      </c>
      <c r="C2768" s="51">
        <v>52349.4</v>
      </c>
      <c r="D2768" s="51">
        <v>0</v>
      </c>
    </row>
    <row r="2769" spans="1:4" ht="15" customHeight="1">
      <c r="A2769" s="50">
        <v>45042</v>
      </c>
      <c r="B2769" s="49" t="s">
        <v>37</v>
      </c>
      <c r="C2769" s="51">
        <v>52522.8</v>
      </c>
      <c r="D2769" s="51">
        <v>0</v>
      </c>
    </row>
    <row r="2770" spans="1:4" ht="15" customHeight="1">
      <c r="A2770" s="50">
        <v>45042</v>
      </c>
      <c r="B2770" s="49" t="s">
        <v>38</v>
      </c>
      <c r="C2770" s="51">
        <v>52529.9</v>
      </c>
      <c r="D2770" s="51">
        <v>0</v>
      </c>
    </row>
    <row r="2771" spans="1:4" ht="15" customHeight="1">
      <c r="A2771" s="50">
        <v>45042</v>
      </c>
      <c r="B2771" s="49" t="s">
        <v>39</v>
      </c>
      <c r="C2771" s="51">
        <v>52157.5</v>
      </c>
      <c r="D2771" s="51">
        <v>0</v>
      </c>
    </row>
    <row r="2772" spans="1:4" ht="15" customHeight="1">
      <c r="A2772" s="50">
        <v>45042</v>
      </c>
      <c r="B2772" s="49" t="s">
        <v>40</v>
      </c>
      <c r="C2772" s="51">
        <v>52239.4</v>
      </c>
      <c r="D2772" s="51">
        <v>0</v>
      </c>
    </row>
    <row r="2773" spans="1:4" ht="15" customHeight="1">
      <c r="A2773" s="50">
        <v>45042</v>
      </c>
      <c r="B2773" s="49" t="s">
        <v>41</v>
      </c>
      <c r="C2773" s="51">
        <v>53493.2</v>
      </c>
      <c r="D2773" s="51">
        <v>0</v>
      </c>
    </row>
    <row r="2774" spans="1:4" ht="15" customHeight="1">
      <c r="A2774" s="50">
        <v>45042</v>
      </c>
      <c r="B2774" s="49" t="s">
        <v>42</v>
      </c>
      <c r="C2774" s="51">
        <v>54189.599999999999</v>
      </c>
      <c r="D2774" s="51">
        <v>0</v>
      </c>
    </row>
    <row r="2775" spans="1:4" ht="15" customHeight="1">
      <c r="A2775" s="50">
        <v>45042</v>
      </c>
      <c r="B2775" s="49" t="s">
        <v>43</v>
      </c>
      <c r="C2775" s="51">
        <v>54735.9</v>
      </c>
      <c r="D2775" s="51">
        <v>0</v>
      </c>
    </row>
    <row r="2776" spans="1:4" ht="15" customHeight="1">
      <c r="A2776" s="50">
        <v>45042</v>
      </c>
      <c r="B2776" s="49" t="s">
        <v>44</v>
      </c>
      <c r="C2776" s="51">
        <v>54662.2</v>
      </c>
      <c r="D2776" s="51">
        <v>0</v>
      </c>
    </row>
    <row r="2777" spans="1:4" ht="15" customHeight="1">
      <c r="A2777" s="50">
        <v>45042</v>
      </c>
      <c r="B2777" s="49" t="s">
        <v>45</v>
      </c>
      <c r="C2777" s="51">
        <v>54610.3</v>
      </c>
      <c r="D2777" s="51">
        <v>0</v>
      </c>
    </row>
    <row r="2778" spans="1:4" ht="15" customHeight="1">
      <c r="A2778" s="50">
        <v>45042</v>
      </c>
      <c r="B2778" s="49" t="s">
        <v>46</v>
      </c>
      <c r="C2778" s="51">
        <v>54509.1</v>
      </c>
      <c r="D2778" s="51">
        <v>0</v>
      </c>
    </row>
    <row r="2779" spans="1:4" ht="15" customHeight="1">
      <c r="A2779" s="50">
        <v>45042</v>
      </c>
      <c r="B2779" s="49" t="s">
        <v>47</v>
      </c>
      <c r="C2779" s="51">
        <v>54690.6</v>
      </c>
      <c r="D2779" s="51">
        <v>0</v>
      </c>
    </row>
    <row r="2780" spans="1:4" ht="15" customHeight="1">
      <c r="A2780" s="50">
        <v>45042</v>
      </c>
      <c r="B2780" s="49" t="s">
        <v>48</v>
      </c>
      <c r="C2780" s="51">
        <v>56060.9</v>
      </c>
      <c r="D2780" s="51">
        <v>0</v>
      </c>
    </row>
    <row r="2781" spans="1:4" ht="15" customHeight="1">
      <c r="A2781" s="50">
        <v>45042</v>
      </c>
      <c r="B2781" s="49" t="s">
        <v>49</v>
      </c>
      <c r="C2781" s="51">
        <v>65551.899999999994</v>
      </c>
      <c r="D2781" s="51">
        <v>0</v>
      </c>
    </row>
    <row r="2782" spans="1:4" ht="15" customHeight="1">
      <c r="A2782" s="50">
        <v>45042</v>
      </c>
      <c r="B2782" s="49" t="s">
        <v>50</v>
      </c>
      <c r="C2782" s="51">
        <v>67545.600000000006</v>
      </c>
      <c r="D2782" s="51">
        <v>0</v>
      </c>
    </row>
    <row r="2783" spans="1:4" ht="15" customHeight="1">
      <c r="A2783" s="50">
        <v>45042</v>
      </c>
      <c r="B2783" s="49" t="s">
        <v>51</v>
      </c>
      <c r="C2783" s="51">
        <v>65536.3</v>
      </c>
      <c r="D2783" s="51">
        <v>0</v>
      </c>
    </row>
    <row r="2784" spans="1:4" ht="15" customHeight="1">
      <c r="A2784" s="50">
        <v>45042</v>
      </c>
      <c r="B2784" s="49" t="s">
        <v>52</v>
      </c>
      <c r="C2784" s="51">
        <v>66728.3</v>
      </c>
      <c r="D2784" s="51">
        <v>0</v>
      </c>
    </row>
    <row r="2785" spans="1:4" ht="15" customHeight="1">
      <c r="A2785" s="50">
        <v>45042</v>
      </c>
      <c r="B2785" s="49" t="s">
        <v>53</v>
      </c>
      <c r="C2785" s="51">
        <v>66653.100000000006</v>
      </c>
      <c r="D2785" s="51">
        <v>0</v>
      </c>
    </row>
    <row r="2786" spans="1:4" ht="15" customHeight="1">
      <c r="A2786" s="50">
        <v>45043</v>
      </c>
      <c r="B2786" s="49" t="s">
        <v>30</v>
      </c>
      <c r="C2786" s="51">
        <v>56931.199999999997</v>
      </c>
      <c r="D2786" s="51">
        <v>0</v>
      </c>
    </row>
    <row r="2787" spans="1:4" ht="15" customHeight="1">
      <c r="A2787" s="50">
        <v>45043</v>
      </c>
      <c r="B2787" s="49" t="s">
        <v>31</v>
      </c>
      <c r="C2787" s="51">
        <v>44847</v>
      </c>
      <c r="D2787" s="51">
        <v>0</v>
      </c>
    </row>
    <row r="2788" spans="1:4" ht="15" customHeight="1">
      <c r="A2788" s="50">
        <v>45043</v>
      </c>
      <c r="B2788" s="49" t="s">
        <v>32</v>
      </c>
      <c r="C2788" s="51">
        <v>44471.7</v>
      </c>
      <c r="D2788" s="51">
        <v>0</v>
      </c>
    </row>
    <row r="2789" spans="1:4" ht="15" customHeight="1">
      <c r="A2789" s="50">
        <v>45043</v>
      </c>
      <c r="B2789" s="49" t="s">
        <v>33</v>
      </c>
      <c r="C2789" s="51">
        <v>44499.199999999997</v>
      </c>
      <c r="D2789" s="51">
        <v>0</v>
      </c>
    </row>
    <row r="2790" spans="1:4" ht="15" customHeight="1">
      <c r="A2790" s="50">
        <v>45043</v>
      </c>
      <c r="B2790" s="49" t="s">
        <v>34</v>
      </c>
      <c r="C2790" s="51">
        <v>44702.9</v>
      </c>
      <c r="D2790" s="51">
        <v>0</v>
      </c>
    </row>
    <row r="2791" spans="1:4" ht="15" customHeight="1">
      <c r="A2791" s="50">
        <v>45043</v>
      </c>
      <c r="B2791" s="49" t="s">
        <v>35</v>
      </c>
      <c r="C2791" s="51">
        <v>44247.8</v>
      </c>
      <c r="D2791" s="51">
        <v>0</v>
      </c>
    </row>
    <row r="2792" spans="1:4" ht="15" customHeight="1">
      <c r="A2792" s="50">
        <v>45043</v>
      </c>
      <c r="B2792" s="49" t="s">
        <v>36</v>
      </c>
      <c r="C2792" s="51">
        <v>44110</v>
      </c>
      <c r="D2792" s="51">
        <v>0</v>
      </c>
    </row>
    <row r="2793" spans="1:4" ht="15" customHeight="1">
      <c r="A2793" s="50">
        <v>45043</v>
      </c>
      <c r="B2793" s="49" t="s">
        <v>37</v>
      </c>
      <c r="C2793" s="51">
        <v>44144.5</v>
      </c>
      <c r="D2793" s="51">
        <v>0</v>
      </c>
    </row>
    <row r="2794" spans="1:4" ht="15" customHeight="1">
      <c r="A2794" s="50">
        <v>45043</v>
      </c>
      <c r="B2794" s="49" t="s">
        <v>38</v>
      </c>
      <c r="C2794" s="51">
        <v>45068.800000000003</v>
      </c>
      <c r="D2794" s="51">
        <v>0</v>
      </c>
    </row>
    <row r="2795" spans="1:4" ht="15" customHeight="1">
      <c r="A2795" s="50">
        <v>45043</v>
      </c>
      <c r="B2795" s="49" t="s">
        <v>39</v>
      </c>
      <c r="C2795" s="51">
        <v>44894.5</v>
      </c>
      <c r="D2795" s="51">
        <v>0</v>
      </c>
    </row>
    <row r="2796" spans="1:4" ht="15" customHeight="1">
      <c r="A2796" s="50">
        <v>45043</v>
      </c>
      <c r="B2796" s="49" t="s">
        <v>40</v>
      </c>
      <c r="C2796" s="51">
        <v>45110.9</v>
      </c>
      <c r="D2796" s="51">
        <v>0</v>
      </c>
    </row>
    <row r="2797" spans="1:4" ht="15" customHeight="1">
      <c r="A2797" s="50">
        <v>45043</v>
      </c>
      <c r="B2797" s="49" t="s">
        <v>41</v>
      </c>
      <c r="C2797" s="51">
        <v>45205.4</v>
      </c>
      <c r="D2797" s="51">
        <v>0</v>
      </c>
    </row>
    <row r="2798" spans="1:4" ht="15" customHeight="1">
      <c r="A2798" s="50">
        <v>45043</v>
      </c>
      <c r="B2798" s="49" t="s">
        <v>42</v>
      </c>
      <c r="C2798" s="51">
        <v>45544.3</v>
      </c>
      <c r="D2798" s="51">
        <v>0</v>
      </c>
    </row>
    <row r="2799" spans="1:4" ht="15" customHeight="1">
      <c r="A2799" s="50">
        <v>45043</v>
      </c>
      <c r="B2799" s="49" t="s">
        <v>43</v>
      </c>
      <c r="C2799" s="51">
        <v>45414.2</v>
      </c>
      <c r="D2799" s="51">
        <v>0</v>
      </c>
    </row>
    <row r="2800" spans="1:4" ht="15" customHeight="1">
      <c r="A2800" s="50">
        <v>45043</v>
      </c>
      <c r="B2800" s="49" t="s">
        <v>44</v>
      </c>
      <c r="C2800" s="51">
        <v>45359.199999999997</v>
      </c>
      <c r="D2800" s="51">
        <v>0</v>
      </c>
    </row>
    <row r="2801" spans="1:4" ht="15" customHeight="1">
      <c r="A2801" s="50">
        <v>45043</v>
      </c>
      <c r="B2801" s="49" t="s">
        <v>45</v>
      </c>
      <c r="C2801" s="51">
        <v>45309.599999999999</v>
      </c>
      <c r="D2801" s="51">
        <v>0</v>
      </c>
    </row>
    <row r="2802" spans="1:4" ht="15" customHeight="1">
      <c r="A2802" s="50">
        <v>45043</v>
      </c>
      <c r="B2802" s="49" t="s">
        <v>46</v>
      </c>
      <c r="C2802" s="51">
        <v>45102.8</v>
      </c>
      <c r="D2802" s="51">
        <v>0</v>
      </c>
    </row>
    <row r="2803" spans="1:4" ht="15" customHeight="1">
      <c r="A2803" s="50">
        <v>45043</v>
      </c>
      <c r="B2803" s="49" t="s">
        <v>47</v>
      </c>
      <c r="C2803" s="51">
        <v>56173.3</v>
      </c>
      <c r="D2803" s="51">
        <v>0</v>
      </c>
    </row>
    <row r="2804" spans="1:4" ht="15" customHeight="1">
      <c r="A2804" s="50">
        <v>45043</v>
      </c>
      <c r="B2804" s="49" t="s">
        <v>48</v>
      </c>
      <c r="C2804" s="51">
        <v>45744.9</v>
      </c>
      <c r="D2804" s="51">
        <v>0</v>
      </c>
    </row>
    <row r="2805" spans="1:4" ht="15" customHeight="1">
      <c r="A2805" s="50">
        <v>45043</v>
      </c>
      <c r="B2805" s="49" t="s">
        <v>49</v>
      </c>
      <c r="C2805" s="51">
        <v>56137.4</v>
      </c>
      <c r="D2805" s="51">
        <v>0</v>
      </c>
    </row>
    <row r="2806" spans="1:4" ht="15" customHeight="1">
      <c r="A2806" s="50">
        <v>45043</v>
      </c>
      <c r="B2806" s="49" t="s">
        <v>50</v>
      </c>
      <c r="C2806" s="51">
        <v>58029.5</v>
      </c>
      <c r="D2806" s="51">
        <v>0</v>
      </c>
    </row>
    <row r="2807" spans="1:4" ht="15" customHeight="1">
      <c r="A2807" s="50">
        <v>45043</v>
      </c>
      <c r="B2807" s="49" t="s">
        <v>51</v>
      </c>
      <c r="C2807" s="51">
        <v>57704.2</v>
      </c>
      <c r="D2807" s="51">
        <v>0</v>
      </c>
    </row>
    <row r="2808" spans="1:4" ht="15" customHeight="1">
      <c r="A2808" s="50">
        <v>45043</v>
      </c>
      <c r="B2808" s="49" t="s">
        <v>52</v>
      </c>
      <c r="C2808" s="51">
        <v>57903.9</v>
      </c>
      <c r="D2808" s="51">
        <v>0</v>
      </c>
    </row>
    <row r="2809" spans="1:4" ht="15" customHeight="1">
      <c r="A2809" s="50">
        <v>45043</v>
      </c>
      <c r="B2809" s="49" t="s">
        <v>53</v>
      </c>
      <c r="C2809" s="51">
        <v>57771.4</v>
      </c>
      <c r="D2809" s="51">
        <v>0</v>
      </c>
    </row>
    <row r="2810" spans="1:4" ht="15" customHeight="1">
      <c r="A2810" s="50">
        <v>45044</v>
      </c>
      <c r="B2810" s="49" t="s">
        <v>30</v>
      </c>
      <c r="C2810" s="51">
        <v>57720.6</v>
      </c>
      <c r="D2810" s="51">
        <v>0</v>
      </c>
    </row>
    <row r="2811" spans="1:4" ht="15" customHeight="1">
      <c r="A2811" s="50">
        <v>45044</v>
      </c>
      <c r="B2811" s="49" t="s">
        <v>31</v>
      </c>
      <c r="C2811" s="51">
        <v>53198.5</v>
      </c>
      <c r="D2811" s="51">
        <v>0</v>
      </c>
    </row>
    <row r="2812" spans="1:4" ht="15" customHeight="1">
      <c r="A2812" s="50">
        <v>45044</v>
      </c>
      <c r="B2812" s="49" t="s">
        <v>32</v>
      </c>
      <c r="C2812" s="51">
        <v>53726.400000000001</v>
      </c>
      <c r="D2812" s="51">
        <v>0</v>
      </c>
    </row>
    <row r="2813" spans="1:4" ht="15" customHeight="1">
      <c r="A2813" s="50">
        <v>45044</v>
      </c>
      <c r="B2813" s="49" t="s">
        <v>33</v>
      </c>
      <c r="C2813" s="51">
        <v>53594</v>
      </c>
      <c r="D2813" s="51">
        <v>0</v>
      </c>
    </row>
    <row r="2814" spans="1:4" ht="15" customHeight="1">
      <c r="A2814" s="50">
        <v>45044</v>
      </c>
      <c r="B2814" s="49" t="s">
        <v>34</v>
      </c>
      <c r="C2814" s="51">
        <v>53537.8</v>
      </c>
      <c r="D2814" s="51">
        <v>0</v>
      </c>
    </row>
    <row r="2815" spans="1:4" ht="15" customHeight="1">
      <c r="A2815" s="50">
        <v>45044</v>
      </c>
      <c r="B2815" s="49" t="s">
        <v>35</v>
      </c>
      <c r="C2815" s="51">
        <v>54176.1</v>
      </c>
      <c r="D2815" s="51">
        <v>0</v>
      </c>
    </row>
    <row r="2816" spans="1:4" ht="15" customHeight="1">
      <c r="A2816" s="50">
        <v>45044</v>
      </c>
      <c r="B2816" s="49" t="s">
        <v>36</v>
      </c>
      <c r="C2816" s="51">
        <v>54427.199999999997</v>
      </c>
      <c r="D2816" s="51">
        <v>0</v>
      </c>
    </row>
    <row r="2817" spans="1:4" ht="15" customHeight="1">
      <c r="A2817" s="50">
        <v>45044</v>
      </c>
      <c r="B2817" s="49" t="s">
        <v>37</v>
      </c>
      <c r="C2817" s="51">
        <v>54496.3</v>
      </c>
      <c r="D2817" s="51">
        <v>0</v>
      </c>
    </row>
    <row r="2818" spans="1:4" ht="15" customHeight="1">
      <c r="A2818" s="50">
        <v>45044</v>
      </c>
      <c r="B2818" s="49" t="s">
        <v>38</v>
      </c>
      <c r="C2818" s="51">
        <v>53494.7</v>
      </c>
      <c r="D2818" s="51">
        <v>0</v>
      </c>
    </row>
    <row r="2819" spans="1:4" ht="15" customHeight="1">
      <c r="A2819" s="50">
        <v>45044</v>
      </c>
      <c r="B2819" s="49" t="s">
        <v>39</v>
      </c>
      <c r="C2819" s="51">
        <v>52917</v>
      </c>
      <c r="D2819" s="51">
        <v>0</v>
      </c>
    </row>
    <row r="2820" spans="1:4" ht="15" customHeight="1">
      <c r="A2820" s="50">
        <v>45044</v>
      </c>
      <c r="B2820" s="49" t="s">
        <v>40</v>
      </c>
      <c r="C2820" s="51">
        <v>54081.9</v>
      </c>
      <c r="D2820" s="51">
        <v>0</v>
      </c>
    </row>
    <row r="2821" spans="1:4" ht="15" customHeight="1">
      <c r="A2821" s="50">
        <v>45044</v>
      </c>
      <c r="B2821" s="49" t="s">
        <v>41</v>
      </c>
      <c r="C2821" s="51">
        <v>55038.7</v>
      </c>
      <c r="D2821" s="51">
        <v>0</v>
      </c>
    </row>
    <row r="2822" spans="1:4" ht="15" customHeight="1">
      <c r="A2822" s="50">
        <v>45044</v>
      </c>
      <c r="B2822" s="49" t="s">
        <v>42</v>
      </c>
      <c r="C2822" s="51">
        <v>54855.5</v>
      </c>
      <c r="D2822" s="51">
        <v>0</v>
      </c>
    </row>
    <row r="2823" spans="1:4" ht="15" customHeight="1">
      <c r="A2823" s="50">
        <v>45044</v>
      </c>
      <c r="B2823" s="49" t="s">
        <v>43</v>
      </c>
      <c r="C2823" s="51">
        <v>54677.3</v>
      </c>
      <c r="D2823" s="51">
        <v>0</v>
      </c>
    </row>
    <row r="2824" spans="1:4" ht="15" customHeight="1">
      <c r="A2824" s="50">
        <v>45044</v>
      </c>
      <c r="B2824" s="49" t="s">
        <v>44</v>
      </c>
      <c r="C2824" s="51">
        <v>54197.3</v>
      </c>
      <c r="D2824" s="51">
        <v>0</v>
      </c>
    </row>
    <row r="2825" spans="1:4" ht="15" customHeight="1">
      <c r="A2825" s="50">
        <v>45044</v>
      </c>
      <c r="B2825" s="49" t="s">
        <v>45</v>
      </c>
      <c r="C2825" s="51">
        <v>54285.7</v>
      </c>
      <c r="D2825" s="51">
        <v>0</v>
      </c>
    </row>
    <row r="2826" spans="1:4" ht="15" customHeight="1">
      <c r="A2826" s="50">
        <v>45044</v>
      </c>
      <c r="B2826" s="49" t="s">
        <v>46</v>
      </c>
      <c r="C2826" s="51">
        <v>53542.1</v>
      </c>
      <c r="D2826" s="51">
        <v>0</v>
      </c>
    </row>
    <row r="2827" spans="1:4" ht="15" customHeight="1">
      <c r="A2827" s="50">
        <v>45044</v>
      </c>
      <c r="B2827" s="49" t="s">
        <v>47</v>
      </c>
      <c r="C2827" s="51">
        <v>53411.4</v>
      </c>
      <c r="D2827" s="51">
        <v>0</v>
      </c>
    </row>
    <row r="2828" spans="1:4" ht="15" customHeight="1">
      <c r="A2828" s="50">
        <v>45044</v>
      </c>
      <c r="B2828" s="49" t="s">
        <v>48</v>
      </c>
      <c r="C2828" s="51">
        <v>54585.1</v>
      </c>
      <c r="D2828" s="51">
        <v>0</v>
      </c>
    </row>
    <row r="2829" spans="1:4" ht="15" customHeight="1">
      <c r="A2829" s="50">
        <v>45044</v>
      </c>
      <c r="B2829" s="49" t="s">
        <v>49</v>
      </c>
      <c r="C2829" s="51">
        <v>53854.9</v>
      </c>
      <c r="D2829" s="51">
        <v>0</v>
      </c>
    </row>
    <row r="2830" spans="1:4" ht="15" customHeight="1">
      <c r="A2830" s="50">
        <v>45044</v>
      </c>
      <c r="B2830" s="49" t="s">
        <v>50</v>
      </c>
      <c r="C2830" s="51">
        <v>66003.199999999997</v>
      </c>
      <c r="D2830" s="51">
        <v>0</v>
      </c>
    </row>
    <row r="2831" spans="1:4" ht="15" customHeight="1">
      <c r="A2831" s="50">
        <v>45044</v>
      </c>
      <c r="B2831" s="49" t="s">
        <v>51</v>
      </c>
      <c r="C2831" s="51">
        <v>68464.7</v>
      </c>
      <c r="D2831" s="51">
        <v>0</v>
      </c>
    </row>
    <row r="2832" spans="1:4" ht="15" customHeight="1">
      <c r="A2832" s="50">
        <v>45044</v>
      </c>
      <c r="B2832" s="49" t="s">
        <v>52</v>
      </c>
      <c r="C2832" s="51">
        <v>67720</v>
      </c>
      <c r="D2832" s="51">
        <v>0</v>
      </c>
    </row>
    <row r="2833" spans="1:4" ht="15" customHeight="1">
      <c r="A2833" s="50">
        <v>45044</v>
      </c>
      <c r="B2833" s="49" t="s">
        <v>53</v>
      </c>
      <c r="C2833" s="51">
        <v>67147.600000000006</v>
      </c>
      <c r="D2833" s="51">
        <v>0</v>
      </c>
    </row>
    <row r="2834" spans="1:4" ht="15" customHeight="1">
      <c r="A2834" s="50">
        <v>45045</v>
      </c>
      <c r="B2834" s="49" t="s">
        <v>30</v>
      </c>
      <c r="C2834" s="51">
        <v>57881.5</v>
      </c>
      <c r="D2834" s="51">
        <v>0</v>
      </c>
    </row>
    <row r="2835" spans="1:4" ht="15" customHeight="1">
      <c r="A2835" s="50">
        <v>45045</v>
      </c>
      <c r="B2835" s="49" t="s">
        <v>31</v>
      </c>
      <c r="C2835" s="51">
        <v>54748.1</v>
      </c>
      <c r="D2835" s="51">
        <v>0</v>
      </c>
    </row>
    <row r="2836" spans="1:4" ht="15" customHeight="1">
      <c r="A2836" s="50">
        <v>45045</v>
      </c>
      <c r="B2836" s="49" t="s">
        <v>32</v>
      </c>
      <c r="C2836" s="51">
        <v>54585</v>
      </c>
      <c r="D2836" s="51">
        <v>0</v>
      </c>
    </row>
    <row r="2837" spans="1:4" ht="15" customHeight="1">
      <c r="A2837" s="50">
        <v>45045</v>
      </c>
      <c r="B2837" s="49" t="s">
        <v>33</v>
      </c>
      <c r="C2837" s="51">
        <v>54607.4</v>
      </c>
      <c r="D2837" s="51">
        <v>0</v>
      </c>
    </row>
    <row r="2838" spans="1:4" ht="15" customHeight="1">
      <c r="A2838" s="50">
        <v>45045</v>
      </c>
      <c r="B2838" s="49" t="s">
        <v>34</v>
      </c>
      <c r="C2838" s="51">
        <v>54636.800000000003</v>
      </c>
      <c r="D2838" s="51">
        <v>0</v>
      </c>
    </row>
    <row r="2839" spans="1:4" ht="15" customHeight="1">
      <c r="A2839" s="50">
        <v>45045</v>
      </c>
      <c r="B2839" s="49" t="s">
        <v>35</v>
      </c>
      <c r="C2839" s="51">
        <v>54366.8</v>
      </c>
      <c r="D2839" s="51">
        <v>0</v>
      </c>
    </row>
    <row r="2840" spans="1:4" ht="15" customHeight="1">
      <c r="A2840" s="50">
        <v>45045</v>
      </c>
      <c r="B2840" s="49" t="s">
        <v>36</v>
      </c>
      <c r="C2840" s="51">
        <v>54201.5</v>
      </c>
      <c r="D2840" s="51">
        <v>0</v>
      </c>
    </row>
    <row r="2841" spans="1:4" ht="15" customHeight="1">
      <c r="A2841" s="50">
        <v>45045</v>
      </c>
      <c r="B2841" s="49" t="s">
        <v>37</v>
      </c>
      <c r="C2841" s="51">
        <v>54431.4</v>
      </c>
      <c r="D2841" s="51">
        <v>0</v>
      </c>
    </row>
    <row r="2842" spans="1:4" ht="15" customHeight="1">
      <c r="A2842" s="50">
        <v>45045</v>
      </c>
      <c r="B2842" s="49" t="s">
        <v>38</v>
      </c>
      <c r="C2842" s="51">
        <v>54333.5</v>
      </c>
      <c r="D2842" s="51">
        <v>0</v>
      </c>
    </row>
    <row r="2843" spans="1:4" ht="15" customHeight="1">
      <c r="A2843" s="50">
        <v>45045</v>
      </c>
      <c r="B2843" s="49" t="s">
        <v>39</v>
      </c>
      <c r="C2843" s="51">
        <v>54359.6</v>
      </c>
      <c r="D2843" s="51">
        <v>0</v>
      </c>
    </row>
    <row r="2844" spans="1:4" ht="15" customHeight="1">
      <c r="A2844" s="50">
        <v>45045</v>
      </c>
      <c r="B2844" s="49" t="s">
        <v>40</v>
      </c>
      <c r="C2844" s="51">
        <v>54374.2</v>
      </c>
      <c r="D2844" s="51">
        <v>0</v>
      </c>
    </row>
    <row r="2845" spans="1:4" ht="15" customHeight="1">
      <c r="A2845" s="50">
        <v>45045</v>
      </c>
      <c r="B2845" s="49" t="s">
        <v>41</v>
      </c>
      <c r="C2845" s="51">
        <v>54372.5</v>
      </c>
      <c r="D2845" s="51">
        <v>0</v>
      </c>
    </row>
    <row r="2846" spans="1:4" ht="15" customHeight="1">
      <c r="A2846" s="50">
        <v>45045</v>
      </c>
      <c r="B2846" s="49" t="s">
        <v>42</v>
      </c>
      <c r="C2846" s="51">
        <v>54254.2</v>
      </c>
      <c r="D2846" s="51">
        <v>0</v>
      </c>
    </row>
    <row r="2847" spans="1:4" ht="15" customHeight="1">
      <c r="A2847" s="50">
        <v>45045</v>
      </c>
      <c r="B2847" s="49" t="s">
        <v>43</v>
      </c>
      <c r="C2847" s="51">
        <v>54464.6</v>
      </c>
      <c r="D2847" s="51">
        <v>0</v>
      </c>
    </row>
    <row r="2848" spans="1:4" ht="15" customHeight="1">
      <c r="A2848" s="50">
        <v>45045</v>
      </c>
      <c r="B2848" s="49" t="s">
        <v>44</v>
      </c>
      <c r="C2848" s="51">
        <v>54399.6</v>
      </c>
      <c r="D2848" s="51">
        <v>0</v>
      </c>
    </row>
    <row r="2849" spans="1:4" ht="15" customHeight="1">
      <c r="A2849" s="50">
        <v>45045</v>
      </c>
      <c r="B2849" s="49" t="s">
        <v>45</v>
      </c>
      <c r="C2849" s="51">
        <v>54689.9</v>
      </c>
      <c r="D2849" s="51">
        <v>0</v>
      </c>
    </row>
    <row r="2850" spans="1:4" ht="15" customHeight="1">
      <c r="A2850" s="50">
        <v>45045</v>
      </c>
      <c r="B2850" s="49" t="s">
        <v>46</v>
      </c>
      <c r="C2850" s="51">
        <v>52645.7</v>
      </c>
      <c r="D2850" s="51">
        <v>0</v>
      </c>
    </row>
    <row r="2851" spans="1:4" ht="15" customHeight="1">
      <c r="A2851" s="50">
        <v>45045</v>
      </c>
      <c r="B2851" s="49" t="s">
        <v>47</v>
      </c>
      <c r="C2851" s="51">
        <v>55161.4</v>
      </c>
      <c r="D2851" s="51">
        <v>0</v>
      </c>
    </row>
    <row r="2852" spans="1:4" ht="15" customHeight="1">
      <c r="A2852" s="50">
        <v>45045</v>
      </c>
      <c r="B2852" s="49" t="s">
        <v>48</v>
      </c>
      <c r="C2852" s="51">
        <v>54649.599999999999</v>
      </c>
      <c r="D2852" s="51">
        <v>0</v>
      </c>
    </row>
    <row r="2853" spans="1:4" ht="15" customHeight="1">
      <c r="A2853" s="50">
        <v>45045</v>
      </c>
      <c r="B2853" s="49" t="s">
        <v>49</v>
      </c>
      <c r="C2853" s="51">
        <v>55515.8</v>
      </c>
      <c r="D2853" s="51">
        <v>0</v>
      </c>
    </row>
    <row r="2854" spans="1:4" ht="15" customHeight="1">
      <c r="A2854" s="50">
        <v>45045</v>
      </c>
      <c r="B2854" s="49" t="s">
        <v>50</v>
      </c>
      <c r="C2854" s="51">
        <v>55118.6</v>
      </c>
      <c r="D2854" s="51">
        <v>0</v>
      </c>
    </row>
    <row r="2855" spans="1:4" ht="15" customHeight="1">
      <c r="A2855" s="50">
        <v>45045</v>
      </c>
      <c r="B2855" s="49" t="s">
        <v>51</v>
      </c>
      <c r="C2855" s="51">
        <v>66782.7</v>
      </c>
      <c r="D2855" s="51">
        <v>0</v>
      </c>
    </row>
    <row r="2856" spans="1:4" ht="15" customHeight="1">
      <c r="A2856" s="50">
        <v>45045</v>
      </c>
      <c r="B2856" s="49" t="s">
        <v>52</v>
      </c>
      <c r="C2856" s="51">
        <v>53379.7</v>
      </c>
      <c r="D2856" s="51">
        <v>0</v>
      </c>
    </row>
    <row r="2857" spans="1:4" ht="15" customHeight="1">
      <c r="A2857" s="50">
        <v>45045</v>
      </c>
      <c r="B2857" s="49" t="s">
        <v>53</v>
      </c>
      <c r="C2857" s="51">
        <v>52423</v>
      </c>
      <c r="D2857" s="51">
        <v>0</v>
      </c>
    </row>
    <row r="2858" spans="1:4" ht="15" customHeight="1">
      <c r="A2858" s="50">
        <v>45046</v>
      </c>
      <c r="B2858" s="49" t="s">
        <v>30</v>
      </c>
      <c r="C2858" s="51">
        <v>52097.4</v>
      </c>
      <c r="D2858" s="51">
        <v>0</v>
      </c>
    </row>
    <row r="2859" spans="1:4" ht="15" customHeight="1">
      <c r="A2859" s="50">
        <v>45046</v>
      </c>
      <c r="B2859" s="49" t="s">
        <v>31</v>
      </c>
      <c r="C2859" s="51">
        <v>53595</v>
      </c>
      <c r="D2859" s="51">
        <v>0</v>
      </c>
    </row>
    <row r="2860" spans="1:4" ht="15" customHeight="1">
      <c r="A2860" s="50">
        <v>45046</v>
      </c>
      <c r="B2860" s="49" t="s">
        <v>32</v>
      </c>
      <c r="C2860" s="51">
        <v>54392.7</v>
      </c>
      <c r="D2860" s="51">
        <v>0</v>
      </c>
    </row>
    <row r="2861" spans="1:4" ht="15" customHeight="1">
      <c r="A2861" s="50">
        <v>45046</v>
      </c>
      <c r="B2861" s="49" t="s">
        <v>33</v>
      </c>
      <c r="C2861" s="51">
        <v>54512.2</v>
      </c>
      <c r="D2861" s="51">
        <v>0</v>
      </c>
    </row>
    <row r="2862" spans="1:4" ht="15" customHeight="1">
      <c r="A2862" s="50">
        <v>45046</v>
      </c>
      <c r="B2862" s="49" t="s">
        <v>34</v>
      </c>
      <c r="C2862" s="51">
        <v>54165</v>
      </c>
      <c r="D2862" s="51">
        <v>0</v>
      </c>
    </row>
    <row r="2863" spans="1:4" ht="15" customHeight="1">
      <c r="A2863" s="50">
        <v>45046</v>
      </c>
      <c r="B2863" s="49" t="s">
        <v>35</v>
      </c>
      <c r="C2863" s="51">
        <v>52787.199999999997</v>
      </c>
      <c r="D2863" s="51">
        <v>0</v>
      </c>
    </row>
    <row r="2864" spans="1:4" ht="15" customHeight="1">
      <c r="A2864" s="50">
        <v>45046</v>
      </c>
      <c r="B2864" s="49" t="s">
        <v>36</v>
      </c>
      <c r="C2864" s="51">
        <v>52670.3</v>
      </c>
      <c r="D2864" s="51">
        <v>0</v>
      </c>
    </row>
    <row r="2865" spans="1:4" ht="15" customHeight="1">
      <c r="A2865" s="50">
        <v>45046</v>
      </c>
      <c r="B2865" s="49" t="s">
        <v>37</v>
      </c>
      <c r="C2865" s="51">
        <v>53494.6</v>
      </c>
      <c r="D2865" s="51">
        <v>0</v>
      </c>
    </row>
    <row r="2866" spans="1:4" ht="15" customHeight="1">
      <c r="A2866" s="50">
        <v>45046</v>
      </c>
      <c r="B2866" s="49" t="s">
        <v>38</v>
      </c>
      <c r="C2866" s="51">
        <v>53724.3</v>
      </c>
      <c r="D2866" s="51">
        <v>0</v>
      </c>
    </row>
    <row r="2867" spans="1:4" ht="15" customHeight="1">
      <c r="A2867" s="50">
        <v>45046</v>
      </c>
      <c r="B2867" s="49" t="s">
        <v>39</v>
      </c>
      <c r="C2867" s="51">
        <v>54207.9</v>
      </c>
      <c r="D2867" s="51">
        <v>0</v>
      </c>
    </row>
    <row r="2868" spans="1:4" ht="15" customHeight="1">
      <c r="A2868" s="50">
        <v>45046</v>
      </c>
      <c r="B2868" s="49" t="s">
        <v>40</v>
      </c>
      <c r="C2868" s="51">
        <v>53742.9</v>
      </c>
      <c r="D2868" s="51">
        <v>0</v>
      </c>
    </row>
    <row r="2869" spans="1:4" ht="15" customHeight="1">
      <c r="A2869" s="50">
        <v>45046</v>
      </c>
      <c r="B2869" s="49" t="s">
        <v>41</v>
      </c>
      <c r="C2869" s="51">
        <v>53882.5</v>
      </c>
      <c r="D2869" s="51">
        <v>0</v>
      </c>
    </row>
    <row r="2870" spans="1:4" ht="15" customHeight="1">
      <c r="A2870" s="50">
        <v>45046</v>
      </c>
      <c r="B2870" s="49" t="s">
        <v>42</v>
      </c>
      <c r="C2870" s="51">
        <v>53794.400000000001</v>
      </c>
      <c r="D2870" s="51">
        <v>0</v>
      </c>
    </row>
    <row r="2871" spans="1:4" ht="15" customHeight="1">
      <c r="A2871" s="50">
        <v>45046</v>
      </c>
      <c r="B2871" s="49" t="s">
        <v>43</v>
      </c>
      <c r="C2871" s="51">
        <v>53671.4</v>
      </c>
      <c r="D2871" s="51">
        <v>0</v>
      </c>
    </row>
    <row r="2872" spans="1:4" ht="15" customHeight="1">
      <c r="A2872" s="50">
        <v>45046</v>
      </c>
      <c r="B2872" s="49" t="s">
        <v>44</v>
      </c>
      <c r="C2872" s="51">
        <v>53745.2</v>
      </c>
      <c r="D2872" s="51">
        <v>0</v>
      </c>
    </row>
    <row r="2873" spans="1:4" ht="15" customHeight="1">
      <c r="A2873" s="50">
        <v>45046</v>
      </c>
      <c r="B2873" s="49" t="s">
        <v>45</v>
      </c>
      <c r="C2873" s="51">
        <v>53860.1</v>
      </c>
      <c r="D2873" s="51">
        <v>0</v>
      </c>
    </row>
    <row r="2874" spans="1:4" ht="15" customHeight="1">
      <c r="A2874" s="50">
        <v>45046</v>
      </c>
      <c r="B2874" s="49" t="s">
        <v>46</v>
      </c>
      <c r="C2874" s="51">
        <v>53841</v>
      </c>
      <c r="D2874" s="51">
        <v>0</v>
      </c>
    </row>
    <row r="2875" spans="1:4" ht="15" customHeight="1">
      <c r="A2875" s="50">
        <v>45046</v>
      </c>
      <c r="B2875" s="49" t="s">
        <v>47</v>
      </c>
      <c r="C2875" s="51">
        <v>53626.2</v>
      </c>
      <c r="D2875" s="51">
        <v>0</v>
      </c>
    </row>
    <row r="2876" spans="1:4" ht="15" customHeight="1">
      <c r="A2876" s="50">
        <v>45046</v>
      </c>
      <c r="B2876" s="49" t="s">
        <v>48</v>
      </c>
      <c r="C2876" s="51">
        <v>54799.6</v>
      </c>
      <c r="D2876" s="51">
        <v>0</v>
      </c>
    </row>
    <row r="2877" spans="1:4" ht="15" customHeight="1">
      <c r="A2877" s="50">
        <v>45046</v>
      </c>
      <c r="B2877" s="49" t="s">
        <v>49</v>
      </c>
      <c r="C2877" s="51">
        <v>54743.6</v>
      </c>
      <c r="D2877" s="51">
        <v>0</v>
      </c>
    </row>
    <row r="2878" spans="1:4" ht="15" customHeight="1">
      <c r="A2878" s="50">
        <v>45046</v>
      </c>
      <c r="B2878" s="49" t="s">
        <v>50</v>
      </c>
      <c r="C2878" s="51">
        <v>53638.1</v>
      </c>
      <c r="D2878" s="51">
        <v>0</v>
      </c>
    </row>
    <row r="2879" spans="1:4" ht="15" customHeight="1">
      <c r="A2879" s="50">
        <v>45046</v>
      </c>
      <c r="B2879" s="49" t="s">
        <v>51</v>
      </c>
      <c r="C2879" s="51">
        <v>53634.3</v>
      </c>
      <c r="D2879" s="51">
        <v>0</v>
      </c>
    </row>
    <row r="2880" spans="1:4" ht="15" customHeight="1">
      <c r="A2880" s="50">
        <v>45046</v>
      </c>
      <c r="B2880" s="49" t="s">
        <v>52</v>
      </c>
      <c r="C2880" s="51">
        <v>53709</v>
      </c>
      <c r="D2880" s="51">
        <v>0</v>
      </c>
    </row>
    <row r="2881" spans="1:4" ht="15" customHeight="1">
      <c r="A2881" s="50">
        <v>45046</v>
      </c>
      <c r="B2881" s="49" t="s">
        <v>53</v>
      </c>
      <c r="C2881" s="51">
        <v>53504.4</v>
      </c>
      <c r="D2881" s="51">
        <v>0</v>
      </c>
    </row>
    <row r="2882" spans="1:4" ht="15" customHeight="1">
      <c r="A2882" s="50">
        <v>45047</v>
      </c>
      <c r="B2882" s="49" t="s">
        <v>30</v>
      </c>
      <c r="C2882" s="51">
        <v>53527.199999999997</v>
      </c>
      <c r="D2882" s="51">
        <v>0</v>
      </c>
    </row>
    <row r="2883" spans="1:4" ht="15" customHeight="1">
      <c r="A2883" s="50">
        <v>45047</v>
      </c>
      <c r="B2883" s="49" t="s">
        <v>31</v>
      </c>
      <c r="C2883" s="51">
        <v>53542.6</v>
      </c>
      <c r="D2883" s="51">
        <v>0</v>
      </c>
    </row>
    <row r="2884" spans="1:4" ht="15" customHeight="1">
      <c r="A2884" s="50">
        <v>45047</v>
      </c>
      <c r="B2884" s="49" t="s">
        <v>32</v>
      </c>
      <c r="C2884" s="51">
        <v>53889.7</v>
      </c>
      <c r="D2884" s="51">
        <v>0</v>
      </c>
    </row>
    <row r="2885" spans="1:4" ht="15" customHeight="1">
      <c r="A2885" s="50">
        <v>45047</v>
      </c>
      <c r="B2885" s="49" t="s">
        <v>33</v>
      </c>
      <c r="C2885" s="51">
        <v>53572.6</v>
      </c>
      <c r="D2885" s="51">
        <v>0</v>
      </c>
    </row>
    <row r="2886" spans="1:4" ht="15" customHeight="1">
      <c r="A2886" s="50">
        <v>45047</v>
      </c>
      <c r="B2886" s="49" t="s">
        <v>34</v>
      </c>
      <c r="C2886" s="51">
        <v>53663.6</v>
      </c>
      <c r="D2886" s="51">
        <v>0</v>
      </c>
    </row>
    <row r="2887" spans="1:4" ht="15" customHeight="1">
      <c r="A2887" s="50">
        <v>45047</v>
      </c>
      <c r="B2887" s="49" t="s">
        <v>35</v>
      </c>
      <c r="C2887" s="51">
        <v>53670</v>
      </c>
      <c r="D2887" s="51">
        <v>0</v>
      </c>
    </row>
    <row r="2888" spans="1:4" ht="15" customHeight="1">
      <c r="A2888" s="50">
        <v>45047</v>
      </c>
      <c r="B2888" s="49" t="s">
        <v>36</v>
      </c>
      <c r="C2888" s="51">
        <v>53620</v>
      </c>
      <c r="D2888" s="51">
        <v>0</v>
      </c>
    </row>
    <row r="2889" spans="1:4" ht="15" customHeight="1">
      <c r="A2889" s="50">
        <v>45047</v>
      </c>
      <c r="B2889" s="49" t="s">
        <v>37</v>
      </c>
      <c r="C2889" s="51">
        <v>53667.7</v>
      </c>
      <c r="D2889" s="51">
        <v>0</v>
      </c>
    </row>
    <row r="2890" spans="1:4" ht="15" customHeight="1">
      <c r="A2890" s="50">
        <v>45047</v>
      </c>
      <c r="B2890" s="49" t="s">
        <v>38</v>
      </c>
      <c r="C2890" s="51">
        <v>53811.3</v>
      </c>
      <c r="D2890" s="51">
        <v>0</v>
      </c>
    </row>
    <row r="2891" spans="1:4" ht="15" customHeight="1">
      <c r="A2891" s="50">
        <v>45047</v>
      </c>
      <c r="B2891" s="49" t="s">
        <v>39</v>
      </c>
      <c r="C2891" s="51">
        <v>53729.599999999999</v>
      </c>
      <c r="D2891" s="51">
        <v>0</v>
      </c>
    </row>
    <row r="2892" spans="1:4" ht="15" customHeight="1">
      <c r="A2892" s="50">
        <v>45047</v>
      </c>
      <c r="B2892" s="49" t="s">
        <v>40</v>
      </c>
      <c r="C2892" s="51">
        <v>53804.800000000003</v>
      </c>
      <c r="D2892" s="51">
        <v>0</v>
      </c>
    </row>
    <row r="2893" spans="1:4" ht="15" customHeight="1">
      <c r="A2893" s="50">
        <v>45047</v>
      </c>
      <c r="B2893" s="49" t="s">
        <v>41</v>
      </c>
      <c r="C2893" s="51">
        <v>53645.5</v>
      </c>
      <c r="D2893" s="51">
        <v>0</v>
      </c>
    </row>
    <row r="2894" spans="1:4" ht="15" customHeight="1">
      <c r="A2894" s="50">
        <v>45047</v>
      </c>
      <c r="B2894" s="49" t="s">
        <v>42</v>
      </c>
      <c r="C2894" s="51">
        <v>53598.8</v>
      </c>
      <c r="D2894" s="51">
        <v>0</v>
      </c>
    </row>
    <row r="2895" spans="1:4" ht="15" customHeight="1">
      <c r="A2895" s="50">
        <v>45047</v>
      </c>
      <c r="B2895" s="49" t="s">
        <v>43</v>
      </c>
      <c r="C2895" s="51">
        <v>53461.599999999999</v>
      </c>
      <c r="D2895" s="51">
        <v>0</v>
      </c>
    </row>
    <row r="2896" spans="1:4" ht="15" customHeight="1">
      <c r="A2896" s="50">
        <v>45047</v>
      </c>
      <c r="B2896" s="49" t="s">
        <v>44</v>
      </c>
      <c r="C2896" s="51">
        <v>53516.9</v>
      </c>
      <c r="D2896" s="51">
        <v>0</v>
      </c>
    </row>
    <row r="2897" spans="1:4" ht="15" customHeight="1">
      <c r="A2897" s="50">
        <v>45047</v>
      </c>
      <c r="B2897" s="49" t="s">
        <v>45</v>
      </c>
      <c r="C2897" s="51">
        <v>53576.1</v>
      </c>
      <c r="D2897" s="51">
        <v>0</v>
      </c>
    </row>
    <row r="2898" spans="1:4" ht="15" customHeight="1">
      <c r="A2898" s="50">
        <v>45047</v>
      </c>
      <c r="B2898" s="49" t="s">
        <v>46</v>
      </c>
      <c r="C2898" s="51">
        <v>53455.7</v>
      </c>
      <c r="D2898" s="51">
        <v>0</v>
      </c>
    </row>
    <row r="2899" spans="1:4" ht="15" customHeight="1">
      <c r="A2899" s="50">
        <v>45047</v>
      </c>
      <c r="B2899" s="49" t="s">
        <v>47</v>
      </c>
      <c r="C2899" s="51">
        <v>53408.800000000003</v>
      </c>
      <c r="D2899" s="51">
        <v>0</v>
      </c>
    </row>
    <row r="2900" spans="1:4" ht="15" customHeight="1">
      <c r="A2900" s="50">
        <v>45047</v>
      </c>
      <c r="B2900" s="49" t="s">
        <v>48</v>
      </c>
      <c r="C2900" s="51">
        <v>53654.2</v>
      </c>
      <c r="D2900" s="51">
        <v>0</v>
      </c>
    </row>
    <row r="2901" spans="1:4" ht="15" customHeight="1">
      <c r="A2901" s="50">
        <v>45047</v>
      </c>
      <c r="B2901" s="49" t="s">
        <v>49</v>
      </c>
      <c r="C2901" s="51">
        <v>53553.599999999999</v>
      </c>
      <c r="D2901" s="51">
        <v>0</v>
      </c>
    </row>
    <row r="2902" spans="1:4" ht="15" customHeight="1">
      <c r="A2902" s="50">
        <v>45047</v>
      </c>
      <c r="B2902" s="49" t="s">
        <v>50</v>
      </c>
      <c r="C2902" s="51">
        <v>53444.3</v>
      </c>
      <c r="D2902" s="51">
        <v>0</v>
      </c>
    </row>
    <row r="2903" spans="1:4" ht="15" customHeight="1">
      <c r="A2903" s="50">
        <v>45047</v>
      </c>
      <c r="B2903" s="49" t="s">
        <v>51</v>
      </c>
      <c r="C2903" s="51">
        <v>53466.3</v>
      </c>
      <c r="D2903" s="51">
        <v>0</v>
      </c>
    </row>
    <row r="2904" spans="1:4" ht="15" customHeight="1">
      <c r="A2904" s="50">
        <v>45047</v>
      </c>
      <c r="B2904" s="49" t="s">
        <v>52</v>
      </c>
      <c r="C2904" s="51">
        <v>53757.7</v>
      </c>
      <c r="D2904" s="51">
        <v>0</v>
      </c>
    </row>
    <row r="2905" spans="1:4" ht="15" customHeight="1">
      <c r="A2905" s="50">
        <v>45047</v>
      </c>
      <c r="B2905" s="49" t="s">
        <v>53</v>
      </c>
      <c r="C2905" s="51">
        <v>53564.1</v>
      </c>
      <c r="D2905" s="51">
        <v>0</v>
      </c>
    </row>
    <row r="2906" spans="1:4" ht="15" customHeight="1">
      <c r="A2906" s="50">
        <v>45048</v>
      </c>
      <c r="B2906" s="49" t="s">
        <v>30</v>
      </c>
      <c r="C2906" s="51">
        <v>53131.1</v>
      </c>
      <c r="D2906" s="51">
        <v>0</v>
      </c>
    </row>
    <row r="2907" spans="1:4" ht="15" customHeight="1">
      <c r="A2907" s="50">
        <v>45048</v>
      </c>
      <c r="B2907" s="49" t="s">
        <v>31</v>
      </c>
      <c r="C2907" s="51">
        <v>53518.7</v>
      </c>
      <c r="D2907" s="51">
        <v>0</v>
      </c>
    </row>
    <row r="2908" spans="1:4" ht="15" customHeight="1">
      <c r="A2908" s="50">
        <v>45048</v>
      </c>
      <c r="B2908" s="49" t="s">
        <v>32</v>
      </c>
      <c r="C2908" s="51">
        <v>53568</v>
      </c>
      <c r="D2908" s="51">
        <v>0</v>
      </c>
    </row>
    <row r="2909" spans="1:4" ht="15" customHeight="1">
      <c r="A2909" s="50">
        <v>45048</v>
      </c>
      <c r="B2909" s="49" t="s">
        <v>33</v>
      </c>
      <c r="C2909" s="51">
        <v>53741.4</v>
      </c>
      <c r="D2909" s="51">
        <v>0</v>
      </c>
    </row>
    <row r="2910" spans="1:4" ht="15" customHeight="1">
      <c r="A2910" s="50">
        <v>45048</v>
      </c>
      <c r="B2910" s="49" t="s">
        <v>34</v>
      </c>
      <c r="C2910" s="51">
        <v>53891.7</v>
      </c>
      <c r="D2910" s="51">
        <v>0</v>
      </c>
    </row>
    <row r="2911" spans="1:4" ht="15" customHeight="1">
      <c r="A2911" s="50">
        <v>45048</v>
      </c>
      <c r="B2911" s="49" t="s">
        <v>35</v>
      </c>
      <c r="C2911" s="51">
        <v>53825</v>
      </c>
      <c r="D2911" s="51">
        <v>0</v>
      </c>
    </row>
    <row r="2912" spans="1:4" ht="15" customHeight="1">
      <c r="A2912" s="50">
        <v>45048</v>
      </c>
      <c r="B2912" s="49" t="s">
        <v>36</v>
      </c>
      <c r="C2912" s="51">
        <v>54290.3</v>
      </c>
      <c r="D2912" s="51">
        <v>0</v>
      </c>
    </row>
    <row r="2913" spans="1:4" ht="15" customHeight="1">
      <c r="A2913" s="50">
        <v>45048</v>
      </c>
      <c r="B2913" s="49" t="s">
        <v>37</v>
      </c>
      <c r="C2913" s="51">
        <v>54288.3</v>
      </c>
      <c r="D2913" s="51">
        <v>0</v>
      </c>
    </row>
    <row r="2914" spans="1:4" ht="15" customHeight="1">
      <c r="A2914" s="50">
        <v>45048</v>
      </c>
      <c r="B2914" s="49" t="s">
        <v>38</v>
      </c>
      <c r="C2914" s="51">
        <v>54013.2</v>
      </c>
      <c r="D2914" s="51">
        <v>0</v>
      </c>
    </row>
    <row r="2915" spans="1:4" ht="15" customHeight="1">
      <c r="A2915" s="50">
        <v>45048</v>
      </c>
      <c r="B2915" s="49" t="s">
        <v>39</v>
      </c>
      <c r="C2915" s="51">
        <v>53991.6</v>
      </c>
      <c r="D2915" s="51">
        <v>0</v>
      </c>
    </row>
    <row r="2916" spans="1:4" ht="15" customHeight="1">
      <c r="A2916" s="50">
        <v>45048</v>
      </c>
      <c r="B2916" s="49" t="s">
        <v>40</v>
      </c>
      <c r="C2916" s="51">
        <v>54132.4</v>
      </c>
      <c r="D2916" s="51">
        <v>0</v>
      </c>
    </row>
    <row r="2917" spans="1:4" ht="15" customHeight="1">
      <c r="A2917" s="50">
        <v>45048</v>
      </c>
      <c r="B2917" s="49" t="s">
        <v>41</v>
      </c>
      <c r="C2917" s="51">
        <v>54092.4</v>
      </c>
      <c r="D2917" s="51">
        <v>0</v>
      </c>
    </row>
    <row r="2918" spans="1:4" ht="15" customHeight="1">
      <c r="A2918" s="50">
        <v>45048</v>
      </c>
      <c r="B2918" s="49" t="s">
        <v>42</v>
      </c>
      <c r="C2918" s="51">
        <v>54086.5</v>
      </c>
      <c r="D2918" s="51">
        <v>0</v>
      </c>
    </row>
    <row r="2919" spans="1:4" ht="15" customHeight="1">
      <c r="A2919" s="50">
        <v>45048</v>
      </c>
      <c r="B2919" s="49" t="s">
        <v>43</v>
      </c>
      <c r="C2919" s="51">
        <v>54043.6</v>
      </c>
      <c r="D2919" s="51">
        <v>0</v>
      </c>
    </row>
    <row r="2920" spans="1:4" ht="15" customHeight="1">
      <c r="A2920" s="50">
        <v>45048</v>
      </c>
      <c r="B2920" s="49" t="s">
        <v>44</v>
      </c>
      <c r="C2920" s="51">
        <v>54147.5</v>
      </c>
      <c r="D2920" s="51">
        <v>0</v>
      </c>
    </row>
    <row r="2921" spans="1:4" ht="15" customHeight="1">
      <c r="A2921" s="50">
        <v>45048</v>
      </c>
      <c r="B2921" s="49" t="s">
        <v>45</v>
      </c>
      <c r="C2921" s="51">
        <v>54124.5</v>
      </c>
      <c r="D2921" s="51">
        <v>0</v>
      </c>
    </row>
    <row r="2922" spans="1:4" ht="15" customHeight="1">
      <c r="A2922" s="50">
        <v>45048</v>
      </c>
      <c r="B2922" s="49" t="s">
        <v>46</v>
      </c>
      <c r="C2922" s="51">
        <v>53851.6</v>
      </c>
      <c r="D2922" s="51">
        <v>0</v>
      </c>
    </row>
    <row r="2923" spans="1:4" ht="15" customHeight="1">
      <c r="A2923" s="50">
        <v>45048</v>
      </c>
      <c r="B2923" s="49" t="s">
        <v>47</v>
      </c>
      <c r="C2923" s="51">
        <v>54096.1</v>
      </c>
      <c r="D2923" s="51">
        <v>0</v>
      </c>
    </row>
    <row r="2924" spans="1:4" ht="15" customHeight="1">
      <c r="A2924" s="50">
        <v>45048</v>
      </c>
      <c r="B2924" s="49" t="s">
        <v>48</v>
      </c>
      <c r="C2924" s="51">
        <v>58288.4</v>
      </c>
      <c r="D2924" s="51">
        <v>0</v>
      </c>
    </row>
    <row r="2925" spans="1:4" ht="15" customHeight="1">
      <c r="A2925" s="50">
        <v>45048</v>
      </c>
      <c r="B2925" s="49" t="s">
        <v>49</v>
      </c>
      <c r="C2925" s="51">
        <v>69303.8</v>
      </c>
      <c r="D2925" s="51">
        <v>0</v>
      </c>
    </row>
    <row r="2926" spans="1:4" ht="15" customHeight="1">
      <c r="A2926" s="50">
        <v>45048</v>
      </c>
      <c r="B2926" s="49" t="s">
        <v>50</v>
      </c>
      <c r="C2926" s="51">
        <v>68979.399999999994</v>
      </c>
      <c r="D2926" s="51">
        <v>0</v>
      </c>
    </row>
    <row r="2927" spans="1:4" ht="15" customHeight="1">
      <c r="A2927" s="50">
        <v>45048</v>
      </c>
      <c r="B2927" s="49" t="s">
        <v>51</v>
      </c>
      <c r="C2927" s="51">
        <v>68260.899999999994</v>
      </c>
      <c r="D2927" s="51">
        <v>0</v>
      </c>
    </row>
    <row r="2928" spans="1:4" ht="15" customHeight="1">
      <c r="A2928" s="50">
        <v>45048</v>
      </c>
      <c r="B2928" s="49" t="s">
        <v>52</v>
      </c>
      <c r="C2928" s="51">
        <v>67996.600000000006</v>
      </c>
      <c r="D2928" s="51">
        <v>0</v>
      </c>
    </row>
    <row r="2929" spans="1:4" ht="15" customHeight="1">
      <c r="A2929" s="50">
        <v>45048</v>
      </c>
      <c r="B2929" s="49" t="s">
        <v>53</v>
      </c>
      <c r="C2929" s="51">
        <v>67878.600000000006</v>
      </c>
      <c r="D2929" s="51">
        <v>0</v>
      </c>
    </row>
    <row r="2930" spans="1:4" ht="15" customHeight="1">
      <c r="A2930" s="50">
        <v>45049</v>
      </c>
      <c r="B2930" s="49" t="s">
        <v>30</v>
      </c>
      <c r="C2930" s="51">
        <v>66222.8</v>
      </c>
      <c r="D2930" s="51">
        <v>0</v>
      </c>
    </row>
    <row r="2931" spans="1:4" ht="15" customHeight="1">
      <c r="A2931" s="50">
        <v>45049</v>
      </c>
      <c r="B2931" s="49" t="s">
        <v>31</v>
      </c>
      <c r="C2931" s="51">
        <v>55139.9</v>
      </c>
      <c r="D2931" s="51">
        <v>0</v>
      </c>
    </row>
    <row r="2932" spans="1:4" ht="15" customHeight="1">
      <c r="A2932" s="50">
        <v>45049</v>
      </c>
      <c r="B2932" s="49" t="s">
        <v>32</v>
      </c>
      <c r="C2932" s="51">
        <v>55160.800000000003</v>
      </c>
      <c r="D2932" s="51">
        <v>0</v>
      </c>
    </row>
    <row r="2933" spans="1:4" ht="15" customHeight="1">
      <c r="A2933" s="50">
        <v>45049</v>
      </c>
      <c r="B2933" s="49" t="s">
        <v>33</v>
      </c>
      <c r="C2933" s="51">
        <v>55247.7</v>
      </c>
      <c r="D2933" s="51">
        <v>0</v>
      </c>
    </row>
    <row r="2934" spans="1:4" ht="15" customHeight="1">
      <c r="A2934" s="50">
        <v>45049</v>
      </c>
      <c r="B2934" s="49" t="s">
        <v>34</v>
      </c>
      <c r="C2934" s="51">
        <v>55214.8</v>
      </c>
      <c r="D2934" s="51">
        <v>0</v>
      </c>
    </row>
    <row r="2935" spans="1:4" ht="15" customHeight="1">
      <c r="A2935" s="50">
        <v>45049</v>
      </c>
      <c r="B2935" s="49" t="s">
        <v>35</v>
      </c>
      <c r="C2935" s="51">
        <v>54713.5</v>
      </c>
      <c r="D2935" s="51">
        <v>0</v>
      </c>
    </row>
    <row r="2936" spans="1:4" ht="15" customHeight="1">
      <c r="A2936" s="50">
        <v>45049</v>
      </c>
      <c r="B2936" s="49" t="s">
        <v>36</v>
      </c>
      <c r="C2936" s="51">
        <v>54643.5</v>
      </c>
      <c r="D2936" s="51">
        <v>0</v>
      </c>
    </row>
    <row r="2937" spans="1:4" ht="15" customHeight="1">
      <c r="A2937" s="50">
        <v>45049</v>
      </c>
      <c r="B2937" s="49" t="s">
        <v>37</v>
      </c>
      <c r="C2937" s="51">
        <v>54415.3</v>
      </c>
      <c r="D2937" s="51">
        <v>0</v>
      </c>
    </row>
    <row r="2938" spans="1:4" ht="15" customHeight="1">
      <c r="A2938" s="50">
        <v>45049</v>
      </c>
      <c r="B2938" s="49" t="s">
        <v>38</v>
      </c>
      <c r="C2938" s="51">
        <v>54191.6</v>
      </c>
      <c r="D2938" s="51">
        <v>0</v>
      </c>
    </row>
    <row r="2939" spans="1:4" ht="15" customHeight="1">
      <c r="A2939" s="50">
        <v>45049</v>
      </c>
      <c r="B2939" s="49" t="s">
        <v>39</v>
      </c>
      <c r="C2939" s="51">
        <v>54344.800000000003</v>
      </c>
      <c r="D2939" s="51">
        <v>0</v>
      </c>
    </row>
    <row r="2940" spans="1:4" ht="15" customHeight="1">
      <c r="A2940" s="50">
        <v>45049</v>
      </c>
      <c r="B2940" s="49" t="s">
        <v>40</v>
      </c>
      <c r="C2940" s="51">
        <v>54162.400000000001</v>
      </c>
      <c r="D2940" s="51">
        <v>0</v>
      </c>
    </row>
    <row r="2941" spans="1:4" ht="15" customHeight="1">
      <c r="A2941" s="50">
        <v>45049</v>
      </c>
      <c r="B2941" s="49" t="s">
        <v>41</v>
      </c>
      <c r="C2941" s="51">
        <v>54064.800000000003</v>
      </c>
      <c r="D2941" s="51">
        <v>0</v>
      </c>
    </row>
    <row r="2942" spans="1:4" ht="15" customHeight="1">
      <c r="A2942" s="50">
        <v>45049</v>
      </c>
      <c r="B2942" s="49" t="s">
        <v>42</v>
      </c>
      <c r="C2942" s="51">
        <v>54124.2</v>
      </c>
      <c r="D2942" s="51">
        <v>0</v>
      </c>
    </row>
    <row r="2943" spans="1:4" ht="15" customHeight="1">
      <c r="A2943" s="50">
        <v>45049</v>
      </c>
      <c r="B2943" s="49" t="s">
        <v>43</v>
      </c>
      <c r="C2943" s="51">
        <v>54093.1</v>
      </c>
      <c r="D2943" s="51">
        <v>0</v>
      </c>
    </row>
    <row r="2944" spans="1:4" ht="15" customHeight="1">
      <c r="A2944" s="50">
        <v>45049</v>
      </c>
      <c r="B2944" s="49" t="s">
        <v>44</v>
      </c>
      <c r="C2944" s="51">
        <v>64263.7</v>
      </c>
      <c r="D2944" s="51">
        <v>0</v>
      </c>
    </row>
    <row r="2945" spans="1:4" ht="15" customHeight="1">
      <c r="A2945" s="50">
        <v>45049</v>
      </c>
      <c r="B2945" s="49" t="s">
        <v>45</v>
      </c>
      <c r="C2945" s="51">
        <v>68353.3</v>
      </c>
      <c r="D2945" s="51">
        <v>0</v>
      </c>
    </row>
    <row r="2946" spans="1:4" ht="15" customHeight="1">
      <c r="A2946" s="50">
        <v>45049</v>
      </c>
      <c r="B2946" s="49" t="s">
        <v>46</v>
      </c>
      <c r="C2946" s="51">
        <v>54005.1</v>
      </c>
      <c r="D2946" s="51">
        <v>0</v>
      </c>
    </row>
    <row r="2947" spans="1:4" ht="15" customHeight="1">
      <c r="A2947" s="50">
        <v>45049</v>
      </c>
      <c r="B2947" s="49" t="s">
        <v>47</v>
      </c>
      <c r="C2947" s="51">
        <v>53977.2</v>
      </c>
      <c r="D2947" s="51">
        <v>0</v>
      </c>
    </row>
    <row r="2948" spans="1:4" ht="15" customHeight="1">
      <c r="A2948" s="50">
        <v>45049</v>
      </c>
      <c r="B2948" s="49" t="s">
        <v>48</v>
      </c>
      <c r="C2948" s="51">
        <v>67945.5</v>
      </c>
      <c r="D2948" s="51">
        <v>0</v>
      </c>
    </row>
    <row r="2949" spans="1:4" ht="15" customHeight="1">
      <c r="A2949" s="50">
        <v>45049</v>
      </c>
      <c r="B2949" s="49" t="s">
        <v>49</v>
      </c>
      <c r="C2949" s="51">
        <v>68728.5</v>
      </c>
      <c r="D2949" s="51">
        <v>0</v>
      </c>
    </row>
    <row r="2950" spans="1:4" ht="15" customHeight="1">
      <c r="A2950" s="50">
        <v>45049</v>
      </c>
      <c r="B2950" s="49" t="s">
        <v>50</v>
      </c>
      <c r="C2950" s="51">
        <v>68493.5</v>
      </c>
      <c r="D2950" s="51">
        <v>0</v>
      </c>
    </row>
    <row r="2951" spans="1:4" ht="15" customHeight="1">
      <c r="A2951" s="50">
        <v>45049</v>
      </c>
      <c r="B2951" s="49" t="s">
        <v>51</v>
      </c>
      <c r="C2951" s="51">
        <v>68197.7</v>
      </c>
      <c r="D2951" s="51">
        <v>0</v>
      </c>
    </row>
    <row r="2952" spans="1:4" ht="15" customHeight="1">
      <c r="A2952" s="50">
        <v>45049</v>
      </c>
      <c r="B2952" s="49" t="s">
        <v>52</v>
      </c>
      <c r="C2952" s="51">
        <v>68193.3</v>
      </c>
      <c r="D2952" s="51">
        <v>0</v>
      </c>
    </row>
    <row r="2953" spans="1:4" ht="15" customHeight="1">
      <c r="A2953" s="50">
        <v>45049</v>
      </c>
      <c r="B2953" s="49" t="s">
        <v>53</v>
      </c>
      <c r="C2953" s="51">
        <v>68368.600000000006</v>
      </c>
      <c r="D2953" s="51">
        <v>0</v>
      </c>
    </row>
    <row r="2954" spans="1:4" ht="15" customHeight="1">
      <c r="A2954" s="50">
        <v>45050</v>
      </c>
      <c r="B2954" s="49" t="s">
        <v>30</v>
      </c>
      <c r="C2954" s="51">
        <v>68247.3</v>
      </c>
      <c r="D2954" s="51">
        <v>0</v>
      </c>
    </row>
    <row r="2955" spans="1:4" ht="15" customHeight="1">
      <c r="A2955" s="50">
        <v>45050</v>
      </c>
      <c r="B2955" s="49" t="s">
        <v>31</v>
      </c>
      <c r="C2955" s="51">
        <v>55379.7</v>
      </c>
      <c r="D2955" s="51">
        <v>0</v>
      </c>
    </row>
    <row r="2956" spans="1:4" ht="15" customHeight="1">
      <c r="A2956" s="50">
        <v>45050</v>
      </c>
      <c r="B2956" s="49" t="s">
        <v>32</v>
      </c>
      <c r="C2956" s="51">
        <v>54968.2</v>
      </c>
      <c r="D2956" s="51">
        <v>0</v>
      </c>
    </row>
    <row r="2957" spans="1:4" ht="15" customHeight="1">
      <c r="A2957" s="50">
        <v>45050</v>
      </c>
      <c r="B2957" s="49" t="s">
        <v>33</v>
      </c>
      <c r="C2957" s="51">
        <v>54952</v>
      </c>
      <c r="D2957" s="51">
        <v>0</v>
      </c>
    </row>
    <row r="2958" spans="1:4" ht="15" customHeight="1">
      <c r="A2958" s="50">
        <v>45050</v>
      </c>
      <c r="B2958" s="49" t="s">
        <v>34</v>
      </c>
      <c r="C2958" s="51">
        <v>54979.7</v>
      </c>
      <c r="D2958" s="51">
        <v>0</v>
      </c>
    </row>
    <row r="2959" spans="1:4" ht="15" customHeight="1">
      <c r="A2959" s="50">
        <v>45050</v>
      </c>
      <c r="B2959" s="49" t="s">
        <v>35</v>
      </c>
      <c r="C2959" s="51">
        <v>55014.7</v>
      </c>
      <c r="D2959" s="51">
        <v>0</v>
      </c>
    </row>
    <row r="2960" spans="1:4" ht="15" customHeight="1">
      <c r="A2960" s="50">
        <v>45050</v>
      </c>
      <c r="B2960" s="49" t="s">
        <v>36</v>
      </c>
      <c r="C2960" s="51">
        <v>53854.5</v>
      </c>
      <c r="D2960" s="51">
        <v>0</v>
      </c>
    </row>
    <row r="2961" spans="1:4" ht="15" customHeight="1">
      <c r="A2961" s="50">
        <v>45050</v>
      </c>
      <c r="B2961" s="49" t="s">
        <v>37</v>
      </c>
      <c r="C2961" s="51">
        <v>53779.6</v>
      </c>
      <c r="D2961" s="51">
        <v>0</v>
      </c>
    </row>
    <row r="2962" spans="1:4" ht="15" customHeight="1">
      <c r="A2962" s="50">
        <v>45050</v>
      </c>
      <c r="B2962" s="49" t="s">
        <v>38</v>
      </c>
      <c r="C2962" s="51">
        <v>53001.5</v>
      </c>
      <c r="D2962" s="51">
        <v>0</v>
      </c>
    </row>
    <row r="2963" spans="1:4" ht="15" customHeight="1">
      <c r="A2963" s="50">
        <v>45050</v>
      </c>
      <c r="B2963" s="49" t="s">
        <v>39</v>
      </c>
      <c r="C2963" s="51">
        <v>53027.1</v>
      </c>
      <c r="D2963" s="51">
        <v>0</v>
      </c>
    </row>
    <row r="2964" spans="1:4" ht="15" customHeight="1">
      <c r="A2964" s="50">
        <v>45050</v>
      </c>
      <c r="B2964" s="49" t="s">
        <v>40</v>
      </c>
      <c r="C2964" s="51">
        <v>52993.7</v>
      </c>
      <c r="D2964" s="51">
        <v>0</v>
      </c>
    </row>
    <row r="2965" spans="1:4" ht="15" customHeight="1">
      <c r="A2965" s="50">
        <v>45050</v>
      </c>
      <c r="B2965" s="49" t="s">
        <v>41</v>
      </c>
      <c r="C2965" s="51">
        <v>52935.4</v>
      </c>
      <c r="D2965" s="51">
        <v>0</v>
      </c>
    </row>
    <row r="2966" spans="1:4" ht="15" customHeight="1">
      <c r="A2966" s="50">
        <v>45050</v>
      </c>
      <c r="B2966" s="49" t="s">
        <v>42</v>
      </c>
      <c r="C2966" s="51">
        <v>52868.7</v>
      </c>
      <c r="D2966" s="51">
        <v>0</v>
      </c>
    </row>
    <row r="2967" spans="1:4" ht="15" customHeight="1">
      <c r="A2967" s="50">
        <v>45050</v>
      </c>
      <c r="B2967" s="49" t="s">
        <v>43</v>
      </c>
      <c r="C2967" s="51">
        <v>57574.6</v>
      </c>
      <c r="D2967" s="51">
        <v>0</v>
      </c>
    </row>
    <row r="2968" spans="1:4" ht="15" customHeight="1">
      <c r="A2968" s="50">
        <v>45050</v>
      </c>
      <c r="B2968" s="49" t="s">
        <v>44</v>
      </c>
      <c r="C2968" s="51">
        <v>68153.100000000006</v>
      </c>
      <c r="D2968" s="51">
        <v>0</v>
      </c>
    </row>
    <row r="2969" spans="1:4" ht="15" customHeight="1">
      <c r="A2969" s="50">
        <v>45050</v>
      </c>
      <c r="B2969" s="49" t="s">
        <v>45</v>
      </c>
      <c r="C2969" s="51">
        <v>67665.2</v>
      </c>
      <c r="D2969" s="51">
        <v>0</v>
      </c>
    </row>
    <row r="2970" spans="1:4" ht="15" customHeight="1">
      <c r="A2970" s="50">
        <v>45050</v>
      </c>
      <c r="B2970" s="49" t="s">
        <v>46</v>
      </c>
      <c r="C2970" s="51">
        <v>65956.600000000006</v>
      </c>
      <c r="D2970" s="51">
        <v>0</v>
      </c>
    </row>
    <row r="2971" spans="1:4" ht="15" customHeight="1">
      <c r="A2971" s="50">
        <v>45050</v>
      </c>
      <c r="B2971" s="49" t="s">
        <v>47</v>
      </c>
      <c r="C2971" s="51">
        <v>54321.1</v>
      </c>
      <c r="D2971" s="51">
        <v>0</v>
      </c>
    </row>
    <row r="2972" spans="1:4" ht="15" customHeight="1">
      <c r="A2972" s="50">
        <v>45050</v>
      </c>
      <c r="B2972" s="49" t="s">
        <v>48</v>
      </c>
      <c r="C2972" s="51">
        <v>61869.1</v>
      </c>
      <c r="D2972" s="51">
        <v>0</v>
      </c>
    </row>
    <row r="2973" spans="1:4" ht="15" customHeight="1">
      <c r="A2973" s="50">
        <v>45050</v>
      </c>
      <c r="B2973" s="49" t="s">
        <v>49</v>
      </c>
      <c r="C2973" s="51">
        <v>67287.600000000006</v>
      </c>
      <c r="D2973" s="51">
        <v>0</v>
      </c>
    </row>
    <row r="2974" spans="1:4" ht="15" customHeight="1">
      <c r="A2974" s="50">
        <v>45050</v>
      </c>
      <c r="B2974" s="49" t="s">
        <v>50</v>
      </c>
      <c r="C2974" s="51">
        <v>67106.399999999994</v>
      </c>
      <c r="D2974" s="51">
        <v>0</v>
      </c>
    </row>
    <row r="2975" spans="1:4" ht="15" customHeight="1">
      <c r="A2975" s="50">
        <v>45050</v>
      </c>
      <c r="B2975" s="49" t="s">
        <v>51</v>
      </c>
      <c r="C2975" s="51">
        <v>67243.5</v>
      </c>
      <c r="D2975" s="51">
        <v>0</v>
      </c>
    </row>
    <row r="2976" spans="1:4" ht="15" customHeight="1">
      <c r="A2976" s="50">
        <v>45050</v>
      </c>
      <c r="B2976" s="49" t="s">
        <v>52</v>
      </c>
      <c r="C2976" s="51">
        <v>67148.2</v>
      </c>
      <c r="D2976" s="51">
        <v>0</v>
      </c>
    </row>
    <row r="2977" spans="1:4" ht="15" customHeight="1">
      <c r="A2977" s="50">
        <v>45050</v>
      </c>
      <c r="B2977" s="49" t="s">
        <v>53</v>
      </c>
      <c r="C2977" s="51">
        <v>67964</v>
      </c>
      <c r="D2977" s="51">
        <v>0</v>
      </c>
    </row>
    <row r="2978" spans="1:4" ht="15" customHeight="1">
      <c r="A2978" s="50">
        <v>45051</v>
      </c>
      <c r="B2978" s="49" t="s">
        <v>30</v>
      </c>
      <c r="C2978" s="51">
        <v>67884.7</v>
      </c>
      <c r="D2978" s="51">
        <v>0</v>
      </c>
    </row>
    <row r="2979" spans="1:4" ht="15" customHeight="1">
      <c r="A2979" s="50">
        <v>45051</v>
      </c>
      <c r="B2979" s="49" t="s">
        <v>31</v>
      </c>
      <c r="C2979" s="51">
        <v>61815.5</v>
      </c>
      <c r="D2979" s="51">
        <v>0</v>
      </c>
    </row>
    <row r="2980" spans="1:4" ht="15" customHeight="1">
      <c r="A2980" s="50">
        <v>45051</v>
      </c>
      <c r="B2980" s="49" t="s">
        <v>32</v>
      </c>
      <c r="C2980" s="51">
        <v>54170.1</v>
      </c>
      <c r="D2980" s="51">
        <v>0</v>
      </c>
    </row>
    <row r="2981" spans="1:4" ht="15" customHeight="1">
      <c r="A2981" s="50">
        <v>45051</v>
      </c>
      <c r="B2981" s="49" t="s">
        <v>33</v>
      </c>
      <c r="C2981" s="51">
        <v>53957.7</v>
      </c>
      <c r="D2981" s="51">
        <v>0</v>
      </c>
    </row>
    <row r="2982" spans="1:4" ht="15" customHeight="1">
      <c r="A2982" s="50">
        <v>45051</v>
      </c>
      <c r="B2982" s="49" t="s">
        <v>34</v>
      </c>
      <c r="C2982" s="51">
        <v>54224.9</v>
      </c>
      <c r="D2982" s="51">
        <v>0</v>
      </c>
    </row>
    <row r="2983" spans="1:4" ht="15" customHeight="1">
      <c r="A2983" s="50">
        <v>45051</v>
      </c>
      <c r="B2983" s="49" t="s">
        <v>35</v>
      </c>
      <c r="C2983" s="51">
        <v>53665.599999999999</v>
      </c>
      <c r="D2983" s="51">
        <v>0</v>
      </c>
    </row>
    <row r="2984" spans="1:4" ht="15" customHeight="1">
      <c r="A2984" s="50">
        <v>45051</v>
      </c>
      <c r="B2984" s="49" t="s">
        <v>36</v>
      </c>
      <c r="C2984" s="51">
        <v>53759.199999999997</v>
      </c>
      <c r="D2984" s="51">
        <v>0</v>
      </c>
    </row>
    <row r="2985" spans="1:4" ht="15" customHeight="1">
      <c r="A2985" s="50">
        <v>45051</v>
      </c>
      <c r="B2985" s="49" t="s">
        <v>37</v>
      </c>
      <c r="C2985" s="51">
        <v>54134.6</v>
      </c>
      <c r="D2985" s="51">
        <v>0</v>
      </c>
    </row>
    <row r="2986" spans="1:4" ht="15" customHeight="1">
      <c r="A2986" s="50">
        <v>45051</v>
      </c>
      <c r="B2986" s="49" t="s">
        <v>38</v>
      </c>
      <c r="C2986" s="51">
        <v>53625.8</v>
      </c>
      <c r="D2986" s="51">
        <v>0</v>
      </c>
    </row>
    <row r="2987" spans="1:4" ht="15" customHeight="1">
      <c r="A2987" s="50">
        <v>45051</v>
      </c>
      <c r="B2987" s="49" t="s">
        <v>39</v>
      </c>
      <c r="C2987" s="51">
        <v>53273.7</v>
      </c>
      <c r="D2987" s="51">
        <v>0</v>
      </c>
    </row>
    <row r="2988" spans="1:4" ht="15" customHeight="1">
      <c r="A2988" s="50">
        <v>45051</v>
      </c>
      <c r="B2988" s="49" t="s">
        <v>40</v>
      </c>
      <c r="C2988" s="51">
        <v>53287.1</v>
      </c>
      <c r="D2988" s="51">
        <v>0</v>
      </c>
    </row>
    <row r="2989" spans="1:4" ht="15" customHeight="1">
      <c r="A2989" s="50">
        <v>45051</v>
      </c>
      <c r="B2989" s="49" t="s">
        <v>41</v>
      </c>
      <c r="C2989" s="51">
        <v>53189.5</v>
      </c>
      <c r="D2989" s="51">
        <v>0</v>
      </c>
    </row>
    <row r="2990" spans="1:4" ht="15" customHeight="1">
      <c r="A2990" s="50">
        <v>45051</v>
      </c>
      <c r="B2990" s="49" t="s">
        <v>42</v>
      </c>
      <c r="C2990" s="51">
        <v>53193.7</v>
      </c>
      <c r="D2990" s="51">
        <v>0</v>
      </c>
    </row>
    <row r="2991" spans="1:4" ht="15" customHeight="1">
      <c r="A2991" s="50">
        <v>45051</v>
      </c>
      <c r="B2991" s="49" t="s">
        <v>43</v>
      </c>
      <c r="C2991" s="51">
        <v>57201.4</v>
      </c>
      <c r="D2991" s="51">
        <v>0</v>
      </c>
    </row>
    <row r="2992" spans="1:4" ht="15" customHeight="1">
      <c r="A2992" s="50">
        <v>45051</v>
      </c>
      <c r="B2992" s="49" t="s">
        <v>44</v>
      </c>
      <c r="C2992" s="51">
        <v>65201.5</v>
      </c>
      <c r="D2992" s="51">
        <v>0</v>
      </c>
    </row>
    <row r="2993" spans="1:4" ht="15" customHeight="1">
      <c r="A2993" s="50">
        <v>45051</v>
      </c>
      <c r="B2993" s="49" t="s">
        <v>45</v>
      </c>
      <c r="C2993" s="51">
        <v>65690.399999999994</v>
      </c>
      <c r="D2993" s="51">
        <v>0</v>
      </c>
    </row>
    <row r="2994" spans="1:4" ht="15" customHeight="1">
      <c r="A2994" s="50">
        <v>45051</v>
      </c>
      <c r="B2994" s="49" t="s">
        <v>46</v>
      </c>
      <c r="C2994" s="51">
        <v>66632.3</v>
      </c>
      <c r="D2994" s="51">
        <v>0</v>
      </c>
    </row>
    <row r="2995" spans="1:4" ht="15" customHeight="1">
      <c r="A2995" s="50">
        <v>45051</v>
      </c>
      <c r="B2995" s="49" t="s">
        <v>47</v>
      </c>
      <c r="C2995" s="51">
        <v>66977.5</v>
      </c>
      <c r="D2995" s="51">
        <v>0</v>
      </c>
    </row>
    <row r="2996" spans="1:4" ht="15" customHeight="1">
      <c r="A2996" s="50">
        <v>45051</v>
      </c>
      <c r="B2996" s="49" t="s">
        <v>48</v>
      </c>
      <c r="C2996" s="51">
        <v>67337.3</v>
      </c>
      <c r="D2996" s="51">
        <v>0</v>
      </c>
    </row>
    <row r="2997" spans="1:4" ht="15" customHeight="1">
      <c r="A2997" s="50">
        <v>45051</v>
      </c>
      <c r="B2997" s="49" t="s">
        <v>49</v>
      </c>
      <c r="C2997" s="51">
        <v>70531.3</v>
      </c>
      <c r="D2997" s="51">
        <v>0</v>
      </c>
    </row>
    <row r="2998" spans="1:4" ht="15" customHeight="1">
      <c r="A2998" s="50">
        <v>45051</v>
      </c>
      <c r="B2998" s="49" t="s">
        <v>50</v>
      </c>
      <c r="C2998" s="51">
        <v>69220.3</v>
      </c>
      <c r="D2998" s="51">
        <v>0</v>
      </c>
    </row>
    <row r="2999" spans="1:4" ht="15" customHeight="1">
      <c r="A2999" s="50">
        <v>45051</v>
      </c>
      <c r="B2999" s="49" t="s">
        <v>51</v>
      </c>
      <c r="C2999" s="51">
        <v>71166.8</v>
      </c>
      <c r="D2999" s="51">
        <v>0</v>
      </c>
    </row>
    <row r="3000" spans="1:4" ht="15" customHeight="1">
      <c r="A3000" s="50">
        <v>45051</v>
      </c>
      <c r="B3000" s="49" t="s">
        <v>52</v>
      </c>
      <c r="C3000" s="51">
        <v>68249.100000000006</v>
      </c>
      <c r="D3000" s="51">
        <v>0</v>
      </c>
    </row>
    <row r="3001" spans="1:4" ht="15" customHeight="1">
      <c r="A3001" s="50">
        <v>45051</v>
      </c>
      <c r="B3001" s="49" t="s">
        <v>53</v>
      </c>
      <c r="C3001" s="51">
        <v>68364.7</v>
      </c>
      <c r="D3001" s="51">
        <v>0</v>
      </c>
    </row>
    <row r="3002" spans="1:4" ht="15" customHeight="1">
      <c r="A3002" s="50">
        <v>45052</v>
      </c>
      <c r="B3002" s="49" t="s">
        <v>30</v>
      </c>
      <c r="C3002" s="51">
        <v>68152.100000000006</v>
      </c>
      <c r="D3002" s="51">
        <v>0</v>
      </c>
    </row>
    <row r="3003" spans="1:4" ht="15" customHeight="1">
      <c r="A3003" s="50">
        <v>45052</v>
      </c>
      <c r="B3003" s="49" t="s">
        <v>31</v>
      </c>
      <c r="C3003" s="51">
        <v>68293.399999999994</v>
      </c>
      <c r="D3003" s="51">
        <v>0</v>
      </c>
    </row>
    <row r="3004" spans="1:4" ht="15" customHeight="1">
      <c r="A3004" s="50">
        <v>45052</v>
      </c>
      <c r="B3004" s="49" t="s">
        <v>32</v>
      </c>
      <c r="C3004" s="51">
        <v>57001.2</v>
      </c>
      <c r="D3004" s="51">
        <v>0</v>
      </c>
    </row>
    <row r="3005" spans="1:4" ht="15" customHeight="1">
      <c r="A3005" s="50">
        <v>45052</v>
      </c>
      <c r="B3005" s="49" t="s">
        <v>33</v>
      </c>
      <c r="C3005" s="51">
        <v>54338.1</v>
      </c>
      <c r="D3005" s="51">
        <v>0</v>
      </c>
    </row>
    <row r="3006" spans="1:4" ht="15" customHeight="1">
      <c r="A3006" s="50">
        <v>45052</v>
      </c>
      <c r="B3006" s="49" t="s">
        <v>34</v>
      </c>
      <c r="C3006" s="51">
        <v>54588.4</v>
      </c>
      <c r="D3006" s="51">
        <v>0</v>
      </c>
    </row>
    <row r="3007" spans="1:4" ht="15" customHeight="1">
      <c r="A3007" s="50">
        <v>45052</v>
      </c>
      <c r="B3007" s="49" t="s">
        <v>35</v>
      </c>
      <c r="C3007" s="51">
        <v>54341.599999999999</v>
      </c>
      <c r="D3007" s="51">
        <v>0</v>
      </c>
    </row>
    <row r="3008" spans="1:4" ht="15" customHeight="1">
      <c r="A3008" s="50">
        <v>45052</v>
      </c>
      <c r="B3008" s="49" t="s">
        <v>36</v>
      </c>
      <c r="C3008" s="51">
        <v>54399</v>
      </c>
      <c r="D3008" s="51">
        <v>0</v>
      </c>
    </row>
    <row r="3009" spans="1:4" ht="15" customHeight="1">
      <c r="A3009" s="50">
        <v>45052</v>
      </c>
      <c r="B3009" s="49" t="s">
        <v>37</v>
      </c>
      <c r="C3009" s="51">
        <v>54477.7</v>
      </c>
      <c r="D3009" s="51">
        <v>0</v>
      </c>
    </row>
    <row r="3010" spans="1:4" ht="15" customHeight="1">
      <c r="A3010" s="50">
        <v>45052</v>
      </c>
      <c r="B3010" s="49" t="s">
        <v>38</v>
      </c>
      <c r="C3010" s="51">
        <v>54614.8</v>
      </c>
      <c r="D3010" s="51">
        <v>0</v>
      </c>
    </row>
    <row r="3011" spans="1:4" ht="15" customHeight="1">
      <c r="A3011" s="50">
        <v>45052</v>
      </c>
      <c r="B3011" s="49" t="s">
        <v>39</v>
      </c>
      <c r="C3011" s="51">
        <v>54340</v>
      </c>
      <c r="D3011" s="51">
        <v>0</v>
      </c>
    </row>
    <row r="3012" spans="1:4" ht="15" customHeight="1">
      <c r="A3012" s="50">
        <v>45052</v>
      </c>
      <c r="B3012" s="49" t="s">
        <v>40</v>
      </c>
      <c r="C3012" s="51">
        <v>53710.8</v>
      </c>
      <c r="D3012" s="51">
        <v>0</v>
      </c>
    </row>
    <row r="3013" spans="1:4" ht="15" customHeight="1">
      <c r="A3013" s="50">
        <v>45052</v>
      </c>
      <c r="B3013" s="49" t="s">
        <v>41</v>
      </c>
      <c r="C3013" s="51">
        <v>53224.7</v>
      </c>
      <c r="D3013" s="51">
        <v>0</v>
      </c>
    </row>
    <row r="3014" spans="1:4" ht="15" customHeight="1">
      <c r="A3014" s="50">
        <v>45052</v>
      </c>
      <c r="B3014" s="49" t="s">
        <v>42</v>
      </c>
      <c r="C3014" s="51">
        <v>53874.3</v>
      </c>
      <c r="D3014" s="51">
        <v>0</v>
      </c>
    </row>
    <row r="3015" spans="1:4" ht="15" customHeight="1">
      <c r="A3015" s="50">
        <v>45052</v>
      </c>
      <c r="B3015" s="49" t="s">
        <v>43</v>
      </c>
      <c r="C3015" s="51">
        <v>53880.9</v>
      </c>
      <c r="D3015" s="51">
        <v>0</v>
      </c>
    </row>
    <row r="3016" spans="1:4" ht="15" customHeight="1">
      <c r="A3016" s="50">
        <v>45052</v>
      </c>
      <c r="B3016" s="49" t="s">
        <v>44</v>
      </c>
      <c r="C3016" s="51">
        <v>53876.6</v>
      </c>
      <c r="D3016" s="51">
        <v>0</v>
      </c>
    </row>
    <row r="3017" spans="1:4" ht="15" customHeight="1">
      <c r="A3017" s="50">
        <v>45052</v>
      </c>
      <c r="B3017" s="49" t="s">
        <v>45</v>
      </c>
      <c r="C3017" s="51">
        <v>53854</v>
      </c>
      <c r="D3017" s="51">
        <v>0</v>
      </c>
    </row>
    <row r="3018" spans="1:4" ht="15" customHeight="1">
      <c r="A3018" s="50">
        <v>45052</v>
      </c>
      <c r="B3018" s="49" t="s">
        <v>46</v>
      </c>
      <c r="C3018" s="51">
        <v>53946.1</v>
      </c>
      <c r="D3018" s="51">
        <v>0</v>
      </c>
    </row>
    <row r="3019" spans="1:4" ht="15" customHeight="1">
      <c r="A3019" s="50">
        <v>45052</v>
      </c>
      <c r="B3019" s="49" t="s">
        <v>47</v>
      </c>
      <c r="C3019" s="51">
        <v>54011</v>
      </c>
      <c r="D3019" s="51">
        <v>0</v>
      </c>
    </row>
    <row r="3020" spans="1:4" ht="15" customHeight="1">
      <c r="A3020" s="50">
        <v>45052</v>
      </c>
      <c r="B3020" s="49" t="s">
        <v>48</v>
      </c>
      <c r="C3020" s="51">
        <v>66084.100000000006</v>
      </c>
      <c r="D3020" s="51">
        <v>0</v>
      </c>
    </row>
    <row r="3021" spans="1:4" ht="15" customHeight="1">
      <c r="A3021" s="50">
        <v>45052</v>
      </c>
      <c r="B3021" s="49" t="s">
        <v>49</v>
      </c>
      <c r="C3021" s="51">
        <v>68134.399999999994</v>
      </c>
      <c r="D3021" s="51">
        <v>0</v>
      </c>
    </row>
    <row r="3022" spans="1:4" ht="15" customHeight="1">
      <c r="A3022" s="50">
        <v>45052</v>
      </c>
      <c r="B3022" s="49" t="s">
        <v>50</v>
      </c>
      <c r="C3022" s="51">
        <v>68341.600000000006</v>
      </c>
      <c r="D3022" s="51">
        <v>0</v>
      </c>
    </row>
    <row r="3023" spans="1:4" ht="15" customHeight="1">
      <c r="A3023" s="50">
        <v>45052</v>
      </c>
      <c r="B3023" s="49" t="s">
        <v>51</v>
      </c>
      <c r="C3023" s="51">
        <v>58332.6</v>
      </c>
      <c r="D3023" s="51">
        <v>0</v>
      </c>
    </row>
    <row r="3024" spans="1:4" ht="15" customHeight="1">
      <c r="A3024" s="50">
        <v>45052</v>
      </c>
      <c r="B3024" s="49" t="s">
        <v>52</v>
      </c>
      <c r="C3024" s="51">
        <v>69055.399999999994</v>
      </c>
      <c r="D3024" s="51">
        <v>0</v>
      </c>
    </row>
    <row r="3025" spans="1:4" ht="15" customHeight="1">
      <c r="A3025" s="50">
        <v>45052</v>
      </c>
      <c r="B3025" s="49" t="s">
        <v>53</v>
      </c>
      <c r="C3025" s="51">
        <v>68982.2</v>
      </c>
      <c r="D3025" s="51">
        <v>0</v>
      </c>
    </row>
    <row r="3026" spans="1:4" ht="15" customHeight="1">
      <c r="A3026" s="50">
        <v>45053</v>
      </c>
      <c r="B3026" s="49" t="s">
        <v>30</v>
      </c>
      <c r="C3026" s="51">
        <v>68360.600000000006</v>
      </c>
      <c r="D3026" s="51">
        <v>0</v>
      </c>
    </row>
    <row r="3027" spans="1:4" ht="15" customHeight="1">
      <c r="A3027" s="50">
        <v>45053</v>
      </c>
      <c r="B3027" s="49" t="s">
        <v>31</v>
      </c>
      <c r="C3027" s="51">
        <v>63617.2</v>
      </c>
      <c r="D3027" s="51">
        <v>0</v>
      </c>
    </row>
    <row r="3028" spans="1:4" ht="15" customHeight="1">
      <c r="A3028" s="50">
        <v>45053</v>
      </c>
      <c r="B3028" s="49" t="s">
        <v>32</v>
      </c>
      <c r="C3028" s="51">
        <v>54432.9</v>
      </c>
      <c r="D3028" s="51">
        <v>0</v>
      </c>
    </row>
    <row r="3029" spans="1:4" ht="15" customHeight="1">
      <c r="A3029" s="50">
        <v>45053</v>
      </c>
      <c r="B3029" s="49" t="s">
        <v>33</v>
      </c>
      <c r="C3029" s="51">
        <v>54118.400000000001</v>
      </c>
      <c r="D3029" s="51">
        <v>0</v>
      </c>
    </row>
    <row r="3030" spans="1:4" ht="15" customHeight="1">
      <c r="A3030" s="50">
        <v>45053</v>
      </c>
      <c r="B3030" s="49" t="s">
        <v>34</v>
      </c>
      <c r="C3030" s="51">
        <v>54201.4</v>
      </c>
      <c r="D3030" s="51">
        <v>0</v>
      </c>
    </row>
    <row r="3031" spans="1:4" ht="15" customHeight="1">
      <c r="A3031" s="50">
        <v>45053</v>
      </c>
      <c r="B3031" s="49" t="s">
        <v>35</v>
      </c>
      <c r="C3031" s="51">
        <v>54088.800000000003</v>
      </c>
      <c r="D3031" s="51">
        <v>0</v>
      </c>
    </row>
    <row r="3032" spans="1:4" ht="15" customHeight="1">
      <c r="A3032" s="50">
        <v>45053</v>
      </c>
      <c r="B3032" s="49" t="s">
        <v>36</v>
      </c>
      <c r="C3032" s="51">
        <v>53818.3</v>
      </c>
      <c r="D3032" s="51">
        <v>0</v>
      </c>
    </row>
    <row r="3033" spans="1:4" ht="15" customHeight="1">
      <c r="A3033" s="50">
        <v>45053</v>
      </c>
      <c r="B3033" s="49" t="s">
        <v>37</v>
      </c>
      <c r="C3033" s="51">
        <v>53985</v>
      </c>
      <c r="D3033" s="51">
        <v>0</v>
      </c>
    </row>
    <row r="3034" spans="1:4" ht="15" customHeight="1">
      <c r="A3034" s="50">
        <v>45053</v>
      </c>
      <c r="B3034" s="49" t="s">
        <v>38</v>
      </c>
      <c r="C3034" s="51">
        <v>53931.8</v>
      </c>
      <c r="D3034" s="51">
        <v>0</v>
      </c>
    </row>
    <row r="3035" spans="1:4" ht="15" customHeight="1">
      <c r="A3035" s="50">
        <v>45053</v>
      </c>
      <c r="B3035" s="49" t="s">
        <v>39</v>
      </c>
      <c r="C3035" s="51">
        <v>53833.3</v>
      </c>
      <c r="D3035" s="51">
        <v>0</v>
      </c>
    </row>
    <row r="3036" spans="1:4" ht="15" customHeight="1">
      <c r="A3036" s="50">
        <v>45053</v>
      </c>
      <c r="B3036" s="49" t="s">
        <v>40</v>
      </c>
      <c r="C3036" s="51">
        <v>53969.7</v>
      </c>
      <c r="D3036" s="51">
        <v>0</v>
      </c>
    </row>
    <row r="3037" spans="1:4" ht="15" customHeight="1">
      <c r="A3037" s="50">
        <v>45053</v>
      </c>
      <c r="B3037" s="49" t="s">
        <v>41</v>
      </c>
      <c r="C3037" s="51">
        <v>53899.3</v>
      </c>
      <c r="D3037" s="51">
        <v>0</v>
      </c>
    </row>
    <row r="3038" spans="1:4" ht="15" customHeight="1">
      <c r="A3038" s="50">
        <v>45053</v>
      </c>
      <c r="B3038" s="49" t="s">
        <v>42</v>
      </c>
      <c r="C3038" s="51">
        <v>53898.8</v>
      </c>
      <c r="D3038" s="51">
        <v>0</v>
      </c>
    </row>
    <row r="3039" spans="1:4" ht="15" customHeight="1">
      <c r="A3039" s="50">
        <v>45053</v>
      </c>
      <c r="B3039" s="49" t="s">
        <v>43</v>
      </c>
      <c r="C3039" s="51">
        <v>53911.8</v>
      </c>
      <c r="D3039" s="51">
        <v>0</v>
      </c>
    </row>
    <row r="3040" spans="1:4" ht="15" customHeight="1">
      <c r="A3040" s="50">
        <v>45053</v>
      </c>
      <c r="B3040" s="49" t="s">
        <v>44</v>
      </c>
      <c r="C3040" s="51">
        <v>53871.5</v>
      </c>
      <c r="D3040" s="51">
        <v>0</v>
      </c>
    </row>
    <row r="3041" spans="1:4" ht="15" customHeight="1">
      <c r="A3041" s="50">
        <v>45053</v>
      </c>
      <c r="B3041" s="49" t="s">
        <v>45</v>
      </c>
      <c r="C3041" s="51">
        <v>53923.3</v>
      </c>
      <c r="D3041" s="51">
        <v>0</v>
      </c>
    </row>
    <row r="3042" spans="1:4" ht="15" customHeight="1">
      <c r="A3042" s="50">
        <v>45053</v>
      </c>
      <c r="B3042" s="49" t="s">
        <v>46</v>
      </c>
      <c r="C3042" s="51">
        <v>53891.9</v>
      </c>
      <c r="D3042" s="51">
        <v>0</v>
      </c>
    </row>
    <row r="3043" spans="1:4" ht="15" customHeight="1">
      <c r="A3043" s="50">
        <v>45053</v>
      </c>
      <c r="B3043" s="49" t="s">
        <v>47</v>
      </c>
      <c r="C3043" s="51">
        <v>53983.199999999997</v>
      </c>
      <c r="D3043" s="51">
        <v>0</v>
      </c>
    </row>
    <row r="3044" spans="1:4" ht="15" customHeight="1">
      <c r="A3044" s="50">
        <v>45053</v>
      </c>
      <c r="B3044" s="49" t="s">
        <v>48</v>
      </c>
      <c r="C3044" s="51">
        <v>60611.1</v>
      </c>
      <c r="D3044" s="51">
        <v>0</v>
      </c>
    </row>
    <row r="3045" spans="1:4" ht="15" customHeight="1">
      <c r="A3045" s="50">
        <v>45053</v>
      </c>
      <c r="B3045" s="49" t="s">
        <v>49</v>
      </c>
      <c r="C3045" s="51">
        <v>66405.8</v>
      </c>
      <c r="D3045" s="51">
        <v>0</v>
      </c>
    </row>
    <row r="3046" spans="1:4" ht="15" customHeight="1">
      <c r="A3046" s="50">
        <v>45053</v>
      </c>
      <c r="B3046" s="49" t="s">
        <v>50</v>
      </c>
      <c r="C3046" s="51">
        <v>66438.399999999994</v>
      </c>
      <c r="D3046" s="51">
        <v>0</v>
      </c>
    </row>
    <row r="3047" spans="1:4" ht="15" customHeight="1">
      <c r="A3047" s="50">
        <v>45053</v>
      </c>
      <c r="B3047" s="49" t="s">
        <v>51</v>
      </c>
      <c r="C3047" s="51">
        <v>66099.199999999997</v>
      </c>
      <c r="D3047" s="51">
        <v>0</v>
      </c>
    </row>
    <row r="3048" spans="1:4" ht="15" customHeight="1">
      <c r="A3048" s="50">
        <v>45053</v>
      </c>
      <c r="B3048" s="49" t="s">
        <v>52</v>
      </c>
      <c r="C3048" s="51">
        <v>66318.3</v>
      </c>
      <c r="D3048" s="51">
        <v>0</v>
      </c>
    </row>
    <row r="3049" spans="1:4" ht="15" customHeight="1">
      <c r="A3049" s="50">
        <v>45053</v>
      </c>
      <c r="B3049" s="49" t="s">
        <v>53</v>
      </c>
      <c r="C3049" s="51">
        <v>66238.2</v>
      </c>
      <c r="D3049" s="51">
        <v>0</v>
      </c>
    </row>
    <row r="3050" spans="1:4" ht="15" customHeight="1">
      <c r="A3050" s="50">
        <v>45054</v>
      </c>
      <c r="B3050" s="49" t="s">
        <v>30</v>
      </c>
      <c r="C3050" s="51">
        <v>66021.3</v>
      </c>
      <c r="D3050" s="51">
        <v>0</v>
      </c>
    </row>
    <row r="3051" spans="1:4" ht="15" customHeight="1">
      <c r="A3051" s="50">
        <v>45054</v>
      </c>
      <c r="B3051" s="49" t="s">
        <v>31</v>
      </c>
      <c r="C3051" s="51">
        <v>55421.7</v>
      </c>
      <c r="D3051" s="51">
        <v>0</v>
      </c>
    </row>
    <row r="3052" spans="1:4" ht="15" customHeight="1">
      <c r="A3052" s="50">
        <v>45054</v>
      </c>
      <c r="B3052" s="49" t="s">
        <v>32</v>
      </c>
      <c r="C3052" s="51">
        <v>55232.4</v>
      </c>
      <c r="D3052" s="51">
        <v>0</v>
      </c>
    </row>
    <row r="3053" spans="1:4" ht="15" customHeight="1">
      <c r="A3053" s="50">
        <v>45054</v>
      </c>
      <c r="B3053" s="49" t="s">
        <v>33</v>
      </c>
      <c r="C3053" s="51">
        <v>53174.1</v>
      </c>
      <c r="D3053" s="51">
        <v>0</v>
      </c>
    </row>
    <row r="3054" spans="1:4" ht="15" customHeight="1">
      <c r="A3054" s="50">
        <v>45054</v>
      </c>
      <c r="B3054" s="49" t="s">
        <v>34</v>
      </c>
      <c r="C3054" s="51">
        <v>53630.6</v>
      </c>
      <c r="D3054" s="51">
        <v>0</v>
      </c>
    </row>
    <row r="3055" spans="1:4" ht="15" customHeight="1">
      <c r="A3055" s="50">
        <v>45054</v>
      </c>
      <c r="B3055" s="49" t="s">
        <v>35</v>
      </c>
      <c r="C3055" s="51">
        <v>54121</v>
      </c>
      <c r="D3055" s="51">
        <v>0</v>
      </c>
    </row>
    <row r="3056" spans="1:4" ht="15" customHeight="1">
      <c r="A3056" s="50">
        <v>45054</v>
      </c>
      <c r="B3056" s="49" t="s">
        <v>36</v>
      </c>
      <c r="C3056" s="51">
        <v>54662.2</v>
      </c>
      <c r="D3056" s="51">
        <v>0</v>
      </c>
    </row>
    <row r="3057" spans="1:4" ht="15" customHeight="1">
      <c r="A3057" s="50">
        <v>45054</v>
      </c>
      <c r="B3057" s="49" t="s">
        <v>37</v>
      </c>
      <c r="C3057" s="51">
        <v>54833.2</v>
      </c>
      <c r="D3057" s="51">
        <v>0</v>
      </c>
    </row>
    <row r="3058" spans="1:4" ht="15" customHeight="1">
      <c r="A3058" s="50">
        <v>45054</v>
      </c>
      <c r="B3058" s="49" t="s">
        <v>38</v>
      </c>
      <c r="C3058" s="51">
        <v>53810</v>
      </c>
      <c r="D3058" s="51">
        <v>0</v>
      </c>
    </row>
    <row r="3059" spans="1:4" ht="15" customHeight="1">
      <c r="A3059" s="50">
        <v>45054</v>
      </c>
      <c r="B3059" s="49" t="s">
        <v>39</v>
      </c>
      <c r="C3059" s="51">
        <v>53921.599999999999</v>
      </c>
      <c r="D3059" s="51">
        <v>0</v>
      </c>
    </row>
    <row r="3060" spans="1:4" ht="15" customHeight="1">
      <c r="A3060" s="50">
        <v>45054</v>
      </c>
      <c r="B3060" s="49" t="s">
        <v>40</v>
      </c>
      <c r="C3060" s="51">
        <v>54054.3</v>
      </c>
      <c r="D3060" s="51">
        <v>0</v>
      </c>
    </row>
    <row r="3061" spans="1:4" ht="15" customHeight="1">
      <c r="A3061" s="50">
        <v>45054</v>
      </c>
      <c r="B3061" s="49" t="s">
        <v>41</v>
      </c>
      <c r="C3061" s="51">
        <v>53059.199999999997</v>
      </c>
      <c r="D3061" s="51">
        <v>0</v>
      </c>
    </row>
    <row r="3062" spans="1:4" ht="15" customHeight="1">
      <c r="A3062" s="50">
        <v>45054</v>
      </c>
      <c r="B3062" s="49" t="s">
        <v>42</v>
      </c>
      <c r="C3062" s="51">
        <v>57071.1</v>
      </c>
      <c r="D3062" s="51">
        <v>0</v>
      </c>
    </row>
    <row r="3063" spans="1:4" ht="15" customHeight="1">
      <c r="A3063" s="50">
        <v>45054</v>
      </c>
      <c r="B3063" s="49" t="s">
        <v>43</v>
      </c>
      <c r="C3063" s="51">
        <v>68304.399999999994</v>
      </c>
      <c r="D3063" s="51">
        <v>0</v>
      </c>
    </row>
    <row r="3064" spans="1:4" ht="15" customHeight="1">
      <c r="A3064" s="50">
        <v>45054</v>
      </c>
      <c r="B3064" s="49" t="s">
        <v>44</v>
      </c>
      <c r="C3064" s="51">
        <v>68391.399999999994</v>
      </c>
      <c r="D3064" s="51">
        <v>0</v>
      </c>
    </row>
    <row r="3065" spans="1:4" ht="15" customHeight="1">
      <c r="A3065" s="50">
        <v>45054</v>
      </c>
      <c r="B3065" s="49" t="s">
        <v>45</v>
      </c>
      <c r="C3065" s="51">
        <v>68654.7</v>
      </c>
      <c r="D3065" s="51">
        <v>0</v>
      </c>
    </row>
    <row r="3066" spans="1:4" ht="15" customHeight="1">
      <c r="A3066" s="50">
        <v>45054</v>
      </c>
      <c r="B3066" s="49" t="s">
        <v>46</v>
      </c>
      <c r="C3066" s="51">
        <v>68055.899999999994</v>
      </c>
      <c r="D3066" s="51">
        <v>0</v>
      </c>
    </row>
    <row r="3067" spans="1:4" ht="15" customHeight="1">
      <c r="A3067" s="50">
        <v>45054</v>
      </c>
      <c r="B3067" s="49" t="s">
        <v>47</v>
      </c>
      <c r="C3067" s="51">
        <v>68046.399999999994</v>
      </c>
      <c r="D3067" s="51">
        <v>0</v>
      </c>
    </row>
    <row r="3068" spans="1:4" ht="15" customHeight="1">
      <c r="A3068" s="50">
        <v>45054</v>
      </c>
      <c r="B3068" s="49" t="s">
        <v>48</v>
      </c>
      <c r="C3068" s="51">
        <v>68693</v>
      </c>
      <c r="D3068" s="51">
        <v>0</v>
      </c>
    </row>
    <row r="3069" spans="1:4" ht="15" customHeight="1">
      <c r="A3069" s="50">
        <v>45054</v>
      </c>
      <c r="B3069" s="49" t="s">
        <v>49</v>
      </c>
      <c r="C3069" s="51">
        <v>68597.2</v>
      </c>
      <c r="D3069" s="51">
        <v>0</v>
      </c>
    </row>
    <row r="3070" spans="1:4" ht="15" customHeight="1">
      <c r="A3070" s="50">
        <v>45054</v>
      </c>
      <c r="B3070" s="49" t="s">
        <v>50</v>
      </c>
      <c r="C3070" s="51">
        <v>68860</v>
      </c>
      <c r="D3070" s="51">
        <v>0</v>
      </c>
    </row>
    <row r="3071" spans="1:4" ht="15" customHeight="1">
      <c r="A3071" s="50">
        <v>45054</v>
      </c>
      <c r="B3071" s="49" t="s">
        <v>51</v>
      </c>
      <c r="C3071" s="51">
        <v>68992.600000000006</v>
      </c>
      <c r="D3071" s="51">
        <v>0</v>
      </c>
    </row>
    <row r="3072" spans="1:4" ht="15" customHeight="1">
      <c r="A3072" s="50">
        <v>45054</v>
      </c>
      <c r="B3072" s="49" t="s">
        <v>52</v>
      </c>
      <c r="C3072" s="51">
        <v>67851.8</v>
      </c>
      <c r="D3072" s="51">
        <v>0</v>
      </c>
    </row>
    <row r="3073" spans="1:4" ht="15" customHeight="1">
      <c r="A3073" s="50">
        <v>45054</v>
      </c>
      <c r="B3073" s="49" t="s">
        <v>53</v>
      </c>
      <c r="C3073" s="51">
        <v>67752.399999999994</v>
      </c>
      <c r="D3073" s="51">
        <v>0</v>
      </c>
    </row>
    <row r="3074" spans="1:4" ht="15" customHeight="1">
      <c r="A3074" s="50">
        <v>45055</v>
      </c>
      <c r="B3074" s="49" t="s">
        <v>30</v>
      </c>
      <c r="C3074" s="51">
        <v>64959.199999999997</v>
      </c>
      <c r="D3074" s="51">
        <v>0</v>
      </c>
    </row>
    <row r="3075" spans="1:4" ht="15" customHeight="1">
      <c r="A3075" s="50">
        <v>45055</v>
      </c>
      <c r="B3075" s="49" t="s">
        <v>31</v>
      </c>
      <c r="C3075" s="51">
        <v>65280.6</v>
      </c>
      <c r="D3075" s="51">
        <v>0</v>
      </c>
    </row>
    <row r="3076" spans="1:4" ht="15" customHeight="1">
      <c r="A3076" s="50">
        <v>45055</v>
      </c>
      <c r="B3076" s="49" t="s">
        <v>32</v>
      </c>
      <c r="C3076" s="51">
        <v>58751.7</v>
      </c>
      <c r="D3076" s="51">
        <v>0</v>
      </c>
    </row>
    <row r="3077" spans="1:4" ht="15" customHeight="1">
      <c r="A3077" s="50">
        <v>45055</v>
      </c>
      <c r="B3077" s="49" t="s">
        <v>33</v>
      </c>
      <c r="C3077" s="51">
        <v>65145</v>
      </c>
      <c r="D3077" s="51">
        <v>0</v>
      </c>
    </row>
    <row r="3078" spans="1:4" ht="15" customHeight="1">
      <c r="A3078" s="50">
        <v>45055</v>
      </c>
      <c r="B3078" s="49" t="s">
        <v>34</v>
      </c>
      <c r="C3078" s="51">
        <v>65246.3</v>
      </c>
      <c r="D3078" s="51">
        <v>0</v>
      </c>
    </row>
    <row r="3079" spans="1:4" ht="15" customHeight="1">
      <c r="A3079" s="50">
        <v>45055</v>
      </c>
      <c r="B3079" s="49" t="s">
        <v>35</v>
      </c>
      <c r="C3079" s="51">
        <v>56521.3</v>
      </c>
      <c r="D3079" s="51">
        <v>0</v>
      </c>
    </row>
    <row r="3080" spans="1:4" ht="15" customHeight="1">
      <c r="A3080" s="50">
        <v>45055</v>
      </c>
      <c r="B3080" s="49" t="s">
        <v>36</v>
      </c>
      <c r="C3080" s="51">
        <v>55309.7</v>
      </c>
      <c r="D3080" s="51">
        <v>0</v>
      </c>
    </row>
    <row r="3081" spans="1:4" ht="15" customHeight="1">
      <c r="A3081" s="50">
        <v>45055</v>
      </c>
      <c r="B3081" s="49" t="s">
        <v>37</v>
      </c>
      <c r="C3081" s="51">
        <v>54223.6</v>
      </c>
      <c r="D3081" s="51">
        <v>0</v>
      </c>
    </row>
    <row r="3082" spans="1:4" ht="15" customHeight="1">
      <c r="A3082" s="50">
        <v>45055</v>
      </c>
      <c r="B3082" s="49" t="s">
        <v>38</v>
      </c>
      <c r="C3082" s="51">
        <v>53050.6</v>
      </c>
      <c r="D3082" s="51">
        <v>0</v>
      </c>
    </row>
    <row r="3083" spans="1:4" ht="15" customHeight="1">
      <c r="A3083" s="50">
        <v>45055</v>
      </c>
      <c r="B3083" s="49" t="s">
        <v>39</v>
      </c>
      <c r="C3083" s="51">
        <v>52995.8</v>
      </c>
      <c r="D3083" s="51">
        <v>0</v>
      </c>
    </row>
    <row r="3084" spans="1:4" ht="15" customHeight="1">
      <c r="A3084" s="50">
        <v>45055</v>
      </c>
      <c r="B3084" s="49" t="s">
        <v>40</v>
      </c>
      <c r="C3084" s="51">
        <v>53257.4</v>
      </c>
      <c r="D3084" s="51">
        <v>0</v>
      </c>
    </row>
    <row r="3085" spans="1:4" ht="15" customHeight="1">
      <c r="A3085" s="50">
        <v>45055</v>
      </c>
      <c r="B3085" s="49" t="s">
        <v>41</v>
      </c>
      <c r="C3085" s="51">
        <v>64329.8</v>
      </c>
      <c r="D3085" s="51">
        <v>0</v>
      </c>
    </row>
    <row r="3086" spans="1:4" ht="15" customHeight="1">
      <c r="A3086" s="50">
        <v>45055</v>
      </c>
      <c r="B3086" s="49" t="s">
        <v>42</v>
      </c>
      <c r="C3086" s="51">
        <v>66309</v>
      </c>
      <c r="D3086" s="51">
        <v>0</v>
      </c>
    </row>
    <row r="3087" spans="1:4" ht="15" customHeight="1">
      <c r="A3087" s="50">
        <v>45055</v>
      </c>
      <c r="B3087" s="49" t="s">
        <v>43</v>
      </c>
      <c r="C3087" s="51">
        <v>67800</v>
      </c>
      <c r="D3087" s="51">
        <v>0</v>
      </c>
    </row>
    <row r="3088" spans="1:4" ht="15" customHeight="1">
      <c r="A3088" s="50">
        <v>45055</v>
      </c>
      <c r="B3088" s="49" t="s">
        <v>44</v>
      </c>
      <c r="C3088" s="51">
        <v>67838.3</v>
      </c>
      <c r="D3088" s="51">
        <v>0</v>
      </c>
    </row>
    <row r="3089" spans="1:4" ht="15" customHeight="1">
      <c r="A3089" s="50">
        <v>45055</v>
      </c>
      <c r="B3089" s="49" t="s">
        <v>45</v>
      </c>
      <c r="C3089" s="51">
        <v>67492.5</v>
      </c>
      <c r="D3089" s="51">
        <v>0</v>
      </c>
    </row>
    <row r="3090" spans="1:4" ht="15" customHeight="1">
      <c r="A3090" s="50">
        <v>45055</v>
      </c>
      <c r="B3090" s="49" t="s">
        <v>46</v>
      </c>
      <c r="C3090" s="51">
        <v>67622.899999999994</v>
      </c>
      <c r="D3090" s="51">
        <v>0</v>
      </c>
    </row>
    <row r="3091" spans="1:4" ht="15" customHeight="1">
      <c r="A3091" s="50">
        <v>45055</v>
      </c>
      <c r="B3091" s="49" t="s">
        <v>47</v>
      </c>
      <c r="C3091" s="51">
        <v>68168.600000000006</v>
      </c>
      <c r="D3091" s="51">
        <v>0</v>
      </c>
    </row>
    <row r="3092" spans="1:4" ht="15" customHeight="1">
      <c r="A3092" s="50">
        <v>45055</v>
      </c>
      <c r="B3092" s="49" t="s">
        <v>48</v>
      </c>
      <c r="C3092" s="51">
        <v>67610.100000000006</v>
      </c>
      <c r="D3092" s="51">
        <v>0</v>
      </c>
    </row>
    <row r="3093" spans="1:4" ht="15" customHeight="1">
      <c r="A3093" s="50">
        <v>45055</v>
      </c>
      <c r="B3093" s="49" t="s">
        <v>49</v>
      </c>
      <c r="C3093" s="51">
        <v>68502.2</v>
      </c>
      <c r="D3093" s="51">
        <v>0</v>
      </c>
    </row>
    <row r="3094" spans="1:4" ht="15" customHeight="1">
      <c r="A3094" s="50">
        <v>45055</v>
      </c>
      <c r="B3094" s="49" t="s">
        <v>50</v>
      </c>
      <c r="C3094" s="51">
        <v>68517.5</v>
      </c>
      <c r="D3094" s="51">
        <v>0</v>
      </c>
    </row>
    <row r="3095" spans="1:4" ht="15" customHeight="1">
      <c r="A3095" s="50">
        <v>45055</v>
      </c>
      <c r="B3095" s="49" t="s">
        <v>51</v>
      </c>
      <c r="C3095" s="51">
        <v>68546.8</v>
      </c>
      <c r="D3095" s="51">
        <v>0</v>
      </c>
    </row>
    <row r="3096" spans="1:4" ht="15" customHeight="1">
      <c r="A3096" s="50">
        <v>45055</v>
      </c>
      <c r="B3096" s="49" t="s">
        <v>52</v>
      </c>
      <c r="C3096" s="51">
        <v>69309.899999999994</v>
      </c>
      <c r="D3096" s="51">
        <v>0</v>
      </c>
    </row>
    <row r="3097" spans="1:4" ht="15" customHeight="1">
      <c r="A3097" s="50">
        <v>45055</v>
      </c>
      <c r="B3097" s="49" t="s">
        <v>53</v>
      </c>
      <c r="C3097" s="51">
        <v>69340.100000000006</v>
      </c>
      <c r="D3097" s="51">
        <v>0</v>
      </c>
    </row>
    <row r="3098" spans="1:4" ht="15" customHeight="1">
      <c r="A3098" s="50">
        <v>45056</v>
      </c>
      <c r="B3098" s="49" t="s">
        <v>30</v>
      </c>
      <c r="C3098" s="51">
        <v>68851.100000000006</v>
      </c>
      <c r="D3098" s="51">
        <v>0</v>
      </c>
    </row>
    <row r="3099" spans="1:4" ht="15" customHeight="1">
      <c r="A3099" s="50">
        <v>45056</v>
      </c>
      <c r="B3099" s="49" t="s">
        <v>31</v>
      </c>
      <c r="C3099" s="51">
        <v>68937.2</v>
      </c>
      <c r="D3099" s="51">
        <v>0</v>
      </c>
    </row>
    <row r="3100" spans="1:4" ht="15" customHeight="1">
      <c r="A3100" s="50">
        <v>45056</v>
      </c>
      <c r="B3100" s="49" t="s">
        <v>32</v>
      </c>
      <c r="C3100" s="51">
        <v>68339.5</v>
      </c>
      <c r="D3100" s="51">
        <v>0</v>
      </c>
    </row>
    <row r="3101" spans="1:4" ht="15" customHeight="1">
      <c r="A3101" s="50">
        <v>45056</v>
      </c>
      <c r="B3101" s="49" t="s">
        <v>33</v>
      </c>
      <c r="C3101" s="51">
        <v>55687</v>
      </c>
      <c r="D3101" s="51">
        <v>0</v>
      </c>
    </row>
    <row r="3102" spans="1:4" ht="15" customHeight="1">
      <c r="A3102" s="50">
        <v>45056</v>
      </c>
      <c r="B3102" s="49" t="s">
        <v>34</v>
      </c>
      <c r="C3102" s="51">
        <v>54881.8</v>
      </c>
      <c r="D3102" s="51">
        <v>0</v>
      </c>
    </row>
    <row r="3103" spans="1:4" ht="15" customHeight="1">
      <c r="A3103" s="50">
        <v>45056</v>
      </c>
      <c r="B3103" s="49" t="s">
        <v>35</v>
      </c>
      <c r="C3103" s="51">
        <v>54301.599999999999</v>
      </c>
      <c r="D3103" s="51">
        <v>0</v>
      </c>
    </row>
    <row r="3104" spans="1:4" ht="15" customHeight="1">
      <c r="A3104" s="50">
        <v>45056</v>
      </c>
      <c r="B3104" s="49" t="s">
        <v>36</v>
      </c>
      <c r="C3104" s="51">
        <v>54796.3</v>
      </c>
      <c r="D3104" s="51">
        <v>0</v>
      </c>
    </row>
    <row r="3105" spans="1:4" ht="15" customHeight="1">
      <c r="A3105" s="50">
        <v>45056</v>
      </c>
      <c r="B3105" s="49" t="s">
        <v>37</v>
      </c>
      <c r="C3105" s="51">
        <v>54860</v>
      </c>
      <c r="D3105" s="51">
        <v>0</v>
      </c>
    </row>
    <row r="3106" spans="1:4" ht="15" customHeight="1">
      <c r="A3106" s="50">
        <v>45056</v>
      </c>
      <c r="B3106" s="49" t="s">
        <v>38</v>
      </c>
      <c r="C3106" s="51">
        <v>55018.8</v>
      </c>
      <c r="D3106" s="51">
        <v>0</v>
      </c>
    </row>
    <row r="3107" spans="1:4" ht="15" customHeight="1">
      <c r="A3107" s="50">
        <v>45056</v>
      </c>
      <c r="B3107" s="49" t="s">
        <v>39</v>
      </c>
      <c r="C3107" s="51">
        <v>54821.1</v>
      </c>
      <c r="D3107" s="51">
        <v>0</v>
      </c>
    </row>
    <row r="3108" spans="1:4" ht="15" customHeight="1">
      <c r="A3108" s="50">
        <v>45056</v>
      </c>
      <c r="B3108" s="49" t="s">
        <v>40</v>
      </c>
      <c r="C3108" s="51">
        <v>54461.2</v>
      </c>
      <c r="D3108" s="51">
        <v>0</v>
      </c>
    </row>
    <row r="3109" spans="1:4" ht="15" customHeight="1">
      <c r="A3109" s="50">
        <v>45056</v>
      </c>
      <c r="B3109" s="49" t="s">
        <v>41</v>
      </c>
      <c r="C3109" s="51">
        <v>54623</v>
      </c>
      <c r="D3109" s="51">
        <v>0</v>
      </c>
    </row>
    <row r="3110" spans="1:4" ht="15" customHeight="1">
      <c r="A3110" s="50">
        <v>45056</v>
      </c>
      <c r="B3110" s="49" t="s">
        <v>42</v>
      </c>
      <c r="C3110" s="51">
        <v>53852.4</v>
      </c>
      <c r="D3110" s="51">
        <v>0</v>
      </c>
    </row>
    <row r="3111" spans="1:4" ht="15" customHeight="1">
      <c r="A3111" s="50">
        <v>45056</v>
      </c>
      <c r="B3111" s="49" t="s">
        <v>43</v>
      </c>
      <c r="C3111" s="51">
        <v>68706.2</v>
      </c>
      <c r="D3111" s="51">
        <v>0</v>
      </c>
    </row>
    <row r="3112" spans="1:4" ht="15" customHeight="1">
      <c r="A3112" s="50">
        <v>45056</v>
      </c>
      <c r="B3112" s="49" t="s">
        <v>44</v>
      </c>
      <c r="C3112" s="51">
        <v>68931.100000000006</v>
      </c>
      <c r="D3112" s="51">
        <v>0</v>
      </c>
    </row>
    <row r="3113" spans="1:4" ht="15" customHeight="1">
      <c r="A3113" s="50">
        <v>45056</v>
      </c>
      <c r="B3113" s="49" t="s">
        <v>45</v>
      </c>
      <c r="C3113" s="51">
        <v>68247.100000000006</v>
      </c>
      <c r="D3113" s="51">
        <v>0</v>
      </c>
    </row>
    <row r="3114" spans="1:4" ht="15" customHeight="1">
      <c r="A3114" s="50">
        <v>45056</v>
      </c>
      <c r="B3114" s="49" t="s">
        <v>46</v>
      </c>
      <c r="C3114" s="51">
        <v>69148.100000000006</v>
      </c>
      <c r="D3114" s="51">
        <v>0</v>
      </c>
    </row>
    <row r="3115" spans="1:4" ht="15" customHeight="1">
      <c r="A3115" s="50">
        <v>45056</v>
      </c>
      <c r="B3115" s="49" t="s">
        <v>47</v>
      </c>
      <c r="C3115" s="51">
        <v>68551.5</v>
      </c>
      <c r="D3115" s="51">
        <v>0</v>
      </c>
    </row>
    <row r="3116" spans="1:4" ht="15" customHeight="1">
      <c r="A3116" s="50">
        <v>45056</v>
      </c>
      <c r="B3116" s="49" t="s">
        <v>48</v>
      </c>
      <c r="C3116" s="51">
        <v>69032.3</v>
      </c>
      <c r="D3116" s="51">
        <v>0</v>
      </c>
    </row>
    <row r="3117" spans="1:4" ht="15" customHeight="1">
      <c r="A3117" s="50">
        <v>45056</v>
      </c>
      <c r="B3117" s="49" t="s">
        <v>49</v>
      </c>
      <c r="C3117" s="51">
        <v>68913</v>
      </c>
      <c r="D3117" s="51">
        <v>0</v>
      </c>
    </row>
    <row r="3118" spans="1:4" ht="15" customHeight="1">
      <c r="A3118" s="50">
        <v>45056</v>
      </c>
      <c r="B3118" s="49" t="s">
        <v>50</v>
      </c>
      <c r="C3118" s="51">
        <v>69303.5</v>
      </c>
      <c r="D3118" s="51">
        <v>0</v>
      </c>
    </row>
    <row r="3119" spans="1:4" ht="15" customHeight="1">
      <c r="A3119" s="50">
        <v>45056</v>
      </c>
      <c r="B3119" s="49" t="s">
        <v>51</v>
      </c>
      <c r="C3119" s="51">
        <v>70001.399999999994</v>
      </c>
      <c r="D3119" s="51">
        <v>0</v>
      </c>
    </row>
    <row r="3120" spans="1:4" ht="15" customHeight="1">
      <c r="A3120" s="50">
        <v>45056</v>
      </c>
      <c r="B3120" s="49" t="s">
        <v>52</v>
      </c>
      <c r="C3120" s="51">
        <v>69978.7</v>
      </c>
      <c r="D3120" s="51">
        <v>0</v>
      </c>
    </row>
    <row r="3121" spans="1:4" ht="15" customHeight="1">
      <c r="A3121" s="50">
        <v>45056</v>
      </c>
      <c r="B3121" s="49" t="s">
        <v>53</v>
      </c>
      <c r="C3121" s="51">
        <v>69960.2</v>
      </c>
      <c r="D3121" s="51">
        <v>0</v>
      </c>
    </row>
    <row r="3122" spans="1:4" ht="15" customHeight="1">
      <c r="A3122" s="50">
        <v>45057</v>
      </c>
      <c r="B3122" s="49" t="s">
        <v>30</v>
      </c>
      <c r="C3122" s="51">
        <v>69392.7</v>
      </c>
      <c r="D3122" s="51">
        <v>0</v>
      </c>
    </row>
    <row r="3123" spans="1:4" ht="15" customHeight="1">
      <c r="A3123" s="50">
        <v>45057</v>
      </c>
      <c r="B3123" s="49" t="s">
        <v>31</v>
      </c>
      <c r="C3123" s="51">
        <v>70011.899999999994</v>
      </c>
      <c r="D3123" s="51">
        <v>0</v>
      </c>
    </row>
    <row r="3124" spans="1:4" ht="15" customHeight="1">
      <c r="A3124" s="50">
        <v>45057</v>
      </c>
      <c r="B3124" s="49" t="s">
        <v>32</v>
      </c>
      <c r="C3124" s="51">
        <v>69813.100000000006</v>
      </c>
      <c r="D3124" s="51">
        <v>0</v>
      </c>
    </row>
    <row r="3125" spans="1:4" ht="15" customHeight="1">
      <c r="A3125" s="50">
        <v>45057</v>
      </c>
      <c r="B3125" s="49" t="s">
        <v>33</v>
      </c>
      <c r="C3125" s="51">
        <v>69935.899999999994</v>
      </c>
      <c r="D3125" s="51">
        <v>0</v>
      </c>
    </row>
    <row r="3126" spans="1:4" ht="15" customHeight="1">
      <c r="A3126" s="50">
        <v>45057</v>
      </c>
      <c r="B3126" s="49" t="s">
        <v>34</v>
      </c>
      <c r="C3126" s="51">
        <v>55237.2</v>
      </c>
      <c r="D3126" s="51">
        <v>0</v>
      </c>
    </row>
    <row r="3127" spans="1:4" ht="15" customHeight="1">
      <c r="A3127" s="50">
        <v>45057</v>
      </c>
      <c r="B3127" s="49" t="s">
        <v>35</v>
      </c>
      <c r="C3127" s="51">
        <v>54471.4</v>
      </c>
      <c r="D3127" s="51">
        <v>0</v>
      </c>
    </row>
    <row r="3128" spans="1:4" ht="15" customHeight="1">
      <c r="A3128" s="50">
        <v>45057</v>
      </c>
      <c r="B3128" s="49" t="s">
        <v>36</v>
      </c>
      <c r="C3128" s="51">
        <v>54640</v>
      </c>
      <c r="D3128" s="51">
        <v>0</v>
      </c>
    </row>
    <row r="3129" spans="1:4" ht="15" customHeight="1">
      <c r="A3129" s="50">
        <v>45057</v>
      </c>
      <c r="B3129" s="49" t="s">
        <v>37</v>
      </c>
      <c r="C3129" s="51">
        <v>54555.1</v>
      </c>
      <c r="D3129" s="51">
        <v>0</v>
      </c>
    </row>
    <row r="3130" spans="1:4" ht="15" customHeight="1">
      <c r="A3130" s="50">
        <v>45057</v>
      </c>
      <c r="B3130" s="49" t="s">
        <v>38</v>
      </c>
      <c r="C3130" s="51">
        <v>54544.800000000003</v>
      </c>
      <c r="D3130" s="51">
        <v>0</v>
      </c>
    </row>
    <row r="3131" spans="1:4" ht="15" customHeight="1">
      <c r="A3131" s="50">
        <v>45057</v>
      </c>
      <c r="B3131" s="49" t="s">
        <v>39</v>
      </c>
      <c r="C3131" s="51">
        <v>54276</v>
      </c>
      <c r="D3131" s="51">
        <v>0</v>
      </c>
    </row>
    <row r="3132" spans="1:4" ht="15" customHeight="1">
      <c r="A3132" s="50">
        <v>45057</v>
      </c>
      <c r="B3132" s="49" t="s">
        <v>40</v>
      </c>
      <c r="C3132" s="51">
        <v>54234.1</v>
      </c>
      <c r="D3132" s="51">
        <v>0</v>
      </c>
    </row>
    <row r="3133" spans="1:4" ht="15" customHeight="1">
      <c r="A3133" s="50">
        <v>45057</v>
      </c>
      <c r="B3133" s="49" t="s">
        <v>41</v>
      </c>
      <c r="C3133" s="51">
        <v>69026.899999999994</v>
      </c>
      <c r="D3133" s="51">
        <v>0</v>
      </c>
    </row>
    <row r="3134" spans="1:4" ht="15" customHeight="1">
      <c r="A3134" s="50">
        <v>45057</v>
      </c>
      <c r="B3134" s="49" t="s">
        <v>42</v>
      </c>
      <c r="C3134" s="51">
        <v>69970.899999999994</v>
      </c>
      <c r="D3134" s="51">
        <v>0</v>
      </c>
    </row>
    <row r="3135" spans="1:4" ht="15" customHeight="1">
      <c r="A3135" s="50">
        <v>45057</v>
      </c>
      <c r="B3135" s="49" t="s">
        <v>43</v>
      </c>
      <c r="C3135" s="51">
        <v>69769</v>
      </c>
      <c r="D3135" s="51">
        <v>0</v>
      </c>
    </row>
    <row r="3136" spans="1:4" ht="15" customHeight="1">
      <c r="A3136" s="50">
        <v>45057</v>
      </c>
      <c r="B3136" s="49" t="s">
        <v>44</v>
      </c>
      <c r="C3136" s="51">
        <v>70004.800000000003</v>
      </c>
      <c r="D3136" s="51">
        <v>0</v>
      </c>
    </row>
    <row r="3137" spans="1:4" ht="15" customHeight="1">
      <c r="A3137" s="50">
        <v>45057</v>
      </c>
      <c r="B3137" s="49" t="s">
        <v>45</v>
      </c>
      <c r="C3137" s="51">
        <v>69767.8</v>
      </c>
      <c r="D3137" s="51">
        <v>0</v>
      </c>
    </row>
    <row r="3138" spans="1:4" ht="15" customHeight="1">
      <c r="A3138" s="50">
        <v>45057</v>
      </c>
      <c r="B3138" s="49" t="s">
        <v>46</v>
      </c>
      <c r="C3138" s="51">
        <v>69908.2</v>
      </c>
      <c r="D3138" s="51">
        <v>0</v>
      </c>
    </row>
    <row r="3139" spans="1:4" ht="15" customHeight="1">
      <c r="A3139" s="50">
        <v>45057</v>
      </c>
      <c r="B3139" s="49" t="s">
        <v>47</v>
      </c>
      <c r="C3139" s="51">
        <v>69338.3</v>
      </c>
      <c r="D3139" s="51">
        <v>0</v>
      </c>
    </row>
    <row r="3140" spans="1:4" ht="15" customHeight="1">
      <c r="A3140" s="50">
        <v>45057</v>
      </c>
      <c r="B3140" s="49" t="s">
        <v>48</v>
      </c>
      <c r="C3140" s="51">
        <v>69298.600000000006</v>
      </c>
      <c r="D3140" s="51">
        <v>0</v>
      </c>
    </row>
    <row r="3141" spans="1:4" ht="15" customHeight="1">
      <c r="A3141" s="50">
        <v>45057</v>
      </c>
      <c r="B3141" s="49" t="s">
        <v>49</v>
      </c>
      <c r="C3141" s="51">
        <v>68778.2</v>
      </c>
      <c r="D3141" s="51">
        <v>0</v>
      </c>
    </row>
    <row r="3142" spans="1:4" ht="15" customHeight="1">
      <c r="A3142" s="50">
        <v>45057</v>
      </c>
      <c r="B3142" s="49" t="s">
        <v>50</v>
      </c>
      <c r="C3142" s="51">
        <v>64549.599999999999</v>
      </c>
      <c r="D3142" s="51">
        <v>0</v>
      </c>
    </row>
    <row r="3143" spans="1:4" ht="15" customHeight="1">
      <c r="A3143" s="50">
        <v>45057</v>
      </c>
      <c r="B3143" s="49" t="s">
        <v>51</v>
      </c>
      <c r="C3143" s="51">
        <v>64008.2</v>
      </c>
      <c r="D3143" s="51">
        <v>0</v>
      </c>
    </row>
    <row r="3144" spans="1:4" ht="15" customHeight="1">
      <c r="A3144" s="50">
        <v>45057</v>
      </c>
      <c r="B3144" s="49" t="s">
        <v>52</v>
      </c>
      <c r="C3144" s="51">
        <v>68852.600000000006</v>
      </c>
      <c r="D3144" s="51">
        <v>0</v>
      </c>
    </row>
    <row r="3145" spans="1:4" ht="15" customHeight="1">
      <c r="A3145" s="50">
        <v>45057</v>
      </c>
      <c r="B3145" s="49" t="s">
        <v>53</v>
      </c>
      <c r="C3145" s="51">
        <v>68223.899999999994</v>
      </c>
      <c r="D3145" s="51">
        <v>0</v>
      </c>
    </row>
    <row r="3146" spans="1:4" ht="15" customHeight="1">
      <c r="A3146" s="50">
        <v>45058</v>
      </c>
      <c r="B3146" s="49" t="s">
        <v>30</v>
      </c>
      <c r="C3146" s="51">
        <v>69407.5</v>
      </c>
      <c r="D3146" s="51">
        <v>0</v>
      </c>
    </row>
    <row r="3147" spans="1:4" ht="15" customHeight="1">
      <c r="A3147" s="50">
        <v>45058</v>
      </c>
      <c r="B3147" s="49" t="s">
        <v>31</v>
      </c>
      <c r="C3147" s="51">
        <v>70502</v>
      </c>
      <c r="D3147" s="51">
        <v>0</v>
      </c>
    </row>
    <row r="3148" spans="1:4" ht="15" customHeight="1">
      <c r="A3148" s="50">
        <v>45058</v>
      </c>
      <c r="B3148" s="49" t="s">
        <v>32</v>
      </c>
      <c r="C3148" s="51">
        <v>70344.100000000006</v>
      </c>
      <c r="D3148" s="51">
        <v>0</v>
      </c>
    </row>
    <row r="3149" spans="1:4" ht="15" customHeight="1">
      <c r="A3149" s="50">
        <v>45058</v>
      </c>
      <c r="B3149" s="49" t="s">
        <v>33</v>
      </c>
      <c r="C3149" s="51">
        <v>66409.7</v>
      </c>
      <c r="D3149" s="51">
        <v>0</v>
      </c>
    </row>
    <row r="3150" spans="1:4" ht="15" customHeight="1">
      <c r="A3150" s="50">
        <v>45058</v>
      </c>
      <c r="B3150" s="49" t="s">
        <v>34</v>
      </c>
      <c r="C3150" s="51">
        <v>55019.9</v>
      </c>
      <c r="D3150" s="51">
        <v>0</v>
      </c>
    </row>
    <row r="3151" spans="1:4" ht="15" customHeight="1">
      <c r="A3151" s="50">
        <v>45058</v>
      </c>
      <c r="B3151" s="49" t="s">
        <v>35</v>
      </c>
      <c r="C3151" s="51">
        <v>54763.9</v>
      </c>
      <c r="D3151" s="51">
        <v>0</v>
      </c>
    </row>
    <row r="3152" spans="1:4" ht="15" customHeight="1">
      <c r="A3152" s="50">
        <v>45058</v>
      </c>
      <c r="B3152" s="49" t="s">
        <v>36</v>
      </c>
      <c r="C3152" s="51">
        <v>54849.8</v>
      </c>
      <c r="D3152" s="51">
        <v>0</v>
      </c>
    </row>
    <row r="3153" spans="1:4" ht="15" customHeight="1">
      <c r="A3153" s="50">
        <v>45058</v>
      </c>
      <c r="B3153" s="49" t="s">
        <v>37</v>
      </c>
      <c r="C3153" s="51">
        <v>53418.5</v>
      </c>
      <c r="D3153" s="51">
        <v>0</v>
      </c>
    </row>
    <row r="3154" spans="1:4" ht="15" customHeight="1">
      <c r="A3154" s="50">
        <v>45058</v>
      </c>
      <c r="B3154" s="49" t="s">
        <v>38</v>
      </c>
      <c r="C3154" s="51">
        <v>53693.2</v>
      </c>
      <c r="D3154" s="51">
        <v>0</v>
      </c>
    </row>
    <row r="3155" spans="1:4" ht="15" customHeight="1">
      <c r="A3155" s="50">
        <v>45058</v>
      </c>
      <c r="B3155" s="49" t="s">
        <v>39</v>
      </c>
      <c r="C3155" s="51">
        <v>58483.8</v>
      </c>
      <c r="D3155" s="51">
        <v>0</v>
      </c>
    </row>
    <row r="3156" spans="1:4" ht="15" customHeight="1">
      <c r="A3156" s="50">
        <v>45058</v>
      </c>
      <c r="B3156" s="49" t="s">
        <v>40</v>
      </c>
      <c r="C3156" s="51">
        <v>69184.7</v>
      </c>
      <c r="D3156" s="51">
        <v>0</v>
      </c>
    </row>
    <row r="3157" spans="1:4" ht="15" customHeight="1">
      <c r="A3157" s="50">
        <v>45058</v>
      </c>
      <c r="B3157" s="49" t="s">
        <v>41</v>
      </c>
      <c r="C3157" s="51">
        <v>69164.899999999994</v>
      </c>
      <c r="D3157" s="51">
        <v>0</v>
      </c>
    </row>
    <row r="3158" spans="1:4" ht="15" customHeight="1">
      <c r="A3158" s="50">
        <v>45058</v>
      </c>
      <c r="B3158" s="49" t="s">
        <v>42</v>
      </c>
      <c r="C3158" s="51">
        <v>69226.899999999994</v>
      </c>
      <c r="D3158" s="51">
        <v>0</v>
      </c>
    </row>
    <row r="3159" spans="1:4" ht="15" customHeight="1">
      <c r="A3159" s="50">
        <v>45058</v>
      </c>
      <c r="B3159" s="49" t="s">
        <v>43</v>
      </c>
      <c r="C3159" s="51">
        <v>69777.100000000006</v>
      </c>
      <c r="D3159" s="51">
        <v>0</v>
      </c>
    </row>
    <row r="3160" spans="1:4" ht="15" customHeight="1">
      <c r="A3160" s="50">
        <v>45058</v>
      </c>
      <c r="B3160" s="49" t="s">
        <v>44</v>
      </c>
      <c r="C3160" s="51">
        <v>69624.399999999994</v>
      </c>
      <c r="D3160" s="51">
        <v>0</v>
      </c>
    </row>
    <row r="3161" spans="1:4" ht="15" customHeight="1">
      <c r="A3161" s="50">
        <v>45058</v>
      </c>
      <c r="B3161" s="49" t="s">
        <v>45</v>
      </c>
      <c r="C3161" s="51">
        <v>69693</v>
      </c>
      <c r="D3161" s="51">
        <v>0</v>
      </c>
    </row>
    <row r="3162" spans="1:4" ht="15" customHeight="1">
      <c r="A3162" s="50">
        <v>45058</v>
      </c>
      <c r="B3162" s="49" t="s">
        <v>46</v>
      </c>
      <c r="C3162" s="51">
        <v>69398.2</v>
      </c>
      <c r="D3162" s="51">
        <v>0</v>
      </c>
    </row>
    <row r="3163" spans="1:4" ht="15" customHeight="1">
      <c r="A3163" s="50">
        <v>45058</v>
      </c>
      <c r="B3163" s="49" t="s">
        <v>47</v>
      </c>
      <c r="C3163" s="51">
        <v>69503.3</v>
      </c>
      <c r="D3163" s="51">
        <v>0</v>
      </c>
    </row>
    <row r="3164" spans="1:4" ht="15" customHeight="1">
      <c r="A3164" s="50">
        <v>45058</v>
      </c>
      <c r="B3164" s="49" t="s">
        <v>48</v>
      </c>
      <c r="C3164" s="51">
        <v>69522.3</v>
      </c>
      <c r="D3164" s="51">
        <v>0</v>
      </c>
    </row>
    <row r="3165" spans="1:4" ht="15" customHeight="1">
      <c r="A3165" s="50">
        <v>45058</v>
      </c>
      <c r="B3165" s="49" t="s">
        <v>49</v>
      </c>
      <c r="C3165" s="51">
        <v>68827</v>
      </c>
      <c r="D3165" s="51">
        <v>0</v>
      </c>
    </row>
    <row r="3166" spans="1:4" ht="15" customHeight="1">
      <c r="A3166" s="50">
        <v>45058</v>
      </c>
      <c r="B3166" s="49" t="s">
        <v>50</v>
      </c>
      <c r="C3166" s="51">
        <v>69117.899999999994</v>
      </c>
      <c r="D3166" s="51">
        <v>0</v>
      </c>
    </row>
    <row r="3167" spans="1:4" ht="15" customHeight="1">
      <c r="A3167" s="50">
        <v>45058</v>
      </c>
      <c r="B3167" s="49" t="s">
        <v>51</v>
      </c>
      <c r="C3167" s="51">
        <v>68450.8</v>
      </c>
      <c r="D3167" s="51">
        <v>0</v>
      </c>
    </row>
    <row r="3168" spans="1:4" ht="15" customHeight="1">
      <c r="A3168" s="50">
        <v>45058</v>
      </c>
      <c r="B3168" s="49" t="s">
        <v>52</v>
      </c>
      <c r="C3168" s="51">
        <v>68823.399999999994</v>
      </c>
      <c r="D3168" s="51">
        <v>0</v>
      </c>
    </row>
    <row r="3169" spans="1:4" ht="15" customHeight="1">
      <c r="A3169" s="50">
        <v>45058</v>
      </c>
      <c r="B3169" s="49" t="s">
        <v>53</v>
      </c>
      <c r="C3169" s="51">
        <v>68227.899999999994</v>
      </c>
      <c r="D3169" s="51">
        <v>0</v>
      </c>
    </row>
    <row r="3170" spans="1:4" ht="15" customHeight="1">
      <c r="A3170" s="50">
        <v>45059</v>
      </c>
      <c r="B3170" s="49" t="s">
        <v>30</v>
      </c>
      <c r="C3170" s="51">
        <v>65795.3</v>
      </c>
      <c r="D3170" s="51">
        <v>0</v>
      </c>
    </row>
    <row r="3171" spans="1:4" ht="15" customHeight="1">
      <c r="A3171" s="50">
        <v>45059</v>
      </c>
      <c r="B3171" s="49" t="s">
        <v>31</v>
      </c>
      <c r="C3171" s="51">
        <v>68183.7</v>
      </c>
      <c r="D3171" s="51">
        <v>0</v>
      </c>
    </row>
    <row r="3172" spans="1:4" ht="15" customHeight="1">
      <c r="A3172" s="50">
        <v>45059</v>
      </c>
      <c r="B3172" s="49" t="s">
        <v>32</v>
      </c>
      <c r="C3172" s="51">
        <v>68365.8</v>
      </c>
      <c r="D3172" s="51">
        <v>0</v>
      </c>
    </row>
    <row r="3173" spans="1:4" ht="15" customHeight="1">
      <c r="A3173" s="50">
        <v>45059</v>
      </c>
      <c r="B3173" s="49" t="s">
        <v>33</v>
      </c>
      <c r="C3173" s="51">
        <v>68239.600000000006</v>
      </c>
      <c r="D3173" s="51">
        <v>0</v>
      </c>
    </row>
    <row r="3174" spans="1:4" ht="15" customHeight="1">
      <c r="A3174" s="50">
        <v>45059</v>
      </c>
      <c r="B3174" s="49" t="s">
        <v>34</v>
      </c>
      <c r="C3174" s="51">
        <v>63730.2</v>
      </c>
      <c r="D3174" s="51">
        <v>0</v>
      </c>
    </row>
    <row r="3175" spans="1:4" ht="15" customHeight="1">
      <c r="A3175" s="50">
        <v>45059</v>
      </c>
      <c r="B3175" s="49" t="s">
        <v>35</v>
      </c>
      <c r="C3175" s="51">
        <v>68695.7</v>
      </c>
      <c r="D3175" s="51">
        <v>0</v>
      </c>
    </row>
    <row r="3176" spans="1:4" ht="15" customHeight="1">
      <c r="A3176" s="50">
        <v>45059</v>
      </c>
      <c r="B3176" s="49" t="s">
        <v>36</v>
      </c>
      <c r="C3176" s="51">
        <v>64496.4</v>
      </c>
      <c r="D3176" s="51">
        <v>0</v>
      </c>
    </row>
    <row r="3177" spans="1:4" ht="15" customHeight="1">
      <c r="A3177" s="50">
        <v>45059</v>
      </c>
      <c r="B3177" s="49" t="s">
        <v>37</v>
      </c>
      <c r="C3177" s="51">
        <v>54660.9</v>
      </c>
      <c r="D3177" s="51">
        <v>0</v>
      </c>
    </row>
    <row r="3178" spans="1:4" ht="15" customHeight="1">
      <c r="A3178" s="50">
        <v>45059</v>
      </c>
      <c r="B3178" s="49" t="s">
        <v>38</v>
      </c>
      <c r="C3178" s="51">
        <v>54402.9</v>
      </c>
      <c r="D3178" s="51">
        <v>0</v>
      </c>
    </row>
    <row r="3179" spans="1:4" ht="15" customHeight="1">
      <c r="A3179" s="50">
        <v>45059</v>
      </c>
      <c r="B3179" s="49" t="s">
        <v>39</v>
      </c>
      <c r="C3179" s="51">
        <v>54142.9</v>
      </c>
      <c r="D3179" s="51">
        <v>0</v>
      </c>
    </row>
    <row r="3180" spans="1:4" ht="15" customHeight="1">
      <c r="A3180" s="50">
        <v>45059</v>
      </c>
      <c r="B3180" s="49" t="s">
        <v>40</v>
      </c>
      <c r="C3180" s="51">
        <v>54259.6</v>
      </c>
      <c r="D3180" s="51">
        <v>0</v>
      </c>
    </row>
    <row r="3181" spans="1:4" ht="15" customHeight="1">
      <c r="A3181" s="50">
        <v>45059</v>
      </c>
      <c r="B3181" s="49" t="s">
        <v>41</v>
      </c>
      <c r="C3181" s="51">
        <v>18514.400000000001</v>
      </c>
      <c r="D3181" s="51">
        <v>0</v>
      </c>
    </row>
    <row r="3182" spans="1:4" ht="15" customHeight="1">
      <c r="A3182" s="50">
        <v>45059</v>
      </c>
      <c r="B3182" s="49" t="s">
        <v>42</v>
      </c>
      <c r="C3182" s="51">
        <v>3588</v>
      </c>
      <c r="D3182" s="51">
        <v>0</v>
      </c>
    </row>
    <row r="3183" spans="1:4" ht="15" customHeight="1">
      <c r="A3183" s="50">
        <v>45059</v>
      </c>
      <c r="B3183" s="49" t="s">
        <v>43</v>
      </c>
      <c r="C3183" s="51">
        <v>53008.3</v>
      </c>
      <c r="D3183" s="51">
        <v>0</v>
      </c>
    </row>
    <row r="3184" spans="1:4" ht="15" customHeight="1">
      <c r="A3184" s="50">
        <v>45059</v>
      </c>
      <c r="B3184" s="49" t="s">
        <v>44</v>
      </c>
      <c r="C3184" s="51">
        <v>54190.7</v>
      </c>
      <c r="D3184" s="51">
        <v>0</v>
      </c>
    </row>
    <row r="3185" spans="1:4" ht="15" customHeight="1">
      <c r="A3185" s="50">
        <v>45059</v>
      </c>
      <c r="B3185" s="49" t="s">
        <v>45</v>
      </c>
      <c r="C3185" s="51">
        <v>54249</v>
      </c>
      <c r="D3185" s="51">
        <v>0</v>
      </c>
    </row>
    <row r="3186" spans="1:4" ht="15" customHeight="1">
      <c r="A3186" s="50">
        <v>45059</v>
      </c>
      <c r="B3186" s="49" t="s">
        <v>46</v>
      </c>
      <c r="C3186" s="51">
        <v>54045.8</v>
      </c>
      <c r="D3186" s="51">
        <v>0</v>
      </c>
    </row>
    <row r="3187" spans="1:4" ht="15" customHeight="1">
      <c r="A3187" s="50">
        <v>45059</v>
      </c>
      <c r="B3187" s="49" t="s">
        <v>47</v>
      </c>
      <c r="C3187" s="51">
        <v>54265</v>
      </c>
      <c r="D3187" s="51">
        <v>0</v>
      </c>
    </row>
    <row r="3188" spans="1:4" ht="15" customHeight="1">
      <c r="A3188" s="50">
        <v>45059</v>
      </c>
      <c r="B3188" s="49" t="s">
        <v>48</v>
      </c>
      <c r="C3188" s="51">
        <v>67723.899999999994</v>
      </c>
      <c r="D3188" s="51">
        <v>0</v>
      </c>
    </row>
    <row r="3189" spans="1:4" ht="15" customHeight="1">
      <c r="A3189" s="50">
        <v>45059</v>
      </c>
      <c r="B3189" s="49" t="s">
        <v>49</v>
      </c>
      <c r="C3189" s="51">
        <v>68729.8</v>
      </c>
      <c r="D3189" s="51">
        <v>0</v>
      </c>
    </row>
    <row r="3190" spans="1:4" ht="15" customHeight="1">
      <c r="A3190" s="50">
        <v>45059</v>
      </c>
      <c r="B3190" s="49" t="s">
        <v>50</v>
      </c>
      <c r="C3190" s="51">
        <v>68722.3</v>
      </c>
      <c r="D3190" s="51">
        <v>0</v>
      </c>
    </row>
    <row r="3191" spans="1:4" ht="15" customHeight="1">
      <c r="A3191" s="50">
        <v>45059</v>
      </c>
      <c r="B3191" s="49" t="s">
        <v>51</v>
      </c>
      <c r="C3191" s="51">
        <v>68424.2</v>
      </c>
      <c r="D3191" s="51">
        <v>0</v>
      </c>
    </row>
    <row r="3192" spans="1:4" ht="15" customHeight="1">
      <c r="A3192" s="50">
        <v>45059</v>
      </c>
      <c r="B3192" s="49" t="s">
        <v>52</v>
      </c>
      <c r="C3192" s="51">
        <v>65886.899999999994</v>
      </c>
      <c r="D3192" s="51">
        <v>0</v>
      </c>
    </row>
    <row r="3193" spans="1:4" ht="15" customHeight="1">
      <c r="A3193" s="50">
        <v>45059</v>
      </c>
      <c r="B3193" s="49" t="s">
        <v>53</v>
      </c>
      <c r="C3193" s="51">
        <v>65672.399999999994</v>
      </c>
      <c r="D3193" s="51">
        <v>0</v>
      </c>
    </row>
    <row r="3194" spans="1:4" ht="15" customHeight="1">
      <c r="A3194" s="50">
        <v>45060</v>
      </c>
      <c r="B3194" s="49" t="s">
        <v>30</v>
      </c>
      <c r="C3194" s="51">
        <v>66226.600000000006</v>
      </c>
      <c r="D3194" s="51">
        <v>0</v>
      </c>
    </row>
    <row r="3195" spans="1:4" ht="15" customHeight="1">
      <c r="A3195" s="50">
        <v>45060</v>
      </c>
      <c r="B3195" s="49" t="s">
        <v>31</v>
      </c>
      <c r="C3195" s="51">
        <v>59687.9</v>
      </c>
      <c r="D3195" s="51">
        <v>0</v>
      </c>
    </row>
    <row r="3196" spans="1:4" ht="15" customHeight="1">
      <c r="A3196" s="50">
        <v>45060</v>
      </c>
      <c r="B3196" s="49" t="s">
        <v>32</v>
      </c>
      <c r="C3196" s="51">
        <v>54286.2</v>
      </c>
      <c r="D3196" s="51">
        <v>0</v>
      </c>
    </row>
    <row r="3197" spans="1:4" ht="15" customHeight="1">
      <c r="A3197" s="50">
        <v>45060</v>
      </c>
      <c r="B3197" s="49" t="s">
        <v>33</v>
      </c>
      <c r="C3197" s="51">
        <v>54304.6</v>
      </c>
      <c r="D3197" s="51">
        <v>0</v>
      </c>
    </row>
    <row r="3198" spans="1:4" ht="15" customHeight="1">
      <c r="A3198" s="50">
        <v>45060</v>
      </c>
      <c r="B3198" s="49" t="s">
        <v>34</v>
      </c>
      <c r="C3198" s="51">
        <v>54351.199999999997</v>
      </c>
      <c r="D3198" s="51">
        <v>0</v>
      </c>
    </row>
    <row r="3199" spans="1:4" ht="15" customHeight="1">
      <c r="A3199" s="50">
        <v>45060</v>
      </c>
      <c r="B3199" s="49" t="s">
        <v>35</v>
      </c>
      <c r="C3199" s="51">
        <v>54337.9</v>
      </c>
      <c r="D3199" s="51">
        <v>0</v>
      </c>
    </row>
    <row r="3200" spans="1:4" ht="15" customHeight="1">
      <c r="A3200" s="50">
        <v>45060</v>
      </c>
      <c r="B3200" s="49" t="s">
        <v>36</v>
      </c>
      <c r="C3200" s="51">
        <v>54436.3</v>
      </c>
      <c r="D3200" s="51">
        <v>0</v>
      </c>
    </row>
    <row r="3201" spans="1:4" ht="15" customHeight="1">
      <c r="A3201" s="50">
        <v>45060</v>
      </c>
      <c r="B3201" s="49" t="s">
        <v>37</v>
      </c>
      <c r="C3201" s="51">
        <v>54413.7</v>
      </c>
      <c r="D3201" s="51">
        <v>0</v>
      </c>
    </row>
    <row r="3202" spans="1:4" ht="15" customHeight="1">
      <c r="A3202" s="50">
        <v>45060</v>
      </c>
      <c r="B3202" s="49" t="s">
        <v>38</v>
      </c>
      <c r="C3202" s="51">
        <v>54381.4</v>
      </c>
      <c r="D3202" s="51">
        <v>0</v>
      </c>
    </row>
    <row r="3203" spans="1:4" ht="15" customHeight="1">
      <c r="A3203" s="50">
        <v>45060</v>
      </c>
      <c r="B3203" s="49" t="s">
        <v>39</v>
      </c>
      <c r="C3203" s="51">
        <v>53518.1</v>
      </c>
      <c r="D3203" s="51">
        <v>0</v>
      </c>
    </row>
    <row r="3204" spans="1:4" ht="15" customHeight="1">
      <c r="A3204" s="50">
        <v>45060</v>
      </c>
      <c r="B3204" s="49" t="s">
        <v>40</v>
      </c>
      <c r="C3204" s="51">
        <v>53419.199999999997</v>
      </c>
      <c r="D3204" s="51">
        <v>0</v>
      </c>
    </row>
    <row r="3205" spans="1:4" ht="15" customHeight="1">
      <c r="A3205" s="50">
        <v>45060</v>
      </c>
      <c r="B3205" s="49" t="s">
        <v>41</v>
      </c>
      <c r="C3205" s="51">
        <v>53855.1</v>
      </c>
      <c r="D3205" s="51">
        <v>0</v>
      </c>
    </row>
    <row r="3206" spans="1:4" ht="15" customHeight="1">
      <c r="A3206" s="50">
        <v>45060</v>
      </c>
      <c r="B3206" s="49" t="s">
        <v>42</v>
      </c>
      <c r="C3206" s="51">
        <v>53255.8</v>
      </c>
      <c r="D3206" s="51">
        <v>0</v>
      </c>
    </row>
    <row r="3207" spans="1:4" ht="15" customHeight="1">
      <c r="A3207" s="50">
        <v>45060</v>
      </c>
      <c r="B3207" s="49" t="s">
        <v>43</v>
      </c>
      <c r="C3207" s="51">
        <v>54103.9</v>
      </c>
      <c r="D3207" s="51">
        <v>0</v>
      </c>
    </row>
    <row r="3208" spans="1:4" ht="15" customHeight="1">
      <c r="A3208" s="50">
        <v>45060</v>
      </c>
      <c r="B3208" s="49" t="s">
        <v>44</v>
      </c>
      <c r="C3208" s="51">
        <v>54098.9</v>
      </c>
      <c r="D3208" s="51">
        <v>0</v>
      </c>
    </row>
    <row r="3209" spans="1:4" ht="15" customHeight="1">
      <c r="A3209" s="50">
        <v>45060</v>
      </c>
      <c r="B3209" s="49" t="s">
        <v>45</v>
      </c>
      <c r="C3209" s="51">
        <v>54133.3</v>
      </c>
      <c r="D3209" s="51">
        <v>0</v>
      </c>
    </row>
    <row r="3210" spans="1:4" ht="15" customHeight="1">
      <c r="A3210" s="50">
        <v>45060</v>
      </c>
      <c r="B3210" s="49" t="s">
        <v>46</v>
      </c>
      <c r="C3210" s="51">
        <v>54123.7</v>
      </c>
      <c r="D3210" s="51">
        <v>0</v>
      </c>
    </row>
    <row r="3211" spans="1:4" ht="15" customHeight="1">
      <c r="A3211" s="50">
        <v>45060</v>
      </c>
      <c r="B3211" s="49" t="s">
        <v>47</v>
      </c>
      <c r="C3211" s="51">
        <v>54233.1</v>
      </c>
      <c r="D3211" s="51">
        <v>0</v>
      </c>
    </row>
    <row r="3212" spans="1:4" ht="15" customHeight="1">
      <c r="A3212" s="50">
        <v>45060</v>
      </c>
      <c r="B3212" s="49" t="s">
        <v>48</v>
      </c>
      <c r="C3212" s="51">
        <v>53874.3</v>
      </c>
      <c r="D3212" s="51">
        <v>0</v>
      </c>
    </row>
    <row r="3213" spans="1:4" ht="15" customHeight="1">
      <c r="A3213" s="50">
        <v>45060</v>
      </c>
      <c r="B3213" s="49" t="s">
        <v>49</v>
      </c>
      <c r="C3213" s="51">
        <v>68724.600000000006</v>
      </c>
      <c r="D3213" s="51">
        <v>0</v>
      </c>
    </row>
    <row r="3214" spans="1:4" ht="15" customHeight="1">
      <c r="A3214" s="50">
        <v>45060</v>
      </c>
      <c r="B3214" s="49" t="s">
        <v>50</v>
      </c>
      <c r="C3214" s="51">
        <v>69010.3</v>
      </c>
      <c r="D3214" s="51">
        <v>0</v>
      </c>
    </row>
    <row r="3215" spans="1:4" ht="15" customHeight="1">
      <c r="A3215" s="50">
        <v>45060</v>
      </c>
      <c r="B3215" s="49" t="s">
        <v>51</v>
      </c>
      <c r="C3215" s="51">
        <v>69065.2</v>
      </c>
      <c r="D3215" s="51">
        <v>0</v>
      </c>
    </row>
    <row r="3216" spans="1:4" ht="15" customHeight="1">
      <c r="A3216" s="50">
        <v>45060</v>
      </c>
      <c r="B3216" s="49" t="s">
        <v>52</v>
      </c>
      <c r="C3216" s="51">
        <v>68376.899999999994</v>
      </c>
      <c r="D3216" s="51">
        <v>0</v>
      </c>
    </row>
    <row r="3217" spans="1:4" ht="15" customHeight="1">
      <c r="A3217" s="50">
        <v>45060</v>
      </c>
      <c r="B3217" s="49" t="s">
        <v>53</v>
      </c>
      <c r="C3217" s="51">
        <v>63426.2</v>
      </c>
      <c r="D3217" s="51">
        <v>0</v>
      </c>
    </row>
    <row r="3218" spans="1:4" ht="15" customHeight="1">
      <c r="A3218" s="50">
        <v>45061</v>
      </c>
      <c r="B3218" s="49" t="s">
        <v>30</v>
      </c>
      <c r="C3218" s="51">
        <v>54820.1</v>
      </c>
      <c r="D3218" s="51">
        <v>0</v>
      </c>
    </row>
    <row r="3219" spans="1:4" ht="15" customHeight="1">
      <c r="A3219" s="50">
        <v>45061</v>
      </c>
      <c r="B3219" s="49" t="s">
        <v>31</v>
      </c>
      <c r="C3219" s="51">
        <v>54074.8</v>
      </c>
      <c r="D3219" s="51">
        <v>0</v>
      </c>
    </row>
    <row r="3220" spans="1:4" ht="15" customHeight="1">
      <c r="A3220" s="50">
        <v>45061</v>
      </c>
      <c r="B3220" s="49" t="s">
        <v>32</v>
      </c>
      <c r="C3220" s="51">
        <v>54234.5</v>
      </c>
      <c r="D3220" s="51">
        <v>0</v>
      </c>
    </row>
    <row r="3221" spans="1:4" ht="15" customHeight="1">
      <c r="A3221" s="50">
        <v>45061</v>
      </c>
      <c r="B3221" s="49" t="s">
        <v>33</v>
      </c>
      <c r="C3221" s="51">
        <v>54237.5</v>
      </c>
      <c r="D3221" s="51">
        <v>0</v>
      </c>
    </row>
    <row r="3222" spans="1:4" ht="15" customHeight="1">
      <c r="A3222" s="50">
        <v>45061</v>
      </c>
      <c r="B3222" s="49" t="s">
        <v>34</v>
      </c>
      <c r="C3222" s="51">
        <v>54359.9</v>
      </c>
      <c r="D3222" s="51">
        <v>0</v>
      </c>
    </row>
    <row r="3223" spans="1:4" ht="15" customHeight="1">
      <c r="A3223" s="50">
        <v>45061</v>
      </c>
      <c r="B3223" s="49" t="s">
        <v>35</v>
      </c>
      <c r="C3223" s="51">
        <v>54330.3</v>
      </c>
      <c r="D3223" s="51">
        <v>0</v>
      </c>
    </row>
    <row r="3224" spans="1:4" ht="15" customHeight="1">
      <c r="A3224" s="50">
        <v>45061</v>
      </c>
      <c r="B3224" s="49" t="s">
        <v>36</v>
      </c>
      <c r="C3224" s="51">
        <v>54248.7</v>
      </c>
      <c r="D3224" s="51">
        <v>0</v>
      </c>
    </row>
    <row r="3225" spans="1:4" ht="15" customHeight="1">
      <c r="A3225" s="50">
        <v>45061</v>
      </c>
      <c r="B3225" s="49" t="s">
        <v>37</v>
      </c>
      <c r="C3225" s="51">
        <v>54405.5</v>
      </c>
      <c r="D3225" s="51">
        <v>0</v>
      </c>
    </row>
    <row r="3226" spans="1:4" ht="15" customHeight="1">
      <c r="A3226" s="50">
        <v>45061</v>
      </c>
      <c r="B3226" s="49" t="s">
        <v>38</v>
      </c>
      <c r="C3226" s="51">
        <v>54314.9</v>
      </c>
      <c r="D3226" s="51">
        <v>0</v>
      </c>
    </row>
    <row r="3227" spans="1:4" ht="15" customHeight="1">
      <c r="A3227" s="50">
        <v>45061</v>
      </c>
      <c r="B3227" s="49" t="s">
        <v>39</v>
      </c>
      <c r="C3227" s="51">
        <v>53572.7</v>
      </c>
      <c r="D3227" s="51">
        <v>0</v>
      </c>
    </row>
    <row r="3228" spans="1:4" ht="15" customHeight="1">
      <c r="A3228" s="50">
        <v>45061</v>
      </c>
      <c r="B3228" s="49" t="s">
        <v>40</v>
      </c>
      <c r="C3228" s="51">
        <v>53980.6</v>
      </c>
      <c r="D3228" s="51">
        <v>0</v>
      </c>
    </row>
    <row r="3229" spans="1:4" ht="15" customHeight="1">
      <c r="A3229" s="50">
        <v>45061</v>
      </c>
      <c r="B3229" s="49" t="s">
        <v>41</v>
      </c>
      <c r="C3229" s="51">
        <v>55162.2</v>
      </c>
      <c r="D3229" s="51">
        <v>0</v>
      </c>
    </row>
    <row r="3230" spans="1:4" ht="15" customHeight="1">
      <c r="A3230" s="50">
        <v>45061</v>
      </c>
      <c r="B3230" s="49" t="s">
        <v>42</v>
      </c>
      <c r="C3230" s="51">
        <v>52558.1</v>
      </c>
      <c r="D3230" s="51">
        <v>0</v>
      </c>
    </row>
    <row r="3231" spans="1:4" ht="15" customHeight="1">
      <c r="A3231" s="50">
        <v>45061</v>
      </c>
      <c r="B3231" s="49" t="s">
        <v>43</v>
      </c>
      <c r="C3231" s="51">
        <v>52830.7</v>
      </c>
      <c r="D3231" s="51">
        <v>0</v>
      </c>
    </row>
    <row r="3232" spans="1:4" ht="15" customHeight="1">
      <c r="A3232" s="50">
        <v>45061</v>
      </c>
      <c r="B3232" s="49" t="s">
        <v>44</v>
      </c>
      <c r="C3232" s="51">
        <v>64966</v>
      </c>
      <c r="D3232" s="51">
        <v>0</v>
      </c>
    </row>
    <row r="3233" spans="1:4" ht="15" customHeight="1">
      <c r="A3233" s="50">
        <v>45061</v>
      </c>
      <c r="B3233" s="49" t="s">
        <v>45</v>
      </c>
      <c r="C3233" s="51">
        <v>67914.3</v>
      </c>
      <c r="D3233" s="51">
        <v>0</v>
      </c>
    </row>
    <row r="3234" spans="1:4" ht="15" customHeight="1">
      <c r="A3234" s="50">
        <v>45061</v>
      </c>
      <c r="B3234" s="49" t="s">
        <v>46</v>
      </c>
      <c r="C3234" s="51">
        <v>67368.600000000006</v>
      </c>
      <c r="D3234" s="51">
        <v>0</v>
      </c>
    </row>
    <row r="3235" spans="1:4" ht="15" customHeight="1">
      <c r="A3235" s="50">
        <v>45061</v>
      </c>
      <c r="B3235" s="49" t="s">
        <v>47</v>
      </c>
      <c r="C3235" s="51">
        <v>54542.3</v>
      </c>
      <c r="D3235" s="51">
        <v>0</v>
      </c>
    </row>
    <row r="3236" spans="1:4" ht="15" customHeight="1">
      <c r="A3236" s="50">
        <v>45061</v>
      </c>
      <c r="B3236" s="49" t="s">
        <v>48</v>
      </c>
      <c r="C3236" s="51">
        <v>66361.2</v>
      </c>
      <c r="D3236" s="51">
        <v>0</v>
      </c>
    </row>
    <row r="3237" spans="1:4" ht="15" customHeight="1">
      <c r="A3237" s="50">
        <v>45061</v>
      </c>
      <c r="B3237" s="49" t="s">
        <v>49</v>
      </c>
      <c r="C3237" s="51">
        <v>67659.100000000006</v>
      </c>
      <c r="D3237" s="51">
        <v>0</v>
      </c>
    </row>
    <row r="3238" spans="1:4" ht="15" customHeight="1">
      <c r="A3238" s="50">
        <v>45061</v>
      </c>
      <c r="B3238" s="49" t="s">
        <v>50</v>
      </c>
      <c r="C3238" s="51">
        <v>67971.600000000006</v>
      </c>
      <c r="D3238" s="51">
        <v>0</v>
      </c>
    </row>
    <row r="3239" spans="1:4" ht="15" customHeight="1">
      <c r="A3239" s="50">
        <v>45061</v>
      </c>
      <c r="B3239" s="49" t="s">
        <v>51</v>
      </c>
      <c r="C3239" s="51">
        <v>69303.899999999994</v>
      </c>
      <c r="D3239" s="51">
        <v>0</v>
      </c>
    </row>
    <row r="3240" spans="1:4" ht="15" customHeight="1">
      <c r="A3240" s="50">
        <v>45061</v>
      </c>
      <c r="B3240" s="49" t="s">
        <v>52</v>
      </c>
      <c r="C3240" s="51">
        <v>68158</v>
      </c>
      <c r="D3240" s="51">
        <v>0</v>
      </c>
    </row>
    <row r="3241" spans="1:4" ht="15" customHeight="1">
      <c r="A3241" s="50">
        <v>45061</v>
      </c>
      <c r="B3241" s="49" t="s">
        <v>53</v>
      </c>
      <c r="C3241" s="51">
        <v>68014.3</v>
      </c>
      <c r="D3241" s="51">
        <v>0</v>
      </c>
    </row>
    <row r="3242" spans="1:4" ht="15" customHeight="1">
      <c r="A3242" s="50">
        <v>45062</v>
      </c>
      <c r="B3242" s="49" t="s">
        <v>30</v>
      </c>
      <c r="C3242" s="51">
        <v>54820.1</v>
      </c>
      <c r="D3242" s="51">
        <v>0</v>
      </c>
    </row>
    <row r="3243" spans="1:4" ht="15" customHeight="1">
      <c r="A3243" s="50">
        <v>45062</v>
      </c>
      <c r="B3243" s="49" t="s">
        <v>31</v>
      </c>
      <c r="C3243" s="51">
        <v>54074.8</v>
      </c>
      <c r="D3243" s="51">
        <v>0</v>
      </c>
    </row>
    <row r="3244" spans="1:4" ht="15" customHeight="1">
      <c r="A3244" s="50">
        <v>45062</v>
      </c>
      <c r="B3244" s="49" t="s">
        <v>32</v>
      </c>
      <c r="C3244" s="51">
        <v>54234.5</v>
      </c>
      <c r="D3244" s="51">
        <v>0</v>
      </c>
    </row>
    <row r="3245" spans="1:4" ht="15" customHeight="1">
      <c r="A3245" s="50">
        <v>45062</v>
      </c>
      <c r="B3245" s="49" t="s">
        <v>33</v>
      </c>
      <c r="C3245" s="51">
        <v>54237.5</v>
      </c>
      <c r="D3245" s="51">
        <v>0</v>
      </c>
    </row>
    <row r="3246" spans="1:4" ht="15" customHeight="1">
      <c r="A3246" s="50">
        <v>45062</v>
      </c>
      <c r="B3246" s="49" t="s">
        <v>34</v>
      </c>
      <c r="C3246" s="51">
        <v>54359.9</v>
      </c>
      <c r="D3246" s="51">
        <v>0</v>
      </c>
    </row>
    <row r="3247" spans="1:4" ht="15" customHeight="1">
      <c r="A3247" s="50">
        <v>45062</v>
      </c>
      <c r="B3247" s="49" t="s">
        <v>35</v>
      </c>
      <c r="C3247" s="51">
        <v>54330.3</v>
      </c>
      <c r="D3247" s="51">
        <v>0</v>
      </c>
    </row>
    <row r="3248" spans="1:4" ht="15" customHeight="1">
      <c r="A3248" s="50">
        <v>45062</v>
      </c>
      <c r="B3248" s="49" t="s">
        <v>36</v>
      </c>
      <c r="C3248" s="51">
        <v>54248.7</v>
      </c>
      <c r="D3248" s="51">
        <v>0</v>
      </c>
    </row>
    <row r="3249" spans="1:4" ht="15" customHeight="1">
      <c r="A3249" s="50">
        <v>45062</v>
      </c>
      <c r="B3249" s="49" t="s">
        <v>37</v>
      </c>
      <c r="C3249" s="51">
        <v>54405.5</v>
      </c>
      <c r="D3249" s="51">
        <v>0</v>
      </c>
    </row>
    <row r="3250" spans="1:4" ht="15" customHeight="1">
      <c r="A3250" s="50">
        <v>45062</v>
      </c>
      <c r="B3250" s="49" t="s">
        <v>38</v>
      </c>
      <c r="C3250" s="51">
        <v>54314.9</v>
      </c>
      <c r="D3250" s="51">
        <v>0</v>
      </c>
    </row>
    <row r="3251" spans="1:4" ht="15" customHeight="1">
      <c r="A3251" s="50">
        <v>45062</v>
      </c>
      <c r="B3251" s="49" t="s">
        <v>39</v>
      </c>
      <c r="C3251" s="51">
        <v>53572.7</v>
      </c>
      <c r="D3251" s="51">
        <v>0</v>
      </c>
    </row>
    <row r="3252" spans="1:4" ht="15" customHeight="1">
      <c r="A3252" s="50">
        <v>45062</v>
      </c>
      <c r="B3252" s="49" t="s">
        <v>40</v>
      </c>
      <c r="C3252" s="51">
        <v>53980.6</v>
      </c>
      <c r="D3252" s="51">
        <v>0</v>
      </c>
    </row>
    <row r="3253" spans="1:4" ht="15" customHeight="1">
      <c r="A3253" s="50">
        <v>45062</v>
      </c>
      <c r="B3253" s="49" t="s">
        <v>41</v>
      </c>
      <c r="C3253" s="51">
        <v>55162.2</v>
      </c>
      <c r="D3253" s="51">
        <v>0</v>
      </c>
    </row>
    <row r="3254" spans="1:4" ht="15" customHeight="1">
      <c r="A3254" s="50">
        <v>45062</v>
      </c>
      <c r="B3254" s="49" t="s">
        <v>42</v>
      </c>
      <c r="C3254" s="51">
        <v>52558.1</v>
      </c>
      <c r="D3254" s="51">
        <v>0</v>
      </c>
    </row>
    <row r="3255" spans="1:4" ht="15" customHeight="1">
      <c r="A3255" s="50">
        <v>45062</v>
      </c>
      <c r="B3255" s="49" t="s">
        <v>43</v>
      </c>
      <c r="C3255" s="51">
        <v>52830.7</v>
      </c>
      <c r="D3255" s="51">
        <v>0</v>
      </c>
    </row>
    <row r="3256" spans="1:4" ht="15" customHeight="1">
      <c r="A3256" s="50">
        <v>45062</v>
      </c>
      <c r="B3256" s="49" t="s">
        <v>44</v>
      </c>
      <c r="C3256" s="51">
        <v>64966</v>
      </c>
      <c r="D3256" s="51">
        <v>0</v>
      </c>
    </row>
    <row r="3257" spans="1:4" ht="15" customHeight="1">
      <c r="A3257" s="50">
        <v>45062</v>
      </c>
      <c r="B3257" s="49" t="s">
        <v>45</v>
      </c>
      <c r="C3257" s="51">
        <v>67914.3</v>
      </c>
      <c r="D3257" s="51">
        <v>0</v>
      </c>
    </row>
    <row r="3258" spans="1:4" ht="15" customHeight="1">
      <c r="A3258" s="50">
        <v>45062</v>
      </c>
      <c r="B3258" s="49" t="s">
        <v>46</v>
      </c>
      <c r="C3258" s="51">
        <v>67368.600000000006</v>
      </c>
      <c r="D3258" s="51">
        <v>0</v>
      </c>
    </row>
    <row r="3259" spans="1:4" ht="15" customHeight="1">
      <c r="A3259" s="50">
        <v>45062</v>
      </c>
      <c r="B3259" s="49" t="s">
        <v>47</v>
      </c>
      <c r="C3259" s="51">
        <v>54542.3</v>
      </c>
      <c r="D3259" s="51">
        <v>0</v>
      </c>
    </row>
    <row r="3260" spans="1:4" ht="15" customHeight="1">
      <c r="A3260" s="50">
        <v>45062</v>
      </c>
      <c r="B3260" s="49" t="s">
        <v>48</v>
      </c>
      <c r="C3260" s="51">
        <v>66361.2</v>
      </c>
      <c r="D3260" s="51">
        <v>0</v>
      </c>
    </row>
    <row r="3261" spans="1:4" ht="15" customHeight="1">
      <c r="A3261" s="50">
        <v>45062</v>
      </c>
      <c r="B3261" s="49" t="s">
        <v>49</v>
      </c>
      <c r="C3261" s="51">
        <v>67659.100000000006</v>
      </c>
      <c r="D3261" s="51">
        <v>0</v>
      </c>
    </row>
    <row r="3262" spans="1:4" ht="15" customHeight="1">
      <c r="A3262" s="50">
        <v>45062</v>
      </c>
      <c r="B3262" s="49" t="s">
        <v>50</v>
      </c>
      <c r="C3262" s="51">
        <v>67971.600000000006</v>
      </c>
      <c r="D3262" s="51">
        <v>0</v>
      </c>
    </row>
    <row r="3263" spans="1:4" ht="15" customHeight="1">
      <c r="A3263" s="50">
        <v>45062</v>
      </c>
      <c r="B3263" s="49" t="s">
        <v>51</v>
      </c>
      <c r="C3263" s="51">
        <v>69303.899999999994</v>
      </c>
      <c r="D3263" s="51">
        <v>0</v>
      </c>
    </row>
    <row r="3264" spans="1:4" ht="15" customHeight="1">
      <c r="A3264" s="50">
        <v>45062</v>
      </c>
      <c r="B3264" s="49" t="s">
        <v>52</v>
      </c>
      <c r="C3264" s="51">
        <v>68158</v>
      </c>
      <c r="D3264" s="51">
        <v>0</v>
      </c>
    </row>
    <row r="3265" spans="1:4" ht="15" customHeight="1">
      <c r="A3265" s="50">
        <v>45062</v>
      </c>
      <c r="B3265" s="49" t="s">
        <v>53</v>
      </c>
      <c r="C3265" s="51">
        <v>68014.3</v>
      </c>
      <c r="D3265" s="51">
        <v>0</v>
      </c>
    </row>
    <row r="3266" spans="1:4" ht="15" customHeight="1">
      <c r="A3266" s="50">
        <v>45063</v>
      </c>
      <c r="B3266" s="49" t="s">
        <v>30</v>
      </c>
      <c r="C3266" s="51">
        <v>67176.399999999994</v>
      </c>
      <c r="D3266" s="51">
        <v>0</v>
      </c>
    </row>
    <row r="3267" spans="1:4" ht="15" customHeight="1">
      <c r="A3267" s="50">
        <v>45063</v>
      </c>
      <c r="B3267" s="49" t="s">
        <v>31</v>
      </c>
      <c r="C3267" s="51">
        <v>56242.2</v>
      </c>
      <c r="D3267" s="51">
        <v>0</v>
      </c>
    </row>
    <row r="3268" spans="1:4" ht="15" customHeight="1">
      <c r="A3268" s="50">
        <v>45063</v>
      </c>
      <c r="B3268" s="49" t="s">
        <v>32</v>
      </c>
      <c r="C3268" s="51">
        <v>54743.1</v>
      </c>
      <c r="D3268" s="51">
        <v>0</v>
      </c>
    </row>
    <row r="3269" spans="1:4" ht="15" customHeight="1">
      <c r="A3269" s="50">
        <v>45063</v>
      </c>
      <c r="B3269" s="49" t="s">
        <v>33</v>
      </c>
      <c r="C3269" s="51">
        <v>54601.599999999999</v>
      </c>
      <c r="D3269" s="51">
        <v>0</v>
      </c>
    </row>
    <row r="3270" spans="1:4" ht="15" customHeight="1">
      <c r="A3270" s="50">
        <v>45063</v>
      </c>
      <c r="B3270" s="49" t="s">
        <v>34</v>
      </c>
      <c r="C3270" s="51">
        <v>54338.3</v>
      </c>
      <c r="D3270" s="51">
        <v>0</v>
      </c>
    </row>
    <row r="3271" spans="1:4" ht="15" customHeight="1">
      <c r="A3271" s="50">
        <v>45063</v>
      </c>
      <c r="B3271" s="49" t="s">
        <v>35</v>
      </c>
      <c r="C3271" s="51">
        <v>52992.5</v>
      </c>
      <c r="D3271" s="51">
        <v>0</v>
      </c>
    </row>
    <row r="3272" spans="1:4" ht="15" customHeight="1">
      <c r="A3272" s="50">
        <v>45063</v>
      </c>
      <c r="B3272" s="49" t="s">
        <v>36</v>
      </c>
      <c r="C3272" s="51">
        <v>53163</v>
      </c>
      <c r="D3272" s="51">
        <v>0</v>
      </c>
    </row>
    <row r="3273" spans="1:4" ht="15" customHeight="1">
      <c r="A3273" s="50">
        <v>45063</v>
      </c>
      <c r="B3273" s="49" t="s">
        <v>37</v>
      </c>
      <c r="C3273" s="51">
        <v>54109.1</v>
      </c>
      <c r="D3273" s="51">
        <v>0</v>
      </c>
    </row>
    <row r="3274" spans="1:4" ht="15" customHeight="1">
      <c r="A3274" s="50">
        <v>45063</v>
      </c>
      <c r="B3274" s="49" t="s">
        <v>38</v>
      </c>
      <c r="C3274" s="51">
        <v>63851.199999999997</v>
      </c>
      <c r="D3274" s="51">
        <v>0</v>
      </c>
    </row>
    <row r="3275" spans="1:4" ht="15" customHeight="1">
      <c r="A3275" s="50">
        <v>45063</v>
      </c>
      <c r="B3275" s="49" t="s">
        <v>39</v>
      </c>
      <c r="C3275" s="51">
        <v>68856</v>
      </c>
      <c r="D3275" s="51">
        <v>0</v>
      </c>
    </row>
    <row r="3276" spans="1:4" ht="15" customHeight="1">
      <c r="A3276" s="50">
        <v>45063</v>
      </c>
      <c r="B3276" s="49" t="s">
        <v>40</v>
      </c>
      <c r="C3276" s="51">
        <v>68704.3</v>
      </c>
      <c r="D3276" s="51">
        <v>0</v>
      </c>
    </row>
    <row r="3277" spans="1:4" ht="15" customHeight="1">
      <c r="A3277" s="50">
        <v>45063</v>
      </c>
      <c r="B3277" s="49" t="s">
        <v>41</v>
      </c>
      <c r="C3277" s="51">
        <v>68986.399999999994</v>
      </c>
      <c r="D3277" s="51">
        <v>0</v>
      </c>
    </row>
    <row r="3278" spans="1:4" ht="15" customHeight="1">
      <c r="A3278" s="50">
        <v>45063</v>
      </c>
      <c r="B3278" s="49" t="s">
        <v>42</v>
      </c>
      <c r="C3278" s="51">
        <v>68928.3</v>
      </c>
      <c r="D3278" s="51">
        <v>0</v>
      </c>
    </row>
    <row r="3279" spans="1:4" ht="15" customHeight="1">
      <c r="A3279" s="50">
        <v>45063</v>
      </c>
      <c r="B3279" s="49" t="s">
        <v>43</v>
      </c>
      <c r="C3279" s="51">
        <v>68807.899999999994</v>
      </c>
      <c r="D3279" s="51">
        <v>0</v>
      </c>
    </row>
    <row r="3280" spans="1:4" ht="15" customHeight="1">
      <c r="A3280" s="50">
        <v>45063</v>
      </c>
      <c r="B3280" s="49" t="s">
        <v>44</v>
      </c>
      <c r="C3280" s="51">
        <v>69018.5</v>
      </c>
      <c r="D3280" s="51">
        <v>0</v>
      </c>
    </row>
    <row r="3281" spans="1:4" ht="15" customHeight="1">
      <c r="A3281" s="50">
        <v>45063</v>
      </c>
      <c r="B3281" s="49" t="s">
        <v>45</v>
      </c>
      <c r="C3281" s="51">
        <v>68974.7</v>
      </c>
      <c r="D3281" s="51">
        <v>0</v>
      </c>
    </row>
    <row r="3282" spans="1:4" ht="15" customHeight="1">
      <c r="A3282" s="50">
        <v>45063</v>
      </c>
      <c r="B3282" s="49" t="s">
        <v>46</v>
      </c>
      <c r="C3282" s="51">
        <v>69029.100000000006</v>
      </c>
      <c r="D3282" s="51">
        <v>0</v>
      </c>
    </row>
    <row r="3283" spans="1:4" ht="15" customHeight="1">
      <c r="A3283" s="50">
        <v>45063</v>
      </c>
      <c r="B3283" s="49" t="s">
        <v>47</v>
      </c>
      <c r="C3283" s="51">
        <v>69021.8</v>
      </c>
      <c r="D3283" s="51">
        <v>0</v>
      </c>
    </row>
    <row r="3284" spans="1:4" ht="15" customHeight="1">
      <c r="A3284" s="50">
        <v>45063</v>
      </c>
      <c r="B3284" s="49" t="s">
        <v>48</v>
      </c>
      <c r="C3284" s="51">
        <v>68597.399999999994</v>
      </c>
      <c r="D3284" s="51">
        <v>0</v>
      </c>
    </row>
    <row r="3285" spans="1:4" ht="15" customHeight="1">
      <c r="A3285" s="50">
        <v>45063</v>
      </c>
      <c r="B3285" s="49" t="s">
        <v>49</v>
      </c>
      <c r="C3285" s="51">
        <v>69020.100000000006</v>
      </c>
      <c r="D3285" s="51">
        <v>0</v>
      </c>
    </row>
    <row r="3286" spans="1:4" ht="15" customHeight="1">
      <c r="A3286" s="50">
        <v>45063</v>
      </c>
      <c r="B3286" s="49" t="s">
        <v>50</v>
      </c>
      <c r="C3286" s="51">
        <v>68949.399999999994</v>
      </c>
      <c r="D3286" s="51">
        <v>0</v>
      </c>
    </row>
    <row r="3287" spans="1:4" ht="15" customHeight="1">
      <c r="A3287" s="50">
        <v>45063</v>
      </c>
      <c r="B3287" s="49" t="s">
        <v>51</v>
      </c>
      <c r="C3287" s="51">
        <v>68937.7</v>
      </c>
      <c r="D3287" s="51">
        <v>0</v>
      </c>
    </row>
    <row r="3288" spans="1:4" ht="15" customHeight="1">
      <c r="A3288" s="50">
        <v>45063</v>
      </c>
      <c r="B3288" s="49" t="s">
        <v>52</v>
      </c>
      <c r="C3288" s="51">
        <v>68567.100000000006</v>
      </c>
      <c r="D3288" s="51">
        <v>0</v>
      </c>
    </row>
    <row r="3289" spans="1:4" ht="15" customHeight="1">
      <c r="A3289" s="50">
        <v>45063</v>
      </c>
      <c r="B3289" s="49" t="s">
        <v>53</v>
      </c>
      <c r="C3289" s="51">
        <v>68889.3</v>
      </c>
      <c r="D3289" s="51">
        <v>0</v>
      </c>
    </row>
    <row r="3290" spans="1:4" ht="15" customHeight="1">
      <c r="A3290" s="50">
        <v>45064</v>
      </c>
      <c r="B3290" s="49" t="s">
        <v>30</v>
      </c>
      <c r="C3290" s="51">
        <v>53735.3</v>
      </c>
      <c r="D3290" s="51">
        <v>0</v>
      </c>
    </row>
    <row r="3291" spans="1:4" ht="15" customHeight="1">
      <c r="A3291" s="50">
        <v>45064</v>
      </c>
      <c r="B3291" s="49" t="s">
        <v>31</v>
      </c>
      <c r="C3291" s="51">
        <v>53039.7</v>
      </c>
      <c r="D3291" s="51">
        <v>0</v>
      </c>
    </row>
    <row r="3292" spans="1:4" ht="15" customHeight="1">
      <c r="A3292" s="50">
        <v>45064</v>
      </c>
      <c r="B3292" s="49" t="s">
        <v>32</v>
      </c>
      <c r="C3292" s="51">
        <v>52811.199999999997</v>
      </c>
      <c r="D3292" s="51">
        <v>0</v>
      </c>
    </row>
    <row r="3293" spans="1:4" ht="15" customHeight="1">
      <c r="A3293" s="50">
        <v>45064</v>
      </c>
      <c r="B3293" s="49" t="s">
        <v>33</v>
      </c>
      <c r="C3293" s="51">
        <v>54342.6</v>
      </c>
      <c r="D3293" s="51">
        <v>0</v>
      </c>
    </row>
    <row r="3294" spans="1:4" ht="15" customHeight="1">
      <c r="A3294" s="50">
        <v>45064</v>
      </c>
      <c r="B3294" s="49" t="s">
        <v>34</v>
      </c>
      <c r="C3294" s="51">
        <v>54425.7</v>
      </c>
      <c r="D3294" s="51">
        <v>0</v>
      </c>
    </row>
    <row r="3295" spans="1:4" ht="15" customHeight="1">
      <c r="A3295" s="50">
        <v>45064</v>
      </c>
      <c r="B3295" s="49" t="s">
        <v>35</v>
      </c>
      <c r="C3295" s="51">
        <v>54436.4</v>
      </c>
      <c r="D3295" s="51">
        <v>0</v>
      </c>
    </row>
    <row r="3296" spans="1:4" ht="15" customHeight="1">
      <c r="A3296" s="50">
        <v>45064</v>
      </c>
      <c r="B3296" s="49" t="s">
        <v>36</v>
      </c>
      <c r="C3296" s="51">
        <v>54343.1</v>
      </c>
      <c r="D3296" s="51">
        <v>0</v>
      </c>
    </row>
    <row r="3297" spans="1:4" ht="15" customHeight="1">
      <c r="A3297" s="50">
        <v>45064</v>
      </c>
      <c r="B3297" s="49" t="s">
        <v>37</v>
      </c>
      <c r="C3297" s="51">
        <v>54545.3</v>
      </c>
      <c r="D3297" s="51">
        <v>0</v>
      </c>
    </row>
    <row r="3298" spans="1:4" ht="15" customHeight="1">
      <c r="A3298" s="50">
        <v>45064</v>
      </c>
      <c r="B3298" s="49" t="s">
        <v>38</v>
      </c>
      <c r="C3298" s="51">
        <v>54258.7</v>
      </c>
      <c r="D3298" s="51">
        <v>0</v>
      </c>
    </row>
    <row r="3299" spans="1:4" ht="15" customHeight="1">
      <c r="A3299" s="50">
        <v>45064</v>
      </c>
      <c r="B3299" s="49" t="s">
        <v>39</v>
      </c>
      <c r="C3299" s="51">
        <v>53805.7</v>
      </c>
      <c r="D3299" s="51">
        <v>0</v>
      </c>
    </row>
    <row r="3300" spans="1:4" ht="15" customHeight="1">
      <c r="A3300" s="50">
        <v>45064</v>
      </c>
      <c r="B3300" s="49" t="s">
        <v>40</v>
      </c>
      <c r="C3300" s="51">
        <v>53720.3</v>
      </c>
      <c r="D3300" s="51">
        <v>0</v>
      </c>
    </row>
    <row r="3301" spans="1:4" ht="15" customHeight="1">
      <c r="A3301" s="50">
        <v>45064</v>
      </c>
      <c r="B3301" s="49" t="s">
        <v>41</v>
      </c>
      <c r="C3301" s="51">
        <v>53709.1</v>
      </c>
      <c r="D3301" s="51">
        <v>0</v>
      </c>
    </row>
    <row r="3302" spans="1:4" ht="15" customHeight="1">
      <c r="A3302" s="50">
        <v>45064</v>
      </c>
      <c r="B3302" s="49" t="s">
        <v>42</v>
      </c>
      <c r="C3302" s="51">
        <v>53704.800000000003</v>
      </c>
      <c r="D3302" s="51">
        <v>0</v>
      </c>
    </row>
    <row r="3303" spans="1:4" ht="15" customHeight="1">
      <c r="A3303" s="50">
        <v>45064</v>
      </c>
      <c r="B3303" s="49" t="s">
        <v>43</v>
      </c>
      <c r="C3303" s="51">
        <v>53974.1</v>
      </c>
      <c r="D3303" s="51">
        <v>0</v>
      </c>
    </row>
    <row r="3304" spans="1:4" ht="15" customHeight="1">
      <c r="A3304" s="50">
        <v>45064</v>
      </c>
      <c r="B3304" s="49" t="s">
        <v>44</v>
      </c>
      <c r="C3304" s="51">
        <v>68517.600000000006</v>
      </c>
      <c r="D3304" s="51">
        <v>0</v>
      </c>
    </row>
    <row r="3305" spans="1:4" ht="15" customHeight="1">
      <c r="A3305" s="50">
        <v>45064</v>
      </c>
      <c r="B3305" s="49" t="s">
        <v>45</v>
      </c>
      <c r="C3305" s="51">
        <v>63334.400000000001</v>
      </c>
      <c r="D3305" s="51">
        <v>0</v>
      </c>
    </row>
    <row r="3306" spans="1:4" ht="15" customHeight="1">
      <c r="A3306" s="50">
        <v>45064</v>
      </c>
      <c r="B3306" s="49" t="s">
        <v>46</v>
      </c>
      <c r="C3306" s="51">
        <v>68747.3</v>
      </c>
      <c r="D3306" s="51">
        <v>0</v>
      </c>
    </row>
    <row r="3307" spans="1:4" ht="15" customHeight="1">
      <c r="A3307" s="50">
        <v>45064</v>
      </c>
      <c r="B3307" s="49" t="s">
        <v>47</v>
      </c>
      <c r="C3307" s="51">
        <v>55203.1</v>
      </c>
      <c r="D3307" s="51">
        <v>0</v>
      </c>
    </row>
    <row r="3308" spans="1:4" ht="15" customHeight="1">
      <c r="A3308" s="50">
        <v>45064</v>
      </c>
      <c r="B3308" s="49" t="s">
        <v>48</v>
      </c>
      <c r="C3308" s="51">
        <v>68354.7</v>
      </c>
      <c r="D3308" s="51">
        <v>0</v>
      </c>
    </row>
    <row r="3309" spans="1:4" ht="15" customHeight="1">
      <c r="A3309" s="50">
        <v>45064</v>
      </c>
      <c r="B3309" s="49" t="s">
        <v>49</v>
      </c>
      <c r="C3309" s="51">
        <v>61149.9</v>
      </c>
      <c r="D3309" s="51">
        <v>0</v>
      </c>
    </row>
    <row r="3310" spans="1:4" ht="15" customHeight="1">
      <c r="A3310" s="50">
        <v>45064</v>
      </c>
      <c r="B3310" s="49" t="s">
        <v>50</v>
      </c>
      <c r="C3310" s="51">
        <v>60479.199999999997</v>
      </c>
      <c r="D3310" s="51">
        <v>0</v>
      </c>
    </row>
    <row r="3311" spans="1:4" ht="15" customHeight="1">
      <c r="A3311" s="50">
        <v>45064</v>
      </c>
      <c r="B3311" s="49" t="s">
        <v>51</v>
      </c>
      <c r="C3311" s="51">
        <v>65350.8</v>
      </c>
      <c r="D3311" s="51">
        <v>0</v>
      </c>
    </row>
    <row r="3312" spans="1:4" ht="15" customHeight="1">
      <c r="A3312" s="50">
        <v>45064</v>
      </c>
      <c r="B3312" s="49" t="s">
        <v>52</v>
      </c>
      <c r="C3312" s="51">
        <v>66816.399999999994</v>
      </c>
      <c r="D3312" s="51">
        <v>0</v>
      </c>
    </row>
    <row r="3313" spans="1:4" ht="15" customHeight="1">
      <c r="A3313" s="50">
        <v>45064</v>
      </c>
      <c r="B3313" s="49" t="s">
        <v>53</v>
      </c>
      <c r="C3313" s="51">
        <v>66001.399999999994</v>
      </c>
      <c r="D3313" s="51">
        <v>0</v>
      </c>
    </row>
    <row r="3314" spans="1:4" ht="15" customHeight="1">
      <c r="A3314" s="50">
        <v>45065</v>
      </c>
      <c r="B3314" s="49" t="s">
        <v>30</v>
      </c>
      <c r="C3314" s="51">
        <v>55589.3</v>
      </c>
      <c r="D3314" s="51">
        <v>0</v>
      </c>
    </row>
    <row r="3315" spans="1:4" ht="15" customHeight="1">
      <c r="A3315" s="50">
        <v>45065</v>
      </c>
      <c r="B3315" s="49" t="s">
        <v>31</v>
      </c>
      <c r="C3315" s="51">
        <v>53860.2</v>
      </c>
      <c r="D3315" s="51">
        <v>0</v>
      </c>
    </row>
    <row r="3316" spans="1:4" ht="15" customHeight="1">
      <c r="A3316" s="50">
        <v>45065</v>
      </c>
      <c r="B3316" s="49" t="s">
        <v>32</v>
      </c>
      <c r="C3316" s="51">
        <v>53918.1</v>
      </c>
      <c r="D3316" s="51">
        <v>0</v>
      </c>
    </row>
    <row r="3317" spans="1:4" ht="15" customHeight="1">
      <c r="A3317" s="50">
        <v>45065</v>
      </c>
      <c r="B3317" s="49" t="s">
        <v>33</v>
      </c>
      <c r="C3317" s="51">
        <v>54122.6</v>
      </c>
      <c r="D3317" s="51">
        <v>0</v>
      </c>
    </row>
    <row r="3318" spans="1:4" ht="15" customHeight="1">
      <c r="A3318" s="50">
        <v>45065</v>
      </c>
      <c r="B3318" s="49" t="s">
        <v>34</v>
      </c>
      <c r="C3318" s="51">
        <v>54480.1</v>
      </c>
      <c r="D3318" s="51">
        <v>0</v>
      </c>
    </row>
    <row r="3319" spans="1:4" ht="15" customHeight="1">
      <c r="A3319" s="50">
        <v>45065</v>
      </c>
      <c r="B3319" s="49" t="s">
        <v>35</v>
      </c>
      <c r="C3319" s="51">
        <v>53302.7</v>
      </c>
      <c r="D3319" s="51">
        <v>0</v>
      </c>
    </row>
    <row r="3320" spans="1:4" ht="15" customHeight="1">
      <c r="A3320" s="50">
        <v>45065</v>
      </c>
      <c r="B3320" s="49" t="s">
        <v>36</v>
      </c>
      <c r="C3320" s="51">
        <v>53699.199999999997</v>
      </c>
      <c r="D3320" s="51">
        <v>0</v>
      </c>
    </row>
    <row r="3321" spans="1:4" ht="15" customHeight="1">
      <c r="A3321" s="50">
        <v>45065</v>
      </c>
      <c r="B3321" s="49" t="s">
        <v>37</v>
      </c>
      <c r="C3321" s="51">
        <v>53901.8</v>
      </c>
      <c r="D3321" s="51">
        <v>0</v>
      </c>
    </row>
    <row r="3322" spans="1:4" ht="15" customHeight="1">
      <c r="A3322" s="50">
        <v>45065</v>
      </c>
      <c r="B3322" s="49" t="s">
        <v>38</v>
      </c>
      <c r="C3322" s="51">
        <v>53580.1</v>
      </c>
      <c r="D3322" s="51">
        <v>0</v>
      </c>
    </row>
    <row r="3323" spans="1:4" ht="15" customHeight="1">
      <c r="A3323" s="50">
        <v>45065</v>
      </c>
      <c r="B3323" s="49" t="s">
        <v>39</v>
      </c>
      <c r="C3323" s="51">
        <v>54135.4</v>
      </c>
      <c r="D3323" s="51">
        <v>0</v>
      </c>
    </row>
    <row r="3324" spans="1:4" ht="15" customHeight="1">
      <c r="A3324" s="50">
        <v>45065</v>
      </c>
      <c r="B3324" s="49" t="s">
        <v>40</v>
      </c>
      <c r="C3324" s="51">
        <v>53673.2</v>
      </c>
      <c r="D3324" s="51">
        <v>0</v>
      </c>
    </row>
    <row r="3325" spans="1:4" ht="15" customHeight="1">
      <c r="A3325" s="50">
        <v>45065</v>
      </c>
      <c r="B3325" s="49" t="s">
        <v>41</v>
      </c>
      <c r="C3325" s="51">
        <v>53366.9</v>
      </c>
      <c r="D3325" s="51">
        <v>0</v>
      </c>
    </row>
    <row r="3326" spans="1:4" ht="15" customHeight="1">
      <c r="A3326" s="50">
        <v>45065</v>
      </c>
      <c r="B3326" s="49" t="s">
        <v>42</v>
      </c>
      <c r="C3326" s="51">
        <v>53566.8</v>
      </c>
      <c r="D3326" s="51">
        <v>0</v>
      </c>
    </row>
    <row r="3327" spans="1:4" ht="15" customHeight="1">
      <c r="A3327" s="50">
        <v>45065</v>
      </c>
      <c r="B3327" s="49" t="s">
        <v>43</v>
      </c>
      <c r="C3327" s="51">
        <v>53842.400000000001</v>
      </c>
      <c r="D3327" s="51">
        <v>0</v>
      </c>
    </row>
    <row r="3328" spans="1:4" ht="15" customHeight="1">
      <c r="A3328" s="50">
        <v>45065</v>
      </c>
      <c r="B3328" s="49" t="s">
        <v>44</v>
      </c>
      <c r="C3328" s="51">
        <v>53576.4</v>
      </c>
      <c r="D3328" s="51">
        <v>0</v>
      </c>
    </row>
    <row r="3329" spans="1:4" ht="15" customHeight="1">
      <c r="A3329" s="50">
        <v>45065</v>
      </c>
      <c r="B3329" s="49" t="s">
        <v>45</v>
      </c>
      <c r="C3329" s="51">
        <v>53820.6</v>
      </c>
      <c r="D3329" s="51">
        <v>0</v>
      </c>
    </row>
    <row r="3330" spans="1:4" ht="15" customHeight="1">
      <c r="A3330" s="50">
        <v>45065</v>
      </c>
      <c r="B3330" s="49" t="s">
        <v>46</v>
      </c>
      <c r="C3330" s="51">
        <v>53296</v>
      </c>
      <c r="D3330" s="51">
        <v>0</v>
      </c>
    </row>
    <row r="3331" spans="1:4" ht="15" customHeight="1">
      <c r="A3331" s="50">
        <v>45065</v>
      </c>
      <c r="B3331" s="49" t="s">
        <v>47</v>
      </c>
      <c r="C3331" s="51">
        <v>53531.1</v>
      </c>
      <c r="D3331" s="51">
        <v>0</v>
      </c>
    </row>
    <row r="3332" spans="1:4" ht="15" customHeight="1">
      <c r="A3332" s="50">
        <v>45065</v>
      </c>
      <c r="B3332" s="49" t="s">
        <v>48</v>
      </c>
      <c r="C3332" s="51">
        <v>56139.8</v>
      </c>
      <c r="D3332" s="51">
        <v>0</v>
      </c>
    </row>
    <row r="3333" spans="1:4" ht="15" customHeight="1">
      <c r="A3333" s="50">
        <v>45065</v>
      </c>
      <c r="B3333" s="49" t="s">
        <v>49</v>
      </c>
      <c r="C3333" s="51">
        <v>62197.8</v>
      </c>
      <c r="D3333" s="51">
        <v>0</v>
      </c>
    </row>
    <row r="3334" spans="1:4" ht="15" customHeight="1">
      <c r="A3334" s="50">
        <v>45065</v>
      </c>
      <c r="B3334" s="49" t="s">
        <v>50</v>
      </c>
      <c r="C3334" s="51">
        <v>63629.4</v>
      </c>
      <c r="D3334" s="51">
        <v>0</v>
      </c>
    </row>
    <row r="3335" spans="1:4" ht="15" customHeight="1">
      <c r="A3335" s="50">
        <v>45065</v>
      </c>
      <c r="B3335" s="49" t="s">
        <v>51</v>
      </c>
      <c r="C3335" s="51">
        <v>56926.8</v>
      </c>
      <c r="D3335" s="51">
        <v>0</v>
      </c>
    </row>
    <row r="3336" spans="1:4" ht="15" customHeight="1">
      <c r="A3336" s="50">
        <v>45065</v>
      </c>
      <c r="B3336" s="49" t="s">
        <v>52</v>
      </c>
      <c r="C3336" s="51">
        <v>68089</v>
      </c>
      <c r="D3336" s="51">
        <v>0</v>
      </c>
    </row>
    <row r="3337" spans="1:4" ht="15" customHeight="1">
      <c r="A3337" s="50">
        <v>45065</v>
      </c>
      <c r="B3337" s="49" t="s">
        <v>53</v>
      </c>
      <c r="C3337" s="51">
        <v>67869.100000000006</v>
      </c>
      <c r="D3337" s="51">
        <v>0</v>
      </c>
    </row>
    <row r="3338" spans="1:4" ht="15" customHeight="1">
      <c r="A3338" s="50">
        <v>45066</v>
      </c>
      <c r="B3338" s="49" t="s">
        <v>30</v>
      </c>
      <c r="C3338" s="51">
        <v>54791.7</v>
      </c>
      <c r="D3338" s="51">
        <v>0</v>
      </c>
    </row>
    <row r="3339" spans="1:4" ht="15" customHeight="1">
      <c r="A3339" s="50">
        <v>45066</v>
      </c>
      <c r="B3339" s="49" t="s">
        <v>31</v>
      </c>
      <c r="C3339" s="51">
        <v>54440.3</v>
      </c>
      <c r="D3339" s="51">
        <v>0</v>
      </c>
    </row>
    <row r="3340" spans="1:4" ht="15" customHeight="1">
      <c r="A3340" s="50">
        <v>45066</v>
      </c>
      <c r="B3340" s="49" t="s">
        <v>32</v>
      </c>
      <c r="C3340" s="51">
        <v>54473.599999999999</v>
      </c>
      <c r="D3340" s="51">
        <v>0</v>
      </c>
    </row>
    <row r="3341" spans="1:4" ht="15" customHeight="1">
      <c r="A3341" s="50">
        <v>45066</v>
      </c>
      <c r="B3341" s="49" t="s">
        <v>33</v>
      </c>
      <c r="C3341" s="51">
        <v>54427.9</v>
      </c>
      <c r="D3341" s="51">
        <v>0</v>
      </c>
    </row>
    <row r="3342" spans="1:4" ht="15" customHeight="1">
      <c r="A3342" s="50">
        <v>45066</v>
      </c>
      <c r="B3342" s="49" t="s">
        <v>34</v>
      </c>
      <c r="C3342" s="51">
        <v>54269.9</v>
      </c>
      <c r="D3342" s="51">
        <v>0</v>
      </c>
    </row>
    <row r="3343" spans="1:4" ht="15" customHeight="1">
      <c r="A3343" s="50">
        <v>45066</v>
      </c>
      <c r="B3343" s="49" t="s">
        <v>35</v>
      </c>
      <c r="C3343" s="51">
        <v>53974</v>
      </c>
      <c r="D3343" s="51">
        <v>0</v>
      </c>
    </row>
    <row r="3344" spans="1:4" ht="15" customHeight="1">
      <c r="A3344" s="50">
        <v>45066</v>
      </c>
      <c r="B3344" s="49" t="s">
        <v>36</v>
      </c>
      <c r="C3344" s="51">
        <v>54443.1</v>
      </c>
      <c r="D3344" s="51">
        <v>0</v>
      </c>
    </row>
    <row r="3345" spans="1:4" ht="15" customHeight="1">
      <c r="A3345" s="50">
        <v>45066</v>
      </c>
      <c r="B3345" s="49" t="s">
        <v>37</v>
      </c>
      <c r="C3345" s="51">
        <v>54695</v>
      </c>
      <c r="D3345" s="51">
        <v>0</v>
      </c>
    </row>
    <row r="3346" spans="1:4" ht="15" customHeight="1">
      <c r="A3346" s="50">
        <v>45066</v>
      </c>
      <c r="B3346" s="49" t="s">
        <v>38</v>
      </c>
      <c r="C3346" s="51">
        <v>54649.2</v>
      </c>
      <c r="D3346" s="51">
        <v>0</v>
      </c>
    </row>
    <row r="3347" spans="1:4" ht="15" customHeight="1">
      <c r="A3347" s="50">
        <v>45066</v>
      </c>
      <c r="B3347" s="49" t="s">
        <v>39</v>
      </c>
      <c r="C3347" s="51">
        <v>54644.6</v>
      </c>
      <c r="D3347" s="51">
        <v>0</v>
      </c>
    </row>
    <row r="3348" spans="1:4" ht="15" customHeight="1">
      <c r="A3348" s="50">
        <v>45066</v>
      </c>
      <c r="B3348" s="49" t="s">
        <v>40</v>
      </c>
      <c r="C3348" s="51">
        <v>54689.1</v>
      </c>
      <c r="D3348" s="51">
        <v>0</v>
      </c>
    </row>
    <row r="3349" spans="1:4" ht="15" customHeight="1">
      <c r="A3349" s="50">
        <v>45066</v>
      </c>
      <c r="B3349" s="49" t="s">
        <v>41</v>
      </c>
      <c r="C3349" s="51">
        <v>54523.9</v>
      </c>
      <c r="D3349" s="51">
        <v>0</v>
      </c>
    </row>
    <row r="3350" spans="1:4" ht="15" customHeight="1">
      <c r="A3350" s="50">
        <v>45066</v>
      </c>
      <c r="B3350" s="49" t="s">
        <v>42</v>
      </c>
      <c r="C3350" s="51">
        <v>53908.800000000003</v>
      </c>
      <c r="D3350" s="51">
        <v>0</v>
      </c>
    </row>
    <row r="3351" spans="1:4" ht="15" customHeight="1">
      <c r="A3351" s="50">
        <v>45066</v>
      </c>
      <c r="B3351" s="49" t="s">
        <v>43</v>
      </c>
      <c r="C3351" s="51">
        <v>53406.6</v>
      </c>
      <c r="D3351" s="51">
        <v>0</v>
      </c>
    </row>
    <row r="3352" spans="1:4" ht="15" customHeight="1">
      <c r="A3352" s="50">
        <v>45066</v>
      </c>
      <c r="B3352" s="49" t="s">
        <v>44</v>
      </c>
      <c r="C3352" s="51">
        <v>53427.199999999997</v>
      </c>
      <c r="D3352" s="51">
        <v>0</v>
      </c>
    </row>
    <row r="3353" spans="1:4" ht="15" customHeight="1">
      <c r="A3353" s="50">
        <v>45066</v>
      </c>
      <c r="B3353" s="49" t="s">
        <v>45</v>
      </c>
      <c r="C3353" s="51">
        <v>54176.800000000003</v>
      </c>
      <c r="D3353" s="51">
        <v>0</v>
      </c>
    </row>
    <row r="3354" spans="1:4" ht="15" customHeight="1">
      <c r="A3354" s="50">
        <v>45066</v>
      </c>
      <c r="B3354" s="49" t="s">
        <v>46</v>
      </c>
      <c r="C3354" s="51">
        <v>69216.899999999994</v>
      </c>
      <c r="D3354" s="51">
        <v>0</v>
      </c>
    </row>
    <row r="3355" spans="1:4" ht="15" customHeight="1">
      <c r="A3355" s="50">
        <v>45066</v>
      </c>
      <c r="B3355" s="49" t="s">
        <v>47</v>
      </c>
      <c r="C3355" s="51">
        <v>69808.3</v>
      </c>
      <c r="D3355" s="51">
        <v>0</v>
      </c>
    </row>
    <row r="3356" spans="1:4" ht="15" customHeight="1">
      <c r="A3356" s="50">
        <v>45066</v>
      </c>
      <c r="B3356" s="49" t="s">
        <v>48</v>
      </c>
      <c r="C3356" s="51">
        <v>69789.100000000006</v>
      </c>
      <c r="D3356" s="51">
        <v>0</v>
      </c>
    </row>
    <row r="3357" spans="1:4" ht="15" customHeight="1">
      <c r="A3357" s="50">
        <v>45066</v>
      </c>
      <c r="B3357" s="49" t="s">
        <v>49</v>
      </c>
      <c r="C3357" s="51">
        <v>69629</v>
      </c>
      <c r="D3357" s="51">
        <v>0</v>
      </c>
    </row>
    <row r="3358" spans="1:4" ht="15" customHeight="1">
      <c r="A3358" s="50">
        <v>45066</v>
      </c>
      <c r="B3358" s="49" t="s">
        <v>50</v>
      </c>
      <c r="C3358" s="51">
        <v>69708.100000000006</v>
      </c>
      <c r="D3358" s="51">
        <v>0</v>
      </c>
    </row>
    <row r="3359" spans="1:4" ht="15" customHeight="1">
      <c r="A3359" s="50">
        <v>45066</v>
      </c>
      <c r="B3359" s="49" t="s">
        <v>51</v>
      </c>
      <c r="C3359" s="51">
        <v>69433.100000000006</v>
      </c>
      <c r="D3359" s="51">
        <v>0</v>
      </c>
    </row>
    <row r="3360" spans="1:4" ht="15" customHeight="1">
      <c r="A3360" s="50">
        <v>45066</v>
      </c>
      <c r="B3360" s="49" t="s">
        <v>52</v>
      </c>
      <c r="C3360" s="51">
        <v>69825.600000000006</v>
      </c>
      <c r="D3360" s="51">
        <v>0</v>
      </c>
    </row>
    <row r="3361" spans="1:4" ht="15" customHeight="1">
      <c r="A3361" s="50">
        <v>45066</v>
      </c>
      <c r="B3361" s="49" t="s">
        <v>53</v>
      </c>
      <c r="C3361" s="51">
        <v>69569.3</v>
      </c>
      <c r="D3361" s="51">
        <v>0</v>
      </c>
    </row>
    <row r="3362" spans="1:4" ht="15" customHeight="1">
      <c r="A3362" s="50">
        <v>45067</v>
      </c>
      <c r="B3362" s="49" t="s">
        <v>30</v>
      </c>
      <c r="C3362" s="51">
        <v>69328.7</v>
      </c>
      <c r="D3362" s="51">
        <v>0</v>
      </c>
    </row>
    <row r="3363" spans="1:4" ht="15" customHeight="1">
      <c r="A3363" s="50">
        <v>45067</v>
      </c>
      <c r="B3363" s="49" t="s">
        <v>31</v>
      </c>
      <c r="C3363" s="51">
        <v>53766.3</v>
      </c>
      <c r="D3363" s="51">
        <v>0</v>
      </c>
    </row>
    <row r="3364" spans="1:4" ht="15" customHeight="1">
      <c r="A3364" s="50">
        <v>45067</v>
      </c>
      <c r="B3364" s="49" t="s">
        <v>32</v>
      </c>
      <c r="C3364" s="51">
        <v>53362.1</v>
      </c>
      <c r="D3364" s="51">
        <v>0</v>
      </c>
    </row>
    <row r="3365" spans="1:4" ht="15" customHeight="1">
      <c r="A3365" s="50">
        <v>45067</v>
      </c>
      <c r="B3365" s="49" t="s">
        <v>33</v>
      </c>
      <c r="C3365" s="51">
        <v>54151.6</v>
      </c>
      <c r="D3365" s="51">
        <v>0</v>
      </c>
    </row>
    <row r="3366" spans="1:4" ht="15" customHeight="1">
      <c r="A3366" s="50">
        <v>45067</v>
      </c>
      <c r="B3366" s="49" t="s">
        <v>34</v>
      </c>
      <c r="C3366" s="51">
        <v>54168.3</v>
      </c>
      <c r="D3366" s="51">
        <v>0</v>
      </c>
    </row>
    <row r="3367" spans="1:4" ht="15" customHeight="1">
      <c r="A3367" s="50">
        <v>45067</v>
      </c>
      <c r="B3367" s="49" t="s">
        <v>35</v>
      </c>
      <c r="C3367" s="51">
        <v>54170</v>
      </c>
      <c r="D3367" s="51">
        <v>0</v>
      </c>
    </row>
    <row r="3368" spans="1:4" ht="15" customHeight="1">
      <c r="A3368" s="50">
        <v>45067</v>
      </c>
      <c r="B3368" s="49" t="s">
        <v>36</v>
      </c>
      <c r="C3368" s="51">
        <v>54260.6</v>
      </c>
      <c r="D3368" s="51">
        <v>0</v>
      </c>
    </row>
    <row r="3369" spans="1:4" ht="15" customHeight="1">
      <c r="A3369" s="50">
        <v>45067</v>
      </c>
      <c r="B3369" s="49" t="s">
        <v>37</v>
      </c>
      <c r="C3369" s="51">
        <v>54249.9</v>
      </c>
      <c r="D3369" s="51">
        <v>0</v>
      </c>
    </row>
    <row r="3370" spans="1:4" ht="15" customHeight="1">
      <c r="A3370" s="50">
        <v>45067</v>
      </c>
      <c r="B3370" s="49" t="s">
        <v>38</v>
      </c>
      <c r="C3370" s="51">
        <v>54352.4</v>
      </c>
      <c r="D3370" s="51">
        <v>0</v>
      </c>
    </row>
    <row r="3371" spans="1:4" ht="15" customHeight="1">
      <c r="A3371" s="50">
        <v>45067</v>
      </c>
      <c r="B3371" s="49" t="s">
        <v>39</v>
      </c>
      <c r="C3371" s="51">
        <v>53716.9</v>
      </c>
      <c r="D3371" s="51">
        <v>0</v>
      </c>
    </row>
    <row r="3372" spans="1:4" ht="15" customHeight="1">
      <c r="A3372" s="50">
        <v>45067</v>
      </c>
      <c r="B3372" s="49" t="s">
        <v>40</v>
      </c>
      <c r="C3372" s="51">
        <v>53812.1</v>
      </c>
      <c r="D3372" s="51">
        <v>0</v>
      </c>
    </row>
    <row r="3373" spans="1:4" ht="15" customHeight="1">
      <c r="A3373" s="50">
        <v>45067</v>
      </c>
      <c r="B3373" s="49" t="s">
        <v>41</v>
      </c>
      <c r="C3373" s="51">
        <v>53775.6</v>
      </c>
      <c r="D3373" s="51">
        <v>0</v>
      </c>
    </row>
    <row r="3374" spans="1:4" ht="15" customHeight="1">
      <c r="A3374" s="50">
        <v>45067</v>
      </c>
      <c r="B3374" s="49" t="s">
        <v>42</v>
      </c>
      <c r="C3374" s="51">
        <v>53785</v>
      </c>
      <c r="D3374" s="51">
        <v>0</v>
      </c>
    </row>
    <row r="3375" spans="1:4" ht="15" customHeight="1">
      <c r="A3375" s="50">
        <v>45067</v>
      </c>
      <c r="B3375" s="49" t="s">
        <v>43</v>
      </c>
      <c r="C3375" s="51">
        <v>53749</v>
      </c>
      <c r="D3375" s="51">
        <v>0</v>
      </c>
    </row>
    <row r="3376" spans="1:4" ht="15" customHeight="1">
      <c r="A3376" s="50">
        <v>45067</v>
      </c>
      <c r="B3376" s="49" t="s">
        <v>44</v>
      </c>
      <c r="C3376" s="51">
        <v>53934.2</v>
      </c>
      <c r="D3376" s="51">
        <v>0</v>
      </c>
    </row>
    <row r="3377" spans="1:4" ht="15" customHeight="1">
      <c r="A3377" s="50">
        <v>45067</v>
      </c>
      <c r="B3377" s="49" t="s">
        <v>45</v>
      </c>
      <c r="C3377" s="51">
        <v>53886.7</v>
      </c>
      <c r="D3377" s="51">
        <v>0</v>
      </c>
    </row>
    <row r="3378" spans="1:4" ht="15" customHeight="1">
      <c r="A3378" s="50">
        <v>45067</v>
      </c>
      <c r="B3378" s="49" t="s">
        <v>46</v>
      </c>
      <c r="C3378" s="51">
        <v>53911.6</v>
      </c>
      <c r="D3378" s="51">
        <v>0</v>
      </c>
    </row>
    <row r="3379" spans="1:4" ht="15" customHeight="1">
      <c r="A3379" s="50">
        <v>45067</v>
      </c>
      <c r="B3379" s="49" t="s">
        <v>47</v>
      </c>
      <c r="C3379" s="51">
        <v>53884.7</v>
      </c>
      <c r="D3379" s="51">
        <v>0</v>
      </c>
    </row>
    <row r="3380" spans="1:4" ht="15" customHeight="1">
      <c r="A3380" s="50">
        <v>45067</v>
      </c>
      <c r="B3380" s="49" t="s">
        <v>48</v>
      </c>
      <c r="C3380" s="51">
        <v>68292.7</v>
      </c>
      <c r="D3380" s="51">
        <v>0</v>
      </c>
    </row>
    <row r="3381" spans="1:4" ht="15" customHeight="1">
      <c r="A3381" s="50">
        <v>45067</v>
      </c>
      <c r="B3381" s="49" t="s">
        <v>49</v>
      </c>
      <c r="C3381" s="51">
        <v>68980.600000000006</v>
      </c>
      <c r="D3381" s="51">
        <v>0</v>
      </c>
    </row>
    <row r="3382" spans="1:4" ht="15" customHeight="1">
      <c r="A3382" s="50">
        <v>45067</v>
      </c>
      <c r="B3382" s="49" t="s">
        <v>50</v>
      </c>
      <c r="C3382" s="51">
        <v>68852</v>
      </c>
      <c r="D3382" s="51">
        <v>0</v>
      </c>
    </row>
    <row r="3383" spans="1:4" ht="15" customHeight="1">
      <c r="A3383" s="50">
        <v>45067</v>
      </c>
      <c r="B3383" s="49" t="s">
        <v>51</v>
      </c>
      <c r="C3383" s="51">
        <v>55052.1</v>
      </c>
      <c r="D3383" s="51">
        <v>0</v>
      </c>
    </row>
    <row r="3384" spans="1:4" ht="15" customHeight="1">
      <c r="A3384" s="50">
        <v>45067</v>
      </c>
      <c r="B3384" s="49" t="s">
        <v>52</v>
      </c>
      <c r="C3384" s="51">
        <v>54380.6</v>
      </c>
      <c r="D3384" s="51">
        <v>0</v>
      </c>
    </row>
    <row r="3385" spans="1:4" ht="15" customHeight="1">
      <c r="A3385" s="50">
        <v>45067</v>
      </c>
      <c r="B3385" s="49" t="s">
        <v>53</v>
      </c>
      <c r="C3385" s="51">
        <v>54421.4</v>
      </c>
      <c r="D3385" s="51">
        <v>0</v>
      </c>
    </row>
    <row r="3386" spans="1:4" ht="15" customHeight="1">
      <c r="A3386" s="50">
        <v>45068</v>
      </c>
      <c r="B3386" s="49" t="s">
        <v>30</v>
      </c>
      <c r="C3386" s="51">
        <v>53915.5</v>
      </c>
      <c r="D3386" s="51">
        <v>0</v>
      </c>
    </row>
    <row r="3387" spans="1:4" ht="15" customHeight="1">
      <c r="A3387" s="50">
        <v>45068</v>
      </c>
      <c r="B3387" s="49" t="s">
        <v>31</v>
      </c>
      <c r="C3387" s="51">
        <v>54853.7</v>
      </c>
      <c r="D3387" s="51">
        <v>0</v>
      </c>
    </row>
    <row r="3388" spans="1:4" ht="15" customHeight="1">
      <c r="A3388" s="50">
        <v>45068</v>
      </c>
      <c r="B3388" s="49" t="s">
        <v>32</v>
      </c>
      <c r="C3388" s="51">
        <v>54623.5</v>
      </c>
      <c r="D3388" s="51">
        <v>0</v>
      </c>
    </row>
    <row r="3389" spans="1:4" ht="15" customHeight="1">
      <c r="A3389" s="50">
        <v>45068</v>
      </c>
      <c r="B3389" s="49" t="s">
        <v>33</v>
      </c>
      <c r="C3389" s="51">
        <v>54781.3</v>
      </c>
      <c r="D3389" s="51">
        <v>0</v>
      </c>
    </row>
    <row r="3390" spans="1:4" ht="15" customHeight="1">
      <c r="A3390" s="50">
        <v>45068</v>
      </c>
      <c r="B3390" s="49" t="s">
        <v>34</v>
      </c>
      <c r="C3390" s="51">
        <v>54427.4</v>
      </c>
      <c r="D3390" s="51">
        <v>0</v>
      </c>
    </row>
    <row r="3391" spans="1:4" ht="15" customHeight="1">
      <c r="A3391" s="50">
        <v>45068</v>
      </c>
      <c r="B3391" s="49" t="s">
        <v>35</v>
      </c>
      <c r="C3391" s="51">
        <v>54339.9</v>
      </c>
      <c r="D3391" s="51">
        <v>0</v>
      </c>
    </row>
    <row r="3392" spans="1:4" ht="15" customHeight="1">
      <c r="A3392" s="50">
        <v>45068</v>
      </c>
      <c r="B3392" s="49" t="s">
        <v>36</v>
      </c>
      <c r="C3392" s="51">
        <v>54095.4</v>
      </c>
      <c r="D3392" s="51">
        <v>0</v>
      </c>
    </row>
    <row r="3393" spans="1:4" ht="15" customHeight="1">
      <c r="A3393" s="50">
        <v>45068</v>
      </c>
      <c r="B3393" s="49" t="s">
        <v>37</v>
      </c>
      <c r="C3393" s="51">
        <v>54004.1</v>
      </c>
      <c r="D3393" s="51">
        <v>0</v>
      </c>
    </row>
    <row r="3394" spans="1:4" ht="15" customHeight="1">
      <c r="A3394" s="50">
        <v>45068</v>
      </c>
      <c r="B3394" s="49" t="s">
        <v>38</v>
      </c>
      <c r="C3394" s="51">
        <v>53881.9</v>
      </c>
      <c r="D3394" s="51">
        <v>0</v>
      </c>
    </row>
    <row r="3395" spans="1:4" ht="15" customHeight="1">
      <c r="A3395" s="50">
        <v>45068</v>
      </c>
      <c r="B3395" s="49" t="s">
        <v>39</v>
      </c>
      <c r="C3395" s="51">
        <v>53735.1</v>
      </c>
      <c r="D3395" s="51">
        <v>0</v>
      </c>
    </row>
    <row r="3396" spans="1:4" ht="15" customHeight="1">
      <c r="A3396" s="50">
        <v>45068</v>
      </c>
      <c r="B3396" s="49" t="s">
        <v>40</v>
      </c>
      <c r="C3396" s="51">
        <v>53835.1</v>
      </c>
      <c r="D3396" s="51">
        <v>0</v>
      </c>
    </row>
    <row r="3397" spans="1:4" ht="15" customHeight="1">
      <c r="A3397" s="50">
        <v>45068</v>
      </c>
      <c r="B3397" s="49" t="s">
        <v>41</v>
      </c>
      <c r="C3397" s="51">
        <v>53871</v>
      </c>
      <c r="D3397" s="51">
        <v>0</v>
      </c>
    </row>
    <row r="3398" spans="1:4" ht="15" customHeight="1">
      <c r="A3398" s="50">
        <v>45068</v>
      </c>
      <c r="B3398" s="49" t="s">
        <v>42</v>
      </c>
      <c r="C3398" s="51">
        <v>53749.2</v>
      </c>
      <c r="D3398" s="51">
        <v>0</v>
      </c>
    </row>
    <row r="3399" spans="1:4" ht="15" customHeight="1">
      <c r="A3399" s="50">
        <v>45068</v>
      </c>
      <c r="B3399" s="49" t="s">
        <v>43</v>
      </c>
      <c r="C3399" s="51">
        <v>53773.9</v>
      </c>
      <c r="D3399" s="51">
        <v>0</v>
      </c>
    </row>
    <row r="3400" spans="1:4" ht="15" customHeight="1">
      <c r="A3400" s="50">
        <v>45068</v>
      </c>
      <c r="B3400" s="49" t="s">
        <v>44</v>
      </c>
      <c r="C3400" s="51">
        <v>53744.6</v>
      </c>
      <c r="D3400" s="51">
        <v>0</v>
      </c>
    </row>
    <row r="3401" spans="1:4" ht="15" customHeight="1">
      <c r="A3401" s="50">
        <v>45068</v>
      </c>
      <c r="B3401" s="49" t="s">
        <v>45</v>
      </c>
      <c r="C3401" s="51">
        <v>53820.3</v>
      </c>
      <c r="D3401" s="51">
        <v>0</v>
      </c>
    </row>
    <row r="3402" spans="1:4" ht="15" customHeight="1">
      <c r="A3402" s="50">
        <v>45068</v>
      </c>
      <c r="B3402" s="49" t="s">
        <v>46</v>
      </c>
      <c r="C3402" s="51">
        <v>53665.8</v>
      </c>
      <c r="D3402" s="51">
        <v>0</v>
      </c>
    </row>
    <row r="3403" spans="1:4" ht="15" customHeight="1">
      <c r="A3403" s="50">
        <v>45068</v>
      </c>
      <c r="B3403" s="49" t="s">
        <v>47</v>
      </c>
      <c r="C3403" s="51">
        <v>53909.7</v>
      </c>
      <c r="D3403" s="51">
        <v>0</v>
      </c>
    </row>
    <row r="3404" spans="1:4" ht="15" customHeight="1">
      <c r="A3404" s="50">
        <v>45068</v>
      </c>
      <c r="B3404" s="49" t="s">
        <v>48</v>
      </c>
      <c r="C3404" s="51">
        <v>53987.6</v>
      </c>
      <c r="D3404" s="51">
        <v>0</v>
      </c>
    </row>
    <row r="3405" spans="1:4" ht="15" customHeight="1">
      <c r="A3405" s="50">
        <v>45068</v>
      </c>
      <c r="B3405" s="49" t="s">
        <v>49</v>
      </c>
      <c r="C3405" s="51">
        <v>53989.3</v>
      </c>
      <c r="D3405" s="51">
        <v>0</v>
      </c>
    </row>
    <row r="3406" spans="1:4" ht="15" customHeight="1">
      <c r="A3406" s="50">
        <v>45068</v>
      </c>
      <c r="B3406" s="49" t="s">
        <v>50</v>
      </c>
      <c r="C3406" s="51">
        <v>69450.100000000006</v>
      </c>
      <c r="D3406" s="51">
        <v>0</v>
      </c>
    </row>
    <row r="3407" spans="1:4" ht="15" customHeight="1">
      <c r="A3407" s="50">
        <v>45068</v>
      </c>
      <c r="B3407" s="49" t="s">
        <v>51</v>
      </c>
      <c r="C3407" s="51">
        <v>69501.600000000006</v>
      </c>
      <c r="D3407" s="51">
        <v>0</v>
      </c>
    </row>
    <row r="3408" spans="1:4" ht="15" customHeight="1">
      <c r="A3408" s="50">
        <v>45068</v>
      </c>
      <c r="B3408" s="49" t="s">
        <v>52</v>
      </c>
      <c r="C3408" s="51">
        <v>68674.600000000006</v>
      </c>
      <c r="D3408" s="51">
        <v>0</v>
      </c>
    </row>
    <row r="3409" spans="1:4" ht="15" customHeight="1">
      <c r="A3409" s="50">
        <v>45068</v>
      </c>
      <c r="B3409" s="49" t="s">
        <v>53</v>
      </c>
      <c r="C3409" s="51">
        <v>68889.2</v>
      </c>
      <c r="D3409" s="51">
        <v>0</v>
      </c>
    </row>
    <row r="3410" spans="1:4" ht="15" customHeight="1">
      <c r="A3410" s="50">
        <v>45069</v>
      </c>
      <c r="B3410" s="49" t="s">
        <v>30</v>
      </c>
      <c r="C3410" s="51">
        <v>53408.1</v>
      </c>
      <c r="D3410" s="51">
        <v>0</v>
      </c>
    </row>
    <row r="3411" spans="1:4" ht="15" customHeight="1">
      <c r="A3411" s="50">
        <v>45069</v>
      </c>
      <c r="B3411" s="49" t="s">
        <v>31</v>
      </c>
      <c r="C3411" s="51">
        <v>54188.3</v>
      </c>
      <c r="D3411" s="51">
        <v>0</v>
      </c>
    </row>
    <row r="3412" spans="1:4" ht="15" customHeight="1">
      <c r="A3412" s="50">
        <v>45069</v>
      </c>
      <c r="B3412" s="49" t="s">
        <v>32</v>
      </c>
      <c r="C3412" s="51">
        <v>54163</v>
      </c>
      <c r="D3412" s="51">
        <v>0</v>
      </c>
    </row>
    <row r="3413" spans="1:4" ht="15" customHeight="1">
      <c r="A3413" s="50">
        <v>45069</v>
      </c>
      <c r="B3413" s="49" t="s">
        <v>33</v>
      </c>
      <c r="C3413" s="51">
        <v>54382.400000000001</v>
      </c>
      <c r="D3413" s="51">
        <v>0</v>
      </c>
    </row>
    <row r="3414" spans="1:4" ht="15" customHeight="1">
      <c r="A3414" s="50">
        <v>45069</v>
      </c>
      <c r="B3414" s="49" t="s">
        <v>34</v>
      </c>
      <c r="C3414" s="51">
        <v>54508</v>
      </c>
      <c r="D3414" s="51">
        <v>0</v>
      </c>
    </row>
    <row r="3415" spans="1:4" ht="15" customHeight="1">
      <c r="A3415" s="50">
        <v>45069</v>
      </c>
      <c r="B3415" s="49" t="s">
        <v>35</v>
      </c>
      <c r="C3415" s="51">
        <v>54355.7</v>
      </c>
      <c r="D3415" s="51">
        <v>0</v>
      </c>
    </row>
    <row r="3416" spans="1:4" ht="15" customHeight="1">
      <c r="A3416" s="50">
        <v>45069</v>
      </c>
      <c r="B3416" s="49" t="s">
        <v>36</v>
      </c>
      <c r="C3416" s="51">
        <v>52483.5</v>
      </c>
      <c r="D3416" s="51">
        <v>0</v>
      </c>
    </row>
    <row r="3417" spans="1:4" ht="15" customHeight="1">
      <c r="A3417" s="50">
        <v>45069</v>
      </c>
      <c r="B3417" s="49" t="s">
        <v>37</v>
      </c>
      <c r="C3417" s="51">
        <v>52467.5</v>
      </c>
      <c r="D3417" s="51">
        <v>0</v>
      </c>
    </row>
    <row r="3418" spans="1:4" ht="15" customHeight="1">
      <c r="A3418" s="50">
        <v>45069</v>
      </c>
      <c r="B3418" s="49" t="s">
        <v>38</v>
      </c>
      <c r="C3418" s="51">
        <v>52682</v>
      </c>
      <c r="D3418" s="51">
        <v>0</v>
      </c>
    </row>
    <row r="3419" spans="1:4" ht="15" customHeight="1">
      <c r="A3419" s="50">
        <v>45069</v>
      </c>
      <c r="B3419" s="49" t="s">
        <v>39</v>
      </c>
      <c r="C3419" s="51">
        <v>52769.3</v>
      </c>
      <c r="D3419" s="51">
        <v>0</v>
      </c>
    </row>
    <row r="3420" spans="1:4" ht="15" customHeight="1">
      <c r="A3420" s="50">
        <v>45069</v>
      </c>
      <c r="B3420" s="49" t="s">
        <v>40</v>
      </c>
      <c r="C3420" s="51">
        <v>53034.6</v>
      </c>
      <c r="D3420" s="51">
        <v>0</v>
      </c>
    </row>
    <row r="3421" spans="1:4" ht="15" customHeight="1">
      <c r="A3421" s="50">
        <v>45069</v>
      </c>
      <c r="B3421" s="49" t="s">
        <v>41</v>
      </c>
      <c r="C3421" s="51">
        <v>52746.400000000001</v>
      </c>
      <c r="D3421" s="51">
        <v>0</v>
      </c>
    </row>
    <row r="3422" spans="1:4" ht="15" customHeight="1">
      <c r="A3422" s="50">
        <v>45069</v>
      </c>
      <c r="B3422" s="49" t="s">
        <v>42</v>
      </c>
      <c r="C3422" s="51">
        <v>52967.6</v>
      </c>
      <c r="D3422" s="51">
        <v>0</v>
      </c>
    </row>
    <row r="3423" spans="1:4" ht="15" customHeight="1">
      <c r="A3423" s="50">
        <v>45069</v>
      </c>
      <c r="B3423" s="49" t="s">
        <v>43</v>
      </c>
      <c r="C3423" s="51">
        <v>52868.6</v>
      </c>
      <c r="D3423" s="51">
        <v>0</v>
      </c>
    </row>
    <row r="3424" spans="1:4" ht="15" customHeight="1">
      <c r="A3424" s="50">
        <v>45069</v>
      </c>
      <c r="B3424" s="49" t="s">
        <v>44</v>
      </c>
      <c r="C3424" s="51">
        <v>52995.6</v>
      </c>
      <c r="D3424" s="51">
        <v>0</v>
      </c>
    </row>
    <row r="3425" spans="1:4" ht="15" customHeight="1">
      <c r="A3425" s="50">
        <v>45069</v>
      </c>
      <c r="B3425" s="49" t="s">
        <v>45</v>
      </c>
      <c r="C3425" s="51">
        <v>59415.3</v>
      </c>
      <c r="D3425" s="51">
        <v>0</v>
      </c>
    </row>
    <row r="3426" spans="1:4" ht="15" customHeight="1">
      <c r="A3426" s="50">
        <v>45069</v>
      </c>
      <c r="B3426" s="49" t="s">
        <v>46</v>
      </c>
      <c r="C3426" s="51">
        <v>67891.7</v>
      </c>
      <c r="D3426" s="51">
        <v>0</v>
      </c>
    </row>
    <row r="3427" spans="1:4" ht="15" customHeight="1">
      <c r="A3427" s="50">
        <v>45069</v>
      </c>
      <c r="B3427" s="49" t="s">
        <v>47</v>
      </c>
      <c r="C3427" s="51">
        <v>68156.3</v>
      </c>
      <c r="D3427" s="51">
        <v>0</v>
      </c>
    </row>
    <row r="3428" spans="1:4" ht="15" customHeight="1">
      <c r="A3428" s="50">
        <v>45069</v>
      </c>
      <c r="B3428" s="49" t="s">
        <v>48</v>
      </c>
      <c r="C3428" s="51">
        <v>68165.399999999994</v>
      </c>
      <c r="D3428" s="51">
        <v>0</v>
      </c>
    </row>
    <row r="3429" spans="1:4" ht="15" customHeight="1">
      <c r="A3429" s="50">
        <v>45069</v>
      </c>
      <c r="B3429" s="49" t="s">
        <v>49</v>
      </c>
      <c r="C3429" s="51">
        <v>68551.899999999994</v>
      </c>
      <c r="D3429" s="51">
        <v>0</v>
      </c>
    </row>
    <row r="3430" spans="1:4" ht="15" customHeight="1">
      <c r="A3430" s="50">
        <v>45069</v>
      </c>
      <c r="B3430" s="49" t="s">
        <v>50</v>
      </c>
      <c r="C3430" s="51">
        <v>68603.899999999994</v>
      </c>
      <c r="D3430" s="51">
        <v>0</v>
      </c>
    </row>
    <row r="3431" spans="1:4" ht="15" customHeight="1">
      <c r="A3431" s="50">
        <v>45069</v>
      </c>
      <c r="B3431" s="49" t="s">
        <v>51</v>
      </c>
      <c r="C3431" s="51">
        <v>67398.100000000006</v>
      </c>
      <c r="D3431" s="51">
        <v>0</v>
      </c>
    </row>
    <row r="3432" spans="1:4" ht="15" customHeight="1">
      <c r="A3432" s="50">
        <v>45069</v>
      </c>
      <c r="B3432" s="49" t="s">
        <v>52</v>
      </c>
      <c r="C3432" s="51">
        <v>66820.3</v>
      </c>
      <c r="D3432" s="51">
        <v>0</v>
      </c>
    </row>
    <row r="3433" spans="1:4" ht="15" customHeight="1">
      <c r="A3433" s="50">
        <v>45069</v>
      </c>
      <c r="B3433" s="49" t="s">
        <v>53</v>
      </c>
      <c r="C3433" s="51">
        <v>66704.5</v>
      </c>
      <c r="D3433" s="51">
        <v>0</v>
      </c>
    </row>
    <row r="3434" spans="1:4" ht="15" customHeight="1">
      <c r="A3434" s="50">
        <v>45070</v>
      </c>
      <c r="B3434" s="49" t="s">
        <v>30</v>
      </c>
      <c r="C3434" s="51">
        <v>63214.5</v>
      </c>
      <c r="D3434" s="51">
        <v>0</v>
      </c>
    </row>
    <row r="3435" spans="1:4" ht="15" customHeight="1">
      <c r="A3435" s="50">
        <v>45070</v>
      </c>
      <c r="B3435" s="49" t="s">
        <v>31</v>
      </c>
      <c r="C3435" s="51">
        <v>56333.5</v>
      </c>
      <c r="D3435" s="51">
        <v>0</v>
      </c>
    </row>
    <row r="3436" spans="1:4" ht="15" customHeight="1">
      <c r="A3436" s="50">
        <v>45070</v>
      </c>
      <c r="B3436" s="49" t="s">
        <v>32</v>
      </c>
      <c r="C3436" s="51">
        <v>57278.400000000001</v>
      </c>
      <c r="D3436" s="51">
        <v>0</v>
      </c>
    </row>
    <row r="3437" spans="1:4" ht="15" customHeight="1">
      <c r="A3437" s="50">
        <v>45070</v>
      </c>
      <c r="B3437" s="49" t="s">
        <v>33</v>
      </c>
      <c r="C3437" s="51">
        <v>57021.4</v>
      </c>
      <c r="D3437" s="51">
        <v>0</v>
      </c>
    </row>
    <row r="3438" spans="1:4" ht="15" customHeight="1">
      <c r="A3438" s="50">
        <v>45070</v>
      </c>
      <c r="B3438" s="49" t="s">
        <v>34</v>
      </c>
      <c r="C3438" s="51">
        <v>57013.4</v>
      </c>
      <c r="D3438" s="51">
        <v>0</v>
      </c>
    </row>
    <row r="3439" spans="1:4" ht="15" customHeight="1">
      <c r="A3439" s="50">
        <v>45070</v>
      </c>
      <c r="B3439" s="49" t="s">
        <v>35</v>
      </c>
      <c r="C3439" s="51">
        <v>56483.8</v>
      </c>
      <c r="D3439" s="51">
        <v>0</v>
      </c>
    </row>
    <row r="3440" spans="1:4" ht="15" customHeight="1">
      <c r="A3440" s="50">
        <v>45070</v>
      </c>
      <c r="B3440" s="49" t="s">
        <v>36</v>
      </c>
      <c r="C3440" s="51">
        <v>56272.6</v>
      </c>
      <c r="D3440" s="51">
        <v>0</v>
      </c>
    </row>
    <row r="3441" spans="1:4" ht="15" customHeight="1">
      <c r="A3441" s="50">
        <v>45070</v>
      </c>
      <c r="B3441" s="49" t="s">
        <v>37</v>
      </c>
      <c r="C3441" s="51">
        <v>56540.800000000003</v>
      </c>
      <c r="D3441" s="51">
        <v>0</v>
      </c>
    </row>
    <row r="3442" spans="1:4" ht="15" customHeight="1">
      <c r="A3442" s="50">
        <v>45070</v>
      </c>
      <c r="B3442" s="49" t="s">
        <v>38</v>
      </c>
      <c r="C3442" s="51">
        <v>56450.9</v>
      </c>
      <c r="D3442" s="51">
        <v>0</v>
      </c>
    </row>
    <row r="3443" spans="1:4" ht="15" customHeight="1">
      <c r="A3443" s="50">
        <v>45070</v>
      </c>
      <c r="B3443" s="49" t="s">
        <v>39</v>
      </c>
      <c r="C3443" s="51">
        <v>56343.8</v>
      </c>
      <c r="D3443" s="51">
        <v>0</v>
      </c>
    </row>
    <row r="3444" spans="1:4" ht="15" customHeight="1">
      <c r="A3444" s="50">
        <v>45070</v>
      </c>
      <c r="B3444" s="49" t="s">
        <v>40</v>
      </c>
      <c r="C3444" s="51">
        <v>56384</v>
      </c>
      <c r="D3444" s="51">
        <v>0</v>
      </c>
    </row>
    <row r="3445" spans="1:4" ht="15" customHeight="1">
      <c r="A3445" s="50">
        <v>45070</v>
      </c>
      <c r="B3445" s="49" t="s">
        <v>41</v>
      </c>
      <c r="C3445" s="51">
        <v>56359.199999999997</v>
      </c>
      <c r="D3445" s="51">
        <v>0</v>
      </c>
    </row>
    <row r="3446" spans="1:4" ht="15" customHeight="1">
      <c r="A3446" s="50">
        <v>45070</v>
      </c>
      <c r="B3446" s="49" t="s">
        <v>42</v>
      </c>
      <c r="C3446" s="51">
        <v>55820</v>
      </c>
      <c r="D3446" s="51">
        <v>0</v>
      </c>
    </row>
    <row r="3447" spans="1:4" ht="15" customHeight="1">
      <c r="A3447" s="50">
        <v>45070</v>
      </c>
      <c r="B3447" s="49" t="s">
        <v>43</v>
      </c>
      <c r="C3447" s="51">
        <v>56596.9</v>
      </c>
      <c r="D3447" s="51">
        <v>0</v>
      </c>
    </row>
    <row r="3448" spans="1:4" ht="15" customHeight="1">
      <c r="A3448" s="50">
        <v>45070</v>
      </c>
      <c r="B3448" s="49" t="s">
        <v>44</v>
      </c>
      <c r="C3448" s="51">
        <v>55982.1</v>
      </c>
      <c r="D3448" s="51">
        <v>0</v>
      </c>
    </row>
    <row r="3449" spans="1:4" ht="15" customHeight="1">
      <c r="A3449" s="50">
        <v>45070</v>
      </c>
      <c r="B3449" s="49" t="s">
        <v>45</v>
      </c>
      <c r="C3449" s="51">
        <v>55822.3</v>
      </c>
      <c r="D3449" s="51">
        <v>0</v>
      </c>
    </row>
    <row r="3450" spans="1:4" ht="15" customHeight="1">
      <c r="A3450" s="50">
        <v>45070</v>
      </c>
      <c r="B3450" s="49" t="s">
        <v>46</v>
      </c>
      <c r="C3450" s="51">
        <v>55790.5</v>
      </c>
      <c r="D3450" s="51">
        <v>0</v>
      </c>
    </row>
    <row r="3451" spans="1:4" ht="15" customHeight="1">
      <c r="A3451" s="50">
        <v>45070</v>
      </c>
      <c r="B3451" s="49" t="s">
        <v>47</v>
      </c>
      <c r="C3451" s="51">
        <v>56136.4</v>
      </c>
      <c r="D3451" s="51">
        <v>0</v>
      </c>
    </row>
    <row r="3452" spans="1:4" ht="15" customHeight="1">
      <c r="A3452" s="50">
        <v>45070</v>
      </c>
      <c r="B3452" s="49" t="s">
        <v>48</v>
      </c>
      <c r="C3452" s="51">
        <v>57048.9</v>
      </c>
      <c r="D3452" s="51">
        <v>0</v>
      </c>
    </row>
    <row r="3453" spans="1:4" ht="15" customHeight="1">
      <c r="A3453" s="50">
        <v>45070</v>
      </c>
      <c r="B3453" s="49" t="s">
        <v>49</v>
      </c>
      <c r="C3453" s="51">
        <v>69415.399999999994</v>
      </c>
      <c r="D3453" s="51">
        <v>0</v>
      </c>
    </row>
    <row r="3454" spans="1:4" ht="15" customHeight="1">
      <c r="A3454" s="50">
        <v>45070</v>
      </c>
      <c r="B3454" s="49" t="s">
        <v>50</v>
      </c>
      <c r="C3454" s="51">
        <v>69368.3</v>
      </c>
      <c r="D3454" s="51">
        <v>0</v>
      </c>
    </row>
    <row r="3455" spans="1:4" ht="15" customHeight="1">
      <c r="A3455" s="50">
        <v>45070</v>
      </c>
      <c r="B3455" s="49" t="s">
        <v>51</v>
      </c>
      <c r="C3455" s="51">
        <v>62460.800000000003</v>
      </c>
      <c r="D3455" s="51">
        <v>0</v>
      </c>
    </row>
    <row r="3456" spans="1:4" ht="15" customHeight="1">
      <c r="A3456" s="50">
        <v>45070</v>
      </c>
      <c r="B3456" s="49" t="s">
        <v>52</v>
      </c>
      <c r="C3456" s="51">
        <v>57199.199999999997</v>
      </c>
      <c r="D3456" s="51">
        <v>0</v>
      </c>
    </row>
    <row r="3457" spans="1:4" ht="15" customHeight="1">
      <c r="A3457" s="50">
        <v>45070</v>
      </c>
      <c r="B3457" s="49" t="s">
        <v>53</v>
      </c>
      <c r="C3457" s="51">
        <v>56684.800000000003</v>
      </c>
      <c r="D3457" s="51">
        <v>0</v>
      </c>
    </row>
    <row r="3458" spans="1:4" ht="15" customHeight="1">
      <c r="A3458" s="50">
        <v>45071</v>
      </c>
      <c r="B3458" s="49" t="s">
        <v>30</v>
      </c>
      <c r="C3458" s="51">
        <v>52517.9</v>
      </c>
      <c r="D3458" s="51">
        <v>0</v>
      </c>
    </row>
    <row r="3459" spans="1:4" ht="15" customHeight="1">
      <c r="A3459" s="50">
        <v>45071</v>
      </c>
      <c r="B3459" s="49" t="s">
        <v>31</v>
      </c>
      <c r="C3459" s="51">
        <v>52473.7</v>
      </c>
      <c r="D3459" s="51">
        <v>0</v>
      </c>
    </row>
    <row r="3460" spans="1:4" ht="15" customHeight="1">
      <c r="A3460" s="50">
        <v>45071</v>
      </c>
      <c r="B3460" s="49" t="s">
        <v>32</v>
      </c>
      <c r="C3460" s="51">
        <v>52571.4</v>
      </c>
      <c r="D3460" s="51">
        <v>0</v>
      </c>
    </row>
    <row r="3461" spans="1:4" ht="15" customHeight="1">
      <c r="A3461" s="50">
        <v>45071</v>
      </c>
      <c r="B3461" s="49" t="s">
        <v>33</v>
      </c>
      <c r="C3461" s="51">
        <v>52578.3</v>
      </c>
      <c r="D3461" s="51">
        <v>0</v>
      </c>
    </row>
    <row r="3462" spans="1:4" ht="15" customHeight="1">
      <c r="A3462" s="50">
        <v>45071</v>
      </c>
      <c r="B3462" s="49" t="s">
        <v>34</v>
      </c>
      <c r="C3462" s="51">
        <v>52622.2</v>
      </c>
      <c r="D3462" s="51">
        <v>0</v>
      </c>
    </row>
    <row r="3463" spans="1:4" ht="15" customHeight="1">
      <c r="A3463" s="50">
        <v>45071</v>
      </c>
      <c r="B3463" s="49" t="s">
        <v>35</v>
      </c>
      <c r="C3463" s="51">
        <v>52726.2</v>
      </c>
      <c r="D3463" s="51">
        <v>0</v>
      </c>
    </row>
    <row r="3464" spans="1:4" ht="15" customHeight="1">
      <c r="A3464" s="50">
        <v>45071</v>
      </c>
      <c r="B3464" s="49" t="s">
        <v>36</v>
      </c>
      <c r="C3464" s="51">
        <v>52466.400000000001</v>
      </c>
      <c r="D3464" s="51">
        <v>0</v>
      </c>
    </row>
    <row r="3465" spans="1:4" ht="15" customHeight="1">
      <c r="A3465" s="50">
        <v>45071</v>
      </c>
      <c r="B3465" s="49" t="s">
        <v>37</v>
      </c>
      <c r="C3465" s="51">
        <v>52746.8</v>
      </c>
      <c r="D3465" s="51">
        <v>0</v>
      </c>
    </row>
    <row r="3466" spans="1:4" ht="15" customHeight="1">
      <c r="A3466" s="50">
        <v>45071</v>
      </c>
      <c r="B3466" s="49" t="s">
        <v>38</v>
      </c>
      <c r="C3466" s="51">
        <v>52710.2</v>
      </c>
      <c r="D3466" s="51">
        <v>0</v>
      </c>
    </row>
    <row r="3467" spans="1:4" ht="15" customHeight="1">
      <c r="A3467" s="50">
        <v>45071</v>
      </c>
      <c r="B3467" s="49" t="s">
        <v>39</v>
      </c>
      <c r="C3467" s="51">
        <v>54102.6</v>
      </c>
      <c r="D3467" s="51">
        <v>0</v>
      </c>
    </row>
    <row r="3468" spans="1:4" ht="15" customHeight="1">
      <c r="A3468" s="50">
        <v>45071</v>
      </c>
      <c r="B3468" s="49" t="s">
        <v>40</v>
      </c>
      <c r="C3468" s="51">
        <v>54800.9</v>
      </c>
      <c r="D3468" s="51">
        <v>0</v>
      </c>
    </row>
    <row r="3469" spans="1:4" ht="15" customHeight="1">
      <c r="A3469" s="50">
        <v>45071</v>
      </c>
      <c r="B3469" s="49" t="s">
        <v>41</v>
      </c>
      <c r="C3469" s="51">
        <v>54234.6</v>
      </c>
      <c r="D3469" s="51">
        <v>0</v>
      </c>
    </row>
    <row r="3470" spans="1:4" ht="15" customHeight="1">
      <c r="A3470" s="50">
        <v>45071</v>
      </c>
      <c r="B3470" s="49" t="s">
        <v>42</v>
      </c>
      <c r="C3470" s="51">
        <v>54222.3</v>
      </c>
      <c r="D3470" s="51">
        <v>0</v>
      </c>
    </row>
    <row r="3471" spans="1:4" ht="15" customHeight="1">
      <c r="A3471" s="50">
        <v>45071</v>
      </c>
      <c r="B3471" s="49" t="s">
        <v>43</v>
      </c>
      <c r="C3471" s="51">
        <v>54059.4</v>
      </c>
      <c r="D3471" s="51">
        <v>0</v>
      </c>
    </row>
    <row r="3472" spans="1:4" ht="15" customHeight="1">
      <c r="A3472" s="50">
        <v>45071</v>
      </c>
      <c r="B3472" s="49" t="s">
        <v>44</v>
      </c>
      <c r="C3472" s="51">
        <v>67844</v>
      </c>
      <c r="D3472" s="51">
        <v>0</v>
      </c>
    </row>
    <row r="3473" spans="1:4" ht="15" customHeight="1">
      <c r="A3473" s="50">
        <v>45071</v>
      </c>
      <c r="B3473" s="49" t="s">
        <v>45</v>
      </c>
      <c r="C3473" s="51">
        <v>68486</v>
      </c>
      <c r="D3473" s="51">
        <v>0</v>
      </c>
    </row>
    <row r="3474" spans="1:4" ht="15" customHeight="1">
      <c r="A3474" s="50">
        <v>45071</v>
      </c>
      <c r="B3474" s="49" t="s">
        <v>46</v>
      </c>
      <c r="C3474" s="51">
        <v>55199.3</v>
      </c>
      <c r="D3474" s="51">
        <v>0</v>
      </c>
    </row>
    <row r="3475" spans="1:4" ht="15" customHeight="1">
      <c r="A3475" s="50">
        <v>45071</v>
      </c>
      <c r="B3475" s="49" t="s">
        <v>47</v>
      </c>
      <c r="C3475" s="51">
        <v>54234.5</v>
      </c>
      <c r="D3475" s="51">
        <v>0</v>
      </c>
    </row>
    <row r="3476" spans="1:4" ht="15" customHeight="1">
      <c r="A3476" s="50">
        <v>45071</v>
      </c>
      <c r="B3476" s="49" t="s">
        <v>48</v>
      </c>
      <c r="C3476" s="51">
        <v>67806.899999999994</v>
      </c>
      <c r="D3476" s="51">
        <v>0</v>
      </c>
    </row>
    <row r="3477" spans="1:4" ht="15" customHeight="1">
      <c r="A3477" s="50">
        <v>45071</v>
      </c>
      <c r="B3477" s="49" t="s">
        <v>49</v>
      </c>
      <c r="C3477" s="51">
        <v>68557.899999999994</v>
      </c>
      <c r="D3477" s="51">
        <v>0</v>
      </c>
    </row>
    <row r="3478" spans="1:4" ht="15" customHeight="1">
      <c r="A3478" s="50">
        <v>45071</v>
      </c>
      <c r="B3478" s="49" t="s">
        <v>50</v>
      </c>
      <c r="C3478" s="51">
        <v>68521.899999999994</v>
      </c>
      <c r="D3478" s="51">
        <v>0</v>
      </c>
    </row>
    <row r="3479" spans="1:4" ht="15" customHeight="1">
      <c r="A3479" s="50">
        <v>45071</v>
      </c>
      <c r="B3479" s="49" t="s">
        <v>51</v>
      </c>
      <c r="C3479" s="51">
        <v>68399.3</v>
      </c>
      <c r="D3479" s="51">
        <v>0</v>
      </c>
    </row>
    <row r="3480" spans="1:4" ht="15" customHeight="1">
      <c r="A3480" s="50">
        <v>45071</v>
      </c>
      <c r="B3480" s="49" t="s">
        <v>52</v>
      </c>
      <c r="C3480" s="51">
        <v>68406.2</v>
      </c>
      <c r="D3480" s="51">
        <v>0</v>
      </c>
    </row>
    <row r="3481" spans="1:4" ht="15" customHeight="1">
      <c r="A3481" s="50">
        <v>45071</v>
      </c>
      <c r="B3481" s="49" t="s">
        <v>53</v>
      </c>
      <c r="C3481" s="51">
        <v>54305.599999999999</v>
      </c>
      <c r="D3481" s="51">
        <v>0</v>
      </c>
    </row>
    <row r="3482" spans="1:4" ht="15" customHeight="1">
      <c r="A3482" s="50">
        <v>45072</v>
      </c>
      <c r="B3482" s="49" t="s">
        <v>30</v>
      </c>
      <c r="C3482" s="51">
        <v>52623.1</v>
      </c>
      <c r="D3482" s="51">
        <v>0</v>
      </c>
    </row>
    <row r="3483" spans="1:4" ht="15" customHeight="1">
      <c r="A3483" s="50">
        <v>45072</v>
      </c>
      <c r="B3483" s="49" t="s">
        <v>31</v>
      </c>
      <c r="C3483" s="51">
        <v>52528.2</v>
      </c>
      <c r="D3483" s="51">
        <v>0</v>
      </c>
    </row>
    <row r="3484" spans="1:4" ht="15" customHeight="1">
      <c r="A3484" s="50">
        <v>45072</v>
      </c>
      <c r="B3484" s="49" t="s">
        <v>32</v>
      </c>
      <c r="C3484" s="51">
        <v>52325.2</v>
      </c>
      <c r="D3484" s="51">
        <v>0</v>
      </c>
    </row>
    <row r="3485" spans="1:4" ht="15" customHeight="1">
      <c r="A3485" s="50">
        <v>45072</v>
      </c>
      <c r="B3485" s="49" t="s">
        <v>33</v>
      </c>
      <c r="C3485" s="51">
        <v>52456.1</v>
      </c>
      <c r="D3485" s="51">
        <v>0</v>
      </c>
    </row>
    <row r="3486" spans="1:4" ht="15" customHeight="1">
      <c r="A3486" s="50">
        <v>45072</v>
      </c>
      <c r="B3486" s="49" t="s">
        <v>34</v>
      </c>
      <c r="C3486" s="51">
        <v>52496.9</v>
      </c>
      <c r="D3486" s="51">
        <v>0</v>
      </c>
    </row>
    <row r="3487" spans="1:4" ht="15" customHeight="1">
      <c r="A3487" s="50">
        <v>45072</v>
      </c>
      <c r="B3487" s="49" t="s">
        <v>35</v>
      </c>
      <c r="C3487" s="51">
        <v>52337.2</v>
      </c>
      <c r="D3487" s="51">
        <v>0</v>
      </c>
    </row>
    <row r="3488" spans="1:4" ht="15" customHeight="1">
      <c r="A3488" s="50">
        <v>45072</v>
      </c>
      <c r="B3488" s="49" t="s">
        <v>36</v>
      </c>
      <c r="C3488" s="51">
        <v>53838.400000000001</v>
      </c>
      <c r="D3488" s="51">
        <v>0</v>
      </c>
    </row>
    <row r="3489" spans="1:4" ht="15" customHeight="1">
      <c r="A3489" s="50">
        <v>45072</v>
      </c>
      <c r="B3489" s="49" t="s">
        <v>37</v>
      </c>
      <c r="C3489" s="51">
        <v>54356.6</v>
      </c>
      <c r="D3489" s="51">
        <v>0</v>
      </c>
    </row>
    <row r="3490" spans="1:4" ht="15" customHeight="1">
      <c r="A3490" s="50">
        <v>45072</v>
      </c>
      <c r="B3490" s="49" t="s">
        <v>38</v>
      </c>
      <c r="C3490" s="51">
        <v>53896.5</v>
      </c>
      <c r="D3490" s="51">
        <v>0</v>
      </c>
    </row>
    <row r="3491" spans="1:4" ht="15" customHeight="1">
      <c r="A3491" s="50">
        <v>45072</v>
      </c>
      <c r="B3491" s="49" t="s">
        <v>39</v>
      </c>
      <c r="C3491" s="51">
        <v>53782.1</v>
      </c>
      <c r="D3491" s="51">
        <v>0</v>
      </c>
    </row>
    <row r="3492" spans="1:4" ht="15" customHeight="1">
      <c r="A3492" s="50">
        <v>45072</v>
      </c>
      <c r="B3492" s="49" t="s">
        <v>40</v>
      </c>
      <c r="C3492" s="51">
        <v>53682.9</v>
      </c>
      <c r="D3492" s="51">
        <v>0</v>
      </c>
    </row>
    <row r="3493" spans="1:4" ht="15" customHeight="1">
      <c r="A3493" s="50">
        <v>45072</v>
      </c>
      <c r="B3493" s="49" t="s">
        <v>41</v>
      </c>
      <c r="C3493" s="51">
        <v>53765.599999999999</v>
      </c>
      <c r="D3493" s="51">
        <v>0</v>
      </c>
    </row>
    <row r="3494" spans="1:4" ht="15" customHeight="1">
      <c r="A3494" s="50">
        <v>45072</v>
      </c>
      <c r="B3494" s="49" t="s">
        <v>42</v>
      </c>
      <c r="C3494" s="51">
        <v>53688.7</v>
      </c>
      <c r="D3494" s="51">
        <v>0</v>
      </c>
    </row>
    <row r="3495" spans="1:4" ht="15" customHeight="1">
      <c r="A3495" s="50">
        <v>45072</v>
      </c>
      <c r="B3495" s="49" t="s">
        <v>43</v>
      </c>
      <c r="C3495" s="51">
        <v>53778.9</v>
      </c>
      <c r="D3495" s="51">
        <v>0</v>
      </c>
    </row>
    <row r="3496" spans="1:4" ht="15" customHeight="1">
      <c r="A3496" s="50">
        <v>45072</v>
      </c>
      <c r="B3496" s="49" t="s">
        <v>44</v>
      </c>
      <c r="C3496" s="51">
        <v>53867.9</v>
      </c>
      <c r="D3496" s="51">
        <v>0</v>
      </c>
    </row>
    <row r="3497" spans="1:4" ht="15" customHeight="1">
      <c r="A3497" s="50">
        <v>45072</v>
      </c>
      <c r="B3497" s="49" t="s">
        <v>45</v>
      </c>
      <c r="C3497" s="51">
        <v>54017.2</v>
      </c>
      <c r="D3497" s="51">
        <v>0</v>
      </c>
    </row>
    <row r="3498" spans="1:4" ht="15" customHeight="1">
      <c r="A3498" s="50">
        <v>45072</v>
      </c>
      <c r="B3498" s="49" t="s">
        <v>46</v>
      </c>
      <c r="C3498" s="51">
        <v>54674.6</v>
      </c>
      <c r="D3498" s="51">
        <v>0</v>
      </c>
    </row>
    <row r="3499" spans="1:4" ht="15" customHeight="1">
      <c r="A3499" s="50">
        <v>45072</v>
      </c>
      <c r="B3499" s="49" t="s">
        <v>47</v>
      </c>
      <c r="C3499" s="51">
        <v>54542.8</v>
      </c>
      <c r="D3499" s="51">
        <v>0</v>
      </c>
    </row>
    <row r="3500" spans="1:4" ht="15" customHeight="1">
      <c r="A3500" s="50">
        <v>45072</v>
      </c>
      <c r="B3500" s="49" t="s">
        <v>48</v>
      </c>
      <c r="C3500" s="51">
        <v>68271.100000000006</v>
      </c>
      <c r="D3500" s="51">
        <v>0</v>
      </c>
    </row>
    <row r="3501" spans="1:4" ht="15" customHeight="1">
      <c r="A3501" s="50">
        <v>45072</v>
      </c>
      <c r="B3501" s="49" t="s">
        <v>49</v>
      </c>
      <c r="C3501" s="51">
        <v>69266</v>
      </c>
      <c r="D3501" s="51">
        <v>0</v>
      </c>
    </row>
    <row r="3502" spans="1:4" ht="15" customHeight="1">
      <c r="A3502" s="50">
        <v>45072</v>
      </c>
      <c r="B3502" s="49" t="s">
        <v>50</v>
      </c>
      <c r="C3502" s="51">
        <v>69233.3</v>
      </c>
      <c r="D3502" s="51">
        <v>0</v>
      </c>
    </row>
    <row r="3503" spans="1:4" ht="15" customHeight="1">
      <c r="A3503" s="50">
        <v>45072</v>
      </c>
      <c r="B3503" s="49" t="s">
        <v>51</v>
      </c>
      <c r="C3503" s="51">
        <v>56103.9</v>
      </c>
      <c r="D3503" s="51">
        <v>0</v>
      </c>
    </row>
    <row r="3504" spans="1:4" ht="15" customHeight="1">
      <c r="A3504" s="50">
        <v>45072</v>
      </c>
      <c r="B3504" s="49" t="s">
        <v>52</v>
      </c>
      <c r="C3504" s="51">
        <v>53685.599999999999</v>
      </c>
      <c r="D3504" s="51">
        <v>0</v>
      </c>
    </row>
    <row r="3505" spans="1:4" ht="15" customHeight="1">
      <c r="A3505" s="50">
        <v>45072</v>
      </c>
      <c r="B3505" s="49" t="s">
        <v>53</v>
      </c>
      <c r="C3505" s="51">
        <v>54001.9</v>
      </c>
      <c r="D3505" s="51">
        <v>0</v>
      </c>
    </row>
    <row r="3506" spans="1:4" ht="15" customHeight="1">
      <c r="A3506" s="50">
        <v>45073</v>
      </c>
      <c r="B3506" s="49" t="s">
        <v>30</v>
      </c>
      <c r="C3506" s="51">
        <v>53844.9</v>
      </c>
      <c r="D3506" s="51">
        <v>0</v>
      </c>
    </row>
    <row r="3507" spans="1:4" ht="15" customHeight="1">
      <c r="A3507" s="50">
        <v>45073</v>
      </c>
      <c r="B3507" s="49" t="s">
        <v>31</v>
      </c>
      <c r="C3507" s="51">
        <v>53981.1</v>
      </c>
      <c r="D3507" s="51">
        <v>0</v>
      </c>
    </row>
    <row r="3508" spans="1:4" ht="15" customHeight="1">
      <c r="A3508" s="50">
        <v>45073</v>
      </c>
      <c r="B3508" s="49" t="s">
        <v>32</v>
      </c>
      <c r="C3508" s="51">
        <v>54152.3</v>
      </c>
      <c r="D3508" s="51">
        <v>0</v>
      </c>
    </row>
    <row r="3509" spans="1:4" ht="15" customHeight="1">
      <c r="A3509" s="50">
        <v>45073</v>
      </c>
      <c r="B3509" s="49" t="s">
        <v>33</v>
      </c>
      <c r="C3509" s="51">
        <v>54171</v>
      </c>
      <c r="D3509" s="51">
        <v>0</v>
      </c>
    </row>
    <row r="3510" spans="1:4" ht="15" customHeight="1">
      <c r="A3510" s="50">
        <v>45073</v>
      </c>
      <c r="B3510" s="49" t="s">
        <v>34</v>
      </c>
      <c r="C3510" s="51">
        <v>54209.4</v>
      </c>
      <c r="D3510" s="51">
        <v>0</v>
      </c>
    </row>
    <row r="3511" spans="1:4" ht="15" customHeight="1">
      <c r="A3511" s="50">
        <v>45073</v>
      </c>
      <c r="B3511" s="49" t="s">
        <v>35</v>
      </c>
      <c r="C3511" s="51">
        <v>54227.8</v>
      </c>
      <c r="D3511" s="51">
        <v>0</v>
      </c>
    </row>
    <row r="3512" spans="1:4" ht="15" customHeight="1">
      <c r="A3512" s="50">
        <v>45073</v>
      </c>
      <c r="B3512" s="49" t="s">
        <v>36</v>
      </c>
      <c r="C3512" s="51">
        <v>54196.2</v>
      </c>
      <c r="D3512" s="51">
        <v>0</v>
      </c>
    </row>
    <row r="3513" spans="1:4" ht="15" customHeight="1">
      <c r="A3513" s="50">
        <v>45073</v>
      </c>
      <c r="B3513" s="49" t="s">
        <v>37</v>
      </c>
      <c r="C3513" s="51">
        <v>54222.7</v>
      </c>
      <c r="D3513" s="51">
        <v>0</v>
      </c>
    </row>
    <row r="3514" spans="1:4" ht="15" customHeight="1">
      <c r="A3514" s="50">
        <v>45073</v>
      </c>
      <c r="B3514" s="49" t="s">
        <v>38</v>
      </c>
      <c r="C3514" s="51">
        <v>53988</v>
      </c>
      <c r="D3514" s="51">
        <v>0</v>
      </c>
    </row>
    <row r="3515" spans="1:4" ht="15" customHeight="1">
      <c r="A3515" s="50">
        <v>45073</v>
      </c>
      <c r="B3515" s="49" t="s">
        <v>39</v>
      </c>
      <c r="C3515" s="51">
        <v>54092.3</v>
      </c>
      <c r="D3515" s="51">
        <v>0</v>
      </c>
    </row>
    <row r="3516" spans="1:4" ht="15" customHeight="1">
      <c r="A3516" s="50">
        <v>45073</v>
      </c>
      <c r="B3516" s="49" t="s">
        <v>40</v>
      </c>
      <c r="C3516" s="51">
        <v>54576.1</v>
      </c>
      <c r="D3516" s="51">
        <v>0</v>
      </c>
    </row>
    <row r="3517" spans="1:4" ht="15" customHeight="1">
      <c r="A3517" s="50">
        <v>45073</v>
      </c>
      <c r="B3517" s="49" t="s">
        <v>41</v>
      </c>
      <c r="C3517" s="51">
        <v>53521.3</v>
      </c>
      <c r="D3517" s="51">
        <v>0</v>
      </c>
    </row>
    <row r="3518" spans="1:4" ht="15" customHeight="1">
      <c r="A3518" s="50">
        <v>45073</v>
      </c>
      <c r="B3518" s="49" t="s">
        <v>42</v>
      </c>
      <c r="C3518" s="51">
        <v>54167.1</v>
      </c>
      <c r="D3518" s="51">
        <v>0</v>
      </c>
    </row>
    <row r="3519" spans="1:4" ht="15" customHeight="1">
      <c r="A3519" s="50">
        <v>45073</v>
      </c>
      <c r="B3519" s="49" t="s">
        <v>43</v>
      </c>
      <c r="C3519" s="51">
        <v>54275.5</v>
      </c>
      <c r="D3519" s="51">
        <v>0</v>
      </c>
    </row>
    <row r="3520" spans="1:4" ht="15" customHeight="1">
      <c r="A3520" s="50">
        <v>45073</v>
      </c>
      <c r="B3520" s="49" t="s">
        <v>44</v>
      </c>
      <c r="C3520" s="51">
        <v>54214.2</v>
      </c>
      <c r="D3520" s="51">
        <v>0</v>
      </c>
    </row>
    <row r="3521" spans="1:4" ht="15" customHeight="1">
      <c r="A3521" s="50">
        <v>45073</v>
      </c>
      <c r="B3521" s="49" t="s">
        <v>45</v>
      </c>
      <c r="C3521" s="51">
        <v>53813.9</v>
      </c>
      <c r="D3521" s="51">
        <v>0</v>
      </c>
    </row>
    <row r="3522" spans="1:4" ht="15" customHeight="1">
      <c r="A3522" s="50">
        <v>45073</v>
      </c>
      <c r="B3522" s="49" t="s">
        <v>46</v>
      </c>
      <c r="C3522" s="51">
        <v>53641.599999999999</v>
      </c>
      <c r="D3522" s="51">
        <v>0</v>
      </c>
    </row>
    <row r="3523" spans="1:4" ht="15" customHeight="1">
      <c r="A3523" s="50">
        <v>45073</v>
      </c>
      <c r="B3523" s="49" t="s">
        <v>47</v>
      </c>
      <c r="C3523" s="51">
        <v>54001.4</v>
      </c>
      <c r="D3523" s="51">
        <v>0</v>
      </c>
    </row>
    <row r="3524" spans="1:4" ht="15" customHeight="1">
      <c r="A3524" s="50">
        <v>45073</v>
      </c>
      <c r="B3524" s="49" t="s">
        <v>48</v>
      </c>
      <c r="C3524" s="51">
        <v>54149.9</v>
      </c>
      <c r="D3524" s="51">
        <v>0</v>
      </c>
    </row>
    <row r="3525" spans="1:4" ht="15" customHeight="1">
      <c r="A3525" s="50">
        <v>45073</v>
      </c>
      <c r="B3525" s="49" t="s">
        <v>49</v>
      </c>
      <c r="C3525" s="51">
        <v>66016.100000000006</v>
      </c>
      <c r="D3525" s="51">
        <v>0</v>
      </c>
    </row>
    <row r="3526" spans="1:4" ht="15" customHeight="1">
      <c r="A3526" s="50">
        <v>45073</v>
      </c>
      <c r="B3526" s="49" t="s">
        <v>50</v>
      </c>
      <c r="C3526" s="51">
        <v>68301.399999999994</v>
      </c>
      <c r="D3526" s="51">
        <v>0</v>
      </c>
    </row>
    <row r="3527" spans="1:4" ht="15" customHeight="1">
      <c r="A3527" s="50">
        <v>45073</v>
      </c>
      <c r="B3527" s="49" t="s">
        <v>51</v>
      </c>
      <c r="C3527" s="51">
        <v>55997.9</v>
      </c>
      <c r="D3527" s="51">
        <v>0</v>
      </c>
    </row>
    <row r="3528" spans="1:4" ht="15" customHeight="1">
      <c r="A3528" s="50">
        <v>45073</v>
      </c>
      <c r="B3528" s="49" t="s">
        <v>52</v>
      </c>
      <c r="C3528" s="51">
        <v>55205.599999999999</v>
      </c>
      <c r="D3528" s="51">
        <v>0</v>
      </c>
    </row>
    <row r="3529" spans="1:4" ht="15" customHeight="1">
      <c r="A3529" s="50">
        <v>45073</v>
      </c>
      <c r="B3529" s="49" t="s">
        <v>53</v>
      </c>
      <c r="C3529" s="51">
        <v>55348.2</v>
      </c>
      <c r="D3529" s="51">
        <v>0</v>
      </c>
    </row>
    <row r="3530" spans="1:4">
      <c r="A3530" s="50">
        <v>45074</v>
      </c>
      <c r="B3530" s="49" t="s">
        <v>30</v>
      </c>
      <c r="C3530" s="51">
        <v>55182.8</v>
      </c>
      <c r="D3530" s="51">
        <v>0</v>
      </c>
    </row>
    <row r="3531" spans="1:4">
      <c r="A3531" s="50">
        <v>45074</v>
      </c>
      <c r="B3531" s="49" t="s">
        <v>31</v>
      </c>
      <c r="C3531" s="51">
        <v>55153.2</v>
      </c>
      <c r="D3531" s="51">
        <v>0</v>
      </c>
    </row>
    <row r="3532" spans="1:4">
      <c r="A3532" s="50">
        <v>45074</v>
      </c>
      <c r="B3532" s="49" t="s">
        <v>32</v>
      </c>
      <c r="C3532" s="51">
        <v>55058.3</v>
      </c>
      <c r="D3532" s="51">
        <v>0</v>
      </c>
    </row>
    <row r="3533" spans="1:4">
      <c r="A3533" s="50">
        <v>45074</v>
      </c>
      <c r="B3533" s="49" t="s">
        <v>33</v>
      </c>
      <c r="C3533" s="51">
        <v>54880</v>
      </c>
      <c r="D3533" s="51">
        <v>0</v>
      </c>
    </row>
    <row r="3534" spans="1:4">
      <c r="A3534" s="50">
        <v>45074</v>
      </c>
      <c r="B3534" s="49" t="s">
        <v>34</v>
      </c>
      <c r="C3534" s="51">
        <v>55118.8</v>
      </c>
      <c r="D3534" s="51">
        <v>0</v>
      </c>
    </row>
    <row r="3535" spans="1:4">
      <c r="A3535" s="50">
        <v>45074</v>
      </c>
      <c r="B3535" s="49" t="s">
        <v>35</v>
      </c>
      <c r="C3535" s="51">
        <v>54571.3</v>
      </c>
      <c r="D3535" s="51">
        <v>0</v>
      </c>
    </row>
    <row r="3536" spans="1:4">
      <c r="A3536" s="50">
        <v>45074</v>
      </c>
      <c r="B3536" s="49" t="s">
        <v>36</v>
      </c>
      <c r="C3536" s="51">
        <v>53767.199999999997</v>
      </c>
      <c r="D3536" s="51">
        <v>0</v>
      </c>
    </row>
    <row r="3537" spans="1:4">
      <c r="A3537" s="50">
        <v>45074</v>
      </c>
      <c r="B3537" s="49" t="s">
        <v>37</v>
      </c>
      <c r="C3537" s="51">
        <v>53875.9</v>
      </c>
      <c r="D3537" s="51">
        <v>0</v>
      </c>
    </row>
    <row r="3538" spans="1:4">
      <c r="A3538" s="50">
        <v>45074</v>
      </c>
      <c r="B3538" s="49" t="s">
        <v>38</v>
      </c>
      <c r="C3538" s="51">
        <v>54042.8</v>
      </c>
      <c r="D3538" s="51">
        <v>0</v>
      </c>
    </row>
    <row r="3539" spans="1:4">
      <c r="A3539" s="50">
        <v>45074</v>
      </c>
      <c r="B3539" s="49" t="s">
        <v>39</v>
      </c>
      <c r="C3539" s="51">
        <v>54069.1</v>
      </c>
      <c r="D3539" s="51">
        <v>0</v>
      </c>
    </row>
    <row r="3540" spans="1:4">
      <c r="A3540" s="50">
        <v>45074</v>
      </c>
      <c r="B3540" s="49" t="s">
        <v>40</v>
      </c>
      <c r="C3540" s="51">
        <v>54169.3</v>
      </c>
      <c r="D3540" s="51">
        <v>0</v>
      </c>
    </row>
    <row r="3541" spans="1:4">
      <c r="A3541" s="50">
        <v>45074</v>
      </c>
      <c r="B3541" s="49" t="s">
        <v>41</v>
      </c>
      <c r="C3541" s="51">
        <v>53843.4</v>
      </c>
      <c r="D3541" s="51">
        <v>0</v>
      </c>
    </row>
    <row r="3542" spans="1:4">
      <c r="A3542" s="50">
        <v>45074</v>
      </c>
      <c r="B3542" s="49" t="s">
        <v>42</v>
      </c>
      <c r="C3542" s="51">
        <v>53929.4</v>
      </c>
      <c r="D3542" s="51">
        <v>0</v>
      </c>
    </row>
    <row r="3543" spans="1:4">
      <c r="A3543" s="50">
        <v>45074</v>
      </c>
      <c r="B3543" s="49" t="s">
        <v>43</v>
      </c>
      <c r="C3543" s="51">
        <v>53738.400000000001</v>
      </c>
      <c r="D3543" s="51">
        <v>0</v>
      </c>
    </row>
    <row r="3544" spans="1:4">
      <c r="A3544" s="50">
        <v>45074</v>
      </c>
      <c r="B3544" s="49" t="s">
        <v>44</v>
      </c>
      <c r="C3544" s="51">
        <v>53905.9</v>
      </c>
      <c r="D3544" s="51">
        <v>0</v>
      </c>
    </row>
    <row r="3545" spans="1:4">
      <c r="A3545" s="50">
        <v>45074</v>
      </c>
      <c r="B3545" s="49" t="s">
        <v>45</v>
      </c>
      <c r="C3545" s="51">
        <v>54052.800000000003</v>
      </c>
      <c r="D3545" s="51">
        <v>0</v>
      </c>
    </row>
    <row r="3546" spans="1:4">
      <c r="A3546" s="50">
        <v>45074</v>
      </c>
      <c r="B3546" s="49" t="s">
        <v>46</v>
      </c>
      <c r="C3546" s="51">
        <v>54320.800000000003</v>
      </c>
      <c r="D3546" s="51">
        <v>0</v>
      </c>
    </row>
    <row r="3547" spans="1:4">
      <c r="A3547" s="50">
        <v>45074</v>
      </c>
      <c r="B3547" s="49" t="s">
        <v>47</v>
      </c>
      <c r="C3547" s="51">
        <v>54341.3</v>
      </c>
      <c r="D3547" s="51">
        <v>0</v>
      </c>
    </row>
    <row r="3548" spans="1:4">
      <c r="A3548" s="50">
        <v>45074</v>
      </c>
      <c r="B3548" s="49" t="s">
        <v>48</v>
      </c>
      <c r="C3548" s="51">
        <v>54233.4</v>
      </c>
      <c r="D3548" s="51">
        <v>0</v>
      </c>
    </row>
    <row r="3549" spans="1:4">
      <c r="A3549" s="50">
        <v>45074</v>
      </c>
      <c r="B3549" s="49" t="s">
        <v>49</v>
      </c>
      <c r="C3549" s="51">
        <v>54191.199999999997</v>
      </c>
      <c r="D3549" s="51">
        <v>0</v>
      </c>
    </row>
    <row r="3550" spans="1:4">
      <c r="A3550" s="50">
        <v>45074</v>
      </c>
      <c r="B3550" s="49" t="s">
        <v>50</v>
      </c>
      <c r="C3550" s="51">
        <v>68062.5</v>
      </c>
      <c r="D3550" s="51">
        <v>0</v>
      </c>
    </row>
    <row r="3551" spans="1:4">
      <c r="A3551" s="50">
        <v>45074</v>
      </c>
      <c r="B3551" s="49" t="s">
        <v>51</v>
      </c>
      <c r="C3551" s="51">
        <v>54851.7</v>
      </c>
      <c r="D3551" s="51">
        <v>0</v>
      </c>
    </row>
    <row r="3552" spans="1:4">
      <c r="A3552" s="50">
        <v>45074</v>
      </c>
      <c r="B3552" s="49" t="s">
        <v>52</v>
      </c>
      <c r="C3552" s="51">
        <v>53708.5</v>
      </c>
      <c r="D3552" s="51">
        <v>0</v>
      </c>
    </row>
    <row r="3553" spans="1:4">
      <c r="A3553" s="50">
        <v>45074</v>
      </c>
      <c r="B3553" s="49" t="s">
        <v>53</v>
      </c>
      <c r="C3553" s="51">
        <v>54058.400000000001</v>
      </c>
      <c r="D3553" s="51">
        <v>0</v>
      </c>
    </row>
    <row r="3554" spans="1:4">
      <c r="A3554" s="50">
        <v>45075</v>
      </c>
      <c r="B3554" s="49" t="s">
        <v>30</v>
      </c>
      <c r="C3554" s="51">
        <v>54868.6</v>
      </c>
      <c r="D3554" s="51">
        <v>0</v>
      </c>
    </row>
    <row r="3555" spans="1:4">
      <c r="A3555" s="50">
        <v>45075</v>
      </c>
      <c r="B3555" s="49" t="s">
        <v>31</v>
      </c>
      <c r="C3555" s="51">
        <v>54743.1</v>
      </c>
      <c r="D3555" s="51">
        <v>0</v>
      </c>
    </row>
    <row r="3556" spans="1:4">
      <c r="A3556" s="50">
        <v>45075</v>
      </c>
      <c r="B3556" s="49" t="s">
        <v>32</v>
      </c>
      <c r="C3556" s="51">
        <v>54661.5</v>
      </c>
      <c r="D3556" s="51">
        <v>0</v>
      </c>
    </row>
    <row r="3557" spans="1:4">
      <c r="A3557" s="50">
        <v>45075</v>
      </c>
      <c r="B3557" s="49" t="s">
        <v>33</v>
      </c>
      <c r="C3557" s="51">
        <v>54753.4</v>
      </c>
      <c r="D3557" s="51">
        <v>0</v>
      </c>
    </row>
    <row r="3558" spans="1:4">
      <c r="A3558" s="50">
        <v>45075</v>
      </c>
      <c r="B3558" s="49" t="s">
        <v>34</v>
      </c>
      <c r="C3558" s="51">
        <v>54894.3</v>
      </c>
      <c r="D3558" s="51">
        <v>0</v>
      </c>
    </row>
    <row r="3559" spans="1:4">
      <c r="A3559" s="50">
        <v>45075</v>
      </c>
      <c r="B3559" s="49" t="s">
        <v>35</v>
      </c>
      <c r="C3559" s="51">
        <v>54118.3</v>
      </c>
      <c r="D3559" s="51">
        <v>0</v>
      </c>
    </row>
    <row r="3560" spans="1:4">
      <c r="A3560" s="50">
        <v>45075</v>
      </c>
      <c r="B3560" s="49" t="s">
        <v>36</v>
      </c>
      <c r="C3560" s="51">
        <v>54123.1</v>
      </c>
      <c r="D3560" s="51">
        <v>0</v>
      </c>
    </row>
    <row r="3561" spans="1:4">
      <c r="A3561" s="50">
        <v>45075</v>
      </c>
      <c r="B3561" s="49" t="s">
        <v>37</v>
      </c>
      <c r="C3561" s="51">
        <v>53962.7</v>
      </c>
      <c r="D3561" s="51">
        <v>0</v>
      </c>
    </row>
    <row r="3562" spans="1:4">
      <c r="A3562" s="50">
        <v>45075</v>
      </c>
      <c r="B3562" s="49" t="s">
        <v>38</v>
      </c>
      <c r="C3562" s="51">
        <v>54918.8</v>
      </c>
      <c r="D3562" s="51">
        <v>0</v>
      </c>
    </row>
    <row r="3563" spans="1:4">
      <c r="A3563" s="50">
        <v>45075</v>
      </c>
      <c r="B3563" s="49" t="s">
        <v>39</v>
      </c>
      <c r="C3563" s="51">
        <v>54971.6</v>
      </c>
      <c r="D3563" s="51">
        <v>0</v>
      </c>
    </row>
    <row r="3564" spans="1:4">
      <c r="A3564" s="50">
        <v>45075</v>
      </c>
      <c r="B3564" s="49" t="s">
        <v>40</v>
      </c>
      <c r="C3564" s="51">
        <v>55287.9</v>
      </c>
      <c r="D3564" s="51">
        <v>0</v>
      </c>
    </row>
    <row r="3565" spans="1:4">
      <c r="A3565" s="50">
        <v>45075</v>
      </c>
      <c r="B3565" s="49" t="s">
        <v>41</v>
      </c>
      <c r="C3565" s="51">
        <v>55147.4</v>
      </c>
      <c r="D3565" s="51">
        <v>0</v>
      </c>
    </row>
    <row r="3566" spans="1:4">
      <c r="A3566" s="50">
        <v>45075</v>
      </c>
      <c r="B3566" s="49" t="s">
        <v>42</v>
      </c>
      <c r="C3566" s="51">
        <v>55109.599999999999</v>
      </c>
      <c r="D3566" s="51">
        <v>0</v>
      </c>
    </row>
    <row r="3567" spans="1:4">
      <c r="A3567" s="50">
        <v>45075</v>
      </c>
      <c r="B3567" s="49" t="s">
        <v>43</v>
      </c>
      <c r="C3567" s="51">
        <v>55459.6</v>
      </c>
      <c r="D3567" s="51">
        <v>0</v>
      </c>
    </row>
    <row r="3568" spans="1:4">
      <c r="A3568" s="50">
        <v>45075</v>
      </c>
      <c r="B3568" s="49" t="s">
        <v>44</v>
      </c>
      <c r="C3568" s="51">
        <v>54415</v>
      </c>
      <c r="D3568" s="51">
        <v>0</v>
      </c>
    </row>
    <row r="3569" spans="1:4">
      <c r="A3569" s="50">
        <v>45075</v>
      </c>
      <c r="B3569" s="49" t="s">
        <v>45</v>
      </c>
      <c r="C3569" s="51">
        <v>54398.1</v>
      </c>
      <c r="D3569" s="51">
        <v>0</v>
      </c>
    </row>
    <row r="3570" spans="1:4">
      <c r="A3570" s="50">
        <v>45075</v>
      </c>
      <c r="B3570" s="49" t="s">
        <v>46</v>
      </c>
      <c r="C3570" s="51">
        <v>54150.5</v>
      </c>
      <c r="D3570" s="51">
        <v>0</v>
      </c>
    </row>
    <row r="3571" spans="1:4">
      <c r="A3571" s="50">
        <v>45075</v>
      </c>
      <c r="B3571" s="49" t="s">
        <v>47</v>
      </c>
      <c r="C3571" s="51">
        <v>54099.1</v>
      </c>
      <c r="D3571" s="51">
        <v>0</v>
      </c>
    </row>
    <row r="3572" spans="1:4">
      <c r="A3572" s="50">
        <v>45075</v>
      </c>
      <c r="B3572" s="49" t="s">
        <v>48</v>
      </c>
      <c r="C3572" s="51">
        <v>55943.8</v>
      </c>
      <c r="D3572" s="51">
        <v>0</v>
      </c>
    </row>
    <row r="3573" spans="1:4">
      <c r="A3573" s="50">
        <v>45075</v>
      </c>
      <c r="B3573" s="49" t="s">
        <v>49</v>
      </c>
      <c r="C3573" s="51">
        <v>67766.100000000006</v>
      </c>
      <c r="D3573" s="51">
        <v>0</v>
      </c>
    </row>
    <row r="3574" spans="1:4">
      <c r="A3574" s="50">
        <v>45075</v>
      </c>
      <c r="B3574" s="49" t="s">
        <v>50</v>
      </c>
      <c r="C3574" s="51">
        <v>68302.2</v>
      </c>
      <c r="D3574" s="51">
        <v>0</v>
      </c>
    </row>
    <row r="3575" spans="1:4">
      <c r="A3575" s="50">
        <v>45075</v>
      </c>
      <c r="B3575" s="49" t="s">
        <v>51</v>
      </c>
      <c r="C3575" s="51">
        <v>54797.3</v>
      </c>
      <c r="D3575" s="51">
        <v>0</v>
      </c>
    </row>
    <row r="3576" spans="1:4">
      <c r="A3576" s="50">
        <v>45075</v>
      </c>
      <c r="B3576" s="49" t="s">
        <v>52</v>
      </c>
      <c r="C3576" s="51">
        <v>54383.4</v>
      </c>
      <c r="D3576" s="51">
        <v>0</v>
      </c>
    </row>
    <row r="3577" spans="1:4">
      <c r="A3577" s="50">
        <v>45075</v>
      </c>
      <c r="B3577" s="49" t="s">
        <v>53</v>
      </c>
      <c r="C3577" s="51">
        <v>54027.6</v>
      </c>
      <c r="D3577" s="51">
        <v>0</v>
      </c>
    </row>
    <row r="3578" spans="1:4">
      <c r="A3578" s="50">
        <v>45076</v>
      </c>
      <c r="B3578" s="49" t="s">
        <v>30</v>
      </c>
      <c r="C3578" s="51">
        <v>54505.4</v>
      </c>
      <c r="D3578" s="51">
        <v>0</v>
      </c>
    </row>
    <row r="3579" spans="1:4">
      <c r="A3579" s="50">
        <v>45076</v>
      </c>
      <c r="B3579" s="49" t="s">
        <v>31</v>
      </c>
      <c r="C3579" s="51">
        <v>54638.400000000001</v>
      </c>
      <c r="D3579" s="51">
        <v>0</v>
      </c>
    </row>
    <row r="3580" spans="1:4">
      <c r="A3580" s="50">
        <v>45076</v>
      </c>
      <c r="B3580" s="49" t="s">
        <v>32</v>
      </c>
      <c r="C3580" s="51">
        <v>54680.6</v>
      </c>
      <c r="D3580" s="51">
        <v>0</v>
      </c>
    </row>
    <row r="3581" spans="1:4">
      <c r="A3581" s="50">
        <v>45076</v>
      </c>
      <c r="B3581" s="49" t="s">
        <v>33</v>
      </c>
      <c r="C3581" s="51">
        <v>54393.599999999999</v>
      </c>
      <c r="D3581" s="51">
        <v>0</v>
      </c>
    </row>
    <row r="3582" spans="1:4">
      <c r="A3582" s="50">
        <v>45076</v>
      </c>
      <c r="B3582" s="49" t="s">
        <v>34</v>
      </c>
      <c r="C3582" s="51">
        <v>54448.7</v>
      </c>
      <c r="D3582" s="51">
        <v>0</v>
      </c>
    </row>
    <row r="3583" spans="1:4">
      <c r="A3583" s="50">
        <v>45076</v>
      </c>
      <c r="B3583" s="49" t="s">
        <v>35</v>
      </c>
      <c r="C3583" s="51">
        <v>54048.6</v>
      </c>
      <c r="D3583" s="51">
        <v>0</v>
      </c>
    </row>
    <row r="3584" spans="1:4">
      <c r="A3584" s="50">
        <v>45076</v>
      </c>
      <c r="B3584" s="49" t="s">
        <v>36</v>
      </c>
      <c r="C3584" s="51">
        <v>54068.2</v>
      </c>
      <c r="D3584" s="51">
        <v>0</v>
      </c>
    </row>
    <row r="3585" spans="1:11">
      <c r="A3585" s="50">
        <v>45076</v>
      </c>
      <c r="B3585" s="49" t="s">
        <v>37</v>
      </c>
      <c r="C3585" s="51">
        <v>54510.400000000001</v>
      </c>
      <c r="D3585" s="51">
        <v>0</v>
      </c>
    </row>
    <row r="3586" spans="1:11">
      <c r="A3586" s="50">
        <v>45076</v>
      </c>
      <c r="B3586" s="49" t="s">
        <v>38</v>
      </c>
      <c r="C3586" s="51">
        <v>54965.5</v>
      </c>
      <c r="D3586" s="51">
        <v>0</v>
      </c>
      <c r="K3586" t="s">
        <v>54</v>
      </c>
    </row>
    <row r="3587" spans="1:11">
      <c r="A3587" s="50">
        <v>45076</v>
      </c>
      <c r="B3587" s="49" t="s">
        <v>39</v>
      </c>
      <c r="C3587" s="51">
        <v>55347</v>
      </c>
      <c r="D3587" s="51">
        <v>0</v>
      </c>
    </row>
    <row r="3588" spans="1:11">
      <c r="A3588" s="50">
        <v>45076</v>
      </c>
      <c r="B3588" s="49" t="s">
        <v>40</v>
      </c>
      <c r="C3588" s="51">
        <v>54807.6</v>
      </c>
      <c r="D3588" s="51">
        <v>0</v>
      </c>
    </row>
    <row r="3589" spans="1:11">
      <c r="A3589" s="50">
        <v>45076</v>
      </c>
      <c r="B3589" s="49" t="s">
        <v>41</v>
      </c>
      <c r="C3589" s="51">
        <v>54563.4</v>
      </c>
      <c r="D3589" s="51">
        <v>0</v>
      </c>
    </row>
    <row r="3590" spans="1:11">
      <c r="A3590" s="50">
        <v>45076</v>
      </c>
      <c r="B3590" s="49" t="s">
        <v>42</v>
      </c>
      <c r="C3590" s="51">
        <v>54550.2</v>
      </c>
      <c r="D3590" s="51">
        <v>0</v>
      </c>
    </row>
    <row r="3591" spans="1:11">
      <c r="A3591" s="50">
        <v>45076</v>
      </c>
      <c r="B3591" s="49" t="s">
        <v>43</v>
      </c>
      <c r="C3591" s="51">
        <v>54619.8</v>
      </c>
      <c r="D3591" s="51">
        <v>0</v>
      </c>
    </row>
    <row r="3592" spans="1:11">
      <c r="A3592" s="50">
        <v>45076</v>
      </c>
      <c r="B3592" s="49" t="s">
        <v>44</v>
      </c>
      <c r="C3592" s="51">
        <v>54487.3</v>
      </c>
      <c r="D3592" s="51">
        <v>0</v>
      </c>
    </row>
    <row r="3593" spans="1:11">
      <c r="A3593" s="50">
        <v>45076</v>
      </c>
      <c r="B3593" s="49" t="s">
        <v>45</v>
      </c>
      <c r="C3593" s="51">
        <v>54516</v>
      </c>
      <c r="D3593" s="51">
        <v>0</v>
      </c>
    </row>
    <row r="3594" spans="1:11">
      <c r="A3594" s="50">
        <v>45076</v>
      </c>
      <c r="B3594" s="49" t="s">
        <v>46</v>
      </c>
      <c r="C3594" s="51">
        <v>54152</v>
      </c>
      <c r="D3594" s="51">
        <v>0</v>
      </c>
    </row>
    <row r="3595" spans="1:11">
      <c r="A3595" s="50">
        <v>45076</v>
      </c>
      <c r="B3595" s="49" t="s">
        <v>47</v>
      </c>
      <c r="C3595" s="51">
        <v>54203.9</v>
      </c>
      <c r="D3595" s="51">
        <v>0</v>
      </c>
    </row>
    <row r="3596" spans="1:11">
      <c r="A3596" s="50">
        <v>45076</v>
      </c>
      <c r="B3596" s="49" t="s">
        <v>48</v>
      </c>
      <c r="C3596" s="51">
        <v>54703.7</v>
      </c>
      <c r="D3596" s="51">
        <v>0</v>
      </c>
    </row>
    <row r="3597" spans="1:11">
      <c r="A3597" s="50">
        <v>45076</v>
      </c>
      <c r="B3597" s="49" t="s">
        <v>49</v>
      </c>
      <c r="C3597" s="51">
        <v>67535.5</v>
      </c>
      <c r="D3597" s="51">
        <v>0</v>
      </c>
    </row>
    <row r="3598" spans="1:11">
      <c r="A3598" s="50">
        <v>45076</v>
      </c>
      <c r="B3598" s="49" t="s">
        <v>50</v>
      </c>
      <c r="C3598" s="51">
        <v>67890.600000000006</v>
      </c>
      <c r="D3598" s="51">
        <v>0</v>
      </c>
    </row>
    <row r="3599" spans="1:11">
      <c r="A3599" s="50">
        <v>45076</v>
      </c>
      <c r="B3599" s="49" t="s">
        <v>51</v>
      </c>
      <c r="C3599" s="51">
        <v>55179.3</v>
      </c>
      <c r="D3599" s="51">
        <v>0</v>
      </c>
    </row>
    <row r="3600" spans="1:11">
      <c r="A3600" s="50">
        <v>45076</v>
      </c>
      <c r="B3600" s="49" t="s">
        <v>52</v>
      </c>
      <c r="C3600" s="51">
        <v>54305.3</v>
      </c>
      <c r="D3600" s="51">
        <v>0</v>
      </c>
    </row>
    <row r="3601" spans="1:4">
      <c r="A3601" s="50">
        <v>45076</v>
      </c>
      <c r="B3601" s="49" t="s">
        <v>53</v>
      </c>
      <c r="C3601" s="51">
        <v>54625.8</v>
      </c>
      <c r="D3601" s="51">
        <v>0</v>
      </c>
    </row>
    <row r="3602" spans="1:4">
      <c r="A3602" s="50">
        <v>45077</v>
      </c>
      <c r="B3602" s="49" t="s">
        <v>30</v>
      </c>
      <c r="C3602" s="51">
        <v>54829.4</v>
      </c>
      <c r="D3602" s="51">
        <v>0</v>
      </c>
    </row>
    <row r="3603" spans="1:4">
      <c r="A3603" s="50">
        <v>45077</v>
      </c>
      <c r="B3603" s="49" t="s">
        <v>31</v>
      </c>
      <c r="C3603" s="51">
        <v>54738.1</v>
      </c>
      <c r="D3603" s="51">
        <v>0</v>
      </c>
    </row>
    <row r="3604" spans="1:4">
      <c r="A3604" s="50">
        <v>45077</v>
      </c>
      <c r="B3604" s="49" t="s">
        <v>32</v>
      </c>
      <c r="C3604" s="51">
        <v>54581.9</v>
      </c>
      <c r="D3604" s="51">
        <v>0</v>
      </c>
    </row>
    <row r="3605" spans="1:4">
      <c r="A3605" s="50">
        <v>45077</v>
      </c>
      <c r="B3605" s="49" t="s">
        <v>33</v>
      </c>
      <c r="C3605" s="51">
        <v>53696.9</v>
      </c>
      <c r="D3605" s="51">
        <v>0</v>
      </c>
    </row>
    <row r="3606" spans="1:4">
      <c r="A3606" s="50">
        <v>45077</v>
      </c>
      <c r="B3606" s="49" t="s">
        <v>34</v>
      </c>
      <c r="C3606" s="51">
        <v>53852.3</v>
      </c>
      <c r="D3606" s="51">
        <v>0</v>
      </c>
    </row>
    <row r="3607" spans="1:4">
      <c r="A3607" s="50">
        <v>45077</v>
      </c>
      <c r="B3607" s="49" t="s">
        <v>35</v>
      </c>
      <c r="C3607" s="51">
        <v>54367.7</v>
      </c>
      <c r="D3607" s="51">
        <v>0</v>
      </c>
    </row>
    <row r="3608" spans="1:4">
      <c r="A3608" s="50">
        <v>45077</v>
      </c>
      <c r="B3608" s="49" t="s">
        <v>36</v>
      </c>
      <c r="C3608" s="51">
        <v>54106</v>
      </c>
      <c r="D3608" s="51">
        <v>0</v>
      </c>
    </row>
    <row r="3609" spans="1:4">
      <c r="A3609" s="50">
        <v>45077</v>
      </c>
      <c r="B3609" s="49" t="s">
        <v>37</v>
      </c>
      <c r="C3609" s="51">
        <v>54221.8</v>
      </c>
      <c r="D3609" s="51">
        <v>0</v>
      </c>
    </row>
    <row r="3610" spans="1:4">
      <c r="A3610" s="50">
        <v>45077</v>
      </c>
      <c r="B3610" s="49" t="s">
        <v>38</v>
      </c>
      <c r="C3610" s="51">
        <v>54211.7</v>
      </c>
      <c r="D3610" s="51">
        <v>0</v>
      </c>
    </row>
    <row r="3611" spans="1:4">
      <c r="A3611" s="50">
        <v>45077</v>
      </c>
      <c r="B3611" s="49" t="s">
        <v>39</v>
      </c>
      <c r="C3611" s="51">
        <v>53724.4</v>
      </c>
      <c r="D3611" s="51">
        <v>0</v>
      </c>
    </row>
    <row r="3612" spans="1:4">
      <c r="A3612" s="50">
        <v>45077</v>
      </c>
      <c r="B3612" s="49" t="s">
        <v>40</v>
      </c>
      <c r="C3612" s="51">
        <v>52999.8</v>
      </c>
      <c r="D3612" s="51">
        <v>0</v>
      </c>
    </row>
    <row r="3613" spans="1:4">
      <c r="A3613" s="50">
        <v>45077</v>
      </c>
      <c r="B3613" s="49" t="s">
        <v>41</v>
      </c>
      <c r="C3613" s="51">
        <v>53662.3</v>
      </c>
      <c r="D3613" s="51">
        <v>0</v>
      </c>
    </row>
    <row r="3614" spans="1:4">
      <c r="A3614" s="50">
        <v>45077</v>
      </c>
      <c r="B3614" s="49" t="s">
        <v>42</v>
      </c>
      <c r="C3614" s="51">
        <v>53649.1</v>
      </c>
      <c r="D3614" s="51">
        <v>0</v>
      </c>
    </row>
    <row r="3615" spans="1:4">
      <c r="A3615" s="50">
        <v>45077</v>
      </c>
      <c r="B3615" s="49" t="s">
        <v>43</v>
      </c>
      <c r="C3615" s="51">
        <v>53761</v>
      </c>
      <c r="D3615" s="51">
        <v>0</v>
      </c>
    </row>
    <row r="3616" spans="1:4">
      <c r="A3616" s="50">
        <v>45077</v>
      </c>
      <c r="B3616" s="49" t="s">
        <v>44</v>
      </c>
      <c r="C3616" s="51">
        <v>54003.3</v>
      </c>
      <c r="D3616" s="51">
        <v>0</v>
      </c>
    </row>
    <row r="3617" spans="1:4">
      <c r="A3617" s="50">
        <v>45077</v>
      </c>
      <c r="B3617" s="49" t="s">
        <v>45</v>
      </c>
      <c r="C3617" s="51">
        <v>54009.2</v>
      </c>
      <c r="D3617" s="51">
        <v>0</v>
      </c>
    </row>
    <row r="3618" spans="1:4">
      <c r="A3618" s="50">
        <v>45077</v>
      </c>
      <c r="B3618" s="49" t="s">
        <v>46</v>
      </c>
      <c r="C3618" s="51">
        <v>53724.4</v>
      </c>
      <c r="D3618" s="51">
        <v>0</v>
      </c>
    </row>
    <row r="3619" spans="1:4">
      <c r="A3619" s="50">
        <v>45077</v>
      </c>
      <c r="B3619" s="49" t="s">
        <v>47</v>
      </c>
      <c r="C3619" s="51">
        <v>53843.8</v>
      </c>
      <c r="D3619" s="51">
        <v>0</v>
      </c>
    </row>
    <row r="3620" spans="1:4">
      <c r="A3620" s="50">
        <v>45077</v>
      </c>
      <c r="B3620" s="49" t="s">
        <v>48</v>
      </c>
      <c r="C3620" s="51">
        <v>54059.4</v>
      </c>
      <c r="D3620" s="51">
        <v>0</v>
      </c>
    </row>
    <row r="3621" spans="1:4">
      <c r="A3621" s="50">
        <v>45077</v>
      </c>
      <c r="B3621" s="49" t="s">
        <v>49</v>
      </c>
      <c r="C3621" s="51">
        <v>66125.600000000006</v>
      </c>
      <c r="D3621" s="51">
        <v>0</v>
      </c>
    </row>
    <row r="3622" spans="1:4">
      <c r="A3622" s="50">
        <v>45077</v>
      </c>
      <c r="B3622" s="49" t="s">
        <v>50</v>
      </c>
      <c r="C3622" s="51">
        <v>68107.199999999997</v>
      </c>
      <c r="D3622" s="51">
        <v>0</v>
      </c>
    </row>
    <row r="3623" spans="1:4">
      <c r="A3623" s="50">
        <v>45077</v>
      </c>
      <c r="B3623" s="49" t="s">
        <v>51</v>
      </c>
      <c r="C3623" s="51">
        <v>54946.3</v>
      </c>
      <c r="D3623" s="51">
        <v>0</v>
      </c>
    </row>
    <row r="3624" spans="1:4">
      <c r="A3624" s="50">
        <v>45077</v>
      </c>
      <c r="B3624" s="49" t="s">
        <v>52</v>
      </c>
      <c r="C3624" s="51">
        <v>53874.2</v>
      </c>
      <c r="D3624" s="51">
        <v>0</v>
      </c>
    </row>
    <row r="3625" spans="1:4">
      <c r="A3625" s="50">
        <v>45077</v>
      </c>
      <c r="B3625" s="49" t="s">
        <v>53</v>
      </c>
      <c r="C3625" s="51">
        <v>53765.9</v>
      </c>
      <c r="D3625" s="51">
        <v>0</v>
      </c>
    </row>
    <row r="3626" spans="1:4">
      <c r="A3626" s="50">
        <v>45078</v>
      </c>
      <c r="B3626" s="49" t="s">
        <v>30</v>
      </c>
      <c r="C3626" s="51">
        <v>53926.2</v>
      </c>
      <c r="D3626" s="51">
        <v>0</v>
      </c>
    </row>
    <row r="3627" spans="1:4">
      <c r="A3627" s="50">
        <v>45078</v>
      </c>
      <c r="B3627" s="49" t="s">
        <v>31</v>
      </c>
      <c r="C3627" s="51">
        <v>53901.1</v>
      </c>
      <c r="D3627" s="51">
        <v>0</v>
      </c>
    </row>
    <row r="3628" spans="1:4">
      <c r="A3628" s="50">
        <v>45078</v>
      </c>
      <c r="B3628" s="49" t="s">
        <v>32</v>
      </c>
      <c r="C3628" s="51">
        <v>53908.9</v>
      </c>
      <c r="D3628" s="51">
        <v>0</v>
      </c>
    </row>
    <row r="3629" spans="1:4">
      <c r="A3629" s="50">
        <v>45078</v>
      </c>
      <c r="B3629" s="49" t="s">
        <v>33</v>
      </c>
      <c r="C3629" s="51">
        <v>53907</v>
      </c>
      <c r="D3629" s="51">
        <v>0</v>
      </c>
    </row>
    <row r="3630" spans="1:4">
      <c r="A3630" s="50">
        <v>45078</v>
      </c>
      <c r="B3630" s="49" t="s">
        <v>34</v>
      </c>
      <c r="C3630" s="51">
        <v>53709.2</v>
      </c>
      <c r="D3630" s="51">
        <v>0</v>
      </c>
    </row>
    <row r="3631" spans="1:4">
      <c r="A3631" s="50">
        <v>45078</v>
      </c>
      <c r="B3631" s="49" t="s">
        <v>35</v>
      </c>
      <c r="C3631" s="51">
        <v>53791.4</v>
      </c>
      <c r="D3631" s="51">
        <v>0</v>
      </c>
    </row>
    <row r="3632" spans="1:4">
      <c r="A3632" s="50">
        <v>45078</v>
      </c>
      <c r="B3632" s="49" t="s">
        <v>36</v>
      </c>
      <c r="C3632" s="51">
        <v>53629.7</v>
      </c>
      <c r="D3632" s="51">
        <v>0</v>
      </c>
    </row>
    <row r="3633" spans="1:4">
      <c r="A3633" s="50">
        <v>45078</v>
      </c>
      <c r="B3633" s="49" t="s">
        <v>37</v>
      </c>
      <c r="C3633" s="51">
        <v>53656.4</v>
      </c>
      <c r="D3633" s="51">
        <v>0</v>
      </c>
    </row>
    <row r="3634" spans="1:4">
      <c r="A3634" s="50">
        <v>45078</v>
      </c>
      <c r="B3634" s="49" t="s">
        <v>38</v>
      </c>
      <c r="C3634" s="51">
        <v>53493.5</v>
      </c>
      <c r="D3634" s="51">
        <v>0</v>
      </c>
    </row>
    <row r="3635" spans="1:4">
      <c r="A3635" s="50">
        <v>45078</v>
      </c>
      <c r="B3635" s="49" t="s">
        <v>39</v>
      </c>
      <c r="C3635" s="51">
        <v>53412</v>
      </c>
      <c r="D3635" s="51">
        <v>0</v>
      </c>
    </row>
    <row r="3636" spans="1:4">
      <c r="A3636" s="50">
        <v>45078</v>
      </c>
      <c r="B3636" s="49" t="s">
        <v>40</v>
      </c>
      <c r="C3636" s="51">
        <v>54037.3</v>
      </c>
      <c r="D3636" s="51">
        <v>0</v>
      </c>
    </row>
    <row r="3637" spans="1:4">
      <c r="A3637" s="50">
        <v>45078</v>
      </c>
      <c r="B3637" s="49" t="s">
        <v>41</v>
      </c>
      <c r="C3637" s="51">
        <v>54047.4</v>
      </c>
      <c r="D3637" s="51">
        <v>0</v>
      </c>
    </row>
    <row r="3638" spans="1:4">
      <c r="A3638" s="50">
        <v>45078</v>
      </c>
      <c r="B3638" s="49" t="s">
        <v>42</v>
      </c>
      <c r="C3638" s="51">
        <v>54048.1</v>
      </c>
      <c r="D3638" s="51">
        <v>0</v>
      </c>
    </row>
    <row r="3639" spans="1:4">
      <c r="A3639" s="50">
        <v>45078</v>
      </c>
      <c r="B3639" s="49" t="s">
        <v>43</v>
      </c>
      <c r="C3639" s="51">
        <v>54055</v>
      </c>
      <c r="D3639" s="51">
        <v>0</v>
      </c>
    </row>
    <row r="3640" spans="1:4">
      <c r="A3640" s="50">
        <v>45078</v>
      </c>
      <c r="B3640" s="49" t="s">
        <v>44</v>
      </c>
      <c r="C3640" s="51">
        <v>54919.7</v>
      </c>
      <c r="D3640" s="51">
        <v>0</v>
      </c>
    </row>
    <row r="3641" spans="1:4">
      <c r="A3641" s="50">
        <v>45078</v>
      </c>
      <c r="B3641" s="49" t="s">
        <v>45</v>
      </c>
      <c r="C3641" s="51">
        <v>53748.9</v>
      </c>
      <c r="D3641" s="51">
        <v>0</v>
      </c>
    </row>
    <row r="3642" spans="1:4">
      <c r="A3642" s="50">
        <v>45078</v>
      </c>
      <c r="B3642" s="49" t="s">
        <v>46</v>
      </c>
      <c r="C3642" s="51">
        <v>53785.9</v>
      </c>
      <c r="D3642" s="51">
        <v>0</v>
      </c>
    </row>
    <row r="3643" spans="1:4">
      <c r="A3643" s="50">
        <v>45078</v>
      </c>
      <c r="B3643" s="49" t="s">
        <v>47</v>
      </c>
      <c r="C3643" s="51">
        <v>53646.9</v>
      </c>
      <c r="D3643" s="51">
        <v>0</v>
      </c>
    </row>
    <row r="3644" spans="1:4">
      <c r="A3644" s="50">
        <v>45078</v>
      </c>
      <c r="B3644" s="49" t="s">
        <v>48</v>
      </c>
      <c r="C3644" s="51">
        <v>67532.800000000003</v>
      </c>
      <c r="D3644" s="51">
        <v>0</v>
      </c>
    </row>
    <row r="3645" spans="1:4">
      <c r="A3645" s="50">
        <v>45078</v>
      </c>
      <c r="B3645" s="49" t="s">
        <v>49</v>
      </c>
      <c r="C3645" s="51">
        <v>67860.899999999994</v>
      </c>
      <c r="D3645" s="51">
        <v>0</v>
      </c>
    </row>
    <row r="3646" spans="1:4">
      <c r="A3646" s="50">
        <v>45078</v>
      </c>
      <c r="B3646" s="49" t="s">
        <v>50</v>
      </c>
      <c r="C3646" s="51">
        <v>67886.3</v>
      </c>
      <c r="D3646" s="51">
        <v>0</v>
      </c>
    </row>
    <row r="3647" spans="1:4">
      <c r="A3647" s="50">
        <v>45078</v>
      </c>
      <c r="B3647" s="49" t="s">
        <v>51</v>
      </c>
      <c r="C3647" s="51">
        <v>59225.9</v>
      </c>
      <c r="D3647" s="51">
        <v>0</v>
      </c>
    </row>
    <row r="3648" spans="1:4">
      <c r="A3648" s="50">
        <v>45078</v>
      </c>
      <c r="B3648" s="49" t="s">
        <v>52</v>
      </c>
      <c r="C3648" s="51">
        <v>54603</v>
      </c>
      <c r="D3648" s="51">
        <v>0</v>
      </c>
    </row>
    <row r="3649" spans="1:4">
      <c r="A3649" s="50">
        <v>45078</v>
      </c>
      <c r="B3649" s="49" t="s">
        <v>53</v>
      </c>
      <c r="C3649" s="51">
        <v>54283.3</v>
      </c>
      <c r="D3649" s="51">
        <v>0</v>
      </c>
    </row>
    <row r="3650" spans="1:4">
      <c r="A3650" s="50">
        <v>45079</v>
      </c>
      <c r="B3650" s="49" t="s">
        <v>30</v>
      </c>
      <c r="C3650" s="51">
        <v>54165.599999999999</v>
      </c>
      <c r="D3650" s="51">
        <v>0</v>
      </c>
    </row>
    <row r="3651" spans="1:4">
      <c r="A3651" s="50">
        <v>45079</v>
      </c>
      <c r="B3651" s="49" t="s">
        <v>31</v>
      </c>
      <c r="C3651" s="51">
        <v>54328.4</v>
      </c>
      <c r="D3651" s="51">
        <v>0</v>
      </c>
    </row>
    <row r="3652" spans="1:4">
      <c r="A3652" s="50">
        <v>45079</v>
      </c>
      <c r="B3652" s="49" t="s">
        <v>32</v>
      </c>
      <c r="C3652" s="51">
        <v>54290.2</v>
      </c>
      <c r="D3652" s="51">
        <v>0</v>
      </c>
    </row>
    <row r="3653" spans="1:4">
      <c r="A3653" s="50">
        <v>45079</v>
      </c>
      <c r="B3653" s="49" t="s">
        <v>33</v>
      </c>
      <c r="C3653" s="51">
        <v>54301.1</v>
      </c>
      <c r="D3653" s="51">
        <v>0</v>
      </c>
    </row>
    <row r="3654" spans="1:4">
      <c r="A3654" s="50">
        <v>45079</v>
      </c>
      <c r="B3654" s="49" t="s">
        <v>34</v>
      </c>
      <c r="C3654" s="51">
        <v>54521.4</v>
      </c>
      <c r="D3654" s="51">
        <v>0</v>
      </c>
    </row>
    <row r="3655" spans="1:4">
      <c r="A3655" s="50">
        <v>45079</v>
      </c>
      <c r="B3655" s="49" t="s">
        <v>35</v>
      </c>
      <c r="C3655" s="51">
        <v>54271.9</v>
      </c>
      <c r="D3655" s="51">
        <v>0</v>
      </c>
    </row>
    <row r="3656" spans="1:4">
      <c r="A3656" s="50">
        <v>45079</v>
      </c>
      <c r="B3656" s="49" t="s">
        <v>36</v>
      </c>
      <c r="C3656" s="51">
        <v>53855.7</v>
      </c>
      <c r="D3656" s="51">
        <v>0</v>
      </c>
    </row>
    <row r="3657" spans="1:4">
      <c r="A3657" s="50">
        <v>45079</v>
      </c>
      <c r="B3657" s="49" t="s">
        <v>37</v>
      </c>
      <c r="C3657" s="51">
        <v>54152.6</v>
      </c>
      <c r="D3657" s="51">
        <v>0</v>
      </c>
    </row>
    <row r="3658" spans="1:4">
      <c r="A3658" s="50">
        <v>45079</v>
      </c>
      <c r="B3658" s="49" t="s">
        <v>38</v>
      </c>
      <c r="C3658" s="51">
        <v>54110.400000000001</v>
      </c>
      <c r="D3658" s="51">
        <v>0</v>
      </c>
    </row>
    <row r="3659" spans="1:4">
      <c r="A3659" s="50">
        <v>45079</v>
      </c>
      <c r="B3659" s="49" t="s">
        <v>39</v>
      </c>
      <c r="C3659" s="51">
        <v>53859.1</v>
      </c>
      <c r="D3659" s="51">
        <v>0</v>
      </c>
    </row>
    <row r="3660" spans="1:4">
      <c r="A3660" s="50">
        <v>45079</v>
      </c>
      <c r="B3660" s="49" t="s">
        <v>40</v>
      </c>
      <c r="C3660" s="51">
        <v>54150.6</v>
      </c>
      <c r="D3660" s="51">
        <v>0</v>
      </c>
    </row>
    <row r="3661" spans="1:4">
      <c r="A3661" s="50">
        <v>45079</v>
      </c>
      <c r="B3661" s="49" t="s">
        <v>41</v>
      </c>
      <c r="C3661" s="51">
        <v>53234.9</v>
      </c>
      <c r="D3661" s="51">
        <v>0</v>
      </c>
    </row>
    <row r="3662" spans="1:4">
      <c r="A3662" s="50">
        <v>45079</v>
      </c>
      <c r="B3662" s="49" t="s">
        <v>42</v>
      </c>
      <c r="C3662" s="51">
        <v>52652.9</v>
      </c>
      <c r="D3662" s="51">
        <v>0</v>
      </c>
    </row>
    <row r="3663" spans="1:4">
      <c r="A3663" s="50">
        <v>45079</v>
      </c>
      <c r="B3663" s="49" t="s">
        <v>43</v>
      </c>
      <c r="C3663" s="51">
        <v>53732.5</v>
      </c>
      <c r="D3663" s="51">
        <v>0</v>
      </c>
    </row>
    <row r="3664" spans="1:4">
      <c r="A3664" s="50">
        <v>45079</v>
      </c>
      <c r="B3664" s="49" t="s">
        <v>44</v>
      </c>
      <c r="C3664" s="51">
        <v>53862</v>
      </c>
      <c r="D3664" s="51">
        <v>0</v>
      </c>
    </row>
    <row r="3665" spans="1:4">
      <c r="A3665" s="50">
        <v>45079</v>
      </c>
      <c r="B3665" s="49" t="s">
        <v>45</v>
      </c>
      <c r="C3665" s="51">
        <v>53961.7</v>
      </c>
      <c r="D3665" s="51">
        <v>0</v>
      </c>
    </row>
    <row r="3666" spans="1:4">
      <c r="A3666" s="50">
        <v>45079</v>
      </c>
      <c r="B3666" s="49" t="s">
        <v>46</v>
      </c>
      <c r="C3666" s="51">
        <v>53878.7</v>
      </c>
      <c r="D3666" s="51">
        <v>0</v>
      </c>
    </row>
    <row r="3667" spans="1:4">
      <c r="A3667" s="50">
        <v>45079</v>
      </c>
      <c r="B3667" s="49" t="s">
        <v>47</v>
      </c>
      <c r="C3667" s="51">
        <v>52943.8</v>
      </c>
      <c r="D3667" s="51">
        <v>0</v>
      </c>
    </row>
    <row r="3668" spans="1:4">
      <c r="A3668" s="50">
        <v>45079</v>
      </c>
      <c r="B3668" s="49" t="s">
        <v>48</v>
      </c>
      <c r="C3668" s="51">
        <v>53232.9</v>
      </c>
      <c r="D3668" s="51">
        <v>0</v>
      </c>
    </row>
    <row r="3669" spans="1:4">
      <c r="A3669" s="50">
        <v>45079</v>
      </c>
      <c r="B3669" s="49" t="s">
        <v>49</v>
      </c>
      <c r="C3669" s="51">
        <v>69573.3</v>
      </c>
      <c r="D3669" s="51">
        <v>0</v>
      </c>
    </row>
    <row r="3670" spans="1:4">
      <c r="A3670" s="50">
        <v>45079</v>
      </c>
      <c r="B3670" s="49" t="s">
        <v>50</v>
      </c>
      <c r="C3670" s="51">
        <v>69851.899999999994</v>
      </c>
      <c r="D3670" s="51">
        <v>0</v>
      </c>
    </row>
    <row r="3671" spans="1:4">
      <c r="A3671" s="50">
        <v>45079</v>
      </c>
      <c r="B3671" s="49" t="s">
        <v>51</v>
      </c>
      <c r="C3671" s="51">
        <v>54797.1</v>
      </c>
      <c r="D3671" s="51">
        <v>0</v>
      </c>
    </row>
    <row r="3672" spans="1:4">
      <c r="A3672" s="50">
        <v>45079</v>
      </c>
      <c r="B3672" s="49" t="s">
        <v>52</v>
      </c>
      <c r="C3672" s="51">
        <v>54141.5</v>
      </c>
      <c r="D3672" s="51">
        <v>0</v>
      </c>
    </row>
    <row r="3673" spans="1:4">
      <c r="A3673" s="50">
        <v>45079</v>
      </c>
      <c r="B3673" s="49" t="s">
        <v>53</v>
      </c>
      <c r="C3673" s="51">
        <v>53994.3</v>
      </c>
      <c r="D3673" s="51">
        <v>0</v>
      </c>
    </row>
    <row r="3674" spans="1:4">
      <c r="A3674" s="50">
        <v>45080</v>
      </c>
      <c r="B3674" s="49" t="s">
        <v>30</v>
      </c>
      <c r="C3674" s="51">
        <v>54352.1</v>
      </c>
      <c r="D3674" s="51">
        <v>0</v>
      </c>
    </row>
    <row r="3675" spans="1:4">
      <c r="A3675" s="50">
        <v>45080</v>
      </c>
      <c r="B3675" s="49" t="s">
        <v>31</v>
      </c>
      <c r="C3675" s="51">
        <v>54476.5</v>
      </c>
      <c r="D3675" s="51">
        <v>0</v>
      </c>
    </row>
    <row r="3676" spans="1:4">
      <c r="A3676" s="50">
        <v>45080</v>
      </c>
      <c r="B3676" s="49" t="s">
        <v>32</v>
      </c>
      <c r="C3676" s="51">
        <v>54790.8</v>
      </c>
      <c r="D3676" s="51">
        <v>0</v>
      </c>
    </row>
    <row r="3677" spans="1:4">
      <c r="A3677" s="50">
        <v>45080</v>
      </c>
      <c r="B3677" s="49" t="s">
        <v>33</v>
      </c>
      <c r="C3677" s="51">
        <v>54753.4</v>
      </c>
      <c r="D3677" s="51">
        <v>0</v>
      </c>
    </row>
    <row r="3678" spans="1:4">
      <c r="A3678" s="50">
        <v>45080</v>
      </c>
      <c r="B3678" s="49" t="s">
        <v>34</v>
      </c>
      <c r="C3678" s="51">
        <v>54704.4</v>
      </c>
      <c r="D3678" s="51">
        <v>0</v>
      </c>
    </row>
    <row r="3679" spans="1:4">
      <c r="A3679" s="50">
        <v>45080</v>
      </c>
      <c r="B3679" s="49" t="s">
        <v>35</v>
      </c>
      <c r="C3679" s="51">
        <v>54076.4</v>
      </c>
      <c r="D3679" s="51">
        <v>0</v>
      </c>
    </row>
    <row r="3680" spans="1:4">
      <c r="A3680" s="50">
        <v>45080</v>
      </c>
      <c r="B3680" s="49" t="s">
        <v>36</v>
      </c>
      <c r="C3680" s="51">
        <v>52885.5</v>
      </c>
      <c r="D3680" s="51">
        <v>0</v>
      </c>
    </row>
    <row r="3681" spans="1:4">
      <c r="A3681" s="50">
        <v>45080</v>
      </c>
      <c r="B3681" s="49" t="s">
        <v>37</v>
      </c>
      <c r="C3681" s="51">
        <v>54391.7</v>
      </c>
      <c r="D3681" s="51">
        <v>0</v>
      </c>
    </row>
    <row r="3682" spans="1:4">
      <c r="A3682" s="50">
        <v>45080</v>
      </c>
      <c r="B3682" s="49" t="s">
        <v>38</v>
      </c>
      <c r="C3682" s="51">
        <v>54237.9</v>
      </c>
      <c r="D3682" s="51">
        <v>0</v>
      </c>
    </row>
    <row r="3683" spans="1:4">
      <c r="A3683" s="50">
        <v>45080</v>
      </c>
      <c r="B3683" s="49" t="s">
        <v>39</v>
      </c>
      <c r="C3683" s="51">
        <v>54287.7</v>
      </c>
      <c r="D3683" s="51">
        <v>0</v>
      </c>
    </row>
    <row r="3684" spans="1:4">
      <c r="A3684" s="50">
        <v>45080</v>
      </c>
      <c r="B3684" s="49" t="s">
        <v>40</v>
      </c>
      <c r="C3684" s="51">
        <v>54017</v>
      </c>
      <c r="D3684" s="51">
        <v>0</v>
      </c>
    </row>
    <row r="3685" spans="1:4">
      <c r="A3685" s="50">
        <v>45080</v>
      </c>
      <c r="B3685" s="49" t="s">
        <v>41</v>
      </c>
      <c r="C3685" s="51">
        <v>54190.2</v>
      </c>
      <c r="D3685" s="51">
        <v>0</v>
      </c>
    </row>
    <row r="3686" spans="1:4">
      <c r="A3686" s="50">
        <v>45080</v>
      </c>
      <c r="B3686" s="49" t="s">
        <v>42</v>
      </c>
      <c r="C3686" s="51">
        <v>54557.2</v>
      </c>
      <c r="D3686" s="51">
        <v>0</v>
      </c>
    </row>
    <row r="3687" spans="1:4">
      <c r="A3687" s="50">
        <v>45080</v>
      </c>
      <c r="B3687" s="49" t="s">
        <v>43</v>
      </c>
      <c r="C3687" s="51">
        <v>54454.9</v>
      </c>
      <c r="D3687" s="51">
        <v>0</v>
      </c>
    </row>
    <row r="3688" spans="1:4">
      <c r="A3688" s="50">
        <v>45080</v>
      </c>
      <c r="B3688" s="49" t="s">
        <v>44</v>
      </c>
      <c r="C3688" s="51">
        <v>54341.599999999999</v>
      </c>
      <c r="D3688" s="51">
        <v>0</v>
      </c>
    </row>
    <row r="3689" spans="1:4">
      <c r="A3689" s="50">
        <v>45080</v>
      </c>
      <c r="B3689" s="49" t="s">
        <v>45</v>
      </c>
      <c r="C3689" s="51">
        <v>56511.4</v>
      </c>
      <c r="D3689" s="51">
        <v>0</v>
      </c>
    </row>
    <row r="3690" spans="1:4">
      <c r="A3690" s="50">
        <v>45080</v>
      </c>
      <c r="B3690" s="49" t="s">
        <v>46</v>
      </c>
      <c r="C3690" s="51">
        <v>68204.5</v>
      </c>
      <c r="D3690" s="51">
        <v>0</v>
      </c>
    </row>
    <row r="3691" spans="1:4">
      <c r="A3691" s="50">
        <v>45080</v>
      </c>
      <c r="B3691" s="49" t="s">
        <v>47</v>
      </c>
      <c r="C3691" s="51">
        <v>68844.2</v>
      </c>
      <c r="D3691" s="51">
        <v>0</v>
      </c>
    </row>
    <row r="3692" spans="1:4">
      <c r="A3692" s="50">
        <v>45080</v>
      </c>
      <c r="B3692" s="49" t="s">
        <v>48</v>
      </c>
      <c r="C3692" s="51">
        <v>69220.100000000006</v>
      </c>
      <c r="D3692" s="51">
        <v>0</v>
      </c>
    </row>
    <row r="3693" spans="1:4">
      <c r="A3693" s="50">
        <v>45080</v>
      </c>
      <c r="B3693" s="49" t="s">
        <v>49</v>
      </c>
      <c r="C3693" s="51">
        <v>68161.7</v>
      </c>
      <c r="D3693" s="51">
        <v>0</v>
      </c>
    </row>
    <row r="3694" spans="1:4">
      <c r="A3694" s="50">
        <v>45080</v>
      </c>
      <c r="B3694" s="49" t="s">
        <v>50</v>
      </c>
      <c r="C3694" s="51">
        <v>68153.100000000006</v>
      </c>
      <c r="D3694" s="51">
        <v>0</v>
      </c>
    </row>
    <row r="3695" spans="1:4">
      <c r="A3695" s="50">
        <v>45080</v>
      </c>
      <c r="B3695" s="49" t="s">
        <v>51</v>
      </c>
      <c r="C3695" s="51">
        <v>68179.600000000006</v>
      </c>
      <c r="D3695" s="51">
        <v>0</v>
      </c>
    </row>
    <row r="3696" spans="1:4">
      <c r="A3696" s="50">
        <v>45080</v>
      </c>
      <c r="B3696" s="49" t="s">
        <v>52</v>
      </c>
      <c r="C3696" s="51">
        <v>68041.100000000006</v>
      </c>
      <c r="D3696" s="51">
        <v>0</v>
      </c>
    </row>
    <row r="3697" spans="1:4">
      <c r="A3697" s="50">
        <v>45080</v>
      </c>
      <c r="B3697" s="49" t="s">
        <v>53</v>
      </c>
      <c r="C3697" s="51">
        <v>67315.199999999997</v>
      </c>
      <c r="D3697" s="51">
        <v>0</v>
      </c>
    </row>
    <row r="3698" spans="1:4">
      <c r="A3698" s="50">
        <v>45081</v>
      </c>
      <c r="B3698" s="49" t="s">
        <v>30</v>
      </c>
      <c r="C3698" s="51">
        <v>66126.8</v>
      </c>
      <c r="D3698" s="51">
        <v>0</v>
      </c>
    </row>
    <row r="3699" spans="1:4">
      <c r="A3699" s="50">
        <v>45081</v>
      </c>
      <c r="B3699" s="49" t="s">
        <v>31</v>
      </c>
      <c r="C3699" s="51">
        <v>53519</v>
      </c>
      <c r="D3699" s="51">
        <v>0</v>
      </c>
    </row>
    <row r="3700" spans="1:4">
      <c r="A3700" s="50">
        <v>45081</v>
      </c>
      <c r="B3700" s="49" t="s">
        <v>32</v>
      </c>
      <c r="C3700" s="51">
        <v>53581.5</v>
      </c>
      <c r="D3700" s="51">
        <v>0</v>
      </c>
    </row>
    <row r="3701" spans="1:4">
      <c r="A3701" s="50">
        <v>45081</v>
      </c>
      <c r="B3701" s="49" t="s">
        <v>33</v>
      </c>
      <c r="C3701" s="51">
        <v>53561.2</v>
      </c>
      <c r="D3701" s="51">
        <v>0</v>
      </c>
    </row>
    <row r="3702" spans="1:4">
      <c r="A3702" s="50">
        <v>45081</v>
      </c>
      <c r="B3702" s="49" t="s">
        <v>34</v>
      </c>
      <c r="C3702" s="51">
        <v>53687.199999999997</v>
      </c>
      <c r="D3702" s="51">
        <v>0</v>
      </c>
    </row>
    <row r="3703" spans="1:4">
      <c r="A3703" s="50">
        <v>45081</v>
      </c>
      <c r="B3703" s="49" t="s">
        <v>35</v>
      </c>
      <c r="C3703" s="51">
        <v>53544.5</v>
      </c>
      <c r="D3703" s="51">
        <v>0</v>
      </c>
    </row>
    <row r="3704" spans="1:4">
      <c r="A3704" s="50">
        <v>45081</v>
      </c>
      <c r="B3704" s="49" t="s">
        <v>36</v>
      </c>
      <c r="C3704" s="51">
        <v>52782.8</v>
      </c>
      <c r="D3704" s="51">
        <v>0</v>
      </c>
    </row>
    <row r="3705" spans="1:4">
      <c r="A3705" s="50">
        <v>45081</v>
      </c>
      <c r="B3705" s="49" t="s">
        <v>37</v>
      </c>
      <c r="C3705" s="51">
        <v>54743.8</v>
      </c>
      <c r="D3705" s="51">
        <v>0</v>
      </c>
    </row>
    <row r="3706" spans="1:4">
      <c r="A3706" s="50">
        <v>45081</v>
      </c>
      <c r="B3706" s="49" t="s">
        <v>38</v>
      </c>
      <c r="C3706" s="51">
        <v>53913.599999999999</v>
      </c>
      <c r="D3706" s="51">
        <v>0</v>
      </c>
    </row>
    <row r="3707" spans="1:4">
      <c r="A3707" s="50">
        <v>45081</v>
      </c>
      <c r="B3707" s="49" t="s">
        <v>39</v>
      </c>
      <c r="C3707" s="51">
        <v>54327.7</v>
      </c>
      <c r="D3707" s="51">
        <v>0</v>
      </c>
    </row>
    <row r="3708" spans="1:4">
      <c r="A3708" s="50">
        <v>45081</v>
      </c>
      <c r="B3708" s="49" t="s">
        <v>40</v>
      </c>
      <c r="C3708" s="51">
        <v>54368.6</v>
      </c>
      <c r="D3708" s="51">
        <v>0</v>
      </c>
    </row>
    <row r="3709" spans="1:4">
      <c r="A3709" s="50">
        <v>45081</v>
      </c>
      <c r="B3709" s="49" t="s">
        <v>41</v>
      </c>
      <c r="C3709" s="51">
        <v>54399.7</v>
      </c>
      <c r="D3709" s="51">
        <v>0</v>
      </c>
    </row>
    <row r="3710" spans="1:4">
      <c r="A3710" s="50">
        <v>45081</v>
      </c>
      <c r="B3710" s="49" t="s">
        <v>42</v>
      </c>
      <c r="C3710" s="51">
        <v>54359.3</v>
      </c>
      <c r="D3710" s="51">
        <v>0</v>
      </c>
    </row>
    <row r="3711" spans="1:4">
      <c r="A3711" s="50">
        <v>45081</v>
      </c>
      <c r="B3711" s="49" t="s">
        <v>43</v>
      </c>
      <c r="C3711" s="51">
        <v>54406.5</v>
      </c>
      <c r="D3711" s="51">
        <v>0</v>
      </c>
    </row>
    <row r="3712" spans="1:4">
      <c r="A3712" s="50">
        <v>45081</v>
      </c>
      <c r="B3712" s="49" t="s">
        <v>44</v>
      </c>
      <c r="C3712" s="51">
        <v>54426.9</v>
      </c>
      <c r="D3712" s="51">
        <v>0</v>
      </c>
    </row>
    <row r="3713" spans="1:4">
      <c r="A3713" s="50">
        <v>45081</v>
      </c>
      <c r="B3713" s="49" t="s">
        <v>45</v>
      </c>
      <c r="C3713" s="51">
        <v>54497.2</v>
      </c>
      <c r="D3713" s="51">
        <v>0</v>
      </c>
    </row>
    <row r="3714" spans="1:4">
      <c r="A3714" s="50">
        <v>45081</v>
      </c>
      <c r="B3714" s="49" t="s">
        <v>46</v>
      </c>
      <c r="C3714" s="51">
        <v>54614.5</v>
      </c>
      <c r="D3714" s="51">
        <v>0</v>
      </c>
    </row>
    <row r="3715" spans="1:4">
      <c r="A3715" s="50">
        <v>45081</v>
      </c>
      <c r="B3715" s="49" t="s">
        <v>47</v>
      </c>
      <c r="C3715" s="51">
        <v>54332.800000000003</v>
      </c>
      <c r="D3715" s="51">
        <v>0</v>
      </c>
    </row>
    <row r="3716" spans="1:4">
      <c r="A3716" s="50">
        <v>45081</v>
      </c>
      <c r="B3716" s="49" t="s">
        <v>48</v>
      </c>
      <c r="C3716" s="51">
        <v>54983.7</v>
      </c>
      <c r="D3716" s="51">
        <v>0</v>
      </c>
    </row>
    <row r="3717" spans="1:4">
      <c r="A3717" s="50">
        <v>45081</v>
      </c>
      <c r="B3717" s="49" t="s">
        <v>49</v>
      </c>
      <c r="C3717" s="51">
        <v>60207.8</v>
      </c>
      <c r="D3717" s="51">
        <v>0</v>
      </c>
    </row>
    <row r="3718" spans="1:4">
      <c r="A3718" s="50">
        <v>45081</v>
      </c>
      <c r="B3718" s="49" t="s">
        <v>50</v>
      </c>
      <c r="C3718" s="51">
        <v>68280.399999999994</v>
      </c>
      <c r="D3718" s="51">
        <v>0</v>
      </c>
    </row>
    <row r="3719" spans="1:4">
      <c r="A3719" s="50">
        <v>45081</v>
      </c>
      <c r="B3719" s="49" t="s">
        <v>51</v>
      </c>
      <c r="C3719" s="51">
        <v>54380.7</v>
      </c>
      <c r="D3719" s="51">
        <v>0</v>
      </c>
    </row>
    <row r="3720" spans="1:4">
      <c r="A3720" s="50">
        <v>45081</v>
      </c>
      <c r="B3720" s="49" t="s">
        <v>52</v>
      </c>
      <c r="C3720" s="51">
        <v>53456.800000000003</v>
      </c>
      <c r="D3720" s="51">
        <v>0</v>
      </c>
    </row>
    <row r="3721" spans="1:4">
      <c r="A3721" s="50">
        <v>45081</v>
      </c>
      <c r="B3721" s="49" t="s">
        <v>53</v>
      </c>
      <c r="C3721" s="51">
        <v>53658.9</v>
      </c>
      <c r="D3721" s="51">
        <v>0</v>
      </c>
    </row>
    <row r="3722" spans="1:4">
      <c r="A3722" s="50">
        <v>45082</v>
      </c>
      <c r="B3722" s="49" t="s">
        <v>30</v>
      </c>
      <c r="C3722" s="51">
        <v>52937</v>
      </c>
      <c r="D3722" s="51">
        <v>0</v>
      </c>
    </row>
    <row r="3723" spans="1:4">
      <c r="A3723" s="50">
        <v>45082</v>
      </c>
      <c r="B3723" s="49" t="s">
        <v>31</v>
      </c>
      <c r="C3723" s="51">
        <v>54022.7</v>
      </c>
      <c r="D3723" s="51">
        <v>0</v>
      </c>
    </row>
    <row r="3724" spans="1:4">
      <c r="A3724" s="50">
        <v>45082</v>
      </c>
      <c r="B3724" s="49" t="s">
        <v>32</v>
      </c>
      <c r="C3724" s="51">
        <v>54525.2</v>
      </c>
      <c r="D3724" s="51">
        <v>0</v>
      </c>
    </row>
    <row r="3725" spans="1:4">
      <c r="A3725" s="50">
        <v>45082</v>
      </c>
      <c r="B3725" s="49" t="s">
        <v>33</v>
      </c>
      <c r="C3725" s="51">
        <v>54524.2</v>
      </c>
      <c r="D3725" s="51">
        <v>0</v>
      </c>
    </row>
    <row r="3726" spans="1:4">
      <c r="A3726" s="50">
        <v>45082</v>
      </c>
      <c r="B3726" s="49" t="s">
        <v>34</v>
      </c>
      <c r="C3726" s="51">
        <v>54665.5</v>
      </c>
      <c r="D3726" s="51">
        <v>0</v>
      </c>
    </row>
    <row r="3727" spans="1:4">
      <c r="A3727" s="50">
        <v>45082</v>
      </c>
      <c r="B3727" s="49" t="s">
        <v>35</v>
      </c>
      <c r="C3727" s="51">
        <v>54785.8</v>
      </c>
      <c r="D3727" s="51">
        <v>0</v>
      </c>
    </row>
    <row r="3728" spans="1:4">
      <c r="A3728" s="50">
        <v>45082</v>
      </c>
      <c r="B3728" s="49" t="s">
        <v>36</v>
      </c>
      <c r="C3728" s="51">
        <v>53389.4</v>
      </c>
      <c r="D3728" s="51">
        <v>0</v>
      </c>
    </row>
    <row r="3729" spans="1:4">
      <c r="A3729" s="50">
        <v>45082</v>
      </c>
      <c r="B3729" s="49" t="s">
        <v>37</v>
      </c>
      <c r="C3729" s="51">
        <v>53588</v>
      </c>
      <c r="D3729" s="51">
        <v>0</v>
      </c>
    </row>
    <row r="3730" spans="1:4">
      <c r="A3730" s="50">
        <v>45082</v>
      </c>
      <c r="B3730" s="49" t="s">
        <v>38</v>
      </c>
      <c r="C3730" s="51">
        <v>54559.4</v>
      </c>
      <c r="D3730" s="51">
        <v>0</v>
      </c>
    </row>
    <row r="3731" spans="1:4">
      <c r="A3731" s="50">
        <v>45082</v>
      </c>
      <c r="B3731" s="49" t="s">
        <v>39</v>
      </c>
      <c r="C3731" s="51">
        <v>54521.9</v>
      </c>
      <c r="D3731" s="51">
        <v>0</v>
      </c>
    </row>
    <row r="3732" spans="1:4">
      <c r="A3732" s="50">
        <v>45082</v>
      </c>
      <c r="B3732" s="49" t="s">
        <v>40</v>
      </c>
      <c r="C3732" s="51">
        <v>54630.7</v>
      </c>
      <c r="D3732" s="51">
        <v>0</v>
      </c>
    </row>
    <row r="3733" spans="1:4">
      <c r="A3733" s="50">
        <v>45082</v>
      </c>
      <c r="B3733" s="49" t="s">
        <v>41</v>
      </c>
      <c r="C3733" s="51">
        <v>54517.599999999999</v>
      </c>
      <c r="D3733" s="51">
        <v>0</v>
      </c>
    </row>
    <row r="3734" spans="1:4">
      <c r="A3734" s="50">
        <v>45082</v>
      </c>
      <c r="B3734" s="49" t="s">
        <v>42</v>
      </c>
      <c r="C3734" s="51">
        <v>54549</v>
      </c>
      <c r="D3734" s="51">
        <v>0</v>
      </c>
    </row>
    <row r="3735" spans="1:4">
      <c r="A3735" s="50">
        <v>45082</v>
      </c>
      <c r="B3735" s="49" t="s">
        <v>43</v>
      </c>
      <c r="C3735" s="51">
        <v>54486.400000000001</v>
      </c>
      <c r="D3735" s="51">
        <v>0</v>
      </c>
    </row>
    <row r="3736" spans="1:4">
      <c r="A3736" s="50">
        <v>45082</v>
      </c>
      <c r="B3736" s="49" t="s">
        <v>44</v>
      </c>
      <c r="C3736" s="51">
        <v>54552.1</v>
      </c>
      <c r="D3736" s="51">
        <v>0</v>
      </c>
    </row>
    <row r="3737" spans="1:4">
      <c r="A3737" s="50">
        <v>45082</v>
      </c>
      <c r="B3737" s="49" t="s">
        <v>45</v>
      </c>
      <c r="C3737" s="51">
        <v>54502.8</v>
      </c>
      <c r="D3737" s="51">
        <v>0</v>
      </c>
    </row>
    <row r="3738" spans="1:4">
      <c r="A3738" s="50">
        <v>45082</v>
      </c>
      <c r="B3738" s="49" t="s">
        <v>46</v>
      </c>
      <c r="C3738" s="51">
        <v>54344.7</v>
      </c>
      <c r="D3738" s="51">
        <v>0</v>
      </c>
    </row>
    <row r="3739" spans="1:4">
      <c r="A3739" s="50">
        <v>45082</v>
      </c>
      <c r="B3739" s="49" t="s">
        <v>47</v>
      </c>
      <c r="C3739" s="51">
        <v>54324.2</v>
      </c>
      <c r="D3739" s="51">
        <v>0</v>
      </c>
    </row>
    <row r="3740" spans="1:4">
      <c r="A3740" s="50">
        <v>45082</v>
      </c>
      <c r="B3740" s="49" t="s">
        <v>48</v>
      </c>
      <c r="C3740" s="51">
        <v>60916.3</v>
      </c>
      <c r="D3740" s="51">
        <v>0</v>
      </c>
    </row>
    <row r="3741" spans="1:4">
      <c r="A3741" s="50">
        <v>45082</v>
      </c>
      <c r="B3741" s="49" t="s">
        <v>49</v>
      </c>
      <c r="C3741" s="51">
        <v>67757.5</v>
      </c>
      <c r="D3741" s="51">
        <v>0</v>
      </c>
    </row>
    <row r="3742" spans="1:4">
      <c r="A3742" s="50">
        <v>45082</v>
      </c>
      <c r="B3742" s="49" t="s">
        <v>50</v>
      </c>
      <c r="C3742" s="51">
        <v>68225.8</v>
      </c>
      <c r="D3742" s="51">
        <v>0</v>
      </c>
    </row>
    <row r="3743" spans="1:4">
      <c r="A3743" s="50">
        <v>45082</v>
      </c>
      <c r="B3743" s="49" t="s">
        <v>51</v>
      </c>
      <c r="C3743" s="51">
        <v>55318.2</v>
      </c>
      <c r="D3743" s="51">
        <v>0</v>
      </c>
    </row>
    <row r="3744" spans="1:4">
      <c r="A3744" s="50">
        <v>45082</v>
      </c>
      <c r="B3744" s="49" t="s">
        <v>52</v>
      </c>
      <c r="C3744" s="51">
        <v>54158.9</v>
      </c>
      <c r="D3744" s="51">
        <v>0</v>
      </c>
    </row>
    <row r="3745" spans="1:4">
      <c r="A3745" s="50">
        <v>45082</v>
      </c>
      <c r="B3745" s="49" t="s">
        <v>53</v>
      </c>
      <c r="C3745" s="51">
        <v>54293.3</v>
      </c>
      <c r="D3745" s="51">
        <v>0</v>
      </c>
    </row>
    <row r="3746" spans="1:4">
      <c r="A3746" s="50">
        <v>45083</v>
      </c>
      <c r="B3746" s="49" t="s">
        <v>30</v>
      </c>
      <c r="C3746" s="51">
        <v>54109.9</v>
      </c>
      <c r="D3746" s="51">
        <v>0</v>
      </c>
    </row>
    <row r="3747" spans="1:4">
      <c r="A3747" s="50">
        <v>45083</v>
      </c>
      <c r="B3747" s="49" t="s">
        <v>31</v>
      </c>
      <c r="C3747" s="51">
        <v>54352.4</v>
      </c>
      <c r="D3747" s="51">
        <v>0</v>
      </c>
    </row>
    <row r="3748" spans="1:4">
      <c r="A3748" s="50">
        <v>45083</v>
      </c>
      <c r="B3748" s="49" t="s">
        <v>32</v>
      </c>
      <c r="C3748" s="51">
        <v>54122.1</v>
      </c>
      <c r="D3748" s="51">
        <v>0</v>
      </c>
    </row>
    <row r="3749" spans="1:4">
      <c r="A3749" s="50">
        <v>45083</v>
      </c>
      <c r="B3749" s="49" t="s">
        <v>33</v>
      </c>
      <c r="C3749" s="51">
        <v>54185.4</v>
      </c>
      <c r="D3749" s="51">
        <v>0</v>
      </c>
    </row>
    <row r="3750" spans="1:4">
      <c r="A3750" s="50">
        <v>45083</v>
      </c>
      <c r="B3750" s="49" t="s">
        <v>34</v>
      </c>
      <c r="C3750" s="51">
        <v>53814.400000000001</v>
      </c>
      <c r="D3750" s="51">
        <v>0</v>
      </c>
    </row>
    <row r="3751" spans="1:4">
      <c r="A3751" s="50">
        <v>45083</v>
      </c>
      <c r="B3751" s="49" t="s">
        <v>35</v>
      </c>
      <c r="C3751" s="51">
        <v>53834.7</v>
      </c>
      <c r="D3751" s="51">
        <v>0</v>
      </c>
    </row>
    <row r="3752" spans="1:4">
      <c r="A3752" s="50">
        <v>45083</v>
      </c>
      <c r="B3752" s="49" t="s">
        <v>36</v>
      </c>
      <c r="C3752" s="51">
        <v>53690.3</v>
      </c>
      <c r="D3752" s="51">
        <v>0</v>
      </c>
    </row>
    <row r="3753" spans="1:4">
      <c r="A3753" s="50">
        <v>45083</v>
      </c>
      <c r="B3753" s="49" t="s">
        <v>37</v>
      </c>
      <c r="C3753" s="51">
        <v>53470.3</v>
      </c>
      <c r="D3753" s="51">
        <v>0</v>
      </c>
    </row>
    <row r="3754" spans="1:4">
      <c r="A3754" s="50">
        <v>45083</v>
      </c>
      <c r="B3754" s="49" t="s">
        <v>38</v>
      </c>
      <c r="C3754" s="51">
        <v>53633.5</v>
      </c>
      <c r="D3754" s="51">
        <v>0</v>
      </c>
    </row>
    <row r="3755" spans="1:4">
      <c r="A3755" s="50">
        <v>45083</v>
      </c>
      <c r="B3755" s="49" t="s">
        <v>39</v>
      </c>
      <c r="C3755" s="51">
        <v>54447.8</v>
      </c>
      <c r="D3755" s="51">
        <v>0</v>
      </c>
    </row>
    <row r="3756" spans="1:4">
      <c r="A3756" s="50">
        <v>45083</v>
      </c>
      <c r="B3756" s="49" t="s">
        <v>40</v>
      </c>
      <c r="C3756" s="51">
        <v>54658.400000000001</v>
      </c>
      <c r="D3756" s="51">
        <v>0</v>
      </c>
    </row>
    <row r="3757" spans="1:4">
      <c r="A3757" s="50">
        <v>45083</v>
      </c>
      <c r="B3757" s="49" t="s">
        <v>41</v>
      </c>
      <c r="C3757" s="51">
        <v>54529.9</v>
      </c>
      <c r="D3757" s="51">
        <v>0</v>
      </c>
    </row>
    <row r="3758" spans="1:4">
      <c r="A3758" s="50">
        <v>45083</v>
      </c>
      <c r="B3758" s="49" t="s">
        <v>42</v>
      </c>
      <c r="C3758" s="51">
        <v>54697.3</v>
      </c>
      <c r="D3758" s="51">
        <v>0</v>
      </c>
    </row>
    <row r="3759" spans="1:4">
      <c r="A3759" s="50">
        <v>45083</v>
      </c>
      <c r="B3759" s="49" t="s">
        <v>43</v>
      </c>
      <c r="C3759" s="51">
        <v>54632.1</v>
      </c>
      <c r="D3759" s="51">
        <v>0</v>
      </c>
    </row>
    <row r="3760" spans="1:4">
      <c r="A3760" s="50">
        <v>45083</v>
      </c>
      <c r="B3760" s="49" t="s">
        <v>44</v>
      </c>
      <c r="C3760" s="51">
        <v>54380.1</v>
      </c>
      <c r="D3760" s="51">
        <v>0</v>
      </c>
    </row>
    <row r="3761" spans="1:4">
      <c r="A3761" s="50">
        <v>45083</v>
      </c>
      <c r="B3761" s="49" t="s">
        <v>45</v>
      </c>
      <c r="C3761" s="51">
        <v>54291.3</v>
      </c>
      <c r="D3761" s="51">
        <v>0</v>
      </c>
    </row>
    <row r="3762" spans="1:4">
      <c r="A3762" s="50">
        <v>45083</v>
      </c>
      <c r="B3762" s="49" t="s">
        <v>46</v>
      </c>
      <c r="C3762" s="51">
        <v>54176.3</v>
      </c>
      <c r="D3762" s="51">
        <v>0</v>
      </c>
    </row>
    <row r="3763" spans="1:4">
      <c r="A3763" s="50">
        <v>45083</v>
      </c>
      <c r="B3763" s="49" t="s">
        <v>47</v>
      </c>
      <c r="C3763" s="51">
        <v>54368.6</v>
      </c>
      <c r="D3763" s="51">
        <v>0</v>
      </c>
    </row>
    <row r="3764" spans="1:4">
      <c r="A3764" s="50">
        <v>45083</v>
      </c>
      <c r="B3764" s="49" t="s">
        <v>48</v>
      </c>
      <c r="C3764" s="51">
        <v>54390.7</v>
      </c>
      <c r="D3764" s="51">
        <v>0</v>
      </c>
    </row>
    <row r="3765" spans="1:4">
      <c r="A3765" s="50">
        <v>45083</v>
      </c>
      <c r="B3765" s="49" t="s">
        <v>49</v>
      </c>
      <c r="C3765" s="51">
        <v>61093.7</v>
      </c>
      <c r="D3765" s="51">
        <v>0</v>
      </c>
    </row>
    <row r="3766" spans="1:4">
      <c r="A3766" s="50">
        <v>45083</v>
      </c>
      <c r="B3766" s="49" t="s">
        <v>50</v>
      </c>
      <c r="C3766" s="51">
        <v>68504.100000000006</v>
      </c>
      <c r="D3766" s="51">
        <v>0</v>
      </c>
    </row>
    <row r="3767" spans="1:4">
      <c r="A3767" s="50">
        <v>45083</v>
      </c>
      <c r="B3767" s="49" t="s">
        <v>51</v>
      </c>
      <c r="C3767" s="51">
        <v>54947.9</v>
      </c>
      <c r="D3767" s="51">
        <v>0</v>
      </c>
    </row>
    <row r="3768" spans="1:4">
      <c r="A3768" s="50">
        <v>45083</v>
      </c>
      <c r="B3768" s="49" t="s">
        <v>52</v>
      </c>
      <c r="C3768" s="51">
        <v>53148.7</v>
      </c>
      <c r="D3768" s="51">
        <v>0</v>
      </c>
    </row>
    <row r="3769" spans="1:4">
      <c r="A3769" s="50">
        <v>45083</v>
      </c>
      <c r="B3769" s="49" t="s">
        <v>53</v>
      </c>
      <c r="C3769" s="51">
        <v>54021.9</v>
      </c>
      <c r="D3769" s="51">
        <v>0</v>
      </c>
    </row>
    <row r="3770" spans="1:4">
      <c r="A3770" s="50">
        <v>45084</v>
      </c>
      <c r="B3770" s="49" t="s">
        <v>30</v>
      </c>
      <c r="C3770" s="51">
        <v>53617.3</v>
      </c>
      <c r="D3770" s="51">
        <v>0</v>
      </c>
    </row>
    <row r="3771" spans="1:4">
      <c r="A3771" s="50">
        <v>45084</v>
      </c>
      <c r="B3771" s="49" t="s">
        <v>31</v>
      </c>
      <c r="C3771" s="51">
        <v>54422.400000000001</v>
      </c>
      <c r="D3771" s="51">
        <v>0</v>
      </c>
    </row>
    <row r="3772" spans="1:4">
      <c r="A3772" s="50">
        <v>45084</v>
      </c>
      <c r="B3772" s="49" t="s">
        <v>32</v>
      </c>
      <c r="C3772" s="51">
        <v>54460</v>
      </c>
      <c r="D3772" s="51">
        <v>0</v>
      </c>
    </row>
    <row r="3773" spans="1:4">
      <c r="A3773" s="50">
        <v>45084</v>
      </c>
      <c r="B3773" s="49" t="s">
        <v>33</v>
      </c>
      <c r="C3773" s="51">
        <v>54354.2</v>
      </c>
      <c r="D3773" s="51">
        <v>0</v>
      </c>
    </row>
    <row r="3774" spans="1:4">
      <c r="A3774" s="50">
        <v>45084</v>
      </c>
      <c r="B3774" s="49" t="s">
        <v>34</v>
      </c>
      <c r="C3774" s="51">
        <v>54597.9</v>
      </c>
      <c r="D3774" s="51">
        <v>0</v>
      </c>
    </row>
    <row r="3775" spans="1:4">
      <c r="A3775" s="50">
        <v>45084</v>
      </c>
      <c r="B3775" s="49" t="s">
        <v>35</v>
      </c>
      <c r="C3775" s="51">
        <v>53887.9</v>
      </c>
      <c r="D3775" s="51">
        <v>0</v>
      </c>
    </row>
    <row r="3776" spans="1:4">
      <c r="A3776" s="50">
        <v>45084</v>
      </c>
      <c r="B3776" s="49" t="s">
        <v>36</v>
      </c>
      <c r="C3776" s="51">
        <v>54046.1</v>
      </c>
      <c r="D3776" s="51">
        <v>0</v>
      </c>
    </row>
    <row r="3777" spans="1:4">
      <c r="A3777" s="50">
        <v>45084</v>
      </c>
      <c r="B3777" s="49" t="s">
        <v>37</v>
      </c>
      <c r="C3777" s="51">
        <v>54832.5</v>
      </c>
      <c r="D3777" s="51">
        <v>0</v>
      </c>
    </row>
    <row r="3778" spans="1:4">
      <c r="A3778" s="50">
        <v>45084</v>
      </c>
      <c r="B3778" s="49" t="s">
        <v>38</v>
      </c>
      <c r="C3778" s="51">
        <v>54821.1</v>
      </c>
      <c r="D3778" s="51">
        <v>0</v>
      </c>
    </row>
    <row r="3779" spans="1:4">
      <c r="A3779" s="50">
        <v>45084</v>
      </c>
      <c r="B3779" s="49" t="s">
        <v>39</v>
      </c>
      <c r="C3779" s="51">
        <v>54812.800000000003</v>
      </c>
      <c r="D3779" s="51">
        <v>0</v>
      </c>
    </row>
    <row r="3780" spans="1:4">
      <c r="A3780" s="50">
        <v>45084</v>
      </c>
      <c r="B3780" s="49" t="s">
        <v>40</v>
      </c>
      <c r="C3780" s="51">
        <v>54811.9</v>
      </c>
      <c r="D3780" s="51">
        <v>0</v>
      </c>
    </row>
    <row r="3781" spans="1:4">
      <c r="A3781" s="50">
        <v>45084</v>
      </c>
      <c r="B3781" s="49" t="s">
        <v>41</v>
      </c>
      <c r="C3781" s="51">
        <v>54862.7</v>
      </c>
      <c r="D3781" s="51">
        <v>0</v>
      </c>
    </row>
    <row r="3782" spans="1:4">
      <c r="A3782" s="50">
        <v>45084</v>
      </c>
      <c r="B3782" s="49" t="s">
        <v>42</v>
      </c>
      <c r="C3782" s="51">
        <v>68724.100000000006</v>
      </c>
      <c r="D3782" s="51">
        <v>0</v>
      </c>
    </row>
    <row r="3783" spans="1:4">
      <c r="A3783" s="50">
        <v>45084</v>
      </c>
      <c r="B3783" s="49" t="s">
        <v>43</v>
      </c>
      <c r="C3783" s="51">
        <v>69372.5</v>
      </c>
      <c r="D3783" s="51">
        <v>0</v>
      </c>
    </row>
    <row r="3784" spans="1:4">
      <c r="A3784" s="50">
        <v>45084</v>
      </c>
      <c r="B3784" s="49" t="s">
        <v>44</v>
      </c>
      <c r="C3784" s="51">
        <v>69326.8</v>
      </c>
      <c r="D3784" s="51">
        <v>0</v>
      </c>
    </row>
    <row r="3785" spans="1:4">
      <c r="A3785" s="50">
        <v>45084</v>
      </c>
      <c r="B3785" s="49" t="s">
        <v>45</v>
      </c>
      <c r="C3785" s="51">
        <v>70012.5</v>
      </c>
      <c r="D3785" s="51">
        <v>0</v>
      </c>
    </row>
    <row r="3786" spans="1:4">
      <c r="A3786" s="50">
        <v>45084</v>
      </c>
      <c r="B3786" s="49" t="s">
        <v>46</v>
      </c>
      <c r="C3786" s="51">
        <v>55453</v>
      </c>
      <c r="D3786" s="51">
        <v>0</v>
      </c>
    </row>
    <row r="3787" spans="1:4">
      <c r="A3787" s="50">
        <v>45084</v>
      </c>
      <c r="B3787" s="49" t="s">
        <v>47</v>
      </c>
      <c r="C3787" s="51">
        <v>53847.7</v>
      </c>
      <c r="D3787" s="51">
        <v>0</v>
      </c>
    </row>
    <row r="3788" spans="1:4">
      <c r="A3788" s="50">
        <v>45084</v>
      </c>
      <c r="B3788" s="49" t="s">
        <v>48</v>
      </c>
      <c r="C3788" s="51">
        <v>56472.6</v>
      </c>
      <c r="D3788" s="51">
        <v>0</v>
      </c>
    </row>
    <row r="3789" spans="1:4">
      <c r="A3789" s="50">
        <v>45084</v>
      </c>
      <c r="B3789" s="49" t="s">
        <v>49</v>
      </c>
      <c r="C3789" s="51">
        <v>56144.6</v>
      </c>
      <c r="D3789" s="51">
        <v>0</v>
      </c>
    </row>
    <row r="3790" spans="1:4">
      <c r="A3790" s="50">
        <v>45084</v>
      </c>
      <c r="B3790" s="49" t="s">
        <v>50</v>
      </c>
      <c r="C3790" s="51">
        <v>68068.800000000003</v>
      </c>
      <c r="D3790" s="51">
        <v>0</v>
      </c>
    </row>
    <row r="3791" spans="1:4">
      <c r="A3791" s="50">
        <v>45084</v>
      </c>
      <c r="B3791" s="49" t="s">
        <v>51</v>
      </c>
      <c r="C3791" s="51">
        <v>55070.6</v>
      </c>
      <c r="D3791" s="51">
        <v>0</v>
      </c>
    </row>
    <row r="3792" spans="1:4">
      <c r="A3792" s="50">
        <v>45084</v>
      </c>
      <c r="B3792" s="49" t="s">
        <v>52</v>
      </c>
      <c r="C3792" s="51">
        <v>53972.2</v>
      </c>
      <c r="D3792" s="51">
        <v>0</v>
      </c>
    </row>
    <row r="3793" spans="1:4">
      <c r="A3793" s="50">
        <v>45084</v>
      </c>
      <c r="B3793" s="49" t="s">
        <v>53</v>
      </c>
      <c r="C3793" s="51">
        <v>53718.3</v>
      </c>
      <c r="D3793" s="51">
        <v>0</v>
      </c>
    </row>
    <row r="3794" spans="1:4">
      <c r="A3794" s="50">
        <v>45085</v>
      </c>
      <c r="B3794" s="49" t="s">
        <v>30</v>
      </c>
      <c r="C3794" s="51">
        <v>53681.4</v>
      </c>
      <c r="D3794" s="51">
        <v>0</v>
      </c>
    </row>
    <row r="3795" spans="1:4">
      <c r="A3795" s="50">
        <v>45085</v>
      </c>
      <c r="B3795" s="49" t="s">
        <v>31</v>
      </c>
      <c r="C3795" s="51">
        <v>53662.9</v>
      </c>
      <c r="D3795" s="51">
        <v>0</v>
      </c>
    </row>
    <row r="3796" spans="1:4">
      <c r="A3796" s="50">
        <v>45085</v>
      </c>
      <c r="B3796" s="49" t="s">
        <v>32</v>
      </c>
      <c r="C3796" s="51">
        <v>54867.6</v>
      </c>
      <c r="D3796" s="51">
        <v>0</v>
      </c>
    </row>
    <row r="3797" spans="1:4">
      <c r="A3797" s="50">
        <v>45085</v>
      </c>
      <c r="B3797" s="49" t="s">
        <v>33</v>
      </c>
      <c r="C3797" s="51">
        <v>54740.7</v>
      </c>
      <c r="D3797" s="51">
        <v>0</v>
      </c>
    </row>
    <row r="3798" spans="1:4">
      <c r="A3798" s="50">
        <v>45085</v>
      </c>
      <c r="B3798" s="49" t="s">
        <v>34</v>
      </c>
      <c r="C3798" s="51">
        <v>54526.9</v>
      </c>
      <c r="D3798" s="51">
        <v>0</v>
      </c>
    </row>
    <row r="3799" spans="1:4">
      <c r="A3799" s="50">
        <v>45085</v>
      </c>
      <c r="B3799" s="49" t="s">
        <v>35</v>
      </c>
      <c r="C3799" s="51">
        <v>54203.8</v>
      </c>
      <c r="D3799" s="51">
        <v>0</v>
      </c>
    </row>
    <row r="3800" spans="1:4">
      <c r="A3800" s="50">
        <v>45085</v>
      </c>
      <c r="B3800" s="49" t="s">
        <v>36</v>
      </c>
      <c r="C3800" s="51">
        <v>53760.3</v>
      </c>
      <c r="D3800" s="51">
        <v>0</v>
      </c>
    </row>
    <row r="3801" spans="1:4">
      <c r="A3801" s="50">
        <v>45085</v>
      </c>
      <c r="B3801" s="49" t="s">
        <v>37</v>
      </c>
      <c r="C3801" s="51">
        <v>54482.8</v>
      </c>
      <c r="D3801" s="51">
        <v>0</v>
      </c>
    </row>
    <row r="3802" spans="1:4">
      <c r="A3802" s="50">
        <v>45085</v>
      </c>
      <c r="B3802" s="49" t="s">
        <v>38</v>
      </c>
      <c r="C3802" s="51">
        <v>53717.599999999999</v>
      </c>
      <c r="D3802" s="51">
        <v>0</v>
      </c>
    </row>
    <row r="3803" spans="1:4">
      <c r="A3803" s="50">
        <v>45085</v>
      </c>
      <c r="B3803" s="49" t="s">
        <v>39</v>
      </c>
      <c r="C3803" s="51">
        <v>54295.199999999997</v>
      </c>
      <c r="D3803" s="51">
        <v>0</v>
      </c>
    </row>
    <row r="3804" spans="1:4">
      <c r="A3804" s="50">
        <v>45085</v>
      </c>
      <c r="B3804" s="49" t="s">
        <v>40</v>
      </c>
      <c r="C3804" s="51">
        <v>53570.8</v>
      </c>
      <c r="D3804" s="51">
        <v>0</v>
      </c>
    </row>
    <row r="3805" spans="1:4">
      <c r="A3805" s="50">
        <v>45085</v>
      </c>
      <c r="B3805" s="49" t="s">
        <v>41</v>
      </c>
      <c r="C3805" s="51">
        <v>54013.3</v>
      </c>
      <c r="D3805" s="51">
        <v>0</v>
      </c>
    </row>
    <row r="3806" spans="1:4">
      <c r="A3806" s="50">
        <v>45085</v>
      </c>
      <c r="B3806" s="49" t="s">
        <v>42</v>
      </c>
      <c r="C3806" s="51">
        <v>54203</v>
      </c>
      <c r="D3806" s="51">
        <v>0</v>
      </c>
    </row>
    <row r="3807" spans="1:4">
      <c r="A3807" s="50">
        <v>45085</v>
      </c>
      <c r="B3807" s="49" t="s">
        <v>43</v>
      </c>
      <c r="C3807" s="51">
        <v>54197</v>
      </c>
      <c r="D3807" s="51">
        <v>0</v>
      </c>
    </row>
    <row r="3808" spans="1:4">
      <c r="A3808" s="50">
        <v>45085</v>
      </c>
      <c r="B3808" s="49" t="s">
        <v>44</v>
      </c>
      <c r="C3808" s="51">
        <v>54257</v>
      </c>
      <c r="D3808" s="51">
        <v>0</v>
      </c>
    </row>
    <row r="3809" spans="1:4">
      <c r="A3809" s="50">
        <v>45085</v>
      </c>
      <c r="B3809" s="49" t="s">
        <v>45</v>
      </c>
      <c r="C3809" s="51">
        <v>54044.1</v>
      </c>
      <c r="D3809" s="51">
        <v>0</v>
      </c>
    </row>
    <row r="3810" spans="1:4">
      <c r="A3810" s="50">
        <v>45085</v>
      </c>
      <c r="B3810" s="49" t="s">
        <v>46</v>
      </c>
      <c r="C3810" s="51">
        <v>54036.4</v>
      </c>
      <c r="D3810" s="51">
        <v>0</v>
      </c>
    </row>
    <row r="3811" spans="1:4">
      <c r="A3811" s="50">
        <v>45085</v>
      </c>
      <c r="B3811" s="49" t="s">
        <v>47</v>
      </c>
      <c r="C3811" s="51">
        <v>53068.6</v>
      </c>
      <c r="D3811" s="51">
        <v>0</v>
      </c>
    </row>
    <row r="3812" spans="1:4">
      <c r="A3812" s="50">
        <v>45085</v>
      </c>
      <c r="B3812" s="49" t="s">
        <v>48</v>
      </c>
      <c r="C3812" s="51">
        <v>54647.3</v>
      </c>
      <c r="D3812" s="51">
        <v>0</v>
      </c>
    </row>
    <row r="3813" spans="1:4">
      <c r="A3813" s="50">
        <v>45085</v>
      </c>
      <c r="B3813" s="49" t="s">
        <v>49</v>
      </c>
      <c r="C3813" s="51">
        <v>53833</v>
      </c>
      <c r="D3813" s="51">
        <v>0</v>
      </c>
    </row>
    <row r="3814" spans="1:4">
      <c r="A3814" s="50">
        <v>45085</v>
      </c>
      <c r="B3814" s="49" t="s">
        <v>50</v>
      </c>
      <c r="C3814" s="51">
        <v>54779.3</v>
      </c>
      <c r="D3814" s="51">
        <v>0</v>
      </c>
    </row>
    <row r="3815" spans="1:4">
      <c r="A3815" s="50">
        <v>45085</v>
      </c>
      <c r="B3815" s="49" t="s">
        <v>51</v>
      </c>
      <c r="C3815" s="51">
        <v>54701</v>
      </c>
      <c r="D3815" s="51">
        <v>0</v>
      </c>
    </row>
    <row r="3816" spans="1:4">
      <c r="A3816" s="50">
        <v>45085</v>
      </c>
      <c r="B3816" s="49" t="s">
        <v>52</v>
      </c>
      <c r="C3816" s="51">
        <v>55010.1</v>
      </c>
      <c r="D3816" s="51">
        <v>0</v>
      </c>
    </row>
    <row r="3817" spans="1:4">
      <c r="A3817" s="50">
        <v>45085</v>
      </c>
      <c r="B3817" s="49" t="s">
        <v>53</v>
      </c>
      <c r="C3817" s="51">
        <v>54574</v>
      </c>
      <c r="D3817" s="51">
        <v>0</v>
      </c>
    </row>
    <row r="3818" spans="1:4">
      <c r="A3818" s="50">
        <v>45086</v>
      </c>
      <c r="B3818" s="49" t="s">
        <v>30</v>
      </c>
      <c r="C3818" s="51">
        <v>54383.6</v>
      </c>
      <c r="D3818" s="51">
        <v>0</v>
      </c>
    </row>
    <row r="3819" spans="1:4">
      <c r="A3819" s="50">
        <v>45086</v>
      </c>
      <c r="B3819" s="49" t="s">
        <v>31</v>
      </c>
      <c r="C3819" s="51">
        <v>54548.2</v>
      </c>
      <c r="D3819" s="51">
        <v>0</v>
      </c>
    </row>
    <row r="3820" spans="1:4">
      <c r="A3820" s="50">
        <v>45086</v>
      </c>
      <c r="B3820" s="49" t="s">
        <v>32</v>
      </c>
      <c r="C3820" s="51">
        <v>54045.2</v>
      </c>
      <c r="D3820" s="51">
        <v>0</v>
      </c>
    </row>
    <row r="3821" spans="1:4">
      <c r="A3821" s="50">
        <v>45086</v>
      </c>
      <c r="B3821" s="49" t="s">
        <v>33</v>
      </c>
      <c r="C3821" s="51">
        <v>54183.1</v>
      </c>
      <c r="D3821" s="51">
        <v>0</v>
      </c>
    </row>
    <row r="3822" spans="1:4">
      <c r="A3822" s="50">
        <v>45086</v>
      </c>
      <c r="B3822" s="49" t="s">
        <v>34</v>
      </c>
      <c r="C3822" s="51">
        <v>54193.599999999999</v>
      </c>
      <c r="D3822" s="51">
        <v>0</v>
      </c>
    </row>
    <row r="3823" spans="1:4">
      <c r="A3823" s="50">
        <v>45086</v>
      </c>
      <c r="B3823" s="49" t="s">
        <v>35</v>
      </c>
      <c r="C3823" s="51">
        <v>53930.5</v>
      </c>
      <c r="D3823" s="51">
        <v>0</v>
      </c>
    </row>
    <row r="3824" spans="1:4">
      <c r="A3824" s="50">
        <v>45086</v>
      </c>
      <c r="B3824" s="49" t="s">
        <v>36</v>
      </c>
      <c r="C3824" s="51">
        <v>53745.2</v>
      </c>
      <c r="D3824" s="51">
        <v>0</v>
      </c>
    </row>
    <row r="3825" spans="1:4">
      <c r="A3825" s="50">
        <v>45086</v>
      </c>
      <c r="B3825" s="49" t="s">
        <v>37</v>
      </c>
      <c r="C3825" s="51">
        <v>53682.7</v>
      </c>
      <c r="D3825" s="51">
        <v>0</v>
      </c>
    </row>
    <row r="3826" spans="1:4">
      <c r="A3826" s="50">
        <v>45086</v>
      </c>
      <c r="B3826" s="49" t="s">
        <v>38</v>
      </c>
      <c r="C3826" s="51">
        <v>53905.8</v>
      </c>
      <c r="D3826" s="51">
        <v>0</v>
      </c>
    </row>
    <row r="3827" spans="1:4">
      <c r="A3827" s="50">
        <v>45086</v>
      </c>
      <c r="B3827" s="49" t="s">
        <v>39</v>
      </c>
      <c r="C3827" s="51">
        <v>53043.8</v>
      </c>
      <c r="D3827" s="51">
        <v>0</v>
      </c>
    </row>
    <row r="3828" spans="1:4">
      <c r="A3828" s="50">
        <v>45086</v>
      </c>
      <c r="B3828" s="49" t="s">
        <v>40</v>
      </c>
      <c r="C3828" s="51">
        <v>53008.1</v>
      </c>
      <c r="D3828" s="51">
        <v>0</v>
      </c>
    </row>
    <row r="3829" spans="1:4">
      <c r="A3829" s="50">
        <v>45086</v>
      </c>
      <c r="B3829" s="49" t="s">
        <v>41</v>
      </c>
      <c r="C3829" s="51">
        <v>53069.5</v>
      </c>
      <c r="D3829" s="51">
        <v>0</v>
      </c>
    </row>
    <row r="3830" spans="1:4">
      <c r="A3830" s="50">
        <v>45086</v>
      </c>
      <c r="B3830" s="49" t="s">
        <v>42</v>
      </c>
      <c r="C3830" s="51">
        <v>52998.1</v>
      </c>
      <c r="D3830" s="51">
        <v>0</v>
      </c>
    </row>
    <row r="3831" spans="1:4">
      <c r="A3831" s="50">
        <v>45086</v>
      </c>
      <c r="B3831" s="49" t="s">
        <v>43</v>
      </c>
      <c r="C3831" s="51">
        <v>53078.2</v>
      </c>
      <c r="D3831" s="51">
        <v>0</v>
      </c>
    </row>
    <row r="3832" spans="1:4">
      <c r="A3832" s="50">
        <v>45086</v>
      </c>
      <c r="B3832" s="49" t="s">
        <v>44</v>
      </c>
      <c r="C3832" s="51">
        <v>53110.1</v>
      </c>
      <c r="D3832" s="51">
        <v>0</v>
      </c>
    </row>
    <row r="3833" spans="1:4">
      <c r="A3833" s="50">
        <v>45086</v>
      </c>
      <c r="B3833" s="49" t="s">
        <v>45</v>
      </c>
      <c r="C3833" s="51">
        <v>53037.1</v>
      </c>
      <c r="D3833" s="51">
        <v>0</v>
      </c>
    </row>
    <row r="3834" spans="1:4">
      <c r="A3834" s="50">
        <v>45086</v>
      </c>
      <c r="B3834" s="49" t="s">
        <v>46</v>
      </c>
      <c r="C3834" s="51">
        <v>53923.9</v>
      </c>
      <c r="D3834" s="51">
        <v>0</v>
      </c>
    </row>
    <row r="3835" spans="1:4">
      <c r="A3835" s="50">
        <v>45086</v>
      </c>
      <c r="B3835" s="49" t="s">
        <v>47</v>
      </c>
      <c r="C3835" s="51">
        <v>55198.5</v>
      </c>
      <c r="D3835" s="51">
        <v>0</v>
      </c>
    </row>
    <row r="3836" spans="1:4">
      <c r="A3836" s="50">
        <v>45086</v>
      </c>
      <c r="B3836" s="49" t="s">
        <v>48</v>
      </c>
      <c r="C3836" s="51">
        <v>66571.8</v>
      </c>
      <c r="D3836" s="51">
        <v>0</v>
      </c>
    </row>
    <row r="3837" spans="1:4">
      <c r="A3837" s="50">
        <v>45086</v>
      </c>
      <c r="B3837" s="49" t="s">
        <v>49</v>
      </c>
      <c r="C3837" s="51">
        <v>72269.5</v>
      </c>
      <c r="D3837" s="51">
        <v>0</v>
      </c>
    </row>
    <row r="3838" spans="1:4">
      <c r="A3838" s="50">
        <v>45086</v>
      </c>
      <c r="B3838" s="49" t="s">
        <v>50</v>
      </c>
      <c r="C3838" s="51">
        <v>71538</v>
      </c>
      <c r="D3838" s="51">
        <v>0</v>
      </c>
    </row>
    <row r="3839" spans="1:4">
      <c r="A3839" s="50">
        <v>45086</v>
      </c>
      <c r="B3839" s="49" t="s">
        <v>51</v>
      </c>
      <c r="C3839" s="51">
        <v>54849.2</v>
      </c>
      <c r="D3839" s="51">
        <v>0</v>
      </c>
    </row>
    <row r="3840" spans="1:4">
      <c r="A3840" s="50">
        <v>45086</v>
      </c>
      <c r="B3840" s="49" t="s">
        <v>52</v>
      </c>
      <c r="C3840" s="51">
        <v>53898.7</v>
      </c>
      <c r="D3840" s="51">
        <v>0</v>
      </c>
    </row>
    <row r="3841" spans="1:4">
      <c r="A3841" s="50">
        <v>45086</v>
      </c>
      <c r="B3841" s="49" t="s">
        <v>53</v>
      </c>
      <c r="C3841" s="51">
        <v>54632.2</v>
      </c>
      <c r="D3841" s="51">
        <v>0</v>
      </c>
    </row>
    <row r="3842" spans="1:4">
      <c r="A3842" s="50">
        <v>45087</v>
      </c>
      <c r="B3842" s="49" t="s">
        <v>30</v>
      </c>
      <c r="C3842" s="51">
        <v>54631.4</v>
      </c>
      <c r="D3842" s="51">
        <v>0</v>
      </c>
    </row>
    <row r="3843" spans="1:4">
      <c r="A3843" s="50">
        <v>45087</v>
      </c>
      <c r="B3843" s="49" t="s">
        <v>31</v>
      </c>
      <c r="C3843" s="51">
        <v>54406.9</v>
      </c>
      <c r="D3843" s="51">
        <v>0</v>
      </c>
    </row>
    <row r="3844" spans="1:4">
      <c r="A3844" s="50">
        <v>45087</v>
      </c>
      <c r="B3844" s="49" t="s">
        <v>32</v>
      </c>
      <c r="C3844" s="51">
        <v>54396.6</v>
      </c>
      <c r="D3844" s="51">
        <v>0</v>
      </c>
    </row>
    <row r="3845" spans="1:4">
      <c r="A3845" s="50">
        <v>45087</v>
      </c>
      <c r="B3845" s="49" t="s">
        <v>33</v>
      </c>
      <c r="C3845" s="51">
        <v>54421.4</v>
      </c>
      <c r="D3845" s="51">
        <v>0</v>
      </c>
    </row>
    <row r="3846" spans="1:4">
      <c r="A3846" s="50">
        <v>45087</v>
      </c>
      <c r="B3846" s="49" t="s">
        <v>34</v>
      </c>
      <c r="C3846" s="51">
        <v>54372.9</v>
      </c>
      <c r="D3846" s="51">
        <v>0</v>
      </c>
    </row>
    <row r="3847" spans="1:4">
      <c r="A3847" s="50">
        <v>45087</v>
      </c>
      <c r="B3847" s="49" t="s">
        <v>35</v>
      </c>
      <c r="C3847" s="51">
        <v>54386.5</v>
      </c>
      <c r="D3847" s="51">
        <v>0</v>
      </c>
    </row>
    <row r="3848" spans="1:4">
      <c r="A3848" s="50">
        <v>45087</v>
      </c>
      <c r="B3848" s="49" t="s">
        <v>36</v>
      </c>
      <c r="C3848" s="51">
        <v>54373.599999999999</v>
      </c>
      <c r="D3848" s="51">
        <v>0</v>
      </c>
    </row>
    <row r="3849" spans="1:4">
      <c r="A3849" s="50">
        <v>45087</v>
      </c>
      <c r="B3849" s="49" t="s">
        <v>37</v>
      </c>
      <c r="C3849" s="51">
        <v>54304.3</v>
      </c>
      <c r="D3849" s="51">
        <v>0</v>
      </c>
    </row>
    <row r="3850" spans="1:4">
      <c r="A3850" s="50">
        <v>45087</v>
      </c>
      <c r="B3850" s="49" t="s">
        <v>38</v>
      </c>
      <c r="C3850" s="51">
        <v>54205</v>
      </c>
      <c r="D3850" s="51">
        <v>0</v>
      </c>
    </row>
    <row r="3851" spans="1:4">
      <c r="A3851" s="50">
        <v>45087</v>
      </c>
      <c r="B3851" s="49" t="s">
        <v>39</v>
      </c>
      <c r="C3851" s="51">
        <v>54908</v>
      </c>
      <c r="D3851" s="51">
        <v>0</v>
      </c>
    </row>
    <row r="3852" spans="1:4">
      <c r="A3852" s="50">
        <v>45087</v>
      </c>
      <c r="B3852" s="49" t="s">
        <v>40</v>
      </c>
      <c r="C3852" s="51">
        <v>53125.5</v>
      </c>
      <c r="D3852" s="51">
        <v>0</v>
      </c>
    </row>
    <row r="3853" spans="1:4">
      <c r="A3853" s="50">
        <v>45087</v>
      </c>
      <c r="B3853" s="49" t="s">
        <v>41</v>
      </c>
      <c r="C3853" s="51">
        <v>54546.6</v>
      </c>
      <c r="D3853" s="51">
        <v>0</v>
      </c>
    </row>
    <row r="3854" spans="1:4">
      <c r="A3854" s="50">
        <v>45087</v>
      </c>
      <c r="B3854" s="49" t="s">
        <v>42</v>
      </c>
      <c r="C3854" s="51">
        <v>53244.5</v>
      </c>
      <c r="D3854" s="51">
        <v>0</v>
      </c>
    </row>
    <row r="3855" spans="1:4">
      <c r="A3855" s="50">
        <v>45087</v>
      </c>
      <c r="B3855" s="49" t="s">
        <v>43</v>
      </c>
      <c r="C3855" s="51">
        <v>53591</v>
      </c>
      <c r="D3855" s="51">
        <v>0</v>
      </c>
    </row>
    <row r="3856" spans="1:4">
      <c r="A3856" s="50">
        <v>45087</v>
      </c>
      <c r="B3856" s="49" t="s">
        <v>44</v>
      </c>
      <c r="C3856" s="51">
        <v>53722.3</v>
      </c>
      <c r="D3856" s="51">
        <v>0</v>
      </c>
    </row>
    <row r="3857" spans="1:4">
      <c r="A3857" s="50">
        <v>45087</v>
      </c>
      <c r="B3857" s="49" t="s">
        <v>45</v>
      </c>
      <c r="C3857" s="51">
        <v>53448.800000000003</v>
      </c>
      <c r="D3857" s="51">
        <v>0</v>
      </c>
    </row>
    <row r="3858" spans="1:4">
      <c r="A3858" s="50">
        <v>45087</v>
      </c>
      <c r="B3858" s="49" t="s">
        <v>46</v>
      </c>
      <c r="C3858" s="51">
        <v>53558.9</v>
      </c>
      <c r="D3858" s="51">
        <v>0</v>
      </c>
    </row>
    <row r="3859" spans="1:4">
      <c r="A3859" s="50">
        <v>45087</v>
      </c>
      <c r="B3859" s="49" t="s">
        <v>47</v>
      </c>
      <c r="C3859" s="51">
        <v>53531.199999999997</v>
      </c>
      <c r="D3859" s="51">
        <v>0</v>
      </c>
    </row>
    <row r="3860" spans="1:4">
      <c r="A3860" s="50">
        <v>45087</v>
      </c>
      <c r="B3860" s="49" t="s">
        <v>48</v>
      </c>
      <c r="C3860" s="51">
        <v>60063.6</v>
      </c>
      <c r="D3860" s="51">
        <v>0</v>
      </c>
    </row>
    <row r="3861" spans="1:4">
      <c r="A3861" s="50">
        <v>45087</v>
      </c>
      <c r="B3861" s="49" t="s">
        <v>49</v>
      </c>
      <c r="C3861" s="51">
        <v>53596.3</v>
      </c>
      <c r="D3861" s="51">
        <v>0</v>
      </c>
    </row>
    <row r="3862" spans="1:4">
      <c r="A3862" s="50">
        <v>45087</v>
      </c>
      <c r="B3862" s="49" t="s">
        <v>50</v>
      </c>
      <c r="C3862" s="51">
        <v>54144.4</v>
      </c>
      <c r="D3862" s="51">
        <v>0</v>
      </c>
    </row>
    <row r="3863" spans="1:4">
      <c r="A3863" s="50">
        <v>45087</v>
      </c>
      <c r="B3863" s="49" t="s">
        <v>51</v>
      </c>
      <c r="C3863" s="51">
        <v>54467.4</v>
      </c>
      <c r="D3863" s="51">
        <v>0</v>
      </c>
    </row>
    <row r="3864" spans="1:4">
      <c r="A3864" s="50">
        <v>45087</v>
      </c>
      <c r="B3864" s="49" t="s">
        <v>52</v>
      </c>
      <c r="C3864" s="51">
        <v>55069.1</v>
      </c>
      <c r="D3864" s="51">
        <v>0</v>
      </c>
    </row>
    <row r="3865" spans="1:4">
      <c r="A3865" s="50">
        <v>45087</v>
      </c>
      <c r="B3865" s="49" t="s">
        <v>53</v>
      </c>
      <c r="C3865" s="51">
        <v>54577.2</v>
      </c>
      <c r="D3865" s="51">
        <v>0</v>
      </c>
    </row>
    <row r="3866" spans="1:4">
      <c r="A3866" s="50">
        <v>45088</v>
      </c>
      <c r="B3866" s="49" t="s">
        <v>30</v>
      </c>
      <c r="C3866" s="51">
        <v>54658.3</v>
      </c>
      <c r="D3866" s="51">
        <v>0</v>
      </c>
    </row>
    <row r="3867" spans="1:4">
      <c r="A3867" s="50">
        <v>45088</v>
      </c>
      <c r="B3867" s="49" t="s">
        <v>31</v>
      </c>
      <c r="C3867" s="51">
        <v>54775.6</v>
      </c>
      <c r="D3867" s="51">
        <v>0</v>
      </c>
    </row>
    <row r="3868" spans="1:4">
      <c r="A3868" s="50">
        <v>45088</v>
      </c>
      <c r="B3868" s="49" t="s">
        <v>32</v>
      </c>
      <c r="C3868" s="51">
        <v>54556.3</v>
      </c>
      <c r="D3868" s="51">
        <v>0</v>
      </c>
    </row>
    <row r="3869" spans="1:4">
      <c r="A3869" s="50">
        <v>45088</v>
      </c>
      <c r="B3869" s="49" t="s">
        <v>33</v>
      </c>
      <c r="C3869" s="51">
        <v>54553.9</v>
      </c>
      <c r="D3869" s="51">
        <v>0</v>
      </c>
    </row>
    <row r="3870" spans="1:4">
      <c r="A3870" s="50">
        <v>45088</v>
      </c>
      <c r="B3870" s="49" t="s">
        <v>34</v>
      </c>
      <c r="C3870" s="51">
        <v>54632.800000000003</v>
      </c>
      <c r="D3870" s="51">
        <v>0</v>
      </c>
    </row>
    <row r="3871" spans="1:4">
      <c r="A3871" s="50">
        <v>45088</v>
      </c>
      <c r="B3871" s="49" t="s">
        <v>35</v>
      </c>
      <c r="C3871" s="51">
        <v>54458</v>
      </c>
      <c r="D3871" s="51">
        <v>0</v>
      </c>
    </row>
    <row r="3872" spans="1:4">
      <c r="A3872" s="50">
        <v>45088</v>
      </c>
      <c r="B3872" s="49" t="s">
        <v>36</v>
      </c>
      <c r="C3872" s="51">
        <v>53956.9</v>
      </c>
      <c r="D3872" s="51">
        <v>0</v>
      </c>
    </row>
    <row r="3873" spans="1:4">
      <c r="A3873" s="50">
        <v>45088</v>
      </c>
      <c r="B3873" s="49" t="s">
        <v>37</v>
      </c>
      <c r="C3873" s="51">
        <v>53766</v>
      </c>
      <c r="D3873" s="51">
        <v>0</v>
      </c>
    </row>
    <row r="3874" spans="1:4">
      <c r="A3874" s="50">
        <v>45088</v>
      </c>
      <c r="B3874" s="49" t="s">
        <v>38</v>
      </c>
      <c r="C3874" s="51">
        <v>53854.9</v>
      </c>
      <c r="D3874" s="51">
        <v>0</v>
      </c>
    </row>
    <row r="3875" spans="1:4">
      <c r="A3875" s="50">
        <v>45088</v>
      </c>
      <c r="B3875" s="49" t="s">
        <v>39</v>
      </c>
      <c r="C3875" s="51">
        <v>54306.5</v>
      </c>
      <c r="D3875" s="51">
        <v>0</v>
      </c>
    </row>
    <row r="3876" spans="1:4">
      <c r="A3876" s="50">
        <v>45088</v>
      </c>
      <c r="B3876" s="49" t="s">
        <v>40</v>
      </c>
      <c r="C3876" s="51">
        <v>54611.7</v>
      </c>
      <c r="D3876" s="51">
        <v>0</v>
      </c>
    </row>
    <row r="3877" spans="1:4">
      <c r="A3877" s="50">
        <v>45088</v>
      </c>
      <c r="B3877" s="49" t="s">
        <v>41</v>
      </c>
      <c r="C3877" s="51">
        <v>54569.599999999999</v>
      </c>
      <c r="D3877" s="51">
        <v>0</v>
      </c>
    </row>
    <row r="3878" spans="1:4">
      <c r="A3878" s="50">
        <v>45088</v>
      </c>
      <c r="B3878" s="49" t="s">
        <v>42</v>
      </c>
      <c r="C3878" s="51">
        <v>54533.9</v>
      </c>
      <c r="D3878" s="51">
        <v>0</v>
      </c>
    </row>
    <row r="3879" spans="1:4">
      <c r="A3879" s="50">
        <v>45088</v>
      </c>
      <c r="B3879" s="49" t="s">
        <v>43</v>
      </c>
      <c r="C3879" s="51">
        <v>54505.5</v>
      </c>
      <c r="D3879" s="51">
        <v>0</v>
      </c>
    </row>
    <row r="3880" spans="1:4">
      <c r="A3880" s="50">
        <v>45088</v>
      </c>
      <c r="B3880" s="49" t="s">
        <v>44</v>
      </c>
      <c r="C3880" s="51">
        <v>54543.9</v>
      </c>
      <c r="D3880" s="51">
        <v>0</v>
      </c>
    </row>
    <row r="3881" spans="1:4">
      <c r="A3881" s="50">
        <v>45088</v>
      </c>
      <c r="B3881" s="49" t="s">
        <v>45</v>
      </c>
      <c r="C3881" s="51">
        <v>54672</v>
      </c>
      <c r="D3881" s="51">
        <v>0</v>
      </c>
    </row>
    <row r="3882" spans="1:4">
      <c r="A3882" s="50">
        <v>45088</v>
      </c>
      <c r="B3882" s="49" t="s">
        <v>46</v>
      </c>
      <c r="C3882" s="51">
        <v>54499.3</v>
      </c>
      <c r="D3882" s="51">
        <v>0</v>
      </c>
    </row>
    <row r="3883" spans="1:4">
      <c r="A3883" s="50">
        <v>45088</v>
      </c>
      <c r="B3883" s="49" t="s">
        <v>47</v>
      </c>
      <c r="C3883" s="51">
        <v>54526.1</v>
      </c>
      <c r="D3883" s="51">
        <v>0</v>
      </c>
    </row>
    <row r="3884" spans="1:4">
      <c r="A3884" s="50">
        <v>45088</v>
      </c>
      <c r="B3884" s="49" t="s">
        <v>48</v>
      </c>
      <c r="C3884" s="51">
        <v>54854.6</v>
      </c>
      <c r="D3884" s="51">
        <v>0</v>
      </c>
    </row>
    <row r="3885" spans="1:4">
      <c r="A3885" s="50">
        <v>45088</v>
      </c>
      <c r="B3885" s="49" t="s">
        <v>49</v>
      </c>
      <c r="C3885" s="51">
        <v>54345.599999999999</v>
      </c>
      <c r="D3885" s="51">
        <v>0</v>
      </c>
    </row>
    <row r="3886" spans="1:4">
      <c r="A3886" s="50">
        <v>45088</v>
      </c>
      <c r="B3886" s="49" t="s">
        <v>50</v>
      </c>
      <c r="C3886" s="51">
        <v>54212.2</v>
      </c>
      <c r="D3886" s="51">
        <v>0</v>
      </c>
    </row>
    <row r="3887" spans="1:4">
      <c r="A3887" s="50">
        <v>45088</v>
      </c>
      <c r="B3887" s="49" t="s">
        <v>51</v>
      </c>
      <c r="C3887" s="51">
        <v>55091.4</v>
      </c>
      <c r="D3887" s="51">
        <v>0</v>
      </c>
    </row>
    <row r="3888" spans="1:4">
      <c r="A3888" s="50">
        <v>45088</v>
      </c>
      <c r="B3888" s="49" t="s">
        <v>52</v>
      </c>
      <c r="C3888" s="51">
        <v>54915.9</v>
      </c>
      <c r="D3888" s="51">
        <v>0</v>
      </c>
    </row>
    <row r="3889" spans="1:4">
      <c r="A3889" s="50">
        <v>45088</v>
      </c>
      <c r="B3889" s="49" t="s">
        <v>53</v>
      </c>
      <c r="C3889" s="51">
        <v>54830.400000000001</v>
      </c>
      <c r="D3889" s="51">
        <v>0</v>
      </c>
    </row>
    <row r="3890" spans="1:4">
      <c r="A3890" s="50">
        <v>45089</v>
      </c>
      <c r="B3890" s="49" t="s">
        <v>30</v>
      </c>
      <c r="C3890" s="51">
        <v>54966.1</v>
      </c>
      <c r="D3890" s="51">
        <v>0</v>
      </c>
    </row>
    <row r="3891" spans="1:4">
      <c r="A3891" s="50">
        <v>45089</v>
      </c>
      <c r="B3891" s="49" t="s">
        <v>31</v>
      </c>
      <c r="C3891" s="51">
        <v>54962.8</v>
      </c>
      <c r="D3891" s="51">
        <v>0</v>
      </c>
    </row>
    <row r="3892" spans="1:4">
      <c r="A3892" s="50">
        <v>45089</v>
      </c>
      <c r="B3892" s="49" t="s">
        <v>32</v>
      </c>
      <c r="C3892" s="51">
        <v>54809.9</v>
      </c>
      <c r="D3892" s="51">
        <v>0</v>
      </c>
    </row>
    <row r="3893" spans="1:4">
      <c r="A3893" s="50">
        <v>45089</v>
      </c>
      <c r="B3893" s="49" t="s">
        <v>33</v>
      </c>
      <c r="C3893" s="51">
        <v>53715.9</v>
      </c>
      <c r="D3893" s="51">
        <v>0</v>
      </c>
    </row>
    <row r="3894" spans="1:4">
      <c r="A3894" s="50">
        <v>45089</v>
      </c>
      <c r="B3894" s="49" t="s">
        <v>34</v>
      </c>
      <c r="C3894" s="51">
        <v>54506.5</v>
      </c>
      <c r="D3894" s="51">
        <v>0</v>
      </c>
    </row>
    <row r="3895" spans="1:4">
      <c r="A3895" s="50">
        <v>45089</v>
      </c>
      <c r="B3895" s="49" t="s">
        <v>35</v>
      </c>
      <c r="C3895" s="51">
        <v>54527.5</v>
      </c>
      <c r="D3895" s="51">
        <v>0</v>
      </c>
    </row>
    <row r="3896" spans="1:4">
      <c r="A3896" s="50">
        <v>45089</v>
      </c>
      <c r="B3896" s="49" t="s">
        <v>36</v>
      </c>
      <c r="C3896" s="51">
        <v>52978.2</v>
      </c>
      <c r="D3896" s="51">
        <v>0</v>
      </c>
    </row>
    <row r="3897" spans="1:4">
      <c r="A3897" s="50">
        <v>45089</v>
      </c>
      <c r="B3897" s="49" t="s">
        <v>37</v>
      </c>
      <c r="C3897" s="51">
        <v>53936.4</v>
      </c>
      <c r="D3897" s="51">
        <v>0</v>
      </c>
    </row>
    <row r="3898" spans="1:4">
      <c r="A3898" s="50">
        <v>45089</v>
      </c>
      <c r="B3898" s="49" t="s">
        <v>38</v>
      </c>
      <c r="C3898" s="51">
        <v>54114.1</v>
      </c>
      <c r="D3898" s="51">
        <v>0</v>
      </c>
    </row>
    <row r="3899" spans="1:4">
      <c r="A3899" s="50">
        <v>45089</v>
      </c>
      <c r="B3899" s="49" t="s">
        <v>39</v>
      </c>
      <c r="C3899" s="51">
        <v>54633</v>
      </c>
      <c r="D3899" s="51">
        <v>0</v>
      </c>
    </row>
    <row r="3900" spans="1:4">
      <c r="A3900" s="50">
        <v>45089</v>
      </c>
      <c r="B3900" s="49" t="s">
        <v>40</v>
      </c>
      <c r="C3900" s="51">
        <v>54888.1</v>
      </c>
      <c r="D3900" s="51">
        <v>0</v>
      </c>
    </row>
    <row r="3901" spans="1:4">
      <c r="A3901" s="50">
        <v>45089</v>
      </c>
      <c r="B3901" s="49" t="s">
        <v>41</v>
      </c>
      <c r="C3901" s="51">
        <v>54712.7</v>
      </c>
      <c r="D3901" s="51">
        <v>0</v>
      </c>
    </row>
    <row r="3902" spans="1:4">
      <c r="A3902" s="50">
        <v>45089</v>
      </c>
      <c r="B3902" s="49" t="s">
        <v>42</v>
      </c>
      <c r="C3902" s="51">
        <v>54817.7</v>
      </c>
      <c r="D3902" s="51">
        <v>0</v>
      </c>
    </row>
    <row r="3903" spans="1:4">
      <c r="A3903" s="50">
        <v>45089</v>
      </c>
      <c r="B3903" s="49" t="s">
        <v>43</v>
      </c>
      <c r="C3903" s="51">
        <v>54701.7</v>
      </c>
      <c r="D3903" s="51">
        <v>0</v>
      </c>
    </row>
    <row r="3904" spans="1:4">
      <c r="A3904" s="50">
        <v>45089</v>
      </c>
      <c r="B3904" s="49" t="s">
        <v>44</v>
      </c>
      <c r="C3904" s="51">
        <v>54800.2</v>
      </c>
      <c r="D3904" s="51">
        <v>0</v>
      </c>
    </row>
    <row r="3905" spans="1:4">
      <c r="A3905" s="50">
        <v>45089</v>
      </c>
      <c r="B3905" s="49" t="s">
        <v>45</v>
      </c>
      <c r="C3905" s="51">
        <v>54654.9</v>
      </c>
      <c r="D3905" s="51">
        <v>0</v>
      </c>
    </row>
    <row r="3906" spans="1:4">
      <c r="A3906" s="50">
        <v>45089</v>
      </c>
      <c r="B3906" s="49" t="s">
        <v>46</v>
      </c>
      <c r="C3906" s="51">
        <v>54493.2</v>
      </c>
      <c r="D3906" s="51">
        <v>0</v>
      </c>
    </row>
    <row r="3907" spans="1:4">
      <c r="A3907" s="50">
        <v>45089</v>
      </c>
      <c r="B3907" s="49" t="s">
        <v>47</v>
      </c>
      <c r="C3907" s="51">
        <v>54658.7</v>
      </c>
      <c r="D3907" s="51">
        <v>0</v>
      </c>
    </row>
    <row r="3908" spans="1:4">
      <c r="A3908" s="50">
        <v>45089</v>
      </c>
      <c r="B3908" s="49" t="s">
        <v>48</v>
      </c>
      <c r="C3908" s="51">
        <v>54649.7</v>
      </c>
      <c r="D3908" s="51">
        <v>0</v>
      </c>
    </row>
    <row r="3909" spans="1:4">
      <c r="A3909" s="50">
        <v>45089</v>
      </c>
      <c r="B3909" s="49" t="s">
        <v>49</v>
      </c>
      <c r="C3909" s="51">
        <v>67379.399999999994</v>
      </c>
      <c r="D3909" s="51">
        <v>0</v>
      </c>
    </row>
    <row r="3910" spans="1:4">
      <c r="A3910" s="50">
        <v>45089</v>
      </c>
      <c r="B3910" s="49" t="s">
        <v>50</v>
      </c>
      <c r="C3910" s="51">
        <v>68499</v>
      </c>
      <c r="D3910" s="51">
        <v>0</v>
      </c>
    </row>
    <row r="3911" spans="1:4">
      <c r="A3911" s="50">
        <v>45089</v>
      </c>
      <c r="B3911" s="49" t="s">
        <v>51</v>
      </c>
      <c r="C3911" s="51">
        <v>68029</v>
      </c>
      <c r="D3911" s="51">
        <v>0</v>
      </c>
    </row>
    <row r="3912" spans="1:4">
      <c r="A3912" s="50">
        <v>45089</v>
      </c>
      <c r="B3912" s="49" t="s">
        <v>52</v>
      </c>
      <c r="C3912" s="51">
        <v>67383.100000000006</v>
      </c>
      <c r="D3912" s="51">
        <v>0</v>
      </c>
    </row>
    <row r="3913" spans="1:4">
      <c r="A3913" s="50">
        <v>45089</v>
      </c>
      <c r="B3913" s="49" t="s">
        <v>53</v>
      </c>
      <c r="C3913" s="51">
        <v>67914.2</v>
      </c>
      <c r="D3913" s="51">
        <v>0</v>
      </c>
    </row>
    <row r="3914" spans="1:4">
      <c r="A3914" s="50">
        <v>45090</v>
      </c>
      <c r="B3914" s="49" t="s">
        <v>30</v>
      </c>
      <c r="C3914" s="51">
        <v>60401.599999999999</v>
      </c>
      <c r="D3914" s="51">
        <v>0</v>
      </c>
    </row>
    <row r="3915" spans="1:4">
      <c r="A3915" s="50">
        <v>45090</v>
      </c>
      <c r="B3915" s="49" t="s">
        <v>31</v>
      </c>
      <c r="C3915" s="51">
        <v>53004.9</v>
      </c>
      <c r="D3915" s="51">
        <v>0</v>
      </c>
    </row>
    <row r="3916" spans="1:4">
      <c r="A3916" s="50">
        <v>45090</v>
      </c>
      <c r="B3916" s="49" t="s">
        <v>32</v>
      </c>
      <c r="C3916" s="51">
        <v>53048.2</v>
      </c>
      <c r="D3916" s="51">
        <v>0</v>
      </c>
    </row>
    <row r="3917" spans="1:4">
      <c r="A3917" s="50">
        <v>45090</v>
      </c>
      <c r="B3917" s="49" t="s">
        <v>33</v>
      </c>
      <c r="C3917" s="51">
        <v>53150.5</v>
      </c>
      <c r="D3917" s="51">
        <v>0</v>
      </c>
    </row>
    <row r="3918" spans="1:4">
      <c r="A3918" s="50">
        <v>45090</v>
      </c>
      <c r="B3918" s="49" t="s">
        <v>34</v>
      </c>
      <c r="C3918" s="51">
        <v>53095.199999999997</v>
      </c>
      <c r="D3918" s="51">
        <v>0</v>
      </c>
    </row>
    <row r="3919" spans="1:4">
      <c r="A3919" s="50">
        <v>45090</v>
      </c>
      <c r="B3919" s="49" t="s">
        <v>35</v>
      </c>
      <c r="C3919" s="51">
        <v>52961.8</v>
      </c>
      <c r="D3919" s="51">
        <v>0</v>
      </c>
    </row>
    <row r="3920" spans="1:4">
      <c r="A3920" s="50">
        <v>45090</v>
      </c>
      <c r="B3920" s="49" t="s">
        <v>36</v>
      </c>
      <c r="C3920" s="51">
        <v>52698.8</v>
      </c>
      <c r="D3920" s="51">
        <v>0</v>
      </c>
    </row>
    <row r="3921" spans="1:4">
      <c r="A3921" s="50">
        <v>45090</v>
      </c>
      <c r="B3921" s="49" t="s">
        <v>37</v>
      </c>
      <c r="C3921" s="51">
        <v>53910.7</v>
      </c>
      <c r="D3921" s="51">
        <v>0</v>
      </c>
    </row>
    <row r="3922" spans="1:4">
      <c r="A3922" s="50">
        <v>45090</v>
      </c>
      <c r="B3922" s="49" t="s">
        <v>38</v>
      </c>
      <c r="C3922" s="51">
        <v>54300.3</v>
      </c>
      <c r="D3922" s="51">
        <v>0</v>
      </c>
    </row>
    <row r="3923" spans="1:4">
      <c r="A3923" s="50">
        <v>45090</v>
      </c>
      <c r="B3923" s="49" t="s">
        <v>39</v>
      </c>
      <c r="C3923" s="51">
        <v>54685.3</v>
      </c>
      <c r="D3923" s="51">
        <v>0</v>
      </c>
    </row>
    <row r="3924" spans="1:4">
      <c r="A3924" s="50">
        <v>45090</v>
      </c>
      <c r="B3924" s="49" t="s">
        <v>40</v>
      </c>
      <c r="C3924" s="51">
        <v>54912.800000000003</v>
      </c>
      <c r="D3924" s="51">
        <v>0</v>
      </c>
    </row>
    <row r="3925" spans="1:4">
      <c r="A3925" s="50">
        <v>45090</v>
      </c>
      <c r="B3925" s="49" t="s">
        <v>41</v>
      </c>
      <c r="C3925" s="51">
        <v>54432.800000000003</v>
      </c>
      <c r="D3925" s="51">
        <v>0</v>
      </c>
    </row>
    <row r="3926" spans="1:4">
      <c r="A3926" s="50">
        <v>45090</v>
      </c>
      <c r="B3926" s="49" t="s">
        <v>42</v>
      </c>
      <c r="C3926" s="51">
        <v>54933.1</v>
      </c>
      <c r="D3926" s="51">
        <v>0</v>
      </c>
    </row>
    <row r="3927" spans="1:4">
      <c r="A3927" s="50">
        <v>45090</v>
      </c>
      <c r="B3927" s="49" t="s">
        <v>43</v>
      </c>
      <c r="C3927" s="51">
        <v>54008.6</v>
      </c>
      <c r="D3927" s="51">
        <v>0</v>
      </c>
    </row>
    <row r="3928" spans="1:4">
      <c r="A3928" s="50">
        <v>45090</v>
      </c>
      <c r="B3928" s="49" t="s">
        <v>44</v>
      </c>
      <c r="C3928" s="51">
        <v>54426.1</v>
      </c>
      <c r="D3928" s="51">
        <v>0</v>
      </c>
    </row>
    <row r="3929" spans="1:4">
      <c r="A3929" s="50">
        <v>45090</v>
      </c>
      <c r="B3929" s="49" t="s">
        <v>45</v>
      </c>
      <c r="C3929" s="51">
        <v>62708</v>
      </c>
      <c r="D3929" s="51">
        <v>0</v>
      </c>
    </row>
    <row r="3930" spans="1:4">
      <c r="A3930" s="50">
        <v>45090</v>
      </c>
      <c r="B3930" s="49" t="s">
        <v>46</v>
      </c>
      <c r="C3930" s="51">
        <v>68182.8</v>
      </c>
      <c r="D3930" s="51">
        <v>0</v>
      </c>
    </row>
    <row r="3931" spans="1:4">
      <c r="A3931" s="50">
        <v>45090</v>
      </c>
      <c r="B3931" s="49" t="s">
        <v>47</v>
      </c>
      <c r="C3931" s="51">
        <v>68254.5</v>
      </c>
      <c r="D3931" s="51">
        <v>0</v>
      </c>
    </row>
    <row r="3932" spans="1:4">
      <c r="A3932" s="50">
        <v>45090</v>
      </c>
      <c r="B3932" s="49" t="s">
        <v>48</v>
      </c>
      <c r="C3932" s="51">
        <v>68415.7</v>
      </c>
      <c r="D3932" s="51">
        <v>0</v>
      </c>
    </row>
    <row r="3933" spans="1:4">
      <c r="A3933" s="50">
        <v>45090</v>
      </c>
      <c r="B3933" s="49" t="s">
        <v>49</v>
      </c>
      <c r="C3933" s="51">
        <v>68331.600000000006</v>
      </c>
      <c r="D3933" s="51">
        <v>0</v>
      </c>
    </row>
    <row r="3934" spans="1:4">
      <c r="A3934" s="50">
        <v>45090</v>
      </c>
      <c r="B3934" s="49" t="s">
        <v>50</v>
      </c>
      <c r="C3934" s="51">
        <v>68231.899999999994</v>
      </c>
      <c r="D3934" s="51">
        <v>0</v>
      </c>
    </row>
    <row r="3935" spans="1:4">
      <c r="A3935" s="50">
        <v>45090</v>
      </c>
      <c r="B3935" s="49" t="s">
        <v>51</v>
      </c>
      <c r="C3935" s="51">
        <v>67740.7</v>
      </c>
      <c r="D3935" s="51">
        <v>0</v>
      </c>
    </row>
    <row r="3936" spans="1:4">
      <c r="A3936" s="50">
        <v>45090</v>
      </c>
      <c r="B3936" s="49" t="s">
        <v>52</v>
      </c>
      <c r="C3936" s="51">
        <v>68046.8</v>
      </c>
      <c r="D3936" s="51">
        <v>0</v>
      </c>
    </row>
    <row r="3937" spans="1:4">
      <c r="A3937" s="50">
        <v>45090</v>
      </c>
      <c r="B3937" s="49" t="s">
        <v>53</v>
      </c>
      <c r="C3937" s="51">
        <v>66091.100000000006</v>
      </c>
      <c r="D3937" s="51">
        <v>0</v>
      </c>
    </row>
    <row r="3938" spans="1:4">
      <c r="A3938" s="50">
        <v>45091</v>
      </c>
      <c r="B3938" s="49" t="s">
        <v>30</v>
      </c>
      <c r="C3938" s="51">
        <v>54956.6</v>
      </c>
      <c r="D3938" s="51">
        <v>0</v>
      </c>
    </row>
    <row r="3939" spans="1:4">
      <c r="A3939" s="50">
        <v>45091</v>
      </c>
      <c r="B3939" s="49" t="s">
        <v>31</v>
      </c>
      <c r="C3939" s="51">
        <v>54140.9</v>
      </c>
      <c r="D3939" s="51">
        <v>0</v>
      </c>
    </row>
    <row r="3940" spans="1:4">
      <c r="A3940" s="50">
        <v>45091</v>
      </c>
      <c r="B3940" s="49" t="s">
        <v>32</v>
      </c>
      <c r="C3940" s="51">
        <v>54082.9</v>
      </c>
      <c r="D3940" s="51">
        <v>0</v>
      </c>
    </row>
    <row r="3941" spans="1:4">
      <c r="A3941" s="50">
        <v>45091</v>
      </c>
      <c r="B3941" s="49" t="s">
        <v>33</v>
      </c>
      <c r="C3941" s="51">
        <v>54079.9</v>
      </c>
      <c r="D3941" s="51">
        <v>0</v>
      </c>
    </row>
    <row r="3942" spans="1:4">
      <c r="A3942" s="50">
        <v>45091</v>
      </c>
      <c r="B3942" s="49" t="s">
        <v>34</v>
      </c>
      <c r="C3942" s="51">
        <v>54003.1</v>
      </c>
      <c r="D3942" s="51">
        <v>0</v>
      </c>
    </row>
    <row r="3943" spans="1:4">
      <c r="A3943" s="50">
        <v>45091</v>
      </c>
      <c r="B3943" s="49" t="s">
        <v>35</v>
      </c>
      <c r="C3943" s="51">
        <v>54097.7</v>
      </c>
      <c r="D3943" s="51">
        <v>0</v>
      </c>
    </row>
    <row r="3944" spans="1:4">
      <c r="A3944" s="50">
        <v>45091</v>
      </c>
      <c r="B3944" s="49" t="s">
        <v>36</v>
      </c>
      <c r="C3944" s="51">
        <v>53998</v>
      </c>
      <c r="D3944" s="51">
        <v>0</v>
      </c>
    </row>
    <row r="3945" spans="1:4">
      <c r="A3945" s="50">
        <v>45091</v>
      </c>
      <c r="B3945" s="49" t="s">
        <v>37</v>
      </c>
      <c r="C3945" s="51">
        <v>54113.7</v>
      </c>
      <c r="D3945" s="51">
        <v>0</v>
      </c>
    </row>
    <row r="3946" spans="1:4">
      <c r="A3946" s="50">
        <v>45091</v>
      </c>
      <c r="B3946" s="49" t="s">
        <v>38</v>
      </c>
      <c r="C3946" s="51">
        <v>54160.6</v>
      </c>
      <c r="D3946" s="51">
        <v>0</v>
      </c>
    </row>
    <row r="3947" spans="1:4">
      <c r="A3947" s="50">
        <v>45091</v>
      </c>
      <c r="B3947" s="49" t="s">
        <v>39</v>
      </c>
      <c r="C3947" s="51">
        <v>54071.5</v>
      </c>
      <c r="D3947" s="51">
        <v>0</v>
      </c>
    </row>
    <row r="3948" spans="1:4">
      <c r="A3948" s="50">
        <v>45091</v>
      </c>
      <c r="B3948" s="49" t="s">
        <v>40</v>
      </c>
      <c r="C3948" s="51">
        <v>54409.5</v>
      </c>
      <c r="D3948" s="51">
        <v>0</v>
      </c>
    </row>
    <row r="3949" spans="1:4">
      <c r="A3949" s="50">
        <v>45091</v>
      </c>
      <c r="B3949" s="49" t="s">
        <v>41</v>
      </c>
      <c r="C3949" s="51">
        <v>54308</v>
      </c>
      <c r="D3949" s="51">
        <v>0</v>
      </c>
    </row>
    <row r="3950" spans="1:4">
      <c r="A3950" s="50">
        <v>45091</v>
      </c>
      <c r="B3950" s="49" t="s">
        <v>42</v>
      </c>
      <c r="C3950" s="51">
        <v>54238.8</v>
      </c>
      <c r="D3950" s="51">
        <v>0</v>
      </c>
    </row>
    <row r="3951" spans="1:4">
      <c r="A3951" s="50">
        <v>45091</v>
      </c>
      <c r="B3951" s="49" t="s">
        <v>43</v>
      </c>
      <c r="C3951" s="51">
        <v>53771.3</v>
      </c>
      <c r="D3951" s="51">
        <v>0</v>
      </c>
    </row>
    <row r="3952" spans="1:4">
      <c r="A3952" s="50">
        <v>45091</v>
      </c>
      <c r="B3952" s="49" t="s">
        <v>44</v>
      </c>
      <c r="C3952" s="51">
        <v>57369.3</v>
      </c>
      <c r="D3952" s="51">
        <v>0</v>
      </c>
    </row>
    <row r="3953" spans="1:4">
      <c r="A3953" s="50">
        <v>45091</v>
      </c>
      <c r="B3953" s="49" t="s">
        <v>45</v>
      </c>
      <c r="C3953" s="51">
        <v>67807.5</v>
      </c>
      <c r="D3953" s="51">
        <v>0</v>
      </c>
    </row>
    <row r="3954" spans="1:4">
      <c r="A3954" s="50">
        <v>45091</v>
      </c>
      <c r="B3954" s="49" t="s">
        <v>46</v>
      </c>
      <c r="C3954" s="51">
        <v>67997.600000000006</v>
      </c>
      <c r="D3954" s="51">
        <v>0</v>
      </c>
    </row>
    <row r="3955" spans="1:4">
      <c r="A3955" s="50">
        <v>45091</v>
      </c>
      <c r="B3955" s="49" t="s">
        <v>47</v>
      </c>
      <c r="C3955" s="51">
        <v>68619.5</v>
      </c>
      <c r="D3955" s="51">
        <v>0</v>
      </c>
    </row>
    <row r="3956" spans="1:4">
      <c r="A3956" s="50">
        <v>45091</v>
      </c>
      <c r="B3956" s="49" t="s">
        <v>48</v>
      </c>
      <c r="C3956" s="51">
        <v>68678.2</v>
      </c>
      <c r="D3956" s="51">
        <v>0</v>
      </c>
    </row>
    <row r="3957" spans="1:4">
      <c r="A3957" s="50">
        <v>45091</v>
      </c>
      <c r="B3957" s="49" t="s">
        <v>49</v>
      </c>
      <c r="C3957" s="51">
        <v>67803.8</v>
      </c>
      <c r="D3957" s="51">
        <v>0</v>
      </c>
    </row>
    <row r="3958" spans="1:4">
      <c r="A3958" s="50">
        <v>45091</v>
      </c>
      <c r="B3958" s="49" t="s">
        <v>50</v>
      </c>
      <c r="C3958" s="51">
        <v>67670</v>
      </c>
      <c r="D3958" s="51">
        <v>0</v>
      </c>
    </row>
    <row r="3959" spans="1:4">
      <c r="A3959" s="50">
        <v>45091</v>
      </c>
      <c r="B3959" s="49" t="s">
        <v>51</v>
      </c>
      <c r="C3959" s="51">
        <v>67825.600000000006</v>
      </c>
      <c r="D3959" s="51">
        <v>0</v>
      </c>
    </row>
    <row r="3960" spans="1:4">
      <c r="A3960" s="50">
        <v>45091</v>
      </c>
      <c r="B3960" s="49" t="s">
        <v>52</v>
      </c>
      <c r="C3960" s="51">
        <v>68123.899999999994</v>
      </c>
      <c r="D3960" s="51">
        <v>0</v>
      </c>
    </row>
    <row r="3961" spans="1:4">
      <c r="A3961" s="50">
        <v>45091</v>
      </c>
      <c r="B3961" s="49" t="s">
        <v>53</v>
      </c>
      <c r="C3961" s="51">
        <v>68025.600000000006</v>
      </c>
      <c r="D3961" s="51">
        <v>0</v>
      </c>
    </row>
    <row r="3962" spans="1:4">
      <c r="A3962" s="50">
        <v>45092</v>
      </c>
      <c r="B3962" s="49" t="s">
        <v>30</v>
      </c>
      <c r="C3962" s="51">
        <v>54262.9</v>
      </c>
      <c r="D3962" s="51">
        <v>0</v>
      </c>
    </row>
    <row r="3963" spans="1:4">
      <c r="A3963" s="50">
        <v>45092</v>
      </c>
      <c r="B3963" s="49" t="s">
        <v>31</v>
      </c>
      <c r="C3963" s="51">
        <v>53301.1</v>
      </c>
      <c r="D3963" s="51">
        <v>0</v>
      </c>
    </row>
    <row r="3964" spans="1:4">
      <c r="A3964" s="50">
        <v>45092</v>
      </c>
      <c r="B3964" s="49" t="s">
        <v>32</v>
      </c>
      <c r="C3964" s="51">
        <v>53346.400000000001</v>
      </c>
      <c r="D3964" s="51">
        <v>0</v>
      </c>
    </row>
    <row r="3965" spans="1:4">
      <c r="A3965" s="50">
        <v>45092</v>
      </c>
      <c r="B3965" s="49" t="s">
        <v>33</v>
      </c>
      <c r="C3965" s="51">
        <v>53346.6</v>
      </c>
      <c r="D3965" s="51">
        <v>0</v>
      </c>
    </row>
    <row r="3966" spans="1:4">
      <c r="A3966" s="50">
        <v>45092</v>
      </c>
      <c r="B3966" s="49" t="s">
        <v>34</v>
      </c>
      <c r="C3966" s="51">
        <v>53344.6</v>
      </c>
      <c r="D3966" s="51">
        <v>0</v>
      </c>
    </row>
    <row r="3967" spans="1:4">
      <c r="A3967" s="50">
        <v>45092</v>
      </c>
      <c r="B3967" s="49" t="s">
        <v>35</v>
      </c>
      <c r="C3967" s="51">
        <v>54918.6</v>
      </c>
      <c r="D3967" s="51">
        <v>0</v>
      </c>
    </row>
    <row r="3968" spans="1:4">
      <c r="A3968" s="50">
        <v>45092</v>
      </c>
      <c r="B3968" s="49" t="s">
        <v>36</v>
      </c>
      <c r="C3968" s="51">
        <v>53436.4</v>
      </c>
      <c r="D3968" s="51">
        <v>0</v>
      </c>
    </row>
    <row r="3969" spans="1:4">
      <c r="A3969" s="50">
        <v>45092</v>
      </c>
      <c r="B3969" s="49" t="s">
        <v>37</v>
      </c>
      <c r="C3969" s="51">
        <v>53297.599999999999</v>
      </c>
      <c r="D3969" s="51">
        <v>0</v>
      </c>
    </row>
    <row r="3970" spans="1:4">
      <c r="A3970" s="50">
        <v>45092</v>
      </c>
      <c r="B3970" s="49" t="s">
        <v>38</v>
      </c>
      <c r="C3970" s="51">
        <v>55611</v>
      </c>
      <c r="D3970" s="51">
        <v>0</v>
      </c>
    </row>
    <row r="3971" spans="1:4">
      <c r="A3971" s="50">
        <v>45092</v>
      </c>
      <c r="B3971" s="49" t="s">
        <v>39</v>
      </c>
      <c r="C3971" s="51">
        <v>55017.9</v>
      </c>
      <c r="D3971" s="51">
        <v>0</v>
      </c>
    </row>
    <row r="3972" spans="1:4">
      <c r="A3972" s="50">
        <v>45092</v>
      </c>
      <c r="B3972" s="49" t="s">
        <v>40</v>
      </c>
      <c r="C3972" s="51">
        <v>54404.7</v>
      </c>
      <c r="D3972" s="51">
        <v>0</v>
      </c>
    </row>
    <row r="3973" spans="1:4">
      <c r="A3973" s="50">
        <v>45092</v>
      </c>
      <c r="B3973" s="49" t="s">
        <v>41</v>
      </c>
      <c r="C3973" s="51">
        <v>54469</v>
      </c>
      <c r="D3973" s="51">
        <v>0</v>
      </c>
    </row>
    <row r="3974" spans="1:4">
      <c r="A3974" s="50">
        <v>45092</v>
      </c>
      <c r="B3974" s="49" t="s">
        <v>42</v>
      </c>
      <c r="C3974" s="51">
        <v>54645.599999999999</v>
      </c>
      <c r="D3974" s="51">
        <v>0</v>
      </c>
    </row>
    <row r="3975" spans="1:4">
      <c r="A3975" s="50">
        <v>45092</v>
      </c>
      <c r="B3975" s="49" t="s">
        <v>43</v>
      </c>
      <c r="C3975" s="51">
        <v>56136</v>
      </c>
      <c r="D3975" s="51">
        <v>0</v>
      </c>
    </row>
    <row r="3976" spans="1:4">
      <c r="A3976" s="50">
        <v>45092</v>
      </c>
      <c r="B3976" s="49" t="s">
        <v>44</v>
      </c>
      <c r="C3976" s="51">
        <v>68257.8</v>
      </c>
      <c r="D3976" s="51">
        <v>0</v>
      </c>
    </row>
    <row r="3977" spans="1:4">
      <c r="A3977" s="50">
        <v>45092</v>
      </c>
      <c r="B3977" s="49" t="s">
        <v>45</v>
      </c>
      <c r="C3977" s="51">
        <v>67462.8</v>
      </c>
      <c r="D3977" s="51">
        <v>0</v>
      </c>
    </row>
    <row r="3978" spans="1:4">
      <c r="A3978" s="50">
        <v>45092</v>
      </c>
      <c r="B3978" s="49" t="s">
        <v>46</v>
      </c>
      <c r="C3978" s="51">
        <v>67766.2</v>
      </c>
      <c r="D3978" s="51">
        <v>0</v>
      </c>
    </row>
    <row r="3979" spans="1:4">
      <c r="A3979" s="50">
        <v>45092</v>
      </c>
      <c r="B3979" s="49" t="s">
        <v>47</v>
      </c>
      <c r="C3979" s="51">
        <v>55023.5</v>
      </c>
      <c r="D3979" s="51">
        <v>0</v>
      </c>
    </row>
    <row r="3980" spans="1:4">
      <c r="A3980" s="50">
        <v>45092</v>
      </c>
      <c r="B3980" s="49" t="s">
        <v>48</v>
      </c>
      <c r="C3980" s="51">
        <v>62482.9</v>
      </c>
      <c r="D3980" s="51">
        <v>0</v>
      </c>
    </row>
    <row r="3981" spans="1:4">
      <c r="A3981" s="50">
        <v>45092</v>
      </c>
      <c r="B3981" s="49" t="s">
        <v>49</v>
      </c>
      <c r="C3981" s="51">
        <v>69015.8</v>
      </c>
      <c r="D3981" s="51">
        <v>0</v>
      </c>
    </row>
    <row r="3982" spans="1:4">
      <c r="A3982" s="50">
        <v>45092</v>
      </c>
      <c r="B3982" s="49" t="s">
        <v>50</v>
      </c>
      <c r="C3982" s="51">
        <v>67880.5</v>
      </c>
      <c r="D3982" s="51">
        <v>0</v>
      </c>
    </row>
    <row r="3983" spans="1:4">
      <c r="A3983" s="50">
        <v>45092</v>
      </c>
      <c r="B3983" s="49" t="s">
        <v>51</v>
      </c>
      <c r="C3983" s="51">
        <v>65565.399999999994</v>
      </c>
      <c r="D3983" s="51">
        <v>0</v>
      </c>
    </row>
    <row r="3984" spans="1:4">
      <c r="A3984" s="50">
        <v>45092</v>
      </c>
      <c r="B3984" s="49" t="s">
        <v>52</v>
      </c>
      <c r="C3984" s="51">
        <v>69000.600000000006</v>
      </c>
      <c r="D3984" s="51">
        <v>0</v>
      </c>
    </row>
    <row r="3985" spans="1:4">
      <c r="A3985" s="50">
        <v>45092</v>
      </c>
      <c r="B3985" s="49" t="s">
        <v>53</v>
      </c>
      <c r="C3985" s="51">
        <v>69382.5</v>
      </c>
      <c r="D3985" s="51">
        <v>0</v>
      </c>
    </row>
    <row r="3986" spans="1:4">
      <c r="A3986" s="50">
        <v>45093</v>
      </c>
      <c r="B3986" s="49" t="s">
        <v>30</v>
      </c>
      <c r="C3986" s="51">
        <v>64601.7</v>
      </c>
      <c r="D3986" s="51">
        <v>0</v>
      </c>
    </row>
    <row r="3987" spans="1:4">
      <c r="A3987" s="50">
        <v>45093</v>
      </c>
      <c r="B3987" s="49" t="s">
        <v>31</v>
      </c>
      <c r="C3987" s="51">
        <v>54709.2</v>
      </c>
      <c r="D3987" s="51">
        <v>0</v>
      </c>
    </row>
    <row r="3988" spans="1:4">
      <c r="A3988" s="50">
        <v>45093</v>
      </c>
      <c r="B3988" s="49" t="s">
        <v>32</v>
      </c>
      <c r="C3988" s="51">
        <v>54537.8</v>
      </c>
      <c r="D3988" s="51">
        <v>0</v>
      </c>
    </row>
    <row r="3989" spans="1:4">
      <c r="A3989" s="50">
        <v>45093</v>
      </c>
      <c r="B3989" s="49" t="s">
        <v>33</v>
      </c>
      <c r="C3989" s="51">
        <v>54613.2</v>
      </c>
      <c r="D3989" s="51">
        <v>0</v>
      </c>
    </row>
    <row r="3990" spans="1:4">
      <c r="A3990" s="50">
        <v>45093</v>
      </c>
      <c r="B3990" s="49" t="s">
        <v>34</v>
      </c>
      <c r="C3990" s="51">
        <v>54669.2</v>
      </c>
      <c r="D3990" s="51">
        <v>0</v>
      </c>
    </row>
    <row r="3991" spans="1:4">
      <c r="A3991" s="50">
        <v>45093</v>
      </c>
      <c r="B3991" s="49" t="s">
        <v>35</v>
      </c>
      <c r="C3991" s="51">
        <v>54694.1</v>
      </c>
      <c r="D3991" s="51">
        <v>0</v>
      </c>
    </row>
    <row r="3992" spans="1:4">
      <c r="A3992" s="50">
        <v>45093</v>
      </c>
      <c r="B3992" s="49" t="s">
        <v>36</v>
      </c>
      <c r="C3992" s="51">
        <v>53942.400000000001</v>
      </c>
      <c r="D3992" s="51">
        <v>0</v>
      </c>
    </row>
    <row r="3993" spans="1:4">
      <c r="A3993" s="50">
        <v>45093</v>
      </c>
      <c r="B3993" s="49" t="s">
        <v>37</v>
      </c>
      <c r="C3993" s="51">
        <v>54647</v>
      </c>
      <c r="D3993" s="51">
        <v>0</v>
      </c>
    </row>
    <row r="3994" spans="1:4">
      <c r="A3994" s="50">
        <v>45093</v>
      </c>
      <c r="B3994" s="49" t="s">
        <v>38</v>
      </c>
      <c r="C3994" s="51">
        <v>54219</v>
      </c>
      <c r="D3994" s="51">
        <v>0</v>
      </c>
    </row>
    <row r="3995" spans="1:4">
      <c r="A3995" s="50">
        <v>45093</v>
      </c>
      <c r="B3995" s="49" t="s">
        <v>39</v>
      </c>
      <c r="C3995" s="51">
        <v>54045.7</v>
      </c>
      <c r="D3995" s="51">
        <v>0</v>
      </c>
    </row>
    <row r="3996" spans="1:4">
      <c r="A3996" s="50">
        <v>45093</v>
      </c>
      <c r="B3996" s="49" t="s">
        <v>40</v>
      </c>
      <c r="C3996" s="51">
        <v>53926.5</v>
      </c>
      <c r="D3996" s="51">
        <v>0</v>
      </c>
    </row>
    <row r="3997" spans="1:4">
      <c r="A3997" s="50">
        <v>45093</v>
      </c>
      <c r="B3997" s="49" t="s">
        <v>41</v>
      </c>
      <c r="C3997" s="51">
        <v>54110.8</v>
      </c>
      <c r="D3997" s="51">
        <v>0</v>
      </c>
    </row>
    <row r="3998" spans="1:4">
      <c r="A3998" s="50">
        <v>45093</v>
      </c>
      <c r="B3998" s="49" t="s">
        <v>42</v>
      </c>
      <c r="C3998" s="51">
        <v>45297.1</v>
      </c>
      <c r="D3998" s="51">
        <v>0</v>
      </c>
    </row>
    <row r="3999" spans="1:4">
      <c r="A3999" s="50">
        <v>45093</v>
      </c>
      <c r="B3999" s="49" t="s">
        <v>43</v>
      </c>
      <c r="C3999" s="51">
        <v>44835</v>
      </c>
      <c r="D3999" s="51">
        <v>0</v>
      </c>
    </row>
    <row r="4000" spans="1:4">
      <c r="A4000" s="50">
        <v>45093</v>
      </c>
      <c r="B4000" s="49" t="s">
        <v>44</v>
      </c>
      <c r="C4000" s="51">
        <v>58069.599999999999</v>
      </c>
      <c r="D4000" s="51">
        <v>0</v>
      </c>
    </row>
    <row r="4001" spans="1:4">
      <c r="A4001" s="50">
        <v>45093</v>
      </c>
      <c r="B4001" s="49" t="s">
        <v>45</v>
      </c>
      <c r="C4001" s="51">
        <v>59224.1</v>
      </c>
      <c r="D4001" s="51">
        <v>0</v>
      </c>
    </row>
    <row r="4002" spans="1:4">
      <c r="A4002" s="50">
        <v>45093</v>
      </c>
      <c r="B4002" s="49" t="s">
        <v>46</v>
      </c>
      <c r="C4002" s="51">
        <v>62499</v>
      </c>
      <c r="D4002" s="51">
        <v>0</v>
      </c>
    </row>
    <row r="4003" spans="1:4">
      <c r="A4003" s="50">
        <v>45093</v>
      </c>
      <c r="B4003" s="49" t="s">
        <v>47</v>
      </c>
      <c r="C4003" s="51">
        <v>62621.9</v>
      </c>
      <c r="D4003" s="51">
        <v>0</v>
      </c>
    </row>
    <row r="4004" spans="1:4">
      <c r="A4004" s="50">
        <v>45093</v>
      </c>
      <c r="B4004" s="49" t="s">
        <v>48</v>
      </c>
      <c r="C4004" s="51">
        <v>61142.1</v>
      </c>
      <c r="D4004" s="51">
        <v>0</v>
      </c>
    </row>
    <row r="4005" spans="1:4">
      <c r="A4005" s="50">
        <v>45093</v>
      </c>
      <c r="B4005" s="49" t="s">
        <v>49</v>
      </c>
      <c r="C4005" s="51">
        <v>61857.599999999999</v>
      </c>
      <c r="D4005" s="51">
        <v>0</v>
      </c>
    </row>
    <row r="4006" spans="1:4">
      <c r="A4006" s="50">
        <v>45093</v>
      </c>
      <c r="B4006" s="49" t="s">
        <v>50</v>
      </c>
      <c r="C4006" s="51">
        <v>60155.1</v>
      </c>
      <c r="D4006" s="51">
        <v>0</v>
      </c>
    </row>
    <row r="4007" spans="1:4">
      <c r="A4007" s="50">
        <v>45093</v>
      </c>
      <c r="B4007" s="49" t="s">
        <v>51</v>
      </c>
      <c r="C4007" s="51">
        <v>60042.5</v>
      </c>
      <c r="D4007" s="51">
        <v>0</v>
      </c>
    </row>
    <row r="4008" spans="1:4">
      <c r="A4008" s="50">
        <v>45093</v>
      </c>
      <c r="B4008" s="49" t="s">
        <v>52</v>
      </c>
      <c r="C4008" s="51">
        <v>60096.800000000003</v>
      </c>
      <c r="D4008" s="51">
        <v>0</v>
      </c>
    </row>
    <row r="4009" spans="1:4">
      <c r="A4009" s="50">
        <v>45093</v>
      </c>
      <c r="B4009" s="49" t="s">
        <v>53</v>
      </c>
      <c r="C4009" s="51">
        <v>60085.9</v>
      </c>
      <c r="D4009" s="51">
        <v>0</v>
      </c>
    </row>
    <row r="4010" spans="1:4">
      <c r="A4010" s="50">
        <v>45094</v>
      </c>
      <c r="B4010" s="49" t="s">
        <v>30</v>
      </c>
      <c r="C4010" s="51">
        <v>67256.800000000003</v>
      </c>
      <c r="D4010" s="51">
        <v>0</v>
      </c>
    </row>
    <row r="4011" spans="1:4">
      <c r="A4011" s="50">
        <v>45094</v>
      </c>
      <c r="B4011" s="49" t="s">
        <v>31</v>
      </c>
      <c r="C4011" s="51">
        <v>55165.9</v>
      </c>
      <c r="D4011" s="51">
        <v>0</v>
      </c>
    </row>
    <row r="4012" spans="1:4">
      <c r="A4012" s="50">
        <v>45094</v>
      </c>
      <c r="B4012" s="49" t="s">
        <v>32</v>
      </c>
      <c r="C4012" s="51">
        <v>54861.7</v>
      </c>
      <c r="D4012" s="51">
        <v>0</v>
      </c>
    </row>
    <row r="4013" spans="1:4">
      <c r="A4013" s="50">
        <v>45094</v>
      </c>
      <c r="B4013" s="49" t="s">
        <v>33</v>
      </c>
      <c r="C4013" s="51">
        <v>55017.3</v>
      </c>
      <c r="D4013" s="51">
        <v>0</v>
      </c>
    </row>
    <row r="4014" spans="1:4">
      <c r="A4014" s="50">
        <v>45094</v>
      </c>
      <c r="B4014" s="49" t="s">
        <v>34</v>
      </c>
      <c r="C4014" s="51">
        <v>54960.5</v>
      </c>
      <c r="D4014" s="51">
        <v>0</v>
      </c>
    </row>
    <row r="4015" spans="1:4">
      <c r="A4015" s="50">
        <v>45094</v>
      </c>
      <c r="B4015" s="49" t="s">
        <v>35</v>
      </c>
      <c r="C4015" s="51">
        <v>54838.7</v>
      </c>
      <c r="D4015" s="51">
        <v>0</v>
      </c>
    </row>
    <row r="4016" spans="1:4">
      <c r="A4016" s="50">
        <v>45094</v>
      </c>
      <c r="B4016" s="49" t="s">
        <v>36</v>
      </c>
      <c r="C4016" s="51">
        <v>54620.3</v>
      </c>
      <c r="D4016" s="51">
        <v>0</v>
      </c>
    </row>
    <row r="4017" spans="1:4">
      <c r="A4017" s="50">
        <v>45094</v>
      </c>
      <c r="B4017" s="49" t="s">
        <v>37</v>
      </c>
      <c r="C4017" s="51">
        <v>54743.3</v>
      </c>
      <c r="D4017" s="51">
        <v>0</v>
      </c>
    </row>
    <row r="4018" spans="1:4">
      <c r="A4018" s="50">
        <v>45094</v>
      </c>
      <c r="B4018" s="49" t="s">
        <v>38</v>
      </c>
      <c r="C4018" s="51">
        <v>54728</v>
      </c>
      <c r="D4018" s="51">
        <v>0</v>
      </c>
    </row>
    <row r="4019" spans="1:4">
      <c r="A4019" s="50">
        <v>45094</v>
      </c>
      <c r="B4019" s="49" t="s">
        <v>39</v>
      </c>
      <c r="C4019" s="51">
        <v>54680.800000000003</v>
      </c>
      <c r="D4019" s="51">
        <v>0</v>
      </c>
    </row>
    <row r="4020" spans="1:4">
      <c r="A4020" s="50">
        <v>45094</v>
      </c>
      <c r="B4020" s="49" t="s">
        <v>40</v>
      </c>
      <c r="C4020" s="51">
        <v>54708.4</v>
      </c>
      <c r="D4020" s="51">
        <v>0</v>
      </c>
    </row>
    <row r="4021" spans="1:4">
      <c r="A4021" s="50">
        <v>45094</v>
      </c>
      <c r="B4021" s="49" t="s">
        <v>41</v>
      </c>
      <c r="C4021" s="51">
        <v>54414.400000000001</v>
      </c>
      <c r="D4021" s="51">
        <v>0</v>
      </c>
    </row>
    <row r="4022" spans="1:4">
      <c r="A4022" s="50">
        <v>45094</v>
      </c>
      <c r="B4022" s="49" t="s">
        <v>42</v>
      </c>
      <c r="C4022" s="51">
        <v>54374.400000000001</v>
      </c>
      <c r="D4022" s="51">
        <v>0</v>
      </c>
    </row>
    <row r="4023" spans="1:4">
      <c r="A4023" s="50">
        <v>45094</v>
      </c>
      <c r="B4023" s="49" t="s">
        <v>43</v>
      </c>
      <c r="C4023" s="51">
        <v>54299.5</v>
      </c>
      <c r="D4023" s="51">
        <v>0</v>
      </c>
    </row>
    <row r="4024" spans="1:4">
      <c r="A4024" s="50">
        <v>45094</v>
      </c>
      <c r="B4024" s="49" t="s">
        <v>44</v>
      </c>
      <c r="C4024" s="51">
        <v>54481.9</v>
      </c>
      <c r="D4024" s="51">
        <v>0</v>
      </c>
    </row>
    <row r="4025" spans="1:4">
      <c r="A4025" s="50">
        <v>45094</v>
      </c>
      <c r="B4025" s="49" t="s">
        <v>45</v>
      </c>
      <c r="C4025" s="51">
        <v>54294.7</v>
      </c>
      <c r="D4025" s="51">
        <v>0</v>
      </c>
    </row>
    <row r="4026" spans="1:4">
      <c r="A4026" s="50">
        <v>45094</v>
      </c>
      <c r="B4026" s="49" t="s">
        <v>46</v>
      </c>
      <c r="C4026" s="51">
        <v>54396.6</v>
      </c>
      <c r="D4026" s="51">
        <v>0</v>
      </c>
    </row>
    <row r="4027" spans="1:4">
      <c r="A4027" s="50">
        <v>45094</v>
      </c>
      <c r="B4027" s="49" t="s">
        <v>47</v>
      </c>
      <c r="C4027" s="51">
        <v>54275.6</v>
      </c>
      <c r="D4027" s="51">
        <v>0</v>
      </c>
    </row>
    <row r="4028" spans="1:4">
      <c r="A4028" s="50">
        <v>45094</v>
      </c>
      <c r="B4028" s="49" t="s">
        <v>48</v>
      </c>
      <c r="C4028" s="51">
        <v>54359.5</v>
      </c>
      <c r="D4028" s="51">
        <v>0</v>
      </c>
    </row>
    <row r="4029" spans="1:4">
      <c r="A4029" s="50">
        <v>45094</v>
      </c>
      <c r="B4029" s="49" t="s">
        <v>49</v>
      </c>
      <c r="C4029" s="51">
        <v>68155.399999999994</v>
      </c>
      <c r="D4029" s="51">
        <v>0</v>
      </c>
    </row>
    <row r="4030" spans="1:4">
      <c r="A4030" s="50">
        <v>45094</v>
      </c>
      <c r="B4030" s="49" t="s">
        <v>50</v>
      </c>
      <c r="C4030" s="51">
        <v>68685.399999999994</v>
      </c>
      <c r="D4030" s="51">
        <v>0</v>
      </c>
    </row>
    <row r="4031" spans="1:4">
      <c r="A4031" s="50">
        <v>45094</v>
      </c>
      <c r="B4031" s="49" t="s">
        <v>51</v>
      </c>
      <c r="C4031" s="51">
        <v>68315.600000000006</v>
      </c>
      <c r="D4031" s="51">
        <v>0</v>
      </c>
    </row>
    <row r="4032" spans="1:4">
      <c r="A4032" s="50">
        <v>45094</v>
      </c>
      <c r="B4032" s="49" t="s">
        <v>52</v>
      </c>
      <c r="C4032" s="51">
        <v>58998.7</v>
      </c>
      <c r="D4032" s="51">
        <v>0</v>
      </c>
    </row>
    <row r="4033" spans="1:4">
      <c r="A4033" s="50">
        <v>45094</v>
      </c>
      <c r="B4033" s="49" t="s">
        <v>53</v>
      </c>
      <c r="C4033" s="51">
        <v>54210.6</v>
      </c>
      <c r="D4033" s="51">
        <v>0</v>
      </c>
    </row>
    <row r="4034" spans="1:4">
      <c r="A4034" s="50">
        <v>45095</v>
      </c>
      <c r="B4034" s="49" t="s">
        <v>30</v>
      </c>
      <c r="C4034" s="51">
        <v>54123.4</v>
      </c>
      <c r="D4034" s="51">
        <v>0</v>
      </c>
    </row>
    <row r="4035" spans="1:4">
      <c r="A4035" s="50">
        <v>45095</v>
      </c>
      <c r="B4035" s="49" t="s">
        <v>31</v>
      </c>
      <c r="C4035" s="51">
        <v>54434.1</v>
      </c>
      <c r="D4035" s="51">
        <v>0</v>
      </c>
    </row>
    <row r="4036" spans="1:4">
      <c r="A4036" s="50">
        <v>45095</v>
      </c>
      <c r="B4036" s="49" t="s">
        <v>32</v>
      </c>
      <c r="C4036" s="51">
        <v>54164.800000000003</v>
      </c>
      <c r="D4036" s="51">
        <v>0</v>
      </c>
    </row>
    <row r="4037" spans="1:4">
      <c r="A4037" s="50">
        <v>45095</v>
      </c>
      <c r="B4037" s="49" t="s">
        <v>33</v>
      </c>
      <c r="C4037" s="51">
        <v>53965.599999999999</v>
      </c>
      <c r="D4037" s="51">
        <v>0</v>
      </c>
    </row>
    <row r="4038" spans="1:4">
      <c r="A4038" s="50">
        <v>45095</v>
      </c>
      <c r="B4038" s="49" t="s">
        <v>34</v>
      </c>
      <c r="C4038" s="51">
        <v>54163.8</v>
      </c>
      <c r="D4038" s="51">
        <v>0</v>
      </c>
    </row>
    <row r="4039" spans="1:4">
      <c r="A4039" s="50">
        <v>45095</v>
      </c>
      <c r="B4039" s="49" t="s">
        <v>35</v>
      </c>
      <c r="C4039" s="51">
        <v>53993.7</v>
      </c>
      <c r="D4039" s="51">
        <v>0</v>
      </c>
    </row>
    <row r="4040" spans="1:4">
      <c r="A4040" s="50">
        <v>45095</v>
      </c>
      <c r="B4040" s="49" t="s">
        <v>36</v>
      </c>
      <c r="C4040" s="51">
        <v>54470.8</v>
      </c>
      <c r="D4040" s="51">
        <v>0</v>
      </c>
    </row>
    <row r="4041" spans="1:4">
      <c r="A4041" s="50">
        <v>45095</v>
      </c>
      <c r="B4041" s="49" t="s">
        <v>37</v>
      </c>
      <c r="C4041" s="51">
        <v>54472</v>
      </c>
      <c r="D4041" s="51">
        <v>0</v>
      </c>
    </row>
    <row r="4042" spans="1:4">
      <c r="A4042" s="50">
        <v>45095</v>
      </c>
      <c r="B4042" s="49" t="s">
        <v>38</v>
      </c>
      <c r="C4042" s="51">
        <v>54575.199999999997</v>
      </c>
      <c r="D4042" s="51">
        <v>0</v>
      </c>
    </row>
    <row r="4043" spans="1:4">
      <c r="A4043" s="50">
        <v>45095</v>
      </c>
      <c r="B4043" s="49" t="s">
        <v>39</v>
      </c>
      <c r="C4043" s="51">
        <v>54474.3</v>
      </c>
      <c r="D4043" s="51">
        <v>0</v>
      </c>
    </row>
    <row r="4044" spans="1:4">
      <c r="A4044" s="50">
        <v>45095</v>
      </c>
      <c r="B4044" s="49" t="s">
        <v>40</v>
      </c>
      <c r="C4044" s="51">
        <v>54400.800000000003</v>
      </c>
      <c r="D4044" s="51">
        <v>0</v>
      </c>
    </row>
    <row r="4045" spans="1:4">
      <c r="A4045" s="50">
        <v>45095</v>
      </c>
      <c r="B4045" s="49" t="s">
        <v>41</v>
      </c>
      <c r="C4045" s="51">
        <v>54530.9</v>
      </c>
      <c r="D4045" s="51">
        <v>0</v>
      </c>
    </row>
    <row r="4046" spans="1:4">
      <c r="A4046" s="50">
        <v>45095</v>
      </c>
      <c r="B4046" s="49" t="s">
        <v>42</v>
      </c>
      <c r="C4046" s="51">
        <v>54387.199999999997</v>
      </c>
      <c r="D4046" s="51">
        <v>0</v>
      </c>
    </row>
    <row r="4047" spans="1:4">
      <c r="A4047" s="50">
        <v>45095</v>
      </c>
      <c r="B4047" s="49" t="s">
        <v>43</v>
      </c>
      <c r="C4047" s="51">
        <v>54279.199999999997</v>
      </c>
      <c r="D4047" s="51">
        <v>0</v>
      </c>
    </row>
    <row r="4048" spans="1:4">
      <c r="A4048" s="50">
        <v>45095</v>
      </c>
      <c r="B4048" s="49" t="s">
        <v>44</v>
      </c>
      <c r="C4048" s="51">
        <v>54306.1</v>
      </c>
      <c r="D4048" s="51">
        <v>0</v>
      </c>
    </row>
    <row r="4049" spans="1:4">
      <c r="A4049" s="50">
        <v>45095</v>
      </c>
      <c r="B4049" s="49" t="s">
        <v>45</v>
      </c>
      <c r="C4049" s="51">
        <v>54292.6</v>
      </c>
      <c r="D4049" s="51">
        <v>0</v>
      </c>
    </row>
    <row r="4050" spans="1:4">
      <c r="A4050" s="50">
        <v>45095</v>
      </c>
      <c r="B4050" s="49" t="s">
        <v>46</v>
      </c>
      <c r="C4050" s="51">
        <v>54217.599999999999</v>
      </c>
      <c r="D4050" s="51">
        <v>0</v>
      </c>
    </row>
    <row r="4051" spans="1:4">
      <c r="A4051" s="50">
        <v>45095</v>
      </c>
      <c r="B4051" s="49" t="s">
        <v>47</v>
      </c>
      <c r="C4051" s="51">
        <v>54079.3</v>
      </c>
      <c r="D4051" s="51">
        <v>0</v>
      </c>
    </row>
    <row r="4052" spans="1:4">
      <c r="A4052" s="50">
        <v>45095</v>
      </c>
      <c r="B4052" s="49" t="s">
        <v>48</v>
      </c>
      <c r="C4052" s="51">
        <v>58976.7</v>
      </c>
      <c r="D4052" s="51">
        <v>0</v>
      </c>
    </row>
    <row r="4053" spans="1:4">
      <c r="A4053" s="50">
        <v>45095</v>
      </c>
      <c r="B4053" s="49" t="s">
        <v>49</v>
      </c>
      <c r="C4053" s="51">
        <v>67909.2</v>
      </c>
      <c r="D4053" s="51">
        <v>0</v>
      </c>
    </row>
    <row r="4054" spans="1:4">
      <c r="A4054" s="50">
        <v>45095</v>
      </c>
      <c r="B4054" s="49" t="s">
        <v>50</v>
      </c>
      <c r="C4054" s="51">
        <v>68448.800000000003</v>
      </c>
      <c r="D4054" s="51">
        <v>0</v>
      </c>
    </row>
    <row r="4055" spans="1:4">
      <c r="A4055" s="50">
        <v>45095</v>
      </c>
      <c r="B4055" s="49" t="s">
        <v>51</v>
      </c>
      <c r="C4055" s="51">
        <v>68337.2</v>
      </c>
      <c r="D4055" s="51">
        <v>0</v>
      </c>
    </row>
    <row r="4056" spans="1:4">
      <c r="A4056" s="50">
        <v>45095</v>
      </c>
      <c r="B4056" s="49" t="s">
        <v>52</v>
      </c>
      <c r="C4056" s="51">
        <v>67786.100000000006</v>
      </c>
      <c r="D4056" s="51">
        <v>0</v>
      </c>
    </row>
    <row r="4057" spans="1:4">
      <c r="A4057" s="50">
        <v>45095</v>
      </c>
      <c r="B4057" s="49" t="s">
        <v>53</v>
      </c>
      <c r="C4057" s="51">
        <v>67874.100000000006</v>
      </c>
      <c r="D4057" s="51">
        <v>0</v>
      </c>
    </row>
    <row r="4058" spans="1:4">
      <c r="A4058" s="50">
        <v>45096</v>
      </c>
      <c r="B4058" s="49" t="s">
        <v>30</v>
      </c>
      <c r="C4058" s="51">
        <v>67911.7</v>
      </c>
      <c r="D4058" s="51">
        <v>0</v>
      </c>
    </row>
    <row r="4059" spans="1:4">
      <c r="A4059" s="50">
        <v>45096</v>
      </c>
      <c r="B4059" s="49" t="s">
        <v>31</v>
      </c>
      <c r="C4059" s="51">
        <v>55161.599999999999</v>
      </c>
      <c r="D4059" s="51">
        <v>0</v>
      </c>
    </row>
    <row r="4060" spans="1:4">
      <c r="A4060" s="50">
        <v>45096</v>
      </c>
      <c r="B4060" s="49" t="s">
        <v>32</v>
      </c>
      <c r="C4060" s="51">
        <v>53781.2</v>
      </c>
      <c r="D4060" s="51">
        <v>0</v>
      </c>
    </row>
    <row r="4061" spans="1:4">
      <c r="A4061" s="50">
        <v>45096</v>
      </c>
      <c r="B4061" s="49" t="s">
        <v>33</v>
      </c>
      <c r="C4061" s="51">
        <v>54267.199999999997</v>
      </c>
      <c r="D4061" s="51">
        <v>0</v>
      </c>
    </row>
    <row r="4062" spans="1:4">
      <c r="A4062" s="50">
        <v>45096</v>
      </c>
      <c r="B4062" s="49" t="s">
        <v>34</v>
      </c>
      <c r="C4062" s="51">
        <v>54354.400000000001</v>
      </c>
      <c r="D4062" s="51">
        <v>0</v>
      </c>
    </row>
    <row r="4063" spans="1:4">
      <c r="A4063" s="50">
        <v>45096</v>
      </c>
      <c r="B4063" s="49" t="s">
        <v>35</v>
      </c>
      <c r="C4063" s="51">
        <v>54388</v>
      </c>
      <c r="D4063" s="51">
        <v>0</v>
      </c>
    </row>
    <row r="4064" spans="1:4">
      <c r="A4064" s="50">
        <v>45096</v>
      </c>
      <c r="B4064" s="49" t="s">
        <v>36</v>
      </c>
      <c r="C4064" s="51">
        <v>54231.6</v>
      </c>
      <c r="D4064" s="51">
        <v>0</v>
      </c>
    </row>
    <row r="4065" spans="1:4">
      <c r="A4065" s="50">
        <v>45096</v>
      </c>
      <c r="B4065" s="49" t="s">
        <v>37</v>
      </c>
      <c r="C4065" s="51">
        <v>52588.800000000003</v>
      </c>
      <c r="D4065" s="51">
        <v>0</v>
      </c>
    </row>
    <row r="4066" spans="1:4">
      <c r="A4066" s="50">
        <v>45096</v>
      </c>
      <c r="B4066" s="49" t="s">
        <v>38</v>
      </c>
      <c r="C4066" s="51">
        <v>52704</v>
      </c>
      <c r="D4066" s="51">
        <v>0</v>
      </c>
    </row>
    <row r="4067" spans="1:4">
      <c r="A4067" s="50">
        <v>45096</v>
      </c>
      <c r="B4067" s="49" t="s">
        <v>39</v>
      </c>
      <c r="C4067" s="51">
        <v>53472.3</v>
      </c>
      <c r="D4067" s="51">
        <v>0</v>
      </c>
    </row>
    <row r="4068" spans="1:4">
      <c r="A4068" s="50">
        <v>45096</v>
      </c>
      <c r="B4068" s="49" t="s">
        <v>40</v>
      </c>
      <c r="C4068" s="51">
        <v>53599.1</v>
      </c>
      <c r="D4068" s="51">
        <v>0</v>
      </c>
    </row>
    <row r="4069" spans="1:4">
      <c r="A4069" s="50">
        <v>45096</v>
      </c>
      <c r="B4069" s="49" t="s">
        <v>41</v>
      </c>
      <c r="C4069" s="51">
        <v>53506.3</v>
      </c>
      <c r="D4069" s="51">
        <v>0</v>
      </c>
    </row>
    <row r="4070" spans="1:4">
      <c r="A4070" s="50">
        <v>45096</v>
      </c>
      <c r="B4070" s="49" t="s">
        <v>42</v>
      </c>
      <c r="C4070" s="51">
        <v>53616.7</v>
      </c>
      <c r="D4070" s="51">
        <v>0</v>
      </c>
    </row>
    <row r="4071" spans="1:4">
      <c r="A4071" s="50">
        <v>45096</v>
      </c>
      <c r="B4071" s="49" t="s">
        <v>43</v>
      </c>
      <c r="C4071" s="51">
        <v>53437.9</v>
      </c>
      <c r="D4071" s="51">
        <v>0</v>
      </c>
    </row>
    <row r="4072" spans="1:4">
      <c r="A4072" s="50">
        <v>45096</v>
      </c>
      <c r="B4072" s="49" t="s">
        <v>44</v>
      </c>
      <c r="C4072" s="51">
        <v>53489</v>
      </c>
      <c r="D4072" s="51">
        <v>0</v>
      </c>
    </row>
    <row r="4073" spans="1:4">
      <c r="A4073" s="50">
        <v>45096</v>
      </c>
      <c r="B4073" s="49" t="s">
        <v>45</v>
      </c>
      <c r="C4073" s="51">
        <v>53507.199999999997</v>
      </c>
      <c r="D4073" s="51">
        <v>0</v>
      </c>
    </row>
    <row r="4074" spans="1:4">
      <c r="A4074" s="50">
        <v>45096</v>
      </c>
      <c r="B4074" s="49" t="s">
        <v>46</v>
      </c>
      <c r="C4074" s="51">
        <v>53446.400000000001</v>
      </c>
      <c r="D4074" s="51">
        <v>0</v>
      </c>
    </row>
    <row r="4075" spans="1:4">
      <c r="A4075" s="50">
        <v>45096</v>
      </c>
      <c r="B4075" s="49" t="s">
        <v>47</v>
      </c>
      <c r="C4075" s="51">
        <v>53409.4</v>
      </c>
      <c r="D4075" s="51">
        <v>0</v>
      </c>
    </row>
    <row r="4076" spans="1:4">
      <c r="A4076" s="50">
        <v>45096</v>
      </c>
      <c r="B4076" s="49" t="s">
        <v>48</v>
      </c>
      <c r="C4076" s="51">
        <v>60408.2</v>
      </c>
      <c r="D4076" s="51">
        <v>0</v>
      </c>
    </row>
    <row r="4077" spans="1:4">
      <c r="A4077" s="50">
        <v>45096</v>
      </c>
      <c r="B4077" s="49" t="s">
        <v>49</v>
      </c>
      <c r="C4077" s="51">
        <v>68233.3</v>
      </c>
      <c r="D4077" s="51">
        <v>0</v>
      </c>
    </row>
    <row r="4078" spans="1:4">
      <c r="A4078" s="50">
        <v>45096</v>
      </c>
      <c r="B4078" s="49" t="s">
        <v>50</v>
      </c>
      <c r="C4078" s="51">
        <v>68372.5</v>
      </c>
      <c r="D4078" s="51">
        <v>0</v>
      </c>
    </row>
    <row r="4079" spans="1:4">
      <c r="A4079" s="50">
        <v>45096</v>
      </c>
      <c r="B4079" s="49" t="s">
        <v>51</v>
      </c>
      <c r="C4079" s="51">
        <v>68563.3</v>
      </c>
      <c r="D4079" s="51">
        <v>0</v>
      </c>
    </row>
    <row r="4080" spans="1:4">
      <c r="A4080" s="50">
        <v>45096</v>
      </c>
      <c r="B4080" s="49" t="s">
        <v>52</v>
      </c>
      <c r="C4080" s="51">
        <v>68351.8</v>
      </c>
      <c r="D4080" s="51">
        <v>0</v>
      </c>
    </row>
    <row r="4081" spans="1:4">
      <c r="A4081" s="50">
        <v>45096</v>
      </c>
      <c r="B4081" s="49" t="s">
        <v>53</v>
      </c>
      <c r="C4081" s="51">
        <v>55408.4</v>
      </c>
      <c r="D4081" s="51">
        <v>0</v>
      </c>
    </row>
    <row r="4082" spans="1:4">
      <c r="A4082" s="50">
        <v>45097</v>
      </c>
      <c r="B4082" s="49" t="s">
        <v>30</v>
      </c>
      <c r="C4082" s="51">
        <v>66035</v>
      </c>
      <c r="D4082" s="51">
        <v>0</v>
      </c>
    </row>
    <row r="4083" spans="1:4">
      <c r="A4083" s="50">
        <v>45097</v>
      </c>
      <c r="B4083" s="49" t="s">
        <v>31</v>
      </c>
      <c r="C4083" s="51">
        <v>68480.399999999994</v>
      </c>
      <c r="D4083" s="51">
        <v>0</v>
      </c>
    </row>
    <row r="4084" spans="1:4">
      <c r="A4084" s="50">
        <v>45097</v>
      </c>
      <c r="B4084" s="49" t="s">
        <v>32</v>
      </c>
      <c r="C4084" s="51">
        <v>63960.6</v>
      </c>
      <c r="D4084" s="51">
        <v>0</v>
      </c>
    </row>
    <row r="4085" spans="1:4">
      <c r="A4085" s="50">
        <v>45097</v>
      </c>
      <c r="B4085" s="49" t="s">
        <v>33</v>
      </c>
      <c r="C4085" s="51">
        <v>54602.6</v>
      </c>
      <c r="D4085" s="51">
        <v>0</v>
      </c>
    </row>
    <row r="4086" spans="1:4">
      <c r="A4086" s="50">
        <v>45097</v>
      </c>
      <c r="B4086" s="49" t="s">
        <v>34</v>
      </c>
      <c r="C4086" s="51">
        <v>54636.7</v>
      </c>
      <c r="D4086" s="51">
        <v>0</v>
      </c>
    </row>
    <row r="4087" spans="1:4">
      <c r="A4087" s="50">
        <v>45097</v>
      </c>
      <c r="B4087" s="49" t="s">
        <v>35</v>
      </c>
      <c r="C4087" s="51">
        <v>54874.2</v>
      </c>
      <c r="D4087" s="51">
        <v>0</v>
      </c>
    </row>
    <row r="4088" spans="1:4">
      <c r="A4088" s="50">
        <v>45097</v>
      </c>
      <c r="B4088" s="49" t="s">
        <v>36</v>
      </c>
      <c r="C4088" s="51">
        <v>53885.2</v>
      </c>
      <c r="D4088" s="51">
        <v>0</v>
      </c>
    </row>
    <row r="4089" spans="1:4">
      <c r="A4089" s="50">
        <v>45097</v>
      </c>
      <c r="B4089" s="49" t="s">
        <v>37</v>
      </c>
      <c r="C4089" s="51">
        <v>54541.5</v>
      </c>
      <c r="D4089" s="51">
        <v>0</v>
      </c>
    </row>
    <row r="4090" spans="1:4">
      <c r="A4090" s="50">
        <v>45097</v>
      </c>
      <c r="B4090" s="49" t="s">
        <v>38</v>
      </c>
      <c r="C4090" s="51">
        <v>54135</v>
      </c>
      <c r="D4090" s="51">
        <v>0</v>
      </c>
    </row>
    <row r="4091" spans="1:4">
      <c r="A4091" s="50">
        <v>45097</v>
      </c>
      <c r="B4091" s="49" t="s">
        <v>39</v>
      </c>
      <c r="C4091" s="51">
        <v>54291.4</v>
      </c>
      <c r="D4091" s="51">
        <v>0</v>
      </c>
    </row>
    <row r="4092" spans="1:4">
      <c r="A4092" s="50">
        <v>45097</v>
      </c>
      <c r="B4092" s="49" t="s">
        <v>40</v>
      </c>
      <c r="C4092" s="51">
        <v>54342</v>
      </c>
      <c r="D4092" s="51">
        <v>0</v>
      </c>
    </row>
    <row r="4093" spans="1:4">
      <c r="A4093" s="50">
        <v>45097</v>
      </c>
      <c r="B4093" s="49" t="s">
        <v>41</v>
      </c>
      <c r="C4093" s="51">
        <v>54479.8</v>
      </c>
      <c r="D4093" s="51">
        <v>0</v>
      </c>
    </row>
    <row r="4094" spans="1:4">
      <c r="A4094" s="50">
        <v>45097</v>
      </c>
      <c r="B4094" s="49" t="s">
        <v>42</v>
      </c>
      <c r="C4094" s="51">
        <v>53853.9</v>
      </c>
      <c r="D4094" s="51">
        <v>0</v>
      </c>
    </row>
    <row r="4095" spans="1:4">
      <c r="A4095" s="50">
        <v>45097</v>
      </c>
      <c r="B4095" s="49" t="s">
        <v>43</v>
      </c>
      <c r="C4095" s="51">
        <v>60488.4</v>
      </c>
      <c r="D4095" s="51">
        <v>0</v>
      </c>
    </row>
    <row r="4096" spans="1:4">
      <c r="A4096" s="50">
        <v>45097</v>
      </c>
      <c r="B4096" s="49" t="s">
        <v>44</v>
      </c>
      <c r="C4096" s="51">
        <v>67838.8</v>
      </c>
      <c r="D4096" s="51">
        <v>0</v>
      </c>
    </row>
    <row r="4097" spans="1:4">
      <c r="A4097" s="50">
        <v>45097</v>
      </c>
      <c r="B4097" s="49" t="s">
        <v>45</v>
      </c>
      <c r="C4097" s="51">
        <v>68026.7</v>
      </c>
      <c r="D4097" s="51">
        <v>0</v>
      </c>
    </row>
    <row r="4098" spans="1:4">
      <c r="A4098" s="50">
        <v>45097</v>
      </c>
      <c r="B4098" s="49" t="s">
        <v>46</v>
      </c>
      <c r="C4098" s="51">
        <v>61715</v>
      </c>
      <c r="D4098" s="51">
        <v>0</v>
      </c>
    </row>
    <row r="4099" spans="1:4">
      <c r="A4099" s="50">
        <v>45097</v>
      </c>
      <c r="B4099" s="49" t="s">
        <v>47</v>
      </c>
      <c r="C4099" s="51">
        <v>55427.8</v>
      </c>
      <c r="D4099" s="51">
        <v>0</v>
      </c>
    </row>
    <row r="4100" spans="1:4">
      <c r="A4100" s="50">
        <v>45097</v>
      </c>
      <c r="B4100" s="49" t="s">
        <v>48</v>
      </c>
      <c r="C4100" s="51">
        <v>60231.1</v>
      </c>
      <c r="D4100" s="51">
        <v>0</v>
      </c>
    </row>
    <row r="4101" spans="1:4">
      <c r="A4101" s="50">
        <v>45097</v>
      </c>
      <c r="B4101" s="49" t="s">
        <v>49</v>
      </c>
      <c r="C4101" s="51">
        <v>60889.8</v>
      </c>
      <c r="D4101" s="51">
        <v>0</v>
      </c>
    </row>
    <row r="4102" spans="1:4">
      <c r="A4102" s="50">
        <v>45097</v>
      </c>
      <c r="B4102" s="49" t="s">
        <v>50</v>
      </c>
      <c r="C4102" s="51">
        <v>60854.1</v>
      </c>
      <c r="D4102" s="51">
        <v>0</v>
      </c>
    </row>
    <row r="4103" spans="1:4">
      <c r="A4103" s="50">
        <v>45097</v>
      </c>
      <c r="B4103" s="49" t="s">
        <v>51</v>
      </c>
      <c r="C4103" s="51">
        <v>60253.7</v>
      </c>
      <c r="D4103" s="51">
        <v>0</v>
      </c>
    </row>
    <row r="4104" spans="1:4">
      <c r="A4104" s="50">
        <v>45097</v>
      </c>
      <c r="B4104" s="49" t="s">
        <v>52</v>
      </c>
      <c r="C4104" s="51">
        <v>60576.2</v>
      </c>
      <c r="D4104" s="51">
        <v>0</v>
      </c>
    </row>
    <row r="4105" spans="1:4">
      <c r="A4105" s="50">
        <v>45097</v>
      </c>
      <c r="B4105" s="49" t="s">
        <v>53</v>
      </c>
      <c r="C4105" s="51">
        <v>60441.7</v>
      </c>
      <c r="D4105" s="51">
        <v>0</v>
      </c>
    </row>
    <row r="4106" spans="1:4">
      <c r="A4106" s="50">
        <v>45098</v>
      </c>
      <c r="B4106" s="49" t="s">
        <v>30</v>
      </c>
      <c r="C4106" s="51">
        <v>60427.5</v>
      </c>
      <c r="D4106" s="51">
        <v>0</v>
      </c>
    </row>
    <row r="4107" spans="1:4">
      <c r="A4107" s="50">
        <v>45098</v>
      </c>
      <c r="B4107" s="49" t="s">
        <v>31</v>
      </c>
      <c r="C4107" s="51">
        <v>60812.2</v>
      </c>
      <c r="D4107" s="51">
        <v>0</v>
      </c>
    </row>
    <row r="4108" spans="1:4">
      <c r="A4108" s="50">
        <v>45098</v>
      </c>
      <c r="B4108" s="49" t="s">
        <v>32</v>
      </c>
      <c r="C4108" s="51">
        <v>55505.2</v>
      </c>
      <c r="D4108" s="51">
        <v>0</v>
      </c>
    </row>
    <row r="4109" spans="1:4">
      <c r="A4109" s="50">
        <v>45098</v>
      </c>
      <c r="B4109" s="49" t="s">
        <v>33</v>
      </c>
      <c r="C4109" s="51">
        <v>54797.2</v>
      </c>
      <c r="D4109" s="51">
        <v>0</v>
      </c>
    </row>
    <row r="4110" spans="1:4">
      <c r="A4110" s="50">
        <v>45098</v>
      </c>
      <c r="B4110" s="49" t="s">
        <v>34</v>
      </c>
      <c r="C4110" s="51">
        <v>54821.9</v>
      </c>
      <c r="D4110" s="51">
        <v>0</v>
      </c>
    </row>
    <row r="4111" spans="1:4">
      <c r="A4111" s="50">
        <v>45098</v>
      </c>
      <c r="B4111" s="49" t="s">
        <v>35</v>
      </c>
      <c r="C4111" s="51">
        <v>54886.6</v>
      </c>
      <c r="D4111" s="51">
        <v>0</v>
      </c>
    </row>
    <row r="4112" spans="1:4">
      <c r="A4112" s="50">
        <v>45098</v>
      </c>
      <c r="B4112" s="49" t="s">
        <v>36</v>
      </c>
      <c r="C4112" s="51">
        <v>54793.2</v>
      </c>
      <c r="D4112" s="51">
        <v>0</v>
      </c>
    </row>
    <row r="4113" spans="1:4">
      <c r="A4113" s="50">
        <v>45098</v>
      </c>
      <c r="B4113" s="49" t="s">
        <v>37</v>
      </c>
      <c r="C4113" s="51">
        <v>54994.7</v>
      </c>
      <c r="D4113" s="51">
        <v>0</v>
      </c>
    </row>
    <row r="4114" spans="1:4">
      <c r="A4114" s="50">
        <v>45098</v>
      </c>
      <c r="B4114" s="49" t="s">
        <v>38</v>
      </c>
      <c r="C4114" s="51">
        <v>55012.3</v>
      </c>
      <c r="D4114" s="51">
        <v>0</v>
      </c>
    </row>
    <row r="4115" spans="1:4">
      <c r="A4115" s="50">
        <v>45098</v>
      </c>
      <c r="B4115" s="49" t="s">
        <v>39</v>
      </c>
      <c r="C4115" s="51">
        <v>55091.9</v>
      </c>
      <c r="D4115" s="51">
        <v>0</v>
      </c>
    </row>
    <row r="4116" spans="1:4">
      <c r="A4116" s="50">
        <v>45098</v>
      </c>
      <c r="B4116" s="49" t="s">
        <v>40</v>
      </c>
      <c r="C4116" s="51">
        <v>55096</v>
      </c>
      <c r="D4116" s="51">
        <v>0</v>
      </c>
    </row>
    <row r="4117" spans="1:4">
      <c r="A4117" s="50">
        <v>45098</v>
      </c>
      <c r="B4117" s="49" t="s">
        <v>41</v>
      </c>
      <c r="C4117" s="51">
        <v>55254.3</v>
      </c>
      <c r="D4117" s="51">
        <v>0</v>
      </c>
    </row>
    <row r="4118" spans="1:4">
      <c r="A4118" s="50">
        <v>45098</v>
      </c>
      <c r="B4118" s="49" t="s">
        <v>42</v>
      </c>
      <c r="C4118" s="51">
        <v>54784.5</v>
      </c>
      <c r="D4118" s="51">
        <v>0</v>
      </c>
    </row>
    <row r="4119" spans="1:4">
      <c r="A4119" s="50">
        <v>45098</v>
      </c>
      <c r="B4119" s="49" t="s">
        <v>43</v>
      </c>
      <c r="C4119" s="51">
        <v>56297</v>
      </c>
      <c r="D4119" s="51">
        <v>0</v>
      </c>
    </row>
    <row r="4120" spans="1:4">
      <c r="A4120" s="50">
        <v>45098</v>
      </c>
      <c r="B4120" s="49" t="s">
        <v>44</v>
      </c>
      <c r="C4120" s="51">
        <v>67074.7</v>
      </c>
      <c r="D4120" s="51">
        <v>0</v>
      </c>
    </row>
    <row r="4121" spans="1:4">
      <c r="A4121" s="50">
        <v>45098</v>
      </c>
      <c r="B4121" s="49" t="s">
        <v>45</v>
      </c>
      <c r="C4121" s="51">
        <v>68302.899999999994</v>
      </c>
      <c r="D4121" s="51">
        <v>0</v>
      </c>
    </row>
    <row r="4122" spans="1:4">
      <c r="A4122" s="50">
        <v>45098</v>
      </c>
      <c r="B4122" s="49" t="s">
        <v>46</v>
      </c>
      <c r="C4122" s="51">
        <v>57040.3</v>
      </c>
      <c r="D4122" s="51">
        <v>0</v>
      </c>
    </row>
    <row r="4123" spans="1:4">
      <c r="A4123" s="50">
        <v>45098</v>
      </c>
      <c r="B4123" s="49" t="s">
        <v>47</v>
      </c>
      <c r="C4123" s="51">
        <v>66773.3</v>
      </c>
      <c r="D4123" s="51">
        <v>0</v>
      </c>
    </row>
    <row r="4124" spans="1:4">
      <c r="A4124" s="50">
        <v>45098</v>
      </c>
      <c r="B4124" s="49" t="s">
        <v>48</v>
      </c>
      <c r="C4124" s="51">
        <v>63211.5</v>
      </c>
      <c r="D4124" s="51">
        <v>0</v>
      </c>
    </row>
    <row r="4125" spans="1:4">
      <c r="A4125" s="50">
        <v>45098</v>
      </c>
      <c r="B4125" s="49" t="s">
        <v>49</v>
      </c>
      <c r="C4125" s="51">
        <v>59961.3</v>
      </c>
      <c r="D4125" s="51">
        <v>0</v>
      </c>
    </row>
    <row r="4126" spans="1:4">
      <c r="A4126" s="50">
        <v>45098</v>
      </c>
      <c r="B4126" s="49" t="s">
        <v>50</v>
      </c>
      <c r="C4126" s="51">
        <v>59483.5</v>
      </c>
      <c r="D4126" s="51">
        <v>0</v>
      </c>
    </row>
    <row r="4127" spans="1:4">
      <c r="A4127" s="50">
        <v>45098</v>
      </c>
      <c r="B4127" s="49" t="s">
        <v>51</v>
      </c>
      <c r="C4127" s="51">
        <v>60313.7</v>
      </c>
      <c r="D4127" s="51">
        <v>0</v>
      </c>
    </row>
    <row r="4128" spans="1:4">
      <c r="A4128" s="50">
        <v>45098</v>
      </c>
      <c r="B4128" s="49" t="s">
        <v>52</v>
      </c>
      <c r="C4128" s="51">
        <v>60156.7</v>
      </c>
      <c r="D4128" s="51">
        <v>0</v>
      </c>
    </row>
    <row r="4129" spans="1:4">
      <c r="A4129" s="50">
        <v>45098</v>
      </c>
      <c r="B4129" s="49" t="s">
        <v>53</v>
      </c>
      <c r="C4129" s="51">
        <v>60004.6</v>
      </c>
      <c r="D4129" s="51">
        <v>0</v>
      </c>
    </row>
    <row r="4130" spans="1:4">
      <c r="A4130" s="50">
        <v>45099</v>
      </c>
      <c r="B4130" s="49" t="s">
        <v>30</v>
      </c>
      <c r="C4130" s="51">
        <v>59835.199999999997</v>
      </c>
      <c r="D4130" s="51">
        <v>0</v>
      </c>
    </row>
    <row r="4131" spans="1:4">
      <c r="A4131" s="50">
        <v>45099</v>
      </c>
      <c r="B4131" s="49" t="s">
        <v>31</v>
      </c>
      <c r="C4131" s="51">
        <v>59743.4</v>
      </c>
      <c r="D4131" s="51">
        <v>0</v>
      </c>
    </row>
    <row r="4132" spans="1:4">
      <c r="A4132" s="50">
        <v>45099</v>
      </c>
      <c r="B4132" s="49" t="s">
        <v>32</v>
      </c>
      <c r="C4132" s="51">
        <v>44203</v>
      </c>
      <c r="D4132" s="51">
        <v>0</v>
      </c>
    </row>
    <row r="4133" spans="1:4">
      <c r="A4133" s="50">
        <v>45099</v>
      </c>
      <c r="B4133" s="49" t="s">
        <v>33</v>
      </c>
      <c r="C4133" s="51">
        <v>43291.4</v>
      </c>
      <c r="D4133" s="51">
        <v>0</v>
      </c>
    </row>
    <row r="4134" spans="1:4">
      <c r="A4134" s="50">
        <v>45099</v>
      </c>
      <c r="B4134" s="49" t="s">
        <v>34</v>
      </c>
      <c r="C4134" s="51">
        <v>43365.3</v>
      </c>
      <c r="D4134" s="51">
        <v>0</v>
      </c>
    </row>
    <row r="4135" spans="1:4">
      <c r="A4135" s="50">
        <v>45099</v>
      </c>
      <c r="B4135" s="49" t="s">
        <v>35</v>
      </c>
      <c r="C4135" s="51">
        <v>44223.9</v>
      </c>
      <c r="D4135" s="51">
        <v>0</v>
      </c>
    </row>
    <row r="4136" spans="1:4">
      <c r="A4136" s="50">
        <v>45099</v>
      </c>
      <c r="B4136" s="49" t="s">
        <v>36</v>
      </c>
      <c r="C4136" s="51">
        <v>44736.2</v>
      </c>
      <c r="D4136" s="51">
        <v>0</v>
      </c>
    </row>
    <row r="4137" spans="1:4">
      <c r="A4137" s="50">
        <v>45099</v>
      </c>
      <c r="B4137" s="49" t="s">
        <v>37</v>
      </c>
      <c r="C4137" s="51">
        <v>44955.5</v>
      </c>
      <c r="D4137" s="51">
        <v>0</v>
      </c>
    </row>
    <row r="4138" spans="1:4">
      <c r="A4138" s="50">
        <v>45099</v>
      </c>
      <c r="B4138" s="49" t="s">
        <v>38</v>
      </c>
      <c r="C4138" s="51">
        <v>44858.9</v>
      </c>
      <c r="D4138" s="51">
        <v>0</v>
      </c>
    </row>
    <row r="4139" spans="1:4">
      <c r="A4139" s="50">
        <v>45099</v>
      </c>
      <c r="B4139" s="49" t="s">
        <v>39</v>
      </c>
      <c r="C4139" s="51">
        <v>45268</v>
      </c>
      <c r="D4139" s="51">
        <v>0</v>
      </c>
    </row>
    <row r="4140" spans="1:4">
      <c r="A4140" s="50">
        <v>45099</v>
      </c>
      <c r="B4140" s="49" t="s">
        <v>40</v>
      </c>
      <c r="C4140" s="51">
        <v>45309.5</v>
      </c>
      <c r="D4140" s="51">
        <v>0</v>
      </c>
    </row>
    <row r="4141" spans="1:4">
      <c r="A4141" s="50">
        <v>45099</v>
      </c>
      <c r="B4141" s="49" t="s">
        <v>41</v>
      </c>
      <c r="C4141" s="51">
        <v>51788</v>
      </c>
      <c r="D4141" s="51">
        <v>0</v>
      </c>
    </row>
    <row r="4142" spans="1:4">
      <c r="A4142" s="50">
        <v>45099</v>
      </c>
      <c r="B4142" s="49" t="s">
        <v>42</v>
      </c>
      <c r="C4142" s="51">
        <v>52241.7</v>
      </c>
      <c r="D4142" s="51">
        <v>0</v>
      </c>
    </row>
    <row r="4143" spans="1:4">
      <c r="A4143" s="50">
        <v>45099</v>
      </c>
      <c r="B4143" s="49" t="s">
        <v>43</v>
      </c>
      <c r="C4143" s="51">
        <v>55628.3</v>
      </c>
      <c r="D4143" s="51">
        <v>0</v>
      </c>
    </row>
    <row r="4144" spans="1:4">
      <c r="A4144" s="50">
        <v>45099</v>
      </c>
      <c r="B4144" s="49" t="s">
        <v>44</v>
      </c>
      <c r="C4144" s="51">
        <v>69025.5</v>
      </c>
      <c r="D4144" s="51">
        <v>0</v>
      </c>
    </row>
    <row r="4145" spans="1:4">
      <c r="A4145" s="50">
        <v>45099</v>
      </c>
      <c r="B4145" s="49" t="s">
        <v>45</v>
      </c>
      <c r="C4145" s="51">
        <v>69040.7</v>
      </c>
      <c r="D4145" s="51">
        <v>0</v>
      </c>
    </row>
    <row r="4146" spans="1:4">
      <c r="A4146" s="50">
        <v>45099</v>
      </c>
      <c r="B4146" s="49" t="s">
        <v>46</v>
      </c>
      <c r="C4146" s="51">
        <v>63041.9</v>
      </c>
      <c r="D4146" s="51">
        <v>0</v>
      </c>
    </row>
    <row r="4147" spans="1:4">
      <c r="A4147" s="50">
        <v>45099</v>
      </c>
      <c r="B4147" s="49" t="s">
        <v>47</v>
      </c>
      <c r="C4147" s="51">
        <v>66640.600000000006</v>
      </c>
      <c r="D4147" s="51">
        <v>0</v>
      </c>
    </row>
    <row r="4148" spans="1:4">
      <c r="A4148" s="50">
        <v>45099</v>
      </c>
      <c r="B4148" s="49" t="s">
        <v>48</v>
      </c>
      <c r="C4148" s="51">
        <v>66459.8</v>
      </c>
      <c r="D4148" s="51">
        <v>0</v>
      </c>
    </row>
    <row r="4149" spans="1:4">
      <c r="A4149" s="50">
        <v>45099</v>
      </c>
      <c r="B4149" s="49" t="s">
        <v>49</v>
      </c>
      <c r="C4149" s="51">
        <v>67316.899999999994</v>
      </c>
      <c r="D4149" s="51">
        <v>0</v>
      </c>
    </row>
    <row r="4150" spans="1:4">
      <c r="A4150" s="50">
        <v>45099</v>
      </c>
      <c r="B4150" s="49" t="s">
        <v>50</v>
      </c>
      <c r="C4150" s="51">
        <v>67646</v>
      </c>
      <c r="D4150" s="51">
        <v>0</v>
      </c>
    </row>
    <row r="4151" spans="1:4">
      <c r="A4151" s="50">
        <v>45099</v>
      </c>
      <c r="B4151" s="49" t="s">
        <v>51</v>
      </c>
      <c r="C4151" s="51">
        <v>67283.8</v>
      </c>
      <c r="D4151" s="51">
        <v>0</v>
      </c>
    </row>
    <row r="4152" spans="1:4">
      <c r="A4152" s="50">
        <v>45099</v>
      </c>
      <c r="B4152" s="49" t="s">
        <v>52</v>
      </c>
      <c r="C4152" s="51">
        <v>66344.5</v>
      </c>
      <c r="D4152" s="51">
        <v>0</v>
      </c>
    </row>
    <row r="4153" spans="1:4">
      <c r="A4153" s="50">
        <v>45099</v>
      </c>
      <c r="B4153" s="49" t="s">
        <v>53</v>
      </c>
      <c r="C4153" s="51">
        <v>67354.100000000006</v>
      </c>
      <c r="D4153" s="51">
        <v>0</v>
      </c>
    </row>
    <row r="4154" spans="1:4">
      <c r="A4154" s="50">
        <v>45100</v>
      </c>
      <c r="B4154" s="49" t="s">
        <v>30</v>
      </c>
      <c r="C4154" s="51">
        <v>53376.7</v>
      </c>
      <c r="D4154" s="51">
        <v>0</v>
      </c>
    </row>
    <row r="4155" spans="1:4">
      <c r="A4155" s="50">
        <v>45100</v>
      </c>
      <c r="B4155" s="49" t="s">
        <v>31</v>
      </c>
      <c r="C4155" s="51">
        <v>51354.6</v>
      </c>
      <c r="D4155" s="51">
        <v>0</v>
      </c>
    </row>
    <row r="4156" spans="1:4">
      <c r="A4156" s="50">
        <v>45100</v>
      </c>
      <c r="B4156" s="49" t="s">
        <v>32</v>
      </c>
      <c r="C4156" s="51">
        <v>51328.2</v>
      </c>
      <c r="D4156" s="51">
        <v>0</v>
      </c>
    </row>
    <row r="4157" spans="1:4">
      <c r="A4157" s="50">
        <v>45100</v>
      </c>
      <c r="B4157" s="49" t="s">
        <v>33</v>
      </c>
      <c r="C4157" s="51">
        <v>51429.599999999999</v>
      </c>
      <c r="D4157" s="51">
        <v>0</v>
      </c>
    </row>
    <row r="4158" spans="1:4">
      <c r="A4158" s="50">
        <v>45100</v>
      </c>
      <c r="B4158" s="49" t="s">
        <v>34</v>
      </c>
      <c r="C4158" s="51">
        <v>51400.7</v>
      </c>
      <c r="D4158" s="51">
        <v>0</v>
      </c>
    </row>
    <row r="4159" spans="1:4">
      <c r="A4159" s="50">
        <v>45100</v>
      </c>
      <c r="B4159" s="49" t="s">
        <v>35</v>
      </c>
      <c r="C4159" s="51">
        <v>51309.7</v>
      </c>
      <c r="D4159" s="51">
        <v>0</v>
      </c>
    </row>
    <row r="4160" spans="1:4">
      <c r="A4160" s="50">
        <v>45100</v>
      </c>
      <c r="B4160" s="49" t="s">
        <v>36</v>
      </c>
      <c r="C4160" s="51">
        <v>51311.6</v>
      </c>
      <c r="D4160" s="51">
        <v>0</v>
      </c>
    </row>
    <row r="4161" spans="1:4">
      <c r="A4161" s="50">
        <v>45100</v>
      </c>
      <c r="B4161" s="49" t="s">
        <v>37</v>
      </c>
      <c r="C4161" s="51">
        <v>51547.199999999997</v>
      </c>
      <c r="D4161" s="51">
        <v>0</v>
      </c>
    </row>
    <row r="4162" spans="1:4">
      <c r="A4162" s="50">
        <v>45100</v>
      </c>
      <c r="B4162" s="49" t="s">
        <v>38</v>
      </c>
      <c r="C4162" s="51">
        <v>51448.2</v>
      </c>
      <c r="D4162" s="51">
        <v>0</v>
      </c>
    </row>
    <row r="4163" spans="1:4">
      <c r="A4163" s="50">
        <v>45100</v>
      </c>
      <c r="B4163" s="49" t="s">
        <v>39</v>
      </c>
      <c r="C4163" s="51">
        <v>51506.1</v>
      </c>
      <c r="D4163" s="51">
        <v>0</v>
      </c>
    </row>
    <row r="4164" spans="1:4">
      <c r="A4164" s="50">
        <v>45100</v>
      </c>
      <c r="B4164" s="49" t="s">
        <v>40</v>
      </c>
      <c r="C4164" s="51">
        <v>51637</v>
      </c>
      <c r="D4164" s="51">
        <v>0</v>
      </c>
    </row>
    <row r="4165" spans="1:4">
      <c r="A4165" s="50">
        <v>45100</v>
      </c>
      <c r="B4165" s="49" t="s">
        <v>41</v>
      </c>
      <c r="C4165" s="51">
        <v>51415</v>
      </c>
      <c r="D4165" s="51">
        <v>0</v>
      </c>
    </row>
    <row r="4166" spans="1:4">
      <c r="A4166" s="50">
        <v>45100</v>
      </c>
      <c r="B4166" s="49" t="s">
        <v>42</v>
      </c>
      <c r="C4166" s="51">
        <v>51625.9</v>
      </c>
      <c r="D4166" s="51">
        <v>0</v>
      </c>
    </row>
    <row r="4167" spans="1:4">
      <c r="A4167" s="50">
        <v>45100</v>
      </c>
      <c r="B4167" s="49" t="s">
        <v>43</v>
      </c>
      <c r="C4167" s="51">
        <v>53890.9</v>
      </c>
      <c r="D4167" s="51">
        <v>0</v>
      </c>
    </row>
    <row r="4168" spans="1:4">
      <c r="A4168" s="50">
        <v>45100</v>
      </c>
      <c r="B4168" s="49" t="s">
        <v>44</v>
      </c>
      <c r="C4168" s="51">
        <v>64512.1</v>
      </c>
      <c r="D4168" s="51">
        <v>0</v>
      </c>
    </row>
    <row r="4169" spans="1:4">
      <c r="A4169" s="50">
        <v>45100</v>
      </c>
      <c r="B4169" s="49" t="s">
        <v>45</v>
      </c>
      <c r="C4169" s="51">
        <v>65775.8</v>
      </c>
      <c r="D4169" s="51">
        <v>0</v>
      </c>
    </row>
    <row r="4170" spans="1:4">
      <c r="A4170" s="50">
        <v>45100</v>
      </c>
      <c r="B4170" s="49" t="s">
        <v>46</v>
      </c>
      <c r="C4170" s="51">
        <v>67563.899999999994</v>
      </c>
      <c r="D4170" s="51">
        <v>0</v>
      </c>
    </row>
    <row r="4171" spans="1:4">
      <c r="A4171" s="50">
        <v>45100</v>
      </c>
      <c r="B4171" s="49" t="s">
        <v>47</v>
      </c>
      <c r="C4171" s="51">
        <v>67565.2</v>
      </c>
      <c r="D4171" s="51">
        <v>0</v>
      </c>
    </row>
    <row r="4172" spans="1:4">
      <c r="A4172" s="50">
        <v>45100</v>
      </c>
      <c r="B4172" s="49" t="s">
        <v>48</v>
      </c>
      <c r="C4172" s="51">
        <v>67649.8</v>
      </c>
      <c r="D4172" s="51">
        <v>0</v>
      </c>
    </row>
    <row r="4173" spans="1:4">
      <c r="A4173" s="50">
        <v>45100</v>
      </c>
      <c r="B4173" s="49" t="s">
        <v>49</v>
      </c>
      <c r="C4173" s="51">
        <v>67936.600000000006</v>
      </c>
      <c r="D4173" s="51">
        <v>0</v>
      </c>
    </row>
    <row r="4174" spans="1:4">
      <c r="A4174" s="50">
        <v>45100</v>
      </c>
      <c r="B4174" s="49" t="s">
        <v>50</v>
      </c>
      <c r="C4174" s="51">
        <v>68666.600000000006</v>
      </c>
      <c r="D4174" s="51">
        <v>0</v>
      </c>
    </row>
    <row r="4175" spans="1:4">
      <c r="A4175" s="50">
        <v>45100</v>
      </c>
      <c r="B4175" s="49" t="s">
        <v>51</v>
      </c>
      <c r="C4175" s="51">
        <v>68492.600000000006</v>
      </c>
      <c r="D4175" s="51">
        <v>0</v>
      </c>
    </row>
    <row r="4176" spans="1:4">
      <c r="A4176" s="50">
        <v>45100</v>
      </c>
      <c r="B4176" s="49" t="s">
        <v>52</v>
      </c>
      <c r="C4176" s="51">
        <v>68734.5</v>
      </c>
      <c r="D4176" s="51">
        <v>0</v>
      </c>
    </row>
    <row r="4177" spans="1:4">
      <c r="A4177" s="50">
        <v>45100</v>
      </c>
      <c r="B4177" s="49" t="s">
        <v>53</v>
      </c>
      <c r="C4177" s="51">
        <v>68945.7</v>
      </c>
      <c r="D4177" s="51">
        <v>0</v>
      </c>
    </row>
    <row r="4178" spans="1:4">
      <c r="A4178" s="50">
        <v>45101</v>
      </c>
      <c r="B4178" s="49" t="s">
        <v>30</v>
      </c>
      <c r="C4178" s="51">
        <v>68800.100000000006</v>
      </c>
      <c r="D4178" s="51">
        <v>0</v>
      </c>
    </row>
    <row r="4179" spans="1:4">
      <c r="A4179" s="50">
        <v>45101</v>
      </c>
      <c r="B4179" s="49" t="s">
        <v>31</v>
      </c>
      <c r="C4179" s="51">
        <v>68856.2</v>
      </c>
      <c r="D4179" s="51">
        <v>0</v>
      </c>
    </row>
    <row r="4180" spans="1:4">
      <c r="A4180" s="50">
        <v>45101</v>
      </c>
      <c r="B4180" s="49" t="s">
        <v>32</v>
      </c>
      <c r="C4180" s="51">
        <v>68556.7</v>
      </c>
      <c r="D4180" s="51">
        <v>0</v>
      </c>
    </row>
    <row r="4181" spans="1:4">
      <c r="A4181" s="50">
        <v>45101</v>
      </c>
      <c r="B4181" s="49" t="s">
        <v>33</v>
      </c>
      <c r="C4181" s="51">
        <v>68616.3</v>
      </c>
      <c r="D4181" s="51">
        <v>0</v>
      </c>
    </row>
    <row r="4182" spans="1:4">
      <c r="A4182" s="50">
        <v>45101</v>
      </c>
      <c r="B4182" s="49" t="s">
        <v>34</v>
      </c>
      <c r="C4182" s="51">
        <v>65400.6</v>
      </c>
      <c r="D4182" s="51">
        <v>0</v>
      </c>
    </row>
    <row r="4183" spans="1:4">
      <c r="A4183" s="50">
        <v>45101</v>
      </c>
      <c r="B4183" s="49" t="s">
        <v>35</v>
      </c>
      <c r="C4183" s="51">
        <v>52608.1</v>
      </c>
      <c r="D4183" s="51">
        <v>0</v>
      </c>
    </row>
    <row r="4184" spans="1:4">
      <c r="A4184" s="50">
        <v>45101</v>
      </c>
      <c r="B4184" s="49" t="s">
        <v>36</v>
      </c>
      <c r="C4184" s="51">
        <v>52046.6</v>
      </c>
      <c r="D4184" s="51">
        <v>0</v>
      </c>
    </row>
    <row r="4185" spans="1:4">
      <c r="A4185" s="50">
        <v>45101</v>
      </c>
      <c r="B4185" s="49" t="s">
        <v>37</v>
      </c>
      <c r="C4185" s="51">
        <v>52071</v>
      </c>
      <c r="D4185" s="51">
        <v>0</v>
      </c>
    </row>
    <row r="4186" spans="1:4">
      <c r="A4186" s="50">
        <v>45101</v>
      </c>
      <c r="B4186" s="49" t="s">
        <v>38</v>
      </c>
      <c r="C4186" s="51">
        <v>51176.800000000003</v>
      </c>
      <c r="D4186" s="51">
        <v>0</v>
      </c>
    </row>
    <row r="4187" spans="1:4">
      <c r="A4187" s="50">
        <v>45101</v>
      </c>
      <c r="B4187" s="49" t="s">
        <v>39</v>
      </c>
      <c r="C4187" s="51">
        <v>64620.1</v>
      </c>
      <c r="D4187" s="51">
        <v>0</v>
      </c>
    </row>
    <row r="4188" spans="1:4">
      <c r="A4188" s="50">
        <v>45101</v>
      </c>
      <c r="B4188" s="49" t="s">
        <v>40</v>
      </c>
      <c r="C4188" s="51">
        <v>67994.399999999994</v>
      </c>
      <c r="D4188" s="51">
        <v>0</v>
      </c>
    </row>
    <row r="4189" spans="1:4">
      <c r="A4189" s="50">
        <v>45101</v>
      </c>
      <c r="B4189" s="49" t="s">
        <v>41</v>
      </c>
      <c r="C4189" s="51">
        <v>68105.600000000006</v>
      </c>
      <c r="D4189" s="51">
        <v>0</v>
      </c>
    </row>
    <row r="4190" spans="1:4">
      <c r="A4190" s="50">
        <v>45101</v>
      </c>
      <c r="B4190" s="49" t="s">
        <v>42</v>
      </c>
      <c r="C4190" s="51">
        <v>68086.2</v>
      </c>
      <c r="D4190" s="51">
        <v>0</v>
      </c>
    </row>
    <row r="4191" spans="1:4">
      <c r="A4191" s="50">
        <v>45101</v>
      </c>
      <c r="B4191" s="49" t="s">
        <v>43</v>
      </c>
      <c r="C4191" s="51">
        <v>68096.3</v>
      </c>
      <c r="D4191" s="51">
        <v>0</v>
      </c>
    </row>
    <row r="4192" spans="1:4">
      <c r="A4192" s="50">
        <v>45101</v>
      </c>
      <c r="B4192" s="49" t="s">
        <v>44</v>
      </c>
      <c r="C4192" s="51">
        <v>68128.600000000006</v>
      </c>
      <c r="D4192" s="51">
        <v>0</v>
      </c>
    </row>
    <row r="4193" spans="1:4">
      <c r="A4193" s="50">
        <v>45101</v>
      </c>
      <c r="B4193" s="49" t="s">
        <v>45</v>
      </c>
      <c r="C4193" s="51">
        <v>68070.5</v>
      </c>
      <c r="D4193" s="51">
        <v>0</v>
      </c>
    </row>
    <row r="4194" spans="1:4">
      <c r="A4194" s="50">
        <v>45101</v>
      </c>
      <c r="B4194" s="49" t="s">
        <v>46</v>
      </c>
      <c r="C4194" s="51">
        <v>68193.600000000006</v>
      </c>
      <c r="D4194" s="51">
        <v>0</v>
      </c>
    </row>
    <row r="4195" spans="1:4">
      <c r="A4195" s="50">
        <v>45101</v>
      </c>
      <c r="B4195" s="49" t="s">
        <v>47</v>
      </c>
      <c r="C4195" s="51">
        <v>67993.8</v>
      </c>
      <c r="D4195" s="51">
        <v>0</v>
      </c>
    </row>
    <row r="4196" spans="1:4">
      <c r="A4196" s="50">
        <v>45101</v>
      </c>
      <c r="B4196" s="49" t="s">
        <v>48</v>
      </c>
      <c r="C4196" s="51">
        <v>68166.7</v>
      </c>
      <c r="D4196" s="51">
        <v>0</v>
      </c>
    </row>
    <row r="4197" spans="1:4">
      <c r="A4197" s="50">
        <v>45101</v>
      </c>
      <c r="B4197" s="49" t="s">
        <v>49</v>
      </c>
      <c r="C4197" s="51">
        <v>67940.7</v>
      </c>
      <c r="D4197" s="51">
        <v>0</v>
      </c>
    </row>
    <row r="4198" spans="1:4">
      <c r="A4198" s="50">
        <v>45101</v>
      </c>
      <c r="B4198" s="49" t="s">
        <v>50</v>
      </c>
      <c r="C4198" s="51">
        <v>67767.8</v>
      </c>
      <c r="D4198" s="51">
        <v>0</v>
      </c>
    </row>
    <row r="4199" spans="1:4">
      <c r="A4199" s="50">
        <v>45101</v>
      </c>
      <c r="B4199" s="49" t="s">
        <v>51</v>
      </c>
      <c r="C4199" s="51">
        <v>67230.899999999994</v>
      </c>
      <c r="D4199" s="51">
        <v>0</v>
      </c>
    </row>
    <row r="4200" spans="1:4">
      <c r="A4200" s="50">
        <v>45101</v>
      </c>
      <c r="B4200" s="49" t="s">
        <v>52</v>
      </c>
      <c r="C4200" s="51">
        <v>66749.7</v>
      </c>
      <c r="D4200" s="51">
        <v>0</v>
      </c>
    </row>
    <row r="4201" spans="1:4">
      <c r="A4201" s="50">
        <v>45101</v>
      </c>
      <c r="B4201" s="49" t="s">
        <v>53</v>
      </c>
      <c r="C4201" s="51">
        <v>68452.3</v>
      </c>
      <c r="D4201" s="51">
        <v>0</v>
      </c>
    </row>
    <row r="4202" spans="1:4">
      <c r="A4202" s="50">
        <v>45102</v>
      </c>
      <c r="B4202" s="49" t="s">
        <v>30</v>
      </c>
      <c r="C4202" s="51">
        <v>59360.7</v>
      </c>
      <c r="D4202" s="51">
        <v>0</v>
      </c>
    </row>
    <row r="4203" spans="1:4">
      <c r="A4203" s="50">
        <v>45102</v>
      </c>
      <c r="B4203" s="49" t="s">
        <v>31</v>
      </c>
      <c r="C4203" s="51">
        <v>67469.8</v>
      </c>
      <c r="D4203" s="51">
        <v>0</v>
      </c>
    </row>
    <row r="4204" spans="1:4">
      <c r="A4204" s="50">
        <v>45102</v>
      </c>
      <c r="B4204" s="49" t="s">
        <v>32</v>
      </c>
      <c r="C4204" s="51">
        <v>68631.3</v>
      </c>
      <c r="D4204" s="51">
        <v>0</v>
      </c>
    </row>
    <row r="4205" spans="1:4">
      <c r="A4205" s="50">
        <v>45102</v>
      </c>
      <c r="B4205" s="49" t="s">
        <v>33</v>
      </c>
      <c r="C4205" s="51">
        <v>68658.7</v>
      </c>
      <c r="D4205" s="51">
        <v>0</v>
      </c>
    </row>
    <row r="4206" spans="1:4">
      <c r="A4206" s="50">
        <v>45102</v>
      </c>
      <c r="B4206" s="49" t="s">
        <v>34</v>
      </c>
      <c r="C4206" s="51">
        <v>65359.5</v>
      </c>
      <c r="D4206" s="51">
        <v>0</v>
      </c>
    </row>
    <row r="4207" spans="1:4">
      <c r="A4207" s="50">
        <v>45102</v>
      </c>
      <c r="B4207" s="49" t="s">
        <v>35</v>
      </c>
      <c r="C4207" s="51">
        <v>54794.3</v>
      </c>
      <c r="D4207" s="51">
        <v>0</v>
      </c>
    </row>
    <row r="4208" spans="1:4">
      <c r="A4208" s="50">
        <v>45102</v>
      </c>
      <c r="B4208" s="49" t="s">
        <v>36</v>
      </c>
      <c r="C4208" s="51">
        <v>55126.2</v>
      </c>
      <c r="D4208" s="51">
        <v>0</v>
      </c>
    </row>
    <row r="4209" spans="1:4">
      <c r="A4209" s="50">
        <v>45102</v>
      </c>
      <c r="B4209" s="49" t="s">
        <v>37</v>
      </c>
      <c r="C4209" s="51">
        <v>54917.9</v>
      </c>
      <c r="D4209" s="51">
        <v>0</v>
      </c>
    </row>
    <row r="4210" spans="1:4">
      <c r="A4210" s="50">
        <v>45102</v>
      </c>
      <c r="B4210" s="49" t="s">
        <v>38</v>
      </c>
      <c r="C4210" s="51">
        <v>54900.7</v>
      </c>
      <c r="D4210" s="51">
        <v>0</v>
      </c>
    </row>
    <row r="4211" spans="1:4">
      <c r="A4211" s="50">
        <v>45102</v>
      </c>
      <c r="B4211" s="49" t="s">
        <v>39</v>
      </c>
      <c r="C4211" s="51">
        <v>54998</v>
      </c>
      <c r="D4211" s="51">
        <v>0</v>
      </c>
    </row>
    <row r="4212" spans="1:4">
      <c r="A4212" s="50">
        <v>45102</v>
      </c>
      <c r="B4212" s="49" t="s">
        <v>40</v>
      </c>
      <c r="C4212" s="51">
        <v>55013.7</v>
      </c>
      <c r="D4212" s="51">
        <v>0</v>
      </c>
    </row>
    <row r="4213" spans="1:4">
      <c r="A4213" s="50">
        <v>45102</v>
      </c>
      <c r="B4213" s="49" t="s">
        <v>41</v>
      </c>
      <c r="C4213" s="51">
        <v>69033.8</v>
      </c>
      <c r="D4213" s="51">
        <v>0</v>
      </c>
    </row>
    <row r="4214" spans="1:4">
      <c r="A4214" s="50">
        <v>45102</v>
      </c>
      <c r="B4214" s="49" t="s">
        <v>42</v>
      </c>
      <c r="C4214" s="51">
        <v>69289.399999999994</v>
      </c>
      <c r="D4214" s="51">
        <v>0</v>
      </c>
    </row>
    <row r="4215" spans="1:4">
      <c r="A4215" s="50">
        <v>45102</v>
      </c>
      <c r="B4215" s="49" t="s">
        <v>43</v>
      </c>
      <c r="C4215" s="51">
        <v>69339.7</v>
      </c>
      <c r="D4215" s="51">
        <v>0</v>
      </c>
    </row>
    <row r="4216" spans="1:4">
      <c r="A4216" s="50">
        <v>45102</v>
      </c>
      <c r="B4216" s="49" t="s">
        <v>44</v>
      </c>
      <c r="C4216" s="51">
        <v>69219.199999999997</v>
      </c>
      <c r="D4216" s="51">
        <v>0</v>
      </c>
    </row>
    <row r="4217" spans="1:4">
      <c r="A4217" s="50">
        <v>45102</v>
      </c>
      <c r="B4217" s="49" t="s">
        <v>45</v>
      </c>
      <c r="C4217" s="51">
        <v>69116.800000000003</v>
      </c>
      <c r="D4217" s="51">
        <v>0</v>
      </c>
    </row>
    <row r="4218" spans="1:4">
      <c r="A4218" s="50">
        <v>45102</v>
      </c>
      <c r="B4218" s="49" t="s">
        <v>46</v>
      </c>
      <c r="C4218" s="51">
        <v>69204.100000000006</v>
      </c>
      <c r="D4218" s="51">
        <v>0</v>
      </c>
    </row>
    <row r="4219" spans="1:4">
      <c r="A4219" s="50">
        <v>45102</v>
      </c>
      <c r="B4219" s="49" t="s">
        <v>47</v>
      </c>
      <c r="C4219" s="51">
        <v>69094.3</v>
      </c>
      <c r="D4219" s="51">
        <v>0</v>
      </c>
    </row>
    <row r="4220" spans="1:4">
      <c r="A4220" s="50">
        <v>45102</v>
      </c>
      <c r="B4220" s="49" t="s">
        <v>48</v>
      </c>
      <c r="C4220" s="51">
        <v>69176.2</v>
      </c>
      <c r="D4220" s="51">
        <v>0</v>
      </c>
    </row>
    <row r="4221" spans="1:4">
      <c r="A4221" s="50">
        <v>45102</v>
      </c>
      <c r="B4221" s="49" t="s">
        <v>49</v>
      </c>
      <c r="C4221" s="51">
        <v>69250.2</v>
      </c>
      <c r="D4221" s="51">
        <v>0</v>
      </c>
    </row>
    <row r="4222" spans="1:4">
      <c r="A4222" s="50">
        <v>45102</v>
      </c>
      <c r="B4222" s="49" t="s">
        <v>50</v>
      </c>
      <c r="C4222" s="51">
        <v>69165.5</v>
      </c>
      <c r="D4222" s="51">
        <v>0</v>
      </c>
    </row>
    <row r="4223" spans="1:4">
      <c r="A4223" s="50">
        <v>45102</v>
      </c>
      <c r="B4223" s="49" t="s">
        <v>51</v>
      </c>
      <c r="C4223" s="51">
        <v>68870.399999999994</v>
      </c>
      <c r="D4223" s="51">
        <v>0</v>
      </c>
    </row>
    <row r="4224" spans="1:4">
      <c r="A4224" s="50">
        <v>45102</v>
      </c>
      <c r="B4224" s="49" t="s">
        <v>52</v>
      </c>
      <c r="C4224" s="51">
        <v>68845</v>
      </c>
      <c r="D4224" s="51">
        <v>0</v>
      </c>
    </row>
    <row r="4225" spans="1:4">
      <c r="A4225" s="50">
        <v>45102</v>
      </c>
      <c r="B4225" s="49" t="s">
        <v>53</v>
      </c>
      <c r="C4225" s="51">
        <v>68444.899999999994</v>
      </c>
      <c r="D4225" s="51">
        <v>0</v>
      </c>
    </row>
    <row r="4226" spans="1:4">
      <c r="A4226" s="50">
        <v>45103</v>
      </c>
      <c r="B4226" s="49" t="s">
        <v>30</v>
      </c>
      <c r="C4226" s="51">
        <v>67397.100000000006</v>
      </c>
      <c r="D4226" s="51">
        <v>0</v>
      </c>
    </row>
    <row r="4227" spans="1:4">
      <c r="A4227" s="50">
        <v>45103</v>
      </c>
      <c r="B4227" s="49" t="s">
        <v>31</v>
      </c>
      <c r="C4227" s="51">
        <v>67862.399999999994</v>
      </c>
      <c r="D4227" s="51">
        <v>0</v>
      </c>
    </row>
    <row r="4228" spans="1:4">
      <c r="A4228" s="50">
        <v>45103</v>
      </c>
      <c r="B4228" s="49" t="s">
        <v>32</v>
      </c>
      <c r="C4228" s="51">
        <v>67869.2</v>
      </c>
      <c r="D4228" s="51">
        <v>0</v>
      </c>
    </row>
    <row r="4229" spans="1:4">
      <c r="A4229" s="50">
        <v>45103</v>
      </c>
      <c r="B4229" s="49" t="s">
        <v>33</v>
      </c>
      <c r="C4229" s="51">
        <v>67936.600000000006</v>
      </c>
      <c r="D4229" s="51">
        <v>0</v>
      </c>
    </row>
    <row r="4230" spans="1:4">
      <c r="A4230" s="50">
        <v>45103</v>
      </c>
      <c r="B4230" s="49" t="s">
        <v>34</v>
      </c>
      <c r="C4230" s="51">
        <v>68270.899999999994</v>
      </c>
      <c r="D4230" s="51">
        <v>0</v>
      </c>
    </row>
    <row r="4231" spans="1:4">
      <c r="A4231" s="50">
        <v>45103</v>
      </c>
      <c r="B4231" s="49" t="s">
        <v>35</v>
      </c>
      <c r="C4231" s="51">
        <v>68412.7</v>
      </c>
      <c r="D4231" s="51">
        <v>0</v>
      </c>
    </row>
    <row r="4232" spans="1:4">
      <c r="A4232" s="50">
        <v>45103</v>
      </c>
      <c r="B4232" s="49" t="s">
        <v>36</v>
      </c>
      <c r="C4232" s="51">
        <v>51327.1</v>
      </c>
      <c r="D4232" s="51">
        <v>0</v>
      </c>
    </row>
    <row r="4233" spans="1:4">
      <c r="A4233" s="50">
        <v>45103</v>
      </c>
      <c r="B4233" s="49" t="s">
        <v>37</v>
      </c>
      <c r="C4233" s="51">
        <v>51251.1</v>
      </c>
      <c r="D4233" s="51">
        <v>0</v>
      </c>
    </row>
    <row r="4234" spans="1:4">
      <c r="A4234" s="50">
        <v>45103</v>
      </c>
      <c r="B4234" s="49" t="s">
        <v>38</v>
      </c>
      <c r="C4234" s="51">
        <v>67983.899999999994</v>
      </c>
      <c r="D4234" s="51">
        <v>0</v>
      </c>
    </row>
    <row r="4235" spans="1:4">
      <c r="A4235" s="50">
        <v>45103</v>
      </c>
      <c r="B4235" s="49" t="s">
        <v>39</v>
      </c>
      <c r="C4235" s="51">
        <v>67974.3</v>
      </c>
      <c r="D4235" s="51">
        <v>0</v>
      </c>
    </row>
    <row r="4236" spans="1:4">
      <c r="A4236" s="50">
        <v>45103</v>
      </c>
      <c r="B4236" s="49" t="s">
        <v>40</v>
      </c>
      <c r="C4236" s="51">
        <v>68256.899999999994</v>
      </c>
      <c r="D4236" s="51">
        <v>0</v>
      </c>
    </row>
    <row r="4237" spans="1:4">
      <c r="A4237" s="50">
        <v>45103</v>
      </c>
      <c r="B4237" s="49" t="s">
        <v>41</v>
      </c>
      <c r="C4237" s="51">
        <v>68210.399999999994</v>
      </c>
      <c r="D4237" s="51">
        <v>0</v>
      </c>
    </row>
    <row r="4238" spans="1:4">
      <c r="A4238" s="50">
        <v>45103</v>
      </c>
      <c r="B4238" s="49" t="s">
        <v>42</v>
      </c>
      <c r="C4238" s="51">
        <v>68134.5</v>
      </c>
      <c r="D4238" s="51">
        <v>0</v>
      </c>
    </row>
    <row r="4239" spans="1:4">
      <c r="A4239" s="50">
        <v>45103</v>
      </c>
      <c r="B4239" s="49" t="s">
        <v>43</v>
      </c>
      <c r="C4239" s="51">
        <v>68035</v>
      </c>
      <c r="D4239" s="51">
        <v>0</v>
      </c>
    </row>
    <row r="4240" spans="1:4">
      <c r="A4240" s="50">
        <v>45103</v>
      </c>
      <c r="B4240" s="49" t="s">
        <v>44</v>
      </c>
      <c r="C4240" s="51">
        <v>68071</v>
      </c>
      <c r="D4240" s="51">
        <v>0</v>
      </c>
    </row>
    <row r="4241" spans="1:24">
      <c r="A4241" s="50">
        <v>45103</v>
      </c>
      <c r="B4241" s="49" t="s">
        <v>45</v>
      </c>
      <c r="C4241" s="51">
        <v>67966</v>
      </c>
      <c r="D4241" s="51">
        <v>0</v>
      </c>
    </row>
    <row r="4242" spans="1:24">
      <c r="A4242" s="50">
        <v>45103</v>
      </c>
      <c r="B4242" s="49" t="s">
        <v>46</v>
      </c>
      <c r="C4242" s="51">
        <v>68033.2</v>
      </c>
      <c r="D4242" s="51">
        <v>0</v>
      </c>
    </row>
    <row r="4243" spans="1:24">
      <c r="A4243" s="50">
        <v>45103</v>
      </c>
      <c r="B4243" s="49" t="s">
        <v>47</v>
      </c>
      <c r="C4243" s="51">
        <v>68126.8</v>
      </c>
      <c r="D4243" s="51">
        <v>0</v>
      </c>
    </row>
    <row r="4244" spans="1:24">
      <c r="A4244" s="50">
        <v>45103</v>
      </c>
      <c r="B4244" s="49" t="s">
        <v>48</v>
      </c>
      <c r="C4244" s="51">
        <v>68239.100000000006</v>
      </c>
      <c r="D4244" s="51">
        <v>0</v>
      </c>
    </row>
    <row r="4245" spans="1:24">
      <c r="A4245" s="50">
        <v>45103</v>
      </c>
      <c r="B4245" s="49" t="s">
        <v>49</v>
      </c>
      <c r="C4245" s="51">
        <v>68143.3</v>
      </c>
      <c r="D4245" s="51">
        <v>0</v>
      </c>
    </row>
    <row r="4246" spans="1:24">
      <c r="A4246" s="50">
        <v>45103</v>
      </c>
      <c r="B4246" s="49" t="s">
        <v>50</v>
      </c>
      <c r="C4246" s="51">
        <v>67945.8</v>
      </c>
      <c r="D4246" s="51">
        <v>0</v>
      </c>
    </row>
    <row r="4247" spans="1:24">
      <c r="A4247" s="50">
        <v>45103</v>
      </c>
      <c r="B4247" s="49" t="s">
        <v>51</v>
      </c>
      <c r="C4247" s="51">
        <v>67415.8</v>
      </c>
      <c r="D4247" s="51">
        <v>0</v>
      </c>
    </row>
    <row r="4248" spans="1:24">
      <c r="A4248" s="50">
        <v>45103</v>
      </c>
      <c r="B4248" s="49" t="s">
        <v>52</v>
      </c>
      <c r="C4248" s="51">
        <v>66694.2</v>
      </c>
      <c r="D4248" s="51">
        <v>0</v>
      </c>
    </row>
    <row r="4249" spans="1:24">
      <c r="A4249" s="50">
        <v>45103</v>
      </c>
      <c r="B4249" s="49" t="s">
        <v>53</v>
      </c>
      <c r="C4249" s="51">
        <v>67883.3</v>
      </c>
      <c r="D4249" s="51">
        <v>0</v>
      </c>
    </row>
    <row r="4250" spans="1:24">
      <c r="A4250" s="50">
        <v>45104</v>
      </c>
      <c r="B4250" s="49" t="s">
        <v>30</v>
      </c>
      <c r="C4250" s="51">
        <v>63372.5</v>
      </c>
      <c r="D4250" s="51">
        <v>0</v>
      </c>
    </row>
    <row r="4251" spans="1:24">
      <c r="A4251" s="50">
        <v>45104</v>
      </c>
      <c r="B4251" s="49" t="s">
        <v>31</v>
      </c>
      <c r="C4251" s="51">
        <v>67449</v>
      </c>
      <c r="D4251" s="51">
        <v>0</v>
      </c>
    </row>
    <row r="4252" spans="1:24">
      <c r="A4252" s="50">
        <v>45104</v>
      </c>
      <c r="B4252" s="49" t="s">
        <v>32</v>
      </c>
      <c r="C4252" s="51">
        <v>67426.399999999994</v>
      </c>
      <c r="D4252" s="51">
        <v>0</v>
      </c>
    </row>
    <row r="4253" spans="1:24">
      <c r="A4253" s="50">
        <v>45104</v>
      </c>
      <c r="B4253" s="49" t="s">
        <v>33</v>
      </c>
      <c r="C4253" s="51">
        <v>67513</v>
      </c>
      <c r="D4253" s="51">
        <v>0</v>
      </c>
    </row>
    <row r="4254" spans="1:24">
      <c r="A4254" s="50">
        <v>45104</v>
      </c>
      <c r="B4254" s="49" t="s">
        <v>34</v>
      </c>
      <c r="C4254" s="51">
        <v>67689.3</v>
      </c>
      <c r="D4254" s="51">
        <v>0</v>
      </c>
    </row>
    <row r="4255" spans="1:24">
      <c r="A4255" s="50">
        <v>45104</v>
      </c>
      <c r="B4255" s="49" t="s">
        <v>35</v>
      </c>
      <c r="C4255" s="51">
        <v>62505.3</v>
      </c>
      <c r="D4255" s="51">
        <v>0</v>
      </c>
    </row>
    <row r="4256" spans="1:24">
      <c r="A4256" s="50">
        <v>45104</v>
      </c>
      <c r="B4256" s="49" t="s">
        <v>36</v>
      </c>
      <c r="C4256" s="51">
        <v>51080.7</v>
      </c>
      <c r="D4256" s="51">
        <v>0</v>
      </c>
      <c r="E4256" s="168"/>
      <c r="F4256" s="168"/>
      <c r="G4256" s="168"/>
      <c r="H4256" s="168"/>
      <c r="I4256" s="168"/>
      <c r="J4256" s="168"/>
      <c r="K4256" s="168"/>
      <c r="L4256" s="168"/>
      <c r="M4256" s="168"/>
      <c r="N4256" s="168"/>
      <c r="O4256" s="168"/>
      <c r="P4256" s="168"/>
      <c r="Q4256" s="168"/>
      <c r="R4256" s="168"/>
      <c r="S4256" s="168"/>
      <c r="T4256" s="168"/>
      <c r="U4256" s="168"/>
      <c r="V4256" s="168"/>
      <c r="W4256" s="168"/>
      <c r="X4256" s="168"/>
    </row>
    <row r="4257" spans="1:4">
      <c r="A4257" s="50">
        <v>45104</v>
      </c>
      <c r="B4257" s="49" t="s">
        <v>37</v>
      </c>
      <c r="C4257" s="51">
        <v>51073.4</v>
      </c>
      <c r="D4257" s="51">
        <v>0</v>
      </c>
    </row>
    <row r="4258" spans="1:4">
      <c r="A4258" s="50">
        <v>45104</v>
      </c>
      <c r="B4258" s="49" t="s">
        <v>38</v>
      </c>
      <c r="C4258" s="51">
        <v>67273.600000000006</v>
      </c>
      <c r="D4258" s="51">
        <v>0</v>
      </c>
    </row>
    <row r="4259" spans="1:4">
      <c r="A4259" s="50">
        <v>45104</v>
      </c>
      <c r="B4259" s="49" t="s">
        <v>39</v>
      </c>
      <c r="C4259" s="51">
        <v>67781.2</v>
      </c>
      <c r="D4259" s="51">
        <v>0</v>
      </c>
    </row>
    <row r="4260" spans="1:4">
      <c r="A4260" s="50">
        <v>45104</v>
      </c>
      <c r="B4260" s="49" t="s">
        <v>40</v>
      </c>
      <c r="C4260" s="51">
        <v>67673</v>
      </c>
      <c r="D4260" s="51">
        <v>0</v>
      </c>
    </row>
    <row r="4261" spans="1:4">
      <c r="A4261" s="50">
        <v>45104</v>
      </c>
      <c r="B4261" s="49" t="s">
        <v>41</v>
      </c>
      <c r="C4261" s="51">
        <v>67765.600000000006</v>
      </c>
      <c r="D4261" s="51">
        <v>0</v>
      </c>
    </row>
    <row r="4262" spans="1:4">
      <c r="A4262" s="50">
        <v>45104</v>
      </c>
      <c r="B4262" s="49" t="s">
        <v>42</v>
      </c>
      <c r="C4262" s="51">
        <v>67494.5</v>
      </c>
      <c r="D4262" s="51">
        <v>0</v>
      </c>
    </row>
    <row r="4263" spans="1:4">
      <c r="A4263" s="50">
        <v>45104</v>
      </c>
      <c r="B4263" s="49" t="s">
        <v>43</v>
      </c>
      <c r="C4263" s="51">
        <v>67473</v>
      </c>
      <c r="D4263" s="51">
        <v>0</v>
      </c>
    </row>
    <row r="4264" spans="1:4">
      <c r="A4264" s="50">
        <v>45104</v>
      </c>
      <c r="B4264" s="49" t="s">
        <v>44</v>
      </c>
      <c r="C4264" s="51">
        <v>67598</v>
      </c>
      <c r="D4264" s="51">
        <v>0</v>
      </c>
    </row>
    <row r="4265" spans="1:4">
      <c r="A4265" s="50">
        <v>45104</v>
      </c>
      <c r="B4265" s="49" t="s">
        <v>45</v>
      </c>
      <c r="C4265" s="51">
        <v>67735.600000000006</v>
      </c>
      <c r="D4265" s="51">
        <v>0</v>
      </c>
    </row>
    <row r="4266" spans="1:4">
      <c r="A4266" s="50">
        <v>45104</v>
      </c>
      <c r="B4266" s="49" t="s">
        <v>46</v>
      </c>
      <c r="C4266" s="51">
        <v>67801.899999999994</v>
      </c>
      <c r="D4266" s="51">
        <v>0</v>
      </c>
    </row>
    <row r="4267" spans="1:4">
      <c r="A4267" s="50">
        <v>45104</v>
      </c>
      <c r="B4267" s="49" t="s">
        <v>47</v>
      </c>
      <c r="C4267" s="51">
        <v>67864.2</v>
      </c>
      <c r="D4267" s="51">
        <v>0</v>
      </c>
    </row>
    <row r="4268" spans="1:4">
      <c r="A4268" s="50">
        <v>45104</v>
      </c>
      <c r="B4268" s="49" t="s">
        <v>48</v>
      </c>
      <c r="C4268" s="51">
        <v>67868.100000000006</v>
      </c>
      <c r="D4268" s="51">
        <v>0</v>
      </c>
    </row>
    <row r="4269" spans="1:4">
      <c r="A4269" s="50">
        <v>45104</v>
      </c>
      <c r="B4269" s="49" t="s">
        <v>49</v>
      </c>
      <c r="C4269" s="51">
        <v>67846.5</v>
      </c>
      <c r="D4269" s="51">
        <v>0</v>
      </c>
    </row>
    <row r="4270" spans="1:4">
      <c r="A4270" s="50">
        <v>45104</v>
      </c>
      <c r="B4270" s="49" t="s">
        <v>50</v>
      </c>
      <c r="C4270" s="51">
        <v>67932.100000000006</v>
      </c>
      <c r="D4270" s="51">
        <v>0</v>
      </c>
    </row>
    <row r="4271" spans="1:4">
      <c r="A4271" s="50">
        <v>45104</v>
      </c>
      <c r="B4271" s="49" t="s">
        <v>51</v>
      </c>
      <c r="C4271" s="51">
        <v>67813.7</v>
      </c>
      <c r="D4271" s="51">
        <v>0</v>
      </c>
    </row>
    <row r="4272" spans="1:4">
      <c r="A4272" s="50">
        <v>45104</v>
      </c>
      <c r="B4272" s="49" t="s">
        <v>52</v>
      </c>
      <c r="C4272" s="51">
        <v>67542.5</v>
      </c>
      <c r="D4272" s="51">
        <v>0</v>
      </c>
    </row>
    <row r="4273" spans="1:4">
      <c r="A4273" s="50">
        <v>45104</v>
      </c>
      <c r="B4273" s="49" t="s">
        <v>53</v>
      </c>
      <c r="C4273" s="51">
        <v>67307.100000000006</v>
      </c>
      <c r="D4273" s="51">
        <v>0</v>
      </c>
    </row>
    <row r="4274" spans="1:4">
      <c r="A4274" s="50">
        <v>45105</v>
      </c>
      <c r="B4274" s="49" t="s">
        <v>30</v>
      </c>
      <c r="C4274" s="51">
        <v>52084.2</v>
      </c>
      <c r="D4274" s="51">
        <v>0</v>
      </c>
    </row>
    <row r="4275" spans="1:4">
      <c r="A4275" s="50">
        <v>45105</v>
      </c>
      <c r="B4275" s="49" t="s">
        <v>31</v>
      </c>
      <c r="C4275" s="51">
        <v>51594.5</v>
      </c>
      <c r="D4275" s="51">
        <v>0</v>
      </c>
    </row>
    <row r="4276" spans="1:4">
      <c r="A4276" s="50">
        <v>45105</v>
      </c>
      <c r="B4276" s="49" t="s">
        <v>32</v>
      </c>
      <c r="C4276" s="51">
        <v>51426.8</v>
      </c>
      <c r="D4276" s="51">
        <v>0</v>
      </c>
    </row>
    <row r="4277" spans="1:4">
      <c r="A4277" s="50">
        <v>45105</v>
      </c>
      <c r="B4277" s="49" t="s">
        <v>33</v>
      </c>
      <c r="C4277" s="51">
        <v>51616.800000000003</v>
      </c>
      <c r="D4277" s="51">
        <v>0</v>
      </c>
    </row>
    <row r="4278" spans="1:4">
      <c r="A4278" s="50">
        <v>45105</v>
      </c>
      <c r="B4278" s="49" t="s">
        <v>34</v>
      </c>
      <c r="C4278" s="51">
        <v>51703.5</v>
      </c>
      <c r="D4278" s="51">
        <v>0</v>
      </c>
    </row>
    <row r="4279" spans="1:4">
      <c r="A4279" s="50">
        <v>45105</v>
      </c>
      <c r="B4279" s="49" t="s">
        <v>35</v>
      </c>
      <c r="C4279" s="51">
        <v>51655.5</v>
      </c>
      <c r="D4279" s="51">
        <v>0</v>
      </c>
    </row>
    <row r="4280" spans="1:4">
      <c r="A4280" s="50">
        <v>45105</v>
      </c>
      <c r="B4280" s="49" t="s">
        <v>36</v>
      </c>
      <c r="C4280" s="51">
        <v>51600.9</v>
      </c>
      <c r="D4280" s="51">
        <v>0</v>
      </c>
    </row>
    <row r="4281" spans="1:4">
      <c r="A4281" s="50">
        <v>45105</v>
      </c>
      <c r="B4281" s="49" t="s">
        <v>37</v>
      </c>
      <c r="C4281" s="51">
        <v>51449.2</v>
      </c>
      <c r="D4281" s="51">
        <v>0</v>
      </c>
    </row>
    <row r="4282" spans="1:4">
      <c r="A4282" s="50">
        <v>45105</v>
      </c>
      <c r="B4282" s="49" t="s">
        <v>38</v>
      </c>
      <c r="C4282" s="51">
        <v>51860.2</v>
      </c>
      <c r="D4282" s="51">
        <v>0</v>
      </c>
    </row>
    <row r="4283" spans="1:4">
      <c r="A4283" s="50">
        <v>45105</v>
      </c>
      <c r="B4283" s="49" t="s">
        <v>39</v>
      </c>
      <c r="C4283" s="51">
        <v>53523.4</v>
      </c>
      <c r="D4283" s="51">
        <v>0</v>
      </c>
    </row>
    <row r="4284" spans="1:4">
      <c r="A4284" s="50">
        <v>45105</v>
      </c>
      <c r="B4284" s="49" t="s">
        <v>40</v>
      </c>
      <c r="C4284" s="51">
        <v>53570.400000000001</v>
      </c>
      <c r="D4284" s="51">
        <v>0</v>
      </c>
    </row>
    <row r="4285" spans="1:4">
      <c r="A4285" s="50">
        <v>45105</v>
      </c>
      <c r="B4285" s="49" t="s">
        <v>41</v>
      </c>
      <c r="C4285" s="51">
        <v>53486.1</v>
      </c>
      <c r="D4285" s="51">
        <v>0</v>
      </c>
    </row>
    <row r="4286" spans="1:4">
      <c r="A4286" s="50">
        <v>45105</v>
      </c>
      <c r="B4286" s="49" t="s">
        <v>42</v>
      </c>
      <c r="C4286" s="51">
        <v>53481.3</v>
      </c>
      <c r="D4286" s="51">
        <v>0</v>
      </c>
    </row>
    <row r="4287" spans="1:4">
      <c r="A4287" s="50">
        <v>45105</v>
      </c>
      <c r="B4287" s="49" t="s">
        <v>43</v>
      </c>
      <c r="C4287" s="51">
        <v>53921.3</v>
      </c>
      <c r="D4287" s="51">
        <v>0</v>
      </c>
    </row>
    <row r="4288" spans="1:4">
      <c r="A4288" s="50">
        <v>45105</v>
      </c>
      <c r="B4288" s="49" t="s">
        <v>44</v>
      </c>
      <c r="C4288" s="51">
        <v>54309.7</v>
      </c>
      <c r="D4288" s="51">
        <v>0</v>
      </c>
    </row>
    <row r="4289" spans="1:4">
      <c r="A4289" s="50">
        <v>45105</v>
      </c>
      <c r="B4289" s="49" t="s">
        <v>45</v>
      </c>
      <c r="C4289" s="51">
        <v>45050.5</v>
      </c>
      <c r="D4289" s="51">
        <v>0</v>
      </c>
    </row>
    <row r="4290" spans="1:4">
      <c r="A4290" s="50">
        <v>45105</v>
      </c>
      <c r="B4290" s="49" t="s">
        <v>46</v>
      </c>
      <c r="C4290" s="51">
        <v>52725.8</v>
      </c>
      <c r="D4290" s="51">
        <v>0</v>
      </c>
    </row>
    <row r="4291" spans="1:4">
      <c r="A4291" s="50">
        <v>45105</v>
      </c>
      <c r="B4291" s="49" t="s">
        <v>47</v>
      </c>
      <c r="C4291" s="51">
        <v>69229.100000000006</v>
      </c>
      <c r="D4291" s="51">
        <v>0</v>
      </c>
    </row>
    <row r="4292" spans="1:4">
      <c r="A4292" s="50">
        <v>45105</v>
      </c>
      <c r="B4292" s="49" t="s">
        <v>48</v>
      </c>
      <c r="C4292" s="51">
        <v>55492.7</v>
      </c>
      <c r="D4292" s="51">
        <v>0</v>
      </c>
    </row>
    <row r="4293" spans="1:4">
      <c r="A4293" s="50">
        <v>45105</v>
      </c>
      <c r="B4293" s="49" t="s">
        <v>49</v>
      </c>
      <c r="C4293" s="51">
        <v>53853.4</v>
      </c>
      <c r="D4293" s="51">
        <v>0</v>
      </c>
    </row>
    <row r="4294" spans="1:4">
      <c r="A4294" s="50">
        <v>45105</v>
      </c>
      <c r="B4294" s="49" t="s">
        <v>50</v>
      </c>
      <c r="C4294" s="51">
        <v>53799.4</v>
      </c>
      <c r="D4294" s="51">
        <v>0</v>
      </c>
    </row>
    <row r="4295" spans="1:4">
      <c r="A4295" s="50">
        <v>45105</v>
      </c>
      <c r="B4295" s="49" t="s">
        <v>51</v>
      </c>
      <c r="C4295" s="51">
        <v>53981.599999999999</v>
      </c>
      <c r="D4295" s="51">
        <v>0</v>
      </c>
    </row>
    <row r="4296" spans="1:4">
      <c r="A4296" s="50">
        <v>45105</v>
      </c>
      <c r="B4296" s="49" t="s">
        <v>52</v>
      </c>
      <c r="C4296" s="51">
        <v>53651.5</v>
      </c>
      <c r="D4296" s="51">
        <v>0</v>
      </c>
    </row>
    <row r="4297" spans="1:4">
      <c r="A4297" s="50">
        <v>45105</v>
      </c>
      <c r="B4297" s="49" t="s">
        <v>53</v>
      </c>
      <c r="C4297" s="51">
        <v>53408.2</v>
      </c>
      <c r="D4297" s="51">
        <v>0</v>
      </c>
    </row>
    <row r="4298" spans="1:4">
      <c r="A4298" s="50">
        <v>45106</v>
      </c>
      <c r="B4298" s="49" t="s">
        <v>30</v>
      </c>
      <c r="C4298" s="51">
        <v>45102</v>
      </c>
      <c r="D4298" s="51">
        <v>0</v>
      </c>
    </row>
    <row r="4299" spans="1:4">
      <c r="A4299" s="50">
        <v>45106</v>
      </c>
      <c r="B4299" s="49" t="s">
        <v>31</v>
      </c>
      <c r="C4299" s="51">
        <v>44607.8</v>
      </c>
      <c r="D4299" s="51">
        <v>0</v>
      </c>
    </row>
    <row r="4300" spans="1:4">
      <c r="A4300" s="50">
        <v>45106</v>
      </c>
      <c r="B4300" s="49" t="s">
        <v>32</v>
      </c>
      <c r="C4300" s="51">
        <v>44587.6</v>
      </c>
      <c r="D4300" s="51">
        <v>0</v>
      </c>
    </row>
    <row r="4301" spans="1:4">
      <c r="A4301" s="50">
        <v>45106</v>
      </c>
      <c r="B4301" s="49" t="s">
        <v>33</v>
      </c>
      <c r="C4301" s="51">
        <v>44548.6</v>
      </c>
      <c r="D4301" s="51">
        <v>0</v>
      </c>
    </row>
    <row r="4302" spans="1:4">
      <c r="A4302" s="50">
        <v>45106</v>
      </c>
      <c r="B4302" s="49" t="s">
        <v>34</v>
      </c>
      <c r="C4302" s="51">
        <v>44588.7</v>
      </c>
      <c r="D4302" s="51">
        <v>0</v>
      </c>
    </row>
    <row r="4303" spans="1:4">
      <c r="A4303" s="50">
        <v>45106</v>
      </c>
      <c r="B4303" s="49" t="s">
        <v>35</v>
      </c>
      <c r="C4303" s="51">
        <v>44704.3</v>
      </c>
      <c r="D4303" s="51">
        <v>0</v>
      </c>
    </row>
    <row r="4304" spans="1:4">
      <c r="A4304" s="50">
        <v>45106</v>
      </c>
      <c r="B4304" s="49" t="s">
        <v>36</v>
      </c>
      <c r="C4304" s="51">
        <v>44526.2</v>
      </c>
      <c r="D4304" s="51">
        <v>0</v>
      </c>
    </row>
    <row r="4305" spans="1:4">
      <c r="A4305" s="50">
        <v>45106</v>
      </c>
      <c r="B4305" s="49" t="s">
        <v>37</v>
      </c>
      <c r="C4305" s="51">
        <v>44789.8</v>
      </c>
      <c r="D4305" s="51">
        <v>0</v>
      </c>
    </row>
    <row r="4306" spans="1:4">
      <c r="A4306" s="50">
        <v>45106</v>
      </c>
      <c r="B4306" s="49" t="s">
        <v>38</v>
      </c>
      <c r="C4306" s="51">
        <v>44654.1</v>
      </c>
      <c r="D4306" s="51">
        <v>0</v>
      </c>
    </row>
    <row r="4307" spans="1:4">
      <c r="A4307" s="50">
        <v>45106</v>
      </c>
      <c r="B4307" s="49" t="s">
        <v>39</v>
      </c>
      <c r="C4307" s="51">
        <v>44672.5</v>
      </c>
      <c r="D4307" s="51">
        <v>0</v>
      </c>
    </row>
    <row r="4308" spans="1:4">
      <c r="A4308" s="50">
        <v>45106</v>
      </c>
      <c r="B4308" s="49" t="s">
        <v>40</v>
      </c>
      <c r="C4308" s="51">
        <v>44554.9</v>
      </c>
      <c r="D4308" s="51">
        <v>0</v>
      </c>
    </row>
    <row r="4309" spans="1:4">
      <c r="A4309" s="50">
        <v>45106</v>
      </c>
      <c r="B4309" s="49" t="s">
        <v>41</v>
      </c>
      <c r="C4309" s="51">
        <v>44762.1</v>
      </c>
      <c r="D4309" s="51">
        <v>0</v>
      </c>
    </row>
    <row r="4310" spans="1:4">
      <c r="A4310" s="50">
        <v>45106</v>
      </c>
      <c r="B4310" s="49" t="s">
        <v>42</v>
      </c>
      <c r="C4310" s="51">
        <v>44163</v>
      </c>
      <c r="D4310" s="51">
        <v>0</v>
      </c>
    </row>
    <row r="4311" spans="1:4">
      <c r="A4311" s="50">
        <v>45106</v>
      </c>
      <c r="B4311" s="49" t="s">
        <v>43</v>
      </c>
      <c r="C4311" s="51">
        <v>43655.8</v>
      </c>
      <c r="D4311" s="51">
        <v>0</v>
      </c>
    </row>
    <row r="4312" spans="1:4">
      <c r="A4312" s="50">
        <v>45106</v>
      </c>
      <c r="B4312" s="49" t="s">
        <v>44</v>
      </c>
      <c r="C4312" s="51">
        <v>44426.7</v>
      </c>
      <c r="D4312" s="51">
        <v>0</v>
      </c>
    </row>
    <row r="4313" spans="1:4">
      <c r="A4313" s="50">
        <v>45106</v>
      </c>
      <c r="B4313" s="49" t="s">
        <v>45</v>
      </c>
      <c r="C4313" s="51">
        <v>44179.5</v>
      </c>
      <c r="D4313" s="51">
        <v>0</v>
      </c>
    </row>
    <row r="4314" spans="1:4">
      <c r="A4314" s="50">
        <v>45106</v>
      </c>
      <c r="B4314" s="49" t="s">
        <v>46</v>
      </c>
      <c r="C4314" s="51">
        <v>44193.3</v>
      </c>
      <c r="D4314" s="51">
        <v>0</v>
      </c>
    </row>
    <row r="4315" spans="1:4">
      <c r="A4315" s="50">
        <v>45106</v>
      </c>
      <c r="B4315" s="49" t="s">
        <v>47</v>
      </c>
      <c r="C4315" s="51">
        <v>44114.400000000001</v>
      </c>
      <c r="D4315" s="51">
        <v>0</v>
      </c>
    </row>
    <row r="4316" spans="1:4">
      <c r="A4316" s="50">
        <v>45106</v>
      </c>
      <c r="B4316" s="49" t="s">
        <v>48</v>
      </c>
      <c r="C4316" s="51">
        <v>44052.9</v>
      </c>
      <c r="D4316" s="51">
        <v>0</v>
      </c>
    </row>
    <row r="4317" spans="1:4">
      <c r="A4317" s="50">
        <v>45106</v>
      </c>
      <c r="B4317" s="49" t="s">
        <v>49</v>
      </c>
      <c r="C4317" s="51">
        <v>44157</v>
      </c>
      <c r="D4317" s="51">
        <v>0</v>
      </c>
    </row>
    <row r="4318" spans="1:4">
      <c r="A4318" s="50">
        <v>45106</v>
      </c>
      <c r="B4318" s="49" t="s">
        <v>50</v>
      </c>
      <c r="C4318" s="51">
        <v>44182.9</v>
      </c>
      <c r="D4318" s="51">
        <v>0</v>
      </c>
    </row>
    <row r="4319" spans="1:4">
      <c r="A4319" s="50">
        <v>45106</v>
      </c>
      <c r="B4319" s="49" t="s">
        <v>51</v>
      </c>
      <c r="C4319" s="51">
        <v>47641.7</v>
      </c>
      <c r="D4319" s="51">
        <v>0</v>
      </c>
    </row>
    <row r="4320" spans="1:4">
      <c r="A4320" s="50">
        <v>45106</v>
      </c>
      <c r="B4320" s="49" t="s">
        <v>52</v>
      </c>
      <c r="C4320" s="51">
        <v>58663.1</v>
      </c>
      <c r="D4320" s="51">
        <v>0</v>
      </c>
    </row>
    <row r="4321" spans="1:4">
      <c r="A4321" s="50">
        <v>45106</v>
      </c>
      <c r="B4321" s="49" t="s">
        <v>53</v>
      </c>
      <c r="C4321" s="51">
        <v>58453.5</v>
      </c>
      <c r="D4321" s="51">
        <v>0</v>
      </c>
    </row>
    <row r="4322" spans="1:4">
      <c r="A4322" s="50">
        <v>45107</v>
      </c>
      <c r="B4322" s="49" t="s">
        <v>30</v>
      </c>
      <c r="C4322" s="51">
        <v>46555.5</v>
      </c>
      <c r="D4322" s="51">
        <v>0</v>
      </c>
    </row>
    <row r="4323" spans="1:4">
      <c r="A4323" s="50">
        <v>45107</v>
      </c>
      <c r="B4323" s="49" t="s">
        <v>31</v>
      </c>
      <c r="C4323" s="51">
        <v>44919.1</v>
      </c>
      <c r="D4323" s="51">
        <v>0</v>
      </c>
    </row>
    <row r="4324" spans="1:4">
      <c r="A4324" s="50">
        <v>45107</v>
      </c>
      <c r="B4324" s="49" t="s">
        <v>32</v>
      </c>
      <c r="C4324" s="51">
        <v>44966</v>
      </c>
      <c r="D4324" s="51">
        <v>0</v>
      </c>
    </row>
    <row r="4325" spans="1:4">
      <c r="A4325" s="50">
        <v>45107</v>
      </c>
      <c r="B4325" s="49" t="s">
        <v>33</v>
      </c>
      <c r="C4325" s="51">
        <v>44887.4</v>
      </c>
      <c r="D4325" s="51">
        <v>0</v>
      </c>
    </row>
    <row r="4326" spans="1:4">
      <c r="A4326" s="50">
        <v>45107</v>
      </c>
      <c r="B4326" s="49" t="s">
        <v>34</v>
      </c>
      <c r="C4326" s="51">
        <v>44987.1</v>
      </c>
      <c r="D4326" s="51">
        <v>0</v>
      </c>
    </row>
    <row r="4327" spans="1:4">
      <c r="A4327" s="50">
        <v>45107</v>
      </c>
      <c r="B4327" s="49" t="s">
        <v>35</v>
      </c>
      <c r="C4327" s="51">
        <v>44979.199999999997</v>
      </c>
      <c r="D4327" s="51">
        <v>0</v>
      </c>
    </row>
    <row r="4328" spans="1:4">
      <c r="A4328" s="50">
        <v>45107</v>
      </c>
      <c r="B4328" s="49" t="s">
        <v>36</v>
      </c>
      <c r="C4328" s="51">
        <v>44933.1</v>
      </c>
      <c r="D4328" s="51">
        <v>0</v>
      </c>
    </row>
    <row r="4329" spans="1:4">
      <c r="A4329" s="50">
        <v>45107</v>
      </c>
      <c r="B4329" s="49" t="s">
        <v>37</v>
      </c>
      <c r="C4329" s="51">
        <v>45165.9</v>
      </c>
      <c r="D4329" s="51">
        <v>0</v>
      </c>
    </row>
    <row r="4330" spans="1:4">
      <c r="A4330" s="50">
        <v>45107</v>
      </c>
      <c r="B4330" s="49" t="s">
        <v>38</v>
      </c>
      <c r="C4330" s="51">
        <v>45003.6</v>
      </c>
      <c r="D4330" s="51">
        <v>0</v>
      </c>
    </row>
    <row r="4331" spans="1:4">
      <c r="A4331" s="50">
        <v>45107</v>
      </c>
      <c r="B4331" s="49" t="s">
        <v>39</v>
      </c>
      <c r="C4331" s="51">
        <v>45054.7</v>
      </c>
      <c r="D4331" s="51">
        <v>0</v>
      </c>
    </row>
    <row r="4332" spans="1:4">
      <c r="A4332" s="50">
        <v>45107</v>
      </c>
      <c r="B4332" s="49" t="s">
        <v>40</v>
      </c>
      <c r="C4332" s="51">
        <v>45186</v>
      </c>
      <c r="D4332" s="51">
        <v>0</v>
      </c>
    </row>
    <row r="4333" spans="1:4">
      <c r="A4333" s="50">
        <v>45107</v>
      </c>
      <c r="B4333" s="49" t="s">
        <v>41</v>
      </c>
      <c r="C4333" s="51">
        <v>45147.8</v>
      </c>
      <c r="D4333" s="51">
        <v>0</v>
      </c>
    </row>
    <row r="4334" spans="1:4">
      <c r="A4334" s="50">
        <v>45107</v>
      </c>
      <c r="B4334" s="49" t="s">
        <v>42</v>
      </c>
      <c r="C4334" s="51">
        <v>45212.9</v>
      </c>
      <c r="D4334" s="51">
        <v>0</v>
      </c>
    </row>
    <row r="4335" spans="1:4">
      <c r="A4335" s="50">
        <v>45107</v>
      </c>
      <c r="B4335" s="49" t="s">
        <v>43</v>
      </c>
      <c r="C4335" s="51">
        <v>43945.599999999999</v>
      </c>
      <c r="D4335" s="51">
        <v>0</v>
      </c>
    </row>
    <row r="4336" spans="1:4">
      <c r="A4336" s="50">
        <v>45107</v>
      </c>
      <c r="B4336" s="49" t="s">
        <v>44</v>
      </c>
      <c r="C4336" s="51">
        <v>43576.2</v>
      </c>
      <c r="D4336" s="51">
        <v>0</v>
      </c>
    </row>
    <row r="4337" spans="1:4">
      <c r="A4337" s="50">
        <v>45107</v>
      </c>
      <c r="B4337" s="49" t="s">
        <v>45</v>
      </c>
      <c r="C4337" s="51">
        <v>44326.2</v>
      </c>
      <c r="D4337" s="51">
        <v>0</v>
      </c>
    </row>
    <row r="4338" spans="1:4">
      <c r="A4338" s="50">
        <v>45107</v>
      </c>
      <c r="B4338" s="49" t="s">
        <v>46</v>
      </c>
      <c r="C4338" s="51">
        <v>43420.9</v>
      </c>
      <c r="D4338" s="51">
        <v>0</v>
      </c>
    </row>
    <row r="4339" spans="1:4">
      <c r="A4339" s="50">
        <v>45107</v>
      </c>
      <c r="B4339" s="49" t="s">
        <v>47</v>
      </c>
      <c r="C4339" s="51">
        <v>43910.5</v>
      </c>
      <c r="D4339" s="51">
        <v>0</v>
      </c>
    </row>
    <row r="4340" spans="1:4">
      <c r="A4340" s="50">
        <v>45107</v>
      </c>
      <c r="B4340" s="49" t="s">
        <v>48</v>
      </c>
      <c r="C4340" s="51">
        <v>43860.3</v>
      </c>
      <c r="D4340" s="51">
        <v>0</v>
      </c>
    </row>
    <row r="4341" spans="1:4">
      <c r="A4341" s="50">
        <v>45107</v>
      </c>
      <c r="B4341" s="49" t="s">
        <v>49</v>
      </c>
      <c r="C4341" s="51">
        <v>43908.5</v>
      </c>
      <c r="D4341" s="51">
        <v>0</v>
      </c>
    </row>
    <row r="4342" spans="1:4">
      <c r="A4342" s="50">
        <v>45107</v>
      </c>
      <c r="B4342" s="49" t="s">
        <v>50</v>
      </c>
      <c r="C4342" s="51">
        <v>43936.2</v>
      </c>
      <c r="D4342" s="51">
        <v>0</v>
      </c>
    </row>
    <row r="4343" spans="1:4">
      <c r="A4343" s="50">
        <v>45107</v>
      </c>
      <c r="B4343" s="49" t="s">
        <v>51</v>
      </c>
      <c r="C4343" s="51">
        <v>46257.5</v>
      </c>
      <c r="D4343" s="51">
        <v>0</v>
      </c>
    </row>
    <row r="4344" spans="1:4">
      <c r="A4344" s="50">
        <v>45107</v>
      </c>
      <c r="B4344" s="49" t="s">
        <v>52</v>
      </c>
      <c r="C4344" s="51">
        <v>58848.9</v>
      </c>
      <c r="D4344" s="51">
        <v>0</v>
      </c>
    </row>
    <row r="4345" spans="1:4">
      <c r="A4345" s="50">
        <v>45107</v>
      </c>
      <c r="B4345" s="49" t="s">
        <v>53</v>
      </c>
      <c r="C4345" s="51">
        <v>59294.3</v>
      </c>
      <c r="D4345" s="51">
        <v>0</v>
      </c>
    </row>
    <row r="4346" spans="1:4">
      <c r="A4346" s="50">
        <v>45108</v>
      </c>
      <c r="B4346" s="49" t="s">
        <v>30</v>
      </c>
      <c r="C4346" s="51">
        <v>54956.7</v>
      </c>
      <c r="D4346" s="51">
        <v>0</v>
      </c>
    </row>
    <row r="4347" spans="1:4">
      <c r="A4347" s="50">
        <v>45108</v>
      </c>
      <c r="B4347" s="49" t="s">
        <v>31</v>
      </c>
      <c r="C4347" s="51">
        <v>54398.1</v>
      </c>
      <c r="D4347" s="51">
        <v>0</v>
      </c>
    </row>
    <row r="4348" spans="1:4">
      <c r="A4348" s="50">
        <v>45108</v>
      </c>
      <c r="B4348" s="49" t="s">
        <v>32</v>
      </c>
      <c r="C4348" s="51">
        <v>54648.9</v>
      </c>
      <c r="D4348" s="51">
        <v>0</v>
      </c>
    </row>
    <row r="4349" spans="1:4">
      <c r="A4349" s="50">
        <v>45108</v>
      </c>
      <c r="B4349" s="49" t="s">
        <v>33</v>
      </c>
      <c r="C4349" s="51">
        <v>54846.2</v>
      </c>
      <c r="D4349" s="51">
        <v>0</v>
      </c>
    </row>
    <row r="4350" spans="1:4">
      <c r="A4350" s="50">
        <v>45108</v>
      </c>
      <c r="B4350" s="49" t="s">
        <v>34</v>
      </c>
      <c r="C4350" s="51">
        <v>54931.7</v>
      </c>
      <c r="D4350" s="51">
        <v>0</v>
      </c>
    </row>
    <row r="4351" spans="1:4">
      <c r="A4351" s="50">
        <v>45108</v>
      </c>
      <c r="B4351" s="49" t="s">
        <v>35</v>
      </c>
      <c r="C4351" s="51">
        <v>54886.3</v>
      </c>
      <c r="D4351" s="51">
        <v>0</v>
      </c>
    </row>
    <row r="4352" spans="1:4">
      <c r="A4352" s="50">
        <v>45108</v>
      </c>
      <c r="B4352" s="49" t="s">
        <v>36</v>
      </c>
      <c r="C4352" s="51">
        <v>55075.3</v>
      </c>
      <c r="D4352" s="51">
        <v>0</v>
      </c>
    </row>
    <row r="4353" spans="1:4">
      <c r="A4353" s="50">
        <v>45108</v>
      </c>
      <c r="B4353" s="49" t="s">
        <v>37</v>
      </c>
      <c r="C4353" s="51">
        <v>54307.6</v>
      </c>
      <c r="D4353" s="51">
        <v>0</v>
      </c>
    </row>
    <row r="4354" spans="1:4">
      <c r="A4354" s="50">
        <v>45108</v>
      </c>
      <c r="B4354" s="49" t="s">
        <v>38</v>
      </c>
      <c r="C4354" s="51">
        <v>54070.9</v>
      </c>
      <c r="D4354" s="51">
        <v>0</v>
      </c>
    </row>
    <row r="4355" spans="1:4">
      <c r="A4355" s="50">
        <v>45108</v>
      </c>
      <c r="B4355" s="49" t="s">
        <v>39</v>
      </c>
      <c r="C4355" s="51">
        <v>54091.1</v>
      </c>
      <c r="D4355" s="51">
        <v>0</v>
      </c>
    </row>
    <row r="4356" spans="1:4">
      <c r="A4356" s="50">
        <v>45108</v>
      </c>
      <c r="B4356" s="49" t="s">
        <v>40</v>
      </c>
      <c r="C4356" s="51">
        <v>53985.9</v>
      </c>
      <c r="D4356" s="51">
        <v>0</v>
      </c>
    </row>
    <row r="4357" spans="1:4">
      <c r="A4357" s="50">
        <v>45108</v>
      </c>
      <c r="B4357" s="49" t="s">
        <v>41</v>
      </c>
      <c r="C4357" s="51">
        <v>53602.1</v>
      </c>
      <c r="D4357" s="51">
        <v>0</v>
      </c>
    </row>
    <row r="4358" spans="1:4">
      <c r="A4358" s="50">
        <v>45108</v>
      </c>
      <c r="B4358" s="49" t="s">
        <v>42</v>
      </c>
      <c r="C4358" s="51">
        <v>53607.5</v>
      </c>
      <c r="D4358" s="51">
        <v>0</v>
      </c>
    </row>
    <row r="4359" spans="1:4">
      <c r="A4359" s="50">
        <v>45108</v>
      </c>
      <c r="B4359" s="49" t="s">
        <v>43</v>
      </c>
      <c r="C4359" s="51">
        <v>53861.599999999999</v>
      </c>
      <c r="D4359" s="51">
        <v>0</v>
      </c>
    </row>
    <row r="4360" spans="1:4">
      <c r="A4360" s="50">
        <v>45108</v>
      </c>
      <c r="B4360" s="49" t="s">
        <v>44</v>
      </c>
      <c r="C4360" s="51">
        <v>53770.6</v>
      </c>
      <c r="D4360" s="51">
        <v>0</v>
      </c>
    </row>
    <row r="4361" spans="1:4">
      <c r="A4361" s="50">
        <v>45108</v>
      </c>
      <c r="B4361" s="49" t="s">
        <v>45</v>
      </c>
      <c r="C4361" s="51">
        <v>53870.8</v>
      </c>
      <c r="D4361" s="51">
        <v>0</v>
      </c>
    </row>
    <row r="4362" spans="1:4">
      <c r="A4362" s="50">
        <v>45108</v>
      </c>
      <c r="B4362" s="49" t="s">
        <v>46</v>
      </c>
      <c r="C4362" s="51">
        <v>53755.7</v>
      </c>
      <c r="D4362" s="51">
        <v>0</v>
      </c>
    </row>
    <row r="4363" spans="1:4">
      <c r="A4363" s="50">
        <v>45108</v>
      </c>
      <c r="B4363" s="49" t="s">
        <v>47</v>
      </c>
      <c r="C4363" s="51">
        <v>53565.3</v>
      </c>
      <c r="D4363" s="51">
        <v>0</v>
      </c>
    </row>
    <row r="4364" spans="1:4">
      <c r="A4364" s="50">
        <v>45108</v>
      </c>
      <c r="B4364" s="49" t="s">
        <v>48</v>
      </c>
      <c r="C4364" s="51">
        <v>53764.2</v>
      </c>
      <c r="D4364" s="51">
        <v>0</v>
      </c>
    </row>
    <row r="4365" spans="1:4">
      <c r="A4365" s="50">
        <v>45108</v>
      </c>
      <c r="B4365" s="49" t="s">
        <v>49</v>
      </c>
      <c r="C4365" s="51">
        <v>54058.6</v>
      </c>
      <c r="D4365" s="51">
        <v>0</v>
      </c>
    </row>
    <row r="4366" spans="1:4">
      <c r="A4366" s="50">
        <v>45108</v>
      </c>
      <c r="B4366" s="49" t="s">
        <v>50</v>
      </c>
      <c r="C4366" s="51">
        <v>54422.400000000001</v>
      </c>
      <c r="D4366" s="51">
        <v>0</v>
      </c>
    </row>
    <row r="4367" spans="1:4">
      <c r="A4367" s="50">
        <v>45108</v>
      </c>
      <c r="B4367" s="49" t="s">
        <v>51</v>
      </c>
      <c r="C4367" s="51">
        <v>54713.7</v>
      </c>
      <c r="D4367" s="51">
        <v>0</v>
      </c>
    </row>
    <row r="4368" spans="1:4">
      <c r="A4368" s="50">
        <v>45108</v>
      </c>
      <c r="B4368" s="49" t="s">
        <v>52</v>
      </c>
      <c r="C4368" s="51">
        <v>54603</v>
      </c>
      <c r="D4368" s="51">
        <v>0</v>
      </c>
    </row>
    <row r="4369" spans="1:4">
      <c r="A4369" s="50">
        <v>45108</v>
      </c>
      <c r="B4369" s="49" t="s">
        <v>53</v>
      </c>
      <c r="C4369" s="51">
        <v>54558.3</v>
      </c>
      <c r="D4369" s="51">
        <v>0</v>
      </c>
    </row>
    <row r="4370" spans="1:4">
      <c r="A4370" s="50">
        <v>45109</v>
      </c>
      <c r="B4370" s="49" t="s">
        <v>30</v>
      </c>
      <c r="C4370" s="51">
        <v>54533.9</v>
      </c>
      <c r="D4370" s="51">
        <v>0</v>
      </c>
    </row>
    <row r="4371" spans="1:4">
      <c r="A4371" s="50">
        <v>45109</v>
      </c>
      <c r="B4371" s="49" t="s">
        <v>31</v>
      </c>
      <c r="C4371" s="51">
        <v>54721.599999999999</v>
      </c>
      <c r="D4371" s="51">
        <v>0</v>
      </c>
    </row>
    <row r="4372" spans="1:4">
      <c r="A4372" s="50">
        <v>45109</v>
      </c>
      <c r="B4372" s="49" t="s">
        <v>32</v>
      </c>
      <c r="C4372" s="51">
        <v>54910.5</v>
      </c>
      <c r="D4372" s="51">
        <v>0</v>
      </c>
    </row>
    <row r="4373" spans="1:4">
      <c r="A4373" s="50">
        <v>45109</v>
      </c>
      <c r="B4373" s="49" t="s">
        <v>33</v>
      </c>
      <c r="C4373" s="51">
        <v>54514.6</v>
      </c>
      <c r="D4373" s="51">
        <v>0</v>
      </c>
    </row>
    <row r="4374" spans="1:4">
      <c r="A4374" s="50">
        <v>45109</v>
      </c>
      <c r="B4374" s="49" t="s">
        <v>34</v>
      </c>
      <c r="C4374" s="51">
        <v>54700.9</v>
      </c>
      <c r="D4374" s="51">
        <v>0</v>
      </c>
    </row>
    <row r="4375" spans="1:4">
      <c r="A4375" s="50">
        <v>45109</v>
      </c>
      <c r="B4375" s="49" t="s">
        <v>35</v>
      </c>
      <c r="C4375" s="51">
        <v>54876.4</v>
      </c>
      <c r="D4375" s="51">
        <v>0</v>
      </c>
    </row>
    <row r="4376" spans="1:4">
      <c r="A4376" s="50">
        <v>45109</v>
      </c>
      <c r="B4376" s="49" t="s">
        <v>36</v>
      </c>
      <c r="C4376" s="51">
        <v>54872.1</v>
      </c>
      <c r="D4376" s="51">
        <v>0</v>
      </c>
    </row>
    <row r="4377" spans="1:4">
      <c r="A4377" s="50">
        <v>45109</v>
      </c>
      <c r="B4377" s="49" t="s">
        <v>37</v>
      </c>
      <c r="C4377" s="51">
        <v>55086.7</v>
      </c>
      <c r="D4377" s="51">
        <v>0</v>
      </c>
    </row>
    <row r="4378" spans="1:4">
      <c r="A4378" s="50">
        <v>45109</v>
      </c>
      <c r="B4378" s="49" t="s">
        <v>38</v>
      </c>
      <c r="C4378" s="51">
        <v>54862.400000000001</v>
      </c>
      <c r="D4378" s="51">
        <v>0</v>
      </c>
    </row>
    <row r="4379" spans="1:4">
      <c r="A4379" s="50">
        <v>45109</v>
      </c>
      <c r="B4379" s="49" t="s">
        <v>39</v>
      </c>
      <c r="C4379" s="51">
        <v>54996.9</v>
      </c>
      <c r="D4379" s="51">
        <v>0</v>
      </c>
    </row>
    <row r="4380" spans="1:4">
      <c r="A4380" s="50">
        <v>45109</v>
      </c>
      <c r="B4380" s="49" t="s">
        <v>40</v>
      </c>
      <c r="C4380" s="51">
        <v>54978.400000000001</v>
      </c>
      <c r="D4380" s="51">
        <v>0</v>
      </c>
    </row>
    <row r="4381" spans="1:4">
      <c r="A4381" s="50">
        <v>45109</v>
      </c>
      <c r="B4381" s="49" t="s">
        <v>41</v>
      </c>
      <c r="C4381" s="51">
        <v>54898.1</v>
      </c>
      <c r="D4381" s="51">
        <v>0</v>
      </c>
    </row>
    <row r="4382" spans="1:4">
      <c r="A4382" s="50">
        <v>45109</v>
      </c>
      <c r="B4382" s="49" t="s">
        <v>42</v>
      </c>
      <c r="C4382" s="51">
        <v>54932.9</v>
      </c>
      <c r="D4382" s="51">
        <v>0</v>
      </c>
    </row>
    <row r="4383" spans="1:4">
      <c r="A4383" s="50">
        <v>45109</v>
      </c>
      <c r="B4383" s="49" t="s">
        <v>43</v>
      </c>
      <c r="C4383" s="51">
        <v>54818.8</v>
      </c>
      <c r="D4383" s="51">
        <v>0</v>
      </c>
    </row>
    <row r="4384" spans="1:4">
      <c r="A4384" s="50">
        <v>45109</v>
      </c>
      <c r="B4384" s="49" t="s">
        <v>44</v>
      </c>
      <c r="C4384" s="51">
        <v>54922.7</v>
      </c>
      <c r="D4384" s="51">
        <v>0</v>
      </c>
    </row>
    <row r="4385" spans="1:4">
      <c r="A4385" s="50">
        <v>45109</v>
      </c>
      <c r="B4385" s="49" t="s">
        <v>45</v>
      </c>
      <c r="C4385" s="51">
        <v>54857.7</v>
      </c>
      <c r="D4385" s="51">
        <v>0</v>
      </c>
    </row>
    <row r="4386" spans="1:4">
      <c r="A4386" s="50">
        <v>45109</v>
      </c>
      <c r="B4386" s="49" t="s">
        <v>46</v>
      </c>
      <c r="C4386" s="51">
        <v>54945.9</v>
      </c>
      <c r="D4386" s="51">
        <v>0</v>
      </c>
    </row>
    <row r="4387" spans="1:4">
      <c r="A4387" s="50">
        <v>45109</v>
      </c>
      <c r="B4387" s="49" t="s">
        <v>47</v>
      </c>
      <c r="C4387" s="51">
        <v>54823.199999999997</v>
      </c>
      <c r="D4387" s="51">
        <v>0</v>
      </c>
    </row>
    <row r="4388" spans="1:4">
      <c r="A4388" s="50">
        <v>45109</v>
      </c>
      <c r="B4388" s="49" t="s">
        <v>48</v>
      </c>
      <c r="C4388" s="51">
        <v>54897.9</v>
      </c>
      <c r="D4388" s="51">
        <v>0</v>
      </c>
    </row>
    <row r="4389" spans="1:4">
      <c r="A4389" s="50">
        <v>45109</v>
      </c>
      <c r="B4389" s="49" t="s">
        <v>49</v>
      </c>
      <c r="C4389" s="51">
        <v>54926.8</v>
      </c>
      <c r="D4389" s="51">
        <v>0</v>
      </c>
    </row>
    <row r="4390" spans="1:4">
      <c r="A4390" s="50">
        <v>45109</v>
      </c>
      <c r="B4390" s="49" t="s">
        <v>50</v>
      </c>
      <c r="C4390" s="51">
        <v>54808.7</v>
      </c>
      <c r="D4390" s="51">
        <v>0</v>
      </c>
    </row>
    <row r="4391" spans="1:4">
      <c r="A4391" s="50">
        <v>45109</v>
      </c>
      <c r="B4391" s="49" t="s">
        <v>51</v>
      </c>
      <c r="C4391" s="51">
        <v>54714.9</v>
      </c>
      <c r="D4391" s="51">
        <v>0</v>
      </c>
    </row>
    <row r="4392" spans="1:4">
      <c r="A4392" s="50">
        <v>45109</v>
      </c>
      <c r="B4392" s="49" t="s">
        <v>52</v>
      </c>
      <c r="C4392" s="51">
        <v>54631.6</v>
      </c>
      <c r="D4392" s="51">
        <v>0</v>
      </c>
    </row>
    <row r="4393" spans="1:4">
      <c r="A4393" s="50">
        <v>45109</v>
      </c>
      <c r="B4393" s="49" t="s">
        <v>53</v>
      </c>
      <c r="C4393" s="51">
        <v>54423.6</v>
      </c>
      <c r="D4393" s="51">
        <v>0</v>
      </c>
    </row>
    <row r="4394" spans="1:4">
      <c r="A4394" s="50">
        <v>45110</v>
      </c>
      <c r="B4394" s="49" t="s">
        <v>30</v>
      </c>
      <c r="C4394" s="51">
        <v>54418.2</v>
      </c>
      <c r="D4394" s="51">
        <v>0</v>
      </c>
    </row>
    <row r="4395" spans="1:4">
      <c r="A4395" s="50">
        <v>45110</v>
      </c>
      <c r="B4395" s="49" t="s">
        <v>31</v>
      </c>
      <c r="C4395" s="51">
        <v>54396.9</v>
      </c>
      <c r="D4395" s="51">
        <v>0</v>
      </c>
    </row>
    <row r="4396" spans="1:4">
      <c r="A4396" s="50">
        <v>45110</v>
      </c>
      <c r="B4396" s="49" t="s">
        <v>32</v>
      </c>
      <c r="C4396" s="51">
        <v>54368.9</v>
      </c>
      <c r="D4396" s="51">
        <v>0</v>
      </c>
    </row>
    <row r="4397" spans="1:4">
      <c r="A4397" s="50">
        <v>45110</v>
      </c>
      <c r="B4397" s="49" t="s">
        <v>33</v>
      </c>
      <c r="C4397" s="51">
        <v>54408.2</v>
      </c>
      <c r="D4397" s="51">
        <v>0</v>
      </c>
    </row>
    <row r="4398" spans="1:4">
      <c r="A4398" s="50">
        <v>45110</v>
      </c>
      <c r="B4398" s="49" t="s">
        <v>34</v>
      </c>
      <c r="C4398" s="51">
        <v>54719.6</v>
      </c>
      <c r="D4398" s="51">
        <v>0</v>
      </c>
    </row>
    <row r="4399" spans="1:4">
      <c r="A4399" s="50">
        <v>45110</v>
      </c>
      <c r="B4399" s="49" t="s">
        <v>35</v>
      </c>
      <c r="C4399" s="51">
        <v>54708.1</v>
      </c>
      <c r="D4399" s="51">
        <v>0</v>
      </c>
    </row>
    <row r="4400" spans="1:4">
      <c r="A4400" s="50">
        <v>45110</v>
      </c>
      <c r="B4400" s="49" t="s">
        <v>36</v>
      </c>
      <c r="C4400" s="51">
        <v>54686.9</v>
      </c>
      <c r="D4400" s="51">
        <v>0</v>
      </c>
    </row>
    <row r="4401" spans="1:4">
      <c r="A4401" s="50">
        <v>45110</v>
      </c>
      <c r="B4401" s="49" t="s">
        <v>37</v>
      </c>
      <c r="C4401" s="51">
        <v>54837.1</v>
      </c>
      <c r="D4401" s="51">
        <v>0</v>
      </c>
    </row>
    <row r="4402" spans="1:4">
      <c r="A4402" s="50">
        <v>45110</v>
      </c>
      <c r="B4402" s="49" t="s">
        <v>38</v>
      </c>
      <c r="C4402" s="51">
        <v>54757.4</v>
      </c>
      <c r="D4402" s="51">
        <v>0</v>
      </c>
    </row>
    <row r="4403" spans="1:4">
      <c r="A4403" s="50">
        <v>45110</v>
      </c>
      <c r="B4403" s="49" t="s">
        <v>39</v>
      </c>
      <c r="C4403" s="51">
        <v>54248.1</v>
      </c>
      <c r="D4403" s="51">
        <v>0</v>
      </c>
    </row>
    <row r="4404" spans="1:4">
      <c r="A4404" s="50">
        <v>45110</v>
      </c>
      <c r="B4404" s="49" t="s">
        <v>40</v>
      </c>
      <c r="C4404" s="51">
        <v>54227.3</v>
      </c>
      <c r="D4404" s="51">
        <v>0</v>
      </c>
    </row>
    <row r="4405" spans="1:4">
      <c r="A4405" s="50">
        <v>45110</v>
      </c>
      <c r="B4405" s="49" t="s">
        <v>41</v>
      </c>
      <c r="C4405" s="51">
        <v>54366.6</v>
      </c>
      <c r="D4405" s="51">
        <v>0</v>
      </c>
    </row>
    <row r="4406" spans="1:4">
      <c r="A4406" s="50">
        <v>45110</v>
      </c>
      <c r="B4406" s="49" t="s">
        <v>42</v>
      </c>
      <c r="C4406" s="51">
        <v>54482</v>
      </c>
      <c r="D4406" s="51">
        <v>0</v>
      </c>
    </row>
    <row r="4407" spans="1:4">
      <c r="A4407" s="50">
        <v>45110</v>
      </c>
      <c r="B4407" s="49" t="s">
        <v>43</v>
      </c>
      <c r="C4407" s="51">
        <v>54385.8</v>
      </c>
      <c r="D4407" s="51">
        <v>0</v>
      </c>
    </row>
    <row r="4408" spans="1:4">
      <c r="A4408" s="50">
        <v>45110</v>
      </c>
      <c r="B4408" s="49" t="s">
        <v>44</v>
      </c>
      <c r="C4408" s="51">
        <v>53916.5</v>
      </c>
      <c r="D4408" s="51">
        <v>0</v>
      </c>
    </row>
    <row r="4409" spans="1:4">
      <c r="A4409" s="50">
        <v>45110</v>
      </c>
      <c r="B4409" s="49" t="s">
        <v>45</v>
      </c>
      <c r="C4409" s="51">
        <v>53570.8</v>
      </c>
      <c r="D4409" s="51">
        <v>0</v>
      </c>
    </row>
    <row r="4410" spans="1:4">
      <c r="A4410" s="50">
        <v>45110</v>
      </c>
      <c r="B4410" s="49" t="s">
        <v>46</v>
      </c>
      <c r="C4410" s="51">
        <v>53768.4</v>
      </c>
      <c r="D4410" s="51">
        <v>0</v>
      </c>
    </row>
    <row r="4411" spans="1:4">
      <c r="A4411" s="50">
        <v>45110</v>
      </c>
      <c r="B4411" s="49" t="s">
        <v>47</v>
      </c>
      <c r="C4411" s="51">
        <v>53729.5</v>
      </c>
      <c r="D4411" s="51">
        <v>0</v>
      </c>
    </row>
    <row r="4412" spans="1:4">
      <c r="A4412" s="50">
        <v>45110</v>
      </c>
      <c r="B4412" s="49" t="s">
        <v>48</v>
      </c>
      <c r="C4412" s="51">
        <v>53527.3</v>
      </c>
      <c r="D4412" s="51">
        <v>0</v>
      </c>
    </row>
    <row r="4413" spans="1:4">
      <c r="A4413" s="50">
        <v>45110</v>
      </c>
      <c r="B4413" s="49" t="s">
        <v>49</v>
      </c>
      <c r="C4413" s="51">
        <v>53785.9</v>
      </c>
      <c r="D4413" s="51">
        <v>0</v>
      </c>
    </row>
    <row r="4414" spans="1:4">
      <c r="A4414" s="50">
        <v>45110</v>
      </c>
      <c r="B4414" s="49" t="s">
        <v>50</v>
      </c>
      <c r="C4414" s="51">
        <v>53739.6</v>
      </c>
      <c r="D4414" s="51">
        <v>0</v>
      </c>
    </row>
    <row r="4415" spans="1:4">
      <c r="A4415" s="50">
        <v>45110</v>
      </c>
      <c r="B4415" s="49" t="s">
        <v>51</v>
      </c>
      <c r="C4415" s="51">
        <v>53464.6</v>
      </c>
      <c r="D4415" s="51">
        <v>0</v>
      </c>
    </row>
    <row r="4416" spans="1:4">
      <c r="A4416" s="50">
        <v>45110</v>
      </c>
      <c r="B4416" s="49" t="s">
        <v>52</v>
      </c>
      <c r="C4416" s="51">
        <v>54047.7</v>
      </c>
      <c r="D4416" s="51">
        <v>0</v>
      </c>
    </row>
    <row r="4417" spans="1:4">
      <c r="A4417" s="50">
        <v>45110</v>
      </c>
      <c r="B4417" s="49" t="s">
        <v>53</v>
      </c>
      <c r="C4417" s="51">
        <v>54660.800000000003</v>
      </c>
      <c r="D4417" s="51">
        <v>0</v>
      </c>
    </row>
    <row r="4418" spans="1:4">
      <c r="A4418" s="50">
        <v>45111</v>
      </c>
      <c r="B4418" s="49" t="s">
        <v>30</v>
      </c>
      <c r="C4418" s="51">
        <v>54356.6</v>
      </c>
      <c r="D4418" s="51">
        <v>0</v>
      </c>
    </row>
    <row r="4419" spans="1:4">
      <c r="A4419" s="50">
        <v>45111</v>
      </c>
      <c r="B4419" s="49" t="s">
        <v>31</v>
      </c>
      <c r="C4419" s="51">
        <v>54369</v>
      </c>
      <c r="D4419" s="51">
        <v>0</v>
      </c>
    </row>
    <row r="4420" spans="1:4">
      <c r="A4420" s="50">
        <v>45111</v>
      </c>
      <c r="B4420" s="49" t="s">
        <v>32</v>
      </c>
      <c r="C4420" s="51">
        <v>54412.3</v>
      </c>
      <c r="D4420" s="51">
        <v>0</v>
      </c>
    </row>
    <row r="4421" spans="1:4">
      <c r="A4421" s="50">
        <v>45111</v>
      </c>
      <c r="B4421" s="49" t="s">
        <v>33</v>
      </c>
      <c r="C4421" s="51">
        <v>54623.7</v>
      </c>
      <c r="D4421" s="51">
        <v>0</v>
      </c>
    </row>
    <row r="4422" spans="1:4">
      <c r="A4422" s="50">
        <v>45111</v>
      </c>
      <c r="B4422" s="49" t="s">
        <v>34</v>
      </c>
      <c r="C4422" s="51">
        <v>54731.9</v>
      </c>
      <c r="D4422" s="51">
        <v>0</v>
      </c>
    </row>
    <row r="4423" spans="1:4">
      <c r="A4423" s="50">
        <v>45111</v>
      </c>
      <c r="B4423" s="49" t="s">
        <v>35</v>
      </c>
      <c r="C4423" s="51">
        <v>54531.7</v>
      </c>
      <c r="D4423" s="51">
        <v>0</v>
      </c>
    </row>
    <row r="4424" spans="1:4">
      <c r="A4424" s="50">
        <v>45111</v>
      </c>
      <c r="B4424" s="49" t="s">
        <v>36</v>
      </c>
      <c r="C4424" s="51">
        <v>54529.3</v>
      </c>
      <c r="D4424" s="51">
        <v>0</v>
      </c>
    </row>
    <row r="4425" spans="1:4">
      <c r="A4425" s="50">
        <v>45111</v>
      </c>
      <c r="B4425" s="49" t="s">
        <v>37</v>
      </c>
      <c r="C4425" s="51">
        <v>54817.599999999999</v>
      </c>
      <c r="D4425" s="51">
        <v>0</v>
      </c>
    </row>
    <row r="4426" spans="1:4">
      <c r="A4426" s="50">
        <v>45111</v>
      </c>
      <c r="B4426" s="49" t="s">
        <v>38</v>
      </c>
      <c r="C4426" s="51">
        <v>54460.5</v>
      </c>
      <c r="D4426" s="51">
        <v>0</v>
      </c>
    </row>
    <row r="4427" spans="1:4">
      <c r="A4427" s="50">
        <v>45111</v>
      </c>
      <c r="B4427" s="49" t="s">
        <v>39</v>
      </c>
      <c r="C4427" s="51">
        <v>54546.1</v>
      </c>
      <c r="D4427" s="51">
        <v>0</v>
      </c>
    </row>
    <row r="4428" spans="1:4">
      <c r="A4428" s="50">
        <v>45111</v>
      </c>
      <c r="B4428" s="49" t="s">
        <v>40</v>
      </c>
      <c r="C4428" s="51">
        <v>54516.5</v>
      </c>
      <c r="D4428" s="51">
        <v>0</v>
      </c>
    </row>
    <row r="4429" spans="1:4">
      <c r="A4429" s="50">
        <v>45111</v>
      </c>
      <c r="B4429" s="49" t="s">
        <v>41</v>
      </c>
      <c r="C4429" s="51">
        <v>54596</v>
      </c>
      <c r="D4429" s="51">
        <v>0</v>
      </c>
    </row>
    <row r="4430" spans="1:4">
      <c r="A4430" s="50">
        <v>45111</v>
      </c>
      <c r="B4430" s="49" t="s">
        <v>42</v>
      </c>
      <c r="C4430" s="51">
        <v>54603.5</v>
      </c>
      <c r="D4430" s="51">
        <v>0</v>
      </c>
    </row>
    <row r="4431" spans="1:4">
      <c r="A4431" s="50">
        <v>45111</v>
      </c>
      <c r="B4431" s="49" t="s">
        <v>43</v>
      </c>
      <c r="C4431" s="51">
        <v>54454.8</v>
      </c>
      <c r="D4431" s="51">
        <v>0</v>
      </c>
    </row>
    <row r="4432" spans="1:4">
      <c r="A4432" s="50">
        <v>45111</v>
      </c>
      <c r="B4432" s="49" t="s">
        <v>44</v>
      </c>
      <c r="C4432" s="51">
        <v>54564.9</v>
      </c>
      <c r="D4432" s="51">
        <v>0</v>
      </c>
    </row>
    <row r="4433" spans="1:4">
      <c r="A4433" s="50">
        <v>45111</v>
      </c>
      <c r="B4433" s="49" t="s">
        <v>45</v>
      </c>
      <c r="C4433" s="51">
        <v>54537.5</v>
      </c>
      <c r="D4433" s="51">
        <v>0</v>
      </c>
    </row>
    <row r="4434" spans="1:4">
      <c r="A4434" s="50">
        <v>45111</v>
      </c>
      <c r="B4434" s="49" t="s">
        <v>46</v>
      </c>
      <c r="C4434" s="51">
        <v>54593.7</v>
      </c>
      <c r="D4434" s="51">
        <v>0</v>
      </c>
    </row>
    <row r="4435" spans="1:4">
      <c r="A4435" s="50">
        <v>45111</v>
      </c>
      <c r="B4435" s="49" t="s">
        <v>47</v>
      </c>
      <c r="C4435" s="51">
        <v>54382.2</v>
      </c>
      <c r="D4435" s="51">
        <v>0</v>
      </c>
    </row>
    <row r="4436" spans="1:4">
      <c r="A4436" s="50">
        <v>45111</v>
      </c>
      <c r="B4436" s="49" t="s">
        <v>48</v>
      </c>
      <c r="C4436" s="51">
        <v>54673.9</v>
      </c>
      <c r="D4436" s="51">
        <v>0</v>
      </c>
    </row>
    <row r="4437" spans="1:4">
      <c r="A4437" s="50">
        <v>45111</v>
      </c>
      <c r="B4437" s="49" t="s">
        <v>49</v>
      </c>
      <c r="C4437" s="51">
        <v>54701.5</v>
      </c>
      <c r="D4437" s="51">
        <v>0</v>
      </c>
    </row>
    <row r="4438" spans="1:4">
      <c r="A4438" s="50">
        <v>45111</v>
      </c>
      <c r="B4438" s="49" t="s">
        <v>50</v>
      </c>
      <c r="C4438" s="51">
        <v>54643.4</v>
      </c>
      <c r="D4438" s="51">
        <v>0</v>
      </c>
    </row>
    <row r="4439" spans="1:4">
      <c r="A4439" s="50">
        <v>45111</v>
      </c>
      <c r="B4439" s="49" t="s">
        <v>51</v>
      </c>
      <c r="C4439" s="51">
        <v>54303.7</v>
      </c>
      <c r="D4439" s="51">
        <v>0</v>
      </c>
    </row>
    <row r="4440" spans="1:4">
      <c r="A4440" s="50">
        <v>45111</v>
      </c>
      <c r="B4440" s="49" t="s">
        <v>52</v>
      </c>
      <c r="C4440" s="51">
        <v>54552.9</v>
      </c>
      <c r="D4440" s="51">
        <v>0</v>
      </c>
    </row>
    <row r="4441" spans="1:4">
      <c r="A4441" s="50">
        <v>45111</v>
      </c>
      <c r="B4441" s="49" t="s">
        <v>53</v>
      </c>
      <c r="C4441" s="51">
        <v>54679.6</v>
      </c>
      <c r="D4441" s="51">
        <v>0</v>
      </c>
    </row>
    <row r="4442" spans="1:4">
      <c r="A4442" s="50">
        <v>45112</v>
      </c>
      <c r="B4442" s="49" t="s">
        <v>30</v>
      </c>
      <c r="C4442" s="51">
        <v>54380.5</v>
      </c>
      <c r="D4442" s="51">
        <v>0</v>
      </c>
    </row>
    <row r="4443" spans="1:4">
      <c r="A4443" s="50">
        <v>45112</v>
      </c>
      <c r="B4443" s="49" t="s">
        <v>31</v>
      </c>
      <c r="C4443" s="51">
        <v>54306.7</v>
      </c>
      <c r="D4443" s="51">
        <v>0</v>
      </c>
    </row>
    <row r="4444" spans="1:4">
      <c r="A4444" s="50">
        <v>45112</v>
      </c>
      <c r="B4444" s="49" t="s">
        <v>32</v>
      </c>
      <c r="C4444" s="51">
        <v>54629.9</v>
      </c>
      <c r="D4444" s="51">
        <v>0</v>
      </c>
    </row>
    <row r="4445" spans="1:4">
      <c r="A4445" s="50">
        <v>45112</v>
      </c>
      <c r="B4445" s="49" t="s">
        <v>33</v>
      </c>
      <c r="C4445" s="51">
        <v>54794.8</v>
      </c>
      <c r="D4445" s="51">
        <v>0</v>
      </c>
    </row>
    <row r="4446" spans="1:4">
      <c r="A4446" s="50">
        <v>45112</v>
      </c>
      <c r="B4446" s="49" t="s">
        <v>34</v>
      </c>
      <c r="C4446" s="51">
        <v>54893</v>
      </c>
      <c r="D4446" s="51">
        <v>0</v>
      </c>
    </row>
    <row r="4447" spans="1:4">
      <c r="A4447" s="50">
        <v>45112</v>
      </c>
      <c r="B4447" s="49" t="s">
        <v>35</v>
      </c>
      <c r="C4447" s="51">
        <v>54725.4</v>
      </c>
      <c r="D4447" s="51">
        <v>0</v>
      </c>
    </row>
    <row r="4448" spans="1:4">
      <c r="A4448" s="50">
        <v>45112</v>
      </c>
      <c r="B4448" s="49" t="s">
        <v>36</v>
      </c>
      <c r="C4448" s="51">
        <v>54756.5</v>
      </c>
      <c r="D4448" s="51">
        <v>0</v>
      </c>
    </row>
    <row r="4449" spans="1:4">
      <c r="A4449" s="50">
        <v>45112</v>
      </c>
      <c r="B4449" s="49" t="s">
        <v>37</v>
      </c>
      <c r="C4449" s="51">
        <v>54689.2</v>
      </c>
      <c r="D4449" s="51">
        <v>0</v>
      </c>
    </row>
    <row r="4450" spans="1:4">
      <c r="A4450" s="50">
        <v>45112</v>
      </c>
      <c r="B4450" s="49" t="s">
        <v>38</v>
      </c>
      <c r="C4450" s="51">
        <v>54718.8</v>
      </c>
      <c r="D4450" s="51">
        <v>0</v>
      </c>
    </row>
    <row r="4451" spans="1:4">
      <c r="A4451" s="50">
        <v>45112</v>
      </c>
      <c r="B4451" s="49" t="s">
        <v>39</v>
      </c>
      <c r="C4451" s="51">
        <v>54821.1</v>
      </c>
      <c r="D4451" s="51">
        <v>0</v>
      </c>
    </row>
    <row r="4452" spans="1:4">
      <c r="A4452" s="50">
        <v>45112</v>
      </c>
      <c r="B4452" s="49" t="s">
        <v>40</v>
      </c>
      <c r="C4452" s="51">
        <v>54658.6</v>
      </c>
      <c r="D4452" s="51">
        <v>0</v>
      </c>
    </row>
    <row r="4453" spans="1:4">
      <c r="A4453" s="50">
        <v>45112</v>
      </c>
      <c r="B4453" s="49" t="s">
        <v>41</v>
      </c>
      <c r="C4453" s="51">
        <v>55081.7</v>
      </c>
      <c r="D4453" s="51">
        <v>0</v>
      </c>
    </row>
    <row r="4454" spans="1:4">
      <c r="A4454" s="50">
        <v>45112</v>
      </c>
      <c r="B4454" s="49" t="s">
        <v>42</v>
      </c>
      <c r="C4454" s="51">
        <v>54309.599999999999</v>
      </c>
      <c r="D4454" s="51">
        <v>0</v>
      </c>
    </row>
    <row r="4455" spans="1:4">
      <c r="A4455" s="50">
        <v>45112</v>
      </c>
      <c r="B4455" s="49" t="s">
        <v>43</v>
      </c>
      <c r="C4455" s="51">
        <v>54408.800000000003</v>
      </c>
      <c r="D4455" s="51">
        <v>0</v>
      </c>
    </row>
    <row r="4456" spans="1:4">
      <c r="A4456" s="50">
        <v>45112</v>
      </c>
      <c r="B4456" s="49" t="s">
        <v>44</v>
      </c>
      <c r="C4456" s="51">
        <v>54354.1</v>
      </c>
      <c r="D4456" s="51">
        <v>0</v>
      </c>
    </row>
    <row r="4457" spans="1:4">
      <c r="A4457" s="50">
        <v>45112</v>
      </c>
      <c r="B4457" s="49" t="s">
        <v>45</v>
      </c>
      <c r="C4457" s="51">
        <v>54006.6</v>
      </c>
      <c r="D4457" s="51">
        <v>0</v>
      </c>
    </row>
    <row r="4458" spans="1:4">
      <c r="A4458" s="50">
        <v>45112</v>
      </c>
      <c r="B4458" s="49" t="s">
        <v>46</v>
      </c>
      <c r="C4458" s="51">
        <v>54184.6</v>
      </c>
      <c r="D4458" s="51">
        <v>0</v>
      </c>
    </row>
    <row r="4459" spans="1:4">
      <c r="A4459" s="50">
        <v>45112</v>
      </c>
      <c r="B4459" s="49" t="s">
        <v>47</v>
      </c>
      <c r="C4459" s="51">
        <v>54337.4</v>
      </c>
      <c r="D4459" s="51">
        <v>0</v>
      </c>
    </row>
    <row r="4460" spans="1:4">
      <c r="A4460" s="50">
        <v>45112</v>
      </c>
      <c r="B4460" s="49" t="s">
        <v>48</v>
      </c>
      <c r="C4460" s="51">
        <v>54381.8</v>
      </c>
      <c r="D4460" s="51">
        <v>0</v>
      </c>
    </row>
    <row r="4461" spans="1:4">
      <c r="A4461" s="50">
        <v>45112</v>
      </c>
      <c r="B4461" s="49" t="s">
        <v>49</v>
      </c>
      <c r="C4461" s="51">
        <v>54274.5</v>
      </c>
      <c r="D4461" s="51">
        <v>0</v>
      </c>
    </row>
    <row r="4462" spans="1:4">
      <c r="A4462" s="50">
        <v>45112</v>
      </c>
      <c r="B4462" s="49" t="s">
        <v>50</v>
      </c>
      <c r="C4462" s="51">
        <v>54238.8</v>
      </c>
      <c r="D4462" s="51">
        <v>0</v>
      </c>
    </row>
    <row r="4463" spans="1:4">
      <c r="A4463" s="50">
        <v>45112</v>
      </c>
      <c r="B4463" s="49" t="s">
        <v>51</v>
      </c>
      <c r="C4463" s="51">
        <v>54041</v>
      </c>
      <c r="D4463" s="51">
        <v>0</v>
      </c>
    </row>
    <row r="4464" spans="1:4">
      <c r="A4464" s="50">
        <v>45112</v>
      </c>
      <c r="B4464" s="49" t="s">
        <v>52</v>
      </c>
      <c r="C4464" s="51">
        <v>54138.6</v>
      </c>
      <c r="D4464" s="51">
        <v>0</v>
      </c>
    </row>
    <row r="4465" spans="1:4">
      <c r="A4465" s="50">
        <v>45112</v>
      </c>
      <c r="B4465" s="49" t="s">
        <v>53</v>
      </c>
      <c r="C4465" s="51">
        <v>54168.1</v>
      </c>
      <c r="D4465" s="51">
        <v>0</v>
      </c>
    </row>
    <row r="4466" spans="1:4">
      <c r="A4466" s="50">
        <v>45113</v>
      </c>
      <c r="B4466" s="49" t="s">
        <v>30</v>
      </c>
      <c r="C4466" s="51">
        <v>53920.9</v>
      </c>
      <c r="D4466" s="51">
        <v>0</v>
      </c>
    </row>
    <row r="4467" spans="1:4">
      <c r="A4467" s="50">
        <v>45113</v>
      </c>
      <c r="B4467" s="49" t="s">
        <v>31</v>
      </c>
      <c r="C4467" s="51">
        <v>53850.3</v>
      </c>
      <c r="D4467" s="51">
        <v>0</v>
      </c>
    </row>
    <row r="4468" spans="1:4">
      <c r="A4468" s="50">
        <v>45113</v>
      </c>
      <c r="B4468" s="49" t="s">
        <v>32</v>
      </c>
      <c r="C4468" s="51">
        <v>54077</v>
      </c>
      <c r="D4468" s="51">
        <v>0</v>
      </c>
    </row>
    <row r="4469" spans="1:4">
      <c r="A4469" s="50">
        <v>45113</v>
      </c>
      <c r="B4469" s="49" t="s">
        <v>33</v>
      </c>
      <c r="C4469" s="51">
        <v>53948.6</v>
      </c>
      <c r="D4469" s="51">
        <v>0</v>
      </c>
    </row>
    <row r="4470" spans="1:4">
      <c r="A4470" s="50">
        <v>45113</v>
      </c>
      <c r="B4470" s="49" t="s">
        <v>34</v>
      </c>
      <c r="C4470" s="51">
        <v>54205.1</v>
      </c>
      <c r="D4470" s="51">
        <v>0</v>
      </c>
    </row>
    <row r="4471" spans="1:4">
      <c r="A4471" s="50">
        <v>45113</v>
      </c>
      <c r="B4471" s="49" t="s">
        <v>35</v>
      </c>
      <c r="C4471" s="51">
        <v>54103.1</v>
      </c>
      <c r="D4471" s="51">
        <v>0</v>
      </c>
    </row>
    <row r="4472" spans="1:4">
      <c r="A4472" s="50">
        <v>45113</v>
      </c>
      <c r="B4472" s="49" t="s">
        <v>36</v>
      </c>
      <c r="C4472" s="51">
        <v>54119.8</v>
      </c>
      <c r="D4472" s="51">
        <v>0</v>
      </c>
    </row>
    <row r="4473" spans="1:4">
      <c r="A4473" s="50">
        <v>45113</v>
      </c>
      <c r="B4473" s="49" t="s">
        <v>37</v>
      </c>
      <c r="C4473" s="51">
        <v>54320.4</v>
      </c>
      <c r="D4473" s="51">
        <v>0</v>
      </c>
    </row>
    <row r="4474" spans="1:4">
      <c r="A4474" s="50">
        <v>45113</v>
      </c>
      <c r="B4474" s="49" t="s">
        <v>38</v>
      </c>
      <c r="C4474" s="51">
        <v>54386.1</v>
      </c>
      <c r="D4474" s="51">
        <v>0</v>
      </c>
    </row>
    <row r="4475" spans="1:4">
      <c r="A4475" s="50">
        <v>45113</v>
      </c>
      <c r="B4475" s="49" t="s">
        <v>39</v>
      </c>
      <c r="C4475" s="51">
        <v>54368</v>
      </c>
      <c r="D4475" s="51">
        <v>0</v>
      </c>
    </row>
    <row r="4476" spans="1:4">
      <c r="A4476" s="50">
        <v>45113</v>
      </c>
      <c r="B4476" s="49" t="s">
        <v>40</v>
      </c>
      <c r="C4476" s="51">
        <v>54385.7</v>
      </c>
      <c r="D4476" s="51">
        <v>0</v>
      </c>
    </row>
    <row r="4477" spans="1:4">
      <c r="A4477" s="50">
        <v>45113</v>
      </c>
      <c r="B4477" s="49" t="s">
        <v>41</v>
      </c>
      <c r="C4477" s="51">
        <v>54328.3</v>
      </c>
      <c r="D4477" s="51">
        <v>0</v>
      </c>
    </row>
    <row r="4478" spans="1:4">
      <c r="A4478" s="50">
        <v>45113</v>
      </c>
      <c r="B4478" s="49" t="s">
        <v>42</v>
      </c>
      <c r="C4478" s="51">
        <v>54260.3</v>
      </c>
      <c r="D4478" s="51">
        <v>0</v>
      </c>
    </row>
    <row r="4479" spans="1:4">
      <c r="A4479" s="50">
        <v>45113</v>
      </c>
      <c r="B4479" s="49" t="s">
        <v>43</v>
      </c>
      <c r="C4479" s="51">
        <v>54788.7</v>
      </c>
      <c r="D4479" s="51">
        <v>0</v>
      </c>
    </row>
    <row r="4480" spans="1:4">
      <c r="A4480" s="50">
        <v>45113</v>
      </c>
      <c r="B4480" s="49" t="s">
        <v>44</v>
      </c>
      <c r="C4480" s="51">
        <v>54756.4</v>
      </c>
      <c r="D4480" s="51">
        <v>0</v>
      </c>
    </row>
    <row r="4481" spans="1:4">
      <c r="A4481" s="50">
        <v>45113</v>
      </c>
      <c r="B4481" s="49" t="s">
        <v>45</v>
      </c>
      <c r="C4481" s="51">
        <v>54799.3</v>
      </c>
      <c r="D4481" s="51">
        <v>0</v>
      </c>
    </row>
    <row r="4482" spans="1:4">
      <c r="A4482" s="50">
        <v>45113</v>
      </c>
      <c r="B4482" s="49" t="s">
        <v>46</v>
      </c>
      <c r="C4482" s="51">
        <v>54643</v>
      </c>
      <c r="D4482" s="51">
        <v>0</v>
      </c>
    </row>
    <row r="4483" spans="1:4">
      <c r="A4483" s="50">
        <v>45113</v>
      </c>
      <c r="B4483" s="49" t="s">
        <v>47</v>
      </c>
      <c r="C4483" s="51">
        <v>54627.9</v>
      </c>
      <c r="D4483" s="51">
        <v>0</v>
      </c>
    </row>
    <row r="4484" spans="1:4">
      <c r="A4484" s="50">
        <v>45113</v>
      </c>
      <c r="B4484" s="49" t="s">
        <v>48</v>
      </c>
      <c r="C4484" s="51">
        <v>54828.800000000003</v>
      </c>
      <c r="D4484" s="51">
        <v>0</v>
      </c>
    </row>
    <row r="4485" spans="1:4">
      <c r="A4485" s="50">
        <v>45113</v>
      </c>
      <c r="B4485" s="49" t="s">
        <v>49</v>
      </c>
      <c r="C4485" s="51">
        <v>54740.3</v>
      </c>
      <c r="D4485" s="51">
        <v>0</v>
      </c>
    </row>
    <row r="4486" spans="1:4">
      <c r="A4486" s="50">
        <v>45113</v>
      </c>
      <c r="B4486" s="49" t="s">
        <v>50</v>
      </c>
      <c r="C4486" s="51">
        <v>54540.7</v>
      </c>
      <c r="D4486" s="51">
        <v>0</v>
      </c>
    </row>
    <row r="4487" spans="1:4">
      <c r="A4487" s="50">
        <v>45113</v>
      </c>
      <c r="B4487" s="49" t="s">
        <v>51</v>
      </c>
      <c r="C4487" s="51">
        <v>53964.2</v>
      </c>
      <c r="D4487" s="51">
        <v>0</v>
      </c>
    </row>
    <row r="4488" spans="1:4">
      <c r="A4488" s="50">
        <v>45113</v>
      </c>
      <c r="B4488" s="49" t="s">
        <v>52</v>
      </c>
      <c r="C4488" s="51">
        <v>54024.2</v>
      </c>
      <c r="D4488" s="51">
        <v>0</v>
      </c>
    </row>
    <row r="4489" spans="1:4">
      <c r="A4489" s="50">
        <v>45113</v>
      </c>
      <c r="B4489" s="49" t="s">
        <v>53</v>
      </c>
      <c r="C4489" s="51">
        <v>54075.8</v>
      </c>
      <c r="D4489" s="51">
        <v>0</v>
      </c>
    </row>
    <row r="4490" spans="1:4">
      <c r="A4490" s="50">
        <v>45114</v>
      </c>
      <c r="B4490" s="49" t="s">
        <v>30</v>
      </c>
      <c r="C4490" s="51">
        <v>54392.3</v>
      </c>
      <c r="D4490" s="51">
        <v>0</v>
      </c>
    </row>
    <row r="4491" spans="1:4">
      <c r="A4491" s="50">
        <v>45114</v>
      </c>
      <c r="B4491" s="49" t="s">
        <v>31</v>
      </c>
      <c r="C4491" s="51">
        <v>54158.6</v>
      </c>
      <c r="D4491" s="51">
        <v>0</v>
      </c>
    </row>
    <row r="4492" spans="1:4">
      <c r="A4492" s="50">
        <v>45114</v>
      </c>
      <c r="B4492" s="49" t="s">
        <v>32</v>
      </c>
      <c r="C4492" s="51">
        <v>54207.7</v>
      </c>
      <c r="D4492" s="51">
        <v>0</v>
      </c>
    </row>
    <row r="4493" spans="1:4">
      <c r="A4493" s="50">
        <v>45114</v>
      </c>
      <c r="B4493" s="49" t="s">
        <v>33</v>
      </c>
      <c r="C4493" s="51">
        <v>54180.7</v>
      </c>
      <c r="D4493" s="51">
        <v>0</v>
      </c>
    </row>
    <row r="4494" spans="1:4">
      <c r="A4494" s="50">
        <v>45114</v>
      </c>
      <c r="B4494" s="49" t="s">
        <v>34</v>
      </c>
      <c r="C4494" s="51">
        <v>54373.4</v>
      </c>
      <c r="D4494" s="51">
        <v>0</v>
      </c>
    </row>
    <row r="4495" spans="1:4">
      <c r="A4495" s="50">
        <v>45114</v>
      </c>
      <c r="B4495" s="49" t="s">
        <v>35</v>
      </c>
      <c r="C4495" s="51">
        <v>54378.5</v>
      </c>
      <c r="D4495" s="51">
        <v>0</v>
      </c>
    </row>
    <row r="4496" spans="1:4">
      <c r="A4496" s="50">
        <v>45114</v>
      </c>
      <c r="B4496" s="49" t="s">
        <v>36</v>
      </c>
      <c r="C4496" s="51">
        <v>54205.599999999999</v>
      </c>
      <c r="D4496" s="51">
        <v>0</v>
      </c>
    </row>
    <row r="4497" spans="1:4">
      <c r="A4497" s="50">
        <v>45114</v>
      </c>
      <c r="B4497" s="49" t="s">
        <v>37</v>
      </c>
      <c r="C4497" s="51">
        <v>54018.5</v>
      </c>
      <c r="D4497" s="51">
        <v>0</v>
      </c>
    </row>
    <row r="4498" spans="1:4">
      <c r="A4498" s="50">
        <v>45114</v>
      </c>
      <c r="B4498" s="49" t="s">
        <v>38</v>
      </c>
      <c r="C4498" s="51">
        <v>54116.800000000003</v>
      </c>
      <c r="D4498" s="51">
        <v>0</v>
      </c>
    </row>
    <row r="4499" spans="1:4">
      <c r="A4499" s="50">
        <v>45114</v>
      </c>
      <c r="B4499" s="49" t="s">
        <v>39</v>
      </c>
      <c r="C4499" s="51">
        <v>54019.7</v>
      </c>
      <c r="D4499" s="51">
        <v>0</v>
      </c>
    </row>
    <row r="4500" spans="1:4">
      <c r="A4500" s="50">
        <v>45114</v>
      </c>
      <c r="B4500" s="49" t="s">
        <v>40</v>
      </c>
      <c r="C4500" s="51">
        <v>54190.6</v>
      </c>
      <c r="D4500" s="51">
        <v>0</v>
      </c>
    </row>
    <row r="4501" spans="1:4">
      <c r="A4501" s="50">
        <v>45114</v>
      </c>
      <c r="B4501" s="49" t="s">
        <v>41</v>
      </c>
      <c r="C4501" s="51">
        <v>54148</v>
      </c>
      <c r="D4501" s="51">
        <v>0</v>
      </c>
    </row>
    <row r="4502" spans="1:4">
      <c r="A4502" s="50">
        <v>45114</v>
      </c>
      <c r="B4502" s="49" t="s">
        <v>42</v>
      </c>
      <c r="C4502" s="51">
        <v>54078.2</v>
      </c>
      <c r="D4502" s="51">
        <v>0</v>
      </c>
    </row>
    <row r="4503" spans="1:4">
      <c r="A4503" s="50">
        <v>45114</v>
      </c>
      <c r="B4503" s="49" t="s">
        <v>43</v>
      </c>
      <c r="C4503" s="51">
        <v>54181.1</v>
      </c>
      <c r="D4503" s="51">
        <v>0</v>
      </c>
    </row>
    <row r="4504" spans="1:4">
      <c r="A4504" s="50">
        <v>45114</v>
      </c>
      <c r="B4504" s="49" t="s">
        <v>44</v>
      </c>
      <c r="C4504" s="51">
        <v>54287.4</v>
      </c>
      <c r="D4504" s="51">
        <v>0</v>
      </c>
    </row>
    <row r="4505" spans="1:4">
      <c r="A4505" s="50">
        <v>45114</v>
      </c>
      <c r="B4505" s="49" t="s">
        <v>45</v>
      </c>
      <c r="C4505" s="51">
        <v>54214.3</v>
      </c>
      <c r="D4505" s="51">
        <v>0</v>
      </c>
    </row>
    <row r="4506" spans="1:4">
      <c r="A4506" s="50">
        <v>45114</v>
      </c>
      <c r="B4506" s="49" t="s">
        <v>46</v>
      </c>
      <c r="C4506" s="51">
        <v>54009.9</v>
      </c>
      <c r="D4506" s="51">
        <v>0</v>
      </c>
    </row>
    <row r="4507" spans="1:4">
      <c r="A4507" s="50">
        <v>45114</v>
      </c>
      <c r="B4507" s="49" t="s">
        <v>47</v>
      </c>
      <c r="C4507" s="51">
        <v>54185.2</v>
      </c>
      <c r="D4507" s="51">
        <v>0</v>
      </c>
    </row>
    <row r="4508" spans="1:4">
      <c r="A4508" s="50">
        <v>45114</v>
      </c>
      <c r="B4508" s="49" t="s">
        <v>48</v>
      </c>
      <c r="C4508" s="51">
        <v>54193.4</v>
      </c>
      <c r="D4508" s="51">
        <v>0</v>
      </c>
    </row>
    <row r="4509" spans="1:4">
      <c r="A4509" s="50">
        <v>45114</v>
      </c>
      <c r="B4509" s="49" t="s">
        <v>49</v>
      </c>
      <c r="C4509" s="51">
        <v>54114.9</v>
      </c>
      <c r="D4509" s="51">
        <v>0</v>
      </c>
    </row>
    <row r="4510" spans="1:4">
      <c r="A4510" s="50">
        <v>45114</v>
      </c>
      <c r="B4510" s="49" t="s">
        <v>50</v>
      </c>
      <c r="C4510" s="51">
        <v>54211.6</v>
      </c>
      <c r="D4510" s="51">
        <v>0</v>
      </c>
    </row>
    <row r="4511" spans="1:4">
      <c r="A4511" s="50">
        <v>45114</v>
      </c>
      <c r="B4511" s="49" t="s">
        <v>51</v>
      </c>
      <c r="C4511" s="51">
        <v>53947.6</v>
      </c>
      <c r="D4511" s="51">
        <v>0</v>
      </c>
    </row>
    <row r="4512" spans="1:4">
      <c r="A4512" s="50">
        <v>45114</v>
      </c>
      <c r="B4512" s="49" t="s">
        <v>52</v>
      </c>
      <c r="C4512" s="51">
        <v>53976</v>
      </c>
      <c r="D4512" s="51">
        <v>0</v>
      </c>
    </row>
    <row r="4513" spans="1:4">
      <c r="A4513" s="50">
        <v>45114</v>
      </c>
      <c r="B4513" s="49" t="s">
        <v>53</v>
      </c>
      <c r="C4513" s="51">
        <v>54055.1</v>
      </c>
      <c r="D4513" s="51">
        <v>0</v>
      </c>
    </row>
    <row r="4514" spans="1:4">
      <c r="A4514" s="50">
        <v>45115</v>
      </c>
      <c r="B4514" s="49" t="s">
        <v>30</v>
      </c>
      <c r="C4514" s="51">
        <v>54095.6</v>
      </c>
      <c r="D4514" s="51">
        <v>0</v>
      </c>
    </row>
    <row r="4515" spans="1:4">
      <c r="A4515" s="50">
        <v>45115</v>
      </c>
      <c r="B4515" s="49" t="s">
        <v>31</v>
      </c>
      <c r="C4515" s="51">
        <v>54251</v>
      </c>
      <c r="D4515" s="51">
        <v>0</v>
      </c>
    </row>
    <row r="4516" spans="1:4">
      <c r="A4516" s="50">
        <v>45115</v>
      </c>
      <c r="B4516" s="49" t="s">
        <v>32</v>
      </c>
      <c r="C4516" s="51">
        <v>54267.6</v>
      </c>
      <c r="D4516" s="51">
        <v>0</v>
      </c>
    </row>
    <row r="4517" spans="1:4">
      <c r="A4517" s="50">
        <v>45115</v>
      </c>
      <c r="B4517" s="49" t="s">
        <v>33</v>
      </c>
      <c r="C4517" s="51">
        <v>54237</v>
      </c>
      <c r="D4517" s="51">
        <v>0</v>
      </c>
    </row>
    <row r="4518" spans="1:4">
      <c r="A4518" s="50">
        <v>45115</v>
      </c>
      <c r="B4518" s="49" t="s">
        <v>34</v>
      </c>
      <c r="C4518" s="51">
        <v>54295</v>
      </c>
      <c r="D4518" s="51">
        <v>0</v>
      </c>
    </row>
    <row r="4519" spans="1:4">
      <c r="A4519" s="50">
        <v>45115</v>
      </c>
      <c r="B4519" s="49" t="s">
        <v>35</v>
      </c>
      <c r="C4519" s="51">
        <v>54283</v>
      </c>
      <c r="D4519" s="51">
        <v>0</v>
      </c>
    </row>
    <row r="4520" spans="1:4">
      <c r="A4520" s="50">
        <v>45115</v>
      </c>
      <c r="B4520" s="49" t="s">
        <v>36</v>
      </c>
      <c r="C4520" s="51">
        <v>54267.7</v>
      </c>
      <c r="D4520" s="51">
        <v>0</v>
      </c>
    </row>
    <row r="4521" spans="1:4">
      <c r="A4521" s="50">
        <v>45115</v>
      </c>
      <c r="B4521" s="49" t="s">
        <v>37</v>
      </c>
      <c r="C4521" s="51">
        <v>54303.4</v>
      </c>
      <c r="D4521" s="51">
        <v>0</v>
      </c>
    </row>
    <row r="4522" spans="1:4">
      <c r="A4522" s="50">
        <v>45115</v>
      </c>
      <c r="B4522" s="49" t="s">
        <v>38</v>
      </c>
      <c r="C4522" s="51">
        <v>54264.3</v>
      </c>
      <c r="D4522" s="51">
        <v>0</v>
      </c>
    </row>
    <row r="4523" spans="1:4">
      <c r="A4523" s="50">
        <v>45115</v>
      </c>
      <c r="B4523" s="49" t="s">
        <v>39</v>
      </c>
      <c r="C4523" s="51">
        <v>54271.199999999997</v>
      </c>
      <c r="D4523" s="51">
        <v>0</v>
      </c>
    </row>
    <row r="4524" spans="1:4">
      <c r="A4524" s="50">
        <v>45115</v>
      </c>
      <c r="B4524" s="49" t="s">
        <v>40</v>
      </c>
      <c r="C4524" s="51">
        <v>54223.8</v>
      </c>
      <c r="D4524" s="51">
        <v>0</v>
      </c>
    </row>
    <row r="4525" spans="1:4">
      <c r="A4525" s="50">
        <v>45115</v>
      </c>
      <c r="B4525" s="49" t="s">
        <v>41</v>
      </c>
      <c r="C4525" s="51">
        <v>54267.1</v>
      </c>
      <c r="D4525" s="51">
        <v>0</v>
      </c>
    </row>
    <row r="4526" spans="1:4">
      <c r="A4526" s="50">
        <v>45115</v>
      </c>
      <c r="B4526" s="49" t="s">
        <v>42</v>
      </c>
      <c r="C4526" s="51">
        <v>54220.6</v>
      </c>
      <c r="D4526" s="51">
        <v>0</v>
      </c>
    </row>
    <row r="4527" spans="1:4">
      <c r="A4527" s="50">
        <v>45115</v>
      </c>
      <c r="B4527" s="49" t="s">
        <v>43</v>
      </c>
      <c r="C4527" s="51">
        <v>54161.4</v>
      </c>
      <c r="D4527" s="51">
        <v>0</v>
      </c>
    </row>
    <row r="4528" spans="1:4">
      <c r="A4528" s="50">
        <v>45115</v>
      </c>
      <c r="B4528" s="49" t="s">
        <v>44</v>
      </c>
      <c r="C4528" s="51">
        <v>54264.6</v>
      </c>
      <c r="D4528" s="51">
        <v>0</v>
      </c>
    </row>
    <row r="4529" spans="1:4">
      <c r="A4529" s="50">
        <v>45115</v>
      </c>
      <c r="B4529" s="49" t="s">
        <v>45</v>
      </c>
      <c r="C4529" s="51">
        <v>54281.599999999999</v>
      </c>
      <c r="D4529" s="51">
        <v>0</v>
      </c>
    </row>
    <row r="4530" spans="1:4">
      <c r="A4530" s="50">
        <v>45115</v>
      </c>
      <c r="B4530" s="49" t="s">
        <v>46</v>
      </c>
      <c r="C4530" s="51">
        <v>54207.7</v>
      </c>
      <c r="D4530" s="51">
        <v>0</v>
      </c>
    </row>
    <row r="4531" spans="1:4">
      <c r="A4531" s="50">
        <v>45115</v>
      </c>
      <c r="B4531" s="49" t="s">
        <v>47</v>
      </c>
      <c r="C4531" s="51">
        <v>54171.4</v>
      </c>
      <c r="D4531" s="51">
        <v>0</v>
      </c>
    </row>
    <row r="4532" spans="1:4">
      <c r="A4532" s="50">
        <v>45115</v>
      </c>
      <c r="B4532" s="49" t="s">
        <v>48</v>
      </c>
      <c r="C4532" s="51">
        <v>54300.5</v>
      </c>
      <c r="D4532" s="51">
        <v>0</v>
      </c>
    </row>
    <row r="4533" spans="1:4">
      <c r="A4533" s="50">
        <v>45115</v>
      </c>
      <c r="B4533" s="49" t="s">
        <v>49</v>
      </c>
      <c r="C4533" s="51">
        <v>54144.2</v>
      </c>
      <c r="D4533" s="51">
        <v>0</v>
      </c>
    </row>
    <row r="4534" spans="1:4">
      <c r="A4534" s="50">
        <v>45115</v>
      </c>
      <c r="B4534" s="49" t="s">
        <v>50</v>
      </c>
      <c r="C4534" s="51">
        <v>54088.3</v>
      </c>
      <c r="D4534" s="51">
        <v>0</v>
      </c>
    </row>
    <row r="4535" spans="1:4">
      <c r="A4535" s="50">
        <v>45115</v>
      </c>
      <c r="B4535" s="49" t="s">
        <v>51</v>
      </c>
      <c r="C4535" s="51">
        <v>54050.8</v>
      </c>
      <c r="D4535" s="51">
        <v>0</v>
      </c>
    </row>
    <row r="4536" spans="1:4">
      <c r="A4536" s="50">
        <v>45115</v>
      </c>
      <c r="B4536" s="49" t="s">
        <v>52</v>
      </c>
      <c r="C4536" s="51">
        <v>54254</v>
      </c>
      <c r="D4536" s="51">
        <v>0</v>
      </c>
    </row>
    <row r="4537" spans="1:4">
      <c r="A4537" s="50">
        <v>45115</v>
      </c>
      <c r="B4537" s="49" t="s">
        <v>53</v>
      </c>
      <c r="C4537" s="51">
        <v>54306.6</v>
      </c>
      <c r="D4537" s="51">
        <v>0</v>
      </c>
    </row>
    <row r="4538" spans="1:4">
      <c r="A4538" s="50">
        <v>45116</v>
      </c>
      <c r="B4538" s="49" t="s">
        <v>30</v>
      </c>
      <c r="C4538" s="51">
        <v>54382.400000000001</v>
      </c>
      <c r="D4538" s="51">
        <v>0</v>
      </c>
    </row>
    <row r="4539" spans="1:4">
      <c r="A4539" s="50">
        <v>45116</v>
      </c>
      <c r="B4539" s="49" t="s">
        <v>31</v>
      </c>
      <c r="C4539" s="51">
        <v>53948.7</v>
      </c>
      <c r="D4539" s="51">
        <v>0</v>
      </c>
    </row>
    <row r="4540" spans="1:4">
      <c r="A4540" s="50">
        <v>45116</v>
      </c>
      <c r="B4540" s="49" t="s">
        <v>32</v>
      </c>
      <c r="C4540" s="51">
        <v>53957.4</v>
      </c>
      <c r="D4540" s="51">
        <v>0</v>
      </c>
    </row>
    <row r="4541" spans="1:4">
      <c r="A4541" s="50">
        <v>45116</v>
      </c>
      <c r="B4541" s="49" t="s">
        <v>33</v>
      </c>
      <c r="C4541" s="51">
        <v>53897.7</v>
      </c>
      <c r="D4541" s="51">
        <v>0</v>
      </c>
    </row>
    <row r="4542" spans="1:4">
      <c r="A4542" s="50">
        <v>45116</v>
      </c>
      <c r="B4542" s="49" t="s">
        <v>34</v>
      </c>
      <c r="C4542" s="51">
        <v>53932</v>
      </c>
      <c r="D4542" s="51">
        <v>0</v>
      </c>
    </row>
    <row r="4543" spans="1:4">
      <c r="A4543" s="50">
        <v>45116</v>
      </c>
      <c r="B4543" s="49" t="s">
        <v>35</v>
      </c>
      <c r="C4543" s="51">
        <v>53896.1</v>
      </c>
      <c r="D4543" s="51">
        <v>0</v>
      </c>
    </row>
    <row r="4544" spans="1:4">
      <c r="A4544" s="50">
        <v>45116</v>
      </c>
      <c r="B4544" s="49" t="s">
        <v>36</v>
      </c>
      <c r="C4544" s="51">
        <v>53974.400000000001</v>
      </c>
      <c r="D4544" s="51">
        <v>0</v>
      </c>
    </row>
    <row r="4545" spans="1:4">
      <c r="A4545" s="50">
        <v>45116</v>
      </c>
      <c r="B4545" s="49" t="s">
        <v>37</v>
      </c>
      <c r="C4545" s="51">
        <v>54092.6</v>
      </c>
      <c r="D4545" s="51">
        <v>0</v>
      </c>
    </row>
    <row r="4546" spans="1:4">
      <c r="A4546" s="50">
        <v>45116</v>
      </c>
      <c r="B4546" s="49" t="s">
        <v>38</v>
      </c>
      <c r="C4546" s="51">
        <v>54080.6</v>
      </c>
      <c r="D4546" s="51">
        <v>0</v>
      </c>
    </row>
    <row r="4547" spans="1:4">
      <c r="A4547" s="50">
        <v>45116</v>
      </c>
      <c r="B4547" s="49" t="s">
        <v>39</v>
      </c>
      <c r="C4547" s="51">
        <v>54305</v>
      </c>
      <c r="D4547" s="51">
        <v>0</v>
      </c>
    </row>
    <row r="4548" spans="1:4">
      <c r="A4548" s="50">
        <v>45116</v>
      </c>
      <c r="B4548" s="49" t="s">
        <v>40</v>
      </c>
      <c r="C4548" s="51">
        <v>54399.9</v>
      </c>
      <c r="D4548" s="51">
        <v>0</v>
      </c>
    </row>
    <row r="4549" spans="1:4">
      <c r="A4549" s="50">
        <v>45116</v>
      </c>
      <c r="B4549" s="49" t="s">
        <v>41</v>
      </c>
      <c r="C4549" s="51">
        <v>54282.1</v>
      </c>
      <c r="D4549" s="51">
        <v>0</v>
      </c>
    </row>
    <row r="4550" spans="1:4">
      <c r="A4550" s="50">
        <v>45116</v>
      </c>
      <c r="B4550" s="49" t="s">
        <v>42</v>
      </c>
      <c r="C4550" s="51">
        <v>54614.1</v>
      </c>
      <c r="D4550" s="51">
        <v>0</v>
      </c>
    </row>
    <row r="4551" spans="1:4">
      <c r="A4551" s="50">
        <v>45116</v>
      </c>
      <c r="B4551" s="49" t="s">
        <v>43</v>
      </c>
      <c r="C4551" s="51">
        <v>54728.1</v>
      </c>
      <c r="D4551" s="51">
        <v>0</v>
      </c>
    </row>
    <row r="4552" spans="1:4">
      <c r="A4552" s="50">
        <v>45116</v>
      </c>
      <c r="B4552" s="49" t="s">
        <v>44</v>
      </c>
      <c r="C4552" s="51">
        <v>54857.2</v>
      </c>
      <c r="D4552" s="51">
        <v>0</v>
      </c>
    </row>
    <row r="4553" spans="1:4">
      <c r="A4553" s="50">
        <v>45116</v>
      </c>
      <c r="B4553" s="49" t="s">
        <v>45</v>
      </c>
      <c r="C4553" s="51">
        <v>54836.5</v>
      </c>
      <c r="D4553" s="51">
        <v>0</v>
      </c>
    </row>
    <row r="4554" spans="1:4">
      <c r="A4554" s="50">
        <v>45116</v>
      </c>
      <c r="B4554" s="49" t="s">
        <v>46</v>
      </c>
      <c r="C4554" s="51">
        <v>54860.1</v>
      </c>
      <c r="D4554" s="51">
        <v>0</v>
      </c>
    </row>
    <row r="4555" spans="1:4">
      <c r="A4555" s="50">
        <v>45116</v>
      </c>
      <c r="B4555" s="49" t="s">
        <v>47</v>
      </c>
      <c r="C4555" s="51">
        <v>54854.2</v>
      </c>
      <c r="D4555" s="51">
        <v>0</v>
      </c>
    </row>
    <row r="4556" spans="1:4">
      <c r="A4556" s="50">
        <v>45116</v>
      </c>
      <c r="B4556" s="49" t="s">
        <v>48</v>
      </c>
      <c r="C4556" s="51">
        <v>54975.5</v>
      </c>
      <c r="D4556" s="51">
        <v>0</v>
      </c>
    </row>
    <row r="4557" spans="1:4">
      <c r="A4557" s="50">
        <v>45116</v>
      </c>
      <c r="B4557" s="49" t="s">
        <v>49</v>
      </c>
      <c r="C4557" s="51">
        <v>54739</v>
      </c>
      <c r="D4557" s="51">
        <v>0</v>
      </c>
    </row>
    <row r="4558" spans="1:4">
      <c r="A4558" s="50">
        <v>45116</v>
      </c>
      <c r="B4558" s="49" t="s">
        <v>50</v>
      </c>
      <c r="C4558" s="51">
        <v>54642.3</v>
      </c>
      <c r="D4558" s="51">
        <v>0</v>
      </c>
    </row>
    <row r="4559" spans="1:4">
      <c r="A4559" s="50">
        <v>45116</v>
      </c>
      <c r="B4559" s="49" t="s">
        <v>51</v>
      </c>
      <c r="C4559" s="51">
        <v>54641.8</v>
      </c>
      <c r="D4559" s="51">
        <v>0</v>
      </c>
    </row>
    <row r="4560" spans="1:4">
      <c r="A4560" s="50">
        <v>45116</v>
      </c>
      <c r="B4560" s="49" t="s">
        <v>52</v>
      </c>
      <c r="C4560" s="51">
        <v>54687.8</v>
      </c>
      <c r="D4560" s="51">
        <v>0</v>
      </c>
    </row>
    <row r="4561" spans="1:4">
      <c r="A4561" s="50">
        <v>45116</v>
      </c>
      <c r="B4561" s="49" t="s">
        <v>53</v>
      </c>
      <c r="C4561" s="51">
        <v>54719.7</v>
      </c>
      <c r="D4561" s="51">
        <v>0</v>
      </c>
    </row>
    <row r="4562" spans="1:4">
      <c r="A4562" s="50">
        <v>45117</v>
      </c>
      <c r="B4562" s="49" t="s">
        <v>30</v>
      </c>
      <c r="C4562" s="51">
        <v>54560.4</v>
      </c>
      <c r="D4562" s="51">
        <v>0</v>
      </c>
    </row>
    <row r="4563" spans="1:4">
      <c r="A4563" s="50">
        <v>45117</v>
      </c>
      <c r="B4563" s="49" t="s">
        <v>31</v>
      </c>
      <c r="C4563" s="51">
        <v>54226.1</v>
      </c>
      <c r="D4563" s="51">
        <v>0</v>
      </c>
    </row>
    <row r="4564" spans="1:4">
      <c r="A4564" s="50">
        <v>45117</v>
      </c>
      <c r="B4564" s="49" t="s">
        <v>32</v>
      </c>
      <c r="C4564" s="51">
        <v>54781.9</v>
      </c>
      <c r="D4564" s="51">
        <v>0</v>
      </c>
    </row>
    <row r="4565" spans="1:4">
      <c r="A4565" s="50">
        <v>45117</v>
      </c>
      <c r="B4565" s="49" t="s">
        <v>33</v>
      </c>
      <c r="C4565" s="51">
        <v>54639.8</v>
      </c>
      <c r="D4565" s="51">
        <v>0</v>
      </c>
    </row>
    <row r="4566" spans="1:4">
      <c r="A4566" s="50">
        <v>45117</v>
      </c>
      <c r="B4566" s="49" t="s">
        <v>34</v>
      </c>
      <c r="C4566" s="51">
        <v>54670.3</v>
      </c>
      <c r="D4566" s="51">
        <v>0</v>
      </c>
    </row>
    <row r="4567" spans="1:4">
      <c r="A4567" s="50">
        <v>45117</v>
      </c>
      <c r="B4567" s="49" t="s">
        <v>35</v>
      </c>
      <c r="C4567" s="51">
        <v>54584.800000000003</v>
      </c>
      <c r="D4567" s="51">
        <v>0</v>
      </c>
    </row>
    <row r="4568" spans="1:4">
      <c r="A4568" s="50">
        <v>45117</v>
      </c>
      <c r="B4568" s="49" t="s">
        <v>36</v>
      </c>
      <c r="C4568" s="51">
        <v>53683.9</v>
      </c>
      <c r="D4568" s="51">
        <v>0</v>
      </c>
    </row>
    <row r="4569" spans="1:4">
      <c r="A4569" s="50">
        <v>45117</v>
      </c>
      <c r="B4569" s="49" t="s">
        <v>37</v>
      </c>
      <c r="C4569" s="51">
        <v>54802.5</v>
      </c>
      <c r="D4569" s="51">
        <v>0</v>
      </c>
    </row>
    <row r="4570" spans="1:4">
      <c r="A4570" s="50">
        <v>45117</v>
      </c>
      <c r="B4570" s="49" t="s">
        <v>38</v>
      </c>
      <c r="C4570" s="51">
        <v>54847.3</v>
      </c>
      <c r="D4570" s="51">
        <v>0</v>
      </c>
    </row>
    <row r="4571" spans="1:4">
      <c r="A4571" s="50">
        <v>45117</v>
      </c>
      <c r="B4571" s="49" t="s">
        <v>39</v>
      </c>
      <c r="C4571" s="51">
        <v>54717.4</v>
      </c>
      <c r="D4571" s="51">
        <v>0</v>
      </c>
    </row>
    <row r="4572" spans="1:4">
      <c r="A4572" s="50">
        <v>45117</v>
      </c>
      <c r="B4572" s="49" t="s">
        <v>40</v>
      </c>
      <c r="C4572" s="51">
        <v>54425.8</v>
      </c>
      <c r="D4572" s="51">
        <v>0</v>
      </c>
    </row>
    <row r="4573" spans="1:4">
      <c r="A4573" s="50">
        <v>45117</v>
      </c>
      <c r="B4573" s="49" t="s">
        <v>41</v>
      </c>
      <c r="C4573" s="51">
        <v>54516.4</v>
      </c>
      <c r="D4573" s="51">
        <v>0</v>
      </c>
    </row>
    <row r="4574" spans="1:4">
      <c r="A4574" s="50">
        <v>45117</v>
      </c>
      <c r="B4574" s="49" t="s">
        <v>42</v>
      </c>
      <c r="C4574" s="51">
        <v>54788.1</v>
      </c>
      <c r="D4574" s="51">
        <v>0</v>
      </c>
    </row>
    <row r="4575" spans="1:4">
      <c r="A4575" s="50">
        <v>45117</v>
      </c>
      <c r="B4575" s="49" t="s">
        <v>43</v>
      </c>
      <c r="C4575" s="51">
        <v>54887.6</v>
      </c>
      <c r="D4575" s="51">
        <v>0</v>
      </c>
    </row>
    <row r="4576" spans="1:4">
      <c r="A4576" s="50">
        <v>45117</v>
      </c>
      <c r="B4576" s="49" t="s">
        <v>44</v>
      </c>
      <c r="C4576" s="51">
        <v>54769.8</v>
      </c>
      <c r="D4576" s="51">
        <v>0</v>
      </c>
    </row>
    <row r="4577" spans="1:4">
      <c r="A4577" s="50">
        <v>45117</v>
      </c>
      <c r="B4577" s="49" t="s">
        <v>45</v>
      </c>
      <c r="C4577" s="51">
        <v>54666.7</v>
      </c>
      <c r="D4577" s="51">
        <v>0</v>
      </c>
    </row>
    <row r="4578" spans="1:4">
      <c r="A4578" s="50">
        <v>45117</v>
      </c>
      <c r="B4578" s="49" t="s">
        <v>46</v>
      </c>
      <c r="C4578" s="51">
        <v>54766.2</v>
      </c>
      <c r="D4578" s="51">
        <v>0</v>
      </c>
    </row>
    <row r="4579" spans="1:4">
      <c r="A4579" s="50">
        <v>45117</v>
      </c>
      <c r="B4579" s="49" t="s">
        <v>47</v>
      </c>
      <c r="C4579" s="51">
        <v>54605.599999999999</v>
      </c>
      <c r="D4579" s="51">
        <v>0</v>
      </c>
    </row>
    <row r="4580" spans="1:4">
      <c r="A4580" s="50">
        <v>45117</v>
      </c>
      <c r="B4580" s="49" t="s">
        <v>48</v>
      </c>
      <c r="C4580" s="51">
        <v>54526.3</v>
      </c>
      <c r="D4580" s="51">
        <v>0</v>
      </c>
    </row>
    <row r="4581" spans="1:4">
      <c r="A4581" s="50">
        <v>45117</v>
      </c>
      <c r="B4581" s="49" t="s">
        <v>49</v>
      </c>
      <c r="C4581" s="51">
        <v>54281.4</v>
      </c>
      <c r="D4581" s="51">
        <v>0</v>
      </c>
    </row>
    <row r="4582" spans="1:4">
      <c r="A4582" s="50">
        <v>45117</v>
      </c>
      <c r="B4582" s="49" t="s">
        <v>50</v>
      </c>
      <c r="C4582" s="51">
        <v>54377.7</v>
      </c>
      <c r="D4582" s="51">
        <v>0</v>
      </c>
    </row>
    <row r="4583" spans="1:4">
      <c r="A4583" s="50">
        <v>45117</v>
      </c>
      <c r="B4583" s="49" t="s">
        <v>51</v>
      </c>
      <c r="C4583" s="51">
        <v>54321.3</v>
      </c>
      <c r="D4583" s="51">
        <v>0</v>
      </c>
    </row>
    <row r="4584" spans="1:4">
      <c r="A4584" s="50">
        <v>45117</v>
      </c>
      <c r="B4584" s="49" t="s">
        <v>52</v>
      </c>
      <c r="C4584" s="51">
        <v>54448.7</v>
      </c>
      <c r="D4584" s="51">
        <v>0</v>
      </c>
    </row>
    <row r="4585" spans="1:4">
      <c r="A4585" s="50">
        <v>45117</v>
      </c>
      <c r="B4585" s="49" t="s">
        <v>53</v>
      </c>
      <c r="C4585" s="51">
        <v>54096.800000000003</v>
      </c>
      <c r="D4585" s="51">
        <v>0</v>
      </c>
    </row>
    <row r="4586" spans="1:4">
      <c r="A4586" s="50">
        <v>45118</v>
      </c>
      <c r="B4586" s="49" t="s">
        <v>30</v>
      </c>
      <c r="C4586" s="51">
        <v>54186.400000000001</v>
      </c>
      <c r="D4586" s="51">
        <v>0</v>
      </c>
    </row>
    <row r="4587" spans="1:4">
      <c r="A4587" s="50">
        <v>45118</v>
      </c>
      <c r="B4587" s="49" t="s">
        <v>31</v>
      </c>
      <c r="C4587" s="51">
        <v>54112.2</v>
      </c>
      <c r="D4587" s="51">
        <v>0</v>
      </c>
    </row>
    <row r="4588" spans="1:4">
      <c r="A4588" s="50">
        <v>45118</v>
      </c>
      <c r="B4588" s="49" t="s">
        <v>32</v>
      </c>
      <c r="C4588" s="51">
        <v>54281.4</v>
      </c>
      <c r="D4588" s="51">
        <v>0</v>
      </c>
    </row>
    <row r="4589" spans="1:4">
      <c r="A4589" s="50">
        <v>45118</v>
      </c>
      <c r="B4589" s="49" t="s">
        <v>33</v>
      </c>
      <c r="C4589" s="51">
        <v>54495.6</v>
      </c>
      <c r="D4589" s="51">
        <v>0</v>
      </c>
    </row>
    <row r="4590" spans="1:4">
      <c r="A4590" s="50">
        <v>45118</v>
      </c>
      <c r="B4590" s="49" t="s">
        <v>34</v>
      </c>
      <c r="C4590" s="51">
        <v>54525</v>
      </c>
      <c r="D4590" s="51">
        <v>0</v>
      </c>
    </row>
    <row r="4591" spans="1:4">
      <c r="A4591" s="50">
        <v>45118</v>
      </c>
      <c r="B4591" s="49" t="s">
        <v>35</v>
      </c>
      <c r="C4591" s="51">
        <v>54236.800000000003</v>
      </c>
      <c r="D4591" s="51">
        <v>0</v>
      </c>
    </row>
    <row r="4592" spans="1:4">
      <c r="A4592" s="50">
        <v>45118</v>
      </c>
      <c r="B4592" s="49" t="s">
        <v>36</v>
      </c>
      <c r="C4592" s="51">
        <v>54086.7</v>
      </c>
      <c r="D4592" s="51">
        <v>0</v>
      </c>
    </row>
    <row r="4593" spans="1:4">
      <c r="A4593" s="50">
        <v>45118</v>
      </c>
      <c r="B4593" s="49" t="s">
        <v>37</v>
      </c>
      <c r="C4593" s="51">
        <v>54228.3</v>
      </c>
      <c r="D4593" s="51">
        <v>0</v>
      </c>
    </row>
    <row r="4594" spans="1:4">
      <c r="A4594" s="50">
        <v>45118</v>
      </c>
      <c r="B4594" s="49" t="s">
        <v>38</v>
      </c>
      <c r="C4594" s="51">
        <v>54363.5</v>
      </c>
      <c r="D4594" s="51">
        <v>0</v>
      </c>
    </row>
    <row r="4595" spans="1:4">
      <c r="A4595" s="50">
        <v>45118</v>
      </c>
      <c r="B4595" s="49" t="s">
        <v>39</v>
      </c>
      <c r="C4595" s="51">
        <v>54908.4</v>
      </c>
      <c r="D4595" s="51">
        <v>0</v>
      </c>
    </row>
    <row r="4596" spans="1:4">
      <c r="A4596" s="50">
        <v>45118</v>
      </c>
      <c r="B4596" s="49" t="s">
        <v>40</v>
      </c>
      <c r="C4596" s="51">
        <v>54951.8</v>
      </c>
      <c r="D4596" s="51">
        <v>0</v>
      </c>
    </row>
    <row r="4597" spans="1:4">
      <c r="A4597" s="50">
        <v>45118</v>
      </c>
      <c r="B4597" s="49" t="s">
        <v>41</v>
      </c>
      <c r="C4597" s="51">
        <v>54356.2</v>
      </c>
      <c r="D4597" s="51">
        <v>0</v>
      </c>
    </row>
    <row r="4598" spans="1:4">
      <c r="A4598" s="50">
        <v>45118</v>
      </c>
      <c r="B4598" s="49" t="s">
        <v>42</v>
      </c>
      <c r="C4598" s="51">
        <v>54331.9</v>
      </c>
      <c r="D4598" s="51">
        <v>0</v>
      </c>
    </row>
    <row r="4599" spans="1:4">
      <c r="A4599" s="50">
        <v>45118</v>
      </c>
      <c r="B4599" s="49" t="s">
        <v>43</v>
      </c>
      <c r="C4599" s="51">
        <v>54556.2</v>
      </c>
      <c r="D4599" s="51">
        <v>0</v>
      </c>
    </row>
    <row r="4600" spans="1:4">
      <c r="A4600" s="50">
        <v>45118</v>
      </c>
      <c r="B4600" s="49" t="s">
        <v>44</v>
      </c>
      <c r="C4600" s="51">
        <v>54862.2</v>
      </c>
      <c r="D4600" s="51">
        <v>0</v>
      </c>
    </row>
    <row r="4601" spans="1:4">
      <c r="A4601" s="50">
        <v>45118</v>
      </c>
      <c r="B4601" s="49" t="s">
        <v>45</v>
      </c>
      <c r="C4601" s="51">
        <v>54011.199999999997</v>
      </c>
      <c r="D4601" s="51">
        <v>0</v>
      </c>
    </row>
    <row r="4602" spans="1:4">
      <c r="A4602" s="50">
        <v>45118</v>
      </c>
      <c r="B4602" s="49" t="s">
        <v>46</v>
      </c>
      <c r="C4602" s="51">
        <v>54426.5</v>
      </c>
      <c r="D4602" s="51">
        <v>0</v>
      </c>
    </row>
    <row r="4603" spans="1:4">
      <c r="A4603" s="50">
        <v>45118</v>
      </c>
      <c r="B4603" s="49" t="s">
        <v>47</v>
      </c>
      <c r="C4603" s="51">
        <v>54283.1</v>
      </c>
      <c r="D4603" s="51">
        <v>0</v>
      </c>
    </row>
    <row r="4604" spans="1:4">
      <c r="A4604" s="50">
        <v>45118</v>
      </c>
      <c r="B4604" s="49" t="s">
        <v>48</v>
      </c>
      <c r="C4604" s="51">
        <v>54490.2</v>
      </c>
      <c r="D4604" s="51">
        <v>0</v>
      </c>
    </row>
    <row r="4605" spans="1:4">
      <c r="A4605" s="50">
        <v>45118</v>
      </c>
      <c r="B4605" s="49" t="s">
        <v>49</v>
      </c>
      <c r="C4605" s="51">
        <v>54379.199999999997</v>
      </c>
      <c r="D4605" s="51">
        <v>0</v>
      </c>
    </row>
    <row r="4606" spans="1:4">
      <c r="A4606" s="50">
        <v>45118</v>
      </c>
      <c r="B4606" s="49" t="s">
        <v>50</v>
      </c>
      <c r="C4606" s="51">
        <v>54360.7</v>
      </c>
      <c r="D4606" s="51">
        <v>0</v>
      </c>
    </row>
    <row r="4607" spans="1:4">
      <c r="A4607" s="50">
        <v>45118</v>
      </c>
      <c r="B4607" s="49" t="s">
        <v>51</v>
      </c>
      <c r="C4607" s="51">
        <v>54487.7</v>
      </c>
      <c r="D4607" s="51">
        <v>0</v>
      </c>
    </row>
    <row r="4608" spans="1:4">
      <c r="A4608" s="50">
        <v>45118</v>
      </c>
      <c r="B4608" s="49" t="s">
        <v>52</v>
      </c>
      <c r="C4608" s="51">
        <v>54234</v>
      </c>
      <c r="D4608" s="51">
        <v>0</v>
      </c>
    </row>
    <row r="4609" spans="1:4">
      <c r="A4609" s="50">
        <v>45118</v>
      </c>
      <c r="B4609" s="49" t="s">
        <v>53</v>
      </c>
      <c r="C4609" s="51">
        <v>54350</v>
      </c>
      <c r="D4609" s="51">
        <v>0</v>
      </c>
    </row>
    <row r="4610" spans="1:4">
      <c r="A4610" s="50">
        <v>45119</v>
      </c>
      <c r="B4610" s="49" t="s">
        <v>30</v>
      </c>
      <c r="C4610" s="51">
        <v>53927.4</v>
      </c>
      <c r="D4610" s="51">
        <v>0</v>
      </c>
    </row>
    <row r="4611" spans="1:4">
      <c r="A4611" s="50">
        <v>45119</v>
      </c>
      <c r="B4611" s="49" t="s">
        <v>31</v>
      </c>
      <c r="C4611" s="51">
        <v>54046.2</v>
      </c>
      <c r="D4611" s="51">
        <v>0</v>
      </c>
    </row>
    <row r="4612" spans="1:4">
      <c r="A4612" s="50">
        <v>45119</v>
      </c>
      <c r="B4612" s="49" t="s">
        <v>32</v>
      </c>
      <c r="C4612" s="51">
        <v>54080.9</v>
      </c>
      <c r="D4612" s="51">
        <v>0</v>
      </c>
    </row>
    <row r="4613" spans="1:4">
      <c r="A4613" s="50">
        <v>45119</v>
      </c>
      <c r="B4613" s="49" t="s">
        <v>33</v>
      </c>
      <c r="C4613" s="51">
        <v>54115.199999999997</v>
      </c>
      <c r="D4613" s="51">
        <v>0</v>
      </c>
    </row>
    <row r="4614" spans="1:4">
      <c r="A4614" s="50">
        <v>45119</v>
      </c>
      <c r="B4614" s="49" t="s">
        <v>34</v>
      </c>
      <c r="C4614" s="51">
        <v>54244.1</v>
      </c>
      <c r="D4614" s="51">
        <v>0</v>
      </c>
    </row>
    <row r="4615" spans="1:4">
      <c r="A4615" s="50">
        <v>45119</v>
      </c>
      <c r="B4615" s="49" t="s">
        <v>35</v>
      </c>
      <c r="C4615" s="51">
        <v>53782.5</v>
      </c>
      <c r="D4615" s="51">
        <v>0</v>
      </c>
    </row>
    <row r="4616" spans="1:4">
      <c r="A4616" s="50">
        <v>45119</v>
      </c>
      <c r="B4616" s="49" t="s">
        <v>36</v>
      </c>
      <c r="C4616" s="51">
        <v>53382.1</v>
      </c>
      <c r="D4616" s="51">
        <v>0</v>
      </c>
    </row>
    <row r="4617" spans="1:4">
      <c r="A4617" s="50">
        <v>45119</v>
      </c>
      <c r="B4617" s="49" t="s">
        <v>37</v>
      </c>
      <c r="C4617" s="51">
        <v>54297.599999999999</v>
      </c>
      <c r="D4617" s="51">
        <v>0</v>
      </c>
    </row>
    <row r="4618" spans="1:4">
      <c r="A4618" s="50">
        <v>45119</v>
      </c>
      <c r="B4618" s="49" t="s">
        <v>38</v>
      </c>
      <c r="C4618" s="51">
        <v>54068.7</v>
      </c>
      <c r="D4618" s="51">
        <v>0</v>
      </c>
    </row>
    <row r="4619" spans="1:4">
      <c r="A4619" s="50">
        <v>45119</v>
      </c>
      <c r="B4619" s="49" t="s">
        <v>39</v>
      </c>
      <c r="C4619" s="51">
        <v>54096.6</v>
      </c>
      <c r="D4619" s="51">
        <v>0</v>
      </c>
    </row>
    <row r="4620" spans="1:4">
      <c r="A4620" s="50">
        <v>45119</v>
      </c>
      <c r="B4620" s="49" t="s">
        <v>40</v>
      </c>
      <c r="C4620" s="51">
        <v>54824.1</v>
      </c>
      <c r="D4620" s="51">
        <v>0</v>
      </c>
    </row>
    <row r="4621" spans="1:4">
      <c r="A4621" s="50">
        <v>45119</v>
      </c>
      <c r="B4621" s="49" t="s">
        <v>41</v>
      </c>
      <c r="C4621" s="51">
        <v>54915.5</v>
      </c>
      <c r="D4621" s="51">
        <v>0</v>
      </c>
    </row>
    <row r="4622" spans="1:4">
      <c r="A4622" s="50">
        <v>45119</v>
      </c>
      <c r="B4622" s="49" t="s">
        <v>42</v>
      </c>
      <c r="C4622" s="51">
        <v>54932.1</v>
      </c>
      <c r="D4622" s="51">
        <v>0</v>
      </c>
    </row>
    <row r="4623" spans="1:4">
      <c r="A4623" s="50">
        <v>45119</v>
      </c>
      <c r="B4623" s="49" t="s">
        <v>43</v>
      </c>
      <c r="C4623" s="51">
        <v>53703.1</v>
      </c>
      <c r="D4623" s="51">
        <v>0</v>
      </c>
    </row>
    <row r="4624" spans="1:4">
      <c r="A4624" s="50">
        <v>45119</v>
      </c>
      <c r="B4624" s="49" t="s">
        <v>44</v>
      </c>
      <c r="C4624" s="51">
        <v>53792.800000000003</v>
      </c>
      <c r="D4624" s="51">
        <v>0</v>
      </c>
    </row>
    <row r="4625" spans="1:4">
      <c r="A4625" s="50">
        <v>45119</v>
      </c>
      <c r="B4625" s="49" t="s">
        <v>45</v>
      </c>
      <c r="C4625" s="51">
        <v>54490.6</v>
      </c>
      <c r="D4625" s="51">
        <v>0</v>
      </c>
    </row>
    <row r="4626" spans="1:4">
      <c r="A4626" s="50">
        <v>45119</v>
      </c>
      <c r="B4626" s="49" t="s">
        <v>46</v>
      </c>
      <c r="C4626" s="51">
        <v>53915.3</v>
      </c>
      <c r="D4626" s="51">
        <v>0</v>
      </c>
    </row>
    <row r="4627" spans="1:4">
      <c r="A4627" s="50">
        <v>45119</v>
      </c>
      <c r="B4627" s="49" t="s">
        <v>47</v>
      </c>
      <c r="C4627" s="51">
        <v>53844.4</v>
      </c>
      <c r="D4627" s="51">
        <v>0</v>
      </c>
    </row>
    <row r="4628" spans="1:4">
      <c r="A4628" s="50">
        <v>45119</v>
      </c>
      <c r="B4628" s="49" t="s">
        <v>48</v>
      </c>
      <c r="C4628" s="51">
        <v>53971.8</v>
      </c>
      <c r="D4628" s="51">
        <v>0</v>
      </c>
    </row>
    <row r="4629" spans="1:4">
      <c r="A4629" s="50">
        <v>45119</v>
      </c>
      <c r="B4629" s="49" t="s">
        <v>49</v>
      </c>
      <c r="C4629" s="51">
        <v>54541.8</v>
      </c>
      <c r="D4629" s="51">
        <v>0</v>
      </c>
    </row>
    <row r="4630" spans="1:4">
      <c r="A4630" s="50">
        <v>45119</v>
      </c>
      <c r="B4630" s="49" t="s">
        <v>50</v>
      </c>
      <c r="C4630" s="51">
        <v>54674.5</v>
      </c>
      <c r="D4630" s="51">
        <v>0</v>
      </c>
    </row>
    <row r="4631" spans="1:4">
      <c r="A4631" s="50">
        <v>45119</v>
      </c>
      <c r="B4631" s="49" t="s">
        <v>51</v>
      </c>
      <c r="C4631" s="51">
        <v>54405.599999999999</v>
      </c>
      <c r="D4631" s="51">
        <v>0</v>
      </c>
    </row>
    <row r="4632" spans="1:4">
      <c r="A4632" s="50">
        <v>45119</v>
      </c>
      <c r="B4632" s="49" t="s">
        <v>52</v>
      </c>
      <c r="C4632" s="51">
        <v>54823.3</v>
      </c>
      <c r="D4632" s="51">
        <v>0</v>
      </c>
    </row>
    <row r="4633" spans="1:4">
      <c r="A4633" s="50">
        <v>45119</v>
      </c>
      <c r="B4633" s="49" t="s">
        <v>53</v>
      </c>
      <c r="C4633" s="51">
        <v>55150.3</v>
      </c>
      <c r="D4633" s="51">
        <v>0</v>
      </c>
    </row>
    <row r="4634" spans="1:4">
      <c r="A4634" s="50">
        <v>45120</v>
      </c>
      <c r="B4634" s="49" t="s">
        <v>30</v>
      </c>
      <c r="C4634" s="51">
        <v>52955.7</v>
      </c>
      <c r="D4634" s="51">
        <v>0</v>
      </c>
    </row>
    <row r="4635" spans="1:4">
      <c r="A4635" s="50">
        <v>45120</v>
      </c>
      <c r="B4635" s="49" t="s">
        <v>31</v>
      </c>
      <c r="C4635" s="51">
        <v>54470.5</v>
      </c>
      <c r="D4635" s="51">
        <v>0</v>
      </c>
    </row>
    <row r="4636" spans="1:4">
      <c r="A4636" s="50">
        <v>45120</v>
      </c>
      <c r="B4636" s="49" t="s">
        <v>32</v>
      </c>
      <c r="C4636" s="51">
        <v>53947.199999999997</v>
      </c>
      <c r="D4636" s="51">
        <v>0</v>
      </c>
    </row>
    <row r="4637" spans="1:4">
      <c r="A4637" s="50">
        <v>45120</v>
      </c>
      <c r="B4637" s="49" t="s">
        <v>33</v>
      </c>
      <c r="C4637" s="51">
        <v>54365.599999999999</v>
      </c>
      <c r="D4637" s="51">
        <v>0</v>
      </c>
    </row>
    <row r="4638" spans="1:4">
      <c r="A4638" s="50">
        <v>45120</v>
      </c>
      <c r="B4638" s="49" t="s">
        <v>34</v>
      </c>
      <c r="C4638" s="51">
        <v>54617.599999999999</v>
      </c>
      <c r="D4638" s="51">
        <v>0</v>
      </c>
    </row>
    <row r="4639" spans="1:4">
      <c r="A4639" s="50">
        <v>45120</v>
      </c>
      <c r="B4639" s="49" t="s">
        <v>35</v>
      </c>
      <c r="C4639" s="51">
        <v>54470.400000000001</v>
      </c>
      <c r="D4639" s="51">
        <v>0</v>
      </c>
    </row>
    <row r="4640" spans="1:4">
      <c r="A4640" s="50">
        <v>45120</v>
      </c>
      <c r="B4640" s="49" t="s">
        <v>36</v>
      </c>
      <c r="C4640" s="51">
        <v>54559.1</v>
      </c>
      <c r="D4640" s="51">
        <v>0</v>
      </c>
    </row>
    <row r="4641" spans="1:4">
      <c r="A4641" s="50">
        <v>45120</v>
      </c>
      <c r="B4641" s="49" t="s">
        <v>37</v>
      </c>
      <c r="C4641" s="51">
        <v>54542.8</v>
      </c>
      <c r="D4641" s="51">
        <v>0</v>
      </c>
    </row>
    <row r="4642" spans="1:4">
      <c r="A4642" s="50">
        <v>45120</v>
      </c>
      <c r="B4642" s="49" t="s">
        <v>38</v>
      </c>
      <c r="C4642" s="51">
        <v>54747.7</v>
      </c>
      <c r="D4642" s="51">
        <v>0</v>
      </c>
    </row>
    <row r="4643" spans="1:4">
      <c r="A4643" s="50">
        <v>45120</v>
      </c>
      <c r="B4643" s="49" t="s">
        <v>39</v>
      </c>
      <c r="C4643" s="51">
        <v>54910</v>
      </c>
      <c r="D4643" s="51">
        <v>0</v>
      </c>
    </row>
    <row r="4644" spans="1:4">
      <c r="A4644" s="50">
        <v>45120</v>
      </c>
      <c r="B4644" s="49" t="s">
        <v>40</v>
      </c>
      <c r="C4644" s="51">
        <v>53891.199999999997</v>
      </c>
      <c r="D4644" s="51">
        <v>0</v>
      </c>
    </row>
    <row r="4645" spans="1:4">
      <c r="A4645" s="50">
        <v>45120</v>
      </c>
      <c r="B4645" s="49" t="s">
        <v>41</v>
      </c>
      <c r="C4645" s="51">
        <v>53835.4</v>
      </c>
      <c r="D4645" s="51">
        <v>0</v>
      </c>
    </row>
    <row r="4646" spans="1:4">
      <c r="A4646" s="50">
        <v>45120</v>
      </c>
      <c r="B4646" s="49" t="s">
        <v>42</v>
      </c>
      <c r="C4646" s="51">
        <v>53863.199999999997</v>
      </c>
      <c r="D4646" s="51">
        <v>0</v>
      </c>
    </row>
    <row r="4647" spans="1:4">
      <c r="A4647" s="50">
        <v>45120</v>
      </c>
      <c r="B4647" s="49" t="s">
        <v>43</v>
      </c>
      <c r="C4647" s="51">
        <v>53654.6</v>
      </c>
      <c r="D4647" s="51">
        <v>0</v>
      </c>
    </row>
    <row r="4648" spans="1:4">
      <c r="A4648" s="50">
        <v>45120</v>
      </c>
      <c r="B4648" s="49" t="s">
        <v>44</v>
      </c>
      <c r="C4648" s="51">
        <v>53713.9</v>
      </c>
      <c r="D4648" s="51">
        <v>0</v>
      </c>
    </row>
    <row r="4649" spans="1:4">
      <c r="A4649" s="50">
        <v>45120</v>
      </c>
      <c r="B4649" s="49" t="s">
        <v>45</v>
      </c>
      <c r="C4649" s="51">
        <v>53485.5</v>
      </c>
      <c r="D4649" s="51">
        <v>0</v>
      </c>
    </row>
    <row r="4650" spans="1:4">
      <c r="A4650" s="50">
        <v>45120</v>
      </c>
      <c r="B4650" s="49" t="s">
        <v>46</v>
      </c>
      <c r="C4650" s="51">
        <v>54286</v>
      </c>
      <c r="D4650" s="51">
        <v>0</v>
      </c>
    </row>
    <row r="4651" spans="1:4">
      <c r="A4651" s="50">
        <v>45120</v>
      </c>
      <c r="B4651" s="49" t="s">
        <v>47</v>
      </c>
      <c r="C4651" s="51">
        <v>54380.7</v>
      </c>
      <c r="D4651" s="51">
        <v>0</v>
      </c>
    </row>
    <row r="4652" spans="1:4">
      <c r="A4652" s="50">
        <v>45120</v>
      </c>
      <c r="B4652" s="49" t="s">
        <v>48</v>
      </c>
      <c r="C4652" s="51">
        <v>53384.6</v>
      </c>
      <c r="D4652" s="51">
        <v>0</v>
      </c>
    </row>
    <row r="4653" spans="1:4">
      <c r="A4653" s="50">
        <v>45120</v>
      </c>
      <c r="B4653" s="49" t="s">
        <v>49</v>
      </c>
      <c r="C4653" s="51">
        <v>54653.599999999999</v>
      </c>
      <c r="D4653" s="51">
        <v>0</v>
      </c>
    </row>
    <row r="4654" spans="1:4">
      <c r="A4654" s="50">
        <v>45120</v>
      </c>
      <c r="B4654" s="49" t="s">
        <v>50</v>
      </c>
      <c r="C4654" s="51">
        <v>54437.9</v>
      </c>
      <c r="D4654" s="51">
        <v>0</v>
      </c>
    </row>
    <row r="4655" spans="1:4">
      <c r="A4655" s="50">
        <v>45120</v>
      </c>
      <c r="B4655" s="49" t="s">
        <v>51</v>
      </c>
      <c r="C4655" s="51">
        <v>54521.4</v>
      </c>
      <c r="D4655" s="51">
        <v>0</v>
      </c>
    </row>
    <row r="4656" spans="1:4">
      <c r="A4656" s="50">
        <v>45120</v>
      </c>
      <c r="B4656" s="49" t="s">
        <v>52</v>
      </c>
      <c r="C4656" s="51">
        <v>54769.5</v>
      </c>
      <c r="D4656" s="51">
        <v>0</v>
      </c>
    </row>
    <row r="4657" spans="1:4">
      <c r="A4657" s="50">
        <v>45120</v>
      </c>
      <c r="B4657" s="49" t="s">
        <v>53</v>
      </c>
      <c r="C4657" s="51">
        <v>54321.5</v>
      </c>
      <c r="D4657" s="51">
        <v>0</v>
      </c>
    </row>
    <row r="4658" spans="1:4">
      <c r="A4658" s="50">
        <v>45121</v>
      </c>
      <c r="B4658" s="49" t="s">
        <v>30</v>
      </c>
      <c r="C4658" s="51">
        <v>53976.800000000003</v>
      </c>
      <c r="D4658" s="51">
        <v>0</v>
      </c>
    </row>
    <row r="4659" spans="1:4">
      <c r="A4659" s="50">
        <v>45121</v>
      </c>
      <c r="B4659" s="49" t="s">
        <v>31</v>
      </c>
      <c r="C4659" s="51">
        <v>54163.9</v>
      </c>
      <c r="D4659" s="51">
        <v>0</v>
      </c>
    </row>
    <row r="4660" spans="1:4">
      <c r="A4660" s="50">
        <v>45121</v>
      </c>
      <c r="B4660" s="49" t="s">
        <v>32</v>
      </c>
      <c r="C4660" s="51">
        <v>54240.9</v>
      </c>
      <c r="D4660" s="51">
        <v>0</v>
      </c>
    </row>
    <row r="4661" spans="1:4">
      <c r="A4661" s="50">
        <v>45121</v>
      </c>
      <c r="B4661" s="49" t="s">
        <v>33</v>
      </c>
      <c r="C4661" s="51">
        <v>54117.4</v>
      </c>
      <c r="D4661" s="51">
        <v>0</v>
      </c>
    </row>
    <row r="4662" spans="1:4">
      <c r="A4662" s="50">
        <v>45121</v>
      </c>
      <c r="B4662" s="49" t="s">
        <v>34</v>
      </c>
      <c r="C4662" s="51">
        <v>54294</v>
      </c>
      <c r="D4662" s="51">
        <v>0</v>
      </c>
    </row>
    <row r="4663" spans="1:4">
      <c r="A4663" s="50">
        <v>45121</v>
      </c>
      <c r="B4663" s="49" t="s">
        <v>35</v>
      </c>
      <c r="C4663" s="51">
        <v>54172.800000000003</v>
      </c>
      <c r="D4663" s="51">
        <v>0</v>
      </c>
    </row>
    <row r="4664" spans="1:4">
      <c r="A4664" s="50">
        <v>45121</v>
      </c>
      <c r="B4664" s="49" t="s">
        <v>36</v>
      </c>
      <c r="C4664" s="51">
        <v>54353.1</v>
      </c>
      <c r="D4664" s="51">
        <v>0</v>
      </c>
    </row>
    <row r="4665" spans="1:4">
      <c r="A4665" s="50">
        <v>45121</v>
      </c>
      <c r="B4665" s="49" t="s">
        <v>37</v>
      </c>
      <c r="C4665" s="51">
        <v>54238.6</v>
      </c>
      <c r="D4665" s="51">
        <v>0</v>
      </c>
    </row>
    <row r="4666" spans="1:4">
      <c r="A4666" s="50">
        <v>45121</v>
      </c>
      <c r="B4666" s="49" t="s">
        <v>38</v>
      </c>
      <c r="C4666" s="51">
        <v>54307</v>
      </c>
      <c r="D4666" s="51">
        <v>0</v>
      </c>
    </row>
    <row r="4667" spans="1:4">
      <c r="A4667" s="50">
        <v>45121</v>
      </c>
      <c r="B4667" s="49" t="s">
        <v>39</v>
      </c>
      <c r="C4667" s="51">
        <v>54113.7</v>
      </c>
      <c r="D4667" s="51">
        <v>0</v>
      </c>
    </row>
    <row r="4668" spans="1:4">
      <c r="A4668" s="50">
        <v>45121</v>
      </c>
      <c r="B4668" s="49" t="s">
        <v>40</v>
      </c>
      <c r="C4668" s="51">
        <v>54027.9</v>
      </c>
      <c r="D4668" s="51">
        <v>0</v>
      </c>
    </row>
    <row r="4669" spans="1:4">
      <c r="A4669" s="50">
        <v>45121</v>
      </c>
      <c r="B4669" s="49" t="s">
        <v>41</v>
      </c>
      <c r="C4669" s="51">
        <v>54117.8</v>
      </c>
      <c r="D4669" s="51">
        <v>0</v>
      </c>
    </row>
    <row r="4670" spans="1:4">
      <c r="A4670" s="50">
        <v>45121</v>
      </c>
      <c r="B4670" s="49" t="s">
        <v>42</v>
      </c>
      <c r="C4670" s="51">
        <v>54299</v>
      </c>
      <c r="D4670" s="51">
        <v>0</v>
      </c>
    </row>
    <row r="4671" spans="1:4">
      <c r="A4671" s="50">
        <v>45121</v>
      </c>
      <c r="B4671" s="49" t="s">
        <v>43</v>
      </c>
      <c r="C4671" s="51">
        <v>54526.3</v>
      </c>
      <c r="D4671" s="51">
        <v>0</v>
      </c>
    </row>
    <row r="4672" spans="1:4">
      <c r="A4672" s="50">
        <v>45121</v>
      </c>
      <c r="B4672" s="49" t="s">
        <v>44</v>
      </c>
      <c r="C4672" s="51">
        <v>54499.199999999997</v>
      </c>
      <c r="D4672" s="51">
        <v>0</v>
      </c>
    </row>
    <row r="4673" spans="1:4">
      <c r="A4673" s="50">
        <v>45121</v>
      </c>
      <c r="B4673" s="49" t="s">
        <v>45</v>
      </c>
      <c r="C4673" s="51">
        <v>54446.9</v>
      </c>
      <c r="D4673" s="51">
        <v>0</v>
      </c>
    </row>
    <row r="4674" spans="1:4">
      <c r="A4674" s="50">
        <v>45121</v>
      </c>
      <c r="B4674" s="49" t="s">
        <v>46</v>
      </c>
      <c r="C4674" s="51">
        <v>54365.7</v>
      </c>
      <c r="D4674" s="51">
        <v>0</v>
      </c>
    </row>
    <row r="4675" spans="1:4">
      <c r="A4675" s="50">
        <v>45121</v>
      </c>
      <c r="B4675" s="49" t="s">
        <v>47</v>
      </c>
      <c r="C4675" s="51">
        <v>54410.2</v>
      </c>
      <c r="D4675" s="51">
        <v>0</v>
      </c>
    </row>
    <row r="4676" spans="1:4">
      <c r="A4676" s="50">
        <v>45121</v>
      </c>
      <c r="B4676" s="49" t="s">
        <v>48</v>
      </c>
      <c r="C4676" s="51">
        <v>54578.3</v>
      </c>
      <c r="D4676" s="51">
        <v>0</v>
      </c>
    </row>
    <row r="4677" spans="1:4">
      <c r="A4677" s="50">
        <v>45121</v>
      </c>
      <c r="B4677" s="49" t="s">
        <v>49</v>
      </c>
      <c r="C4677" s="51">
        <v>54631.5</v>
      </c>
      <c r="D4677" s="51">
        <v>0</v>
      </c>
    </row>
    <row r="4678" spans="1:4">
      <c r="A4678" s="50">
        <v>45121</v>
      </c>
      <c r="B4678" s="49" t="s">
        <v>50</v>
      </c>
      <c r="C4678" s="51">
        <v>54594.3</v>
      </c>
      <c r="D4678" s="51">
        <v>0</v>
      </c>
    </row>
    <row r="4679" spans="1:4">
      <c r="A4679" s="50">
        <v>45121</v>
      </c>
      <c r="B4679" s="49" t="s">
        <v>51</v>
      </c>
      <c r="C4679" s="51">
        <v>54137.9</v>
      </c>
      <c r="D4679" s="51">
        <v>0</v>
      </c>
    </row>
    <row r="4680" spans="1:4">
      <c r="A4680" s="50">
        <v>45121</v>
      </c>
      <c r="B4680" s="49" t="s">
        <v>52</v>
      </c>
      <c r="C4680" s="51">
        <v>54301.8</v>
      </c>
      <c r="D4680" s="51">
        <v>0</v>
      </c>
    </row>
    <row r="4681" spans="1:4">
      <c r="A4681" s="50">
        <v>45121</v>
      </c>
      <c r="B4681" s="49" t="s">
        <v>53</v>
      </c>
      <c r="C4681" s="51">
        <v>54648.6</v>
      </c>
      <c r="D4681" s="51">
        <v>0</v>
      </c>
    </row>
    <row r="4682" spans="1:4">
      <c r="A4682" s="50">
        <v>45122</v>
      </c>
      <c r="B4682" s="49" t="s">
        <v>30</v>
      </c>
      <c r="C4682" s="51">
        <v>53251.1</v>
      </c>
      <c r="D4682" s="51">
        <v>0</v>
      </c>
    </row>
    <row r="4683" spans="1:4">
      <c r="A4683" s="50">
        <v>45122</v>
      </c>
      <c r="B4683" s="49" t="s">
        <v>31</v>
      </c>
      <c r="C4683" s="51">
        <v>51743.199999999997</v>
      </c>
      <c r="D4683" s="51">
        <v>0</v>
      </c>
    </row>
    <row r="4684" spans="1:4">
      <c r="A4684" s="50">
        <v>45122</v>
      </c>
      <c r="B4684" s="49" t="s">
        <v>32</v>
      </c>
      <c r="C4684" s="51">
        <v>53039.8</v>
      </c>
      <c r="D4684" s="51">
        <v>0</v>
      </c>
    </row>
    <row r="4685" spans="1:4">
      <c r="A4685" s="50">
        <v>45122</v>
      </c>
      <c r="B4685" s="49" t="s">
        <v>33</v>
      </c>
      <c r="C4685" s="51">
        <v>54558.1</v>
      </c>
      <c r="D4685" s="51">
        <v>0</v>
      </c>
    </row>
    <row r="4686" spans="1:4">
      <c r="A4686" s="50">
        <v>45122</v>
      </c>
      <c r="B4686" s="49" t="s">
        <v>34</v>
      </c>
      <c r="C4686" s="51">
        <v>54704.2</v>
      </c>
      <c r="D4686" s="51">
        <v>0</v>
      </c>
    </row>
    <row r="4687" spans="1:4">
      <c r="A4687" s="50">
        <v>45122</v>
      </c>
      <c r="B4687" s="49" t="s">
        <v>35</v>
      </c>
      <c r="C4687" s="51">
        <v>54662.7</v>
      </c>
      <c r="D4687" s="51">
        <v>0</v>
      </c>
    </row>
    <row r="4688" spans="1:4">
      <c r="A4688" s="50">
        <v>45122</v>
      </c>
      <c r="B4688" s="49" t="s">
        <v>36</v>
      </c>
      <c r="C4688" s="51">
        <v>54759.6</v>
      </c>
      <c r="D4688" s="51">
        <v>0</v>
      </c>
    </row>
    <row r="4689" spans="1:4">
      <c r="A4689" s="50">
        <v>45122</v>
      </c>
      <c r="B4689" s="49" t="s">
        <v>37</v>
      </c>
      <c r="C4689" s="51">
        <v>54547.3</v>
      </c>
      <c r="D4689" s="51">
        <v>0</v>
      </c>
    </row>
    <row r="4690" spans="1:4">
      <c r="A4690" s="50">
        <v>45122</v>
      </c>
      <c r="B4690" s="49" t="s">
        <v>38</v>
      </c>
      <c r="C4690" s="51">
        <v>54349.4</v>
      </c>
      <c r="D4690" s="51">
        <v>0</v>
      </c>
    </row>
    <row r="4691" spans="1:4">
      <c r="A4691" s="50">
        <v>45122</v>
      </c>
      <c r="B4691" s="49" t="s">
        <v>39</v>
      </c>
      <c r="C4691" s="51">
        <v>54702.400000000001</v>
      </c>
      <c r="D4691" s="51">
        <v>0</v>
      </c>
    </row>
    <row r="4692" spans="1:4">
      <c r="A4692" s="50">
        <v>45122</v>
      </c>
      <c r="B4692" s="49" t="s">
        <v>40</v>
      </c>
      <c r="C4692" s="51">
        <v>53714.5</v>
      </c>
      <c r="D4692" s="51">
        <v>0</v>
      </c>
    </row>
    <row r="4693" spans="1:4">
      <c r="A4693" s="50">
        <v>45122</v>
      </c>
      <c r="B4693" s="49" t="s">
        <v>41</v>
      </c>
      <c r="C4693" s="51">
        <v>53438.1</v>
      </c>
      <c r="D4693" s="51">
        <v>0</v>
      </c>
    </row>
    <row r="4694" spans="1:4">
      <c r="A4694" s="50">
        <v>45122</v>
      </c>
      <c r="B4694" s="49" t="s">
        <v>42</v>
      </c>
      <c r="C4694" s="51">
        <v>50237.7</v>
      </c>
      <c r="D4694" s="51">
        <v>0</v>
      </c>
    </row>
    <row r="4695" spans="1:4">
      <c r="A4695" s="50">
        <v>45122</v>
      </c>
      <c r="B4695" s="49" t="s">
        <v>43</v>
      </c>
      <c r="C4695" s="51">
        <v>52479.9</v>
      </c>
      <c r="D4695" s="51">
        <v>0</v>
      </c>
    </row>
    <row r="4696" spans="1:4">
      <c r="A4696" s="50">
        <v>45122</v>
      </c>
      <c r="B4696" s="49" t="s">
        <v>44</v>
      </c>
      <c r="C4696" s="51">
        <v>53012.1</v>
      </c>
      <c r="D4696" s="51">
        <v>0</v>
      </c>
    </row>
    <row r="4697" spans="1:4">
      <c r="A4697" s="50">
        <v>45122</v>
      </c>
      <c r="B4697" s="49" t="s">
        <v>45</v>
      </c>
      <c r="C4697" s="51">
        <v>52658.1</v>
      </c>
      <c r="D4697" s="51">
        <v>0</v>
      </c>
    </row>
    <row r="4698" spans="1:4">
      <c r="A4698" s="50">
        <v>45122</v>
      </c>
      <c r="B4698" s="49" t="s">
        <v>46</v>
      </c>
      <c r="C4698" s="51">
        <v>53351.8</v>
      </c>
      <c r="D4698" s="51">
        <v>0</v>
      </c>
    </row>
    <row r="4699" spans="1:4">
      <c r="A4699" s="50">
        <v>45122</v>
      </c>
      <c r="B4699" s="49" t="s">
        <v>47</v>
      </c>
      <c r="C4699" s="51">
        <v>54392.3</v>
      </c>
      <c r="D4699" s="51">
        <v>0</v>
      </c>
    </row>
    <row r="4700" spans="1:4">
      <c r="A4700" s="50">
        <v>45122</v>
      </c>
      <c r="B4700" s="49" t="s">
        <v>48</v>
      </c>
      <c r="C4700" s="51">
        <v>54420</v>
      </c>
      <c r="D4700" s="51">
        <v>0</v>
      </c>
    </row>
    <row r="4701" spans="1:4">
      <c r="A4701" s="50">
        <v>45122</v>
      </c>
      <c r="B4701" s="49" t="s">
        <v>49</v>
      </c>
      <c r="C4701" s="51">
        <v>52652.5</v>
      </c>
      <c r="D4701" s="51">
        <v>0</v>
      </c>
    </row>
    <row r="4702" spans="1:4">
      <c r="A4702" s="50">
        <v>45122</v>
      </c>
      <c r="B4702" s="49" t="s">
        <v>50</v>
      </c>
      <c r="C4702" s="51">
        <v>52922.8</v>
      </c>
      <c r="D4702" s="51">
        <v>0</v>
      </c>
    </row>
    <row r="4703" spans="1:4">
      <c r="A4703" s="50">
        <v>45122</v>
      </c>
      <c r="B4703" s="49" t="s">
        <v>51</v>
      </c>
      <c r="C4703" s="51">
        <v>54664.1</v>
      </c>
      <c r="D4703" s="51">
        <v>0</v>
      </c>
    </row>
    <row r="4704" spans="1:4">
      <c r="A4704" s="50">
        <v>45122</v>
      </c>
      <c r="B4704" s="49" t="s">
        <v>52</v>
      </c>
      <c r="C4704" s="51">
        <v>54771.5</v>
      </c>
      <c r="D4704" s="51">
        <v>0</v>
      </c>
    </row>
    <row r="4705" spans="1:4">
      <c r="A4705" s="50">
        <v>45122</v>
      </c>
      <c r="B4705" s="49" t="s">
        <v>53</v>
      </c>
      <c r="C4705" s="51">
        <v>54853.599999999999</v>
      </c>
      <c r="D4705" s="51">
        <v>0</v>
      </c>
    </row>
    <row r="4706" spans="1:4">
      <c r="A4706" s="50">
        <v>45123</v>
      </c>
      <c r="B4706" s="49" t="s">
        <v>30</v>
      </c>
      <c r="C4706" s="51">
        <v>50734.1</v>
      </c>
      <c r="D4706" s="51">
        <v>0</v>
      </c>
    </row>
    <row r="4707" spans="1:4">
      <c r="A4707" s="50">
        <v>45123</v>
      </c>
      <c r="B4707" s="49" t="s">
        <v>31</v>
      </c>
      <c r="C4707" s="51">
        <v>48396.7</v>
      </c>
      <c r="D4707" s="51">
        <v>0</v>
      </c>
    </row>
    <row r="4708" spans="1:4">
      <c r="A4708" s="50">
        <v>45123</v>
      </c>
      <c r="B4708" s="49" t="s">
        <v>32</v>
      </c>
      <c r="C4708" s="51">
        <v>53456.7</v>
      </c>
      <c r="D4708" s="51">
        <v>0</v>
      </c>
    </row>
    <row r="4709" spans="1:4">
      <c r="A4709" s="50">
        <v>45123</v>
      </c>
      <c r="B4709" s="49" t="s">
        <v>33</v>
      </c>
      <c r="C4709" s="51">
        <v>54261.3</v>
      </c>
      <c r="D4709" s="51">
        <v>0</v>
      </c>
    </row>
    <row r="4710" spans="1:4">
      <c r="A4710" s="50">
        <v>45123</v>
      </c>
      <c r="B4710" s="49" t="s">
        <v>34</v>
      </c>
      <c r="C4710" s="51">
        <v>54147.199999999997</v>
      </c>
      <c r="D4710" s="51">
        <v>0</v>
      </c>
    </row>
    <row r="4711" spans="1:4">
      <c r="A4711" s="50">
        <v>45123</v>
      </c>
      <c r="B4711" s="49" t="s">
        <v>35</v>
      </c>
      <c r="C4711" s="51">
        <v>53940.5</v>
      </c>
      <c r="D4711" s="51">
        <v>0</v>
      </c>
    </row>
    <row r="4712" spans="1:4">
      <c r="A4712" s="50">
        <v>45123</v>
      </c>
      <c r="B4712" s="49" t="s">
        <v>36</v>
      </c>
      <c r="C4712" s="51">
        <v>54036</v>
      </c>
      <c r="D4712" s="51">
        <v>0</v>
      </c>
    </row>
    <row r="4713" spans="1:4">
      <c r="A4713" s="50">
        <v>45123</v>
      </c>
      <c r="B4713" s="49" t="s">
        <v>37</v>
      </c>
      <c r="C4713" s="51">
        <v>54085.8</v>
      </c>
      <c r="D4713" s="51">
        <v>0</v>
      </c>
    </row>
    <row r="4714" spans="1:4">
      <c r="A4714" s="50">
        <v>45123</v>
      </c>
      <c r="B4714" s="49" t="s">
        <v>38</v>
      </c>
      <c r="C4714" s="51">
        <v>54382.5</v>
      </c>
      <c r="D4714" s="51">
        <v>0</v>
      </c>
    </row>
    <row r="4715" spans="1:4">
      <c r="A4715" s="50">
        <v>45123</v>
      </c>
      <c r="B4715" s="49" t="s">
        <v>39</v>
      </c>
      <c r="C4715" s="51">
        <v>54240.800000000003</v>
      </c>
      <c r="D4715" s="51">
        <v>0</v>
      </c>
    </row>
    <row r="4716" spans="1:4">
      <c r="A4716" s="50">
        <v>45123</v>
      </c>
      <c r="B4716" s="49" t="s">
        <v>40</v>
      </c>
      <c r="C4716" s="51">
        <v>54292.5</v>
      </c>
      <c r="D4716" s="51">
        <v>0</v>
      </c>
    </row>
    <row r="4717" spans="1:4">
      <c r="A4717" s="50">
        <v>45123</v>
      </c>
      <c r="B4717" s="49" t="s">
        <v>41</v>
      </c>
      <c r="C4717" s="51">
        <v>54202.7</v>
      </c>
      <c r="D4717" s="51">
        <v>0</v>
      </c>
    </row>
    <row r="4718" spans="1:4">
      <c r="A4718" s="50">
        <v>45123</v>
      </c>
      <c r="B4718" s="49" t="s">
        <v>42</v>
      </c>
      <c r="C4718" s="51">
        <v>54168.800000000003</v>
      </c>
      <c r="D4718" s="51">
        <v>0</v>
      </c>
    </row>
    <row r="4719" spans="1:4">
      <c r="A4719" s="50">
        <v>45123</v>
      </c>
      <c r="B4719" s="49" t="s">
        <v>43</v>
      </c>
      <c r="C4719" s="51">
        <v>54245.1</v>
      </c>
      <c r="D4719" s="51">
        <v>0</v>
      </c>
    </row>
    <row r="4720" spans="1:4">
      <c r="A4720" s="50">
        <v>45123</v>
      </c>
      <c r="B4720" s="49" t="s">
        <v>44</v>
      </c>
      <c r="C4720" s="51">
        <v>54230.3</v>
      </c>
      <c r="D4720" s="51">
        <v>0</v>
      </c>
    </row>
    <row r="4721" spans="1:4">
      <c r="A4721" s="50">
        <v>45123</v>
      </c>
      <c r="B4721" s="49" t="s">
        <v>45</v>
      </c>
      <c r="C4721" s="51">
        <v>54311.199999999997</v>
      </c>
      <c r="D4721" s="51">
        <v>0</v>
      </c>
    </row>
    <row r="4722" spans="1:4">
      <c r="A4722" s="50">
        <v>45123</v>
      </c>
      <c r="B4722" s="49" t="s">
        <v>46</v>
      </c>
      <c r="C4722" s="51">
        <v>54159.6</v>
      </c>
      <c r="D4722" s="51">
        <v>0</v>
      </c>
    </row>
    <row r="4723" spans="1:4">
      <c r="A4723" s="50">
        <v>45123</v>
      </c>
      <c r="B4723" s="49" t="s">
        <v>47</v>
      </c>
      <c r="C4723" s="51">
        <v>54325.9</v>
      </c>
      <c r="D4723" s="51">
        <v>0</v>
      </c>
    </row>
    <row r="4724" spans="1:4">
      <c r="A4724" s="50">
        <v>45123</v>
      </c>
      <c r="B4724" s="49" t="s">
        <v>48</v>
      </c>
      <c r="C4724" s="51">
        <v>60569.9</v>
      </c>
      <c r="D4724" s="51">
        <v>0</v>
      </c>
    </row>
    <row r="4725" spans="1:4">
      <c r="A4725" s="50">
        <v>45123</v>
      </c>
      <c r="B4725" s="49" t="s">
        <v>49</v>
      </c>
      <c r="C4725" s="51">
        <v>54497.4</v>
      </c>
      <c r="D4725" s="51">
        <v>0</v>
      </c>
    </row>
    <row r="4726" spans="1:4">
      <c r="A4726" s="50">
        <v>45123</v>
      </c>
      <c r="B4726" s="49" t="s">
        <v>50</v>
      </c>
      <c r="C4726" s="51">
        <v>53511.9</v>
      </c>
      <c r="D4726" s="51">
        <v>0</v>
      </c>
    </row>
    <row r="4727" spans="1:4">
      <c r="A4727" s="50">
        <v>45123</v>
      </c>
      <c r="B4727" s="49" t="s">
        <v>51</v>
      </c>
      <c r="C4727" s="51">
        <v>53650.6</v>
      </c>
      <c r="D4727" s="51">
        <v>0</v>
      </c>
    </row>
    <row r="4728" spans="1:4">
      <c r="A4728" s="50">
        <v>45123</v>
      </c>
      <c r="B4728" s="49" t="s">
        <v>52</v>
      </c>
      <c r="C4728" s="51">
        <v>54339.5</v>
      </c>
      <c r="D4728" s="51">
        <v>0</v>
      </c>
    </row>
    <row r="4729" spans="1:4">
      <c r="A4729" s="50">
        <v>45123</v>
      </c>
      <c r="B4729" s="49" t="s">
        <v>53</v>
      </c>
      <c r="C4729" s="51">
        <v>54216.3</v>
      </c>
      <c r="D4729" s="51">
        <v>0</v>
      </c>
    </row>
    <row r="4730" spans="1:4">
      <c r="A4730" s="50">
        <v>45124</v>
      </c>
      <c r="B4730" s="49" t="s">
        <v>30</v>
      </c>
      <c r="C4730" s="51">
        <v>54192.3</v>
      </c>
      <c r="D4730" s="51">
        <v>0</v>
      </c>
    </row>
    <row r="4731" spans="1:4">
      <c r="A4731" s="50">
        <v>45124</v>
      </c>
      <c r="B4731" s="49" t="s">
        <v>31</v>
      </c>
      <c r="C4731" s="51">
        <v>53969.7</v>
      </c>
      <c r="D4731" s="51">
        <v>0</v>
      </c>
    </row>
    <row r="4732" spans="1:4">
      <c r="A4732" s="50">
        <v>45124</v>
      </c>
      <c r="B4732" s="49" t="s">
        <v>32</v>
      </c>
      <c r="C4732" s="51">
        <v>54013.3</v>
      </c>
      <c r="D4732" s="51">
        <v>0</v>
      </c>
    </row>
    <row r="4733" spans="1:4">
      <c r="A4733" s="50">
        <v>45124</v>
      </c>
      <c r="B4733" s="49" t="s">
        <v>33</v>
      </c>
      <c r="C4733" s="51">
        <v>54080.4</v>
      </c>
      <c r="D4733" s="51">
        <v>0</v>
      </c>
    </row>
    <row r="4734" spans="1:4">
      <c r="A4734" s="50">
        <v>45124</v>
      </c>
      <c r="B4734" s="49" t="s">
        <v>34</v>
      </c>
      <c r="C4734" s="51">
        <v>54146.9</v>
      </c>
      <c r="D4734" s="51">
        <v>0</v>
      </c>
    </row>
    <row r="4735" spans="1:4">
      <c r="A4735" s="50">
        <v>45124</v>
      </c>
      <c r="B4735" s="49" t="s">
        <v>35</v>
      </c>
      <c r="C4735" s="51">
        <v>54007.8</v>
      </c>
      <c r="D4735" s="51">
        <v>0</v>
      </c>
    </row>
    <row r="4736" spans="1:4">
      <c r="A4736" s="50">
        <v>45124</v>
      </c>
      <c r="B4736" s="49" t="s">
        <v>36</v>
      </c>
      <c r="C4736" s="51">
        <v>54102</v>
      </c>
      <c r="D4736" s="51">
        <v>0</v>
      </c>
    </row>
    <row r="4737" spans="1:4">
      <c r="A4737" s="50">
        <v>45124</v>
      </c>
      <c r="B4737" s="49" t="s">
        <v>37</v>
      </c>
      <c r="C4737" s="51">
        <v>54181.7</v>
      </c>
      <c r="D4737" s="51">
        <v>0</v>
      </c>
    </row>
    <row r="4738" spans="1:4">
      <c r="A4738" s="50">
        <v>45124</v>
      </c>
      <c r="B4738" s="49" t="s">
        <v>38</v>
      </c>
      <c r="C4738" s="51">
        <v>54176.800000000003</v>
      </c>
      <c r="D4738" s="51">
        <v>0</v>
      </c>
    </row>
    <row r="4739" spans="1:4">
      <c r="A4739" s="50">
        <v>45124</v>
      </c>
      <c r="B4739" s="49" t="s">
        <v>39</v>
      </c>
      <c r="C4739" s="51">
        <v>54475.8</v>
      </c>
      <c r="D4739" s="51">
        <v>0</v>
      </c>
    </row>
    <row r="4740" spans="1:4">
      <c r="A4740" s="50">
        <v>45124</v>
      </c>
      <c r="B4740" s="49" t="s">
        <v>40</v>
      </c>
      <c r="C4740" s="51">
        <v>54369</v>
      </c>
      <c r="D4740" s="51">
        <v>0</v>
      </c>
    </row>
    <row r="4741" spans="1:4">
      <c r="A4741" s="50">
        <v>45124</v>
      </c>
      <c r="B4741" s="49" t="s">
        <v>41</v>
      </c>
      <c r="C4741" s="51">
        <v>54547.4</v>
      </c>
      <c r="D4741" s="51">
        <v>0</v>
      </c>
    </row>
    <row r="4742" spans="1:4">
      <c r="A4742" s="50">
        <v>45124</v>
      </c>
      <c r="B4742" s="49" t="s">
        <v>42</v>
      </c>
      <c r="C4742" s="51">
        <v>54334</v>
      </c>
      <c r="D4742" s="51">
        <v>0</v>
      </c>
    </row>
    <row r="4743" spans="1:4">
      <c r="A4743" s="50">
        <v>45124</v>
      </c>
      <c r="B4743" s="49" t="s">
        <v>43</v>
      </c>
      <c r="C4743" s="51">
        <v>54357.5</v>
      </c>
      <c r="D4743" s="51">
        <v>0</v>
      </c>
    </row>
    <row r="4744" spans="1:4">
      <c r="A4744" s="50">
        <v>45124</v>
      </c>
      <c r="B4744" s="49" t="s">
        <v>44</v>
      </c>
      <c r="C4744" s="51">
        <v>54458</v>
      </c>
      <c r="D4744" s="51">
        <v>0</v>
      </c>
    </row>
    <row r="4745" spans="1:4">
      <c r="A4745" s="50">
        <v>45124</v>
      </c>
      <c r="B4745" s="49" t="s">
        <v>45</v>
      </c>
      <c r="C4745" s="51">
        <v>54413.5</v>
      </c>
      <c r="D4745" s="51">
        <v>0</v>
      </c>
    </row>
    <row r="4746" spans="1:4">
      <c r="A4746" s="50">
        <v>45124</v>
      </c>
      <c r="B4746" s="49" t="s">
        <v>46</v>
      </c>
      <c r="C4746" s="51">
        <v>54347.199999999997</v>
      </c>
      <c r="D4746" s="51">
        <v>0</v>
      </c>
    </row>
    <row r="4747" spans="1:4">
      <c r="A4747" s="50">
        <v>45124</v>
      </c>
      <c r="B4747" s="49" t="s">
        <v>47</v>
      </c>
      <c r="C4747" s="51">
        <v>54525.599999999999</v>
      </c>
      <c r="D4747" s="51">
        <v>0</v>
      </c>
    </row>
    <row r="4748" spans="1:4">
      <c r="A4748" s="50">
        <v>45124</v>
      </c>
      <c r="B4748" s="49" t="s">
        <v>48</v>
      </c>
      <c r="C4748" s="51">
        <v>54420.1</v>
      </c>
      <c r="D4748" s="51">
        <v>0</v>
      </c>
    </row>
    <row r="4749" spans="1:4">
      <c r="A4749" s="50">
        <v>45124</v>
      </c>
      <c r="B4749" s="49" t="s">
        <v>49</v>
      </c>
      <c r="C4749" s="51">
        <v>54485</v>
      </c>
      <c r="D4749" s="51">
        <v>0</v>
      </c>
    </row>
    <row r="4750" spans="1:4">
      <c r="A4750" s="50">
        <v>45124</v>
      </c>
      <c r="B4750" s="49" t="s">
        <v>50</v>
      </c>
      <c r="C4750" s="51">
        <v>54713.8</v>
      </c>
      <c r="D4750" s="51">
        <v>0</v>
      </c>
    </row>
    <row r="4751" spans="1:4">
      <c r="A4751" s="50">
        <v>45124</v>
      </c>
      <c r="B4751" s="49" t="s">
        <v>51</v>
      </c>
      <c r="C4751" s="51">
        <v>52980.7</v>
      </c>
      <c r="D4751" s="51">
        <v>0</v>
      </c>
    </row>
    <row r="4752" spans="1:4">
      <c r="A4752" s="50">
        <v>45124</v>
      </c>
      <c r="B4752" s="49" t="s">
        <v>52</v>
      </c>
      <c r="C4752" s="51">
        <v>53331.8</v>
      </c>
      <c r="D4752" s="51">
        <v>0</v>
      </c>
    </row>
    <row r="4753" spans="1:4">
      <c r="A4753" s="50">
        <v>45124</v>
      </c>
      <c r="B4753" s="49" t="s">
        <v>53</v>
      </c>
      <c r="C4753" s="51">
        <v>54705.8</v>
      </c>
      <c r="D4753" s="51">
        <v>0</v>
      </c>
    </row>
    <row r="4754" spans="1:4">
      <c r="A4754" s="50">
        <v>45125</v>
      </c>
      <c r="B4754" s="49" t="s">
        <v>30</v>
      </c>
      <c r="C4754" s="51">
        <v>53070.1</v>
      </c>
      <c r="D4754" s="51">
        <v>0</v>
      </c>
    </row>
    <row r="4755" spans="1:4">
      <c r="A4755" s="50">
        <v>45125</v>
      </c>
      <c r="B4755" s="49" t="s">
        <v>31</v>
      </c>
      <c r="C4755" s="51">
        <v>53806.9</v>
      </c>
      <c r="D4755" s="51">
        <v>0</v>
      </c>
    </row>
    <row r="4756" spans="1:4">
      <c r="A4756" s="50">
        <v>45125</v>
      </c>
      <c r="B4756" s="49" t="s">
        <v>32</v>
      </c>
      <c r="C4756" s="51">
        <v>53851.4</v>
      </c>
      <c r="D4756" s="51">
        <v>0</v>
      </c>
    </row>
    <row r="4757" spans="1:4">
      <c r="A4757" s="50">
        <v>45125</v>
      </c>
      <c r="B4757" s="49" t="s">
        <v>33</v>
      </c>
      <c r="C4757" s="51">
        <v>54943.3</v>
      </c>
      <c r="D4757" s="51">
        <v>0</v>
      </c>
    </row>
    <row r="4758" spans="1:4">
      <c r="A4758" s="50">
        <v>45125</v>
      </c>
      <c r="B4758" s="49" t="s">
        <v>34</v>
      </c>
      <c r="C4758" s="51">
        <v>54674.3</v>
      </c>
      <c r="D4758" s="51">
        <v>0</v>
      </c>
    </row>
    <row r="4759" spans="1:4">
      <c r="A4759" s="50">
        <v>45125</v>
      </c>
      <c r="B4759" s="49" t="s">
        <v>35</v>
      </c>
      <c r="C4759" s="51">
        <v>54378.2</v>
      </c>
      <c r="D4759" s="51">
        <v>0</v>
      </c>
    </row>
    <row r="4760" spans="1:4">
      <c r="A4760" s="50">
        <v>45125</v>
      </c>
      <c r="B4760" s="49" t="s">
        <v>36</v>
      </c>
      <c r="C4760" s="51">
        <v>54341.9</v>
      </c>
      <c r="D4760" s="51">
        <v>0</v>
      </c>
    </row>
    <row r="4761" spans="1:4">
      <c r="A4761" s="50">
        <v>45125</v>
      </c>
      <c r="B4761" s="49" t="s">
        <v>37</v>
      </c>
      <c r="C4761" s="51">
        <v>54498.9</v>
      </c>
      <c r="D4761" s="51">
        <v>0</v>
      </c>
    </row>
    <row r="4762" spans="1:4">
      <c r="A4762" s="50">
        <v>45125</v>
      </c>
      <c r="B4762" s="49" t="s">
        <v>38</v>
      </c>
      <c r="C4762" s="51">
        <v>54557.5</v>
      </c>
      <c r="D4762" s="51">
        <v>0</v>
      </c>
    </row>
    <row r="4763" spans="1:4">
      <c r="A4763" s="50">
        <v>45125</v>
      </c>
      <c r="B4763" s="49" t="s">
        <v>39</v>
      </c>
      <c r="C4763" s="51">
        <v>54431.9</v>
      </c>
      <c r="D4763" s="51">
        <v>0</v>
      </c>
    </row>
    <row r="4764" spans="1:4">
      <c r="A4764" s="50">
        <v>45125</v>
      </c>
      <c r="B4764" s="49" t="s">
        <v>40</v>
      </c>
      <c r="C4764" s="51">
        <v>54504.800000000003</v>
      </c>
      <c r="D4764" s="51">
        <v>0</v>
      </c>
    </row>
    <row r="4765" spans="1:4">
      <c r="A4765" s="50">
        <v>45125</v>
      </c>
      <c r="B4765" s="49" t="s">
        <v>41</v>
      </c>
      <c r="C4765" s="51">
        <v>53957.5</v>
      </c>
      <c r="D4765" s="51">
        <v>0</v>
      </c>
    </row>
    <row r="4766" spans="1:4">
      <c r="A4766" s="50">
        <v>45125</v>
      </c>
      <c r="B4766" s="49" t="s">
        <v>42</v>
      </c>
      <c r="C4766" s="51">
        <v>54417.7</v>
      </c>
      <c r="D4766" s="51">
        <v>0</v>
      </c>
    </row>
    <row r="4767" spans="1:4">
      <c r="A4767" s="50">
        <v>45125</v>
      </c>
      <c r="B4767" s="49" t="s">
        <v>43</v>
      </c>
      <c r="C4767" s="51">
        <v>54238.6</v>
      </c>
      <c r="D4767" s="51">
        <v>0</v>
      </c>
    </row>
    <row r="4768" spans="1:4">
      <c r="A4768" s="50">
        <v>45125</v>
      </c>
      <c r="B4768" s="49" t="s">
        <v>44</v>
      </c>
      <c r="C4768" s="51">
        <v>54136.6</v>
      </c>
      <c r="D4768" s="51">
        <v>0</v>
      </c>
    </row>
    <row r="4769" spans="1:4">
      <c r="A4769" s="50">
        <v>45125</v>
      </c>
      <c r="B4769" s="49" t="s">
        <v>45</v>
      </c>
      <c r="C4769" s="51">
        <v>54356.7</v>
      </c>
      <c r="D4769" s="51">
        <v>0</v>
      </c>
    </row>
    <row r="4770" spans="1:4">
      <c r="A4770" s="50">
        <v>45125</v>
      </c>
      <c r="B4770" s="49" t="s">
        <v>46</v>
      </c>
      <c r="C4770" s="51">
        <v>54244.5</v>
      </c>
      <c r="D4770" s="51">
        <v>0</v>
      </c>
    </row>
    <row r="4771" spans="1:4">
      <c r="A4771" s="50">
        <v>45125</v>
      </c>
      <c r="B4771" s="49" t="s">
        <v>47</v>
      </c>
      <c r="C4771" s="51">
        <v>55534.6</v>
      </c>
      <c r="D4771" s="51">
        <v>0</v>
      </c>
    </row>
    <row r="4772" spans="1:4">
      <c r="A4772" s="50">
        <v>45125</v>
      </c>
      <c r="B4772" s="49" t="s">
        <v>48</v>
      </c>
      <c r="C4772" s="51">
        <v>53406.7</v>
      </c>
      <c r="D4772" s="51">
        <v>0</v>
      </c>
    </row>
    <row r="4773" spans="1:4">
      <c r="A4773" s="50">
        <v>45125</v>
      </c>
      <c r="B4773" s="49" t="s">
        <v>49</v>
      </c>
      <c r="C4773" s="51">
        <v>51783.199999999997</v>
      </c>
      <c r="D4773" s="51">
        <v>0</v>
      </c>
    </row>
    <row r="4774" spans="1:4">
      <c r="A4774" s="50">
        <v>45125</v>
      </c>
      <c r="B4774" s="49" t="s">
        <v>50</v>
      </c>
      <c r="C4774" s="51">
        <v>54532.1</v>
      </c>
      <c r="D4774" s="51">
        <v>0</v>
      </c>
    </row>
    <row r="4775" spans="1:4">
      <c r="A4775" s="50">
        <v>45125</v>
      </c>
      <c r="B4775" s="49" t="s">
        <v>51</v>
      </c>
      <c r="C4775" s="51">
        <v>51568</v>
      </c>
      <c r="D4775" s="51">
        <v>0</v>
      </c>
    </row>
    <row r="4776" spans="1:4">
      <c r="A4776" s="50">
        <v>45125</v>
      </c>
      <c r="B4776" s="49" t="s">
        <v>52</v>
      </c>
      <c r="C4776" s="51">
        <v>52896.3</v>
      </c>
      <c r="D4776" s="51">
        <v>0</v>
      </c>
    </row>
    <row r="4777" spans="1:4">
      <c r="A4777" s="50">
        <v>45125</v>
      </c>
      <c r="B4777" s="49" t="s">
        <v>53</v>
      </c>
      <c r="C4777" s="51">
        <v>54841.2</v>
      </c>
      <c r="D4777" s="51">
        <v>0</v>
      </c>
    </row>
    <row r="4778" spans="1:4">
      <c r="A4778" s="50">
        <v>45126</v>
      </c>
      <c r="B4778" s="49" t="s">
        <v>30</v>
      </c>
      <c r="C4778" s="51">
        <v>55067.8</v>
      </c>
      <c r="D4778" s="51">
        <v>0</v>
      </c>
    </row>
    <row r="4779" spans="1:4">
      <c r="A4779" s="50">
        <v>45126</v>
      </c>
      <c r="B4779" s="49" t="s">
        <v>31</v>
      </c>
      <c r="C4779" s="51">
        <v>55261.9</v>
      </c>
      <c r="D4779" s="51">
        <v>0</v>
      </c>
    </row>
    <row r="4780" spans="1:4">
      <c r="A4780" s="50">
        <v>45126</v>
      </c>
      <c r="B4780" s="49" t="s">
        <v>32</v>
      </c>
      <c r="C4780" s="51">
        <v>54541.599999999999</v>
      </c>
      <c r="D4780" s="51">
        <v>0</v>
      </c>
    </row>
    <row r="4781" spans="1:4">
      <c r="A4781" s="50">
        <v>45126</v>
      </c>
      <c r="B4781" s="49" t="s">
        <v>33</v>
      </c>
      <c r="C4781" s="51">
        <v>54437</v>
      </c>
      <c r="D4781" s="51">
        <v>0</v>
      </c>
    </row>
    <row r="4782" spans="1:4">
      <c r="A4782" s="50">
        <v>45126</v>
      </c>
      <c r="B4782" s="49" t="s">
        <v>34</v>
      </c>
      <c r="C4782" s="51">
        <v>54584.9</v>
      </c>
      <c r="D4782" s="51">
        <v>0</v>
      </c>
    </row>
    <row r="4783" spans="1:4">
      <c r="A4783" s="50">
        <v>45126</v>
      </c>
      <c r="B4783" s="49" t="s">
        <v>35</v>
      </c>
      <c r="C4783" s="51">
        <v>54570.3</v>
      </c>
      <c r="D4783" s="51">
        <v>0</v>
      </c>
    </row>
    <row r="4784" spans="1:4">
      <c r="A4784" s="50">
        <v>45126</v>
      </c>
      <c r="B4784" s="49" t="s">
        <v>36</v>
      </c>
      <c r="C4784" s="51">
        <v>54353.1</v>
      </c>
      <c r="D4784" s="51">
        <v>0</v>
      </c>
    </row>
    <row r="4785" spans="1:4">
      <c r="A4785" s="50">
        <v>45126</v>
      </c>
      <c r="B4785" s="49" t="s">
        <v>37</v>
      </c>
      <c r="C4785" s="51">
        <v>54851.3</v>
      </c>
      <c r="D4785" s="51">
        <v>0</v>
      </c>
    </row>
    <row r="4786" spans="1:4">
      <c r="A4786" s="50">
        <v>45126</v>
      </c>
      <c r="B4786" s="49" t="s">
        <v>38</v>
      </c>
      <c r="C4786" s="51">
        <v>54197.8</v>
      </c>
      <c r="D4786" s="51">
        <v>0</v>
      </c>
    </row>
    <row r="4787" spans="1:4">
      <c r="A4787" s="50">
        <v>45126</v>
      </c>
      <c r="B4787" s="49" t="s">
        <v>39</v>
      </c>
      <c r="C4787" s="51">
        <v>53943.8</v>
      </c>
      <c r="D4787" s="51">
        <v>0</v>
      </c>
    </row>
    <row r="4788" spans="1:4">
      <c r="A4788" s="50">
        <v>45126</v>
      </c>
      <c r="B4788" s="49" t="s">
        <v>40</v>
      </c>
      <c r="C4788" s="51">
        <v>53871</v>
      </c>
      <c r="D4788" s="51">
        <v>0</v>
      </c>
    </row>
    <row r="4789" spans="1:4">
      <c r="A4789" s="50">
        <v>45126</v>
      </c>
      <c r="B4789" s="49" t="s">
        <v>41</v>
      </c>
      <c r="C4789" s="51">
        <v>53835.3</v>
      </c>
      <c r="D4789" s="51">
        <v>0</v>
      </c>
    </row>
    <row r="4790" spans="1:4">
      <c r="A4790" s="50">
        <v>45126</v>
      </c>
      <c r="B4790" s="49" t="s">
        <v>42</v>
      </c>
      <c r="C4790" s="51">
        <v>53563.8</v>
      </c>
      <c r="D4790" s="51">
        <v>0</v>
      </c>
    </row>
    <row r="4791" spans="1:4">
      <c r="A4791" s="50">
        <v>45126</v>
      </c>
      <c r="B4791" s="49" t="s">
        <v>43</v>
      </c>
      <c r="C4791" s="51">
        <v>53605.599999999999</v>
      </c>
      <c r="D4791" s="51">
        <v>0</v>
      </c>
    </row>
    <row r="4792" spans="1:4">
      <c r="A4792" s="50">
        <v>45126</v>
      </c>
      <c r="B4792" s="49" t="s">
        <v>44</v>
      </c>
      <c r="C4792" s="51">
        <v>53570.9</v>
      </c>
      <c r="D4792" s="51">
        <v>0</v>
      </c>
    </row>
    <row r="4793" spans="1:4">
      <c r="A4793" s="50">
        <v>45126</v>
      </c>
      <c r="B4793" s="49" t="s">
        <v>45</v>
      </c>
      <c r="C4793" s="51">
        <v>53636</v>
      </c>
      <c r="D4793" s="51">
        <v>0</v>
      </c>
    </row>
    <row r="4794" spans="1:4">
      <c r="A4794" s="50">
        <v>45126</v>
      </c>
      <c r="B4794" s="49" t="s">
        <v>46</v>
      </c>
      <c r="C4794" s="51">
        <v>53282.6</v>
      </c>
      <c r="D4794" s="51">
        <v>0</v>
      </c>
    </row>
    <row r="4795" spans="1:4">
      <c r="A4795" s="50">
        <v>45126</v>
      </c>
      <c r="B4795" s="49" t="s">
        <v>47</v>
      </c>
      <c r="C4795" s="51">
        <v>53152.2</v>
      </c>
      <c r="D4795" s="51">
        <v>0</v>
      </c>
    </row>
    <row r="4796" spans="1:4">
      <c r="A4796" s="50">
        <v>45126</v>
      </c>
      <c r="B4796" s="49" t="s">
        <v>48</v>
      </c>
      <c r="C4796" s="51">
        <v>53732.6</v>
      </c>
      <c r="D4796" s="51">
        <v>0</v>
      </c>
    </row>
    <row r="4797" spans="1:4">
      <c r="A4797" s="50">
        <v>45126</v>
      </c>
      <c r="B4797" s="49" t="s">
        <v>49</v>
      </c>
      <c r="C4797" s="51">
        <v>54436.2</v>
      </c>
      <c r="D4797" s="51">
        <v>0</v>
      </c>
    </row>
    <row r="4798" spans="1:4">
      <c r="A4798" s="50">
        <v>45126</v>
      </c>
      <c r="B4798" s="49" t="s">
        <v>50</v>
      </c>
      <c r="C4798" s="51">
        <v>54441.5</v>
      </c>
      <c r="D4798" s="51">
        <v>0</v>
      </c>
    </row>
    <row r="4799" spans="1:4">
      <c r="A4799" s="50">
        <v>45126</v>
      </c>
      <c r="B4799" s="49" t="s">
        <v>51</v>
      </c>
      <c r="C4799" s="51">
        <v>54516.800000000003</v>
      </c>
      <c r="D4799" s="51">
        <v>0</v>
      </c>
    </row>
    <row r="4800" spans="1:4">
      <c r="A4800" s="50">
        <v>45126</v>
      </c>
      <c r="B4800" s="49" t="s">
        <v>52</v>
      </c>
      <c r="C4800" s="51">
        <v>54487.5</v>
      </c>
      <c r="D4800" s="51">
        <v>0</v>
      </c>
    </row>
    <row r="4801" spans="1:4">
      <c r="A4801" s="50">
        <v>45126</v>
      </c>
      <c r="B4801" s="49" t="s">
        <v>53</v>
      </c>
      <c r="C4801" s="51">
        <v>54246.7</v>
      </c>
      <c r="D4801" s="51">
        <v>0</v>
      </c>
    </row>
    <row r="4802" spans="1:4">
      <c r="A4802" s="50">
        <v>45127</v>
      </c>
      <c r="B4802" s="49" t="s">
        <v>30</v>
      </c>
      <c r="C4802" s="51">
        <v>54696.7</v>
      </c>
      <c r="D4802" s="51">
        <v>0</v>
      </c>
    </row>
    <row r="4803" spans="1:4">
      <c r="A4803" s="50">
        <v>45127</v>
      </c>
      <c r="B4803" s="49" t="s">
        <v>31</v>
      </c>
      <c r="C4803" s="51">
        <v>54657.1</v>
      </c>
      <c r="D4803" s="51">
        <v>0</v>
      </c>
    </row>
    <row r="4804" spans="1:4">
      <c r="A4804" s="50">
        <v>45127</v>
      </c>
      <c r="B4804" s="49" t="s">
        <v>32</v>
      </c>
      <c r="C4804" s="51">
        <v>54566.5</v>
      </c>
      <c r="D4804" s="51">
        <v>0</v>
      </c>
    </row>
    <row r="4805" spans="1:4">
      <c r="A4805" s="50">
        <v>45127</v>
      </c>
      <c r="B4805" s="49" t="s">
        <v>33</v>
      </c>
      <c r="C4805" s="51">
        <v>54220</v>
      </c>
      <c r="D4805" s="51">
        <v>0</v>
      </c>
    </row>
    <row r="4806" spans="1:4">
      <c r="A4806" s="50">
        <v>45127</v>
      </c>
      <c r="B4806" s="49" t="s">
        <v>34</v>
      </c>
      <c r="C4806" s="51">
        <v>55035.9</v>
      </c>
      <c r="D4806" s="51">
        <v>0</v>
      </c>
    </row>
    <row r="4807" spans="1:4">
      <c r="A4807" s="50">
        <v>45127</v>
      </c>
      <c r="B4807" s="49" t="s">
        <v>35</v>
      </c>
      <c r="C4807" s="51">
        <v>54710</v>
      </c>
      <c r="D4807" s="51">
        <v>0</v>
      </c>
    </row>
    <row r="4808" spans="1:4">
      <c r="A4808" s="50">
        <v>45127</v>
      </c>
      <c r="B4808" s="49" t="s">
        <v>36</v>
      </c>
      <c r="C4808" s="51">
        <v>54425.3</v>
      </c>
      <c r="D4808" s="51">
        <v>0</v>
      </c>
    </row>
    <row r="4809" spans="1:4">
      <c r="A4809" s="50">
        <v>45127</v>
      </c>
      <c r="B4809" s="49" t="s">
        <v>37</v>
      </c>
      <c r="C4809" s="51">
        <v>54741.599999999999</v>
      </c>
      <c r="D4809" s="51">
        <v>0</v>
      </c>
    </row>
    <row r="4810" spans="1:4">
      <c r="A4810" s="50">
        <v>45127</v>
      </c>
      <c r="B4810" s="49" t="s">
        <v>38</v>
      </c>
      <c r="C4810" s="51">
        <v>54697.2</v>
      </c>
      <c r="D4810" s="51">
        <v>0</v>
      </c>
    </row>
    <row r="4811" spans="1:4">
      <c r="A4811" s="50">
        <v>45127</v>
      </c>
      <c r="B4811" s="49" t="s">
        <v>39</v>
      </c>
      <c r="C4811" s="51">
        <v>54752.800000000003</v>
      </c>
      <c r="D4811" s="51">
        <v>0</v>
      </c>
    </row>
    <row r="4812" spans="1:4">
      <c r="A4812" s="50">
        <v>45127</v>
      </c>
      <c r="B4812" s="49" t="s">
        <v>40</v>
      </c>
      <c r="C4812" s="51">
        <v>54674.8</v>
      </c>
      <c r="D4812" s="51">
        <v>0</v>
      </c>
    </row>
    <row r="4813" spans="1:4">
      <c r="A4813" s="50">
        <v>45127</v>
      </c>
      <c r="B4813" s="49" t="s">
        <v>41</v>
      </c>
      <c r="C4813" s="51">
        <v>54582.8</v>
      </c>
      <c r="D4813" s="51">
        <v>0</v>
      </c>
    </row>
    <row r="4814" spans="1:4">
      <c r="A4814" s="50">
        <v>45127</v>
      </c>
      <c r="B4814" s="49" t="s">
        <v>42</v>
      </c>
      <c r="C4814" s="51">
        <v>54490.3</v>
      </c>
      <c r="D4814" s="51">
        <v>0</v>
      </c>
    </row>
    <row r="4815" spans="1:4">
      <c r="A4815" s="50">
        <v>45127</v>
      </c>
      <c r="B4815" s="49" t="s">
        <v>43</v>
      </c>
      <c r="C4815" s="51">
        <v>54608.800000000003</v>
      </c>
      <c r="D4815" s="51">
        <v>0</v>
      </c>
    </row>
    <row r="4816" spans="1:4">
      <c r="A4816" s="50">
        <v>45127</v>
      </c>
      <c r="B4816" s="49" t="s">
        <v>44</v>
      </c>
      <c r="C4816" s="51">
        <v>54019.1</v>
      </c>
      <c r="D4816" s="51">
        <v>0</v>
      </c>
    </row>
    <row r="4817" spans="1:4">
      <c r="A4817" s="50">
        <v>45127</v>
      </c>
      <c r="B4817" s="49" t="s">
        <v>45</v>
      </c>
      <c r="C4817" s="51">
        <v>54577.9</v>
      </c>
      <c r="D4817" s="51">
        <v>0</v>
      </c>
    </row>
    <row r="4818" spans="1:4">
      <c r="A4818" s="50">
        <v>45127</v>
      </c>
      <c r="B4818" s="49" t="s">
        <v>46</v>
      </c>
      <c r="C4818" s="51">
        <v>54821.9</v>
      </c>
      <c r="D4818" s="51">
        <v>0</v>
      </c>
    </row>
    <row r="4819" spans="1:4">
      <c r="A4819" s="50">
        <v>45127</v>
      </c>
      <c r="B4819" s="49" t="s">
        <v>47</v>
      </c>
      <c r="C4819" s="51">
        <v>53747.6</v>
      </c>
      <c r="D4819" s="51">
        <v>0</v>
      </c>
    </row>
    <row r="4820" spans="1:4">
      <c r="A4820" s="50">
        <v>45127</v>
      </c>
      <c r="B4820" s="49" t="s">
        <v>48</v>
      </c>
      <c r="C4820" s="51">
        <v>54140.6</v>
      </c>
      <c r="D4820" s="51">
        <v>0</v>
      </c>
    </row>
    <row r="4821" spans="1:4">
      <c r="A4821" s="50">
        <v>45127</v>
      </c>
      <c r="B4821" s="49" t="s">
        <v>49</v>
      </c>
      <c r="C4821" s="51">
        <v>54326.8</v>
      </c>
      <c r="D4821" s="51">
        <v>0</v>
      </c>
    </row>
    <row r="4822" spans="1:4">
      <c r="A4822" s="50">
        <v>45127</v>
      </c>
      <c r="B4822" s="49" t="s">
        <v>50</v>
      </c>
      <c r="C4822" s="51">
        <v>53600</v>
      </c>
      <c r="D4822" s="51">
        <v>0</v>
      </c>
    </row>
    <row r="4823" spans="1:4">
      <c r="A4823" s="50">
        <v>45127</v>
      </c>
      <c r="B4823" s="49" t="s">
        <v>51</v>
      </c>
      <c r="C4823" s="51">
        <v>53882.8</v>
      </c>
      <c r="D4823" s="51">
        <v>0</v>
      </c>
    </row>
    <row r="4824" spans="1:4">
      <c r="A4824" s="50">
        <v>45127</v>
      </c>
      <c r="B4824" s="49" t="s">
        <v>52</v>
      </c>
      <c r="C4824" s="51">
        <v>53578.5</v>
      </c>
      <c r="D4824" s="51">
        <v>0</v>
      </c>
    </row>
    <row r="4825" spans="1:4">
      <c r="A4825" s="50">
        <v>45127</v>
      </c>
      <c r="B4825" s="49" t="s">
        <v>53</v>
      </c>
      <c r="C4825" s="51">
        <v>53132.5</v>
      </c>
      <c r="D4825" s="51">
        <v>0</v>
      </c>
    </row>
    <row r="4826" spans="1:4">
      <c r="A4826" s="50">
        <v>45128</v>
      </c>
      <c r="B4826" s="49" t="s">
        <v>30</v>
      </c>
      <c r="C4826" s="51">
        <v>45483.8</v>
      </c>
      <c r="D4826" s="51">
        <v>0</v>
      </c>
    </row>
    <row r="4827" spans="1:4">
      <c r="A4827" s="50">
        <v>45128</v>
      </c>
      <c r="B4827" s="49" t="s">
        <v>31</v>
      </c>
      <c r="C4827" s="51">
        <v>45153.4</v>
      </c>
      <c r="D4827" s="51">
        <v>0</v>
      </c>
    </row>
    <row r="4828" spans="1:4">
      <c r="A4828" s="50">
        <v>45128</v>
      </c>
      <c r="B4828" s="49" t="s">
        <v>32</v>
      </c>
      <c r="C4828" s="51">
        <v>44777.3</v>
      </c>
      <c r="D4828" s="51">
        <v>0</v>
      </c>
    </row>
    <row r="4829" spans="1:4">
      <c r="A4829" s="50">
        <v>45128</v>
      </c>
      <c r="B4829" s="49" t="s">
        <v>33</v>
      </c>
      <c r="C4829" s="51">
        <v>44003.1</v>
      </c>
      <c r="D4829" s="51">
        <v>0</v>
      </c>
    </row>
    <row r="4830" spans="1:4">
      <c r="A4830" s="50">
        <v>45128</v>
      </c>
      <c r="B4830" s="49" t="s">
        <v>34</v>
      </c>
      <c r="C4830" s="51">
        <v>43781.599999999999</v>
      </c>
      <c r="D4830" s="51">
        <v>0</v>
      </c>
    </row>
    <row r="4831" spans="1:4">
      <c r="A4831" s="50">
        <v>45128</v>
      </c>
      <c r="B4831" s="49" t="s">
        <v>35</v>
      </c>
      <c r="C4831" s="51">
        <v>43892.800000000003</v>
      </c>
      <c r="D4831" s="51">
        <v>0</v>
      </c>
    </row>
    <row r="4832" spans="1:4">
      <c r="A4832" s="50">
        <v>45128</v>
      </c>
      <c r="B4832" s="49" t="s">
        <v>36</v>
      </c>
      <c r="C4832" s="51">
        <v>44717.5</v>
      </c>
      <c r="D4832" s="51">
        <v>0</v>
      </c>
    </row>
    <row r="4833" spans="1:4">
      <c r="A4833" s="50">
        <v>45128</v>
      </c>
      <c r="B4833" s="49" t="s">
        <v>37</v>
      </c>
      <c r="C4833" s="51">
        <v>43843.199999999997</v>
      </c>
      <c r="D4833" s="51">
        <v>0</v>
      </c>
    </row>
    <row r="4834" spans="1:4">
      <c r="A4834" s="50">
        <v>45128</v>
      </c>
      <c r="B4834" s="49" t="s">
        <v>38</v>
      </c>
      <c r="C4834" s="51">
        <v>43744.1</v>
      </c>
      <c r="D4834" s="51">
        <v>0</v>
      </c>
    </row>
    <row r="4835" spans="1:4">
      <c r="A4835" s="50">
        <v>45128</v>
      </c>
      <c r="B4835" s="49" t="s">
        <v>39</v>
      </c>
      <c r="C4835" s="51">
        <v>43791.199999999997</v>
      </c>
      <c r="D4835" s="51">
        <v>0</v>
      </c>
    </row>
    <row r="4836" spans="1:4">
      <c r="A4836" s="50">
        <v>45128</v>
      </c>
      <c r="B4836" s="49" t="s">
        <v>40</v>
      </c>
      <c r="C4836" s="51">
        <v>45190</v>
      </c>
      <c r="D4836" s="51">
        <v>0</v>
      </c>
    </row>
    <row r="4837" spans="1:4">
      <c r="A4837" s="50">
        <v>45128</v>
      </c>
      <c r="B4837" s="49" t="s">
        <v>41</v>
      </c>
      <c r="C4837" s="51">
        <v>44115.1</v>
      </c>
      <c r="D4837" s="51">
        <v>0</v>
      </c>
    </row>
    <row r="4838" spans="1:4">
      <c r="A4838" s="50">
        <v>45128</v>
      </c>
      <c r="B4838" s="49" t="s">
        <v>42</v>
      </c>
      <c r="C4838" s="51">
        <v>43195.3</v>
      </c>
      <c r="D4838" s="51">
        <v>0</v>
      </c>
    </row>
    <row r="4839" spans="1:4">
      <c r="A4839" s="50">
        <v>45128</v>
      </c>
      <c r="B4839" s="49" t="s">
        <v>43</v>
      </c>
      <c r="C4839" s="51">
        <v>43378.2</v>
      </c>
      <c r="D4839" s="51">
        <v>0</v>
      </c>
    </row>
    <row r="4840" spans="1:4">
      <c r="A4840" s="50">
        <v>45128</v>
      </c>
      <c r="B4840" s="49" t="s">
        <v>44</v>
      </c>
      <c r="C4840" s="51">
        <v>44056.7</v>
      </c>
      <c r="D4840" s="51">
        <v>0</v>
      </c>
    </row>
    <row r="4841" spans="1:4">
      <c r="A4841" s="50">
        <v>45128</v>
      </c>
      <c r="B4841" s="49" t="s">
        <v>45</v>
      </c>
      <c r="C4841" s="51">
        <v>44700.3</v>
      </c>
      <c r="D4841" s="51">
        <v>0</v>
      </c>
    </row>
    <row r="4842" spans="1:4">
      <c r="A4842" s="50">
        <v>45128</v>
      </c>
      <c r="B4842" s="49" t="s">
        <v>46</v>
      </c>
      <c r="C4842" s="51">
        <v>44571</v>
      </c>
      <c r="D4842" s="51">
        <v>0</v>
      </c>
    </row>
    <row r="4843" spans="1:4">
      <c r="A4843" s="50">
        <v>45128</v>
      </c>
      <c r="B4843" s="49" t="s">
        <v>47</v>
      </c>
      <c r="C4843" s="51">
        <v>44234.2</v>
      </c>
      <c r="D4843" s="51">
        <v>0</v>
      </c>
    </row>
    <row r="4844" spans="1:4">
      <c r="A4844" s="50">
        <v>45128</v>
      </c>
      <c r="B4844" s="49" t="s">
        <v>48</v>
      </c>
      <c r="C4844" s="51">
        <v>44536.800000000003</v>
      </c>
      <c r="D4844" s="51">
        <v>0</v>
      </c>
    </row>
    <row r="4845" spans="1:4">
      <c r="A4845" s="50">
        <v>45128</v>
      </c>
      <c r="B4845" s="49" t="s">
        <v>49</v>
      </c>
      <c r="C4845" s="51">
        <v>44670.7</v>
      </c>
      <c r="D4845" s="51">
        <v>0</v>
      </c>
    </row>
    <row r="4846" spans="1:4">
      <c r="A4846" s="50">
        <v>45128</v>
      </c>
      <c r="B4846" s="49" t="s">
        <v>50</v>
      </c>
      <c r="C4846" s="51">
        <v>44547.1</v>
      </c>
      <c r="D4846" s="51">
        <v>0</v>
      </c>
    </row>
    <row r="4847" spans="1:4">
      <c r="A4847" s="50">
        <v>45128</v>
      </c>
      <c r="B4847" s="49" t="s">
        <v>51</v>
      </c>
      <c r="C4847" s="51">
        <v>44389.599999999999</v>
      </c>
      <c r="D4847" s="51">
        <v>0</v>
      </c>
    </row>
    <row r="4848" spans="1:4">
      <c r="A4848" s="50">
        <v>45128</v>
      </c>
      <c r="B4848" s="49" t="s">
        <v>52</v>
      </c>
      <c r="C4848" s="51">
        <v>44579.8</v>
      </c>
      <c r="D4848" s="51">
        <v>0</v>
      </c>
    </row>
    <row r="4849" spans="1:4">
      <c r="A4849" s="50">
        <v>45128</v>
      </c>
      <c r="B4849" s="49" t="s">
        <v>53</v>
      </c>
      <c r="C4849" s="51">
        <v>43717.5</v>
      </c>
      <c r="D4849" s="51">
        <v>0</v>
      </c>
    </row>
    <row r="4850" spans="1:4">
      <c r="A4850" s="50">
        <v>45129</v>
      </c>
      <c r="B4850" s="49" t="s">
        <v>30</v>
      </c>
      <c r="C4850" s="51">
        <v>44339.3</v>
      </c>
      <c r="D4850" s="51">
        <v>0</v>
      </c>
    </row>
    <row r="4851" spans="1:4">
      <c r="A4851" s="50">
        <v>45129</v>
      </c>
      <c r="B4851" s="49" t="s">
        <v>31</v>
      </c>
      <c r="C4851" s="51">
        <v>53299.6</v>
      </c>
      <c r="D4851" s="51">
        <v>0</v>
      </c>
    </row>
    <row r="4852" spans="1:4">
      <c r="A4852" s="50">
        <v>45129</v>
      </c>
      <c r="B4852" s="49" t="s">
        <v>32</v>
      </c>
      <c r="C4852" s="51">
        <v>54732.3</v>
      </c>
      <c r="D4852" s="51">
        <v>0</v>
      </c>
    </row>
    <row r="4853" spans="1:4">
      <c r="A4853" s="50">
        <v>45129</v>
      </c>
      <c r="B4853" s="49" t="s">
        <v>33</v>
      </c>
      <c r="C4853" s="51">
        <v>54596.7</v>
      </c>
      <c r="D4853" s="51">
        <v>0</v>
      </c>
    </row>
    <row r="4854" spans="1:4">
      <c r="A4854" s="50">
        <v>45129</v>
      </c>
      <c r="B4854" s="49" t="s">
        <v>34</v>
      </c>
      <c r="C4854" s="51">
        <v>54751.5</v>
      </c>
      <c r="D4854" s="51">
        <v>0</v>
      </c>
    </row>
    <row r="4855" spans="1:4">
      <c r="A4855" s="50">
        <v>45129</v>
      </c>
      <c r="B4855" s="49" t="s">
        <v>35</v>
      </c>
      <c r="C4855" s="51">
        <v>54636.6</v>
      </c>
      <c r="D4855" s="51">
        <v>0</v>
      </c>
    </row>
    <row r="4856" spans="1:4">
      <c r="A4856" s="50">
        <v>45129</v>
      </c>
      <c r="B4856" s="49" t="s">
        <v>36</v>
      </c>
      <c r="C4856" s="51">
        <v>54679.9</v>
      </c>
      <c r="D4856" s="51">
        <v>0</v>
      </c>
    </row>
    <row r="4857" spans="1:4">
      <c r="A4857" s="50">
        <v>45129</v>
      </c>
      <c r="B4857" s="49" t="s">
        <v>37</v>
      </c>
      <c r="C4857" s="51">
        <v>54936.3</v>
      </c>
      <c r="D4857" s="51">
        <v>0</v>
      </c>
    </row>
    <row r="4858" spans="1:4">
      <c r="A4858" s="50">
        <v>45129</v>
      </c>
      <c r="B4858" s="49" t="s">
        <v>38</v>
      </c>
      <c r="C4858" s="51">
        <v>54712.6</v>
      </c>
      <c r="D4858" s="51">
        <v>0</v>
      </c>
    </row>
    <row r="4859" spans="1:4">
      <c r="A4859" s="50">
        <v>45129</v>
      </c>
      <c r="B4859" s="49" t="s">
        <v>39</v>
      </c>
      <c r="C4859" s="51">
        <v>54898.400000000001</v>
      </c>
      <c r="D4859" s="51">
        <v>0</v>
      </c>
    </row>
    <row r="4860" spans="1:4">
      <c r="A4860" s="50">
        <v>45129</v>
      </c>
      <c r="B4860" s="49" t="s">
        <v>40</v>
      </c>
      <c r="C4860" s="51">
        <v>54464.3</v>
      </c>
      <c r="D4860" s="51">
        <v>0</v>
      </c>
    </row>
    <row r="4861" spans="1:4">
      <c r="A4861" s="50">
        <v>45129</v>
      </c>
      <c r="B4861" s="49" t="s">
        <v>41</v>
      </c>
      <c r="C4861" s="51">
        <v>54569.1</v>
      </c>
      <c r="D4861" s="51">
        <v>0</v>
      </c>
    </row>
    <row r="4862" spans="1:4">
      <c r="A4862" s="50">
        <v>45129</v>
      </c>
      <c r="B4862" s="49" t="s">
        <v>42</v>
      </c>
      <c r="C4862" s="51">
        <v>54732.2</v>
      </c>
      <c r="D4862" s="51">
        <v>0</v>
      </c>
    </row>
    <row r="4863" spans="1:4">
      <c r="A4863" s="50">
        <v>45129</v>
      </c>
      <c r="B4863" s="49" t="s">
        <v>43</v>
      </c>
      <c r="C4863" s="51">
        <v>54733.599999999999</v>
      </c>
      <c r="D4863" s="51">
        <v>0</v>
      </c>
    </row>
    <row r="4864" spans="1:4">
      <c r="A4864" s="50">
        <v>45129</v>
      </c>
      <c r="B4864" s="49" t="s">
        <v>44</v>
      </c>
      <c r="C4864" s="51">
        <v>54832.2</v>
      </c>
      <c r="D4864" s="51">
        <v>0</v>
      </c>
    </row>
    <row r="4865" spans="1:4">
      <c r="A4865" s="50">
        <v>45129</v>
      </c>
      <c r="B4865" s="49" t="s">
        <v>45</v>
      </c>
      <c r="C4865" s="51">
        <v>54596.6</v>
      </c>
      <c r="D4865" s="51">
        <v>0</v>
      </c>
    </row>
    <row r="4866" spans="1:4">
      <c r="A4866" s="50">
        <v>45129</v>
      </c>
      <c r="B4866" s="49" t="s">
        <v>46</v>
      </c>
      <c r="C4866" s="51">
        <v>54554.400000000001</v>
      </c>
      <c r="D4866" s="51">
        <v>0</v>
      </c>
    </row>
    <row r="4867" spans="1:4">
      <c r="A4867" s="50">
        <v>45129</v>
      </c>
      <c r="B4867" s="49" t="s">
        <v>47</v>
      </c>
      <c r="C4867" s="51">
        <v>54628.1</v>
      </c>
      <c r="D4867" s="51">
        <v>0</v>
      </c>
    </row>
    <row r="4868" spans="1:4">
      <c r="A4868" s="50">
        <v>45129</v>
      </c>
      <c r="B4868" s="49" t="s">
        <v>48</v>
      </c>
      <c r="C4868" s="51">
        <v>54637.3</v>
      </c>
      <c r="D4868" s="51">
        <v>0</v>
      </c>
    </row>
    <row r="4869" spans="1:4">
      <c r="A4869" s="50">
        <v>45129</v>
      </c>
      <c r="B4869" s="49" t="s">
        <v>49</v>
      </c>
      <c r="C4869" s="51">
        <v>54557.4</v>
      </c>
      <c r="D4869" s="51">
        <v>0</v>
      </c>
    </row>
    <row r="4870" spans="1:4">
      <c r="A4870" s="50">
        <v>45129</v>
      </c>
      <c r="B4870" s="49" t="s">
        <v>50</v>
      </c>
      <c r="C4870" s="51">
        <v>54399.7</v>
      </c>
      <c r="D4870" s="51">
        <v>0</v>
      </c>
    </row>
    <row r="4871" spans="1:4">
      <c r="A4871" s="50">
        <v>45129</v>
      </c>
      <c r="B4871" s="49" t="s">
        <v>51</v>
      </c>
      <c r="C4871" s="51">
        <v>54439.5</v>
      </c>
      <c r="D4871" s="51">
        <v>0</v>
      </c>
    </row>
    <row r="4872" spans="1:4">
      <c r="A4872" s="50">
        <v>45129</v>
      </c>
      <c r="B4872" s="49" t="s">
        <v>52</v>
      </c>
      <c r="C4872" s="51">
        <v>54435</v>
      </c>
      <c r="D4872" s="51">
        <v>0</v>
      </c>
    </row>
    <row r="4873" spans="1:4">
      <c r="A4873" s="50">
        <v>45129</v>
      </c>
      <c r="B4873" s="49" t="s">
        <v>53</v>
      </c>
      <c r="C4873" s="51">
        <v>54454.1</v>
      </c>
      <c r="D4873" s="51">
        <v>0</v>
      </c>
    </row>
    <row r="4874" spans="1:4">
      <c r="A4874" s="50">
        <v>45130</v>
      </c>
      <c r="B4874" s="49" t="s">
        <v>30</v>
      </c>
      <c r="C4874" s="51">
        <v>54524.3</v>
      </c>
      <c r="D4874" s="51">
        <v>0</v>
      </c>
    </row>
    <row r="4875" spans="1:4">
      <c r="A4875" s="50">
        <v>45130</v>
      </c>
      <c r="B4875" s="49" t="s">
        <v>31</v>
      </c>
      <c r="C4875" s="51">
        <v>54554.1</v>
      </c>
      <c r="D4875" s="51">
        <v>0</v>
      </c>
    </row>
    <row r="4876" spans="1:4">
      <c r="A4876" s="50">
        <v>45130</v>
      </c>
      <c r="B4876" s="49" t="s">
        <v>32</v>
      </c>
      <c r="C4876" s="51">
        <v>54528.6</v>
      </c>
      <c r="D4876" s="51">
        <v>0</v>
      </c>
    </row>
    <row r="4877" spans="1:4">
      <c r="A4877" s="50">
        <v>45130</v>
      </c>
      <c r="B4877" s="49" t="s">
        <v>33</v>
      </c>
      <c r="C4877" s="51">
        <v>53525.599999999999</v>
      </c>
      <c r="D4877" s="51">
        <v>0</v>
      </c>
    </row>
    <row r="4878" spans="1:4">
      <c r="A4878" s="50">
        <v>45130</v>
      </c>
      <c r="B4878" s="49" t="s">
        <v>34</v>
      </c>
      <c r="C4878" s="51">
        <v>54539.6</v>
      </c>
      <c r="D4878" s="51">
        <v>0</v>
      </c>
    </row>
    <row r="4879" spans="1:4">
      <c r="A4879" s="50">
        <v>45130</v>
      </c>
      <c r="B4879" s="49" t="s">
        <v>35</v>
      </c>
      <c r="C4879" s="51">
        <v>54568.1</v>
      </c>
      <c r="D4879" s="51">
        <v>0</v>
      </c>
    </row>
    <row r="4880" spans="1:4">
      <c r="A4880" s="50">
        <v>45130</v>
      </c>
      <c r="B4880" s="49" t="s">
        <v>36</v>
      </c>
      <c r="C4880" s="51">
        <v>54614.7</v>
      </c>
      <c r="D4880" s="51">
        <v>0</v>
      </c>
    </row>
    <row r="4881" spans="1:4">
      <c r="A4881" s="50">
        <v>45130</v>
      </c>
      <c r="B4881" s="49" t="s">
        <v>37</v>
      </c>
      <c r="C4881" s="51">
        <v>54785.9</v>
      </c>
      <c r="D4881" s="51">
        <v>0</v>
      </c>
    </row>
    <row r="4882" spans="1:4">
      <c r="A4882" s="50">
        <v>45130</v>
      </c>
      <c r="B4882" s="49" t="s">
        <v>38</v>
      </c>
      <c r="C4882" s="51">
        <v>54782.400000000001</v>
      </c>
      <c r="D4882" s="51">
        <v>0</v>
      </c>
    </row>
    <row r="4883" spans="1:4">
      <c r="A4883" s="50">
        <v>45130</v>
      </c>
      <c r="B4883" s="49" t="s">
        <v>39</v>
      </c>
      <c r="C4883" s="51">
        <v>54572.1</v>
      </c>
      <c r="D4883" s="51">
        <v>0</v>
      </c>
    </row>
    <row r="4884" spans="1:4">
      <c r="A4884" s="50">
        <v>45130</v>
      </c>
      <c r="B4884" s="49" t="s">
        <v>40</v>
      </c>
      <c r="C4884" s="51">
        <v>54636.2</v>
      </c>
      <c r="D4884" s="51">
        <v>0</v>
      </c>
    </row>
    <row r="4885" spans="1:4">
      <c r="A4885" s="50">
        <v>45130</v>
      </c>
      <c r="B4885" s="49" t="s">
        <v>41</v>
      </c>
      <c r="C4885" s="51">
        <v>54347.7</v>
      </c>
      <c r="D4885" s="51">
        <v>0</v>
      </c>
    </row>
    <row r="4886" spans="1:4">
      <c r="A4886" s="50">
        <v>45130</v>
      </c>
      <c r="B4886" s="49" t="s">
        <v>42</v>
      </c>
      <c r="C4886" s="51">
        <v>54547.6</v>
      </c>
      <c r="D4886" s="51">
        <v>0</v>
      </c>
    </row>
    <row r="4887" spans="1:4">
      <c r="A4887" s="50">
        <v>45130</v>
      </c>
      <c r="B4887" s="49" t="s">
        <v>43</v>
      </c>
      <c r="C4887" s="51">
        <v>54578.7</v>
      </c>
      <c r="D4887" s="51">
        <v>0</v>
      </c>
    </row>
    <row r="4888" spans="1:4">
      <c r="A4888" s="50">
        <v>45130</v>
      </c>
      <c r="B4888" s="49" t="s">
        <v>44</v>
      </c>
      <c r="C4888" s="51">
        <v>54090.3</v>
      </c>
      <c r="D4888" s="51">
        <v>0</v>
      </c>
    </row>
    <row r="4889" spans="1:4">
      <c r="A4889" s="50">
        <v>45130</v>
      </c>
      <c r="B4889" s="49" t="s">
        <v>45</v>
      </c>
      <c r="C4889" s="51">
        <v>54328.800000000003</v>
      </c>
      <c r="D4889" s="51">
        <v>0</v>
      </c>
    </row>
    <row r="4890" spans="1:4">
      <c r="A4890" s="50">
        <v>45130</v>
      </c>
      <c r="B4890" s="49" t="s">
        <v>46</v>
      </c>
      <c r="C4890" s="51">
        <v>54236.6</v>
      </c>
      <c r="D4890" s="51">
        <v>0</v>
      </c>
    </row>
    <row r="4891" spans="1:4">
      <c r="A4891" s="50">
        <v>45130</v>
      </c>
      <c r="B4891" s="49" t="s">
        <v>47</v>
      </c>
      <c r="C4891" s="51">
        <v>54236.800000000003</v>
      </c>
      <c r="D4891" s="51">
        <v>0</v>
      </c>
    </row>
    <row r="4892" spans="1:4">
      <c r="A4892" s="50">
        <v>45130</v>
      </c>
      <c r="B4892" s="49" t="s">
        <v>48</v>
      </c>
      <c r="C4892" s="51">
        <v>54188.6</v>
      </c>
      <c r="D4892" s="51">
        <v>0</v>
      </c>
    </row>
    <row r="4893" spans="1:4">
      <c r="A4893" s="50">
        <v>45130</v>
      </c>
      <c r="B4893" s="49" t="s">
        <v>49</v>
      </c>
      <c r="C4893" s="51">
        <v>54098.400000000001</v>
      </c>
      <c r="D4893" s="51">
        <v>0</v>
      </c>
    </row>
    <row r="4894" spans="1:4">
      <c r="A4894" s="50">
        <v>45130</v>
      </c>
      <c r="B4894" s="49" t="s">
        <v>50</v>
      </c>
      <c r="C4894" s="51">
        <v>53897.3</v>
      </c>
      <c r="D4894" s="51">
        <v>0</v>
      </c>
    </row>
    <row r="4895" spans="1:4">
      <c r="A4895" s="50">
        <v>45130</v>
      </c>
      <c r="B4895" s="49" t="s">
        <v>51</v>
      </c>
      <c r="C4895" s="51">
        <v>53995.5</v>
      </c>
      <c r="D4895" s="51">
        <v>0</v>
      </c>
    </row>
    <row r="4896" spans="1:4">
      <c r="A4896" s="50">
        <v>45130</v>
      </c>
      <c r="B4896" s="49" t="s">
        <v>52</v>
      </c>
      <c r="C4896" s="51">
        <v>54101.9</v>
      </c>
      <c r="D4896" s="51">
        <v>0</v>
      </c>
    </row>
    <row r="4897" spans="1:4">
      <c r="A4897" s="50">
        <v>45130</v>
      </c>
      <c r="B4897" s="49" t="s">
        <v>53</v>
      </c>
      <c r="C4897" s="51">
        <v>54159.5</v>
      </c>
      <c r="D4897" s="51">
        <v>0</v>
      </c>
    </row>
    <row r="4898" spans="1:4">
      <c r="A4898" s="50">
        <v>45131</v>
      </c>
      <c r="B4898" s="49" t="s">
        <v>30</v>
      </c>
      <c r="C4898" s="51">
        <v>54188.6</v>
      </c>
      <c r="D4898" s="51">
        <v>0</v>
      </c>
    </row>
    <row r="4899" spans="1:4">
      <c r="A4899" s="50">
        <v>45131</v>
      </c>
      <c r="B4899" s="49" t="s">
        <v>31</v>
      </c>
      <c r="C4899" s="51">
        <v>54210.5</v>
      </c>
      <c r="D4899" s="51">
        <v>0</v>
      </c>
    </row>
    <row r="4900" spans="1:4">
      <c r="A4900" s="50">
        <v>45131</v>
      </c>
      <c r="B4900" s="49" t="s">
        <v>32</v>
      </c>
      <c r="C4900" s="51">
        <v>53994.8</v>
      </c>
      <c r="D4900" s="51">
        <v>0</v>
      </c>
    </row>
    <row r="4901" spans="1:4">
      <c r="A4901" s="50">
        <v>45131</v>
      </c>
      <c r="B4901" s="49" t="s">
        <v>33</v>
      </c>
      <c r="C4901" s="51">
        <v>54172.3</v>
      </c>
      <c r="D4901" s="51">
        <v>0</v>
      </c>
    </row>
    <row r="4902" spans="1:4">
      <c r="A4902" s="50">
        <v>45131</v>
      </c>
      <c r="B4902" s="49" t="s">
        <v>34</v>
      </c>
      <c r="C4902" s="51">
        <v>54245.599999999999</v>
      </c>
      <c r="D4902" s="51">
        <v>0</v>
      </c>
    </row>
    <row r="4903" spans="1:4">
      <c r="A4903" s="50">
        <v>45131</v>
      </c>
      <c r="B4903" s="49" t="s">
        <v>35</v>
      </c>
      <c r="C4903" s="51">
        <v>54254.3</v>
      </c>
      <c r="D4903" s="51">
        <v>0</v>
      </c>
    </row>
    <row r="4904" spans="1:4">
      <c r="A4904" s="50">
        <v>45131</v>
      </c>
      <c r="B4904" s="49" t="s">
        <v>36</v>
      </c>
      <c r="C4904" s="51">
        <v>54106</v>
      </c>
      <c r="D4904" s="51">
        <v>0</v>
      </c>
    </row>
    <row r="4905" spans="1:4">
      <c r="A4905" s="50">
        <v>45131</v>
      </c>
      <c r="B4905" s="49" t="s">
        <v>37</v>
      </c>
      <c r="C4905" s="51">
        <v>54284</v>
      </c>
      <c r="D4905" s="51">
        <v>0</v>
      </c>
    </row>
    <row r="4906" spans="1:4">
      <c r="A4906" s="50">
        <v>45131</v>
      </c>
      <c r="B4906" s="49" t="s">
        <v>38</v>
      </c>
      <c r="C4906" s="51">
        <v>54161.9</v>
      </c>
      <c r="D4906" s="51">
        <v>0</v>
      </c>
    </row>
    <row r="4907" spans="1:4">
      <c r="A4907" s="50">
        <v>45131</v>
      </c>
      <c r="B4907" s="49" t="s">
        <v>39</v>
      </c>
      <c r="C4907" s="51">
        <v>54143.6</v>
      </c>
      <c r="D4907" s="51">
        <v>0</v>
      </c>
    </row>
    <row r="4908" spans="1:4">
      <c r="A4908" s="50">
        <v>45131</v>
      </c>
      <c r="B4908" s="49" t="s">
        <v>40</v>
      </c>
      <c r="C4908" s="51">
        <v>53359.7</v>
      </c>
      <c r="D4908" s="51">
        <v>0</v>
      </c>
    </row>
    <row r="4909" spans="1:4">
      <c r="A4909" s="50">
        <v>45131</v>
      </c>
      <c r="B4909" s="49" t="s">
        <v>41</v>
      </c>
      <c r="C4909" s="51">
        <v>52018.9</v>
      </c>
      <c r="D4909" s="51">
        <v>0</v>
      </c>
    </row>
    <row r="4910" spans="1:4">
      <c r="A4910" s="50">
        <v>45131</v>
      </c>
      <c r="B4910" s="49" t="s">
        <v>42</v>
      </c>
      <c r="C4910" s="51">
        <v>52096.800000000003</v>
      </c>
      <c r="D4910" s="51">
        <v>0</v>
      </c>
    </row>
    <row r="4911" spans="1:4">
      <c r="A4911" s="50">
        <v>45131</v>
      </c>
      <c r="B4911" s="49" t="s">
        <v>43</v>
      </c>
      <c r="C4911" s="51">
        <v>52107.3</v>
      </c>
      <c r="D4911" s="51">
        <v>0</v>
      </c>
    </row>
    <row r="4912" spans="1:4">
      <c r="A4912" s="50">
        <v>45131</v>
      </c>
      <c r="B4912" s="49" t="s">
        <v>44</v>
      </c>
      <c r="C4912" s="51">
        <v>52629.9</v>
      </c>
      <c r="D4912" s="51">
        <v>0</v>
      </c>
    </row>
    <row r="4913" spans="1:4">
      <c r="A4913" s="50">
        <v>45131</v>
      </c>
      <c r="B4913" s="49" t="s">
        <v>45</v>
      </c>
      <c r="C4913" s="51">
        <v>53618.8</v>
      </c>
      <c r="D4913" s="51">
        <v>0</v>
      </c>
    </row>
    <row r="4914" spans="1:4">
      <c r="A4914" s="50">
        <v>45131</v>
      </c>
      <c r="B4914" s="49" t="s">
        <v>46</v>
      </c>
      <c r="C4914" s="51">
        <v>53476.5</v>
      </c>
      <c r="D4914" s="51">
        <v>0</v>
      </c>
    </row>
    <row r="4915" spans="1:4">
      <c r="A4915" s="50">
        <v>45131</v>
      </c>
      <c r="B4915" s="49" t="s">
        <v>47</v>
      </c>
      <c r="C4915" s="51">
        <v>53523.4</v>
      </c>
      <c r="D4915" s="51">
        <v>0</v>
      </c>
    </row>
    <row r="4916" spans="1:4">
      <c r="A4916" s="50">
        <v>45131</v>
      </c>
      <c r="B4916" s="49" t="s">
        <v>48</v>
      </c>
      <c r="C4916" s="51">
        <v>53669.1</v>
      </c>
      <c r="D4916" s="51">
        <v>0</v>
      </c>
    </row>
    <row r="4917" spans="1:4">
      <c r="A4917" s="50">
        <v>45131</v>
      </c>
      <c r="B4917" s="49" t="s">
        <v>49</v>
      </c>
      <c r="C4917" s="51">
        <v>53223.3</v>
      </c>
      <c r="D4917" s="51">
        <v>0</v>
      </c>
    </row>
    <row r="4918" spans="1:4">
      <c r="A4918" s="50">
        <v>45131</v>
      </c>
      <c r="B4918" s="49" t="s">
        <v>50</v>
      </c>
      <c r="C4918" s="51">
        <v>53682.5</v>
      </c>
      <c r="D4918" s="51">
        <v>0</v>
      </c>
    </row>
    <row r="4919" spans="1:4">
      <c r="A4919" s="50">
        <v>45131</v>
      </c>
      <c r="B4919" s="49" t="s">
        <v>51</v>
      </c>
      <c r="C4919" s="51">
        <v>53898.7</v>
      </c>
      <c r="D4919" s="51">
        <v>0</v>
      </c>
    </row>
    <row r="4920" spans="1:4">
      <c r="A4920" s="50">
        <v>45131</v>
      </c>
      <c r="B4920" s="49" t="s">
        <v>52</v>
      </c>
      <c r="C4920" s="51">
        <v>53679.199999999997</v>
      </c>
      <c r="D4920" s="51">
        <v>0</v>
      </c>
    </row>
    <row r="4921" spans="1:4">
      <c r="A4921" s="50">
        <v>45131</v>
      </c>
      <c r="B4921" s="49" t="s">
        <v>53</v>
      </c>
      <c r="C4921" s="51">
        <v>53726.8</v>
      </c>
      <c r="D4921" s="51">
        <v>0</v>
      </c>
    </row>
    <row r="4922" spans="1:4">
      <c r="A4922" s="50">
        <v>45132</v>
      </c>
      <c r="B4922" s="49" t="s">
        <v>30</v>
      </c>
      <c r="C4922" s="51">
        <v>53994.9</v>
      </c>
      <c r="D4922" s="51">
        <v>0</v>
      </c>
    </row>
    <row r="4923" spans="1:4">
      <c r="A4923" s="50">
        <v>45132</v>
      </c>
      <c r="B4923" s="49" t="s">
        <v>31</v>
      </c>
      <c r="C4923" s="51">
        <v>53833.4</v>
      </c>
      <c r="D4923" s="51">
        <v>0</v>
      </c>
    </row>
    <row r="4924" spans="1:4">
      <c r="A4924" s="50">
        <v>45132</v>
      </c>
      <c r="B4924" s="49" t="s">
        <v>32</v>
      </c>
      <c r="C4924" s="51">
        <v>54049.4</v>
      </c>
      <c r="D4924" s="51">
        <v>0</v>
      </c>
    </row>
    <row r="4925" spans="1:4">
      <c r="A4925" s="50">
        <v>45132</v>
      </c>
      <c r="B4925" s="49" t="s">
        <v>33</v>
      </c>
      <c r="C4925" s="51">
        <v>53978.400000000001</v>
      </c>
      <c r="D4925" s="51">
        <v>0</v>
      </c>
    </row>
    <row r="4926" spans="1:4">
      <c r="A4926" s="50">
        <v>45132</v>
      </c>
      <c r="B4926" s="49" t="s">
        <v>34</v>
      </c>
      <c r="C4926" s="51">
        <v>54040.6</v>
      </c>
      <c r="D4926" s="51">
        <v>0</v>
      </c>
    </row>
    <row r="4927" spans="1:4">
      <c r="A4927" s="50">
        <v>45132</v>
      </c>
      <c r="B4927" s="49" t="s">
        <v>35</v>
      </c>
      <c r="C4927" s="51">
        <v>53935.8</v>
      </c>
      <c r="D4927" s="51">
        <v>0</v>
      </c>
    </row>
    <row r="4928" spans="1:4">
      <c r="A4928" s="50">
        <v>45132</v>
      </c>
      <c r="B4928" s="49" t="s">
        <v>36</v>
      </c>
      <c r="C4928" s="51">
        <v>53933.7</v>
      </c>
      <c r="D4928" s="51">
        <v>0</v>
      </c>
    </row>
    <row r="4929" spans="1:4">
      <c r="A4929" s="50">
        <v>45132</v>
      </c>
      <c r="B4929" s="49" t="s">
        <v>37</v>
      </c>
      <c r="C4929" s="51">
        <v>53851.1</v>
      </c>
      <c r="D4929" s="51">
        <v>0</v>
      </c>
    </row>
    <row r="4930" spans="1:4">
      <c r="A4930" s="50">
        <v>45132</v>
      </c>
      <c r="B4930" s="49" t="s">
        <v>38</v>
      </c>
      <c r="C4930" s="51">
        <v>53697.1</v>
      </c>
      <c r="D4930" s="51">
        <v>0</v>
      </c>
    </row>
    <row r="4931" spans="1:4">
      <c r="A4931" s="50">
        <v>45132</v>
      </c>
      <c r="B4931" s="49" t="s">
        <v>39</v>
      </c>
      <c r="C4931" s="51">
        <v>53736.7</v>
      </c>
      <c r="D4931" s="51">
        <v>0</v>
      </c>
    </row>
    <row r="4932" spans="1:4">
      <c r="A4932" s="50">
        <v>45132</v>
      </c>
      <c r="B4932" s="49" t="s">
        <v>40</v>
      </c>
      <c r="C4932" s="51">
        <v>52468.3</v>
      </c>
      <c r="D4932" s="51">
        <v>0</v>
      </c>
    </row>
    <row r="4933" spans="1:4">
      <c r="A4933" s="50">
        <v>45132</v>
      </c>
      <c r="B4933" s="49" t="s">
        <v>41</v>
      </c>
      <c r="C4933" s="51">
        <v>51922.3</v>
      </c>
      <c r="D4933" s="51">
        <v>0</v>
      </c>
    </row>
    <row r="4934" spans="1:4">
      <c r="A4934" s="50">
        <v>45132</v>
      </c>
      <c r="B4934" s="49" t="s">
        <v>42</v>
      </c>
      <c r="C4934" s="51">
        <v>52401.1</v>
      </c>
      <c r="D4934" s="51">
        <v>0</v>
      </c>
    </row>
    <row r="4935" spans="1:4">
      <c r="A4935" s="50">
        <v>45132</v>
      </c>
      <c r="B4935" s="49" t="s">
        <v>43</v>
      </c>
      <c r="C4935" s="51">
        <v>52372.9</v>
      </c>
      <c r="D4935" s="51">
        <v>0</v>
      </c>
    </row>
    <row r="4936" spans="1:4">
      <c r="A4936" s="50">
        <v>45132</v>
      </c>
      <c r="B4936" s="49" t="s">
        <v>44</v>
      </c>
      <c r="C4936" s="51">
        <v>52368.9</v>
      </c>
      <c r="D4936" s="51">
        <v>0</v>
      </c>
    </row>
    <row r="4937" spans="1:4">
      <c r="A4937" s="50">
        <v>45132</v>
      </c>
      <c r="B4937" s="49" t="s">
        <v>45</v>
      </c>
      <c r="C4937" s="51">
        <v>52406.400000000001</v>
      </c>
      <c r="D4937" s="51">
        <v>0</v>
      </c>
    </row>
    <row r="4938" spans="1:4">
      <c r="A4938" s="50">
        <v>45132</v>
      </c>
      <c r="B4938" s="49" t="s">
        <v>46</v>
      </c>
      <c r="C4938" s="51">
        <v>52290.3</v>
      </c>
      <c r="D4938" s="51">
        <v>0</v>
      </c>
    </row>
    <row r="4939" spans="1:4">
      <c r="A4939" s="50">
        <v>45132</v>
      </c>
      <c r="B4939" s="49" t="s">
        <v>47</v>
      </c>
      <c r="C4939" s="51">
        <v>52300.5</v>
      </c>
      <c r="D4939" s="51">
        <v>0</v>
      </c>
    </row>
    <row r="4940" spans="1:4">
      <c r="A4940" s="50">
        <v>45132</v>
      </c>
      <c r="B4940" s="49" t="s">
        <v>48</v>
      </c>
      <c r="C4940" s="51">
        <v>52412.6</v>
      </c>
      <c r="D4940" s="51">
        <v>0</v>
      </c>
    </row>
    <row r="4941" spans="1:4">
      <c r="A4941" s="50">
        <v>45132</v>
      </c>
      <c r="B4941" s="49" t="s">
        <v>49</v>
      </c>
      <c r="C4941" s="51">
        <v>53563.5</v>
      </c>
      <c r="D4941" s="51">
        <v>0</v>
      </c>
    </row>
    <row r="4942" spans="1:4">
      <c r="A4942" s="50">
        <v>45132</v>
      </c>
      <c r="B4942" s="49" t="s">
        <v>50</v>
      </c>
      <c r="C4942" s="51">
        <v>53272.4</v>
      </c>
      <c r="D4942" s="51">
        <v>0</v>
      </c>
    </row>
    <row r="4943" spans="1:4">
      <c r="A4943" s="50">
        <v>45132</v>
      </c>
      <c r="B4943" s="49" t="s">
        <v>51</v>
      </c>
      <c r="C4943" s="51">
        <v>54023.1</v>
      </c>
      <c r="D4943" s="51">
        <v>0</v>
      </c>
    </row>
    <row r="4944" spans="1:4">
      <c r="A4944" s="50">
        <v>45132</v>
      </c>
      <c r="B4944" s="49" t="s">
        <v>52</v>
      </c>
      <c r="C4944" s="51">
        <v>54096</v>
      </c>
      <c r="D4944" s="51">
        <v>0</v>
      </c>
    </row>
    <row r="4945" spans="1:4">
      <c r="A4945" s="50">
        <v>45132</v>
      </c>
      <c r="B4945" s="49" t="s">
        <v>53</v>
      </c>
      <c r="C4945" s="51">
        <v>53626.8</v>
      </c>
      <c r="D4945" s="51">
        <v>0</v>
      </c>
    </row>
    <row r="4946" spans="1:4">
      <c r="A4946" s="50">
        <v>45133</v>
      </c>
      <c r="B4946" s="49" t="s">
        <v>30</v>
      </c>
      <c r="C4946" s="51">
        <v>46035.9</v>
      </c>
      <c r="D4946" s="51">
        <v>0</v>
      </c>
    </row>
    <row r="4947" spans="1:4">
      <c r="A4947" s="50">
        <v>45133</v>
      </c>
      <c r="B4947" s="49" t="s">
        <v>31</v>
      </c>
      <c r="C4947" s="51">
        <v>44972.3</v>
      </c>
      <c r="D4947" s="51">
        <v>0</v>
      </c>
    </row>
    <row r="4948" spans="1:4">
      <c r="A4948" s="50">
        <v>45133</v>
      </c>
      <c r="B4948" s="49" t="s">
        <v>32</v>
      </c>
      <c r="C4948" s="51">
        <v>45065.3</v>
      </c>
      <c r="D4948" s="51">
        <v>0</v>
      </c>
    </row>
    <row r="4949" spans="1:4">
      <c r="A4949" s="50">
        <v>45133</v>
      </c>
      <c r="B4949" s="49" t="s">
        <v>33</v>
      </c>
      <c r="C4949" s="51">
        <v>44956.800000000003</v>
      </c>
      <c r="D4949" s="51">
        <v>0</v>
      </c>
    </row>
    <row r="4950" spans="1:4">
      <c r="A4950" s="50">
        <v>45133</v>
      </c>
      <c r="B4950" s="49" t="s">
        <v>34</v>
      </c>
      <c r="C4950" s="51">
        <v>45215.9</v>
      </c>
      <c r="D4950" s="51">
        <v>0</v>
      </c>
    </row>
    <row r="4951" spans="1:4">
      <c r="A4951" s="50">
        <v>45133</v>
      </c>
      <c r="B4951" s="49" t="s">
        <v>35</v>
      </c>
      <c r="C4951" s="51">
        <v>45014.8</v>
      </c>
      <c r="D4951" s="51">
        <v>0</v>
      </c>
    </row>
    <row r="4952" spans="1:4">
      <c r="A4952" s="50">
        <v>45133</v>
      </c>
      <c r="B4952" s="49" t="s">
        <v>36</v>
      </c>
      <c r="C4952" s="51">
        <v>45344.7</v>
      </c>
      <c r="D4952" s="51">
        <v>0</v>
      </c>
    </row>
    <row r="4953" spans="1:4">
      <c r="A4953" s="50">
        <v>45133</v>
      </c>
      <c r="B4953" s="49" t="s">
        <v>37</v>
      </c>
      <c r="C4953" s="51">
        <v>45380.2</v>
      </c>
      <c r="D4953" s="51">
        <v>0</v>
      </c>
    </row>
    <row r="4954" spans="1:4">
      <c r="A4954" s="50">
        <v>45133</v>
      </c>
      <c r="B4954" s="49" t="s">
        <v>38</v>
      </c>
      <c r="C4954" s="51">
        <v>45259</v>
      </c>
      <c r="D4954" s="51">
        <v>0</v>
      </c>
    </row>
    <row r="4955" spans="1:4">
      <c r="A4955" s="50">
        <v>45133</v>
      </c>
      <c r="B4955" s="49" t="s">
        <v>39</v>
      </c>
      <c r="C4955" s="51">
        <v>45325.7</v>
      </c>
      <c r="D4955" s="51">
        <v>0</v>
      </c>
    </row>
    <row r="4956" spans="1:4">
      <c r="A4956" s="50">
        <v>45133</v>
      </c>
      <c r="B4956" s="49" t="s">
        <v>40</v>
      </c>
      <c r="C4956" s="51">
        <v>44166.3</v>
      </c>
      <c r="D4956" s="51">
        <v>0</v>
      </c>
    </row>
    <row r="4957" spans="1:4">
      <c r="A4957" s="50">
        <v>45133</v>
      </c>
      <c r="B4957" s="49" t="s">
        <v>41</v>
      </c>
      <c r="C4957" s="51">
        <v>44317.3</v>
      </c>
      <c r="D4957" s="51">
        <v>0</v>
      </c>
    </row>
    <row r="4958" spans="1:4">
      <c r="A4958" s="50">
        <v>45133</v>
      </c>
      <c r="B4958" s="49" t="s">
        <v>42</v>
      </c>
      <c r="C4958" s="51">
        <v>44753.9</v>
      </c>
      <c r="D4958" s="51">
        <v>0</v>
      </c>
    </row>
    <row r="4959" spans="1:4">
      <c r="A4959" s="50">
        <v>45133</v>
      </c>
      <c r="B4959" s="49" t="s">
        <v>43</v>
      </c>
      <c r="C4959" s="51">
        <v>44751.7</v>
      </c>
      <c r="D4959" s="51">
        <v>0</v>
      </c>
    </row>
    <row r="4960" spans="1:4">
      <c r="A4960" s="50">
        <v>45133</v>
      </c>
      <c r="B4960" s="49" t="s">
        <v>44</v>
      </c>
      <c r="C4960" s="51">
        <v>44757.5</v>
      </c>
      <c r="D4960" s="51">
        <v>0</v>
      </c>
    </row>
    <row r="4961" spans="1:4">
      <c r="A4961" s="50">
        <v>45133</v>
      </c>
      <c r="B4961" s="49" t="s">
        <v>45</v>
      </c>
      <c r="C4961" s="51">
        <v>44847.3</v>
      </c>
      <c r="D4961" s="51">
        <v>0</v>
      </c>
    </row>
    <row r="4962" spans="1:4">
      <c r="A4962" s="50">
        <v>45133</v>
      </c>
      <c r="B4962" s="49" t="s">
        <v>46</v>
      </c>
      <c r="C4962" s="51">
        <v>44710.6</v>
      </c>
      <c r="D4962" s="51">
        <v>0</v>
      </c>
    </row>
    <row r="4963" spans="1:4">
      <c r="A4963" s="50">
        <v>45133</v>
      </c>
      <c r="B4963" s="49" t="s">
        <v>47</v>
      </c>
      <c r="C4963" s="51">
        <v>45153.8</v>
      </c>
      <c r="D4963" s="51">
        <v>0</v>
      </c>
    </row>
    <row r="4964" spans="1:4">
      <c r="A4964" s="50">
        <v>45133</v>
      </c>
      <c r="B4964" s="49" t="s">
        <v>48</v>
      </c>
      <c r="C4964" s="51">
        <v>44589.599999999999</v>
      </c>
      <c r="D4964" s="51">
        <v>0</v>
      </c>
    </row>
    <row r="4965" spans="1:4">
      <c r="A4965" s="50">
        <v>45133</v>
      </c>
      <c r="B4965" s="49" t="s">
        <v>49</v>
      </c>
      <c r="C4965" s="51">
        <v>44462.6</v>
      </c>
      <c r="D4965" s="51">
        <v>0</v>
      </c>
    </row>
    <row r="4966" spans="1:4">
      <c r="A4966" s="50">
        <v>45133</v>
      </c>
      <c r="B4966" s="49" t="s">
        <v>50</v>
      </c>
      <c r="C4966" s="51">
        <v>44620.800000000003</v>
      </c>
      <c r="D4966" s="51">
        <v>0</v>
      </c>
    </row>
    <row r="4967" spans="1:4">
      <c r="A4967" s="50">
        <v>45133</v>
      </c>
      <c r="B4967" s="49" t="s">
        <v>51</v>
      </c>
      <c r="C4967" s="51">
        <v>44641.1</v>
      </c>
      <c r="D4967" s="51">
        <v>0</v>
      </c>
    </row>
    <row r="4968" spans="1:4">
      <c r="A4968" s="50">
        <v>45133</v>
      </c>
      <c r="B4968" s="49" t="s">
        <v>52</v>
      </c>
      <c r="C4968" s="51">
        <v>44653.8</v>
      </c>
      <c r="D4968" s="51">
        <v>0</v>
      </c>
    </row>
    <row r="4969" spans="1:4">
      <c r="A4969" s="50">
        <v>45133</v>
      </c>
      <c r="B4969" s="49" t="s">
        <v>53</v>
      </c>
      <c r="C4969" s="51">
        <v>45405.7</v>
      </c>
      <c r="D4969" s="51">
        <v>0</v>
      </c>
    </row>
    <row r="4970" spans="1:4">
      <c r="A4970" s="50">
        <v>45134</v>
      </c>
      <c r="B4970" s="49" t="s">
        <v>30</v>
      </c>
      <c r="C4970" s="51">
        <v>51784</v>
      </c>
      <c r="D4970" s="51">
        <v>0</v>
      </c>
    </row>
    <row r="4971" spans="1:4">
      <c r="A4971" s="50">
        <v>45134</v>
      </c>
      <c r="B4971" s="49" t="s">
        <v>31</v>
      </c>
      <c r="C4971" s="51">
        <v>54014</v>
      </c>
      <c r="D4971" s="51">
        <v>0</v>
      </c>
    </row>
    <row r="4972" spans="1:4">
      <c r="A4972" s="50">
        <v>45134</v>
      </c>
      <c r="B4972" s="49" t="s">
        <v>32</v>
      </c>
      <c r="C4972" s="51">
        <v>53753.2</v>
      </c>
      <c r="D4972" s="51">
        <v>0</v>
      </c>
    </row>
    <row r="4973" spans="1:4">
      <c r="A4973" s="50">
        <v>45134</v>
      </c>
      <c r="B4973" s="49" t="s">
        <v>33</v>
      </c>
      <c r="C4973" s="51">
        <v>53922.400000000001</v>
      </c>
      <c r="D4973" s="51">
        <v>0</v>
      </c>
    </row>
    <row r="4974" spans="1:4">
      <c r="A4974" s="50">
        <v>45134</v>
      </c>
      <c r="B4974" s="49" t="s">
        <v>34</v>
      </c>
      <c r="C4974" s="51">
        <v>54313.9</v>
      </c>
      <c r="D4974" s="51">
        <v>0</v>
      </c>
    </row>
    <row r="4975" spans="1:4">
      <c r="A4975" s="50">
        <v>45134</v>
      </c>
      <c r="B4975" s="49" t="s">
        <v>35</v>
      </c>
      <c r="C4975" s="51">
        <v>54024.1</v>
      </c>
      <c r="D4975" s="51">
        <v>0</v>
      </c>
    </row>
    <row r="4976" spans="1:4">
      <c r="A4976" s="50">
        <v>45134</v>
      </c>
      <c r="B4976" s="49" t="s">
        <v>36</v>
      </c>
      <c r="C4976" s="51">
        <v>54377.8</v>
      </c>
      <c r="D4976" s="51">
        <v>0</v>
      </c>
    </row>
    <row r="4977" spans="1:4">
      <c r="A4977" s="50">
        <v>45134</v>
      </c>
      <c r="B4977" s="49" t="s">
        <v>37</v>
      </c>
      <c r="C4977" s="51">
        <v>54453.3</v>
      </c>
      <c r="D4977" s="51">
        <v>0</v>
      </c>
    </row>
    <row r="4978" spans="1:4">
      <c r="A4978" s="50">
        <v>45134</v>
      </c>
      <c r="B4978" s="49" t="s">
        <v>38</v>
      </c>
      <c r="C4978" s="51">
        <v>54496.9</v>
      </c>
      <c r="D4978" s="51">
        <v>0</v>
      </c>
    </row>
    <row r="4979" spans="1:4">
      <c r="A4979" s="50">
        <v>45134</v>
      </c>
      <c r="B4979" s="49" t="s">
        <v>39</v>
      </c>
      <c r="C4979" s="51">
        <v>54550.5</v>
      </c>
      <c r="D4979" s="51">
        <v>0</v>
      </c>
    </row>
    <row r="4980" spans="1:4">
      <c r="A4980" s="50">
        <v>45134</v>
      </c>
      <c r="B4980" s="49" t="s">
        <v>40</v>
      </c>
      <c r="C4980" s="51">
        <v>53974.3</v>
      </c>
      <c r="D4980" s="51">
        <v>0</v>
      </c>
    </row>
    <row r="4981" spans="1:4">
      <c r="A4981" s="50">
        <v>45134</v>
      </c>
      <c r="B4981" s="49" t="s">
        <v>41</v>
      </c>
      <c r="C4981" s="51">
        <v>54061.2</v>
      </c>
      <c r="D4981" s="51">
        <v>0</v>
      </c>
    </row>
    <row r="4982" spans="1:4">
      <c r="A4982" s="50">
        <v>45134</v>
      </c>
      <c r="B4982" s="49" t="s">
        <v>42</v>
      </c>
      <c r="C4982" s="51">
        <v>54128.2</v>
      </c>
      <c r="D4982" s="51">
        <v>0</v>
      </c>
    </row>
    <row r="4983" spans="1:4">
      <c r="A4983" s="50">
        <v>45134</v>
      </c>
      <c r="B4983" s="49" t="s">
        <v>43</v>
      </c>
      <c r="C4983" s="51">
        <v>54131.1</v>
      </c>
      <c r="D4983" s="51">
        <v>0</v>
      </c>
    </row>
    <row r="4984" spans="1:4">
      <c r="A4984" s="50">
        <v>45134</v>
      </c>
      <c r="B4984" s="49" t="s">
        <v>44</v>
      </c>
      <c r="C4984" s="51">
        <v>54130.6</v>
      </c>
      <c r="D4984" s="51">
        <v>0</v>
      </c>
    </row>
    <row r="4985" spans="1:4">
      <c r="A4985" s="50">
        <v>45134</v>
      </c>
      <c r="B4985" s="49" t="s">
        <v>45</v>
      </c>
      <c r="C4985" s="51">
        <v>54099.7</v>
      </c>
      <c r="D4985" s="51">
        <v>0</v>
      </c>
    </row>
    <row r="4986" spans="1:4">
      <c r="A4986" s="50">
        <v>45134</v>
      </c>
      <c r="B4986" s="49" t="s">
        <v>46</v>
      </c>
      <c r="C4986" s="51">
        <v>54043.6</v>
      </c>
      <c r="D4986" s="51">
        <v>0</v>
      </c>
    </row>
    <row r="4987" spans="1:4">
      <c r="A4987" s="50">
        <v>45134</v>
      </c>
      <c r="B4987" s="49" t="s">
        <v>47</v>
      </c>
      <c r="C4987" s="51">
        <v>53985.3</v>
      </c>
      <c r="D4987" s="51">
        <v>0</v>
      </c>
    </row>
    <row r="4988" spans="1:4">
      <c r="A4988" s="50">
        <v>45134</v>
      </c>
      <c r="B4988" s="49" t="s">
        <v>48</v>
      </c>
      <c r="C4988" s="51">
        <v>53825.8</v>
      </c>
      <c r="D4988" s="51">
        <v>0</v>
      </c>
    </row>
    <row r="4989" spans="1:4">
      <c r="A4989" s="50">
        <v>45134</v>
      </c>
      <c r="B4989" s="49" t="s">
        <v>49</v>
      </c>
      <c r="C4989" s="51">
        <v>54062.8</v>
      </c>
      <c r="D4989" s="51">
        <v>0</v>
      </c>
    </row>
    <row r="4990" spans="1:4">
      <c r="A4990" s="50">
        <v>45134</v>
      </c>
      <c r="B4990" s="49" t="s">
        <v>50</v>
      </c>
      <c r="C4990" s="51">
        <v>54057.599999999999</v>
      </c>
      <c r="D4990" s="51">
        <v>0</v>
      </c>
    </row>
    <row r="4991" spans="1:4">
      <c r="A4991" s="50">
        <v>45134</v>
      </c>
      <c r="B4991" s="49" t="s">
        <v>51</v>
      </c>
      <c r="C4991" s="51">
        <v>53994.6</v>
      </c>
      <c r="D4991" s="51">
        <v>0</v>
      </c>
    </row>
    <row r="4992" spans="1:4">
      <c r="A4992" s="50">
        <v>45134</v>
      </c>
      <c r="B4992" s="49" t="s">
        <v>52</v>
      </c>
      <c r="C4992" s="51">
        <v>54046.9</v>
      </c>
      <c r="D4992" s="51">
        <v>0</v>
      </c>
    </row>
    <row r="4993" spans="1:4">
      <c r="A4993" s="50">
        <v>45134</v>
      </c>
      <c r="B4993" s="49" t="s">
        <v>53</v>
      </c>
      <c r="C4993" s="51">
        <v>53918.5</v>
      </c>
      <c r="D4993" s="51">
        <v>0</v>
      </c>
    </row>
    <row r="4994" spans="1:4">
      <c r="A4994" s="50">
        <v>45135</v>
      </c>
      <c r="B4994" s="49" t="s">
        <v>30</v>
      </c>
      <c r="C4994" s="51">
        <v>53860.3</v>
      </c>
      <c r="D4994" s="51">
        <v>0</v>
      </c>
    </row>
    <row r="4995" spans="1:4">
      <c r="A4995" s="50">
        <v>45135</v>
      </c>
      <c r="B4995" s="49" t="s">
        <v>31</v>
      </c>
      <c r="C4995" s="51">
        <v>53913.1</v>
      </c>
      <c r="D4995" s="51">
        <v>0</v>
      </c>
    </row>
    <row r="4996" spans="1:4">
      <c r="A4996" s="50">
        <v>45135</v>
      </c>
      <c r="B4996" s="49" t="s">
        <v>32</v>
      </c>
      <c r="C4996" s="51">
        <v>53482.9</v>
      </c>
      <c r="D4996" s="51">
        <v>0</v>
      </c>
    </row>
    <row r="4997" spans="1:4">
      <c r="A4997" s="50">
        <v>45135</v>
      </c>
      <c r="B4997" s="49" t="s">
        <v>33</v>
      </c>
      <c r="C4997" s="51">
        <v>53713.3</v>
      </c>
      <c r="D4997" s="51">
        <v>0</v>
      </c>
    </row>
    <row r="4998" spans="1:4">
      <c r="A4998" s="50">
        <v>45135</v>
      </c>
      <c r="B4998" s="49" t="s">
        <v>34</v>
      </c>
      <c r="C4998" s="51">
        <v>53823.4</v>
      </c>
      <c r="D4998" s="51">
        <v>0</v>
      </c>
    </row>
    <row r="4999" spans="1:4">
      <c r="A4999" s="50">
        <v>45135</v>
      </c>
      <c r="B4999" s="49" t="s">
        <v>35</v>
      </c>
      <c r="C4999" s="51">
        <v>53635.7</v>
      </c>
      <c r="D4999" s="51">
        <v>0</v>
      </c>
    </row>
    <row r="5000" spans="1:4">
      <c r="A5000" s="50">
        <v>45135</v>
      </c>
      <c r="B5000" s="49" t="s">
        <v>36</v>
      </c>
      <c r="C5000" s="51">
        <v>53872.800000000003</v>
      </c>
      <c r="D5000" s="51">
        <v>0</v>
      </c>
    </row>
    <row r="5001" spans="1:4">
      <c r="A5001" s="50">
        <v>45135</v>
      </c>
      <c r="B5001" s="49" t="s">
        <v>37</v>
      </c>
      <c r="C5001" s="51">
        <v>53807.8</v>
      </c>
      <c r="D5001" s="51">
        <v>0</v>
      </c>
    </row>
    <row r="5002" spans="1:4">
      <c r="A5002" s="50">
        <v>45135</v>
      </c>
      <c r="B5002" s="49" t="s">
        <v>38</v>
      </c>
      <c r="C5002" s="51">
        <v>53762.400000000001</v>
      </c>
      <c r="D5002" s="51">
        <v>0</v>
      </c>
    </row>
    <row r="5003" spans="1:4">
      <c r="A5003" s="50">
        <v>45135</v>
      </c>
      <c r="B5003" s="49" t="s">
        <v>39</v>
      </c>
      <c r="C5003" s="51">
        <v>53757.599999999999</v>
      </c>
      <c r="D5003" s="51">
        <v>0</v>
      </c>
    </row>
    <row r="5004" spans="1:4">
      <c r="A5004" s="50">
        <v>45135</v>
      </c>
      <c r="B5004" s="49" t="s">
        <v>40</v>
      </c>
      <c r="C5004" s="51">
        <v>54140.1</v>
      </c>
      <c r="D5004" s="51">
        <v>0</v>
      </c>
    </row>
    <row r="5005" spans="1:4">
      <c r="A5005" s="50">
        <v>45135</v>
      </c>
      <c r="B5005" s="49" t="s">
        <v>41</v>
      </c>
      <c r="C5005" s="51">
        <v>54082.3</v>
      </c>
      <c r="D5005" s="51">
        <v>0</v>
      </c>
    </row>
    <row r="5006" spans="1:4">
      <c r="A5006" s="50">
        <v>45135</v>
      </c>
      <c r="B5006" s="49" t="s">
        <v>42</v>
      </c>
      <c r="C5006" s="51">
        <v>54088.6</v>
      </c>
      <c r="D5006" s="51">
        <v>0</v>
      </c>
    </row>
    <row r="5007" spans="1:4">
      <c r="A5007" s="50">
        <v>45135</v>
      </c>
      <c r="B5007" s="49" t="s">
        <v>43</v>
      </c>
      <c r="C5007" s="51">
        <v>53651.3</v>
      </c>
      <c r="D5007" s="51">
        <v>0</v>
      </c>
    </row>
    <row r="5008" spans="1:4">
      <c r="A5008" s="50">
        <v>45135</v>
      </c>
      <c r="B5008" s="49" t="s">
        <v>44</v>
      </c>
      <c r="C5008" s="51">
        <v>53808</v>
      </c>
      <c r="D5008" s="51">
        <v>0</v>
      </c>
    </row>
    <row r="5009" spans="1:4">
      <c r="A5009" s="50">
        <v>45135</v>
      </c>
      <c r="B5009" s="49" t="s">
        <v>45</v>
      </c>
      <c r="C5009" s="51">
        <v>54103.6</v>
      </c>
      <c r="D5009" s="51">
        <v>0</v>
      </c>
    </row>
    <row r="5010" spans="1:4">
      <c r="A5010" s="50">
        <v>45135</v>
      </c>
      <c r="B5010" s="49" t="s">
        <v>46</v>
      </c>
      <c r="C5010" s="51">
        <v>54637.2</v>
      </c>
      <c r="D5010" s="51">
        <v>0</v>
      </c>
    </row>
    <row r="5011" spans="1:4">
      <c r="A5011" s="50">
        <v>45135</v>
      </c>
      <c r="B5011" s="49" t="s">
        <v>47</v>
      </c>
      <c r="C5011" s="51">
        <v>54622.3</v>
      </c>
      <c r="D5011" s="51">
        <v>0</v>
      </c>
    </row>
    <row r="5012" spans="1:4">
      <c r="A5012" s="50">
        <v>45135</v>
      </c>
      <c r="B5012" s="49" t="s">
        <v>48</v>
      </c>
      <c r="C5012" s="51">
        <v>54577.2</v>
      </c>
      <c r="D5012" s="51">
        <v>0</v>
      </c>
    </row>
    <row r="5013" spans="1:4">
      <c r="A5013" s="50">
        <v>45135</v>
      </c>
      <c r="B5013" s="49" t="s">
        <v>49</v>
      </c>
      <c r="C5013" s="51">
        <v>54535.4</v>
      </c>
      <c r="D5013" s="51">
        <v>0</v>
      </c>
    </row>
    <row r="5014" spans="1:4">
      <c r="A5014" s="50">
        <v>45135</v>
      </c>
      <c r="B5014" s="49" t="s">
        <v>50</v>
      </c>
      <c r="C5014" s="51">
        <v>54517.7</v>
      </c>
      <c r="D5014" s="51">
        <v>0</v>
      </c>
    </row>
    <row r="5015" spans="1:4">
      <c r="A5015" s="50">
        <v>45135</v>
      </c>
      <c r="B5015" s="49" t="s">
        <v>51</v>
      </c>
      <c r="C5015" s="51">
        <v>54594.9</v>
      </c>
      <c r="D5015" s="51">
        <v>0</v>
      </c>
    </row>
    <row r="5016" spans="1:4">
      <c r="A5016" s="50">
        <v>45135</v>
      </c>
      <c r="B5016" s="49" t="s">
        <v>52</v>
      </c>
      <c r="C5016" s="51">
        <v>54318.8</v>
      </c>
      <c r="D5016" s="51">
        <v>0</v>
      </c>
    </row>
    <row r="5017" spans="1:4">
      <c r="A5017" s="50">
        <v>45135</v>
      </c>
      <c r="B5017" s="49" t="s">
        <v>53</v>
      </c>
      <c r="C5017" s="51">
        <v>54049.1</v>
      </c>
      <c r="D5017" s="51">
        <v>0</v>
      </c>
    </row>
    <row r="5018" spans="1:4">
      <c r="A5018" s="50">
        <v>45136</v>
      </c>
      <c r="B5018" s="49" t="s">
        <v>30</v>
      </c>
      <c r="C5018" s="51">
        <v>54332.7</v>
      </c>
      <c r="D5018" s="51">
        <v>0</v>
      </c>
    </row>
    <row r="5019" spans="1:4">
      <c r="A5019" s="50">
        <v>45136</v>
      </c>
      <c r="B5019" s="49" t="s">
        <v>31</v>
      </c>
      <c r="C5019" s="51">
        <v>54202.8</v>
      </c>
      <c r="D5019" s="51">
        <v>0</v>
      </c>
    </row>
    <row r="5020" spans="1:4">
      <c r="A5020" s="50">
        <v>45136</v>
      </c>
      <c r="B5020" s="49" t="s">
        <v>32</v>
      </c>
      <c r="C5020" s="51">
        <v>54171.5</v>
      </c>
      <c r="D5020" s="51">
        <v>0</v>
      </c>
    </row>
    <row r="5021" spans="1:4">
      <c r="A5021" s="50">
        <v>45136</v>
      </c>
      <c r="B5021" s="49" t="s">
        <v>33</v>
      </c>
      <c r="C5021" s="51">
        <v>54197.2</v>
      </c>
      <c r="D5021" s="51">
        <v>0</v>
      </c>
    </row>
    <row r="5022" spans="1:4">
      <c r="A5022" s="50">
        <v>45136</v>
      </c>
      <c r="B5022" s="49" t="s">
        <v>34</v>
      </c>
      <c r="C5022" s="51">
        <v>54318.6</v>
      </c>
      <c r="D5022" s="51">
        <v>0</v>
      </c>
    </row>
    <row r="5023" spans="1:4">
      <c r="A5023" s="50">
        <v>45136</v>
      </c>
      <c r="B5023" s="49" t="s">
        <v>35</v>
      </c>
      <c r="C5023" s="51">
        <v>54204.800000000003</v>
      </c>
      <c r="D5023" s="51">
        <v>0</v>
      </c>
    </row>
    <row r="5024" spans="1:4">
      <c r="A5024" s="50">
        <v>45136</v>
      </c>
      <c r="B5024" s="49" t="s">
        <v>36</v>
      </c>
      <c r="C5024" s="51">
        <v>53637.1</v>
      </c>
      <c r="D5024" s="51">
        <v>0</v>
      </c>
    </row>
    <row r="5025" spans="1:4">
      <c r="A5025" s="50">
        <v>45136</v>
      </c>
      <c r="B5025" s="49" t="s">
        <v>37</v>
      </c>
      <c r="C5025" s="51">
        <v>53711.8</v>
      </c>
      <c r="D5025" s="51">
        <v>0</v>
      </c>
    </row>
    <row r="5026" spans="1:4">
      <c r="A5026" s="50">
        <v>45136</v>
      </c>
      <c r="B5026" s="49" t="s">
        <v>38</v>
      </c>
      <c r="C5026" s="51">
        <v>53574.1</v>
      </c>
      <c r="D5026" s="51">
        <v>0</v>
      </c>
    </row>
    <row r="5027" spans="1:4">
      <c r="A5027" s="50">
        <v>45136</v>
      </c>
      <c r="B5027" s="49" t="s">
        <v>39</v>
      </c>
      <c r="C5027" s="51">
        <v>53650.5</v>
      </c>
      <c r="D5027" s="51">
        <v>0</v>
      </c>
    </row>
    <row r="5028" spans="1:4">
      <c r="A5028" s="50">
        <v>45136</v>
      </c>
      <c r="B5028" s="49" t="s">
        <v>40</v>
      </c>
      <c r="C5028" s="51">
        <v>54282.2</v>
      </c>
      <c r="D5028" s="51">
        <v>0</v>
      </c>
    </row>
    <row r="5029" spans="1:4">
      <c r="A5029" s="50">
        <v>45136</v>
      </c>
      <c r="B5029" s="49" t="s">
        <v>41</v>
      </c>
      <c r="C5029" s="51">
        <v>54415.199999999997</v>
      </c>
      <c r="D5029" s="51">
        <v>0</v>
      </c>
    </row>
    <row r="5030" spans="1:4">
      <c r="A5030" s="50">
        <v>45136</v>
      </c>
      <c r="B5030" s="49" t="s">
        <v>42</v>
      </c>
      <c r="C5030" s="51">
        <v>54240</v>
      </c>
      <c r="D5030" s="51">
        <v>0</v>
      </c>
    </row>
    <row r="5031" spans="1:4">
      <c r="A5031" s="50">
        <v>45136</v>
      </c>
      <c r="B5031" s="49" t="s">
        <v>43</v>
      </c>
      <c r="C5031" s="51">
        <v>53048.6</v>
      </c>
      <c r="D5031" s="51">
        <v>0</v>
      </c>
    </row>
    <row r="5032" spans="1:4">
      <c r="A5032" s="50">
        <v>45136</v>
      </c>
      <c r="B5032" s="49" t="s">
        <v>44</v>
      </c>
      <c r="C5032" s="51">
        <v>54509.1</v>
      </c>
      <c r="D5032" s="51">
        <v>0</v>
      </c>
    </row>
    <row r="5033" spans="1:4">
      <c r="A5033" s="50">
        <v>45136</v>
      </c>
      <c r="B5033" s="49" t="s">
        <v>45</v>
      </c>
      <c r="C5033" s="51">
        <v>54254.1</v>
      </c>
      <c r="D5033" s="51">
        <v>0</v>
      </c>
    </row>
    <row r="5034" spans="1:4">
      <c r="A5034" s="50">
        <v>45136</v>
      </c>
      <c r="B5034" s="49" t="s">
        <v>46</v>
      </c>
      <c r="C5034" s="51">
        <v>54408.6</v>
      </c>
      <c r="D5034" s="51">
        <v>0</v>
      </c>
    </row>
    <row r="5035" spans="1:4">
      <c r="A5035" s="50">
        <v>45136</v>
      </c>
      <c r="B5035" s="49" t="s">
        <v>47</v>
      </c>
      <c r="C5035" s="51">
        <v>54336.6</v>
      </c>
      <c r="D5035" s="51">
        <v>0</v>
      </c>
    </row>
    <row r="5036" spans="1:4">
      <c r="A5036" s="50">
        <v>45136</v>
      </c>
      <c r="B5036" s="49" t="s">
        <v>48</v>
      </c>
      <c r="C5036" s="51">
        <v>54465.1</v>
      </c>
      <c r="D5036" s="51">
        <v>0</v>
      </c>
    </row>
    <row r="5037" spans="1:4">
      <c r="A5037" s="50">
        <v>45136</v>
      </c>
      <c r="B5037" s="49" t="s">
        <v>49</v>
      </c>
      <c r="C5037" s="51">
        <v>54329.599999999999</v>
      </c>
      <c r="D5037" s="51">
        <v>0</v>
      </c>
    </row>
    <row r="5038" spans="1:4">
      <c r="A5038" s="50">
        <v>45136</v>
      </c>
      <c r="B5038" s="49" t="s">
        <v>50</v>
      </c>
      <c r="C5038" s="51">
        <v>54400.800000000003</v>
      </c>
      <c r="D5038" s="51">
        <v>0</v>
      </c>
    </row>
    <row r="5039" spans="1:4">
      <c r="A5039" s="50">
        <v>45136</v>
      </c>
      <c r="B5039" s="49" t="s">
        <v>51</v>
      </c>
      <c r="C5039" s="51">
        <v>54111.6</v>
      </c>
      <c r="D5039" s="51">
        <v>0</v>
      </c>
    </row>
    <row r="5040" spans="1:4">
      <c r="A5040" s="50">
        <v>45136</v>
      </c>
      <c r="B5040" s="49" t="s">
        <v>52</v>
      </c>
      <c r="C5040" s="51">
        <v>54269.1</v>
      </c>
      <c r="D5040" s="51">
        <v>0</v>
      </c>
    </row>
    <row r="5041" spans="1:4">
      <c r="A5041" s="50">
        <v>45136</v>
      </c>
      <c r="B5041" s="49" t="s">
        <v>53</v>
      </c>
      <c r="C5041" s="51">
        <v>54232.9</v>
      </c>
      <c r="D5041" s="51">
        <v>0</v>
      </c>
    </row>
    <row r="5042" spans="1:4">
      <c r="A5042" s="50">
        <v>45137</v>
      </c>
      <c r="B5042" s="49" t="s">
        <v>30</v>
      </c>
      <c r="C5042" s="51">
        <v>53770.9</v>
      </c>
      <c r="D5042" s="51">
        <v>0</v>
      </c>
    </row>
    <row r="5043" spans="1:4">
      <c r="A5043" s="50">
        <v>45137</v>
      </c>
      <c r="B5043" s="49" t="s">
        <v>31</v>
      </c>
      <c r="C5043" s="51">
        <v>53939.9</v>
      </c>
      <c r="D5043" s="51">
        <v>0</v>
      </c>
    </row>
    <row r="5044" spans="1:4">
      <c r="A5044" s="50">
        <v>45137</v>
      </c>
      <c r="B5044" s="49" t="s">
        <v>32</v>
      </c>
      <c r="C5044" s="51">
        <v>54163.1</v>
      </c>
      <c r="D5044" s="51">
        <v>0</v>
      </c>
    </row>
    <row r="5045" spans="1:4">
      <c r="A5045" s="50">
        <v>45137</v>
      </c>
      <c r="B5045" s="49" t="s">
        <v>33</v>
      </c>
      <c r="C5045" s="51">
        <v>54157.1</v>
      </c>
      <c r="D5045" s="51">
        <v>0</v>
      </c>
    </row>
    <row r="5046" spans="1:4">
      <c r="A5046" s="50">
        <v>45137</v>
      </c>
      <c r="B5046" s="49" t="s">
        <v>34</v>
      </c>
      <c r="C5046" s="51">
        <v>54193</v>
      </c>
      <c r="D5046" s="51">
        <v>0</v>
      </c>
    </row>
    <row r="5047" spans="1:4">
      <c r="A5047" s="50">
        <v>45137</v>
      </c>
      <c r="B5047" s="49" t="s">
        <v>35</v>
      </c>
      <c r="C5047" s="51">
        <v>54082.5</v>
      </c>
      <c r="D5047" s="51">
        <v>0</v>
      </c>
    </row>
    <row r="5048" spans="1:4">
      <c r="A5048" s="50">
        <v>45137</v>
      </c>
      <c r="B5048" s="49" t="s">
        <v>36</v>
      </c>
      <c r="C5048" s="51">
        <v>54172.3</v>
      </c>
      <c r="D5048" s="51">
        <v>0</v>
      </c>
    </row>
    <row r="5049" spans="1:4">
      <c r="A5049" s="50">
        <v>45137</v>
      </c>
      <c r="B5049" s="49" t="s">
        <v>37</v>
      </c>
      <c r="C5049" s="51">
        <v>54401.7</v>
      </c>
      <c r="D5049" s="51">
        <v>0</v>
      </c>
    </row>
    <row r="5050" spans="1:4">
      <c r="A5050" s="50">
        <v>45137</v>
      </c>
      <c r="B5050" s="49" t="s">
        <v>38</v>
      </c>
      <c r="C5050" s="51">
        <v>54415.5</v>
      </c>
      <c r="D5050" s="51">
        <v>0</v>
      </c>
    </row>
    <row r="5051" spans="1:4">
      <c r="A5051" s="50">
        <v>45137</v>
      </c>
      <c r="B5051" s="49" t="s">
        <v>39</v>
      </c>
      <c r="C5051" s="51">
        <v>54344.800000000003</v>
      </c>
      <c r="D5051" s="51">
        <v>0</v>
      </c>
    </row>
    <row r="5052" spans="1:4">
      <c r="A5052" s="50">
        <v>45137</v>
      </c>
      <c r="B5052" s="49" t="s">
        <v>40</v>
      </c>
      <c r="C5052" s="51">
        <v>54538.2</v>
      </c>
      <c r="D5052" s="51">
        <v>0</v>
      </c>
    </row>
    <row r="5053" spans="1:4">
      <c r="A5053" s="50">
        <v>45137</v>
      </c>
      <c r="B5053" s="49" t="s">
        <v>41</v>
      </c>
      <c r="C5053" s="51">
        <v>54445.4</v>
      </c>
      <c r="D5053" s="51">
        <v>0</v>
      </c>
    </row>
    <row r="5054" spans="1:4">
      <c r="A5054" s="50">
        <v>45137</v>
      </c>
      <c r="B5054" s="49" t="s">
        <v>42</v>
      </c>
      <c r="C5054" s="51">
        <v>53678</v>
      </c>
      <c r="D5054" s="51">
        <v>0</v>
      </c>
    </row>
    <row r="5055" spans="1:4">
      <c r="A5055" s="50">
        <v>45137</v>
      </c>
      <c r="B5055" s="49" t="s">
        <v>43</v>
      </c>
      <c r="C5055" s="51">
        <v>53390.6</v>
      </c>
      <c r="D5055" s="51">
        <v>0</v>
      </c>
    </row>
    <row r="5056" spans="1:4">
      <c r="A5056" s="50">
        <v>45137</v>
      </c>
      <c r="B5056" s="49" t="s">
        <v>44</v>
      </c>
      <c r="C5056" s="51">
        <v>53426.6</v>
      </c>
      <c r="D5056" s="51">
        <v>0</v>
      </c>
    </row>
    <row r="5057" spans="1:4">
      <c r="A5057" s="50">
        <v>45137</v>
      </c>
      <c r="B5057" s="49" t="s">
        <v>45</v>
      </c>
      <c r="C5057" s="51">
        <v>52783.199999999997</v>
      </c>
      <c r="D5057" s="51">
        <v>0</v>
      </c>
    </row>
    <row r="5058" spans="1:4">
      <c r="A5058" s="50">
        <v>45137</v>
      </c>
      <c r="B5058" s="49" t="s">
        <v>46</v>
      </c>
      <c r="C5058" s="51">
        <v>54304.7</v>
      </c>
      <c r="D5058" s="51">
        <v>0</v>
      </c>
    </row>
    <row r="5059" spans="1:4">
      <c r="A5059" s="50">
        <v>45137</v>
      </c>
      <c r="B5059" s="49" t="s">
        <v>47</v>
      </c>
      <c r="C5059" s="51">
        <v>54364.3</v>
      </c>
      <c r="D5059" s="51">
        <v>0</v>
      </c>
    </row>
    <row r="5060" spans="1:4">
      <c r="A5060" s="50">
        <v>45137</v>
      </c>
      <c r="B5060" s="49" t="s">
        <v>48</v>
      </c>
      <c r="C5060" s="51">
        <v>54754.7</v>
      </c>
      <c r="D5060" s="51">
        <v>0</v>
      </c>
    </row>
    <row r="5061" spans="1:4">
      <c r="A5061" s="50">
        <v>45137</v>
      </c>
      <c r="B5061" s="49" t="s">
        <v>49</v>
      </c>
      <c r="C5061" s="51">
        <v>54386.6</v>
      </c>
      <c r="D5061" s="51">
        <v>0</v>
      </c>
    </row>
    <row r="5062" spans="1:4">
      <c r="A5062" s="50">
        <v>45137</v>
      </c>
      <c r="B5062" s="49" t="s">
        <v>50</v>
      </c>
      <c r="C5062" s="51">
        <v>54332.4</v>
      </c>
      <c r="D5062" s="51">
        <v>0</v>
      </c>
    </row>
    <row r="5063" spans="1:4">
      <c r="A5063" s="50">
        <v>45137</v>
      </c>
      <c r="B5063" s="49" t="s">
        <v>51</v>
      </c>
      <c r="C5063" s="51">
        <v>54385.4</v>
      </c>
      <c r="D5063" s="51">
        <v>0</v>
      </c>
    </row>
    <row r="5064" spans="1:4">
      <c r="A5064" s="50">
        <v>45137</v>
      </c>
      <c r="B5064" s="49" t="s">
        <v>52</v>
      </c>
      <c r="C5064" s="51">
        <v>54353.1</v>
      </c>
      <c r="D5064" s="51">
        <v>0</v>
      </c>
    </row>
    <row r="5065" spans="1:4">
      <c r="A5065" s="50">
        <v>45137</v>
      </c>
      <c r="B5065" s="49" t="s">
        <v>53</v>
      </c>
      <c r="C5065" s="51">
        <v>54266.3</v>
      </c>
      <c r="D5065" s="51">
        <v>0</v>
      </c>
    </row>
    <row r="5066" spans="1:4">
      <c r="A5066" s="50">
        <v>45138</v>
      </c>
      <c r="B5066" s="49" t="s">
        <v>30</v>
      </c>
      <c r="C5066" s="51">
        <v>44605.2</v>
      </c>
      <c r="D5066" s="51">
        <v>0</v>
      </c>
    </row>
    <row r="5067" spans="1:4">
      <c r="A5067" s="50">
        <v>45138</v>
      </c>
      <c r="B5067" s="49" t="s">
        <v>31</v>
      </c>
      <c r="C5067" s="51">
        <v>44341.7</v>
      </c>
      <c r="D5067" s="51">
        <v>0</v>
      </c>
    </row>
    <row r="5068" spans="1:4">
      <c r="A5068" s="50">
        <v>45138</v>
      </c>
      <c r="B5068" s="49" t="s">
        <v>32</v>
      </c>
      <c r="C5068" s="51">
        <v>44222.3</v>
      </c>
      <c r="D5068" s="51">
        <v>0</v>
      </c>
    </row>
    <row r="5069" spans="1:4">
      <c r="A5069" s="50">
        <v>45138</v>
      </c>
      <c r="B5069" s="49" t="s">
        <v>33</v>
      </c>
      <c r="C5069" s="51">
        <v>44212.9</v>
      </c>
      <c r="D5069" s="51">
        <v>0</v>
      </c>
    </row>
    <row r="5070" spans="1:4">
      <c r="A5070" s="50">
        <v>45138</v>
      </c>
      <c r="B5070" s="49" t="s">
        <v>34</v>
      </c>
      <c r="C5070" s="51">
        <v>44335.7</v>
      </c>
      <c r="D5070" s="51">
        <v>0</v>
      </c>
    </row>
    <row r="5071" spans="1:4">
      <c r="A5071" s="50">
        <v>45138</v>
      </c>
      <c r="B5071" s="49" t="s">
        <v>35</v>
      </c>
      <c r="C5071" s="51">
        <v>44399.3</v>
      </c>
      <c r="D5071" s="51">
        <v>0</v>
      </c>
    </row>
    <row r="5072" spans="1:4">
      <c r="A5072" s="50">
        <v>45138</v>
      </c>
      <c r="B5072" s="49" t="s">
        <v>36</v>
      </c>
      <c r="C5072" s="51">
        <v>53724.1</v>
      </c>
      <c r="D5072" s="51">
        <v>0</v>
      </c>
    </row>
    <row r="5073" spans="1:4">
      <c r="A5073" s="50">
        <v>45138</v>
      </c>
      <c r="B5073" s="49" t="s">
        <v>37</v>
      </c>
      <c r="C5073" s="51">
        <v>54648</v>
      </c>
      <c r="D5073" s="51">
        <v>0</v>
      </c>
    </row>
    <row r="5074" spans="1:4">
      <c r="A5074" s="50">
        <v>45138</v>
      </c>
      <c r="B5074" s="49" t="s">
        <v>38</v>
      </c>
      <c r="C5074" s="51">
        <v>55065.9</v>
      </c>
      <c r="D5074" s="51">
        <v>0</v>
      </c>
    </row>
    <row r="5075" spans="1:4">
      <c r="A5075" s="50">
        <v>45138</v>
      </c>
      <c r="B5075" s="49" t="s">
        <v>39</v>
      </c>
      <c r="C5075" s="51">
        <v>54735</v>
      </c>
      <c r="D5075" s="51">
        <v>0</v>
      </c>
    </row>
    <row r="5076" spans="1:4">
      <c r="A5076" s="50">
        <v>45138</v>
      </c>
      <c r="B5076" s="49" t="s">
        <v>40</v>
      </c>
      <c r="C5076" s="51">
        <v>54826.2</v>
      </c>
      <c r="D5076" s="51">
        <v>0</v>
      </c>
    </row>
    <row r="5077" spans="1:4">
      <c r="A5077" s="50">
        <v>45138</v>
      </c>
      <c r="B5077" s="49" t="s">
        <v>41</v>
      </c>
      <c r="C5077" s="51">
        <v>54613.5</v>
      </c>
      <c r="D5077" s="51">
        <v>0</v>
      </c>
    </row>
    <row r="5078" spans="1:4">
      <c r="A5078" s="50">
        <v>45138</v>
      </c>
      <c r="B5078" s="49" t="s">
        <v>42</v>
      </c>
      <c r="C5078" s="51">
        <v>54724.7</v>
      </c>
      <c r="D5078" s="51">
        <v>0</v>
      </c>
    </row>
    <row r="5079" spans="1:4">
      <c r="A5079" s="50">
        <v>45138</v>
      </c>
      <c r="B5079" s="49" t="s">
        <v>43</v>
      </c>
      <c r="C5079" s="51">
        <v>54453.5</v>
      </c>
      <c r="D5079" s="51">
        <v>0</v>
      </c>
    </row>
    <row r="5080" spans="1:4">
      <c r="A5080" s="50">
        <v>45138</v>
      </c>
      <c r="B5080" s="49" t="s">
        <v>44</v>
      </c>
      <c r="C5080" s="51">
        <v>54453.4</v>
      </c>
      <c r="D5080" s="51">
        <v>0</v>
      </c>
    </row>
    <row r="5081" spans="1:4">
      <c r="A5081" s="50">
        <v>45138</v>
      </c>
      <c r="B5081" s="49" t="s">
        <v>45</v>
      </c>
      <c r="C5081" s="51">
        <v>53960.3</v>
      </c>
      <c r="D5081" s="51">
        <v>0</v>
      </c>
    </row>
    <row r="5082" spans="1:4">
      <c r="A5082" s="50">
        <v>45138</v>
      </c>
      <c r="B5082" s="49" t="s">
        <v>46</v>
      </c>
      <c r="C5082" s="51">
        <v>54889.8</v>
      </c>
      <c r="D5082" s="51">
        <v>0</v>
      </c>
    </row>
    <row r="5083" spans="1:4">
      <c r="A5083" s="50">
        <v>45138</v>
      </c>
      <c r="B5083" s="49" t="s">
        <v>47</v>
      </c>
      <c r="C5083" s="51">
        <v>54923.7</v>
      </c>
      <c r="D5083" s="51">
        <v>0</v>
      </c>
    </row>
    <row r="5084" spans="1:4">
      <c r="A5084" s="50">
        <v>45138</v>
      </c>
      <c r="B5084" s="49" t="s">
        <v>48</v>
      </c>
      <c r="C5084" s="51">
        <v>55219.1</v>
      </c>
      <c r="D5084" s="51">
        <v>0</v>
      </c>
    </row>
    <row r="5085" spans="1:4">
      <c r="A5085" s="50">
        <v>45138</v>
      </c>
      <c r="B5085" s="49" t="s">
        <v>49</v>
      </c>
      <c r="C5085" s="51">
        <v>54281</v>
      </c>
      <c r="D5085" s="51">
        <v>0</v>
      </c>
    </row>
    <row r="5086" spans="1:4">
      <c r="A5086" s="50">
        <v>45138</v>
      </c>
      <c r="B5086" s="49" t="s">
        <v>50</v>
      </c>
      <c r="C5086" s="51">
        <v>54221.1</v>
      </c>
      <c r="D5086" s="51">
        <v>0</v>
      </c>
    </row>
    <row r="5087" spans="1:4">
      <c r="A5087" s="50">
        <v>45138</v>
      </c>
      <c r="B5087" s="49" t="s">
        <v>51</v>
      </c>
      <c r="C5087" s="51">
        <v>54212.6</v>
      </c>
      <c r="D5087" s="51">
        <v>0</v>
      </c>
    </row>
    <row r="5088" spans="1:4">
      <c r="A5088" s="50">
        <v>45138</v>
      </c>
      <c r="B5088" s="49" t="s">
        <v>52</v>
      </c>
      <c r="C5088" s="51">
        <v>54236.2</v>
      </c>
      <c r="D5088" s="51">
        <v>0</v>
      </c>
    </row>
    <row r="5089" spans="1:4">
      <c r="A5089" s="50">
        <v>45138</v>
      </c>
      <c r="B5089" s="49" t="s">
        <v>53</v>
      </c>
      <c r="C5089" s="51">
        <v>54584.1</v>
      </c>
      <c r="D5089" s="51">
        <v>0</v>
      </c>
    </row>
    <row r="5090" spans="1:4">
      <c r="A5090" s="50">
        <v>45139</v>
      </c>
      <c r="B5090" s="49" t="s">
        <v>30</v>
      </c>
      <c r="C5090" s="51">
        <v>54735.7</v>
      </c>
      <c r="D5090" s="51">
        <v>0</v>
      </c>
    </row>
    <row r="5091" spans="1:4">
      <c r="A5091" s="50">
        <v>45139</v>
      </c>
      <c r="B5091" s="49" t="s">
        <v>31</v>
      </c>
      <c r="C5091" s="51">
        <v>54653.8</v>
      </c>
      <c r="D5091" s="51">
        <v>0</v>
      </c>
    </row>
    <row r="5092" spans="1:4">
      <c r="A5092" s="50">
        <v>45139</v>
      </c>
      <c r="B5092" s="49" t="s">
        <v>32</v>
      </c>
      <c r="C5092" s="51">
        <v>54657.8</v>
      </c>
      <c r="D5092" s="51">
        <v>0</v>
      </c>
    </row>
    <row r="5093" spans="1:4">
      <c r="A5093" s="50">
        <v>45139</v>
      </c>
      <c r="B5093" s="49" t="s">
        <v>33</v>
      </c>
      <c r="C5093" s="51">
        <v>54628.9</v>
      </c>
      <c r="D5093" s="51">
        <v>0</v>
      </c>
    </row>
    <row r="5094" spans="1:4">
      <c r="A5094" s="50">
        <v>45139</v>
      </c>
      <c r="B5094" s="49" t="s">
        <v>34</v>
      </c>
      <c r="C5094" s="51">
        <v>55287.3</v>
      </c>
      <c r="D5094" s="51">
        <v>0</v>
      </c>
    </row>
    <row r="5095" spans="1:4">
      <c r="A5095" s="50">
        <v>45139</v>
      </c>
      <c r="B5095" s="49" t="s">
        <v>35</v>
      </c>
      <c r="C5095" s="51">
        <v>55111.3</v>
      </c>
      <c r="D5095" s="51">
        <v>0</v>
      </c>
    </row>
    <row r="5096" spans="1:4">
      <c r="A5096" s="50">
        <v>45139</v>
      </c>
      <c r="B5096" s="49" t="s">
        <v>36</v>
      </c>
      <c r="C5096" s="51">
        <v>55119.4</v>
      </c>
      <c r="D5096" s="51">
        <v>0</v>
      </c>
    </row>
    <row r="5097" spans="1:4">
      <c r="A5097" s="50">
        <v>45139</v>
      </c>
      <c r="B5097" s="49" t="s">
        <v>37</v>
      </c>
      <c r="C5097" s="51">
        <v>55385.7</v>
      </c>
      <c r="D5097" s="51">
        <v>0</v>
      </c>
    </row>
    <row r="5098" spans="1:4">
      <c r="A5098" s="50">
        <v>45139</v>
      </c>
      <c r="B5098" s="49" t="s">
        <v>38</v>
      </c>
      <c r="C5098" s="51">
        <v>55412.1</v>
      </c>
      <c r="D5098" s="51">
        <v>0</v>
      </c>
    </row>
    <row r="5099" spans="1:4">
      <c r="A5099" s="50">
        <v>45139</v>
      </c>
      <c r="B5099" s="49" t="s">
        <v>39</v>
      </c>
      <c r="C5099" s="51">
        <v>54166</v>
      </c>
      <c r="D5099" s="51">
        <v>0</v>
      </c>
    </row>
    <row r="5100" spans="1:4">
      <c r="A5100" s="50">
        <v>45139</v>
      </c>
      <c r="B5100" s="49" t="s">
        <v>40</v>
      </c>
      <c r="C5100" s="51">
        <v>54176.800000000003</v>
      </c>
      <c r="D5100" s="51">
        <v>0</v>
      </c>
    </row>
    <row r="5101" spans="1:4">
      <c r="A5101" s="50">
        <v>45139</v>
      </c>
      <c r="B5101" s="49" t="s">
        <v>41</v>
      </c>
      <c r="C5101" s="51">
        <v>54087.7</v>
      </c>
      <c r="D5101" s="51">
        <v>0</v>
      </c>
    </row>
    <row r="5102" spans="1:4">
      <c r="A5102" s="50">
        <v>45139</v>
      </c>
      <c r="B5102" s="49" t="s">
        <v>42</v>
      </c>
      <c r="C5102" s="51">
        <v>54507.4</v>
      </c>
      <c r="D5102" s="51">
        <v>0</v>
      </c>
    </row>
    <row r="5103" spans="1:4">
      <c r="A5103" s="50">
        <v>45139</v>
      </c>
      <c r="B5103" s="49" t="s">
        <v>43</v>
      </c>
      <c r="C5103" s="51">
        <v>54449.599999999999</v>
      </c>
      <c r="D5103" s="51">
        <v>0</v>
      </c>
    </row>
    <row r="5104" spans="1:4">
      <c r="A5104" s="50">
        <v>45139</v>
      </c>
      <c r="B5104" s="49" t="s">
        <v>44</v>
      </c>
      <c r="C5104" s="51">
        <v>53986.5</v>
      </c>
      <c r="D5104" s="51">
        <v>0</v>
      </c>
    </row>
    <row r="5105" spans="1:4">
      <c r="A5105" s="50">
        <v>45139</v>
      </c>
      <c r="B5105" s="49" t="s">
        <v>45</v>
      </c>
      <c r="C5105" s="51">
        <v>53671.199999999997</v>
      </c>
      <c r="D5105" s="51">
        <v>0</v>
      </c>
    </row>
    <row r="5106" spans="1:4">
      <c r="A5106" s="50">
        <v>45139</v>
      </c>
      <c r="B5106" s="49" t="s">
        <v>46</v>
      </c>
      <c r="C5106" s="51">
        <v>53719.199999999997</v>
      </c>
      <c r="D5106" s="51">
        <v>0</v>
      </c>
    </row>
    <row r="5107" spans="1:4">
      <c r="A5107" s="50">
        <v>45139</v>
      </c>
      <c r="B5107" s="49" t="s">
        <v>47</v>
      </c>
      <c r="C5107" s="51">
        <v>52975.7</v>
      </c>
      <c r="D5107" s="51">
        <v>0</v>
      </c>
    </row>
    <row r="5108" spans="1:4">
      <c r="A5108" s="50">
        <v>45139</v>
      </c>
      <c r="B5108" s="49" t="s">
        <v>48</v>
      </c>
      <c r="C5108" s="51">
        <v>54459.6</v>
      </c>
      <c r="D5108" s="51">
        <v>0</v>
      </c>
    </row>
    <row r="5109" spans="1:4">
      <c r="A5109" s="50">
        <v>45139</v>
      </c>
      <c r="B5109" s="49" t="s">
        <v>49</v>
      </c>
      <c r="C5109" s="51">
        <v>54404.1</v>
      </c>
      <c r="D5109" s="51">
        <v>0</v>
      </c>
    </row>
    <row r="5110" spans="1:4">
      <c r="A5110" s="50">
        <v>45139</v>
      </c>
      <c r="B5110" s="49" t="s">
        <v>50</v>
      </c>
      <c r="C5110" s="51">
        <v>54308.5</v>
      </c>
      <c r="D5110" s="51">
        <v>0</v>
      </c>
    </row>
    <row r="5111" spans="1:4">
      <c r="A5111" s="50">
        <v>45139</v>
      </c>
      <c r="B5111" s="49" t="s">
        <v>51</v>
      </c>
      <c r="C5111" s="51">
        <v>66399.7</v>
      </c>
      <c r="D5111" s="51">
        <v>0</v>
      </c>
    </row>
    <row r="5112" spans="1:4">
      <c r="A5112" s="50">
        <v>45139</v>
      </c>
      <c r="B5112" s="49" t="s">
        <v>52</v>
      </c>
      <c r="C5112" s="51">
        <v>69500.2</v>
      </c>
      <c r="D5112" s="51">
        <v>0</v>
      </c>
    </row>
    <row r="5113" spans="1:4">
      <c r="A5113" s="50">
        <v>45139</v>
      </c>
      <c r="B5113" s="49" t="s">
        <v>53</v>
      </c>
      <c r="C5113" s="51">
        <v>60005.5</v>
      </c>
      <c r="D5113" s="51">
        <v>0</v>
      </c>
    </row>
    <row r="5114" spans="1:4">
      <c r="A5114" s="50">
        <v>45140</v>
      </c>
      <c r="B5114" s="49" t="s">
        <v>30</v>
      </c>
      <c r="C5114" s="51">
        <v>54179.3</v>
      </c>
      <c r="D5114" s="51">
        <v>0</v>
      </c>
    </row>
    <row r="5115" spans="1:4">
      <c r="A5115" s="50">
        <v>45140</v>
      </c>
      <c r="B5115" s="49" t="s">
        <v>31</v>
      </c>
      <c r="C5115" s="51">
        <v>54834.1</v>
      </c>
      <c r="D5115" s="51">
        <v>0</v>
      </c>
    </row>
    <row r="5116" spans="1:4">
      <c r="A5116" s="50">
        <v>45140</v>
      </c>
      <c r="B5116" s="49" t="s">
        <v>32</v>
      </c>
      <c r="C5116" s="51">
        <v>54628.2</v>
      </c>
      <c r="D5116" s="51">
        <v>0</v>
      </c>
    </row>
    <row r="5117" spans="1:4">
      <c r="A5117" s="50">
        <v>45140</v>
      </c>
      <c r="B5117" s="49" t="s">
        <v>33</v>
      </c>
      <c r="C5117" s="51">
        <v>54513.599999999999</v>
      </c>
      <c r="D5117" s="51">
        <v>0</v>
      </c>
    </row>
    <row r="5118" spans="1:4">
      <c r="A5118" s="50">
        <v>45140</v>
      </c>
      <c r="B5118" s="49" t="s">
        <v>34</v>
      </c>
      <c r="C5118" s="51">
        <v>54537.1</v>
      </c>
      <c r="D5118" s="51">
        <v>0</v>
      </c>
    </row>
    <row r="5119" spans="1:4">
      <c r="A5119" s="50">
        <v>45140</v>
      </c>
      <c r="B5119" s="49" t="s">
        <v>35</v>
      </c>
      <c r="C5119" s="51">
        <v>54641.3</v>
      </c>
      <c r="D5119" s="51">
        <v>0</v>
      </c>
    </row>
    <row r="5120" spans="1:4">
      <c r="A5120" s="50">
        <v>45140</v>
      </c>
      <c r="B5120" s="49" t="s">
        <v>36</v>
      </c>
      <c r="C5120" s="51">
        <v>54440</v>
      </c>
      <c r="D5120" s="51">
        <v>0</v>
      </c>
    </row>
    <row r="5121" spans="1:4">
      <c r="A5121" s="50">
        <v>45140</v>
      </c>
      <c r="B5121" s="49" t="s">
        <v>37</v>
      </c>
      <c r="C5121" s="51">
        <v>54794.400000000001</v>
      </c>
      <c r="D5121" s="51">
        <v>0</v>
      </c>
    </row>
    <row r="5122" spans="1:4">
      <c r="A5122" s="50">
        <v>45140</v>
      </c>
      <c r="B5122" s="49" t="s">
        <v>38</v>
      </c>
      <c r="C5122" s="51">
        <v>54762.400000000001</v>
      </c>
      <c r="D5122" s="51">
        <v>0</v>
      </c>
    </row>
    <row r="5123" spans="1:4">
      <c r="A5123" s="50">
        <v>45140</v>
      </c>
      <c r="B5123" s="49" t="s">
        <v>39</v>
      </c>
      <c r="C5123" s="51">
        <v>54826.400000000001</v>
      </c>
      <c r="D5123" s="51">
        <v>0</v>
      </c>
    </row>
    <row r="5124" spans="1:4">
      <c r="A5124" s="50">
        <v>45140</v>
      </c>
      <c r="B5124" s="49" t="s">
        <v>40</v>
      </c>
      <c r="C5124" s="51">
        <v>54777.2</v>
      </c>
      <c r="D5124" s="51">
        <v>0</v>
      </c>
    </row>
    <row r="5125" spans="1:4">
      <c r="A5125" s="50">
        <v>45140</v>
      </c>
      <c r="B5125" s="49" t="s">
        <v>41</v>
      </c>
      <c r="C5125" s="51">
        <v>54855.5</v>
      </c>
      <c r="D5125" s="51">
        <v>0</v>
      </c>
    </row>
    <row r="5126" spans="1:4">
      <c r="A5126" s="50">
        <v>45140</v>
      </c>
      <c r="B5126" s="49" t="s">
        <v>42</v>
      </c>
      <c r="C5126" s="51">
        <v>54827.6</v>
      </c>
      <c r="D5126" s="51">
        <v>0</v>
      </c>
    </row>
    <row r="5127" spans="1:4">
      <c r="A5127" s="50">
        <v>45140</v>
      </c>
      <c r="B5127" s="49" t="s">
        <v>43</v>
      </c>
      <c r="C5127" s="51">
        <v>54898.9</v>
      </c>
      <c r="D5127" s="51">
        <v>0</v>
      </c>
    </row>
    <row r="5128" spans="1:4">
      <c r="A5128" s="50">
        <v>45140</v>
      </c>
      <c r="B5128" s="49" t="s">
        <v>44</v>
      </c>
      <c r="C5128" s="51">
        <v>57508.3</v>
      </c>
      <c r="D5128" s="51">
        <v>0</v>
      </c>
    </row>
    <row r="5129" spans="1:4">
      <c r="A5129" s="50">
        <v>45140</v>
      </c>
      <c r="B5129" s="49" t="s">
        <v>45</v>
      </c>
      <c r="C5129" s="51">
        <v>65651.199999999997</v>
      </c>
      <c r="D5129" s="51">
        <v>0</v>
      </c>
    </row>
    <row r="5130" spans="1:4">
      <c r="A5130" s="50">
        <v>45140</v>
      </c>
      <c r="B5130" s="49" t="s">
        <v>46</v>
      </c>
      <c r="C5130" s="51">
        <v>62061.5</v>
      </c>
      <c r="D5130" s="51">
        <v>0</v>
      </c>
    </row>
    <row r="5131" spans="1:4">
      <c r="A5131" s="50">
        <v>45140</v>
      </c>
      <c r="B5131" s="49" t="s">
        <v>47</v>
      </c>
      <c r="C5131" s="51">
        <v>53087.6</v>
      </c>
      <c r="D5131" s="51">
        <v>0</v>
      </c>
    </row>
    <row r="5132" spans="1:4">
      <c r="A5132" s="50">
        <v>45140</v>
      </c>
      <c r="B5132" s="49" t="s">
        <v>48</v>
      </c>
      <c r="C5132" s="51">
        <v>53412</v>
      </c>
      <c r="D5132" s="51">
        <v>0</v>
      </c>
    </row>
    <row r="5133" spans="1:4">
      <c r="A5133" s="50">
        <v>45140</v>
      </c>
      <c r="B5133" s="49" t="s">
        <v>49</v>
      </c>
      <c r="C5133" s="51">
        <v>59419.4</v>
      </c>
      <c r="D5133" s="51">
        <v>0</v>
      </c>
    </row>
    <row r="5134" spans="1:4">
      <c r="A5134" s="50">
        <v>45140</v>
      </c>
      <c r="B5134" s="49" t="s">
        <v>50</v>
      </c>
      <c r="C5134" s="51">
        <v>56840.2</v>
      </c>
      <c r="D5134" s="51">
        <v>0</v>
      </c>
    </row>
    <row r="5135" spans="1:4">
      <c r="A5135" s="50">
        <v>45140</v>
      </c>
      <c r="B5135" s="49" t="s">
        <v>51</v>
      </c>
      <c r="C5135" s="51">
        <v>60144.6</v>
      </c>
      <c r="D5135" s="51">
        <v>0</v>
      </c>
    </row>
    <row r="5136" spans="1:4">
      <c r="A5136" s="50">
        <v>45140</v>
      </c>
      <c r="B5136" s="49" t="s">
        <v>52</v>
      </c>
      <c r="C5136" s="51">
        <v>53573.599999999999</v>
      </c>
      <c r="D5136" s="51">
        <v>0</v>
      </c>
    </row>
    <row r="5137" spans="1:4">
      <c r="A5137" s="50">
        <v>45140</v>
      </c>
      <c r="B5137" s="49" t="s">
        <v>53</v>
      </c>
      <c r="C5137" s="51">
        <v>53770.7</v>
      </c>
      <c r="D5137" s="51">
        <v>0</v>
      </c>
    </row>
    <row r="5138" spans="1:4">
      <c r="A5138" s="50">
        <v>45141</v>
      </c>
      <c r="B5138" s="49" t="s">
        <v>30</v>
      </c>
      <c r="C5138" s="51">
        <v>54367.6</v>
      </c>
      <c r="D5138" s="51">
        <v>0</v>
      </c>
    </row>
    <row r="5139" spans="1:4">
      <c r="A5139" s="50">
        <v>45141</v>
      </c>
      <c r="B5139" s="49" t="s">
        <v>31</v>
      </c>
      <c r="C5139" s="51">
        <v>54158.7</v>
      </c>
      <c r="D5139" s="51">
        <v>0</v>
      </c>
    </row>
    <row r="5140" spans="1:4">
      <c r="A5140" s="50">
        <v>45141</v>
      </c>
      <c r="B5140" s="49" t="s">
        <v>32</v>
      </c>
      <c r="C5140" s="51">
        <v>54097.4</v>
      </c>
      <c r="D5140" s="51">
        <v>0</v>
      </c>
    </row>
    <row r="5141" spans="1:4">
      <c r="A5141" s="50">
        <v>45141</v>
      </c>
      <c r="B5141" s="49" t="s">
        <v>33</v>
      </c>
      <c r="C5141" s="51">
        <v>54249.7</v>
      </c>
      <c r="D5141" s="51">
        <v>0</v>
      </c>
    </row>
    <row r="5142" spans="1:4">
      <c r="A5142" s="50">
        <v>45141</v>
      </c>
      <c r="B5142" s="49" t="s">
        <v>34</v>
      </c>
      <c r="C5142" s="51">
        <v>54192.7</v>
      </c>
      <c r="D5142" s="51">
        <v>0</v>
      </c>
    </row>
    <row r="5143" spans="1:4">
      <c r="A5143" s="50">
        <v>45141</v>
      </c>
      <c r="B5143" s="49" t="s">
        <v>35</v>
      </c>
      <c r="C5143" s="51">
        <v>54203.3</v>
      </c>
      <c r="D5143" s="51">
        <v>0</v>
      </c>
    </row>
    <row r="5144" spans="1:4">
      <c r="A5144" s="50">
        <v>45141</v>
      </c>
      <c r="B5144" s="49" t="s">
        <v>36</v>
      </c>
      <c r="C5144" s="51">
        <v>54131</v>
      </c>
      <c r="D5144" s="51">
        <v>0</v>
      </c>
    </row>
    <row r="5145" spans="1:4">
      <c r="A5145" s="50">
        <v>45141</v>
      </c>
      <c r="B5145" s="49" t="s">
        <v>37</v>
      </c>
      <c r="C5145" s="51">
        <v>54323.5</v>
      </c>
      <c r="D5145" s="51">
        <v>0</v>
      </c>
    </row>
    <row r="5146" spans="1:4">
      <c r="A5146" s="50">
        <v>45141</v>
      </c>
      <c r="B5146" s="49" t="s">
        <v>38</v>
      </c>
      <c r="C5146" s="51">
        <v>54330.2</v>
      </c>
      <c r="D5146" s="51">
        <v>0</v>
      </c>
    </row>
    <row r="5147" spans="1:4">
      <c r="A5147" s="50">
        <v>45141</v>
      </c>
      <c r="B5147" s="49" t="s">
        <v>39</v>
      </c>
      <c r="C5147" s="51">
        <v>54257</v>
      </c>
      <c r="D5147" s="51">
        <v>0</v>
      </c>
    </row>
    <row r="5148" spans="1:4">
      <c r="A5148" s="50">
        <v>45141</v>
      </c>
      <c r="B5148" s="49" t="s">
        <v>40</v>
      </c>
      <c r="C5148" s="51">
        <v>54516</v>
      </c>
      <c r="D5148" s="51">
        <v>0</v>
      </c>
    </row>
    <row r="5149" spans="1:4">
      <c r="A5149" s="50">
        <v>45141</v>
      </c>
      <c r="B5149" s="49" t="s">
        <v>41</v>
      </c>
      <c r="C5149" s="51">
        <v>55045.2</v>
      </c>
      <c r="D5149" s="51">
        <v>0</v>
      </c>
    </row>
    <row r="5150" spans="1:4">
      <c r="A5150" s="50">
        <v>45141</v>
      </c>
      <c r="B5150" s="49" t="s">
        <v>42</v>
      </c>
      <c r="C5150" s="51">
        <v>55161.599999999999</v>
      </c>
      <c r="D5150" s="51">
        <v>0</v>
      </c>
    </row>
    <row r="5151" spans="1:4">
      <c r="A5151" s="50">
        <v>45141</v>
      </c>
      <c r="B5151" s="49" t="s">
        <v>43</v>
      </c>
      <c r="C5151" s="51">
        <v>55051.199999999997</v>
      </c>
      <c r="D5151" s="51">
        <v>0</v>
      </c>
    </row>
    <row r="5152" spans="1:4">
      <c r="A5152" s="50">
        <v>45141</v>
      </c>
      <c r="B5152" s="49" t="s">
        <v>44</v>
      </c>
      <c r="C5152" s="51">
        <v>62830.9</v>
      </c>
      <c r="D5152" s="51">
        <v>0</v>
      </c>
    </row>
    <row r="5153" spans="1:4">
      <c r="A5153" s="50">
        <v>45141</v>
      </c>
      <c r="B5153" s="49" t="s">
        <v>45</v>
      </c>
      <c r="C5153" s="51">
        <v>68370.3</v>
      </c>
      <c r="D5153" s="51">
        <v>0</v>
      </c>
    </row>
    <row r="5154" spans="1:4">
      <c r="A5154" s="50">
        <v>45141</v>
      </c>
      <c r="B5154" s="49" t="s">
        <v>46</v>
      </c>
      <c r="C5154" s="51">
        <v>68297</v>
      </c>
      <c r="D5154" s="51">
        <v>0</v>
      </c>
    </row>
    <row r="5155" spans="1:4">
      <c r="A5155" s="50">
        <v>45141</v>
      </c>
      <c r="B5155" s="49" t="s">
        <v>47</v>
      </c>
      <c r="C5155" s="51">
        <v>67107.100000000006</v>
      </c>
      <c r="D5155" s="51">
        <v>0</v>
      </c>
    </row>
    <row r="5156" spans="1:4">
      <c r="A5156" s="50">
        <v>45141</v>
      </c>
      <c r="B5156" s="49" t="s">
        <v>48</v>
      </c>
      <c r="C5156" s="51">
        <v>54929.1</v>
      </c>
      <c r="D5156" s="51">
        <v>0</v>
      </c>
    </row>
    <row r="5157" spans="1:4">
      <c r="A5157" s="50">
        <v>45141</v>
      </c>
      <c r="B5157" s="49" t="s">
        <v>49</v>
      </c>
      <c r="C5157" s="51">
        <v>65946.2</v>
      </c>
      <c r="D5157" s="51">
        <v>0</v>
      </c>
    </row>
    <row r="5158" spans="1:4">
      <c r="A5158" s="50">
        <v>45141</v>
      </c>
      <c r="B5158" s="49" t="s">
        <v>50</v>
      </c>
      <c r="C5158" s="51">
        <v>67286.7</v>
      </c>
      <c r="D5158" s="51">
        <v>0</v>
      </c>
    </row>
    <row r="5159" spans="1:4">
      <c r="A5159" s="50">
        <v>45141</v>
      </c>
      <c r="B5159" s="49" t="s">
        <v>51</v>
      </c>
      <c r="C5159" s="51">
        <v>67126.100000000006</v>
      </c>
      <c r="D5159" s="51">
        <v>0</v>
      </c>
    </row>
    <row r="5160" spans="1:4">
      <c r="A5160" s="50">
        <v>45141</v>
      </c>
      <c r="B5160" s="49" t="s">
        <v>52</v>
      </c>
      <c r="C5160" s="51">
        <v>55146.1</v>
      </c>
      <c r="D5160" s="51">
        <v>0</v>
      </c>
    </row>
    <row r="5161" spans="1:4">
      <c r="A5161" s="50">
        <v>45141</v>
      </c>
      <c r="B5161" s="49" t="s">
        <v>53</v>
      </c>
      <c r="C5161" s="51">
        <v>53940.4</v>
      </c>
      <c r="D5161" s="51">
        <v>0</v>
      </c>
    </row>
    <row r="5162" spans="1:4">
      <c r="A5162" s="50">
        <v>45142</v>
      </c>
      <c r="B5162" s="49" t="s">
        <v>30</v>
      </c>
      <c r="C5162" s="51">
        <v>52590.3</v>
      </c>
      <c r="D5162" s="51">
        <v>0</v>
      </c>
    </row>
    <row r="5163" spans="1:4">
      <c r="A5163" s="50">
        <v>45142</v>
      </c>
      <c r="B5163" s="49" t="s">
        <v>31</v>
      </c>
      <c r="C5163" s="51">
        <v>52952.4</v>
      </c>
      <c r="D5163" s="51">
        <v>0</v>
      </c>
    </row>
    <row r="5164" spans="1:4">
      <c r="A5164" s="50">
        <v>45142</v>
      </c>
      <c r="B5164" s="49" t="s">
        <v>32</v>
      </c>
      <c r="C5164" s="51">
        <v>52824.7</v>
      </c>
      <c r="D5164" s="51">
        <v>0</v>
      </c>
    </row>
    <row r="5165" spans="1:4">
      <c r="A5165" s="50">
        <v>45142</v>
      </c>
      <c r="B5165" s="49" t="s">
        <v>33</v>
      </c>
      <c r="C5165" s="51">
        <v>52798.3</v>
      </c>
      <c r="D5165" s="51">
        <v>0</v>
      </c>
    </row>
    <row r="5166" spans="1:4">
      <c r="A5166" s="50">
        <v>45142</v>
      </c>
      <c r="B5166" s="49" t="s">
        <v>34</v>
      </c>
      <c r="C5166" s="51">
        <v>52812.3</v>
      </c>
      <c r="D5166" s="51">
        <v>0</v>
      </c>
    </row>
    <row r="5167" spans="1:4">
      <c r="A5167" s="50">
        <v>45142</v>
      </c>
      <c r="B5167" s="49" t="s">
        <v>35</v>
      </c>
      <c r="C5167" s="51">
        <v>52884.7</v>
      </c>
      <c r="D5167" s="51">
        <v>0</v>
      </c>
    </row>
    <row r="5168" spans="1:4">
      <c r="A5168" s="50">
        <v>45142</v>
      </c>
      <c r="B5168" s="49" t="s">
        <v>36</v>
      </c>
      <c r="C5168" s="51">
        <v>52908.7</v>
      </c>
      <c r="D5168" s="51">
        <v>0</v>
      </c>
    </row>
    <row r="5169" spans="1:4">
      <c r="A5169" s="50">
        <v>45142</v>
      </c>
      <c r="B5169" s="49" t="s">
        <v>37</v>
      </c>
      <c r="C5169" s="51">
        <v>52922.400000000001</v>
      </c>
      <c r="D5169" s="51">
        <v>0</v>
      </c>
    </row>
    <row r="5170" spans="1:4">
      <c r="A5170" s="50">
        <v>45142</v>
      </c>
      <c r="B5170" s="49" t="s">
        <v>38</v>
      </c>
      <c r="C5170" s="51">
        <v>52990.6</v>
      </c>
      <c r="D5170" s="51">
        <v>0</v>
      </c>
    </row>
    <row r="5171" spans="1:4">
      <c r="A5171" s="50">
        <v>45142</v>
      </c>
      <c r="B5171" s="49" t="s">
        <v>39</v>
      </c>
      <c r="C5171" s="51">
        <v>53042.9</v>
      </c>
      <c r="D5171" s="51">
        <v>0</v>
      </c>
    </row>
    <row r="5172" spans="1:4">
      <c r="A5172" s="50">
        <v>45142</v>
      </c>
      <c r="B5172" s="49" t="s">
        <v>40</v>
      </c>
      <c r="C5172" s="51">
        <v>52851.4</v>
      </c>
      <c r="D5172" s="51">
        <v>0</v>
      </c>
    </row>
    <row r="5173" spans="1:4">
      <c r="A5173" s="50">
        <v>45142</v>
      </c>
      <c r="B5173" s="49" t="s">
        <v>41</v>
      </c>
      <c r="C5173" s="51">
        <v>53082.7</v>
      </c>
      <c r="D5173" s="51">
        <v>0</v>
      </c>
    </row>
    <row r="5174" spans="1:4">
      <c r="A5174" s="50">
        <v>45142</v>
      </c>
      <c r="B5174" s="49" t="s">
        <v>42</v>
      </c>
      <c r="C5174" s="51">
        <v>53058</v>
      </c>
      <c r="D5174" s="51">
        <v>0</v>
      </c>
    </row>
    <row r="5175" spans="1:4">
      <c r="A5175" s="50">
        <v>45142</v>
      </c>
      <c r="B5175" s="49" t="s">
        <v>43</v>
      </c>
      <c r="C5175" s="51">
        <v>53059.5</v>
      </c>
      <c r="D5175" s="51">
        <v>0</v>
      </c>
    </row>
    <row r="5176" spans="1:4">
      <c r="A5176" s="50">
        <v>45142</v>
      </c>
      <c r="B5176" s="49" t="s">
        <v>44</v>
      </c>
      <c r="C5176" s="51">
        <v>58388.3</v>
      </c>
      <c r="D5176" s="51">
        <v>0</v>
      </c>
    </row>
    <row r="5177" spans="1:4">
      <c r="A5177" s="50">
        <v>45142</v>
      </c>
      <c r="B5177" s="49" t="s">
        <v>45</v>
      </c>
      <c r="C5177" s="51">
        <v>68093.899999999994</v>
      </c>
      <c r="D5177" s="51">
        <v>0</v>
      </c>
    </row>
    <row r="5178" spans="1:4">
      <c r="A5178" s="50">
        <v>45142</v>
      </c>
      <c r="B5178" s="49" t="s">
        <v>46</v>
      </c>
      <c r="C5178" s="51">
        <v>67386.7</v>
      </c>
      <c r="D5178" s="51">
        <v>0</v>
      </c>
    </row>
    <row r="5179" spans="1:4">
      <c r="A5179" s="50">
        <v>45142</v>
      </c>
      <c r="B5179" s="49" t="s">
        <v>47</v>
      </c>
      <c r="C5179" s="51">
        <v>66840.399999999994</v>
      </c>
      <c r="D5179" s="51">
        <v>0</v>
      </c>
    </row>
    <row r="5180" spans="1:4">
      <c r="A5180" s="50">
        <v>45142</v>
      </c>
      <c r="B5180" s="49" t="s">
        <v>48</v>
      </c>
      <c r="C5180" s="51">
        <v>69149</v>
      </c>
      <c r="D5180" s="51">
        <v>0</v>
      </c>
    </row>
    <row r="5181" spans="1:4">
      <c r="A5181" s="50">
        <v>45142</v>
      </c>
      <c r="B5181" s="49" t="s">
        <v>49</v>
      </c>
      <c r="C5181" s="51">
        <v>54476.6</v>
      </c>
      <c r="D5181" s="51">
        <v>0</v>
      </c>
    </row>
    <row r="5182" spans="1:4">
      <c r="A5182" s="50">
        <v>45142</v>
      </c>
      <c r="B5182" s="49" t="s">
        <v>50</v>
      </c>
      <c r="C5182" s="51">
        <v>58208.3</v>
      </c>
      <c r="D5182" s="51">
        <v>0</v>
      </c>
    </row>
    <row r="5183" spans="1:4">
      <c r="A5183" s="50">
        <v>45142</v>
      </c>
      <c r="B5183" s="49" t="s">
        <v>51</v>
      </c>
      <c r="C5183" s="51">
        <v>70261.899999999994</v>
      </c>
      <c r="D5183" s="51">
        <v>0</v>
      </c>
    </row>
    <row r="5184" spans="1:4">
      <c r="A5184" s="50">
        <v>45142</v>
      </c>
      <c r="B5184" s="49" t="s">
        <v>52</v>
      </c>
      <c r="C5184" s="51">
        <v>69500.899999999994</v>
      </c>
      <c r="D5184" s="51">
        <v>0</v>
      </c>
    </row>
    <row r="5185" spans="1:4">
      <c r="A5185" s="50">
        <v>45142</v>
      </c>
      <c r="B5185" s="49" t="s">
        <v>53</v>
      </c>
      <c r="C5185" s="51">
        <v>54015.9</v>
      </c>
      <c r="D5185" s="51">
        <v>0</v>
      </c>
    </row>
    <row r="5186" spans="1:4">
      <c r="A5186" s="50">
        <v>45143</v>
      </c>
      <c r="B5186" s="49" t="s">
        <v>30</v>
      </c>
      <c r="C5186" s="51">
        <v>53991.1</v>
      </c>
      <c r="D5186" s="51">
        <v>0</v>
      </c>
    </row>
    <row r="5187" spans="1:4">
      <c r="A5187" s="50">
        <v>45143</v>
      </c>
      <c r="B5187" s="49" t="s">
        <v>31</v>
      </c>
      <c r="C5187" s="51">
        <v>54027.8</v>
      </c>
      <c r="D5187" s="51">
        <v>0</v>
      </c>
    </row>
    <row r="5188" spans="1:4">
      <c r="A5188" s="50">
        <v>45143</v>
      </c>
      <c r="B5188" s="49" t="s">
        <v>32</v>
      </c>
      <c r="C5188" s="51">
        <v>53798.1</v>
      </c>
      <c r="D5188" s="51">
        <v>0</v>
      </c>
    </row>
    <row r="5189" spans="1:4">
      <c r="A5189" s="50">
        <v>45143</v>
      </c>
      <c r="B5189" s="49" t="s">
        <v>33</v>
      </c>
      <c r="C5189" s="51">
        <v>53807.9</v>
      </c>
      <c r="D5189" s="51">
        <v>0</v>
      </c>
    </row>
    <row r="5190" spans="1:4">
      <c r="A5190" s="50">
        <v>45143</v>
      </c>
      <c r="B5190" s="49" t="s">
        <v>34</v>
      </c>
      <c r="C5190" s="51">
        <v>53853.3</v>
      </c>
      <c r="D5190" s="51">
        <v>0</v>
      </c>
    </row>
    <row r="5191" spans="1:4">
      <c r="A5191" s="50">
        <v>45143</v>
      </c>
      <c r="B5191" s="49" t="s">
        <v>35</v>
      </c>
      <c r="C5191" s="51">
        <v>53847.8</v>
      </c>
      <c r="D5191" s="51">
        <v>0</v>
      </c>
    </row>
    <row r="5192" spans="1:4">
      <c r="A5192" s="50">
        <v>45143</v>
      </c>
      <c r="B5192" s="49" t="s">
        <v>36</v>
      </c>
      <c r="C5192" s="51">
        <v>53922.400000000001</v>
      </c>
      <c r="D5192" s="51">
        <v>0</v>
      </c>
    </row>
    <row r="5193" spans="1:4">
      <c r="A5193" s="50">
        <v>45143</v>
      </c>
      <c r="B5193" s="49" t="s">
        <v>37</v>
      </c>
      <c r="C5193" s="51">
        <v>53932.3</v>
      </c>
      <c r="D5193" s="51">
        <v>0</v>
      </c>
    </row>
    <row r="5194" spans="1:4">
      <c r="A5194" s="50">
        <v>45143</v>
      </c>
      <c r="B5194" s="49" t="s">
        <v>38</v>
      </c>
      <c r="C5194" s="51">
        <v>53979.7</v>
      </c>
      <c r="D5194" s="51">
        <v>0</v>
      </c>
    </row>
    <row r="5195" spans="1:4">
      <c r="A5195" s="50">
        <v>45143</v>
      </c>
      <c r="B5195" s="49" t="s">
        <v>39</v>
      </c>
      <c r="C5195" s="51">
        <v>53542.6</v>
      </c>
      <c r="D5195" s="51">
        <v>0</v>
      </c>
    </row>
    <row r="5196" spans="1:4">
      <c r="A5196" s="50">
        <v>45143</v>
      </c>
      <c r="B5196" s="49" t="s">
        <v>40</v>
      </c>
      <c r="C5196" s="51">
        <v>53448.5</v>
      </c>
      <c r="D5196" s="51">
        <v>0</v>
      </c>
    </row>
    <row r="5197" spans="1:4">
      <c r="A5197" s="50">
        <v>45143</v>
      </c>
      <c r="B5197" s="49" t="s">
        <v>41</v>
      </c>
      <c r="C5197" s="51">
        <v>53446.2</v>
      </c>
      <c r="D5197" s="51">
        <v>0</v>
      </c>
    </row>
    <row r="5198" spans="1:4">
      <c r="A5198" s="50">
        <v>45143</v>
      </c>
      <c r="B5198" s="49" t="s">
        <v>42</v>
      </c>
      <c r="C5198" s="51">
        <v>53346.7</v>
      </c>
      <c r="D5198" s="51">
        <v>0</v>
      </c>
    </row>
    <row r="5199" spans="1:4">
      <c r="A5199" s="50">
        <v>45143</v>
      </c>
      <c r="B5199" s="49" t="s">
        <v>43</v>
      </c>
      <c r="C5199" s="51">
        <v>52412.800000000003</v>
      </c>
      <c r="D5199" s="51">
        <v>0</v>
      </c>
    </row>
    <row r="5200" spans="1:4">
      <c r="A5200" s="50">
        <v>45143</v>
      </c>
      <c r="B5200" s="49" t="s">
        <v>44</v>
      </c>
      <c r="C5200" s="51">
        <v>53904.1</v>
      </c>
      <c r="D5200" s="51">
        <v>0</v>
      </c>
    </row>
    <row r="5201" spans="1:4">
      <c r="A5201" s="50">
        <v>45143</v>
      </c>
      <c r="B5201" s="49" t="s">
        <v>45</v>
      </c>
      <c r="C5201" s="51">
        <v>54217.3</v>
      </c>
      <c r="D5201" s="51">
        <v>0</v>
      </c>
    </row>
    <row r="5202" spans="1:4">
      <c r="A5202" s="50">
        <v>45143</v>
      </c>
      <c r="B5202" s="49" t="s">
        <v>46</v>
      </c>
      <c r="C5202" s="51">
        <v>53805.4</v>
      </c>
      <c r="D5202" s="51">
        <v>0</v>
      </c>
    </row>
    <row r="5203" spans="1:4">
      <c r="A5203" s="50">
        <v>45143</v>
      </c>
      <c r="B5203" s="49" t="s">
        <v>47</v>
      </c>
      <c r="C5203" s="51">
        <v>53893.3</v>
      </c>
      <c r="D5203" s="51">
        <v>0</v>
      </c>
    </row>
    <row r="5204" spans="1:4">
      <c r="A5204" s="50">
        <v>45143</v>
      </c>
      <c r="B5204" s="49" t="s">
        <v>48</v>
      </c>
      <c r="C5204" s="51">
        <v>68917.899999999994</v>
      </c>
      <c r="D5204" s="51">
        <v>0</v>
      </c>
    </row>
    <row r="5205" spans="1:4">
      <c r="A5205" s="50">
        <v>45143</v>
      </c>
      <c r="B5205" s="49" t="s">
        <v>49</v>
      </c>
      <c r="C5205" s="51">
        <v>55692</v>
      </c>
      <c r="D5205" s="51">
        <v>0</v>
      </c>
    </row>
    <row r="5206" spans="1:4">
      <c r="A5206" s="50">
        <v>45143</v>
      </c>
      <c r="B5206" s="49" t="s">
        <v>50</v>
      </c>
      <c r="C5206" s="51">
        <v>54015</v>
      </c>
      <c r="D5206" s="51">
        <v>0</v>
      </c>
    </row>
    <row r="5207" spans="1:4">
      <c r="A5207" s="50">
        <v>45143</v>
      </c>
      <c r="B5207" s="49" t="s">
        <v>51</v>
      </c>
      <c r="C5207" s="51">
        <v>54120</v>
      </c>
      <c r="D5207" s="51">
        <v>0</v>
      </c>
    </row>
    <row r="5208" spans="1:4">
      <c r="A5208" s="50">
        <v>45143</v>
      </c>
      <c r="B5208" s="49" t="s">
        <v>52</v>
      </c>
      <c r="C5208" s="51">
        <v>53917.5</v>
      </c>
      <c r="D5208" s="51">
        <v>0</v>
      </c>
    </row>
    <row r="5209" spans="1:4">
      <c r="A5209" s="50">
        <v>45143</v>
      </c>
      <c r="B5209" s="49" t="s">
        <v>53</v>
      </c>
      <c r="C5209" s="51">
        <v>53995.7</v>
      </c>
      <c r="D5209" s="51">
        <v>0</v>
      </c>
    </row>
    <row r="5210" spans="1:4">
      <c r="A5210" s="50">
        <v>45144</v>
      </c>
      <c r="B5210" s="49" t="s">
        <v>30</v>
      </c>
      <c r="C5210" s="51">
        <v>61336.4</v>
      </c>
      <c r="D5210" s="51">
        <v>0</v>
      </c>
    </row>
    <row r="5211" spans="1:4">
      <c r="A5211" s="50">
        <v>45144</v>
      </c>
      <c r="B5211" s="49" t="s">
        <v>31</v>
      </c>
      <c r="C5211" s="51">
        <v>61769.9</v>
      </c>
      <c r="D5211" s="51">
        <v>0</v>
      </c>
    </row>
    <row r="5212" spans="1:4">
      <c r="A5212" s="50">
        <v>45144</v>
      </c>
      <c r="B5212" s="49" t="s">
        <v>32</v>
      </c>
      <c r="C5212" s="51">
        <v>61808.1</v>
      </c>
      <c r="D5212" s="51">
        <v>0</v>
      </c>
    </row>
    <row r="5213" spans="1:4">
      <c r="A5213" s="50">
        <v>45144</v>
      </c>
      <c r="B5213" s="49" t="s">
        <v>33</v>
      </c>
      <c r="C5213" s="51">
        <v>61781.599999999999</v>
      </c>
      <c r="D5213" s="51">
        <v>0</v>
      </c>
    </row>
    <row r="5214" spans="1:4">
      <c r="A5214" s="50">
        <v>45144</v>
      </c>
      <c r="B5214" s="49" t="s">
        <v>34</v>
      </c>
      <c r="C5214" s="51">
        <v>61849.1</v>
      </c>
      <c r="D5214" s="51">
        <v>0</v>
      </c>
    </row>
    <row r="5215" spans="1:4">
      <c r="A5215" s="50">
        <v>45144</v>
      </c>
      <c r="B5215" s="49" t="s">
        <v>35</v>
      </c>
      <c r="C5215" s="51">
        <v>74455.3</v>
      </c>
      <c r="D5215" s="51">
        <v>0</v>
      </c>
    </row>
    <row r="5216" spans="1:4">
      <c r="A5216" s="50">
        <v>45144</v>
      </c>
      <c r="B5216" s="49" t="s">
        <v>36</v>
      </c>
      <c r="C5216" s="51">
        <v>76060.100000000006</v>
      </c>
      <c r="D5216" s="51">
        <v>0</v>
      </c>
    </row>
    <row r="5217" spans="1:4">
      <c r="A5217" s="50">
        <v>45144</v>
      </c>
      <c r="B5217" s="49" t="s">
        <v>37</v>
      </c>
      <c r="C5217" s="51">
        <v>76855.399999999994</v>
      </c>
      <c r="D5217" s="51">
        <v>0</v>
      </c>
    </row>
    <row r="5218" spans="1:4">
      <c r="A5218" s="50">
        <v>45144</v>
      </c>
      <c r="B5218" s="49" t="s">
        <v>38</v>
      </c>
      <c r="C5218" s="51">
        <v>76609.899999999994</v>
      </c>
      <c r="D5218" s="51">
        <v>0</v>
      </c>
    </row>
    <row r="5219" spans="1:4">
      <c r="A5219" s="50">
        <v>45144</v>
      </c>
      <c r="B5219" s="49" t="s">
        <v>39</v>
      </c>
      <c r="C5219" s="51">
        <v>76393.3</v>
      </c>
      <c r="D5219" s="51">
        <v>0</v>
      </c>
    </row>
    <row r="5220" spans="1:4">
      <c r="A5220" s="50">
        <v>45144</v>
      </c>
      <c r="B5220" s="49" t="s">
        <v>40</v>
      </c>
      <c r="C5220" s="51">
        <v>76972.800000000003</v>
      </c>
      <c r="D5220" s="51">
        <v>0</v>
      </c>
    </row>
    <row r="5221" spans="1:4">
      <c r="A5221" s="50">
        <v>45144</v>
      </c>
      <c r="B5221" s="49" t="s">
        <v>41</v>
      </c>
      <c r="C5221" s="51">
        <v>76341.399999999994</v>
      </c>
      <c r="D5221" s="51">
        <v>0</v>
      </c>
    </row>
    <row r="5222" spans="1:4">
      <c r="A5222" s="50">
        <v>45144</v>
      </c>
      <c r="B5222" s="49" t="s">
        <v>42</v>
      </c>
      <c r="C5222" s="51">
        <v>76187.199999999997</v>
      </c>
      <c r="D5222" s="51">
        <v>0</v>
      </c>
    </row>
    <row r="5223" spans="1:4">
      <c r="A5223" s="50">
        <v>45144</v>
      </c>
      <c r="B5223" s="49" t="s">
        <v>43</v>
      </c>
      <c r="C5223" s="51">
        <v>76413.600000000006</v>
      </c>
      <c r="D5223" s="51">
        <v>0</v>
      </c>
    </row>
    <row r="5224" spans="1:4">
      <c r="A5224" s="50">
        <v>45144</v>
      </c>
      <c r="B5224" s="49" t="s">
        <v>44</v>
      </c>
      <c r="C5224" s="51">
        <v>76510.399999999994</v>
      </c>
      <c r="D5224" s="51">
        <v>0</v>
      </c>
    </row>
    <row r="5225" spans="1:4">
      <c r="A5225" s="50">
        <v>45144</v>
      </c>
      <c r="B5225" s="49" t="s">
        <v>45</v>
      </c>
      <c r="C5225" s="51">
        <v>76371.899999999994</v>
      </c>
      <c r="D5225" s="51">
        <v>0</v>
      </c>
    </row>
    <row r="5226" spans="1:4">
      <c r="A5226" s="50">
        <v>45144</v>
      </c>
      <c r="B5226" s="49" t="s">
        <v>46</v>
      </c>
      <c r="C5226" s="51">
        <v>76603</v>
      </c>
      <c r="D5226" s="51">
        <v>0</v>
      </c>
    </row>
    <row r="5227" spans="1:4">
      <c r="A5227" s="50">
        <v>45144</v>
      </c>
      <c r="B5227" s="49" t="s">
        <v>47</v>
      </c>
      <c r="C5227" s="51">
        <v>63721.5</v>
      </c>
      <c r="D5227" s="51">
        <v>0</v>
      </c>
    </row>
    <row r="5228" spans="1:4">
      <c r="A5228" s="50">
        <v>45144</v>
      </c>
      <c r="B5228" s="49" t="s">
        <v>48</v>
      </c>
      <c r="C5228" s="51">
        <v>62497.1</v>
      </c>
      <c r="D5228" s="51">
        <v>0</v>
      </c>
    </row>
    <row r="5229" spans="1:4">
      <c r="A5229" s="50">
        <v>45144</v>
      </c>
      <c r="B5229" s="49" t="s">
        <v>49</v>
      </c>
      <c r="C5229" s="51">
        <v>62765.4</v>
      </c>
      <c r="D5229" s="51">
        <v>0</v>
      </c>
    </row>
    <row r="5230" spans="1:4">
      <c r="A5230" s="50">
        <v>45144</v>
      </c>
      <c r="B5230" s="49" t="s">
        <v>50</v>
      </c>
      <c r="C5230" s="51">
        <v>61602.400000000001</v>
      </c>
      <c r="D5230" s="51">
        <v>0</v>
      </c>
    </row>
    <row r="5231" spans="1:4">
      <c r="A5231" s="50">
        <v>45144</v>
      </c>
      <c r="B5231" s="49" t="s">
        <v>51</v>
      </c>
      <c r="C5231" s="51">
        <v>63005.9</v>
      </c>
      <c r="D5231" s="51">
        <v>0</v>
      </c>
    </row>
    <row r="5232" spans="1:4">
      <c r="A5232" s="50">
        <v>45144</v>
      </c>
      <c r="B5232" s="49" t="s">
        <v>52</v>
      </c>
      <c r="C5232" s="51">
        <v>62850.8</v>
      </c>
      <c r="D5232" s="51">
        <v>0</v>
      </c>
    </row>
    <row r="5233" spans="1:4">
      <c r="A5233" s="50">
        <v>45144</v>
      </c>
      <c r="B5233" s="49" t="s">
        <v>53</v>
      </c>
      <c r="C5233" s="51">
        <v>62980.7</v>
      </c>
      <c r="D5233" s="51">
        <v>0</v>
      </c>
    </row>
    <row r="5234" spans="1:4">
      <c r="A5234" s="50">
        <v>45145</v>
      </c>
      <c r="B5234" s="49" t="s">
        <v>30</v>
      </c>
      <c r="C5234" s="51">
        <v>63009.9</v>
      </c>
      <c r="D5234" s="51">
        <v>0</v>
      </c>
    </row>
    <row r="5235" spans="1:4">
      <c r="A5235" s="50">
        <v>45145</v>
      </c>
      <c r="B5235" s="49" t="s">
        <v>31</v>
      </c>
      <c r="C5235" s="51">
        <v>62508.800000000003</v>
      </c>
      <c r="D5235" s="51">
        <v>0</v>
      </c>
    </row>
    <row r="5236" spans="1:4">
      <c r="A5236" s="50">
        <v>45145</v>
      </c>
      <c r="B5236" s="49" t="s">
        <v>32</v>
      </c>
      <c r="C5236" s="51">
        <v>62363.7</v>
      </c>
      <c r="D5236" s="51">
        <v>0</v>
      </c>
    </row>
    <row r="5237" spans="1:4">
      <c r="A5237" s="50">
        <v>45145</v>
      </c>
      <c r="B5237" s="49" t="s">
        <v>33</v>
      </c>
      <c r="C5237" s="51">
        <v>62400.5</v>
      </c>
      <c r="D5237" s="51">
        <v>0</v>
      </c>
    </row>
    <row r="5238" spans="1:4">
      <c r="A5238" s="50">
        <v>45145</v>
      </c>
      <c r="B5238" s="49" t="s">
        <v>34</v>
      </c>
      <c r="C5238" s="51">
        <v>62420</v>
      </c>
      <c r="D5238" s="51">
        <v>0</v>
      </c>
    </row>
    <row r="5239" spans="1:4">
      <c r="A5239" s="50">
        <v>45145</v>
      </c>
      <c r="B5239" s="49" t="s">
        <v>35</v>
      </c>
      <c r="C5239" s="51">
        <v>62371.6</v>
      </c>
      <c r="D5239" s="51">
        <v>0</v>
      </c>
    </row>
    <row r="5240" spans="1:4">
      <c r="A5240" s="50">
        <v>45145</v>
      </c>
      <c r="B5240" s="49" t="s">
        <v>36</v>
      </c>
      <c r="C5240" s="51">
        <v>62348.4</v>
      </c>
      <c r="D5240" s="51">
        <v>0</v>
      </c>
    </row>
    <row r="5241" spans="1:4">
      <c r="A5241" s="50">
        <v>45145</v>
      </c>
      <c r="B5241" s="49" t="s">
        <v>37</v>
      </c>
      <c r="C5241" s="51">
        <v>62445.8</v>
      </c>
      <c r="D5241" s="51">
        <v>0</v>
      </c>
    </row>
    <row r="5242" spans="1:4">
      <c r="A5242" s="50">
        <v>45145</v>
      </c>
      <c r="B5242" s="49" t="s">
        <v>38</v>
      </c>
      <c r="C5242" s="51">
        <v>62835.9</v>
      </c>
      <c r="D5242" s="51">
        <v>0</v>
      </c>
    </row>
    <row r="5243" spans="1:4">
      <c r="A5243" s="50">
        <v>45145</v>
      </c>
      <c r="B5243" s="49" t="s">
        <v>39</v>
      </c>
      <c r="C5243" s="51">
        <v>62574.5</v>
      </c>
      <c r="D5243" s="51">
        <v>0</v>
      </c>
    </row>
    <row r="5244" spans="1:4">
      <c r="A5244" s="50">
        <v>45145</v>
      </c>
      <c r="B5244" s="49" t="s">
        <v>40</v>
      </c>
      <c r="C5244" s="51">
        <v>62714.5</v>
      </c>
      <c r="D5244" s="51">
        <v>0</v>
      </c>
    </row>
    <row r="5245" spans="1:4">
      <c r="A5245" s="50">
        <v>45145</v>
      </c>
      <c r="B5245" s="49" t="s">
        <v>41</v>
      </c>
      <c r="C5245" s="51">
        <v>62553.5</v>
      </c>
      <c r="D5245" s="51">
        <v>0</v>
      </c>
    </row>
    <row r="5246" spans="1:4">
      <c r="A5246" s="50">
        <v>45145</v>
      </c>
      <c r="B5246" s="49" t="s">
        <v>42</v>
      </c>
      <c r="C5246" s="51">
        <v>62402.7</v>
      </c>
      <c r="D5246" s="51">
        <v>0</v>
      </c>
    </row>
    <row r="5247" spans="1:4">
      <c r="A5247" s="50">
        <v>45145</v>
      </c>
      <c r="B5247" s="49" t="s">
        <v>43</v>
      </c>
      <c r="C5247" s="51">
        <v>62467.3</v>
      </c>
      <c r="D5247" s="51">
        <v>0</v>
      </c>
    </row>
    <row r="5248" spans="1:4">
      <c r="A5248" s="50">
        <v>45145</v>
      </c>
      <c r="B5248" s="49" t="s">
        <v>44</v>
      </c>
      <c r="C5248" s="51">
        <v>62448.2</v>
      </c>
      <c r="D5248" s="51">
        <v>0</v>
      </c>
    </row>
    <row r="5249" spans="1:4">
      <c r="A5249" s="50">
        <v>45145</v>
      </c>
      <c r="B5249" s="49" t="s">
        <v>45</v>
      </c>
      <c r="C5249" s="51">
        <v>62671</v>
      </c>
      <c r="D5249" s="51">
        <v>0</v>
      </c>
    </row>
    <row r="5250" spans="1:4">
      <c r="A5250" s="50">
        <v>45145</v>
      </c>
      <c r="B5250" s="49" t="s">
        <v>46</v>
      </c>
      <c r="C5250" s="51">
        <v>62991.7</v>
      </c>
      <c r="D5250" s="51">
        <v>0</v>
      </c>
    </row>
    <row r="5251" spans="1:4">
      <c r="A5251" s="50">
        <v>45145</v>
      </c>
      <c r="B5251" s="49" t="s">
        <v>47</v>
      </c>
      <c r="C5251" s="51">
        <v>61918.5</v>
      </c>
      <c r="D5251" s="51">
        <v>0</v>
      </c>
    </row>
    <row r="5252" spans="1:4">
      <c r="A5252" s="50">
        <v>45145</v>
      </c>
      <c r="B5252" s="49" t="s">
        <v>48</v>
      </c>
      <c r="C5252" s="51">
        <v>62032.4</v>
      </c>
      <c r="D5252" s="51">
        <v>0</v>
      </c>
    </row>
    <row r="5253" spans="1:4">
      <c r="A5253" s="50">
        <v>45145</v>
      </c>
      <c r="B5253" s="49" t="s">
        <v>49</v>
      </c>
      <c r="C5253" s="51">
        <v>62132.1</v>
      </c>
      <c r="D5253" s="51">
        <v>0</v>
      </c>
    </row>
    <row r="5254" spans="1:4">
      <c r="A5254" s="50">
        <v>45145</v>
      </c>
      <c r="B5254" s="49" t="s">
        <v>50</v>
      </c>
      <c r="C5254" s="51">
        <v>62778.5</v>
      </c>
      <c r="D5254" s="51">
        <v>0</v>
      </c>
    </row>
    <row r="5255" spans="1:4">
      <c r="A5255" s="50">
        <v>45145</v>
      </c>
      <c r="B5255" s="49" t="s">
        <v>51</v>
      </c>
      <c r="C5255" s="51">
        <v>62627.7</v>
      </c>
      <c r="D5255" s="51">
        <v>0</v>
      </c>
    </row>
    <row r="5256" spans="1:4">
      <c r="A5256" s="50">
        <v>45145</v>
      </c>
      <c r="B5256" s="49" t="s">
        <v>52</v>
      </c>
      <c r="C5256" s="51">
        <v>61970.7</v>
      </c>
      <c r="D5256" s="51">
        <v>0</v>
      </c>
    </row>
    <row r="5257" spans="1:4">
      <c r="A5257" s="50">
        <v>45145</v>
      </c>
      <c r="B5257" s="49" t="s">
        <v>53</v>
      </c>
      <c r="C5257" s="51">
        <v>61882.400000000001</v>
      </c>
      <c r="D5257" s="51">
        <v>0</v>
      </c>
    </row>
    <row r="5258" spans="1:4">
      <c r="A5258" s="50">
        <v>45146</v>
      </c>
      <c r="B5258" s="49" t="s">
        <v>30</v>
      </c>
      <c r="C5258" s="51">
        <v>61760.6</v>
      </c>
      <c r="D5258" s="51">
        <v>0</v>
      </c>
    </row>
    <row r="5259" spans="1:4">
      <c r="A5259" s="50">
        <v>45146</v>
      </c>
      <c r="B5259" s="49" t="s">
        <v>31</v>
      </c>
      <c r="C5259" s="51">
        <v>62090.5</v>
      </c>
      <c r="D5259" s="51">
        <v>0</v>
      </c>
    </row>
    <row r="5260" spans="1:4">
      <c r="A5260" s="50">
        <v>45146</v>
      </c>
      <c r="B5260" s="49" t="s">
        <v>32</v>
      </c>
      <c r="C5260" s="51">
        <v>62036.4</v>
      </c>
      <c r="D5260" s="51">
        <v>0</v>
      </c>
    </row>
    <row r="5261" spans="1:4">
      <c r="A5261" s="50">
        <v>45146</v>
      </c>
      <c r="B5261" s="49" t="s">
        <v>33</v>
      </c>
      <c r="C5261" s="51">
        <v>62115.199999999997</v>
      </c>
      <c r="D5261" s="51">
        <v>0</v>
      </c>
    </row>
    <row r="5262" spans="1:4">
      <c r="A5262" s="50">
        <v>45146</v>
      </c>
      <c r="B5262" s="49" t="s">
        <v>34</v>
      </c>
      <c r="C5262" s="51">
        <v>62065</v>
      </c>
      <c r="D5262" s="51">
        <v>0</v>
      </c>
    </row>
    <row r="5263" spans="1:4">
      <c r="A5263" s="50">
        <v>45146</v>
      </c>
      <c r="B5263" s="49" t="s">
        <v>35</v>
      </c>
      <c r="C5263" s="51">
        <v>61993.4</v>
      </c>
      <c r="D5263" s="51">
        <v>0</v>
      </c>
    </row>
    <row r="5264" spans="1:4">
      <c r="A5264" s="50">
        <v>45146</v>
      </c>
      <c r="B5264" s="49" t="s">
        <v>36</v>
      </c>
      <c r="C5264" s="51">
        <v>62451.3</v>
      </c>
      <c r="D5264" s="51">
        <v>0</v>
      </c>
    </row>
    <row r="5265" spans="1:4">
      <c r="A5265" s="50">
        <v>45146</v>
      </c>
      <c r="B5265" s="49" t="s">
        <v>37</v>
      </c>
      <c r="C5265" s="51">
        <v>61916.4</v>
      </c>
      <c r="D5265" s="51">
        <v>0</v>
      </c>
    </row>
    <row r="5266" spans="1:4">
      <c r="A5266" s="50">
        <v>45146</v>
      </c>
      <c r="B5266" s="49" t="s">
        <v>38</v>
      </c>
      <c r="C5266" s="51">
        <v>63131.1</v>
      </c>
      <c r="D5266" s="51">
        <v>0</v>
      </c>
    </row>
    <row r="5267" spans="1:4">
      <c r="A5267" s="50">
        <v>45146</v>
      </c>
      <c r="B5267" s="49" t="s">
        <v>39</v>
      </c>
      <c r="C5267" s="51">
        <v>62896.5</v>
      </c>
      <c r="D5267" s="51">
        <v>0</v>
      </c>
    </row>
    <row r="5268" spans="1:4">
      <c r="A5268" s="50">
        <v>45146</v>
      </c>
      <c r="B5268" s="49" t="s">
        <v>40</v>
      </c>
      <c r="C5268" s="51">
        <v>63138.9</v>
      </c>
      <c r="D5268" s="51">
        <v>0</v>
      </c>
    </row>
    <row r="5269" spans="1:4">
      <c r="A5269" s="50">
        <v>45146</v>
      </c>
      <c r="B5269" s="49" t="s">
        <v>41</v>
      </c>
      <c r="C5269" s="51">
        <v>63150.8</v>
      </c>
      <c r="D5269" s="51">
        <v>0</v>
      </c>
    </row>
    <row r="5270" spans="1:4">
      <c r="A5270" s="50">
        <v>45146</v>
      </c>
      <c r="B5270" s="49" t="s">
        <v>42</v>
      </c>
      <c r="C5270" s="51">
        <v>63069.599999999999</v>
      </c>
      <c r="D5270" s="51">
        <v>0</v>
      </c>
    </row>
    <row r="5271" spans="1:4">
      <c r="A5271" s="50">
        <v>45146</v>
      </c>
      <c r="B5271" s="49" t="s">
        <v>43</v>
      </c>
      <c r="C5271" s="51">
        <v>63209.3</v>
      </c>
      <c r="D5271" s="51">
        <v>0</v>
      </c>
    </row>
    <row r="5272" spans="1:4">
      <c r="A5272" s="50">
        <v>45146</v>
      </c>
      <c r="B5272" s="49" t="s">
        <v>44</v>
      </c>
      <c r="C5272" s="51">
        <v>63110.6</v>
      </c>
      <c r="D5272" s="51">
        <v>0</v>
      </c>
    </row>
    <row r="5273" spans="1:4">
      <c r="A5273" s="50">
        <v>45146</v>
      </c>
      <c r="B5273" s="49" t="s">
        <v>45</v>
      </c>
      <c r="C5273" s="51">
        <v>63195.3</v>
      </c>
      <c r="D5273" s="51">
        <v>0</v>
      </c>
    </row>
    <row r="5274" spans="1:4">
      <c r="A5274" s="50">
        <v>45146</v>
      </c>
      <c r="B5274" s="49" t="s">
        <v>46</v>
      </c>
      <c r="C5274" s="51">
        <v>62848.3</v>
      </c>
      <c r="D5274" s="51">
        <v>0</v>
      </c>
    </row>
    <row r="5275" spans="1:4">
      <c r="A5275" s="50">
        <v>45146</v>
      </c>
      <c r="B5275" s="49" t="s">
        <v>47</v>
      </c>
      <c r="C5275" s="51">
        <v>63012.1</v>
      </c>
      <c r="D5275" s="51">
        <v>0</v>
      </c>
    </row>
    <row r="5276" spans="1:4">
      <c r="A5276" s="50">
        <v>45146</v>
      </c>
      <c r="B5276" s="49" t="s">
        <v>48</v>
      </c>
      <c r="C5276" s="51">
        <v>62858.6</v>
      </c>
      <c r="D5276" s="51">
        <v>0</v>
      </c>
    </row>
    <row r="5277" spans="1:4">
      <c r="A5277" s="50">
        <v>45146</v>
      </c>
      <c r="B5277" s="49" t="s">
        <v>49</v>
      </c>
      <c r="C5277" s="51">
        <v>62931.4</v>
      </c>
      <c r="D5277" s="51">
        <v>0</v>
      </c>
    </row>
    <row r="5278" spans="1:4">
      <c r="A5278" s="50">
        <v>45146</v>
      </c>
      <c r="B5278" s="49" t="s">
        <v>50</v>
      </c>
      <c r="C5278" s="51">
        <v>62153</v>
      </c>
      <c r="D5278" s="51">
        <v>0</v>
      </c>
    </row>
    <row r="5279" spans="1:4">
      <c r="A5279" s="50">
        <v>45146</v>
      </c>
      <c r="B5279" s="49" t="s">
        <v>51</v>
      </c>
      <c r="C5279" s="51">
        <v>62266.7</v>
      </c>
      <c r="D5279" s="51">
        <v>0</v>
      </c>
    </row>
    <row r="5280" spans="1:4">
      <c r="A5280" s="50">
        <v>45146</v>
      </c>
      <c r="B5280" s="49" t="s">
        <v>52</v>
      </c>
      <c r="C5280" s="51">
        <v>62132.3</v>
      </c>
      <c r="D5280" s="51">
        <v>0</v>
      </c>
    </row>
    <row r="5281" spans="1:4">
      <c r="A5281" s="50">
        <v>45146</v>
      </c>
      <c r="B5281" s="49" t="s">
        <v>53</v>
      </c>
      <c r="C5281" s="51">
        <v>62273</v>
      </c>
      <c r="D5281" s="51">
        <v>0</v>
      </c>
    </row>
    <row r="5282" spans="1:4">
      <c r="A5282" s="50">
        <v>45147</v>
      </c>
      <c r="B5282" s="49" t="s">
        <v>30</v>
      </c>
      <c r="C5282" s="51">
        <v>60122.9</v>
      </c>
      <c r="D5282" s="51">
        <v>0</v>
      </c>
    </row>
    <row r="5283" spans="1:4">
      <c r="A5283" s="50">
        <v>45147</v>
      </c>
      <c r="B5283" s="49" t="s">
        <v>31</v>
      </c>
      <c r="C5283" s="51">
        <v>60040.800000000003</v>
      </c>
      <c r="D5283" s="51">
        <v>0</v>
      </c>
    </row>
    <row r="5284" spans="1:4">
      <c r="A5284" s="50">
        <v>45147</v>
      </c>
      <c r="B5284" s="49" t="s">
        <v>32</v>
      </c>
      <c r="C5284" s="51">
        <v>60128.6</v>
      </c>
      <c r="D5284" s="51">
        <v>0</v>
      </c>
    </row>
    <row r="5285" spans="1:4">
      <c r="A5285" s="50">
        <v>45147</v>
      </c>
      <c r="B5285" s="49" t="s">
        <v>33</v>
      </c>
      <c r="C5285" s="51">
        <v>59995.9</v>
      </c>
      <c r="D5285" s="51">
        <v>0</v>
      </c>
    </row>
    <row r="5286" spans="1:4">
      <c r="A5286" s="50">
        <v>45147</v>
      </c>
      <c r="B5286" s="49" t="s">
        <v>34</v>
      </c>
      <c r="C5286" s="51">
        <v>60166.5</v>
      </c>
      <c r="D5286" s="51">
        <v>0</v>
      </c>
    </row>
    <row r="5287" spans="1:4">
      <c r="A5287" s="50">
        <v>45147</v>
      </c>
      <c r="B5287" s="49" t="s">
        <v>35</v>
      </c>
      <c r="C5287" s="51">
        <v>59948.5</v>
      </c>
      <c r="D5287" s="51">
        <v>0</v>
      </c>
    </row>
    <row r="5288" spans="1:4">
      <c r="A5288" s="50">
        <v>45147</v>
      </c>
      <c r="B5288" s="49" t="s">
        <v>36</v>
      </c>
      <c r="C5288" s="51">
        <v>60027.9</v>
      </c>
      <c r="D5288" s="51">
        <v>0</v>
      </c>
    </row>
    <row r="5289" spans="1:4">
      <c r="A5289" s="50">
        <v>45147</v>
      </c>
      <c r="B5289" s="49" t="s">
        <v>37</v>
      </c>
      <c r="C5289" s="51">
        <v>60414.2</v>
      </c>
      <c r="D5289" s="51">
        <v>0</v>
      </c>
    </row>
    <row r="5290" spans="1:4">
      <c r="A5290" s="50">
        <v>45147</v>
      </c>
      <c r="B5290" s="49" t="s">
        <v>38</v>
      </c>
      <c r="C5290" s="51">
        <v>61201.9</v>
      </c>
      <c r="D5290" s="51">
        <v>0</v>
      </c>
    </row>
    <row r="5291" spans="1:4">
      <c r="A5291" s="50">
        <v>45147</v>
      </c>
      <c r="B5291" s="49" t="s">
        <v>39</v>
      </c>
      <c r="C5291" s="51">
        <v>61312.5</v>
      </c>
      <c r="D5291" s="51">
        <v>0</v>
      </c>
    </row>
    <row r="5292" spans="1:4">
      <c r="A5292" s="50">
        <v>45147</v>
      </c>
      <c r="B5292" s="49" t="s">
        <v>40</v>
      </c>
      <c r="C5292" s="51">
        <v>61309.7</v>
      </c>
      <c r="D5292" s="51">
        <v>0</v>
      </c>
    </row>
    <row r="5293" spans="1:4">
      <c r="A5293" s="50">
        <v>45147</v>
      </c>
      <c r="B5293" s="49" t="s">
        <v>41</v>
      </c>
      <c r="C5293" s="51">
        <v>61252.3</v>
      </c>
      <c r="D5293" s="51">
        <v>0</v>
      </c>
    </row>
    <row r="5294" spans="1:4">
      <c r="A5294" s="50">
        <v>45147</v>
      </c>
      <c r="B5294" s="49" t="s">
        <v>42</v>
      </c>
      <c r="C5294" s="51">
        <v>61323.6</v>
      </c>
      <c r="D5294" s="51">
        <v>0</v>
      </c>
    </row>
    <row r="5295" spans="1:4">
      <c r="A5295" s="50">
        <v>45147</v>
      </c>
      <c r="B5295" s="49" t="s">
        <v>43</v>
      </c>
      <c r="C5295" s="51">
        <v>68386.399999999994</v>
      </c>
      <c r="D5295" s="51">
        <v>0</v>
      </c>
    </row>
    <row r="5296" spans="1:4">
      <c r="A5296" s="50">
        <v>45147</v>
      </c>
      <c r="B5296" s="49" t="s">
        <v>44</v>
      </c>
      <c r="C5296" s="51">
        <v>76141.399999999994</v>
      </c>
      <c r="D5296" s="51">
        <v>0</v>
      </c>
    </row>
    <row r="5297" spans="1:4">
      <c r="A5297" s="50">
        <v>45147</v>
      </c>
      <c r="B5297" s="49" t="s">
        <v>45</v>
      </c>
      <c r="C5297" s="51">
        <v>76024.100000000006</v>
      </c>
      <c r="D5297" s="51">
        <v>0</v>
      </c>
    </row>
    <row r="5298" spans="1:4">
      <c r="A5298" s="50">
        <v>45147</v>
      </c>
      <c r="B5298" s="49" t="s">
        <v>46</v>
      </c>
      <c r="C5298" s="51">
        <v>76107.899999999994</v>
      </c>
      <c r="D5298" s="51">
        <v>0</v>
      </c>
    </row>
    <row r="5299" spans="1:4">
      <c r="A5299" s="50">
        <v>45147</v>
      </c>
      <c r="B5299" s="49" t="s">
        <v>47</v>
      </c>
      <c r="C5299" s="51">
        <v>74020.7</v>
      </c>
      <c r="D5299" s="51">
        <v>0</v>
      </c>
    </row>
    <row r="5300" spans="1:4">
      <c r="A5300" s="50">
        <v>45147</v>
      </c>
      <c r="B5300" s="49" t="s">
        <v>48</v>
      </c>
      <c r="C5300" s="51">
        <v>62927.4</v>
      </c>
      <c r="D5300" s="51">
        <v>0</v>
      </c>
    </row>
    <row r="5301" spans="1:4">
      <c r="A5301" s="50">
        <v>45147</v>
      </c>
      <c r="B5301" s="49" t="s">
        <v>49</v>
      </c>
      <c r="C5301" s="51">
        <v>60032.3</v>
      </c>
      <c r="D5301" s="51">
        <v>0</v>
      </c>
    </row>
    <row r="5302" spans="1:4">
      <c r="A5302" s="50">
        <v>45147</v>
      </c>
      <c r="B5302" s="49" t="s">
        <v>50</v>
      </c>
      <c r="C5302" s="51">
        <v>60049.8</v>
      </c>
      <c r="D5302" s="51">
        <v>0</v>
      </c>
    </row>
    <row r="5303" spans="1:4">
      <c r="A5303" s="50">
        <v>45147</v>
      </c>
      <c r="B5303" s="49" t="s">
        <v>51</v>
      </c>
      <c r="C5303" s="51">
        <v>71423.8</v>
      </c>
      <c r="D5303" s="51">
        <v>0</v>
      </c>
    </row>
    <row r="5304" spans="1:4">
      <c r="A5304" s="50">
        <v>45147</v>
      </c>
      <c r="B5304" s="49" t="s">
        <v>52</v>
      </c>
      <c r="C5304" s="51">
        <v>76020.399999999994</v>
      </c>
      <c r="D5304" s="51">
        <v>0</v>
      </c>
    </row>
    <row r="5305" spans="1:4">
      <c r="A5305" s="50">
        <v>45147</v>
      </c>
      <c r="B5305" s="49" t="s">
        <v>53</v>
      </c>
      <c r="C5305" s="51">
        <v>74384.7</v>
      </c>
      <c r="D5305" s="51">
        <v>0</v>
      </c>
    </row>
    <row r="5306" spans="1:4">
      <c r="A5306" s="50">
        <v>45148</v>
      </c>
      <c r="B5306" s="49" t="s">
        <v>30</v>
      </c>
      <c r="C5306" s="51">
        <v>50558.1</v>
      </c>
      <c r="D5306" s="51">
        <v>0</v>
      </c>
    </row>
    <row r="5307" spans="1:4">
      <c r="A5307" s="50">
        <v>45148</v>
      </c>
      <c r="B5307" s="49" t="s">
        <v>31</v>
      </c>
      <c r="C5307" s="51">
        <v>50901.3</v>
      </c>
      <c r="D5307" s="51">
        <v>0</v>
      </c>
    </row>
    <row r="5308" spans="1:4">
      <c r="A5308" s="50">
        <v>45148</v>
      </c>
      <c r="B5308" s="49" t="s">
        <v>32</v>
      </c>
      <c r="C5308" s="51">
        <v>51014.1</v>
      </c>
      <c r="D5308" s="51">
        <v>0</v>
      </c>
    </row>
    <row r="5309" spans="1:4">
      <c r="A5309" s="50">
        <v>45148</v>
      </c>
      <c r="B5309" s="49" t="s">
        <v>33</v>
      </c>
      <c r="C5309" s="51">
        <v>50944.3</v>
      </c>
      <c r="D5309" s="51">
        <v>0</v>
      </c>
    </row>
    <row r="5310" spans="1:4">
      <c r="A5310" s="50">
        <v>45148</v>
      </c>
      <c r="B5310" s="49" t="s">
        <v>34</v>
      </c>
      <c r="C5310" s="51">
        <v>50642.9</v>
      </c>
      <c r="D5310" s="51">
        <v>0</v>
      </c>
    </row>
    <row r="5311" spans="1:4">
      <c r="A5311" s="50">
        <v>45148</v>
      </c>
      <c r="B5311" s="49" t="s">
        <v>35</v>
      </c>
      <c r="C5311" s="51">
        <v>50717.1</v>
      </c>
      <c r="D5311" s="51">
        <v>0</v>
      </c>
    </row>
    <row r="5312" spans="1:4">
      <c r="A5312" s="50">
        <v>45148</v>
      </c>
      <c r="B5312" s="49" t="s">
        <v>36</v>
      </c>
      <c r="C5312" s="51">
        <v>50538.8</v>
      </c>
      <c r="D5312" s="51">
        <v>0</v>
      </c>
    </row>
    <row r="5313" spans="1:4">
      <c r="A5313" s="50">
        <v>45148</v>
      </c>
      <c r="B5313" s="49" t="s">
        <v>37</v>
      </c>
      <c r="C5313" s="51">
        <v>50785.3</v>
      </c>
      <c r="D5313" s="51">
        <v>0</v>
      </c>
    </row>
    <row r="5314" spans="1:4">
      <c r="A5314" s="50">
        <v>45148</v>
      </c>
      <c r="B5314" s="49" t="s">
        <v>38</v>
      </c>
      <c r="C5314" s="51">
        <v>51597.599999999999</v>
      </c>
      <c r="D5314" s="51">
        <v>0</v>
      </c>
    </row>
    <row r="5315" spans="1:4">
      <c r="A5315" s="50">
        <v>45148</v>
      </c>
      <c r="B5315" s="49" t="s">
        <v>39</v>
      </c>
      <c r="C5315" s="51">
        <v>50726.7</v>
      </c>
      <c r="D5315" s="51">
        <v>0</v>
      </c>
    </row>
    <row r="5316" spans="1:4">
      <c r="A5316" s="50">
        <v>45148</v>
      </c>
      <c r="B5316" s="49" t="s">
        <v>40</v>
      </c>
      <c r="C5316" s="51">
        <v>50787.9</v>
      </c>
      <c r="D5316" s="51">
        <v>0</v>
      </c>
    </row>
    <row r="5317" spans="1:4">
      <c r="A5317" s="50">
        <v>45148</v>
      </c>
      <c r="B5317" s="49" t="s">
        <v>41</v>
      </c>
      <c r="C5317" s="51">
        <v>50622.6</v>
      </c>
      <c r="D5317" s="51">
        <v>0</v>
      </c>
    </row>
    <row r="5318" spans="1:4">
      <c r="A5318" s="50">
        <v>45148</v>
      </c>
      <c r="B5318" s="49" t="s">
        <v>42</v>
      </c>
      <c r="C5318" s="51">
        <v>50862.3</v>
      </c>
      <c r="D5318" s="51">
        <v>0</v>
      </c>
    </row>
    <row r="5319" spans="1:4">
      <c r="A5319" s="50">
        <v>45148</v>
      </c>
      <c r="B5319" s="49" t="s">
        <v>43</v>
      </c>
      <c r="C5319" s="51">
        <v>51261.9</v>
      </c>
      <c r="D5319" s="51">
        <v>0</v>
      </c>
    </row>
    <row r="5320" spans="1:4">
      <c r="A5320" s="50">
        <v>45148</v>
      </c>
      <c r="B5320" s="49" t="s">
        <v>44</v>
      </c>
      <c r="C5320" s="51">
        <v>51489.1</v>
      </c>
      <c r="D5320" s="51">
        <v>0</v>
      </c>
    </row>
    <row r="5321" spans="1:4">
      <c r="A5321" s="50">
        <v>45148</v>
      </c>
      <c r="B5321" s="49" t="s">
        <v>45</v>
      </c>
      <c r="C5321" s="51">
        <v>51462.5</v>
      </c>
      <c r="D5321" s="51">
        <v>0</v>
      </c>
    </row>
    <row r="5322" spans="1:4">
      <c r="A5322" s="50">
        <v>45148</v>
      </c>
      <c r="B5322" s="49" t="s">
        <v>46</v>
      </c>
      <c r="C5322" s="51">
        <v>51392.7</v>
      </c>
      <c r="D5322" s="51">
        <v>0</v>
      </c>
    </row>
    <row r="5323" spans="1:4">
      <c r="A5323" s="50">
        <v>45148</v>
      </c>
      <c r="B5323" s="49" t="s">
        <v>47</v>
      </c>
      <c r="C5323" s="51">
        <v>51423.9</v>
      </c>
      <c r="D5323" s="51">
        <v>0</v>
      </c>
    </row>
    <row r="5324" spans="1:4">
      <c r="A5324" s="50">
        <v>45148</v>
      </c>
      <c r="B5324" s="49" t="s">
        <v>48</v>
      </c>
      <c r="C5324" s="51">
        <v>51404.3</v>
      </c>
      <c r="D5324" s="51">
        <v>0</v>
      </c>
    </row>
    <row r="5325" spans="1:4">
      <c r="A5325" s="50">
        <v>45148</v>
      </c>
      <c r="B5325" s="49" t="s">
        <v>49</v>
      </c>
      <c r="C5325" s="51">
        <v>66714.899999999994</v>
      </c>
      <c r="D5325" s="51">
        <v>0</v>
      </c>
    </row>
    <row r="5326" spans="1:4">
      <c r="A5326" s="50">
        <v>45148</v>
      </c>
      <c r="B5326" s="49" t="s">
        <v>50</v>
      </c>
      <c r="C5326" s="51">
        <v>67391.5</v>
      </c>
      <c r="D5326" s="51">
        <v>0</v>
      </c>
    </row>
    <row r="5327" spans="1:4">
      <c r="A5327" s="50">
        <v>45148</v>
      </c>
      <c r="B5327" s="49" t="s">
        <v>51</v>
      </c>
      <c r="C5327" s="51">
        <v>60089</v>
      </c>
      <c r="D5327" s="51">
        <v>0</v>
      </c>
    </row>
    <row r="5328" spans="1:4">
      <c r="A5328" s="50">
        <v>45148</v>
      </c>
      <c r="B5328" s="49" t="s">
        <v>52</v>
      </c>
      <c r="C5328" s="51">
        <v>67327.100000000006</v>
      </c>
      <c r="D5328" s="51">
        <v>0</v>
      </c>
    </row>
    <row r="5329" spans="1:4">
      <c r="A5329" s="50">
        <v>45148</v>
      </c>
      <c r="B5329" s="49" t="s">
        <v>53</v>
      </c>
      <c r="C5329" s="51">
        <v>66701.8</v>
      </c>
      <c r="D5329" s="51">
        <v>0</v>
      </c>
    </row>
    <row r="5330" spans="1:4">
      <c r="A5330" s="50">
        <v>45149</v>
      </c>
      <c r="B5330" s="49" t="s">
        <v>30</v>
      </c>
      <c r="C5330" s="51">
        <v>67027.3</v>
      </c>
      <c r="D5330" s="51">
        <v>0</v>
      </c>
    </row>
    <row r="5331" spans="1:4">
      <c r="A5331" s="50">
        <v>45149</v>
      </c>
      <c r="B5331" s="49" t="s">
        <v>31</v>
      </c>
      <c r="C5331" s="51">
        <v>67674.899999999994</v>
      </c>
      <c r="D5331" s="51">
        <v>0</v>
      </c>
    </row>
    <row r="5332" spans="1:4">
      <c r="A5332" s="50">
        <v>45149</v>
      </c>
      <c r="B5332" s="49" t="s">
        <v>32</v>
      </c>
      <c r="C5332" s="51">
        <v>67537.5</v>
      </c>
      <c r="D5332" s="51">
        <v>0</v>
      </c>
    </row>
    <row r="5333" spans="1:4">
      <c r="A5333" s="50">
        <v>45149</v>
      </c>
      <c r="B5333" s="49" t="s">
        <v>33</v>
      </c>
      <c r="C5333" s="51">
        <v>52685.599999999999</v>
      </c>
      <c r="D5333" s="51">
        <v>0</v>
      </c>
    </row>
    <row r="5334" spans="1:4">
      <c r="A5334" s="50">
        <v>45149</v>
      </c>
      <c r="B5334" s="49" t="s">
        <v>34</v>
      </c>
      <c r="C5334" s="51">
        <v>51123.1</v>
      </c>
      <c r="D5334" s="51">
        <v>0</v>
      </c>
    </row>
    <row r="5335" spans="1:4">
      <c r="A5335" s="50">
        <v>45149</v>
      </c>
      <c r="B5335" s="49" t="s">
        <v>35</v>
      </c>
      <c r="C5335" s="51">
        <v>51018.5</v>
      </c>
      <c r="D5335" s="51">
        <v>0</v>
      </c>
    </row>
    <row r="5336" spans="1:4">
      <c r="A5336" s="50">
        <v>45149</v>
      </c>
      <c r="B5336" s="49" t="s">
        <v>36</v>
      </c>
      <c r="C5336" s="51">
        <v>51083.199999999997</v>
      </c>
      <c r="D5336" s="51">
        <v>0</v>
      </c>
    </row>
    <row r="5337" spans="1:4">
      <c r="A5337" s="50">
        <v>45149</v>
      </c>
      <c r="B5337" s="49" t="s">
        <v>37</v>
      </c>
      <c r="C5337" s="51">
        <v>50965.9</v>
      </c>
      <c r="D5337" s="51">
        <v>0</v>
      </c>
    </row>
    <row r="5338" spans="1:4">
      <c r="A5338" s="50">
        <v>45149</v>
      </c>
      <c r="B5338" s="49" t="s">
        <v>38</v>
      </c>
      <c r="C5338" s="51">
        <v>51746</v>
      </c>
      <c r="D5338" s="51">
        <v>0</v>
      </c>
    </row>
    <row r="5339" spans="1:4">
      <c r="A5339" s="50">
        <v>45149</v>
      </c>
      <c r="B5339" s="49" t="s">
        <v>39</v>
      </c>
      <c r="C5339" s="51">
        <v>51759.8</v>
      </c>
      <c r="D5339" s="51">
        <v>0</v>
      </c>
    </row>
    <row r="5340" spans="1:4">
      <c r="A5340" s="50">
        <v>45149</v>
      </c>
      <c r="B5340" s="49" t="s">
        <v>40</v>
      </c>
      <c r="C5340" s="51">
        <v>51766</v>
      </c>
      <c r="D5340" s="51">
        <v>0</v>
      </c>
    </row>
    <row r="5341" spans="1:4">
      <c r="A5341" s="50">
        <v>45149</v>
      </c>
      <c r="B5341" s="49" t="s">
        <v>41</v>
      </c>
      <c r="C5341" s="51">
        <v>51794.7</v>
      </c>
      <c r="D5341" s="51">
        <v>0</v>
      </c>
    </row>
    <row r="5342" spans="1:4">
      <c r="A5342" s="50">
        <v>45149</v>
      </c>
      <c r="B5342" s="49" t="s">
        <v>42</v>
      </c>
      <c r="C5342" s="51">
        <v>51795.6</v>
      </c>
      <c r="D5342" s="51">
        <v>0</v>
      </c>
    </row>
    <row r="5343" spans="1:4">
      <c r="A5343" s="50">
        <v>45149</v>
      </c>
      <c r="B5343" s="49" t="s">
        <v>43</v>
      </c>
      <c r="C5343" s="51">
        <v>51822.7</v>
      </c>
      <c r="D5343" s="51">
        <v>0</v>
      </c>
    </row>
    <row r="5344" spans="1:4">
      <c r="A5344" s="50">
        <v>45149</v>
      </c>
      <c r="B5344" s="49" t="s">
        <v>44</v>
      </c>
      <c r="C5344" s="51">
        <v>61867.7</v>
      </c>
      <c r="D5344" s="51">
        <v>0</v>
      </c>
    </row>
    <row r="5345" spans="1:4">
      <c r="A5345" s="50">
        <v>45149</v>
      </c>
      <c r="B5345" s="49" t="s">
        <v>45</v>
      </c>
      <c r="C5345" s="51">
        <v>65495.1</v>
      </c>
      <c r="D5345" s="51">
        <v>0</v>
      </c>
    </row>
    <row r="5346" spans="1:4">
      <c r="A5346" s="50">
        <v>45149</v>
      </c>
      <c r="B5346" s="49" t="s">
        <v>46</v>
      </c>
      <c r="C5346" s="51">
        <v>53106.5</v>
      </c>
      <c r="D5346" s="51">
        <v>0</v>
      </c>
    </row>
    <row r="5347" spans="1:4">
      <c r="A5347" s="50">
        <v>45149</v>
      </c>
      <c r="B5347" s="49" t="s">
        <v>47</v>
      </c>
      <c r="C5347" s="51">
        <v>53238.3</v>
      </c>
      <c r="D5347" s="51">
        <v>0</v>
      </c>
    </row>
    <row r="5348" spans="1:4">
      <c r="A5348" s="50">
        <v>45149</v>
      </c>
      <c r="B5348" s="49" t="s">
        <v>48</v>
      </c>
      <c r="C5348" s="51">
        <v>53300.7</v>
      </c>
      <c r="D5348" s="51">
        <v>0</v>
      </c>
    </row>
    <row r="5349" spans="1:4">
      <c r="A5349" s="50">
        <v>45149</v>
      </c>
      <c r="B5349" s="49" t="s">
        <v>49</v>
      </c>
      <c r="C5349" s="51">
        <v>53252.3</v>
      </c>
      <c r="D5349" s="51">
        <v>0</v>
      </c>
    </row>
    <row r="5350" spans="1:4">
      <c r="A5350" s="50">
        <v>45149</v>
      </c>
      <c r="B5350" s="49" t="s">
        <v>50</v>
      </c>
      <c r="C5350" s="51">
        <v>64510.1</v>
      </c>
      <c r="D5350" s="51">
        <v>0</v>
      </c>
    </row>
    <row r="5351" spans="1:4">
      <c r="A5351" s="50">
        <v>45149</v>
      </c>
      <c r="B5351" s="49" t="s">
        <v>51</v>
      </c>
      <c r="C5351" s="51">
        <v>54984.3</v>
      </c>
      <c r="D5351" s="51">
        <v>0</v>
      </c>
    </row>
    <row r="5352" spans="1:4">
      <c r="A5352" s="50">
        <v>45149</v>
      </c>
      <c r="B5352" s="49" t="s">
        <v>52</v>
      </c>
      <c r="C5352" s="51">
        <v>53814.2</v>
      </c>
      <c r="D5352" s="51">
        <v>0</v>
      </c>
    </row>
    <row r="5353" spans="1:4">
      <c r="A5353" s="50">
        <v>45149</v>
      </c>
      <c r="B5353" s="49" t="s">
        <v>53</v>
      </c>
      <c r="C5353" s="51">
        <v>53420.1</v>
      </c>
      <c r="D5353" s="51">
        <v>0</v>
      </c>
    </row>
    <row r="5354" spans="1:4">
      <c r="A5354" s="50">
        <v>45150</v>
      </c>
      <c r="B5354" s="49" t="s">
        <v>30</v>
      </c>
      <c r="C5354" s="51">
        <v>52959.9</v>
      </c>
      <c r="D5354" s="51">
        <v>0</v>
      </c>
    </row>
    <row r="5355" spans="1:4">
      <c r="A5355" s="50">
        <v>45150</v>
      </c>
      <c r="B5355" s="49" t="s">
        <v>31</v>
      </c>
      <c r="C5355" s="51">
        <v>53158.400000000001</v>
      </c>
      <c r="D5355" s="51">
        <v>0</v>
      </c>
    </row>
    <row r="5356" spans="1:4">
      <c r="A5356" s="50">
        <v>45150</v>
      </c>
      <c r="B5356" s="49" t="s">
        <v>32</v>
      </c>
      <c r="C5356" s="51">
        <v>53324</v>
      </c>
      <c r="D5356" s="51">
        <v>0</v>
      </c>
    </row>
    <row r="5357" spans="1:4">
      <c r="A5357" s="50">
        <v>45150</v>
      </c>
      <c r="B5357" s="49" t="s">
        <v>33</v>
      </c>
      <c r="C5357" s="51">
        <v>53819.8</v>
      </c>
      <c r="D5357" s="51">
        <v>0</v>
      </c>
    </row>
    <row r="5358" spans="1:4">
      <c r="A5358" s="50">
        <v>45150</v>
      </c>
      <c r="B5358" s="49" t="s">
        <v>34</v>
      </c>
      <c r="C5358" s="51">
        <v>53719.3</v>
      </c>
      <c r="D5358" s="51">
        <v>0</v>
      </c>
    </row>
    <row r="5359" spans="1:4">
      <c r="A5359" s="50">
        <v>45150</v>
      </c>
      <c r="B5359" s="49" t="s">
        <v>35</v>
      </c>
      <c r="C5359" s="51">
        <v>54115.199999999997</v>
      </c>
      <c r="D5359" s="51">
        <v>0</v>
      </c>
    </row>
    <row r="5360" spans="1:4">
      <c r="A5360" s="50">
        <v>45150</v>
      </c>
      <c r="B5360" s="49" t="s">
        <v>36</v>
      </c>
      <c r="C5360" s="51">
        <v>54175.4</v>
      </c>
      <c r="D5360" s="51">
        <v>0</v>
      </c>
    </row>
    <row r="5361" spans="1:4">
      <c r="A5361" s="50">
        <v>45150</v>
      </c>
      <c r="B5361" s="49" t="s">
        <v>37</v>
      </c>
      <c r="C5361" s="51">
        <v>54128</v>
      </c>
      <c r="D5361" s="51">
        <v>0</v>
      </c>
    </row>
    <row r="5362" spans="1:4">
      <c r="A5362" s="50">
        <v>45150</v>
      </c>
      <c r="B5362" s="49" t="s">
        <v>38</v>
      </c>
      <c r="C5362" s="51">
        <v>54216.6</v>
      </c>
      <c r="D5362" s="51">
        <v>0</v>
      </c>
    </row>
    <row r="5363" spans="1:4">
      <c r="A5363" s="50">
        <v>45150</v>
      </c>
      <c r="B5363" s="49" t="s">
        <v>39</v>
      </c>
      <c r="C5363" s="51">
        <v>54293.3</v>
      </c>
      <c r="D5363" s="51">
        <v>0</v>
      </c>
    </row>
    <row r="5364" spans="1:4">
      <c r="A5364" s="50">
        <v>45150</v>
      </c>
      <c r="B5364" s="49" t="s">
        <v>40</v>
      </c>
      <c r="C5364" s="51">
        <v>54293.8</v>
      </c>
      <c r="D5364" s="51">
        <v>0</v>
      </c>
    </row>
    <row r="5365" spans="1:4">
      <c r="A5365" s="50">
        <v>45150</v>
      </c>
      <c r="B5365" s="49" t="s">
        <v>41</v>
      </c>
      <c r="C5365" s="51">
        <v>54265.3</v>
      </c>
      <c r="D5365" s="51">
        <v>0</v>
      </c>
    </row>
    <row r="5366" spans="1:4">
      <c r="A5366" s="50">
        <v>45150</v>
      </c>
      <c r="B5366" s="49" t="s">
        <v>42</v>
      </c>
      <c r="C5366" s="51">
        <v>54226.3</v>
      </c>
      <c r="D5366" s="51">
        <v>0</v>
      </c>
    </row>
    <row r="5367" spans="1:4">
      <c r="A5367" s="50">
        <v>45150</v>
      </c>
      <c r="B5367" s="49" t="s">
        <v>43</v>
      </c>
      <c r="C5367" s="51">
        <v>63935.9</v>
      </c>
      <c r="D5367" s="51">
        <v>0</v>
      </c>
    </row>
    <row r="5368" spans="1:4">
      <c r="A5368" s="50">
        <v>45150</v>
      </c>
      <c r="B5368" s="49" t="s">
        <v>44</v>
      </c>
      <c r="C5368" s="51">
        <v>68214.5</v>
      </c>
      <c r="D5368" s="51">
        <v>0</v>
      </c>
    </row>
    <row r="5369" spans="1:4">
      <c r="A5369" s="50">
        <v>45150</v>
      </c>
      <c r="B5369" s="49" t="s">
        <v>45</v>
      </c>
      <c r="C5369" s="51">
        <v>55006.400000000001</v>
      </c>
      <c r="D5369" s="51">
        <v>0</v>
      </c>
    </row>
    <row r="5370" spans="1:4">
      <c r="A5370" s="50">
        <v>45150</v>
      </c>
      <c r="B5370" s="49" t="s">
        <v>46</v>
      </c>
      <c r="C5370" s="51">
        <v>53893.7</v>
      </c>
      <c r="D5370" s="51">
        <v>0</v>
      </c>
    </row>
    <row r="5371" spans="1:4">
      <c r="A5371" s="50">
        <v>45150</v>
      </c>
      <c r="B5371" s="49" t="s">
        <v>47</v>
      </c>
      <c r="C5371" s="51">
        <v>53342.1</v>
      </c>
      <c r="D5371" s="51">
        <v>0</v>
      </c>
    </row>
    <row r="5372" spans="1:4">
      <c r="A5372" s="50">
        <v>45150</v>
      </c>
      <c r="B5372" s="49" t="s">
        <v>48</v>
      </c>
      <c r="C5372" s="51">
        <v>53408.3</v>
      </c>
      <c r="D5372" s="51">
        <v>0</v>
      </c>
    </row>
    <row r="5373" spans="1:4">
      <c r="A5373" s="50">
        <v>45150</v>
      </c>
      <c r="B5373" s="49" t="s">
        <v>49</v>
      </c>
      <c r="C5373" s="51">
        <v>52712.5</v>
      </c>
      <c r="D5373" s="51">
        <v>0</v>
      </c>
    </row>
    <row r="5374" spans="1:4">
      <c r="A5374" s="50">
        <v>45150</v>
      </c>
      <c r="B5374" s="49" t="s">
        <v>50</v>
      </c>
      <c r="C5374" s="51">
        <v>54426.6</v>
      </c>
      <c r="D5374" s="51">
        <v>0</v>
      </c>
    </row>
    <row r="5375" spans="1:4">
      <c r="A5375" s="50">
        <v>45150</v>
      </c>
      <c r="B5375" s="49" t="s">
        <v>51</v>
      </c>
      <c r="C5375" s="51">
        <v>54465.9</v>
      </c>
      <c r="D5375" s="51">
        <v>0</v>
      </c>
    </row>
    <row r="5376" spans="1:4">
      <c r="A5376" s="50">
        <v>45150</v>
      </c>
      <c r="B5376" s="49" t="s">
        <v>52</v>
      </c>
      <c r="C5376" s="51">
        <v>54533.9</v>
      </c>
      <c r="D5376" s="51">
        <v>0</v>
      </c>
    </row>
    <row r="5377" spans="1:4">
      <c r="A5377" s="50">
        <v>45150</v>
      </c>
      <c r="B5377" s="49" t="s">
        <v>53</v>
      </c>
      <c r="C5377" s="51">
        <v>54050.8</v>
      </c>
      <c r="D5377" s="51">
        <v>0</v>
      </c>
    </row>
    <row r="5378" spans="1:4">
      <c r="A5378" s="50">
        <v>45151</v>
      </c>
      <c r="B5378" s="49" t="s">
        <v>30</v>
      </c>
      <c r="C5378" s="51">
        <v>53713.3</v>
      </c>
      <c r="D5378" s="51">
        <v>0</v>
      </c>
    </row>
    <row r="5379" spans="1:4">
      <c r="A5379" s="50">
        <v>45151</v>
      </c>
      <c r="B5379" s="49" t="s">
        <v>31</v>
      </c>
      <c r="C5379" s="51">
        <v>53529.4</v>
      </c>
      <c r="D5379" s="51">
        <v>0</v>
      </c>
    </row>
    <row r="5380" spans="1:4">
      <c r="A5380" s="50">
        <v>45151</v>
      </c>
      <c r="B5380" s="49" t="s">
        <v>32</v>
      </c>
      <c r="C5380" s="51">
        <v>53577.5</v>
      </c>
      <c r="D5380" s="51">
        <v>0</v>
      </c>
    </row>
    <row r="5381" spans="1:4">
      <c r="A5381" s="50">
        <v>45151</v>
      </c>
      <c r="B5381" s="49" t="s">
        <v>33</v>
      </c>
      <c r="C5381" s="51">
        <v>53523.3</v>
      </c>
      <c r="D5381" s="51">
        <v>0</v>
      </c>
    </row>
    <row r="5382" spans="1:4">
      <c r="A5382" s="50">
        <v>45151</v>
      </c>
      <c r="B5382" s="49" t="s">
        <v>34</v>
      </c>
      <c r="C5382" s="51">
        <v>53526.2</v>
      </c>
      <c r="D5382" s="51">
        <v>0</v>
      </c>
    </row>
    <row r="5383" spans="1:4">
      <c r="A5383" s="50">
        <v>45151</v>
      </c>
      <c r="B5383" s="49" t="s">
        <v>35</v>
      </c>
      <c r="C5383" s="51">
        <v>53479.9</v>
      </c>
      <c r="D5383" s="51">
        <v>0</v>
      </c>
    </row>
    <row r="5384" spans="1:4">
      <c r="A5384" s="50">
        <v>45151</v>
      </c>
      <c r="B5384" s="49" t="s">
        <v>36</v>
      </c>
      <c r="C5384" s="51">
        <v>53516</v>
      </c>
      <c r="D5384" s="51">
        <v>0</v>
      </c>
    </row>
    <row r="5385" spans="1:4">
      <c r="A5385" s="50">
        <v>45151</v>
      </c>
      <c r="B5385" s="49" t="s">
        <v>37</v>
      </c>
      <c r="C5385" s="51">
        <v>53574.9</v>
      </c>
      <c r="D5385" s="51">
        <v>0</v>
      </c>
    </row>
    <row r="5386" spans="1:4">
      <c r="A5386" s="50">
        <v>45151</v>
      </c>
      <c r="B5386" s="49" t="s">
        <v>38</v>
      </c>
      <c r="C5386" s="51">
        <v>53600.2</v>
      </c>
      <c r="D5386" s="51">
        <v>0</v>
      </c>
    </row>
    <row r="5387" spans="1:4">
      <c r="A5387" s="50">
        <v>45151</v>
      </c>
      <c r="B5387" s="49" t="s">
        <v>39</v>
      </c>
      <c r="C5387" s="51">
        <v>53565.5</v>
      </c>
      <c r="D5387" s="51">
        <v>0</v>
      </c>
    </row>
    <row r="5388" spans="1:4">
      <c r="A5388" s="50">
        <v>45151</v>
      </c>
      <c r="B5388" s="49" t="s">
        <v>40</v>
      </c>
      <c r="C5388" s="51">
        <v>53577.9</v>
      </c>
      <c r="D5388" s="51">
        <v>0</v>
      </c>
    </row>
    <row r="5389" spans="1:4">
      <c r="A5389" s="50">
        <v>45151</v>
      </c>
      <c r="B5389" s="49" t="s">
        <v>41</v>
      </c>
      <c r="C5389" s="51">
        <v>53687.3</v>
      </c>
      <c r="D5389" s="51">
        <v>0</v>
      </c>
    </row>
    <row r="5390" spans="1:4">
      <c r="A5390" s="50">
        <v>45151</v>
      </c>
      <c r="B5390" s="49" t="s">
        <v>42</v>
      </c>
      <c r="C5390" s="51">
        <v>53679.6</v>
      </c>
      <c r="D5390" s="51">
        <v>0</v>
      </c>
    </row>
    <row r="5391" spans="1:4">
      <c r="A5391" s="50">
        <v>45151</v>
      </c>
      <c r="B5391" s="49" t="s">
        <v>43</v>
      </c>
      <c r="C5391" s="51">
        <v>53676.2</v>
      </c>
      <c r="D5391" s="51">
        <v>0</v>
      </c>
    </row>
    <row r="5392" spans="1:4">
      <c r="A5392" s="50">
        <v>45151</v>
      </c>
      <c r="B5392" s="49" t="s">
        <v>44</v>
      </c>
      <c r="C5392" s="51">
        <v>53657.2</v>
      </c>
      <c r="D5392" s="51">
        <v>0</v>
      </c>
    </row>
    <row r="5393" spans="1:4">
      <c r="A5393" s="50">
        <v>45151</v>
      </c>
      <c r="B5393" s="49" t="s">
        <v>45</v>
      </c>
      <c r="C5393" s="51">
        <v>53692.7</v>
      </c>
      <c r="D5393" s="51">
        <v>0</v>
      </c>
    </row>
    <row r="5394" spans="1:4">
      <c r="A5394" s="50">
        <v>45151</v>
      </c>
      <c r="B5394" s="49" t="s">
        <v>46</v>
      </c>
      <c r="C5394" s="51">
        <v>52686.400000000001</v>
      </c>
      <c r="D5394" s="51">
        <v>0</v>
      </c>
    </row>
    <row r="5395" spans="1:4">
      <c r="A5395" s="50">
        <v>45151</v>
      </c>
      <c r="B5395" s="49" t="s">
        <v>47</v>
      </c>
      <c r="C5395" s="51">
        <v>52591.199999999997</v>
      </c>
      <c r="D5395" s="51">
        <v>0</v>
      </c>
    </row>
    <row r="5396" spans="1:4">
      <c r="A5396" s="50">
        <v>45151</v>
      </c>
      <c r="B5396" s="49" t="s">
        <v>48</v>
      </c>
      <c r="C5396" s="51">
        <v>52687.4</v>
      </c>
      <c r="D5396" s="51">
        <v>0</v>
      </c>
    </row>
    <row r="5397" spans="1:4">
      <c r="A5397" s="50">
        <v>45151</v>
      </c>
      <c r="B5397" s="49" t="s">
        <v>49</v>
      </c>
      <c r="C5397" s="51">
        <v>53349</v>
      </c>
      <c r="D5397" s="51">
        <v>0</v>
      </c>
    </row>
    <row r="5398" spans="1:4">
      <c r="A5398" s="50">
        <v>45151</v>
      </c>
      <c r="B5398" s="49" t="s">
        <v>50</v>
      </c>
      <c r="C5398" s="51">
        <v>54006.9</v>
      </c>
      <c r="D5398" s="51">
        <v>0</v>
      </c>
    </row>
    <row r="5399" spans="1:4">
      <c r="A5399" s="50">
        <v>45151</v>
      </c>
      <c r="B5399" s="49" t="s">
        <v>51</v>
      </c>
      <c r="C5399" s="51">
        <v>53057.3</v>
      </c>
      <c r="D5399" s="51">
        <v>0</v>
      </c>
    </row>
    <row r="5400" spans="1:4">
      <c r="A5400" s="50">
        <v>45151</v>
      </c>
      <c r="B5400" s="49" t="s">
        <v>52</v>
      </c>
      <c r="C5400" s="51">
        <v>54184.3</v>
      </c>
      <c r="D5400" s="51">
        <v>0</v>
      </c>
    </row>
    <row r="5401" spans="1:4">
      <c r="A5401" s="50">
        <v>45151</v>
      </c>
      <c r="B5401" s="49" t="s">
        <v>53</v>
      </c>
      <c r="C5401" s="51">
        <v>54214.5</v>
      </c>
      <c r="D5401" s="51">
        <v>0</v>
      </c>
    </row>
    <row r="5402" spans="1:4">
      <c r="A5402" s="50">
        <v>45152</v>
      </c>
      <c r="B5402" s="49" t="s">
        <v>30</v>
      </c>
      <c r="C5402" s="51">
        <v>60530.9</v>
      </c>
      <c r="D5402" s="51">
        <v>0</v>
      </c>
    </row>
    <row r="5403" spans="1:4">
      <c r="A5403" s="50">
        <v>45152</v>
      </c>
      <c r="B5403" s="49" t="s">
        <v>31</v>
      </c>
      <c r="C5403" s="51">
        <v>60923.3</v>
      </c>
      <c r="D5403" s="51">
        <v>0</v>
      </c>
    </row>
    <row r="5404" spans="1:4">
      <c r="A5404" s="50">
        <v>45152</v>
      </c>
      <c r="B5404" s="49" t="s">
        <v>32</v>
      </c>
      <c r="C5404" s="51">
        <v>61551.199999999997</v>
      </c>
      <c r="D5404" s="51">
        <v>0</v>
      </c>
    </row>
    <row r="5405" spans="1:4">
      <c r="A5405" s="50">
        <v>45152</v>
      </c>
      <c r="B5405" s="49" t="s">
        <v>33</v>
      </c>
      <c r="C5405" s="51">
        <v>61662.400000000001</v>
      </c>
      <c r="D5405" s="51">
        <v>0</v>
      </c>
    </row>
    <row r="5406" spans="1:4">
      <c r="A5406" s="50">
        <v>45152</v>
      </c>
      <c r="B5406" s="49" t="s">
        <v>34</v>
      </c>
      <c r="C5406" s="51">
        <v>62500.2</v>
      </c>
      <c r="D5406" s="51">
        <v>0</v>
      </c>
    </row>
    <row r="5407" spans="1:4">
      <c r="A5407" s="50">
        <v>45152</v>
      </c>
      <c r="B5407" s="49" t="s">
        <v>35</v>
      </c>
      <c r="C5407" s="51">
        <v>62353</v>
      </c>
      <c r="D5407" s="51">
        <v>0</v>
      </c>
    </row>
    <row r="5408" spans="1:4">
      <c r="A5408" s="50">
        <v>45152</v>
      </c>
      <c r="B5408" s="49" t="s">
        <v>36</v>
      </c>
      <c r="C5408" s="51">
        <v>62436.6</v>
      </c>
      <c r="D5408" s="51">
        <v>0</v>
      </c>
    </row>
    <row r="5409" spans="1:4">
      <c r="A5409" s="50">
        <v>45152</v>
      </c>
      <c r="B5409" s="49" t="s">
        <v>37</v>
      </c>
      <c r="C5409" s="51">
        <v>62512.3</v>
      </c>
      <c r="D5409" s="51">
        <v>0</v>
      </c>
    </row>
    <row r="5410" spans="1:4">
      <c r="A5410" s="50">
        <v>45152</v>
      </c>
      <c r="B5410" s="49" t="s">
        <v>38</v>
      </c>
      <c r="C5410" s="51">
        <v>62528.800000000003</v>
      </c>
      <c r="D5410" s="51">
        <v>0</v>
      </c>
    </row>
    <row r="5411" spans="1:4">
      <c r="A5411" s="50">
        <v>45152</v>
      </c>
      <c r="B5411" s="49" t="s">
        <v>39</v>
      </c>
      <c r="C5411" s="51">
        <v>62607.5</v>
      </c>
      <c r="D5411" s="51">
        <v>0</v>
      </c>
    </row>
    <row r="5412" spans="1:4">
      <c r="A5412" s="50">
        <v>45152</v>
      </c>
      <c r="B5412" s="49" t="s">
        <v>40</v>
      </c>
      <c r="C5412" s="51">
        <v>62417.9</v>
      </c>
      <c r="D5412" s="51">
        <v>0</v>
      </c>
    </row>
    <row r="5413" spans="1:4">
      <c r="A5413" s="50">
        <v>45152</v>
      </c>
      <c r="B5413" s="49" t="s">
        <v>41</v>
      </c>
      <c r="C5413" s="51">
        <v>62638.7</v>
      </c>
      <c r="D5413" s="51">
        <v>0</v>
      </c>
    </row>
    <row r="5414" spans="1:4">
      <c r="A5414" s="50">
        <v>45152</v>
      </c>
      <c r="B5414" s="49" t="s">
        <v>42</v>
      </c>
      <c r="C5414" s="51">
        <v>62472.7</v>
      </c>
      <c r="D5414" s="51">
        <v>0</v>
      </c>
    </row>
    <row r="5415" spans="1:4">
      <c r="A5415" s="50">
        <v>45152</v>
      </c>
      <c r="B5415" s="49" t="s">
        <v>43</v>
      </c>
      <c r="C5415" s="51">
        <v>62556.9</v>
      </c>
      <c r="D5415" s="51">
        <v>0</v>
      </c>
    </row>
    <row r="5416" spans="1:4">
      <c r="A5416" s="50">
        <v>45152</v>
      </c>
      <c r="B5416" s="49" t="s">
        <v>44</v>
      </c>
      <c r="C5416" s="51">
        <v>62538.3</v>
      </c>
      <c r="D5416" s="51">
        <v>0</v>
      </c>
    </row>
    <row r="5417" spans="1:4">
      <c r="A5417" s="50">
        <v>45152</v>
      </c>
      <c r="B5417" s="49" t="s">
        <v>45</v>
      </c>
      <c r="C5417" s="51">
        <v>62490.3</v>
      </c>
      <c r="D5417" s="51">
        <v>0</v>
      </c>
    </row>
    <row r="5418" spans="1:4">
      <c r="A5418" s="50">
        <v>45152</v>
      </c>
      <c r="B5418" s="49" t="s">
        <v>46</v>
      </c>
      <c r="C5418" s="51">
        <v>62455.8</v>
      </c>
      <c r="D5418" s="51">
        <v>0</v>
      </c>
    </row>
    <row r="5419" spans="1:4">
      <c r="A5419" s="50">
        <v>45152</v>
      </c>
      <c r="B5419" s="49" t="s">
        <v>47</v>
      </c>
      <c r="C5419" s="51">
        <v>62299.7</v>
      </c>
      <c r="D5419" s="51">
        <v>0</v>
      </c>
    </row>
    <row r="5420" spans="1:4">
      <c r="A5420" s="50">
        <v>45152</v>
      </c>
      <c r="B5420" s="49" t="s">
        <v>48</v>
      </c>
      <c r="C5420" s="51">
        <v>61298.3</v>
      </c>
      <c r="D5420" s="51">
        <v>0</v>
      </c>
    </row>
    <row r="5421" spans="1:4">
      <c r="A5421" s="50">
        <v>45152</v>
      </c>
      <c r="B5421" s="49" t="s">
        <v>49</v>
      </c>
      <c r="C5421" s="51">
        <v>72104.5</v>
      </c>
      <c r="D5421" s="51">
        <v>0</v>
      </c>
    </row>
    <row r="5422" spans="1:4">
      <c r="A5422" s="50">
        <v>45152</v>
      </c>
      <c r="B5422" s="49" t="s">
        <v>50</v>
      </c>
      <c r="C5422" s="51">
        <v>76341.600000000006</v>
      </c>
      <c r="D5422" s="51">
        <v>0</v>
      </c>
    </row>
    <row r="5423" spans="1:4">
      <c r="A5423" s="50">
        <v>45152</v>
      </c>
      <c r="B5423" s="49" t="s">
        <v>51</v>
      </c>
      <c r="C5423" s="51">
        <v>75799.100000000006</v>
      </c>
      <c r="D5423" s="51">
        <v>0</v>
      </c>
    </row>
    <row r="5424" spans="1:4">
      <c r="A5424" s="50">
        <v>45152</v>
      </c>
      <c r="B5424" s="49" t="s">
        <v>52</v>
      </c>
      <c r="C5424" s="51">
        <v>74237</v>
      </c>
      <c r="D5424" s="51">
        <v>0</v>
      </c>
    </row>
    <row r="5425" spans="1:4">
      <c r="A5425" s="50">
        <v>45152</v>
      </c>
      <c r="B5425" s="49" t="s">
        <v>53</v>
      </c>
      <c r="C5425" s="51">
        <v>76469.3</v>
      </c>
      <c r="D5425" s="51">
        <v>0</v>
      </c>
    </row>
    <row r="5426" spans="1:4">
      <c r="A5426" s="50">
        <v>45153</v>
      </c>
      <c r="B5426" s="49" t="s">
        <v>30</v>
      </c>
      <c r="C5426" s="51">
        <v>62350.8</v>
      </c>
      <c r="D5426" s="51">
        <v>0</v>
      </c>
    </row>
    <row r="5427" spans="1:4">
      <c r="A5427" s="50">
        <v>45153</v>
      </c>
      <c r="B5427" s="49" t="s">
        <v>31</v>
      </c>
      <c r="C5427" s="51">
        <v>59162.1</v>
      </c>
      <c r="D5427" s="51">
        <v>0</v>
      </c>
    </row>
    <row r="5428" spans="1:4">
      <c r="A5428" s="50">
        <v>45153</v>
      </c>
      <c r="B5428" s="49" t="s">
        <v>32</v>
      </c>
      <c r="C5428" s="51">
        <v>59134.7</v>
      </c>
      <c r="D5428" s="51">
        <v>0</v>
      </c>
    </row>
    <row r="5429" spans="1:4">
      <c r="A5429" s="50">
        <v>45153</v>
      </c>
      <c r="B5429" s="49" t="s">
        <v>33</v>
      </c>
      <c r="C5429" s="51">
        <v>59516.2</v>
      </c>
      <c r="D5429" s="51">
        <v>0</v>
      </c>
    </row>
    <row r="5430" spans="1:4">
      <c r="A5430" s="50">
        <v>45153</v>
      </c>
      <c r="B5430" s="49" t="s">
        <v>34</v>
      </c>
      <c r="C5430" s="51">
        <v>59879.199999999997</v>
      </c>
      <c r="D5430" s="51">
        <v>0</v>
      </c>
    </row>
    <row r="5431" spans="1:4">
      <c r="A5431" s="50">
        <v>45153</v>
      </c>
      <c r="B5431" s="49" t="s">
        <v>35</v>
      </c>
      <c r="C5431" s="51">
        <v>59924.6</v>
      </c>
      <c r="D5431" s="51">
        <v>0</v>
      </c>
    </row>
    <row r="5432" spans="1:4">
      <c r="A5432" s="50">
        <v>45153</v>
      </c>
      <c r="B5432" s="49" t="s">
        <v>36</v>
      </c>
      <c r="C5432" s="51">
        <v>59844.1</v>
      </c>
      <c r="D5432" s="51">
        <v>0</v>
      </c>
    </row>
    <row r="5433" spans="1:4">
      <c r="A5433" s="50">
        <v>45153</v>
      </c>
      <c r="B5433" s="49" t="s">
        <v>37</v>
      </c>
      <c r="C5433" s="51">
        <v>59759.8</v>
      </c>
      <c r="D5433" s="51">
        <v>0</v>
      </c>
    </row>
    <row r="5434" spans="1:4">
      <c r="A5434" s="50">
        <v>45153</v>
      </c>
      <c r="B5434" s="49" t="s">
        <v>38</v>
      </c>
      <c r="C5434" s="51">
        <v>61633.4</v>
      </c>
      <c r="D5434" s="51">
        <v>0</v>
      </c>
    </row>
    <row r="5435" spans="1:4">
      <c r="A5435" s="50">
        <v>45153</v>
      </c>
      <c r="B5435" s="49" t="s">
        <v>39</v>
      </c>
      <c r="C5435" s="51">
        <v>59379.1</v>
      </c>
      <c r="D5435" s="51">
        <v>0</v>
      </c>
    </row>
    <row r="5436" spans="1:4">
      <c r="A5436" s="50">
        <v>45153</v>
      </c>
      <c r="B5436" s="49" t="s">
        <v>40</v>
      </c>
      <c r="C5436" s="51">
        <v>59992.6</v>
      </c>
      <c r="D5436" s="51">
        <v>0</v>
      </c>
    </row>
    <row r="5437" spans="1:4">
      <c r="A5437" s="50">
        <v>45153</v>
      </c>
      <c r="B5437" s="49" t="s">
        <v>41</v>
      </c>
      <c r="C5437" s="51">
        <v>59856.5</v>
      </c>
      <c r="D5437" s="51">
        <v>0</v>
      </c>
    </row>
    <row r="5438" spans="1:4">
      <c r="A5438" s="50">
        <v>45153</v>
      </c>
      <c r="B5438" s="49" t="s">
        <v>42</v>
      </c>
      <c r="C5438" s="51">
        <v>59167.6</v>
      </c>
      <c r="D5438" s="51">
        <v>0</v>
      </c>
    </row>
    <row r="5439" spans="1:4">
      <c r="A5439" s="50">
        <v>45153</v>
      </c>
      <c r="B5439" s="49" t="s">
        <v>43</v>
      </c>
      <c r="C5439" s="51">
        <v>64548</v>
      </c>
      <c r="D5439" s="51">
        <v>0</v>
      </c>
    </row>
    <row r="5440" spans="1:4">
      <c r="A5440" s="50">
        <v>45153</v>
      </c>
      <c r="B5440" s="49" t="s">
        <v>44</v>
      </c>
      <c r="C5440" s="51">
        <v>75361.600000000006</v>
      </c>
      <c r="D5440" s="51">
        <v>0</v>
      </c>
    </row>
    <row r="5441" spans="1:4">
      <c r="A5441" s="50">
        <v>45153</v>
      </c>
      <c r="B5441" s="49" t="s">
        <v>45</v>
      </c>
      <c r="C5441" s="51">
        <v>66234.8</v>
      </c>
      <c r="D5441" s="51">
        <v>0</v>
      </c>
    </row>
    <row r="5442" spans="1:4">
      <c r="A5442" s="50">
        <v>45153</v>
      </c>
      <c r="B5442" s="49" t="s">
        <v>46</v>
      </c>
      <c r="C5442" s="51">
        <v>62839</v>
      </c>
      <c r="D5442" s="51">
        <v>0</v>
      </c>
    </row>
    <row r="5443" spans="1:4">
      <c r="A5443" s="50">
        <v>45153</v>
      </c>
      <c r="B5443" s="49" t="s">
        <v>47</v>
      </c>
      <c r="C5443" s="51">
        <v>62518.400000000001</v>
      </c>
      <c r="D5443" s="51">
        <v>0</v>
      </c>
    </row>
    <row r="5444" spans="1:4">
      <c r="A5444" s="50">
        <v>45153</v>
      </c>
      <c r="B5444" s="49" t="s">
        <v>48</v>
      </c>
      <c r="C5444" s="51">
        <v>62194.400000000001</v>
      </c>
      <c r="D5444" s="51">
        <v>0</v>
      </c>
    </row>
    <row r="5445" spans="1:4">
      <c r="A5445" s="50">
        <v>45153</v>
      </c>
      <c r="B5445" s="49" t="s">
        <v>49</v>
      </c>
      <c r="C5445" s="51">
        <v>61821.9</v>
      </c>
      <c r="D5445" s="51">
        <v>0</v>
      </c>
    </row>
    <row r="5446" spans="1:4">
      <c r="A5446" s="50">
        <v>45153</v>
      </c>
      <c r="B5446" s="49" t="s">
        <v>50</v>
      </c>
      <c r="C5446" s="51">
        <v>62441.2</v>
      </c>
      <c r="D5446" s="51">
        <v>0</v>
      </c>
    </row>
    <row r="5447" spans="1:4">
      <c r="A5447" s="50">
        <v>45153</v>
      </c>
      <c r="B5447" s="49" t="s">
        <v>51</v>
      </c>
      <c r="C5447" s="51">
        <v>62118.5</v>
      </c>
      <c r="D5447" s="51">
        <v>0</v>
      </c>
    </row>
    <row r="5448" spans="1:4">
      <c r="A5448" s="50">
        <v>45153</v>
      </c>
      <c r="B5448" s="49" t="s">
        <v>52</v>
      </c>
      <c r="C5448" s="51">
        <v>62257.2</v>
      </c>
      <c r="D5448" s="51">
        <v>0</v>
      </c>
    </row>
    <row r="5449" spans="1:4">
      <c r="A5449" s="50">
        <v>45153</v>
      </c>
      <c r="B5449" s="49" t="s">
        <v>53</v>
      </c>
      <c r="C5449" s="51">
        <v>61622.1</v>
      </c>
      <c r="D5449" s="51">
        <v>0</v>
      </c>
    </row>
    <row r="5450" spans="1:4">
      <c r="A5450" s="50">
        <v>45154</v>
      </c>
      <c r="B5450" s="49" t="s">
        <v>30</v>
      </c>
      <c r="C5450" s="51">
        <v>52066.400000000001</v>
      </c>
      <c r="D5450" s="51">
        <v>0</v>
      </c>
    </row>
    <row r="5451" spans="1:4">
      <c r="A5451" s="50">
        <v>45154</v>
      </c>
      <c r="B5451" s="49" t="s">
        <v>31</v>
      </c>
      <c r="C5451" s="51">
        <v>51389</v>
      </c>
      <c r="D5451" s="51">
        <v>0</v>
      </c>
    </row>
    <row r="5452" spans="1:4">
      <c r="A5452" s="50">
        <v>45154</v>
      </c>
      <c r="B5452" s="49" t="s">
        <v>32</v>
      </c>
      <c r="C5452" s="51">
        <v>51329.1</v>
      </c>
      <c r="D5452" s="51">
        <v>0</v>
      </c>
    </row>
    <row r="5453" spans="1:4">
      <c r="A5453" s="50">
        <v>45154</v>
      </c>
      <c r="B5453" s="49" t="s">
        <v>33</v>
      </c>
      <c r="C5453" s="51">
        <v>51386.8</v>
      </c>
      <c r="D5453" s="51">
        <v>0</v>
      </c>
    </row>
    <row r="5454" spans="1:4">
      <c r="A5454" s="50">
        <v>45154</v>
      </c>
      <c r="B5454" s="49" t="s">
        <v>34</v>
      </c>
      <c r="C5454" s="51">
        <v>51392.7</v>
      </c>
      <c r="D5454" s="51">
        <v>0</v>
      </c>
    </row>
    <row r="5455" spans="1:4">
      <c r="A5455" s="50">
        <v>45154</v>
      </c>
      <c r="B5455" s="49" t="s">
        <v>35</v>
      </c>
      <c r="C5455" s="51">
        <v>51283.3</v>
      </c>
      <c r="D5455" s="51">
        <v>0</v>
      </c>
    </row>
    <row r="5456" spans="1:4">
      <c r="A5456" s="50">
        <v>45154</v>
      </c>
      <c r="B5456" s="49" t="s">
        <v>36</v>
      </c>
      <c r="C5456" s="51">
        <v>51377</v>
      </c>
      <c r="D5456" s="51">
        <v>0</v>
      </c>
    </row>
    <row r="5457" spans="1:4">
      <c r="A5457" s="50">
        <v>45154</v>
      </c>
      <c r="B5457" s="49" t="s">
        <v>37</v>
      </c>
      <c r="C5457" s="51">
        <v>51371.199999999997</v>
      </c>
      <c r="D5457" s="51">
        <v>0</v>
      </c>
    </row>
    <row r="5458" spans="1:4">
      <c r="A5458" s="50">
        <v>45154</v>
      </c>
      <c r="B5458" s="49" t="s">
        <v>38</v>
      </c>
      <c r="C5458" s="51">
        <v>51502.9</v>
      </c>
      <c r="D5458" s="51">
        <v>0</v>
      </c>
    </row>
    <row r="5459" spans="1:4">
      <c r="A5459" s="50">
        <v>45154</v>
      </c>
      <c r="B5459" s="49" t="s">
        <v>39</v>
      </c>
      <c r="C5459" s="51">
        <v>51465.4</v>
      </c>
      <c r="D5459" s="51">
        <v>0</v>
      </c>
    </row>
    <row r="5460" spans="1:4">
      <c r="A5460" s="50">
        <v>45154</v>
      </c>
      <c r="B5460" s="49" t="s">
        <v>40</v>
      </c>
      <c r="C5460" s="51">
        <v>51652.4</v>
      </c>
      <c r="D5460" s="51">
        <v>0</v>
      </c>
    </row>
    <row r="5461" spans="1:4">
      <c r="A5461" s="50">
        <v>45154</v>
      </c>
      <c r="B5461" s="49" t="s">
        <v>41</v>
      </c>
      <c r="C5461" s="51">
        <v>51563.9</v>
      </c>
      <c r="D5461" s="51">
        <v>0</v>
      </c>
    </row>
    <row r="5462" spans="1:4">
      <c r="A5462" s="50">
        <v>45154</v>
      </c>
      <c r="B5462" s="49" t="s">
        <v>42</v>
      </c>
      <c r="C5462" s="51">
        <v>51518.3</v>
      </c>
      <c r="D5462" s="51">
        <v>0</v>
      </c>
    </row>
    <row r="5463" spans="1:4">
      <c r="A5463" s="50">
        <v>45154</v>
      </c>
      <c r="B5463" s="49" t="s">
        <v>43</v>
      </c>
      <c r="C5463" s="51">
        <v>51508.6</v>
      </c>
      <c r="D5463" s="51">
        <v>0</v>
      </c>
    </row>
    <row r="5464" spans="1:4">
      <c r="A5464" s="50">
        <v>45154</v>
      </c>
      <c r="B5464" s="49" t="s">
        <v>44</v>
      </c>
      <c r="C5464" s="51">
        <v>51602</v>
      </c>
      <c r="D5464" s="51">
        <v>0</v>
      </c>
    </row>
    <row r="5465" spans="1:4">
      <c r="A5465" s="50">
        <v>45154</v>
      </c>
      <c r="B5465" s="49" t="s">
        <v>45</v>
      </c>
      <c r="C5465" s="51">
        <v>51588.3</v>
      </c>
      <c r="D5465" s="51">
        <v>0</v>
      </c>
    </row>
    <row r="5466" spans="1:4">
      <c r="A5466" s="50">
        <v>45154</v>
      </c>
      <c r="B5466" s="49" t="s">
        <v>46</v>
      </c>
      <c r="C5466" s="51">
        <v>51573.7</v>
      </c>
      <c r="D5466" s="51">
        <v>0</v>
      </c>
    </row>
    <row r="5467" spans="1:4">
      <c r="A5467" s="50">
        <v>45154</v>
      </c>
      <c r="B5467" s="49" t="s">
        <v>47</v>
      </c>
      <c r="C5467" s="51">
        <v>51638</v>
      </c>
      <c r="D5467" s="51">
        <v>0</v>
      </c>
    </row>
    <row r="5468" spans="1:4">
      <c r="A5468" s="50">
        <v>45154</v>
      </c>
      <c r="B5468" s="49" t="s">
        <v>48</v>
      </c>
      <c r="C5468" s="51">
        <v>52054.2</v>
      </c>
      <c r="D5468" s="51">
        <v>0</v>
      </c>
    </row>
    <row r="5469" spans="1:4">
      <c r="A5469" s="50">
        <v>45154</v>
      </c>
      <c r="B5469" s="49" t="s">
        <v>49</v>
      </c>
      <c r="C5469" s="51">
        <v>52037.9</v>
      </c>
      <c r="D5469" s="51">
        <v>0</v>
      </c>
    </row>
    <row r="5470" spans="1:4">
      <c r="A5470" s="50">
        <v>45154</v>
      </c>
      <c r="B5470" s="49" t="s">
        <v>50</v>
      </c>
      <c r="C5470" s="51">
        <v>52080.1</v>
      </c>
      <c r="D5470" s="51">
        <v>0</v>
      </c>
    </row>
    <row r="5471" spans="1:4">
      <c r="A5471" s="50">
        <v>45154</v>
      </c>
      <c r="B5471" s="49" t="s">
        <v>51</v>
      </c>
      <c r="C5471" s="51">
        <v>51849.4</v>
      </c>
      <c r="D5471" s="51">
        <v>0</v>
      </c>
    </row>
    <row r="5472" spans="1:4">
      <c r="A5472" s="50">
        <v>45154</v>
      </c>
      <c r="B5472" s="49" t="s">
        <v>52</v>
      </c>
      <c r="C5472" s="51">
        <v>51899.199999999997</v>
      </c>
      <c r="D5472" s="51">
        <v>0</v>
      </c>
    </row>
    <row r="5473" spans="1:4">
      <c r="A5473" s="50">
        <v>45154</v>
      </c>
      <c r="B5473" s="49" t="s">
        <v>53</v>
      </c>
      <c r="C5473" s="51">
        <v>51989.1</v>
      </c>
      <c r="D5473" s="51">
        <v>0</v>
      </c>
    </row>
    <row r="5474" spans="1:4">
      <c r="A5474" s="50">
        <v>45155</v>
      </c>
      <c r="B5474" s="49" t="s">
        <v>30</v>
      </c>
      <c r="C5474" s="51">
        <v>51939.3</v>
      </c>
      <c r="D5474" s="51">
        <v>0</v>
      </c>
    </row>
    <row r="5475" spans="1:4">
      <c r="A5475" s="50">
        <v>45155</v>
      </c>
      <c r="B5475" s="49" t="s">
        <v>31</v>
      </c>
      <c r="C5475" s="51">
        <v>51223.7</v>
      </c>
      <c r="D5475" s="51">
        <v>0</v>
      </c>
    </row>
    <row r="5476" spans="1:4">
      <c r="A5476" s="50">
        <v>45155</v>
      </c>
      <c r="B5476" s="49" t="s">
        <v>32</v>
      </c>
      <c r="C5476" s="51">
        <v>51415.5</v>
      </c>
      <c r="D5476" s="51">
        <v>0</v>
      </c>
    </row>
    <row r="5477" spans="1:4">
      <c r="A5477" s="50">
        <v>45155</v>
      </c>
      <c r="B5477" s="49" t="s">
        <v>33</v>
      </c>
      <c r="C5477" s="51">
        <v>51492.800000000003</v>
      </c>
      <c r="D5477" s="51">
        <v>0</v>
      </c>
    </row>
    <row r="5478" spans="1:4">
      <c r="A5478" s="50">
        <v>45155</v>
      </c>
      <c r="B5478" s="49" t="s">
        <v>34</v>
      </c>
      <c r="C5478" s="51">
        <v>52046.3</v>
      </c>
      <c r="D5478" s="51">
        <v>0</v>
      </c>
    </row>
    <row r="5479" spans="1:4">
      <c r="A5479" s="50">
        <v>45155</v>
      </c>
      <c r="B5479" s="49" t="s">
        <v>35</v>
      </c>
      <c r="C5479" s="51">
        <v>51931.6</v>
      </c>
      <c r="D5479" s="51">
        <v>0</v>
      </c>
    </row>
    <row r="5480" spans="1:4">
      <c r="A5480" s="50">
        <v>45155</v>
      </c>
      <c r="B5480" s="49" t="s">
        <v>36</v>
      </c>
      <c r="C5480" s="51">
        <v>51954.8</v>
      </c>
      <c r="D5480" s="51">
        <v>0</v>
      </c>
    </row>
    <row r="5481" spans="1:4">
      <c r="A5481" s="50">
        <v>45155</v>
      </c>
      <c r="B5481" s="49" t="s">
        <v>37</v>
      </c>
      <c r="C5481" s="51">
        <v>52031.9</v>
      </c>
      <c r="D5481" s="51">
        <v>0</v>
      </c>
    </row>
    <row r="5482" spans="1:4">
      <c r="A5482" s="50">
        <v>45155</v>
      </c>
      <c r="B5482" s="49" t="s">
        <v>38</v>
      </c>
      <c r="C5482" s="51">
        <v>52002.1</v>
      </c>
      <c r="D5482" s="51">
        <v>0</v>
      </c>
    </row>
    <row r="5483" spans="1:4">
      <c r="A5483" s="50">
        <v>45155</v>
      </c>
      <c r="B5483" s="49" t="s">
        <v>39</v>
      </c>
      <c r="C5483" s="51">
        <v>51848.7</v>
      </c>
      <c r="D5483" s="51">
        <v>0</v>
      </c>
    </row>
    <row r="5484" spans="1:4">
      <c r="A5484" s="50">
        <v>45155</v>
      </c>
      <c r="B5484" s="49" t="s">
        <v>40</v>
      </c>
      <c r="C5484" s="51">
        <v>52036.800000000003</v>
      </c>
      <c r="D5484" s="51">
        <v>0</v>
      </c>
    </row>
    <row r="5485" spans="1:4">
      <c r="A5485" s="50">
        <v>45155</v>
      </c>
      <c r="B5485" s="49" t="s">
        <v>41</v>
      </c>
      <c r="C5485" s="51">
        <v>52111.8</v>
      </c>
      <c r="D5485" s="51">
        <v>0</v>
      </c>
    </row>
    <row r="5486" spans="1:4">
      <c r="A5486" s="50">
        <v>45155</v>
      </c>
      <c r="B5486" s="49" t="s">
        <v>42</v>
      </c>
      <c r="C5486" s="51">
        <v>52039.4</v>
      </c>
      <c r="D5486" s="51">
        <v>0</v>
      </c>
    </row>
    <row r="5487" spans="1:4">
      <c r="A5487" s="50">
        <v>45155</v>
      </c>
      <c r="B5487" s="49" t="s">
        <v>43</v>
      </c>
      <c r="C5487" s="51">
        <v>52157.9</v>
      </c>
      <c r="D5487" s="51">
        <v>0</v>
      </c>
    </row>
    <row r="5488" spans="1:4">
      <c r="A5488" s="50">
        <v>45155</v>
      </c>
      <c r="B5488" s="49" t="s">
        <v>44</v>
      </c>
      <c r="C5488" s="51">
        <v>52069.599999999999</v>
      </c>
      <c r="D5488" s="51">
        <v>0</v>
      </c>
    </row>
    <row r="5489" spans="1:4">
      <c r="A5489" s="50">
        <v>45155</v>
      </c>
      <c r="B5489" s="49" t="s">
        <v>45</v>
      </c>
      <c r="C5489" s="51">
        <v>52143.4</v>
      </c>
      <c r="D5489" s="51">
        <v>0</v>
      </c>
    </row>
    <row r="5490" spans="1:4">
      <c r="A5490" s="50">
        <v>45155</v>
      </c>
      <c r="B5490" s="49" t="s">
        <v>46</v>
      </c>
      <c r="C5490" s="51">
        <v>52097.7</v>
      </c>
      <c r="D5490" s="51">
        <v>0</v>
      </c>
    </row>
    <row r="5491" spans="1:4">
      <c r="A5491" s="50">
        <v>45155</v>
      </c>
      <c r="B5491" s="49" t="s">
        <v>47</v>
      </c>
      <c r="C5491" s="51">
        <v>52057.5</v>
      </c>
      <c r="D5491" s="51">
        <v>0</v>
      </c>
    </row>
    <row r="5492" spans="1:4">
      <c r="A5492" s="50">
        <v>45155</v>
      </c>
      <c r="B5492" s="49" t="s">
        <v>48</v>
      </c>
      <c r="C5492" s="51">
        <v>52677.1</v>
      </c>
      <c r="D5492" s="51">
        <v>0</v>
      </c>
    </row>
    <row r="5493" spans="1:4">
      <c r="A5493" s="50">
        <v>45155</v>
      </c>
      <c r="B5493" s="49" t="s">
        <v>49</v>
      </c>
      <c r="C5493" s="51">
        <v>52592.9</v>
      </c>
      <c r="D5493" s="51">
        <v>0</v>
      </c>
    </row>
    <row r="5494" spans="1:4">
      <c r="A5494" s="50">
        <v>45155</v>
      </c>
      <c r="B5494" s="49" t="s">
        <v>50</v>
      </c>
      <c r="C5494" s="51">
        <v>62452.4</v>
      </c>
      <c r="D5494" s="51">
        <v>0</v>
      </c>
    </row>
    <row r="5495" spans="1:4">
      <c r="A5495" s="50">
        <v>45155</v>
      </c>
      <c r="B5495" s="49" t="s">
        <v>51</v>
      </c>
      <c r="C5495" s="51">
        <v>52860.1</v>
      </c>
      <c r="D5495" s="51">
        <v>0</v>
      </c>
    </row>
    <row r="5496" spans="1:4">
      <c r="A5496" s="50">
        <v>45155</v>
      </c>
      <c r="B5496" s="49" t="s">
        <v>52</v>
      </c>
      <c r="C5496" s="51">
        <v>52162</v>
      </c>
      <c r="D5496" s="51">
        <v>0</v>
      </c>
    </row>
    <row r="5497" spans="1:4">
      <c r="A5497" s="50">
        <v>45155</v>
      </c>
      <c r="B5497" s="49" t="s">
        <v>53</v>
      </c>
      <c r="C5497" s="51">
        <v>52358.7</v>
      </c>
      <c r="D5497" s="51">
        <v>0</v>
      </c>
    </row>
    <row r="5498" spans="1:4">
      <c r="A5498" s="50">
        <v>45156</v>
      </c>
      <c r="B5498" s="49" t="s">
        <v>30</v>
      </c>
      <c r="C5498" s="51">
        <v>51713.3</v>
      </c>
      <c r="D5498" s="51">
        <v>0</v>
      </c>
    </row>
    <row r="5499" spans="1:4">
      <c r="A5499" s="50">
        <v>45156</v>
      </c>
      <c r="B5499" s="49" t="s">
        <v>31</v>
      </c>
      <c r="C5499" s="51">
        <v>50995.3</v>
      </c>
      <c r="D5499" s="51">
        <v>0</v>
      </c>
    </row>
    <row r="5500" spans="1:4">
      <c r="A5500" s="50">
        <v>45156</v>
      </c>
      <c r="B5500" s="49" t="s">
        <v>32</v>
      </c>
      <c r="C5500" s="51">
        <v>51502.1</v>
      </c>
      <c r="D5500" s="51">
        <v>0</v>
      </c>
    </row>
    <row r="5501" spans="1:4">
      <c r="A5501" s="50">
        <v>45156</v>
      </c>
      <c r="B5501" s="49" t="s">
        <v>33</v>
      </c>
      <c r="C5501" s="51">
        <v>51622</v>
      </c>
      <c r="D5501" s="51">
        <v>0</v>
      </c>
    </row>
    <row r="5502" spans="1:4">
      <c r="A5502" s="50">
        <v>45156</v>
      </c>
      <c r="B5502" s="49" t="s">
        <v>34</v>
      </c>
      <c r="C5502" s="51">
        <v>51688.800000000003</v>
      </c>
      <c r="D5502" s="51">
        <v>0</v>
      </c>
    </row>
    <row r="5503" spans="1:4">
      <c r="A5503" s="50">
        <v>45156</v>
      </c>
      <c r="B5503" s="49" t="s">
        <v>35</v>
      </c>
      <c r="C5503" s="51">
        <v>51630.9</v>
      </c>
      <c r="D5503" s="51">
        <v>0</v>
      </c>
    </row>
    <row r="5504" spans="1:4">
      <c r="A5504" s="50">
        <v>45156</v>
      </c>
      <c r="B5504" s="49" t="s">
        <v>36</v>
      </c>
      <c r="C5504" s="51">
        <v>51667</v>
      </c>
      <c r="D5504" s="51">
        <v>0</v>
      </c>
    </row>
    <row r="5505" spans="1:4">
      <c r="A5505" s="50">
        <v>45156</v>
      </c>
      <c r="B5505" s="49" t="s">
        <v>37</v>
      </c>
      <c r="C5505" s="51">
        <v>51804.800000000003</v>
      </c>
      <c r="D5505" s="51">
        <v>0</v>
      </c>
    </row>
    <row r="5506" spans="1:4">
      <c r="A5506" s="50">
        <v>45156</v>
      </c>
      <c r="B5506" s="49" t="s">
        <v>38</v>
      </c>
      <c r="C5506" s="51">
        <v>51794.7</v>
      </c>
      <c r="D5506" s="51">
        <v>0</v>
      </c>
    </row>
    <row r="5507" spans="1:4">
      <c r="A5507" s="50">
        <v>45156</v>
      </c>
      <c r="B5507" s="49" t="s">
        <v>39</v>
      </c>
      <c r="C5507" s="51">
        <v>51877.8</v>
      </c>
      <c r="D5507" s="51">
        <v>0</v>
      </c>
    </row>
    <row r="5508" spans="1:4">
      <c r="A5508" s="50">
        <v>45156</v>
      </c>
      <c r="B5508" s="49" t="s">
        <v>40</v>
      </c>
      <c r="C5508" s="51">
        <v>51905.5</v>
      </c>
      <c r="D5508" s="51">
        <v>0</v>
      </c>
    </row>
    <row r="5509" spans="1:4">
      <c r="A5509" s="50">
        <v>45156</v>
      </c>
      <c r="B5509" s="49" t="s">
        <v>41</v>
      </c>
      <c r="C5509" s="51">
        <v>51880.7</v>
      </c>
      <c r="D5509" s="51">
        <v>0</v>
      </c>
    </row>
    <row r="5510" spans="1:4">
      <c r="A5510" s="50">
        <v>45156</v>
      </c>
      <c r="B5510" s="49" t="s">
        <v>42</v>
      </c>
      <c r="C5510" s="51">
        <v>51814.400000000001</v>
      </c>
      <c r="D5510" s="51">
        <v>0</v>
      </c>
    </row>
    <row r="5511" spans="1:4">
      <c r="A5511" s="50">
        <v>45156</v>
      </c>
      <c r="B5511" s="49" t="s">
        <v>43</v>
      </c>
      <c r="C5511" s="51">
        <v>51905.1</v>
      </c>
      <c r="D5511" s="51">
        <v>0</v>
      </c>
    </row>
    <row r="5512" spans="1:4">
      <c r="A5512" s="50">
        <v>45156</v>
      </c>
      <c r="B5512" s="49" t="s">
        <v>44</v>
      </c>
      <c r="C5512" s="51">
        <v>50545.2</v>
      </c>
      <c r="D5512" s="51">
        <v>0</v>
      </c>
    </row>
    <row r="5513" spans="1:4">
      <c r="A5513" s="50">
        <v>45156</v>
      </c>
      <c r="B5513" s="49" t="s">
        <v>45</v>
      </c>
      <c r="C5513" s="51">
        <v>51200.4</v>
      </c>
      <c r="D5513" s="51">
        <v>0</v>
      </c>
    </row>
    <row r="5514" spans="1:4">
      <c r="A5514" s="50">
        <v>45156</v>
      </c>
      <c r="B5514" s="49" t="s">
        <v>46</v>
      </c>
      <c r="C5514" s="51">
        <v>51269.9</v>
      </c>
      <c r="D5514" s="51">
        <v>0</v>
      </c>
    </row>
    <row r="5515" spans="1:4">
      <c r="A5515" s="50">
        <v>45156</v>
      </c>
      <c r="B5515" s="49" t="s">
        <v>47</v>
      </c>
      <c r="C5515" s="51">
        <v>51244.4</v>
      </c>
      <c r="D5515" s="51">
        <v>0</v>
      </c>
    </row>
    <row r="5516" spans="1:4">
      <c r="A5516" s="50">
        <v>45156</v>
      </c>
      <c r="B5516" s="49" t="s">
        <v>48</v>
      </c>
      <c r="C5516" s="51">
        <v>51935.6</v>
      </c>
      <c r="D5516" s="51">
        <v>0</v>
      </c>
    </row>
    <row r="5517" spans="1:4">
      <c r="A5517" s="50">
        <v>45156</v>
      </c>
      <c r="B5517" s="49" t="s">
        <v>49</v>
      </c>
      <c r="C5517" s="51">
        <v>52641</v>
      </c>
      <c r="D5517" s="51">
        <v>0</v>
      </c>
    </row>
    <row r="5518" spans="1:4">
      <c r="A5518" s="50">
        <v>45156</v>
      </c>
      <c r="B5518" s="49" t="s">
        <v>50</v>
      </c>
      <c r="C5518" s="51">
        <v>52497.1</v>
      </c>
      <c r="D5518" s="51">
        <v>0</v>
      </c>
    </row>
    <row r="5519" spans="1:4">
      <c r="A5519" s="50">
        <v>45156</v>
      </c>
      <c r="B5519" s="49" t="s">
        <v>51</v>
      </c>
      <c r="C5519" s="51">
        <v>52226.7</v>
      </c>
      <c r="D5519" s="51">
        <v>0</v>
      </c>
    </row>
    <row r="5520" spans="1:4">
      <c r="A5520" s="50">
        <v>45156</v>
      </c>
      <c r="B5520" s="49" t="s">
        <v>52</v>
      </c>
      <c r="C5520" s="51">
        <v>52357.5</v>
      </c>
      <c r="D5520" s="51">
        <v>0</v>
      </c>
    </row>
    <row r="5521" spans="1:4">
      <c r="A5521" s="50">
        <v>45156</v>
      </c>
      <c r="B5521" s="49" t="s">
        <v>53</v>
      </c>
      <c r="C5521" s="51">
        <v>53236.1</v>
      </c>
      <c r="D5521" s="51">
        <v>0</v>
      </c>
    </row>
    <row r="5522" spans="1:4">
      <c r="A5522" s="50">
        <v>45157</v>
      </c>
      <c r="B5522" s="49" t="s">
        <v>30</v>
      </c>
      <c r="C5522" s="51">
        <v>54413.2</v>
      </c>
      <c r="D5522" s="51">
        <v>0</v>
      </c>
    </row>
    <row r="5523" spans="1:4">
      <c r="A5523" s="50">
        <v>45157</v>
      </c>
      <c r="B5523" s="49" t="s">
        <v>31</v>
      </c>
      <c r="C5523" s="51">
        <v>53905.9</v>
      </c>
      <c r="D5523" s="51">
        <v>0</v>
      </c>
    </row>
    <row r="5524" spans="1:4">
      <c r="A5524" s="50">
        <v>45157</v>
      </c>
      <c r="B5524" s="49" t="s">
        <v>32</v>
      </c>
      <c r="C5524" s="51">
        <v>53081.599999999999</v>
      </c>
      <c r="D5524" s="51">
        <v>0</v>
      </c>
    </row>
    <row r="5525" spans="1:4">
      <c r="A5525" s="50">
        <v>45157</v>
      </c>
      <c r="B5525" s="49" t="s">
        <v>33</v>
      </c>
      <c r="C5525" s="51">
        <v>53741.7</v>
      </c>
      <c r="D5525" s="51">
        <v>0</v>
      </c>
    </row>
    <row r="5526" spans="1:4">
      <c r="A5526" s="50">
        <v>45157</v>
      </c>
      <c r="B5526" s="49" t="s">
        <v>34</v>
      </c>
      <c r="C5526" s="51">
        <v>54480.5</v>
      </c>
      <c r="D5526" s="51">
        <v>0</v>
      </c>
    </row>
    <row r="5527" spans="1:4">
      <c r="A5527" s="50">
        <v>45157</v>
      </c>
      <c r="B5527" s="49" t="s">
        <v>35</v>
      </c>
      <c r="C5527" s="51">
        <v>54192.5</v>
      </c>
      <c r="D5527" s="51">
        <v>0</v>
      </c>
    </row>
    <row r="5528" spans="1:4">
      <c r="A5528" s="50">
        <v>45157</v>
      </c>
      <c r="B5528" s="49" t="s">
        <v>36</v>
      </c>
      <c r="C5528" s="51">
        <v>53910.7</v>
      </c>
      <c r="D5528" s="51">
        <v>0</v>
      </c>
    </row>
    <row r="5529" spans="1:4">
      <c r="A5529" s="50">
        <v>45157</v>
      </c>
      <c r="B5529" s="49" t="s">
        <v>37</v>
      </c>
      <c r="C5529" s="51">
        <v>53627.9</v>
      </c>
      <c r="D5529" s="51">
        <v>0</v>
      </c>
    </row>
    <row r="5530" spans="1:4">
      <c r="A5530" s="50">
        <v>45157</v>
      </c>
      <c r="B5530" s="49" t="s">
        <v>38</v>
      </c>
      <c r="C5530" s="51">
        <v>53552.4</v>
      </c>
      <c r="D5530" s="51">
        <v>0</v>
      </c>
    </row>
    <row r="5531" spans="1:4">
      <c r="A5531" s="50">
        <v>45157</v>
      </c>
      <c r="B5531" s="49" t="s">
        <v>39</v>
      </c>
      <c r="C5531" s="51">
        <v>53660.2</v>
      </c>
      <c r="D5531" s="51">
        <v>0</v>
      </c>
    </row>
    <row r="5532" spans="1:4">
      <c r="A5532" s="50">
        <v>45157</v>
      </c>
      <c r="B5532" s="49" t="s">
        <v>40</v>
      </c>
      <c r="C5532" s="51">
        <v>53600</v>
      </c>
      <c r="D5532" s="51">
        <v>0</v>
      </c>
    </row>
    <row r="5533" spans="1:4">
      <c r="A5533" s="50">
        <v>45157</v>
      </c>
      <c r="B5533" s="49" t="s">
        <v>41</v>
      </c>
      <c r="C5533" s="51">
        <v>53665.3</v>
      </c>
      <c r="D5533" s="51">
        <v>0</v>
      </c>
    </row>
    <row r="5534" spans="1:4">
      <c r="A5534" s="50">
        <v>45157</v>
      </c>
      <c r="B5534" s="49" t="s">
        <v>42</v>
      </c>
      <c r="C5534" s="51">
        <v>53493.3</v>
      </c>
      <c r="D5534" s="51">
        <v>0</v>
      </c>
    </row>
    <row r="5535" spans="1:4">
      <c r="A5535" s="50">
        <v>45157</v>
      </c>
      <c r="B5535" s="49" t="s">
        <v>43</v>
      </c>
      <c r="C5535" s="51">
        <v>53537.1</v>
      </c>
      <c r="D5535" s="51">
        <v>0</v>
      </c>
    </row>
    <row r="5536" spans="1:4">
      <c r="A5536" s="50">
        <v>45157</v>
      </c>
      <c r="B5536" s="49" t="s">
        <v>44</v>
      </c>
      <c r="C5536" s="51">
        <v>53651.199999999997</v>
      </c>
      <c r="D5536" s="51">
        <v>0</v>
      </c>
    </row>
    <row r="5537" spans="1:4">
      <c r="A5537" s="50">
        <v>45157</v>
      </c>
      <c r="B5537" s="49" t="s">
        <v>45</v>
      </c>
      <c r="C5537" s="51">
        <v>52877.4</v>
      </c>
      <c r="D5537" s="51">
        <v>0</v>
      </c>
    </row>
    <row r="5538" spans="1:4">
      <c r="A5538" s="50">
        <v>45157</v>
      </c>
      <c r="B5538" s="49" t="s">
        <v>46</v>
      </c>
      <c r="C5538" s="51">
        <v>52668</v>
      </c>
      <c r="D5538" s="51">
        <v>0</v>
      </c>
    </row>
    <row r="5539" spans="1:4">
      <c r="A5539" s="50">
        <v>45157</v>
      </c>
      <c r="B5539" s="49" t="s">
        <v>47</v>
      </c>
      <c r="C5539" s="51">
        <v>52663.1</v>
      </c>
      <c r="D5539" s="51">
        <v>0</v>
      </c>
    </row>
    <row r="5540" spans="1:4">
      <c r="A5540" s="50">
        <v>45157</v>
      </c>
      <c r="B5540" s="49" t="s">
        <v>48</v>
      </c>
      <c r="C5540" s="51">
        <v>52281.5</v>
      </c>
      <c r="D5540" s="51">
        <v>0</v>
      </c>
    </row>
    <row r="5541" spans="1:4">
      <c r="A5541" s="50">
        <v>45157</v>
      </c>
      <c r="B5541" s="49" t="s">
        <v>49</v>
      </c>
      <c r="C5541" s="51">
        <v>52886.1</v>
      </c>
      <c r="D5541" s="51">
        <v>0</v>
      </c>
    </row>
    <row r="5542" spans="1:4">
      <c r="A5542" s="50">
        <v>45157</v>
      </c>
      <c r="B5542" s="49" t="s">
        <v>50</v>
      </c>
      <c r="C5542" s="51">
        <v>53774.5</v>
      </c>
      <c r="D5542" s="51">
        <v>0</v>
      </c>
    </row>
    <row r="5543" spans="1:4">
      <c r="A5543" s="50">
        <v>45157</v>
      </c>
      <c r="B5543" s="49" t="s">
        <v>51</v>
      </c>
      <c r="C5543" s="51">
        <v>53584.9</v>
      </c>
      <c r="D5543" s="51">
        <v>0</v>
      </c>
    </row>
    <row r="5544" spans="1:4">
      <c r="A5544" s="50">
        <v>45157</v>
      </c>
      <c r="B5544" s="49" t="s">
        <v>52</v>
      </c>
      <c r="C5544" s="51">
        <v>53515.4</v>
      </c>
      <c r="D5544" s="51">
        <v>0</v>
      </c>
    </row>
    <row r="5545" spans="1:4">
      <c r="A5545" s="50">
        <v>45157</v>
      </c>
      <c r="B5545" s="49" t="s">
        <v>53</v>
      </c>
      <c r="C5545" s="51">
        <v>53973.1</v>
      </c>
      <c r="D5545" s="51">
        <v>0</v>
      </c>
    </row>
    <row r="5546" spans="1:4">
      <c r="A5546" s="50">
        <v>45158</v>
      </c>
      <c r="B5546" s="49" t="s">
        <v>30</v>
      </c>
      <c r="C5546" s="51">
        <v>54173</v>
      </c>
      <c r="D5546" s="51">
        <v>0</v>
      </c>
    </row>
    <row r="5547" spans="1:4">
      <c r="A5547" s="50">
        <v>45158</v>
      </c>
      <c r="B5547" s="49" t="s">
        <v>31</v>
      </c>
      <c r="C5547" s="51">
        <v>52912.6</v>
      </c>
      <c r="D5547" s="51">
        <v>0</v>
      </c>
    </row>
    <row r="5548" spans="1:4">
      <c r="A5548" s="50">
        <v>45158</v>
      </c>
      <c r="B5548" s="49" t="s">
        <v>32</v>
      </c>
      <c r="C5548" s="51">
        <v>53348.9</v>
      </c>
      <c r="D5548" s="51">
        <v>0</v>
      </c>
    </row>
    <row r="5549" spans="1:4">
      <c r="A5549" s="50">
        <v>45158</v>
      </c>
      <c r="B5549" s="49" t="s">
        <v>33</v>
      </c>
      <c r="C5549" s="51">
        <v>53692.7</v>
      </c>
      <c r="D5549" s="51">
        <v>0</v>
      </c>
    </row>
    <row r="5550" spans="1:4">
      <c r="A5550" s="50">
        <v>45158</v>
      </c>
      <c r="B5550" s="49" t="s">
        <v>34</v>
      </c>
      <c r="C5550" s="51">
        <v>68198.8</v>
      </c>
      <c r="D5550" s="51">
        <v>0</v>
      </c>
    </row>
    <row r="5551" spans="1:4">
      <c r="A5551" s="50">
        <v>45158</v>
      </c>
      <c r="B5551" s="49" t="s">
        <v>35</v>
      </c>
      <c r="C5551" s="51">
        <v>68141.399999999994</v>
      </c>
      <c r="D5551" s="51">
        <v>0</v>
      </c>
    </row>
    <row r="5552" spans="1:4">
      <c r="A5552" s="50">
        <v>45158</v>
      </c>
      <c r="B5552" s="49" t="s">
        <v>36</v>
      </c>
      <c r="C5552" s="51">
        <v>72511.899999999994</v>
      </c>
      <c r="D5552" s="51">
        <v>0</v>
      </c>
    </row>
    <row r="5553" spans="1:4">
      <c r="A5553" s="50">
        <v>45158</v>
      </c>
      <c r="B5553" s="49" t="s">
        <v>37</v>
      </c>
      <c r="C5553" s="51">
        <v>68580</v>
      </c>
      <c r="D5553" s="51">
        <v>0</v>
      </c>
    </row>
    <row r="5554" spans="1:4">
      <c r="A5554" s="50">
        <v>45158</v>
      </c>
      <c r="B5554" s="49" t="s">
        <v>38</v>
      </c>
      <c r="C5554" s="51">
        <v>53686</v>
      </c>
      <c r="D5554" s="51">
        <v>0</v>
      </c>
    </row>
    <row r="5555" spans="1:4">
      <c r="A5555" s="50">
        <v>45158</v>
      </c>
      <c r="B5555" s="49" t="s">
        <v>39</v>
      </c>
      <c r="C5555" s="51">
        <v>53564.1</v>
      </c>
      <c r="D5555" s="51">
        <v>0</v>
      </c>
    </row>
    <row r="5556" spans="1:4">
      <c r="A5556" s="50">
        <v>45158</v>
      </c>
      <c r="B5556" s="49" t="s">
        <v>40</v>
      </c>
      <c r="C5556" s="51">
        <v>53755.6</v>
      </c>
      <c r="D5556" s="51">
        <v>0</v>
      </c>
    </row>
    <row r="5557" spans="1:4">
      <c r="A5557" s="50">
        <v>45158</v>
      </c>
      <c r="B5557" s="49" t="s">
        <v>41</v>
      </c>
      <c r="C5557" s="51">
        <v>53417.599999999999</v>
      </c>
      <c r="D5557" s="51">
        <v>0</v>
      </c>
    </row>
    <row r="5558" spans="1:4">
      <c r="A5558" s="50">
        <v>45158</v>
      </c>
      <c r="B5558" s="49" t="s">
        <v>42</v>
      </c>
      <c r="C5558" s="51">
        <v>53151.5</v>
      </c>
      <c r="D5558" s="51">
        <v>0</v>
      </c>
    </row>
    <row r="5559" spans="1:4">
      <c r="A5559" s="50">
        <v>45158</v>
      </c>
      <c r="B5559" s="49" t="s">
        <v>43</v>
      </c>
      <c r="C5559" s="51">
        <v>52141.1</v>
      </c>
      <c r="D5559" s="51">
        <v>0</v>
      </c>
    </row>
    <row r="5560" spans="1:4">
      <c r="A5560" s="50">
        <v>45158</v>
      </c>
      <c r="B5560" s="49" t="s">
        <v>44</v>
      </c>
      <c r="C5560" s="51">
        <v>53879.1</v>
      </c>
      <c r="D5560" s="51">
        <v>0</v>
      </c>
    </row>
    <row r="5561" spans="1:4">
      <c r="A5561" s="50">
        <v>45158</v>
      </c>
      <c r="B5561" s="49" t="s">
        <v>45</v>
      </c>
      <c r="C5561" s="51">
        <v>54123.3</v>
      </c>
      <c r="D5561" s="51">
        <v>0</v>
      </c>
    </row>
    <row r="5562" spans="1:4">
      <c r="A5562" s="50">
        <v>45158</v>
      </c>
      <c r="B5562" s="49" t="s">
        <v>46</v>
      </c>
      <c r="C5562" s="51">
        <v>54194.1</v>
      </c>
      <c r="D5562" s="51">
        <v>0</v>
      </c>
    </row>
    <row r="5563" spans="1:4">
      <c r="A5563" s="50">
        <v>45158</v>
      </c>
      <c r="B5563" s="49" t="s">
        <v>47</v>
      </c>
      <c r="C5563" s="51">
        <v>54209.3</v>
      </c>
      <c r="D5563" s="51">
        <v>0</v>
      </c>
    </row>
    <row r="5564" spans="1:4">
      <c r="A5564" s="50">
        <v>45158</v>
      </c>
      <c r="B5564" s="49" t="s">
        <v>48</v>
      </c>
      <c r="C5564" s="51">
        <v>53566</v>
      </c>
      <c r="D5564" s="51">
        <v>0</v>
      </c>
    </row>
    <row r="5565" spans="1:4">
      <c r="A5565" s="50">
        <v>45158</v>
      </c>
      <c r="B5565" s="49" t="s">
        <v>49</v>
      </c>
      <c r="C5565" s="51">
        <v>53761.1</v>
      </c>
      <c r="D5565" s="51">
        <v>0</v>
      </c>
    </row>
    <row r="5566" spans="1:4">
      <c r="A5566" s="50">
        <v>45158</v>
      </c>
      <c r="B5566" s="49" t="s">
        <v>50</v>
      </c>
      <c r="C5566" s="51">
        <v>53696.4</v>
      </c>
      <c r="D5566" s="51">
        <v>0</v>
      </c>
    </row>
    <row r="5567" spans="1:4">
      <c r="A5567" s="50">
        <v>45158</v>
      </c>
      <c r="B5567" s="49" t="s">
        <v>51</v>
      </c>
      <c r="C5567" s="51">
        <v>53599.6</v>
      </c>
      <c r="D5567" s="51">
        <v>0</v>
      </c>
    </row>
    <row r="5568" spans="1:4">
      <c r="A5568" s="50">
        <v>45158</v>
      </c>
      <c r="B5568" s="49" t="s">
        <v>52</v>
      </c>
      <c r="C5568" s="51">
        <v>53641</v>
      </c>
      <c r="D5568" s="51">
        <v>0</v>
      </c>
    </row>
    <row r="5569" spans="1:4">
      <c r="A5569" s="50">
        <v>45158</v>
      </c>
      <c r="B5569" s="49" t="s">
        <v>53</v>
      </c>
      <c r="C5569" s="51">
        <v>54065.9</v>
      </c>
      <c r="D5569" s="51">
        <v>0</v>
      </c>
    </row>
    <row r="5570" spans="1:4">
      <c r="A5570" s="50">
        <v>45159</v>
      </c>
      <c r="B5570" s="49" t="s">
        <v>30</v>
      </c>
      <c r="C5570" s="51">
        <v>52927</v>
      </c>
      <c r="D5570" s="51">
        <v>0</v>
      </c>
    </row>
    <row r="5571" spans="1:4">
      <c r="A5571" s="50">
        <v>45159</v>
      </c>
      <c r="B5571" s="49" t="s">
        <v>31</v>
      </c>
      <c r="C5571" s="51">
        <v>54687</v>
      </c>
      <c r="D5571" s="51">
        <v>0</v>
      </c>
    </row>
    <row r="5572" spans="1:4">
      <c r="A5572" s="50">
        <v>45159</v>
      </c>
      <c r="B5572" s="49" t="s">
        <v>32</v>
      </c>
      <c r="C5572" s="51">
        <v>54273.599999999999</v>
      </c>
      <c r="D5572" s="51">
        <v>0</v>
      </c>
    </row>
    <row r="5573" spans="1:4">
      <c r="A5573" s="50">
        <v>45159</v>
      </c>
      <c r="B5573" s="49" t="s">
        <v>33</v>
      </c>
      <c r="C5573" s="51">
        <v>53637.5</v>
      </c>
      <c r="D5573" s="51">
        <v>0</v>
      </c>
    </row>
    <row r="5574" spans="1:4">
      <c r="A5574" s="50">
        <v>45159</v>
      </c>
      <c r="B5574" s="49" t="s">
        <v>34</v>
      </c>
      <c r="C5574" s="51">
        <v>53647</v>
      </c>
      <c r="D5574" s="51">
        <v>0</v>
      </c>
    </row>
    <row r="5575" spans="1:4">
      <c r="A5575" s="50">
        <v>45159</v>
      </c>
      <c r="B5575" s="49" t="s">
        <v>35</v>
      </c>
      <c r="C5575" s="51">
        <v>53549.9</v>
      </c>
      <c r="D5575" s="51">
        <v>0</v>
      </c>
    </row>
    <row r="5576" spans="1:4">
      <c r="A5576" s="50">
        <v>45159</v>
      </c>
      <c r="B5576" s="49" t="s">
        <v>36</v>
      </c>
      <c r="C5576" s="51">
        <v>53613.5</v>
      </c>
      <c r="D5576" s="51">
        <v>0</v>
      </c>
    </row>
    <row r="5577" spans="1:4">
      <c r="A5577" s="50">
        <v>45159</v>
      </c>
      <c r="B5577" s="49" t="s">
        <v>37</v>
      </c>
      <c r="C5577" s="51">
        <v>53611.7</v>
      </c>
      <c r="D5577" s="51">
        <v>0</v>
      </c>
    </row>
    <row r="5578" spans="1:4">
      <c r="A5578" s="50">
        <v>45159</v>
      </c>
      <c r="B5578" s="49" t="s">
        <v>38</v>
      </c>
      <c r="C5578" s="51">
        <v>53781.599999999999</v>
      </c>
      <c r="D5578" s="51">
        <v>0</v>
      </c>
    </row>
    <row r="5579" spans="1:4">
      <c r="A5579" s="50">
        <v>45159</v>
      </c>
      <c r="B5579" s="49" t="s">
        <v>39</v>
      </c>
      <c r="C5579" s="51">
        <v>53592</v>
      </c>
      <c r="D5579" s="51">
        <v>0</v>
      </c>
    </row>
    <row r="5580" spans="1:4">
      <c r="A5580" s="50">
        <v>45159</v>
      </c>
      <c r="B5580" s="49" t="s">
        <v>40</v>
      </c>
      <c r="C5580" s="51">
        <v>53643.3</v>
      </c>
      <c r="D5580" s="51">
        <v>0</v>
      </c>
    </row>
    <row r="5581" spans="1:4">
      <c r="A5581" s="50">
        <v>45159</v>
      </c>
      <c r="B5581" s="49" t="s">
        <v>41</v>
      </c>
      <c r="C5581" s="51">
        <v>53580</v>
      </c>
      <c r="D5581" s="51">
        <v>0</v>
      </c>
    </row>
    <row r="5582" spans="1:4">
      <c r="A5582" s="50">
        <v>45159</v>
      </c>
      <c r="B5582" s="49" t="s">
        <v>42</v>
      </c>
      <c r="C5582" s="51">
        <v>53676.7</v>
      </c>
      <c r="D5582" s="51">
        <v>0</v>
      </c>
    </row>
    <row r="5583" spans="1:4">
      <c r="A5583" s="50">
        <v>45159</v>
      </c>
      <c r="B5583" s="49" t="s">
        <v>43</v>
      </c>
      <c r="C5583" s="51">
        <v>53634.8</v>
      </c>
      <c r="D5583" s="51">
        <v>0</v>
      </c>
    </row>
    <row r="5584" spans="1:4">
      <c r="A5584" s="50">
        <v>45159</v>
      </c>
      <c r="B5584" s="49" t="s">
        <v>44</v>
      </c>
      <c r="C5584" s="51">
        <v>53637.2</v>
      </c>
      <c r="D5584" s="51">
        <v>0</v>
      </c>
    </row>
    <row r="5585" spans="1:4">
      <c r="A5585" s="50">
        <v>45159</v>
      </c>
      <c r="B5585" s="49" t="s">
        <v>45</v>
      </c>
      <c r="C5585" s="51">
        <v>53696.6</v>
      </c>
      <c r="D5585" s="51">
        <v>0</v>
      </c>
    </row>
    <row r="5586" spans="1:4">
      <c r="A5586" s="50">
        <v>45159</v>
      </c>
      <c r="B5586" s="49" t="s">
        <v>46</v>
      </c>
      <c r="C5586" s="51">
        <v>53626</v>
      </c>
      <c r="D5586" s="51">
        <v>0</v>
      </c>
    </row>
    <row r="5587" spans="1:4">
      <c r="A5587" s="50">
        <v>45159</v>
      </c>
      <c r="B5587" s="49" t="s">
        <v>47</v>
      </c>
      <c r="C5587" s="51">
        <v>53707.7</v>
      </c>
      <c r="D5587" s="51">
        <v>0</v>
      </c>
    </row>
    <row r="5588" spans="1:4">
      <c r="A5588" s="50">
        <v>45159</v>
      </c>
      <c r="B5588" s="49" t="s">
        <v>48</v>
      </c>
      <c r="C5588" s="51">
        <v>67978</v>
      </c>
      <c r="D5588" s="51">
        <v>0</v>
      </c>
    </row>
    <row r="5589" spans="1:4">
      <c r="A5589" s="50">
        <v>45159</v>
      </c>
      <c r="B5589" s="49" t="s">
        <v>49</v>
      </c>
      <c r="C5589" s="51">
        <v>67926.3</v>
      </c>
      <c r="D5589" s="51">
        <v>0</v>
      </c>
    </row>
    <row r="5590" spans="1:4">
      <c r="A5590" s="50">
        <v>45159</v>
      </c>
      <c r="B5590" s="49" t="s">
        <v>50</v>
      </c>
      <c r="C5590" s="51">
        <v>67910.8</v>
      </c>
      <c r="D5590" s="51">
        <v>0</v>
      </c>
    </row>
    <row r="5591" spans="1:4">
      <c r="A5591" s="50">
        <v>45159</v>
      </c>
      <c r="B5591" s="49" t="s">
        <v>51</v>
      </c>
      <c r="C5591" s="51">
        <v>69190.600000000006</v>
      </c>
      <c r="D5591" s="51">
        <v>0</v>
      </c>
    </row>
    <row r="5592" spans="1:4">
      <c r="A5592" s="50">
        <v>45159</v>
      </c>
      <c r="B5592" s="49" t="s">
        <v>52</v>
      </c>
      <c r="C5592" s="51">
        <v>70148.2</v>
      </c>
      <c r="D5592" s="51">
        <v>0</v>
      </c>
    </row>
    <row r="5593" spans="1:4">
      <c r="A5593" s="50">
        <v>45159</v>
      </c>
      <c r="B5593" s="49" t="s">
        <v>53</v>
      </c>
      <c r="C5593" s="51">
        <v>69829.399999999994</v>
      </c>
      <c r="D5593" s="51">
        <v>0</v>
      </c>
    </row>
    <row r="5594" spans="1:4">
      <c r="A5594" s="50">
        <v>45160</v>
      </c>
      <c r="B5594" s="49" t="s">
        <v>30</v>
      </c>
    </row>
    <row r="5595" spans="1:4">
      <c r="A5595" s="50">
        <v>45160</v>
      </c>
      <c r="B5595" s="49" t="s">
        <v>31</v>
      </c>
    </row>
    <row r="5596" spans="1:4">
      <c r="A5596" s="50">
        <v>45160</v>
      </c>
      <c r="B5596" s="49" t="s">
        <v>32</v>
      </c>
    </row>
    <row r="5597" spans="1:4">
      <c r="A5597" s="50">
        <v>45160</v>
      </c>
      <c r="B5597" s="49" t="s">
        <v>33</v>
      </c>
    </row>
    <row r="5598" spans="1:4">
      <c r="A5598" s="50">
        <v>45160</v>
      </c>
      <c r="B5598" s="49" t="s">
        <v>34</v>
      </c>
    </row>
    <row r="5599" spans="1:4">
      <c r="A5599" s="50">
        <v>45160</v>
      </c>
      <c r="B5599" s="49" t="s">
        <v>35</v>
      </c>
    </row>
    <row r="5600" spans="1:4">
      <c r="A5600" s="50">
        <v>45160</v>
      </c>
      <c r="B5600" s="49" t="s">
        <v>36</v>
      </c>
    </row>
    <row r="5601" spans="1:2">
      <c r="A5601" s="50">
        <v>45160</v>
      </c>
      <c r="B5601" s="49" t="s">
        <v>37</v>
      </c>
    </row>
    <row r="5602" spans="1:2">
      <c r="A5602" s="50">
        <v>45160</v>
      </c>
      <c r="B5602" s="49" t="s">
        <v>38</v>
      </c>
    </row>
    <row r="5603" spans="1:2">
      <c r="A5603" s="50">
        <v>45160</v>
      </c>
      <c r="B5603" s="49" t="s">
        <v>39</v>
      </c>
    </row>
    <row r="5604" spans="1:2">
      <c r="A5604" s="50">
        <v>45160</v>
      </c>
      <c r="B5604" s="49" t="s">
        <v>40</v>
      </c>
    </row>
    <row r="5605" spans="1:2">
      <c r="A5605" s="50">
        <v>45160</v>
      </c>
      <c r="B5605" s="49" t="s">
        <v>41</v>
      </c>
    </row>
    <row r="5606" spans="1:2">
      <c r="A5606" s="50">
        <v>45160</v>
      </c>
      <c r="B5606" s="49" t="s">
        <v>42</v>
      </c>
    </row>
    <row r="5607" spans="1:2">
      <c r="A5607" s="50">
        <v>45160</v>
      </c>
      <c r="B5607" s="49" t="s">
        <v>43</v>
      </c>
    </row>
    <row r="5608" spans="1:2">
      <c r="A5608" s="50">
        <v>45160</v>
      </c>
      <c r="B5608" s="49" t="s">
        <v>44</v>
      </c>
    </row>
    <row r="5609" spans="1:2">
      <c r="A5609" s="50">
        <v>45160</v>
      </c>
      <c r="B5609" s="49" t="s">
        <v>45</v>
      </c>
    </row>
    <row r="5610" spans="1:2">
      <c r="A5610" s="50">
        <v>45160</v>
      </c>
      <c r="B5610" s="49" t="s">
        <v>46</v>
      </c>
    </row>
    <row r="5611" spans="1:2">
      <c r="A5611" s="50">
        <v>45160</v>
      </c>
      <c r="B5611" s="49" t="s">
        <v>47</v>
      </c>
    </row>
    <row r="5612" spans="1:2">
      <c r="A5612" s="50">
        <v>45160</v>
      </c>
      <c r="B5612" s="49" t="s">
        <v>48</v>
      </c>
    </row>
    <row r="5613" spans="1:2">
      <c r="A5613" s="50">
        <v>45160</v>
      </c>
      <c r="B5613" s="49" t="s">
        <v>49</v>
      </c>
    </row>
    <row r="5614" spans="1:2">
      <c r="A5614" s="50">
        <v>45160</v>
      </c>
      <c r="B5614" s="49" t="s">
        <v>50</v>
      </c>
    </row>
    <row r="5615" spans="1:2">
      <c r="A5615" s="50">
        <v>45160</v>
      </c>
      <c r="B5615" s="49" t="s">
        <v>51</v>
      </c>
    </row>
    <row r="5616" spans="1:2">
      <c r="A5616" s="50">
        <v>45160</v>
      </c>
      <c r="B5616" s="49" t="s">
        <v>52</v>
      </c>
    </row>
    <row r="5617" spans="1:2">
      <c r="A5617" s="50">
        <v>45160</v>
      </c>
      <c r="B5617" s="49" t="s">
        <v>53</v>
      </c>
    </row>
    <row r="5618" spans="1:2">
      <c r="A5618" s="50">
        <v>45161</v>
      </c>
      <c r="B5618" s="49" t="s">
        <v>30</v>
      </c>
    </row>
    <row r="5619" spans="1:2">
      <c r="A5619" s="50">
        <v>45161</v>
      </c>
      <c r="B5619" s="49" t="s">
        <v>31</v>
      </c>
    </row>
    <row r="5620" spans="1:2">
      <c r="A5620" s="50">
        <v>45161</v>
      </c>
      <c r="B5620" s="49" t="s">
        <v>32</v>
      </c>
    </row>
    <row r="5621" spans="1:2">
      <c r="A5621" s="50">
        <v>45161</v>
      </c>
      <c r="B5621" s="49" t="s">
        <v>33</v>
      </c>
    </row>
    <row r="5622" spans="1:2">
      <c r="A5622" s="50">
        <v>45161</v>
      </c>
      <c r="B5622" s="49" t="s">
        <v>34</v>
      </c>
    </row>
    <row r="5623" spans="1:2">
      <c r="A5623" s="50">
        <v>45161</v>
      </c>
      <c r="B5623" s="49" t="s">
        <v>35</v>
      </c>
    </row>
    <row r="5624" spans="1:2">
      <c r="A5624" s="50">
        <v>45161</v>
      </c>
      <c r="B5624" s="49" t="s">
        <v>36</v>
      </c>
    </row>
    <row r="5625" spans="1:2">
      <c r="A5625" s="50">
        <v>45161</v>
      </c>
      <c r="B5625" s="49" t="s">
        <v>37</v>
      </c>
    </row>
    <row r="5626" spans="1:2">
      <c r="A5626" s="50">
        <v>45161</v>
      </c>
      <c r="B5626" s="49" t="s">
        <v>38</v>
      </c>
    </row>
    <row r="5627" spans="1:2">
      <c r="A5627" s="50">
        <v>45161</v>
      </c>
      <c r="B5627" s="49" t="s">
        <v>39</v>
      </c>
    </row>
    <row r="5628" spans="1:2">
      <c r="A5628" s="50">
        <v>45161</v>
      </c>
      <c r="B5628" s="49" t="s">
        <v>40</v>
      </c>
    </row>
    <row r="5629" spans="1:2">
      <c r="A5629" s="50">
        <v>45161</v>
      </c>
      <c r="B5629" s="49" t="s">
        <v>41</v>
      </c>
    </row>
    <row r="5630" spans="1:2">
      <c r="A5630" s="50">
        <v>45161</v>
      </c>
      <c r="B5630" s="49" t="s">
        <v>42</v>
      </c>
    </row>
    <row r="5631" spans="1:2">
      <c r="A5631" s="50">
        <v>45161</v>
      </c>
      <c r="B5631" s="49" t="s">
        <v>43</v>
      </c>
    </row>
    <row r="5632" spans="1:2">
      <c r="A5632" s="50">
        <v>45161</v>
      </c>
      <c r="B5632" s="49" t="s">
        <v>44</v>
      </c>
    </row>
    <row r="5633" spans="1:2">
      <c r="A5633" s="50">
        <v>45161</v>
      </c>
      <c r="B5633" s="49" t="s">
        <v>45</v>
      </c>
    </row>
    <row r="5634" spans="1:2">
      <c r="A5634" s="50">
        <v>45161</v>
      </c>
      <c r="B5634" s="49" t="s">
        <v>46</v>
      </c>
    </row>
    <row r="5635" spans="1:2">
      <c r="A5635" s="50">
        <v>45161</v>
      </c>
      <c r="B5635" s="49" t="s">
        <v>47</v>
      </c>
    </row>
    <row r="5636" spans="1:2">
      <c r="A5636" s="50">
        <v>45161</v>
      </c>
      <c r="B5636" s="49" t="s">
        <v>48</v>
      </c>
    </row>
    <row r="5637" spans="1:2">
      <c r="A5637" s="50">
        <v>45161</v>
      </c>
      <c r="B5637" s="49" t="s">
        <v>49</v>
      </c>
    </row>
    <row r="5638" spans="1:2">
      <c r="A5638" s="50">
        <v>45161</v>
      </c>
      <c r="B5638" s="49" t="s">
        <v>50</v>
      </c>
    </row>
    <row r="5639" spans="1:2">
      <c r="A5639" s="50">
        <v>45161</v>
      </c>
      <c r="B5639" s="49" t="s">
        <v>51</v>
      </c>
    </row>
    <row r="5640" spans="1:2">
      <c r="A5640" s="50">
        <v>45161</v>
      </c>
      <c r="B5640" s="49" t="s">
        <v>52</v>
      </c>
    </row>
    <row r="5641" spans="1:2">
      <c r="A5641" s="50">
        <v>45161</v>
      </c>
      <c r="B5641" s="49" t="s">
        <v>53</v>
      </c>
    </row>
    <row r="5642" spans="1:2">
      <c r="A5642" s="50">
        <v>45162</v>
      </c>
      <c r="B5642" s="49" t="s">
        <v>30</v>
      </c>
    </row>
    <row r="5643" spans="1:2">
      <c r="A5643" s="50">
        <v>45162</v>
      </c>
      <c r="B5643" s="49" t="s">
        <v>31</v>
      </c>
    </row>
    <row r="5644" spans="1:2">
      <c r="A5644" s="50">
        <v>45162</v>
      </c>
      <c r="B5644" s="49" t="s">
        <v>32</v>
      </c>
    </row>
    <row r="5645" spans="1:2">
      <c r="A5645" s="50">
        <v>45162</v>
      </c>
      <c r="B5645" s="49" t="s">
        <v>33</v>
      </c>
    </row>
    <row r="5646" spans="1:2">
      <c r="A5646" s="50">
        <v>45162</v>
      </c>
      <c r="B5646" s="49" t="s">
        <v>34</v>
      </c>
    </row>
    <row r="5647" spans="1:2">
      <c r="A5647" s="50">
        <v>45162</v>
      </c>
      <c r="B5647" s="49" t="s">
        <v>35</v>
      </c>
    </row>
    <row r="5648" spans="1:2">
      <c r="A5648" s="50">
        <v>45162</v>
      </c>
      <c r="B5648" s="49" t="s">
        <v>36</v>
      </c>
    </row>
    <row r="5649" spans="1:2">
      <c r="A5649" s="50">
        <v>45162</v>
      </c>
      <c r="B5649" s="49" t="s">
        <v>37</v>
      </c>
    </row>
    <row r="5650" spans="1:2">
      <c r="A5650" s="50">
        <v>45162</v>
      </c>
      <c r="B5650" s="49" t="s">
        <v>38</v>
      </c>
    </row>
    <row r="5651" spans="1:2">
      <c r="A5651" s="50">
        <v>45162</v>
      </c>
      <c r="B5651" s="49" t="s">
        <v>39</v>
      </c>
    </row>
    <row r="5652" spans="1:2">
      <c r="A5652" s="50">
        <v>45162</v>
      </c>
      <c r="B5652" s="49" t="s">
        <v>40</v>
      </c>
    </row>
    <row r="5653" spans="1:2">
      <c r="A5653" s="50">
        <v>45162</v>
      </c>
      <c r="B5653" s="49" t="s">
        <v>41</v>
      </c>
    </row>
    <row r="5654" spans="1:2">
      <c r="A5654" s="50">
        <v>45162</v>
      </c>
      <c r="B5654" s="49" t="s">
        <v>42</v>
      </c>
    </row>
    <row r="5655" spans="1:2">
      <c r="A5655" s="50">
        <v>45162</v>
      </c>
      <c r="B5655" s="49" t="s">
        <v>43</v>
      </c>
    </row>
    <row r="5656" spans="1:2">
      <c r="A5656" s="50">
        <v>45162</v>
      </c>
      <c r="B5656" s="49" t="s">
        <v>44</v>
      </c>
    </row>
    <row r="5657" spans="1:2">
      <c r="A5657" s="50">
        <v>45162</v>
      </c>
      <c r="B5657" s="49" t="s">
        <v>45</v>
      </c>
    </row>
    <row r="5658" spans="1:2">
      <c r="A5658" s="50">
        <v>45162</v>
      </c>
      <c r="B5658" s="49" t="s">
        <v>46</v>
      </c>
    </row>
    <row r="5659" spans="1:2">
      <c r="A5659" s="50">
        <v>45162</v>
      </c>
      <c r="B5659" s="49" t="s">
        <v>47</v>
      </c>
    </row>
    <row r="5660" spans="1:2">
      <c r="A5660" s="50">
        <v>45162</v>
      </c>
      <c r="B5660" s="49" t="s">
        <v>48</v>
      </c>
    </row>
    <row r="5661" spans="1:2">
      <c r="A5661" s="50">
        <v>45162</v>
      </c>
      <c r="B5661" s="49" t="s">
        <v>49</v>
      </c>
    </row>
    <row r="5662" spans="1:2">
      <c r="A5662" s="50">
        <v>45162</v>
      </c>
      <c r="B5662" s="49" t="s">
        <v>50</v>
      </c>
    </row>
    <row r="5663" spans="1:2">
      <c r="A5663" s="50">
        <v>45162</v>
      </c>
      <c r="B5663" s="49" t="s">
        <v>51</v>
      </c>
    </row>
    <row r="5664" spans="1:2">
      <c r="A5664" s="50">
        <v>45162</v>
      </c>
      <c r="B5664" s="49" t="s">
        <v>52</v>
      </c>
    </row>
    <row r="5665" spans="1:2">
      <c r="A5665" s="50">
        <v>45162</v>
      </c>
      <c r="B5665" s="49" t="s">
        <v>53</v>
      </c>
    </row>
    <row r="5666" spans="1:2">
      <c r="A5666" s="50">
        <v>45163</v>
      </c>
      <c r="B5666" s="49" t="s">
        <v>30</v>
      </c>
    </row>
    <row r="5667" spans="1:2">
      <c r="A5667" s="50">
        <v>45163</v>
      </c>
      <c r="B5667" s="49" t="s">
        <v>31</v>
      </c>
    </row>
    <row r="5668" spans="1:2">
      <c r="A5668" s="50">
        <v>45163</v>
      </c>
      <c r="B5668" s="49" t="s">
        <v>32</v>
      </c>
    </row>
    <row r="5669" spans="1:2">
      <c r="A5669" s="50">
        <v>45163</v>
      </c>
      <c r="B5669" s="49" t="s">
        <v>33</v>
      </c>
    </row>
    <row r="5670" spans="1:2">
      <c r="A5670" s="50">
        <v>45163</v>
      </c>
      <c r="B5670" s="49" t="s">
        <v>34</v>
      </c>
    </row>
    <row r="5671" spans="1:2">
      <c r="A5671" s="50">
        <v>45163</v>
      </c>
      <c r="B5671" s="49" t="s">
        <v>35</v>
      </c>
    </row>
    <row r="5672" spans="1:2">
      <c r="A5672" s="50">
        <v>45163</v>
      </c>
      <c r="B5672" s="49" t="s">
        <v>36</v>
      </c>
    </row>
    <row r="5673" spans="1:2">
      <c r="A5673" s="50">
        <v>45163</v>
      </c>
      <c r="B5673" s="49" t="s">
        <v>37</v>
      </c>
    </row>
    <row r="5674" spans="1:2">
      <c r="A5674" s="50">
        <v>45163</v>
      </c>
      <c r="B5674" s="49" t="s">
        <v>38</v>
      </c>
    </row>
    <row r="5675" spans="1:2">
      <c r="A5675" s="50">
        <v>45163</v>
      </c>
      <c r="B5675" s="49" t="s">
        <v>39</v>
      </c>
    </row>
    <row r="5676" spans="1:2">
      <c r="A5676" s="50">
        <v>45163</v>
      </c>
      <c r="B5676" s="49" t="s">
        <v>40</v>
      </c>
    </row>
    <row r="5677" spans="1:2">
      <c r="A5677" s="50">
        <v>45163</v>
      </c>
      <c r="B5677" s="49" t="s">
        <v>41</v>
      </c>
    </row>
    <row r="5678" spans="1:2">
      <c r="A5678" s="50">
        <v>45163</v>
      </c>
      <c r="B5678" s="49" t="s">
        <v>42</v>
      </c>
    </row>
    <row r="5679" spans="1:2">
      <c r="A5679" s="50">
        <v>45163</v>
      </c>
      <c r="B5679" s="49" t="s">
        <v>43</v>
      </c>
    </row>
    <row r="5680" spans="1:2">
      <c r="A5680" s="50">
        <v>45163</v>
      </c>
      <c r="B5680" s="49" t="s">
        <v>44</v>
      </c>
    </row>
    <row r="5681" spans="1:2">
      <c r="A5681" s="50">
        <v>45163</v>
      </c>
      <c r="B5681" s="49" t="s">
        <v>45</v>
      </c>
    </row>
    <row r="5682" spans="1:2">
      <c r="A5682" s="50">
        <v>45163</v>
      </c>
      <c r="B5682" s="49" t="s">
        <v>46</v>
      </c>
    </row>
    <row r="5683" spans="1:2">
      <c r="A5683" s="50">
        <v>45163</v>
      </c>
      <c r="B5683" s="49" t="s">
        <v>47</v>
      </c>
    </row>
    <row r="5684" spans="1:2">
      <c r="A5684" s="50">
        <v>45163</v>
      </c>
      <c r="B5684" s="49" t="s">
        <v>48</v>
      </c>
    </row>
    <row r="5685" spans="1:2">
      <c r="A5685" s="50">
        <v>45163</v>
      </c>
      <c r="B5685" s="49" t="s">
        <v>49</v>
      </c>
    </row>
    <row r="5686" spans="1:2">
      <c r="A5686" s="50">
        <v>45163</v>
      </c>
      <c r="B5686" s="49" t="s">
        <v>50</v>
      </c>
    </row>
    <row r="5687" spans="1:2">
      <c r="A5687" s="50">
        <v>45163</v>
      </c>
      <c r="B5687" s="49" t="s">
        <v>51</v>
      </c>
    </row>
    <row r="5688" spans="1:2">
      <c r="A5688" s="50">
        <v>45163</v>
      </c>
      <c r="B5688" s="49" t="s">
        <v>52</v>
      </c>
    </row>
    <row r="5689" spans="1:2">
      <c r="A5689" s="50">
        <v>45163</v>
      </c>
      <c r="B5689" s="49" t="s">
        <v>53</v>
      </c>
    </row>
    <row r="5690" spans="1:2">
      <c r="A5690" s="50">
        <v>45164</v>
      </c>
      <c r="B5690" s="49" t="s">
        <v>30</v>
      </c>
    </row>
    <row r="5691" spans="1:2">
      <c r="A5691" s="50">
        <v>45164</v>
      </c>
      <c r="B5691" s="49" t="s">
        <v>31</v>
      </c>
    </row>
    <row r="5692" spans="1:2">
      <c r="A5692" s="50">
        <v>45164</v>
      </c>
      <c r="B5692" s="49" t="s">
        <v>32</v>
      </c>
    </row>
    <row r="5693" spans="1:2">
      <c r="A5693" s="50">
        <v>45164</v>
      </c>
      <c r="B5693" s="49" t="s">
        <v>33</v>
      </c>
    </row>
    <row r="5694" spans="1:2">
      <c r="A5694" s="50">
        <v>45164</v>
      </c>
      <c r="B5694" s="49" t="s">
        <v>34</v>
      </c>
    </row>
    <row r="5695" spans="1:2">
      <c r="A5695" s="50">
        <v>45164</v>
      </c>
      <c r="B5695" s="49" t="s">
        <v>35</v>
      </c>
    </row>
    <row r="5696" spans="1:2">
      <c r="A5696" s="50">
        <v>45164</v>
      </c>
      <c r="B5696" s="49" t="s">
        <v>36</v>
      </c>
    </row>
    <row r="5697" spans="1:2">
      <c r="A5697" s="50">
        <v>45164</v>
      </c>
      <c r="B5697" s="49" t="s">
        <v>37</v>
      </c>
    </row>
    <row r="5698" spans="1:2">
      <c r="A5698" s="50">
        <v>45164</v>
      </c>
      <c r="B5698" s="49" t="s">
        <v>38</v>
      </c>
    </row>
    <row r="5699" spans="1:2">
      <c r="A5699" s="50">
        <v>45164</v>
      </c>
      <c r="B5699" s="49" t="s">
        <v>39</v>
      </c>
    </row>
    <row r="5700" spans="1:2">
      <c r="A5700" s="50">
        <v>45164</v>
      </c>
      <c r="B5700" s="49" t="s">
        <v>40</v>
      </c>
    </row>
    <row r="5701" spans="1:2">
      <c r="A5701" s="50">
        <v>45164</v>
      </c>
      <c r="B5701" s="49" t="s">
        <v>41</v>
      </c>
    </row>
    <row r="5702" spans="1:2">
      <c r="A5702" s="50">
        <v>45164</v>
      </c>
      <c r="B5702" s="49" t="s">
        <v>42</v>
      </c>
    </row>
    <row r="5703" spans="1:2">
      <c r="A5703" s="50">
        <v>45164</v>
      </c>
      <c r="B5703" s="49" t="s">
        <v>43</v>
      </c>
    </row>
    <row r="5704" spans="1:2">
      <c r="A5704" s="50">
        <v>45164</v>
      </c>
      <c r="B5704" s="49" t="s">
        <v>44</v>
      </c>
    </row>
    <row r="5705" spans="1:2">
      <c r="A5705" s="50">
        <v>45164</v>
      </c>
      <c r="B5705" s="49" t="s">
        <v>45</v>
      </c>
    </row>
    <row r="5706" spans="1:2">
      <c r="A5706" s="50">
        <v>45164</v>
      </c>
      <c r="B5706" s="49" t="s">
        <v>46</v>
      </c>
    </row>
    <row r="5707" spans="1:2">
      <c r="A5707" s="50">
        <v>45164</v>
      </c>
      <c r="B5707" s="49" t="s">
        <v>47</v>
      </c>
    </row>
    <row r="5708" spans="1:2">
      <c r="A5708" s="50">
        <v>45164</v>
      </c>
      <c r="B5708" s="49" t="s">
        <v>48</v>
      </c>
    </row>
    <row r="5709" spans="1:2">
      <c r="A5709" s="50">
        <v>45164</v>
      </c>
      <c r="B5709" s="49" t="s">
        <v>49</v>
      </c>
    </row>
    <row r="5710" spans="1:2">
      <c r="A5710" s="50">
        <v>45164</v>
      </c>
      <c r="B5710" s="49" t="s">
        <v>50</v>
      </c>
    </row>
    <row r="5711" spans="1:2">
      <c r="A5711" s="50">
        <v>45164</v>
      </c>
      <c r="B5711" s="49" t="s">
        <v>51</v>
      </c>
    </row>
    <row r="5712" spans="1:2">
      <c r="A5712" s="50">
        <v>45164</v>
      </c>
      <c r="B5712" s="49" t="s">
        <v>52</v>
      </c>
    </row>
    <row r="5713" spans="1:2">
      <c r="A5713" s="50">
        <v>45164</v>
      </c>
      <c r="B5713" s="49" t="s">
        <v>53</v>
      </c>
    </row>
    <row r="5714" spans="1:2">
      <c r="A5714" s="50">
        <v>45165</v>
      </c>
      <c r="B5714" s="49" t="s">
        <v>30</v>
      </c>
    </row>
    <row r="5715" spans="1:2">
      <c r="A5715" s="50">
        <v>45165</v>
      </c>
      <c r="B5715" s="49" t="s">
        <v>31</v>
      </c>
    </row>
    <row r="5716" spans="1:2">
      <c r="A5716" s="50">
        <v>45165</v>
      </c>
      <c r="B5716" s="49" t="s">
        <v>32</v>
      </c>
    </row>
    <row r="5717" spans="1:2">
      <c r="A5717" s="50">
        <v>45165</v>
      </c>
      <c r="B5717" s="49" t="s">
        <v>33</v>
      </c>
    </row>
    <row r="5718" spans="1:2">
      <c r="A5718" s="50">
        <v>45165</v>
      </c>
      <c r="B5718" s="49" t="s">
        <v>34</v>
      </c>
    </row>
    <row r="5719" spans="1:2">
      <c r="A5719" s="50">
        <v>45165</v>
      </c>
      <c r="B5719" s="49" t="s">
        <v>35</v>
      </c>
    </row>
    <row r="5720" spans="1:2">
      <c r="A5720" s="50">
        <v>45165</v>
      </c>
      <c r="B5720" s="49" t="s">
        <v>36</v>
      </c>
    </row>
    <row r="5721" spans="1:2">
      <c r="A5721" s="50">
        <v>45165</v>
      </c>
      <c r="B5721" s="49" t="s">
        <v>37</v>
      </c>
    </row>
    <row r="5722" spans="1:2">
      <c r="A5722" s="50">
        <v>45165</v>
      </c>
      <c r="B5722" s="49" t="s">
        <v>38</v>
      </c>
    </row>
    <row r="5723" spans="1:2">
      <c r="A5723" s="50">
        <v>45165</v>
      </c>
      <c r="B5723" s="49" t="s">
        <v>39</v>
      </c>
    </row>
    <row r="5724" spans="1:2">
      <c r="A5724" s="50">
        <v>45165</v>
      </c>
      <c r="B5724" s="49" t="s">
        <v>40</v>
      </c>
    </row>
    <row r="5725" spans="1:2">
      <c r="A5725" s="50">
        <v>45165</v>
      </c>
      <c r="B5725" s="49" t="s">
        <v>41</v>
      </c>
    </row>
    <row r="5726" spans="1:2">
      <c r="A5726" s="50">
        <v>45165</v>
      </c>
      <c r="B5726" s="49" t="s">
        <v>42</v>
      </c>
    </row>
    <row r="5727" spans="1:2">
      <c r="A5727" s="50">
        <v>45165</v>
      </c>
      <c r="B5727" s="49" t="s">
        <v>43</v>
      </c>
    </row>
    <row r="5728" spans="1:2">
      <c r="A5728" s="50">
        <v>45165</v>
      </c>
      <c r="B5728" s="49" t="s">
        <v>44</v>
      </c>
    </row>
    <row r="5729" spans="1:2">
      <c r="A5729" s="50">
        <v>45165</v>
      </c>
      <c r="B5729" s="49" t="s">
        <v>45</v>
      </c>
    </row>
    <row r="5730" spans="1:2">
      <c r="A5730" s="50">
        <v>45165</v>
      </c>
      <c r="B5730" s="49" t="s">
        <v>46</v>
      </c>
    </row>
    <row r="5731" spans="1:2">
      <c r="A5731" s="50">
        <v>45165</v>
      </c>
      <c r="B5731" s="49" t="s">
        <v>47</v>
      </c>
    </row>
    <row r="5732" spans="1:2">
      <c r="A5732" s="50">
        <v>45165</v>
      </c>
      <c r="B5732" s="49" t="s">
        <v>48</v>
      </c>
    </row>
    <row r="5733" spans="1:2">
      <c r="A5733" s="50">
        <v>45165</v>
      </c>
      <c r="B5733" s="49" t="s">
        <v>49</v>
      </c>
    </row>
    <row r="5734" spans="1:2">
      <c r="A5734" s="50">
        <v>45165</v>
      </c>
      <c r="B5734" s="49" t="s">
        <v>50</v>
      </c>
    </row>
    <row r="5735" spans="1:2">
      <c r="A5735" s="50">
        <v>45165</v>
      </c>
      <c r="B5735" s="49" t="s">
        <v>51</v>
      </c>
    </row>
    <row r="5736" spans="1:2">
      <c r="A5736" s="50">
        <v>45165</v>
      </c>
      <c r="B5736" s="49" t="s">
        <v>52</v>
      </c>
    </row>
    <row r="5737" spans="1:2">
      <c r="A5737" s="50">
        <v>45165</v>
      </c>
      <c r="B5737" s="49" t="s">
        <v>53</v>
      </c>
    </row>
    <row r="5738" spans="1:2">
      <c r="A5738" s="50">
        <v>45166</v>
      </c>
      <c r="B5738" s="49" t="s">
        <v>30</v>
      </c>
    </row>
    <row r="5739" spans="1:2">
      <c r="A5739" s="50">
        <v>45166</v>
      </c>
      <c r="B5739" s="49" t="s">
        <v>31</v>
      </c>
    </row>
    <row r="5740" spans="1:2">
      <c r="A5740" s="50">
        <v>45166</v>
      </c>
      <c r="B5740" s="49" t="s">
        <v>32</v>
      </c>
    </row>
    <row r="5741" spans="1:2">
      <c r="A5741" s="50">
        <v>45166</v>
      </c>
      <c r="B5741" s="49" t="s">
        <v>33</v>
      </c>
    </row>
    <row r="5742" spans="1:2">
      <c r="A5742" s="50">
        <v>45166</v>
      </c>
      <c r="B5742" s="49" t="s">
        <v>34</v>
      </c>
    </row>
    <row r="5743" spans="1:2">
      <c r="A5743" s="50">
        <v>45166</v>
      </c>
      <c r="B5743" s="49" t="s">
        <v>35</v>
      </c>
    </row>
    <row r="5744" spans="1:2">
      <c r="A5744" s="50">
        <v>45166</v>
      </c>
      <c r="B5744" s="49" t="s">
        <v>36</v>
      </c>
    </row>
    <row r="5745" spans="1:2">
      <c r="A5745" s="50">
        <v>45166</v>
      </c>
      <c r="B5745" s="49" t="s">
        <v>37</v>
      </c>
    </row>
    <row r="5746" spans="1:2">
      <c r="A5746" s="50">
        <v>45166</v>
      </c>
      <c r="B5746" s="49" t="s">
        <v>38</v>
      </c>
    </row>
    <row r="5747" spans="1:2">
      <c r="A5747" s="50">
        <v>45166</v>
      </c>
      <c r="B5747" s="49" t="s">
        <v>39</v>
      </c>
    </row>
    <row r="5748" spans="1:2">
      <c r="A5748" s="50">
        <v>45166</v>
      </c>
      <c r="B5748" s="49" t="s">
        <v>40</v>
      </c>
    </row>
    <row r="5749" spans="1:2">
      <c r="A5749" s="50">
        <v>45166</v>
      </c>
      <c r="B5749" s="49" t="s">
        <v>41</v>
      </c>
    </row>
    <row r="5750" spans="1:2">
      <c r="A5750" s="50">
        <v>45166</v>
      </c>
      <c r="B5750" s="49" t="s">
        <v>42</v>
      </c>
    </row>
    <row r="5751" spans="1:2">
      <c r="A5751" s="50">
        <v>45166</v>
      </c>
      <c r="B5751" s="49" t="s">
        <v>43</v>
      </c>
    </row>
    <row r="5752" spans="1:2">
      <c r="A5752" s="50">
        <v>45166</v>
      </c>
      <c r="B5752" s="49" t="s">
        <v>44</v>
      </c>
    </row>
    <row r="5753" spans="1:2">
      <c r="A5753" s="50">
        <v>45166</v>
      </c>
      <c r="B5753" s="49" t="s">
        <v>45</v>
      </c>
    </row>
    <row r="5754" spans="1:2">
      <c r="A5754" s="50">
        <v>45166</v>
      </c>
      <c r="B5754" s="49" t="s">
        <v>46</v>
      </c>
    </row>
    <row r="5755" spans="1:2">
      <c r="A5755" s="50">
        <v>45166</v>
      </c>
      <c r="B5755" s="49" t="s">
        <v>47</v>
      </c>
    </row>
    <row r="5756" spans="1:2">
      <c r="A5756" s="50">
        <v>45166</v>
      </c>
      <c r="B5756" s="49" t="s">
        <v>48</v>
      </c>
    </row>
    <row r="5757" spans="1:2">
      <c r="A5757" s="50">
        <v>45166</v>
      </c>
      <c r="B5757" s="49" t="s">
        <v>49</v>
      </c>
    </row>
    <row r="5758" spans="1:2">
      <c r="A5758" s="50">
        <v>45166</v>
      </c>
      <c r="B5758" s="49" t="s">
        <v>50</v>
      </c>
    </row>
    <row r="5759" spans="1:2">
      <c r="A5759" s="50">
        <v>45166</v>
      </c>
      <c r="B5759" s="49" t="s">
        <v>51</v>
      </c>
    </row>
    <row r="5760" spans="1:2">
      <c r="A5760" s="50">
        <v>45166</v>
      </c>
      <c r="B5760" s="49" t="s">
        <v>52</v>
      </c>
    </row>
    <row r="5761" spans="1:2">
      <c r="A5761" s="50">
        <v>45166</v>
      </c>
      <c r="B5761" s="49" t="s">
        <v>53</v>
      </c>
    </row>
    <row r="5762" spans="1:2">
      <c r="A5762" s="50">
        <v>45167</v>
      </c>
      <c r="B5762" s="49" t="s">
        <v>30</v>
      </c>
    </row>
    <row r="5763" spans="1:2">
      <c r="A5763" s="50">
        <v>45167</v>
      </c>
      <c r="B5763" s="49" t="s">
        <v>31</v>
      </c>
    </row>
    <row r="5764" spans="1:2">
      <c r="A5764" s="50">
        <v>45167</v>
      </c>
      <c r="B5764" s="49" t="s">
        <v>32</v>
      </c>
    </row>
    <row r="5765" spans="1:2">
      <c r="A5765" s="50">
        <v>45167</v>
      </c>
      <c r="B5765" s="49" t="s">
        <v>33</v>
      </c>
    </row>
    <row r="5766" spans="1:2">
      <c r="A5766" s="50">
        <v>45167</v>
      </c>
      <c r="B5766" s="49" t="s">
        <v>34</v>
      </c>
    </row>
    <row r="5767" spans="1:2">
      <c r="A5767" s="50">
        <v>45167</v>
      </c>
      <c r="B5767" s="49" t="s">
        <v>35</v>
      </c>
    </row>
    <row r="5768" spans="1:2">
      <c r="A5768" s="50">
        <v>45167</v>
      </c>
      <c r="B5768" s="49" t="s">
        <v>36</v>
      </c>
    </row>
    <row r="5769" spans="1:2">
      <c r="A5769" s="50">
        <v>45167</v>
      </c>
      <c r="B5769" s="49" t="s">
        <v>37</v>
      </c>
    </row>
    <row r="5770" spans="1:2">
      <c r="A5770" s="50">
        <v>45167</v>
      </c>
      <c r="B5770" s="49" t="s">
        <v>38</v>
      </c>
    </row>
    <row r="5771" spans="1:2">
      <c r="A5771" s="50">
        <v>45167</v>
      </c>
      <c r="B5771" s="49" t="s">
        <v>39</v>
      </c>
    </row>
    <row r="5772" spans="1:2">
      <c r="A5772" s="50">
        <v>45167</v>
      </c>
      <c r="B5772" s="49" t="s">
        <v>40</v>
      </c>
    </row>
    <row r="5773" spans="1:2">
      <c r="A5773" s="50">
        <v>45167</v>
      </c>
      <c r="B5773" s="49" t="s">
        <v>41</v>
      </c>
    </row>
    <row r="5774" spans="1:2">
      <c r="A5774" s="50">
        <v>45167</v>
      </c>
      <c r="B5774" s="49" t="s">
        <v>42</v>
      </c>
    </row>
    <row r="5775" spans="1:2">
      <c r="A5775" s="50">
        <v>45167</v>
      </c>
      <c r="B5775" s="49" t="s">
        <v>43</v>
      </c>
    </row>
    <row r="5776" spans="1:2">
      <c r="A5776" s="50">
        <v>45167</v>
      </c>
      <c r="B5776" s="49" t="s">
        <v>44</v>
      </c>
    </row>
    <row r="5777" spans="1:2">
      <c r="A5777" s="50">
        <v>45167</v>
      </c>
      <c r="B5777" s="49" t="s">
        <v>45</v>
      </c>
    </row>
    <row r="5778" spans="1:2">
      <c r="A5778" s="50">
        <v>45167</v>
      </c>
      <c r="B5778" s="49" t="s">
        <v>46</v>
      </c>
    </row>
    <row r="5779" spans="1:2">
      <c r="A5779" s="50">
        <v>45167</v>
      </c>
      <c r="B5779" s="49" t="s">
        <v>47</v>
      </c>
    </row>
    <row r="5780" spans="1:2">
      <c r="A5780" s="50">
        <v>45167</v>
      </c>
      <c r="B5780" s="49" t="s">
        <v>48</v>
      </c>
    </row>
    <row r="5781" spans="1:2">
      <c r="A5781" s="50">
        <v>45167</v>
      </c>
      <c r="B5781" s="49" t="s">
        <v>49</v>
      </c>
    </row>
    <row r="5782" spans="1:2">
      <c r="A5782" s="50">
        <v>45167</v>
      </c>
      <c r="B5782" s="49" t="s">
        <v>50</v>
      </c>
    </row>
    <row r="5783" spans="1:2">
      <c r="A5783" s="50">
        <v>45167</v>
      </c>
      <c r="B5783" s="49" t="s">
        <v>51</v>
      </c>
    </row>
    <row r="5784" spans="1:2">
      <c r="A5784" s="50">
        <v>45167</v>
      </c>
      <c r="B5784" s="49" t="s">
        <v>52</v>
      </c>
    </row>
    <row r="5785" spans="1:2">
      <c r="A5785" s="50">
        <v>45167</v>
      </c>
      <c r="B5785" s="49" t="s">
        <v>53</v>
      </c>
    </row>
    <row r="5786" spans="1:2">
      <c r="A5786" s="50">
        <v>45168</v>
      </c>
      <c r="B5786" s="49" t="s">
        <v>30</v>
      </c>
    </row>
    <row r="5787" spans="1:2">
      <c r="A5787" s="50">
        <v>45168</v>
      </c>
      <c r="B5787" s="49" t="s">
        <v>31</v>
      </c>
    </row>
    <row r="5788" spans="1:2">
      <c r="A5788" s="50">
        <v>45168</v>
      </c>
      <c r="B5788" s="49" t="s">
        <v>32</v>
      </c>
    </row>
    <row r="5789" spans="1:2">
      <c r="A5789" s="50">
        <v>45168</v>
      </c>
      <c r="B5789" s="49" t="s">
        <v>33</v>
      </c>
    </row>
    <row r="5790" spans="1:2">
      <c r="A5790" s="50">
        <v>45168</v>
      </c>
      <c r="B5790" s="49" t="s">
        <v>34</v>
      </c>
    </row>
    <row r="5791" spans="1:2">
      <c r="A5791" s="50">
        <v>45168</v>
      </c>
      <c r="B5791" s="49" t="s">
        <v>35</v>
      </c>
    </row>
    <row r="5792" spans="1:2">
      <c r="A5792" s="50">
        <v>45168</v>
      </c>
      <c r="B5792" s="49" t="s">
        <v>36</v>
      </c>
    </row>
    <row r="5793" spans="1:2">
      <c r="A5793" s="50">
        <v>45168</v>
      </c>
      <c r="B5793" s="49" t="s">
        <v>37</v>
      </c>
    </row>
    <row r="5794" spans="1:2">
      <c r="A5794" s="50">
        <v>45168</v>
      </c>
      <c r="B5794" s="49" t="s">
        <v>38</v>
      </c>
    </row>
    <row r="5795" spans="1:2">
      <c r="A5795" s="50">
        <v>45168</v>
      </c>
      <c r="B5795" s="49" t="s">
        <v>39</v>
      </c>
    </row>
    <row r="5796" spans="1:2">
      <c r="A5796" s="50">
        <v>45168</v>
      </c>
      <c r="B5796" s="49" t="s">
        <v>40</v>
      </c>
    </row>
    <row r="5797" spans="1:2">
      <c r="A5797" s="50">
        <v>45168</v>
      </c>
      <c r="B5797" s="49" t="s">
        <v>41</v>
      </c>
    </row>
    <row r="5798" spans="1:2">
      <c r="A5798" s="50">
        <v>45168</v>
      </c>
      <c r="B5798" s="49" t="s">
        <v>42</v>
      </c>
    </row>
    <row r="5799" spans="1:2">
      <c r="A5799" s="50">
        <v>45168</v>
      </c>
      <c r="B5799" s="49" t="s">
        <v>43</v>
      </c>
    </row>
    <row r="5800" spans="1:2">
      <c r="A5800" s="50">
        <v>45168</v>
      </c>
      <c r="B5800" s="49" t="s">
        <v>44</v>
      </c>
    </row>
    <row r="5801" spans="1:2">
      <c r="A5801" s="50">
        <v>45168</v>
      </c>
      <c r="B5801" s="49" t="s">
        <v>45</v>
      </c>
    </row>
    <row r="5802" spans="1:2">
      <c r="A5802" s="50">
        <v>45168</v>
      </c>
      <c r="B5802" s="49" t="s">
        <v>46</v>
      </c>
    </row>
    <row r="5803" spans="1:2">
      <c r="A5803" s="50">
        <v>45168</v>
      </c>
      <c r="B5803" s="49" t="s">
        <v>47</v>
      </c>
    </row>
    <row r="5804" spans="1:2">
      <c r="A5804" s="50">
        <v>45168</v>
      </c>
      <c r="B5804" s="49" t="s">
        <v>48</v>
      </c>
    </row>
    <row r="5805" spans="1:2">
      <c r="A5805" s="50">
        <v>45168</v>
      </c>
      <c r="B5805" s="49" t="s">
        <v>49</v>
      </c>
    </row>
    <row r="5806" spans="1:2">
      <c r="A5806" s="50">
        <v>45168</v>
      </c>
      <c r="B5806" s="49" t="s">
        <v>50</v>
      </c>
    </row>
    <row r="5807" spans="1:2">
      <c r="A5807" s="50">
        <v>45168</v>
      </c>
      <c r="B5807" s="49" t="s">
        <v>51</v>
      </c>
    </row>
    <row r="5808" spans="1:2">
      <c r="A5808" s="50">
        <v>45168</v>
      </c>
      <c r="B5808" s="49" t="s">
        <v>52</v>
      </c>
    </row>
    <row r="5809" spans="1:2">
      <c r="A5809" s="50">
        <v>45168</v>
      </c>
      <c r="B5809" s="49" t="s">
        <v>53</v>
      </c>
    </row>
    <row r="5810" spans="1:2">
      <c r="A5810" s="50">
        <v>45169</v>
      </c>
      <c r="B5810" s="49" t="s">
        <v>30</v>
      </c>
    </row>
    <row r="5811" spans="1:2">
      <c r="A5811" s="50">
        <v>45169</v>
      </c>
      <c r="B5811" s="49" t="s">
        <v>31</v>
      </c>
    </row>
    <row r="5812" spans="1:2">
      <c r="A5812" s="50">
        <v>45169</v>
      </c>
      <c r="B5812" s="49" t="s">
        <v>32</v>
      </c>
    </row>
    <row r="5813" spans="1:2">
      <c r="A5813" s="50">
        <v>45169</v>
      </c>
      <c r="B5813" s="49" t="s">
        <v>33</v>
      </c>
    </row>
    <row r="5814" spans="1:2">
      <c r="A5814" s="50">
        <v>45169</v>
      </c>
      <c r="B5814" s="49" t="s">
        <v>34</v>
      </c>
    </row>
    <row r="5815" spans="1:2">
      <c r="A5815" s="50">
        <v>45169</v>
      </c>
      <c r="B5815" s="49" t="s">
        <v>35</v>
      </c>
    </row>
    <row r="5816" spans="1:2">
      <c r="A5816" s="50">
        <v>45169</v>
      </c>
      <c r="B5816" s="49" t="s">
        <v>36</v>
      </c>
    </row>
    <row r="5817" spans="1:2">
      <c r="A5817" s="50">
        <v>45169</v>
      </c>
      <c r="B5817" s="49" t="s">
        <v>37</v>
      </c>
    </row>
    <row r="5818" spans="1:2">
      <c r="A5818" s="50">
        <v>45169</v>
      </c>
      <c r="B5818" s="49" t="s">
        <v>38</v>
      </c>
    </row>
    <row r="5819" spans="1:2">
      <c r="A5819" s="50">
        <v>45169</v>
      </c>
      <c r="B5819" s="49" t="s">
        <v>39</v>
      </c>
    </row>
    <row r="5820" spans="1:2">
      <c r="A5820" s="50">
        <v>45169</v>
      </c>
      <c r="B5820" s="49" t="s">
        <v>40</v>
      </c>
    </row>
    <row r="5821" spans="1:2">
      <c r="A5821" s="50">
        <v>45169</v>
      </c>
      <c r="B5821" s="49" t="s">
        <v>41</v>
      </c>
    </row>
    <row r="5822" spans="1:2">
      <c r="A5822" s="50">
        <v>45169</v>
      </c>
      <c r="B5822" s="49" t="s">
        <v>42</v>
      </c>
    </row>
    <row r="5823" spans="1:2">
      <c r="A5823" s="50">
        <v>45169</v>
      </c>
      <c r="B5823" s="49" t="s">
        <v>43</v>
      </c>
    </row>
    <row r="5824" spans="1:2">
      <c r="A5824" s="50">
        <v>45169</v>
      </c>
      <c r="B5824" s="49" t="s">
        <v>44</v>
      </c>
    </row>
    <row r="5825" spans="1:2">
      <c r="A5825" s="50">
        <v>45169</v>
      </c>
      <c r="B5825" s="49" t="s">
        <v>45</v>
      </c>
    </row>
    <row r="5826" spans="1:2">
      <c r="A5826" s="50">
        <v>45169</v>
      </c>
      <c r="B5826" s="49" t="s">
        <v>46</v>
      </c>
    </row>
    <row r="5827" spans="1:2">
      <c r="A5827" s="50">
        <v>45169</v>
      </c>
      <c r="B5827" s="49" t="s">
        <v>47</v>
      </c>
    </row>
    <row r="5828" spans="1:2">
      <c r="A5828" s="50">
        <v>45169</v>
      </c>
      <c r="B5828" s="49" t="s">
        <v>48</v>
      </c>
    </row>
    <row r="5829" spans="1:2">
      <c r="A5829" s="50">
        <v>45169</v>
      </c>
      <c r="B5829" s="49" t="s">
        <v>49</v>
      </c>
    </row>
    <row r="5830" spans="1:2">
      <c r="A5830" s="50">
        <v>45169</v>
      </c>
      <c r="B5830" s="49" t="s">
        <v>50</v>
      </c>
    </row>
    <row r="5831" spans="1:2">
      <c r="A5831" s="50">
        <v>45169</v>
      </c>
      <c r="B5831" s="49" t="s">
        <v>51</v>
      </c>
    </row>
    <row r="5832" spans="1:2">
      <c r="A5832" s="50">
        <v>45169</v>
      </c>
      <c r="B5832" s="49" t="s">
        <v>52</v>
      </c>
    </row>
    <row r="5833" spans="1:2">
      <c r="A5833" s="50">
        <v>45169</v>
      </c>
      <c r="B5833" s="49" t="s">
        <v>53</v>
      </c>
    </row>
    <row r="5834" spans="1:2">
      <c r="A5834" s="50">
        <v>45170</v>
      </c>
      <c r="B5834" s="49" t="s">
        <v>30</v>
      </c>
    </row>
    <row r="5835" spans="1:2">
      <c r="A5835" s="50">
        <v>45170</v>
      </c>
      <c r="B5835" s="49" t="s">
        <v>31</v>
      </c>
    </row>
    <row r="5836" spans="1:2">
      <c r="A5836" s="50">
        <v>45170</v>
      </c>
      <c r="B5836" s="49" t="s">
        <v>32</v>
      </c>
    </row>
    <row r="5837" spans="1:2">
      <c r="A5837" s="50">
        <v>45170</v>
      </c>
      <c r="B5837" s="49" t="s">
        <v>33</v>
      </c>
    </row>
    <row r="5838" spans="1:2">
      <c r="A5838" s="50">
        <v>45170</v>
      </c>
      <c r="B5838" s="49" t="s">
        <v>34</v>
      </c>
    </row>
    <row r="5839" spans="1:2">
      <c r="A5839" s="50">
        <v>45170</v>
      </c>
      <c r="B5839" s="49" t="s">
        <v>35</v>
      </c>
    </row>
    <row r="5840" spans="1:2">
      <c r="A5840" s="50">
        <v>45170</v>
      </c>
      <c r="B5840" s="49" t="s">
        <v>36</v>
      </c>
    </row>
    <row r="5841" spans="1:2">
      <c r="A5841" s="50">
        <v>45170</v>
      </c>
      <c r="B5841" s="49" t="s">
        <v>37</v>
      </c>
    </row>
    <row r="5842" spans="1:2">
      <c r="A5842" s="50">
        <v>45170</v>
      </c>
      <c r="B5842" s="49" t="s">
        <v>38</v>
      </c>
    </row>
    <row r="5843" spans="1:2">
      <c r="A5843" s="50">
        <v>45170</v>
      </c>
      <c r="B5843" s="49" t="s">
        <v>39</v>
      </c>
    </row>
    <row r="5844" spans="1:2">
      <c r="A5844" s="50">
        <v>45170</v>
      </c>
      <c r="B5844" s="49" t="s">
        <v>40</v>
      </c>
    </row>
    <row r="5845" spans="1:2">
      <c r="A5845" s="50">
        <v>45170</v>
      </c>
      <c r="B5845" s="49" t="s">
        <v>41</v>
      </c>
    </row>
    <row r="5846" spans="1:2">
      <c r="A5846" s="50">
        <v>45170</v>
      </c>
      <c r="B5846" s="49" t="s">
        <v>42</v>
      </c>
    </row>
    <row r="5847" spans="1:2">
      <c r="A5847" s="50">
        <v>45170</v>
      </c>
      <c r="B5847" s="49" t="s">
        <v>43</v>
      </c>
    </row>
    <row r="5848" spans="1:2">
      <c r="A5848" s="50">
        <v>45170</v>
      </c>
      <c r="B5848" s="49" t="s">
        <v>44</v>
      </c>
    </row>
    <row r="5849" spans="1:2">
      <c r="A5849" s="50">
        <v>45170</v>
      </c>
      <c r="B5849" s="49" t="s">
        <v>45</v>
      </c>
    </row>
    <row r="5850" spans="1:2">
      <c r="A5850" s="50">
        <v>45170</v>
      </c>
      <c r="B5850" s="49" t="s">
        <v>46</v>
      </c>
    </row>
    <row r="5851" spans="1:2">
      <c r="A5851" s="50">
        <v>45170</v>
      </c>
      <c r="B5851" s="49" t="s">
        <v>47</v>
      </c>
    </row>
    <row r="5852" spans="1:2">
      <c r="A5852" s="50">
        <v>45170</v>
      </c>
      <c r="B5852" s="49" t="s">
        <v>48</v>
      </c>
    </row>
    <row r="5853" spans="1:2">
      <c r="A5853" s="50">
        <v>45170</v>
      </c>
      <c r="B5853" s="49" t="s">
        <v>49</v>
      </c>
    </row>
    <row r="5854" spans="1:2">
      <c r="A5854" s="50">
        <v>45170</v>
      </c>
      <c r="B5854" s="49" t="s">
        <v>50</v>
      </c>
    </row>
    <row r="5855" spans="1:2">
      <c r="A5855" s="50">
        <v>45170</v>
      </c>
      <c r="B5855" s="49" t="s">
        <v>51</v>
      </c>
    </row>
    <row r="5856" spans="1:2">
      <c r="A5856" s="50">
        <v>45170</v>
      </c>
      <c r="B5856" s="49" t="s">
        <v>52</v>
      </c>
    </row>
    <row r="5857" spans="1:2">
      <c r="A5857" s="50">
        <v>45170</v>
      </c>
      <c r="B5857" s="49" t="s">
        <v>53</v>
      </c>
    </row>
    <row r="5858" spans="1:2">
      <c r="A5858" s="50">
        <v>45171</v>
      </c>
      <c r="B5858" s="49" t="s">
        <v>30</v>
      </c>
    </row>
    <row r="5859" spans="1:2">
      <c r="A5859" s="50">
        <v>45171</v>
      </c>
      <c r="B5859" s="49" t="s">
        <v>31</v>
      </c>
    </row>
    <row r="5860" spans="1:2">
      <c r="A5860" s="50">
        <v>45171</v>
      </c>
      <c r="B5860" s="49" t="s">
        <v>32</v>
      </c>
    </row>
    <row r="5861" spans="1:2">
      <c r="A5861" s="50">
        <v>45171</v>
      </c>
      <c r="B5861" s="49" t="s">
        <v>33</v>
      </c>
    </row>
    <row r="5862" spans="1:2">
      <c r="A5862" s="50">
        <v>45171</v>
      </c>
      <c r="B5862" s="49" t="s">
        <v>34</v>
      </c>
    </row>
    <row r="5863" spans="1:2">
      <c r="A5863" s="50">
        <v>45171</v>
      </c>
      <c r="B5863" s="49" t="s">
        <v>35</v>
      </c>
    </row>
    <row r="5864" spans="1:2">
      <c r="A5864" s="50">
        <v>45171</v>
      </c>
      <c r="B5864" s="49" t="s">
        <v>36</v>
      </c>
    </row>
    <row r="5865" spans="1:2">
      <c r="A5865" s="50">
        <v>45171</v>
      </c>
      <c r="B5865" s="49" t="s">
        <v>37</v>
      </c>
    </row>
    <row r="5866" spans="1:2">
      <c r="A5866" s="50">
        <v>45171</v>
      </c>
      <c r="B5866" s="49" t="s">
        <v>38</v>
      </c>
    </row>
    <row r="5867" spans="1:2">
      <c r="A5867" s="50">
        <v>45171</v>
      </c>
      <c r="B5867" s="49" t="s">
        <v>39</v>
      </c>
    </row>
    <row r="5868" spans="1:2">
      <c r="A5868" s="50">
        <v>45171</v>
      </c>
      <c r="B5868" s="49" t="s">
        <v>40</v>
      </c>
    </row>
    <row r="5869" spans="1:2">
      <c r="A5869" s="50">
        <v>45171</v>
      </c>
      <c r="B5869" s="49" t="s">
        <v>41</v>
      </c>
    </row>
    <row r="5870" spans="1:2">
      <c r="A5870" s="50">
        <v>45171</v>
      </c>
      <c r="B5870" s="49" t="s">
        <v>42</v>
      </c>
    </row>
    <row r="5871" spans="1:2">
      <c r="A5871" s="50">
        <v>45171</v>
      </c>
      <c r="B5871" s="49" t="s">
        <v>43</v>
      </c>
    </row>
    <row r="5872" spans="1:2">
      <c r="A5872" s="50">
        <v>45171</v>
      </c>
      <c r="B5872" s="49" t="s">
        <v>44</v>
      </c>
    </row>
    <row r="5873" spans="1:2">
      <c r="A5873" s="50">
        <v>45171</v>
      </c>
      <c r="B5873" s="49" t="s">
        <v>45</v>
      </c>
    </row>
    <row r="5874" spans="1:2">
      <c r="A5874" s="50">
        <v>45171</v>
      </c>
      <c r="B5874" s="49" t="s">
        <v>46</v>
      </c>
    </row>
    <row r="5875" spans="1:2">
      <c r="A5875" s="50">
        <v>45171</v>
      </c>
      <c r="B5875" s="49" t="s">
        <v>47</v>
      </c>
    </row>
    <row r="5876" spans="1:2">
      <c r="A5876" s="50">
        <v>45171</v>
      </c>
      <c r="B5876" s="49" t="s">
        <v>48</v>
      </c>
    </row>
    <row r="5877" spans="1:2">
      <c r="A5877" s="50">
        <v>45171</v>
      </c>
      <c r="B5877" s="49" t="s">
        <v>49</v>
      </c>
    </row>
    <row r="5878" spans="1:2">
      <c r="A5878" s="50">
        <v>45171</v>
      </c>
      <c r="B5878" s="49" t="s">
        <v>50</v>
      </c>
    </row>
    <row r="5879" spans="1:2">
      <c r="A5879" s="50">
        <v>45171</v>
      </c>
      <c r="B5879" s="49" t="s">
        <v>51</v>
      </c>
    </row>
    <row r="5880" spans="1:2">
      <c r="A5880" s="50">
        <v>45171</v>
      </c>
      <c r="B5880" s="49" t="s">
        <v>52</v>
      </c>
    </row>
    <row r="5881" spans="1:2">
      <c r="A5881" s="50">
        <v>45171</v>
      </c>
      <c r="B5881" s="49" t="s">
        <v>53</v>
      </c>
    </row>
    <row r="5882" spans="1:2">
      <c r="A5882" s="50">
        <v>45172</v>
      </c>
      <c r="B5882" s="49" t="s">
        <v>30</v>
      </c>
    </row>
    <row r="5883" spans="1:2">
      <c r="A5883" s="50">
        <v>45172</v>
      </c>
      <c r="B5883" s="49" t="s">
        <v>31</v>
      </c>
    </row>
    <row r="5884" spans="1:2">
      <c r="A5884" s="50">
        <v>45172</v>
      </c>
      <c r="B5884" s="49" t="s">
        <v>32</v>
      </c>
    </row>
    <row r="5885" spans="1:2">
      <c r="A5885" s="50">
        <v>45172</v>
      </c>
      <c r="B5885" s="49" t="s">
        <v>33</v>
      </c>
    </row>
    <row r="5886" spans="1:2">
      <c r="A5886" s="50">
        <v>45172</v>
      </c>
      <c r="B5886" s="49" t="s">
        <v>34</v>
      </c>
    </row>
    <row r="5887" spans="1:2">
      <c r="A5887" s="50">
        <v>45172</v>
      </c>
      <c r="B5887" s="49" t="s">
        <v>35</v>
      </c>
    </row>
    <row r="5888" spans="1:2">
      <c r="A5888" s="50">
        <v>45172</v>
      </c>
      <c r="B5888" s="49" t="s">
        <v>36</v>
      </c>
    </row>
    <row r="5889" spans="1:2">
      <c r="A5889" s="50">
        <v>45172</v>
      </c>
      <c r="B5889" s="49" t="s">
        <v>37</v>
      </c>
    </row>
    <row r="5890" spans="1:2">
      <c r="A5890" s="50">
        <v>45172</v>
      </c>
      <c r="B5890" s="49" t="s">
        <v>38</v>
      </c>
    </row>
    <row r="5891" spans="1:2">
      <c r="A5891" s="50">
        <v>45172</v>
      </c>
      <c r="B5891" s="49" t="s">
        <v>39</v>
      </c>
    </row>
    <row r="5892" spans="1:2">
      <c r="A5892" s="50">
        <v>45172</v>
      </c>
      <c r="B5892" s="49" t="s">
        <v>40</v>
      </c>
    </row>
    <row r="5893" spans="1:2">
      <c r="A5893" s="50">
        <v>45172</v>
      </c>
      <c r="B5893" s="49" t="s">
        <v>41</v>
      </c>
    </row>
    <row r="5894" spans="1:2">
      <c r="A5894" s="50">
        <v>45172</v>
      </c>
      <c r="B5894" s="49" t="s">
        <v>42</v>
      </c>
    </row>
    <row r="5895" spans="1:2">
      <c r="A5895" s="50">
        <v>45172</v>
      </c>
      <c r="B5895" s="49" t="s">
        <v>43</v>
      </c>
    </row>
    <row r="5896" spans="1:2">
      <c r="A5896" s="50">
        <v>45172</v>
      </c>
      <c r="B5896" s="49" t="s">
        <v>44</v>
      </c>
    </row>
    <row r="5897" spans="1:2">
      <c r="A5897" s="50">
        <v>45172</v>
      </c>
      <c r="B5897" s="49" t="s">
        <v>45</v>
      </c>
    </row>
    <row r="5898" spans="1:2">
      <c r="A5898" s="50">
        <v>45172</v>
      </c>
      <c r="B5898" s="49" t="s">
        <v>46</v>
      </c>
    </row>
    <row r="5899" spans="1:2">
      <c r="A5899" s="50">
        <v>45172</v>
      </c>
      <c r="B5899" s="49" t="s">
        <v>47</v>
      </c>
    </row>
    <row r="5900" spans="1:2">
      <c r="A5900" s="50">
        <v>45172</v>
      </c>
      <c r="B5900" s="49" t="s">
        <v>48</v>
      </c>
    </row>
    <row r="5901" spans="1:2">
      <c r="A5901" s="50">
        <v>45172</v>
      </c>
      <c r="B5901" s="49" t="s">
        <v>49</v>
      </c>
    </row>
    <row r="5902" spans="1:2">
      <c r="A5902" s="50">
        <v>45172</v>
      </c>
      <c r="B5902" s="49" t="s">
        <v>50</v>
      </c>
    </row>
    <row r="5903" spans="1:2">
      <c r="A5903" s="50">
        <v>45172</v>
      </c>
      <c r="B5903" s="49" t="s">
        <v>51</v>
      </c>
    </row>
    <row r="5904" spans="1:2">
      <c r="A5904" s="50">
        <v>45172</v>
      </c>
      <c r="B5904" s="49" t="s">
        <v>52</v>
      </c>
    </row>
    <row r="5905" spans="1:2">
      <c r="A5905" s="50">
        <v>45172</v>
      </c>
      <c r="B5905" s="49" t="s">
        <v>53</v>
      </c>
    </row>
    <row r="5906" spans="1:2">
      <c r="A5906" s="50">
        <v>45173</v>
      </c>
      <c r="B5906" s="49" t="s">
        <v>30</v>
      </c>
    </row>
    <row r="5907" spans="1:2">
      <c r="A5907" s="50">
        <v>45173</v>
      </c>
      <c r="B5907" s="49" t="s">
        <v>31</v>
      </c>
    </row>
    <row r="5908" spans="1:2">
      <c r="A5908" s="50">
        <v>45173</v>
      </c>
      <c r="B5908" s="49" t="s">
        <v>32</v>
      </c>
    </row>
    <row r="5909" spans="1:2">
      <c r="A5909" s="50">
        <v>45173</v>
      </c>
      <c r="B5909" s="49" t="s">
        <v>33</v>
      </c>
    </row>
    <row r="5910" spans="1:2">
      <c r="A5910" s="50">
        <v>45173</v>
      </c>
      <c r="B5910" s="49" t="s">
        <v>34</v>
      </c>
    </row>
    <row r="5911" spans="1:2">
      <c r="A5911" s="50">
        <v>45173</v>
      </c>
      <c r="B5911" s="49" t="s">
        <v>35</v>
      </c>
    </row>
    <row r="5912" spans="1:2">
      <c r="A5912" s="50">
        <v>45173</v>
      </c>
      <c r="B5912" s="49" t="s">
        <v>36</v>
      </c>
    </row>
    <row r="5913" spans="1:2">
      <c r="A5913" s="50">
        <v>45173</v>
      </c>
      <c r="B5913" s="49" t="s">
        <v>37</v>
      </c>
    </row>
    <row r="5914" spans="1:2">
      <c r="A5914" s="50">
        <v>45173</v>
      </c>
      <c r="B5914" s="49" t="s">
        <v>38</v>
      </c>
    </row>
    <row r="5915" spans="1:2">
      <c r="A5915" s="50">
        <v>45173</v>
      </c>
      <c r="B5915" s="49" t="s">
        <v>39</v>
      </c>
    </row>
    <row r="5916" spans="1:2">
      <c r="A5916" s="50">
        <v>45173</v>
      </c>
      <c r="B5916" s="49" t="s">
        <v>40</v>
      </c>
    </row>
    <row r="5917" spans="1:2">
      <c r="A5917" s="50">
        <v>45173</v>
      </c>
      <c r="B5917" s="49" t="s">
        <v>41</v>
      </c>
    </row>
    <row r="5918" spans="1:2">
      <c r="A5918" s="50">
        <v>45173</v>
      </c>
      <c r="B5918" s="49" t="s">
        <v>42</v>
      </c>
    </row>
    <row r="5919" spans="1:2">
      <c r="A5919" s="50">
        <v>45173</v>
      </c>
      <c r="B5919" s="49" t="s">
        <v>43</v>
      </c>
    </row>
    <row r="5920" spans="1:2">
      <c r="A5920" s="50">
        <v>45173</v>
      </c>
      <c r="B5920" s="49" t="s">
        <v>44</v>
      </c>
    </row>
    <row r="5921" spans="1:2">
      <c r="A5921" s="50">
        <v>45173</v>
      </c>
      <c r="B5921" s="49" t="s">
        <v>45</v>
      </c>
    </row>
    <row r="5922" spans="1:2">
      <c r="A5922" s="50">
        <v>45173</v>
      </c>
      <c r="B5922" s="49" t="s">
        <v>46</v>
      </c>
    </row>
    <row r="5923" spans="1:2">
      <c r="A5923" s="50">
        <v>45173</v>
      </c>
      <c r="B5923" s="49" t="s">
        <v>47</v>
      </c>
    </row>
    <row r="5924" spans="1:2">
      <c r="A5924" s="50">
        <v>45173</v>
      </c>
      <c r="B5924" s="49" t="s">
        <v>48</v>
      </c>
    </row>
    <row r="5925" spans="1:2">
      <c r="A5925" s="50">
        <v>45173</v>
      </c>
      <c r="B5925" s="49" t="s">
        <v>49</v>
      </c>
    </row>
    <row r="5926" spans="1:2">
      <c r="A5926" s="50">
        <v>45173</v>
      </c>
      <c r="B5926" s="49" t="s">
        <v>50</v>
      </c>
    </row>
    <row r="5927" spans="1:2">
      <c r="A5927" s="50">
        <v>45173</v>
      </c>
      <c r="B5927" s="49" t="s">
        <v>51</v>
      </c>
    </row>
    <row r="5928" spans="1:2">
      <c r="A5928" s="50">
        <v>45173</v>
      </c>
      <c r="B5928" s="49" t="s">
        <v>52</v>
      </c>
    </row>
    <row r="5929" spans="1:2">
      <c r="A5929" s="50">
        <v>45173</v>
      </c>
      <c r="B5929" s="49" t="s">
        <v>53</v>
      </c>
    </row>
    <row r="5930" spans="1:2">
      <c r="A5930" s="50">
        <v>45174</v>
      </c>
      <c r="B5930" s="49" t="s">
        <v>30</v>
      </c>
    </row>
    <row r="5931" spans="1:2">
      <c r="A5931" s="50">
        <v>45174</v>
      </c>
      <c r="B5931" s="49" t="s">
        <v>31</v>
      </c>
    </row>
    <row r="5932" spans="1:2">
      <c r="A5932" s="50">
        <v>45174</v>
      </c>
      <c r="B5932" s="49" t="s">
        <v>32</v>
      </c>
    </row>
    <row r="5933" spans="1:2">
      <c r="A5933" s="50">
        <v>45174</v>
      </c>
      <c r="B5933" s="49" t="s">
        <v>33</v>
      </c>
    </row>
    <row r="5934" spans="1:2">
      <c r="A5934" s="50">
        <v>45174</v>
      </c>
      <c r="B5934" s="49" t="s">
        <v>34</v>
      </c>
    </row>
    <row r="5935" spans="1:2">
      <c r="A5935" s="50">
        <v>45174</v>
      </c>
      <c r="B5935" s="49" t="s">
        <v>35</v>
      </c>
    </row>
    <row r="5936" spans="1:2">
      <c r="A5936" s="50">
        <v>45174</v>
      </c>
      <c r="B5936" s="49" t="s">
        <v>36</v>
      </c>
    </row>
    <row r="5937" spans="1:2">
      <c r="A5937" s="50">
        <v>45174</v>
      </c>
      <c r="B5937" s="49" t="s">
        <v>37</v>
      </c>
    </row>
    <row r="5938" spans="1:2">
      <c r="A5938" s="50">
        <v>45174</v>
      </c>
      <c r="B5938" s="49" t="s">
        <v>38</v>
      </c>
    </row>
    <row r="5939" spans="1:2">
      <c r="A5939" s="50">
        <v>45174</v>
      </c>
      <c r="B5939" s="49" t="s">
        <v>39</v>
      </c>
    </row>
    <row r="5940" spans="1:2">
      <c r="A5940" s="50">
        <v>45174</v>
      </c>
      <c r="B5940" s="49" t="s">
        <v>40</v>
      </c>
    </row>
    <row r="5941" spans="1:2">
      <c r="A5941" s="50">
        <v>45174</v>
      </c>
      <c r="B5941" s="49" t="s">
        <v>41</v>
      </c>
    </row>
    <row r="5942" spans="1:2">
      <c r="A5942" s="50">
        <v>45174</v>
      </c>
      <c r="B5942" s="49" t="s">
        <v>42</v>
      </c>
    </row>
    <row r="5943" spans="1:2">
      <c r="A5943" s="50">
        <v>45174</v>
      </c>
      <c r="B5943" s="49" t="s">
        <v>43</v>
      </c>
    </row>
    <row r="5944" spans="1:2">
      <c r="A5944" s="50">
        <v>45174</v>
      </c>
      <c r="B5944" s="49" t="s">
        <v>44</v>
      </c>
    </row>
    <row r="5945" spans="1:2">
      <c r="A5945" s="50">
        <v>45174</v>
      </c>
      <c r="B5945" s="49" t="s">
        <v>45</v>
      </c>
    </row>
    <row r="5946" spans="1:2">
      <c r="A5946" s="50">
        <v>45174</v>
      </c>
      <c r="B5946" s="49" t="s">
        <v>46</v>
      </c>
    </row>
    <row r="5947" spans="1:2">
      <c r="A5947" s="50">
        <v>45174</v>
      </c>
      <c r="B5947" s="49" t="s">
        <v>47</v>
      </c>
    </row>
    <row r="5948" spans="1:2">
      <c r="A5948" s="50">
        <v>45174</v>
      </c>
      <c r="B5948" s="49" t="s">
        <v>48</v>
      </c>
    </row>
    <row r="5949" spans="1:2">
      <c r="A5949" s="50">
        <v>45174</v>
      </c>
      <c r="B5949" s="49" t="s">
        <v>49</v>
      </c>
    </row>
    <row r="5950" spans="1:2">
      <c r="A5950" s="50">
        <v>45174</v>
      </c>
      <c r="B5950" s="49" t="s">
        <v>50</v>
      </c>
    </row>
    <row r="5951" spans="1:2">
      <c r="A5951" s="50">
        <v>45174</v>
      </c>
      <c r="B5951" s="49" t="s">
        <v>51</v>
      </c>
    </row>
    <row r="5952" spans="1:2">
      <c r="A5952" s="50">
        <v>45174</v>
      </c>
      <c r="B5952" s="49" t="s">
        <v>52</v>
      </c>
    </row>
    <row r="5953" spans="1:2">
      <c r="A5953" s="50">
        <v>45174</v>
      </c>
      <c r="B5953" s="49" t="s">
        <v>53</v>
      </c>
    </row>
    <row r="5954" spans="1:2">
      <c r="A5954" s="50">
        <v>45175</v>
      </c>
      <c r="B5954" s="49" t="s">
        <v>30</v>
      </c>
    </row>
    <row r="5955" spans="1:2">
      <c r="A5955" s="50">
        <v>45175</v>
      </c>
      <c r="B5955" s="49" t="s">
        <v>31</v>
      </c>
    </row>
    <row r="5956" spans="1:2">
      <c r="A5956" s="50">
        <v>45175</v>
      </c>
      <c r="B5956" s="49" t="s">
        <v>32</v>
      </c>
    </row>
    <row r="5957" spans="1:2">
      <c r="A5957" s="50">
        <v>45175</v>
      </c>
      <c r="B5957" s="49" t="s">
        <v>33</v>
      </c>
    </row>
    <row r="5958" spans="1:2">
      <c r="A5958" s="50">
        <v>45175</v>
      </c>
      <c r="B5958" s="49" t="s">
        <v>34</v>
      </c>
    </row>
    <row r="5959" spans="1:2">
      <c r="A5959" s="50">
        <v>45175</v>
      </c>
      <c r="B5959" s="49" t="s">
        <v>35</v>
      </c>
    </row>
    <row r="5960" spans="1:2">
      <c r="A5960" s="50">
        <v>45175</v>
      </c>
      <c r="B5960" s="49" t="s">
        <v>36</v>
      </c>
    </row>
    <row r="5961" spans="1:2">
      <c r="A5961" s="50">
        <v>45175</v>
      </c>
      <c r="B5961" s="49" t="s">
        <v>37</v>
      </c>
    </row>
    <row r="5962" spans="1:2">
      <c r="A5962" s="50">
        <v>45175</v>
      </c>
      <c r="B5962" s="49" t="s">
        <v>38</v>
      </c>
    </row>
    <row r="5963" spans="1:2">
      <c r="A5963" s="50">
        <v>45175</v>
      </c>
      <c r="B5963" s="49" t="s">
        <v>39</v>
      </c>
    </row>
    <row r="5964" spans="1:2">
      <c r="A5964" s="50">
        <v>45175</v>
      </c>
      <c r="B5964" s="49" t="s">
        <v>40</v>
      </c>
    </row>
    <row r="5965" spans="1:2">
      <c r="A5965" s="50">
        <v>45175</v>
      </c>
      <c r="B5965" s="49" t="s">
        <v>41</v>
      </c>
    </row>
    <row r="5966" spans="1:2">
      <c r="A5966" s="50">
        <v>45175</v>
      </c>
      <c r="B5966" s="49" t="s">
        <v>42</v>
      </c>
    </row>
    <row r="5967" spans="1:2">
      <c r="A5967" s="50">
        <v>45175</v>
      </c>
      <c r="B5967" s="49" t="s">
        <v>43</v>
      </c>
    </row>
    <row r="5968" spans="1:2">
      <c r="A5968" s="50">
        <v>45175</v>
      </c>
      <c r="B5968" s="49" t="s">
        <v>44</v>
      </c>
    </row>
    <row r="5969" spans="1:2">
      <c r="A5969" s="50">
        <v>45175</v>
      </c>
      <c r="B5969" s="49" t="s">
        <v>45</v>
      </c>
    </row>
    <row r="5970" spans="1:2">
      <c r="A5970" s="50">
        <v>45175</v>
      </c>
      <c r="B5970" s="49" t="s">
        <v>46</v>
      </c>
    </row>
    <row r="5971" spans="1:2">
      <c r="A5971" s="50">
        <v>45175</v>
      </c>
      <c r="B5971" s="49" t="s">
        <v>47</v>
      </c>
    </row>
    <row r="5972" spans="1:2">
      <c r="A5972" s="50">
        <v>45175</v>
      </c>
      <c r="B5972" s="49" t="s">
        <v>48</v>
      </c>
    </row>
    <row r="5973" spans="1:2">
      <c r="A5973" s="50">
        <v>45175</v>
      </c>
      <c r="B5973" s="49" t="s">
        <v>49</v>
      </c>
    </row>
    <row r="5974" spans="1:2">
      <c r="A5974" s="50">
        <v>45175</v>
      </c>
      <c r="B5974" s="49" t="s">
        <v>50</v>
      </c>
    </row>
    <row r="5975" spans="1:2">
      <c r="A5975" s="50">
        <v>45175</v>
      </c>
      <c r="B5975" s="49" t="s">
        <v>51</v>
      </c>
    </row>
    <row r="5976" spans="1:2">
      <c r="A5976" s="50">
        <v>45175</v>
      </c>
      <c r="B5976" s="49" t="s">
        <v>52</v>
      </c>
    </row>
    <row r="5977" spans="1:2">
      <c r="A5977" s="50">
        <v>45175</v>
      </c>
      <c r="B5977" s="49" t="s">
        <v>53</v>
      </c>
    </row>
    <row r="5978" spans="1:2">
      <c r="A5978" s="50">
        <v>45176</v>
      </c>
      <c r="B5978" s="49" t="s">
        <v>30</v>
      </c>
    </row>
    <row r="5979" spans="1:2">
      <c r="A5979" s="50">
        <v>45176</v>
      </c>
      <c r="B5979" s="49" t="s">
        <v>31</v>
      </c>
    </row>
    <row r="5980" spans="1:2">
      <c r="A5980" s="50">
        <v>45176</v>
      </c>
      <c r="B5980" s="49" t="s">
        <v>32</v>
      </c>
    </row>
    <row r="5981" spans="1:2">
      <c r="A5981" s="50">
        <v>45176</v>
      </c>
      <c r="B5981" s="49" t="s">
        <v>33</v>
      </c>
    </row>
    <row r="5982" spans="1:2">
      <c r="A5982" s="50">
        <v>45176</v>
      </c>
      <c r="B5982" s="49" t="s">
        <v>34</v>
      </c>
    </row>
    <row r="5983" spans="1:2">
      <c r="A5983" s="50">
        <v>45176</v>
      </c>
      <c r="B5983" s="49" t="s">
        <v>35</v>
      </c>
    </row>
    <row r="5984" spans="1:2">
      <c r="A5984" s="50">
        <v>45176</v>
      </c>
      <c r="B5984" s="49" t="s">
        <v>36</v>
      </c>
    </row>
    <row r="5985" spans="1:2">
      <c r="A5985" s="50">
        <v>45176</v>
      </c>
      <c r="B5985" s="49" t="s">
        <v>37</v>
      </c>
    </row>
    <row r="5986" spans="1:2">
      <c r="A5986" s="50">
        <v>45176</v>
      </c>
      <c r="B5986" s="49" t="s">
        <v>38</v>
      </c>
    </row>
    <row r="5987" spans="1:2">
      <c r="A5987" s="50">
        <v>45176</v>
      </c>
      <c r="B5987" s="49" t="s">
        <v>39</v>
      </c>
    </row>
    <row r="5988" spans="1:2">
      <c r="A5988" s="50">
        <v>45176</v>
      </c>
      <c r="B5988" s="49" t="s">
        <v>40</v>
      </c>
    </row>
    <row r="5989" spans="1:2">
      <c r="A5989" s="50">
        <v>45176</v>
      </c>
      <c r="B5989" s="49" t="s">
        <v>41</v>
      </c>
    </row>
    <row r="5990" spans="1:2">
      <c r="A5990" s="50">
        <v>45176</v>
      </c>
      <c r="B5990" s="49" t="s">
        <v>42</v>
      </c>
    </row>
    <row r="5991" spans="1:2">
      <c r="A5991" s="50">
        <v>45176</v>
      </c>
      <c r="B5991" s="49" t="s">
        <v>43</v>
      </c>
    </row>
    <row r="5992" spans="1:2">
      <c r="A5992" s="50">
        <v>45176</v>
      </c>
      <c r="B5992" s="49" t="s">
        <v>44</v>
      </c>
    </row>
    <row r="5993" spans="1:2">
      <c r="A5993" s="50">
        <v>45176</v>
      </c>
      <c r="B5993" s="49" t="s">
        <v>45</v>
      </c>
    </row>
    <row r="5994" spans="1:2">
      <c r="A5994" s="50">
        <v>45176</v>
      </c>
      <c r="B5994" s="49" t="s">
        <v>46</v>
      </c>
    </row>
    <row r="5995" spans="1:2">
      <c r="A5995" s="50">
        <v>45176</v>
      </c>
      <c r="B5995" s="49" t="s">
        <v>47</v>
      </c>
    </row>
    <row r="5996" spans="1:2">
      <c r="A5996" s="50">
        <v>45176</v>
      </c>
      <c r="B5996" s="49" t="s">
        <v>48</v>
      </c>
    </row>
    <row r="5997" spans="1:2">
      <c r="A5997" s="50">
        <v>45176</v>
      </c>
      <c r="B5997" s="49" t="s">
        <v>49</v>
      </c>
    </row>
    <row r="5998" spans="1:2">
      <c r="A5998" s="50">
        <v>45176</v>
      </c>
      <c r="B5998" s="49" t="s">
        <v>50</v>
      </c>
    </row>
    <row r="5999" spans="1:2">
      <c r="A5999" s="50">
        <v>45176</v>
      </c>
      <c r="B5999" s="49" t="s">
        <v>51</v>
      </c>
    </row>
    <row r="6000" spans="1:2">
      <c r="A6000" s="50">
        <v>45176</v>
      </c>
      <c r="B6000" s="49" t="s">
        <v>52</v>
      </c>
    </row>
    <row r="6001" spans="1:2">
      <c r="A6001" s="50">
        <v>45176</v>
      </c>
      <c r="B6001" s="49" t="s">
        <v>53</v>
      </c>
    </row>
    <row r="6002" spans="1:2">
      <c r="A6002" s="50">
        <v>45177</v>
      </c>
      <c r="B6002" s="49" t="s">
        <v>30</v>
      </c>
    </row>
    <row r="6003" spans="1:2">
      <c r="A6003" s="50">
        <v>45177</v>
      </c>
      <c r="B6003" s="49" t="s">
        <v>31</v>
      </c>
    </row>
    <row r="6004" spans="1:2">
      <c r="A6004" s="50">
        <v>45177</v>
      </c>
      <c r="B6004" s="49" t="s">
        <v>32</v>
      </c>
    </row>
    <row r="6005" spans="1:2">
      <c r="A6005" s="50">
        <v>45177</v>
      </c>
      <c r="B6005" s="49" t="s">
        <v>33</v>
      </c>
    </row>
    <row r="6006" spans="1:2">
      <c r="A6006" s="50">
        <v>45177</v>
      </c>
      <c r="B6006" s="49" t="s">
        <v>34</v>
      </c>
    </row>
    <row r="6007" spans="1:2">
      <c r="A6007" s="50">
        <v>45177</v>
      </c>
      <c r="B6007" s="49" t="s">
        <v>35</v>
      </c>
    </row>
    <row r="6008" spans="1:2">
      <c r="A6008" s="50">
        <v>45177</v>
      </c>
      <c r="B6008" s="49" t="s">
        <v>36</v>
      </c>
    </row>
    <row r="6009" spans="1:2">
      <c r="A6009" s="50">
        <v>45177</v>
      </c>
      <c r="B6009" s="49" t="s">
        <v>37</v>
      </c>
    </row>
    <row r="6010" spans="1:2">
      <c r="A6010" s="50">
        <v>45177</v>
      </c>
      <c r="B6010" s="49" t="s">
        <v>38</v>
      </c>
    </row>
    <row r="6011" spans="1:2">
      <c r="A6011" s="50">
        <v>45177</v>
      </c>
      <c r="B6011" s="49" t="s">
        <v>39</v>
      </c>
    </row>
    <row r="6012" spans="1:2">
      <c r="A6012" s="50">
        <v>45177</v>
      </c>
      <c r="B6012" s="49" t="s">
        <v>40</v>
      </c>
    </row>
    <row r="6013" spans="1:2">
      <c r="A6013" s="50">
        <v>45177</v>
      </c>
      <c r="B6013" s="49" t="s">
        <v>41</v>
      </c>
    </row>
    <row r="6014" spans="1:2">
      <c r="A6014" s="50">
        <v>45177</v>
      </c>
      <c r="B6014" s="49" t="s">
        <v>42</v>
      </c>
    </row>
    <row r="6015" spans="1:2">
      <c r="A6015" s="50">
        <v>45177</v>
      </c>
      <c r="B6015" s="49" t="s">
        <v>43</v>
      </c>
    </row>
    <row r="6016" spans="1:2">
      <c r="A6016" s="50">
        <v>45177</v>
      </c>
      <c r="B6016" s="49" t="s">
        <v>44</v>
      </c>
    </row>
    <row r="6017" spans="1:2">
      <c r="A6017" s="50">
        <v>45177</v>
      </c>
      <c r="B6017" s="49" t="s">
        <v>45</v>
      </c>
    </row>
    <row r="6018" spans="1:2">
      <c r="A6018" s="50">
        <v>45177</v>
      </c>
      <c r="B6018" s="49" t="s">
        <v>46</v>
      </c>
    </row>
    <row r="6019" spans="1:2">
      <c r="A6019" s="50">
        <v>45177</v>
      </c>
      <c r="B6019" s="49" t="s">
        <v>47</v>
      </c>
    </row>
    <row r="6020" spans="1:2">
      <c r="A6020" s="50">
        <v>45177</v>
      </c>
      <c r="B6020" s="49" t="s">
        <v>48</v>
      </c>
    </row>
    <row r="6021" spans="1:2">
      <c r="A6021" s="50">
        <v>45177</v>
      </c>
      <c r="B6021" s="49" t="s">
        <v>49</v>
      </c>
    </row>
    <row r="6022" spans="1:2">
      <c r="A6022" s="50">
        <v>45177</v>
      </c>
      <c r="B6022" s="49" t="s">
        <v>50</v>
      </c>
    </row>
    <row r="6023" spans="1:2">
      <c r="A6023" s="50">
        <v>45177</v>
      </c>
      <c r="B6023" s="49" t="s">
        <v>51</v>
      </c>
    </row>
    <row r="6024" spans="1:2">
      <c r="A6024" s="50">
        <v>45177</v>
      </c>
      <c r="B6024" s="49" t="s">
        <v>52</v>
      </c>
    </row>
    <row r="6025" spans="1:2">
      <c r="A6025" s="50">
        <v>45177</v>
      </c>
      <c r="B6025" s="49" t="s">
        <v>53</v>
      </c>
    </row>
    <row r="6026" spans="1:2">
      <c r="A6026" s="50">
        <v>45178</v>
      </c>
      <c r="B6026" s="49" t="s">
        <v>30</v>
      </c>
    </row>
    <row r="6027" spans="1:2">
      <c r="A6027" s="50">
        <v>45178</v>
      </c>
      <c r="B6027" s="49" t="s">
        <v>31</v>
      </c>
    </row>
    <row r="6028" spans="1:2">
      <c r="A6028" s="50">
        <v>45178</v>
      </c>
      <c r="B6028" s="49" t="s">
        <v>32</v>
      </c>
    </row>
    <row r="6029" spans="1:2">
      <c r="A6029" s="50">
        <v>45178</v>
      </c>
      <c r="B6029" s="49" t="s">
        <v>33</v>
      </c>
    </row>
    <row r="6030" spans="1:2">
      <c r="A6030" s="50">
        <v>45178</v>
      </c>
      <c r="B6030" s="49" t="s">
        <v>34</v>
      </c>
    </row>
    <row r="6031" spans="1:2">
      <c r="A6031" s="50">
        <v>45178</v>
      </c>
      <c r="B6031" s="49" t="s">
        <v>35</v>
      </c>
    </row>
    <row r="6032" spans="1:2">
      <c r="A6032" s="50">
        <v>45178</v>
      </c>
      <c r="B6032" s="49" t="s">
        <v>36</v>
      </c>
    </row>
    <row r="6033" spans="1:2">
      <c r="A6033" s="50">
        <v>45178</v>
      </c>
      <c r="B6033" s="49" t="s">
        <v>37</v>
      </c>
    </row>
    <row r="6034" spans="1:2">
      <c r="A6034" s="50">
        <v>45178</v>
      </c>
      <c r="B6034" s="49" t="s">
        <v>38</v>
      </c>
    </row>
    <row r="6035" spans="1:2">
      <c r="A6035" s="50">
        <v>45178</v>
      </c>
      <c r="B6035" s="49" t="s">
        <v>39</v>
      </c>
    </row>
    <row r="6036" spans="1:2">
      <c r="A6036" s="50">
        <v>45178</v>
      </c>
      <c r="B6036" s="49" t="s">
        <v>40</v>
      </c>
    </row>
    <row r="6037" spans="1:2">
      <c r="A6037" s="50">
        <v>45178</v>
      </c>
      <c r="B6037" s="49" t="s">
        <v>41</v>
      </c>
    </row>
    <row r="6038" spans="1:2">
      <c r="A6038" s="50">
        <v>45178</v>
      </c>
      <c r="B6038" s="49" t="s">
        <v>42</v>
      </c>
    </row>
    <row r="6039" spans="1:2">
      <c r="A6039" s="50">
        <v>45178</v>
      </c>
      <c r="B6039" s="49" t="s">
        <v>43</v>
      </c>
    </row>
    <row r="6040" spans="1:2">
      <c r="A6040" s="50">
        <v>45178</v>
      </c>
      <c r="B6040" s="49" t="s">
        <v>44</v>
      </c>
    </row>
    <row r="6041" spans="1:2">
      <c r="A6041" s="50">
        <v>45178</v>
      </c>
      <c r="B6041" s="49" t="s">
        <v>45</v>
      </c>
    </row>
    <row r="6042" spans="1:2">
      <c r="A6042" s="50">
        <v>45178</v>
      </c>
      <c r="B6042" s="49" t="s">
        <v>46</v>
      </c>
    </row>
    <row r="6043" spans="1:2">
      <c r="A6043" s="50">
        <v>45178</v>
      </c>
      <c r="B6043" s="49" t="s">
        <v>47</v>
      </c>
    </row>
    <row r="6044" spans="1:2">
      <c r="A6044" s="50">
        <v>45178</v>
      </c>
      <c r="B6044" s="49" t="s">
        <v>48</v>
      </c>
    </row>
    <row r="6045" spans="1:2">
      <c r="A6045" s="50">
        <v>45178</v>
      </c>
      <c r="B6045" s="49" t="s">
        <v>49</v>
      </c>
    </row>
    <row r="6046" spans="1:2">
      <c r="A6046" s="50">
        <v>45178</v>
      </c>
      <c r="B6046" s="49" t="s">
        <v>50</v>
      </c>
    </row>
    <row r="6047" spans="1:2">
      <c r="A6047" s="50">
        <v>45178</v>
      </c>
      <c r="B6047" s="49" t="s">
        <v>51</v>
      </c>
    </row>
    <row r="6048" spans="1:2">
      <c r="A6048" s="50">
        <v>45178</v>
      </c>
      <c r="B6048" s="49" t="s">
        <v>52</v>
      </c>
    </row>
    <row r="6049" spans="1:2">
      <c r="A6049" s="50">
        <v>45178</v>
      </c>
      <c r="B6049" s="49" t="s">
        <v>53</v>
      </c>
    </row>
    <row r="6050" spans="1:2">
      <c r="A6050" s="50">
        <v>45179</v>
      </c>
      <c r="B6050" s="49" t="s">
        <v>30</v>
      </c>
    </row>
    <row r="6051" spans="1:2">
      <c r="A6051" s="50">
        <v>45179</v>
      </c>
      <c r="B6051" s="49" t="s">
        <v>31</v>
      </c>
    </row>
    <row r="6052" spans="1:2">
      <c r="A6052" s="50">
        <v>45179</v>
      </c>
      <c r="B6052" s="49" t="s">
        <v>32</v>
      </c>
    </row>
    <row r="6053" spans="1:2">
      <c r="A6053" s="50">
        <v>45179</v>
      </c>
      <c r="B6053" s="49" t="s">
        <v>33</v>
      </c>
    </row>
    <row r="6054" spans="1:2">
      <c r="A6054" s="50">
        <v>45179</v>
      </c>
      <c r="B6054" s="49" t="s">
        <v>34</v>
      </c>
    </row>
    <row r="6055" spans="1:2">
      <c r="A6055" s="50">
        <v>45179</v>
      </c>
      <c r="B6055" s="49" t="s">
        <v>35</v>
      </c>
    </row>
    <row r="6056" spans="1:2">
      <c r="A6056" s="50">
        <v>45179</v>
      </c>
      <c r="B6056" s="49" t="s">
        <v>36</v>
      </c>
    </row>
    <row r="6057" spans="1:2">
      <c r="A6057" s="50">
        <v>45179</v>
      </c>
      <c r="B6057" s="49" t="s">
        <v>37</v>
      </c>
    </row>
    <row r="6058" spans="1:2">
      <c r="A6058" s="50">
        <v>45179</v>
      </c>
      <c r="B6058" s="49" t="s">
        <v>38</v>
      </c>
    </row>
    <row r="6059" spans="1:2">
      <c r="A6059" s="50">
        <v>45179</v>
      </c>
      <c r="B6059" s="49" t="s">
        <v>39</v>
      </c>
    </row>
    <row r="6060" spans="1:2">
      <c r="A6060" s="50">
        <v>45179</v>
      </c>
      <c r="B6060" s="49" t="s">
        <v>40</v>
      </c>
    </row>
    <row r="6061" spans="1:2">
      <c r="A6061" s="50">
        <v>45179</v>
      </c>
      <c r="B6061" s="49" t="s">
        <v>41</v>
      </c>
    </row>
    <row r="6062" spans="1:2">
      <c r="A6062" s="50">
        <v>45179</v>
      </c>
      <c r="B6062" s="49" t="s">
        <v>42</v>
      </c>
    </row>
    <row r="6063" spans="1:2">
      <c r="A6063" s="50">
        <v>45179</v>
      </c>
      <c r="B6063" s="49" t="s">
        <v>43</v>
      </c>
    </row>
    <row r="6064" spans="1:2">
      <c r="A6064" s="50">
        <v>45179</v>
      </c>
      <c r="B6064" s="49" t="s">
        <v>44</v>
      </c>
    </row>
    <row r="6065" spans="1:2">
      <c r="A6065" s="50">
        <v>45179</v>
      </c>
      <c r="B6065" s="49" t="s">
        <v>45</v>
      </c>
    </row>
    <row r="6066" spans="1:2">
      <c r="A6066" s="50">
        <v>45179</v>
      </c>
      <c r="B6066" s="49" t="s">
        <v>46</v>
      </c>
    </row>
    <row r="6067" spans="1:2">
      <c r="A6067" s="50">
        <v>45179</v>
      </c>
      <c r="B6067" s="49" t="s">
        <v>47</v>
      </c>
    </row>
    <row r="6068" spans="1:2">
      <c r="A6068" s="50">
        <v>45179</v>
      </c>
      <c r="B6068" s="49" t="s">
        <v>48</v>
      </c>
    </row>
    <row r="6069" spans="1:2">
      <c r="A6069" s="50">
        <v>45179</v>
      </c>
      <c r="B6069" s="49" t="s">
        <v>49</v>
      </c>
    </row>
    <row r="6070" spans="1:2">
      <c r="A6070" s="50">
        <v>45179</v>
      </c>
      <c r="B6070" s="49" t="s">
        <v>50</v>
      </c>
    </row>
    <row r="6071" spans="1:2">
      <c r="A6071" s="50">
        <v>45179</v>
      </c>
      <c r="B6071" s="49" t="s">
        <v>51</v>
      </c>
    </row>
    <row r="6072" spans="1:2">
      <c r="A6072" s="50">
        <v>45179</v>
      </c>
      <c r="B6072" s="49" t="s">
        <v>52</v>
      </c>
    </row>
    <row r="6073" spans="1:2">
      <c r="A6073" s="50">
        <v>45179</v>
      </c>
      <c r="B6073" s="49" t="s">
        <v>53</v>
      </c>
    </row>
    <row r="6074" spans="1:2">
      <c r="A6074" s="50">
        <v>45180</v>
      </c>
      <c r="B6074" s="49" t="s">
        <v>30</v>
      </c>
    </row>
    <row r="6075" spans="1:2">
      <c r="A6075" s="50">
        <v>45180</v>
      </c>
      <c r="B6075" s="49" t="s">
        <v>31</v>
      </c>
    </row>
    <row r="6076" spans="1:2">
      <c r="A6076" s="50">
        <v>45180</v>
      </c>
      <c r="B6076" s="49" t="s">
        <v>32</v>
      </c>
    </row>
    <row r="6077" spans="1:2">
      <c r="A6077" s="50">
        <v>45180</v>
      </c>
      <c r="B6077" s="49" t="s">
        <v>33</v>
      </c>
    </row>
    <row r="6078" spans="1:2">
      <c r="A6078" s="50">
        <v>45180</v>
      </c>
      <c r="B6078" s="49" t="s">
        <v>34</v>
      </c>
    </row>
    <row r="6079" spans="1:2">
      <c r="A6079" s="50">
        <v>45180</v>
      </c>
      <c r="B6079" s="49" t="s">
        <v>35</v>
      </c>
    </row>
    <row r="6080" spans="1:2">
      <c r="A6080" s="50">
        <v>45180</v>
      </c>
      <c r="B6080" s="49" t="s">
        <v>36</v>
      </c>
    </row>
    <row r="6081" spans="1:2">
      <c r="A6081" s="50">
        <v>45180</v>
      </c>
      <c r="B6081" s="49" t="s">
        <v>37</v>
      </c>
    </row>
    <row r="6082" spans="1:2">
      <c r="A6082" s="50">
        <v>45180</v>
      </c>
      <c r="B6082" s="49" t="s">
        <v>38</v>
      </c>
    </row>
    <row r="6083" spans="1:2">
      <c r="A6083" s="50">
        <v>45180</v>
      </c>
      <c r="B6083" s="49" t="s">
        <v>39</v>
      </c>
    </row>
    <row r="6084" spans="1:2">
      <c r="A6084" s="50">
        <v>45180</v>
      </c>
      <c r="B6084" s="49" t="s">
        <v>40</v>
      </c>
    </row>
    <row r="6085" spans="1:2">
      <c r="A6085" s="50">
        <v>45180</v>
      </c>
      <c r="B6085" s="49" t="s">
        <v>41</v>
      </c>
    </row>
    <row r="6086" spans="1:2">
      <c r="A6086" s="50">
        <v>45180</v>
      </c>
      <c r="B6086" s="49" t="s">
        <v>42</v>
      </c>
    </row>
    <row r="6087" spans="1:2">
      <c r="A6087" s="50">
        <v>45180</v>
      </c>
      <c r="B6087" s="49" t="s">
        <v>43</v>
      </c>
    </row>
    <row r="6088" spans="1:2">
      <c r="A6088" s="50">
        <v>45180</v>
      </c>
      <c r="B6088" s="49" t="s">
        <v>44</v>
      </c>
    </row>
    <row r="6089" spans="1:2">
      <c r="A6089" s="50">
        <v>45180</v>
      </c>
      <c r="B6089" s="49" t="s">
        <v>45</v>
      </c>
    </row>
    <row r="6090" spans="1:2">
      <c r="A6090" s="50">
        <v>45180</v>
      </c>
      <c r="B6090" s="49" t="s">
        <v>46</v>
      </c>
    </row>
    <row r="6091" spans="1:2">
      <c r="A6091" s="50">
        <v>45180</v>
      </c>
      <c r="B6091" s="49" t="s">
        <v>47</v>
      </c>
    </row>
    <row r="6092" spans="1:2">
      <c r="A6092" s="50">
        <v>45180</v>
      </c>
      <c r="B6092" s="49" t="s">
        <v>48</v>
      </c>
    </row>
    <row r="6093" spans="1:2">
      <c r="A6093" s="50">
        <v>45180</v>
      </c>
      <c r="B6093" s="49" t="s">
        <v>49</v>
      </c>
    </row>
    <row r="6094" spans="1:2">
      <c r="A6094" s="50">
        <v>45180</v>
      </c>
      <c r="B6094" s="49" t="s">
        <v>50</v>
      </c>
    </row>
    <row r="6095" spans="1:2">
      <c r="A6095" s="50">
        <v>45180</v>
      </c>
      <c r="B6095" s="49" t="s">
        <v>51</v>
      </c>
    </row>
    <row r="6096" spans="1:2">
      <c r="A6096" s="50">
        <v>45180</v>
      </c>
      <c r="B6096" s="49" t="s">
        <v>52</v>
      </c>
    </row>
    <row r="6097" spans="1:2">
      <c r="A6097" s="50">
        <v>45180</v>
      </c>
      <c r="B6097" s="49" t="s">
        <v>53</v>
      </c>
    </row>
    <row r="6098" spans="1:2">
      <c r="A6098" s="50">
        <v>45181</v>
      </c>
      <c r="B6098" s="49" t="s">
        <v>30</v>
      </c>
    </row>
    <row r="6099" spans="1:2">
      <c r="A6099" s="50">
        <v>45181</v>
      </c>
      <c r="B6099" s="49" t="s">
        <v>31</v>
      </c>
    </row>
    <row r="6100" spans="1:2">
      <c r="A6100" s="50">
        <v>45181</v>
      </c>
      <c r="B6100" s="49" t="s">
        <v>32</v>
      </c>
    </row>
    <row r="6101" spans="1:2">
      <c r="A6101" s="50">
        <v>45181</v>
      </c>
      <c r="B6101" s="49" t="s">
        <v>33</v>
      </c>
    </row>
    <row r="6102" spans="1:2">
      <c r="A6102" s="50">
        <v>45181</v>
      </c>
      <c r="B6102" s="49" t="s">
        <v>34</v>
      </c>
    </row>
    <row r="6103" spans="1:2">
      <c r="A6103" s="50">
        <v>45181</v>
      </c>
      <c r="B6103" s="49" t="s">
        <v>35</v>
      </c>
    </row>
    <row r="6104" spans="1:2">
      <c r="A6104" s="50">
        <v>45181</v>
      </c>
      <c r="B6104" s="49" t="s">
        <v>36</v>
      </c>
    </row>
    <row r="6105" spans="1:2">
      <c r="A6105" s="50">
        <v>45181</v>
      </c>
      <c r="B6105" s="49" t="s">
        <v>37</v>
      </c>
    </row>
    <row r="6106" spans="1:2">
      <c r="A6106" s="50">
        <v>45181</v>
      </c>
      <c r="B6106" s="49" t="s">
        <v>38</v>
      </c>
    </row>
    <row r="6107" spans="1:2">
      <c r="A6107" s="50">
        <v>45181</v>
      </c>
      <c r="B6107" s="49" t="s">
        <v>39</v>
      </c>
    </row>
    <row r="6108" spans="1:2">
      <c r="A6108" s="50">
        <v>45181</v>
      </c>
      <c r="B6108" s="49" t="s">
        <v>40</v>
      </c>
    </row>
    <row r="6109" spans="1:2">
      <c r="A6109" s="50">
        <v>45181</v>
      </c>
      <c r="B6109" s="49" t="s">
        <v>41</v>
      </c>
    </row>
    <row r="6110" spans="1:2">
      <c r="A6110" s="50">
        <v>45181</v>
      </c>
      <c r="B6110" s="49" t="s">
        <v>42</v>
      </c>
    </row>
    <row r="6111" spans="1:2">
      <c r="A6111" s="50">
        <v>45181</v>
      </c>
      <c r="B6111" s="49" t="s">
        <v>43</v>
      </c>
    </row>
    <row r="6112" spans="1:2">
      <c r="A6112" s="50">
        <v>45181</v>
      </c>
      <c r="B6112" s="49" t="s">
        <v>44</v>
      </c>
    </row>
    <row r="6113" spans="1:2">
      <c r="A6113" s="50">
        <v>45181</v>
      </c>
      <c r="B6113" s="49" t="s">
        <v>45</v>
      </c>
    </row>
    <row r="6114" spans="1:2">
      <c r="A6114" s="50">
        <v>45181</v>
      </c>
      <c r="B6114" s="49" t="s">
        <v>46</v>
      </c>
    </row>
    <row r="6115" spans="1:2">
      <c r="A6115" s="50">
        <v>45181</v>
      </c>
      <c r="B6115" s="49" t="s">
        <v>47</v>
      </c>
    </row>
    <row r="6116" spans="1:2">
      <c r="A6116" s="50">
        <v>45181</v>
      </c>
      <c r="B6116" s="49" t="s">
        <v>48</v>
      </c>
    </row>
    <row r="6117" spans="1:2">
      <c r="A6117" s="50">
        <v>45181</v>
      </c>
      <c r="B6117" s="49" t="s">
        <v>49</v>
      </c>
    </row>
    <row r="6118" spans="1:2">
      <c r="A6118" s="50">
        <v>45181</v>
      </c>
      <c r="B6118" s="49" t="s">
        <v>50</v>
      </c>
    </row>
    <row r="6119" spans="1:2">
      <c r="A6119" s="50">
        <v>45181</v>
      </c>
      <c r="B6119" s="49" t="s">
        <v>51</v>
      </c>
    </row>
    <row r="6120" spans="1:2">
      <c r="A6120" s="50">
        <v>45181</v>
      </c>
      <c r="B6120" s="49" t="s">
        <v>52</v>
      </c>
    </row>
    <row r="6121" spans="1:2">
      <c r="A6121" s="50">
        <v>45181</v>
      </c>
      <c r="B6121" s="49" t="s">
        <v>53</v>
      </c>
    </row>
    <row r="6122" spans="1:2">
      <c r="A6122" s="50">
        <v>45182</v>
      </c>
      <c r="B6122" s="49" t="s">
        <v>30</v>
      </c>
    </row>
    <row r="6123" spans="1:2">
      <c r="A6123" s="50">
        <v>45182</v>
      </c>
      <c r="B6123" s="49" t="s">
        <v>31</v>
      </c>
    </row>
    <row r="6124" spans="1:2">
      <c r="A6124" s="50">
        <v>45182</v>
      </c>
      <c r="B6124" s="49" t="s">
        <v>32</v>
      </c>
    </row>
    <row r="6125" spans="1:2">
      <c r="A6125" s="50">
        <v>45182</v>
      </c>
      <c r="B6125" s="49" t="s">
        <v>33</v>
      </c>
    </row>
    <row r="6126" spans="1:2">
      <c r="A6126" s="50">
        <v>45182</v>
      </c>
      <c r="B6126" s="49" t="s">
        <v>34</v>
      </c>
    </row>
    <row r="6127" spans="1:2">
      <c r="A6127" s="50">
        <v>45182</v>
      </c>
      <c r="B6127" s="49" t="s">
        <v>35</v>
      </c>
    </row>
    <row r="6128" spans="1:2">
      <c r="A6128" s="50">
        <v>45182</v>
      </c>
      <c r="B6128" s="49" t="s">
        <v>36</v>
      </c>
    </row>
    <row r="6129" spans="1:2">
      <c r="A6129" s="50">
        <v>45182</v>
      </c>
      <c r="B6129" s="49" t="s">
        <v>37</v>
      </c>
    </row>
    <row r="6130" spans="1:2">
      <c r="A6130" s="50">
        <v>45182</v>
      </c>
      <c r="B6130" s="49" t="s">
        <v>38</v>
      </c>
    </row>
    <row r="6131" spans="1:2">
      <c r="A6131" s="50">
        <v>45182</v>
      </c>
      <c r="B6131" s="49" t="s">
        <v>39</v>
      </c>
    </row>
    <row r="6132" spans="1:2">
      <c r="A6132" s="50">
        <v>45182</v>
      </c>
      <c r="B6132" s="49" t="s">
        <v>40</v>
      </c>
    </row>
    <row r="6133" spans="1:2">
      <c r="A6133" s="50">
        <v>45182</v>
      </c>
      <c r="B6133" s="49" t="s">
        <v>41</v>
      </c>
    </row>
    <row r="6134" spans="1:2">
      <c r="A6134" s="50">
        <v>45182</v>
      </c>
      <c r="B6134" s="49" t="s">
        <v>42</v>
      </c>
    </row>
    <row r="6135" spans="1:2">
      <c r="A6135" s="50">
        <v>45182</v>
      </c>
      <c r="B6135" s="49" t="s">
        <v>43</v>
      </c>
    </row>
    <row r="6136" spans="1:2">
      <c r="A6136" s="50">
        <v>45182</v>
      </c>
      <c r="B6136" s="49" t="s">
        <v>44</v>
      </c>
    </row>
    <row r="6137" spans="1:2">
      <c r="A6137" s="50">
        <v>45182</v>
      </c>
      <c r="B6137" s="49" t="s">
        <v>45</v>
      </c>
    </row>
    <row r="6138" spans="1:2">
      <c r="A6138" s="50">
        <v>45182</v>
      </c>
      <c r="B6138" s="49" t="s">
        <v>46</v>
      </c>
    </row>
    <row r="6139" spans="1:2">
      <c r="A6139" s="50">
        <v>45182</v>
      </c>
      <c r="B6139" s="49" t="s">
        <v>47</v>
      </c>
    </row>
    <row r="6140" spans="1:2">
      <c r="A6140" s="50">
        <v>45182</v>
      </c>
      <c r="B6140" s="49" t="s">
        <v>48</v>
      </c>
    </row>
    <row r="6141" spans="1:2">
      <c r="A6141" s="50">
        <v>45182</v>
      </c>
      <c r="B6141" s="49" t="s">
        <v>49</v>
      </c>
    </row>
    <row r="6142" spans="1:2">
      <c r="A6142" s="50">
        <v>45182</v>
      </c>
      <c r="B6142" s="49" t="s">
        <v>50</v>
      </c>
    </row>
    <row r="6143" spans="1:2">
      <c r="A6143" s="50">
        <v>45182</v>
      </c>
      <c r="B6143" s="49" t="s">
        <v>51</v>
      </c>
    </row>
    <row r="6144" spans="1:2">
      <c r="A6144" s="50">
        <v>45182</v>
      </c>
      <c r="B6144" s="49" t="s">
        <v>52</v>
      </c>
    </row>
    <row r="6145" spans="1:2">
      <c r="A6145" s="50">
        <v>45182</v>
      </c>
      <c r="B6145" s="49" t="s">
        <v>53</v>
      </c>
    </row>
    <row r="6146" spans="1:2">
      <c r="A6146" s="50">
        <v>45183</v>
      </c>
      <c r="B6146" s="49" t="s">
        <v>30</v>
      </c>
    </row>
    <row r="6147" spans="1:2">
      <c r="A6147" s="50">
        <v>45183</v>
      </c>
      <c r="B6147" s="49" t="s">
        <v>31</v>
      </c>
    </row>
    <row r="6148" spans="1:2">
      <c r="A6148" s="50">
        <v>45183</v>
      </c>
      <c r="B6148" s="49" t="s">
        <v>32</v>
      </c>
    </row>
    <row r="6149" spans="1:2">
      <c r="A6149" s="50">
        <v>45183</v>
      </c>
      <c r="B6149" s="49" t="s">
        <v>33</v>
      </c>
    </row>
    <row r="6150" spans="1:2">
      <c r="A6150" s="50">
        <v>45183</v>
      </c>
      <c r="B6150" s="49" t="s">
        <v>34</v>
      </c>
    </row>
    <row r="6151" spans="1:2">
      <c r="A6151" s="50">
        <v>45183</v>
      </c>
      <c r="B6151" s="49" t="s">
        <v>35</v>
      </c>
    </row>
    <row r="6152" spans="1:2">
      <c r="A6152" s="50">
        <v>45183</v>
      </c>
      <c r="B6152" s="49" t="s">
        <v>36</v>
      </c>
    </row>
    <row r="6153" spans="1:2">
      <c r="A6153" s="50">
        <v>45183</v>
      </c>
      <c r="B6153" s="49" t="s">
        <v>37</v>
      </c>
    </row>
    <row r="6154" spans="1:2">
      <c r="A6154" s="50">
        <v>45183</v>
      </c>
      <c r="B6154" s="49" t="s">
        <v>38</v>
      </c>
    </row>
    <row r="6155" spans="1:2">
      <c r="A6155" s="50">
        <v>45183</v>
      </c>
      <c r="B6155" s="49" t="s">
        <v>39</v>
      </c>
    </row>
    <row r="6156" spans="1:2">
      <c r="A6156" s="50">
        <v>45183</v>
      </c>
      <c r="B6156" s="49" t="s">
        <v>40</v>
      </c>
    </row>
    <row r="6157" spans="1:2">
      <c r="A6157" s="50">
        <v>45183</v>
      </c>
      <c r="B6157" s="49" t="s">
        <v>41</v>
      </c>
    </row>
    <row r="6158" spans="1:2">
      <c r="A6158" s="50">
        <v>45183</v>
      </c>
      <c r="B6158" s="49" t="s">
        <v>42</v>
      </c>
    </row>
    <row r="6159" spans="1:2">
      <c r="A6159" s="50">
        <v>45183</v>
      </c>
      <c r="B6159" s="49" t="s">
        <v>43</v>
      </c>
    </row>
    <row r="6160" spans="1:2">
      <c r="A6160" s="50">
        <v>45183</v>
      </c>
      <c r="B6160" s="49" t="s">
        <v>44</v>
      </c>
    </row>
    <row r="6161" spans="1:2">
      <c r="A6161" s="50">
        <v>45183</v>
      </c>
      <c r="B6161" s="49" t="s">
        <v>45</v>
      </c>
    </row>
    <row r="6162" spans="1:2">
      <c r="A6162" s="50">
        <v>45183</v>
      </c>
      <c r="B6162" s="49" t="s">
        <v>46</v>
      </c>
    </row>
    <row r="6163" spans="1:2">
      <c r="A6163" s="50">
        <v>45183</v>
      </c>
      <c r="B6163" s="49" t="s">
        <v>47</v>
      </c>
    </row>
    <row r="6164" spans="1:2">
      <c r="A6164" s="50">
        <v>45183</v>
      </c>
      <c r="B6164" s="49" t="s">
        <v>48</v>
      </c>
    </row>
    <row r="6165" spans="1:2">
      <c r="A6165" s="50">
        <v>45183</v>
      </c>
      <c r="B6165" s="49" t="s">
        <v>49</v>
      </c>
    </row>
    <row r="6166" spans="1:2">
      <c r="A6166" s="50">
        <v>45183</v>
      </c>
      <c r="B6166" s="49" t="s">
        <v>50</v>
      </c>
    </row>
    <row r="6167" spans="1:2">
      <c r="A6167" s="50">
        <v>45183</v>
      </c>
      <c r="B6167" s="49" t="s">
        <v>51</v>
      </c>
    </row>
    <row r="6168" spans="1:2">
      <c r="A6168" s="50">
        <v>45183</v>
      </c>
      <c r="B6168" s="49" t="s">
        <v>52</v>
      </c>
    </row>
    <row r="6169" spans="1:2">
      <c r="A6169" s="50">
        <v>45183</v>
      </c>
      <c r="B6169" s="49" t="s">
        <v>53</v>
      </c>
    </row>
    <row r="6170" spans="1:2">
      <c r="A6170" s="50">
        <v>45184</v>
      </c>
      <c r="B6170" s="49" t="s">
        <v>30</v>
      </c>
    </row>
    <row r="6171" spans="1:2">
      <c r="A6171" s="50">
        <v>45184</v>
      </c>
      <c r="B6171" s="49" t="s">
        <v>31</v>
      </c>
    </row>
    <row r="6172" spans="1:2">
      <c r="A6172" s="50">
        <v>45184</v>
      </c>
      <c r="B6172" s="49" t="s">
        <v>32</v>
      </c>
    </row>
    <row r="6173" spans="1:2">
      <c r="A6173" s="50">
        <v>45184</v>
      </c>
      <c r="B6173" s="49" t="s">
        <v>33</v>
      </c>
    </row>
    <row r="6174" spans="1:2">
      <c r="A6174" s="50">
        <v>45184</v>
      </c>
      <c r="B6174" s="49" t="s">
        <v>34</v>
      </c>
    </row>
    <row r="6175" spans="1:2">
      <c r="A6175" s="50">
        <v>45184</v>
      </c>
      <c r="B6175" s="49" t="s">
        <v>35</v>
      </c>
    </row>
    <row r="6176" spans="1:2">
      <c r="A6176" s="50">
        <v>45184</v>
      </c>
      <c r="B6176" s="49" t="s">
        <v>36</v>
      </c>
    </row>
    <row r="6177" spans="1:2">
      <c r="A6177" s="50">
        <v>45184</v>
      </c>
      <c r="B6177" s="49" t="s">
        <v>37</v>
      </c>
    </row>
    <row r="6178" spans="1:2">
      <c r="A6178" s="50">
        <v>45184</v>
      </c>
      <c r="B6178" s="49" t="s">
        <v>38</v>
      </c>
    </row>
    <row r="6179" spans="1:2">
      <c r="A6179" s="50">
        <v>45184</v>
      </c>
      <c r="B6179" s="49" t="s">
        <v>39</v>
      </c>
    </row>
    <row r="6180" spans="1:2">
      <c r="A6180" s="50">
        <v>45184</v>
      </c>
      <c r="B6180" s="49" t="s">
        <v>40</v>
      </c>
    </row>
    <row r="6181" spans="1:2">
      <c r="A6181" s="50">
        <v>45184</v>
      </c>
      <c r="B6181" s="49" t="s">
        <v>41</v>
      </c>
    </row>
    <row r="6182" spans="1:2">
      <c r="A6182" s="50">
        <v>45184</v>
      </c>
      <c r="B6182" s="49" t="s">
        <v>42</v>
      </c>
    </row>
    <row r="6183" spans="1:2">
      <c r="A6183" s="50">
        <v>45184</v>
      </c>
      <c r="B6183" s="49" t="s">
        <v>43</v>
      </c>
    </row>
    <row r="6184" spans="1:2">
      <c r="A6184" s="50">
        <v>45184</v>
      </c>
      <c r="B6184" s="49" t="s">
        <v>44</v>
      </c>
    </row>
    <row r="6185" spans="1:2">
      <c r="A6185" s="50">
        <v>45184</v>
      </c>
      <c r="B6185" s="49" t="s">
        <v>45</v>
      </c>
    </row>
    <row r="6186" spans="1:2">
      <c r="A6186" s="50">
        <v>45184</v>
      </c>
      <c r="B6186" s="49" t="s">
        <v>46</v>
      </c>
    </row>
    <row r="6187" spans="1:2">
      <c r="A6187" s="50">
        <v>45184</v>
      </c>
      <c r="B6187" s="49" t="s">
        <v>47</v>
      </c>
    </row>
    <row r="6188" spans="1:2">
      <c r="A6188" s="50">
        <v>45184</v>
      </c>
      <c r="B6188" s="49" t="s">
        <v>48</v>
      </c>
    </row>
    <row r="6189" spans="1:2">
      <c r="A6189" s="50">
        <v>45184</v>
      </c>
      <c r="B6189" s="49" t="s">
        <v>49</v>
      </c>
    </row>
    <row r="6190" spans="1:2">
      <c r="A6190" s="50">
        <v>45184</v>
      </c>
      <c r="B6190" s="49" t="s">
        <v>50</v>
      </c>
    </row>
    <row r="6191" spans="1:2">
      <c r="A6191" s="50">
        <v>45184</v>
      </c>
      <c r="B6191" s="49" t="s">
        <v>51</v>
      </c>
    </row>
    <row r="6192" spans="1:2">
      <c r="A6192" s="50">
        <v>45184</v>
      </c>
      <c r="B6192" s="49" t="s">
        <v>52</v>
      </c>
    </row>
    <row r="6193" spans="1:2">
      <c r="A6193" s="50">
        <v>45184</v>
      </c>
      <c r="B6193" s="49" t="s">
        <v>53</v>
      </c>
    </row>
    <row r="6194" spans="1:2">
      <c r="A6194" s="50">
        <v>45185</v>
      </c>
      <c r="B6194" s="49" t="s">
        <v>30</v>
      </c>
    </row>
    <row r="6195" spans="1:2">
      <c r="A6195" s="50">
        <v>45185</v>
      </c>
      <c r="B6195" s="49" t="s">
        <v>31</v>
      </c>
    </row>
    <row r="6196" spans="1:2">
      <c r="A6196" s="50">
        <v>45185</v>
      </c>
      <c r="B6196" s="49" t="s">
        <v>32</v>
      </c>
    </row>
    <row r="6197" spans="1:2">
      <c r="A6197" s="50">
        <v>45185</v>
      </c>
      <c r="B6197" s="49" t="s">
        <v>33</v>
      </c>
    </row>
    <row r="6198" spans="1:2">
      <c r="A6198" s="50">
        <v>45185</v>
      </c>
      <c r="B6198" s="49" t="s">
        <v>34</v>
      </c>
    </row>
    <row r="6199" spans="1:2">
      <c r="A6199" s="50">
        <v>45185</v>
      </c>
      <c r="B6199" s="49" t="s">
        <v>35</v>
      </c>
    </row>
    <row r="6200" spans="1:2">
      <c r="A6200" s="50">
        <v>45185</v>
      </c>
      <c r="B6200" s="49" t="s">
        <v>36</v>
      </c>
    </row>
    <row r="6201" spans="1:2">
      <c r="A6201" s="50">
        <v>45185</v>
      </c>
      <c r="B6201" s="49" t="s">
        <v>37</v>
      </c>
    </row>
    <row r="6202" spans="1:2">
      <c r="A6202" s="50">
        <v>45185</v>
      </c>
      <c r="B6202" s="49" t="s">
        <v>38</v>
      </c>
    </row>
    <row r="6203" spans="1:2">
      <c r="A6203" s="50">
        <v>45185</v>
      </c>
      <c r="B6203" s="49" t="s">
        <v>39</v>
      </c>
    </row>
    <row r="6204" spans="1:2">
      <c r="A6204" s="50">
        <v>45185</v>
      </c>
      <c r="B6204" s="49" t="s">
        <v>40</v>
      </c>
    </row>
    <row r="6205" spans="1:2">
      <c r="A6205" s="50">
        <v>45185</v>
      </c>
      <c r="B6205" s="49" t="s">
        <v>41</v>
      </c>
    </row>
    <row r="6206" spans="1:2">
      <c r="A6206" s="50">
        <v>45185</v>
      </c>
      <c r="B6206" s="49" t="s">
        <v>42</v>
      </c>
    </row>
    <row r="6207" spans="1:2">
      <c r="A6207" s="50">
        <v>45185</v>
      </c>
      <c r="B6207" s="49" t="s">
        <v>43</v>
      </c>
    </row>
    <row r="6208" spans="1:2">
      <c r="A6208" s="50">
        <v>45185</v>
      </c>
      <c r="B6208" s="49" t="s">
        <v>44</v>
      </c>
    </row>
    <row r="6209" spans="1:2">
      <c r="A6209" s="50">
        <v>45185</v>
      </c>
      <c r="B6209" s="49" t="s">
        <v>45</v>
      </c>
    </row>
    <row r="6210" spans="1:2">
      <c r="A6210" s="50">
        <v>45185</v>
      </c>
      <c r="B6210" s="49" t="s">
        <v>46</v>
      </c>
    </row>
    <row r="6211" spans="1:2">
      <c r="A6211" s="50">
        <v>45185</v>
      </c>
      <c r="B6211" s="49" t="s">
        <v>47</v>
      </c>
    </row>
    <row r="6212" spans="1:2">
      <c r="A6212" s="50">
        <v>45185</v>
      </c>
      <c r="B6212" s="49" t="s">
        <v>48</v>
      </c>
    </row>
    <row r="6213" spans="1:2">
      <c r="A6213" s="50">
        <v>45185</v>
      </c>
      <c r="B6213" s="49" t="s">
        <v>49</v>
      </c>
    </row>
    <row r="6214" spans="1:2">
      <c r="A6214" s="50">
        <v>45185</v>
      </c>
      <c r="B6214" s="49" t="s">
        <v>50</v>
      </c>
    </row>
    <row r="6215" spans="1:2">
      <c r="A6215" s="50">
        <v>45185</v>
      </c>
      <c r="B6215" s="49" t="s">
        <v>51</v>
      </c>
    </row>
    <row r="6216" spans="1:2">
      <c r="A6216" s="50">
        <v>45185</v>
      </c>
      <c r="B6216" s="49" t="s">
        <v>52</v>
      </c>
    </row>
    <row r="6217" spans="1:2">
      <c r="A6217" s="50">
        <v>45185</v>
      </c>
      <c r="B6217" s="49" t="s">
        <v>53</v>
      </c>
    </row>
    <row r="6218" spans="1:2">
      <c r="A6218" s="50">
        <v>45186</v>
      </c>
      <c r="B6218" s="49" t="s">
        <v>30</v>
      </c>
    </row>
    <row r="6219" spans="1:2">
      <c r="A6219" s="50">
        <v>45186</v>
      </c>
      <c r="B6219" s="49" t="s">
        <v>31</v>
      </c>
    </row>
    <row r="6220" spans="1:2">
      <c r="A6220" s="50">
        <v>45186</v>
      </c>
      <c r="B6220" s="49" t="s">
        <v>32</v>
      </c>
    </row>
    <row r="6221" spans="1:2">
      <c r="A6221" s="50">
        <v>45186</v>
      </c>
      <c r="B6221" s="49" t="s">
        <v>33</v>
      </c>
    </row>
    <row r="6222" spans="1:2">
      <c r="A6222" s="50">
        <v>45186</v>
      </c>
      <c r="B6222" s="49" t="s">
        <v>34</v>
      </c>
    </row>
    <row r="6223" spans="1:2">
      <c r="A6223" s="50">
        <v>45186</v>
      </c>
      <c r="B6223" s="49" t="s">
        <v>35</v>
      </c>
    </row>
    <row r="6224" spans="1:2">
      <c r="A6224" s="50">
        <v>45186</v>
      </c>
      <c r="B6224" s="49" t="s">
        <v>36</v>
      </c>
    </row>
    <row r="6225" spans="1:2">
      <c r="A6225" s="50">
        <v>45186</v>
      </c>
      <c r="B6225" s="49" t="s">
        <v>37</v>
      </c>
    </row>
    <row r="6226" spans="1:2">
      <c r="A6226" s="50">
        <v>45186</v>
      </c>
      <c r="B6226" s="49" t="s">
        <v>38</v>
      </c>
    </row>
    <row r="6227" spans="1:2">
      <c r="A6227" s="50">
        <v>45186</v>
      </c>
      <c r="B6227" s="49" t="s">
        <v>39</v>
      </c>
    </row>
    <row r="6228" spans="1:2">
      <c r="A6228" s="50">
        <v>45186</v>
      </c>
      <c r="B6228" s="49" t="s">
        <v>40</v>
      </c>
    </row>
    <row r="6229" spans="1:2">
      <c r="A6229" s="50">
        <v>45186</v>
      </c>
      <c r="B6229" s="49" t="s">
        <v>41</v>
      </c>
    </row>
    <row r="6230" spans="1:2">
      <c r="A6230" s="50">
        <v>45186</v>
      </c>
      <c r="B6230" s="49" t="s">
        <v>42</v>
      </c>
    </row>
    <row r="6231" spans="1:2">
      <c r="A6231" s="50">
        <v>45186</v>
      </c>
      <c r="B6231" s="49" t="s">
        <v>43</v>
      </c>
    </row>
    <row r="6232" spans="1:2">
      <c r="A6232" s="50">
        <v>45186</v>
      </c>
      <c r="B6232" s="49" t="s">
        <v>44</v>
      </c>
    </row>
    <row r="6233" spans="1:2">
      <c r="A6233" s="50">
        <v>45186</v>
      </c>
      <c r="B6233" s="49" t="s">
        <v>45</v>
      </c>
    </row>
    <row r="6234" spans="1:2">
      <c r="A6234" s="50">
        <v>45186</v>
      </c>
      <c r="B6234" s="49" t="s">
        <v>46</v>
      </c>
    </row>
    <row r="6235" spans="1:2">
      <c r="A6235" s="50">
        <v>45186</v>
      </c>
      <c r="B6235" s="49" t="s">
        <v>47</v>
      </c>
    </row>
    <row r="6236" spans="1:2">
      <c r="A6236" s="50">
        <v>45186</v>
      </c>
      <c r="B6236" s="49" t="s">
        <v>48</v>
      </c>
    </row>
    <row r="6237" spans="1:2">
      <c r="A6237" s="50">
        <v>45186</v>
      </c>
      <c r="B6237" s="49" t="s">
        <v>49</v>
      </c>
    </row>
    <row r="6238" spans="1:2">
      <c r="A6238" s="50">
        <v>45186</v>
      </c>
      <c r="B6238" s="49" t="s">
        <v>50</v>
      </c>
    </row>
    <row r="6239" spans="1:2">
      <c r="A6239" s="50">
        <v>45186</v>
      </c>
      <c r="B6239" s="49" t="s">
        <v>51</v>
      </c>
    </row>
    <row r="6240" spans="1:2">
      <c r="A6240" s="50">
        <v>45186</v>
      </c>
      <c r="B6240" s="49" t="s">
        <v>52</v>
      </c>
    </row>
    <row r="6241" spans="1:2">
      <c r="A6241" s="50">
        <v>45186</v>
      </c>
      <c r="B6241" s="49" t="s">
        <v>53</v>
      </c>
    </row>
    <row r="6242" spans="1:2">
      <c r="A6242" s="50">
        <v>45187</v>
      </c>
      <c r="B6242" s="49" t="s">
        <v>30</v>
      </c>
    </row>
    <row r="6243" spans="1:2">
      <c r="A6243" s="50">
        <v>45187</v>
      </c>
      <c r="B6243" s="49" t="s">
        <v>31</v>
      </c>
    </row>
    <row r="6244" spans="1:2">
      <c r="A6244" s="50">
        <v>45187</v>
      </c>
      <c r="B6244" s="49" t="s">
        <v>32</v>
      </c>
    </row>
    <row r="6245" spans="1:2">
      <c r="A6245" s="50">
        <v>45187</v>
      </c>
      <c r="B6245" s="49" t="s">
        <v>33</v>
      </c>
    </row>
    <row r="6246" spans="1:2">
      <c r="A6246" s="50">
        <v>45187</v>
      </c>
      <c r="B6246" s="49" t="s">
        <v>34</v>
      </c>
    </row>
    <row r="6247" spans="1:2">
      <c r="A6247" s="50">
        <v>45187</v>
      </c>
      <c r="B6247" s="49" t="s">
        <v>35</v>
      </c>
    </row>
    <row r="6248" spans="1:2">
      <c r="A6248" s="50">
        <v>45187</v>
      </c>
      <c r="B6248" s="49" t="s">
        <v>36</v>
      </c>
    </row>
    <row r="6249" spans="1:2">
      <c r="A6249" s="50">
        <v>45187</v>
      </c>
      <c r="B6249" s="49" t="s">
        <v>37</v>
      </c>
    </row>
    <row r="6250" spans="1:2">
      <c r="A6250" s="50">
        <v>45187</v>
      </c>
      <c r="B6250" s="49" t="s">
        <v>38</v>
      </c>
    </row>
    <row r="6251" spans="1:2">
      <c r="A6251" s="50">
        <v>45187</v>
      </c>
      <c r="B6251" s="49" t="s">
        <v>39</v>
      </c>
    </row>
    <row r="6252" spans="1:2">
      <c r="A6252" s="50">
        <v>45187</v>
      </c>
      <c r="B6252" s="49" t="s">
        <v>40</v>
      </c>
    </row>
    <row r="6253" spans="1:2">
      <c r="A6253" s="50">
        <v>45187</v>
      </c>
      <c r="B6253" s="49" t="s">
        <v>41</v>
      </c>
    </row>
    <row r="6254" spans="1:2">
      <c r="A6254" s="50">
        <v>45187</v>
      </c>
      <c r="B6254" s="49" t="s">
        <v>42</v>
      </c>
    </row>
    <row r="6255" spans="1:2">
      <c r="A6255" s="50">
        <v>45187</v>
      </c>
      <c r="B6255" s="49" t="s">
        <v>43</v>
      </c>
    </row>
    <row r="6256" spans="1:2">
      <c r="A6256" s="50">
        <v>45187</v>
      </c>
      <c r="B6256" s="49" t="s">
        <v>44</v>
      </c>
    </row>
    <row r="6257" spans="1:2">
      <c r="A6257" s="50">
        <v>45187</v>
      </c>
      <c r="B6257" s="49" t="s">
        <v>45</v>
      </c>
    </row>
    <row r="6258" spans="1:2">
      <c r="A6258" s="50">
        <v>45187</v>
      </c>
      <c r="B6258" s="49" t="s">
        <v>46</v>
      </c>
    </row>
    <row r="6259" spans="1:2">
      <c r="A6259" s="50">
        <v>45187</v>
      </c>
      <c r="B6259" s="49" t="s">
        <v>47</v>
      </c>
    </row>
    <row r="6260" spans="1:2">
      <c r="A6260" s="50">
        <v>45187</v>
      </c>
      <c r="B6260" s="49" t="s">
        <v>48</v>
      </c>
    </row>
    <row r="6261" spans="1:2">
      <c r="A6261" s="50">
        <v>45187</v>
      </c>
      <c r="B6261" s="49" t="s">
        <v>49</v>
      </c>
    </row>
    <row r="6262" spans="1:2">
      <c r="A6262" s="50">
        <v>45187</v>
      </c>
      <c r="B6262" s="49" t="s">
        <v>50</v>
      </c>
    </row>
    <row r="6263" spans="1:2">
      <c r="A6263" s="50">
        <v>45187</v>
      </c>
      <c r="B6263" s="49" t="s">
        <v>51</v>
      </c>
    </row>
    <row r="6264" spans="1:2">
      <c r="A6264" s="50">
        <v>45187</v>
      </c>
      <c r="B6264" s="49" t="s">
        <v>52</v>
      </c>
    </row>
    <row r="6265" spans="1:2">
      <c r="A6265" s="50">
        <v>45187</v>
      </c>
      <c r="B6265" s="49" t="s">
        <v>53</v>
      </c>
    </row>
    <row r="6266" spans="1:2">
      <c r="A6266" s="50">
        <v>45188</v>
      </c>
      <c r="B6266" s="49" t="s">
        <v>30</v>
      </c>
    </row>
    <row r="6267" spans="1:2">
      <c r="A6267" s="50">
        <v>45188</v>
      </c>
      <c r="B6267" s="49" t="s">
        <v>31</v>
      </c>
    </row>
    <row r="6268" spans="1:2">
      <c r="A6268" s="50">
        <v>45188</v>
      </c>
      <c r="B6268" s="49" t="s">
        <v>32</v>
      </c>
    </row>
    <row r="6269" spans="1:2">
      <c r="A6269" s="50">
        <v>45188</v>
      </c>
      <c r="B6269" s="49" t="s">
        <v>33</v>
      </c>
    </row>
    <row r="6270" spans="1:2">
      <c r="A6270" s="50">
        <v>45188</v>
      </c>
      <c r="B6270" s="49" t="s">
        <v>34</v>
      </c>
    </row>
    <row r="6271" spans="1:2">
      <c r="A6271" s="50">
        <v>45188</v>
      </c>
      <c r="B6271" s="49" t="s">
        <v>35</v>
      </c>
    </row>
    <row r="6272" spans="1:2">
      <c r="A6272" s="50">
        <v>45188</v>
      </c>
      <c r="B6272" s="49" t="s">
        <v>36</v>
      </c>
    </row>
    <row r="6273" spans="1:2">
      <c r="A6273" s="50">
        <v>45188</v>
      </c>
      <c r="B6273" s="49" t="s">
        <v>37</v>
      </c>
    </row>
    <row r="6274" spans="1:2">
      <c r="A6274" s="50">
        <v>45188</v>
      </c>
      <c r="B6274" s="49" t="s">
        <v>38</v>
      </c>
    </row>
    <row r="6275" spans="1:2">
      <c r="A6275" s="50">
        <v>45188</v>
      </c>
      <c r="B6275" s="49" t="s">
        <v>39</v>
      </c>
    </row>
    <row r="6276" spans="1:2">
      <c r="A6276" s="50">
        <v>45188</v>
      </c>
      <c r="B6276" s="49" t="s">
        <v>40</v>
      </c>
    </row>
    <row r="6277" spans="1:2">
      <c r="A6277" s="50">
        <v>45188</v>
      </c>
      <c r="B6277" s="49" t="s">
        <v>41</v>
      </c>
    </row>
    <row r="6278" spans="1:2">
      <c r="A6278" s="50">
        <v>45188</v>
      </c>
      <c r="B6278" s="49" t="s">
        <v>42</v>
      </c>
    </row>
    <row r="6279" spans="1:2">
      <c r="A6279" s="50">
        <v>45188</v>
      </c>
      <c r="B6279" s="49" t="s">
        <v>43</v>
      </c>
    </row>
    <row r="6280" spans="1:2">
      <c r="A6280" s="50">
        <v>45188</v>
      </c>
      <c r="B6280" s="49" t="s">
        <v>44</v>
      </c>
    </row>
    <row r="6281" spans="1:2">
      <c r="A6281" s="50">
        <v>45188</v>
      </c>
      <c r="B6281" s="49" t="s">
        <v>45</v>
      </c>
    </row>
    <row r="6282" spans="1:2">
      <c r="A6282" s="50">
        <v>45188</v>
      </c>
      <c r="B6282" s="49" t="s">
        <v>46</v>
      </c>
    </row>
    <row r="6283" spans="1:2">
      <c r="A6283" s="50">
        <v>45188</v>
      </c>
      <c r="B6283" s="49" t="s">
        <v>47</v>
      </c>
    </row>
    <row r="6284" spans="1:2">
      <c r="A6284" s="50">
        <v>45188</v>
      </c>
      <c r="B6284" s="49" t="s">
        <v>48</v>
      </c>
    </row>
    <row r="6285" spans="1:2">
      <c r="A6285" s="50">
        <v>45188</v>
      </c>
      <c r="B6285" s="49" t="s">
        <v>49</v>
      </c>
    </row>
    <row r="6286" spans="1:2">
      <c r="A6286" s="50">
        <v>45188</v>
      </c>
      <c r="B6286" s="49" t="s">
        <v>50</v>
      </c>
    </row>
    <row r="6287" spans="1:2">
      <c r="A6287" s="50">
        <v>45188</v>
      </c>
      <c r="B6287" s="49" t="s">
        <v>51</v>
      </c>
    </row>
    <row r="6288" spans="1:2">
      <c r="A6288" s="50">
        <v>45188</v>
      </c>
      <c r="B6288" s="49" t="s">
        <v>52</v>
      </c>
    </row>
    <row r="6289" spans="1:2">
      <c r="A6289" s="50">
        <v>45188</v>
      </c>
      <c r="B6289" s="49" t="s">
        <v>53</v>
      </c>
    </row>
    <row r="6290" spans="1:2">
      <c r="A6290" s="50">
        <v>45189</v>
      </c>
      <c r="B6290" s="49" t="s">
        <v>30</v>
      </c>
    </row>
    <row r="6291" spans="1:2">
      <c r="A6291" s="50">
        <v>45189</v>
      </c>
      <c r="B6291" s="49" t="s">
        <v>31</v>
      </c>
    </row>
    <row r="6292" spans="1:2">
      <c r="A6292" s="50">
        <v>45189</v>
      </c>
      <c r="B6292" s="49" t="s">
        <v>32</v>
      </c>
    </row>
    <row r="6293" spans="1:2">
      <c r="A6293" s="50">
        <v>45189</v>
      </c>
      <c r="B6293" s="49" t="s">
        <v>33</v>
      </c>
    </row>
    <row r="6294" spans="1:2">
      <c r="A6294" s="50">
        <v>45189</v>
      </c>
      <c r="B6294" s="49" t="s">
        <v>34</v>
      </c>
    </row>
    <row r="6295" spans="1:2">
      <c r="A6295" s="50">
        <v>45189</v>
      </c>
      <c r="B6295" s="49" t="s">
        <v>35</v>
      </c>
    </row>
    <row r="6296" spans="1:2">
      <c r="A6296" s="50">
        <v>45189</v>
      </c>
      <c r="B6296" s="49" t="s">
        <v>36</v>
      </c>
    </row>
    <row r="6297" spans="1:2">
      <c r="A6297" s="50">
        <v>45189</v>
      </c>
      <c r="B6297" s="49" t="s">
        <v>37</v>
      </c>
    </row>
    <row r="6298" spans="1:2">
      <c r="A6298" s="50">
        <v>45189</v>
      </c>
      <c r="B6298" s="49" t="s">
        <v>38</v>
      </c>
    </row>
    <row r="6299" spans="1:2">
      <c r="A6299" s="50">
        <v>45189</v>
      </c>
      <c r="B6299" s="49" t="s">
        <v>39</v>
      </c>
    </row>
    <row r="6300" spans="1:2">
      <c r="A6300" s="50">
        <v>45189</v>
      </c>
      <c r="B6300" s="49" t="s">
        <v>40</v>
      </c>
    </row>
    <row r="6301" spans="1:2">
      <c r="A6301" s="50">
        <v>45189</v>
      </c>
      <c r="B6301" s="49" t="s">
        <v>41</v>
      </c>
    </row>
    <row r="6302" spans="1:2">
      <c r="A6302" s="50">
        <v>45189</v>
      </c>
      <c r="B6302" s="49" t="s">
        <v>42</v>
      </c>
    </row>
    <row r="6303" spans="1:2">
      <c r="A6303" s="50">
        <v>45189</v>
      </c>
      <c r="B6303" s="49" t="s">
        <v>43</v>
      </c>
    </row>
    <row r="6304" spans="1:2">
      <c r="A6304" s="50">
        <v>45189</v>
      </c>
      <c r="B6304" s="49" t="s">
        <v>44</v>
      </c>
    </row>
    <row r="6305" spans="1:2">
      <c r="A6305" s="50">
        <v>45189</v>
      </c>
      <c r="B6305" s="49" t="s">
        <v>45</v>
      </c>
    </row>
    <row r="6306" spans="1:2">
      <c r="A6306" s="50">
        <v>45189</v>
      </c>
      <c r="B6306" s="49" t="s">
        <v>46</v>
      </c>
    </row>
    <row r="6307" spans="1:2">
      <c r="A6307" s="50">
        <v>45189</v>
      </c>
      <c r="B6307" s="49" t="s">
        <v>47</v>
      </c>
    </row>
    <row r="6308" spans="1:2">
      <c r="A6308" s="50">
        <v>45189</v>
      </c>
      <c r="B6308" s="49" t="s">
        <v>48</v>
      </c>
    </row>
    <row r="6309" spans="1:2">
      <c r="A6309" s="50">
        <v>45189</v>
      </c>
      <c r="B6309" s="49" t="s">
        <v>49</v>
      </c>
    </row>
    <row r="6310" spans="1:2">
      <c r="A6310" s="50">
        <v>45189</v>
      </c>
      <c r="B6310" s="49" t="s">
        <v>50</v>
      </c>
    </row>
    <row r="6311" spans="1:2">
      <c r="A6311" s="50">
        <v>45189</v>
      </c>
      <c r="B6311" s="49" t="s">
        <v>51</v>
      </c>
    </row>
    <row r="6312" spans="1:2">
      <c r="A6312" s="50">
        <v>45189</v>
      </c>
      <c r="B6312" s="49" t="s">
        <v>52</v>
      </c>
    </row>
    <row r="6313" spans="1:2">
      <c r="A6313" s="50">
        <v>45189</v>
      </c>
      <c r="B6313" s="49" t="s">
        <v>53</v>
      </c>
    </row>
    <row r="6314" spans="1:2">
      <c r="A6314" s="50">
        <v>45190</v>
      </c>
      <c r="B6314" s="49" t="s">
        <v>30</v>
      </c>
    </row>
    <row r="6315" spans="1:2">
      <c r="A6315" s="50">
        <v>45190</v>
      </c>
      <c r="B6315" s="49" t="s">
        <v>31</v>
      </c>
    </row>
    <row r="6316" spans="1:2">
      <c r="A6316" s="50">
        <v>45190</v>
      </c>
      <c r="B6316" s="49" t="s">
        <v>32</v>
      </c>
    </row>
    <row r="6317" spans="1:2">
      <c r="A6317" s="50">
        <v>45190</v>
      </c>
      <c r="B6317" s="49" t="s">
        <v>33</v>
      </c>
    </row>
    <row r="6318" spans="1:2">
      <c r="A6318" s="50">
        <v>45190</v>
      </c>
      <c r="B6318" s="49" t="s">
        <v>34</v>
      </c>
    </row>
    <row r="6319" spans="1:2">
      <c r="A6319" s="50">
        <v>45190</v>
      </c>
      <c r="B6319" s="49" t="s">
        <v>35</v>
      </c>
    </row>
    <row r="6320" spans="1:2">
      <c r="A6320" s="50">
        <v>45190</v>
      </c>
      <c r="B6320" s="49" t="s">
        <v>36</v>
      </c>
    </row>
    <row r="6321" spans="1:2">
      <c r="A6321" s="50">
        <v>45190</v>
      </c>
      <c r="B6321" s="49" t="s">
        <v>37</v>
      </c>
    </row>
    <row r="6322" spans="1:2">
      <c r="A6322" s="50">
        <v>45190</v>
      </c>
      <c r="B6322" s="49" t="s">
        <v>38</v>
      </c>
    </row>
    <row r="6323" spans="1:2">
      <c r="A6323" s="50">
        <v>45190</v>
      </c>
      <c r="B6323" s="49" t="s">
        <v>39</v>
      </c>
    </row>
    <row r="6324" spans="1:2">
      <c r="A6324" s="50">
        <v>45190</v>
      </c>
      <c r="B6324" s="49" t="s">
        <v>40</v>
      </c>
    </row>
    <row r="6325" spans="1:2">
      <c r="A6325" s="50">
        <v>45190</v>
      </c>
      <c r="B6325" s="49" t="s">
        <v>41</v>
      </c>
    </row>
    <row r="6326" spans="1:2">
      <c r="A6326" s="50">
        <v>45190</v>
      </c>
      <c r="B6326" s="49" t="s">
        <v>42</v>
      </c>
    </row>
    <row r="6327" spans="1:2">
      <c r="A6327" s="50">
        <v>45190</v>
      </c>
      <c r="B6327" s="49" t="s">
        <v>43</v>
      </c>
    </row>
    <row r="6328" spans="1:2">
      <c r="A6328" s="50">
        <v>45190</v>
      </c>
      <c r="B6328" s="49" t="s">
        <v>44</v>
      </c>
    </row>
    <row r="6329" spans="1:2">
      <c r="A6329" s="50">
        <v>45190</v>
      </c>
      <c r="B6329" s="49" t="s">
        <v>45</v>
      </c>
    </row>
    <row r="6330" spans="1:2">
      <c r="A6330" s="50">
        <v>45190</v>
      </c>
      <c r="B6330" s="49" t="s">
        <v>46</v>
      </c>
    </row>
    <row r="6331" spans="1:2">
      <c r="A6331" s="50">
        <v>45190</v>
      </c>
      <c r="B6331" s="49" t="s">
        <v>47</v>
      </c>
    </row>
    <row r="6332" spans="1:2">
      <c r="A6332" s="50">
        <v>45190</v>
      </c>
      <c r="B6332" s="49" t="s">
        <v>48</v>
      </c>
    </row>
    <row r="6333" spans="1:2">
      <c r="A6333" s="50">
        <v>45190</v>
      </c>
      <c r="B6333" s="49" t="s">
        <v>49</v>
      </c>
    </row>
    <row r="6334" spans="1:2">
      <c r="A6334" s="50">
        <v>45190</v>
      </c>
      <c r="B6334" s="49" t="s">
        <v>50</v>
      </c>
    </row>
    <row r="6335" spans="1:2">
      <c r="A6335" s="50">
        <v>45190</v>
      </c>
      <c r="B6335" s="49" t="s">
        <v>51</v>
      </c>
    </row>
    <row r="6336" spans="1:2">
      <c r="A6336" s="50">
        <v>45190</v>
      </c>
      <c r="B6336" s="49" t="s">
        <v>52</v>
      </c>
    </row>
    <row r="6337" spans="1:2">
      <c r="A6337" s="50">
        <v>45190</v>
      </c>
      <c r="B6337" s="49" t="s">
        <v>53</v>
      </c>
    </row>
    <row r="6338" spans="1:2">
      <c r="A6338" s="50">
        <v>45191</v>
      </c>
      <c r="B6338" s="49" t="s">
        <v>30</v>
      </c>
    </row>
    <row r="6339" spans="1:2">
      <c r="A6339" s="50">
        <v>45191</v>
      </c>
      <c r="B6339" s="49" t="s">
        <v>31</v>
      </c>
    </row>
    <row r="6340" spans="1:2">
      <c r="A6340" s="50">
        <v>45191</v>
      </c>
      <c r="B6340" s="49" t="s">
        <v>32</v>
      </c>
    </row>
    <row r="6341" spans="1:2">
      <c r="A6341" s="50">
        <v>45191</v>
      </c>
      <c r="B6341" s="49" t="s">
        <v>33</v>
      </c>
    </row>
    <row r="6342" spans="1:2">
      <c r="A6342" s="50">
        <v>45191</v>
      </c>
      <c r="B6342" s="49" t="s">
        <v>34</v>
      </c>
    </row>
    <row r="6343" spans="1:2">
      <c r="A6343" s="50">
        <v>45191</v>
      </c>
      <c r="B6343" s="49" t="s">
        <v>35</v>
      </c>
    </row>
    <row r="6344" spans="1:2">
      <c r="A6344" s="50">
        <v>45191</v>
      </c>
      <c r="B6344" s="49" t="s">
        <v>36</v>
      </c>
    </row>
    <row r="6345" spans="1:2">
      <c r="A6345" s="50">
        <v>45191</v>
      </c>
      <c r="B6345" s="49" t="s">
        <v>37</v>
      </c>
    </row>
    <row r="6346" spans="1:2">
      <c r="A6346" s="50">
        <v>45191</v>
      </c>
      <c r="B6346" s="49" t="s">
        <v>38</v>
      </c>
    </row>
    <row r="6347" spans="1:2">
      <c r="A6347" s="50">
        <v>45191</v>
      </c>
      <c r="B6347" s="49" t="s">
        <v>39</v>
      </c>
    </row>
    <row r="6348" spans="1:2">
      <c r="A6348" s="50">
        <v>45191</v>
      </c>
      <c r="B6348" s="49" t="s">
        <v>40</v>
      </c>
    </row>
    <row r="6349" spans="1:2">
      <c r="A6349" s="50">
        <v>45191</v>
      </c>
      <c r="B6349" s="49" t="s">
        <v>41</v>
      </c>
    </row>
    <row r="6350" spans="1:2">
      <c r="A6350" s="50">
        <v>45191</v>
      </c>
      <c r="B6350" s="49" t="s">
        <v>42</v>
      </c>
    </row>
    <row r="6351" spans="1:2">
      <c r="A6351" s="50">
        <v>45191</v>
      </c>
      <c r="B6351" s="49" t="s">
        <v>43</v>
      </c>
    </row>
    <row r="6352" spans="1:2">
      <c r="A6352" s="50">
        <v>45191</v>
      </c>
      <c r="B6352" s="49" t="s">
        <v>44</v>
      </c>
    </row>
    <row r="6353" spans="1:2">
      <c r="A6353" s="50">
        <v>45191</v>
      </c>
      <c r="B6353" s="49" t="s">
        <v>45</v>
      </c>
    </row>
    <row r="6354" spans="1:2">
      <c r="A6354" s="50">
        <v>45191</v>
      </c>
      <c r="B6354" s="49" t="s">
        <v>46</v>
      </c>
    </row>
    <row r="6355" spans="1:2">
      <c r="A6355" s="50">
        <v>45191</v>
      </c>
      <c r="B6355" s="49" t="s">
        <v>47</v>
      </c>
    </row>
    <row r="6356" spans="1:2">
      <c r="A6356" s="50">
        <v>45191</v>
      </c>
      <c r="B6356" s="49" t="s">
        <v>48</v>
      </c>
    </row>
    <row r="6357" spans="1:2">
      <c r="A6357" s="50">
        <v>45191</v>
      </c>
      <c r="B6357" s="49" t="s">
        <v>49</v>
      </c>
    </row>
    <row r="6358" spans="1:2">
      <c r="A6358" s="50">
        <v>45191</v>
      </c>
      <c r="B6358" s="49" t="s">
        <v>50</v>
      </c>
    </row>
    <row r="6359" spans="1:2">
      <c r="A6359" s="50">
        <v>45191</v>
      </c>
      <c r="B6359" s="49" t="s">
        <v>51</v>
      </c>
    </row>
    <row r="6360" spans="1:2">
      <c r="A6360" s="50">
        <v>45191</v>
      </c>
      <c r="B6360" s="49" t="s">
        <v>52</v>
      </c>
    </row>
    <row r="6361" spans="1:2">
      <c r="A6361" s="50">
        <v>45191</v>
      </c>
      <c r="B6361" s="49" t="s">
        <v>53</v>
      </c>
    </row>
    <row r="6362" spans="1:2">
      <c r="A6362" s="50">
        <v>45192</v>
      </c>
      <c r="B6362" s="49" t="s">
        <v>30</v>
      </c>
    </row>
    <row r="6363" spans="1:2">
      <c r="A6363" s="50">
        <v>45192</v>
      </c>
      <c r="B6363" s="49" t="s">
        <v>31</v>
      </c>
    </row>
    <row r="6364" spans="1:2">
      <c r="A6364" s="50">
        <v>45192</v>
      </c>
      <c r="B6364" s="49" t="s">
        <v>32</v>
      </c>
    </row>
    <row r="6365" spans="1:2">
      <c r="A6365" s="50">
        <v>45192</v>
      </c>
      <c r="B6365" s="49" t="s">
        <v>33</v>
      </c>
    </row>
    <row r="6366" spans="1:2">
      <c r="A6366" s="50">
        <v>45192</v>
      </c>
      <c r="B6366" s="49" t="s">
        <v>34</v>
      </c>
    </row>
    <row r="6367" spans="1:2">
      <c r="A6367" s="50">
        <v>45192</v>
      </c>
      <c r="B6367" s="49" t="s">
        <v>35</v>
      </c>
    </row>
    <row r="6368" spans="1:2">
      <c r="A6368" s="50">
        <v>45192</v>
      </c>
      <c r="B6368" s="49" t="s">
        <v>36</v>
      </c>
    </row>
    <row r="6369" spans="1:2">
      <c r="A6369" s="50">
        <v>45192</v>
      </c>
      <c r="B6369" s="49" t="s">
        <v>37</v>
      </c>
    </row>
    <row r="6370" spans="1:2">
      <c r="A6370" s="50">
        <v>45192</v>
      </c>
      <c r="B6370" s="49" t="s">
        <v>38</v>
      </c>
    </row>
    <row r="6371" spans="1:2">
      <c r="A6371" s="50">
        <v>45192</v>
      </c>
      <c r="B6371" s="49" t="s">
        <v>39</v>
      </c>
    </row>
    <row r="6372" spans="1:2">
      <c r="A6372" s="50">
        <v>45192</v>
      </c>
      <c r="B6372" s="49" t="s">
        <v>40</v>
      </c>
    </row>
    <row r="6373" spans="1:2">
      <c r="A6373" s="50">
        <v>45192</v>
      </c>
      <c r="B6373" s="49" t="s">
        <v>41</v>
      </c>
    </row>
    <row r="6374" spans="1:2">
      <c r="A6374" s="50">
        <v>45192</v>
      </c>
      <c r="B6374" s="49" t="s">
        <v>42</v>
      </c>
    </row>
    <row r="6375" spans="1:2">
      <c r="A6375" s="50">
        <v>45192</v>
      </c>
      <c r="B6375" s="49" t="s">
        <v>43</v>
      </c>
    </row>
    <row r="6376" spans="1:2">
      <c r="A6376" s="50">
        <v>45192</v>
      </c>
      <c r="B6376" s="49" t="s">
        <v>44</v>
      </c>
    </row>
    <row r="6377" spans="1:2">
      <c r="A6377" s="50">
        <v>45192</v>
      </c>
      <c r="B6377" s="49" t="s">
        <v>45</v>
      </c>
    </row>
    <row r="6378" spans="1:2">
      <c r="A6378" s="50">
        <v>45192</v>
      </c>
      <c r="B6378" s="49" t="s">
        <v>46</v>
      </c>
    </row>
    <row r="6379" spans="1:2">
      <c r="A6379" s="50">
        <v>45192</v>
      </c>
      <c r="B6379" s="49" t="s">
        <v>47</v>
      </c>
    </row>
    <row r="6380" spans="1:2">
      <c r="A6380" s="50">
        <v>45192</v>
      </c>
      <c r="B6380" s="49" t="s">
        <v>48</v>
      </c>
    </row>
    <row r="6381" spans="1:2">
      <c r="A6381" s="50">
        <v>45192</v>
      </c>
      <c r="B6381" s="49" t="s">
        <v>49</v>
      </c>
    </row>
    <row r="6382" spans="1:2">
      <c r="A6382" s="50">
        <v>45192</v>
      </c>
      <c r="B6382" s="49" t="s">
        <v>50</v>
      </c>
    </row>
    <row r="6383" spans="1:2">
      <c r="A6383" s="50">
        <v>45192</v>
      </c>
      <c r="B6383" s="49" t="s">
        <v>51</v>
      </c>
    </row>
    <row r="6384" spans="1:2">
      <c r="A6384" s="50">
        <v>45192</v>
      </c>
      <c r="B6384" s="49" t="s">
        <v>52</v>
      </c>
    </row>
    <row r="6385" spans="1:2">
      <c r="A6385" s="50">
        <v>45192</v>
      </c>
      <c r="B6385" s="49" t="s">
        <v>53</v>
      </c>
    </row>
    <row r="6386" spans="1:2">
      <c r="A6386" s="50">
        <v>45193</v>
      </c>
      <c r="B6386" s="49" t="s">
        <v>30</v>
      </c>
    </row>
    <row r="6387" spans="1:2">
      <c r="A6387" s="50">
        <v>45193</v>
      </c>
      <c r="B6387" s="49" t="s">
        <v>31</v>
      </c>
    </row>
    <row r="6388" spans="1:2">
      <c r="A6388" s="50">
        <v>45193</v>
      </c>
      <c r="B6388" s="49" t="s">
        <v>32</v>
      </c>
    </row>
    <row r="6389" spans="1:2">
      <c r="A6389" s="50">
        <v>45193</v>
      </c>
      <c r="B6389" s="49" t="s">
        <v>33</v>
      </c>
    </row>
    <row r="6390" spans="1:2">
      <c r="A6390" s="50">
        <v>45193</v>
      </c>
      <c r="B6390" s="49" t="s">
        <v>34</v>
      </c>
    </row>
    <row r="6391" spans="1:2">
      <c r="A6391" s="50">
        <v>45193</v>
      </c>
      <c r="B6391" s="49" t="s">
        <v>35</v>
      </c>
    </row>
    <row r="6392" spans="1:2">
      <c r="A6392" s="50">
        <v>45193</v>
      </c>
      <c r="B6392" s="49" t="s">
        <v>36</v>
      </c>
    </row>
    <row r="6393" spans="1:2">
      <c r="A6393" s="50">
        <v>45193</v>
      </c>
      <c r="B6393" s="49" t="s">
        <v>37</v>
      </c>
    </row>
    <row r="6394" spans="1:2">
      <c r="A6394" s="50">
        <v>45193</v>
      </c>
      <c r="B6394" s="49" t="s">
        <v>38</v>
      </c>
    </row>
    <row r="6395" spans="1:2">
      <c r="A6395" s="50">
        <v>45193</v>
      </c>
      <c r="B6395" s="49" t="s">
        <v>39</v>
      </c>
    </row>
    <row r="6396" spans="1:2">
      <c r="A6396" s="50">
        <v>45193</v>
      </c>
      <c r="B6396" s="49" t="s">
        <v>40</v>
      </c>
    </row>
    <row r="6397" spans="1:2">
      <c r="A6397" s="50">
        <v>45193</v>
      </c>
      <c r="B6397" s="49" t="s">
        <v>41</v>
      </c>
    </row>
    <row r="6398" spans="1:2">
      <c r="A6398" s="50">
        <v>45193</v>
      </c>
      <c r="B6398" s="49" t="s">
        <v>42</v>
      </c>
    </row>
    <row r="6399" spans="1:2">
      <c r="A6399" s="50">
        <v>45193</v>
      </c>
      <c r="B6399" s="49" t="s">
        <v>43</v>
      </c>
    </row>
    <row r="6400" spans="1:2">
      <c r="A6400" s="50">
        <v>45193</v>
      </c>
      <c r="B6400" s="49" t="s">
        <v>44</v>
      </c>
    </row>
    <row r="6401" spans="1:2">
      <c r="A6401" s="50">
        <v>45193</v>
      </c>
      <c r="B6401" s="49" t="s">
        <v>45</v>
      </c>
    </row>
    <row r="6402" spans="1:2">
      <c r="A6402" s="50">
        <v>45193</v>
      </c>
      <c r="B6402" s="49" t="s">
        <v>46</v>
      </c>
    </row>
    <row r="6403" spans="1:2">
      <c r="A6403" s="50">
        <v>45193</v>
      </c>
      <c r="B6403" s="49" t="s">
        <v>47</v>
      </c>
    </row>
    <row r="6404" spans="1:2">
      <c r="A6404" s="50">
        <v>45193</v>
      </c>
      <c r="B6404" s="49" t="s">
        <v>48</v>
      </c>
    </row>
    <row r="6405" spans="1:2">
      <c r="A6405" s="50">
        <v>45193</v>
      </c>
      <c r="B6405" s="49" t="s">
        <v>49</v>
      </c>
    </row>
    <row r="6406" spans="1:2">
      <c r="A6406" s="50">
        <v>45193</v>
      </c>
      <c r="B6406" s="49" t="s">
        <v>50</v>
      </c>
    </row>
    <row r="6407" spans="1:2">
      <c r="A6407" s="50">
        <v>45193</v>
      </c>
      <c r="B6407" s="49" t="s">
        <v>51</v>
      </c>
    </row>
    <row r="6408" spans="1:2">
      <c r="A6408" s="50">
        <v>45193</v>
      </c>
      <c r="B6408" s="49" t="s">
        <v>52</v>
      </c>
    </row>
    <row r="6409" spans="1:2">
      <c r="A6409" s="50">
        <v>45193</v>
      </c>
      <c r="B6409" s="49" t="s">
        <v>53</v>
      </c>
    </row>
    <row r="6410" spans="1:2">
      <c r="A6410" s="50">
        <v>45194</v>
      </c>
      <c r="B6410" s="49" t="s">
        <v>30</v>
      </c>
    </row>
    <row r="6411" spans="1:2">
      <c r="A6411" s="50">
        <v>45194</v>
      </c>
      <c r="B6411" s="49" t="s">
        <v>31</v>
      </c>
    </row>
    <row r="6412" spans="1:2">
      <c r="A6412" s="50">
        <v>45194</v>
      </c>
      <c r="B6412" s="49" t="s">
        <v>32</v>
      </c>
    </row>
    <row r="6413" spans="1:2">
      <c r="A6413" s="50">
        <v>45194</v>
      </c>
      <c r="B6413" s="49" t="s">
        <v>33</v>
      </c>
    </row>
    <row r="6414" spans="1:2">
      <c r="A6414" s="50">
        <v>45194</v>
      </c>
      <c r="B6414" s="49" t="s">
        <v>34</v>
      </c>
    </row>
    <row r="6415" spans="1:2">
      <c r="A6415" s="50">
        <v>45194</v>
      </c>
      <c r="B6415" s="49" t="s">
        <v>35</v>
      </c>
    </row>
    <row r="6416" spans="1:2">
      <c r="A6416" s="50">
        <v>45194</v>
      </c>
      <c r="B6416" s="49" t="s">
        <v>36</v>
      </c>
    </row>
    <row r="6417" spans="1:2">
      <c r="A6417" s="50">
        <v>45194</v>
      </c>
      <c r="B6417" s="49" t="s">
        <v>37</v>
      </c>
    </row>
    <row r="6418" spans="1:2">
      <c r="A6418" s="50">
        <v>45194</v>
      </c>
      <c r="B6418" s="49" t="s">
        <v>38</v>
      </c>
    </row>
    <row r="6419" spans="1:2">
      <c r="A6419" s="50">
        <v>45194</v>
      </c>
      <c r="B6419" s="49" t="s">
        <v>39</v>
      </c>
    </row>
    <row r="6420" spans="1:2">
      <c r="A6420" s="50">
        <v>45194</v>
      </c>
      <c r="B6420" s="49" t="s">
        <v>40</v>
      </c>
    </row>
    <row r="6421" spans="1:2">
      <c r="A6421" s="50">
        <v>45194</v>
      </c>
      <c r="B6421" s="49" t="s">
        <v>41</v>
      </c>
    </row>
    <row r="6422" spans="1:2">
      <c r="A6422" s="50">
        <v>45194</v>
      </c>
      <c r="B6422" s="49" t="s">
        <v>42</v>
      </c>
    </row>
    <row r="6423" spans="1:2">
      <c r="A6423" s="50">
        <v>45194</v>
      </c>
      <c r="B6423" s="49" t="s">
        <v>43</v>
      </c>
    </row>
    <row r="6424" spans="1:2">
      <c r="A6424" s="50">
        <v>45194</v>
      </c>
      <c r="B6424" s="49" t="s">
        <v>44</v>
      </c>
    </row>
    <row r="6425" spans="1:2">
      <c r="A6425" s="50">
        <v>45194</v>
      </c>
      <c r="B6425" s="49" t="s">
        <v>45</v>
      </c>
    </row>
    <row r="6426" spans="1:2">
      <c r="A6426" s="50">
        <v>45194</v>
      </c>
      <c r="B6426" s="49" t="s">
        <v>46</v>
      </c>
    </row>
    <row r="6427" spans="1:2">
      <c r="A6427" s="50">
        <v>45194</v>
      </c>
      <c r="B6427" s="49" t="s">
        <v>47</v>
      </c>
    </row>
    <row r="6428" spans="1:2">
      <c r="A6428" s="50">
        <v>45194</v>
      </c>
      <c r="B6428" s="49" t="s">
        <v>48</v>
      </c>
    </row>
    <row r="6429" spans="1:2">
      <c r="A6429" s="50">
        <v>45194</v>
      </c>
      <c r="B6429" s="49" t="s">
        <v>49</v>
      </c>
    </row>
    <row r="6430" spans="1:2">
      <c r="A6430" s="50">
        <v>45194</v>
      </c>
      <c r="B6430" s="49" t="s">
        <v>50</v>
      </c>
    </row>
    <row r="6431" spans="1:2">
      <c r="A6431" s="50">
        <v>45194</v>
      </c>
      <c r="B6431" s="49" t="s">
        <v>51</v>
      </c>
    </row>
    <row r="6432" spans="1:2">
      <c r="A6432" s="50">
        <v>45194</v>
      </c>
      <c r="B6432" s="49" t="s">
        <v>52</v>
      </c>
    </row>
    <row r="6433" spans="1:2">
      <c r="A6433" s="50">
        <v>45194</v>
      </c>
      <c r="B6433" s="49" t="s">
        <v>53</v>
      </c>
    </row>
    <row r="6434" spans="1:2">
      <c r="A6434" s="50">
        <v>45195</v>
      </c>
      <c r="B6434" s="49" t="s">
        <v>30</v>
      </c>
    </row>
    <row r="6435" spans="1:2">
      <c r="A6435" s="50">
        <v>45195</v>
      </c>
      <c r="B6435" s="49" t="s">
        <v>31</v>
      </c>
    </row>
    <row r="6436" spans="1:2">
      <c r="A6436" s="50">
        <v>45195</v>
      </c>
      <c r="B6436" s="49" t="s">
        <v>32</v>
      </c>
    </row>
    <row r="6437" spans="1:2">
      <c r="A6437" s="50">
        <v>45195</v>
      </c>
      <c r="B6437" s="49" t="s">
        <v>33</v>
      </c>
    </row>
    <row r="6438" spans="1:2">
      <c r="A6438" s="50">
        <v>45195</v>
      </c>
      <c r="B6438" s="49" t="s">
        <v>34</v>
      </c>
    </row>
    <row r="6439" spans="1:2">
      <c r="A6439" s="50">
        <v>45195</v>
      </c>
      <c r="B6439" s="49" t="s">
        <v>35</v>
      </c>
    </row>
    <row r="6440" spans="1:2">
      <c r="A6440" s="50">
        <v>45195</v>
      </c>
      <c r="B6440" s="49" t="s">
        <v>36</v>
      </c>
    </row>
    <row r="6441" spans="1:2">
      <c r="A6441" s="50">
        <v>45195</v>
      </c>
      <c r="B6441" s="49" t="s">
        <v>37</v>
      </c>
    </row>
    <row r="6442" spans="1:2">
      <c r="A6442" s="50">
        <v>45195</v>
      </c>
      <c r="B6442" s="49" t="s">
        <v>38</v>
      </c>
    </row>
    <row r="6443" spans="1:2">
      <c r="A6443" s="50">
        <v>45195</v>
      </c>
      <c r="B6443" s="49" t="s">
        <v>39</v>
      </c>
    </row>
    <row r="6444" spans="1:2">
      <c r="A6444" s="50">
        <v>45195</v>
      </c>
      <c r="B6444" s="49" t="s">
        <v>40</v>
      </c>
    </row>
    <row r="6445" spans="1:2">
      <c r="A6445" s="50">
        <v>45195</v>
      </c>
      <c r="B6445" s="49" t="s">
        <v>41</v>
      </c>
    </row>
    <row r="6446" spans="1:2">
      <c r="A6446" s="50">
        <v>45195</v>
      </c>
      <c r="B6446" s="49" t="s">
        <v>42</v>
      </c>
    </row>
    <row r="6447" spans="1:2">
      <c r="A6447" s="50">
        <v>45195</v>
      </c>
      <c r="B6447" s="49" t="s">
        <v>43</v>
      </c>
    </row>
    <row r="6448" spans="1:2">
      <c r="A6448" s="50">
        <v>45195</v>
      </c>
      <c r="B6448" s="49" t="s">
        <v>44</v>
      </c>
    </row>
    <row r="6449" spans="1:2">
      <c r="A6449" s="50">
        <v>45195</v>
      </c>
      <c r="B6449" s="49" t="s">
        <v>45</v>
      </c>
    </row>
    <row r="6450" spans="1:2">
      <c r="A6450" s="50">
        <v>45195</v>
      </c>
      <c r="B6450" s="49" t="s">
        <v>46</v>
      </c>
    </row>
    <row r="6451" spans="1:2">
      <c r="A6451" s="50">
        <v>45195</v>
      </c>
      <c r="B6451" s="49" t="s">
        <v>47</v>
      </c>
    </row>
    <row r="6452" spans="1:2">
      <c r="A6452" s="50">
        <v>45195</v>
      </c>
      <c r="B6452" s="49" t="s">
        <v>48</v>
      </c>
    </row>
    <row r="6453" spans="1:2">
      <c r="A6453" s="50">
        <v>45195</v>
      </c>
      <c r="B6453" s="49" t="s">
        <v>49</v>
      </c>
    </row>
    <row r="6454" spans="1:2">
      <c r="A6454" s="50">
        <v>45195</v>
      </c>
      <c r="B6454" s="49" t="s">
        <v>50</v>
      </c>
    </row>
    <row r="6455" spans="1:2">
      <c r="A6455" s="50">
        <v>45195</v>
      </c>
      <c r="B6455" s="49" t="s">
        <v>51</v>
      </c>
    </row>
    <row r="6456" spans="1:2">
      <c r="A6456" s="50">
        <v>45195</v>
      </c>
      <c r="B6456" s="49" t="s">
        <v>52</v>
      </c>
    </row>
    <row r="6457" spans="1:2">
      <c r="A6457" s="50">
        <v>45195</v>
      </c>
      <c r="B6457" s="49" t="s">
        <v>53</v>
      </c>
    </row>
    <row r="6458" spans="1:2">
      <c r="A6458" s="50">
        <v>45196</v>
      </c>
      <c r="B6458" s="49" t="s">
        <v>30</v>
      </c>
    </row>
    <row r="6459" spans="1:2">
      <c r="A6459" s="50">
        <v>45196</v>
      </c>
      <c r="B6459" s="49" t="s">
        <v>31</v>
      </c>
    </row>
    <row r="6460" spans="1:2">
      <c r="A6460" s="50">
        <v>45196</v>
      </c>
      <c r="B6460" s="49" t="s">
        <v>32</v>
      </c>
    </row>
    <row r="6461" spans="1:2">
      <c r="A6461" s="50">
        <v>45196</v>
      </c>
      <c r="B6461" s="49" t="s">
        <v>33</v>
      </c>
    </row>
    <row r="6462" spans="1:2">
      <c r="A6462" s="50">
        <v>45196</v>
      </c>
      <c r="B6462" s="49" t="s">
        <v>34</v>
      </c>
    </row>
    <row r="6463" spans="1:2">
      <c r="A6463" s="50">
        <v>45196</v>
      </c>
      <c r="B6463" s="49" t="s">
        <v>35</v>
      </c>
    </row>
    <row r="6464" spans="1:2">
      <c r="A6464" s="50">
        <v>45196</v>
      </c>
      <c r="B6464" s="49" t="s">
        <v>36</v>
      </c>
    </row>
    <row r="6465" spans="1:2">
      <c r="A6465" s="50">
        <v>45196</v>
      </c>
      <c r="B6465" s="49" t="s">
        <v>37</v>
      </c>
    </row>
    <row r="6466" spans="1:2">
      <c r="A6466" s="50">
        <v>45196</v>
      </c>
      <c r="B6466" s="49" t="s">
        <v>38</v>
      </c>
    </row>
    <row r="6467" spans="1:2">
      <c r="A6467" s="50">
        <v>45196</v>
      </c>
      <c r="B6467" s="49" t="s">
        <v>39</v>
      </c>
    </row>
    <row r="6468" spans="1:2">
      <c r="A6468" s="50">
        <v>45196</v>
      </c>
      <c r="B6468" s="49" t="s">
        <v>40</v>
      </c>
    </row>
    <row r="6469" spans="1:2">
      <c r="A6469" s="50">
        <v>45196</v>
      </c>
      <c r="B6469" s="49" t="s">
        <v>41</v>
      </c>
    </row>
    <row r="6470" spans="1:2">
      <c r="A6470" s="50">
        <v>45196</v>
      </c>
      <c r="B6470" s="49" t="s">
        <v>42</v>
      </c>
    </row>
    <row r="6471" spans="1:2">
      <c r="A6471" s="50">
        <v>45196</v>
      </c>
      <c r="B6471" s="49" t="s">
        <v>43</v>
      </c>
    </row>
    <row r="6472" spans="1:2">
      <c r="A6472" s="50">
        <v>45196</v>
      </c>
      <c r="B6472" s="49" t="s">
        <v>44</v>
      </c>
    </row>
    <row r="6473" spans="1:2">
      <c r="A6473" s="50">
        <v>45196</v>
      </c>
      <c r="B6473" s="49" t="s">
        <v>45</v>
      </c>
    </row>
    <row r="6474" spans="1:2">
      <c r="A6474" s="50">
        <v>45196</v>
      </c>
      <c r="B6474" s="49" t="s">
        <v>46</v>
      </c>
    </row>
    <row r="6475" spans="1:2">
      <c r="A6475" s="50">
        <v>45196</v>
      </c>
      <c r="B6475" s="49" t="s">
        <v>47</v>
      </c>
    </row>
    <row r="6476" spans="1:2">
      <c r="A6476" s="50">
        <v>45196</v>
      </c>
      <c r="B6476" s="49" t="s">
        <v>48</v>
      </c>
    </row>
    <row r="6477" spans="1:2">
      <c r="A6477" s="50">
        <v>45196</v>
      </c>
      <c r="B6477" s="49" t="s">
        <v>49</v>
      </c>
    </row>
    <row r="6478" spans="1:2">
      <c r="A6478" s="50">
        <v>45196</v>
      </c>
      <c r="B6478" s="49" t="s">
        <v>50</v>
      </c>
    </row>
    <row r="6479" spans="1:2">
      <c r="A6479" s="50">
        <v>45196</v>
      </c>
      <c r="B6479" s="49" t="s">
        <v>51</v>
      </c>
    </row>
    <row r="6480" spans="1:2">
      <c r="A6480" s="50">
        <v>45196</v>
      </c>
      <c r="B6480" s="49" t="s">
        <v>52</v>
      </c>
    </row>
    <row r="6481" spans="1:2">
      <c r="A6481" s="50">
        <v>45196</v>
      </c>
      <c r="B6481" s="49" t="s">
        <v>53</v>
      </c>
    </row>
    <row r="6482" spans="1:2">
      <c r="A6482" s="50">
        <v>45197</v>
      </c>
      <c r="B6482" s="49" t="s">
        <v>30</v>
      </c>
    </row>
    <row r="6483" spans="1:2">
      <c r="A6483" s="50">
        <v>45197</v>
      </c>
      <c r="B6483" s="49" t="s">
        <v>31</v>
      </c>
    </row>
    <row r="6484" spans="1:2">
      <c r="A6484" s="50">
        <v>45197</v>
      </c>
      <c r="B6484" s="49" t="s">
        <v>32</v>
      </c>
    </row>
    <row r="6485" spans="1:2">
      <c r="A6485" s="50">
        <v>45197</v>
      </c>
      <c r="B6485" s="49" t="s">
        <v>33</v>
      </c>
    </row>
    <row r="6486" spans="1:2">
      <c r="A6486" s="50">
        <v>45197</v>
      </c>
      <c r="B6486" s="49" t="s">
        <v>34</v>
      </c>
    </row>
    <row r="6487" spans="1:2">
      <c r="A6487" s="50">
        <v>45197</v>
      </c>
      <c r="B6487" s="49" t="s">
        <v>35</v>
      </c>
    </row>
    <row r="6488" spans="1:2">
      <c r="A6488" s="50">
        <v>45197</v>
      </c>
      <c r="B6488" s="49" t="s">
        <v>36</v>
      </c>
    </row>
    <row r="6489" spans="1:2">
      <c r="A6489" s="50">
        <v>45197</v>
      </c>
      <c r="B6489" s="49" t="s">
        <v>37</v>
      </c>
    </row>
    <row r="6490" spans="1:2">
      <c r="A6490" s="50">
        <v>45197</v>
      </c>
      <c r="B6490" s="49" t="s">
        <v>38</v>
      </c>
    </row>
    <row r="6491" spans="1:2">
      <c r="A6491" s="50">
        <v>45197</v>
      </c>
      <c r="B6491" s="49" t="s">
        <v>39</v>
      </c>
    </row>
    <row r="6492" spans="1:2">
      <c r="A6492" s="50">
        <v>45197</v>
      </c>
      <c r="B6492" s="49" t="s">
        <v>40</v>
      </c>
    </row>
    <row r="6493" spans="1:2">
      <c r="A6493" s="50">
        <v>45197</v>
      </c>
      <c r="B6493" s="49" t="s">
        <v>41</v>
      </c>
    </row>
    <row r="6494" spans="1:2">
      <c r="A6494" s="50">
        <v>45197</v>
      </c>
      <c r="B6494" s="49" t="s">
        <v>42</v>
      </c>
    </row>
    <row r="6495" spans="1:2">
      <c r="A6495" s="50">
        <v>45197</v>
      </c>
      <c r="B6495" s="49" t="s">
        <v>43</v>
      </c>
    </row>
    <row r="6496" spans="1:2">
      <c r="A6496" s="50">
        <v>45197</v>
      </c>
      <c r="B6496" s="49" t="s">
        <v>44</v>
      </c>
    </row>
    <row r="6497" spans="1:2">
      <c r="A6497" s="50">
        <v>45197</v>
      </c>
      <c r="B6497" s="49" t="s">
        <v>45</v>
      </c>
    </row>
    <row r="6498" spans="1:2">
      <c r="A6498" s="50">
        <v>45197</v>
      </c>
      <c r="B6498" s="49" t="s">
        <v>46</v>
      </c>
    </row>
    <row r="6499" spans="1:2">
      <c r="A6499" s="50">
        <v>45197</v>
      </c>
      <c r="B6499" s="49" t="s">
        <v>47</v>
      </c>
    </row>
    <row r="6500" spans="1:2">
      <c r="A6500" s="50">
        <v>45197</v>
      </c>
      <c r="B6500" s="49" t="s">
        <v>48</v>
      </c>
    </row>
    <row r="6501" spans="1:2">
      <c r="A6501" s="50">
        <v>45197</v>
      </c>
      <c r="B6501" s="49" t="s">
        <v>49</v>
      </c>
    </row>
    <row r="6502" spans="1:2">
      <c r="A6502" s="50">
        <v>45197</v>
      </c>
      <c r="B6502" s="49" t="s">
        <v>50</v>
      </c>
    </row>
    <row r="6503" spans="1:2">
      <c r="A6503" s="50">
        <v>45197</v>
      </c>
      <c r="B6503" s="49" t="s">
        <v>51</v>
      </c>
    </row>
    <row r="6504" spans="1:2">
      <c r="A6504" s="50">
        <v>45197</v>
      </c>
      <c r="B6504" s="49" t="s">
        <v>52</v>
      </c>
    </row>
    <row r="6505" spans="1:2">
      <c r="A6505" s="50">
        <v>45197</v>
      </c>
      <c r="B6505" s="49" t="s">
        <v>53</v>
      </c>
    </row>
    <row r="6506" spans="1:2">
      <c r="A6506" s="50">
        <v>45198</v>
      </c>
      <c r="B6506" s="49" t="s">
        <v>30</v>
      </c>
    </row>
    <row r="6507" spans="1:2">
      <c r="A6507" s="50">
        <v>45198</v>
      </c>
      <c r="B6507" s="49" t="s">
        <v>31</v>
      </c>
    </row>
    <row r="6508" spans="1:2">
      <c r="A6508" s="50">
        <v>45198</v>
      </c>
      <c r="B6508" s="49" t="s">
        <v>32</v>
      </c>
    </row>
    <row r="6509" spans="1:2">
      <c r="A6509" s="50">
        <v>45198</v>
      </c>
      <c r="B6509" s="49" t="s">
        <v>33</v>
      </c>
    </row>
    <row r="6510" spans="1:2">
      <c r="A6510" s="50">
        <v>45198</v>
      </c>
      <c r="B6510" s="49" t="s">
        <v>34</v>
      </c>
    </row>
    <row r="6511" spans="1:2">
      <c r="A6511" s="50">
        <v>45198</v>
      </c>
      <c r="B6511" s="49" t="s">
        <v>35</v>
      </c>
    </row>
    <row r="6512" spans="1:2">
      <c r="A6512" s="50">
        <v>45198</v>
      </c>
      <c r="B6512" s="49" t="s">
        <v>36</v>
      </c>
    </row>
    <row r="6513" spans="1:2">
      <c r="A6513" s="50">
        <v>45198</v>
      </c>
      <c r="B6513" s="49" t="s">
        <v>37</v>
      </c>
    </row>
    <row r="6514" spans="1:2">
      <c r="A6514" s="50">
        <v>45198</v>
      </c>
      <c r="B6514" s="49" t="s">
        <v>38</v>
      </c>
    </row>
    <row r="6515" spans="1:2">
      <c r="A6515" s="50">
        <v>45198</v>
      </c>
      <c r="B6515" s="49" t="s">
        <v>39</v>
      </c>
    </row>
    <row r="6516" spans="1:2">
      <c r="A6516" s="50">
        <v>45198</v>
      </c>
      <c r="B6516" s="49" t="s">
        <v>40</v>
      </c>
    </row>
    <row r="6517" spans="1:2">
      <c r="A6517" s="50">
        <v>45198</v>
      </c>
      <c r="B6517" s="49" t="s">
        <v>41</v>
      </c>
    </row>
    <row r="6518" spans="1:2">
      <c r="A6518" s="50">
        <v>45198</v>
      </c>
      <c r="B6518" s="49" t="s">
        <v>42</v>
      </c>
    </row>
    <row r="6519" spans="1:2">
      <c r="A6519" s="50">
        <v>45198</v>
      </c>
      <c r="B6519" s="49" t="s">
        <v>43</v>
      </c>
    </row>
    <row r="6520" spans="1:2">
      <c r="A6520" s="50">
        <v>45198</v>
      </c>
      <c r="B6520" s="49" t="s">
        <v>44</v>
      </c>
    </row>
    <row r="6521" spans="1:2">
      <c r="A6521" s="50">
        <v>45198</v>
      </c>
      <c r="B6521" s="49" t="s">
        <v>45</v>
      </c>
    </row>
    <row r="6522" spans="1:2">
      <c r="A6522" s="50">
        <v>45198</v>
      </c>
      <c r="B6522" s="49" t="s">
        <v>46</v>
      </c>
    </row>
    <row r="6523" spans="1:2">
      <c r="A6523" s="50">
        <v>45198</v>
      </c>
      <c r="B6523" s="49" t="s">
        <v>47</v>
      </c>
    </row>
    <row r="6524" spans="1:2">
      <c r="A6524" s="50">
        <v>45198</v>
      </c>
      <c r="B6524" s="49" t="s">
        <v>48</v>
      </c>
    </row>
    <row r="6525" spans="1:2">
      <c r="A6525" s="50">
        <v>45198</v>
      </c>
      <c r="B6525" s="49" t="s">
        <v>49</v>
      </c>
    </row>
    <row r="6526" spans="1:2">
      <c r="A6526" s="50">
        <v>45198</v>
      </c>
      <c r="B6526" s="49" t="s">
        <v>50</v>
      </c>
    </row>
    <row r="6527" spans="1:2">
      <c r="A6527" s="50">
        <v>45198</v>
      </c>
      <c r="B6527" s="49" t="s">
        <v>51</v>
      </c>
    </row>
    <row r="6528" spans="1:2">
      <c r="A6528" s="50">
        <v>45198</v>
      </c>
      <c r="B6528" s="49" t="s">
        <v>52</v>
      </c>
    </row>
    <row r="6529" spans="1:5">
      <c r="A6529" s="50">
        <v>45198</v>
      </c>
      <c r="B6529" s="49" t="s">
        <v>53</v>
      </c>
    </row>
    <row r="6530" spans="1:5">
      <c r="A6530" s="50">
        <v>45199</v>
      </c>
      <c r="B6530" s="49" t="s">
        <v>30</v>
      </c>
    </row>
    <row r="6531" spans="1:5">
      <c r="A6531" s="50">
        <v>45199</v>
      </c>
      <c r="B6531" s="49" t="s">
        <v>31</v>
      </c>
    </row>
    <row r="6532" spans="1:5">
      <c r="A6532" s="50">
        <v>45199</v>
      </c>
      <c r="B6532" s="49" t="s">
        <v>32</v>
      </c>
    </row>
    <row r="6533" spans="1:5">
      <c r="A6533" s="50">
        <v>45199</v>
      </c>
      <c r="B6533" s="49" t="s">
        <v>33</v>
      </c>
    </row>
    <row r="6534" spans="1:5">
      <c r="A6534" s="50">
        <v>45199</v>
      </c>
      <c r="B6534" s="49" t="s">
        <v>34</v>
      </c>
    </row>
    <row r="6535" spans="1:5">
      <c r="A6535" s="50">
        <v>45199</v>
      </c>
      <c r="B6535" s="49" t="s">
        <v>35</v>
      </c>
    </row>
    <row r="6536" spans="1:5">
      <c r="A6536" s="50">
        <v>45199</v>
      </c>
      <c r="B6536" s="49" t="s">
        <v>36</v>
      </c>
    </row>
    <row r="6537" spans="1:5">
      <c r="A6537" s="50">
        <v>45199</v>
      </c>
      <c r="B6537" s="49" t="s">
        <v>37</v>
      </c>
    </row>
    <row r="6538" spans="1:5">
      <c r="A6538" s="50">
        <v>45199</v>
      </c>
      <c r="B6538" s="49" t="s">
        <v>38</v>
      </c>
    </row>
    <row r="6539" spans="1:5">
      <c r="A6539" s="50">
        <v>45199</v>
      </c>
      <c r="B6539" s="49" t="s">
        <v>39</v>
      </c>
    </row>
    <row r="6540" spans="1:5">
      <c r="A6540" s="50">
        <v>45199</v>
      </c>
      <c r="B6540" s="49" t="s">
        <v>40</v>
      </c>
    </row>
    <row r="6541" spans="1:5">
      <c r="A6541" s="50">
        <v>45199</v>
      </c>
      <c r="B6541" s="49" t="s">
        <v>41</v>
      </c>
      <c r="E6541" s="51"/>
    </row>
    <row r="6542" spans="1:5">
      <c r="A6542" s="50">
        <v>45199</v>
      </c>
      <c r="B6542" s="49" t="s">
        <v>42</v>
      </c>
      <c r="E6542" s="51"/>
    </row>
    <row r="6543" spans="1:5">
      <c r="A6543" s="50">
        <v>45199</v>
      </c>
      <c r="B6543" s="49" t="s">
        <v>43</v>
      </c>
      <c r="E6543" s="51"/>
    </row>
    <row r="6544" spans="1:5">
      <c r="A6544" s="50">
        <v>45199</v>
      </c>
      <c r="B6544" s="49" t="s">
        <v>44</v>
      </c>
      <c r="E6544" s="51"/>
    </row>
    <row r="6545" spans="1:5">
      <c r="A6545" s="50">
        <v>45199</v>
      </c>
      <c r="B6545" s="49" t="s">
        <v>45</v>
      </c>
      <c r="E6545" s="51"/>
    </row>
    <row r="6546" spans="1:5">
      <c r="A6546" s="50">
        <v>45199</v>
      </c>
      <c r="B6546" s="49" t="s">
        <v>46</v>
      </c>
      <c r="E6546" s="51"/>
    </row>
    <row r="6547" spans="1:5">
      <c r="A6547" s="50">
        <v>45199</v>
      </c>
      <c r="B6547" s="49" t="s">
        <v>47</v>
      </c>
      <c r="E6547" s="51"/>
    </row>
    <row r="6548" spans="1:5">
      <c r="A6548" s="50">
        <v>45199</v>
      </c>
      <c r="B6548" s="49" t="s">
        <v>48</v>
      </c>
      <c r="E6548" s="51"/>
    </row>
    <row r="6549" spans="1:5">
      <c r="A6549" s="50">
        <v>45199</v>
      </c>
      <c r="B6549" s="49" t="s">
        <v>49</v>
      </c>
      <c r="E6549" s="51"/>
    </row>
    <row r="6550" spans="1:5">
      <c r="A6550" s="50">
        <v>45199</v>
      </c>
      <c r="B6550" s="49" t="s">
        <v>50</v>
      </c>
      <c r="E6550" s="51"/>
    </row>
    <row r="6551" spans="1:5">
      <c r="A6551" s="50">
        <v>45199</v>
      </c>
      <c r="B6551" s="49" t="s">
        <v>51</v>
      </c>
      <c r="E6551" s="51"/>
    </row>
    <row r="6552" spans="1:5">
      <c r="A6552" s="50">
        <v>45199</v>
      </c>
      <c r="B6552" s="49" t="s">
        <v>52</v>
      </c>
      <c r="E6552" s="51"/>
    </row>
    <row r="6553" spans="1:5">
      <c r="A6553" s="50">
        <v>45199</v>
      </c>
      <c r="B6553" s="49" t="s">
        <v>53</v>
      </c>
      <c r="E6553" s="51"/>
    </row>
    <row r="6554" spans="1:5">
      <c r="A6554" s="50">
        <v>45200</v>
      </c>
      <c r="B6554" s="49" t="s">
        <v>30</v>
      </c>
      <c r="E6554" s="51"/>
    </row>
    <row r="6555" spans="1:5">
      <c r="A6555" s="50">
        <v>45200</v>
      </c>
      <c r="B6555" s="49" t="s">
        <v>31</v>
      </c>
      <c r="E6555" s="51"/>
    </row>
    <row r="6556" spans="1:5">
      <c r="A6556" s="50">
        <v>45200</v>
      </c>
      <c r="B6556" s="49" t="s">
        <v>32</v>
      </c>
      <c r="E6556" s="51"/>
    </row>
    <row r="6557" spans="1:5">
      <c r="A6557" s="50">
        <v>45200</v>
      </c>
      <c r="B6557" s="49" t="s">
        <v>33</v>
      </c>
      <c r="E6557" s="51"/>
    </row>
    <row r="6558" spans="1:5">
      <c r="A6558" s="50">
        <v>45200</v>
      </c>
      <c r="B6558" s="49" t="s">
        <v>34</v>
      </c>
      <c r="E6558" s="51"/>
    </row>
    <row r="6559" spans="1:5">
      <c r="A6559" s="50">
        <v>45200</v>
      </c>
      <c r="B6559" s="49" t="s">
        <v>35</v>
      </c>
      <c r="E6559" s="51"/>
    </row>
    <row r="6560" spans="1:5">
      <c r="A6560" s="50">
        <v>45200</v>
      </c>
      <c r="B6560" s="49" t="s">
        <v>36</v>
      </c>
      <c r="E6560" s="51"/>
    </row>
    <row r="6561" spans="1:5">
      <c r="A6561" s="50">
        <v>45200</v>
      </c>
      <c r="B6561" s="49" t="s">
        <v>37</v>
      </c>
      <c r="E6561" s="51"/>
    </row>
    <row r="6562" spans="1:5">
      <c r="A6562" s="50">
        <v>45200</v>
      </c>
      <c r="B6562" s="49" t="s">
        <v>38</v>
      </c>
      <c r="E6562" s="51"/>
    </row>
    <row r="6563" spans="1:5">
      <c r="A6563" s="50">
        <v>45200</v>
      </c>
      <c r="B6563" s="49" t="s">
        <v>39</v>
      </c>
      <c r="E6563" s="51"/>
    </row>
    <row r="6564" spans="1:5">
      <c r="A6564" s="50">
        <v>45200</v>
      </c>
      <c r="B6564" s="49" t="s">
        <v>40</v>
      </c>
      <c r="E6564" s="51"/>
    </row>
    <row r="6565" spans="1:5">
      <c r="A6565" s="50">
        <v>45200</v>
      </c>
      <c r="B6565" s="49" t="s">
        <v>41</v>
      </c>
    </row>
    <row r="6566" spans="1:5">
      <c r="A6566" s="50">
        <v>45200</v>
      </c>
      <c r="B6566" s="49" t="s">
        <v>42</v>
      </c>
    </row>
    <row r="6567" spans="1:5">
      <c r="A6567" s="50">
        <v>45200</v>
      </c>
      <c r="B6567" s="49" t="s">
        <v>43</v>
      </c>
    </row>
    <row r="6568" spans="1:5">
      <c r="A6568" s="50">
        <v>45200</v>
      </c>
      <c r="B6568" s="49" t="s">
        <v>44</v>
      </c>
    </row>
    <row r="6569" spans="1:5">
      <c r="A6569" s="50">
        <v>45200</v>
      </c>
      <c r="B6569" s="49" t="s">
        <v>45</v>
      </c>
    </row>
    <row r="6570" spans="1:5">
      <c r="A6570" s="50">
        <v>45200</v>
      </c>
      <c r="B6570" s="49" t="s">
        <v>46</v>
      </c>
    </row>
    <row r="6571" spans="1:5">
      <c r="A6571" s="50">
        <v>45200</v>
      </c>
      <c r="B6571" s="49" t="s">
        <v>47</v>
      </c>
    </row>
    <row r="6572" spans="1:5">
      <c r="A6572" s="50">
        <v>45200</v>
      </c>
      <c r="B6572" s="49" t="s">
        <v>48</v>
      </c>
    </row>
    <row r="6573" spans="1:5">
      <c r="A6573" s="50">
        <v>45200</v>
      </c>
      <c r="B6573" s="49" t="s">
        <v>49</v>
      </c>
    </row>
    <row r="6574" spans="1:5">
      <c r="A6574" s="50">
        <v>45200</v>
      </c>
      <c r="B6574" s="49" t="s">
        <v>50</v>
      </c>
    </row>
    <row r="6575" spans="1:5">
      <c r="A6575" s="50">
        <v>45200</v>
      </c>
      <c r="B6575" s="49" t="s">
        <v>51</v>
      </c>
    </row>
    <row r="6576" spans="1:5">
      <c r="A6576" s="50">
        <v>45200</v>
      </c>
      <c r="B6576" s="49" t="s">
        <v>52</v>
      </c>
    </row>
    <row r="6577" spans="1:2">
      <c r="A6577" s="50">
        <v>45200</v>
      </c>
      <c r="B6577" s="49" t="s">
        <v>53</v>
      </c>
    </row>
    <row r="6578" spans="1:2">
      <c r="A6578" s="50">
        <v>45201</v>
      </c>
      <c r="B6578" s="49" t="s">
        <v>30</v>
      </c>
    </row>
    <row r="6579" spans="1:2">
      <c r="A6579" s="50">
        <v>45201</v>
      </c>
      <c r="B6579" s="49" t="s">
        <v>31</v>
      </c>
    </row>
    <row r="6580" spans="1:2">
      <c r="A6580" s="50">
        <v>45201</v>
      </c>
      <c r="B6580" s="49" t="s">
        <v>32</v>
      </c>
    </row>
    <row r="6581" spans="1:2">
      <c r="A6581" s="50">
        <v>45201</v>
      </c>
      <c r="B6581" s="49" t="s">
        <v>33</v>
      </c>
    </row>
    <row r="6582" spans="1:2">
      <c r="A6582" s="50">
        <v>45201</v>
      </c>
      <c r="B6582" s="49" t="s">
        <v>34</v>
      </c>
    </row>
    <row r="6583" spans="1:2">
      <c r="A6583" s="50">
        <v>45201</v>
      </c>
      <c r="B6583" s="49" t="s">
        <v>35</v>
      </c>
    </row>
    <row r="6584" spans="1:2">
      <c r="A6584" s="50">
        <v>45201</v>
      </c>
      <c r="B6584" s="49" t="s">
        <v>36</v>
      </c>
    </row>
    <row r="6585" spans="1:2">
      <c r="A6585" s="50">
        <v>45201</v>
      </c>
      <c r="B6585" s="49" t="s">
        <v>37</v>
      </c>
    </row>
    <row r="6586" spans="1:2">
      <c r="A6586" s="50">
        <v>45201</v>
      </c>
      <c r="B6586" s="49" t="s">
        <v>38</v>
      </c>
    </row>
    <row r="6587" spans="1:2">
      <c r="A6587" s="50">
        <v>45201</v>
      </c>
      <c r="B6587" s="49" t="s">
        <v>39</v>
      </c>
    </row>
    <row r="6588" spans="1:2">
      <c r="A6588" s="50">
        <v>45201</v>
      </c>
      <c r="B6588" s="49" t="s">
        <v>40</v>
      </c>
    </row>
    <row r="6589" spans="1:2">
      <c r="A6589" s="50">
        <v>45201</v>
      </c>
      <c r="B6589" s="49" t="s">
        <v>41</v>
      </c>
    </row>
    <row r="6590" spans="1:2">
      <c r="A6590" s="50">
        <v>45201</v>
      </c>
      <c r="B6590" s="49" t="s">
        <v>42</v>
      </c>
    </row>
    <row r="6591" spans="1:2">
      <c r="A6591" s="50">
        <v>45201</v>
      </c>
      <c r="B6591" s="49" t="s">
        <v>43</v>
      </c>
    </row>
    <row r="6592" spans="1:2">
      <c r="A6592" s="50">
        <v>45201</v>
      </c>
      <c r="B6592" s="49" t="s">
        <v>44</v>
      </c>
    </row>
    <row r="6593" spans="1:2">
      <c r="A6593" s="50">
        <v>45201</v>
      </c>
      <c r="B6593" s="49" t="s">
        <v>45</v>
      </c>
    </row>
    <row r="6594" spans="1:2">
      <c r="A6594" s="50">
        <v>45201</v>
      </c>
      <c r="B6594" s="49" t="s">
        <v>46</v>
      </c>
    </row>
    <row r="6595" spans="1:2">
      <c r="A6595" s="50">
        <v>45201</v>
      </c>
      <c r="B6595" s="49" t="s">
        <v>47</v>
      </c>
    </row>
    <row r="6596" spans="1:2">
      <c r="A6596" s="50">
        <v>45201</v>
      </c>
      <c r="B6596" s="49" t="s">
        <v>48</v>
      </c>
    </row>
    <row r="6597" spans="1:2">
      <c r="A6597" s="50">
        <v>45201</v>
      </c>
      <c r="B6597" s="49" t="s">
        <v>49</v>
      </c>
    </row>
    <row r="6598" spans="1:2">
      <c r="A6598" s="50">
        <v>45201</v>
      </c>
      <c r="B6598" s="49" t="s">
        <v>50</v>
      </c>
    </row>
    <row r="6599" spans="1:2">
      <c r="A6599" s="50">
        <v>45201</v>
      </c>
      <c r="B6599" s="49" t="s">
        <v>51</v>
      </c>
    </row>
    <row r="6600" spans="1:2">
      <c r="A6600" s="50">
        <v>45201</v>
      </c>
      <c r="B6600" s="49" t="s">
        <v>52</v>
      </c>
    </row>
    <row r="6601" spans="1:2">
      <c r="A6601" s="50">
        <v>45201</v>
      </c>
      <c r="B6601" s="49" t="s">
        <v>53</v>
      </c>
    </row>
    <row r="6602" spans="1:2">
      <c r="A6602" s="50">
        <v>45202</v>
      </c>
      <c r="B6602" s="49" t="s">
        <v>30</v>
      </c>
    </row>
    <row r="6603" spans="1:2">
      <c r="A6603" s="50">
        <v>45202</v>
      </c>
      <c r="B6603" s="49" t="s">
        <v>31</v>
      </c>
    </row>
    <row r="6604" spans="1:2">
      <c r="A6604" s="50">
        <v>45202</v>
      </c>
      <c r="B6604" s="49" t="s">
        <v>32</v>
      </c>
    </row>
    <row r="6605" spans="1:2">
      <c r="A6605" s="50">
        <v>45202</v>
      </c>
      <c r="B6605" s="49" t="s">
        <v>33</v>
      </c>
    </row>
    <row r="6606" spans="1:2">
      <c r="A6606" s="50">
        <v>45202</v>
      </c>
      <c r="B6606" s="49" t="s">
        <v>34</v>
      </c>
    </row>
    <row r="6607" spans="1:2">
      <c r="A6607" s="50">
        <v>45202</v>
      </c>
      <c r="B6607" s="49" t="s">
        <v>35</v>
      </c>
    </row>
    <row r="6608" spans="1:2">
      <c r="A6608" s="50">
        <v>45202</v>
      </c>
      <c r="B6608" s="49" t="s">
        <v>36</v>
      </c>
    </row>
    <row r="6609" spans="1:2">
      <c r="A6609" s="50">
        <v>45202</v>
      </c>
      <c r="B6609" s="49" t="s">
        <v>37</v>
      </c>
    </row>
    <row r="6610" spans="1:2">
      <c r="A6610" s="50">
        <v>45202</v>
      </c>
      <c r="B6610" s="49" t="s">
        <v>38</v>
      </c>
    </row>
    <row r="6611" spans="1:2">
      <c r="A6611" s="50">
        <v>45202</v>
      </c>
      <c r="B6611" s="49" t="s">
        <v>39</v>
      </c>
    </row>
    <row r="6612" spans="1:2">
      <c r="A6612" s="50">
        <v>45202</v>
      </c>
      <c r="B6612" s="49" t="s">
        <v>40</v>
      </c>
    </row>
    <row r="6613" spans="1:2">
      <c r="A6613" s="50">
        <v>45202</v>
      </c>
      <c r="B6613" s="49" t="s">
        <v>41</v>
      </c>
    </row>
    <row r="6614" spans="1:2">
      <c r="A6614" s="50">
        <v>45202</v>
      </c>
      <c r="B6614" s="49" t="s">
        <v>42</v>
      </c>
    </row>
    <row r="6615" spans="1:2">
      <c r="A6615" s="50">
        <v>45202</v>
      </c>
      <c r="B6615" s="49" t="s">
        <v>43</v>
      </c>
    </row>
    <row r="6616" spans="1:2">
      <c r="A6616" s="50">
        <v>45202</v>
      </c>
      <c r="B6616" s="49" t="s">
        <v>44</v>
      </c>
    </row>
    <row r="6617" spans="1:2">
      <c r="A6617" s="50">
        <v>45202</v>
      </c>
      <c r="B6617" s="49" t="s">
        <v>45</v>
      </c>
    </row>
    <row r="6618" spans="1:2">
      <c r="A6618" s="50">
        <v>45202</v>
      </c>
      <c r="B6618" s="49" t="s">
        <v>46</v>
      </c>
    </row>
    <row r="6619" spans="1:2">
      <c r="A6619" s="50">
        <v>45202</v>
      </c>
      <c r="B6619" s="49" t="s">
        <v>47</v>
      </c>
    </row>
    <row r="6620" spans="1:2">
      <c r="A6620" s="50">
        <v>45202</v>
      </c>
      <c r="B6620" s="49" t="s">
        <v>48</v>
      </c>
    </row>
    <row r="6621" spans="1:2">
      <c r="A6621" s="50">
        <v>45202</v>
      </c>
      <c r="B6621" s="49" t="s">
        <v>49</v>
      </c>
    </row>
    <row r="6622" spans="1:2">
      <c r="A6622" s="50">
        <v>45202</v>
      </c>
      <c r="B6622" s="49" t="s">
        <v>50</v>
      </c>
    </row>
    <row r="6623" spans="1:2">
      <c r="A6623" s="50">
        <v>45202</v>
      </c>
      <c r="B6623" s="49" t="s">
        <v>51</v>
      </c>
    </row>
    <row r="6624" spans="1:2">
      <c r="A6624" s="50">
        <v>45202</v>
      </c>
      <c r="B6624" s="49" t="s">
        <v>52</v>
      </c>
    </row>
    <row r="6625" spans="1:2">
      <c r="A6625" s="50">
        <v>45202</v>
      </c>
      <c r="B6625" s="49" t="s">
        <v>53</v>
      </c>
    </row>
    <row r="6626" spans="1:2">
      <c r="A6626" s="50">
        <v>45203</v>
      </c>
      <c r="B6626" s="49" t="s">
        <v>30</v>
      </c>
    </row>
    <row r="6627" spans="1:2">
      <c r="A6627" s="50">
        <v>45203</v>
      </c>
      <c r="B6627" s="49" t="s">
        <v>31</v>
      </c>
    </row>
    <row r="6628" spans="1:2">
      <c r="A6628" s="50">
        <v>45203</v>
      </c>
      <c r="B6628" s="49" t="s">
        <v>32</v>
      </c>
    </row>
    <row r="6629" spans="1:2">
      <c r="A6629" s="50">
        <v>45203</v>
      </c>
      <c r="B6629" s="49" t="s">
        <v>33</v>
      </c>
    </row>
    <row r="6630" spans="1:2">
      <c r="A6630" s="50">
        <v>45203</v>
      </c>
      <c r="B6630" s="49" t="s">
        <v>34</v>
      </c>
    </row>
    <row r="6631" spans="1:2">
      <c r="A6631" s="50">
        <v>45203</v>
      </c>
      <c r="B6631" s="49" t="s">
        <v>35</v>
      </c>
    </row>
    <row r="6632" spans="1:2">
      <c r="A6632" s="50">
        <v>45203</v>
      </c>
      <c r="B6632" s="49" t="s">
        <v>36</v>
      </c>
    </row>
    <row r="6633" spans="1:2">
      <c r="A6633" s="50">
        <v>45203</v>
      </c>
      <c r="B6633" s="49" t="s">
        <v>37</v>
      </c>
    </row>
    <row r="6634" spans="1:2">
      <c r="A6634" s="50">
        <v>45203</v>
      </c>
      <c r="B6634" s="49" t="s">
        <v>38</v>
      </c>
    </row>
    <row r="6635" spans="1:2">
      <c r="A6635" s="50">
        <v>45203</v>
      </c>
      <c r="B6635" s="49" t="s">
        <v>39</v>
      </c>
    </row>
    <row r="6636" spans="1:2">
      <c r="A6636" s="50">
        <v>45203</v>
      </c>
      <c r="B6636" s="49" t="s">
        <v>40</v>
      </c>
    </row>
    <row r="6637" spans="1:2">
      <c r="A6637" s="50">
        <v>45203</v>
      </c>
      <c r="B6637" s="49" t="s">
        <v>41</v>
      </c>
    </row>
    <row r="6638" spans="1:2">
      <c r="A6638" s="50">
        <v>45203</v>
      </c>
      <c r="B6638" s="49" t="s">
        <v>42</v>
      </c>
    </row>
    <row r="6639" spans="1:2">
      <c r="A6639" s="50">
        <v>45203</v>
      </c>
      <c r="B6639" s="49" t="s">
        <v>43</v>
      </c>
    </row>
    <row r="6640" spans="1:2">
      <c r="A6640" s="50">
        <v>45203</v>
      </c>
      <c r="B6640" s="49" t="s">
        <v>44</v>
      </c>
    </row>
    <row r="6641" spans="1:2">
      <c r="A6641" s="50">
        <v>45203</v>
      </c>
      <c r="B6641" s="49" t="s">
        <v>45</v>
      </c>
    </row>
    <row r="6642" spans="1:2">
      <c r="A6642" s="50">
        <v>45203</v>
      </c>
      <c r="B6642" s="49" t="s">
        <v>46</v>
      </c>
    </row>
    <row r="6643" spans="1:2">
      <c r="A6643" s="50">
        <v>45203</v>
      </c>
      <c r="B6643" s="49" t="s">
        <v>47</v>
      </c>
    </row>
    <row r="6644" spans="1:2">
      <c r="A6644" s="50">
        <v>45203</v>
      </c>
      <c r="B6644" s="49" t="s">
        <v>48</v>
      </c>
    </row>
    <row r="6645" spans="1:2">
      <c r="A6645" s="50">
        <v>45203</v>
      </c>
      <c r="B6645" s="49" t="s">
        <v>49</v>
      </c>
    </row>
    <row r="6646" spans="1:2">
      <c r="A6646" s="50">
        <v>45203</v>
      </c>
      <c r="B6646" s="49" t="s">
        <v>50</v>
      </c>
    </row>
    <row r="6647" spans="1:2">
      <c r="A6647" s="50">
        <v>45203</v>
      </c>
      <c r="B6647" s="49" t="s">
        <v>51</v>
      </c>
    </row>
    <row r="6648" spans="1:2">
      <c r="A6648" s="50">
        <v>45203</v>
      </c>
      <c r="B6648" s="49" t="s">
        <v>52</v>
      </c>
    </row>
    <row r="6649" spans="1:2">
      <c r="A6649" s="50">
        <v>45203</v>
      </c>
      <c r="B6649" s="49" t="s">
        <v>53</v>
      </c>
    </row>
    <row r="6650" spans="1:2">
      <c r="A6650" s="50">
        <v>45204</v>
      </c>
      <c r="B6650" s="49" t="s">
        <v>30</v>
      </c>
    </row>
    <row r="6651" spans="1:2">
      <c r="A6651" s="50">
        <v>45204</v>
      </c>
      <c r="B6651" s="49" t="s">
        <v>31</v>
      </c>
    </row>
    <row r="6652" spans="1:2">
      <c r="A6652" s="50">
        <v>45204</v>
      </c>
      <c r="B6652" s="49" t="s">
        <v>32</v>
      </c>
    </row>
    <row r="6653" spans="1:2">
      <c r="A6653" s="50">
        <v>45204</v>
      </c>
      <c r="B6653" s="49" t="s">
        <v>33</v>
      </c>
    </row>
    <row r="6654" spans="1:2">
      <c r="A6654" s="50">
        <v>45204</v>
      </c>
      <c r="B6654" s="49" t="s">
        <v>34</v>
      </c>
    </row>
    <row r="6655" spans="1:2">
      <c r="A6655" s="50">
        <v>45204</v>
      </c>
      <c r="B6655" s="49" t="s">
        <v>35</v>
      </c>
    </row>
    <row r="6656" spans="1:2">
      <c r="A6656" s="50">
        <v>45204</v>
      </c>
      <c r="B6656" s="49" t="s">
        <v>36</v>
      </c>
    </row>
    <row r="6657" spans="1:2">
      <c r="A6657" s="50">
        <v>45204</v>
      </c>
      <c r="B6657" s="49" t="s">
        <v>37</v>
      </c>
    </row>
    <row r="6658" spans="1:2">
      <c r="A6658" s="50">
        <v>45204</v>
      </c>
      <c r="B6658" s="49" t="s">
        <v>38</v>
      </c>
    </row>
    <row r="6659" spans="1:2">
      <c r="A6659" s="50">
        <v>45204</v>
      </c>
      <c r="B6659" s="49" t="s">
        <v>39</v>
      </c>
    </row>
    <row r="6660" spans="1:2">
      <c r="A6660" s="50">
        <v>45204</v>
      </c>
      <c r="B6660" s="49" t="s">
        <v>40</v>
      </c>
    </row>
    <row r="6661" spans="1:2">
      <c r="A6661" s="50">
        <v>45204</v>
      </c>
      <c r="B6661" s="49" t="s">
        <v>41</v>
      </c>
    </row>
    <row r="6662" spans="1:2">
      <c r="A6662" s="50">
        <v>45204</v>
      </c>
      <c r="B6662" s="49" t="s">
        <v>42</v>
      </c>
    </row>
    <row r="6663" spans="1:2">
      <c r="A6663" s="50">
        <v>45204</v>
      </c>
      <c r="B6663" s="49" t="s">
        <v>43</v>
      </c>
    </row>
    <row r="6664" spans="1:2">
      <c r="A6664" s="50">
        <v>45204</v>
      </c>
      <c r="B6664" s="49" t="s">
        <v>44</v>
      </c>
    </row>
    <row r="6665" spans="1:2">
      <c r="A6665" s="50">
        <v>45204</v>
      </c>
      <c r="B6665" s="49" t="s">
        <v>45</v>
      </c>
    </row>
    <row r="6666" spans="1:2">
      <c r="A6666" s="50">
        <v>45204</v>
      </c>
      <c r="B6666" s="49" t="s">
        <v>46</v>
      </c>
    </row>
    <row r="6667" spans="1:2">
      <c r="A6667" s="50">
        <v>45204</v>
      </c>
      <c r="B6667" s="49" t="s">
        <v>47</v>
      </c>
    </row>
    <row r="6668" spans="1:2">
      <c r="A6668" s="50">
        <v>45204</v>
      </c>
      <c r="B6668" s="49" t="s">
        <v>48</v>
      </c>
    </row>
    <row r="6669" spans="1:2">
      <c r="A6669" s="50">
        <v>45204</v>
      </c>
      <c r="B6669" s="49" t="s">
        <v>49</v>
      </c>
    </row>
    <row r="6670" spans="1:2">
      <c r="A6670" s="50">
        <v>45204</v>
      </c>
      <c r="B6670" s="49" t="s">
        <v>50</v>
      </c>
    </row>
    <row r="6671" spans="1:2">
      <c r="A6671" s="50">
        <v>45204</v>
      </c>
      <c r="B6671" s="49" t="s">
        <v>51</v>
      </c>
    </row>
    <row r="6672" spans="1:2">
      <c r="A6672" s="50">
        <v>45204</v>
      </c>
      <c r="B6672" s="49" t="s">
        <v>52</v>
      </c>
    </row>
    <row r="6673" spans="1:2">
      <c r="A6673" s="50">
        <v>45204</v>
      </c>
      <c r="B6673" s="49" t="s">
        <v>53</v>
      </c>
    </row>
    <row r="6674" spans="1:2">
      <c r="A6674" s="50">
        <v>45205</v>
      </c>
      <c r="B6674" s="49" t="s">
        <v>30</v>
      </c>
    </row>
    <row r="6675" spans="1:2">
      <c r="A6675" s="50">
        <v>45205</v>
      </c>
      <c r="B6675" s="49" t="s">
        <v>31</v>
      </c>
    </row>
    <row r="6676" spans="1:2">
      <c r="A6676" s="50">
        <v>45205</v>
      </c>
      <c r="B6676" s="49" t="s">
        <v>32</v>
      </c>
    </row>
    <row r="6677" spans="1:2">
      <c r="A6677" s="50">
        <v>45205</v>
      </c>
      <c r="B6677" s="49" t="s">
        <v>33</v>
      </c>
    </row>
    <row r="6678" spans="1:2">
      <c r="A6678" s="50">
        <v>45205</v>
      </c>
      <c r="B6678" s="49" t="s">
        <v>34</v>
      </c>
    </row>
    <row r="6679" spans="1:2">
      <c r="A6679" s="50">
        <v>45205</v>
      </c>
      <c r="B6679" s="49" t="s">
        <v>35</v>
      </c>
    </row>
    <row r="6680" spans="1:2">
      <c r="A6680" s="50">
        <v>45205</v>
      </c>
      <c r="B6680" s="49" t="s">
        <v>36</v>
      </c>
    </row>
    <row r="6681" spans="1:2">
      <c r="A6681" s="50">
        <v>45205</v>
      </c>
      <c r="B6681" s="49" t="s">
        <v>37</v>
      </c>
    </row>
    <row r="6682" spans="1:2">
      <c r="A6682" s="50">
        <v>45205</v>
      </c>
      <c r="B6682" s="49" t="s">
        <v>38</v>
      </c>
    </row>
    <row r="6683" spans="1:2">
      <c r="A6683" s="50">
        <v>45205</v>
      </c>
      <c r="B6683" s="49" t="s">
        <v>39</v>
      </c>
    </row>
    <row r="6684" spans="1:2">
      <c r="A6684" s="50">
        <v>45205</v>
      </c>
      <c r="B6684" s="49" t="s">
        <v>40</v>
      </c>
    </row>
    <row r="6685" spans="1:2">
      <c r="A6685" s="50">
        <v>45205</v>
      </c>
      <c r="B6685" s="49" t="s">
        <v>41</v>
      </c>
    </row>
    <row r="6686" spans="1:2">
      <c r="A6686" s="50">
        <v>45205</v>
      </c>
      <c r="B6686" s="49" t="s">
        <v>42</v>
      </c>
    </row>
    <row r="6687" spans="1:2">
      <c r="A6687" s="50">
        <v>45205</v>
      </c>
      <c r="B6687" s="49" t="s">
        <v>43</v>
      </c>
    </row>
    <row r="6688" spans="1:2">
      <c r="A6688" s="50">
        <v>45205</v>
      </c>
      <c r="B6688" s="49" t="s">
        <v>44</v>
      </c>
    </row>
    <row r="6689" spans="1:2">
      <c r="A6689" s="50">
        <v>45205</v>
      </c>
      <c r="B6689" s="49" t="s">
        <v>45</v>
      </c>
    </row>
    <row r="6690" spans="1:2">
      <c r="A6690" s="50">
        <v>45205</v>
      </c>
      <c r="B6690" s="49" t="s">
        <v>46</v>
      </c>
    </row>
    <row r="6691" spans="1:2">
      <c r="A6691" s="50">
        <v>45205</v>
      </c>
      <c r="B6691" s="49" t="s">
        <v>47</v>
      </c>
    </row>
    <row r="6692" spans="1:2">
      <c r="A6692" s="50">
        <v>45205</v>
      </c>
      <c r="B6692" s="49" t="s">
        <v>48</v>
      </c>
    </row>
    <row r="6693" spans="1:2">
      <c r="A6693" s="50">
        <v>45205</v>
      </c>
      <c r="B6693" s="49" t="s">
        <v>49</v>
      </c>
    </row>
    <row r="6694" spans="1:2">
      <c r="A6694" s="50">
        <v>45205</v>
      </c>
      <c r="B6694" s="49" t="s">
        <v>50</v>
      </c>
    </row>
    <row r="6695" spans="1:2">
      <c r="A6695" s="50">
        <v>45205</v>
      </c>
      <c r="B6695" s="49" t="s">
        <v>51</v>
      </c>
    </row>
    <row r="6696" spans="1:2">
      <c r="A6696" s="50">
        <v>45205</v>
      </c>
      <c r="B6696" s="49" t="s">
        <v>52</v>
      </c>
    </row>
    <row r="6697" spans="1:2">
      <c r="A6697" s="50">
        <v>45205</v>
      </c>
      <c r="B6697" s="49" t="s">
        <v>53</v>
      </c>
    </row>
    <row r="6698" spans="1:2">
      <c r="A6698" s="50">
        <v>45206</v>
      </c>
      <c r="B6698" s="49" t="s">
        <v>30</v>
      </c>
    </row>
    <row r="6699" spans="1:2">
      <c r="A6699" s="50">
        <v>45206</v>
      </c>
      <c r="B6699" s="49" t="s">
        <v>31</v>
      </c>
    </row>
    <row r="6700" spans="1:2">
      <c r="A6700" s="50">
        <v>45206</v>
      </c>
      <c r="B6700" s="49" t="s">
        <v>32</v>
      </c>
    </row>
    <row r="6701" spans="1:2">
      <c r="A6701" s="50">
        <v>45206</v>
      </c>
      <c r="B6701" s="49" t="s">
        <v>33</v>
      </c>
    </row>
    <row r="6702" spans="1:2">
      <c r="A6702" s="50">
        <v>45206</v>
      </c>
      <c r="B6702" s="49" t="s">
        <v>34</v>
      </c>
    </row>
    <row r="6703" spans="1:2">
      <c r="A6703" s="50">
        <v>45206</v>
      </c>
      <c r="B6703" s="49" t="s">
        <v>35</v>
      </c>
    </row>
    <row r="6704" spans="1:2">
      <c r="A6704" s="50">
        <v>45206</v>
      </c>
      <c r="B6704" s="49" t="s">
        <v>36</v>
      </c>
    </row>
    <row r="6705" spans="1:2">
      <c r="A6705" s="50">
        <v>45206</v>
      </c>
      <c r="B6705" s="49" t="s">
        <v>37</v>
      </c>
    </row>
    <row r="6706" spans="1:2">
      <c r="A6706" s="50">
        <v>45206</v>
      </c>
      <c r="B6706" s="49" t="s">
        <v>38</v>
      </c>
    </row>
    <row r="6707" spans="1:2">
      <c r="A6707" s="50">
        <v>45206</v>
      </c>
      <c r="B6707" s="49" t="s">
        <v>39</v>
      </c>
    </row>
    <row r="6708" spans="1:2">
      <c r="A6708" s="50">
        <v>45206</v>
      </c>
      <c r="B6708" s="49" t="s">
        <v>40</v>
      </c>
    </row>
    <row r="6709" spans="1:2">
      <c r="A6709" s="50">
        <v>45206</v>
      </c>
      <c r="B6709" s="49" t="s">
        <v>41</v>
      </c>
    </row>
    <row r="6710" spans="1:2">
      <c r="A6710" s="50">
        <v>45206</v>
      </c>
      <c r="B6710" s="49" t="s">
        <v>42</v>
      </c>
    </row>
    <row r="6711" spans="1:2">
      <c r="A6711" s="50">
        <v>45206</v>
      </c>
      <c r="B6711" s="49" t="s">
        <v>43</v>
      </c>
    </row>
    <row r="6712" spans="1:2">
      <c r="A6712" s="50">
        <v>45206</v>
      </c>
      <c r="B6712" s="49" t="s">
        <v>44</v>
      </c>
    </row>
    <row r="6713" spans="1:2">
      <c r="A6713" s="50">
        <v>45206</v>
      </c>
      <c r="B6713" s="49" t="s">
        <v>45</v>
      </c>
    </row>
    <row r="6714" spans="1:2">
      <c r="A6714" s="50">
        <v>45206</v>
      </c>
      <c r="B6714" s="49" t="s">
        <v>46</v>
      </c>
    </row>
    <row r="6715" spans="1:2">
      <c r="A6715" s="50">
        <v>45206</v>
      </c>
      <c r="B6715" s="49" t="s">
        <v>47</v>
      </c>
    </row>
    <row r="6716" spans="1:2">
      <c r="A6716" s="50">
        <v>45206</v>
      </c>
      <c r="B6716" s="49" t="s">
        <v>48</v>
      </c>
    </row>
    <row r="6717" spans="1:2">
      <c r="A6717" s="50">
        <v>45206</v>
      </c>
      <c r="B6717" s="49" t="s">
        <v>49</v>
      </c>
    </row>
    <row r="6718" spans="1:2">
      <c r="A6718" s="50">
        <v>45206</v>
      </c>
      <c r="B6718" s="49" t="s">
        <v>50</v>
      </c>
    </row>
    <row r="6719" spans="1:2">
      <c r="A6719" s="50">
        <v>45206</v>
      </c>
      <c r="B6719" s="49" t="s">
        <v>51</v>
      </c>
    </row>
    <row r="6720" spans="1:2">
      <c r="A6720" s="50">
        <v>45206</v>
      </c>
      <c r="B6720" s="49" t="s">
        <v>52</v>
      </c>
    </row>
    <row r="6721" spans="1:2">
      <c r="A6721" s="50">
        <v>45206</v>
      </c>
      <c r="B6721" s="49" t="s">
        <v>53</v>
      </c>
    </row>
    <row r="6722" spans="1:2">
      <c r="A6722" s="50">
        <v>45207</v>
      </c>
      <c r="B6722" s="49" t="s">
        <v>30</v>
      </c>
    </row>
    <row r="6723" spans="1:2">
      <c r="A6723" s="50">
        <v>45207</v>
      </c>
      <c r="B6723" s="49" t="s">
        <v>31</v>
      </c>
    </row>
    <row r="6724" spans="1:2">
      <c r="A6724" s="50">
        <v>45207</v>
      </c>
      <c r="B6724" s="49" t="s">
        <v>32</v>
      </c>
    </row>
    <row r="6725" spans="1:2">
      <c r="A6725" s="50">
        <v>45207</v>
      </c>
      <c r="B6725" s="49" t="s">
        <v>33</v>
      </c>
    </row>
    <row r="6726" spans="1:2">
      <c r="A6726" s="50">
        <v>45207</v>
      </c>
      <c r="B6726" s="49" t="s">
        <v>34</v>
      </c>
    </row>
    <row r="6727" spans="1:2">
      <c r="A6727" s="50">
        <v>45207</v>
      </c>
      <c r="B6727" s="49" t="s">
        <v>35</v>
      </c>
    </row>
    <row r="6728" spans="1:2">
      <c r="A6728" s="50">
        <v>45207</v>
      </c>
      <c r="B6728" s="49" t="s">
        <v>36</v>
      </c>
    </row>
    <row r="6729" spans="1:2">
      <c r="A6729" s="50">
        <v>45207</v>
      </c>
      <c r="B6729" s="49" t="s">
        <v>37</v>
      </c>
    </row>
    <row r="6730" spans="1:2">
      <c r="A6730" s="50">
        <v>45207</v>
      </c>
      <c r="B6730" s="49" t="s">
        <v>38</v>
      </c>
    </row>
    <row r="6731" spans="1:2">
      <c r="A6731" s="50">
        <v>45207</v>
      </c>
      <c r="B6731" s="49" t="s">
        <v>39</v>
      </c>
    </row>
    <row r="6732" spans="1:2">
      <c r="A6732" s="50">
        <v>45207</v>
      </c>
      <c r="B6732" s="49" t="s">
        <v>40</v>
      </c>
    </row>
    <row r="6733" spans="1:2">
      <c r="A6733" s="50">
        <v>45207</v>
      </c>
      <c r="B6733" s="49" t="s">
        <v>41</v>
      </c>
    </row>
    <row r="6734" spans="1:2">
      <c r="A6734" s="50">
        <v>45207</v>
      </c>
      <c r="B6734" s="49" t="s">
        <v>42</v>
      </c>
    </row>
    <row r="6735" spans="1:2">
      <c r="A6735" s="50">
        <v>45207</v>
      </c>
      <c r="B6735" s="49" t="s">
        <v>43</v>
      </c>
    </row>
    <row r="6736" spans="1:2">
      <c r="A6736" s="50">
        <v>45207</v>
      </c>
      <c r="B6736" s="49" t="s">
        <v>44</v>
      </c>
    </row>
    <row r="6737" spans="1:2">
      <c r="A6737" s="50">
        <v>45207</v>
      </c>
      <c r="B6737" s="49" t="s">
        <v>45</v>
      </c>
    </row>
    <row r="6738" spans="1:2">
      <c r="A6738" s="50">
        <v>45207</v>
      </c>
      <c r="B6738" s="49" t="s">
        <v>46</v>
      </c>
    </row>
    <row r="6739" spans="1:2">
      <c r="A6739" s="50">
        <v>45207</v>
      </c>
      <c r="B6739" s="49" t="s">
        <v>47</v>
      </c>
    </row>
    <row r="6740" spans="1:2">
      <c r="A6740" s="50">
        <v>45207</v>
      </c>
      <c r="B6740" s="49" t="s">
        <v>48</v>
      </c>
    </row>
    <row r="6741" spans="1:2">
      <c r="A6741" s="50">
        <v>45207</v>
      </c>
      <c r="B6741" s="49" t="s">
        <v>49</v>
      </c>
    </row>
    <row r="6742" spans="1:2">
      <c r="A6742" s="50">
        <v>45207</v>
      </c>
      <c r="B6742" s="49" t="s">
        <v>50</v>
      </c>
    </row>
    <row r="6743" spans="1:2">
      <c r="A6743" s="50">
        <v>45207</v>
      </c>
      <c r="B6743" s="49" t="s">
        <v>51</v>
      </c>
    </row>
    <row r="6744" spans="1:2">
      <c r="A6744" s="50">
        <v>45207</v>
      </c>
      <c r="B6744" s="49" t="s">
        <v>52</v>
      </c>
    </row>
    <row r="6745" spans="1:2">
      <c r="A6745" s="50">
        <v>45207</v>
      </c>
      <c r="B6745" s="49" t="s">
        <v>53</v>
      </c>
    </row>
    <row r="6746" spans="1:2">
      <c r="A6746" s="50">
        <v>45208</v>
      </c>
      <c r="B6746" s="49" t="s">
        <v>30</v>
      </c>
    </row>
    <row r="6747" spans="1:2">
      <c r="A6747" s="50">
        <v>45208</v>
      </c>
      <c r="B6747" s="49" t="s">
        <v>31</v>
      </c>
    </row>
    <row r="6748" spans="1:2">
      <c r="A6748" s="50">
        <v>45208</v>
      </c>
      <c r="B6748" s="49" t="s">
        <v>32</v>
      </c>
    </row>
    <row r="6749" spans="1:2">
      <c r="A6749" s="50">
        <v>45208</v>
      </c>
      <c r="B6749" s="49" t="s">
        <v>33</v>
      </c>
    </row>
    <row r="6750" spans="1:2">
      <c r="A6750" s="50">
        <v>45208</v>
      </c>
      <c r="B6750" s="49" t="s">
        <v>34</v>
      </c>
    </row>
    <row r="6751" spans="1:2">
      <c r="A6751" s="50">
        <v>45208</v>
      </c>
      <c r="B6751" s="49" t="s">
        <v>35</v>
      </c>
    </row>
    <row r="6752" spans="1:2">
      <c r="A6752" s="50">
        <v>45208</v>
      </c>
      <c r="B6752" s="49" t="s">
        <v>36</v>
      </c>
    </row>
    <row r="6753" spans="1:2">
      <c r="A6753" s="50">
        <v>45208</v>
      </c>
      <c r="B6753" s="49" t="s">
        <v>37</v>
      </c>
    </row>
    <row r="6754" spans="1:2">
      <c r="A6754" s="50">
        <v>45208</v>
      </c>
      <c r="B6754" s="49" t="s">
        <v>38</v>
      </c>
    </row>
    <row r="6755" spans="1:2">
      <c r="A6755" s="50">
        <v>45208</v>
      </c>
      <c r="B6755" s="49" t="s">
        <v>39</v>
      </c>
    </row>
    <row r="6756" spans="1:2">
      <c r="A6756" s="50">
        <v>45208</v>
      </c>
      <c r="B6756" s="49" t="s">
        <v>40</v>
      </c>
    </row>
    <row r="6757" spans="1:2">
      <c r="A6757" s="50">
        <v>45208</v>
      </c>
      <c r="B6757" s="49" t="s">
        <v>41</v>
      </c>
    </row>
    <row r="6758" spans="1:2">
      <c r="A6758" s="50">
        <v>45208</v>
      </c>
      <c r="B6758" s="49" t="s">
        <v>42</v>
      </c>
    </row>
    <row r="6759" spans="1:2">
      <c r="A6759" s="50">
        <v>45208</v>
      </c>
      <c r="B6759" s="49" t="s">
        <v>43</v>
      </c>
    </row>
    <row r="6760" spans="1:2">
      <c r="A6760" s="50">
        <v>45208</v>
      </c>
      <c r="B6760" s="49" t="s">
        <v>44</v>
      </c>
    </row>
    <row r="6761" spans="1:2">
      <c r="A6761" s="50">
        <v>45208</v>
      </c>
      <c r="B6761" s="49" t="s">
        <v>45</v>
      </c>
    </row>
    <row r="6762" spans="1:2">
      <c r="A6762" s="50">
        <v>45208</v>
      </c>
      <c r="B6762" s="49" t="s">
        <v>46</v>
      </c>
    </row>
    <row r="6763" spans="1:2">
      <c r="A6763" s="50">
        <v>45208</v>
      </c>
      <c r="B6763" s="49" t="s">
        <v>47</v>
      </c>
    </row>
    <row r="6764" spans="1:2">
      <c r="A6764" s="50">
        <v>45208</v>
      </c>
      <c r="B6764" s="49" t="s">
        <v>48</v>
      </c>
    </row>
    <row r="6765" spans="1:2">
      <c r="A6765" s="50">
        <v>45208</v>
      </c>
      <c r="B6765" s="49" t="s">
        <v>49</v>
      </c>
    </row>
    <row r="6766" spans="1:2">
      <c r="A6766" s="50">
        <v>45208</v>
      </c>
      <c r="B6766" s="49" t="s">
        <v>50</v>
      </c>
    </row>
    <row r="6767" spans="1:2">
      <c r="A6767" s="50">
        <v>45208</v>
      </c>
      <c r="B6767" s="49" t="s">
        <v>51</v>
      </c>
    </row>
    <row r="6768" spans="1:2">
      <c r="A6768" s="50">
        <v>45208</v>
      </c>
      <c r="B6768" s="49" t="s">
        <v>52</v>
      </c>
    </row>
    <row r="6769" spans="1:2">
      <c r="A6769" s="50">
        <v>45208</v>
      </c>
      <c r="B6769" s="49" t="s">
        <v>53</v>
      </c>
    </row>
    <row r="6770" spans="1:2">
      <c r="A6770" s="50">
        <v>45209</v>
      </c>
      <c r="B6770" s="49" t="s">
        <v>30</v>
      </c>
    </row>
    <row r="6771" spans="1:2">
      <c r="A6771" s="50">
        <v>45209</v>
      </c>
      <c r="B6771" s="49" t="s">
        <v>31</v>
      </c>
    </row>
    <row r="6772" spans="1:2">
      <c r="A6772" s="50">
        <v>45209</v>
      </c>
      <c r="B6772" s="49" t="s">
        <v>32</v>
      </c>
    </row>
    <row r="6773" spans="1:2">
      <c r="A6773" s="50">
        <v>45209</v>
      </c>
      <c r="B6773" s="49" t="s">
        <v>33</v>
      </c>
    </row>
    <row r="6774" spans="1:2">
      <c r="A6774" s="50">
        <v>45209</v>
      </c>
      <c r="B6774" s="49" t="s">
        <v>34</v>
      </c>
    </row>
    <row r="6775" spans="1:2">
      <c r="A6775" s="50">
        <v>45209</v>
      </c>
      <c r="B6775" s="49" t="s">
        <v>35</v>
      </c>
    </row>
    <row r="6776" spans="1:2">
      <c r="A6776" s="50">
        <v>45209</v>
      </c>
      <c r="B6776" s="49" t="s">
        <v>36</v>
      </c>
    </row>
    <row r="6777" spans="1:2">
      <c r="A6777" s="50">
        <v>45209</v>
      </c>
      <c r="B6777" s="49" t="s">
        <v>37</v>
      </c>
    </row>
    <row r="6778" spans="1:2">
      <c r="A6778" s="50">
        <v>45209</v>
      </c>
      <c r="B6778" s="49" t="s">
        <v>38</v>
      </c>
    </row>
    <row r="6779" spans="1:2">
      <c r="A6779" s="50">
        <v>45209</v>
      </c>
      <c r="B6779" s="49" t="s">
        <v>39</v>
      </c>
    </row>
    <row r="6780" spans="1:2">
      <c r="A6780" s="50">
        <v>45209</v>
      </c>
      <c r="B6780" s="49" t="s">
        <v>40</v>
      </c>
    </row>
    <row r="6781" spans="1:2">
      <c r="A6781" s="50">
        <v>45209</v>
      </c>
      <c r="B6781" s="49" t="s">
        <v>41</v>
      </c>
    </row>
    <row r="6782" spans="1:2">
      <c r="A6782" s="50">
        <v>45209</v>
      </c>
      <c r="B6782" s="49" t="s">
        <v>42</v>
      </c>
    </row>
    <row r="6783" spans="1:2">
      <c r="A6783" s="50">
        <v>45209</v>
      </c>
      <c r="B6783" s="49" t="s">
        <v>43</v>
      </c>
    </row>
    <row r="6784" spans="1:2">
      <c r="A6784" s="50">
        <v>45209</v>
      </c>
      <c r="B6784" s="49" t="s">
        <v>44</v>
      </c>
    </row>
    <row r="6785" spans="1:2">
      <c r="A6785" s="50">
        <v>45209</v>
      </c>
      <c r="B6785" s="49" t="s">
        <v>45</v>
      </c>
    </row>
    <row r="6786" spans="1:2">
      <c r="A6786" s="50">
        <v>45209</v>
      </c>
      <c r="B6786" s="49" t="s">
        <v>46</v>
      </c>
    </row>
    <row r="6787" spans="1:2">
      <c r="A6787" s="50">
        <v>45209</v>
      </c>
      <c r="B6787" s="49" t="s">
        <v>47</v>
      </c>
    </row>
    <row r="6788" spans="1:2">
      <c r="A6788" s="50">
        <v>45209</v>
      </c>
      <c r="B6788" s="49" t="s">
        <v>48</v>
      </c>
    </row>
    <row r="6789" spans="1:2">
      <c r="A6789" s="50">
        <v>45209</v>
      </c>
      <c r="B6789" s="49" t="s">
        <v>49</v>
      </c>
    </row>
    <row r="6790" spans="1:2">
      <c r="A6790" s="50">
        <v>45209</v>
      </c>
      <c r="B6790" s="49" t="s">
        <v>50</v>
      </c>
    </row>
    <row r="6791" spans="1:2">
      <c r="A6791" s="50">
        <v>45209</v>
      </c>
      <c r="B6791" s="49" t="s">
        <v>51</v>
      </c>
    </row>
    <row r="6792" spans="1:2">
      <c r="A6792" s="50">
        <v>45209</v>
      </c>
      <c r="B6792" s="49" t="s">
        <v>52</v>
      </c>
    </row>
    <row r="6793" spans="1:2">
      <c r="A6793" s="50">
        <v>45209</v>
      </c>
      <c r="B6793" s="49" t="s">
        <v>53</v>
      </c>
    </row>
    <row r="6794" spans="1:2">
      <c r="A6794" s="50">
        <v>45210</v>
      </c>
      <c r="B6794" s="49" t="s">
        <v>30</v>
      </c>
    </row>
    <row r="6795" spans="1:2">
      <c r="A6795" s="50">
        <v>45210</v>
      </c>
      <c r="B6795" s="49" t="s">
        <v>31</v>
      </c>
    </row>
    <row r="6796" spans="1:2">
      <c r="A6796" s="50">
        <v>45210</v>
      </c>
      <c r="B6796" s="49" t="s">
        <v>32</v>
      </c>
    </row>
    <row r="6797" spans="1:2">
      <c r="A6797" s="50">
        <v>45210</v>
      </c>
      <c r="B6797" s="49" t="s">
        <v>33</v>
      </c>
    </row>
    <row r="6798" spans="1:2">
      <c r="A6798" s="50">
        <v>45210</v>
      </c>
      <c r="B6798" s="49" t="s">
        <v>34</v>
      </c>
    </row>
    <row r="6799" spans="1:2">
      <c r="A6799" s="50">
        <v>45210</v>
      </c>
      <c r="B6799" s="49" t="s">
        <v>35</v>
      </c>
    </row>
    <row r="6800" spans="1:2">
      <c r="A6800" s="50">
        <v>45210</v>
      </c>
      <c r="B6800" s="49" t="s">
        <v>36</v>
      </c>
    </row>
    <row r="6801" spans="1:2">
      <c r="A6801" s="50">
        <v>45210</v>
      </c>
      <c r="B6801" s="49" t="s">
        <v>37</v>
      </c>
    </row>
    <row r="6802" spans="1:2">
      <c r="A6802" s="50">
        <v>45210</v>
      </c>
      <c r="B6802" s="49" t="s">
        <v>38</v>
      </c>
    </row>
    <row r="6803" spans="1:2">
      <c r="A6803" s="50">
        <v>45210</v>
      </c>
      <c r="B6803" s="49" t="s">
        <v>39</v>
      </c>
    </row>
    <row r="6804" spans="1:2">
      <c r="A6804" s="50">
        <v>45210</v>
      </c>
      <c r="B6804" s="49" t="s">
        <v>40</v>
      </c>
    </row>
    <row r="6805" spans="1:2">
      <c r="A6805" s="50">
        <v>45210</v>
      </c>
      <c r="B6805" s="49" t="s">
        <v>41</v>
      </c>
    </row>
    <row r="6806" spans="1:2">
      <c r="A6806" s="50">
        <v>45210</v>
      </c>
      <c r="B6806" s="49" t="s">
        <v>42</v>
      </c>
    </row>
    <row r="6807" spans="1:2">
      <c r="A6807" s="50">
        <v>45210</v>
      </c>
      <c r="B6807" s="49" t="s">
        <v>43</v>
      </c>
    </row>
    <row r="6808" spans="1:2">
      <c r="A6808" s="50">
        <v>45210</v>
      </c>
      <c r="B6808" s="49" t="s">
        <v>44</v>
      </c>
    </row>
    <row r="6809" spans="1:2">
      <c r="A6809" s="50">
        <v>45210</v>
      </c>
      <c r="B6809" s="49" t="s">
        <v>45</v>
      </c>
    </row>
    <row r="6810" spans="1:2">
      <c r="A6810" s="50">
        <v>45210</v>
      </c>
      <c r="B6810" s="49" t="s">
        <v>46</v>
      </c>
    </row>
    <row r="6811" spans="1:2">
      <c r="A6811" s="50">
        <v>45210</v>
      </c>
      <c r="B6811" s="49" t="s">
        <v>47</v>
      </c>
    </row>
    <row r="6812" spans="1:2">
      <c r="A6812" s="50">
        <v>45210</v>
      </c>
      <c r="B6812" s="49" t="s">
        <v>48</v>
      </c>
    </row>
    <row r="6813" spans="1:2">
      <c r="A6813" s="50">
        <v>45210</v>
      </c>
      <c r="B6813" s="49" t="s">
        <v>49</v>
      </c>
    </row>
    <row r="6814" spans="1:2">
      <c r="A6814" s="50">
        <v>45210</v>
      </c>
      <c r="B6814" s="49" t="s">
        <v>50</v>
      </c>
    </row>
    <row r="6815" spans="1:2">
      <c r="A6815" s="50">
        <v>45210</v>
      </c>
      <c r="B6815" s="49" t="s">
        <v>51</v>
      </c>
    </row>
    <row r="6816" spans="1:2">
      <c r="A6816" s="50">
        <v>45210</v>
      </c>
      <c r="B6816" s="49" t="s">
        <v>52</v>
      </c>
    </row>
    <row r="6817" spans="1:2">
      <c r="A6817" s="50">
        <v>45210</v>
      </c>
      <c r="B6817" s="49" t="s">
        <v>53</v>
      </c>
    </row>
    <row r="6818" spans="1:2">
      <c r="A6818" s="50">
        <v>45211</v>
      </c>
      <c r="B6818" s="49" t="s">
        <v>30</v>
      </c>
    </row>
    <row r="6819" spans="1:2">
      <c r="A6819" s="50">
        <v>45211</v>
      </c>
      <c r="B6819" s="49" t="s">
        <v>31</v>
      </c>
    </row>
    <row r="6820" spans="1:2">
      <c r="A6820" s="50">
        <v>45211</v>
      </c>
      <c r="B6820" s="49" t="s">
        <v>32</v>
      </c>
    </row>
    <row r="6821" spans="1:2">
      <c r="A6821" s="50">
        <v>45211</v>
      </c>
      <c r="B6821" s="49" t="s">
        <v>33</v>
      </c>
    </row>
    <row r="6822" spans="1:2">
      <c r="A6822" s="50">
        <v>45211</v>
      </c>
      <c r="B6822" s="49" t="s">
        <v>34</v>
      </c>
    </row>
    <row r="6823" spans="1:2">
      <c r="A6823" s="50">
        <v>45211</v>
      </c>
      <c r="B6823" s="49" t="s">
        <v>35</v>
      </c>
    </row>
    <row r="6824" spans="1:2">
      <c r="A6824" s="50">
        <v>45211</v>
      </c>
      <c r="B6824" s="49" t="s">
        <v>36</v>
      </c>
    </row>
    <row r="6825" spans="1:2">
      <c r="A6825" s="50">
        <v>45211</v>
      </c>
      <c r="B6825" s="49" t="s">
        <v>37</v>
      </c>
    </row>
    <row r="6826" spans="1:2">
      <c r="A6826" s="50">
        <v>45211</v>
      </c>
      <c r="B6826" s="49" t="s">
        <v>38</v>
      </c>
    </row>
    <row r="6827" spans="1:2">
      <c r="A6827" s="50">
        <v>45211</v>
      </c>
      <c r="B6827" s="49" t="s">
        <v>39</v>
      </c>
    </row>
    <row r="6828" spans="1:2">
      <c r="A6828" s="50">
        <v>45211</v>
      </c>
      <c r="B6828" s="49" t="s">
        <v>40</v>
      </c>
    </row>
    <row r="6829" spans="1:2">
      <c r="A6829" s="50">
        <v>45211</v>
      </c>
      <c r="B6829" s="49" t="s">
        <v>41</v>
      </c>
    </row>
    <row r="6830" spans="1:2">
      <c r="A6830" s="50">
        <v>45211</v>
      </c>
      <c r="B6830" s="49" t="s">
        <v>42</v>
      </c>
    </row>
    <row r="6831" spans="1:2">
      <c r="A6831" s="50">
        <v>45211</v>
      </c>
      <c r="B6831" s="49" t="s">
        <v>43</v>
      </c>
    </row>
    <row r="6832" spans="1:2">
      <c r="A6832" s="50">
        <v>45211</v>
      </c>
      <c r="B6832" s="49" t="s">
        <v>44</v>
      </c>
    </row>
    <row r="6833" spans="1:2">
      <c r="A6833" s="50">
        <v>45211</v>
      </c>
      <c r="B6833" s="49" t="s">
        <v>45</v>
      </c>
    </row>
    <row r="6834" spans="1:2">
      <c r="A6834" s="50">
        <v>45211</v>
      </c>
      <c r="B6834" s="49" t="s">
        <v>46</v>
      </c>
    </row>
    <row r="6835" spans="1:2">
      <c r="A6835" s="50">
        <v>45211</v>
      </c>
      <c r="B6835" s="49" t="s">
        <v>47</v>
      </c>
    </row>
    <row r="6836" spans="1:2">
      <c r="A6836" s="50">
        <v>45211</v>
      </c>
      <c r="B6836" s="49" t="s">
        <v>48</v>
      </c>
    </row>
    <row r="6837" spans="1:2">
      <c r="A6837" s="50">
        <v>45211</v>
      </c>
      <c r="B6837" s="49" t="s">
        <v>49</v>
      </c>
    </row>
    <row r="6838" spans="1:2">
      <c r="A6838" s="50">
        <v>45211</v>
      </c>
      <c r="B6838" s="49" t="s">
        <v>50</v>
      </c>
    </row>
    <row r="6839" spans="1:2">
      <c r="A6839" s="50">
        <v>45211</v>
      </c>
      <c r="B6839" s="49" t="s">
        <v>51</v>
      </c>
    </row>
    <row r="6840" spans="1:2">
      <c r="A6840" s="50">
        <v>45211</v>
      </c>
      <c r="B6840" s="49" t="s">
        <v>52</v>
      </c>
    </row>
    <row r="6841" spans="1:2">
      <c r="A6841" s="50">
        <v>45211</v>
      </c>
      <c r="B6841" s="49" t="s">
        <v>53</v>
      </c>
    </row>
    <row r="6842" spans="1:2">
      <c r="A6842" s="50">
        <v>45212</v>
      </c>
      <c r="B6842" s="49" t="s">
        <v>30</v>
      </c>
    </row>
    <row r="6843" spans="1:2">
      <c r="A6843" s="50">
        <v>45212</v>
      </c>
      <c r="B6843" s="49" t="s">
        <v>31</v>
      </c>
    </row>
    <row r="6844" spans="1:2">
      <c r="A6844" s="50">
        <v>45212</v>
      </c>
      <c r="B6844" s="49" t="s">
        <v>32</v>
      </c>
    </row>
    <row r="6845" spans="1:2">
      <c r="A6845" s="50">
        <v>45212</v>
      </c>
      <c r="B6845" s="49" t="s">
        <v>33</v>
      </c>
    </row>
    <row r="6846" spans="1:2">
      <c r="A6846" s="50">
        <v>45212</v>
      </c>
      <c r="B6846" s="49" t="s">
        <v>34</v>
      </c>
    </row>
    <row r="6847" spans="1:2">
      <c r="A6847" s="50">
        <v>45212</v>
      </c>
      <c r="B6847" s="49" t="s">
        <v>35</v>
      </c>
    </row>
    <row r="6848" spans="1:2">
      <c r="A6848" s="50">
        <v>45212</v>
      </c>
      <c r="B6848" s="49" t="s">
        <v>36</v>
      </c>
    </row>
    <row r="6849" spans="1:2">
      <c r="A6849" s="50">
        <v>45212</v>
      </c>
      <c r="B6849" s="49" t="s">
        <v>37</v>
      </c>
    </row>
    <row r="6850" spans="1:2">
      <c r="A6850" s="50">
        <v>45212</v>
      </c>
      <c r="B6850" s="49" t="s">
        <v>38</v>
      </c>
    </row>
    <row r="6851" spans="1:2">
      <c r="A6851" s="50">
        <v>45212</v>
      </c>
      <c r="B6851" s="49" t="s">
        <v>39</v>
      </c>
    </row>
    <row r="6852" spans="1:2">
      <c r="A6852" s="50">
        <v>45212</v>
      </c>
      <c r="B6852" s="49" t="s">
        <v>40</v>
      </c>
    </row>
    <row r="6853" spans="1:2">
      <c r="A6853" s="50">
        <v>45212</v>
      </c>
      <c r="B6853" s="49" t="s">
        <v>41</v>
      </c>
    </row>
    <row r="6854" spans="1:2">
      <c r="A6854" s="50">
        <v>45212</v>
      </c>
      <c r="B6854" s="49" t="s">
        <v>42</v>
      </c>
    </row>
    <row r="6855" spans="1:2">
      <c r="A6855" s="50">
        <v>45212</v>
      </c>
      <c r="B6855" s="49" t="s">
        <v>43</v>
      </c>
    </row>
    <row r="6856" spans="1:2">
      <c r="A6856" s="50">
        <v>45212</v>
      </c>
      <c r="B6856" s="49" t="s">
        <v>44</v>
      </c>
    </row>
    <row r="6857" spans="1:2">
      <c r="A6857" s="50">
        <v>45212</v>
      </c>
      <c r="B6857" s="49" t="s">
        <v>45</v>
      </c>
    </row>
    <row r="6858" spans="1:2">
      <c r="A6858" s="50">
        <v>45212</v>
      </c>
      <c r="B6858" s="49" t="s">
        <v>46</v>
      </c>
    </row>
    <row r="6859" spans="1:2">
      <c r="A6859" s="50">
        <v>45212</v>
      </c>
      <c r="B6859" s="49" t="s">
        <v>47</v>
      </c>
    </row>
    <row r="6860" spans="1:2">
      <c r="A6860" s="50">
        <v>45212</v>
      </c>
      <c r="B6860" s="49" t="s">
        <v>48</v>
      </c>
    </row>
    <row r="6861" spans="1:2">
      <c r="A6861" s="50">
        <v>45212</v>
      </c>
      <c r="B6861" s="49" t="s">
        <v>49</v>
      </c>
    </row>
    <row r="6862" spans="1:2">
      <c r="A6862" s="50">
        <v>45212</v>
      </c>
      <c r="B6862" s="49" t="s">
        <v>50</v>
      </c>
    </row>
    <row r="6863" spans="1:2">
      <c r="A6863" s="50">
        <v>45212</v>
      </c>
      <c r="B6863" s="49" t="s">
        <v>51</v>
      </c>
    </row>
    <row r="6864" spans="1:2">
      <c r="A6864" s="50">
        <v>45212</v>
      </c>
      <c r="B6864" s="49" t="s">
        <v>52</v>
      </c>
    </row>
    <row r="6865" spans="1:2">
      <c r="A6865" s="50">
        <v>45212</v>
      </c>
      <c r="B6865" s="49" t="s">
        <v>53</v>
      </c>
    </row>
    <row r="6866" spans="1:2">
      <c r="A6866" s="50">
        <v>45213</v>
      </c>
      <c r="B6866" s="49" t="s">
        <v>30</v>
      </c>
    </row>
    <row r="6867" spans="1:2">
      <c r="A6867" s="50">
        <v>45213</v>
      </c>
      <c r="B6867" s="49" t="s">
        <v>31</v>
      </c>
    </row>
    <row r="6868" spans="1:2">
      <c r="A6868" s="50">
        <v>45213</v>
      </c>
      <c r="B6868" s="49" t="s">
        <v>32</v>
      </c>
    </row>
    <row r="6869" spans="1:2">
      <c r="A6869" s="50">
        <v>45213</v>
      </c>
      <c r="B6869" s="49" t="s">
        <v>33</v>
      </c>
    </row>
    <row r="6870" spans="1:2">
      <c r="A6870" s="50">
        <v>45213</v>
      </c>
      <c r="B6870" s="49" t="s">
        <v>34</v>
      </c>
    </row>
    <row r="6871" spans="1:2">
      <c r="A6871" s="50">
        <v>45213</v>
      </c>
      <c r="B6871" s="49" t="s">
        <v>35</v>
      </c>
    </row>
    <row r="6872" spans="1:2">
      <c r="A6872" s="50">
        <v>45213</v>
      </c>
      <c r="B6872" s="49" t="s">
        <v>36</v>
      </c>
    </row>
    <row r="6873" spans="1:2">
      <c r="A6873" s="50">
        <v>45213</v>
      </c>
      <c r="B6873" s="49" t="s">
        <v>37</v>
      </c>
    </row>
    <row r="6874" spans="1:2">
      <c r="A6874" s="50">
        <v>45213</v>
      </c>
      <c r="B6874" s="49" t="s">
        <v>38</v>
      </c>
    </row>
    <row r="6875" spans="1:2">
      <c r="A6875" s="50">
        <v>45213</v>
      </c>
      <c r="B6875" s="49" t="s">
        <v>39</v>
      </c>
    </row>
    <row r="6876" spans="1:2">
      <c r="A6876" s="50">
        <v>45213</v>
      </c>
      <c r="B6876" s="49" t="s">
        <v>40</v>
      </c>
    </row>
    <row r="6877" spans="1:2">
      <c r="A6877" s="50">
        <v>45213</v>
      </c>
      <c r="B6877" s="49" t="s">
        <v>41</v>
      </c>
    </row>
    <row r="6878" spans="1:2">
      <c r="A6878" s="50">
        <v>45213</v>
      </c>
      <c r="B6878" s="49" t="s">
        <v>42</v>
      </c>
    </row>
    <row r="6879" spans="1:2">
      <c r="A6879" s="50">
        <v>45213</v>
      </c>
      <c r="B6879" s="49" t="s">
        <v>43</v>
      </c>
    </row>
    <row r="6880" spans="1:2">
      <c r="A6880" s="50">
        <v>45213</v>
      </c>
      <c r="B6880" s="49" t="s">
        <v>44</v>
      </c>
    </row>
    <row r="6881" spans="1:2">
      <c r="A6881" s="50">
        <v>45213</v>
      </c>
      <c r="B6881" s="49" t="s">
        <v>45</v>
      </c>
    </row>
    <row r="6882" spans="1:2">
      <c r="A6882" s="50">
        <v>45213</v>
      </c>
      <c r="B6882" s="49" t="s">
        <v>46</v>
      </c>
    </row>
    <row r="6883" spans="1:2">
      <c r="A6883" s="50">
        <v>45213</v>
      </c>
      <c r="B6883" s="49" t="s">
        <v>47</v>
      </c>
    </row>
    <row r="6884" spans="1:2">
      <c r="A6884" s="50">
        <v>45213</v>
      </c>
      <c r="B6884" s="49" t="s">
        <v>48</v>
      </c>
    </row>
    <row r="6885" spans="1:2">
      <c r="A6885" s="50">
        <v>45213</v>
      </c>
      <c r="B6885" s="49" t="s">
        <v>49</v>
      </c>
    </row>
    <row r="6886" spans="1:2">
      <c r="A6886" s="50">
        <v>45213</v>
      </c>
      <c r="B6886" s="49" t="s">
        <v>50</v>
      </c>
    </row>
    <row r="6887" spans="1:2">
      <c r="A6887" s="50">
        <v>45213</v>
      </c>
      <c r="B6887" s="49" t="s">
        <v>51</v>
      </c>
    </row>
    <row r="6888" spans="1:2">
      <c r="A6888" s="50">
        <v>45213</v>
      </c>
      <c r="B6888" s="49" t="s">
        <v>52</v>
      </c>
    </row>
    <row r="6889" spans="1:2">
      <c r="A6889" s="50">
        <v>45213</v>
      </c>
      <c r="B6889" s="49" t="s">
        <v>53</v>
      </c>
    </row>
    <row r="6890" spans="1:2">
      <c r="A6890" s="50">
        <v>45214</v>
      </c>
      <c r="B6890" s="49" t="s">
        <v>30</v>
      </c>
    </row>
    <row r="6891" spans="1:2">
      <c r="A6891" s="50">
        <v>45214</v>
      </c>
      <c r="B6891" s="49" t="s">
        <v>31</v>
      </c>
    </row>
    <row r="6892" spans="1:2">
      <c r="A6892" s="50">
        <v>45214</v>
      </c>
      <c r="B6892" s="49" t="s">
        <v>32</v>
      </c>
    </row>
    <row r="6893" spans="1:2">
      <c r="A6893" s="50">
        <v>45214</v>
      </c>
      <c r="B6893" s="49" t="s">
        <v>33</v>
      </c>
    </row>
    <row r="6894" spans="1:2">
      <c r="A6894" s="50">
        <v>45214</v>
      </c>
      <c r="B6894" s="49" t="s">
        <v>34</v>
      </c>
    </row>
    <row r="6895" spans="1:2">
      <c r="A6895" s="50">
        <v>45214</v>
      </c>
      <c r="B6895" s="49" t="s">
        <v>35</v>
      </c>
    </row>
    <row r="6896" spans="1:2">
      <c r="A6896" s="50">
        <v>45214</v>
      </c>
      <c r="B6896" s="49" t="s">
        <v>36</v>
      </c>
    </row>
    <row r="6897" spans="1:2">
      <c r="A6897" s="50">
        <v>45214</v>
      </c>
      <c r="B6897" s="49" t="s">
        <v>37</v>
      </c>
    </row>
    <row r="6898" spans="1:2">
      <c r="A6898" s="50">
        <v>45214</v>
      </c>
      <c r="B6898" s="49" t="s">
        <v>38</v>
      </c>
    </row>
    <row r="6899" spans="1:2">
      <c r="A6899" s="50">
        <v>45214</v>
      </c>
      <c r="B6899" s="49" t="s">
        <v>39</v>
      </c>
    </row>
    <row r="6900" spans="1:2">
      <c r="A6900" s="50">
        <v>45214</v>
      </c>
      <c r="B6900" s="49" t="s">
        <v>40</v>
      </c>
    </row>
    <row r="6901" spans="1:2">
      <c r="A6901" s="50">
        <v>45214</v>
      </c>
      <c r="B6901" s="49" t="s">
        <v>41</v>
      </c>
    </row>
    <row r="6902" spans="1:2">
      <c r="A6902" s="50">
        <v>45214</v>
      </c>
      <c r="B6902" s="49" t="s">
        <v>42</v>
      </c>
    </row>
    <row r="6903" spans="1:2">
      <c r="A6903" s="50">
        <v>45214</v>
      </c>
      <c r="B6903" s="49" t="s">
        <v>43</v>
      </c>
    </row>
    <row r="6904" spans="1:2">
      <c r="A6904" s="50">
        <v>45214</v>
      </c>
      <c r="B6904" s="49" t="s">
        <v>44</v>
      </c>
    </row>
    <row r="6905" spans="1:2">
      <c r="A6905" s="50">
        <v>45214</v>
      </c>
      <c r="B6905" s="49" t="s">
        <v>45</v>
      </c>
    </row>
    <row r="6906" spans="1:2">
      <c r="A6906" s="50">
        <v>45214</v>
      </c>
      <c r="B6906" s="49" t="s">
        <v>46</v>
      </c>
    </row>
    <row r="6907" spans="1:2">
      <c r="A6907" s="50">
        <v>45214</v>
      </c>
      <c r="B6907" s="49" t="s">
        <v>47</v>
      </c>
    </row>
    <row r="6908" spans="1:2">
      <c r="A6908" s="50">
        <v>45214</v>
      </c>
      <c r="B6908" s="49" t="s">
        <v>48</v>
      </c>
    </row>
    <row r="6909" spans="1:2">
      <c r="A6909" s="50">
        <v>45214</v>
      </c>
      <c r="B6909" s="49" t="s">
        <v>49</v>
      </c>
    </row>
    <row r="6910" spans="1:2">
      <c r="A6910" s="50">
        <v>45214</v>
      </c>
      <c r="B6910" s="49" t="s">
        <v>50</v>
      </c>
    </row>
    <row r="6911" spans="1:2">
      <c r="A6911" s="50">
        <v>45214</v>
      </c>
      <c r="B6911" s="49" t="s">
        <v>51</v>
      </c>
    </row>
    <row r="6912" spans="1:2">
      <c r="A6912" s="50">
        <v>45214</v>
      </c>
      <c r="B6912" s="49" t="s">
        <v>52</v>
      </c>
    </row>
    <row r="6913" spans="1:2">
      <c r="A6913" s="50">
        <v>45214</v>
      </c>
      <c r="B6913" s="49" t="s">
        <v>53</v>
      </c>
    </row>
    <row r="6914" spans="1:2">
      <c r="A6914" s="50">
        <v>45215</v>
      </c>
      <c r="B6914" s="49" t="s">
        <v>30</v>
      </c>
    </row>
    <row r="6915" spans="1:2">
      <c r="A6915" s="50">
        <v>45215</v>
      </c>
      <c r="B6915" s="49" t="s">
        <v>31</v>
      </c>
    </row>
    <row r="6916" spans="1:2">
      <c r="A6916" s="50">
        <v>45215</v>
      </c>
      <c r="B6916" s="49" t="s">
        <v>32</v>
      </c>
    </row>
    <row r="6917" spans="1:2">
      <c r="A6917" s="50">
        <v>45215</v>
      </c>
      <c r="B6917" s="49" t="s">
        <v>33</v>
      </c>
    </row>
    <row r="6918" spans="1:2">
      <c r="A6918" s="50">
        <v>45215</v>
      </c>
      <c r="B6918" s="49" t="s">
        <v>34</v>
      </c>
    </row>
    <row r="6919" spans="1:2">
      <c r="A6919" s="50">
        <v>45215</v>
      </c>
      <c r="B6919" s="49" t="s">
        <v>35</v>
      </c>
    </row>
    <row r="6920" spans="1:2">
      <c r="A6920" s="50">
        <v>45215</v>
      </c>
      <c r="B6920" s="49" t="s">
        <v>36</v>
      </c>
    </row>
    <row r="6921" spans="1:2">
      <c r="A6921" s="50">
        <v>45215</v>
      </c>
      <c r="B6921" s="49" t="s">
        <v>37</v>
      </c>
    </row>
    <row r="6922" spans="1:2">
      <c r="A6922" s="50">
        <v>45215</v>
      </c>
      <c r="B6922" s="49" t="s">
        <v>38</v>
      </c>
    </row>
    <row r="6923" spans="1:2">
      <c r="A6923" s="50">
        <v>45215</v>
      </c>
      <c r="B6923" s="49" t="s">
        <v>39</v>
      </c>
    </row>
    <row r="6924" spans="1:2">
      <c r="A6924" s="50">
        <v>45215</v>
      </c>
      <c r="B6924" s="49" t="s">
        <v>40</v>
      </c>
    </row>
    <row r="6925" spans="1:2">
      <c r="A6925" s="50">
        <v>45215</v>
      </c>
      <c r="B6925" s="49" t="s">
        <v>41</v>
      </c>
    </row>
    <row r="6926" spans="1:2">
      <c r="A6926" s="50">
        <v>45215</v>
      </c>
      <c r="B6926" s="49" t="s">
        <v>42</v>
      </c>
    </row>
    <row r="6927" spans="1:2">
      <c r="A6927" s="50">
        <v>45215</v>
      </c>
      <c r="B6927" s="49" t="s">
        <v>43</v>
      </c>
    </row>
    <row r="6928" spans="1:2">
      <c r="A6928" s="50">
        <v>45215</v>
      </c>
      <c r="B6928" s="49" t="s">
        <v>44</v>
      </c>
    </row>
    <row r="6929" spans="1:2">
      <c r="A6929" s="50">
        <v>45215</v>
      </c>
      <c r="B6929" s="49" t="s">
        <v>45</v>
      </c>
    </row>
    <row r="6930" spans="1:2">
      <c r="A6930" s="50">
        <v>45215</v>
      </c>
      <c r="B6930" s="49" t="s">
        <v>46</v>
      </c>
    </row>
    <row r="6931" spans="1:2">
      <c r="A6931" s="50">
        <v>45215</v>
      </c>
      <c r="B6931" s="49" t="s">
        <v>47</v>
      </c>
    </row>
    <row r="6932" spans="1:2">
      <c r="A6932" s="50">
        <v>45215</v>
      </c>
      <c r="B6932" s="49" t="s">
        <v>48</v>
      </c>
    </row>
    <row r="6933" spans="1:2">
      <c r="A6933" s="50">
        <v>45215</v>
      </c>
      <c r="B6933" s="49" t="s">
        <v>49</v>
      </c>
    </row>
    <row r="6934" spans="1:2">
      <c r="A6934" s="50">
        <v>45215</v>
      </c>
      <c r="B6934" s="49" t="s">
        <v>50</v>
      </c>
    </row>
    <row r="6935" spans="1:2">
      <c r="A6935" s="50">
        <v>45215</v>
      </c>
      <c r="B6935" s="49" t="s">
        <v>51</v>
      </c>
    </row>
    <row r="6936" spans="1:2">
      <c r="A6936" s="50">
        <v>45215</v>
      </c>
      <c r="B6936" s="49" t="s">
        <v>52</v>
      </c>
    </row>
    <row r="6937" spans="1:2">
      <c r="A6937" s="50">
        <v>45215</v>
      </c>
      <c r="B6937" s="49" t="s">
        <v>53</v>
      </c>
    </row>
    <row r="6938" spans="1:2">
      <c r="A6938" s="50">
        <v>45216</v>
      </c>
      <c r="B6938" s="49" t="s">
        <v>30</v>
      </c>
    </row>
    <row r="6939" spans="1:2">
      <c r="A6939" s="50">
        <v>45216</v>
      </c>
      <c r="B6939" s="49" t="s">
        <v>31</v>
      </c>
    </row>
    <row r="6940" spans="1:2">
      <c r="A6940" s="50">
        <v>45216</v>
      </c>
      <c r="B6940" s="49" t="s">
        <v>32</v>
      </c>
    </row>
    <row r="6941" spans="1:2">
      <c r="A6941" s="50">
        <v>45216</v>
      </c>
      <c r="B6941" s="49" t="s">
        <v>33</v>
      </c>
    </row>
    <row r="6942" spans="1:2">
      <c r="A6942" s="50">
        <v>45216</v>
      </c>
      <c r="B6942" s="49" t="s">
        <v>34</v>
      </c>
    </row>
    <row r="6943" spans="1:2">
      <c r="A6943" s="50">
        <v>45216</v>
      </c>
      <c r="B6943" s="49" t="s">
        <v>35</v>
      </c>
    </row>
    <row r="6944" spans="1:2">
      <c r="A6944" s="50">
        <v>45216</v>
      </c>
      <c r="B6944" s="49" t="s">
        <v>36</v>
      </c>
    </row>
    <row r="6945" spans="1:2">
      <c r="A6945" s="50">
        <v>45216</v>
      </c>
      <c r="B6945" s="49" t="s">
        <v>37</v>
      </c>
    </row>
    <row r="6946" spans="1:2">
      <c r="A6946" s="50">
        <v>45216</v>
      </c>
      <c r="B6946" s="49" t="s">
        <v>38</v>
      </c>
    </row>
    <row r="6947" spans="1:2">
      <c r="A6947" s="50">
        <v>45216</v>
      </c>
      <c r="B6947" s="49" t="s">
        <v>39</v>
      </c>
    </row>
    <row r="6948" spans="1:2">
      <c r="A6948" s="50">
        <v>45216</v>
      </c>
      <c r="B6948" s="49" t="s">
        <v>40</v>
      </c>
    </row>
    <row r="6949" spans="1:2">
      <c r="A6949" s="50">
        <v>45216</v>
      </c>
      <c r="B6949" s="49" t="s">
        <v>41</v>
      </c>
    </row>
    <row r="6950" spans="1:2">
      <c r="A6950" s="50">
        <v>45216</v>
      </c>
      <c r="B6950" s="49" t="s">
        <v>42</v>
      </c>
    </row>
    <row r="6951" spans="1:2">
      <c r="A6951" s="50">
        <v>45216</v>
      </c>
      <c r="B6951" s="49" t="s">
        <v>43</v>
      </c>
    </row>
    <row r="6952" spans="1:2">
      <c r="A6952" s="50">
        <v>45216</v>
      </c>
      <c r="B6952" s="49" t="s">
        <v>44</v>
      </c>
    </row>
    <row r="6953" spans="1:2">
      <c r="A6953" s="50">
        <v>45216</v>
      </c>
      <c r="B6953" s="49" t="s">
        <v>45</v>
      </c>
    </row>
    <row r="6954" spans="1:2">
      <c r="A6954" s="50">
        <v>45216</v>
      </c>
      <c r="B6954" s="49" t="s">
        <v>46</v>
      </c>
    </row>
    <row r="6955" spans="1:2">
      <c r="A6955" s="50">
        <v>45216</v>
      </c>
      <c r="B6955" s="49" t="s">
        <v>47</v>
      </c>
    </row>
    <row r="6956" spans="1:2">
      <c r="A6956" s="50">
        <v>45216</v>
      </c>
      <c r="B6956" s="49" t="s">
        <v>48</v>
      </c>
    </row>
    <row r="6957" spans="1:2">
      <c r="A6957" s="50">
        <v>45216</v>
      </c>
      <c r="B6957" s="49" t="s">
        <v>49</v>
      </c>
    </row>
    <row r="6958" spans="1:2">
      <c r="A6958" s="50">
        <v>45216</v>
      </c>
      <c r="B6958" s="49" t="s">
        <v>50</v>
      </c>
    </row>
    <row r="6959" spans="1:2">
      <c r="A6959" s="50">
        <v>45216</v>
      </c>
      <c r="B6959" s="49" t="s">
        <v>51</v>
      </c>
    </row>
    <row r="6960" spans="1:2">
      <c r="A6960" s="50">
        <v>45216</v>
      </c>
      <c r="B6960" s="49" t="s">
        <v>52</v>
      </c>
    </row>
    <row r="6961" spans="1:2">
      <c r="A6961" s="50">
        <v>45216</v>
      </c>
      <c r="B6961" s="49" t="s">
        <v>53</v>
      </c>
    </row>
    <row r="6962" spans="1:2">
      <c r="A6962" s="50">
        <v>45217</v>
      </c>
      <c r="B6962" s="49" t="s">
        <v>30</v>
      </c>
    </row>
    <row r="6963" spans="1:2">
      <c r="A6963" s="50">
        <v>45217</v>
      </c>
      <c r="B6963" s="49" t="s">
        <v>31</v>
      </c>
    </row>
    <row r="6964" spans="1:2">
      <c r="A6964" s="50">
        <v>45217</v>
      </c>
      <c r="B6964" s="49" t="s">
        <v>32</v>
      </c>
    </row>
    <row r="6965" spans="1:2">
      <c r="A6965" s="50">
        <v>45217</v>
      </c>
      <c r="B6965" s="49" t="s">
        <v>33</v>
      </c>
    </row>
    <row r="6966" spans="1:2">
      <c r="A6966" s="50">
        <v>45217</v>
      </c>
      <c r="B6966" s="49" t="s">
        <v>34</v>
      </c>
    </row>
    <row r="6967" spans="1:2">
      <c r="A6967" s="50">
        <v>45217</v>
      </c>
      <c r="B6967" s="49" t="s">
        <v>35</v>
      </c>
    </row>
    <row r="6968" spans="1:2">
      <c r="A6968" s="50">
        <v>45217</v>
      </c>
      <c r="B6968" s="49" t="s">
        <v>36</v>
      </c>
    </row>
    <row r="6969" spans="1:2">
      <c r="A6969" s="50">
        <v>45217</v>
      </c>
      <c r="B6969" s="49" t="s">
        <v>37</v>
      </c>
    </row>
    <row r="6970" spans="1:2">
      <c r="A6970" s="50">
        <v>45217</v>
      </c>
      <c r="B6970" s="49" t="s">
        <v>38</v>
      </c>
    </row>
    <row r="6971" spans="1:2">
      <c r="A6971" s="50">
        <v>45217</v>
      </c>
      <c r="B6971" s="49" t="s">
        <v>39</v>
      </c>
    </row>
    <row r="6972" spans="1:2">
      <c r="A6972" s="50">
        <v>45217</v>
      </c>
      <c r="B6972" s="49" t="s">
        <v>40</v>
      </c>
    </row>
    <row r="6973" spans="1:2">
      <c r="A6973" s="50">
        <v>45217</v>
      </c>
      <c r="B6973" s="49" t="s">
        <v>41</v>
      </c>
    </row>
    <row r="6974" spans="1:2">
      <c r="A6974" s="50">
        <v>45217</v>
      </c>
      <c r="B6974" s="49" t="s">
        <v>42</v>
      </c>
    </row>
    <row r="6975" spans="1:2">
      <c r="A6975" s="50">
        <v>45217</v>
      </c>
      <c r="B6975" s="49" t="s">
        <v>43</v>
      </c>
    </row>
    <row r="6976" spans="1:2">
      <c r="A6976" s="50">
        <v>45217</v>
      </c>
      <c r="B6976" s="49" t="s">
        <v>44</v>
      </c>
    </row>
    <row r="6977" spans="1:2">
      <c r="A6977" s="50">
        <v>45217</v>
      </c>
      <c r="B6977" s="49" t="s">
        <v>45</v>
      </c>
    </row>
    <row r="6978" spans="1:2">
      <c r="A6978" s="50">
        <v>45217</v>
      </c>
      <c r="B6978" s="49" t="s">
        <v>46</v>
      </c>
    </row>
    <row r="6979" spans="1:2">
      <c r="A6979" s="50">
        <v>45217</v>
      </c>
      <c r="B6979" s="49" t="s">
        <v>47</v>
      </c>
    </row>
    <row r="6980" spans="1:2">
      <c r="A6980" s="50">
        <v>45217</v>
      </c>
      <c r="B6980" s="49" t="s">
        <v>48</v>
      </c>
    </row>
    <row r="6981" spans="1:2">
      <c r="A6981" s="50">
        <v>45217</v>
      </c>
      <c r="B6981" s="49" t="s">
        <v>49</v>
      </c>
    </row>
    <row r="6982" spans="1:2">
      <c r="A6982" s="50">
        <v>45217</v>
      </c>
      <c r="B6982" s="49" t="s">
        <v>50</v>
      </c>
    </row>
    <row r="6983" spans="1:2">
      <c r="A6983" s="50">
        <v>45217</v>
      </c>
      <c r="B6983" s="49" t="s">
        <v>51</v>
      </c>
    </row>
    <row r="6984" spans="1:2">
      <c r="A6984" s="50">
        <v>45217</v>
      </c>
      <c r="B6984" s="49" t="s">
        <v>52</v>
      </c>
    </row>
    <row r="6985" spans="1:2">
      <c r="A6985" s="50">
        <v>45217</v>
      </c>
      <c r="B6985" s="49" t="s">
        <v>53</v>
      </c>
    </row>
    <row r="6986" spans="1:2">
      <c r="A6986" s="50">
        <v>45218</v>
      </c>
      <c r="B6986" s="49" t="s">
        <v>30</v>
      </c>
    </row>
    <row r="6987" spans="1:2">
      <c r="A6987" s="50">
        <v>45218</v>
      </c>
      <c r="B6987" s="49" t="s">
        <v>31</v>
      </c>
    </row>
    <row r="6988" spans="1:2">
      <c r="A6988" s="50">
        <v>45218</v>
      </c>
      <c r="B6988" s="49" t="s">
        <v>32</v>
      </c>
    </row>
    <row r="6989" spans="1:2">
      <c r="A6989" s="50">
        <v>45218</v>
      </c>
      <c r="B6989" s="49" t="s">
        <v>33</v>
      </c>
    </row>
    <row r="6990" spans="1:2">
      <c r="A6990" s="50">
        <v>45218</v>
      </c>
      <c r="B6990" s="49" t="s">
        <v>34</v>
      </c>
    </row>
    <row r="6991" spans="1:2">
      <c r="A6991" s="50">
        <v>45218</v>
      </c>
      <c r="B6991" s="49" t="s">
        <v>35</v>
      </c>
    </row>
    <row r="6992" spans="1:2">
      <c r="A6992" s="50">
        <v>45218</v>
      </c>
      <c r="B6992" s="49" t="s">
        <v>36</v>
      </c>
    </row>
    <row r="6993" spans="1:2">
      <c r="A6993" s="50">
        <v>45218</v>
      </c>
      <c r="B6993" s="49" t="s">
        <v>37</v>
      </c>
    </row>
    <row r="6994" spans="1:2">
      <c r="A6994" s="50">
        <v>45218</v>
      </c>
      <c r="B6994" s="49" t="s">
        <v>38</v>
      </c>
    </row>
    <row r="6995" spans="1:2">
      <c r="A6995" s="50">
        <v>45218</v>
      </c>
      <c r="B6995" s="49" t="s">
        <v>39</v>
      </c>
    </row>
    <row r="6996" spans="1:2">
      <c r="A6996" s="50">
        <v>45218</v>
      </c>
      <c r="B6996" s="49" t="s">
        <v>40</v>
      </c>
    </row>
    <row r="6997" spans="1:2">
      <c r="A6997" s="50">
        <v>45218</v>
      </c>
      <c r="B6997" s="49" t="s">
        <v>41</v>
      </c>
    </row>
    <row r="6998" spans="1:2">
      <c r="A6998" s="50">
        <v>45218</v>
      </c>
      <c r="B6998" s="49" t="s">
        <v>42</v>
      </c>
    </row>
    <row r="6999" spans="1:2">
      <c r="A6999" s="50">
        <v>45218</v>
      </c>
      <c r="B6999" s="49" t="s">
        <v>43</v>
      </c>
    </row>
    <row r="7000" spans="1:2">
      <c r="A7000" s="50">
        <v>45218</v>
      </c>
      <c r="B7000" s="49" t="s">
        <v>44</v>
      </c>
    </row>
    <row r="7001" spans="1:2">
      <c r="A7001" s="50">
        <v>45218</v>
      </c>
      <c r="B7001" s="49" t="s">
        <v>45</v>
      </c>
    </row>
    <row r="7002" spans="1:2">
      <c r="A7002" s="50">
        <v>45218</v>
      </c>
      <c r="B7002" s="49" t="s">
        <v>46</v>
      </c>
    </row>
    <row r="7003" spans="1:2">
      <c r="A7003" s="50">
        <v>45218</v>
      </c>
      <c r="B7003" s="49" t="s">
        <v>47</v>
      </c>
    </row>
    <row r="7004" spans="1:2">
      <c r="A7004" s="50">
        <v>45218</v>
      </c>
      <c r="B7004" s="49" t="s">
        <v>48</v>
      </c>
    </row>
    <row r="7005" spans="1:2">
      <c r="A7005" s="50">
        <v>45218</v>
      </c>
      <c r="B7005" s="49" t="s">
        <v>49</v>
      </c>
    </row>
    <row r="7006" spans="1:2">
      <c r="A7006" s="50">
        <v>45218</v>
      </c>
      <c r="B7006" s="49" t="s">
        <v>50</v>
      </c>
    </row>
    <row r="7007" spans="1:2">
      <c r="A7007" s="50">
        <v>45218</v>
      </c>
      <c r="B7007" s="49" t="s">
        <v>51</v>
      </c>
    </row>
    <row r="7008" spans="1:2">
      <c r="A7008" s="50">
        <v>45218</v>
      </c>
      <c r="B7008" s="49" t="s">
        <v>52</v>
      </c>
    </row>
    <row r="7009" spans="1:2">
      <c r="A7009" s="50">
        <v>45218</v>
      </c>
      <c r="B7009" s="49" t="s">
        <v>53</v>
      </c>
    </row>
    <row r="7010" spans="1:2">
      <c r="A7010" s="50">
        <v>45219</v>
      </c>
      <c r="B7010" s="49" t="s">
        <v>30</v>
      </c>
    </row>
    <row r="7011" spans="1:2">
      <c r="A7011" s="50">
        <v>45219</v>
      </c>
      <c r="B7011" s="49" t="s">
        <v>31</v>
      </c>
    </row>
    <row r="7012" spans="1:2">
      <c r="A7012" s="50">
        <v>45219</v>
      </c>
      <c r="B7012" s="49" t="s">
        <v>32</v>
      </c>
    </row>
    <row r="7013" spans="1:2">
      <c r="A7013" s="50">
        <v>45219</v>
      </c>
      <c r="B7013" s="49" t="s">
        <v>33</v>
      </c>
    </row>
    <row r="7014" spans="1:2">
      <c r="A7014" s="50">
        <v>45219</v>
      </c>
      <c r="B7014" s="49" t="s">
        <v>34</v>
      </c>
    </row>
    <row r="7015" spans="1:2">
      <c r="A7015" s="50">
        <v>45219</v>
      </c>
      <c r="B7015" s="49" t="s">
        <v>35</v>
      </c>
    </row>
    <row r="7016" spans="1:2">
      <c r="A7016" s="50">
        <v>45219</v>
      </c>
      <c r="B7016" s="49" t="s">
        <v>36</v>
      </c>
    </row>
    <row r="7017" spans="1:2">
      <c r="A7017" s="50">
        <v>45219</v>
      </c>
      <c r="B7017" s="49" t="s">
        <v>37</v>
      </c>
    </row>
    <row r="7018" spans="1:2">
      <c r="A7018" s="50">
        <v>45219</v>
      </c>
      <c r="B7018" s="49" t="s">
        <v>38</v>
      </c>
    </row>
    <row r="7019" spans="1:2">
      <c r="A7019" s="50">
        <v>45219</v>
      </c>
      <c r="B7019" s="49" t="s">
        <v>39</v>
      </c>
    </row>
    <row r="7020" spans="1:2">
      <c r="A7020" s="50">
        <v>45219</v>
      </c>
      <c r="B7020" s="49" t="s">
        <v>40</v>
      </c>
    </row>
    <row r="7021" spans="1:2">
      <c r="A7021" s="50">
        <v>45219</v>
      </c>
      <c r="B7021" s="49" t="s">
        <v>41</v>
      </c>
    </row>
    <row r="7022" spans="1:2">
      <c r="A7022" s="50">
        <v>45219</v>
      </c>
      <c r="B7022" s="49" t="s">
        <v>42</v>
      </c>
    </row>
    <row r="7023" spans="1:2">
      <c r="A7023" s="50">
        <v>45219</v>
      </c>
      <c r="B7023" s="49" t="s">
        <v>43</v>
      </c>
    </row>
    <row r="7024" spans="1:2">
      <c r="A7024" s="50">
        <v>45219</v>
      </c>
      <c r="B7024" s="49" t="s">
        <v>44</v>
      </c>
    </row>
    <row r="7025" spans="1:2">
      <c r="A7025" s="50">
        <v>45219</v>
      </c>
      <c r="B7025" s="49" t="s">
        <v>45</v>
      </c>
    </row>
    <row r="7026" spans="1:2">
      <c r="A7026" s="50">
        <v>45219</v>
      </c>
      <c r="B7026" s="49" t="s">
        <v>46</v>
      </c>
    </row>
    <row r="7027" spans="1:2">
      <c r="A7027" s="50">
        <v>45219</v>
      </c>
      <c r="B7027" s="49" t="s">
        <v>47</v>
      </c>
    </row>
    <row r="7028" spans="1:2">
      <c r="A7028" s="50">
        <v>45219</v>
      </c>
      <c r="B7028" s="49" t="s">
        <v>48</v>
      </c>
    </row>
    <row r="7029" spans="1:2">
      <c r="A7029" s="50">
        <v>45219</v>
      </c>
      <c r="B7029" s="49" t="s">
        <v>49</v>
      </c>
    </row>
    <row r="7030" spans="1:2">
      <c r="A7030" s="50">
        <v>45219</v>
      </c>
      <c r="B7030" s="49" t="s">
        <v>50</v>
      </c>
    </row>
    <row r="7031" spans="1:2">
      <c r="A7031" s="50">
        <v>45219</v>
      </c>
      <c r="B7031" s="49" t="s">
        <v>51</v>
      </c>
    </row>
    <row r="7032" spans="1:2">
      <c r="A7032" s="50">
        <v>45219</v>
      </c>
      <c r="B7032" s="49" t="s">
        <v>52</v>
      </c>
    </row>
    <row r="7033" spans="1:2">
      <c r="A7033" s="50">
        <v>45219</v>
      </c>
      <c r="B7033" s="49" t="s">
        <v>53</v>
      </c>
    </row>
    <row r="7034" spans="1:2">
      <c r="A7034" s="50">
        <v>45220</v>
      </c>
      <c r="B7034" s="49" t="s">
        <v>30</v>
      </c>
    </row>
    <row r="7035" spans="1:2">
      <c r="A7035" s="50">
        <v>45220</v>
      </c>
      <c r="B7035" s="49" t="s">
        <v>31</v>
      </c>
    </row>
    <row r="7036" spans="1:2">
      <c r="A7036" s="50">
        <v>45220</v>
      </c>
      <c r="B7036" s="49" t="s">
        <v>32</v>
      </c>
    </row>
    <row r="7037" spans="1:2">
      <c r="A7037" s="50">
        <v>45220</v>
      </c>
      <c r="B7037" s="49" t="s">
        <v>33</v>
      </c>
    </row>
    <row r="7038" spans="1:2">
      <c r="A7038" s="50">
        <v>45220</v>
      </c>
      <c r="B7038" s="49" t="s">
        <v>34</v>
      </c>
    </row>
    <row r="7039" spans="1:2">
      <c r="A7039" s="50">
        <v>45220</v>
      </c>
      <c r="B7039" s="49" t="s">
        <v>35</v>
      </c>
    </row>
    <row r="7040" spans="1:2">
      <c r="A7040" s="50">
        <v>45220</v>
      </c>
      <c r="B7040" s="49" t="s">
        <v>36</v>
      </c>
    </row>
    <row r="7041" spans="1:2">
      <c r="A7041" s="50">
        <v>45220</v>
      </c>
      <c r="B7041" s="49" t="s">
        <v>37</v>
      </c>
    </row>
    <row r="7042" spans="1:2">
      <c r="A7042" s="50">
        <v>45220</v>
      </c>
      <c r="B7042" s="49" t="s">
        <v>38</v>
      </c>
    </row>
    <row r="7043" spans="1:2">
      <c r="A7043" s="50">
        <v>45220</v>
      </c>
      <c r="B7043" s="49" t="s">
        <v>39</v>
      </c>
    </row>
    <row r="7044" spans="1:2">
      <c r="A7044" s="50">
        <v>45220</v>
      </c>
      <c r="B7044" s="49" t="s">
        <v>40</v>
      </c>
    </row>
    <row r="7045" spans="1:2">
      <c r="A7045" s="50">
        <v>45220</v>
      </c>
      <c r="B7045" s="49" t="s">
        <v>41</v>
      </c>
    </row>
    <row r="7046" spans="1:2">
      <c r="A7046" s="50">
        <v>45220</v>
      </c>
      <c r="B7046" s="49" t="s">
        <v>42</v>
      </c>
    </row>
    <row r="7047" spans="1:2">
      <c r="A7047" s="50">
        <v>45220</v>
      </c>
      <c r="B7047" s="49" t="s">
        <v>43</v>
      </c>
    </row>
    <row r="7048" spans="1:2">
      <c r="A7048" s="50">
        <v>45220</v>
      </c>
      <c r="B7048" s="49" t="s">
        <v>44</v>
      </c>
    </row>
    <row r="7049" spans="1:2">
      <c r="A7049" s="50">
        <v>45220</v>
      </c>
      <c r="B7049" s="49" t="s">
        <v>45</v>
      </c>
    </row>
    <row r="7050" spans="1:2">
      <c r="A7050" s="50">
        <v>45220</v>
      </c>
      <c r="B7050" s="49" t="s">
        <v>46</v>
      </c>
    </row>
    <row r="7051" spans="1:2">
      <c r="A7051" s="50">
        <v>45220</v>
      </c>
      <c r="B7051" s="49" t="s">
        <v>47</v>
      </c>
    </row>
    <row r="7052" spans="1:2">
      <c r="A7052" s="50">
        <v>45220</v>
      </c>
      <c r="B7052" s="49" t="s">
        <v>48</v>
      </c>
    </row>
    <row r="7053" spans="1:2">
      <c r="A7053" s="50">
        <v>45220</v>
      </c>
      <c r="B7053" s="49" t="s">
        <v>49</v>
      </c>
    </row>
    <row r="7054" spans="1:2">
      <c r="A7054" s="50">
        <v>45220</v>
      </c>
      <c r="B7054" s="49" t="s">
        <v>50</v>
      </c>
    </row>
    <row r="7055" spans="1:2">
      <c r="A7055" s="50">
        <v>45220</v>
      </c>
      <c r="B7055" s="49" t="s">
        <v>51</v>
      </c>
    </row>
    <row r="7056" spans="1:2">
      <c r="A7056" s="50">
        <v>45220</v>
      </c>
      <c r="B7056" s="49" t="s">
        <v>52</v>
      </c>
    </row>
    <row r="7057" spans="1:2">
      <c r="A7057" s="50">
        <v>45220</v>
      </c>
      <c r="B7057" s="49" t="s">
        <v>53</v>
      </c>
    </row>
    <row r="7058" spans="1:2">
      <c r="A7058" s="50">
        <v>45221</v>
      </c>
      <c r="B7058" s="49" t="s">
        <v>30</v>
      </c>
    </row>
    <row r="7059" spans="1:2">
      <c r="A7059" s="50">
        <v>45221</v>
      </c>
      <c r="B7059" s="49" t="s">
        <v>31</v>
      </c>
    </row>
    <row r="7060" spans="1:2">
      <c r="A7060" s="50">
        <v>45221</v>
      </c>
      <c r="B7060" s="49" t="s">
        <v>32</v>
      </c>
    </row>
    <row r="7061" spans="1:2">
      <c r="A7061" s="50">
        <v>45221</v>
      </c>
      <c r="B7061" s="49" t="s">
        <v>33</v>
      </c>
    </row>
    <row r="7062" spans="1:2">
      <c r="A7062" s="50">
        <v>45221</v>
      </c>
      <c r="B7062" s="49" t="s">
        <v>34</v>
      </c>
    </row>
    <row r="7063" spans="1:2">
      <c r="A7063" s="50">
        <v>45221</v>
      </c>
      <c r="B7063" s="49" t="s">
        <v>35</v>
      </c>
    </row>
    <row r="7064" spans="1:2">
      <c r="A7064" s="50">
        <v>45221</v>
      </c>
      <c r="B7064" s="49" t="s">
        <v>36</v>
      </c>
    </row>
    <row r="7065" spans="1:2">
      <c r="A7065" s="50">
        <v>45221</v>
      </c>
      <c r="B7065" s="49" t="s">
        <v>37</v>
      </c>
    </row>
    <row r="7066" spans="1:2">
      <c r="A7066" s="50">
        <v>45221</v>
      </c>
      <c r="B7066" s="49" t="s">
        <v>38</v>
      </c>
    </row>
    <row r="7067" spans="1:2">
      <c r="A7067" s="50">
        <v>45221</v>
      </c>
      <c r="B7067" s="49" t="s">
        <v>39</v>
      </c>
    </row>
    <row r="7068" spans="1:2">
      <c r="A7068" s="50">
        <v>45221</v>
      </c>
      <c r="B7068" s="49" t="s">
        <v>40</v>
      </c>
    </row>
    <row r="7069" spans="1:2">
      <c r="A7069" s="50">
        <v>45221</v>
      </c>
      <c r="B7069" s="49" t="s">
        <v>41</v>
      </c>
    </row>
    <row r="7070" spans="1:2">
      <c r="A7070" s="50">
        <v>45221</v>
      </c>
      <c r="B7070" s="49" t="s">
        <v>42</v>
      </c>
    </row>
    <row r="7071" spans="1:2">
      <c r="A7071" s="50">
        <v>45221</v>
      </c>
      <c r="B7071" s="49" t="s">
        <v>43</v>
      </c>
    </row>
    <row r="7072" spans="1:2">
      <c r="A7072" s="50">
        <v>45221</v>
      </c>
      <c r="B7072" s="49" t="s">
        <v>44</v>
      </c>
    </row>
    <row r="7073" spans="1:2">
      <c r="A7073" s="50">
        <v>45221</v>
      </c>
      <c r="B7073" s="49" t="s">
        <v>45</v>
      </c>
    </row>
    <row r="7074" spans="1:2">
      <c r="A7074" s="50">
        <v>45221</v>
      </c>
      <c r="B7074" s="49" t="s">
        <v>46</v>
      </c>
    </row>
    <row r="7075" spans="1:2">
      <c r="A7075" s="50">
        <v>45221</v>
      </c>
      <c r="B7075" s="49" t="s">
        <v>47</v>
      </c>
    </row>
    <row r="7076" spans="1:2">
      <c r="A7076" s="50">
        <v>45221</v>
      </c>
      <c r="B7076" s="49" t="s">
        <v>48</v>
      </c>
    </row>
    <row r="7077" spans="1:2">
      <c r="A7077" s="50">
        <v>45221</v>
      </c>
      <c r="B7077" s="49" t="s">
        <v>49</v>
      </c>
    </row>
    <row r="7078" spans="1:2">
      <c r="A7078" s="50">
        <v>45221</v>
      </c>
      <c r="B7078" s="49" t="s">
        <v>50</v>
      </c>
    </row>
    <row r="7079" spans="1:2">
      <c r="A7079" s="50">
        <v>45221</v>
      </c>
      <c r="B7079" s="49" t="s">
        <v>51</v>
      </c>
    </row>
    <row r="7080" spans="1:2">
      <c r="A7080" s="50">
        <v>45221</v>
      </c>
      <c r="B7080" s="49" t="s">
        <v>52</v>
      </c>
    </row>
    <row r="7081" spans="1:2">
      <c r="A7081" s="50">
        <v>45221</v>
      </c>
      <c r="B7081" s="49" t="s">
        <v>53</v>
      </c>
    </row>
    <row r="7082" spans="1:2">
      <c r="A7082" s="50">
        <v>45222</v>
      </c>
      <c r="B7082" s="49" t="s">
        <v>30</v>
      </c>
    </row>
    <row r="7083" spans="1:2">
      <c r="A7083" s="50">
        <v>45222</v>
      </c>
      <c r="B7083" s="49" t="s">
        <v>31</v>
      </c>
    </row>
    <row r="7084" spans="1:2">
      <c r="A7084" s="50">
        <v>45222</v>
      </c>
      <c r="B7084" s="49" t="s">
        <v>32</v>
      </c>
    </row>
    <row r="7085" spans="1:2">
      <c r="A7085" s="50">
        <v>45222</v>
      </c>
      <c r="B7085" s="49" t="s">
        <v>33</v>
      </c>
    </row>
    <row r="7086" spans="1:2">
      <c r="A7086" s="50">
        <v>45222</v>
      </c>
      <c r="B7086" s="49" t="s">
        <v>34</v>
      </c>
    </row>
    <row r="7087" spans="1:2">
      <c r="A7087" s="50">
        <v>45222</v>
      </c>
      <c r="B7087" s="49" t="s">
        <v>35</v>
      </c>
    </row>
    <row r="7088" spans="1:2">
      <c r="A7088" s="50">
        <v>45222</v>
      </c>
      <c r="B7088" s="49" t="s">
        <v>36</v>
      </c>
    </row>
    <row r="7089" spans="1:2">
      <c r="A7089" s="50">
        <v>45222</v>
      </c>
      <c r="B7089" s="49" t="s">
        <v>37</v>
      </c>
    </row>
    <row r="7090" spans="1:2">
      <c r="A7090" s="50">
        <v>45222</v>
      </c>
      <c r="B7090" s="49" t="s">
        <v>38</v>
      </c>
    </row>
    <row r="7091" spans="1:2">
      <c r="A7091" s="50">
        <v>45222</v>
      </c>
      <c r="B7091" s="49" t="s">
        <v>39</v>
      </c>
    </row>
    <row r="7092" spans="1:2">
      <c r="A7092" s="50">
        <v>45222</v>
      </c>
      <c r="B7092" s="49" t="s">
        <v>40</v>
      </c>
    </row>
    <row r="7093" spans="1:2">
      <c r="A7093" s="50">
        <v>45222</v>
      </c>
      <c r="B7093" s="49" t="s">
        <v>41</v>
      </c>
    </row>
    <row r="7094" spans="1:2">
      <c r="A7094" s="50">
        <v>45222</v>
      </c>
      <c r="B7094" s="49" t="s">
        <v>42</v>
      </c>
    </row>
    <row r="7095" spans="1:2">
      <c r="A7095" s="50">
        <v>45222</v>
      </c>
      <c r="B7095" s="49" t="s">
        <v>43</v>
      </c>
    </row>
    <row r="7096" spans="1:2">
      <c r="A7096" s="50">
        <v>45222</v>
      </c>
      <c r="B7096" s="49" t="s">
        <v>44</v>
      </c>
    </row>
    <row r="7097" spans="1:2">
      <c r="A7097" s="50">
        <v>45222</v>
      </c>
      <c r="B7097" s="49" t="s">
        <v>45</v>
      </c>
    </row>
    <row r="7098" spans="1:2">
      <c r="A7098" s="50">
        <v>45222</v>
      </c>
      <c r="B7098" s="49" t="s">
        <v>46</v>
      </c>
    </row>
    <row r="7099" spans="1:2">
      <c r="A7099" s="50">
        <v>45222</v>
      </c>
      <c r="B7099" s="49" t="s">
        <v>47</v>
      </c>
    </row>
    <row r="7100" spans="1:2">
      <c r="A7100" s="50">
        <v>45222</v>
      </c>
      <c r="B7100" s="49" t="s">
        <v>48</v>
      </c>
    </row>
    <row r="7101" spans="1:2">
      <c r="A7101" s="50">
        <v>45222</v>
      </c>
      <c r="B7101" s="49" t="s">
        <v>49</v>
      </c>
    </row>
    <row r="7102" spans="1:2">
      <c r="A7102" s="50">
        <v>45222</v>
      </c>
      <c r="B7102" s="49" t="s">
        <v>50</v>
      </c>
    </row>
    <row r="7103" spans="1:2">
      <c r="A7103" s="50">
        <v>45222</v>
      </c>
      <c r="B7103" s="49" t="s">
        <v>51</v>
      </c>
    </row>
    <row r="7104" spans="1:2">
      <c r="A7104" s="50">
        <v>45222</v>
      </c>
      <c r="B7104" s="49" t="s">
        <v>52</v>
      </c>
    </row>
    <row r="7105" spans="1:2">
      <c r="A7105" s="50">
        <v>45222</v>
      </c>
      <c r="B7105" s="49" t="s">
        <v>53</v>
      </c>
    </row>
    <row r="7106" spans="1:2">
      <c r="A7106" s="50">
        <v>45223</v>
      </c>
      <c r="B7106" s="49" t="s">
        <v>30</v>
      </c>
    </row>
    <row r="7107" spans="1:2">
      <c r="A7107" s="50">
        <v>45223</v>
      </c>
      <c r="B7107" s="49" t="s">
        <v>31</v>
      </c>
    </row>
    <row r="7108" spans="1:2">
      <c r="A7108" s="50">
        <v>45223</v>
      </c>
      <c r="B7108" s="49" t="s">
        <v>32</v>
      </c>
    </row>
    <row r="7109" spans="1:2">
      <c r="A7109" s="50">
        <v>45223</v>
      </c>
      <c r="B7109" s="49" t="s">
        <v>33</v>
      </c>
    </row>
    <row r="7110" spans="1:2">
      <c r="A7110" s="50">
        <v>45223</v>
      </c>
      <c r="B7110" s="49" t="s">
        <v>34</v>
      </c>
    </row>
    <row r="7111" spans="1:2">
      <c r="A7111" s="50">
        <v>45223</v>
      </c>
      <c r="B7111" s="49" t="s">
        <v>35</v>
      </c>
    </row>
    <row r="7112" spans="1:2">
      <c r="A7112" s="50">
        <v>45223</v>
      </c>
      <c r="B7112" s="49" t="s">
        <v>36</v>
      </c>
    </row>
    <row r="7113" spans="1:2">
      <c r="A7113" s="50">
        <v>45223</v>
      </c>
      <c r="B7113" s="49" t="s">
        <v>37</v>
      </c>
    </row>
    <row r="7114" spans="1:2">
      <c r="A7114" s="50">
        <v>45223</v>
      </c>
      <c r="B7114" s="49" t="s">
        <v>38</v>
      </c>
    </row>
    <row r="7115" spans="1:2">
      <c r="A7115" s="50">
        <v>45223</v>
      </c>
      <c r="B7115" s="49" t="s">
        <v>39</v>
      </c>
    </row>
    <row r="7116" spans="1:2">
      <c r="A7116" s="50">
        <v>45223</v>
      </c>
      <c r="B7116" s="49" t="s">
        <v>40</v>
      </c>
    </row>
    <row r="7117" spans="1:2">
      <c r="A7117" s="50">
        <v>45223</v>
      </c>
      <c r="B7117" s="49" t="s">
        <v>41</v>
      </c>
    </row>
    <row r="7118" spans="1:2">
      <c r="A7118" s="50">
        <v>45223</v>
      </c>
      <c r="B7118" s="49" t="s">
        <v>42</v>
      </c>
    </row>
    <row r="7119" spans="1:2">
      <c r="A7119" s="50">
        <v>45223</v>
      </c>
      <c r="B7119" s="49" t="s">
        <v>43</v>
      </c>
    </row>
    <row r="7120" spans="1:2">
      <c r="A7120" s="50">
        <v>45223</v>
      </c>
      <c r="B7120" s="49" t="s">
        <v>44</v>
      </c>
    </row>
    <row r="7121" spans="1:2">
      <c r="A7121" s="50">
        <v>45223</v>
      </c>
      <c r="B7121" s="49" t="s">
        <v>45</v>
      </c>
    </row>
    <row r="7122" spans="1:2">
      <c r="A7122" s="50">
        <v>45223</v>
      </c>
      <c r="B7122" s="49" t="s">
        <v>46</v>
      </c>
    </row>
    <row r="7123" spans="1:2">
      <c r="A7123" s="50">
        <v>45223</v>
      </c>
      <c r="B7123" s="49" t="s">
        <v>47</v>
      </c>
    </row>
    <row r="7124" spans="1:2">
      <c r="A7124" s="50">
        <v>45223</v>
      </c>
      <c r="B7124" s="49" t="s">
        <v>48</v>
      </c>
    </row>
    <row r="7125" spans="1:2">
      <c r="A7125" s="50">
        <v>45223</v>
      </c>
      <c r="B7125" s="49" t="s">
        <v>49</v>
      </c>
    </row>
    <row r="7126" spans="1:2">
      <c r="A7126" s="50">
        <v>45223</v>
      </c>
      <c r="B7126" s="49" t="s">
        <v>50</v>
      </c>
    </row>
    <row r="7127" spans="1:2">
      <c r="A7127" s="50">
        <v>45223</v>
      </c>
      <c r="B7127" s="49" t="s">
        <v>51</v>
      </c>
    </row>
    <row r="7128" spans="1:2">
      <c r="A7128" s="50">
        <v>45223</v>
      </c>
      <c r="B7128" s="49" t="s">
        <v>52</v>
      </c>
    </row>
    <row r="7129" spans="1:2">
      <c r="A7129" s="50">
        <v>45223</v>
      </c>
      <c r="B7129" s="49" t="s">
        <v>53</v>
      </c>
    </row>
    <row r="7130" spans="1:2">
      <c r="A7130" s="50">
        <v>45224</v>
      </c>
      <c r="B7130" s="49" t="s">
        <v>30</v>
      </c>
    </row>
    <row r="7131" spans="1:2">
      <c r="A7131" s="50">
        <v>45224</v>
      </c>
      <c r="B7131" s="49" t="s">
        <v>31</v>
      </c>
    </row>
    <row r="7132" spans="1:2">
      <c r="A7132" s="50">
        <v>45224</v>
      </c>
      <c r="B7132" s="49" t="s">
        <v>32</v>
      </c>
    </row>
    <row r="7133" spans="1:2">
      <c r="A7133" s="50">
        <v>45224</v>
      </c>
      <c r="B7133" s="49" t="s">
        <v>33</v>
      </c>
    </row>
    <row r="7134" spans="1:2">
      <c r="A7134" s="50">
        <v>45224</v>
      </c>
      <c r="B7134" s="49" t="s">
        <v>34</v>
      </c>
    </row>
    <row r="7135" spans="1:2">
      <c r="A7135" s="50">
        <v>45224</v>
      </c>
      <c r="B7135" s="49" t="s">
        <v>35</v>
      </c>
    </row>
    <row r="7136" spans="1:2">
      <c r="A7136" s="50">
        <v>45224</v>
      </c>
      <c r="B7136" s="49" t="s">
        <v>36</v>
      </c>
    </row>
    <row r="7137" spans="1:2">
      <c r="A7137" s="50">
        <v>45224</v>
      </c>
      <c r="B7137" s="49" t="s">
        <v>37</v>
      </c>
    </row>
    <row r="7138" spans="1:2">
      <c r="A7138" s="50">
        <v>45224</v>
      </c>
      <c r="B7138" s="49" t="s">
        <v>38</v>
      </c>
    </row>
    <row r="7139" spans="1:2">
      <c r="A7139" s="50">
        <v>45224</v>
      </c>
      <c r="B7139" s="49" t="s">
        <v>39</v>
      </c>
    </row>
    <row r="7140" spans="1:2">
      <c r="A7140" s="50">
        <v>45224</v>
      </c>
      <c r="B7140" s="49" t="s">
        <v>40</v>
      </c>
    </row>
    <row r="7141" spans="1:2">
      <c r="A7141" s="50">
        <v>45224</v>
      </c>
      <c r="B7141" s="49" t="s">
        <v>41</v>
      </c>
    </row>
    <row r="7142" spans="1:2">
      <c r="A7142" s="50">
        <v>45224</v>
      </c>
      <c r="B7142" s="49" t="s">
        <v>42</v>
      </c>
    </row>
    <row r="7143" spans="1:2">
      <c r="A7143" s="50">
        <v>45224</v>
      </c>
      <c r="B7143" s="49" t="s">
        <v>43</v>
      </c>
    </row>
    <row r="7144" spans="1:2">
      <c r="A7144" s="50">
        <v>45224</v>
      </c>
      <c r="B7144" s="49" t="s">
        <v>44</v>
      </c>
    </row>
    <row r="7145" spans="1:2">
      <c r="A7145" s="50">
        <v>45224</v>
      </c>
      <c r="B7145" s="49" t="s">
        <v>45</v>
      </c>
    </row>
    <row r="7146" spans="1:2">
      <c r="A7146" s="50">
        <v>45224</v>
      </c>
      <c r="B7146" s="49" t="s">
        <v>46</v>
      </c>
    </row>
    <row r="7147" spans="1:2">
      <c r="A7147" s="50">
        <v>45224</v>
      </c>
      <c r="B7147" s="49" t="s">
        <v>47</v>
      </c>
    </row>
    <row r="7148" spans="1:2">
      <c r="A7148" s="50">
        <v>45224</v>
      </c>
      <c r="B7148" s="49" t="s">
        <v>48</v>
      </c>
    </row>
    <row r="7149" spans="1:2">
      <c r="A7149" s="50">
        <v>45224</v>
      </c>
      <c r="B7149" s="49" t="s">
        <v>49</v>
      </c>
    </row>
    <row r="7150" spans="1:2">
      <c r="A7150" s="50">
        <v>45224</v>
      </c>
      <c r="B7150" s="49" t="s">
        <v>50</v>
      </c>
    </row>
    <row r="7151" spans="1:2">
      <c r="A7151" s="50">
        <v>45224</v>
      </c>
      <c r="B7151" s="49" t="s">
        <v>51</v>
      </c>
    </row>
    <row r="7152" spans="1:2">
      <c r="A7152" s="50">
        <v>45224</v>
      </c>
      <c r="B7152" s="49" t="s">
        <v>52</v>
      </c>
    </row>
    <row r="7153" spans="1:2">
      <c r="A7153" s="50">
        <v>45224</v>
      </c>
      <c r="B7153" s="49" t="s">
        <v>53</v>
      </c>
    </row>
    <row r="7154" spans="1:2">
      <c r="A7154" s="50">
        <v>45225</v>
      </c>
      <c r="B7154" s="49" t="s">
        <v>30</v>
      </c>
    </row>
    <row r="7155" spans="1:2">
      <c r="A7155" s="50">
        <v>45225</v>
      </c>
      <c r="B7155" s="49" t="s">
        <v>31</v>
      </c>
    </row>
    <row r="7156" spans="1:2">
      <c r="A7156" s="50">
        <v>45225</v>
      </c>
      <c r="B7156" s="49" t="s">
        <v>32</v>
      </c>
    </row>
    <row r="7157" spans="1:2">
      <c r="A7157" s="50">
        <v>45225</v>
      </c>
      <c r="B7157" s="49" t="s">
        <v>33</v>
      </c>
    </row>
    <row r="7158" spans="1:2">
      <c r="A7158" s="50">
        <v>45225</v>
      </c>
      <c r="B7158" s="49" t="s">
        <v>34</v>
      </c>
    </row>
    <row r="7159" spans="1:2">
      <c r="A7159" s="50">
        <v>45225</v>
      </c>
      <c r="B7159" s="49" t="s">
        <v>35</v>
      </c>
    </row>
    <row r="7160" spans="1:2">
      <c r="A7160" s="50">
        <v>45225</v>
      </c>
      <c r="B7160" s="49" t="s">
        <v>36</v>
      </c>
    </row>
    <row r="7161" spans="1:2">
      <c r="A7161" s="50">
        <v>45225</v>
      </c>
      <c r="B7161" s="49" t="s">
        <v>37</v>
      </c>
    </row>
    <row r="7162" spans="1:2">
      <c r="A7162" s="50">
        <v>45225</v>
      </c>
      <c r="B7162" s="49" t="s">
        <v>38</v>
      </c>
    </row>
    <row r="7163" spans="1:2">
      <c r="A7163" s="50">
        <v>45225</v>
      </c>
      <c r="B7163" s="49" t="s">
        <v>39</v>
      </c>
    </row>
    <row r="7164" spans="1:2">
      <c r="A7164" s="50">
        <v>45225</v>
      </c>
      <c r="B7164" s="49" t="s">
        <v>40</v>
      </c>
    </row>
    <row r="7165" spans="1:2">
      <c r="A7165" s="50">
        <v>45225</v>
      </c>
      <c r="B7165" s="49" t="s">
        <v>41</v>
      </c>
    </row>
    <row r="7166" spans="1:2">
      <c r="A7166" s="50">
        <v>45225</v>
      </c>
      <c r="B7166" s="49" t="s">
        <v>42</v>
      </c>
    </row>
    <row r="7167" spans="1:2">
      <c r="A7167" s="50">
        <v>45225</v>
      </c>
      <c r="B7167" s="49" t="s">
        <v>43</v>
      </c>
    </row>
    <row r="7168" spans="1:2">
      <c r="A7168" s="50">
        <v>45225</v>
      </c>
      <c r="B7168" s="49" t="s">
        <v>44</v>
      </c>
    </row>
    <row r="7169" spans="1:2">
      <c r="A7169" s="50">
        <v>45225</v>
      </c>
      <c r="B7169" s="49" t="s">
        <v>45</v>
      </c>
    </row>
    <row r="7170" spans="1:2">
      <c r="A7170" s="50">
        <v>45225</v>
      </c>
      <c r="B7170" s="49" t="s">
        <v>46</v>
      </c>
    </row>
    <row r="7171" spans="1:2">
      <c r="A7171" s="50">
        <v>45225</v>
      </c>
      <c r="B7171" s="49" t="s">
        <v>47</v>
      </c>
    </row>
    <row r="7172" spans="1:2">
      <c r="A7172" s="50">
        <v>45225</v>
      </c>
      <c r="B7172" s="49" t="s">
        <v>48</v>
      </c>
    </row>
    <row r="7173" spans="1:2">
      <c r="A7173" s="50">
        <v>45225</v>
      </c>
      <c r="B7173" s="49" t="s">
        <v>49</v>
      </c>
    </row>
    <row r="7174" spans="1:2">
      <c r="A7174" s="50">
        <v>45225</v>
      </c>
      <c r="B7174" s="49" t="s">
        <v>50</v>
      </c>
    </row>
    <row r="7175" spans="1:2">
      <c r="A7175" s="50">
        <v>45225</v>
      </c>
      <c r="B7175" s="49" t="s">
        <v>51</v>
      </c>
    </row>
    <row r="7176" spans="1:2">
      <c r="A7176" s="50">
        <v>45225</v>
      </c>
      <c r="B7176" s="49" t="s">
        <v>52</v>
      </c>
    </row>
    <row r="7177" spans="1:2">
      <c r="A7177" s="50">
        <v>45225</v>
      </c>
      <c r="B7177" s="49" t="s">
        <v>53</v>
      </c>
    </row>
    <row r="7178" spans="1:2">
      <c r="A7178" s="50">
        <v>45226</v>
      </c>
      <c r="B7178" s="49" t="s">
        <v>30</v>
      </c>
    </row>
    <row r="7179" spans="1:2">
      <c r="A7179" s="50">
        <v>45226</v>
      </c>
      <c r="B7179" s="49" t="s">
        <v>31</v>
      </c>
    </row>
    <row r="7180" spans="1:2">
      <c r="A7180" s="50">
        <v>45226</v>
      </c>
      <c r="B7180" s="49" t="s">
        <v>32</v>
      </c>
    </row>
    <row r="7181" spans="1:2">
      <c r="A7181" s="50">
        <v>45226</v>
      </c>
      <c r="B7181" s="49" t="s">
        <v>33</v>
      </c>
    </row>
    <row r="7182" spans="1:2">
      <c r="A7182" s="50">
        <v>45226</v>
      </c>
      <c r="B7182" s="49" t="s">
        <v>34</v>
      </c>
    </row>
    <row r="7183" spans="1:2">
      <c r="A7183" s="50">
        <v>45226</v>
      </c>
      <c r="B7183" s="49" t="s">
        <v>35</v>
      </c>
    </row>
    <row r="7184" spans="1:2">
      <c r="A7184" s="50">
        <v>45226</v>
      </c>
      <c r="B7184" s="49" t="s">
        <v>36</v>
      </c>
    </row>
    <row r="7185" spans="1:2">
      <c r="A7185" s="50">
        <v>45226</v>
      </c>
      <c r="B7185" s="49" t="s">
        <v>37</v>
      </c>
    </row>
    <row r="7186" spans="1:2">
      <c r="A7186" s="50">
        <v>45226</v>
      </c>
      <c r="B7186" s="49" t="s">
        <v>38</v>
      </c>
    </row>
    <row r="7187" spans="1:2">
      <c r="A7187" s="50">
        <v>45226</v>
      </c>
      <c r="B7187" s="49" t="s">
        <v>39</v>
      </c>
    </row>
    <row r="7188" spans="1:2">
      <c r="A7188" s="50">
        <v>45226</v>
      </c>
      <c r="B7188" s="49" t="s">
        <v>40</v>
      </c>
    </row>
    <row r="7189" spans="1:2">
      <c r="A7189" s="50">
        <v>45226</v>
      </c>
      <c r="B7189" s="49" t="s">
        <v>41</v>
      </c>
    </row>
    <row r="7190" spans="1:2">
      <c r="A7190" s="50">
        <v>45226</v>
      </c>
      <c r="B7190" s="49" t="s">
        <v>42</v>
      </c>
    </row>
    <row r="7191" spans="1:2">
      <c r="A7191" s="50">
        <v>45226</v>
      </c>
      <c r="B7191" s="49" t="s">
        <v>43</v>
      </c>
    </row>
    <row r="7192" spans="1:2">
      <c r="A7192" s="50">
        <v>45226</v>
      </c>
      <c r="B7192" s="49" t="s">
        <v>44</v>
      </c>
    </row>
    <row r="7193" spans="1:2">
      <c r="A7193" s="50">
        <v>45226</v>
      </c>
      <c r="B7193" s="49" t="s">
        <v>45</v>
      </c>
    </row>
    <row r="7194" spans="1:2">
      <c r="A7194" s="50">
        <v>45226</v>
      </c>
      <c r="B7194" s="49" t="s">
        <v>46</v>
      </c>
    </row>
    <row r="7195" spans="1:2">
      <c r="A7195" s="50">
        <v>45226</v>
      </c>
      <c r="B7195" s="49" t="s">
        <v>47</v>
      </c>
    </row>
    <row r="7196" spans="1:2">
      <c r="A7196" s="50">
        <v>45226</v>
      </c>
      <c r="B7196" s="49" t="s">
        <v>48</v>
      </c>
    </row>
    <row r="7197" spans="1:2">
      <c r="A7197" s="50">
        <v>45226</v>
      </c>
      <c r="B7197" s="49" t="s">
        <v>49</v>
      </c>
    </row>
    <row r="7198" spans="1:2">
      <c r="A7198" s="50">
        <v>45226</v>
      </c>
      <c r="B7198" s="49" t="s">
        <v>50</v>
      </c>
    </row>
    <row r="7199" spans="1:2">
      <c r="A7199" s="50">
        <v>45226</v>
      </c>
      <c r="B7199" s="49" t="s">
        <v>51</v>
      </c>
    </row>
    <row r="7200" spans="1:2">
      <c r="A7200" s="50">
        <v>45226</v>
      </c>
      <c r="B7200" s="49" t="s">
        <v>52</v>
      </c>
    </row>
    <row r="7201" spans="1:2">
      <c r="A7201" s="50">
        <v>45226</v>
      </c>
      <c r="B7201" s="49" t="s">
        <v>53</v>
      </c>
    </row>
    <row r="7202" spans="1:2">
      <c r="A7202" s="50">
        <v>45227</v>
      </c>
      <c r="B7202" s="49" t="s">
        <v>30</v>
      </c>
    </row>
    <row r="7203" spans="1:2">
      <c r="A7203" s="50">
        <v>45227</v>
      </c>
      <c r="B7203" s="49" t="s">
        <v>31</v>
      </c>
    </row>
    <row r="7204" spans="1:2">
      <c r="A7204" s="50">
        <v>45227</v>
      </c>
      <c r="B7204" s="49" t="s">
        <v>32</v>
      </c>
    </row>
    <row r="7205" spans="1:2">
      <c r="A7205" s="50">
        <v>45227</v>
      </c>
      <c r="B7205" s="49" t="s">
        <v>33</v>
      </c>
    </row>
    <row r="7206" spans="1:2">
      <c r="A7206" s="50">
        <v>45227</v>
      </c>
      <c r="B7206" s="49" t="s">
        <v>34</v>
      </c>
    </row>
    <row r="7207" spans="1:2">
      <c r="A7207" s="50">
        <v>45227</v>
      </c>
      <c r="B7207" s="49" t="s">
        <v>35</v>
      </c>
    </row>
    <row r="7208" spans="1:2">
      <c r="A7208" s="50">
        <v>45227</v>
      </c>
      <c r="B7208" s="49" t="s">
        <v>36</v>
      </c>
    </row>
    <row r="7209" spans="1:2">
      <c r="A7209" s="50">
        <v>45227</v>
      </c>
      <c r="B7209" s="49" t="s">
        <v>37</v>
      </c>
    </row>
    <row r="7210" spans="1:2">
      <c r="A7210" s="50">
        <v>45227</v>
      </c>
      <c r="B7210" s="49" t="s">
        <v>38</v>
      </c>
    </row>
    <row r="7211" spans="1:2">
      <c r="A7211" s="50">
        <v>45227</v>
      </c>
      <c r="B7211" s="49" t="s">
        <v>39</v>
      </c>
    </row>
    <row r="7212" spans="1:2">
      <c r="A7212" s="50">
        <v>45227</v>
      </c>
      <c r="B7212" s="49" t="s">
        <v>40</v>
      </c>
    </row>
    <row r="7213" spans="1:2">
      <c r="A7213" s="50">
        <v>45227</v>
      </c>
      <c r="B7213" s="49" t="s">
        <v>41</v>
      </c>
    </row>
    <row r="7214" spans="1:2">
      <c r="A7214" s="50">
        <v>45227</v>
      </c>
      <c r="B7214" s="49" t="s">
        <v>42</v>
      </c>
    </row>
    <row r="7215" spans="1:2">
      <c r="A7215" s="50">
        <v>45227</v>
      </c>
      <c r="B7215" s="49" t="s">
        <v>43</v>
      </c>
    </row>
    <row r="7216" spans="1:2">
      <c r="A7216" s="50">
        <v>45227</v>
      </c>
      <c r="B7216" s="49" t="s">
        <v>44</v>
      </c>
    </row>
    <row r="7217" spans="1:2">
      <c r="A7217" s="50">
        <v>45227</v>
      </c>
      <c r="B7217" s="49" t="s">
        <v>45</v>
      </c>
    </row>
    <row r="7218" spans="1:2">
      <c r="A7218" s="50">
        <v>45227</v>
      </c>
      <c r="B7218" s="49" t="s">
        <v>46</v>
      </c>
    </row>
    <row r="7219" spans="1:2">
      <c r="A7219" s="50">
        <v>45227</v>
      </c>
      <c r="B7219" s="49" t="s">
        <v>47</v>
      </c>
    </row>
    <row r="7220" spans="1:2">
      <c r="A7220" s="50">
        <v>45227</v>
      </c>
      <c r="B7220" s="49" t="s">
        <v>48</v>
      </c>
    </row>
    <row r="7221" spans="1:2">
      <c r="A7221" s="50">
        <v>45227</v>
      </c>
      <c r="B7221" s="49" t="s">
        <v>49</v>
      </c>
    </row>
    <row r="7222" spans="1:2">
      <c r="A7222" s="50">
        <v>45227</v>
      </c>
      <c r="B7222" s="49" t="s">
        <v>50</v>
      </c>
    </row>
    <row r="7223" spans="1:2">
      <c r="A7223" s="50">
        <v>45227</v>
      </c>
      <c r="B7223" s="49" t="s">
        <v>51</v>
      </c>
    </row>
    <row r="7224" spans="1:2">
      <c r="A7224" s="50">
        <v>45227</v>
      </c>
      <c r="B7224" s="49" t="s">
        <v>52</v>
      </c>
    </row>
    <row r="7225" spans="1:2">
      <c r="A7225" s="50">
        <v>45227</v>
      </c>
      <c r="B7225" s="49" t="s">
        <v>53</v>
      </c>
    </row>
    <row r="7226" spans="1:2">
      <c r="A7226" s="50">
        <v>45228</v>
      </c>
      <c r="B7226" s="49" t="s">
        <v>30</v>
      </c>
    </row>
    <row r="7227" spans="1:2">
      <c r="A7227" s="50">
        <v>45228</v>
      </c>
      <c r="B7227" s="49" t="s">
        <v>31</v>
      </c>
    </row>
    <row r="7228" spans="1:2">
      <c r="A7228" s="50">
        <v>45228</v>
      </c>
      <c r="B7228" s="49" t="s">
        <v>32</v>
      </c>
    </row>
    <row r="7229" spans="1:2">
      <c r="A7229" s="50">
        <v>45228</v>
      </c>
      <c r="B7229" s="49" t="s">
        <v>33</v>
      </c>
    </row>
    <row r="7230" spans="1:2">
      <c r="A7230" s="50">
        <v>45228</v>
      </c>
      <c r="B7230" s="49" t="s">
        <v>34</v>
      </c>
    </row>
    <row r="7231" spans="1:2">
      <c r="A7231" s="50">
        <v>45228</v>
      </c>
      <c r="B7231" s="49" t="s">
        <v>35</v>
      </c>
    </row>
    <row r="7232" spans="1:2">
      <c r="A7232" s="50">
        <v>45228</v>
      </c>
      <c r="B7232" s="49" t="s">
        <v>36</v>
      </c>
    </row>
    <row r="7233" spans="1:2">
      <c r="A7233" s="50">
        <v>45228</v>
      </c>
      <c r="B7233" s="49" t="s">
        <v>37</v>
      </c>
    </row>
    <row r="7234" spans="1:2">
      <c r="A7234" s="50">
        <v>45228</v>
      </c>
      <c r="B7234" s="49" t="s">
        <v>38</v>
      </c>
    </row>
    <row r="7235" spans="1:2">
      <c r="A7235" s="50">
        <v>45228</v>
      </c>
      <c r="B7235" s="49" t="s">
        <v>39</v>
      </c>
    </row>
    <row r="7236" spans="1:2">
      <c r="A7236" s="50">
        <v>45228</v>
      </c>
      <c r="B7236" s="49" t="s">
        <v>40</v>
      </c>
    </row>
    <row r="7237" spans="1:2">
      <c r="A7237" s="50">
        <v>45228</v>
      </c>
      <c r="B7237" s="49" t="s">
        <v>41</v>
      </c>
    </row>
    <row r="7238" spans="1:2">
      <c r="A7238" s="50">
        <v>45228</v>
      </c>
      <c r="B7238" s="49" t="s">
        <v>42</v>
      </c>
    </row>
    <row r="7239" spans="1:2">
      <c r="A7239" s="50">
        <v>45228</v>
      </c>
      <c r="B7239" s="49" t="s">
        <v>43</v>
      </c>
    </row>
    <row r="7240" spans="1:2">
      <c r="A7240" s="50">
        <v>45228</v>
      </c>
      <c r="B7240" s="49" t="s">
        <v>44</v>
      </c>
    </row>
    <row r="7241" spans="1:2">
      <c r="A7241" s="50">
        <v>45228</v>
      </c>
      <c r="B7241" s="49" t="s">
        <v>45</v>
      </c>
    </row>
    <row r="7242" spans="1:2">
      <c r="A7242" s="50">
        <v>45228</v>
      </c>
      <c r="B7242" s="49" t="s">
        <v>46</v>
      </c>
    </row>
    <row r="7243" spans="1:2">
      <c r="A7243" s="50">
        <v>45228</v>
      </c>
      <c r="B7243" s="49" t="s">
        <v>47</v>
      </c>
    </row>
    <row r="7244" spans="1:2">
      <c r="A7244" s="50">
        <v>45228</v>
      </c>
      <c r="B7244" s="49" t="s">
        <v>48</v>
      </c>
    </row>
    <row r="7245" spans="1:2">
      <c r="A7245" s="50">
        <v>45228</v>
      </c>
      <c r="B7245" s="49" t="s">
        <v>49</v>
      </c>
    </row>
    <row r="7246" spans="1:2">
      <c r="A7246" s="50">
        <v>45228</v>
      </c>
      <c r="B7246" s="49" t="s">
        <v>50</v>
      </c>
    </row>
    <row r="7247" spans="1:2">
      <c r="A7247" s="50">
        <v>45228</v>
      </c>
      <c r="B7247" s="49" t="s">
        <v>51</v>
      </c>
    </row>
    <row r="7248" spans="1:2">
      <c r="A7248" s="50">
        <v>45228</v>
      </c>
      <c r="B7248" s="49" t="s">
        <v>52</v>
      </c>
    </row>
    <row r="7249" spans="1:2">
      <c r="A7249" s="50">
        <v>45228</v>
      </c>
      <c r="B7249" s="49" t="s">
        <v>53</v>
      </c>
    </row>
    <row r="7250" spans="1:2">
      <c r="A7250" s="50">
        <v>45229</v>
      </c>
      <c r="B7250" s="49" t="s">
        <v>30</v>
      </c>
    </row>
    <row r="7251" spans="1:2">
      <c r="A7251" s="50">
        <v>45229</v>
      </c>
      <c r="B7251" s="49" t="s">
        <v>31</v>
      </c>
    </row>
    <row r="7252" spans="1:2">
      <c r="A7252" s="50">
        <v>45229</v>
      </c>
      <c r="B7252" s="49" t="s">
        <v>32</v>
      </c>
    </row>
    <row r="7253" spans="1:2">
      <c r="A7253" s="50">
        <v>45229</v>
      </c>
      <c r="B7253" s="49" t="s">
        <v>33</v>
      </c>
    </row>
    <row r="7254" spans="1:2">
      <c r="A7254" s="50">
        <v>45229</v>
      </c>
      <c r="B7254" s="49" t="s">
        <v>34</v>
      </c>
    </row>
    <row r="7255" spans="1:2">
      <c r="A7255" s="50">
        <v>45229</v>
      </c>
      <c r="B7255" s="49" t="s">
        <v>35</v>
      </c>
    </row>
    <row r="7256" spans="1:2">
      <c r="A7256" s="50">
        <v>45229</v>
      </c>
      <c r="B7256" s="49" t="s">
        <v>36</v>
      </c>
    </row>
    <row r="7257" spans="1:2">
      <c r="A7257" s="50">
        <v>45229</v>
      </c>
      <c r="B7257" s="49" t="s">
        <v>37</v>
      </c>
    </row>
    <row r="7258" spans="1:2">
      <c r="A7258" s="50">
        <v>45229</v>
      </c>
      <c r="B7258" s="49" t="s">
        <v>38</v>
      </c>
    </row>
    <row r="7259" spans="1:2">
      <c r="A7259" s="50">
        <v>45229</v>
      </c>
      <c r="B7259" s="49" t="s">
        <v>39</v>
      </c>
    </row>
    <row r="7260" spans="1:2">
      <c r="A7260" s="50">
        <v>45229</v>
      </c>
      <c r="B7260" s="49" t="s">
        <v>40</v>
      </c>
    </row>
    <row r="7261" spans="1:2">
      <c r="A7261" s="50">
        <v>45229</v>
      </c>
      <c r="B7261" s="49" t="s">
        <v>41</v>
      </c>
    </row>
    <row r="7262" spans="1:2">
      <c r="A7262" s="50">
        <v>45229</v>
      </c>
      <c r="B7262" s="49" t="s">
        <v>42</v>
      </c>
    </row>
    <row r="7263" spans="1:2">
      <c r="A7263" s="50">
        <v>45229</v>
      </c>
      <c r="B7263" s="49" t="s">
        <v>43</v>
      </c>
    </row>
    <row r="7264" spans="1:2">
      <c r="A7264" s="50">
        <v>45229</v>
      </c>
      <c r="B7264" s="49" t="s">
        <v>44</v>
      </c>
    </row>
    <row r="7265" spans="1:2">
      <c r="A7265" s="50">
        <v>45229</v>
      </c>
      <c r="B7265" s="49" t="s">
        <v>45</v>
      </c>
    </row>
    <row r="7266" spans="1:2">
      <c r="A7266" s="50">
        <v>45229</v>
      </c>
      <c r="B7266" s="49" t="s">
        <v>46</v>
      </c>
    </row>
    <row r="7267" spans="1:2">
      <c r="A7267" s="50">
        <v>45229</v>
      </c>
      <c r="B7267" s="49" t="s">
        <v>47</v>
      </c>
    </row>
    <row r="7268" spans="1:2">
      <c r="A7268" s="50">
        <v>45229</v>
      </c>
      <c r="B7268" s="49" t="s">
        <v>48</v>
      </c>
    </row>
    <row r="7269" spans="1:2">
      <c r="A7269" s="50">
        <v>45229</v>
      </c>
      <c r="B7269" s="49" t="s">
        <v>49</v>
      </c>
    </row>
    <row r="7270" spans="1:2">
      <c r="A7270" s="50">
        <v>45229</v>
      </c>
      <c r="B7270" s="49" t="s">
        <v>50</v>
      </c>
    </row>
    <row r="7271" spans="1:2">
      <c r="A7271" s="50">
        <v>45229</v>
      </c>
      <c r="B7271" s="49" t="s">
        <v>51</v>
      </c>
    </row>
    <row r="7272" spans="1:2">
      <c r="A7272" s="50">
        <v>45229</v>
      </c>
      <c r="B7272" s="49" t="s">
        <v>52</v>
      </c>
    </row>
    <row r="7273" spans="1:2">
      <c r="A7273" s="50">
        <v>45229</v>
      </c>
      <c r="B7273" s="49" t="s">
        <v>53</v>
      </c>
    </row>
    <row r="7274" spans="1:2">
      <c r="A7274" s="50">
        <v>45230</v>
      </c>
      <c r="B7274" s="49" t="s">
        <v>30</v>
      </c>
    </row>
    <row r="7275" spans="1:2">
      <c r="A7275" s="50">
        <v>45230</v>
      </c>
      <c r="B7275" s="49" t="s">
        <v>31</v>
      </c>
    </row>
    <row r="7276" spans="1:2">
      <c r="A7276" s="50">
        <v>45230</v>
      </c>
      <c r="B7276" s="49" t="s">
        <v>32</v>
      </c>
    </row>
    <row r="7277" spans="1:2">
      <c r="A7277" s="50">
        <v>45230</v>
      </c>
      <c r="B7277" s="49" t="s">
        <v>33</v>
      </c>
    </row>
    <row r="7278" spans="1:2">
      <c r="A7278" s="50">
        <v>45230</v>
      </c>
      <c r="B7278" s="49" t="s">
        <v>34</v>
      </c>
    </row>
    <row r="7279" spans="1:2">
      <c r="A7279" s="50">
        <v>45230</v>
      </c>
      <c r="B7279" s="49" t="s">
        <v>35</v>
      </c>
    </row>
    <row r="7280" spans="1:2">
      <c r="A7280" s="50">
        <v>45230</v>
      </c>
      <c r="B7280" s="49" t="s">
        <v>36</v>
      </c>
    </row>
    <row r="7281" spans="1:2">
      <c r="A7281" s="50">
        <v>45230</v>
      </c>
      <c r="B7281" s="49" t="s">
        <v>37</v>
      </c>
    </row>
    <row r="7282" spans="1:2">
      <c r="A7282" s="50">
        <v>45230</v>
      </c>
      <c r="B7282" s="49" t="s">
        <v>38</v>
      </c>
    </row>
    <row r="7283" spans="1:2">
      <c r="A7283" s="50">
        <v>45230</v>
      </c>
      <c r="B7283" s="49" t="s">
        <v>39</v>
      </c>
    </row>
    <row r="7284" spans="1:2">
      <c r="A7284" s="50">
        <v>45230</v>
      </c>
      <c r="B7284" s="49" t="s">
        <v>40</v>
      </c>
    </row>
    <row r="7285" spans="1:2">
      <c r="A7285" s="50">
        <v>45230</v>
      </c>
      <c r="B7285" s="49" t="s">
        <v>41</v>
      </c>
    </row>
    <row r="7286" spans="1:2">
      <c r="A7286" s="50">
        <v>45230</v>
      </c>
      <c r="B7286" s="49" t="s">
        <v>42</v>
      </c>
    </row>
    <row r="7287" spans="1:2">
      <c r="A7287" s="50">
        <v>45230</v>
      </c>
      <c r="B7287" s="49" t="s">
        <v>43</v>
      </c>
    </row>
    <row r="7288" spans="1:2">
      <c r="A7288" s="50">
        <v>45230</v>
      </c>
      <c r="B7288" s="49" t="s">
        <v>44</v>
      </c>
    </row>
    <row r="7289" spans="1:2">
      <c r="A7289" s="50">
        <v>45230</v>
      </c>
      <c r="B7289" s="49" t="s">
        <v>45</v>
      </c>
    </row>
    <row r="7290" spans="1:2">
      <c r="A7290" s="50">
        <v>45230</v>
      </c>
      <c r="B7290" s="49" t="s">
        <v>46</v>
      </c>
    </row>
    <row r="7291" spans="1:2">
      <c r="A7291" s="50">
        <v>45230</v>
      </c>
      <c r="B7291" s="49" t="s">
        <v>47</v>
      </c>
    </row>
    <row r="7292" spans="1:2">
      <c r="A7292" s="50">
        <v>45230</v>
      </c>
      <c r="B7292" s="49" t="s">
        <v>48</v>
      </c>
    </row>
    <row r="7293" spans="1:2">
      <c r="A7293" s="50">
        <v>45230</v>
      </c>
      <c r="B7293" s="49" t="s">
        <v>49</v>
      </c>
    </row>
    <row r="7294" spans="1:2">
      <c r="A7294" s="50">
        <v>45230</v>
      </c>
      <c r="B7294" s="49" t="s">
        <v>50</v>
      </c>
    </row>
    <row r="7295" spans="1:2">
      <c r="A7295" s="50">
        <v>45230</v>
      </c>
      <c r="B7295" s="49" t="s">
        <v>51</v>
      </c>
    </row>
    <row r="7296" spans="1:2">
      <c r="A7296" s="50">
        <v>45230</v>
      </c>
      <c r="B7296" s="49" t="s">
        <v>52</v>
      </c>
    </row>
    <row r="7297" spans="1:2">
      <c r="A7297" s="50">
        <v>45230</v>
      </c>
      <c r="B7297" s="49" t="s">
        <v>53</v>
      </c>
    </row>
    <row r="7298" spans="1:2">
      <c r="A7298" s="50">
        <v>45231</v>
      </c>
      <c r="B7298" s="49" t="s">
        <v>30</v>
      </c>
    </row>
    <row r="7299" spans="1:2">
      <c r="A7299" s="50">
        <v>45231</v>
      </c>
      <c r="B7299" s="49" t="s">
        <v>31</v>
      </c>
    </row>
    <row r="7300" spans="1:2">
      <c r="A7300" s="50">
        <v>45231</v>
      </c>
      <c r="B7300" s="49" t="s">
        <v>32</v>
      </c>
    </row>
    <row r="7301" spans="1:2">
      <c r="A7301" s="50">
        <v>45231</v>
      </c>
      <c r="B7301" s="49" t="s">
        <v>33</v>
      </c>
    </row>
    <row r="7302" spans="1:2">
      <c r="A7302" s="50">
        <v>45231</v>
      </c>
      <c r="B7302" s="49" t="s">
        <v>34</v>
      </c>
    </row>
    <row r="7303" spans="1:2">
      <c r="A7303" s="50">
        <v>45231</v>
      </c>
      <c r="B7303" s="49" t="s">
        <v>35</v>
      </c>
    </row>
    <row r="7304" spans="1:2">
      <c r="A7304" s="50">
        <v>45231</v>
      </c>
      <c r="B7304" s="49" t="s">
        <v>36</v>
      </c>
    </row>
    <row r="7305" spans="1:2">
      <c r="A7305" s="50">
        <v>45231</v>
      </c>
      <c r="B7305" s="49" t="s">
        <v>37</v>
      </c>
    </row>
    <row r="7306" spans="1:2">
      <c r="A7306" s="50">
        <v>45231</v>
      </c>
      <c r="B7306" s="49" t="s">
        <v>38</v>
      </c>
    </row>
    <row r="7307" spans="1:2">
      <c r="A7307" s="50">
        <v>45231</v>
      </c>
      <c r="B7307" s="49" t="s">
        <v>39</v>
      </c>
    </row>
    <row r="7308" spans="1:2">
      <c r="A7308" s="50">
        <v>45231</v>
      </c>
      <c r="B7308" s="49" t="s">
        <v>40</v>
      </c>
    </row>
    <row r="7309" spans="1:2">
      <c r="A7309" s="50">
        <v>45231</v>
      </c>
      <c r="B7309" s="49" t="s">
        <v>41</v>
      </c>
    </row>
    <row r="7310" spans="1:2">
      <c r="A7310" s="50">
        <v>45231</v>
      </c>
      <c r="B7310" s="49" t="s">
        <v>42</v>
      </c>
    </row>
    <row r="7311" spans="1:2">
      <c r="A7311" s="50">
        <v>45231</v>
      </c>
      <c r="B7311" s="49" t="s">
        <v>43</v>
      </c>
    </row>
    <row r="7312" spans="1:2">
      <c r="A7312" s="50">
        <v>45231</v>
      </c>
      <c r="B7312" s="49" t="s">
        <v>44</v>
      </c>
    </row>
    <row r="7313" spans="1:2">
      <c r="A7313" s="50">
        <v>45231</v>
      </c>
      <c r="B7313" s="49" t="s">
        <v>45</v>
      </c>
    </row>
    <row r="7314" spans="1:2">
      <c r="A7314" s="50">
        <v>45231</v>
      </c>
      <c r="B7314" s="49" t="s">
        <v>46</v>
      </c>
    </row>
    <row r="7315" spans="1:2">
      <c r="A7315" s="50">
        <v>45231</v>
      </c>
      <c r="B7315" s="49" t="s">
        <v>47</v>
      </c>
    </row>
    <row r="7316" spans="1:2">
      <c r="A7316" s="50">
        <v>45231</v>
      </c>
      <c r="B7316" s="49" t="s">
        <v>48</v>
      </c>
    </row>
    <row r="7317" spans="1:2">
      <c r="A7317" s="50">
        <v>45231</v>
      </c>
      <c r="B7317" s="49" t="s">
        <v>49</v>
      </c>
    </row>
    <row r="7318" spans="1:2">
      <c r="A7318" s="50">
        <v>45231</v>
      </c>
      <c r="B7318" s="49" t="s">
        <v>50</v>
      </c>
    </row>
    <row r="7319" spans="1:2">
      <c r="A7319" s="50">
        <v>45231</v>
      </c>
      <c r="B7319" s="49" t="s">
        <v>51</v>
      </c>
    </row>
    <row r="7320" spans="1:2">
      <c r="A7320" s="50">
        <v>45231</v>
      </c>
      <c r="B7320" s="49" t="s">
        <v>52</v>
      </c>
    </row>
    <row r="7321" spans="1:2">
      <c r="A7321" s="50">
        <v>45231</v>
      </c>
      <c r="B7321" s="49" t="s">
        <v>53</v>
      </c>
    </row>
    <row r="7322" spans="1:2">
      <c r="A7322" s="50">
        <v>45232</v>
      </c>
      <c r="B7322" s="49" t="s">
        <v>30</v>
      </c>
    </row>
    <row r="7323" spans="1:2">
      <c r="A7323" s="50">
        <v>45232</v>
      </c>
      <c r="B7323" s="49" t="s">
        <v>31</v>
      </c>
    </row>
    <row r="7324" spans="1:2">
      <c r="A7324" s="50">
        <v>45232</v>
      </c>
      <c r="B7324" s="49" t="s">
        <v>32</v>
      </c>
    </row>
    <row r="7325" spans="1:2">
      <c r="A7325" s="50">
        <v>45232</v>
      </c>
      <c r="B7325" s="49" t="s">
        <v>33</v>
      </c>
    </row>
    <row r="7326" spans="1:2">
      <c r="A7326" s="50">
        <v>45232</v>
      </c>
      <c r="B7326" s="49" t="s">
        <v>34</v>
      </c>
    </row>
    <row r="7327" spans="1:2">
      <c r="A7327" s="50">
        <v>45232</v>
      </c>
      <c r="B7327" s="49" t="s">
        <v>35</v>
      </c>
    </row>
    <row r="7328" spans="1:2">
      <c r="A7328" s="50">
        <v>45232</v>
      </c>
      <c r="B7328" s="49" t="s">
        <v>36</v>
      </c>
    </row>
    <row r="7329" spans="1:2">
      <c r="A7329" s="50">
        <v>45232</v>
      </c>
      <c r="B7329" s="49" t="s">
        <v>37</v>
      </c>
    </row>
    <row r="7330" spans="1:2">
      <c r="A7330" s="50">
        <v>45232</v>
      </c>
      <c r="B7330" s="49" t="s">
        <v>38</v>
      </c>
    </row>
    <row r="7331" spans="1:2">
      <c r="A7331" s="50">
        <v>45232</v>
      </c>
      <c r="B7331" s="49" t="s">
        <v>39</v>
      </c>
    </row>
    <row r="7332" spans="1:2">
      <c r="A7332" s="50">
        <v>45232</v>
      </c>
      <c r="B7332" s="49" t="s">
        <v>40</v>
      </c>
    </row>
    <row r="7333" spans="1:2">
      <c r="A7333" s="50">
        <v>45232</v>
      </c>
      <c r="B7333" s="49" t="s">
        <v>41</v>
      </c>
    </row>
    <row r="7334" spans="1:2">
      <c r="A7334" s="50">
        <v>45232</v>
      </c>
      <c r="B7334" s="49" t="s">
        <v>42</v>
      </c>
    </row>
    <row r="7335" spans="1:2">
      <c r="A7335" s="50">
        <v>45232</v>
      </c>
      <c r="B7335" s="49" t="s">
        <v>43</v>
      </c>
    </row>
    <row r="7336" spans="1:2">
      <c r="A7336" s="50">
        <v>45232</v>
      </c>
      <c r="B7336" s="49" t="s">
        <v>44</v>
      </c>
    </row>
    <row r="7337" spans="1:2">
      <c r="A7337" s="50">
        <v>45232</v>
      </c>
      <c r="B7337" s="49" t="s">
        <v>45</v>
      </c>
    </row>
    <row r="7338" spans="1:2">
      <c r="A7338" s="50">
        <v>45232</v>
      </c>
      <c r="B7338" s="49" t="s">
        <v>46</v>
      </c>
    </row>
    <row r="7339" spans="1:2">
      <c r="A7339" s="50">
        <v>45232</v>
      </c>
      <c r="B7339" s="49" t="s">
        <v>47</v>
      </c>
    </row>
    <row r="7340" spans="1:2">
      <c r="A7340" s="50">
        <v>45232</v>
      </c>
      <c r="B7340" s="49" t="s">
        <v>48</v>
      </c>
    </row>
    <row r="7341" spans="1:2">
      <c r="A7341" s="50">
        <v>45232</v>
      </c>
      <c r="B7341" s="49" t="s">
        <v>49</v>
      </c>
    </row>
    <row r="7342" spans="1:2">
      <c r="A7342" s="50">
        <v>45232</v>
      </c>
      <c r="B7342" s="49" t="s">
        <v>50</v>
      </c>
    </row>
    <row r="7343" spans="1:2">
      <c r="A7343" s="50">
        <v>45232</v>
      </c>
      <c r="B7343" s="49" t="s">
        <v>51</v>
      </c>
    </row>
    <row r="7344" spans="1:2">
      <c r="A7344" s="50">
        <v>45232</v>
      </c>
      <c r="B7344" s="49" t="s">
        <v>52</v>
      </c>
    </row>
    <row r="7345" spans="1:2">
      <c r="A7345" s="50">
        <v>45232</v>
      </c>
      <c r="B7345" s="49" t="s">
        <v>53</v>
      </c>
    </row>
    <row r="7346" spans="1:2">
      <c r="A7346" s="50">
        <v>45233</v>
      </c>
      <c r="B7346" s="49" t="s">
        <v>30</v>
      </c>
    </row>
    <row r="7347" spans="1:2">
      <c r="A7347" s="50">
        <v>45233</v>
      </c>
      <c r="B7347" s="49" t="s">
        <v>31</v>
      </c>
    </row>
    <row r="7348" spans="1:2">
      <c r="A7348" s="50">
        <v>45233</v>
      </c>
      <c r="B7348" s="49" t="s">
        <v>32</v>
      </c>
    </row>
    <row r="7349" spans="1:2">
      <c r="A7349" s="50">
        <v>45233</v>
      </c>
      <c r="B7349" s="49" t="s">
        <v>33</v>
      </c>
    </row>
    <row r="7350" spans="1:2">
      <c r="A7350" s="50">
        <v>45233</v>
      </c>
      <c r="B7350" s="49" t="s">
        <v>34</v>
      </c>
    </row>
    <row r="7351" spans="1:2">
      <c r="A7351" s="50">
        <v>45233</v>
      </c>
      <c r="B7351" s="49" t="s">
        <v>35</v>
      </c>
    </row>
    <row r="7352" spans="1:2">
      <c r="A7352" s="50">
        <v>45233</v>
      </c>
      <c r="B7352" s="49" t="s">
        <v>36</v>
      </c>
    </row>
    <row r="7353" spans="1:2">
      <c r="A7353" s="50">
        <v>45233</v>
      </c>
      <c r="B7353" s="49" t="s">
        <v>37</v>
      </c>
    </row>
    <row r="7354" spans="1:2">
      <c r="A7354" s="50">
        <v>45233</v>
      </c>
      <c r="B7354" s="49" t="s">
        <v>38</v>
      </c>
    </row>
    <row r="7355" spans="1:2">
      <c r="A7355" s="50">
        <v>45233</v>
      </c>
      <c r="B7355" s="49" t="s">
        <v>39</v>
      </c>
    </row>
    <row r="7356" spans="1:2">
      <c r="A7356" s="50">
        <v>45233</v>
      </c>
      <c r="B7356" s="49" t="s">
        <v>40</v>
      </c>
    </row>
    <row r="7357" spans="1:2">
      <c r="A7357" s="50">
        <v>45233</v>
      </c>
      <c r="B7357" s="49" t="s">
        <v>41</v>
      </c>
    </row>
    <row r="7358" spans="1:2">
      <c r="A7358" s="50">
        <v>45233</v>
      </c>
      <c r="B7358" s="49" t="s">
        <v>42</v>
      </c>
    </row>
    <row r="7359" spans="1:2">
      <c r="A7359" s="50">
        <v>45233</v>
      </c>
      <c r="B7359" s="49" t="s">
        <v>43</v>
      </c>
    </row>
    <row r="7360" spans="1:2">
      <c r="A7360" s="50">
        <v>45233</v>
      </c>
      <c r="B7360" s="49" t="s">
        <v>44</v>
      </c>
    </row>
    <row r="7361" spans="1:2">
      <c r="A7361" s="50">
        <v>45233</v>
      </c>
      <c r="B7361" s="49" t="s">
        <v>45</v>
      </c>
    </row>
    <row r="7362" spans="1:2">
      <c r="A7362" s="50">
        <v>45233</v>
      </c>
      <c r="B7362" s="49" t="s">
        <v>46</v>
      </c>
    </row>
    <row r="7363" spans="1:2">
      <c r="A7363" s="50">
        <v>45233</v>
      </c>
      <c r="B7363" s="49" t="s">
        <v>47</v>
      </c>
    </row>
    <row r="7364" spans="1:2">
      <c r="A7364" s="50">
        <v>45233</v>
      </c>
      <c r="B7364" s="49" t="s">
        <v>48</v>
      </c>
    </row>
    <row r="7365" spans="1:2">
      <c r="A7365" s="50">
        <v>45233</v>
      </c>
      <c r="B7365" s="49" t="s">
        <v>49</v>
      </c>
    </row>
    <row r="7366" spans="1:2">
      <c r="A7366" s="50">
        <v>45233</v>
      </c>
      <c r="B7366" s="49" t="s">
        <v>50</v>
      </c>
    </row>
    <row r="7367" spans="1:2">
      <c r="A7367" s="50">
        <v>45233</v>
      </c>
      <c r="B7367" s="49" t="s">
        <v>51</v>
      </c>
    </row>
    <row r="7368" spans="1:2">
      <c r="A7368" s="50">
        <v>45233</v>
      </c>
      <c r="B7368" s="49" t="s">
        <v>52</v>
      </c>
    </row>
    <row r="7369" spans="1:2">
      <c r="A7369" s="50">
        <v>45233</v>
      </c>
      <c r="B7369" s="49" t="s">
        <v>53</v>
      </c>
    </row>
    <row r="7370" spans="1:2">
      <c r="A7370" s="50">
        <v>45234</v>
      </c>
      <c r="B7370" s="49" t="s">
        <v>30</v>
      </c>
    </row>
    <row r="7371" spans="1:2">
      <c r="A7371" s="50">
        <v>45234</v>
      </c>
      <c r="B7371" s="49" t="s">
        <v>31</v>
      </c>
    </row>
    <row r="7372" spans="1:2">
      <c r="A7372" s="50">
        <v>45234</v>
      </c>
      <c r="B7372" s="49" t="s">
        <v>32</v>
      </c>
    </row>
    <row r="7373" spans="1:2">
      <c r="A7373" s="50">
        <v>45234</v>
      </c>
      <c r="B7373" s="49" t="s">
        <v>33</v>
      </c>
    </row>
    <row r="7374" spans="1:2">
      <c r="A7374" s="50">
        <v>45234</v>
      </c>
      <c r="B7374" s="49" t="s">
        <v>34</v>
      </c>
    </row>
    <row r="7375" spans="1:2">
      <c r="A7375" s="50">
        <v>45234</v>
      </c>
      <c r="B7375" s="49" t="s">
        <v>35</v>
      </c>
    </row>
    <row r="7376" spans="1:2">
      <c r="A7376" s="50">
        <v>45234</v>
      </c>
      <c r="B7376" s="49" t="s">
        <v>36</v>
      </c>
    </row>
    <row r="7377" spans="1:2">
      <c r="A7377" s="50">
        <v>45234</v>
      </c>
      <c r="B7377" s="49" t="s">
        <v>37</v>
      </c>
    </row>
    <row r="7378" spans="1:2">
      <c r="A7378" s="50">
        <v>45234</v>
      </c>
      <c r="B7378" s="49" t="s">
        <v>38</v>
      </c>
    </row>
    <row r="7379" spans="1:2">
      <c r="A7379" s="50">
        <v>45234</v>
      </c>
      <c r="B7379" s="49" t="s">
        <v>39</v>
      </c>
    </row>
    <row r="7380" spans="1:2">
      <c r="A7380" s="50">
        <v>45234</v>
      </c>
      <c r="B7380" s="49" t="s">
        <v>40</v>
      </c>
    </row>
    <row r="7381" spans="1:2">
      <c r="A7381" s="50">
        <v>45234</v>
      </c>
      <c r="B7381" s="49" t="s">
        <v>41</v>
      </c>
    </row>
    <row r="7382" spans="1:2">
      <c r="A7382" s="50">
        <v>45234</v>
      </c>
      <c r="B7382" s="49" t="s">
        <v>42</v>
      </c>
    </row>
    <row r="7383" spans="1:2">
      <c r="A7383" s="50">
        <v>45234</v>
      </c>
      <c r="B7383" s="49" t="s">
        <v>43</v>
      </c>
    </row>
    <row r="7384" spans="1:2">
      <c r="A7384" s="50">
        <v>45234</v>
      </c>
      <c r="B7384" s="49" t="s">
        <v>44</v>
      </c>
    </row>
    <row r="7385" spans="1:2">
      <c r="A7385" s="50">
        <v>45234</v>
      </c>
      <c r="B7385" s="49" t="s">
        <v>45</v>
      </c>
    </row>
    <row r="7386" spans="1:2">
      <c r="A7386" s="50">
        <v>45234</v>
      </c>
      <c r="B7386" s="49" t="s">
        <v>46</v>
      </c>
    </row>
    <row r="7387" spans="1:2">
      <c r="A7387" s="50">
        <v>45234</v>
      </c>
      <c r="B7387" s="49" t="s">
        <v>47</v>
      </c>
    </row>
    <row r="7388" spans="1:2">
      <c r="A7388" s="50">
        <v>45234</v>
      </c>
      <c r="B7388" s="49" t="s">
        <v>48</v>
      </c>
    </row>
    <row r="7389" spans="1:2">
      <c r="A7389" s="50">
        <v>45234</v>
      </c>
      <c r="B7389" s="49" t="s">
        <v>49</v>
      </c>
    </row>
    <row r="7390" spans="1:2">
      <c r="A7390" s="50">
        <v>45234</v>
      </c>
      <c r="B7390" s="49" t="s">
        <v>50</v>
      </c>
    </row>
    <row r="7391" spans="1:2">
      <c r="A7391" s="50">
        <v>45234</v>
      </c>
      <c r="B7391" s="49" t="s">
        <v>51</v>
      </c>
    </row>
    <row r="7392" spans="1:2">
      <c r="A7392" s="50">
        <v>45234</v>
      </c>
      <c r="B7392" s="49" t="s">
        <v>52</v>
      </c>
    </row>
    <row r="7393" spans="1:2">
      <c r="A7393" s="50">
        <v>45234</v>
      </c>
      <c r="B7393" s="49" t="s">
        <v>53</v>
      </c>
    </row>
    <row r="7394" spans="1:2">
      <c r="A7394" s="50">
        <v>45235</v>
      </c>
      <c r="B7394" s="49" t="s">
        <v>30</v>
      </c>
    </row>
    <row r="7395" spans="1:2">
      <c r="A7395" s="50">
        <v>45235</v>
      </c>
      <c r="B7395" s="49" t="s">
        <v>31</v>
      </c>
    </row>
    <row r="7396" spans="1:2">
      <c r="A7396" s="50">
        <v>45235</v>
      </c>
      <c r="B7396" s="49" t="s">
        <v>32</v>
      </c>
    </row>
    <row r="7397" spans="1:2">
      <c r="A7397" s="50">
        <v>45235</v>
      </c>
      <c r="B7397" s="49" t="s">
        <v>33</v>
      </c>
    </row>
    <row r="7398" spans="1:2">
      <c r="A7398" s="50">
        <v>45235</v>
      </c>
      <c r="B7398" s="49" t="s">
        <v>34</v>
      </c>
    </row>
    <row r="7399" spans="1:2">
      <c r="A7399" s="50">
        <v>45235</v>
      </c>
      <c r="B7399" s="49" t="s">
        <v>35</v>
      </c>
    </row>
    <row r="7400" spans="1:2">
      <c r="A7400" s="50">
        <v>45235</v>
      </c>
      <c r="B7400" s="49" t="s">
        <v>36</v>
      </c>
    </row>
    <row r="7401" spans="1:2">
      <c r="A7401" s="50">
        <v>45235</v>
      </c>
      <c r="B7401" s="49" t="s">
        <v>37</v>
      </c>
    </row>
    <row r="7402" spans="1:2">
      <c r="A7402" s="50">
        <v>45235</v>
      </c>
      <c r="B7402" s="49" t="s">
        <v>38</v>
      </c>
    </row>
    <row r="7403" spans="1:2">
      <c r="A7403" s="50">
        <v>45235</v>
      </c>
      <c r="B7403" s="49" t="s">
        <v>39</v>
      </c>
    </row>
    <row r="7404" spans="1:2">
      <c r="A7404" s="50">
        <v>45235</v>
      </c>
      <c r="B7404" s="49" t="s">
        <v>40</v>
      </c>
    </row>
    <row r="7405" spans="1:2">
      <c r="A7405" s="50">
        <v>45235</v>
      </c>
      <c r="B7405" s="49" t="s">
        <v>41</v>
      </c>
    </row>
    <row r="7406" spans="1:2">
      <c r="A7406" s="50">
        <v>45235</v>
      </c>
      <c r="B7406" s="49" t="s">
        <v>42</v>
      </c>
    </row>
    <row r="7407" spans="1:2">
      <c r="A7407" s="50">
        <v>45235</v>
      </c>
      <c r="B7407" s="49" t="s">
        <v>43</v>
      </c>
    </row>
    <row r="7408" spans="1:2">
      <c r="A7408" s="50">
        <v>45235</v>
      </c>
      <c r="B7408" s="49" t="s">
        <v>44</v>
      </c>
    </row>
    <row r="7409" spans="1:2">
      <c r="A7409" s="50">
        <v>45235</v>
      </c>
      <c r="B7409" s="49" t="s">
        <v>45</v>
      </c>
    </row>
    <row r="7410" spans="1:2">
      <c r="A7410" s="50">
        <v>45235</v>
      </c>
      <c r="B7410" s="49" t="s">
        <v>46</v>
      </c>
    </row>
    <row r="7411" spans="1:2">
      <c r="A7411" s="50">
        <v>45235</v>
      </c>
      <c r="B7411" s="49" t="s">
        <v>47</v>
      </c>
    </row>
    <row r="7412" spans="1:2">
      <c r="A7412" s="50">
        <v>45235</v>
      </c>
      <c r="B7412" s="49" t="s">
        <v>48</v>
      </c>
    </row>
    <row r="7413" spans="1:2">
      <c r="A7413" s="50">
        <v>45235</v>
      </c>
      <c r="B7413" s="49" t="s">
        <v>49</v>
      </c>
    </row>
    <row r="7414" spans="1:2">
      <c r="A7414" s="50">
        <v>45235</v>
      </c>
      <c r="B7414" s="49" t="s">
        <v>50</v>
      </c>
    </row>
    <row r="7415" spans="1:2">
      <c r="A7415" s="50">
        <v>45235</v>
      </c>
      <c r="B7415" s="49" t="s">
        <v>51</v>
      </c>
    </row>
    <row r="7416" spans="1:2">
      <c r="A7416" s="50">
        <v>45235</v>
      </c>
      <c r="B7416" s="49" t="s">
        <v>52</v>
      </c>
    </row>
    <row r="7417" spans="1:2">
      <c r="A7417" s="50">
        <v>45235</v>
      </c>
      <c r="B7417" s="49" t="s">
        <v>53</v>
      </c>
    </row>
    <row r="7418" spans="1:2">
      <c r="A7418" s="50">
        <v>45236</v>
      </c>
      <c r="B7418" s="49" t="s">
        <v>30</v>
      </c>
    </row>
    <row r="7419" spans="1:2">
      <c r="A7419" s="50">
        <v>45236</v>
      </c>
      <c r="B7419" s="49" t="s">
        <v>31</v>
      </c>
    </row>
    <row r="7420" spans="1:2">
      <c r="A7420" s="50">
        <v>45236</v>
      </c>
      <c r="B7420" s="49" t="s">
        <v>32</v>
      </c>
    </row>
    <row r="7421" spans="1:2">
      <c r="A7421" s="50">
        <v>45236</v>
      </c>
      <c r="B7421" s="49" t="s">
        <v>33</v>
      </c>
    </row>
    <row r="7422" spans="1:2">
      <c r="A7422" s="50">
        <v>45236</v>
      </c>
      <c r="B7422" s="49" t="s">
        <v>34</v>
      </c>
    </row>
    <row r="7423" spans="1:2">
      <c r="A7423" s="50">
        <v>45236</v>
      </c>
      <c r="B7423" s="49" t="s">
        <v>35</v>
      </c>
    </row>
    <row r="7424" spans="1:2">
      <c r="A7424" s="50">
        <v>45236</v>
      </c>
      <c r="B7424" s="49" t="s">
        <v>36</v>
      </c>
    </row>
    <row r="7425" spans="1:2">
      <c r="A7425" s="50">
        <v>45236</v>
      </c>
      <c r="B7425" s="49" t="s">
        <v>37</v>
      </c>
    </row>
    <row r="7426" spans="1:2">
      <c r="A7426" s="50">
        <v>45236</v>
      </c>
      <c r="B7426" s="49" t="s">
        <v>38</v>
      </c>
    </row>
    <row r="7427" spans="1:2">
      <c r="A7427" s="50">
        <v>45236</v>
      </c>
      <c r="B7427" s="49" t="s">
        <v>39</v>
      </c>
    </row>
    <row r="7428" spans="1:2">
      <c r="A7428" s="50">
        <v>45236</v>
      </c>
      <c r="B7428" s="49" t="s">
        <v>40</v>
      </c>
    </row>
    <row r="7429" spans="1:2">
      <c r="A7429" s="50">
        <v>45236</v>
      </c>
      <c r="B7429" s="49" t="s">
        <v>41</v>
      </c>
    </row>
    <row r="7430" spans="1:2">
      <c r="A7430" s="50">
        <v>45236</v>
      </c>
      <c r="B7430" s="49" t="s">
        <v>42</v>
      </c>
    </row>
    <row r="7431" spans="1:2">
      <c r="A7431" s="50">
        <v>45236</v>
      </c>
      <c r="B7431" s="49" t="s">
        <v>43</v>
      </c>
    </row>
    <row r="7432" spans="1:2">
      <c r="A7432" s="50">
        <v>45236</v>
      </c>
      <c r="B7432" s="49" t="s">
        <v>44</v>
      </c>
    </row>
    <row r="7433" spans="1:2">
      <c r="A7433" s="50">
        <v>45236</v>
      </c>
      <c r="B7433" s="49" t="s">
        <v>45</v>
      </c>
    </row>
    <row r="7434" spans="1:2">
      <c r="A7434" s="50">
        <v>45236</v>
      </c>
      <c r="B7434" s="49" t="s">
        <v>46</v>
      </c>
    </row>
    <row r="7435" spans="1:2">
      <c r="A7435" s="50">
        <v>45236</v>
      </c>
      <c r="B7435" s="49" t="s">
        <v>47</v>
      </c>
    </row>
    <row r="7436" spans="1:2">
      <c r="A7436" s="50">
        <v>45236</v>
      </c>
      <c r="B7436" s="49" t="s">
        <v>48</v>
      </c>
    </row>
    <row r="7437" spans="1:2">
      <c r="A7437" s="50">
        <v>45236</v>
      </c>
      <c r="B7437" s="49" t="s">
        <v>49</v>
      </c>
    </row>
    <row r="7438" spans="1:2">
      <c r="A7438" s="50">
        <v>45236</v>
      </c>
      <c r="B7438" s="49" t="s">
        <v>50</v>
      </c>
    </row>
    <row r="7439" spans="1:2">
      <c r="A7439" s="50">
        <v>45236</v>
      </c>
      <c r="B7439" s="49" t="s">
        <v>51</v>
      </c>
    </row>
    <row r="7440" spans="1:2">
      <c r="A7440" s="50">
        <v>45236</v>
      </c>
      <c r="B7440" s="49" t="s">
        <v>52</v>
      </c>
    </row>
    <row r="7441" spans="1:2">
      <c r="A7441" s="50">
        <v>45236</v>
      </c>
      <c r="B7441" s="49" t="s">
        <v>53</v>
      </c>
    </row>
    <row r="7442" spans="1:2">
      <c r="A7442" s="50">
        <v>45237</v>
      </c>
      <c r="B7442" s="49" t="s">
        <v>30</v>
      </c>
    </row>
    <row r="7443" spans="1:2">
      <c r="A7443" s="50">
        <v>45237</v>
      </c>
      <c r="B7443" s="49" t="s">
        <v>31</v>
      </c>
    </row>
    <row r="7444" spans="1:2">
      <c r="A7444" s="50">
        <v>45237</v>
      </c>
      <c r="B7444" s="49" t="s">
        <v>32</v>
      </c>
    </row>
    <row r="7445" spans="1:2">
      <c r="A7445" s="50">
        <v>45237</v>
      </c>
      <c r="B7445" s="49" t="s">
        <v>33</v>
      </c>
    </row>
    <row r="7446" spans="1:2">
      <c r="A7446" s="50">
        <v>45237</v>
      </c>
      <c r="B7446" s="49" t="s">
        <v>34</v>
      </c>
    </row>
    <row r="7447" spans="1:2">
      <c r="A7447" s="50">
        <v>45237</v>
      </c>
      <c r="B7447" s="49" t="s">
        <v>35</v>
      </c>
    </row>
    <row r="7448" spans="1:2">
      <c r="A7448" s="50">
        <v>45237</v>
      </c>
      <c r="B7448" s="49" t="s">
        <v>36</v>
      </c>
    </row>
    <row r="7449" spans="1:2">
      <c r="A7449" s="50">
        <v>45237</v>
      </c>
      <c r="B7449" s="49" t="s">
        <v>37</v>
      </c>
    </row>
    <row r="7450" spans="1:2">
      <c r="A7450" s="50">
        <v>45237</v>
      </c>
      <c r="B7450" s="49" t="s">
        <v>38</v>
      </c>
    </row>
    <row r="7451" spans="1:2">
      <c r="A7451" s="50">
        <v>45237</v>
      </c>
      <c r="B7451" s="49" t="s">
        <v>39</v>
      </c>
    </row>
    <row r="7452" spans="1:2">
      <c r="A7452" s="50">
        <v>45237</v>
      </c>
      <c r="B7452" s="49" t="s">
        <v>40</v>
      </c>
    </row>
    <row r="7453" spans="1:2">
      <c r="A7453" s="50">
        <v>45237</v>
      </c>
      <c r="B7453" s="49" t="s">
        <v>41</v>
      </c>
    </row>
    <row r="7454" spans="1:2">
      <c r="A7454" s="50">
        <v>45237</v>
      </c>
      <c r="B7454" s="49" t="s">
        <v>42</v>
      </c>
    </row>
    <row r="7455" spans="1:2">
      <c r="A7455" s="50">
        <v>45237</v>
      </c>
      <c r="B7455" s="49" t="s">
        <v>43</v>
      </c>
    </row>
    <row r="7456" spans="1:2">
      <c r="A7456" s="50">
        <v>45237</v>
      </c>
      <c r="B7456" s="49" t="s">
        <v>44</v>
      </c>
    </row>
    <row r="7457" spans="1:2">
      <c r="A7457" s="50">
        <v>45237</v>
      </c>
      <c r="B7457" s="49" t="s">
        <v>45</v>
      </c>
    </row>
    <row r="7458" spans="1:2">
      <c r="A7458" s="50">
        <v>45237</v>
      </c>
      <c r="B7458" s="49" t="s">
        <v>46</v>
      </c>
    </row>
    <row r="7459" spans="1:2">
      <c r="A7459" s="50">
        <v>45237</v>
      </c>
      <c r="B7459" s="49" t="s">
        <v>47</v>
      </c>
    </row>
    <row r="7460" spans="1:2">
      <c r="A7460" s="50">
        <v>45237</v>
      </c>
      <c r="B7460" s="49" t="s">
        <v>48</v>
      </c>
    </row>
    <row r="7461" spans="1:2">
      <c r="A7461" s="50">
        <v>45237</v>
      </c>
      <c r="B7461" s="49" t="s">
        <v>49</v>
      </c>
    </row>
    <row r="7462" spans="1:2">
      <c r="A7462" s="50">
        <v>45237</v>
      </c>
      <c r="B7462" s="49" t="s">
        <v>50</v>
      </c>
    </row>
    <row r="7463" spans="1:2">
      <c r="A7463" s="50">
        <v>45237</v>
      </c>
      <c r="B7463" s="49" t="s">
        <v>51</v>
      </c>
    </row>
    <row r="7464" spans="1:2">
      <c r="A7464" s="50">
        <v>45237</v>
      </c>
      <c r="B7464" s="49" t="s">
        <v>52</v>
      </c>
    </row>
    <row r="7465" spans="1:2">
      <c r="A7465" s="50">
        <v>45237</v>
      </c>
      <c r="B7465" s="49" t="s">
        <v>53</v>
      </c>
    </row>
    <row r="7466" spans="1:2">
      <c r="A7466" s="50">
        <v>45238</v>
      </c>
      <c r="B7466" s="49" t="s">
        <v>30</v>
      </c>
    </row>
    <row r="7467" spans="1:2">
      <c r="A7467" s="50">
        <v>45238</v>
      </c>
      <c r="B7467" s="49" t="s">
        <v>31</v>
      </c>
    </row>
    <row r="7468" spans="1:2">
      <c r="A7468" s="50">
        <v>45238</v>
      </c>
      <c r="B7468" s="49" t="s">
        <v>32</v>
      </c>
    </row>
    <row r="7469" spans="1:2">
      <c r="A7469" s="50">
        <v>45238</v>
      </c>
      <c r="B7469" s="49" t="s">
        <v>33</v>
      </c>
    </row>
    <row r="7470" spans="1:2">
      <c r="A7470" s="50">
        <v>45238</v>
      </c>
      <c r="B7470" s="49" t="s">
        <v>34</v>
      </c>
    </row>
    <row r="7471" spans="1:2">
      <c r="A7471" s="50">
        <v>45238</v>
      </c>
      <c r="B7471" s="49" t="s">
        <v>35</v>
      </c>
    </row>
    <row r="7472" spans="1:2">
      <c r="A7472" s="50">
        <v>45238</v>
      </c>
      <c r="B7472" s="49" t="s">
        <v>36</v>
      </c>
    </row>
    <row r="7473" spans="1:2">
      <c r="A7473" s="50">
        <v>45238</v>
      </c>
      <c r="B7473" s="49" t="s">
        <v>37</v>
      </c>
    </row>
    <row r="7474" spans="1:2">
      <c r="A7474" s="50">
        <v>45238</v>
      </c>
      <c r="B7474" s="49" t="s">
        <v>38</v>
      </c>
    </row>
    <row r="7475" spans="1:2">
      <c r="A7475" s="50">
        <v>45238</v>
      </c>
      <c r="B7475" s="49" t="s">
        <v>39</v>
      </c>
    </row>
    <row r="7476" spans="1:2">
      <c r="A7476" s="50">
        <v>45238</v>
      </c>
      <c r="B7476" s="49" t="s">
        <v>40</v>
      </c>
    </row>
    <row r="7477" spans="1:2">
      <c r="A7477" s="50">
        <v>45238</v>
      </c>
      <c r="B7477" s="49" t="s">
        <v>41</v>
      </c>
    </row>
    <row r="7478" spans="1:2">
      <c r="A7478" s="50">
        <v>45238</v>
      </c>
      <c r="B7478" s="49" t="s">
        <v>42</v>
      </c>
    </row>
    <row r="7479" spans="1:2">
      <c r="A7479" s="50">
        <v>45238</v>
      </c>
      <c r="B7479" s="49" t="s">
        <v>43</v>
      </c>
    </row>
    <row r="7480" spans="1:2">
      <c r="A7480" s="50">
        <v>45238</v>
      </c>
      <c r="B7480" s="49" t="s">
        <v>44</v>
      </c>
    </row>
    <row r="7481" spans="1:2">
      <c r="A7481" s="50">
        <v>45238</v>
      </c>
      <c r="B7481" s="49" t="s">
        <v>45</v>
      </c>
    </row>
    <row r="7482" spans="1:2">
      <c r="A7482" s="50">
        <v>45238</v>
      </c>
      <c r="B7482" s="49" t="s">
        <v>46</v>
      </c>
    </row>
    <row r="7483" spans="1:2">
      <c r="A7483" s="50">
        <v>45238</v>
      </c>
      <c r="B7483" s="49" t="s">
        <v>47</v>
      </c>
    </row>
    <row r="7484" spans="1:2">
      <c r="A7484" s="50">
        <v>45238</v>
      </c>
      <c r="B7484" s="49" t="s">
        <v>48</v>
      </c>
    </row>
    <row r="7485" spans="1:2">
      <c r="A7485" s="50">
        <v>45238</v>
      </c>
      <c r="B7485" s="49" t="s">
        <v>49</v>
      </c>
    </row>
    <row r="7486" spans="1:2">
      <c r="A7486" s="50">
        <v>45238</v>
      </c>
      <c r="B7486" s="49" t="s">
        <v>50</v>
      </c>
    </row>
    <row r="7487" spans="1:2">
      <c r="A7487" s="50">
        <v>45238</v>
      </c>
      <c r="B7487" s="49" t="s">
        <v>51</v>
      </c>
    </row>
    <row r="7488" spans="1:2">
      <c r="A7488" s="50">
        <v>45238</v>
      </c>
      <c r="B7488" s="49" t="s">
        <v>52</v>
      </c>
    </row>
    <row r="7489" spans="1:2">
      <c r="A7489" s="50">
        <v>45238</v>
      </c>
      <c r="B7489" s="49" t="s">
        <v>53</v>
      </c>
    </row>
    <row r="7490" spans="1:2">
      <c r="A7490" s="50">
        <v>45239</v>
      </c>
      <c r="B7490" s="49" t="s">
        <v>30</v>
      </c>
    </row>
    <row r="7491" spans="1:2">
      <c r="A7491" s="50">
        <v>45239</v>
      </c>
      <c r="B7491" s="49" t="s">
        <v>31</v>
      </c>
    </row>
    <row r="7492" spans="1:2">
      <c r="A7492" s="50">
        <v>45239</v>
      </c>
      <c r="B7492" s="49" t="s">
        <v>32</v>
      </c>
    </row>
    <row r="7493" spans="1:2">
      <c r="A7493" s="50">
        <v>45239</v>
      </c>
      <c r="B7493" s="49" t="s">
        <v>33</v>
      </c>
    </row>
    <row r="7494" spans="1:2">
      <c r="A7494" s="50">
        <v>45239</v>
      </c>
      <c r="B7494" s="49" t="s">
        <v>34</v>
      </c>
    </row>
    <row r="7495" spans="1:2">
      <c r="A7495" s="50">
        <v>45239</v>
      </c>
      <c r="B7495" s="49" t="s">
        <v>35</v>
      </c>
    </row>
    <row r="7496" spans="1:2">
      <c r="A7496" s="50">
        <v>45239</v>
      </c>
      <c r="B7496" s="49" t="s">
        <v>36</v>
      </c>
    </row>
    <row r="7497" spans="1:2">
      <c r="A7497" s="50">
        <v>45239</v>
      </c>
      <c r="B7497" s="49" t="s">
        <v>37</v>
      </c>
    </row>
    <row r="7498" spans="1:2">
      <c r="A7498" s="50">
        <v>45239</v>
      </c>
      <c r="B7498" s="49" t="s">
        <v>38</v>
      </c>
    </row>
    <row r="7499" spans="1:2">
      <c r="A7499" s="50">
        <v>45239</v>
      </c>
      <c r="B7499" s="49" t="s">
        <v>39</v>
      </c>
    </row>
    <row r="7500" spans="1:2">
      <c r="A7500" s="50">
        <v>45239</v>
      </c>
      <c r="B7500" s="49" t="s">
        <v>40</v>
      </c>
    </row>
    <row r="7501" spans="1:2">
      <c r="A7501" s="50">
        <v>45239</v>
      </c>
      <c r="B7501" s="49" t="s">
        <v>41</v>
      </c>
    </row>
    <row r="7502" spans="1:2">
      <c r="A7502" s="50">
        <v>45239</v>
      </c>
      <c r="B7502" s="49" t="s">
        <v>42</v>
      </c>
    </row>
    <row r="7503" spans="1:2">
      <c r="A7503" s="50">
        <v>45239</v>
      </c>
      <c r="B7503" s="49" t="s">
        <v>43</v>
      </c>
    </row>
    <row r="7504" spans="1:2">
      <c r="A7504" s="50">
        <v>45239</v>
      </c>
      <c r="B7504" s="49" t="s">
        <v>44</v>
      </c>
    </row>
    <row r="7505" spans="1:2">
      <c r="A7505" s="50">
        <v>45239</v>
      </c>
      <c r="B7505" s="49" t="s">
        <v>45</v>
      </c>
    </row>
    <row r="7506" spans="1:2">
      <c r="A7506" s="50">
        <v>45239</v>
      </c>
      <c r="B7506" s="49" t="s">
        <v>46</v>
      </c>
    </row>
    <row r="7507" spans="1:2">
      <c r="A7507" s="50">
        <v>45239</v>
      </c>
      <c r="B7507" s="49" t="s">
        <v>47</v>
      </c>
    </row>
    <row r="7508" spans="1:2">
      <c r="A7508" s="50">
        <v>45239</v>
      </c>
      <c r="B7508" s="49" t="s">
        <v>48</v>
      </c>
    </row>
    <row r="7509" spans="1:2">
      <c r="A7509" s="50">
        <v>45239</v>
      </c>
      <c r="B7509" s="49" t="s">
        <v>49</v>
      </c>
    </row>
    <row r="7510" spans="1:2">
      <c r="A7510" s="50">
        <v>45239</v>
      </c>
      <c r="B7510" s="49" t="s">
        <v>50</v>
      </c>
    </row>
    <row r="7511" spans="1:2">
      <c r="A7511" s="50">
        <v>45239</v>
      </c>
      <c r="B7511" s="49" t="s">
        <v>51</v>
      </c>
    </row>
    <row r="7512" spans="1:2">
      <c r="A7512" s="50">
        <v>45239</v>
      </c>
      <c r="B7512" s="49" t="s">
        <v>52</v>
      </c>
    </row>
    <row r="7513" spans="1:2">
      <c r="A7513" s="50">
        <v>45239</v>
      </c>
      <c r="B7513" s="49" t="s">
        <v>53</v>
      </c>
    </row>
    <row r="7514" spans="1:2">
      <c r="A7514" s="50">
        <v>45240</v>
      </c>
      <c r="B7514" s="49" t="s">
        <v>30</v>
      </c>
    </row>
    <row r="7515" spans="1:2">
      <c r="A7515" s="50">
        <v>45240</v>
      </c>
      <c r="B7515" s="49" t="s">
        <v>31</v>
      </c>
    </row>
    <row r="7516" spans="1:2">
      <c r="A7516" s="50">
        <v>45240</v>
      </c>
      <c r="B7516" s="49" t="s">
        <v>32</v>
      </c>
    </row>
    <row r="7517" spans="1:2">
      <c r="A7517" s="50">
        <v>45240</v>
      </c>
      <c r="B7517" s="49" t="s">
        <v>33</v>
      </c>
    </row>
    <row r="7518" spans="1:2">
      <c r="A7518" s="50">
        <v>45240</v>
      </c>
      <c r="B7518" s="49" t="s">
        <v>34</v>
      </c>
    </row>
    <row r="7519" spans="1:2">
      <c r="A7519" s="50">
        <v>45240</v>
      </c>
      <c r="B7519" s="49" t="s">
        <v>35</v>
      </c>
    </row>
    <row r="7520" spans="1:2">
      <c r="A7520" s="50">
        <v>45240</v>
      </c>
      <c r="B7520" s="49" t="s">
        <v>36</v>
      </c>
    </row>
    <row r="7521" spans="1:2">
      <c r="A7521" s="50">
        <v>45240</v>
      </c>
      <c r="B7521" s="49" t="s">
        <v>37</v>
      </c>
    </row>
    <row r="7522" spans="1:2">
      <c r="A7522" s="50">
        <v>45240</v>
      </c>
      <c r="B7522" s="49" t="s">
        <v>38</v>
      </c>
    </row>
    <row r="7523" spans="1:2">
      <c r="A7523" s="50">
        <v>45240</v>
      </c>
      <c r="B7523" s="49" t="s">
        <v>39</v>
      </c>
    </row>
    <row r="7524" spans="1:2">
      <c r="A7524" s="50">
        <v>45240</v>
      </c>
      <c r="B7524" s="49" t="s">
        <v>40</v>
      </c>
    </row>
    <row r="7525" spans="1:2">
      <c r="A7525" s="50">
        <v>45240</v>
      </c>
      <c r="B7525" s="49" t="s">
        <v>41</v>
      </c>
    </row>
    <row r="7526" spans="1:2">
      <c r="A7526" s="50">
        <v>45240</v>
      </c>
      <c r="B7526" s="49" t="s">
        <v>42</v>
      </c>
    </row>
    <row r="7527" spans="1:2">
      <c r="A7527" s="50">
        <v>45240</v>
      </c>
      <c r="B7527" s="49" t="s">
        <v>43</v>
      </c>
    </row>
    <row r="7528" spans="1:2">
      <c r="A7528" s="50">
        <v>45240</v>
      </c>
      <c r="B7528" s="49" t="s">
        <v>44</v>
      </c>
    </row>
    <row r="7529" spans="1:2">
      <c r="A7529" s="50">
        <v>45240</v>
      </c>
      <c r="B7529" s="49" t="s">
        <v>45</v>
      </c>
    </row>
    <row r="7530" spans="1:2">
      <c r="A7530" s="50">
        <v>45240</v>
      </c>
      <c r="B7530" s="49" t="s">
        <v>46</v>
      </c>
    </row>
    <row r="7531" spans="1:2">
      <c r="A7531" s="50">
        <v>45240</v>
      </c>
      <c r="B7531" s="49" t="s">
        <v>47</v>
      </c>
    </row>
    <row r="7532" spans="1:2">
      <c r="A7532" s="50">
        <v>45240</v>
      </c>
      <c r="B7532" s="49" t="s">
        <v>48</v>
      </c>
    </row>
    <row r="7533" spans="1:2">
      <c r="A7533" s="50">
        <v>45240</v>
      </c>
      <c r="B7533" s="49" t="s">
        <v>49</v>
      </c>
    </row>
    <row r="7534" spans="1:2">
      <c r="A7534" s="50">
        <v>45240</v>
      </c>
      <c r="B7534" s="49" t="s">
        <v>50</v>
      </c>
    </row>
    <row r="7535" spans="1:2">
      <c r="A7535" s="50">
        <v>45240</v>
      </c>
      <c r="B7535" s="49" t="s">
        <v>51</v>
      </c>
    </row>
    <row r="7536" spans="1:2">
      <c r="A7536" s="50">
        <v>45240</v>
      </c>
      <c r="B7536" s="49" t="s">
        <v>52</v>
      </c>
    </row>
    <row r="7537" spans="1:5">
      <c r="A7537" s="50">
        <v>45240</v>
      </c>
      <c r="B7537" s="49" t="s">
        <v>53</v>
      </c>
    </row>
    <row r="7538" spans="1:5">
      <c r="A7538" s="50">
        <v>45241</v>
      </c>
      <c r="B7538" s="49" t="s">
        <v>30</v>
      </c>
      <c r="E7538" s="51"/>
    </row>
    <row r="7539" spans="1:5">
      <c r="A7539" s="50">
        <v>45241</v>
      </c>
      <c r="B7539" s="49" t="s">
        <v>31</v>
      </c>
      <c r="E7539" s="51"/>
    </row>
    <row r="7540" spans="1:5">
      <c r="A7540" s="50">
        <v>45241</v>
      </c>
      <c r="B7540" s="49" t="s">
        <v>32</v>
      </c>
      <c r="E7540" s="51"/>
    </row>
    <row r="7541" spans="1:5">
      <c r="A7541" s="50">
        <v>45241</v>
      </c>
      <c r="B7541" s="49" t="s">
        <v>33</v>
      </c>
      <c r="E7541" s="51"/>
    </row>
    <row r="7542" spans="1:5">
      <c r="A7542" s="50">
        <v>45241</v>
      </c>
      <c r="B7542" s="49" t="s">
        <v>34</v>
      </c>
      <c r="E7542" s="51"/>
    </row>
    <row r="7543" spans="1:5">
      <c r="A7543" s="50">
        <v>45241</v>
      </c>
      <c r="B7543" s="49" t="s">
        <v>35</v>
      </c>
      <c r="E7543" s="51"/>
    </row>
    <row r="7544" spans="1:5">
      <c r="A7544" s="50">
        <v>45241</v>
      </c>
      <c r="B7544" s="49" t="s">
        <v>36</v>
      </c>
      <c r="E7544" s="51"/>
    </row>
    <row r="7545" spans="1:5">
      <c r="A7545" s="50">
        <v>45241</v>
      </c>
      <c r="B7545" s="49" t="s">
        <v>37</v>
      </c>
      <c r="E7545" s="51"/>
    </row>
    <row r="7546" spans="1:5">
      <c r="A7546" s="50">
        <v>45241</v>
      </c>
      <c r="B7546" s="49" t="s">
        <v>38</v>
      </c>
      <c r="E7546" s="51"/>
    </row>
    <row r="7547" spans="1:5">
      <c r="A7547" s="50">
        <v>45241</v>
      </c>
      <c r="B7547" s="49" t="s">
        <v>39</v>
      </c>
      <c r="E7547" s="51"/>
    </row>
    <row r="7548" spans="1:5">
      <c r="A7548" s="50">
        <v>45241</v>
      </c>
      <c r="B7548" s="49" t="s">
        <v>40</v>
      </c>
      <c r="E7548" s="51"/>
    </row>
    <row r="7549" spans="1:5">
      <c r="A7549" s="50">
        <v>45241</v>
      </c>
      <c r="B7549" s="49" t="s">
        <v>41</v>
      </c>
      <c r="E7549" s="51"/>
    </row>
    <row r="7550" spans="1:5">
      <c r="A7550" s="50">
        <v>45241</v>
      </c>
      <c r="B7550" s="49" t="s">
        <v>42</v>
      </c>
      <c r="E7550" s="51"/>
    </row>
    <row r="7551" spans="1:5">
      <c r="A7551" s="50">
        <v>45241</v>
      </c>
      <c r="B7551" s="49" t="s">
        <v>43</v>
      </c>
      <c r="E7551" s="51"/>
    </row>
    <row r="7552" spans="1:5">
      <c r="A7552" s="50">
        <v>45241</v>
      </c>
      <c r="B7552" s="49" t="s">
        <v>44</v>
      </c>
      <c r="E7552" s="51"/>
    </row>
    <row r="7553" spans="1:5">
      <c r="A7553" s="50">
        <v>45241</v>
      </c>
      <c r="B7553" s="49" t="s">
        <v>45</v>
      </c>
      <c r="E7553" s="51"/>
    </row>
    <row r="7554" spans="1:5">
      <c r="A7554" s="50">
        <v>45241</v>
      </c>
      <c r="B7554" s="49" t="s">
        <v>46</v>
      </c>
      <c r="E7554" s="51"/>
    </row>
    <row r="7555" spans="1:5">
      <c r="A7555" s="50">
        <v>45241</v>
      </c>
      <c r="B7555" s="49" t="s">
        <v>47</v>
      </c>
      <c r="E7555" s="51"/>
    </row>
    <row r="7556" spans="1:5">
      <c r="A7556" s="50">
        <v>45241</v>
      </c>
      <c r="B7556" s="49" t="s">
        <v>48</v>
      </c>
      <c r="E7556" s="51"/>
    </row>
    <row r="7557" spans="1:5">
      <c r="A7557" s="50">
        <v>45241</v>
      </c>
      <c r="B7557" s="49" t="s">
        <v>49</v>
      </c>
      <c r="E7557" s="51"/>
    </row>
    <row r="7558" spans="1:5">
      <c r="A7558" s="50">
        <v>45241</v>
      </c>
      <c r="B7558" s="49" t="s">
        <v>50</v>
      </c>
      <c r="E7558" s="51"/>
    </row>
    <row r="7559" spans="1:5">
      <c r="A7559" s="50">
        <v>45241</v>
      </c>
      <c r="B7559" s="49" t="s">
        <v>51</v>
      </c>
      <c r="E7559" s="51"/>
    </row>
    <row r="7560" spans="1:5">
      <c r="A7560" s="50">
        <v>45241</v>
      </c>
      <c r="B7560" s="49" t="s">
        <v>52</v>
      </c>
      <c r="E7560" s="51"/>
    </row>
    <row r="7561" spans="1:5">
      <c r="A7561" s="50">
        <v>45241</v>
      </c>
      <c r="B7561" s="49" t="s">
        <v>53</v>
      </c>
      <c r="E7561" s="51"/>
    </row>
    <row r="7562" spans="1:5">
      <c r="A7562" s="50">
        <v>45242</v>
      </c>
      <c r="B7562" s="49" t="s">
        <v>30</v>
      </c>
      <c r="E7562" s="51"/>
    </row>
    <row r="7563" spans="1:5">
      <c r="A7563" s="50">
        <v>45242</v>
      </c>
      <c r="B7563" s="49" t="s">
        <v>31</v>
      </c>
      <c r="E7563" s="51"/>
    </row>
    <row r="7564" spans="1:5">
      <c r="A7564" s="50">
        <v>45242</v>
      </c>
      <c r="B7564" s="49" t="s">
        <v>32</v>
      </c>
      <c r="E7564" s="51"/>
    </row>
    <row r="7565" spans="1:5">
      <c r="A7565" s="50">
        <v>45242</v>
      </c>
      <c r="B7565" s="49" t="s">
        <v>33</v>
      </c>
      <c r="E7565" s="51"/>
    </row>
    <row r="7566" spans="1:5">
      <c r="A7566" s="50">
        <v>45242</v>
      </c>
      <c r="B7566" s="49" t="s">
        <v>34</v>
      </c>
      <c r="E7566" s="51"/>
    </row>
    <row r="7567" spans="1:5">
      <c r="A7567" s="50">
        <v>45242</v>
      </c>
      <c r="B7567" s="49" t="s">
        <v>35</v>
      </c>
      <c r="E7567" s="51"/>
    </row>
    <row r="7568" spans="1:5">
      <c r="A7568" s="50">
        <v>45242</v>
      </c>
      <c r="B7568" s="49" t="s">
        <v>36</v>
      </c>
      <c r="E7568" s="51"/>
    </row>
    <row r="7569" spans="1:5">
      <c r="A7569" s="50">
        <v>45242</v>
      </c>
      <c r="B7569" s="49" t="s">
        <v>37</v>
      </c>
      <c r="E7569" s="51"/>
    </row>
    <row r="7570" spans="1:5">
      <c r="A7570" s="50">
        <v>45242</v>
      </c>
      <c r="B7570" s="49" t="s">
        <v>38</v>
      </c>
      <c r="E7570" s="51"/>
    </row>
    <row r="7571" spans="1:5">
      <c r="A7571" s="50">
        <v>45242</v>
      </c>
      <c r="B7571" s="49" t="s">
        <v>39</v>
      </c>
      <c r="E7571" s="51"/>
    </row>
    <row r="7572" spans="1:5">
      <c r="A7572" s="50">
        <v>45242</v>
      </c>
      <c r="B7572" s="49" t="s">
        <v>40</v>
      </c>
      <c r="E7572" s="51"/>
    </row>
    <row r="7573" spans="1:5">
      <c r="A7573" s="50">
        <v>45242</v>
      </c>
      <c r="B7573" s="49" t="s">
        <v>41</v>
      </c>
      <c r="E7573" s="51"/>
    </row>
    <row r="7574" spans="1:5">
      <c r="A7574" s="50">
        <v>45242</v>
      </c>
      <c r="B7574" s="49" t="s">
        <v>42</v>
      </c>
      <c r="E7574" s="51"/>
    </row>
    <row r="7575" spans="1:5">
      <c r="A7575" s="50">
        <v>45242</v>
      </c>
      <c r="B7575" s="49" t="s">
        <v>43</v>
      </c>
      <c r="E7575" s="51"/>
    </row>
    <row r="7576" spans="1:5">
      <c r="A7576" s="50">
        <v>45242</v>
      </c>
      <c r="B7576" s="49" t="s">
        <v>44</v>
      </c>
    </row>
    <row r="7577" spans="1:5">
      <c r="A7577" s="50">
        <v>45242</v>
      </c>
      <c r="B7577" s="49" t="s">
        <v>45</v>
      </c>
    </row>
    <row r="7578" spans="1:5">
      <c r="A7578" s="50">
        <v>45242</v>
      </c>
      <c r="B7578" s="49" t="s">
        <v>46</v>
      </c>
    </row>
    <row r="7579" spans="1:5">
      <c r="A7579" s="50">
        <v>45242</v>
      </c>
      <c r="B7579" s="49" t="s">
        <v>47</v>
      </c>
    </row>
    <row r="7580" spans="1:5">
      <c r="A7580" s="50">
        <v>45242</v>
      </c>
      <c r="B7580" s="49" t="s">
        <v>48</v>
      </c>
    </row>
    <row r="7581" spans="1:5">
      <c r="A7581" s="50">
        <v>45242</v>
      </c>
      <c r="B7581" s="49" t="s">
        <v>49</v>
      </c>
    </row>
    <row r="7582" spans="1:5">
      <c r="A7582" s="50">
        <v>45242</v>
      </c>
      <c r="B7582" s="49" t="s">
        <v>50</v>
      </c>
    </row>
    <row r="7583" spans="1:5">
      <c r="A7583" s="50">
        <v>45242</v>
      </c>
      <c r="B7583" s="49" t="s">
        <v>51</v>
      </c>
    </row>
    <row r="7584" spans="1:5">
      <c r="A7584" s="50">
        <v>45242</v>
      </c>
      <c r="B7584" s="49" t="s">
        <v>52</v>
      </c>
    </row>
    <row r="7585" spans="1:2">
      <c r="A7585" s="50">
        <v>45242</v>
      </c>
      <c r="B7585" s="49" t="s">
        <v>53</v>
      </c>
    </row>
    <row r="7586" spans="1:2">
      <c r="A7586" s="50">
        <v>45243</v>
      </c>
      <c r="B7586" s="49" t="s">
        <v>30</v>
      </c>
    </row>
    <row r="7587" spans="1:2">
      <c r="A7587" s="50">
        <v>45243</v>
      </c>
      <c r="B7587" s="49" t="s">
        <v>31</v>
      </c>
    </row>
    <row r="7588" spans="1:2">
      <c r="A7588" s="50">
        <v>45243</v>
      </c>
      <c r="B7588" s="49" t="s">
        <v>32</v>
      </c>
    </row>
    <row r="7589" spans="1:2">
      <c r="A7589" s="50">
        <v>45243</v>
      </c>
      <c r="B7589" s="49" t="s">
        <v>33</v>
      </c>
    </row>
    <row r="7590" spans="1:2">
      <c r="A7590" s="50">
        <v>45243</v>
      </c>
      <c r="B7590" s="49" t="s">
        <v>34</v>
      </c>
    </row>
    <row r="7591" spans="1:2">
      <c r="A7591" s="50">
        <v>45243</v>
      </c>
      <c r="B7591" s="49" t="s">
        <v>35</v>
      </c>
    </row>
    <row r="7592" spans="1:2">
      <c r="A7592" s="50">
        <v>45243</v>
      </c>
      <c r="B7592" s="49" t="s">
        <v>36</v>
      </c>
    </row>
    <row r="7593" spans="1:2">
      <c r="A7593" s="50">
        <v>45243</v>
      </c>
      <c r="B7593" s="49" t="s">
        <v>37</v>
      </c>
    </row>
    <row r="7594" spans="1:2">
      <c r="A7594" s="50">
        <v>45243</v>
      </c>
      <c r="B7594" s="49" t="s">
        <v>38</v>
      </c>
    </row>
    <row r="7595" spans="1:2">
      <c r="A7595" s="50">
        <v>45243</v>
      </c>
      <c r="B7595" s="49" t="s">
        <v>39</v>
      </c>
    </row>
    <row r="7596" spans="1:2">
      <c r="A7596" s="50">
        <v>45243</v>
      </c>
      <c r="B7596" s="49" t="s">
        <v>40</v>
      </c>
    </row>
    <row r="7597" spans="1:2">
      <c r="A7597" s="50">
        <v>45243</v>
      </c>
      <c r="B7597" s="49" t="s">
        <v>41</v>
      </c>
    </row>
    <row r="7598" spans="1:2">
      <c r="A7598" s="50">
        <v>45243</v>
      </c>
      <c r="B7598" s="49" t="s">
        <v>42</v>
      </c>
    </row>
    <row r="7599" spans="1:2">
      <c r="A7599" s="50">
        <v>45243</v>
      </c>
      <c r="B7599" s="49" t="s">
        <v>43</v>
      </c>
    </row>
    <row r="7600" spans="1:2">
      <c r="A7600" s="50">
        <v>45243</v>
      </c>
      <c r="B7600" s="49" t="s">
        <v>44</v>
      </c>
    </row>
    <row r="7601" spans="1:2">
      <c r="A7601" s="50">
        <v>45243</v>
      </c>
      <c r="B7601" s="49" t="s">
        <v>45</v>
      </c>
    </row>
    <row r="7602" spans="1:2">
      <c r="A7602" s="50">
        <v>45243</v>
      </c>
      <c r="B7602" s="49" t="s">
        <v>46</v>
      </c>
    </row>
    <row r="7603" spans="1:2">
      <c r="A7603" s="50">
        <v>45243</v>
      </c>
      <c r="B7603" s="49" t="s">
        <v>47</v>
      </c>
    </row>
    <row r="7604" spans="1:2">
      <c r="A7604" s="50">
        <v>45243</v>
      </c>
      <c r="B7604" s="49" t="s">
        <v>48</v>
      </c>
    </row>
    <row r="7605" spans="1:2">
      <c r="A7605" s="50">
        <v>45243</v>
      </c>
      <c r="B7605" s="49" t="s">
        <v>49</v>
      </c>
    </row>
    <row r="7606" spans="1:2">
      <c r="A7606" s="50">
        <v>45243</v>
      </c>
      <c r="B7606" s="49" t="s">
        <v>50</v>
      </c>
    </row>
    <row r="7607" spans="1:2">
      <c r="A7607" s="50">
        <v>45243</v>
      </c>
      <c r="B7607" s="49" t="s">
        <v>51</v>
      </c>
    </row>
    <row r="7608" spans="1:2">
      <c r="A7608" s="50">
        <v>45243</v>
      </c>
      <c r="B7608" s="49" t="s">
        <v>52</v>
      </c>
    </row>
    <row r="7609" spans="1:2">
      <c r="A7609" s="50">
        <v>45243</v>
      </c>
      <c r="B7609" s="49" t="s">
        <v>53</v>
      </c>
    </row>
    <row r="7610" spans="1:2">
      <c r="A7610" s="50">
        <v>45244</v>
      </c>
      <c r="B7610" s="49" t="s">
        <v>30</v>
      </c>
    </row>
    <row r="7611" spans="1:2">
      <c r="A7611" s="50">
        <v>45244</v>
      </c>
      <c r="B7611" s="49" t="s">
        <v>31</v>
      </c>
    </row>
    <row r="7612" spans="1:2">
      <c r="A7612" s="50">
        <v>45244</v>
      </c>
      <c r="B7612" s="49" t="s">
        <v>32</v>
      </c>
    </row>
    <row r="7613" spans="1:2">
      <c r="A7613" s="50">
        <v>45244</v>
      </c>
      <c r="B7613" s="49" t="s">
        <v>33</v>
      </c>
    </row>
    <row r="7614" spans="1:2">
      <c r="A7614" s="50">
        <v>45244</v>
      </c>
      <c r="B7614" s="49" t="s">
        <v>34</v>
      </c>
    </row>
    <row r="7615" spans="1:2">
      <c r="A7615" s="50">
        <v>45244</v>
      </c>
      <c r="B7615" s="49" t="s">
        <v>35</v>
      </c>
    </row>
    <row r="7616" spans="1:2">
      <c r="A7616" s="50">
        <v>45244</v>
      </c>
      <c r="B7616" s="49" t="s">
        <v>36</v>
      </c>
    </row>
    <row r="7617" spans="1:2">
      <c r="A7617" s="50">
        <v>45244</v>
      </c>
      <c r="B7617" s="49" t="s">
        <v>37</v>
      </c>
    </row>
    <row r="7618" spans="1:2">
      <c r="A7618" s="50">
        <v>45244</v>
      </c>
      <c r="B7618" s="49" t="s">
        <v>38</v>
      </c>
    </row>
    <row r="7619" spans="1:2">
      <c r="A7619" s="50">
        <v>45244</v>
      </c>
      <c r="B7619" s="49" t="s">
        <v>39</v>
      </c>
    </row>
    <row r="7620" spans="1:2">
      <c r="A7620" s="50">
        <v>45244</v>
      </c>
      <c r="B7620" s="49" t="s">
        <v>40</v>
      </c>
    </row>
    <row r="7621" spans="1:2">
      <c r="A7621" s="50">
        <v>45244</v>
      </c>
      <c r="B7621" s="49" t="s">
        <v>41</v>
      </c>
    </row>
    <row r="7622" spans="1:2">
      <c r="A7622" s="50">
        <v>45244</v>
      </c>
      <c r="B7622" s="49" t="s">
        <v>42</v>
      </c>
    </row>
    <row r="7623" spans="1:2">
      <c r="A7623" s="50">
        <v>45244</v>
      </c>
      <c r="B7623" s="49" t="s">
        <v>43</v>
      </c>
    </row>
    <row r="7624" spans="1:2">
      <c r="A7624" s="50">
        <v>45244</v>
      </c>
      <c r="B7624" s="49" t="s">
        <v>44</v>
      </c>
    </row>
    <row r="7625" spans="1:2">
      <c r="A7625" s="50">
        <v>45244</v>
      </c>
      <c r="B7625" s="49" t="s">
        <v>45</v>
      </c>
    </row>
    <row r="7626" spans="1:2">
      <c r="A7626" s="50">
        <v>45244</v>
      </c>
      <c r="B7626" s="49" t="s">
        <v>46</v>
      </c>
    </row>
    <row r="7627" spans="1:2">
      <c r="A7627" s="50">
        <v>45244</v>
      </c>
      <c r="B7627" s="49" t="s">
        <v>47</v>
      </c>
    </row>
    <row r="7628" spans="1:2">
      <c r="A7628" s="50">
        <v>45244</v>
      </c>
      <c r="B7628" s="49" t="s">
        <v>48</v>
      </c>
    </row>
    <row r="7629" spans="1:2">
      <c r="A7629" s="50">
        <v>45244</v>
      </c>
      <c r="B7629" s="49" t="s">
        <v>49</v>
      </c>
    </row>
    <row r="7630" spans="1:2">
      <c r="A7630" s="50">
        <v>45244</v>
      </c>
      <c r="B7630" s="49" t="s">
        <v>50</v>
      </c>
    </row>
    <row r="7631" spans="1:2">
      <c r="A7631" s="50">
        <v>45244</v>
      </c>
      <c r="B7631" s="49" t="s">
        <v>51</v>
      </c>
    </row>
    <row r="7632" spans="1:2">
      <c r="A7632" s="50">
        <v>45244</v>
      </c>
      <c r="B7632" s="49" t="s">
        <v>52</v>
      </c>
    </row>
    <row r="7633" spans="1:2">
      <c r="A7633" s="50">
        <v>45244</v>
      </c>
      <c r="B7633" s="49" t="s">
        <v>53</v>
      </c>
    </row>
    <row r="7634" spans="1:2">
      <c r="A7634" s="50">
        <v>45245</v>
      </c>
      <c r="B7634" s="49" t="s">
        <v>30</v>
      </c>
    </row>
    <row r="7635" spans="1:2">
      <c r="A7635" s="50">
        <v>45245</v>
      </c>
      <c r="B7635" s="49" t="s">
        <v>31</v>
      </c>
    </row>
    <row r="7636" spans="1:2">
      <c r="A7636" s="50">
        <v>45245</v>
      </c>
      <c r="B7636" s="49" t="s">
        <v>32</v>
      </c>
    </row>
    <row r="7637" spans="1:2">
      <c r="A7637" s="50">
        <v>45245</v>
      </c>
      <c r="B7637" s="49" t="s">
        <v>33</v>
      </c>
    </row>
    <row r="7638" spans="1:2">
      <c r="A7638" s="50">
        <v>45245</v>
      </c>
      <c r="B7638" s="49" t="s">
        <v>34</v>
      </c>
    </row>
    <row r="7639" spans="1:2">
      <c r="A7639" s="50">
        <v>45245</v>
      </c>
      <c r="B7639" s="49" t="s">
        <v>35</v>
      </c>
    </row>
    <row r="7640" spans="1:2">
      <c r="A7640" s="50">
        <v>45245</v>
      </c>
      <c r="B7640" s="49" t="s">
        <v>36</v>
      </c>
    </row>
    <row r="7641" spans="1:2">
      <c r="A7641" s="50">
        <v>45245</v>
      </c>
      <c r="B7641" s="49" t="s">
        <v>37</v>
      </c>
    </row>
    <row r="7642" spans="1:2">
      <c r="A7642" s="50">
        <v>45245</v>
      </c>
      <c r="B7642" s="49" t="s">
        <v>38</v>
      </c>
    </row>
    <row r="7643" spans="1:2">
      <c r="A7643" s="50">
        <v>45245</v>
      </c>
      <c r="B7643" s="49" t="s">
        <v>39</v>
      </c>
    </row>
    <row r="7644" spans="1:2">
      <c r="A7644" s="50">
        <v>45245</v>
      </c>
      <c r="B7644" s="49" t="s">
        <v>40</v>
      </c>
    </row>
    <row r="7645" spans="1:2">
      <c r="A7645" s="50">
        <v>45245</v>
      </c>
      <c r="B7645" s="49" t="s">
        <v>41</v>
      </c>
    </row>
    <row r="7646" spans="1:2">
      <c r="A7646" s="50">
        <v>45245</v>
      </c>
      <c r="B7646" s="49" t="s">
        <v>42</v>
      </c>
    </row>
    <row r="7647" spans="1:2">
      <c r="A7647" s="50">
        <v>45245</v>
      </c>
      <c r="B7647" s="49" t="s">
        <v>43</v>
      </c>
    </row>
    <row r="7648" spans="1:2">
      <c r="A7648" s="50">
        <v>45245</v>
      </c>
      <c r="B7648" s="49" t="s">
        <v>44</v>
      </c>
    </row>
    <row r="7649" spans="1:2">
      <c r="A7649" s="50">
        <v>45245</v>
      </c>
      <c r="B7649" s="49" t="s">
        <v>45</v>
      </c>
    </row>
    <row r="7650" spans="1:2">
      <c r="A7650" s="50">
        <v>45245</v>
      </c>
      <c r="B7650" s="49" t="s">
        <v>46</v>
      </c>
    </row>
    <row r="7651" spans="1:2">
      <c r="A7651" s="50">
        <v>45245</v>
      </c>
      <c r="B7651" s="49" t="s">
        <v>47</v>
      </c>
    </row>
    <row r="7652" spans="1:2">
      <c r="A7652" s="50">
        <v>45245</v>
      </c>
      <c r="B7652" s="49" t="s">
        <v>48</v>
      </c>
    </row>
    <row r="7653" spans="1:2">
      <c r="A7653" s="50">
        <v>45245</v>
      </c>
      <c r="B7653" s="49" t="s">
        <v>49</v>
      </c>
    </row>
    <row r="7654" spans="1:2">
      <c r="A7654" s="50">
        <v>45245</v>
      </c>
      <c r="B7654" s="49" t="s">
        <v>50</v>
      </c>
    </row>
    <row r="7655" spans="1:2">
      <c r="A7655" s="50">
        <v>45245</v>
      </c>
      <c r="B7655" s="49" t="s">
        <v>51</v>
      </c>
    </row>
    <row r="7656" spans="1:2">
      <c r="A7656" s="50">
        <v>45245</v>
      </c>
      <c r="B7656" s="49" t="s">
        <v>52</v>
      </c>
    </row>
    <row r="7657" spans="1:2">
      <c r="A7657" s="50">
        <v>45245</v>
      </c>
      <c r="B7657" s="49" t="s">
        <v>53</v>
      </c>
    </row>
    <row r="7658" spans="1:2">
      <c r="A7658" s="50">
        <v>45246</v>
      </c>
      <c r="B7658" s="49" t="s">
        <v>30</v>
      </c>
    </row>
    <row r="7659" spans="1:2">
      <c r="A7659" s="50">
        <v>45246</v>
      </c>
      <c r="B7659" s="49" t="s">
        <v>31</v>
      </c>
    </row>
    <row r="7660" spans="1:2">
      <c r="A7660" s="50">
        <v>45246</v>
      </c>
      <c r="B7660" s="49" t="s">
        <v>32</v>
      </c>
    </row>
    <row r="7661" spans="1:2">
      <c r="A7661" s="50">
        <v>45246</v>
      </c>
      <c r="B7661" s="49" t="s">
        <v>33</v>
      </c>
    </row>
    <row r="7662" spans="1:2">
      <c r="A7662" s="50">
        <v>45246</v>
      </c>
      <c r="B7662" s="49" t="s">
        <v>34</v>
      </c>
    </row>
    <row r="7663" spans="1:2">
      <c r="A7663" s="50">
        <v>45246</v>
      </c>
      <c r="B7663" s="49" t="s">
        <v>35</v>
      </c>
    </row>
    <row r="7664" spans="1:2">
      <c r="A7664" s="50">
        <v>45246</v>
      </c>
      <c r="B7664" s="49" t="s">
        <v>36</v>
      </c>
    </row>
    <row r="7665" spans="1:2">
      <c r="A7665" s="50">
        <v>45246</v>
      </c>
      <c r="B7665" s="49" t="s">
        <v>37</v>
      </c>
    </row>
    <row r="7666" spans="1:2">
      <c r="A7666" s="50">
        <v>45246</v>
      </c>
      <c r="B7666" s="49" t="s">
        <v>38</v>
      </c>
    </row>
    <row r="7667" spans="1:2">
      <c r="A7667" s="50">
        <v>45246</v>
      </c>
      <c r="B7667" s="49" t="s">
        <v>39</v>
      </c>
    </row>
    <row r="7668" spans="1:2">
      <c r="A7668" s="50">
        <v>45246</v>
      </c>
      <c r="B7668" s="49" t="s">
        <v>40</v>
      </c>
    </row>
    <row r="7669" spans="1:2">
      <c r="A7669" s="50">
        <v>45246</v>
      </c>
      <c r="B7669" s="49" t="s">
        <v>41</v>
      </c>
    </row>
    <row r="7670" spans="1:2">
      <c r="A7670" s="50">
        <v>45246</v>
      </c>
      <c r="B7670" s="49" t="s">
        <v>42</v>
      </c>
    </row>
    <row r="7671" spans="1:2">
      <c r="A7671" s="50">
        <v>45246</v>
      </c>
      <c r="B7671" s="49" t="s">
        <v>43</v>
      </c>
    </row>
    <row r="7672" spans="1:2">
      <c r="A7672" s="50">
        <v>45246</v>
      </c>
      <c r="B7672" s="49" t="s">
        <v>44</v>
      </c>
    </row>
    <row r="7673" spans="1:2">
      <c r="A7673" s="50">
        <v>45246</v>
      </c>
      <c r="B7673" s="49" t="s">
        <v>45</v>
      </c>
    </row>
    <row r="7674" spans="1:2">
      <c r="A7674" s="50">
        <v>45246</v>
      </c>
      <c r="B7674" s="49" t="s">
        <v>46</v>
      </c>
    </row>
    <row r="7675" spans="1:2">
      <c r="A7675" s="50">
        <v>45246</v>
      </c>
      <c r="B7675" s="49" t="s">
        <v>47</v>
      </c>
    </row>
    <row r="7676" spans="1:2">
      <c r="A7676" s="50">
        <v>45246</v>
      </c>
      <c r="B7676" s="49" t="s">
        <v>48</v>
      </c>
    </row>
    <row r="7677" spans="1:2">
      <c r="A7677" s="50">
        <v>45246</v>
      </c>
      <c r="B7677" s="49" t="s">
        <v>49</v>
      </c>
    </row>
    <row r="7678" spans="1:2">
      <c r="A7678" s="50">
        <v>45246</v>
      </c>
      <c r="B7678" s="49" t="s">
        <v>50</v>
      </c>
    </row>
    <row r="7679" spans="1:2">
      <c r="A7679" s="50">
        <v>45246</v>
      </c>
      <c r="B7679" s="49" t="s">
        <v>51</v>
      </c>
    </row>
    <row r="7680" spans="1:2">
      <c r="A7680" s="50">
        <v>45246</v>
      </c>
      <c r="B7680" s="49" t="s">
        <v>52</v>
      </c>
    </row>
    <row r="7681" spans="1:2">
      <c r="A7681" s="50">
        <v>45246</v>
      </c>
      <c r="B7681" s="49" t="s">
        <v>53</v>
      </c>
    </row>
    <row r="7682" spans="1:2">
      <c r="A7682" s="50">
        <v>45247</v>
      </c>
      <c r="B7682" s="49" t="s">
        <v>30</v>
      </c>
    </row>
    <row r="7683" spans="1:2">
      <c r="A7683" s="50">
        <v>45247</v>
      </c>
      <c r="B7683" s="49" t="s">
        <v>31</v>
      </c>
    </row>
    <row r="7684" spans="1:2">
      <c r="A7684" s="50">
        <v>45247</v>
      </c>
      <c r="B7684" s="49" t="s">
        <v>32</v>
      </c>
    </row>
    <row r="7685" spans="1:2">
      <c r="A7685" s="50">
        <v>45247</v>
      </c>
      <c r="B7685" s="49" t="s">
        <v>33</v>
      </c>
    </row>
    <row r="7686" spans="1:2">
      <c r="A7686" s="50">
        <v>45247</v>
      </c>
      <c r="B7686" s="49" t="s">
        <v>34</v>
      </c>
    </row>
    <row r="7687" spans="1:2">
      <c r="A7687" s="50">
        <v>45247</v>
      </c>
      <c r="B7687" s="49" t="s">
        <v>35</v>
      </c>
    </row>
    <row r="7688" spans="1:2">
      <c r="A7688" s="50">
        <v>45247</v>
      </c>
      <c r="B7688" s="49" t="s">
        <v>36</v>
      </c>
    </row>
    <row r="7689" spans="1:2">
      <c r="A7689" s="50">
        <v>45247</v>
      </c>
      <c r="B7689" s="49" t="s">
        <v>37</v>
      </c>
    </row>
    <row r="7690" spans="1:2">
      <c r="A7690" s="50">
        <v>45247</v>
      </c>
      <c r="B7690" s="49" t="s">
        <v>38</v>
      </c>
    </row>
    <row r="7691" spans="1:2">
      <c r="A7691" s="50">
        <v>45247</v>
      </c>
      <c r="B7691" s="49" t="s">
        <v>39</v>
      </c>
    </row>
    <row r="7692" spans="1:2">
      <c r="A7692" s="50">
        <v>45247</v>
      </c>
      <c r="B7692" s="49" t="s">
        <v>40</v>
      </c>
    </row>
    <row r="7693" spans="1:2">
      <c r="A7693" s="50">
        <v>45247</v>
      </c>
      <c r="B7693" s="49" t="s">
        <v>41</v>
      </c>
    </row>
    <row r="7694" spans="1:2">
      <c r="A7694" s="50">
        <v>45247</v>
      </c>
      <c r="B7694" s="49" t="s">
        <v>42</v>
      </c>
    </row>
    <row r="7695" spans="1:2">
      <c r="A7695" s="50">
        <v>45247</v>
      </c>
      <c r="B7695" s="49" t="s">
        <v>43</v>
      </c>
    </row>
    <row r="7696" spans="1:2">
      <c r="A7696" s="50">
        <v>45247</v>
      </c>
      <c r="B7696" s="49" t="s">
        <v>44</v>
      </c>
    </row>
    <row r="7697" spans="1:2">
      <c r="A7697" s="50">
        <v>45247</v>
      </c>
      <c r="B7697" s="49" t="s">
        <v>45</v>
      </c>
    </row>
    <row r="7698" spans="1:2">
      <c r="A7698" s="50">
        <v>45247</v>
      </c>
      <c r="B7698" s="49" t="s">
        <v>46</v>
      </c>
    </row>
    <row r="7699" spans="1:2">
      <c r="A7699" s="50">
        <v>45247</v>
      </c>
      <c r="B7699" s="49" t="s">
        <v>47</v>
      </c>
    </row>
    <row r="7700" spans="1:2">
      <c r="A7700" s="50">
        <v>45247</v>
      </c>
      <c r="B7700" s="49" t="s">
        <v>48</v>
      </c>
    </row>
    <row r="7701" spans="1:2">
      <c r="A7701" s="50">
        <v>45247</v>
      </c>
      <c r="B7701" s="49" t="s">
        <v>49</v>
      </c>
    </row>
    <row r="7702" spans="1:2">
      <c r="A7702" s="50">
        <v>45247</v>
      </c>
      <c r="B7702" s="49" t="s">
        <v>50</v>
      </c>
    </row>
    <row r="7703" spans="1:2">
      <c r="A7703" s="50">
        <v>45247</v>
      </c>
      <c r="B7703" s="49" t="s">
        <v>51</v>
      </c>
    </row>
    <row r="7704" spans="1:2">
      <c r="A7704" s="50">
        <v>45247</v>
      </c>
      <c r="B7704" s="49" t="s">
        <v>52</v>
      </c>
    </row>
    <row r="7705" spans="1:2">
      <c r="A7705" s="50">
        <v>45247</v>
      </c>
      <c r="B7705" s="49" t="s">
        <v>53</v>
      </c>
    </row>
    <row r="7706" spans="1:2">
      <c r="A7706" s="50">
        <v>45248</v>
      </c>
      <c r="B7706" s="49" t="s">
        <v>30</v>
      </c>
    </row>
    <row r="7707" spans="1:2">
      <c r="A7707" s="50">
        <v>45248</v>
      </c>
      <c r="B7707" s="49" t="s">
        <v>31</v>
      </c>
    </row>
    <row r="7708" spans="1:2">
      <c r="A7708" s="50">
        <v>45248</v>
      </c>
      <c r="B7708" s="49" t="s">
        <v>32</v>
      </c>
    </row>
    <row r="7709" spans="1:2">
      <c r="A7709" s="50">
        <v>45248</v>
      </c>
      <c r="B7709" s="49" t="s">
        <v>33</v>
      </c>
    </row>
    <row r="7710" spans="1:2">
      <c r="A7710" s="50">
        <v>45248</v>
      </c>
      <c r="B7710" s="49" t="s">
        <v>34</v>
      </c>
    </row>
    <row r="7711" spans="1:2">
      <c r="A7711" s="50">
        <v>45248</v>
      </c>
      <c r="B7711" s="49" t="s">
        <v>35</v>
      </c>
    </row>
    <row r="7712" spans="1:2">
      <c r="A7712" s="50">
        <v>45248</v>
      </c>
      <c r="B7712" s="49" t="s">
        <v>36</v>
      </c>
    </row>
    <row r="7713" spans="1:2">
      <c r="A7713" s="50">
        <v>45248</v>
      </c>
      <c r="B7713" s="49" t="s">
        <v>37</v>
      </c>
    </row>
    <row r="7714" spans="1:2">
      <c r="A7714" s="50">
        <v>45248</v>
      </c>
      <c r="B7714" s="49" t="s">
        <v>38</v>
      </c>
    </row>
    <row r="7715" spans="1:2">
      <c r="A7715" s="50">
        <v>45248</v>
      </c>
      <c r="B7715" s="49" t="s">
        <v>39</v>
      </c>
    </row>
    <row r="7716" spans="1:2">
      <c r="A7716" s="50">
        <v>45248</v>
      </c>
      <c r="B7716" s="49" t="s">
        <v>40</v>
      </c>
    </row>
    <row r="7717" spans="1:2">
      <c r="A7717" s="50">
        <v>45248</v>
      </c>
      <c r="B7717" s="49" t="s">
        <v>41</v>
      </c>
    </row>
    <row r="7718" spans="1:2">
      <c r="A7718" s="50">
        <v>45248</v>
      </c>
      <c r="B7718" s="49" t="s">
        <v>42</v>
      </c>
    </row>
    <row r="7719" spans="1:2">
      <c r="A7719" s="50">
        <v>45248</v>
      </c>
      <c r="B7719" s="49" t="s">
        <v>43</v>
      </c>
    </row>
    <row r="7720" spans="1:2">
      <c r="A7720" s="50">
        <v>45248</v>
      </c>
      <c r="B7720" s="49" t="s">
        <v>44</v>
      </c>
    </row>
    <row r="7721" spans="1:2">
      <c r="A7721" s="50">
        <v>45248</v>
      </c>
      <c r="B7721" s="49" t="s">
        <v>45</v>
      </c>
    </row>
    <row r="7722" spans="1:2">
      <c r="A7722" s="50">
        <v>45248</v>
      </c>
      <c r="B7722" s="49" t="s">
        <v>46</v>
      </c>
    </row>
    <row r="7723" spans="1:2">
      <c r="A7723" s="50">
        <v>45248</v>
      </c>
      <c r="B7723" s="49" t="s">
        <v>47</v>
      </c>
    </row>
    <row r="7724" spans="1:2">
      <c r="A7724" s="50">
        <v>45248</v>
      </c>
      <c r="B7724" s="49" t="s">
        <v>48</v>
      </c>
    </row>
    <row r="7725" spans="1:2">
      <c r="A7725" s="50">
        <v>45248</v>
      </c>
      <c r="B7725" s="49" t="s">
        <v>49</v>
      </c>
    </row>
    <row r="7726" spans="1:2">
      <c r="A7726" s="50">
        <v>45248</v>
      </c>
      <c r="B7726" s="49" t="s">
        <v>50</v>
      </c>
    </row>
    <row r="7727" spans="1:2">
      <c r="A7727" s="50">
        <v>45248</v>
      </c>
      <c r="B7727" s="49" t="s">
        <v>51</v>
      </c>
    </row>
    <row r="7728" spans="1:2">
      <c r="A7728" s="50">
        <v>45248</v>
      </c>
      <c r="B7728" s="49" t="s">
        <v>52</v>
      </c>
    </row>
    <row r="7729" spans="1:2">
      <c r="A7729" s="50">
        <v>45248</v>
      </c>
      <c r="B7729" s="49" t="s">
        <v>53</v>
      </c>
    </row>
    <row r="7730" spans="1:2">
      <c r="A7730" s="50">
        <v>45249</v>
      </c>
      <c r="B7730" s="49" t="s">
        <v>30</v>
      </c>
    </row>
    <row r="7731" spans="1:2">
      <c r="A7731" s="50">
        <v>45249</v>
      </c>
      <c r="B7731" s="49" t="s">
        <v>31</v>
      </c>
    </row>
    <row r="7732" spans="1:2">
      <c r="A7732" s="50">
        <v>45249</v>
      </c>
      <c r="B7732" s="49" t="s">
        <v>32</v>
      </c>
    </row>
    <row r="7733" spans="1:2">
      <c r="A7733" s="50">
        <v>45249</v>
      </c>
      <c r="B7733" s="49" t="s">
        <v>33</v>
      </c>
    </row>
    <row r="7734" spans="1:2">
      <c r="A7734" s="50">
        <v>45249</v>
      </c>
      <c r="B7734" s="49" t="s">
        <v>34</v>
      </c>
    </row>
    <row r="7735" spans="1:2">
      <c r="A7735" s="50">
        <v>45249</v>
      </c>
      <c r="B7735" s="49" t="s">
        <v>35</v>
      </c>
    </row>
    <row r="7736" spans="1:2">
      <c r="A7736" s="50">
        <v>45249</v>
      </c>
      <c r="B7736" s="49" t="s">
        <v>36</v>
      </c>
    </row>
    <row r="7737" spans="1:2">
      <c r="A7737" s="50">
        <v>45249</v>
      </c>
      <c r="B7737" s="49" t="s">
        <v>37</v>
      </c>
    </row>
    <row r="7738" spans="1:2">
      <c r="A7738" s="50">
        <v>45249</v>
      </c>
      <c r="B7738" s="49" t="s">
        <v>38</v>
      </c>
    </row>
    <row r="7739" spans="1:2">
      <c r="A7739" s="50">
        <v>45249</v>
      </c>
      <c r="B7739" s="49" t="s">
        <v>39</v>
      </c>
    </row>
    <row r="7740" spans="1:2">
      <c r="A7740" s="50">
        <v>45249</v>
      </c>
      <c r="B7740" s="49" t="s">
        <v>40</v>
      </c>
    </row>
    <row r="7741" spans="1:2">
      <c r="A7741" s="50">
        <v>45249</v>
      </c>
      <c r="B7741" s="49" t="s">
        <v>41</v>
      </c>
    </row>
    <row r="7742" spans="1:2">
      <c r="A7742" s="50">
        <v>45249</v>
      </c>
      <c r="B7742" s="49" t="s">
        <v>42</v>
      </c>
    </row>
    <row r="7743" spans="1:2">
      <c r="A7743" s="50">
        <v>45249</v>
      </c>
      <c r="B7743" s="49" t="s">
        <v>43</v>
      </c>
    </row>
    <row r="7744" spans="1:2">
      <c r="A7744" s="50">
        <v>45249</v>
      </c>
      <c r="B7744" s="49" t="s">
        <v>44</v>
      </c>
    </row>
    <row r="7745" spans="1:2">
      <c r="A7745" s="50">
        <v>45249</v>
      </c>
      <c r="B7745" s="49" t="s">
        <v>45</v>
      </c>
    </row>
    <row r="7746" spans="1:2">
      <c r="A7746" s="50">
        <v>45249</v>
      </c>
      <c r="B7746" s="49" t="s">
        <v>46</v>
      </c>
    </row>
    <row r="7747" spans="1:2">
      <c r="A7747" s="50">
        <v>45249</v>
      </c>
      <c r="B7747" s="49" t="s">
        <v>47</v>
      </c>
    </row>
    <row r="7748" spans="1:2">
      <c r="A7748" s="50">
        <v>45249</v>
      </c>
      <c r="B7748" s="49" t="s">
        <v>48</v>
      </c>
    </row>
    <row r="7749" spans="1:2">
      <c r="A7749" s="50">
        <v>45249</v>
      </c>
      <c r="B7749" s="49" t="s">
        <v>49</v>
      </c>
    </row>
    <row r="7750" spans="1:2">
      <c r="A7750" s="50">
        <v>45249</v>
      </c>
      <c r="B7750" s="49" t="s">
        <v>50</v>
      </c>
    </row>
    <row r="7751" spans="1:2">
      <c r="A7751" s="50">
        <v>45249</v>
      </c>
      <c r="B7751" s="49" t="s">
        <v>51</v>
      </c>
    </row>
    <row r="7752" spans="1:2">
      <c r="A7752" s="50">
        <v>45249</v>
      </c>
      <c r="B7752" s="49" t="s">
        <v>52</v>
      </c>
    </row>
    <row r="7753" spans="1:2">
      <c r="A7753" s="50">
        <v>45249</v>
      </c>
      <c r="B7753" s="49" t="s">
        <v>53</v>
      </c>
    </row>
    <row r="7754" spans="1:2">
      <c r="A7754" s="50">
        <v>45250</v>
      </c>
      <c r="B7754" s="49" t="s">
        <v>30</v>
      </c>
    </row>
    <row r="7755" spans="1:2">
      <c r="A7755" s="50">
        <v>45250</v>
      </c>
      <c r="B7755" s="49" t="s">
        <v>31</v>
      </c>
    </row>
    <row r="7756" spans="1:2">
      <c r="A7756" s="50">
        <v>45250</v>
      </c>
      <c r="B7756" s="49" t="s">
        <v>32</v>
      </c>
    </row>
    <row r="7757" spans="1:2">
      <c r="A7757" s="50">
        <v>45250</v>
      </c>
      <c r="B7757" s="49" t="s">
        <v>33</v>
      </c>
    </row>
    <row r="7758" spans="1:2">
      <c r="A7758" s="50">
        <v>45250</v>
      </c>
      <c r="B7758" s="49" t="s">
        <v>34</v>
      </c>
    </row>
    <row r="7759" spans="1:2">
      <c r="A7759" s="50">
        <v>45250</v>
      </c>
      <c r="B7759" s="49" t="s">
        <v>35</v>
      </c>
    </row>
    <row r="7760" spans="1:2">
      <c r="A7760" s="50">
        <v>45250</v>
      </c>
      <c r="B7760" s="49" t="s">
        <v>36</v>
      </c>
    </row>
    <row r="7761" spans="1:2">
      <c r="A7761" s="50">
        <v>45250</v>
      </c>
      <c r="B7761" s="49" t="s">
        <v>37</v>
      </c>
    </row>
    <row r="7762" spans="1:2">
      <c r="A7762" s="50">
        <v>45250</v>
      </c>
      <c r="B7762" s="49" t="s">
        <v>38</v>
      </c>
    </row>
    <row r="7763" spans="1:2">
      <c r="A7763" s="50">
        <v>45250</v>
      </c>
      <c r="B7763" s="49" t="s">
        <v>39</v>
      </c>
    </row>
    <row r="7764" spans="1:2">
      <c r="A7764" s="50">
        <v>45250</v>
      </c>
      <c r="B7764" s="49" t="s">
        <v>40</v>
      </c>
    </row>
    <row r="7765" spans="1:2">
      <c r="A7765" s="50">
        <v>45250</v>
      </c>
      <c r="B7765" s="49" t="s">
        <v>41</v>
      </c>
    </row>
    <row r="7766" spans="1:2">
      <c r="A7766" s="50">
        <v>45250</v>
      </c>
      <c r="B7766" s="49" t="s">
        <v>42</v>
      </c>
    </row>
    <row r="7767" spans="1:2">
      <c r="A7767" s="50">
        <v>45250</v>
      </c>
      <c r="B7767" s="49" t="s">
        <v>43</v>
      </c>
    </row>
    <row r="7768" spans="1:2">
      <c r="A7768" s="50">
        <v>45250</v>
      </c>
      <c r="B7768" s="49" t="s">
        <v>44</v>
      </c>
    </row>
    <row r="7769" spans="1:2">
      <c r="A7769" s="50">
        <v>45250</v>
      </c>
      <c r="B7769" s="49" t="s">
        <v>45</v>
      </c>
    </row>
    <row r="7770" spans="1:2">
      <c r="A7770" s="50">
        <v>45250</v>
      </c>
      <c r="B7770" s="49" t="s">
        <v>46</v>
      </c>
    </row>
    <row r="7771" spans="1:2">
      <c r="A7771" s="50">
        <v>45250</v>
      </c>
      <c r="B7771" s="49" t="s">
        <v>47</v>
      </c>
    </row>
    <row r="7772" spans="1:2">
      <c r="A7772" s="50">
        <v>45250</v>
      </c>
      <c r="B7772" s="49" t="s">
        <v>48</v>
      </c>
    </row>
    <row r="7773" spans="1:2">
      <c r="A7773" s="50">
        <v>45250</v>
      </c>
      <c r="B7773" s="49" t="s">
        <v>49</v>
      </c>
    </row>
    <row r="7774" spans="1:2">
      <c r="A7774" s="50">
        <v>45250</v>
      </c>
      <c r="B7774" s="49" t="s">
        <v>50</v>
      </c>
    </row>
    <row r="7775" spans="1:2">
      <c r="A7775" s="50">
        <v>45250</v>
      </c>
      <c r="B7775" s="49" t="s">
        <v>51</v>
      </c>
    </row>
    <row r="7776" spans="1:2">
      <c r="A7776" s="50">
        <v>45250</v>
      </c>
      <c r="B7776" s="49" t="s">
        <v>52</v>
      </c>
    </row>
    <row r="7777" spans="1:2">
      <c r="A7777" s="50">
        <v>45250</v>
      </c>
      <c r="B7777" s="49" t="s">
        <v>53</v>
      </c>
    </row>
    <row r="7778" spans="1:2">
      <c r="A7778" s="50">
        <v>45251</v>
      </c>
      <c r="B7778" s="49" t="s">
        <v>30</v>
      </c>
    </row>
    <row r="7779" spans="1:2">
      <c r="A7779" s="50">
        <v>45251</v>
      </c>
      <c r="B7779" s="49" t="s">
        <v>31</v>
      </c>
    </row>
    <row r="7780" spans="1:2">
      <c r="A7780" s="50">
        <v>45251</v>
      </c>
      <c r="B7780" s="49" t="s">
        <v>32</v>
      </c>
    </row>
    <row r="7781" spans="1:2">
      <c r="A7781" s="50">
        <v>45251</v>
      </c>
      <c r="B7781" s="49" t="s">
        <v>33</v>
      </c>
    </row>
    <row r="7782" spans="1:2">
      <c r="A7782" s="50">
        <v>45251</v>
      </c>
      <c r="B7782" s="49" t="s">
        <v>34</v>
      </c>
    </row>
    <row r="7783" spans="1:2">
      <c r="A7783" s="50">
        <v>45251</v>
      </c>
      <c r="B7783" s="49" t="s">
        <v>35</v>
      </c>
    </row>
    <row r="7784" spans="1:2">
      <c r="A7784" s="50">
        <v>45251</v>
      </c>
      <c r="B7784" s="49" t="s">
        <v>36</v>
      </c>
    </row>
    <row r="7785" spans="1:2">
      <c r="A7785" s="50">
        <v>45251</v>
      </c>
      <c r="B7785" s="49" t="s">
        <v>37</v>
      </c>
    </row>
    <row r="7786" spans="1:2">
      <c r="A7786" s="50">
        <v>45251</v>
      </c>
      <c r="B7786" s="49" t="s">
        <v>38</v>
      </c>
    </row>
    <row r="7787" spans="1:2">
      <c r="A7787" s="50">
        <v>45251</v>
      </c>
      <c r="B7787" s="49" t="s">
        <v>39</v>
      </c>
    </row>
    <row r="7788" spans="1:2">
      <c r="A7788" s="50">
        <v>45251</v>
      </c>
      <c r="B7788" s="49" t="s">
        <v>40</v>
      </c>
    </row>
    <row r="7789" spans="1:2">
      <c r="A7789" s="50">
        <v>45251</v>
      </c>
      <c r="B7789" s="49" t="s">
        <v>41</v>
      </c>
    </row>
    <row r="7790" spans="1:2">
      <c r="A7790" s="50">
        <v>45251</v>
      </c>
      <c r="B7790" s="49" t="s">
        <v>42</v>
      </c>
    </row>
    <row r="7791" spans="1:2">
      <c r="A7791" s="50">
        <v>45251</v>
      </c>
      <c r="B7791" s="49" t="s">
        <v>43</v>
      </c>
    </row>
    <row r="7792" spans="1:2">
      <c r="A7792" s="50">
        <v>45251</v>
      </c>
      <c r="B7792" s="49" t="s">
        <v>44</v>
      </c>
    </row>
    <row r="7793" spans="1:2">
      <c r="A7793" s="50">
        <v>45251</v>
      </c>
      <c r="B7793" s="49" t="s">
        <v>45</v>
      </c>
    </row>
    <row r="7794" spans="1:2">
      <c r="A7794" s="50">
        <v>45251</v>
      </c>
      <c r="B7794" s="49" t="s">
        <v>46</v>
      </c>
    </row>
    <row r="7795" spans="1:2">
      <c r="A7795" s="50">
        <v>45251</v>
      </c>
      <c r="B7795" s="49" t="s">
        <v>47</v>
      </c>
    </row>
    <row r="7796" spans="1:2">
      <c r="A7796" s="50">
        <v>45251</v>
      </c>
      <c r="B7796" s="49" t="s">
        <v>48</v>
      </c>
    </row>
    <row r="7797" spans="1:2">
      <c r="A7797" s="50">
        <v>45251</v>
      </c>
      <c r="B7797" s="49" t="s">
        <v>49</v>
      </c>
    </row>
    <row r="7798" spans="1:2">
      <c r="A7798" s="50">
        <v>45251</v>
      </c>
      <c r="B7798" s="49" t="s">
        <v>50</v>
      </c>
    </row>
    <row r="7799" spans="1:2">
      <c r="A7799" s="50">
        <v>45251</v>
      </c>
      <c r="B7799" s="49" t="s">
        <v>51</v>
      </c>
    </row>
    <row r="7800" spans="1:2">
      <c r="A7800" s="50">
        <v>45251</v>
      </c>
      <c r="B7800" s="49" t="s">
        <v>52</v>
      </c>
    </row>
    <row r="7801" spans="1:2">
      <c r="A7801" s="50">
        <v>45251</v>
      </c>
      <c r="B7801" s="49" t="s">
        <v>53</v>
      </c>
    </row>
    <row r="7802" spans="1:2">
      <c r="A7802" s="50">
        <v>45252</v>
      </c>
      <c r="B7802" s="49" t="s">
        <v>30</v>
      </c>
    </row>
    <row r="7803" spans="1:2">
      <c r="A7803" s="50">
        <v>45252</v>
      </c>
      <c r="B7803" s="49" t="s">
        <v>31</v>
      </c>
    </row>
    <row r="7804" spans="1:2">
      <c r="A7804" s="50">
        <v>45252</v>
      </c>
      <c r="B7804" s="49" t="s">
        <v>32</v>
      </c>
    </row>
    <row r="7805" spans="1:2">
      <c r="A7805" s="50">
        <v>45252</v>
      </c>
      <c r="B7805" s="49" t="s">
        <v>33</v>
      </c>
    </row>
    <row r="7806" spans="1:2">
      <c r="A7806" s="50">
        <v>45252</v>
      </c>
      <c r="B7806" s="49" t="s">
        <v>34</v>
      </c>
    </row>
    <row r="7807" spans="1:2">
      <c r="A7807" s="50">
        <v>45252</v>
      </c>
      <c r="B7807" s="49" t="s">
        <v>35</v>
      </c>
    </row>
    <row r="7808" spans="1:2">
      <c r="A7808" s="50">
        <v>45252</v>
      </c>
      <c r="B7808" s="49" t="s">
        <v>36</v>
      </c>
    </row>
    <row r="7809" spans="1:2">
      <c r="A7809" s="50">
        <v>45252</v>
      </c>
      <c r="B7809" s="49" t="s">
        <v>37</v>
      </c>
    </row>
    <row r="7810" spans="1:2">
      <c r="A7810" s="50">
        <v>45252</v>
      </c>
      <c r="B7810" s="49" t="s">
        <v>38</v>
      </c>
    </row>
    <row r="7811" spans="1:2">
      <c r="A7811" s="50">
        <v>45252</v>
      </c>
      <c r="B7811" s="49" t="s">
        <v>39</v>
      </c>
    </row>
    <row r="7812" spans="1:2">
      <c r="A7812" s="50">
        <v>45252</v>
      </c>
      <c r="B7812" s="49" t="s">
        <v>40</v>
      </c>
    </row>
    <row r="7813" spans="1:2">
      <c r="A7813" s="50">
        <v>45252</v>
      </c>
      <c r="B7813" s="49" t="s">
        <v>41</v>
      </c>
    </row>
    <row r="7814" spans="1:2">
      <c r="A7814" s="50">
        <v>45252</v>
      </c>
      <c r="B7814" s="49" t="s">
        <v>42</v>
      </c>
    </row>
    <row r="7815" spans="1:2">
      <c r="A7815" s="50">
        <v>45252</v>
      </c>
      <c r="B7815" s="49" t="s">
        <v>43</v>
      </c>
    </row>
    <row r="7816" spans="1:2">
      <c r="A7816" s="50">
        <v>45252</v>
      </c>
      <c r="B7816" s="49" t="s">
        <v>44</v>
      </c>
    </row>
    <row r="7817" spans="1:2">
      <c r="A7817" s="50">
        <v>45252</v>
      </c>
      <c r="B7817" s="49" t="s">
        <v>45</v>
      </c>
    </row>
    <row r="7818" spans="1:2">
      <c r="A7818" s="50">
        <v>45252</v>
      </c>
      <c r="B7818" s="49" t="s">
        <v>46</v>
      </c>
    </row>
    <row r="7819" spans="1:2">
      <c r="A7819" s="50">
        <v>45252</v>
      </c>
      <c r="B7819" s="49" t="s">
        <v>47</v>
      </c>
    </row>
    <row r="7820" spans="1:2">
      <c r="A7820" s="50">
        <v>45252</v>
      </c>
      <c r="B7820" s="49" t="s">
        <v>48</v>
      </c>
    </row>
    <row r="7821" spans="1:2">
      <c r="A7821" s="50">
        <v>45252</v>
      </c>
      <c r="B7821" s="49" t="s">
        <v>49</v>
      </c>
    </row>
    <row r="7822" spans="1:2">
      <c r="A7822" s="50">
        <v>45252</v>
      </c>
      <c r="B7822" s="49" t="s">
        <v>50</v>
      </c>
    </row>
    <row r="7823" spans="1:2">
      <c r="A7823" s="50">
        <v>45252</v>
      </c>
      <c r="B7823" s="49" t="s">
        <v>51</v>
      </c>
    </row>
    <row r="7824" spans="1:2">
      <c r="A7824" s="50">
        <v>45252</v>
      </c>
      <c r="B7824" s="49" t="s">
        <v>52</v>
      </c>
    </row>
    <row r="7825" spans="1:2">
      <c r="A7825" s="50">
        <v>45252</v>
      </c>
      <c r="B7825" s="49" t="s">
        <v>53</v>
      </c>
    </row>
    <row r="7826" spans="1:2">
      <c r="A7826" s="50">
        <v>45253</v>
      </c>
      <c r="B7826" s="49" t="s">
        <v>30</v>
      </c>
    </row>
    <row r="7827" spans="1:2">
      <c r="A7827" s="50">
        <v>45253</v>
      </c>
      <c r="B7827" s="49" t="s">
        <v>31</v>
      </c>
    </row>
    <row r="7828" spans="1:2">
      <c r="A7828" s="50">
        <v>45253</v>
      </c>
      <c r="B7828" s="49" t="s">
        <v>32</v>
      </c>
    </row>
    <row r="7829" spans="1:2">
      <c r="A7829" s="50">
        <v>45253</v>
      </c>
      <c r="B7829" s="49" t="s">
        <v>33</v>
      </c>
    </row>
    <row r="7830" spans="1:2">
      <c r="A7830" s="50">
        <v>45253</v>
      </c>
      <c r="B7830" s="49" t="s">
        <v>34</v>
      </c>
    </row>
    <row r="7831" spans="1:2">
      <c r="A7831" s="50">
        <v>45253</v>
      </c>
      <c r="B7831" s="49" t="s">
        <v>35</v>
      </c>
    </row>
    <row r="7832" spans="1:2">
      <c r="A7832" s="50">
        <v>45253</v>
      </c>
      <c r="B7832" s="49" t="s">
        <v>36</v>
      </c>
    </row>
    <row r="7833" spans="1:2">
      <c r="A7833" s="50">
        <v>45253</v>
      </c>
      <c r="B7833" s="49" t="s">
        <v>37</v>
      </c>
    </row>
    <row r="7834" spans="1:2">
      <c r="A7834" s="50">
        <v>45253</v>
      </c>
      <c r="B7834" s="49" t="s">
        <v>38</v>
      </c>
    </row>
    <row r="7835" spans="1:2">
      <c r="A7835" s="50">
        <v>45253</v>
      </c>
      <c r="B7835" s="49" t="s">
        <v>39</v>
      </c>
    </row>
    <row r="7836" spans="1:2">
      <c r="A7836" s="50">
        <v>45253</v>
      </c>
      <c r="B7836" s="49" t="s">
        <v>40</v>
      </c>
    </row>
    <row r="7837" spans="1:2">
      <c r="A7837" s="50">
        <v>45253</v>
      </c>
      <c r="B7837" s="49" t="s">
        <v>41</v>
      </c>
    </row>
    <row r="7838" spans="1:2">
      <c r="A7838" s="50">
        <v>45253</v>
      </c>
      <c r="B7838" s="49" t="s">
        <v>42</v>
      </c>
    </row>
    <row r="7839" spans="1:2">
      <c r="A7839" s="50">
        <v>45253</v>
      </c>
      <c r="B7839" s="49" t="s">
        <v>43</v>
      </c>
    </row>
    <row r="7840" spans="1:2">
      <c r="A7840" s="50">
        <v>45253</v>
      </c>
      <c r="B7840" s="49" t="s">
        <v>44</v>
      </c>
    </row>
    <row r="7841" spans="1:2">
      <c r="A7841" s="50">
        <v>45253</v>
      </c>
      <c r="B7841" s="49" t="s">
        <v>45</v>
      </c>
    </row>
    <row r="7842" spans="1:2">
      <c r="A7842" s="50">
        <v>45253</v>
      </c>
      <c r="B7842" s="49" t="s">
        <v>46</v>
      </c>
    </row>
    <row r="7843" spans="1:2">
      <c r="A7843" s="50">
        <v>45253</v>
      </c>
      <c r="B7843" s="49" t="s">
        <v>47</v>
      </c>
    </row>
    <row r="7844" spans="1:2">
      <c r="A7844" s="50">
        <v>45253</v>
      </c>
      <c r="B7844" s="49" t="s">
        <v>48</v>
      </c>
    </row>
    <row r="7845" spans="1:2">
      <c r="A7845" s="50">
        <v>45253</v>
      </c>
      <c r="B7845" s="49" t="s">
        <v>49</v>
      </c>
    </row>
    <row r="7846" spans="1:2">
      <c r="A7846" s="50">
        <v>45253</v>
      </c>
      <c r="B7846" s="49" t="s">
        <v>50</v>
      </c>
    </row>
    <row r="7847" spans="1:2">
      <c r="A7847" s="50">
        <v>45253</v>
      </c>
      <c r="B7847" s="49" t="s">
        <v>51</v>
      </c>
    </row>
    <row r="7848" spans="1:2">
      <c r="A7848" s="50">
        <v>45253</v>
      </c>
      <c r="B7848" s="49" t="s">
        <v>52</v>
      </c>
    </row>
    <row r="7849" spans="1:2">
      <c r="A7849" s="50">
        <v>45253</v>
      </c>
      <c r="B7849" s="49" t="s">
        <v>53</v>
      </c>
    </row>
    <row r="7850" spans="1:2">
      <c r="A7850" s="50">
        <v>45254</v>
      </c>
      <c r="B7850" s="49" t="s">
        <v>30</v>
      </c>
    </row>
    <row r="7851" spans="1:2">
      <c r="A7851" s="50">
        <v>45254</v>
      </c>
      <c r="B7851" s="49" t="s">
        <v>31</v>
      </c>
    </row>
    <row r="7852" spans="1:2">
      <c r="A7852" s="50">
        <v>45254</v>
      </c>
      <c r="B7852" s="49" t="s">
        <v>32</v>
      </c>
    </row>
    <row r="7853" spans="1:2">
      <c r="A7853" s="50">
        <v>45254</v>
      </c>
      <c r="B7853" s="49" t="s">
        <v>33</v>
      </c>
    </row>
    <row r="7854" spans="1:2">
      <c r="A7854" s="50">
        <v>45254</v>
      </c>
      <c r="B7854" s="49" t="s">
        <v>34</v>
      </c>
    </row>
    <row r="7855" spans="1:2">
      <c r="A7855" s="50">
        <v>45254</v>
      </c>
      <c r="B7855" s="49" t="s">
        <v>35</v>
      </c>
    </row>
    <row r="7856" spans="1:2">
      <c r="A7856" s="50">
        <v>45254</v>
      </c>
      <c r="B7856" s="49" t="s">
        <v>36</v>
      </c>
    </row>
    <row r="7857" spans="1:2">
      <c r="A7857" s="50">
        <v>45254</v>
      </c>
      <c r="B7857" s="49" t="s">
        <v>37</v>
      </c>
    </row>
    <row r="7858" spans="1:2">
      <c r="A7858" s="50">
        <v>45254</v>
      </c>
      <c r="B7858" s="49" t="s">
        <v>38</v>
      </c>
    </row>
    <row r="7859" spans="1:2">
      <c r="A7859" s="50">
        <v>45254</v>
      </c>
      <c r="B7859" s="49" t="s">
        <v>39</v>
      </c>
    </row>
    <row r="7860" spans="1:2">
      <c r="A7860" s="50">
        <v>45254</v>
      </c>
      <c r="B7860" s="49" t="s">
        <v>40</v>
      </c>
    </row>
    <row r="7861" spans="1:2">
      <c r="A7861" s="50">
        <v>45254</v>
      </c>
      <c r="B7861" s="49" t="s">
        <v>41</v>
      </c>
    </row>
    <row r="7862" spans="1:2">
      <c r="A7862" s="50">
        <v>45254</v>
      </c>
      <c r="B7862" s="49" t="s">
        <v>42</v>
      </c>
    </row>
    <row r="7863" spans="1:2">
      <c r="A7863" s="50">
        <v>45254</v>
      </c>
      <c r="B7863" s="49" t="s">
        <v>43</v>
      </c>
    </row>
    <row r="7864" spans="1:2">
      <c r="A7864" s="50">
        <v>45254</v>
      </c>
      <c r="B7864" s="49" t="s">
        <v>44</v>
      </c>
    </row>
    <row r="7865" spans="1:2">
      <c r="A7865" s="50">
        <v>45254</v>
      </c>
      <c r="B7865" s="49" t="s">
        <v>45</v>
      </c>
    </row>
    <row r="7866" spans="1:2">
      <c r="A7866" s="50">
        <v>45254</v>
      </c>
      <c r="B7866" s="49" t="s">
        <v>46</v>
      </c>
    </row>
    <row r="7867" spans="1:2">
      <c r="A7867" s="50">
        <v>45254</v>
      </c>
      <c r="B7867" s="49" t="s">
        <v>47</v>
      </c>
    </row>
    <row r="7868" spans="1:2">
      <c r="A7868" s="50">
        <v>45254</v>
      </c>
      <c r="B7868" s="49" t="s">
        <v>48</v>
      </c>
    </row>
    <row r="7869" spans="1:2">
      <c r="A7869" s="50">
        <v>45254</v>
      </c>
      <c r="B7869" s="49" t="s">
        <v>49</v>
      </c>
    </row>
    <row r="7870" spans="1:2">
      <c r="A7870" s="50">
        <v>45254</v>
      </c>
      <c r="B7870" s="49" t="s">
        <v>50</v>
      </c>
    </row>
    <row r="7871" spans="1:2">
      <c r="A7871" s="50">
        <v>45254</v>
      </c>
      <c r="B7871" s="49" t="s">
        <v>51</v>
      </c>
    </row>
    <row r="7872" spans="1:2">
      <c r="A7872" s="50">
        <v>45254</v>
      </c>
      <c r="B7872" s="49" t="s">
        <v>52</v>
      </c>
    </row>
    <row r="7873" spans="1:2">
      <c r="A7873" s="50">
        <v>45254</v>
      </c>
      <c r="B7873" s="49" t="s">
        <v>53</v>
      </c>
    </row>
    <row r="7874" spans="1:2">
      <c r="A7874" s="50">
        <v>45255</v>
      </c>
      <c r="B7874" s="49" t="s">
        <v>30</v>
      </c>
    </row>
    <row r="7875" spans="1:2">
      <c r="A7875" s="50">
        <v>45255</v>
      </c>
      <c r="B7875" s="49" t="s">
        <v>31</v>
      </c>
    </row>
    <row r="7876" spans="1:2">
      <c r="A7876" s="50">
        <v>45255</v>
      </c>
      <c r="B7876" s="49" t="s">
        <v>32</v>
      </c>
    </row>
    <row r="7877" spans="1:2">
      <c r="A7877" s="50">
        <v>45255</v>
      </c>
      <c r="B7877" s="49" t="s">
        <v>33</v>
      </c>
    </row>
    <row r="7878" spans="1:2">
      <c r="A7878" s="50">
        <v>45255</v>
      </c>
      <c r="B7878" s="49" t="s">
        <v>34</v>
      </c>
    </row>
    <row r="7879" spans="1:2">
      <c r="A7879" s="50">
        <v>45255</v>
      </c>
      <c r="B7879" s="49" t="s">
        <v>35</v>
      </c>
    </row>
    <row r="7880" spans="1:2">
      <c r="A7880" s="50">
        <v>45255</v>
      </c>
      <c r="B7880" s="49" t="s">
        <v>36</v>
      </c>
    </row>
    <row r="7881" spans="1:2">
      <c r="A7881" s="50">
        <v>45255</v>
      </c>
      <c r="B7881" s="49" t="s">
        <v>37</v>
      </c>
    </row>
    <row r="7882" spans="1:2">
      <c r="A7882" s="50">
        <v>45255</v>
      </c>
      <c r="B7882" s="49" t="s">
        <v>38</v>
      </c>
    </row>
    <row r="7883" spans="1:2">
      <c r="A7883" s="50">
        <v>45255</v>
      </c>
      <c r="B7883" s="49" t="s">
        <v>39</v>
      </c>
    </row>
    <row r="7884" spans="1:2">
      <c r="A7884" s="50">
        <v>45255</v>
      </c>
      <c r="B7884" s="49" t="s">
        <v>40</v>
      </c>
    </row>
    <row r="7885" spans="1:2">
      <c r="A7885" s="50">
        <v>45255</v>
      </c>
      <c r="B7885" s="49" t="s">
        <v>41</v>
      </c>
    </row>
    <row r="7886" spans="1:2">
      <c r="A7886" s="50">
        <v>45255</v>
      </c>
      <c r="B7886" s="49" t="s">
        <v>42</v>
      </c>
    </row>
    <row r="7887" spans="1:2">
      <c r="A7887" s="50">
        <v>45255</v>
      </c>
      <c r="B7887" s="49" t="s">
        <v>43</v>
      </c>
    </row>
    <row r="7888" spans="1:2">
      <c r="A7888" s="50">
        <v>45255</v>
      </c>
      <c r="B7888" s="49" t="s">
        <v>44</v>
      </c>
    </row>
    <row r="7889" spans="1:2">
      <c r="A7889" s="50">
        <v>45255</v>
      </c>
      <c r="B7889" s="49" t="s">
        <v>45</v>
      </c>
    </row>
    <row r="7890" spans="1:2">
      <c r="A7890" s="50">
        <v>45255</v>
      </c>
      <c r="B7890" s="49" t="s">
        <v>46</v>
      </c>
    </row>
    <row r="7891" spans="1:2">
      <c r="A7891" s="50">
        <v>45255</v>
      </c>
      <c r="B7891" s="49" t="s">
        <v>47</v>
      </c>
    </row>
    <row r="7892" spans="1:2">
      <c r="A7892" s="50">
        <v>45255</v>
      </c>
      <c r="B7892" s="49" t="s">
        <v>48</v>
      </c>
    </row>
    <row r="7893" spans="1:2">
      <c r="A7893" s="50">
        <v>45255</v>
      </c>
      <c r="B7893" s="49" t="s">
        <v>49</v>
      </c>
    </row>
    <row r="7894" spans="1:2">
      <c r="A7894" s="50">
        <v>45255</v>
      </c>
      <c r="B7894" s="49" t="s">
        <v>50</v>
      </c>
    </row>
    <row r="7895" spans="1:2">
      <c r="A7895" s="50">
        <v>45255</v>
      </c>
      <c r="B7895" s="49" t="s">
        <v>51</v>
      </c>
    </row>
    <row r="7896" spans="1:2">
      <c r="A7896" s="50">
        <v>45255</v>
      </c>
      <c r="B7896" s="49" t="s">
        <v>52</v>
      </c>
    </row>
    <row r="7897" spans="1:2">
      <c r="A7897" s="50">
        <v>45255</v>
      </c>
      <c r="B7897" s="49" t="s">
        <v>53</v>
      </c>
    </row>
    <row r="7898" spans="1:2">
      <c r="A7898" s="50">
        <v>45256</v>
      </c>
      <c r="B7898" s="49" t="s">
        <v>30</v>
      </c>
    </row>
    <row r="7899" spans="1:2">
      <c r="A7899" s="50">
        <v>45256</v>
      </c>
      <c r="B7899" s="49" t="s">
        <v>31</v>
      </c>
    </row>
    <row r="7900" spans="1:2">
      <c r="A7900" s="50">
        <v>45256</v>
      </c>
      <c r="B7900" s="49" t="s">
        <v>32</v>
      </c>
    </row>
    <row r="7901" spans="1:2">
      <c r="A7901" s="50">
        <v>45256</v>
      </c>
      <c r="B7901" s="49" t="s">
        <v>33</v>
      </c>
    </row>
    <row r="7902" spans="1:2">
      <c r="A7902" s="50">
        <v>45256</v>
      </c>
      <c r="B7902" s="49" t="s">
        <v>34</v>
      </c>
    </row>
    <row r="7903" spans="1:2">
      <c r="A7903" s="50">
        <v>45256</v>
      </c>
      <c r="B7903" s="49" t="s">
        <v>35</v>
      </c>
    </row>
    <row r="7904" spans="1:2">
      <c r="A7904" s="50">
        <v>45256</v>
      </c>
      <c r="B7904" s="49" t="s">
        <v>36</v>
      </c>
    </row>
    <row r="7905" spans="1:2">
      <c r="A7905" s="50">
        <v>45256</v>
      </c>
      <c r="B7905" s="49" t="s">
        <v>37</v>
      </c>
    </row>
    <row r="7906" spans="1:2">
      <c r="A7906" s="50">
        <v>45256</v>
      </c>
      <c r="B7906" s="49" t="s">
        <v>38</v>
      </c>
    </row>
    <row r="7907" spans="1:2">
      <c r="A7907" s="50">
        <v>45256</v>
      </c>
      <c r="B7907" s="49" t="s">
        <v>39</v>
      </c>
    </row>
    <row r="7908" spans="1:2">
      <c r="A7908" s="50">
        <v>45256</v>
      </c>
      <c r="B7908" s="49" t="s">
        <v>40</v>
      </c>
    </row>
    <row r="7909" spans="1:2">
      <c r="A7909" s="50">
        <v>45256</v>
      </c>
      <c r="B7909" s="49" t="s">
        <v>41</v>
      </c>
    </row>
    <row r="7910" spans="1:2">
      <c r="A7910" s="50">
        <v>45256</v>
      </c>
      <c r="B7910" s="49" t="s">
        <v>42</v>
      </c>
    </row>
    <row r="7911" spans="1:2">
      <c r="A7911" s="50">
        <v>45256</v>
      </c>
      <c r="B7911" s="49" t="s">
        <v>43</v>
      </c>
    </row>
    <row r="7912" spans="1:2">
      <c r="A7912" s="50">
        <v>45256</v>
      </c>
      <c r="B7912" s="49" t="s">
        <v>44</v>
      </c>
    </row>
    <row r="7913" spans="1:2">
      <c r="A7913" s="50">
        <v>45256</v>
      </c>
      <c r="B7913" s="49" t="s">
        <v>45</v>
      </c>
    </row>
    <row r="7914" spans="1:2">
      <c r="A7914" s="50">
        <v>45256</v>
      </c>
      <c r="B7914" s="49" t="s">
        <v>46</v>
      </c>
    </row>
    <row r="7915" spans="1:2">
      <c r="A7915" s="50">
        <v>45256</v>
      </c>
      <c r="B7915" s="49" t="s">
        <v>47</v>
      </c>
    </row>
    <row r="7916" spans="1:2">
      <c r="A7916" s="50">
        <v>45256</v>
      </c>
      <c r="B7916" s="49" t="s">
        <v>48</v>
      </c>
    </row>
    <row r="7917" spans="1:2">
      <c r="A7917" s="50">
        <v>45256</v>
      </c>
      <c r="B7917" s="49" t="s">
        <v>49</v>
      </c>
    </row>
    <row r="7918" spans="1:2">
      <c r="A7918" s="50">
        <v>45256</v>
      </c>
      <c r="B7918" s="49" t="s">
        <v>50</v>
      </c>
    </row>
    <row r="7919" spans="1:2">
      <c r="A7919" s="50">
        <v>45256</v>
      </c>
      <c r="B7919" s="49" t="s">
        <v>51</v>
      </c>
    </row>
    <row r="7920" spans="1:2">
      <c r="A7920" s="50">
        <v>45256</v>
      </c>
      <c r="B7920" s="49" t="s">
        <v>52</v>
      </c>
    </row>
    <row r="7921" spans="1:2">
      <c r="A7921" s="50">
        <v>45256</v>
      </c>
      <c r="B7921" s="49" t="s">
        <v>53</v>
      </c>
    </row>
    <row r="7922" spans="1:2">
      <c r="A7922" s="50">
        <v>45257</v>
      </c>
      <c r="B7922" s="49" t="s">
        <v>30</v>
      </c>
    </row>
    <row r="7923" spans="1:2">
      <c r="A7923" s="50">
        <v>45257</v>
      </c>
      <c r="B7923" s="49" t="s">
        <v>31</v>
      </c>
    </row>
    <row r="7924" spans="1:2">
      <c r="A7924" s="50">
        <v>45257</v>
      </c>
      <c r="B7924" s="49" t="s">
        <v>32</v>
      </c>
    </row>
    <row r="7925" spans="1:2">
      <c r="A7925" s="50">
        <v>45257</v>
      </c>
      <c r="B7925" s="49" t="s">
        <v>33</v>
      </c>
    </row>
    <row r="7926" spans="1:2">
      <c r="A7926" s="50">
        <v>45257</v>
      </c>
      <c r="B7926" s="49" t="s">
        <v>34</v>
      </c>
    </row>
    <row r="7927" spans="1:2">
      <c r="A7927" s="50">
        <v>45257</v>
      </c>
      <c r="B7927" s="49" t="s">
        <v>35</v>
      </c>
    </row>
    <row r="7928" spans="1:2">
      <c r="A7928" s="50">
        <v>45257</v>
      </c>
      <c r="B7928" s="49" t="s">
        <v>36</v>
      </c>
    </row>
    <row r="7929" spans="1:2">
      <c r="A7929" s="50">
        <v>45257</v>
      </c>
      <c r="B7929" s="49" t="s">
        <v>37</v>
      </c>
    </row>
    <row r="7930" spans="1:2">
      <c r="A7930" s="50">
        <v>45257</v>
      </c>
      <c r="B7930" s="49" t="s">
        <v>38</v>
      </c>
    </row>
    <row r="7931" spans="1:2">
      <c r="A7931" s="50">
        <v>45257</v>
      </c>
      <c r="B7931" s="49" t="s">
        <v>39</v>
      </c>
    </row>
    <row r="7932" spans="1:2">
      <c r="A7932" s="50">
        <v>45257</v>
      </c>
      <c r="B7932" s="49" t="s">
        <v>40</v>
      </c>
    </row>
    <row r="7933" spans="1:2">
      <c r="A7933" s="50">
        <v>45257</v>
      </c>
      <c r="B7933" s="49" t="s">
        <v>41</v>
      </c>
    </row>
    <row r="7934" spans="1:2">
      <c r="A7934" s="50">
        <v>45257</v>
      </c>
      <c r="B7934" s="49" t="s">
        <v>42</v>
      </c>
    </row>
    <row r="7935" spans="1:2">
      <c r="A7935" s="50">
        <v>45257</v>
      </c>
      <c r="B7935" s="49" t="s">
        <v>43</v>
      </c>
    </row>
    <row r="7936" spans="1:2">
      <c r="A7936" s="50">
        <v>45257</v>
      </c>
      <c r="B7936" s="49" t="s">
        <v>44</v>
      </c>
    </row>
    <row r="7937" spans="1:2">
      <c r="A7937" s="50">
        <v>45257</v>
      </c>
      <c r="B7937" s="49" t="s">
        <v>45</v>
      </c>
    </row>
    <row r="7938" spans="1:2">
      <c r="A7938" s="50">
        <v>45257</v>
      </c>
      <c r="B7938" s="49" t="s">
        <v>46</v>
      </c>
    </row>
    <row r="7939" spans="1:2">
      <c r="A7939" s="50">
        <v>45257</v>
      </c>
      <c r="B7939" s="49" t="s">
        <v>47</v>
      </c>
    </row>
    <row r="7940" spans="1:2">
      <c r="A7940" s="50">
        <v>45257</v>
      </c>
      <c r="B7940" s="49" t="s">
        <v>48</v>
      </c>
    </row>
    <row r="7941" spans="1:2">
      <c r="A7941" s="50">
        <v>45257</v>
      </c>
      <c r="B7941" s="49" t="s">
        <v>49</v>
      </c>
    </row>
    <row r="7942" spans="1:2">
      <c r="A7942" s="50">
        <v>45257</v>
      </c>
      <c r="B7942" s="49" t="s">
        <v>50</v>
      </c>
    </row>
    <row r="7943" spans="1:2">
      <c r="A7943" s="50">
        <v>45257</v>
      </c>
      <c r="B7943" s="49" t="s">
        <v>51</v>
      </c>
    </row>
    <row r="7944" spans="1:2">
      <c r="A7944" s="50">
        <v>45257</v>
      </c>
      <c r="B7944" s="49" t="s">
        <v>52</v>
      </c>
    </row>
    <row r="7945" spans="1:2">
      <c r="A7945" s="50">
        <v>45257</v>
      </c>
      <c r="B7945" s="49" t="s">
        <v>53</v>
      </c>
    </row>
    <row r="7946" spans="1:2">
      <c r="A7946" s="50">
        <v>45258</v>
      </c>
      <c r="B7946" s="49" t="s">
        <v>30</v>
      </c>
    </row>
    <row r="7947" spans="1:2">
      <c r="A7947" s="50">
        <v>45258</v>
      </c>
      <c r="B7947" s="49" t="s">
        <v>31</v>
      </c>
    </row>
    <row r="7948" spans="1:2">
      <c r="A7948" s="50">
        <v>45258</v>
      </c>
      <c r="B7948" s="49" t="s">
        <v>32</v>
      </c>
    </row>
    <row r="7949" spans="1:2">
      <c r="A7949" s="50">
        <v>45258</v>
      </c>
      <c r="B7949" s="49" t="s">
        <v>33</v>
      </c>
    </row>
    <row r="7950" spans="1:2">
      <c r="A7950" s="50">
        <v>45258</v>
      </c>
      <c r="B7950" s="49" t="s">
        <v>34</v>
      </c>
    </row>
    <row r="7951" spans="1:2">
      <c r="A7951" s="50">
        <v>45258</v>
      </c>
      <c r="B7951" s="49" t="s">
        <v>35</v>
      </c>
    </row>
    <row r="7952" spans="1:2">
      <c r="A7952" s="50">
        <v>45258</v>
      </c>
      <c r="B7952" s="49" t="s">
        <v>36</v>
      </c>
    </row>
    <row r="7953" spans="1:2">
      <c r="A7953" s="50">
        <v>45258</v>
      </c>
      <c r="B7953" s="49" t="s">
        <v>37</v>
      </c>
    </row>
    <row r="7954" spans="1:2">
      <c r="A7954" s="50">
        <v>45258</v>
      </c>
      <c r="B7954" s="49" t="s">
        <v>38</v>
      </c>
    </row>
    <row r="7955" spans="1:2">
      <c r="A7955" s="50">
        <v>45258</v>
      </c>
      <c r="B7955" s="49" t="s">
        <v>39</v>
      </c>
    </row>
    <row r="7956" spans="1:2">
      <c r="A7956" s="50">
        <v>45258</v>
      </c>
      <c r="B7956" s="49" t="s">
        <v>40</v>
      </c>
    </row>
    <row r="7957" spans="1:2">
      <c r="A7957" s="50">
        <v>45258</v>
      </c>
      <c r="B7957" s="49" t="s">
        <v>41</v>
      </c>
    </row>
    <row r="7958" spans="1:2">
      <c r="A7958" s="50">
        <v>45258</v>
      </c>
      <c r="B7958" s="49" t="s">
        <v>42</v>
      </c>
    </row>
    <row r="7959" spans="1:2">
      <c r="A7959" s="50">
        <v>45258</v>
      </c>
      <c r="B7959" s="49" t="s">
        <v>43</v>
      </c>
    </row>
    <row r="7960" spans="1:2">
      <c r="A7960" s="50">
        <v>45258</v>
      </c>
      <c r="B7960" s="49" t="s">
        <v>44</v>
      </c>
    </row>
    <row r="7961" spans="1:2">
      <c r="A7961" s="50">
        <v>45258</v>
      </c>
      <c r="B7961" s="49" t="s">
        <v>45</v>
      </c>
    </row>
    <row r="7962" spans="1:2">
      <c r="A7962" s="50">
        <v>45258</v>
      </c>
      <c r="B7962" s="49" t="s">
        <v>46</v>
      </c>
    </row>
    <row r="7963" spans="1:2">
      <c r="A7963" s="50">
        <v>45258</v>
      </c>
      <c r="B7963" s="49" t="s">
        <v>47</v>
      </c>
    </row>
    <row r="7964" spans="1:2">
      <c r="A7964" s="50">
        <v>45258</v>
      </c>
      <c r="B7964" s="49" t="s">
        <v>48</v>
      </c>
    </row>
    <row r="7965" spans="1:2">
      <c r="A7965" s="50">
        <v>45258</v>
      </c>
      <c r="B7965" s="49" t="s">
        <v>49</v>
      </c>
    </row>
    <row r="7966" spans="1:2">
      <c r="A7966" s="50">
        <v>45258</v>
      </c>
      <c r="B7966" s="49" t="s">
        <v>50</v>
      </c>
    </row>
    <row r="7967" spans="1:2">
      <c r="A7967" s="50">
        <v>45258</v>
      </c>
      <c r="B7967" s="49" t="s">
        <v>51</v>
      </c>
    </row>
    <row r="7968" spans="1:2">
      <c r="A7968" s="50">
        <v>45258</v>
      </c>
      <c r="B7968" s="49" t="s">
        <v>52</v>
      </c>
    </row>
    <row r="7969" spans="1:2">
      <c r="A7969" s="50">
        <v>45258</v>
      </c>
      <c r="B7969" s="49" t="s">
        <v>53</v>
      </c>
    </row>
    <row r="7970" spans="1:2">
      <c r="A7970" s="50">
        <v>45259</v>
      </c>
      <c r="B7970" s="49" t="s">
        <v>30</v>
      </c>
    </row>
    <row r="7971" spans="1:2">
      <c r="A7971" s="50">
        <v>45259</v>
      </c>
      <c r="B7971" s="49" t="s">
        <v>31</v>
      </c>
    </row>
    <row r="7972" spans="1:2">
      <c r="A7972" s="50">
        <v>45259</v>
      </c>
      <c r="B7972" s="49" t="s">
        <v>32</v>
      </c>
    </row>
    <row r="7973" spans="1:2">
      <c r="A7973" s="50">
        <v>45259</v>
      </c>
      <c r="B7973" s="49" t="s">
        <v>33</v>
      </c>
    </row>
    <row r="7974" spans="1:2">
      <c r="A7974" s="50">
        <v>45259</v>
      </c>
      <c r="B7974" s="49" t="s">
        <v>34</v>
      </c>
    </row>
    <row r="7975" spans="1:2">
      <c r="A7975" s="50">
        <v>45259</v>
      </c>
      <c r="B7975" s="49" t="s">
        <v>35</v>
      </c>
    </row>
    <row r="7976" spans="1:2">
      <c r="A7976" s="50">
        <v>45259</v>
      </c>
      <c r="B7976" s="49" t="s">
        <v>36</v>
      </c>
    </row>
    <row r="7977" spans="1:2">
      <c r="A7977" s="50">
        <v>45259</v>
      </c>
      <c r="B7977" s="49" t="s">
        <v>37</v>
      </c>
    </row>
    <row r="7978" spans="1:2">
      <c r="A7978" s="50">
        <v>45259</v>
      </c>
      <c r="B7978" s="49" t="s">
        <v>38</v>
      </c>
    </row>
    <row r="7979" spans="1:2">
      <c r="A7979" s="50">
        <v>45259</v>
      </c>
      <c r="B7979" s="49" t="s">
        <v>39</v>
      </c>
    </row>
    <row r="7980" spans="1:2">
      <c r="A7980" s="50">
        <v>45259</v>
      </c>
      <c r="B7980" s="49" t="s">
        <v>40</v>
      </c>
    </row>
    <row r="7981" spans="1:2">
      <c r="A7981" s="50">
        <v>45259</v>
      </c>
      <c r="B7981" s="49" t="s">
        <v>41</v>
      </c>
    </row>
    <row r="7982" spans="1:2">
      <c r="A7982" s="50">
        <v>45259</v>
      </c>
      <c r="B7982" s="49" t="s">
        <v>42</v>
      </c>
    </row>
    <row r="7983" spans="1:2">
      <c r="A7983" s="50">
        <v>45259</v>
      </c>
      <c r="B7983" s="49" t="s">
        <v>43</v>
      </c>
    </row>
    <row r="7984" spans="1:2">
      <c r="A7984" s="50">
        <v>45259</v>
      </c>
      <c r="B7984" s="49" t="s">
        <v>44</v>
      </c>
    </row>
    <row r="7985" spans="1:2">
      <c r="A7985" s="50">
        <v>45259</v>
      </c>
      <c r="B7985" s="49" t="s">
        <v>45</v>
      </c>
    </row>
    <row r="7986" spans="1:2">
      <c r="A7986" s="50">
        <v>45259</v>
      </c>
      <c r="B7986" s="49" t="s">
        <v>46</v>
      </c>
    </row>
    <row r="7987" spans="1:2">
      <c r="A7987" s="50">
        <v>45259</v>
      </c>
      <c r="B7987" s="49" t="s">
        <v>47</v>
      </c>
    </row>
    <row r="7988" spans="1:2">
      <c r="A7988" s="50">
        <v>45259</v>
      </c>
      <c r="B7988" s="49" t="s">
        <v>48</v>
      </c>
    </row>
    <row r="7989" spans="1:2">
      <c r="A7989" s="50">
        <v>45259</v>
      </c>
      <c r="B7989" s="49" t="s">
        <v>49</v>
      </c>
    </row>
    <row r="7990" spans="1:2">
      <c r="A7990" s="50">
        <v>45259</v>
      </c>
      <c r="B7990" s="49" t="s">
        <v>50</v>
      </c>
    </row>
    <row r="7991" spans="1:2">
      <c r="A7991" s="50">
        <v>45259</v>
      </c>
      <c r="B7991" s="49" t="s">
        <v>51</v>
      </c>
    </row>
    <row r="7992" spans="1:2">
      <c r="A7992" s="50">
        <v>45259</v>
      </c>
      <c r="B7992" s="49" t="s">
        <v>52</v>
      </c>
    </row>
    <row r="7993" spans="1:2">
      <c r="A7993" s="50">
        <v>45259</v>
      </c>
      <c r="B7993" s="49" t="s">
        <v>53</v>
      </c>
    </row>
    <row r="7994" spans="1:2">
      <c r="A7994" s="50">
        <v>45260</v>
      </c>
      <c r="B7994" s="49" t="s">
        <v>30</v>
      </c>
    </row>
    <row r="7995" spans="1:2">
      <c r="A7995" s="50">
        <v>45260</v>
      </c>
      <c r="B7995" s="49" t="s">
        <v>31</v>
      </c>
    </row>
    <row r="7996" spans="1:2">
      <c r="A7996" s="50">
        <v>45260</v>
      </c>
      <c r="B7996" s="49" t="s">
        <v>32</v>
      </c>
    </row>
    <row r="7997" spans="1:2">
      <c r="A7997" s="50">
        <v>45260</v>
      </c>
      <c r="B7997" s="49" t="s">
        <v>33</v>
      </c>
    </row>
    <row r="7998" spans="1:2">
      <c r="A7998" s="50">
        <v>45260</v>
      </c>
      <c r="B7998" s="49" t="s">
        <v>34</v>
      </c>
    </row>
    <row r="7999" spans="1:2">
      <c r="A7999" s="50">
        <v>45260</v>
      </c>
      <c r="B7999" s="49" t="s">
        <v>35</v>
      </c>
    </row>
    <row r="8000" spans="1:2">
      <c r="A8000" s="50">
        <v>45260</v>
      </c>
      <c r="B8000" s="49" t="s">
        <v>36</v>
      </c>
    </row>
    <row r="8001" spans="1:2">
      <c r="A8001" s="50">
        <v>45260</v>
      </c>
      <c r="B8001" s="49" t="s">
        <v>37</v>
      </c>
    </row>
    <row r="8002" spans="1:2">
      <c r="A8002" s="50">
        <v>45260</v>
      </c>
      <c r="B8002" s="49" t="s">
        <v>38</v>
      </c>
    </row>
    <row r="8003" spans="1:2">
      <c r="A8003" s="50">
        <v>45260</v>
      </c>
      <c r="B8003" s="49" t="s">
        <v>39</v>
      </c>
    </row>
    <row r="8004" spans="1:2">
      <c r="A8004" s="50">
        <v>45260</v>
      </c>
      <c r="B8004" s="49" t="s">
        <v>40</v>
      </c>
    </row>
    <row r="8005" spans="1:2">
      <c r="A8005" s="50">
        <v>45260</v>
      </c>
      <c r="B8005" s="49" t="s">
        <v>41</v>
      </c>
    </row>
    <row r="8006" spans="1:2">
      <c r="A8006" s="50">
        <v>45260</v>
      </c>
      <c r="B8006" s="49" t="s">
        <v>42</v>
      </c>
    </row>
    <row r="8007" spans="1:2">
      <c r="A8007" s="50">
        <v>45260</v>
      </c>
      <c r="B8007" s="49" t="s">
        <v>43</v>
      </c>
    </row>
    <row r="8008" spans="1:2">
      <c r="A8008" s="50">
        <v>45260</v>
      </c>
      <c r="B8008" s="49" t="s">
        <v>44</v>
      </c>
    </row>
    <row r="8009" spans="1:2">
      <c r="A8009" s="50">
        <v>45260</v>
      </c>
      <c r="B8009" s="49" t="s">
        <v>45</v>
      </c>
    </row>
    <row r="8010" spans="1:2">
      <c r="A8010" s="50">
        <v>45260</v>
      </c>
      <c r="B8010" s="49" t="s">
        <v>46</v>
      </c>
    </row>
    <row r="8011" spans="1:2">
      <c r="A8011" s="50">
        <v>45260</v>
      </c>
      <c r="B8011" s="49" t="s">
        <v>47</v>
      </c>
    </row>
    <row r="8012" spans="1:2">
      <c r="A8012" s="50">
        <v>45260</v>
      </c>
      <c r="B8012" s="49" t="s">
        <v>48</v>
      </c>
    </row>
    <row r="8013" spans="1:2">
      <c r="A8013" s="50">
        <v>45260</v>
      </c>
      <c r="B8013" s="49" t="s">
        <v>49</v>
      </c>
    </row>
    <row r="8014" spans="1:2">
      <c r="A8014" s="50">
        <v>45260</v>
      </c>
      <c r="B8014" s="49" t="s">
        <v>50</v>
      </c>
    </row>
    <row r="8015" spans="1:2">
      <c r="A8015" s="50">
        <v>45260</v>
      </c>
      <c r="B8015" s="49" t="s">
        <v>51</v>
      </c>
    </row>
    <row r="8016" spans="1:2">
      <c r="A8016" s="50">
        <v>45260</v>
      </c>
      <c r="B8016" s="49" t="s">
        <v>52</v>
      </c>
    </row>
    <row r="8017" spans="1:2">
      <c r="A8017" s="50">
        <v>45260</v>
      </c>
      <c r="B8017" s="49" t="s">
        <v>53</v>
      </c>
    </row>
    <row r="8018" spans="1:2">
      <c r="A8018" s="50">
        <v>45261</v>
      </c>
      <c r="B8018" s="49" t="s">
        <v>30</v>
      </c>
    </row>
    <row r="8019" spans="1:2">
      <c r="A8019" s="50">
        <v>45261</v>
      </c>
      <c r="B8019" s="49" t="s">
        <v>31</v>
      </c>
    </row>
    <row r="8020" spans="1:2">
      <c r="A8020" s="50">
        <v>45261</v>
      </c>
      <c r="B8020" s="49" t="s">
        <v>32</v>
      </c>
    </row>
    <row r="8021" spans="1:2">
      <c r="A8021" s="50">
        <v>45261</v>
      </c>
      <c r="B8021" s="49" t="s">
        <v>33</v>
      </c>
    </row>
    <row r="8022" spans="1:2">
      <c r="A8022" s="50">
        <v>45261</v>
      </c>
      <c r="B8022" s="49" t="s">
        <v>34</v>
      </c>
    </row>
    <row r="8023" spans="1:2">
      <c r="A8023" s="50">
        <v>45261</v>
      </c>
      <c r="B8023" s="49" t="s">
        <v>35</v>
      </c>
    </row>
    <row r="8024" spans="1:2">
      <c r="A8024" s="50">
        <v>45261</v>
      </c>
      <c r="B8024" s="49" t="s">
        <v>36</v>
      </c>
    </row>
    <row r="8025" spans="1:2">
      <c r="A8025" s="50">
        <v>45261</v>
      </c>
      <c r="B8025" s="49" t="s">
        <v>37</v>
      </c>
    </row>
    <row r="8026" spans="1:2">
      <c r="A8026" s="50">
        <v>45261</v>
      </c>
      <c r="B8026" s="49" t="s">
        <v>38</v>
      </c>
    </row>
    <row r="8027" spans="1:2">
      <c r="A8027" s="50">
        <v>45261</v>
      </c>
      <c r="B8027" s="49" t="s">
        <v>39</v>
      </c>
    </row>
    <row r="8028" spans="1:2">
      <c r="A8028" s="50">
        <v>45261</v>
      </c>
      <c r="B8028" s="49" t="s">
        <v>40</v>
      </c>
    </row>
    <row r="8029" spans="1:2">
      <c r="A8029" s="50">
        <v>45261</v>
      </c>
      <c r="B8029" s="49" t="s">
        <v>41</v>
      </c>
    </row>
    <row r="8030" spans="1:2">
      <c r="A8030" s="50">
        <v>45261</v>
      </c>
      <c r="B8030" s="49" t="s">
        <v>42</v>
      </c>
    </row>
    <row r="8031" spans="1:2">
      <c r="A8031" s="50">
        <v>45261</v>
      </c>
      <c r="B8031" s="49" t="s">
        <v>43</v>
      </c>
    </row>
    <row r="8032" spans="1:2">
      <c r="A8032" s="50">
        <v>45261</v>
      </c>
      <c r="B8032" s="49" t="s">
        <v>44</v>
      </c>
    </row>
    <row r="8033" spans="1:2">
      <c r="A8033" s="50">
        <v>45261</v>
      </c>
      <c r="B8033" s="49" t="s">
        <v>45</v>
      </c>
    </row>
    <row r="8034" spans="1:2">
      <c r="A8034" s="50">
        <v>45261</v>
      </c>
      <c r="B8034" s="49" t="s">
        <v>46</v>
      </c>
    </row>
    <row r="8035" spans="1:2">
      <c r="A8035" s="50">
        <v>45261</v>
      </c>
      <c r="B8035" s="49" t="s">
        <v>47</v>
      </c>
    </row>
    <row r="8036" spans="1:2">
      <c r="A8036" s="50">
        <v>45261</v>
      </c>
      <c r="B8036" s="49" t="s">
        <v>48</v>
      </c>
    </row>
    <row r="8037" spans="1:2">
      <c r="A8037" s="50">
        <v>45261</v>
      </c>
      <c r="B8037" s="49" t="s">
        <v>49</v>
      </c>
    </row>
    <row r="8038" spans="1:2">
      <c r="A8038" s="50">
        <v>45261</v>
      </c>
      <c r="B8038" s="49" t="s">
        <v>50</v>
      </c>
    </row>
    <row r="8039" spans="1:2">
      <c r="A8039" s="50">
        <v>45261</v>
      </c>
      <c r="B8039" s="49" t="s">
        <v>51</v>
      </c>
    </row>
    <row r="8040" spans="1:2">
      <c r="A8040" s="50">
        <v>45261</v>
      </c>
      <c r="B8040" s="49" t="s">
        <v>52</v>
      </c>
    </row>
    <row r="8041" spans="1:2">
      <c r="A8041" s="50">
        <v>45261</v>
      </c>
      <c r="B8041" s="49" t="s">
        <v>53</v>
      </c>
    </row>
    <row r="8042" spans="1:2">
      <c r="A8042" s="50">
        <v>45262</v>
      </c>
      <c r="B8042" s="49" t="s">
        <v>30</v>
      </c>
    </row>
    <row r="8043" spans="1:2">
      <c r="A8043" s="50">
        <v>45262</v>
      </c>
      <c r="B8043" s="49" t="s">
        <v>31</v>
      </c>
    </row>
    <row r="8044" spans="1:2">
      <c r="A8044" s="50">
        <v>45262</v>
      </c>
      <c r="B8044" s="49" t="s">
        <v>32</v>
      </c>
    </row>
    <row r="8045" spans="1:2">
      <c r="A8045" s="50">
        <v>45262</v>
      </c>
      <c r="B8045" s="49" t="s">
        <v>33</v>
      </c>
    </row>
    <row r="8046" spans="1:2">
      <c r="A8046" s="50">
        <v>45262</v>
      </c>
      <c r="B8046" s="49" t="s">
        <v>34</v>
      </c>
    </row>
    <row r="8047" spans="1:2">
      <c r="A8047" s="50">
        <v>45262</v>
      </c>
      <c r="B8047" s="49" t="s">
        <v>35</v>
      </c>
    </row>
    <row r="8048" spans="1:2">
      <c r="A8048" s="50">
        <v>45262</v>
      </c>
      <c r="B8048" s="49" t="s">
        <v>36</v>
      </c>
    </row>
    <row r="8049" spans="1:2">
      <c r="A8049" s="50">
        <v>45262</v>
      </c>
      <c r="B8049" s="49" t="s">
        <v>37</v>
      </c>
    </row>
    <row r="8050" spans="1:2">
      <c r="A8050" s="50">
        <v>45262</v>
      </c>
      <c r="B8050" s="49" t="s">
        <v>38</v>
      </c>
    </row>
    <row r="8051" spans="1:2">
      <c r="A8051" s="50">
        <v>45262</v>
      </c>
      <c r="B8051" s="49" t="s">
        <v>39</v>
      </c>
    </row>
    <row r="8052" spans="1:2">
      <c r="A8052" s="50">
        <v>45262</v>
      </c>
      <c r="B8052" s="49" t="s">
        <v>40</v>
      </c>
    </row>
    <row r="8053" spans="1:2">
      <c r="A8053" s="50">
        <v>45262</v>
      </c>
      <c r="B8053" s="49" t="s">
        <v>41</v>
      </c>
    </row>
    <row r="8054" spans="1:2">
      <c r="A8054" s="50">
        <v>45262</v>
      </c>
      <c r="B8054" s="49" t="s">
        <v>42</v>
      </c>
    </row>
    <row r="8055" spans="1:2">
      <c r="A8055" s="50">
        <v>45262</v>
      </c>
      <c r="B8055" s="49" t="s">
        <v>43</v>
      </c>
    </row>
    <row r="8056" spans="1:2">
      <c r="A8056" s="50">
        <v>45262</v>
      </c>
      <c r="B8056" s="49" t="s">
        <v>44</v>
      </c>
    </row>
    <row r="8057" spans="1:2">
      <c r="A8057" s="50">
        <v>45262</v>
      </c>
      <c r="B8057" s="49" t="s">
        <v>45</v>
      </c>
    </row>
    <row r="8058" spans="1:2">
      <c r="A8058" s="50">
        <v>45262</v>
      </c>
      <c r="B8058" s="49" t="s">
        <v>46</v>
      </c>
    </row>
    <row r="8059" spans="1:2">
      <c r="A8059" s="50">
        <v>45262</v>
      </c>
      <c r="B8059" s="49" t="s">
        <v>47</v>
      </c>
    </row>
    <row r="8060" spans="1:2">
      <c r="A8060" s="50">
        <v>45262</v>
      </c>
      <c r="B8060" s="49" t="s">
        <v>48</v>
      </c>
    </row>
    <row r="8061" spans="1:2">
      <c r="A8061" s="50">
        <v>45262</v>
      </c>
      <c r="B8061" s="49" t="s">
        <v>49</v>
      </c>
    </row>
    <row r="8062" spans="1:2">
      <c r="A8062" s="50">
        <v>45262</v>
      </c>
      <c r="B8062" s="49" t="s">
        <v>50</v>
      </c>
    </row>
    <row r="8063" spans="1:2">
      <c r="A8063" s="50">
        <v>45262</v>
      </c>
      <c r="B8063" s="49" t="s">
        <v>51</v>
      </c>
    </row>
    <row r="8064" spans="1:2">
      <c r="A8064" s="50">
        <v>45262</v>
      </c>
      <c r="B8064" s="49" t="s">
        <v>52</v>
      </c>
    </row>
    <row r="8065" spans="1:2">
      <c r="A8065" s="50">
        <v>45262</v>
      </c>
      <c r="B8065" s="49" t="s">
        <v>53</v>
      </c>
    </row>
    <row r="8066" spans="1:2">
      <c r="A8066" s="50">
        <v>45263</v>
      </c>
      <c r="B8066" s="49" t="s">
        <v>30</v>
      </c>
    </row>
    <row r="8067" spans="1:2">
      <c r="A8067" s="50">
        <v>45263</v>
      </c>
      <c r="B8067" s="49" t="s">
        <v>31</v>
      </c>
    </row>
    <row r="8068" spans="1:2">
      <c r="A8068" s="50">
        <v>45263</v>
      </c>
      <c r="B8068" s="49" t="s">
        <v>32</v>
      </c>
    </row>
    <row r="8069" spans="1:2">
      <c r="A8069" s="50">
        <v>45263</v>
      </c>
      <c r="B8069" s="49" t="s">
        <v>33</v>
      </c>
    </row>
    <row r="8070" spans="1:2">
      <c r="A8070" s="50">
        <v>45263</v>
      </c>
      <c r="B8070" s="49" t="s">
        <v>34</v>
      </c>
    </row>
    <row r="8071" spans="1:2">
      <c r="A8071" s="50">
        <v>45263</v>
      </c>
      <c r="B8071" s="49" t="s">
        <v>35</v>
      </c>
    </row>
    <row r="8072" spans="1:2">
      <c r="A8072" s="50">
        <v>45263</v>
      </c>
      <c r="B8072" s="49" t="s">
        <v>36</v>
      </c>
    </row>
    <row r="8073" spans="1:2">
      <c r="A8073" s="50">
        <v>45263</v>
      </c>
      <c r="B8073" s="49" t="s">
        <v>37</v>
      </c>
    </row>
    <row r="8074" spans="1:2">
      <c r="A8074" s="50">
        <v>45263</v>
      </c>
      <c r="B8074" s="49" t="s">
        <v>38</v>
      </c>
    </row>
    <row r="8075" spans="1:2">
      <c r="A8075" s="50">
        <v>45263</v>
      </c>
      <c r="B8075" s="49" t="s">
        <v>39</v>
      </c>
    </row>
    <row r="8076" spans="1:2">
      <c r="A8076" s="50">
        <v>45263</v>
      </c>
      <c r="B8076" s="49" t="s">
        <v>40</v>
      </c>
    </row>
    <row r="8077" spans="1:2">
      <c r="A8077" s="50">
        <v>45263</v>
      </c>
      <c r="B8077" s="49" t="s">
        <v>41</v>
      </c>
    </row>
    <row r="8078" spans="1:2">
      <c r="A8078" s="50">
        <v>45263</v>
      </c>
      <c r="B8078" s="49" t="s">
        <v>42</v>
      </c>
    </row>
    <row r="8079" spans="1:2">
      <c r="A8079" s="50">
        <v>45263</v>
      </c>
      <c r="B8079" s="49" t="s">
        <v>43</v>
      </c>
    </row>
    <row r="8080" spans="1:2">
      <c r="A8080" s="50">
        <v>45263</v>
      </c>
      <c r="B8080" s="49" t="s">
        <v>44</v>
      </c>
    </row>
    <row r="8081" spans="1:2">
      <c r="A8081" s="50">
        <v>45263</v>
      </c>
      <c r="B8081" s="49" t="s">
        <v>45</v>
      </c>
    </row>
    <row r="8082" spans="1:2">
      <c r="A8082" s="50">
        <v>45263</v>
      </c>
      <c r="B8082" s="49" t="s">
        <v>46</v>
      </c>
    </row>
    <row r="8083" spans="1:2">
      <c r="A8083" s="50">
        <v>45263</v>
      </c>
      <c r="B8083" s="49" t="s">
        <v>47</v>
      </c>
    </row>
    <row r="8084" spans="1:2">
      <c r="A8084" s="50">
        <v>45263</v>
      </c>
      <c r="B8084" s="49" t="s">
        <v>48</v>
      </c>
    </row>
    <row r="8085" spans="1:2">
      <c r="A8085" s="50">
        <v>45263</v>
      </c>
      <c r="B8085" s="49" t="s">
        <v>49</v>
      </c>
    </row>
    <row r="8086" spans="1:2">
      <c r="A8086" s="50">
        <v>45263</v>
      </c>
      <c r="B8086" s="49" t="s">
        <v>50</v>
      </c>
    </row>
    <row r="8087" spans="1:2">
      <c r="A8087" s="50">
        <v>45263</v>
      </c>
      <c r="B8087" s="49" t="s">
        <v>51</v>
      </c>
    </row>
    <row r="8088" spans="1:2">
      <c r="A8088" s="50">
        <v>45263</v>
      </c>
      <c r="B8088" s="49" t="s">
        <v>52</v>
      </c>
    </row>
    <row r="8089" spans="1:2">
      <c r="A8089" s="50">
        <v>45263</v>
      </c>
      <c r="B8089" s="49" t="s">
        <v>53</v>
      </c>
    </row>
    <row r="8090" spans="1:2">
      <c r="A8090" s="50">
        <v>45264</v>
      </c>
      <c r="B8090" s="49" t="s">
        <v>30</v>
      </c>
    </row>
    <row r="8091" spans="1:2">
      <c r="A8091" s="50">
        <v>45264</v>
      </c>
      <c r="B8091" s="49" t="s">
        <v>31</v>
      </c>
    </row>
    <row r="8092" spans="1:2">
      <c r="A8092" s="50">
        <v>45264</v>
      </c>
      <c r="B8092" s="49" t="s">
        <v>32</v>
      </c>
    </row>
    <row r="8093" spans="1:2">
      <c r="A8093" s="50">
        <v>45264</v>
      </c>
      <c r="B8093" s="49" t="s">
        <v>33</v>
      </c>
    </row>
    <row r="8094" spans="1:2">
      <c r="A8094" s="50">
        <v>45264</v>
      </c>
      <c r="B8094" s="49" t="s">
        <v>34</v>
      </c>
    </row>
    <row r="8095" spans="1:2">
      <c r="A8095" s="50">
        <v>45264</v>
      </c>
      <c r="B8095" s="49" t="s">
        <v>35</v>
      </c>
    </row>
    <row r="8096" spans="1:2">
      <c r="A8096" s="50">
        <v>45264</v>
      </c>
      <c r="B8096" s="49" t="s">
        <v>36</v>
      </c>
    </row>
    <row r="8097" spans="1:2">
      <c r="A8097" s="50">
        <v>45264</v>
      </c>
      <c r="B8097" s="49" t="s">
        <v>37</v>
      </c>
    </row>
    <row r="8098" spans="1:2">
      <c r="A8098" s="50">
        <v>45264</v>
      </c>
      <c r="B8098" s="49" t="s">
        <v>38</v>
      </c>
    </row>
    <row r="8099" spans="1:2">
      <c r="A8099" s="50">
        <v>45264</v>
      </c>
      <c r="B8099" s="49" t="s">
        <v>39</v>
      </c>
    </row>
    <row r="8100" spans="1:2">
      <c r="A8100" s="50">
        <v>45264</v>
      </c>
      <c r="B8100" s="49" t="s">
        <v>40</v>
      </c>
    </row>
    <row r="8101" spans="1:2">
      <c r="A8101" s="50">
        <v>45264</v>
      </c>
      <c r="B8101" s="49" t="s">
        <v>41</v>
      </c>
    </row>
    <row r="8102" spans="1:2">
      <c r="A8102" s="50">
        <v>45264</v>
      </c>
      <c r="B8102" s="49" t="s">
        <v>42</v>
      </c>
    </row>
    <row r="8103" spans="1:2">
      <c r="A8103" s="50">
        <v>45264</v>
      </c>
      <c r="B8103" s="49" t="s">
        <v>43</v>
      </c>
    </row>
    <row r="8104" spans="1:2">
      <c r="A8104" s="50">
        <v>45264</v>
      </c>
      <c r="B8104" s="49" t="s">
        <v>44</v>
      </c>
    </row>
    <row r="8105" spans="1:2">
      <c r="A8105" s="50">
        <v>45264</v>
      </c>
      <c r="B8105" s="49" t="s">
        <v>45</v>
      </c>
    </row>
    <row r="8106" spans="1:2">
      <c r="A8106" s="50">
        <v>45264</v>
      </c>
      <c r="B8106" s="49" t="s">
        <v>46</v>
      </c>
    </row>
    <row r="8107" spans="1:2">
      <c r="A8107" s="50">
        <v>45264</v>
      </c>
      <c r="B8107" s="49" t="s">
        <v>47</v>
      </c>
    </row>
    <row r="8108" spans="1:2">
      <c r="A8108" s="50">
        <v>45264</v>
      </c>
      <c r="B8108" s="49" t="s">
        <v>48</v>
      </c>
    </row>
    <row r="8109" spans="1:2">
      <c r="A8109" s="50">
        <v>45264</v>
      </c>
      <c r="B8109" s="49" t="s">
        <v>49</v>
      </c>
    </row>
    <row r="8110" spans="1:2">
      <c r="A8110" s="50">
        <v>45264</v>
      </c>
      <c r="B8110" s="49" t="s">
        <v>50</v>
      </c>
    </row>
    <row r="8111" spans="1:2">
      <c r="A8111" s="50">
        <v>45264</v>
      </c>
      <c r="B8111" s="49" t="s">
        <v>51</v>
      </c>
    </row>
    <row r="8112" spans="1:2">
      <c r="A8112" s="50">
        <v>45264</v>
      </c>
      <c r="B8112" s="49" t="s">
        <v>52</v>
      </c>
    </row>
    <row r="8113" spans="1:2">
      <c r="A8113" s="50">
        <v>45264</v>
      </c>
      <c r="B8113" s="49" t="s">
        <v>53</v>
      </c>
    </row>
    <row r="8114" spans="1:2">
      <c r="A8114" s="50">
        <v>45265</v>
      </c>
      <c r="B8114" s="49" t="s">
        <v>30</v>
      </c>
    </row>
    <row r="8115" spans="1:2">
      <c r="A8115" s="50">
        <v>45265</v>
      </c>
      <c r="B8115" s="49" t="s">
        <v>31</v>
      </c>
    </row>
    <row r="8116" spans="1:2">
      <c r="A8116" s="50">
        <v>45265</v>
      </c>
      <c r="B8116" s="49" t="s">
        <v>32</v>
      </c>
    </row>
    <row r="8117" spans="1:2">
      <c r="A8117" s="50">
        <v>45265</v>
      </c>
      <c r="B8117" s="49" t="s">
        <v>33</v>
      </c>
    </row>
    <row r="8118" spans="1:2">
      <c r="A8118" s="50">
        <v>45265</v>
      </c>
      <c r="B8118" s="49" t="s">
        <v>34</v>
      </c>
    </row>
    <row r="8119" spans="1:2">
      <c r="A8119" s="50">
        <v>45265</v>
      </c>
      <c r="B8119" s="49" t="s">
        <v>35</v>
      </c>
    </row>
    <row r="8120" spans="1:2">
      <c r="A8120" s="50">
        <v>45265</v>
      </c>
      <c r="B8120" s="49" t="s">
        <v>36</v>
      </c>
    </row>
    <row r="8121" spans="1:2">
      <c r="A8121" s="50">
        <v>45265</v>
      </c>
      <c r="B8121" s="49" t="s">
        <v>37</v>
      </c>
    </row>
    <row r="8122" spans="1:2">
      <c r="A8122" s="50">
        <v>45265</v>
      </c>
      <c r="B8122" s="49" t="s">
        <v>38</v>
      </c>
    </row>
    <row r="8123" spans="1:2">
      <c r="A8123" s="50">
        <v>45265</v>
      </c>
      <c r="B8123" s="49" t="s">
        <v>39</v>
      </c>
    </row>
    <row r="8124" spans="1:2">
      <c r="A8124" s="50">
        <v>45265</v>
      </c>
      <c r="B8124" s="49" t="s">
        <v>40</v>
      </c>
    </row>
    <row r="8125" spans="1:2">
      <c r="A8125" s="50">
        <v>45265</v>
      </c>
      <c r="B8125" s="49" t="s">
        <v>41</v>
      </c>
    </row>
    <row r="8126" spans="1:2">
      <c r="A8126" s="50">
        <v>45265</v>
      </c>
      <c r="B8126" s="49" t="s">
        <v>42</v>
      </c>
    </row>
    <row r="8127" spans="1:2">
      <c r="A8127" s="50">
        <v>45265</v>
      </c>
      <c r="B8127" s="49" t="s">
        <v>43</v>
      </c>
    </row>
    <row r="8128" spans="1:2">
      <c r="A8128" s="50">
        <v>45265</v>
      </c>
      <c r="B8128" s="49" t="s">
        <v>44</v>
      </c>
    </row>
    <row r="8129" spans="1:2">
      <c r="A8129" s="50">
        <v>45265</v>
      </c>
      <c r="B8129" s="49" t="s">
        <v>45</v>
      </c>
    </row>
    <row r="8130" spans="1:2">
      <c r="A8130" s="50">
        <v>45265</v>
      </c>
      <c r="B8130" s="49" t="s">
        <v>46</v>
      </c>
    </row>
    <row r="8131" spans="1:2">
      <c r="A8131" s="50">
        <v>45265</v>
      </c>
      <c r="B8131" s="49" t="s">
        <v>47</v>
      </c>
    </row>
    <row r="8132" spans="1:2">
      <c r="A8132" s="50">
        <v>45265</v>
      </c>
      <c r="B8132" s="49" t="s">
        <v>48</v>
      </c>
    </row>
    <row r="8133" spans="1:2">
      <c r="A8133" s="50">
        <v>45265</v>
      </c>
      <c r="B8133" s="49" t="s">
        <v>49</v>
      </c>
    </row>
    <row r="8134" spans="1:2">
      <c r="A8134" s="50">
        <v>45265</v>
      </c>
      <c r="B8134" s="49" t="s">
        <v>50</v>
      </c>
    </row>
    <row r="8135" spans="1:2">
      <c r="A8135" s="50">
        <v>45265</v>
      </c>
      <c r="B8135" s="49" t="s">
        <v>51</v>
      </c>
    </row>
    <row r="8136" spans="1:2">
      <c r="A8136" s="50">
        <v>45265</v>
      </c>
      <c r="B8136" s="49" t="s">
        <v>52</v>
      </c>
    </row>
    <row r="8137" spans="1:2">
      <c r="A8137" s="50">
        <v>45265</v>
      </c>
      <c r="B8137" s="49" t="s">
        <v>53</v>
      </c>
    </row>
    <row r="8138" spans="1:2">
      <c r="A8138" s="50">
        <v>45266</v>
      </c>
      <c r="B8138" s="49" t="s">
        <v>30</v>
      </c>
    </row>
    <row r="8139" spans="1:2">
      <c r="A8139" s="50">
        <v>45266</v>
      </c>
      <c r="B8139" s="49" t="s">
        <v>31</v>
      </c>
    </row>
    <row r="8140" spans="1:2">
      <c r="A8140" s="50">
        <v>45266</v>
      </c>
      <c r="B8140" s="49" t="s">
        <v>32</v>
      </c>
    </row>
    <row r="8141" spans="1:2">
      <c r="A8141" s="50">
        <v>45266</v>
      </c>
      <c r="B8141" s="49" t="s">
        <v>33</v>
      </c>
    </row>
    <row r="8142" spans="1:2">
      <c r="A8142" s="50">
        <v>45266</v>
      </c>
      <c r="B8142" s="49" t="s">
        <v>34</v>
      </c>
    </row>
    <row r="8143" spans="1:2">
      <c r="A8143" s="50">
        <v>45266</v>
      </c>
      <c r="B8143" s="49" t="s">
        <v>35</v>
      </c>
    </row>
    <row r="8144" spans="1:2">
      <c r="A8144" s="50">
        <v>45266</v>
      </c>
      <c r="B8144" s="49" t="s">
        <v>36</v>
      </c>
    </row>
    <row r="8145" spans="1:2">
      <c r="A8145" s="50">
        <v>45266</v>
      </c>
      <c r="B8145" s="49" t="s">
        <v>37</v>
      </c>
    </row>
    <row r="8146" spans="1:2">
      <c r="A8146" s="50">
        <v>45266</v>
      </c>
      <c r="B8146" s="49" t="s">
        <v>38</v>
      </c>
    </row>
    <row r="8147" spans="1:2">
      <c r="A8147" s="50">
        <v>45266</v>
      </c>
      <c r="B8147" s="49" t="s">
        <v>39</v>
      </c>
    </row>
    <row r="8148" spans="1:2">
      <c r="A8148" s="50">
        <v>45266</v>
      </c>
      <c r="B8148" s="49" t="s">
        <v>40</v>
      </c>
    </row>
    <row r="8149" spans="1:2">
      <c r="A8149" s="50">
        <v>45266</v>
      </c>
      <c r="B8149" s="49" t="s">
        <v>41</v>
      </c>
    </row>
    <row r="8150" spans="1:2">
      <c r="A8150" s="50">
        <v>45266</v>
      </c>
      <c r="B8150" s="49" t="s">
        <v>42</v>
      </c>
    </row>
    <row r="8151" spans="1:2">
      <c r="A8151" s="50">
        <v>45266</v>
      </c>
      <c r="B8151" s="49" t="s">
        <v>43</v>
      </c>
    </row>
    <row r="8152" spans="1:2">
      <c r="A8152" s="50">
        <v>45266</v>
      </c>
      <c r="B8152" s="49" t="s">
        <v>44</v>
      </c>
    </row>
    <row r="8153" spans="1:2">
      <c r="A8153" s="50">
        <v>45266</v>
      </c>
      <c r="B8153" s="49" t="s">
        <v>45</v>
      </c>
    </row>
    <row r="8154" spans="1:2">
      <c r="A8154" s="50">
        <v>45266</v>
      </c>
      <c r="B8154" s="49" t="s">
        <v>46</v>
      </c>
    </row>
    <row r="8155" spans="1:2">
      <c r="A8155" s="50">
        <v>45266</v>
      </c>
      <c r="B8155" s="49" t="s">
        <v>47</v>
      </c>
    </row>
    <row r="8156" spans="1:2">
      <c r="A8156" s="50">
        <v>45266</v>
      </c>
      <c r="B8156" s="49" t="s">
        <v>48</v>
      </c>
    </row>
    <row r="8157" spans="1:2">
      <c r="A8157" s="50">
        <v>45266</v>
      </c>
      <c r="B8157" s="49" t="s">
        <v>49</v>
      </c>
    </row>
    <row r="8158" spans="1:2">
      <c r="A8158" s="50">
        <v>45266</v>
      </c>
      <c r="B8158" s="49" t="s">
        <v>50</v>
      </c>
    </row>
    <row r="8159" spans="1:2">
      <c r="A8159" s="50">
        <v>45266</v>
      </c>
      <c r="B8159" s="49" t="s">
        <v>51</v>
      </c>
    </row>
    <row r="8160" spans="1:2">
      <c r="A8160" s="50">
        <v>45266</v>
      </c>
      <c r="B8160" s="49" t="s">
        <v>52</v>
      </c>
    </row>
    <row r="8161" spans="1:2">
      <c r="A8161" s="50">
        <v>45266</v>
      </c>
      <c r="B8161" s="49" t="s">
        <v>53</v>
      </c>
    </row>
    <row r="8162" spans="1:2">
      <c r="A8162" s="50">
        <v>45267</v>
      </c>
      <c r="B8162" s="49" t="s">
        <v>30</v>
      </c>
    </row>
    <row r="8163" spans="1:2">
      <c r="A8163" s="50">
        <v>45267</v>
      </c>
      <c r="B8163" s="49" t="s">
        <v>31</v>
      </c>
    </row>
    <row r="8164" spans="1:2">
      <c r="A8164" s="50">
        <v>45267</v>
      </c>
      <c r="B8164" s="49" t="s">
        <v>32</v>
      </c>
    </row>
    <row r="8165" spans="1:2">
      <c r="A8165" s="50">
        <v>45267</v>
      </c>
      <c r="B8165" s="49" t="s">
        <v>33</v>
      </c>
    </row>
    <row r="8166" spans="1:2">
      <c r="A8166" s="50">
        <v>45267</v>
      </c>
      <c r="B8166" s="49" t="s">
        <v>34</v>
      </c>
    </row>
    <row r="8167" spans="1:2">
      <c r="A8167" s="50">
        <v>45267</v>
      </c>
      <c r="B8167" s="49" t="s">
        <v>35</v>
      </c>
    </row>
    <row r="8168" spans="1:2">
      <c r="A8168" s="50">
        <v>45267</v>
      </c>
      <c r="B8168" s="49" t="s">
        <v>36</v>
      </c>
    </row>
    <row r="8169" spans="1:2">
      <c r="A8169" s="50">
        <v>45267</v>
      </c>
      <c r="B8169" s="49" t="s">
        <v>37</v>
      </c>
    </row>
    <row r="8170" spans="1:2">
      <c r="A8170" s="50">
        <v>45267</v>
      </c>
      <c r="B8170" s="49" t="s">
        <v>38</v>
      </c>
    </row>
    <row r="8171" spans="1:2">
      <c r="A8171" s="50">
        <v>45267</v>
      </c>
      <c r="B8171" s="49" t="s">
        <v>39</v>
      </c>
    </row>
    <row r="8172" spans="1:2">
      <c r="A8172" s="50">
        <v>45267</v>
      </c>
      <c r="B8172" s="49" t="s">
        <v>40</v>
      </c>
    </row>
    <row r="8173" spans="1:2">
      <c r="A8173" s="50">
        <v>45267</v>
      </c>
      <c r="B8173" s="49" t="s">
        <v>41</v>
      </c>
    </row>
    <row r="8174" spans="1:2">
      <c r="A8174" s="50">
        <v>45267</v>
      </c>
      <c r="B8174" s="49" t="s">
        <v>42</v>
      </c>
    </row>
    <row r="8175" spans="1:2">
      <c r="A8175" s="50">
        <v>45267</v>
      </c>
      <c r="B8175" s="49" t="s">
        <v>43</v>
      </c>
    </row>
    <row r="8176" spans="1:2">
      <c r="A8176" s="50">
        <v>45267</v>
      </c>
      <c r="B8176" s="49" t="s">
        <v>44</v>
      </c>
    </row>
    <row r="8177" spans="1:2">
      <c r="A8177" s="50">
        <v>45267</v>
      </c>
      <c r="B8177" s="49" t="s">
        <v>45</v>
      </c>
    </row>
    <row r="8178" spans="1:2">
      <c r="A8178" s="50">
        <v>45267</v>
      </c>
      <c r="B8178" s="49" t="s">
        <v>46</v>
      </c>
    </row>
    <row r="8179" spans="1:2">
      <c r="A8179" s="50">
        <v>45267</v>
      </c>
      <c r="B8179" s="49" t="s">
        <v>47</v>
      </c>
    </row>
    <row r="8180" spans="1:2">
      <c r="A8180" s="50">
        <v>45267</v>
      </c>
      <c r="B8180" s="49" t="s">
        <v>48</v>
      </c>
    </row>
    <row r="8181" spans="1:2">
      <c r="A8181" s="50">
        <v>45267</v>
      </c>
      <c r="B8181" s="49" t="s">
        <v>49</v>
      </c>
    </row>
    <row r="8182" spans="1:2">
      <c r="A8182" s="50">
        <v>45267</v>
      </c>
      <c r="B8182" s="49" t="s">
        <v>50</v>
      </c>
    </row>
    <row r="8183" spans="1:2">
      <c r="A8183" s="50">
        <v>45267</v>
      </c>
      <c r="B8183" s="49" t="s">
        <v>51</v>
      </c>
    </row>
    <row r="8184" spans="1:2">
      <c r="A8184" s="50">
        <v>45267</v>
      </c>
      <c r="B8184" s="49" t="s">
        <v>52</v>
      </c>
    </row>
    <row r="8185" spans="1:2">
      <c r="A8185" s="50">
        <v>45267</v>
      </c>
      <c r="B8185" s="49" t="s">
        <v>53</v>
      </c>
    </row>
    <row r="8186" spans="1:2">
      <c r="A8186" s="50">
        <v>45268</v>
      </c>
      <c r="B8186" s="49" t="s">
        <v>30</v>
      </c>
    </row>
    <row r="8187" spans="1:2">
      <c r="A8187" s="50">
        <v>45268</v>
      </c>
      <c r="B8187" s="49" t="s">
        <v>31</v>
      </c>
    </row>
    <row r="8188" spans="1:2">
      <c r="A8188" s="50">
        <v>45268</v>
      </c>
      <c r="B8188" s="49" t="s">
        <v>32</v>
      </c>
    </row>
    <row r="8189" spans="1:2">
      <c r="A8189" s="50">
        <v>45268</v>
      </c>
      <c r="B8189" s="49" t="s">
        <v>33</v>
      </c>
    </row>
    <row r="8190" spans="1:2">
      <c r="A8190" s="50">
        <v>45268</v>
      </c>
      <c r="B8190" s="49" t="s">
        <v>34</v>
      </c>
    </row>
    <row r="8191" spans="1:2">
      <c r="A8191" s="50">
        <v>45268</v>
      </c>
      <c r="B8191" s="49" t="s">
        <v>35</v>
      </c>
    </row>
    <row r="8192" spans="1:2">
      <c r="A8192" s="50">
        <v>45268</v>
      </c>
      <c r="B8192" s="49" t="s">
        <v>36</v>
      </c>
    </row>
    <row r="8193" spans="1:2">
      <c r="A8193" s="50">
        <v>45268</v>
      </c>
      <c r="B8193" s="49" t="s">
        <v>37</v>
      </c>
    </row>
    <row r="8194" spans="1:2">
      <c r="A8194" s="50">
        <v>45268</v>
      </c>
      <c r="B8194" s="49" t="s">
        <v>38</v>
      </c>
    </row>
    <row r="8195" spans="1:2">
      <c r="A8195" s="50">
        <v>45268</v>
      </c>
      <c r="B8195" s="49" t="s">
        <v>39</v>
      </c>
    </row>
    <row r="8196" spans="1:2">
      <c r="A8196" s="50">
        <v>45268</v>
      </c>
      <c r="B8196" s="49" t="s">
        <v>40</v>
      </c>
    </row>
    <row r="8197" spans="1:2">
      <c r="A8197" s="50">
        <v>45268</v>
      </c>
      <c r="B8197" s="49" t="s">
        <v>41</v>
      </c>
    </row>
    <row r="8198" spans="1:2">
      <c r="A8198" s="50">
        <v>45268</v>
      </c>
      <c r="B8198" s="49" t="s">
        <v>42</v>
      </c>
    </row>
    <row r="8199" spans="1:2">
      <c r="A8199" s="50">
        <v>45268</v>
      </c>
      <c r="B8199" s="49" t="s">
        <v>43</v>
      </c>
    </row>
    <row r="8200" spans="1:2">
      <c r="A8200" s="50">
        <v>45268</v>
      </c>
      <c r="B8200" s="49" t="s">
        <v>44</v>
      </c>
    </row>
    <row r="8201" spans="1:2">
      <c r="A8201" s="50">
        <v>45268</v>
      </c>
      <c r="B8201" s="49" t="s">
        <v>45</v>
      </c>
    </row>
    <row r="8202" spans="1:2">
      <c r="A8202" s="50">
        <v>45268</v>
      </c>
      <c r="B8202" s="49" t="s">
        <v>46</v>
      </c>
    </row>
    <row r="8203" spans="1:2">
      <c r="A8203" s="50">
        <v>45268</v>
      </c>
      <c r="B8203" s="49" t="s">
        <v>47</v>
      </c>
    </row>
    <row r="8204" spans="1:2">
      <c r="A8204" s="50">
        <v>45268</v>
      </c>
      <c r="B8204" s="49" t="s">
        <v>48</v>
      </c>
    </row>
    <row r="8205" spans="1:2">
      <c r="A8205" s="50">
        <v>45268</v>
      </c>
      <c r="B8205" s="49" t="s">
        <v>49</v>
      </c>
    </row>
    <row r="8206" spans="1:2">
      <c r="A8206" s="50">
        <v>45268</v>
      </c>
      <c r="B8206" s="49" t="s">
        <v>50</v>
      </c>
    </row>
    <row r="8207" spans="1:2">
      <c r="A8207" s="50">
        <v>45268</v>
      </c>
      <c r="B8207" s="49" t="s">
        <v>51</v>
      </c>
    </row>
    <row r="8208" spans="1:2">
      <c r="A8208" s="50">
        <v>45268</v>
      </c>
      <c r="B8208" s="49" t="s">
        <v>52</v>
      </c>
    </row>
    <row r="8209" spans="1:2">
      <c r="A8209" s="50">
        <v>45268</v>
      </c>
      <c r="B8209" s="49" t="s">
        <v>53</v>
      </c>
    </row>
    <row r="8210" spans="1:2">
      <c r="A8210" s="50">
        <v>45269</v>
      </c>
      <c r="B8210" s="49" t="s">
        <v>30</v>
      </c>
    </row>
    <row r="8211" spans="1:2">
      <c r="A8211" s="50">
        <v>45269</v>
      </c>
      <c r="B8211" s="49" t="s">
        <v>31</v>
      </c>
    </row>
    <row r="8212" spans="1:2">
      <c r="A8212" s="50">
        <v>45269</v>
      </c>
      <c r="B8212" s="49" t="s">
        <v>32</v>
      </c>
    </row>
    <row r="8213" spans="1:2">
      <c r="A8213" s="50">
        <v>45269</v>
      </c>
      <c r="B8213" s="49" t="s">
        <v>33</v>
      </c>
    </row>
    <row r="8214" spans="1:2">
      <c r="A8214" s="50">
        <v>45269</v>
      </c>
      <c r="B8214" s="49" t="s">
        <v>34</v>
      </c>
    </row>
    <row r="8215" spans="1:2">
      <c r="A8215" s="50">
        <v>45269</v>
      </c>
      <c r="B8215" s="49" t="s">
        <v>35</v>
      </c>
    </row>
    <row r="8216" spans="1:2">
      <c r="A8216" s="50">
        <v>45269</v>
      </c>
      <c r="B8216" s="49" t="s">
        <v>36</v>
      </c>
    </row>
    <row r="8217" spans="1:2">
      <c r="A8217" s="50">
        <v>45269</v>
      </c>
      <c r="B8217" s="49" t="s">
        <v>37</v>
      </c>
    </row>
    <row r="8218" spans="1:2">
      <c r="A8218" s="50">
        <v>45269</v>
      </c>
      <c r="B8218" s="49" t="s">
        <v>38</v>
      </c>
    </row>
    <row r="8219" spans="1:2">
      <c r="A8219" s="50">
        <v>45269</v>
      </c>
      <c r="B8219" s="49" t="s">
        <v>39</v>
      </c>
    </row>
    <row r="8220" spans="1:2">
      <c r="A8220" s="50">
        <v>45269</v>
      </c>
      <c r="B8220" s="49" t="s">
        <v>40</v>
      </c>
    </row>
    <row r="8221" spans="1:2">
      <c r="A8221" s="50">
        <v>45269</v>
      </c>
      <c r="B8221" s="49" t="s">
        <v>41</v>
      </c>
    </row>
    <row r="8222" spans="1:2">
      <c r="A8222" s="50">
        <v>45269</v>
      </c>
      <c r="B8222" s="49" t="s">
        <v>42</v>
      </c>
    </row>
    <row r="8223" spans="1:2">
      <c r="A8223" s="50">
        <v>45269</v>
      </c>
      <c r="B8223" s="49" t="s">
        <v>43</v>
      </c>
    </row>
    <row r="8224" spans="1:2">
      <c r="A8224" s="50">
        <v>45269</v>
      </c>
      <c r="B8224" s="49" t="s">
        <v>44</v>
      </c>
    </row>
    <row r="8225" spans="1:2">
      <c r="A8225" s="50">
        <v>45269</v>
      </c>
      <c r="B8225" s="49" t="s">
        <v>45</v>
      </c>
    </row>
    <row r="8226" spans="1:2">
      <c r="A8226" s="50">
        <v>45269</v>
      </c>
      <c r="B8226" s="49" t="s">
        <v>46</v>
      </c>
    </row>
    <row r="8227" spans="1:2">
      <c r="A8227" s="50">
        <v>45269</v>
      </c>
      <c r="B8227" s="49" t="s">
        <v>47</v>
      </c>
    </row>
    <row r="8228" spans="1:2">
      <c r="A8228" s="50">
        <v>45269</v>
      </c>
      <c r="B8228" s="49" t="s">
        <v>48</v>
      </c>
    </row>
    <row r="8229" spans="1:2">
      <c r="A8229" s="50">
        <v>45269</v>
      </c>
      <c r="B8229" s="49" t="s">
        <v>49</v>
      </c>
    </row>
    <row r="8230" spans="1:2">
      <c r="A8230" s="50">
        <v>45269</v>
      </c>
      <c r="B8230" s="49" t="s">
        <v>50</v>
      </c>
    </row>
    <row r="8231" spans="1:2">
      <c r="A8231" s="50">
        <v>45269</v>
      </c>
      <c r="B8231" s="49" t="s">
        <v>51</v>
      </c>
    </row>
    <row r="8232" spans="1:2">
      <c r="A8232" s="50">
        <v>45269</v>
      </c>
      <c r="B8232" s="49" t="s">
        <v>52</v>
      </c>
    </row>
    <row r="8233" spans="1:2">
      <c r="A8233" s="50">
        <v>45269</v>
      </c>
      <c r="B8233" s="49" t="s">
        <v>53</v>
      </c>
    </row>
    <row r="8234" spans="1:2">
      <c r="A8234" s="50">
        <v>45270</v>
      </c>
      <c r="B8234" s="49" t="s">
        <v>30</v>
      </c>
    </row>
    <row r="8235" spans="1:2">
      <c r="A8235" s="50">
        <v>45270</v>
      </c>
      <c r="B8235" s="49" t="s">
        <v>31</v>
      </c>
    </row>
    <row r="8236" spans="1:2">
      <c r="A8236" s="50">
        <v>45270</v>
      </c>
      <c r="B8236" s="49" t="s">
        <v>32</v>
      </c>
    </row>
    <row r="8237" spans="1:2">
      <c r="A8237" s="50">
        <v>45270</v>
      </c>
      <c r="B8237" s="49" t="s">
        <v>33</v>
      </c>
    </row>
    <row r="8238" spans="1:2">
      <c r="A8238" s="50">
        <v>45270</v>
      </c>
      <c r="B8238" s="49" t="s">
        <v>34</v>
      </c>
    </row>
    <row r="8239" spans="1:2">
      <c r="A8239" s="50">
        <v>45270</v>
      </c>
      <c r="B8239" s="49" t="s">
        <v>35</v>
      </c>
    </row>
    <row r="8240" spans="1:2">
      <c r="A8240" s="50">
        <v>45270</v>
      </c>
      <c r="B8240" s="49" t="s">
        <v>36</v>
      </c>
    </row>
    <row r="8241" spans="1:2">
      <c r="A8241" s="50">
        <v>45270</v>
      </c>
      <c r="B8241" s="49" t="s">
        <v>37</v>
      </c>
    </row>
    <row r="8242" spans="1:2">
      <c r="A8242" s="50">
        <v>45270</v>
      </c>
      <c r="B8242" s="49" t="s">
        <v>38</v>
      </c>
    </row>
    <row r="8243" spans="1:2">
      <c r="A8243" s="50">
        <v>45270</v>
      </c>
      <c r="B8243" s="49" t="s">
        <v>39</v>
      </c>
    </row>
    <row r="8244" spans="1:2">
      <c r="A8244" s="50">
        <v>45270</v>
      </c>
      <c r="B8244" s="49" t="s">
        <v>40</v>
      </c>
    </row>
    <row r="8245" spans="1:2">
      <c r="A8245" s="50">
        <v>45270</v>
      </c>
      <c r="B8245" s="49" t="s">
        <v>41</v>
      </c>
    </row>
    <row r="8246" spans="1:2">
      <c r="A8246" s="50">
        <v>45270</v>
      </c>
      <c r="B8246" s="49" t="s">
        <v>42</v>
      </c>
    </row>
    <row r="8247" spans="1:2">
      <c r="A8247" s="50">
        <v>45270</v>
      </c>
      <c r="B8247" s="49" t="s">
        <v>43</v>
      </c>
    </row>
    <row r="8248" spans="1:2">
      <c r="A8248" s="50">
        <v>45270</v>
      </c>
      <c r="B8248" s="49" t="s">
        <v>44</v>
      </c>
    </row>
    <row r="8249" spans="1:2">
      <c r="A8249" s="50">
        <v>45270</v>
      </c>
      <c r="B8249" s="49" t="s">
        <v>45</v>
      </c>
    </row>
    <row r="8250" spans="1:2">
      <c r="A8250" s="50">
        <v>45270</v>
      </c>
      <c r="B8250" s="49" t="s">
        <v>46</v>
      </c>
    </row>
    <row r="8251" spans="1:2">
      <c r="A8251" s="50">
        <v>45270</v>
      </c>
      <c r="B8251" s="49" t="s">
        <v>47</v>
      </c>
    </row>
    <row r="8252" spans="1:2">
      <c r="A8252" s="50">
        <v>45270</v>
      </c>
      <c r="B8252" s="49" t="s">
        <v>48</v>
      </c>
    </row>
    <row r="8253" spans="1:2">
      <c r="A8253" s="50">
        <v>45270</v>
      </c>
      <c r="B8253" s="49" t="s">
        <v>49</v>
      </c>
    </row>
    <row r="8254" spans="1:2">
      <c r="A8254" s="50">
        <v>45270</v>
      </c>
      <c r="B8254" s="49" t="s">
        <v>50</v>
      </c>
    </row>
    <row r="8255" spans="1:2">
      <c r="A8255" s="50">
        <v>45270</v>
      </c>
      <c r="B8255" s="49" t="s">
        <v>51</v>
      </c>
    </row>
    <row r="8256" spans="1:2">
      <c r="A8256" s="50">
        <v>45270</v>
      </c>
      <c r="B8256" s="49" t="s">
        <v>52</v>
      </c>
    </row>
    <row r="8257" spans="1:2">
      <c r="A8257" s="50">
        <v>45270</v>
      </c>
      <c r="B8257" s="49" t="s">
        <v>53</v>
      </c>
    </row>
    <row r="8258" spans="1:2">
      <c r="A8258" s="50">
        <v>45271</v>
      </c>
      <c r="B8258" s="49" t="s">
        <v>30</v>
      </c>
    </row>
    <row r="8259" spans="1:2">
      <c r="A8259" s="50">
        <v>45271</v>
      </c>
      <c r="B8259" s="49" t="s">
        <v>31</v>
      </c>
    </row>
    <row r="8260" spans="1:2">
      <c r="A8260" s="50">
        <v>45271</v>
      </c>
      <c r="B8260" s="49" t="s">
        <v>32</v>
      </c>
    </row>
    <row r="8261" spans="1:2">
      <c r="A8261" s="50">
        <v>45271</v>
      </c>
      <c r="B8261" s="49" t="s">
        <v>33</v>
      </c>
    </row>
    <row r="8262" spans="1:2">
      <c r="A8262" s="50">
        <v>45271</v>
      </c>
      <c r="B8262" s="49" t="s">
        <v>34</v>
      </c>
    </row>
    <row r="8263" spans="1:2">
      <c r="A8263" s="50">
        <v>45271</v>
      </c>
      <c r="B8263" s="49" t="s">
        <v>35</v>
      </c>
    </row>
    <row r="8264" spans="1:2">
      <c r="A8264" s="50">
        <v>45271</v>
      </c>
      <c r="B8264" s="49" t="s">
        <v>36</v>
      </c>
    </row>
    <row r="8265" spans="1:2">
      <c r="A8265" s="50">
        <v>45271</v>
      </c>
      <c r="B8265" s="49" t="s">
        <v>37</v>
      </c>
    </row>
    <row r="8266" spans="1:2">
      <c r="A8266" s="50">
        <v>45271</v>
      </c>
      <c r="B8266" s="49" t="s">
        <v>38</v>
      </c>
    </row>
    <row r="8267" spans="1:2">
      <c r="A8267" s="50">
        <v>45271</v>
      </c>
      <c r="B8267" s="49" t="s">
        <v>39</v>
      </c>
    </row>
    <row r="8268" spans="1:2">
      <c r="A8268" s="50">
        <v>45271</v>
      </c>
      <c r="B8268" s="49" t="s">
        <v>40</v>
      </c>
    </row>
    <row r="8269" spans="1:2">
      <c r="A8269" s="50">
        <v>45271</v>
      </c>
      <c r="B8269" s="49" t="s">
        <v>41</v>
      </c>
    </row>
    <row r="8270" spans="1:2">
      <c r="A8270" s="50">
        <v>45271</v>
      </c>
      <c r="B8270" s="49" t="s">
        <v>42</v>
      </c>
    </row>
    <row r="8271" spans="1:2">
      <c r="A8271" s="50">
        <v>45271</v>
      </c>
      <c r="B8271" s="49" t="s">
        <v>43</v>
      </c>
    </row>
    <row r="8272" spans="1:2">
      <c r="A8272" s="50">
        <v>45271</v>
      </c>
      <c r="B8272" s="49" t="s">
        <v>44</v>
      </c>
    </row>
    <row r="8273" spans="1:2">
      <c r="A8273" s="50">
        <v>45271</v>
      </c>
      <c r="B8273" s="49" t="s">
        <v>45</v>
      </c>
    </row>
    <row r="8274" spans="1:2">
      <c r="A8274" s="50">
        <v>45271</v>
      </c>
      <c r="B8274" s="49" t="s">
        <v>46</v>
      </c>
    </row>
    <row r="8275" spans="1:2">
      <c r="A8275" s="50">
        <v>45271</v>
      </c>
      <c r="B8275" s="49" t="s">
        <v>47</v>
      </c>
    </row>
    <row r="8276" spans="1:2">
      <c r="A8276" s="50">
        <v>45271</v>
      </c>
      <c r="B8276" s="49" t="s">
        <v>48</v>
      </c>
    </row>
    <row r="8277" spans="1:2">
      <c r="A8277" s="50">
        <v>45271</v>
      </c>
      <c r="B8277" s="49" t="s">
        <v>49</v>
      </c>
    </row>
    <row r="8278" spans="1:2">
      <c r="A8278" s="50">
        <v>45271</v>
      </c>
      <c r="B8278" s="49" t="s">
        <v>50</v>
      </c>
    </row>
    <row r="8279" spans="1:2">
      <c r="A8279" s="50">
        <v>45271</v>
      </c>
      <c r="B8279" s="49" t="s">
        <v>51</v>
      </c>
    </row>
    <row r="8280" spans="1:2">
      <c r="A8280" s="50">
        <v>45271</v>
      </c>
      <c r="B8280" s="49" t="s">
        <v>52</v>
      </c>
    </row>
    <row r="8281" spans="1:2">
      <c r="A8281" s="50">
        <v>45271</v>
      </c>
      <c r="B8281" s="49" t="s">
        <v>53</v>
      </c>
    </row>
    <row r="8282" spans="1:2">
      <c r="A8282" s="50">
        <v>45272</v>
      </c>
      <c r="B8282" s="49" t="s">
        <v>30</v>
      </c>
    </row>
    <row r="8283" spans="1:2">
      <c r="A8283" s="50">
        <v>45272</v>
      </c>
      <c r="B8283" s="49" t="s">
        <v>31</v>
      </c>
    </row>
    <row r="8284" spans="1:2">
      <c r="A8284" s="50">
        <v>45272</v>
      </c>
      <c r="B8284" s="49" t="s">
        <v>32</v>
      </c>
    </row>
    <row r="8285" spans="1:2">
      <c r="A8285" s="50">
        <v>45272</v>
      </c>
      <c r="B8285" s="49" t="s">
        <v>33</v>
      </c>
    </row>
    <row r="8286" spans="1:2">
      <c r="A8286" s="50">
        <v>45272</v>
      </c>
      <c r="B8286" s="49" t="s">
        <v>34</v>
      </c>
    </row>
    <row r="8287" spans="1:2">
      <c r="A8287" s="50">
        <v>45272</v>
      </c>
      <c r="B8287" s="49" t="s">
        <v>35</v>
      </c>
    </row>
    <row r="8288" spans="1:2">
      <c r="A8288" s="50">
        <v>45272</v>
      </c>
      <c r="B8288" s="49" t="s">
        <v>36</v>
      </c>
    </row>
    <row r="8289" spans="1:2">
      <c r="A8289" s="50">
        <v>45272</v>
      </c>
      <c r="B8289" s="49" t="s">
        <v>37</v>
      </c>
    </row>
    <row r="8290" spans="1:2">
      <c r="A8290" s="50">
        <v>45272</v>
      </c>
      <c r="B8290" s="49" t="s">
        <v>38</v>
      </c>
    </row>
    <row r="8291" spans="1:2">
      <c r="A8291" s="50">
        <v>45272</v>
      </c>
      <c r="B8291" s="49" t="s">
        <v>39</v>
      </c>
    </row>
    <row r="8292" spans="1:2">
      <c r="A8292" s="50">
        <v>45272</v>
      </c>
      <c r="B8292" s="49" t="s">
        <v>40</v>
      </c>
    </row>
    <row r="8293" spans="1:2">
      <c r="A8293" s="50">
        <v>45272</v>
      </c>
      <c r="B8293" s="49" t="s">
        <v>41</v>
      </c>
    </row>
    <row r="8294" spans="1:2">
      <c r="A8294" s="50">
        <v>45272</v>
      </c>
      <c r="B8294" s="49" t="s">
        <v>42</v>
      </c>
    </row>
    <row r="8295" spans="1:2">
      <c r="A8295" s="50">
        <v>45272</v>
      </c>
      <c r="B8295" s="49" t="s">
        <v>43</v>
      </c>
    </row>
    <row r="8296" spans="1:2">
      <c r="A8296" s="50">
        <v>45272</v>
      </c>
      <c r="B8296" s="49" t="s">
        <v>44</v>
      </c>
    </row>
    <row r="8297" spans="1:2">
      <c r="A8297" s="50">
        <v>45272</v>
      </c>
      <c r="B8297" s="49" t="s">
        <v>45</v>
      </c>
    </row>
    <row r="8298" spans="1:2">
      <c r="A8298" s="50">
        <v>45272</v>
      </c>
      <c r="B8298" s="49" t="s">
        <v>46</v>
      </c>
    </row>
    <row r="8299" spans="1:2">
      <c r="A8299" s="50">
        <v>45272</v>
      </c>
      <c r="B8299" s="49" t="s">
        <v>47</v>
      </c>
    </row>
    <row r="8300" spans="1:2">
      <c r="A8300" s="50">
        <v>45272</v>
      </c>
      <c r="B8300" s="49" t="s">
        <v>48</v>
      </c>
    </row>
    <row r="8301" spans="1:2">
      <c r="A8301" s="50">
        <v>45272</v>
      </c>
      <c r="B8301" s="49" t="s">
        <v>49</v>
      </c>
    </row>
    <row r="8302" spans="1:2">
      <c r="A8302" s="50">
        <v>45272</v>
      </c>
      <c r="B8302" s="49" t="s">
        <v>50</v>
      </c>
    </row>
    <row r="8303" spans="1:2">
      <c r="A8303" s="50">
        <v>45272</v>
      </c>
      <c r="B8303" s="49" t="s">
        <v>51</v>
      </c>
    </row>
    <row r="8304" spans="1:2">
      <c r="A8304" s="50">
        <v>45272</v>
      </c>
      <c r="B8304" s="49" t="s">
        <v>52</v>
      </c>
    </row>
    <row r="8305" spans="1:2">
      <c r="A8305" s="50">
        <v>45272</v>
      </c>
      <c r="B8305" s="49" t="s">
        <v>53</v>
      </c>
    </row>
    <row r="8306" spans="1:2">
      <c r="A8306" s="50">
        <v>45273</v>
      </c>
      <c r="B8306" s="49" t="s">
        <v>30</v>
      </c>
    </row>
    <row r="8307" spans="1:2">
      <c r="A8307" s="50">
        <v>45273</v>
      </c>
      <c r="B8307" s="49" t="s">
        <v>31</v>
      </c>
    </row>
    <row r="8308" spans="1:2">
      <c r="A8308" s="50">
        <v>45273</v>
      </c>
      <c r="B8308" s="49" t="s">
        <v>32</v>
      </c>
    </row>
    <row r="8309" spans="1:2">
      <c r="A8309" s="50">
        <v>45273</v>
      </c>
      <c r="B8309" s="49" t="s">
        <v>33</v>
      </c>
    </row>
    <row r="8310" spans="1:2">
      <c r="A8310" s="50">
        <v>45273</v>
      </c>
      <c r="B8310" s="49" t="s">
        <v>34</v>
      </c>
    </row>
    <row r="8311" spans="1:2">
      <c r="A8311" s="50">
        <v>45273</v>
      </c>
      <c r="B8311" s="49" t="s">
        <v>35</v>
      </c>
    </row>
    <row r="8312" spans="1:2">
      <c r="A8312" s="50">
        <v>45273</v>
      </c>
      <c r="B8312" s="49" t="s">
        <v>36</v>
      </c>
    </row>
    <row r="8313" spans="1:2">
      <c r="A8313" s="50">
        <v>45273</v>
      </c>
      <c r="B8313" s="49" t="s">
        <v>37</v>
      </c>
    </row>
    <row r="8314" spans="1:2">
      <c r="A8314" s="50">
        <v>45273</v>
      </c>
      <c r="B8314" s="49" t="s">
        <v>38</v>
      </c>
    </row>
    <row r="8315" spans="1:2">
      <c r="A8315" s="50">
        <v>45273</v>
      </c>
      <c r="B8315" s="49" t="s">
        <v>39</v>
      </c>
    </row>
    <row r="8316" spans="1:2">
      <c r="A8316" s="50">
        <v>45273</v>
      </c>
      <c r="B8316" s="49" t="s">
        <v>40</v>
      </c>
    </row>
    <row r="8317" spans="1:2">
      <c r="A8317" s="50">
        <v>45273</v>
      </c>
      <c r="B8317" s="49" t="s">
        <v>41</v>
      </c>
    </row>
    <row r="8318" spans="1:2">
      <c r="A8318" s="50">
        <v>45273</v>
      </c>
      <c r="B8318" s="49" t="s">
        <v>42</v>
      </c>
    </row>
    <row r="8319" spans="1:2">
      <c r="A8319" s="50">
        <v>45273</v>
      </c>
      <c r="B8319" s="49" t="s">
        <v>43</v>
      </c>
    </row>
    <row r="8320" spans="1:2">
      <c r="A8320" s="50">
        <v>45273</v>
      </c>
      <c r="B8320" s="49" t="s">
        <v>44</v>
      </c>
    </row>
    <row r="8321" spans="1:2">
      <c r="A8321" s="50">
        <v>45273</v>
      </c>
      <c r="B8321" s="49" t="s">
        <v>45</v>
      </c>
    </row>
    <row r="8322" spans="1:2">
      <c r="A8322" s="50">
        <v>45273</v>
      </c>
      <c r="B8322" s="49" t="s">
        <v>46</v>
      </c>
    </row>
    <row r="8323" spans="1:2">
      <c r="A8323" s="50">
        <v>45273</v>
      </c>
      <c r="B8323" s="49" t="s">
        <v>47</v>
      </c>
    </row>
    <row r="8324" spans="1:2">
      <c r="A8324" s="50">
        <v>45273</v>
      </c>
      <c r="B8324" s="49" t="s">
        <v>48</v>
      </c>
    </row>
    <row r="8325" spans="1:2">
      <c r="A8325" s="50">
        <v>45273</v>
      </c>
      <c r="B8325" s="49" t="s">
        <v>49</v>
      </c>
    </row>
    <row r="8326" spans="1:2">
      <c r="A8326" s="50">
        <v>45273</v>
      </c>
      <c r="B8326" s="49" t="s">
        <v>50</v>
      </c>
    </row>
    <row r="8327" spans="1:2">
      <c r="A8327" s="50">
        <v>45273</v>
      </c>
      <c r="B8327" s="49" t="s">
        <v>51</v>
      </c>
    </row>
    <row r="8328" spans="1:2">
      <c r="A8328" s="50">
        <v>45273</v>
      </c>
      <c r="B8328" s="49" t="s">
        <v>52</v>
      </c>
    </row>
    <row r="8329" spans="1:2">
      <c r="A8329" s="50">
        <v>45273</v>
      </c>
      <c r="B8329" s="49" t="s">
        <v>53</v>
      </c>
    </row>
    <row r="8330" spans="1:2">
      <c r="A8330" s="50">
        <v>45274</v>
      </c>
      <c r="B8330" s="49" t="s">
        <v>30</v>
      </c>
    </row>
    <row r="8331" spans="1:2">
      <c r="A8331" s="50">
        <v>45274</v>
      </c>
      <c r="B8331" s="49" t="s">
        <v>31</v>
      </c>
    </row>
    <row r="8332" spans="1:2">
      <c r="A8332" s="50">
        <v>45274</v>
      </c>
      <c r="B8332" s="49" t="s">
        <v>32</v>
      </c>
    </row>
    <row r="8333" spans="1:2">
      <c r="A8333" s="50">
        <v>45274</v>
      </c>
      <c r="B8333" s="49" t="s">
        <v>33</v>
      </c>
    </row>
    <row r="8334" spans="1:2">
      <c r="A8334" s="50">
        <v>45274</v>
      </c>
      <c r="B8334" s="49" t="s">
        <v>34</v>
      </c>
    </row>
    <row r="8335" spans="1:2">
      <c r="A8335" s="50">
        <v>45274</v>
      </c>
      <c r="B8335" s="49" t="s">
        <v>35</v>
      </c>
    </row>
    <row r="8336" spans="1:2">
      <c r="A8336" s="50">
        <v>45274</v>
      </c>
      <c r="B8336" s="49" t="s">
        <v>36</v>
      </c>
    </row>
    <row r="8337" spans="1:2">
      <c r="A8337" s="50">
        <v>45274</v>
      </c>
      <c r="B8337" s="49" t="s">
        <v>37</v>
      </c>
    </row>
    <row r="8338" spans="1:2">
      <c r="A8338" s="50">
        <v>45274</v>
      </c>
      <c r="B8338" s="49" t="s">
        <v>38</v>
      </c>
    </row>
    <row r="8339" spans="1:2">
      <c r="A8339" s="50">
        <v>45274</v>
      </c>
      <c r="B8339" s="49" t="s">
        <v>39</v>
      </c>
    </row>
    <row r="8340" spans="1:2">
      <c r="A8340" s="50">
        <v>45274</v>
      </c>
      <c r="B8340" s="49" t="s">
        <v>40</v>
      </c>
    </row>
    <row r="8341" spans="1:2">
      <c r="A8341" s="50">
        <v>45274</v>
      </c>
      <c r="B8341" s="49" t="s">
        <v>41</v>
      </c>
    </row>
    <row r="8342" spans="1:2">
      <c r="A8342" s="50">
        <v>45274</v>
      </c>
      <c r="B8342" s="49" t="s">
        <v>42</v>
      </c>
    </row>
    <row r="8343" spans="1:2">
      <c r="A8343" s="50">
        <v>45274</v>
      </c>
      <c r="B8343" s="49" t="s">
        <v>43</v>
      </c>
    </row>
    <row r="8344" spans="1:2">
      <c r="A8344" s="50">
        <v>45274</v>
      </c>
      <c r="B8344" s="49" t="s">
        <v>44</v>
      </c>
    </row>
    <row r="8345" spans="1:2">
      <c r="A8345" s="50">
        <v>45274</v>
      </c>
      <c r="B8345" s="49" t="s">
        <v>45</v>
      </c>
    </row>
    <row r="8346" spans="1:2">
      <c r="A8346" s="50">
        <v>45274</v>
      </c>
      <c r="B8346" s="49" t="s">
        <v>46</v>
      </c>
    </row>
    <row r="8347" spans="1:2">
      <c r="A8347" s="50">
        <v>45274</v>
      </c>
      <c r="B8347" s="49" t="s">
        <v>47</v>
      </c>
    </row>
    <row r="8348" spans="1:2">
      <c r="A8348" s="50">
        <v>45274</v>
      </c>
      <c r="B8348" s="49" t="s">
        <v>48</v>
      </c>
    </row>
    <row r="8349" spans="1:2">
      <c r="A8349" s="50">
        <v>45274</v>
      </c>
      <c r="B8349" s="49" t="s">
        <v>49</v>
      </c>
    </row>
    <row r="8350" spans="1:2">
      <c r="A8350" s="50">
        <v>45274</v>
      </c>
      <c r="B8350" s="49" t="s">
        <v>50</v>
      </c>
    </row>
    <row r="8351" spans="1:2">
      <c r="A8351" s="50">
        <v>45274</v>
      </c>
      <c r="B8351" s="49" t="s">
        <v>51</v>
      </c>
    </row>
    <row r="8352" spans="1:2">
      <c r="A8352" s="50">
        <v>45274</v>
      </c>
      <c r="B8352" s="49" t="s">
        <v>52</v>
      </c>
    </row>
    <row r="8353" spans="1:2">
      <c r="A8353" s="50">
        <v>45274</v>
      </c>
      <c r="B8353" s="49" t="s">
        <v>53</v>
      </c>
    </row>
    <row r="8354" spans="1:2">
      <c r="A8354" s="50">
        <v>45275</v>
      </c>
      <c r="B8354" s="49" t="s">
        <v>30</v>
      </c>
    </row>
    <row r="8355" spans="1:2">
      <c r="A8355" s="50">
        <v>45275</v>
      </c>
      <c r="B8355" s="49" t="s">
        <v>31</v>
      </c>
    </row>
    <row r="8356" spans="1:2">
      <c r="A8356" s="50">
        <v>45275</v>
      </c>
      <c r="B8356" s="49" t="s">
        <v>32</v>
      </c>
    </row>
    <row r="8357" spans="1:2">
      <c r="A8357" s="50">
        <v>45275</v>
      </c>
      <c r="B8357" s="49" t="s">
        <v>33</v>
      </c>
    </row>
    <row r="8358" spans="1:2">
      <c r="A8358" s="50">
        <v>45275</v>
      </c>
      <c r="B8358" s="49" t="s">
        <v>34</v>
      </c>
    </row>
    <row r="8359" spans="1:2">
      <c r="A8359" s="50">
        <v>45275</v>
      </c>
      <c r="B8359" s="49" t="s">
        <v>35</v>
      </c>
    </row>
    <row r="8360" spans="1:2">
      <c r="A8360" s="50">
        <v>45275</v>
      </c>
      <c r="B8360" s="49" t="s">
        <v>36</v>
      </c>
    </row>
    <row r="8361" spans="1:2">
      <c r="A8361" s="50">
        <v>45275</v>
      </c>
      <c r="B8361" s="49" t="s">
        <v>37</v>
      </c>
    </row>
    <row r="8362" spans="1:2">
      <c r="A8362" s="50">
        <v>45275</v>
      </c>
      <c r="B8362" s="49" t="s">
        <v>38</v>
      </c>
    </row>
    <row r="8363" spans="1:2">
      <c r="A8363" s="50">
        <v>45275</v>
      </c>
      <c r="B8363" s="49" t="s">
        <v>39</v>
      </c>
    </row>
    <row r="8364" spans="1:2">
      <c r="A8364" s="50">
        <v>45275</v>
      </c>
      <c r="B8364" s="49" t="s">
        <v>40</v>
      </c>
    </row>
    <row r="8365" spans="1:2">
      <c r="A8365" s="50">
        <v>45275</v>
      </c>
      <c r="B8365" s="49" t="s">
        <v>41</v>
      </c>
    </row>
    <row r="8366" spans="1:2">
      <c r="A8366" s="50">
        <v>45275</v>
      </c>
      <c r="B8366" s="49" t="s">
        <v>42</v>
      </c>
    </row>
    <row r="8367" spans="1:2">
      <c r="A8367" s="50">
        <v>45275</v>
      </c>
      <c r="B8367" s="49" t="s">
        <v>43</v>
      </c>
    </row>
    <row r="8368" spans="1:2">
      <c r="A8368" s="50">
        <v>45275</v>
      </c>
      <c r="B8368" s="49" t="s">
        <v>44</v>
      </c>
    </row>
    <row r="8369" spans="1:2">
      <c r="A8369" s="50">
        <v>45275</v>
      </c>
      <c r="B8369" s="49" t="s">
        <v>45</v>
      </c>
    </row>
    <row r="8370" spans="1:2">
      <c r="A8370" s="50">
        <v>45275</v>
      </c>
      <c r="B8370" s="49" t="s">
        <v>46</v>
      </c>
    </row>
    <row r="8371" spans="1:2">
      <c r="A8371" s="50">
        <v>45275</v>
      </c>
      <c r="B8371" s="49" t="s">
        <v>47</v>
      </c>
    </row>
    <row r="8372" spans="1:2">
      <c r="A8372" s="50">
        <v>45275</v>
      </c>
      <c r="B8372" s="49" t="s">
        <v>48</v>
      </c>
    </row>
    <row r="8373" spans="1:2">
      <c r="A8373" s="50">
        <v>45275</v>
      </c>
      <c r="B8373" s="49" t="s">
        <v>49</v>
      </c>
    </row>
    <row r="8374" spans="1:2">
      <c r="A8374" s="50">
        <v>45275</v>
      </c>
      <c r="B8374" s="49" t="s">
        <v>50</v>
      </c>
    </row>
    <row r="8375" spans="1:2">
      <c r="A8375" s="50">
        <v>45275</v>
      </c>
      <c r="B8375" s="49" t="s">
        <v>51</v>
      </c>
    </row>
    <row r="8376" spans="1:2">
      <c r="A8376" s="50">
        <v>45275</v>
      </c>
      <c r="B8376" s="49" t="s">
        <v>52</v>
      </c>
    </row>
    <row r="8377" spans="1:2">
      <c r="A8377" s="50">
        <v>45275</v>
      </c>
      <c r="B8377" s="49" t="s">
        <v>53</v>
      </c>
    </row>
    <row r="8378" spans="1:2">
      <c r="A8378" s="50">
        <v>45276</v>
      </c>
      <c r="B8378" s="49" t="s">
        <v>30</v>
      </c>
    </row>
    <row r="8379" spans="1:2">
      <c r="A8379" s="50">
        <v>45276</v>
      </c>
      <c r="B8379" s="49" t="s">
        <v>31</v>
      </c>
    </row>
    <row r="8380" spans="1:2">
      <c r="A8380" s="50">
        <v>45276</v>
      </c>
      <c r="B8380" s="49" t="s">
        <v>32</v>
      </c>
    </row>
    <row r="8381" spans="1:2">
      <c r="A8381" s="50">
        <v>45276</v>
      </c>
      <c r="B8381" s="49" t="s">
        <v>33</v>
      </c>
    </row>
    <row r="8382" spans="1:2">
      <c r="A8382" s="50">
        <v>45276</v>
      </c>
      <c r="B8382" s="49" t="s">
        <v>34</v>
      </c>
    </row>
    <row r="8383" spans="1:2">
      <c r="A8383" s="50">
        <v>45276</v>
      </c>
      <c r="B8383" s="49" t="s">
        <v>35</v>
      </c>
    </row>
    <row r="8384" spans="1:2">
      <c r="A8384" s="50">
        <v>45276</v>
      </c>
      <c r="B8384" s="49" t="s">
        <v>36</v>
      </c>
    </row>
    <row r="8385" spans="1:2">
      <c r="A8385" s="50">
        <v>45276</v>
      </c>
      <c r="B8385" s="49" t="s">
        <v>37</v>
      </c>
    </row>
    <row r="8386" spans="1:2">
      <c r="A8386" s="50">
        <v>45276</v>
      </c>
      <c r="B8386" s="49" t="s">
        <v>38</v>
      </c>
    </row>
    <row r="8387" spans="1:2">
      <c r="A8387" s="50">
        <v>45276</v>
      </c>
      <c r="B8387" s="49" t="s">
        <v>39</v>
      </c>
    </row>
    <row r="8388" spans="1:2">
      <c r="A8388" s="50">
        <v>45276</v>
      </c>
      <c r="B8388" s="49" t="s">
        <v>40</v>
      </c>
    </row>
    <row r="8389" spans="1:2">
      <c r="A8389" s="50">
        <v>45276</v>
      </c>
      <c r="B8389" s="49" t="s">
        <v>41</v>
      </c>
    </row>
    <row r="8390" spans="1:2">
      <c r="A8390" s="50">
        <v>45276</v>
      </c>
      <c r="B8390" s="49" t="s">
        <v>42</v>
      </c>
    </row>
    <row r="8391" spans="1:2">
      <c r="A8391" s="50">
        <v>45276</v>
      </c>
      <c r="B8391" s="49" t="s">
        <v>43</v>
      </c>
    </row>
    <row r="8392" spans="1:2">
      <c r="A8392" s="50">
        <v>45276</v>
      </c>
      <c r="B8392" s="49" t="s">
        <v>44</v>
      </c>
    </row>
    <row r="8393" spans="1:2">
      <c r="A8393" s="50">
        <v>45276</v>
      </c>
      <c r="B8393" s="49" t="s">
        <v>45</v>
      </c>
    </row>
    <row r="8394" spans="1:2">
      <c r="A8394" s="50">
        <v>45276</v>
      </c>
      <c r="B8394" s="49" t="s">
        <v>46</v>
      </c>
    </row>
    <row r="8395" spans="1:2">
      <c r="A8395" s="50">
        <v>45276</v>
      </c>
      <c r="B8395" s="49" t="s">
        <v>47</v>
      </c>
    </row>
    <row r="8396" spans="1:2">
      <c r="A8396" s="50">
        <v>45276</v>
      </c>
      <c r="B8396" s="49" t="s">
        <v>48</v>
      </c>
    </row>
    <row r="8397" spans="1:2">
      <c r="A8397" s="50">
        <v>45276</v>
      </c>
      <c r="B8397" s="49" t="s">
        <v>49</v>
      </c>
    </row>
    <row r="8398" spans="1:2">
      <c r="A8398" s="50">
        <v>45276</v>
      </c>
      <c r="B8398" s="49" t="s">
        <v>50</v>
      </c>
    </row>
    <row r="8399" spans="1:2">
      <c r="A8399" s="50">
        <v>45276</v>
      </c>
      <c r="B8399" s="49" t="s">
        <v>51</v>
      </c>
    </row>
    <row r="8400" spans="1:2">
      <c r="A8400" s="50">
        <v>45276</v>
      </c>
      <c r="B8400" s="49" t="s">
        <v>52</v>
      </c>
    </row>
    <row r="8401" spans="1:2">
      <c r="A8401" s="50">
        <v>45276</v>
      </c>
      <c r="B8401" s="49" t="s">
        <v>53</v>
      </c>
    </row>
    <row r="8402" spans="1:2">
      <c r="A8402" s="50">
        <v>45277</v>
      </c>
      <c r="B8402" s="49" t="s">
        <v>30</v>
      </c>
    </row>
    <row r="8403" spans="1:2">
      <c r="A8403" s="50">
        <v>45277</v>
      </c>
      <c r="B8403" s="49" t="s">
        <v>31</v>
      </c>
    </row>
    <row r="8404" spans="1:2">
      <c r="A8404" s="50">
        <v>45277</v>
      </c>
      <c r="B8404" s="49" t="s">
        <v>32</v>
      </c>
    </row>
    <row r="8405" spans="1:2">
      <c r="A8405" s="50">
        <v>45277</v>
      </c>
      <c r="B8405" s="49" t="s">
        <v>33</v>
      </c>
    </row>
    <row r="8406" spans="1:2">
      <c r="A8406" s="50">
        <v>45277</v>
      </c>
      <c r="B8406" s="49" t="s">
        <v>34</v>
      </c>
    </row>
    <row r="8407" spans="1:2">
      <c r="A8407" s="50">
        <v>45277</v>
      </c>
      <c r="B8407" s="49" t="s">
        <v>35</v>
      </c>
    </row>
    <row r="8408" spans="1:2">
      <c r="A8408" s="50">
        <v>45277</v>
      </c>
      <c r="B8408" s="49" t="s">
        <v>36</v>
      </c>
    </row>
    <row r="8409" spans="1:2">
      <c r="A8409" s="50">
        <v>45277</v>
      </c>
      <c r="B8409" s="49" t="s">
        <v>37</v>
      </c>
    </row>
    <row r="8410" spans="1:2">
      <c r="A8410" s="50">
        <v>45277</v>
      </c>
      <c r="B8410" s="49" t="s">
        <v>38</v>
      </c>
    </row>
    <row r="8411" spans="1:2">
      <c r="A8411" s="50">
        <v>45277</v>
      </c>
      <c r="B8411" s="49" t="s">
        <v>39</v>
      </c>
    </row>
    <row r="8412" spans="1:2">
      <c r="A8412" s="50">
        <v>45277</v>
      </c>
      <c r="B8412" s="49" t="s">
        <v>40</v>
      </c>
    </row>
    <row r="8413" spans="1:2">
      <c r="A8413" s="50">
        <v>45277</v>
      </c>
      <c r="B8413" s="49" t="s">
        <v>41</v>
      </c>
    </row>
    <row r="8414" spans="1:2">
      <c r="A8414" s="50">
        <v>45277</v>
      </c>
      <c r="B8414" s="49" t="s">
        <v>42</v>
      </c>
    </row>
    <row r="8415" spans="1:2">
      <c r="A8415" s="50">
        <v>45277</v>
      </c>
      <c r="B8415" s="49" t="s">
        <v>43</v>
      </c>
    </row>
    <row r="8416" spans="1:2">
      <c r="A8416" s="50">
        <v>45277</v>
      </c>
      <c r="B8416" s="49" t="s">
        <v>44</v>
      </c>
    </row>
    <row r="8417" spans="1:2">
      <c r="A8417" s="50">
        <v>45277</v>
      </c>
      <c r="B8417" s="49" t="s">
        <v>45</v>
      </c>
    </row>
    <row r="8418" spans="1:2">
      <c r="A8418" s="50">
        <v>45277</v>
      </c>
      <c r="B8418" s="49" t="s">
        <v>46</v>
      </c>
    </row>
    <row r="8419" spans="1:2">
      <c r="A8419" s="50">
        <v>45277</v>
      </c>
      <c r="B8419" s="49" t="s">
        <v>47</v>
      </c>
    </row>
    <row r="8420" spans="1:2">
      <c r="A8420" s="50">
        <v>45277</v>
      </c>
      <c r="B8420" s="49" t="s">
        <v>48</v>
      </c>
    </row>
    <row r="8421" spans="1:2">
      <c r="A8421" s="50">
        <v>45277</v>
      </c>
      <c r="B8421" s="49" t="s">
        <v>49</v>
      </c>
    </row>
    <row r="8422" spans="1:2">
      <c r="A8422" s="50">
        <v>45277</v>
      </c>
      <c r="B8422" s="49" t="s">
        <v>50</v>
      </c>
    </row>
    <row r="8423" spans="1:2">
      <c r="A8423" s="50">
        <v>45277</v>
      </c>
      <c r="B8423" s="49" t="s">
        <v>51</v>
      </c>
    </row>
    <row r="8424" spans="1:2">
      <c r="A8424" s="50">
        <v>45277</v>
      </c>
      <c r="B8424" s="49" t="s">
        <v>52</v>
      </c>
    </row>
    <row r="8425" spans="1:2">
      <c r="A8425" s="50">
        <v>45277</v>
      </c>
      <c r="B8425" s="49" t="s">
        <v>53</v>
      </c>
    </row>
    <row r="8426" spans="1:2">
      <c r="A8426" s="50">
        <v>45278</v>
      </c>
      <c r="B8426" s="49" t="s">
        <v>30</v>
      </c>
    </row>
    <row r="8427" spans="1:2">
      <c r="A8427" s="50">
        <v>45278</v>
      </c>
      <c r="B8427" s="49" t="s">
        <v>31</v>
      </c>
    </row>
    <row r="8428" spans="1:2">
      <c r="A8428" s="50">
        <v>45278</v>
      </c>
      <c r="B8428" s="49" t="s">
        <v>32</v>
      </c>
    </row>
    <row r="8429" spans="1:2">
      <c r="A8429" s="50">
        <v>45278</v>
      </c>
      <c r="B8429" s="49" t="s">
        <v>33</v>
      </c>
    </row>
    <row r="8430" spans="1:2">
      <c r="A8430" s="50">
        <v>45278</v>
      </c>
      <c r="B8430" s="49" t="s">
        <v>34</v>
      </c>
    </row>
    <row r="8431" spans="1:2">
      <c r="A8431" s="50">
        <v>45278</v>
      </c>
      <c r="B8431" s="49" t="s">
        <v>35</v>
      </c>
    </row>
    <row r="8432" spans="1:2">
      <c r="A8432" s="50">
        <v>45278</v>
      </c>
      <c r="B8432" s="49" t="s">
        <v>36</v>
      </c>
    </row>
    <row r="8433" spans="1:2">
      <c r="A8433" s="50">
        <v>45278</v>
      </c>
      <c r="B8433" s="49" t="s">
        <v>37</v>
      </c>
    </row>
    <row r="8434" spans="1:2">
      <c r="A8434" s="50">
        <v>45278</v>
      </c>
      <c r="B8434" s="49" t="s">
        <v>38</v>
      </c>
    </row>
    <row r="8435" spans="1:2">
      <c r="A8435" s="50">
        <v>45278</v>
      </c>
      <c r="B8435" s="49" t="s">
        <v>39</v>
      </c>
    </row>
    <row r="8436" spans="1:2">
      <c r="A8436" s="50">
        <v>45278</v>
      </c>
      <c r="B8436" s="49" t="s">
        <v>40</v>
      </c>
    </row>
    <row r="8437" spans="1:2">
      <c r="A8437" s="50">
        <v>45278</v>
      </c>
      <c r="B8437" s="49" t="s">
        <v>41</v>
      </c>
    </row>
    <row r="8438" spans="1:2">
      <c r="A8438" s="50">
        <v>45278</v>
      </c>
      <c r="B8438" s="49" t="s">
        <v>42</v>
      </c>
    </row>
    <row r="8439" spans="1:2">
      <c r="A8439" s="50">
        <v>45278</v>
      </c>
      <c r="B8439" s="49" t="s">
        <v>43</v>
      </c>
    </row>
    <row r="8440" spans="1:2">
      <c r="A8440" s="50">
        <v>45278</v>
      </c>
      <c r="B8440" s="49" t="s">
        <v>44</v>
      </c>
    </row>
    <row r="8441" spans="1:2">
      <c r="A8441" s="50">
        <v>45278</v>
      </c>
      <c r="B8441" s="49" t="s">
        <v>45</v>
      </c>
    </row>
    <row r="8442" spans="1:2">
      <c r="A8442" s="50">
        <v>45278</v>
      </c>
      <c r="B8442" s="49" t="s">
        <v>46</v>
      </c>
    </row>
    <row r="8443" spans="1:2">
      <c r="A8443" s="50">
        <v>45278</v>
      </c>
      <c r="B8443" s="49" t="s">
        <v>47</v>
      </c>
    </row>
    <row r="8444" spans="1:2">
      <c r="A8444" s="50">
        <v>45278</v>
      </c>
      <c r="B8444" s="49" t="s">
        <v>48</v>
      </c>
    </row>
    <row r="8445" spans="1:2">
      <c r="A8445" s="50">
        <v>45278</v>
      </c>
      <c r="B8445" s="49" t="s">
        <v>49</v>
      </c>
    </row>
    <row r="8446" spans="1:2">
      <c r="A8446" s="50">
        <v>45278</v>
      </c>
      <c r="B8446" s="49" t="s">
        <v>50</v>
      </c>
    </row>
    <row r="8447" spans="1:2">
      <c r="A8447" s="50">
        <v>45278</v>
      </c>
      <c r="B8447" s="49" t="s">
        <v>51</v>
      </c>
    </row>
    <row r="8448" spans="1:2">
      <c r="A8448" s="50">
        <v>45278</v>
      </c>
      <c r="B8448" s="49" t="s">
        <v>52</v>
      </c>
    </row>
    <row r="8449" spans="1:2">
      <c r="A8449" s="50">
        <v>45278</v>
      </c>
      <c r="B8449" s="49" t="s">
        <v>53</v>
      </c>
    </row>
    <row r="8450" spans="1:2">
      <c r="A8450" s="50">
        <v>45279</v>
      </c>
      <c r="B8450" s="49" t="s">
        <v>30</v>
      </c>
    </row>
    <row r="8451" spans="1:2">
      <c r="A8451" s="50">
        <v>45279</v>
      </c>
      <c r="B8451" s="49" t="s">
        <v>31</v>
      </c>
    </row>
    <row r="8452" spans="1:2">
      <c r="A8452" s="50">
        <v>45279</v>
      </c>
      <c r="B8452" s="49" t="s">
        <v>32</v>
      </c>
    </row>
    <row r="8453" spans="1:2">
      <c r="A8453" s="50">
        <v>45279</v>
      </c>
      <c r="B8453" s="49" t="s">
        <v>33</v>
      </c>
    </row>
    <row r="8454" spans="1:2">
      <c r="A8454" s="50">
        <v>45279</v>
      </c>
      <c r="B8454" s="49" t="s">
        <v>34</v>
      </c>
    </row>
    <row r="8455" spans="1:2">
      <c r="A8455" s="50">
        <v>45279</v>
      </c>
      <c r="B8455" s="49" t="s">
        <v>35</v>
      </c>
    </row>
    <row r="8456" spans="1:2">
      <c r="A8456" s="50">
        <v>45279</v>
      </c>
      <c r="B8456" s="49" t="s">
        <v>36</v>
      </c>
    </row>
    <row r="8457" spans="1:2">
      <c r="A8457" s="50">
        <v>45279</v>
      </c>
      <c r="B8457" s="49" t="s">
        <v>37</v>
      </c>
    </row>
    <row r="8458" spans="1:2">
      <c r="A8458" s="50">
        <v>45279</v>
      </c>
      <c r="B8458" s="49" t="s">
        <v>38</v>
      </c>
    </row>
    <row r="8459" spans="1:2">
      <c r="A8459" s="50">
        <v>45279</v>
      </c>
      <c r="B8459" s="49" t="s">
        <v>39</v>
      </c>
    </row>
    <row r="8460" spans="1:2">
      <c r="A8460" s="50">
        <v>45279</v>
      </c>
      <c r="B8460" s="49" t="s">
        <v>40</v>
      </c>
    </row>
    <row r="8461" spans="1:2">
      <c r="A8461" s="50">
        <v>45279</v>
      </c>
      <c r="B8461" s="49" t="s">
        <v>41</v>
      </c>
    </row>
    <row r="8462" spans="1:2">
      <c r="A8462" s="50">
        <v>45279</v>
      </c>
      <c r="B8462" s="49" t="s">
        <v>42</v>
      </c>
    </row>
    <row r="8463" spans="1:2">
      <c r="A8463" s="50">
        <v>45279</v>
      </c>
      <c r="B8463" s="49" t="s">
        <v>43</v>
      </c>
    </row>
    <row r="8464" spans="1:2">
      <c r="A8464" s="50">
        <v>45279</v>
      </c>
      <c r="B8464" s="49" t="s">
        <v>44</v>
      </c>
    </row>
    <row r="8465" spans="1:2">
      <c r="A8465" s="50">
        <v>45279</v>
      </c>
      <c r="B8465" s="49" t="s">
        <v>45</v>
      </c>
    </row>
    <row r="8466" spans="1:2">
      <c r="A8466" s="50">
        <v>45279</v>
      </c>
      <c r="B8466" s="49" t="s">
        <v>46</v>
      </c>
    </row>
    <row r="8467" spans="1:2">
      <c r="A8467" s="50">
        <v>45279</v>
      </c>
      <c r="B8467" s="49" t="s">
        <v>47</v>
      </c>
    </row>
    <row r="8468" spans="1:2">
      <c r="A8468" s="50">
        <v>45279</v>
      </c>
      <c r="B8468" s="49" t="s">
        <v>48</v>
      </c>
    </row>
    <row r="8469" spans="1:2">
      <c r="A8469" s="50">
        <v>45279</v>
      </c>
      <c r="B8469" s="49" t="s">
        <v>49</v>
      </c>
    </row>
    <row r="8470" spans="1:2">
      <c r="A8470" s="50">
        <v>45279</v>
      </c>
      <c r="B8470" s="49" t="s">
        <v>50</v>
      </c>
    </row>
    <row r="8471" spans="1:2">
      <c r="A8471" s="50">
        <v>45279</v>
      </c>
      <c r="B8471" s="49" t="s">
        <v>51</v>
      </c>
    </row>
    <row r="8472" spans="1:2">
      <c r="A8472" s="50">
        <v>45279</v>
      </c>
      <c r="B8472" s="49" t="s">
        <v>52</v>
      </c>
    </row>
    <row r="8473" spans="1:2">
      <c r="A8473" s="50">
        <v>45279</v>
      </c>
      <c r="B8473" s="49" t="s">
        <v>53</v>
      </c>
    </row>
    <row r="8474" spans="1:2">
      <c r="A8474" s="50">
        <v>45280</v>
      </c>
      <c r="B8474" s="49" t="s">
        <v>30</v>
      </c>
    </row>
    <row r="8475" spans="1:2">
      <c r="A8475" s="50">
        <v>45280</v>
      </c>
      <c r="B8475" s="49" t="s">
        <v>31</v>
      </c>
    </row>
    <row r="8476" spans="1:2">
      <c r="A8476" s="50">
        <v>45280</v>
      </c>
      <c r="B8476" s="49" t="s">
        <v>32</v>
      </c>
    </row>
    <row r="8477" spans="1:2">
      <c r="A8477" s="50">
        <v>45280</v>
      </c>
      <c r="B8477" s="49" t="s">
        <v>33</v>
      </c>
    </row>
    <row r="8478" spans="1:2">
      <c r="A8478" s="50">
        <v>45280</v>
      </c>
      <c r="B8478" s="49" t="s">
        <v>34</v>
      </c>
    </row>
    <row r="8479" spans="1:2">
      <c r="A8479" s="50">
        <v>45280</v>
      </c>
      <c r="B8479" s="49" t="s">
        <v>35</v>
      </c>
    </row>
    <row r="8480" spans="1:2">
      <c r="A8480" s="50">
        <v>45280</v>
      </c>
      <c r="B8480" s="49" t="s">
        <v>36</v>
      </c>
    </row>
    <row r="8481" spans="1:2">
      <c r="A8481" s="50">
        <v>45280</v>
      </c>
      <c r="B8481" s="49" t="s">
        <v>37</v>
      </c>
    </row>
    <row r="8482" spans="1:2">
      <c r="A8482" s="50">
        <v>45280</v>
      </c>
      <c r="B8482" s="49" t="s">
        <v>38</v>
      </c>
    </row>
    <row r="8483" spans="1:2">
      <c r="A8483" s="50">
        <v>45280</v>
      </c>
      <c r="B8483" s="49" t="s">
        <v>39</v>
      </c>
    </row>
    <row r="8484" spans="1:2">
      <c r="A8484" s="50">
        <v>45280</v>
      </c>
      <c r="B8484" s="49" t="s">
        <v>40</v>
      </c>
    </row>
    <row r="8485" spans="1:2">
      <c r="A8485" s="50">
        <v>45280</v>
      </c>
      <c r="B8485" s="49" t="s">
        <v>41</v>
      </c>
    </row>
    <row r="8486" spans="1:2">
      <c r="A8486" s="50">
        <v>45280</v>
      </c>
      <c r="B8486" s="49" t="s">
        <v>42</v>
      </c>
    </row>
    <row r="8487" spans="1:2">
      <c r="A8487" s="50">
        <v>45280</v>
      </c>
      <c r="B8487" s="49" t="s">
        <v>43</v>
      </c>
    </row>
    <row r="8488" spans="1:2">
      <c r="A8488" s="50">
        <v>45280</v>
      </c>
      <c r="B8488" s="49" t="s">
        <v>44</v>
      </c>
    </row>
    <row r="8489" spans="1:2">
      <c r="A8489" s="50">
        <v>45280</v>
      </c>
      <c r="B8489" s="49" t="s">
        <v>45</v>
      </c>
    </row>
    <row r="8490" spans="1:2">
      <c r="A8490" s="50">
        <v>45280</v>
      </c>
      <c r="B8490" s="49" t="s">
        <v>46</v>
      </c>
    </row>
    <row r="8491" spans="1:2">
      <c r="A8491" s="50">
        <v>45280</v>
      </c>
      <c r="B8491" s="49" t="s">
        <v>47</v>
      </c>
    </row>
    <row r="8492" spans="1:2">
      <c r="A8492" s="50">
        <v>45280</v>
      </c>
      <c r="B8492" s="49" t="s">
        <v>48</v>
      </c>
    </row>
    <row r="8493" spans="1:2">
      <c r="A8493" s="50">
        <v>45280</v>
      </c>
      <c r="B8493" s="49" t="s">
        <v>49</v>
      </c>
    </row>
    <row r="8494" spans="1:2">
      <c r="A8494" s="50">
        <v>45280</v>
      </c>
      <c r="B8494" s="49" t="s">
        <v>50</v>
      </c>
    </row>
    <row r="8495" spans="1:2">
      <c r="A8495" s="50">
        <v>45280</v>
      </c>
      <c r="B8495" s="49" t="s">
        <v>51</v>
      </c>
    </row>
    <row r="8496" spans="1:2">
      <c r="A8496" s="50">
        <v>45280</v>
      </c>
      <c r="B8496" s="49" t="s">
        <v>52</v>
      </c>
    </row>
    <row r="8497" spans="1:2">
      <c r="A8497" s="50">
        <v>45280</v>
      </c>
      <c r="B8497" s="49" t="s">
        <v>53</v>
      </c>
    </row>
    <row r="8498" spans="1:2">
      <c r="A8498" s="50">
        <v>45281</v>
      </c>
      <c r="B8498" s="49" t="s">
        <v>30</v>
      </c>
    </row>
    <row r="8499" spans="1:2">
      <c r="A8499" s="50">
        <v>45281</v>
      </c>
      <c r="B8499" s="49" t="s">
        <v>31</v>
      </c>
    </row>
    <row r="8500" spans="1:2">
      <c r="A8500" s="50">
        <v>45281</v>
      </c>
      <c r="B8500" s="49" t="s">
        <v>32</v>
      </c>
    </row>
    <row r="8501" spans="1:2">
      <c r="A8501" s="50">
        <v>45281</v>
      </c>
      <c r="B8501" s="49" t="s">
        <v>33</v>
      </c>
    </row>
    <row r="8502" spans="1:2">
      <c r="A8502" s="50">
        <v>45281</v>
      </c>
      <c r="B8502" s="49" t="s">
        <v>34</v>
      </c>
    </row>
    <row r="8503" spans="1:2">
      <c r="A8503" s="50">
        <v>45281</v>
      </c>
      <c r="B8503" s="49" t="s">
        <v>35</v>
      </c>
    </row>
    <row r="8504" spans="1:2">
      <c r="A8504" s="50">
        <v>45281</v>
      </c>
      <c r="B8504" s="49" t="s">
        <v>36</v>
      </c>
    </row>
    <row r="8505" spans="1:2">
      <c r="A8505" s="50">
        <v>45281</v>
      </c>
      <c r="B8505" s="49" t="s">
        <v>37</v>
      </c>
    </row>
    <row r="8506" spans="1:2">
      <c r="A8506" s="50">
        <v>45281</v>
      </c>
      <c r="B8506" s="49" t="s">
        <v>38</v>
      </c>
    </row>
    <row r="8507" spans="1:2">
      <c r="A8507" s="50">
        <v>45281</v>
      </c>
      <c r="B8507" s="49" t="s">
        <v>39</v>
      </c>
    </row>
    <row r="8508" spans="1:2">
      <c r="A8508" s="50">
        <v>45281</v>
      </c>
      <c r="B8508" s="49" t="s">
        <v>40</v>
      </c>
    </row>
    <row r="8509" spans="1:2">
      <c r="A8509" s="50">
        <v>45281</v>
      </c>
      <c r="B8509" s="49" t="s">
        <v>41</v>
      </c>
    </row>
    <row r="8510" spans="1:2">
      <c r="A8510" s="50">
        <v>45281</v>
      </c>
      <c r="B8510" s="49" t="s">
        <v>42</v>
      </c>
    </row>
    <row r="8511" spans="1:2">
      <c r="A8511" s="50">
        <v>45281</v>
      </c>
      <c r="B8511" s="49" t="s">
        <v>43</v>
      </c>
    </row>
    <row r="8512" spans="1:2">
      <c r="A8512" s="50">
        <v>45281</v>
      </c>
      <c r="B8512" s="49" t="s">
        <v>44</v>
      </c>
    </row>
    <row r="8513" spans="1:2">
      <c r="A8513" s="50">
        <v>45281</v>
      </c>
      <c r="B8513" s="49" t="s">
        <v>45</v>
      </c>
    </row>
    <row r="8514" spans="1:2">
      <c r="A8514" s="50">
        <v>45281</v>
      </c>
      <c r="B8514" s="49" t="s">
        <v>46</v>
      </c>
    </row>
    <row r="8515" spans="1:2">
      <c r="A8515" s="50">
        <v>45281</v>
      </c>
      <c r="B8515" s="49" t="s">
        <v>47</v>
      </c>
    </row>
    <row r="8516" spans="1:2">
      <c r="A8516" s="50">
        <v>45281</v>
      </c>
      <c r="B8516" s="49" t="s">
        <v>48</v>
      </c>
    </row>
    <row r="8517" spans="1:2">
      <c r="A8517" s="50">
        <v>45281</v>
      </c>
      <c r="B8517" s="49" t="s">
        <v>49</v>
      </c>
    </row>
    <row r="8518" spans="1:2">
      <c r="A8518" s="50">
        <v>45281</v>
      </c>
      <c r="B8518" s="49" t="s">
        <v>50</v>
      </c>
    </row>
    <row r="8519" spans="1:2">
      <c r="A8519" s="50">
        <v>45281</v>
      </c>
      <c r="B8519" s="49" t="s">
        <v>51</v>
      </c>
    </row>
    <row r="8520" spans="1:2">
      <c r="A8520" s="50">
        <v>45281</v>
      </c>
      <c r="B8520" s="49" t="s">
        <v>52</v>
      </c>
    </row>
    <row r="8521" spans="1:2">
      <c r="A8521" s="50">
        <v>45281</v>
      </c>
      <c r="B8521" s="49" t="s">
        <v>53</v>
      </c>
    </row>
    <row r="8522" spans="1:2">
      <c r="A8522" s="50">
        <v>45282</v>
      </c>
      <c r="B8522" s="49" t="s">
        <v>30</v>
      </c>
    </row>
    <row r="8523" spans="1:2">
      <c r="A8523" s="50">
        <v>45282</v>
      </c>
      <c r="B8523" s="49" t="s">
        <v>31</v>
      </c>
    </row>
    <row r="8524" spans="1:2">
      <c r="A8524" s="50">
        <v>45282</v>
      </c>
      <c r="B8524" s="49" t="s">
        <v>32</v>
      </c>
    </row>
    <row r="8525" spans="1:2">
      <c r="A8525" s="50">
        <v>45282</v>
      </c>
      <c r="B8525" s="49" t="s">
        <v>33</v>
      </c>
    </row>
    <row r="8526" spans="1:2">
      <c r="A8526" s="50">
        <v>45282</v>
      </c>
      <c r="B8526" s="49" t="s">
        <v>34</v>
      </c>
    </row>
    <row r="8527" spans="1:2">
      <c r="A8527" s="50">
        <v>45282</v>
      </c>
      <c r="B8527" s="49" t="s">
        <v>35</v>
      </c>
    </row>
    <row r="8528" spans="1:2">
      <c r="A8528" s="50">
        <v>45282</v>
      </c>
      <c r="B8528" s="49" t="s">
        <v>36</v>
      </c>
    </row>
    <row r="8529" spans="1:2">
      <c r="A8529" s="50">
        <v>45282</v>
      </c>
      <c r="B8529" s="49" t="s">
        <v>37</v>
      </c>
    </row>
    <row r="8530" spans="1:2">
      <c r="A8530" s="50">
        <v>45282</v>
      </c>
      <c r="B8530" s="49" t="s">
        <v>38</v>
      </c>
    </row>
    <row r="8531" spans="1:2">
      <c r="A8531" s="50">
        <v>45282</v>
      </c>
      <c r="B8531" s="49" t="s">
        <v>39</v>
      </c>
    </row>
    <row r="8532" spans="1:2">
      <c r="A8532" s="50">
        <v>45282</v>
      </c>
      <c r="B8532" s="49" t="s">
        <v>40</v>
      </c>
    </row>
    <row r="8533" spans="1:2">
      <c r="A8533" s="50">
        <v>45282</v>
      </c>
      <c r="B8533" s="49" t="s">
        <v>41</v>
      </c>
    </row>
    <row r="8534" spans="1:2">
      <c r="A8534" s="50">
        <v>45282</v>
      </c>
      <c r="B8534" s="49" t="s">
        <v>42</v>
      </c>
    </row>
    <row r="8535" spans="1:2">
      <c r="A8535" s="50">
        <v>45282</v>
      </c>
      <c r="B8535" s="49" t="s">
        <v>43</v>
      </c>
    </row>
    <row r="8536" spans="1:2">
      <c r="A8536" s="50">
        <v>45282</v>
      </c>
      <c r="B8536" s="49" t="s">
        <v>44</v>
      </c>
    </row>
    <row r="8537" spans="1:2">
      <c r="A8537" s="50">
        <v>45282</v>
      </c>
      <c r="B8537" s="49" t="s">
        <v>45</v>
      </c>
    </row>
    <row r="8538" spans="1:2">
      <c r="A8538" s="50">
        <v>45282</v>
      </c>
      <c r="B8538" s="49" t="s">
        <v>46</v>
      </c>
    </row>
    <row r="8539" spans="1:2">
      <c r="A8539" s="50">
        <v>45282</v>
      </c>
      <c r="B8539" s="49" t="s">
        <v>47</v>
      </c>
    </row>
    <row r="8540" spans="1:2">
      <c r="A8540" s="50">
        <v>45282</v>
      </c>
      <c r="B8540" s="49" t="s">
        <v>48</v>
      </c>
    </row>
    <row r="8541" spans="1:2">
      <c r="A8541" s="50">
        <v>45282</v>
      </c>
      <c r="B8541" s="49" t="s">
        <v>49</v>
      </c>
    </row>
    <row r="8542" spans="1:2">
      <c r="A8542" s="50">
        <v>45282</v>
      </c>
      <c r="B8542" s="49" t="s">
        <v>50</v>
      </c>
    </row>
    <row r="8543" spans="1:2">
      <c r="A8543" s="50">
        <v>45282</v>
      </c>
      <c r="B8543" s="49" t="s">
        <v>51</v>
      </c>
    </row>
    <row r="8544" spans="1:2">
      <c r="A8544" s="50">
        <v>45282</v>
      </c>
      <c r="B8544" s="49" t="s">
        <v>52</v>
      </c>
    </row>
    <row r="8545" spans="1:2">
      <c r="A8545" s="50">
        <v>45282</v>
      </c>
      <c r="B8545" s="49" t="s">
        <v>53</v>
      </c>
    </row>
    <row r="8546" spans="1:2">
      <c r="A8546" s="50">
        <v>45283</v>
      </c>
      <c r="B8546" s="49" t="s">
        <v>30</v>
      </c>
    </row>
    <row r="8547" spans="1:2">
      <c r="A8547" s="50">
        <v>45283</v>
      </c>
      <c r="B8547" s="49" t="s">
        <v>31</v>
      </c>
    </row>
    <row r="8548" spans="1:2">
      <c r="A8548" s="50">
        <v>45283</v>
      </c>
      <c r="B8548" s="49" t="s">
        <v>32</v>
      </c>
    </row>
    <row r="8549" spans="1:2">
      <c r="A8549" s="50">
        <v>45283</v>
      </c>
      <c r="B8549" s="49" t="s">
        <v>33</v>
      </c>
    </row>
    <row r="8550" spans="1:2">
      <c r="A8550" s="50">
        <v>45283</v>
      </c>
      <c r="B8550" s="49" t="s">
        <v>34</v>
      </c>
    </row>
    <row r="8551" spans="1:2">
      <c r="A8551" s="50">
        <v>45283</v>
      </c>
      <c r="B8551" s="49" t="s">
        <v>35</v>
      </c>
    </row>
    <row r="8552" spans="1:2">
      <c r="A8552" s="50">
        <v>45283</v>
      </c>
      <c r="B8552" s="49" t="s">
        <v>36</v>
      </c>
    </row>
    <row r="8553" spans="1:2">
      <c r="A8553" s="50">
        <v>45283</v>
      </c>
      <c r="B8553" s="49" t="s">
        <v>37</v>
      </c>
    </row>
    <row r="8554" spans="1:2">
      <c r="A8554" s="50">
        <v>45283</v>
      </c>
      <c r="B8554" s="49" t="s">
        <v>38</v>
      </c>
    </row>
    <row r="8555" spans="1:2">
      <c r="A8555" s="50">
        <v>45283</v>
      </c>
      <c r="B8555" s="49" t="s">
        <v>39</v>
      </c>
    </row>
    <row r="8556" spans="1:2">
      <c r="A8556" s="50">
        <v>45283</v>
      </c>
      <c r="B8556" s="49" t="s">
        <v>40</v>
      </c>
    </row>
    <row r="8557" spans="1:2">
      <c r="A8557" s="50">
        <v>45283</v>
      </c>
      <c r="B8557" s="49" t="s">
        <v>41</v>
      </c>
    </row>
    <row r="8558" spans="1:2">
      <c r="A8558" s="50">
        <v>45283</v>
      </c>
      <c r="B8558" s="49" t="s">
        <v>42</v>
      </c>
    </row>
    <row r="8559" spans="1:2">
      <c r="A8559" s="50">
        <v>45283</v>
      </c>
      <c r="B8559" s="49" t="s">
        <v>43</v>
      </c>
    </row>
    <row r="8560" spans="1:2">
      <c r="A8560" s="50">
        <v>45283</v>
      </c>
      <c r="B8560" s="49" t="s">
        <v>44</v>
      </c>
    </row>
    <row r="8561" spans="1:2">
      <c r="A8561" s="50">
        <v>45283</v>
      </c>
      <c r="B8561" s="49" t="s">
        <v>45</v>
      </c>
    </row>
    <row r="8562" spans="1:2">
      <c r="A8562" s="50">
        <v>45283</v>
      </c>
      <c r="B8562" s="49" t="s">
        <v>46</v>
      </c>
    </row>
    <row r="8563" spans="1:2">
      <c r="A8563" s="50">
        <v>45283</v>
      </c>
      <c r="B8563" s="49" t="s">
        <v>47</v>
      </c>
    </row>
    <row r="8564" spans="1:2">
      <c r="A8564" s="50">
        <v>45283</v>
      </c>
      <c r="B8564" s="49" t="s">
        <v>48</v>
      </c>
    </row>
    <row r="8565" spans="1:2">
      <c r="A8565" s="50">
        <v>45283</v>
      </c>
      <c r="B8565" s="49" t="s">
        <v>49</v>
      </c>
    </row>
    <row r="8566" spans="1:2">
      <c r="A8566" s="50">
        <v>45283</v>
      </c>
      <c r="B8566" s="49" t="s">
        <v>50</v>
      </c>
    </row>
    <row r="8567" spans="1:2">
      <c r="A8567" s="50">
        <v>45283</v>
      </c>
      <c r="B8567" s="49" t="s">
        <v>51</v>
      </c>
    </row>
    <row r="8568" spans="1:2">
      <c r="A8568" s="50">
        <v>45283</v>
      </c>
      <c r="B8568" s="49" t="s">
        <v>52</v>
      </c>
    </row>
    <row r="8569" spans="1:2">
      <c r="A8569" s="50">
        <v>45283</v>
      </c>
      <c r="B8569" s="49" t="s">
        <v>53</v>
      </c>
    </row>
    <row r="8570" spans="1:2">
      <c r="A8570" s="50">
        <v>45284</v>
      </c>
      <c r="B8570" s="49" t="s">
        <v>30</v>
      </c>
    </row>
    <row r="8571" spans="1:2">
      <c r="A8571" s="50">
        <v>45284</v>
      </c>
      <c r="B8571" s="49" t="s">
        <v>31</v>
      </c>
    </row>
    <row r="8572" spans="1:2">
      <c r="A8572" s="50">
        <v>45284</v>
      </c>
      <c r="B8572" s="49" t="s">
        <v>32</v>
      </c>
    </row>
    <row r="8573" spans="1:2">
      <c r="A8573" s="50">
        <v>45284</v>
      </c>
      <c r="B8573" s="49" t="s">
        <v>33</v>
      </c>
    </row>
    <row r="8574" spans="1:2">
      <c r="A8574" s="50">
        <v>45284</v>
      </c>
      <c r="B8574" s="49" t="s">
        <v>34</v>
      </c>
    </row>
    <row r="8575" spans="1:2">
      <c r="A8575" s="50">
        <v>45284</v>
      </c>
      <c r="B8575" s="49" t="s">
        <v>35</v>
      </c>
    </row>
    <row r="8576" spans="1:2">
      <c r="A8576" s="50">
        <v>45284</v>
      </c>
      <c r="B8576" s="49" t="s">
        <v>36</v>
      </c>
    </row>
    <row r="8577" spans="1:2">
      <c r="A8577" s="50">
        <v>45284</v>
      </c>
      <c r="B8577" s="49" t="s">
        <v>37</v>
      </c>
    </row>
    <row r="8578" spans="1:2">
      <c r="A8578" s="50">
        <v>45284</v>
      </c>
      <c r="B8578" s="49" t="s">
        <v>38</v>
      </c>
    </row>
    <row r="8579" spans="1:2">
      <c r="A8579" s="50">
        <v>45284</v>
      </c>
      <c r="B8579" s="49" t="s">
        <v>39</v>
      </c>
    </row>
    <row r="8580" spans="1:2">
      <c r="A8580" s="50">
        <v>45284</v>
      </c>
      <c r="B8580" s="49" t="s">
        <v>40</v>
      </c>
    </row>
    <row r="8581" spans="1:2">
      <c r="A8581" s="50">
        <v>45284</v>
      </c>
      <c r="B8581" s="49" t="s">
        <v>41</v>
      </c>
    </row>
    <row r="8582" spans="1:2">
      <c r="A8582" s="50">
        <v>45284</v>
      </c>
      <c r="B8582" s="49" t="s">
        <v>42</v>
      </c>
    </row>
    <row r="8583" spans="1:2">
      <c r="A8583" s="50">
        <v>45284</v>
      </c>
      <c r="B8583" s="49" t="s">
        <v>43</v>
      </c>
    </row>
    <row r="8584" spans="1:2">
      <c r="A8584" s="50">
        <v>45284</v>
      </c>
      <c r="B8584" s="49" t="s">
        <v>44</v>
      </c>
    </row>
    <row r="8585" spans="1:2">
      <c r="A8585" s="50">
        <v>45284</v>
      </c>
      <c r="B8585" s="49" t="s">
        <v>45</v>
      </c>
    </row>
    <row r="8586" spans="1:2">
      <c r="A8586" s="50">
        <v>45284</v>
      </c>
      <c r="B8586" s="49" t="s">
        <v>46</v>
      </c>
    </row>
    <row r="8587" spans="1:2">
      <c r="A8587" s="50">
        <v>45284</v>
      </c>
      <c r="B8587" s="49" t="s">
        <v>47</v>
      </c>
    </row>
    <row r="8588" spans="1:2">
      <c r="A8588" s="50">
        <v>45284</v>
      </c>
      <c r="B8588" s="49" t="s">
        <v>48</v>
      </c>
    </row>
    <row r="8589" spans="1:2">
      <c r="A8589" s="50">
        <v>45284</v>
      </c>
      <c r="B8589" s="49" t="s">
        <v>49</v>
      </c>
    </row>
    <row r="8590" spans="1:2">
      <c r="A8590" s="50">
        <v>45284</v>
      </c>
      <c r="B8590" s="49" t="s">
        <v>50</v>
      </c>
    </row>
    <row r="8591" spans="1:2">
      <c r="A8591" s="50">
        <v>45284</v>
      </c>
      <c r="B8591" s="49" t="s">
        <v>51</v>
      </c>
    </row>
    <row r="8592" spans="1:2">
      <c r="A8592" s="50">
        <v>45284</v>
      </c>
      <c r="B8592" s="49" t="s">
        <v>52</v>
      </c>
    </row>
    <row r="8593" spans="1:2">
      <c r="A8593" s="50">
        <v>45284</v>
      </c>
      <c r="B8593" s="49" t="s">
        <v>53</v>
      </c>
    </row>
    <row r="8594" spans="1:2">
      <c r="A8594" s="50">
        <v>45285</v>
      </c>
      <c r="B8594" s="49" t="s">
        <v>30</v>
      </c>
    </row>
    <row r="8595" spans="1:2">
      <c r="A8595" s="50">
        <v>45285</v>
      </c>
      <c r="B8595" s="49" t="s">
        <v>31</v>
      </c>
    </row>
    <row r="8596" spans="1:2">
      <c r="A8596" s="50">
        <v>45285</v>
      </c>
      <c r="B8596" s="49" t="s">
        <v>32</v>
      </c>
    </row>
    <row r="8597" spans="1:2">
      <c r="A8597" s="50">
        <v>45285</v>
      </c>
      <c r="B8597" s="49" t="s">
        <v>33</v>
      </c>
    </row>
    <row r="8598" spans="1:2">
      <c r="A8598" s="50">
        <v>45285</v>
      </c>
      <c r="B8598" s="49" t="s">
        <v>34</v>
      </c>
    </row>
    <row r="8599" spans="1:2">
      <c r="A8599" s="50">
        <v>45285</v>
      </c>
      <c r="B8599" s="49" t="s">
        <v>35</v>
      </c>
    </row>
    <row r="8600" spans="1:2">
      <c r="A8600" s="50">
        <v>45285</v>
      </c>
      <c r="B8600" s="49" t="s">
        <v>36</v>
      </c>
    </row>
    <row r="8601" spans="1:2">
      <c r="A8601" s="50">
        <v>45285</v>
      </c>
      <c r="B8601" s="49" t="s">
        <v>37</v>
      </c>
    </row>
    <row r="8602" spans="1:2">
      <c r="A8602" s="50">
        <v>45285</v>
      </c>
      <c r="B8602" s="49" t="s">
        <v>38</v>
      </c>
    </row>
    <row r="8603" spans="1:2">
      <c r="A8603" s="50">
        <v>45285</v>
      </c>
      <c r="B8603" s="49" t="s">
        <v>39</v>
      </c>
    </row>
    <row r="8604" spans="1:2">
      <c r="A8604" s="50">
        <v>45285</v>
      </c>
      <c r="B8604" s="49" t="s">
        <v>40</v>
      </c>
    </row>
    <row r="8605" spans="1:2">
      <c r="A8605" s="50">
        <v>45285</v>
      </c>
      <c r="B8605" s="49" t="s">
        <v>41</v>
      </c>
    </row>
    <row r="8606" spans="1:2">
      <c r="A8606" s="50">
        <v>45285</v>
      </c>
      <c r="B8606" s="49" t="s">
        <v>42</v>
      </c>
    </row>
    <row r="8607" spans="1:2">
      <c r="A8607" s="50">
        <v>45285</v>
      </c>
      <c r="B8607" s="49" t="s">
        <v>43</v>
      </c>
    </row>
    <row r="8608" spans="1:2">
      <c r="A8608" s="50">
        <v>45285</v>
      </c>
      <c r="B8608" s="49" t="s">
        <v>44</v>
      </c>
    </row>
    <row r="8609" spans="1:2">
      <c r="A8609" s="50">
        <v>45285</v>
      </c>
      <c r="B8609" s="49" t="s">
        <v>45</v>
      </c>
    </row>
    <row r="8610" spans="1:2">
      <c r="A8610" s="50">
        <v>45285</v>
      </c>
      <c r="B8610" s="49" t="s">
        <v>46</v>
      </c>
    </row>
    <row r="8611" spans="1:2">
      <c r="A8611" s="50">
        <v>45285</v>
      </c>
      <c r="B8611" s="49" t="s">
        <v>47</v>
      </c>
    </row>
    <row r="8612" spans="1:2">
      <c r="A8612" s="50">
        <v>45285</v>
      </c>
      <c r="B8612" s="49" t="s">
        <v>48</v>
      </c>
    </row>
    <row r="8613" spans="1:2">
      <c r="A8613" s="50">
        <v>45285</v>
      </c>
      <c r="B8613" s="49" t="s">
        <v>49</v>
      </c>
    </row>
    <row r="8614" spans="1:2">
      <c r="A8614" s="50">
        <v>45285</v>
      </c>
      <c r="B8614" s="49" t="s">
        <v>50</v>
      </c>
    </row>
    <row r="8615" spans="1:2">
      <c r="A8615" s="50">
        <v>45285</v>
      </c>
      <c r="B8615" s="49" t="s">
        <v>51</v>
      </c>
    </row>
    <row r="8616" spans="1:2">
      <c r="A8616" s="50">
        <v>45285</v>
      </c>
      <c r="B8616" s="49" t="s">
        <v>52</v>
      </c>
    </row>
    <row r="8617" spans="1:2">
      <c r="A8617" s="50">
        <v>45285</v>
      </c>
      <c r="B8617" s="49" t="s">
        <v>53</v>
      </c>
    </row>
    <row r="8618" spans="1:2">
      <c r="A8618" s="50">
        <v>45286</v>
      </c>
      <c r="B8618" s="49" t="s">
        <v>30</v>
      </c>
    </row>
    <row r="8619" spans="1:2">
      <c r="A8619" s="50">
        <v>45286</v>
      </c>
      <c r="B8619" s="49" t="s">
        <v>31</v>
      </c>
    </row>
    <row r="8620" spans="1:2">
      <c r="A8620" s="50">
        <v>45286</v>
      </c>
      <c r="B8620" s="49" t="s">
        <v>32</v>
      </c>
    </row>
    <row r="8621" spans="1:2">
      <c r="A8621" s="50">
        <v>45286</v>
      </c>
      <c r="B8621" s="49" t="s">
        <v>33</v>
      </c>
    </row>
    <row r="8622" spans="1:2">
      <c r="A8622" s="50">
        <v>45286</v>
      </c>
      <c r="B8622" s="49" t="s">
        <v>34</v>
      </c>
    </row>
    <row r="8623" spans="1:2">
      <c r="A8623" s="50">
        <v>45286</v>
      </c>
      <c r="B8623" s="49" t="s">
        <v>35</v>
      </c>
    </row>
    <row r="8624" spans="1:2">
      <c r="A8624" s="50">
        <v>45286</v>
      </c>
      <c r="B8624" s="49" t="s">
        <v>36</v>
      </c>
    </row>
    <row r="8625" spans="1:2">
      <c r="A8625" s="50">
        <v>45286</v>
      </c>
      <c r="B8625" s="49" t="s">
        <v>37</v>
      </c>
    </row>
    <row r="8626" spans="1:2">
      <c r="A8626" s="50">
        <v>45286</v>
      </c>
      <c r="B8626" s="49" t="s">
        <v>38</v>
      </c>
    </row>
    <row r="8627" spans="1:2">
      <c r="A8627" s="50">
        <v>45286</v>
      </c>
      <c r="B8627" s="49" t="s">
        <v>39</v>
      </c>
    </row>
    <row r="8628" spans="1:2">
      <c r="A8628" s="50">
        <v>45286</v>
      </c>
      <c r="B8628" s="49" t="s">
        <v>40</v>
      </c>
    </row>
    <row r="8629" spans="1:2">
      <c r="A8629" s="50">
        <v>45286</v>
      </c>
      <c r="B8629" s="49" t="s">
        <v>41</v>
      </c>
    </row>
    <row r="8630" spans="1:2">
      <c r="A8630" s="50">
        <v>45286</v>
      </c>
      <c r="B8630" s="49" t="s">
        <v>42</v>
      </c>
    </row>
    <row r="8631" spans="1:2">
      <c r="A8631" s="50">
        <v>45286</v>
      </c>
      <c r="B8631" s="49" t="s">
        <v>43</v>
      </c>
    </row>
    <row r="8632" spans="1:2">
      <c r="A8632" s="50">
        <v>45286</v>
      </c>
      <c r="B8632" s="49" t="s">
        <v>44</v>
      </c>
    </row>
    <row r="8633" spans="1:2">
      <c r="A8633" s="50">
        <v>45286</v>
      </c>
      <c r="B8633" s="49" t="s">
        <v>45</v>
      </c>
    </row>
    <row r="8634" spans="1:2">
      <c r="A8634" s="50">
        <v>45286</v>
      </c>
      <c r="B8634" s="49" t="s">
        <v>46</v>
      </c>
    </row>
    <row r="8635" spans="1:2">
      <c r="A8635" s="50">
        <v>45286</v>
      </c>
      <c r="B8635" s="49" t="s">
        <v>47</v>
      </c>
    </row>
    <row r="8636" spans="1:2">
      <c r="A8636" s="50">
        <v>45286</v>
      </c>
      <c r="B8636" s="49" t="s">
        <v>48</v>
      </c>
    </row>
    <row r="8637" spans="1:2">
      <c r="A8637" s="50">
        <v>45286</v>
      </c>
      <c r="B8637" s="49" t="s">
        <v>49</v>
      </c>
    </row>
    <row r="8638" spans="1:2">
      <c r="A8638" s="50">
        <v>45286</v>
      </c>
      <c r="B8638" s="49" t="s">
        <v>50</v>
      </c>
    </row>
    <row r="8639" spans="1:2">
      <c r="A8639" s="50">
        <v>45286</v>
      </c>
      <c r="B8639" s="49" t="s">
        <v>51</v>
      </c>
    </row>
    <row r="8640" spans="1:2">
      <c r="A8640" s="50">
        <v>45286</v>
      </c>
      <c r="B8640" s="49" t="s">
        <v>52</v>
      </c>
    </row>
    <row r="8641" spans="1:2">
      <c r="A8641" s="50">
        <v>45286</v>
      </c>
      <c r="B8641" s="49" t="s">
        <v>53</v>
      </c>
    </row>
    <row r="8642" spans="1:2">
      <c r="A8642" s="50">
        <v>45287</v>
      </c>
      <c r="B8642" s="49" t="s">
        <v>30</v>
      </c>
    </row>
    <row r="8643" spans="1:2">
      <c r="A8643" s="50">
        <v>45287</v>
      </c>
      <c r="B8643" s="49" t="s">
        <v>31</v>
      </c>
    </row>
    <row r="8644" spans="1:2">
      <c r="A8644" s="50">
        <v>45287</v>
      </c>
      <c r="B8644" s="49" t="s">
        <v>32</v>
      </c>
    </row>
    <row r="8645" spans="1:2">
      <c r="A8645" s="50">
        <v>45287</v>
      </c>
      <c r="B8645" s="49" t="s">
        <v>33</v>
      </c>
    </row>
    <row r="8646" spans="1:2">
      <c r="A8646" s="50">
        <v>45287</v>
      </c>
      <c r="B8646" s="49" t="s">
        <v>34</v>
      </c>
    </row>
    <row r="8647" spans="1:2">
      <c r="A8647" s="50">
        <v>45287</v>
      </c>
      <c r="B8647" s="49" t="s">
        <v>35</v>
      </c>
    </row>
    <row r="8648" spans="1:2">
      <c r="A8648" s="50">
        <v>45287</v>
      </c>
      <c r="B8648" s="49" t="s">
        <v>36</v>
      </c>
    </row>
    <row r="8649" spans="1:2">
      <c r="A8649" s="50">
        <v>45287</v>
      </c>
      <c r="B8649" s="49" t="s">
        <v>37</v>
      </c>
    </row>
    <row r="8650" spans="1:2">
      <c r="A8650" s="50">
        <v>45287</v>
      </c>
      <c r="B8650" s="49" t="s">
        <v>38</v>
      </c>
    </row>
    <row r="8651" spans="1:2">
      <c r="A8651" s="50">
        <v>45287</v>
      </c>
      <c r="B8651" s="49" t="s">
        <v>39</v>
      </c>
    </row>
    <row r="8652" spans="1:2">
      <c r="A8652" s="50">
        <v>45287</v>
      </c>
      <c r="B8652" s="49" t="s">
        <v>40</v>
      </c>
    </row>
    <row r="8653" spans="1:2">
      <c r="A8653" s="50">
        <v>45287</v>
      </c>
      <c r="B8653" s="49" t="s">
        <v>41</v>
      </c>
    </row>
    <row r="8654" spans="1:2">
      <c r="A8654" s="50">
        <v>45287</v>
      </c>
      <c r="B8654" s="49" t="s">
        <v>42</v>
      </c>
    </row>
    <row r="8655" spans="1:2">
      <c r="A8655" s="50">
        <v>45287</v>
      </c>
      <c r="B8655" s="49" t="s">
        <v>43</v>
      </c>
    </row>
    <row r="8656" spans="1:2">
      <c r="A8656" s="50">
        <v>45287</v>
      </c>
      <c r="B8656" s="49" t="s">
        <v>44</v>
      </c>
    </row>
    <row r="8657" spans="1:2">
      <c r="A8657" s="50">
        <v>45287</v>
      </c>
      <c r="B8657" s="49" t="s">
        <v>45</v>
      </c>
    </row>
    <row r="8658" spans="1:2">
      <c r="A8658" s="50">
        <v>45287</v>
      </c>
      <c r="B8658" s="49" t="s">
        <v>46</v>
      </c>
    </row>
    <row r="8659" spans="1:2">
      <c r="A8659" s="50">
        <v>45287</v>
      </c>
      <c r="B8659" s="49" t="s">
        <v>47</v>
      </c>
    </row>
    <row r="8660" spans="1:2">
      <c r="A8660" s="50">
        <v>45287</v>
      </c>
      <c r="B8660" s="49" t="s">
        <v>48</v>
      </c>
    </row>
    <row r="8661" spans="1:2">
      <c r="A8661" s="50">
        <v>45287</v>
      </c>
      <c r="B8661" s="49" t="s">
        <v>49</v>
      </c>
    </row>
    <row r="8662" spans="1:2">
      <c r="A8662" s="50">
        <v>45287</v>
      </c>
      <c r="B8662" s="49" t="s">
        <v>50</v>
      </c>
    </row>
    <row r="8663" spans="1:2">
      <c r="A8663" s="50">
        <v>45287</v>
      </c>
      <c r="B8663" s="49" t="s">
        <v>51</v>
      </c>
    </row>
    <row r="8664" spans="1:2">
      <c r="A8664" s="50">
        <v>45287</v>
      </c>
      <c r="B8664" s="49" t="s">
        <v>52</v>
      </c>
    </row>
    <row r="8665" spans="1:2">
      <c r="A8665" s="50">
        <v>45287</v>
      </c>
      <c r="B8665" s="49" t="s">
        <v>53</v>
      </c>
    </row>
    <row r="8666" spans="1:2">
      <c r="A8666" s="50">
        <v>45288</v>
      </c>
      <c r="B8666" s="49" t="s">
        <v>30</v>
      </c>
    </row>
    <row r="8667" spans="1:2">
      <c r="A8667" s="50">
        <v>45288</v>
      </c>
      <c r="B8667" s="49" t="s">
        <v>31</v>
      </c>
    </row>
    <row r="8668" spans="1:2">
      <c r="A8668" s="50">
        <v>45288</v>
      </c>
      <c r="B8668" s="49" t="s">
        <v>32</v>
      </c>
    </row>
    <row r="8669" spans="1:2">
      <c r="A8669" s="50">
        <v>45288</v>
      </c>
      <c r="B8669" s="49" t="s">
        <v>33</v>
      </c>
    </row>
    <row r="8670" spans="1:2">
      <c r="A8670" s="50">
        <v>45288</v>
      </c>
      <c r="B8670" s="49" t="s">
        <v>34</v>
      </c>
    </row>
    <row r="8671" spans="1:2">
      <c r="A8671" s="50">
        <v>45288</v>
      </c>
      <c r="B8671" s="49" t="s">
        <v>35</v>
      </c>
    </row>
    <row r="8672" spans="1:2">
      <c r="A8672" s="50">
        <v>45288</v>
      </c>
      <c r="B8672" s="49" t="s">
        <v>36</v>
      </c>
    </row>
    <row r="8673" spans="1:2">
      <c r="A8673" s="50">
        <v>45288</v>
      </c>
      <c r="B8673" s="49" t="s">
        <v>37</v>
      </c>
    </row>
    <row r="8674" spans="1:2">
      <c r="A8674" s="50">
        <v>45288</v>
      </c>
      <c r="B8674" s="49" t="s">
        <v>38</v>
      </c>
    </row>
    <row r="8675" spans="1:2">
      <c r="A8675" s="50">
        <v>45288</v>
      </c>
      <c r="B8675" s="49" t="s">
        <v>39</v>
      </c>
    </row>
    <row r="8676" spans="1:2">
      <c r="A8676" s="50">
        <v>45288</v>
      </c>
      <c r="B8676" s="49" t="s">
        <v>40</v>
      </c>
    </row>
    <row r="8677" spans="1:2">
      <c r="A8677" s="50">
        <v>45288</v>
      </c>
      <c r="B8677" s="49" t="s">
        <v>41</v>
      </c>
    </row>
    <row r="8678" spans="1:2">
      <c r="A8678" s="50">
        <v>45288</v>
      </c>
      <c r="B8678" s="49" t="s">
        <v>42</v>
      </c>
    </row>
    <row r="8679" spans="1:2">
      <c r="A8679" s="50">
        <v>45288</v>
      </c>
      <c r="B8679" s="49" t="s">
        <v>43</v>
      </c>
    </row>
    <row r="8680" spans="1:2">
      <c r="A8680" s="50">
        <v>45288</v>
      </c>
      <c r="B8680" s="49" t="s">
        <v>44</v>
      </c>
    </row>
    <row r="8681" spans="1:2">
      <c r="A8681" s="50">
        <v>45288</v>
      </c>
      <c r="B8681" s="49" t="s">
        <v>45</v>
      </c>
    </row>
    <row r="8682" spans="1:2">
      <c r="A8682" s="50">
        <v>45288</v>
      </c>
      <c r="B8682" s="49" t="s">
        <v>46</v>
      </c>
    </row>
    <row r="8683" spans="1:2">
      <c r="A8683" s="50">
        <v>45288</v>
      </c>
      <c r="B8683" s="49" t="s">
        <v>47</v>
      </c>
    </row>
    <row r="8684" spans="1:2">
      <c r="A8684" s="50">
        <v>45288</v>
      </c>
      <c r="B8684" s="49" t="s">
        <v>48</v>
      </c>
    </row>
    <row r="8685" spans="1:2">
      <c r="A8685" s="50">
        <v>45288</v>
      </c>
      <c r="B8685" s="49" t="s">
        <v>49</v>
      </c>
    </row>
    <row r="8686" spans="1:2">
      <c r="A8686" s="50">
        <v>45288</v>
      </c>
      <c r="B8686" s="49" t="s">
        <v>50</v>
      </c>
    </row>
    <row r="8687" spans="1:2">
      <c r="A8687" s="50">
        <v>45288</v>
      </c>
      <c r="B8687" s="49" t="s">
        <v>51</v>
      </c>
    </row>
    <row r="8688" spans="1:2">
      <c r="A8688" s="50">
        <v>45288</v>
      </c>
      <c r="B8688" s="49" t="s">
        <v>52</v>
      </c>
    </row>
    <row r="8689" spans="1:2">
      <c r="A8689" s="50">
        <v>45288</v>
      </c>
      <c r="B8689" s="49" t="s">
        <v>53</v>
      </c>
    </row>
    <row r="8690" spans="1:2">
      <c r="A8690" s="50">
        <v>45289</v>
      </c>
      <c r="B8690" s="49" t="s">
        <v>30</v>
      </c>
    </row>
    <row r="8691" spans="1:2">
      <c r="A8691" s="50">
        <v>45289</v>
      </c>
      <c r="B8691" s="49" t="s">
        <v>31</v>
      </c>
    </row>
    <row r="8692" spans="1:2">
      <c r="A8692" s="50">
        <v>45289</v>
      </c>
      <c r="B8692" s="49" t="s">
        <v>32</v>
      </c>
    </row>
    <row r="8693" spans="1:2">
      <c r="A8693" s="50">
        <v>45289</v>
      </c>
      <c r="B8693" s="49" t="s">
        <v>33</v>
      </c>
    </row>
    <row r="8694" spans="1:2">
      <c r="A8694" s="50">
        <v>45289</v>
      </c>
      <c r="B8694" s="49" t="s">
        <v>34</v>
      </c>
    </row>
    <row r="8695" spans="1:2">
      <c r="A8695" s="50">
        <v>45289</v>
      </c>
      <c r="B8695" s="49" t="s">
        <v>35</v>
      </c>
    </row>
    <row r="8696" spans="1:2">
      <c r="A8696" s="50">
        <v>45289</v>
      </c>
      <c r="B8696" s="49" t="s">
        <v>36</v>
      </c>
    </row>
    <row r="8697" spans="1:2">
      <c r="A8697" s="50">
        <v>45289</v>
      </c>
      <c r="B8697" s="49" t="s">
        <v>37</v>
      </c>
    </row>
    <row r="8698" spans="1:2">
      <c r="A8698" s="50">
        <v>45289</v>
      </c>
      <c r="B8698" s="49" t="s">
        <v>38</v>
      </c>
    </row>
    <row r="8699" spans="1:2">
      <c r="A8699" s="50">
        <v>45289</v>
      </c>
      <c r="B8699" s="49" t="s">
        <v>39</v>
      </c>
    </row>
    <row r="8700" spans="1:2">
      <c r="A8700" s="50">
        <v>45289</v>
      </c>
      <c r="B8700" s="49" t="s">
        <v>40</v>
      </c>
    </row>
    <row r="8701" spans="1:2">
      <c r="A8701" s="50">
        <v>45289</v>
      </c>
      <c r="B8701" s="49" t="s">
        <v>41</v>
      </c>
    </row>
    <row r="8702" spans="1:2">
      <c r="A8702" s="50">
        <v>45289</v>
      </c>
      <c r="B8702" s="49" t="s">
        <v>42</v>
      </c>
    </row>
    <row r="8703" spans="1:2">
      <c r="A8703" s="50">
        <v>45289</v>
      </c>
      <c r="B8703" s="49" t="s">
        <v>43</v>
      </c>
    </row>
    <row r="8704" spans="1:2">
      <c r="A8704" s="50">
        <v>45289</v>
      </c>
      <c r="B8704" s="49" t="s">
        <v>44</v>
      </c>
    </row>
    <row r="8705" spans="1:2">
      <c r="A8705" s="50">
        <v>45289</v>
      </c>
      <c r="B8705" s="49" t="s">
        <v>45</v>
      </c>
    </row>
    <row r="8706" spans="1:2">
      <c r="A8706" s="50">
        <v>45289</v>
      </c>
      <c r="B8706" s="49" t="s">
        <v>46</v>
      </c>
    </row>
    <row r="8707" spans="1:2">
      <c r="A8707" s="50">
        <v>45289</v>
      </c>
      <c r="B8707" s="49" t="s">
        <v>47</v>
      </c>
    </row>
    <row r="8708" spans="1:2">
      <c r="A8708" s="50">
        <v>45289</v>
      </c>
      <c r="B8708" s="49" t="s">
        <v>48</v>
      </c>
    </row>
    <row r="8709" spans="1:2">
      <c r="A8709" s="50">
        <v>45289</v>
      </c>
      <c r="B8709" s="49" t="s">
        <v>49</v>
      </c>
    </row>
    <row r="8710" spans="1:2">
      <c r="A8710" s="50">
        <v>45289</v>
      </c>
      <c r="B8710" s="49" t="s">
        <v>50</v>
      </c>
    </row>
    <row r="8711" spans="1:2">
      <c r="A8711" s="50">
        <v>45289</v>
      </c>
      <c r="B8711" s="49" t="s">
        <v>51</v>
      </c>
    </row>
    <row r="8712" spans="1:2">
      <c r="A8712" s="50">
        <v>45289</v>
      </c>
      <c r="B8712" s="49" t="s">
        <v>52</v>
      </c>
    </row>
    <row r="8713" spans="1:2">
      <c r="A8713" s="50">
        <v>45289</v>
      </c>
      <c r="B8713" s="49" t="s">
        <v>53</v>
      </c>
    </row>
    <row r="8714" spans="1:2">
      <c r="A8714" s="50">
        <v>45290</v>
      </c>
      <c r="B8714" s="49" t="s">
        <v>30</v>
      </c>
    </row>
    <row r="8715" spans="1:2">
      <c r="A8715" s="50">
        <v>45290</v>
      </c>
      <c r="B8715" s="49" t="s">
        <v>31</v>
      </c>
    </row>
    <row r="8716" spans="1:2">
      <c r="A8716" s="50">
        <v>45290</v>
      </c>
      <c r="B8716" s="49" t="s">
        <v>32</v>
      </c>
    </row>
    <row r="8717" spans="1:2">
      <c r="A8717" s="50">
        <v>45290</v>
      </c>
      <c r="B8717" s="49" t="s">
        <v>33</v>
      </c>
    </row>
    <row r="8718" spans="1:2">
      <c r="A8718" s="50">
        <v>45290</v>
      </c>
      <c r="B8718" s="49" t="s">
        <v>34</v>
      </c>
    </row>
    <row r="8719" spans="1:2">
      <c r="A8719" s="50">
        <v>45290</v>
      </c>
      <c r="B8719" s="49" t="s">
        <v>35</v>
      </c>
    </row>
    <row r="8720" spans="1:2">
      <c r="A8720" s="50">
        <v>45290</v>
      </c>
      <c r="B8720" s="49" t="s">
        <v>36</v>
      </c>
    </row>
    <row r="8721" spans="1:2">
      <c r="A8721" s="50">
        <v>45290</v>
      </c>
      <c r="B8721" s="49" t="s">
        <v>37</v>
      </c>
    </row>
    <row r="8722" spans="1:2">
      <c r="A8722" s="50">
        <v>45290</v>
      </c>
      <c r="B8722" s="49" t="s">
        <v>38</v>
      </c>
    </row>
    <row r="8723" spans="1:2">
      <c r="A8723" s="50">
        <v>45290</v>
      </c>
      <c r="B8723" s="49" t="s">
        <v>39</v>
      </c>
    </row>
    <row r="8724" spans="1:2">
      <c r="A8724" s="50">
        <v>45290</v>
      </c>
      <c r="B8724" s="49" t="s">
        <v>40</v>
      </c>
    </row>
    <row r="8725" spans="1:2">
      <c r="A8725" s="50">
        <v>45290</v>
      </c>
      <c r="B8725" s="49" t="s">
        <v>41</v>
      </c>
    </row>
    <row r="8726" spans="1:2">
      <c r="A8726" s="50">
        <v>45290</v>
      </c>
      <c r="B8726" s="49" t="s">
        <v>42</v>
      </c>
    </row>
    <row r="8727" spans="1:2">
      <c r="A8727" s="50">
        <v>45290</v>
      </c>
      <c r="B8727" s="49" t="s">
        <v>43</v>
      </c>
    </row>
    <row r="8728" spans="1:2">
      <c r="A8728" s="50">
        <v>45290</v>
      </c>
      <c r="B8728" s="49" t="s">
        <v>44</v>
      </c>
    </row>
    <row r="8729" spans="1:2">
      <c r="A8729" s="50">
        <v>45290</v>
      </c>
      <c r="B8729" s="49" t="s">
        <v>45</v>
      </c>
    </row>
    <row r="8730" spans="1:2">
      <c r="A8730" s="50">
        <v>45290</v>
      </c>
      <c r="B8730" s="49" t="s">
        <v>46</v>
      </c>
    </row>
    <row r="8731" spans="1:2">
      <c r="A8731" s="50">
        <v>45290</v>
      </c>
      <c r="B8731" s="49" t="s">
        <v>47</v>
      </c>
    </row>
    <row r="8732" spans="1:2">
      <c r="A8732" s="50">
        <v>45290</v>
      </c>
      <c r="B8732" s="49" t="s">
        <v>48</v>
      </c>
    </row>
    <row r="8733" spans="1:2">
      <c r="A8733" s="50">
        <v>45290</v>
      </c>
      <c r="B8733" s="49" t="s">
        <v>49</v>
      </c>
    </row>
    <row r="8734" spans="1:2">
      <c r="A8734" s="50">
        <v>45290</v>
      </c>
      <c r="B8734" s="49" t="s">
        <v>50</v>
      </c>
    </row>
    <row r="8735" spans="1:2">
      <c r="A8735" s="50">
        <v>45290</v>
      </c>
      <c r="B8735" s="49" t="s">
        <v>51</v>
      </c>
    </row>
    <row r="8736" spans="1:2">
      <c r="A8736" s="50">
        <v>45290</v>
      </c>
      <c r="B8736" s="49" t="s">
        <v>52</v>
      </c>
    </row>
    <row r="8737" spans="1:2">
      <c r="A8737" s="50">
        <v>45290</v>
      </c>
      <c r="B8737" s="49" t="s">
        <v>53</v>
      </c>
    </row>
    <row r="8738" spans="1:2">
      <c r="A8738" s="50">
        <v>45291</v>
      </c>
      <c r="B8738" s="49" t="s">
        <v>30</v>
      </c>
    </row>
    <row r="8739" spans="1:2">
      <c r="A8739" s="50">
        <v>45291</v>
      </c>
      <c r="B8739" s="49" t="s">
        <v>31</v>
      </c>
    </row>
    <row r="8740" spans="1:2">
      <c r="A8740" s="50">
        <v>45291</v>
      </c>
      <c r="B8740" s="49" t="s">
        <v>32</v>
      </c>
    </row>
    <row r="8741" spans="1:2">
      <c r="A8741" s="50">
        <v>45291</v>
      </c>
      <c r="B8741" s="49" t="s">
        <v>33</v>
      </c>
    </row>
    <row r="8742" spans="1:2">
      <c r="A8742" s="50">
        <v>45291</v>
      </c>
      <c r="B8742" s="49" t="s">
        <v>34</v>
      </c>
    </row>
    <row r="8743" spans="1:2">
      <c r="A8743" s="50">
        <v>45291</v>
      </c>
      <c r="B8743" s="49" t="s">
        <v>35</v>
      </c>
    </row>
    <row r="8744" spans="1:2">
      <c r="A8744" s="50">
        <v>45291</v>
      </c>
      <c r="B8744" s="49" t="s">
        <v>36</v>
      </c>
    </row>
    <row r="8745" spans="1:2">
      <c r="A8745" s="50">
        <v>45291</v>
      </c>
      <c r="B8745" s="49" t="s">
        <v>37</v>
      </c>
    </row>
    <row r="8746" spans="1:2">
      <c r="A8746" s="50">
        <v>45291</v>
      </c>
      <c r="B8746" s="49" t="s">
        <v>38</v>
      </c>
    </row>
    <row r="8747" spans="1:2">
      <c r="A8747" s="50">
        <v>45291</v>
      </c>
      <c r="B8747" s="49" t="s">
        <v>39</v>
      </c>
    </row>
    <row r="8748" spans="1:2">
      <c r="A8748" s="50">
        <v>45291</v>
      </c>
      <c r="B8748" s="49" t="s">
        <v>40</v>
      </c>
    </row>
    <row r="8749" spans="1:2">
      <c r="A8749" s="50">
        <v>45291</v>
      </c>
      <c r="B8749" s="49" t="s">
        <v>41</v>
      </c>
    </row>
    <row r="8750" spans="1:2">
      <c r="A8750" s="50">
        <v>45291</v>
      </c>
      <c r="B8750" s="49" t="s">
        <v>42</v>
      </c>
    </row>
    <row r="8751" spans="1:2">
      <c r="A8751" s="50">
        <v>45291</v>
      </c>
      <c r="B8751" s="49" t="s">
        <v>43</v>
      </c>
    </row>
    <row r="8752" spans="1:2">
      <c r="A8752" s="50">
        <v>45291</v>
      </c>
      <c r="B8752" s="49" t="s">
        <v>44</v>
      </c>
    </row>
    <row r="8753" spans="1:2">
      <c r="A8753" s="50">
        <v>45291</v>
      </c>
      <c r="B8753" s="49" t="s">
        <v>45</v>
      </c>
    </row>
    <row r="8754" spans="1:2">
      <c r="A8754" s="50">
        <v>45291</v>
      </c>
      <c r="B8754" s="49" t="s">
        <v>46</v>
      </c>
    </row>
    <row r="8755" spans="1:2">
      <c r="A8755" s="50">
        <v>45291</v>
      </c>
      <c r="B8755" s="49" t="s">
        <v>47</v>
      </c>
    </row>
    <row r="8756" spans="1:2">
      <c r="A8756" s="50">
        <v>45291</v>
      </c>
      <c r="B8756" s="49" t="s">
        <v>48</v>
      </c>
    </row>
    <row r="8757" spans="1:2">
      <c r="A8757" s="50">
        <v>45291</v>
      </c>
      <c r="B8757" s="49" t="s">
        <v>49</v>
      </c>
    </row>
    <row r="8758" spans="1:2">
      <c r="A8758" s="50">
        <v>45291</v>
      </c>
      <c r="B8758" s="49" t="s">
        <v>50</v>
      </c>
    </row>
    <row r="8759" spans="1:2">
      <c r="A8759" s="50">
        <v>45291</v>
      </c>
      <c r="B8759" s="49" t="s">
        <v>51</v>
      </c>
    </row>
    <row r="8760" spans="1:2">
      <c r="A8760" s="50">
        <v>45291</v>
      </c>
      <c r="B8760" s="49" t="s">
        <v>52</v>
      </c>
    </row>
    <row r="8761" spans="1:2">
      <c r="A8761" s="50">
        <v>45291</v>
      </c>
      <c r="B8761" s="49" t="s">
        <v>53</v>
      </c>
    </row>
  </sheetData>
  <autoFilter ref="A1:D8761" xr:uid="{00000000-0009-0000-0000-000003000000}">
    <sortState xmlns:xlrd2="http://schemas.microsoft.com/office/spreadsheetml/2017/richdata2" ref="A3:D650">
      <sortCondition ref="A2"/>
    </sortState>
  </autoFilter>
  <pageMargins left="1" right="1" top="1" bottom="1" header="0.3" footer="0.3"/>
  <pageSetup orientation="portrait" errors="blank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1"/>
  <dimension ref="A2:CX370"/>
  <sheetViews>
    <sheetView topLeftCell="A205" zoomScale="81" zoomScaleNormal="81" workbookViewId="0">
      <pane xSplit="1" topLeftCell="AB1" activePane="topRight" state="frozen"/>
      <selection activeCell="AE23" sqref="AE23"/>
      <selection pane="topRight" activeCell="BY217" sqref="BY217"/>
    </sheetView>
  </sheetViews>
  <sheetFormatPr defaultColWidth="11.42578125" defaultRowHeight="15"/>
  <cols>
    <col min="1" max="1" width="30.5703125" bestFit="1" customWidth="1"/>
    <col min="2" max="25" width="8.28515625" bestFit="1" customWidth="1"/>
    <col min="26" max="26" width="13.42578125" bestFit="1" customWidth="1"/>
    <col min="27" max="27" width="13.5703125" bestFit="1" customWidth="1"/>
    <col min="28" max="28" width="3.42578125" bestFit="1" customWidth="1"/>
    <col min="29" max="36" width="3.85546875" bestFit="1" customWidth="1"/>
    <col min="37" max="37" width="4.5703125" bestFit="1" customWidth="1"/>
    <col min="38" max="38" width="4.28515625" bestFit="1" customWidth="1"/>
    <col min="39" max="46" width="4.5703125" bestFit="1" customWidth="1"/>
    <col min="47" max="47" width="5" bestFit="1" customWidth="1"/>
    <col min="48" max="48" width="4.5703125" bestFit="1" customWidth="1"/>
    <col min="49" max="51" width="5" bestFit="1" customWidth="1"/>
    <col min="52" max="52" width="11.42578125" style="37"/>
    <col min="53" max="61" width="3.85546875" bestFit="1" customWidth="1"/>
    <col min="62" max="62" width="4.5703125" bestFit="1" customWidth="1"/>
    <col min="63" max="63" width="4.28515625" bestFit="1" customWidth="1"/>
    <col min="64" max="71" width="4.5703125" bestFit="1" customWidth="1"/>
    <col min="72" max="72" width="5" bestFit="1" customWidth="1"/>
    <col min="73" max="73" width="4.5703125" bestFit="1" customWidth="1"/>
    <col min="74" max="76" width="5" bestFit="1" customWidth="1"/>
    <col min="77" max="77" width="6.28515625" bestFit="1" customWidth="1"/>
    <col min="78" max="78" width="3.5703125" bestFit="1" customWidth="1"/>
    <col min="79" max="86" width="3.85546875" bestFit="1" customWidth="1"/>
    <col min="87" max="87" width="4.5703125" bestFit="1" customWidth="1"/>
    <col min="88" max="88" width="4.28515625" bestFit="1" customWidth="1"/>
    <col min="89" max="96" width="4.5703125" bestFit="1" customWidth="1"/>
    <col min="97" max="97" width="5" bestFit="1" customWidth="1"/>
    <col min="98" max="98" width="4.5703125" bestFit="1" customWidth="1"/>
    <col min="99" max="100" width="5" bestFit="1" customWidth="1"/>
    <col min="101" max="101" width="5" customWidth="1"/>
    <col min="258" max="258" width="26.7109375" bestFit="1" customWidth="1"/>
    <col min="259" max="259" width="9.140625" customWidth="1"/>
    <col min="260" max="282" width="8.140625" customWidth="1"/>
    <col min="283" max="283" width="12.5703125" bestFit="1" customWidth="1"/>
    <col min="284" max="284" width="3.42578125" bestFit="1" customWidth="1"/>
    <col min="285" max="292" width="3.85546875" bestFit="1" customWidth="1"/>
    <col min="293" max="293" width="4.5703125" bestFit="1" customWidth="1"/>
    <col min="294" max="294" width="4.28515625" bestFit="1" customWidth="1"/>
    <col min="295" max="302" width="4.5703125" bestFit="1" customWidth="1"/>
    <col min="303" max="303" width="5" bestFit="1" customWidth="1"/>
    <col min="304" max="304" width="4.5703125" bestFit="1" customWidth="1"/>
    <col min="305" max="307" width="5" bestFit="1" customWidth="1"/>
    <col min="309" max="317" width="3.85546875" bestFit="1" customWidth="1"/>
    <col min="318" max="318" width="4.5703125" bestFit="1" customWidth="1"/>
    <col min="319" max="319" width="4.28515625" bestFit="1" customWidth="1"/>
    <col min="320" max="327" width="4.5703125" bestFit="1" customWidth="1"/>
    <col min="328" max="328" width="5" bestFit="1" customWidth="1"/>
    <col min="329" max="329" width="4.5703125" bestFit="1" customWidth="1"/>
    <col min="330" max="332" width="5" bestFit="1" customWidth="1"/>
    <col min="333" max="333" width="6.28515625" bestFit="1" customWidth="1"/>
    <col min="334" max="334" width="3.5703125" bestFit="1" customWidth="1"/>
    <col min="335" max="342" width="3.85546875" bestFit="1" customWidth="1"/>
    <col min="343" max="343" width="4.5703125" bestFit="1" customWidth="1"/>
    <col min="344" max="344" width="4.28515625" bestFit="1" customWidth="1"/>
    <col min="345" max="352" width="4.5703125" bestFit="1" customWidth="1"/>
    <col min="353" max="353" width="5" bestFit="1" customWidth="1"/>
    <col min="354" max="354" width="4.5703125" bestFit="1" customWidth="1"/>
    <col min="355" max="357" width="5" bestFit="1" customWidth="1"/>
    <col min="514" max="514" width="26.7109375" bestFit="1" customWidth="1"/>
    <col min="515" max="515" width="9.140625" customWidth="1"/>
    <col min="516" max="538" width="8.140625" customWidth="1"/>
    <col min="539" max="539" width="12.5703125" bestFit="1" customWidth="1"/>
    <col min="540" max="540" width="3.42578125" bestFit="1" customWidth="1"/>
    <col min="541" max="548" width="3.85546875" bestFit="1" customWidth="1"/>
    <col min="549" max="549" width="4.5703125" bestFit="1" customWidth="1"/>
    <col min="550" max="550" width="4.28515625" bestFit="1" customWidth="1"/>
    <col min="551" max="558" width="4.5703125" bestFit="1" customWidth="1"/>
    <col min="559" max="559" width="5" bestFit="1" customWidth="1"/>
    <col min="560" max="560" width="4.5703125" bestFit="1" customWidth="1"/>
    <col min="561" max="563" width="5" bestFit="1" customWidth="1"/>
    <col min="565" max="573" width="3.85546875" bestFit="1" customWidth="1"/>
    <col min="574" max="574" width="4.5703125" bestFit="1" customWidth="1"/>
    <col min="575" max="575" width="4.28515625" bestFit="1" customWidth="1"/>
    <col min="576" max="583" width="4.5703125" bestFit="1" customWidth="1"/>
    <col min="584" max="584" width="5" bestFit="1" customWidth="1"/>
    <col min="585" max="585" width="4.5703125" bestFit="1" customWidth="1"/>
    <col min="586" max="588" width="5" bestFit="1" customWidth="1"/>
    <col min="589" max="589" width="6.28515625" bestFit="1" customWidth="1"/>
    <col min="590" max="590" width="3.5703125" bestFit="1" customWidth="1"/>
    <col min="591" max="598" width="3.85546875" bestFit="1" customWidth="1"/>
    <col min="599" max="599" width="4.5703125" bestFit="1" customWidth="1"/>
    <col min="600" max="600" width="4.28515625" bestFit="1" customWidth="1"/>
    <col min="601" max="608" width="4.5703125" bestFit="1" customWidth="1"/>
    <col min="609" max="609" width="5" bestFit="1" customWidth="1"/>
    <col min="610" max="610" width="4.5703125" bestFit="1" customWidth="1"/>
    <col min="611" max="613" width="5" bestFit="1" customWidth="1"/>
    <col min="770" max="770" width="26.7109375" bestFit="1" customWidth="1"/>
    <col min="771" max="771" width="9.140625" customWidth="1"/>
    <col min="772" max="794" width="8.140625" customWidth="1"/>
    <col min="795" max="795" width="12.5703125" bestFit="1" customWidth="1"/>
    <col min="796" max="796" width="3.42578125" bestFit="1" customWidth="1"/>
    <col min="797" max="804" width="3.85546875" bestFit="1" customWidth="1"/>
    <col min="805" max="805" width="4.5703125" bestFit="1" customWidth="1"/>
    <col min="806" max="806" width="4.28515625" bestFit="1" customWidth="1"/>
    <col min="807" max="814" width="4.5703125" bestFit="1" customWidth="1"/>
    <col min="815" max="815" width="5" bestFit="1" customWidth="1"/>
    <col min="816" max="816" width="4.5703125" bestFit="1" customWidth="1"/>
    <col min="817" max="819" width="5" bestFit="1" customWidth="1"/>
    <col min="821" max="829" width="3.85546875" bestFit="1" customWidth="1"/>
    <col min="830" max="830" width="4.5703125" bestFit="1" customWidth="1"/>
    <col min="831" max="831" width="4.28515625" bestFit="1" customWidth="1"/>
    <col min="832" max="839" width="4.5703125" bestFit="1" customWidth="1"/>
    <col min="840" max="840" width="5" bestFit="1" customWidth="1"/>
    <col min="841" max="841" width="4.5703125" bestFit="1" customWidth="1"/>
    <col min="842" max="844" width="5" bestFit="1" customWidth="1"/>
    <col min="845" max="845" width="6.28515625" bestFit="1" customWidth="1"/>
    <col min="846" max="846" width="3.5703125" bestFit="1" customWidth="1"/>
    <col min="847" max="854" width="3.85546875" bestFit="1" customWidth="1"/>
    <col min="855" max="855" width="4.5703125" bestFit="1" customWidth="1"/>
    <col min="856" max="856" width="4.28515625" bestFit="1" customWidth="1"/>
    <col min="857" max="864" width="4.5703125" bestFit="1" customWidth="1"/>
    <col min="865" max="865" width="5" bestFit="1" customWidth="1"/>
    <col min="866" max="866" width="4.5703125" bestFit="1" customWidth="1"/>
    <col min="867" max="869" width="5" bestFit="1" customWidth="1"/>
    <col min="1026" max="1026" width="26.7109375" bestFit="1" customWidth="1"/>
    <col min="1027" max="1027" width="9.140625" customWidth="1"/>
    <col min="1028" max="1050" width="8.140625" customWidth="1"/>
    <col min="1051" max="1051" width="12.5703125" bestFit="1" customWidth="1"/>
    <col min="1052" max="1052" width="3.42578125" bestFit="1" customWidth="1"/>
    <col min="1053" max="1060" width="3.85546875" bestFit="1" customWidth="1"/>
    <col min="1061" max="1061" width="4.5703125" bestFit="1" customWidth="1"/>
    <col min="1062" max="1062" width="4.28515625" bestFit="1" customWidth="1"/>
    <col min="1063" max="1070" width="4.5703125" bestFit="1" customWidth="1"/>
    <col min="1071" max="1071" width="5" bestFit="1" customWidth="1"/>
    <col min="1072" max="1072" width="4.5703125" bestFit="1" customWidth="1"/>
    <col min="1073" max="1075" width="5" bestFit="1" customWidth="1"/>
    <col min="1077" max="1085" width="3.85546875" bestFit="1" customWidth="1"/>
    <col min="1086" max="1086" width="4.5703125" bestFit="1" customWidth="1"/>
    <col min="1087" max="1087" width="4.28515625" bestFit="1" customWidth="1"/>
    <col min="1088" max="1095" width="4.5703125" bestFit="1" customWidth="1"/>
    <col min="1096" max="1096" width="5" bestFit="1" customWidth="1"/>
    <col min="1097" max="1097" width="4.5703125" bestFit="1" customWidth="1"/>
    <col min="1098" max="1100" width="5" bestFit="1" customWidth="1"/>
    <col min="1101" max="1101" width="6.28515625" bestFit="1" customWidth="1"/>
    <col min="1102" max="1102" width="3.5703125" bestFit="1" customWidth="1"/>
    <col min="1103" max="1110" width="3.85546875" bestFit="1" customWidth="1"/>
    <col min="1111" max="1111" width="4.5703125" bestFit="1" customWidth="1"/>
    <col min="1112" max="1112" width="4.28515625" bestFit="1" customWidth="1"/>
    <col min="1113" max="1120" width="4.5703125" bestFit="1" customWidth="1"/>
    <col min="1121" max="1121" width="5" bestFit="1" customWidth="1"/>
    <col min="1122" max="1122" width="4.5703125" bestFit="1" customWidth="1"/>
    <col min="1123" max="1125" width="5" bestFit="1" customWidth="1"/>
    <col min="1282" max="1282" width="26.7109375" bestFit="1" customWidth="1"/>
    <col min="1283" max="1283" width="9.140625" customWidth="1"/>
    <col min="1284" max="1306" width="8.140625" customWidth="1"/>
    <col min="1307" max="1307" width="12.5703125" bestFit="1" customWidth="1"/>
    <col min="1308" max="1308" width="3.42578125" bestFit="1" customWidth="1"/>
    <col min="1309" max="1316" width="3.85546875" bestFit="1" customWidth="1"/>
    <col min="1317" max="1317" width="4.5703125" bestFit="1" customWidth="1"/>
    <col min="1318" max="1318" width="4.28515625" bestFit="1" customWidth="1"/>
    <col min="1319" max="1326" width="4.5703125" bestFit="1" customWidth="1"/>
    <col min="1327" max="1327" width="5" bestFit="1" customWidth="1"/>
    <col min="1328" max="1328" width="4.5703125" bestFit="1" customWidth="1"/>
    <col min="1329" max="1331" width="5" bestFit="1" customWidth="1"/>
    <col min="1333" max="1341" width="3.85546875" bestFit="1" customWidth="1"/>
    <col min="1342" max="1342" width="4.5703125" bestFit="1" customWidth="1"/>
    <col min="1343" max="1343" width="4.28515625" bestFit="1" customWidth="1"/>
    <col min="1344" max="1351" width="4.5703125" bestFit="1" customWidth="1"/>
    <col min="1352" max="1352" width="5" bestFit="1" customWidth="1"/>
    <col min="1353" max="1353" width="4.5703125" bestFit="1" customWidth="1"/>
    <col min="1354" max="1356" width="5" bestFit="1" customWidth="1"/>
    <col min="1357" max="1357" width="6.28515625" bestFit="1" customWidth="1"/>
    <col min="1358" max="1358" width="3.5703125" bestFit="1" customWidth="1"/>
    <col min="1359" max="1366" width="3.85546875" bestFit="1" customWidth="1"/>
    <col min="1367" max="1367" width="4.5703125" bestFit="1" customWidth="1"/>
    <col min="1368" max="1368" width="4.28515625" bestFit="1" customWidth="1"/>
    <col min="1369" max="1376" width="4.5703125" bestFit="1" customWidth="1"/>
    <col min="1377" max="1377" width="5" bestFit="1" customWidth="1"/>
    <col min="1378" max="1378" width="4.5703125" bestFit="1" customWidth="1"/>
    <col min="1379" max="1381" width="5" bestFit="1" customWidth="1"/>
    <col min="1538" max="1538" width="26.7109375" bestFit="1" customWidth="1"/>
    <col min="1539" max="1539" width="9.140625" customWidth="1"/>
    <col min="1540" max="1562" width="8.140625" customWidth="1"/>
    <col min="1563" max="1563" width="12.5703125" bestFit="1" customWidth="1"/>
    <col min="1564" max="1564" width="3.42578125" bestFit="1" customWidth="1"/>
    <col min="1565" max="1572" width="3.85546875" bestFit="1" customWidth="1"/>
    <col min="1573" max="1573" width="4.5703125" bestFit="1" customWidth="1"/>
    <col min="1574" max="1574" width="4.28515625" bestFit="1" customWidth="1"/>
    <col min="1575" max="1582" width="4.5703125" bestFit="1" customWidth="1"/>
    <col min="1583" max="1583" width="5" bestFit="1" customWidth="1"/>
    <col min="1584" max="1584" width="4.5703125" bestFit="1" customWidth="1"/>
    <col min="1585" max="1587" width="5" bestFit="1" customWidth="1"/>
    <col min="1589" max="1597" width="3.85546875" bestFit="1" customWidth="1"/>
    <col min="1598" max="1598" width="4.5703125" bestFit="1" customWidth="1"/>
    <col min="1599" max="1599" width="4.28515625" bestFit="1" customWidth="1"/>
    <col min="1600" max="1607" width="4.5703125" bestFit="1" customWidth="1"/>
    <col min="1608" max="1608" width="5" bestFit="1" customWidth="1"/>
    <col min="1609" max="1609" width="4.5703125" bestFit="1" customWidth="1"/>
    <col min="1610" max="1612" width="5" bestFit="1" customWidth="1"/>
    <col min="1613" max="1613" width="6.28515625" bestFit="1" customWidth="1"/>
    <col min="1614" max="1614" width="3.5703125" bestFit="1" customWidth="1"/>
    <col min="1615" max="1622" width="3.85546875" bestFit="1" customWidth="1"/>
    <col min="1623" max="1623" width="4.5703125" bestFit="1" customWidth="1"/>
    <col min="1624" max="1624" width="4.28515625" bestFit="1" customWidth="1"/>
    <col min="1625" max="1632" width="4.5703125" bestFit="1" customWidth="1"/>
    <col min="1633" max="1633" width="5" bestFit="1" customWidth="1"/>
    <col min="1634" max="1634" width="4.5703125" bestFit="1" customWidth="1"/>
    <col min="1635" max="1637" width="5" bestFit="1" customWidth="1"/>
    <col min="1794" max="1794" width="26.7109375" bestFit="1" customWidth="1"/>
    <col min="1795" max="1795" width="9.140625" customWidth="1"/>
    <col min="1796" max="1818" width="8.140625" customWidth="1"/>
    <col min="1819" max="1819" width="12.5703125" bestFit="1" customWidth="1"/>
    <col min="1820" max="1820" width="3.42578125" bestFit="1" customWidth="1"/>
    <col min="1821" max="1828" width="3.85546875" bestFit="1" customWidth="1"/>
    <col min="1829" max="1829" width="4.5703125" bestFit="1" customWidth="1"/>
    <col min="1830" max="1830" width="4.28515625" bestFit="1" customWidth="1"/>
    <col min="1831" max="1838" width="4.5703125" bestFit="1" customWidth="1"/>
    <col min="1839" max="1839" width="5" bestFit="1" customWidth="1"/>
    <col min="1840" max="1840" width="4.5703125" bestFit="1" customWidth="1"/>
    <col min="1841" max="1843" width="5" bestFit="1" customWidth="1"/>
    <col min="1845" max="1853" width="3.85546875" bestFit="1" customWidth="1"/>
    <col min="1854" max="1854" width="4.5703125" bestFit="1" customWidth="1"/>
    <col min="1855" max="1855" width="4.28515625" bestFit="1" customWidth="1"/>
    <col min="1856" max="1863" width="4.5703125" bestFit="1" customWidth="1"/>
    <col min="1864" max="1864" width="5" bestFit="1" customWidth="1"/>
    <col min="1865" max="1865" width="4.5703125" bestFit="1" customWidth="1"/>
    <col min="1866" max="1868" width="5" bestFit="1" customWidth="1"/>
    <col min="1869" max="1869" width="6.28515625" bestFit="1" customWidth="1"/>
    <col min="1870" max="1870" width="3.5703125" bestFit="1" customWidth="1"/>
    <col min="1871" max="1878" width="3.85546875" bestFit="1" customWidth="1"/>
    <col min="1879" max="1879" width="4.5703125" bestFit="1" customWidth="1"/>
    <col min="1880" max="1880" width="4.28515625" bestFit="1" customWidth="1"/>
    <col min="1881" max="1888" width="4.5703125" bestFit="1" customWidth="1"/>
    <col min="1889" max="1889" width="5" bestFit="1" customWidth="1"/>
    <col min="1890" max="1890" width="4.5703125" bestFit="1" customWidth="1"/>
    <col min="1891" max="1893" width="5" bestFit="1" customWidth="1"/>
    <col min="2050" max="2050" width="26.7109375" bestFit="1" customWidth="1"/>
    <col min="2051" max="2051" width="9.140625" customWidth="1"/>
    <col min="2052" max="2074" width="8.140625" customWidth="1"/>
    <col min="2075" max="2075" width="12.5703125" bestFit="1" customWidth="1"/>
    <col min="2076" max="2076" width="3.42578125" bestFit="1" customWidth="1"/>
    <col min="2077" max="2084" width="3.85546875" bestFit="1" customWidth="1"/>
    <col min="2085" max="2085" width="4.5703125" bestFit="1" customWidth="1"/>
    <col min="2086" max="2086" width="4.28515625" bestFit="1" customWidth="1"/>
    <col min="2087" max="2094" width="4.5703125" bestFit="1" customWidth="1"/>
    <col min="2095" max="2095" width="5" bestFit="1" customWidth="1"/>
    <col min="2096" max="2096" width="4.5703125" bestFit="1" customWidth="1"/>
    <col min="2097" max="2099" width="5" bestFit="1" customWidth="1"/>
    <col min="2101" max="2109" width="3.85546875" bestFit="1" customWidth="1"/>
    <col min="2110" max="2110" width="4.5703125" bestFit="1" customWidth="1"/>
    <col min="2111" max="2111" width="4.28515625" bestFit="1" customWidth="1"/>
    <col min="2112" max="2119" width="4.5703125" bestFit="1" customWidth="1"/>
    <col min="2120" max="2120" width="5" bestFit="1" customWidth="1"/>
    <col min="2121" max="2121" width="4.5703125" bestFit="1" customWidth="1"/>
    <col min="2122" max="2124" width="5" bestFit="1" customWidth="1"/>
    <col min="2125" max="2125" width="6.28515625" bestFit="1" customWidth="1"/>
    <col min="2126" max="2126" width="3.5703125" bestFit="1" customWidth="1"/>
    <col min="2127" max="2134" width="3.85546875" bestFit="1" customWidth="1"/>
    <col min="2135" max="2135" width="4.5703125" bestFit="1" customWidth="1"/>
    <col min="2136" max="2136" width="4.28515625" bestFit="1" customWidth="1"/>
    <col min="2137" max="2144" width="4.5703125" bestFit="1" customWidth="1"/>
    <col min="2145" max="2145" width="5" bestFit="1" customWidth="1"/>
    <col min="2146" max="2146" width="4.5703125" bestFit="1" customWidth="1"/>
    <col min="2147" max="2149" width="5" bestFit="1" customWidth="1"/>
    <col min="2306" max="2306" width="26.7109375" bestFit="1" customWidth="1"/>
    <col min="2307" max="2307" width="9.140625" customWidth="1"/>
    <col min="2308" max="2330" width="8.140625" customWidth="1"/>
    <col min="2331" max="2331" width="12.5703125" bestFit="1" customWidth="1"/>
    <col min="2332" max="2332" width="3.42578125" bestFit="1" customWidth="1"/>
    <col min="2333" max="2340" width="3.85546875" bestFit="1" customWidth="1"/>
    <col min="2341" max="2341" width="4.5703125" bestFit="1" customWidth="1"/>
    <col min="2342" max="2342" width="4.28515625" bestFit="1" customWidth="1"/>
    <col min="2343" max="2350" width="4.5703125" bestFit="1" customWidth="1"/>
    <col min="2351" max="2351" width="5" bestFit="1" customWidth="1"/>
    <col min="2352" max="2352" width="4.5703125" bestFit="1" customWidth="1"/>
    <col min="2353" max="2355" width="5" bestFit="1" customWidth="1"/>
    <col min="2357" max="2365" width="3.85546875" bestFit="1" customWidth="1"/>
    <col min="2366" max="2366" width="4.5703125" bestFit="1" customWidth="1"/>
    <col min="2367" max="2367" width="4.28515625" bestFit="1" customWidth="1"/>
    <col min="2368" max="2375" width="4.5703125" bestFit="1" customWidth="1"/>
    <col min="2376" max="2376" width="5" bestFit="1" customWidth="1"/>
    <col min="2377" max="2377" width="4.5703125" bestFit="1" customWidth="1"/>
    <col min="2378" max="2380" width="5" bestFit="1" customWidth="1"/>
    <col min="2381" max="2381" width="6.28515625" bestFit="1" customWidth="1"/>
    <col min="2382" max="2382" width="3.5703125" bestFit="1" customWidth="1"/>
    <col min="2383" max="2390" width="3.85546875" bestFit="1" customWidth="1"/>
    <col min="2391" max="2391" width="4.5703125" bestFit="1" customWidth="1"/>
    <col min="2392" max="2392" width="4.28515625" bestFit="1" customWidth="1"/>
    <col min="2393" max="2400" width="4.5703125" bestFit="1" customWidth="1"/>
    <col min="2401" max="2401" width="5" bestFit="1" customWidth="1"/>
    <col min="2402" max="2402" width="4.5703125" bestFit="1" customWidth="1"/>
    <col min="2403" max="2405" width="5" bestFit="1" customWidth="1"/>
    <col min="2562" max="2562" width="26.7109375" bestFit="1" customWidth="1"/>
    <col min="2563" max="2563" width="9.140625" customWidth="1"/>
    <col min="2564" max="2586" width="8.140625" customWidth="1"/>
    <col min="2587" max="2587" width="12.5703125" bestFit="1" customWidth="1"/>
    <col min="2588" max="2588" width="3.42578125" bestFit="1" customWidth="1"/>
    <col min="2589" max="2596" width="3.85546875" bestFit="1" customWidth="1"/>
    <col min="2597" max="2597" width="4.5703125" bestFit="1" customWidth="1"/>
    <col min="2598" max="2598" width="4.28515625" bestFit="1" customWidth="1"/>
    <col min="2599" max="2606" width="4.5703125" bestFit="1" customWidth="1"/>
    <col min="2607" max="2607" width="5" bestFit="1" customWidth="1"/>
    <col min="2608" max="2608" width="4.5703125" bestFit="1" customWidth="1"/>
    <col min="2609" max="2611" width="5" bestFit="1" customWidth="1"/>
    <col min="2613" max="2621" width="3.85546875" bestFit="1" customWidth="1"/>
    <col min="2622" max="2622" width="4.5703125" bestFit="1" customWidth="1"/>
    <col min="2623" max="2623" width="4.28515625" bestFit="1" customWidth="1"/>
    <col min="2624" max="2631" width="4.5703125" bestFit="1" customWidth="1"/>
    <col min="2632" max="2632" width="5" bestFit="1" customWidth="1"/>
    <col min="2633" max="2633" width="4.5703125" bestFit="1" customWidth="1"/>
    <col min="2634" max="2636" width="5" bestFit="1" customWidth="1"/>
    <col min="2637" max="2637" width="6.28515625" bestFit="1" customWidth="1"/>
    <col min="2638" max="2638" width="3.5703125" bestFit="1" customWidth="1"/>
    <col min="2639" max="2646" width="3.85546875" bestFit="1" customWidth="1"/>
    <col min="2647" max="2647" width="4.5703125" bestFit="1" customWidth="1"/>
    <col min="2648" max="2648" width="4.28515625" bestFit="1" customWidth="1"/>
    <col min="2649" max="2656" width="4.5703125" bestFit="1" customWidth="1"/>
    <col min="2657" max="2657" width="5" bestFit="1" customWidth="1"/>
    <col min="2658" max="2658" width="4.5703125" bestFit="1" customWidth="1"/>
    <col min="2659" max="2661" width="5" bestFit="1" customWidth="1"/>
    <col min="2818" max="2818" width="26.7109375" bestFit="1" customWidth="1"/>
    <col min="2819" max="2819" width="9.140625" customWidth="1"/>
    <col min="2820" max="2842" width="8.140625" customWidth="1"/>
    <col min="2843" max="2843" width="12.5703125" bestFit="1" customWidth="1"/>
    <col min="2844" max="2844" width="3.42578125" bestFit="1" customWidth="1"/>
    <col min="2845" max="2852" width="3.85546875" bestFit="1" customWidth="1"/>
    <col min="2853" max="2853" width="4.5703125" bestFit="1" customWidth="1"/>
    <col min="2854" max="2854" width="4.28515625" bestFit="1" customWidth="1"/>
    <col min="2855" max="2862" width="4.5703125" bestFit="1" customWidth="1"/>
    <col min="2863" max="2863" width="5" bestFit="1" customWidth="1"/>
    <col min="2864" max="2864" width="4.5703125" bestFit="1" customWidth="1"/>
    <col min="2865" max="2867" width="5" bestFit="1" customWidth="1"/>
    <col min="2869" max="2877" width="3.85546875" bestFit="1" customWidth="1"/>
    <col min="2878" max="2878" width="4.5703125" bestFit="1" customWidth="1"/>
    <col min="2879" max="2879" width="4.28515625" bestFit="1" customWidth="1"/>
    <col min="2880" max="2887" width="4.5703125" bestFit="1" customWidth="1"/>
    <col min="2888" max="2888" width="5" bestFit="1" customWidth="1"/>
    <col min="2889" max="2889" width="4.5703125" bestFit="1" customWidth="1"/>
    <col min="2890" max="2892" width="5" bestFit="1" customWidth="1"/>
    <col min="2893" max="2893" width="6.28515625" bestFit="1" customWidth="1"/>
    <col min="2894" max="2894" width="3.5703125" bestFit="1" customWidth="1"/>
    <col min="2895" max="2902" width="3.85546875" bestFit="1" customWidth="1"/>
    <col min="2903" max="2903" width="4.5703125" bestFit="1" customWidth="1"/>
    <col min="2904" max="2904" width="4.28515625" bestFit="1" customWidth="1"/>
    <col min="2905" max="2912" width="4.5703125" bestFit="1" customWidth="1"/>
    <col min="2913" max="2913" width="5" bestFit="1" customWidth="1"/>
    <col min="2914" max="2914" width="4.5703125" bestFit="1" customWidth="1"/>
    <col min="2915" max="2917" width="5" bestFit="1" customWidth="1"/>
    <col min="3074" max="3074" width="26.7109375" bestFit="1" customWidth="1"/>
    <col min="3075" max="3075" width="9.140625" customWidth="1"/>
    <col min="3076" max="3098" width="8.140625" customWidth="1"/>
    <col min="3099" max="3099" width="12.5703125" bestFit="1" customWidth="1"/>
    <col min="3100" max="3100" width="3.42578125" bestFit="1" customWidth="1"/>
    <col min="3101" max="3108" width="3.85546875" bestFit="1" customWidth="1"/>
    <col min="3109" max="3109" width="4.5703125" bestFit="1" customWidth="1"/>
    <col min="3110" max="3110" width="4.28515625" bestFit="1" customWidth="1"/>
    <col min="3111" max="3118" width="4.5703125" bestFit="1" customWidth="1"/>
    <col min="3119" max="3119" width="5" bestFit="1" customWidth="1"/>
    <col min="3120" max="3120" width="4.5703125" bestFit="1" customWidth="1"/>
    <col min="3121" max="3123" width="5" bestFit="1" customWidth="1"/>
    <col min="3125" max="3133" width="3.85546875" bestFit="1" customWidth="1"/>
    <col min="3134" max="3134" width="4.5703125" bestFit="1" customWidth="1"/>
    <col min="3135" max="3135" width="4.28515625" bestFit="1" customWidth="1"/>
    <col min="3136" max="3143" width="4.5703125" bestFit="1" customWidth="1"/>
    <col min="3144" max="3144" width="5" bestFit="1" customWidth="1"/>
    <col min="3145" max="3145" width="4.5703125" bestFit="1" customWidth="1"/>
    <col min="3146" max="3148" width="5" bestFit="1" customWidth="1"/>
    <col min="3149" max="3149" width="6.28515625" bestFit="1" customWidth="1"/>
    <col min="3150" max="3150" width="3.5703125" bestFit="1" customWidth="1"/>
    <col min="3151" max="3158" width="3.85546875" bestFit="1" customWidth="1"/>
    <col min="3159" max="3159" width="4.5703125" bestFit="1" customWidth="1"/>
    <col min="3160" max="3160" width="4.28515625" bestFit="1" customWidth="1"/>
    <col min="3161" max="3168" width="4.5703125" bestFit="1" customWidth="1"/>
    <col min="3169" max="3169" width="5" bestFit="1" customWidth="1"/>
    <col min="3170" max="3170" width="4.5703125" bestFit="1" customWidth="1"/>
    <col min="3171" max="3173" width="5" bestFit="1" customWidth="1"/>
    <col min="3330" max="3330" width="26.7109375" bestFit="1" customWidth="1"/>
    <col min="3331" max="3331" width="9.140625" customWidth="1"/>
    <col min="3332" max="3354" width="8.140625" customWidth="1"/>
    <col min="3355" max="3355" width="12.5703125" bestFit="1" customWidth="1"/>
    <col min="3356" max="3356" width="3.42578125" bestFit="1" customWidth="1"/>
    <col min="3357" max="3364" width="3.85546875" bestFit="1" customWidth="1"/>
    <col min="3365" max="3365" width="4.5703125" bestFit="1" customWidth="1"/>
    <col min="3366" max="3366" width="4.28515625" bestFit="1" customWidth="1"/>
    <col min="3367" max="3374" width="4.5703125" bestFit="1" customWidth="1"/>
    <col min="3375" max="3375" width="5" bestFit="1" customWidth="1"/>
    <col min="3376" max="3376" width="4.5703125" bestFit="1" customWidth="1"/>
    <col min="3377" max="3379" width="5" bestFit="1" customWidth="1"/>
    <col min="3381" max="3389" width="3.85546875" bestFit="1" customWidth="1"/>
    <col min="3390" max="3390" width="4.5703125" bestFit="1" customWidth="1"/>
    <col min="3391" max="3391" width="4.28515625" bestFit="1" customWidth="1"/>
    <col min="3392" max="3399" width="4.5703125" bestFit="1" customWidth="1"/>
    <col min="3400" max="3400" width="5" bestFit="1" customWidth="1"/>
    <col min="3401" max="3401" width="4.5703125" bestFit="1" customWidth="1"/>
    <col min="3402" max="3404" width="5" bestFit="1" customWidth="1"/>
    <col min="3405" max="3405" width="6.28515625" bestFit="1" customWidth="1"/>
    <col min="3406" max="3406" width="3.5703125" bestFit="1" customWidth="1"/>
    <col min="3407" max="3414" width="3.85546875" bestFit="1" customWidth="1"/>
    <col min="3415" max="3415" width="4.5703125" bestFit="1" customWidth="1"/>
    <col min="3416" max="3416" width="4.28515625" bestFit="1" customWidth="1"/>
    <col min="3417" max="3424" width="4.5703125" bestFit="1" customWidth="1"/>
    <col min="3425" max="3425" width="5" bestFit="1" customWidth="1"/>
    <col min="3426" max="3426" width="4.5703125" bestFit="1" customWidth="1"/>
    <col min="3427" max="3429" width="5" bestFit="1" customWidth="1"/>
    <col min="3586" max="3586" width="26.7109375" bestFit="1" customWidth="1"/>
    <col min="3587" max="3587" width="9.140625" customWidth="1"/>
    <col min="3588" max="3610" width="8.140625" customWidth="1"/>
    <col min="3611" max="3611" width="12.5703125" bestFit="1" customWidth="1"/>
    <col min="3612" max="3612" width="3.42578125" bestFit="1" customWidth="1"/>
    <col min="3613" max="3620" width="3.85546875" bestFit="1" customWidth="1"/>
    <col min="3621" max="3621" width="4.5703125" bestFit="1" customWidth="1"/>
    <col min="3622" max="3622" width="4.28515625" bestFit="1" customWidth="1"/>
    <col min="3623" max="3630" width="4.5703125" bestFit="1" customWidth="1"/>
    <col min="3631" max="3631" width="5" bestFit="1" customWidth="1"/>
    <col min="3632" max="3632" width="4.5703125" bestFit="1" customWidth="1"/>
    <col min="3633" max="3635" width="5" bestFit="1" customWidth="1"/>
    <col min="3637" max="3645" width="3.85546875" bestFit="1" customWidth="1"/>
    <col min="3646" max="3646" width="4.5703125" bestFit="1" customWidth="1"/>
    <col min="3647" max="3647" width="4.28515625" bestFit="1" customWidth="1"/>
    <col min="3648" max="3655" width="4.5703125" bestFit="1" customWidth="1"/>
    <col min="3656" max="3656" width="5" bestFit="1" customWidth="1"/>
    <col min="3657" max="3657" width="4.5703125" bestFit="1" customWidth="1"/>
    <col min="3658" max="3660" width="5" bestFit="1" customWidth="1"/>
    <col min="3661" max="3661" width="6.28515625" bestFit="1" customWidth="1"/>
    <col min="3662" max="3662" width="3.5703125" bestFit="1" customWidth="1"/>
    <col min="3663" max="3670" width="3.85546875" bestFit="1" customWidth="1"/>
    <col min="3671" max="3671" width="4.5703125" bestFit="1" customWidth="1"/>
    <col min="3672" max="3672" width="4.28515625" bestFit="1" customWidth="1"/>
    <col min="3673" max="3680" width="4.5703125" bestFit="1" customWidth="1"/>
    <col min="3681" max="3681" width="5" bestFit="1" customWidth="1"/>
    <col min="3682" max="3682" width="4.5703125" bestFit="1" customWidth="1"/>
    <col min="3683" max="3685" width="5" bestFit="1" customWidth="1"/>
    <col min="3842" max="3842" width="26.7109375" bestFit="1" customWidth="1"/>
    <col min="3843" max="3843" width="9.140625" customWidth="1"/>
    <col min="3844" max="3866" width="8.140625" customWidth="1"/>
    <col min="3867" max="3867" width="12.5703125" bestFit="1" customWidth="1"/>
    <col min="3868" max="3868" width="3.42578125" bestFit="1" customWidth="1"/>
    <col min="3869" max="3876" width="3.85546875" bestFit="1" customWidth="1"/>
    <col min="3877" max="3877" width="4.5703125" bestFit="1" customWidth="1"/>
    <col min="3878" max="3878" width="4.28515625" bestFit="1" customWidth="1"/>
    <col min="3879" max="3886" width="4.5703125" bestFit="1" customWidth="1"/>
    <col min="3887" max="3887" width="5" bestFit="1" customWidth="1"/>
    <col min="3888" max="3888" width="4.5703125" bestFit="1" customWidth="1"/>
    <col min="3889" max="3891" width="5" bestFit="1" customWidth="1"/>
    <col min="3893" max="3901" width="3.85546875" bestFit="1" customWidth="1"/>
    <col min="3902" max="3902" width="4.5703125" bestFit="1" customWidth="1"/>
    <col min="3903" max="3903" width="4.28515625" bestFit="1" customWidth="1"/>
    <col min="3904" max="3911" width="4.5703125" bestFit="1" customWidth="1"/>
    <col min="3912" max="3912" width="5" bestFit="1" customWidth="1"/>
    <col min="3913" max="3913" width="4.5703125" bestFit="1" customWidth="1"/>
    <col min="3914" max="3916" width="5" bestFit="1" customWidth="1"/>
    <col min="3917" max="3917" width="6.28515625" bestFit="1" customWidth="1"/>
    <col min="3918" max="3918" width="3.5703125" bestFit="1" customWidth="1"/>
    <col min="3919" max="3926" width="3.85546875" bestFit="1" customWidth="1"/>
    <col min="3927" max="3927" width="4.5703125" bestFit="1" customWidth="1"/>
    <col min="3928" max="3928" width="4.28515625" bestFit="1" customWidth="1"/>
    <col min="3929" max="3936" width="4.5703125" bestFit="1" customWidth="1"/>
    <col min="3937" max="3937" width="5" bestFit="1" customWidth="1"/>
    <col min="3938" max="3938" width="4.5703125" bestFit="1" customWidth="1"/>
    <col min="3939" max="3941" width="5" bestFit="1" customWidth="1"/>
    <col min="4098" max="4098" width="26.7109375" bestFit="1" customWidth="1"/>
    <col min="4099" max="4099" width="9.140625" customWidth="1"/>
    <col min="4100" max="4122" width="8.140625" customWidth="1"/>
    <col min="4123" max="4123" width="12.5703125" bestFit="1" customWidth="1"/>
    <col min="4124" max="4124" width="3.42578125" bestFit="1" customWidth="1"/>
    <col min="4125" max="4132" width="3.85546875" bestFit="1" customWidth="1"/>
    <col min="4133" max="4133" width="4.5703125" bestFit="1" customWidth="1"/>
    <col min="4134" max="4134" width="4.28515625" bestFit="1" customWidth="1"/>
    <col min="4135" max="4142" width="4.5703125" bestFit="1" customWidth="1"/>
    <col min="4143" max="4143" width="5" bestFit="1" customWidth="1"/>
    <col min="4144" max="4144" width="4.5703125" bestFit="1" customWidth="1"/>
    <col min="4145" max="4147" width="5" bestFit="1" customWidth="1"/>
    <col min="4149" max="4157" width="3.85546875" bestFit="1" customWidth="1"/>
    <col min="4158" max="4158" width="4.5703125" bestFit="1" customWidth="1"/>
    <col min="4159" max="4159" width="4.28515625" bestFit="1" customWidth="1"/>
    <col min="4160" max="4167" width="4.5703125" bestFit="1" customWidth="1"/>
    <col min="4168" max="4168" width="5" bestFit="1" customWidth="1"/>
    <col min="4169" max="4169" width="4.5703125" bestFit="1" customWidth="1"/>
    <col min="4170" max="4172" width="5" bestFit="1" customWidth="1"/>
    <col min="4173" max="4173" width="6.28515625" bestFit="1" customWidth="1"/>
    <col min="4174" max="4174" width="3.5703125" bestFit="1" customWidth="1"/>
    <col min="4175" max="4182" width="3.85546875" bestFit="1" customWidth="1"/>
    <col min="4183" max="4183" width="4.5703125" bestFit="1" customWidth="1"/>
    <col min="4184" max="4184" width="4.28515625" bestFit="1" customWidth="1"/>
    <col min="4185" max="4192" width="4.5703125" bestFit="1" customWidth="1"/>
    <col min="4193" max="4193" width="5" bestFit="1" customWidth="1"/>
    <col min="4194" max="4194" width="4.5703125" bestFit="1" customWidth="1"/>
    <col min="4195" max="4197" width="5" bestFit="1" customWidth="1"/>
    <col min="4354" max="4354" width="26.7109375" bestFit="1" customWidth="1"/>
    <col min="4355" max="4355" width="9.140625" customWidth="1"/>
    <col min="4356" max="4378" width="8.140625" customWidth="1"/>
    <col min="4379" max="4379" width="12.5703125" bestFit="1" customWidth="1"/>
    <col min="4380" max="4380" width="3.42578125" bestFit="1" customWidth="1"/>
    <col min="4381" max="4388" width="3.85546875" bestFit="1" customWidth="1"/>
    <col min="4389" max="4389" width="4.5703125" bestFit="1" customWidth="1"/>
    <col min="4390" max="4390" width="4.28515625" bestFit="1" customWidth="1"/>
    <col min="4391" max="4398" width="4.5703125" bestFit="1" customWidth="1"/>
    <col min="4399" max="4399" width="5" bestFit="1" customWidth="1"/>
    <col min="4400" max="4400" width="4.5703125" bestFit="1" customWidth="1"/>
    <col min="4401" max="4403" width="5" bestFit="1" customWidth="1"/>
    <col min="4405" max="4413" width="3.85546875" bestFit="1" customWidth="1"/>
    <col min="4414" max="4414" width="4.5703125" bestFit="1" customWidth="1"/>
    <col min="4415" max="4415" width="4.28515625" bestFit="1" customWidth="1"/>
    <col min="4416" max="4423" width="4.5703125" bestFit="1" customWidth="1"/>
    <col min="4424" max="4424" width="5" bestFit="1" customWidth="1"/>
    <col min="4425" max="4425" width="4.5703125" bestFit="1" customWidth="1"/>
    <col min="4426" max="4428" width="5" bestFit="1" customWidth="1"/>
    <col min="4429" max="4429" width="6.28515625" bestFit="1" customWidth="1"/>
    <col min="4430" max="4430" width="3.5703125" bestFit="1" customWidth="1"/>
    <col min="4431" max="4438" width="3.85546875" bestFit="1" customWidth="1"/>
    <col min="4439" max="4439" width="4.5703125" bestFit="1" customWidth="1"/>
    <col min="4440" max="4440" width="4.28515625" bestFit="1" customWidth="1"/>
    <col min="4441" max="4448" width="4.5703125" bestFit="1" customWidth="1"/>
    <col min="4449" max="4449" width="5" bestFit="1" customWidth="1"/>
    <col min="4450" max="4450" width="4.5703125" bestFit="1" customWidth="1"/>
    <col min="4451" max="4453" width="5" bestFit="1" customWidth="1"/>
    <col min="4610" max="4610" width="26.7109375" bestFit="1" customWidth="1"/>
    <col min="4611" max="4611" width="9.140625" customWidth="1"/>
    <col min="4612" max="4634" width="8.140625" customWidth="1"/>
    <col min="4635" max="4635" width="12.5703125" bestFit="1" customWidth="1"/>
    <col min="4636" max="4636" width="3.42578125" bestFit="1" customWidth="1"/>
    <col min="4637" max="4644" width="3.85546875" bestFit="1" customWidth="1"/>
    <col min="4645" max="4645" width="4.5703125" bestFit="1" customWidth="1"/>
    <col min="4646" max="4646" width="4.28515625" bestFit="1" customWidth="1"/>
    <col min="4647" max="4654" width="4.5703125" bestFit="1" customWidth="1"/>
    <col min="4655" max="4655" width="5" bestFit="1" customWidth="1"/>
    <col min="4656" max="4656" width="4.5703125" bestFit="1" customWidth="1"/>
    <col min="4657" max="4659" width="5" bestFit="1" customWidth="1"/>
    <col min="4661" max="4669" width="3.85546875" bestFit="1" customWidth="1"/>
    <col min="4670" max="4670" width="4.5703125" bestFit="1" customWidth="1"/>
    <col min="4671" max="4671" width="4.28515625" bestFit="1" customWidth="1"/>
    <col min="4672" max="4679" width="4.5703125" bestFit="1" customWidth="1"/>
    <col min="4680" max="4680" width="5" bestFit="1" customWidth="1"/>
    <col min="4681" max="4681" width="4.5703125" bestFit="1" customWidth="1"/>
    <col min="4682" max="4684" width="5" bestFit="1" customWidth="1"/>
    <col min="4685" max="4685" width="6.28515625" bestFit="1" customWidth="1"/>
    <col min="4686" max="4686" width="3.5703125" bestFit="1" customWidth="1"/>
    <col min="4687" max="4694" width="3.85546875" bestFit="1" customWidth="1"/>
    <col min="4695" max="4695" width="4.5703125" bestFit="1" customWidth="1"/>
    <col min="4696" max="4696" width="4.28515625" bestFit="1" customWidth="1"/>
    <col min="4697" max="4704" width="4.5703125" bestFit="1" customWidth="1"/>
    <col min="4705" max="4705" width="5" bestFit="1" customWidth="1"/>
    <col min="4706" max="4706" width="4.5703125" bestFit="1" customWidth="1"/>
    <col min="4707" max="4709" width="5" bestFit="1" customWidth="1"/>
    <col min="4866" max="4866" width="26.7109375" bestFit="1" customWidth="1"/>
    <col min="4867" max="4867" width="9.140625" customWidth="1"/>
    <col min="4868" max="4890" width="8.140625" customWidth="1"/>
    <col min="4891" max="4891" width="12.5703125" bestFit="1" customWidth="1"/>
    <col min="4892" max="4892" width="3.42578125" bestFit="1" customWidth="1"/>
    <col min="4893" max="4900" width="3.85546875" bestFit="1" customWidth="1"/>
    <col min="4901" max="4901" width="4.5703125" bestFit="1" customWidth="1"/>
    <col min="4902" max="4902" width="4.28515625" bestFit="1" customWidth="1"/>
    <col min="4903" max="4910" width="4.5703125" bestFit="1" customWidth="1"/>
    <col min="4911" max="4911" width="5" bestFit="1" customWidth="1"/>
    <col min="4912" max="4912" width="4.5703125" bestFit="1" customWidth="1"/>
    <col min="4913" max="4915" width="5" bestFit="1" customWidth="1"/>
    <col min="4917" max="4925" width="3.85546875" bestFit="1" customWidth="1"/>
    <col min="4926" max="4926" width="4.5703125" bestFit="1" customWidth="1"/>
    <col min="4927" max="4927" width="4.28515625" bestFit="1" customWidth="1"/>
    <col min="4928" max="4935" width="4.5703125" bestFit="1" customWidth="1"/>
    <col min="4936" max="4936" width="5" bestFit="1" customWidth="1"/>
    <col min="4937" max="4937" width="4.5703125" bestFit="1" customWidth="1"/>
    <col min="4938" max="4940" width="5" bestFit="1" customWidth="1"/>
    <col min="4941" max="4941" width="6.28515625" bestFit="1" customWidth="1"/>
    <col min="4942" max="4942" width="3.5703125" bestFit="1" customWidth="1"/>
    <col min="4943" max="4950" width="3.85546875" bestFit="1" customWidth="1"/>
    <col min="4951" max="4951" width="4.5703125" bestFit="1" customWidth="1"/>
    <col min="4952" max="4952" width="4.28515625" bestFit="1" customWidth="1"/>
    <col min="4953" max="4960" width="4.5703125" bestFit="1" customWidth="1"/>
    <col min="4961" max="4961" width="5" bestFit="1" customWidth="1"/>
    <col min="4962" max="4962" width="4.5703125" bestFit="1" customWidth="1"/>
    <col min="4963" max="4965" width="5" bestFit="1" customWidth="1"/>
    <col min="5122" max="5122" width="26.7109375" bestFit="1" customWidth="1"/>
    <col min="5123" max="5123" width="9.140625" customWidth="1"/>
    <col min="5124" max="5146" width="8.140625" customWidth="1"/>
    <col min="5147" max="5147" width="12.5703125" bestFit="1" customWidth="1"/>
    <col min="5148" max="5148" width="3.42578125" bestFit="1" customWidth="1"/>
    <col min="5149" max="5156" width="3.85546875" bestFit="1" customWidth="1"/>
    <col min="5157" max="5157" width="4.5703125" bestFit="1" customWidth="1"/>
    <col min="5158" max="5158" width="4.28515625" bestFit="1" customWidth="1"/>
    <col min="5159" max="5166" width="4.5703125" bestFit="1" customWidth="1"/>
    <col min="5167" max="5167" width="5" bestFit="1" customWidth="1"/>
    <col min="5168" max="5168" width="4.5703125" bestFit="1" customWidth="1"/>
    <col min="5169" max="5171" width="5" bestFit="1" customWidth="1"/>
    <col min="5173" max="5181" width="3.85546875" bestFit="1" customWidth="1"/>
    <col min="5182" max="5182" width="4.5703125" bestFit="1" customWidth="1"/>
    <col min="5183" max="5183" width="4.28515625" bestFit="1" customWidth="1"/>
    <col min="5184" max="5191" width="4.5703125" bestFit="1" customWidth="1"/>
    <col min="5192" max="5192" width="5" bestFit="1" customWidth="1"/>
    <col min="5193" max="5193" width="4.5703125" bestFit="1" customWidth="1"/>
    <col min="5194" max="5196" width="5" bestFit="1" customWidth="1"/>
    <col min="5197" max="5197" width="6.28515625" bestFit="1" customWidth="1"/>
    <col min="5198" max="5198" width="3.5703125" bestFit="1" customWidth="1"/>
    <col min="5199" max="5206" width="3.85546875" bestFit="1" customWidth="1"/>
    <col min="5207" max="5207" width="4.5703125" bestFit="1" customWidth="1"/>
    <col min="5208" max="5208" width="4.28515625" bestFit="1" customWidth="1"/>
    <col min="5209" max="5216" width="4.5703125" bestFit="1" customWidth="1"/>
    <col min="5217" max="5217" width="5" bestFit="1" customWidth="1"/>
    <col min="5218" max="5218" width="4.5703125" bestFit="1" customWidth="1"/>
    <col min="5219" max="5221" width="5" bestFit="1" customWidth="1"/>
    <col min="5378" max="5378" width="26.7109375" bestFit="1" customWidth="1"/>
    <col min="5379" max="5379" width="9.140625" customWidth="1"/>
    <col min="5380" max="5402" width="8.140625" customWidth="1"/>
    <col min="5403" max="5403" width="12.5703125" bestFit="1" customWidth="1"/>
    <col min="5404" max="5404" width="3.42578125" bestFit="1" customWidth="1"/>
    <col min="5405" max="5412" width="3.85546875" bestFit="1" customWidth="1"/>
    <col min="5413" max="5413" width="4.5703125" bestFit="1" customWidth="1"/>
    <col min="5414" max="5414" width="4.28515625" bestFit="1" customWidth="1"/>
    <col min="5415" max="5422" width="4.5703125" bestFit="1" customWidth="1"/>
    <col min="5423" max="5423" width="5" bestFit="1" customWidth="1"/>
    <col min="5424" max="5424" width="4.5703125" bestFit="1" customWidth="1"/>
    <col min="5425" max="5427" width="5" bestFit="1" customWidth="1"/>
    <col min="5429" max="5437" width="3.85546875" bestFit="1" customWidth="1"/>
    <col min="5438" max="5438" width="4.5703125" bestFit="1" customWidth="1"/>
    <col min="5439" max="5439" width="4.28515625" bestFit="1" customWidth="1"/>
    <col min="5440" max="5447" width="4.5703125" bestFit="1" customWidth="1"/>
    <col min="5448" max="5448" width="5" bestFit="1" customWidth="1"/>
    <col min="5449" max="5449" width="4.5703125" bestFit="1" customWidth="1"/>
    <col min="5450" max="5452" width="5" bestFit="1" customWidth="1"/>
    <col min="5453" max="5453" width="6.28515625" bestFit="1" customWidth="1"/>
    <col min="5454" max="5454" width="3.5703125" bestFit="1" customWidth="1"/>
    <col min="5455" max="5462" width="3.85546875" bestFit="1" customWidth="1"/>
    <col min="5463" max="5463" width="4.5703125" bestFit="1" customWidth="1"/>
    <col min="5464" max="5464" width="4.28515625" bestFit="1" customWidth="1"/>
    <col min="5465" max="5472" width="4.5703125" bestFit="1" customWidth="1"/>
    <col min="5473" max="5473" width="5" bestFit="1" customWidth="1"/>
    <col min="5474" max="5474" width="4.5703125" bestFit="1" customWidth="1"/>
    <col min="5475" max="5477" width="5" bestFit="1" customWidth="1"/>
    <col min="5634" max="5634" width="26.7109375" bestFit="1" customWidth="1"/>
    <col min="5635" max="5635" width="9.140625" customWidth="1"/>
    <col min="5636" max="5658" width="8.140625" customWidth="1"/>
    <col min="5659" max="5659" width="12.5703125" bestFit="1" customWidth="1"/>
    <col min="5660" max="5660" width="3.42578125" bestFit="1" customWidth="1"/>
    <col min="5661" max="5668" width="3.85546875" bestFit="1" customWidth="1"/>
    <col min="5669" max="5669" width="4.5703125" bestFit="1" customWidth="1"/>
    <col min="5670" max="5670" width="4.28515625" bestFit="1" customWidth="1"/>
    <col min="5671" max="5678" width="4.5703125" bestFit="1" customWidth="1"/>
    <col min="5679" max="5679" width="5" bestFit="1" customWidth="1"/>
    <col min="5680" max="5680" width="4.5703125" bestFit="1" customWidth="1"/>
    <col min="5681" max="5683" width="5" bestFit="1" customWidth="1"/>
    <col min="5685" max="5693" width="3.85546875" bestFit="1" customWidth="1"/>
    <col min="5694" max="5694" width="4.5703125" bestFit="1" customWidth="1"/>
    <col min="5695" max="5695" width="4.28515625" bestFit="1" customWidth="1"/>
    <col min="5696" max="5703" width="4.5703125" bestFit="1" customWidth="1"/>
    <col min="5704" max="5704" width="5" bestFit="1" customWidth="1"/>
    <col min="5705" max="5705" width="4.5703125" bestFit="1" customWidth="1"/>
    <col min="5706" max="5708" width="5" bestFit="1" customWidth="1"/>
    <col min="5709" max="5709" width="6.28515625" bestFit="1" customWidth="1"/>
    <col min="5710" max="5710" width="3.5703125" bestFit="1" customWidth="1"/>
    <col min="5711" max="5718" width="3.85546875" bestFit="1" customWidth="1"/>
    <col min="5719" max="5719" width="4.5703125" bestFit="1" customWidth="1"/>
    <col min="5720" max="5720" width="4.28515625" bestFit="1" customWidth="1"/>
    <col min="5721" max="5728" width="4.5703125" bestFit="1" customWidth="1"/>
    <col min="5729" max="5729" width="5" bestFit="1" customWidth="1"/>
    <col min="5730" max="5730" width="4.5703125" bestFit="1" customWidth="1"/>
    <col min="5731" max="5733" width="5" bestFit="1" customWidth="1"/>
    <col min="5890" max="5890" width="26.7109375" bestFit="1" customWidth="1"/>
    <col min="5891" max="5891" width="9.140625" customWidth="1"/>
    <col min="5892" max="5914" width="8.140625" customWidth="1"/>
    <col min="5915" max="5915" width="12.5703125" bestFit="1" customWidth="1"/>
    <col min="5916" max="5916" width="3.42578125" bestFit="1" customWidth="1"/>
    <col min="5917" max="5924" width="3.85546875" bestFit="1" customWidth="1"/>
    <col min="5925" max="5925" width="4.5703125" bestFit="1" customWidth="1"/>
    <col min="5926" max="5926" width="4.28515625" bestFit="1" customWidth="1"/>
    <col min="5927" max="5934" width="4.5703125" bestFit="1" customWidth="1"/>
    <col min="5935" max="5935" width="5" bestFit="1" customWidth="1"/>
    <col min="5936" max="5936" width="4.5703125" bestFit="1" customWidth="1"/>
    <col min="5937" max="5939" width="5" bestFit="1" customWidth="1"/>
    <col min="5941" max="5949" width="3.85546875" bestFit="1" customWidth="1"/>
    <col min="5950" max="5950" width="4.5703125" bestFit="1" customWidth="1"/>
    <col min="5951" max="5951" width="4.28515625" bestFit="1" customWidth="1"/>
    <col min="5952" max="5959" width="4.5703125" bestFit="1" customWidth="1"/>
    <col min="5960" max="5960" width="5" bestFit="1" customWidth="1"/>
    <col min="5961" max="5961" width="4.5703125" bestFit="1" customWidth="1"/>
    <col min="5962" max="5964" width="5" bestFit="1" customWidth="1"/>
    <col min="5965" max="5965" width="6.28515625" bestFit="1" customWidth="1"/>
    <col min="5966" max="5966" width="3.5703125" bestFit="1" customWidth="1"/>
    <col min="5967" max="5974" width="3.85546875" bestFit="1" customWidth="1"/>
    <col min="5975" max="5975" width="4.5703125" bestFit="1" customWidth="1"/>
    <col min="5976" max="5976" width="4.28515625" bestFit="1" customWidth="1"/>
    <col min="5977" max="5984" width="4.5703125" bestFit="1" customWidth="1"/>
    <col min="5985" max="5985" width="5" bestFit="1" customWidth="1"/>
    <col min="5986" max="5986" width="4.5703125" bestFit="1" customWidth="1"/>
    <col min="5987" max="5989" width="5" bestFit="1" customWidth="1"/>
    <col min="6146" max="6146" width="26.7109375" bestFit="1" customWidth="1"/>
    <col min="6147" max="6147" width="9.140625" customWidth="1"/>
    <col min="6148" max="6170" width="8.140625" customWidth="1"/>
    <col min="6171" max="6171" width="12.5703125" bestFit="1" customWidth="1"/>
    <col min="6172" max="6172" width="3.42578125" bestFit="1" customWidth="1"/>
    <col min="6173" max="6180" width="3.85546875" bestFit="1" customWidth="1"/>
    <col min="6181" max="6181" width="4.5703125" bestFit="1" customWidth="1"/>
    <col min="6182" max="6182" width="4.28515625" bestFit="1" customWidth="1"/>
    <col min="6183" max="6190" width="4.5703125" bestFit="1" customWidth="1"/>
    <col min="6191" max="6191" width="5" bestFit="1" customWidth="1"/>
    <col min="6192" max="6192" width="4.5703125" bestFit="1" customWidth="1"/>
    <col min="6193" max="6195" width="5" bestFit="1" customWidth="1"/>
    <col min="6197" max="6205" width="3.85546875" bestFit="1" customWidth="1"/>
    <col min="6206" max="6206" width="4.5703125" bestFit="1" customWidth="1"/>
    <col min="6207" max="6207" width="4.28515625" bestFit="1" customWidth="1"/>
    <col min="6208" max="6215" width="4.5703125" bestFit="1" customWidth="1"/>
    <col min="6216" max="6216" width="5" bestFit="1" customWidth="1"/>
    <col min="6217" max="6217" width="4.5703125" bestFit="1" customWidth="1"/>
    <col min="6218" max="6220" width="5" bestFit="1" customWidth="1"/>
    <col min="6221" max="6221" width="6.28515625" bestFit="1" customWidth="1"/>
    <col min="6222" max="6222" width="3.5703125" bestFit="1" customWidth="1"/>
    <col min="6223" max="6230" width="3.85546875" bestFit="1" customWidth="1"/>
    <col min="6231" max="6231" width="4.5703125" bestFit="1" customWidth="1"/>
    <col min="6232" max="6232" width="4.28515625" bestFit="1" customWidth="1"/>
    <col min="6233" max="6240" width="4.5703125" bestFit="1" customWidth="1"/>
    <col min="6241" max="6241" width="5" bestFit="1" customWidth="1"/>
    <col min="6242" max="6242" width="4.5703125" bestFit="1" customWidth="1"/>
    <col min="6243" max="6245" width="5" bestFit="1" customWidth="1"/>
    <col min="6402" max="6402" width="26.7109375" bestFit="1" customWidth="1"/>
    <col min="6403" max="6403" width="9.140625" customWidth="1"/>
    <col min="6404" max="6426" width="8.140625" customWidth="1"/>
    <col min="6427" max="6427" width="12.5703125" bestFit="1" customWidth="1"/>
    <col min="6428" max="6428" width="3.42578125" bestFit="1" customWidth="1"/>
    <col min="6429" max="6436" width="3.85546875" bestFit="1" customWidth="1"/>
    <col min="6437" max="6437" width="4.5703125" bestFit="1" customWidth="1"/>
    <col min="6438" max="6438" width="4.28515625" bestFit="1" customWidth="1"/>
    <col min="6439" max="6446" width="4.5703125" bestFit="1" customWidth="1"/>
    <col min="6447" max="6447" width="5" bestFit="1" customWidth="1"/>
    <col min="6448" max="6448" width="4.5703125" bestFit="1" customWidth="1"/>
    <col min="6449" max="6451" width="5" bestFit="1" customWidth="1"/>
    <col min="6453" max="6461" width="3.85546875" bestFit="1" customWidth="1"/>
    <col min="6462" max="6462" width="4.5703125" bestFit="1" customWidth="1"/>
    <col min="6463" max="6463" width="4.28515625" bestFit="1" customWidth="1"/>
    <col min="6464" max="6471" width="4.5703125" bestFit="1" customWidth="1"/>
    <col min="6472" max="6472" width="5" bestFit="1" customWidth="1"/>
    <col min="6473" max="6473" width="4.5703125" bestFit="1" customWidth="1"/>
    <col min="6474" max="6476" width="5" bestFit="1" customWidth="1"/>
    <col min="6477" max="6477" width="6.28515625" bestFit="1" customWidth="1"/>
    <col min="6478" max="6478" width="3.5703125" bestFit="1" customWidth="1"/>
    <col min="6479" max="6486" width="3.85546875" bestFit="1" customWidth="1"/>
    <col min="6487" max="6487" width="4.5703125" bestFit="1" customWidth="1"/>
    <col min="6488" max="6488" width="4.28515625" bestFit="1" customWidth="1"/>
    <col min="6489" max="6496" width="4.5703125" bestFit="1" customWidth="1"/>
    <col min="6497" max="6497" width="5" bestFit="1" customWidth="1"/>
    <col min="6498" max="6498" width="4.5703125" bestFit="1" customWidth="1"/>
    <col min="6499" max="6501" width="5" bestFit="1" customWidth="1"/>
    <col min="6658" max="6658" width="26.7109375" bestFit="1" customWidth="1"/>
    <col min="6659" max="6659" width="9.140625" customWidth="1"/>
    <col min="6660" max="6682" width="8.140625" customWidth="1"/>
    <col min="6683" max="6683" width="12.5703125" bestFit="1" customWidth="1"/>
    <col min="6684" max="6684" width="3.42578125" bestFit="1" customWidth="1"/>
    <col min="6685" max="6692" width="3.85546875" bestFit="1" customWidth="1"/>
    <col min="6693" max="6693" width="4.5703125" bestFit="1" customWidth="1"/>
    <col min="6694" max="6694" width="4.28515625" bestFit="1" customWidth="1"/>
    <col min="6695" max="6702" width="4.5703125" bestFit="1" customWidth="1"/>
    <col min="6703" max="6703" width="5" bestFit="1" customWidth="1"/>
    <col min="6704" max="6704" width="4.5703125" bestFit="1" customWidth="1"/>
    <col min="6705" max="6707" width="5" bestFit="1" customWidth="1"/>
    <col min="6709" max="6717" width="3.85546875" bestFit="1" customWidth="1"/>
    <col min="6718" max="6718" width="4.5703125" bestFit="1" customWidth="1"/>
    <col min="6719" max="6719" width="4.28515625" bestFit="1" customWidth="1"/>
    <col min="6720" max="6727" width="4.5703125" bestFit="1" customWidth="1"/>
    <col min="6728" max="6728" width="5" bestFit="1" customWidth="1"/>
    <col min="6729" max="6729" width="4.5703125" bestFit="1" customWidth="1"/>
    <col min="6730" max="6732" width="5" bestFit="1" customWidth="1"/>
    <col min="6733" max="6733" width="6.28515625" bestFit="1" customWidth="1"/>
    <col min="6734" max="6734" width="3.5703125" bestFit="1" customWidth="1"/>
    <col min="6735" max="6742" width="3.85546875" bestFit="1" customWidth="1"/>
    <col min="6743" max="6743" width="4.5703125" bestFit="1" customWidth="1"/>
    <col min="6744" max="6744" width="4.28515625" bestFit="1" customWidth="1"/>
    <col min="6745" max="6752" width="4.5703125" bestFit="1" customWidth="1"/>
    <col min="6753" max="6753" width="5" bestFit="1" customWidth="1"/>
    <col min="6754" max="6754" width="4.5703125" bestFit="1" customWidth="1"/>
    <col min="6755" max="6757" width="5" bestFit="1" customWidth="1"/>
    <col min="6914" max="6914" width="26.7109375" bestFit="1" customWidth="1"/>
    <col min="6915" max="6915" width="9.140625" customWidth="1"/>
    <col min="6916" max="6938" width="8.140625" customWidth="1"/>
    <col min="6939" max="6939" width="12.5703125" bestFit="1" customWidth="1"/>
    <col min="6940" max="6940" width="3.42578125" bestFit="1" customWidth="1"/>
    <col min="6941" max="6948" width="3.85546875" bestFit="1" customWidth="1"/>
    <col min="6949" max="6949" width="4.5703125" bestFit="1" customWidth="1"/>
    <col min="6950" max="6950" width="4.28515625" bestFit="1" customWidth="1"/>
    <col min="6951" max="6958" width="4.5703125" bestFit="1" customWidth="1"/>
    <col min="6959" max="6959" width="5" bestFit="1" customWidth="1"/>
    <col min="6960" max="6960" width="4.5703125" bestFit="1" customWidth="1"/>
    <col min="6961" max="6963" width="5" bestFit="1" customWidth="1"/>
    <col min="6965" max="6973" width="3.85546875" bestFit="1" customWidth="1"/>
    <col min="6974" max="6974" width="4.5703125" bestFit="1" customWidth="1"/>
    <col min="6975" max="6975" width="4.28515625" bestFit="1" customWidth="1"/>
    <col min="6976" max="6983" width="4.5703125" bestFit="1" customWidth="1"/>
    <col min="6984" max="6984" width="5" bestFit="1" customWidth="1"/>
    <col min="6985" max="6985" width="4.5703125" bestFit="1" customWidth="1"/>
    <col min="6986" max="6988" width="5" bestFit="1" customWidth="1"/>
    <col min="6989" max="6989" width="6.28515625" bestFit="1" customWidth="1"/>
    <col min="6990" max="6990" width="3.5703125" bestFit="1" customWidth="1"/>
    <col min="6991" max="6998" width="3.85546875" bestFit="1" customWidth="1"/>
    <col min="6999" max="6999" width="4.5703125" bestFit="1" customWidth="1"/>
    <col min="7000" max="7000" width="4.28515625" bestFit="1" customWidth="1"/>
    <col min="7001" max="7008" width="4.5703125" bestFit="1" customWidth="1"/>
    <col min="7009" max="7009" width="5" bestFit="1" customWidth="1"/>
    <col min="7010" max="7010" width="4.5703125" bestFit="1" customWidth="1"/>
    <col min="7011" max="7013" width="5" bestFit="1" customWidth="1"/>
    <col min="7170" max="7170" width="26.7109375" bestFit="1" customWidth="1"/>
    <col min="7171" max="7171" width="9.140625" customWidth="1"/>
    <col min="7172" max="7194" width="8.140625" customWidth="1"/>
    <col min="7195" max="7195" width="12.5703125" bestFit="1" customWidth="1"/>
    <col min="7196" max="7196" width="3.42578125" bestFit="1" customWidth="1"/>
    <col min="7197" max="7204" width="3.85546875" bestFit="1" customWidth="1"/>
    <col min="7205" max="7205" width="4.5703125" bestFit="1" customWidth="1"/>
    <col min="7206" max="7206" width="4.28515625" bestFit="1" customWidth="1"/>
    <col min="7207" max="7214" width="4.5703125" bestFit="1" customWidth="1"/>
    <col min="7215" max="7215" width="5" bestFit="1" customWidth="1"/>
    <col min="7216" max="7216" width="4.5703125" bestFit="1" customWidth="1"/>
    <col min="7217" max="7219" width="5" bestFit="1" customWidth="1"/>
    <col min="7221" max="7229" width="3.85546875" bestFit="1" customWidth="1"/>
    <col min="7230" max="7230" width="4.5703125" bestFit="1" customWidth="1"/>
    <col min="7231" max="7231" width="4.28515625" bestFit="1" customWidth="1"/>
    <col min="7232" max="7239" width="4.5703125" bestFit="1" customWidth="1"/>
    <col min="7240" max="7240" width="5" bestFit="1" customWidth="1"/>
    <col min="7241" max="7241" width="4.5703125" bestFit="1" customWidth="1"/>
    <col min="7242" max="7244" width="5" bestFit="1" customWidth="1"/>
    <col min="7245" max="7245" width="6.28515625" bestFit="1" customWidth="1"/>
    <col min="7246" max="7246" width="3.5703125" bestFit="1" customWidth="1"/>
    <col min="7247" max="7254" width="3.85546875" bestFit="1" customWidth="1"/>
    <col min="7255" max="7255" width="4.5703125" bestFit="1" customWidth="1"/>
    <col min="7256" max="7256" width="4.28515625" bestFit="1" customWidth="1"/>
    <col min="7257" max="7264" width="4.5703125" bestFit="1" customWidth="1"/>
    <col min="7265" max="7265" width="5" bestFit="1" customWidth="1"/>
    <col min="7266" max="7266" width="4.5703125" bestFit="1" customWidth="1"/>
    <col min="7267" max="7269" width="5" bestFit="1" customWidth="1"/>
    <col min="7426" max="7426" width="26.7109375" bestFit="1" customWidth="1"/>
    <col min="7427" max="7427" width="9.140625" customWidth="1"/>
    <col min="7428" max="7450" width="8.140625" customWidth="1"/>
    <col min="7451" max="7451" width="12.5703125" bestFit="1" customWidth="1"/>
    <col min="7452" max="7452" width="3.42578125" bestFit="1" customWidth="1"/>
    <col min="7453" max="7460" width="3.85546875" bestFit="1" customWidth="1"/>
    <col min="7461" max="7461" width="4.5703125" bestFit="1" customWidth="1"/>
    <col min="7462" max="7462" width="4.28515625" bestFit="1" customWidth="1"/>
    <col min="7463" max="7470" width="4.5703125" bestFit="1" customWidth="1"/>
    <col min="7471" max="7471" width="5" bestFit="1" customWidth="1"/>
    <col min="7472" max="7472" width="4.5703125" bestFit="1" customWidth="1"/>
    <col min="7473" max="7475" width="5" bestFit="1" customWidth="1"/>
    <col min="7477" max="7485" width="3.85546875" bestFit="1" customWidth="1"/>
    <col min="7486" max="7486" width="4.5703125" bestFit="1" customWidth="1"/>
    <col min="7487" max="7487" width="4.28515625" bestFit="1" customWidth="1"/>
    <col min="7488" max="7495" width="4.5703125" bestFit="1" customWidth="1"/>
    <col min="7496" max="7496" width="5" bestFit="1" customWidth="1"/>
    <col min="7497" max="7497" width="4.5703125" bestFit="1" customWidth="1"/>
    <col min="7498" max="7500" width="5" bestFit="1" customWidth="1"/>
    <col min="7501" max="7501" width="6.28515625" bestFit="1" customWidth="1"/>
    <col min="7502" max="7502" width="3.5703125" bestFit="1" customWidth="1"/>
    <col min="7503" max="7510" width="3.85546875" bestFit="1" customWidth="1"/>
    <col min="7511" max="7511" width="4.5703125" bestFit="1" customWidth="1"/>
    <col min="7512" max="7512" width="4.28515625" bestFit="1" customWidth="1"/>
    <col min="7513" max="7520" width="4.5703125" bestFit="1" customWidth="1"/>
    <col min="7521" max="7521" width="5" bestFit="1" customWidth="1"/>
    <col min="7522" max="7522" width="4.5703125" bestFit="1" customWidth="1"/>
    <col min="7523" max="7525" width="5" bestFit="1" customWidth="1"/>
    <col min="7682" max="7682" width="26.7109375" bestFit="1" customWidth="1"/>
    <col min="7683" max="7683" width="9.140625" customWidth="1"/>
    <col min="7684" max="7706" width="8.140625" customWidth="1"/>
    <col min="7707" max="7707" width="12.5703125" bestFit="1" customWidth="1"/>
    <col min="7708" max="7708" width="3.42578125" bestFit="1" customWidth="1"/>
    <col min="7709" max="7716" width="3.85546875" bestFit="1" customWidth="1"/>
    <col min="7717" max="7717" width="4.5703125" bestFit="1" customWidth="1"/>
    <col min="7718" max="7718" width="4.28515625" bestFit="1" customWidth="1"/>
    <col min="7719" max="7726" width="4.5703125" bestFit="1" customWidth="1"/>
    <col min="7727" max="7727" width="5" bestFit="1" customWidth="1"/>
    <col min="7728" max="7728" width="4.5703125" bestFit="1" customWidth="1"/>
    <col min="7729" max="7731" width="5" bestFit="1" customWidth="1"/>
    <col min="7733" max="7741" width="3.85546875" bestFit="1" customWidth="1"/>
    <col min="7742" max="7742" width="4.5703125" bestFit="1" customWidth="1"/>
    <col min="7743" max="7743" width="4.28515625" bestFit="1" customWidth="1"/>
    <col min="7744" max="7751" width="4.5703125" bestFit="1" customWidth="1"/>
    <col min="7752" max="7752" width="5" bestFit="1" customWidth="1"/>
    <col min="7753" max="7753" width="4.5703125" bestFit="1" customWidth="1"/>
    <col min="7754" max="7756" width="5" bestFit="1" customWidth="1"/>
    <col min="7757" max="7757" width="6.28515625" bestFit="1" customWidth="1"/>
    <col min="7758" max="7758" width="3.5703125" bestFit="1" customWidth="1"/>
    <col min="7759" max="7766" width="3.85546875" bestFit="1" customWidth="1"/>
    <col min="7767" max="7767" width="4.5703125" bestFit="1" customWidth="1"/>
    <col min="7768" max="7768" width="4.28515625" bestFit="1" customWidth="1"/>
    <col min="7769" max="7776" width="4.5703125" bestFit="1" customWidth="1"/>
    <col min="7777" max="7777" width="5" bestFit="1" customWidth="1"/>
    <col min="7778" max="7778" width="4.5703125" bestFit="1" customWidth="1"/>
    <col min="7779" max="7781" width="5" bestFit="1" customWidth="1"/>
    <col min="7938" max="7938" width="26.7109375" bestFit="1" customWidth="1"/>
    <col min="7939" max="7939" width="9.140625" customWidth="1"/>
    <col min="7940" max="7962" width="8.140625" customWidth="1"/>
    <col min="7963" max="7963" width="12.5703125" bestFit="1" customWidth="1"/>
    <col min="7964" max="7964" width="3.42578125" bestFit="1" customWidth="1"/>
    <col min="7965" max="7972" width="3.85546875" bestFit="1" customWidth="1"/>
    <col min="7973" max="7973" width="4.5703125" bestFit="1" customWidth="1"/>
    <col min="7974" max="7974" width="4.28515625" bestFit="1" customWidth="1"/>
    <col min="7975" max="7982" width="4.5703125" bestFit="1" customWidth="1"/>
    <col min="7983" max="7983" width="5" bestFit="1" customWidth="1"/>
    <col min="7984" max="7984" width="4.5703125" bestFit="1" customWidth="1"/>
    <col min="7985" max="7987" width="5" bestFit="1" customWidth="1"/>
    <col min="7989" max="7997" width="3.85546875" bestFit="1" customWidth="1"/>
    <col min="7998" max="7998" width="4.5703125" bestFit="1" customWidth="1"/>
    <col min="7999" max="7999" width="4.28515625" bestFit="1" customWidth="1"/>
    <col min="8000" max="8007" width="4.5703125" bestFit="1" customWidth="1"/>
    <col min="8008" max="8008" width="5" bestFit="1" customWidth="1"/>
    <col min="8009" max="8009" width="4.5703125" bestFit="1" customWidth="1"/>
    <col min="8010" max="8012" width="5" bestFit="1" customWidth="1"/>
    <col min="8013" max="8013" width="6.28515625" bestFit="1" customWidth="1"/>
    <col min="8014" max="8014" width="3.5703125" bestFit="1" customWidth="1"/>
    <col min="8015" max="8022" width="3.85546875" bestFit="1" customWidth="1"/>
    <col min="8023" max="8023" width="4.5703125" bestFit="1" customWidth="1"/>
    <col min="8024" max="8024" width="4.28515625" bestFit="1" customWidth="1"/>
    <col min="8025" max="8032" width="4.5703125" bestFit="1" customWidth="1"/>
    <col min="8033" max="8033" width="5" bestFit="1" customWidth="1"/>
    <col min="8034" max="8034" width="4.5703125" bestFit="1" customWidth="1"/>
    <col min="8035" max="8037" width="5" bestFit="1" customWidth="1"/>
    <col min="8194" max="8194" width="26.7109375" bestFit="1" customWidth="1"/>
    <col min="8195" max="8195" width="9.140625" customWidth="1"/>
    <col min="8196" max="8218" width="8.140625" customWidth="1"/>
    <col min="8219" max="8219" width="12.5703125" bestFit="1" customWidth="1"/>
    <col min="8220" max="8220" width="3.42578125" bestFit="1" customWidth="1"/>
    <col min="8221" max="8228" width="3.85546875" bestFit="1" customWidth="1"/>
    <col min="8229" max="8229" width="4.5703125" bestFit="1" customWidth="1"/>
    <col min="8230" max="8230" width="4.28515625" bestFit="1" customWidth="1"/>
    <col min="8231" max="8238" width="4.5703125" bestFit="1" customWidth="1"/>
    <col min="8239" max="8239" width="5" bestFit="1" customWidth="1"/>
    <col min="8240" max="8240" width="4.5703125" bestFit="1" customWidth="1"/>
    <col min="8241" max="8243" width="5" bestFit="1" customWidth="1"/>
    <col min="8245" max="8253" width="3.85546875" bestFit="1" customWidth="1"/>
    <col min="8254" max="8254" width="4.5703125" bestFit="1" customWidth="1"/>
    <col min="8255" max="8255" width="4.28515625" bestFit="1" customWidth="1"/>
    <col min="8256" max="8263" width="4.5703125" bestFit="1" customWidth="1"/>
    <col min="8264" max="8264" width="5" bestFit="1" customWidth="1"/>
    <col min="8265" max="8265" width="4.5703125" bestFit="1" customWidth="1"/>
    <col min="8266" max="8268" width="5" bestFit="1" customWidth="1"/>
    <col min="8269" max="8269" width="6.28515625" bestFit="1" customWidth="1"/>
    <col min="8270" max="8270" width="3.5703125" bestFit="1" customWidth="1"/>
    <col min="8271" max="8278" width="3.85546875" bestFit="1" customWidth="1"/>
    <col min="8279" max="8279" width="4.5703125" bestFit="1" customWidth="1"/>
    <col min="8280" max="8280" width="4.28515625" bestFit="1" customWidth="1"/>
    <col min="8281" max="8288" width="4.5703125" bestFit="1" customWidth="1"/>
    <col min="8289" max="8289" width="5" bestFit="1" customWidth="1"/>
    <col min="8290" max="8290" width="4.5703125" bestFit="1" customWidth="1"/>
    <col min="8291" max="8293" width="5" bestFit="1" customWidth="1"/>
    <col min="8450" max="8450" width="26.7109375" bestFit="1" customWidth="1"/>
    <col min="8451" max="8451" width="9.140625" customWidth="1"/>
    <col min="8452" max="8474" width="8.140625" customWidth="1"/>
    <col min="8475" max="8475" width="12.5703125" bestFit="1" customWidth="1"/>
    <col min="8476" max="8476" width="3.42578125" bestFit="1" customWidth="1"/>
    <col min="8477" max="8484" width="3.85546875" bestFit="1" customWidth="1"/>
    <col min="8485" max="8485" width="4.5703125" bestFit="1" customWidth="1"/>
    <col min="8486" max="8486" width="4.28515625" bestFit="1" customWidth="1"/>
    <col min="8487" max="8494" width="4.5703125" bestFit="1" customWidth="1"/>
    <col min="8495" max="8495" width="5" bestFit="1" customWidth="1"/>
    <col min="8496" max="8496" width="4.5703125" bestFit="1" customWidth="1"/>
    <col min="8497" max="8499" width="5" bestFit="1" customWidth="1"/>
    <col min="8501" max="8509" width="3.85546875" bestFit="1" customWidth="1"/>
    <col min="8510" max="8510" width="4.5703125" bestFit="1" customWidth="1"/>
    <col min="8511" max="8511" width="4.28515625" bestFit="1" customWidth="1"/>
    <col min="8512" max="8519" width="4.5703125" bestFit="1" customWidth="1"/>
    <col min="8520" max="8520" width="5" bestFit="1" customWidth="1"/>
    <col min="8521" max="8521" width="4.5703125" bestFit="1" customWidth="1"/>
    <col min="8522" max="8524" width="5" bestFit="1" customWidth="1"/>
    <col min="8525" max="8525" width="6.28515625" bestFit="1" customWidth="1"/>
    <col min="8526" max="8526" width="3.5703125" bestFit="1" customWidth="1"/>
    <col min="8527" max="8534" width="3.85546875" bestFit="1" customWidth="1"/>
    <col min="8535" max="8535" width="4.5703125" bestFit="1" customWidth="1"/>
    <col min="8536" max="8536" width="4.28515625" bestFit="1" customWidth="1"/>
    <col min="8537" max="8544" width="4.5703125" bestFit="1" customWidth="1"/>
    <col min="8545" max="8545" width="5" bestFit="1" customWidth="1"/>
    <col min="8546" max="8546" width="4.5703125" bestFit="1" customWidth="1"/>
    <col min="8547" max="8549" width="5" bestFit="1" customWidth="1"/>
    <col min="8706" max="8706" width="26.7109375" bestFit="1" customWidth="1"/>
    <col min="8707" max="8707" width="9.140625" customWidth="1"/>
    <col min="8708" max="8730" width="8.140625" customWidth="1"/>
    <col min="8731" max="8731" width="12.5703125" bestFit="1" customWidth="1"/>
    <col min="8732" max="8732" width="3.42578125" bestFit="1" customWidth="1"/>
    <col min="8733" max="8740" width="3.85546875" bestFit="1" customWidth="1"/>
    <col min="8741" max="8741" width="4.5703125" bestFit="1" customWidth="1"/>
    <col min="8742" max="8742" width="4.28515625" bestFit="1" customWidth="1"/>
    <col min="8743" max="8750" width="4.5703125" bestFit="1" customWidth="1"/>
    <col min="8751" max="8751" width="5" bestFit="1" customWidth="1"/>
    <col min="8752" max="8752" width="4.5703125" bestFit="1" customWidth="1"/>
    <col min="8753" max="8755" width="5" bestFit="1" customWidth="1"/>
    <col min="8757" max="8765" width="3.85546875" bestFit="1" customWidth="1"/>
    <col min="8766" max="8766" width="4.5703125" bestFit="1" customWidth="1"/>
    <col min="8767" max="8767" width="4.28515625" bestFit="1" customWidth="1"/>
    <col min="8768" max="8775" width="4.5703125" bestFit="1" customWidth="1"/>
    <col min="8776" max="8776" width="5" bestFit="1" customWidth="1"/>
    <col min="8777" max="8777" width="4.5703125" bestFit="1" customWidth="1"/>
    <col min="8778" max="8780" width="5" bestFit="1" customWidth="1"/>
    <col min="8781" max="8781" width="6.28515625" bestFit="1" customWidth="1"/>
    <col min="8782" max="8782" width="3.5703125" bestFit="1" customWidth="1"/>
    <col min="8783" max="8790" width="3.85546875" bestFit="1" customWidth="1"/>
    <col min="8791" max="8791" width="4.5703125" bestFit="1" customWidth="1"/>
    <col min="8792" max="8792" width="4.28515625" bestFit="1" customWidth="1"/>
    <col min="8793" max="8800" width="4.5703125" bestFit="1" customWidth="1"/>
    <col min="8801" max="8801" width="5" bestFit="1" customWidth="1"/>
    <col min="8802" max="8802" width="4.5703125" bestFit="1" customWidth="1"/>
    <col min="8803" max="8805" width="5" bestFit="1" customWidth="1"/>
    <col min="8962" max="8962" width="26.7109375" bestFit="1" customWidth="1"/>
    <col min="8963" max="8963" width="9.140625" customWidth="1"/>
    <col min="8964" max="8986" width="8.140625" customWidth="1"/>
    <col min="8987" max="8987" width="12.5703125" bestFit="1" customWidth="1"/>
    <col min="8988" max="8988" width="3.42578125" bestFit="1" customWidth="1"/>
    <col min="8989" max="8996" width="3.85546875" bestFit="1" customWidth="1"/>
    <col min="8997" max="8997" width="4.5703125" bestFit="1" customWidth="1"/>
    <col min="8998" max="8998" width="4.28515625" bestFit="1" customWidth="1"/>
    <col min="8999" max="9006" width="4.5703125" bestFit="1" customWidth="1"/>
    <col min="9007" max="9007" width="5" bestFit="1" customWidth="1"/>
    <col min="9008" max="9008" width="4.5703125" bestFit="1" customWidth="1"/>
    <col min="9009" max="9011" width="5" bestFit="1" customWidth="1"/>
    <col min="9013" max="9021" width="3.85546875" bestFit="1" customWidth="1"/>
    <col min="9022" max="9022" width="4.5703125" bestFit="1" customWidth="1"/>
    <col min="9023" max="9023" width="4.28515625" bestFit="1" customWidth="1"/>
    <col min="9024" max="9031" width="4.5703125" bestFit="1" customWidth="1"/>
    <col min="9032" max="9032" width="5" bestFit="1" customWidth="1"/>
    <col min="9033" max="9033" width="4.5703125" bestFit="1" customWidth="1"/>
    <col min="9034" max="9036" width="5" bestFit="1" customWidth="1"/>
    <col min="9037" max="9037" width="6.28515625" bestFit="1" customWidth="1"/>
    <col min="9038" max="9038" width="3.5703125" bestFit="1" customWidth="1"/>
    <col min="9039" max="9046" width="3.85546875" bestFit="1" customWidth="1"/>
    <col min="9047" max="9047" width="4.5703125" bestFit="1" customWidth="1"/>
    <col min="9048" max="9048" width="4.28515625" bestFit="1" customWidth="1"/>
    <col min="9049" max="9056" width="4.5703125" bestFit="1" customWidth="1"/>
    <col min="9057" max="9057" width="5" bestFit="1" customWidth="1"/>
    <col min="9058" max="9058" width="4.5703125" bestFit="1" customWidth="1"/>
    <col min="9059" max="9061" width="5" bestFit="1" customWidth="1"/>
    <col min="9218" max="9218" width="26.7109375" bestFit="1" customWidth="1"/>
    <col min="9219" max="9219" width="9.140625" customWidth="1"/>
    <col min="9220" max="9242" width="8.140625" customWidth="1"/>
    <col min="9243" max="9243" width="12.5703125" bestFit="1" customWidth="1"/>
    <col min="9244" max="9244" width="3.42578125" bestFit="1" customWidth="1"/>
    <col min="9245" max="9252" width="3.85546875" bestFit="1" customWidth="1"/>
    <col min="9253" max="9253" width="4.5703125" bestFit="1" customWidth="1"/>
    <col min="9254" max="9254" width="4.28515625" bestFit="1" customWidth="1"/>
    <col min="9255" max="9262" width="4.5703125" bestFit="1" customWidth="1"/>
    <col min="9263" max="9263" width="5" bestFit="1" customWidth="1"/>
    <col min="9264" max="9264" width="4.5703125" bestFit="1" customWidth="1"/>
    <col min="9265" max="9267" width="5" bestFit="1" customWidth="1"/>
    <col min="9269" max="9277" width="3.85546875" bestFit="1" customWidth="1"/>
    <col min="9278" max="9278" width="4.5703125" bestFit="1" customWidth="1"/>
    <col min="9279" max="9279" width="4.28515625" bestFit="1" customWidth="1"/>
    <col min="9280" max="9287" width="4.5703125" bestFit="1" customWidth="1"/>
    <col min="9288" max="9288" width="5" bestFit="1" customWidth="1"/>
    <col min="9289" max="9289" width="4.5703125" bestFit="1" customWidth="1"/>
    <col min="9290" max="9292" width="5" bestFit="1" customWidth="1"/>
    <col min="9293" max="9293" width="6.28515625" bestFit="1" customWidth="1"/>
    <col min="9294" max="9294" width="3.5703125" bestFit="1" customWidth="1"/>
    <col min="9295" max="9302" width="3.85546875" bestFit="1" customWidth="1"/>
    <col min="9303" max="9303" width="4.5703125" bestFit="1" customWidth="1"/>
    <col min="9304" max="9304" width="4.28515625" bestFit="1" customWidth="1"/>
    <col min="9305" max="9312" width="4.5703125" bestFit="1" customWidth="1"/>
    <col min="9313" max="9313" width="5" bestFit="1" customWidth="1"/>
    <col min="9314" max="9314" width="4.5703125" bestFit="1" customWidth="1"/>
    <col min="9315" max="9317" width="5" bestFit="1" customWidth="1"/>
    <col min="9474" max="9474" width="26.7109375" bestFit="1" customWidth="1"/>
    <col min="9475" max="9475" width="9.140625" customWidth="1"/>
    <col min="9476" max="9498" width="8.140625" customWidth="1"/>
    <col min="9499" max="9499" width="12.5703125" bestFit="1" customWidth="1"/>
    <col min="9500" max="9500" width="3.42578125" bestFit="1" customWidth="1"/>
    <col min="9501" max="9508" width="3.85546875" bestFit="1" customWidth="1"/>
    <col min="9509" max="9509" width="4.5703125" bestFit="1" customWidth="1"/>
    <col min="9510" max="9510" width="4.28515625" bestFit="1" customWidth="1"/>
    <col min="9511" max="9518" width="4.5703125" bestFit="1" customWidth="1"/>
    <col min="9519" max="9519" width="5" bestFit="1" customWidth="1"/>
    <col min="9520" max="9520" width="4.5703125" bestFit="1" customWidth="1"/>
    <col min="9521" max="9523" width="5" bestFit="1" customWidth="1"/>
    <col min="9525" max="9533" width="3.85546875" bestFit="1" customWidth="1"/>
    <col min="9534" max="9534" width="4.5703125" bestFit="1" customWidth="1"/>
    <col min="9535" max="9535" width="4.28515625" bestFit="1" customWidth="1"/>
    <col min="9536" max="9543" width="4.5703125" bestFit="1" customWidth="1"/>
    <col min="9544" max="9544" width="5" bestFit="1" customWidth="1"/>
    <col min="9545" max="9545" width="4.5703125" bestFit="1" customWidth="1"/>
    <col min="9546" max="9548" width="5" bestFit="1" customWidth="1"/>
    <col min="9549" max="9549" width="6.28515625" bestFit="1" customWidth="1"/>
    <col min="9550" max="9550" width="3.5703125" bestFit="1" customWidth="1"/>
    <col min="9551" max="9558" width="3.85546875" bestFit="1" customWidth="1"/>
    <col min="9559" max="9559" width="4.5703125" bestFit="1" customWidth="1"/>
    <col min="9560" max="9560" width="4.28515625" bestFit="1" customWidth="1"/>
    <col min="9561" max="9568" width="4.5703125" bestFit="1" customWidth="1"/>
    <col min="9569" max="9569" width="5" bestFit="1" customWidth="1"/>
    <col min="9570" max="9570" width="4.5703125" bestFit="1" customWidth="1"/>
    <col min="9571" max="9573" width="5" bestFit="1" customWidth="1"/>
    <col min="9730" max="9730" width="26.7109375" bestFit="1" customWidth="1"/>
    <col min="9731" max="9731" width="9.140625" customWidth="1"/>
    <col min="9732" max="9754" width="8.140625" customWidth="1"/>
    <col min="9755" max="9755" width="12.5703125" bestFit="1" customWidth="1"/>
    <col min="9756" max="9756" width="3.42578125" bestFit="1" customWidth="1"/>
    <col min="9757" max="9764" width="3.85546875" bestFit="1" customWidth="1"/>
    <col min="9765" max="9765" width="4.5703125" bestFit="1" customWidth="1"/>
    <col min="9766" max="9766" width="4.28515625" bestFit="1" customWidth="1"/>
    <col min="9767" max="9774" width="4.5703125" bestFit="1" customWidth="1"/>
    <col min="9775" max="9775" width="5" bestFit="1" customWidth="1"/>
    <col min="9776" max="9776" width="4.5703125" bestFit="1" customWidth="1"/>
    <col min="9777" max="9779" width="5" bestFit="1" customWidth="1"/>
    <col min="9781" max="9789" width="3.85546875" bestFit="1" customWidth="1"/>
    <col min="9790" max="9790" width="4.5703125" bestFit="1" customWidth="1"/>
    <col min="9791" max="9791" width="4.28515625" bestFit="1" customWidth="1"/>
    <col min="9792" max="9799" width="4.5703125" bestFit="1" customWidth="1"/>
    <col min="9800" max="9800" width="5" bestFit="1" customWidth="1"/>
    <col min="9801" max="9801" width="4.5703125" bestFit="1" customWidth="1"/>
    <col min="9802" max="9804" width="5" bestFit="1" customWidth="1"/>
    <col min="9805" max="9805" width="6.28515625" bestFit="1" customWidth="1"/>
    <col min="9806" max="9806" width="3.5703125" bestFit="1" customWidth="1"/>
    <col min="9807" max="9814" width="3.85546875" bestFit="1" customWidth="1"/>
    <col min="9815" max="9815" width="4.5703125" bestFit="1" customWidth="1"/>
    <col min="9816" max="9816" width="4.28515625" bestFit="1" customWidth="1"/>
    <col min="9817" max="9824" width="4.5703125" bestFit="1" customWidth="1"/>
    <col min="9825" max="9825" width="5" bestFit="1" customWidth="1"/>
    <col min="9826" max="9826" width="4.5703125" bestFit="1" customWidth="1"/>
    <col min="9827" max="9829" width="5" bestFit="1" customWidth="1"/>
    <col min="9986" max="9986" width="26.7109375" bestFit="1" customWidth="1"/>
    <col min="9987" max="9987" width="9.140625" customWidth="1"/>
    <col min="9988" max="10010" width="8.140625" customWidth="1"/>
    <col min="10011" max="10011" width="12.5703125" bestFit="1" customWidth="1"/>
    <col min="10012" max="10012" width="3.42578125" bestFit="1" customWidth="1"/>
    <col min="10013" max="10020" width="3.85546875" bestFit="1" customWidth="1"/>
    <col min="10021" max="10021" width="4.5703125" bestFit="1" customWidth="1"/>
    <col min="10022" max="10022" width="4.28515625" bestFit="1" customWidth="1"/>
    <col min="10023" max="10030" width="4.5703125" bestFit="1" customWidth="1"/>
    <col min="10031" max="10031" width="5" bestFit="1" customWidth="1"/>
    <col min="10032" max="10032" width="4.5703125" bestFit="1" customWidth="1"/>
    <col min="10033" max="10035" width="5" bestFit="1" customWidth="1"/>
    <col min="10037" max="10045" width="3.85546875" bestFit="1" customWidth="1"/>
    <col min="10046" max="10046" width="4.5703125" bestFit="1" customWidth="1"/>
    <col min="10047" max="10047" width="4.28515625" bestFit="1" customWidth="1"/>
    <col min="10048" max="10055" width="4.5703125" bestFit="1" customWidth="1"/>
    <col min="10056" max="10056" width="5" bestFit="1" customWidth="1"/>
    <col min="10057" max="10057" width="4.5703125" bestFit="1" customWidth="1"/>
    <col min="10058" max="10060" width="5" bestFit="1" customWidth="1"/>
    <col min="10061" max="10061" width="6.28515625" bestFit="1" customWidth="1"/>
    <col min="10062" max="10062" width="3.5703125" bestFit="1" customWidth="1"/>
    <col min="10063" max="10070" width="3.85546875" bestFit="1" customWidth="1"/>
    <col min="10071" max="10071" width="4.5703125" bestFit="1" customWidth="1"/>
    <col min="10072" max="10072" width="4.28515625" bestFit="1" customWidth="1"/>
    <col min="10073" max="10080" width="4.5703125" bestFit="1" customWidth="1"/>
    <col min="10081" max="10081" width="5" bestFit="1" customWidth="1"/>
    <col min="10082" max="10082" width="4.5703125" bestFit="1" customWidth="1"/>
    <col min="10083" max="10085" width="5" bestFit="1" customWidth="1"/>
    <col min="10242" max="10242" width="26.7109375" bestFit="1" customWidth="1"/>
    <col min="10243" max="10243" width="9.140625" customWidth="1"/>
    <col min="10244" max="10266" width="8.140625" customWidth="1"/>
    <col min="10267" max="10267" width="12.5703125" bestFit="1" customWidth="1"/>
    <col min="10268" max="10268" width="3.42578125" bestFit="1" customWidth="1"/>
    <col min="10269" max="10276" width="3.85546875" bestFit="1" customWidth="1"/>
    <col min="10277" max="10277" width="4.5703125" bestFit="1" customWidth="1"/>
    <col min="10278" max="10278" width="4.28515625" bestFit="1" customWidth="1"/>
    <col min="10279" max="10286" width="4.5703125" bestFit="1" customWidth="1"/>
    <col min="10287" max="10287" width="5" bestFit="1" customWidth="1"/>
    <col min="10288" max="10288" width="4.5703125" bestFit="1" customWidth="1"/>
    <col min="10289" max="10291" width="5" bestFit="1" customWidth="1"/>
    <col min="10293" max="10301" width="3.85546875" bestFit="1" customWidth="1"/>
    <col min="10302" max="10302" width="4.5703125" bestFit="1" customWidth="1"/>
    <col min="10303" max="10303" width="4.28515625" bestFit="1" customWidth="1"/>
    <col min="10304" max="10311" width="4.5703125" bestFit="1" customWidth="1"/>
    <col min="10312" max="10312" width="5" bestFit="1" customWidth="1"/>
    <col min="10313" max="10313" width="4.5703125" bestFit="1" customWidth="1"/>
    <col min="10314" max="10316" width="5" bestFit="1" customWidth="1"/>
    <col min="10317" max="10317" width="6.28515625" bestFit="1" customWidth="1"/>
    <col min="10318" max="10318" width="3.5703125" bestFit="1" customWidth="1"/>
    <col min="10319" max="10326" width="3.85546875" bestFit="1" customWidth="1"/>
    <col min="10327" max="10327" width="4.5703125" bestFit="1" customWidth="1"/>
    <col min="10328" max="10328" width="4.28515625" bestFit="1" customWidth="1"/>
    <col min="10329" max="10336" width="4.5703125" bestFit="1" customWidth="1"/>
    <col min="10337" max="10337" width="5" bestFit="1" customWidth="1"/>
    <col min="10338" max="10338" width="4.5703125" bestFit="1" customWidth="1"/>
    <col min="10339" max="10341" width="5" bestFit="1" customWidth="1"/>
    <col min="10498" max="10498" width="26.7109375" bestFit="1" customWidth="1"/>
    <col min="10499" max="10499" width="9.140625" customWidth="1"/>
    <col min="10500" max="10522" width="8.140625" customWidth="1"/>
    <col min="10523" max="10523" width="12.5703125" bestFit="1" customWidth="1"/>
    <col min="10524" max="10524" width="3.42578125" bestFit="1" customWidth="1"/>
    <col min="10525" max="10532" width="3.85546875" bestFit="1" customWidth="1"/>
    <col min="10533" max="10533" width="4.5703125" bestFit="1" customWidth="1"/>
    <col min="10534" max="10534" width="4.28515625" bestFit="1" customWidth="1"/>
    <col min="10535" max="10542" width="4.5703125" bestFit="1" customWidth="1"/>
    <col min="10543" max="10543" width="5" bestFit="1" customWidth="1"/>
    <col min="10544" max="10544" width="4.5703125" bestFit="1" customWidth="1"/>
    <col min="10545" max="10547" width="5" bestFit="1" customWidth="1"/>
    <col min="10549" max="10557" width="3.85546875" bestFit="1" customWidth="1"/>
    <col min="10558" max="10558" width="4.5703125" bestFit="1" customWidth="1"/>
    <col min="10559" max="10559" width="4.28515625" bestFit="1" customWidth="1"/>
    <col min="10560" max="10567" width="4.5703125" bestFit="1" customWidth="1"/>
    <col min="10568" max="10568" width="5" bestFit="1" customWidth="1"/>
    <col min="10569" max="10569" width="4.5703125" bestFit="1" customWidth="1"/>
    <col min="10570" max="10572" width="5" bestFit="1" customWidth="1"/>
    <col min="10573" max="10573" width="6.28515625" bestFit="1" customWidth="1"/>
    <col min="10574" max="10574" width="3.5703125" bestFit="1" customWidth="1"/>
    <col min="10575" max="10582" width="3.85546875" bestFit="1" customWidth="1"/>
    <col min="10583" max="10583" width="4.5703125" bestFit="1" customWidth="1"/>
    <col min="10584" max="10584" width="4.28515625" bestFit="1" customWidth="1"/>
    <col min="10585" max="10592" width="4.5703125" bestFit="1" customWidth="1"/>
    <col min="10593" max="10593" width="5" bestFit="1" customWidth="1"/>
    <col min="10594" max="10594" width="4.5703125" bestFit="1" customWidth="1"/>
    <col min="10595" max="10597" width="5" bestFit="1" customWidth="1"/>
    <col min="10754" max="10754" width="26.7109375" bestFit="1" customWidth="1"/>
    <col min="10755" max="10755" width="9.140625" customWidth="1"/>
    <col min="10756" max="10778" width="8.140625" customWidth="1"/>
    <col min="10779" max="10779" width="12.5703125" bestFit="1" customWidth="1"/>
    <col min="10780" max="10780" width="3.42578125" bestFit="1" customWidth="1"/>
    <col min="10781" max="10788" width="3.85546875" bestFit="1" customWidth="1"/>
    <col min="10789" max="10789" width="4.5703125" bestFit="1" customWidth="1"/>
    <col min="10790" max="10790" width="4.28515625" bestFit="1" customWidth="1"/>
    <col min="10791" max="10798" width="4.5703125" bestFit="1" customWidth="1"/>
    <col min="10799" max="10799" width="5" bestFit="1" customWidth="1"/>
    <col min="10800" max="10800" width="4.5703125" bestFit="1" customWidth="1"/>
    <col min="10801" max="10803" width="5" bestFit="1" customWidth="1"/>
    <col min="10805" max="10813" width="3.85546875" bestFit="1" customWidth="1"/>
    <col min="10814" max="10814" width="4.5703125" bestFit="1" customWidth="1"/>
    <col min="10815" max="10815" width="4.28515625" bestFit="1" customWidth="1"/>
    <col min="10816" max="10823" width="4.5703125" bestFit="1" customWidth="1"/>
    <col min="10824" max="10824" width="5" bestFit="1" customWidth="1"/>
    <col min="10825" max="10825" width="4.5703125" bestFit="1" customWidth="1"/>
    <col min="10826" max="10828" width="5" bestFit="1" customWidth="1"/>
    <col min="10829" max="10829" width="6.28515625" bestFit="1" customWidth="1"/>
    <col min="10830" max="10830" width="3.5703125" bestFit="1" customWidth="1"/>
    <col min="10831" max="10838" width="3.85546875" bestFit="1" customWidth="1"/>
    <col min="10839" max="10839" width="4.5703125" bestFit="1" customWidth="1"/>
    <col min="10840" max="10840" width="4.28515625" bestFit="1" customWidth="1"/>
    <col min="10841" max="10848" width="4.5703125" bestFit="1" customWidth="1"/>
    <col min="10849" max="10849" width="5" bestFit="1" customWidth="1"/>
    <col min="10850" max="10850" width="4.5703125" bestFit="1" customWidth="1"/>
    <col min="10851" max="10853" width="5" bestFit="1" customWidth="1"/>
    <col min="11010" max="11010" width="26.7109375" bestFit="1" customWidth="1"/>
    <col min="11011" max="11011" width="9.140625" customWidth="1"/>
    <col min="11012" max="11034" width="8.140625" customWidth="1"/>
    <col min="11035" max="11035" width="12.5703125" bestFit="1" customWidth="1"/>
    <col min="11036" max="11036" width="3.42578125" bestFit="1" customWidth="1"/>
    <col min="11037" max="11044" width="3.85546875" bestFit="1" customWidth="1"/>
    <col min="11045" max="11045" width="4.5703125" bestFit="1" customWidth="1"/>
    <col min="11046" max="11046" width="4.28515625" bestFit="1" customWidth="1"/>
    <col min="11047" max="11054" width="4.5703125" bestFit="1" customWidth="1"/>
    <col min="11055" max="11055" width="5" bestFit="1" customWidth="1"/>
    <col min="11056" max="11056" width="4.5703125" bestFit="1" customWidth="1"/>
    <col min="11057" max="11059" width="5" bestFit="1" customWidth="1"/>
    <col min="11061" max="11069" width="3.85546875" bestFit="1" customWidth="1"/>
    <col min="11070" max="11070" width="4.5703125" bestFit="1" customWidth="1"/>
    <col min="11071" max="11071" width="4.28515625" bestFit="1" customWidth="1"/>
    <col min="11072" max="11079" width="4.5703125" bestFit="1" customWidth="1"/>
    <col min="11080" max="11080" width="5" bestFit="1" customWidth="1"/>
    <col min="11081" max="11081" width="4.5703125" bestFit="1" customWidth="1"/>
    <col min="11082" max="11084" width="5" bestFit="1" customWidth="1"/>
    <col min="11085" max="11085" width="6.28515625" bestFit="1" customWidth="1"/>
    <col min="11086" max="11086" width="3.5703125" bestFit="1" customWidth="1"/>
    <col min="11087" max="11094" width="3.85546875" bestFit="1" customWidth="1"/>
    <col min="11095" max="11095" width="4.5703125" bestFit="1" customWidth="1"/>
    <col min="11096" max="11096" width="4.28515625" bestFit="1" customWidth="1"/>
    <col min="11097" max="11104" width="4.5703125" bestFit="1" customWidth="1"/>
    <col min="11105" max="11105" width="5" bestFit="1" customWidth="1"/>
    <col min="11106" max="11106" width="4.5703125" bestFit="1" customWidth="1"/>
    <col min="11107" max="11109" width="5" bestFit="1" customWidth="1"/>
    <col min="11266" max="11266" width="26.7109375" bestFit="1" customWidth="1"/>
    <col min="11267" max="11267" width="9.140625" customWidth="1"/>
    <col min="11268" max="11290" width="8.140625" customWidth="1"/>
    <col min="11291" max="11291" width="12.5703125" bestFit="1" customWidth="1"/>
    <col min="11292" max="11292" width="3.42578125" bestFit="1" customWidth="1"/>
    <col min="11293" max="11300" width="3.85546875" bestFit="1" customWidth="1"/>
    <col min="11301" max="11301" width="4.5703125" bestFit="1" customWidth="1"/>
    <col min="11302" max="11302" width="4.28515625" bestFit="1" customWidth="1"/>
    <col min="11303" max="11310" width="4.5703125" bestFit="1" customWidth="1"/>
    <col min="11311" max="11311" width="5" bestFit="1" customWidth="1"/>
    <col min="11312" max="11312" width="4.5703125" bestFit="1" customWidth="1"/>
    <col min="11313" max="11315" width="5" bestFit="1" customWidth="1"/>
    <col min="11317" max="11325" width="3.85546875" bestFit="1" customWidth="1"/>
    <col min="11326" max="11326" width="4.5703125" bestFit="1" customWidth="1"/>
    <col min="11327" max="11327" width="4.28515625" bestFit="1" customWidth="1"/>
    <col min="11328" max="11335" width="4.5703125" bestFit="1" customWidth="1"/>
    <col min="11336" max="11336" width="5" bestFit="1" customWidth="1"/>
    <col min="11337" max="11337" width="4.5703125" bestFit="1" customWidth="1"/>
    <col min="11338" max="11340" width="5" bestFit="1" customWidth="1"/>
    <col min="11341" max="11341" width="6.28515625" bestFit="1" customWidth="1"/>
    <col min="11342" max="11342" width="3.5703125" bestFit="1" customWidth="1"/>
    <col min="11343" max="11350" width="3.85546875" bestFit="1" customWidth="1"/>
    <col min="11351" max="11351" width="4.5703125" bestFit="1" customWidth="1"/>
    <col min="11352" max="11352" width="4.28515625" bestFit="1" customWidth="1"/>
    <col min="11353" max="11360" width="4.5703125" bestFit="1" customWidth="1"/>
    <col min="11361" max="11361" width="5" bestFit="1" customWidth="1"/>
    <col min="11362" max="11362" width="4.5703125" bestFit="1" customWidth="1"/>
    <col min="11363" max="11365" width="5" bestFit="1" customWidth="1"/>
    <col min="11522" max="11522" width="26.7109375" bestFit="1" customWidth="1"/>
    <col min="11523" max="11523" width="9.140625" customWidth="1"/>
    <col min="11524" max="11546" width="8.140625" customWidth="1"/>
    <col min="11547" max="11547" width="12.5703125" bestFit="1" customWidth="1"/>
    <col min="11548" max="11548" width="3.42578125" bestFit="1" customWidth="1"/>
    <col min="11549" max="11556" width="3.85546875" bestFit="1" customWidth="1"/>
    <col min="11557" max="11557" width="4.5703125" bestFit="1" customWidth="1"/>
    <col min="11558" max="11558" width="4.28515625" bestFit="1" customWidth="1"/>
    <col min="11559" max="11566" width="4.5703125" bestFit="1" customWidth="1"/>
    <col min="11567" max="11567" width="5" bestFit="1" customWidth="1"/>
    <col min="11568" max="11568" width="4.5703125" bestFit="1" customWidth="1"/>
    <col min="11569" max="11571" width="5" bestFit="1" customWidth="1"/>
    <col min="11573" max="11581" width="3.85546875" bestFit="1" customWidth="1"/>
    <col min="11582" max="11582" width="4.5703125" bestFit="1" customWidth="1"/>
    <col min="11583" max="11583" width="4.28515625" bestFit="1" customWidth="1"/>
    <col min="11584" max="11591" width="4.5703125" bestFit="1" customWidth="1"/>
    <col min="11592" max="11592" width="5" bestFit="1" customWidth="1"/>
    <col min="11593" max="11593" width="4.5703125" bestFit="1" customWidth="1"/>
    <col min="11594" max="11596" width="5" bestFit="1" customWidth="1"/>
    <col min="11597" max="11597" width="6.28515625" bestFit="1" customWidth="1"/>
    <col min="11598" max="11598" width="3.5703125" bestFit="1" customWidth="1"/>
    <col min="11599" max="11606" width="3.85546875" bestFit="1" customWidth="1"/>
    <col min="11607" max="11607" width="4.5703125" bestFit="1" customWidth="1"/>
    <col min="11608" max="11608" width="4.28515625" bestFit="1" customWidth="1"/>
    <col min="11609" max="11616" width="4.5703125" bestFit="1" customWidth="1"/>
    <col min="11617" max="11617" width="5" bestFit="1" customWidth="1"/>
    <col min="11618" max="11618" width="4.5703125" bestFit="1" customWidth="1"/>
    <col min="11619" max="11621" width="5" bestFit="1" customWidth="1"/>
    <col min="11778" max="11778" width="26.7109375" bestFit="1" customWidth="1"/>
    <col min="11779" max="11779" width="9.140625" customWidth="1"/>
    <col min="11780" max="11802" width="8.140625" customWidth="1"/>
    <col min="11803" max="11803" width="12.5703125" bestFit="1" customWidth="1"/>
    <col min="11804" max="11804" width="3.42578125" bestFit="1" customWidth="1"/>
    <col min="11805" max="11812" width="3.85546875" bestFit="1" customWidth="1"/>
    <col min="11813" max="11813" width="4.5703125" bestFit="1" customWidth="1"/>
    <col min="11814" max="11814" width="4.28515625" bestFit="1" customWidth="1"/>
    <col min="11815" max="11822" width="4.5703125" bestFit="1" customWidth="1"/>
    <col min="11823" max="11823" width="5" bestFit="1" customWidth="1"/>
    <col min="11824" max="11824" width="4.5703125" bestFit="1" customWidth="1"/>
    <col min="11825" max="11827" width="5" bestFit="1" customWidth="1"/>
    <col min="11829" max="11837" width="3.85546875" bestFit="1" customWidth="1"/>
    <col min="11838" max="11838" width="4.5703125" bestFit="1" customWidth="1"/>
    <col min="11839" max="11839" width="4.28515625" bestFit="1" customWidth="1"/>
    <col min="11840" max="11847" width="4.5703125" bestFit="1" customWidth="1"/>
    <col min="11848" max="11848" width="5" bestFit="1" customWidth="1"/>
    <col min="11849" max="11849" width="4.5703125" bestFit="1" customWidth="1"/>
    <col min="11850" max="11852" width="5" bestFit="1" customWidth="1"/>
    <col min="11853" max="11853" width="6.28515625" bestFit="1" customWidth="1"/>
    <col min="11854" max="11854" width="3.5703125" bestFit="1" customWidth="1"/>
    <col min="11855" max="11862" width="3.85546875" bestFit="1" customWidth="1"/>
    <col min="11863" max="11863" width="4.5703125" bestFit="1" customWidth="1"/>
    <col min="11864" max="11864" width="4.28515625" bestFit="1" customWidth="1"/>
    <col min="11865" max="11872" width="4.5703125" bestFit="1" customWidth="1"/>
    <col min="11873" max="11873" width="5" bestFit="1" customWidth="1"/>
    <col min="11874" max="11874" width="4.5703125" bestFit="1" customWidth="1"/>
    <col min="11875" max="11877" width="5" bestFit="1" customWidth="1"/>
    <col min="12034" max="12034" width="26.7109375" bestFit="1" customWidth="1"/>
    <col min="12035" max="12035" width="9.140625" customWidth="1"/>
    <col min="12036" max="12058" width="8.140625" customWidth="1"/>
    <col min="12059" max="12059" width="12.5703125" bestFit="1" customWidth="1"/>
    <col min="12060" max="12060" width="3.42578125" bestFit="1" customWidth="1"/>
    <col min="12061" max="12068" width="3.85546875" bestFit="1" customWidth="1"/>
    <col min="12069" max="12069" width="4.5703125" bestFit="1" customWidth="1"/>
    <col min="12070" max="12070" width="4.28515625" bestFit="1" customWidth="1"/>
    <col min="12071" max="12078" width="4.5703125" bestFit="1" customWidth="1"/>
    <col min="12079" max="12079" width="5" bestFit="1" customWidth="1"/>
    <col min="12080" max="12080" width="4.5703125" bestFit="1" customWidth="1"/>
    <col min="12081" max="12083" width="5" bestFit="1" customWidth="1"/>
    <col min="12085" max="12093" width="3.85546875" bestFit="1" customWidth="1"/>
    <col min="12094" max="12094" width="4.5703125" bestFit="1" customWidth="1"/>
    <col min="12095" max="12095" width="4.28515625" bestFit="1" customWidth="1"/>
    <col min="12096" max="12103" width="4.5703125" bestFit="1" customWidth="1"/>
    <col min="12104" max="12104" width="5" bestFit="1" customWidth="1"/>
    <col min="12105" max="12105" width="4.5703125" bestFit="1" customWidth="1"/>
    <col min="12106" max="12108" width="5" bestFit="1" customWidth="1"/>
    <col min="12109" max="12109" width="6.28515625" bestFit="1" customWidth="1"/>
    <col min="12110" max="12110" width="3.5703125" bestFit="1" customWidth="1"/>
    <col min="12111" max="12118" width="3.85546875" bestFit="1" customWidth="1"/>
    <col min="12119" max="12119" width="4.5703125" bestFit="1" customWidth="1"/>
    <col min="12120" max="12120" width="4.28515625" bestFit="1" customWidth="1"/>
    <col min="12121" max="12128" width="4.5703125" bestFit="1" customWidth="1"/>
    <col min="12129" max="12129" width="5" bestFit="1" customWidth="1"/>
    <col min="12130" max="12130" width="4.5703125" bestFit="1" customWidth="1"/>
    <col min="12131" max="12133" width="5" bestFit="1" customWidth="1"/>
    <col min="12290" max="12290" width="26.7109375" bestFit="1" customWidth="1"/>
    <col min="12291" max="12291" width="9.140625" customWidth="1"/>
    <col min="12292" max="12314" width="8.140625" customWidth="1"/>
    <col min="12315" max="12315" width="12.5703125" bestFit="1" customWidth="1"/>
    <col min="12316" max="12316" width="3.42578125" bestFit="1" customWidth="1"/>
    <col min="12317" max="12324" width="3.85546875" bestFit="1" customWidth="1"/>
    <col min="12325" max="12325" width="4.5703125" bestFit="1" customWidth="1"/>
    <col min="12326" max="12326" width="4.28515625" bestFit="1" customWidth="1"/>
    <col min="12327" max="12334" width="4.5703125" bestFit="1" customWidth="1"/>
    <col min="12335" max="12335" width="5" bestFit="1" customWidth="1"/>
    <col min="12336" max="12336" width="4.5703125" bestFit="1" customWidth="1"/>
    <col min="12337" max="12339" width="5" bestFit="1" customWidth="1"/>
    <col min="12341" max="12349" width="3.85546875" bestFit="1" customWidth="1"/>
    <col min="12350" max="12350" width="4.5703125" bestFit="1" customWidth="1"/>
    <col min="12351" max="12351" width="4.28515625" bestFit="1" customWidth="1"/>
    <col min="12352" max="12359" width="4.5703125" bestFit="1" customWidth="1"/>
    <col min="12360" max="12360" width="5" bestFit="1" customWidth="1"/>
    <col min="12361" max="12361" width="4.5703125" bestFit="1" customWidth="1"/>
    <col min="12362" max="12364" width="5" bestFit="1" customWidth="1"/>
    <col min="12365" max="12365" width="6.28515625" bestFit="1" customWidth="1"/>
    <col min="12366" max="12366" width="3.5703125" bestFit="1" customWidth="1"/>
    <col min="12367" max="12374" width="3.85546875" bestFit="1" customWidth="1"/>
    <col min="12375" max="12375" width="4.5703125" bestFit="1" customWidth="1"/>
    <col min="12376" max="12376" width="4.28515625" bestFit="1" customWidth="1"/>
    <col min="12377" max="12384" width="4.5703125" bestFit="1" customWidth="1"/>
    <col min="12385" max="12385" width="5" bestFit="1" customWidth="1"/>
    <col min="12386" max="12386" width="4.5703125" bestFit="1" customWidth="1"/>
    <col min="12387" max="12389" width="5" bestFit="1" customWidth="1"/>
    <col min="12546" max="12546" width="26.7109375" bestFit="1" customWidth="1"/>
    <col min="12547" max="12547" width="9.140625" customWidth="1"/>
    <col min="12548" max="12570" width="8.140625" customWidth="1"/>
    <col min="12571" max="12571" width="12.5703125" bestFit="1" customWidth="1"/>
    <col min="12572" max="12572" width="3.42578125" bestFit="1" customWidth="1"/>
    <col min="12573" max="12580" width="3.85546875" bestFit="1" customWidth="1"/>
    <col min="12581" max="12581" width="4.5703125" bestFit="1" customWidth="1"/>
    <col min="12582" max="12582" width="4.28515625" bestFit="1" customWidth="1"/>
    <col min="12583" max="12590" width="4.5703125" bestFit="1" customWidth="1"/>
    <col min="12591" max="12591" width="5" bestFit="1" customWidth="1"/>
    <col min="12592" max="12592" width="4.5703125" bestFit="1" customWidth="1"/>
    <col min="12593" max="12595" width="5" bestFit="1" customWidth="1"/>
    <col min="12597" max="12605" width="3.85546875" bestFit="1" customWidth="1"/>
    <col min="12606" max="12606" width="4.5703125" bestFit="1" customWidth="1"/>
    <col min="12607" max="12607" width="4.28515625" bestFit="1" customWidth="1"/>
    <col min="12608" max="12615" width="4.5703125" bestFit="1" customWidth="1"/>
    <col min="12616" max="12616" width="5" bestFit="1" customWidth="1"/>
    <col min="12617" max="12617" width="4.5703125" bestFit="1" customWidth="1"/>
    <col min="12618" max="12620" width="5" bestFit="1" customWidth="1"/>
    <col min="12621" max="12621" width="6.28515625" bestFit="1" customWidth="1"/>
    <col min="12622" max="12622" width="3.5703125" bestFit="1" customWidth="1"/>
    <col min="12623" max="12630" width="3.85546875" bestFit="1" customWidth="1"/>
    <col min="12631" max="12631" width="4.5703125" bestFit="1" customWidth="1"/>
    <col min="12632" max="12632" width="4.28515625" bestFit="1" customWidth="1"/>
    <col min="12633" max="12640" width="4.5703125" bestFit="1" customWidth="1"/>
    <col min="12641" max="12641" width="5" bestFit="1" customWidth="1"/>
    <col min="12642" max="12642" width="4.5703125" bestFit="1" customWidth="1"/>
    <col min="12643" max="12645" width="5" bestFit="1" customWidth="1"/>
    <col min="12802" max="12802" width="26.7109375" bestFit="1" customWidth="1"/>
    <col min="12803" max="12803" width="9.140625" customWidth="1"/>
    <col min="12804" max="12826" width="8.140625" customWidth="1"/>
    <col min="12827" max="12827" width="12.5703125" bestFit="1" customWidth="1"/>
    <col min="12828" max="12828" width="3.42578125" bestFit="1" customWidth="1"/>
    <col min="12829" max="12836" width="3.85546875" bestFit="1" customWidth="1"/>
    <col min="12837" max="12837" width="4.5703125" bestFit="1" customWidth="1"/>
    <col min="12838" max="12838" width="4.28515625" bestFit="1" customWidth="1"/>
    <col min="12839" max="12846" width="4.5703125" bestFit="1" customWidth="1"/>
    <col min="12847" max="12847" width="5" bestFit="1" customWidth="1"/>
    <col min="12848" max="12848" width="4.5703125" bestFit="1" customWidth="1"/>
    <col min="12849" max="12851" width="5" bestFit="1" customWidth="1"/>
    <col min="12853" max="12861" width="3.85546875" bestFit="1" customWidth="1"/>
    <col min="12862" max="12862" width="4.5703125" bestFit="1" customWidth="1"/>
    <col min="12863" max="12863" width="4.28515625" bestFit="1" customWidth="1"/>
    <col min="12864" max="12871" width="4.5703125" bestFit="1" customWidth="1"/>
    <col min="12872" max="12872" width="5" bestFit="1" customWidth="1"/>
    <col min="12873" max="12873" width="4.5703125" bestFit="1" customWidth="1"/>
    <col min="12874" max="12876" width="5" bestFit="1" customWidth="1"/>
    <col min="12877" max="12877" width="6.28515625" bestFit="1" customWidth="1"/>
    <col min="12878" max="12878" width="3.5703125" bestFit="1" customWidth="1"/>
    <col min="12879" max="12886" width="3.85546875" bestFit="1" customWidth="1"/>
    <col min="12887" max="12887" width="4.5703125" bestFit="1" customWidth="1"/>
    <col min="12888" max="12888" width="4.28515625" bestFit="1" customWidth="1"/>
    <col min="12889" max="12896" width="4.5703125" bestFit="1" customWidth="1"/>
    <col min="12897" max="12897" width="5" bestFit="1" customWidth="1"/>
    <col min="12898" max="12898" width="4.5703125" bestFit="1" customWidth="1"/>
    <col min="12899" max="12901" width="5" bestFit="1" customWidth="1"/>
    <col min="13058" max="13058" width="26.7109375" bestFit="1" customWidth="1"/>
    <col min="13059" max="13059" width="9.140625" customWidth="1"/>
    <col min="13060" max="13082" width="8.140625" customWidth="1"/>
    <col min="13083" max="13083" width="12.5703125" bestFit="1" customWidth="1"/>
    <col min="13084" max="13084" width="3.42578125" bestFit="1" customWidth="1"/>
    <col min="13085" max="13092" width="3.85546875" bestFit="1" customWidth="1"/>
    <col min="13093" max="13093" width="4.5703125" bestFit="1" customWidth="1"/>
    <col min="13094" max="13094" width="4.28515625" bestFit="1" customWidth="1"/>
    <col min="13095" max="13102" width="4.5703125" bestFit="1" customWidth="1"/>
    <col min="13103" max="13103" width="5" bestFit="1" customWidth="1"/>
    <col min="13104" max="13104" width="4.5703125" bestFit="1" customWidth="1"/>
    <col min="13105" max="13107" width="5" bestFit="1" customWidth="1"/>
    <col min="13109" max="13117" width="3.85546875" bestFit="1" customWidth="1"/>
    <col min="13118" max="13118" width="4.5703125" bestFit="1" customWidth="1"/>
    <col min="13119" max="13119" width="4.28515625" bestFit="1" customWidth="1"/>
    <col min="13120" max="13127" width="4.5703125" bestFit="1" customWidth="1"/>
    <col min="13128" max="13128" width="5" bestFit="1" customWidth="1"/>
    <col min="13129" max="13129" width="4.5703125" bestFit="1" customWidth="1"/>
    <col min="13130" max="13132" width="5" bestFit="1" customWidth="1"/>
    <col min="13133" max="13133" width="6.28515625" bestFit="1" customWidth="1"/>
    <col min="13134" max="13134" width="3.5703125" bestFit="1" customWidth="1"/>
    <col min="13135" max="13142" width="3.85546875" bestFit="1" customWidth="1"/>
    <col min="13143" max="13143" width="4.5703125" bestFit="1" customWidth="1"/>
    <col min="13144" max="13144" width="4.28515625" bestFit="1" customWidth="1"/>
    <col min="13145" max="13152" width="4.5703125" bestFit="1" customWidth="1"/>
    <col min="13153" max="13153" width="5" bestFit="1" customWidth="1"/>
    <col min="13154" max="13154" width="4.5703125" bestFit="1" customWidth="1"/>
    <col min="13155" max="13157" width="5" bestFit="1" customWidth="1"/>
    <col min="13314" max="13314" width="26.7109375" bestFit="1" customWidth="1"/>
    <col min="13315" max="13315" width="9.140625" customWidth="1"/>
    <col min="13316" max="13338" width="8.140625" customWidth="1"/>
    <col min="13339" max="13339" width="12.5703125" bestFit="1" customWidth="1"/>
    <col min="13340" max="13340" width="3.42578125" bestFit="1" customWidth="1"/>
    <col min="13341" max="13348" width="3.85546875" bestFit="1" customWidth="1"/>
    <col min="13349" max="13349" width="4.5703125" bestFit="1" customWidth="1"/>
    <col min="13350" max="13350" width="4.28515625" bestFit="1" customWidth="1"/>
    <col min="13351" max="13358" width="4.5703125" bestFit="1" customWidth="1"/>
    <col min="13359" max="13359" width="5" bestFit="1" customWidth="1"/>
    <col min="13360" max="13360" width="4.5703125" bestFit="1" customWidth="1"/>
    <col min="13361" max="13363" width="5" bestFit="1" customWidth="1"/>
    <col min="13365" max="13373" width="3.85546875" bestFit="1" customWidth="1"/>
    <col min="13374" max="13374" width="4.5703125" bestFit="1" customWidth="1"/>
    <col min="13375" max="13375" width="4.28515625" bestFit="1" customWidth="1"/>
    <col min="13376" max="13383" width="4.5703125" bestFit="1" customWidth="1"/>
    <col min="13384" max="13384" width="5" bestFit="1" customWidth="1"/>
    <col min="13385" max="13385" width="4.5703125" bestFit="1" customWidth="1"/>
    <col min="13386" max="13388" width="5" bestFit="1" customWidth="1"/>
    <col min="13389" max="13389" width="6.28515625" bestFit="1" customWidth="1"/>
    <col min="13390" max="13390" width="3.5703125" bestFit="1" customWidth="1"/>
    <col min="13391" max="13398" width="3.85546875" bestFit="1" customWidth="1"/>
    <col min="13399" max="13399" width="4.5703125" bestFit="1" customWidth="1"/>
    <col min="13400" max="13400" width="4.28515625" bestFit="1" customWidth="1"/>
    <col min="13401" max="13408" width="4.5703125" bestFit="1" customWidth="1"/>
    <col min="13409" max="13409" width="5" bestFit="1" customWidth="1"/>
    <col min="13410" max="13410" width="4.5703125" bestFit="1" customWidth="1"/>
    <col min="13411" max="13413" width="5" bestFit="1" customWidth="1"/>
    <col min="13570" max="13570" width="26.7109375" bestFit="1" customWidth="1"/>
    <col min="13571" max="13571" width="9.140625" customWidth="1"/>
    <col min="13572" max="13594" width="8.140625" customWidth="1"/>
    <col min="13595" max="13595" width="12.5703125" bestFit="1" customWidth="1"/>
    <col min="13596" max="13596" width="3.42578125" bestFit="1" customWidth="1"/>
    <col min="13597" max="13604" width="3.85546875" bestFit="1" customWidth="1"/>
    <col min="13605" max="13605" width="4.5703125" bestFit="1" customWidth="1"/>
    <col min="13606" max="13606" width="4.28515625" bestFit="1" customWidth="1"/>
    <col min="13607" max="13614" width="4.5703125" bestFit="1" customWidth="1"/>
    <col min="13615" max="13615" width="5" bestFit="1" customWidth="1"/>
    <col min="13616" max="13616" width="4.5703125" bestFit="1" customWidth="1"/>
    <col min="13617" max="13619" width="5" bestFit="1" customWidth="1"/>
    <col min="13621" max="13629" width="3.85546875" bestFit="1" customWidth="1"/>
    <col min="13630" max="13630" width="4.5703125" bestFit="1" customWidth="1"/>
    <col min="13631" max="13631" width="4.28515625" bestFit="1" customWidth="1"/>
    <col min="13632" max="13639" width="4.5703125" bestFit="1" customWidth="1"/>
    <col min="13640" max="13640" width="5" bestFit="1" customWidth="1"/>
    <col min="13641" max="13641" width="4.5703125" bestFit="1" customWidth="1"/>
    <col min="13642" max="13644" width="5" bestFit="1" customWidth="1"/>
    <col min="13645" max="13645" width="6.28515625" bestFit="1" customWidth="1"/>
    <col min="13646" max="13646" width="3.5703125" bestFit="1" customWidth="1"/>
    <col min="13647" max="13654" width="3.85546875" bestFit="1" customWidth="1"/>
    <col min="13655" max="13655" width="4.5703125" bestFit="1" customWidth="1"/>
    <col min="13656" max="13656" width="4.28515625" bestFit="1" customWidth="1"/>
    <col min="13657" max="13664" width="4.5703125" bestFit="1" customWidth="1"/>
    <col min="13665" max="13665" width="5" bestFit="1" customWidth="1"/>
    <col min="13666" max="13666" width="4.5703125" bestFit="1" customWidth="1"/>
    <col min="13667" max="13669" width="5" bestFit="1" customWidth="1"/>
    <col min="13826" max="13826" width="26.7109375" bestFit="1" customWidth="1"/>
    <col min="13827" max="13827" width="9.140625" customWidth="1"/>
    <col min="13828" max="13850" width="8.140625" customWidth="1"/>
    <col min="13851" max="13851" width="12.5703125" bestFit="1" customWidth="1"/>
    <col min="13852" max="13852" width="3.42578125" bestFit="1" customWidth="1"/>
    <col min="13853" max="13860" width="3.85546875" bestFit="1" customWidth="1"/>
    <col min="13861" max="13861" width="4.5703125" bestFit="1" customWidth="1"/>
    <col min="13862" max="13862" width="4.28515625" bestFit="1" customWidth="1"/>
    <col min="13863" max="13870" width="4.5703125" bestFit="1" customWidth="1"/>
    <col min="13871" max="13871" width="5" bestFit="1" customWidth="1"/>
    <col min="13872" max="13872" width="4.5703125" bestFit="1" customWidth="1"/>
    <col min="13873" max="13875" width="5" bestFit="1" customWidth="1"/>
    <col min="13877" max="13885" width="3.85546875" bestFit="1" customWidth="1"/>
    <col min="13886" max="13886" width="4.5703125" bestFit="1" customWidth="1"/>
    <col min="13887" max="13887" width="4.28515625" bestFit="1" customWidth="1"/>
    <col min="13888" max="13895" width="4.5703125" bestFit="1" customWidth="1"/>
    <col min="13896" max="13896" width="5" bestFit="1" customWidth="1"/>
    <col min="13897" max="13897" width="4.5703125" bestFit="1" customWidth="1"/>
    <col min="13898" max="13900" width="5" bestFit="1" customWidth="1"/>
    <col min="13901" max="13901" width="6.28515625" bestFit="1" customWidth="1"/>
    <col min="13902" max="13902" width="3.5703125" bestFit="1" customWidth="1"/>
    <col min="13903" max="13910" width="3.85546875" bestFit="1" customWidth="1"/>
    <col min="13911" max="13911" width="4.5703125" bestFit="1" customWidth="1"/>
    <col min="13912" max="13912" width="4.28515625" bestFit="1" customWidth="1"/>
    <col min="13913" max="13920" width="4.5703125" bestFit="1" customWidth="1"/>
    <col min="13921" max="13921" width="5" bestFit="1" customWidth="1"/>
    <col min="13922" max="13922" width="4.5703125" bestFit="1" customWidth="1"/>
    <col min="13923" max="13925" width="5" bestFit="1" customWidth="1"/>
    <col min="14082" max="14082" width="26.7109375" bestFit="1" customWidth="1"/>
    <col min="14083" max="14083" width="9.140625" customWidth="1"/>
    <col min="14084" max="14106" width="8.140625" customWidth="1"/>
    <col min="14107" max="14107" width="12.5703125" bestFit="1" customWidth="1"/>
    <col min="14108" max="14108" width="3.42578125" bestFit="1" customWidth="1"/>
    <col min="14109" max="14116" width="3.85546875" bestFit="1" customWidth="1"/>
    <col min="14117" max="14117" width="4.5703125" bestFit="1" customWidth="1"/>
    <col min="14118" max="14118" width="4.28515625" bestFit="1" customWidth="1"/>
    <col min="14119" max="14126" width="4.5703125" bestFit="1" customWidth="1"/>
    <col min="14127" max="14127" width="5" bestFit="1" customWidth="1"/>
    <col min="14128" max="14128" width="4.5703125" bestFit="1" customWidth="1"/>
    <col min="14129" max="14131" width="5" bestFit="1" customWidth="1"/>
    <col min="14133" max="14141" width="3.85546875" bestFit="1" customWidth="1"/>
    <col min="14142" max="14142" width="4.5703125" bestFit="1" customWidth="1"/>
    <col min="14143" max="14143" width="4.28515625" bestFit="1" customWidth="1"/>
    <col min="14144" max="14151" width="4.5703125" bestFit="1" customWidth="1"/>
    <col min="14152" max="14152" width="5" bestFit="1" customWidth="1"/>
    <col min="14153" max="14153" width="4.5703125" bestFit="1" customWidth="1"/>
    <col min="14154" max="14156" width="5" bestFit="1" customWidth="1"/>
    <col min="14157" max="14157" width="6.28515625" bestFit="1" customWidth="1"/>
    <col min="14158" max="14158" width="3.5703125" bestFit="1" customWidth="1"/>
    <col min="14159" max="14166" width="3.85546875" bestFit="1" customWidth="1"/>
    <col min="14167" max="14167" width="4.5703125" bestFit="1" customWidth="1"/>
    <col min="14168" max="14168" width="4.28515625" bestFit="1" customWidth="1"/>
    <col min="14169" max="14176" width="4.5703125" bestFit="1" customWidth="1"/>
    <col min="14177" max="14177" width="5" bestFit="1" customWidth="1"/>
    <col min="14178" max="14178" width="4.5703125" bestFit="1" customWidth="1"/>
    <col min="14179" max="14181" width="5" bestFit="1" customWidth="1"/>
    <col min="14338" max="14338" width="26.7109375" bestFit="1" customWidth="1"/>
    <col min="14339" max="14339" width="9.140625" customWidth="1"/>
    <col min="14340" max="14362" width="8.140625" customWidth="1"/>
    <col min="14363" max="14363" width="12.5703125" bestFit="1" customWidth="1"/>
    <col min="14364" max="14364" width="3.42578125" bestFit="1" customWidth="1"/>
    <col min="14365" max="14372" width="3.85546875" bestFit="1" customWidth="1"/>
    <col min="14373" max="14373" width="4.5703125" bestFit="1" customWidth="1"/>
    <col min="14374" max="14374" width="4.28515625" bestFit="1" customWidth="1"/>
    <col min="14375" max="14382" width="4.5703125" bestFit="1" customWidth="1"/>
    <col min="14383" max="14383" width="5" bestFit="1" customWidth="1"/>
    <col min="14384" max="14384" width="4.5703125" bestFit="1" customWidth="1"/>
    <col min="14385" max="14387" width="5" bestFit="1" customWidth="1"/>
    <col min="14389" max="14397" width="3.85546875" bestFit="1" customWidth="1"/>
    <col min="14398" max="14398" width="4.5703125" bestFit="1" customWidth="1"/>
    <col min="14399" max="14399" width="4.28515625" bestFit="1" customWidth="1"/>
    <col min="14400" max="14407" width="4.5703125" bestFit="1" customWidth="1"/>
    <col min="14408" max="14408" width="5" bestFit="1" customWidth="1"/>
    <col min="14409" max="14409" width="4.5703125" bestFit="1" customWidth="1"/>
    <col min="14410" max="14412" width="5" bestFit="1" customWidth="1"/>
    <col min="14413" max="14413" width="6.28515625" bestFit="1" customWidth="1"/>
    <col min="14414" max="14414" width="3.5703125" bestFit="1" customWidth="1"/>
    <col min="14415" max="14422" width="3.85546875" bestFit="1" customWidth="1"/>
    <col min="14423" max="14423" width="4.5703125" bestFit="1" customWidth="1"/>
    <col min="14424" max="14424" width="4.28515625" bestFit="1" customWidth="1"/>
    <col min="14425" max="14432" width="4.5703125" bestFit="1" customWidth="1"/>
    <col min="14433" max="14433" width="5" bestFit="1" customWidth="1"/>
    <col min="14434" max="14434" width="4.5703125" bestFit="1" customWidth="1"/>
    <col min="14435" max="14437" width="5" bestFit="1" customWidth="1"/>
    <col min="14594" max="14594" width="26.7109375" bestFit="1" customWidth="1"/>
    <col min="14595" max="14595" width="9.140625" customWidth="1"/>
    <col min="14596" max="14618" width="8.140625" customWidth="1"/>
    <col min="14619" max="14619" width="12.5703125" bestFit="1" customWidth="1"/>
    <col min="14620" max="14620" width="3.42578125" bestFit="1" customWidth="1"/>
    <col min="14621" max="14628" width="3.85546875" bestFit="1" customWidth="1"/>
    <col min="14629" max="14629" width="4.5703125" bestFit="1" customWidth="1"/>
    <col min="14630" max="14630" width="4.28515625" bestFit="1" customWidth="1"/>
    <col min="14631" max="14638" width="4.5703125" bestFit="1" customWidth="1"/>
    <col min="14639" max="14639" width="5" bestFit="1" customWidth="1"/>
    <col min="14640" max="14640" width="4.5703125" bestFit="1" customWidth="1"/>
    <col min="14641" max="14643" width="5" bestFit="1" customWidth="1"/>
    <col min="14645" max="14653" width="3.85546875" bestFit="1" customWidth="1"/>
    <col min="14654" max="14654" width="4.5703125" bestFit="1" customWidth="1"/>
    <col min="14655" max="14655" width="4.28515625" bestFit="1" customWidth="1"/>
    <col min="14656" max="14663" width="4.5703125" bestFit="1" customWidth="1"/>
    <col min="14664" max="14664" width="5" bestFit="1" customWidth="1"/>
    <col min="14665" max="14665" width="4.5703125" bestFit="1" customWidth="1"/>
    <col min="14666" max="14668" width="5" bestFit="1" customWidth="1"/>
    <col min="14669" max="14669" width="6.28515625" bestFit="1" customWidth="1"/>
    <col min="14670" max="14670" width="3.5703125" bestFit="1" customWidth="1"/>
    <col min="14671" max="14678" width="3.85546875" bestFit="1" customWidth="1"/>
    <col min="14679" max="14679" width="4.5703125" bestFit="1" customWidth="1"/>
    <col min="14680" max="14680" width="4.28515625" bestFit="1" customWidth="1"/>
    <col min="14681" max="14688" width="4.5703125" bestFit="1" customWidth="1"/>
    <col min="14689" max="14689" width="5" bestFit="1" customWidth="1"/>
    <col min="14690" max="14690" width="4.5703125" bestFit="1" customWidth="1"/>
    <col min="14691" max="14693" width="5" bestFit="1" customWidth="1"/>
    <col min="14850" max="14850" width="26.7109375" bestFit="1" customWidth="1"/>
    <col min="14851" max="14851" width="9.140625" customWidth="1"/>
    <col min="14852" max="14874" width="8.140625" customWidth="1"/>
    <col min="14875" max="14875" width="12.5703125" bestFit="1" customWidth="1"/>
    <col min="14876" max="14876" width="3.42578125" bestFit="1" customWidth="1"/>
    <col min="14877" max="14884" width="3.85546875" bestFit="1" customWidth="1"/>
    <col min="14885" max="14885" width="4.5703125" bestFit="1" customWidth="1"/>
    <col min="14886" max="14886" width="4.28515625" bestFit="1" customWidth="1"/>
    <col min="14887" max="14894" width="4.5703125" bestFit="1" customWidth="1"/>
    <col min="14895" max="14895" width="5" bestFit="1" customWidth="1"/>
    <col min="14896" max="14896" width="4.5703125" bestFit="1" customWidth="1"/>
    <col min="14897" max="14899" width="5" bestFit="1" customWidth="1"/>
    <col min="14901" max="14909" width="3.85546875" bestFit="1" customWidth="1"/>
    <col min="14910" max="14910" width="4.5703125" bestFit="1" customWidth="1"/>
    <col min="14911" max="14911" width="4.28515625" bestFit="1" customWidth="1"/>
    <col min="14912" max="14919" width="4.5703125" bestFit="1" customWidth="1"/>
    <col min="14920" max="14920" width="5" bestFit="1" customWidth="1"/>
    <col min="14921" max="14921" width="4.5703125" bestFit="1" customWidth="1"/>
    <col min="14922" max="14924" width="5" bestFit="1" customWidth="1"/>
    <col min="14925" max="14925" width="6.28515625" bestFit="1" customWidth="1"/>
    <col min="14926" max="14926" width="3.5703125" bestFit="1" customWidth="1"/>
    <col min="14927" max="14934" width="3.85546875" bestFit="1" customWidth="1"/>
    <col min="14935" max="14935" width="4.5703125" bestFit="1" customWidth="1"/>
    <col min="14936" max="14936" width="4.28515625" bestFit="1" customWidth="1"/>
    <col min="14937" max="14944" width="4.5703125" bestFit="1" customWidth="1"/>
    <col min="14945" max="14945" width="5" bestFit="1" customWidth="1"/>
    <col min="14946" max="14946" width="4.5703125" bestFit="1" customWidth="1"/>
    <col min="14947" max="14949" width="5" bestFit="1" customWidth="1"/>
    <col min="15106" max="15106" width="26.7109375" bestFit="1" customWidth="1"/>
    <col min="15107" max="15107" width="9.140625" customWidth="1"/>
    <col min="15108" max="15130" width="8.140625" customWidth="1"/>
    <col min="15131" max="15131" width="12.5703125" bestFit="1" customWidth="1"/>
    <col min="15132" max="15132" width="3.42578125" bestFit="1" customWidth="1"/>
    <col min="15133" max="15140" width="3.85546875" bestFit="1" customWidth="1"/>
    <col min="15141" max="15141" width="4.5703125" bestFit="1" customWidth="1"/>
    <col min="15142" max="15142" width="4.28515625" bestFit="1" customWidth="1"/>
    <col min="15143" max="15150" width="4.5703125" bestFit="1" customWidth="1"/>
    <col min="15151" max="15151" width="5" bestFit="1" customWidth="1"/>
    <col min="15152" max="15152" width="4.5703125" bestFit="1" customWidth="1"/>
    <col min="15153" max="15155" width="5" bestFit="1" customWidth="1"/>
    <col min="15157" max="15165" width="3.85546875" bestFit="1" customWidth="1"/>
    <col min="15166" max="15166" width="4.5703125" bestFit="1" customWidth="1"/>
    <col min="15167" max="15167" width="4.28515625" bestFit="1" customWidth="1"/>
    <col min="15168" max="15175" width="4.5703125" bestFit="1" customWidth="1"/>
    <col min="15176" max="15176" width="5" bestFit="1" customWidth="1"/>
    <col min="15177" max="15177" width="4.5703125" bestFit="1" customWidth="1"/>
    <col min="15178" max="15180" width="5" bestFit="1" customWidth="1"/>
    <col min="15181" max="15181" width="6.28515625" bestFit="1" customWidth="1"/>
    <col min="15182" max="15182" width="3.5703125" bestFit="1" customWidth="1"/>
    <col min="15183" max="15190" width="3.85546875" bestFit="1" customWidth="1"/>
    <col min="15191" max="15191" width="4.5703125" bestFit="1" customWidth="1"/>
    <col min="15192" max="15192" width="4.28515625" bestFit="1" customWidth="1"/>
    <col min="15193" max="15200" width="4.5703125" bestFit="1" customWidth="1"/>
    <col min="15201" max="15201" width="5" bestFit="1" customWidth="1"/>
    <col min="15202" max="15202" width="4.5703125" bestFit="1" customWidth="1"/>
    <col min="15203" max="15205" width="5" bestFit="1" customWidth="1"/>
    <col min="15362" max="15362" width="26.7109375" bestFit="1" customWidth="1"/>
    <col min="15363" max="15363" width="9.140625" customWidth="1"/>
    <col min="15364" max="15386" width="8.140625" customWidth="1"/>
    <col min="15387" max="15387" width="12.5703125" bestFit="1" customWidth="1"/>
    <col min="15388" max="15388" width="3.42578125" bestFit="1" customWidth="1"/>
    <col min="15389" max="15396" width="3.85546875" bestFit="1" customWidth="1"/>
    <col min="15397" max="15397" width="4.5703125" bestFit="1" customWidth="1"/>
    <col min="15398" max="15398" width="4.28515625" bestFit="1" customWidth="1"/>
    <col min="15399" max="15406" width="4.5703125" bestFit="1" customWidth="1"/>
    <col min="15407" max="15407" width="5" bestFit="1" customWidth="1"/>
    <col min="15408" max="15408" width="4.5703125" bestFit="1" customWidth="1"/>
    <col min="15409" max="15411" width="5" bestFit="1" customWidth="1"/>
    <col min="15413" max="15421" width="3.85546875" bestFit="1" customWidth="1"/>
    <col min="15422" max="15422" width="4.5703125" bestFit="1" customWidth="1"/>
    <col min="15423" max="15423" width="4.28515625" bestFit="1" customWidth="1"/>
    <col min="15424" max="15431" width="4.5703125" bestFit="1" customWidth="1"/>
    <col min="15432" max="15432" width="5" bestFit="1" customWidth="1"/>
    <col min="15433" max="15433" width="4.5703125" bestFit="1" customWidth="1"/>
    <col min="15434" max="15436" width="5" bestFit="1" customWidth="1"/>
    <col min="15437" max="15437" width="6.28515625" bestFit="1" customWidth="1"/>
    <col min="15438" max="15438" width="3.5703125" bestFit="1" customWidth="1"/>
    <col min="15439" max="15446" width="3.85546875" bestFit="1" customWidth="1"/>
    <col min="15447" max="15447" width="4.5703125" bestFit="1" customWidth="1"/>
    <col min="15448" max="15448" width="4.28515625" bestFit="1" customWidth="1"/>
    <col min="15449" max="15456" width="4.5703125" bestFit="1" customWidth="1"/>
    <col min="15457" max="15457" width="5" bestFit="1" customWidth="1"/>
    <col min="15458" max="15458" width="4.5703125" bestFit="1" customWidth="1"/>
    <col min="15459" max="15461" width="5" bestFit="1" customWidth="1"/>
    <col min="15618" max="15618" width="26.7109375" bestFit="1" customWidth="1"/>
    <col min="15619" max="15619" width="9.140625" customWidth="1"/>
    <col min="15620" max="15642" width="8.140625" customWidth="1"/>
    <col min="15643" max="15643" width="12.5703125" bestFit="1" customWidth="1"/>
    <col min="15644" max="15644" width="3.42578125" bestFit="1" customWidth="1"/>
    <col min="15645" max="15652" width="3.85546875" bestFit="1" customWidth="1"/>
    <col min="15653" max="15653" width="4.5703125" bestFit="1" customWidth="1"/>
    <col min="15654" max="15654" width="4.28515625" bestFit="1" customWidth="1"/>
    <col min="15655" max="15662" width="4.5703125" bestFit="1" customWidth="1"/>
    <col min="15663" max="15663" width="5" bestFit="1" customWidth="1"/>
    <col min="15664" max="15664" width="4.5703125" bestFit="1" customWidth="1"/>
    <col min="15665" max="15667" width="5" bestFit="1" customWidth="1"/>
    <col min="15669" max="15677" width="3.85546875" bestFit="1" customWidth="1"/>
    <col min="15678" max="15678" width="4.5703125" bestFit="1" customWidth="1"/>
    <col min="15679" max="15679" width="4.28515625" bestFit="1" customWidth="1"/>
    <col min="15680" max="15687" width="4.5703125" bestFit="1" customWidth="1"/>
    <col min="15688" max="15688" width="5" bestFit="1" customWidth="1"/>
    <col min="15689" max="15689" width="4.5703125" bestFit="1" customWidth="1"/>
    <col min="15690" max="15692" width="5" bestFit="1" customWidth="1"/>
    <col min="15693" max="15693" width="6.28515625" bestFit="1" customWidth="1"/>
    <col min="15694" max="15694" width="3.5703125" bestFit="1" customWidth="1"/>
    <col min="15695" max="15702" width="3.85546875" bestFit="1" customWidth="1"/>
    <col min="15703" max="15703" width="4.5703125" bestFit="1" customWidth="1"/>
    <col min="15704" max="15704" width="4.28515625" bestFit="1" customWidth="1"/>
    <col min="15705" max="15712" width="4.5703125" bestFit="1" customWidth="1"/>
    <col min="15713" max="15713" width="5" bestFit="1" customWidth="1"/>
    <col min="15714" max="15714" width="4.5703125" bestFit="1" customWidth="1"/>
    <col min="15715" max="15717" width="5" bestFit="1" customWidth="1"/>
    <col min="15874" max="15874" width="26.7109375" bestFit="1" customWidth="1"/>
    <col min="15875" max="15875" width="9.140625" customWidth="1"/>
    <col min="15876" max="15898" width="8.140625" customWidth="1"/>
    <col min="15899" max="15899" width="12.5703125" bestFit="1" customWidth="1"/>
    <col min="15900" max="15900" width="3.42578125" bestFit="1" customWidth="1"/>
    <col min="15901" max="15908" width="3.85546875" bestFit="1" customWidth="1"/>
    <col min="15909" max="15909" width="4.5703125" bestFit="1" customWidth="1"/>
    <col min="15910" max="15910" width="4.28515625" bestFit="1" customWidth="1"/>
    <col min="15911" max="15918" width="4.5703125" bestFit="1" customWidth="1"/>
    <col min="15919" max="15919" width="5" bestFit="1" customWidth="1"/>
    <col min="15920" max="15920" width="4.5703125" bestFit="1" customWidth="1"/>
    <col min="15921" max="15923" width="5" bestFit="1" customWidth="1"/>
    <col min="15925" max="15933" width="3.85546875" bestFit="1" customWidth="1"/>
    <col min="15934" max="15934" width="4.5703125" bestFit="1" customWidth="1"/>
    <col min="15935" max="15935" width="4.28515625" bestFit="1" customWidth="1"/>
    <col min="15936" max="15943" width="4.5703125" bestFit="1" customWidth="1"/>
    <col min="15944" max="15944" width="5" bestFit="1" customWidth="1"/>
    <col min="15945" max="15945" width="4.5703125" bestFit="1" customWidth="1"/>
    <col min="15946" max="15948" width="5" bestFit="1" customWidth="1"/>
    <col min="15949" max="15949" width="6.28515625" bestFit="1" customWidth="1"/>
    <col min="15950" max="15950" width="3.5703125" bestFit="1" customWidth="1"/>
    <col min="15951" max="15958" width="3.85546875" bestFit="1" customWidth="1"/>
    <col min="15959" max="15959" width="4.5703125" bestFit="1" customWidth="1"/>
    <col min="15960" max="15960" width="4.28515625" bestFit="1" customWidth="1"/>
    <col min="15961" max="15968" width="4.5703125" bestFit="1" customWidth="1"/>
    <col min="15969" max="15969" width="5" bestFit="1" customWidth="1"/>
    <col min="15970" max="15970" width="4.5703125" bestFit="1" customWidth="1"/>
    <col min="15971" max="15973" width="5" bestFit="1" customWidth="1"/>
    <col min="16130" max="16130" width="26.7109375" bestFit="1" customWidth="1"/>
    <col min="16131" max="16131" width="9.140625" customWidth="1"/>
    <col min="16132" max="16154" width="8.140625" customWidth="1"/>
    <col min="16155" max="16155" width="12.5703125" bestFit="1" customWidth="1"/>
    <col min="16156" max="16156" width="3.42578125" bestFit="1" customWidth="1"/>
    <col min="16157" max="16164" width="3.85546875" bestFit="1" customWidth="1"/>
    <col min="16165" max="16165" width="4.5703125" bestFit="1" customWidth="1"/>
    <col min="16166" max="16166" width="4.28515625" bestFit="1" customWidth="1"/>
    <col min="16167" max="16174" width="4.5703125" bestFit="1" customWidth="1"/>
    <col min="16175" max="16175" width="5" bestFit="1" customWidth="1"/>
    <col min="16176" max="16176" width="4.5703125" bestFit="1" customWidth="1"/>
    <col min="16177" max="16179" width="5" bestFit="1" customWidth="1"/>
    <col min="16181" max="16189" width="3.85546875" bestFit="1" customWidth="1"/>
    <col min="16190" max="16190" width="4.5703125" bestFit="1" customWidth="1"/>
    <col min="16191" max="16191" width="4.28515625" bestFit="1" customWidth="1"/>
    <col min="16192" max="16199" width="4.5703125" bestFit="1" customWidth="1"/>
    <col min="16200" max="16200" width="5" bestFit="1" customWidth="1"/>
    <col min="16201" max="16201" width="4.5703125" bestFit="1" customWidth="1"/>
    <col min="16202" max="16204" width="5" bestFit="1" customWidth="1"/>
    <col min="16205" max="16205" width="6.28515625" bestFit="1" customWidth="1"/>
    <col min="16206" max="16206" width="3.5703125" bestFit="1" customWidth="1"/>
    <col min="16207" max="16214" width="3.85546875" bestFit="1" customWidth="1"/>
    <col min="16215" max="16215" width="4.5703125" bestFit="1" customWidth="1"/>
    <col min="16216" max="16216" width="4.28515625" bestFit="1" customWidth="1"/>
    <col min="16217" max="16224" width="4.5703125" bestFit="1" customWidth="1"/>
    <col min="16225" max="16225" width="5" bestFit="1" customWidth="1"/>
    <col min="16226" max="16226" width="4.5703125" bestFit="1" customWidth="1"/>
    <col min="16227" max="16229" width="5" bestFit="1" customWidth="1"/>
  </cols>
  <sheetData>
    <row r="2" spans="1:101">
      <c r="AB2" s="492" t="s">
        <v>55</v>
      </c>
      <c r="AC2" s="492"/>
      <c r="AD2" s="492"/>
      <c r="AE2" s="492"/>
      <c r="AF2" s="492"/>
      <c r="AG2" s="492"/>
      <c r="AH2" s="492"/>
      <c r="AI2" s="492"/>
      <c r="AJ2" s="492"/>
      <c r="AK2" s="492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/>
      <c r="AX2" s="492"/>
      <c r="AY2" s="492"/>
      <c r="BA2" s="492" t="s">
        <v>56</v>
      </c>
      <c r="BB2" s="492"/>
      <c r="BC2" s="492"/>
      <c r="BD2" s="492"/>
      <c r="BE2" s="492"/>
      <c r="BF2" s="492"/>
      <c r="BG2" s="492"/>
      <c r="BH2" s="492"/>
      <c r="BI2" s="492"/>
      <c r="BJ2" s="492"/>
      <c r="BK2" s="492"/>
      <c r="BL2" s="492"/>
      <c r="BM2" s="492"/>
      <c r="BN2" s="492"/>
      <c r="BO2" s="492"/>
      <c r="BP2" s="492"/>
      <c r="BQ2" s="492"/>
      <c r="BR2" s="492"/>
      <c r="BS2" s="492"/>
      <c r="BT2" s="492"/>
      <c r="BU2" s="492"/>
      <c r="BV2" s="492"/>
      <c r="BW2" s="492"/>
      <c r="BX2" s="492"/>
      <c r="BZ2" s="492" t="s">
        <v>57</v>
      </c>
      <c r="CA2" s="492"/>
      <c r="CB2" s="492"/>
      <c r="CC2" s="492"/>
      <c r="CD2" s="492"/>
      <c r="CE2" s="492"/>
      <c r="CF2" s="492"/>
      <c r="CG2" s="492"/>
      <c r="CH2" s="492"/>
      <c r="CI2" s="492"/>
      <c r="CJ2" s="492"/>
      <c r="CK2" s="492"/>
      <c r="CL2" s="492"/>
      <c r="CM2" s="492"/>
      <c r="CN2" s="492"/>
      <c r="CO2" s="492"/>
      <c r="CP2" s="492"/>
      <c r="CQ2" s="492"/>
      <c r="CR2" s="492"/>
      <c r="CS2" s="492"/>
      <c r="CT2" s="492"/>
      <c r="CU2" s="492"/>
      <c r="CV2" s="492"/>
      <c r="CW2" s="492"/>
    </row>
    <row r="3" spans="1:101">
      <c r="A3" s="67" t="s">
        <v>58</v>
      </c>
      <c r="B3" s="67" t="s">
        <v>27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7"/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H3" t="s">
        <v>65</v>
      </c>
      <c r="AI3" t="s">
        <v>66</v>
      </c>
      <c r="AJ3" t="s">
        <v>67</v>
      </c>
      <c r="AK3" t="s">
        <v>68</v>
      </c>
      <c r="AL3" t="s">
        <v>69</v>
      </c>
      <c r="AM3" t="s">
        <v>70</v>
      </c>
      <c r="AN3" t="s">
        <v>71</v>
      </c>
      <c r="AO3" t="s">
        <v>72</v>
      </c>
      <c r="AP3" t="s">
        <v>73</v>
      </c>
      <c r="AQ3" t="s">
        <v>74</v>
      </c>
      <c r="AR3" t="s">
        <v>75</v>
      </c>
      <c r="AS3" t="s">
        <v>76</v>
      </c>
      <c r="AT3" t="s">
        <v>77</v>
      </c>
      <c r="AU3" t="s">
        <v>78</v>
      </c>
      <c r="AV3" t="s">
        <v>79</v>
      </c>
      <c r="AW3" t="s">
        <v>80</v>
      </c>
      <c r="AX3" t="s">
        <v>81</v>
      </c>
      <c r="AY3" t="s">
        <v>82</v>
      </c>
      <c r="BA3" t="s">
        <v>59</v>
      </c>
      <c r="BB3" t="s">
        <v>60</v>
      </c>
      <c r="BC3" t="s">
        <v>61</v>
      </c>
      <c r="BD3" t="s">
        <v>62</v>
      </c>
      <c r="BE3" t="s">
        <v>63</v>
      </c>
      <c r="BF3" t="s">
        <v>64</v>
      </c>
      <c r="BG3" t="s">
        <v>65</v>
      </c>
      <c r="BH3" t="s">
        <v>66</v>
      </c>
      <c r="BI3" t="s">
        <v>67</v>
      </c>
      <c r="BJ3" t="s">
        <v>68</v>
      </c>
      <c r="BK3" t="s">
        <v>69</v>
      </c>
      <c r="BL3" t="s">
        <v>70</v>
      </c>
      <c r="BM3" t="s">
        <v>71</v>
      </c>
      <c r="BN3" t="s">
        <v>72</v>
      </c>
      <c r="BO3" t="s">
        <v>73</v>
      </c>
      <c r="BP3" t="s">
        <v>74</v>
      </c>
      <c r="BQ3" t="s">
        <v>75</v>
      </c>
      <c r="BR3" t="s">
        <v>76</v>
      </c>
      <c r="BS3" t="s">
        <v>77</v>
      </c>
      <c r="BT3" t="s">
        <v>78</v>
      </c>
      <c r="BU3" t="s">
        <v>79</v>
      </c>
      <c r="BV3" t="s">
        <v>80</v>
      </c>
      <c r="BW3" t="s">
        <v>81</v>
      </c>
      <c r="BX3" t="s">
        <v>82</v>
      </c>
      <c r="BZ3" t="s">
        <v>59</v>
      </c>
      <c r="CA3" t="s">
        <v>60</v>
      </c>
      <c r="CB3" t="s">
        <v>61</v>
      </c>
      <c r="CC3" t="s">
        <v>62</v>
      </c>
      <c r="CD3" t="s">
        <v>63</v>
      </c>
      <c r="CE3" t="s">
        <v>64</v>
      </c>
      <c r="CF3" t="s">
        <v>65</v>
      </c>
      <c r="CG3" t="s">
        <v>66</v>
      </c>
      <c r="CH3" t="s">
        <v>67</v>
      </c>
      <c r="CI3" t="s">
        <v>68</v>
      </c>
      <c r="CJ3" t="s">
        <v>69</v>
      </c>
      <c r="CK3" t="s">
        <v>70</v>
      </c>
      <c r="CL3" t="s">
        <v>71</v>
      </c>
      <c r="CM3" t="s">
        <v>72</v>
      </c>
      <c r="CN3" t="s">
        <v>73</v>
      </c>
      <c r="CO3" t="s">
        <v>74</v>
      </c>
      <c r="CP3" t="s">
        <v>75</v>
      </c>
      <c r="CQ3" t="s">
        <v>76</v>
      </c>
      <c r="CR3" t="s">
        <v>77</v>
      </c>
      <c r="CS3" t="s">
        <v>78</v>
      </c>
      <c r="CT3" t="s">
        <v>79</v>
      </c>
      <c r="CU3" t="s">
        <v>80</v>
      </c>
      <c r="CV3" t="s">
        <v>81</v>
      </c>
      <c r="CW3" t="s">
        <v>82</v>
      </c>
    </row>
    <row r="4" spans="1:101">
      <c r="A4" s="67" t="s">
        <v>26</v>
      </c>
      <c r="B4" s="55" t="s">
        <v>30</v>
      </c>
      <c r="C4" s="58" t="s">
        <v>31</v>
      </c>
      <c r="D4" s="58" t="s">
        <v>32</v>
      </c>
      <c r="E4" s="58" t="s">
        <v>33</v>
      </c>
      <c r="F4" s="58" t="s">
        <v>34</v>
      </c>
      <c r="G4" s="58" t="s">
        <v>35</v>
      </c>
      <c r="H4" s="58" t="s">
        <v>36</v>
      </c>
      <c r="I4" s="58" t="s">
        <v>37</v>
      </c>
      <c r="J4" s="58" t="s">
        <v>38</v>
      </c>
      <c r="K4" s="58" t="s">
        <v>39</v>
      </c>
      <c r="L4" s="58" t="s">
        <v>40</v>
      </c>
      <c r="M4" s="58" t="s">
        <v>41</v>
      </c>
      <c r="N4" s="58" t="s">
        <v>42</v>
      </c>
      <c r="O4" s="58" t="s">
        <v>43</v>
      </c>
      <c r="P4" s="58" t="s">
        <v>44</v>
      </c>
      <c r="Q4" s="58" t="s">
        <v>45</v>
      </c>
      <c r="R4" s="58" t="s">
        <v>46</v>
      </c>
      <c r="S4" s="58" t="s">
        <v>47</v>
      </c>
      <c r="T4" s="58" t="s">
        <v>48</v>
      </c>
      <c r="U4" s="58" t="s">
        <v>49</v>
      </c>
      <c r="V4" s="58" t="s">
        <v>50</v>
      </c>
      <c r="W4" s="58" t="s">
        <v>51</v>
      </c>
      <c r="X4" s="58" t="s">
        <v>52</v>
      </c>
      <c r="Y4" s="58" t="s">
        <v>53</v>
      </c>
      <c r="Z4" s="75" t="s">
        <v>83</v>
      </c>
      <c r="BX4">
        <v>0</v>
      </c>
    </row>
    <row r="5" spans="1:101">
      <c r="A5" s="59">
        <v>44927</v>
      </c>
      <c r="B5" s="55">
        <v>0</v>
      </c>
      <c r="C5" s="58">
        <v>0</v>
      </c>
      <c r="D5" s="58">
        <v>0</v>
      </c>
      <c r="E5" s="58">
        <v>0</v>
      </c>
      <c r="F5" s="58">
        <v>0</v>
      </c>
      <c r="G5" s="58">
        <v>0</v>
      </c>
      <c r="H5" s="58">
        <v>0</v>
      </c>
      <c r="I5" s="58">
        <v>0</v>
      </c>
      <c r="J5" s="58">
        <v>0</v>
      </c>
      <c r="K5" s="58">
        <v>0</v>
      </c>
      <c r="L5" s="58">
        <v>0</v>
      </c>
      <c r="M5" s="58">
        <v>0</v>
      </c>
      <c r="N5" s="58">
        <v>0</v>
      </c>
      <c r="O5" s="58">
        <v>0</v>
      </c>
      <c r="P5" s="58">
        <v>1305.5</v>
      </c>
      <c r="Q5" s="58">
        <v>16739.8</v>
      </c>
      <c r="R5" s="58">
        <v>44419.5</v>
      </c>
      <c r="S5" s="58">
        <v>52374</v>
      </c>
      <c r="T5" s="58">
        <v>53049.3</v>
      </c>
      <c r="U5" s="58">
        <v>53023.4</v>
      </c>
      <c r="V5" s="58">
        <v>52985</v>
      </c>
      <c r="W5" s="58">
        <v>52984.1</v>
      </c>
      <c r="X5" s="58">
        <v>53073.2</v>
      </c>
      <c r="Y5" s="58">
        <v>53060.5</v>
      </c>
      <c r="Z5" s="76">
        <v>433014.3</v>
      </c>
      <c r="AB5" s="52">
        <f>+IF(AND(B5=0,C5&lt;&gt;0),1,0)</f>
        <v>0</v>
      </c>
      <c r="AC5" s="52">
        <f t="shared" ref="AC5:AC35" si="0">+IF(AND(C5=0,D5&lt;&gt;0),1,0)</f>
        <v>0</v>
      </c>
      <c r="AD5" s="52">
        <f t="shared" ref="AD5:AD35" si="1">+IF(AND(D5=0,E5&lt;&gt;0),1,0)</f>
        <v>0</v>
      </c>
      <c r="AE5" s="52">
        <f t="shared" ref="AE5:AE35" si="2">+IF(AND(E5=0,F5&lt;&gt;0),1,0)</f>
        <v>0</v>
      </c>
      <c r="AF5" s="52">
        <f t="shared" ref="AF5:AF35" si="3">+IF(AND(F5=0,G5&lt;&gt;0),1,0)</f>
        <v>0</v>
      </c>
      <c r="AG5" s="52">
        <f t="shared" ref="AG5:AG35" si="4">+IF(AND(G5=0,H5&lt;&gt;0),1,0)</f>
        <v>0</v>
      </c>
      <c r="AH5" s="52">
        <f t="shared" ref="AH5:AH35" si="5">+IF(AND(H5=0,I5&lt;&gt;0),1,0)</f>
        <v>0</v>
      </c>
      <c r="AI5" s="52">
        <f t="shared" ref="AI5:AI35" si="6">+IF(AND(I5=0,J5&lt;&gt;0),1,0)</f>
        <v>0</v>
      </c>
      <c r="AJ5" s="52">
        <f t="shared" ref="AJ5:AJ35" si="7">+IF(AND(J5=0,K5&lt;&gt;0),1,0)</f>
        <v>0</v>
      </c>
      <c r="AK5" s="52">
        <f t="shared" ref="AK5:AK35" si="8">+IF(AND(K5=0,L5&lt;&gt;0),1,0)</f>
        <v>0</v>
      </c>
      <c r="AL5" s="52">
        <f t="shared" ref="AL5:AL35" si="9">+IF(AND(L5=0,M5&lt;&gt;0),1,0)</f>
        <v>0</v>
      </c>
      <c r="AM5" s="52">
        <f t="shared" ref="AM5:AM35" si="10">+IF(AND(M5=0,N5&lt;&gt;0),1,0)</f>
        <v>0</v>
      </c>
      <c r="AN5" s="52">
        <f t="shared" ref="AN5:AN35" si="11">+IF(AND(N5=0,O5&lt;&gt;0),1,0)</f>
        <v>0</v>
      </c>
      <c r="AO5" s="52">
        <f t="shared" ref="AO5:AO35" si="12">+IF(AND(O5=0,P5&lt;&gt;0),1,0)</f>
        <v>1</v>
      </c>
      <c r="AP5" s="52">
        <f t="shared" ref="AP5:AP35" si="13">+IF(AND(P5=0,Q5&lt;&gt;0),1,0)</f>
        <v>0</v>
      </c>
      <c r="AQ5" s="52">
        <f t="shared" ref="AQ5:AQ35" si="14">+IF(AND(Q5=0,R5&lt;&gt;0),1,0)</f>
        <v>0</v>
      </c>
      <c r="AR5" s="52">
        <f t="shared" ref="AR5:AR35" si="15">+IF(AND(R5=0,S5&lt;&gt;0),1,0)</f>
        <v>0</v>
      </c>
      <c r="AS5" s="52">
        <f t="shared" ref="AS5:AS35" si="16">+IF(AND(S5=0,T5&lt;&gt;0),1,0)</f>
        <v>0</v>
      </c>
      <c r="AT5" s="52">
        <f t="shared" ref="AT5:AT35" si="17">+IF(AND(T5=0,U5&lt;&gt;0),1,0)</f>
        <v>0</v>
      </c>
      <c r="AU5" s="52">
        <f t="shared" ref="AU5:AU35" si="18">+IF(AND(U5=0,V5&lt;&gt;0),1,0)</f>
        <v>0</v>
      </c>
      <c r="AV5" s="52">
        <f t="shared" ref="AV5:AV35" si="19">+IF(AND(V5=0,W5&lt;&gt;0),1,0)</f>
        <v>0</v>
      </c>
      <c r="AW5" s="52">
        <f t="shared" ref="AW5:AW35" si="20">+IF(AND(W5=0,X5&lt;&gt;0),1,0)</f>
        <v>0</v>
      </c>
      <c r="AX5" s="52">
        <f t="shared" ref="AX5:AX35" si="21">+IF(AND(X5=0,Y5&lt;&gt;0),1,0)</f>
        <v>0</v>
      </c>
      <c r="AY5" s="52">
        <f>+IF(AND(Y5=0,B6&lt;&gt;0),1,0)</f>
        <v>0</v>
      </c>
      <c r="BA5" s="52">
        <f>+ROUNDUP(B5/8800,0)</f>
        <v>0</v>
      </c>
      <c r="BB5" s="52">
        <f t="shared" ref="BB5:BB35" si="22">+ROUNDUP(C5/8800,0)</f>
        <v>0</v>
      </c>
      <c r="BC5" s="52">
        <f t="shared" ref="BC5:BC35" si="23">+ROUNDUP(D5/8800,0)</f>
        <v>0</v>
      </c>
      <c r="BD5" s="52">
        <f t="shared" ref="BD5:BD35" si="24">+ROUNDUP(E5/8800,0)</f>
        <v>0</v>
      </c>
      <c r="BE5" s="52">
        <f t="shared" ref="BE5:BE35" si="25">+ROUNDUP(F5/8800,0)</f>
        <v>0</v>
      </c>
      <c r="BF5" s="52">
        <f t="shared" ref="BF5:BF35" si="26">+ROUNDUP(G5/8800,0)</f>
        <v>0</v>
      </c>
      <c r="BG5" s="52">
        <f t="shared" ref="BG5:BG35" si="27">+ROUNDUP(H5/8800,0)</f>
        <v>0</v>
      </c>
      <c r="BH5" s="52">
        <f t="shared" ref="BH5:BH35" si="28">+ROUNDUP(I5/8800,0)</f>
        <v>0</v>
      </c>
      <c r="BI5" s="52">
        <f t="shared" ref="BI5:BI35" si="29">+ROUNDUP(J5/8800,0)</f>
        <v>0</v>
      </c>
      <c r="BJ5" s="52">
        <f t="shared" ref="BJ5:BJ35" si="30">+ROUNDUP(K5/8800,0)</f>
        <v>0</v>
      </c>
      <c r="BK5" s="52">
        <f t="shared" ref="BK5:BK35" si="31">+ROUNDUP(L5/8800,0)</f>
        <v>0</v>
      </c>
      <c r="BL5" s="52">
        <f t="shared" ref="BL5:BL35" si="32">+ROUNDUP(M5/8800,0)</f>
        <v>0</v>
      </c>
      <c r="BM5" s="52">
        <f t="shared" ref="BM5:BM35" si="33">+ROUNDUP(N5/8800,0)</f>
        <v>0</v>
      </c>
      <c r="BN5" s="52">
        <f t="shared" ref="BN5:BN35" si="34">+ROUNDUP(O5/8800,0)</f>
        <v>0</v>
      </c>
      <c r="BO5" s="52">
        <f t="shared" ref="BO5:BO35" si="35">+ROUNDUP(P5/8800,0)</f>
        <v>1</v>
      </c>
      <c r="BP5" s="52">
        <f t="shared" ref="BP5:BP35" si="36">+ROUNDUP(Q5/8800,0)</f>
        <v>2</v>
      </c>
      <c r="BQ5" s="52">
        <f t="shared" ref="BQ5:BQ35" si="37">+ROUNDUP(R5/8800,0)</f>
        <v>6</v>
      </c>
      <c r="BR5" s="52">
        <f t="shared" ref="BR5:BR35" si="38">+ROUNDUP(S5/8800,0)</f>
        <v>6</v>
      </c>
      <c r="BS5" s="52">
        <f t="shared" ref="BS5:BS35" si="39">+ROUNDUP(T5/8800,0)</f>
        <v>7</v>
      </c>
      <c r="BT5" s="52">
        <f t="shared" ref="BT5:BT35" si="40">+ROUNDUP(U5/8800,0)</f>
        <v>7</v>
      </c>
      <c r="BU5" s="52">
        <f t="shared" ref="BU5:BU35" si="41">+ROUNDUP(V5/8800,0)</f>
        <v>7</v>
      </c>
      <c r="BV5" s="52">
        <f t="shared" ref="BV5:BV35" si="42">+ROUNDUP(W5/8800,0)</f>
        <v>7</v>
      </c>
      <c r="BW5" s="52">
        <f t="shared" ref="BW5:BW35" si="43">+ROUNDUP(X5/8800,0)</f>
        <v>7</v>
      </c>
      <c r="BX5" s="52">
        <f t="shared" ref="BX5:BX35" si="44">+ROUNDUP(Y5/8800,0)</f>
        <v>7</v>
      </c>
      <c r="BZ5" s="52">
        <f>+BA5-BX4</f>
        <v>0</v>
      </c>
      <c r="CA5" s="52">
        <f>BB5-BA5</f>
        <v>0</v>
      </c>
      <c r="CB5" s="52">
        <f t="shared" ref="CB5:CQ16" si="45">BC5-BB5</f>
        <v>0</v>
      </c>
      <c r="CC5" s="52">
        <f t="shared" si="45"/>
        <v>0</v>
      </c>
      <c r="CD5" s="52">
        <f t="shared" si="45"/>
        <v>0</v>
      </c>
      <c r="CE5" s="52">
        <f t="shared" si="45"/>
        <v>0</v>
      </c>
      <c r="CF5" s="52">
        <f t="shared" si="45"/>
        <v>0</v>
      </c>
      <c r="CG5" s="52">
        <f t="shared" si="45"/>
        <v>0</v>
      </c>
      <c r="CH5" s="52">
        <f t="shared" si="45"/>
        <v>0</v>
      </c>
      <c r="CI5" s="52">
        <f t="shared" si="45"/>
        <v>0</v>
      </c>
      <c r="CJ5" s="52">
        <f t="shared" si="45"/>
        <v>0</v>
      </c>
      <c r="CK5" s="52">
        <f t="shared" si="45"/>
        <v>0</v>
      </c>
      <c r="CL5" s="52">
        <f t="shared" si="45"/>
        <v>0</v>
      </c>
      <c r="CM5" s="52">
        <f t="shared" si="45"/>
        <v>0</v>
      </c>
      <c r="CN5" s="52">
        <f t="shared" si="45"/>
        <v>1</v>
      </c>
      <c r="CO5" s="52">
        <f t="shared" si="45"/>
        <v>1</v>
      </c>
      <c r="CP5" s="52">
        <f t="shared" si="45"/>
        <v>4</v>
      </c>
      <c r="CQ5" s="52">
        <f t="shared" si="45"/>
        <v>0</v>
      </c>
      <c r="CR5" s="52">
        <f t="shared" ref="CO5:CW20" si="46">BS5-BR5</f>
        <v>1</v>
      </c>
      <c r="CS5" s="52">
        <f t="shared" si="46"/>
        <v>0</v>
      </c>
      <c r="CT5" s="52">
        <f t="shared" si="46"/>
        <v>0</v>
      </c>
      <c r="CU5" s="52">
        <f t="shared" si="46"/>
        <v>0</v>
      </c>
      <c r="CV5" s="52">
        <f t="shared" si="46"/>
        <v>0</v>
      </c>
      <c r="CW5" s="52">
        <f t="shared" si="46"/>
        <v>0</v>
      </c>
    </row>
    <row r="6" spans="1:101">
      <c r="A6" s="60">
        <v>44928</v>
      </c>
      <c r="B6" s="426">
        <v>19064.3</v>
      </c>
      <c r="C6">
        <v>0</v>
      </c>
      <c r="D6">
        <v>0</v>
      </c>
      <c r="E6">
        <v>0</v>
      </c>
      <c r="F6">
        <v>0</v>
      </c>
      <c r="G6">
        <v>0</v>
      </c>
      <c r="H6">
        <v>1654.4</v>
      </c>
      <c r="I6">
        <v>16319.9</v>
      </c>
      <c r="J6">
        <v>42916.800000000003</v>
      </c>
      <c r="K6">
        <v>52686.5</v>
      </c>
      <c r="L6">
        <v>53882.6</v>
      </c>
      <c r="M6">
        <v>53204.800000000003</v>
      </c>
      <c r="N6">
        <v>53199</v>
      </c>
      <c r="O6">
        <v>53268.2</v>
      </c>
      <c r="P6">
        <v>53296.9</v>
      </c>
      <c r="Q6">
        <v>53271.3</v>
      </c>
      <c r="R6">
        <v>53247.5</v>
      </c>
      <c r="S6">
        <v>53182.9</v>
      </c>
      <c r="T6">
        <v>53089.7</v>
      </c>
      <c r="U6">
        <v>53164.4</v>
      </c>
      <c r="V6">
        <v>53071.7</v>
      </c>
      <c r="W6">
        <v>53090.7</v>
      </c>
      <c r="X6">
        <v>53012.6</v>
      </c>
      <c r="Y6">
        <v>53500.6</v>
      </c>
      <c r="Z6" s="77">
        <v>878124.79999999981</v>
      </c>
      <c r="AB6">
        <f t="shared" ref="AB6:AB35" si="47">+IF(AND(B6=0,C6&lt;&gt;0),1,0)</f>
        <v>0</v>
      </c>
      <c r="AC6">
        <f t="shared" si="0"/>
        <v>0</v>
      </c>
      <c r="AD6">
        <f t="shared" si="1"/>
        <v>0</v>
      </c>
      <c r="AE6">
        <f t="shared" si="2"/>
        <v>0</v>
      </c>
      <c r="AF6">
        <f t="shared" si="3"/>
        <v>0</v>
      </c>
      <c r="AG6">
        <f t="shared" si="4"/>
        <v>1</v>
      </c>
      <c r="AH6">
        <f t="shared" si="5"/>
        <v>0</v>
      </c>
      <c r="AI6">
        <f t="shared" si="6"/>
        <v>0</v>
      </c>
      <c r="AJ6">
        <f t="shared" si="7"/>
        <v>0</v>
      </c>
      <c r="AK6">
        <f t="shared" si="8"/>
        <v>0</v>
      </c>
      <c r="AL6">
        <f t="shared" si="9"/>
        <v>0</v>
      </c>
      <c r="AM6">
        <f t="shared" si="10"/>
        <v>0</v>
      </c>
      <c r="AN6">
        <f t="shared" si="11"/>
        <v>0</v>
      </c>
      <c r="AO6">
        <f t="shared" si="12"/>
        <v>0</v>
      </c>
      <c r="AP6">
        <f t="shared" si="13"/>
        <v>0</v>
      </c>
      <c r="AQ6">
        <f t="shared" si="14"/>
        <v>0</v>
      </c>
      <c r="AR6">
        <f t="shared" si="15"/>
        <v>0</v>
      </c>
      <c r="AS6">
        <f t="shared" si="16"/>
        <v>0</v>
      </c>
      <c r="AT6">
        <f t="shared" si="17"/>
        <v>0</v>
      </c>
      <c r="AU6">
        <f t="shared" si="18"/>
        <v>0</v>
      </c>
      <c r="AV6">
        <f t="shared" si="19"/>
        <v>0</v>
      </c>
      <c r="AW6">
        <f t="shared" si="20"/>
        <v>0</v>
      </c>
      <c r="AX6">
        <f t="shared" si="21"/>
        <v>0</v>
      </c>
      <c r="AY6">
        <f t="shared" ref="AY6:AY34" si="48">+IF(AND(Y6=0,B7&lt;&gt;0),1,0)</f>
        <v>0</v>
      </c>
      <c r="BA6">
        <f>+ROUNDUP(B6/8800,0)</f>
        <v>3</v>
      </c>
      <c r="BB6">
        <f t="shared" si="22"/>
        <v>0</v>
      </c>
      <c r="BC6">
        <f t="shared" si="23"/>
        <v>0</v>
      </c>
      <c r="BD6">
        <f t="shared" si="24"/>
        <v>0</v>
      </c>
      <c r="BE6">
        <f t="shared" si="25"/>
        <v>0</v>
      </c>
      <c r="BF6">
        <f t="shared" si="26"/>
        <v>0</v>
      </c>
      <c r="BG6">
        <f t="shared" si="27"/>
        <v>1</v>
      </c>
      <c r="BH6">
        <f t="shared" si="28"/>
        <v>2</v>
      </c>
      <c r="BI6">
        <f t="shared" si="29"/>
        <v>5</v>
      </c>
      <c r="BJ6">
        <f t="shared" si="30"/>
        <v>6</v>
      </c>
      <c r="BK6">
        <f t="shared" si="31"/>
        <v>7</v>
      </c>
      <c r="BL6">
        <f t="shared" si="32"/>
        <v>7</v>
      </c>
      <c r="BM6">
        <f t="shared" si="33"/>
        <v>7</v>
      </c>
      <c r="BN6">
        <f t="shared" si="34"/>
        <v>7</v>
      </c>
      <c r="BO6">
        <f t="shared" si="35"/>
        <v>7</v>
      </c>
      <c r="BP6">
        <f t="shared" si="36"/>
        <v>7</v>
      </c>
      <c r="BQ6">
        <f t="shared" si="37"/>
        <v>7</v>
      </c>
      <c r="BR6">
        <f t="shared" si="38"/>
        <v>7</v>
      </c>
      <c r="BS6">
        <f t="shared" si="39"/>
        <v>7</v>
      </c>
      <c r="BT6">
        <f t="shared" si="40"/>
        <v>7</v>
      </c>
      <c r="BU6">
        <f t="shared" si="41"/>
        <v>7</v>
      </c>
      <c r="BV6">
        <f t="shared" si="42"/>
        <v>7</v>
      </c>
      <c r="BW6">
        <f t="shared" si="43"/>
        <v>7</v>
      </c>
      <c r="BX6">
        <f>+ROUNDUP(Y6/8800,0)</f>
        <v>7</v>
      </c>
      <c r="BZ6">
        <f>+BA6-BX5</f>
        <v>-4</v>
      </c>
      <c r="CA6">
        <f>BB6-BA6</f>
        <v>-3</v>
      </c>
      <c r="CB6">
        <f t="shared" si="45"/>
        <v>0</v>
      </c>
      <c r="CC6">
        <f t="shared" si="45"/>
        <v>0</v>
      </c>
      <c r="CD6">
        <f t="shared" si="45"/>
        <v>0</v>
      </c>
      <c r="CE6">
        <f t="shared" si="45"/>
        <v>0</v>
      </c>
      <c r="CF6">
        <f t="shared" si="45"/>
        <v>1</v>
      </c>
      <c r="CG6">
        <f t="shared" si="45"/>
        <v>1</v>
      </c>
      <c r="CH6">
        <f t="shared" si="45"/>
        <v>3</v>
      </c>
      <c r="CI6">
        <f t="shared" si="45"/>
        <v>1</v>
      </c>
      <c r="CJ6">
        <f t="shared" si="45"/>
        <v>1</v>
      </c>
      <c r="CK6">
        <f t="shared" si="45"/>
        <v>0</v>
      </c>
      <c r="CL6">
        <f t="shared" si="45"/>
        <v>0</v>
      </c>
      <c r="CM6">
        <f t="shared" si="45"/>
        <v>0</v>
      </c>
      <c r="CN6">
        <f t="shared" si="45"/>
        <v>0</v>
      </c>
      <c r="CO6">
        <f t="shared" si="45"/>
        <v>0</v>
      </c>
      <c r="CP6">
        <f t="shared" si="45"/>
        <v>0</v>
      </c>
      <c r="CQ6">
        <f t="shared" si="45"/>
        <v>0</v>
      </c>
      <c r="CR6">
        <f t="shared" si="46"/>
        <v>0</v>
      </c>
      <c r="CS6">
        <f t="shared" si="46"/>
        <v>0</v>
      </c>
      <c r="CT6">
        <f t="shared" si="46"/>
        <v>0</v>
      </c>
      <c r="CU6">
        <f t="shared" si="46"/>
        <v>0</v>
      </c>
      <c r="CV6">
        <f t="shared" si="46"/>
        <v>0</v>
      </c>
      <c r="CW6">
        <f t="shared" si="46"/>
        <v>0</v>
      </c>
    </row>
    <row r="7" spans="1:101">
      <c r="A7" s="60">
        <v>44929</v>
      </c>
      <c r="B7" s="426">
        <v>53815.9</v>
      </c>
      <c r="C7">
        <v>54084.6</v>
      </c>
      <c r="D7">
        <v>54057.1</v>
      </c>
      <c r="E7">
        <v>52140.7</v>
      </c>
      <c r="F7">
        <v>51226</v>
      </c>
      <c r="G7">
        <v>51172.9</v>
      </c>
      <c r="H7">
        <v>51151</v>
      </c>
      <c r="I7">
        <v>51192.3</v>
      </c>
      <c r="J7">
        <v>51157.4</v>
      </c>
      <c r="K7">
        <v>51122.400000000001</v>
      </c>
      <c r="L7">
        <v>52521.7</v>
      </c>
      <c r="M7">
        <v>53496</v>
      </c>
      <c r="N7">
        <v>53966.6</v>
      </c>
      <c r="O7">
        <v>53615.199999999997</v>
      </c>
      <c r="P7">
        <v>53669.1</v>
      </c>
      <c r="Q7">
        <v>53728.1</v>
      </c>
      <c r="R7">
        <v>65238</v>
      </c>
      <c r="S7">
        <v>53390</v>
      </c>
      <c r="T7">
        <v>53351.6</v>
      </c>
      <c r="U7">
        <v>53219.7</v>
      </c>
      <c r="V7">
        <v>53320.3</v>
      </c>
      <c r="W7">
        <v>53312.3</v>
      </c>
      <c r="X7">
        <v>54350.1</v>
      </c>
      <c r="Y7">
        <v>53847.5</v>
      </c>
      <c r="Z7" s="77">
        <v>1282146.5</v>
      </c>
      <c r="AB7" s="52">
        <f t="shared" si="47"/>
        <v>0</v>
      </c>
      <c r="AC7" s="52">
        <f t="shared" si="0"/>
        <v>0</v>
      </c>
      <c r="AD7" s="52">
        <f t="shared" si="1"/>
        <v>0</v>
      </c>
      <c r="AE7" s="52">
        <f t="shared" si="2"/>
        <v>0</v>
      </c>
      <c r="AF7" s="52">
        <f t="shared" si="3"/>
        <v>0</v>
      </c>
      <c r="AG7" s="52">
        <f t="shared" si="4"/>
        <v>0</v>
      </c>
      <c r="AH7" s="52">
        <f t="shared" si="5"/>
        <v>0</v>
      </c>
      <c r="AI7" s="52">
        <f t="shared" si="6"/>
        <v>0</v>
      </c>
      <c r="AJ7" s="52">
        <f t="shared" si="7"/>
        <v>0</v>
      </c>
      <c r="AK7" s="52">
        <f t="shared" si="8"/>
        <v>0</v>
      </c>
      <c r="AL7" s="52">
        <f t="shared" si="9"/>
        <v>0</v>
      </c>
      <c r="AM7" s="52">
        <f t="shared" si="10"/>
        <v>0</v>
      </c>
      <c r="AN7" s="52">
        <f t="shared" si="11"/>
        <v>0</v>
      </c>
      <c r="AO7" s="52">
        <f t="shared" si="12"/>
        <v>0</v>
      </c>
      <c r="AP7" s="52">
        <f t="shared" si="13"/>
        <v>0</v>
      </c>
      <c r="AQ7" s="52">
        <f t="shared" si="14"/>
        <v>0</v>
      </c>
      <c r="AR7" s="52">
        <f t="shared" si="15"/>
        <v>0</v>
      </c>
      <c r="AS7" s="52">
        <f t="shared" si="16"/>
        <v>0</v>
      </c>
      <c r="AT7" s="52">
        <f t="shared" si="17"/>
        <v>0</v>
      </c>
      <c r="AU7" s="52">
        <f t="shared" si="18"/>
        <v>0</v>
      </c>
      <c r="AV7" s="52">
        <f t="shared" si="19"/>
        <v>0</v>
      </c>
      <c r="AW7" s="52">
        <f t="shared" si="20"/>
        <v>0</v>
      </c>
      <c r="AX7" s="52">
        <f t="shared" si="21"/>
        <v>0</v>
      </c>
      <c r="AY7" s="52">
        <f t="shared" si="48"/>
        <v>0</v>
      </c>
      <c r="BA7" s="52">
        <f t="shared" ref="BA7:BA35" si="49">+ROUNDUP(B7/8800,0)</f>
        <v>7</v>
      </c>
      <c r="BB7" s="52">
        <f t="shared" si="22"/>
        <v>7</v>
      </c>
      <c r="BC7" s="52">
        <f t="shared" si="23"/>
        <v>7</v>
      </c>
      <c r="BD7" s="52">
        <f t="shared" si="24"/>
        <v>6</v>
      </c>
      <c r="BE7" s="52">
        <f t="shared" si="25"/>
        <v>6</v>
      </c>
      <c r="BF7" s="52">
        <f t="shared" si="26"/>
        <v>6</v>
      </c>
      <c r="BG7" s="52">
        <f t="shared" si="27"/>
        <v>6</v>
      </c>
      <c r="BH7" s="52">
        <f t="shared" si="28"/>
        <v>6</v>
      </c>
      <c r="BI7" s="52">
        <f t="shared" si="29"/>
        <v>6</v>
      </c>
      <c r="BJ7" s="52">
        <f t="shared" si="30"/>
        <v>6</v>
      </c>
      <c r="BK7" s="52">
        <f t="shared" si="31"/>
        <v>6</v>
      </c>
      <c r="BL7" s="52">
        <f t="shared" si="32"/>
        <v>7</v>
      </c>
      <c r="BM7" s="52">
        <f t="shared" si="33"/>
        <v>7</v>
      </c>
      <c r="BN7" s="52">
        <f t="shared" si="34"/>
        <v>7</v>
      </c>
      <c r="BO7" s="52">
        <f t="shared" si="35"/>
        <v>7</v>
      </c>
      <c r="BP7" s="52">
        <f t="shared" si="36"/>
        <v>7</v>
      </c>
      <c r="BQ7" s="52">
        <f t="shared" si="37"/>
        <v>8</v>
      </c>
      <c r="BR7" s="52">
        <f t="shared" si="38"/>
        <v>7</v>
      </c>
      <c r="BS7" s="52">
        <f t="shared" si="39"/>
        <v>7</v>
      </c>
      <c r="BT7" s="52">
        <f t="shared" si="40"/>
        <v>7</v>
      </c>
      <c r="BU7" s="52">
        <f t="shared" si="41"/>
        <v>7</v>
      </c>
      <c r="BV7" s="52">
        <f t="shared" si="42"/>
        <v>7</v>
      </c>
      <c r="BW7" s="52">
        <f t="shared" si="43"/>
        <v>7</v>
      </c>
      <c r="BX7" s="52">
        <f t="shared" si="44"/>
        <v>7</v>
      </c>
      <c r="BZ7" s="52">
        <f t="shared" ref="BZ7:BZ35" si="50">+BA7-BX6</f>
        <v>0</v>
      </c>
      <c r="CA7" s="52">
        <f t="shared" ref="CA7:CP34" si="51">BB7-BA7</f>
        <v>0</v>
      </c>
      <c r="CB7" s="52">
        <f t="shared" si="45"/>
        <v>0</v>
      </c>
      <c r="CC7" s="52">
        <f t="shared" si="45"/>
        <v>-1</v>
      </c>
      <c r="CD7" s="52">
        <f t="shared" si="45"/>
        <v>0</v>
      </c>
      <c r="CE7" s="52">
        <f t="shared" si="45"/>
        <v>0</v>
      </c>
      <c r="CF7" s="52">
        <f t="shared" si="45"/>
        <v>0</v>
      </c>
      <c r="CG7" s="52">
        <f t="shared" si="45"/>
        <v>0</v>
      </c>
      <c r="CH7" s="52">
        <f t="shared" si="45"/>
        <v>0</v>
      </c>
      <c r="CI7" s="52">
        <f t="shared" si="45"/>
        <v>0</v>
      </c>
      <c r="CJ7" s="52">
        <f t="shared" si="45"/>
        <v>0</v>
      </c>
      <c r="CK7" s="52">
        <f t="shared" si="45"/>
        <v>1</v>
      </c>
      <c r="CL7" s="52">
        <f t="shared" si="45"/>
        <v>0</v>
      </c>
      <c r="CM7" s="52">
        <f t="shared" si="45"/>
        <v>0</v>
      </c>
      <c r="CN7" s="52">
        <f t="shared" si="45"/>
        <v>0</v>
      </c>
      <c r="CO7" s="52">
        <f t="shared" si="45"/>
        <v>0</v>
      </c>
      <c r="CP7" s="52">
        <f t="shared" si="45"/>
        <v>1</v>
      </c>
      <c r="CQ7" s="52">
        <f t="shared" si="45"/>
        <v>-1</v>
      </c>
      <c r="CR7" s="52">
        <f t="shared" si="46"/>
        <v>0</v>
      </c>
      <c r="CS7" s="52">
        <f t="shared" si="46"/>
        <v>0</v>
      </c>
      <c r="CT7" s="52">
        <f t="shared" si="46"/>
        <v>0</v>
      </c>
      <c r="CU7" s="52">
        <f t="shared" si="46"/>
        <v>0</v>
      </c>
      <c r="CV7" s="52">
        <f t="shared" si="46"/>
        <v>0</v>
      </c>
      <c r="CW7" s="52">
        <f t="shared" si="46"/>
        <v>0</v>
      </c>
    </row>
    <row r="8" spans="1:101">
      <c r="A8" s="60">
        <v>44930</v>
      </c>
      <c r="B8" s="426">
        <v>53605.9</v>
      </c>
      <c r="C8">
        <v>53839.9</v>
      </c>
      <c r="D8">
        <v>53911.8</v>
      </c>
      <c r="E8">
        <v>53912.4</v>
      </c>
      <c r="F8">
        <v>51531.8</v>
      </c>
      <c r="G8">
        <v>51095.9</v>
      </c>
      <c r="H8">
        <v>49944.9</v>
      </c>
      <c r="I8">
        <v>53021.8</v>
      </c>
      <c r="J8">
        <v>53957.599999999999</v>
      </c>
      <c r="K8">
        <v>53948.2</v>
      </c>
      <c r="L8">
        <v>53957.3</v>
      </c>
      <c r="M8">
        <v>53948.3</v>
      </c>
      <c r="N8">
        <v>53971.7</v>
      </c>
      <c r="O8">
        <v>53933</v>
      </c>
      <c r="P8">
        <v>53982.2</v>
      </c>
      <c r="Q8">
        <v>53909.5</v>
      </c>
      <c r="R8">
        <v>53881.3</v>
      </c>
      <c r="S8">
        <v>54336.2</v>
      </c>
      <c r="T8">
        <v>52670.9</v>
      </c>
      <c r="U8">
        <v>52723.9</v>
      </c>
      <c r="V8">
        <v>52621.4</v>
      </c>
      <c r="W8">
        <v>52689.599999999999</v>
      </c>
      <c r="X8">
        <v>52630</v>
      </c>
      <c r="Y8">
        <v>52455.8</v>
      </c>
      <c r="Z8" s="77">
        <v>1276481.3</v>
      </c>
      <c r="AB8">
        <f t="shared" si="47"/>
        <v>0</v>
      </c>
      <c r="AC8">
        <f t="shared" si="0"/>
        <v>0</v>
      </c>
      <c r="AD8">
        <f t="shared" si="1"/>
        <v>0</v>
      </c>
      <c r="AE8">
        <f t="shared" si="2"/>
        <v>0</v>
      </c>
      <c r="AF8">
        <f t="shared" si="3"/>
        <v>0</v>
      </c>
      <c r="AG8">
        <f t="shared" si="4"/>
        <v>0</v>
      </c>
      <c r="AH8">
        <f t="shared" si="5"/>
        <v>0</v>
      </c>
      <c r="AI8">
        <f t="shared" si="6"/>
        <v>0</v>
      </c>
      <c r="AJ8">
        <f t="shared" si="7"/>
        <v>0</v>
      </c>
      <c r="AK8">
        <f t="shared" si="8"/>
        <v>0</v>
      </c>
      <c r="AL8">
        <f t="shared" si="9"/>
        <v>0</v>
      </c>
      <c r="AM8">
        <f t="shared" si="10"/>
        <v>0</v>
      </c>
      <c r="AN8">
        <f t="shared" si="11"/>
        <v>0</v>
      </c>
      <c r="AO8">
        <f t="shared" si="12"/>
        <v>0</v>
      </c>
      <c r="AP8">
        <f t="shared" si="13"/>
        <v>0</v>
      </c>
      <c r="AQ8">
        <f t="shared" si="14"/>
        <v>0</v>
      </c>
      <c r="AR8">
        <f t="shared" si="15"/>
        <v>0</v>
      </c>
      <c r="AS8">
        <f t="shared" si="16"/>
        <v>0</v>
      </c>
      <c r="AT8">
        <f t="shared" si="17"/>
        <v>0</v>
      </c>
      <c r="AU8">
        <f t="shared" si="18"/>
        <v>0</v>
      </c>
      <c r="AV8">
        <f t="shared" si="19"/>
        <v>0</v>
      </c>
      <c r="AW8">
        <f t="shared" si="20"/>
        <v>0</v>
      </c>
      <c r="AX8">
        <f t="shared" si="21"/>
        <v>0</v>
      </c>
      <c r="AY8">
        <f t="shared" si="48"/>
        <v>0</v>
      </c>
      <c r="BA8">
        <f t="shared" si="49"/>
        <v>7</v>
      </c>
      <c r="BB8">
        <f t="shared" si="22"/>
        <v>7</v>
      </c>
      <c r="BC8">
        <f t="shared" si="23"/>
        <v>7</v>
      </c>
      <c r="BD8">
        <f t="shared" si="24"/>
        <v>7</v>
      </c>
      <c r="BE8">
        <f t="shared" si="25"/>
        <v>6</v>
      </c>
      <c r="BF8">
        <f t="shared" si="26"/>
        <v>6</v>
      </c>
      <c r="BG8">
        <f t="shared" si="27"/>
        <v>6</v>
      </c>
      <c r="BH8">
        <f t="shared" si="28"/>
        <v>7</v>
      </c>
      <c r="BI8">
        <f t="shared" si="29"/>
        <v>7</v>
      </c>
      <c r="BJ8">
        <f t="shared" si="30"/>
        <v>7</v>
      </c>
      <c r="BK8">
        <f t="shared" si="31"/>
        <v>7</v>
      </c>
      <c r="BL8">
        <f t="shared" si="32"/>
        <v>7</v>
      </c>
      <c r="BM8">
        <f t="shared" si="33"/>
        <v>7</v>
      </c>
      <c r="BN8">
        <f t="shared" si="34"/>
        <v>7</v>
      </c>
      <c r="BO8">
        <f t="shared" si="35"/>
        <v>7</v>
      </c>
      <c r="BP8">
        <f t="shared" si="36"/>
        <v>7</v>
      </c>
      <c r="BQ8">
        <f t="shared" si="37"/>
        <v>7</v>
      </c>
      <c r="BR8">
        <f t="shared" si="38"/>
        <v>7</v>
      </c>
      <c r="BS8">
        <f t="shared" si="39"/>
        <v>6</v>
      </c>
      <c r="BT8">
        <f t="shared" si="40"/>
        <v>6</v>
      </c>
      <c r="BU8">
        <f t="shared" si="41"/>
        <v>6</v>
      </c>
      <c r="BV8">
        <f t="shared" si="42"/>
        <v>6</v>
      </c>
      <c r="BW8">
        <f t="shared" si="43"/>
        <v>6</v>
      </c>
      <c r="BX8">
        <f t="shared" si="44"/>
        <v>6</v>
      </c>
      <c r="BZ8">
        <f t="shared" si="50"/>
        <v>0</v>
      </c>
      <c r="CA8">
        <f t="shared" si="51"/>
        <v>0</v>
      </c>
      <c r="CB8">
        <f t="shared" si="45"/>
        <v>0</v>
      </c>
      <c r="CC8">
        <f t="shared" si="45"/>
        <v>0</v>
      </c>
      <c r="CD8">
        <f t="shared" si="45"/>
        <v>-1</v>
      </c>
      <c r="CE8">
        <f t="shared" si="45"/>
        <v>0</v>
      </c>
      <c r="CF8">
        <f t="shared" si="45"/>
        <v>0</v>
      </c>
      <c r="CG8">
        <f t="shared" si="45"/>
        <v>1</v>
      </c>
      <c r="CH8">
        <f t="shared" si="45"/>
        <v>0</v>
      </c>
      <c r="CI8">
        <f t="shared" si="45"/>
        <v>0</v>
      </c>
      <c r="CJ8">
        <f t="shared" si="45"/>
        <v>0</v>
      </c>
      <c r="CK8">
        <f t="shared" si="45"/>
        <v>0</v>
      </c>
      <c r="CL8">
        <f t="shared" si="45"/>
        <v>0</v>
      </c>
      <c r="CM8">
        <f t="shared" si="45"/>
        <v>0</v>
      </c>
      <c r="CN8">
        <f t="shared" si="45"/>
        <v>0</v>
      </c>
      <c r="CO8">
        <f t="shared" si="45"/>
        <v>0</v>
      </c>
      <c r="CP8">
        <f t="shared" si="45"/>
        <v>0</v>
      </c>
      <c r="CQ8">
        <f t="shared" si="45"/>
        <v>0</v>
      </c>
      <c r="CR8">
        <f t="shared" si="46"/>
        <v>-1</v>
      </c>
      <c r="CS8">
        <f t="shared" si="46"/>
        <v>0</v>
      </c>
      <c r="CT8">
        <f t="shared" si="46"/>
        <v>0</v>
      </c>
      <c r="CU8">
        <f t="shared" si="46"/>
        <v>0</v>
      </c>
      <c r="CV8">
        <f t="shared" si="46"/>
        <v>0</v>
      </c>
      <c r="CW8">
        <f t="shared" si="46"/>
        <v>0</v>
      </c>
    </row>
    <row r="9" spans="1:101">
      <c r="A9" s="60">
        <v>44931</v>
      </c>
      <c r="B9" s="426">
        <v>52448.800000000003</v>
      </c>
      <c r="C9">
        <v>52571.6</v>
      </c>
      <c r="D9">
        <v>52594.9</v>
      </c>
      <c r="E9">
        <v>51582</v>
      </c>
      <c r="F9">
        <v>51457</v>
      </c>
      <c r="G9">
        <v>51430.400000000001</v>
      </c>
      <c r="H9">
        <v>51581.8</v>
      </c>
      <c r="I9">
        <v>51526.400000000001</v>
      </c>
      <c r="J9">
        <v>51415.1</v>
      </c>
      <c r="K9">
        <v>53126.9</v>
      </c>
      <c r="L9">
        <v>53030.1</v>
      </c>
      <c r="M9">
        <v>53080.5</v>
      </c>
      <c r="N9">
        <v>52761.1</v>
      </c>
      <c r="O9">
        <v>53365.7</v>
      </c>
      <c r="P9">
        <v>53177.2</v>
      </c>
      <c r="Q9">
        <v>53028.9</v>
      </c>
      <c r="R9">
        <v>53005.2</v>
      </c>
      <c r="S9">
        <v>53062.5</v>
      </c>
      <c r="T9">
        <v>53033.3</v>
      </c>
      <c r="U9">
        <v>52905.599999999999</v>
      </c>
      <c r="V9">
        <v>52905.2</v>
      </c>
      <c r="W9">
        <v>52986</v>
      </c>
      <c r="X9">
        <v>52782.1</v>
      </c>
      <c r="Y9">
        <v>53027.199999999997</v>
      </c>
      <c r="Z9" s="77">
        <v>1261885.5</v>
      </c>
      <c r="AB9" s="52">
        <f t="shared" si="47"/>
        <v>0</v>
      </c>
      <c r="AC9" s="52">
        <f t="shared" si="0"/>
        <v>0</v>
      </c>
      <c r="AD9" s="52">
        <f t="shared" si="1"/>
        <v>0</v>
      </c>
      <c r="AE9" s="52">
        <f t="shared" si="2"/>
        <v>0</v>
      </c>
      <c r="AF9" s="52">
        <f t="shared" si="3"/>
        <v>0</v>
      </c>
      <c r="AG9" s="52">
        <f t="shared" si="4"/>
        <v>0</v>
      </c>
      <c r="AH9" s="52">
        <f t="shared" si="5"/>
        <v>0</v>
      </c>
      <c r="AI9" s="52">
        <f t="shared" si="6"/>
        <v>0</v>
      </c>
      <c r="AJ9" s="52">
        <f t="shared" si="7"/>
        <v>0</v>
      </c>
      <c r="AK9" s="52">
        <f t="shared" si="8"/>
        <v>0</v>
      </c>
      <c r="AL9" s="52">
        <f t="shared" si="9"/>
        <v>0</v>
      </c>
      <c r="AM9" s="52">
        <f t="shared" si="10"/>
        <v>0</v>
      </c>
      <c r="AN9" s="52">
        <f t="shared" si="11"/>
        <v>0</v>
      </c>
      <c r="AO9" s="52">
        <f t="shared" si="12"/>
        <v>0</v>
      </c>
      <c r="AP9" s="52">
        <f t="shared" si="13"/>
        <v>0</v>
      </c>
      <c r="AQ9" s="52">
        <f t="shared" si="14"/>
        <v>0</v>
      </c>
      <c r="AR9" s="52">
        <f t="shared" si="15"/>
        <v>0</v>
      </c>
      <c r="AS9" s="52">
        <f t="shared" si="16"/>
        <v>0</v>
      </c>
      <c r="AT9" s="52">
        <f t="shared" si="17"/>
        <v>0</v>
      </c>
      <c r="AU9" s="52">
        <f t="shared" si="18"/>
        <v>0</v>
      </c>
      <c r="AV9" s="52">
        <f t="shared" si="19"/>
        <v>0</v>
      </c>
      <c r="AW9" s="52">
        <f t="shared" si="20"/>
        <v>0</v>
      </c>
      <c r="AX9" s="52">
        <f t="shared" si="21"/>
        <v>0</v>
      </c>
      <c r="AY9" s="52">
        <f t="shared" si="48"/>
        <v>0</v>
      </c>
      <c r="BA9" s="52">
        <f t="shared" si="49"/>
        <v>6</v>
      </c>
      <c r="BB9" s="52">
        <f t="shared" si="22"/>
        <v>6</v>
      </c>
      <c r="BC9" s="52">
        <f t="shared" si="23"/>
        <v>6</v>
      </c>
      <c r="BD9" s="52">
        <f t="shared" si="24"/>
        <v>6</v>
      </c>
      <c r="BE9" s="52">
        <f t="shared" si="25"/>
        <v>6</v>
      </c>
      <c r="BF9" s="52">
        <f t="shared" si="26"/>
        <v>6</v>
      </c>
      <c r="BG9" s="52">
        <f t="shared" si="27"/>
        <v>6</v>
      </c>
      <c r="BH9" s="52">
        <f t="shared" si="28"/>
        <v>6</v>
      </c>
      <c r="BI9" s="52">
        <f t="shared" si="29"/>
        <v>6</v>
      </c>
      <c r="BJ9" s="52">
        <f t="shared" si="30"/>
        <v>7</v>
      </c>
      <c r="BK9" s="52">
        <f t="shared" si="31"/>
        <v>7</v>
      </c>
      <c r="BL9" s="52">
        <f t="shared" si="32"/>
        <v>7</v>
      </c>
      <c r="BM9" s="52">
        <f t="shared" si="33"/>
        <v>6</v>
      </c>
      <c r="BN9" s="52">
        <f t="shared" si="34"/>
        <v>7</v>
      </c>
      <c r="BO9" s="52">
        <f t="shared" si="35"/>
        <v>7</v>
      </c>
      <c r="BP9" s="52">
        <f t="shared" si="36"/>
        <v>7</v>
      </c>
      <c r="BQ9" s="52">
        <f t="shared" si="37"/>
        <v>7</v>
      </c>
      <c r="BR9" s="52">
        <f t="shared" si="38"/>
        <v>7</v>
      </c>
      <c r="BS9" s="52">
        <f t="shared" si="39"/>
        <v>7</v>
      </c>
      <c r="BT9" s="52">
        <f t="shared" si="40"/>
        <v>7</v>
      </c>
      <c r="BU9" s="52">
        <f t="shared" si="41"/>
        <v>7</v>
      </c>
      <c r="BV9" s="52">
        <f t="shared" si="42"/>
        <v>7</v>
      </c>
      <c r="BW9" s="52">
        <f t="shared" si="43"/>
        <v>6</v>
      </c>
      <c r="BX9" s="52">
        <f t="shared" si="44"/>
        <v>7</v>
      </c>
      <c r="BZ9" s="52">
        <f t="shared" si="50"/>
        <v>0</v>
      </c>
      <c r="CA9" s="52">
        <f t="shared" si="51"/>
        <v>0</v>
      </c>
      <c r="CB9" s="52">
        <f t="shared" si="45"/>
        <v>0</v>
      </c>
      <c r="CC9" s="52">
        <f t="shared" si="45"/>
        <v>0</v>
      </c>
      <c r="CD9" s="52">
        <f t="shared" si="45"/>
        <v>0</v>
      </c>
      <c r="CE9" s="52">
        <f t="shared" si="45"/>
        <v>0</v>
      </c>
      <c r="CF9" s="52">
        <f t="shared" si="45"/>
        <v>0</v>
      </c>
      <c r="CG9" s="52">
        <f t="shared" si="45"/>
        <v>0</v>
      </c>
      <c r="CH9" s="52">
        <f t="shared" si="45"/>
        <v>0</v>
      </c>
      <c r="CI9" s="52">
        <f t="shared" si="45"/>
        <v>1</v>
      </c>
      <c r="CJ9" s="52">
        <f t="shared" si="45"/>
        <v>0</v>
      </c>
      <c r="CK9" s="52">
        <f t="shared" si="45"/>
        <v>0</v>
      </c>
      <c r="CL9" s="52">
        <f t="shared" si="45"/>
        <v>-1</v>
      </c>
      <c r="CM9" s="52">
        <f t="shared" si="45"/>
        <v>1</v>
      </c>
      <c r="CN9" s="52">
        <f t="shared" si="45"/>
        <v>0</v>
      </c>
      <c r="CO9" s="52">
        <f t="shared" si="45"/>
        <v>0</v>
      </c>
      <c r="CP9" s="52">
        <f t="shared" si="45"/>
        <v>0</v>
      </c>
      <c r="CQ9" s="52">
        <f t="shared" si="45"/>
        <v>0</v>
      </c>
      <c r="CR9" s="52">
        <f t="shared" si="46"/>
        <v>0</v>
      </c>
      <c r="CS9" s="52">
        <f t="shared" si="46"/>
        <v>0</v>
      </c>
      <c r="CT9" s="52">
        <f t="shared" si="46"/>
        <v>0</v>
      </c>
      <c r="CU9" s="52">
        <f t="shared" si="46"/>
        <v>0</v>
      </c>
      <c r="CV9" s="52">
        <f t="shared" si="46"/>
        <v>-1</v>
      </c>
      <c r="CW9" s="52">
        <f t="shared" si="46"/>
        <v>1</v>
      </c>
    </row>
    <row r="10" spans="1:101">
      <c r="A10" s="60">
        <v>44932</v>
      </c>
      <c r="B10" s="426">
        <v>53207.3</v>
      </c>
      <c r="C10">
        <v>53410.2</v>
      </c>
      <c r="D10">
        <v>53310.7</v>
      </c>
      <c r="E10">
        <v>53420.3</v>
      </c>
      <c r="F10">
        <v>50157.1</v>
      </c>
      <c r="G10">
        <v>49676</v>
      </c>
      <c r="H10">
        <v>50963.6</v>
      </c>
      <c r="I10">
        <v>51150.7</v>
      </c>
      <c r="J10">
        <v>51148.3</v>
      </c>
      <c r="K10">
        <v>52050.1</v>
      </c>
      <c r="L10">
        <v>53573.9</v>
      </c>
      <c r="M10">
        <v>53621.8</v>
      </c>
      <c r="N10">
        <v>53597.1</v>
      </c>
      <c r="O10">
        <v>53614.5</v>
      </c>
      <c r="P10">
        <v>53494.9</v>
      </c>
      <c r="Q10">
        <v>53619.4</v>
      </c>
      <c r="R10">
        <v>53486.7</v>
      </c>
      <c r="S10">
        <v>53560.3</v>
      </c>
      <c r="T10">
        <v>53522.8</v>
      </c>
      <c r="U10">
        <v>53434</v>
      </c>
      <c r="V10">
        <v>53442.400000000001</v>
      </c>
      <c r="W10">
        <v>53456.6</v>
      </c>
      <c r="X10">
        <v>53486.3</v>
      </c>
      <c r="Y10">
        <v>53586</v>
      </c>
      <c r="Z10" s="77">
        <v>1267991.0000000002</v>
      </c>
      <c r="AB10">
        <f t="shared" si="47"/>
        <v>0</v>
      </c>
      <c r="AC10">
        <f t="shared" si="0"/>
        <v>0</v>
      </c>
      <c r="AD10">
        <f t="shared" si="1"/>
        <v>0</v>
      </c>
      <c r="AE10">
        <f t="shared" si="2"/>
        <v>0</v>
      </c>
      <c r="AF10">
        <f t="shared" si="3"/>
        <v>0</v>
      </c>
      <c r="AG10">
        <f t="shared" si="4"/>
        <v>0</v>
      </c>
      <c r="AH10">
        <f t="shared" si="5"/>
        <v>0</v>
      </c>
      <c r="AI10">
        <f t="shared" si="6"/>
        <v>0</v>
      </c>
      <c r="AJ10">
        <f t="shared" si="7"/>
        <v>0</v>
      </c>
      <c r="AK10">
        <f t="shared" si="8"/>
        <v>0</v>
      </c>
      <c r="AL10">
        <f t="shared" si="9"/>
        <v>0</v>
      </c>
      <c r="AM10">
        <f t="shared" si="10"/>
        <v>0</v>
      </c>
      <c r="AN10">
        <f t="shared" si="11"/>
        <v>0</v>
      </c>
      <c r="AO10">
        <f t="shared" si="12"/>
        <v>0</v>
      </c>
      <c r="AP10">
        <f t="shared" si="13"/>
        <v>0</v>
      </c>
      <c r="AQ10">
        <f t="shared" si="14"/>
        <v>0</v>
      </c>
      <c r="AR10">
        <f t="shared" si="15"/>
        <v>0</v>
      </c>
      <c r="AS10">
        <f t="shared" si="16"/>
        <v>0</v>
      </c>
      <c r="AT10">
        <f t="shared" si="17"/>
        <v>0</v>
      </c>
      <c r="AU10">
        <f t="shared" si="18"/>
        <v>0</v>
      </c>
      <c r="AV10">
        <f t="shared" si="19"/>
        <v>0</v>
      </c>
      <c r="AW10">
        <f t="shared" si="20"/>
        <v>0</v>
      </c>
      <c r="AX10">
        <f t="shared" si="21"/>
        <v>0</v>
      </c>
      <c r="AY10">
        <f t="shared" si="48"/>
        <v>0</v>
      </c>
      <c r="BA10">
        <f t="shared" si="49"/>
        <v>7</v>
      </c>
      <c r="BB10">
        <f t="shared" si="22"/>
        <v>7</v>
      </c>
      <c r="BC10">
        <f t="shared" si="23"/>
        <v>7</v>
      </c>
      <c r="BD10">
        <f t="shared" si="24"/>
        <v>7</v>
      </c>
      <c r="BE10">
        <f t="shared" si="25"/>
        <v>6</v>
      </c>
      <c r="BF10">
        <f t="shared" si="26"/>
        <v>6</v>
      </c>
      <c r="BG10">
        <f t="shared" si="27"/>
        <v>6</v>
      </c>
      <c r="BH10">
        <f t="shared" si="28"/>
        <v>6</v>
      </c>
      <c r="BI10">
        <f t="shared" si="29"/>
        <v>6</v>
      </c>
      <c r="BJ10">
        <f t="shared" si="30"/>
        <v>6</v>
      </c>
      <c r="BK10">
        <f t="shared" si="31"/>
        <v>7</v>
      </c>
      <c r="BL10">
        <f t="shared" si="32"/>
        <v>7</v>
      </c>
      <c r="BM10">
        <f t="shared" si="33"/>
        <v>7</v>
      </c>
      <c r="BN10">
        <f t="shared" si="34"/>
        <v>7</v>
      </c>
      <c r="BO10">
        <f t="shared" si="35"/>
        <v>7</v>
      </c>
      <c r="BP10">
        <f t="shared" si="36"/>
        <v>7</v>
      </c>
      <c r="BQ10">
        <f t="shared" si="37"/>
        <v>7</v>
      </c>
      <c r="BR10">
        <f t="shared" si="38"/>
        <v>7</v>
      </c>
      <c r="BS10">
        <f t="shared" si="39"/>
        <v>7</v>
      </c>
      <c r="BT10">
        <f t="shared" si="40"/>
        <v>7</v>
      </c>
      <c r="BU10">
        <f t="shared" si="41"/>
        <v>7</v>
      </c>
      <c r="BV10">
        <f t="shared" si="42"/>
        <v>7</v>
      </c>
      <c r="BW10">
        <f t="shared" si="43"/>
        <v>7</v>
      </c>
      <c r="BX10">
        <f t="shared" si="44"/>
        <v>7</v>
      </c>
      <c r="BZ10">
        <f t="shared" si="50"/>
        <v>0</v>
      </c>
      <c r="CA10">
        <f t="shared" si="51"/>
        <v>0</v>
      </c>
      <c r="CB10">
        <f t="shared" si="45"/>
        <v>0</v>
      </c>
      <c r="CC10">
        <f t="shared" si="45"/>
        <v>0</v>
      </c>
      <c r="CD10">
        <f t="shared" si="45"/>
        <v>-1</v>
      </c>
      <c r="CE10">
        <f t="shared" si="45"/>
        <v>0</v>
      </c>
      <c r="CF10">
        <f t="shared" si="45"/>
        <v>0</v>
      </c>
      <c r="CG10">
        <f t="shared" si="45"/>
        <v>0</v>
      </c>
      <c r="CH10">
        <f t="shared" si="45"/>
        <v>0</v>
      </c>
      <c r="CI10">
        <f t="shared" si="45"/>
        <v>0</v>
      </c>
      <c r="CJ10">
        <f t="shared" si="45"/>
        <v>1</v>
      </c>
      <c r="CK10">
        <f t="shared" si="45"/>
        <v>0</v>
      </c>
      <c r="CL10">
        <f t="shared" si="45"/>
        <v>0</v>
      </c>
      <c r="CM10">
        <f t="shared" si="45"/>
        <v>0</v>
      </c>
      <c r="CN10">
        <f t="shared" si="45"/>
        <v>0</v>
      </c>
      <c r="CO10">
        <f t="shared" si="45"/>
        <v>0</v>
      </c>
      <c r="CP10">
        <f t="shared" si="45"/>
        <v>0</v>
      </c>
      <c r="CQ10">
        <f t="shared" si="45"/>
        <v>0</v>
      </c>
      <c r="CR10">
        <f t="shared" si="46"/>
        <v>0</v>
      </c>
      <c r="CS10">
        <f t="shared" si="46"/>
        <v>0</v>
      </c>
      <c r="CT10">
        <f t="shared" si="46"/>
        <v>0</v>
      </c>
      <c r="CU10">
        <f t="shared" si="46"/>
        <v>0</v>
      </c>
      <c r="CV10">
        <f t="shared" si="46"/>
        <v>0</v>
      </c>
      <c r="CW10">
        <f t="shared" si="46"/>
        <v>0</v>
      </c>
    </row>
    <row r="11" spans="1:101">
      <c r="A11" s="60">
        <v>44933</v>
      </c>
      <c r="B11" s="426">
        <v>61966.1</v>
      </c>
      <c r="C11">
        <v>63389.5</v>
      </c>
      <c r="D11">
        <v>63357.3</v>
      </c>
      <c r="E11">
        <v>60059.5</v>
      </c>
      <c r="F11">
        <v>59564</v>
      </c>
      <c r="G11">
        <v>25149.8</v>
      </c>
      <c r="H11">
        <v>2098</v>
      </c>
      <c r="I11">
        <v>3029.2</v>
      </c>
      <c r="J11">
        <v>16926.2</v>
      </c>
      <c r="K11">
        <v>42793</v>
      </c>
      <c r="L11">
        <v>59847.7</v>
      </c>
      <c r="M11">
        <v>59938.400000000001</v>
      </c>
      <c r="N11">
        <v>60160.5</v>
      </c>
      <c r="O11">
        <v>63983.3</v>
      </c>
      <c r="P11">
        <v>63993.9</v>
      </c>
      <c r="Q11">
        <v>63555.4</v>
      </c>
      <c r="R11">
        <v>63513.4</v>
      </c>
      <c r="S11">
        <v>63503.9</v>
      </c>
      <c r="T11">
        <v>63529.8</v>
      </c>
      <c r="U11">
        <v>63467.1</v>
      </c>
      <c r="V11">
        <v>63523</v>
      </c>
      <c r="W11">
        <v>63440</v>
      </c>
      <c r="X11">
        <v>63467.3</v>
      </c>
      <c r="Y11">
        <v>63332.1</v>
      </c>
      <c r="Z11" s="77">
        <v>1277588.4000000004</v>
      </c>
      <c r="AB11" s="52">
        <f t="shared" si="47"/>
        <v>0</v>
      </c>
      <c r="AC11" s="52">
        <f t="shared" si="0"/>
        <v>0</v>
      </c>
      <c r="AD11" s="52">
        <f t="shared" si="1"/>
        <v>0</v>
      </c>
      <c r="AE11" s="52">
        <f t="shared" si="2"/>
        <v>0</v>
      </c>
      <c r="AF11" s="52">
        <f t="shared" si="3"/>
        <v>0</v>
      </c>
      <c r="AG11" s="52">
        <f t="shared" si="4"/>
        <v>0</v>
      </c>
      <c r="AH11" s="52">
        <f t="shared" si="5"/>
        <v>0</v>
      </c>
      <c r="AI11" s="52">
        <f t="shared" si="6"/>
        <v>0</v>
      </c>
      <c r="AJ11" s="52">
        <f t="shared" si="7"/>
        <v>0</v>
      </c>
      <c r="AK11" s="52">
        <f t="shared" si="8"/>
        <v>0</v>
      </c>
      <c r="AL11" s="52">
        <f t="shared" si="9"/>
        <v>0</v>
      </c>
      <c r="AM11" s="52">
        <f t="shared" si="10"/>
        <v>0</v>
      </c>
      <c r="AN11" s="52">
        <f t="shared" si="11"/>
        <v>0</v>
      </c>
      <c r="AO11" s="52">
        <f t="shared" si="12"/>
        <v>0</v>
      </c>
      <c r="AP11" s="52">
        <f t="shared" si="13"/>
        <v>0</v>
      </c>
      <c r="AQ11" s="52">
        <f t="shared" si="14"/>
        <v>0</v>
      </c>
      <c r="AR11" s="52">
        <f t="shared" si="15"/>
        <v>0</v>
      </c>
      <c r="AS11" s="52">
        <f t="shared" si="16"/>
        <v>0</v>
      </c>
      <c r="AT11" s="52">
        <f t="shared" si="17"/>
        <v>0</v>
      </c>
      <c r="AU11" s="52">
        <f t="shared" si="18"/>
        <v>0</v>
      </c>
      <c r="AV11" s="52">
        <f t="shared" si="19"/>
        <v>0</v>
      </c>
      <c r="AW11" s="52">
        <f t="shared" si="20"/>
        <v>0</v>
      </c>
      <c r="AX11" s="52">
        <f t="shared" si="21"/>
        <v>0</v>
      </c>
      <c r="AY11" s="52">
        <f t="shared" si="48"/>
        <v>0</v>
      </c>
      <c r="BA11" s="52">
        <f t="shared" si="49"/>
        <v>8</v>
      </c>
      <c r="BB11" s="52">
        <f t="shared" si="22"/>
        <v>8</v>
      </c>
      <c r="BC11" s="52">
        <f t="shared" si="23"/>
        <v>8</v>
      </c>
      <c r="BD11" s="52">
        <f t="shared" si="24"/>
        <v>7</v>
      </c>
      <c r="BE11" s="52">
        <f t="shared" si="25"/>
        <v>7</v>
      </c>
      <c r="BF11" s="52">
        <f t="shared" si="26"/>
        <v>3</v>
      </c>
      <c r="BG11" s="52">
        <f t="shared" si="27"/>
        <v>1</v>
      </c>
      <c r="BH11" s="52">
        <f t="shared" si="28"/>
        <v>1</v>
      </c>
      <c r="BI11" s="52">
        <f t="shared" si="29"/>
        <v>2</v>
      </c>
      <c r="BJ11" s="52">
        <f t="shared" si="30"/>
        <v>5</v>
      </c>
      <c r="BK11" s="52">
        <f t="shared" si="31"/>
        <v>7</v>
      </c>
      <c r="BL11" s="52">
        <f t="shared" si="32"/>
        <v>7</v>
      </c>
      <c r="BM11" s="52">
        <f t="shared" si="33"/>
        <v>7</v>
      </c>
      <c r="BN11" s="52">
        <f t="shared" si="34"/>
        <v>8</v>
      </c>
      <c r="BO11" s="52">
        <f t="shared" si="35"/>
        <v>8</v>
      </c>
      <c r="BP11" s="52">
        <f t="shared" si="36"/>
        <v>8</v>
      </c>
      <c r="BQ11" s="52">
        <f t="shared" si="37"/>
        <v>8</v>
      </c>
      <c r="BR11" s="52">
        <f t="shared" si="38"/>
        <v>8</v>
      </c>
      <c r="BS11" s="52">
        <f t="shared" si="39"/>
        <v>8</v>
      </c>
      <c r="BT11" s="52">
        <f t="shared" si="40"/>
        <v>8</v>
      </c>
      <c r="BU11" s="52">
        <f t="shared" si="41"/>
        <v>8</v>
      </c>
      <c r="BV11" s="52">
        <f t="shared" si="42"/>
        <v>8</v>
      </c>
      <c r="BW11" s="52">
        <f t="shared" si="43"/>
        <v>8</v>
      </c>
      <c r="BX11" s="52">
        <f t="shared" si="44"/>
        <v>8</v>
      </c>
      <c r="BZ11" s="52">
        <f t="shared" si="50"/>
        <v>1</v>
      </c>
      <c r="CA11" s="52">
        <f t="shared" si="51"/>
        <v>0</v>
      </c>
      <c r="CB11" s="52">
        <f t="shared" si="45"/>
        <v>0</v>
      </c>
      <c r="CC11" s="52">
        <f t="shared" si="45"/>
        <v>-1</v>
      </c>
      <c r="CD11" s="52">
        <f t="shared" si="45"/>
        <v>0</v>
      </c>
      <c r="CE11" s="52">
        <f t="shared" si="45"/>
        <v>-4</v>
      </c>
      <c r="CF11" s="52">
        <f t="shared" si="45"/>
        <v>-2</v>
      </c>
      <c r="CG11" s="52">
        <f t="shared" si="45"/>
        <v>0</v>
      </c>
      <c r="CH11" s="52">
        <f t="shared" si="45"/>
        <v>1</v>
      </c>
      <c r="CI11" s="52">
        <f t="shared" si="45"/>
        <v>3</v>
      </c>
      <c r="CJ11" s="52">
        <f t="shared" si="45"/>
        <v>2</v>
      </c>
      <c r="CK11" s="52">
        <f t="shared" si="45"/>
        <v>0</v>
      </c>
      <c r="CL11" s="52">
        <f t="shared" si="45"/>
        <v>0</v>
      </c>
      <c r="CM11" s="52">
        <f t="shared" si="45"/>
        <v>1</v>
      </c>
      <c r="CN11" s="52">
        <f t="shared" si="45"/>
        <v>0</v>
      </c>
      <c r="CO11" s="52">
        <f t="shared" si="45"/>
        <v>0</v>
      </c>
      <c r="CP11" s="52">
        <f t="shared" si="45"/>
        <v>0</v>
      </c>
      <c r="CQ11" s="52">
        <f t="shared" si="45"/>
        <v>0</v>
      </c>
      <c r="CR11" s="52">
        <f t="shared" si="46"/>
        <v>0</v>
      </c>
      <c r="CS11" s="52">
        <f t="shared" si="46"/>
        <v>0</v>
      </c>
      <c r="CT11" s="52">
        <f t="shared" si="46"/>
        <v>0</v>
      </c>
      <c r="CU11" s="52">
        <f t="shared" si="46"/>
        <v>0</v>
      </c>
      <c r="CV11" s="52">
        <f t="shared" si="46"/>
        <v>0</v>
      </c>
      <c r="CW11" s="52">
        <f t="shared" si="46"/>
        <v>0</v>
      </c>
    </row>
    <row r="12" spans="1:101">
      <c r="A12" s="60">
        <v>44934</v>
      </c>
      <c r="B12" s="426">
        <v>53621.9</v>
      </c>
      <c r="C12">
        <v>53354.400000000001</v>
      </c>
      <c r="D12">
        <v>53199.9</v>
      </c>
      <c r="E12">
        <v>51125.5</v>
      </c>
      <c r="F12">
        <v>50582.2</v>
      </c>
      <c r="G12">
        <v>50555</v>
      </c>
      <c r="H12">
        <v>16841.2</v>
      </c>
      <c r="I12">
        <v>1357.2</v>
      </c>
      <c r="J12">
        <v>0</v>
      </c>
      <c r="K12">
        <v>0</v>
      </c>
      <c r="L12">
        <v>4886.5</v>
      </c>
      <c r="M12">
        <v>17266.7</v>
      </c>
      <c r="N12">
        <v>44553</v>
      </c>
      <c r="O12">
        <v>51793.3</v>
      </c>
      <c r="P12">
        <v>53863.199999999997</v>
      </c>
      <c r="Q12">
        <v>53816.5</v>
      </c>
      <c r="R12">
        <v>53701.9</v>
      </c>
      <c r="S12">
        <v>53763.4</v>
      </c>
      <c r="T12">
        <v>53683.4</v>
      </c>
      <c r="U12">
        <v>53652.7</v>
      </c>
      <c r="V12">
        <v>53671.8</v>
      </c>
      <c r="W12">
        <v>53751.199999999997</v>
      </c>
      <c r="X12">
        <v>53850.9</v>
      </c>
      <c r="Y12">
        <v>54076.5</v>
      </c>
      <c r="Z12" s="77">
        <v>986968.3</v>
      </c>
      <c r="AB12">
        <f t="shared" si="47"/>
        <v>0</v>
      </c>
      <c r="AC12">
        <f t="shared" si="0"/>
        <v>0</v>
      </c>
      <c r="AD12">
        <f t="shared" si="1"/>
        <v>0</v>
      </c>
      <c r="AE12">
        <f t="shared" si="2"/>
        <v>0</v>
      </c>
      <c r="AF12">
        <f t="shared" si="3"/>
        <v>0</v>
      </c>
      <c r="AG12">
        <f t="shared" si="4"/>
        <v>0</v>
      </c>
      <c r="AH12">
        <f t="shared" si="5"/>
        <v>0</v>
      </c>
      <c r="AI12">
        <f t="shared" si="6"/>
        <v>0</v>
      </c>
      <c r="AJ12">
        <f t="shared" si="7"/>
        <v>0</v>
      </c>
      <c r="AK12">
        <f t="shared" si="8"/>
        <v>1</v>
      </c>
      <c r="AL12">
        <f t="shared" si="9"/>
        <v>0</v>
      </c>
      <c r="AM12">
        <f t="shared" si="10"/>
        <v>0</v>
      </c>
      <c r="AN12">
        <f t="shared" si="11"/>
        <v>0</v>
      </c>
      <c r="AO12">
        <f t="shared" si="12"/>
        <v>0</v>
      </c>
      <c r="AP12">
        <f t="shared" si="13"/>
        <v>0</v>
      </c>
      <c r="AQ12">
        <f t="shared" si="14"/>
        <v>0</v>
      </c>
      <c r="AR12">
        <f t="shared" si="15"/>
        <v>0</v>
      </c>
      <c r="AS12">
        <f t="shared" si="16"/>
        <v>0</v>
      </c>
      <c r="AT12">
        <f t="shared" si="17"/>
        <v>0</v>
      </c>
      <c r="AU12">
        <f t="shared" si="18"/>
        <v>0</v>
      </c>
      <c r="AV12">
        <f t="shared" si="19"/>
        <v>0</v>
      </c>
      <c r="AW12">
        <f t="shared" si="20"/>
        <v>0</v>
      </c>
      <c r="AX12">
        <f t="shared" si="21"/>
        <v>0</v>
      </c>
      <c r="AY12">
        <f t="shared" si="48"/>
        <v>0</v>
      </c>
      <c r="BA12">
        <f t="shared" si="49"/>
        <v>7</v>
      </c>
      <c r="BB12">
        <f t="shared" si="22"/>
        <v>7</v>
      </c>
      <c r="BC12">
        <f t="shared" si="23"/>
        <v>7</v>
      </c>
      <c r="BD12">
        <f t="shared" si="24"/>
        <v>6</v>
      </c>
      <c r="BE12">
        <f t="shared" si="25"/>
        <v>6</v>
      </c>
      <c r="BF12">
        <f t="shared" si="26"/>
        <v>6</v>
      </c>
      <c r="BG12">
        <f t="shared" si="27"/>
        <v>2</v>
      </c>
      <c r="BH12">
        <f t="shared" si="28"/>
        <v>1</v>
      </c>
      <c r="BI12">
        <f t="shared" si="29"/>
        <v>0</v>
      </c>
      <c r="BJ12">
        <f t="shared" si="30"/>
        <v>0</v>
      </c>
      <c r="BK12">
        <f t="shared" si="31"/>
        <v>1</v>
      </c>
      <c r="BL12">
        <f t="shared" si="32"/>
        <v>2</v>
      </c>
      <c r="BM12">
        <f t="shared" si="33"/>
        <v>6</v>
      </c>
      <c r="BN12">
        <f t="shared" si="34"/>
        <v>6</v>
      </c>
      <c r="BO12">
        <f t="shared" si="35"/>
        <v>7</v>
      </c>
      <c r="BP12">
        <f t="shared" si="36"/>
        <v>7</v>
      </c>
      <c r="BQ12">
        <f t="shared" si="37"/>
        <v>7</v>
      </c>
      <c r="BR12">
        <f t="shared" si="38"/>
        <v>7</v>
      </c>
      <c r="BS12">
        <f t="shared" si="39"/>
        <v>7</v>
      </c>
      <c r="BT12">
        <f t="shared" si="40"/>
        <v>7</v>
      </c>
      <c r="BU12">
        <f t="shared" si="41"/>
        <v>7</v>
      </c>
      <c r="BV12">
        <f t="shared" si="42"/>
        <v>7</v>
      </c>
      <c r="BW12">
        <f t="shared" si="43"/>
        <v>7</v>
      </c>
      <c r="BX12">
        <f t="shared" si="44"/>
        <v>7</v>
      </c>
      <c r="BZ12">
        <f t="shared" si="50"/>
        <v>-1</v>
      </c>
      <c r="CA12">
        <f t="shared" si="51"/>
        <v>0</v>
      </c>
      <c r="CB12">
        <f t="shared" si="45"/>
        <v>0</v>
      </c>
      <c r="CC12">
        <f t="shared" si="45"/>
        <v>-1</v>
      </c>
      <c r="CD12">
        <f t="shared" si="45"/>
        <v>0</v>
      </c>
      <c r="CE12">
        <f t="shared" si="45"/>
        <v>0</v>
      </c>
      <c r="CF12">
        <f t="shared" si="45"/>
        <v>-4</v>
      </c>
      <c r="CG12">
        <f t="shared" si="45"/>
        <v>-1</v>
      </c>
      <c r="CH12">
        <f t="shared" si="45"/>
        <v>-1</v>
      </c>
      <c r="CI12">
        <f t="shared" si="45"/>
        <v>0</v>
      </c>
      <c r="CJ12">
        <f t="shared" si="45"/>
        <v>1</v>
      </c>
      <c r="CK12">
        <f t="shared" si="45"/>
        <v>1</v>
      </c>
      <c r="CL12">
        <f t="shared" si="45"/>
        <v>4</v>
      </c>
      <c r="CM12">
        <f t="shared" si="45"/>
        <v>0</v>
      </c>
      <c r="CN12">
        <f t="shared" si="45"/>
        <v>1</v>
      </c>
      <c r="CO12">
        <f t="shared" si="45"/>
        <v>0</v>
      </c>
      <c r="CP12">
        <f t="shared" si="45"/>
        <v>0</v>
      </c>
      <c r="CQ12">
        <f t="shared" si="45"/>
        <v>0</v>
      </c>
      <c r="CR12">
        <f t="shared" si="46"/>
        <v>0</v>
      </c>
      <c r="CS12">
        <f t="shared" si="46"/>
        <v>0</v>
      </c>
      <c r="CT12">
        <f t="shared" si="46"/>
        <v>0</v>
      </c>
      <c r="CU12">
        <f t="shared" si="46"/>
        <v>0</v>
      </c>
      <c r="CV12">
        <f t="shared" si="46"/>
        <v>0</v>
      </c>
      <c r="CW12">
        <f t="shared" si="46"/>
        <v>0</v>
      </c>
    </row>
    <row r="13" spans="1:101">
      <c r="A13" s="60">
        <v>44935</v>
      </c>
      <c r="B13" s="426">
        <v>62428</v>
      </c>
      <c r="C13">
        <v>63069.7</v>
      </c>
      <c r="D13">
        <v>63175.1</v>
      </c>
      <c r="E13">
        <v>62977.5</v>
      </c>
      <c r="F13">
        <v>63270.3</v>
      </c>
      <c r="G13">
        <v>61819.5</v>
      </c>
      <c r="H13">
        <v>61006.2</v>
      </c>
      <c r="I13">
        <v>25631.599999999999</v>
      </c>
      <c r="J13">
        <v>100.9</v>
      </c>
      <c r="K13">
        <v>8213.5</v>
      </c>
      <c r="L13">
        <v>17382.8</v>
      </c>
      <c r="M13">
        <v>43289.9</v>
      </c>
      <c r="N13">
        <v>59016</v>
      </c>
      <c r="O13">
        <v>62855.8</v>
      </c>
      <c r="P13">
        <v>62784.7</v>
      </c>
      <c r="Q13">
        <v>62779.6</v>
      </c>
      <c r="R13">
        <v>62505.599999999999</v>
      </c>
      <c r="S13">
        <v>61675.9</v>
      </c>
      <c r="T13">
        <v>63411.5</v>
      </c>
      <c r="U13">
        <v>63161.5</v>
      </c>
      <c r="V13">
        <v>62981.3</v>
      </c>
      <c r="W13">
        <v>62806</v>
      </c>
      <c r="X13">
        <v>62759.8</v>
      </c>
      <c r="Y13">
        <v>62538</v>
      </c>
      <c r="Z13" s="77">
        <v>1281640.7</v>
      </c>
      <c r="AB13" s="52">
        <f t="shared" si="47"/>
        <v>0</v>
      </c>
      <c r="AC13" s="52">
        <f t="shared" si="0"/>
        <v>0</v>
      </c>
      <c r="AD13" s="52">
        <f t="shared" si="1"/>
        <v>0</v>
      </c>
      <c r="AE13" s="52">
        <f t="shared" si="2"/>
        <v>0</v>
      </c>
      <c r="AF13" s="52">
        <f t="shared" si="3"/>
        <v>0</v>
      </c>
      <c r="AG13" s="52">
        <f t="shared" si="4"/>
        <v>0</v>
      </c>
      <c r="AH13" s="52">
        <f t="shared" si="5"/>
        <v>0</v>
      </c>
      <c r="AI13" s="52">
        <v>1</v>
      </c>
      <c r="AJ13" s="52">
        <f t="shared" si="7"/>
        <v>0</v>
      </c>
      <c r="AK13" s="52">
        <f t="shared" si="8"/>
        <v>0</v>
      </c>
      <c r="AL13" s="52">
        <f t="shared" si="9"/>
        <v>0</v>
      </c>
      <c r="AM13" s="52">
        <f t="shared" si="10"/>
        <v>0</v>
      </c>
      <c r="AN13" s="52">
        <f t="shared" si="11"/>
        <v>0</v>
      </c>
      <c r="AO13" s="52">
        <f t="shared" si="12"/>
        <v>0</v>
      </c>
      <c r="AP13" s="52">
        <f t="shared" si="13"/>
        <v>0</v>
      </c>
      <c r="AQ13" s="52">
        <f t="shared" si="14"/>
        <v>0</v>
      </c>
      <c r="AR13" s="52">
        <f t="shared" si="15"/>
        <v>0</v>
      </c>
      <c r="AS13" s="52">
        <f t="shared" si="16"/>
        <v>0</v>
      </c>
      <c r="AT13" s="52">
        <f t="shared" si="17"/>
        <v>0</v>
      </c>
      <c r="AU13" s="52">
        <f t="shared" si="18"/>
        <v>0</v>
      </c>
      <c r="AV13" s="52">
        <f t="shared" si="19"/>
        <v>0</v>
      </c>
      <c r="AW13" s="52">
        <f t="shared" si="20"/>
        <v>0</v>
      </c>
      <c r="AX13" s="52">
        <f t="shared" si="21"/>
        <v>0</v>
      </c>
      <c r="AY13" s="52">
        <f t="shared" si="48"/>
        <v>0</v>
      </c>
      <c r="BA13" s="52">
        <f t="shared" si="49"/>
        <v>8</v>
      </c>
      <c r="BB13" s="52">
        <f t="shared" si="22"/>
        <v>8</v>
      </c>
      <c r="BC13" s="52">
        <f t="shared" si="23"/>
        <v>8</v>
      </c>
      <c r="BD13" s="52">
        <f t="shared" si="24"/>
        <v>8</v>
      </c>
      <c r="BE13" s="52">
        <f t="shared" si="25"/>
        <v>8</v>
      </c>
      <c r="BF13" s="52">
        <f t="shared" si="26"/>
        <v>8</v>
      </c>
      <c r="BG13" s="52">
        <f t="shared" si="27"/>
        <v>7</v>
      </c>
      <c r="BH13" s="52">
        <f t="shared" si="28"/>
        <v>3</v>
      </c>
      <c r="BI13" s="52">
        <f t="shared" si="29"/>
        <v>1</v>
      </c>
      <c r="BJ13" s="52">
        <f t="shared" si="30"/>
        <v>1</v>
      </c>
      <c r="BK13" s="52">
        <f t="shared" si="31"/>
        <v>2</v>
      </c>
      <c r="BL13" s="52">
        <f t="shared" si="32"/>
        <v>5</v>
      </c>
      <c r="BM13" s="52">
        <f t="shared" si="33"/>
        <v>7</v>
      </c>
      <c r="BN13" s="52">
        <f t="shared" si="34"/>
        <v>8</v>
      </c>
      <c r="BO13" s="52">
        <f t="shared" si="35"/>
        <v>8</v>
      </c>
      <c r="BP13" s="52">
        <f t="shared" si="36"/>
        <v>8</v>
      </c>
      <c r="BQ13" s="52">
        <f t="shared" si="37"/>
        <v>8</v>
      </c>
      <c r="BR13" s="52">
        <f t="shared" si="38"/>
        <v>8</v>
      </c>
      <c r="BS13" s="52">
        <f t="shared" si="39"/>
        <v>8</v>
      </c>
      <c r="BT13" s="52">
        <f t="shared" si="40"/>
        <v>8</v>
      </c>
      <c r="BU13" s="52">
        <f t="shared" si="41"/>
        <v>8</v>
      </c>
      <c r="BV13" s="52">
        <f t="shared" si="42"/>
        <v>8</v>
      </c>
      <c r="BW13" s="52">
        <f t="shared" si="43"/>
        <v>8</v>
      </c>
      <c r="BX13" s="52">
        <f t="shared" si="44"/>
        <v>8</v>
      </c>
      <c r="BZ13" s="52">
        <f t="shared" si="50"/>
        <v>1</v>
      </c>
      <c r="CA13" s="52">
        <f t="shared" si="51"/>
        <v>0</v>
      </c>
      <c r="CB13" s="52">
        <f t="shared" si="45"/>
        <v>0</v>
      </c>
      <c r="CC13" s="52">
        <f t="shared" si="45"/>
        <v>0</v>
      </c>
      <c r="CD13" s="52">
        <f t="shared" si="45"/>
        <v>0</v>
      </c>
      <c r="CE13" s="52">
        <f t="shared" si="45"/>
        <v>0</v>
      </c>
      <c r="CF13" s="52">
        <f t="shared" si="45"/>
        <v>-1</v>
      </c>
      <c r="CG13" s="52">
        <f t="shared" si="45"/>
        <v>-4</v>
      </c>
      <c r="CH13" s="52">
        <f t="shared" si="45"/>
        <v>-2</v>
      </c>
      <c r="CI13" s="52">
        <f t="shared" si="45"/>
        <v>0</v>
      </c>
      <c r="CJ13" s="52">
        <f t="shared" si="45"/>
        <v>1</v>
      </c>
      <c r="CK13" s="52">
        <f t="shared" si="45"/>
        <v>3</v>
      </c>
      <c r="CL13" s="52">
        <f t="shared" si="45"/>
        <v>2</v>
      </c>
      <c r="CM13" s="52">
        <f t="shared" si="45"/>
        <v>1</v>
      </c>
      <c r="CN13" s="52">
        <f t="shared" si="45"/>
        <v>0</v>
      </c>
      <c r="CO13" s="52">
        <f t="shared" si="45"/>
        <v>0</v>
      </c>
      <c r="CP13" s="52">
        <f t="shared" si="45"/>
        <v>0</v>
      </c>
      <c r="CQ13" s="52">
        <f t="shared" si="45"/>
        <v>0</v>
      </c>
      <c r="CR13" s="52">
        <f t="shared" si="46"/>
        <v>0</v>
      </c>
      <c r="CS13" s="52">
        <f t="shared" si="46"/>
        <v>0</v>
      </c>
      <c r="CT13" s="52">
        <f t="shared" si="46"/>
        <v>0</v>
      </c>
      <c r="CU13" s="52">
        <f t="shared" si="46"/>
        <v>0</v>
      </c>
      <c r="CV13" s="52">
        <f t="shared" si="46"/>
        <v>0</v>
      </c>
      <c r="CW13" s="52">
        <f t="shared" si="46"/>
        <v>0</v>
      </c>
    </row>
    <row r="14" spans="1:101">
      <c r="A14" s="60">
        <v>44936</v>
      </c>
      <c r="B14" s="426">
        <v>62937.5</v>
      </c>
      <c r="C14">
        <v>62797</v>
      </c>
      <c r="D14">
        <v>62936.800000000003</v>
      </c>
      <c r="E14">
        <v>62802</v>
      </c>
      <c r="F14">
        <v>61571.1</v>
      </c>
      <c r="G14">
        <v>59682.6</v>
      </c>
      <c r="H14">
        <v>59572.1</v>
      </c>
      <c r="I14">
        <v>59688.3</v>
      </c>
      <c r="J14">
        <v>59740.3</v>
      </c>
      <c r="K14">
        <v>61328.6</v>
      </c>
      <c r="L14">
        <v>63756.6</v>
      </c>
      <c r="M14">
        <v>63914.8</v>
      </c>
      <c r="N14">
        <v>63931.3</v>
      </c>
      <c r="O14">
        <v>63815.1</v>
      </c>
      <c r="P14">
        <v>63912.1</v>
      </c>
      <c r="Q14">
        <v>63951.3</v>
      </c>
      <c r="R14">
        <v>63891.4</v>
      </c>
      <c r="S14">
        <v>63851.6</v>
      </c>
      <c r="T14">
        <v>63785.9</v>
      </c>
      <c r="U14">
        <v>63642.7</v>
      </c>
      <c r="V14">
        <v>61977.9</v>
      </c>
      <c r="W14">
        <v>62086.8</v>
      </c>
      <c r="X14">
        <v>62713</v>
      </c>
      <c r="Y14">
        <v>62527.1</v>
      </c>
      <c r="Z14" s="77">
        <v>1500813.9</v>
      </c>
      <c r="AB14">
        <f t="shared" si="47"/>
        <v>0</v>
      </c>
      <c r="AC14">
        <f t="shared" si="0"/>
        <v>0</v>
      </c>
      <c r="AD14">
        <f t="shared" si="1"/>
        <v>0</v>
      </c>
      <c r="AE14">
        <f t="shared" si="2"/>
        <v>0</v>
      </c>
      <c r="AF14">
        <f t="shared" si="3"/>
        <v>0</v>
      </c>
      <c r="AG14">
        <f t="shared" si="4"/>
        <v>0</v>
      </c>
      <c r="AH14">
        <f t="shared" si="5"/>
        <v>0</v>
      </c>
      <c r="AI14">
        <f t="shared" si="6"/>
        <v>0</v>
      </c>
      <c r="AJ14">
        <f t="shared" si="7"/>
        <v>0</v>
      </c>
      <c r="AK14">
        <f t="shared" si="8"/>
        <v>0</v>
      </c>
      <c r="AL14">
        <f t="shared" si="9"/>
        <v>0</v>
      </c>
      <c r="AM14">
        <f t="shared" si="10"/>
        <v>0</v>
      </c>
      <c r="AN14">
        <f t="shared" si="11"/>
        <v>0</v>
      </c>
      <c r="AO14">
        <f t="shared" si="12"/>
        <v>0</v>
      </c>
      <c r="AP14">
        <f t="shared" si="13"/>
        <v>0</v>
      </c>
      <c r="AQ14">
        <f t="shared" si="14"/>
        <v>0</v>
      </c>
      <c r="AR14">
        <f t="shared" si="15"/>
        <v>0</v>
      </c>
      <c r="AS14">
        <f t="shared" si="16"/>
        <v>0</v>
      </c>
      <c r="AT14">
        <f t="shared" si="17"/>
        <v>0</v>
      </c>
      <c r="AU14">
        <f t="shared" si="18"/>
        <v>0</v>
      </c>
      <c r="AV14">
        <f t="shared" si="19"/>
        <v>0</v>
      </c>
      <c r="AW14">
        <f t="shared" si="20"/>
        <v>0</v>
      </c>
      <c r="AX14">
        <f t="shared" si="21"/>
        <v>0</v>
      </c>
      <c r="AY14">
        <f t="shared" si="48"/>
        <v>0</v>
      </c>
      <c r="BA14">
        <f t="shared" si="49"/>
        <v>8</v>
      </c>
      <c r="BB14">
        <f t="shared" si="22"/>
        <v>8</v>
      </c>
      <c r="BC14">
        <f t="shared" si="23"/>
        <v>8</v>
      </c>
      <c r="BD14">
        <f t="shared" si="24"/>
        <v>8</v>
      </c>
      <c r="BE14">
        <f t="shared" si="25"/>
        <v>7</v>
      </c>
      <c r="BF14">
        <f t="shared" si="26"/>
        <v>7</v>
      </c>
      <c r="BG14">
        <f t="shared" si="27"/>
        <v>7</v>
      </c>
      <c r="BH14">
        <f t="shared" si="28"/>
        <v>7</v>
      </c>
      <c r="BI14">
        <f t="shared" si="29"/>
        <v>7</v>
      </c>
      <c r="BJ14">
        <f t="shared" si="30"/>
        <v>7</v>
      </c>
      <c r="BK14">
        <f t="shared" si="31"/>
        <v>8</v>
      </c>
      <c r="BL14">
        <f t="shared" si="32"/>
        <v>8</v>
      </c>
      <c r="BM14">
        <f t="shared" si="33"/>
        <v>8</v>
      </c>
      <c r="BN14">
        <f t="shared" si="34"/>
        <v>8</v>
      </c>
      <c r="BO14">
        <f t="shared" si="35"/>
        <v>8</v>
      </c>
      <c r="BP14">
        <f t="shared" si="36"/>
        <v>8</v>
      </c>
      <c r="BQ14">
        <f t="shared" si="37"/>
        <v>8</v>
      </c>
      <c r="BR14">
        <f t="shared" si="38"/>
        <v>8</v>
      </c>
      <c r="BS14">
        <f t="shared" si="39"/>
        <v>8</v>
      </c>
      <c r="BT14">
        <f t="shared" si="40"/>
        <v>8</v>
      </c>
      <c r="BU14">
        <f t="shared" si="41"/>
        <v>8</v>
      </c>
      <c r="BV14">
        <f t="shared" si="42"/>
        <v>8</v>
      </c>
      <c r="BW14">
        <f t="shared" si="43"/>
        <v>8</v>
      </c>
      <c r="BX14">
        <f t="shared" si="44"/>
        <v>8</v>
      </c>
      <c r="BZ14">
        <f t="shared" si="50"/>
        <v>0</v>
      </c>
      <c r="CA14">
        <f t="shared" si="51"/>
        <v>0</v>
      </c>
      <c r="CB14">
        <f t="shared" si="45"/>
        <v>0</v>
      </c>
      <c r="CC14">
        <f t="shared" si="45"/>
        <v>0</v>
      </c>
      <c r="CD14">
        <f t="shared" si="45"/>
        <v>-1</v>
      </c>
      <c r="CE14">
        <f t="shared" si="45"/>
        <v>0</v>
      </c>
      <c r="CF14">
        <f t="shared" si="45"/>
        <v>0</v>
      </c>
      <c r="CG14">
        <f t="shared" si="45"/>
        <v>0</v>
      </c>
      <c r="CH14">
        <f t="shared" si="45"/>
        <v>0</v>
      </c>
      <c r="CI14">
        <f t="shared" si="45"/>
        <v>0</v>
      </c>
      <c r="CJ14">
        <f t="shared" si="45"/>
        <v>1</v>
      </c>
      <c r="CK14">
        <f t="shared" si="45"/>
        <v>0</v>
      </c>
      <c r="CL14">
        <f t="shared" si="45"/>
        <v>0</v>
      </c>
      <c r="CM14">
        <f t="shared" si="45"/>
        <v>0</v>
      </c>
      <c r="CN14">
        <f t="shared" si="45"/>
        <v>0</v>
      </c>
      <c r="CO14">
        <f t="shared" si="45"/>
        <v>0</v>
      </c>
      <c r="CP14">
        <f t="shared" si="45"/>
        <v>0</v>
      </c>
      <c r="CQ14">
        <f t="shared" si="45"/>
        <v>0</v>
      </c>
      <c r="CR14">
        <f t="shared" si="46"/>
        <v>0</v>
      </c>
      <c r="CS14">
        <f t="shared" si="46"/>
        <v>0</v>
      </c>
      <c r="CT14">
        <f t="shared" si="46"/>
        <v>0</v>
      </c>
      <c r="CU14">
        <f t="shared" si="46"/>
        <v>0</v>
      </c>
      <c r="CV14">
        <f t="shared" si="46"/>
        <v>0</v>
      </c>
      <c r="CW14">
        <f t="shared" si="46"/>
        <v>0</v>
      </c>
    </row>
    <row r="15" spans="1:101">
      <c r="A15" s="60">
        <v>44937</v>
      </c>
      <c r="B15" s="426">
        <v>53704.4</v>
      </c>
      <c r="C15">
        <v>53063.1</v>
      </c>
      <c r="D15">
        <v>53056</v>
      </c>
      <c r="E15">
        <v>53158.7</v>
      </c>
      <c r="F15">
        <v>51539.1</v>
      </c>
      <c r="G15">
        <v>51219.4</v>
      </c>
      <c r="H15">
        <v>51034.7</v>
      </c>
      <c r="I15">
        <v>51136.800000000003</v>
      </c>
      <c r="J15">
        <v>51128.7</v>
      </c>
      <c r="K15">
        <v>54233.3</v>
      </c>
      <c r="L15">
        <v>53827.4</v>
      </c>
      <c r="M15">
        <v>53609.8</v>
      </c>
      <c r="N15">
        <v>53458.6</v>
      </c>
      <c r="O15">
        <v>53402.8</v>
      </c>
      <c r="P15">
        <v>53511.3</v>
      </c>
      <c r="Q15">
        <v>53105.7</v>
      </c>
      <c r="R15">
        <v>53507.9</v>
      </c>
      <c r="S15">
        <v>52560.4</v>
      </c>
      <c r="T15">
        <v>53752.2</v>
      </c>
      <c r="U15">
        <v>53525.7</v>
      </c>
      <c r="V15">
        <v>53384.3</v>
      </c>
      <c r="W15">
        <v>53208.7</v>
      </c>
      <c r="X15">
        <v>53053.2</v>
      </c>
      <c r="Y15">
        <v>53314.5</v>
      </c>
      <c r="Z15" s="77">
        <v>1270496.7</v>
      </c>
      <c r="AB15" s="52">
        <f t="shared" si="47"/>
        <v>0</v>
      </c>
      <c r="AC15" s="52">
        <f t="shared" si="0"/>
        <v>0</v>
      </c>
      <c r="AD15" s="52">
        <f t="shared" si="1"/>
        <v>0</v>
      </c>
      <c r="AE15" s="52">
        <f t="shared" si="2"/>
        <v>0</v>
      </c>
      <c r="AF15" s="52">
        <f t="shared" si="3"/>
        <v>0</v>
      </c>
      <c r="AG15" s="52">
        <f t="shared" si="4"/>
        <v>0</v>
      </c>
      <c r="AH15" s="52">
        <f t="shared" si="5"/>
        <v>0</v>
      </c>
      <c r="AI15" s="52">
        <f t="shared" si="6"/>
        <v>0</v>
      </c>
      <c r="AJ15" s="52">
        <f t="shared" si="7"/>
        <v>0</v>
      </c>
      <c r="AK15" s="52">
        <f t="shared" si="8"/>
        <v>0</v>
      </c>
      <c r="AL15" s="52">
        <f t="shared" si="9"/>
        <v>0</v>
      </c>
      <c r="AM15" s="52">
        <f t="shared" si="10"/>
        <v>0</v>
      </c>
      <c r="AN15" s="52">
        <f t="shared" si="11"/>
        <v>0</v>
      </c>
      <c r="AO15" s="52">
        <f t="shared" si="12"/>
        <v>0</v>
      </c>
      <c r="AP15" s="52">
        <f t="shared" si="13"/>
        <v>0</v>
      </c>
      <c r="AQ15" s="52">
        <f t="shared" si="14"/>
        <v>0</v>
      </c>
      <c r="AR15" s="52">
        <f t="shared" si="15"/>
        <v>0</v>
      </c>
      <c r="AS15" s="52">
        <f t="shared" si="16"/>
        <v>0</v>
      </c>
      <c r="AT15" s="52">
        <f t="shared" si="17"/>
        <v>0</v>
      </c>
      <c r="AU15" s="52">
        <f t="shared" si="18"/>
        <v>0</v>
      </c>
      <c r="AV15" s="52">
        <f t="shared" si="19"/>
        <v>0</v>
      </c>
      <c r="AW15" s="52">
        <f t="shared" si="20"/>
        <v>0</v>
      </c>
      <c r="AX15" s="52">
        <f t="shared" si="21"/>
        <v>0</v>
      </c>
      <c r="AY15" s="52">
        <f t="shared" si="48"/>
        <v>0</v>
      </c>
      <c r="BA15" s="52">
        <f t="shared" si="49"/>
        <v>7</v>
      </c>
      <c r="BB15" s="52">
        <f t="shared" si="22"/>
        <v>7</v>
      </c>
      <c r="BC15" s="52">
        <f t="shared" si="23"/>
        <v>7</v>
      </c>
      <c r="BD15" s="52">
        <f t="shared" si="24"/>
        <v>7</v>
      </c>
      <c r="BE15" s="52">
        <f t="shared" si="25"/>
        <v>6</v>
      </c>
      <c r="BF15" s="52">
        <f t="shared" si="26"/>
        <v>6</v>
      </c>
      <c r="BG15" s="52">
        <f t="shared" si="27"/>
        <v>6</v>
      </c>
      <c r="BH15" s="52">
        <f t="shared" si="28"/>
        <v>6</v>
      </c>
      <c r="BI15" s="52">
        <f t="shared" si="29"/>
        <v>6</v>
      </c>
      <c r="BJ15" s="52">
        <f t="shared" si="30"/>
        <v>7</v>
      </c>
      <c r="BK15" s="52">
        <f t="shared" si="31"/>
        <v>7</v>
      </c>
      <c r="BL15" s="52">
        <f t="shared" si="32"/>
        <v>7</v>
      </c>
      <c r="BM15" s="52">
        <f t="shared" si="33"/>
        <v>7</v>
      </c>
      <c r="BN15" s="52">
        <f t="shared" si="34"/>
        <v>7</v>
      </c>
      <c r="BO15" s="52">
        <f t="shared" si="35"/>
        <v>7</v>
      </c>
      <c r="BP15" s="52">
        <f t="shared" si="36"/>
        <v>7</v>
      </c>
      <c r="BQ15" s="52">
        <f t="shared" si="37"/>
        <v>7</v>
      </c>
      <c r="BR15" s="52">
        <f t="shared" si="38"/>
        <v>6</v>
      </c>
      <c r="BS15" s="52">
        <f t="shared" si="39"/>
        <v>7</v>
      </c>
      <c r="BT15" s="52">
        <f t="shared" si="40"/>
        <v>7</v>
      </c>
      <c r="BU15" s="52">
        <f t="shared" si="41"/>
        <v>7</v>
      </c>
      <c r="BV15" s="52">
        <f t="shared" si="42"/>
        <v>7</v>
      </c>
      <c r="BW15" s="52">
        <f t="shared" si="43"/>
        <v>7</v>
      </c>
      <c r="BX15" s="52">
        <f t="shared" si="44"/>
        <v>7</v>
      </c>
      <c r="BZ15" s="52">
        <f t="shared" si="50"/>
        <v>-1</v>
      </c>
      <c r="CA15" s="52">
        <f t="shared" si="51"/>
        <v>0</v>
      </c>
      <c r="CB15" s="52">
        <f t="shared" si="45"/>
        <v>0</v>
      </c>
      <c r="CC15" s="52">
        <f t="shared" si="45"/>
        <v>0</v>
      </c>
      <c r="CD15" s="52">
        <f t="shared" si="45"/>
        <v>-1</v>
      </c>
      <c r="CE15" s="52">
        <f t="shared" si="45"/>
        <v>0</v>
      </c>
      <c r="CF15" s="52">
        <f t="shared" si="45"/>
        <v>0</v>
      </c>
      <c r="CG15" s="52">
        <f t="shared" si="45"/>
        <v>0</v>
      </c>
      <c r="CH15" s="52">
        <f t="shared" si="45"/>
        <v>0</v>
      </c>
      <c r="CI15" s="52">
        <f t="shared" si="45"/>
        <v>1</v>
      </c>
      <c r="CJ15" s="52">
        <f t="shared" si="45"/>
        <v>0</v>
      </c>
      <c r="CK15" s="52">
        <f t="shared" si="45"/>
        <v>0</v>
      </c>
      <c r="CL15" s="52">
        <f t="shared" si="45"/>
        <v>0</v>
      </c>
      <c r="CM15" s="52">
        <f t="shared" si="45"/>
        <v>0</v>
      </c>
      <c r="CN15" s="52">
        <f t="shared" si="45"/>
        <v>0</v>
      </c>
      <c r="CO15" s="52">
        <f t="shared" si="45"/>
        <v>0</v>
      </c>
      <c r="CP15" s="52">
        <f t="shared" si="45"/>
        <v>0</v>
      </c>
      <c r="CQ15" s="52">
        <f t="shared" si="45"/>
        <v>-1</v>
      </c>
      <c r="CR15" s="52">
        <f t="shared" si="46"/>
        <v>1</v>
      </c>
      <c r="CS15" s="52">
        <f t="shared" si="46"/>
        <v>0</v>
      </c>
      <c r="CT15" s="52">
        <f t="shared" si="46"/>
        <v>0</v>
      </c>
      <c r="CU15" s="52">
        <f t="shared" si="46"/>
        <v>0</v>
      </c>
      <c r="CV15" s="52">
        <f t="shared" si="46"/>
        <v>0</v>
      </c>
      <c r="CW15" s="52">
        <f t="shared" si="46"/>
        <v>0</v>
      </c>
    </row>
    <row r="16" spans="1:101">
      <c r="A16" s="60">
        <v>44938</v>
      </c>
      <c r="B16" s="426">
        <v>52739.8</v>
      </c>
      <c r="C16">
        <v>53504.800000000003</v>
      </c>
      <c r="D16">
        <v>53740.9</v>
      </c>
      <c r="E16">
        <v>53479.6</v>
      </c>
      <c r="F16">
        <v>51863.1</v>
      </c>
      <c r="G16">
        <v>50851.1</v>
      </c>
      <c r="H16">
        <v>50752.5</v>
      </c>
      <c r="I16">
        <v>50860.800000000003</v>
      </c>
      <c r="J16">
        <v>51490.7</v>
      </c>
      <c r="K16">
        <v>54176.7</v>
      </c>
      <c r="L16">
        <v>54320.6</v>
      </c>
      <c r="M16">
        <v>54346.6</v>
      </c>
      <c r="N16">
        <v>54379.9</v>
      </c>
      <c r="O16">
        <v>54418.2</v>
      </c>
      <c r="P16">
        <v>54364.800000000003</v>
      </c>
      <c r="Q16">
        <v>54323.3</v>
      </c>
      <c r="R16">
        <v>54185.7</v>
      </c>
      <c r="S16">
        <v>54269.9</v>
      </c>
      <c r="T16">
        <v>54003.4</v>
      </c>
      <c r="U16">
        <v>54024.3</v>
      </c>
      <c r="V16">
        <v>52862.2</v>
      </c>
      <c r="W16">
        <v>52943.1</v>
      </c>
      <c r="X16">
        <v>52874.3</v>
      </c>
      <c r="Y16">
        <v>52757.3</v>
      </c>
      <c r="Z16" s="77">
        <v>1277533.6000000001</v>
      </c>
      <c r="AB16">
        <f t="shared" si="47"/>
        <v>0</v>
      </c>
      <c r="AC16">
        <f t="shared" si="0"/>
        <v>0</v>
      </c>
      <c r="AD16">
        <f t="shared" si="1"/>
        <v>0</v>
      </c>
      <c r="AE16">
        <f t="shared" si="2"/>
        <v>0</v>
      </c>
      <c r="AF16">
        <f t="shared" si="3"/>
        <v>0</v>
      </c>
      <c r="AG16">
        <f t="shared" si="4"/>
        <v>0</v>
      </c>
      <c r="AH16">
        <f t="shared" si="5"/>
        <v>0</v>
      </c>
      <c r="AI16">
        <f t="shared" si="6"/>
        <v>0</v>
      </c>
      <c r="AJ16">
        <f t="shared" si="7"/>
        <v>0</v>
      </c>
      <c r="AK16">
        <f t="shared" si="8"/>
        <v>0</v>
      </c>
      <c r="AL16">
        <f t="shared" si="9"/>
        <v>0</v>
      </c>
      <c r="AM16">
        <f t="shared" si="10"/>
        <v>0</v>
      </c>
      <c r="AN16">
        <f t="shared" si="11"/>
        <v>0</v>
      </c>
      <c r="AO16">
        <f t="shared" si="12"/>
        <v>0</v>
      </c>
      <c r="AP16">
        <f t="shared" si="13"/>
        <v>0</v>
      </c>
      <c r="AQ16">
        <f t="shared" si="14"/>
        <v>0</v>
      </c>
      <c r="AR16">
        <f t="shared" si="15"/>
        <v>0</v>
      </c>
      <c r="AS16">
        <f t="shared" si="16"/>
        <v>0</v>
      </c>
      <c r="AT16">
        <f t="shared" si="17"/>
        <v>0</v>
      </c>
      <c r="AU16">
        <f t="shared" si="18"/>
        <v>0</v>
      </c>
      <c r="AV16">
        <f t="shared" si="19"/>
        <v>0</v>
      </c>
      <c r="AW16">
        <f t="shared" si="20"/>
        <v>0</v>
      </c>
      <c r="AX16">
        <f t="shared" si="21"/>
        <v>0</v>
      </c>
      <c r="AY16">
        <f t="shared" si="48"/>
        <v>0</v>
      </c>
      <c r="BA16">
        <f t="shared" si="49"/>
        <v>6</v>
      </c>
      <c r="BB16">
        <f t="shared" si="22"/>
        <v>7</v>
      </c>
      <c r="BC16">
        <f t="shared" si="23"/>
        <v>7</v>
      </c>
      <c r="BD16">
        <f t="shared" si="24"/>
        <v>7</v>
      </c>
      <c r="BE16">
        <f t="shared" si="25"/>
        <v>6</v>
      </c>
      <c r="BF16">
        <f t="shared" si="26"/>
        <v>6</v>
      </c>
      <c r="BG16">
        <f t="shared" si="27"/>
        <v>6</v>
      </c>
      <c r="BH16">
        <f t="shared" si="28"/>
        <v>6</v>
      </c>
      <c r="BI16">
        <f t="shared" si="29"/>
        <v>6</v>
      </c>
      <c r="BJ16">
        <f t="shared" si="30"/>
        <v>7</v>
      </c>
      <c r="BK16">
        <f t="shared" si="31"/>
        <v>7</v>
      </c>
      <c r="BL16">
        <f t="shared" si="32"/>
        <v>7</v>
      </c>
      <c r="BM16">
        <f t="shared" si="33"/>
        <v>7</v>
      </c>
      <c r="BN16">
        <f t="shared" si="34"/>
        <v>7</v>
      </c>
      <c r="BO16">
        <f t="shared" si="35"/>
        <v>7</v>
      </c>
      <c r="BP16">
        <f t="shared" si="36"/>
        <v>7</v>
      </c>
      <c r="BQ16">
        <f t="shared" si="37"/>
        <v>7</v>
      </c>
      <c r="BR16">
        <f t="shared" si="38"/>
        <v>7</v>
      </c>
      <c r="BS16">
        <f t="shared" si="39"/>
        <v>7</v>
      </c>
      <c r="BT16">
        <f t="shared" si="40"/>
        <v>7</v>
      </c>
      <c r="BU16">
        <f t="shared" si="41"/>
        <v>7</v>
      </c>
      <c r="BV16">
        <f t="shared" si="42"/>
        <v>7</v>
      </c>
      <c r="BW16">
        <f t="shared" si="43"/>
        <v>7</v>
      </c>
      <c r="BX16">
        <f t="shared" si="44"/>
        <v>6</v>
      </c>
      <c r="BZ16">
        <f t="shared" si="50"/>
        <v>-1</v>
      </c>
      <c r="CA16">
        <f t="shared" si="51"/>
        <v>1</v>
      </c>
      <c r="CB16">
        <f t="shared" si="45"/>
        <v>0</v>
      </c>
      <c r="CC16">
        <f t="shared" si="45"/>
        <v>0</v>
      </c>
      <c r="CD16">
        <f t="shared" si="45"/>
        <v>-1</v>
      </c>
      <c r="CE16">
        <f t="shared" si="45"/>
        <v>0</v>
      </c>
      <c r="CF16">
        <f t="shared" si="45"/>
        <v>0</v>
      </c>
      <c r="CG16">
        <f t="shared" si="45"/>
        <v>0</v>
      </c>
      <c r="CH16">
        <f t="shared" si="45"/>
        <v>0</v>
      </c>
      <c r="CI16">
        <f t="shared" si="45"/>
        <v>1</v>
      </c>
      <c r="CJ16">
        <f t="shared" si="45"/>
        <v>0</v>
      </c>
      <c r="CK16">
        <f t="shared" si="45"/>
        <v>0</v>
      </c>
      <c r="CL16">
        <f t="shared" si="45"/>
        <v>0</v>
      </c>
      <c r="CM16">
        <f t="shared" si="45"/>
        <v>0</v>
      </c>
      <c r="CN16">
        <f t="shared" si="45"/>
        <v>0</v>
      </c>
      <c r="CO16">
        <f t="shared" si="45"/>
        <v>0</v>
      </c>
      <c r="CP16">
        <f t="shared" si="45"/>
        <v>0</v>
      </c>
      <c r="CQ16">
        <f t="shared" si="45"/>
        <v>0</v>
      </c>
      <c r="CR16">
        <f t="shared" si="46"/>
        <v>0</v>
      </c>
      <c r="CS16">
        <f t="shared" si="46"/>
        <v>0</v>
      </c>
      <c r="CT16">
        <f t="shared" si="46"/>
        <v>0</v>
      </c>
      <c r="CU16">
        <f t="shared" si="46"/>
        <v>0</v>
      </c>
      <c r="CV16">
        <f t="shared" si="46"/>
        <v>0</v>
      </c>
      <c r="CW16">
        <f t="shared" si="46"/>
        <v>-1</v>
      </c>
    </row>
    <row r="17" spans="1:101">
      <c r="A17" s="60">
        <v>44939</v>
      </c>
      <c r="B17" s="426">
        <v>52935.199999999997</v>
      </c>
      <c r="C17">
        <v>53862.8</v>
      </c>
      <c r="D17">
        <v>53880.5</v>
      </c>
      <c r="E17">
        <v>53640.800000000003</v>
      </c>
      <c r="F17">
        <v>53897.3</v>
      </c>
      <c r="G17">
        <v>51621.8</v>
      </c>
      <c r="H17">
        <v>50447.9</v>
      </c>
      <c r="I17">
        <v>50384.3</v>
      </c>
      <c r="J17">
        <v>51663.1</v>
      </c>
      <c r="K17">
        <v>54723.4</v>
      </c>
      <c r="L17">
        <v>54303.199999999997</v>
      </c>
      <c r="M17">
        <v>54259</v>
      </c>
      <c r="N17">
        <v>54283.4</v>
      </c>
      <c r="O17">
        <v>54314.6</v>
      </c>
      <c r="P17">
        <v>54311.8</v>
      </c>
      <c r="Q17">
        <v>54245.1</v>
      </c>
      <c r="R17">
        <v>54247.9</v>
      </c>
      <c r="S17">
        <v>54151.7</v>
      </c>
      <c r="T17">
        <v>54170.8</v>
      </c>
      <c r="U17">
        <v>54095.3</v>
      </c>
      <c r="V17">
        <v>53974.400000000001</v>
      </c>
      <c r="W17">
        <v>53730.400000000001</v>
      </c>
      <c r="X17">
        <v>53996</v>
      </c>
      <c r="Y17">
        <v>53983.3</v>
      </c>
      <c r="Z17" s="77">
        <v>1285123.9999999998</v>
      </c>
      <c r="AB17" s="52">
        <f t="shared" si="47"/>
        <v>0</v>
      </c>
      <c r="AC17" s="52">
        <f t="shared" si="0"/>
        <v>0</v>
      </c>
      <c r="AD17" s="52">
        <f t="shared" si="1"/>
        <v>0</v>
      </c>
      <c r="AE17" s="52">
        <f t="shared" si="2"/>
        <v>0</v>
      </c>
      <c r="AF17" s="52">
        <f t="shared" si="3"/>
        <v>0</v>
      </c>
      <c r="AG17" s="52">
        <f t="shared" si="4"/>
        <v>0</v>
      </c>
      <c r="AH17" s="52">
        <f t="shared" si="5"/>
        <v>0</v>
      </c>
      <c r="AI17" s="52">
        <f t="shared" si="6"/>
        <v>0</v>
      </c>
      <c r="AJ17" s="52">
        <f t="shared" si="7"/>
        <v>0</v>
      </c>
      <c r="AK17" s="52">
        <f t="shared" si="8"/>
        <v>0</v>
      </c>
      <c r="AL17" s="52">
        <f t="shared" si="9"/>
        <v>0</v>
      </c>
      <c r="AM17" s="52">
        <f t="shared" si="10"/>
        <v>0</v>
      </c>
      <c r="AN17" s="52">
        <f t="shared" si="11"/>
        <v>0</v>
      </c>
      <c r="AO17" s="52">
        <f t="shared" si="12"/>
        <v>0</v>
      </c>
      <c r="AP17" s="52">
        <f t="shared" si="13"/>
        <v>0</v>
      </c>
      <c r="AQ17" s="52">
        <f t="shared" si="14"/>
        <v>0</v>
      </c>
      <c r="AR17" s="52">
        <f t="shared" si="15"/>
        <v>0</v>
      </c>
      <c r="AS17" s="52">
        <f t="shared" si="16"/>
        <v>0</v>
      </c>
      <c r="AT17" s="52">
        <f t="shared" si="17"/>
        <v>0</v>
      </c>
      <c r="AU17" s="52">
        <f t="shared" si="18"/>
        <v>0</v>
      </c>
      <c r="AV17" s="52">
        <f t="shared" si="19"/>
        <v>0</v>
      </c>
      <c r="AW17" s="52">
        <f t="shared" si="20"/>
        <v>0</v>
      </c>
      <c r="AX17" s="52">
        <f t="shared" si="21"/>
        <v>0</v>
      </c>
      <c r="AY17" s="52">
        <f t="shared" si="48"/>
        <v>0</v>
      </c>
      <c r="BA17" s="52">
        <f t="shared" si="49"/>
        <v>7</v>
      </c>
      <c r="BB17" s="52">
        <f t="shared" si="22"/>
        <v>7</v>
      </c>
      <c r="BC17" s="52">
        <f t="shared" si="23"/>
        <v>7</v>
      </c>
      <c r="BD17" s="52">
        <f t="shared" si="24"/>
        <v>7</v>
      </c>
      <c r="BE17" s="52">
        <f t="shared" si="25"/>
        <v>7</v>
      </c>
      <c r="BF17" s="52">
        <f t="shared" si="26"/>
        <v>6</v>
      </c>
      <c r="BG17" s="52">
        <f t="shared" si="27"/>
        <v>6</v>
      </c>
      <c r="BH17" s="52">
        <f t="shared" si="28"/>
        <v>6</v>
      </c>
      <c r="BI17" s="52">
        <f t="shared" si="29"/>
        <v>6</v>
      </c>
      <c r="BJ17" s="52">
        <f t="shared" si="30"/>
        <v>7</v>
      </c>
      <c r="BK17" s="52">
        <f t="shared" si="31"/>
        <v>7</v>
      </c>
      <c r="BL17" s="52">
        <f t="shared" si="32"/>
        <v>7</v>
      </c>
      <c r="BM17" s="52">
        <f t="shared" si="33"/>
        <v>7</v>
      </c>
      <c r="BN17" s="52">
        <f t="shared" si="34"/>
        <v>7</v>
      </c>
      <c r="BO17" s="52">
        <f t="shared" si="35"/>
        <v>7</v>
      </c>
      <c r="BP17" s="52">
        <f t="shared" si="36"/>
        <v>7</v>
      </c>
      <c r="BQ17" s="52">
        <f t="shared" si="37"/>
        <v>7</v>
      </c>
      <c r="BR17" s="52">
        <f t="shared" si="38"/>
        <v>7</v>
      </c>
      <c r="BS17" s="52">
        <f t="shared" si="39"/>
        <v>7</v>
      </c>
      <c r="BT17" s="52">
        <f t="shared" si="40"/>
        <v>7</v>
      </c>
      <c r="BU17" s="52">
        <f t="shared" si="41"/>
        <v>7</v>
      </c>
      <c r="BV17" s="52">
        <f t="shared" si="42"/>
        <v>7</v>
      </c>
      <c r="BW17" s="52">
        <f t="shared" si="43"/>
        <v>7</v>
      </c>
      <c r="BX17" s="52">
        <f t="shared" si="44"/>
        <v>7</v>
      </c>
      <c r="BZ17" s="52">
        <f t="shared" si="50"/>
        <v>1</v>
      </c>
      <c r="CA17" s="52">
        <f t="shared" si="51"/>
        <v>0</v>
      </c>
      <c r="CB17" s="52">
        <f t="shared" si="51"/>
        <v>0</v>
      </c>
      <c r="CC17" s="52">
        <f t="shared" si="51"/>
        <v>0</v>
      </c>
      <c r="CD17" s="52">
        <f t="shared" si="51"/>
        <v>0</v>
      </c>
      <c r="CE17" s="52">
        <f t="shared" si="51"/>
        <v>-1</v>
      </c>
      <c r="CF17" s="52">
        <f t="shared" si="51"/>
        <v>0</v>
      </c>
      <c r="CG17" s="52">
        <f t="shared" si="51"/>
        <v>0</v>
      </c>
      <c r="CH17" s="52">
        <f t="shared" si="51"/>
        <v>0</v>
      </c>
      <c r="CI17" s="52">
        <f t="shared" si="51"/>
        <v>1</v>
      </c>
      <c r="CJ17" s="52">
        <f t="shared" si="51"/>
        <v>0</v>
      </c>
      <c r="CK17" s="52">
        <f t="shared" si="51"/>
        <v>0</v>
      </c>
      <c r="CL17" s="52">
        <f t="shared" si="51"/>
        <v>0</v>
      </c>
      <c r="CM17" s="52">
        <f t="shared" si="51"/>
        <v>0</v>
      </c>
      <c r="CN17" s="52">
        <f t="shared" si="51"/>
        <v>0</v>
      </c>
      <c r="CO17" s="52">
        <f t="shared" si="46"/>
        <v>0</v>
      </c>
      <c r="CP17" s="52">
        <f t="shared" si="46"/>
        <v>0</v>
      </c>
      <c r="CQ17" s="52">
        <f t="shared" si="46"/>
        <v>0</v>
      </c>
      <c r="CR17" s="52">
        <f t="shared" si="46"/>
        <v>0</v>
      </c>
      <c r="CS17" s="52">
        <f t="shared" si="46"/>
        <v>0</v>
      </c>
      <c r="CT17" s="52">
        <f t="shared" si="46"/>
        <v>0</v>
      </c>
      <c r="CU17" s="52">
        <f t="shared" si="46"/>
        <v>0</v>
      </c>
      <c r="CV17" s="52">
        <f t="shared" si="46"/>
        <v>0</v>
      </c>
      <c r="CW17" s="52">
        <f t="shared" si="46"/>
        <v>0</v>
      </c>
    </row>
    <row r="18" spans="1:101">
      <c r="A18" s="60">
        <v>44940</v>
      </c>
      <c r="B18" s="426">
        <v>51928.800000000003</v>
      </c>
      <c r="C18">
        <v>53091.7</v>
      </c>
      <c r="D18">
        <v>53236.4</v>
      </c>
      <c r="E18">
        <v>53109.2</v>
      </c>
      <c r="F18">
        <v>53180.2</v>
      </c>
      <c r="G18">
        <v>53001.5</v>
      </c>
      <c r="H18">
        <v>53040.800000000003</v>
      </c>
      <c r="I18">
        <v>52884.7</v>
      </c>
      <c r="J18">
        <v>52492.6</v>
      </c>
      <c r="K18">
        <v>51103.1</v>
      </c>
      <c r="L18">
        <v>53590.2</v>
      </c>
      <c r="M18">
        <v>53704.5</v>
      </c>
      <c r="N18">
        <v>53854</v>
      </c>
      <c r="O18">
        <v>53657.7</v>
      </c>
      <c r="P18">
        <v>53760.2</v>
      </c>
      <c r="Q18">
        <v>53509.4</v>
      </c>
      <c r="R18">
        <v>53481.5</v>
      </c>
      <c r="S18">
        <v>53401.9</v>
      </c>
      <c r="T18">
        <v>53538.3</v>
      </c>
      <c r="U18">
        <v>53458.6</v>
      </c>
      <c r="V18">
        <v>53440.3</v>
      </c>
      <c r="W18">
        <v>53322.3</v>
      </c>
      <c r="X18">
        <v>53254</v>
      </c>
      <c r="Y18">
        <v>53479.199999999997</v>
      </c>
      <c r="Z18" s="77">
        <v>1276521.1000000001</v>
      </c>
      <c r="AB18">
        <f t="shared" si="47"/>
        <v>0</v>
      </c>
      <c r="AC18">
        <f t="shared" si="0"/>
        <v>0</v>
      </c>
      <c r="AD18">
        <f t="shared" si="1"/>
        <v>0</v>
      </c>
      <c r="AE18">
        <f t="shared" si="2"/>
        <v>0</v>
      </c>
      <c r="AF18">
        <f t="shared" si="3"/>
        <v>0</v>
      </c>
      <c r="AG18">
        <f t="shared" si="4"/>
        <v>0</v>
      </c>
      <c r="AH18">
        <f t="shared" si="5"/>
        <v>0</v>
      </c>
      <c r="AI18">
        <f t="shared" si="6"/>
        <v>0</v>
      </c>
      <c r="AJ18">
        <f t="shared" si="7"/>
        <v>0</v>
      </c>
      <c r="AK18">
        <f t="shared" si="8"/>
        <v>0</v>
      </c>
      <c r="AL18">
        <f t="shared" si="9"/>
        <v>0</v>
      </c>
      <c r="AM18">
        <f t="shared" si="10"/>
        <v>0</v>
      </c>
      <c r="AN18">
        <f t="shared" si="11"/>
        <v>0</v>
      </c>
      <c r="AO18">
        <f t="shared" si="12"/>
        <v>0</v>
      </c>
      <c r="AP18">
        <f t="shared" si="13"/>
        <v>0</v>
      </c>
      <c r="AQ18">
        <f t="shared" si="14"/>
        <v>0</v>
      </c>
      <c r="AR18">
        <f t="shared" si="15"/>
        <v>0</v>
      </c>
      <c r="AS18">
        <f t="shared" si="16"/>
        <v>0</v>
      </c>
      <c r="AT18">
        <f t="shared" si="17"/>
        <v>0</v>
      </c>
      <c r="AU18">
        <f t="shared" si="18"/>
        <v>0</v>
      </c>
      <c r="AV18">
        <f t="shared" si="19"/>
        <v>0</v>
      </c>
      <c r="AW18">
        <f t="shared" si="20"/>
        <v>0</v>
      </c>
      <c r="AX18">
        <f t="shared" si="21"/>
        <v>0</v>
      </c>
      <c r="AY18">
        <f t="shared" si="48"/>
        <v>0</v>
      </c>
      <c r="BA18">
        <f t="shared" si="49"/>
        <v>6</v>
      </c>
      <c r="BB18">
        <f t="shared" si="22"/>
        <v>7</v>
      </c>
      <c r="BC18">
        <f t="shared" si="23"/>
        <v>7</v>
      </c>
      <c r="BD18">
        <f t="shared" si="24"/>
        <v>7</v>
      </c>
      <c r="BE18">
        <f t="shared" si="25"/>
        <v>7</v>
      </c>
      <c r="BF18">
        <f t="shared" si="26"/>
        <v>7</v>
      </c>
      <c r="BG18">
        <f t="shared" si="27"/>
        <v>7</v>
      </c>
      <c r="BH18">
        <f t="shared" si="28"/>
        <v>7</v>
      </c>
      <c r="BI18">
        <f t="shared" si="29"/>
        <v>6</v>
      </c>
      <c r="BJ18">
        <f t="shared" si="30"/>
        <v>6</v>
      </c>
      <c r="BK18">
        <f t="shared" si="31"/>
        <v>7</v>
      </c>
      <c r="BL18">
        <f t="shared" si="32"/>
        <v>7</v>
      </c>
      <c r="BM18">
        <f t="shared" si="33"/>
        <v>7</v>
      </c>
      <c r="BN18">
        <f t="shared" si="34"/>
        <v>7</v>
      </c>
      <c r="BO18">
        <f t="shared" si="35"/>
        <v>7</v>
      </c>
      <c r="BP18">
        <f t="shared" si="36"/>
        <v>7</v>
      </c>
      <c r="BQ18">
        <f t="shared" si="37"/>
        <v>7</v>
      </c>
      <c r="BR18">
        <f t="shared" si="38"/>
        <v>7</v>
      </c>
      <c r="BS18">
        <f t="shared" si="39"/>
        <v>7</v>
      </c>
      <c r="BT18">
        <f t="shared" si="40"/>
        <v>7</v>
      </c>
      <c r="BU18">
        <f t="shared" si="41"/>
        <v>7</v>
      </c>
      <c r="BV18">
        <f t="shared" si="42"/>
        <v>7</v>
      </c>
      <c r="BW18">
        <f t="shared" si="43"/>
        <v>7</v>
      </c>
      <c r="BX18">
        <f t="shared" si="44"/>
        <v>7</v>
      </c>
      <c r="BZ18">
        <f t="shared" si="50"/>
        <v>-1</v>
      </c>
      <c r="CA18">
        <f t="shared" si="51"/>
        <v>1</v>
      </c>
      <c r="CB18">
        <f t="shared" si="51"/>
        <v>0</v>
      </c>
      <c r="CC18">
        <f t="shared" si="51"/>
        <v>0</v>
      </c>
      <c r="CD18">
        <f t="shared" si="51"/>
        <v>0</v>
      </c>
      <c r="CE18">
        <f t="shared" si="51"/>
        <v>0</v>
      </c>
      <c r="CF18">
        <f t="shared" si="51"/>
        <v>0</v>
      </c>
      <c r="CG18">
        <f t="shared" si="51"/>
        <v>0</v>
      </c>
      <c r="CH18">
        <f t="shared" si="51"/>
        <v>-1</v>
      </c>
      <c r="CI18">
        <f t="shared" si="51"/>
        <v>0</v>
      </c>
      <c r="CJ18">
        <f t="shared" si="51"/>
        <v>1</v>
      </c>
      <c r="CK18">
        <f t="shared" si="51"/>
        <v>0</v>
      </c>
      <c r="CL18">
        <f t="shared" si="51"/>
        <v>0</v>
      </c>
      <c r="CM18">
        <f t="shared" si="51"/>
        <v>0</v>
      </c>
      <c r="CN18">
        <f t="shared" si="51"/>
        <v>0</v>
      </c>
      <c r="CO18">
        <f t="shared" si="46"/>
        <v>0</v>
      </c>
      <c r="CP18">
        <f t="shared" si="46"/>
        <v>0</v>
      </c>
      <c r="CQ18">
        <f t="shared" si="46"/>
        <v>0</v>
      </c>
      <c r="CR18">
        <f t="shared" si="46"/>
        <v>0</v>
      </c>
      <c r="CS18">
        <f t="shared" si="46"/>
        <v>0</v>
      </c>
      <c r="CT18">
        <f t="shared" si="46"/>
        <v>0</v>
      </c>
      <c r="CU18">
        <f t="shared" si="46"/>
        <v>0</v>
      </c>
      <c r="CV18">
        <f t="shared" si="46"/>
        <v>0</v>
      </c>
      <c r="CW18">
        <f t="shared" si="46"/>
        <v>0</v>
      </c>
    </row>
    <row r="19" spans="1:101">
      <c r="A19" s="60">
        <v>44941</v>
      </c>
      <c r="B19" s="426">
        <v>54269.3</v>
      </c>
      <c r="C19">
        <v>54011.9</v>
      </c>
      <c r="D19">
        <v>53986.6</v>
      </c>
      <c r="E19">
        <v>54095.8</v>
      </c>
      <c r="F19">
        <v>54137.5</v>
      </c>
      <c r="G19">
        <v>54219.1</v>
      </c>
      <c r="H19">
        <v>51358.2</v>
      </c>
      <c r="I19">
        <v>51403.7</v>
      </c>
      <c r="J19">
        <v>51370.6</v>
      </c>
      <c r="K19">
        <v>50847.8</v>
      </c>
      <c r="L19">
        <v>52702.7</v>
      </c>
      <c r="M19">
        <v>54909</v>
      </c>
      <c r="N19">
        <v>53163.1</v>
      </c>
      <c r="O19">
        <v>53283.9</v>
      </c>
      <c r="P19">
        <v>53300.4</v>
      </c>
      <c r="Q19">
        <v>53265.3</v>
      </c>
      <c r="R19">
        <v>53331.3</v>
      </c>
      <c r="S19">
        <v>53274.5</v>
      </c>
      <c r="T19">
        <v>53212.9</v>
      </c>
      <c r="U19">
        <v>53304</v>
      </c>
      <c r="V19">
        <v>53832.6</v>
      </c>
      <c r="W19">
        <v>53479.8</v>
      </c>
      <c r="X19">
        <v>54194</v>
      </c>
      <c r="Y19">
        <v>54212.9</v>
      </c>
      <c r="Z19" s="77">
        <v>1279166.9000000001</v>
      </c>
      <c r="AB19" s="52">
        <f t="shared" si="47"/>
        <v>0</v>
      </c>
      <c r="AC19" s="52">
        <f t="shared" si="0"/>
        <v>0</v>
      </c>
      <c r="AD19" s="52">
        <f t="shared" si="1"/>
        <v>0</v>
      </c>
      <c r="AE19" s="52">
        <f t="shared" si="2"/>
        <v>0</v>
      </c>
      <c r="AF19" s="52">
        <f t="shared" si="3"/>
        <v>0</v>
      </c>
      <c r="AG19" s="52">
        <f t="shared" si="4"/>
        <v>0</v>
      </c>
      <c r="AH19" s="52">
        <f t="shared" si="5"/>
        <v>0</v>
      </c>
      <c r="AI19" s="52">
        <f t="shared" si="6"/>
        <v>0</v>
      </c>
      <c r="AJ19" s="52">
        <f t="shared" si="7"/>
        <v>0</v>
      </c>
      <c r="AK19" s="52">
        <f t="shared" si="8"/>
        <v>0</v>
      </c>
      <c r="AL19" s="52">
        <f t="shared" si="9"/>
        <v>0</v>
      </c>
      <c r="AM19" s="52">
        <f t="shared" si="10"/>
        <v>0</v>
      </c>
      <c r="AN19" s="52">
        <f t="shared" si="11"/>
        <v>0</v>
      </c>
      <c r="AO19" s="52">
        <f t="shared" si="12"/>
        <v>0</v>
      </c>
      <c r="AP19" s="52">
        <f t="shared" si="13"/>
        <v>0</v>
      </c>
      <c r="AQ19" s="52">
        <f t="shared" si="14"/>
        <v>0</v>
      </c>
      <c r="AR19" s="52">
        <f t="shared" si="15"/>
        <v>0</v>
      </c>
      <c r="AS19" s="52">
        <f t="shared" si="16"/>
        <v>0</v>
      </c>
      <c r="AT19" s="52">
        <f t="shared" si="17"/>
        <v>0</v>
      </c>
      <c r="AU19" s="52">
        <f t="shared" si="18"/>
        <v>0</v>
      </c>
      <c r="AV19" s="52">
        <f t="shared" si="19"/>
        <v>0</v>
      </c>
      <c r="AW19" s="52">
        <f t="shared" si="20"/>
        <v>0</v>
      </c>
      <c r="AX19" s="52">
        <f t="shared" si="21"/>
        <v>0</v>
      </c>
      <c r="AY19" s="52">
        <f t="shared" si="48"/>
        <v>0</v>
      </c>
      <c r="BA19" s="52">
        <f t="shared" si="49"/>
        <v>7</v>
      </c>
      <c r="BB19" s="52">
        <f t="shared" si="22"/>
        <v>7</v>
      </c>
      <c r="BC19" s="52">
        <f t="shared" si="23"/>
        <v>7</v>
      </c>
      <c r="BD19" s="52">
        <f t="shared" si="24"/>
        <v>7</v>
      </c>
      <c r="BE19" s="52">
        <f t="shared" si="25"/>
        <v>7</v>
      </c>
      <c r="BF19" s="52">
        <f t="shared" si="26"/>
        <v>7</v>
      </c>
      <c r="BG19" s="52">
        <f t="shared" si="27"/>
        <v>6</v>
      </c>
      <c r="BH19" s="52">
        <f t="shared" si="28"/>
        <v>6</v>
      </c>
      <c r="BI19" s="52">
        <f t="shared" si="29"/>
        <v>6</v>
      </c>
      <c r="BJ19" s="52">
        <f t="shared" si="30"/>
        <v>6</v>
      </c>
      <c r="BK19" s="52">
        <f t="shared" si="31"/>
        <v>6</v>
      </c>
      <c r="BL19" s="52">
        <f t="shared" si="32"/>
        <v>7</v>
      </c>
      <c r="BM19" s="52">
        <f t="shared" si="33"/>
        <v>7</v>
      </c>
      <c r="BN19" s="52">
        <f t="shared" si="34"/>
        <v>7</v>
      </c>
      <c r="BO19" s="52">
        <f t="shared" si="35"/>
        <v>7</v>
      </c>
      <c r="BP19" s="52">
        <f t="shared" si="36"/>
        <v>7</v>
      </c>
      <c r="BQ19" s="52">
        <f t="shared" si="37"/>
        <v>7</v>
      </c>
      <c r="BR19" s="52">
        <f t="shared" si="38"/>
        <v>7</v>
      </c>
      <c r="BS19" s="52">
        <f t="shared" si="39"/>
        <v>7</v>
      </c>
      <c r="BT19" s="52">
        <f t="shared" si="40"/>
        <v>7</v>
      </c>
      <c r="BU19" s="52">
        <f t="shared" si="41"/>
        <v>7</v>
      </c>
      <c r="BV19" s="52">
        <f t="shared" si="42"/>
        <v>7</v>
      </c>
      <c r="BW19" s="52">
        <f t="shared" si="43"/>
        <v>7</v>
      </c>
      <c r="BX19" s="52">
        <f t="shared" si="44"/>
        <v>7</v>
      </c>
      <c r="BZ19" s="52">
        <f t="shared" si="50"/>
        <v>0</v>
      </c>
      <c r="CA19" s="52">
        <f t="shared" si="51"/>
        <v>0</v>
      </c>
      <c r="CB19" s="52">
        <f t="shared" si="51"/>
        <v>0</v>
      </c>
      <c r="CC19" s="52">
        <f t="shared" si="51"/>
        <v>0</v>
      </c>
      <c r="CD19" s="52">
        <f t="shared" si="51"/>
        <v>0</v>
      </c>
      <c r="CE19" s="52">
        <f t="shared" si="51"/>
        <v>0</v>
      </c>
      <c r="CF19" s="52">
        <f t="shared" si="51"/>
        <v>-1</v>
      </c>
      <c r="CG19" s="52">
        <f t="shared" si="51"/>
        <v>0</v>
      </c>
      <c r="CH19" s="52">
        <f t="shared" si="51"/>
        <v>0</v>
      </c>
      <c r="CI19" s="52">
        <f t="shared" si="51"/>
        <v>0</v>
      </c>
      <c r="CJ19" s="52">
        <f t="shared" si="51"/>
        <v>0</v>
      </c>
      <c r="CK19" s="52">
        <f t="shared" si="51"/>
        <v>1</v>
      </c>
      <c r="CL19" s="52">
        <f t="shared" si="51"/>
        <v>0</v>
      </c>
      <c r="CM19" s="52">
        <f t="shared" si="51"/>
        <v>0</v>
      </c>
      <c r="CN19" s="52">
        <f t="shared" si="51"/>
        <v>0</v>
      </c>
      <c r="CO19" s="52">
        <f t="shared" si="46"/>
        <v>0</v>
      </c>
      <c r="CP19" s="52">
        <f t="shared" si="46"/>
        <v>0</v>
      </c>
      <c r="CQ19" s="52">
        <f t="shared" si="46"/>
        <v>0</v>
      </c>
      <c r="CR19" s="52">
        <f t="shared" si="46"/>
        <v>0</v>
      </c>
      <c r="CS19" s="52">
        <f t="shared" si="46"/>
        <v>0</v>
      </c>
      <c r="CT19" s="52">
        <f t="shared" si="46"/>
        <v>0</v>
      </c>
      <c r="CU19" s="52">
        <f t="shared" si="46"/>
        <v>0</v>
      </c>
      <c r="CV19" s="52">
        <f t="shared" si="46"/>
        <v>0</v>
      </c>
      <c r="CW19" s="52">
        <f t="shared" si="46"/>
        <v>0</v>
      </c>
    </row>
    <row r="20" spans="1:101">
      <c r="A20" s="60">
        <v>44942</v>
      </c>
      <c r="B20" s="426">
        <v>61262.6</v>
      </c>
      <c r="C20">
        <v>61546.400000000001</v>
      </c>
      <c r="D20">
        <v>61507.1</v>
      </c>
      <c r="E20">
        <v>61456</v>
      </c>
      <c r="F20">
        <v>61683.1</v>
      </c>
      <c r="G20">
        <v>62271</v>
      </c>
      <c r="H20">
        <v>60543.199999999997</v>
      </c>
      <c r="I20">
        <v>60566.8</v>
      </c>
      <c r="J20">
        <v>60604.9</v>
      </c>
      <c r="K20">
        <v>60527.3</v>
      </c>
      <c r="L20">
        <v>60609.3</v>
      </c>
      <c r="M20">
        <v>60549.9</v>
      </c>
      <c r="N20">
        <v>61293.2</v>
      </c>
      <c r="O20">
        <v>60078.1</v>
      </c>
      <c r="P20">
        <v>60147.7</v>
      </c>
      <c r="Q20">
        <v>60814.9</v>
      </c>
      <c r="R20">
        <v>62531.5</v>
      </c>
      <c r="S20">
        <v>62535.3</v>
      </c>
      <c r="T20">
        <v>62473.8</v>
      </c>
      <c r="U20">
        <v>62385.8</v>
      </c>
      <c r="V20">
        <v>61854</v>
      </c>
      <c r="W20">
        <v>61258.7</v>
      </c>
      <c r="X20">
        <v>61122.3</v>
      </c>
      <c r="Y20">
        <v>61455.9</v>
      </c>
      <c r="Z20" s="77">
        <v>1471078.8</v>
      </c>
      <c r="AB20">
        <f t="shared" si="47"/>
        <v>0</v>
      </c>
      <c r="AC20">
        <f t="shared" si="0"/>
        <v>0</v>
      </c>
      <c r="AD20">
        <f t="shared" si="1"/>
        <v>0</v>
      </c>
      <c r="AE20">
        <f t="shared" si="2"/>
        <v>0</v>
      </c>
      <c r="AF20">
        <f t="shared" si="3"/>
        <v>0</v>
      </c>
      <c r="AG20">
        <f t="shared" si="4"/>
        <v>0</v>
      </c>
      <c r="AH20">
        <f t="shared" si="5"/>
        <v>0</v>
      </c>
      <c r="AI20">
        <f t="shared" si="6"/>
        <v>0</v>
      </c>
      <c r="AJ20">
        <f t="shared" si="7"/>
        <v>0</v>
      </c>
      <c r="AK20">
        <f t="shared" si="8"/>
        <v>0</v>
      </c>
      <c r="AL20">
        <f t="shared" si="9"/>
        <v>0</v>
      </c>
      <c r="AM20">
        <f t="shared" si="10"/>
        <v>0</v>
      </c>
      <c r="AN20">
        <f t="shared" si="11"/>
        <v>0</v>
      </c>
      <c r="AO20">
        <f t="shared" si="12"/>
        <v>0</v>
      </c>
      <c r="AP20">
        <f t="shared" si="13"/>
        <v>0</v>
      </c>
      <c r="AQ20">
        <f t="shared" si="14"/>
        <v>0</v>
      </c>
      <c r="AR20">
        <f t="shared" si="15"/>
        <v>0</v>
      </c>
      <c r="AS20">
        <f t="shared" si="16"/>
        <v>0</v>
      </c>
      <c r="AT20">
        <f t="shared" si="17"/>
        <v>0</v>
      </c>
      <c r="AU20">
        <f t="shared" si="18"/>
        <v>0</v>
      </c>
      <c r="AV20">
        <f t="shared" si="19"/>
        <v>0</v>
      </c>
      <c r="AW20">
        <f t="shared" si="20"/>
        <v>0</v>
      </c>
      <c r="AX20">
        <f t="shared" si="21"/>
        <v>0</v>
      </c>
      <c r="AY20">
        <f t="shared" si="48"/>
        <v>0</v>
      </c>
      <c r="BA20">
        <f t="shared" si="49"/>
        <v>7</v>
      </c>
      <c r="BB20">
        <f t="shared" si="22"/>
        <v>7</v>
      </c>
      <c r="BC20">
        <f t="shared" si="23"/>
        <v>7</v>
      </c>
      <c r="BD20">
        <f t="shared" si="24"/>
        <v>7</v>
      </c>
      <c r="BE20">
        <f t="shared" si="25"/>
        <v>8</v>
      </c>
      <c r="BF20">
        <f t="shared" si="26"/>
        <v>8</v>
      </c>
      <c r="BG20">
        <f t="shared" si="27"/>
        <v>7</v>
      </c>
      <c r="BH20">
        <f t="shared" si="28"/>
        <v>7</v>
      </c>
      <c r="BI20">
        <f t="shared" si="29"/>
        <v>7</v>
      </c>
      <c r="BJ20">
        <f t="shared" si="30"/>
        <v>7</v>
      </c>
      <c r="BK20">
        <f t="shared" si="31"/>
        <v>7</v>
      </c>
      <c r="BL20">
        <f t="shared" si="32"/>
        <v>7</v>
      </c>
      <c r="BM20">
        <f t="shared" si="33"/>
        <v>7</v>
      </c>
      <c r="BN20">
        <f t="shared" si="34"/>
        <v>7</v>
      </c>
      <c r="BO20">
        <f t="shared" si="35"/>
        <v>7</v>
      </c>
      <c r="BP20">
        <f t="shared" si="36"/>
        <v>7</v>
      </c>
      <c r="BQ20">
        <f t="shared" si="37"/>
        <v>8</v>
      </c>
      <c r="BR20">
        <f t="shared" si="38"/>
        <v>8</v>
      </c>
      <c r="BS20">
        <f t="shared" si="39"/>
        <v>8</v>
      </c>
      <c r="BT20">
        <f t="shared" si="40"/>
        <v>8</v>
      </c>
      <c r="BU20">
        <f t="shared" si="41"/>
        <v>8</v>
      </c>
      <c r="BV20">
        <f t="shared" si="42"/>
        <v>7</v>
      </c>
      <c r="BW20">
        <f t="shared" si="43"/>
        <v>7</v>
      </c>
      <c r="BX20">
        <f t="shared" si="44"/>
        <v>7</v>
      </c>
      <c r="BZ20">
        <f t="shared" si="50"/>
        <v>0</v>
      </c>
      <c r="CA20">
        <f t="shared" si="51"/>
        <v>0</v>
      </c>
      <c r="CB20">
        <f t="shared" si="51"/>
        <v>0</v>
      </c>
      <c r="CC20">
        <f t="shared" si="51"/>
        <v>0</v>
      </c>
      <c r="CD20">
        <f t="shared" si="51"/>
        <v>1</v>
      </c>
      <c r="CE20">
        <f t="shared" si="51"/>
        <v>0</v>
      </c>
      <c r="CF20">
        <f t="shared" si="51"/>
        <v>-1</v>
      </c>
      <c r="CG20">
        <f t="shared" si="51"/>
        <v>0</v>
      </c>
      <c r="CH20">
        <f t="shared" si="51"/>
        <v>0</v>
      </c>
      <c r="CI20">
        <f t="shared" si="51"/>
        <v>0</v>
      </c>
      <c r="CJ20">
        <f t="shared" si="51"/>
        <v>0</v>
      </c>
      <c r="CK20">
        <f t="shared" si="51"/>
        <v>0</v>
      </c>
      <c r="CL20">
        <f t="shared" si="51"/>
        <v>0</v>
      </c>
      <c r="CM20">
        <f t="shared" si="51"/>
        <v>0</v>
      </c>
      <c r="CN20">
        <f t="shared" si="51"/>
        <v>0</v>
      </c>
      <c r="CO20">
        <f t="shared" si="46"/>
        <v>0</v>
      </c>
      <c r="CP20">
        <f t="shared" si="46"/>
        <v>1</v>
      </c>
      <c r="CQ20">
        <f t="shared" si="46"/>
        <v>0</v>
      </c>
      <c r="CR20">
        <f t="shared" si="46"/>
        <v>0</v>
      </c>
      <c r="CS20">
        <f t="shared" si="46"/>
        <v>0</v>
      </c>
      <c r="CT20">
        <f t="shared" si="46"/>
        <v>0</v>
      </c>
      <c r="CU20">
        <f t="shared" si="46"/>
        <v>-1</v>
      </c>
      <c r="CV20">
        <f t="shared" si="46"/>
        <v>0</v>
      </c>
      <c r="CW20">
        <f t="shared" si="46"/>
        <v>0</v>
      </c>
    </row>
    <row r="21" spans="1:101">
      <c r="A21" s="60">
        <v>44943</v>
      </c>
      <c r="B21" s="426">
        <v>61204.9</v>
      </c>
      <c r="C21">
        <v>61337.599999999999</v>
      </c>
      <c r="D21">
        <v>61358</v>
      </c>
      <c r="E21">
        <v>61342.3</v>
      </c>
      <c r="F21">
        <v>61308.800000000003</v>
      </c>
      <c r="G21">
        <v>61299.8</v>
      </c>
      <c r="H21">
        <v>61334.8</v>
      </c>
      <c r="I21">
        <v>61357.2</v>
      </c>
      <c r="J21">
        <v>61129.3</v>
      </c>
      <c r="K21">
        <v>61455.7</v>
      </c>
      <c r="L21">
        <v>61390.1</v>
      </c>
      <c r="M21">
        <v>61359.9</v>
      </c>
      <c r="N21">
        <v>61329.8</v>
      </c>
      <c r="O21">
        <v>61395.7</v>
      </c>
      <c r="P21">
        <v>60987.6</v>
      </c>
      <c r="Q21">
        <v>61052</v>
      </c>
      <c r="R21">
        <v>61337.2</v>
      </c>
      <c r="S21">
        <v>61102.6</v>
      </c>
      <c r="T21">
        <v>61033.7</v>
      </c>
      <c r="U21">
        <v>60976.9</v>
      </c>
      <c r="V21">
        <v>60941.4</v>
      </c>
      <c r="W21">
        <v>60975.6</v>
      </c>
      <c r="X21">
        <v>61011.6</v>
      </c>
      <c r="Y21">
        <v>61011</v>
      </c>
      <c r="Z21" s="77">
        <v>1469033.4999999998</v>
      </c>
      <c r="AB21" s="52">
        <f t="shared" si="47"/>
        <v>0</v>
      </c>
      <c r="AC21" s="52">
        <f t="shared" si="0"/>
        <v>0</v>
      </c>
      <c r="AD21" s="52">
        <f t="shared" si="1"/>
        <v>0</v>
      </c>
      <c r="AE21" s="52">
        <f t="shared" si="2"/>
        <v>0</v>
      </c>
      <c r="AF21" s="52">
        <f t="shared" si="3"/>
        <v>0</v>
      </c>
      <c r="AG21" s="52">
        <f t="shared" si="4"/>
        <v>0</v>
      </c>
      <c r="AH21" s="52">
        <f t="shared" si="5"/>
        <v>0</v>
      </c>
      <c r="AI21" s="52">
        <f t="shared" si="6"/>
        <v>0</v>
      </c>
      <c r="AJ21" s="52">
        <f t="shared" si="7"/>
        <v>0</v>
      </c>
      <c r="AK21" s="52">
        <f t="shared" si="8"/>
        <v>0</v>
      </c>
      <c r="AL21" s="52">
        <f t="shared" si="9"/>
        <v>0</v>
      </c>
      <c r="AM21" s="52">
        <f t="shared" si="10"/>
        <v>0</v>
      </c>
      <c r="AN21" s="52">
        <f t="shared" si="11"/>
        <v>0</v>
      </c>
      <c r="AO21" s="52">
        <f t="shared" si="12"/>
        <v>0</v>
      </c>
      <c r="AP21" s="52">
        <f t="shared" si="13"/>
        <v>0</v>
      </c>
      <c r="AQ21" s="52">
        <f t="shared" si="14"/>
        <v>0</v>
      </c>
      <c r="AR21" s="52">
        <f t="shared" si="15"/>
        <v>0</v>
      </c>
      <c r="AS21" s="52">
        <f t="shared" si="16"/>
        <v>0</v>
      </c>
      <c r="AT21" s="52">
        <f t="shared" si="17"/>
        <v>0</v>
      </c>
      <c r="AU21" s="52">
        <f t="shared" si="18"/>
        <v>0</v>
      </c>
      <c r="AV21" s="52">
        <f t="shared" si="19"/>
        <v>0</v>
      </c>
      <c r="AW21" s="52">
        <f t="shared" si="20"/>
        <v>0</v>
      </c>
      <c r="AX21" s="52">
        <f t="shared" si="21"/>
        <v>0</v>
      </c>
      <c r="AY21" s="52">
        <f t="shared" si="48"/>
        <v>0</v>
      </c>
      <c r="BA21" s="52">
        <f t="shared" si="49"/>
        <v>7</v>
      </c>
      <c r="BB21" s="52">
        <f t="shared" si="22"/>
        <v>7</v>
      </c>
      <c r="BC21" s="52">
        <f t="shared" si="23"/>
        <v>7</v>
      </c>
      <c r="BD21" s="52">
        <f t="shared" si="24"/>
        <v>7</v>
      </c>
      <c r="BE21" s="52">
        <f t="shared" si="25"/>
        <v>7</v>
      </c>
      <c r="BF21" s="52">
        <f t="shared" si="26"/>
        <v>7</v>
      </c>
      <c r="BG21" s="52">
        <f t="shared" si="27"/>
        <v>7</v>
      </c>
      <c r="BH21" s="52">
        <f t="shared" si="28"/>
        <v>7</v>
      </c>
      <c r="BI21" s="52">
        <f t="shared" si="29"/>
        <v>7</v>
      </c>
      <c r="BJ21" s="52">
        <f t="shared" si="30"/>
        <v>7</v>
      </c>
      <c r="BK21" s="52">
        <f t="shared" si="31"/>
        <v>7</v>
      </c>
      <c r="BL21" s="52">
        <f t="shared" si="32"/>
        <v>7</v>
      </c>
      <c r="BM21" s="52">
        <f t="shared" si="33"/>
        <v>7</v>
      </c>
      <c r="BN21" s="52">
        <f t="shared" si="34"/>
        <v>7</v>
      </c>
      <c r="BO21" s="52">
        <f t="shared" si="35"/>
        <v>7</v>
      </c>
      <c r="BP21" s="52">
        <f t="shared" si="36"/>
        <v>7</v>
      </c>
      <c r="BQ21" s="52">
        <f t="shared" si="37"/>
        <v>7</v>
      </c>
      <c r="BR21" s="52">
        <f t="shared" si="38"/>
        <v>7</v>
      </c>
      <c r="BS21" s="52">
        <f t="shared" si="39"/>
        <v>7</v>
      </c>
      <c r="BT21" s="52">
        <f t="shared" si="40"/>
        <v>7</v>
      </c>
      <c r="BU21" s="52">
        <f t="shared" si="41"/>
        <v>7</v>
      </c>
      <c r="BV21" s="52">
        <f t="shared" si="42"/>
        <v>7</v>
      </c>
      <c r="BW21" s="52">
        <f t="shared" si="43"/>
        <v>7</v>
      </c>
      <c r="BX21" s="52">
        <f t="shared" si="44"/>
        <v>7</v>
      </c>
      <c r="BZ21" s="52">
        <f t="shared" si="50"/>
        <v>0</v>
      </c>
      <c r="CA21" s="52">
        <f t="shared" si="51"/>
        <v>0</v>
      </c>
      <c r="CB21" s="52">
        <f t="shared" si="51"/>
        <v>0</v>
      </c>
      <c r="CC21" s="52">
        <f t="shared" si="51"/>
        <v>0</v>
      </c>
      <c r="CD21" s="52">
        <f t="shared" si="51"/>
        <v>0</v>
      </c>
      <c r="CE21" s="52">
        <f t="shared" si="51"/>
        <v>0</v>
      </c>
      <c r="CF21" s="52">
        <f t="shared" si="51"/>
        <v>0</v>
      </c>
      <c r="CG21" s="52">
        <f t="shared" si="51"/>
        <v>0</v>
      </c>
      <c r="CH21" s="52">
        <f t="shared" si="51"/>
        <v>0</v>
      </c>
      <c r="CI21" s="52">
        <f t="shared" si="51"/>
        <v>0</v>
      </c>
      <c r="CJ21" s="52">
        <f t="shared" si="51"/>
        <v>0</v>
      </c>
      <c r="CK21" s="52">
        <f t="shared" si="51"/>
        <v>0</v>
      </c>
      <c r="CL21" s="52">
        <f t="shared" si="51"/>
        <v>0</v>
      </c>
      <c r="CM21" s="52">
        <f t="shared" si="51"/>
        <v>0</v>
      </c>
      <c r="CN21" s="52">
        <f t="shared" si="51"/>
        <v>0</v>
      </c>
      <c r="CO21" s="52">
        <f t="shared" si="51"/>
        <v>0</v>
      </c>
      <c r="CP21" s="52">
        <f t="shared" si="51"/>
        <v>0</v>
      </c>
      <c r="CQ21" s="52">
        <f t="shared" ref="CO21:CW36" si="52">BR21-BQ21</f>
        <v>0</v>
      </c>
      <c r="CR21" s="52">
        <f t="shared" si="52"/>
        <v>0</v>
      </c>
      <c r="CS21" s="52">
        <f t="shared" si="52"/>
        <v>0</v>
      </c>
      <c r="CT21" s="52">
        <f t="shared" si="52"/>
        <v>0</v>
      </c>
      <c r="CU21" s="52">
        <f t="shared" si="52"/>
        <v>0</v>
      </c>
      <c r="CV21" s="52">
        <f t="shared" si="52"/>
        <v>0</v>
      </c>
      <c r="CW21" s="52">
        <f t="shared" si="52"/>
        <v>0</v>
      </c>
    </row>
    <row r="22" spans="1:101">
      <c r="A22" s="60">
        <v>44944</v>
      </c>
      <c r="B22" s="426">
        <v>54301</v>
      </c>
      <c r="C22">
        <v>54399</v>
      </c>
      <c r="D22">
        <v>54188.5</v>
      </c>
      <c r="E22">
        <v>54235.6</v>
      </c>
      <c r="F22">
        <v>16362.7</v>
      </c>
      <c r="G22">
        <v>969.5</v>
      </c>
      <c r="H22">
        <v>6814.6</v>
      </c>
      <c r="I22">
        <v>17136.8</v>
      </c>
      <c r="J22">
        <v>44748.9</v>
      </c>
      <c r="K22">
        <v>50766.9</v>
      </c>
      <c r="L22">
        <v>53315.5</v>
      </c>
      <c r="M22">
        <v>54792.7</v>
      </c>
      <c r="N22">
        <v>54770</v>
      </c>
      <c r="O22">
        <v>54824.3</v>
      </c>
      <c r="P22">
        <v>54774.5</v>
      </c>
      <c r="Q22">
        <v>54162.5</v>
      </c>
      <c r="R22">
        <v>53986</v>
      </c>
      <c r="S22">
        <v>54054.7</v>
      </c>
      <c r="T22">
        <v>54025.3</v>
      </c>
      <c r="U22">
        <v>54086.3</v>
      </c>
      <c r="V22">
        <v>54016.800000000003</v>
      </c>
      <c r="W22">
        <v>53959.199999999997</v>
      </c>
      <c r="X22">
        <v>54149.4</v>
      </c>
      <c r="Y22">
        <v>53785.5</v>
      </c>
      <c r="Z22" s="77">
        <v>1112626.2000000002</v>
      </c>
      <c r="AB22">
        <f t="shared" si="47"/>
        <v>0</v>
      </c>
      <c r="AC22">
        <f t="shared" si="0"/>
        <v>0</v>
      </c>
      <c r="AD22">
        <f t="shared" si="1"/>
        <v>0</v>
      </c>
      <c r="AE22">
        <f t="shared" si="2"/>
        <v>0</v>
      </c>
      <c r="AF22">
        <f t="shared" si="3"/>
        <v>0</v>
      </c>
      <c r="AG22">
        <f t="shared" si="4"/>
        <v>0</v>
      </c>
      <c r="AH22">
        <f t="shared" si="5"/>
        <v>0</v>
      </c>
      <c r="AI22">
        <f t="shared" si="6"/>
        <v>0</v>
      </c>
      <c r="AJ22">
        <f t="shared" si="7"/>
        <v>0</v>
      </c>
      <c r="AK22">
        <f t="shared" si="8"/>
        <v>0</v>
      </c>
      <c r="AL22">
        <f t="shared" si="9"/>
        <v>0</v>
      </c>
      <c r="AM22">
        <f t="shared" si="10"/>
        <v>0</v>
      </c>
      <c r="AN22">
        <f t="shared" si="11"/>
        <v>0</v>
      </c>
      <c r="AO22">
        <f t="shared" si="12"/>
        <v>0</v>
      </c>
      <c r="AP22">
        <f t="shared" si="13"/>
        <v>0</v>
      </c>
      <c r="AQ22">
        <f t="shared" si="14"/>
        <v>0</v>
      </c>
      <c r="AR22">
        <f t="shared" si="15"/>
        <v>0</v>
      </c>
      <c r="AS22">
        <f t="shared" si="16"/>
        <v>0</v>
      </c>
      <c r="AT22">
        <f t="shared" si="17"/>
        <v>0</v>
      </c>
      <c r="AU22">
        <f t="shared" si="18"/>
        <v>0</v>
      </c>
      <c r="AV22">
        <f t="shared" si="19"/>
        <v>0</v>
      </c>
      <c r="AW22">
        <f t="shared" si="20"/>
        <v>0</v>
      </c>
      <c r="AX22">
        <f t="shared" si="21"/>
        <v>0</v>
      </c>
      <c r="AY22">
        <f t="shared" si="48"/>
        <v>0</v>
      </c>
      <c r="BA22">
        <f t="shared" si="49"/>
        <v>7</v>
      </c>
      <c r="BB22">
        <f t="shared" si="22"/>
        <v>7</v>
      </c>
      <c r="BC22">
        <f t="shared" si="23"/>
        <v>7</v>
      </c>
      <c r="BD22">
        <f t="shared" si="24"/>
        <v>7</v>
      </c>
      <c r="BE22">
        <f t="shared" si="25"/>
        <v>2</v>
      </c>
      <c r="BF22">
        <f t="shared" si="26"/>
        <v>1</v>
      </c>
      <c r="BG22">
        <f t="shared" si="27"/>
        <v>1</v>
      </c>
      <c r="BH22">
        <f t="shared" si="28"/>
        <v>2</v>
      </c>
      <c r="BI22">
        <f t="shared" si="29"/>
        <v>6</v>
      </c>
      <c r="BJ22">
        <f t="shared" si="30"/>
        <v>6</v>
      </c>
      <c r="BK22">
        <f t="shared" si="31"/>
        <v>7</v>
      </c>
      <c r="BL22">
        <f t="shared" si="32"/>
        <v>7</v>
      </c>
      <c r="BM22">
        <f t="shared" si="33"/>
        <v>7</v>
      </c>
      <c r="BN22">
        <f t="shared" si="34"/>
        <v>7</v>
      </c>
      <c r="BO22">
        <f t="shared" si="35"/>
        <v>7</v>
      </c>
      <c r="BP22">
        <f t="shared" si="36"/>
        <v>7</v>
      </c>
      <c r="BQ22">
        <f t="shared" si="37"/>
        <v>7</v>
      </c>
      <c r="BR22">
        <f t="shared" si="38"/>
        <v>7</v>
      </c>
      <c r="BS22">
        <f t="shared" si="39"/>
        <v>7</v>
      </c>
      <c r="BT22">
        <f t="shared" si="40"/>
        <v>7</v>
      </c>
      <c r="BU22">
        <f t="shared" si="41"/>
        <v>7</v>
      </c>
      <c r="BV22">
        <f t="shared" si="42"/>
        <v>7</v>
      </c>
      <c r="BW22">
        <f t="shared" si="43"/>
        <v>7</v>
      </c>
      <c r="BX22">
        <f t="shared" si="44"/>
        <v>7</v>
      </c>
      <c r="BZ22">
        <f t="shared" si="50"/>
        <v>0</v>
      </c>
      <c r="CA22">
        <f t="shared" si="51"/>
        <v>0</v>
      </c>
      <c r="CB22">
        <f t="shared" si="51"/>
        <v>0</v>
      </c>
      <c r="CC22">
        <f t="shared" si="51"/>
        <v>0</v>
      </c>
      <c r="CD22">
        <f t="shared" si="51"/>
        <v>-5</v>
      </c>
      <c r="CE22">
        <f t="shared" si="51"/>
        <v>-1</v>
      </c>
      <c r="CF22">
        <f t="shared" si="51"/>
        <v>0</v>
      </c>
      <c r="CG22">
        <f t="shared" si="51"/>
        <v>1</v>
      </c>
      <c r="CH22">
        <f t="shared" si="51"/>
        <v>4</v>
      </c>
      <c r="CI22">
        <f t="shared" si="51"/>
        <v>0</v>
      </c>
      <c r="CJ22">
        <f t="shared" si="51"/>
        <v>1</v>
      </c>
      <c r="CK22">
        <f t="shared" si="51"/>
        <v>0</v>
      </c>
      <c r="CL22">
        <f t="shared" si="51"/>
        <v>0</v>
      </c>
      <c r="CM22">
        <f t="shared" si="51"/>
        <v>0</v>
      </c>
      <c r="CN22">
        <f t="shared" si="51"/>
        <v>0</v>
      </c>
      <c r="CO22">
        <f t="shared" si="52"/>
        <v>0</v>
      </c>
      <c r="CP22">
        <f t="shared" si="52"/>
        <v>0</v>
      </c>
      <c r="CQ22">
        <f t="shared" si="52"/>
        <v>0</v>
      </c>
      <c r="CR22">
        <f t="shared" si="52"/>
        <v>0</v>
      </c>
      <c r="CS22">
        <f t="shared" si="52"/>
        <v>0</v>
      </c>
      <c r="CT22">
        <f t="shared" si="52"/>
        <v>0</v>
      </c>
      <c r="CU22">
        <f t="shared" si="52"/>
        <v>0</v>
      </c>
      <c r="CV22">
        <f t="shared" si="52"/>
        <v>0</v>
      </c>
      <c r="CW22">
        <f t="shared" si="52"/>
        <v>0</v>
      </c>
    </row>
    <row r="23" spans="1:101">
      <c r="A23" s="60">
        <v>44945</v>
      </c>
      <c r="B23" s="426">
        <v>53918.5</v>
      </c>
      <c r="C23">
        <v>54103.7</v>
      </c>
      <c r="D23">
        <v>54047.9</v>
      </c>
      <c r="E23">
        <v>53776.6</v>
      </c>
      <c r="F23">
        <v>16647.2</v>
      </c>
      <c r="G23">
        <v>358.7</v>
      </c>
      <c r="H23">
        <v>6042</v>
      </c>
      <c r="I23">
        <v>17463</v>
      </c>
      <c r="J23">
        <v>41462.800000000003</v>
      </c>
      <c r="K23">
        <v>47951</v>
      </c>
      <c r="L23">
        <v>47966.3</v>
      </c>
      <c r="M23">
        <v>48247.4</v>
      </c>
      <c r="N23">
        <v>51945.7</v>
      </c>
      <c r="O23">
        <v>51125.3</v>
      </c>
      <c r="P23">
        <v>53560.5</v>
      </c>
      <c r="Q23">
        <v>53817</v>
      </c>
      <c r="R23">
        <v>53755.3</v>
      </c>
      <c r="S23">
        <v>53277.1</v>
      </c>
      <c r="T23">
        <v>53355.5</v>
      </c>
      <c r="U23">
        <v>53266.2</v>
      </c>
      <c r="V23">
        <v>53154.5</v>
      </c>
      <c r="W23">
        <v>53028.1</v>
      </c>
      <c r="X23">
        <v>53004.2</v>
      </c>
      <c r="Y23">
        <v>52959.5</v>
      </c>
      <c r="Z23" s="77">
        <v>1078234</v>
      </c>
      <c r="AB23" s="52">
        <f t="shared" si="47"/>
        <v>0</v>
      </c>
      <c r="AC23" s="52">
        <f t="shared" si="0"/>
        <v>0</v>
      </c>
      <c r="AD23" s="52">
        <f t="shared" si="1"/>
        <v>0</v>
      </c>
      <c r="AE23" s="52">
        <f t="shared" si="2"/>
        <v>0</v>
      </c>
      <c r="AF23" s="52">
        <f t="shared" si="3"/>
        <v>0</v>
      </c>
      <c r="AG23" s="52">
        <f t="shared" si="4"/>
        <v>0</v>
      </c>
      <c r="AH23" s="52">
        <f t="shared" si="5"/>
        <v>0</v>
      </c>
      <c r="AI23" s="52">
        <f t="shared" si="6"/>
        <v>0</v>
      </c>
      <c r="AJ23" s="52">
        <f t="shared" si="7"/>
        <v>0</v>
      </c>
      <c r="AK23" s="52">
        <f t="shared" si="8"/>
        <v>0</v>
      </c>
      <c r="AL23" s="52">
        <f t="shared" si="9"/>
        <v>0</v>
      </c>
      <c r="AM23" s="52">
        <f t="shared" si="10"/>
        <v>0</v>
      </c>
      <c r="AN23" s="52">
        <f t="shared" si="11"/>
        <v>0</v>
      </c>
      <c r="AO23" s="52">
        <f t="shared" si="12"/>
        <v>0</v>
      </c>
      <c r="AP23" s="52">
        <f t="shared" si="13"/>
        <v>0</v>
      </c>
      <c r="AQ23" s="52">
        <f t="shared" si="14"/>
        <v>0</v>
      </c>
      <c r="AR23" s="52">
        <f t="shared" si="15"/>
        <v>0</v>
      </c>
      <c r="AS23" s="52">
        <f t="shared" si="16"/>
        <v>0</v>
      </c>
      <c r="AT23" s="52">
        <f t="shared" si="17"/>
        <v>0</v>
      </c>
      <c r="AU23" s="52">
        <f t="shared" si="18"/>
        <v>0</v>
      </c>
      <c r="AV23" s="52">
        <f t="shared" si="19"/>
        <v>0</v>
      </c>
      <c r="AW23" s="52">
        <f t="shared" si="20"/>
        <v>0</v>
      </c>
      <c r="AX23" s="52">
        <f t="shared" si="21"/>
        <v>0</v>
      </c>
      <c r="AY23" s="52">
        <f t="shared" si="48"/>
        <v>0</v>
      </c>
      <c r="BA23" s="52">
        <f t="shared" si="49"/>
        <v>7</v>
      </c>
      <c r="BB23" s="52">
        <f t="shared" si="22"/>
        <v>7</v>
      </c>
      <c r="BC23" s="52">
        <f t="shared" si="23"/>
        <v>7</v>
      </c>
      <c r="BD23" s="52">
        <f t="shared" si="24"/>
        <v>7</v>
      </c>
      <c r="BE23" s="52">
        <f t="shared" si="25"/>
        <v>2</v>
      </c>
      <c r="BF23" s="52">
        <f t="shared" si="26"/>
        <v>1</v>
      </c>
      <c r="BG23" s="52">
        <f t="shared" si="27"/>
        <v>1</v>
      </c>
      <c r="BH23" s="52">
        <f t="shared" si="28"/>
        <v>2</v>
      </c>
      <c r="BI23" s="52">
        <f t="shared" si="29"/>
        <v>5</v>
      </c>
      <c r="BJ23" s="52">
        <f t="shared" si="30"/>
        <v>6</v>
      </c>
      <c r="BK23" s="52">
        <f t="shared" si="31"/>
        <v>6</v>
      </c>
      <c r="BL23" s="52">
        <f t="shared" si="32"/>
        <v>6</v>
      </c>
      <c r="BM23" s="52">
        <f t="shared" si="33"/>
        <v>6</v>
      </c>
      <c r="BN23" s="52">
        <f t="shared" si="34"/>
        <v>6</v>
      </c>
      <c r="BO23" s="52">
        <f t="shared" si="35"/>
        <v>7</v>
      </c>
      <c r="BP23" s="52">
        <f t="shared" si="36"/>
        <v>7</v>
      </c>
      <c r="BQ23" s="52">
        <f t="shared" si="37"/>
        <v>7</v>
      </c>
      <c r="BR23" s="52">
        <f t="shared" si="38"/>
        <v>7</v>
      </c>
      <c r="BS23" s="52">
        <f t="shared" si="39"/>
        <v>7</v>
      </c>
      <c r="BT23" s="52">
        <f t="shared" si="40"/>
        <v>7</v>
      </c>
      <c r="BU23" s="52">
        <f t="shared" si="41"/>
        <v>7</v>
      </c>
      <c r="BV23" s="52">
        <f t="shared" si="42"/>
        <v>7</v>
      </c>
      <c r="BW23" s="52">
        <f t="shared" si="43"/>
        <v>7</v>
      </c>
      <c r="BX23" s="52">
        <f t="shared" si="44"/>
        <v>7</v>
      </c>
      <c r="BZ23" s="52">
        <f t="shared" si="50"/>
        <v>0</v>
      </c>
      <c r="CA23" s="52">
        <f t="shared" si="51"/>
        <v>0</v>
      </c>
      <c r="CB23" s="52">
        <f t="shared" si="51"/>
        <v>0</v>
      </c>
      <c r="CC23" s="52">
        <f t="shared" si="51"/>
        <v>0</v>
      </c>
      <c r="CD23" s="52">
        <f t="shared" si="51"/>
        <v>-5</v>
      </c>
      <c r="CE23" s="52">
        <f t="shared" si="51"/>
        <v>-1</v>
      </c>
      <c r="CF23" s="52">
        <f t="shared" si="51"/>
        <v>0</v>
      </c>
      <c r="CG23" s="52">
        <f t="shared" si="51"/>
        <v>1</v>
      </c>
      <c r="CH23" s="52">
        <f t="shared" si="51"/>
        <v>3</v>
      </c>
      <c r="CI23" s="52">
        <f t="shared" si="51"/>
        <v>1</v>
      </c>
      <c r="CJ23" s="52">
        <f t="shared" si="51"/>
        <v>0</v>
      </c>
      <c r="CK23" s="52">
        <f t="shared" si="51"/>
        <v>0</v>
      </c>
      <c r="CL23" s="52">
        <f t="shared" si="51"/>
        <v>0</v>
      </c>
      <c r="CM23" s="52">
        <f t="shared" si="51"/>
        <v>0</v>
      </c>
      <c r="CN23" s="52">
        <f t="shared" si="51"/>
        <v>1</v>
      </c>
      <c r="CO23" s="52">
        <f t="shared" si="52"/>
        <v>0</v>
      </c>
      <c r="CP23" s="52">
        <f t="shared" si="52"/>
        <v>0</v>
      </c>
      <c r="CQ23" s="52">
        <f t="shared" si="52"/>
        <v>0</v>
      </c>
      <c r="CR23" s="52">
        <f t="shared" si="52"/>
        <v>0</v>
      </c>
      <c r="CS23" s="52">
        <f t="shared" si="52"/>
        <v>0</v>
      </c>
      <c r="CT23" s="52">
        <f t="shared" si="52"/>
        <v>0</v>
      </c>
      <c r="CU23" s="52">
        <f t="shared" si="52"/>
        <v>0</v>
      </c>
      <c r="CV23" s="52">
        <f t="shared" si="52"/>
        <v>0</v>
      </c>
      <c r="CW23" s="52">
        <f t="shared" si="52"/>
        <v>0</v>
      </c>
    </row>
    <row r="24" spans="1:101">
      <c r="A24" s="60">
        <v>44946</v>
      </c>
      <c r="B24" s="426">
        <v>52808.7</v>
      </c>
      <c r="C24">
        <v>53656.800000000003</v>
      </c>
      <c r="D24">
        <v>53709.9</v>
      </c>
      <c r="E24">
        <v>53607.8</v>
      </c>
      <c r="F24">
        <v>16660.7</v>
      </c>
      <c r="G24">
        <v>190.2</v>
      </c>
      <c r="H24">
        <v>5309.7</v>
      </c>
      <c r="I24">
        <v>17403.400000000001</v>
      </c>
      <c r="J24">
        <v>43266.400000000001</v>
      </c>
      <c r="K24">
        <v>54157.599999999999</v>
      </c>
      <c r="L24">
        <v>54318</v>
      </c>
      <c r="M24">
        <v>54044.800000000003</v>
      </c>
      <c r="N24">
        <v>54117.2</v>
      </c>
      <c r="O24">
        <v>54384</v>
      </c>
      <c r="P24">
        <v>54371.9</v>
      </c>
      <c r="Q24">
        <v>54493.599999999999</v>
      </c>
      <c r="R24">
        <v>54549.2</v>
      </c>
      <c r="S24">
        <v>54527.8</v>
      </c>
      <c r="T24">
        <v>54414.2</v>
      </c>
      <c r="U24">
        <v>54501</v>
      </c>
      <c r="V24">
        <v>54409.4</v>
      </c>
      <c r="W24">
        <v>54405</v>
      </c>
      <c r="X24">
        <v>53895</v>
      </c>
      <c r="Y24">
        <v>53808.5</v>
      </c>
      <c r="Z24" s="77">
        <v>1111010.7999999998</v>
      </c>
      <c r="AB24">
        <f t="shared" si="47"/>
        <v>0</v>
      </c>
      <c r="AC24">
        <f t="shared" si="0"/>
        <v>0</v>
      </c>
      <c r="AD24">
        <f t="shared" si="1"/>
        <v>0</v>
      </c>
      <c r="AE24">
        <f t="shared" si="2"/>
        <v>0</v>
      </c>
      <c r="AF24">
        <f t="shared" si="3"/>
        <v>0</v>
      </c>
      <c r="AG24">
        <f t="shared" si="4"/>
        <v>0</v>
      </c>
      <c r="AH24">
        <f t="shared" si="5"/>
        <v>0</v>
      </c>
      <c r="AI24">
        <f t="shared" si="6"/>
        <v>0</v>
      </c>
      <c r="AJ24">
        <f t="shared" si="7"/>
        <v>0</v>
      </c>
      <c r="AK24">
        <f t="shared" si="8"/>
        <v>0</v>
      </c>
      <c r="AL24">
        <f t="shared" si="9"/>
        <v>0</v>
      </c>
      <c r="AM24">
        <f t="shared" si="10"/>
        <v>0</v>
      </c>
      <c r="AN24">
        <f t="shared" si="11"/>
        <v>0</v>
      </c>
      <c r="AO24">
        <f t="shared" si="12"/>
        <v>0</v>
      </c>
      <c r="AP24">
        <f t="shared" si="13"/>
        <v>0</v>
      </c>
      <c r="AQ24">
        <f t="shared" si="14"/>
        <v>0</v>
      </c>
      <c r="AR24">
        <f t="shared" si="15"/>
        <v>0</v>
      </c>
      <c r="AS24">
        <f t="shared" si="16"/>
        <v>0</v>
      </c>
      <c r="AT24">
        <f t="shared" si="17"/>
        <v>0</v>
      </c>
      <c r="AU24">
        <f t="shared" si="18"/>
        <v>0</v>
      </c>
      <c r="AV24">
        <f t="shared" si="19"/>
        <v>0</v>
      </c>
      <c r="AW24">
        <f t="shared" si="20"/>
        <v>0</v>
      </c>
      <c r="AX24">
        <f t="shared" si="21"/>
        <v>0</v>
      </c>
      <c r="AY24">
        <f t="shared" si="48"/>
        <v>0</v>
      </c>
      <c r="BA24">
        <f t="shared" si="49"/>
        <v>7</v>
      </c>
      <c r="BB24">
        <f t="shared" si="22"/>
        <v>7</v>
      </c>
      <c r="BC24">
        <f t="shared" si="23"/>
        <v>7</v>
      </c>
      <c r="BD24">
        <f t="shared" si="24"/>
        <v>7</v>
      </c>
      <c r="BE24">
        <f t="shared" si="25"/>
        <v>2</v>
      </c>
      <c r="BF24">
        <f t="shared" si="26"/>
        <v>1</v>
      </c>
      <c r="BG24">
        <f t="shared" si="27"/>
        <v>1</v>
      </c>
      <c r="BH24">
        <f t="shared" si="28"/>
        <v>2</v>
      </c>
      <c r="BI24">
        <f t="shared" si="29"/>
        <v>5</v>
      </c>
      <c r="BJ24">
        <f t="shared" si="30"/>
        <v>7</v>
      </c>
      <c r="BK24">
        <f t="shared" si="31"/>
        <v>7</v>
      </c>
      <c r="BL24">
        <f t="shared" si="32"/>
        <v>7</v>
      </c>
      <c r="BM24">
        <f t="shared" si="33"/>
        <v>7</v>
      </c>
      <c r="BN24">
        <f t="shared" si="34"/>
        <v>7</v>
      </c>
      <c r="BO24">
        <f t="shared" si="35"/>
        <v>7</v>
      </c>
      <c r="BP24">
        <f t="shared" si="36"/>
        <v>7</v>
      </c>
      <c r="BQ24">
        <f t="shared" si="37"/>
        <v>7</v>
      </c>
      <c r="BR24">
        <f t="shared" si="38"/>
        <v>7</v>
      </c>
      <c r="BS24">
        <f t="shared" si="39"/>
        <v>7</v>
      </c>
      <c r="BT24">
        <f t="shared" si="40"/>
        <v>7</v>
      </c>
      <c r="BU24">
        <f t="shared" si="41"/>
        <v>7</v>
      </c>
      <c r="BV24">
        <f t="shared" si="42"/>
        <v>7</v>
      </c>
      <c r="BW24">
        <f t="shared" si="43"/>
        <v>7</v>
      </c>
      <c r="BX24">
        <f t="shared" si="44"/>
        <v>7</v>
      </c>
      <c r="BZ24">
        <f t="shared" si="50"/>
        <v>0</v>
      </c>
      <c r="CA24">
        <f t="shared" si="51"/>
        <v>0</v>
      </c>
      <c r="CB24">
        <f t="shared" si="51"/>
        <v>0</v>
      </c>
      <c r="CC24">
        <f t="shared" si="51"/>
        <v>0</v>
      </c>
      <c r="CD24">
        <f t="shared" si="51"/>
        <v>-5</v>
      </c>
      <c r="CE24">
        <f t="shared" si="51"/>
        <v>-1</v>
      </c>
      <c r="CF24">
        <f t="shared" si="51"/>
        <v>0</v>
      </c>
      <c r="CG24">
        <f t="shared" si="51"/>
        <v>1</v>
      </c>
      <c r="CH24">
        <f t="shared" si="51"/>
        <v>3</v>
      </c>
      <c r="CI24">
        <f t="shared" si="51"/>
        <v>2</v>
      </c>
      <c r="CJ24">
        <f t="shared" si="51"/>
        <v>0</v>
      </c>
      <c r="CK24">
        <f t="shared" si="51"/>
        <v>0</v>
      </c>
      <c r="CL24">
        <f t="shared" si="51"/>
        <v>0</v>
      </c>
      <c r="CM24">
        <f t="shared" si="51"/>
        <v>0</v>
      </c>
      <c r="CN24">
        <f t="shared" si="51"/>
        <v>0</v>
      </c>
      <c r="CO24">
        <f t="shared" si="52"/>
        <v>0</v>
      </c>
      <c r="CP24">
        <f t="shared" si="52"/>
        <v>0</v>
      </c>
      <c r="CQ24">
        <f t="shared" si="52"/>
        <v>0</v>
      </c>
      <c r="CR24">
        <f t="shared" si="52"/>
        <v>0</v>
      </c>
      <c r="CS24">
        <f t="shared" si="52"/>
        <v>0</v>
      </c>
      <c r="CT24">
        <f t="shared" si="52"/>
        <v>0</v>
      </c>
      <c r="CU24">
        <f t="shared" si="52"/>
        <v>0</v>
      </c>
      <c r="CV24">
        <f t="shared" si="52"/>
        <v>0</v>
      </c>
      <c r="CW24">
        <f t="shared" si="52"/>
        <v>0</v>
      </c>
    </row>
    <row r="25" spans="1:101">
      <c r="A25" s="60">
        <v>44947</v>
      </c>
      <c r="B25" s="426">
        <v>54160.800000000003</v>
      </c>
      <c r="C25">
        <v>53881.7</v>
      </c>
      <c r="D25">
        <v>54147.8</v>
      </c>
      <c r="E25">
        <v>54084</v>
      </c>
      <c r="F25">
        <v>54149.4</v>
      </c>
      <c r="G25">
        <v>54525</v>
      </c>
      <c r="H25">
        <v>54266</v>
      </c>
      <c r="I25">
        <v>54270.1</v>
      </c>
      <c r="J25">
        <v>54144.4</v>
      </c>
      <c r="K25">
        <v>54534.9</v>
      </c>
      <c r="L25">
        <v>54288.800000000003</v>
      </c>
      <c r="M25">
        <v>54095.4</v>
      </c>
      <c r="N25">
        <v>54193.4</v>
      </c>
      <c r="O25">
        <v>54002.2</v>
      </c>
      <c r="P25">
        <v>54236.2</v>
      </c>
      <c r="Q25">
        <v>54256.1</v>
      </c>
      <c r="R25">
        <v>53156.7</v>
      </c>
      <c r="S25">
        <v>53773.8</v>
      </c>
      <c r="T25">
        <v>53866.7</v>
      </c>
      <c r="U25">
        <v>53790.7</v>
      </c>
      <c r="V25">
        <v>53851.6</v>
      </c>
      <c r="W25">
        <v>53809.9</v>
      </c>
      <c r="X25">
        <v>53812.800000000003</v>
      </c>
      <c r="Y25">
        <v>53608.9</v>
      </c>
      <c r="Z25" s="77">
        <v>1296907.2999999998</v>
      </c>
      <c r="AB25" s="52">
        <f t="shared" si="47"/>
        <v>0</v>
      </c>
      <c r="AC25" s="52">
        <f t="shared" si="0"/>
        <v>0</v>
      </c>
      <c r="AD25" s="52">
        <f t="shared" si="1"/>
        <v>0</v>
      </c>
      <c r="AE25" s="52">
        <f t="shared" si="2"/>
        <v>0</v>
      </c>
      <c r="AF25" s="52">
        <f t="shared" si="3"/>
        <v>0</v>
      </c>
      <c r="AG25" s="52">
        <f t="shared" si="4"/>
        <v>0</v>
      </c>
      <c r="AH25" s="52">
        <f t="shared" si="5"/>
        <v>0</v>
      </c>
      <c r="AI25" s="52">
        <f t="shared" si="6"/>
        <v>0</v>
      </c>
      <c r="AJ25" s="52">
        <f t="shared" si="7"/>
        <v>0</v>
      </c>
      <c r="AK25" s="52">
        <f t="shared" si="8"/>
        <v>0</v>
      </c>
      <c r="AL25" s="52">
        <f t="shared" si="9"/>
        <v>0</v>
      </c>
      <c r="AM25" s="52">
        <f t="shared" si="10"/>
        <v>0</v>
      </c>
      <c r="AN25" s="52">
        <f t="shared" si="11"/>
        <v>0</v>
      </c>
      <c r="AO25" s="52">
        <f t="shared" si="12"/>
        <v>0</v>
      </c>
      <c r="AP25" s="52">
        <f t="shared" si="13"/>
        <v>0</v>
      </c>
      <c r="AQ25" s="52">
        <f t="shared" si="14"/>
        <v>0</v>
      </c>
      <c r="AR25" s="52">
        <f t="shared" si="15"/>
        <v>0</v>
      </c>
      <c r="AS25" s="52">
        <f t="shared" si="16"/>
        <v>0</v>
      </c>
      <c r="AT25" s="52">
        <f t="shared" si="17"/>
        <v>0</v>
      </c>
      <c r="AU25" s="52">
        <f t="shared" si="18"/>
        <v>0</v>
      </c>
      <c r="AV25" s="52">
        <f t="shared" si="19"/>
        <v>0</v>
      </c>
      <c r="AW25" s="52">
        <f t="shared" si="20"/>
        <v>0</v>
      </c>
      <c r="AX25" s="52">
        <f t="shared" si="21"/>
        <v>0</v>
      </c>
      <c r="AY25" s="52">
        <f t="shared" si="48"/>
        <v>0</v>
      </c>
      <c r="BA25" s="52">
        <f t="shared" si="49"/>
        <v>7</v>
      </c>
      <c r="BB25" s="52">
        <f t="shared" si="22"/>
        <v>7</v>
      </c>
      <c r="BC25" s="52">
        <f t="shared" si="23"/>
        <v>7</v>
      </c>
      <c r="BD25" s="52">
        <f t="shared" si="24"/>
        <v>7</v>
      </c>
      <c r="BE25" s="52">
        <f t="shared" si="25"/>
        <v>7</v>
      </c>
      <c r="BF25" s="52">
        <f t="shared" si="26"/>
        <v>7</v>
      </c>
      <c r="BG25" s="52">
        <f t="shared" si="27"/>
        <v>7</v>
      </c>
      <c r="BH25" s="52">
        <f t="shared" si="28"/>
        <v>7</v>
      </c>
      <c r="BI25" s="52">
        <f t="shared" si="29"/>
        <v>7</v>
      </c>
      <c r="BJ25" s="52">
        <f t="shared" si="30"/>
        <v>7</v>
      </c>
      <c r="BK25" s="52">
        <f t="shared" si="31"/>
        <v>7</v>
      </c>
      <c r="BL25" s="52">
        <f t="shared" si="32"/>
        <v>7</v>
      </c>
      <c r="BM25" s="52">
        <f t="shared" si="33"/>
        <v>7</v>
      </c>
      <c r="BN25" s="52">
        <f t="shared" si="34"/>
        <v>7</v>
      </c>
      <c r="BO25" s="52">
        <f t="shared" si="35"/>
        <v>7</v>
      </c>
      <c r="BP25" s="52">
        <f t="shared" si="36"/>
        <v>7</v>
      </c>
      <c r="BQ25" s="52">
        <f t="shared" si="37"/>
        <v>7</v>
      </c>
      <c r="BR25" s="52">
        <f t="shared" si="38"/>
        <v>7</v>
      </c>
      <c r="BS25" s="52">
        <f t="shared" si="39"/>
        <v>7</v>
      </c>
      <c r="BT25" s="52">
        <f t="shared" si="40"/>
        <v>7</v>
      </c>
      <c r="BU25" s="52">
        <f t="shared" si="41"/>
        <v>7</v>
      </c>
      <c r="BV25" s="52">
        <f t="shared" si="42"/>
        <v>7</v>
      </c>
      <c r="BW25" s="52">
        <f t="shared" si="43"/>
        <v>7</v>
      </c>
      <c r="BX25" s="52">
        <f t="shared" si="44"/>
        <v>7</v>
      </c>
      <c r="BZ25" s="52">
        <f t="shared" si="50"/>
        <v>0</v>
      </c>
      <c r="CA25" s="52">
        <f t="shared" si="51"/>
        <v>0</v>
      </c>
      <c r="CB25" s="52">
        <f t="shared" si="51"/>
        <v>0</v>
      </c>
      <c r="CC25" s="52">
        <f t="shared" si="51"/>
        <v>0</v>
      </c>
      <c r="CD25" s="52">
        <f t="shared" si="51"/>
        <v>0</v>
      </c>
      <c r="CE25" s="52">
        <f t="shared" si="51"/>
        <v>0</v>
      </c>
      <c r="CF25" s="52">
        <f t="shared" si="51"/>
        <v>0</v>
      </c>
      <c r="CG25" s="52">
        <f t="shared" si="51"/>
        <v>0</v>
      </c>
      <c r="CH25" s="52">
        <f t="shared" si="51"/>
        <v>0</v>
      </c>
      <c r="CI25" s="52">
        <f t="shared" si="51"/>
        <v>0</v>
      </c>
      <c r="CJ25" s="52">
        <f t="shared" si="51"/>
        <v>0</v>
      </c>
      <c r="CK25" s="52">
        <f t="shared" si="51"/>
        <v>0</v>
      </c>
      <c r="CL25" s="52">
        <f t="shared" si="51"/>
        <v>0</v>
      </c>
      <c r="CM25" s="52">
        <f t="shared" si="51"/>
        <v>0</v>
      </c>
      <c r="CN25" s="52">
        <f t="shared" si="51"/>
        <v>0</v>
      </c>
      <c r="CO25" s="52">
        <f t="shared" si="52"/>
        <v>0</v>
      </c>
      <c r="CP25" s="52">
        <f t="shared" si="52"/>
        <v>0</v>
      </c>
      <c r="CQ25" s="52">
        <f t="shared" si="52"/>
        <v>0</v>
      </c>
      <c r="CR25" s="52">
        <f t="shared" si="52"/>
        <v>0</v>
      </c>
      <c r="CS25" s="52">
        <f t="shared" si="52"/>
        <v>0</v>
      </c>
      <c r="CT25" s="52">
        <f t="shared" si="52"/>
        <v>0</v>
      </c>
      <c r="CU25" s="52">
        <f t="shared" si="52"/>
        <v>0</v>
      </c>
      <c r="CV25" s="52">
        <f t="shared" si="52"/>
        <v>0</v>
      </c>
      <c r="CW25" s="52">
        <f t="shared" si="52"/>
        <v>0</v>
      </c>
    </row>
    <row r="26" spans="1:101">
      <c r="A26" s="60">
        <v>44948</v>
      </c>
      <c r="B26" s="426">
        <v>53049.3</v>
      </c>
      <c r="C26">
        <v>53180.3</v>
      </c>
      <c r="D26">
        <v>53162.3</v>
      </c>
      <c r="E26">
        <v>53212.5</v>
      </c>
      <c r="F26">
        <v>53253.5</v>
      </c>
      <c r="G26">
        <v>53551.3</v>
      </c>
      <c r="H26">
        <v>53456.800000000003</v>
      </c>
      <c r="I26">
        <v>53539.9</v>
      </c>
      <c r="J26">
        <v>53957</v>
      </c>
      <c r="K26">
        <v>54041.7</v>
      </c>
      <c r="L26">
        <v>54059.199999999997</v>
      </c>
      <c r="M26">
        <v>54081.599999999999</v>
      </c>
      <c r="N26">
        <v>54147</v>
      </c>
      <c r="O26">
        <v>54098.8</v>
      </c>
      <c r="P26">
        <v>54164.800000000003</v>
      </c>
      <c r="Q26">
        <v>54122</v>
      </c>
      <c r="R26">
        <v>54148.4</v>
      </c>
      <c r="S26">
        <v>54009</v>
      </c>
      <c r="T26">
        <v>54135.8</v>
      </c>
      <c r="U26">
        <v>54103.199999999997</v>
      </c>
      <c r="V26">
        <v>53927.3</v>
      </c>
      <c r="W26">
        <v>53958.1</v>
      </c>
      <c r="X26">
        <v>53887</v>
      </c>
      <c r="Y26">
        <v>53793.3</v>
      </c>
      <c r="Z26" s="77">
        <v>1291040.1000000003</v>
      </c>
      <c r="AB26">
        <f t="shared" si="47"/>
        <v>0</v>
      </c>
      <c r="AC26">
        <f t="shared" si="0"/>
        <v>0</v>
      </c>
      <c r="AD26">
        <f t="shared" si="1"/>
        <v>0</v>
      </c>
      <c r="AE26">
        <f t="shared" si="2"/>
        <v>0</v>
      </c>
      <c r="AF26">
        <f t="shared" si="3"/>
        <v>0</v>
      </c>
      <c r="AG26">
        <f t="shared" si="4"/>
        <v>0</v>
      </c>
      <c r="AH26">
        <f t="shared" si="5"/>
        <v>0</v>
      </c>
      <c r="AI26">
        <f t="shared" si="6"/>
        <v>0</v>
      </c>
      <c r="AJ26">
        <f t="shared" si="7"/>
        <v>0</v>
      </c>
      <c r="AK26">
        <f t="shared" si="8"/>
        <v>0</v>
      </c>
      <c r="AL26">
        <f t="shared" si="9"/>
        <v>0</v>
      </c>
      <c r="AM26">
        <f t="shared" si="10"/>
        <v>0</v>
      </c>
      <c r="AN26">
        <f t="shared" si="11"/>
        <v>0</v>
      </c>
      <c r="AO26">
        <f t="shared" si="12"/>
        <v>0</v>
      </c>
      <c r="AP26">
        <f t="shared" si="13"/>
        <v>0</v>
      </c>
      <c r="AQ26">
        <f t="shared" si="14"/>
        <v>0</v>
      </c>
      <c r="AR26">
        <f t="shared" si="15"/>
        <v>0</v>
      </c>
      <c r="AS26">
        <f t="shared" si="16"/>
        <v>0</v>
      </c>
      <c r="AT26">
        <f t="shared" si="17"/>
        <v>0</v>
      </c>
      <c r="AU26">
        <f t="shared" si="18"/>
        <v>0</v>
      </c>
      <c r="AV26">
        <f t="shared" si="19"/>
        <v>0</v>
      </c>
      <c r="AW26">
        <f t="shared" si="20"/>
        <v>0</v>
      </c>
      <c r="AX26">
        <f t="shared" si="21"/>
        <v>0</v>
      </c>
      <c r="AY26">
        <f t="shared" si="48"/>
        <v>0</v>
      </c>
      <c r="BA26">
        <f t="shared" si="49"/>
        <v>7</v>
      </c>
      <c r="BB26">
        <f t="shared" si="22"/>
        <v>7</v>
      </c>
      <c r="BC26">
        <f t="shared" si="23"/>
        <v>7</v>
      </c>
      <c r="BD26">
        <f t="shared" si="24"/>
        <v>7</v>
      </c>
      <c r="BE26">
        <f t="shared" si="25"/>
        <v>7</v>
      </c>
      <c r="BF26">
        <f t="shared" si="26"/>
        <v>7</v>
      </c>
      <c r="BG26">
        <f t="shared" si="27"/>
        <v>7</v>
      </c>
      <c r="BH26">
        <f t="shared" si="28"/>
        <v>7</v>
      </c>
      <c r="BI26">
        <f t="shared" si="29"/>
        <v>7</v>
      </c>
      <c r="BJ26">
        <f t="shared" si="30"/>
        <v>7</v>
      </c>
      <c r="BK26">
        <f t="shared" si="31"/>
        <v>7</v>
      </c>
      <c r="BL26">
        <f t="shared" si="32"/>
        <v>7</v>
      </c>
      <c r="BM26">
        <f t="shared" si="33"/>
        <v>7</v>
      </c>
      <c r="BN26">
        <f t="shared" si="34"/>
        <v>7</v>
      </c>
      <c r="BO26">
        <f t="shared" si="35"/>
        <v>7</v>
      </c>
      <c r="BP26">
        <f t="shared" si="36"/>
        <v>7</v>
      </c>
      <c r="BQ26">
        <f t="shared" si="37"/>
        <v>7</v>
      </c>
      <c r="BR26">
        <f t="shared" si="38"/>
        <v>7</v>
      </c>
      <c r="BS26">
        <f t="shared" si="39"/>
        <v>7</v>
      </c>
      <c r="BT26">
        <f t="shared" si="40"/>
        <v>7</v>
      </c>
      <c r="BU26">
        <f t="shared" si="41"/>
        <v>7</v>
      </c>
      <c r="BV26">
        <f t="shared" si="42"/>
        <v>7</v>
      </c>
      <c r="BW26">
        <f t="shared" si="43"/>
        <v>7</v>
      </c>
      <c r="BX26">
        <f t="shared" si="44"/>
        <v>7</v>
      </c>
      <c r="BZ26">
        <f t="shared" si="50"/>
        <v>0</v>
      </c>
      <c r="CA26">
        <f t="shared" si="51"/>
        <v>0</v>
      </c>
      <c r="CB26">
        <f t="shared" si="51"/>
        <v>0</v>
      </c>
      <c r="CC26">
        <f t="shared" si="51"/>
        <v>0</v>
      </c>
      <c r="CD26">
        <f t="shared" si="51"/>
        <v>0</v>
      </c>
      <c r="CE26">
        <f t="shared" si="51"/>
        <v>0</v>
      </c>
      <c r="CF26">
        <f t="shared" si="51"/>
        <v>0</v>
      </c>
      <c r="CG26">
        <f t="shared" si="51"/>
        <v>0</v>
      </c>
      <c r="CH26">
        <f t="shared" si="51"/>
        <v>0</v>
      </c>
      <c r="CI26">
        <f t="shared" si="51"/>
        <v>0</v>
      </c>
      <c r="CJ26">
        <f t="shared" si="51"/>
        <v>0</v>
      </c>
      <c r="CK26">
        <f t="shared" si="51"/>
        <v>0</v>
      </c>
      <c r="CL26">
        <f t="shared" si="51"/>
        <v>0</v>
      </c>
      <c r="CM26">
        <f t="shared" si="51"/>
        <v>0</v>
      </c>
      <c r="CN26">
        <f t="shared" si="51"/>
        <v>0</v>
      </c>
      <c r="CO26">
        <f t="shared" si="52"/>
        <v>0</v>
      </c>
      <c r="CP26">
        <f t="shared" si="52"/>
        <v>0</v>
      </c>
      <c r="CQ26">
        <f t="shared" si="52"/>
        <v>0</v>
      </c>
      <c r="CR26">
        <f t="shared" si="52"/>
        <v>0</v>
      </c>
      <c r="CS26">
        <f t="shared" si="52"/>
        <v>0</v>
      </c>
      <c r="CT26">
        <f t="shared" si="52"/>
        <v>0</v>
      </c>
      <c r="CU26">
        <f t="shared" si="52"/>
        <v>0</v>
      </c>
      <c r="CV26">
        <f t="shared" si="52"/>
        <v>0</v>
      </c>
      <c r="CW26">
        <f t="shared" si="52"/>
        <v>0</v>
      </c>
    </row>
    <row r="27" spans="1:101">
      <c r="A27" s="60">
        <v>44949</v>
      </c>
      <c r="B27" s="426">
        <v>54271.5</v>
      </c>
      <c r="C27">
        <v>54360.2</v>
      </c>
      <c r="D27">
        <v>54009.2</v>
      </c>
      <c r="E27">
        <v>54085.3</v>
      </c>
      <c r="F27">
        <v>54180.2</v>
      </c>
      <c r="G27">
        <v>54098.1</v>
      </c>
      <c r="H27">
        <v>54060.9</v>
      </c>
      <c r="I27">
        <v>54157.8</v>
      </c>
      <c r="J27">
        <v>54054.9</v>
      </c>
      <c r="K27">
        <v>53909</v>
      </c>
      <c r="L27">
        <v>54724.1</v>
      </c>
      <c r="M27">
        <v>54353.4</v>
      </c>
      <c r="N27">
        <v>54682.7</v>
      </c>
      <c r="O27">
        <v>54351.3</v>
      </c>
      <c r="P27">
        <v>54359.9</v>
      </c>
      <c r="Q27">
        <v>54212</v>
      </c>
      <c r="R27">
        <v>54255.199999999997</v>
      </c>
      <c r="S27">
        <v>54126.8</v>
      </c>
      <c r="T27">
        <v>54017.1</v>
      </c>
      <c r="U27">
        <v>54165.2</v>
      </c>
      <c r="V27">
        <v>54130.3</v>
      </c>
      <c r="W27">
        <v>54032.800000000003</v>
      </c>
      <c r="X27">
        <v>54114.2</v>
      </c>
      <c r="Y27">
        <v>53984</v>
      </c>
      <c r="Z27" s="77">
        <v>1300696.1000000001</v>
      </c>
      <c r="AB27" s="52">
        <f t="shared" si="47"/>
        <v>0</v>
      </c>
      <c r="AC27" s="52">
        <f t="shared" si="0"/>
        <v>0</v>
      </c>
      <c r="AD27" s="52">
        <f t="shared" si="1"/>
        <v>0</v>
      </c>
      <c r="AE27" s="52">
        <f t="shared" si="2"/>
        <v>0</v>
      </c>
      <c r="AF27" s="52">
        <f t="shared" si="3"/>
        <v>0</v>
      </c>
      <c r="AG27" s="52">
        <f t="shared" si="4"/>
        <v>0</v>
      </c>
      <c r="AH27" s="52">
        <f t="shared" si="5"/>
        <v>0</v>
      </c>
      <c r="AI27" s="52">
        <f t="shared" si="6"/>
        <v>0</v>
      </c>
      <c r="AJ27" s="52">
        <f t="shared" si="7"/>
        <v>0</v>
      </c>
      <c r="AK27" s="52">
        <f t="shared" si="8"/>
        <v>0</v>
      </c>
      <c r="AL27" s="52">
        <f t="shared" si="9"/>
        <v>0</v>
      </c>
      <c r="AM27" s="52">
        <f t="shared" si="10"/>
        <v>0</v>
      </c>
      <c r="AN27" s="52">
        <f t="shared" si="11"/>
        <v>0</v>
      </c>
      <c r="AO27" s="52">
        <f t="shared" si="12"/>
        <v>0</v>
      </c>
      <c r="AP27" s="52">
        <f t="shared" si="13"/>
        <v>0</v>
      </c>
      <c r="AQ27" s="52">
        <f t="shared" si="14"/>
        <v>0</v>
      </c>
      <c r="AR27" s="52">
        <f t="shared" si="15"/>
        <v>0</v>
      </c>
      <c r="AS27" s="52">
        <f t="shared" si="16"/>
        <v>0</v>
      </c>
      <c r="AT27" s="52">
        <f t="shared" si="17"/>
        <v>0</v>
      </c>
      <c r="AU27" s="52">
        <f t="shared" si="18"/>
        <v>0</v>
      </c>
      <c r="AV27" s="52">
        <f t="shared" si="19"/>
        <v>0</v>
      </c>
      <c r="AW27" s="52">
        <f t="shared" si="20"/>
        <v>0</v>
      </c>
      <c r="AX27" s="52">
        <f t="shared" si="21"/>
        <v>0</v>
      </c>
      <c r="AY27" s="52">
        <f t="shared" si="48"/>
        <v>0</v>
      </c>
      <c r="BA27" s="52">
        <f t="shared" si="49"/>
        <v>7</v>
      </c>
      <c r="BB27" s="52">
        <f t="shared" si="22"/>
        <v>7</v>
      </c>
      <c r="BC27" s="52">
        <f t="shared" si="23"/>
        <v>7</v>
      </c>
      <c r="BD27" s="52">
        <f t="shared" si="24"/>
        <v>7</v>
      </c>
      <c r="BE27" s="52">
        <f t="shared" si="25"/>
        <v>7</v>
      </c>
      <c r="BF27" s="52">
        <f t="shared" si="26"/>
        <v>7</v>
      </c>
      <c r="BG27" s="52">
        <f t="shared" si="27"/>
        <v>7</v>
      </c>
      <c r="BH27" s="52">
        <f t="shared" si="28"/>
        <v>7</v>
      </c>
      <c r="BI27" s="52">
        <f t="shared" si="29"/>
        <v>7</v>
      </c>
      <c r="BJ27" s="52">
        <f t="shared" si="30"/>
        <v>7</v>
      </c>
      <c r="BK27" s="52">
        <f t="shared" si="31"/>
        <v>7</v>
      </c>
      <c r="BL27" s="52">
        <f t="shared" si="32"/>
        <v>7</v>
      </c>
      <c r="BM27" s="52">
        <f t="shared" si="33"/>
        <v>7</v>
      </c>
      <c r="BN27" s="52">
        <f t="shared" si="34"/>
        <v>7</v>
      </c>
      <c r="BO27" s="52">
        <f t="shared" si="35"/>
        <v>7</v>
      </c>
      <c r="BP27" s="52">
        <f t="shared" si="36"/>
        <v>7</v>
      </c>
      <c r="BQ27" s="52">
        <f t="shared" si="37"/>
        <v>7</v>
      </c>
      <c r="BR27" s="52">
        <f t="shared" si="38"/>
        <v>7</v>
      </c>
      <c r="BS27" s="52">
        <f t="shared" si="39"/>
        <v>7</v>
      </c>
      <c r="BT27" s="52">
        <f t="shared" si="40"/>
        <v>7</v>
      </c>
      <c r="BU27" s="52">
        <f t="shared" si="41"/>
        <v>7</v>
      </c>
      <c r="BV27" s="52">
        <f t="shared" si="42"/>
        <v>7</v>
      </c>
      <c r="BW27" s="52">
        <f t="shared" si="43"/>
        <v>7</v>
      </c>
      <c r="BX27" s="52">
        <f t="shared" si="44"/>
        <v>7</v>
      </c>
      <c r="BZ27" s="52">
        <f t="shared" si="50"/>
        <v>0</v>
      </c>
      <c r="CA27" s="52">
        <f t="shared" si="51"/>
        <v>0</v>
      </c>
      <c r="CB27" s="52">
        <f t="shared" si="51"/>
        <v>0</v>
      </c>
      <c r="CC27" s="52">
        <f t="shared" si="51"/>
        <v>0</v>
      </c>
      <c r="CD27" s="52">
        <f t="shared" si="51"/>
        <v>0</v>
      </c>
      <c r="CE27" s="52">
        <f t="shared" si="51"/>
        <v>0</v>
      </c>
      <c r="CF27" s="52">
        <f t="shared" si="51"/>
        <v>0</v>
      </c>
      <c r="CG27" s="52">
        <f t="shared" si="51"/>
        <v>0</v>
      </c>
      <c r="CH27" s="52">
        <f t="shared" si="51"/>
        <v>0</v>
      </c>
      <c r="CI27" s="52">
        <f t="shared" si="51"/>
        <v>0</v>
      </c>
      <c r="CJ27" s="52">
        <f t="shared" si="51"/>
        <v>0</v>
      </c>
      <c r="CK27" s="52">
        <f t="shared" si="51"/>
        <v>0</v>
      </c>
      <c r="CL27" s="52">
        <f t="shared" si="51"/>
        <v>0</v>
      </c>
      <c r="CM27" s="52">
        <f t="shared" si="51"/>
        <v>0</v>
      </c>
      <c r="CN27" s="52">
        <f t="shared" si="51"/>
        <v>0</v>
      </c>
      <c r="CO27" s="52">
        <f t="shared" si="52"/>
        <v>0</v>
      </c>
      <c r="CP27" s="52">
        <f t="shared" si="52"/>
        <v>0</v>
      </c>
      <c r="CQ27" s="52">
        <f t="shared" si="52"/>
        <v>0</v>
      </c>
      <c r="CR27" s="52">
        <f t="shared" si="52"/>
        <v>0</v>
      </c>
      <c r="CS27" s="52">
        <f t="shared" si="52"/>
        <v>0</v>
      </c>
      <c r="CT27" s="52">
        <f t="shared" si="52"/>
        <v>0</v>
      </c>
      <c r="CU27" s="52">
        <f t="shared" si="52"/>
        <v>0</v>
      </c>
      <c r="CV27" s="52">
        <f t="shared" si="52"/>
        <v>0</v>
      </c>
      <c r="CW27" s="52">
        <f t="shared" si="52"/>
        <v>0</v>
      </c>
    </row>
    <row r="28" spans="1:101">
      <c r="A28" s="60">
        <v>44950</v>
      </c>
      <c r="B28" s="426">
        <v>52791.9</v>
      </c>
      <c r="C28">
        <v>54470.1</v>
      </c>
      <c r="D28">
        <v>53524</v>
      </c>
      <c r="E28">
        <v>52154.5</v>
      </c>
      <c r="F28">
        <v>53657.2</v>
      </c>
      <c r="G28">
        <v>53646.7</v>
      </c>
      <c r="H28">
        <v>53626.3</v>
      </c>
      <c r="I28">
        <v>53567.9</v>
      </c>
      <c r="J28">
        <v>53578.1</v>
      </c>
      <c r="K28">
        <v>53575</v>
      </c>
      <c r="L28">
        <v>55119.9</v>
      </c>
      <c r="M28">
        <v>54885</v>
      </c>
      <c r="N28">
        <v>54969.7</v>
      </c>
      <c r="O28">
        <v>54952.3</v>
      </c>
      <c r="P28">
        <v>55026.2</v>
      </c>
      <c r="Q28">
        <v>54911.7</v>
      </c>
      <c r="R28">
        <v>54882.3</v>
      </c>
      <c r="S28">
        <v>54920.4</v>
      </c>
      <c r="T28">
        <v>54864.6</v>
      </c>
      <c r="U28">
        <v>54807.5</v>
      </c>
      <c r="V28">
        <v>54728.4</v>
      </c>
      <c r="W28">
        <v>54721</v>
      </c>
      <c r="X28">
        <v>54709.5</v>
      </c>
      <c r="Y28">
        <v>54801.599999999999</v>
      </c>
      <c r="Z28" s="77">
        <v>1302891.7999999998</v>
      </c>
      <c r="AB28">
        <f t="shared" si="47"/>
        <v>0</v>
      </c>
      <c r="AC28">
        <f t="shared" si="0"/>
        <v>0</v>
      </c>
      <c r="AD28">
        <f t="shared" si="1"/>
        <v>0</v>
      </c>
      <c r="AE28">
        <f t="shared" si="2"/>
        <v>0</v>
      </c>
      <c r="AF28">
        <f t="shared" si="3"/>
        <v>0</v>
      </c>
      <c r="AG28">
        <f t="shared" si="4"/>
        <v>0</v>
      </c>
      <c r="AH28">
        <f t="shared" si="5"/>
        <v>0</v>
      </c>
      <c r="AI28">
        <f t="shared" si="6"/>
        <v>0</v>
      </c>
      <c r="AJ28">
        <f t="shared" si="7"/>
        <v>0</v>
      </c>
      <c r="AK28">
        <f t="shared" si="8"/>
        <v>0</v>
      </c>
      <c r="AL28">
        <f t="shared" si="9"/>
        <v>0</v>
      </c>
      <c r="AM28">
        <f t="shared" si="10"/>
        <v>0</v>
      </c>
      <c r="AN28">
        <f t="shared" si="11"/>
        <v>0</v>
      </c>
      <c r="AO28">
        <f t="shared" si="12"/>
        <v>0</v>
      </c>
      <c r="AP28">
        <f t="shared" si="13"/>
        <v>0</v>
      </c>
      <c r="AQ28">
        <f t="shared" si="14"/>
        <v>0</v>
      </c>
      <c r="AR28">
        <f t="shared" si="15"/>
        <v>0</v>
      </c>
      <c r="AS28">
        <f t="shared" si="16"/>
        <v>0</v>
      </c>
      <c r="AT28">
        <f t="shared" si="17"/>
        <v>0</v>
      </c>
      <c r="AU28">
        <f t="shared" si="18"/>
        <v>0</v>
      </c>
      <c r="AV28">
        <f t="shared" si="19"/>
        <v>0</v>
      </c>
      <c r="AW28">
        <f t="shared" si="20"/>
        <v>0</v>
      </c>
      <c r="AX28">
        <f t="shared" si="21"/>
        <v>0</v>
      </c>
      <c r="AY28">
        <f t="shared" si="48"/>
        <v>0</v>
      </c>
      <c r="BA28">
        <f t="shared" si="49"/>
        <v>6</v>
      </c>
      <c r="BB28">
        <f t="shared" si="22"/>
        <v>7</v>
      </c>
      <c r="BC28">
        <f t="shared" si="23"/>
        <v>7</v>
      </c>
      <c r="BD28">
        <f t="shared" si="24"/>
        <v>6</v>
      </c>
      <c r="BE28">
        <f t="shared" si="25"/>
        <v>7</v>
      </c>
      <c r="BF28">
        <f t="shared" si="26"/>
        <v>7</v>
      </c>
      <c r="BG28">
        <f t="shared" si="27"/>
        <v>7</v>
      </c>
      <c r="BH28">
        <f t="shared" si="28"/>
        <v>7</v>
      </c>
      <c r="BI28">
        <f t="shared" si="29"/>
        <v>7</v>
      </c>
      <c r="BJ28">
        <f t="shared" si="30"/>
        <v>7</v>
      </c>
      <c r="BK28">
        <f t="shared" si="31"/>
        <v>7</v>
      </c>
      <c r="BL28">
        <f t="shared" si="32"/>
        <v>7</v>
      </c>
      <c r="BM28">
        <f t="shared" si="33"/>
        <v>7</v>
      </c>
      <c r="BN28">
        <f t="shared" si="34"/>
        <v>7</v>
      </c>
      <c r="BO28">
        <f t="shared" si="35"/>
        <v>7</v>
      </c>
      <c r="BP28">
        <f t="shared" si="36"/>
        <v>7</v>
      </c>
      <c r="BQ28">
        <f t="shared" si="37"/>
        <v>7</v>
      </c>
      <c r="BR28">
        <f t="shared" si="38"/>
        <v>7</v>
      </c>
      <c r="BS28">
        <f t="shared" si="39"/>
        <v>7</v>
      </c>
      <c r="BT28">
        <f t="shared" si="40"/>
        <v>7</v>
      </c>
      <c r="BU28">
        <f t="shared" si="41"/>
        <v>7</v>
      </c>
      <c r="BV28">
        <f t="shared" si="42"/>
        <v>7</v>
      </c>
      <c r="BW28">
        <f t="shared" si="43"/>
        <v>7</v>
      </c>
      <c r="BX28">
        <f t="shared" si="44"/>
        <v>7</v>
      </c>
      <c r="BZ28">
        <f t="shared" si="50"/>
        <v>-1</v>
      </c>
      <c r="CA28">
        <f t="shared" si="51"/>
        <v>1</v>
      </c>
      <c r="CB28">
        <f t="shared" si="51"/>
        <v>0</v>
      </c>
      <c r="CC28">
        <f t="shared" si="51"/>
        <v>-1</v>
      </c>
      <c r="CD28">
        <f t="shared" si="51"/>
        <v>1</v>
      </c>
      <c r="CE28">
        <f t="shared" si="51"/>
        <v>0</v>
      </c>
      <c r="CF28">
        <f t="shared" si="51"/>
        <v>0</v>
      </c>
      <c r="CG28">
        <f t="shared" si="51"/>
        <v>0</v>
      </c>
      <c r="CH28">
        <f t="shared" si="51"/>
        <v>0</v>
      </c>
      <c r="CI28">
        <f t="shared" si="51"/>
        <v>0</v>
      </c>
      <c r="CJ28">
        <f t="shared" si="51"/>
        <v>0</v>
      </c>
      <c r="CK28">
        <f t="shared" si="51"/>
        <v>0</v>
      </c>
      <c r="CL28">
        <f t="shared" si="51"/>
        <v>0</v>
      </c>
      <c r="CM28">
        <f t="shared" si="51"/>
        <v>0</v>
      </c>
      <c r="CN28">
        <f t="shared" si="51"/>
        <v>0</v>
      </c>
      <c r="CO28">
        <f t="shared" si="52"/>
        <v>0</v>
      </c>
      <c r="CP28">
        <f t="shared" si="52"/>
        <v>0</v>
      </c>
      <c r="CQ28">
        <f t="shared" si="52"/>
        <v>0</v>
      </c>
      <c r="CR28">
        <f t="shared" si="52"/>
        <v>0</v>
      </c>
      <c r="CS28">
        <f t="shared" si="52"/>
        <v>0</v>
      </c>
      <c r="CT28">
        <f t="shared" si="52"/>
        <v>0</v>
      </c>
      <c r="CU28">
        <f t="shared" si="52"/>
        <v>0</v>
      </c>
      <c r="CV28">
        <f t="shared" si="52"/>
        <v>0</v>
      </c>
      <c r="CW28">
        <f t="shared" si="52"/>
        <v>0</v>
      </c>
    </row>
    <row r="29" spans="1:101">
      <c r="A29" s="60">
        <v>44951</v>
      </c>
      <c r="B29" s="426">
        <v>61362.2</v>
      </c>
      <c r="C29">
        <v>61724</v>
      </c>
      <c r="D29">
        <v>63769</v>
      </c>
      <c r="E29">
        <v>63827.9</v>
      </c>
      <c r="F29">
        <v>62895.4</v>
      </c>
      <c r="G29">
        <v>26765.5</v>
      </c>
      <c r="H29">
        <v>130.5</v>
      </c>
      <c r="I29">
        <v>20470.8</v>
      </c>
      <c r="J29">
        <v>44275.7</v>
      </c>
      <c r="K29">
        <v>61108.6</v>
      </c>
      <c r="L29">
        <v>62783.199999999997</v>
      </c>
      <c r="M29">
        <v>62945.2</v>
      </c>
      <c r="N29">
        <v>62927.5</v>
      </c>
      <c r="O29">
        <v>62948.5</v>
      </c>
      <c r="P29">
        <v>63018.3</v>
      </c>
      <c r="Q29">
        <v>62990.3</v>
      </c>
      <c r="R29">
        <v>62991.7</v>
      </c>
      <c r="S29">
        <v>62914.7</v>
      </c>
      <c r="T29">
        <v>63015.3</v>
      </c>
      <c r="U29">
        <v>62916</v>
      </c>
      <c r="V29">
        <v>60780.4</v>
      </c>
      <c r="W29">
        <v>62674.6</v>
      </c>
      <c r="X29">
        <v>62859.7</v>
      </c>
      <c r="Y29">
        <v>62861.3</v>
      </c>
      <c r="Z29" s="77">
        <v>1344956.2999999998</v>
      </c>
      <c r="AB29" s="52">
        <f t="shared" si="47"/>
        <v>0</v>
      </c>
      <c r="AC29" s="52">
        <f t="shared" si="0"/>
        <v>0</v>
      </c>
      <c r="AD29" s="52">
        <f t="shared" si="1"/>
        <v>0</v>
      </c>
      <c r="AE29" s="52">
        <f t="shared" si="2"/>
        <v>0</v>
      </c>
      <c r="AF29" s="52">
        <f t="shared" si="3"/>
        <v>0</v>
      </c>
      <c r="AG29" s="52">
        <f t="shared" si="4"/>
        <v>0</v>
      </c>
      <c r="AH29" s="52">
        <f t="shared" si="5"/>
        <v>0</v>
      </c>
      <c r="AI29" s="52">
        <f t="shared" si="6"/>
        <v>0</v>
      </c>
      <c r="AJ29" s="52">
        <f t="shared" si="7"/>
        <v>0</v>
      </c>
      <c r="AK29" s="52">
        <f t="shared" si="8"/>
        <v>0</v>
      </c>
      <c r="AL29" s="52">
        <f t="shared" si="9"/>
        <v>0</v>
      </c>
      <c r="AM29" s="52">
        <f t="shared" si="10"/>
        <v>0</v>
      </c>
      <c r="AN29" s="52">
        <f t="shared" si="11"/>
        <v>0</v>
      </c>
      <c r="AO29" s="52">
        <f t="shared" si="12"/>
        <v>0</v>
      </c>
      <c r="AP29" s="52">
        <f t="shared" si="13"/>
        <v>0</v>
      </c>
      <c r="AQ29" s="52">
        <f t="shared" si="14"/>
        <v>0</v>
      </c>
      <c r="AR29" s="52">
        <f t="shared" si="15"/>
        <v>0</v>
      </c>
      <c r="AS29" s="52">
        <f t="shared" si="16"/>
        <v>0</v>
      </c>
      <c r="AT29" s="52">
        <f t="shared" si="17"/>
        <v>0</v>
      </c>
      <c r="AU29" s="52">
        <f t="shared" si="18"/>
        <v>0</v>
      </c>
      <c r="AV29" s="52">
        <f t="shared" si="19"/>
        <v>0</v>
      </c>
      <c r="AW29" s="52">
        <f t="shared" si="20"/>
        <v>0</v>
      </c>
      <c r="AX29" s="52">
        <f t="shared" si="21"/>
        <v>0</v>
      </c>
      <c r="AY29" s="52">
        <f t="shared" si="48"/>
        <v>0</v>
      </c>
      <c r="BA29" s="52">
        <f t="shared" si="49"/>
        <v>7</v>
      </c>
      <c r="BB29" s="52">
        <f t="shared" si="22"/>
        <v>8</v>
      </c>
      <c r="BC29" s="52">
        <f t="shared" si="23"/>
        <v>8</v>
      </c>
      <c r="BD29" s="52">
        <f t="shared" si="24"/>
        <v>8</v>
      </c>
      <c r="BE29" s="52">
        <f t="shared" si="25"/>
        <v>8</v>
      </c>
      <c r="BF29" s="52">
        <f t="shared" si="26"/>
        <v>4</v>
      </c>
      <c r="BG29" s="52">
        <f t="shared" si="27"/>
        <v>1</v>
      </c>
      <c r="BH29" s="52">
        <f t="shared" si="28"/>
        <v>3</v>
      </c>
      <c r="BI29" s="52">
        <f t="shared" si="29"/>
        <v>6</v>
      </c>
      <c r="BJ29" s="52">
        <f t="shared" si="30"/>
        <v>7</v>
      </c>
      <c r="BK29" s="52">
        <f t="shared" si="31"/>
        <v>8</v>
      </c>
      <c r="BL29" s="52">
        <f t="shared" si="32"/>
        <v>8</v>
      </c>
      <c r="BM29" s="52">
        <f t="shared" si="33"/>
        <v>8</v>
      </c>
      <c r="BN29" s="52">
        <f t="shared" si="34"/>
        <v>8</v>
      </c>
      <c r="BO29" s="52">
        <f t="shared" si="35"/>
        <v>8</v>
      </c>
      <c r="BP29" s="52">
        <f t="shared" si="36"/>
        <v>8</v>
      </c>
      <c r="BQ29" s="52">
        <f t="shared" si="37"/>
        <v>8</v>
      </c>
      <c r="BR29" s="52">
        <f t="shared" si="38"/>
        <v>8</v>
      </c>
      <c r="BS29" s="52">
        <f t="shared" si="39"/>
        <v>8</v>
      </c>
      <c r="BT29" s="52">
        <f t="shared" si="40"/>
        <v>8</v>
      </c>
      <c r="BU29" s="52">
        <f t="shared" si="41"/>
        <v>7</v>
      </c>
      <c r="BV29" s="52">
        <f t="shared" si="42"/>
        <v>8</v>
      </c>
      <c r="BW29" s="52">
        <f t="shared" si="43"/>
        <v>8</v>
      </c>
      <c r="BX29" s="52">
        <f t="shared" si="44"/>
        <v>8</v>
      </c>
      <c r="BZ29" s="52">
        <f t="shared" si="50"/>
        <v>0</v>
      </c>
      <c r="CA29" s="52">
        <f t="shared" si="51"/>
        <v>1</v>
      </c>
      <c r="CB29" s="52">
        <f t="shared" si="51"/>
        <v>0</v>
      </c>
      <c r="CC29" s="52">
        <f t="shared" si="51"/>
        <v>0</v>
      </c>
      <c r="CD29" s="52">
        <f t="shared" si="51"/>
        <v>0</v>
      </c>
      <c r="CE29" s="52">
        <f t="shared" si="51"/>
        <v>-4</v>
      </c>
      <c r="CF29" s="52">
        <f t="shared" si="51"/>
        <v>-3</v>
      </c>
      <c r="CG29" s="52">
        <f t="shared" si="51"/>
        <v>2</v>
      </c>
      <c r="CH29" s="52">
        <f t="shared" si="51"/>
        <v>3</v>
      </c>
      <c r="CI29" s="52">
        <f t="shared" si="51"/>
        <v>1</v>
      </c>
      <c r="CJ29" s="52">
        <f t="shared" si="51"/>
        <v>1</v>
      </c>
      <c r="CK29" s="52">
        <f t="shared" si="51"/>
        <v>0</v>
      </c>
      <c r="CL29" s="52">
        <f t="shared" si="51"/>
        <v>0</v>
      </c>
      <c r="CM29" s="52">
        <f t="shared" si="51"/>
        <v>0</v>
      </c>
      <c r="CN29" s="52">
        <f t="shared" si="51"/>
        <v>0</v>
      </c>
      <c r="CO29" s="52">
        <f t="shared" si="52"/>
        <v>0</v>
      </c>
      <c r="CP29" s="52">
        <f t="shared" si="52"/>
        <v>0</v>
      </c>
      <c r="CQ29" s="52">
        <f t="shared" si="52"/>
        <v>0</v>
      </c>
      <c r="CR29" s="52">
        <f t="shared" si="52"/>
        <v>0</v>
      </c>
      <c r="CS29" s="52">
        <f t="shared" si="52"/>
        <v>0</v>
      </c>
      <c r="CT29" s="52">
        <f t="shared" si="52"/>
        <v>-1</v>
      </c>
      <c r="CU29" s="52">
        <f t="shared" si="52"/>
        <v>1</v>
      </c>
      <c r="CV29" s="52">
        <f t="shared" si="52"/>
        <v>0</v>
      </c>
      <c r="CW29" s="52">
        <f t="shared" si="52"/>
        <v>0</v>
      </c>
    </row>
    <row r="30" spans="1:101">
      <c r="A30" s="60">
        <v>44952</v>
      </c>
      <c r="B30" s="426">
        <v>62624.2</v>
      </c>
      <c r="C30">
        <v>62737.7</v>
      </c>
      <c r="D30">
        <v>62646.7</v>
      </c>
      <c r="E30">
        <v>61514.9</v>
      </c>
      <c r="F30">
        <v>62076.9</v>
      </c>
      <c r="G30">
        <v>61993.8</v>
      </c>
      <c r="H30">
        <v>61897.1</v>
      </c>
      <c r="I30">
        <v>61903.3</v>
      </c>
      <c r="J30">
        <v>62063</v>
      </c>
      <c r="K30">
        <v>61910.8</v>
      </c>
      <c r="L30">
        <v>61845.9</v>
      </c>
      <c r="M30">
        <v>62259.4</v>
      </c>
      <c r="N30">
        <v>62721.2</v>
      </c>
      <c r="O30">
        <v>63673.3</v>
      </c>
      <c r="P30">
        <v>63523.8</v>
      </c>
      <c r="Q30">
        <v>63025.1</v>
      </c>
      <c r="R30">
        <v>62572</v>
      </c>
      <c r="S30">
        <v>63243.199999999997</v>
      </c>
      <c r="T30">
        <v>63554.6</v>
      </c>
      <c r="U30">
        <v>61332</v>
      </c>
      <c r="V30">
        <v>61982.1</v>
      </c>
      <c r="W30">
        <v>63359.5</v>
      </c>
      <c r="X30">
        <v>63180.800000000003</v>
      </c>
      <c r="Y30">
        <v>63328</v>
      </c>
      <c r="Z30" s="77">
        <v>1500969.3000000003</v>
      </c>
      <c r="AB30">
        <f t="shared" si="47"/>
        <v>0</v>
      </c>
      <c r="AC30">
        <f t="shared" si="0"/>
        <v>0</v>
      </c>
      <c r="AD30">
        <f t="shared" si="1"/>
        <v>0</v>
      </c>
      <c r="AE30">
        <f t="shared" si="2"/>
        <v>0</v>
      </c>
      <c r="AF30">
        <f t="shared" si="3"/>
        <v>0</v>
      </c>
      <c r="AG30">
        <f t="shared" si="4"/>
        <v>0</v>
      </c>
      <c r="AH30">
        <f t="shared" si="5"/>
        <v>0</v>
      </c>
      <c r="AI30">
        <f t="shared" si="6"/>
        <v>0</v>
      </c>
      <c r="AJ30">
        <f t="shared" si="7"/>
        <v>0</v>
      </c>
      <c r="AK30">
        <f t="shared" si="8"/>
        <v>0</v>
      </c>
      <c r="AL30">
        <f t="shared" si="9"/>
        <v>0</v>
      </c>
      <c r="AM30">
        <f t="shared" si="10"/>
        <v>0</v>
      </c>
      <c r="AN30">
        <f t="shared" si="11"/>
        <v>0</v>
      </c>
      <c r="AO30">
        <f t="shared" si="12"/>
        <v>0</v>
      </c>
      <c r="AP30">
        <f t="shared" si="13"/>
        <v>0</v>
      </c>
      <c r="AQ30">
        <f t="shared" si="14"/>
        <v>0</v>
      </c>
      <c r="AR30">
        <f t="shared" si="15"/>
        <v>0</v>
      </c>
      <c r="AS30">
        <f t="shared" si="16"/>
        <v>0</v>
      </c>
      <c r="AT30">
        <f t="shared" si="17"/>
        <v>0</v>
      </c>
      <c r="AU30">
        <f t="shared" si="18"/>
        <v>0</v>
      </c>
      <c r="AV30">
        <f t="shared" si="19"/>
        <v>0</v>
      </c>
      <c r="AW30">
        <f t="shared" si="20"/>
        <v>0</v>
      </c>
      <c r="AX30">
        <f t="shared" si="21"/>
        <v>0</v>
      </c>
      <c r="AY30">
        <f t="shared" si="48"/>
        <v>0</v>
      </c>
      <c r="BA30">
        <f t="shared" si="49"/>
        <v>8</v>
      </c>
      <c r="BB30">
        <f t="shared" si="22"/>
        <v>8</v>
      </c>
      <c r="BC30">
        <f t="shared" si="23"/>
        <v>8</v>
      </c>
      <c r="BD30">
        <f t="shared" si="24"/>
        <v>7</v>
      </c>
      <c r="BE30">
        <f t="shared" si="25"/>
        <v>8</v>
      </c>
      <c r="BF30">
        <f t="shared" si="26"/>
        <v>8</v>
      </c>
      <c r="BG30">
        <f t="shared" si="27"/>
        <v>8</v>
      </c>
      <c r="BH30">
        <f t="shared" si="28"/>
        <v>8</v>
      </c>
      <c r="BI30">
        <f t="shared" si="29"/>
        <v>8</v>
      </c>
      <c r="BJ30">
        <f t="shared" si="30"/>
        <v>8</v>
      </c>
      <c r="BK30">
        <f t="shared" si="31"/>
        <v>8</v>
      </c>
      <c r="BL30">
        <f t="shared" si="32"/>
        <v>8</v>
      </c>
      <c r="BM30">
        <f t="shared" si="33"/>
        <v>8</v>
      </c>
      <c r="BN30">
        <f t="shared" si="34"/>
        <v>8</v>
      </c>
      <c r="BO30">
        <f t="shared" si="35"/>
        <v>8</v>
      </c>
      <c r="BP30">
        <f t="shared" si="36"/>
        <v>8</v>
      </c>
      <c r="BQ30">
        <f t="shared" si="37"/>
        <v>8</v>
      </c>
      <c r="BR30">
        <f t="shared" si="38"/>
        <v>8</v>
      </c>
      <c r="BS30">
        <f t="shared" si="39"/>
        <v>8</v>
      </c>
      <c r="BT30">
        <f t="shared" si="40"/>
        <v>7</v>
      </c>
      <c r="BU30">
        <f t="shared" si="41"/>
        <v>8</v>
      </c>
      <c r="BV30">
        <f t="shared" si="42"/>
        <v>8</v>
      </c>
      <c r="BW30">
        <f t="shared" si="43"/>
        <v>8</v>
      </c>
      <c r="BX30">
        <f t="shared" si="44"/>
        <v>8</v>
      </c>
      <c r="BZ30">
        <f t="shared" si="50"/>
        <v>0</v>
      </c>
      <c r="CA30">
        <f t="shared" si="51"/>
        <v>0</v>
      </c>
      <c r="CB30">
        <f t="shared" si="51"/>
        <v>0</v>
      </c>
      <c r="CC30">
        <f t="shared" si="51"/>
        <v>-1</v>
      </c>
      <c r="CD30">
        <f t="shared" si="51"/>
        <v>1</v>
      </c>
      <c r="CE30">
        <f t="shared" si="51"/>
        <v>0</v>
      </c>
      <c r="CF30">
        <f t="shared" si="51"/>
        <v>0</v>
      </c>
      <c r="CG30">
        <f t="shared" si="51"/>
        <v>0</v>
      </c>
      <c r="CH30">
        <f t="shared" si="51"/>
        <v>0</v>
      </c>
      <c r="CI30">
        <f t="shared" si="51"/>
        <v>0</v>
      </c>
      <c r="CJ30">
        <f t="shared" si="51"/>
        <v>0</v>
      </c>
      <c r="CK30">
        <f t="shared" si="51"/>
        <v>0</v>
      </c>
      <c r="CL30">
        <f t="shared" si="51"/>
        <v>0</v>
      </c>
      <c r="CM30">
        <f t="shared" si="51"/>
        <v>0</v>
      </c>
      <c r="CN30">
        <f t="shared" si="51"/>
        <v>0</v>
      </c>
      <c r="CO30">
        <f t="shared" si="52"/>
        <v>0</v>
      </c>
      <c r="CP30">
        <f t="shared" si="52"/>
        <v>0</v>
      </c>
      <c r="CQ30">
        <f t="shared" si="52"/>
        <v>0</v>
      </c>
      <c r="CR30">
        <f t="shared" si="52"/>
        <v>0</v>
      </c>
      <c r="CS30">
        <f t="shared" si="52"/>
        <v>-1</v>
      </c>
      <c r="CT30">
        <f t="shared" si="52"/>
        <v>1</v>
      </c>
      <c r="CU30">
        <f t="shared" si="52"/>
        <v>0</v>
      </c>
      <c r="CV30">
        <f t="shared" si="52"/>
        <v>0</v>
      </c>
      <c r="CW30">
        <f t="shared" si="52"/>
        <v>0</v>
      </c>
    </row>
    <row r="31" spans="1:101">
      <c r="A31" s="60">
        <v>44953</v>
      </c>
      <c r="B31" s="426">
        <v>63191.7</v>
      </c>
      <c r="C31">
        <v>63227.8</v>
      </c>
      <c r="D31">
        <v>63293.9</v>
      </c>
      <c r="E31">
        <v>63264.800000000003</v>
      </c>
      <c r="F31">
        <v>63397.3</v>
      </c>
      <c r="G31">
        <v>62618.5</v>
      </c>
      <c r="H31">
        <v>62043.4</v>
      </c>
      <c r="I31">
        <v>62169.9</v>
      </c>
      <c r="J31">
        <v>61930.400000000001</v>
      </c>
      <c r="K31">
        <v>61880.7</v>
      </c>
      <c r="L31">
        <v>61872.4</v>
      </c>
      <c r="M31">
        <v>61812.6</v>
      </c>
      <c r="N31">
        <v>61873.7</v>
      </c>
      <c r="O31">
        <v>62582.400000000001</v>
      </c>
      <c r="P31">
        <v>63555.3</v>
      </c>
      <c r="Q31">
        <v>63689.3</v>
      </c>
      <c r="R31">
        <v>62014</v>
      </c>
      <c r="S31">
        <v>62868.7</v>
      </c>
      <c r="T31">
        <v>62869.599999999999</v>
      </c>
      <c r="U31">
        <v>62868.2</v>
      </c>
      <c r="V31">
        <v>62313.599999999999</v>
      </c>
      <c r="W31">
        <v>62417.4</v>
      </c>
      <c r="X31">
        <v>64185.8</v>
      </c>
      <c r="Y31">
        <v>63891.199999999997</v>
      </c>
      <c r="Z31" s="77">
        <v>1505832.6</v>
      </c>
      <c r="AB31" s="52">
        <f t="shared" si="47"/>
        <v>0</v>
      </c>
      <c r="AC31" s="52">
        <f t="shared" si="0"/>
        <v>0</v>
      </c>
      <c r="AD31" s="52">
        <f t="shared" si="1"/>
        <v>0</v>
      </c>
      <c r="AE31" s="52">
        <f t="shared" si="2"/>
        <v>0</v>
      </c>
      <c r="AF31" s="52">
        <f t="shared" si="3"/>
        <v>0</v>
      </c>
      <c r="AG31" s="52">
        <f t="shared" si="4"/>
        <v>0</v>
      </c>
      <c r="AH31" s="52">
        <f t="shared" si="5"/>
        <v>0</v>
      </c>
      <c r="AI31" s="52">
        <f t="shared" si="6"/>
        <v>0</v>
      </c>
      <c r="AJ31" s="52">
        <f t="shared" si="7"/>
        <v>0</v>
      </c>
      <c r="AK31" s="52">
        <f t="shared" si="8"/>
        <v>0</v>
      </c>
      <c r="AL31" s="52">
        <f t="shared" si="9"/>
        <v>0</v>
      </c>
      <c r="AM31" s="52">
        <f t="shared" si="10"/>
        <v>0</v>
      </c>
      <c r="AN31" s="52">
        <f t="shared" si="11"/>
        <v>0</v>
      </c>
      <c r="AO31" s="52">
        <f t="shared" si="12"/>
        <v>0</v>
      </c>
      <c r="AP31" s="52">
        <f t="shared" si="13"/>
        <v>0</v>
      </c>
      <c r="AQ31" s="52">
        <f t="shared" si="14"/>
        <v>0</v>
      </c>
      <c r="AR31" s="52">
        <f t="shared" si="15"/>
        <v>0</v>
      </c>
      <c r="AS31" s="52">
        <f t="shared" si="16"/>
        <v>0</v>
      </c>
      <c r="AT31" s="52">
        <f t="shared" si="17"/>
        <v>0</v>
      </c>
      <c r="AU31" s="52">
        <f t="shared" si="18"/>
        <v>0</v>
      </c>
      <c r="AV31" s="52">
        <f t="shared" si="19"/>
        <v>0</v>
      </c>
      <c r="AW31" s="52">
        <f t="shared" si="20"/>
        <v>0</v>
      </c>
      <c r="AX31" s="52">
        <f t="shared" si="21"/>
        <v>0</v>
      </c>
      <c r="AY31" s="52">
        <f t="shared" si="48"/>
        <v>0</v>
      </c>
      <c r="BA31" s="52">
        <f t="shared" si="49"/>
        <v>8</v>
      </c>
      <c r="BB31" s="52">
        <f t="shared" si="22"/>
        <v>8</v>
      </c>
      <c r="BC31" s="52">
        <f t="shared" si="23"/>
        <v>8</v>
      </c>
      <c r="BD31" s="52">
        <f t="shared" si="24"/>
        <v>8</v>
      </c>
      <c r="BE31" s="52">
        <f t="shared" si="25"/>
        <v>8</v>
      </c>
      <c r="BF31" s="52">
        <f t="shared" si="26"/>
        <v>8</v>
      </c>
      <c r="BG31" s="52">
        <f t="shared" si="27"/>
        <v>8</v>
      </c>
      <c r="BH31" s="52">
        <f t="shared" si="28"/>
        <v>8</v>
      </c>
      <c r="BI31" s="52">
        <f t="shared" si="29"/>
        <v>8</v>
      </c>
      <c r="BJ31" s="52">
        <f t="shared" si="30"/>
        <v>8</v>
      </c>
      <c r="BK31" s="52">
        <f t="shared" si="31"/>
        <v>8</v>
      </c>
      <c r="BL31" s="52">
        <f t="shared" si="32"/>
        <v>8</v>
      </c>
      <c r="BM31" s="52">
        <f t="shared" si="33"/>
        <v>8</v>
      </c>
      <c r="BN31" s="52">
        <f t="shared" si="34"/>
        <v>8</v>
      </c>
      <c r="BO31" s="52">
        <f t="shared" si="35"/>
        <v>8</v>
      </c>
      <c r="BP31" s="52">
        <f t="shared" si="36"/>
        <v>8</v>
      </c>
      <c r="BQ31" s="52">
        <f t="shared" si="37"/>
        <v>8</v>
      </c>
      <c r="BR31" s="52">
        <f t="shared" si="38"/>
        <v>8</v>
      </c>
      <c r="BS31" s="52">
        <f t="shared" si="39"/>
        <v>8</v>
      </c>
      <c r="BT31" s="52">
        <f t="shared" si="40"/>
        <v>8</v>
      </c>
      <c r="BU31" s="52">
        <f t="shared" si="41"/>
        <v>8</v>
      </c>
      <c r="BV31" s="52">
        <f t="shared" si="42"/>
        <v>8</v>
      </c>
      <c r="BW31" s="52">
        <f t="shared" si="43"/>
        <v>8</v>
      </c>
      <c r="BX31" s="52">
        <f t="shared" si="44"/>
        <v>8</v>
      </c>
      <c r="BZ31" s="52">
        <f t="shared" si="50"/>
        <v>0</v>
      </c>
      <c r="CA31" s="52">
        <f t="shared" si="51"/>
        <v>0</v>
      </c>
      <c r="CB31" s="52">
        <f t="shared" si="51"/>
        <v>0</v>
      </c>
      <c r="CC31" s="52">
        <f t="shared" si="51"/>
        <v>0</v>
      </c>
      <c r="CD31" s="52">
        <f t="shared" si="51"/>
        <v>0</v>
      </c>
      <c r="CE31" s="52">
        <f t="shared" si="51"/>
        <v>0</v>
      </c>
      <c r="CF31" s="52">
        <f t="shared" si="51"/>
        <v>0</v>
      </c>
      <c r="CG31" s="52">
        <f t="shared" si="51"/>
        <v>0</v>
      </c>
      <c r="CH31" s="52">
        <f t="shared" si="51"/>
        <v>0</v>
      </c>
      <c r="CI31" s="52">
        <f t="shared" si="51"/>
        <v>0</v>
      </c>
      <c r="CJ31" s="52">
        <f t="shared" si="51"/>
        <v>0</v>
      </c>
      <c r="CK31" s="52">
        <f t="shared" si="51"/>
        <v>0</v>
      </c>
      <c r="CL31" s="52">
        <f t="shared" si="51"/>
        <v>0</v>
      </c>
      <c r="CM31" s="52">
        <f t="shared" si="51"/>
        <v>0</v>
      </c>
      <c r="CN31" s="52">
        <f t="shared" si="51"/>
        <v>0</v>
      </c>
      <c r="CO31" s="52">
        <f t="shared" si="52"/>
        <v>0</v>
      </c>
      <c r="CP31" s="52">
        <f t="shared" si="52"/>
        <v>0</v>
      </c>
      <c r="CQ31" s="52">
        <f t="shared" si="52"/>
        <v>0</v>
      </c>
      <c r="CR31" s="52">
        <f t="shared" si="52"/>
        <v>0</v>
      </c>
      <c r="CS31" s="52">
        <f t="shared" si="52"/>
        <v>0</v>
      </c>
      <c r="CT31" s="52">
        <f t="shared" si="52"/>
        <v>0</v>
      </c>
      <c r="CU31" s="52">
        <f t="shared" si="52"/>
        <v>0</v>
      </c>
      <c r="CV31" s="52">
        <f t="shared" si="52"/>
        <v>0</v>
      </c>
      <c r="CW31" s="52">
        <f t="shared" si="52"/>
        <v>0</v>
      </c>
    </row>
    <row r="32" spans="1:101">
      <c r="A32" s="60">
        <v>44954</v>
      </c>
      <c r="B32" s="426">
        <v>54588.6</v>
      </c>
      <c r="C32">
        <v>53783.8</v>
      </c>
      <c r="D32">
        <v>54445.7</v>
      </c>
      <c r="E32">
        <v>54459.9</v>
      </c>
      <c r="F32">
        <v>54111.3</v>
      </c>
      <c r="G32">
        <v>54198.6</v>
      </c>
      <c r="H32">
        <v>54039.1</v>
      </c>
      <c r="I32">
        <v>54268.1</v>
      </c>
      <c r="J32">
        <v>53749.1</v>
      </c>
      <c r="K32">
        <v>53787.199999999997</v>
      </c>
      <c r="L32">
        <v>53973.4</v>
      </c>
      <c r="M32">
        <v>54213.1</v>
      </c>
      <c r="N32">
        <v>54205.7</v>
      </c>
      <c r="O32">
        <v>54096.800000000003</v>
      </c>
      <c r="P32">
        <v>54257.8</v>
      </c>
      <c r="Q32">
        <v>54205.5</v>
      </c>
      <c r="R32">
        <v>53636.1</v>
      </c>
      <c r="S32">
        <v>54371.4</v>
      </c>
      <c r="T32">
        <v>54169.3</v>
      </c>
      <c r="U32">
        <v>54124.4</v>
      </c>
      <c r="V32">
        <v>54073</v>
      </c>
      <c r="W32">
        <v>53601.4</v>
      </c>
      <c r="X32">
        <v>54012.6</v>
      </c>
      <c r="Y32">
        <v>54655.7</v>
      </c>
      <c r="Z32" s="77">
        <v>1299027.5999999999</v>
      </c>
      <c r="AB32">
        <f t="shared" si="47"/>
        <v>0</v>
      </c>
      <c r="AC32">
        <f t="shared" si="0"/>
        <v>0</v>
      </c>
      <c r="AD32">
        <f t="shared" si="1"/>
        <v>0</v>
      </c>
      <c r="AE32">
        <f t="shared" si="2"/>
        <v>0</v>
      </c>
      <c r="AF32">
        <f t="shared" si="3"/>
        <v>0</v>
      </c>
      <c r="AG32">
        <f t="shared" si="4"/>
        <v>0</v>
      </c>
      <c r="AH32">
        <f t="shared" si="5"/>
        <v>0</v>
      </c>
      <c r="AI32">
        <f t="shared" si="6"/>
        <v>0</v>
      </c>
      <c r="AJ32">
        <f t="shared" si="7"/>
        <v>0</v>
      </c>
      <c r="AK32">
        <f t="shared" si="8"/>
        <v>0</v>
      </c>
      <c r="AL32">
        <f t="shared" si="9"/>
        <v>0</v>
      </c>
      <c r="AM32">
        <f t="shared" si="10"/>
        <v>0</v>
      </c>
      <c r="AN32">
        <f t="shared" si="11"/>
        <v>0</v>
      </c>
      <c r="AO32">
        <f t="shared" si="12"/>
        <v>0</v>
      </c>
      <c r="AP32">
        <f t="shared" si="13"/>
        <v>0</v>
      </c>
      <c r="AQ32">
        <f t="shared" si="14"/>
        <v>0</v>
      </c>
      <c r="AR32">
        <f t="shared" si="15"/>
        <v>0</v>
      </c>
      <c r="AS32">
        <f t="shared" si="16"/>
        <v>0</v>
      </c>
      <c r="AT32">
        <f t="shared" si="17"/>
        <v>0</v>
      </c>
      <c r="AU32">
        <f t="shared" si="18"/>
        <v>0</v>
      </c>
      <c r="AV32">
        <f t="shared" si="19"/>
        <v>0</v>
      </c>
      <c r="AW32">
        <f t="shared" si="20"/>
        <v>0</v>
      </c>
      <c r="AX32">
        <f t="shared" si="21"/>
        <v>0</v>
      </c>
      <c r="AY32">
        <f t="shared" si="48"/>
        <v>0</v>
      </c>
      <c r="BA32">
        <f t="shared" si="49"/>
        <v>7</v>
      </c>
      <c r="BB32">
        <f t="shared" si="22"/>
        <v>7</v>
      </c>
      <c r="BC32">
        <f t="shared" si="23"/>
        <v>7</v>
      </c>
      <c r="BD32">
        <f t="shared" si="24"/>
        <v>7</v>
      </c>
      <c r="BE32">
        <f t="shared" si="25"/>
        <v>7</v>
      </c>
      <c r="BF32">
        <f t="shared" si="26"/>
        <v>7</v>
      </c>
      <c r="BG32">
        <f t="shared" si="27"/>
        <v>7</v>
      </c>
      <c r="BH32">
        <f t="shared" si="28"/>
        <v>7</v>
      </c>
      <c r="BI32">
        <f t="shared" si="29"/>
        <v>7</v>
      </c>
      <c r="BJ32">
        <f t="shared" si="30"/>
        <v>7</v>
      </c>
      <c r="BK32">
        <f t="shared" si="31"/>
        <v>7</v>
      </c>
      <c r="BL32">
        <f t="shared" si="32"/>
        <v>7</v>
      </c>
      <c r="BM32">
        <f t="shared" si="33"/>
        <v>7</v>
      </c>
      <c r="BN32">
        <f t="shared" si="34"/>
        <v>7</v>
      </c>
      <c r="BO32">
        <f t="shared" si="35"/>
        <v>7</v>
      </c>
      <c r="BP32">
        <f t="shared" si="36"/>
        <v>7</v>
      </c>
      <c r="BQ32">
        <f t="shared" si="37"/>
        <v>7</v>
      </c>
      <c r="BR32">
        <f t="shared" si="38"/>
        <v>7</v>
      </c>
      <c r="BS32">
        <f t="shared" si="39"/>
        <v>7</v>
      </c>
      <c r="BT32">
        <f t="shared" si="40"/>
        <v>7</v>
      </c>
      <c r="BU32">
        <f t="shared" si="41"/>
        <v>7</v>
      </c>
      <c r="BV32">
        <f t="shared" si="42"/>
        <v>7</v>
      </c>
      <c r="BW32">
        <f t="shared" si="43"/>
        <v>7</v>
      </c>
      <c r="BX32">
        <f t="shared" si="44"/>
        <v>7</v>
      </c>
      <c r="BZ32">
        <f t="shared" si="50"/>
        <v>-1</v>
      </c>
      <c r="CA32">
        <f t="shared" si="51"/>
        <v>0</v>
      </c>
      <c r="CB32">
        <f t="shared" si="51"/>
        <v>0</v>
      </c>
      <c r="CC32">
        <f t="shared" si="51"/>
        <v>0</v>
      </c>
      <c r="CD32">
        <f t="shared" si="51"/>
        <v>0</v>
      </c>
      <c r="CE32">
        <f t="shared" si="51"/>
        <v>0</v>
      </c>
      <c r="CF32">
        <f t="shared" si="51"/>
        <v>0</v>
      </c>
      <c r="CG32">
        <f t="shared" si="51"/>
        <v>0</v>
      </c>
      <c r="CH32">
        <f t="shared" si="51"/>
        <v>0</v>
      </c>
      <c r="CI32">
        <f t="shared" si="51"/>
        <v>0</v>
      </c>
      <c r="CJ32">
        <f t="shared" si="51"/>
        <v>0</v>
      </c>
      <c r="CK32">
        <f t="shared" si="51"/>
        <v>0</v>
      </c>
      <c r="CL32">
        <f t="shared" si="51"/>
        <v>0</v>
      </c>
      <c r="CM32">
        <f t="shared" si="51"/>
        <v>0</v>
      </c>
      <c r="CN32">
        <f t="shared" si="51"/>
        <v>0</v>
      </c>
      <c r="CO32">
        <f t="shared" si="52"/>
        <v>0</v>
      </c>
      <c r="CP32">
        <f t="shared" si="52"/>
        <v>0</v>
      </c>
      <c r="CQ32">
        <f t="shared" si="52"/>
        <v>0</v>
      </c>
      <c r="CR32">
        <f t="shared" si="52"/>
        <v>0</v>
      </c>
      <c r="CS32">
        <f t="shared" si="52"/>
        <v>0</v>
      </c>
      <c r="CT32">
        <f t="shared" si="52"/>
        <v>0</v>
      </c>
      <c r="CU32">
        <f t="shared" si="52"/>
        <v>0</v>
      </c>
      <c r="CV32">
        <f t="shared" si="52"/>
        <v>0</v>
      </c>
      <c r="CW32">
        <f t="shared" si="52"/>
        <v>0</v>
      </c>
    </row>
    <row r="33" spans="1:102">
      <c r="A33" s="60">
        <v>44955</v>
      </c>
      <c r="B33" s="426">
        <v>55096.5</v>
      </c>
      <c r="C33">
        <v>52874.9</v>
      </c>
      <c r="D33">
        <v>52226.1</v>
      </c>
      <c r="E33">
        <v>53369.7</v>
      </c>
      <c r="F33">
        <v>53076.7</v>
      </c>
      <c r="G33">
        <v>16590.400000000001</v>
      </c>
      <c r="H33">
        <v>1178.5</v>
      </c>
      <c r="I33">
        <v>0</v>
      </c>
      <c r="J33">
        <v>0</v>
      </c>
      <c r="K33">
        <v>3871.8</v>
      </c>
      <c r="L33">
        <v>17397</v>
      </c>
      <c r="M33">
        <v>42936</v>
      </c>
      <c r="N33">
        <v>53152.2</v>
      </c>
      <c r="O33">
        <v>57618.400000000001</v>
      </c>
      <c r="P33">
        <v>67094.399999999994</v>
      </c>
      <c r="Q33">
        <v>54259.4</v>
      </c>
      <c r="R33">
        <v>53732.1</v>
      </c>
      <c r="S33">
        <v>53061.2</v>
      </c>
      <c r="T33">
        <v>54251.7</v>
      </c>
      <c r="U33">
        <v>54406.7</v>
      </c>
      <c r="V33">
        <v>54438.9</v>
      </c>
      <c r="W33">
        <v>54344.2</v>
      </c>
      <c r="X33">
        <v>54426.3</v>
      </c>
      <c r="Y33">
        <v>54229.599999999999</v>
      </c>
      <c r="Z33" s="77">
        <v>1013632.7</v>
      </c>
      <c r="AB33" s="52">
        <f t="shared" si="47"/>
        <v>0</v>
      </c>
      <c r="AC33" s="52">
        <f t="shared" si="0"/>
        <v>0</v>
      </c>
      <c r="AD33" s="52">
        <f t="shared" si="1"/>
        <v>0</v>
      </c>
      <c r="AE33" s="52">
        <f t="shared" si="2"/>
        <v>0</v>
      </c>
      <c r="AF33" s="52">
        <f t="shared" si="3"/>
        <v>0</v>
      </c>
      <c r="AG33" s="52">
        <f t="shared" si="4"/>
        <v>0</v>
      </c>
      <c r="AH33" s="52">
        <f t="shared" si="5"/>
        <v>0</v>
      </c>
      <c r="AI33" s="52">
        <f t="shared" si="6"/>
        <v>0</v>
      </c>
      <c r="AJ33" s="52">
        <f t="shared" si="7"/>
        <v>1</v>
      </c>
      <c r="AK33" s="52">
        <f t="shared" si="8"/>
        <v>0</v>
      </c>
      <c r="AL33" s="52">
        <f t="shared" si="9"/>
        <v>0</v>
      </c>
      <c r="AM33" s="52">
        <f t="shared" si="10"/>
        <v>0</v>
      </c>
      <c r="AN33" s="52">
        <f t="shared" si="11"/>
        <v>0</v>
      </c>
      <c r="AO33" s="52">
        <f t="shared" si="12"/>
        <v>0</v>
      </c>
      <c r="AP33" s="52">
        <f t="shared" si="13"/>
        <v>0</v>
      </c>
      <c r="AQ33" s="52">
        <f t="shared" si="14"/>
        <v>0</v>
      </c>
      <c r="AR33" s="52">
        <f t="shared" si="15"/>
        <v>0</v>
      </c>
      <c r="AS33" s="52">
        <f t="shared" si="16"/>
        <v>0</v>
      </c>
      <c r="AT33" s="52">
        <f t="shared" si="17"/>
        <v>0</v>
      </c>
      <c r="AU33" s="52">
        <f t="shared" si="18"/>
        <v>0</v>
      </c>
      <c r="AV33" s="52">
        <f t="shared" si="19"/>
        <v>0</v>
      </c>
      <c r="AW33" s="52">
        <f t="shared" si="20"/>
        <v>0</v>
      </c>
      <c r="AX33" s="52">
        <f t="shared" si="21"/>
        <v>0</v>
      </c>
      <c r="AY33" s="52">
        <f t="shared" si="48"/>
        <v>0</v>
      </c>
      <c r="BA33" s="52">
        <f t="shared" si="49"/>
        <v>7</v>
      </c>
      <c r="BB33" s="52">
        <f t="shared" si="22"/>
        <v>7</v>
      </c>
      <c r="BC33" s="52">
        <f t="shared" si="23"/>
        <v>6</v>
      </c>
      <c r="BD33" s="52">
        <f t="shared" si="24"/>
        <v>7</v>
      </c>
      <c r="BE33" s="52">
        <f t="shared" si="25"/>
        <v>7</v>
      </c>
      <c r="BF33" s="52">
        <f t="shared" si="26"/>
        <v>2</v>
      </c>
      <c r="BG33" s="52">
        <f t="shared" si="27"/>
        <v>1</v>
      </c>
      <c r="BH33" s="52">
        <f t="shared" si="28"/>
        <v>0</v>
      </c>
      <c r="BI33" s="52">
        <f t="shared" si="29"/>
        <v>0</v>
      </c>
      <c r="BJ33" s="52">
        <f t="shared" si="30"/>
        <v>1</v>
      </c>
      <c r="BK33" s="52">
        <f t="shared" si="31"/>
        <v>2</v>
      </c>
      <c r="BL33" s="52">
        <f t="shared" si="32"/>
        <v>5</v>
      </c>
      <c r="BM33" s="52">
        <f t="shared" si="33"/>
        <v>7</v>
      </c>
      <c r="BN33" s="52">
        <f t="shared" si="34"/>
        <v>7</v>
      </c>
      <c r="BO33" s="52">
        <f t="shared" si="35"/>
        <v>8</v>
      </c>
      <c r="BP33" s="52">
        <f t="shared" si="36"/>
        <v>7</v>
      </c>
      <c r="BQ33" s="52">
        <f t="shared" si="37"/>
        <v>7</v>
      </c>
      <c r="BR33" s="52">
        <f t="shared" si="38"/>
        <v>7</v>
      </c>
      <c r="BS33" s="52">
        <f t="shared" si="39"/>
        <v>7</v>
      </c>
      <c r="BT33" s="52">
        <f t="shared" si="40"/>
        <v>7</v>
      </c>
      <c r="BU33" s="52">
        <f t="shared" si="41"/>
        <v>7</v>
      </c>
      <c r="BV33" s="52">
        <f t="shared" si="42"/>
        <v>7</v>
      </c>
      <c r="BW33" s="52">
        <f t="shared" si="43"/>
        <v>7</v>
      </c>
      <c r="BX33" s="52">
        <f t="shared" si="44"/>
        <v>7</v>
      </c>
      <c r="BZ33" s="52">
        <f t="shared" si="50"/>
        <v>0</v>
      </c>
      <c r="CA33" s="52">
        <f t="shared" si="51"/>
        <v>0</v>
      </c>
      <c r="CB33" s="52">
        <f t="shared" si="51"/>
        <v>-1</v>
      </c>
      <c r="CC33" s="52">
        <f t="shared" si="51"/>
        <v>1</v>
      </c>
      <c r="CD33" s="52">
        <f t="shared" si="51"/>
        <v>0</v>
      </c>
      <c r="CE33" s="52">
        <f t="shared" si="51"/>
        <v>-5</v>
      </c>
      <c r="CF33" s="52">
        <f t="shared" si="51"/>
        <v>-1</v>
      </c>
      <c r="CG33" s="52">
        <f t="shared" si="51"/>
        <v>-1</v>
      </c>
      <c r="CH33" s="52">
        <f t="shared" si="51"/>
        <v>0</v>
      </c>
      <c r="CI33" s="52">
        <f t="shared" si="51"/>
        <v>1</v>
      </c>
      <c r="CJ33" s="52">
        <f t="shared" si="51"/>
        <v>1</v>
      </c>
      <c r="CK33" s="52">
        <f t="shared" si="51"/>
        <v>3</v>
      </c>
      <c r="CL33" s="52">
        <f t="shared" si="51"/>
        <v>2</v>
      </c>
      <c r="CM33" s="52">
        <f t="shared" si="51"/>
        <v>0</v>
      </c>
      <c r="CN33" s="52">
        <f t="shared" si="51"/>
        <v>1</v>
      </c>
      <c r="CO33" s="52">
        <f t="shared" si="52"/>
        <v>-1</v>
      </c>
      <c r="CP33" s="52">
        <f t="shared" si="52"/>
        <v>0</v>
      </c>
      <c r="CQ33" s="52">
        <f t="shared" si="52"/>
        <v>0</v>
      </c>
      <c r="CR33" s="52">
        <f t="shared" si="52"/>
        <v>0</v>
      </c>
      <c r="CS33" s="52">
        <f t="shared" si="52"/>
        <v>0</v>
      </c>
      <c r="CT33" s="52">
        <f t="shared" si="52"/>
        <v>0</v>
      </c>
      <c r="CU33" s="52">
        <f t="shared" si="52"/>
        <v>0</v>
      </c>
      <c r="CV33" s="52">
        <f t="shared" si="52"/>
        <v>0</v>
      </c>
      <c r="CW33" s="52">
        <f t="shared" si="52"/>
        <v>0</v>
      </c>
    </row>
    <row r="34" spans="1:102">
      <c r="A34" s="60">
        <v>44956</v>
      </c>
      <c r="B34" s="426">
        <v>62594.3</v>
      </c>
      <c r="C34">
        <v>63128.9</v>
      </c>
      <c r="D34">
        <v>63119.199999999997</v>
      </c>
      <c r="E34">
        <v>62282.3</v>
      </c>
      <c r="F34">
        <v>25831</v>
      </c>
      <c r="G34">
        <v>2144.1999999999998</v>
      </c>
      <c r="H34">
        <v>5994.1</v>
      </c>
      <c r="I34">
        <v>17040.5</v>
      </c>
      <c r="J34">
        <v>44306.8</v>
      </c>
      <c r="K34">
        <v>61715.6</v>
      </c>
      <c r="L34">
        <v>64377.7</v>
      </c>
      <c r="M34">
        <v>63946.6</v>
      </c>
      <c r="N34">
        <v>63931.199999999997</v>
      </c>
      <c r="O34">
        <v>63729.4</v>
      </c>
      <c r="P34">
        <v>62417.2</v>
      </c>
      <c r="Q34">
        <v>63149.4</v>
      </c>
      <c r="R34">
        <v>63129.3</v>
      </c>
      <c r="S34">
        <v>63032.6</v>
      </c>
      <c r="T34">
        <v>63133.3</v>
      </c>
      <c r="U34">
        <v>63169.1</v>
      </c>
      <c r="V34">
        <v>63070.9</v>
      </c>
      <c r="W34">
        <v>62985.7</v>
      </c>
      <c r="X34">
        <v>63146</v>
      </c>
      <c r="Y34">
        <v>63359.5</v>
      </c>
      <c r="Z34" s="77">
        <v>1294734.7999999998</v>
      </c>
      <c r="AB34">
        <f t="shared" si="47"/>
        <v>0</v>
      </c>
      <c r="AC34">
        <f t="shared" si="0"/>
        <v>0</v>
      </c>
      <c r="AD34">
        <f t="shared" si="1"/>
        <v>0</v>
      </c>
      <c r="AE34">
        <f t="shared" si="2"/>
        <v>0</v>
      </c>
      <c r="AF34">
        <f t="shared" si="3"/>
        <v>0</v>
      </c>
      <c r="AG34">
        <f t="shared" si="4"/>
        <v>0</v>
      </c>
      <c r="AH34">
        <f t="shared" si="5"/>
        <v>0</v>
      </c>
      <c r="AI34">
        <f t="shared" si="6"/>
        <v>0</v>
      </c>
      <c r="AJ34">
        <f t="shared" si="7"/>
        <v>0</v>
      </c>
      <c r="AK34">
        <f t="shared" si="8"/>
        <v>0</v>
      </c>
      <c r="AL34">
        <f t="shared" si="9"/>
        <v>0</v>
      </c>
      <c r="AM34">
        <f t="shared" si="10"/>
        <v>0</v>
      </c>
      <c r="AN34">
        <f t="shared" si="11"/>
        <v>0</v>
      </c>
      <c r="AO34">
        <f t="shared" si="12"/>
        <v>0</v>
      </c>
      <c r="AP34">
        <f t="shared" si="13"/>
        <v>0</v>
      </c>
      <c r="AQ34">
        <f t="shared" si="14"/>
        <v>0</v>
      </c>
      <c r="AR34">
        <f t="shared" si="15"/>
        <v>0</v>
      </c>
      <c r="AS34">
        <f t="shared" si="16"/>
        <v>0</v>
      </c>
      <c r="AT34">
        <f t="shared" si="17"/>
        <v>0</v>
      </c>
      <c r="AU34">
        <f t="shared" si="18"/>
        <v>0</v>
      </c>
      <c r="AV34">
        <f t="shared" si="19"/>
        <v>0</v>
      </c>
      <c r="AW34">
        <f t="shared" si="20"/>
        <v>0</v>
      </c>
      <c r="AX34">
        <f t="shared" si="21"/>
        <v>0</v>
      </c>
      <c r="AY34">
        <f t="shared" si="48"/>
        <v>0</v>
      </c>
      <c r="BA34">
        <f t="shared" si="49"/>
        <v>8</v>
      </c>
      <c r="BB34">
        <f t="shared" si="22"/>
        <v>8</v>
      </c>
      <c r="BC34">
        <f t="shared" si="23"/>
        <v>8</v>
      </c>
      <c r="BD34">
        <f t="shared" si="24"/>
        <v>8</v>
      </c>
      <c r="BE34">
        <f t="shared" si="25"/>
        <v>3</v>
      </c>
      <c r="BF34">
        <f t="shared" si="26"/>
        <v>1</v>
      </c>
      <c r="BG34">
        <f t="shared" si="27"/>
        <v>1</v>
      </c>
      <c r="BH34">
        <f t="shared" si="28"/>
        <v>2</v>
      </c>
      <c r="BI34">
        <f t="shared" si="29"/>
        <v>6</v>
      </c>
      <c r="BJ34">
        <f t="shared" si="30"/>
        <v>8</v>
      </c>
      <c r="BK34">
        <f t="shared" si="31"/>
        <v>8</v>
      </c>
      <c r="BL34">
        <f t="shared" si="32"/>
        <v>8</v>
      </c>
      <c r="BM34">
        <f t="shared" si="33"/>
        <v>8</v>
      </c>
      <c r="BN34">
        <f t="shared" si="34"/>
        <v>8</v>
      </c>
      <c r="BO34">
        <f t="shared" si="35"/>
        <v>8</v>
      </c>
      <c r="BP34">
        <f t="shared" si="36"/>
        <v>8</v>
      </c>
      <c r="BQ34">
        <f t="shared" si="37"/>
        <v>8</v>
      </c>
      <c r="BR34">
        <f t="shared" si="38"/>
        <v>8</v>
      </c>
      <c r="BS34">
        <f t="shared" si="39"/>
        <v>8</v>
      </c>
      <c r="BT34">
        <f t="shared" si="40"/>
        <v>8</v>
      </c>
      <c r="BU34">
        <f t="shared" si="41"/>
        <v>8</v>
      </c>
      <c r="BV34">
        <f t="shared" si="42"/>
        <v>8</v>
      </c>
      <c r="BW34">
        <f t="shared" si="43"/>
        <v>8</v>
      </c>
      <c r="BX34">
        <f t="shared" si="44"/>
        <v>8</v>
      </c>
      <c r="BZ34">
        <f t="shared" si="50"/>
        <v>1</v>
      </c>
      <c r="CA34">
        <f t="shared" si="51"/>
        <v>0</v>
      </c>
      <c r="CB34">
        <f t="shared" si="51"/>
        <v>0</v>
      </c>
      <c r="CC34">
        <f t="shared" si="51"/>
        <v>0</v>
      </c>
      <c r="CD34">
        <f t="shared" si="51"/>
        <v>-5</v>
      </c>
      <c r="CE34">
        <f t="shared" si="51"/>
        <v>-2</v>
      </c>
      <c r="CF34">
        <f t="shared" ref="CF34:CN47" si="53">BG34-BF34</f>
        <v>0</v>
      </c>
      <c r="CG34">
        <f t="shared" si="53"/>
        <v>1</v>
      </c>
      <c r="CH34">
        <f t="shared" si="53"/>
        <v>4</v>
      </c>
      <c r="CI34">
        <f t="shared" si="53"/>
        <v>2</v>
      </c>
      <c r="CJ34">
        <f t="shared" si="53"/>
        <v>0</v>
      </c>
      <c r="CK34">
        <f t="shared" si="53"/>
        <v>0</v>
      </c>
      <c r="CL34">
        <f t="shared" si="53"/>
        <v>0</v>
      </c>
      <c r="CM34">
        <f t="shared" si="53"/>
        <v>0</v>
      </c>
      <c r="CN34">
        <f t="shared" si="53"/>
        <v>0</v>
      </c>
      <c r="CO34">
        <f t="shared" si="52"/>
        <v>0</v>
      </c>
      <c r="CP34">
        <f t="shared" si="52"/>
        <v>0</v>
      </c>
      <c r="CQ34">
        <f t="shared" si="52"/>
        <v>0</v>
      </c>
      <c r="CR34">
        <f t="shared" si="52"/>
        <v>0</v>
      </c>
      <c r="CS34">
        <f t="shared" si="52"/>
        <v>0</v>
      </c>
      <c r="CT34">
        <f t="shared" si="52"/>
        <v>0</v>
      </c>
      <c r="CU34">
        <f t="shared" si="52"/>
        <v>0</v>
      </c>
      <c r="CV34">
        <f t="shared" si="52"/>
        <v>0</v>
      </c>
      <c r="CW34">
        <f t="shared" si="52"/>
        <v>0</v>
      </c>
    </row>
    <row r="35" spans="1:102">
      <c r="A35" s="60">
        <v>44957</v>
      </c>
      <c r="B35" s="426">
        <v>63038</v>
      </c>
      <c r="C35">
        <v>59465.5</v>
      </c>
      <c r="D35">
        <v>61168.9</v>
      </c>
      <c r="E35">
        <v>61224.1</v>
      </c>
      <c r="F35">
        <v>60379.5</v>
      </c>
      <c r="G35">
        <v>61281</v>
      </c>
      <c r="H35">
        <v>60440.1</v>
      </c>
      <c r="I35">
        <v>60896.6</v>
      </c>
      <c r="J35">
        <v>60769.2</v>
      </c>
      <c r="K35">
        <v>61809.7</v>
      </c>
      <c r="L35">
        <v>62880.4</v>
      </c>
      <c r="M35">
        <v>63871.8</v>
      </c>
      <c r="N35">
        <v>63954.2</v>
      </c>
      <c r="O35">
        <v>63781.5</v>
      </c>
      <c r="P35">
        <v>63127.6</v>
      </c>
      <c r="Q35">
        <v>62485.3</v>
      </c>
      <c r="R35">
        <v>62501.9</v>
      </c>
      <c r="S35">
        <v>62469.3</v>
      </c>
      <c r="T35">
        <v>62243.199999999997</v>
      </c>
      <c r="U35">
        <v>62944.6</v>
      </c>
      <c r="V35">
        <v>64135.3</v>
      </c>
      <c r="W35">
        <v>64147.1</v>
      </c>
      <c r="X35">
        <v>63248.2</v>
      </c>
      <c r="Y35">
        <v>62007.3</v>
      </c>
      <c r="Z35" s="77">
        <v>1494270.3</v>
      </c>
      <c r="AB35" s="54">
        <f t="shared" si="47"/>
        <v>0</v>
      </c>
      <c r="AC35" s="54">
        <f t="shared" si="0"/>
        <v>0</v>
      </c>
      <c r="AD35" s="54">
        <f t="shared" si="1"/>
        <v>0</v>
      </c>
      <c r="AE35" s="54">
        <f t="shared" si="2"/>
        <v>0</v>
      </c>
      <c r="AF35" s="54">
        <f t="shared" si="3"/>
        <v>0</v>
      </c>
      <c r="AG35" s="54">
        <f t="shared" si="4"/>
        <v>0</v>
      </c>
      <c r="AH35" s="54">
        <f t="shared" si="5"/>
        <v>0</v>
      </c>
      <c r="AI35" s="54">
        <f t="shared" si="6"/>
        <v>0</v>
      </c>
      <c r="AJ35" s="54">
        <f t="shared" si="7"/>
        <v>0</v>
      </c>
      <c r="AK35" s="54">
        <f t="shared" si="8"/>
        <v>0</v>
      </c>
      <c r="AL35" s="54">
        <f t="shared" si="9"/>
        <v>0</v>
      </c>
      <c r="AM35" s="54">
        <f t="shared" si="10"/>
        <v>0</v>
      </c>
      <c r="AN35" s="54">
        <f t="shared" si="11"/>
        <v>0</v>
      </c>
      <c r="AO35" s="54">
        <f t="shared" si="12"/>
        <v>0</v>
      </c>
      <c r="AP35" s="54">
        <f t="shared" si="13"/>
        <v>0</v>
      </c>
      <c r="AQ35" s="54">
        <f t="shared" si="14"/>
        <v>0</v>
      </c>
      <c r="AR35" s="54">
        <f t="shared" si="15"/>
        <v>0</v>
      </c>
      <c r="AS35" s="54">
        <f t="shared" si="16"/>
        <v>0</v>
      </c>
      <c r="AT35" s="54">
        <f t="shared" si="17"/>
        <v>0</v>
      </c>
      <c r="AU35" s="54">
        <f t="shared" si="18"/>
        <v>0</v>
      </c>
      <c r="AV35" s="54">
        <f t="shared" si="19"/>
        <v>0</v>
      </c>
      <c r="AW35" s="54">
        <f t="shared" si="20"/>
        <v>0</v>
      </c>
      <c r="AX35" s="54">
        <f t="shared" si="21"/>
        <v>0</v>
      </c>
      <c r="AY35" s="54">
        <f>+IF(AND(Y35=0,B36&lt;&gt;0),1,0)</f>
        <v>0</v>
      </c>
      <c r="AZ35" s="63">
        <f>+SUM(AB5:AY35)</f>
        <v>5</v>
      </c>
      <c r="BA35" s="54">
        <f t="shared" si="49"/>
        <v>8</v>
      </c>
      <c r="BB35" s="54">
        <f t="shared" si="22"/>
        <v>7</v>
      </c>
      <c r="BC35" s="54">
        <f t="shared" si="23"/>
        <v>7</v>
      </c>
      <c r="BD35" s="54">
        <f t="shared" si="24"/>
        <v>7</v>
      </c>
      <c r="BE35" s="54">
        <f t="shared" si="25"/>
        <v>7</v>
      </c>
      <c r="BF35" s="54">
        <f t="shared" si="26"/>
        <v>7</v>
      </c>
      <c r="BG35" s="54">
        <f t="shared" si="27"/>
        <v>7</v>
      </c>
      <c r="BH35" s="54">
        <f t="shared" si="28"/>
        <v>7</v>
      </c>
      <c r="BI35" s="54">
        <f t="shared" si="29"/>
        <v>7</v>
      </c>
      <c r="BJ35" s="54">
        <f t="shared" si="30"/>
        <v>8</v>
      </c>
      <c r="BK35" s="54">
        <f t="shared" si="31"/>
        <v>8</v>
      </c>
      <c r="BL35" s="54">
        <f t="shared" si="32"/>
        <v>8</v>
      </c>
      <c r="BM35" s="54">
        <f t="shared" si="33"/>
        <v>8</v>
      </c>
      <c r="BN35" s="54">
        <f t="shared" si="34"/>
        <v>8</v>
      </c>
      <c r="BO35" s="54">
        <f t="shared" si="35"/>
        <v>8</v>
      </c>
      <c r="BP35" s="54">
        <f t="shared" si="36"/>
        <v>8</v>
      </c>
      <c r="BQ35" s="54">
        <f t="shared" si="37"/>
        <v>8</v>
      </c>
      <c r="BR35" s="54">
        <f t="shared" si="38"/>
        <v>8</v>
      </c>
      <c r="BS35" s="54">
        <f t="shared" si="39"/>
        <v>8</v>
      </c>
      <c r="BT35" s="54">
        <f t="shared" si="40"/>
        <v>8</v>
      </c>
      <c r="BU35" s="54">
        <f t="shared" si="41"/>
        <v>8</v>
      </c>
      <c r="BV35" s="54">
        <f t="shared" si="42"/>
        <v>8</v>
      </c>
      <c r="BW35" s="54">
        <f t="shared" si="43"/>
        <v>8</v>
      </c>
      <c r="BX35" s="54">
        <f t="shared" si="44"/>
        <v>8</v>
      </c>
      <c r="BY35" s="53">
        <f>+SUM(BA5:BX35)</f>
        <v>4900</v>
      </c>
      <c r="BZ35" s="54">
        <f t="shared" si="50"/>
        <v>0</v>
      </c>
      <c r="CA35" s="54">
        <f t="shared" ref="CA35:CG47" si="54">BB35-BA35</f>
        <v>-1</v>
      </c>
      <c r="CB35" s="54">
        <f t="shared" si="54"/>
        <v>0</v>
      </c>
      <c r="CC35" s="54">
        <f t="shared" si="54"/>
        <v>0</v>
      </c>
      <c r="CD35" s="54">
        <f t="shared" si="54"/>
        <v>0</v>
      </c>
      <c r="CE35" s="54">
        <f t="shared" si="54"/>
        <v>0</v>
      </c>
      <c r="CF35" s="54">
        <f t="shared" si="54"/>
        <v>0</v>
      </c>
      <c r="CG35" s="54">
        <f t="shared" si="54"/>
        <v>0</v>
      </c>
      <c r="CH35" s="54">
        <f t="shared" si="53"/>
        <v>0</v>
      </c>
      <c r="CI35" s="54">
        <f t="shared" si="53"/>
        <v>1</v>
      </c>
      <c r="CJ35" s="54">
        <f t="shared" si="53"/>
        <v>0</v>
      </c>
      <c r="CK35" s="54">
        <f t="shared" si="53"/>
        <v>0</v>
      </c>
      <c r="CL35" s="54">
        <f t="shared" si="53"/>
        <v>0</v>
      </c>
      <c r="CM35" s="54">
        <f t="shared" si="53"/>
        <v>0</v>
      </c>
      <c r="CN35" s="54">
        <f t="shared" si="53"/>
        <v>0</v>
      </c>
      <c r="CO35" s="54">
        <f t="shared" si="52"/>
        <v>0</v>
      </c>
      <c r="CP35" s="54">
        <f t="shared" si="52"/>
        <v>0</v>
      </c>
      <c r="CQ35" s="54">
        <f t="shared" si="52"/>
        <v>0</v>
      </c>
      <c r="CR35" s="54">
        <f t="shared" si="52"/>
        <v>0</v>
      </c>
      <c r="CS35" s="54">
        <f t="shared" si="52"/>
        <v>0</v>
      </c>
      <c r="CT35" s="54">
        <f t="shared" si="52"/>
        <v>0</v>
      </c>
      <c r="CU35" s="54">
        <f t="shared" si="52"/>
        <v>0</v>
      </c>
      <c r="CV35" s="54">
        <f t="shared" si="52"/>
        <v>0</v>
      </c>
      <c r="CW35" s="54">
        <f t="shared" si="52"/>
        <v>0</v>
      </c>
      <c r="CX35" s="53">
        <f>+SUMIF(BZ5:CW35,"&gt;0")</f>
        <v>105</v>
      </c>
    </row>
    <row r="36" spans="1:102">
      <c r="A36" s="60">
        <v>44958</v>
      </c>
      <c r="B36" s="426">
        <v>64255.199999999997</v>
      </c>
      <c r="C36">
        <v>64054.1</v>
      </c>
      <c r="D36">
        <v>64053.1</v>
      </c>
      <c r="E36">
        <v>64060.800000000003</v>
      </c>
      <c r="F36">
        <v>63797.8</v>
      </c>
      <c r="G36">
        <v>63355.9</v>
      </c>
      <c r="H36">
        <v>63349.1</v>
      </c>
      <c r="I36">
        <v>63043.3</v>
      </c>
      <c r="J36">
        <v>60885.9</v>
      </c>
      <c r="K36">
        <v>63020.4</v>
      </c>
      <c r="L36">
        <v>63984.2</v>
      </c>
      <c r="M36">
        <v>63872.6</v>
      </c>
      <c r="N36">
        <v>64114.6</v>
      </c>
      <c r="O36">
        <v>56237.9</v>
      </c>
      <c r="P36">
        <v>53103.3</v>
      </c>
      <c r="Q36">
        <v>54228.2</v>
      </c>
      <c r="R36">
        <v>53426.6</v>
      </c>
      <c r="S36">
        <v>53546</v>
      </c>
      <c r="T36">
        <v>53635.4</v>
      </c>
      <c r="U36">
        <v>54313.1</v>
      </c>
      <c r="V36">
        <v>54413.8</v>
      </c>
      <c r="W36">
        <v>54386.1</v>
      </c>
      <c r="X36">
        <v>54358.9</v>
      </c>
      <c r="Y36">
        <v>54348.2</v>
      </c>
      <c r="Z36" s="77">
        <v>1421844.5</v>
      </c>
      <c r="AB36">
        <f t="shared" ref="AB36:AB64" si="55">+IF(AND(B36=0,C36&lt;&gt;0),1,0)</f>
        <v>0</v>
      </c>
      <c r="AC36">
        <f t="shared" ref="AC36:AC99" si="56">+IF(AND(C36=0,D36&lt;&gt;0),1,0)</f>
        <v>0</v>
      </c>
      <c r="AD36">
        <f t="shared" ref="AD36:AD99" si="57">+IF(AND(D36=0,E36&lt;&gt;0),1,0)</f>
        <v>0</v>
      </c>
      <c r="AE36">
        <f t="shared" ref="AE36:AE99" si="58">+IF(AND(E36=0,F36&lt;&gt;0),1,0)</f>
        <v>0</v>
      </c>
      <c r="AF36">
        <f t="shared" ref="AF36:AF99" si="59">+IF(AND(F36=0,G36&lt;&gt;0),1,0)</f>
        <v>0</v>
      </c>
      <c r="AG36">
        <f t="shared" ref="AG36:AG99" si="60">+IF(AND(G36=0,H36&lt;&gt;0),1,0)</f>
        <v>0</v>
      </c>
      <c r="AH36">
        <f t="shared" ref="AH36:AH99" si="61">+IF(AND(H36=0,I36&lt;&gt;0),1,0)</f>
        <v>0</v>
      </c>
      <c r="AI36">
        <f t="shared" ref="AI36:AI99" si="62">+IF(AND(I36=0,J36&lt;&gt;0),1,0)</f>
        <v>0</v>
      </c>
      <c r="AJ36">
        <f t="shared" ref="AJ36:AJ99" si="63">+IF(AND(J36=0,K36&lt;&gt;0),1,0)</f>
        <v>0</v>
      </c>
      <c r="AK36">
        <f t="shared" ref="AK36:AK99" si="64">+IF(AND(K36=0,L36&lt;&gt;0),1,0)</f>
        <v>0</v>
      </c>
      <c r="AL36">
        <f t="shared" ref="AL36:AL99" si="65">+IF(AND(L36=0,M36&lt;&gt;0),1,0)</f>
        <v>0</v>
      </c>
      <c r="AM36">
        <f t="shared" ref="AM36:AM99" si="66">+IF(AND(M36=0,N36&lt;&gt;0),1,0)</f>
        <v>0</v>
      </c>
      <c r="AN36">
        <f t="shared" ref="AN36:AN99" si="67">+IF(AND(N36=0,O36&lt;&gt;0),1,0)</f>
        <v>0</v>
      </c>
      <c r="AO36">
        <f t="shared" ref="AO36:AO99" si="68">+IF(AND(O36=0,P36&lt;&gt;0),1,0)</f>
        <v>0</v>
      </c>
      <c r="AP36">
        <f t="shared" ref="AP36:AP99" si="69">+IF(AND(P36=0,Q36&lt;&gt;0),1,0)</f>
        <v>0</v>
      </c>
      <c r="AQ36">
        <f t="shared" ref="AQ36:AQ99" si="70">+IF(AND(Q36=0,R36&lt;&gt;0),1,0)</f>
        <v>0</v>
      </c>
      <c r="AR36">
        <f t="shared" ref="AR36:AR99" si="71">+IF(AND(R36=0,S36&lt;&gt;0),1,0)</f>
        <v>0</v>
      </c>
      <c r="AS36">
        <f t="shared" ref="AS36:AS99" si="72">+IF(AND(S36=0,T36&lt;&gt;0),1,0)</f>
        <v>0</v>
      </c>
      <c r="AT36">
        <f t="shared" ref="AT36:AT99" si="73">+IF(AND(T36=0,U36&lt;&gt;0),1,0)</f>
        <v>0</v>
      </c>
      <c r="AU36">
        <f t="shared" ref="AU36:AU99" si="74">+IF(AND(U36=0,V36&lt;&gt;0),1,0)</f>
        <v>0</v>
      </c>
      <c r="AV36">
        <f t="shared" ref="AV36:AV99" si="75">+IF(AND(V36=0,W36&lt;&gt;0),1,0)</f>
        <v>0</v>
      </c>
      <c r="AW36">
        <f t="shared" ref="AW36:AW99" si="76">+IF(AND(W36=0,X36&lt;&gt;0),1,0)</f>
        <v>0</v>
      </c>
      <c r="AX36">
        <f t="shared" ref="AX36:AX99" si="77">+IF(AND(X36=0,Y36&lt;&gt;0),1,0)</f>
        <v>0</v>
      </c>
      <c r="AY36">
        <f t="shared" ref="AY36:AY64" si="78">+IF(AND(Y36=0,B37&lt;&gt;0),1,0)</f>
        <v>0</v>
      </c>
      <c r="BA36" s="52">
        <f>+ROUNDUP(B36/8800,0)</f>
        <v>8</v>
      </c>
      <c r="BB36" s="52">
        <f t="shared" ref="BB36:BB99" si="79">+ROUNDUP(C36/8800,0)</f>
        <v>8</v>
      </c>
      <c r="BC36" s="52">
        <f t="shared" ref="BC36:BC99" si="80">+ROUNDUP(D36/8800,0)</f>
        <v>8</v>
      </c>
      <c r="BD36" s="52">
        <f t="shared" ref="BD36:BD99" si="81">+ROUNDUP(E36/8800,0)</f>
        <v>8</v>
      </c>
      <c r="BE36" s="52">
        <f t="shared" ref="BE36:BE99" si="82">+ROUNDUP(F36/8800,0)</f>
        <v>8</v>
      </c>
      <c r="BF36" s="52">
        <f t="shared" ref="BF36:BF99" si="83">+ROUNDUP(G36/8800,0)</f>
        <v>8</v>
      </c>
      <c r="BG36" s="52">
        <f t="shared" ref="BG36:BG99" si="84">+ROUNDUP(H36/8800,0)</f>
        <v>8</v>
      </c>
      <c r="BH36" s="52">
        <f t="shared" ref="BH36:BH99" si="85">+ROUNDUP(I36/8800,0)</f>
        <v>8</v>
      </c>
      <c r="BI36" s="52">
        <f t="shared" ref="BI36:BI99" si="86">+ROUNDUP(J36/8800,0)</f>
        <v>7</v>
      </c>
      <c r="BJ36" s="52">
        <f t="shared" ref="BJ36:BJ99" si="87">+ROUNDUP(K36/8800,0)</f>
        <v>8</v>
      </c>
      <c r="BK36" s="52">
        <f t="shared" ref="BK36:BK99" si="88">+ROUNDUP(L36/8800,0)</f>
        <v>8</v>
      </c>
      <c r="BL36" s="52">
        <f t="shared" ref="BL36:BL99" si="89">+ROUNDUP(M36/8800,0)</f>
        <v>8</v>
      </c>
      <c r="BM36" s="52">
        <f t="shared" ref="BM36:BM99" si="90">+ROUNDUP(N36/8800,0)</f>
        <v>8</v>
      </c>
      <c r="BN36" s="52">
        <f t="shared" ref="BN36:BN99" si="91">+ROUNDUP(O36/8800,0)</f>
        <v>7</v>
      </c>
      <c r="BO36" s="52">
        <f t="shared" ref="BO36:BO99" si="92">+ROUNDUP(P36/8800,0)</f>
        <v>7</v>
      </c>
      <c r="BP36" s="52">
        <f t="shared" ref="BP36:BP99" si="93">+ROUNDUP(Q36/8800,0)</f>
        <v>7</v>
      </c>
      <c r="BQ36" s="52">
        <f t="shared" ref="BQ36:BQ99" si="94">+ROUNDUP(R36/8800,0)</f>
        <v>7</v>
      </c>
      <c r="BR36" s="52">
        <f t="shared" ref="BR36:BR99" si="95">+ROUNDUP(S36/8800,0)</f>
        <v>7</v>
      </c>
      <c r="BS36" s="52">
        <f t="shared" ref="BS36:BS99" si="96">+ROUNDUP(T36/8800,0)</f>
        <v>7</v>
      </c>
      <c r="BT36" s="52">
        <f t="shared" ref="BT36:BT99" si="97">+ROUNDUP(U36/8800,0)</f>
        <v>7</v>
      </c>
      <c r="BU36" s="52">
        <f t="shared" ref="BU36:BU99" si="98">+ROUNDUP(V36/8800,0)</f>
        <v>7</v>
      </c>
      <c r="BV36" s="52">
        <f t="shared" ref="BV36:BV99" si="99">+ROUNDUP(W36/8800,0)</f>
        <v>7</v>
      </c>
      <c r="BW36" s="52">
        <f t="shared" ref="BW36:BW99" si="100">+ROUNDUP(X36/8800,0)</f>
        <v>7</v>
      </c>
      <c r="BX36" s="52">
        <f t="shared" ref="BX36:BX99" si="101">+ROUNDUP(Y36/8800,0)</f>
        <v>7</v>
      </c>
      <c r="BZ36" s="52">
        <f>+BA36-BX35</f>
        <v>0</v>
      </c>
      <c r="CA36" s="52">
        <f>BB36-BA36</f>
        <v>0</v>
      </c>
      <c r="CB36" s="52">
        <f t="shared" si="54"/>
        <v>0</v>
      </c>
      <c r="CC36" s="52">
        <f t="shared" si="54"/>
        <v>0</v>
      </c>
      <c r="CD36" s="52">
        <f t="shared" si="54"/>
        <v>0</v>
      </c>
      <c r="CE36" s="52">
        <f t="shared" si="54"/>
        <v>0</v>
      </c>
      <c r="CF36" s="52">
        <f t="shared" si="54"/>
        <v>0</v>
      </c>
      <c r="CG36" s="52">
        <f t="shared" si="54"/>
        <v>0</v>
      </c>
      <c r="CH36" s="52">
        <f t="shared" si="53"/>
        <v>-1</v>
      </c>
      <c r="CI36" s="52">
        <f t="shared" si="53"/>
        <v>1</v>
      </c>
      <c r="CJ36" s="52">
        <f t="shared" si="53"/>
        <v>0</v>
      </c>
      <c r="CK36" s="52">
        <f t="shared" si="53"/>
        <v>0</v>
      </c>
      <c r="CL36" s="52">
        <f t="shared" si="53"/>
        <v>0</v>
      </c>
      <c r="CM36" s="52">
        <f t="shared" si="53"/>
        <v>-1</v>
      </c>
      <c r="CN36" s="52">
        <f t="shared" si="53"/>
        <v>0</v>
      </c>
      <c r="CO36" s="52">
        <f t="shared" si="52"/>
        <v>0</v>
      </c>
      <c r="CP36" s="52">
        <f t="shared" si="52"/>
        <v>0</v>
      </c>
      <c r="CQ36" s="52">
        <f t="shared" si="52"/>
        <v>0</v>
      </c>
      <c r="CR36" s="52">
        <f t="shared" si="52"/>
        <v>0</v>
      </c>
      <c r="CS36" s="52">
        <f t="shared" si="52"/>
        <v>0</v>
      </c>
      <c r="CT36" s="52">
        <f t="shared" si="52"/>
        <v>0</v>
      </c>
      <c r="CU36" s="52">
        <f t="shared" si="52"/>
        <v>0</v>
      </c>
      <c r="CV36" s="52">
        <f t="shared" si="52"/>
        <v>0</v>
      </c>
      <c r="CW36" s="52">
        <f t="shared" si="52"/>
        <v>0</v>
      </c>
    </row>
    <row r="37" spans="1:102">
      <c r="A37" s="60">
        <v>44959</v>
      </c>
      <c r="B37" s="426">
        <v>54457.5</v>
      </c>
      <c r="C37">
        <v>54354.7</v>
      </c>
      <c r="D37">
        <v>54576.7</v>
      </c>
      <c r="E37">
        <v>52542.9</v>
      </c>
      <c r="F37">
        <v>17381.400000000001</v>
      </c>
      <c r="G37">
        <v>1546.8</v>
      </c>
      <c r="H37">
        <v>5460.2</v>
      </c>
      <c r="I37">
        <v>18359.5</v>
      </c>
      <c r="J37">
        <v>44757.1</v>
      </c>
      <c r="K37">
        <v>53262.3</v>
      </c>
      <c r="L37">
        <v>53865.1</v>
      </c>
      <c r="M37">
        <v>53434.8</v>
      </c>
      <c r="N37">
        <v>53128.6</v>
      </c>
      <c r="O37">
        <v>54013.599999999999</v>
      </c>
      <c r="P37">
        <v>53744.7</v>
      </c>
      <c r="Q37">
        <v>53084.1</v>
      </c>
      <c r="R37">
        <v>54114.6</v>
      </c>
      <c r="S37">
        <v>54497.2</v>
      </c>
      <c r="T37">
        <v>54574.8</v>
      </c>
      <c r="U37">
        <v>53973</v>
      </c>
      <c r="V37">
        <v>54168.6</v>
      </c>
      <c r="W37">
        <v>54181.3</v>
      </c>
      <c r="X37">
        <v>54197.2</v>
      </c>
      <c r="Y37">
        <v>54310.9</v>
      </c>
      <c r="Z37" s="77">
        <v>1111987.5999999999</v>
      </c>
      <c r="AB37" s="52">
        <f t="shared" si="55"/>
        <v>0</v>
      </c>
      <c r="AC37" s="52">
        <f t="shared" si="56"/>
        <v>0</v>
      </c>
      <c r="AD37" s="52">
        <f t="shared" si="57"/>
        <v>0</v>
      </c>
      <c r="AE37" s="52">
        <f t="shared" si="58"/>
        <v>0</v>
      </c>
      <c r="AF37" s="52">
        <f t="shared" si="59"/>
        <v>0</v>
      </c>
      <c r="AG37" s="52">
        <f t="shared" si="60"/>
        <v>0</v>
      </c>
      <c r="AH37" s="52">
        <f t="shared" si="61"/>
        <v>0</v>
      </c>
      <c r="AI37" s="52">
        <f t="shared" si="62"/>
        <v>0</v>
      </c>
      <c r="AJ37" s="52">
        <f t="shared" si="63"/>
        <v>0</v>
      </c>
      <c r="AK37" s="52">
        <f t="shared" si="64"/>
        <v>0</v>
      </c>
      <c r="AL37" s="52">
        <f t="shared" si="65"/>
        <v>0</v>
      </c>
      <c r="AM37" s="52">
        <f t="shared" si="66"/>
        <v>0</v>
      </c>
      <c r="AN37" s="52">
        <f t="shared" si="67"/>
        <v>0</v>
      </c>
      <c r="AO37" s="52">
        <f t="shared" si="68"/>
        <v>0</v>
      </c>
      <c r="AP37" s="52">
        <f t="shared" si="69"/>
        <v>0</v>
      </c>
      <c r="AQ37" s="52">
        <f t="shared" si="70"/>
        <v>0</v>
      </c>
      <c r="AR37" s="52">
        <f t="shared" si="71"/>
        <v>0</v>
      </c>
      <c r="AS37" s="52">
        <f t="shared" si="72"/>
        <v>0</v>
      </c>
      <c r="AT37" s="52">
        <f t="shared" si="73"/>
        <v>0</v>
      </c>
      <c r="AU37" s="52">
        <f t="shared" si="74"/>
        <v>0</v>
      </c>
      <c r="AV37" s="52">
        <f t="shared" si="75"/>
        <v>0</v>
      </c>
      <c r="AW37" s="52">
        <f t="shared" si="76"/>
        <v>0</v>
      </c>
      <c r="AX37" s="52">
        <f t="shared" si="77"/>
        <v>0</v>
      </c>
      <c r="AY37" s="52">
        <f t="shared" si="78"/>
        <v>0</v>
      </c>
      <c r="BA37">
        <f t="shared" ref="BA37:BA64" si="102">+ROUNDUP(B37/8800,0)</f>
        <v>7</v>
      </c>
      <c r="BB37">
        <f t="shared" si="79"/>
        <v>7</v>
      </c>
      <c r="BC37">
        <f t="shared" si="80"/>
        <v>7</v>
      </c>
      <c r="BD37">
        <f t="shared" si="81"/>
        <v>6</v>
      </c>
      <c r="BE37">
        <f t="shared" si="82"/>
        <v>2</v>
      </c>
      <c r="BF37">
        <f t="shared" si="83"/>
        <v>1</v>
      </c>
      <c r="BG37">
        <f t="shared" si="84"/>
        <v>1</v>
      </c>
      <c r="BH37">
        <f t="shared" si="85"/>
        <v>3</v>
      </c>
      <c r="BI37">
        <f t="shared" si="86"/>
        <v>6</v>
      </c>
      <c r="BJ37">
        <f t="shared" si="87"/>
        <v>7</v>
      </c>
      <c r="BK37">
        <f t="shared" si="88"/>
        <v>7</v>
      </c>
      <c r="BL37">
        <f t="shared" si="89"/>
        <v>7</v>
      </c>
      <c r="BM37">
        <f t="shared" si="90"/>
        <v>7</v>
      </c>
      <c r="BN37">
        <f t="shared" si="91"/>
        <v>7</v>
      </c>
      <c r="BO37">
        <f t="shared" si="92"/>
        <v>7</v>
      </c>
      <c r="BP37">
        <f t="shared" si="93"/>
        <v>7</v>
      </c>
      <c r="BQ37">
        <f t="shared" si="94"/>
        <v>7</v>
      </c>
      <c r="BR37">
        <f t="shared" si="95"/>
        <v>7</v>
      </c>
      <c r="BS37">
        <f t="shared" si="96"/>
        <v>7</v>
      </c>
      <c r="BT37">
        <f t="shared" si="97"/>
        <v>7</v>
      </c>
      <c r="BU37">
        <f t="shared" si="98"/>
        <v>7</v>
      </c>
      <c r="BV37">
        <f t="shared" si="99"/>
        <v>7</v>
      </c>
      <c r="BW37">
        <f t="shared" si="100"/>
        <v>7</v>
      </c>
      <c r="BX37">
        <f t="shared" si="101"/>
        <v>7</v>
      </c>
      <c r="BZ37">
        <f>+BA37-BX36</f>
        <v>0</v>
      </c>
      <c r="CA37">
        <f>BB37-BA37</f>
        <v>0</v>
      </c>
      <c r="CB37">
        <f t="shared" si="54"/>
        <v>0</v>
      </c>
      <c r="CC37">
        <f t="shared" si="54"/>
        <v>-1</v>
      </c>
      <c r="CD37">
        <f t="shared" si="54"/>
        <v>-4</v>
      </c>
      <c r="CE37">
        <f t="shared" si="54"/>
        <v>-1</v>
      </c>
      <c r="CF37">
        <f t="shared" si="54"/>
        <v>0</v>
      </c>
      <c r="CG37">
        <f t="shared" si="54"/>
        <v>2</v>
      </c>
      <c r="CH37">
        <f t="shared" si="53"/>
        <v>3</v>
      </c>
      <c r="CI37">
        <f t="shared" si="53"/>
        <v>1</v>
      </c>
      <c r="CJ37">
        <f t="shared" si="53"/>
        <v>0</v>
      </c>
      <c r="CK37">
        <f t="shared" si="53"/>
        <v>0</v>
      </c>
      <c r="CL37">
        <f t="shared" si="53"/>
        <v>0</v>
      </c>
      <c r="CM37">
        <f t="shared" si="53"/>
        <v>0</v>
      </c>
      <c r="CN37">
        <f t="shared" si="53"/>
        <v>0</v>
      </c>
      <c r="CO37">
        <f t="shared" ref="CO37:CO51" si="103">BP37-BO37</f>
        <v>0</v>
      </c>
      <c r="CP37">
        <f t="shared" ref="CP37:CP51" si="104">BQ37-BP37</f>
        <v>0</v>
      </c>
      <c r="CQ37">
        <f t="shared" ref="CQ37:CQ65" si="105">BR37-BQ37</f>
        <v>0</v>
      </c>
      <c r="CR37">
        <f t="shared" ref="CR37:CR65" si="106">BS37-BR37</f>
        <v>0</v>
      </c>
      <c r="CS37">
        <f t="shared" ref="CS37:CS65" si="107">BT37-BS37</f>
        <v>0</v>
      </c>
      <c r="CT37">
        <f t="shared" ref="CT37:CT65" si="108">BU37-BT37</f>
        <v>0</v>
      </c>
      <c r="CU37">
        <f t="shared" ref="CU37:CU65" si="109">BV37-BU37</f>
        <v>0</v>
      </c>
      <c r="CV37">
        <f t="shared" ref="CV37:CV65" si="110">BW37-BV37</f>
        <v>0</v>
      </c>
      <c r="CW37">
        <f t="shared" ref="CW37:CW65" si="111">BX37-BW37</f>
        <v>0</v>
      </c>
    </row>
    <row r="38" spans="1:102">
      <c r="A38" s="60">
        <v>44960</v>
      </c>
      <c r="B38" s="426">
        <v>64315.7</v>
      </c>
      <c r="C38">
        <v>62331.1</v>
      </c>
      <c r="D38">
        <v>62553.3</v>
      </c>
      <c r="E38">
        <v>62851.5</v>
      </c>
      <c r="F38">
        <v>26418</v>
      </c>
      <c r="G38">
        <v>1774.3</v>
      </c>
      <c r="H38">
        <v>8447.9</v>
      </c>
      <c r="I38">
        <v>17305.7</v>
      </c>
      <c r="J38">
        <v>44375.199999999997</v>
      </c>
      <c r="K38">
        <v>60286.7</v>
      </c>
      <c r="L38">
        <v>62869.599999999999</v>
      </c>
      <c r="M38">
        <v>62800.4</v>
      </c>
      <c r="N38">
        <v>62720.4</v>
      </c>
      <c r="O38">
        <v>62802.3</v>
      </c>
      <c r="P38">
        <v>62747.5</v>
      </c>
      <c r="Q38">
        <v>62583.8</v>
      </c>
      <c r="R38">
        <v>62752</v>
      </c>
      <c r="S38">
        <v>62844.5</v>
      </c>
      <c r="T38">
        <v>62777.2</v>
      </c>
      <c r="U38">
        <v>62705.9</v>
      </c>
      <c r="V38">
        <v>62738.5</v>
      </c>
      <c r="W38">
        <v>62984.9</v>
      </c>
      <c r="X38">
        <v>62747.3</v>
      </c>
      <c r="Y38">
        <v>62539.8</v>
      </c>
      <c r="Z38" s="77">
        <v>1289273.5</v>
      </c>
      <c r="AB38">
        <f t="shared" si="55"/>
        <v>0</v>
      </c>
      <c r="AC38">
        <f t="shared" si="56"/>
        <v>0</v>
      </c>
      <c r="AD38">
        <f t="shared" si="57"/>
        <v>0</v>
      </c>
      <c r="AE38">
        <f t="shared" si="58"/>
        <v>0</v>
      </c>
      <c r="AF38">
        <f t="shared" si="59"/>
        <v>0</v>
      </c>
      <c r="AG38">
        <f t="shared" si="60"/>
        <v>0</v>
      </c>
      <c r="AH38">
        <f t="shared" si="61"/>
        <v>0</v>
      </c>
      <c r="AI38">
        <f t="shared" si="62"/>
        <v>0</v>
      </c>
      <c r="AJ38">
        <f t="shared" si="63"/>
        <v>0</v>
      </c>
      <c r="AK38">
        <f t="shared" si="64"/>
        <v>0</v>
      </c>
      <c r="AL38">
        <f t="shared" si="65"/>
        <v>0</v>
      </c>
      <c r="AM38">
        <f t="shared" si="66"/>
        <v>0</v>
      </c>
      <c r="AN38">
        <f t="shared" si="67"/>
        <v>0</v>
      </c>
      <c r="AO38">
        <f t="shared" si="68"/>
        <v>0</v>
      </c>
      <c r="AP38">
        <f t="shared" si="69"/>
        <v>0</v>
      </c>
      <c r="AQ38">
        <f t="shared" si="70"/>
        <v>0</v>
      </c>
      <c r="AR38">
        <f t="shared" si="71"/>
        <v>0</v>
      </c>
      <c r="AS38">
        <f t="shared" si="72"/>
        <v>0</v>
      </c>
      <c r="AT38">
        <f t="shared" si="73"/>
        <v>0</v>
      </c>
      <c r="AU38">
        <f t="shared" si="74"/>
        <v>0</v>
      </c>
      <c r="AV38">
        <f t="shared" si="75"/>
        <v>0</v>
      </c>
      <c r="AW38">
        <f t="shared" si="76"/>
        <v>0</v>
      </c>
      <c r="AX38">
        <f t="shared" si="77"/>
        <v>0</v>
      </c>
      <c r="AY38">
        <f>+IF(AND(Y38=0,B39&lt;&gt;0),1,0)</f>
        <v>0</v>
      </c>
      <c r="BA38" s="52">
        <f t="shared" si="102"/>
        <v>8</v>
      </c>
      <c r="BB38" s="52">
        <f t="shared" si="79"/>
        <v>8</v>
      </c>
      <c r="BC38" s="52">
        <f t="shared" si="80"/>
        <v>8</v>
      </c>
      <c r="BD38" s="52">
        <f t="shared" si="81"/>
        <v>8</v>
      </c>
      <c r="BE38" s="52">
        <f t="shared" si="82"/>
        <v>4</v>
      </c>
      <c r="BF38" s="52">
        <f t="shared" si="83"/>
        <v>1</v>
      </c>
      <c r="BG38" s="52">
        <f t="shared" si="84"/>
        <v>1</v>
      </c>
      <c r="BH38" s="52">
        <f t="shared" si="85"/>
        <v>2</v>
      </c>
      <c r="BI38" s="52">
        <f t="shared" si="86"/>
        <v>6</v>
      </c>
      <c r="BJ38" s="52">
        <f t="shared" si="87"/>
        <v>7</v>
      </c>
      <c r="BK38" s="52">
        <f t="shared" si="88"/>
        <v>8</v>
      </c>
      <c r="BL38" s="52">
        <f t="shared" si="89"/>
        <v>8</v>
      </c>
      <c r="BM38" s="52">
        <f t="shared" si="90"/>
        <v>8</v>
      </c>
      <c r="BN38" s="52">
        <f t="shared" si="91"/>
        <v>8</v>
      </c>
      <c r="BO38" s="52">
        <f t="shared" si="92"/>
        <v>8</v>
      </c>
      <c r="BP38" s="52">
        <f t="shared" si="93"/>
        <v>8</v>
      </c>
      <c r="BQ38" s="52">
        <f t="shared" si="94"/>
        <v>8</v>
      </c>
      <c r="BR38" s="52">
        <f t="shared" si="95"/>
        <v>8</v>
      </c>
      <c r="BS38" s="52">
        <f t="shared" si="96"/>
        <v>8</v>
      </c>
      <c r="BT38" s="52">
        <f t="shared" si="97"/>
        <v>8</v>
      </c>
      <c r="BU38" s="52">
        <f t="shared" si="98"/>
        <v>8</v>
      </c>
      <c r="BV38" s="52">
        <f t="shared" si="99"/>
        <v>8</v>
      </c>
      <c r="BW38" s="52">
        <f t="shared" si="100"/>
        <v>8</v>
      </c>
      <c r="BX38" s="52">
        <f t="shared" si="101"/>
        <v>8</v>
      </c>
      <c r="BZ38" s="52">
        <f t="shared" ref="BZ38:BZ63" si="112">+BA38-BX37</f>
        <v>1</v>
      </c>
      <c r="CA38" s="52">
        <f t="shared" ref="CA38:CP63" si="113">BB38-BA38</f>
        <v>0</v>
      </c>
      <c r="CB38" s="52">
        <f t="shared" si="54"/>
        <v>0</v>
      </c>
      <c r="CC38" s="52">
        <f t="shared" si="54"/>
        <v>0</v>
      </c>
      <c r="CD38" s="52">
        <f t="shared" si="54"/>
        <v>-4</v>
      </c>
      <c r="CE38" s="52">
        <f t="shared" si="54"/>
        <v>-3</v>
      </c>
      <c r="CF38" s="52">
        <f t="shared" si="54"/>
        <v>0</v>
      </c>
      <c r="CG38" s="52">
        <f t="shared" si="54"/>
        <v>1</v>
      </c>
      <c r="CH38" s="52">
        <f t="shared" si="53"/>
        <v>4</v>
      </c>
      <c r="CI38" s="52">
        <f t="shared" si="53"/>
        <v>1</v>
      </c>
      <c r="CJ38" s="52">
        <f t="shared" si="53"/>
        <v>1</v>
      </c>
      <c r="CK38" s="52">
        <f t="shared" si="53"/>
        <v>0</v>
      </c>
      <c r="CL38" s="52">
        <f t="shared" si="53"/>
        <v>0</v>
      </c>
      <c r="CM38" s="52">
        <f t="shared" si="53"/>
        <v>0</v>
      </c>
      <c r="CN38" s="52">
        <f t="shared" si="53"/>
        <v>0</v>
      </c>
      <c r="CO38" s="52">
        <f t="shared" si="103"/>
        <v>0</v>
      </c>
      <c r="CP38" s="52">
        <f t="shared" si="104"/>
        <v>0</v>
      </c>
      <c r="CQ38" s="52">
        <f t="shared" si="105"/>
        <v>0</v>
      </c>
      <c r="CR38" s="52">
        <f t="shared" si="106"/>
        <v>0</v>
      </c>
      <c r="CS38" s="52">
        <f t="shared" si="107"/>
        <v>0</v>
      </c>
      <c r="CT38" s="52">
        <f t="shared" si="108"/>
        <v>0</v>
      </c>
      <c r="CU38" s="52">
        <f t="shared" si="109"/>
        <v>0</v>
      </c>
      <c r="CV38" s="52">
        <f t="shared" si="110"/>
        <v>0</v>
      </c>
      <c r="CW38" s="52">
        <f t="shared" si="111"/>
        <v>0</v>
      </c>
    </row>
    <row r="39" spans="1:102">
      <c r="A39" s="60">
        <v>44961</v>
      </c>
      <c r="B39" s="426">
        <v>63140.5</v>
      </c>
      <c r="C39">
        <v>63984.1</v>
      </c>
      <c r="D39">
        <v>63677.599999999999</v>
      </c>
      <c r="E39">
        <v>59812.3</v>
      </c>
      <c r="F39">
        <v>25786.799999999999</v>
      </c>
      <c r="G39">
        <v>2281</v>
      </c>
      <c r="H39">
        <v>0</v>
      </c>
      <c r="I39">
        <v>5510.7</v>
      </c>
      <c r="J39">
        <v>17356.7</v>
      </c>
      <c r="K39">
        <v>44903.9</v>
      </c>
      <c r="L39">
        <v>60029</v>
      </c>
      <c r="M39">
        <v>63987.1</v>
      </c>
      <c r="N39">
        <v>63782.2</v>
      </c>
      <c r="O39">
        <v>63897.9</v>
      </c>
      <c r="P39">
        <v>64091.4</v>
      </c>
      <c r="Q39">
        <v>64017.4</v>
      </c>
      <c r="R39">
        <v>63978.6</v>
      </c>
      <c r="S39">
        <v>64057.599999999999</v>
      </c>
      <c r="T39">
        <v>63834.400000000001</v>
      </c>
      <c r="U39">
        <v>63985.1</v>
      </c>
      <c r="V39">
        <v>63969.7</v>
      </c>
      <c r="W39">
        <v>64179.6</v>
      </c>
      <c r="X39">
        <v>63696.9</v>
      </c>
      <c r="Y39">
        <v>63232.6</v>
      </c>
      <c r="Z39" s="77">
        <v>1237193.1000000001</v>
      </c>
      <c r="AB39" s="52">
        <f>+IF(AND(B39=0,C39&lt;&gt;0),1,0)</f>
        <v>0</v>
      </c>
      <c r="AC39" s="52">
        <f t="shared" si="56"/>
        <v>0</v>
      </c>
      <c r="AD39" s="52">
        <f t="shared" si="57"/>
        <v>0</v>
      </c>
      <c r="AE39" s="52">
        <f t="shared" si="58"/>
        <v>0</v>
      </c>
      <c r="AF39" s="52">
        <f t="shared" si="59"/>
        <v>0</v>
      </c>
      <c r="AG39" s="52">
        <f t="shared" si="60"/>
        <v>0</v>
      </c>
      <c r="AH39" s="52">
        <f t="shared" si="61"/>
        <v>1</v>
      </c>
      <c r="AI39" s="52">
        <f t="shared" si="62"/>
        <v>0</v>
      </c>
      <c r="AJ39" s="52">
        <f t="shared" si="63"/>
        <v>0</v>
      </c>
      <c r="AK39" s="52">
        <f t="shared" si="64"/>
        <v>0</v>
      </c>
      <c r="AL39" s="52">
        <f t="shared" si="65"/>
        <v>0</v>
      </c>
      <c r="AM39" s="52">
        <f t="shared" si="66"/>
        <v>0</v>
      </c>
      <c r="AN39" s="52">
        <f t="shared" si="67"/>
        <v>0</v>
      </c>
      <c r="AO39" s="52">
        <f t="shared" si="68"/>
        <v>0</v>
      </c>
      <c r="AP39" s="52">
        <f t="shared" si="69"/>
        <v>0</v>
      </c>
      <c r="AQ39" s="52">
        <f t="shared" si="70"/>
        <v>0</v>
      </c>
      <c r="AR39" s="52">
        <f t="shared" si="71"/>
        <v>0</v>
      </c>
      <c r="AS39" s="52">
        <f t="shared" si="72"/>
        <v>0</v>
      </c>
      <c r="AT39" s="52">
        <f t="shared" si="73"/>
        <v>0</v>
      </c>
      <c r="AU39" s="52">
        <f t="shared" si="74"/>
        <v>0</v>
      </c>
      <c r="AV39" s="52">
        <f t="shared" si="75"/>
        <v>0</v>
      </c>
      <c r="AW39" s="52">
        <f t="shared" si="76"/>
        <v>0</v>
      </c>
      <c r="AX39" s="52">
        <f t="shared" si="77"/>
        <v>0</v>
      </c>
      <c r="AY39">
        <v>0</v>
      </c>
      <c r="BA39">
        <f t="shared" si="102"/>
        <v>8</v>
      </c>
      <c r="BB39">
        <f t="shared" si="79"/>
        <v>8</v>
      </c>
      <c r="BC39">
        <f t="shared" si="80"/>
        <v>8</v>
      </c>
      <c r="BD39">
        <f t="shared" si="81"/>
        <v>7</v>
      </c>
      <c r="BE39">
        <f t="shared" si="82"/>
        <v>3</v>
      </c>
      <c r="BF39">
        <f t="shared" si="83"/>
        <v>1</v>
      </c>
      <c r="BG39">
        <f t="shared" si="84"/>
        <v>0</v>
      </c>
      <c r="BH39">
        <f t="shared" si="85"/>
        <v>1</v>
      </c>
      <c r="BI39">
        <f t="shared" si="86"/>
        <v>2</v>
      </c>
      <c r="BJ39">
        <f t="shared" si="87"/>
        <v>6</v>
      </c>
      <c r="BK39">
        <f t="shared" si="88"/>
        <v>7</v>
      </c>
      <c r="BL39">
        <f t="shared" si="89"/>
        <v>8</v>
      </c>
      <c r="BM39">
        <f t="shared" si="90"/>
        <v>8</v>
      </c>
      <c r="BN39">
        <f t="shared" si="91"/>
        <v>8</v>
      </c>
      <c r="BO39">
        <f t="shared" si="92"/>
        <v>8</v>
      </c>
      <c r="BP39">
        <f t="shared" si="93"/>
        <v>8</v>
      </c>
      <c r="BQ39">
        <f t="shared" si="94"/>
        <v>8</v>
      </c>
      <c r="BR39">
        <f t="shared" si="95"/>
        <v>8</v>
      </c>
      <c r="BS39">
        <f t="shared" si="96"/>
        <v>8</v>
      </c>
      <c r="BT39">
        <f t="shared" si="97"/>
        <v>8</v>
      </c>
      <c r="BU39">
        <f t="shared" si="98"/>
        <v>8</v>
      </c>
      <c r="BV39">
        <f t="shared" si="99"/>
        <v>8</v>
      </c>
      <c r="BW39">
        <f t="shared" si="100"/>
        <v>8</v>
      </c>
      <c r="BX39">
        <f t="shared" si="101"/>
        <v>8</v>
      </c>
      <c r="BZ39">
        <f t="shared" si="112"/>
        <v>0</v>
      </c>
      <c r="CA39">
        <f t="shared" si="113"/>
        <v>0</v>
      </c>
      <c r="CB39">
        <f t="shared" si="54"/>
        <v>0</v>
      </c>
      <c r="CC39">
        <f t="shared" si="54"/>
        <v>-1</v>
      </c>
      <c r="CD39">
        <f t="shared" si="54"/>
        <v>-4</v>
      </c>
      <c r="CE39">
        <f t="shared" si="54"/>
        <v>-2</v>
      </c>
      <c r="CF39">
        <f t="shared" si="54"/>
        <v>-1</v>
      </c>
      <c r="CG39">
        <f t="shared" si="54"/>
        <v>1</v>
      </c>
      <c r="CH39">
        <f t="shared" si="53"/>
        <v>1</v>
      </c>
      <c r="CI39">
        <f t="shared" si="53"/>
        <v>4</v>
      </c>
      <c r="CJ39">
        <f t="shared" si="53"/>
        <v>1</v>
      </c>
      <c r="CK39">
        <f t="shared" si="53"/>
        <v>1</v>
      </c>
      <c r="CL39">
        <f t="shared" si="53"/>
        <v>0</v>
      </c>
      <c r="CM39">
        <f t="shared" si="53"/>
        <v>0</v>
      </c>
      <c r="CN39">
        <f t="shared" si="53"/>
        <v>0</v>
      </c>
      <c r="CO39">
        <f t="shared" si="103"/>
        <v>0</v>
      </c>
      <c r="CP39">
        <f t="shared" si="104"/>
        <v>0</v>
      </c>
      <c r="CQ39">
        <f t="shared" si="105"/>
        <v>0</v>
      </c>
      <c r="CR39">
        <f t="shared" si="106"/>
        <v>0</v>
      </c>
      <c r="CS39">
        <f t="shared" si="107"/>
        <v>0</v>
      </c>
      <c r="CT39">
        <f t="shared" si="108"/>
        <v>0</v>
      </c>
      <c r="CU39">
        <f t="shared" si="109"/>
        <v>0</v>
      </c>
      <c r="CV39">
        <f t="shared" si="110"/>
        <v>0</v>
      </c>
      <c r="CW39">
        <f t="shared" si="111"/>
        <v>0</v>
      </c>
    </row>
    <row r="40" spans="1:102">
      <c r="A40" s="60">
        <v>44962</v>
      </c>
      <c r="B40" s="426">
        <v>63022.8</v>
      </c>
      <c r="C40">
        <v>63143.9</v>
      </c>
      <c r="D40">
        <v>60790.9</v>
      </c>
      <c r="E40">
        <v>26019.3</v>
      </c>
      <c r="F40">
        <v>1022.6</v>
      </c>
      <c r="G40">
        <v>0</v>
      </c>
      <c r="H40">
        <v>0</v>
      </c>
      <c r="I40">
        <v>0</v>
      </c>
      <c r="J40">
        <v>0</v>
      </c>
      <c r="K40">
        <v>5129.5</v>
      </c>
      <c r="L40">
        <v>17191.7</v>
      </c>
      <c r="M40">
        <v>42428.1</v>
      </c>
      <c r="N40">
        <v>60705.5</v>
      </c>
      <c r="O40">
        <v>64083.3</v>
      </c>
      <c r="P40">
        <v>64187.199999999997</v>
      </c>
      <c r="Q40">
        <v>64025.1</v>
      </c>
      <c r="R40">
        <v>64104.5</v>
      </c>
      <c r="S40">
        <v>64130.5</v>
      </c>
      <c r="T40">
        <v>64125.5</v>
      </c>
      <c r="U40">
        <v>64128.7</v>
      </c>
      <c r="V40">
        <v>63995.9</v>
      </c>
      <c r="W40">
        <v>63909.7</v>
      </c>
      <c r="X40">
        <v>64075.1</v>
      </c>
      <c r="Y40">
        <v>63037.9</v>
      </c>
      <c r="Z40" s="77">
        <v>1043257.7</v>
      </c>
      <c r="AB40" s="52">
        <f>+IF(AND(B40=0,C40&lt;&gt;0),1,0)</f>
        <v>0</v>
      </c>
      <c r="AC40">
        <f t="shared" si="56"/>
        <v>0</v>
      </c>
      <c r="AD40">
        <f t="shared" si="57"/>
        <v>0</v>
      </c>
      <c r="AE40">
        <f t="shared" si="58"/>
        <v>0</v>
      </c>
      <c r="AF40">
        <f t="shared" si="59"/>
        <v>0</v>
      </c>
      <c r="AG40">
        <f t="shared" si="60"/>
        <v>0</v>
      </c>
      <c r="AH40">
        <f t="shared" si="61"/>
        <v>0</v>
      </c>
      <c r="AI40">
        <f t="shared" si="62"/>
        <v>0</v>
      </c>
      <c r="AJ40">
        <f t="shared" si="63"/>
        <v>1</v>
      </c>
      <c r="AK40">
        <f t="shared" si="64"/>
        <v>0</v>
      </c>
      <c r="AL40">
        <f t="shared" si="65"/>
        <v>0</v>
      </c>
      <c r="AM40">
        <f t="shared" si="66"/>
        <v>0</v>
      </c>
      <c r="AN40">
        <f t="shared" si="67"/>
        <v>0</v>
      </c>
      <c r="AO40">
        <f t="shared" si="68"/>
        <v>0</v>
      </c>
      <c r="AP40">
        <f t="shared" si="69"/>
        <v>0</v>
      </c>
      <c r="AQ40">
        <f t="shared" si="70"/>
        <v>0</v>
      </c>
      <c r="AR40">
        <f t="shared" si="71"/>
        <v>0</v>
      </c>
      <c r="AS40">
        <f t="shared" si="72"/>
        <v>0</v>
      </c>
      <c r="AT40">
        <f t="shared" si="73"/>
        <v>0</v>
      </c>
      <c r="AU40">
        <f t="shared" si="74"/>
        <v>0</v>
      </c>
      <c r="AV40">
        <f t="shared" si="75"/>
        <v>0</v>
      </c>
      <c r="AW40">
        <f t="shared" si="76"/>
        <v>0</v>
      </c>
      <c r="AX40">
        <f t="shared" si="77"/>
        <v>0</v>
      </c>
      <c r="AY40">
        <f t="shared" si="78"/>
        <v>0</v>
      </c>
      <c r="BA40" s="52">
        <f t="shared" si="102"/>
        <v>8</v>
      </c>
      <c r="BB40" s="52">
        <f t="shared" si="79"/>
        <v>8</v>
      </c>
      <c r="BC40" s="52">
        <f t="shared" si="80"/>
        <v>7</v>
      </c>
      <c r="BD40" s="52">
        <f t="shared" si="81"/>
        <v>3</v>
      </c>
      <c r="BE40" s="52">
        <f t="shared" si="82"/>
        <v>1</v>
      </c>
      <c r="BF40" s="52">
        <f t="shared" si="83"/>
        <v>0</v>
      </c>
      <c r="BG40" s="52">
        <f t="shared" si="84"/>
        <v>0</v>
      </c>
      <c r="BH40" s="52">
        <f t="shared" si="85"/>
        <v>0</v>
      </c>
      <c r="BI40" s="52">
        <f t="shared" si="86"/>
        <v>0</v>
      </c>
      <c r="BJ40" s="52">
        <f t="shared" si="87"/>
        <v>1</v>
      </c>
      <c r="BK40" s="52">
        <f t="shared" si="88"/>
        <v>2</v>
      </c>
      <c r="BL40" s="52">
        <f t="shared" si="89"/>
        <v>5</v>
      </c>
      <c r="BM40" s="52">
        <f t="shared" si="90"/>
        <v>7</v>
      </c>
      <c r="BN40" s="52">
        <f t="shared" si="91"/>
        <v>8</v>
      </c>
      <c r="BO40" s="52">
        <f t="shared" si="92"/>
        <v>8</v>
      </c>
      <c r="BP40" s="52">
        <f t="shared" si="93"/>
        <v>8</v>
      </c>
      <c r="BQ40" s="52">
        <f t="shared" si="94"/>
        <v>8</v>
      </c>
      <c r="BR40" s="52">
        <f t="shared" si="95"/>
        <v>8</v>
      </c>
      <c r="BS40" s="52">
        <f t="shared" si="96"/>
        <v>8</v>
      </c>
      <c r="BT40" s="52">
        <f t="shared" si="97"/>
        <v>8</v>
      </c>
      <c r="BU40" s="52">
        <f t="shared" si="98"/>
        <v>8</v>
      </c>
      <c r="BV40" s="52">
        <f t="shared" si="99"/>
        <v>8</v>
      </c>
      <c r="BW40" s="52">
        <f t="shared" si="100"/>
        <v>8</v>
      </c>
      <c r="BX40" s="52">
        <f t="shared" si="101"/>
        <v>8</v>
      </c>
      <c r="BZ40" s="52">
        <f t="shared" si="112"/>
        <v>0</v>
      </c>
      <c r="CA40" s="52">
        <f t="shared" si="113"/>
        <v>0</v>
      </c>
      <c r="CB40" s="52">
        <f t="shared" si="54"/>
        <v>-1</v>
      </c>
      <c r="CC40" s="52">
        <f t="shared" si="54"/>
        <v>-4</v>
      </c>
      <c r="CD40" s="52">
        <f t="shared" si="54"/>
        <v>-2</v>
      </c>
      <c r="CE40" s="52">
        <f t="shared" si="54"/>
        <v>-1</v>
      </c>
      <c r="CF40" s="52">
        <f t="shared" si="54"/>
        <v>0</v>
      </c>
      <c r="CG40" s="52">
        <f t="shared" si="54"/>
        <v>0</v>
      </c>
      <c r="CH40" s="52">
        <f t="shared" si="53"/>
        <v>0</v>
      </c>
      <c r="CI40" s="52">
        <f t="shared" si="53"/>
        <v>1</v>
      </c>
      <c r="CJ40" s="52">
        <f t="shared" si="53"/>
        <v>1</v>
      </c>
      <c r="CK40" s="52">
        <f t="shared" si="53"/>
        <v>3</v>
      </c>
      <c r="CL40" s="52">
        <f t="shared" si="53"/>
        <v>2</v>
      </c>
      <c r="CM40" s="52">
        <f t="shared" si="53"/>
        <v>1</v>
      </c>
      <c r="CN40" s="52">
        <f t="shared" si="53"/>
        <v>0</v>
      </c>
      <c r="CO40" s="52">
        <f t="shared" si="103"/>
        <v>0</v>
      </c>
      <c r="CP40" s="52">
        <f t="shared" si="104"/>
        <v>0</v>
      </c>
      <c r="CQ40" s="52">
        <f t="shared" si="105"/>
        <v>0</v>
      </c>
      <c r="CR40" s="52">
        <f t="shared" si="106"/>
        <v>0</v>
      </c>
      <c r="CS40" s="52">
        <f t="shared" si="107"/>
        <v>0</v>
      </c>
      <c r="CT40" s="52">
        <f t="shared" si="108"/>
        <v>0</v>
      </c>
      <c r="CU40" s="52">
        <f t="shared" si="109"/>
        <v>0</v>
      </c>
      <c r="CV40" s="52">
        <f t="shared" si="110"/>
        <v>0</v>
      </c>
      <c r="CW40" s="52">
        <f t="shared" si="111"/>
        <v>0</v>
      </c>
    </row>
    <row r="41" spans="1:102">
      <c r="A41" s="60">
        <v>44963</v>
      </c>
      <c r="B41" s="426">
        <v>63346.5</v>
      </c>
      <c r="C41">
        <v>64101.2</v>
      </c>
      <c r="D41">
        <v>59856.5</v>
      </c>
      <c r="E41">
        <v>25740.6</v>
      </c>
      <c r="F41">
        <v>3098</v>
      </c>
      <c r="G41">
        <v>0</v>
      </c>
      <c r="H41">
        <v>8199.9</v>
      </c>
      <c r="I41">
        <v>16842.5</v>
      </c>
      <c r="J41">
        <v>43771.3</v>
      </c>
      <c r="K41">
        <v>61220</v>
      </c>
      <c r="L41">
        <v>63334.3</v>
      </c>
      <c r="M41">
        <v>63450.5</v>
      </c>
      <c r="N41">
        <v>63917.4</v>
      </c>
      <c r="O41">
        <v>63778.7</v>
      </c>
      <c r="P41">
        <v>63854.2</v>
      </c>
      <c r="Q41">
        <v>64199.7</v>
      </c>
      <c r="R41">
        <v>64985.1</v>
      </c>
      <c r="S41">
        <v>64860.9</v>
      </c>
      <c r="T41">
        <v>63665.8</v>
      </c>
      <c r="U41">
        <v>63652.800000000003</v>
      </c>
      <c r="V41">
        <v>63696.1</v>
      </c>
      <c r="W41">
        <v>64401.7</v>
      </c>
      <c r="X41">
        <v>63412.1</v>
      </c>
      <c r="Y41">
        <v>63382.1</v>
      </c>
      <c r="Z41" s="77">
        <v>1240767.9000000001</v>
      </c>
      <c r="AB41" s="52">
        <f t="shared" si="55"/>
        <v>0</v>
      </c>
      <c r="AC41" s="52">
        <f t="shared" si="56"/>
        <v>0</v>
      </c>
      <c r="AD41" s="52">
        <f t="shared" si="57"/>
        <v>0</v>
      </c>
      <c r="AE41" s="52">
        <f t="shared" si="58"/>
        <v>0</v>
      </c>
      <c r="AF41" s="52">
        <f t="shared" si="59"/>
        <v>0</v>
      </c>
      <c r="AG41" s="52">
        <f t="shared" si="60"/>
        <v>1</v>
      </c>
      <c r="AH41" s="52">
        <f t="shared" si="61"/>
        <v>0</v>
      </c>
      <c r="AI41" s="52">
        <f t="shared" si="62"/>
        <v>0</v>
      </c>
      <c r="AJ41" s="52">
        <f t="shared" si="63"/>
        <v>0</v>
      </c>
      <c r="AK41" s="52">
        <f t="shared" si="64"/>
        <v>0</v>
      </c>
      <c r="AL41" s="52">
        <f t="shared" si="65"/>
        <v>0</v>
      </c>
      <c r="AM41" s="52">
        <f t="shared" si="66"/>
        <v>0</v>
      </c>
      <c r="AN41" s="52">
        <f t="shared" si="67"/>
        <v>0</v>
      </c>
      <c r="AO41" s="52">
        <f t="shared" si="68"/>
        <v>0</v>
      </c>
      <c r="AP41" s="52">
        <f t="shared" si="69"/>
        <v>0</v>
      </c>
      <c r="AQ41" s="52">
        <f t="shared" si="70"/>
        <v>0</v>
      </c>
      <c r="AR41" s="52">
        <f t="shared" si="71"/>
        <v>0</v>
      </c>
      <c r="AS41" s="52">
        <f t="shared" si="72"/>
        <v>0</v>
      </c>
      <c r="AT41" s="52">
        <f t="shared" si="73"/>
        <v>0</v>
      </c>
      <c r="AU41" s="52">
        <f t="shared" si="74"/>
        <v>0</v>
      </c>
      <c r="AV41" s="52">
        <f t="shared" si="75"/>
        <v>0</v>
      </c>
      <c r="AW41" s="52">
        <f t="shared" si="76"/>
        <v>0</v>
      </c>
      <c r="AX41" s="52">
        <f t="shared" si="77"/>
        <v>0</v>
      </c>
      <c r="AY41" s="52">
        <f t="shared" si="78"/>
        <v>0</v>
      </c>
      <c r="BA41">
        <f t="shared" si="102"/>
        <v>8</v>
      </c>
      <c r="BB41">
        <f t="shared" si="79"/>
        <v>8</v>
      </c>
      <c r="BC41">
        <f t="shared" si="80"/>
        <v>7</v>
      </c>
      <c r="BD41">
        <f t="shared" si="81"/>
        <v>3</v>
      </c>
      <c r="BE41">
        <f t="shared" si="82"/>
        <v>1</v>
      </c>
      <c r="BF41">
        <f t="shared" si="83"/>
        <v>0</v>
      </c>
      <c r="BG41">
        <f t="shared" si="84"/>
        <v>1</v>
      </c>
      <c r="BH41">
        <f t="shared" si="85"/>
        <v>2</v>
      </c>
      <c r="BI41">
        <f t="shared" si="86"/>
        <v>5</v>
      </c>
      <c r="BJ41">
        <f t="shared" si="87"/>
        <v>7</v>
      </c>
      <c r="BK41">
        <f t="shared" si="88"/>
        <v>8</v>
      </c>
      <c r="BL41">
        <f t="shared" si="89"/>
        <v>8</v>
      </c>
      <c r="BM41">
        <f t="shared" si="90"/>
        <v>8</v>
      </c>
      <c r="BN41">
        <f t="shared" si="91"/>
        <v>8</v>
      </c>
      <c r="BO41">
        <f t="shared" si="92"/>
        <v>8</v>
      </c>
      <c r="BP41">
        <f t="shared" si="93"/>
        <v>8</v>
      </c>
      <c r="BQ41">
        <f t="shared" si="94"/>
        <v>8</v>
      </c>
      <c r="BR41">
        <f t="shared" si="95"/>
        <v>8</v>
      </c>
      <c r="BS41">
        <f t="shared" si="96"/>
        <v>8</v>
      </c>
      <c r="BT41">
        <f t="shared" si="97"/>
        <v>8</v>
      </c>
      <c r="BU41">
        <f t="shared" si="98"/>
        <v>8</v>
      </c>
      <c r="BV41">
        <f t="shared" si="99"/>
        <v>8</v>
      </c>
      <c r="BW41">
        <f t="shared" si="100"/>
        <v>8</v>
      </c>
      <c r="BX41">
        <f t="shared" si="101"/>
        <v>8</v>
      </c>
      <c r="BZ41">
        <f t="shared" si="112"/>
        <v>0</v>
      </c>
      <c r="CA41">
        <f t="shared" si="113"/>
        <v>0</v>
      </c>
      <c r="CB41">
        <f t="shared" si="54"/>
        <v>-1</v>
      </c>
      <c r="CC41">
        <f t="shared" si="54"/>
        <v>-4</v>
      </c>
      <c r="CD41">
        <f t="shared" si="54"/>
        <v>-2</v>
      </c>
      <c r="CE41">
        <f t="shared" si="54"/>
        <v>-1</v>
      </c>
      <c r="CF41">
        <f t="shared" si="54"/>
        <v>1</v>
      </c>
      <c r="CG41">
        <f t="shared" si="54"/>
        <v>1</v>
      </c>
      <c r="CH41">
        <f t="shared" si="53"/>
        <v>3</v>
      </c>
      <c r="CI41">
        <f t="shared" si="53"/>
        <v>2</v>
      </c>
      <c r="CJ41">
        <f t="shared" si="53"/>
        <v>1</v>
      </c>
      <c r="CK41">
        <f t="shared" si="53"/>
        <v>0</v>
      </c>
      <c r="CL41">
        <f t="shared" si="53"/>
        <v>0</v>
      </c>
      <c r="CM41">
        <f t="shared" si="53"/>
        <v>0</v>
      </c>
      <c r="CN41">
        <f t="shared" si="53"/>
        <v>0</v>
      </c>
      <c r="CO41">
        <f t="shared" si="103"/>
        <v>0</v>
      </c>
      <c r="CP41">
        <f t="shared" si="104"/>
        <v>0</v>
      </c>
      <c r="CQ41">
        <f t="shared" si="105"/>
        <v>0</v>
      </c>
      <c r="CR41">
        <f t="shared" si="106"/>
        <v>0</v>
      </c>
      <c r="CS41">
        <f t="shared" si="107"/>
        <v>0</v>
      </c>
      <c r="CT41">
        <f t="shared" si="108"/>
        <v>0</v>
      </c>
      <c r="CU41">
        <f t="shared" si="109"/>
        <v>0</v>
      </c>
      <c r="CV41">
        <f t="shared" si="110"/>
        <v>0</v>
      </c>
      <c r="CW41">
        <f t="shared" si="111"/>
        <v>0</v>
      </c>
    </row>
    <row r="42" spans="1:102">
      <c r="A42" s="60">
        <v>44964</v>
      </c>
      <c r="B42" s="426">
        <v>63506.400000000001</v>
      </c>
      <c r="C42">
        <v>63224.9</v>
      </c>
      <c r="D42">
        <v>63017.2</v>
      </c>
      <c r="E42">
        <v>63433.5</v>
      </c>
      <c r="F42">
        <v>63627</v>
      </c>
      <c r="G42">
        <v>63447.5</v>
      </c>
      <c r="H42">
        <v>63440.9</v>
      </c>
      <c r="I42">
        <v>63534</v>
      </c>
      <c r="J42">
        <v>63410.2</v>
      </c>
      <c r="K42">
        <v>63605.1</v>
      </c>
      <c r="L42">
        <v>63784.9</v>
      </c>
      <c r="M42">
        <v>64886.1</v>
      </c>
      <c r="N42">
        <v>64721.8</v>
      </c>
      <c r="O42">
        <v>64923.5</v>
      </c>
      <c r="P42">
        <v>63529.1</v>
      </c>
      <c r="Q42">
        <v>61840.4</v>
      </c>
      <c r="R42">
        <v>62157.3</v>
      </c>
      <c r="S42">
        <v>62774.5</v>
      </c>
      <c r="T42">
        <v>63614.3</v>
      </c>
      <c r="U42">
        <v>63655.4</v>
      </c>
      <c r="V42">
        <v>63613.9</v>
      </c>
      <c r="W42">
        <v>63659.6</v>
      </c>
      <c r="X42">
        <v>63583.8</v>
      </c>
      <c r="Y42">
        <v>63629.599999999999</v>
      </c>
      <c r="Z42" s="77">
        <v>1524620.9000000001</v>
      </c>
      <c r="AB42">
        <f t="shared" si="55"/>
        <v>0</v>
      </c>
      <c r="AC42">
        <f t="shared" si="56"/>
        <v>0</v>
      </c>
      <c r="AD42">
        <f t="shared" si="57"/>
        <v>0</v>
      </c>
      <c r="AE42">
        <f t="shared" si="58"/>
        <v>0</v>
      </c>
      <c r="AF42">
        <f t="shared" si="59"/>
        <v>0</v>
      </c>
      <c r="AG42">
        <f t="shared" si="60"/>
        <v>0</v>
      </c>
      <c r="AH42">
        <f t="shared" si="61"/>
        <v>0</v>
      </c>
      <c r="AI42">
        <f t="shared" si="62"/>
        <v>0</v>
      </c>
      <c r="AJ42">
        <f t="shared" si="63"/>
        <v>0</v>
      </c>
      <c r="AK42">
        <f t="shared" si="64"/>
        <v>0</v>
      </c>
      <c r="AL42">
        <f t="shared" si="65"/>
        <v>0</v>
      </c>
      <c r="AM42">
        <f t="shared" si="66"/>
        <v>0</v>
      </c>
      <c r="AN42">
        <f t="shared" si="67"/>
        <v>0</v>
      </c>
      <c r="AO42">
        <f t="shared" si="68"/>
        <v>0</v>
      </c>
      <c r="AP42">
        <f t="shared" si="69"/>
        <v>0</v>
      </c>
      <c r="AQ42">
        <f t="shared" si="70"/>
        <v>0</v>
      </c>
      <c r="AR42">
        <f t="shared" si="71"/>
        <v>0</v>
      </c>
      <c r="AS42">
        <f t="shared" si="72"/>
        <v>0</v>
      </c>
      <c r="AT42">
        <f t="shared" si="73"/>
        <v>0</v>
      </c>
      <c r="AU42">
        <f t="shared" si="74"/>
        <v>0</v>
      </c>
      <c r="AV42">
        <f t="shared" si="75"/>
        <v>0</v>
      </c>
      <c r="AW42">
        <f t="shared" si="76"/>
        <v>0</v>
      </c>
      <c r="AX42">
        <f t="shared" si="77"/>
        <v>0</v>
      </c>
      <c r="AY42">
        <f t="shared" si="78"/>
        <v>0</v>
      </c>
      <c r="BA42" s="52">
        <f t="shared" si="102"/>
        <v>8</v>
      </c>
      <c r="BB42" s="52">
        <f t="shared" si="79"/>
        <v>8</v>
      </c>
      <c r="BC42" s="52">
        <f t="shared" si="80"/>
        <v>8</v>
      </c>
      <c r="BD42" s="52">
        <f t="shared" si="81"/>
        <v>8</v>
      </c>
      <c r="BE42" s="52">
        <f t="shared" si="82"/>
        <v>8</v>
      </c>
      <c r="BF42" s="52">
        <f t="shared" si="83"/>
        <v>8</v>
      </c>
      <c r="BG42" s="52">
        <f t="shared" si="84"/>
        <v>8</v>
      </c>
      <c r="BH42" s="52">
        <f t="shared" si="85"/>
        <v>8</v>
      </c>
      <c r="BI42" s="52">
        <f t="shared" si="86"/>
        <v>8</v>
      </c>
      <c r="BJ42" s="52">
        <f t="shared" si="87"/>
        <v>8</v>
      </c>
      <c r="BK42" s="52">
        <f t="shared" si="88"/>
        <v>8</v>
      </c>
      <c r="BL42" s="52">
        <f t="shared" si="89"/>
        <v>8</v>
      </c>
      <c r="BM42" s="52">
        <f t="shared" si="90"/>
        <v>8</v>
      </c>
      <c r="BN42" s="52">
        <f t="shared" si="91"/>
        <v>8</v>
      </c>
      <c r="BO42" s="52">
        <f t="shared" si="92"/>
        <v>8</v>
      </c>
      <c r="BP42" s="52">
        <f t="shared" si="93"/>
        <v>8</v>
      </c>
      <c r="BQ42" s="52">
        <f t="shared" si="94"/>
        <v>8</v>
      </c>
      <c r="BR42" s="52">
        <f t="shared" si="95"/>
        <v>8</v>
      </c>
      <c r="BS42" s="52">
        <f t="shared" si="96"/>
        <v>8</v>
      </c>
      <c r="BT42" s="52">
        <f t="shared" si="97"/>
        <v>8</v>
      </c>
      <c r="BU42" s="52">
        <f t="shared" si="98"/>
        <v>8</v>
      </c>
      <c r="BV42" s="52">
        <f t="shared" si="99"/>
        <v>8</v>
      </c>
      <c r="BW42" s="52">
        <f t="shared" si="100"/>
        <v>8</v>
      </c>
      <c r="BX42" s="52">
        <f t="shared" si="101"/>
        <v>8</v>
      </c>
      <c r="BZ42" s="52">
        <f t="shared" si="112"/>
        <v>0</v>
      </c>
      <c r="CA42" s="52">
        <f t="shared" si="113"/>
        <v>0</v>
      </c>
      <c r="CB42" s="52">
        <f t="shared" si="54"/>
        <v>0</v>
      </c>
      <c r="CC42" s="52">
        <f t="shared" si="54"/>
        <v>0</v>
      </c>
      <c r="CD42" s="52">
        <f t="shared" si="54"/>
        <v>0</v>
      </c>
      <c r="CE42" s="52">
        <f t="shared" si="54"/>
        <v>0</v>
      </c>
      <c r="CF42" s="52">
        <f t="shared" si="54"/>
        <v>0</v>
      </c>
      <c r="CG42" s="52">
        <f t="shared" si="54"/>
        <v>0</v>
      </c>
      <c r="CH42" s="52">
        <f t="shared" si="53"/>
        <v>0</v>
      </c>
      <c r="CI42" s="52">
        <f t="shared" si="53"/>
        <v>0</v>
      </c>
      <c r="CJ42" s="52">
        <f t="shared" si="53"/>
        <v>0</v>
      </c>
      <c r="CK42" s="52">
        <f t="shared" si="53"/>
        <v>0</v>
      </c>
      <c r="CL42" s="52">
        <f t="shared" si="53"/>
        <v>0</v>
      </c>
      <c r="CM42" s="52">
        <f t="shared" si="53"/>
        <v>0</v>
      </c>
      <c r="CN42" s="52">
        <f t="shared" si="53"/>
        <v>0</v>
      </c>
      <c r="CO42" s="52">
        <f t="shared" si="103"/>
        <v>0</v>
      </c>
      <c r="CP42" s="52">
        <f t="shared" si="104"/>
        <v>0</v>
      </c>
      <c r="CQ42" s="52">
        <f t="shared" si="105"/>
        <v>0</v>
      </c>
      <c r="CR42" s="52">
        <f t="shared" si="106"/>
        <v>0</v>
      </c>
      <c r="CS42" s="52">
        <f t="shared" si="107"/>
        <v>0</v>
      </c>
      <c r="CT42" s="52">
        <f t="shared" si="108"/>
        <v>0</v>
      </c>
      <c r="CU42" s="52">
        <f t="shared" si="109"/>
        <v>0</v>
      </c>
      <c r="CV42" s="52">
        <f t="shared" si="110"/>
        <v>0</v>
      </c>
      <c r="CW42" s="52">
        <f t="shared" si="111"/>
        <v>0</v>
      </c>
    </row>
    <row r="43" spans="1:102">
      <c r="A43" s="60">
        <v>44965</v>
      </c>
      <c r="B43" s="426">
        <v>63306.1</v>
      </c>
      <c r="C43">
        <v>63930.1</v>
      </c>
      <c r="D43">
        <v>63598.1</v>
      </c>
      <c r="E43">
        <v>63555.4</v>
      </c>
      <c r="F43">
        <v>63688.7</v>
      </c>
      <c r="G43">
        <v>64159.3</v>
      </c>
      <c r="H43">
        <v>63535.6</v>
      </c>
      <c r="I43">
        <v>63656.1</v>
      </c>
      <c r="J43">
        <v>63575.4</v>
      </c>
      <c r="K43">
        <v>63663.7</v>
      </c>
      <c r="L43">
        <v>63076.4</v>
      </c>
      <c r="M43">
        <v>63102.400000000001</v>
      </c>
      <c r="N43">
        <v>63281.5</v>
      </c>
      <c r="O43">
        <v>63036.6</v>
      </c>
      <c r="P43">
        <v>63152.800000000003</v>
      </c>
      <c r="Q43">
        <v>63921.1</v>
      </c>
      <c r="R43">
        <v>63793</v>
      </c>
      <c r="S43">
        <v>63794.3</v>
      </c>
      <c r="T43">
        <v>63757.5</v>
      </c>
      <c r="U43">
        <v>63783.8</v>
      </c>
      <c r="V43">
        <v>63791.9</v>
      </c>
      <c r="W43">
        <v>63743.7</v>
      </c>
      <c r="X43">
        <v>63834.7</v>
      </c>
      <c r="Y43">
        <v>63949.3</v>
      </c>
      <c r="Z43" s="77">
        <v>1526687.4999999998</v>
      </c>
      <c r="AB43" s="52">
        <f t="shared" si="55"/>
        <v>0</v>
      </c>
      <c r="AC43" s="52">
        <f t="shared" si="56"/>
        <v>0</v>
      </c>
      <c r="AD43" s="52">
        <f t="shared" si="57"/>
        <v>0</v>
      </c>
      <c r="AE43" s="52">
        <f t="shared" si="58"/>
        <v>0</v>
      </c>
      <c r="AF43" s="52">
        <f t="shared" si="59"/>
        <v>0</v>
      </c>
      <c r="AG43" s="52">
        <f t="shared" si="60"/>
        <v>0</v>
      </c>
      <c r="AH43" s="52">
        <f t="shared" si="61"/>
        <v>0</v>
      </c>
      <c r="AI43" s="52">
        <f t="shared" si="62"/>
        <v>0</v>
      </c>
      <c r="AJ43" s="52">
        <f t="shared" si="63"/>
        <v>0</v>
      </c>
      <c r="AK43" s="52">
        <f t="shared" si="64"/>
        <v>0</v>
      </c>
      <c r="AL43" s="52">
        <f t="shared" si="65"/>
        <v>0</v>
      </c>
      <c r="AM43" s="52">
        <f t="shared" si="66"/>
        <v>0</v>
      </c>
      <c r="AN43" s="52">
        <f t="shared" si="67"/>
        <v>0</v>
      </c>
      <c r="AO43" s="52">
        <f t="shared" si="68"/>
        <v>0</v>
      </c>
      <c r="AP43" s="52">
        <f t="shared" si="69"/>
        <v>0</v>
      </c>
      <c r="AQ43" s="52">
        <f t="shared" si="70"/>
        <v>0</v>
      </c>
      <c r="AR43" s="52">
        <f t="shared" si="71"/>
        <v>0</v>
      </c>
      <c r="AS43" s="52">
        <f t="shared" si="72"/>
        <v>0</v>
      </c>
      <c r="AT43" s="52">
        <f t="shared" si="73"/>
        <v>0</v>
      </c>
      <c r="AU43" s="52">
        <f t="shared" si="74"/>
        <v>0</v>
      </c>
      <c r="AV43" s="52">
        <f t="shared" si="75"/>
        <v>0</v>
      </c>
      <c r="AW43" s="52">
        <f t="shared" si="76"/>
        <v>0</v>
      </c>
      <c r="AX43" s="52">
        <f t="shared" si="77"/>
        <v>0</v>
      </c>
      <c r="AY43" s="52">
        <f t="shared" si="78"/>
        <v>0</v>
      </c>
      <c r="BA43">
        <f t="shared" si="102"/>
        <v>8</v>
      </c>
      <c r="BB43">
        <f t="shared" si="79"/>
        <v>8</v>
      </c>
      <c r="BC43">
        <f t="shared" si="80"/>
        <v>8</v>
      </c>
      <c r="BD43">
        <f t="shared" si="81"/>
        <v>8</v>
      </c>
      <c r="BE43">
        <f t="shared" si="82"/>
        <v>8</v>
      </c>
      <c r="BF43">
        <f t="shared" si="83"/>
        <v>8</v>
      </c>
      <c r="BG43">
        <f t="shared" si="84"/>
        <v>8</v>
      </c>
      <c r="BH43">
        <f t="shared" si="85"/>
        <v>8</v>
      </c>
      <c r="BI43">
        <f t="shared" si="86"/>
        <v>8</v>
      </c>
      <c r="BJ43">
        <f t="shared" si="87"/>
        <v>8</v>
      </c>
      <c r="BK43">
        <f t="shared" si="88"/>
        <v>8</v>
      </c>
      <c r="BL43">
        <f t="shared" si="89"/>
        <v>8</v>
      </c>
      <c r="BM43">
        <f t="shared" si="90"/>
        <v>8</v>
      </c>
      <c r="BN43">
        <f t="shared" si="91"/>
        <v>8</v>
      </c>
      <c r="BO43">
        <f t="shared" si="92"/>
        <v>8</v>
      </c>
      <c r="BP43">
        <f t="shared" si="93"/>
        <v>8</v>
      </c>
      <c r="BQ43">
        <f t="shared" si="94"/>
        <v>8</v>
      </c>
      <c r="BR43">
        <f t="shared" si="95"/>
        <v>8</v>
      </c>
      <c r="BS43">
        <f t="shared" si="96"/>
        <v>8</v>
      </c>
      <c r="BT43">
        <f t="shared" si="97"/>
        <v>8</v>
      </c>
      <c r="BU43">
        <f t="shared" si="98"/>
        <v>8</v>
      </c>
      <c r="BV43">
        <f t="shared" si="99"/>
        <v>8</v>
      </c>
      <c r="BW43">
        <f t="shared" si="100"/>
        <v>8</v>
      </c>
      <c r="BX43">
        <f t="shared" si="101"/>
        <v>8</v>
      </c>
      <c r="BZ43">
        <f t="shared" si="112"/>
        <v>0</v>
      </c>
      <c r="CA43">
        <f t="shared" si="113"/>
        <v>0</v>
      </c>
      <c r="CB43">
        <f t="shared" si="54"/>
        <v>0</v>
      </c>
      <c r="CC43">
        <f t="shared" si="54"/>
        <v>0</v>
      </c>
      <c r="CD43">
        <f t="shared" si="54"/>
        <v>0</v>
      </c>
      <c r="CE43">
        <f t="shared" si="54"/>
        <v>0</v>
      </c>
      <c r="CF43">
        <f t="shared" si="54"/>
        <v>0</v>
      </c>
      <c r="CG43">
        <f t="shared" si="54"/>
        <v>0</v>
      </c>
      <c r="CH43">
        <f t="shared" si="53"/>
        <v>0</v>
      </c>
      <c r="CI43">
        <f t="shared" si="53"/>
        <v>0</v>
      </c>
      <c r="CJ43">
        <f t="shared" si="53"/>
        <v>0</v>
      </c>
      <c r="CK43">
        <f t="shared" si="53"/>
        <v>0</v>
      </c>
      <c r="CL43">
        <f t="shared" si="53"/>
        <v>0</v>
      </c>
      <c r="CM43">
        <f t="shared" si="53"/>
        <v>0</v>
      </c>
      <c r="CN43">
        <f t="shared" si="53"/>
        <v>0</v>
      </c>
      <c r="CO43">
        <f t="shared" si="103"/>
        <v>0</v>
      </c>
      <c r="CP43">
        <f t="shared" si="104"/>
        <v>0</v>
      </c>
      <c r="CQ43">
        <f t="shared" si="105"/>
        <v>0</v>
      </c>
      <c r="CR43">
        <f t="shared" si="106"/>
        <v>0</v>
      </c>
      <c r="CS43">
        <f t="shared" si="107"/>
        <v>0</v>
      </c>
      <c r="CT43">
        <f t="shared" si="108"/>
        <v>0</v>
      </c>
      <c r="CU43">
        <f t="shared" si="109"/>
        <v>0</v>
      </c>
      <c r="CV43">
        <f t="shared" si="110"/>
        <v>0</v>
      </c>
      <c r="CW43">
        <f t="shared" si="111"/>
        <v>0</v>
      </c>
    </row>
    <row r="44" spans="1:102">
      <c r="A44" s="60">
        <v>44966</v>
      </c>
      <c r="B44" s="426">
        <v>63612.3</v>
      </c>
      <c r="C44">
        <v>63919.4</v>
      </c>
      <c r="D44">
        <v>63758.6</v>
      </c>
      <c r="E44">
        <v>63778.3</v>
      </c>
      <c r="F44">
        <v>64642.9</v>
      </c>
      <c r="G44">
        <v>63677.9</v>
      </c>
      <c r="H44">
        <v>64043.6</v>
      </c>
      <c r="I44">
        <v>64136.1</v>
      </c>
      <c r="J44">
        <v>64008.9</v>
      </c>
      <c r="K44">
        <v>64279.4</v>
      </c>
      <c r="L44">
        <v>64073.2</v>
      </c>
      <c r="M44">
        <v>63977.5</v>
      </c>
      <c r="N44">
        <v>63957.1</v>
      </c>
      <c r="O44">
        <v>63972.1</v>
      </c>
      <c r="P44">
        <v>63938.3</v>
      </c>
      <c r="Q44">
        <v>63923</v>
      </c>
      <c r="R44">
        <v>64043.3</v>
      </c>
      <c r="S44">
        <v>63898.6</v>
      </c>
      <c r="T44">
        <v>63831.3</v>
      </c>
      <c r="U44">
        <v>63798.1</v>
      </c>
      <c r="V44">
        <v>64013.3</v>
      </c>
      <c r="W44">
        <v>63842.3</v>
      </c>
      <c r="X44">
        <v>63705.2</v>
      </c>
      <c r="Y44">
        <v>64049.1</v>
      </c>
      <c r="Z44" s="77">
        <v>1534879.8000000003</v>
      </c>
      <c r="AB44">
        <f t="shared" si="55"/>
        <v>0</v>
      </c>
      <c r="AC44">
        <f t="shared" si="56"/>
        <v>0</v>
      </c>
      <c r="AD44">
        <f t="shared" si="57"/>
        <v>0</v>
      </c>
      <c r="AE44">
        <f t="shared" si="58"/>
        <v>0</v>
      </c>
      <c r="AF44">
        <f t="shared" si="59"/>
        <v>0</v>
      </c>
      <c r="AG44">
        <f t="shared" si="60"/>
        <v>0</v>
      </c>
      <c r="AH44">
        <f t="shared" si="61"/>
        <v>0</v>
      </c>
      <c r="AI44">
        <f t="shared" si="62"/>
        <v>0</v>
      </c>
      <c r="AJ44">
        <f t="shared" si="63"/>
        <v>0</v>
      </c>
      <c r="AK44">
        <f t="shared" si="64"/>
        <v>0</v>
      </c>
      <c r="AL44">
        <f t="shared" si="65"/>
        <v>0</v>
      </c>
      <c r="AM44">
        <f t="shared" si="66"/>
        <v>0</v>
      </c>
      <c r="AN44">
        <f t="shared" si="67"/>
        <v>0</v>
      </c>
      <c r="AO44">
        <f t="shared" si="68"/>
        <v>0</v>
      </c>
      <c r="AP44">
        <f t="shared" si="69"/>
        <v>0</v>
      </c>
      <c r="AQ44">
        <f t="shared" si="70"/>
        <v>0</v>
      </c>
      <c r="AR44">
        <f t="shared" si="71"/>
        <v>0</v>
      </c>
      <c r="AS44">
        <f t="shared" si="72"/>
        <v>0</v>
      </c>
      <c r="AT44">
        <f t="shared" si="73"/>
        <v>0</v>
      </c>
      <c r="AU44">
        <f t="shared" si="74"/>
        <v>0</v>
      </c>
      <c r="AV44">
        <f t="shared" si="75"/>
        <v>0</v>
      </c>
      <c r="AW44">
        <f t="shared" si="76"/>
        <v>0</v>
      </c>
      <c r="AX44">
        <f t="shared" si="77"/>
        <v>0</v>
      </c>
      <c r="AY44">
        <f t="shared" si="78"/>
        <v>0</v>
      </c>
      <c r="BA44" s="52">
        <f t="shared" si="102"/>
        <v>8</v>
      </c>
      <c r="BB44" s="52">
        <f t="shared" si="79"/>
        <v>8</v>
      </c>
      <c r="BC44" s="52">
        <f t="shared" si="80"/>
        <v>8</v>
      </c>
      <c r="BD44" s="52">
        <f t="shared" si="81"/>
        <v>8</v>
      </c>
      <c r="BE44" s="52">
        <f t="shared" si="82"/>
        <v>8</v>
      </c>
      <c r="BF44" s="52">
        <f t="shared" si="83"/>
        <v>8</v>
      </c>
      <c r="BG44" s="52">
        <f t="shared" si="84"/>
        <v>8</v>
      </c>
      <c r="BH44" s="52">
        <f t="shared" si="85"/>
        <v>8</v>
      </c>
      <c r="BI44" s="52">
        <f t="shared" si="86"/>
        <v>8</v>
      </c>
      <c r="BJ44" s="52">
        <f t="shared" si="87"/>
        <v>8</v>
      </c>
      <c r="BK44" s="52">
        <f t="shared" si="88"/>
        <v>8</v>
      </c>
      <c r="BL44" s="52">
        <f t="shared" si="89"/>
        <v>8</v>
      </c>
      <c r="BM44" s="52">
        <f t="shared" si="90"/>
        <v>8</v>
      </c>
      <c r="BN44" s="52">
        <f t="shared" si="91"/>
        <v>8</v>
      </c>
      <c r="BO44" s="52">
        <f t="shared" si="92"/>
        <v>8</v>
      </c>
      <c r="BP44" s="52">
        <f t="shared" si="93"/>
        <v>8</v>
      </c>
      <c r="BQ44" s="52">
        <f t="shared" si="94"/>
        <v>8</v>
      </c>
      <c r="BR44" s="52">
        <f t="shared" si="95"/>
        <v>8</v>
      </c>
      <c r="BS44" s="52">
        <f t="shared" si="96"/>
        <v>8</v>
      </c>
      <c r="BT44" s="52">
        <f t="shared" si="97"/>
        <v>8</v>
      </c>
      <c r="BU44" s="52">
        <f t="shared" si="98"/>
        <v>8</v>
      </c>
      <c r="BV44" s="52">
        <f t="shared" si="99"/>
        <v>8</v>
      </c>
      <c r="BW44" s="52">
        <f t="shared" si="100"/>
        <v>8</v>
      </c>
      <c r="BX44" s="52">
        <f t="shared" si="101"/>
        <v>8</v>
      </c>
      <c r="BZ44" s="52">
        <f t="shared" si="112"/>
        <v>0</v>
      </c>
      <c r="CA44" s="52">
        <f t="shared" si="113"/>
        <v>0</v>
      </c>
      <c r="CB44" s="52">
        <f t="shared" si="54"/>
        <v>0</v>
      </c>
      <c r="CC44" s="52">
        <f t="shared" si="54"/>
        <v>0</v>
      </c>
      <c r="CD44" s="52">
        <f t="shared" si="54"/>
        <v>0</v>
      </c>
      <c r="CE44" s="52">
        <f t="shared" si="54"/>
        <v>0</v>
      </c>
      <c r="CF44" s="52">
        <f t="shared" si="54"/>
        <v>0</v>
      </c>
      <c r="CG44" s="52">
        <f t="shared" si="54"/>
        <v>0</v>
      </c>
      <c r="CH44" s="52">
        <f t="shared" si="53"/>
        <v>0</v>
      </c>
      <c r="CI44" s="52">
        <f t="shared" si="53"/>
        <v>0</v>
      </c>
      <c r="CJ44" s="52">
        <f t="shared" si="53"/>
        <v>0</v>
      </c>
      <c r="CK44" s="52">
        <f t="shared" si="53"/>
        <v>0</v>
      </c>
      <c r="CL44" s="52">
        <f t="shared" si="53"/>
        <v>0</v>
      </c>
      <c r="CM44" s="52">
        <f t="shared" si="53"/>
        <v>0</v>
      </c>
      <c r="CN44" s="52">
        <f t="shared" si="53"/>
        <v>0</v>
      </c>
      <c r="CO44" s="52">
        <f t="shared" si="103"/>
        <v>0</v>
      </c>
      <c r="CP44" s="52">
        <f t="shared" si="104"/>
        <v>0</v>
      </c>
      <c r="CQ44" s="52">
        <f t="shared" si="105"/>
        <v>0</v>
      </c>
      <c r="CR44" s="52">
        <f t="shared" si="106"/>
        <v>0</v>
      </c>
      <c r="CS44" s="52">
        <f t="shared" si="107"/>
        <v>0</v>
      </c>
      <c r="CT44" s="52">
        <f t="shared" si="108"/>
        <v>0</v>
      </c>
      <c r="CU44" s="52">
        <f t="shared" si="109"/>
        <v>0</v>
      </c>
      <c r="CV44" s="52">
        <f t="shared" si="110"/>
        <v>0</v>
      </c>
      <c r="CW44" s="52">
        <f t="shared" si="111"/>
        <v>0</v>
      </c>
    </row>
    <row r="45" spans="1:102">
      <c r="A45" s="60">
        <v>44967</v>
      </c>
      <c r="B45" s="426">
        <v>63866.5</v>
      </c>
      <c r="C45">
        <v>63881.599999999999</v>
      </c>
      <c r="D45">
        <v>64007.4</v>
      </c>
      <c r="E45">
        <v>63905.599999999999</v>
      </c>
      <c r="F45">
        <v>64009.599999999999</v>
      </c>
      <c r="G45">
        <v>62932</v>
      </c>
      <c r="H45">
        <v>63778.2</v>
      </c>
      <c r="I45">
        <v>63604.1</v>
      </c>
      <c r="J45">
        <v>63297.1</v>
      </c>
      <c r="K45">
        <v>64027.3</v>
      </c>
      <c r="L45">
        <v>63851.1</v>
      </c>
      <c r="M45">
        <v>63760</v>
      </c>
      <c r="N45">
        <v>63810.7</v>
      </c>
      <c r="O45">
        <v>63860.2</v>
      </c>
      <c r="P45">
        <v>63819.7</v>
      </c>
      <c r="Q45">
        <v>63797.9</v>
      </c>
      <c r="R45">
        <v>63783.7</v>
      </c>
      <c r="S45">
        <v>63866</v>
      </c>
      <c r="T45">
        <v>63935.3</v>
      </c>
      <c r="U45">
        <v>63733.5</v>
      </c>
      <c r="V45">
        <v>63698.8</v>
      </c>
      <c r="W45">
        <v>63619.7</v>
      </c>
      <c r="X45">
        <v>63693</v>
      </c>
      <c r="Y45">
        <v>63852.5</v>
      </c>
      <c r="Z45" s="77">
        <v>1530391.5</v>
      </c>
      <c r="AB45" s="52">
        <f t="shared" si="55"/>
        <v>0</v>
      </c>
      <c r="AC45" s="52">
        <f t="shared" si="56"/>
        <v>0</v>
      </c>
      <c r="AD45" s="52">
        <f t="shared" si="57"/>
        <v>0</v>
      </c>
      <c r="AE45" s="52">
        <f t="shared" si="58"/>
        <v>0</v>
      </c>
      <c r="AF45" s="52">
        <f t="shared" si="59"/>
        <v>0</v>
      </c>
      <c r="AG45" s="52">
        <f t="shared" si="60"/>
        <v>0</v>
      </c>
      <c r="AH45" s="52">
        <f t="shared" si="61"/>
        <v>0</v>
      </c>
      <c r="AI45" s="52">
        <f t="shared" si="62"/>
        <v>0</v>
      </c>
      <c r="AJ45" s="52">
        <f t="shared" si="63"/>
        <v>0</v>
      </c>
      <c r="AK45" s="52">
        <f t="shared" si="64"/>
        <v>0</v>
      </c>
      <c r="AL45" s="52">
        <f t="shared" si="65"/>
        <v>0</v>
      </c>
      <c r="AM45" s="52">
        <f t="shared" si="66"/>
        <v>0</v>
      </c>
      <c r="AN45" s="52">
        <f t="shared" si="67"/>
        <v>0</v>
      </c>
      <c r="AO45" s="52">
        <f t="shared" si="68"/>
        <v>0</v>
      </c>
      <c r="AP45" s="52">
        <f t="shared" si="69"/>
        <v>0</v>
      </c>
      <c r="AQ45" s="52">
        <f t="shared" si="70"/>
        <v>0</v>
      </c>
      <c r="AR45" s="52">
        <f t="shared" si="71"/>
        <v>0</v>
      </c>
      <c r="AS45" s="52">
        <f t="shared" si="72"/>
        <v>0</v>
      </c>
      <c r="AT45" s="52">
        <f t="shared" si="73"/>
        <v>0</v>
      </c>
      <c r="AU45" s="52">
        <f t="shared" si="74"/>
        <v>0</v>
      </c>
      <c r="AV45" s="52">
        <f t="shared" si="75"/>
        <v>0</v>
      </c>
      <c r="AW45" s="52">
        <f t="shared" si="76"/>
        <v>0</v>
      </c>
      <c r="AX45" s="52">
        <f t="shared" si="77"/>
        <v>0</v>
      </c>
      <c r="AY45" s="52">
        <f t="shared" si="78"/>
        <v>0</v>
      </c>
      <c r="BA45">
        <f t="shared" si="102"/>
        <v>8</v>
      </c>
      <c r="BB45">
        <f t="shared" si="79"/>
        <v>8</v>
      </c>
      <c r="BC45">
        <f t="shared" si="80"/>
        <v>8</v>
      </c>
      <c r="BD45">
        <f t="shared" si="81"/>
        <v>8</v>
      </c>
      <c r="BE45">
        <f t="shared" si="82"/>
        <v>8</v>
      </c>
      <c r="BF45">
        <f t="shared" si="83"/>
        <v>8</v>
      </c>
      <c r="BG45">
        <f t="shared" si="84"/>
        <v>8</v>
      </c>
      <c r="BH45">
        <f t="shared" si="85"/>
        <v>8</v>
      </c>
      <c r="BI45">
        <f t="shared" si="86"/>
        <v>8</v>
      </c>
      <c r="BJ45">
        <f t="shared" si="87"/>
        <v>8</v>
      </c>
      <c r="BK45">
        <f t="shared" si="88"/>
        <v>8</v>
      </c>
      <c r="BL45">
        <f t="shared" si="89"/>
        <v>8</v>
      </c>
      <c r="BM45">
        <f t="shared" si="90"/>
        <v>8</v>
      </c>
      <c r="BN45">
        <f t="shared" si="91"/>
        <v>8</v>
      </c>
      <c r="BO45">
        <f t="shared" si="92"/>
        <v>8</v>
      </c>
      <c r="BP45">
        <f t="shared" si="93"/>
        <v>8</v>
      </c>
      <c r="BQ45">
        <f t="shared" si="94"/>
        <v>8</v>
      </c>
      <c r="BR45">
        <f t="shared" si="95"/>
        <v>8</v>
      </c>
      <c r="BS45">
        <f t="shared" si="96"/>
        <v>8</v>
      </c>
      <c r="BT45">
        <f t="shared" si="97"/>
        <v>8</v>
      </c>
      <c r="BU45">
        <f t="shared" si="98"/>
        <v>8</v>
      </c>
      <c r="BV45">
        <f t="shared" si="99"/>
        <v>8</v>
      </c>
      <c r="BW45">
        <f t="shared" si="100"/>
        <v>8</v>
      </c>
      <c r="BX45">
        <f t="shared" si="101"/>
        <v>8</v>
      </c>
      <c r="BZ45">
        <f t="shared" si="112"/>
        <v>0</v>
      </c>
      <c r="CA45">
        <f t="shared" si="113"/>
        <v>0</v>
      </c>
      <c r="CB45">
        <f t="shared" si="54"/>
        <v>0</v>
      </c>
      <c r="CC45">
        <f t="shared" si="54"/>
        <v>0</v>
      </c>
      <c r="CD45">
        <f t="shared" si="54"/>
        <v>0</v>
      </c>
      <c r="CE45">
        <f t="shared" si="54"/>
        <v>0</v>
      </c>
      <c r="CF45">
        <f t="shared" si="54"/>
        <v>0</v>
      </c>
      <c r="CG45">
        <f t="shared" si="54"/>
        <v>0</v>
      </c>
      <c r="CH45">
        <f t="shared" si="53"/>
        <v>0</v>
      </c>
      <c r="CI45">
        <f t="shared" si="53"/>
        <v>0</v>
      </c>
      <c r="CJ45">
        <f t="shared" si="53"/>
        <v>0</v>
      </c>
      <c r="CK45">
        <f t="shared" si="53"/>
        <v>0</v>
      </c>
      <c r="CL45">
        <f t="shared" si="53"/>
        <v>0</v>
      </c>
      <c r="CM45">
        <f t="shared" si="53"/>
        <v>0</v>
      </c>
      <c r="CN45">
        <f t="shared" si="53"/>
        <v>0</v>
      </c>
      <c r="CO45">
        <f t="shared" si="103"/>
        <v>0</v>
      </c>
      <c r="CP45">
        <f t="shared" si="104"/>
        <v>0</v>
      </c>
      <c r="CQ45">
        <f t="shared" si="105"/>
        <v>0</v>
      </c>
      <c r="CR45">
        <f t="shared" si="106"/>
        <v>0</v>
      </c>
      <c r="CS45">
        <f t="shared" si="107"/>
        <v>0</v>
      </c>
      <c r="CT45">
        <f t="shared" si="108"/>
        <v>0</v>
      </c>
      <c r="CU45">
        <f t="shared" si="109"/>
        <v>0</v>
      </c>
      <c r="CV45">
        <f t="shared" si="110"/>
        <v>0</v>
      </c>
      <c r="CW45">
        <f t="shared" si="111"/>
        <v>0</v>
      </c>
    </row>
    <row r="46" spans="1:102">
      <c r="A46" s="60">
        <v>44968</v>
      </c>
      <c r="B46" s="426">
        <v>63638.8</v>
      </c>
      <c r="C46">
        <v>63907.5</v>
      </c>
      <c r="D46">
        <v>63804.5</v>
      </c>
      <c r="E46">
        <v>63834.400000000001</v>
      </c>
      <c r="F46">
        <v>64312.5</v>
      </c>
      <c r="G46">
        <v>63073.3</v>
      </c>
      <c r="H46">
        <v>63225</v>
      </c>
      <c r="I46">
        <v>63241.599999999999</v>
      </c>
      <c r="J46">
        <v>62760.1</v>
      </c>
      <c r="K46">
        <v>63270</v>
      </c>
      <c r="L46">
        <v>62703.8</v>
      </c>
      <c r="M46">
        <v>63212.9</v>
      </c>
      <c r="N46">
        <v>63161.1</v>
      </c>
      <c r="O46">
        <v>63151</v>
      </c>
      <c r="P46">
        <v>63262.8</v>
      </c>
      <c r="Q46">
        <v>63263.1</v>
      </c>
      <c r="R46">
        <v>63115.8</v>
      </c>
      <c r="S46">
        <v>63190.9</v>
      </c>
      <c r="T46">
        <v>63117.3</v>
      </c>
      <c r="U46">
        <v>63034.2</v>
      </c>
      <c r="V46">
        <v>63147.3</v>
      </c>
      <c r="W46">
        <v>63177.599999999999</v>
      </c>
      <c r="X46">
        <v>63124.5</v>
      </c>
      <c r="Y46">
        <v>63061.4</v>
      </c>
      <c r="Z46" s="77">
        <v>1518791.4</v>
      </c>
      <c r="AB46">
        <f t="shared" si="55"/>
        <v>0</v>
      </c>
      <c r="AC46">
        <f t="shared" si="56"/>
        <v>0</v>
      </c>
      <c r="AD46">
        <f t="shared" si="57"/>
        <v>0</v>
      </c>
      <c r="AE46">
        <f t="shared" si="58"/>
        <v>0</v>
      </c>
      <c r="AF46">
        <f t="shared" si="59"/>
        <v>0</v>
      </c>
      <c r="AG46">
        <f t="shared" si="60"/>
        <v>0</v>
      </c>
      <c r="AH46">
        <f t="shared" si="61"/>
        <v>0</v>
      </c>
      <c r="AI46">
        <f t="shared" si="62"/>
        <v>0</v>
      </c>
      <c r="AJ46">
        <f t="shared" si="63"/>
        <v>0</v>
      </c>
      <c r="AK46">
        <f t="shared" si="64"/>
        <v>0</v>
      </c>
      <c r="AL46">
        <f t="shared" si="65"/>
        <v>0</v>
      </c>
      <c r="AM46">
        <f t="shared" si="66"/>
        <v>0</v>
      </c>
      <c r="AN46">
        <f t="shared" si="67"/>
        <v>0</v>
      </c>
      <c r="AO46">
        <f t="shared" si="68"/>
        <v>0</v>
      </c>
      <c r="AP46">
        <f t="shared" si="69"/>
        <v>0</v>
      </c>
      <c r="AQ46">
        <f t="shared" si="70"/>
        <v>0</v>
      </c>
      <c r="AR46">
        <f t="shared" si="71"/>
        <v>0</v>
      </c>
      <c r="AS46">
        <f t="shared" si="72"/>
        <v>0</v>
      </c>
      <c r="AT46">
        <f t="shared" si="73"/>
        <v>0</v>
      </c>
      <c r="AU46">
        <f t="shared" si="74"/>
        <v>0</v>
      </c>
      <c r="AV46">
        <f t="shared" si="75"/>
        <v>0</v>
      </c>
      <c r="AW46">
        <f t="shared" si="76"/>
        <v>0</v>
      </c>
      <c r="AX46">
        <f t="shared" si="77"/>
        <v>0</v>
      </c>
      <c r="AY46">
        <f t="shared" si="78"/>
        <v>0</v>
      </c>
      <c r="BA46" s="52">
        <f t="shared" si="102"/>
        <v>8</v>
      </c>
      <c r="BB46" s="52">
        <f t="shared" si="79"/>
        <v>8</v>
      </c>
      <c r="BC46" s="52">
        <f t="shared" si="80"/>
        <v>8</v>
      </c>
      <c r="BD46" s="52">
        <f t="shared" si="81"/>
        <v>8</v>
      </c>
      <c r="BE46" s="52">
        <f t="shared" si="82"/>
        <v>8</v>
      </c>
      <c r="BF46" s="52">
        <f t="shared" si="83"/>
        <v>8</v>
      </c>
      <c r="BG46" s="52">
        <f t="shared" si="84"/>
        <v>8</v>
      </c>
      <c r="BH46" s="52">
        <f t="shared" si="85"/>
        <v>8</v>
      </c>
      <c r="BI46" s="52">
        <f t="shared" si="86"/>
        <v>8</v>
      </c>
      <c r="BJ46" s="52">
        <f t="shared" si="87"/>
        <v>8</v>
      </c>
      <c r="BK46" s="52">
        <f t="shared" si="88"/>
        <v>8</v>
      </c>
      <c r="BL46" s="52">
        <f t="shared" si="89"/>
        <v>8</v>
      </c>
      <c r="BM46" s="52">
        <f t="shared" si="90"/>
        <v>8</v>
      </c>
      <c r="BN46" s="52">
        <f t="shared" si="91"/>
        <v>8</v>
      </c>
      <c r="BO46" s="52">
        <f t="shared" si="92"/>
        <v>8</v>
      </c>
      <c r="BP46" s="52">
        <f t="shared" si="93"/>
        <v>8</v>
      </c>
      <c r="BQ46" s="52">
        <f t="shared" si="94"/>
        <v>8</v>
      </c>
      <c r="BR46" s="52">
        <f t="shared" si="95"/>
        <v>8</v>
      </c>
      <c r="BS46" s="52">
        <f t="shared" si="96"/>
        <v>8</v>
      </c>
      <c r="BT46" s="52">
        <f t="shared" si="97"/>
        <v>8</v>
      </c>
      <c r="BU46" s="52">
        <f t="shared" si="98"/>
        <v>8</v>
      </c>
      <c r="BV46" s="52">
        <f t="shared" si="99"/>
        <v>8</v>
      </c>
      <c r="BW46" s="52">
        <f t="shared" si="100"/>
        <v>8</v>
      </c>
      <c r="BX46" s="52">
        <f t="shared" si="101"/>
        <v>8</v>
      </c>
      <c r="BZ46" s="52">
        <f t="shared" si="112"/>
        <v>0</v>
      </c>
      <c r="CA46" s="52">
        <f t="shared" si="113"/>
        <v>0</v>
      </c>
      <c r="CB46" s="52">
        <f t="shared" si="54"/>
        <v>0</v>
      </c>
      <c r="CC46" s="52">
        <f t="shared" si="54"/>
        <v>0</v>
      </c>
      <c r="CD46" s="52">
        <f t="shared" si="54"/>
        <v>0</v>
      </c>
      <c r="CE46" s="52">
        <f t="shared" si="54"/>
        <v>0</v>
      </c>
      <c r="CF46" s="52">
        <f t="shared" si="54"/>
        <v>0</v>
      </c>
      <c r="CG46" s="52">
        <f t="shared" si="54"/>
        <v>0</v>
      </c>
      <c r="CH46" s="52">
        <f t="shared" si="53"/>
        <v>0</v>
      </c>
      <c r="CI46" s="52">
        <f t="shared" si="53"/>
        <v>0</v>
      </c>
      <c r="CJ46" s="52">
        <f t="shared" si="53"/>
        <v>0</v>
      </c>
      <c r="CK46" s="52">
        <f t="shared" si="53"/>
        <v>0</v>
      </c>
      <c r="CL46" s="52">
        <f t="shared" si="53"/>
        <v>0</v>
      </c>
      <c r="CM46" s="52">
        <f t="shared" si="53"/>
        <v>0</v>
      </c>
      <c r="CN46" s="52">
        <f t="shared" si="53"/>
        <v>0</v>
      </c>
      <c r="CO46" s="52">
        <f t="shared" si="103"/>
        <v>0</v>
      </c>
      <c r="CP46" s="52">
        <f t="shared" si="104"/>
        <v>0</v>
      </c>
      <c r="CQ46" s="52">
        <f t="shared" si="105"/>
        <v>0</v>
      </c>
      <c r="CR46" s="52">
        <f t="shared" si="106"/>
        <v>0</v>
      </c>
      <c r="CS46" s="52">
        <f t="shared" si="107"/>
        <v>0</v>
      </c>
      <c r="CT46" s="52">
        <f t="shared" si="108"/>
        <v>0</v>
      </c>
      <c r="CU46" s="52">
        <f t="shared" si="109"/>
        <v>0</v>
      </c>
      <c r="CV46" s="52">
        <f t="shared" si="110"/>
        <v>0</v>
      </c>
      <c r="CW46" s="52">
        <f t="shared" si="111"/>
        <v>0</v>
      </c>
    </row>
    <row r="47" spans="1:102">
      <c r="A47" s="60">
        <v>44969</v>
      </c>
      <c r="B47" s="426">
        <v>63054.1</v>
      </c>
      <c r="C47">
        <v>63101.3</v>
      </c>
      <c r="D47">
        <v>63149.7</v>
      </c>
      <c r="E47">
        <v>63085.1</v>
      </c>
      <c r="F47">
        <v>63247.199999999997</v>
      </c>
      <c r="G47">
        <v>64498.1</v>
      </c>
      <c r="H47">
        <v>64149.8</v>
      </c>
      <c r="I47">
        <v>64279</v>
      </c>
      <c r="J47">
        <v>64246.7</v>
      </c>
      <c r="K47">
        <v>64159.7</v>
      </c>
      <c r="L47">
        <v>64785.3</v>
      </c>
      <c r="M47">
        <v>64279.5</v>
      </c>
      <c r="N47">
        <v>64287.1</v>
      </c>
      <c r="O47">
        <v>64286.8</v>
      </c>
      <c r="P47">
        <v>64243.5</v>
      </c>
      <c r="Q47">
        <v>64320.1</v>
      </c>
      <c r="R47">
        <v>63778.9</v>
      </c>
      <c r="S47">
        <v>63806.1</v>
      </c>
      <c r="T47">
        <v>63543.5</v>
      </c>
      <c r="U47">
        <v>63758.8</v>
      </c>
      <c r="V47">
        <v>63864.6</v>
      </c>
      <c r="W47">
        <v>63734</v>
      </c>
      <c r="X47">
        <v>63668.4</v>
      </c>
      <c r="Y47">
        <v>63866.6</v>
      </c>
      <c r="Z47" s="77">
        <v>1533193.9000000001</v>
      </c>
      <c r="AB47" s="52">
        <f t="shared" si="55"/>
        <v>0</v>
      </c>
      <c r="AC47" s="52">
        <f t="shared" si="56"/>
        <v>0</v>
      </c>
      <c r="AD47" s="52">
        <f t="shared" si="57"/>
        <v>0</v>
      </c>
      <c r="AE47" s="52">
        <f t="shared" si="58"/>
        <v>0</v>
      </c>
      <c r="AF47" s="52">
        <f t="shared" si="59"/>
        <v>0</v>
      </c>
      <c r="AG47" s="52">
        <f t="shared" si="60"/>
        <v>0</v>
      </c>
      <c r="AH47" s="52">
        <f t="shared" si="61"/>
        <v>0</v>
      </c>
      <c r="AI47" s="52">
        <f t="shared" si="62"/>
        <v>0</v>
      </c>
      <c r="AJ47" s="52">
        <f t="shared" si="63"/>
        <v>0</v>
      </c>
      <c r="AK47" s="52">
        <f t="shared" si="64"/>
        <v>0</v>
      </c>
      <c r="AL47" s="52">
        <f t="shared" si="65"/>
        <v>0</v>
      </c>
      <c r="AM47" s="52">
        <f t="shared" si="66"/>
        <v>0</v>
      </c>
      <c r="AN47" s="52">
        <f t="shared" si="67"/>
        <v>0</v>
      </c>
      <c r="AO47" s="52">
        <f t="shared" si="68"/>
        <v>0</v>
      </c>
      <c r="AP47" s="52">
        <f t="shared" si="69"/>
        <v>0</v>
      </c>
      <c r="AQ47" s="52">
        <f t="shared" si="70"/>
        <v>0</v>
      </c>
      <c r="AR47" s="52">
        <f t="shared" si="71"/>
        <v>0</v>
      </c>
      <c r="AS47" s="52">
        <f t="shared" si="72"/>
        <v>0</v>
      </c>
      <c r="AT47" s="52">
        <f t="shared" si="73"/>
        <v>0</v>
      </c>
      <c r="AU47" s="52">
        <f t="shared" si="74"/>
        <v>0</v>
      </c>
      <c r="AV47" s="52">
        <f t="shared" si="75"/>
        <v>0</v>
      </c>
      <c r="AW47" s="52">
        <f t="shared" si="76"/>
        <v>0</v>
      </c>
      <c r="AX47" s="52">
        <f t="shared" si="77"/>
        <v>0</v>
      </c>
      <c r="AY47" s="52">
        <f t="shared" si="78"/>
        <v>0</v>
      </c>
      <c r="BA47">
        <f t="shared" si="102"/>
        <v>8</v>
      </c>
      <c r="BB47">
        <f t="shared" si="79"/>
        <v>8</v>
      </c>
      <c r="BC47">
        <f t="shared" si="80"/>
        <v>8</v>
      </c>
      <c r="BD47">
        <f t="shared" si="81"/>
        <v>8</v>
      </c>
      <c r="BE47">
        <f t="shared" si="82"/>
        <v>8</v>
      </c>
      <c r="BF47">
        <f t="shared" si="83"/>
        <v>8</v>
      </c>
      <c r="BG47">
        <f t="shared" si="84"/>
        <v>8</v>
      </c>
      <c r="BH47">
        <f t="shared" si="85"/>
        <v>8</v>
      </c>
      <c r="BI47">
        <f t="shared" si="86"/>
        <v>8</v>
      </c>
      <c r="BJ47">
        <f t="shared" si="87"/>
        <v>8</v>
      </c>
      <c r="BK47">
        <f t="shared" si="88"/>
        <v>8</v>
      </c>
      <c r="BL47">
        <f t="shared" si="89"/>
        <v>8</v>
      </c>
      <c r="BM47">
        <f t="shared" si="90"/>
        <v>8</v>
      </c>
      <c r="BN47">
        <f t="shared" si="91"/>
        <v>8</v>
      </c>
      <c r="BO47">
        <f t="shared" si="92"/>
        <v>8</v>
      </c>
      <c r="BP47">
        <f t="shared" si="93"/>
        <v>8</v>
      </c>
      <c r="BQ47">
        <f t="shared" si="94"/>
        <v>8</v>
      </c>
      <c r="BR47">
        <f t="shared" si="95"/>
        <v>8</v>
      </c>
      <c r="BS47">
        <f t="shared" si="96"/>
        <v>8</v>
      </c>
      <c r="BT47">
        <f t="shared" si="97"/>
        <v>8</v>
      </c>
      <c r="BU47">
        <f t="shared" si="98"/>
        <v>8</v>
      </c>
      <c r="BV47">
        <f t="shared" si="99"/>
        <v>8</v>
      </c>
      <c r="BW47">
        <f t="shared" si="100"/>
        <v>8</v>
      </c>
      <c r="BX47">
        <f t="shared" si="101"/>
        <v>8</v>
      </c>
      <c r="BZ47">
        <f t="shared" si="112"/>
        <v>0</v>
      </c>
      <c r="CA47">
        <f t="shared" si="113"/>
        <v>0</v>
      </c>
      <c r="CB47">
        <f t="shared" si="54"/>
        <v>0</v>
      </c>
      <c r="CC47">
        <f t="shared" si="54"/>
        <v>0</v>
      </c>
      <c r="CD47">
        <f t="shared" si="54"/>
        <v>0</v>
      </c>
      <c r="CE47">
        <f t="shared" si="54"/>
        <v>0</v>
      </c>
      <c r="CF47">
        <f t="shared" si="54"/>
        <v>0</v>
      </c>
      <c r="CG47">
        <f t="shared" si="54"/>
        <v>0</v>
      </c>
      <c r="CH47">
        <f t="shared" si="53"/>
        <v>0</v>
      </c>
      <c r="CI47">
        <f t="shared" si="53"/>
        <v>0</v>
      </c>
      <c r="CJ47">
        <f t="shared" si="53"/>
        <v>0</v>
      </c>
      <c r="CK47">
        <f t="shared" si="53"/>
        <v>0</v>
      </c>
      <c r="CL47">
        <f t="shared" si="53"/>
        <v>0</v>
      </c>
      <c r="CM47">
        <f t="shared" si="53"/>
        <v>0</v>
      </c>
      <c r="CN47">
        <f t="shared" si="53"/>
        <v>0</v>
      </c>
      <c r="CO47">
        <f t="shared" si="103"/>
        <v>0</v>
      </c>
      <c r="CP47">
        <f t="shared" si="104"/>
        <v>0</v>
      </c>
      <c r="CQ47">
        <f t="shared" si="105"/>
        <v>0</v>
      </c>
      <c r="CR47">
        <f t="shared" si="106"/>
        <v>0</v>
      </c>
      <c r="CS47">
        <f t="shared" si="107"/>
        <v>0</v>
      </c>
      <c r="CT47">
        <f t="shared" si="108"/>
        <v>0</v>
      </c>
      <c r="CU47">
        <f t="shared" si="109"/>
        <v>0</v>
      </c>
      <c r="CV47">
        <f t="shared" si="110"/>
        <v>0</v>
      </c>
      <c r="CW47">
        <f t="shared" si="111"/>
        <v>0</v>
      </c>
    </row>
    <row r="48" spans="1:102">
      <c r="A48" s="60">
        <v>44970</v>
      </c>
      <c r="B48" s="426">
        <v>63619.3</v>
      </c>
      <c r="C48">
        <v>63774.7</v>
      </c>
      <c r="D48">
        <v>63956.6</v>
      </c>
      <c r="E48">
        <v>63833.1</v>
      </c>
      <c r="F48">
        <v>63986.9</v>
      </c>
      <c r="G48">
        <v>63706.2</v>
      </c>
      <c r="H48">
        <v>63545</v>
      </c>
      <c r="I48">
        <v>63618.5</v>
      </c>
      <c r="J48">
        <v>63529.4</v>
      </c>
      <c r="K48">
        <v>61489.1</v>
      </c>
      <c r="L48">
        <v>61750.400000000001</v>
      </c>
      <c r="M48">
        <v>61642.3</v>
      </c>
      <c r="N48">
        <v>61536.1</v>
      </c>
      <c r="O48">
        <v>61566.3</v>
      </c>
      <c r="P48">
        <v>61444.800000000003</v>
      </c>
      <c r="Q48">
        <v>61433.2</v>
      </c>
      <c r="R48">
        <v>61619.4</v>
      </c>
      <c r="S48">
        <v>61413.3</v>
      </c>
      <c r="T48">
        <v>62106.1</v>
      </c>
      <c r="U48">
        <v>62404.6</v>
      </c>
      <c r="V48">
        <v>62311.7</v>
      </c>
      <c r="W48">
        <v>62173.7</v>
      </c>
      <c r="X48">
        <v>62512.9</v>
      </c>
      <c r="Y48">
        <v>63104.800000000003</v>
      </c>
      <c r="Z48" s="77">
        <v>1502078.4000000001</v>
      </c>
      <c r="AB48">
        <f t="shared" si="55"/>
        <v>0</v>
      </c>
      <c r="AC48">
        <f t="shared" si="56"/>
        <v>0</v>
      </c>
      <c r="AD48">
        <f t="shared" si="57"/>
        <v>0</v>
      </c>
      <c r="AE48">
        <f t="shared" si="58"/>
        <v>0</v>
      </c>
      <c r="AF48">
        <f t="shared" si="59"/>
        <v>0</v>
      </c>
      <c r="AG48">
        <f t="shared" si="60"/>
        <v>0</v>
      </c>
      <c r="AH48">
        <f t="shared" si="61"/>
        <v>0</v>
      </c>
      <c r="AI48">
        <f t="shared" si="62"/>
        <v>0</v>
      </c>
      <c r="AJ48">
        <f t="shared" si="63"/>
        <v>0</v>
      </c>
      <c r="AK48">
        <f t="shared" si="64"/>
        <v>0</v>
      </c>
      <c r="AL48">
        <f t="shared" si="65"/>
        <v>0</v>
      </c>
      <c r="AM48">
        <f t="shared" si="66"/>
        <v>0</v>
      </c>
      <c r="AN48">
        <f t="shared" si="67"/>
        <v>0</v>
      </c>
      <c r="AO48">
        <f t="shared" si="68"/>
        <v>0</v>
      </c>
      <c r="AP48">
        <f t="shared" si="69"/>
        <v>0</v>
      </c>
      <c r="AQ48">
        <f t="shared" si="70"/>
        <v>0</v>
      </c>
      <c r="AR48">
        <f t="shared" si="71"/>
        <v>0</v>
      </c>
      <c r="AS48">
        <f t="shared" si="72"/>
        <v>0</v>
      </c>
      <c r="AT48">
        <f t="shared" si="73"/>
        <v>0</v>
      </c>
      <c r="AU48">
        <f t="shared" si="74"/>
        <v>0</v>
      </c>
      <c r="AV48">
        <f t="shared" si="75"/>
        <v>0</v>
      </c>
      <c r="AW48">
        <f t="shared" si="76"/>
        <v>0</v>
      </c>
      <c r="AX48">
        <f t="shared" si="77"/>
        <v>0</v>
      </c>
      <c r="AY48">
        <f t="shared" si="78"/>
        <v>0</v>
      </c>
      <c r="BA48" s="52">
        <f t="shared" si="102"/>
        <v>8</v>
      </c>
      <c r="BB48" s="52">
        <f t="shared" si="79"/>
        <v>8</v>
      </c>
      <c r="BC48" s="52">
        <f t="shared" si="80"/>
        <v>8</v>
      </c>
      <c r="BD48" s="52">
        <f t="shared" si="81"/>
        <v>8</v>
      </c>
      <c r="BE48" s="52">
        <f t="shared" si="82"/>
        <v>8</v>
      </c>
      <c r="BF48" s="52">
        <f t="shared" si="83"/>
        <v>8</v>
      </c>
      <c r="BG48" s="52">
        <f t="shared" si="84"/>
        <v>8</v>
      </c>
      <c r="BH48" s="52">
        <f t="shared" si="85"/>
        <v>8</v>
      </c>
      <c r="BI48" s="52">
        <f t="shared" si="86"/>
        <v>8</v>
      </c>
      <c r="BJ48" s="52">
        <f t="shared" si="87"/>
        <v>7</v>
      </c>
      <c r="BK48" s="52">
        <f t="shared" si="88"/>
        <v>8</v>
      </c>
      <c r="BL48" s="52">
        <f t="shared" si="89"/>
        <v>8</v>
      </c>
      <c r="BM48" s="52">
        <f t="shared" si="90"/>
        <v>7</v>
      </c>
      <c r="BN48" s="52">
        <f t="shared" si="91"/>
        <v>7</v>
      </c>
      <c r="BO48" s="52">
        <f t="shared" si="92"/>
        <v>7</v>
      </c>
      <c r="BP48" s="52">
        <f t="shared" si="93"/>
        <v>7</v>
      </c>
      <c r="BQ48" s="52">
        <f t="shared" si="94"/>
        <v>8</v>
      </c>
      <c r="BR48" s="52">
        <f t="shared" si="95"/>
        <v>7</v>
      </c>
      <c r="BS48" s="52">
        <f t="shared" si="96"/>
        <v>8</v>
      </c>
      <c r="BT48" s="52">
        <f t="shared" si="97"/>
        <v>8</v>
      </c>
      <c r="BU48" s="52">
        <f t="shared" si="98"/>
        <v>8</v>
      </c>
      <c r="BV48" s="52">
        <f t="shared" si="99"/>
        <v>8</v>
      </c>
      <c r="BW48" s="52">
        <f t="shared" si="100"/>
        <v>8</v>
      </c>
      <c r="BX48" s="52">
        <f t="shared" si="101"/>
        <v>8</v>
      </c>
      <c r="BZ48" s="52">
        <f t="shared" si="112"/>
        <v>0</v>
      </c>
      <c r="CA48" s="52">
        <f t="shared" si="113"/>
        <v>0</v>
      </c>
      <c r="CB48" s="52">
        <f t="shared" si="113"/>
        <v>0</v>
      </c>
      <c r="CC48" s="52">
        <f t="shared" si="113"/>
        <v>0</v>
      </c>
      <c r="CD48" s="52">
        <f t="shared" si="113"/>
        <v>0</v>
      </c>
      <c r="CE48" s="52">
        <f t="shared" si="113"/>
        <v>0</v>
      </c>
      <c r="CF48" s="52">
        <f t="shared" si="113"/>
        <v>0</v>
      </c>
      <c r="CG48" s="52">
        <f t="shared" si="113"/>
        <v>0</v>
      </c>
      <c r="CH48" s="52">
        <f t="shared" si="113"/>
        <v>0</v>
      </c>
      <c r="CI48" s="52">
        <f t="shared" si="113"/>
        <v>-1</v>
      </c>
      <c r="CJ48" s="52">
        <f t="shared" si="113"/>
        <v>1</v>
      </c>
      <c r="CK48" s="52">
        <f t="shared" si="113"/>
        <v>0</v>
      </c>
      <c r="CL48" s="52">
        <f t="shared" si="113"/>
        <v>-1</v>
      </c>
      <c r="CM48" s="52">
        <f t="shared" si="113"/>
        <v>0</v>
      </c>
      <c r="CN48" s="52">
        <f t="shared" si="113"/>
        <v>0</v>
      </c>
      <c r="CO48" s="52">
        <f t="shared" si="103"/>
        <v>0</v>
      </c>
      <c r="CP48" s="52">
        <f t="shared" si="104"/>
        <v>1</v>
      </c>
      <c r="CQ48" s="52">
        <f t="shared" si="105"/>
        <v>-1</v>
      </c>
      <c r="CR48" s="52">
        <f t="shared" si="106"/>
        <v>1</v>
      </c>
      <c r="CS48" s="52">
        <f t="shared" si="107"/>
        <v>0</v>
      </c>
      <c r="CT48" s="52">
        <f t="shared" si="108"/>
        <v>0</v>
      </c>
      <c r="CU48" s="52">
        <f t="shared" si="109"/>
        <v>0</v>
      </c>
      <c r="CV48" s="52">
        <f t="shared" si="110"/>
        <v>0</v>
      </c>
      <c r="CW48" s="52">
        <f t="shared" si="111"/>
        <v>0</v>
      </c>
    </row>
    <row r="49" spans="1:102">
      <c r="A49" s="60">
        <v>44971</v>
      </c>
      <c r="B49" s="426">
        <v>63820.1</v>
      </c>
      <c r="C49">
        <v>63917.2</v>
      </c>
      <c r="D49">
        <v>63868.800000000003</v>
      </c>
      <c r="E49">
        <v>63742.400000000001</v>
      </c>
      <c r="F49">
        <v>64129.3</v>
      </c>
      <c r="G49">
        <v>60089</v>
      </c>
      <c r="H49">
        <v>60088.7</v>
      </c>
      <c r="I49">
        <v>59932.3</v>
      </c>
      <c r="J49">
        <v>60196.1</v>
      </c>
      <c r="K49">
        <v>60544.1</v>
      </c>
      <c r="L49">
        <v>62636.3</v>
      </c>
      <c r="M49">
        <v>62038.1</v>
      </c>
      <c r="N49">
        <v>61953.9</v>
      </c>
      <c r="O49">
        <v>62659.3</v>
      </c>
      <c r="P49">
        <v>63290.1</v>
      </c>
      <c r="Q49">
        <v>63416.1</v>
      </c>
      <c r="R49">
        <v>63446.5</v>
      </c>
      <c r="S49">
        <v>63389.8</v>
      </c>
      <c r="T49">
        <v>63408.2</v>
      </c>
      <c r="U49">
        <v>63308.7</v>
      </c>
      <c r="V49">
        <v>63250.8</v>
      </c>
      <c r="W49">
        <v>63265.8</v>
      </c>
      <c r="X49">
        <v>63308.1</v>
      </c>
      <c r="Y49">
        <v>64551.8</v>
      </c>
      <c r="Z49" s="77">
        <v>1504251.5000000002</v>
      </c>
      <c r="AB49" s="52">
        <f t="shared" si="55"/>
        <v>0</v>
      </c>
      <c r="AC49" s="52">
        <f t="shared" si="56"/>
        <v>0</v>
      </c>
      <c r="AD49" s="52">
        <f t="shared" si="57"/>
        <v>0</v>
      </c>
      <c r="AE49" s="52">
        <f t="shared" si="58"/>
        <v>0</v>
      </c>
      <c r="AF49" s="52">
        <f t="shared" si="59"/>
        <v>0</v>
      </c>
      <c r="AG49" s="52">
        <f t="shared" si="60"/>
        <v>0</v>
      </c>
      <c r="AH49" s="52">
        <f t="shared" si="61"/>
        <v>0</v>
      </c>
      <c r="AI49" s="52">
        <f t="shared" si="62"/>
        <v>0</v>
      </c>
      <c r="AJ49" s="52">
        <f t="shared" si="63"/>
        <v>0</v>
      </c>
      <c r="AK49" s="52">
        <f t="shared" si="64"/>
        <v>0</v>
      </c>
      <c r="AL49" s="52">
        <f t="shared" si="65"/>
        <v>0</v>
      </c>
      <c r="AM49" s="52">
        <f t="shared" si="66"/>
        <v>0</v>
      </c>
      <c r="AN49" s="52">
        <f t="shared" si="67"/>
        <v>0</v>
      </c>
      <c r="AO49" s="52">
        <f t="shared" si="68"/>
        <v>0</v>
      </c>
      <c r="AP49" s="52">
        <f t="shared" si="69"/>
        <v>0</v>
      </c>
      <c r="AQ49" s="52">
        <f t="shared" si="70"/>
        <v>0</v>
      </c>
      <c r="AR49" s="52">
        <f t="shared" si="71"/>
        <v>0</v>
      </c>
      <c r="AS49" s="52">
        <f t="shared" si="72"/>
        <v>0</v>
      </c>
      <c r="AT49" s="52">
        <f t="shared" si="73"/>
        <v>0</v>
      </c>
      <c r="AU49" s="52">
        <f t="shared" si="74"/>
        <v>0</v>
      </c>
      <c r="AV49" s="52">
        <f t="shared" si="75"/>
        <v>0</v>
      </c>
      <c r="AW49" s="52">
        <f t="shared" si="76"/>
        <v>0</v>
      </c>
      <c r="AX49" s="52">
        <f t="shared" si="77"/>
        <v>0</v>
      </c>
      <c r="AY49" s="52">
        <f t="shared" si="78"/>
        <v>0</v>
      </c>
      <c r="BA49">
        <f t="shared" si="102"/>
        <v>8</v>
      </c>
      <c r="BB49">
        <f t="shared" si="79"/>
        <v>8</v>
      </c>
      <c r="BC49">
        <f t="shared" si="80"/>
        <v>8</v>
      </c>
      <c r="BD49">
        <f t="shared" si="81"/>
        <v>8</v>
      </c>
      <c r="BE49">
        <f t="shared" si="82"/>
        <v>8</v>
      </c>
      <c r="BF49">
        <f t="shared" si="83"/>
        <v>7</v>
      </c>
      <c r="BG49">
        <f t="shared" si="84"/>
        <v>7</v>
      </c>
      <c r="BH49">
        <f t="shared" si="85"/>
        <v>7</v>
      </c>
      <c r="BI49">
        <f t="shared" si="86"/>
        <v>7</v>
      </c>
      <c r="BJ49">
        <f t="shared" si="87"/>
        <v>7</v>
      </c>
      <c r="BK49">
        <f t="shared" si="88"/>
        <v>8</v>
      </c>
      <c r="BL49">
        <f t="shared" si="89"/>
        <v>8</v>
      </c>
      <c r="BM49">
        <f t="shared" si="90"/>
        <v>8</v>
      </c>
      <c r="BN49">
        <f t="shared" si="91"/>
        <v>8</v>
      </c>
      <c r="BO49">
        <f t="shared" si="92"/>
        <v>8</v>
      </c>
      <c r="BP49">
        <f t="shared" si="93"/>
        <v>8</v>
      </c>
      <c r="BQ49">
        <f t="shared" si="94"/>
        <v>8</v>
      </c>
      <c r="BR49">
        <f t="shared" si="95"/>
        <v>8</v>
      </c>
      <c r="BS49">
        <f t="shared" si="96"/>
        <v>8</v>
      </c>
      <c r="BT49">
        <f t="shared" si="97"/>
        <v>8</v>
      </c>
      <c r="BU49">
        <f t="shared" si="98"/>
        <v>8</v>
      </c>
      <c r="BV49">
        <f t="shared" si="99"/>
        <v>8</v>
      </c>
      <c r="BW49">
        <f t="shared" si="100"/>
        <v>8</v>
      </c>
      <c r="BX49">
        <f t="shared" si="101"/>
        <v>8</v>
      </c>
      <c r="BZ49">
        <f t="shared" si="112"/>
        <v>0</v>
      </c>
      <c r="CA49">
        <f t="shared" si="113"/>
        <v>0</v>
      </c>
      <c r="CB49">
        <f t="shared" si="113"/>
        <v>0</v>
      </c>
      <c r="CC49">
        <f t="shared" si="113"/>
        <v>0</v>
      </c>
      <c r="CD49">
        <f t="shared" si="113"/>
        <v>0</v>
      </c>
      <c r="CE49">
        <f t="shared" si="113"/>
        <v>-1</v>
      </c>
      <c r="CF49">
        <f t="shared" si="113"/>
        <v>0</v>
      </c>
      <c r="CG49">
        <f t="shared" si="113"/>
        <v>0</v>
      </c>
      <c r="CH49">
        <f t="shared" si="113"/>
        <v>0</v>
      </c>
      <c r="CI49">
        <f t="shared" si="113"/>
        <v>0</v>
      </c>
      <c r="CJ49">
        <f t="shared" si="113"/>
        <v>1</v>
      </c>
      <c r="CK49">
        <f t="shared" si="113"/>
        <v>0</v>
      </c>
      <c r="CL49">
        <f t="shared" si="113"/>
        <v>0</v>
      </c>
      <c r="CM49">
        <f t="shared" si="113"/>
        <v>0</v>
      </c>
      <c r="CN49">
        <f t="shared" si="113"/>
        <v>0</v>
      </c>
      <c r="CO49">
        <f t="shared" si="103"/>
        <v>0</v>
      </c>
      <c r="CP49">
        <f t="shared" si="104"/>
        <v>0</v>
      </c>
      <c r="CQ49">
        <f t="shared" si="105"/>
        <v>0</v>
      </c>
      <c r="CR49">
        <f t="shared" si="106"/>
        <v>0</v>
      </c>
      <c r="CS49">
        <f t="shared" si="107"/>
        <v>0</v>
      </c>
      <c r="CT49">
        <f t="shared" si="108"/>
        <v>0</v>
      </c>
      <c r="CU49">
        <f t="shared" si="109"/>
        <v>0</v>
      </c>
      <c r="CV49">
        <f t="shared" si="110"/>
        <v>0</v>
      </c>
      <c r="CW49">
        <f t="shared" si="111"/>
        <v>0</v>
      </c>
    </row>
    <row r="50" spans="1:102">
      <c r="A50" s="60">
        <v>44972</v>
      </c>
      <c r="B50" s="426">
        <v>65765.7</v>
      </c>
      <c r="C50">
        <v>63337.1</v>
      </c>
      <c r="D50">
        <v>63284.9</v>
      </c>
      <c r="E50">
        <v>63281</v>
      </c>
      <c r="F50">
        <v>63469.1</v>
      </c>
      <c r="G50">
        <v>59518.2</v>
      </c>
      <c r="H50">
        <v>59984.6</v>
      </c>
      <c r="I50">
        <v>59943.199999999997</v>
      </c>
      <c r="J50">
        <v>59860.6</v>
      </c>
      <c r="K50">
        <v>61768.800000000003</v>
      </c>
      <c r="L50">
        <v>64938</v>
      </c>
      <c r="M50">
        <v>63069.3</v>
      </c>
      <c r="N50">
        <v>63344.4</v>
      </c>
      <c r="O50">
        <v>63402.6</v>
      </c>
      <c r="P50">
        <v>63332.7</v>
      </c>
      <c r="Q50">
        <v>63359.3</v>
      </c>
      <c r="R50">
        <v>63367</v>
      </c>
      <c r="S50">
        <v>64114.2</v>
      </c>
      <c r="T50">
        <v>64053.1</v>
      </c>
      <c r="U50">
        <v>64274.1</v>
      </c>
      <c r="V50">
        <v>64011.6</v>
      </c>
      <c r="W50">
        <v>63804.7</v>
      </c>
      <c r="X50">
        <v>63912.2</v>
      </c>
      <c r="Y50">
        <v>64194.3</v>
      </c>
      <c r="Z50" s="77">
        <v>1513390.7000000002</v>
      </c>
      <c r="AB50">
        <f t="shared" si="55"/>
        <v>0</v>
      </c>
      <c r="AC50">
        <f t="shared" si="56"/>
        <v>0</v>
      </c>
      <c r="AD50">
        <f t="shared" si="57"/>
        <v>0</v>
      </c>
      <c r="AE50">
        <f t="shared" si="58"/>
        <v>0</v>
      </c>
      <c r="AF50">
        <f t="shared" si="59"/>
        <v>0</v>
      </c>
      <c r="AG50">
        <f t="shared" si="60"/>
        <v>0</v>
      </c>
      <c r="AH50">
        <f t="shared" si="61"/>
        <v>0</v>
      </c>
      <c r="AI50">
        <f t="shared" si="62"/>
        <v>0</v>
      </c>
      <c r="AJ50">
        <f t="shared" si="63"/>
        <v>0</v>
      </c>
      <c r="AK50">
        <f t="shared" si="64"/>
        <v>0</v>
      </c>
      <c r="AL50">
        <f t="shared" si="65"/>
        <v>0</v>
      </c>
      <c r="AM50">
        <f t="shared" si="66"/>
        <v>0</v>
      </c>
      <c r="AN50">
        <f t="shared" si="67"/>
        <v>0</v>
      </c>
      <c r="AO50">
        <f t="shared" si="68"/>
        <v>0</v>
      </c>
      <c r="AP50">
        <f t="shared" si="69"/>
        <v>0</v>
      </c>
      <c r="AQ50">
        <f t="shared" si="70"/>
        <v>0</v>
      </c>
      <c r="AR50">
        <f t="shared" si="71"/>
        <v>0</v>
      </c>
      <c r="AS50">
        <f t="shared" si="72"/>
        <v>0</v>
      </c>
      <c r="AT50">
        <f t="shared" si="73"/>
        <v>0</v>
      </c>
      <c r="AU50">
        <f t="shared" si="74"/>
        <v>0</v>
      </c>
      <c r="AV50">
        <f t="shared" si="75"/>
        <v>0</v>
      </c>
      <c r="AW50">
        <f t="shared" si="76"/>
        <v>0</v>
      </c>
      <c r="AX50">
        <f t="shared" si="77"/>
        <v>0</v>
      </c>
      <c r="AY50">
        <f t="shared" si="78"/>
        <v>0</v>
      </c>
      <c r="BA50" s="52">
        <f t="shared" si="102"/>
        <v>8</v>
      </c>
      <c r="BB50" s="52">
        <f t="shared" si="79"/>
        <v>8</v>
      </c>
      <c r="BC50" s="52">
        <f t="shared" si="80"/>
        <v>8</v>
      </c>
      <c r="BD50" s="52">
        <f t="shared" si="81"/>
        <v>8</v>
      </c>
      <c r="BE50" s="52">
        <f t="shared" si="82"/>
        <v>8</v>
      </c>
      <c r="BF50" s="52">
        <f t="shared" si="83"/>
        <v>7</v>
      </c>
      <c r="BG50" s="52">
        <f t="shared" si="84"/>
        <v>7</v>
      </c>
      <c r="BH50" s="52">
        <f t="shared" si="85"/>
        <v>7</v>
      </c>
      <c r="BI50" s="52">
        <f t="shared" si="86"/>
        <v>7</v>
      </c>
      <c r="BJ50" s="52">
        <f t="shared" si="87"/>
        <v>8</v>
      </c>
      <c r="BK50" s="52">
        <f t="shared" si="88"/>
        <v>8</v>
      </c>
      <c r="BL50" s="52">
        <f t="shared" si="89"/>
        <v>8</v>
      </c>
      <c r="BM50" s="52">
        <f t="shared" si="90"/>
        <v>8</v>
      </c>
      <c r="BN50" s="52">
        <f t="shared" si="91"/>
        <v>8</v>
      </c>
      <c r="BO50" s="52">
        <f t="shared" si="92"/>
        <v>8</v>
      </c>
      <c r="BP50" s="52">
        <f t="shared" si="93"/>
        <v>8</v>
      </c>
      <c r="BQ50" s="52">
        <f t="shared" si="94"/>
        <v>8</v>
      </c>
      <c r="BR50" s="52">
        <f t="shared" si="95"/>
        <v>8</v>
      </c>
      <c r="BS50" s="52">
        <f t="shared" si="96"/>
        <v>8</v>
      </c>
      <c r="BT50" s="52">
        <f t="shared" si="97"/>
        <v>8</v>
      </c>
      <c r="BU50" s="52">
        <f t="shared" si="98"/>
        <v>8</v>
      </c>
      <c r="BV50" s="52">
        <f t="shared" si="99"/>
        <v>8</v>
      </c>
      <c r="BW50" s="52">
        <f t="shared" si="100"/>
        <v>8</v>
      </c>
      <c r="BX50" s="52">
        <f t="shared" si="101"/>
        <v>8</v>
      </c>
      <c r="BZ50" s="52">
        <f t="shared" si="112"/>
        <v>0</v>
      </c>
      <c r="CA50" s="52">
        <f t="shared" si="113"/>
        <v>0</v>
      </c>
      <c r="CB50" s="52">
        <f t="shared" si="113"/>
        <v>0</v>
      </c>
      <c r="CC50" s="52">
        <f t="shared" si="113"/>
        <v>0</v>
      </c>
      <c r="CD50" s="52">
        <f t="shared" si="113"/>
        <v>0</v>
      </c>
      <c r="CE50" s="52">
        <f t="shared" si="113"/>
        <v>-1</v>
      </c>
      <c r="CF50" s="52">
        <f t="shared" si="113"/>
        <v>0</v>
      </c>
      <c r="CG50" s="52">
        <f t="shared" si="113"/>
        <v>0</v>
      </c>
      <c r="CH50" s="52">
        <f t="shared" si="113"/>
        <v>0</v>
      </c>
      <c r="CI50" s="52">
        <f t="shared" si="113"/>
        <v>1</v>
      </c>
      <c r="CJ50" s="52">
        <f t="shared" si="113"/>
        <v>0</v>
      </c>
      <c r="CK50" s="52">
        <f t="shared" si="113"/>
        <v>0</v>
      </c>
      <c r="CL50" s="52">
        <f t="shared" si="113"/>
        <v>0</v>
      </c>
      <c r="CM50" s="52">
        <f t="shared" si="113"/>
        <v>0</v>
      </c>
      <c r="CN50" s="52">
        <f t="shared" si="113"/>
        <v>0</v>
      </c>
      <c r="CO50" s="52">
        <f t="shared" si="103"/>
        <v>0</v>
      </c>
      <c r="CP50" s="52">
        <f t="shared" si="104"/>
        <v>0</v>
      </c>
      <c r="CQ50" s="52">
        <f t="shared" si="105"/>
        <v>0</v>
      </c>
      <c r="CR50" s="52">
        <f t="shared" si="106"/>
        <v>0</v>
      </c>
      <c r="CS50" s="52">
        <f t="shared" si="107"/>
        <v>0</v>
      </c>
      <c r="CT50" s="52">
        <f t="shared" si="108"/>
        <v>0</v>
      </c>
      <c r="CU50" s="52">
        <f t="shared" si="109"/>
        <v>0</v>
      </c>
      <c r="CV50" s="52">
        <f t="shared" si="110"/>
        <v>0</v>
      </c>
      <c r="CW50" s="52">
        <f t="shared" si="111"/>
        <v>0</v>
      </c>
    </row>
    <row r="51" spans="1:102">
      <c r="A51" s="60">
        <v>44973</v>
      </c>
      <c r="B51" s="426">
        <v>54034.5</v>
      </c>
      <c r="C51">
        <v>53903.8</v>
      </c>
      <c r="D51">
        <v>53717.9</v>
      </c>
      <c r="E51">
        <v>54017.2</v>
      </c>
      <c r="F51">
        <v>53964.800000000003</v>
      </c>
      <c r="G51">
        <v>53975.3</v>
      </c>
      <c r="H51">
        <v>54029.5</v>
      </c>
      <c r="I51">
        <v>53979.3</v>
      </c>
      <c r="J51">
        <v>54200.6</v>
      </c>
      <c r="K51">
        <v>54794.1</v>
      </c>
      <c r="L51">
        <v>54638.400000000001</v>
      </c>
      <c r="M51">
        <v>54466.6</v>
      </c>
      <c r="N51">
        <v>54611</v>
      </c>
      <c r="O51">
        <v>54677.1</v>
      </c>
      <c r="P51">
        <v>54652.7</v>
      </c>
      <c r="Q51">
        <v>54617.5</v>
      </c>
      <c r="R51">
        <v>54588.5</v>
      </c>
      <c r="S51">
        <v>54636.7</v>
      </c>
      <c r="T51">
        <v>54317.599999999999</v>
      </c>
      <c r="U51">
        <v>54474.9</v>
      </c>
      <c r="V51">
        <v>54381.3</v>
      </c>
      <c r="W51">
        <v>54366.7</v>
      </c>
      <c r="X51">
        <v>54407.199999999997</v>
      </c>
      <c r="Y51">
        <v>54448.5</v>
      </c>
      <c r="Z51" s="77">
        <v>1303901.6999999997</v>
      </c>
      <c r="AB51" s="52">
        <f t="shared" si="55"/>
        <v>0</v>
      </c>
      <c r="AC51" s="52">
        <f t="shared" si="56"/>
        <v>0</v>
      </c>
      <c r="AD51" s="52">
        <f t="shared" si="57"/>
        <v>0</v>
      </c>
      <c r="AE51" s="52">
        <f t="shared" si="58"/>
        <v>0</v>
      </c>
      <c r="AF51" s="52">
        <f t="shared" si="59"/>
        <v>0</v>
      </c>
      <c r="AG51" s="52">
        <f t="shared" si="60"/>
        <v>0</v>
      </c>
      <c r="AH51" s="52">
        <f t="shared" si="61"/>
        <v>0</v>
      </c>
      <c r="AI51" s="52">
        <f t="shared" si="62"/>
        <v>0</v>
      </c>
      <c r="AJ51" s="52">
        <f t="shared" si="63"/>
        <v>0</v>
      </c>
      <c r="AK51" s="52">
        <f t="shared" si="64"/>
        <v>0</v>
      </c>
      <c r="AL51" s="52">
        <f t="shared" si="65"/>
        <v>0</v>
      </c>
      <c r="AM51" s="52">
        <f t="shared" si="66"/>
        <v>0</v>
      </c>
      <c r="AN51" s="52">
        <f t="shared" si="67"/>
        <v>0</v>
      </c>
      <c r="AO51" s="52">
        <f t="shared" si="68"/>
        <v>0</v>
      </c>
      <c r="AP51" s="52">
        <f t="shared" si="69"/>
        <v>0</v>
      </c>
      <c r="AQ51" s="52">
        <f t="shared" si="70"/>
        <v>0</v>
      </c>
      <c r="AR51" s="52">
        <f t="shared" si="71"/>
        <v>0</v>
      </c>
      <c r="AS51" s="52">
        <f t="shared" si="72"/>
        <v>0</v>
      </c>
      <c r="AT51" s="52">
        <f t="shared" si="73"/>
        <v>0</v>
      </c>
      <c r="AU51" s="52">
        <f t="shared" si="74"/>
        <v>0</v>
      </c>
      <c r="AV51" s="52">
        <f t="shared" si="75"/>
        <v>0</v>
      </c>
      <c r="AW51" s="52">
        <f t="shared" si="76"/>
        <v>0</v>
      </c>
      <c r="AX51" s="52">
        <f t="shared" si="77"/>
        <v>0</v>
      </c>
      <c r="AY51" s="52">
        <f t="shared" si="78"/>
        <v>0</v>
      </c>
      <c r="BA51">
        <f t="shared" si="102"/>
        <v>7</v>
      </c>
      <c r="BB51">
        <f t="shared" si="79"/>
        <v>7</v>
      </c>
      <c r="BC51">
        <f t="shared" si="80"/>
        <v>7</v>
      </c>
      <c r="BD51">
        <f t="shared" si="81"/>
        <v>7</v>
      </c>
      <c r="BE51">
        <f t="shared" si="82"/>
        <v>7</v>
      </c>
      <c r="BF51">
        <f t="shared" si="83"/>
        <v>7</v>
      </c>
      <c r="BG51">
        <f t="shared" si="84"/>
        <v>7</v>
      </c>
      <c r="BH51">
        <f t="shared" si="85"/>
        <v>7</v>
      </c>
      <c r="BI51">
        <f t="shared" si="86"/>
        <v>7</v>
      </c>
      <c r="BJ51">
        <f t="shared" si="87"/>
        <v>7</v>
      </c>
      <c r="BK51">
        <f t="shared" si="88"/>
        <v>7</v>
      </c>
      <c r="BL51">
        <f t="shared" si="89"/>
        <v>7</v>
      </c>
      <c r="BM51">
        <f t="shared" si="90"/>
        <v>7</v>
      </c>
      <c r="BN51">
        <f t="shared" si="91"/>
        <v>7</v>
      </c>
      <c r="BO51">
        <f t="shared" si="92"/>
        <v>7</v>
      </c>
      <c r="BP51">
        <f t="shared" si="93"/>
        <v>7</v>
      </c>
      <c r="BQ51">
        <f t="shared" si="94"/>
        <v>7</v>
      </c>
      <c r="BR51">
        <f t="shared" si="95"/>
        <v>7</v>
      </c>
      <c r="BS51">
        <f t="shared" si="96"/>
        <v>7</v>
      </c>
      <c r="BT51">
        <f t="shared" si="97"/>
        <v>7</v>
      </c>
      <c r="BU51">
        <f t="shared" si="98"/>
        <v>7</v>
      </c>
      <c r="BV51">
        <f t="shared" si="99"/>
        <v>7</v>
      </c>
      <c r="BW51">
        <f t="shared" si="100"/>
        <v>7</v>
      </c>
      <c r="BX51">
        <f t="shared" si="101"/>
        <v>7</v>
      </c>
      <c r="BZ51">
        <f t="shared" si="112"/>
        <v>-1</v>
      </c>
      <c r="CA51">
        <f t="shared" si="113"/>
        <v>0</v>
      </c>
      <c r="CB51">
        <f t="shared" si="113"/>
        <v>0</v>
      </c>
      <c r="CC51">
        <f t="shared" si="113"/>
        <v>0</v>
      </c>
      <c r="CD51">
        <f t="shared" si="113"/>
        <v>0</v>
      </c>
      <c r="CE51">
        <f t="shared" si="113"/>
        <v>0</v>
      </c>
      <c r="CF51">
        <f t="shared" si="113"/>
        <v>0</v>
      </c>
      <c r="CG51">
        <f t="shared" si="113"/>
        <v>0</v>
      </c>
      <c r="CH51">
        <f t="shared" si="113"/>
        <v>0</v>
      </c>
      <c r="CI51">
        <f t="shared" si="113"/>
        <v>0</v>
      </c>
      <c r="CJ51">
        <f t="shared" si="113"/>
        <v>0</v>
      </c>
      <c r="CK51">
        <f t="shared" si="113"/>
        <v>0</v>
      </c>
      <c r="CL51">
        <f t="shared" si="113"/>
        <v>0</v>
      </c>
      <c r="CM51">
        <f t="shared" si="113"/>
        <v>0</v>
      </c>
      <c r="CN51">
        <f t="shared" si="113"/>
        <v>0</v>
      </c>
      <c r="CO51">
        <f t="shared" si="103"/>
        <v>0</v>
      </c>
      <c r="CP51">
        <f t="shared" si="104"/>
        <v>0</v>
      </c>
      <c r="CQ51">
        <f t="shared" si="105"/>
        <v>0</v>
      </c>
      <c r="CR51">
        <f t="shared" si="106"/>
        <v>0</v>
      </c>
      <c r="CS51">
        <f t="shared" si="107"/>
        <v>0</v>
      </c>
      <c r="CT51">
        <f t="shared" si="108"/>
        <v>0</v>
      </c>
      <c r="CU51">
        <f t="shared" si="109"/>
        <v>0</v>
      </c>
      <c r="CV51">
        <f t="shared" si="110"/>
        <v>0</v>
      </c>
      <c r="CW51">
        <f t="shared" si="111"/>
        <v>0</v>
      </c>
    </row>
    <row r="52" spans="1:102">
      <c r="A52" s="60">
        <v>44974</v>
      </c>
      <c r="B52" s="426">
        <v>52804.5</v>
      </c>
      <c r="C52">
        <v>52725.8</v>
      </c>
      <c r="D52">
        <v>52624.7</v>
      </c>
      <c r="E52">
        <v>52660.800000000003</v>
      </c>
      <c r="F52">
        <v>52725.599999999999</v>
      </c>
      <c r="G52">
        <v>51080.7</v>
      </c>
      <c r="H52">
        <v>51193.9</v>
      </c>
      <c r="I52">
        <v>54082.7</v>
      </c>
      <c r="J52">
        <v>52752</v>
      </c>
      <c r="K52">
        <v>54607.4</v>
      </c>
      <c r="L52">
        <v>54587.6</v>
      </c>
      <c r="M52">
        <v>54632.800000000003</v>
      </c>
      <c r="N52">
        <v>54638</v>
      </c>
      <c r="O52">
        <v>54686.6</v>
      </c>
      <c r="P52">
        <v>54609.2</v>
      </c>
      <c r="Q52">
        <v>54576.3</v>
      </c>
      <c r="R52">
        <v>54990.9</v>
      </c>
      <c r="S52">
        <v>54700.1</v>
      </c>
      <c r="T52">
        <v>54575.7</v>
      </c>
      <c r="U52">
        <v>54541.2</v>
      </c>
      <c r="V52">
        <v>54669</v>
      </c>
      <c r="W52">
        <v>54545.1</v>
      </c>
      <c r="X52">
        <v>54525.8</v>
      </c>
      <c r="Y52">
        <v>53842.5</v>
      </c>
      <c r="Z52" s="77">
        <v>1291378.9000000001</v>
      </c>
      <c r="AB52">
        <f t="shared" si="55"/>
        <v>0</v>
      </c>
      <c r="AC52">
        <f t="shared" si="56"/>
        <v>0</v>
      </c>
      <c r="AD52">
        <f t="shared" si="57"/>
        <v>0</v>
      </c>
      <c r="AE52">
        <f t="shared" si="58"/>
        <v>0</v>
      </c>
      <c r="AF52">
        <f t="shared" si="59"/>
        <v>0</v>
      </c>
      <c r="AG52">
        <f t="shared" si="60"/>
        <v>0</v>
      </c>
      <c r="AH52">
        <f t="shared" si="61"/>
        <v>0</v>
      </c>
      <c r="AI52">
        <f t="shared" si="62"/>
        <v>0</v>
      </c>
      <c r="AJ52">
        <f t="shared" si="63"/>
        <v>0</v>
      </c>
      <c r="AK52">
        <f t="shared" si="64"/>
        <v>0</v>
      </c>
      <c r="AL52">
        <f t="shared" si="65"/>
        <v>0</v>
      </c>
      <c r="AM52">
        <f t="shared" si="66"/>
        <v>0</v>
      </c>
      <c r="AN52">
        <f t="shared" si="67"/>
        <v>0</v>
      </c>
      <c r="AO52">
        <f t="shared" si="68"/>
        <v>0</v>
      </c>
      <c r="AP52">
        <f t="shared" si="69"/>
        <v>0</v>
      </c>
      <c r="AQ52">
        <f t="shared" si="70"/>
        <v>0</v>
      </c>
      <c r="AR52">
        <f t="shared" si="71"/>
        <v>0</v>
      </c>
      <c r="AS52">
        <f t="shared" si="72"/>
        <v>0</v>
      </c>
      <c r="AT52">
        <f t="shared" si="73"/>
        <v>0</v>
      </c>
      <c r="AU52">
        <f t="shared" si="74"/>
        <v>0</v>
      </c>
      <c r="AV52">
        <f t="shared" si="75"/>
        <v>0</v>
      </c>
      <c r="AW52">
        <f t="shared" si="76"/>
        <v>0</v>
      </c>
      <c r="AX52">
        <f t="shared" si="77"/>
        <v>0</v>
      </c>
      <c r="AY52">
        <f t="shared" si="78"/>
        <v>0</v>
      </c>
      <c r="BA52" s="52">
        <f t="shared" si="102"/>
        <v>7</v>
      </c>
      <c r="BB52" s="52">
        <f t="shared" si="79"/>
        <v>6</v>
      </c>
      <c r="BC52" s="52">
        <f t="shared" si="80"/>
        <v>6</v>
      </c>
      <c r="BD52" s="52">
        <f t="shared" si="81"/>
        <v>6</v>
      </c>
      <c r="BE52" s="52">
        <f t="shared" si="82"/>
        <v>6</v>
      </c>
      <c r="BF52" s="52">
        <f t="shared" si="83"/>
        <v>6</v>
      </c>
      <c r="BG52" s="52">
        <f t="shared" si="84"/>
        <v>6</v>
      </c>
      <c r="BH52" s="52">
        <f t="shared" si="85"/>
        <v>7</v>
      </c>
      <c r="BI52" s="52">
        <f t="shared" si="86"/>
        <v>6</v>
      </c>
      <c r="BJ52" s="52">
        <f t="shared" si="87"/>
        <v>7</v>
      </c>
      <c r="BK52" s="52">
        <f t="shared" si="88"/>
        <v>7</v>
      </c>
      <c r="BL52" s="52">
        <f t="shared" si="89"/>
        <v>7</v>
      </c>
      <c r="BM52" s="52">
        <f t="shared" si="90"/>
        <v>7</v>
      </c>
      <c r="BN52" s="52">
        <f t="shared" si="91"/>
        <v>7</v>
      </c>
      <c r="BO52" s="52">
        <f t="shared" si="92"/>
        <v>7</v>
      </c>
      <c r="BP52" s="52">
        <f t="shared" si="93"/>
        <v>7</v>
      </c>
      <c r="BQ52" s="52">
        <f t="shared" si="94"/>
        <v>7</v>
      </c>
      <c r="BR52" s="52">
        <f t="shared" si="95"/>
        <v>7</v>
      </c>
      <c r="BS52" s="52">
        <f t="shared" si="96"/>
        <v>7</v>
      </c>
      <c r="BT52" s="52">
        <f t="shared" si="97"/>
        <v>7</v>
      </c>
      <c r="BU52" s="52">
        <f t="shared" si="98"/>
        <v>7</v>
      </c>
      <c r="BV52" s="52">
        <f t="shared" si="99"/>
        <v>7</v>
      </c>
      <c r="BW52" s="52">
        <f t="shared" si="100"/>
        <v>7</v>
      </c>
      <c r="BX52" s="52">
        <f t="shared" si="101"/>
        <v>7</v>
      </c>
      <c r="BZ52" s="52">
        <f t="shared" si="112"/>
        <v>0</v>
      </c>
      <c r="CA52" s="52">
        <f t="shared" si="113"/>
        <v>-1</v>
      </c>
      <c r="CB52" s="52">
        <f t="shared" si="113"/>
        <v>0</v>
      </c>
      <c r="CC52" s="52">
        <f t="shared" si="113"/>
        <v>0</v>
      </c>
      <c r="CD52" s="52">
        <f t="shared" si="113"/>
        <v>0</v>
      </c>
      <c r="CE52" s="52">
        <f t="shared" si="113"/>
        <v>0</v>
      </c>
      <c r="CF52" s="52">
        <f t="shared" si="113"/>
        <v>0</v>
      </c>
      <c r="CG52" s="52">
        <f t="shared" si="113"/>
        <v>1</v>
      </c>
      <c r="CH52" s="52">
        <f t="shared" si="113"/>
        <v>-1</v>
      </c>
      <c r="CI52" s="52">
        <f t="shared" si="113"/>
        <v>1</v>
      </c>
      <c r="CJ52" s="52">
        <f t="shared" si="113"/>
        <v>0</v>
      </c>
      <c r="CK52" s="52">
        <f t="shared" si="113"/>
        <v>0</v>
      </c>
      <c r="CL52" s="52">
        <f t="shared" si="113"/>
        <v>0</v>
      </c>
      <c r="CM52" s="52">
        <f t="shared" si="113"/>
        <v>0</v>
      </c>
      <c r="CN52" s="52">
        <f t="shared" si="113"/>
        <v>0</v>
      </c>
      <c r="CO52" s="52">
        <f t="shared" si="113"/>
        <v>0</v>
      </c>
      <c r="CP52" s="52">
        <f t="shared" si="113"/>
        <v>0</v>
      </c>
      <c r="CQ52" s="52">
        <f t="shared" si="105"/>
        <v>0</v>
      </c>
      <c r="CR52" s="52">
        <f t="shared" si="106"/>
        <v>0</v>
      </c>
      <c r="CS52" s="52">
        <f t="shared" si="107"/>
        <v>0</v>
      </c>
      <c r="CT52" s="52">
        <f t="shared" si="108"/>
        <v>0</v>
      </c>
      <c r="CU52" s="52">
        <f t="shared" si="109"/>
        <v>0</v>
      </c>
      <c r="CV52" s="52">
        <f t="shared" si="110"/>
        <v>0</v>
      </c>
      <c r="CW52" s="52">
        <f t="shared" si="111"/>
        <v>0</v>
      </c>
    </row>
    <row r="53" spans="1:102">
      <c r="A53" s="60">
        <v>44975</v>
      </c>
      <c r="B53" s="426">
        <v>63245.8</v>
      </c>
      <c r="C53">
        <v>63977</v>
      </c>
      <c r="D53">
        <v>63902.7</v>
      </c>
      <c r="E53">
        <v>63991.6</v>
      </c>
      <c r="F53">
        <v>63977.7</v>
      </c>
      <c r="G53">
        <v>63465.4</v>
      </c>
      <c r="H53">
        <v>62877.8</v>
      </c>
      <c r="I53">
        <v>60739.6</v>
      </c>
      <c r="J53">
        <v>58939.5</v>
      </c>
      <c r="K53">
        <v>60180</v>
      </c>
      <c r="L53">
        <v>63633.5</v>
      </c>
      <c r="M53">
        <v>64169.9</v>
      </c>
      <c r="N53">
        <v>64067.199999999997</v>
      </c>
      <c r="O53">
        <v>64148.4</v>
      </c>
      <c r="P53">
        <v>64162.7</v>
      </c>
      <c r="Q53">
        <v>63996.2</v>
      </c>
      <c r="R53">
        <v>63909.7</v>
      </c>
      <c r="S53">
        <v>63996.800000000003</v>
      </c>
      <c r="T53">
        <v>63721.5</v>
      </c>
      <c r="U53">
        <v>63837</v>
      </c>
      <c r="V53">
        <v>63898</v>
      </c>
      <c r="W53">
        <v>63871.8</v>
      </c>
      <c r="X53">
        <v>64003.4</v>
      </c>
      <c r="Y53">
        <v>64032.1</v>
      </c>
      <c r="Z53" s="77">
        <v>1520745.3</v>
      </c>
      <c r="AB53" s="52">
        <f t="shared" si="55"/>
        <v>0</v>
      </c>
      <c r="AC53" s="52">
        <f t="shared" si="56"/>
        <v>0</v>
      </c>
      <c r="AD53" s="52">
        <f t="shared" si="57"/>
        <v>0</v>
      </c>
      <c r="AE53" s="52">
        <f t="shared" si="58"/>
        <v>0</v>
      </c>
      <c r="AF53" s="52">
        <f t="shared" si="59"/>
        <v>0</v>
      </c>
      <c r="AG53" s="52">
        <f t="shared" si="60"/>
        <v>0</v>
      </c>
      <c r="AH53" s="52">
        <f t="shared" si="61"/>
        <v>0</v>
      </c>
      <c r="AI53" s="52">
        <f t="shared" si="62"/>
        <v>0</v>
      </c>
      <c r="AJ53" s="52">
        <f t="shared" si="63"/>
        <v>0</v>
      </c>
      <c r="AK53" s="52">
        <f t="shared" si="64"/>
        <v>0</v>
      </c>
      <c r="AL53" s="52">
        <f t="shared" si="65"/>
        <v>0</v>
      </c>
      <c r="AM53" s="52">
        <f t="shared" si="66"/>
        <v>0</v>
      </c>
      <c r="AN53" s="52">
        <f t="shared" si="67"/>
        <v>0</v>
      </c>
      <c r="AO53" s="52">
        <f t="shared" si="68"/>
        <v>0</v>
      </c>
      <c r="AP53" s="52">
        <f t="shared" si="69"/>
        <v>0</v>
      </c>
      <c r="AQ53" s="52">
        <f t="shared" si="70"/>
        <v>0</v>
      </c>
      <c r="AR53" s="52">
        <f t="shared" si="71"/>
        <v>0</v>
      </c>
      <c r="AS53" s="52">
        <f t="shared" si="72"/>
        <v>0</v>
      </c>
      <c r="AT53" s="52">
        <f t="shared" si="73"/>
        <v>0</v>
      </c>
      <c r="AU53" s="52">
        <f t="shared" si="74"/>
        <v>0</v>
      </c>
      <c r="AV53" s="52">
        <f t="shared" si="75"/>
        <v>0</v>
      </c>
      <c r="AW53" s="52">
        <f t="shared" si="76"/>
        <v>0</v>
      </c>
      <c r="AX53" s="52">
        <f t="shared" si="77"/>
        <v>0</v>
      </c>
      <c r="AY53" s="52">
        <f t="shared" si="78"/>
        <v>0</v>
      </c>
      <c r="BA53">
        <f t="shared" si="102"/>
        <v>8</v>
      </c>
      <c r="BB53">
        <f t="shared" si="79"/>
        <v>8</v>
      </c>
      <c r="BC53">
        <f t="shared" si="80"/>
        <v>8</v>
      </c>
      <c r="BD53">
        <f t="shared" si="81"/>
        <v>8</v>
      </c>
      <c r="BE53">
        <f t="shared" si="82"/>
        <v>8</v>
      </c>
      <c r="BF53">
        <f t="shared" si="83"/>
        <v>8</v>
      </c>
      <c r="BG53">
        <f t="shared" si="84"/>
        <v>8</v>
      </c>
      <c r="BH53">
        <f t="shared" si="85"/>
        <v>7</v>
      </c>
      <c r="BI53">
        <f t="shared" si="86"/>
        <v>7</v>
      </c>
      <c r="BJ53">
        <f t="shared" si="87"/>
        <v>7</v>
      </c>
      <c r="BK53">
        <f t="shared" si="88"/>
        <v>8</v>
      </c>
      <c r="BL53">
        <f t="shared" si="89"/>
        <v>8</v>
      </c>
      <c r="BM53">
        <f t="shared" si="90"/>
        <v>8</v>
      </c>
      <c r="BN53">
        <f t="shared" si="91"/>
        <v>8</v>
      </c>
      <c r="BO53">
        <f t="shared" si="92"/>
        <v>8</v>
      </c>
      <c r="BP53">
        <f t="shared" si="93"/>
        <v>8</v>
      </c>
      <c r="BQ53">
        <f t="shared" si="94"/>
        <v>8</v>
      </c>
      <c r="BR53">
        <f t="shared" si="95"/>
        <v>8</v>
      </c>
      <c r="BS53">
        <f t="shared" si="96"/>
        <v>8</v>
      </c>
      <c r="BT53">
        <f t="shared" si="97"/>
        <v>8</v>
      </c>
      <c r="BU53">
        <f t="shared" si="98"/>
        <v>8</v>
      </c>
      <c r="BV53">
        <f t="shared" si="99"/>
        <v>8</v>
      </c>
      <c r="BW53">
        <f t="shared" si="100"/>
        <v>8</v>
      </c>
      <c r="BX53">
        <f t="shared" si="101"/>
        <v>8</v>
      </c>
      <c r="BZ53">
        <f t="shared" si="112"/>
        <v>1</v>
      </c>
      <c r="CA53">
        <f t="shared" si="113"/>
        <v>0</v>
      </c>
      <c r="CB53">
        <f t="shared" si="113"/>
        <v>0</v>
      </c>
      <c r="CC53">
        <f t="shared" si="113"/>
        <v>0</v>
      </c>
      <c r="CD53">
        <f t="shared" si="113"/>
        <v>0</v>
      </c>
      <c r="CE53">
        <f t="shared" si="113"/>
        <v>0</v>
      </c>
      <c r="CF53">
        <f t="shared" si="113"/>
        <v>0</v>
      </c>
      <c r="CG53">
        <f t="shared" si="113"/>
        <v>-1</v>
      </c>
      <c r="CH53">
        <f t="shared" si="113"/>
        <v>0</v>
      </c>
      <c r="CI53">
        <f t="shared" si="113"/>
        <v>0</v>
      </c>
      <c r="CJ53">
        <f t="shared" si="113"/>
        <v>1</v>
      </c>
      <c r="CK53">
        <f t="shared" si="113"/>
        <v>0</v>
      </c>
      <c r="CL53">
        <f t="shared" si="113"/>
        <v>0</v>
      </c>
      <c r="CM53">
        <f t="shared" si="113"/>
        <v>0</v>
      </c>
      <c r="CN53">
        <f t="shared" si="113"/>
        <v>0</v>
      </c>
      <c r="CO53">
        <f t="shared" si="113"/>
        <v>0</v>
      </c>
      <c r="CP53">
        <f t="shared" si="113"/>
        <v>0</v>
      </c>
      <c r="CQ53">
        <f t="shared" si="105"/>
        <v>0</v>
      </c>
      <c r="CR53">
        <f t="shared" si="106"/>
        <v>0</v>
      </c>
      <c r="CS53">
        <f t="shared" si="107"/>
        <v>0</v>
      </c>
      <c r="CT53">
        <f t="shared" si="108"/>
        <v>0</v>
      </c>
      <c r="CU53">
        <f t="shared" si="109"/>
        <v>0</v>
      </c>
      <c r="CV53">
        <f t="shared" si="110"/>
        <v>0</v>
      </c>
      <c r="CW53">
        <f t="shared" si="111"/>
        <v>0</v>
      </c>
    </row>
    <row r="54" spans="1:102">
      <c r="A54" s="60">
        <v>44976</v>
      </c>
      <c r="B54" s="426">
        <v>64343.8</v>
      </c>
      <c r="C54">
        <v>64010.2</v>
      </c>
      <c r="D54">
        <v>64102.3</v>
      </c>
      <c r="E54">
        <v>63999.5</v>
      </c>
      <c r="F54">
        <v>64025.5</v>
      </c>
      <c r="G54">
        <v>63982.9</v>
      </c>
      <c r="H54">
        <v>64317.7</v>
      </c>
      <c r="I54">
        <v>64161.7</v>
      </c>
      <c r="J54">
        <v>61138.1</v>
      </c>
      <c r="K54">
        <v>60973.9</v>
      </c>
      <c r="L54">
        <v>62637.1</v>
      </c>
      <c r="M54">
        <v>64277.7</v>
      </c>
      <c r="N54">
        <v>64016</v>
      </c>
      <c r="O54">
        <v>63972.9</v>
      </c>
      <c r="P54">
        <v>64067.9</v>
      </c>
      <c r="Q54">
        <v>64022</v>
      </c>
      <c r="R54">
        <v>64072.4</v>
      </c>
      <c r="S54">
        <v>63910.8</v>
      </c>
      <c r="T54">
        <v>64245.1</v>
      </c>
      <c r="U54">
        <v>63832.800000000003</v>
      </c>
      <c r="V54">
        <v>63858.5</v>
      </c>
      <c r="W54">
        <v>63759.3</v>
      </c>
      <c r="X54">
        <v>63798.7</v>
      </c>
      <c r="Y54">
        <v>63737.3</v>
      </c>
      <c r="Z54" s="77">
        <v>1529264.1000000003</v>
      </c>
      <c r="AB54">
        <f t="shared" si="55"/>
        <v>0</v>
      </c>
      <c r="AC54">
        <f t="shared" si="56"/>
        <v>0</v>
      </c>
      <c r="AD54">
        <f t="shared" si="57"/>
        <v>0</v>
      </c>
      <c r="AE54">
        <f t="shared" si="58"/>
        <v>0</v>
      </c>
      <c r="AF54">
        <f t="shared" si="59"/>
        <v>0</v>
      </c>
      <c r="AG54">
        <f t="shared" si="60"/>
        <v>0</v>
      </c>
      <c r="AH54">
        <f t="shared" si="61"/>
        <v>0</v>
      </c>
      <c r="AI54">
        <f t="shared" si="62"/>
        <v>0</v>
      </c>
      <c r="AJ54">
        <f t="shared" si="63"/>
        <v>0</v>
      </c>
      <c r="AK54">
        <f t="shared" si="64"/>
        <v>0</v>
      </c>
      <c r="AL54">
        <f t="shared" si="65"/>
        <v>0</v>
      </c>
      <c r="AM54">
        <f t="shared" si="66"/>
        <v>0</v>
      </c>
      <c r="AN54">
        <f t="shared" si="67"/>
        <v>0</v>
      </c>
      <c r="AO54">
        <f t="shared" si="68"/>
        <v>0</v>
      </c>
      <c r="AP54">
        <f t="shared" si="69"/>
        <v>0</v>
      </c>
      <c r="AQ54">
        <f t="shared" si="70"/>
        <v>0</v>
      </c>
      <c r="AR54">
        <f t="shared" si="71"/>
        <v>0</v>
      </c>
      <c r="AS54">
        <f t="shared" si="72"/>
        <v>0</v>
      </c>
      <c r="AT54">
        <f t="shared" si="73"/>
        <v>0</v>
      </c>
      <c r="AU54">
        <f t="shared" si="74"/>
        <v>0</v>
      </c>
      <c r="AV54">
        <f t="shared" si="75"/>
        <v>0</v>
      </c>
      <c r="AW54">
        <f t="shared" si="76"/>
        <v>0</v>
      </c>
      <c r="AX54">
        <f t="shared" si="77"/>
        <v>0</v>
      </c>
      <c r="AY54">
        <f t="shared" si="78"/>
        <v>0</v>
      </c>
      <c r="BA54" s="52">
        <f t="shared" si="102"/>
        <v>8</v>
      </c>
      <c r="BB54" s="52">
        <f t="shared" si="79"/>
        <v>8</v>
      </c>
      <c r="BC54" s="52">
        <f t="shared" si="80"/>
        <v>8</v>
      </c>
      <c r="BD54" s="52">
        <f t="shared" si="81"/>
        <v>8</v>
      </c>
      <c r="BE54" s="52">
        <f t="shared" si="82"/>
        <v>8</v>
      </c>
      <c r="BF54" s="52">
        <f t="shared" si="83"/>
        <v>8</v>
      </c>
      <c r="BG54" s="52">
        <f t="shared" si="84"/>
        <v>8</v>
      </c>
      <c r="BH54" s="52">
        <f t="shared" si="85"/>
        <v>8</v>
      </c>
      <c r="BI54" s="52">
        <f t="shared" si="86"/>
        <v>7</v>
      </c>
      <c r="BJ54" s="52">
        <f t="shared" si="87"/>
        <v>7</v>
      </c>
      <c r="BK54" s="52">
        <f t="shared" si="88"/>
        <v>8</v>
      </c>
      <c r="BL54" s="52">
        <f t="shared" si="89"/>
        <v>8</v>
      </c>
      <c r="BM54" s="52">
        <f t="shared" si="90"/>
        <v>8</v>
      </c>
      <c r="BN54" s="52">
        <f t="shared" si="91"/>
        <v>8</v>
      </c>
      <c r="BO54" s="52">
        <f t="shared" si="92"/>
        <v>8</v>
      </c>
      <c r="BP54" s="52">
        <f t="shared" si="93"/>
        <v>8</v>
      </c>
      <c r="BQ54" s="52">
        <f t="shared" si="94"/>
        <v>8</v>
      </c>
      <c r="BR54" s="52">
        <f t="shared" si="95"/>
        <v>8</v>
      </c>
      <c r="BS54" s="52">
        <f t="shared" si="96"/>
        <v>8</v>
      </c>
      <c r="BT54" s="52">
        <f t="shared" si="97"/>
        <v>8</v>
      </c>
      <c r="BU54" s="52">
        <f t="shared" si="98"/>
        <v>8</v>
      </c>
      <c r="BV54" s="52">
        <f t="shared" si="99"/>
        <v>8</v>
      </c>
      <c r="BW54" s="52">
        <f t="shared" si="100"/>
        <v>8</v>
      </c>
      <c r="BX54" s="52">
        <f t="shared" si="101"/>
        <v>8</v>
      </c>
      <c r="BZ54" s="52">
        <f t="shared" si="112"/>
        <v>0</v>
      </c>
      <c r="CA54" s="52">
        <f t="shared" si="113"/>
        <v>0</v>
      </c>
      <c r="CB54" s="52">
        <f t="shared" si="113"/>
        <v>0</v>
      </c>
      <c r="CC54" s="52">
        <f t="shared" si="113"/>
        <v>0</v>
      </c>
      <c r="CD54" s="52">
        <f t="shared" si="113"/>
        <v>0</v>
      </c>
      <c r="CE54" s="52">
        <f t="shared" si="113"/>
        <v>0</v>
      </c>
      <c r="CF54" s="52">
        <f t="shared" si="113"/>
        <v>0</v>
      </c>
      <c r="CG54" s="52">
        <f t="shared" si="113"/>
        <v>0</v>
      </c>
      <c r="CH54" s="52">
        <f t="shared" si="113"/>
        <v>-1</v>
      </c>
      <c r="CI54" s="52">
        <f t="shared" si="113"/>
        <v>0</v>
      </c>
      <c r="CJ54" s="52">
        <f t="shared" si="113"/>
        <v>1</v>
      </c>
      <c r="CK54" s="52">
        <f t="shared" si="113"/>
        <v>0</v>
      </c>
      <c r="CL54" s="52">
        <f t="shared" si="113"/>
        <v>0</v>
      </c>
      <c r="CM54" s="52">
        <f t="shared" si="113"/>
        <v>0</v>
      </c>
      <c r="CN54" s="52">
        <f t="shared" si="113"/>
        <v>0</v>
      </c>
      <c r="CO54" s="52">
        <f t="shared" si="113"/>
        <v>0</v>
      </c>
      <c r="CP54" s="52">
        <f t="shared" si="113"/>
        <v>0</v>
      </c>
      <c r="CQ54" s="52">
        <f t="shared" si="105"/>
        <v>0</v>
      </c>
      <c r="CR54" s="52">
        <f t="shared" si="106"/>
        <v>0</v>
      </c>
      <c r="CS54" s="52">
        <f t="shared" si="107"/>
        <v>0</v>
      </c>
      <c r="CT54" s="52">
        <f t="shared" si="108"/>
        <v>0</v>
      </c>
      <c r="CU54" s="52">
        <f t="shared" si="109"/>
        <v>0</v>
      </c>
      <c r="CV54" s="52">
        <f t="shared" si="110"/>
        <v>0</v>
      </c>
      <c r="CW54" s="52">
        <f t="shared" si="111"/>
        <v>0</v>
      </c>
    </row>
    <row r="55" spans="1:102">
      <c r="A55" s="60">
        <v>44977</v>
      </c>
      <c r="B55" s="426">
        <v>54275.8</v>
      </c>
      <c r="C55">
        <v>53634.3</v>
      </c>
      <c r="D55">
        <v>53663.6</v>
      </c>
      <c r="E55">
        <v>53684.1</v>
      </c>
      <c r="F55">
        <v>54368.6</v>
      </c>
      <c r="G55">
        <v>52651.5</v>
      </c>
      <c r="H55">
        <v>52843.4</v>
      </c>
      <c r="I55">
        <v>53081.7</v>
      </c>
      <c r="J55">
        <v>53104.5</v>
      </c>
      <c r="K55">
        <v>54437.2</v>
      </c>
      <c r="L55">
        <v>54942.2</v>
      </c>
      <c r="M55">
        <v>54891.9</v>
      </c>
      <c r="N55">
        <v>54908.800000000003</v>
      </c>
      <c r="O55">
        <v>54873.8</v>
      </c>
      <c r="P55">
        <v>54488.2</v>
      </c>
      <c r="Q55">
        <v>53977.5</v>
      </c>
      <c r="R55">
        <v>54263</v>
      </c>
      <c r="S55">
        <v>54278.8</v>
      </c>
      <c r="T55">
        <v>54077.1</v>
      </c>
      <c r="U55">
        <v>54307.9</v>
      </c>
      <c r="V55">
        <v>54232.5</v>
      </c>
      <c r="W55">
        <v>54250.5</v>
      </c>
      <c r="X55">
        <v>54183.9</v>
      </c>
      <c r="Y55">
        <v>53667.1</v>
      </c>
      <c r="Z55" s="77">
        <v>1297087.9000000001</v>
      </c>
      <c r="AB55" s="52">
        <f t="shared" si="55"/>
        <v>0</v>
      </c>
      <c r="AC55" s="52">
        <f t="shared" si="56"/>
        <v>0</v>
      </c>
      <c r="AD55" s="52">
        <f t="shared" si="57"/>
        <v>0</v>
      </c>
      <c r="AE55" s="52">
        <f t="shared" si="58"/>
        <v>0</v>
      </c>
      <c r="AF55" s="52">
        <f t="shared" si="59"/>
        <v>0</v>
      </c>
      <c r="AG55" s="52">
        <f t="shared" si="60"/>
        <v>0</v>
      </c>
      <c r="AH55" s="52">
        <f t="shared" si="61"/>
        <v>0</v>
      </c>
      <c r="AI55" s="52">
        <f t="shared" si="62"/>
        <v>0</v>
      </c>
      <c r="AJ55" s="52">
        <f t="shared" si="63"/>
        <v>0</v>
      </c>
      <c r="AK55" s="52">
        <f t="shared" si="64"/>
        <v>0</v>
      </c>
      <c r="AL55" s="52">
        <f t="shared" si="65"/>
        <v>0</v>
      </c>
      <c r="AM55" s="52">
        <f t="shared" si="66"/>
        <v>0</v>
      </c>
      <c r="AN55" s="52">
        <f t="shared" si="67"/>
        <v>0</v>
      </c>
      <c r="AO55" s="52">
        <f t="shared" si="68"/>
        <v>0</v>
      </c>
      <c r="AP55" s="52">
        <f t="shared" si="69"/>
        <v>0</v>
      </c>
      <c r="AQ55" s="52">
        <f t="shared" si="70"/>
        <v>0</v>
      </c>
      <c r="AR55" s="52">
        <f t="shared" si="71"/>
        <v>0</v>
      </c>
      <c r="AS55" s="52">
        <f t="shared" si="72"/>
        <v>0</v>
      </c>
      <c r="AT55" s="52">
        <f t="shared" si="73"/>
        <v>0</v>
      </c>
      <c r="AU55" s="52">
        <f t="shared" si="74"/>
        <v>0</v>
      </c>
      <c r="AV55" s="52">
        <f t="shared" si="75"/>
        <v>0</v>
      </c>
      <c r="AW55" s="52">
        <f t="shared" si="76"/>
        <v>0</v>
      </c>
      <c r="AX55" s="52">
        <f t="shared" si="77"/>
        <v>0</v>
      </c>
      <c r="AY55" s="52">
        <f t="shared" si="78"/>
        <v>0</v>
      </c>
      <c r="BA55">
        <f t="shared" si="102"/>
        <v>7</v>
      </c>
      <c r="BB55">
        <f t="shared" si="79"/>
        <v>7</v>
      </c>
      <c r="BC55">
        <f t="shared" si="80"/>
        <v>7</v>
      </c>
      <c r="BD55">
        <f t="shared" si="81"/>
        <v>7</v>
      </c>
      <c r="BE55">
        <f t="shared" si="82"/>
        <v>7</v>
      </c>
      <c r="BF55">
        <f t="shared" si="83"/>
        <v>6</v>
      </c>
      <c r="BG55">
        <f t="shared" si="84"/>
        <v>7</v>
      </c>
      <c r="BH55">
        <f t="shared" si="85"/>
        <v>7</v>
      </c>
      <c r="BI55">
        <f t="shared" si="86"/>
        <v>7</v>
      </c>
      <c r="BJ55">
        <f t="shared" si="87"/>
        <v>7</v>
      </c>
      <c r="BK55">
        <f t="shared" si="88"/>
        <v>7</v>
      </c>
      <c r="BL55">
        <f t="shared" si="89"/>
        <v>7</v>
      </c>
      <c r="BM55">
        <f t="shared" si="90"/>
        <v>7</v>
      </c>
      <c r="BN55">
        <f t="shared" si="91"/>
        <v>7</v>
      </c>
      <c r="BO55">
        <f t="shared" si="92"/>
        <v>7</v>
      </c>
      <c r="BP55">
        <f t="shared" si="93"/>
        <v>7</v>
      </c>
      <c r="BQ55">
        <f t="shared" si="94"/>
        <v>7</v>
      </c>
      <c r="BR55">
        <f t="shared" si="95"/>
        <v>7</v>
      </c>
      <c r="BS55">
        <f t="shared" si="96"/>
        <v>7</v>
      </c>
      <c r="BT55">
        <f t="shared" si="97"/>
        <v>7</v>
      </c>
      <c r="BU55">
        <f t="shared" si="98"/>
        <v>7</v>
      </c>
      <c r="BV55">
        <f t="shared" si="99"/>
        <v>7</v>
      </c>
      <c r="BW55">
        <f t="shared" si="100"/>
        <v>7</v>
      </c>
      <c r="BX55">
        <f t="shared" si="101"/>
        <v>7</v>
      </c>
      <c r="BZ55">
        <f t="shared" si="112"/>
        <v>-1</v>
      </c>
      <c r="CA55">
        <f t="shared" si="113"/>
        <v>0</v>
      </c>
      <c r="CB55">
        <f t="shared" si="113"/>
        <v>0</v>
      </c>
      <c r="CC55">
        <f t="shared" si="113"/>
        <v>0</v>
      </c>
      <c r="CD55">
        <f t="shared" si="113"/>
        <v>0</v>
      </c>
      <c r="CE55">
        <f t="shared" si="113"/>
        <v>-1</v>
      </c>
      <c r="CF55">
        <f t="shared" si="113"/>
        <v>1</v>
      </c>
      <c r="CG55">
        <f t="shared" si="113"/>
        <v>0</v>
      </c>
      <c r="CH55">
        <f t="shared" si="113"/>
        <v>0</v>
      </c>
      <c r="CI55">
        <f t="shared" si="113"/>
        <v>0</v>
      </c>
      <c r="CJ55">
        <f t="shared" si="113"/>
        <v>0</v>
      </c>
      <c r="CK55">
        <f t="shared" si="113"/>
        <v>0</v>
      </c>
      <c r="CL55">
        <f t="shared" si="113"/>
        <v>0</v>
      </c>
      <c r="CM55">
        <f t="shared" si="113"/>
        <v>0</v>
      </c>
      <c r="CN55">
        <f t="shared" si="113"/>
        <v>0</v>
      </c>
      <c r="CO55">
        <f t="shared" si="113"/>
        <v>0</v>
      </c>
      <c r="CP55">
        <f t="shared" si="113"/>
        <v>0</v>
      </c>
      <c r="CQ55">
        <f t="shared" si="105"/>
        <v>0</v>
      </c>
      <c r="CR55">
        <f t="shared" si="106"/>
        <v>0</v>
      </c>
      <c r="CS55">
        <f t="shared" si="107"/>
        <v>0</v>
      </c>
      <c r="CT55">
        <f t="shared" si="108"/>
        <v>0</v>
      </c>
      <c r="CU55">
        <f t="shared" si="109"/>
        <v>0</v>
      </c>
      <c r="CV55">
        <f t="shared" si="110"/>
        <v>0</v>
      </c>
      <c r="CW55">
        <f t="shared" si="111"/>
        <v>0</v>
      </c>
    </row>
    <row r="56" spans="1:102">
      <c r="A56" s="60">
        <v>44978</v>
      </c>
      <c r="B56" s="426">
        <v>53496.1</v>
      </c>
      <c r="C56">
        <v>53671</v>
      </c>
      <c r="D56">
        <v>53574.9</v>
      </c>
      <c r="E56">
        <v>53472.9</v>
      </c>
      <c r="F56">
        <v>53752.5</v>
      </c>
      <c r="G56">
        <v>53816.5</v>
      </c>
      <c r="H56">
        <v>53652.5</v>
      </c>
      <c r="I56">
        <v>53780.7</v>
      </c>
      <c r="J56">
        <v>53692.6</v>
      </c>
      <c r="K56">
        <v>53676.800000000003</v>
      </c>
      <c r="L56">
        <v>52977.599999999999</v>
      </c>
      <c r="M56">
        <v>53081.1</v>
      </c>
      <c r="N56">
        <v>54011.9</v>
      </c>
      <c r="O56">
        <v>54060.5</v>
      </c>
      <c r="P56">
        <v>54019.6</v>
      </c>
      <c r="Q56">
        <v>54002.3</v>
      </c>
      <c r="R56">
        <v>53902.6</v>
      </c>
      <c r="S56">
        <v>53906.2</v>
      </c>
      <c r="T56">
        <v>53887.199999999997</v>
      </c>
      <c r="U56">
        <v>53872.6</v>
      </c>
      <c r="V56">
        <v>53842.400000000001</v>
      </c>
      <c r="W56">
        <v>53757.8</v>
      </c>
      <c r="X56">
        <v>53838</v>
      </c>
      <c r="Y56">
        <v>54055.1</v>
      </c>
      <c r="Z56" s="77">
        <v>1289801.3999999999</v>
      </c>
      <c r="AB56">
        <f t="shared" si="55"/>
        <v>0</v>
      </c>
      <c r="AC56">
        <f t="shared" si="56"/>
        <v>0</v>
      </c>
      <c r="AD56">
        <f t="shared" si="57"/>
        <v>0</v>
      </c>
      <c r="AE56">
        <f t="shared" si="58"/>
        <v>0</v>
      </c>
      <c r="AF56">
        <f t="shared" si="59"/>
        <v>0</v>
      </c>
      <c r="AG56">
        <f t="shared" si="60"/>
        <v>0</v>
      </c>
      <c r="AH56">
        <f t="shared" si="61"/>
        <v>0</v>
      </c>
      <c r="AI56">
        <f t="shared" si="62"/>
        <v>0</v>
      </c>
      <c r="AJ56">
        <f t="shared" si="63"/>
        <v>0</v>
      </c>
      <c r="AK56">
        <f t="shared" si="64"/>
        <v>0</v>
      </c>
      <c r="AL56">
        <f t="shared" si="65"/>
        <v>0</v>
      </c>
      <c r="AM56">
        <f t="shared" si="66"/>
        <v>0</v>
      </c>
      <c r="AN56">
        <f t="shared" si="67"/>
        <v>0</v>
      </c>
      <c r="AO56">
        <f t="shared" si="68"/>
        <v>0</v>
      </c>
      <c r="AP56">
        <f t="shared" si="69"/>
        <v>0</v>
      </c>
      <c r="AQ56">
        <f t="shared" si="70"/>
        <v>0</v>
      </c>
      <c r="AR56">
        <f t="shared" si="71"/>
        <v>0</v>
      </c>
      <c r="AS56">
        <f t="shared" si="72"/>
        <v>0</v>
      </c>
      <c r="AT56">
        <f t="shared" si="73"/>
        <v>0</v>
      </c>
      <c r="AU56">
        <f t="shared" si="74"/>
        <v>0</v>
      </c>
      <c r="AV56">
        <f t="shared" si="75"/>
        <v>0</v>
      </c>
      <c r="AW56">
        <f t="shared" si="76"/>
        <v>0</v>
      </c>
      <c r="AX56">
        <f t="shared" si="77"/>
        <v>0</v>
      </c>
      <c r="AY56">
        <f t="shared" si="78"/>
        <v>0</v>
      </c>
      <c r="BA56" s="52">
        <f t="shared" si="102"/>
        <v>7</v>
      </c>
      <c r="BB56" s="52">
        <f t="shared" si="79"/>
        <v>7</v>
      </c>
      <c r="BC56" s="52">
        <f t="shared" si="80"/>
        <v>7</v>
      </c>
      <c r="BD56" s="52">
        <f t="shared" si="81"/>
        <v>7</v>
      </c>
      <c r="BE56" s="52">
        <f t="shared" si="82"/>
        <v>7</v>
      </c>
      <c r="BF56" s="52">
        <f t="shared" si="83"/>
        <v>7</v>
      </c>
      <c r="BG56" s="52">
        <f t="shared" si="84"/>
        <v>7</v>
      </c>
      <c r="BH56" s="52">
        <f t="shared" si="85"/>
        <v>7</v>
      </c>
      <c r="BI56" s="52">
        <f t="shared" si="86"/>
        <v>7</v>
      </c>
      <c r="BJ56" s="52">
        <f t="shared" si="87"/>
        <v>7</v>
      </c>
      <c r="BK56" s="52">
        <f t="shared" si="88"/>
        <v>7</v>
      </c>
      <c r="BL56" s="52">
        <f t="shared" si="89"/>
        <v>7</v>
      </c>
      <c r="BM56" s="52">
        <f t="shared" si="90"/>
        <v>7</v>
      </c>
      <c r="BN56" s="52">
        <f t="shared" si="91"/>
        <v>7</v>
      </c>
      <c r="BO56" s="52">
        <f t="shared" si="92"/>
        <v>7</v>
      </c>
      <c r="BP56" s="52">
        <f t="shared" si="93"/>
        <v>7</v>
      </c>
      <c r="BQ56" s="52">
        <f t="shared" si="94"/>
        <v>7</v>
      </c>
      <c r="BR56" s="52">
        <f t="shared" si="95"/>
        <v>7</v>
      </c>
      <c r="BS56" s="52">
        <f t="shared" si="96"/>
        <v>7</v>
      </c>
      <c r="BT56" s="52">
        <f t="shared" si="97"/>
        <v>7</v>
      </c>
      <c r="BU56" s="52">
        <f t="shared" si="98"/>
        <v>7</v>
      </c>
      <c r="BV56" s="52">
        <f t="shared" si="99"/>
        <v>7</v>
      </c>
      <c r="BW56" s="52">
        <f t="shared" si="100"/>
        <v>7</v>
      </c>
      <c r="BX56" s="52">
        <f t="shared" si="101"/>
        <v>7</v>
      </c>
      <c r="BZ56" s="52">
        <f t="shared" si="112"/>
        <v>0</v>
      </c>
      <c r="CA56" s="52">
        <f t="shared" si="113"/>
        <v>0</v>
      </c>
      <c r="CB56" s="52">
        <f t="shared" si="113"/>
        <v>0</v>
      </c>
      <c r="CC56" s="52">
        <f t="shared" si="113"/>
        <v>0</v>
      </c>
      <c r="CD56" s="52">
        <f t="shared" si="113"/>
        <v>0</v>
      </c>
      <c r="CE56" s="52">
        <f t="shared" si="113"/>
        <v>0</v>
      </c>
      <c r="CF56" s="52">
        <f t="shared" si="113"/>
        <v>0</v>
      </c>
      <c r="CG56" s="52">
        <f t="shared" si="113"/>
        <v>0</v>
      </c>
      <c r="CH56" s="52">
        <f t="shared" si="113"/>
        <v>0</v>
      </c>
      <c r="CI56" s="52">
        <f t="shared" si="113"/>
        <v>0</v>
      </c>
      <c r="CJ56" s="52">
        <f t="shared" si="113"/>
        <v>0</v>
      </c>
      <c r="CK56" s="52">
        <f t="shared" si="113"/>
        <v>0</v>
      </c>
      <c r="CL56" s="52">
        <f t="shared" si="113"/>
        <v>0</v>
      </c>
      <c r="CM56" s="52">
        <f t="shared" si="113"/>
        <v>0</v>
      </c>
      <c r="CN56" s="52">
        <f t="shared" si="113"/>
        <v>0</v>
      </c>
      <c r="CO56" s="52">
        <f t="shared" si="113"/>
        <v>0</v>
      </c>
      <c r="CP56" s="52">
        <f t="shared" si="113"/>
        <v>0</v>
      </c>
      <c r="CQ56" s="52">
        <f t="shared" si="105"/>
        <v>0</v>
      </c>
      <c r="CR56" s="52">
        <f t="shared" si="106"/>
        <v>0</v>
      </c>
      <c r="CS56" s="52">
        <f t="shared" si="107"/>
        <v>0</v>
      </c>
      <c r="CT56" s="52">
        <f t="shared" si="108"/>
        <v>0</v>
      </c>
      <c r="CU56" s="52">
        <f t="shared" si="109"/>
        <v>0</v>
      </c>
      <c r="CV56" s="52">
        <f t="shared" si="110"/>
        <v>0</v>
      </c>
      <c r="CW56" s="52">
        <f t="shared" si="111"/>
        <v>0</v>
      </c>
    </row>
    <row r="57" spans="1:102">
      <c r="A57" s="60">
        <v>44979</v>
      </c>
      <c r="B57" s="426">
        <v>54227.5</v>
      </c>
      <c r="C57">
        <v>54124.4</v>
      </c>
      <c r="D57">
        <v>53869</v>
      </c>
      <c r="E57">
        <v>53939</v>
      </c>
      <c r="F57">
        <v>53923.6</v>
      </c>
      <c r="G57">
        <v>53590.400000000001</v>
      </c>
      <c r="H57">
        <v>54147.4</v>
      </c>
      <c r="I57">
        <v>52259.5</v>
      </c>
      <c r="J57">
        <v>53652.7</v>
      </c>
      <c r="K57">
        <v>53511.9</v>
      </c>
      <c r="L57">
        <v>53268.4</v>
      </c>
      <c r="M57">
        <v>52786.3</v>
      </c>
      <c r="N57">
        <v>61959.199999999997</v>
      </c>
      <c r="O57">
        <v>62346.3</v>
      </c>
      <c r="P57">
        <v>62185.7</v>
      </c>
      <c r="Q57">
        <v>62288.9</v>
      </c>
      <c r="R57">
        <v>62286.5</v>
      </c>
      <c r="S57">
        <v>62194.1</v>
      </c>
      <c r="T57">
        <v>62173.4</v>
      </c>
      <c r="U57">
        <v>62611.4</v>
      </c>
      <c r="V57">
        <v>63342</v>
      </c>
      <c r="W57">
        <v>63472.6</v>
      </c>
      <c r="X57">
        <v>63282.1</v>
      </c>
      <c r="Y57">
        <v>63641</v>
      </c>
      <c r="Z57" s="77">
        <v>1395083.3</v>
      </c>
      <c r="AB57" s="52">
        <f t="shared" si="55"/>
        <v>0</v>
      </c>
      <c r="AC57" s="52">
        <f t="shared" si="56"/>
        <v>0</v>
      </c>
      <c r="AD57" s="52">
        <f t="shared" si="57"/>
        <v>0</v>
      </c>
      <c r="AE57" s="52">
        <f t="shared" si="58"/>
        <v>0</v>
      </c>
      <c r="AF57" s="52">
        <f t="shared" si="59"/>
        <v>0</v>
      </c>
      <c r="AG57" s="52">
        <f t="shared" si="60"/>
        <v>0</v>
      </c>
      <c r="AH57" s="52">
        <f t="shared" si="61"/>
        <v>0</v>
      </c>
      <c r="AI57" s="52">
        <f t="shared" si="62"/>
        <v>0</v>
      </c>
      <c r="AJ57" s="52">
        <f t="shared" si="63"/>
        <v>0</v>
      </c>
      <c r="AK57" s="52">
        <f t="shared" si="64"/>
        <v>0</v>
      </c>
      <c r="AL57" s="52">
        <f t="shared" si="65"/>
        <v>0</v>
      </c>
      <c r="AM57" s="52">
        <f t="shared" si="66"/>
        <v>0</v>
      </c>
      <c r="AN57" s="52">
        <f t="shared" si="67"/>
        <v>0</v>
      </c>
      <c r="AO57" s="52">
        <f t="shared" si="68"/>
        <v>0</v>
      </c>
      <c r="AP57" s="52">
        <f t="shared" si="69"/>
        <v>0</v>
      </c>
      <c r="AQ57" s="52">
        <f t="shared" si="70"/>
        <v>0</v>
      </c>
      <c r="AR57" s="52">
        <f t="shared" si="71"/>
        <v>0</v>
      </c>
      <c r="AS57" s="52">
        <f t="shared" si="72"/>
        <v>0</v>
      </c>
      <c r="AT57" s="52">
        <f t="shared" si="73"/>
        <v>0</v>
      </c>
      <c r="AU57" s="52">
        <f t="shared" si="74"/>
        <v>0</v>
      </c>
      <c r="AV57" s="52">
        <f t="shared" si="75"/>
        <v>0</v>
      </c>
      <c r="AW57" s="52">
        <f t="shared" si="76"/>
        <v>0</v>
      </c>
      <c r="AX57" s="52">
        <f t="shared" si="77"/>
        <v>0</v>
      </c>
      <c r="AY57" s="52">
        <f t="shared" si="78"/>
        <v>0</v>
      </c>
      <c r="BA57">
        <f t="shared" si="102"/>
        <v>7</v>
      </c>
      <c r="BB57">
        <f t="shared" si="79"/>
        <v>7</v>
      </c>
      <c r="BC57">
        <f t="shared" si="80"/>
        <v>7</v>
      </c>
      <c r="BD57">
        <f t="shared" si="81"/>
        <v>7</v>
      </c>
      <c r="BE57">
        <f t="shared" si="82"/>
        <v>7</v>
      </c>
      <c r="BF57">
        <f t="shared" si="83"/>
        <v>7</v>
      </c>
      <c r="BG57">
        <f t="shared" si="84"/>
        <v>7</v>
      </c>
      <c r="BH57">
        <f t="shared" si="85"/>
        <v>6</v>
      </c>
      <c r="BI57">
        <f t="shared" si="86"/>
        <v>7</v>
      </c>
      <c r="BJ57">
        <f t="shared" si="87"/>
        <v>7</v>
      </c>
      <c r="BK57">
        <f t="shared" si="88"/>
        <v>7</v>
      </c>
      <c r="BL57">
        <f t="shared" si="89"/>
        <v>6</v>
      </c>
      <c r="BM57">
        <f t="shared" si="90"/>
        <v>8</v>
      </c>
      <c r="BN57">
        <f t="shared" si="91"/>
        <v>8</v>
      </c>
      <c r="BO57">
        <f t="shared" si="92"/>
        <v>8</v>
      </c>
      <c r="BP57">
        <f t="shared" si="93"/>
        <v>8</v>
      </c>
      <c r="BQ57">
        <f t="shared" si="94"/>
        <v>8</v>
      </c>
      <c r="BR57">
        <f t="shared" si="95"/>
        <v>8</v>
      </c>
      <c r="BS57">
        <f t="shared" si="96"/>
        <v>8</v>
      </c>
      <c r="BT57">
        <f t="shared" si="97"/>
        <v>8</v>
      </c>
      <c r="BU57">
        <f t="shared" si="98"/>
        <v>8</v>
      </c>
      <c r="BV57">
        <f t="shared" si="99"/>
        <v>8</v>
      </c>
      <c r="BW57">
        <f t="shared" si="100"/>
        <v>8</v>
      </c>
      <c r="BX57">
        <f t="shared" si="101"/>
        <v>8</v>
      </c>
      <c r="BZ57">
        <f t="shared" si="112"/>
        <v>0</v>
      </c>
      <c r="CA57">
        <f t="shared" si="113"/>
        <v>0</v>
      </c>
      <c r="CB57">
        <f t="shared" si="113"/>
        <v>0</v>
      </c>
      <c r="CC57">
        <f t="shared" si="113"/>
        <v>0</v>
      </c>
      <c r="CD57">
        <f t="shared" si="113"/>
        <v>0</v>
      </c>
      <c r="CE57">
        <f t="shared" si="113"/>
        <v>0</v>
      </c>
      <c r="CF57">
        <f t="shared" si="113"/>
        <v>0</v>
      </c>
      <c r="CG57">
        <f t="shared" si="113"/>
        <v>-1</v>
      </c>
      <c r="CH57">
        <f t="shared" si="113"/>
        <v>1</v>
      </c>
      <c r="CI57">
        <f t="shared" si="113"/>
        <v>0</v>
      </c>
      <c r="CJ57">
        <f t="shared" si="113"/>
        <v>0</v>
      </c>
      <c r="CK57">
        <f t="shared" si="113"/>
        <v>-1</v>
      </c>
      <c r="CL57">
        <f t="shared" si="113"/>
        <v>2</v>
      </c>
      <c r="CM57">
        <f t="shared" si="113"/>
        <v>0</v>
      </c>
      <c r="CN57">
        <f t="shared" si="113"/>
        <v>0</v>
      </c>
      <c r="CO57">
        <f t="shared" si="113"/>
        <v>0</v>
      </c>
      <c r="CP57">
        <f t="shared" si="113"/>
        <v>0</v>
      </c>
      <c r="CQ57">
        <f t="shared" si="105"/>
        <v>0</v>
      </c>
      <c r="CR57">
        <f t="shared" si="106"/>
        <v>0</v>
      </c>
      <c r="CS57">
        <f t="shared" si="107"/>
        <v>0</v>
      </c>
      <c r="CT57">
        <f t="shared" si="108"/>
        <v>0</v>
      </c>
      <c r="CU57">
        <f t="shared" si="109"/>
        <v>0</v>
      </c>
      <c r="CV57">
        <f t="shared" si="110"/>
        <v>0</v>
      </c>
      <c r="CW57">
        <f t="shared" si="111"/>
        <v>0</v>
      </c>
    </row>
    <row r="58" spans="1:102">
      <c r="A58" s="60">
        <v>44980</v>
      </c>
      <c r="B58" s="426">
        <v>63560.4</v>
      </c>
      <c r="C58">
        <v>63629.1</v>
      </c>
      <c r="D58">
        <v>62892.2</v>
      </c>
      <c r="E58">
        <v>63706.2</v>
      </c>
      <c r="F58">
        <v>64101.9</v>
      </c>
      <c r="G58">
        <v>59980.4</v>
      </c>
      <c r="H58">
        <v>59704</v>
      </c>
      <c r="I58">
        <v>59917.2</v>
      </c>
      <c r="J58">
        <v>61492</v>
      </c>
      <c r="K58">
        <v>63313.599999999999</v>
      </c>
      <c r="L58">
        <v>62877.3</v>
      </c>
      <c r="M58">
        <v>62732.5</v>
      </c>
      <c r="N58">
        <v>62934.3</v>
      </c>
      <c r="O58">
        <v>62931.7</v>
      </c>
      <c r="P58">
        <v>62951.7</v>
      </c>
      <c r="Q58">
        <v>62824.9</v>
      </c>
      <c r="R58">
        <v>62777.1</v>
      </c>
      <c r="S58">
        <v>62924.2</v>
      </c>
      <c r="T58">
        <v>62908.9</v>
      </c>
      <c r="U58">
        <v>62779.4</v>
      </c>
      <c r="V58">
        <v>62795.3</v>
      </c>
      <c r="W58">
        <v>62701.7</v>
      </c>
      <c r="X58">
        <v>62874.5</v>
      </c>
      <c r="Y58">
        <v>63008.4</v>
      </c>
      <c r="Z58" s="77">
        <v>1502318.9</v>
      </c>
      <c r="AB58">
        <f t="shared" si="55"/>
        <v>0</v>
      </c>
      <c r="AC58">
        <f t="shared" si="56"/>
        <v>0</v>
      </c>
      <c r="AD58">
        <f t="shared" si="57"/>
        <v>0</v>
      </c>
      <c r="AE58">
        <f t="shared" si="58"/>
        <v>0</v>
      </c>
      <c r="AF58">
        <f t="shared" si="59"/>
        <v>0</v>
      </c>
      <c r="AG58">
        <f t="shared" si="60"/>
        <v>0</v>
      </c>
      <c r="AH58">
        <f t="shared" si="61"/>
        <v>0</v>
      </c>
      <c r="AI58">
        <f t="shared" si="62"/>
        <v>0</v>
      </c>
      <c r="AJ58">
        <f t="shared" si="63"/>
        <v>0</v>
      </c>
      <c r="AK58">
        <f t="shared" si="64"/>
        <v>0</v>
      </c>
      <c r="AL58">
        <f t="shared" si="65"/>
        <v>0</v>
      </c>
      <c r="AM58">
        <f t="shared" si="66"/>
        <v>0</v>
      </c>
      <c r="AN58">
        <f t="shared" si="67"/>
        <v>0</v>
      </c>
      <c r="AO58">
        <f t="shared" si="68"/>
        <v>0</v>
      </c>
      <c r="AP58">
        <f t="shared" si="69"/>
        <v>0</v>
      </c>
      <c r="AQ58">
        <f t="shared" si="70"/>
        <v>0</v>
      </c>
      <c r="AR58">
        <f t="shared" si="71"/>
        <v>0</v>
      </c>
      <c r="AS58">
        <f t="shared" si="72"/>
        <v>0</v>
      </c>
      <c r="AT58">
        <f t="shared" si="73"/>
        <v>0</v>
      </c>
      <c r="AU58">
        <f t="shared" si="74"/>
        <v>0</v>
      </c>
      <c r="AV58">
        <f t="shared" si="75"/>
        <v>0</v>
      </c>
      <c r="AW58">
        <f t="shared" si="76"/>
        <v>0</v>
      </c>
      <c r="AX58">
        <f t="shared" si="77"/>
        <v>0</v>
      </c>
      <c r="AY58">
        <f t="shared" si="78"/>
        <v>0</v>
      </c>
      <c r="BA58" s="52">
        <f t="shared" si="102"/>
        <v>8</v>
      </c>
      <c r="BB58" s="52">
        <f t="shared" si="79"/>
        <v>8</v>
      </c>
      <c r="BC58" s="52">
        <f t="shared" si="80"/>
        <v>8</v>
      </c>
      <c r="BD58" s="52">
        <f t="shared" si="81"/>
        <v>8</v>
      </c>
      <c r="BE58" s="52">
        <f t="shared" si="82"/>
        <v>8</v>
      </c>
      <c r="BF58" s="52">
        <f t="shared" si="83"/>
        <v>7</v>
      </c>
      <c r="BG58" s="52">
        <f t="shared" si="84"/>
        <v>7</v>
      </c>
      <c r="BH58" s="52">
        <f t="shared" si="85"/>
        <v>7</v>
      </c>
      <c r="BI58" s="52">
        <f t="shared" si="86"/>
        <v>7</v>
      </c>
      <c r="BJ58" s="52">
        <f t="shared" si="87"/>
        <v>8</v>
      </c>
      <c r="BK58" s="52">
        <f t="shared" si="88"/>
        <v>8</v>
      </c>
      <c r="BL58" s="52">
        <f t="shared" si="89"/>
        <v>8</v>
      </c>
      <c r="BM58" s="52">
        <f t="shared" si="90"/>
        <v>8</v>
      </c>
      <c r="BN58" s="52">
        <f t="shared" si="91"/>
        <v>8</v>
      </c>
      <c r="BO58" s="52">
        <f t="shared" si="92"/>
        <v>8</v>
      </c>
      <c r="BP58" s="52">
        <f t="shared" si="93"/>
        <v>8</v>
      </c>
      <c r="BQ58" s="52">
        <f t="shared" si="94"/>
        <v>8</v>
      </c>
      <c r="BR58" s="52">
        <f t="shared" si="95"/>
        <v>8</v>
      </c>
      <c r="BS58" s="52">
        <f t="shared" si="96"/>
        <v>8</v>
      </c>
      <c r="BT58" s="52">
        <f t="shared" si="97"/>
        <v>8</v>
      </c>
      <c r="BU58" s="52">
        <f t="shared" si="98"/>
        <v>8</v>
      </c>
      <c r="BV58" s="52">
        <f t="shared" si="99"/>
        <v>8</v>
      </c>
      <c r="BW58" s="52">
        <f t="shared" si="100"/>
        <v>8</v>
      </c>
      <c r="BX58" s="52">
        <f t="shared" si="101"/>
        <v>8</v>
      </c>
      <c r="BZ58" s="52">
        <f t="shared" si="112"/>
        <v>0</v>
      </c>
      <c r="CA58" s="52">
        <f t="shared" si="113"/>
        <v>0</v>
      </c>
      <c r="CB58" s="52">
        <f t="shared" si="113"/>
        <v>0</v>
      </c>
      <c r="CC58" s="52">
        <f t="shared" si="113"/>
        <v>0</v>
      </c>
      <c r="CD58" s="52">
        <f t="shared" si="113"/>
        <v>0</v>
      </c>
      <c r="CE58" s="52">
        <f t="shared" si="113"/>
        <v>-1</v>
      </c>
      <c r="CF58" s="52">
        <f t="shared" si="113"/>
        <v>0</v>
      </c>
      <c r="CG58" s="52">
        <f t="shared" si="113"/>
        <v>0</v>
      </c>
      <c r="CH58" s="52">
        <f t="shared" si="113"/>
        <v>0</v>
      </c>
      <c r="CI58" s="52">
        <f t="shared" si="113"/>
        <v>1</v>
      </c>
      <c r="CJ58" s="52">
        <f t="shared" si="113"/>
        <v>0</v>
      </c>
      <c r="CK58" s="52">
        <f t="shared" si="113"/>
        <v>0</v>
      </c>
      <c r="CL58" s="52">
        <f t="shared" si="113"/>
        <v>0</v>
      </c>
      <c r="CM58" s="52">
        <f t="shared" si="113"/>
        <v>0</v>
      </c>
      <c r="CN58" s="52">
        <f t="shared" si="113"/>
        <v>0</v>
      </c>
      <c r="CO58" s="52">
        <f t="shared" si="113"/>
        <v>0</v>
      </c>
      <c r="CP58" s="52">
        <f t="shared" si="113"/>
        <v>0</v>
      </c>
      <c r="CQ58" s="52">
        <f t="shared" si="105"/>
        <v>0</v>
      </c>
      <c r="CR58" s="52">
        <f t="shared" si="106"/>
        <v>0</v>
      </c>
      <c r="CS58" s="52">
        <f t="shared" si="107"/>
        <v>0</v>
      </c>
      <c r="CT58" s="52">
        <f t="shared" si="108"/>
        <v>0</v>
      </c>
      <c r="CU58" s="52">
        <f t="shared" si="109"/>
        <v>0</v>
      </c>
      <c r="CV58" s="52">
        <f t="shared" si="110"/>
        <v>0</v>
      </c>
      <c r="CW58" s="52">
        <f t="shared" si="111"/>
        <v>0</v>
      </c>
    </row>
    <row r="59" spans="1:102">
      <c r="A59" s="60">
        <v>44981</v>
      </c>
      <c r="B59" s="426">
        <v>62836.4</v>
      </c>
      <c r="C59">
        <v>62797.9</v>
      </c>
      <c r="D59">
        <v>62751.5</v>
      </c>
      <c r="E59">
        <v>62876.2</v>
      </c>
      <c r="F59">
        <v>60676.800000000003</v>
      </c>
      <c r="G59">
        <v>60084.6</v>
      </c>
      <c r="H59">
        <v>62977</v>
      </c>
      <c r="I59">
        <v>59192.5</v>
      </c>
      <c r="J59">
        <v>58140.3</v>
      </c>
      <c r="K59">
        <v>58518.2</v>
      </c>
      <c r="L59">
        <v>59371</v>
      </c>
      <c r="M59">
        <v>63909.599999999999</v>
      </c>
      <c r="N59">
        <v>64519</v>
      </c>
      <c r="O59">
        <v>63988</v>
      </c>
      <c r="P59">
        <v>64085.3</v>
      </c>
      <c r="Q59">
        <v>63978.400000000001</v>
      </c>
      <c r="R59">
        <v>63922.3</v>
      </c>
      <c r="S59">
        <v>63787.8</v>
      </c>
      <c r="T59">
        <v>63948.5</v>
      </c>
      <c r="U59">
        <v>63844.9</v>
      </c>
      <c r="V59">
        <v>63845.1</v>
      </c>
      <c r="W59">
        <v>63817.1</v>
      </c>
      <c r="X59">
        <v>63854.1</v>
      </c>
      <c r="Y59">
        <v>63867.3</v>
      </c>
      <c r="Z59" s="77">
        <v>1501589.8000000003</v>
      </c>
      <c r="AB59" s="52">
        <f t="shared" si="55"/>
        <v>0</v>
      </c>
      <c r="AC59" s="52">
        <f t="shared" si="56"/>
        <v>0</v>
      </c>
      <c r="AD59" s="52">
        <f t="shared" si="57"/>
        <v>0</v>
      </c>
      <c r="AE59" s="52">
        <f t="shared" si="58"/>
        <v>0</v>
      </c>
      <c r="AF59" s="52">
        <f t="shared" si="59"/>
        <v>0</v>
      </c>
      <c r="AG59" s="52">
        <f t="shared" si="60"/>
        <v>0</v>
      </c>
      <c r="AH59" s="52">
        <f t="shared" si="61"/>
        <v>0</v>
      </c>
      <c r="AI59" s="52">
        <f t="shared" si="62"/>
        <v>0</v>
      </c>
      <c r="AJ59" s="52">
        <f t="shared" si="63"/>
        <v>0</v>
      </c>
      <c r="AK59" s="52">
        <f t="shared" si="64"/>
        <v>0</v>
      </c>
      <c r="AL59" s="52">
        <f t="shared" si="65"/>
        <v>0</v>
      </c>
      <c r="AM59" s="52">
        <f t="shared" si="66"/>
        <v>0</v>
      </c>
      <c r="AN59" s="52">
        <f t="shared" si="67"/>
        <v>0</v>
      </c>
      <c r="AO59" s="52">
        <f t="shared" si="68"/>
        <v>0</v>
      </c>
      <c r="AP59" s="52">
        <f t="shared" si="69"/>
        <v>0</v>
      </c>
      <c r="AQ59" s="52">
        <f t="shared" si="70"/>
        <v>0</v>
      </c>
      <c r="AR59" s="52">
        <f t="shared" si="71"/>
        <v>0</v>
      </c>
      <c r="AS59" s="52">
        <f t="shared" si="72"/>
        <v>0</v>
      </c>
      <c r="AT59" s="52">
        <f t="shared" si="73"/>
        <v>0</v>
      </c>
      <c r="AU59" s="52">
        <f t="shared" si="74"/>
        <v>0</v>
      </c>
      <c r="AV59" s="52">
        <f t="shared" si="75"/>
        <v>0</v>
      </c>
      <c r="AW59" s="52">
        <f t="shared" si="76"/>
        <v>0</v>
      </c>
      <c r="AX59" s="52">
        <f t="shared" si="77"/>
        <v>0</v>
      </c>
      <c r="AY59" s="52">
        <f t="shared" si="78"/>
        <v>0</v>
      </c>
      <c r="BA59">
        <f t="shared" si="102"/>
        <v>8</v>
      </c>
      <c r="BB59">
        <f t="shared" si="79"/>
        <v>8</v>
      </c>
      <c r="BC59">
        <f t="shared" si="80"/>
        <v>8</v>
      </c>
      <c r="BD59">
        <f t="shared" si="81"/>
        <v>8</v>
      </c>
      <c r="BE59">
        <f t="shared" si="82"/>
        <v>7</v>
      </c>
      <c r="BF59">
        <f t="shared" si="83"/>
        <v>7</v>
      </c>
      <c r="BG59">
        <f t="shared" si="84"/>
        <v>8</v>
      </c>
      <c r="BH59">
        <f t="shared" si="85"/>
        <v>7</v>
      </c>
      <c r="BI59">
        <f t="shared" si="86"/>
        <v>7</v>
      </c>
      <c r="BJ59">
        <f t="shared" si="87"/>
        <v>7</v>
      </c>
      <c r="BK59">
        <f t="shared" si="88"/>
        <v>7</v>
      </c>
      <c r="BL59">
        <f t="shared" si="89"/>
        <v>8</v>
      </c>
      <c r="BM59">
        <f t="shared" si="90"/>
        <v>8</v>
      </c>
      <c r="BN59">
        <f t="shared" si="91"/>
        <v>8</v>
      </c>
      <c r="BO59">
        <f t="shared" si="92"/>
        <v>8</v>
      </c>
      <c r="BP59">
        <f t="shared" si="93"/>
        <v>8</v>
      </c>
      <c r="BQ59">
        <f t="shared" si="94"/>
        <v>8</v>
      </c>
      <c r="BR59">
        <f t="shared" si="95"/>
        <v>8</v>
      </c>
      <c r="BS59">
        <f t="shared" si="96"/>
        <v>8</v>
      </c>
      <c r="BT59">
        <f t="shared" si="97"/>
        <v>8</v>
      </c>
      <c r="BU59">
        <f t="shared" si="98"/>
        <v>8</v>
      </c>
      <c r="BV59">
        <f t="shared" si="99"/>
        <v>8</v>
      </c>
      <c r="BW59">
        <f t="shared" si="100"/>
        <v>8</v>
      </c>
      <c r="BX59">
        <f t="shared" si="101"/>
        <v>8</v>
      </c>
      <c r="BZ59">
        <f t="shared" si="112"/>
        <v>0</v>
      </c>
      <c r="CA59">
        <f t="shared" si="113"/>
        <v>0</v>
      </c>
      <c r="CB59">
        <f t="shared" si="113"/>
        <v>0</v>
      </c>
      <c r="CC59">
        <f t="shared" si="113"/>
        <v>0</v>
      </c>
      <c r="CD59">
        <f t="shared" si="113"/>
        <v>-1</v>
      </c>
      <c r="CE59">
        <f t="shared" si="113"/>
        <v>0</v>
      </c>
      <c r="CF59">
        <f t="shared" si="113"/>
        <v>1</v>
      </c>
      <c r="CG59">
        <f t="shared" si="113"/>
        <v>-1</v>
      </c>
      <c r="CH59">
        <f t="shared" si="113"/>
        <v>0</v>
      </c>
      <c r="CI59">
        <f t="shared" si="113"/>
        <v>0</v>
      </c>
      <c r="CJ59">
        <f t="shared" si="113"/>
        <v>0</v>
      </c>
      <c r="CK59">
        <f t="shared" si="113"/>
        <v>1</v>
      </c>
      <c r="CL59">
        <f t="shared" si="113"/>
        <v>0</v>
      </c>
      <c r="CM59">
        <f t="shared" si="113"/>
        <v>0</v>
      </c>
      <c r="CN59">
        <f t="shared" si="113"/>
        <v>0</v>
      </c>
      <c r="CO59">
        <f t="shared" si="113"/>
        <v>0</v>
      </c>
      <c r="CP59">
        <f t="shared" si="113"/>
        <v>0</v>
      </c>
      <c r="CQ59">
        <f t="shared" si="105"/>
        <v>0</v>
      </c>
      <c r="CR59">
        <f t="shared" si="106"/>
        <v>0</v>
      </c>
      <c r="CS59">
        <f t="shared" si="107"/>
        <v>0</v>
      </c>
      <c r="CT59">
        <f t="shared" si="108"/>
        <v>0</v>
      </c>
      <c r="CU59">
        <f t="shared" si="109"/>
        <v>0</v>
      </c>
      <c r="CV59">
        <f t="shared" si="110"/>
        <v>0</v>
      </c>
      <c r="CW59">
        <f t="shared" si="111"/>
        <v>0</v>
      </c>
    </row>
    <row r="60" spans="1:102">
      <c r="A60" s="60">
        <v>44982</v>
      </c>
      <c r="B60" s="426">
        <v>54536.1</v>
      </c>
      <c r="C60">
        <v>54368.4</v>
      </c>
      <c r="D60">
        <v>54480</v>
      </c>
      <c r="E60">
        <v>54534</v>
      </c>
      <c r="F60">
        <v>54576.7</v>
      </c>
      <c r="G60">
        <v>51006.400000000001</v>
      </c>
      <c r="H60">
        <v>50444.2</v>
      </c>
      <c r="I60">
        <v>53616.1</v>
      </c>
      <c r="J60">
        <v>54459.199999999997</v>
      </c>
      <c r="K60">
        <v>54326.8</v>
      </c>
      <c r="L60">
        <v>54252.3</v>
      </c>
      <c r="M60">
        <v>54269.5</v>
      </c>
      <c r="N60">
        <v>54158.7</v>
      </c>
      <c r="O60">
        <v>54231.6</v>
      </c>
      <c r="P60">
        <v>54080.7</v>
      </c>
      <c r="Q60">
        <v>54196.9</v>
      </c>
      <c r="R60">
        <v>54132.2</v>
      </c>
      <c r="S60">
        <v>54176.4</v>
      </c>
      <c r="T60">
        <v>54267.199999999997</v>
      </c>
      <c r="U60">
        <v>53724.9</v>
      </c>
      <c r="V60">
        <v>53513.7</v>
      </c>
      <c r="W60">
        <v>53569.7</v>
      </c>
      <c r="X60">
        <v>53456.4</v>
      </c>
      <c r="Y60">
        <v>52940</v>
      </c>
      <c r="Z60" s="77">
        <v>1291318.0999999996</v>
      </c>
      <c r="AB60">
        <f t="shared" si="55"/>
        <v>0</v>
      </c>
      <c r="AC60">
        <f t="shared" si="56"/>
        <v>0</v>
      </c>
      <c r="AD60">
        <f t="shared" si="57"/>
        <v>0</v>
      </c>
      <c r="AE60">
        <f t="shared" si="58"/>
        <v>0</v>
      </c>
      <c r="AF60">
        <f t="shared" si="59"/>
        <v>0</v>
      </c>
      <c r="AG60">
        <f t="shared" si="60"/>
        <v>0</v>
      </c>
      <c r="AH60">
        <f t="shared" si="61"/>
        <v>0</v>
      </c>
      <c r="AI60">
        <f t="shared" si="62"/>
        <v>0</v>
      </c>
      <c r="AJ60">
        <f t="shared" si="63"/>
        <v>0</v>
      </c>
      <c r="AK60">
        <f t="shared" si="64"/>
        <v>0</v>
      </c>
      <c r="AL60">
        <f t="shared" si="65"/>
        <v>0</v>
      </c>
      <c r="AM60">
        <f t="shared" si="66"/>
        <v>0</v>
      </c>
      <c r="AN60">
        <f t="shared" si="67"/>
        <v>0</v>
      </c>
      <c r="AO60">
        <f t="shared" si="68"/>
        <v>0</v>
      </c>
      <c r="AP60">
        <f t="shared" si="69"/>
        <v>0</v>
      </c>
      <c r="AQ60">
        <f t="shared" si="70"/>
        <v>0</v>
      </c>
      <c r="AR60">
        <f t="shared" si="71"/>
        <v>0</v>
      </c>
      <c r="AS60">
        <f t="shared" si="72"/>
        <v>0</v>
      </c>
      <c r="AT60">
        <f t="shared" si="73"/>
        <v>0</v>
      </c>
      <c r="AU60">
        <f t="shared" si="74"/>
        <v>0</v>
      </c>
      <c r="AV60">
        <f t="shared" si="75"/>
        <v>0</v>
      </c>
      <c r="AW60">
        <f t="shared" si="76"/>
        <v>0</v>
      </c>
      <c r="AX60">
        <f t="shared" si="77"/>
        <v>0</v>
      </c>
      <c r="AY60">
        <f t="shared" si="78"/>
        <v>0</v>
      </c>
      <c r="BA60" s="52">
        <f t="shared" si="102"/>
        <v>7</v>
      </c>
      <c r="BB60" s="52">
        <f t="shared" si="79"/>
        <v>7</v>
      </c>
      <c r="BC60" s="52">
        <f t="shared" si="80"/>
        <v>7</v>
      </c>
      <c r="BD60" s="52">
        <f t="shared" si="81"/>
        <v>7</v>
      </c>
      <c r="BE60" s="52">
        <f t="shared" si="82"/>
        <v>7</v>
      </c>
      <c r="BF60" s="52">
        <f t="shared" si="83"/>
        <v>6</v>
      </c>
      <c r="BG60" s="52">
        <f t="shared" si="84"/>
        <v>6</v>
      </c>
      <c r="BH60" s="52">
        <f t="shared" si="85"/>
        <v>7</v>
      </c>
      <c r="BI60" s="52">
        <f t="shared" si="86"/>
        <v>7</v>
      </c>
      <c r="BJ60" s="52">
        <f t="shared" si="87"/>
        <v>7</v>
      </c>
      <c r="BK60" s="52">
        <f t="shared" si="88"/>
        <v>7</v>
      </c>
      <c r="BL60" s="52">
        <f t="shared" si="89"/>
        <v>7</v>
      </c>
      <c r="BM60" s="52">
        <f t="shared" si="90"/>
        <v>7</v>
      </c>
      <c r="BN60" s="52">
        <f t="shared" si="91"/>
        <v>7</v>
      </c>
      <c r="BO60" s="52">
        <f t="shared" si="92"/>
        <v>7</v>
      </c>
      <c r="BP60" s="52">
        <f t="shared" si="93"/>
        <v>7</v>
      </c>
      <c r="BQ60" s="52">
        <f t="shared" si="94"/>
        <v>7</v>
      </c>
      <c r="BR60" s="52">
        <f t="shared" si="95"/>
        <v>7</v>
      </c>
      <c r="BS60" s="52">
        <f t="shared" si="96"/>
        <v>7</v>
      </c>
      <c r="BT60" s="52">
        <f t="shared" si="97"/>
        <v>7</v>
      </c>
      <c r="BU60" s="52">
        <f t="shared" si="98"/>
        <v>7</v>
      </c>
      <c r="BV60" s="52">
        <f t="shared" si="99"/>
        <v>7</v>
      </c>
      <c r="BW60" s="52">
        <f t="shared" si="100"/>
        <v>7</v>
      </c>
      <c r="BX60" s="52">
        <f t="shared" si="101"/>
        <v>7</v>
      </c>
      <c r="BZ60" s="52">
        <f t="shared" si="112"/>
        <v>-1</v>
      </c>
      <c r="CA60" s="52">
        <f t="shared" si="113"/>
        <v>0</v>
      </c>
      <c r="CB60" s="52">
        <f t="shared" si="113"/>
        <v>0</v>
      </c>
      <c r="CC60" s="52">
        <f t="shared" si="113"/>
        <v>0</v>
      </c>
      <c r="CD60" s="52">
        <f t="shared" si="113"/>
        <v>0</v>
      </c>
      <c r="CE60" s="52">
        <f t="shared" si="113"/>
        <v>-1</v>
      </c>
      <c r="CF60" s="52">
        <f t="shared" si="113"/>
        <v>0</v>
      </c>
      <c r="CG60" s="52">
        <f t="shared" si="113"/>
        <v>1</v>
      </c>
      <c r="CH60" s="52">
        <f t="shared" si="113"/>
        <v>0</v>
      </c>
      <c r="CI60" s="52">
        <f t="shared" si="113"/>
        <v>0</v>
      </c>
      <c r="CJ60" s="52">
        <f t="shared" si="113"/>
        <v>0</v>
      </c>
      <c r="CK60" s="52">
        <f t="shared" si="113"/>
        <v>0</v>
      </c>
      <c r="CL60" s="52">
        <f t="shared" si="113"/>
        <v>0</v>
      </c>
      <c r="CM60" s="52">
        <f t="shared" si="113"/>
        <v>0</v>
      </c>
      <c r="CN60" s="52">
        <f t="shared" si="113"/>
        <v>0</v>
      </c>
      <c r="CO60" s="52">
        <f t="shared" si="113"/>
        <v>0</v>
      </c>
      <c r="CP60" s="52">
        <f t="shared" si="113"/>
        <v>0</v>
      </c>
      <c r="CQ60" s="52">
        <f t="shared" si="105"/>
        <v>0</v>
      </c>
      <c r="CR60" s="52">
        <f t="shared" si="106"/>
        <v>0</v>
      </c>
      <c r="CS60" s="52">
        <f t="shared" si="107"/>
        <v>0</v>
      </c>
      <c r="CT60" s="52">
        <f t="shared" si="108"/>
        <v>0</v>
      </c>
      <c r="CU60" s="52">
        <f t="shared" si="109"/>
        <v>0</v>
      </c>
      <c r="CV60" s="52">
        <f t="shared" si="110"/>
        <v>0</v>
      </c>
      <c r="CW60" s="52">
        <f t="shared" si="111"/>
        <v>0</v>
      </c>
    </row>
    <row r="61" spans="1:102">
      <c r="A61" s="60">
        <v>44983</v>
      </c>
      <c r="B61" s="426">
        <v>53312.800000000003</v>
      </c>
      <c r="C61">
        <v>53671.4</v>
      </c>
      <c r="D61">
        <v>53692.3</v>
      </c>
      <c r="E61">
        <v>53859.9</v>
      </c>
      <c r="F61">
        <v>53691.4</v>
      </c>
      <c r="G61">
        <v>51130.2</v>
      </c>
      <c r="H61">
        <v>16830.400000000001</v>
      </c>
      <c r="I61">
        <v>7072.5</v>
      </c>
      <c r="J61">
        <v>1545.8</v>
      </c>
      <c r="K61">
        <v>17036.7</v>
      </c>
      <c r="L61">
        <v>42095.1</v>
      </c>
      <c r="M61">
        <v>50215.199999999997</v>
      </c>
      <c r="N61">
        <v>54948.3</v>
      </c>
      <c r="O61">
        <v>53951</v>
      </c>
      <c r="P61">
        <v>53896.9</v>
      </c>
      <c r="Q61">
        <v>53890.9</v>
      </c>
      <c r="R61">
        <v>53960.9</v>
      </c>
      <c r="S61">
        <v>53928.4</v>
      </c>
      <c r="T61">
        <v>53764.1</v>
      </c>
      <c r="U61">
        <v>53813.9</v>
      </c>
      <c r="V61">
        <v>53770.5</v>
      </c>
      <c r="W61">
        <v>53869.7</v>
      </c>
      <c r="X61">
        <v>53749.9</v>
      </c>
      <c r="Y61">
        <v>53934.400000000001</v>
      </c>
      <c r="Z61" s="77">
        <v>1101632.6000000001</v>
      </c>
      <c r="AB61" s="52">
        <f t="shared" si="55"/>
        <v>0</v>
      </c>
      <c r="AC61" s="52">
        <f t="shared" si="56"/>
        <v>0</v>
      </c>
      <c r="AD61" s="52">
        <f t="shared" si="57"/>
        <v>0</v>
      </c>
      <c r="AE61" s="52">
        <f t="shared" si="58"/>
        <v>0</v>
      </c>
      <c r="AF61" s="52">
        <f t="shared" si="59"/>
        <v>0</v>
      </c>
      <c r="AG61" s="52">
        <f t="shared" si="60"/>
        <v>0</v>
      </c>
      <c r="AH61" s="52">
        <f t="shared" si="61"/>
        <v>0</v>
      </c>
      <c r="AI61" s="52">
        <f t="shared" si="62"/>
        <v>0</v>
      </c>
      <c r="AJ61" s="52">
        <f t="shared" si="63"/>
        <v>0</v>
      </c>
      <c r="AK61" s="52">
        <f t="shared" si="64"/>
        <v>0</v>
      </c>
      <c r="AL61" s="52">
        <f t="shared" si="65"/>
        <v>0</v>
      </c>
      <c r="AM61" s="52">
        <f t="shared" si="66"/>
        <v>0</v>
      </c>
      <c r="AN61" s="52">
        <f t="shared" si="67"/>
        <v>0</v>
      </c>
      <c r="AO61" s="52">
        <f t="shared" si="68"/>
        <v>0</v>
      </c>
      <c r="AP61" s="52">
        <f t="shared" si="69"/>
        <v>0</v>
      </c>
      <c r="AQ61" s="52">
        <f t="shared" si="70"/>
        <v>0</v>
      </c>
      <c r="AR61" s="52">
        <f t="shared" si="71"/>
        <v>0</v>
      </c>
      <c r="AS61" s="52">
        <f t="shared" si="72"/>
        <v>0</v>
      </c>
      <c r="AT61" s="52">
        <f t="shared" si="73"/>
        <v>0</v>
      </c>
      <c r="AU61" s="52">
        <f t="shared" si="74"/>
        <v>0</v>
      </c>
      <c r="AV61" s="52">
        <f t="shared" si="75"/>
        <v>0</v>
      </c>
      <c r="AW61" s="52">
        <f t="shared" si="76"/>
        <v>0</v>
      </c>
      <c r="AX61" s="52">
        <f t="shared" si="77"/>
        <v>0</v>
      </c>
      <c r="AY61" s="52">
        <f t="shared" si="78"/>
        <v>0</v>
      </c>
      <c r="BA61">
        <f t="shared" si="102"/>
        <v>7</v>
      </c>
      <c r="BB61">
        <f t="shared" si="79"/>
        <v>7</v>
      </c>
      <c r="BC61">
        <f t="shared" si="80"/>
        <v>7</v>
      </c>
      <c r="BD61">
        <f t="shared" si="81"/>
        <v>7</v>
      </c>
      <c r="BE61">
        <f t="shared" si="82"/>
        <v>7</v>
      </c>
      <c r="BF61">
        <f t="shared" si="83"/>
        <v>6</v>
      </c>
      <c r="BG61">
        <f t="shared" si="84"/>
        <v>2</v>
      </c>
      <c r="BH61">
        <f t="shared" si="85"/>
        <v>1</v>
      </c>
      <c r="BI61">
        <f t="shared" si="86"/>
        <v>1</v>
      </c>
      <c r="BJ61">
        <f t="shared" si="87"/>
        <v>2</v>
      </c>
      <c r="BK61">
        <f t="shared" si="88"/>
        <v>5</v>
      </c>
      <c r="BL61">
        <f t="shared" si="89"/>
        <v>6</v>
      </c>
      <c r="BM61">
        <f t="shared" si="90"/>
        <v>7</v>
      </c>
      <c r="BN61">
        <f t="shared" si="91"/>
        <v>7</v>
      </c>
      <c r="BO61">
        <f t="shared" si="92"/>
        <v>7</v>
      </c>
      <c r="BP61">
        <f t="shared" si="93"/>
        <v>7</v>
      </c>
      <c r="BQ61">
        <f t="shared" si="94"/>
        <v>7</v>
      </c>
      <c r="BR61">
        <f t="shared" si="95"/>
        <v>7</v>
      </c>
      <c r="BS61">
        <f t="shared" si="96"/>
        <v>7</v>
      </c>
      <c r="BT61">
        <f t="shared" si="97"/>
        <v>7</v>
      </c>
      <c r="BU61">
        <f t="shared" si="98"/>
        <v>7</v>
      </c>
      <c r="BV61">
        <f t="shared" si="99"/>
        <v>7</v>
      </c>
      <c r="BW61">
        <f t="shared" si="100"/>
        <v>7</v>
      </c>
      <c r="BX61">
        <f t="shared" si="101"/>
        <v>7</v>
      </c>
      <c r="BZ61">
        <f t="shared" si="112"/>
        <v>0</v>
      </c>
      <c r="CA61">
        <f t="shared" si="113"/>
        <v>0</v>
      </c>
      <c r="CB61">
        <f t="shared" si="113"/>
        <v>0</v>
      </c>
      <c r="CC61">
        <f t="shared" si="113"/>
        <v>0</v>
      </c>
      <c r="CD61">
        <f t="shared" si="113"/>
        <v>0</v>
      </c>
      <c r="CE61">
        <f t="shared" si="113"/>
        <v>-1</v>
      </c>
      <c r="CF61">
        <f t="shared" si="113"/>
        <v>-4</v>
      </c>
      <c r="CG61">
        <f t="shared" si="113"/>
        <v>-1</v>
      </c>
      <c r="CH61">
        <f t="shared" si="113"/>
        <v>0</v>
      </c>
      <c r="CI61">
        <f t="shared" si="113"/>
        <v>1</v>
      </c>
      <c r="CJ61">
        <f t="shared" si="113"/>
        <v>3</v>
      </c>
      <c r="CK61">
        <f t="shared" si="113"/>
        <v>1</v>
      </c>
      <c r="CL61">
        <f t="shared" si="113"/>
        <v>1</v>
      </c>
      <c r="CM61">
        <f t="shared" si="113"/>
        <v>0</v>
      </c>
      <c r="CN61">
        <f t="shared" si="113"/>
        <v>0</v>
      </c>
      <c r="CO61">
        <f t="shared" si="113"/>
        <v>0</v>
      </c>
      <c r="CP61">
        <f t="shared" si="113"/>
        <v>0</v>
      </c>
      <c r="CQ61">
        <f t="shared" si="105"/>
        <v>0</v>
      </c>
      <c r="CR61">
        <f t="shared" si="106"/>
        <v>0</v>
      </c>
      <c r="CS61">
        <f t="shared" si="107"/>
        <v>0</v>
      </c>
      <c r="CT61">
        <f t="shared" si="108"/>
        <v>0</v>
      </c>
      <c r="CU61">
        <f t="shared" si="109"/>
        <v>0</v>
      </c>
      <c r="CV61">
        <f t="shared" si="110"/>
        <v>0</v>
      </c>
      <c r="CW61">
        <f t="shared" si="111"/>
        <v>0</v>
      </c>
    </row>
    <row r="62" spans="1:102">
      <c r="A62" s="60">
        <v>44984</v>
      </c>
      <c r="B62" s="426">
        <v>53784.3</v>
      </c>
      <c r="C62">
        <v>54085.1</v>
      </c>
      <c r="D62">
        <v>53875.4</v>
      </c>
      <c r="E62">
        <v>53957.599999999999</v>
      </c>
      <c r="F62">
        <v>53305.9</v>
      </c>
      <c r="G62">
        <v>52488.1</v>
      </c>
      <c r="H62">
        <v>52336.7</v>
      </c>
      <c r="I62">
        <v>53111.1</v>
      </c>
      <c r="J62">
        <v>53554.8</v>
      </c>
      <c r="K62">
        <v>53914.400000000001</v>
      </c>
      <c r="L62">
        <v>53840.7</v>
      </c>
      <c r="M62">
        <v>53755.1</v>
      </c>
      <c r="N62">
        <v>53827</v>
      </c>
      <c r="O62">
        <v>53714.6</v>
      </c>
      <c r="P62">
        <v>53803.1</v>
      </c>
      <c r="Q62">
        <v>53754.400000000001</v>
      </c>
      <c r="R62">
        <v>53727.8</v>
      </c>
      <c r="S62">
        <v>53738.3</v>
      </c>
      <c r="T62">
        <v>53675.199999999997</v>
      </c>
      <c r="U62">
        <v>53654.6</v>
      </c>
      <c r="V62">
        <v>53670</v>
      </c>
      <c r="W62">
        <v>53462.5</v>
      </c>
      <c r="X62">
        <v>53643.4</v>
      </c>
      <c r="Y62">
        <v>53696.3</v>
      </c>
      <c r="Z62" s="77">
        <v>1286376.3999999999</v>
      </c>
      <c r="AB62">
        <f t="shared" si="55"/>
        <v>0</v>
      </c>
      <c r="AC62">
        <f t="shared" si="56"/>
        <v>0</v>
      </c>
      <c r="AD62">
        <f t="shared" si="57"/>
        <v>0</v>
      </c>
      <c r="AE62">
        <f t="shared" si="58"/>
        <v>0</v>
      </c>
      <c r="AF62">
        <f t="shared" si="59"/>
        <v>0</v>
      </c>
      <c r="AG62">
        <f t="shared" si="60"/>
        <v>0</v>
      </c>
      <c r="AH62">
        <f t="shared" si="61"/>
        <v>0</v>
      </c>
      <c r="AI62">
        <f t="shared" si="62"/>
        <v>0</v>
      </c>
      <c r="AJ62">
        <f t="shared" si="63"/>
        <v>0</v>
      </c>
      <c r="AK62">
        <f t="shared" si="64"/>
        <v>0</v>
      </c>
      <c r="AL62">
        <f t="shared" si="65"/>
        <v>0</v>
      </c>
      <c r="AM62">
        <f t="shared" si="66"/>
        <v>0</v>
      </c>
      <c r="AN62">
        <f t="shared" si="67"/>
        <v>0</v>
      </c>
      <c r="AO62">
        <f t="shared" si="68"/>
        <v>0</v>
      </c>
      <c r="AP62">
        <f t="shared" si="69"/>
        <v>0</v>
      </c>
      <c r="AQ62">
        <f t="shared" si="70"/>
        <v>0</v>
      </c>
      <c r="AR62">
        <f t="shared" si="71"/>
        <v>0</v>
      </c>
      <c r="AS62">
        <f t="shared" si="72"/>
        <v>0</v>
      </c>
      <c r="AT62">
        <f t="shared" si="73"/>
        <v>0</v>
      </c>
      <c r="AU62">
        <f t="shared" si="74"/>
        <v>0</v>
      </c>
      <c r="AV62">
        <f t="shared" si="75"/>
        <v>0</v>
      </c>
      <c r="AW62">
        <f t="shared" si="76"/>
        <v>0</v>
      </c>
      <c r="AX62">
        <f t="shared" si="77"/>
        <v>0</v>
      </c>
      <c r="AY62">
        <f t="shared" si="78"/>
        <v>0</v>
      </c>
      <c r="BA62" s="52">
        <f t="shared" si="102"/>
        <v>7</v>
      </c>
      <c r="BB62" s="52">
        <f t="shared" si="79"/>
        <v>7</v>
      </c>
      <c r="BC62" s="52">
        <f t="shared" si="80"/>
        <v>7</v>
      </c>
      <c r="BD62" s="52">
        <f t="shared" si="81"/>
        <v>7</v>
      </c>
      <c r="BE62" s="52">
        <f t="shared" si="82"/>
        <v>7</v>
      </c>
      <c r="BF62" s="52">
        <f t="shared" si="83"/>
        <v>6</v>
      </c>
      <c r="BG62" s="52">
        <f t="shared" si="84"/>
        <v>6</v>
      </c>
      <c r="BH62" s="52">
        <f t="shared" si="85"/>
        <v>7</v>
      </c>
      <c r="BI62" s="52">
        <f t="shared" si="86"/>
        <v>7</v>
      </c>
      <c r="BJ62" s="52">
        <f t="shared" si="87"/>
        <v>7</v>
      </c>
      <c r="BK62" s="52">
        <f t="shared" si="88"/>
        <v>7</v>
      </c>
      <c r="BL62" s="52">
        <f t="shared" si="89"/>
        <v>7</v>
      </c>
      <c r="BM62" s="52">
        <f t="shared" si="90"/>
        <v>7</v>
      </c>
      <c r="BN62" s="52">
        <f t="shared" si="91"/>
        <v>7</v>
      </c>
      <c r="BO62" s="52">
        <f t="shared" si="92"/>
        <v>7</v>
      </c>
      <c r="BP62" s="52">
        <f t="shared" si="93"/>
        <v>7</v>
      </c>
      <c r="BQ62" s="52">
        <f t="shared" si="94"/>
        <v>7</v>
      </c>
      <c r="BR62" s="52">
        <f t="shared" si="95"/>
        <v>7</v>
      </c>
      <c r="BS62" s="52">
        <f t="shared" si="96"/>
        <v>7</v>
      </c>
      <c r="BT62" s="52">
        <f t="shared" si="97"/>
        <v>7</v>
      </c>
      <c r="BU62" s="52">
        <f t="shared" si="98"/>
        <v>7</v>
      </c>
      <c r="BV62" s="52">
        <f t="shared" si="99"/>
        <v>7</v>
      </c>
      <c r="BW62" s="52">
        <f t="shared" si="100"/>
        <v>7</v>
      </c>
      <c r="BX62" s="52">
        <f t="shared" si="101"/>
        <v>7</v>
      </c>
      <c r="BZ62" s="52">
        <f t="shared" si="112"/>
        <v>0</v>
      </c>
      <c r="CA62" s="52">
        <f t="shared" si="113"/>
        <v>0</v>
      </c>
      <c r="CB62" s="52">
        <f t="shared" si="113"/>
        <v>0</v>
      </c>
      <c r="CC62" s="52">
        <f t="shared" si="113"/>
        <v>0</v>
      </c>
      <c r="CD62" s="52">
        <f t="shared" si="113"/>
        <v>0</v>
      </c>
      <c r="CE62" s="52">
        <f t="shared" si="113"/>
        <v>-1</v>
      </c>
      <c r="CF62" s="52">
        <f t="shared" si="113"/>
        <v>0</v>
      </c>
      <c r="CG62" s="52">
        <f t="shared" si="113"/>
        <v>1</v>
      </c>
      <c r="CH62" s="52">
        <f t="shared" si="113"/>
        <v>0</v>
      </c>
      <c r="CI62" s="52">
        <f t="shared" si="113"/>
        <v>0</v>
      </c>
      <c r="CJ62" s="52">
        <f t="shared" si="113"/>
        <v>0</v>
      </c>
      <c r="CK62" s="52">
        <f t="shared" si="113"/>
        <v>0</v>
      </c>
      <c r="CL62" s="52">
        <f t="shared" si="113"/>
        <v>0</v>
      </c>
      <c r="CM62" s="52">
        <f t="shared" si="113"/>
        <v>0</v>
      </c>
      <c r="CN62" s="52">
        <f t="shared" si="113"/>
        <v>0</v>
      </c>
      <c r="CO62" s="52">
        <f t="shared" si="113"/>
        <v>0</v>
      </c>
      <c r="CP62" s="52">
        <f t="shared" si="113"/>
        <v>0</v>
      </c>
      <c r="CQ62" s="52">
        <f t="shared" si="105"/>
        <v>0</v>
      </c>
      <c r="CR62" s="52">
        <f t="shared" si="106"/>
        <v>0</v>
      </c>
      <c r="CS62" s="52">
        <f t="shared" si="107"/>
        <v>0</v>
      </c>
      <c r="CT62" s="52">
        <f t="shared" si="108"/>
        <v>0</v>
      </c>
      <c r="CU62" s="52">
        <f t="shared" si="109"/>
        <v>0</v>
      </c>
      <c r="CV62" s="52">
        <f t="shared" si="110"/>
        <v>0</v>
      </c>
      <c r="CW62" s="52">
        <f t="shared" si="111"/>
        <v>0</v>
      </c>
    </row>
    <row r="63" spans="1:102">
      <c r="A63" s="60">
        <v>44985</v>
      </c>
      <c r="B63" s="426">
        <v>53150.6</v>
      </c>
      <c r="C63">
        <v>53744.9</v>
      </c>
      <c r="D63">
        <v>53758.3</v>
      </c>
      <c r="E63">
        <v>53811.1</v>
      </c>
      <c r="F63">
        <v>54138.2</v>
      </c>
      <c r="G63">
        <v>50861.2</v>
      </c>
      <c r="H63">
        <v>53631.8</v>
      </c>
      <c r="I63">
        <v>53654.9</v>
      </c>
      <c r="J63">
        <v>53295.5</v>
      </c>
      <c r="K63">
        <v>54493.3</v>
      </c>
      <c r="L63">
        <v>53510.1</v>
      </c>
      <c r="M63">
        <v>53370.3</v>
      </c>
      <c r="N63">
        <v>53966.3</v>
      </c>
      <c r="O63">
        <v>53936.1</v>
      </c>
      <c r="P63">
        <v>54000.9</v>
      </c>
      <c r="Q63">
        <v>54067.6</v>
      </c>
      <c r="R63">
        <v>54109.2</v>
      </c>
      <c r="S63">
        <v>54160.7</v>
      </c>
      <c r="T63">
        <v>54101.4</v>
      </c>
      <c r="U63">
        <v>54052.1</v>
      </c>
      <c r="V63">
        <v>54020.3</v>
      </c>
      <c r="W63">
        <v>54168.9</v>
      </c>
      <c r="X63">
        <v>54031.9</v>
      </c>
      <c r="Y63">
        <v>53771.8</v>
      </c>
      <c r="Z63" s="77">
        <v>1289807.3999999999</v>
      </c>
      <c r="AB63" s="156">
        <f t="shared" si="55"/>
        <v>0</v>
      </c>
      <c r="AC63" s="156">
        <f t="shared" si="56"/>
        <v>0</v>
      </c>
      <c r="AD63" s="156">
        <f t="shared" si="57"/>
        <v>0</v>
      </c>
      <c r="AE63" s="156">
        <f t="shared" si="58"/>
        <v>0</v>
      </c>
      <c r="AF63" s="156">
        <f t="shared" si="59"/>
        <v>0</v>
      </c>
      <c r="AG63" s="156">
        <f t="shared" si="60"/>
        <v>0</v>
      </c>
      <c r="AH63" s="156">
        <f t="shared" si="61"/>
        <v>0</v>
      </c>
      <c r="AI63" s="156">
        <f t="shared" si="62"/>
        <v>0</v>
      </c>
      <c r="AJ63" s="156">
        <f t="shared" si="63"/>
        <v>0</v>
      </c>
      <c r="AK63" s="156">
        <f t="shared" si="64"/>
        <v>0</v>
      </c>
      <c r="AL63" s="156">
        <f t="shared" si="65"/>
        <v>0</v>
      </c>
      <c r="AM63" s="156">
        <f t="shared" si="66"/>
        <v>0</v>
      </c>
      <c r="AN63" s="156">
        <f t="shared" si="67"/>
        <v>0</v>
      </c>
      <c r="AO63" s="156">
        <f t="shared" si="68"/>
        <v>0</v>
      </c>
      <c r="AP63" s="156">
        <f t="shared" si="69"/>
        <v>0</v>
      </c>
      <c r="AQ63" s="156">
        <f t="shared" si="70"/>
        <v>0</v>
      </c>
      <c r="AR63" s="156">
        <f t="shared" si="71"/>
        <v>0</v>
      </c>
      <c r="AS63" s="156">
        <f t="shared" si="72"/>
        <v>0</v>
      </c>
      <c r="AT63" s="156">
        <f t="shared" si="73"/>
        <v>0</v>
      </c>
      <c r="AU63" s="156">
        <f t="shared" si="74"/>
        <v>0</v>
      </c>
      <c r="AV63" s="156">
        <f t="shared" si="75"/>
        <v>0</v>
      </c>
      <c r="AW63" s="156">
        <f t="shared" si="76"/>
        <v>0</v>
      </c>
      <c r="AX63" s="156">
        <f t="shared" si="77"/>
        <v>0</v>
      </c>
      <c r="AY63" s="156">
        <f t="shared" si="78"/>
        <v>0</v>
      </c>
      <c r="AZ63" s="63">
        <f>+SUM(AB36:AY63)</f>
        <v>3</v>
      </c>
      <c r="BA63" s="54">
        <f t="shared" si="102"/>
        <v>7</v>
      </c>
      <c r="BB63" s="54">
        <f t="shared" si="79"/>
        <v>7</v>
      </c>
      <c r="BC63" s="54">
        <f t="shared" si="80"/>
        <v>7</v>
      </c>
      <c r="BD63" s="54">
        <f t="shared" si="81"/>
        <v>7</v>
      </c>
      <c r="BE63" s="54">
        <f t="shared" si="82"/>
        <v>7</v>
      </c>
      <c r="BF63" s="54">
        <f t="shared" si="83"/>
        <v>6</v>
      </c>
      <c r="BG63" s="54">
        <f t="shared" si="84"/>
        <v>7</v>
      </c>
      <c r="BH63" s="54">
        <f t="shared" si="85"/>
        <v>7</v>
      </c>
      <c r="BI63" s="54">
        <f t="shared" si="86"/>
        <v>7</v>
      </c>
      <c r="BJ63" s="54">
        <f t="shared" si="87"/>
        <v>7</v>
      </c>
      <c r="BK63" s="54">
        <f t="shared" si="88"/>
        <v>7</v>
      </c>
      <c r="BL63" s="54">
        <f t="shared" si="89"/>
        <v>7</v>
      </c>
      <c r="BM63" s="54">
        <f t="shared" si="90"/>
        <v>7</v>
      </c>
      <c r="BN63" s="54">
        <f t="shared" si="91"/>
        <v>7</v>
      </c>
      <c r="BO63" s="54">
        <f t="shared" si="92"/>
        <v>7</v>
      </c>
      <c r="BP63" s="54">
        <f t="shared" si="93"/>
        <v>7</v>
      </c>
      <c r="BQ63" s="54">
        <f t="shared" si="94"/>
        <v>7</v>
      </c>
      <c r="BR63" s="54">
        <f t="shared" si="95"/>
        <v>7</v>
      </c>
      <c r="BS63" s="54">
        <f t="shared" si="96"/>
        <v>7</v>
      </c>
      <c r="BT63" s="54">
        <f t="shared" si="97"/>
        <v>7</v>
      </c>
      <c r="BU63" s="54">
        <f t="shared" si="98"/>
        <v>7</v>
      </c>
      <c r="BV63" s="54">
        <f t="shared" si="99"/>
        <v>7</v>
      </c>
      <c r="BW63" s="54">
        <f t="shared" si="100"/>
        <v>7</v>
      </c>
      <c r="BX63" s="54">
        <f t="shared" si="101"/>
        <v>7</v>
      </c>
      <c r="BY63" s="63">
        <f>+SUM(BA36:BX63)</f>
        <v>4878</v>
      </c>
      <c r="BZ63" s="54">
        <f t="shared" si="112"/>
        <v>0</v>
      </c>
      <c r="CA63" s="54">
        <f t="shared" si="113"/>
        <v>0</v>
      </c>
      <c r="CB63" s="54">
        <f t="shared" si="113"/>
        <v>0</v>
      </c>
      <c r="CC63" s="54">
        <f t="shared" si="113"/>
        <v>0</v>
      </c>
      <c r="CD63" s="54">
        <f t="shared" si="113"/>
        <v>0</v>
      </c>
      <c r="CE63" s="54">
        <f t="shared" si="113"/>
        <v>-1</v>
      </c>
      <c r="CF63" s="54">
        <f t="shared" si="113"/>
        <v>1</v>
      </c>
      <c r="CG63" s="54">
        <f t="shared" si="113"/>
        <v>0</v>
      </c>
      <c r="CH63" s="54">
        <f t="shared" si="113"/>
        <v>0</v>
      </c>
      <c r="CI63" s="54">
        <f t="shared" si="113"/>
        <v>0</v>
      </c>
      <c r="CJ63" s="54">
        <f t="shared" si="113"/>
        <v>0</v>
      </c>
      <c r="CK63" s="54">
        <f t="shared" si="113"/>
        <v>0</v>
      </c>
      <c r="CL63" s="54">
        <f t="shared" si="113"/>
        <v>0</v>
      </c>
      <c r="CM63" s="54">
        <f t="shared" si="113"/>
        <v>0</v>
      </c>
      <c r="CN63" s="54">
        <f t="shared" ref="CA63:CP77" si="114">BO63-BN63</f>
        <v>0</v>
      </c>
      <c r="CO63" s="54">
        <f t="shared" ref="CO63:CP65" si="115">BP63-BO63</f>
        <v>0</v>
      </c>
      <c r="CP63" s="54">
        <f t="shared" si="115"/>
        <v>0</v>
      </c>
      <c r="CQ63" s="54">
        <f t="shared" si="105"/>
        <v>0</v>
      </c>
      <c r="CR63" s="54">
        <f t="shared" si="106"/>
        <v>0</v>
      </c>
      <c r="CS63" s="54">
        <f t="shared" si="107"/>
        <v>0</v>
      </c>
      <c r="CT63" s="54">
        <f t="shared" si="108"/>
        <v>0</v>
      </c>
      <c r="CU63" s="54">
        <f t="shared" si="109"/>
        <v>0</v>
      </c>
      <c r="CV63" s="54">
        <f t="shared" si="110"/>
        <v>0</v>
      </c>
      <c r="CW63" s="54">
        <f t="shared" si="111"/>
        <v>0</v>
      </c>
      <c r="CX63" s="53">
        <f>+SUMIF(BZ36:CW63,"&gt;0")</f>
        <v>65</v>
      </c>
    </row>
    <row r="64" spans="1:102">
      <c r="A64" s="60">
        <v>44986</v>
      </c>
      <c r="B64" s="426">
        <v>53275.9</v>
      </c>
      <c r="C64">
        <v>53699.1</v>
      </c>
      <c r="D64">
        <v>53830.400000000001</v>
      </c>
      <c r="E64">
        <v>53422.7</v>
      </c>
      <c r="F64">
        <v>54145.1</v>
      </c>
      <c r="G64">
        <v>54122.9</v>
      </c>
      <c r="H64">
        <v>54076.7</v>
      </c>
      <c r="I64">
        <v>54009.1</v>
      </c>
      <c r="J64">
        <v>54081.3</v>
      </c>
      <c r="K64">
        <v>55015.8</v>
      </c>
      <c r="L64">
        <v>55070.1</v>
      </c>
      <c r="M64">
        <v>54967.199999999997</v>
      </c>
      <c r="N64">
        <v>55027.8</v>
      </c>
      <c r="O64">
        <v>55052.7</v>
      </c>
      <c r="P64">
        <v>54613.3</v>
      </c>
      <c r="Q64">
        <v>54518.6</v>
      </c>
      <c r="R64">
        <v>54406.2</v>
      </c>
      <c r="S64">
        <v>54593</v>
      </c>
      <c r="T64">
        <v>54453.5</v>
      </c>
      <c r="U64">
        <v>54462.400000000001</v>
      </c>
      <c r="V64">
        <v>54457.8</v>
      </c>
      <c r="W64">
        <v>65216.1</v>
      </c>
      <c r="X64">
        <v>67510.7</v>
      </c>
      <c r="Y64">
        <v>66972.3</v>
      </c>
      <c r="Z64" s="77">
        <v>1341000.7</v>
      </c>
      <c r="AB64">
        <f t="shared" si="55"/>
        <v>0</v>
      </c>
      <c r="AC64">
        <f t="shared" si="56"/>
        <v>0</v>
      </c>
      <c r="AD64">
        <f t="shared" si="57"/>
        <v>0</v>
      </c>
      <c r="AE64">
        <f t="shared" si="58"/>
        <v>0</v>
      </c>
      <c r="AF64">
        <f t="shared" si="59"/>
        <v>0</v>
      </c>
      <c r="AG64">
        <f t="shared" si="60"/>
        <v>0</v>
      </c>
      <c r="AH64">
        <f t="shared" si="61"/>
        <v>0</v>
      </c>
      <c r="AI64">
        <f t="shared" si="62"/>
        <v>0</v>
      </c>
      <c r="AJ64">
        <f t="shared" si="63"/>
        <v>0</v>
      </c>
      <c r="AK64">
        <f t="shared" si="64"/>
        <v>0</v>
      </c>
      <c r="AL64">
        <f t="shared" si="65"/>
        <v>0</v>
      </c>
      <c r="AM64">
        <f t="shared" si="66"/>
        <v>0</v>
      </c>
      <c r="AN64">
        <f t="shared" si="67"/>
        <v>0</v>
      </c>
      <c r="AO64">
        <f t="shared" si="68"/>
        <v>0</v>
      </c>
      <c r="AP64">
        <f t="shared" si="69"/>
        <v>0</v>
      </c>
      <c r="AQ64">
        <f t="shared" si="70"/>
        <v>0</v>
      </c>
      <c r="AR64">
        <f t="shared" si="71"/>
        <v>0</v>
      </c>
      <c r="AS64">
        <f t="shared" si="72"/>
        <v>0</v>
      </c>
      <c r="AT64">
        <f t="shared" si="73"/>
        <v>0</v>
      </c>
      <c r="AU64">
        <f t="shared" si="74"/>
        <v>0</v>
      </c>
      <c r="AV64">
        <f t="shared" si="75"/>
        <v>0</v>
      </c>
      <c r="AW64">
        <f t="shared" si="76"/>
        <v>0</v>
      </c>
      <c r="AX64">
        <f t="shared" si="77"/>
        <v>0</v>
      </c>
      <c r="AY64">
        <f t="shared" si="78"/>
        <v>0</v>
      </c>
      <c r="BA64" s="52">
        <f t="shared" si="102"/>
        <v>7</v>
      </c>
      <c r="BB64" s="52">
        <f t="shared" si="79"/>
        <v>7</v>
      </c>
      <c r="BC64" s="52">
        <f t="shared" si="80"/>
        <v>7</v>
      </c>
      <c r="BD64" s="52">
        <f t="shared" si="81"/>
        <v>7</v>
      </c>
      <c r="BE64" s="52">
        <f t="shared" si="82"/>
        <v>7</v>
      </c>
      <c r="BF64" s="52">
        <f t="shared" si="83"/>
        <v>7</v>
      </c>
      <c r="BG64" s="52">
        <f t="shared" si="84"/>
        <v>7</v>
      </c>
      <c r="BH64" s="52">
        <f t="shared" si="85"/>
        <v>7</v>
      </c>
      <c r="BI64" s="52">
        <f t="shared" si="86"/>
        <v>7</v>
      </c>
      <c r="BJ64" s="52">
        <f t="shared" si="87"/>
        <v>7</v>
      </c>
      <c r="BK64" s="52">
        <f t="shared" si="88"/>
        <v>7</v>
      </c>
      <c r="BL64" s="52">
        <f t="shared" si="89"/>
        <v>7</v>
      </c>
      <c r="BM64" s="52">
        <f t="shared" si="90"/>
        <v>7</v>
      </c>
      <c r="BN64" s="52">
        <f t="shared" si="91"/>
        <v>7</v>
      </c>
      <c r="BO64" s="52">
        <f t="shared" si="92"/>
        <v>7</v>
      </c>
      <c r="BP64" s="52">
        <f t="shared" si="93"/>
        <v>7</v>
      </c>
      <c r="BQ64" s="52">
        <f t="shared" si="94"/>
        <v>7</v>
      </c>
      <c r="BR64" s="52">
        <f t="shared" si="95"/>
        <v>7</v>
      </c>
      <c r="BS64" s="52">
        <f t="shared" si="96"/>
        <v>7</v>
      </c>
      <c r="BT64" s="52">
        <f t="shared" si="97"/>
        <v>7</v>
      </c>
      <c r="BU64" s="52">
        <f t="shared" si="98"/>
        <v>7</v>
      </c>
      <c r="BV64" s="52">
        <f t="shared" si="99"/>
        <v>8</v>
      </c>
      <c r="BW64" s="52">
        <f t="shared" si="100"/>
        <v>8</v>
      </c>
      <c r="BX64" s="52">
        <f t="shared" si="101"/>
        <v>8</v>
      </c>
      <c r="BZ64" s="52">
        <f>+BA64-BX63</f>
        <v>0</v>
      </c>
      <c r="CA64" s="52">
        <f t="shared" ref="CA64:CW64" si="116">BB64-BA64</f>
        <v>0</v>
      </c>
      <c r="CB64" s="52">
        <f t="shared" si="116"/>
        <v>0</v>
      </c>
      <c r="CC64" s="52">
        <f t="shared" si="116"/>
        <v>0</v>
      </c>
      <c r="CD64" s="52">
        <f t="shared" si="116"/>
        <v>0</v>
      </c>
      <c r="CE64" s="52">
        <f t="shared" si="116"/>
        <v>0</v>
      </c>
      <c r="CF64" s="52">
        <f t="shared" si="116"/>
        <v>0</v>
      </c>
      <c r="CG64" s="52">
        <f t="shared" si="116"/>
        <v>0</v>
      </c>
      <c r="CH64" s="52">
        <f t="shared" si="116"/>
        <v>0</v>
      </c>
      <c r="CI64" s="52">
        <f t="shared" si="116"/>
        <v>0</v>
      </c>
      <c r="CJ64" s="52">
        <f t="shared" si="116"/>
        <v>0</v>
      </c>
      <c r="CK64" s="52">
        <f t="shared" si="116"/>
        <v>0</v>
      </c>
      <c r="CL64" s="52">
        <f t="shared" si="116"/>
        <v>0</v>
      </c>
      <c r="CM64" s="52">
        <f t="shared" si="116"/>
        <v>0</v>
      </c>
      <c r="CN64" s="52">
        <f t="shared" si="116"/>
        <v>0</v>
      </c>
      <c r="CO64" s="52">
        <f t="shared" si="116"/>
        <v>0</v>
      </c>
      <c r="CP64" s="52">
        <f t="shared" si="116"/>
        <v>0</v>
      </c>
      <c r="CQ64" s="52">
        <f t="shared" si="116"/>
        <v>0</v>
      </c>
      <c r="CR64" s="52">
        <f t="shared" si="116"/>
        <v>0</v>
      </c>
      <c r="CS64" s="52">
        <f t="shared" si="116"/>
        <v>0</v>
      </c>
      <c r="CT64" s="52">
        <f t="shared" si="116"/>
        <v>0</v>
      </c>
      <c r="CU64" s="52">
        <f t="shared" si="116"/>
        <v>1</v>
      </c>
      <c r="CV64" s="52">
        <f t="shared" si="116"/>
        <v>0</v>
      </c>
      <c r="CW64" s="52">
        <f t="shared" si="116"/>
        <v>0</v>
      </c>
    </row>
    <row r="65" spans="1:101">
      <c r="A65" s="60">
        <v>44987</v>
      </c>
      <c r="B65" s="426">
        <v>53095.3</v>
      </c>
      <c r="C65">
        <v>53296.9</v>
      </c>
      <c r="D65">
        <v>53293</v>
      </c>
      <c r="E65">
        <v>54403.6</v>
      </c>
      <c r="F65">
        <v>53988.7</v>
      </c>
      <c r="G65">
        <v>52685.9</v>
      </c>
      <c r="H65">
        <v>53916.800000000003</v>
      </c>
      <c r="I65">
        <v>53309.5</v>
      </c>
      <c r="J65">
        <v>53127.7</v>
      </c>
      <c r="K65">
        <v>52693.3</v>
      </c>
      <c r="L65">
        <v>53289.9</v>
      </c>
      <c r="M65">
        <v>52209.3</v>
      </c>
      <c r="N65">
        <v>52328.7</v>
      </c>
      <c r="O65">
        <v>52474.9</v>
      </c>
      <c r="P65">
        <v>52534.3</v>
      </c>
      <c r="Q65">
        <v>53004.800000000003</v>
      </c>
      <c r="R65">
        <v>53110</v>
      </c>
      <c r="S65">
        <v>53161.1</v>
      </c>
      <c r="T65">
        <v>54163.5</v>
      </c>
      <c r="U65">
        <v>67420.100000000006</v>
      </c>
      <c r="V65">
        <v>54854.3</v>
      </c>
      <c r="W65">
        <v>54522.6</v>
      </c>
      <c r="X65">
        <v>63358.400000000001</v>
      </c>
      <c r="Y65">
        <v>67023.399999999994</v>
      </c>
      <c r="Z65" s="77">
        <v>1317266.0000000002</v>
      </c>
      <c r="AB65" s="52">
        <f>+IF(AND(B65=0,C65&lt;&gt;0),1,0)</f>
        <v>0</v>
      </c>
      <c r="AC65" s="52">
        <f t="shared" si="56"/>
        <v>0</v>
      </c>
      <c r="AD65" s="52">
        <f t="shared" si="57"/>
        <v>0</v>
      </c>
      <c r="AE65" s="52">
        <f t="shared" si="58"/>
        <v>0</v>
      </c>
      <c r="AF65" s="52">
        <f t="shared" si="59"/>
        <v>0</v>
      </c>
      <c r="AG65" s="52">
        <f t="shared" si="60"/>
        <v>0</v>
      </c>
      <c r="AH65" s="52">
        <f t="shared" si="61"/>
        <v>0</v>
      </c>
      <c r="AI65" s="52">
        <f t="shared" si="62"/>
        <v>0</v>
      </c>
      <c r="AJ65" s="52">
        <f t="shared" si="63"/>
        <v>0</v>
      </c>
      <c r="AK65" s="52">
        <f t="shared" si="64"/>
        <v>0</v>
      </c>
      <c r="AL65" s="52">
        <f t="shared" si="65"/>
        <v>0</v>
      </c>
      <c r="AM65" s="52">
        <f t="shared" si="66"/>
        <v>0</v>
      </c>
      <c r="AN65" s="52">
        <f t="shared" si="67"/>
        <v>0</v>
      </c>
      <c r="AO65" s="52">
        <f t="shared" si="68"/>
        <v>0</v>
      </c>
      <c r="AP65" s="52">
        <f t="shared" si="69"/>
        <v>0</v>
      </c>
      <c r="AQ65" s="52">
        <f t="shared" si="70"/>
        <v>0</v>
      </c>
      <c r="AR65" s="52">
        <f t="shared" si="71"/>
        <v>0</v>
      </c>
      <c r="AS65" s="52">
        <f t="shared" si="72"/>
        <v>0</v>
      </c>
      <c r="AT65" s="52">
        <f t="shared" si="73"/>
        <v>0</v>
      </c>
      <c r="AU65" s="52">
        <f t="shared" si="74"/>
        <v>0</v>
      </c>
      <c r="AV65" s="52">
        <f t="shared" si="75"/>
        <v>0</v>
      </c>
      <c r="AW65" s="52">
        <f t="shared" si="76"/>
        <v>0</v>
      </c>
      <c r="AX65" s="52">
        <f t="shared" si="77"/>
        <v>0</v>
      </c>
      <c r="AY65" s="52">
        <f>+IF(AND(Y65=0,B66&lt;&gt;0),1,0)</f>
        <v>0</v>
      </c>
      <c r="BA65" s="52">
        <f>+ROUNDUP(B65/8800,0)</f>
        <v>7</v>
      </c>
      <c r="BB65" s="52">
        <f t="shared" si="79"/>
        <v>7</v>
      </c>
      <c r="BC65" s="52">
        <f t="shared" si="80"/>
        <v>7</v>
      </c>
      <c r="BD65" s="52">
        <f t="shared" si="81"/>
        <v>7</v>
      </c>
      <c r="BE65" s="52">
        <f t="shared" si="82"/>
        <v>7</v>
      </c>
      <c r="BF65" s="52">
        <f t="shared" si="83"/>
        <v>6</v>
      </c>
      <c r="BG65" s="52">
        <f t="shared" si="84"/>
        <v>7</v>
      </c>
      <c r="BH65" s="52">
        <f t="shared" si="85"/>
        <v>7</v>
      </c>
      <c r="BI65" s="52">
        <f t="shared" si="86"/>
        <v>7</v>
      </c>
      <c r="BJ65" s="52">
        <f t="shared" si="87"/>
        <v>6</v>
      </c>
      <c r="BK65" s="52">
        <f t="shared" si="88"/>
        <v>7</v>
      </c>
      <c r="BL65" s="52">
        <f t="shared" si="89"/>
        <v>6</v>
      </c>
      <c r="BM65" s="52">
        <f t="shared" si="90"/>
        <v>6</v>
      </c>
      <c r="BN65" s="52">
        <f t="shared" si="91"/>
        <v>6</v>
      </c>
      <c r="BO65" s="52">
        <f t="shared" si="92"/>
        <v>6</v>
      </c>
      <c r="BP65" s="52">
        <f t="shared" si="93"/>
        <v>7</v>
      </c>
      <c r="BQ65" s="52">
        <f t="shared" si="94"/>
        <v>7</v>
      </c>
      <c r="BR65" s="52">
        <f t="shared" si="95"/>
        <v>7</v>
      </c>
      <c r="BS65" s="52">
        <f t="shared" si="96"/>
        <v>7</v>
      </c>
      <c r="BT65" s="52">
        <f t="shared" si="97"/>
        <v>8</v>
      </c>
      <c r="BU65" s="52">
        <f t="shared" si="98"/>
        <v>7</v>
      </c>
      <c r="BV65" s="52">
        <f t="shared" si="99"/>
        <v>7</v>
      </c>
      <c r="BW65" s="52">
        <f t="shared" si="100"/>
        <v>8</v>
      </c>
      <c r="BX65" s="52">
        <f t="shared" si="101"/>
        <v>8</v>
      </c>
      <c r="BZ65">
        <f>+BA65-BX64</f>
        <v>-1</v>
      </c>
      <c r="CA65">
        <f t="shared" si="114"/>
        <v>0</v>
      </c>
      <c r="CB65">
        <f t="shared" si="114"/>
        <v>0</v>
      </c>
      <c r="CC65">
        <f t="shared" si="114"/>
        <v>0</v>
      </c>
      <c r="CD65">
        <f t="shared" si="114"/>
        <v>0</v>
      </c>
      <c r="CE65">
        <f t="shared" si="114"/>
        <v>-1</v>
      </c>
      <c r="CF65">
        <f t="shared" si="114"/>
        <v>1</v>
      </c>
      <c r="CG65">
        <f t="shared" si="114"/>
        <v>0</v>
      </c>
      <c r="CH65">
        <f t="shared" si="114"/>
        <v>0</v>
      </c>
      <c r="CI65">
        <f t="shared" si="114"/>
        <v>-1</v>
      </c>
      <c r="CJ65">
        <f t="shared" si="114"/>
        <v>1</v>
      </c>
      <c r="CK65">
        <f t="shared" si="114"/>
        <v>-1</v>
      </c>
      <c r="CL65">
        <f t="shared" si="114"/>
        <v>0</v>
      </c>
      <c r="CM65">
        <f t="shared" si="114"/>
        <v>0</v>
      </c>
      <c r="CN65">
        <f t="shared" si="114"/>
        <v>0</v>
      </c>
      <c r="CO65">
        <f t="shared" si="115"/>
        <v>1</v>
      </c>
      <c r="CP65">
        <f t="shared" si="115"/>
        <v>0</v>
      </c>
      <c r="CQ65">
        <f t="shared" si="105"/>
        <v>0</v>
      </c>
      <c r="CR65">
        <f t="shared" si="106"/>
        <v>0</v>
      </c>
      <c r="CS65">
        <f t="shared" si="107"/>
        <v>1</v>
      </c>
      <c r="CT65">
        <f t="shared" si="108"/>
        <v>-1</v>
      </c>
      <c r="CU65">
        <f t="shared" si="109"/>
        <v>0</v>
      </c>
      <c r="CV65">
        <f t="shared" si="110"/>
        <v>1</v>
      </c>
      <c r="CW65">
        <f t="shared" si="111"/>
        <v>0</v>
      </c>
    </row>
    <row r="66" spans="1:101">
      <c r="A66" s="60">
        <v>44988</v>
      </c>
      <c r="B66" s="426">
        <v>54799.5</v>
      </c>
      <c r="C66">
        <v>54242.1</v>
      </c>
      <c r="D66">
        <v>54048.7</v>
      </c>
      <c r="E66">
        <v>54102.400000000001</v>
      </c>
      <c r="F66">
        <v>54179</v>
      </c>
      <c r="G66">
        <v>54486.9</v>
      </c>
      <c r="H66">
        <v>54924.9</v>
      </c>
      <c r="I66">
        <v>54888.7</v>
      </c>
      <c r="J66">
        <v>51863.199999999997</v>
      </c>
      <c r="K66">
        <v>50495</v>
      </c>
      <c r="L66">
        <v>53198</v>
      </c>
      <c r="M66">
        <v>53032.9</v>
      </c>
      <c r="N66">
        <v>53141.7</v>
      </c>
      <c r="O66">
        <v>53157.8</v>
      </c>
      <c r="P66">
        <v>53225.7</v>
      </c>
      <c r="Q66">
        <v>52940</v>
      </c>
      <c r="R66">
        <v>53127.3</v>
      </c>
      <c r="S66">
        <v>53016.3</v>
      </c>
      <c r="T66">
        <v>53070.7</v>
      </c>
      <c r="U66">
        <v>52885.8</v>
      </c>
      <c r="V66">
        <v>53023.9</v>
      </c>
      <c r="W66">
        <v>53685.2</v>
      </c>
      <c r="X66">
        <v>53957</v>
      </c>
      <c r="Y66">
        <v>54406.8</v>
      </c>
      <c r="Z66" s="77">
        <v>1283899.5</v>
      </c>
      <c r="AB66">
        <f t="shared" ref="AB66:AB94" si="117">+IF(AND(B66=0,C66&lt;&gt;0),1,0)</f>
        <v>0</v>
      </c>
      <c r="AC66">
        <f t="shared" si="56"/>
        <v>0</v>
      </c>
      <c r="AD66">
        <f t="shared" si="57"/>
        <v>0</v>
      </c>
      <c r="AE66">
        <f t="shared" si="58"/>
        <v>0</v>
      </c>
      <c r="AF66">
        <f t="shared" si="59"/>
        <v>0</v>
      </c>
      <c r="AG66">
        <f t="shared" si="60"/>
        <v>0</v>
      </c>
      <c r="AH66">
        <f t="shared" si="61"/>
        <v>0</v>
      </c>
      <c r="AI66">
        <f t="shared" si="62"/>
        <v>0</v>
      </c>
      <c r="AJ66">
        <f t="shared" si="63"/>
        <v>0</v>
      </c>
      <c r="AK66">
        <f t="shared" si="64"/>
        <v>0</v>
      </c>
      <c r="AL66">
        <f t="shared" si="65"/>
        <v>0</v>
      </c>
      <c r="AM66">
        <f t="shared" si="66"/>
        <v>0</v>
      </c>
      <c r="AN66">
        <f t="shared" si="67"/>
        <v>0</v>
      </c>
      <c r="AO66">
        <f t="shared" si="68"/>
        <v>0</v>
      </c>
      <c r="AP66">
        <f t="shared" si="69"/>
        <v>0</v>
      </c>
      <c r="AQ66">
        <f t="shared" si="70"/>
        <v>0</v>
      </c>
      <c r="AR66">
        <f t="shared" si="71"/>
        <v>0</v>
      </c>
      <c r="AS66">
        <f t="shared" si="72"/>
        <v>0</v>
      </c>
      <c r="AT66">
        <f t="shared" si="73"/>
        <v>0</v>
      </c>
      <c r="AU66">
        <f t="shared" si="74"/>
        <v>0</v>
      </c>
      <c r="AV66">
        <f t="shared" si="75"/>
        <v>0</v>
      </c>
      <c r="AW66">
        <f t="shared" si="76"/>
        <v>0</v>
      </c>
      <c r="AX66">
        <f t="shared" si="77"/>
        <v>0</v>
      </c>
      <c r="AY66">
        <f t="shared" ref="AY66:AY94" si="118">+IF(AND(Y66=0,B67&lt;&gt;0),1,0)</f>
        <v>0</v>
      </c>
      <c r="BA66">
        <f t="shared" ref="BA66:BA94" si="119">+ROUNDUP(B66/8800,0)</f>
        <v>7</v>
      </c>
      <c r="BB66">
        <f t="shared" si="79"/>
        <v>7</v>
      </c>
      <c r="BC66">
        <f t="shared" si="80"/>
        <v>7</v>
      </c>
      <c r="BD66">
        <f t="shared" si="81"/>
        <v>7</v>
      </c>
      <c r="BE66">
        <f t="shared" si="82"/>
        <v>7</v>
      </c>
      <c r="BF66">
        <f t="shared" si="83"/>
        <v>7</v>
      </c>
      <c r="BG66">
        <f t="shared" si="84"/>
        <v>7</v>
      </c>
      <c r="BH66">
        <f t="shared" si="85"/>
        <v>7</v>
      </c>
      <c r="BI66">
        <f t="shared" si="86"/>
        <v>6</v>
      </c>
      <c r="BJ66">
        <f t="shared" si="87"/>
        <v>6</v>
      </c>
      <c r="BK66">
        <f t="shared" si="88"/>
        <v>7</v>
      </c>
      <c r="BL66">
        <f t="shared" si="89"/>
        <v>7</v>
      </c>
      <c r="BM66">
        <f t="shared" si="90"/>
        <v>7</v>
      </c>
      <c r="BN66">
        <f t="shared" si="91"/>
        <v>7</v>
      </c>
      <c r="BO66">
        <f t="shared" si="92"/>
        <v>7</v>
      </c>
      <c r="BP66">
        <f t="shared" si="93"/>
        <v>7</v>
      </c>
      <c r="BQ66">
        <f t="shared" si="94"/>
        <v>7</v>
      </c>
      <c r="BR66">
        <f t="shared" si="95"/>
        <v>7</v>
      </c>
      <c r="BS66">
        <f t="shared" si="96"/>
        <v>7</v>
      </c>
      <c r="BT66">
        <f t="shared" si="97"/>
        <v>7</v>
      </c>
      <c r="BU66">
        <f t="shared" si="98"/>
        <v>7</v>
      </c>
      <c r="BV66">
        <f t="shared" si="99"/>
        <v>7</v>
      </c>
      <c r="BW66">
        <f t="shared" si="100"/>
        <v>7</v>
      </c>
      <c r="BX66">
        <f t="shared" si="101"/>
        <v>7</v>
      </c>
      <c r="BZ66" s="52">
        <f t="shared" ref="BZ66:BZ71" si="120">+BA66-BX65</f>
        <v>-1</v>
      </c>
      <c r="CA66" s="52">
        <f t="shared" si="114"/>
        <v>0</v>
      </c>
      <c r="CB66" s="52">
        <f t="shared" si="114"/>
        <v>0</v>
      </c>
      <c r="CC66" s="52">
        <f t="shared" si="114"/>
        <v>0</v>
      </c>
      <c r="CD66" s="52">
        <f t="shared" si="114"/>
        <v>0</v>
      </c>
      <c r="CE66" s="52">
        <f t="shared" si="114"/>
        <v>0</v>
      </c>
      <c r="CF66" s="52">
        <f t="shared" si="114"/>
        <v>0</v>
      </c>
      <c r="CG66" s="52">
        <f t="shared" si="114"/>
        <v>0</v>
      </c>
      <c r="CH66" s="52">
        <f t="shared" si="114"/>
        <v>-1</v>
      </c>
      <c r="CI66" s="52">
        <f t="shared" si="114"/>
        <v>0</v>
      </c>
      <c r="CJ66" s="52">
        <f t="shared" si="114"/>
        <v>1</v>
      </c>
      <c r="CK66" s="52">
        <f t="shared" si="114"/>
        <v>0</v>
      </c>
      <c r="CL66" s="52">
        <f t="shared" si="114"/>
        <v>0</v>
      </c>
      <c r="CM66" s="52">
        <f t="shared" si="114"/>
        <v>0</v>
      </c>
      <c r="CN66" s="52">
        <f t="shared" si="114"/>
        <v>0</v>
      </c>
      <c r="CO66" s="52">
        <f t="shared" si="114"/>
        <v>0</v>
      </c>
      <c r="CP66" s="52">
        <f t="shared" si="114"/>
        <v>0</v>
      </c>
      <c r="CQ66" s="52">
        <f t="shared" ref="CQ66:CQ71" si="121">BR66-BQ66</f>
        <v>0</v>
      </c>
      <c r="CR66" s="52">
        <f t="shared" ref="CR66:CR71" si="122">BS66-BR66</f>
        <v>0</v>
      </c>
      <c r="CS66" s="52">
        <f t="shared" ref="CS66:CS71" si="123">BT66-BS66</f>
        <v>0</v>
      </c>
      <c r="CT66" s="52">
        <f t="shared" ref="CT66:CT71" si="124">BU66-BT66</f>
        <v>0</v>
      </c>
      <c r="CU66" s="52">
        <f t="shared" ref="CU66:CU71" si="125">BV66-BU66</f>
        <v>0</v>
      </c>
      <c r="CV66" s="52">
        <f t="shared" ref="CV66:CV71" si="126">BW66-BV66</f>
        <v>0</v>
      </c>
      <c r="CW66" s="52">
        <f t="shared" ref="CW66:CW71" si="127">BX66-BW66</f>
        <v>0</v>
      </c>
    </row>
    <row r="67" spans="1:101">
      <c r="A67" s="60">
        <v>44989</v>
      </c>
      <c r="B67" s="426">
        <v>54324.2</v>
      </c>
      <c r="C67">
        <v>54719.199999999997</v>
      </c>
      <c r="D67">
        <v>54775</v>
      </c>
      <c r="E67">
        <v>54640.3</v>
      </c>
      <c r="F67">
        <v>54346</v>
      </c>
      <c r="G67">
        <v>54260.4</v>
      </c>
      <c r="H67">
        <v>53909.9</v>
      </c>
      <c r="I67">
        <v>53950.400000000001</v>
      </c>
      <c r="J67">
        <v>53847</v>
      </c>
      <c r="K67">
        <v>53509.9</v>
      </c>
      <c r="L67">
        <v>53390.400000000001</v>
      </c>
      <c r="M67">
        <v>53446.6</v>
      </c>
      <c r="N67">
        <v>53463.3</v>
      </c>
      <c r="O67">
        <v>52967.5</v>
      </c>
      <c r="P67">
        <v>53138.7</v>
      </c>
      <c r="Q67">
        <v>53325.3</v>
      </c>
      <c r="R67">
        <v>53136.9</v>
      </c>
      <c r="S67">
        <v>53085.7</v>
      </c>
      <c r="T67">
        <v>53270.9</v>
      </c>
      <c r="U67">
        <v>53120.1</v>
      </c>
      <c r="V67">
        <v>53050.7</v>
      </c>
      <c r="W67">
        <v>53547.1</v>
      </c>
      <c r="X67">
        <v>54539.3</v>
      </c>
      <c r="Y67">
        <v>54402.9</v>
      </c>
      <c r="Z67" s="77">
        <v>1290167.7000000002</v>
      </c>
      <c r="AB67" s="52">
        <f t="shared" si="117"/>
        <v>0</v>
      </c>
      <c r="AC67" s="52">
        <f t="shared" si="56"/>
        <v>0</v>
      </c>
      <c r="AD67" s="52">
        <f t="shared" si="57"/>
        <v>0</v>
      </c>
      <c r="AE67" s="52">
        <f t="shared" si="58"/>
        <v>0</v>
      </c>
      <c r="AF67" s="52">
        <f t="shared" si="59"/>
        <v>0</v>
      </c>
      <c r="AG67" s="52">
        <f t="shared" si="60"/>
        <v>0</v>
      </c>
      <c r="AH67" s="52">
        <f t="shared" si="61"/>
        <v>0</v>
      </c>
      <c r="AI67" s="52">
        <f t="shared" si="62"/>
        <v>0</v>
      </c>
      <c r="AJ67" s="52">
        <f t="shared" si="63"/>
        <v>0</v>
      </c>
      <c r="AK67" s="52">
        <f t="shared" si="64"/>
        <v>0</v>
      </c>
      <c r="AL67" s="52">
        <f t="shared" si="65"/>
        <v>0</v>
      </c>
      <c r="AM67" s="52">
        <f t="shared" si="66"/>
        <v>0</v>
      </c>
      <c r="AN67" s="52">
        <f t="shared" si="67"/>
        <v>0</v>
      </c>
      <c r="AO67" s="52">
        <f t="shared" si="68"/>
        <v>0</v>
      </c>
      <c r="AP67" s="52">
        <f t="shared" si="69"/>
        <v>0</v>
      </c>
      <c r="AQ67" s="52">
        <f t="shared" si="70"/>
        <v>0</v>
      </c>
      <c r="AR67" s="52">
        <f t="shared" si="71"/>
        <v>0</v>
      </c>
      <c r="AS67" s="52">
        <f t="shared" si="72"/>
        <v>0</v>
      </c>
      <c r="AT67" s="52">
        <f t="shared" si="73"/>
        <v>0</v>
      </c>
      <c r="AU67" s="52">
        <f t="shared" si="74"/>
        <v>0</v>
      </c>
      <c r="AV67" s="52">
        <f t="shared" si="75"/>
        <v>0</v>
      </c>
      <c r="AW67" s="52">
        <f t="shared" si="76"/>
        <v>0</v>
      </c>
      <c r="AX67" s="52">
        <f t="shared" si="77"/>
        <v>0</v>
      </c>
      <c r="AY67" s="52">
        <f t="shared" si="118"/>
        <v>0</v>
      </c>
      <c r="BA67" s="52">
        <f t="shared" si="119"/>
        <v>7</v>
      </c>
      <c r="BB67" s="52">
        <f t="shared" si="79"/>
        <v>7</v>
      </c>
      <c r="BC67" s="52">
        <f t="shared" si="80"/>
        <v>7</v>
      </c>
      <c r="BD67" s="52">
        <f t="shared" si="81"/>
        <v>7</v>
      </c>
      <c r="BE67" s="52">
        <f t="shared" si="82"/>
        <v>7</v>
      </c>
      <c r="BF67" s="52">
        <f t="shared" si="83"/>
        <v>7</v>
      </c>
      <c r="BG67" s="52">
        <f t="shared" si="84"/>
        <v>7</v>
      </c>
      <c r="BH67" s="52">
        <f t="shared" si="85"/>
        <v>7</v>
      </c>
      <c r="BI67" s="52">
        <f t="shared" si="86"/>
        <v>7</v>
      </c>
      <c r="BJ67" s="52">
        <f t="shared" si="87"/>
        <v>7</v>
      </c>
      <c r="BK67" s="52">
        <f t="shared" si="88"/>
        <v>7</v>
      </c>
      <c r="BL67" s="52">
        <f t="shared" si="89"/>
        <v>7</v>
      </c>
      <c r="BM67" s="52">
        <f t="shared" si="90"/>
        <v>7</v>
      </c>
      <c r="BN67" s="52">
        <f t="shared" si="91"/>
        <v>7</v>
      </c>
      <c r="BO67" s="52">
        <f t="shared" si="92"/>
        <v>7</v>
      </c>
      <c r="BP67" s="52">
        <f t="shared" si="93"/>
        <v>7</v>
      </c>
      <c r="BQ67" s="52">
        <f t="shared" si="94"/>
        <v>7</v>
      </c>
      <c r="BR67" s="52">
        <f t="shared" si="95"/>
        <v>7</v>
      </c>
      <c r="BS67" s="52">
        <f t="shared" si="96"/>
        <v>7</v>
      </c>
      <c r="BT67" s="52">
        <f t="shared" si="97"/>
        <v>7</v>
      </c>
      <c r="BU67" s="52">
        <f t="shared" si="98"/>
        <v>7</v>
      </c>
      <c r="BV67" s="52">
        <f t="shared" si="99"/>
        <v>7</v>
      </c>
      <c r="BW67" s="52">
        <f t="shared" si="100"/>
        <v>7</v>
      </c>
      <c r="BX67" s="52">
        <f t="shared" si="101"/>
        <v>7</v>
      </c>
      <c r="BZ67">
        <f t="shared" si="120"/>
        <v>0</v>
      </c>
      <c r="CA67">
        <f t="shared" si="114"/>
        <v>0</v>
      </c>
      <c r="CB67">
        <f t="shared" si="114"/>
        <v>0</v>
      </c>
      <c r="CC67">
        <f t="shared" si="114"/>
        <v>0</v>
      </c>
      <c r="CD67">
        <f t="shared" si="114"/>
        <v>0</v>
      </c>
      <c r="CE67">
        <f t="shared" si="114"/>
        <v>0</v>
      </c>
      <c r="CF67">
        <f t="shared" si="114"/>
        <v>0</v>
      </c>
      <c r="CG67">
        <f t="shared" si="114"/>
        <v>0</v>
      </c>
      <c r="CH67">
        <f t="shared" si="114"/>
        <v>0</v>
      </c>
      <c r="CI67">
        <f t="shared" si="114"/>
        <v>0</v>
      </c>
      <c r="CJ67">
        <f t="shared" si="114"/>
        <v>0</v>
      </c>
      <c r="CK67">
        <f t="shared" si="114"/>
        <v>0</v>
      </c>
      <c r="CL67">
        <f t="shared" si="114"/>
        <v>0</v>
      </c>
      <c r="CM67">
        <f t="shared" si="114"/>
        <v>0</v>
      </c>
      <c r="CN67">
        <f>BO67-BN67</f>
        <v>0</v>
      </c>
      <c r="CO67">
        <f t="shared" si="114"/>
        <v>0</v>
      </c>
      <c r="CP67">
        <f t="shared" si="114"/>
        <v>0</v>
      </c>
      <c r="CQ67">
        <f t="shared" si="121"/>
        <v>0</v>
      </c>
      <c r="CR67">
        <f t="shared" si="122"/>
        <v>0</v>
      </c>
      <c r="CS67">
        <f t="shared" si="123"/>
        <v>0</v>
      </c>
      <c r="CT67">
        <f t="shared" si="124"/>
        <v>0</v>
      </c>
      <c r="CU67">
        <f t="shared" si="125"/>
        <v>0</v>
      </c>
      <c r="CV67">
        <f t="shared" si="126"/>
        <v>0</v>
      </c>
      <c r="CW67">
        <f t="shared" si="127"/>
        <v>0</v>
      </c>
    </row>
    <row r="68" spans="1:101">
      <c r="A68" s="60">
        <v>44990</v>
      </c>
      <c r="B68" s="426">
        <v>54323.7</v>
      </c>
      <c r="C68">
        <v>54843.7</v>
      </c>
      <c r="D68">
        <v>54948.4</v>
      </c>
      <c r="E68">
        <v>54643.199999999997</v>
      </c>
      <c r="F68">
        <v>54413.5</v>
      </c>
      <c r="G68">
        <v>54258.5</v>
      </c>
      <c r="H68">
        <v>54047.8</v>
      </c>
      <c r="I68">
        <v>54298.9</v>
      </c>
      <c r="J68">
        <v>54220.1</v>
      </c>
      <c r="K68">
        <v>54098.9</v>
      </c>
      <c r="L68">
        <v>54158.1</v>
      </c>
      <c r="M68">
        <v>54561.4</v>
      </c>
      <c r="N68">
        <v>54601.8</v>
      </c>
      <c r="O68">
        <v>54646.400000000001</v>
      </c>
      <c r="P68">
        <v>54690.5</v>
      </c>
      <c r="Q68">
        <v>54589.599999999999</v>
      </c>
      <c r="R68">
        <v>54566.3</v>
      </c>
      <c r="S68">
        <v>54662.1</v>
      </c>
      <c r="T68">
        <v>54264.1</v>
      </c>
      <c r="U68">
        <v>53980.9</v>
      </c>
      <c r="V68">
        <v>54022</v>
      </c>
      <c r="W68">
        <v>54039.9</v>
      </c>
      <c r="X68">
        <v>57679</v>
      </c>
      <c r="Y68">
        <v>60856.3</v>
      </c>
      <c r="Z68" s="77">
        <v>1315415.0999999999</v>
      </c>
      <c r="AB68">
        <f t="shared" si="117"/>
        <v>0</v>
      </c>
      <c r="AC68">
        <f t="shared" si="56"/>
        <v>0</v>
      </c>
      <c r="AD68">
        <f t="shared" si="57"/>
        <v>0</v>
      </c>
      <c r="AE68">
        <f t="shared" si="58"/>
        <v>0</v>
      </c>
      <c r="AF68">
        <f t="shared" si="59"/>
        <v>0</v>
      </c>
      <c r="AG68">
        <f t="shared" si="60"/>
        <v>0</v>
      </c>
      <c r="AH68">
        <f t="shared" si="61"/>
        <v>0</v>
      </c>
      <c r="AI68">
        <f t="shared" si="62"/>
        <v>0</v>
      </c>
      <c r="AJ68">
        <f t="shared" si="63"/>
        <v>0</v>
      </c>
      <c r="AK68">
        <f t="shared" si="64"/>
        <v>0</v>
      </c>
      <c r="AL68">
        <f t="shared" si="65"/>
        <v>0</v>
      </c>
      <c r="AM68">
        <f t="shared" si="66"/>
        <v>0</v>
      </c>
      <c r="AN68">
        <f t="shared" si="67"/>
        <v>0</v>
      </c>
      <c r="AO68">
        <f t="shared" si="68"/>
        <v>0</v>
      </c>
      <c r="AP68">
        <f t="shared" si="69"/>
        <v>0</v>
      </c>
      <c r="AQ68">
        <f t="shared" si="70"/>
        <v>0</v>
      </c>
      <c r="AR68">
        <f t="shared" si="71"/>
        <v>0</v>
      </c>
      <c r="AS68">
        <f t="shared" si="72"/>
        <v>0</v>
      </c>
      <c r="AT68">
        <f t="shared" si="73"/>
        <v>0</v>
      </c>
      <c r="AU68">
        <f t="shared" si="74"/>
        <v>0</v>
      </c>
      <c r="AV68">
        <f t="shared" si="75"/>
        <v>0</v>
      </c>
      <c r="AW68">
        <f t="shared" si="76"/>
        <v>0</v>
      </c>
      <c r="AX68">
        <f t="shared" si="77"/>
        <v>0</v>
      </c>
      <c r="AY68">
        <f t="shared" si="118"/>
        <v>0</v>
      </c>
      <c r="BA68">
        <f t="shared" si="119"/>
        <v>7</v>
      </c>
      <c r="BB68">
        <f t="shared" si="79"/>
        <v>7</v>
      </c>
      <c r="BC68">
        <f t="shared" si="80"/>
        <v>7</v>
      </c>
      <c r="BD68">
        <f t="shared" si="81"/>
        <v>7</v>
      </c>
      <c r="BE68">
        <f t="shared" si="82"/>
        <v>7</v>
      </c>
      <c r="BF68">
        <f t="shared" si="83"/>
        <v>7</v>
      </c>
      <c r="BG68">
        <f t="shared" si="84"/>
        <v>7</v>
      </c>
      <c r="BH68">
        <f t="shared" si="85"/>
        <v>7</v>
      </c>
      <c r="BI68">
        <f t="shared" si="86"/>
        <v>7</v>
      </c>
      <c r="BJ68">
        <f t="shared" si="87"/>
        <v>7</v>
      </c>
      <c r="BK68">
        <f t="shared" si="88"/>
        <v>7</v>
      </c>
      <c r="BL68">
        <f t="shared" si="89"/>
        <v>7</v>
      </c>
      <c r="BM68">
        <f t="shared" si="90"/>
        <v>7</v>
      </c>
      <c r="BN68">
        <f t="shared" si="91"/>
        <v>7</v>
      </c>
      <c r="BO68">
        <f t="shared" si="92"/>
        <v>7</v>
      </c>
      <c r="BP68">
        <f t="shared" si="93"/>
        <v>7</v>
      </c>
      <c r="BQ68">
        <f t="shared" si="94"/>
        <v>7</v>
      </c>
      <c r="BR68">
        <f t="shared" si="95"/>
        <v>7</v>
      </c>
      <c r="BS68">
        <f t="shared" si="96"/>
        <v>7</v>
      </c>
      <c r="BT68">
        <f t="shared" si="97"/>
        <v>7</v>
      </c>
      <c r="BU68">
        <f t="shared" si="98"/>
        <v>7</v>
      </c>
      <c r="BV68">
        <f t="shared" si="99"/>
        <v>7</v>
      </c>
      <c r="BW68">
        <f t="shared" si="100"/>
        <v>7</v>
      </c>
      <c r="BX68">
        <f t="shared" si="101"/>
        <v>7</v>
      </c>
      <c r="BZ68" s="52">
        <f t="shared" si="120"/>
        <v>0</v>
      </c>
      <c r="CA68" s="52">
        <f t="shared" si="114"/>
        <v>0</v>
      </c>
      <c r="CB68" s="52">
        <f t="shared" si="114"/>
        <v>0</v>
      </c>
      <c r="CC68" s="52">
        <f t="shared" si="114"/>
        <v>0</v>
      </c>
      <c r="CD68" s="52">
        <f t="shared" si="114"/>
        <v>0</v>
      </c>
      <c r="CE68" s="52">
        <f t="shared" si="114"/>
        <v>0</v>
      </c>
      <c r="CF68" s="52">
        <f t="shared" si="114"/>
        <v>0</v>
      </c>
      <c r="CG68" s="52">
        <f t="shared" si="114"/>
        <v>0</v>
      </c>
      <c r="CH68" s="52">
        <f t="shared" si="114"/>
        <v>0</v>
      </c>
      <c r="CI68" s="52">
        <f t="shared" si="114"/>
        <v>0</v>
      </c>
      <c r="CJ68" s="52">
        <f t="shared" si="114"/>
        <v>0</v>
      </c>
      <c r="CK68" s="52">
        <f t="shared" si="114"/>
        <v>0</v>
      </c>
      <c r="CL68" s="52">
        <f t="shared" si="114"/>
        <v>0</v>
      </c>
      <c r="CM68" s="52">
        <f t="shared" si="114"/>
        <v>0</v>
      </c>
      <c r="CN68" s="52">
        <f t="shared" si="114"/>
        <v>0</v>
      </c>
      <c r="CO68" s="52">
        <f t="shared" si="114"/>
        <v>0</v>
      </c>
      <c r="CP68" s="52">
        <f t="shared" si="114"/>
        <v>0</v>
      </c>
      <c r="CQ68" s="52">
        <f t="shared" si="121"/>
        <v>0</v>
      </c>
      <c r="CR68" s="52">
        <f t="shared" si="122"/>
        <v>0</v>
      </c>
      <c r="CS68" s="52">
        <f t="shared" si="123"/>
        <v>0</v>
      </c>
      <c r="CT68" s="52">
        <f t="shared" si="124"/>
        <v>0</v>
      </c>
      <c r="CU68" s="52">
        <f t="shared" si="125"/>
        <v>0</v>
      </c>
      <c r="CV68" s="52">
        <f t="shared" si="126"/>
        <v>0</v>
      </c>
      <c r="CW68" s="52">
        <f t="shared" si="127"/>
        <v>0</v>
      </c>
    </row>
    <row r="69" spans="1:101">
      <c r="A69" s="60">
        <v>44991</v>
      </c>
      <c r="B69" s="426">
        <v>53095.7</v>
      </c>
      <c r="C69">
        <v>53573.1</v>
      </c>
      <c r="D69">
        <v>53562.9</v>
      </c>
      <c r="E69">
        <v>53674.7</v>
      </c>
      <c r="F69">
        <v>53547.6</v>
      </c>
      <c r="G69">
        <v>53951.1</v>
      </c>
      <c r="H69">
        <v>54059</v>
      </c>
      <c r="I69">
        <v>53419.4</v>
      </c>
      <c r="J69">
        <v>54276.5</v>
      </c>
      <c r="K69">
        <v>54314.400000000001</v>
      </c>
      <c r="L69">
        <v>55174.2</v>
      </c>
      <c r="M69">
        <v>54646.7</v>
      </c>
      <c r="N69">
        <v>54636.4</v>
      </c>
      <c r="O69">
        <v>54791.8</v>
      </c>
      <c r="P69">
        <v>65055.9</v>
      </c>
      <c r="Q69">
        <v>66120.800000000003</v>
      </c>
      <c r="R69">
        <v>54224</v>
      </c>
      <c r="S69">
        <v>53946.2</v>
      </c>
      <c r="T69">
        <v>53969.599999999999</v>
      </c>
      <c r="U69">
        <v>53908.7</v>
      </c>
      <c r="V69">
        <v>53857.599999999999</v>
      </c>
      <c r="W69">
        <v>53791.8</v>
      </c>
      <c r="X69">
        <v>53202.9</v>
      </c>
      <c r="Y69">
        <v>54205</v>
      </c>
      <c r="Z69" s="77">
        <v>1319006</v>
      </c>
      <c r="AB69" s="52">
        <f t="shared" si="117"/>
        <v>0</v>
      </c>
      <c r="AC69" s="52">
        <f t="shared" si="56"/>
        <v>0</v>
      </c>
      <c r="AD69" s="52">
        <f t="shared" si="57"/>
        <v>0</v>
      </c>
      <c r="AE69" s="52">
        <f t="shared" si="58"/>
        <v>0</v>
      </c>
      <c r="AF69" s="52">
        <f t="shared" si="59"/>
        <v>0</v>
      </c>
      <c r="AG69" s="52">
        <f t="shared" si="60"/>
        <v>0</v>
      </c>
      <c r="AH69" s="52">
        <f t="shared" si="61"/>
        <v>0</v>
      </c>
      <c r="AI69" s="52">
        <f t="shared" si="62"/>
        <v>0</v>
      </c>
      <c r="AJ69" s="52">
        <f t="shared" si="63"/>
        <v>0</v>
      </c>
      <c r="AK69" s="52">
        <f t="shared" si="64"/>
        <v>0</v>
      </c>
      <c r="AL69" s="52">
        <f t="shared" si="65"/>
        <v>0</v>
      </c>
      <c r="AM69" s="52">
        <f t="shared" si="66"/>
        <v>0</v>
      </c>
      <c r="AN69" s="52">
        <f t="shared" si="67"/>
        <v>0</v>
      </c>
      <c r="AO69" s="52">
        <f t="shared" si="68"/>
        <v>0</v>
      </c>
      <c r="AP69" s="52">
        <f t="shared" si="69"/>
        <v>0</v>
      </c>
      <c r="AQ69" s="52">
        <f t="shared" si="70"/>
        <v>0</v>
      </c>
      <c r="AR69" s="52">
        <f t="shared" si="71"/>
        <v>0</v>
      </c>
      <c r="AS69" s="52">
        <f t="shared" si="72"/>
        <v>0</v>
      </c>
      <c r="AT69" s="52">
        <f t="shared" si="73"/>
        <v>0</v>
      </c>
      <c r="AU69" s="52">
        <f t="shared" si="74"/>
        <v>0</v>
      </c>
      <c r="AV69" s="52">
        <f t="shared" si="75"/>
        <v>0</v>
      </c>
      <c r="AW69" s="52">
        <f t="shared" si="76"/>
        <v>0</v>
      </c>
      <c r="AX69" s="52">
        <f t="shared" si="77"/>
        <v>0</v>
      </c>
      <c r="AY69" s="52">
        <f t="shared" si="118"/>
        <v>0</v>
      </c>
      <c r="BA69" s="52">
        <f t="shared" si="119"/>
        <v>7</v>
      </c>
      <c r="BB69" s="52">
        <f t="shared" si="79"/>
        <v>7</v>
      </c>
      <c r="BC69" s="52">
        <f t="shared" si="80"/>
        <v>7</v>
      </c>
      <c r="BD69" s="52">
        <f t="shared" si="81"/>
        <v>7</v>
      </c>
      <c r="BE69" s="52">
        <f t="shared" si="82"/>
        <v>7</v>
      </c>
      <c r="BF69" s="52">
        <f t="shared" si="83"/>
        <v>7</v>
      </c>
      <c r="BG69" s="52">
        <f t="shared" si="84"/>
        <v>7</v>
      </c>
      <c r="BH69" s="52">
        <f t="shared" si="85"/>
        <v>7</v>
      </c>
      <c r="BI69" s="52">
        <f t="shared" si="86"/>
        <v>7</v>
      </c>
      <c r="BJ69" s="52">
        <f t="shared" si="87"/>
        <v>7</v>
      </c>
      <c r="BK69" s="52">
        <f t="shared" si="88"/>
        <v>7</v>
      </c>
      <c r="BL69" s="52">
        <f t="shared" si="89"/>
        <v>7</v>
      </c>
      <c r="BM69" s="52">
        <f t="shared" si="90"/>
        <v>7</v>
      </c>
      <c r="BN69" s="52">
        <f t="shared" si="91"/>
        <v>7</v>
      </c>
      <c r="BO69" s="52">
        <f t="shared" si="92"/>
        <v>8</v>
      </c>
      <c r="BP69" s="52">
        <f t="shared" si="93"/>
        <v>8</v>
      </c>
      <c r="BQ69" s="52">
        <f t="shared" si="94"/>
        <v>7</v>
      </c>
      <c r="BR69" s="52">
        <f t="shared" si="95"/>
        <v>7</v>
      </c>
      <c r="BS69" s="52">
        <f t="shared" si="96"/>
        <v>7</v>
      </c>
      <c r="BT69" s="52">
        <f t="shared" si="97"/>
        <v>7</v>
      </c>
      <c r="BU69" s="52">
        <f t="shared" si="98"/>
        <v>7</v>
      </c>
      <c r="BV69" s="52">
        <f t="shared" si="99"/>
        <v>7</v>
      </c>
      <c r="BW69" s="52">
        <f t="shared" si="100"/>
        <v>7</v>
      </c>
      <c r="BX69" s="52">
        <f t="shared" si="101"/>
        <v>7</v>
      </c>
      <c r="BZ69">
        <f t="shared" si="120"/>
        <v>0</v>
      </c>
      <c r="CA69">
        <f t="shared" si="114"/>
        <v>0</v>
      </c>
      <c r="CB69">
        <f t="shared" si="114"/>
        <v>0</v>
      </c>
      <c r="CC69">
        <f t="shared" si="114"/>
        <v>0</v>
      </c>
      <c r="CD69">
        <f t="shared" si="114"/>
        <v>0</v>
      </c>
      <c r="CE69">
        <f t="shared" si="114"/>
        <v>0</v>
      </c>
      <c r="CF69">
        <f t="shared" si="114"/>
        <v>0</v>
      </c>
      <c r="CG69">
        <f t="shared" si="114"/>
        <v>0</v>
      </c>
      <c r="CH69">
        <f t="shared" si="114"/>
        <v>0</v>
      </c>
      <c r="CI69">
        <f t="shared" si="114"/>
        <v>0</v>
      </c>
      <c r="CJ69">
        <f t="shared" si="114"/>
        <v>0</v>
      </c>
      <c r="CK69">
        <f t="shared" si="114"/>
        <v>0</v>
      </c>
      <c r="CL69">
        <f t="shared" si="114"/>
        <v>0</v>
      </c>
      <c r="CM69">
        <f t="shared" si="114"/>
        <v>0</v>
      </c>
      <c r="CN69">
        <f>BO69-BN69</f>
        <v>1</v>
      </c>
      <c r="CO69">
        <f t="shared" si="114"/>
        <v>0</v>
      </c>
      <c r="CP69">
        <f t="shared" si="114"/>
        <v>-1</v>
      </c>
      <c r="CQ69">
        <f t="shared" si="121"/>
        <v>0</v>
      </c>
      <c r="CR69">
        <f t="shared" si="122"/>
        <v>0</v>
      </c>
      <c r="CS69">
        <f t="shared" si="123"/>
        <v>0</v>
      </c>
      <c r="CT69">
        <f t="shared" si="124"/>
        <v>0</v>
      </c>
      <c r="CU69">
        <f t="shared" si="125"/>
        <v>0</v>
      </c>
      <c r="CV69">
        <f t="shared" si="126"/>
        <v>0</v>
      </c>
      <c r="CW69">
        <f t="shared" si="127"/>
        <v>0</v>
      </c>
    </row>
    <row r="70" spans="1:101">
      <c r="A70" s="60">
        <v>44992</v>
      </c>
      <c r="B70" s="426">
        <v>54494.2</v>
      </c>
      <c r="C70">
        <v>54421.599999999999</v>
      </c>
      <c r="D70">
        <v>54474.9</v>
      </c>
      <c r="E70">
        <v>54398.1</v>
      </c>
      <c r="F70">
        <v>54542.7</v>
      </c>
      <c r="G70">
        <v>54176.1</v>
      </c>
      <c r="H70">
        <v>54006.400000000001</v>
      </c>
      <c r="I70">
        <v>53978.6</v>
      </c>
      <c r="J70">
        <v>54924.5</v>
      </c>
      <c r="K70">
        <v>54740.800000000003</v>
      </c>
      <c r="L70">
        <v>54684.6</v>
      </c>
      <c r="M70">
        <v>54619.7</v>
      </c>
      <c r="N70">
        <v>54697.1</v>
      </c>
      <c r="O70">
        <v>54632.800000000003</v>
      </c>
      <c r="P70">
        <v>54650.3</v>
      </c>
      <c r="Q70">
        <v>54579.1</v>
      </c>
      <c r="R70">
        <v>54579.199999999997</v>
      </c>
      <c r="S70">
        <v>54690.5</v>
      </c>
      <c r="T70">
        <v>54647.3</v>
      </c>
      <c r="U70">
        <v>54707.4</v>
      </c>
      <c r="V70">
        <v>54454</v>
      </c>
      <c r="W70">
        <v>54435.6</v>
      </c>
      <c r="X70">
        <v>59334</v>
      </c>
      <c r="Y70">
        <v>52244.9</v>
      </c>
      <c r="Z70" s="77">
        <v>1311114.3999999999</v>
      </c>
      <c r="AB70">
        <f t="shared" si="117"/>
        <v>0</v>
      </c>
      <c r="AC70">
        <f t="shared" si="56"/>
        <v>0</v>
      </c>
      <c r="AD70">
        <f t="shared" si="57"/>
        <v>0</v>
      </c>
      <c r="AE70">
        <f t="shared" si="58"/>
        <v>0</v>
      </c>
      <c r="AF70">
        <f t="shared" si="59"/>
        <v>0</v>
      </c>
      <c r="AG70">
        <f t="shared" si="60"/>
        <v>0</v>
      </c>
      <c r="AH70">
        <f t="shared" si="61"/>
        <v>0</v>
      </c>
      <c r="AI70">
        <f t="shared" si="62"/>
        <v>0</v>
      </c>
      <c r="AJ70">
        <f t="shared" si="63"/>
        <v>0</v>
      </c>
      <c r="AK70">
        <f t="shared" si="64"/>
        <v>0</v>
      </c>
      <c r="AL70">
        <f t="shared" si="65"/>
        <v>0</v>
      </c>
      <c r="AM70">
        <f t="shared" si="66"/>
        <v>0</v>
      </c>
      <c r="AN70">
        <f t="shared" si="67"/>
        <v>0</v>
      </c>
      <c r="AO70">
        <f t="shared" si="68"/>
        <v>0</v>
      </c>
      <c r="AP70">
        <f t="shared" si="69"/>
        <v>0</v>
      </c>
      <c r="AQ70">
        <f t="shared" si="70"/>
        <v>0</v>
      </c>
      <c r="AR70">
        <f t="shared" si="71"/>
        <v>0</v>
      </c>
      <c r="AS70">
        <f t="shared" si="72"/>
        <v>0</v>
      </c>
      <c r="AT70">
        <f t="shared" si="73"/>
        <v>0</v>
      </c>
      <c r="AU70">
        <f t="shared" si="74"/>
        <v>0</v>
      </c>
      <c r="AV70">
        <f t="shared" si="75"/>
        <v>0</v>
      </c>
      <c r="AW70">
        <f t="shared" si="76"/>
        <v>0</v>
      </c>
      <c r="AX70">
        <f t="shared" si="77"/>
        <v>0</v>
      </c>
      <c r="AY70">
        <f t="shared" si="118"/>
        <v>0</v>
      </c>
      <c r="BA70">
        <f t="shared" si="119"/>
        <v>7</v>
      </c>
      <c r="BB70">
        <f t="shared" si="79"/>
        <v>7</v>
      </c>
      <c r="BC70">
        <f t="shared" si="80"/>
        <v>7</v>
      </c>
      <c r="BD70">
        <f t="shared" si="81"/>
        <v>7</v>
      </c>
      <c r="BE70">
        <f t="shared" si="82"/>
        <v>7</v>
      </c>
      <c r="BF70">
        <f t="shared" si="83"/>
        <v>7</v>
      </c>
      <c r="BG70">
        <f t="shared" si="84"/>
        <v>7</v>
      </c>
      <c r="BH70">
        <f t="shared" si="85"/>
        <v>7</v>
      </c>
      <c r="BI70">
        <f t="shared" si="86"/>
        <v>7</v>
      </c>
      <c r="BJ70">
        <f t="shared" si="87"/>
        <v>7</v>
      </c>
      <c r="BK70">
        <f t="shared" si="88"/>
        <v>7</v>
      </c>
      <c r="BL70">
        <f t="shared" si="89"/>
        <v>7</v>
      </c>
      <c r="BM70">
        <f t="shared" si="90"/>
        <v>7</v>
      </c>
      <c r="BN70">
        <f t="shared" si="91"/>
        <v>7</v>
      </c>
      <c r="BO70">
        <f t="shared" si="92"/>
        <v>7</v>
      </c>
      <c r="BP70">
        <f t="shared" si="93"/>
        <v>7</v>
      </c>
      <c r="BQ70">
        <f t="shared" si="94"/>
        <v>7</v>
      </c>
      <c r="BR70">
        <f t="shared" si="95"/>
        <v>7</v>
      </c>
      <c r="BS70">
        <f t="shared" si="96"/>
        <v>7</v>
      </c>
      <c r="BT70">
        <f t="shared" si="97"/>
        <v>7</v>
      </c>
      <c r="BU70">
        <f t="shared" si="98"/>
        <v>7</v>
      </c>
      <c r="BV70">
        <f t="shared" si="99"/>
        <v>7</v>
      </c>
      <c r="BW70">
        <f t="shared" si="100"/>
        <v>7</v>
      </c>
      <c r="BX70">
        <f t="shared" si="101"/>
        <v>6</v>
      </c>
      <c r="BZ70" s="52">
        <f t="shared" si="120"/>
        <v>0</v>
      </c>
      <c r="CA70" s="52">
        <f t="shared" si="114"/>
        <v>0</v>
      </c>
      <c r="CB70" s="52">
        <f t="shared" si="114"/>
        <v>0</v>
      </c>
      <c r="CC70" s="52">
        <f t="shared" si="114"/>
        <v>0</v>
      </c>
      <c r="CD70" s="52">
        <f t="shared" si="114"/>
        <v>0</v>
      </c>
      <c r="CE70" s="52">
        <f t="shared" si="114"/>
        <v>0</v>
      </c>
      <c r="CF70" s="52">
        <f t="shared" si="114"/>
        <v>0</v>
      </c>
      <c r="CG70" s="52">
        <f t="shared" si="114"/>
        <v>0</v>
      </c>
      <c r="CH70" s="52">
        <f t="shared" si="114"/>
        <v>0</v>
      </c>
      <c r="CI70" s="52">
        <f t="shared" si="114"/>
        <v>0</v>
      </c>
      <c r="CJ70" s="52">
        <f t="shared" si="114"/>
        <v>0</v>
      </c>
      <c r="CK70" s="52">
        <f t="shared" si="114"/>
        <v>0</v>
      </c>
      <c r="CL70" s="52">
        <f t="shared" si="114"/>
        <v>0</v>
      </c>
      <c r="CM70" s="52">
        <f t="shared" si="114"/>
        <v>0</v>
      </c>
      <c r="CN70" s="52">
        <f>BO70-BN70</f>
        <v>0</v>
      </c>
      <c r="CO70" s="52">
        <f t="shared" si="114"/>
        <v>0</v>
      </c>
      <c r="CP70" s="52">
        <f t="shared" si="114"/>
        <v>0</v>
      </c>
      <c r="CQ70" s="52">
        <f t="shared" si="121"/>
        <v>0</v>
      </c>
      <c r="CR70" s="52">
        <f t="shared" si="122"/>
        <v>0</v>
      </c>
      <c r="CS70" s="52">
        <f t="shared" si="123"/>
        <v>0</v>
      </c>
      <c r="CT70" s="52">
        <f t="shared" si="124"/>
        <v>0</v>
      </c>
      <c r="CU70" s="52">
        <f t="shared" si="125"/>
        <v>0</v>
      </c>
      <c r="CV70" s="52">
        <f t="shared" si="126"/>
        <v>0</v>
      </c>
      <c r="CW70" s="52">
        <f t="shared" si="127"/>
        <v>-1</v>
      </c>
    </row>
    <row r="71" spans="1:101">
      <c r="A71" s="60">
        <v>44993</v>
      </c>
      <c r="B71" s="426">
        <v>53562.3</v>
      </c>
      <c r="C71">
        <v>52613</v>
      </c>
      <c r="D71">
        <v>52363.1</v>
      </c>
      <c r="E71">
        <v>52566.3</v>
      </c>
      <c r="F71">
        <v>52511.7</v>
      </c>
      <c r="G71">
        <v>52417.1</v>
      </c>
      <c r="H71">
        <v>52924.800000000003</v>
      </c>
      <c r="I71">
        <v>53101</v>
      </c>
      <c r="J71">
        <v>53060.800000000003</v>
      </c>
      <c r="K71">
        <v>54726.5</v>
      </c>
      <c r="L71">
        <v>54863.7</v>
      </c>
      <c r="M71">
        <v>54098</v>
      </c>
      <c r="N71">
        <v>54455.9</v>
      </c>
      <c r="O71">
        <v>54459.199999999997</v>
      </c>
      <c r="P71">
        <v>54485.1</v>
      </c>
      <c r="Q71">
        <v>54444</v>
      </c>
      <c r="R71">
        <v>54366.8</v>
      </c>
      <c r="S71">
        <v>54177.7</v>
      </c>
      <c r="T71">
        <v>54537.8</v>
      </c>
      <c r="U71">
        <v>54379.3</v>
      </c>
      <c r="V71">
        <v>63216.7</v>
      </c>
      <c r="W71">
        <v>54541</v>
      </c>
      <c r="X71">
        <v>54035</v>
      </c>
      <c r="Y71">
        <v>53662.8</v>
      </c>
      <c r="Z71" s="77">
        <v>1299569.5999999999</v>
      </c>
      <c r="AB71" s="52">
        <f t="shared" si="117"/>
        <v>0</v>
      </c>
      <c r="AC71" s="52">
        <f t="shared" si="56"/>
        <v>0</v>
      </c>
      <c r="AD71" s="52">
        <f t="shared" si="57"/>
        <v>0</v>
      </c>
      <c r="AE71" s="52">
        <f t="shared" si="58"/>
        <v>0</v>
      </c>
      <c r="AF71" s="52">
        <f t="shared" si="59"/>
        <v>0</v>
      </c>
      <c r="AG71" s="52">
        <f t="shared" si="60"/>
        <v>0</v>
      </c>
      <c r="AH71" s="52">
        <f t="shared" si="61"/>
        <v>0</v>
      </c>
      <c r="AI71" s="52">
        <f t="shared" si="62"/>
        <v>0</v>
      </c>
      <c r="AJ71" s="52">
        <f t="shared" si="63"/>
        <v>0</v>
      </c>
      <c r="AK71" s="52">
        <f t="shared" si="64"/>
        <v>0</v>
      </c>
      <c r="AL71" s="52">
        <f t="shared" si="65"/>
        <v>0</v>
      </c>
      <c r="AM71" s="52">
        <f t="shared" si="66"/>
        <v>0</v>
      </c>
      <c r="AN71" s="52">
        <f t="shared" si="67"/>
        <v>0</v>
      </c>
      <c r="AO71" s="52">
        <f t="shared" si="68"/>
        <v>0</v>
      </c>
      <c r="AP71" s="52">
        <f t="shared" si="69"/>
        <v>0</v>
      </c>
      <c r="AQ71" s="52">
        <f t="shared" si="70"/>
        <v>0</v>
      </c>
      <c r="AR71" s="52">
        <f t="shared" si="71"/>
        <v>0</v>
      </c>
      <c r="AS71" s="52">
        <f t="shared" si="72"/>
        <v>0</v>
      </c>
      <c r="AT71" s="52">
        <f t="shared" si="73"/>
        <v>0</v>
      </c>
      <c r="AU71" s="52">
        <f t="shared" si="74"/>
        <v>0</v>
      </c>
      <c r="AV71" s="52">
        <f t="shared" si="75"/>
        <v>0</v>
      </c>
      <c r="AW71" s="52">
        <f t="shared" si="76"/>
        <v>0</v>
      </c>
      <c r="AX71" s="52">
        <f t="shared" si="77"/>
        <v>0</v>
      </c>
      <c r="AY71" s="52">
        <f t="shared" si="118"/>
        <v>0</v>
      </c>
      <c r="BA71" s="52">
        <f t="shared" si="119"/>
        <v>7</v>
      </c>
      <c r="BB71" s="52">
        <f t="shared" si="79"/>
        <v>6</v>
      </c>
      <c r="BC71" s="52">
        <f t="shared" si="80"/>
        <v>6</v>
      </c>
      <c r="BD71" s="52">
        <f t="shared" si="81"/>
        <v>6</v>
      </c>
      <c r="BE71" s="52">
        <f t="shared" si="82"/>
        <v>6</v>
      </c>
      <c r="BF71" s="52">
        <f t="shared" si="83"/>
        <v>6</v>
      </c>
      <c r="BG71" s="52">
        <f t="shared" si="84"/>
        <v>7</v>
      </c>
      <c r="BH71" s="52">
        <f t="shared" si="85"/>
        <v>7</v>
      </c>
      <c r="BI71" s="52">
        <f t="shared" si="86"/>
        <v>7</v>
      </c>
      <c r="BJ71" s="52">
        <f t="shared" si="87"/>
        <v>7</v>
      </c>
      <c r="BK71" s="52">
        <f t="shared" si="88"/>
        <v>7</v>
      </c>
      <c r="BL71" s="52">
        <f t="shared" si="89"/>
        <v>7</v>
      </c>
      <c r="BM71" s="52">
        <f t="shared" si="90"/>
        <v>7</v>
      </c>
      <c r="BN71" s="52">
        <f t="shared" si="91"/>
        <v>7</v>
      </c>
      <c r="BO71" s="52">
        <f t="shared" si="92"/>
        <v>7</v>
      </c>
      <c r="BP71" s="52">
        <f t="shared" si="93"/>
        <v>7</v>
      </c>
      <c r="BQ71" s="52">
        <f t="shared" si="94"/>
        <v>7</v>
      </c>
      <c r="BR71" s="52">
        <f t="shared" si="95"/>
        <v>7</v>
      </c>
      <c r="BS71" s="52">
        <f t="shared" si="96"/>
        <v>7</v>
      </c>
      <c r="BT71" s="52">
        <f t="shared" si="97"/>
        <v>7</v>
      </c>
      <c r="BU71" s="52">
        <f t="shared" si="98"/>
        <v>8</v>
      </c>
      <c r="BV71" s="52">
        <f t="shared" si="99"/>
        <v>7</v>
      </c>
      <c r="BW71" s="52">
        <f t="shared" si="100"/>
        <v>7</v>
      </c>
      <c r="BX71" s="52">
        <f t="shared" si="101"/>
        <v>7</v>
      </c>
      <c r="BZ71">
        <f t="shared" si="120"/>
        <v>1</v>
      </c>
      <c r="CA71">
        <f t="shared" ref="CA71:CM73" si="128">BB71-BA71</f>
        <v>-1</v>
      </c>
      <c r="CB71">
        <f t="shared" si="128"/>
        <v>0</v>
      </c>
      <c r="CC71">
        <f t="shared" si="128"/>
        <v>0</v>
      </c>
      <c r="CD71">
        <f t="shared" si="128"/>
        <v>0</v>
      </c>
      <c r="CE71">
        <f t="shared" si="128"/>
        <v>0</v>
      </c>
      <c r="CF71">
        <f t="shared" si="128"/>
        <v>1</v>
      </c>
      <c r="CG71">
        <f t="shared" si="128"/>
        <v>0</v>
      </c>
      <c r="CH71">
        <f t="shared" si="128"/>
        <v>0</v>
      </c>
      <c r="CI71">
        <f t="shared" si="128"/>
        <v>0</v>
      </c>
      <c r="CJ71">
        <f t="shared" si="128"/>
        <v>0</v>
      </c>
      <c r="CK71">
        <f t="shared" si="128"/>
        <v>0</v>
      </c>
      <c r="CL71">
        <f t="shared" si="128"/>
        <v>0</v>
      </c>
      <c r="CM71">
        <f t="shared" si="128"/>
        <v>0</v>
      </c>
      <c r="CN71">
        <f>BO71-BN71</f>
        <v>0</v>
      </c>
      <c r="CO71">
        <f t="shared" si="114"/>
        <v>0</v>
      </c>
      <c r="CP71">
        <f t="shared" si="114"/>
        <v>0</v>
      </c>
      <c r="CQ71">
        <f t="shared" si="121"/>
        <v>0</v>
      </c>
      <c r="CR71">
        <f t="shared" si="122"/>
        <v>0</v>
      </c>
      <c r="CS71">
        <f t="shared" si="123"/>
        <v>0</v>
      </c>
      <c r="CT71">
        <f t="shared" si="124"/>
        <v>1</v>
      </c>
      <c r="CU71">
        <f t="shared" si="125"/>
        <v>-1</v>
      </c>
      <c r="CV71">
        <f t="shared" si="126"/>
        <v>0</v>
      </c>
      <c r="CW71">
        <f t="shared" si="127"/>
        <v>0</v>
      </c>
    </row>
    <row r="72" spans="1:101">
      <c r="A72" s="60">
        <v>44994</v>
      </c>
      <c r="B72" s="426">
        <v>53679.3</v>
      </c>
      <c r="C72">
        <v>54348.2</v>
      </c>
      <c r="D72">
        <v>54515.1</v>
      </c>
      <c r="E72">
        <v>54445.2</v>
      </c>
      <c r="F72">
        <v>54767.5</v>
      </c>
      <c r="G72">
        <v>53810.8</v>
      </c>
      <c r="H72">
        <v>54018</v>
      </c>
      <c r="I72">
        <v>54123.1</v>
      </c>
      <c r="J72">
        <v>54127.4</v>
      </c>
      <c r="K72">
        <v>55148.6</v>
      </c>
      <c r="L72">
        <v>54763.3</v>
      </c>
      <c r="M72">
        <v>54761.5</v>
      </c>
      <c r="N72">
        <v>54392.7</v>
      </c>
      <c r="O72">
        <v>54581.8</v>
      </c>
      <c r="P72">
        <v>54534.3</v>
      </c>
      <c r="Q72">
        <v>54510.400000000001</v>
      </c>
      <c r="R72">
        <v>54396.1</v>
      </c>
      <c r="S72">
        <v>54575.1</v>
      </c>
      <c r="T72">
        <v>54591.7</v>
      </c>
      <c r="U72">
        <v>54436</v>
      </c>
      <c r="V72">
        <v>59771.6</v>
      </c>
      <c r="W72">
        <v>53861</v>
      </c>
      <c r="X72">
        <v>53961.8</v>
      </c>
      <c r="Y72">
        <v>54079.199999999997</v>
      </c>
      <c r="Z72" s="77">
        <v>1310199.7000000002</v>
      </c>
      <c r="AB72">
        <f t="shared" si="117"/>
        <v>0</v>
      </c>
      <c r="AC72">
        <f t="shared" si="56"/>
        <v>0</v>
      </c>
      <c r="AD72">
        <f t="shared" si="57"/>
        <v>0</v>
      </c>
      <c r="AE72">
        <f t="shared" si="58"/>
        <v>0</v>
      </c>
      <c r="AF72">
        <f t="shared" si="59"/>
        <v>0</v>
      </c>
      <c r="AG72">
        <f t="shared" si="60"/>
        <v>0</v>
      </c>
      <c r="AH72">
        <f t="shared" si="61"/>
        <v>0</v>
      </c>
      <c r="AI72">
        <f t="shared" si="62"/>
        <v>0</v>
      </c>
      <c r="AJ72">
        <f t="shared" si="63"/>
        <v>0</v>
      </c>
      <c r="AK72">
        <f t="shared" si="64"/>
        <v>0</v>
      </c>
      <c r="AL72">
        <f t="shared" si="65"/>
        <v>0</v>
      </c>
      <c r="AM72">
        <f t="shared" si="66"/>
        <v>0</v>
      </c>
      <c r="AN72">
        <f t="shared" si="67"/>
        <v>0</v>
      </c>
      <c r="AO72">
        <f t="shared" si="68"/>
        <v>0</v>
      </c>
      <c r="AP72">
        <f t="shared" si="69"/>
        <v>0</v>
      </c>
      <c r="AQ72">
        <f t="shared" si="70"/>
        <v>0</v>
      </c>
      <c r="AR72">
        <f t="shared" si="71"/>
        <v>0</v>
      </c>
      <c r="AS72">
        <f t="shared" si="72"/>
        <v>0</v>
      </c>
      <c r="AT72">
        <f t="shared" si="73"/>
        <v>0</v>
      </c>
      <c r="AU72">
        <f t="shared" si="74"/>
        <v>0</v>
      </c>
      <c r="AV72">
        <f t="shared" si="75"/>
        <v>0</v>
      </c>
      <c r="AW72">
        <f t="shared" si="76"/>
        <v>0</v>
      </c>
      <c r="AX72">
        <f t="shared" si="77"/>
        <v>0</v>
      </c>
      <c r="AY72">
        <f t="shared" si="118"/>
        <v>0</v>
      </c>
      <c r="BA72">
        <f t="shared" si="119"/>
        <v>7</v>
      </c>
      <c r="BB72">
        <f t="shared" si="79"/>
        <v>7</v>
      </c>
      <c r="BC72">
        <f t="shared" si="80"/>
        <v>7</v>
      </c>
      <c r="BD72">
        <f t="shared" si="81"/>
        <v>7</v>
      </c>
      <c r="BE72">
        <f t="shared" si="82"/>
        <v>7</v>
      </c>
      <c r="BF72">
        <f t="shared" si="83"/>
        <v>7</v>
      </c>
      <c r="BG72">
        <f t="shared" si="84"/>
        <v>7</v>
      </c>
      <c r="BH72">
        <f t="shared" si="85"/>
        <v>7</v>
      </c>
      <c r="BI72">
        <f t="shared" si="86"/>
        <v>7</v>
      </c>
      <c r="BJ72">
        <f t="shared" si="87"/>
        <v>7</v>
      </c>
      <c r="BK72">
        <f t="shared" si="88"/>
        <v>7</v>
      </c>
      <c r="BL72">
        <f t="shared" si="89"/>
        <v>7</v>
      </c>
      <c r="BM72">
        <f t="shared" si="90"/>
        <v>7</v>
      </c>
      <c r="BN72">
        <f t="shared" si="91"/>
        <v>7</v>
      </c>
      <c r="BO72">
        <f t="shared" si="92"/>
        <v>7</v>
      </c>
      <c r="BP72">
        <f t="shared" si="93"/>
        <v>7</v>
      </c>
      <c r="BQ72">
        <f t="shared" si="94"/>
        <v>7</v>
      </c>
      <c r="BR72">
        <f t="shared" si="95"/>
        <v>7</v>
      </c>
      <c r="BS72">
        <f t="shared" si="96"/>
        <v>7</v>
      </c>
      <c r="BT72">
        <f t="shared" si="97"/>
        <v>7</v>
      </c>
      <c r="BU72">
        <f t="shared" si="98"/>
        <v>7</v>
      </c>
      <c r="BV72">
        <f t="shared" si="99"/>
        <v>7</v>
      </c>
      <c r="BW72">
        <f t="shared" si="100"/>
        <v>7</v>
      </c>
      <c r="BX72">
        <f t="shared" si="101"/>
        <v>7</v>
      </c>
      <c r="BZ72" s="52">
        <f t="shared" ref="BZ72:BZ135" si="129">+BA72-BX71</f>
        <v>0</v>
      </c>
      <c r="CA72" s="52">
        <f t="shared" si="128"/>
        <v>0</v>
      </c>
      <c r="CB72" s="52">
        <f t="shared" si="128"/>
        <v>0</v>
      </c>
      <c r="CC72" s="52">
        <f t="shared" si="128"/>
        <v>0</v>
      </c>
      <c r="CD72" s="52">
        <f t="shared" si="128"/>
        <v>0</v>
      </c>
      <c r="CE72" s="52">
        <f t="shared" si="128"/>
        <v>0</v>
      </c>
      <c r="CF72" s="52">
        <f t="shared" si="128"/>
        <v>0</v>
      </c>
      <c r="CG72" s="52">
        <f t="shared" si="128"/>
        <v>0</v>
      </c>
      <c r="CH72" s="52">
        <f t="shared" si="128"/>
        <v>0</v>
      </c>
      <c r="CI72" s="52">
        <f t="shared" si="128"/>
        <v>0</v>
      </c>
      <c r="CJ72" s="52">
        <f t="shared" si="128"/>
        <v>0</v>
      </c>
      <c r="CK72" s="52">
        <f t="shared" si="128"/>
        <v>0</v>
      </c>
      <c r="CL72" s="52">
        <f t="shared" si="128"/>
        <v>0</v>
      </c>
      <c r="CM72" s="52">
        <f t="shared" si="128"/>
        <v>0</v>
      </c>
      <c r="CN72" s="52">
        <f>BO72-BN72</f>
        <v>0</v>
      </c>
      <c r="CO72" s="52">
        <f>BP72-BO72</f>
        <v>0</v>
      </c>
      <c r="CP72" s="52">
        <f>BQ72-BP72</f>
        <v>0</v>
      </c>
      <c r="CQ72" s="52">
        <f t="shared" ref="CQ72:CQ135" si="130">BR72-BQ72</f>
        <v>0</v>
      </c>
      <c r="CR72" s="52">
        <f t="shared" ref="CR72:CR135" si="131">BS72-BR72</f>
        <v>0</v>
      </c>
      <c r="CS72" s="52">
        <f t="shared" ref="CS72:CS135" si="132">BT72-BS72</f>
        <v>0</v>
      </c>
      <c r="CT72" s="52">
        <f t="shared" ref="CT72:CT135" si="133">BU72-BT72</f>
        <v>0</v>
      </c>
      <c r="CU72" s="52">
        <f t="shared" ref="CU72:CU135" si="134">BV72-BU72</f>
        <v>0</v>
      </c>
      <c r="CV72" s="52">
        <f t="shared" ref="CV72:CV135" si="135">BW72-BV72</f>
        <v>0</v>
      </c>
      <c r="CW72" s="52">
        <f t="shared" ref="CW72:CW135" si="136">BX72-BW72</f>
        <v>0</v>
      </c>
    </row>
    <row r="73" spans="1:101">
      <c r="A73" s="60">
        <v>44995</v>
      </c>
      <c r="B73" s="426">
        <v>52980</v>
      </c>
      <c r="C73">
        <v>53762.3</v>
      </c>
      <c r="D73">
        <v>53760.800000000003</v>
      </c>
      <c r="E73">
        <v>53673</v>
      </c>
      <c r="F73">
        <v>53628</v>
      </c>
      <c r="G73">
        <v>52998.5</v>
      </c>
      <c r="H73">
        <v>53444.1</v>
      </c>
      <c r="I73">
        <v>53581.2</v>
      </c>
      <c r="J73">
        <v>53482.6</v>
      </c>
      <c r="K73">
        <v>54510.2</v>
      </c>
      <c r="L73">
        <v>54499.4</v>
      </c>
      <c r="M73">
        <v>54510.400000000001</v>
      </c>
      <c r="N73">
        <v>54455.7</v>
      </c>
      <c r="O73">
        <v>54517.7</v>
      </c>
      <c r="P73">
        <v>54433.8</v>
      </c>
      <c r="Q73">
        <v>54385.8</v>
      </c>
      <c r="R73">
        <v>54366.7</v>
      </c>
      <c r="S73">
        <v>54505.8</v>
      </c>
      <c r="T73">
        <v>54526.8</v>
      </c>
      <c r="U73">
        <v>54345.7</v>
      </c>
      <c r="V73">
        <v>54381.2</v>
      </c>
      <c r="W73">
        <v>54395.1</v>
      </c>
      <c r="X73">
        <v>54676.5</v>
      </c>
      <c r="Y73">
        <v>53190.7</v>
      </c>
      <c r="Z73" s="77">
        <v>1297012</v>
      </c>
      <c r="AB73" s="52">
        <f t="shared" si="117"/>
        <v>0</v>
      </c>
      <c r="AC73" s="52">
        <f t="shared" si="56"/>
        <v>0</v>
      </c>
      <c r="AD73" s="52">
        <f t="shared" si="57"/>
        <v>0</v>
      </c>
      <c r="AE73" s="52">
        <f t="shared" si="58"/>
        <v>0</v>
      </c>
      <c r="AF73" s="52">
        <f t="shared" si="59"/>
        <v>0</v>
      </c>
      <c r="AG73" s="52">
        <f t="shared" si="60"/>
        <v>0</v>
      </c>
      <c r="AH73" s="52">
        <f t="shared" si="61"/>
        <v>0</v>
      </c>
      <c r="AI73" s="52">
        <f t="shared" si="62"/>
        <v>0</v>
      </c>
      <c r="AJ73" s="52">
        <f t="shared" si="63"/>
        <v>0</v>
      </c>
      <c r="AK73" s="52">
        <f t="shared" si="64"/>
        <v>0</v>
      </c>
      <c r="AL73" s="52">
        <f t="shared" si="65"/>
        <v>0</v>
      </c>
      <c r="AM73" s="52">
        <f t="shared" si="66"/>
        <v>0</v>
      </c>
      <c r="AN73" s="52">
        <f t="shared" si="67"/>
        <v>0</v>
      </c>
      <c r="AO73" s="52">
        <f t="shared" si="68"/>
        <v>0</v>
      </c>
      <c r="AP73" s="52">
        <f t="shared" si="69"/>
        <v>0</v>
      </c>
      <c r="AQ73" s="52">
        <f t="shared" si="70"/>
        <v>0</v>
      </c>
      <c r="AR73" s="52">
        <f t="shared" si="71"/>
        <v>0</v>
      </c>
      <c r="AS73" s="52">
        <f t="shared" si="72"/>
        <v>0</v>
      </c>
      <c r="AT73" s="52">
        <f t="shared" si="73"/>
        <v>0</v>
      </c>
      <c r="AU73" s="52">
        <f t="shared" si="74"/>
        <v>0</v>
      </c>
      <c r="AV73" s="52">
        <f t="shared" si="75"/>
        <v>0</v>
      </c>
      <c r="AW73" s="52">
        <f t="shared" si="76"/>
        <v>0</v>
      </c>
      <c r="AX73" s="52">
        <f t="shared" si="77"/>
        <v>0</v>
      </c>
      <c r="AY73" s="52">
        <f t="shared" si="118"/>
        <v>0</v>
      </c>
      <c r="BA73" s="52">
        <f t="shared" si="119"/>
        <v>7</v>
      </c>
      <c r="BB73" s="52">
        <f t="shared" si="79"/>
        <v>7</v>
      </c>
      <c r="BC73" s="52">
        <f t="shared" si="80"/>
        <v>7</v>
      </c>
      <c r="BD73" s="52">
        <f t="shared" si="81"/>
        <v>7</v>
      </c>
      <c r="BE73" s="52">
        <f t="shared" si="82"/>
        <v>7</v>
      </c>
      <c r="BF73" s="52">
        <f t="shared" si="83"/>
        <v>7</v>
      </c>
      <c r="BG73" s="52">
        <f t="shared" si="84"/>
        <v>7</v>
      </c>
      <c r="BH73" s="52">
        <f t="shared" si="85"/>
        <v>7</v>
      </c>
      <c r="BI73" s="52">
        <f t="shared" si="86"/>
        <v>7</v>
      </c>
      <c r="BJ73" s="52">
        <f t="shared" si="87"/>
        <v>7</v>
      </c>
      <c r="BK73" s="52">
        <f t="shared" si="88"/>
        <v>7</v>
      </c>
      <c r="BL73" s="52">
        <f t="shared" si="89"/>
        <v>7</v>
      </c>
      <c r="BM73" s="52">
        <f t="shared" si="90"/>
        <v>7</v>
      </c>
      <c r="BN73" s="52">
        <f t="shared" si="91"/>
        <v>7</v>
      </c>
      <c r="BO73" s="52">
        <f t="shared" si="92"/>
        <v>7</v>
      </c>
      <c r="BP73" s="52">
        <f t="shared" si="93"/>
        <v>7</v>
      </c>
      <c r="BQ73" s="52">
        <f t="shared" si="94"/>
        <v>7</v>
      </c>
      <c r="BR73" s="52">
        <f t="shared" si="95"/>
        <v>7</v>
      </c>
      <c r="BS73" s="52">
        <f t="shared" si="96"/>
        <v>7</v>
      </c>
      <c r="BT73" s="52">
        <f t="shared" si="97"/>
        <v>7</v>
      </c>
      <c r="BU73" s="52">
        <f t="shared" si="98"/>
        <v>7</v>
      </c>
      <c r="BV73" s="52">
        <f t="shared" si="99"/>
        <v>7</v>
      </c>
      <c r="BW73" s="52">
        <f t="shared" si="100"/>
        <v>7</v>
      </c>
      <c r="BX73" s="52">
        <f t="shared" si="101"/>
        <v>7</v>
      </c>
      <c r="BZ73">
        <f t="shared" si="129"/>
        <v>0</v>
      </c>
      <c r="CA73">
        <f t="shared" si="128"/>
        <v>0</v>
      </c>
      <c r="CB73">
        <f t="shared" si="128"/>
        <v>0</v>
      </c>
      <c r="CC73">
        <f t="shared" si="128"/>
        <v>0</v>
      </c>
      <c r="CD73">
        <f t="shared" si="128"/>
        <v>0</v>
      </c>
      <c r="CE73">
        <f t="shared" si="128"/>
        <v>0</v>
      </c>
      <c r="CF73">
        <f t="shared" si="128"/>
        <v>0</v>
      </c>
      <c r="CG73">
        <f t="shared" si="128"/>
        <v>0</v>
      </c>
      <c r="CH73">
        <f t="shared" si="128"/>
        <v>0</v>
      </c>
      <c r="CI73">
        <f t="shared" si="128"/>
        <v>0</v>
      </c>
      <c r="CJ73">
        <f t="shared" si="128"/>
        <v>0</v>
      </c>
      <c r="CK73">
        <f t="shared" si="128"/>
        <v>0</v>
      </c>
      <c r="CL73">
        <f t="shared" si="128"/>
        <v>0</v>
      </c>
      <c r="CM73">
        <f t="shared" si="128"/>
        <v>0</v>
      </c>
      <c r="CN73">
        <f>BO73-BN73</f>
        <v>0</v>
      </c>
      <c r="CO73">
        <f>BP73-BO73</f>
        <v>0</v>
      </c>
      <c r="CP73">
        <f>BQ73-BP73</f>
        <v>0</v>
      </c>
      <c r="CQ73">
        <f t="shared" si="130"/>
        <v>0</v>
      </c>
      <c r="CR73">
        <f t="shared" si="131"/>
        <v>0</v>
      </c>
      <c r="CS73">
        <f t="shared" si="132"/>
        <v>0</v>
      </c>
      <c r="CT73">
        <f t="shared" si="133"/>
        <v>0</v>
      </c>
      <c r="CU73">
        <f t="shared" si="134"/>
        <v>0</v>
      </c>
      <c r="CV73">
        <f t="shared" si="135"/>
        <v>0</v>
      </c>
      <c r="CW73">
        <f t="shared" si="136"/>
        <v>0</v>
      </c>
    </row>
    <row r="74" spans="1:101">
      <c r="A74" s="60">
        <v>44996</v>
      </c>
      <c r="B74" s="426">
        <v>53744.2</v>
      </c>
      <c r="C74">
        <v>54322.3</v>
      </c>
      <c r="D74">
        <v>54225.599999999999</v>
      </c>
      <c r="E74">
        <v>54163.199999999997</v>
      </c>
      <c r="F74">
        <v>54057.2</v>
      </c>
      <c r="G74">
        <v>54296.6</v>
      </c>
      <c r="H74">
        <v>53056.6</v>
      </c>
      <c r="I74">
        <v>50787.7</v>
      </c>
      <c r="J74">
        <v>51583.4</v>
      </c>
      <c r="K74">
        <v>52378.8</v>
      </c>
      <c r="L74">
        <v>53298.8</v>
      </c>
      <c r="M74">
        <v>53279.199999999997</v>
      </c>
      <c r="N74">
        <v>53431.3</v>
      </c>
      <c r="O74">
        <v>53420.1</v>
      </c>
      <c r="P74">
        <v>53481.3</v>
      </c>
      <c r="Q74">
        <v>53397.2</v>
      </c>
      <c r="R74">
        <v>53559.5</v>
      </c>
      <c r="S74">
        <v>53394.3</v>
      </c>
      <c r="T74">
        <v>53620.7</v>
      </c>
      <c r="U74">
        <v>53407.8</v>
      </c>
      <c r="V74">
        <v>53389.5</v>
      </c>
      <c r="W74">
        <v>53634.1</v>
      </c>
      <c r="X74">
        <v>53816.6</v>
      </c>
      <c r="Y74">
        <v>53380.7</v>
      </c>
      <c r="Z74" s="77">
        <v>1281126.7000000002</v>
      </c>
      <c r="AB74">
        <f t="shared" si="117"/>
        <v>0</v>
      </c>
      <c r="AC74">
        <f t="shared" si="56"/>
        <v>0</v>
      </c>
      <c r="AD74">
        <f t="shared" si="57"/>
        <v>0</v>
      </c>
      <c r="AE74">
        <f t="shared" si="58"/>
        <v>0</v>
      </c>
      <c r="AF74">
        <f t="shared" si="59"/>
        <v>0</v>
      </c>
      <c r="AG74">
        <f t="shared" si="60"/>
        <v>0</v>
      </c>
      <c r="AH74">
        <f t="shared" si="61"/>
        <v>0</v>
      </c>
      <c r="AI74">
        <f t="shared" si="62"/>
        <v>0</v>
      </c>
      <c r="AJ74">
        <f t="shared" si="63"/>
        <v>0</v>
      </c>
      <c r="AK74">
        <f t="shared" si="64"/>
        <v>0</v>
      </c>
      <c r="AL74">
        <f t="shared" si="65"/>
        <v>0</v>
      </c>
      <c r="AM74">
        <f t="shared" si="66"/>
        <v>0</v>
      </c>
      <c r="AN74">
        <f t="shared" si="67"/>
        <v>0</v>
      </c>
      <c r="AO74">
        <f t="shared" si="68"/>
        <v>0</v>
      </c>
      <c r="AP74">
        <f t="shared" si="69"/>
        <v>0</v>
      </c>
      <c r="AQ74">
        <f t="shared" si="70"/>
        <v>0</v>
      </c>
      <c r="AR74">
        <f t="shared" si="71"/>
        <v>0</v>
      </c>
      <c r="AS74">
        <f t="shared" si="72"/>
        <v>0</v>
      </c>
      <c r="AT74">
        <f t="shared" si="73"/>
        <v>0</v>
      </c>
      <c r="AU74">
        <f t="shared" si="74"/>
        <v>0</v>
      </c>
      <c r="AV74">
        <f t="shared" si="75"/>
        <v>0</v>
      </c>
      <c r="AW74">
        <f t="shared" si="76"/>
        <v>0</v>
      </c>
      <c r="AX74">
        <f t="shared" si="77"/>
        <v>0</v>
      </c>
      <c r="AY74">
        <f t="shared" si="118"/>
        <v>0</v>
      </c>
      <c r="BA74">
        <f t="shared" si="119"/>
        <v>7</v>
      </c>
      <c r="BB74">
        <f t="shared" si="79"/>
        <v>7</v>
      </c>
      <c r="BC74">
        <f t="shared" si="80"/>
        <v>7</v>
      </c>
      <c r="BD74">
        <f t="shared" si="81"/>
        <v>7</v>
      </c>
      <c r="BE74">
        <f t="shared" si="82"/>
        <v>7</v>
      </c>
      <c r="BF74">
        <f t="shared" si="83"/>
        <v>7</v>
      </c>
      <c r="BG74">
        <f t="shared" si="84"/>
        <v>7</v>
      </c>
      <c r="BH74">
        <f t="shared" si="85"/>
        <v>6</v>
      </c>
      <c r="BI74">
        <f t="shared" si="86"/>
        <v>6</v>
      </c>
      <c r="BJ74">
        <f t="shared" si="87"/>
        <v>6</v>
      </c>
      <c r="BK74">
        <f t="shared" si="88"/>
        <v>7</v>
      </c>
      <c r="BL74">
        <f t="shared" si="89"/>
        <v>7</v>
      </c>
      <c r="BM74">
        <f t="shared" si="90"/>
        <v>7</v>
      </c>
      <c r="BN74">
        <f t="shared" si="91"/>
        <v>7</v>
      </c>
      <c r="BO74">
        <f t="shared" si="92"/>
        <v>7</v>
      </c>
      <c r="BP74">
        <f t="shared" si="93"/>
        <v>7</v>
      </c>
      <c r="BQ74">
        <f t="shared" si="94"/>
        <v>7</v>
      </c>
      <c r="BR74">
        <f t="shared" si="95"/>
        <v>7</v>
      </c>
      <c r="BS74">
        <f t="shared" si="96"/>
        <v>7</v>
      </c>
      <c r="BT74">
        <f t="shared" si="97"/>
        <v>7</v>
      </c>
      <c r="BU74">
        <f t="shared" si="98"/>
        <v>7</v>
      </c>
      <c r="BV74">
        <f t="shared" si="99"/>
        <v>7</v>
      </c>
      <c r="BW74">
        <f t="shared" si="100"/>
        <v>7</v>
      </c>
      <c r="BX74">
        <f t="shared" si="101"/>
        <v>7</v>
      </c>
      <c r="BZ74" s="52">
        <f t="shared" si="129"/>
        <v>0</v>
      </c>
      <c r="CA74" s="52">
        <f t="shared" si="114"/>
        <v>0</v>
      </c>
      <c r="CB74" s="52">
        <f t="shared" si="114"/>
        <v>0</v>
      </c>
      <c r="CC74" s="52">
        <f t="shared" si="114"/>
        <v>0</v>
      </c>
      <c r="CD74" s="52">
        <f t="shared" si="114"/>
        <v>0</v>
      </c>
      <c r="CE74" s="52">
        <f t="shared" si="114"/>
        <v>0</v>
      </c>
      <c r="CF74" s="52">
        <f t="shared" si="114"/>
        <v>0</v>
      </c>
      <c r="CG74" s="52">
        <f t="shared" si="114"/>
        <v>-1</v>
      </c>
      <c r="CH74" s="52">
        <f t="shared" si="114"/>
        <v>0</v>
      </c>
      <c r="CI74" s="52">
        <f t="shared" si="114"/>
        <v>0</v>
      </c>
      <c r="CJ74" s="52">
        <f t="shared" si="114"/>
        <v>1</v>
      </c>
      <c r="CK74" s="52">
        <f t="shared" si="114"/>
        <v>0</v>
      </c>
      <c r="CL74" s="52">
        <f t="shared" si="114"/>
        <v>0</v>
      </c>
      <c r="CM74" s="52">
        <f t="shared" si="114"/>
        <v>0</v>
      </c>
      <c r="CN74" s="52">
        <f t="shared" si="114"/>
        <v>0</v>
      </c>
      <c r="CO74" s="52">
        <f t="shared" si="114"/>
        <v>0</v>
      </c>
      <c r="CP74" s="52">
        <f t="shared" si="114"/>
        <v>0</v>
      </c>
      <c r="CQ74" s="52">
        <f t="shared" si="130"/>
        <v>0</v>
      </c>
      <c r="CR74" s="52">
        <f t="shared" si="131"/>
        <v>0</v>
      </c>
      <c r="CS74" s="52">
        <f t="shared" si="132"/>
        <v>0</v>
      </c>
      <c r="CT74" s="52">
        <f t="shared" si="133"/>
        <v>0</v>
      </c>
      <c r="CU74" s="52">
        <f t="shared" si="134"/>
        <v>0</v>
      </c>
      <c r="CV74" s="52">
        <f t="shared" si="135"/>
        <v>0</v>
      </c>
      <c r="CW74" s="52">
        <f t="shared" si="136"/>
        <v>0</v>
      </c>
    </row>
    <row r="75" spans="1:101">
      <c r="A75" s="60">
        <v>44997</v>
      </c>
      <c r="B75" s="426">
        <v>53958</v>
      </c>
      <c r="C75">
        <v>54877</v>
      </c>
      <c r="D75">
        <v>53762.6</v>
      </c>
      <c r="E75">
        <v>53161</v>
      </c>
      <c r="F75">
        <v>53223.199999999997</v>
      </c>
      <c r="G75">
        <v>53005.7</v>
      </c>
      <c r="H75">
        <v>53116.9</v>
      </c>
      <c r="I75">
        <v>53336.5</v>
      </c>
      <c r="J75">
        <v>53353.2</v>
      </c>
      <c r="K75">
        <v>52328.3</v>
      </c>
      <c r="L75">
        <v>51966.9</v>
      </c>
      <c r="M75">
        <v>52070.6</v>
      </c>
      <c r="N75">
        <v>52460.9</v>
      </c>
      <c r="O75">
        <v>52508.4</v>
      </c>
      <c r="P75">
        <v>52660.3</v>
      </c>
      <c r="Q75">
        <v>52682.5</v>
      </c>
      <c r="R75">
        <v>52687.8</v>
      </c>
      <c r="S75">
        <v>52646</v>
      </c>
      <c r="T75">
        <v>51903.6</v>
      </c>
      <c r="U75">
        <v>51246.7</v>
      </c>
      <c r="V75">
        <v>52908.6</v>
      </c>
      <c r="W75">
        <v>55096.3</v>
      </c>
      <c r="X75">
        <v>54715.199999999997</v>
      </c>
      <c r="Y75">
        <v>54674.9</v>
      </c>
      <c r="Z75" s="77">
        <v>1274351.1000000001</v>
      </c>
      <c r="AB75" s="52">
        <f t="shared" si="117"/>
        <v>0</v>
      </c>
      <c r="AC75" s="52">
        <f t="shared" si="56"/>
        <v>0</v>
      </c>
      <c r="AD75" s="52">
        <f t="shared" si="57"/>
        <v>0</v>
      </c>
      <c r="AE75" s="52">
        <f t="shared" si="58"/>
        <v>0</v>
      </c>
      <c r="AF75" s="52">
        <f t="shared" si="59"/>
        <v>0</v>
      </c>
      <c r="AG75" s="52">
        <f t="shared" si="60"/>
        <v>0</v>
      </c>
      <c r="AH75" s="52">
        <f t="shared" si="61"/>
        <v>0</v>
      </c>
      <c r="AI75" s="52">
        <f t="shared" si="62"/>
        <v>0</v>
      </c>
      <c r="AJ75" s="52">
        <f t="shared" si="63"/>
        <v>0</v>
      </c>
      <c r="AK75" s="52">
        <f t="shared" si="64"/>
        <v>0</v>
      </c>
      <c r="AL75" s="52">
        <f t="shared" si="65"/>
        <v>0</v>
      </c>
      <c r="AM75" s="52">
        <f t="shared" si="66"/>
        <v>0</v>
      </c>
      <c r="AN75" s="52">
        <f t="shared" si="67"/>
        <v>0</v>
      </c>
      <c r="AO75" s="52">
        <f t="shared" si="68"/>
        <v>0</v>
      </c>
      <c r="AP75" s="52">
        <f t="shared" si="69"/>
        <v>0</v>
      </c>
      <c r="AQ75" s="52">
        <f t="shared" si="70"/>
        <v>0</v>
      </c>
      <c r="AR75" s="52">
        <f t="shared" si="71"/>
        <v>0</v>
      </c>
      <c r="AS75" s="52">
        <f t="shared" si="72"/>
        <v>0</v>
      </c>
      <c r="AT75" s="52">
        <f t="shared" si="73"/>
        <v>0</v>
      </c>
      <c r="AU75" s="52">
        <f t="shared" si="74"/>
        <v>0</v>
      </c>
      <c r="AV75" s="52">
        <f t="shared" si="75"/>
        <v>0</v>
      </c>
      <c r="AW75" s="52">
        <f t="shared" si="76"/>
        <v>0</v>
      </c>
      <c r="AX75" s="52">
        <f t="shared" si="77"/>
        <v>0</v>
      </c>
      <c r="AY75" s="52">
        <f t="shared" si="118"/>
        <v>0</v>
      </c>
      <c r="BA75" s="52">
        <f t="shared" si="119"/>
        <v>7</v>
      </c>
      <c r="BB75" s="52">
        <f t="shared" si="79"/>
        <v>7</v>
      </c>
      <c r="BC75" s="52">
        <f t="shared" si="80"/>
        <v>7</v>
      </c>
      <c r="BD75" s="52">
        <f t="shared" si="81"/>
        <v>7</v>
      </c>
      <c r="BE75" s="52">
        <f t="shared" si="82"/>
        <v>7</v>
      </c>
      <c r="BF75" s="52">
        <f t="shared" si="83"/>
        <v>7</v>
      </c>
      <c r="BG75" s="52">
        <f t="shared" si="84"/>
        <v>7</v>
      </c>
      <c r="BH75" s="52">
        <f t="shared" si="85"/>
        <v>7</v>
      </c>
      <c r="BI75" s="52">
        <f t="shared" si="86"/>
        <v>7</v>
      </c>
      <c r="BJ75" s="52">
        <f t="shared" si="87"/>
        <v>6</v>
      </c>
      <c r="BK75" s="52">
        <f t="shared" si="88"/>
        <v>6</v>
      </c>
      <c r="BL75" s="52">
        <f t="shared" si="89"/>
        <v>6</v>
      </c>
      <c r="BM75" s="52">
        <f t="shared" si="90"/>
        <v>6</v>
      </c>
      <c r="BN75" s="52">
        <f t="shared" si="91"/>
        <v>6</v>
      </c>
      <c r="BO75" s="52">
        <f t="shared" si="92"/>
        <v>6</v>
      </c>
      <c r="BP75" s="52">
        <f t="shared" si="93"/>
        <v>6</v>
      </c>
      <c r="BQ75" s="52">
        <f t="shared" si="94"/>
        <v>6</v>
      </c>
      <c r="BR75" s="52">
        <f t="shared" si="95"/>
        <v>6</v>
      </c>
      <c r="BS75" s="52">
        <f t="shared" si="96"/>
        <v>6</v>
      </c>
      <c r="BT75" s="52">
        <f t="shared" si="97"/>
        <v>6</v>
      </c>
      <c r="BU75" s="52">
        <f t="shared" si="98"/>
        <v>7</v>
      </c>
      <c r="BV75" s="52">
        <f t="shared" si="99"/>
        <v>7</v>
      </c>
      <c r="BW75" s="52">
        <f t="shared" si="100"/>
        <v>7</v>
      </c>
      <c r="BX75" s="52">
        <f t="shared" si="101"/>
        <v>7</v>
      </c>
      <c r="BZ75">
        <f t="shared" si="129"/>
        <v>0</v>
      </c>
      <c r="CA75">
        <f t="shared" si="114"/>
        <v>0</v>
      </c>
      <c r="CB75">
        <f t="shared" si="114"/>
        <v>0</v>
      </c>
      <c r="CC75">
        <f t="shared" si="114"/>
        <v>0</v>
      </c>
      <c r="CD75">
        <f t="shared" si="114"/>
        <v>0</v>
      </c>
      <c r="CE75">
        <f t="shared" si="114"/>
        <v>0</v>
      </c>
      <c r="CF75">
        <f t="shared" si="114"/>
        <v>0</v>
      </c>
      <c r="CG75">
        <f t="shared" si="114"/>
        <v>0</v>
      </c>
      <c r="CH75">
        <f t="shared" si="114"/>
        <v>0</v>
      </c>
      <c r="CI75">
        <f t="shared" si="114"/>
        <v>-1</v>
      </c>
      <c r="CJ75">
        <f t="shared" si="114"/>
        <v>0</v>
      </c>
      <c r="CK75">
        <f t="shared" si="114"/>
        <v>0</v>
      </c>
      <c r="CL75">
        <f t="shared" si="114"/>
        <v>0</v>
      </c>
      <c r="CM75">
        <f t="shared" si="114"/>
        <v>0</v>
      </c>
      <c r="CN75">
        <f>BO75-BN75</f>
        <v>0</v>
      </c>
      <c r="CO75">
        <f t="shared" si="114"/>
        <v>0</v>
      </c>
      <c r="CP75">
        <f t="shared" si="114"/>
        <v>0</v>
      </c>
      <c r="CQ75">
        <f t="shared" si="130"/>
        <v>0</v>
      </c>
      <c r="CR75">
        <f t="shared" si="131"/>
        <v>0</v>
      </c>
      <c r="CS75">
        <f t="shared" si="132"/>
        <v>0</v>
      </c>
      <c r="CT75">
        <f t="shared" si="133"/>
        <v>1</v>
      </c>
      <c r="CU75">
        <f t="shared" si="134"/>
        <v>0</v>
      </c>
      <c r="CV75">
        <f t="shared" si="135"/>
        <v>0</v>
      </c>
      <c r="CW75">
        <f t="shared" si="136"/>
        <v>0</v>
      </c>
    </row>
    <row r="76" spans="1:101">
      <c r="A76" s="60">
        <v>44998</v>
      </c>
      <c r="B76" s="426">
        <v>53322.8</v>
      </c>
      <c r="C76">
        <v>53846.6</v>
      </c>
      <c r="D76">
        <v>53793</v>
      </c>
      <c r="E76">
        <v>53849.3</v>
      </c>
      <c r="F76">
        <v>53109.599999999999</v>
      </c>
      <c r="G76">
        <v>52246</v>
      </c>
      <c r="H76">
        <v>52172.7</v>
      </c>
      <c r="I76">
        <v>52233.5</v>
      </c>
      <c r="J76">
        <v>52452.4</v>
      </c>
      <c r="K76">
        <v>53267.3</v>
      </c>
      <c r="L76">
        <v>53072.7</v>
      </c>
      <c r="M76">
        <v>52947.7</v>
      </c>
      <c r="N76">
        <v>52974.400000000001</v>
      </c>
      <c r="O76">
        <v>53227.9</v>
      </c>
      <c r="P76">
        <v>53083.7</v>
      </c>
      <c r="Q76">
        <v>53081.5</v>
      </c>
      <c r="R76">
        <v>53000.1</v>
      </c>
      <c r="S76">
        <v>52739.5</v>
      </c>
      <c r="T76">
        <v>53466.400000000001</v>
      </c>
      <c r="U76">
        <v>53139.6</v>
      </c>
      <c r="V76">
        <v>52998.7</v>
      </c>
      <c r="W76">
        <v>53071.4</v>
      </c>
      <c r="X76">
        <v>54113.4</v>
      </c>
      <c r="Y76">
        <v>54068.9</v>
      </c>
      <c r="Z76" s="77">
        <v>1275279.0999999996</v>
      </c>
      <c r="AB76">
        <f t="shared" si="117"/>
        <v>0</v>
      </c>
      <c r="AC76">
        <f t="shared" si="56"/>
        <v>0</v>
      </c>
      <c r="AD76">
        <f t="shared" si="57"/>
        <v>0</v>
      </c>
      <c r="AE76">
        <f t="shared" si="58"/>
        <v>0</v>
      </c>
      <c r="AF76">
        <f t="shared" si="59"/>
        <v>0</v>
      </c>
      <c r="AG76">
        <f t="shared" si="60"/>
        <v>0</v>
      </c>
      <c r="AH76">
        <f t="shared" si="61"/>
        <v>0</v>
      </c>
      <c r="AI76">
        <f t="shared" si="62"/>
        <v>0</v>
      </c>
      <c r="AJ76">
        <f t="shared" si="63"/>
        <v>0</v>
      </c>
      <c r="AK76">
        <f t="shared" si="64"/>
        <v>0</v>
      </c>
      <c r="AL76">
        <f t="shared" si="65"/>
        <v>0</v>
      </c>
      <c r="AM76">
        <f t="shared" si="66"/>
        <v>0</v>
      </c>
      <c r="AN76">
        <f t="shared" si="67"/>
        <v>0</v>
      </c>
      <c r="AO76">
        <f t="shared" si="68"/>
        <v>0</v>
      </c>
      <c r="AP76">
        <f t="shared" si="69"/>
        <v>0</v>
      </c>
      <c r="AQ76">
        <f t="shared" si="70"/>
        <v>0</v>
      </c>
      <c r="AR76">
        <f t="shared" si="71"/>
        <v>0</v>
      </c>
      <c r="AS76">
        <f t="shared" si="72"/>
        <v>0</v>
      </c>
      <c r="AT76">
        <f t="shared" si="73"/>
        <v>0</v>
      </c>
      <c r="AU76">
        <f t="shared" si="74"/>
        <v>0</v>
      </c>
      <c r="AV76">
        <f t="shared" si="75"/>
        <v>0</v>
      </c>
      <c r="AW76">
        <f t="shared" si="76"/>
        <v>0</v>
      </c>
      <c r="AX76">
        <f t="shared" si="77"/>
        <v>0</v>
      </c>
      <c r="AY76">
        <f t="shared" si="118"/>
        <v>0</v>
      </c>
      <c r="BA76">
        <f t="shared" si="119"/>
        <v>7</v>
      </c>
      <c r="BB76">
        <f t="shared" si="79"/>
        <v>7</v>
      </c>
      <c r="BC76">
        <f t="shared" si="80"/>
        <v>7</v>
      </c>
      <c r="BD76">
        <f t="shared" si="81"/>
        <v>7</v>
      </c>
      <c r="BE76">
        <f t="shared" si="82"/>
        <v>7</v>
      </c>
      <c r="BF76">
        <f t="shared" si="83"/>
        <v>6</v>
      </c>
      <c r="BG76">
        <f t="shared" si="84"/>
        <v>6</v>
      </c>
      <c r="BH76">
        <f t="shared" si="85"/>
        <v>6</v>
      </c>
      <c r="BI76">
        <f t="shared" si="86"/>
        <v>6</v>
      </c>
      <c r="BJ76">
        <f t="shared" si="87"/>
        <v>7</v>
      </c>
      <c r="BK76">
        <f t="shared" si="88"/>
        <v>7</v>
      </c>
      <c r="BL76">
        <f t="shared" si="89"/>
        <v>7</v>
      </c>
      <c r="BM76">
        <f t="shared" si="90"/>
        <v>7</v>
      </c>
      <c r="BN76">
        <f t="shared" si="91"/>
        <v>7</v>
      </c>
      <c r="BO76">
        <f t="shared" si="92"/>
        <v>7</v>
      </c>
      <c r="BP76">
        <f t="shared" si="93"/>
        <v>7</v>
      </c>
      <c r="BQ76">
        <f t="shared" si="94"/>
        <v>7</v>
      </c>
      <c r="BR76">
        <f t="shared" si="95"/>
        <v>6</v>
      </c>
      <c r="BS76">
        <f t="shared" si="96"/>
        <v>7</v>
      </c>
      <c r="BT76">
        <f t="shared" si="97"/>
        <v>7</v>
      </c>
      <c r="BU76">
        <f t="shared" si="98"/>
        <v>7</v>
      </c>
      <c r="BV76">
        <f t="shared" si="99"/>
        <v>7</v>
      </c>
      <c r="BW76">
        <f t="shared" si="100"/>
        <v>7</v>
      </c>
      <c r="BX76">
        <f t="shared" si="101"/>
        <v>7</v>
      </c>
      <c r="BZ76" s="52">
        <f t="shared" si="129"/>
        <v>0</v>
      </c>
      <c r="CA76" s="52">
        <f t="shared" si="114"/>
        <v>0</v>
      </c>
      <c r="CB76" s="52">
        <f t="shared" si="114"/>
        <v>0</v>
      </c>
      <c r="CC76" s="52">
        <f t="shared" si="114"/>
        <v>0</v>
      </c>
      <c r="CD76" s="52">
        <f t="shared" si="114"/>
        <v>0</v>
      </c>
      <c r="CE76" s="52">
        <f t="shared" si="114"/>
        <v>-1</v>
      </c>
      <c r="CF76" s="52">
        <f t="shared" si="114"/>
        <v>0</v>
      </c>
      <c r="CG76" s="52">
        <f t="shared" si="114"/>
        <v>0</v>
      </c>
      <c r="CH76" s="52">
        <f t="shared" si="114"/>
        <v>0</v>
      </c>
      <c r="CI76" s="52">
        <f t="shared" si="114"/>
        <v>1</v>
      </c>
      <c r="CJ76" s="52">
        <f t="shared" si="114"/>
        <v>0</v>
      </c>
      <c r="CK76" s="52">
        <f t="shared" si="114"/>
        <v>0</v>
      </c>
      <c r="CL76" s="52">
        <f t="shared" si="114"/>
        <v>0</v>
      </c>
      <c r="CM76" s="52">
        <f t="shared" si="114"/>
        <v>0</v>
      </c>
      <c r="CN76" s="52">
        <f>BO76-BN76</f>
        <v>0</v>
      </c>
      <c r="CO76" s="52">
        <f t="shared" si="114"/>
        <v>0</v>
      </c>
      <c r="CP76" s="52">
        <f t="shared" si="114"/>
        <v>0</v>
      </c>
      <c r="CQ76" s="52">
        <f t="shared" si="130"/>
        <v>-1</v>
      </c>
      <c r="CR76" s="52">
        <f t="shared" si="131"/>
        <v>1</v>
      </c>
      <c r="CS76" s="52">
        <f t="shared" si="132"/>
        <v>0</v>
      </c>
      <c r="CT76" s="52">
        <f t="shared" si="133"/>
        <v>0</v>
      </c>
      <c r="CU76" s="52">
        <f t="shared" si="134"/>
        <v>0</v>
      </c>
      <c r="CV76" s="52">
        <f t="shared" si="135"/>
        <v>0</v>
      </c>
      <c r="CW76" s="52">
        <f t="shared" si="136"/>
        <v>0</v>
      </c>
    </row>
    <row r="77" spans="1:101">
      <c r="A77" s="60">
        <v>44999</v>
      </c>
      <c r="B77" s="426">
        <v>53907.1</v>
      </c>
      <c r="C77">
        <v>54396.6</v>
      </c>
      <c r="D77">
        <v>54516.2</v>
      </c>
      <c r="E77">
        <v>54491.4</v>
      </c>
      <c r="F77">
        <v>53497</v>
      </c>
      <c r="G77">
        <v>53239.9</v>
      </c>
      <c r="H77">
        <v>53088.5</v>
      </c>
      <c r="I77">
        <v>52335.6</v>
      </c>
      <c r="J77">
        <v>52795.9</v>
      </c>
      <c r="K77">
        <v>52998.9</v>
      </c>
      <c r="L77">
        <v>53378.400000000001</v>
      </c>
      <c r="M77">
        <v>53343.1</v>
      </c>
      <c r="N77">
        <v>53397.4</v>
      </c>
      <c r="O77">
        <v>53474.1</v>
      </c>
      <c r="P77">
        <v>53491.1</v>
      </c>
      <c r="Q77">
        <v>53417.4</v>
      </c>
      <c r="R77">
        <v>53165.9</v>
      </c>
      <c r="S77">
        <v>53482.2</v>
      </c>
      <c r="T77">
        <v>53832.3</v>
      </c>
      <c r="U77">
        <v>53277.4</v>
      </c>
      <c r="V77">
        <v>53451.199999999997</v>
      </c>
      <c r="W77">
        <v>53232.800000000003</v>
      </c>
      <c r="X77">
        <v>53418.2</v>
      </c>
      <c r="Y77">
        <v>53556.7</v>
      </c>
      <c r="Z77" s="77">
        <v>1283185.2999999998</v>
      </c>
      <c r="AB77" s="52">
        <f t="shared" si="117"/>
        <v>0</v>
      </c>
      <c r="AC77" s="52">
        <f t="shared" si="56"/>
        <v>0</v>
      </c>
      <c r="AD77" s="52">
        <f t="shared" si="57"/>
        <v>0</v>
      </c>
      <c r="AE77" s="52">
        <f t="shared" si="58"/>
        <v>0</v>
      </c>
      <c r="AF77" s="52">
        <f t="shared" si="59"/>
        <v>0</v>
      </c>
      <c r="AG77" s="52">
        <f t="shared" si="60"/>
        <v>0</v>
      </c>
      <c r="AH77" s="52">
        <f t="shared" si="61"/>
        <v>0</v>
      </c>
      <c r="AI77" s="52">
        <f t="shared" si="62"/>
        <v>0</v>
      </c>
      <c r="AJ77" s="52">
        <f t="shared" si="63"/>
        <v>0</v>
      </c>
      <c r="AK77" s="52">
        <f t="shared" si="64"/>
        <v>0</v>
      </c>
      <c r="AL77" s="52">
        <f t="shared" si="65"/>
        <v>0</v>
      </c>
      <c r="AM77" s="52">
        <f t="shared" si="66"/>
        <v>0</v>
      </c>
      <c r="AN77" s="52">
        <f t="shared" si="67"/>
        <v>0</v>
      </c>
      <c r="AO77" s="52">
        <f t="shared" si="68"/>
        <v>0</v>
      </c>
      <c r="AP77" s="52">
        <f t="shared" si="69"/>
        <v>0</v>
      </c>
      <c r="AQ77" s="52">
        <f t="shared" si="70"/>
        <v>0</v>
      </c>
      <c r="AR77" s="52">
        <f t="shared" si="71"/>
        <v>0</v>
      </c>
      <c r="AS77" s="52">
        <f t="shared" si="72"/>
        <v>0</v>
      </c>
      <c r="AT77" s="52">
        <f t="shared" si="73"/>
        <v>0</v>
      </c>
      <c r="AU77" s="52">
        <f t="shared" si="74"/>
        <v>0</v>
      </c>
      <c r="AV77" s="52">
        <f t="shared" si="75"/>
        <v>0</v>
      </c>
      <c r="AW77" s="52">
        <f t="shared" si="76"/>
        <v>0</v>
      </c>
      <c r="AX77" s="52">
        <f t="shared" si="77"/>
        <v>0</v>
      </c>
      <c r="AY77" s="52">
        <f t="shared" si="118"/>
        <v>0</v>
      </c>
      <c r="BA77" s="52">
        <f t="shared" si="119"/>
        <v>7</v>
      </c>
      <c r="BB77" s="52">
        <f t="shared" si="79"/>
        <v>7</v>
      </c>
      <c r="BC77" s="52">
        <f t="shared" si="80"/>
        <v>7</v>
      </c>
      <c r="BD77" s="52">
        <f t="shared" si="81"/>
        <v>7</v>
      </c>
      <c r="BE77" s="52">
        <f t="shared" si="82"/>
        <v>7</v>
      </c>
      <c r="BF77" s="52">
        <f t="shared" si="83"/>
        <v>7</v>
      </c>
      <c r="BG77" s="52">
        <f t="shared" si="84"/>
        <v>7</v>
      </c>
      <c r="BH77" s="52">
        <f t="shared" si="85"/>
        <v>6</v>
      </c>
      <c r="BI77" s="52">
        <f t="shared" si="86"/>
        <v>6</v>
      </c>
      <c r="BJ77" s="52">
        <f t="shared" si="87"/>
        <v>7</v>
      </c>
      <c r="BK77" s="52">
        <f t="shared" si="88"/>
        <v>7</v>
      </c>
      <c r="BL77" s="52">
        <f t="shared" si="89"/>
        <v>7</v>
      </c>
      <c r="BM77" s="52">
        <f t="shared" si="90"/>
        <v>7</v>
      </c>
      <c r="BN77" s="52">
        <f t="shared" si="91"/>
        <v>7</v>
      </c>
      <c r="BO77" s="52">
        <f t="shared" si="92"/>
        <v>7</v>
      </c>
      <c r="BP77" s="52">
        <f t="shared" si="93"/>
        <v>7</v>
      </c>
      <c r="BQ77" s="52">
        <f t="shared" si="94"/>
        <v>7</v>
      </c>
      <c r="BR77" s="52">
        <f t="shared" si="95"/>
        <v>7</v>
      </c>
      <c r="BS77" s="52">
        <f t="shared" si="96"/>
        <v>7</v>
      </c>
      <c r="BT77" s="52">
        <f t="shared" si="97"/>
        <v>7</v>
      </c>
      <c r="BU77" s="52">
        <f t="shared" si="98"/>
        <v>7</v>
      </c>
      <c r="BV77" s="52">
        <f t="shared" si="99"/>
        <v>7</v>
      </c>
      <c r="BW77" s="52">
        <f t="shared" si="100"/>
        <v>7</v>
      </c>
      <c r="BX77" s="52">
        <f t="shared" si="101"/>
        <v>7</v>
      </c>
      <c r="BZ77">
        <f t="shared" si="129"/>
        <v>0</v>
      </c>
      <c r="CA77">
        <f t="shared" ref="CA77:CP95" si="137">BB77-BA77</f>
        <v>0</v>
      </c>
      <c r="CB77">
        <f t="shared" ref="CB77:CM79" si="138">BC77-BB77</f>
        <v>0</v>
      </c>
      <c r="CC77">
        <f t="shared" si="138"/>
        <v>0</v>
      </c>
      <c r="CD77">
        <f t="shared" si="138"/>
        <v>0</v>
      </c>
      <c r="CE77">
        <f t="shared" si="138"/>
        <v>0</v>
      </c>
      <c r="CF77">
        <f t="shared" si="138"/>
        <v>0</v>
      </c>
      <c r="CG77">
        <f t="shared" si="138"/>
        <v>-1</v>
      </c>
      <c r="CH77">
        <f t="shared" si="138"/>
        <v>0</v>
      </c>
      <c r="CI77">
        <f t="shared" si="138"/>
        <v>1</v>
      </c>
      <c r="CJ77">
        <f t="shared" si="138"/>
        <v>0</v>
      </c>
      <c r="CK77">
        <f t="shared" si="138"/>
        <v>0</v>
      </c>
      <c r="CL77">
        <f t="shared" si="138"/>
        <v>0</v>
      </c>
      <c r="CM77">
        <f t="shared" si="138"/>
        <v>0</v>
      </c>
      <c r="CN77">
        <f>BO77-BN77</f>
        <v>0</v>
      </c>
      <c r="CO77">
        <f t="shared" si="114"/>
        <v>0</v>
      </c>
      <c r="CP77">
        <f t="shared" si="114"/>
        <v>0</v>
      </c>
      <c r="CQ77">
        <f t="shared" si="130"/>
        <v>0</v>
      </c>
      <c r="CR77">
        <f t="shared" si="131"/>
        <v>0</v>
      </c>
      <c r="CS77">
        <f t="shared" si="132"/>
        <v>0</v>
      </c>
      <c r="CT77">
        <f t="shared" si="133"/>
        <v>0</v>
      </c>
      <c r="CU77">
        <f t="shared" si="134"/>
        <v>0</v>
      </c>
      <c r="CV77">
        <f t="shared" si="135"/>
        <v>0</v>
      </c>
      <c r="CW77">
        <f t="shared" si="136"/>
        <v>0</v>
      </c>
    </row>
    <row r="78" spans="1:101">
      <c r="A78" s="60">
        <v>45000</v>
      </c>
      <c r="B78" s="426">
        <v>53766.8</v>
      </c>
      <c r="C78">
        <v>54292.5</v>
      </c>
      <c r="D78">
        <v>54450.1</v>
      </c>
      <c r="E78">
        <v>53252.800000000003</v>
      </c>
      <c r="F78">
        <v>53729.4</v>
      </c>
      <c r="G78">
        <v>53664.2</v>
      </c>
      <c r="H78">
        <v>53489.599999999999</v>
      </c>
      <c r="I78">
        <v>53774.3</v>
      </c>
      <c r="J78">
        <v>53525.4</v>
      </c>
      <c r="K78">
        <v>53297.4</v>
      </c>
      <c r="L78">
        <v>53382.8</v>
      </c>
      <c r="M78">
        <v>53586.8</v>
      </c>
      <c r="N78">
        <v>53468.1</v>
      </c>
      <c r="O78">
        <v>53235.4</v>
      </c>
      <c r="P78">
        <v>52982</v>
      </c>
      <c r="Q78">
        <v>53112</v>
      </c>
      <c r="R78">
        <v>52876.4</v>
      </c>
      <c r="S78">
        <v>52748.9</v>
      </c>
      <c r="T78">
        <v>52813.3</v>
      </c>
      <c r="U78">
        <v>52484.800000000003</v>
      </c>
      <c r="V78">
        <v>54698.8</v>
      </c>
      <c r="W78">
        <v>54769.599999999999</v>
      </c>
      <c r="X78">
        <v>54866.5</v>
      </c>
      <c r="Y78">
        <v>54773.7</v>
      </c>
      <c r="Z78" s="77">
        <v>1287041.6000000003</v>
      </c>
      <c r="AB78">
        <f t="shared" si="117"/>
        <v>0</v>
      </c>
      <c r="AC78">
        <f t="shared" si="56"/>
        <v>0</v>
      </c>
      <c r="AD78">
        <f t="shared" si="57"/>
        <v>0</v>
      </c>
      <c r="AE78">
        <f t="shared" si="58"/>
        <v>0</v>
      </c>
      <c r="AF78">
        <f t="shared" si="59"/>
        <v>0</v>
      </c>
      <c r="AG78">
        <f t="shared" si="60"/>
        <v>0</v>
      </c>
      <c r="AH78">
        <f t="shared" si="61"/>
        <v>0</v>
      </c>
      <c r="AI78">
        <f t="shared" si="62"/>
        <v>0</v>
      </c>
      <c r="AJ78">
        <f t="shared" si="63"/>
        <v>0</v>
      </c>
      <c r="AK78">
        <f t="shared" si="64"/>
        <v>0</v>
      </c>
      <c r="AL78">
        <f t="shared" si="65"/>
        <v>0</v>
      </c>
      <c r="AM78">
        <f t="shared" si="66"/>
        <v>0</v>
      </c>
      <c r="AN78">
        <f t="shared" si="67"/>
        <v>0</v>
      </c>
      <c r="AO78">
        <f t="shared" si="68"/>
        <v>0</v>
      </c>
      <c r="AP78">
        <f t="shared" si="69"/>
        <v>0</v>
      </c>
      <c r="AQ78">
        <f t="shared" si="70"/>
        <v>0</v>
      </c>
      <c r="AR78">
        <f t="shared" si="71"/>
        <v>0</v>
      </c>
      <c r="AS78">
        <f t="shared" si="72"/>
        <v>0</v>
      </c>
      <c r="AT78">
        <f t="shared" si="73"/>
        <v>0</v>
      </c>
      <c r="AU78">
        <f t="shared" si="74"/>
        <v>0</v>
      </c>
      <c r="AV78">
        <f t="shared" si="75"/>
        <v>0</v>
      </c>
      <c r="AW78">
        <f t="shared" si="76"/>
        <v>0</v>
      </c>
      <c r="AX78">
        <f t="shared" si="77"/>
        <v>0</v>
      </c>
      <c r="AY78">
        <f t="shared" si="118"/>
        <v>0</v>
      </c>
      <c r="BA78">
        <f t="shared" si="119"/>
        <v>7</v>
      </c>
      <c r="BB78">
        <f t="shared" si="79"/>
        <v>7</v>
      </c>
      <c r="BC78">
        <f t="shared" si="80"/>
        <v>7</v>
      </c>
      <c r="BD78">
        <f t="shared" si="81"/>
        <v>7</v>
      </c>
      <c r="BE78">
        <f t="shared" si="82"/>
        <v>7</v>
      </c>
      <c r="BF78">
        <f t="shared" si="83"/>
        <v>7</v>
      </c>
      <c r="BG78">
        <f t="shared" si="84"/>
        <v>7</v>
      </c>
      <c r="BH78">
        <f t="shared" si="85"/>
        <v>7</v>
      </c>
      <c r="BI78">
        <f t="shared" si="86"/>
        <v>7</v>
      </c>
      <c r="BJ78">
        <f t="shared" si="87"/>
        <v>7</v>
      </c>
      <c r="BK78">
        <f t="shared" si="88"/>
        <v>7</v>
      </c>
      <c r="BL78">
        <f t="shared" si="89"/>
        <v>7</v>
      </c>
      <c r="BM78">
        <f t="shared" si="90"/>
        <v>7</v>
      </c>
      <c r="BN78">
        <f t="shared" si="91"/>
        <v>7</v>
      </c>
      <c r="BO78">
        <f t="shared" si="92"/>
        <v>7</v>
      </c>
      <c r="BP78">
        <f t="shared" si="93"/>
        <v>7</v>
      </c>
      <c r="BQ78">
        <f t="shared" si="94"/>
        <v>7</v>
      </c>
      <c r="BR78">
        <f t="shared" si="95"/>
        <v>6</v>
      </c>
      <c r="BS78">
        <f t="shared" si="96"/>
        <v>7</v>
      </c>
      <c r="BT78">
        <f t="shared" si="97"/>
        <v>6</v>
      </c>
      <c r="BU78">
        <f t="shared" si="98"/>
        <v>7</v>
      </c>
      <c r="BV78">
        <f t="shared" si="99"/>
        <v>7</v>
      </c>
      <c r="BW78">
        <f t="shared" si="100"/>
        <v>7</v>
      </c>
      <c r="BX78">
        <f t="shared" si="101"/>
        <v>7</v>
      </c>
      <c r="BZ78" s="52">
        <f t="shared" si="129"/>
        <v>0</v>
      </c>
      <c r="CA78" s="52">
        <f t="shared" si="137"/>
        <v>0</v>
      </c>
      <c r="CB78" s="52">
        <f t="shared" si="138"/>
        <v>0</v>
      </c>
      <c r="CC78" s="52">
        <f t="shared" si="138"/>
        <v>0</v>
      </c>
      <c r="CD78" s="52">
        <f t="shared" si="138"/>
        <v>0</v>
      </c>
      <c r="CE78" s="52">
        <f t="shared" si="138"/>
        <v>0</v>
      </c>
      <c r="CF78" s="52">
        <f t="shared" si="138"/>
        <v>0</v>
      </c>
      <c r="CG78" s="52">
        <f t="shared" si="138"/>
        <v>0</v>
      </c>
      <c r="CH78" s="52">
        <f t="shared" si="138"/>
        <v>0</v>
      </c>
      <c r="CI78" s="52">
        <f t="shared" si="138"/>
        <v>0</v>
      </c>
      <c r="CJ78" s="52">
        <f t="shared" si="138"/>
        <v>0</v>
      </c>
      <c r="CK78" s="52">
        <f t="shared" si="138"/>
        <v>0</v>
      </c>
      <c r="CL78" s="52">
        <f t="shared" si="138"/>
        <v>0</v>
      </c>
      <c r="CM78" s="52">
        <f t="shared" si="138"/>
        <v>0</v>
      </c>
      <c r="CN78" s="52">
        <f>BO78-BN78</f>
        <v>0</v>
      </c>
      <c r="CO78" s="52">
        <f>BP78-BO78</f>
        <v>0</v>
      </c>
      <c r="CP78" s="52">
        <f>BQ78-BP78</f>
        <v>0</v>
      </c>
      <c r="CQ78" s="52">
        <f t="shared" si="130"/>
        <v>-1</v>
      </c>
      <c r="CR78" s="52">
        <f t="shared" si="131"/>
        <v>1</v>
      </c>
      <c r="CS78" s="52">
        <f t="shared" si="132"/>
        <v>-1</v>
      </c>
      <c r="CT78" s="52">
        <f t="shared" si="133"/>
        <v>1</v>
      </c>
      <c r="CU78" s="52">
        <f t="shared" si="134"/>
        <v>0</v>
      </c>
      <c r="CV78" s="52">
        <f t="shared" si="135"/>
        <v>0</v>
      </c>
      <c r="CW78" s="52">
        <f t="shared" si="136"/>
        <v>0</v>
      </c>
    </row>
    <row r="79" spans="1:101">
      <c r="A79" s="60">
        <v>45001</v>
      </c>
      <c r="B79" s="426">
        <v>54916.1</v>
      </c>
      <c r="C79">
        <v>54743</v>
      </c>
      <c r="D79">
        <v>53709.7</v>
      </c>
      <c r="E79">
        <v>53636.9</v>
      </c>
      <c r="F79">
        <v>53824.7</v>
      </c>
      <c r="G79">
        <v>17265.599999999999</v>
      </c>
      <c r="H79">
        <v>480.7</v>
      </c>
      <c r="I79">
        <v>18006.400000000001</v>
      </c>
      <c r="J79">
        <v>42955.5</v>
      </c>
      <c r="K79">
        <v>53620.2</v>
      </c>
      <c r="L79">
        <v>53554.1</v>
      </c>
      <c r="M79">
        <v>52564.2</v>
      </c>
      <c r="N79">
        <v>52575.8</v>
      </c>
      <c r="O79">
        <v>52627</v>
      </c>
      <c r="P79">
        <v>52645.3</v>
      </c>
      <c r="Q79">
        <v>52603.4</v>
      </c>
      <c r="R79">
        <v>52527.3</v>
      </c>
      <c r="S79">
        <v>52563</v>
      </c>
      <c r="T79">
        <v>52661.1</v>
      </c>
      <c r="U79">
        <v>52686.2</v>
      </c>
      <c r="V79">
        <v>52570.6</v>
      </c>
      <c r="W79">
        <v>52659.9</v>
      </c>
      <c r="X79">
        <v>53834.8</v>
      </c>
      <c r="Y79">
        <v>53857</v>
      </c>
      <c r="Z79" s="77">
        <v>1143088.5</v>
      </c>
      <c r="AB79" s="52">
        <f t="shared" si="117"/>
        <v>0</v>
      </c>
      <c r="AC79" s="52">
        <f t="shared" si="56"/>
        <v>0</v>
      </c>
      <c r="AD79" s="52">
        <f t="shared" si="57"/>
        <v>0</v>
      </c>
      <c r="AE79" s="52">
        <f t="shared" si="58"/>
        <v>0</v>
      </c>
      <c r="AF79" s="52">
        <f t="shared" si="59"/>
        <v>0</v>
      </c>
      <c r="AG79" s="52">
        <f t="shared" si="60"/>
        <v>0</v>
      </c>
      <c r="AH79" s="52">
        <f t="shared" si="61"/>
        <v>0</v>
      </c>
      <c r="AI79" s="52">
        <f t="shared" si="62"/>
        <v>0</v>
      </c>
      <c r="AJ79" s="52">
        <f t="shared" si="63"/>
        <v>0</v>
      </c>
      <c r="AK79" s="52">
        <f t="shared" si="64"/>
        <v>0</v>
      </c>
      <c r="AL79" s="52">
        <f t="shared" si="65"/>
        <v>0</v>
      </c>
      <c r="AM79" s="52">
        <f t="shared" si="66"/>
        <v>0</v>
      </c>
      <c r="AN79" s="52">
        <f t="shared" si="67"/>
        <v>0</v>
      </c>
      <c r="AO79" s="52">
        <f t="shared" si="68"/>
        <v>0</v>
      </c>
      <c r="AP79" s="52">
        <f t="shared" si="69"/>
        <v>0</v>
      </c>
      <c r="AQ79" s="52">
        <f t="shared" si="70"/>
        <v>0</v>
      </c>
      <c r="AR79" s="52">
        <f t="shared" si="71"/>
        <v>0</v>
      </c>
      <c r="AS79" s="52">
        <f t="shared" si="72"/>
        <v>0</v>
      </c>
      <c r="AT79" s="52">
        <f t="shared" si="73"/>
        <v>0</v>
      </c>
      <c r="AU79" s="52">
        <f t="shared" si="74"/>
        <v>0</v>
      </c>
      <c r="AV79" s="52">
        <f t="shared" si="75"/>
        <v>0</v>
      </c>
      <c r="AW79" s="52">
        <f t="shared" si="76"/>
        <v>0</v>
      </c>
      <c r="AX79" s="52">
        <f t="shared" si="77"/>
        <v>0</v>
      </c>
      <c r="AY79" s="52">
        <f t="shared" si="118"/>
        <v>0</v>
      </c>
      <c r="BA79" s="52">
        <f t="shared" si="119"/>
        <v>7</v>
      </c>
      <c r="BB79" s="52">
        <f t="shared" si="79"/>
        <v>7</v>
      </c>
      <c r="BC79" s="52">
        <f t="shared" si="80"/>
        <v>7</v>
      </c>
      <c r="BD79" s="52">
        <f t="shared" si="81"/>
        <v>7</v>
      </c>
      <c r="BE79" s="52">
        <f t="shared" si="82"/>
        <v>7</v>
      </c>
      <c r="BF79" s="52">
        <f t="shared" si="83"/>
        <v>2</v>
      </c>
      <c r="BG79" s="52">
        <f t="shared" si="84"/>
        <v>1</v>
      </c>
      <c r="BH79" s="52">
        <f t="shared" si="85"/>
        <v>3</v>
      </c>
      <c r="BI79" s="52">
        <f t="shared" si="86"/>
        <v>5</v>
      </c>
      <c r="BJ79" s="52">
        <f t="shared" si="87"/>
        <v>7</v>
      </c>
      <c r="BK79" s="52">
        <f t="shared" si="88"/>
        <v>7</v>
      </c>
      <c r="BL79" s="52">
        <f t="shared" si="89"/>
        <v>6</v>
      </c>
      <c r="BM79" s="52">
        <f t="shared" si="90"/>
        <v>6</v>
      </c>
      <c r="BN79" s="52">
        <f t="shared" si="91"/>
        <v>6</v>
      </c>
      <c r="BO79" s="52">
        <f t="shared" si="92"/>
        <v>6</v>
      </c>
      <c r="BP79" s="52">
        <f t="shared" si="93"/>
        <v>6</v>
      </c>
      <c r="BQ79" s="52">
        <f t="shared" si="94"/>
        <v>6</v>
      </c>
      <c r="BR79" s="52">
        <f t="shared" si="95"/>
        <v>6</v>
      </c>
      <c r="BS79" s="52">
        <f t="shared" si="96"/>
        <v>6</v>
      </c>
      <c r="BT79" s="52">
        <f t="shared" si="97"/>
        <v>6</v>
      </c>
      <c r="BU79" s="52">
        <f t="shared" si="98"/>
        <v>6</v>
      </c>
      <c r="BV79" s="52">
        <f t="shared" si="99"/>
        <v>6</v>
      </c>
      <c r="BW79" s="52">
        <f t="shared" si="100"/>
        <v>7</v>
      </c>
      <c r="BX79" s="52">
        <f t="shared" si="101"/>
        <v>7</v>
      </c>
      <c r="BZ79">
        <f t="shared" si="129"/>
        <v>0</v>
      </c>
      <c r="CA79">
        <f t="shared" si="137"/>
        <v>0</v>
      </c>
      <c r="CB79">
        <f t="shared" si="138"/>
        <v>0</v>
      </c>
      <c r="CC79">
        <f t="shared" si="138"/>
        <v>0</v>
      </c>
      <c r="CD79">
        <f t="shared" si="138"/>
        <v>0</v>
      </c>
      <c r="CE79">
        <f t="shared" si="138"/>
        <v>-5</v>
      </c>
      <c r="CF79">
        <f t="shared" si="138"/>
        <v>-1</v>
      </c>
      <c r="CG79">
        <f t="shared" si="138"/>
        <v>2</v>
      </c>
      <c r="CH79">
        <f t="shared" si="138"/>
        <v>2</v>
      </c>
      <c r="CI79">
        <f t="shared" si="138"/>
        <v>2</v>
      </c>
      <c r="CJ79">
        <f t="shared" si="138"/>
        <v>0</v>
      </c>
      <c r="CK79">
        <f t="shared" si="138"/>
        <v>-1</v>
      </c>
      <c r="CL79">
        <f t="shared" si="138"/>
        <v>0</v>
      </c>
      <c r="CM79">
        <f t="shared" si="138"/>
        <v>0</v>
      </c>
      <c r="CN79">
        <f>BO79-BN79</f>
        <v>0</v>
      </c>
      <c r="CO79">
        <f>BP79-BO79</f>
        <v>0</v>
      </c>
      <c r="CP79">
        <f>BQ79-BP79</f>
        <v>0</v>
      </c>
      <c r="CQ79">
        <f t="shared" si="130"/>
        <v>0</v>
      </c>
      <c r="CR79">
        <f t="shared" si="131"/>
        <v>0</v>
      </c>
      <c r="CS79">
        <f t="shared" si="132"/>
        <v>0</v>
      </c>
      <c r="CT79">
        <f t="shared" si="133"/>
        <v>0</v>
      </c>
      <c r="CU79">
        <f t="shared" si="134"/>
        <v>0</v>
      </c>
      <c r="CV79">
        <f t="shared" si="135"/>
        <v>1</v>
      </c>
      <c r="CW79">
        <f t="shared" si="136"/>
        <v>0</v>
      </c>
    </row>
    <row r="80" spans="1:101">
      <c r="A80" s="60">
        <v>45002</v>
      </c>
      <c r="B80" s="426">
        <v>53713.5</v>
      </c>
      <c r="C80">
        <v>53966.1</v>
      </c>
      <c r="D80">
        <v>54021.4</v>
      </c>
      <c r="E80">
        <v>54083.199999999997</v>
      </c>
      <c r="F80">
        <v>54467.4</v>
      </c>
      <c r="G80">
        <v>16998</v>
      </c>
      <c r="H80">
        <v>47.2</v>
      </c>
      <c r="I80">
        <v>16713.8</v>
      </c>
      <c r="J80">
        <v>42911</v>
      </c>
      <c r="K80">
        <v>53916</v>
      </c>
      <c r="L80">
        <v>54965.3</v>
      </c>
      <c r="M80">
        <v>54467.5</v>
      </c>
      <c r="N80">
        <v>54499.8</v>
      </c>
      <c r="O80">
        <v>54448</v>
      </c>
      <c r="P80">
        <v>54789.4</v>
      </c>
      <c r="Q80">
        <v>67548.800000000003</v>
      </c>
      <c r="R80">
        <v>58624.5</v>
      </c>
      <c r="S80">
        <v>54775.9</v>
      </c>
      <c r="T80">
        <v>54207</v>
      </c>
      <c r="U80">
        <v>53943.4</v>
      </c>
      <c r="V80">
        <v>54123.7</v>
      </c>
      <c r="W80">
        <v>54031.3</v>
      </c>
      <c r="X80">
        <v>54228.3</v>
      </c>
      <c r="Y80">
        <v>54205.4</v>
      </c>
      <c r="Z80" s="77">
        <v>1179695.9000000001</v>
      </c>
      <c r="AB80">
        <f t="shared" si="117"/>
        <v>0</v>
      </c>
      <c r="AC80">
        <f t="shared" si="56"/>
        <v>0</v>
      </c>
      <c r="AD80">
        <f t="shared" si="57"/>
        <v>0</v>
      </c>
      <c r="AE80">
        <f t="shared" si="58"/>
        <v>0</v>
      </c>
      <c r="AF80">
        <f t="shared" si="59"/>
        <v>0</v>
      </c>
      <c r="AG80">
        <f t="shared" si="60"/>
        <v>0</v>
      </c>
      <c r="AH80">
        <f t="shared" si="61"/>
        <v>0</v>
      </c>
      <c r="AI80">
        <f t="shared" si="62"/>
        <v>0</v>
      </c>
      <c r="AJ80">
        <f t="shared" si="63"/>
        <v>0</v>
      </c>
      <c r="AK80">
        <f t="shared" si="64"/>
        <v>0</v>
      </c>
      <c r="AL80">
        <f t="shared" si="65"/>
        <v>0</v>
      </c>
      <c r="AM80">
        <f t="shared" si="66"/>
        <v>0</v>
      </c>
      <c r="AN80">
        <f t="shared" si="67"/>
        <v>0</v>
      </c>
      <c r="AO80">
        <f t="shared" si="68"/>
        <v>0</v>
      </c>
      <c r="AP80">
        <f t="shared" si="69"/>
        <v>0</v>
      </c>
      <c r="AQ80">
        <f t="shared" si="70"/>
        <v>0</v>
      </c>
      <c r="AR80">
        <f t="shared" si="71"/>
        <v>0</v>
      </c>
      <c r="AS80">
        <f t="shared" si="72"/>
        <v>0</v>
      </c>
      <c r="AT80">
        <f t="shared" si="73"/>
        <v>0</v>
      </c>
      <c r="AU80">
        <f t="shared" si="74"/>
        <v>0</v>
      </c>
      <c r="AV80">
        <f t="shared" si="75"/>
        <v>0</v>
      </c>
      <c r="AW80">
        <f t="shared" si="76"/>
        <v>0</v>
      </c>
      <c r="AX80">
        <f t="shared" si="77"/>
        <v>0</v>
      </c>
      <c r="AY80">
        <f t="shared" si="118"/>
        <v>0</v>
      </c>
      <c r="BA80">
        <f t="shared" si="119"/>
        <v>7</v>
      </c>
      <c r="BB80">
        <f t="shared" si="79"/>
        <v>7</v>
      </c>
      <c r="BC80">
        <f t="shared" si="80"/>
        <v>7</v>
      </c>
      <c r="BD80">
        <f t="shared" si="81"/>
        <v>7</v>
      </c>
      <c r="BE80">
        <f t="shared" si="82"/>
        <v>7</v>
      </c>
      <c r="BF80">
        <f t="shared" si="83"/>
        <v>2</v>
      </c>
      <c r="BG80">
        <f t="shared" si="84"/>
        <v>1</v>
      </c>
      <c r="BH80">
        <f t="shared" si="85"/>
        <v>2</v>
      </c>
      <c r="BI80">
        <f t="shared" si="86"/>
        <v>5</v>
      </c>
      <c r="BJ80">
        <f t="shared" si="87"/>
        <v>7</v>
      </c>
      <c r="BK80">
        <f t="shared" si="88"/>
        <v>7</v>
      </c>
      <c r="BL80">
        <f t="shared" si="89"/>
        <v>7</v>
      </c>
      <c r="BM80">
        <f t="shared" si="90"/>
        <v>7</v>
      </c>
      <c r="BN80">
        <f t="shared" si="91"/>
        <v>7</v>
      </c>
      <c r="BO80">
        <f t="shared" si="92"/>
        <v>7</v>
      </c>
      <c r="BP80">
        <f t="shared" si="93"/>
        <v>8</v>
      </c>
      <c r="BQ80">
        <f t="shared" si="94"/>
        <v>7</v>
      </c>
      <c r="BR80">
        <f t="shared" si="95"/>
        <v>7</v>
      </c>
      <c r="BS80">
        <f t="shared" si="96"/>
        <v>7</v>
      </c>
      <c r="BT80">
        <f t="shared" si="97"/>
        <v>7</v>
      </c>
      <c r="BU80">
        <f t="shared" si="98"/>
        <v>7</v>
      </c>
      <c r="BV80">
        <f t="shared" si="99"/>
        <v>7</v>
      </c>
      <c r="BW80">
        <f t="shared" si="100"/>
        <v>7</v>
      </c>
      <c r="BX80">
        <f t="shared" si="101"/>
        <v>7</v>
      </c>
      <c r="BZ80" s="52">
        <f t="shared" si="129"/>
        <v>0</v>
      </c>
      <c r="CA80" s="52">
        <f t="shared" si="137"/>
        <v>0</v>
      </c>
      <c r="CB80" s="52">
        <f t="shared" si="137"/>
        <v>0</v>
      </c>
      <c r="CC80" s="52">
        <f t="shared" si="137"/>
        <v>0</v>
      </c>
      <c r="CD80" s="52">
        <f t="shared" si="137"/>
        <v>0</v>
      </c>
      <c r="CE80" s="52">
        <f t="shared" si="137"/>
        <v>-5</v>
      </c>
      <c r="CF80" s="52">
        <f t="shared" si="137"/>
        <v>-1</v>
      </c>
      <c r="CG80" s="52">
        <f t="shared" si="137"/>
        <v>1</v>
      </c>
      <c r="CH80" s="52">
        <f t="shared" si="137"/>
        <v>3</v>
      </c>
      <c r="CI80" s="52">
        <f t="shared" si="137"/>
        <v>2</v>
      </c>
      <c r="CJ80" s="52">
        <f t="shared" si="137"/>
        <v>0</v>
      </c>
      <c r="CK80" s="52">
        <f t="shared" si="137"/>
        <v>0</v>
      </c>
      <c r="CL80" s="52">
        <f t="shared" si="137"/>
        <v>0</v>
      </c>
      <c r="CM80" s="52">
        <f t="shared" si="137"/>
        <v>0</v>
      </c>
      <c r="CN80" s="52">
        <f t="shared" si="137"/>
        <v>0</v>
      </c>
      <c r="CO80" s="52">
        <f t="shared" si="137"/>
        <v>1</v>
      </c>
      <c r="CP80" s="52">
        <f t="shared" si="137"/>
        <v>-1</v>
      </c>
      <c r="CQ80" s="52">
        <f t="shared" si="130"/>
        <v>0</v>
      </c>
      <c r="CR80" s="52">
        <f t="shared" si="131"/>
        <v>0</v>
      </c>
      <c r="CS80" s="52">
        <f t="shared" si="132"/>
        <v>0</v>
      </c>
      <c r="CT80" s="52">
        <f t="shared" si="133"/>
        <v>0</v>
      </c>
      <c r="CU80" s="52">
        <f t="shared" si="134"/>
        <v>0</v>
      </c>
      <c r="CV80" s="52">
        <f t="shared" si="135"/>
        <v>0</v>
      </c>
      <c r="CW80" s="52">
        <f t="shared" si="136"/>
        <v>0</v>
      </c>
    </row>
    <row r="81" spans="1:102">
      <c r="A81" s="60">
        <v>45003</v>
      </c>
      <c r="B81" s="426">
        <v>53594.1</v>
      </c>
      <c r="C81">
        <v>54326.400000000001</v>
      </c>
      <c r="D81">
        <v>54228.9</v>
      </c>
      <c r="E81">
        <v>54277.1</v>
      </c>
      <c r="F81">
        <v>53723.5</v>
      </c>
      <c r="G81">
        <v>53674.6</v>
      </c>
      <c r="H81">
        <v>53832.3</v>
      </c>
      <c r="I81">
        <v>53585.5</v>
      </c>
      <c r="J81">
        <v>53817.599999999999</v>
      </c>
      <c r="K81">
        <v>53893.7</v>
      </c>
      <c r="L81">
        <v>54787.6</v>
      </c>
      <c r="M81">
        <v>54049.8</v>
      </c>
      <c r="N81">
        <v>54278.5</v>
      </c>
      <c r="O81">
        <v>54224.9</v>
      </c>
      <c r="P81">
        <v>54128.7</v>
      </c>
      <c r="Q81">
        <v>54089.599999999999</v>
      </c>
      <c r="R81">
        <v>54272.6</v>
      </c>
      <c r="S81">
        <v>54154.2</v>
      </c>
      <c r="T81">
        <v>54348</v>
      </c>
      <c r="U81">
        <v>54034.5</v>
      </c>
      <c r="V81">
        <v>54059.5</v>
      </c>
      <c r="W81">
        <v>54276.4</v>
      </c>
      <c r="X81">
        <v>54225.1</v>
      </c>
      <c r="Y81">
        <v>54074.9</v>
      </c>
      <c r="Z81" s="77">
        <v>1297957.9999999998</v>
      </c>
      <c r="AB81" s="52">
        <f t="shared" si="117"/>
        <v>0</v>
      </c>
      <c r="AC81" s="52">
        <f t="shared" si="56"/>
        <v>0</v>
      </c>
      <c r="AD81" s="52">
        <f t="shared" si="57"/>
        <v>0</v>
      </c>
      <c r="AE81" s="52">
        <f t="shared" si="58"/>
        <v>0</v>
      </c>
      <c r="AF81" s="52">
        <f t="shared" si="59"/>
        <v>0</v>
      </c>
      <c r="AG81" s="52">
        <f t="shared" si="60"/>
        <v>0</v>
      </c>
      <c r="AH81" s="52">
        <f t="shared" si="61"/>
        <v>0</v>
      </c>
      <c r="AI81" s="52">
        <f t="shared" si="62"/>
        <v>0</v>
      </c>
      <c r="AJ81" s="52">
        <f t="shared" si="63"/>
        <v>0</v>
      </c>
      <c r="AK81" s="52">
        <f t="shared" si="64"/>
        <v>0</v>
      </c>
      <c r="AL81" s="52">
        <f t="shared" si="65"/>
        <v>0</v>
      </c>
      <c r="AM81" s="52">
        <f t="shared" si="66"/>
        <v>0</v>
      </c>
      <c r="AN81" s="52">
        <f t="shared" si="67"/>
        <v>0</v>
      </c>
      <c r="AO81" s="52">
        <f t="shared" si="68"/>
        <v>0</v>
      </c>
      <c r="AP81" s="52">
        <f t="shared" si="69"/>
        <v>0</v>
      </c>
      <c r="AQ81" s="52">
        <f t="shared" si="70"/>
        <v>0</v>
      </c>
      <c r="AR81" s="52">
        <f t="shared" si="71"/>
        <v>0</v>
      </c>
      <c r="AS81" s="52">
        <f t="shared" si="72"/>
        <v>0</v>
      </c>
      <c r="AT81" s="52">
        <f t="shared" si="73"/>
        <v>0</v>
      </c>
      <c r="AU81" s="52">
        <f t="shared" si="74"/>
        <v>0</v>
      </c>
      <c r="AV81" s="52">
        <f t="shared" si="75"/>
        <v>0</v>
      </c>
      <c r="AW81" s="52">
        <f t="shared" si="76"/>
        <v>0</v>
      </c>
      <c r="AX81" s="52">
        <f t="shared" si="77"/>
        <v>0</v>
      </c>
      <c r="AY81" s="52">
        <f t="shared" si="118"/>
        <v>0</v>
      </c>
      <c r="BA81" s="52">
        <f t="shared" si="119"/>
        <v>7</v>
      </c>
      <c r="BB81" s="52">
        <f t="shared" si="79"/>
        <v>7</v>
      </c>
      <c r="BC81" s="52">
        <f t="shared" si="80"/>
        <v>7</v>
      </c>
      <c r="BD81" s="52">
        <f t="shared" si="81"/>
        <v>7</v>
      </c>
      <c r="BE81" s="52">
        <f t="shared" si="82"/>
        <v>7</v>
      </c>
      <c r="BF81" s="52">
        <f t="shared" si="83"/>
        <v>7</v>
      </c>
      <c r="BG81" s="52">
        <f t="shared" si="84"/>
        <v>7</v>
      </c>
      <c r="BH81" s="52">
        <f t="shared" si="85"/>
        <v>7</v>
      </c>
      <c r="BI81" s="52">
        <f t="shared" si="86"/>
        <v>7</v>
      </c>
      <c r="BJ81" s="52">
        <f t="shared" si="87"/>
        <v>7</v>
      </c>
      <c r="BK81" s="52">
        <f t="shared" si="88"/>
        <v>7</v>
      </c>
      <c r="BL81" s="52">
        <f t="shared" si="89"/>
        <v>7</v>
      </c>
      <c r="BM81" s="52">
        <f t="shared" si="90"/>
        <v>7</v>
      </c>
      <c r="BN81" s="52">
        <f t="shared" si="91"/>
        <v>7</v>
      </c>
      <c r="BO81" s="52">
        <f t="shared" si="92"/>
        <v>7</v>
      </c>
      <c r="BP81" s="52">
        <f t="shared" si="93"/>
        <v>7</v>
      </c>
      <c r="BQ81" s="52">
        <f t="shared" si="94"/>
        <v>7</v>
      </c>
      <c r="BR81" s="52">
        <f t="shared" si="95"/>
        <v>7</v>
      </c>
      <c r="BS81" s="52">
        <f t="shared" si="96"/>
        <v>7</v>
      </c>
      <c r="BT81" s="52">
        <f t="shared" si="97"/>
        <v>7</v>
      </c>
      <c r="BU81" s="52">
        <f t="shared" si="98"/>
        <v>7</v>
      </c>
      <c r="BV81" s="52">
        <f t="shared" si="99"/>
        <v>7</v>
      </c>
      <c r="BW81" s="52">
        <f t="shared" si="100"/>
        <v>7</v>
      </c>
      <c r="BX81" s="52">
        <f t="shared" si="101"/>
        <v>7</v>
      </c>
      <c r="BZ81">
        <f t="shared" si="129"/>
        <v>0</v>
      </c>
      <c r="CA81">
        <f t="shared" si="137"/>
        <v>0</v>
      </c>
      <c r="CB81">
        <f t="shared" si="137"/>
        <v>0</v>
      </c>
      <c r="CC81">
        <f t="shared" si="137"/>
        <v>0</v>
      </c>
      <c r="CD81">
        <f t="shared" si="137"/>
        <v>0</v>
      </c>
      <c r="CE81">
        <f t="shared" si="137"/>
        <v>0</v>
      </c>
      <c r="CF81">
        <f t="shared" si="137"/>
        <v>0</v>
      </c>
      <c r="CG81">
        <f t="shared" si="137"/>
        <v>0</v>
      </c>
      <c r="CH81">
        <f t="shared" si="137"/>
        <v>0</v>
      </c>
      <c r="CI81">
        <f t="shared" si="137"/>
        <v>0</v>
      </c>
      <c r="CJ81">
        <f t="shared" si="137"/>
        <v>0</v>
      </c>
      <c r="CK81">
        <f t="shared" si="137"/>
        <v>0</v>
      </c>
      <c r="CL81">
        <f t="shared" si="137"/>
        <v>0</v>
      </c>
      <c r="CM81">
        <f t="shared" si="137"/>
        <v>0</v>
      </c>
      <c r="CN81">
        <f t="shared" si="137"/>
        <v>0</v>
      </c>
      <c r="CO81">
        <f t="shared" si="137"/>
        <v>0</v>
      </c>
      <c r="CP81">
        <f t="shared" si="137"/>
        <v>0</v>
      </c>
      <c r="CQ81">
        <f t="shared" si="130"/>
        <v>0</v>
      </c>
      <c r="CR81">
        <f t="shared" si="131"/>
        <v>0</v>
      </c>
      <c r="CS81">
        <f t="shared" si="132"/>
        <v>0</v>
      </c>
      <c r="CT81">
        <f t="shared" si="133"/>
        <v>0</v>
      </c>
      <c r="CU81">
        <f t="shared" si="134"/>
        <v>0</v>
      </c>
      <c r="CV81">
        <f t="shared" si="135"/>
        <v>0</v>
      </c>
      <c r="CW81">
        <f t="shared" si="136"/>
        <v>0</v>
      </c>
    </row>
    <row r="82" spans="1:102">
      <c r="A82" s="60">
        <v>45004</v>
      </c>
      <c r="B82" s="426">
        <v>53543.7</v>
      </c>
      <c r="C82">
        <v>53847.7</v>
      </c>
      <c r="D82">
        <v>54468.9</v>
      </c>
      <c r="E82">
        <v>54451.5</v>
      </c>
      <c r="F82">
        <v>54492.1</v>
      </c>
      <c r="G82">
        <v>54412.3</v>
      </c>
      <c r="H82">
        <v>54628.6</v>
      </c>
      <c r="I82">
        <v>54844.7</v>
      </c>
      <c r="J82">
        <v>54658.1</v>
      </c>
      <c r="K82">
        <v>54749.7</v>
      </c>
      <c r="L82">
        <v>54539.5</v>
      </c>
      <c r="M82">
        <v>54768.1</v>
      </c>
      <c r="N82">
        <v>54459.7</v>
      </c>
      <c r="O82">
        <v>54773.5</v>
      </c>
      <c r="P82">
        <v>54896.1</v>
      </c>
      <c r="Q82">
        <v>54874.9</v>
      </c>
      <c r="R82">
        <v>54851.1</v>
      </c>
      <c r="S82">
        <v>54852.6</v>
      </c>
      <c r="T82">
        <v>54837.7</v>
      </c>
      <c r="U82">
        <v>54807</v>
      </c>
      <c r="V82">
        <v>54820.800000000003</v>
      </c>
      <c r="W82">
        <v>54756.3</v>
      </c>
      <c r="X82">
        <v>54802.8</v>
      </c>
      <c r="Y82">
        <v>54827.6</v>
      </c>
      <c r="Z82" s="77">
        <v>1310965</v>
      </c>
      <c r="AB82">
        <f t="shared" si="117"/>
        <v>0</v>
      </c>
      <c r="AC82">
        <f t="shared" si="56"/>
        <v>0</v>
      </c>
      <c r="AD82">
        <f t="shared" si="57"/>
        <v>0</v>
      </c>
      <c r="AE82">
        <f t="shared" si="58"/>
        <v>0</v>
      </c>
      <c r="AF82">
        <f t="shared" si="59"/>
        <v>0</v>
      </c>
      <c r="AG82">
        <f t="shared" si="60"/>
        <v>0</v>
      </c>
      <c r="AH82">
        <f t="shared" si="61"/>
        <v>0</v>
      </c>
      <c r="AI82">
        <f t="shared" si="62"/>
        <v>0</v>
      </c>
      <c r="AJ82">
        <f t="shared" si="63"/>
        <v>0</v>
      </c>
      <c r="AK82">
        <f t="shared" si="64"/>
        <v>0</v>
      </c>
      <c r="AL82">
        <f t="shared" si="65"/>
        <v>0</v>
      </c>
      <c r="AM82">
        <f t="shared" si="66"/>
        <v>0</v>
      </c>
      <c r="AN82">
        <f t="shared" si="67"/>
        <v>0</v>
      </c>
      <c r="AO82">
        <f t="shared" si="68"/>
        <v>0</v>
      </c>
      <c r="AP82">
        <f t="shared" si="69"/>
        <v>0</v>
      </c>
      <c r="AQ82">
        <f t="shared" si="70"/>
        <v>0</v>
      </c>
      <c r="AR82">
        <f t="shared" si="71"/>
        <v>0</v>
      </c>
      <c r="AS82">
        <f t="shared" si="72"/>
        <v>0</v>
      </c>
      <c r="AT82">
        <f t="shared" si="73"/>
        <v>0</v>
      </c>
      <c r="AU82">
        <f t="shared" si="74"/>
        <v>0</v>
      </c>
      <c r="AV82">
        <f t="shared" si="75"/>
        <v>0</v>
      </c>
      <c r="AW82">
        <f t="shared" si="76"/>
        <v>0</v>
      </c>
      <c r="AX82">
        <f t="shared" si="77"/>
        <v>0</v>
      </c>
      <c r="AY82">
        <f t="shared" si="118"/>
        <v>0</v>
      </c>
      <c r="BA82">
        <f t="shared" si="119"/>
        <v>7</v>
      </c>
      <c r="BB82">
        <f t="shared" si="79"/>
        <v>7</v>
      </c>
      <c r="BC82">
        <f t="shared" si="80"/>
        <v>7</v>
      </c>
      <c r="BD82">
        <f t="shared" si="81"/>
        <v>7</v>
      </c>
      <c r="BE82">
        <f t="shared" si="82"/>
        <v>7</v>
      </c>
      <c r="BF82">
        <f t="shared" si="83"/>
        <v>7</v>
      </c>
      <c r="BG82">
        <f t="shared" si="84"/>
        <v>7</v>
      </c>
      <c r="BH82">
        <f t="shared" si="85"/>
        <v>7</v>
      </c>
      <c r="BI82">
        <f t="shared" si="86"/>
        <v>7</v>
      </c>
      <c r="BJ82">
        <f t="shared" si="87"/>
        <v>7</v>
      </c>
      <c r="BK82">
        <f t="shared" si="88"/>
        <v>7</v>
      </c>
      <c r="BL82">
        <f t="shared" si="89"/>
        <v>7</v>
      </c>
      <c r="BM82">
        <f t="shared" si="90"/>
        <v>7</v>
      </c>
      <c r="BN82">
        <f t="shared" si="91"/>
        <v>7</v>
      </c>
      <c r="BO82">
        <f t="shared" si="92"/>
        <v>7</v>
      </c>
      <c r="BP82">
        <f t="shared" si="93"/>
        <v>7</v>
      </c>
      <c r="BQ82">
        <f t="shared" si="94"/>
        <v>7</v>
      </c>
      <c r="BR82">
        <f t="shared" si="95"/>
        <v>7</v>
      </c>
      <c r="BS82">
        <f t="shared" si="96"/>
        <v>7</v>
      </c>
      <c r="BT82">
        <f t="shared" si="97"/>
        <v>7</v>
      </c>
      <c r="BU82">
        <f t="shared" si="98"/>
        <v>7</v>
      </c>
      <c r="BV82">
        <f t="shared" si="99"/>
        <v>7</v>
      </c>
      <c r="BW82">
        <f t="shared" si="100"/>
        <v>7</v>
      </c>
      <c r="BX82">
        <f t="shared" si="101"/>
        <v>7</v>
      </c>
      <c r="BZ82" s="52">
        <f t="shared" si="129"/>
        <v>0</v>
      </c>
      <c r="CA82" s="52">
        <f t="shared" si="137"/>
        <v>0</v>
      </c>
      <c r="CB82" s="52">
        <f t="shared" si="137"/>
        <v>0</v>
      </c>
      <c r="CC82" s="52">
        <f t="shared" si="137"/>
        <v>0</v>
      </c>
      <c r="CD82" s="52">
        <f t="shared" si="137"/>
        <v>0</v>
      </c>
      <c r="CE82" s="52">
        <f t="shared" si="137"/>
        <v>0</v>
      </c>
      <c r="CF82" s="52">
        <f t="shared" si="137"/>
        <v>0</v>
      </c>
      <c r="CG82" s="52">
        <f t="shared" si="137"/>
        <v>0</v>
      </c>
      <c r="CH82" s="52">
        <f t="shared" si="137"/>
        <v>0</v>
      </c>
      <c r="CI82" s="52">
        <f t="shared" si="137"/>
        <v>0</v>
      </c>
      <c r="CJ82" s="52">
        <f t="shared" si="137"/>
        <v>0</v>
      </c>
      <c r="CK82" s="52">
        <f t="shared" si="137"/>
        <v>0</v>
      </c>
      <c r="CL82" s="52">
        <f t="shared" si="137"/>
        <v>0</v>
      </c>
      <c r="CM82" s="52">
        <f t="shared" si="137"/>
        <v>0</v>
      </c>
      <c r="CN82" s="52">
        <f t="shared" si="137"/>
        <v>0</v>
      </c>
      <c r="CO82" s="52">
        <f t="shared" si="137"/>
        <v>0</v>
      </c>
      <c r="CP82" s="52">
        <f t="shared" si="137"/>
        <v>0</v>
      </c>
      <c r="CQ82" s="52">
        <f t="shared" si="130"/>
        <v>0</v>
      </c>
      <c r="CR82" s="52">
        <f t="shared" si="131"/>
        <v>0</v>
      </c>
      <c r="CS82" s="52">
        <f t="shared" si="132"/>
        <v>0</v>
      </c>
      <c r="CT82" s="52">
        <f t="shared" si="133"/>
        <v>0</v>
      </c>
      <c r="CU82" s="52">
        <f t="shared" si="134"/>
        <v>0</v>
      </c>
      <c r="CV82" s="52">
        <f t="shared" si="135"/>
        <v>0</v>
      </c>
      <c r="CW82" s="52">
        <f t="shared" si="136"/>
        <v>0</v>
      </c>
    </row>
    <row r="83" spans="1:102">
      <c r="A83" s="60">
        <v>45005</v>
      </c>
      <c r="B83" s="426">
        <v>54266.2</v>
      </c>
      <c r="C83">
        <v>54729.1</v>
      </c>
      <c r="D83">
        <v>54423.199999999997</v>
      </c>
      <c r="E83">
        <v>53729.5</v>
      </c>
      <c r="F83">
        <v>53892.7</v>
      </c>
      <c r="G83">
        <v>53568.1</v>
      </c>
      <c r="H83">
        <v>53255.1</v>
      </c>
      <c r="I83">
        <v>53381.5</v>
      </c>
      <c r="J83">
        <v>52767.7</v>
      </c>
      <c r="K83">
        <v>52858.2</v>
      </c>
      <c r="L83">
        <v>52542</v>
      </c>
      <c r="M83">
        <v>53211.199999999997</v>
      </c>
      <c r="N83">
        <v>53233.2</v>
      </c>
      <c r="O83">
        <v>53248.4</v>
      </c>
      <c r="P83">
        <v>53050.2</v>
      </c>
      <c r="Q83">
        <v>53170.5</v>
      </c>
      <c r="R83">
        <v>53327.9</v>
      </c>
      <c r="S83">
        <v>53172.1</v>
      </c>
      <c r="T83">
        <v>53091.9</v>
      </c>
      <c r="U83">
        <v>53103.3</v>
      </c>
      <c r="V83">
        <v>53147.6</v>
      </c>
      <c r="W83">
        <v>53131.3</v>
      </c>
      <c r="X83">
        <v>53107.8</v>
      </c>
      <c r="Y83">
        <v>52954.1</v>
      </c>
      <c r="Z83" s="77">
        <v>1280362.8</v>
      </c>
      <c r="AB83" s="52">
        <f t="shared" si="117"/>
        <v>0</v>
      </c>
      <c r="AC83" s="52">
        <f t="shared" si="56"/>
        <v>0</v>
      </c>
      <c r="AD83" s="52">
        <f t="shared" si="57"/>
        <v>0</v>
      </c>
      <c r="AE83" s="52">
        <f t="shared" si="58"/>
        <v>0</v>
      </c>
      <c r="AF83" s="52">
        <f t="shared" si="59"/>
        <v>0</v>
      </c>
      <c r="AG83" s="52">
        <f t="shared" si="60"/>
        <v>0</v>
      </c>
      <c r="AH83" s="52">
        <f t="shared" si="61"/>
        <v>0</v>
      </c>
      <c r="AI83" s="52">
        <f t="shared" si="62"/>
        <v>0</v>
      </c>
      <c r="AJ83" s="52">
        <f t="shared" si="63"/>
        <v>0</v>
      </c>
      <c r="AK83" s="52">
        <f t="shared" si="64"/>
        <v>0</v>
      </c>
      <c r="AL83" s="52">
        <f t="shared" si="65"/>
        <v>0</v>
      </c>
      <c r="AM83" s="52">
        <f t="shared" si="66"/>
        <v>0</v>
      </c>
      <c r="AN83" s="52">
        <f t="shared" si="67"/>
        <v>0</v>
      </c>
      <c r="AO83" s="52">
        <f t="shared" si="68"/>
        <v>0</v>
      </c>
      <c r="AP83" s="52">
        <f t="shared" si="69"/>
        <v>0</v>
      </c>
      <c r="AQ83" s="52">
        <f t="shared" si="70"/>
        <v>0</v>
      </c>
      <c r="AR83" s="52">
        <f t="shared" si="71"/>
        <v>0</v>
      </c>
      <c r="AS83" s="52">
        <f t="shared" si="72"/>
        <v>0</v>
      </c>
      <c r="AT83" s="52">
        <f t="shared" si="73"/>
        <v>0</v>
      </c>
      <c r="AU83" s="52">
        <f t="shared" si="74"/>
        <v>0</v>
      </c>
      <c r="AV83" s="52">
        <f t="shared" si="75"/>
        <v>0</v>
      </c>
      <c r="AW83" s="52">
        <f t="shared" si="76"/>
        <v>0</v>
      </c>
      <c r="AX83" s="52">
        <f t="shared" si="77"/>
        <v>0</v>
      </c>
      <c r="AY83" s="52">
        <f t="shared" si="118"/>
        <v>0</v>
      </c>
      <c r="BA83" s="52">
        <f t="shared" si="119"/>
        <v>7</v>
      </c>
      <c r="BB83" s="52">
        <f t="shared" si="79"/>
        <v>7</v>
      </c>
      <c r="BC83" s="52">
        <f t="shared" si="80"/>
        <v>7</v>
      </c>
      <c r="BD83" s="52">
        <f t="shared" si="81"/>
        <v>7</v>
      </c>
      <c r="BE83" s="52">
        <f t="shared" si="82"/>
        <v>7</v>
      </c>
      <c r="BF83" s="52">
        <f t="shared" si="83"/>
        <v>7</v>
      </c>
      <c r="BG83" s="52">
        <f t="shared" si="84"/>
        <v>7</v>
      </c>
      <c r="BH83" s="52">
        <f t="shared" si="85"/>
        <v>7</v>
      </c>
      <c r="BI83" s="52">
        <f t="shared" si="86"/>
        <v>6</v>
      </c>
      <c r="BJ83" s="52">
        <f t="shared" si="87"/>
        <v>7</v>
      </c>
      <c r="BK83" s="52">
        <f t="shared" si="88"/>
        <v>6</v>
      </c>
      <c r="BL83" s="52">
        <f t="shared" si="89"/>
        <v>7</v>
      </c>
      <c r="BM83" s="52">
        <f t="shared" si="90"/>
        <v>7</v>
      </c>
      <c r="BN83" s="52">
        <f t="shared" si="91"/>
        <v>7</v>
      </c>
      <c r="BO83" s="52">
        <f t="shared" si="92"/>
        <v>7</v>
      </c>
      <c r="BP83" s="52">
        <f t="shared" si="93"/>
        <v>7</v>
      </c>
      <c r="BQ83" s="52">
        <f t="shared" si="94"/>
        <v>7</v>
      </c>
      <c r="BR83" s="52">
        <f t="shared" si="95"/>
        <v>7</v>
      </c>
      <c r="BS83" s="52">
        <f t="shared" si="96"/>
        <v>7</v>
      </c>
      <c r="BT83" s="52">
        <f t="shared" si="97"/>
        <v>7</v>
      </c>
      <c r="BU83" s="52">
        <f t="shared" si="98"/>
        <v>7</v>
      </c>
      <c r="BV83" s="52">
        <f t="shared" si="99"/>
        <v>7</v>
      </c>
      <c r="BW83" s="52">
        <f t="shared" si="100"/>
        <v>7</v>
      </c>
      <c r="BX83" s="52">
        <f t="shared" si="101"/>
        <v>7</v>
      </c>
      <c r="BZ83">
        <f t="shared" si="129"/>
        <v>0</v>
      </c>
      <c r="CA83">
        <f t="shared" si="137"/>
        <v>0</v>
      </c>
      <c r="CB83">
        <f t="shared" si="137"/>
        <v>0</v>
      </c>
      <c r="CC83">
        <f t="shared" si="137"/>
        <v>0</v>
      </c>
      <c r="CD83">
        <f t="shared" si="137"/>
        <v>0</v>
      </c>
      <c r="CE83">
        <f t="shared" si="137"/>
        <v>0</v>
      </c>
      <c r="CF83">
        <f t="shared" si="137"/>
        <v>0</v>
      </c>
      <c r="CG83">
        <f t="shared" si="137"/>
        <v>0</v>
      </c>
      <c r="CH83">
        <f t="shared" si="137"/>
        <v>-1</v>
      </c>
      <c r="CI83">
        <f t="shared" si="137"/>
        <v>1</v>
      </c>
      <c r="CJ83">
        <f t="shared" si="137"/>
        <v>-1</v>
      </c>
      <c r="CK83">
        <f t="shared" si="137"/>
        <v>1</v>
      </c>
      <c r="CL83">
        <f t="shared" si="137"/>
        <v>0</v>
      </c>
      <c r="CM83">
        <f t="shared" si="137"/>
        <v>0</v>
      </c>
      <c r="CN83">
        <f t="shared" si="137"/>
        <v>0</v>
      </c>
      <c r="CO83">
        <f t="shared" si="137"/>
        <v>0</v>
      </c>
      <c r="CP83">
        <f t="shared" si="137"/>
        <v>0</v>
      </c>
      <c r="CQ83">
        <f t="shared" si="130"/>
        <v>0</v>
      </c>
      <c r="CR83">
        <f t="shared" si="131"/>
        <v>0</v>
      </c>
      <c r="CS83">
        <f t="shared" si="132"/>
        <v>0</v>
      </c>
      <c r="CT83">
        <f t="shared" si="133"/>
        <v>0</v>
      </c>
      <c r="CU83">
        <f t="shared" si="134"/>
        <v>0</v>
      </c>
      <c r="CV83">
        <f t="shared" si="135"/>
        <v>0</v>
      </c>
      <c r="CW83">
        <f t="shared" si="136"/>
        <v>0</v>
      </c>
    </row>
    <row r="84" spans="1:102">
      <c r="A84" s="60">
        <v>45006</v>
      </c>
      <c r="B84" s="426">
        <v>51780.6</v>
      </c>
      <c r="C84">
        <v>53553</v>
      </c>
      <c r="D84">
        <v>53570</v>
      </c>
      <c r="E84">
        <v>53485.5</v>
      </c>
      <c r="F84">
        <v>53629.4</v>
      </c>
      <c r="G84">
        <v>53641.8</v>
      </c>
      <c r="H84">
        <v>53562.3</v>
      </c>
      <c r="I84">
        <v>53706.5</v>
      </c>
      <c r="J84">
        <v>53735.199999999997</v>
      </c>
      <c r="K84">
        <v>53657</v>
      </c>
      <c r="L84">
        <v>53100.7</v>
      </c>
      <c r="M84">
        <v>53120.800000000003</v>
      </c>
      <c r="N84">
        <v>53199.199999999997</v>
      </c>
      <c r="O84">
        <v>53285.8</v>
      </c>
      <c r="P84">
        <v>53303.6</v>
      </c>
      <c r="Q84">
        <v>52663</v>
      </c>
      <c r="R84">
        <v>52612.2</v>
      </c>
      <c r="S84">
        <v>52589.8</v>
      </c>
      <c r="T84">
        <v>53090</v>
      </c>
      <c r="U84">
        <v>53833.5</v>
      </c>
      <c r="V84">
        <v>53786.7</v>
      </c>
      <c r="W84">
        <v>53867.1</v>
      </c>
      <c r="X84">
        <v>53667.8</v>
      </c>
      <c r="Y84">
        <v>53589.5</v>
      </c>
      <c r="Z84" s="77">
        <v>1280031</v>
      </c>
      <c r="AB84">
        <f t="shared" si="117"/>
        <v>0</v>
      </c>
      <c r="AC84">
        <f t="shared" si="56"/>
        <v>0</v>
      </c>
      <c r="AD84">
        <f t="shared" si="57"/>
        <v>0</v>
      </c>
      <c r="AE84">
        <f t="shared" si="58"/>
        <v>0</v>
      </c>
      <c r="AF84">
        <f t="shared" si="59"/>
        <v>0</v>
      </c>
      <c r="AG84">
        <f t="shared" si="60"/>
        <v>0</v>
      </c>
      <c r="AH84">
        <f t="shared" si="61"/>
        <v>0</v>
      </c>
      <c r="AI84">
        <f t="shared" si="62"/>
        <v>0</v>
      </c>
      <c r="AJ84">
        <f t="shared" si="63"/>
        <v>0</v>
      </c>
      <c r="AK84">
        <f t="shared" si="64"/>
        <v>0</v>
      </c>
      <c r="AL84">
        <f t="shared" si="65"/>
        <v>0</v>
      </c>
      <c r="AM84">
        <f t="shared" si="66"/>
        <v>0</v>
      </c>
      <c r="AN84">
        <f t="shared" si="67"/>
        <v>0</v>
      </c>
      <c r="AO84">
        <f t="shared" si="68"/>
        <v>0</v>
      </c>
      <c r="AP84">
        <f t="shared" si="69"/>
        <v>0</v>
      </c>
      <c r="AQ84">
        <f t="shared" si="70"/>
        <v>0</v>
      </c>
      <c r="AR84">
        <f t="shared" si="71"/>
        <v>0</v>
      </c>
      <c r="AS84">
        <f t="shared" si="72"/>
        <v>0</v>
      </c>
      <c r="AT84">
        <f t="shared" si="73"/>
        <v>0</v>
      </c>
      <c r="AU84">
        <f t="shared" si="74"/>
        <v>0</v>
      </c>
      <c r="AV84">
        <f t="shared" si="75"/>
        <v>0</v>
      </c>
      <c r="AW84">
        <f t="shared" si="76"/>
        <v>0</v>
      </c>
      <c r="AX84">
        <f t="shared" si="77"/>
        <v>0</v>
      </c>
      <c r="AY84">
        <f t="shared" si="118"/>
        <v>0</v>
      </c>
      <c r="BA84">
        <f t="shared" si="119"/>
        <v>6</v>
      </c>
      <c r="BB84">
        <f t="shared" si="79"/>
        <v>7</v>
      </c>
      <c r="BC84">
        <f t="shared" si="80"/>
        <v>7</v>
      </c>
      <c r="BD84">
        <f t="shared" si="81"/>
        <v>7</v>
      </c>
      <c r="BE84">
        <f t="shared" si="82"/>
        <v>7</v>
      </c>
      <c r="BF84">
        <f t="shared" si="83"/>
        <v>7</v>
      </c>
      <c r="BG84">
        <f t="shared" si="84"/>
        <v>7</v>
      </c>
      <c r="BH84">
        <f t="shared" si="85"/>
        <v>7</v>
      </c>
      <c r="BI84">
        <f t="shared" si="86"/>
        <v>7</v>
      </c>
      <c r="BJ84">
        <f t="shared" si="87"/>
        <v>7</v>
      </c>
      <c r="BK84">
        <f t="shared" si="88"/>
        <v>7</v>
      </c>
      <c r="BL84">
        <f t="shared" si="89"/>
        <v>7</v>
      </c>
      <c r="BM84">
        <f t="shared" si="90"/>
        <v>7</v>
      </c>
      <c r="BN84">
        <f t="shared" si="91"/>
        <v>7</v>
      </c>
      <c r="BO84">
        <f t="shared" si="92"/>
        <v>7</v>
      </c>
      <c r="BP84">
        <f t="shared" si="93"/>
        <v>6</v>
      </c>
      <c r="BQ84">
        <f t="shared" si="94"/>
        <v>6</v>
      </c>
      <c r="BR84">
        <f t="shared" si="95"/>
        <v>6</v>
      </c>
      <c r="BS84">
        <f t="shared" si="96"/>
        <v>7</v>
      </c>
      <c r="BT84">
        <f t="shared" si="97"/>
        <v>7</v>
      </c>
      <c r="BU84">
        <f t="shared" si="98"/>
        <v>7</v>
      </c>
      <c r="BV84">
        <f t="shared" si="99"/>
        <v>7</v>
      </c>
      <c r="BW84">
        <f t="shared" si="100"/>
        <v>7</v>
      </c>
      <c r="BX84">
        <f t="shared" si="101"/>
        <v>7</v>
      </c>
      <c r="BZ84" s="52">
        <f t="shared" si="129"/>
        <v>-1</v>
      </c>
      <c r="CA84" s="52">
        <f t="shared" si="137"/>
        <v>1</v>
      </c>
      <c r="CB84" s="52">
        <f t="shared" si="137"/>
        <v>0</v>
      </c>
      <c r="CC84" s="52">
        <f t="shared" si="137"/>
        <v>0</v>
      </c>
      <c r="CD84" s="52">
        <f t="shared" si="137"/>
        <v>0</v>
      </c>
      <c r="CE84" s="52">
        <f t="shared" si="137"/>
        <v>0</v>
      </c>
      <c r="CF84" s="52">
        <f t="shared" si="137"/>
        <v>0</v>
      </c>
      <c r="CG84" s="52">
        <f t="shared" si="137"/>
        <v>0</v>
      </c>
      <c r="CH84" s="52">
        <f t="shared" si="137"/>
        <v>0</v>
      </c>
      <c r="CI84" s="52">
        <f t="shared" si="137"/>
        <v>0</v>
      </c>
      <c r="CJ84" s="52">
        <f t="shared" si="137"/>
        <v>0</v>
      </c>
      <c r="CK84" s="52">
        <f t="shared" si="137"/>
        <v>0</v>
      </c>
      <c r="CL84" s="52">
        <f t="shared" si="137"/>
        <v>0</v>
      </c>
      <c r="CM84" s="52">
        <f t="shared" si="137"/>
        <v>0</v>
      </c>
      <c r="CN84" s="52">
        <f t="shared" si="137"/>
        <v>0</v>
      </c>
      <c r="CO84" s="52">
        <f t="shared" si="137"/>
        <v>-1</v>
      </c>
      <c r="CP84" s="52">
        <f t="shared" si="137"/>
        <v>0</v>
      </c>
      <c r="CQ84" s="52">
        <f t="shared" si="130"/>
        <v>0</v>
      </c>
      <c r="CR84" s="52">
        <f t="shared" si="131"/>
        <v>1</v>
      </c>
      <c r="CS84" s="52">
        <f t="shared" si="132"/>
        <v>0</v>
      </c>
      <c r="CT84" s="52">
        <f t="shared" si="133"/>
        <v>0</v>
      </c>
      <c r="CU84" s="52">
        <f t="shared" si="134"/>
        <v>0</v>
      </c>
      <c r="CV84" s="52">
        <f t="shared" si="135"/>
        <v>0</v>
      </c>
      <c r="CW84" s="52">
        <f t="shared" si="136"/>
        <v>0</v>
      </c>
    </row>
    <row r="85" spans="1:102">
      <c r="A85" s="60">
        <v>45007</v>
      </c>
      <c r="B85" s="426">
        <v>53731.7</v>
      </c>
      <c r="C85">
        <v>54173</v>
      </c>
      <c r="D85">
        <v>54039.6</v>
      </c>
      <c r="E85">
        <v>53965.599999999999</v>
      </c>
      <c r="F85">
        <v>54145.9</v>
      </c>
      <c r="G85">
        <v>53848.3</v>
      </c>
      <c r="H85">
        <v>54072.9</v>
      </c>
      <c r="I85">
        <v>53782.8</v>
      </c>
      <c r="J85">
        <v>53017.3</v>
      </c>
      <c r="K85">
        <v>53707.6</v>
      </c>
      <c r="L85">
        <v>53537.1</v>
      </c>
      <c r="M85">
        <v>53722.1</v>
      </c>
      <c r="N85">
        <v>53717.8</v>
      </c>
      <c r="O85">
        <v>53460.7</v>
      </c>
      <c r="P85">
        <v>52854.6</v>
      </c>
      <c r="Q85">
        <v>53348.7</v>
      </c>
      <c r="R85">
        <v>53284.3</v>
      </c>
      <c r="S85">
        <v>53226.5</v>
      </c>
      <c r="T85">
        <v>53205.7</v>
      </c>
      <c r="U85">
        <v>53635.5</v>
      </c>
      <c r="V85">
        <v>54486.9</v>
      </c>
      <c r="W85">
        <v>54270.400000000001</v>
      </c>
      <c r="X85">
        <v>52071</v>
      </c>
      <c r="Y85">
        <v>54446.6</v>
      </c>
      <c r="Z85" s="77">
        <v>1287752.5999999996</v>
      </c>
      <c r="AB85" s="52">
        <f t="shared" si="117"/>
        <v>0</v>
      </c>
      <c r="AC85" s="52">
        <f t="shared" si="56"/>
        <v>0</v>
      </c>
      <c r="AD85" s="52">
        <f t="shared" si="57"/>
        <v>0</v>
      </c>
      <c r="AE85" s="52">
        <f t="shared" si="58"/>
        <v>0</v>
      </c>
      <c r="AF85" s="52">
        <f t="shared" si="59"/>
        <v>0</v>
      </c>
      <c r="AG85" s="52">
        <f t="shared" si="60"/>
        <v>0</v>
      </c>
      <c r="AH85" s="52">
        <f t="shared" si="61"/>
        <v>0</v>
      </c>
      <c r="AI85" s="52">
        <f t="shared" si="62"/>
        <v>0</v>
      </c>
      <c r="AJ85" s="52">
        <f t="shared" si="63"/>
        <v>0</v>
      </c>
      <c r="AK85" s="52">
        <f t="shared" si="64"/>
        <v>0</v>
      </c>
      <c r="AL85" s="52">
        <f t="shared" si="65"/>
        <v>0</v>
      </c>
      <c r="AM85" s="52">
        <f t="shared" si="66"/>
        <v>0</v>
      </c>
      <c r="AN85" s="52">
        <f t="shared" si="67"/>
        <v>0</v>
      </c>
      <c r="AO85" s="52">
        <f t="shared" si="68"/>
        <v>0</v>
      </c>
      <c r="AP85" s="52">
        <f t="shared" si="69"/>
        <v>0</v>
      </c>
      <c r="AQ85" s="52">
        <f t="shared" si="70"/>
        <v>0</v>
      </c>
      <c r="AR85" s="52">
        <f t="shared" si="71"/>
        <v>0</v>
      </c>
      <c r="AS85" s="52">
        <f t="shared" si="72"/>
        <v>0</v>
      </c>
      <c r="AT85" s="52">
        <f t="shared" si="73"/>
        <v>0</v>
      </c>
      <c r="AU85" s="52">
        <f t="shared" si="74"/>
        <v>0</v>
      </c>
      <c r="AV85" s="52">
        <f t="shared" si="75"/>
        <v>0</v>
      </c>
      <c r="AW85" s="52">
        <f t="shared" si="76"/>
        <v>0</v>
      </c>
      <c r="AX85" s="52">
        <f t="shared" si="77"/>
        <v>0</v>
      </c>
      <c r="AY85" s="52">
        <f t="shared" si="118"/>
        <v>0</v>
      </c>
      <c r="BA85" s="52">
        <f t="shared" si="119"/>
        <v>7</v>
      </c>
      <c r="BB85" s="52">
        <f t="shared" si="79"/>
        <v>7</v>
      </c>
      <c r="BC85" s="52">
        <f t="shared" si="80"/>
        <v>7</v>
      </c>
      <c r="BD85" s="52">
        <f t="shared" si="81"/>
        <v>7</v>
      </c>
      <c r="BE85" s="52">
        <f t="shared" si="82"/>
        <v>7</v>
      </c>
      <c r="BF85" s="52">
        <f t="shared" si="83"/>
        <v>7</v>
      </c>
      <c r="BG85" s="52">
        <f t="shared" si="84"/>
        <v>7</v>
      </c>
      <c r="BH85" s="52">
        <f t="shared" si="85"/>
        <v>7</v>
      </c>
      <c r="BI85" s="52">
        <f t="shared" si="86"/>
        <v>7</v>
      </c>
      <c r="BJ85" s="52">
        <f t="shared" si="87"/>
        <v>7</v>
      </c>
      <c r="BK85" s="52">
        <f t="shared" si="88"/>
        <v>7</v>
      </c>
      <c r="BL85" s="52">
        <f t="shared" si="89"/>
        <v>7</v>
      </c>
      <c r="BM85" s="52">
        <f t="shared" si="90"/>
        <v>7</v>
      </c>
      <c r="BN85" s="52">
        <f t="shared" si="91"/>
        <v>7</v>
      </c>
      <c r="BO85" s="52">
        <f t="shared" si="92"/>
        <v>7</v>
      </c>
      <c r="BP85" s="52">
        <f t="shared" si="93"/>
        <v>7</v>
      </c>
      <c r="BQ85" s="52">
        <f t="shared" si="94"/>
        <v>7</v>
      </c>
      <c r="BR85" s="52">
        <f t="shared" si="95"/>
        <v>7</v>
      </c>
      <c r="BS85" s="52">
        <f t="shared" si="96"/>
        <v>7</v>
      </c>
      <c r="BT85" s="52">
        <f t="shared" si="97"/>
        <v>7</v>
      </c>
      <c r="BU85" s="52">
        <f t="shared" si="98"/>
        <v>7</v>
      </c>
      <c r="BV85" s="52">
        <f t="shared" si="99"/>
        <v>7</v>
      </c>
      <c r="BW85" s="52">
        <f t="shared" si="100"/>
        <v>6</v>
      </c>
      <c r="BX85" s="52">
        <f t="shared" si="101"/>
        <v>7</v>
      </c>
      <c r="BZ85">
        <f t="shared" si="129"/>
        <v>0</v>
      </c>
      <c r="CA85">
        <f t="shared" si="137"/>
        <v>0</v>
      </c>
      <c r="CB85">
        <f t="shared" si="137"/>
        <v>0</v>
      </c>
      <c r="CC85">
        <f t="shared" si="137"/>
        <v>0</v>
      </c>
      <c r="CD85">
        <f t="shared" si="137"/>
        <v>0</v>
      </c>
      <c r="CE85">
        <f t="shared" si="137"/>
        <v>0</v>
      </c>
      <c r="CF85">
        <f t="shared" si="137"/>
        <v>0</v>
      </c>
      <c r="CG85">
        <f t="shared" si="137"/>
        <v>0</v>
      </c>
      <c r="CH85">
        <f t="shared" si="137"/>
        <v>0</v>
      </c>
      <c r="CI85">
        <f t="shared" si="137"/>
        <v>0</v>
      </c>
      <c r="CJ85">
        <f t="shared" si="137"/>
        <v>0</v>
      </c>
      <c r="CK85">
        <f t="shared" si="137"/>
        <v>0</v>
      </c>
      <c r="CL85">
        <f t="shared" si="137"/>
        <v>0</v>
      </c>
      <c r="CM85">
        <f t="shared" si="137"/>
        <v>0</v>
      </c>
      <c r="CN85">
        <f t="shared" si="137"/>
        <v>0</v>
      </c>
      <c r="CO85">
        <f t="shared" si="137"/>
        <v>0</v>
      </c>
      <c r="CP85">
        <f t="shared" si="137"/>
        <v>0</v>
      </c>
      <c r="CQ85">
        <f t="shared" si="130"/>
        <v>0</v>
      </c>
      <c r="CR85">
        <f t="shared" si="131"/>
        <v>0</v>
      </c>
      <c r="CS85">
        <f t="shared" si="132"/>
        <v>0</v>
      </c>
      <c r="CT85">
        <f t="shared" si="133"/>
        <v>0</v>
      </c>
      <c r="CU85">
        <f t="shared" si="134"/>
        <v>0</v>
      </c>
      <c r="CV85">
        <f t="shared" si="135"/>
        <v>-1</v>
      </c>
      <c r="CW85">
        <f t="shared" si="136"/>
        <v>1</v>
      </c>
    </row>
    <row r="86" spans="1:102">
      <c r="A86" s="60">
        <v>45008</v>
      </c>
      <c r="B86" s="426">
        <v>53215.199999999997</v>
      </c>
      <c r="C86">
        <v>54535.8</v>
      </c>
      <c r="D86">
        <v>54556.3</v>
      </c>
      <c r="E86">
        <v>54605.8</v>
      </c>
      <c r="F86">
        <v>54570.9</v>
      </c>
      <c r="G86">
        <v>54594.7</v>
      </c>
      <c r="H86">
        <v>54510.2</v>
      </c>
      <c r="I86">
        <v>54525.1</v>
      </c>
      <c r="J86">
        <v>54547.199999999997</v>
      </c>
      <c r="K86">
        <v>54552.4</v>
      </c>
      <c r="L86">
        <v>55273.4</v>
      </c>
      <c r="M86">
        <v>54498.6</v>
      </c>
      <c r="N86">
        <v>54492</v>
      </c>
      <c r="O86">
        <v>54485.1</v>
      </c>
      <c r="P86">
        <v>54489.2</v>
      </c>
      <c r="Q86">
        <v>54556.1</v>
      </c>
      <c r="R86">
        <v>54511.4</v>
      </c>
      <c r="S86">
        <v>54545.7</v>
      </c>
      <c r="T86">
        <v>54551.5</v>
      </c>
      <c r="U86">
        <v>54338.1</v>
      </c>
      <c r="V86">
        <v>54450.5</v>
      </c>
      <c r="W86">
        <v>54465.7</v>
      </c>
      <c r="X86">
        <v>54435.4</v>
      </c>
      <c r="Y86">
        <v>54223.9</v>
      </c>
      <c r="Z86" s="77">
        <v>1307530.1999999997</v>
      </c>
      <c r="AB86">
        <f t="shared" si="117"/>
        <v>0</v>
      </c>
      <c r="AC86">
        <f t="shared" si="56"/>
        <v>0</v>
      </c>
      <c r="AD86">
        <f t="shared" si="57"/>
        <v>0</v>
      </c>
      <c r="AE86">
        <f t="shared" si="58"/>
        <v>0</v>
      </c>
      <c r="AF86">
        <f t="shared" si="59"/>
        <v>0</v>
      </c>
      <c r="AG86">
        <f t="shared" si="60"/>
        <v>0</v>
      </c>
      <c r="AH86">
        <f t="shared" si="61"/>
        <v>0</v>
      </c>
      <c r="AI86">
        <f t="shared" si="62"/>
        <v>0</v>
      </c>
      <c r="AJ86">
        <f t="shared" si="63"/>
        <v>0</v>
      </c>
      <c r="AK86">
        <f t="shared" si="64"/>
        <v>0</v>
      </c>
      <c r="AL86">
        <f t="shared" si="65"/>
        <v>0</v>
      </c>
      <c r="AM86">
        <f t="shared" si="66"/>
        <v>0</v>
      </c>
      <c r="AN86">
        <f t="shared" si="67"/>
        <v>0</v>
      </c>
      <c r="AO86">
        <f t="shared" si="68"/>
        <v>0</v>
      </c>
      <c r="AP86">
        <f t="shared" si="69"/>
        <v>0</v>
      </c>
      <c r="AQ86">
        <f t="shared" si="70"/>
        <v>0</v>
      </c>
      <c r="AR86">
        <f t="shared" si="71"/>
        <v>0</v>
      </c>
      <c r="AS86">
        <f t="shared" si="72"/>
        <v>0</v>
      </c>
      <c r="AT86">
        <f t="shared" si="73"/>
        <v>0</v>
      </c>
      <c r="AU86">
        <f t="shared" si="74"/>
        <v>0</v>
      </c>
      <c r="AV86">
        <f t="shared" si="75"/>
        <v>0</v>
      </c>
      <c r="AW86">
        <f t="shared" si="76"/>
        <v>0</v>
      </c>
      <c r="AX86">
        <f t="shared" si="77"/>
        <v>0</v>
      </c>
      <c r="AY86">
        <f t="shared" si="118"/>
        <v>0</v>
      </c>
      <c r="BA86">
        <f t="shared" si="119"/>
        <v>7</v>
      </c>
      <c r="BB86">
        <f t="shared" si="79"/>
        <v>7</v>
      </c>
      <c r="BC86">
        <f t="shared" si="80"/>
        <v>7</v>
      </c>
      <c r="BD86">
        <f t="shared" si="81"/>
        <v>7</v>
      </c>
      <c r="BE86">
        <f t="shared" si="82"/>
        <v>7</v>
      </c>
      <c r="BF86">
        <f t="shared" si="83"/>
        <v>7</v>
      </c>
      <c r="BG86">
        <f t="shared" si="84"/>
        <v>7</v>
      </c>
      <c r="BH86">
        <f t="shared" si="85"/>
        <v>7</v>
      </c>
      <c r="BI86">
        <f t="shared" si="86"/>
        <v>7</v>
      </c>
      <c r="BJ86">
        <f t="shared" si="87"/>
        <v>7</v>
      </c>
      <c r="BK86">
        <f t="shared" si="88"/>
        <v>7</v>
      </c>
      <c r="BL86">
        <f t="shared" si="89"/>
        <v>7</v>
      </c>
      <c r="BM86">
        <f t="shared" si="90"/>
        <v>7</v>
      </c>
      <c r="BN86">
        <f t="shared" si="91"/>
        <v>7</v>
      </c>
      <c r="BO86">
        <f t="shared" si="92"/>
        <v>7</v>
      </c>
      <c r="BP86">
        <f t="shared" si="93"/>
        <v>7</v>
      </c>
      <c r="BQ86">
        <f t="shared" si="94"/>
        <v>7</v>
      </c>
      <c r="BR86">
        <f t="shared" si="95"/>
        <v>7</v>
      </c>
      <c r="BS86">
        <f t="shared" si="96"/>
        <v>7</v>
      </c>
      <c r="BT86">
        <f t="shared" si="97"/>
        <v>7</v>
      </c>
      <c r="BU86">
        <f t="shared" si="98"/>
        <v>7</v>
      </c>
      <c r="BV86">
        <f t="shared" si="99"/>
        <v>7</v>
      </c>
      <c r="BW86">
        <f t="shared" si="100"/>
        <v>7</v>
      </c>
      <c r="BX86">
        <f t="shared" si="101"/>
        <v>7</v>
      </c>
      <c r="BZ86" s="52">
        <f t="shared" si="129"/>
        <v>0</v>
      </c>
      <c r="CA86" s="52">
        <f t="shared" si="137"/>
        <v>0</v>
      </c>
      <c r="CB86" s="52">
        <f t="shared" si="137"/>
        <v>0</v>
      </c>
      <c r="CC86" s="52">
        <f t="shared" si="137"/>
        <v>0</v>
      </c>
      <c r="CD86" s="52">
        <f t="shared" si="137"/>
        <v>0</v>
      </c>
      <c r="CE86" s="52">
        <f t="shared" si="137"/>
        <v>0</v>
      </c>
      <c r="CF86" s="52">
        <f t="shared" si="137"/>
        <v>0</v>
      </c>
      <c r="CG86" s="52">
        <f t="shared" si="137"/>
        <v>0</v>
      </c>
      <c r="CH86" s="52">
        <f t="shared" si="137"/>
        <v>0</v>
      </c>
      <c r="CI86" s="52">
        <f t="shared" si="137"/>
        <v>0</v>
      </c>
      <c r="CJ86" s="52">
        <f t="shared" si="137"/>
        <v>0</v>
      </c>
      <c r="CK86" s="52">
        <f t="shared" si="137"/>
        <v>0</v>
      </c>
      <c r="CL86" s="52">
        <f t="shared" si="137"/>
        <v>0</v>
      </c>
      <c r="CM86" s="52">
        <f t="shared" si="137"/>
        <v>0</v>
      </c>
      <c r="CN86" s="52">
        <f t="shared" si="137"/>
        <v>0</v>
      </c>
      <c r="CO86" s="52">
        <f t="shared" si="137"/>
        <v>0</v>
      </c>
      <c r="CP86" s="52">
        <f t="shared" si="137"/>
        <v>0</v>
      </c>
      <c r="CQ86" s="52">
        <f t="shared" si="130"/>
        <v>0</v>
      </c>
      <c r="CR86" s="52">
        <f t="shared" si="131"/>
        <v>0</v>
      </c>
      <c r="CS86" s="52">
        <f t="shared" si="132"/>
        <v>0</v>
      </c>
      <c r="CT86" s="52">
        <f t="shared" si="133"/>
        <v>0</v>
      </c>
      <c r="CU86" s="52">
        <f t="shared" si="134"/>
        <v>0</v>
      </c>
      <c r="CV86" s="52">
        <f t="shared" si="135"/>
        <v>0</v>
      </c>
      <c r="CW86" s="52">
        <f t="shared" si="136"/>
        <v>0</v>
      </c>
    </row>
    <row r="87" spans="1:102">
      <c r="A87" s="60">
        <v>45009</v>
      </c>
      <c r="B87" s="426">
        <v>53110.400000000001</v>
      </c>
      <c r="C87">
        <v>53049.4</v>
      </c>
      <c r="D87">
        <v>53009.8</v>
      </c>
      <c r="E87">
        <v>53384.5</v>
      </c>
      <c r="F87">
        <v>53369.5</v>
      </c>
      <c r="G87">
        <v>52884.4</v>
      </c>
      <c r="H87">
        <v>53052.4</v>
      </c>
      <c r="I87">
        <v>53006.400000000001</v>
      </c>
      <c r="J87">
        <v>53216.4</v>
      </c>
      <c r="K87">
        <v>54820.7</v>
      </c>
      <c r="L87">
        <v>54782.6</v>
      </c>
      <c r="M87">
        <v>53957.599999999999</v>
      </c>
      <c r="N87">
        <v>54708.5</v>
      </c>
      <c r="O87">
        <v>54076.7</v>
      </c>
      <c r="P87">
        <v>54462.9</v>
      </c>
      <c r="Q87">
        <v>54285</v>
      </c>
      <c r="R87">
        <v>54208.4</v>
      </c>
      <c r="S87">
        <v>54138.1</v>
      </c>
      <c r="T87">
        <v>54041.5</v>
      </c>
      <c r="U87">
        <v>54114.5</v>
      </c>
      <c r="V87">
        <v>54085.2</v>
      </c>
      <c r="W87">
        <v>64081.8</v>
      </c>
      <c r="X87">
        <v>65340.5</v>
      </c>
      <c r="Y87">
        <v>64226.6</v>
      </c>
      <c r="Z87" s="77">
        <v>1323413.8</v>
      </c>
      <c r="AB87" s="52">
        <f t="shared" si="117"/>
        <v>0</v>
      </c>
      <c r="AC87" s="52">
        <f t="shared" si="56"/>
        <v>0</v>
      </c>
      <c r="AD87" s="52">
        <f t="shared" si="57"/>
        <v>0</v>
      </c>
      <c r="AE87" s="52">
        <f t="shared" si="58"/>
        <v>0</v>
      </c>
      <c r="AF87" s="52">
        <f t="shared" si="59"/>
        <v>0</v>
      </c>
      <c r="AG87" s="52">
        <f t="shared" si="60"/>
        <v>0</v>
      </c>
      <c r="AH87" s="52">
        <f t="shared" si="61"/>
        <v>0</v>
      </c>
      <c r="AI87" s="52">
        <f t="shared" si="62"/>
        <v>0</v>
      </c>
      <c r="AJ87" s="52">
        <f t="shared" si="63"/>
        <v>0</v>
      </c>
      <c r="AK87" s="52">
        <f t="shared" si="64"/>
        <v>0</v>
      </c>
      <c r="AL87" s="52">
        <f t="shared" si="65"/>
        <v>0</v>
      </c>
      <c r="AM87" s="52">
        <f t="shared" si="66"/>
        <v>0</v>
      </c>
      <c r="AN87" s="52">
        <f t="shared" si="67"/>
        <v>0</v>
      </c>
      <c r="AO87" s="52">
        <f t="shared" si="68"/>
        <v>0</v>
      </c>
      <c r="AP87" s="52">
        <f t="shared" si="69"/>
        <v>0</v>
      </c>
      <c r="AQ87" s="52">
        <f t="shared" si="70"/>
        <v>0</v>
      </c>
      <c r="AR87" s="52">
        <f t="shared" si="71"/>
        <v>0</v>
      </c>
      <c r="AS87" s="52">
        <f t="shared" si="72"/>
        <v>0</v>
      </c>
      <c r="AT87" s="52">
        <f t="shared" si="73"/>
        <v>0</v>
      </c>
      <c r="AU87" s="52">
        <f t="shared" si="74"/>
        <v>0</v>
      </c>
      <c r="AV87" s="52">
        <f t="shared" si="75"/>
        <v>0</v>
      </c>
      <c r="AW87" s="52">
        <f t="shared" si="76"/>
        <v>0</v>
      </c>
      <c r="AX87" s="52">
        <f t="shared" si="77"/>
        <v>0</v>
      </c>
      <c r="AY87" s="52">
        <f t="shared" si="118"/>
        <v>0</v>
      </c>
      <c r="BA87" s="52">
        <f t="shared" si="119"/>
        <v>7</v>
      </c>
      <c r="BB87" s="52">
        <f t="shared" si="79"/>
        <v>7</v>
      </c>
      <c r="BC87" s="52">
        <f t="shared" si="80"/>
        <v>7</v>
      </c>
      <c r="BD87" s="52">
        <f t="shared" si="81"/>
        <v>7</v>
      </c>
      <c r="BE87" s="52">
        <f t="shared" si="82"/>
        <v>7</v>
      </c>
      <c r="BF87" s="52">
        <f t="shared" si="83"/>
        <v>7</v>
      </c>
      <c r="BG87" s="52">
        <f t="shared" si="84"/>
        <v>7</v>
      </c>
      <c r="BH87" s="52">
        <f t="shared" si="85"/>
        <v>7</v>
      </c>
      <c r="BI87" s="52">
        <f t="shared" si="86"/>
        <v>7</v>
      </c>
      <c r="BJ87" s="52">
        <f t="shared" si="87"/>
        <v>7</v>
      </c>
      <c r="BK87" s="52">
        <f t="shared" si="88"/>
        <v>7</v>
      </c>
      <c r="BL87" s="52">
        <f t="shared" si="89"/>
        <v>7</v>
      </c>
      <c r="BM87" s="52">
        <f t="shared" si="90"/>
        <v>7</v>
      </c>
      <c r="BN87" s="52">
        <f t="shared" si="91"/>
        <v>7</v>
      </c>
      <c r="BO87" s="52">
        <f t="shared" si="92"/>
        <v>7</v>
      </c>
      <c r="BP87" s="52">
        <f t="shared" si="93"/>
        <v>7</v>
      </c>
      <c r="BQ87" s="52">
        <f t="shared" si="94"/>
        <v>7</v>
      </c>
      <c r="BR87" s="52">
        <f t="shared" si="95"/>
        <v>7</v>
      </c>
      <c r="BS87" s="52">
        <f t="shared" si="96"/>
        <v>7</v>
      </c>
      <c r="BT87" s="52">
        <f t="shared" si="97"/>
        <v>7</v>
      </c>
      <c r="BU87" s="52">
        <f t="shared" si="98"/>
        <v>7</v>
      </c>
      <c r="BV87" s="52">
        <f t="shared" si="99"/>
        <v>8</v>
      </c>
      <c r="BW87" s="52">
        <f t="shared" si="100"/>
        <v>8</v>
      </c>
      <c r="BX87" s="52">
        <f t="shared" si="101"/>
        <v>8</v>
      </c>
      <c r="BZ87">
        <f t="shared" si="129"/>
        <v>0</v>
      </c>
      <c r="CA87">
        <f t="shared" si="137"/>
        <v>0</v>
      </c>
      <c r="CB87">
        <f t="shared" si="137"/>
        <v>0</v>
      </c>
      <c r="CC87">
        <f t="shared" si="137"/>
        <v>0</v>
      </c>
      <c r="CD87">
        <f t="shared" si="137"/>
        <v>0</v>
      </c>
      <c r="CE87">
        <f t="shared" si="137"/>
        <v>0</v>
      </c>
      <c r="CF87">
        <f t="shared" si="137"/>
        <v>0</v>
      </c>
      <c r="CG87">
        <f t="shared" si="137"/>
        <v>0</v>
      </c>
      <c r="CH87">
        <f t="shared" si="137"/>
        <v>0</v>
      </c>
      <c r="CI87">
        <f t="shared" si="137"/>
        <v>0</v>
      </c>
      <c r="CJ87">
        <f t="shared" si="137"/>
        <v>0</v>
      </c>
      <c r="CK87">
        <f t="shared" si="137"/>
        <v>0</v>
      </c>
      <c r="CL87">
        <f t="shared" si="137"/>
        <v>0</v>
      </c>
      <c r="CM87">
        <f t="shared" si="137"/>
        <v>0</v>
      </c>
      <c r="CN87">
        <f t="shared" si="137"/>
        <v>0</v>
      </c>
      <c r="CO87">
        <f t="shared" si="137"/>
        <v>0</v>
      </c>
      <c r="CP87">
        <f t="shared" si="137"/>
        <v>0</v>
      </c>
      <c r="CQ87">
        <f t="shared" si="130"/>
        <v>0</v>
      </c>
      <c r="CR87">
        <f t="shared" si="131"/>
        <v>0</v>
      </c>
      <c r="CS87">
        <f t="shared" si="132"/>
        <v>0</v>
      </c>
      <c r="CT87">
        <f t="shared" si="133"/>
        <v>0</v>
      </c>
      <c r="CU87">
        <f t="shared" si="134"/>
        <v>1</v>
      </c>
      <c r="CV87">
        <f t="shared" si="135"/>
        <v>0</v>
      </c>
      <c r="CW87">
        <f t="shared" si="136"/>
        <v>0</v>
      </c>
    </row>
    <row r="88" spans="1:102">
      <c r="A88" s="60">
        <v>45010</v>
      </c>
      <c r="B88" s="426">
        <v>54114.3</v>
      </c>
      <c r="C88">
        <v>54150.6</v>
      </c>
      <c r="D88">
        <v>54254.6</v>
      </c>
      <c r="E88">
        <v>53374.8</v>
      </c>
      <c r="F88">
        <v>52463.6</v>
      </c>
      <c r="G88">
        <v>53077.8</v>
      </c>
      <c r="H88">
        <v>53210.1</v>
      </c>
      <c r="I88">
        <v>52965.2</v>
      </c>
      <c r="J88">
        <v>53430.9</v>
      </c>
      <c r="K88">
        <v>54760.5</v>
      </c>
      <c r="L88">
        <v>54201.5</v>
      </c>
      <c r="M88">
        <v>54264.4</v>
      </c>
      <c r="N88">
        <v>54172.3</v>
      </c>
      <c r="O88">
        <v>54322.400000000001</v>
      </c>
      <c r="P88">
        <v>54361.9</v>
      </c>
      <c r="Q88">
        <v>54117.7</v>
      </c>
      <c r="R88">
        <v>54169.8</v>
      </c>
      <c r="S88">
        <v>54255.8</v>
      </c>
      <c r="T88">
        <v>54301.9</v>
      </c>
      <c r="U88">
        <v>54134.7</v>
      </c>
      <c r="V88">
        <v>54198.3</v>
      </c>
      <c r="W88">
        <v>53832.7</v>
      </c>
      <c r="X88">
        <v>54188.1</v>
      </c>
      <c r="Y88">
        <v>53881.2</v>
      </c>
      <c r="Z88" s="77">
        <v>1294205.1000000001</v>
      </c>
      <c r="AB88">
        <f t="shared" si="117"/>
        <v>0</v>
      </c>
      <c r="AC88">
        <f t="shared" si="56"/>
        <v>0</v>
      </c>
      <c r="AD88">
        <f t="shared" si="57"/>
        <v>0</v>
      </c>
      <c r="AE88">
        <f t="shared" si="58"/>
        <v>0</v>
      </c>
      <c r="AF88">
        <f t="shared" si="59"/>
        <v>0</v>
      </c>
      <c r="AG88">
        <f t="shared" si="60"/>
        <v>0</v>
      </c>
      <c r="AH88">
        <f t="shared" si="61"/>
        <v>0</v>
      </c>
      <c r="AI88">
        <f t="shared" si="62"/>
        <v>0</v>
      </c>
      <c r="AJ88">
        <f t="shared" si="63"/>
        <v>0</v>
      </c>
      <c r="AK88">
        <f t="shared" si="64"/>
        <v>0</v>
      </c>
      <c r="AL88">
        <f t="shared" si="65"/>
        <v>0</v>
      </c>
      <c r="AM88">
        <f t="shared" si="66"/>
        <v>0</v>
      </c>
      <c r="AN88">
        <f t="shared" si="67"/>
        <v>0</v>
      </c>
      <c r="AO88">
        <f t="shared" si="68"/>
        <v>0</v>
      </c>
      <c r="AP88">
        <f t="shared" si="69"/>
        <v>0</v>
      </c>
      <c r="AQ88">
        <f t="shared" si="70"/>
        <v>0</v>
      </c>
      <c r="AR88">
        <f t="shared" si="71"/>
        <v>0</v>
      </c>
      <c r="AS88">
        <f t="shared" si="72"/>
        <v>0</v>
      </c>
      <c r="AT88">
        <f t="shared" si="73"/>
        <v>0</v>
      </c>
      <c r="AU88">
        <f t="shared" si="74"/>
        <v>0</v>
      </c>
      <c r="AV88">
        <f t="shared" si="75"/>
        <v>0</v>
      </c>
      <c r="AW88">
        <f t="shared" si="76"/>
        <v>0</v>
      </c>
      <c r="AX88">
        <f t="shared" si="77"/>
        <v>0</v>
      </c>
      <c r="AY88">
        <f t="shared" si="118"/>
        <v>0</v>
      </c>
      <c r="BA88">
        <f t="shared" si="119"/>
        <v>7</v>
      </c>
      <c r="BB88">
        <f t="shared" si="79"/>
        <v>7</v>
      </c>
      <c r="BC88">
        <f t="shared" si="80"/>
        <v>7</v>
      </c>
      <c r="BD88">
        <f t="shared" si="81"/>
        <v>7</v>
      </c>
      <c r="BE88">
        <f t="shared" si="82"/>
        <v>6</v>
      </c>
      <c r="BF88">
        <f t="shared" si="83"/>
        <v>7</v>
      </c>
      <c r="BG88">
        <f t="shared" si="84"/>
        <v>7</v>
      </c>
      <c r="BH88">
        <f t="shared" si="85"/>
        <v>7</v>
      </c>
      <c r="BI88">
        <f t="shared" si="86"/>
        <v>7</v>
      </c>
      <c r="BJ88">
        <f t="shared" si="87"/>
        <v>7</v>
      </c>
      <c r="BK88">
        <f t="shared" si="88"/>
        <v>7</v>
      </c>
      <c r="BL88">
        <f t="shared" si="89"/>
        <v>7</v>
      </c>
      <c r="BM88">
        <f t="shared" si="90"/>
        <v>7</v>
      </c>
      <c r="BN88">
        <f t="shared" si="91"/>
        <v>7</v>
      </c>
      <c r="BO88">
        <f t="shared" si="92"/>
        <v>7</v>
      </c>
      <c r="BP88">
        <f t="shared" si="93"/>
        <v>7</v>
      </c>
      <c r="BQ88">
        <f t="shared" si="94"/>
        <v>7</v>
      </c>
      <c r="BR88">
        <f t="shared" si="95"/>
        <v>7</v>
      </c>
      <c r="BS88">
        <f t="shared" si="96"/>
        <v>7</v>
      </c>
      <c r="BT88">
        <f t="shared" si="97"/>
        <v>7</v>
      </c>
      <c r="BU88">
        <f t="shared" si="98"/>
        <v>7</v>
      </c>
      <c r="BV88">
        <f t="shared" si="99"/>
        <v>7</v>
      </c>
      <c r="BW88">
        <f t="shared" si="100"/>
        <v>7</v>
      </c>
      <c r="BX88">
        <f t="shared" si="101"/>
        <v>7</v>
      </c>
      <c r="BZ88" s="52">
        <f t="shared" si="129"/>
        <v>-1</v>
      </c>
      <c r="CA88" s="52">
        <f t="shared" si="137"/>
        <v>0</v>
      </c>
      <c r="CB88" s="52">
        <f t="shared" si="137"/>
        <v>0</v>
      </c>
      <c r="CC88" s="52">
        <f t="shared" si="137"/>
        <v>0</v>
      </c>
      <c r="CD88" s="52">
        <f t="shared" si="137"/>
        <v>-1</v>
      </c>
      <c r="CE88" s="52">
        <f t="shared" si="137"/>
        <v>1</v>
      </c>
      <c r="CF88" s="52">
        <f t="shared" si="137"/>
        <v>0</v>
      </c>
      <c r="CG88" s="52">
        <f t="shared" si="137"/>
        <v>0</v>
      </c>
      <c r="CH88" s="52">
        <f t="shared" si="137"/>
        <v>0</v>
      </c>
      <c r="CI88" s="52">
        <f t="shared" si="137"/>
        <v>0</v>
      </c>
      <c r="CJ88" s="52">
        <f t="shared" si="137"/>
        <v>0</v>
      </c>
      <c r="CK88" s="52">
        <f t="shared" si="137"/>
        <v>0</v>
      </c>
      <c r="CL88" s="52">
        <f t="shared" si="137"/>
        <v>0</v>
      </c>
      <c r="CM88" s="52">
        <f t="shared" si="137"/>
        <v>0</v>
      </c>
      <c r="CN88" s="52">
        <f t="shared" si="137"/>
        <v>0</v>
      </c>
      <c r="CO88" s="52">
        <f t="shared" si="137"/>
        <v>0</v>
      </c>
      <c r="CP88" s="52">
        <f t="shared" si="137"/>
        <v>0</v>
      </c>
      <c r="CQ88" s="52">
        <f t="shared" si="130"/>
        <v>0</v>
      </c>
      <c r="CR88" s="52">
        <f t="shared" si="131"/>
        <v>0</v>
      </c>
      <c r="CS88" s="52">
        <f t="shared" si="132"/>
        <v>0</v>
      </c>
      <c r="CT88" s="52">
        <f t="shared" si="133"/>
        <v>0</v>
      </c>
      <c r="CU88" s="52">
        <f t="shared" si="134"/>
        <v>0</v>
      </c>
      <c r="CV88" s="52">
        <f t="shared" si="135"/>
        <v>0</v>
      </c>
      <c r="CW88" s="52">
        <f t="shared" si="136"/>
        <v>0</v>
      </c>
    </row>
    <row r="89" spans="1:102">
      <c r="A89" s="60">
        <v>45011</v>
      </c>
      <c r="B89" s="426">
        <v>52872</v>
      </c>
      <c r="C89">
        <v>52754.7</v>
      </c>
      <c r="D89">
        <v>53158</v>
      </c>
      <c r="E89">
        <v>53234.400000000001</v>
      </c>
      <c r="F89">
        <v>53406</v>
      </c>
      <c r="G89">
        <v>53323.8</v>
      </c>
      <c r="H89">
        <v>17421.400000000001</v>
      </c>
      <c r="I89">
        <v>182.2</v>
      </c>
      <c r="J89">
        <v>16590.7</v>
      </c>
      <c r="K89">
        <v>42518.5</v>
      </c>
      <c r="L89">
        <v>51540.800000000003</v>
      </c>
      <c r="M89">
        <v>54683.7</v>
      </c>
      <c r="N89">
        <v>54675.3</v>
      </c>
      <c r="O89">
        <v>54537.2</v>
      </c>
      <c r="P89">
        <v>54165.2</v>
      </c>
      <c r="Q89">
        <v>54737.5</v>
      </c>
      <c r="R89">
        <v>54758.400000000001</v>
      </c>
      <c r="S89">
        <v>54594.7</v>
      </c>
      <c r="T89">
        <v>54785.8</v>
      </c>
      <c r="U89">
        <v>54557.8</v>
      </c>
      <c r="V89">
        <v>53064</v>
      </c>
      <c r="W89">
        <v>53135.4</v>
      </c>
      <c r="X89">
        <v>53551.199999999997</v>
      </c>
      <c r="Y89">
        <v>53742.7</v>
      </c>
      <c r="Z89" s="77">
        <v>1151991.3999999999</v>
      </c>
      <c r="AB89" s="52">
        <f t="shared" si="117"/>
        <v>0</v>
      </c>
      <c r="AC89" s="52">
        <f t="shared" si="56"/>
        <v>0</v>
      </c>
      <c r="AD89" s="52">
        <f t="shared" si="57"/>
        <v>0</v>
      </c>
      <c r="AE89" s="52">
        <f t="shared" si="58"/>
        <v>0</v>
      </c>
      <c r="AF89" s="52">
        <f t="shared" si="59"/>
        <v>0</v>
      </c>
      <c r="AG89" s="52">
        <f t="shared" si="60"/>
        <v>0</v>
      </c>
      <c r="AH89" s="52">
        <f t="shared" si="61"/>
        <v>0</v>
      </c>
      <c r="AI89" s="52">
        <f t="shared" si="62"/>
        <v>0</v>
      </c>
      <c r="AJ89" s="52">
        <f t="shared" si="63"/>
        <v>0</v>
      </c>
      <c r="AK89" s="52">
        <f t="shared" si="64"/>
        <v>0</v>
      </c>
      <c r="AL89" s="52">
        <f t="shared" si="65"/>
        <v>0</v>
      </c>
      <c r="AM89" s="52">
        <f t="shared" si="66"/>
        <v>0</v>
      </c>
      <c r="AN89" s="52">
        <f t="shared" si="67"/>
        <v>0</v>
      </c>
      <c r="AO89" s="52">
        <f t="shared" si="68"/>
        <v>0</v>
      </c>
      <c r="AP89" s="52">
        <f t="shared" si="69"/>
        <v>0</v>
      </c>
      <c r="AQ89" s="52">
        <f t="shared" si="70"/>
        <v>0</v>
      </c>
      <c r="AR89" s="52">
        <f t="shared" si="71"/>
        <v>0</v>
      </c>
      <c r="AS89" s="52">
        <f t="shared" si="72"/>
        <v>0</v>
      </c>
      <c r="AT89" s="52">
        <f t="shared" si="73"/>
        <v>0</v>
      </c>
      <c r="AU89" s="52">
        <f t="shared" si="74"/>
        <v>0</v>
      </c>
      <c r="AV89" s="52">
        <f t="shared" si="75"/>
        <v>0</v>
      </c>
      <c r="AW89" s="52">
        <f t="shared" si="76"/>
        <v>0</v>
      </c>
      <c r="AX89" s="52">
        <f t="shared" si="77"/>
        <v>0</v>
      </c>
      <c r="AY89" s="52">
        <f t="shared" si="118"/>
        <v>0</v>
      </c>
      <c r="BA89" s="52">
        <f t="shared" si="119"/>
        <v>7</v>
      </c>
      <c r="BB89" s="52">
        <f t="shared" si="79"/>
        <v>6</v>
      </c>
      <c r="BC89" s="52">
        <f t="shared" si="80"/>
        <v>7</v>
      </c>
      <c r="BD89" s="52">
        <f t="shared" si="81"/>
        <v>7</v>
      </c>
      <c r="BE89" s="52">
        <f t="shared" si="82"/>
        <v>7</v>
      </c>
      <c r="BF89" s="52">
        <f t="shared" si="83"/>
        <v>7</v>
      </c>
      <c r="BG89" s="52">
        <f t="shared" si="84"/>
        <v>2</v>
      </c>
      <c r="BH89" s="52">
        <f t="shared" si="85"/>
        <v>1</v>
      </c>
      <c r="BI89" s="52">
        <f t="shared" si="86"/>
        <v>2</v>
      </c>
      <c r="BJ89" s="52">
        <f t="shared" si="87"/>
        <v>5</v>
      </c>
      <c r="BK89" s="52">
        <f t="shared" si="88"/>
        <v>6</v>
      </c>
      <c r="BL89" s="52">
        <f t="shared" si="89"/>
        <v>7</v>
      </c>
      <c r="BM89" s="52">
        <f t="shared" si="90"/>
        <v>7</v>
      </c>
      <c r="BN89" s="52">
        <f t="shared" si="91"/>
        <v>7</v>
      </c>
      <c r="BO89" s="52">
        <f t="shared" si="92"/>
        <v>7</v>
      </c>
      <c r="BP89" s="52">
        <f t="shared" si="93"/>
        <v>7</v>
      </c>
      <c r="BQ89" s="52">
        <f t="shared" si="94"/>
        <v>7</v>
      </c>
      <c r="BR89" s="52">
        <f t="shared" si="95"/>
        <v>7</v>
      </c>
      <c r="BS89" s="52">
        <f t="shared" si="96"/>
        <v>7</v>
      </c>
      <c r="BT89" s="52">
        <f t="shared" si="97"/>
        <v>7</v>
      </c>
      <c r="BU89" s="52">
        <f t="shared" si="98"/>
        <v>7</v>
      </c>
      <c r="BV89" s="52">
        <f t="shared" si="99"/>
        <v>7</v>
      </c>
      <c r="BW89" s="52">
        <f t="shared" si="100"/>
        <v>7</v>
      </c>
      <c r="BX89" s="52">
        <f t="shared" si="101"/>
        <v>7</v>
      </c>
      <c r="BZ89">
        <f t="shared" si="129"/>
        <v>0</v>
      </c>
      <c r="CA89">
        <f t="shared" si="137"/>
        <v>-1</v>
      </c>
      <c r="CB89">
        <f t="shared" si="137"/>
        <v>1</v>
      </c>
      <c r="CC89">
        <f t="shared" si="137"/>
        <v>0</v>
      </c>
      <c r="CD89">
        <f t="shared" si="137"/>
        <v>0</v>
      </c>
      <c r="CE89">
        <f t="shared" si="137"/>
        <v>0</v>
      </c>
      <c r="CF89">
        <f t="shared" si="137"/>
        <v>-5</v>
      </c>
      <c r="CG89">
        <f t="shared" si="137"/>
        <v>-1</v>
      </c>
      <c r="CH89">
        <f t="shared" si="137"/>
        <v>1</v>
      </c>
      <c r="CI89">
        <f t="shared" si="137"/>
        <v>3</v>
      </c>
      <c r="CJ89">
        <f t="shared" si="137"/>
        <v>1</v>
      </c>
      <c r="CK89">
        <f t="shared" si="137"/>
        <v>1</v>
      </c>
      <c r="CL89">
        <f t="shared" si="137"/>
        <v>0</v>
      </c>
      <c r="CM89">
        <f t="shared" si="137"/>
        <v>0</v>
      </c>
      <c r="CN89">
        <f t="shared" si="137"/>
        <v>0</v>
      </c>
      <c r="CO89">
        <f t="shared" si="137"/>
        <v>0</v>
      </c>
      <c r="CP89">
        <f t="shared" si="137"/>
        <v>0</v>
      </c>
      <c r="CQ89">
        <f t="shared" si="130"/>
        <v>0</v>
      </c>
      <c r="CR89">
        <f t="shared" si="131"/>
        <v>0</v>
      </c>
      <c r="CS89">
        <f t="shared" si="132"/>
        <v>0</v>
      </c>
      <c r="CT89">
        <f t="shared" si="133"/>
        <v>0</v>
      </c>
      <c r="CU89">
        <f t="shared" si="134"/>
        <v>0</v>
      </c>
      <c r="CV89">
        <f t="shared" si="135"/>
        <v>0</v>
      </c>
      <c r="CW89">
        <f t="shared" si="136"/>
        <v>0</v>
      </c>
    </row>
    <row r="90" spans="1:102">
      <c r="A90" s="60">
        <v>45012</v>
      </c>
      <c r="B90" s="426">
        <v>54256.7</v>
      </c>
      <c r="C90">
        <v>53717.3</v>
      </c>
      <c r="D90">
        <v>53758.5</v>
      </c>
      <c r="E90">
        <v>54311.1</v>
      </c>
      <c r="F90">
        <v>54781.599999999999</v>
      </c>
      <c r="G90">
        <v>54131.6</v>
      </c>
      <c r="H90">
        <v>53886.9</v>
      </c>
      <c r="I90">
        <v>54190.6</v>
      </c>
      <c r="J90">
        <v>54095.9</v>
      </c>
      <c r="K90">
        <v>54101.9</v>
      </c>
      <c r="L90">
        <v>54998.1</v>
      </c>
      <c r="M90">
        <v>54699.9</v>
      </c>
      <c r="N90">
        <v>54818.2</v>
      </c>
      <c r="O90">
        <v>54886.6</v>
      </c>
      <c r="P90">
        <v>54745.7</v>
      </c>
      <c r="Q90">
        <v>54769.5</v>
      </c>
      <c r="R90">
        <v>54631.1</v>
      </c>
      <c r="S90">
        <v>54784.7</v>
      </c>
      <c r="T90">
        <v>55082.7</v>
      </c>
      <c r="U90">
        <v>54782.7</v>
      </c>
      <c r="V90">
        <v>54733.5</v>
      </c>
      <c r="W90">
        <v>64618.1</v>
      </c>
      <c r="X90">
        <v>66710.3</v>
      </c>
      <c r="Y90">
        <v>66334.7</v>
      </c>
      <c r="Z90" s="77">
        <v>1341827.8999999999</v>
      </c>
      <c r="AB90">
        <f t="shared" si="117"/>
        <v>0</v>
      </c>
      <c r="AC90">
        <f t="shared" si="56"/>
        <v>0</v>
      </c>
      <c r="AD90">
        <f t="shared" si="57"/>
        <v>0</v>
      </c>
      <c r="AE90">
        <f t="shared" si="58"/>
        <v>0</v>
      </c>
      <c r="AF90">
        <f t="shared" si="59"/>
        <v>0</v>
      </c>
      <c r="AG90">
        <f t="shared" si="60"/>
        <v>0</v>
      </c>
      <c r="AH90">
        <f t="shared" si="61"/>
        <v>0</v>
      </c>
      <c r="AI90">
        <f t="shared" si="62"/>
        <v>0</v>
      </c>
      <c r="AJ90">
        <f t="shared" si="63"/>
        <v>0</v>
      </c>
      <c r="AK90">
        <f t="shared" si="64"/>
        <v>0</v>
      </c>
      <c r="AL90">
        <f t="shared" si="65"/>
        <v>0</v>
      </c>
      <c r="AM90">
        <f t="shared" si="66"/>
        <v>0</v>
      </c>
      <c r="AN90">
        <f t="shared" si="67"/>
        <v>0</v>
      </c>
      <c r="AO90">
        <f t="shared" si="68"/>
        <v>0</v>
      </c>
      <c r="AP90">
        <f t="shared" si="69"/>
        <v>0</v>
      </c>
      <c r="AQ90">
        <f t="shared" si="70"/>
        <v>0</v>
      </c>
      <c r="AR90">
        <f t="shared" si="71"/>
        <v>0</v>
      </c>
      <c r="AS90">
        <f t="shared" si="72"/>
        <v>0</v>
      </c>
      <c r="AT90">
        <f t="shared" si="73"/>
        <v>0</v>
      </c>
      <c r="AU90">
        <f t="shared" si="74"/>
        <v>0</v>
      </c>
      <c r="AV90">
        <f t="shared" si="75"/>
        <v>0</v>
      </c>
      <c r="AW90">
        <f t="shared" si="76"/>
        <v>0</v>
      </c>
      <c r="AX90">
        <f t="shared" si="77"/>
        <v>0</v>
      </c>
      <c r="AY90">
        <f t="shared" si="118"/>
        <v>0</v>
      </c>
      <c r="BA90">
        <f t="shared" si="119"/>
        <v>7</v>
      </c>
      <c r="BB90">
        <f t="shared" si="79"/>
        <v>7</v>
      </c>
      <c r="BC90">
        <f t="shared" si="80"/>
        <v>7</v>
      </c>
      <c r="BD90">
        <f t="shared" si="81"/>
        <v>7</v>
      </c>
      <c r="BE90">
        <f t="shared" si="82"/>
        <v>7</v>
      </c>
      <c r="BF90">
        <f t="shared" si="83"/>
        <v>7</v>
      </c>
      <c r="BG90">
        <f t="shared" si="84"/>
        <v>7</v>
      </c>
      <c r="BH90">
        <f t="shared" si="85"/>
        <v>7</v>
      </c>
      <c r="BI90">
        <f t="shared" si="86"/>
        <v>7</v>
      </c>
      <c r="BJ90">
        <f t="shared" si="87"/>
        <v>7</v>
      </c>
      <c r="BK90">
        <f t="shared" si="88"/>
        <v>7</v>
      </c>
      <c r="BL90">
        <f t="shared" si="89"/>
        <v>7</v>
      </c>
      <c r="BM90">
        <f t="shared" si="90"/>
        <v>7</v>
      </c>
      <c r="BN90">
        <f t="shared" si="91"/>
        <v>7</v>
      </c>
      <c r="BO90">
        <f t="shared" si="92"/>
        <v>7</v>
      </c>
      <c r="BP90">
        <f t="shared" si="93"/>
        <v>7</v>
      </c>
      <c r="BQ90">
        <f t="shared" si="94"/>
        <v>7</v>
      </c>
      <c r="BR90">
        <f t="shared" si="95"/>
        <v>7</v>
      </c>
      <c r="BS90">
        <f t="shared" si="96"/>
        <v>7</v>
      </c>
      <c r="BT90">
        <f t="shared" si="97"/>
        <v>7</v>
      </c>
      <c r="BU90">
        <f t="shared" si="98"/>
        <v>7</v>
      </c>
      <c r="BV90">
        <f t="shared" si="99"/>
        <v>8</v>
      </c>
      <c r="BW90">
        <f t="shared" si="100"/>
        <v>8</v>
      </c>
      <c r="BX90">
        <f t="shared" si="101"/>
        <v>8</v>
      </c>
      <c r="BZ90" s="52">
        <f t="shared" si="129"/>
        <v>0</v>
      </c>
      <c r="CA90" s="52">
        <f t="shared" si="137"/>
        <v>0</v>
      </c>
      <c r="CB90" s="52">
        <f t="shared" si="137"/>
        <v>0</v>
      </c>
      <c r="CC90" s="52">
        <f t="shared" si="137"/>
        <v>0</v>
      </c>
      <c r="CD90" s="52">
        <f t="shared" si="137"/>
        <v>0</v>
      </c>
      <c r="CE90" s="52">
        <f t="shared" si="137"/>
        <v>0</v>
      </c>
      <c r="CF90" s="52">
        <f t="shared" si="137"/>
        <v>0</v>
      </c>
      <c r="CG90" s="52">
        <f t="shared" si="137"/>
        <v>0</v>
      </c>
      <c r="CH90" s="52">
        <f t="shared" si="137"/>
        <v>0</v>
      </c>
      <c r="CI90" s="52">
        <f t="shared" si="137"/>
        <v>0</v>
      </c>
      <c r="CJ90" s="52">
        <f t="shared" si="137"/>
        <v>0</v>
      </c>
      <c r="CK90" s="52">
        <f t="shared" si="137"/>
        <v>0</v>
      </c>
      <c r="CL90" s="52">
        <f t="shared" si="137"/>
        <v>0</v>
      </c>
      <c r="CM90" s="52">
        <f t="shared" si="137"/>
        <v>0</v>
      </c>
      <c r="CN90" s="52">
        <f t="shared" si="137"/>
        <v>0</v>
      </c>
      <c r="CO90" s="52">
        <f t="shared" si="137"/>
        <v>0</v>
      </c>
      <c r="CP90" s="52">
        <f t="shared" si="137"/>
        <v>0</v>
      </c>
      <c r="CQ90" s="52">
        <f t="shared" si="130"/>
        <v>0</v>
      </c>
      <c r="CR90" s="52">
        <f t="shared" si="131"/>
        <v>0</v>
      </c>
      <c r="CS90" s="52">
        <f t="shared" si="132"/>
        <v>0</v>
      </c>
      <c r="CT90" s="52">
        <f t="shared" si="133"/>
        <v>0</v>
      </c>
      <c r="CU90" s="52">
        <f t="shared" si="134"/>
        <v>1</v>
      </c>
      <c r="CV90" s="52">
        <f t="shared" si="135"/>
        <v>0</v>
      </c>
      <c r="CW90" s="52">
        <f t="shared" si="136"/>
        <v>0</v>
      </c>
    </row>
    <row r="91" spans="1:102">
      <c r="A91" s="60">
        <v>45013</v>
      </c>
      <c r="B91" s="426">
        <v>55112.5</v>
      </c>
      <c r="C91">
        <v>53508</v>
      </c>
      <c r="D91">
        <v>53601.2</v>
      </c>
      <c r="E91">
        <v>53560.6</v>
      </c>
      <c r="F91">
        <v>53552.6</v>
      </c>
      <c r="G91">
        <v>54178.7</v>
      </c>
      <c r="H91">
        <v>54884.800000000003</v>
      </c>
      <c r="I91">
        <v>54479.7</v>
      </c>
      <c r="J91">
        <v>53994.2</v>
      </c>
      <c r="K91">
        <v>53958.7</v>
      </c>
      <c r="L91">
        <v>53881.8</v>
      </c>
      <c r="M91">
        <v>54121.5</v>
      </c>
      <c r="N91">
        <v>54760.6</v>
      </c>
      <c r="O91">
        <v>53518.7</v>
      </c>
      <c r="P91">
        <v>53652.2</v>
      </c>
      <c r="Q91">
        <v>53609.1</v>
      </c>
      <c r="R91">
        <v>53169</v>
      </c>
      <c r="S91">
        <v>54293.3</v>
      </c>
      <c r="T91">
        <v>54737</v>
      </c>
      <c r="U91">
        <v>58797.7</v>
      </c>
      <c r="V91">
        <v>67853.5</v>
      </c>
      <c r="W91">
        <v>66146.899999999994</v>
      </c>
      <c r="X91">
        <v>66138</v>
      </c>
      <c r="Y91">
        <v>63886.7</v>
      </c>
      <c r="Z91" s="77">
        <v>1349396.9999999998</v>
      </c>
      <c r="AB91" s="52">
        <f t="shared" si="117"/>
        <v>0</v>
      </c>
      <c r="AC91" s="52">
        <f t="shared" si="56"/>
        <v>0</v>
      </c>
      <c r="AD91" s="52">
        <f t="shared" si="57"/>
        <v>0</v>
      </c>
      <c r="AE91" s="52">
        <f t="shared" si="58"/>
        <v>0</v>
      </c>
      <c r="AF91" s="52">
        <f t="shared" si="59"/>
        <v>0</v>
      </c>
      <c r="AG91" s="52">
        <f t="shared" si="60"/>
        <v>0</v>
      </c>
      <c r="AH91" s="52">
        <f t="shared" si="61"/>
        <v>0</v>
      </c>
      <c r="AI91" s="52">
        <f t="shared" si="62"/>
        <v>0</v>
      </c>
      <c r="AJ91" s="52">
        <f t="shared" si="63"/>
        <v>0</v>
      </c>
      <c r="AK91" s="52">
        <f t="shared" si="64"/>
        <v>0</v>
      </c>
      <c r="AL91" s="52">
        <f t="shared" si="65"/>
        <v>0</v>
      </c>
      <c r="AM91" s="52">
        <f t="shared" si="66"/>
        <v>0</v>
      </c>
      <c r="AN91" s="52">
        <f t="shared" si="67"/>
        <v>0</v>
      </c>
      <c r="AO91" s="52">
        <f t="shared" si="68"/>
        <v>0</v>
      </c>
      <c r="AP91" s="52">
        <f t="shared" si="69"/>
        <v>0</v>
      </c>
      <c r="AQ91" s="52">
        <f t="shared" si="70"/>
        <v>0</v>
      </c>
      <c r="AR91" s="52">
        <f t="shared" si="71"/>
        <v>0</v>
      </c>
      <c r="AS91" s="52">
        <f t="shared" si="72"/>
        <v>0</v>
      </c>
      <c r="AT91" s="52">
        <f t="shared" si="73"/>
        <v>0</v>
      </c>
      <c r="AU91" s="52">
        <f t="shared" si="74"/>
        <v>0</v>
      </c>
      <c r="AV91" s="52">
        <f t="shared" si="75"/>
        <v>0</v>
      </c>
      <c r="AW91" s="52">
        <f t="shared" si="76"/>
        <v>0</v>
      </c>
      <c r="AX91" s="52">
        <f t="shared" si="77"/>
        <v>0</v>
      </c>
      <c r="AY91" s="52">
        <f t="shared" si="118"/>
        <v>0</v>
      </c>
      <c r="BA91" s="52">
        <f t="shared" si="119"/>
        <v>7</v>
      </c>
      <c r="BB91" s="52">
        <f t="shared" si="79"/>
        <v>7</v>
      </c>
      <c r="BC91" s="52">
        <f t="shared" si="80"/>
        <v>7</v>
      </c>
      <c r="BD91" s="52">
        <f t="shared" si="81"/>
        <v>7</v>
      </c>
      <c r="BE91" s="52">
        <f t="shared" si="82"/>
        <v>7</v>
      </c>
      <c r="BF91" s="52">
        <f t="shared" si="83"/>
        <v>7</v>
      </c>
      <c r="BG91" s="52">
        <f t="shared" si="84"/>
        <v>7</v>
      </c>
      <c r="BH91" s="52">
        <f t="shared" si="85"/>
        <v>7</v>
      </c>
      <c r="BI91" s="52">
        <f t="shared" si="86"/>
        <v>7</v>
      </c>
      <c r="BJ91" s="52">
        <f t="shared" si="87"/>
        <v>7</v>
      </c>
      <c r="BK91" s="52">
        <f t="shared" si="88"/>
        <v>7</v>
      </c>
      <c r="BL91" s="52">
        <f t="shared" si="89"/>
        <v>7</v>
      </c>
      <c r="BM91" s="52">
        <f t="shared" si="90"/>
        <v>7</v>
      </c>
      <c r="BN91" s="52">
        <f t="shared" si="91"/>
        <v>7</v>
      </c>
      <c r="BO91" s="52">
        <f t="shared" si="92"/>
        <v>7</v>
      </c>
      <c r="BP91" s="52">
        <f t="shared" si="93"/>
        <v>7</v>
      </c>
      <c r="BQ91" s="52">
        <f t="shared" si="94"/>
        <v>7</v>
      </c>
      <c r="BR91" s="52">
        <f t="shared" si="95"/>
        <v>7</v>
      </c>
      <c r="BS91" s="52">
        <f t="shared" si="96"/>
        <v>7</v>
      </c>
      <c r="BT91" s="52">
        <f t="shared" si="97"/>
        <v>7</v>
      </c>
      <c r="BU91" s="52">
        <f t="shared" si="98"/>
        <v>8</v>
      </c>
      <c r="BV91" s="52">
        <f t="shared" si="99"/>
        <v>8</v>
      </c>
      <c r="BW91" s="52">
        <f t="shared" si="100"/>
        <v>8</v>
      </c>
      <c r="BX91" s="52">
        <f t="shared" si="101"/>
        <v>8</v>
      </c>
      <c r="BZ91">
        <f t="shared" si="129"/>
        <v>-1</v>
      </c>
      <c r="CA91">
        <f t="shared" si="137"/>
        <v>0</v>
      </c>
      <c r="CB91">
        <f t="shared" si="137"/>
        <v>0</v>
      </c>
      <c r="CC91">
        <f t="shared" si="137"/>
        <v>0</v>
      </c>
      <c r="CD91">
        <f t="shared" si="137"/>
        <v>0</v>
      </c>
      <c r="CE91">
        <f t="shared" si="137"/>
        <v>0</v>
      </c>
      <c r="CF91">
        <f t="shared" si="137"/>
        <v>0</v>
      </c>
      <c r="CG91">
        <f t="shared" si="137"/>
        <v>0</v>
      </c>
      <c r="CH91">
        <f t="shared" si="137"/>
        <v>0</v>
      </c>
      <c r="CI91">
        <f t="shared" si="137"/>
        <v>0</v>
      </c>
      <c r="CJ91">
        <f t="shared" si="137"/>
        <v>0</v>
      </c>
      <c r="CK91">
        <f t="shared" si="137"/>
        <v>0</v>
      </c>
      <c r="CL91">
        <f t="shared" si="137"/>
        <v>0</v>
      </c>
      <c r="CM91">
        <f t="shared" si="137"/>
        <v>0</v>
      </c>
      <c r="CN91">
        <f t="shared" si="137"/>
        <v>0</v>
      </c>
      <c r="CO91">
        <f t="shared" si="137"/>
        <v>0</v>
      </c>
      <c r="CP91">
        <f t="shared" si="137"/>
        <v>0</v>
      </c>
      <c r="CQ91">
        <f t="shared" si="130"/>
        <v>0</v>
      </c>
      <c r="CR91">
        <f t="shared" si="131"/>
        <v>0</v>
      </c>
      <c r="CS91">
        <f t="shared" si="132"/>
        <v>0</v>
      </c>
      <c r="CT91">
        <f t="shared" si="133"/>
        <v>1</v>
      </c>
      <c r="CU91">
        <f t="shared" si="134"/>
        <v>0</v>
      </c>
      <c r="CV91">
        <f t="shared" si="135"/>
        <v>0</v>
      </c>
      <c r="CW91">
        <f t="shared" si="136"/>
        <v>0</v>
      </c>
    </row>
    <row r="92" spans="1:102">
      <c r="A92" s="60">
        <v>45014</v>
      </c>
      <c r="B92" s="426">
        <v>54871.9</v>
      </c>
      <c r="C92">
        <v>54764.800000000003</v>
      </c>
      <c r="D92">
        <v>54728</v>
      </c>
      <c r="E92">
        <v>54703.7</v>
      </c>
      <c r="F92">
        <v>54316.6</v>
      </c>
      <c r="G92">
        <v>53608.9</v>
      </c>
      <c r="H92">
        <v>53721.599999999999</v>
      </c>
      <c r="I92">
        <v>53809.5</v>
      </c>
      <c r="J92">
        <v>53879.6</v>
      </c>
      <c r="K92">
        <v>53865.1</v>
      </c>
      <c r="L92">
        <v>53834.5</v>
      </c>
      <c r="M92">
        <v>53559.8</v>
      </c>
      <c r="N92">
        <v>53354</v>
      </c>
      <c r="O92">
        <v>53326.2</v>
      </c>
      <c r="P92">
        <v>53355.9</v>
      </c>
      <c r="Q92">
        <v>53240.5</v>
      </c>
      <c r="R92">
        <v>53304.1</v>
      </c>
      <c r="S92">
        <v>53213.3</v>
      </c>
      <c r="T92">
        <v>52750.3</v>
      </c>
      <c r="U92">
        <v>53619.5</v>
      </c>
      <c r="V92">
        <v>56541.3</v>
      </c>
      <c r="W92">
        <v>67345.8</v>
      </c>
      <c r="X92">
        <v>68683.100000000006</v>
      </c>
      <c r="Y92">
        <v>68197.7</v>
      </c>
      <c r="Z92" s="77">
        <v>1336595.7000000002</v>
      </c>
      <c r="AB92">
        <f t="shared" si="117"/>
        <v>0</v>
      </c>
      <c r="AC92">
        <f t="shared" si="56"/>
        <v>0</v>
      </c>
      <c r="AD92">
        <f t="shared" si="57"/>
        <v>0</v>
      </c>
      <c r="AE92">
        <f t="shared" si="58"/>
        <v>0</v>
      </c>
      <c r="AF92">
        <f t="shared" si="59"/>
        <v>0</v>
      </c>
      <c r="AG92">
        <f t="shared" si="60"/>
        <v>0</v>
      </c>
      <c r="AH92">
        <f t="shared" si="61"/>
        <v>0</v>
      </c>
      <c r="AI92">
        <f t="shared" si="62"/>
        <v>0</v>
      </c>
      <c r="AJ92">
        <f t="shared" si="63"/>
        <v>0</v>
      </c>
      <c r="AK92">
        <f t="shared" si="64"/>
        <v>0</v>
      </c>
      <c r="AL92">
        <f t="shared" si="65"/>
        <v>0</v>
      </c>
      <c r="AM92">
        <f t="shared" si="66"/>
        <v>0</v>
      </c>
      <c r="AN92">
        <f t="shared" si="67"/>
        <v>0</v>
      </c>
      <c r="AO92">
        <f t="shared" si="68"/>
        <v>0</v>
      </c>
      <c r="AP92">
        <f t="shared" si="69"/>
        <v>0</v>
      </c>
      <c r="AQ92">
        <f t="shared" si="70"/>
        <v>0</v>
      </c>
      <c r="AR92">
        <f t="shared" si="71"/>
        <v>0</v>
      </c>
      <c r="AS92">
        <f t="shared" si="72"/>
        <v>0</v>
      </c>
      <c r="AT92">
        <f t="shared" si="73"/>
        <v>0</v>
      </c>
      <c r="AU92">
        <f t="shared" si="74"/>
        <v>0</v>
      </c>
      <c r="AV92">
        <f t="shared" si="75"/>
        <v>0</v>
      </c>
      <c r="AW92">
        <f t="shared" si="76"/>
        <v>0</v>
      </c>
      <c r="AX92">
        <f t="shared" si="77"/>
        <v>0</v>
      </c>
      <c r="AY92">
        <f t="shared" si="118"/>
        <v>0</v>
      </c>
      <c r="BA92">
        <f t="shared" si="119"/>
        <v>7</v>
      </c>
      <c r="BB92">
        <f t="shared" si="79"/>
        <v>7</v>
      </c>
      <c r="BC92">
        <f t="shared" si="80"/>
        <v>7</v>
      </c>
      <c r="BD92">
        <f t="shared" si="81"/>
        <v>7</v>
      </c>
      <c r="BE92">
        <f t="shared" si="82"/>
        <v>7</v>
      </c>
      <c r="BF92">
        <f t="shared" si="83"/>
        <v>7</v>
      </c>
      <c r="BG92">
        <f t="shared" si="84"/>
        <v>7</v>
      </c>
      <c r="BH92">
        <f t="shared" si="85"/>
        <v>7</v>
      </c>
      <c r="BI92">
        <f t="shared" si="86"/>
        <v>7</v>
      </c>
      <c r="BJ92">
        <f t="shared" si="87"/>
        <v>7</v>
      </c>
      <c r="BK92">
        <f t="shared" si="88"/>
        <v>7</v>
      </c>
      <c r="BL92">
        <f t="shared" si="89"/>
        <v>7</v>
      </c>
      <c r="BM92">
        <f t="shared" si="90"/>
        <v>7</v>
      </c>
      <c r="BN92">
        <f t="shared" si="91"/>
        <v>7</v>
      </c>
      <c r="BO92">
        <f t="shared" si="92"/>
        <v>7</v>
      </c>
      <c r="BP92">
        <f t="shared" si="93"/>
        <v>7</v>
      </c>
      <c r="BQ92">
        <f t="shared" si="94"/>
        <v>7</v>
      </c>
      <c r="BR92">
        <f t="shared" si="95"/>
        <v>7</v>
      </c>
      <c r="BS92">
        <f t="shared" si="96"/>
        <v>6</v>
      </c>
      <c r="BT92">
        <f t="shared" si="97"/>
        <v>7</v>
      </c>
      <c r="BU92">
        <f t="shared" si="98"/>
        <v>7</v>
      </c>
      <c r="BV92">
        <f t="shared" si="99"/>
        <v>8</v>
      </c>
      <c r="BW92">
        <f t="shared" si="100"/>
        <v>8</v>
      </c>
      <c r="BX92">
        <f t="shared" si="101"/>
        <v>8</v>
      </c>
      <c r="BZ92" s="52">
        <f t="shared" si="129"/>
        <v>-1</v>
      </c>
      <c r="CA92" s="52">
        <f t="shared" si="137"/>
        <v>0</v>
      </c>
      <c r="CB92" s="52">
        <f t="shared" si="137"/>
        <v>0</v>
      </c>
      <c r="CC92" s="52">
        <f t="shared" si="137"/>
        <v>0</v>
      </c>
      <c r="CD92" s="52">
        <f t="shared" si="137"/>
        <v>0</v>
      </c>
      <c r="CE92" s="52">
        <f t="shared" si="137"/>
        <v>0</v>
      </c>
      <c r="CF92" s="52">
        <f t="shared" si="137"/>
        <v>0</v>
      </c>
      <c r="CG92" s="52">
        <f t="shared" si="137"/>
        <v>0</v>
      </c>
      <c r="CH92" s="52">
        <f t="shared" si="137"/>
        <v>0</v>
      </c>
      <c r="CI92" s="52">
        <f t="shared" si="137"/>
        <v>0</v>
      </c>
      <c r="CJ92" s="52">
        <f t="shared" si="137"/>
        <v>0</v>
      </c>
      <c r="CK92" s="52">
        <f t="shared" si="137"/>
        <v>0</v>
      </c>
      <c r="CL92" s="52">
        <f t="shared" si="137"/>
        <v>0</v>
      </c>
      <c r="CM92" s="52">
        <f t="shared" si="137"/>
        <v>0</v>
      </c>
      <c r="CN92" s="52">
        <f t="shared" si="137"/>
        <v>0</v>
      </c>
      <c r="CO92" s="52">
        <f t="shared" si="137"/>
        <v>0</v>
      </c>
      <c r="CP92" s="52">
        <f t="shared" si="137"/>
        <v>0</v>
      </c>
      <c r="CQ92" s="52">
        <f t="shared" si="130"/>
        <v>0</v>
      </c>
      <c r="CR92" s="52">
        <f t="shared" si="131"/>
        <v>-1</v>
      </c>
      <c r="CS92" s="52">
        <f t="shared" si="132"/>
        <v>1</v>
      </c>
      <c r="CT92" s="52">
        <f t="shared" si="133"/>
        <v>0</v>
      </c>
      <c r="CU92" s="52">
        <f t="shared" si="134"/>
        <v>1</v>
      </c>
      <c r="CV92" s="52">
        <f t="shared" si="135"/>
        <v>0</v>
      </c>
      <c r="CW92" s="52">
        <f t="shared" si="136"/>
        <v>0</v>
      </c>
    </row>
    <row r="93" spans="1:102">
      <c r="A93" s="60">
        <v>45015</v>
      </c>
      <c r="B93" s="426">
        <v>58974.5</v>
      </c>
      <c r="C93">
        <v>54576.2</v>
      </c>
      <c r="D93">
        <v>54566.9</v>
      </c>
      <c r="E93">
        <v>54591.3</v>
      </c>
      <c r="F93">
        <v>54596</v>
      </c>
      <c r="G93">
        <v>53967.6</v>
      </c>
      <c r="H93">
        <v>53928.9</v>
      </c>
      <c r="I93">
        <v>53118</v>
      </c>
      <c r="J93">
        <v>52945.8</v>
      </c>
      <c r="K93">
        <v>52591.4</v>
      </c>
      <c r="L93">
        <v>52564.4</v>
      </c>
      <c r="M93">
        <v>52623.9</v>
      </c>
      <c r="N93">
        <v>55495.6</v>
      </c>
      <c r="O93">
        <v>54582.3</v>
      </c>
      <c r="P93">
        <v>54870.3</v>
      </c>
      <c r="Q93">
        <v>54009.7</v>
      </c>
      <c r="R93">
        <v>54047.6</v>
      </c>
      <c r="S93">
        <v>53839.8</v>
      </c>
      <c r="T93">
        <v>55205.8</v>
      </c>
      <c r="U93">
        <v>55563.6</v>
      </c>
      <c r="V93">
        <v>57439.1</v>
      </c>
      <c r="W93">
        <v>69693.100000000006</v>
      </c>
      <c r="X93">
        <v>69607.100000000006</v>
      </c>
      <c r="Y93">
        <v>69157.100000000006</v>
      </c>
      <c r="Z93" s="77">
        <v>1352556.0000000005</v>
      </c>
      <c r="AB93" s="52">
        <f t="shared" si="117"/>
        <v>0</v>
      </c>
      <c r="AC93" s="52">
        <f t="shared" si="56"/>
        <v>0</v>
      </c>
      <c r="AD93" s="52">
        <f t="shared" si="57"/>
        <v>0</v>
      </c>
      <c r="AE93" s="52">
        <f t="shared" si="58"/>
        <v>0</v>
      </c>
      <c r="AF93" s="52">
        <f t="shared" si="59"/>
        <v>0</v>
      </c>
      <c r="AG93" s="52">
        <f t="shared" si="60"/>
        <v>0</v>
      </c>
      <c r="AH93" s="52">
        <f t="shared" si="61"/>
        <v>0</v>
      </c>
      <c r="AI93" s="52">
        <f t="shared" si="62"/>
        <v>0</v>
      </c>
      <c r="AJ93" s="52">
        <f t="shared" si="63"/>
        <v>0</v>
      </c>
      <c r="AK93" s="52">
        <f t="shared" si="64"/>
        <v>0</v>
      </c>
      <c r="AL93" s="52">
        <f t="shared" si="65"/>
        <v>0</v>
      </c>
      <c r="AM93" s="52">
        <f t="shared" si="66"/>
        <v>0</v>
      </c>
      <c r="AN93" s="52">
        <f t="shared" si="67"/>
        <v>0</v>
      </c>
      <c r="AO93" s="52">
        <f t="shared" si="68"/>
        <v>0</v>
      </c>
      <c r="AP93" s="52">
        <f t="shared" si="69"/>
        <v>0</v>
      </c>
      <c r="AQ93" s="52">
        <f t="shared" si="70"/>
        <v>0</v>
      </c>
      <c r="AR93" s="52">
        <f t="shared" si="71"/>
        <v>0</v>
      </c>
      <c r="AS93" s="52">
        <f t="shared" si="72"/>
        <v>0</v>
      </c>
      <c r="AT93" s="52">
        <f t="shared" si="73"/>
        <v>0</v>
      </c>
      <c r="AU93" s="52">
        <f t="shared" si="74"/>
        <v>0</v>
      </c>
      <c r="AV93" s="52">
        <f t="shared" si="75"/>
        <v>0</v>
      </c>
      <c r="AW93" s="52">
        <f t="shared" si="76"/>
        <v>0</v>
      </c>
      <c r="AX93" s="52">
        <f t="shared" si="77"/>
        <v>0</v>
      </c>
      <c r="AY93" s="52">
        <f t="shared" si="118"/>
        <v>0</v>
      </c>
      <c r="BA93" s="52">
        <f t="shared" si="119"/>
        <v>7</v>
      </c>
      <c r="BB93" s="52">
        <f t="shared" si="79"/>
        <v>7</v>
      </c>
      <c r="BC93" s="52">
        <f t="shared" si="80"/>
        <v>7</v>
      </c>
      <c r="BD93" s="52">
        <f t="shared" si="81"/>
        <v>7</v>
      </c>
      <c r="BE93" s="52">
        <f t="shared" si="82"/>
        <v>7</v>
      </c>
      <c r="BF93" s="52">
        <f t="shared" si="83"/>
        <v>7</v>
      </c>
      <c r="BG93" s="52">
        <f t="shared" si="84"/>
        <v>7</v>
      </c>
      <c r="BH93" s="52">
        <f t="shared" si="85"/>
        <v>7</v>
      </c>
      <c r="BI93" s="52">
        <f t="shared" si="86"/>
        <v>7</v>
      </c>
      <c r="BJ93" s="52">
        <f t="shared" si="87"/>
        <v>6</v>
      </c>
      <c r="BK93" s="52">
        <f t="shared" si="88"/>
        <v>6</v>
      </c>
      <c r="BL93" s="52">
        <f t="shared" si="89"/>
        <v>6</v>
      </c>
      <c r="BM93" s="52">
        <f t="shared" si="90"/>
        <v>7</v>
      </c>
      <c r="BN93" s="52">
        <f t="shared" si="91"/>
        <v>7</v>
      </c>
      <c r="BO93" s="52">
        <f t="shared" si="92"/>
        <v>7</v>
      </c>
      <c r="BP93" s="52">
        <f t="shared" si="93"/>
        <v>7</v>
      </c>
      <c r="BQ93" s="52">
        <f t="shared" si="94"/>
        <v>7</v>
      </c>
      <c r="BR93" s="52">
        <f t="shared" si="95"/>
        <v>7</v>
      </c>
      <c r="BS93" s="52">
        <f t="shared" si="96"/>
        <v>7</v>
      </c>
      <c r="BT93" s="52">
        <f t="shared" si="97"/>
        <v>7</v>
      </c>
      <c r="BU93" s="52">
        <f t="shared" si="98"/>
        <v>7</v>
      </c>
      <c r="BV93" s="52">
        <f t="shared" si="99"/>
        <v>8</v>
      </c>
      <c r="BW93" s="52">
        <f t="shared" si="100"/>
        <v>8</v>
      </c>
      <c r="BX93" s="52">
        <f t="shared" si="101"/>
        <v>8</v>
      </c>
      <c r="BZ93">
        <f t="shared" si="129"/>
        <v>-1</v>
      </c>
      <c r="CA93">
        <f t="shared" si="137"/>
        <v>0</v>
      </c>
      <c r="CB93">
        <f t="shared" si="137"/>
        <v>0</v>
      </c>
      <c r="CC93">
        <f t="shared" si="137"/>
        <v>0</v>
      </c>
      <c r="CD93">
        <f t="shared" si="137"/>
        <v>0</v>
      </c>
      <c r="CE93">
        <f t="shared" si="137"/>
        <v>0</v>
      </c>
      <c r="CF93">
        <f t="shared" si="137"/>
        <v>0</v>
      </c>
      <c r="CG93">
        <f t="shared" si="137"/>
        <v>0</v>
      </c>
      <c r="CH93">
        <f t="shared" si="137"/>
        <v>0</v>
      </c>
      <c r="CI93">
        <f t="shared" si="137"/>
        <v>-1</v>
      </c>
      <c r="CJ93">
        <f t="shared" si="137"/>
        <v>0</v>
      </c>
      <c r="CK93">
        <f t="shared" si="137"/>
        <v>0</v>
      </c>
      <c r="CL93">
        <f t="shared" si="137"/>
        <v>1</v>
      </c>
      <c r="CM93">
        <f t="shared" si="137"/>
        <v>0</v>
      </c>
      <c r="CN93">
        <f t="shared" si="137"/>
        <v>0</v>
      </c>
      <c r="CO93">
        <f t="shared" si="137"/>
        <v>0</v>
      </c>
      <c r="CP93">
        <f t="shared" si="137"/>
        <v>0</v>
      </c>
      <c r="CQ93">
        <f t="shared" si="130"/>
        <v>0</v>
      </c>
      <c r="CR93">
        <f t="shared" si="131"/>
        <v>0</v>
      </c>
      <c r="CS93">
        <f t="shared" si="132"/>
        <v>0</v>
      </c>
      <c r="CT93">
        <f t="shared" si="133"/>
        <v>0</v>
      </c>
      <c r="CU93">
        <f t="shared" si="134"/>
        <v>1</v>
      </c>
      <c r="CV93">
        <f t="shared" si="135"/>
        <v>0</v>
      </c>
      <c r="CW93">
        <f t="shared" si="136"/>
        <v>0</v>
      </c>
    </row>
    <row r="94" spans="1:102">
      <c r="A94" s="60">
        <v>45016</v>
      </c>
      <c r="B94" s="426">
        <v>61316.2</v>
      </c>
      <c r="C94">
        <v>54644.6</v>
      </c>
      <c r="D94">
        <v>54619.199999999997</v>
      </c>
      <c r="E94">
        <v>54733.599999999999</v>
      </c>
      <c r="F94">
        <v>54818.8</v>
      </c>
      <c r="G94">
        <v>53793.3</v>
      </c>
      <c r="H94">
        <v>53812.3</v>
      </c>
      <c r="I94">
        <v>53833.9</v>
      </c>
      <c r="J94">
        <v>54183.6</v>
      </c>
      <c r="K94">
        <v>54775.1</v>
      </c>
      <c r="L94">
        <v>53783.5</v>
      </c>
      <c r="M94">
        <v>56066.8</v>
      </c>
      <c r="N94">
        <v>54879.3</v>
      </c>
      <c r="O94">
        <v>54987.7</v>
      </c>
      <c r="P94">
        <v>54894.8</v>
      </c>
      <c r="Q94">
        <v>54893.5</v>
      </c>
      <c r="R94">
        <v>54945.2</v>
      </c>
      <c r="S94">
        <v>54755.7</v>
      </c>
      <c r="T94">
        <v>54855.5</v>
      </c>
      <c r="U94">
        <v>54935.6</v>
      </c>
      <c r="V94">
        <v>54879.6</v>
      </c>
      <c r="W94">
        <v>54784.4</v>
      </c>
      <c r="X94">
        <v>54760.800000000003</v>
      </c>
      <c r="Y94">
        <v>54759.8</v>
      </c>
      <c r="Z94" s="77">
        <v>1318712.8</v>
      </c>
      <c r="AB94">
        <f t="shared" si="117"/>
        <v>0</v>
      </c>
      <c r="AC94">
        <f t="shared" si="56"/>
        <v>0</v>
      </c>
      <c r="AD94">
        <f t="shared" si="57"/>
        <v>0</v>
      </c>
      <c r="AE94">
        <f t="shared" si="58"/>
        <v>0</v>
      </c>
      <c r="AF94">
        <f t="shared" si="59"/>
        <v>0</v>
      </c>
      <c r="AG94">
        <f t="shared" si="60"/>
        <v>0</v>
      </c>
      <c r="AH94">
        <f t="shared" si="61"/>
        <v>0</v>
      </c>
      <c r="AI94">
        <f t="shared" si="62"/>
        <v>0</v>
      </c>
      <c r="AJ94">
        <f t="shared" si="63"/>
        <v>0</v>
      </c>
      <c r="AK94">
        <f t="shared" si="64"/>
        <v>0</v>
      </c>
      <c r="AL94">
        <f t="shared" si="65"/>
        <v>0</v>
      </c>
      <c r="AM94">
        <f t="shared" si="66"/>
        <v>0</v>
      </c>
      <c r="AN94">
        <f t="shared" si="67"/>
        <v>0</v>
      </c>
      <c r="AO94">
        <f t="shared" si="68"/>
        <v>0</v>
      </c>
      <c r="AP94">
        <f t="shared" si="69"/>
        <v>0</v>
      </c>
      <c r="AQ94">
        <f t="shared" si="70"/>
        <v>0</v>
      </c>
      <c r="AR94">
        <f t="shared" si="71"/>
        <v>0</v>
      </c>
      <c r="AS94">
        <f t="shared" si="72"/>
        <v>0</v>
      </c>
      <c r="AT94">
        <f t="shared" si="73"/>
        <v>0</v>
      </c>
      <c r="AU94">
        <f t="shared" si="74"/>
        <v>0</v>
      </c>
      <c r="AV94">
        <f t="shared" si="75"/>
        <v>0</v>
      </c>
      <c r="AW94">
        <f t="shared" si="76"/>
        <v>0</v>
      </c>
      <c r="AX94">
        <f t="shared" si="77"/>
        <v>0</v>
      </c>
      <c r="AY94">
        <f t="shared" si="118"/>
        <v>0</v>
      </c>
      <c r="AZ94" s="63">
        <f>+SUM(AB64:AY94)</f>
        <v>0</v>
      </c>
      <c r="BA94">
        <f t="shared" si="119"/>
        <v>7</v>
      </c>
      <c r="BB94">
        <f t="shared" si="79"/>
        <v>7</v>
      </c>
      <c r="BC94">
        <f t="shared" si="80"/>
        <v>7</v>
      </c>
      <c r="BD94">
        <f t="shared" si="81"/>
        <v>7</v>
      </c>
      <c r="BE94">
        <f t="shared" si="82"/>
        <v>7</v>
      </c>
      <c r="BF94">
        <f t="shared" si="83"/>
        <v>7</v>
      </c>
      <c r="BG94">
        <f t="shared" si="84"/>
        <v>7</v>
      </c>
      <c r="BH94">
        <f t="shared" si="85"/>
        <v>7</v>
      </c>
      <c r="BI94">
        <f t="shared" si="86"/>
        <v>7</v>
      </c>
      <c r="BJ94">
        <f t="shared" si="87"/>
        <v>7</v>
      </c>
      <c r="BK94">
        <f t="shared" si="88"/>
        <v>7</v>
      </c>
      <c r="BL94">
        <f t="shared" si="89"/>
        <v>7</v>
      </c>
      <c r="BM94">
        <f t="shared" si="90"/>
        <v>7</v>
      </c>
      <c r="BN94">
        <f t="shared" si="91"/>
        <v>7</v>
      </c>
      <c r="BO94">
        <f t="shared" si="92"/>
        <v>7</v>
      </c>
      <c r="BP94">
        <f t="shared" si="93"/>
        <v>7</v>
      </c>
      <c r="BQ94">
        <f t="shared" si="94"/>
        <v>7</v>
      </c>
      <c r="BR94">
        <f t="shared" si="95"/>
        <v>7</v>
      </c>
      <c r="BS94">
        <f t="shared" si="96"/>
        <v>7</v>
      </c>
      <c r="BT94">
        <f t="shared" si="97"/>
        <v>7</v>
      </c>
      <c r="BU94">
        <f t="shared" si="98"/>
        <v>7</v>
      </c>
      <c r="BV94">
        <f t="shared" si="99"/>
        <v>7</v>
      </c>
      <c r="BW94">
        <f t="shared" si="100"/>
        <v>7</v>
      </c>
      <c r="BX94">
        <f t="shared" si="101"/>
        <v>7</v>
      </c>
      <c r="BY94" s="53">
        <f>+SUM(BA64:BX94)</f>
        <v>5119</v>
      </c>
      <c r="BZ94" s="52">
        <f t="shared" si="129"/>
        <v>-1</v>
      </c>
      <c r="CA94" s="52">
        <f t="shared" si="137"/>
        <v>0</v>
      </c>
      <c r="CB94" s="52">
        <f t="shared" si="137"/>
        <v>0</v>
      </c>
      <c r="CC94" s="52">
        <f t="shared" si="137"/>
        <v>0</v>
      </c>
      <c r="CD94" s="52">
        <f t="shared" si="137"/>
        <v>0</v>
      </c>
      <c r="CE94" s="52">
        <f t="shared" si="137"/>
        <v>0</v>
      </c>
      <c r="CF94" s="52">
        <f t="shared" si="137"/>
        <v>0</v>
      </c>
      <c r="CG94" s="52">
        <f t="shared" si="137"/>
        <v>0</v>
      </c>
      <c r="CH94" s="52">
        <f t="shared" si="137"/>
        <v>0</v>
      </c>
      <c r="CI94" s="52">
        <f t="shared" si="137"/>
        <v>0</v>
      </c>
      <c r="CJ94" s="52">
        <f t="shared" si="137"/>
        <v>0</v>
      </c>
      <c r="CK94" s="52">
        <f t="shared" si="137"/>
        <v>0</v>
      </c>
      <c r="CL94" s="52">
        <f t="shared" si="137"/>
        <v>0</v>
      </c>
      <c r="CM94" s="52">
        <f t="shared" si="137"/>
        <v>0</v>
      </c>
      <c r="CN94" s="52">
        <f t="shared" si="137"/>
        <v>0</v>
      </c>
      <c r="CO94" s="52">
        <f t="shared" si="137"/>
        <v>0</v>
      </c>
      <c r="CP94" s="52">
        <f t="shared" si="137"/>
        <v>0</v>
      </c>
      <c r="CQ94" s="52">
        <f t="shared" si="130"/>
        <v>0</v>
      </c>
      <c r="CR94" s="52">
        <f t="shared" si="131"/>
        <v>0</v>
      </c>
      <c r="CS94" s="52">
        <f t="shared" si="132"/>
        <v>0</v>
      </c>
      <c r="CT94" s="52">
        <f t="shared" si="133"/>
        <v>0</v>
      </c>
      <c r="CU94" s="52">
        <f t="shared" si="134"/>
        <v>0</v>
      </c>
      <c r="CV94" s="52">
        <f t="shared" si="135"/>
        <v>0</v>
      </c>
      <c r="CW94" s="52">
        <f t="shared" si="136"/>
        <v>0</v>
      </c>
      <c r="CX94" s="53">
        <f>+SUMIF(BZ64:CW94,"&gt;0")</f>
        <v>52</v>
      </c>
    </row>
    <row r="95" spans="1:102">
      <c r="A95" s="60">
        <v>45017</v>
      </c>
      <c r="B95" s="426">
        <v>55539.3</v>
      </c>
      <c r="C95">
        <v>55855.3</v>
      </c>
      <c r="D95">
        <v>55804.2</v>
      </c>
      <c r="E95">
        <v>55797.599999999999</v>
      </c>
      <c r="F95">
        <v>54602.9</v>
      </c>
      <c r="G95">
        <v>54458.1</v>
      </c>
      <c r="H95">
        <v>53818.3</v>
      </c>
      <c r="I95">
        <v>54774.6</v>
      </c>
      <c r="J95">
        <v>54658</v>
      </c>
      <c r="K95">
        <v>54638.3</v>
      </c>
      <c r="L95">
        <v>54728.1</v>
      </c>
      <c r="M95">
        <v>54657.3</v>
      </c>
      <c r="N95">
        <v>53635.1</v>
      </c>
      <c r="O95">
        <v>54134.2</v>
      </c>
      <c r="P95">
        <v>54106.9</v>
      </c>
      <c r="Q95">
        <v>53926.5</v>
      </c>
      <c r="R95">
        <v>54401.8</v>
      </c>
      <c r="S95">
        <v>54640.9</v>
      </c>
      <c r="T95">
        <v>54529.1</v>
      </c>
      <c r="U95">
        <v>54008.2</v>
      </c>
      <c r="V95">
        <v>54656.800000000003</v>
      </c>
      <c r="W95">
        <v>53899.3</v>
      </c>
      <c r="X95">
        <v>54069.2</v>
      </c>
      <c r="Y95">
        <v>54431.1</v>
      </c>
      <c r="Z95" s="77">
        <v>1309771.1000000001</v>
      </c>
      <c r="AB95" s="156">
        <f t="shared" ref="AB95:AB103" si="139">+IF(AND(B95=0,C95&lt;&gt;0),1,0)</f>
        <v>0</v>
      </c>
      <c r="AC95" s="156">
        <f t="shared" si="56"/>
        <v>0</v>
      </c>
      <c r="AD95" s="156">
        <f t="shared" si="57"/>
        <v>0</v>
      </c>
      <c r="AE95" s="156">
        <f t="shared" si="58"/>
        <v>0</v>
      </c>
      <c r="AF95" s="156">
        <f t="shared" si="59"/>
        <v>0</v>
      </c>
      <c r="AG95" s="156">
        <f t="shared" si="60"/>
        <v>0</v>
      </c>
      <c r="AH95" s="156">
        <f t="shared" si="61"/>
        <v>0</v>
      </c>
      <c r="AI95" s="156">
        <f t="shared" si="62"/>
        <v>0</v>
      </c>
      <c r="AJ95" s="156">
        <f t="shared" si="63"/>
        <v>0</v>
      </c>
      <c r="AK95" s="156">
        <f t="shared" si="64"/>
        <v>0</v>
      </c>
      <c r="AL95" s="156">
        <f t="shared" si="65"/>
        <v>0</v>
      </c>
      <c r="AM95" s="156">
        <f t="shared" si="66"/>
        <v>0</v>
      </c>
      <c r="AN95" s="156">
        <f t="shared" si="67"/>
        <v>0</v>
      </c>
      <c r="AO95" s="156">
        <f t="shared" si="68"/>
        <v>0</v>
      </c>
      <c r="AP95" s="156">
        <f t="shared" si="69"/>
        <v>0</v>
      </c>
      <c r="AQ95" s="156">
        <f t="shared" si="70"/>
        <v>0</v>
      </c>
      <c r="AR95" s="156">
        <f t="shared" si="71"/>
        <v>0</v>
      </c>
      <c r="AS95" s="156">
        <f t="shared" si="72"/>
        <v>0</v>
      </c>
      <c r="AT95" s="156">
        <f t="shared" si="73"/>
        <v>0</v>
      </c>
      <c r="AU95" s="156">
        <f t="shared" si="74"/>
        <v>0</v>
      </c>
      <c r="AV95" s="156">
        <f t="shared" si="75"/>
        <v>0</v>
      </c>
      <c r="AW95" s="156">
        <f t="shared" si="76"/>
        <v>0</v>
      </c>
      <c r="AX95" s="156">
        <f t="shared" si="77"/>
        <v>0</v>
      </c>
      <c r="AY95" s="156">
        <f t="shared" ref="AY95:AY103" si="140">+IF(AND(Y95=0,B96&lt;&gt;0),1,0)</f>
        <v>0</v>
      </c>
      <c r="BA95" s="54">
        <f>+ROUNDUP(B95/8800,0)</f>
        <v>7</v>
      </c>
      <c r="BB95" s="54">
        <f t="shared" si="79"/>
        <v>7</v>
      </c>
      <c r="BC95" s="54">
        <f t="shared" si="80"/>
        <v>7</v>
      </c>
      <c r="BD95" s="54">
        <f t="shared" si="81"/>
        <v>7</v>
      </c>
      <c r="BE95" s="54">
        <f t="shared" si="82"/>
        <v>7</v>
      </c>
      <c r="BF95" s="54">
        <f t="shared" si="83"/>
        <v>7</v>
      </c>
      <c r="BG95" s="54">
        <f t="shared" si="84"/>
        <v>7</v>
      </c>
      <c r="BH95" s="54">
        <f t="shared" si="85"/>
        <v>7</v>
      </c>
      <c r="BI95" s="54">
        <f t="shared" si="86"/>
        <v>7</v>
      </c>
      <c r="BJ95" s="54">
        <f t="shared" si="87"/>
        <v>7</v>
      </c>
      <c r="BK95" s="54">
        <f t="shared" si="88"/>
        <v>7</v>
      </c>
      <c r="BL95" s="54">
        <f t="shared" si="89"/>
        <v>7</v>
      </c>
      <c r="BM95" s="54">
        <f t="shared" si="90"/>
        <v>7</v>
      </c>
      <c r="BN95" s="54">
        <f t="shared" si="91"/>
        <v>7</v>
      </c>
      <c r="BO95" s="54">
        <f t="shared" si="92"/>
        <v>7</v>
      </c>
      <c r="BP95" s="54">
        <f t="shared" si="93"/>
        <v>7</v>
      </c>
      <c r="BQ95" s="54">
        <f t="shared" si="94"/>
        <v>7</v>
      </c>
      <c r="BR95" s="54">
        <f t="shared" si="95"/>
        <v>7</v>
      </c>
      <c r="BS95" s="54">
        <f t="shared" si="96"/>
        <v>7</v>
      </c>
      <c r="BT95" s="54">
        <f t="shared" si="97"/>
        <v>7</v>
      </c>
      <c r="BU95" s="54">
        <f t="shared" si="98"/>
        <v>7</v>
      </c>
      <c r="BV95" s="54">
        <f t="shared" si="99"/>
        <v>7</v>
      </c>
      <c r="BW95" s="54">
        <f t="shared" si="100"/>
        <v>7</v>
      </c>
      <c r="BX95" s="54">
        <f t="shared" si="101"/>
        <v>7</v>
      </c>
      <c r="BZ95" s="54">
        <f t="shared" si="129"/>
        <v>0</v>
      </c>
      <c r="CA95" s="54">
        <f t="shared" si="137"/>
        <v>0</v>
      </c>
      <c r="CB95" s="54">
        <f t="shared" si="137"/>
        <v>0</v>
      </c>
      <c r="CC95" s="54">
        <f t="shared" si="137"/>
        <v>0</v>
      </c>
      <c r="CD95" s="54">
        <f t="shared" si="137"/>
        <v>0</v>
      </c>
      <c r="CE95" s="54">
        <f t="shared" si="137"/>
        <v>0</v>
      </c>
      <c r="CF95" s="54">
        <f t="shared" si="137"/>
        <v>0</v>
      </c>
      <c r="CG95" s="54">
        <f t="shared" si="137"/>
        <v>0</v>
      </c>
      <c r="CH95" s="54">
        <f t="shared" si="137"/>
        <v>0</v>
      </c>
      <c r="CI95" s="54">
        <f t="shared" si="137"/>
        <v>0</v>
      </c>
      <c r="CJ95" s="54">
        <f t="shared" si="137"/>
        <v>0</v>
      </c>
      <c r="CK95" s="54">
        <f t="shared" si="137"/>
        <v>0</v>
      </c>
      <c r="CL95" s="54">
        <f t="shared" si="137"/>
        <v>0</v>
      </c>
      <c r="CM95" s="54">
        <f t="shared" ref="CM95:CP97" si="141">BN95-BM95</f>
        <v>0</v>
      </c>
      <c r="CN95" s="54">
        <f t="shared" si="141"/>
        <v>0</v>
      </c>
      <c r="CO95" s="54">
        <f t="shared" si="141"/>
        <v>0</v>
      </c>
      <c r="CP95" s="54">
        <f t="shared" si="141"/>
        <v>0</v>
      </c>
      <c r="CQ95" s="54">
        <f t="shared" si="130"/>
        <v>0</v>
      </c>
      <c r="CR95" s="54">
        <f t="shared" si="131"/>
        <v>0</v>
      </c>
      <c r="CS95" s="54">
        <f t="shared" si="132"/>
        <v>0</v>
      </c>
      <c r="CT95" s="54">
        <f t="shared" si="133"/>
        <v>0</v>
      </c>
      <c r="CU95" s="54">
        <f t="shared" si="134"/>
        <v>0</v>
      </c>
      <c r="CV95" s="54">
        <f t="shared" si="135"/>
        <v>0</v>
      </c>
      <c r="CW95" s="54">
        <f t="shared" si="136"/>
        <v>0</v>
      </c>
    </row>
    <row r="96" spans="1:102">
      <c r="A96" s="60">
        <v>45018</v>
      </c>
      <c r="B96" s="426">
        <v>54725.4</v>
      </c>
      <c r="C96">
        <v>54920.2</v>
      </c>
      <c r="D96">
        <v>54747.3</v>
      </c>
      <c r="E96">
        <v>53844.1</v>
      </c>
      <c r="F96">
        <v>53952.3</v>
      </c>
      <c r="G96">
        <v>52277.1</v>
      </c>
      <c r="H96">
        <v>51144.800000000003</v>
      </c>
      <c r="I96">
        <v>51328.9</v>
      </c>
      <c r="J96">
        <v>51421.599999999999</v>
      </c>
      <c r="K96">
        <v>51712.1</v>
      </c>
      <c r="L96">
        <v>54888.6</v>
      </c>
      <c r="M96">
        <v>55354.2</v>
      </c>
      <c r="N96">
        <v>55118.2</v>
      </c>
      <c r="O96">
        <v>54959.5</v>
      </c>
      <c r="P96">
        <v>54903</v>
      </c>
      <c r="Q96">
        <v>54613.1</v>
      </c>
      <c r="R96">
        <v>54781.2</v>
      </c>
      <c r="S96">
        <v>54571.8</v>
      </c>
      <c r="T96">
        <v>54750.8</v>
      </c>
      <c r="U96">
        <v>54513.9</v>
      </c>
      <c r="V96">
        <v>54498.9</v>
      </c>
      <c r="W96">
        <v>54464.1</v>
      </c>
      <c r="X96">
        <v>54559.9</v>
      </c>
      <c r="Y96">
        <v>54740.6</v>
      </c>
      <c r="Z96" s="77">
        <v>1296791.5999999999</v>
      </c>
      <c r="AB96">
        <f t="shared" si="139"/>
        <v>0</v>
      </c>
      <c r="AC96">
        <f t="shared" si="56"/>
        <v>0</v>
      </c>
      <c r="AD96">
        <f t="shared" si="57"/>
        <v>0</v>
      </c>
      <c r="AE96">
        <f t="shared" si="58"/>
        <v>0</v>
      </c>
      <c r="AF96">
        <f t="shared" si="59"/>
        <v>0</v>
      </c>
      <c r="AG96">
        <f t="shared" si="60"/>
        <v>0</v>
      </c>
      <c r="AH96">
        <f t="shared" si="61"/>
        <v>0</v>
      </c>
      <c r="AI96">
        <f t="shared" si="62"/>
        <v>0</v>
      </c>
      <c r="AJ96">
        <f t="shared" si="63"/>
        <v>0</v>
      </c>
      <c r="AK96">
        <f t="shared" si="64"/>
        <v>0</v>
      </c>
      <c r="AL96">
        <f t="shared" si="65"/>
        <v>0</v>
      </c>
      <c r="AM96">
        <f t="shared" si="66"/>
        <v>0</v>
      </c>
      <c r="AN96">
        <f t="shared" si="67"/>
        <v>0</v>
      </c>
      <c r="AO96">
        <f t="shared" si="68"/>
        <v>0</v>
      </c>
      <c r="AP96">
        <f t="shared" si="69"/>
        <v>0</v>
      </c>
      <c r="AQ96">
        <f t="shared" si="70"/>
        <v>0</v>
      </c>
      <c r="AR96">
        <f t="shared" si="71"/>
        <v>0</v>
      </c>
      <c r="AS96">
        <f t="shared" si="72"/>
        <v>0</v>
      </c>
      <c r="AT96">
        <f t="shared" si="73"/>
        <v>0</v>
      </c>
      <c r="AU96">
        <f t="shared" si="74"/>
        <v>0</v>
      </c>
      <c r="AV96">
        <f t="shared" si="75"/>
        <v>0</v>
      </c>
      <c r="AW96">
        <f t="shared" si="76"/>
        <v>0</v>
      </c>
      <c r="AX96">
        <f t="shared" si="77"/>
        <v>0</v>
      </c>
      <c r="AY96">
        <f t="shared" si="140"/>
        <v>0</v>
      </c>
      <c r="BA96">
        <f t="shared" ref="BA96:BA124" si="142">+ROUNDUP(B96/8800,0)</f>
        <v>7</v>
      </c>
      <c r="BB96">
        <f t="shared" si="79"/>
        <v>7</v>
      </c>
      <c r="BC96">
        <f t="shared" si="80"/>
        <v>7</v>
      </c>
      <c r="BD96">
        <f t="shared" si="81"/>
        <v>7</v>
      </c>
      <c r="BE96">
        <f t="shared" si="82"/>
        <v>7</v>
      </c>
      <c r="BF96">
        <f t="shared" si="83"/>
        <v>6</v>
      </c>
      <c r="BG96">
        <f t="shared" si="84"/>
        <v>6</v>
      </c>
      <c r="BH96">
        <f t="shared" si="85"/>
        <v>6</v>
      </c>
      <c r="BI96">
        <f t="shared" si="86"/>
        <v>6</v>
      </c>
      <c r="BJ96">
        <f t="shared" si="87"/>
        <v>6</v>
      </c>
      <c r="BK96">
        <f t="shared" si="88"/>
        <v>7</v>
      </c>
      <c r="BL96">
        <f t="shared" si="89"/>
        <v>7</v>
      </c>
      <c r="BM96">
        <f t="shared" si="90"/>
        <v>7</v>
      </c>
      <c r="BN96">
        <f t="shared" si="91"/>
        <v>7</v>
      </c>
      <c r="BO96">
        <f t="shared" si="92"/>
        <v>7</v>
      </c>
      <c r="BP96">
        <f t="shared" si="93"/>
        <v>7</v>
      </c>
      <c r="BQ96">
        <f t="shared" si="94"/>
        <v>7</v>
      </c>
      <c r="BR96">
        <f t="shared" si="95"/>
        <v>7</v>
      </c>
      <c r="BS96">
        <f t="shared" si="96"/>
        <v>7</v>
      </c>
      <c r="BT96">
        <f t="shared" si="97"/>
        <v>7</v>
      </c>
      <c r="BU96">
        <f t="shared" si="98"/>
        <v>7</v>
      </c>
      <c r="BV96">
        <f t="shared" si="99"/>
        <v>7</v>
      </c>
      <c r="BW96">
        <f t="shared" si="100"/>
        <v>7</v>
      </c>
      <c r="BX96">
        <f t="shared" si="101"/>
        <v>7</v>
      </c>
      <c r="BZ96" s="52">
        <f t="shared" si="129"/>
        <v>0</v>
      </c>
      <c r="CA96" s="52">
        <f t="shared" ref="CA96:CP113" si="143">BB96-BA96</f>
        <v>0</v>
      </c>
      <c r="CB96" s="52">
        <f t="shared" ref="CB96:CL97" si="144">BC96-BB96</f>
        <v>0</v>
      </c>
      <c r="CC96" s="52">
        <f t="shared" si="144"/>
        <v>0</v>
      </c>
      <c r="CD96" s="52">
        <f t="shared" si="144"/>
        <v>0</v>
      </c>
      <c r="CE96" s="52">
        <f t="shared" si="144"/>
        <v>-1</v>
      </c>
      <c r="CF96" s="52">
        <f t="shared" si="144"/>
        <v>0</v>
      </c>
      <c r="CG96" s="52">
        <f t="shared" si="144"/>
        <v>0</v>
      </c>
      <c r="CH96" s="52">
        <f t="shared" si="144"/>
        <v>0</v>
      </c>
      <c r="CI96" s="52">
        <f t="shared" si="144"/>
        <v>0</v>
      </c>
      <c r="CJ96" s="52">
        <f t="shared" si="144"/>
        <v>1</v>
      </c>
      <c r="CK96" s="52">
        <f t="shared" si="144"/>
        <v>0</v>
      </c>
      <c r="CL96" s="52">
        <f t="shared" si="144"/>
        <v>0</v>
      </c>
      <c r="CM96" s="52">
        <f t="shared" si="141"/>
        <v>0</v>
      </c>
      <c r="CN96" s="52">
        <f t="shared" si="141"/>
        <v>0</v>
      </c>
      <c r="CO96" s="52">
        <f t="shared" si="141"/>
        <v>0</v>
      </c>
      <c r="CP96" s="52">
        <f t="shared" si="141"/>
        <v>0</v>
      </c>
      <c r="CQ96" s="52">
        <f t="shared" si="130"/>
        <v>0</v>
      </c>
      <c r="CR96" s="52">
        <f t="shared" si="131"/>
        <v>0</v>
      </c>
      <c r="CS96" s="52">
        <f t="shared" si="132"/>
        <v>0</v>
      </c>
      <c r="CT96" s="52">
        <f t="shared" si="133"/>
        <v>0</v>
      </c>
      <c r="CU96" s="52">
        <f t="shared" si="134"/>
        <v>0</v>
      </c>
      <c r="CV96" s="52">
        <f t="shared" si="135"/>
        <v>0</v>
      </c>
      <c r="CW96" s="52">
        <f t="shared" si="136"/>
        <v>0</v>
      </c>
    </row>
    <row r="97" spans="1:101">
      <c r="A97" s="60">
        <v>45019</v>
      </c>
      <c r="B97" s="426">
        <v>55050.2</v>
      </c>
      <c r="C97">
        <v>55277.4</v>
      </c>
      <c r="D97">
        <v>55126.2</v>
      </c>
      <c r="E97">
        <v>54120.1</v>
      </c>
      <c r="F97">
        <v>53737.7</v>
      </c>
      <c r="G97">
        <v>54335</v>
      </c>
      <c r="H97">
        <v>54345.7</v>
      </c>
      <c r="I97">
        <v>54511.4</v>
      </c>
      <c r="J97">
        <v>54629.8</v>
      </c>
      <c r="K97">
        <v>54568.3</v>
      </c>
      <c r="L97">
        <v>54061.9</v>
      </c>
      <c r="M97">
        <v>53900.2</v>
      </c>
      <c r="N97">
        <v>54043</v>
      </c>
      <c r="O97">
        <v>53930.1</v>
      </c>
      <c r="P97">
        <v>54009.5</v>
      </c>
      <c r="Q97">
        <v>53858.9</v>
      </c>
      <c r="R97">
        <v>53877.8</v>
      </c>
      <c r="S97">
        <v>53876.1</v>
      </c>
      <c r="T97">
        <v>54070.8</v>
      </c>
      <c r="U97">
        <v>53887.6</v>
      </c>
      <c r="V97">
        <v>62431.6</v>
      </c>
      <c r="W97">
        <v>54085.3</v>
      </c>
      <c r="X97">
        <v>57245.1</v>
      </c>
      <c r="Y97">
        <v>68377.8</v>
      </c>
      <c r="Z97" s="77">
        <v>1327357.5000000005</v>
      </c>
      <c r="AB97" s="52">
        <f t="shared" si="139"/>
        <v>0</v>
      </c>
      <c r="AC97" s="52">
        <f t="shared" si="56"/>
        <v>0</v>
      </c>
      <c r="AD97" s="52">
        <f t="shared" si="57"/>
        <v>0</v>
      </c>
      <c r="AE97" s="52">
        <f t="shared" si="58"/>
        <v>0</v>
      </c>
      <c r="AF97" s="52">
        <f t="shared" si="59"/>
        <v>0</v>
      </c>
      <c r="AG97" s="52">
        <f t="shared" si="60"/>
        <v>0</v>
      </c>
      <c r="AH97" s="52">
        <f t="shared" si="61"/>
        <v>0</v>
      </c>
      <c r="AI97" s="52">
        <f t="shared" si="62"/>
        <v>0</v>
      </c>
      <c r="AJ97" s="52">
        <f t="shared" si="63"/>
        <v>0</v>
      </c>
      <c r="AK97" s="52">
        <f t="shared" si="64"/>
        <v>0</v>
      </c>
      <c r="AL97" s="52">
        <f t="shared" si="65"/>
        <v>0</v>
      </c>
      <c r="AM97" s="52">
        <f t="shared" si="66"/>
        <v>0</v>
      </c>
      <c r="AN97" s="52">
        <f t="shared" si="67"/>
        <v>0</v>
      </c>
      <c r="AO97" s="52">
        <f t="shared" si="68"/>
        <v>0</v>
      </c>
      <c r="AP97" s="52">
        <f t="shared" si="69"/>
        <v>0</v>
      </c>
      <c r="AQ97" s="52">
        <f t="shared" si="70"/>
        <v>0</v>
      </c>
      <c r="AR97" s="52">
        <f t="shared" si="71"/>
        <v>0</v>
      </c>
      <c r="AS97" s="52">
        <f t="shared" si="72"/>
        <v>0</v>
      </c>
      <c r="AT97" s="52">
        <f t="shared" si="73"/>
        <v>0</v>
      </c>
      <c r="AU97" s="52">
        <f t="shared" si="74"/>
        <v>0</v>
      </c>
      <c r="AV97" s="52">
        <f t="shared" si="75"/>
        <v>0</v>
      </c>
      <c r="AW97" s="52">
        <f t="shared" si="76"/>
        <v>0</v>
      </c>
      <c r="AX97" s="52">
        <f t="shared" si="77"/>
        <v>0</v>
      </c>
      <c r="AY97" s="52">
        <f t="shared" si="140"/>
        <v>0</v>
      </c>
      <c r="BA97" s="52">
        <f t="shared" si="142"/>
        <v>7</v>
      </c>
      <c r="BB97" s="52">
        <f t="shared" si="79"/>
        <v>7</v>
      </c>
      <c r="BC97" s="52">
        <f t="shared" si="80"/>
        <v>7</v>
      </c>
      <c r="BD97" s="52">
        <f t="shared" si="81"/>
        <v>7</v>
      </c>
      <c r="BE97" s="52">
        <f t="shared" si="82"/>
        <v>7</v>
      </c>
      <c r="BF97" s="52">
        <f t="shared" si="83"/>
        <v>7</v>
      </c>
      <c r="BG97" s="52">
        <f t="shared" si="84"/>
        <v>7</v>
      </c>
      <c r="BH97" s="52">
        <f t="shared" si="85"/>
        <v>7</v>
      </c>
      <c r="BI97" s="52">
        <f t="shared" si="86"/>
        <v>7</v>
      </c>
      <c r="BJ97" s="52">
        <f t="shared" si="87"/>
        <v>7</v>
      </c>
      <c r="BK97" s="52">
        <f t="shared" si="88"/>
        <v>7</v>
      </c>
      <c r="BL97" s="52">
        <f t="shared" si="89"/>
        <v>7</v>
      </c>
      <c r="BM97" s="52">
        <f t="shared" si="90"/>
        <v>7</v>
      </c>
      <c r="BN97" s="52">
        <f t="shared" si="91"/>
        <v>7</v>
      </c>
      <c r="BO97" s="52">
        <f t="shared" si="92"/>
        <v>7</v>
      </c>
      <c r="BP97" s="52">
        <f t="shared" si="93"/>
        <v>7</v>
      </c>
      <c r="BQ97" s="52">
        <f t="shared" si="94"/>
        <v>7</v>
      </c>
      <c r="BR97" s="52">
        <f t="shared" si="95"/>
        <v>7</v>
      </c>
      <c r="BS97" s="52">
        <f t="shared" si="96"/>
        <v>7</v>
      </c>
      <c r="BT97" s="52">
        <f t="shared" si="97"/>
        <v>7</v>
      </c>
      <c r="BU97" s="52">
        <f t="shared" si="98"/>
        <v>8</v>
      </c>
      <c r="BV97" s="52">
        <f t="shared" si="99"/>
        <v>7</v>
      </c>
      <c r="BW97" s="52">
        <f t="shared" si="100"/>
        <v>7</v>
      </c>
      <c r="BX97" s="52">
        <f t="shared" si="101"/>
        <v>8</v>
      </c>
      <c r="BZ97">
        <f t="shared" si="129"/>
        <v>0</v>
      </c>
      <c r="CA97">
        <f t="shared" si="143"/>
        <v>0</v>
      </c>
      <c r="CB97">
        <f t="shared" si="144"/>
        <v>0</v>
      </c>
      <c r="CC97">
        <f t="shared" si="144"/>
        <v>0</v>
      </c>
      <c r="CD97">
        <f t="shared" si="144"/>
        <v>0</v>
      </c>
      <c r="CE97">
        <f t="shared" si="144"/>
        <v>0</v>
      </c>
      <c r="CF97">
        <f t="shared" si="144"/>
        <v>0</v>
      </c>
      <c r="CG97">
        <f t="shared" si="144"/>
        <v>0</v>
      </c>
      <c r="CH97">
        <f t="shared" si="144"/>
        <v>0</v>
      </c>
      <c r="CI97">
        <f t="shared" si="144"/>
        <v>0</v>
      </c>
      <c r="CJ97">
        <f t="shared" si="144"/>
        <v>0</v>
      </c>
      <c r="CK97">
        <f t="shared" si="144"/>
        <v>0</v>
      </c>
      <c r="CL97">
        <f t="shared" si="144"/>
        <v>0</v>
      </c>
      <c r="CM97">
        <f t="shared" si="141"/>
        <v>0</v>
      </c>
      <c r="CN97">
        <f t="shared" si="141"/>
        <v>0</v>
      </c>
      <c r="CO97">
        <f t="shared" si="141"/>
        <v>0</v>
      </c>
      <c r="CP97">
        <f t="shared" si="141"/>
        <v>0</v>
      </c>
      <c r="CQ97">
        <f t="shared" si="130"/>
        <v>0</v>
      </c>
      <c r="CR97">
        <f t="shared" si="131"/>
        <v>0</v>
      </c>
      <c r="CS97">
        <f t="shared" si="132"/>
        <v>0</v>
      </c>
      <c r="CT97">
        <f t="shared" si="133"/>
        <v>1</v>
      </c>
      <c r="CU97">
        <f t="shared" si="134"/>
        <v>-1</v>
      </c>
      <c r="CV97">
        <f t="shared" si="135"/>
        <v>0</v>
      </c>
      <c r="CW97">
        <f t="shared" si="136"/>
        <v>1</v>
      </c>
    </row>
    <row r="98" spans="1:101">
      <c r="A98" s="60">
        <v>45020</v>
      </c>
      <c r="B98" s="426">
        <v>53903.4</v>
      </c>
      <c r="C98">
        <v>53533.3</v>
      </c>
      <c r="D98">
        <v>53550.400000000001</v>
      </c>
      <c r="E98">
        <v>54258</v>
      </c>
      <c r="F98">
        <v>54272.7</v>
      </c>
      <c r="G98">
        <v>54099.6</v>
      </c>
      <c r="H98">
        <v>52529.2</v>
      </c>
      <c r="I98">
        <v>53734.5</v>
      </c>
      <c r="J98">
        <v>53883.6</v>
      </c>
      <c r="K98">
        <v>54394.3</v>
      </c>
      <c r="L98">
        <v>54573.4</v>
      </c>
      <c r="M98">
        <v>54309</v>
      </c>
      <c r="N98">
        <v>54452.9</v>
      </c>
      <c r="O98">
        <v>54513</v>
      </c>
      <c r="P98">
        <v>54507.199999999997</v>
      </c>
      <c r="Q98">
        <v>54417</v>
      </c>
      <c r="R98">
        <v>54415.199999999997</v>
      </c>
      <c r="S98">
        <v>54546.5</v>
      </c>
      <c r="T98">
        <v>54617.4</v>
      </c>
      <c r="U98">
        <v>61384.1</v>
      </c>
      <c r="V98">
        <v>69077.100000000006</v>
      </c>
      <c r="W98">
        <v>68687.399999999994</v>
      </c>
      <c r="X98">
        <v>68711.7</v>
      </c>
      <c r="Y98">
        <v>68725.5</v>
      </c>
      <c r="Z98" s="77">
        <v>1365096.4</v>
      </c>
      <c r="AB98">
        <f t="shared" si="139"/>
        <v>0</v>
      </c>
      <c r="AC98">
        <f t="shared" si="56"/>
        <v>0</v>
      </c>
      <c r="AD98">
        <f t="shared" si="57"/>
        <v>0</v>
      </c>
      <c r="AE98">
        <f t="shared" si="58"/>
        <v>0</v>
      </c>
      <c r="AF98">
        <f t="shared" si="59"/>
        <v>0</v>
      </c>
      <c r="AG98">
        <f t="shared" si="60"/>
        <v>0</v>
      </c>
      <c r="AH98">
        <f t="shared" si="61"/>
        <v>0</v>
      </c>
      <c r="AI98">
        <f t="shared" si="62"/>
        <v>0</v>
      </c>
      <c r="AJ98">
        <f t="shared" si="63"/>
        <v>0</v>
      </c>
      <c r="AK98">
        <f t="shared" si="64"/>
        <v>0</v>
      </c>
      <c r="AL98">
        <f t="shared" si="65"/>
        <v>0</v>
      </c>
      <c r="AM98">
        <f t="shared" si="66"/>
        <v>0</v>
      </c>
      <c r="AN98">
        <f t="shared" si="67"/>
        <v>0</v>
      </c>
      <c r="AO98">
        <f t="shared" si="68"/>
        <v>0</v>
      </c>
      <c r="AP98">
        <f t="shared" si="69"/>
        <v>0</v>
      </c>
      <c r="AQ98">
        <f t="shared" si="70"/>
        <v>0</v>
      </c>
      <c r="AR98">
        <f t="shared" si="71"/>
        <v>0</v>
      </c>
      <c r="AS98">
        <f t="shared" si="72"/>
        <v>0</v>
      </c>
      <c r="AT98">
        <f t="shared" si="73"/>
        <v>0</v>
      </c>
      <c r="AU98">
        <f t="shared" si="74"/>
        <v>0</v>
      </c>
      <c r="AV98">
        <f t="shared" si="75"/>
        <v>0</v>
      </c>
      <c r="AW98">
        <f t="shared" si="76"/>
        <v>0</v>
      </c>
      <c r="AX98">
        <f t="shared" si="77"/>
        <v>0</v>
      </c>
      <c r="AY98">
        <f t="shared" si="140"/>
        <v>0</v>
      </c>
      <c r="BA98">
        <f t="shared" si="142"/>
        <v>7</v>
      </c>
      <c r="BB98">
        <f t="shared" si="79"/>
        <v>7</v>
      </c>
      <c r="BC98">
        <f t="shared" si="80"/>
        <v>7</v>
      </c>
      <c r="BD98">
        <f t="shared" si="81"/>
        <v>7</v>
      </c>
      <c r="BE98">
        <f t="shared" si="82"/>
        <v>7</v>
      </c>
      <c r="BF98">
        <f t="shared" si="83"/>
        <v>7</v>
      </c>
      <c r="BG98">
        <f t="shared" si="84"/>
        <v>6</v>
      </c>
      <c r="BH98">
        <f t="shared" si="85"/>
        <v>7</v>
      </c>
      <c r="BI98">
        <f t="shared" si="86"/>
        <v>7</v>
      </c>
      <c r="BJ98">
        <f t="shared" si="87"/>
        <v>7</v>
      </c>
      <c r="BK98">
        <f t="shared" si="88"/>
        <v>7</v>
      </c>
      <c r="BL98">
        <f t="shared" si="89"/>
        <v>7</v>
      </c>
      <c r="BM98">
        <f t="shared" si="90"/>
        <v>7</v>
      </c>
      <c r="BN98">
        <f t="shared" si="91"/>
        <v>7</v>
      </c>
      <c r="BO98">
        <f t="shared" si="92"/>
        <v>7</v>
      </c>
      <c r="BP98">
        <f t="shared" si="93"/>
        <v>7</v>
      </c>
      <c r="BQ98">
        <f t="shared" si="94"/>
        <v>7</v>
      </c>
      <c r="BR98">
        <f t="shared" si="95"/>
        <v>7</v>
      </c>
      <c r="BS98">
        <f t="shared" si="96"/>
        <v>7</v>
      </c>
      <c r="BT98">
        <f t="shared" si="97"/>
        <v>7</v>
      </c>
      <c r="BU98">
        <f t="shared" si="98"/>
        <v>8</v>
      </c>
      <c r="BV98">
        <f t="shared" si="99"/>
        <v>8</v>
      </c>
      <c r="BW98">
        <f t="shared" si="100"/>
        <v>8</v>
      </c>
      <c r="BX98">
        <f t="shared" si="101"/>
        <v>8</v>
      </c>
      <c r="BZ98" s="52">
        <f t="shared" si="129"/>
        <v>-1</v>
      </c>
      <c r="CA98" s="52">
        <f t="shared" si="143"/>
        <v>0</v>
      </c>
      <c r="CB98" s="52">
        <f t="shared" si="143"/>
        <v>0</v>
      </c>
      <c r="CC98" s="52">
        <f t="shared" si="143"/>
        <v>0</v>
      </c>
      <c r="CD98" s="52">
        <f t="shared" si="143"/>
        <v>0</v>
      </c>
      <c r="CE98" s="52">
        <f t="shared" si="143"/>
        <v>0</v>
      </c>
      <c r="CF98" s="52">
        <f t="shared" si="143"/>
        <v>-1</v>
      </c>
      <c r="CG98" s="52">
        <f t="shared" si="143"/>
        <v>1</v>
      </c>
      <c r="CH98" s="52">
        <f t="shared" si="143"/>
        <v>0</v>
      </c>
      <c r="CI98" s="52">
        <f t="shared" si="143"/>
        <v>0</v>
      </c>
      <c r="CJ98" s="52">
        <f t="shared" si="143"/>
        <v>0</v>
      </c>
      <c r="CK98" s="52">
        <f t="shared" si="143"/>
        <v>0</v>
      </c>
      <c r="CL98" s="52">
        <f t="shared" si="143"/>
        <v>0</v>
      </c>
      <c r="CM98" s="52">
        <f t="shared" si="143"/>
        <v>0</v>
      </c>
      <c r="CN98" s="52">
        <f t="shared" si="143"/>
        <v>0</v>
      </c>
      <c r="CO98" s="52">
        <f t="shared" si="143"/>
        <v>0</v>
      </c>
      <c r="CP98" s="52">
        <f t="shared" si="143"/>
        <v>0</v>
      </c>
      <c r="CQ98" s="52">
        <f t="shared" si="130"/>
        <v>0</v>
      </c>
      <c r="CR98" s="52">
        <f t="shared" si="131"/>
        <v>0</v>
      </c>
      <c r="CS98" s="52">
        <f t="shared" si="132"/>
        <v>0</v>
      </c>
      <c r="CT98" s="52">
        <f t="shared" si="133"/>
        <v>1</v>
      </c>
      <c r="CU98" s="52">
        <f t="shared" si="134"/>
        <v>0</v>
      </c>
      <c r="CV98" s="52">
        <f t="shared" si="135"/>
        <v>0</v>
      </c>
      <c r="CW98" s="52">
        <f t="shared" si="136"/>
        <v>0</v>
      </c>
    </row>
    <row r="99" spans="1:101">
      <c r="A99" s="60">
        <v>45021</v>
      </c>
      <c r="B99" s="426">
        <v>66972.600000000006</v>
      </c>
      <c r="C99">
        <v>54568.800000000003</v>
      </c>
      <c r="D99">
        <v>54439.9</v>
      </c>
      <c r="E99">
        <v>54756.6</v>
      </c>
      <c r="F99">
        <v>54784.3</v>
      </c>
      <c r="G99">
        <v>54845</v>
      </c>
      <c r="H99">
        <v>54966.7</v>
      </c>
      <c r="I99">
        <v>54692</v>
      </c>
      <c r="J99">
        <v>54658.7</v>
      </c>
      <c r="K99">
        <v>54672.2</v>
      </c>
      <c r="L99">
        <v>54375.9</v>
      </c>
      <c r="M99">
        <v>54517.8</v>
      </c>
      <c r="N99">
        <v>57556.800000000003</v>
      </c>
      <c r="O99">
        <v>68184.600000000006</v>
      </c>
      <c r="P99">
        <v>70088.2</v>
      </c>
      <c r="Q99">
        <v>68156.2</v>
      </c>
      <c r="R99">
        <v>68157.8</v>
      </c>
      <c r="S99">
        <v>54836.3</v>
      </c>
      <c r="T99">
        <v>67599.100000000006</v>
      </c>
      <c r="U99">
        <v>68302</v>
      </c>
      <c r="V99">
        <v>64979.3</v>
      </c>
      <c r="W99">
        <v>62462.3</v>
      </c>
      <c r="X99">
        <v>67526.600000000006</v>
      </c>
      <c r="Y99">
        <v>65615</v>
      </c>
      <c r="Z99" s="77">
        <v>1451714.7000000004</v>
      </c>
      <c r="AB99" s="52">
        <f t="shared" si="139"/>
        <v>0</v>
      </c>
      <c r="AC99" s="52">
        <f t="shared" si="56"/>
        <v>0</v>
      </c>
      <c r="AD99" s="52">
        <f t="shared" si="57"/>
        <v>0</v>
      </c>
      <c r="AE99" s="52">
        <f t="shared" si="58"/>
        <v>0</v>
      </c>
      <c r="AF99" s="52">
        <f t="shared" si="59"/>
        <v>0</v>
      </c>
      <c r="AG99" s="52">
        <f t="shared" si="60"/>
        <v>0</v>
      </c>
      <c r="AH99" s="52">
        <f t="shared" si="61"/>
        <v>0</v>
      </c>
      <c r="AI99" s="52">
        <f t="shared" si="62"/>
        <v>0</v>
      </c>
      <c r="AJ99" s="52">
        <f t="shared" si="63"/>
        <v>0</v>
      </c>
      <c r="AK99" s="52">
        <f t="shared" si="64"/>
        <v>0</v>
      </c>
      <c r="AL99" s="52">
        <f t="shared" si="65"/>
        <v>0</v>
      </c>
      <c r="AM99" s="52">
        <f t="shared" si="66"/>
        <v>0</v>
      </c>
      <c r="AN99" s="52">
        <f t="shared" si="67"/>
        <v>0</v>
      </c>
      <c r="AO99" s="52">
        <f t="shared" si="68"/>
        <v>0</v>
      </c>
      <c r="AP99" s="52">
        <f t="shared" si="69"/>
        <v>0</v>
      </c>
      <c r="AQ99" s="52">
        <f t="shared" si="70"/>
        <v>0</v>
      </c>
      <c r="AR99" s="52">
        <f t="shared" si="71"/>
        <v>0</v>
      </c>
      <c r="AS99" s="52">
        <f t="shared" si="72"/>
        <v>0</v>
      </c>
      <c r="AT99" s="52">
        <f t="shared" si="73"/>
        <v>0</v>
      </c>
      <c r="AU99" s="52">
        <f t="shared" si="74"/>
        <v>0</v>
      </c>
      <c r="AV99" s="52">
        <f t="shared" si="75"/>
        <v>0</v>
      </c>
      <c r="AW99" s="52">
        <f t="shared" si="76"/>
        <v>0</v>
      </c>
      <c r="AX99" s="52">
        <f t="shared" si="77"/>
        <v>0</v>
      </c>
      <c r="AY99" s="52">
        <f t="shared" si="140"/>
        <v>0</v>
      </c>
      <c r="BA99" s="52">
        <f t="shared" si="142"/>
        <v>8</v>
      </c>
      <c r="BB99" s="52">
        <f t="shared" si="79"/>
        <v>7</v>
      </c>
      <c r="BC99" s="52">
        <f t="shared" si="80"/>
        <v>7</v>
      </c>
      <c r="BD99" s="52">
        <f t="shared" si="81"/>
        <v>7</v>
      </c>
      <c r="BE99" s="52">
        <f t="shared" si="82"/>
        <v>7</v>
      </c>
      <c r="BF99" s="52">
        <f t="shared" si="83"/>
        <v>7</v>
      </c>
      <c r="BG99" s="52">
        <f t="shared" si="84"/>
        <v>7</v>
      </c>
      <c r="BH99" s="52">
        <f t="shared" si="85"/>
        <v>7</v>
      </c>
      <c r="BI99" s="52">
        <f t="shared" si="86"/>
        <v>7</v>
      </c>
      <c r="BJ99" s="52">
        <f t="shared" si="87"/>
        <v>7</v>
      </c>
      <c r="BK99" s="52">
        <f t="shared" si="88"/>
        <v>7</v>
      </c>
      <c r="BL99" s="52">
        <f t="shared" si="89"/>
        <v>7</v>
      </c>
      <c r="BM99" s="52">
        <f t="shared" si="90"/>
        <v>7</v>
      </c>
      <c r="BN99" s="52">
        <f t="shared" si="91"/>
        <v>8</v>
      </c>
      <c r="BO99" s="52">
        <f t="shared" si="92"/>
        <v>8</v>
      </c>
      <c r="BP99" s="52">
        <f t="shared" si="93"/>
        <v>8</v>
      </c>
      <c r="BQ99" s="52">
        <f t="shared" si="94"/>
        <v>8</v>
      </c>
      <c r="BR99" s="52">
        <f t="shared" si="95"/>
        <v>7</v>
      </c>
      <c r="BS99" s="52">
        <f t="shared" si="96"/>
        <v>8</v>
      </c>
      <c r="BT99" s="52">
        <f t="shared" si="97"/>
        <v>8</v>
      </c>
      <c r="BU99" s="52">
        <f t="shared" si="98"/>
        <v>8</v>
      </c>
      <c r="BV99" s="52">
        <f t="shared" si="99"/>
        <v>8</v>
      </c>
      <c r="BW99" s="52">
        <f t="shared" si="100"/>
        <v>8</v>
      </c>
      <c r="BX99" s="52">
        <f t="shared" si="101"/>
        <v>8</v>
      </c>
      <c r="BZ99">
        <f t="shared" si="129"/>
        <v>0</v>
      </c>
      <c r="CA99">
        <f t="shared" si="143"/>
        <v>-1</v>
      </c>
      <c r="CB99">
        <f t="shared" si="143"/>
        <v>0</v>
      </c>
      <c r="CC99">
        <f t="shared" si="143"/>
        <v>0</v>
      </c>
      <c r="CD99">
        <f t="shared" si="143"/>
        <v>0</v>
      </c>
      <c r="CE99">
        <f t="shared" si="143"/>
        <v>0</v>
      </c>
      <c r="CF99">
        <f t="shared" si="143"/>
        <v>0</v>
      </c>
      <c r="CG99">
        <f t="shared" si="143"/>
        <v>0</v>
      </c>
      <c r="CH99">
        <f t="shared" si="143"/>
        <v>0</v>
      </c>
      <c r="CI99">
        <f t="shared" si="143"/>
        <v>0</v>
      </c>
      <c r="CJ99">
        <f t="shared" si="143"/>
        <v>0</v>
      </c>
      <c r="CK99">
        <f t="shared" si="143"/>
        <v>0</v>
      </c>
      <c r="CL99">
        <f t="shared" si="143"/>
        <v>0</v>
      </c>
      <c r="CM99">
        <f t="shared" si="143"/>
        <v>1</v>
      </c>
      <c r="CN99">
        <f t="shared" si="143"/>
        <v>0</v>
      </c>
      <c r="CO99">
        <f t="shared" si="143"/>
        <v>0</v>
      </c>
      <c r="CP99">
        <f t="shared" si="143"/>
        <v>0</v>
      </c>
      <c r="CQ99">
        <f t="shared" si="130"/>
        <v>-1</v>
      </c>
      <c r="CR99">
        <f t="shared" si="131"/>
        <v>1</v>
      </c>
      <c r="CS99">
        <f t="shared" si="132"/>
        <v>0</v>
      </c>
      <c r="CT99">
        <f t="shared" si="133"/>
        <v>0</v>
      </c>
      <c r="CU99">
        <f t="shared" si="134"/>
        <v>0</v>
      </c>
      <c r="CV99">
        <f t="shared" si="135"/>
        <v>0</v>
      </c>
      <c r="CW99">
        <f t="shared" si="136"/>
        <v>0</v>
      </c>
    </row>
    <row r="100" spans="1:101">
      <c r="A100" s="60">
        <v>45022</v>
      </c>
      <c r="B100" s="426">
        <v>55110.7</v>
      </c>
      <c r="C100">
        <v>54624</v>
      </c>
      <c r="D100">
        <v>54721.3</v>
      </c>
      <c r="E100">
        <v>54139.199999999997</v>
      </c>
      <c r="F100">
        <v>54185</v>
      </c>
      <c r="G100">
        <v>54299.4</v>
      </c>
      <c r="H100">
        <v>54596.800000000003</v>
      </c>
      <c r="I100">
        <v>54184.9</v>
      </c>
      <c r="J100">
        <v>54208.800000000003</v>
      </c>
      <c r="K100">
        <v>54688.3</v>
      </c>
      <c r="L100">
        <v>55006.5</v>
      </c>
      <c r="M100">
        <v>54581.9</v>
      </c>
      <c r="N100">
        <v>54490.3</v>
      </c>
      <c r="O100">
        <v>54425.2</v>
      </c>
      <c r="P100">
        <v>54539</v>
      </c>
      <c r="Q100">
        <v>54526.9</v>
      </c>
      <c r="R100">
        <v>54472.800000000003</v>
      </c>
      <c r="S100">
        <v>54425</v>
      </c>
      <c r="T100">
        <v>54655.1</v>
      </c>
      <c r="U100">
        <v>54434.3</v>
      </c>
      <c r="V100">
        <v>65952.800000000003</v>
      </c>
      <c r="W100">
        <v>55562</v>
      </c>
      <c r="X100">
        <v>54196.6</v>
      </c>
      <c r="Y100">
        <v>54253.9</v>
      </c>
      <c r="Z100" s="77">
        <v>1320280.7000000002</v>
      </c>
      <c r="AB100">
        <f t="shared" si="139"/>
        <v>0</v>
      </c>
      <c r="AC100">
        <f t="shared" ref="AC100:AC163" si="145">+IF(AND(C100=0,D100&lt;&gt;0),1,0)</f>
        <v>0</v>
      </c>
      <c r="AD100">
        <f t="shared" ref="AD100:AD163" si="146">+IF(AND(D100=0,E100&lt;&gt;0),1,0)</f>
        <v>0</v>
      </c>
      <c r="AE100">
        <f t="shared" ref="AE100:AE163" si="147">+IF(AND(E100=0,F100&lt;&gt;0),1,0)</f>
        <v>0</v>
      </c>
      <c r="AF100">
        <f t="shared" ref="AF100:AF163" si="148">+IF(AND(F100=0,G100&lt;&gt;0),1,0)</f>
        <v>0</v>
      </c>
      <c r="AG100">
        <f t="shared" ref="AG100:AG163" si="149">+IF(AND(G100=0,H100&lt;&gt;0),1,0)</f>
        <v>0</v>
      </c>
      <c r="AH100">
        <f t="shared" ref="AH100:AH163" si="150">+IF(AND(H100=0,I100&lt;&gt;0),1,0)</f>
        <v>0</v>
      </c>
      <c r="AI100">
        <f t="shared" ref="AI100:AI163" si="151">+IF(AND(I100=0,J100&lt;&gt;0),1,0)</f>
        <v>0</v>
      </c>
      <c r="AJ100">
        <f t="shared" ref="AJ100:AJ163" si="152">+IF(AND(J100=0,K100&lt;&gt;0),1,0)</f>
        <v>0</v>
      </c>
      <c r="AK100">
        <f t="shared" ref="AK100:AK163" si="153">+IF(AND(K100=0,L100&lt;&gt;0),1,0)</f>
        <v>0</v>
      </c>
      <c r="AL100">
        <f t="shared" ref="AL100:AL163" si="154">+IF(AND(L100=0,M100&lt;&gt;0),1,0)</f>
        <v>0</v>
      </c>
      <c r="AM100">
        <f t="shared" ref="AM100:AM163" si="155">+IF(AND(M100=0,N100&lt;&gt;0),1,0)</f>
        <v>0</v>
      </c>
      <c r="AN100">
        <f t="shared" ref="AN100:AN163" si="156">+IF(AND(N100=0,O100&lt;&gt;0),1,0)</f>
        <v>0</v>
      </c>
      <c r="AO100">
        <f t="shared" ref="AO100:AO163" si="157">+IF(AND(O100=0,P100&lt;&gt;0),1,0)</f>
        <v>0</v>
      </c>
      <c r="AP100">
        <f t="shared" ref="AP100:AP163" si="158">+IF(AND(P100=0,Q100&lt;&gt;0),1,0)</f>
        <v>0</v>
      </c>
      <c r="AQ100">
        <f t="shared" ref="AQ100:AQ163" si="159">+IF(AND(Q100=0,R100&lt;&gt;0),1,0)</f>
        <v>0</v>
      </c>
      <c r="AR100">
        <f t="shared" ref="AR100:AR163" si="160">+IF(AND(R100=0,S100&lt;&gt;0),1,0)</f>
        <v>0</v>
      </c>
      <c r="AS100">
        <f t="shared" ref="AS100:AS163" si="161">+IF(AND(S100=0,T100&lt;&gt;0),1,0)</f>
        <v>0</v>
      </c>
      <c r="AT100">
        <f t="shared" ref="AT100:AT163" si="162">+IF(AND(T100=0,U100&lt;&gt;0),1,0)</f>
        <v>0</v>
      </c>
      <c r="AU100">
        <f t="shared" ref="AU100:AU163" si="163">+IF(AND(U100=0,V100&lt;&gt;0),1,0)</f>
        <v>0</v>
      </c>
      <c r="AV100">
        <f t="shared" ref="AV100:AV163" si="164">+IF(AND(V100=0,W100&lt;&gt;0),1,0)</f>
        <v>0</v>
      </c>
      <c r="AW100">
        <f t="shared" ref="AW100:AW163" si="165">+IF(AND(W100=0,X100&lt;&gt;0),1,0)</f>
        <v>0</v>
      </c>
      <c r="AX100">
        <f t="shared" ref="AX100:AX163" si="166">+IF(AND(X100=0,Y100&lt;&gt;0),1,0)</f>
        <v>0</v>
      </c>
      <c r="AY100">
        <f t="shared" si="140"/>
        <v>0</v>
      </c>
      <c r="BA100">
        <f t="shared" si="142"/>
        <v>7</v>
      </c>
      <c r="BB100">
        <f t="shared" ref="BB100:BB163" si="167">+ROUNDUP(C100/8800,0)</f>
        <v>7</v>
      </c>
      <c r="BC100">
        <f t="shared" ref="BC100:BC163" si="168">+ROUNDUP(D100/8800,0)</f>
        <v>7</v>
      </c>
      <c r="BD100">
        <f t="shared" ref="BD100:BD163" si="169">+ROUNDUP(E100/8800,0)</f>
        <v>7</v>
      </c>
      <c r="BE100">
        <f t="shared" ref="BE100:BE163" si="170">+ROUNDUP(F100/8800,0)</f>
        <v>7</v>
      </c>
      <c r="BF100">
        <f t="shared" ref="BF100:BF163" si="171">+ROUNDUP(G100/8800,0)</f>
        <v>7</v>
      </c>
      <c r="BG100">
        <f t="shared" ref="BG100:BG163" si="172">+ROUNDUP(H100/8800,0)</f>
        <v>7</v>
      </c>
      <c r="BH100">
        <f t="shared" ref="BH100:BH163" si="173">+ROUNDUP(I100/8800,0)</f>
        <v>7</v>
      </c>
      <c r="BI100">
        <f t="shared" ref="BI100:BI163" si="174">+ROUNDUP(J100/8800,0)</f>
        <v>7</v>
      </c>
      <c r="BJ100">
        <f t="shared" ref="BJ100:BJ163" si="175">+ROUNDUP(K100/8800,0)</f>
        <v>7</v>
      </c>
      <c r="BK100">
        <f t="shared" ref="BK100:BK163" si="176">+ROUNDUP(L100/8800,0)</f>
        <v>7</v>
      </c>
      <c r="BL100">
        <f t="shared" ref="BL100:BL163" si="177">+ROUNDUP(M100/8800,0)</f>
        <v>7</v>
      </c>
      <c r="BM100">
        <f t="shared" ref="BM100:BM163" si="178">+ROUNDUP(N100/8800,0)</f>
        <v>7</v>
      </c>
      <c r="BN100">
        <f t="shared" ref="BN100:BN163" si="179">+ROUNDUP(O100/8800,0)</f>
        <v>7</v>
      </c>
      <c r="BO100">
        <f t="shared" ref="BO100:BO163" si="180">+ROUNDUP(P100/8800,0)</f>
        <v>7</v>
      </c>
      <c r="BP100">
        <f t="shared" ref="BP100:BP163" si="181">+ROUNDUP(Q100/8800,0)</f>
        <v>7</v>
      </c>
      <c r="BQ100">
        <f t="shared" ref="BQ100:BQ163" si="182">+ROUNDUP(R100/8800,0)</f>
        <v>7</v>
      </c>
      <c r="BR100">
        <f t="shared" ref="BR100:BR163" si="183">+ROUNDUP(S100/8800,0)</f>
        <v>7</v>
      </c>
      <c r="BS100">
        <f t="shared" ref="BS100:BS163" si="184">+ROUNDUP(T100/8800,0)</f>
        <v>7</v>
      </c>
      <c r="BT100">
        <f t="shared" ref="BT100:BT163" si="185">+ROUNDUP(U100/8800,0)</f>
        <v>7</v>
      </c>
      <c r="BU100">
        <f t="shared" ref="BU100:BU163" si="186">+ROUNDUP(V100/8800,0)</f>
        <v>8</v>
      </c>
      <c r="BV100">
        <f t="shared" ref="BV100:BV163" si="187">+ROUNDUP(W100/8800,0)</f>
        <v>7</v>
      </c>
      <c r="BW100">
        <f t="shared" ref="BW100:BW163" si="188">+ROUNDUP(X100/8800,0)</f>
        <v>7</v>
      </c>
      <c r="BX100">
        <f t="shared" ref="BX100:BX163" si="189">+ROUNDUP(Y100/8800,0)</f>
        <v>7</v>
      </c>
      <c r="BZ100" s="52">
        <f t="shared" si="129"/>
        <v>-1</v>
      </c>
      <c r="CA100" s="52">
        <f t="shared" si="143"/>
        <v>0</v>
      </c>
      <c r="CB100" s="52">
        <f t="shared" si="143"/>
        <v>0</v>
      </c>
      <c r="CC100" s="52">
        <f t="shared" si="143"/>
        <v>0</v>
      </c>
      <c r="CD100" s="52">
        <f t="shared" si="143"/>
        <v>0</v>
      </c>
      <c r="CE100" s="52">
        <f t="shared" si="143"/>
        <v>0</v>
      </c>
      <c r="CF100" s="52">
        <f t="shared" si="143"/>
        <v>0</v>
      </c>
      <c r="CG100" s="52">
        <f t="shared" si="143"/>
        <v>0</v>
      </c>
      <c r="CH100" s="52">
        <f t="shared" si="143"/>
        <v>0</v>
      </c>
      <c r="CI100" s="52">
        <f t="shared" si="143"/>
        <v>0</v>
      </c>
      <c r="CJ100" s="52">
        <f t="shared" si="143"/>
        <v>0</v>
      </c>
      <c r="CK100" s="52">
        <f t="shared" si="143"/>
        <v>0</v>
      </c>
      <c r="CL100" s="52">
        <f t="shared" si="143"/>
        <v>0</v>
      </c>
      <c r="CM100" s="52">
        <f t="shared" si="143"/>
        <v>0</v>
      </c>
      <c r="CN100" s="52">
        <f t="shared" si="143"/>
        <v>0</v>
      </c>
      <c r="CO100" s="52">
        <f t="shared" si="143"/>
        <v>0</v>
      </c>
      <c r="CP100" s="52">
        <f t="shared" si="143"/>
        <v>0</v>
      </c>
      <c r="CQ100" s="52">
        <f t="shared" si="130"/>
        <v>0</v>
      </c>
      <c r="CR100" s="52">
        <f t="shared" si="131"/>
        <v>0</v>
      </c>
      <c r="CS100" s="52">
        <f t="shared" si="132"/>
        <v>0</v>
      </c>
      <c r="CT100" s="52">
        <f t="shared" si="133"/>
        <v>1</v>
      </c>
      <c r="CU100" s="52">
        <f t="shared" si="134"/>
        <v>-1</v>
      </c>
      <c r="CV100" s="52">
        <f t="shared" si="135"/>
        <v>0</v>
      </c>
      <c r="CW100" s="52">
        <f t="shared" si="136"/>
        <v>0</v>
      </c>
    </row>
    <row r="101" spans="1:101">
      <c r="A101" s="60">
        <v>45023</v>
      </c>
      <c r="B101" s="426">
        <v>54370.8</v>
      </c>
      <c r="C101">
        <v>54204.800000000003</v>
      </c>
      <c r="D101">
        <v>54306.1</v>
      </c>
      <c r="E101">
        <v>54392.4</v>
      </c>
      <c r="F101">
        <v>54528.2</v>
      </c>
      <c r="G101">
        <v>54353.5</v>
      </c>
      <c r="H101">
        <v>53275.6</v>
      </c>
      <c r="I101">
        <v>54499</v>
      </c>
      <c r="J101">
        <v>53205.1</v>
      </c>
      <c r="K101">
        <v>53629.3</v>
      </c>
      <c r="L101">
        <v>52930.400000000001</v>
      </c>
      <c r="M101">
        <v>53837.7</v>
      </c>
      <c r="N101">
        <v>53716.2</v>
      </c>
      <c r="O101">
        <v>53684.7</v>
      </c>
      <c r="P101">
        <v>52890.9</v>
      </c>
      <c r="Q101">
        <v>54928.5</v>
      </c>
      <c r="R101">
        <v>54545.8</v>
      </c>
      <c r="S101">
        <v>54704.2</v>
      </c>
      <c r="T101">
        <v>54301.3</v>
      </c>
      <c r="U101">
        <v>54296.2</v>
      </c>
      <c r="V101">
        <v>67162.399999999994</v>
      </c>
      <c r="W101">
        <v>56064.3</v>
      </c>
      <c r="X101">
        <v>54171.199999999997</v>
      </c>
      <c r="Y101">
        <v>54628.1</v>
      </c>
      <c r="Z101" s="77">
        <v>1312626.7</v>
      </c>
      <c r="AB101" s="52">
        <f t="shared" si="139"/>
        <v>0</v>
      </c>
      <c r="AC101" s="52">
        <f t="shared" si="145"/>
        <v>0</v>
      </c>
      <c r="AD101" s="52">
        <f t="shared" si="146"/>
        <v>0</v>
      </c>
      <c r="AE101" s="52">
        <f t="shared" si="147"/>
        <v>0</v>
      </c>
      <c r="AF101" s="52">
        <f t="shared" si="148"/>
        <v>0</v>
      </c>
      <c r="AG101" s="52">
        <f t="shared" si="149"/>
        <v>0</v>
      </c>
      <c r="AH101" s="52">
        <f t="shared" si="150"/>
        <v>0</v>
      </c>
      <c r="AI101" s="52">
        <f t="shared" si="151"/>
        <v>0</v>
      </c>
      <c r="AJ101" s="52">
        <f t="shared" si="152"/>
        <v>0</v>
      </c>
      <c r="AK101" s="52">
        <f t="shared" si="153"/>
        <v>0</v>
      </c>
      <c r="AL101" s="52">
        <f t="shared" si="154"/>
        <v>0</v>
      </c>
      <c r="AM101" s="52">
        <f t="shared" si="155"/>
        <v>0</v>
      </c>
      <c r="AN101" s="52">
        <f t="shared" si="156"/>
        <v>0</v>
      </c>
      <c r="AO101" s="52">
        <f t="shared" si="157"/>
        <v>0</v>
      </c>
      <c r="AP101" s="52">
        <f t="shared" si="158"/>
        <v>0</v>
      </c>
      <c r="AQ101" s="52">
        <f t="shared" si="159"/>
        <v>0</v>
      </c>
      <c r="AR101" s="52">
        <f t="shared" si="160"/>
        <v>0</v>
      </c>
      <c r="AS101" s="52">
        <f t="shared" si="161"/>
        <v>0</v>
      </c>
      <c r="AT101" s="52">
        <f t="shared" si="162"/>
        <v>0</v>
      </c>
      <c r="AU101" s="52">
        <f t="shared" si="163"/>
        <v>0</v>
      </c>
      <c r="AV101" s="52">
        <f t="shared" si="164"/>
        <v>0</v>
      </c>
      <c r="AW101" s="52">
        <f t="shared" si="165"/>
        <v>0</v>
      </c>
      <c r="AX101" s="52">
        <f t="shared" si="166"/>
        <v>0</v>
      </c>
      <c r="AY101" s="52">
        <f t="shared" si="140"/>
        <v>0</v>
      </c>
      <c r="BA101" s="52">
        <f t="shared" si="142"/>
        <v>7</v>
      </c>
      <c r="BB101" s="52">
        <f t="shared" si="167"/>
        <v>7</v>
      </c>
      <c r="BC101" s="52">
        <f t="shared" si="168"/>
        <v>7</v>
      </c>
      <c r="BD101" s="52">
        <f t="shared" si="169"/>
        <v>7</v>
      </c>
      <c r="BE101" s="52">
        <f t="shared" si="170"/>
        <v>7</v>
      </c>
      <c r="BF101" s="52">
        <f t="shared" si="171"/>
        <v>7</v>
      </c>
      <c r="BG101" s="52">
        <f t="shared" si="172"/>
        <v>7</v>
      </c>
      <c r="BH101" s="52">
        <f t="shared" si="173"/>
        <v>7</v>
      </c>
      <c r="BI101" s="52">
        <f t="shared" si="174"/>
        <v>7</v>
      </c>
      <c r="BJ101" s="52">
        <f t="shared" si="175"/>
        <v>7</v>
      </c>
      <c r="BK101" s="52">
        <f t="shared" si="176"/>
        <v>7</v>
      </c>
      <c r="BL101" s="52">
        <f t="shared" si="177"/>
        <v>7</v>
      </c>
      <c r="BM101" s="52">
        <f t="shared" si="178"/>
        <v>7</v>
      </c>
      <c r="BN101" s="52">
        <f t="shared" si="179"/>
        <v>7</v>
      </c>
      <c r="BO101" s="52">
        <f t="shared" si="180"/>
        <v>7</v>
      </c>
      <c r="BP101" s="52">
        <f t="shared" si="181"/>
        <v>7</v>
      </c>
      <c r="BQ101" s="52">
        <f t="shared" si="182"/>
        <v>7</v>
      </c>
      <c r="BR101" s="52">
        <f t="shared" si="183"/>
        <v>7</v>
      </c>
      <c r="BS101" s="52">
        <f t="shared" si="184"/>
        <v>7</v>
      </c>
      <c r="BT101" s="52">
        <f t="shared" si="185"/>
        <v>7</v>
      </c>
      <c r="BU101" s="52">
        <f t="shared" si="186"/>
        <v>8</v>
      </c>
      <c r="BV101" s="52">
        <f t="shared" si="187"/>
        <v>7</v>
      </c>
      <c r="BW101" s="52">
        <f t="shared" si="188"/>
        <v>7</v>
      </c>
      <c r="BX101" s="52">
        <f t="shared" si="189"/>
        <v>7</v>
      </c>
      <c r="BZ101">
        <f t="shared" si="129"/>
        <v>0</v>
      </c>
      <c r="CA101">
        <f t="shared" si="143"/>
        <v>0</v>
      </c>
      <c r="CB101">
        <f t="shared" si="143"/>
        <v>0</v>
      </c>
      <c r="CC101">
        <f t="shared" si="143"/>
        <v>0</v>
      </c>
      <c r="CD101">
        <f t="shared" si="143"/>
        <v>0</v>
      </c>
      <c r="CE101">
        <f t="shared" si="143"/>
        <v>0</v>
      </c>
      <c r="CF101">
        <f t="shared" si="143"/>
        <v>0</v>
      </c>
      <c r="CG101">
        <f t="shared" si="143"/>
        <v>0</v>
      </c>
      <c r="CH101">
        <f t="shared" si="143"/>
        <v>0</v>
      </c>
      <c r="CI101">
        <f t="shared" si="143"/>
        <v>0</v>
      </c>
      <c r="CJ101">
        <f t="shared" si="143"/>
        <v>0</v>
      </c>
      <c r="CK101">
        <f t="shared" si="143"/>
        <v>0</v>
      </c>
      <c r="CL101">
        <f t="shared" si="143"/>
        <v>0</v>
      </c>
      <c r="CM101">
        <f t="shared" si="143"/>
        <v>0</v>
      </c>
      <c r="CN101">
        <f t="shared" si="143"/>
        <v>0</v>
      </c>
      <c r="CO101">
        <f t="shared" si="143"/>
        <v>0</v>
      </c>
      <c r="CP101">
        <f t="shared" si="143"/>
        <v>0</v>
      </c>
      <c r="CQ101">
        <f t="shared" si="130"/>
        <v>0</v>
      </c>
      <c r="CR101">
        <f t="shared" si="131"/>
        <v>0</v>
      </c>
      <c r="CS101">
        <f t="shared" si="132"/>
        <v>0</v>
      </c>
      <c r="CT101">
        <f t="shared" si="133"/>
        <v>1</v>
      </c>
      <c r="CU101">
        <f t="shared" si="134"/>
        <v>-1</v>
      </c>
      <c r="CV101">
        <f t="shared" si="135"/>
        <v>0</v>
      </c>
      <c r="CW101">
        <f t="shared" si="136"/>
        <v>0</v>
      </c>
    </row>
    <row r="102" spans="1:101">
      <c r="A102" s="60">
        <v>45024</v>
      </c>
      <c r="B102" s="426">
        <v>54102.6</v>
      </c>
      <c r="C102">
        <v>54499.1</v>
      </c>
      <c r="D102">
        <v>54720.5</v>
      </c>
      <c r="E102">
        <v>54823.9</v>
      </c>
      <c r="F102">
        <v>54768.5</v>
      </c>
      <c r="G102">
        <v>54646.6</v>
      </c>
      <c r="H102">
        <v>53877.5</v>
      </c>
      <c r="I102">
        <v>53161.8</v>
      </c>
      <c r="J102">
        <v>54807.8</v>
      </c>
      <c r="K102">
        <v>54771.4</v>
      </c>
      <c r="L102">
        <v>54237.9</v>
      </c>
      <c r="M102">
        <v>54304.3</v>
      </c>
      <c r="N102">
        <v>54218.400000000001</v>
      </c>
      <c r="O102">
        <v>54194.6</v>
      </c>
      <c r="P102">
        <v>54379.199999999997</v>
      </c>
      <c r="Q102">
        <v>54216.3</v>
      </c>
      <c r="R102">
        <v>54218.7</v>
      </c>
      <c r="S102">
        <v>54342.9</v>
      </c>
      <c r="T102">
        <v>54456.9</v>
      </c>
      <c r="U102">
        <v>56527.3</v>
      </c>
      <c r="V102">
        <v>59916.6</v>
      </c>
      <c r="W102">
        <v>54549.4</v>
      </c>
      <c r="X102">
        <v>53422.2</v>
      </c>
      <c r="Y102">
        <v>54463.5</v>
      </c>
      <c r="Z102" s="77">
        <v>1311627.8999999999</v>
      </c>
      <c r="AB102">
        <f t="shared" si="139"/>
        <v>0</v>
      </c>
      <c r="AC102">
        <f t="shared" si="145"/>
        <v>0</v>
      </c>
      <c r="AD102">
        <f t="shared" si="146"/>
        <v>0</v>
      </c>
      <c r="AE102">
        <f t="shared" si="147"/>
        <v>0</v>
      </c>
      <c r="AF102">
        <f t="shared" si="148"/>
        <v>0</v>
      </c>
      <c r="AG102">
        <f t="shared" si="149"/>
        <v>0</v>
      </c>
      <c r="AH102">
        <f t="shared" si="150"/>
        <v>0</v>
      </c>
      <c r="AI102">
        <f t="shared" si="151"/>
        <v>0</v>
      </c>
      <c r="AJ102">
        <f t="shared" si="152"/>
        <v>0</v>
      </c>
      <c r="AK102">
        <f t="shared" si="153"/>
        <v>0</v>
      </c>
      <c r="AL102">
        <f t="shared" si="154"/>
        <v>0</v>
      </c>
      <c r="AM102">
        <f t="shared" si="155"/>
        <v>0</v>
      </c>
      <c r="AN102">
        <f t="shared" si="156"/>
        <v>0</v>
      </c>
      <c r="AO102">
        <f t="shared" si="157"/>
        <v>0</v>
      </c>
      <c r="AP102">
        <f t="shared" si="158"/>
        <v>0</v>
      </c>
      <c r="AQ102">
        <f t="shared" si="159"/>
        <v>0</v>
      </c>
      <c r="AR102">
        <f t="shared" si="160"/>
        <v>0</v>
      </c>
      <c r="AS102">
        <f t="shared" si="161"/>
        <v>0</v>
      </c>
      <c r="AT102">
        <f t="shared" si="162"/>
        <v>0</v>
      </c>
      <c r="AU102">
        <f t="shared" si="163"/>
        <v>0</v>
      </c>
      <c r="AV102">
        <f t="shared" si="164"/>
        <v>0</v>
      </c>
      <c r="AW102">
        <f t="shared" si="165"/>
        <v>0</v>
      </c>
      <c r="AX102">
        <f t="shared" si="166"/>
        <v>0</v>
      </c>
      <c r="AY102">
        <f t="shared" si="140"/>
        <v>0</v>
      </c>
      <c r="BA102">
        <f t="shared" si="142"/>
        <v>7</v>
      </c>
      <c r="BB102">
        <f t="shared" si="167"/>
        <v>7</v>
      </c>
      <c r="BC102">
        <f t="shared" si="168"/>
        <v>7</v>
      </c>
      <c r="BD102">
        <f t="shared" si="169"/>
        <v>7</v>
      </c>
      <c r="BE102">
        <f t="shared" si="170"/>
        <v>7</v>
      </c>
      <c r="BF102">
        <f t="shared" si="171"/>
        <v>7</v>
      </c>
      <c r="BG102">
        <f t="shared" si="172"/>
        <v>7</v>
      </c>
      <c r="BH102">
        <f t="shared" si="173"/>
        <v>7</v>
      </c>
      <c r="BI102">
        <f t="shared" si="174"/>
        <v>7</v>
      </c>
      <c r="BJ102">
        <f t="shared" si="175"/>
        <v>7</v>
      </c>
      <c r="BK102">
        <f t="shared" si="176"/>
        <v>7</v>
      </c>
      <c r="BL102">
        <f t="shared" si="177"/>
        <v>7</v>
      </c>
      <c r="BM102">
        <f t="shared" si="178"/>
        <v>7</v>
      </c>
      <c r="BN102">
        <f t="shared" si="179"/>
        <v>7</v>
      </c>
      <c r="BO102">
        <f t="shared" si="180"/>
        <v>7</v>
      </c>
      <c r="BP102">
        <f t="shared" si="181"/>
        <v>7</v>
      </c>
      <c r="BQ102">
        <f t="shared" si="182"/>
        <v>7</v>
      </c>
      <c r="BR102">
        <f t="shared" si="183"/>
        <v>7</v>
      </c>
      <c r="BS102">
        <f t="shared" si="184"/>
        <v>7</v>
      </c>
      <c r="BT102">
        <f t="shared" si="185"/>
        <v>7</v>
      </c>
      <c r="BU102">
        <f t="shared" si="186"/>
        <v>7</v>
      </c>
      <c r="BV102">
        <f t="shared" si="187"/>
        <v>7</v>
      </c>
      <c r="BW102">
        <f t="shared" si="188"/>
        <v>7</v>
      </c>
      <c r="BX102">
        <f t="shared" si="189"/>
        <v>7</v>
      </c>
      <c r="BZ102" s="52">
        <f t="shared" si="129"/>
        <v>0</v>
      </c>
      <c r="CA102" s="52">
        <f t="shared" si="143"/>
        <v>0</v>
      </c>
      <c r="CB102" s="52">
        <f t="shared" si="143"/>
        <v>0</v>
      </c>
      <c r="CC102" s="52">
        <f t="shared" si="143"/>
        <v>0</v>
      </c>
      <c r="CD102" s="52">
        <f t="shared" si="143"/>
        <v>0</v>
      </c>
      <c r="CE102" s="52">
        <f t="shared" si="143"/>
        <v>0</v>
      </c>
      <c r="CF102" s="52">
        <f t="shared" si="143"/>
        <v>0</v>
      </c>
      <c r="CG102" s="52">
        <f t="shared" si="143"/>
        <v>0</v>
      </c>
      <c r="CH102" s="52">
        <f t="shared" si="143"/>
        <v>0</v>
      </c>
      <c r="CI102" s="52">
        <f t="shared" si="143"/>
        <v>0</v>
      </c>
      <c r="CJ102" s="52">
        <f t="shared" si="143"/>
        <v>0</v>
      </c>
      <c r="CK102" s="52">
        <f t="shared" si="143"/>
        <v>0</v>
      </c>
      <c r="CL102" s="52">
        <f t="shared" si="143"/>
        <v>0</v>
      </c>
      <c r="CM102" s="52">
        <f t="shared" si="143"/>
        <v>0</v>
      </c>
      <c r="CN102" s="52">
        <f t="shared" si="143"/>
        <v>0</v>
      </c>
      <c r="CO102" s="52">
        <f t="shared" si="143"/>
        <v>0</v>
      </c>
      <c r="CP102" s="52">
        <f t="shared" si="143"/>
        <v>0</v>
      </c>
      <c r="CQ102" s="52">
        <f t="shared" si="130"/>
        <v>0</v>
      </c>
      <c r="CR102" s="52">
        <f t="shared" si="131"/>
        <v>0</v>
      </c>
      <c r="CS102" s="52">
        <f t="shared" si="132"/>
        <v>0</v>
      </c>
      <c r="CT102" s="52">
        <f t="shared" si="133"/>
        <v>0</v>
      </c>
      <c r="CU102" s="52">
        <f t="shared" si="134"/>
        <v>0</v>
      </c>
      <c r="CV102" s="52">
        <f t="shared" si="135"/>
        <v>0</v>
      </c>
      <c r="CW102" s="52">
        <f t="shared" si="136"/>
        <v>0</v>
      </c>
    </row>
    <row r="103" spans="1:101">
      <c r="A103" s="60">
        <v>45025</v>
      </c>
      <c r="B103" s="426">
        <v>53715.3</v>
      </c>
      <c r="C103">
        <v>54240</v>
      </c>
      <c r="D103">
        <v>54427.8</v>
      </c>
      <c r="E103">
        <v>54311.9</v>
      </c>
      <c r="F103">
        <v>54428.2</v>
      </c>
      <c r="G103">
        <v>54091.8</v>
      </c>
      <c r="H103">
        <v>54049</v>
      </c>
      <c r="I103">
        <v>53464.4</v>
      </c>
      <c r="J103">
        <v>53454.5</v>
      </c>
      <c r="K103">
        <v>53319.199999999997</v>
      </c>
      <c r="L103">
        <v>53452.9</v>
      </c>
      <c r="M103">
        <v>53583.7</v>
      </c>
      <c r="N103">
        <v>53625.3</v>
      </c>
      <c r="O103">
        <v>53518.3</v>
      </c>
      <c r="P103">
        <v>53510.8</v>
      </c>
      <c r="Q103">
        <v>53582.8</v>
      </c>
      <c r="R103">
        <v>53547.1</v>
      </c>
      <c r="S103">
        <v>53554.3</v>
      </c>
      <c r="T103">
        <v>53567.6</v>
      </c>
      <c r="U103">
        <v>53448.9</v>
      </c>
      <c r="V103">
        <v>65253.7</v>
      </c>
      <c r="W103">
        <v>68095.8</v>
      </c>
      <c r="X103">
        <v>68182.899999999994</v>
      </c>
      <c r="Y103">
        <v>63080.2</v>
      </c>
      <c r="Z103" s="77">
        <v>1339506.3999999999</v>
      </c>
      <c r="AB103" s="52">
        <f t="shared" si="139"/>
        <v>0</v>
      </c>
      <c r="AC103" s="52">
        <f t="shared" si="145"/>
        <v>0</v>
      </c>
      <c r="AD103" s="52">
        <f t="shared" si="146"/>
        <v>0</v>
      </c>
      <c r="AE103" s="52">
        <f t="shared" si="147"/>
        <v>0</v>
      </c>
      <c r="AF103" s="52">
        <f t="shared" si="148"/>
        <v>0</v>
      </c>
      <c r="AG103" s="52">
        <f t="shared" si="149"/>
        <v>0</v>
      </c>
      <c r="AH103" s="52">
        <f t="shared" si="150"/>
        <v>0</v>
      </c>
      <c r="AI103" s="52">
        <f t="shared" si="151"/>
        <v>0</v>
      </c>
      <c r="AJ103" s="52">
        <f t="shared" si="152"/>
        <v>0</v>
      </c>
      <c r="AK103" s="52">
        <f t="shared" si="153"/>
        <v>0</v>
      </c>
      <c r="AL103" s="52">
        <f t="shared" si="154"/>
        <v>0</v>
      </c>
      <c r="AM103" s="52">
        <f t="shared" si="155"/>
        <v>0</v>
      </c>
      <c r="AN103" s="52">
        <f t="shared" si="156"/>
        <v>0</v>
      </c>
      <c r="AO103" s="52">
        <f t="shared" si="157"/>
        <v>0</v>
      </c>
      <c r="AP103" s="52">
        <f t="shared" si="158"/>
        <v>0</v>
      </c>
      <c r="AQ103" s="52">
        <f t="shared" si="159"/>
        <v>0</v>
      </c>
      <c r="AR103" s="52">
        <f t="shared" si="160"/>
        <v>0</v>
      </c>
      <c r="AS103" s="52">
        <f t="shared" si="161"/>
        <v>0</v>
      </c>
      <c r="AT103" s="52">
        <f t="shared" si="162"/>
        <v>0</v>
      </c>
      <c r="AU103" s="52">
        <f t="shared" si="163"/>
        <v>0</v>
      </c>
      <c r="AV103" s="52">
        <f t="shared" si="164"/>
        <v>0</v>
      </c>
      <c r="AW103" s="52">
        <f t="shared" si="165"/>
        <v>0</v>
      </c>
      <c r="AX103" s="52">
        <f t="shared" si="166"/>
        <v>0</v>
      </c>
      <c r="AY103" s="52">
        <f t="shared" si="140"/>
        <v>0</v>
      </c>
      <c r="BA103" s="52">
        <f t="shared" si="142"/>
        <v>7</v>
      </c>
      <c r="BB103" s="52">
        <f t="shared" si="167"/>
        <v>7</v>
      </c>
      <c r="BC103" s="52">
        <f t="shared" si="168"/>
        <v>7</v>
      </c>
      <c r="BD103" s="52">
        <f t="shared" si="169"/>
        <v>7</v>
      </c>
      <c r="BE103" s="52">
        <f t="shared" si="170"/>
        <v>7</v>
      </c>
      <c r="BF103" s="52">
        <f t="shared" si="171"/>
        <v>7</v>
      </c>
      <c r="BG103" s="52">
        <f t="shared" si="172"/>
        <v>7</v>
      </c>
      <c r="BH103" s="52">
        <f t="shared" si="173"/>
        <v>7</v>
      </c>
      <c r="BI103" s="52">
        <f t="shared" si="174"/>
        <v>7</v>
      </c>
      <c r="BJ103" s="52">
        <f t="shared" si="175"/>
        <v>7</v>
      </c>
      <c r="BK103" s="52">
        <f t="shared" si="176"/>
        <v>7</v>
      </c>
      <c r="BL103" s="52">
        <f t="shared" si="177"/>
        <v>7</v>
      </c>
      <c r="BM103" s="52">
        <f t="shared" si="178"/>
        <v>7</v>
      </c>
      <c r="BN103" s="52">
        <f t="shared" si="179"/>
        <v>7</v>
      </c>
      <c r="BO103" s="52">
        <f t="shared" si="180"/>
        <v>7</v>
      </c>
      <c r="BP103" s="52">
        <f t="shared" si="181"/>
        <v>7</v>
      </c>
      <c r="BQ103" s="52">
        <f t="shared" si="182"/>
        <v>7</v>
      </c>
      <c r="BR103" s="52">
        <f t="shared" si="183"/>
        <v>7</v>
      </c>
      <c r="BS103" s="52">
        <f t="shared" si="184"/>
        <v>7</v>
      </c>
      <c r="BT103" s="52">
        <f t="shared" si="185"/>
        <v>7</v>
      </c>
      <c r="BU103" s="52">
        <f t="shared" si="186"/>
        <v>8</v>
      </c>
      <c r="BV103" s="52">
        <f t="shared" si="187"/>
        <v>8</v>
      </c>
      <c r="BW103" s="52">
        <f t="shared" si="188"/>
        <v>8</v>
      </c>
      <c r="BX103" s="52">
        <f t="shared" si="189"/>
        <v>8</v>
      </c>
      <c r="BZ103">
        <f t="shared" si="129"/>
        <v>0</v>
      </c>
      <c r="CA103">
        <f t="shared" si="143"/>
        <v>0</v>
      </c>
      <c r="CB103">
        <f t="shared" si="143"/>
        <v>0</v>
      </c>
      <c r="CC103">
        <f t="shared" si="143"/>
        <v>0</v>
      </c>
      <c r="CD103">
        <f t="shared" si="143"/>
        <v>0</v>
      </c>
      <c r="CE103">
        <f t="shared" si="143"/>
        <v>0</v>
      </c>
      <c r="CF103">
        <f t="shared" si="143"/>
        <v>0</v>
      </c>
      <c r="CG103">
        <f t="shared" si="143"/>
        <v>0</v>
      </c>
      <c r="CH103">
        <f t="shared" si="143"/>
        <v>0</v>
      </c>
      <c r="CI103">
        <f t="shared" si="143"/>
        <v>0</v>
      </c>
      <c r="CJ103">
        <f t="shared" si="143"/>
        <v>0</v>
      </c>
      <c r="CK103">
        <f t="shared" si="143"/>
        <v>0</v>
      </c>
      <c r="CL103">
        <f t="shared" si="143"/>
        <v>0</v>
      </c>
      <c r="CM103">
        <f t="shared" si="143"/>
        <v>0</v>
      </c>
      <c r="CN103">
        <f t="shared" si="143"/>
        <v>0</v>
      </c>
      <c r="CO103">
        <f t="shared" si="143"/>
        <v>0</v>
      </c>
      <c r="CP103">
        <f t="shared" si="143"/>
        <v>0</v>
      </c>
      <c r="CQ103">
        <f t="shared" si="130"/>
        <v>0</v>
      </c>
      <c r="CR103">
        <f t="shared" si="131"/>
        <v>0</v>
      </c>
      <c r="CS103">
        <f t="shared" si="132"/>
        <v>0</v>
      </c>
      <c r="CT103">
        <f t="shared" si="133"/>
        <v>1</v>
      </c>
      <c r="CU103">
        <f t="shared" si="134"/>
        <v>0</v>
      </c>
      <c r="CV103">
        <f t="shared" si="135"/>
        <v>0</v>
      </c>
      <c r="CW103">
        <f t="shared" si="136"/>
        <v>0</v>
      </c>
    </row>
    <row r="104" spans="1:101">
      <c r="A104" s="60">
        <v>45026</v>
      </c>
      <c r="B104" s="426">
        <v>54460.4</v>
      </c>
      <c r="C104">
        <v>54603.1</v>
      </c>
      <c r="D104">
        <v>54513.7</v>
      </c>
      <c r="E104">
        <v>54597.5</v>
      </c>
      <c r="F104">
        <v>54769.5</v>
      </c>
      <c r="G104">
        <v>54460.2</v>
      </c>
      <c r="H104">
        <v>53645.9</v>
      </c>
      <c r="I104">
        <v>54426.1</v>
      </c>
      <c r="J104">
        <v>54758.7</v>
      </c>
      <c r="K104">
        <v>53372.6</v>
      </c>
      <c r="L104">
        <v>54493.3</v>
      </c>
      <c r="M104">
        <v>54607.1</v>
      </c>
      <c r="N104">
        <v>55293</v>
      </c>
      <c r="O104">
        <v>55023</v>
      </c>
      <c r="P104">
        <v>54953.2</v>
      </c>
      <c r="Q104">
        <v>54664.7</v>
      </c>
      <c r="R104">
        <v>54629.3</v>
      </c>
      <c r="S104">
        <v>53108.4</v>
      </c>
      <c r="T104">
        <v>54761.599999999999</v>
      </c>
      <c r="U104">
        <v>55018.400000000001</v>
      </c>
      <c r="V104">
        <v>67070.2</v>
      </c>
      <c r="W104">
        <v>67598.8</v>
      </c>
      <c r="X104">
        <v>67109.399999999994</v>
      </c>
      <c r="Y104">
        <v>55236</v>
      </c>
      <c r="Z104" s="77">
        <v>1347174.0999999999</v>
      </c>
      <c r="AB104">
        <f t="shared" ref="AB104:AB119" si="190">+IF(AND(B104=0,C104&lt;&gt;0),1,0)</f>
        <v>0</v>
      </c>
      <c r="AC104">
        <f t="shared" si="145"/>
        <v>0</v>
      </c>
      <c r="AD104">
        <f t="shared" si="146"/>
        <v>0</v>
      </c>
      <c r="AE104">
        <f t="shared" si="147"/>
        <v>0</v>
      </c>
      <c r="AF104">
        <f t="shared" si="148"/>
        <v>0</v>
      </c>
      <c r="AG104">
        <f t="shared" si="149"/>
        <v>0</v>
      </c>
      <c r="AH104">
        <f t="shared" si="150"/>
        <v>0</v>
      </c>
      <c r="AI104">
        <f t="shared" si="151"/>
        <v>0</v>
      </c>
      <c r="AJ104">
        <f t="shared" si="152"/>
        <v>0</v>
      </c>
      <c r="AK104">
        <f t="shared" si="153"/>
        <v>0</v>
      </c>
      <c r="AL104">
        <f t="shared" si="154"/>
        <v>0</v>
      </c>
      <c r="AM104">
        <f t="shared" si="155"/>
        <v>0</v>
      </c>
      <c r="AN104">
        <f t="shared" si="156"/>
        <v>0</v>
      </c>
      <c r="AO104">
        <f t="shared" si="157"/>
        <v>0</v>
      </c>
      <c r="AP104">
        <f t="shared" si="158"/>
        <v>0</v>
      </c>
      <c r="AQ104">
        <f t="shared" si="159"/>
        <v>0</v>
      </c>
      <c r="AR104">
        <f t="shared" si="160"/>
        <v>0</v>
      </c>
      <c r="AS104">
        <f t="shared" si="161"/>
        <v>0</v>
      </c>
      <c r="AT104">
        <f t="shared" si="162"/>
        <v>0</v>
      </c>
      <c r="AU104">
        <f t="shared" si="163"/>
        <v>0</v>
      </c>
      <c r="AV104">
        <f t="shared" si="164"/>
        <v>0</v>
      </c>
      <c r="AW104">
        <f t="shared" si="165"/>
        <v>0</v>
      </c>
      <c r="AX104">
        <f t="shared" si="166"/>
        <v>0</v>
      </c>
      <c r="AY104">
        <f t="shared" ref="AY104:AY119" si="191">+IF(AND(Y104=0,B105&lt;&gt;0),1,0)</f>
        <v>0</v>
      </c>
      <c r="BA104">
        <f t="shared" si="142"/>
        <v>7</v>
      </c>
      <c r="BB104">
        <f t="shared" si="167"/>
        <v>7</v>
      </c>
      <c r="BC104">
        <f t="shared" si="168"/>
        <v>7</v>
      </c>
      <c r="BD104">
        <f t="shared" si="169"/>
        <v>7</v>
      </c>
      <c r="BE104">
        <f t="shared" si="170"/>
        <v>7</v>
      </c>
      <c r="BF104">
        <f t="shared" si="171"/>
        <v>7</v>
      </c>
      <c r="BG104">
        <f t="shared" si="172"/>
        <v>7</v>
      </c>
      <c r="BH104">
        <f t="shared" si="173"/>
        <v>7</v>
      </c>
      <c r="BI104">
        <f t="shared" si="174"/>
        <v>7</v>
      </c>
      <c r="BJ104">
        <f t="shared" si="175"/>
        <v>7</v>
      </c>
      <c r="BK104">
        <f t="shared" si="176"/>
        <v>7</v>
      </c>
      <c r="BL104">
        <f t="shared" si="177"/>
        <v>7</v>
      </c>
      <c r="BM104">
        <f t="shared" si="178"/>
        <v>7</v>
      </c>
      <c r="BN104">
        <f t="shared" si="179"/>
        <v>7</v>
      </c>
      <c r="BO104">
        <f t="shared" si="180"/>
        <v>7</v>
      </c>
      <c r="BP104">
        <f t="shared" si="181"/>
        <v>7</v>
      </c>
      <c r="BQ104">
        <f t="shared" si="182"/>
        <v>7</v>
      </c>
      <c r="BR104">
        <f t="shared" si="183"/>
        <v>7</v>
      </c>
      <c r="BS104">
        <f t="shared" si="184"/>
        <v>7</v>
      </c>
      <c r="BT104">
        <f t="shared" si="185"/>
        <v>7</v>
      </c>
      <c r="BU104">
        <f t="shared" si="186"/>
        <v>8</v>
      </c>
      <c r="BV104">
        <f t="shared" si="187"/>
        <v>8</v>
      </c>
      <c r="BW104">
        <f t="shared" si="188"/>
        <v>8</v>
      </c>
      <c r="BX104">
        <f t="shared" si="189"/>
        <v>7</v>
      </c>
      <c r="BZ104" s="52">
        <f t="shared" si="129"/>
        <v>-1</v>
      </c>
      <c r="CA104" s="52">
        <f t="shared" si="143"/>
        <v>0</v>
      </c>
      <c r="CB104" s="52">
        <f t="shared" si="143"/>
        <v>0</v>
      </c>
      <c r="CC104" s="52">
        <f t="shared" si="143"/>
        <v>0</v>
      </c>
      <c r="CD104" s="52">
        <f t="shared" si="143"/>
        <v>0</v>
      </c>
      <c r="CE104" s="52">
        <f t="shared" si="143"/>
        <v>0</v>
      </c>
      <c r="CF104" s="52">
        <f t="shared" si="143"/>
        <v>0</v>
      </c>
      <c r="CG104" s="52">
        <f t="shared" si="143"/>
        <v>0</v>
      </c>
      <c r="CH104" s="52">
        <f t="shared" si="143"/>
        <v>0</v>
      </c>
      <c r="CI104" s="52">
        <f t="shared" si="143"/>
        <v>0</v>
      </c>
      <c r="CJ104" s="52">
        <f t="shared" si="143"/>
        <v>0</v>
      </c>
      <c r="CK104" s="52">
        <f t="shared" si="143"/>
        <v>0</v>
      </c>
      <c r="CL104" s="52">
        <f t="shared" si="143"/>
        <v>0</v>
      </c>
      <c r="CM104" s="52">
        <f t="shared" si="143"/>
        <v>0</v>
      </c>
      <c r="CN104" s="52">
        <f t="shared" si="143"/>
        <v>0</v>
      </c>
      <c r="CO104" s="52">
        <f t="shared" si="143"/>
        <v>0</v>
      </c>
      <c r="CP104" s="52">
        <f t="shared" si="143"/>
        <v>0</v>
      </c>
      <c r="CQ104" s="52">
        <f t="shared" si="130"/>
        <v>0</v>
      </c>
      <c r="CR104" s="52">
        <f t="shared" si="131"/>
        <v>0</v>
      </c>
      <c r="CS104" s="52">
        <f t="shared" si="132"/>
        <v>0</v>
      </c>
      <c r="CT104" s="52">
        <f t="shared" si="133"/>
        <v>1</v>
      </c>
      <c r="CU104" s="52">
        <f t="shared" si="134"/>
        <v>0</v>
      </c>
      <c r="CV104" s="52">
        <f t="shared" si="135"/>
        <v>0</v>
      </c>
      <c r="CW104" s="52">
        <f t="shared" si="136"/>
        <v>-1</v>
      </c>
    </row>
    <row r="105" spans="1:101">
      <c r="A105" s="60">
        <v>45027</v>
      </c>
      <c r="B105" s="426">
        <v>54719.3</v>
      </c>
      <c r="C105">
        <v>54730.6</v>
      </c>
      <c r="D105">
        <v>54393</v>
      </c>
      <c r="E105">
        <v>54514.7</v>
      </c>
      <c r="F105">
        <v>54801.9</v>
      </c>
      <c r="G105">
        <v>54513.1</v>
      </c>
      <c r="H105">
        <v>52785.4</v>
      </c>
      <c r="I105">
        <v>53568.2</v>
      </c>
      <c r="J105">
        <v>53984.800000000003</v>
      </c>
      <c r="K105">
        <v>54532.6</v>
      </c>
      <c r="L105">
        <v>54569.7</v>
      </c>
      <c r="M105">
        <v>54970.2</v>
      </c>
      <c r="N105">
        <v>54203.6</v>
      </c>
      <c r="O105">
        <v>54769.9</v>
      </c>
      <c r="P105">
        <v>53987.7</v>
      </c>
      <c r="Q105">
        <v>54470.3</v>
      </c>
      <c r="R105">
        <v>54811</v>
      </c>
      <c r="S105">
        <v>55431.7</v>
      </c>
      <c r="T105">
        <v>53837.4</v>
      </c>
      <c r="U105">
        <v>54350.5</v>
      </c>
      <c r="V105">
        <v>65912.3</v>
      </c>
      <c r="W105">
        <v>54977.3</v>
      </c>
      <c r="X105">
        <v>54067</v>
      </c>
      <c r="Y105">
        <v>54057.7</v>
      </c>
      <c r="Z105" s="77">
        <v>1316959.8999999999</v>
      </c>
      <c r="AB105" s="52">
        <f t="shared" si="190"/>
        <v>0</v>
      </c>
      <c r="AC105" s="52">
        <f t="shared" si="145"/>
        <v>0</v>
      </c>
      <c r="AD105" s="52">
        <f t="shared" si="146"/>
        <v>0</v>
      </c>
      <c r="AE105" s="52">
        <f t="shared" si="147"/>
        <v>0</v>
      </c>
      <c r="AF105" s="52">
        <f t="shared" si="148"/>
        <v>0</v>
      </c>
      <c r="AG105" s="52">
        <f t="shared" si="149"/>
        <v>0</v>
      </c>
      <c r="AH105" s="52">
        <f t="shared" si="150"/>
        <v>0</v>
      </c>
      <c r="AI105" s="52">
        <f t="shared" si="151"/>
        <v>0</v>
      </c>
      <c r="AJ105" s="52">
        <f t="shared" si="152"/>
        <v>0</v>
      </c>
      <c r="AK105" s="52">
        <f t="shared" si="153"/>
        <v>0</v>
      </c>
      <c r="AL105" s="52">
        <f t="shared" si="154"/>
        <v>0</v>
      </c>
      <c r="AM105" s="52">
        <f t="shared" si="155"/>
        <v>0</v>
      </c>
      <c r="AN105" s="52">
        <f t="shared" si="156"/>
        <v>0</v>
      </c>
      <c r="AO105" s="52">
        <f t="shared" si="157"/>
        <v>0</v>
      </c>
      <c r="AP105" s="52">
        <f t="shared" si="158"/>
        <v>0</v>
      </c>
      <c r="AQ105" s="52">
        <f t="shared" si="159"/>
        <v>0</v>
      </c>
      <c r="AR105" s="52">
        <f t="shared" si="160"/>
        <v>0</v>
      </c>
      <c r="AS105" s="52">
        <f t="shared" si="161"/>
        <v>0</v>
      </c>
      <c r="AT105" s="52">
        <f t="shared" si="162"/>
        <v>0</v>
      </c>
      <c r="AU105" s="52">
        <f t="shared" si="163"/>
        <v>0</v>
      </c>
      <c r="AV105" s="52">
        <f t="shared" si="164"/>
        <v>0</v>
      </c>
      <c r="AW105" s="52">
        <f t="shared" si="165"/>
        <v>0</v>
      </c>
      <c r="AX105" s="52">
        <f t="shared" si="166"/>
        <v>0</v>
      </c>
      <c r="AY105" s="52">
        <f t="shared" si="191"/>
        <v>0</v>
      </c>
      <c r="BA105" s="52">
        <f t="shared" si="142"/>
        <v>7</v>
      </c>
      <c r="BB105" s="52">
        <f t="shared" si="167"/>
        <v>7</v>
      </c>
      <c r="BC105" s="52">
        <f t="shared" si="168"/>
        <v>7</v>
      </c>
      <c r="BD105" s="52">
        <f t="shared" si="169"/>
        <v>7</v>
      </c>
      <c r="BE105" s="52">
        <f t="shared" si="170"/>
        <v>7</v>
      </c>
      <c r="BF105" s="52">
        <f t="shared" si="171"/>
        <v>7</v>
      </c>
      <c r="BG105" s="52">
        <f t="shared" si="172"/>
        <v>6</v>
      </c>
      <c r="BH105" s="52">
        <f t="shared" si="173"/>
        <v>7</v>
      </c>
      <c r="BI105" s="52">
        <f t="shared" si="174"/>
        <v>7</v>
      </c>
      <c r="BJ105" s="52">
        <f t="shared" si="175"/>
        <v>7</v>
      </c>
      <c r="BK105" s="52">
        <f t="shared" si="176"/>
        <v>7</v>
      </c>
      <c r="BL105" s="52">
        <f t="shared" si="177"/>
        <v>7</v>
      </c>
      <c r="BM105" s="52">
        <f t="shared" si="178"/>
        <v>7</v>
      </c>
      <c r="BN105" s="52">
        <f t="shared" si="179"/>
        <v>7</v>
      </c>
      <c r="BO105" s="52">
        <f t="shared" si="180"/>
        <v>7</v>
      </c>
      <c r="BP105" s="52">
        <f t="shared" si="181"/>
        <v>7</v>
      </c>
      <c r="BQ105" s="52">
        <f t="shared" si="182"/>
        <v>7</v>
      </c>
      <c r="BR105" s="52">
        <f t="shared" si="183"/>
        <v>7</v>
      </c>
      <c r="BS105" s="52">
        <f t="shared" si="184"/>
        <v>7</v>
      </c>
      <c r="BT105" s="52">
        <f t="shared" si="185"/>
        <v>7</v>
      </c>
      <c r="BU105" s="52">
        <f t="shared" si="186"/>
        <v>8</v>
      </c>
      <c r="BV105" s="52">
        <f t="shared" si="187"/>
        <v>7</v>
      </c>
      <c r="BW105" s="52">
        <f t="shared" si="188"/>
        <v>7</v>
      </c>
      <c r="BX105" s="52">
        <f t="shared" si="189"/>
        <v>7</v>
      </c>
      <c r="BZ105">
        <f t="shared" si="129"/>
        <v>0</v>
      </c>
      <c r="CA105">
        <f t="shared" si="143"/>
        <v>0</v>
      </c>
      <c r="CB105">
        <f t="shared" si="143"/>
        <v>0</v>
      </c>
      <c r="CC105">
        <f t="shared" si="143"/>
        <v>0</v>
      </c>
      <c r="CD105">
        <f t="shared" si="143"/>
        <v>0</v>
      </c>
      <c r="CE105">
        <f t="shared" si="143"/>
        <v>0</v>
      </c>
      <c r="CF105">
        <f t="shared" si="143"/>
        <v>-1</v>
      </c>
      <c r="CG105">
        <f t="shared" si="143"/>
        <v>1</v>
      </c>
      <c r="CH105">
        <f t="shared" si="143"/>
        <v>0</v>
      </c>
      <c r="CI105">
        <f t="shared" si="143"/>
        <v>0</v>
      </c>
      <c r="CJ105">
        <f t="shared" si="143"/>
        <v>0</v>
      </c>
      <c r="CK105">
        <f t="shared" si="143"/>
        <v>0</v>
      </c>
      <c r="CL105">
        <f t="shared" si="143"/>
        <v>0</v>
      </c>
      <c r="CM105">
        <f t="shared" si="143"/>
        <v>0</v>
      </c>
      <c r="CN105">
        <f t="shared" si="143"/>
        <v>0</v>
      </c>
      <c r="CO105">
        <f t="shared" si="143"/>
        <v>0</v>
      </c>
      <c r="CP105">
        <f t="shared" si="143"/>
        <v>0</v>
      </c>
      <c r="CQ105">
        <f t="shared" si="130"/>
        <v>0</v>
      </c>
      <c r="CR105">
        <f t="shared" si="131"/>
        <v>0</v>
      </c>
      <c r="CS105">
        <f t="shared" si="132"/>
        <v>0</v>
      </c>
      <c r="CT105">
        <f t="shared" si="133"/>
        <v>1</v>
      </c>
      <c r="CU105">
        <f t="shared" si="134"/>
        <v>-1</v>
      </c>
      <c r="CV105">
        <f t="shared" si="135"/>
        <v>0</v>
      </c>
      <c r="CW105">
        <f t="shared" si="136"/>
        <v>0</v>
      </c>
    </row>
    <row r="106" spans="1:101">
      <c r="A106" s="60">
        <v>45028</v>
      </c>
      <c r="B106" s="426">
        <v>45532.6</v>
      </c>
      <c r="C106">
        <v>45341.4</v>
      </c>
      <c r="D106">
        <v>45375.9</v>
      </c>
      <c r="E106">
        <v>45237.3</v>
      </c>
      <c r="F106">
        <v>45295.8</v>
      </c>
      <c r="G106">
        <v>44131.6</v>
      </c>
      <c r="H106">
        <v>44603.4</v>
      </c>
      <c r="I106">
        <v>44743.9</v>
      </c>
      <c r="J106">
        <v>44613</v>
      </c>
      <c r="K106">
        <v>44624.6</v>
      </c>
      <c r="L106">
        <v>44232.2</v>
      </c>
      <c r="M106">
        <v>42775</v>
      </c>
      <c r="N106">
        <v>43538.9</v>
      </c>
      <c r="O106">
        <v>44359.3</v>
      </c>
      <c r="P106">
        <v>44117.7</v>
      </c>
      <c r="Q106">
        <v>41616.9</v>
      </c>
      <c r="R106">
        <v>41971.199999999997</v>
      </c>
      <c r="S106">
        <v>44405.3</v>
      </c>
      <c r="T106">
        <v>45206.6</v>
      </c>
      <c r="U106">
        <v>48641.4</v>
      </c>
      <c r="V106">
        <v>50516.6</v>
      </c>
      <c r="W106">
        <v>52973.7</v>
      </c>
      <c r="X106">
        <v>57300.6</v>
      </c>
      <c r="Y106">
        <v>44796.7</v>
      </c>
      <c r="Z106" s="77">
        <v>1095951.5999999999</v>
      </c>
      <c r="AB106">
        <f t="shared" si="190"/>
        <v>0</v>
      </c>
      <c r="AC106">
        <f t="shared" si="145"/>
        <v>0</v>
      </c>
      <c r="AD106">
        <f t="shared" si="146"/>
        <v>0</v>
      </c>
      <c r="AE106">
        <f t="shared" si="147"/>
        <v>0</v>
      </c>
      <c r="AF106">
        <f t="shared" si="148"/>
        <v>0</v>
      </c>
      <c r="AG106">
        <f t="shared" si="149"/>
        <v>0</v>
      </c>
      <c r="AH106">
        <f t="shared" si="150"/>
        <v>0</v>
      </c>
      <c r="AI106">
        <f t="shared" si="151"/>
        <v>0</v>
      </c>
      <c r="AJ106">
        <f t="shared" si="152"/>
        <v>0</v>
      </c>
      <c r="AK106">
        <f t="shared" si="153"/>
        <v>0</v>
      </c>
      <c r="AL106">
        <f t="shared" si="154"/>
        <v>0</v>
      </c>
      <c r="AM106">
        <f t="shared" si="155"/>
        <v>0</v>
      </c>
      <c r="AN106">
        <f t="shared" si="156"/>
        <v>0</v>
      </c>
      <c r="AO106">
        <f t="shared" si="157"/>
        <v>0</v>
      </c>
      <c r="AP106">
        <f t="shared" si="158"/>
        <v>0</v>
      </c>
      <c r="AQ106">
        <f t="shared" si="159"/>
        <v>0</v>
      </c>
      <c r="AR106">
        <f t="shared" si="160"/>
        <v>0</v>
      </c>
      <c r="AS106">
        <f t="shared" si="161"/>
        <v>0</v>
      </c>
      <c r="AT106">
        <f t="shared" si="162"/>
        <v>0</v>
      </c>
      <c r="AU106">
        <f t="shared" si="163"/>
        <v>0</v>
      </c>
      <c r="AV106">
        <f t="shared" si="164"/>
        <v>0</v>
      </c>
      <c r="AW106">
        <f t="shared" si="165"/>
        <v>0</v>
      </c>
      <c r="AX106">
        <f t="shared" si="166"/>
        <v>0</v>
      </c>
      <c r="AY106">
        <f t="shared" si="191"/>
        <v>0</v>
      </c>
      <c r="BA106">
        <f t="shared" si="142"/>
        <v>6</v>
      </c>
      <c r="BB106">
        <f t="shared" si="167"/>
        <v>6</v>
      </c>
      <c r="BC106">
        <f t="shared" si="168"/>
        <v>6</v>
      </c>
      <c r="BD106">
        <f t="shared" si="169"/>
        <v>6</v>
      </c>
      <c r="BE106">
        <f t="shared" si="170"/>
        <v>6</v>
      </c>
      <c r="BF106">
        <f t="shared" si="171"/>
        <v>6</v>
      </c>
      <c r="BG106">
        <f t="shared" si="172"/>
        <v>6</v>
      </c>
      <c r="BH106">
        <f t="shared" si="173"/>
        <v>6</v>
      </c>
      <c r="BI106">
        <f t="shared" si="174"/>
        <v>6</v>
      </c>
      <c r="BJ106">
        <f t="shared" si="175"/>
        <v>6</v>
      </c>
      <c r="BK106">
        <f t="shared" si="176"/>
        <v>6</v>
      </c>
      <c r="BL106">
        <f t="shared" si="177"/>
        <v>5</v>
      </c>
      <c r="BM106">
        <f t="shared" si="178"/>
        <v>5</v>
      </c>
      <c r="BN106">
        <f t="shared" si="179"/>
        <v>6</v>
      </c>
      <c r="BO106">
        <f t="shared" si="180"/>
        <v>6</v>
      </c>
      <c r="BP106">
        <f t="shared" si="181"/>
        <v>5</v>
      </c>
      <c r="BQ106">
        <f t="shared" si="182"/>
        <v>5</v>
      </c>
      <c r="BR106">
        <f t="shared" si="183"/>
        <v>6</v>
      </c>
      <c r="BS106">
        <f t="shared" si="184"/>
        <v>6</v>
      </c>
      <c r="BT106">
        <f t="shared" si="185"/>
        <v>6</v>
      </c>
      <c r="BU106">
        <f t="shared" si="186"/>
        <v>6</v>
      </c>
      <c r="BV106">
        <f t="shared" si="187"/>
        <v>7</v>
      </c>
      <c r="BW106">
        <f t="shared" si="188"/>
        <v>7</v>
      </c>
      <c r="BX106">
        <f t="shared" si="189"/>
        <v>6</v>
      </c>
      <c r="BZ106" s="52">
        <f t="shared" si="129"/>
        <v>-1</v>
      </c>
      <c r="CA106" s="52">
        <f t="shared" si="143"/>
        <v>0</v>
      </c>
      <c r="CB106" s="52">
        <f t="shared" si="143"/>
        <v>0</v>
      </c>
      <c r="CC106" s="52">
        <f t="shared" si="143"/>
        <v>0</v>
      </c>
      <c r="CD106" s="52">
        <f t="shared" si="143"/>
        <v>0</v>
      </c>
      <c r="CE106" s="52">
        <f t="shared" si="143"/>
        <v>0</v>
      </c>
      <c r="CF106" s="52">
        <f t="shared" si="143"/>
        <v>0</v>
      </c>
      <c r="CG106" s="52">
        <f t="shared" si="143"/>
        <v>0</v>
      </c>
      <c r="CH106" s="52">
        <f t="shared" si="143"/>
        <v>0</v>
      </c>
      <c r="CI106" s="52">
        <f t="shared" si="143"/>
        <v>0</v>
      </c>
      <c r="CJ106" s="52">
        <f t="shared" si="143"/>
        <v>0</v>
      </c>
      <c r="CK106" s="52">
        <f t="shared" si="143"/>
        <v>-1</v>
      </c>
      <c r="CL106" s="52">
        <f t="shared" si="143"/>
        <v>0</v>
      </c>
      <c r="CM106" s="52">
        <f t="shared" si="143"/>
        <v>1</v>
      </c>
      <c r="CN106" s="52">
        <f t="shared" si="143"/>
        <v>0</v>
      </c>
      <c r="CO106" s="52">
        <f t="shared" si="143"/>
        <v>-1</v>
      </c>
      <c r="CP106" s="52">
        <f t="shared" si="143"/>
        <v>0</v>
      </c>
      <c r="CQ106" s="52">
        <f t="shared" si="130"/>
        <v>1</v>
      </c>
      <c r="CR106" s="52">
        <f t="shared" si="131"/>
        <v>0</v>
      </c>
      <c r="CS106" s="52">
        <f t="shared" si="132"/>
        <v>0</v>
      </c>
      <c r="CT106" s="52">
        <f t="shared" si="133"/>
        <v>0</v>
      </c>
      <c r="CU106" s="52">
        <f t="shared" si="134"/>
        <v>1</v>
      </c>
      <c r="CV106" s="52">
        <f t="shared" si="135"/>
        <v>0</v>
      </c>
      <c r="CW106" s="52">
        <f t="shared" si="136"/>
        <v>-1</v>
      </c>
    </row>
    <row r="107" spans="1:101">
      <c r="A107" s="60">
        <v>45029</v>
      </c>
      <c r="B107" s="426">
        <v>52359.6</v>
      </c>
      <c r="C107">
        <v>52964.1</v>
      </c>
      <c r="D107">
        <v>53255.6</v>
      </c>
      <c r="E107">
        <v>54042.6</v>
      </c>
      <c r="F107">
        <v>54196.1</v>
      </c>
      <c r="G107">
        <v>54276</v>
      </c>
      <c r="H107">
        <v>54359.6</v>
      </c>
      <c r="I107">
        <v>54302</v>
      </c>
      <c r="J107">
        <v>54144.6</v>
      </c>
      <c r="K107">
        <v>54261.1</v>
      </c>
      <c r="L107">
        <v>53409.8</v>
      </c>
      <c r="M107">
        <v>52153.8</v>
      </c>
      <c r="N107">
        <v>54624.3</v>
      </c>
      <c r="O107">
        <v>54471.1</v>
      </c>
      <c r="P107">
        <v>54323.7</v>
      </c>
      <c r="Q107">
        <v>53753.5</v>
      </c>
      <c r="R107">
        <v>53753.599999999999</v>
      </c>
      <c r="S107">
        <v>52251.6</v>
      </c>
      <c r="T107">
        <v>53706.8</v>
      </c>
      <c r="U107">
        <v>56273.4</v>
      </c>
      <c r="V107">
        <v>66919.199999999997</v>
      </c>
      <c r="W107">
        <v>67300.600000000006</v>
      </c>
      <c r="X107">
        <v>67375.8</v>
      </c>
      <c r="Y107">
        <v>55200.6</v>
      </c>
      <c r="Z107" s="77">
        <v>1333679.1000000001</v>
      </c>
      <c r="AB107" s="52">
        <f t="shared" si="190"/>
        <v>0</v>
      </c>
      <c r="AC107" s="52">
        <f t="shared" si="145"/>
        <v>0</v>
      </c>
      <c r="AD107" s="52">
        <f t="shared" si="146"/>
        <v>0</v>
      </c>
      <c r="AE107" s="52">
        <f t="shared" si="147"/>
        <v>0</v>
      </c>
      <c r="AF107" s="52">
        <f t="shared" si="148"/>
        <v>0</v>
      </c>
      <c r="AG107" s="52">
        <f t="shared" si="149"/>
        <v>0</v>
      </c>
      <c r="AH107" s="52">
        <f t="shared" si="150"/>
        <v>0</v>
      </c>
      <c r="AI107" s="52">
        <f t="shared" si="151"/>
        <v>0</v>
      </c>
      <c r="AJ107" s="52">
        <f t="shared" si="152"/>
        <v>0</v>
      </c>
      <c r="AK107" s="52">
        <f t="shared" si="153"/>
        <v>0</v>
      </c>
      <c r="AL107" s="52">
        <f t="shared" si="154"/>
        <v>0</v>
      </c>
      <c r="AM107" s="52">
        <f t="shared" si="155"/>
        <v>0</v>
      </c>
      <c r="AN107" s="52">
        <f t="shared" si="156"/>
        <v>0</v>
      </c>
      <c r="AO107" s="52">
        <f t="shared" si="157"/>
        <v>0</v>
      </c>
      <c r="AP107" s="52">
        <f t="shared" si="158"/>
        <v>0</v>
      </c>
      <c r="AQ107" s="52">
        <f t="shared" si="159"/>
        <v>0</v>
      </c>
      <c r="AR107" s="52">
        <f t="shared" si="160"/>
        <v>0</v>
      </c>
      <c r="AS107" s="52">
        <f t="shared" si="161"/>
        <v>0</v>
      </c>
      <c r="AT107" s="52">
        <f t="shared" si="162"/>
        <v>0</v>
      </c>
      <c r="AU107" s="52">
        <f t="shared" si="163"/>
        <v>0</v>
      </c>
      <c r="AV107" s="52">
        <f t="shared" si="164"/>
        <v>0</v>
      </c>
      <c r="AW107" s="52">
        <f t="shared" si="165"/>
        <v>0</v>
      </c>
      <c r="AX107" s="52">
        <f t="shared" si="166"/>
        <v>0</v>
      </c>
      <c r="AY107" s="52">
        <f t="shared" si="191"/>
        <v>0</v>
      </c>
      <c r="BA107" s="52">
        <f t="shared" si="142"/>
        <v>6</v>
      </c>
      <c r="BB107" s="52">
        <f t="shared" si="167"/>
        <v>7</v>
      </c>
      <c r="BC107" s="52">
        <f t="shared" si="168"/>
        <v>7</v>
      </c>
      <c r="BD107" s="52">
        <f t="shared" si="169"/>
        <v>7</v>
      </c>
      <c r="BE107" s="52">
        <f t="shared" si="170"/>
        <v>7</v>
      </c>
      <c r="BF107" s="52">
        <f t="shared" si="171"/>
        <v>7</v>
      </c>
      <c r="BG107" s="52">
        <f t="shared" si="172"/>
        <v>7</v>
      </c>
      <c r="BH107" s="52">
        <f t="shared" si="173"/>
        <v>7</v>
      </c>
      <c r="BI107" s="52">
        <f t="shared" si="174"/>
        <v>7</v>
      </c>
      <c r="BJ107" s="52">
        <f t="shared" si="175"/>
        <v>7</v>
      </c>
      <c r="BK107" s="52">
        <f t="shared" si="176"/>
        <v>7</v>
      </c>
      <c r="BL107" s="52">
        <f t="shared" si="177"/>
        <v>6</v>
      </c>
      <c r="BM107" s="52">
        <f t="shared" si="178"/>
        <v>7</v>
      </c>
      <c r="BN107" s="52">
        <f t="shared" si="179"/>
        <v>7</v>
      </c>
      <c r="BO107" s="52">
        <f t="shared" si="180"/>
        <v>7</v>
      </c>
      <c r="BP107" s="52">
        <f t="shared" si="181"/>
        <v>7</v>
      </c>
      <c r="BQ107" s="52">
        <f t="shared" si="182"/>
        <v>7</v>
      </c>
      <c r="BR107" s="52">
        <f t="shared" si="183"/>
        <v>6</v>
      </c>
      <c r="BS107" s="52">
        <f t="shared" si="184"/>
        <v>7</v>
      </c>
      <c r="BT107" s="52">
        <f t="shared" si="185"/>
        <v>7</v>
      </c>
      <c r="BU107" s="52">
        <f t="shared" si="186"/>
        <v>8</v>
      </c>
      <c r="BV107" s="52">
        <f t="shared" si="187"/>
        <v>8</v>
      </c>
      <c r="BW107" s="52">
        <f t="shared" si="188"/>
        <v>8</v>
      </c>
      <c r="BX107" s="52">
        <f t="shared" si="189"/>
        <v>7</v>
      </c>
      <c r="BZ107">
        <f t="shared" si="129"/>
        <v>0</v>
      </c>
      <c r="CA107">
        <f t="shared" si="143"/>
        <v>1</v>
      </c>
      <c r="CB107">
        <f t="shared" si="143"/>
        <v>0</v>
      </c>
      <c r="CC107">
        <f t="shared" si="143"/>
        <v>0</v>
      </c>
      <c r="CD107">
        <f t="shared" si="143"/>
        <v>0</v>
      </c>
      <c r="CE107">
        <f t="shared" si="143"/>
        <v>0</v>
      </c>
      <c r="CF107">
        <f t="shared" si="143"/>
        <v>0</v>
      </c>
      <c r="CG107">
        <f t="shared" si="143"/>
        <v>0</v>
      </c>
      <c r="CH107">
        <f t="shared" si="143"/>
        <v>0</v>
      </c>
      <c r="CI107">
        <f t="shared" si="143"/>
        <v>0</v>
      </c>
      <c r="CJ107">
        <f t="shared" si="143"/>
        <v>0</v>
      </c>
      <c r="CK107">
        <f t="shared" si="143"/>
        <v>-1</v>
      </c>
      <c r="CL107">
        <f t="shared" si="143"/>
        <v>1</v>
      </c>
      <c r="CM107">
        <f t="shared" si="143"/>
        <v>0</v>
      </c>
      <c r="CN107">
        <f t="shared" si="143"/>
        <v>0</v>
      </c>
      <c r="CO107">
        <f t="shared" si="143"/>
        <v>0</v>
      </c>
      <c r="CP107">
        <f t="shared" si="143"/>
        <v>0</v>
      </c>
      <c r="CQ107">
        <f t="shared" si="130"/>
        <v>-1</v>
      </c>
      <c r="CR107">
        <f t="shared" si="131"/>
        <v>1</v>
      </c>
      <c r="CS107">
        <f t="shared" si="132"/>
        <v>0</v>
      </c>
      <c r="CT107">
        <f t="shared" si="133"/>
        <v>1</v>
      </c>
      <c r="CU107">
        <f t="shared" si="134"/>
        <v>0</v>
      </c>
      <c r="CV107">
        <f t="shared" si="135"/>
        <v>0</v>
      </c>
      <c r="CW107">
        <f t="shared" si="136"/>
        <v>-1</v>
      </c>
    </row>
    <row r="108" spans="1:101">
      <c r="A108" s="60">
        <v>45030</v>
      </c>
      <c r="B108" s="426">
        <v>53580.2</v>
      </c>
      <c r="C108">
        <v>54047.8</v>
      </c>
      <c r="D108">
        <v>53919.7</v>
      </c>
      <c r="E108">
        <v>54036.5</v>
      </c>
      <c r="F108">
        <v>54886.1</v>
      </c>
      <c r="G108">
        <v>54046.6</v>
      </c>
      <c r="H108">
        <v>53342.8</v>
      </c>
      <c r="I108">
        <v>53477</v>
      </c>
      <c r="J108">
        <v>53466.6</v>
      </c>
      <c r="K108">
        <v>53380.3</v>
      </c>
      <c r="L108">
        <v>53375</v>
      </c>
      <c r="M108">
        <v>53582.2</v>
      </c>
      <c r="N108">
        <v>54418.5</v>
      </c>
      <c r="O108">
        <v>54364.4</v>
      </c>
      <c r="P108">
        <v>54205.9</v>
      </c>
      <c r="Q108">
        <v>53437.599999999999</v>
      </c>
      <c r="R108">
        <v>54116.2</v>
      </c>
      <c r="S108">
        <v>54638.7</v>
      </c>
      <c r="T108">
        <v>54580.4</v>
      </c>
      <c r="U108">
        <v>54540.6</v>
      </c>
      <c r="V108">
        <v>66154.5</v>
      </c>
      <c r="W108">
        <v>67561.7</v>
      </c>
      <c r="X108">
        <v>67391.3</v>
      </c>
      <c r="Y108">
        <v>61664.3</v>
      </c>
      <c r="Z108" s="77">
        <v>1342214.9</v>
      </c>
      <c r="AB108">
        <f t="shared" si="190"/>
        <v>0</v>
      </c>
      <c r="AC108">
        <f t="shared" ref="AC108:AC119" si="192">+IF(AND(C108=0,D108&lt;&gt;0),1,0)</f>
        <v>0</v>
      </c>
      <c r="AD108">
        <f t="shared" ref="AD108:AD119" si="193">+IF(AND(D108=0,E108&lt;&gt;0),1,0)</f>
        <v>0</v>
      </c>
      <c r="AE108">
        <f t="shared" ref="AE108:AE119" si="194">+IF(AND(E108=0,F108&lt;&gt;0),1,0)</f>
        <v>0</v>
      </c>
      <c r="AF108">
        <f t="shared" ref="AF108:AF119" si="195">+IF(AND(F108=0,G108&lt;&gt;0),1,0)</f>
        <v>0</v>
      </c>
      <c r="AG108">
        <f t="shared" ref="AG108:AG119" si="196">+IF(AND(G108=0,H108&lt;&gt;0),1,0)</f>
        <v>0</v>
      </c>
      <c r="AH108">
        <f t="shared" ref="AH108:AH119" si="197">+IF(AND(H108=0,I108&lt;&gt;0),1,0)</f>
        <v>0</v>
      </c>
      <c r="AI108">
        <f t="shared" ref="AI108:AI119" si="198">+IF(AND(I108=0,J108&lt;&gt;0),1,0)</f>
        <v>0</v>
      </c>
      <c r="AJ108">
        <f t="shared" ref="AJ108:AJ119" si="199">+IF(AND(J108=0,K108&lt;&gt;0),1,0)</f>
        <v>0</v>
      </c>
      <c r="AK108">
        <f t="shared" ref="AK108:AK119" si="200">+IF(AND(K108=0,L108&lt;&gt;0),1,0)</f>
        <v>0</v>
      </c>
      <c r="AL108">
        <f t="shared" ref="AL108:AL119" si="201">+IF(AND(L108=0,M108&lt;&gt;0),1,0)</f>
        <v>0</v>
      </c>
      <c r="AM108">
        <f t="shared" ref="AM108:AM119" si="202">+IF(AND(M108=0,N108&lt;&gt;0),1,0)</f>
        <v>0</v>
      </c>
      <c r="AN108">
        <f t="shared" ref="AN108:AN119" si="203">+IF(AND(N108=0,O108&lt;&gt;0),1,0)</f>
        <v>0</v>
      </c>
      <c r="AO108">
        <f t="shared" ref="AO108:AO119" si="204">+IF(AND(O108=0,P108&lt;&gt;0),1,0)</f>
        <v>0</v>
      </c>
      <c r="AP108">
        <f t="shared" ref="AP108:AP119" si="205">+IF(AND(P108=0,Q108&lt;&gt;0),1,0)</f>
        <v>0</v>
      </c>
      <c r="AQ108">
        <f t="shared" ref="AQ108:AQ119" si="206">+IF(AND(Q108=0,R108&lt;&gt;0),1,0)</f>
        <v>0</v>
      </c>
      <c r="AR108">
        <f t="shared" ref="AR108:AR119" si="207">+IF(AND(R108=0,S108&lt;&gt;0),1,0)</f>
        <v>0</v>
      </c>
      <c r="AS108">
        <f t="shared" ref="AS108:AS119" si="208">+IF(AND(S108=0,T108&lt;&gt;0),1,0)</f>
        <v>0</v>
      </c>
      <c r="AT108">
        <f t="shared" ref="AT108:AT119" si="209">+IF(AND(T108=0,U108&lt;&gt;0),1,0)</f>
        <v>0</v>
      </c>
      <c r="AU108">
        <f t="shared" ref="AU108:AU119" si="210">+IF(AND(U108=0,V108&lt;&gt;0),1,0)</f>
        <v>0</v>
      </c>
      <c r="AV108">
        <f t="shared" ref="AV108:AV119" si="211">+IF(AND(V108=0,W108&lt;&gt;0),1,0)</f>
        <v>0</v>
      </c>
      <c r="AW108">
        <f t="shared" ref="AW108:AW119" si="212">+IF(AND(W108=0,X108&lt;&gt;0),1,0)</f>
        <v>0</v>
      </c>
      <c r="AX108">
        <f t="shared" ref="AX108:AX119" si="213">+IF(AND(X108=0,Y108&lt;&gt;0),1,0)</f>
        <v>0</v>
      </c>
      <c r="AY108">
        <f t="shared" si="191"/>
        <v>0</v>
      </c>
      <c r="BA108">
        <f t="shared" si="142"/>
        <v>7</v>
      </c>
      <c r="BB108">
        <f t="shared" si="167"/>
        <v>7</v>
      </c>
      <c r="BC108">
        <f t="shared" si="168"/>
        <v>7</v>
      </c>
      <c r="BD108">
        <f t="shared" si="169"/>
        <v>7</v>
      </c>
      <c r="BE108">
        <f t="shared" si="170"/>
        <v>7</v>
      </c>
      <c r="BF108">
        <f t="shared" si="171"/>
        <v>7</v>
      </c>
      <c r="BG108">
        <f t="shared" si="172"/>
        <v>7</v>
      </c>
      <c r="BH108">
        <f t="shared" si="173"/>
        <v>7</v>
      </c>
      <c r="BI108">
        <f t="shared" si="174"/>
        <v>7</v>
      </c>
      <c r="BJ108">
        <f t="shared" si="175"/>
        <v>7</v>
      </c>
      <c r="BK108">
        <f t="shared" si="176"/>
        <v>7</v>
      </c>
      <c r="BL108">
        <f t="shared" si="177"/>
        <v>7</v>
      </c>
      <c r="BM108">
        <f t="shared" si="178"/>
        <v>7</v>
      </c>
      <c r="BN108">
        <f t="shared" si="179"/>
        <v>7</v>
      </c>
      <c r="BO108">
        <f t="shared" si="180"/>
        <v>7</v>
      </c>
      <c r="BP108">
        <f t="shared" si="181"/>
        <v>7</v>
      </c>
      <c r="BQ108">
        <f t="shared" si="182"/>
        <v>7</v>
      </c>
      <c r="BR108">
        <f t="shared" si="183"/>
        <v>7</v>
      </c>
      <c r="BS108">
        <f t="shared" si="184"/>
        <v>7</v>
      </c>
      <c r="BT108">
        <f t="shared" si="185"/>
        <v>7</v>
      </c>
      <c r="BU108">
        <f t="shared" si="186"/>
        <v>8</v>
      </c>
      <c r="BV108">
        <f t="shared" si="187"/>
        <v>8</v>
      </c>
      <c r="BW108">
        <f t="shared" si="188"/>
        <v>8</v>
      </c>
      <c r="BX108">
        <f t="shared" si="189"/>
        <v>8</v>
      </c>
      <c r="BZ108" s="52">
        <f t="shared" si="129"/>
        <v>0</v>
      </c>
      <c r="CA108" s="52">
        <f t="shared" si="143"/>
        <v>0</v>
      </c>
      <c r="CB108" s="52">
        <f t="shared" si="143"/>
        <v>0</v>
      </c>
      <c r="CC108" s="52">
        <f t="shared" si="143"/>
        <v>0</v>
      </c>
      <c r="CD108" s="52">
        <f t="shared" si="143"/>
        <v>0</v>
      </c>
      <c r="CE108" s="52">
        <f t="shared" si="143"/>
        <v>0</v>
      </c>
      <c r="CF108" s="52">
        <f t="shared" si="143"/>
        <v>0</v>
      </c>
      <c r="CG108" s="52">
        <f t="shared" si="143"/>
        <v>0</v>
      </c>
      <c r="CH108" s="52">
        <f t="shared" si="143"/>
        <v>0</v>
      </c>
      <c r="CI108" s="52">
        <f t="shared" si="143"/>
        <v>0</v>
      </c>
      <c r="CJ108" s="52">
        <f t="shared" si="143"/>
        <v>0</v>
      </c>
      <c r="CK108" s="52">
        <f t="shared" si="143"/>
        <v>0</v>
      </c>
      <c r="CL108" s="52">
        <f t="shared" si="143"/>
        <v>0</v>
      </c>
      <c r="CM108" s="52">
        <f t="shared" si="143"/>
        <v>0</v>
      </c>
      <c r="CN108" s="52">
        <f t="shared" si="143"/>
        <v>0</v>
      </c>
      <c r="CO108" s="52">
        <f t="shared" si="143"/>
        <v>0</v>
      </c>
      <c r="CP108" s="52">
        <f t="shared" si="143"/>
        <v>0</v>
      </c>
      <c r="CQ108" s="52">
        <f t="shared" si="130"/>
        <v>0</v>
      </c>
      <c r="CR108" s="52">
        <f t="shared" si="131"/>
        <v>0</v>
      </c>
      <c r="CS108" s="52">
        <f t="shared" si="132"/>
        <v>0</v>
      </c>
      <c r="CT108" s="52">
        <f t="shared" si="133"/>
        <v>1</v>
      </c>
      <c r="CU108" s="52">
        <f t="shared" si="134"/>
        <v>0</v>
      </c>
      <c r="CV108" s="52">
        <f t="shared" si="135"/>
        <v>0</v>
      </c>
      <c r="CW108" s="52">
        <f t="shared" si="136"/>
        <v>0</v>
      </c>
    </row>
    <row r="109" spans="1:101">
      <c r="A109" s="60">
        <v>45031</v>
      </c>
      <c r="B109" s="426">
        <v>53306.5</v>
      </c>
      <c r="C109">
        <v>53348.3</v>
      </c>
      <c r="D109">
        <v>53859.4</v>
      </c>
      <c r="E109">
        <v>53722.6</v>
      </c>
      <c r="F109">
        <v>53718.3</v>
      </c>
      <c r="G109">
        <v>53749.8</v>
      </c>
      <c r="H109">
        <v>54259.199999999997</v>
      </c>
      <c r="I109">
        <v>53869.599999999999</v>
      </c>
      <c r="J109">
        <v>54263.199999999997</v>
      </c>
      <c r="K109">
        <v>54015.6</v>
      </c>
      <c r="L109">
        <v>54142</v>
      </c>
      <c r="M109">
        <v>53900.7</v>
      </c>
      <c r="N109">
        <v>54067</v>
      </c>
      <c r="O109">
        <v>53948.4</v>
      </c>
      <c r="P109">
        <v>54211.3</v>
      </c>
      <c r="Q109">
        <v>53983.8</v>
      </c>
      <c r="R109">
        <v>54016.4</v>
      </c>
      <c r="S109">
        <v>53804.4</v>
      </c>
      <c r="T109">
        <v>54085.3</v>
      </c>
      <c r="U109">
        <v>54930.6</v>
      </c>
      <c r="V109">
        <v>56448.4</v>
      </c>
      <c r="W109">
        <v>54845.9</v>
      </c>
      <c r="X109">
        <v>54671</v>
      </c>
      <c r="Y109">
        <v>54839.199999999997</v>
      </c>
      <c r="Z109" s="77">
        <v>1300006.8999999999</v>
      </c>
      <c r="AB109" s="52">
        <f t="shared" si="190"/>
        <v>0</v>
      </c>
      <c r="AC109" s="52">
        <f t="shared" si="192"/>
        <v>0</v>
      </c>
      <c r="AD109" s="52">
        <f t="shared" si="193"/>
        <v>0</v>
      </c>
      <c r="AE109" s="52">
        <f t="shared" si="194"/>
        <v>0</v>
      </c>
      <c r="AF109" s="52">
        <f t="shared" si="195"/>
        <v>0</v>
      </c>
      <c r="AG109" s="52">
        <f t="shared" si="196"/>
        <v>0</v>
      </c>
      <c r="AH109" s="52">
        <f t="shared" si="197"/>
        <v>0</v>
      </c>
      <c r="AI109" s="52">
        <f t="shared" si="198"/>
        <v>0</v>
      </c>
      <c r="AJ109" s="52">
        <f t="shared" si="199"/>
        <v>0</v>
      </c>
      <c r="AK109" s="52">
        <f t="shared" si="200"/>
        <v>0</v>
      </c>
      <c r="AL109" s="52">
        <f t="shared" si="201"/>
        <v>0</v>
      </c>
      <c r="AM109" s="52">
        <f t="shared" si="202"/>
        <v>0</v>
      </c>
      <c r="AN109" s="52">
        <f t="shared" si="203"/>
        <v>0</v>
      </c>
      <c r="AO109" s="52">
        <f t="shared" si="204"/>
        <v>0</v>
      </c>
      <c r="AP109" s="52">
        <f t="shared" si="205"/>
        <v>0</v>
      </c>
      <c r="AQ109" s="52">
        <f t="shared" si="206"/>
        <v>0</v>
      </c>
      <c r="AR109" s="52">
        <f t="shared" si="207"/>
        <v>0</v>
      </c>
      <c r="AS109" s="52">
        <f t="shared" si="208"/>
        <v>0</v>
      </c>
      <c r="AT109" s="52">
        <f t="shared" si="209"/>
        <v>0</v>
      </c>
      <c r="AU109" s="52">
        <f t="shared" si="210"/>
        <v>0</v>
      </c>
      <c r="AV109" s="52">
        <f t="shared" si="211"/>
        <v>0</v>
      </c>
      <c r="AW109" s="52">
        <f t="shared" si="212"/>
        <v>0</v>
      </c>
      <c r="AX109" s="52">
        <f t="shared" si="213"/>
        <v>0</v>
      </c>
      <c r="AY109" s="52">
        <f t="shared" si="191"/>
        <v>0</v>
      </c>
      <c r="BA109" s="52">
        <f t="shared" si="142"/>
        <v>7</v>
      </c>
      <c r="BB109" s="52">
        <f t="shared" si="167"/>
        <v>7</v>
      </c>
      <c r="BC109" s="52">
        <f t="shared" si="168"/>
        <v>7</v>
      </c>
      <c r="BD109" s="52">
        <f t="shared" si="169"/>
        <v>7</v>
      </c>
      <c r="BE109" s="52">
        <f t="shared" si="170"/>
        <v>7</v>
      </c>
      <c r="BF109" s="52">
        <f t="shared" si="171"/>
        <v>7</v>
      </c>
      <c r="BG109" s="52">
        <f t="shared" si="172"/>
        <v>7</v>
      </c>
      <c r="BH109" s="52">
        <f t="shared" si="173"/>
        <v>7</v>
      </c>
      <c r="BI109" s="52">
        <f t="shared" si="174"/>
        <v>7</v>
      </c>
      <c r="BJ109" s="52">
        <f t="shared" si="175"/>
        <v>7</v>
      </c>
      <c r="BK109" s="52">
        <f t="shared" si="176"/>
        <v>7</v>
      </c>
      <c r="BL109" s="52">
        <f t="shared" si="177"/>
        <v>7</v>
      </c>
      <c r="BM109" s="52">
        <f t="shared" si="178"/>
        <v>7</v>
      </c>
      <c r="BN109" s="52">
        <f t="shared" si="179"/>
        <v>7</v>
      </c>
      <c r="BO109" s="52">
        <f t="shared" si="180"/>
        <v>7</v>
      </c>
      <c r="BP109" s="52">
        <f t="shared" si="181"/>
        <v>7</v>
      </c>
      <c r="BQ109" s="52">
        <f t="shared" si="182"/>
        <v>7</v>
      </c>
      <c r="BR109" s="52">
        <f t="shared" si="183"/>
        <v>7</v>
      </c>
      <c r="BS109" s="52">
        <f t="shared" si="184"/>
        <v>7</v>
      </c>
      <c r="BT109" s="52">
        <f t="shared" si="185"/>
        <v>7</v>
      </c>
      <c r="BU109" s="52">
        <f t="shared" si="186"/>
        <v>7</v>
      </c>
      <c r="BV109" s="52">
        <f t="shared" si="187"/>
        <v>7</v>
      </c>
      <c r="BW109" s="52">
        <f t="shared" si="188"/>
        <v>7</v>
      </c>
      <c r="BX109" s="52">
        <f t="shared" si="189"/>
        <v>7</v>
      </c>
      <c r="BZ109">
        <f t="shared" si="129"/>
        <v>-1</v>
      </c>
      <c r="CA109">
        <f t="shared" si="143"/>
        <v>0</v>
      </c>
      <c r="CB109">
        <f t="shared" si="143"/>
        <v>0</v>
      </c>
      <c r="CC109">
        <f t="shared" si="143"/>
        <v>0</v>
      </c>
      <c r="CD109">
        <f t="shared" si="143"/>
        <v>0</v>
      </c>
      <c r="CE109">
        <f t="shared" si="143"/>
        <v>0</v>
      </c>
      <c r="CF109">
        <f t="shared" si="143"/>
        <v>0</v>
      </c>
      <c r="CG109">
        <f t="shared" si="143"/>
        <v>0</v>
      </c>
      <c r="CH109">
        <f t="shared" si="143"/>
        <v>0</v>
      </c>
      <c r="CI109">
        <f t="shared" si="143"/>
        <v>0</v>
      </c>
      <c r="CJ109">
        <f t="shared" si="143"/>
        <v>0</v>
      </c>
      <c r="CK109">
        <f t="shared" si="143"/>
        <v>0</v>
      </c>
      <c r="CL109">
        <f t="shared" si="143"/>
        <v>0</v>
      </c>
      <c r="CM109">
        <f t="shared" si="143"/>
        <v>0</v>
      </c>
      <c r="CN109">
        <f t="shared" si="143"/>
        <v>0</v>
      </c>
      <c r="CO109">
        <f t="shared" si="143"/>
        <v>0</v>
      </c>
      <c r="CP109">
        <f t="shared" si="143"/>
        <v>0</v>
      </c>
      <c r="CQ109">
        <f t="shared" si="130"/>
        <v>0</v>
      </c>
      <c r="CR109">
        <f t="shared" si="131"/>
        <v>0</v>
      </c>
      <c r="CS109">
        <f t="shared" si="132"/>
        <v>0</v>
      </c>
      <c r="CT109">
        <f t="shared" si="133"/>
        <v>0</v>
      </c>
      <c r="CU109">
        <f t="shared" si="134"/>
        <v>0</v>
      </c>
      <c r="CV109">
        <f t="shared" si="135"/>
        <v>0</v>
      </c>
      <c r="CW109">
        <f t="shared" si="136"/>
        <v>0</v>
      </c>
    </row>
    <row r="110" spans="1:101">
      <c r="A110" s="60">
        <v>45032</v>
      </c>
      <c r="B110" s="426">
        <v>44904.800000000003</v>
      </c>
      <c r="C110">
        <v>45849.9</v>
      </c>
      <c r="D110">
        <v>45771.7</v>
      </c>
      <c r="E110">
        <v>45898.3</v>
      </c>
      <c r="F110">
        <v>45861.9</v>
      </c>
      <c r="G110">
        <v>45779.199999999997</v>
      </c>
      <c r="H110">
        <v>45822.2</v>
      </c>
      <c r="I110">
        <v>45889</v>
      </c>
      <c r="J110">
        <v>44569.5</v>
      </c>
      <c r="K110">
        <v>44852.4</v>
      </c>
      <c r="L110">
        <v>44839.4</v>
      </c>
      <c r="M110">
        <v>44838.9</v>
      </c>
      <c r="N110">
        <v>44815.3</v>
      </c>
      <c r="O110">
        <v>44745.599999999999</v>
      </c>
      <c r="P110">
        <v>44823.4</v>
      </c>
      <c r="Q110">
        <v>44810.3</v>
      </c>
      <c r="R110">
        <v>44839.5</v>
      </c>
      <c r="S110">
        <v>44942.400000000001</v>
      </c>
      <c r="T110">
        <v>44860.800000000003</v>
      </c>
      <c r="U110">
        <v>44686.2</v>
      </c>
      <c r="V110">
        <v>52808.7</v>
      </c>
      <c r="W110">
        <v>45315</v>
      </c>
      <c r="X110">
        <v>45156.5</v>
      </c>
      <c r="Y110">
        <v>45595.1</v>
      </c>
      <c r="Z110" s="77">
        <v>1092276.0000000002</v>
      </c>
      <c r="AB110">
        <f t="shared" si="190"/>
        <v>0</v>
      </c>
      <c r="AC110">
        <f t="shared" si="192"/>
        <v>0</v>
      </c>
      <c r="AD110">
        <f t="shared" si="193"/>
        <v>0</v>
      </c>
      <c r="AE110">
        <f t="shared" si="194"/>
        <v>0</v>
      </c>
      <c r="AF110">
        <f t="shared" si="195"/>
        <v>0</v>
      </c>
      <c r="AG110">
        <f t="shared" si="196"/>
        <v>0</v>
      </c>
      <c r="AH110">
        <f t="shared" si="197"/>
        <v>0</v>
      </c>
      <c r="AI110">
        <f t="shared" si="198"/>
        <v>0</v>
      </c>
      <c r="AJ110">
        <f t="shared" si="199"/>
        <v>0</v>
      </c>
      <c r="AK110">
        <f t="shared" si="200"/>
        <v>0</v>
      </c>
      <c r="AL110">
        <f t="shared" si="201"/>
        <v>0</v>
      </c>
      <c r="AM110">
        <f t="shared" si="202"/>
        <v>0</v>
      </c>
      <c r="AN110">
        <f t="shared" si="203"/>
        <v>0</v>
      </c>
      <c r="AO110">
        <f t="shared" si="204"/>
        <v>0</v>
      </c>
      <c r="AP110">
        <f t="shared" si="205"/>
        <v>0</v>
      </c>
      <c r="AQ110">
        <f t="shared" si="206"/>
        <v>0</v>
      </c>
      <c r="AR110">
        <f t="shared" si="207"/>
        <v>0</v>
      </c>
      <c r="AS110">
        <f t="shared" si="208"/>
        <v>0</v>
      </c>
      <c r="AT110">
        <f t="shared" si="209"/>
        <v>0</v>
      </c>
      <c r="AU110">
        <f t="shared" si="210"/>
        <v>0</v>
      </c>
      <c r="AV110">
        <f t="shared" si="211"/>
        <v>0</v>
      </c>
      <c r="AW110">
        <f t="shared" si="212"/>
        <v>0</v>
      </c>
      <c r="AX110">
        <f t="shared" si="213"/>
        <v>0</v>
      </c>
      <c r="AY110">
        <f t="shared" si="191"/>
        <v>0</v>
      </c>
      <c r="BA110">
        <f t="shared" si="142"/>
        <v>6</v>
      </c>
      <c r="BB110">
        <f t="shared" si="167"/>
        <v>6</v>
      </c>
      <c r="BC110">
        <f t="shared" si="168"/>
        <v>6</v>
      </c>
      <c r="BD110">
        <f t="shared" si="169"/>
        <v>6</v>
      </c>
      <c r="BE110">
        <f t="shared" si="170"/>
        <v>6</v>
      </c>
      <c r="BF110">
        <f t="shared" si="171"/>
        <v>6</v>
      </c>
      <c r="BG110">
        <f t="shared" si="172"/>
        <v>6</v>
      </c>
      <c r="BH110">
        <f t="shared" si="173"/>
        <v>6</v>
      </c>
      <c r="BI110">
        <f t="shared" si="174"/>
        <v>6</v>
      </c>
      <c r="BJ110">
        <f t="shared" si="175"/>
        <v>6</v>
      </c>
      <c r="BK110">
        <f t="shared" si="176"/>
        <v>6</v>
      </c>
      <c r="BL110">
        <f t="shared" si="177"/>
        <v>6</v>
      </c>
      <c r="BM110">
        <f t="shared" si="178"/>
        <v>6</v>
      </c>
      <c r="BN110">
        <f t="shared" si="179"/>
        <v>6</v>
      </c>
      <c r="BO110">
        <f t="shared" si="180"/>
        <v>6</v>
      </c>
      <c r="BP110">
        <f t="shared" si="181"/>
        <v>6</v>
      </c>
      <c r="BQ110">
        <f t="shared" si="182"/>
        <v>6</v>
      </c>
      <c r="BR110">
        <f t="shared" si="183"/>
        <v>6</v>
      </c>
      <c r="BS110">
        <f t="shared" si="184"/>
        <v>6</v>
      </c>
      <c r="BT110">
        <f t="shared" si="185"/>
        <v>6</v>
      </c>
      <c r="BU110">
        <f t="shared" si="186"/>
        <v>7</v>
      </c>
      <c r="BV110">
        <f t="shared" si="187"/>
        <v>6</v>
      </c>
      <c r="BW110">
        <f t="shared" si="188"/>
        <v>6</v>
      </c>
      <c r="BX110">
        <f t="shared" si="189"/>
        <v>6</v>
      </c>
      <c r="BZ110" s="52">
        <f t="shared" si="129"/>
        <v>-1</v>
      </c>
      <c r="CA110" s="52">
        <f t="shared" si="143"/>
        <v>0</v>
      </c>
      <c r="CB110" s="52">
        <f t="shared" si="143"/>
        <v>0</v>
      </c>
      <c r="CC110" s="52">
        <f t="shared" si="143"/>
        <v>0</v>
      </c>
      <c r="CD110" s="52">
        <f t="shared" si="143"/>
        <v>0</v>
      </c>
      <c r="CE110" s="52">
        <f t="shared" si="143"/>
        <v>0</v>
      </c>
      <c r="CF110" s="52">
        <f t="shared" si="143"/>
        <v>0</v>
      </c>
      <c r="CG110" s="52">
        <f t="shared" si="143"/>
        <v>0</v>
      </c>
      <c r="CH110" s="52">
        <f t="shared" si="143"/>
        <v>0</v>
      </c>
      <c r="CI110" s="52">
        <f t="shared" si="143"/>
        <v>0</v>
      </c>
      <c r="CJ110" s="52">
        <f t="shared" si="143"/>
        <v>0</v>
      </c>
      <c r="CK110" s="52">
        <f t="shared" si="143"/>
        <v>0</v>
      </c>
      <c r="CL110" s="52">
        <f t="shared" si="143"/>
        <v>0</v>
      </c>
      <c r="CM110" s="52">
        <f t="shared" si="143"/>
        <v>0</v>
      </c>
      <c r="CN110" s="52">
        <f t="shared" si="143"/>
        <v>0</v>
      </c>
      <c r="CO110" s="52">
        <f t="shared" si="143"/>
        <v>0</v>
      </c>
      <c r="CP110" s="52">
        <f t="shared" si="143"/>
        <v>0</v>
      </c>
      <c r="CQ110" s="52">
        <f t="shared" si="130"/>
        <v>0</v>
      </c>
      <c r="CR110" s="52">
        <f t="shared" si="131"/>
        <v>0</v>
      </c>
      <c r="CS110" s="52">
        <f t="shared" si="132"/>
        <v>0</v>
      </c>
      <c r="CT110" s="52">
        <f t="shared" si="133"/>
        <v>1</v>
      </c>
      <c r="CU110" s="52">
        <f t="shared" si="134"/>
        <v>-1</v>
      </c>
      <c r="CV110" s="52">
        <f t="shared" si="135"/>
        <v>0</v>
      </c>
      <c r="CW110" s="52">
        <f t="shared" si="136"/>
        <v>0</v>
      </c>
    </row>
    <row r="111" spans="1:101">
      <c r="A111" s="60">
        <v>45033</v>
      </c>
      <c r="B111" s="426">
        <v>53457</v>
      </c>
      <c r="C111">
        <v>55643</v>
      </c>
      <c r="D111">
        <v>54509.9</v>
      </c>
      <c r="E111">
        <v>54450.7</v>
      </c>
      <c r="F111">
        <v>54899.4</v>
      </c>
      <c r="G111">
        <v>54436.1</v>
      </c>
      <c r="H111">
        <v>54691.5</v>
      </c>
      <c r="I111">
        <v>54717.599999999999</v>
      </c>
      <c r="J111">
        <v>53496.6</v>
      </c>
      <c r="K111">
        <v>54027.7</v>
      </c>
      <c r="L111">
        <v>53047</v>
      </c>
      <c r="M111">
        <v>52334.1</v>
      </c>
      <c r="N111">
        <v>54434.2</v>
      </c>
      <c r="O111">
        <v>54863.3</v>
      </c>
      <c r="P111">
        <v>52912.800000000003</v>
      </c>
      <c r="Q111">
        <v>52731.5</v>
      </c>
      <c r="R111">
        <v>51945.1</v>
      </c>
      <c r="S111">
        <v>54155</v>
      </c>
      <c r="T111">
        <v>53536.4</v>
      </c>
      <c r="U111">
        <v>62632.800000000003</v>
      </c>
      <c r="V111">
        <v>67604.3</v>
      </c>
      <c r="W111">
        <v>54922.2</v>
      </c>
      <c r="X111">
        <v>54987.3</v>
      </c>
      <c r="Y111">
        <v>55109.1</v>
      </c>
      <c r="Z111" s="77">
        <v>1319544.6000000001</v>
      </c>
      <c r="AB111" s="52">
        <f t="shared" si="190"/>
        <v>0</v>
      </c>
      <c r="AC111" s="52">
        <f t="shared" si="192"/>
        <v>0</v>
      </c>
      <c r="AD111" s="52">
        <f t="shared" si="193"/>
        <v>0</v>
      </c>
      <c r="AE111" s="52">
        <f t="shared" si="194"/>
        <v>0</v>
      </c>
      <c r="AF111" s="52">
        <f t="shared" si="195"/>
        <v>0</v>
      </c>
      <c r="AG111" s="52">
        <f t="shared" si="196"/>
        <v>0</v>
      </c>
      <c r="AH111" s="52">
        <f t="shared" si="197"/>
        <v>0</v>
      </c>
      <c r="AI111" s="52">
        <f t="shared" si="198"/>
        <v>0</v>
      </c>
      <c r="AJ111" s="52">
        <f t="shared" si="199"/>
        <v>0</v>
      </c>
      <c r="AK111" s="52">
        <f t="shared" si="200"/>
        <v>0</v>
      </c>
      <c r="AL111" s="52">
        <f t="shared" si="201"/>
        <v>0</v>
      </c>
      <c r="AM111" s="52">
        <f t="shared" si="202"/>
        <v>0</v>
      </c>
      <c r="AN111" s="52">
        <f t="shared" si="203"/>
        <v>0</v>
      </c>
      <c r="AO111" s="52">
        <f t="shared" si="204"/>
        <v>0</v>
      </c>
      <c r="AP111" s="52">
        <f t="shared" si="205"/>
        <v>0</v>
      </c>
      <c r="AQ111" s="52">
        <f t="shared" si="206"/>
        <v>0</v>
      </c>
      <c r="AR111" s="52">
        <f t="shared" si="207"/>
        <v>0</v>
      </c>
      <c r="AS111" s="52">
        <f t="shared" si="208"/>
        <v>0</v>
      </c>
      <c r="AT111" s="52">
        <f t="shared" si="209"/>
        <v>0</v>
      </c>
      <c r="AU111" s="52">
        <f t="shared" si="210"/>
        <v>0</v>
      </c>
      <c r="AV111" s="52">
        <f t="shared" si="211"/>
        <v>0</v>
      </c>
      <c r="AW111" s="52">
        <f t="shared" si="212"/>
        <v>0</v>
      </c>
      <c r="AX111" s="52">
        <f t="shared" si="213"/>
        <v>0</v>
      </c>
      <c r="AY111" s="52">
        <f t="shared" si="191"/>
        <v>0</v>
      </c>
      <c r="BA111" s="52">
        <f t="shared" si="142"/>
        <v>7</v>
      </c>
      <c r="BB111" s="52">
        <f t="shared" si="167"/>
        <v>7</v>
      </c>
      <c r="BC111" s="52">
        <f t="shared" si="168"/>
        <v>7</v>
      </c>
      <c r="BD111" s="52">
        <f t="shared" si="169"/>
        <v>7</v>
      </c>
      <c r="BE111" s="52">
        <f t="shared" si="170"/>
        <v>7</v>
      </c>
      <c r="BF111" s="52">
        <f t="shared" si="171"/>
        <v>7</v>
      </c>
      <c r="BG111" s="52">
        <f t="shared" si="172"/>
        <v>7</v>
      </c>
      <c r="BH111" s="52">
        <f t="shared" si="173"/>
        <v>7</v>
      </c>
      <c r="BI111" s="52">
        <f t="shared" si="174"/>
        <v>7</v>
      </c>
      <c r="BJ111" s="52">
        <f t="shared" si="175"/>
        <v>7</v>
      </c>
      <c r="BK111" s="52">
        <f t="shared" si="176"/>
        <v>7</v>
      </c>
      <c r="BL111" s="52">
        <f t="shared" si="177"/>
        <v>6</v>
      </c>
      <c r="BM111" s="52">
        <f t="shared" si="178"/>
        <v>7</v>
      </c>
      <c r="BN111" s="52">
        <f t="shared" si="179"/>
        <v>7</v>
      </c>
      <c r="BO111" s="52">
        <f t="shared" si="180"/>
        <v>7</v>
      </c>
      <c r="BP111" s="52">
        <f t="shared" si="181"/>
        <v>6</v>
      </c>
      <c r="BQ111" s="52">
        <f t="shared" si="182"/>
        <v>6</v>
      </c>
      <c r="BR111" s="52">
        <f t="shared" si="183"/>
        <v>7</v>
      </c>
      <c r="BS111" s="52">
        <f t="shared" si="184"/>
        <v>7</v>
      </c>
      <c r="BT111" s="52">
        <f t="shared" si="185"/>
        <v>8</v>
      </c>
      <c r="BU111" s="52">
        <f t="shared" si="186"/>
        <v>8</v>
      </c>
      <c r="BV111" s="52">
        <f t="shared" si="187"/>
        <v>7</v>
      </c>
      <c r="BW111" s="52">
        <f t="shared" si="188"/>
        <v>7</v>
      </c>
      <c r="BX111" s="52">
        <f t="shared" si="189"/>
        <v>7</v>
      </c>
      <c r="BZ111">
        <f t="shared" si="129"/>
        <v>1</v>
      </c>
      <c r="CA111">
        <f t="shared" si="143"/>
        <v>0</v>
      </c>
      <c r="CB111">
        <f t="shared" si="143"/>
        <v>0</v>
      </c>
      <c r="CC111">
        <f t="shared" si="143"/>
        <v>0</v>
      </c>
      <c r="CD111">
        <f t="shared" si="143"/>
        <v>0</v>
      </c>
      <c r="CE111">
        <f t="shared" si="143"/>
        <v>0</v>
      </c>
      <c r="CF111">
        <f t="shared" si="143"/>
        <v>0</v>
      </c>
      <c r="CG111">
        <f t="shared" si="143"/>
        <v>0</v>
      </c>
      <c r="CH111">
        <f t="shared" si="143"/>
        <v>0</v>
      </c>
      <c r="CI111">
        <f t="shared" si="143"/>
        <v>0</v>
      </c>
      <c r="CJ111">
        <f t="shared" si="143"/>
        <v>0</v>
      </c>
      <c r="CK111">
        <f t="shared" si="143"/>
        <v>-1</v>
      </c>
      <c r="CL111">
        <f t="shared" si="143"/>
        <v>1</v>
      </c>
      <c r="CM111">
        <f t="shared" si="143"/>
        <v>0</v>
      </c>
      <c r="CN111">
        <f t="shared" si="143"/>
        <v>0</v>
      </c>
      <c r="CO111">
        <f t="shared" si="143"/>
        <v>-1</v>
      </c>
      <c r="CP111">
        <f t="shared" si="143"/>
        <v>0</v>
      </c>
      <c r="CQ111">
        <f t="shared" si="130"/>
        <v>1</v>
      </c>
      <c r="CR111">
        <f t="shared" si="131"/>
        <v>0</v>
      </c>
      <c r="CS111">
        <f t="shared" si="132"/>
        <v>1</v>
      </c>
      <c r="CT111">
        <f t="shared" si="133"/>
        <v>0</v>
      </c>
      <c r="CU111">
        <f t="shared" si="134"/>
        <v>-1</v>
      </c>
      <c r="CV111">
        <f t="shared" si="135"/>
        <v>0</v>
      </c>
      <c r="CW111">
        <f t="shared" si="136"/>
        <v>0</v>
      </c>
    </row>
    <row r="112" spans="1:101">
      <c r="A112" s="60">
        <v>45034</v>
      </c>
      <c r="B112" s="426">
        <v>54362</v>
      </c>
      <c r="C112">
        <v>54145.1</v>
      </c>
      <c r="D112">
        <v>54305.7</v>
      </c>
      <c r="E112">
        <v>54203.8</v>
      </c>
      <c r="F112">
        <v>54190.3</v>
      </c>
      <c r="G112">
        <v>54164.3</v>
      </c>
      <c r="H112">
        <v>54251.3</v>
      </c>
      <c r="I112">
        <v>54346.2</v>
      </c>
      <c r="J112">
        <v>53758.1</v>
      </c>
      <c r="K112">
        <v>54261.1</v>
      </c>
      <c r="L112">
        <v>53522.8</v>
      </c>
      <c r="M112">
        <v>52646.6</v>
      </c>
      <c r="N112">
        <v>54213</v>
      </c>
      <c r="O112">
        <v>53625.2</v>
      </c>
      <c r="P112">
        <v>53381.1</v>
      </c>
      <c r="Q112">
        <v>54224.7</v>
      </c>
      <c r="R112">
        <v>54306.3</v>
      </c>
      <c r="S112">
        <v>54082.6</v>
      </c>
      <c r="T112">
        <v>54043</v>
      </c>
      <c r="U112">
        <v>54313</v>
      </c>
      <c r="V112">
        <v>67631.8</v>
      </c>
      <c r="W112">
        <v>61566.400000000001</v>
      </c>
      <c r="X112">
        <v>65608.600000000006</v>
      </c>
      <c r="Y112">
        <v>54983.199999999997</v>
      </c>
      <c r="Z112" s="77">
        <v>1330136.1999999997</v>
      </c>
      <c r="AB112">
        <f t="shared" si="190"/>
        <v>0</v>
      </c>
      <c r="AC112">
        <f t="shared" si="192"/>
        <v>0</v>
      </c>
      <c r="AD112">
        <f t="shared" si="193"/>
        <v>0</v>
      </c>
      <c r="AE112">
        <f t="shared" si="194"/>
        <v>0</v>
      </c>
      <c r="AF112">
        <f t="shared" si="195"/>
        <v>0</v>
      </c>
      <c r="AG112">
        <f t="shared" si="196"/>
        <v>0</v>
      </c>
      <c r="AH112">
        <f t="shared" si="197"/>
        <v>0</v>
      </c>
      <c r="AI112">
        <f t="shared" si="198"/>
        <v>0</v>
      </c>
      <c r="AJ112">
        <f t="shared" si="199"/>
        <v>0</v>
      </c>
      <c r="AK112">
        <f t="shared" si="200"/>
        <v>0</v>
      </c>
      <c r="AL112">
        <f t="shared" si="201"/>
        <v>0</v>
      </c>
      <c r="AM112">
        <f t="shared" si="202"/>
        <v>0</v>
      </c>
      <c r="AN112">
        <f t="shared" si="203"/>
        <v>0</v>
      </c>
      <c r="AO112">
        <f t="shared" si="204"/>
        <v>0</v>
      </c>
      <c r="AP112">
        <f t="shared" si="205"/>
        <v>0</v>
      </c>
      <c r="AQ112">
        <f t="shared" si="206"/>
        <v>0</v>
      </c>
      <c r="AR112">
        <f t="shared" si="207"/>
        <v>0</v>
      </c>
      <c r="AS112">
        <f t="shared" si="208"/>
        <v>0</v>
      </c>
      <c r="AT112">
        <f t="shared" si="209"/>
        <v>0</v>
      </c>
      <c r="AU112">
        <f t="shared" si="210"/>
        <v>0</v>
      </c>
      <c r="AV112">
        <f t="shared" si="211"/>
        <v>0</v>
      </c>
      <c r="AW112">
        <f t="shared" si="212"/>
        <v>0</v>
      </c>
      <c r="AX112">
        <f t="shared" si="213"/>
        <v>0</v>
      </c>
      <c r="AY112">
        <f t="shared" si="191"/>
        <v>0</v>
      </c>
      <c r="BA112">
        <f t="shared" si="142"/>
        <v>7</v>
      </c>
      <c r="BB112">
        <f t="shared" si="167"/>
        <v>7</v>
      </c>
      <c r="BC112">
        <f t="shared" si="168"/>
        <v>7</v>
      </c>
      <c r="BD112">
        <f t="shared" si="169"/>
        <v>7</v>
      </c>
      <c r="BE112">
        <f t="shared" si="170"/>
        <v>7</v>
      </c>
      <c r="BF112">
        <f t="shared" si="171"/>
        <v>7</v>
      </c>
      <c r="BG112">
        <f t="shared" si="172"/>
        <v>7</v>
      </c>
      <c r="BH112">
        <f t="shared" si="173"/>
        <v>7</v>
      </c>
      <c r="BI112">
        <f t="shared" si="174"/>
        <v>7</v>
      </c>
      <c r="BJ112">
        <f t="shared" si="175"/>
        <v>7</v>
      </c>
      <c r="BK112">
        <f t="shared" si="176"/>
        <v>7</v>
      </c>
      <c r="BL112">
        <f t="shared" si="177"/>
        <v>6</v>
      </c>
      <c r="BM112">
        <f t="shared" si="178"/>
        <v>7</v>
      </c>
      <c r="BN112">
        <f t="shared" si="179"/>
        <v>7</v>
      </c>
      <c r="BO112">
        <f t="shared" si="180"/>
        <v>7</v>
      </c>
      <c r="BP112">
        <f t="shared" si="181"/>
        <v>7</v>
      </c>
      <c r="BQ112">
        <f t="shared" si="182"/>
        <v>7</v>
      </c>
      <c r="BR112">
        <f t="shared" si="183"/>
        <v>7</v>
      </c>
      <c r="BS112">
        <f t="shared" si="184"/>
        <v>7</v>
      </c>
      <c r="BT112">
        <f t="shared" si="185"/>
        <v>7</v>
      </c>
      <c r="BU112">
        <f t="shared" si="186"/>
        <v>8</v>
      </c>
      <c r="BV112">
        <f t="shared" si="187"/>
        <v>7</v>
      </c>
      <c r="BW112">
        <f t="shared" si="188"/>
        <v>8</v>
      </c>
      <c r="BX112">
        <f t="shared" si="189"/>
        <v>7</v>
      </c>
      <c r="BZ112" s="52">
        <f t="shared" si="129"/>
        <v>0</v>
      </c>
      <c r="CA112" s="52">
        <f t="shared" si="143"/>
        <v>0</v>
      </c>
      <c r="CB112" s="52">
        <f t="shared" si="143"/>
        <v>0</v>
      </c>
      <c r="CC112" s="52">
        <f t="shared" si="143"/>
        <v>0</v>
      </c>
      <c r="CD112" s="52">
        <f t="shared" si="143"/>
        <v>0</v>
      </c>
      <c r="CE112" s="52">
        <f t="shared" si="143"/>
        <v>0</v>
      </c>
      <c r="CF112" s="52">
        <f t="shared" si="143"/>
        <v>0</v>
      </c>
      <c r="CG112" s="52">
        <f t="shared" si="143"/>
        <v>0</v>
      </c>
      <c r="CH112" s="52">
        <f t="shared" si="143"/>
        <v>0</v>
      </c>
      <c r="CI112" s="52">
        <f t="shared" si="143"/>
        <v>0</v>
      </c>
      <c r="CJ112" s="52">
        <f t="shared" si="143"/>
        <v>0</v>
      </c>
      <c r="CK112" s="52">
        <f t="shared" si="143"/>
        <v>-1</v>
      </c>
      <c r="CL112" s="52">
        <f t="shared" si="143"/>
        <v>1</v>
      </c>
      <c r="CM112" s="52">
        <f t="shared" si="143"/>
        <v>0</v>
      </c>
      <c r="CN112" s="52">
        <f t="shared" si="143"/>
        <v>0</v>
      </c>
      <c r="CO112" s="52">
        <f t="shared" si="143"/>
        <v>0</v>
      </c>
      <c r="CP112" s="52">
        <f t="shared" si="143"/>
        <v>0</v>
      </c>
      <c r="CQ112" s="52">
        <f t="shared" si="130"/>
        <v>0</v>
      </c>
      <c r="CR112" s="52">
        <f t="shared" si="131"/>
        <v>0</v>
      </c>
      <c r="CS112" s="52">
        <f t="shared" si="132"/>
        <v>0</v>
      </c>
      <c r="CT112" s="52">
        <f t="shared" si="133"/>
        <v>1</v>
      </c>
      <c r="CU112" s="52">
        <f t="shared" si="134"/>
        <v>-1</v>
      </c>
      <c r="CV112" s="52">
        <f t="shared" si="135"/>
        <v>1</v>
      </c>
      <c r="CW112" s="52">
        <f t="shared" si="136"/>
        <v>-1</v>
      </c>
    </row>
    <row r="113" spans="1:102">
      <c r="A113" s="60">
        <v>45035</v>
      </c>
      <c r="B113" s="426">
        <v>54633.1</v>
      </c>
      <c r="C113">
        <v>54521.9</v>
      </c>
      <c r="D113">
        <v>54395.7</v>
      </c>
      <c r="E113">
        <v>54631.6</v>
      </c>
      <c r="F113">
        <v>54748.7</v>
      </c>
      <c r="G113">
        <v>54476.800000000003</v>
      </c>
      <c r="H113">
        <v>54904</v>
      </c>
      <c r="I113">
        <v>54943.1</v>
      </c>
      <c r="J113">
        <v>54229.9</v>
      </c>
      <c r="K113">
        <v>54100.4</v>
      </c>
      <c r="L113">
        <v>54133.4</v>
      </c>
      <c r="M113">
        <v>54028.1</v>
      </c>
      <c r="N113">
        <v>54066.7</v>
      </c>
      <c r="O113">
        <v>54086.7</v>
      </c>
      <c r="P113">
        <v>54140.5</v>
      </c>
      <c r="Q113">
        <v>53997.7</v>
      </c>
      <c r="R113">
        <v>53080</v>
      </c>
      <c r="S113">
        <v>53907.7</v>
      </c>
      <c r="T113">
        <v>53556.3</v>
      </c>
      <c r="U113">
        <v>55592.9</v>
      </c>
      <c r="V113">
        <v>67313.600000000006</v>
      </c>
      <c r="W113">
        <v>54623.7</v>
      </c>
      <c r="X113">
        <v>53653.2</v>
      </c>
      <c r="Y113">
        <v>53737.599999999999</v>
      </c>
      <c r="Z113" s="77">
        <v>1315503.2999999998</v>
      </c>
      <c r="AB113" s="52">
        <f t="shared" si="190"/>
        <v>0</v>
      </c>
      <c r="AC113" s="52">
        <f t="shared" si="192"/>
        <v>0</v>
      </c>
      <c r="AD113" s="52">
        <f t="shared" si="193"/>
        <v>0</v>
      </c>
      <c r="AE113" s="52">
        <f t="shared" si="194"/>
        <v>0</v>
      </c>
      <c r="AF113" s="52">
        <f t="shared" si="195"/>
        <v>0</v>
      </c>
      <c r="AG113" s="52">
        <f t="shared" si="196"/>
        <v>0</v>
      </c>
      <c r="AH113" s="52">
        <f t="shared" si="197"/>
        <v>0</v>
      </c>
      <c r="AI113" s="52">
        <f t="shared" si="198"/>
        <v>0</v>
      </c>
      <c r="AJ113" s="52">
        <f t="shared" si="199"/>
        <v>0</v>
      </c>
      <c r="AK113" s="52">
        <f t="shared" si="200"/>
        <v>0</v>
      </c>
      <c r="AL113" s="52">
        <f t="shared" si="201"/>
        <v>0</v>
      </c>
      <c r="AM113" s="52">
        <f t="shared" si="202"/>
        <v>0</v>
      </c>
      <c r="AN113" s="52">
        <f t="shared" si="203"/>
        <v>0</v>
      </c>
      <c r="AO113" s="52">
        <f t="shared" si="204"/>
        <v>0</v>
      </c>
      <c r="AP113" s="52">
        <f t="shared" si="205"/>
        <v>0</v>
      </c>
      <c r="AQ113" s="52">
        <f t="shared" si="206"/>
        <v>0</v>
      </c>
      <c r="AR113" s="52">
        <f t="shared" si="207"/>
        <v>0</v>
      </c>
      <c r="AS113" s="52">
        <f t="shared" si="208"/>
        <v>0</v>
      </c>
      <c r="AT113" s="52">
        <f t="shared" si="209"/>
        <v>0</v>
      </c>
      <c r="AU113" s="52">
        <f t="shared" si="210"/>
        <v>0</v>
      </c>
      <c r="AV113" s="52">
        <f t="shared" si="211"/>
        <v>0</v>
      </c>
      <c r="AW113" s="52">
        <f t="shared" si="212"/>
        <v>0</v>
      </c>
      <c r="AX113" s="52">
        <f t="shared" si="213"/>
        <v>0</v>
      </c>
      <c r="AY113" s="52">
        <f t="shared" si="191"/>
        <v>0</v>
      </c>
      <c r="BA113" s="52">
        <f t="shared" si="142"/>
        <v>7</v>
      </c>
      <c r="BB113" s="52">
        <f t="shared" si="167"/>
        <v>7</v>
      </c>
      <c r="BC113" s="52">
        <f t="shared" si="168"/>
        <v>7</v>
      </c>
      <c r="BD113" s="52">
        <f t="shared" si="169"/>
        <v>7</v>
      </c>
      <c r="BE113" s="52">
        <f t="shared" si="170"/>
        <v>7</v>
      </c>
      <c r="BF113" s="52">
        <f t="shared" si="171"/>
        <v>7</v>
      </c>
      <c r="BG113" s="52">
        <f t="shared" si="172"/>
        <v>7</v>
      </c>
      <c r="BH113" s="52">
        <f t="shared" si="173"/>
        <v>7</v>
      </c>
      <c r="BI113" s="52">
        <f t="shared" si="174"/>
        <v>7</v>
      </c>
      <c r="BJ113" s="52">
        <f t="shared" si="175"/>
        <v>7</v>
      </c>
      <c r="BK113" s="52">
        <f t="shared" si="176"/>
        <v>7</v>
      </c>
      <c r="BL113" s="52">
        <f t="shared" si="177"/>
        <v>7</v>
      </c>
      <c r="BM113" s="52">
        <f t="shared" si="178"/>
        <v>7</v>
      </c>
      <c r="BN113" s="52">
        <f t="shared" si="179"/>
        <v>7</v>
      </c>
      <c r="BO113" s="52">
        <f t="shared" si="180"/>
        <v>7</v>
      </c>
      <c r="BP113" s="52">
        <f t="shared" si="181"/>
        <v>7</v>
      </c>
      <c r="BQ113" s="52">
        <f t="shared" si="182"/>
        <v>7</v>
      </c>
      <c r="BR113" s="52">
        <f t="shared" si="183"/>
        <v>7</v>
      </c>
      <c r="BS113" s="52">
        <f t="shared" si="184"/>
        <v>7</v>
      </c>
      <c r="BT113" s="52">
        <f t="shared" si="185"/>
        <v>7</v>
      </c>
      <c r="BU113" s="52">
        <f t="shared" si="186"/>
        <v>8</v>
      </c>
      <c r="BV113" s="52">
        <f t="shared" si="187"/>
        <v>7</v>
      </c>
      <c r="BW113" s="52">
        <f t="shared" si="188"/>
        <v>7</v>
      </c>
      <c r="BX113" s="52">
        <f t="shared" si="189"/>
        <v>7</v>
      </c>
      <c r="BZ113">
        <f t="shared" si="129"/>
        <v>0</v>
      </c>
      <c r="CA113">
        <f t="shared" si="143"/>
        <v>0</v>
      </c>
      <c r="CB113">
        <f t="shared" si="143"/>
        <v>0</v>
      </c>
      <c r="CC113">
        <f t="shared" si="143"/>
        <v>0</v>
      </c>
      <c r="CD113">
        <f t="shared" si="143"/>
        <v>0</v>
      </c>
      <c r="CE113">
        <f t="shared" si="143"/>
        <v>0</v>
      </c>
      <c r="CF113">
        <f t="shared" si="143"/>
        <v>0</v>
      </c>
      <c r="CG113">
        <f t="shared" si="143"/>
        <v>0</v>
      </c>
      <c r="CH113">
        <f t="shared" si="143"/>
        <v>0</v>
      </c>
      <c r="CI113">
        <f t="shared" si="143"/>
        <v>0</v>
      </c>
      <c r="CJ113">
        <f t="shared" si="143"/>
        <v>0</v>
      </c>
      <c r="CK113">
        <f t="shared" si="143"/>
        <v>0</v>
      </c>
      <c r="CL113">
        <f t="shared" si="143"/>
        <v>0</v>
      </c>
      <c r="CM113">
        <f t="shared" si="143"/>
        <v>0</v>
      </c>
      <c r="CN113">
        <f t="shared" ref="CN113:CP115" si="214">BO113-BN113</f>
        <v>0</v>
      </c>
      <c r="CO113">
        <f t="shared" si="214"/>
        <v>0</v>
      </c>
      <c r="CP113">
        <f t="shared" si="214"/>
        <v>0</v>
      </c>
      <c r="CQ113">
        <f t="shared" si="130"/>
        <v>0</v>
      </c>
      <c r="CR113">
        <f t="shared" si="131"/>
        <v>0</v>
      </c>
      <c r="CS113">
        <f t="shared" si="132"/>
        <v>0</v>
      </c>
      <c r="CT113">
        <f t="shared" si="133"/>
        <v>1</v>
      </c>
      <c r="CU113">
        <f t="shared" si="134"/>
        <v>-1</v>
      </c>
      <c r="CV113">
        <f t="shared" si="135"/>
        <v>0</v>
      </c>
      <c r="CW113">
        <f t="shared" si="136"/>
        <v>0</v>
      </c>
    </row>
    <row r="114" spans="1:102">
      <c r="A114" s="60">
        <v>45036</v>
      </c>
      <c r="B114" s="426">
        <v>53453.5</v>
      </c>
      <c r="C114">
        <v>53368.9</v>
      </c>
      <c r="D114">
        <v>53478.8</v>
      </c>
      <c r="E114">
        <v>53411.1</v>
      </c>
      <c r="F114">
        <v>53565.5</v>
      </c>
      <c r="G114">
        <v>53557.2</v>
      </c>
      <c r="H114">
        <v>53264.1</v>
      </c>
      <c r="I114">
        <v>53314.5</v>
      </c>
      <c r="J114">
        <v>54552.2</v>
      </c>
      <c r="K114">
        <v>53489.5</v>
      </c>
      <c r="L114">
        <v>53456.1</v>
      </c>
      <c r="M114">
        <v>53330.1</v>
      </c>
      <c r="N114">
        <v>53697.599999999999</v>
      </c>
      <c r="O114">
        <v>53530.400000000001</v>
      </c>
      <c r="P114">
        <v>53588.2</v>
      </c>
      <c r="Q114">
        <v>54752.1</v>
      </c>
      <c r="R114">
        <v>54998.6</v>
      </c>
      <c r="S114">
        <v>54739.5</v>
      </c>
      <c r="T114">
        <v>54431</v>
      </c>
      <c r="U114">
        <v>54483.3</v>
      </c>
      <c r="V114">
        <v>64454.6</v>
      </c>
      <c r="W114">
        <v>55118.9</v>
      </c>
      <c r="X114">
        <v>57472.1</v>
      </c>
      <c r="Y114">
        <v>66785.100000000006</v>
      </c>
      <c r="Z114" s="77">
        <v>1320292.9000000001</v>
      </c>
      <c r="AB114">
        <f t="shared" si="190"/>
        <v>0</v>
      </c>
      <c r="AC114">
        <f t="shared" si="192"/>
        <v>0</v>
      </c>
      <c r="AD114">
        <f t="shared" si="193"/>
        <v>0</v>
      </c>
      <c r="AE114">
        <f t="shared" si="194"/>
        <v>0</v>
      </c>
      <c r="AF114">
        <f t="shared" si="195"/>
        <v>0</v>
      </c>
      <c r="AG114">
        <f t="shared" si="196"/>
        <v>0</v>
      </c>
      <c r="AH114">
        <f t="shared" si="197"/>
        <v>0</v>
      </c>
      <c r="AI114">
        <f t="shared" si="198"/>
        <v>0</v>
      </c>
      <c r="AJ114">
        <f t="shared" si="199"/>
        <v>0</v>
      </c>
      <c r="AK114">
        <f t="shared" si="200"/>
        <v>0</v>
      </c>
      <c r="AL114">
        <f t="shared" si="201"/>
        <v>0</v>
      </c>
      <c r="AM114">
        <f t="shared" si="202"/>
        <v>0</v>
      </c>
      <c r="AN114">
        <f t="shared" si="203"/>
        <v>0</v>
      </c>
      <c r="AO114">
        <f t="shared" si="204"/>
        <v>0</v>
      </c>
      <c r="AP114">
        <f t="shared" si="205"/>
        <v>0</v>
      </c>
      <c r="AQ114">
        <f t="shared" si="206"/>
        <v>0</v>
      </c>
      <c r="AR114">
        <f t="shared" si="207"/>
        <v>0</v>
      </c>
      <c r="AS114">
        <f t="shared" si="208"/>
        <v>0</v>
      </c>
      <c r="AT114">
        <f t="shared" si="209"/>
        <v>0</v>
      </c>
      <c r="AU114">
        <f t="shared" si="210"/>
        <v>0</v>
      </c>
      <c r="AV114">
        <f t="shared" si="211"/>
        <v>0</v>
      </c>
      <c r="AW114">
        <f t="shared" si="212"/>
        <v>0</v>
      </c>
      <c r="AX114">
        <f t="shared" si="213"/>
        <v>0</v>
      </c>
      <c r="AY114">
        <f t="shared" si="191"/>
        <v>0</v>
      </c>
      <c r="BA114">
        <f t="shared" si="142"/>
        <v>7</v>
      </c>
      <c r="BB114">
        <f t="shared" si="167"/>
        <v>7</v>
      </c>
      <c r="BC114">
        <f t="shared" si="168"/>
        <v>7</v>
      </c>
      <c r="BD114">
        <f t="shared" si="169"/>
        <v>7</v>
      </c>
      <c r="BE114">
        <f t="shared" si="170"/>
        <v>7</v>
      </c>
      <c r="BF114">
        <f t="shared" si="171"/>
        <v>7</v>
      </c>
      <c r="BG114">
        <f t="shared" si="172"/>
        <v>7</v>
      </c>
      <c r="BH114">
        <f t="shared" si="173"/>
        <v>7</v>
      </c>
      <c r="BI114">
        <f t="shared" si="174"/>
        <v>7</v>
      </c>
      <c r="BJ114">
        <f t="shared" si="175"/>
        <v>7</v>
      </c>
      <c r="BK114">
        <f t="shared" si="176"/>
        <v>7</v>
      </c>
      <c r="BL114">
        <f t="shared" si="177"/>
        <v>7</v>
      </c>
      <c r="BM114">
        <f t="shared" si="178"/>
        <v>7</v>
      </c>
      <c r="BN114">
        <f t="shared" si="179"/>
        <v>7</v>
      </c>
      <c r="BO114">
        <f t="shared" si="180"/>
        <v>7</v>
      </c>
      <c r="BP114">
        <f t="shared" si="181"/>
        <v>7</v>
      </c>
      <c r="BQ114">
        <f t="shared" si="182"/>
        <v>7</v>
      </c>
      <c r="BR114">
        <f t="shared" si="183"/>
        <v>7</v>
      </c>
      <c r="BS114">
        <f t="shared" si="184"/>
        <v>7</v>
      </c>
      <c r="BT114">
        <f t="shared" si="185"/>
        <v>7</v>
      </c>
      <c r="BU114">
        <f t="shared" si="186"/>
        <v>8</v>
      </c>
      <c r="BV114">
        <f t="shared" si="187"/>
        <v>7</v>
      </c>
      <c r="BW114">
        <f t="shared" si="188"/>
        <v>7</v>
      </c>
      <c r="BX114">
        <f t="shared" si="189"/>
        <v>8</v>
      </c>
      <c r="BZ114" s="52">
        <f t="shared" si="129"/>
        <v>0</v>
      </c>
      <c r="CA114" s="52">
        <f t="shared" ref="CA114:CP131" si="215">BB114-BA114</f>
        <v>0</v>
      </c>
      <c r="CB114" s="52">
        <f t="shared" ref="CB114:CM115" si="216">BC114-BB114</f>
        <v>0</v>
      </c>
      <c r="CC114" s="52">
        <f t="shared" si="216"/>
        <v>0</v>
      </c>
      <c r="CD114" s="52">
        <f t="shared" si="216"/>
        <v>0</v>
      </c>
      <c r="CE114" s="52">
        <f t="shared" si="216"/>
        <v>0</v>
      </c>
      <c r="CF114" s="52">
        <f t="shared" si="216"/>
        <v>0</v>
      </c>
      <c r="CG114" s="52">
        <f t="shared" si="216"/>
        <v>0</v>
      </c>
      <c r="CH114" s="52">
        <f t="shared" si="216"/>
        <v>0</v>
      </c>
      <c r="CI114" s="52">
        <f t="shared" si="216"/>
        <v>0</v>
      </c>
      <c r="CJ114" s="52">
        <f t="shared" si="216"/>
        <v>0</v>
      </c>
      <c r="CK114" s="52">
        <f t="shared" si="216"/>
        <v>0</v>
      </c>
      <c r="CL114" s="52">
        <f t="shared" si="216"/>
        <v>0</v>
      </c>
      <c r="CM114" s="52">
        <f t="shared" si="216"/>
        <v>0</v>
      </c>
      <c r="CN114" s="52">
        <f t="shared" si="214"/>
        <v>0</v>
      </c>
      <c r="CO114" s="52">
        <f t="shared" si="214"/>
        <v>0</v>
      </c>
      <c r="CP114" s="52">
        <f t="shared" si="214"/>
        <v>0</v>
      </c>
      <c r="CQ114" s="52">
        <f t="shared" si="130"/>
        <v>0</v>
      </c>
      <c r="CR114" s="52">
        <f t="shared" si="131"/>
        <v>0</v>
      </c>
      <c r="CS114" s="52">
        <f t="shared" si="132"/>
        <v>0</v>
      </c>
      <c r="CT114" s="52">
        <f t="shared" si="133"/>
        <v>1</v>
      </c>
      <c r="CU114" s="52">
        <f t="shared" si="134"/>
        <v>-1</v>
      </c>
      <c r="CV114" s="52">
        <f t="shared" si="135"/>
        <v>0</v>
      </c>
      <c r="CW114" s="52">
        <f t="shared" si="136"/>
        <v>1</v>
      </c>
    </row>
    <row r="115" spans="1:102">
      <c r="A115" s="60">
        <v>45037</v>
      </c>
      <c r="B115" s="426">
        <v>52777.9</v>
      </c>
      <c r="C115">
        <v>52809.9</v>
      </c>
      <c r="D115">
        <v>52790.1</v>
      </c>
      <c r="E115">
        <v>52389.9</v>
      </c>
      <c r="F115">
        <v>52716.4</v>
      </c>
      <c r="G115">
        <v>52617.7</v>
      </c>
      <c r="H115">
        <v>54011</v>
      </c>
      <c r="I115">
        <v>54498.1</v>
      </c>
      <c r="J115">
        <v>54750.2</v>
      </c>
      <c r="K115">
        <v>54267.1</v>
      </c>
      <c r="L115">
        <v>54272.2</v>
      </c>
      <c r="M115">
        <v>54433.3</v>
      </c>
      <c r="N115">
        <v>55053</v>
      </c>
      <c r="O115">
        <v>55194.6</v>
      </c>
      <c r="P115">
        <v>54878.2</v>
      </c>
      <c r="Q115">
        <v>54837.599999999999</v>
      </c>
      <c r="R115">
        <v>54718.400000000001</v>
      </c>
      <c r="S115">
        <v>54932.4</v>
      </c>
      <c r="T115">
        <v>54531.1</v>
      </c>
      <c r="U115">
        <v>54418.1</v>
      </c>
      <c r="V115">
        <v>67561.100000000006</v>
      </c>
      <c r="W115">
        <v>55376.6</v>
      </c>
      <c r="X115">
        <v>53654.7</v>
      </c>
      <c r="Y115">
        <v>53538.7</v>
      </c>
      <c r="Z115" s="77">
        <v>1311028.3</v>
      </c>
      <c r="AB115" s="52">
        <f t="shared" si="190"/>
        <v>0</v>
      </c>
      <c r="AC115" s="52">
        <f t="shared" si="192"/>
        <v>0</v>
      </c>
      <c r="AD115" s="52">
        <f t="shared" si="193"/>
        <v>0</v>
      </c>
      <c r="AE115" s="52">
        <f t="shared" si="194"/>
        <v>0</v>
      </c>
      <c r="AF115" s="52">
        <f t="shared" si="195"/>
        <v>0</v>
      </c>
      <c r="AG115" s="52">
        <f t="shared" si="196"/>
        <v>0</v>
      </c>
      <c r="AH115" s="52">
        <f t="shared" si="197"/>
        <v>0</v>
      </c>
      <c r="AI115" s="52">
        <f t="shared" si="198"/>
        <v>0</v>
      </c>
      <c r="AJ115" s="52">
        <f t="shared" si="199"/>
        <v>0</v>
      </c>
      <c r="AK115" s="52">
        <f t="shared" si="200"/>
        <v>0</v>
      </c>
      <c r="AL115" s="52">
        <f t="shared" si="201"/>
        <v>0</v>
      </c>
      <c r="AM115" s="52">
        <f t="shared" si="202"/>
        <v>0</v>
      </c>
      <c r="AN115" s="52">
        <f t="shared" si="203"/>
        <v>0</v>
      </c>
      <c r="AO115" s="52">
        <f t="shared" si="204"/>
        <v>0</v>
      </c>
      <c r="AP115" s="52">
        <f t="shared" si="205"/>
        <v>0</v>
      </c>
      <c r="AQ115" s="52">
        <f t="shared" si="206"/>
        <v>0</v>
      </c>
      <c r="AR115" s="52">
        <f t="shared" si="207"/>
        <v>0</v>
      </c>
      <c r="AS115" s="52">
        <f t="shared" si="208"/>
        <v>0</v>
      </c>
      <c r="AT115" s="52">
        <f t="shared" si="209"/>
        <v>0</v>
      </c>
      <c r="AU115" s="52">
        <f t="shared" si="210"/>
        <v>0</v>
      </c>
      <c r="AV115" s="52">
        <f t="shared" si="211"/>
        <v>0</v>
      </c>
      <c r="AW115" s="52">
        <f t="shared" si="212"/>
        <v>0</v>
      </c>
      <c r="AX115" s="52">
        <f t="shared" si="213"/>
        <v>0</v>
      </c>
      <c r="AY115" s="52">
        <f t="shared" si="191"/>
        <v>0</v>
      </c>
      <c r="BA115" s="52">
        <f t="shared" si="142"/>
        <v>6</v>
      </c>
      <c r="BB115" s="52">
        <f t="shared" si="167"/>
        <v>7</v>
      </c>
      <c r="BC115" s="52">
        <f t="shared" si="168"/>
        <v>6</v>
      </c>
      <c r="BD115" s="52">
        <f t="shared" si="169"/>
        <v>6</v>
      </c>
      <c r="BE115" s="52">
        <f t="shared" si="170"/>
        <v>6</v>
      </c>
      <c r="BF115" s="52">
        <f t="shared" si="171"/>
        <v>6</v>
      </c>
      <c r="BG115" s="52">
        <f t="shared" si="172"/>
        <v>7</v>
      </c>
      <c r="BH115" s="52">
        <f t="shared" si="173"/>
        <v>7</v>
      </c>
      <c r="BI115" s="52">
        <f t="shared" si="174"/>
        <v>7</v>
      </c>
      <c r="BJ115" s="52">
        <f t="shared" si="175"/>
        <v>7</v>
      </c>
      <c r="BK115" s="52">
        <f t="shared" si="176"/>
        <v>7</v>
      </c>
      <c r="BL115" s="52">
        <f t="shared" si="177"/>
        <v>7</v>
      </c>
      <c r="BM115" s="52">
        <f t="shared" si="178"/>
        <v>7</v>
      </c>
      <c r="BN115" s="52">
        <f t="shared" si="179"/>
        <v>7</v>
      </c>
      <c r="BO115" s="52">
        <f t="shared" si="180"/>
        <v>7</v>
      </c>
      <c r="BP115" s="52">
        <f t="shared" si="181"/>
        <v>7</v>
      </c>
      <c r="BQ115" s="52">
        <f t="shared" si="182"/>
        <v>7</v>
      </c>
      <c r="BR115" s="52">
        <f t="shared" si="183"/>
        <v>7</v>
      </c>
      <c r="BS115" s="52">
        <f t="shared" si="184"/>
        <v>7</v>
      </c>
      <c r="BT115" s="52">
        <f t="shared" si="185"/>
        <v>7</v>
      </c>
      <c r="BU115" s="52">
        <f t="shared" si="186"/>
        <v>8</v>
      </c>
      <c r="BV115" s="52">
        <f t="shared" si="187"/>
        <v>7</v>
      </c>
      <c r="BW115" s="52">
        <f t="shared" si="188"/>
        <v>7</v>
      </c>
      <c r="BX115" s="52">
        <f t="shared" si="189"/>
        <v>7</v>
      </c>
      <c r="BZ115">
        <f t="shared" si="129"/>
        <v>-2</v>
      </c>
      <c r="CA115">
        <f t="shared" si="215"/>
        <v>1</v>
      </c>
      <c r="CB115">
        <f t="shared" si="216"/>
        <v>-1</v>
      </c>
      <c r="CC115">
        <f t="shared" si="216"/>
        <v>0</v>
      </c>
      <c r="CD115">
        <f t="shared" si="216"/>
        <v>0</v>
      </c>
      <c r="CE115">
        <f t="shared" si="216"/>
        <v>0</v>
      </c>
      <c r="CF115">
        <f t="shared" si="216"/>
        <v>1</v>
      </c>
      <c r="CG115">
        <f t="shared" si="216"/>
        <v>0</v>
      </c>
      <c r="CH115">
        <f t="shared" si="216"/>
        <v>0</v>
      </c>
      <c r="CI115">
        <f t="shared" si="216"/>
        <v>0</v>
      </c>
      <c r="CJ115">
        <f t="shared" si="216"/>
        <v>0</v>
      </c>
      <c r="CK115">
        <f t="shared" si="216"/>
        <v>0</v>
      </c>
      <c r="CL115">
        <f t="shared" si="216"/>
        <v>0</v>
      </c>
      <c r="CM115">
        <f t="shared" si="216"/>
        <v>0</v>
      </c>
      <c r="CN115">
        <f t="shared" si="214"/>
        <v>0</v>
      </c>
      <c r="CO115">
        <f t="shared" si="214"/>
        <v>0</v>
      </c>
      <c r="CP115">
        <f t="shared" si="214"/>
        <v>0</v>
      </c>
      <c r="CQ115">
        <f t="shared" si="130"/>
        <v>0</v>
      </c>
      <c r="CR115">
        <f t="shared" si="131"/>
        <v>0</v>
      </c>
      <c r="CS115">
        <f t="shared" si="132"/>
        <v>0</v>
      </c>
      <c r="CT115">
        <f t="shared" si="133"/>
        <v>1</v>
      </c>
      <c r="CU115">
        <f t="shared" si="134"/>
        <v>-1</v>
      </c>
      <c r="CV115">
        <f t="shared" si="135"/>
        <v>0</v>
      </c>
      <c r="CW115">
        <f t="shared" si="136"/>
        <v>0</v>
      </c>
    </row>
    <row r="116" spans="1:102">
      <c r="A116" s="60">
        <v>45038</v>
      </c>
      <c r="B116" s="426">
        <v>53374.8</v>
      </c>
      <c r="C116">
        <v>53553.3</v>
      </c>
      <c r="D116">
        <v>53609.1</v>
      </c>
      <c r="E116">
        <v>53636.800000000003</v>
      </c>
      <c r="F116">
        <v>53728</v>
      </c>
      <c r="G116">
        <v>53585.2</v>
      </c>
      <c r="H116">
        <v>52870.1</v>
      </c>
      <c r="I116">
        <v>53332.2</v>
      </c>
      <c r="J116">
        <v>54707.199999999997</v>
      </c>
      <c r="K116">
        <v>54735.1</v>
      </c>
      <c r="L116">
        <v>54529.8</v>
      </c>
      <c r="M116">
        <v>54310</v>
      </c>
      <c r="N116">
        <v>54725.1</v>
      </c>
      <c r="O116">
        <v>54070.9</v>
      </c>
      <c r="P116">
        <v>54149.7</v>
      </c>
      <c r="Q116">
        <v>53946.6</v>
      </c>
      <c r="R116">
        <v>54065.4</v>
      </c>
      <c r="S116">
        <v>52096.5</v>
      </c>
      <c r="T116">
        <v>54123.3</v>
      </c>
      <c r="U116">
        <v>63025.2</v>
      </c>
      <c r="V116">
        <v>66291.199999999997</v>
      </c>
      <c r="W116">
        <v>55481.9</v>
      </c>
      <c r="X116">
        <v>54468.800000000003</v>
      </c>
      <c r="Y116">
        <v>54502.7</v>
      </c>
      <c r="Z116" s="77">
        <v>1316918.8999999999</v>
      </c>
      <c r="AB116">
        <f t="shared" si="190"/>
        <v>0</v>
      </c>
      <c r="AC116">
        <f t="shared" si="192"/>
        <v>0</v>
      </c>
      <c r="AD116">
        <f t="shared" si="193"/>
        <v>0</v>
      </c>
      <c r="AE116">
        <f t="shared" si="194"/>
        <v>0</v>
      </c>
      <c r="AF116">
        <f t="shared" si="195"/>
        <v>0</v>
      </c>
      <c r="AG116">
        <f t="shared" si="196"/>
        <v>0</v>
      </c>
      <c r="AH116">
        <f t="shared" si="197"/>
        <v>0</v>
      </c>
      <c r="AI116">
        <f t="shared" si="198"/>
        <v>0</v>
      </c>
      <c r="AJ116">
        <f t="shared" si="199"/>
        <v>0</v>
      </c>
      <c r="AK116">
        <f t="shared" si="200"/>
        <v>0</v>
      </c>
      <c r="AL116">
        <f t="shared" si="201"/>
        <v>0</v>
      </c>
      <c r="AM116">
        <f t="shared" si="202"/>
        <v>0</v>
      </c>
      <c r="AN116">
        <f t="shared" si="203"/>
        <v>0</v>
      </c>
      <c r="AO116">
        <f t="shared" si="204"/>
        <v>0</v>
      </c>
      <c r="AP116">
        <f t="shared" si="205"/>
        <v>0</v>
      </c>
      <c r="AQ116">
        <f t="shared" si="206"/>
        <v>0</v>
      </c>
      <c r="AR116">
        <f t="shared" si="207"/>
        <v>0</v>
      </c>
      <c r="AS116">
        <f t="shared" si="208"/>
        <v>0</v>
      </c>
      <c r="AT116">
        <f t="shared" si="209"/>
        <v>0</v>
      </c>
      <c r="AU116">
        <f t="shared" si="210"/>
        <v>0</v>
      </c>
      <c r="AV116">
        <f t="shared" si="211"/>
        <v>0</v>
      </c>
      <c r="AW116">
        <f t="shared" si="212"/>
        <v>0</v>
      </c>
      <c r="AX116">
        <f t="shared" si="213"/>
        <v>0</v>
      </c>
      <c r="AY116">
        <f t="shared" si="191"/>
        <v>0</v>
      </c>
      <c r="BA116">
        <f t="shared" si="142"/>
        <v>7</v>
      </c>
      <c r="BB116">
        <f t="shared" si="167"/>
        <v>7</v>
      </c>
      <c r="BC116">
        <f t="shared" si="168"/>
        <v>7</v>
      </c>
      <c r="BD116">
        <f t="shared" si="169"/>
        <v>7</v>
      </c>
      <c r="BE116">
        <f t="shared" si="170"/>
        <v>7</v>
      </c>
      <c r="BF116">
        <f t="shared" si="171"/>
        <v>7</v>
      </c>
      <c r="BG116">
        <f t="shared" si="172"/>
        <v>7</v>
      </c>
      <c r="BH116">
        <f t="shared" si="173"/>
        <v>7</v>
      </c>
      <c r="BI116">
        <f t="shared" si="174"/>
        <v>7</v>
      </c>
      <c r="BJ116">
        <f t="shared" si="175"/>
        <v>7</v>
      </c>
      <c r="BK116">
        <f t="shared" si="176"/>
        <v>7</v>
      </c>
      <c r="BL116">
        <f t="shared" si="177"/>
        <v>7</v>
      </c>
      <c r="BM116">
        <f t="shared" si="178"/>
        <v>7</v>
      </c>
      <c r="BN116">
        <f t="shared" si="179"/>
        <v>7</v>
      </c>
      <c r="BO116">
        <f t="shared" si="180"/>
        <v>7</v>
      </c>
      <c r="BP116">
        <f t="shared" si="181"/>
        <v>7</v>
      </c>
      <c r="BQ116">
        <f t="shared" si="182"/>
        <v>7</v>
      </c>
      <c r="BR116">
        <f t="shared" si="183"/>
        <v>6</v>
      </c>
      <c r="BS116">
        <f t="shared" si="184"/>
        <v>7</v>
      </c>
      <c r="BT116">
        <f t="shared" si="185"/>
        <v>8</v>
      </c>
      <c r="BU116">
        <f t="shared" si="186"/>
        <v>8</v>
      </c>
      <c r="BV116">
        <f t="shared" si="187"/>
        <v>7</v>
      </c>
      <c r="BW116">
        <f t="shared" si="188"/>
        <v>7</v>
      </c>
      <c r="BX116">
        <f t="shared" si="189"/>
        <v>7</v>
      </c>
      <c r="BZ116" s="52">
        <f t="shared" si="129"/>
        <v>0</v>
      </c>
      <c r="CA116" s="52">
        <f t="shared" si="215"/>
        <v>0</v>
      </c>
      <c r="CB116" s="52">
        <f t="shared" si="215"/>
        <v>0</v>
      </c>
      <c r="CC116" s="52">
        <f t="shared" si="215"/>
        <v>0</v>
      </c>
      <c r="CD116" s="52">
        <f t="shared" si="215"/>
        <v>0</v>
      </c>
      <c r="CE116" s="52">
        <f t="shared" si="215"/>
        <v>0</v>
      </c>
      <c r="CF116" s="52">
        <f t="shared" si="215"/>
        <v>0</v>
      </c>
      <c r="CG116" s="52">
        <f t="shared" si="215"/>
        <v>0</v>
      </c>
      <c r="CH116" s="52">
        <f t="shared" si="215"/>
        <v>0</v>
      </c>
      <c r="CI116" s="52">
        <f t="shared" si="215"/>
        <v>0</v>
      </c>
      <c r="CJ116" s="52">
        <f t="shared" si="215"/>
        <v>0</v>
      </c>
      <c r="CK116" s="52">
        <f t="shared" si="215"/>
        <v>0</v>
      </c>
      <c r="CL116" s="52">
        <f t="shared" si="215"/>
        <v>0</v>
      </c>
      <c r="CM116" s="52">
        <f t="shared" si="215"/>
        <v>0</v>
      </c>
      <c r="CN116" s="52">
        <f t="shared" si="215"/>
        <v>0</v>
      </c>
      <c r="CO116" s="52">
        <f t="shared" si="215"/>
        <v>0</v>
      </c>
      <c r="CP116" s="52">
        <f t="shared" si="215"/>
        <v>0</v>
      </c>
      <c r="CQ116" s="52">
        <f t="shared" si="130"/>
        <v>-1</v>
      </c>
      <c r="CR116" s="52">
        <f t="shared" si="131"/>
        <v>1</v>
      </c>
      <c r="CS116" s="52">
        <f t="shared" si="132"/>
        <v>1</v>
      </c>
      <c r="CT116" s="52">
        <f t="shared" si="133"/>
        <v>0</v>
      </c>
      <c r="CU116" s="52">
        <f t="shared" si="134"/>
        <v>-1</v>
      </c>
      <c r="CV116" s="52">
        <f t="shared" si="135"/>
        <v>0</v>
      </c>
      <c r="CW116" s="52">
        <f t="shared" si="136"/>
        <v>0</v>
      </c>
    </row>
    <row r="117" spans="1:102">
      <c r="A117" s="60">
        <v>45039</v>
      </c>
      <c r="B117" s="426">
        <v>54371.7</v>
      </c>
      <c r="C117">
        <v>54440.2</v>
      </c>
      <c r="D117">
        <v>54348.3</v>
      </c>
      <c r="E117">
        <v>53074.9</v>
      </c>
      <c r="F117">
        <v>52944.800000000003</v>
      </c>
      <c r="G117">
        <v>52837.599999999999</v>
      </c>
      <c r="H117">
        <v>52991.6</v>
      </c>
      <c r="I117">
        <v>52576.7</v>
      </c>
      <c r="J117">
        <v>52217.2</v>
      </c>
      <c r="K117">
        <v>53121.5</v>
      </c>
      <c r="L117">
        <v>53043</v>
      </c>
      <c r="M117">
        <v>53108.2</v>
      </c>
      <c r="N117">
        <v>53116.2</v>
      </c>
      <c r="O117">
        <v>52971</v>
      </c>
      <c r="P117">
        <v>53099.199999999997</v>
      </c>
      <c r="Q117">
        <v>53070.1</v>
      </c>
      <c r="R117">
        <v>53044.3</v>
      </c>
      <c r="S117">
        <v>53074</v>
      </c>
      <c r="T117">
        <v>53257.2</v>
      </c>
      <c r="U117">
        <v>55298.7</v>
      </c>
      <c r="V117">
        <v>67464.800000000003</v>
      </c>
      <c r="W117">
        <v>55587.7</v>
      </c>
      <c r="X117">
        <v>53878</v>
      </c>
      <c r="Y117">
        <v>53824.2</v>
      </c>
      <c r="Z117" s="77">
        <v>1296761.0999999999</v>
      </c>
      <c r="AB117" s="52">
        <f t="shared" si="190"/>
        <v>0</v>
      </c>
      <c r="AC117" s="52">
        <f t="shared" si="192"/>
        <v>0</v>
      </c>
      <c r="AD117" s="52">
        <f t="shared" si="193"/>
        <v>0</v>
      </c>
      <c r="AE117" s="52">
        <f t="shared" si="194"/>
        <v>0</v>
      </c>
      <c r="AF117" s="52">
        <f t="shared" si="195"/>
        <v>0</v>
      </c>
      <c r="AG117" s="52">
        <f t="shared" si="196"/>
        <v>0</v>
      </c>
      <c r="AH117" s="52">
        <f t="shared" si="197"/>
        <v>0</v>
      </c>
      <c r="AI117" s="52">
        <f t="shared" si="198"/>
        <v>0</v>
      </c>
      <c r="AJ117" s="52">
        <f t="shared" si="199"/>
        <v>0</v>
      </c>
      <c r="AK117" s="52">
        <f t="shared" si="200"/>
        <v>0</v>
      </c>
      <c r="AL117" s="52">
        <f t="shared" si="201"/>
        <v>0</v>
      </c>
      <c r="AM117" s="52">
        <f t="shared" si="202"/>
        <v>0</v>
      </c>
      <c r="AN117" s="52">
        <f t="shared" si="203"/>
        <v>0</v>
      </c>
      <c r="AO117" s="52">
        <f t="shared" si="204"/>
        <v>0</v>
      </c>
      <c r="AP117" s="52">
        <f t="shared" si="205"/>
        <v>0</v>
      </c>
      <c r="AQ117" s="52">
        <f t="shared" si="206"/>
        <v>0</v>
      </c>
      <c r="AR117" s="52">
        <f t="shared" si="207"/>
        <v>0</v>
      </c>
      <c r="AS117" s="52">
        <f t="shared" si="208"/>
        <v>0</v>
      </c>
      <c r="AT117" s="52">
        <f t="shared" si="209"/>
        <v>0</v>
      </c>
      <c r="AU117" s="52">
        <f t="shared" si="210"/>
        <v>0</v>
      </c>
      <c r="AV117" s="52">
        <f t="shared" si="211"/>
        <v>0</v>
      </c>
      <c r="AW117" s="52">
        <f t="shared" si="212"/>
        <v>0</v>
      </c>
      <c r="AX117" s="52">
        <f t="shared" si="213"/>
        <v>0</v>
      </c>
      <c r="AY117" s="52">
        <f t="shared" si="191"/>
        <v>0</v>
      </c>
      <c r="BA117" s="52">
        <f t="shared" si="142"/>
        <v>7</v>
      </c>
      <c r="BB117" s="52">
        <f t="shared" si="167"/>
        <v>7</v>
      </c>
      <c r="BC117" s="52">
        <f t="shared" si="168"/>
        <v>7</v>
      </c>
      <c r="BD117" s="52">
        <f t="shared" si="169"/>
        <v>7</v>
      </c>
      <c r="BE117" s="52">
        <f t="shared" si="170"/>
        <v>7</v>
      </c>
      <c r="BF117" s="52">
        <f t="shared" si="171"/>
        <v>7</v>
      </c>
      <c r="BG117" s="52">
        <f t="shared" si="172"/>
        <v>7</v>
      </c>
      <c r="BH117" s="52">
        <f t="shared" si="173"/>
        <v>6</v>
      </c>
      <c r="BI117" s="52">
        <f t="shared" si="174"/>
        <v>6</v>
      </c>
      <c r="BJ117" s="52">
        <f t="shared" si="175"/>
        <v>7</v>
      </c>
      <c r="BK117" s="52">
        <f t="shared" si="176"/>
        <v>7</v>
      </c>
      <c r="BL117" s="52">
        <f t="shared" si="177"/>
        <v>7</v>
      </c>
      <c r="BM117" s="52">
        <f t="shared" si="178"/>
        <v>7</v>
      </c>
      <c r="BN117" s="52">
        <f t="shared" si="179"/>
        <v>7</v>
      </c>
      <c r="BO117" s="52">
        <f t="shared" si="180"/>
        <v>7</v>
      </c>
      <c r="BP117" s="52">
        <f t="shared" si="181"/>
        <v>7</v>
      </c>
      <c r="BQ117" s="52">
        <f t="shared" si="182"/>
        <v>7</v>
      </c>
      <c r="BR117" s="52">
        <f t="shared" si="183"/>
        <v>7</v>
      </c>
      <c r="BS117" s="52">
        <f t="shared" si="184"/>
        <v>7</v>
      </c>
      <c r="BT117" s="52">
        <f t="shared" si="185"/>
        <v>7</v>
      </c>
      <c r="BU117" s="52">
        <f t="shared" si="186"/>
        <v>8</v>
      </c>
      <c r="BV117" s="52">
        <f t="shared" si="187"/>
        <v>7</v>
      </c>
      <c r="BW117" s="52">
        <f t="shared" si="188"/>
        <v>7</v>
      </c>
      <c r="BX117" s="52">
        <f t="shared" si="189"/>
        <v>7</v>
      </c>
      <c r="BZ117">
        <f t="shared" si="129"/>
        <v>0</v>
      </c>
      <c r="CA117">
        <f t="shared" si="215"/>
        <v>0</v>
      </c>
      <c r="CB117">
        <f t="shared" si="215"/>
        <v>0</v>
      </c>
      <c r="CC117">
        <f t="shared" si="215"/>
        <v>0</v>
      </c>
      <c r="CD117">
        <f t="shared" si="215"/>
        <v>0</v>
      </c>
      <c r="CE117">
        <f t="shared" si="215"/>
        <v>0</v>
      </c>
      <c r="CF117">
        <f t="shared" si="215"/>
        <v>0</v>
      </c>
      <c r="CG117">
        <f t="shared" si="215"/>
        <v>-1</v>
      </c>
      <c r="CH117">
        <f t="shared" si="215"/>
        <v>0</v>
      </c>
      <c r="CI117">
        <f t="shared" si="215"/>
        <v>1</v>
      </c>
      <c r="CJ117">
        <f t="shared" si="215"/>
        <v>0</v>
      </c>
      <c r="CK117">
        <f t="shared" si="215"/>
        <v>0</v>
      </c>
      <c r="CL117">
        <f t="shared" si="215"/>
        <v>0</v>
      </c>
      <c r="CM117">
        <f t="shared" si="215"/>
        <v>0</v>
      </c>
      <c r="CN117">
        <f t="shared" si="215"/>
        <v>0</v>
      </c>
      <c r="CO117">
        <f t="shared" si="215"/>
        <v>0</v>
      </c>
      <c r="CP117">
        <f t="shared" si="215"/>
        <v>0</v>
      </c>
      <c r="CQ117">
        <f t="shared" si="130"/>
        <v>0</v>
      </c>
      <c r="CR117">
        <f t="shared" si="131"/>
        <v>0</v>
      </c>
      <c r="CS117">
        <f t="shared" si="132"/>
        <v>0</v>
      </c>
      <c r="CT117">
        <f t="shared" si="133"/>
        <v>1</v>
      </c>
      <c r="CU117">
        <f t="shared" si="134"/>
        <v>-1</v>
      </c>
      <c r="CV117">
        <f t="shared" si="135"/>
        <v>0</v>
      </c>
      <c r="CW117">
        <f t="shared" si="136"/>
        <v>0</v>
      </c>
    </row>
    <row r="118" spans="1:102">
      <c r="A118" s="60">
        <v>45040</v>
      </c>
      <c r="B118" s="426">
        <v>44469.7</v>
      </c>
      <c r="C118">
        <v>44857.7</v>
      </c>
      <c r="D118">
        <v>45002.2</v>
      </c>
      <c r="E118">
        <v>45584.2</v>
      </c>
      <c r="F118">
        <v>44886.6</v>
      </c>
      <c r="G118">
        <v>44329.599999999999</v>
      </c>
      <c r="H118">
        <v>44219.4</v>
      </c>
      <c r="I118">
        <v>43571.8</v>
      </c>
      <c r="J118">
        <v>43979</v>
      </c>
      <c r="K118">
        <v>43968</v>
      </c>
      <c r="L118">
        <v>44034.7</v>
      </c>
      <c r="M118">
        <v>44085.7</v>
      </c>
      <c r="N118">
        <v>44624.9</v>
      </c>
      <c r="O118">
        <v>58951.3</v>
      </c>
      <c r="P118">
        <v>60286.400000000001</v>
      </c>
      <c r="Q118">
        <v>60490.6</v>
      </c>
      <c r="R118">
        <v>60493.2</v>
      </c>
      <c r="S118">
        <v>44503.4</v>
      </c>
      <c r="T118">
        <v>60863.199999999997</v>
      </c>
      <c r="U118">
        <v>60710</v>
      </c>
      <c r="V118">
        <v>60396.7</v>
      </c>
      <c r="W118">
        <v>60228.800000000003</v>
      </c>
      <c r="X118">
        <v>60073.2</v>
      </c>
      <c r="Y118">
        <v>54038.1</v>
      </c>
      <c r="Z118" s="77">
        <v>1218648.3999999999</v>
      </c>
      <c r="AB118">
        <f t="shared" si="190"/>
        <v>0</v>
      </c>
      <c r="AC118">
        <f t="shared" si="192"/>
        <v>0</v>
      </c>
      <c r="AD118">
        <f t="shared" si="193"/>
        <v>0</v>
      </c>
      <c r="AE118">
        <f t="shared" si="194"/>
        <v>0</v>
      </c>
      <c r="AF118">
        <f t="shared" si="195"/>
        <v>0</v>
      </c>
      <c r="AG118">
        <f t="shared" si="196"/>
        <v>0</v>
      </c>
      <c r="AH118">
        <f t="shared" si="197"/>
        <v>0</v>
      </c>
      <c r="AI118">
        <f t="shared" si="198"/>
        <v>0</v>
      </c>
      <c r="AJ118">
        <f t="shared" si="199"/>
        <v>0</v>
      </c>
      <c r="AK118">
        <f t="shared" si="200"/>
        <v>0</v>
      </c>
      <c r="AL118">
        <f t="shared" si="201"/>
        <v>0</v>
      </c>
      <c r="AM118">
        <f t="shared" si="202"/>
        <v>0</v>
      </c>
      <c r="AN118">
        <f t="shared" si="203"/>
        <v>0</v>
      </c>
      <c r="AO118">
        <f t="shared" si="204"/>
        <v>0</v>
      </c>
      <c r="AP118">
        <f t="shared" si="205"/>
        <v>0</v>
      </c>
      <c r="AQ118">
        <f t="shared" si="206"/>
        <v>0</v>
      </c>
      <c r="AR118">
        <f t="shared" si="207"/>
        <v>0</v>
      </c>
      <c r="AS118">
        <f t="shared" si="208"/>
        <v>0</v>
      </c>
      <c r="AT118">
        <f t="shared" si="209"/>
        <v>0</v>
      </c>
      <c r="AU118">
        <f t="shared" si="210"/>
        <v>0</v>
      </c>
      <c r="AV118">
        <f t="shared" si="211"/>
        <v>0</v>
      </c>
      <c r="AW118">
        <f t="shared" si="212"/>
        <v>0</v>
      </c>
      <c r="AX118">
        <f t="shared" si="213"/>
        <v>0</v>
      </c>
      <c r="AY118">
        <f t="shared" si="191"/>
        <v>0</v>
      </c>
      <c r="BA118">
        <f t="shared" si="142"/>
        <v>6</v>
      </c>
      <c r="BB118">
        <f t="shared" si="167"/>
        <v>6</v>
      </c>
      <c r="BC118">
        <f t="shared" si="168"/>
        <v>6</v>
      </c>
      <c r="BD118">
        <f t="shared" si="169"/>
        <v>6</v>
      </c>
      <c r="BE118">
        <f t="shared" si="170"/>
        <v>6</v>
      </c>
      <c r="BF118">
        <f t="shared" si="171"/>
        <v>6</v>
      </c>
      <c r="BG118">
        <f t="shared" si="172"/>
        <v>6</v>
      </c>
      <c r="BH118">
        <f t="shared" si="173"/>
        <v>5</v>
      </c>
      <c r="BI118">
        <f t="shared" si="174"/>
        <v>5</v>
      </c>
      <c r="BJ118">
        <f t="shared" si="175"/>
        <v>5</v>
      </c>
      <c r="BK118">
        <f t="shared" si="176"/>
        <v>6</v>
      </c>
      <c r="BL118">
        <f t="shared" si="177"/>
        <v>6</v>
      </c>
      <c r="BM118">
        <f t="shared" si="178"/>
        <v>6</v>
      </c>
      <c r="BN118">
        <f t="shared" si="179"/>
        <v>7</v>
      </c>
      <c r="BO118">
        <f t="shared" si="180"/>
        <v>7</v>
      </c>
      <c r="BP118">
        <f t="shared" si="181"/>
        <v>7</v>
      </c>
      <c r="BQ118">
        <f t="shared" si="182"/>
        <v>7</v>
      </c>
      <c r="BR118">
        <f t="shared" si="183"/>
        <v>6</v>
      </c>
      <c r="BS118">
        <f t="shared" si="184"/>
        <v>7</v>
      </c>
      <c r="BT118">
        <f t="shared" si="185"/>
        <v>7</v>
      </c>
      <c r="BU118">
        <f t="shared" si="186"/>
        <v>7</v>
      </c>
      <c r="BV118">
        <f t="shared" si="187"/>
        <v>7</v>
      </c>
      <c r="BW118">
        <f t="shared" si="188"/>
        <v>7</v>
      </c>
      <c r="BX118">
        <f t="shared" si="189"/>
        <v>7</v>
      </c>
      <c r="BZ118" s="52">
        <f t="shared" si="129"/>
        <v>-1</v>
      </c>
      <c r="CA118" s="52">
        <f t="shared" si="215"/>
        <v>0</v>
      </c>
      <c r="CB118" s="52">
        <f t="shared" si="215"/>
        <v>0</v>
      </c>
      <c r="CC118" s="52">
        <f t="shared" si="215"/>
        <v>0</v>
      </c>
      <c r="CD118" s="52">
        <f t="shared" si="215"/>
        <v>0</v>
      </c>
      <c r="CE118" s="52">
        <f t="shared" si="215"/>
        <v>0</v>
      </c>
      <c r="CF118" s="52">
        <f t="shared" si="215"/>
        <v>0</v>
      </c>
      <c r="CG118" s="52">
        <f t="shared" si="215"/>
        <v>-1</v>
      </c>
      <c r="CH118" s="52">
        <f t="shared" si="215"/>
        <v>0</v>
      </c>
      <c r="CI118" s="52">
        <f t="shared" si="215"/>
        <v>0</v>
      </c>
      <c r="CJ118" s="52">
        <f t="shared" si="215"/>
        <v>1</v>
      </c>
      <c r="CK118" s="52">
        <f t="shared" si="215"/>
        <v>0</v>
      </c>
      <c r="CL118" s="52">
        <f t="shared" si="215"/>
        <v>0</v>
      </c>
      <c r="CM118" s="52">
        <f t="shared" si="215"/>
        <v>1</v>
      </c>
      <c r="CN118" s="52">
        <f t="shared" si="215"/>
        <v>0</v>
      </c>
      <c r="CO118" s="52">
        <f t="shared" si="215"/>
        <v>0</v>
      </c>
      <c r="CP118" s="52">
        <f t="shared" si="215"/>
        <v>0</v>
      </c>
      <c r="CQ118" s="52">
        <f t="shared" si="130"/>
        <v>-1</v>
      </c>
      <c r="CR118" s="52">
        <f t="shared" si="131"/>
        <v>1</v>
      </c>
      <c r="CS118" s="52">
        <f t="shared" si="132"/>
        <v>0</v>
      </c>
      <c r="CT118" s="52">
        <f t="shared" si="133"/>
        <v>0</v>
      </c>
      <c r="CU118" s="52">
        <f t="shared" si="134"/>
        <v>0</v>
      </c>
      <c r="CV118" s="52">
        <f t="shared" si="135"/>
        <v>0</v>
      </c>
      <c r="CW118" s="52">
        <f t="shared" si="136"/>
        <v>0</v>
      </c>
    </row>
    <row r="119" spans="1:102">
      <c r="A119" s="60">
        <v>45041</v>
      </c>
      <c r="B119" s="426">
        <v>52051.5</v>
      </c>
      <c r="C119">
        <v>51201.5</v>
      </c>
      <c r="D119">
        <v>51006.9</v>
      </c>
      <c r="E119">
        <v>51416.1</v>
      </c>
      <c r="F119">
        <v>51982.6</v>
      </c>
      <c r="G119">
        <v>51332.9</v>
      </c>
      <c r="H119">
        <v>51312.6</v>
      </c>
      <c r="I119">
        <v>51452</v>
      </c>
      <c r="J119">
        <v>51389</v>
      </c>
      <c r="K119">
        <v>51513.599999999999</v>
      </c>
      <c r="L119">
        <v>51444</v>
      </c>
      <c r="M119">
        <v>51352.4</v>
      </c>
      <c r="N119">
        <v>51481.5</v>
      </c>
      <c r="O119">
        <v>51455.199999999997</v>
      </c>
      <c r="P119">
        <v>51333.1</v>
      </c>
      <c r="Q119">
        <v>51285.5</v>
      </c>
      <c r="R119">
        <v>51335.7</v>
      </c>
      <c r="S119">
        <v>57206.7</v>
      </c>
      <c r="T119">
        <v>55005.599999999999</v>
      </c>
      <c r="U119">
        <v>68279.399999999994</v>
      </c>
      <c r="V119">
        <v>68851.199999999997</v>
      </c>
      <c r="W119">
        <v>69814.100000000006</v>
      </c>
      <c r="X119">
        <v>70005.5</v>
      </c>
      <c r="Y119">
        <v>69489.7</v>
      </c>
      <c r="Z119" s="77">
        <v>1332998.2999999998</v>
      </c>
      <c r="AB119" s="52">
        <f t="shared" si="190"/>
        <v>0</v>
      </c>
      <c r="AC119" s="52">
        <f t="shared" si="192"/>
        <v>0</v>
      </c>
      <c r="AD119" s="52">
        <f t="shared" si="193"/>
        <v>0</v>
      </c>
      <c r="AE119" s="52">
        <f t="shared" si="194"/>
        <v>0</v>
      </c>
      <c r="AF119" s="52">
        <f t="shared" si="195"/>
        <v>0</v>
      </c>
      <c r="AG119" s="52">
        <f t="shared" si="196"/>
        <v>0</v>
      </c>
      <c r="AH119" s="52">
        <f t="shared" si="197"/>
        <v>0</v>
      </c>
      <c r="AI119" s="52">
        <f t="shared" si="198"/>
        <v>0</v>
      </c>
      <c r="AJ119" s="52">
        <f t="shared" si="199"/>
        <v>0</v>
      </c>
      <c r="AK119" s="52">
        <f t="shared" si="200"/>
        <v>0</v>
      </c>
      <c r="AL119" s="52">
        <f t="shared" si="201"/>
        <v>0</v>
      </c>
      <c r="AM119" s="52">
        <f t="shared" si="202"/>
        <v>0</v>
      </c>
      <c r="AN119" s="52">
        <f t="shared" si="203"/>
        <v>0</v>
      </c>
      <c r="AO119" s="52">
        <f t="shared" si="204"/>
        <v>0</v>
      </c>
      <c r="AP119" s="52">
        <f t="shared" si="205"/>
        <v>0</v>
      </c>
      <c r="AQ119" s="52">
        <f t="shared" si="206"/>
        <v>0</v>
      </c>
      <c r="AR119" s="52">
        <f t="shared" si="207"/>
        <v>0</v>
      </c>
      <c r="AS119" s="52">
        <f t="shared" si="208"/>
        <v>0</v>
      </c>
      <c r="AT119" s="52">
        <f t="shared" si="209"/>
        <v>0</v>
      </c>
      <c r="AU119" s="52">
        <f t="shared" si="210"/>
        <v>0</v>
      </c>
      <c r="AV119" s="52">
        <f t="shared" si="211"/>
        <v>0</v>
      </c>
      <c r="AW119" s="52">
        <f t="shared" si="212"/>
        <v>0</v>
      </c>
      <c r="AX119" s="52">
        <f t="shared" si="213"/>
        <v>0</v>
      </c>
      <c r="AY119" s="52">
        <f t="shared" si="191"/>
        <v>0</v>
      </c>
      <c r="BA119" s="52">
        <f t="shared" si="142"/>
        <v>6</v>
      </c>
      <c r="BB119" s="52">
        <f t="shared" si="167"/>
        <v>6</v>
      </c>
      <c r="BC119" s="52">
        <f t="shared" si="168"/>
        <v>6</v>
      </c>
      <c r="BD119" s="52">
        <f t="shared" si="169"/>
        <v>6</v>
      </c>
      <c r="BE119" s="52">
        <f t="shared" si="170"/>
        <v>6</v>
      </c>
      <c r="BF119" s="52">
        <f t="shared" si="171"/>
        <v>6</v>
      </c>
      <c r="BG119" s="52">
        <f t="shared" si="172"/>
        <v>6</v>
      </c>
      <c r="BH119" s="52">
        <f t="shared" si="173"/>
        <v>6</v>
      </c>
      <c r="BI119" s="52">
        <f t="shared" si="174"/>
        <v>6</v>
      </c>
      <c r="BJ119" s="52">
        <f t="shared" si="175"/>
        <v>6</v>
      </c>
      <c r="BK119" s="52">
        <f t="shared" si="176"/>
        <v>6</v>
      </c>
      <c r="BL119" s="52">
        <f t="shared" si="177"/>
        <v>6</v>
      </c>
      <c r="BM119" s="52">
        <f t="shared" si="178"/>
        <v>6</v>
      </c>
      <c r="BN119" s="52">
        <f t="shared" si="179"/>
        <v>6</v>
      </c>
      <c r="BO119" s="52">
        <f t="shared" si="180"/>
        <v>6</v>
      </c>
      <c r="BP119" s="52">
        <f t="shared" si="181"/>
        <v>6</v>
      </c>
      <c r="BQ119" s="52">
        <f t="shared" si="182"/>
        <v>6</v>
      </c>
      <c r="BR119" s="52">
        <f t="shared" si="183"/>
        <v>7</v>
      </c>
      <c r="BS119" s="52">
        <f t="shared" si="184"/>
        <v>7</v>
      </c>
      <c r="BT119" s="52">
        <f t="shared" si="185"/>
        <v>8</v>
      </c>
      <c r="BU119" s="52">
        <f t="shared" si="186"/>
        <v>8</v>
      </c>
      <c r="BV119" s="52">
        <f t="shared" si="187"/>
        <v>8</v>
      </c>
      <c r="BW119" s="52">
        <f t="shared" si="188"/>
        <v>8</v>
      </c>
      <c r="BX119" s="52">
        <f t="shared" si="189"/>
        <v>8</v>
      </c>
      <c r="BZ119">
        <f t="shared" si="129"/>
        <v>-1</v>
      </c>
      <c r="CA119">
        <f t="shared" si="215"/>
        <v>0</v>
      </c>
      <c r="CB119">
        <f t="shared" si="215"/>
        <v>0</v>
      </c>
      <c r="CC119">
        <f t="shared" si="215"/>
        <v>0</v>
      </c>
      <c r="CD119">
        <f t="shared" si="215"/>
        <v>0</v>
      </c>
      <c r="CE119">
        <f t="shared" si="215"/>
        <v>0</v>
      </c>
      <c r="CF119">
        <f t="shared" si="215"/>
        <v>0</v>
      </c>
      <c r="CG119">
        <f t="shared" si="215"/>
        <v>0</v>
      </c>
      <c r="CH119">
        <f t="shared" si="215"/>
        <v>0</v>
      </c>
      <c r="CI119">
        <f t="shared" si="215"/>
        <v>0</v>
      </c>
      <c r="CJ119">
        <f t="shared" si="215"/>
        <v>0</v>
      </c>
      <c r="CK119">
        <f t="shared" si="215"/>
        <v>0</v>
      </c>
      <c r="CL119">
        <f t="shared" si="215"/>
        <v>0</v>
      </c>
      <c r="CM119">
        <f t="shared" si="215"/>
        <v>0</v>
      </c>
      <c r="CN119">
        <f t="shared" si="215"/>
        <v>0</v>
      </c>
      <c r="CO119">
        <f t="shared" si="215"/>
        <v>0</v>
      </c>
      <c r="CP119">
        <f t="shared" si="215"/>
        <v>0</v>
      </c>
      <c r="CQ119">
        <f t="shared" si="130"/>
        <v>1</v>
      </c>
      <c r="CR119">
        <f t="shared" si="131"/>
        <v>0</v>
      </c>
      <c r="CS119">
        <f t="shared" si="132"/>
        <v>1</v>
      </c>
      <c r="CT119">
        <f t="shared" si="133"/>
        <v>0</v>
      </c>
      <c r="CU119">
        <f t="shared" si="134"/>
        <v>0</v>
      </c>
      <c r="CV119">
        <f t="shared" si="135"/>
        <v>0</v>
      </c>
      <c r="CW119">
        <f t="shared" si="136"/>
        <v>0</v>
      </c>
    </row>
    <row r="120" spans="1:102">
      <c r="A120" s="60">
        <v>45042</v>
      </c>
      <c r="B120" s="426">
        <v>54310.1</v>
      </c>
      <c r="C120">
        <v>54381.1</v>
      </c>
      <c r="D120">
        <v>54351.9</v>
      </c>
      <c r="E120">
        <v>54342.400000000001</v>
      </c>
      <c r="F120">
        <v>54370.3</v>
      </c>
      <c r="G120">
        <v>53235.7</v>
      </c>
      <c r="H120">
        <v>52349.4</v>
      </c>
      <c r="I120">
        <v>52522.8</v>
      </c>
      <c r="J120">
        <v>52529.9</v>
      </c>
      <c r="K120">
        <v>52157.5</v>
      </c>
      <c r="L120">
        <v>52239.4</v>
      </c>
      <c r="M120">
        <v>53493.2</v>
      </c>
      <c r="N120">
        <v>54189.599999999999</v>
      </c>
      <c r="O120">
        <v>54735.9</v>
      </c>
      <c r="P120">
        <v>54662.2</v>
      </c>
      <c r="Q120">
        <v>54610.3</v>
      </c>
      <c r="R120">
        <v>54509.1</v>
      </c>
      <c r="S120">
        <v>54690.6</v>
      </c>
      <c r="T120">
        <v>56060.9</v>
      </c>
      <c r="U120">
        <v>65551.899999999994</v>
      </c>
      <c r="V120">
        <v>67545.600000000006</v>
      </c>
      <c r="W120">
        <v>65536.3</v>
      </c>
      <c r="X120">
        <v>66728.3</v>
      </c>
      <c r="Y120">
        <v>66653.100000000006</v>
      </c>
      <c r="Z120" s="77">
        <v>1355757.5000000002</v>
      </c>
      <c r="AB120">
        <f t="shared" ref="AB120:AX120" si="217">+IF(AND(B120=0,C120&lt;&gt;0),1,0)</f>
        <v>0</v>
      </c>
      <c r="AC120">
        <f t="shared" si="217"/>
        <v>0</v>
      </c>
      <c r="AD120">
        <f t="shared" si="217"/>
        <v>0</v>
      </c>
      <c r="AE120">
        <f t="shared" si="217"/>
        <v>0</v>
      </c>
      <c r="AF120">
        <f t="shared" si="217"/>
        <v>0</v>
      </c>
      <c r="AG120">
        <f t="shared" si="217"/>
        <v>0</v>
      </c>
      <c r="AH120">
        <f t="shared" si="217"/>
        <v>0</v>
      </c>
      <c r="AI120">
        <f t="shared" si="217"/>
        <v>0</v>
      </c>
      <c r="AJ120">
        <f t="shared" si="217"/>
        <v>0</v>
      </c>
      <c r="AK120">
        <f t="shared" si="217"/>
        <v>0</v>
      </c>
      <c r="AL120">
        <f t="shared" si="217"/>
        <v>0</v>
      </c>
      <c r="AM120">
        <f t="shared" si="217"/>
        <v>0</v>
      </c>
      <c r="AN120">
        <f t="shared" si="217"/>
        <v>0</v>
      </c>
      <c r="AO120">
        <f t="shared" si="217"/>
        <v>0</v>
      </c>
      <c r="AP120">
        <f t="shared" si="217"/>
        <v>0</v>
      </c>
      <c r="AQ120">
        <f t="shared" si="217"/>
        <v>0</v>
      </c>
      <c r="AR120">
        <f t="shared" si="217"/>
        <v>0</v>
      </c>
      <c r="AS120">
        <f t="shared" si="217"/>
        <v>0</v>
      </c>
      <c r="AT120">
        <f t="shared" si="217"/>
        <v>0</v>
      </c>
      <c r="AU120">
        <f t="shared" si="217"/>
        <v>0</v>
      </c>
      <c r="AV120">
        <f t="shared" si="217"/>
        <v>0</v>
      </c>
      <c r="AW120">
        <f t="shared" si="217"/>
        <v>0</v>
      </c>
      <c r="AX120">
        <f t="shared" si="217"/>
        <v>0</v>
      </c>
      <c r="AY120">
        <f t="shared" ref="AY120:AY125" si="218">+IF(AND(Y120=0,B121&lt;&gt;0),1,0)</f>
        <v>0</v>
      </c>
      <c r="BA120">
        <f t="shared" si="142"/>
        <v>7</v>
      </c>
      <c r="BB120">
        <f t="shared" si="167"/>
        <v>7</v>
      </c>
      <c r="BC120">
        <f t="shared" si="168"/>
        <v>7</v>
      </c>
      <c r="BD120">
        <f t="shared" si="169"/>
        <v>7</v>
      </c>
      <c r="BE120">
        <f t="shared" si="170"/>
        <v>7</v>
      </c>
      <c r="BF120">
        <f t="shared" si="171"/>
        <v>7</v>
      </c>
      <c r="BG120">
        <f t="shared" si="172"/>
        <v>6</v>
      </c>
      <c r="BH120">
        <f t="shared" si="173"/>
        <v>6</v>
      </c>
      <c r="BI120">
        <f t="shared" si="174"/>
        <v>6</v>
      </c>
      <c r="BJ120">
        <f t="shared" si="175"/>
        <v>6</v>
      </c>
      <c r="BK120">
        <f t="shared" si="176"/>
        <v>6</v>
      </c>
      <c r="BL120">
        <f t="shared" si="177"/>
        <v>7</v>
      </c>
      <c r="BM120">
        <f t="shared" si="178"/>
        <v>7</v>
      </c>
      <c r="BN120">
        <f t="shared" si="179"/>
        <v>7</v>
      </c>
      <c r="BO120">
        <f t="shared" si="180"/>
        <v>7</v>
      </c>
      <c r="BP120">
        <f t="shared" si="181"/>
        <v>7</v>
      </c>
      <c r="BQ120">
        <f t="shared" si="182"/>
        <v>7</v>
      </c>
      <c r="BR120">
        <f t="shared" si="183"/>
        <v>7</v>
      </c>
      <c r="BS120">
        <f t="shared" si="184"/>
        <v>7</v>
      </c>
      <c r="BT120">
        <f t="shared" si="185"/>
        <v>8</v>
      </c>
      <c r="BU120">
        <f t="shared" si="186"/>
        <v>8</v>
      </c>
      <c r="BV120">
        <f t="shared" si="187"/>
        <v>8</v>
      </c>
      <c r="BW120">
        <f t="shared" si="188"/>
        <v>8</v>
      </c>
      <c r="BX120">
        <f t="shared" si="189"/>
        <v>8</v>
      </c>
      <c r="BZ120" s="52">
        <f t="shared" si="129"/>
        <v>-1</v>
      </c>
      <c r="CA120" s="52">
        <f t="shared" si="215"/>
        <v>0</v>
      </c>
      <c r="CB120" s="52">
        <f t="shared" si="215"/>
        <v>0</v>
      </c>
      <c r="CC120" s="52">
        <f t="shared" si="215"/>
        <v>0</v>
      </c>
      <c r="CD120" s="52">
        <f t="shared" si="215"/>
        <v>0</v>
      </c>
      <c r="CE120" s="52">
        <f t="shared" si="215"/>
        <v>0</v>
      </c>
      <c r="CF120" s="52">
        <f t="shared" si="215"/>
        <v>-1</v>
      </c>
      <c r="CG120" s="52">
        <f t="shared" si="215"/>
        <v>0</v>
      </c>
      <c r="CH120" s="52">
        <f t="shared" si="215"/>
        <v>0</v>
      </c>
      <c r="CI120" s="52">
        <f t="shared" si="215"/>
        <v>0</v>
      </c>
      <c r="CJ120" s="52">
        <f t="shared" si="215"/>
        <v>0</v>
      </c>
      <c r="CK120" s="52">
        <f t="shared" si="215"/>
        <v>1</v>
      </c>
      <c r="CL120" s="52">
        <f t="shared" si="215"/>
        <v>0</v>
      </c>
      <c r="CM120" s="52">
        <f t="shared" si="215"/>
        <v>0</v>
      </c>
      <c r="CN120" s="52">
        <f t="shared" si="215"/>
        <v>0</v>
      </c>
      <c r="CO120" s="52">
        <f t="shared" si="215"/>
        <v>0</v>
      </c>
      <c r="CP120" s="52">
        <f t="shared" si="215"/>
        <v>0</v>
      </c>
      <c r="CQ120" s="52">
        <f t="shared" si="130"/>
        <v>0</v>
      </c>
      <c r="CR120" s="52">
        <f t="shared" si="131"/>
        <v>0</v>
      </c>
      <c r="CS120" s="52">
        <f t="shared" si="132"/>
        <v>1</v>
      </c>
      <c r="CT120" s="52">
        <f t="shared" si="133"/>
        <v>0</v>
      </c>
      <c r="CU120" s="52">
        <f t="shared" si="134"/>
        <v>0</v>
      </c>
      <c r="CV120" s="52">
        <f t="shared" si="135"/>
        <v>0</v>
      </c>
      <c r="CW120" s="52">
        <f t="shared" si="136"/>
        <v>0</v>
      </c>
    </row>
    <row r="121" spans="1:102">
      <c r="A121" s="60">
        <v>45043</v>
      </c>
      <c r="B121" s="426">
        <v>56931.199999999997</v>
      </c>
      <c r="C121">
        <v>44847</v>
      </c>
      <c r="D121">
        <v>44471.7</v>
      </c>
      <c r="E121">
        <v>44499.199999999997</v>
      </c>
      <c r="F121">
        <v>44702.9</v>
      </c>
      <c r="G121">
        <v>44247.8</v>
      </c>
      <c r="H121">
        <v>44110</v>
      </c>
      <c r="I121">
        <v>44144.5</v>
      </c>
      <c r="J121">
        <v>45068.800000000003</v>
      </c>
      <c r="K121">
        <v>44894.5</v>
      </c>
      <c r="L121">
        <v>45110.9</v>
      </c>
      <c r="M121">
        <v>45205.4</v>
      </c>
      <c r="N121">
        <v>45544.3</v>
      </c>
      <c r="O121">
        <v>45414.2</v>
      </c>
      <c r="P121">
        <v>45359.199999999997</v>
      </c>
      <c r="Q121">
        <v>45309.599999999999</v>
      </c>
      <c r="R121">
        <v>45102.8</v>
      </c>
      <c r="S121">
        <v>56173.3</v>
      </c>
      <c r="T121">
        <v>45744.9</v>
      </c>
      <c r="U121">
        <v>56137.4</v>
      </c>
      <c r="V121">
        <v>58029.5</v>
      </c>
      <c r="W121">
        <v>57704.2</v>
      </c>
      <c r="X121">
        <v>57903.9</v>
      </c>
      <c r="Y121">
        <v>57771.4</v>
      </c>
      <c r="Z121" s="77">
        <v>1164428.5999999999</v>
      </c>
      <c r="AB121" s="52">
        <f>+IF(AND(B121=0,C121&lt;&gt;0),1,0)</f>
        <v>0</v>
      </c>
      <c r="AC121" s="52">
        <f t="shared" si="145"/>
        <v>0</v>
      </c>
      <c r="AD121" s="52">
        <f t="shared" si="146"/>
        <v>0</v>
      </c>
      <c r="AE121" s="52">
        <f t="shared" si="147"/>
        <v>0</v>
      </c>
      <c r="AF121" s="52">
        <f t="shared" si="148"/>
        <v>0</v>
      </c>
      <c r="AG121" s="52">
        <f t="shared" si="149"/>
        <v>0</v>
      </c>
      <c r="AH121" s="52">
        <f t="shared" si="150"/>
        <v>0</v>
      </c>
      <c r="AI121" s="52">
        <f t="shared" si="151"/>
        <v>0</v>
      </c>
      <c r="AJ121" s="52">
        <f t="shared" si="152"/>
        <v>0</v>
      </c>
      <c r="AK121" s="52">
        <f t="shared" si="153"/>
        <v>0</v>
      </c>
      <c r="AL121" s="52">
        <f t="shared" si="154"/>
        <v>0</v>
      </c>
      <c r="AM121" s="52">
        <f t="shared" si="155"/>
        <v>0</v>
      </c>
      <c r="AN121" s="52">
        <f t="shared" si="156"/>
        <v>0</v>
      </c>
      <c r="AO121" s="52">
        <f t="shared" si="157"/>
        <v>0</v>
      </c>
      <c r="AP121" s="52">
        <f t="shared" si="158"/>
        <v>0</v>
      </c>
      <c r="AQ121" s="52">
        <f t="shared" si="159"/>
        <v>0</v>
      </c>
      <c r="AR121" s="52">
        <f t="shared" si="160"/>
        <v>0</v>
      </c>
      <c r="AS121" s="52">
        <f t="shared" si="161"/>
        <v>0</v>
      </c>
      <c r="AT121" s="52">
        <f t="shared" si="162"/>
        <v>0</v>
      </c>
      <c r="AU121" s="52">
        <f t="shared" si="163"/>
        <v>0</v>
      </c>
      <c r="AV121" s="52">
        <f t="shared" si="164"/>
        <v>0</v>
      </c>
      <c r="AW121" s="52">
        <f t="shared" si="165"/>
        <v>0</v>
      </c>
      <c r="AX121" s="52">
        <f t="shared" si="166"/>
        <v>0</v>
      </c>
      <c r="AY121" s="52">
        <f t="shared" si="218"/>
        <v>0</v>
      </c>
      <c r="BA121" s="52">
        <f t="shared" si="142"/>
        <v>7</v>
      </c>
      <c r="BB121" s="52">
        <f t="shared" si="167"/>
        <v>6</v>
      </c>
      <c r="BC121" s="52">
        <f t="shared" si="168"/>
        <v>6</v>
      </c>
      <c r="BD121" s="52">
        <f t="shared" si="169"/>
        <v>6</v>
      </c>
      <c r="BE121" s="52">
        <f t="shared" si="170"/>
        <v>6</v>
      </c>
      <c r="BF121" s="52">
        <f t="shared" si="171"/>
        <v>6</v>
      </c>
      <c r="BG121" s="52">
        <f t="shared" si="172"/>
        <v>6</v>
      </c>
      <c r="BH121" s="52">
        <f t="shared" si="173"/>
        <v>6</v>
      </c>
      <c r="BI121" s="52">
        <f t="shared" si="174"/>
        <v>6</v>
      </c>
      <c r="BJ121" s="52">
        <f t="shared" si="175"/>
        <v>6</v>
      </c>
      <c r="BK121" s="52">
        <f t="shared" si="176"/>
        <v>6</v>
      </c>
      <c r="BL121" s="52">
        <f t="shared" si="177"/>
        <v>6</v>
      </c>
      <c r="BM121" s="52">
        <f t="shared" si="178"/>
        <v>6</v>
      </c>
      <c r="BN121" s="52">
        <f t="shared" si="179"/>
        <v>6</v>
      </c>
      <c r="BO121" s="52">
        <f t="shared" si="180"/>
        <v>6</v>
      </c>
      <c r="BP121" s="52">
        <f t="shared" si="181"/>
        <v>6</v>
      </c>
      <c r="BQ121" s="52">
        <f t="shared" si="182"/>
        <v>6</v>
      </c>
      <c r="BR121" s="52">
        <f t="shared" si="183"/>
        <v>7</v>
      </c>
      <c r="BS121" s="52">
        <f t="shared" si="184"/>
        <v>6</v>
      </c>
      <c r="BT121" s="52">
        <f t="shared" si="185"/>
        <v>7</v>
      </c>
      <c r="BU121" s="52">
        <f t="shared" si="186"/>
        <v>7</v>
      </c>
      <c r="BV121" s="52">
        <f t="shared" si="187"/>
        <v>7</v>
      </c>
      <c r="BW121" s="52">
        <f t="shared" si="188"/>
        <v>7</v>
      </c>
      <c r="BX121" s="52">
        <f t="shared" si="189"/>
        <v>7</v>
      </c>
      <c r="BZ121">
        <f t="shared" si="129"/>
        <v>-1</v>
      </c>
      <c r="CA121">
        <f t="shared" si="215"/>
        <v>-1</v>
      </c>
      <c r="CB121">
        <f t="shared" si="215"/>
        <v>0</v>
      </c>
      <c r="CC121">
        <f t="shared" si="215"/>
        <v>0</v>
      </c>
      <c r="CD121">
        <f t="shared" si="215"/>
        <v>0</v>
      </c>
      <c r="CE121">
        <f t="shared" si="215"/>
        <v>0</v>
      </c>
      <c r="CF121">
        <f t="shared" si="215"/>
        <v>0</v>
      </c>
      <c r="CG121">
        <f t="shared" si="215"/>
        <v>0</v>
      </c>
      <c r="CH121">
        <f t="shared" si="215"/>
        <v>0</v>
      </c>
      <c r="CI121">
        <f t="shared" si="215"/>
        <v>0</v>
      </c>
      <c r="CJ121">
        <f t="shared" si="215"/>
        <v>0</v>
      </c>
      <c r="CK121">
        <f t="shared" si="215"/>
        <v>0</v>
      </c>
      <c r="CL121">
        <f t="shared" si="215"/>
        <v>0</v>
      </c>
      <c r="CM121">
        <f t="shared" si="215"/>
        <v>0</v>
      </c>
      <c r="CN121">
        <f t="shared" si="215"/>
        <v>0</v>
      </c>
      <c r="CO121">
        <f t="shared" si="215"/>
        <v>0</v>
      </c>
      <c r="CP121">
        <f t="shared" si="215"/>
        <v>0</v>
      </c>
      <c r="CQ121">
        <f t="shared" si="130"/>
        <v>1</v>
      </c>
      <c r="CR121">
        <f t="shared" si="131"/>
        <v>-1</v>
      </c>
      <c r="CS121">
        <f t="shared" si="132"/>
        <v>1</v>
      </c>
      <c r="CT121">
        <f t="shared" si="133"/>
        <v>0</v>
      </c>
      <c r="CU121">
        <f t="shared" si="134"/>
        <v>0</v>
      </c>
      <c r="CV121">
        <f t="shared" si="135"/>
        <v>0</v>
      </c>
      <c r="CW121">
        <f t="shared" si="136"/>
        <v>0</v>
      </c>
    </row>
    <row r="122" spans="1:102">
      <c r="A122" s="60">
        <v>45044</v>
      </c>
      <c r="B122" s="426">
        <v>57720.6</v>
      </c>
      <c r="C122">
        <v>53198.5</v>
      </c>
      <c r="D122">
        <v>53726.400000000001</v>
      </c>
      <c r="E122">
        <v>53594</v>
      </c>
      <c r="F122">
        <v>53537.8</v>
      </c>
      <c r="G122">
        <v>54176.1</v>
      </c>
      <c r="H122">
        <v>54427.199999999997</v>
      </c>
      <c r="I122">
        <v>54496.3</v>
      </c>
      <c r="J122">
        <v>53494.7</v>
      </c>
      <c r="K122">
        <v>52917</v>
      </c>
      <c r="L122">
        <v>54081.9</v>
      </c>
      <c r="M122">
        <v>55038.7</v>
      </c>
      <c r="N122">
        <v>54855.5</v>
      </c>
      <c r="O122">
        <v>54677.3</v>
      </c>
      <c r="P122">
        <v>54197.3</v>
      </c>
      <c r="Q122">
        <v>54285.7</v>
      </c>
      <c r="R122">
        <v>53542.1</v>
      </c>
      <c r="S122">
        <v>53411.4</v>
      </c>
      <c r="T122">
        <v>54585.1</v>
      </c>
      <c r="U122">
        <v>53854.9</v>
      </c>
      <c r="V122">
        <v>66003.199999999997</v>
      </c>
      <c r="W122">
        <v>68464.7</v>
      </c>
      <c r="X122">
        <v>67720</v>
      </c>
      <c r="Y122">
        <v>67147.600000000006</v>
      </c>
      <c r="Z122" s="77">
        <v>1353154</v>
      </c>
      <c r="AB122">
        <f>+IF(AND(B122=0,C122&lt;&gt;0),1,0)</f>
        <v>0</v>
      </c>
      <c r="AC122">
        <f t="shared" si="145"/>
        <v>0</v>
      </c>
      <c r="AD122">
        <f t="shared" si="146"/>
        <v>0</v>
      </c>
      <c r="AE122">
        <f t="shared" si="147"/>
        <v>0</v>
      </c>
      <c r="AF122">
        <f t="shared" si="148"/>
        <v>0</v>
      </c>
      <c r="AG122">
        <f t="shared" si="149"/>
        <v>0</v>
      </c>
      <c r="AH122">
        <f t="shared" si="150"/>
        <v>0</v>
      </c>
      <c r="AI122">
        <f t="shared" si="151"/>
        <v>0</v>
      </c>
      <c r="AJ122">
        <f t="shared" si="152"/>
        <v>0</v>
      </c>
      <c r="AK122">
        <f t="shared" si="153"/>
        <v>0</v>
      </c>
      <c r="AL122">
        <f t="shared" si="154"/>
        <v>0</v>
      </c>
      <c r="AM122">
        <f t="shared" si="155"/>
        <v>0</v>
      </c>
      <c r="AN122">
        <f t="shared" si="156"/>
        <v>0</v>
      </c>
      <c r="AO122">
        <f t="shared" si="157"/>
        <v>0</v>
      </c>
      <c r="AP122">
        <f t="shared" si="158"/>
        <v>0</v>
      </c>
      <c r="AQ122">
        <f t="shared" si="159"/>
        <v>0</v>
      </c>
      <c r="AR122">
        <f t="shared" si="160"/>
        <v>0</v>
      </c>
      <c r="AS122">
        <f t="shared" si="161"/>
        <v>0</v>
      </c>
      <c r="AT122">
        <f t="shared" si="162"/>
        <v>0</v>
      </c>
      <c r="AU122">
        <f t="shared" si="163"/>
        <v>0</v>
      </c>
      <c r="AV122">
        <f t="shared" si="164"/>
        <v>0</v>
      </c>
      <c r="AW122">
        <f t="shared" si="165"/>
        <v>0</v>
      </c>
      <c r="AX122">
        <f t="shared" si="166"/>
        <v>0</v>
      </c>
      <c r="AY122">
        <f t="shared" si="218"/>
        <v>0</v>
      </c>
      <c r="BA122">
        <f t="shared" si="142"/>
        <v>7</v>
      </c>
      <c r="BB122">
        <f t="shared" si="167"/>
        <v>7</v>
      </c>
      <c r="BC122">
        <f t="shared" si="168"/>
        <v>7</v>
      </c>
      <c r="BD122">
        <f t="shared" si="169"/>
        <v>7</v>
      </c>
      <c r="BE122">
        <f t="shared" si="170"/>
        <v>7</v>
      </c>
      <c r="BF122">
        <f t="shared" si="171"/>
        <v>7</v>
      </c>
      <c r="BG122">
        <f t="shared" si="172"/>
        <v>7</v>
      </c>
      <c r="BH122">
        <f t="shared" si="173"/>
        <v>7</v>
      </c>
      <c r="BI122">
        <f t="shared" si="174"/>
        <v>7</v>
      </c>
      <c r="BJ122">
        <f t="shared" si="175"/>
        <v>7</v>
      </c>
      <c r="BK122">
        <f t="shared" si="176"/>
        <v>7</v>
      </c>
      <c r="BL122">
        <f t="shared" si="177"/>
        <v>7</v>
      </c>
      <c r="BM122">
        <f t="shared" si="178"/>
        <v>7</v>
      </c>
      <c r="BN122">
        <f t="shared" si="179"/>
        <v>7</v>
      </c>
      <c r="BO122">
        <f t="shared" si="180"/>
        <v>7</v>
      </c>
      <c r="BP122">
        <f t="shared" si="181"/>
        <v>7</v>
      </c>
      <c r="BQ122">
        <f t="shared" si="182"/>
        <v>7</v>
      </c>
      <c r="BR122">
        <f t="shared" si="183"/>
        <v>7</v>
      </c>
      <c r="BS122">
        <f t="shared" si="184"/>
        <v>7</v>
      </c>
      <c r="BT122">
        <f t="shared" si="185"/>
        <v>7</v>
      </c>
      <c r="BU122">
        <f t="shared" si="186"/>
        <v>8</v>
      </c>
      <c r="BV122">
        <f t="shared" si="187"/>
        <v>8</v>
      </c>
      <c r="BW122">
        <f t="shared" si="188"/>
        <v>8</v>
      </c>
      <c r="BX122">
        <f t="shared" si="189"/>
        <v>8</v>
      </c>
      <c r="BZ122" s="52">
        <f t="shared" si="129"/>
        <v>0</v>
      </c>
      <c r="CA122" s="52">
        <f t="shared" si="215"/>
        <v>0</v>
      </c>
      <c r="CB122" s="52">
        <f t="shared" si="215"/>
        <v>0</v>
      </c>
      <c r="CC122" s="52">
        <f t="shared" si="215"/>
        <v>0</v>
      </c>
      <c r="CD122" s="52">
        <f t="shared" si="215"/>
        <v>0</v>
      </c>
      <c r="CE122" s="52">
        <f t="shared" si="215"/>
        <v>0</v>
      </c>
      <c r="CF122" s="52">
        <f t="shared" si="215"/>
        <v>0</v>
      </c>
      <c r="CG122" s="52">
        <f t="shared" si="215"/>
        <v>0</v>
      </c>
      <c r="CH122" s="52">
        <f t="shared" si="215"/>
        <v>0</v>
      </c>
      <c r="CI122" s="52">
        <f t="shared" si="215"/>
        <v>0</v>
      </c>
      <c r="CJ122" s="52">
        <f t="shared" si="215"/>
        <v>0</v>
      </c>
      <c r="CK122" s="52">
        <f t="shared" si="215"/>
        <v>0</v>
      </c>
      <c r="CL122" s="52">
        <f t="shared" si="215"/>
        <v>0</v>
      </c>
      <c r="CM122" s="52">
        <f t="shared" si="215"/>
        <v>0</v>
      </c>
      <c r="CN122" s="52">
        <f t="shared" si="215"/>
        <v>0</v>
      </c>
      <c r="CO122" s="52">
        <f t="shared" si="215"/>
        <v>0</v>
      </c>
      <c r="CP122" s="52">
        <f t="shared" si="215"/>
        <v>0</v>
      </c>
      <c r="CQ122" s="52">
        <f t="shared" si="130"/>
        <v>0</v>
      </c>
      <c r="CR122" s="52">
        <f t="shared" si="131"/>
        <v>0</v>
      </c>
      <c r="CS122" s="52">
        <f t="shared" si="132"/>
        <v>0</v>
      </c>
      <c r="CT122" s="52">
        <f t="shared" si="133"/>
        <v>1</v>
      </c>
      <c r="CU122" s="52">
        <f t="shared" si="134"/>
        <v>0</v>
      </c>
      <c r="CV122" s="52">
        <f t="shared" si="135"/>
        <v>0</v>
      </c>
      <c r="CW122" s="52">
        <f t="shared" si="136"/>
        <v>0</v>
      </c>
    </row>
    <row r="123" spans="1:102">
      <c r="A123" s="60">
        <v>45045</v>
      </c>
      <c r="B123" s="426">
        <v>57881.5</v>
      </c>
      <c r="C123">
        <v>54748.1</v>
      </c>
      <c r="D123">
        <v>54585</v>
      </c>
      <c r="E123">
        <v>54607.4</v>
      </c>
      <c r="F123">
        <v>54636.800000000003</v>
      </c>
      <c r="G123">
        <v>54366.8</v>
      </c>
      <c r="H123">
        <v>54201.5</v>
      </c>
      <c r="I123">
        <v>54431.4</v>
      </c>
      <c r="J123">
        <v>54333.5</v>
      </c>
      <c r="K123">
        <v>54359.6</v>
      </c>
      <c r="L123">
        <v>54374.2</v>
      </c>
      <c r="M123">
        <v>54372.5</v>
      </c>
      <c r="N123">
        <v>54254.2</v>
      </c>
      <c r="O123">
        <v>54464.6</v>
      </c>
      <c r="P123">
        <v>54399.6</v>
      </c>
      <c r="Q123">
        <v>54689.9</v>
      </c>
      <c r="R123">
        <v>52645.7</v>
      </c>
      <c r="S123">
        <v>55161.4</v>
      </c>
      <c r="T123">
        <v>54649.599999999999</v>
      </c>
      <c r="U123">
        <v>55515.8</v>
      </c>
      <c r="V123">
        <v>55118.6</v>
      </c>
      <c r="W123">
        <v>66782.7</v>
      </c>
      <c r="X123">
        <v>53379.7</v>
      </c>
      <c r="Y123">
        <v>52423</v>
      </c>
      <c r="Z123" s="77">
        <v>1320383.0999999999</v>
      </c>
      <c r="AB123" s="52">
        <f>+IF(AND(B123=0,C123&lt;&gt;0),1,0)</f>
        <v>0</v>
      </c>
      <c r="AC123" s="52">
        <f t="shared" si="145"/>
        <v>0</v>
      </c>
      <c r="AD123" s="52">
        <f t="shared" si="146"/>
        <v>0</v>
      </c>
      <c r="AE123" s="52">
        <f t="shared" si="147"/>
        <v>0</v>
      </c>
      <c r="AF123" s="52">
        <f t="shared" si="148"/>
        <v>0</v>
      </c>
      <c r="AG123" s="52">
        <f t="shared" si="149"/>
        <v>0</v>
      </c>
      <c r="AH123" s="52">
        <f t="shared" si="150"/>
        <v>0</v>
      </c>
      <c r="AI123" s="52">
        <f t="shared" si="151"/>
        <v>0</v>
      </c>
      <c r="AJ123" s="52">
        <f t="shared" si="152"/>
        <v>0</v>
      </c>
      <c r="AK123" s="52">
        <f t="shared" si="153"/>
        <v>0</v>
      </c>
      <c r="AL123" s="52">
        <f t="shared" si="154"/>
        <v>0</v>
      </c>
      <c r="AM123" s="52">
        <f t="shared" si="155"/>
        <v>0</v>
      </c>
      <c r="AN123" s="52">
        <f t="shared" si="156"/>
        <v>0</v>
      </c>
      <c r="AO123" s="52">
        <f t="shared" si="157"/>
        <v>0</v>
      </c>
      <c r="AP123" s="52">
        <f t="shared" si="158"/>
        <v>0</v>
      </c>
      <c r="AQ123" s="52">
        <f t="shared" si="159"/>
        <v>0</v>
      </c>
      <c r="AR123" s="52">
        <f t="shared" si="160"/>
        <v>0</v>
      </c>
      <c r="AS123" s="52">
        <f t="shared" si="161"/>
        <v>0</v>
      </c>
      <c r="AT123" s="52">
        <f t="shared" si="162"/>
        <v>0</v>
      </c>
      <c r="AU123" s="52">
        <f t="shared" si="163"/>
        <v>0</v>
      </c>
      <c r="AV123" s="52">
        <f t="shared" si="164"/>
        <v>0</v>
      </c>
      <c r="AW123" s="52">
        <f t="shared" si="165"/>
        <v>0</v>
      </c>
      <c r="AX123" s="52">
        <f t="shared" si="166"/>
        <v>0</v>
      </c>
      <c r="AY123" s="52">
        <f t="shared" si="218"/>
        <v>0</v>
      </c>
      <c r="BA123" s="52">
        <f t="shared" si="142"/>
        <v>7</v>
      </c>
      <c r="BB123" s="52">
        <f t="shared" si="167"/>
        <v>7</v>
      </c>
      <c r="BC123" s="52">
        <f t="shared" si="168"/>
        <v>7</v>
      </c>
      <c r="BD123" s="52">
        <f t="shared" si="169"/>
        <v>7</v>
      </c>
      <c r="BE123" s="52">
        <f t="shared" si="170"/>
        <v>7</v>
      </c>
      <c r="BF123" s="52">
        <f t="shared" si="171"/>
        <v>7</v>
      </c>
      <c r="BG123" s="52">
        <f t="shared" si="172"/>
        <v>7</v>
      </c>
      <c r="BH123" s="52">
        <f t="shared" si="173"/>
        <v>7</v>
      </c>
      <c r="BI123" s="52">
        <f t="shared" si="174"/>
        <v>7</v>
      </c>
      <c r="BJ123" s="52">
        <f t="shared" si="175"/>
        <v>7</v>
      </c>
      <c r="BK123" s="52">
        <f t="shared" si="176"/>
        <v>7</v>
      </c>
      <c r="BL123" s="52">
        <f t="shared" si="177"/>
        <v>7</v>
      </c>
      <c r="BM123" s="52">
        <f t="shared" si="178"/>
        <v>7</v>
      </c>
      <c r="BN123" s="52">
        <f t="shared" si="179"/>
        <v>7</v>
      </c>
      <c r="BO123" s="52">
        <f t="shared" si="180"/>
        <v>7</v>
      </c>
      <c r="BP123" s="52">
        <f t="shared" si="181"/>
        <v>7</v>
      </c>
      <c r="BQ123" s="52">
        <f t="shared" si="182"/>
        <v>6</v>
      </c>
      <c r="BR123" s="52">
        <f t="shared" si="183"/>
        <v>7</v>
      </c>
      <c r="BS123" s="52">
        <f t="shared" si="184"/>
        <v>7</v>
      </c>
      <c r="BT123" s="52">
        <f t="shared" si="185"/>
        <v>7</v>
      </c>
      <c r="BU123" s="52">
        <f t="shared" si="186"/>
        <v>7</v>
      </c>
      <c r="BV123" s="52">
        <f t="shared" si="187"/>
        <v>8</v>
      </c>
      <c r="BW123" s="52">
        <f t="shared" si="188"/>
        <v>7</v>
      </c>
      <c r="BX123" s="52">
        <f t="shared" si="189"/>
        <v>6</v>
      </c>
      <c r="BZ123">
        <f t="shared" si="129"/>
        <v>-1</v>
      </c>
      <c r="CA123">
        <f t="shared" si="215"/>
        <v>0</v>
      </c>
      <c r="CB123">
        <f t="shared" si="215"/>
        <v>0</v>
      </c>
      <c r="CC123">
        <f t="shared" si="215"/>
        <v>0</v>
      </c>
      <c r="CD123">
        <f t="shared" si="215"/>
        <v>0</v>
      </c>
      <c r="CE123">
        <f t="shared" si="215"/>
        <v>0</v>
      </c>
      <c r="CF123">
        <f t="shared" si="215"/>
        <v>0</v>
      </c>
      <c r="CG123">
        <f t="shared" si="215"/>
        <v>0</v>
      </c>
      <c r="CH123">
        <f t="shared" si="215"/>
        <v>0</v>
      </c>
      <c r="CI123">
        <f t="shared" si="215"/>
        <v>0</v>
      </c>
      <c r="CJ123">
        <f t="shared" si="215"/>
        <v>0</v>
      </c>
      <c r="CK123">
        <f t="shared" si="215"/>
        <v>0</v>
      </c>
      <c r="CL123">
        <f t="shared" si="215"/>
        <v>0</v>
      </c>
      <c r="CM123">
        <f t="shared" si="215"/>
        <v>0</v>
      </c>
      <c r="CN123">
        <f t="shared" si="215"/>
        <v>0</v>
      </c>
      <c r="CO123">
        <f t="shared" si="215"/>
        <v>0</v>
      </c>
      <c r="CP123">
        <f t="shared" si="215"/>
        <v>-1</v>
      </c>
      <c r="CQ123">
        <f t="shared" si="130"/>
        <v>1</v>
      </c>
      <c r="CR123">
        <f t="shared" si="131"/>
        <v>0</v>
      </c>
      <c r="CS123">
        <f t="shared" si="132"/>
        <v>0</v>
      </c>
      <c r="CT123">
        <f t="shared" si="133"/>
        <v>0</v>
      </c>
      <c r="CU123">
        <f t="shared" si="134"/>
        <v>1</v>
      </c>
      <c r="CV123">
        <f t="shared" si="135"/>
        <v>-1</v>
      </c>
      <c r="CW123">
        <f t="shared" si="136"/>
        <v>-1</v>
      </c>
    </row>
    <row r="124" spans="1:102">
      <c r="A124" s="60">
        <v>45046</v>
      </c>
      <c r="B124" s="426">
        <v>52097.4</v>
      </c>
      <c r="C124">
        <v>53595</v>
      </c>
      <c r="D124">
        <v>54392.7</v>
      </c>
      <c r="E124">
        <v>54512.2</v>
      </c>
      <c r="F124">
        <v>54165</v>
      </c>
      <c r="G124">
        <v>52787.199999999997</v>
      </c>
      <c r="H124">
        <v>52670.3</v>
      </c>
      <c r="I124">
        <v>53494.6</v>
      </c>
      <c r="J124">
        <v>53724.3</v>
      </c>
      <c r="K124">
        <v>54207.9</v>
      </c>
      <c r="L124">
        <v>53742.9</v>
      </c>
      <c r="M124">
        <v>53882.5</v>
      </c>
      <c r="N124">
        <v>53794.400000000001</v>
      </c>
      <c r="O124">
        <v>53671.4</v>
      </c>
      <c r="P124">
        <v>53745.2</v>
      </c>
      <c r="Q124">
        <v>53860.1</v>
      </c>
      <c r="R124">
        <v>53841</v>
      </c>
      <c r="S124">
        <v>53626.2</v>
      </c>
      <c r="T124">
        <v>54799.6</v>
      </c>
      <c r="U124">
        <v>54743.6</v>
      </c>
      <c r="V124">
        <v>53638.1</v>
      </c>
      <c r="W124">
        <v>53634.3</v>
      </c>
      <c r="X124">
        <v>53709</v>
      </c>
      <c r="Y124">
        <v>53504.4</v>
      </c>
      <c r="Z124" s="77">
        <v>1289839.3</v>
      </c>
      <c r="AB124">
        <f>+IF(AND(B124=0,C124&lt;&gt;0),1,0)</f>
        <v>0</v>
      </c>
      <c r="AC124">
        <f t="shared" si="145"/>
        <v>0</v>
      </c>
      <c r="AD124">
        <f t="shared" si="146"/>
        <v>0</v>
      </c>
      <c r="AE124">
        <f t="shared" si="147"/>
        <v>0</v>
      </c>
      <c r="AF124">
        <f t="shared" si="148"/>
        <v>0</v>
      </c>
      <c r="AG124">
        <f t="shared" si="149"/>
        <v>0</v>
      </c>
      <c r="AH124">
        <f t="shared" si="150"/>
        <v>0</v>
      </c>
      <c r="AI124">
        <f t="shared" si="151"/>
        <v>0</v>
      </c>
      <c r="AJ124">
        <f t="shared" si="152"/>
        <v>0</v>
      </c>
      <c r="AK124">
        <f t="shared" si="153"/>
        <v>0</v>
      </c>
      <c r="AL124">
        <f t="shared" si="154"/>
        <v>0</v>
      </c>
      <c r="AM124">
        <f t="shared" si="155"/>
        <v>0</v>
      </c>
      <c r="AN124">
        <f t="shared" si="156"/>
        <v>0</v>
      </c>
      <c r="AO124">
        <f t="shared" si="157"/>
        <v>0</v>
      </c>
      <c r="AP124">
        <f t="shared" si="158"/>
        <v>0</v>
      </c>
      <c r="AQ124">
        <f t="shared" si="159"/>
        <v>0</v>
      </c>
      <c r="AR124">
        <f t="shared" si="160"/>
        <v>0</v>
      </c>
      <c r="AS124">
        <f t="shared" si="161"/>
        <v>0</v>
      </c>
      <c r="AT124">
        <f t="shared" si="162"/>
        <v>0</v>
      </c>
      <c r="AU124">
        <f t="shared" si="163"/>
        <v>0</v>
      </c>
      <c r="AV124">
        <f t="shared" si="164"/>
        <v>0</v>
      </c>
      <c r="AW124">
        <f t="shared" si="165"/>
        <v>0</v>
      </c>
      <c r="AX124">
        <f t="shared" si="166"/>
        <v>0</v>
      </c>
      <c r="AY124">
        <f t="shared" si="218"/>
        <v>0</v>
      </c>
      <c r="BA124">
        <f t="shared" si="142"/>
        <v>6</v>
      </c>
      <c r="BB124">
        <f t="shared" si="167"/>
        <v>7</v>
      </c>
      <c r="BC124">
        <f t="shared" si="168"/>
        <v>7</v>
      </c>
      <c r="BD124">
        <f t="shared" si="169"/>
        <v>7</v>
      </c>
      <c r="BE124">
        <f t="shared" si="170"/>
        <v>7</v>
      </c>
      <c r="BF124">
        <f t="shared" si="171"/>
        <v>6</v>
      </c>
      <c r="BG124">
        <f t="shared" si="172"/>
        <v>6</v>
      </c>
      <c r="BH124">
        <f t="shared" si="173"/>
        <v>7</v>
      </c>
      <c r="BI124">
        <f t="shared" si="174"/>
        <v>7</v>
      </c>
      <c r="BJ124">
        <f t="shared" si="175"/>
        <v>7</v>
      </c>
      <c r="BK124">
        <f t="shared" si="176"/>
        <v>7</v>
      </c>
      <c r="BL124">
        <f t="shared" si="177"/>
        <v>7</v>
      </c>
      <c r="BM124">
        <f t="shared" si="178"/>
        <v>7</v>
      </c>
      <c r="BN124">
        <f t="shared" si="179"/>
        <v>7</v>
      </c>
      <c r="BO124">
        <f t="shared" si="180"/>
        <v>7</v>
      </c>
      <c r="BP124">
        <f t="shared" si="181"/>
        <v>7</v>
      </c>
      <c r="BQ124">
        <f t="shared" si="182"/>
        <v>7</v>
      </c>
      <c r="BR124">
        <f t="shared" si="183"/>
        <v>7</v>
      </c>
      <c r="BS124">
        <f t="shared" si="184"/>
        <v>7</v>
      </c>
      <c r="BT124">
        <f t="shared" si="185"/>
        <v>7</v>
      </c>
      <c r="BU124">
        <f t="shared" si="186"/>
        <v>7</v>
      </c>
      <c r="BV124">
        <f t="shared" si="187"/>
        <v>7</v>
      </c>
      <c r="BW124">
        <f t="shared" si="188"/>
        <v>7</v>
      </c>
      <c r="BX124">
        <f t="shared" si="189"/>
        <v>7</v>
      </c>
      <c r="BZ124" s="52">
        <f t="shared" si="129"/>
        <v>0</v>
      </c>
      <c r="CA124" s="52">
        <f t="shared" si="215"/>
        <v>1</v>
      </c>
      <c r="CB124" s="52">
        <f t="shared" si="215"/>
        <v>0</v>
      </c>
      <c r="CC124" s="52">
        <f t="shared" si="215"/>
        <v>0</v>
      </c>
      <c r="CD124" s="52">
        <f t="shared" si="215"/>
        <v>0</v>
      </c>
      <c r="CE124" s="52">
        <f t="shared" si="215"/>
        <v>-1</v>
      </c>
      <c r="CF124" s="52">
        <f t="shared" si="215"/>
        <v>0</v>
      </c>
      <c r="CG124" s="52">
        <f t="shared" si="215"/>
        <v>1</v>
      </c>
      <c r="CH124" s="52">
        <f t="shared" si="215"/>
        <v>0</v>
      </c>
      <c r="CI124" s="52">
        <f t="shared" si="215"/>
        <v>0</v>
      </c>
      <c r="CJ124" s="52">
        <f t="shared" si="215"/>
        <v>0</v>
      </c>
      <c r="CK124" s="52">
        <f t="shared" si="215"/>
        <v>0</v>
      </c>
      <c r="CL124" s="52">
        <f t="shared" si="215"/>
        <v>0</v>
      </c>
      <c r="CM124" s="52">
        <f t="shared" si="215"/>
        <v>0</v>
      </c>
      <c r="CN124" s="52">
        <f t="shared" si="215"/>
        <v>0</v>
      </c>
      <c r="CO124" s="52">
        <f t="shared" si="215"/>
        <v>0</v>
      </c>
      <c r="CP124" s="52">
        <f t="shared" si="215"/>
        <v>0</v>
      </c>
      <c r="CQ124" s="52">
        <f t="shared" si="130"/>
        <v>0</v>
      </c>
      <c r="CR124" s="52">
        <f t="shared" si="131"/>
        <v>0</v>
      </c>
      <c r="CS124" s="52">
        <f t="shared" si="132"/>
        <v>0</v>
      </c>
      <c r="CT124" s="52">
        <f t="shared" si="133"/>
        <v>0</v>
      </c>
      <c r="CU124" s="52">
        <f t="shared" si="134"/>
        <v>0</v>
      </c>
      <c r="CV124" s="52">
        <f t="shared" si="135"/>
        <v>0</v>
      </c>
      <c r="CW124" s="52">
        <f t="shared" si="136"/>
        <v>0</v>
      </c>
    </row>
    <row r="125" spans="1:102">
      <c r="A125" s="60">
        <v>45047</v>
      </c>
      <c r="B125" s="426">
        <v>53527.199999999997</v>
      </c>
      <c r="C125">
        <v>53542.6</v>
      </c>
      <c r="D125">
        <v>53889.7</v>
      </c>
      <c r="E125">
        <v>53572.6</v>
      </c>
      <c r="F125">
        <v>53663.6</v>
      </c>
      <c r="G125">
        <v>53670</v>
      </c>
      <c r="H125">
        <v>53620</v>
      </c>
      <c r="I125">
        <v>53667.7</v>
      </c>
      <c r="J125">
        <v>53811.3</v>
      </c>
      <c r="K125">
        <v>53729.599999999999</v>
      </c>
      <c r="L125">
        <v>53804.800000000003</v>
      </c>
      <c r="M125">
        <v>53645.5</v>
      </c>
      <c r="N125">
        <v>53598.8</v>
      </c>
      <c r="O125">
        <v>53461.599999999999</v>
      </c>
      <c r="P125">
        <v>53516.9</v>
      </c>
      <c r="Q125">
        <v>53576.1</v>
      </c>
      <c r="R125">
        <v>53455.7</v>
      </c>
      <c r="S125">
        <v>53408.800000000003</v>
      </c>
      <c r="T125">
        <v>53654.2</v>
      </c>
      <c r="U125">
        <v>53553.599999999999</v>
      </c>
      <c r="V125">
        <v>53444.3</v>
      </c>
      <c r="W125">
        <v>53466.3</v>
      </c>
      <c r="X125">
        <v>53757.7</v>
      </c>
      <c r="Y125">
        <v>53564.1</v>
      </c>
      <c r="Z125" s="77">
        <v>1286602.7000000002</v>
      </c>
      <c r="AB125" s="156">
        <f>+IF(AND(B125=0,C125&lt;&gt;0),1,0)</f>
        <v>0</v>
      </c>
      <c r="AC125" s="156">
        <f t="shared" si="145"/>
        <v>0</v>
      </c>
      <c r="AD125" s="156">
        <f t="shared" si="146"/>
        <v>0</v>
      </c>
      <c r="AE125" s="156">
        <f t="shared" si="147"/>
        <v>0</v>
      </c>
      <c r="AF125" s="156">
        <f t="shared" si="148"/>
        <v>0</v>
      </c>
      <c r="AG125" s="156">
        <f t="shared" si="149"/>
        <v>0</v>
      </c>
      <c r="AH125" s="156">
        <f t="shared" si="150"/>
        <v>0</v>
      </c>
      <c r="AI125" s="156">
        <f t="shared" si="151"/>
        <v>0</v>
      </c>
      <c r="AJ125" s="156">
        <f t="shared" si="152"/>
        <v>0</v>
      </c>
      <c r="AK125" s="156">
        <f t="shared" si="153"/>
        <v>0</v>
      </c>
      <c r="AL125" s="156">
        <f t="shared" si="154"/>
        <v>0</v>
      </c>
      <c r="AM125" s="156">
        <f t="shared" si="155"/>
        <v>0</v>
      </c>
      <c r="AN125" s="156">
        <f t="shared" si="156"/>
        <v>0</v>
      </c>
      <c r="AO125" s="156">
        <f t="shared" si="157"/>
        <v>0</v>
      </c>
      <c r="AP125" s="156">
        <f t="shared" si="158"/>
        <v>0</v>
      </c>
      <c r="AQ125" s="156">
        <f t="shared" si="159"/>
        <v>0</v>
      </c>
      <c r="AR125" s="156">
        <f t="shared" si="160"/>
        <v>0</v>
      </c>
      <c r="AS125" s="156">
        <f t="shared" si="161"/>
        <v>0</v>
      </c>
      <c r="AT125" s="156">
        <f t="shared" si="162"/>
        <v>0</v>
      </c>
      <c r="AU125" s="156">
        <f t="shared" si="163"/>
        <v>0</v>
      </c>
      <c r="AV125" s="156">
        <f t="shared" si="164"/>
        <v>0</v>
      </c>
      <c r="AW125" s="156">
        <f t="shared" si="165"/>
        <v>0</v>
      </c>
      <c r="AX125" s="156">
        <f t="shared" si="166"/>
        <v>0</v>
      </c>
      <c r="AY125" s="156">
        <f t="shared" si="218"/>
        <v>0</v>
      </c>
      <c r="AZ125" s="63">
        <f>+SUM(AB95:AY124)</f>
        <v>0</v>
      </c>
      <c r="BA125" s="54">
        <f>+ROUNDUP(B125/8800,0)</f>
        <v>7</v>
      </c>
      <c r="BB125" s="54">
        <f t="shared" si="167"/>
        <v>7</v>
      </c>
      <c r="BC125" s="54">
        <f t="shared" si="168"/>
        <v>7</v>
      </c>
      <c r="BD125" s="54">
        <f t="shared" si="169"/>
        <v>7</v>
      </c>
      <c r="BE125" s="54">
        <f t="shared" si="170"/>
        <v>7</v>
      </c>
      <c r="BF125" s="54">
        <f t="shared" si="171"/>
        <v>7</v>
      </c>
      <c r="BG125" s="54">
        <f t="shared" si="172"/>
        <v>7</v>
      </c>
      <c r="BH125" s="54">
        <f t="shared" si="173"/>
        <v>7</v>
      </c>
      <c r="BI125" s="54">
        <f t="shared" si="174"/>
        <v>7</v>
      </c>
      <c r="BJ125" s="54">
        <f t="shared" si="175"/>
        <v>7</v>
      </c>
      <c r="BK125" s="54">
        <f t="shared" si="176"/>
        <v>7</v>
      </c>
      <c r="BL125" s="54">
        <f t="shared" si="177"/>
        <v>7</v>
      </c>
      <c r="BM125" s="54">
        <f t="shared" si="178"/>
        <v>7</v>
      </c>
      <c r="BN125" s="54">
        <f t="shared" si="179"/>
        <v>7</v>
      </c>
      <c r="BO125" s="54">
        <f t="shared" si="180"/>
        <v>7</v>
      </c>
      <c r="BP125" s="54">
        <f t="shared" si="181"/>
        <v>7</v>
      </c>
      <c r="BQ125" s="54">
        <f t="shared" si="182"/>
        <v>7</v>
      </c>
      <c r="BR125" s="54">
        <f t="shared" si="183"/>
        <v>7</v>
      </c>
      <c r="BS125" s="54">
        <f t="shared" si="184"/>
        <v>7</v>
      </c>
      <c r="BT125" s="54">
        <f t="shared" si="185"/>
        <v>7</v>
      </c>
      <c r="BU125" s="54">
        <f t="shared" si="186"/>
        <v>7</v>
      </c>
      <c r="BV125" s="54">
        <f t="shared" si="187"/>
        <v>7</v>
      </c>
      <c r="BW125" s="54">
        <f t="shared" si="188"/>
        <v>7</v>
      </c>
      <c r="BX125" s="54">
        <f t="shared" si="189"/>
        <v>7</v>
      </c>
      <c r="BY125" s="53">
        <f>+SUM(BA95:BX124)</f>
        <v>4968</v>
      </c>
      <c r="BZ125" s="54">
        <f t="shared" si="129"/>
        <v>0</v>
      </c>
      <c r="CA125" s="54">
        <f t="shared" si="215"/>
        <v>0</v>
      </c>
      <c r="CB125" s="54">
        <f t="shared" si="215"/>
        <v>0</v>
      </c>
      <c r="CC125" s="54">
        <f t="shared" si="215"/>
        <v>0</v>
      </c>
      <c r="CD125" s="54">
        <f t="shared" si="215"/>
        <v>0</v>
      </c>
      <c r="CE125" s="54">
        <f t="shared" si="215"/>
        <v>0</v>
      </c>
      <c r="CF125" s="54">
        <f t="shared" si="215"/>
        <v>0</v>
      </c>
      <c r="CG125" s="54">
        <f t="shared" si="215"/>
        <v>0</v>
      </c>
      <c r="CH125" s="54">
        <f t="shared" si="215"/>
        <v>0</v>
      </c>
      <c r="CI125" s="54">
        <f t="shared" si="215"/>
        <v>0</v>
      </c>
      <c r="CJ125" s="54">
        <f t="shared" si="215"/>
        <v>0</v>
      </c>
      <c r="CK125" s="54">
        <f t="shared" si="215"/>
        <v>0</v>
      </c>
      <c r="CL125" s="54">
        <f t="shared" si="215"/>
        <v>0</v>
      </c>
      <c r="CM125" s="54">
        <f t="shared" si="215"/>
        <v>0</v>
      </c>
      <c r="CN125" s="54">
        <f t="shared" si="215"/>
        <v>0</v>
      </c>
      <c r="CO125" s="54">
        <f t="shared" si="215"/>
        <v>0</v>
      </c>
      <c r="CP125" s="54">
        <f t="shared" si="215"/>
        <v>0</v>
      </c>
      <c r="CQ125" s="54">
        <f t="shared" si="130"/>
        <v>0</v>
      </c>
      <c r="CR125" s="54">
        <f t="shared" si="131"/>
        <v>0</v>
      </c>
      <c r="CS125" s="54">
        <f t="shared" si="132"/>
        <v>0</v>
      </c>
      <c r="CT125" s="54">
        <f t="shared" si="133"/>
        <v>0</v>
      </c>
      <c r="CU125" s="54">
        <f t="shared" si="134"/>
        <v>0</v>
      </c>
      <c r="CV125" s="54">
        <f t="shared" si="135"/>
        <v>0</v>
      </c>
      <c r="CW125" s="54">
        <f t="shared" si="136"/>
        <v>0</v>
      </c>
      <c r="CX125" s="53">
        <f>+SUMIF(BZ95:CW124,"&gt;0")</f>
        <v>53</v>
      </c>
    </row>
    <row r="126" spans="1:102">
      <c r="A126" s="60">
        <v>45048</v>
      </c>
      <c r="B126" s="426">
        <v>53131.1</v>
      </c>
      <c r="C126">
        <v>53518.7</v>
      </c>
      <c r="D126">
        <v>53568</v>
      </c>
      <c r="E126">
        <v>53741.4</v>
      </c>
      <c r="F126">
        <v>53891.7</v>
      </c>
      <c r="G126">
        <v>53825</v>
      </c>
      <c r="H126">
        <v>54290.3</v>
      </c>
      <c r="I126">
        <v>54288.3</v>
      </c>
      <c r="J126">
        <v>54013.2</v>
      </c>
      <c r="K126">
        <v>53991.6</v>
      </c>
      <c r="L126">
        <v>54132.4</v>
      </c>
      <c r="M126">
        <v>54092.4</v>
      </c>
      <c r="N126">
        <v>54086.5</v>
      </c>
      <c r="O126">
        <v>54043.6</v>
      </c>
      <c r="P126">
        <v>54147.5</v>
      </c>
      <c r="Q126">
        <v>54124.5</v>
      </c>
      <c r="R126">
        <v>53851.6</v>
      </c>
      <c r="S126">
        <v>54096.1</v>
      </c>
      <c r="T126">
        <v>58288.4</v>
      </c>
      <c r="U126">
        <v>69303.8</v>
      </c>
      <c r="V126">
        <v>68979.399999999994</v>
      </c>
      <c r="W126">
        <v>68260.899999999994</v>
      </c>
      <c r="X126">
        <v>67996.600000000006</v>
      </c>
      <c r="Y126">
        <v>67878.600000000006</v>
      </c>
      <c r="Z126" s="77">
        <v>1371541.5999999999</v>
      </c>
      <c r="AB126">
        <f t="shared" ref="AB126:AB154" si="219">+IF(AND(B126=0,C126&lt;&gt;0),1,0)</f>
        <v>0</v>
      </c>
      <c r="AC126">
        <f t="shared" si="145"/>
        <v>0</v>
      </c>
      <c r="AD126">
        <f t="shared" si="146"/>
        <v>0</v>
      </c>
      <c r="AE126">
        <f t="shared" si="147"/>
        <v>0</v>
      </c>
      <c r="AF126">
        <f t="shared" si="148"/>
        <v>0</v>
      </c>
      <c r="AG126">
        <f t="shared" si="149"/>
        <v>0</v>
      </c>
      <c r="AH126">
        <f t="shared" si="150"/>
        <v>0</v>
      </c>
      <c r="AI126">
        <f t="shared" si="151"/>
        <v>0</v>
      </c>
      <c r="AJ126">
        <f t="shared" si="152"/>
        <v>0</v>
      </c>
      <c r="AK126">
        <f t="shared" si="153"/>
        <v>0</v>
      </c>
      <c r="AL126">
        <f t="shared" si="154"/>
        <v>0</v>
      </c>
      <c r="AM126">
        <f t="shared" si="155"/>
        <v>0</v>
      </c>
      <c r="AN126">
        <f t="shared" si="156"/>
        <v>0</v>
      </c>
      <c r="AO126">
        <f t="shared" si="157"/>
        <v>0</v>
      </c>
      <c r="AP126">
        <f t="shared" si="158"/>
        <v>0</v>
      </c>
      <c r="AQ126">
        <f t="shared" si="159"/>
        <v>0</v>
      </c>
      <c r="AR126">
        <f t="shared" si="160"/>
        <v>0</v>
      </c>
      <c r="AS126">
        <f t="shared" si="161"/>
        <v>0</v>
      </c>
      <c r="AT126">
        <f t="shared" si="162"/>
        <v>0</v>
      </c>
      <c r="AU126">
        <f t="shared" si="163"/>
        <v>0</v>
      </c>
      <c r="AV126">
        <f t="shared" si="164"/>
        <v>0</v>
      </c>
      <c r="AW126">
        <f t="shared" si="165"/>
        <v>0</v>
      </c>
      <c r="AX126">
        <f t="shared" si="166"/>
        <v>0</v>
      </c>
      <c r="AY126">
        <f t="shared" ref="AY126:AY154" si="220">+IF(AND(Y126=0,B127&lt;&gt;0),1,0)</f>
        <v>0</v>
      </c>
      <c r="BA126">
        <f t="shared" ref="BA126:BA154" si="221">+ROUNDUP(B126/8800,0)</f>
        <v>7</v>
      </c>
      <c r="BB126">
        <f t="shared" si="167"/>
        <v>7</v>
      </c>
      <c r="BC126">
        <f t="shared" si="168"/>
        <v>7</v>
      </c>
      <c r="BD126">
        <f t="shared" si="169"/>
        <v>7</v>
      </c>
      <c r="BE126">
        <f t="shared" si="170"/>
        <v>7</v>
      </c>
      <c r="BF126">
        <f t="shared" si="171"/>
        <v>7</v>
      </c>
      <c r="BG126">
        <f t="shared" si="172"/>
        <v>7</v>
      </c>
      <c r="BH126">
        <f t="shared" si="173"/>
        <v>7</v>
      </c>
      <c r="BI126">
        <f t="shared" si="174"/>
        <v>7</v>
      </c>
      <c r="BJ126">
        <f t="shared" si="175"/>
        <v>7</v>
      </c>
      <c r="BK126">
        <f t="shared" si="176"/>
        <v>7</v>
      </c>
      <c r="BL126">
        <f t="shared" si="177"/>
        <v>7</v>
      </c>
      <c r="BM126">
        <f t="shared" si="178"/>
        <v>7</v>
      </c>
      <c r="BN126">
        <f t="shared" si="179"/>
        <v>7</v>
      </c>
      <c r="BO126">
        <f t="shared" si="180"/>
        <v>7</v>
      </c>
      <c r="BP126">
        <f t="shared" si="181"/>
        <v>7</v>
      </c>
      <c r="BQ126">
        <f t="shared" si="182"/>
        <v>7</v>
      </c>
      <c r="BR126">
        <f t="shared" si="183"/>
        <v>7</v>
      </c>
      <c r="BS126">
        <f t="shared" si="184"/>
        <v>7</v>
      </c>
      <c r="BT126">
        <f t="shared" si="185"/>
        <v>8</v>
      </c>
      <c r="BU126">
        <f t="shared" si="186"/>
        <v>8</v>
      </c>
      <c r="BV126">
        <f t="shared" si="187"/>
        <v>8</v>
      </c>
      <c r="BW126">
        <f t="shared" si="188"/>
        <v>8</v>
      </c>
      <c r="BX126">
        <f t="shared" si="189"/>
        <v>8</v>
      </c>
      <c r="BZ126" s="52">
        <f t="shared" si="129"/>
        <v>0</v>
      </c>
      <c r="CA126" s="52">
        <f t="shared" si="215"/>
        <v>0</v>
      </c>
      <c r="CB126" s="52">
        <f t="shared" si="215"/>
        <v>0</v>
      </c>
      <c r="CC126" s="52">
        <f t="shared" si="215"/>
        <v>0</v>
      </c>
      <c r="CD126" s="52">
        <f t="shared" si="215"/>
        <v>0</v>
      </c>
      <c r="CE126" s="52">
        <f t="shared" si="215"/>
        <v>0</v>
      </c>
      <c r="CF126" s="52">
        <f t="shared" si="215"/>
        <v>0</v>
      </c>
      <c r="CG126" s="52">
        <f t="shared" si="215"/>
        <v>0</v>
      </c>
      <c r="CH126" s="52">
        <f t="shared" si="215"/>
        <v>0</v>
      </c>
      <c r="CI126" s="52">
        <f t="shared" si="215"/>
        <v>0</v>
      </c>
      <c r="CJ126" s="52">
        <f t="shared" si="215"/>
        <v>0</v>
      </c>
      <c r="CK126" s="52">
        <f t="shared" si="215"/>
        <v>0</v>
      </c>
      <c r="CL126" s="52">
        <f t="shared" si="215"/>
        <v>0</v>
      </c>
      <c r="CM126" s="52">
        <f t="shared" si="215"/>
        <v>0</v>
      </c>
      <c r="CN126" s="52">
        <f t="shared" si="215"/>
        <v>0</v>
      </c>
      <c r="CO126" s="52">
        <f t="shared" si="215"/>
        <v>0</v>
      </c>
      <c r="CP126" s="52">
        <f t="shared" si="215"/>
        <v>0</v>
      </c>
      <c r="CQ126" s="52">
        <f t="shared" si="130"/>
        <v>0</v>
      </c>
      <c r="CR126" s="52">
        <f t="shared" si="131"/>
        <v>0</v>
      </c>
      <c r="CS126" s="52">
        <f t="shared" si="132"/>
        <v>1</v>
      </c>
      <c r="CT126" s="52">
        <f t="shared" si="133"/>
        <v>0</v>
      </c>
      <c r="CU126" s="52">
        <f t="shared" si="134"/>
        <v>0</v>
      </c>
      <c r="CV126" s="52">
        <f t="shared" si="135"/>
        <v>0</v>
      </c>
      <c r="CW126" s="52">
        <f t="shared" si="136"/>
        <v>0</v>
      </c>
    </row>
    <row r="127" spans="1:102">
      <c r="A127" s="60">
        <v>45049</v>
      </c>
      <c r="B127" s="426">
        <v>66222.8</v>
      </c>
      <c r="C127">
        <v>55139.9</v>
      </c>
      <c r="D127">
        <v>55160.800000000003</v>
      </c>
      <c r="E127">
        <v>55247.7</v>
      </c>
      <c r="F127">
        <v>55214.8</v>
      </c>
      <c r="G127">
        <v>54713.5</v>
      </c>
      <c r="H127">
        <v>54643.5</v>
      </c>
      <c r="I127">
        <v>54415.3</v>
      </c>
      <c r="J127">
        <v>54191.6</v>
      </c>
      <c r="K127">
        <v>54344.800000000003</v>
      </c>
      <c r="L127">
        <v>54162.400000000001</v>
      </c>
      <c r="M127">
        <v>54064.800000000003</v>
      </c>
      <c r="N127">
        <v>54124.2</v>
      </c>
      <c r="O127">
        <v>54093.1</v>
      </c>
      <c r="P127">
        <v>64263.7</v>
      </c>
      <c r="Q127">
        <v>68353.3</v>
      </c>
      <c r="R127">
        <v>54005.1</v>
      </c>
      <c r="S127">
        <v>53977.2</v>
      </c>
      <c r="T127">
        <v>67945.5</v>
      </c>
      <c r="U127">
        <v>68728.5</v>
      </c>
      <c r="V127">
        <v>68493.5</v>
      </c>
      <c r="W127">
        <v>68197.7</v>
      </c>
      <c r="X127">
        <v>68193.3</v>
      </c>
      <c r="Y127">
        <v>68368.600000000006</v>
      </c>
      <c r="Z127" s="77">
        <v>1426265.6</v>
      </c>
      <c r="AB127" s="52">
        <f t="shared" si="219"/>
        <v>0</v>
      </c>
      <c r="AC127" s="52">
        <f t="shared" si="145"/>
        <v>0</v>
      </c>
      <c r="AD127" s="52">
        <f t="shared" si="146"/>
        <v>0</v>
      </c>
      <c r="AE127" s="52">
        <f t="shared" si="147"/>
        <v>0</v>
      </c>
      <c r="AF127" s="52">
        <f t="shared" si="148"/>
        <v>0</v>
      </c>
      <c r="AG127" s="52">
        <f t="shared" si="149"/>
        <v>0</v>
      </c>
      <c r="AH127" s="52">
        <f t="shared" si="150"/>
        <v>0</v>
      </c>
      <c r="AI127" s="52">
        <f t="shared" si="151"/>
        <v>0</v>
      </c>
      <c r="AJ127" s="52">
        <f t="shared" si="152"/>
        <v>0</v>
      </c>
      <c r="AK127" s="52">
        <f t="shared" si="153"/>
        <v>0</v>
      </c>
      <c r="AL127" s="52">
        <f t="shared" si="154"/>
        <v>0</v>
      </c>
      <c r="AM127" s="52">
        <f t="shared" si="155"/>
        <v>0</v>
      </c>
      <c r="AN127" s="52">
        <f t="shared" si="156"/>
        <v>0</v>
      </c>
      <c r="AO127" s="52">
        <f t="shared" si="157"/>
        <v>0</v>
      </c>
      <c r="AP127" s="52">
        <f t="shared" si="158"/>
        <v>0</v>
      </c>
      <c r="AQ127" s="52">
        <f t="shared" si="159"/>
        <v>0</v>
      </c>
      <c r="AR127" s="52">
        <f t="shared" si="160"/>
        <v>0</v>
      </c>
      <c r="AS127" s="52">
        <f t="shared" si="161"/>
        <v>0</v>
      </c>
      <c r="AT127" s="52">
        <f t="shared" si="162"/>
        <v>0</v>
      </c>
      <c r="AU127" s="52">
        <f t="shared" si="163"/>
        <v>0</v>
      </c>
      <c r="AV127" s="52">
        <f t="shared" si="164"/>
        <v>0</v>
      </c>
      <c r="AW127" s="52">
        <f t="shared" si="165"/>
        <v>0</v>
      </c>
      <c r="AX127" s="52">
        <f t="shared" si="166"/>
        <v>0</v>
      </c>
      <c r="AY127" s="52">
        <f t="shared" si="220"/>
        <v>0</v>
      </c>
      <c r="BA127" s="52">
        <f t="shared" si="221"/>
        <v>8</v>
      </c>
      <c r="BB127" s="52">
        <f t="shared" si="167"/>
        <v>7</v>
      </c>
      <c r="BC127" s="52">
        <f t="shared" si="168"/>
        <v>7</v>
      </c>
      <c r="BD127" s="52">
        <f t="shared" si="169"/>
        <v>7</v>
      </c>
      <c r="BE127" s="52">
        <f t="shared" si="170"/>
        <v>7</v>
      </c>
      <c r="BF127" s="52">
        <f t="shared" si="171"/>
        <v>7</v>
      </c>
      <c r="BG127" s="52">
        <f t="shared" si="172"/>
        <v>7</v>
      </c>
      <c r="BH127" s="52">
        <f t="shared" si="173"/>
        <v>7</v>
      </c>
      <c r="BI127" s="52">
        <f t="shared" si="174"/>
        <v>7</v>
      </c>
      <c r="BJ127" s="52">
        <f t="shared" si="175"/>
        <v>7</v>
      </c>
      <c r="BK127" s="52">
        <f t="shared" si="176"/>
        <v>7</v>
      </c>
      <c r="BL127" s="52">
        <f t="shared" si="177"/>
        <v>7</v>
      </c>
      <c r="BM127" s="52">
        <f t="shared" si="178"/>
        <v>7</v>
      </c>
      <c r="BN127" s="52">
        <f t="shared" si="179"/>
        <v>7</v>
      </c>
      <c r="BO127" s="52">
        <f t="shared" si="180"/>
        <v>8</v>
      </c>
      <c r="BP127" s="52">
        <f t="shared" si="181"/>
        <v>8</v>
      </c>
      <c r="BQ127" s="52">
        <f t="shared" si="182"/>
        <v>7</v>
      </c>
      <c r="BR127" s="52">
        <f t="shared" si="183"/>
        <v>7</v>
      </c>
      <c r="BS127" s="52">
        <f t="shared" si="184"/>
        <v>8</v>
      </c>
      <c r="BT127" s="52">
        <f t="shared" si="185"/>
        <v>8</v>
      </c>
      <c r="BU127" s="52">
        <f t="shared" si="186"/>
        <v>8</v>
      </c>
      <c r="BV127" s="52">
        <f t="shared" si="187"/>
        <v>8</v>
      </c>
      <c r="BW127" s="52">
        <f t="shared" si="188"/>
        <v>8</v>
      </c>
      <c r="BX127" s="52">
        <f t="shared" si="189"/>
        <v>8</v>
      </c>
      <c r="BZ127">
        <f t="shared" si="129"/>
        <v>0</v>
      </c>
      <c r="CA127">
        <f t="shared" si="215"/>
        <v>-1</v>
      </c>
      <c r="CB127">
        <f t="shared" si="215"/>
        <v>0</v>
      </c>
      <c r="CC127">
        <f t="shared" si="215"/>
        <v>0</v>
      </c>
      <c r="CD127">
        <f t="shared" si="215"/>
        <v>0</v>
      </c>
      <c r="CE127">
        <f t="shared" si="215"/>
        <v>0</v>
      </c>
      <c r="CF127">
        <f t="shared" si="215"/>
        <v>0</v>
      </c>
      <c r="CG127">
        <f t="shared" si="215"/>
        <v>0</v>
      </c>
      <c r="CH127">
        <f t="shared" si="215"/>
        <v>0</v>
      </c>
      <c r="CI127">
        <f t="shared" si="215"/>
        <v>0</v>
      </c>
      <c r="CJ127">
        <f t="shared" si="215"/>
        <v>0</v>
      </c>
      <c r="CK127">
        <f t="shared" si="215"/>
        <v>0</v>
      </c>
      <c r="CL127">
        <f t="shared" si="215"/>
        <v>0</v>
      </c>
      <c r="CM127">
        <f t="shared" si="215"/>
        <v>0</v>
      </c>
      <c r="CN127">
        <f t="shared" si="215"/>
        <v>1</v>
      </c>
      <c r="CO127">
        <f t="shared" si="215"/>
        <v>0</v>
      </c>
      <c r="CP127">
        <f t="shared" si="215"/>
        <v>-1</v>
      </c>
      <c r="CQ127">
        <f t="shared" si="130"/>
        <v>0</v>
      </c>
      <c r="CR127">
        <f t="shared" si="131"/>
        <v>1</v>
      </c>
      <c r="CS127">
        <f t="shared" si="132"/>
        <v>0</v>
      </c>
      <c r="CT127">
        <f t="shared" si="133"/>
        <v>0</v>
      </c>
      <c r="CU127">
        <f t="shared" si="134"/>
        <v>0</v>
      </c>
      <c r="CV127">
        <f t="shared" si="135"/>
        <v>0</v>
      </c>
      <c r="CW127">
        <f t="shared" si="136"/>
        <v>0</v>
      </c>
    </row>
    <row r="128" spans="1:102">
      <c r="A128" s="60">
        <v>45050</v>
      </c>
      <c r="B128" s="426">
        <v>68247.3</v>
      </c>
      <c r="C128">
        <v>55379.7</v>
      </c>
      <c r="D128">
        <v>54968.2</v>
      </c>
      <c r="E128">
        <v>54952</v>
      </c>
      <c r="F128">
        <v>54979.7</v>
      </c>
      <c r="G128">
        <v>55014.7</v>
      </c>
      <c r="H128">
        <v>53854.5</v>
      </c>
      <c r="I128">
        <v>53779.6</v>
      </c>
      <c r="J128">
        <v>53001.5</v>
      </c>
      <c r="K128">
        <v>53027.1</v>
      </c>
      <c r="L128">
        <v>52993.7</v>
      </c>
      <c r="M128">
        <v>52935.4</v>
      </c>
      <c r="N128">
        <v>52868.7</v>
      </c>
      <c r="O128">
        <v>57574.6</v>
      </c>
      <c r="P128">
        <v>68153.100000000006</v>
      </c>
      <c r="Q128">
        <v>67665.2</v>
      </c>
      <c r="R128">
        <v>65956.600000000006</v>
      </c>
      <c r="S128">
        <v>54321.1</v>
      </c>
      <c r="T128">
        <v>61869.1</v>
      </c>
      <c r="U128">
        <v>67287.600000000006</v>
      </c>
      <c r="V128">
        <v>67106.399999999994</v>
      </c>
      <c r="W128">
        <v>67243.5</v>
      </c>
      <c r="X128">
        <v>67148.2</v>
      </c>
      <c r="Y128">
        <v>67964</v>
      </c>
      <c r="Z128" s="77">
        <v>1428291.4999999998</v>
      </c>
      <c r="AB128">
        <f t="shared" si="219"/>
        <v>0</v>
      </c>
      <c r="AC128">
        <f t="shared" si="145"/>
        <v>0</v>
      </c>
      <c r="AD128">
        <f t="shared" si="146"/>
        <v>0</v>
      </c>
      <c r="AE128">
        <f t="shared" si="147"/>
        <v>0</v>
      </c>
      <c r="AF128">
        <f t="shared" si="148"/>
        <v>0</v>
      </c>
      <c r="AG128">
        <f t="shared" si="149"/>
        <v>0</v>
      </c>
      <c r="AH128">
        <f t="shared" si="150"/>
        <v>0</v>
      </c>
      <c r="AI128">
        <f t="shared" si="151"/>
        <v>0</v>
      </c>
      <c r="AJ128">
        <f t="shared" si="152"/>
        <v>0</v>
      </c>
      <c r="AK128">
        <f t="shared" si="153"/>
        <v>0</v>
      </c>
      <c r="AL128">
        <f t="shared" si="154"/>
        <v>0</v>
      </c>
      <c r="AM128">
        <f t="shared" si="155"/>
        <v>0</v>
      </c>
      <c r="AN128">
        <f t="shared" si="156"/>
        <v>0</v>
      </c>
      <c r="AO128">
        <f t="shared" si="157"/>
        <v>0</v>
      </c>
      <c r="AP128">
        <f t="shared" si="158"/>
        <v>0</v>
      </c>
      <c r="AQ128">
        <f t="shared" si="159"/>
        <v>0</v>
      </c>
      <c r="AR128">
        <f t="shared" si="160"/>
        <v>0</v>
      </c>
      <c r="AS128">
        <f t="shared" si="161"/>
        <v>0</v>
      </c>
      <c r="AT128">
        <f t="shared" si="162"/>
        <v>0</v>
      </c>
      <c r="AU128">
        <f t="shared" si="163"/>
        <v>0</v>
      </c>
      <c r="AV128">
        <f t="shared" si="164"/>
        <v>0</v>
      </c>
      <c r="AW128">
        <f t="shared" si="165"/>
        <v>0</v>
      </c>
      <c r="AX128">
        <f t="shared" si="166"/>
        <v>0</v>
      </c>
      <c r="AY128">
        <f t="shared" si="220"/>
        <v>0</v>
      </c>
      <c r="BA128">
        <f t="shared" si="221"/>
        <v>8</v>
      </c>
      <c r="BB128">
        <f t="shared" si="167"/>
        <v>7</v>
      </c>
      <c r="BC128">
        <f t="shared" si="168"/>
        <v>7</v>
      </c>
      <c r="BD128">
        <f t="shared" si="169"/>
        <v>7</v>
      </c>
      <c r="BE128">
        <f t="shared" si="170"/>
        <v>7</v>
      </c>
      <c r="BF128">
        <f t="shared" si="171"/>
        <v>7</v>
      </c>
      <c r="BG128">
        <f t="shared" si="172"/>
        <v>7</v>
      </c>
      <c r="BH128">
        <f t="shared" si="173"/>
        <v>7</v>
      </c>
      <c r="BI128">
        <f t="shared" si="174"/>
        <v>7</v>
      </c>
      <c r="BJ128">
        <f t="shared" si="175"/>
        <v>7</v>
      </c>
      <c r="BK128">
        <f t="shared" si="176"/>
        <v>7</v>
      </c>
      <c r="BL128">
        <f t="shared" si="177"/>
        <v>7</v>
      </c>
      <c r="BM128">
        <f t="shared" si="178"/>
        <v>7</v>
      </c>
      <c r="BN128">
        <f t="shared" si="179"/>
        <v>7</v>
      </c>
      <c r="BO128">
        <f t="shared" si="180"/>
        <v>8</v>
      </c>
      <c r="BP128">
        <f t="shared" si="181"/>
        <v>8</v>
      </c>
      <c r="BQ128">
        <f t="shared" si="182"/>
        <v>8</v>
      </c>
      <c r="BR128">
        <f t="shared" si="183"/>
        <v>7</v>
      </c>
      <c r="BS128">
        <f t="shared" si="184"/>
        <v>8</v>
      </c>
      <c r="BT128">
        <f t="shared" si="185"/>
        <v>8</v>
      </c>
      <c r="BU128">
        <f t="shared" si="186"/>
        <v>8</v>
      </c>
      <c r="BV128">
        <f t="shared" si="187"/>
        <v>8</v>
      </c>
      <c r="BW128">
        <f t="shared" si="188"/>
        <v>8</v>
      </c>
      <c r="BX128">
        <f t="shared" si="189"/>
        <v>8</v>
      </c>
      <c r="BZ128" s="52">
        <f t="shared" si="129"/>
        <v>0</v>
      </c>
      <c r="CA128" s="52">
        <f t="shared" si="215"/>
        <v>-1</v>
      </c>
      <c r="CB128" s="52">
        <f t="shared" si="215"/>
        <v>0</v>
      </c>
      <c r="CC128" s="52">
        <f t="shared" si="215"/>
        <v>0</v>
      </c>
      <c r="CD128" s="52">
        <f t="shared" si="215"/>
        <v>0</v>
      </c>
      <c r="CE128" s="52">
        <f t="shared" si="215"/>
        <v>0</v>
      </c>
      <c r="CF128" s="52">
        <f t="shared" si="215"/>
        <v>0</v>
      </c>
      <c r="CG128" s="52">
        <f t="shared" si="215"/>
        <v>0</v>
      </c>
      <c r="CH128" s="52">
        <f t="shared" si="215"/>
        <v>0</v>
      </c>
      <c r="CI128" s="52">
        <f t="shared" si="215"/>
        <v>0</v>
      </c>
      <c r="CJ128" s="52">
        <f t="shared" si="215"/>
        <v>0</v>
      </c>
      <c r="CK128" s="52">
        <f t="shared" si="215"/>
        <v>0</v>
      </c>
      <c r="CL128" s="52">
        <f t="shared" si="215"/>
        <v>0</v>
      </c>
      <c r="CM128" s="52">
        <f t="shared" si="215"/>
        <v>0</v>
      </c>
      <c r="CN128" s="52">
        <f t="shared" si="215"/>
        <v>1</v>
      </c>
      <c r="CO128" s="52">
        <f t="shared" si="215"/>
        <v>0</v>
      </c>
      <c r="CP128" s="52">
        <f t="shared" si="215"/>
        <v>0</v>
      </c>
      <c r="CQ128" s="52">
        <f t="shared" si="130"/>
        <v>-1</v>
      </c>
      <c r="CR128" s="52">
        <f t="shared" si="131"/>
        <v>1</v>
      </c>
      <c r="CS128" s="52">
        <f t="shared" si="132"/>
        <v>0</v>
      </c>
      <c r="CT128" s="52">
        <f t="shared" si="133"/>
        <v>0</v>
      </c>
      <c r="CU128" s="52">
        <f t="shared" si="134"/>
        <v>0</v>
      </c>
      <c r="CV128" s="52">
        <f t="shared" si="135"/>
        <v>0</v>
      </c>
      <c r="CW128" s="52">
        <f t="shared" si="136"/>
        <v>0</v>
      </c>
    </row>
    <row r="129" spans="1:101">
      <c r="A129" s="60">
        <v>45051</v>
      </c>
      <c r="B129" s="426">
        <v>67884.7</v>
      </c>
      <c r="C129">
        <v>61815.5</v>
      </c>
      <c r="D129">
        <v>54170.1</v>
      </c>
      <c r="E129">
        <v>53957.7</v>
      </c>
      <c r="F129">
        <v>54224.9</v>
      </c>
      <c r="G129">
        <v>53665.599999999999</v>
      </c>
      <c r="H129">
        <v>53759.199999999997</v>
      </c>
      <c r="I129">
        <v>54134.6</v>
      </c>
      <c r="J129">
        <v>53625.8</v>
      </c>
      <c r="K129">
        <v>53273.7</v>
      </c>
      <c r="L129">
        <v>53287.1</v>
      </c>
      <c r="M129">
        <v>53189.5</v>
      </c>
      <c r="N129">
        <v>53193.7</v>
      </c>
      <c r="O129">
        <v>57201.4</v>
      </c>
      <c r="P129">
        <v>65201.5</v>
      </c>
      <c r="Q129">
        <v>65690.399999999994</v>
      </c>
      <c r="R129">
        <v>66632.3</v>
      </c>
      <c r="S129">
        <v>66977.5</v>
      </c>
      <c r="T129">
        <v>67337.3</v>
      </c>
      <c r="U129">
        <v>70531.3</v>
      </c>
      <c r="V129">
        <v>69220.3</v>
      </c>
      <c r="W129">
        <v>71166.8</v>
      </c>
      <c r="X129">
        <v>68249.100000000006</v>
      </c>
      <c r="Y129">
        <v>68364.7</v>
      </c>
      <c r="Z129" s="77">
        <v>1456754.7000000002</v>
      </c>
      <c r="AB129" s="52">
        <f t="shared" si="219"/>
        <v>0</v>
      </c>
      <c r="AC129" s="52">
        <f t="shared" si="145"/>
        <v>0</v>
      </c>
      <c r="AD129" s="52">
        <f t="shared" si="146"/>
        <v>0</v>
      </c>
      <c r="AE129" s="52">
        <f t="shared" si="147"/>
        <v>0</v>
      </c>
      <c r="AF129" s="52">
        <f t="shared" si="148"/>
        <v>0</v>
      </c>
      <c r="AG129" s="52">
        <f t="shared" si="149"/>
        <v>0</v>
      </c>
      <c r="AH129" s="52">
        <f t="shared" si="150"/>
        <v>0</v>
      </c>
      <c r="AI129" s="52">
        <f t="shared" si="151"/>
        <v>0</v>
      </c>
      <c r="AJ129" s="52">
        <f t="shared" si="152"/>
        <v>0</v>
      </c>
      <c r="AK129" s="52">
        <f t="shared" si="153"/>
        <v>0</v>
      </c>
      <c r="AL129" s="52">
        <f t="shared" si="154"/>
        <v>0</v>
      </c>
      <c r="AM129" s="52">
        <f t="shared" si="155"/>
        <v>0</v>
      </c>
      <c r="AN129" s="52">
        <f t="shared" si="156"/>
        <v>0</v>
      </c>
      <c r="AO129" s="52">
        <f t="shared" si="157"/>
        <v>0</v>
      </c>
      <c r="AP129" s="52">
        <f t="shared" si="158"/>
        <v>0</v>
      </c>
      <c r="AQ129" s="52">
        <f t="shared" si="159"/>
        <v>0</v>
      </c>
      <c r="AR129" s="52">
        <f t="shared" si="160"/>
        <v>0</v>
      </c>
      <c r="AS129" s="52">
        <f t="shared" si="161"/>
        <v>0</v>
      </c>
      <c r="AT129" s="52">
        <f t="shared" si="162"/>
        <v>0</v>
      </c>
      <c r="AU129" s="52">
        <f t="shared" si="163"/>
        <v>0</v>
      </c>
      <c r="AV129" s="52">
        <f t="shared" si="164"/>
        <v>0</v>
      </c>
      <c r="AW129" s="52">
        <f t="shared" si="165"/>
        <v>0</v>
      </c>
      <c r="AX129" s="52">
        <f t="shared" si="166"/>
        <v>0</v>
      </c>
      <c r="AY129" s="52">
        <f t="shared" si="220"/>
        <v>0</v>
      </c>
      <c r="BA129" s="52">
        <f t="shared" si="221"/>
        <v>8</v>
      </c>
      <c r="BB129" s="52">
        <f t="shared" si="167"/>
        <v>8</v>
      </c>
      <c r="BC129" s="52">
        <f t="shared" si="168"/>
        <v>7</v>
      </c>
      <c r="BD129" s="52">
        <f t="shared" si="169"/>
        <v>7</v>
      </c>
      <c r="BE129" s="52">
        <f t="shared" si="170"/>
        <v>7</v>
      </c>
      <c r="BF129" s="52">
        <f t="shared" si="171"/>
        <v>7</v>
      </c>
      <c r="BG129" s="52">
        <f t="shared" si="172"/>
        <v>7</v>
      </c>
      <c r="BH129" s="52">
        <f t="shared" si="173"/>
        <v>7</v>
      </c>
      <c r="BI129" s="52">
        <f t="shared" si="174"/>
        <v>7</v>
      </c>
      <c r="BJ129" s="52">
        <f t="shared" si="175"/>
        <v>7</v>
      </c>
      <c r="BK129" s="52">
        <f t="shared" si="176"/>
        <v>7</v>
      </c>
      <c r="BL129" s="52">
        <f t="shared" si="177"/>
        <v>7</v>
      </c>
      <c r="BM129" s="52">
        <f t="shared" si="178"/>
        <v>7</v>
      </c>
      <c r="BN129" s="52">
        <f t="shared" si="179"/>
        <v>7</v>
      </c>
      <c r="BO129" s="52">
        <f t="shared" si="180"/>
        <v>8</v>
      </c>
      <c r="BP129" s="52">
        <f t="shared" si="181"/>
        <v>8</v>
      </c>
      <c r="BQ129" s="52">
        <f t="shared" si="182"/>
        <v>8</v>
      </c>
      <c r="BR129" s="52">
        <f t="shared" si="183"/>
        <v>8</v>
      </c>
      <c r="BS129" s="52">
        <f t="shared" si="184"/>
        <v>8</v>
      </c>
      <c r="BT129" s="52">
        <f t="shared" si="185"/>
        <v>9</v>
      </c>
      <c r="BU129" s="52">
        <f t="shared" si="186"/>
        <v>8</v>
      </c>
      <c r="BV129" s="52">
        <f t="shared" si="187"/>
        <v>9</v>
      </c>
      <c r="BW129" s="52">
        <f t="shared" si="188"/>
        <v>8</v>
      </c>
      <c r="BX129" s="52">
        <f t="shared" si="189"/>
        <v>8</v>
      </c>
      <c r="BZ129">
        <f t="shared" si="129"/>
        <v>0</v>
      </c>
      <c r="CA129">
        <f t="shared" si="215"/>
        <v>0</v>
      </c>
      <c r="CB129">
        <f t="shared" si="215"/>
        <v>-1</v>
      </c>
      <c r="CC129">
        <f t="shared" si="215"/>
        <v>0</v>
      </c>
      <c r="CD129">
        <f t="shared" si="215"/>
        <v>0</v>
      </c>
      <c r="CE129">
        <f t="shared" si="215"/>
        <v>0</v>
      </c>
      <c r="CF129">
        <f t="shared" si="215"/>
        <v>0</v>
      </c>
      <c r="CG129">
        <f t="shared" si="215"/>
        <v>0</v>
      </c>
      <c r="CH129">
        <f t="shared" si="215"/>
        <v>0</v>
      </c>
      <c r="CI129">
        <f t="shared" si="215"/>
        <v>0</v>
      </c>
      <c r="CJ129">
        <f t="shared" si="215"/>
        <v>0</v>
      </c>
      <c r="CK129">
        <f t="shared" si="215"/>
        <v>0</v>
      </c>
      <c r="CL129">
        <f t="shared" si="215"/>
        <v>0</v>
      </c>
      <c r="CM129">
        <f t="shared" si="215"/>
        <v>0</v>
      </c>
      <c r="CN129">
        <f t="shared" si="215"/>
        <v>1</v>
      </c>
      <c r="CO129">
        <f t="shared" si="215"/>
        <v>0</v>
      </c>
      <c r="CP129">
        <f t="shared" si="215"/>
        <v>0</v>
      </c>
      <c r="CQ129">
        <f t="shared" si="130"/>
        <v>0</v>
      </c>
      <c r="CR129">
        <f t="shared" si="131"/>
        <v>0</v>
      </c>
      <c r="CS129">
        <f t="shared" si="132"/>
        <v>1</v>
      </c>
      <c r="CT129">
        <f t="shared" si="133"/>
        <v>-1</v>
      </c>
      <c r="CU129">
        <f t="shared" si="134"/>
        <v>1</v>
      </c>
      <c r="CV129">
        <f t="shared" si="135"/>
        <v>-1</v>
      </c>
      <c r="CW129">
        <f t="shared" si="136"/>
        <v>0</v>
      </c>
    </row>
    <row r="130" spans="1:101">
      <c r="A130" s="60">
        <v>45052</v>
      </c>
      <c r="B130" s="426">
        <v>68152.100000000006</v>
      </c>
      <c r="C130">
        <v>68293.399999999994</v>
      </c>
      <c r="D130">
        <v>57001.2</v>
      </c>
      <c r="E130">
        <v>54338.1</v>
      </c>
      <c r="F130">
        <v>54588.4</v>
      </c>
      <c r="G130">
        <v>54341.599999999999</v>
      </c>
      <c r="H130">
        <v>54399</v>
      </c>
      <c r="I130">
        <v>54477.7</v>
      </c>
      <c r="J130">
        <v>54614.8</v>
      </c>
      <c r="K130">
        <v>54340</v>
      </c>
      <c r="L130">
        <v>53710.8</v>
      </c>
      <c r="M130">
        <v>53224.7</v>
      </c>
      <c r="N130">
        <v>53874.3</v>
      </c>
      <c r="O130">
        <v>53880.9</v>
      </c>
      <c r="P130">
        <v>53876.6</v>
      </c>
      <c r="Q130">
        <v>53854</v>
      </c>
      <c r="R130">
        <v>53946.1</v>
      </c>
      <c r="S130">
        <v>54011</v>
      </c>
      <c r="T130">
        <v>66084.100000000006</v>
      </c>
      <c r="U130">
        <v>68134.399999999994</v>
      </c>
      <c r="V130">
        <v>68341.600000000006</v>
      </c>
      <c r="W130">
        <v>58332.6</v>
      </c>
      <c r="X130">
        <v>69055.399999999994</v>
      </c>
      <c r="Y130">
        <v>68982.2</v>
      </c>
      <c r="Z130" s="77">
        <v>1403855</v>
      </c>
      <c r="AB130">
        <f t="shared" si="219"/>
        <v>0</v>
      </c>
      <c r="AC130">
        <f t="shared" si="145"/>
        <v>0</v>
      </c>
      <c r="AD130">
        <f t="shared" si="146"/>
        <v>0</v>
      </c>
      <c r="AE130">
        <f t="shared" si="147"/>
        <v>0</v>
      </c>
      <c r="AF130">
        <f t="shared" si="148"/>
        <v>0</v>
      </c>
      <c r="AG130">
        <f t="shared" si="149"/>
        <v>0</v>
      </c>
      <c r="AH130">
        <f t="shared" si="150"/>
        <v>0</v>
      </c>
      <c r="AI130">
        <f t="shared" si="151"/>
        <v>0</v>
      </c>
      <c r="AJ130">
        <f t="shared" si="152"/>
        <v>0</v>
      </c>
      <c r="AK130">
        <f t="shared" si="153"/>
        <v>0</v>
      </c>
      <c r="AL130">
        <f t="shared" si="154"/>
        <v>0</v>
      </c>
      <c r="AM130">
        <f t="shared" si="155"/>
        <v>0</v>
      </c>
      <c r="AN130">
        <f t="shared" si="156"/>
        <v>0</v>
      </c>
      <c r="AO130">
        <f t="shared" si="157"/>
        <v>0</v>
      </c>
      <c r="AP130">
        <f t="shared" si="158"/>
        <v>0</v>
      </c>
      <c r="AQ130">
        <f t="shared" si="159"/>
        <v>0</v>
      </c>
      <c r="AR130">
        <f t="shared" si="160"/>
        <v>0</v>
      </c>
      <c r="AS130">
        <f t="shared" si="161"/>
        <v>0</v>
      </c>
      <c r="AT130">
        <f t="shared" si="162"/>
        <v>0</v>
      </c>
      <c r="AU130">
        <f t="shared" si="163"/>
        <v>0</v>
      </c>
      <c r="AV130">
        <f t="shared" si="164"/>
        <v>0</v>
      </c>
      <c r="AW130">
        <f t="shared" si="165"/>
        <v>0</v>
      </c>
      <c r="AX130">
        <f t="shared" si="166"/>
        <v>0</v>
      </c>
      <c r="AY130">
        <f t="shared" si="220"/>
        <v>0</v>
      </c>
      <c r="BA130">
        <f t="shared" si="221"/>
        <v>8</v>
      </c>
      <c r="BB130">
        <f t="shared" si="167"/>
        <v>8</v>
      </c>
      <c r="BC130">
        <f t="shared" si="168"/>
        <v>7</v>
      </c>
      <c r="BD130">
        <f t="shared" si="169"/>
        <v>7</v>
      </c>
      <c r="BE130">
        <f t="shared" si="170"/>
        <v>7</v>
      </c>
      <c r="BF130">
        <f t="shared" si="171"/>
        <v>7</v>
      </c>
      <c r="BG130">
        <f t="shared" si="172"/>
        <v>7</v>
      </c>
      <c r="BH130">
        <f t="shared" si="173"/>
        <v>7</v>
      </c>
      <c r="BI130">
        <f t="shared" si="174"/>
        <v>7</v>
      </c>
      <c r="BJ130">
        <f t="shared" si="175"/>
        <v>7</v>
      </c>
      <c r="BK130">
        <f t="shared" si="176"/>
        <v>7</v>
      </c>
      <c r="BL130">
        <f t="shared" si="177"/>
        <v>7</v>
      </c>
      <c r="BM130">
        <f t="shared" si="178"/>
        <v>7</v>
      </c>
      <c r="BN130">
        <f t="shared" si="179"/>
        <v>7</v>
      </c>
      <c r="BO130">
        <f t="shared" si="180"/>
        <v>7</v>
      </c>
      <c r="BP130">
        <f t="shared" si="181"/>
        <v>7</v>
      </c>
      <c r="BQ130">
        <f t="shared" si="182"/>
        <v>7</v>
      </c>
      <c r="BR130">
        <f t="shared" si="183"/>
        <v>7</v>
      </c>
      <c r="BS130">
        <f t="shared" si="184"/>
        <v>8</v>
      </c>
      <c r="BT130">
        <f t="shared" si="185"/>
        <v>8</v>
      </c>
      <c r="BU130">
        <f t="shared" si="186"/>
        <v>8</v>
      </c>
      <c r="BV130">
        <f t="shared" si="187"/>
        <v>7</v>
      </c>
      <c r="BW130">
        <f t="shared" si="188"/>
        <v>8</v>
      </c>
      <c r="BX130">
        <f t="shared" si="189"/>
        <v>8</v>
      </c>
      <c r="BZ130" s="52">
        <f t="shared" si="129"/>
        <v>0</v>
      </c>
      <c r="CA130" s="52">
        <f t="shared" si="215"/>
        <v>0</v>
      </c>
      <c r="CB130" s="52">
        <f t="shared" si="215"/>
        <v>-1</v>
      </c>
      <c r="CC130" s="52">
        <f t="shared" si="215"/>
        <v>0</v>
      </c>
      <c r="CD130" s="52">
        <f t="shared" si="215"/>
        <v>0</v>
      </c>
      <c r="CE130" s="52">
        <f t="shared" si="215"/>
        <v>0</v>
      </c>
      <c r="CF130" s="52">
        <f t="shared" si="215"/>
        <v>0</v>
      </c>
      <c r="CG130" s="52">
        <f t="shared" si="215"/>
        <v>0</v>
      </c>
      <c r="CH130" s="52">
        <f t="shared" si="215"/>
        <v>0</v>
      </c>
      <c r="CI130" s="52">
        <f t="shared" si="215"/>
        <v>0</v>
      </c>
      <c r="CJ130" s="52">
        <f t="shared" si="215"/>
        <v>0</v>
      </c>
      <c r="CK130" s="52">
        <f t="shared" si="215"/>
        <v>0</v>
      </c>
      <c r="CL130" s="52">
        <f t="shared" si="215"/>
        <v>0</v>
      </c>
      <c r="CM130" s="52">
        <f t="shared" si="215"/>
        <v>0</v>
      </c>
      <c r="CN130" s="52">
        <f t="shared" si="215"/>
        <v>0</v>
      </c>
      <c r="CO130" s="52">
        <f t="shared" si="215"/>
        <v>0</v>
      </c>
      <c r="CP130" s="52">
        <f t="shared" si="215"/>
        <v>0</v>
      </c>
      <c r="CQ130" s="52">
        <f t="shared" si="130"/>
        <v>0</v>
      </c>
      <c r="CR130" s="52">
        <f t="shared" si="131"/>
        <v>1</v>
      </c>
      <c r="CS130" s="52">
        <f t="shared" si="132"/>
        <v>0</v>
      </c>
      <c r="CT130" s="52">
        <f t="shared" si="133"/>
        <v>0</v>
      </c>
      <c r="CU130" s="52">
        <f t="shared" si="134"/>
        <v>-1</v>
      </c>
      <c r="CV130" s="52">
        <f t="shared" si="135"/>
        <v>1</v>
      </c>
      <c r="CW130" s="52">
        <f t="shared" si="136"/>
        <v>0</v>
      </c>
    </row>
    <row r="131" spans="1:101">
      <c r="A131" s="60">
        <v>45053</v>
      </c>
      <c r="B131" s="426">
        <v>68360.600000000006</v>
      </c>
      <c r="C131">
        <v>63617.2</v>
      </c>
      <c r="D131">
        <v>54432.9</v>
      </c>
      <c r="E131">
        <v>54118.400000000001</v>
      </c>
      <c r="F131">
        <v>54201.4</v>
      </c>
      <c r="G131">
        <v>54088.800000000003</v>
      </c>
      <c r="H131">
        <v>53818.3</v>
      </c>
      <c r="I131">
        <v>53985</v>
      </c>
      <c r="J131">
        <v>53931.8</v>
      </c>
      <c r="K131">
        <v>53833.3</v>
      </c>
      <c r="L131">
        <v>53969.7</v>
      </c>
      <c r="M131">
        <v>53899.3</v>
      </c>
      <c r="N131">
        <v>53898.8</v>
      </c>
      <c r="O131">
        <v>53911.8</v>
      </c>
      <c r="P131">
        <v>53871.5</v>
      </c>
      <c r="Q131">
        <v>53923.3</v>
      </c>
      <c r="R131">
        <v>53891.9</v>
      </c>
      <c r="S131">
        <v>53983.199999999997</v>
      </c>
      <c r="T131">
        <v>60611.1</v>
      </c>
      <c r="U131">
        <v>66405.8</v>
      </c>
      <c r="V131">
        <v>66438.399999999994</v>
      </c>
      <c r="W131">
        <v>66099.199999999997</v>
      </c>
      <c r="X131">
        <v>66318.3</v>
      </c>
      <c r="Y131">
        <v>66238.2</v>
      </c>
      <c r="Z131" s="77">
        <v>1387848.2</v>
      </c>
      <c r="AB131" s="52">
        <f t="shared" si="219"/>
        <v>0</v>
      </c>
      <c r="AC131" s="52">
        <f t="shared" si="145"/>
        <v>0</v>
      </c>
      <c r="AD131" s="52">
        <f t="shared" si="146"/>
        <v>0</v>
      </c>
      <c r="AE131" s="52">
        <f t="shared" si="147"/>
        <v>0</v>
      </c>
      <c r="AF131" s="52">
        <f t="shared" si="148"/>
        <v>0</v>
      </c>
      <c r="AG131" s="52">
        <f t="shared" si="149"/>
        <v>0</v>
      </c>
      <c r="AH131" s="52">
        <f t="shared" si="150"/>
        <v>0</v>
      </c>
      <c r="AI131" s="52">
        <f t="shared" si="151"/>
        <v>0</v>
      </c>
      <c r="AJ131" s="52">
        <f t="shared" si="152"/>
        <v>0</v>
      </c>
      <c r="AK131" s="52">
        <f t="shared" si="153"/>
        <v>0</v>
      </c>
      <c r="AL131" s="52">
        <f t="shared" si="154"/>
        <v>0</v>
      </c>
      <c r="AM131" s="52">
        <f t="shared" si="155"/>
        <v>0</v>
      </c>
      <c r="AN131" s="52">
        <f t="shared" si="156"/>
        <v>0</v>
      </c>
      <c r="AO131" s="52">
        <f t="shared" si="157"/>
        <v>0</v>
      </c>
      <c r="AP131" s="52">
        <f t="shared" si="158"/>
        <v>0</v>
      </c>
      <c r="AQ131" s="52">
        <f t="shared" si="159"/>
        <v>0</v>
      </c>
      <c r="AR131" s="52">
        <f t="shared" si="160"/>
        <v>0</v>
      </c>
      <c r="AS131" s="52">
        <f t="shared" si="161"/>
        <v>0</v>
      </c>
      <c r="AT131" s="52">
        <f t="shared" si="162"/>
        <v>0</v>
      </c>
      <c r="AU131" s="52">
        <f t="shared" si="163"/>
        <v>0</v>
      </c>
      <c r="AV131" s="52">
        <f t="shared" si="164"/>
        <v>0</v>
      </c>
      <c r="AW131" s="52">
        <f t="shared" si="165"/>
        <v>0</v>
      </c>
      <c r="AX131" s="52">
        <f t="shared" si="166"/>
        <v>0</v>
      </c>
      <c r="AY131" s="52">
        <f t="shared" si="220"/>
        <v>0</v>
      </c>
      <c r="BA131" s="52">
        <f t="shared" si="221"/>
        <v>8</v>
      </c>
      <c r="BB131" s="52">
        <f t="shared" si="167"/>
        <v>8</v>
      </c>
      <c r="BC131" s="52">
        <f t="shared" si="168"/>
        <v>7</v>
      </c>
      <c r="BD131" s="52">
        <f t="shared" si="169"/>
        <v>7</v>
      </c>
      <c r="BE131" s="52">
        <f t="shared" si="170"/>
        <v>7</v>
      </c>
      <c r="BF131" s="52">
        <f t="shared" si="171"/>
        <v>7</v>
      </c>
      <c r="BG131" s="52">
        <f t="shared" si="172"/>
        <v>7</v>
      </c>
      <c r="BH131" s="52">
        <f t="shared" si="173"/>
        <v>7</v>
      </c>
      <c r="BI131" s="52">
        <f t="shared" si="174"/>
        <v>7</v>
      </c>
      <c r="BJ131" s="52">
        <f t="shared" si="175"/>
        <v>7</v>
      </c>
      <c r="BK131" s="52">
        <f t="shared" si="176"/>
        <v>7</v>
      </c>
      <c r="BL131" s="52">
        <f t="shared" si="177"/>
        <v>7</v>
      </c>
      <c r="BM131" s="52">
        <f t="shared" si="178"/>
        <v>7</v>
      </c>
      <c r="BN131" s="52">
        <f t="shared" si="179"/>
        <v>7</v>
      </c>
      <c r="BO131" s="52">
        <f t="shared" si="180"/>
        <v>7</v>
      </c>
      <c r="BP131" s="52">
        <f t="shared" si="181"/>
        <v>7</v>
      </c>
      <c r="BQ131" s="52">
        <f t="shared" si="182"/>
        <v>7</v>
      </c>
      <c r="BR131" s="52">
        <f t="shared" si="183"/>
        <v>7</v>
      </c>
      <c r="BS131" s="52">
        <f t="shared" si="184"/>
        <v>7</v>
      </c>
      <c r="BT131" s="52">
        <f t="shared" si="185"/>
        <v>8</v>
      </c>
      <c r="BU131" s="52">
        <f t="shared" si="186"/>
        <v>8</v>
      </c>
      <c r="BV131" s="52">
        <f t="shared" si="187"/>
        <v>8</v>
      </c>
      <c r="BW131" s="52">
        <f t="shared" si="188"/>
        <v>8</v>
      </c>
      <c r="BX131" s="52">
        <f t="shared" si="189"/>
        <v>8</v>
      </c>
      <c r="BZ131">
        <f t="shared" si="129"/>
        <v>0</v>
      </c>
      <c r="CA131">
        <f t="shared" si="215"/>
        <v>0</v>
      </c>
      <c r="CB131">
        <f t="shared" si="215"/>
        <v>-1</v>
      </c>
      <c r="CC131">
        <f t="shared" si="215"/>
        <v>0</v>
      </c>
      <c r="CD131">
        <f t="shared" si="215"/>
        <v>0</v>
      </c>
      <c r="CE131">
        <f t="shared" si="215"/>
        <v>0</v>
      </c>
      <c r="CF131">
        <f t="shared" si="215"/>
        <v>0</v>
      </c>
      <c r="CG131">
        <f t="shared" si="215"/>
        <v>0</v>
      </c>
      <c r="CH131">
        <f t="shared" si="215"/>
        <v>0</v>
      </c>
      <c r="CI131">
        <f t="shared" si="215"/>
        <v>0</v>
      </c>
      <c r="CJ131">
        <f t="shared" si="215"/>
        <v>0</v>
      </c>
      <c r="CK131">
        <f t="shared" si="215"/>
        <v>0</v>
      </c>
      <c r="CL131">
        <f t="shared" si="215"/>
        <v>0</v>
      </c>
      <c r="CM131">
        <f t="shared" si="215"/>
        <v>0</v>
      </c>
      <c r="CN131">
        <f t="shared" ref="CN131:CP133" si="222">BO131-BN131</f>
        <v>0</v>
      </c>
      <c r="CO131">
        <f t="shared" si="222"/>
        <v>0</v>
      </c>
      <c r="CP131">
        <f t="shared" si="222"/>
        <v>0</v>
      </c>
      <c r="CQ131">
        <f t="shared" si="130"/>
        <v>0</v>
      </c>
      <c r="CR131">
        <f t="shared" si="131"/>
        <v>0</v>
      </c>
      <c r="CS131">
        <f t="shared" si="132"/>
        <v>1</v>
      </c>
      <c r="CT131">
        <f t="shared" si="133"/>
        <v>0</v>
      </c>
      <c r="CU131">
        <f t="shared" si="134"/>
        <v>0</v>
      </c>
      <c r="CV131">
        <f t="shared" si="135"/>
        <v>0</v>
      </c>
      <c r="CW131">
        <f t="shared" si="136"/>
        <v>0</v>
      </c>
    </row>
    <row r="132" spans="1:101">
      <c r="A132" s="60">
        <v>45054</v>
      </c>
      <c r="B132" s="426">
        <v>66021.3</v>
      </c>
      <c r="C132">
        <v>55421.7</v>
      </c>
      <c r="D132">
        <v>55232.4</v>
      </c>
      <c r="E132">
        <v>53174.1</v>
      </c>
      <c r="F132">
        <v>53630.6</v>
      </c>
      <c r="G132">
        <v>54121</v>
      </c>
      <c r="H132">
        <v>54662.2</v>
      </c>
      <c r="I132">
        <v>54833.2</v>
      </c>
      <c r="J132">
        <v>53810</v>
      </c>
      <c r="K132">
        <v>53921.599999999999</v>
      </c>
      <c r="L132">
        <v>54054.3</v>
      </c>
      <c r="M132">
        <v>53059.199999999997</v>
      </c>
      <c r="N132">
        <v>57071.1</v>
      </c>
      <c r="O132">
        <v>68304.399999999994</v>
      </c>
      <c r="P132">
        <v>68391.399999999994</v>
      </c>
      <c r="Q132">
        <v>68654.7</v>
      </c>
      <c r="R132">
        <v>68055.899999999994</v>
      </c>
      <c r="S132">
        <v>68046.399999999994</v>
      </c>
      <c r="T132">
        <v>68693</v>
      </c>
      <c r="U132">
        <v>68597.2</v>
      </c>
      <c r="V132">
        <v>68860</v>
      </c>
      <c r="W132">
        <v>68992.600000000006</v>
      </c>
      <c r="X132">
        <v>67851.8</v>
      </c>
      <c r="Y132">
        <v>67752.399999999994</v>
      </c>
      <c r="Z132" s="77">
        <v>1471212.5</v>
      </c>
      <c r="AB132">
        <f t="shared" si="219"/>
        <v>0</v>
      </c>
      <c r="AC132">
        <f t="shared" si="145"/>
        <v>0</v>
      </c>
      <c r="AD132">
        <f t="shared" si="146"/>
        <v>0</v>
      </c>
      <c r="AE132">
        <f t="shared" si="147"/>
        <v>0</v>
      </c>
      <c r="AF132">
        <f t="shared" si="148"/>
        <v>0</v>
      </c>
      <c r="AG132">
        <f t="shared" si="149"/>
        <v>0</v>
      </c>
      <c r="AH132">
        <f t="shared" si="150"/>
        <v>0</v>
      </c>
      <c r="AI132">
        <f t="shared" si="151"/>
        <v>0</v>
      </c>
      <c r="AJ132">
        <f t="shared" si="152"/>
        <v>0</v>
      </c>
      <c r="AK132">
        <f t="shared" si="153"/>
        <v>0</v>
      </c>
      <c r="AL132">
        <f t="shared" si="154"/>
        <v>0</v>
      </c>
      <c r="AM132">
        <f t="shared" si="155"/>
        <v>0</v>
      </c>
      <c r="AN132">
        <f t="shared" si="156"/>
        <v>0</v>
      </c>
      <c r="AO132">
        <f t="shared" si="157"/>
        <v>0</v>
      </c>
      <c r="AP132">
        <f t="shared" si="158"/>
        <v>0</v>
      </c>
      <c r="AQ132">
        <f t="shared" si="159"/>
        <v>0</v>
      </c>
      <c r="AR132">
        <f t="shared" si="160"/>
        <v>0</v>
      </c>
      <c r="AS132">
        <f t="shared" si="161"/>
        <v>0</v>
      </c>
      <c r="AT132">
        <f t="shared" si="162"/>
        <v>0</v>
      </c>
      <c r="AU132">
        <f t="shared" si="163"/>
        <v>0</v>
      </c>
      <c r="AV132">
        <f t="shared" si="164"/>
        <v>0</v>
      </c>
      <c r="AW132">
        <f t="shared" si="165"/>
        <v>0</v>
      </c>
      <c r="AX132">
        <f t="shared" si="166"/>
        <v>0</v>
      </c>
      <c r="AY132">
        <f t="shared" si="220"/>
        <v>0</v>
      </c>
      <c r="BA132">
        <f t="shared" si="221"/>
        <v>8</v>
      </c>
      <c r="BB132">
        <f t="shared" si="167"/>
        <v>7</v>
      </c>
      <c r="BC132">
        <f t="shared" si="168"/>
        <v>7</v>
      </c>
      <c r="BD132">
        <f t="shared" si="169"/>
        <v>7</v>
      </c>
      <c r="BE132">
        <f t="shared" si="170"/>
        <v>7</v>
      </c>
      <c r="BF132">
        <f t="shared" si="171"/>
        <v>7</v>
      </c>
      <c r="BG132">
        <f t="shared" si="172"/>
        <v>7</v>
      </c>
      <c r="BH132">
        <f t="shared" si="173"/>
        <v>7</v>
      </c>
      <c r="BI132">
        <f t="shared" si="174"/>
        <v>7</v>
      </c>
      <c r="BJ132">
        <f t="shared" si="175"/>
        <v>7</v>
      </c>
      <c r="BK132">
        <f t="shared" si="176"/>
        <v>7</v>
      </c>
      <c r="BL132">
        <f t="shared" si="177"/>
        <v>7</v>
      </c>
      <c r="BM132">
        <f t="shared" si="178"/>
        <v>7</v>
      </c>
      <c r="BN132">
        <f t="shared" si="179"/>
        <v>8</v>
      </c>
      <c r="BO132">
        <f t="shared" si="180"/>
        <v>8</v>
      </c>
      <c r="BP132">
        <f t="shared" si="181"/>
        <v>8</v>
      </c>
      <c r="BQ132">
        <f t="shared" si="182"/>
        <v>8</v>
      </c>
      <c r="BR132">
        <f t="shared" si="183"/>
        <v>8</v>
      </c>
      <c r="BS132">
        <f t="shared" si="184"/>
        <v>8</v>
      </c>
      <c r="BT132">
        <f t="shared" si="185"/>
        <v>8</v>
      </c>
      <c r="BU132">
        <f t="shared" si="186"/>
        <v>8</v>
      </c>
      <c r="BV132">
        <f t="shared" si="187"/>
        <v>8</v>
      </c>
      <c r="BW132">
        <f t="shared" si="188"/>
        <v>8</v>
      </c>
      <c r="BX132">
        <f t="shared" si="189"/>
        <v>8</v>
      </c>
      <c r="BZ132" s="52">
        <f t="shared" si="129"/>
        <v>0</v>
      </c>
      <c r="CA132" s="52">
        <f t="shared" ref="CA132:CP149" si="223">BB132-BA132</f>
        <v>-1</v>
      </c>
      <c r="CB132" s="52">
        <f t="shared" ref="CB132:CM133" si="224">BC132-BB132</f>
        <v>0</v>
      </c>
      <c r="CC132" s="52">
        <f t="shared" si="224"/>
        <v>0</v>
      </c>
      <c r="CD132" s="52">
        <f t="shared" si="224"/>
        <v>0</v>
      </c>
      <c r="CE132" s="52">
        <f t="shared" si="224"/>
        <v>0</v>
      </c>
      <c r="CF132" s="52">
        <f t="shared" si="224"/>
        <v>0</v>
      </c>
      <c r="CG132" s="52">
        <f t="shared" si="224"/>
        <v>0</v>
      </c>
      <c r="CH132" s="52">
        <f t="shared" si="224"/>
        <v>0</v>
      </c>
      <c r="CI132" s="52">
        <f t="shared" si="224"/>
        <v>0</v>
      </c>
      <c r="CJ132" s="52">
        <f t="shared" si="224"/>
        <v>0</v>
      </c>
      <c r="CK132" s="52">
        <f t="shared" si="224"/>
        <v>0</v>
      </c>
      <c r="CL132" s="52">
        <f t="shared" si="224"/>
        <v>0</v>
      </c>
      <c r="CM132" s="52">
        <f t="shared" si="224"/>
        <v>1</v>
      </c>
      <c r="CN132" s="52">
        <f t="shared" si="222"/>
        <v>0</v>
      </c>
      <c r="CO132" s="52">
        <f t="shared" si="222"/>
        <v>0</v>
      </c>
      <c r="CP132" s="52">
        <f t="shared" si="222"/>
        <v>0</v>
      </c>
      <c r="CQ132" s="52">
        <f t="shared" si="130"/>
        <v>0</v>
      </c>
      <c r="CR132" s="52">
        <f t="shared" si="131"/>
        <v>0</v>
      </c>
      <c r="CS132" s="52">
        <f t="shared" si="132"/>
        <v>0</v>
      </c>
      <c r="CT132" s="52">
        <f t="shared" si="133"/>
        <v>0</v>
      </c>
      <c r="CU132" s="52">
        <f t="shared" si="134"/>
        <v>0</v>
      </c>
      <c r="CV132" s="52">
        <f t="shared" si="135"/>
        <v>0</v>
      </c>
      <c r="CW132" s="52">
        <f t="shared" si="136"/>
        <v>0</v>
      </c>
    </row>
    <row r="133" spans="1:101">
      <c r="A133" s="60">
        <v>45055</v>
      </c>
      <c r="B133" s="426">
        <v>64959.199999999997</v>
      </c>
      <c r="C133">
        <v>65280.6</v>
      </c>
      <c r="D133">
        <v>58751.7</v>
      </c>
      <c r="E133">
        <v>65145</v>
      </c>
      <c r="F133">
        <v>65246.3</v>
      </c>
      <c r="G133">
        <v>56521.3</v>
      </c>
      <c r="H133">
        <v>55309.7</v>
      </c>
      <c r="I133">
        <v>54223.6</v>
      </c>
      <c r="J133">
        <v>53050.6</v>
      </c>
      <c r="K133">
        <v>52995.8</v>
      </c>
      <c r="L133">
        <v>53257.4</v>
      </c>
      <c r="M133">
        <v>64329.8</v>
      </c>
      <c r="N133">
        <v>66309</v>
      </c>
      <c r="O133">
        <v>67800</v>
      </c>
      <c r="P133">
        <v>67838.3</v>
      </c>
      <c r="Q133">
        <v>67492.5</v>
      </c>
      <c r="R133">
        <v>67622.899999999994</v>
      </c>
      <c r="S133">
        <v>68168.600000000006</v>
      </c>
      <c r="T133">
        <v>67610.100000000006</v>
      </c>
      <c r="U133">
        <v>68502.2</v>
      </c>
      <c r="V133">
        <v>68517.5</v>
      </c>
      <c r="W133">
        <v>68546.8</v>
      </c>
      <c r="X133">
        <v>69309.899999999994</v>
      </c>
      <c r="Y133">
        <v>69340.100000000006</v>
      </c>
      <c r="Z133" s="77">
        <v>1526128.9000000004</v>
      </c>
      <c r="AB133" s="52">
        <f t="shared" si="219"/>
        <v>0</v>
      </c>
      <c r="AC133" s="52">
        <f t="shared" si="145"/>
        <v>0</v>
      </c>
      <c r="AD133" s="52">
        <f t="shared" si="146"/>
        <v>0</v>
      </c>
      <c r="AE133" s="52">
        <f t="shared" si="147"/>
        <v>0</v>
      </c>
      <c r="AF133" s="52">
        <f t="shared" si="148"/>
        <v>0</v>
      </c>
      <c r="AG133" s="52">
        <f t="shared" si="149"/>
        <v>0</v>
      </c>
      <c r="AH133" s="52">
        <f t="shared" si="150"/>
        <v>0</v>
      </c>
      <c r="AI133" s="52">
        <f t="shared" si="151"/>
        <v>0</v>
      </c>
      <c r="AJ133" s="52">
        <f t="shared" si="152"/>
        <v>0</v>
      </c>
      <c r="AK133" s="52">
        <f t="shared" si="153"/>
        <v>0</v>
      </c>
      <c r="AL133" s="52">
        <f t="shared" si="154"/>
        <v>0</v>
      </c>
      <c r="AM133" s="52">
        <f t="shared" si="155"/>
        <v>0</v>
      </c>
      <c r="AN133" s="52">
        <f t="shared" si="156"/>
        <v>0</v>
      </c>
      <c r="AO133" s="52">
        <f t="shared" si="157"/>
        <v>0</v>
      </c>
      <c r="AP133" s="52">
        <f t="shared" si="158"/>
        <v>0</v>
      </c>
      <c r="AQ133" s="52">
        <f t="shared" si="159"/>
        <v>0</v>
      </c>
      <c r="AR133" s="52">
        <f t="shared" si="160"/>
        <v>0</v>
      </c>
      <c r="AS133" s="52">
        <f t="shared" si="161"/>
        <v>0</v>
      </c>
      <c r="AT133" s="52">
        <f t="shared" si="162"/>
        <v>0</v>
      </c>
      <c r="AU133" s="52">
        <f t="shared" si="163"/>
        <v>0</v>
      </c>
      <c r="AV133" s="52">
        <f t="shared" si="164"/>
        <v>0</v>
      </c>
      <c r="AW133" s="52">
        <f t="shared" si="165"/>
        <v>0</v>
      </c>
      <c r="AX133" s="52">
        <f t="shared" si="166"/>
        <v>0</v>
      </c>
      <c r="AY133" s="52">
        <f t="shared" si="220"/>
        <v>0</v>
      </c>
      <c r="BA133" s="52">
        <f t="shared" si="221"/>
        <v>8</v>
      </c>
      <c r="BB133" s="52">
        <f t="shared" si="167"/>
        <v>8</v>
      </c>
      <c r="BC133" s="52">
        <f t="shared" si="168"/>
        <v>7</v>
      </c>
      <c r="BD133" s="52">
        <f t="shared" si="169"/>
        <v>8</v>
      </c>
      <c r="BE133" s="52">
        <f t="shared" si="170"/>
        <v>8</v>
      </c>
      <c r="BF133" s="52">
        <f t="shared" si="171"/>
        <v>7</v>
      </c>
      <c r="BG133" s="52">
        <f t="shared" si="172"/>
        <v>7</v>
      </c>
      <c r="BH133" s="52">
        <f t="shared" si="173"/>
        <v>7</v>
      </c>
      <c r="BI133" s="52">
        <f t="shared" si="174"/>
        <v>7</v>
      </c>
      <c r="BJ133" s="52">
        <f t="shared" si="175"/>
        <v>7</v>
      </c>
      <c r="BK133" s="52">
        <f t="shared" si="176"/>
        <v>7</v>
      </c>
      <c r="BL133" s="52">
        <f t="shared" si="177"/>
        <v>8</v>
      </c>
      <c r="BM133" s="52">
        <f t="shared" si="178"/>
        <v>8</v>
      </c>
      <c r="BN133" s="52">
        <f t="shared" si="179"/>
        <v>8</v>
      </c>
      <c r="BO133" s="52">
        <f t="shared" si="180"/>
        <v>8</v>
      </c>
      <c r="BP133" s="52">
        <f t="shared" si="181"/>
        <v>8</v>
      </c>
      <c r="BQ133" s="52">
        <f t="shared" si="182"/>
        <v>8</v>
      </c>
      <c r="BR133" s="52">
        <f t="shared" si="183"/>
        <v>8</v>
      </c>
      <c r="BS133" s="52">
        <f t="shared" si="184"/>
        <v>8</v>
      </c>
      <c r="BT133" s="52">
        <f t="shared" si="185"/>
        <v>8</v>
      </c>
      <c r="BU133" s="52">
        <f t="shared" si="186"/>
        <v>8</v>
      </c>
      <c r="BV133" s="52">
        <f t="shared" si="187"/>
        <v>8</v>
      </c>
      <c r="BW133" s="52">
        <f t="shared" si="188"/>
        <v>8</v>
      </c>
      <c r="BX133" s="52">
        <f t="shared" si="189"/>
        <v>8</v>
      </c>
      <c r="BZ133">
        <f t="shared" si="129"/>
        <v>0</v>
      </c>
      <c r="CA133">
        <f t="shared" si="223"/>
        <v>0</v>
      </c>
      <c r="CB133">
        <f t="shared" si="224"/>
        <v>-1</v>
      </c>
      <c r="CC133">
        <f t="shared" si="224"/>
        <v>1</v>
      </c>
      <c r="CD133">
        <f t="shared" si="224"/>
        <v>0</v>
      </c>
      <c r="CE133">
        <f t="shared" si="224"/>
        <v>-1</v>
      </c>
      <c r="CF133">
        <f t="shared" si="224"/>
        <v>0</v>
      </c>
      <c r="CG133">
        <f t="shared" si="224"/>
        <v>0</v>
      </c>
      <c r="CH133">
        <f t="shared" si="224"/>
        <v>0</v>
      </c>
      <c r="CI133">
        <f t="shared" si="224"/>
        <v>0</v>
      </c>
      <c r="CJ133">
        <f t="shared" si="224"/>
        <v>0</v>
      </c>
      <c r="CK133">
        <f t="shared" si="224"/>
        <v>1</v>
      </c>
      <c r="CL133">
        <f t="shared" si="224"/>
        <v>0</v>
      </c>
      <c r="CM133">
        <f t="shared" si="224"/>
        <v>0</v>
      </c>
      <c r="CN133">
        <f t="shared" si="222"/>
        <v>0</v>
      </c>
      <c r="CO133">
        <f t="shared" si="222"/>
        <v>0</v>
      </c>
      <c r="CP133">
        <f t="shared" si="222"/>
        <v>0</v>
      </c>
      <c r="CQ133">
        <f t="shared" si="130"/>
        <v>0</v>
      </c>
      <c r="CR133">
        <f t="shared" si="131"/>
        <v>0</v>
      </c>
      <c r="CS133">
        <f t="shared" si="132"/>
        <v>0</v>
      </c>
      <c r="CT133">
        <f t="shared" si="133"/>
        <v>0</v>
      </c>
      <c r="CU133">
        <f t="shared" si="134"/>
        <v>0</v>
      </c>
      <c r="CV133">
        <f t="shared" si="135"/>
        <v>0</v>
      </c>
      <c r="CW133">
        <f t="shared" si="136"/>
        <v>0</v>
      </c>
    </row>
    <row r="134" spans="1:101">
      <c r="A134" s="60">
        <v>45056</v>
      </c>
      <c r="B134" s="426">
        <v>68851.100000000006</v>
      </c>
      <c r="C134">
        <v>68937.2</v>
      </c>
      <c r="D134">
        <v>68339.5</v>
      </c>
      <c r="E134">
        <v>55687</v>
      </c>
      <c r="F134">
        <v>54881.8</v>
      </c>
      <c r="G134">
        <v>54301.599999999999</v>
      </c>
      <c r="H134">
        <v>54796.3</v>
      </c>
      <c r="I134">
        <v>54860</v>
      </c>
      <c r="J134">
        <v>55018.8</v>
      </c>
      <c r="K134">
        <v>54821.1</v>
      </c>
      <c r="L134">
        <v>54461.2</v>
      </c>
      <c r="M134">
        <v>54623</v>
      </c>
      <c r="N134">
        <v>53852.4</v>
      </c>
      <c r="O134">
        <v>68706.2</v>
      </c>
      <c r="P134">
        <v>68931.100000000006</v>
      </c>
      <c r="Q134">
        <v>68247.100000000006</v>
      </c>
      <c r="R134">
        <v>69148.100000000006</v>
      </c>
      <c r="S134">
        <v>68551.5</v>
      </c>
      <c r="T134">
        <v>69032.3</v>
      </c>
      <c r="U134">
        <v>68913</v>
      </c>
      <c r="V134">
        <v>69303.5</v>
      </c>
      <c r="W134">
        <v>70001.399999999994</v>
      </c>
      <c r="X134">
        <v>69978.7</v>
      </c>
      <c r="Y134">
        <v>69960.2</v>
      </c>
      <c r="Z134" s="77">
        <v>1514204.0999999996</v>
      </c>
      <c r="AB134">
        <f t="shared" si="219"/>
        <v>0</v>
      </c>
      <c r="AC134">
        <f t="shared" si="145"/>
        <v>0</v>
      </c>
      <c r="AD134">
        <f t="shared" si="146"/>
        <v>0</v>
      </c>
      <c r="AE134">
        <f t="shared" si="147"/>
        <v>0</v>
      </c>
      <c r="AF134">
        <f t="shared" si="148"/>
        <v>0</v>
      </c>
      <c r="AG134">
        <f t="shared" si="149"/>
        <v>0</v>
      </c>
      <c r="AH134">
        <f t="shared" si="150"/>
        <v>0</v>
      </c>
      <c r="AI134">
        <f t="shared" si="151"/>
        <v>0</v>
      </c>
      <c r="AJ134">
        <f t="shared" si="152"/>
        <v>0</v>
      </c>
      <c r="AK134">
        <f t="shared" si="153"/>
        <v>0</v>
      </c>
      <c r="AL134">
        <f t="shared" si="154"/>
        <v>0</v>
      </c>
      <c r="AM134">
        <f t="shared" si="155"/>
        <v>0</v>
      </c>
      <c r="AN134">
        <f t="shared" si="156"/>
        <v>0</v>
      </c>
      <c r="AO134">
        <f t="shared" si="157"/>
        <v>0</v>
      </c>
      <c r="AP134">
        <f t="shared" si="158"/>
        <v>0</v>
      </c>
      <c r="AQ134">
        <f t="shared" si="159"/>
        <v>0</v>
      </c>
      <c r="AR134">
        <f t="shared" si="160"/>
        <v>0</v>
      </c>
      <c r="AS134">
        <f t="shared" si="161"/>
        <v>0</v>
      </c>
      <c r="AT134">
        <f t="shared" si="162"/>
        <v>0</v>
      </c>
      <c r="AU134">
        <f t="shared" si="163"/>
        <v>0</v>
      </c>
      <c r="AV134">
        <f t="shared" si="164"/>
        <v>0</v>
      </c>
      <c r="AW134">
        <f t="shared" si="165"/>
        <v>0</v>
      </c>
      <c r="AX134">
        <f t="shared" si="166"/>
        <v>0</v>
      </c>
      <c r="AY134">
        <f t="shared" si="220"/>
        <v>0</v>
      </c>
      <c r="BA134">
        <f t="shared" si="221"/>
        <v>8</v>
      </c>
      <c r="BB134">
        <f t="shared" si="167"/>
        <v>8</v>
      </c>
      <c r="BC134">
        <f t="shared" si="168"/>
        <v>8</v>
      </c>
      <c r="BD134">
        <f t="shared" si="169"/>
        <v>7</v>
      </c>
      <c r="BE134">
        <f t="shared" si="170"/>
        <v>7</v>
      </c>
      <c r="BF134">
        <f t="shared" si="171"/>
        <v>7</v>
      </c>
      <c r="BG134">
        <f t="shared" si="172"/>
        <v>7</v>
      </c>
      <c r="BH134">
        <f t="shared" si="173"/>
        <v>7</v>
      </c>
      <c r="BI134">
        <f t="shared" si="174"/>
        <v>7</v>
      </c>
      <c r="BJ134">
        <f t="shared" si="175"/>
        <v>7</v>
      </c>
      <c r="BK134">
        <f t="shared" si="176"/>
        <v>7</v>
      </c>
      <c r="BL134">
        <f t="shared" si="177"/>
        <v>7</v>
      </c>
      <c r="BM134">
        <f t="shared" si="178"/>
        <v>7</v>
      </c>
      <c r="BN134">
        <f t="shared" si="179"/>
        <v>8</v>
      </c>
      <c r="BO134">
        <f t="shared" si="180"/>
        <v>8</v>
      </c>
      <c r="BP134">
        <f t="shared" si="181"/>
        <v>8</v>
      </c>
      <c r="BQ134">
        <f t="shared" si="182"/>
        <v>8</v>
      </c>
      <c r="BR134">
        <f t="shared" si="183"/>
        <v>8</v>
      </c>
      <c r="BS134">
        <f t="shared" si="184"/>
        <v>8</v>
      </c>
      <c r="BT134">
        <f t="shared" si="185"/>
        <v>8</v>
      </c>
      <c r="BU134">
        <f t="shared" si="186"/>
        <v>8</v>
      </c>
      <c r="BV134">
        <f t="shared" si="187"/>
        <v>8</v>
      </c>
      <c r="BW134">
        <f t="shared" si="188"/>
        <v>8</v>
      </c>
      <c r="BX134">
        <f t="shared" si="189"/>
        <v>8</v>
      </c>
      <c r="BZ134" s="52">
        <f t="shared" si="129"/>
        <v>0</v>
      </c>
      <c r="CA134" s="52">
        <f t="shared" si="223"/>
        <v>0</v>
      </c>
      <c r="CB134" s="52">
        <f t="shared" si="223"/>
        <v>0</v>
      </c>
      <c r="CC134" s="52">
        <f t="shared" si="223"/>
        <v>-1</v>
      </c>
      <c r="CD134" s="52">
        <f t="shared" si="223"/>
        <v>0</v>
      </c>
      <c r="CE134" s="52">
        <f t="shared" si="223"/>
        <v>0</v>
      </c>
      <c r="CF134" s="52">
        <f t="shared" si="223"/>
        <v>0</v>
      </c>
      <c r="CG134" s="52">
        <f t="shared" si="223"/>
        <v>0</v>
      </c>
      <c r="CH134" s="52">
        <f t="shared" si="223"/>
        <v>0</v>
      </c>
      <c r="CI134" s="52">
        <f t="shared" si="223"/>
        <v>0</v>
      </c>
      <c r="CJ134" s="52">
        <f t="shared" si="223"/>
        <v>0</v>
      </c>
      <c r="CK134" s="52">
        <f t="shared" si="223"/>
        <v>0</v>
      </c>
      <c r="CL134" s="52">
        <f t="shared" si="223"/>
        <v>0</v>
      </c>
      <c r="CM134" s="52">
        <f t="shared" si="223"/>
        <v>1</v>
      </c>
      <c r="CN134" s="52">
        <f t="shared" si="223"/>
        <v>0</v>
      </c>
      <c r="CO134" s="52">
        <f t="shared" si="223"/>
        <v>0</v>
      </c>
      <c r="CP134" s="52">
        <f t="shared" si="223"/>
        <v>0</v>
      </c>
      <c r="CQ134" s="52">
        <f t="shared" si="130"/>
        <v>0</v>
      </c>
      <c r="CR134" s="52">
        <f t="shared" si="131"/>
        <v>0</v>
      </c>
      <c r="CS134" s="52">
        <f t="shared" si="132"/>
        <v>0</v>
      </c>
      <c r="CT134" s="52">
        <f t="shared" si="133"/>
        <v>0</v>
      </c>
      <c r="CU134" s="52">
        <f t="shared" si="134"/>
        <v>0</v>
      </c>
      <c r="CV134" s="52">
        <f t="shared" si="135"/>
        <v>0</v>
      </c>
      <c r="CW134" s="52">
        <f t="shared" si="136"/>
        <v>0</v>
      </c>
    </row>
    <row r="135" spans="1:101">
      <c r="A135" s="60">
        <v>45057</v>
      </c>
      <c r="B135" s="426">
        <v>69392.7</v>
      </c>
      <c r="C135">
        <v>70011.899999999994</v>
      </c>
      <c r="D135">
        <v>69813.100000000006</v>
      </c>
      <c r="E135">
        <v>69935.899999999994</v>
      </c>
      <c r="F135">
        <v>55237.2</v>
      </c>
      <c r="G135">
        <v>54471.4</v>
      </c>
      <c r="H135">
        <v>54640</v>
      </c>
      <c r="I135">
        <v>54555.1</v>
      </c>
      <c r="J135">
        <v>54544.800000000003</v>
      </c>
      <c r="K135">
        <v>54276</v>
      </c>
      <c r="L135">
        <v>54234.1</v>
      </c>
      <c r="M135">
        <v>69026.899999999994</v>
      </c>
      <c r="N135">
        <v>69970.899999999994</v>
      </c>
      <c r="O135">
        <v>69769</v>
      </c>
      <c r="P135">
        <v>70004.800000000003</v>
      </c>
      <c r="Q135">
        <v>69767.8</v>
      </c>
      <c r="R135">
        <v>69908.2</v>
      </c>
      <c r="S135">
        <v>69338.3</v>
      </c>
      <c r="T135">
        <v>69298.600000000006</v>
      </c>
      <c r="U135">
        <v>68778.2</v>
      </c>
      <c r="V135">
        <v>64549.599999999999</v>
      </c>
      <c r="W135">
        <v>64008.2</v>
      </c>
      <c r="X135">
        <v>68852.600000000006</v>
      </c>
      <c r="Y135">
        <v>68223.899999999994</v>
      </c>
      <c r="Z135" s="77">
        <v>1552609.2000000002</v>
      </c>
      <c r="AB135" s="52">
        <f t="shared" si="219"/>
        <v>0</v>
      </c>
      <c r="AC135" s="52">
        <f t="shared" si="145"/>
        <v>0</v>
      </c>
      <c r="AD135" s="52">
        <f t="shared" si="146"/>
        <v>0</v>
      </c>
      <c r="AE135" s="52">
        <f t="shared" si="147"/>
        <v>0</v>
      </c>
      <c r="AF135" s="52">
        <f t="shared" si="148"/>
        <v>0</v>
      </c>
      <c r="AG135" s="52">
        <f t="shared" si="149"/>
        <v>0</v>
      </c>
      <c r="AH135" s="52">
        <f t="shared" si="150"/>
        <v>0</v>
      </c>
      <c r="AI135" s="52">
        <f t="shared" si="151"/>
        <v>0</v>
      </c>
      <c r="AJ135" s="52">
        <f t="shared" si="152"/>
        <v>0</v>
      </c>
      <c r="AK135" s="52">
        <f t="shared" si="153"/>
        <v>0</v>
      </c>
      <c r="AL135" s="52">
        <f t="shared" si="154"/>
        <v>0</v>
      </c>
      <c r="AM135" s="52">
        <f t="shared" si="155"/>
        <v>0</v>
      </c>
      <c r="AN135" s="52">
        <f t="shared" si="156"/>
        <v>0</v>
      </c>
      <c r="AO135" s="52">
        <f t="shared" si="157"/>
        <v>0</v>
      </c>
      <c r="AP135" s="52">
        <f t="shared" si="158"/>
        <v>0</v>
      </c>
      <c r="AQ135" s="52">
        <f t="shared" si="159"/>
        <v>0</v>
      </c>
      <c r="AR135" s="52">
        <f t="shared" si="160"/>
        <v>0</v>
      </c>
      <c r="AS135" s="52">
        <f t="shared" si="161"/>
        <v>0</v>
      </c>
      <c r="AT135" s="52">
        <f t="shared" si="162"/>
        <v>0</v>
      </c>
      <c r="AU135" s="52">
        <f t="shared" si="163"/>
        <v>0</v>
      </c>
      <c r="AV135" s="52">
        <f t="shared" si="164"/>
        <v>0</v>
      </c>
      <c r="AW135" s="52">
        <f t="shared" si="165"/>
        <v>0</v>
      </c>
      <c r="AX135" s="52">
        <f t="shared" si="166"/>
        <v>0</v>
      </c>
      <c r="AY135" s="52">
        <f t="shared" si="220"/>
        <v>0</v>
      </c>
      <c r="BA135" s="52">
        <f t="shared" si="221"/>
        <v>8</v>
      </c>
      <c r="BB135" s="52">
        <f t="shared" si="167"/>
        <v>8</v>
      </c>
      <c r="BC135" s="52">
        <f t="shared" si="168"/>
        <v>8</v>
      </c>
      <c r="BD135" s="52">
        <f t="shared" si="169"/>
        <v>8</v>
      </c>
      <c r="BE135" s="52">
        <f t="shared" si="170"/>
        <v>7</v>
      </c>
      <c r="BF135" s="52">
        <f t="shared" si="171"/>
        <v>7</v>
      </c>
      <c r="BG135" s="52">
        <f t="shared" si="172"/>
        <v>7</v>
      </c>
      <c r="BH135" s="52">
        <f t="shared" si="173"/>
        <v>7</v>
      </c>
      <c r="BI135" s="52">
        <f t="shared" si="174"/>
        <v>7</v>
      </c>
      <c r="BJ135" s="52">
        <f t="shared" si="175"/>
        <v>7</v>
      </c>
      <c r="BK135" s="52">
        <f t="shared" si="176"/>
        <v>7</v>
      </c>
      <c r="BL135" s="52">
        <f t="shared" si="177"/>
        <v>8</v>
      </c>
      <c r="BM135" s="52">
        <f t="shared" si="178"/>
        <v>8</v>
      </c>
      <c r="BN135" s="52">
        <f t="shared" si="179"/>
        <v>8</v>
      </c>
      <c r="BO135" s="52">
        <f t="shared" si="180"/>
        <v>8</v>
      </c>
      <c r="BP135" s="52">
        <f t="shared" si="181"/>
        <v>8</v>
      </c>
      <c r="BQ135" s="52">
        <f t="shared" si="182"/>
        <v>8</v>
      </c>
      <c r="BR135" s="52">
        <f t="shared" si="183"/>
        <v>8</v>
      </c>
      <c r="BS135" s="52">
        <f t="shared" si="184"/>
        <v>8</v>
      </c>
      <c r="BT135" s="52">
        <f t="shared" si="185"/>
        <v>8</v>
      </c>
      <c r="BU135" s="52">
        <f t="shared" si="186"/>
        <v>8</v>
      </c>
      <c r="BV135" s="52">
        <f t="shared" si="187"/>
        <v>8</v>
      </c>
      <c r="BW135" s="52">
        <f t="shared" si="188"/>
        <v>8</v>
      </c>
      <c r="BX135" s="52">
        <f t="shared" si="189"/>
        <v>8</v>
      </c>
      <c r="BZ135">
        <f t="shared" si="129"/>
        <v>0</v>
      </c>
      <c r="CA135">
        <f t="shared" si="223"/>
        <v>0</v>
      </c>
      <c r="CB135">
        <f t="shared" si="223"/>
        <v>0</v>
      </c>
      <c r="CC135">
        <f t="shared" si="223"/>
        <v>0</v>
      </c>
      <c r="CD135">
        <f t="shared" si="223"/>
        <v>-1</v>
      </c>
      <c r="CE135">
        <f t="shared" si="223"/>
        <v>0</v>
      </c>
      <c r="CF135">
        <f t="shared" si="223"/>
        <v>0</v>
      </c>
      <c r="CG135">
        <f t="shared" si="223"/>
        <v>0</v>
      </c>
      <c r="CH135">
        <f t="shared" si="223"/>
        <v>0</v>
      </c>
      <c r="CI135">
        <f t="shared" si="223"/>
        <v>0</v>
      </c>
      <c r="CJ135">
        <f t="shared" si="223"/>
        <v>0</v>
      </c>
      <c r="CK135">
        <f t="shared" si="223"/>
        <v>1</v>
      </c>
      <c r="CL135">
        <f t="shared" si="223"/>
        <v>0</v>
      </c>
      <c r="CM135">
        <f t="shared" si="223"/>
        <v>0</v>
      </c>
      <c r="CN135">
        <f t="shared" si="223"/>
        <v>0</v>
      </c>
      <c r="CO135">
        <f t="shared" si="223"/>
        <v>0</v>
      </c>
      <c r="CP135">
        <f t="shared" si="223"/>
        <v>0</v>
      </c>
      <c r="CQ135">
        <f t="shared" si="130"/>
        <v>0</v>
      </c>
      <c r="CR135">
        <f t="shared" si="131"/>
        <v>0</v>
      </c>
      <c r="CS135">
        <f t="shared" si="132"/>
        <v>0</v>
      </c>
      <c r="CT135">
        <f t="shared" si="133"/>
        <v>0</v>
      </c>
      <c r="CU135">
        <f t="shared" si="134"/>
        <v>0</v>
      </c>
      <c r="CV135">
        <f t="shared" si="135"/>
        <v>0</v>
      </c>
      <c r="CW135">
        <f t="shared" si="136"/>
        <v>0</v>
      </c>
    </row>
    <row r="136" spans="1:101">
      <c r="A136" s="60">
        <v>45058</v>
      </c>
      <c r="B136" s="426">
        <v>69407.5</v>
      </c>
      <c r="C136">
        <v>70502</v>
      </c>
      <c r="D136">
        <v>70344.100000000006</v>
      </c>
      <c r="E136">
        <v>66409.7</v>
      </c>
      <c r="F136">
        <v>55019.9</v>
      </c>
      <c r="G136">
        <v>54763.9</v>
      </c>
      <c r="H136">
        <v>54849.8</v>
      </c>
      <c r="I136">
        <v>53418.5</v>
      </c>
      <c r="J136">
        <v>53693.2</v>
      </c>
      <c r="K136">
        <v>58483.8</v>
      </c>
      <c r="L136">
        <v>69184.7</v>
      </c>
      <c r="M136">
        <v>69164.899999999994</v>
      </c>
      <c r="N136">
        <v>69226.899999999994</v>
      </c>
      <c r="O136">
        <v>69777.100000000006</v>
      </c>
      <c r="P136">
        <v>69624.399999999994</v>
      </c>
      <c r="Q136">
        <v>69693</v>
      </c>
      <c r="R136">
        <v>69398.2</v>
      </c>
      <c r="S136">
        <v>69503.3</v>
      </c>
      <c r="T136">
        <v>69522.3</v>
      </c>
      <c r="U136">
        <v>68827</v>
      </c>
      <c r="V136">
        <v>69117.899999999994</v>
      </c>
      <c r="W136">
        <v>68450.8</v>
      </c>
      <c r="X136">
        <v>68823.399999999994</v>
      </c>
      <c r="Y136">
        <v>68227.899999999994</v>
      </c>
      <c r="Z136" s="77">
        <v>1575434.2</v>
      </c>
      <c r="AB136">
        <f t="shared" si="219"/>
        <v>0</v>
      </c>
      <c r="AC136">
        <f t="shared" si="145"/>
        <v>0</v>
      </c>
      <c r="AD136">
        <f t="shared" si="146"/>
        <v>0</v>
      </c>
      <c r="AE136">
        <f t="shared" si="147"/>
        <v>0</v>
      </c>
      <c r="AF136">
        <f t="shared" si="148"/>
        <v>0</v>
      </c>
      <c r="AG136">
        <f t="shared" si="149"/>
        <v>0</v>
      </c>
      <c r="AH136">
        <f t="shared" si="150"/>
        <v>0</v>
      </c>
      <c r="AI136">
        <f t="shared" si="151"/>
        <v>0</v>
      </c>
      <c r="AJ136">
        <f t="shared" si="152"/>
        <v>0</v>
      </c>
      <c r="AK136">
        <f t="shared" si="153"/>
        <v>0</v>
      </c>
      <c r="AL136">
        <f t="shared" si="154"/>
        <v>0</v>
      </c>
      <c r="AM136">
        <f t="shared" si="155"/>
        <v>0</v>
      </c>
      <c r="AN136">
        <f t="shared" si="156"/>
        <v>0</v>
      </c>
      <c r="AO136">
        <f t="shared" si="157"/>
        <v>0</v>
      </c>
      <c r="AP136">
        <f t="shared" si="158"/>
        <v>0</v>
      </c>
      <c r="AQ136">
        <f t="shared" si="159"/>
        <v>0</v>
      </c>
      <c r="AR136">
        <f t="shared" si="160"/>
        <v>0</v>
      </c>
      <c r="AS136">
        <f t="shared" si="161"/>
        <v>0</v>
      </c>
      <c r="AT136">
        <f t="shared" si="162"/>
        <v>0</v>
      </c>
      <c r="AU136">
        <f t="shared" si="163"/>
        <v>0</v>
      </c>
      <c r="AV136">
        <f t="shared" si="164"/>
        <v>0</v>
      </c>
      <c r="AW136">
        <f t="shared" si="165"/>
        <v>0</v>
      </c>
      <c r="AX136">
        <f t="shared" si="166"/>
        <v>0</v>
      </c>
      <c r="AY136">
        <f t="shared" si="220"/>
        <v>0</v>
      </c>
      <c r="BA136">
        <f t="shared" si="221"/>
        <v>8</v>
      </c>
      <c r="BB136">
        <f t="shared" si="167"/>
        <v>9</v>
      </c>
      <c r="BC136">
        <f t="shared" si="168"/>
        <v>8</v>
      </c>
      <c r="BD136">
        <f t="shared" si="169"/>
        <v>8</v>
      </c>
      <c r="BE136">
        <f t="shared" si="170"/>
        <v>7</v>
      </c>
      <c r="BF136">
        <f t="shared" si="171"/>
        <v>7</v>
      </c>
      <c r="BG136">
        <f t="shared" si="172"/>
        <v>7</v>
      </c>
      <c r="BH136">
        <f t="shared" si="173"/>
        <v>7</v>
      </c>
      <c r="BI136">
        <f t="shared" si="174"/>
        <v>7</v>
      </c>
      <c r="BJ136">
        <f t="shared" si="175"/>
        <v>7</v>
      </c>
      <c r="BK136">
        <f t="shared" si="176"/>
        <v>8</v>
      </c>
      <c r="BL136">
        <f t="shared" si="177"/>
        <v>8</v>
      </c>
      <c r="BM136">
        <f t="shared" si="178"/>
        <v>8</v>
      </c>
      <c r="BN136">
        <f t="shared" si="179"/>
        <v>8</v>
      </c>
      <c r="BO136">
        <f t="shared" si="180"/>
        <v>8</v>
      </c>
      <c r="BP136">
        <f t="shared" si="181"/>
        <v>8</v>
      </c>
      <c r="BQ136">
        <f t="shared" si="182"/>
        <v>8</v>
      </c>
      <c r="BR136">
        <f t="shared" si="183"/>
        <v>8</v>
      </c>
      <c r="BS136">
        <f t="shared" si="184"/>
        <v>8</v>
      </c>
      <c r="BT136">
        <f t="shared" si="185"/>
        <v>8</v>
      </c>
      <c r="BU136">
        <f t="shared" si="186"/>
        <v>8</v>
      </c>
      <c r="BV136">
        <f t="shared" si="187"/>
        <v>8</v>
      </c>
      <c r="BW136">
        <f t="shared" si="188"/>
        <v>8</v>
      </c>
      <c r="BX136">
        <f t="shared" si="189"/>
        <v>8</v>
      </c>
      <c r="BZ136" s="52">
        <f t="shared" ref="BZ136:BZ199" si="225">+BA136-BX135</f>
        <v>0</v>
      </c>
      <c r="CA136" s="52">
        <f t="shared" si="223"/>
        <v>1</v>
      </c>
      <c r="CB136" s="52">
        <f t="shared" si="223"/>
        <v>-1</v>
      </c>
      <c r="CC136" s="52">
        <f t="shared" si="223"/>
        <v>0</v>
      </c>
      <c r="CD136" s="52">
        <f t="shared" si="223"/>
        <v>-1</v>
      </c>
      <c r="CE136" s="52">
        <f t="shared" si="223"/>
        <v>0</v>
      </c>
      <c r="CF136" s="52">
        <f t="shared" si="223"/>
        <v>0</v>
      </c>
      <c r="CG136" s="52">
        <f t="shared" si="223"/>
        <v>0</v>
      </c>
      <c r="CH136" s="52">
        <f t="shared" si="223"/>
        <v>0</v>
      </c>
      <c r="CI136" s="52">
        <f t="shared" si="223"/>
        <v>0</v>
      </c>
      <c r="CJ136" s="52">
        <f t="shared" si="223"/>
        <v>1</v>
      </c>
      <c r="CK136" s="52">
        <f t="shared" si="223"/>
        <v>0</v>
      </c>
      <c r="CL136" s="52">
        <f t="shared" si="223"/>
        <v>0</v>
      </c>
      <c r="CM136" s="52">
        <f t="shared" si="223"/>
        <v>0</v>
      </c>
      <c r="CN136" s="52">
        <f t="shared" si="223"/>
        <v>0</v>
      </c>
      <c r="CO136" s="52">
        <f t="shared" si="223"/>
        <v>0</v>
      </c>
      <c r="CP136" s="52">
        <f t="shared" si="223"/>
        <v>0</v>
      </c>
      <c r="CQ136" s="52">
        <f t="shared" ref="CQ136:CQ199" si="226">BR136-BQ136</f>
        <v>0</v>
      </c>
      <c r="CR136" s="52">
        <f t="shared" ref="CR136:CR199" si="227">BS136-BR136</f>
        <v>0</v>
      </c>
      <c r="CS136" s="52">
        <f t="shared" ref="CS136:CS199" si="228">BT136-BS136</f>
        <v>0</v>
      </c>
      <c r="CT136" s="52">
        <f t="shared" ref="CT136:CT199" si="229">BU136-BT136</f>
        <v>0</v>
      </c>
      <c r="CU136" s="52">
        <f t="shared" ref="CU136:CU199" si="230">BV136-BU136</f>
        <v>0</v>
      </c>
      <c r="CV136" s="52">
        <f t="shared" ref="CV136:CV199" si="231">BW136-BV136</f>
        <v>0</v>
      </c>
      <c r="CW136" s="52">
        <f t="shared" ref="CW136:CW199" si="232">BX136-BW136</f>
        <v>0</v>
      </c>
    </row>
    <row r="137" spans="1:101">
      <c r="A137" s="60">
        <v>45059</v>
      </c>
      <c r="B137" s="426">
        <v>65795.3</v>
      </c>
      <c r="C137">
        <v>68183.7</v>
      </c>
      <c r="D137">
        <v>68365.8</v>
      </c>
      <c r="E137">
        <v>68239.600000000006</v>
      </c>
      <c r="F137">
        <v>63730.2</v>
      </c>
      <c r="G137">
        <v>68695.7</v>
      </c>
      <c r="H137">
        <v>64496.4</v>
      </c>
      <c r="I137">
        <v>54660.9</v>
      </c>
      <c r="J137">
        <v>54402.9</v>
      </c>
      <c r="K137">
        <v>54142.9</v>
      </c>
      <c r="L137">
        <v>54259.6</v>
      </c>
      <c r="M137">
        <v>18514.400000000001</v>
      </c>
      <c r="N137">
        <v>3588</v>
      </c>
      <c r="O137">
        <v>53008.3</v>
      </c>
      <c r="P137">
        <v>54190.7</v>
      </c>
      <c r="Q137">
        <v>54249</v>
      </c>
      <c r="R137">
        <v>54045.8</v>
      </c>
      <c r="S137">
        <v>54265</v>
      </c>
      <c r="T137">
        <v>67723.899999999994</v>
      </c>
      <c r="U137">
        <v>68729.8</v>
      </c>
      <c r="V137">
        <v>68722.3</v>
      </c>
      <c r="W137">
        <v>68424.2</v>
      </c>
      <c r="X137">
        <v>65886.899999999994</v>
      </c>
      <c r="Y137">
        <v>65672.399999999994</v>
      </c>
      <c r="Z137" s="77">
        <v>1381993.7</v>
      </c>
      <c r="AB137" s="52">
        <f t="shared" si="219"/>
        <v>0</v>
      </c>
      <c r="AC137" s="52">
        <f t="shared" si="145"/>
        <v>0</v>
      </c>
      <c r="AD137" s="52">
        <f t="shared" si="146"/>
        <v>0</v>
      </c>
      <c r="AE137" s="52">
        <f t="shared" si="147"/>
        <v>0</v>
      </c>
      <c r="AF137" s="52">
        <f t="shared" si="148"/>
        <v>0</v>
      </c>
      <c r="AG137" s="52">
        <f t="shared" si="149"/>
        <v>0</v>
      </c>
      <c r="AH137" s="52">
        <f t="shared" si="150"/>
        <v>0</v>
      </c>
      <c r="AI137" s="52">
        <f t="shared" si="151"/>
        <v>0</v>
      </c>
      <c r="AJ137" s="52">
        <f t="shared" si="152"/>
        <v>0</v>
      </c>
      <c r="AK137" s="52">
        <f t="shared" si="153"/>
        <v>0</v>
      </c>
      <c r="AL137" s="52">
        <f t="shared" si="154"/>
        <v>0</v>
      </c>
      <c r="AM137" s="52">
        <f t="shared" si="155"/>
        <v>0</v>
      </c>
      <c r="AN137" s="52">
        <f t="shared" si="156"/>
        <v>0</v>
      </c>
      <c r="AO137" s="52">
        <f t="shared" si="157"/>
        <v>0</v>
      </c>
      <c r="AP137" s="52">
        <f t="shared" si="158"/>
        <v>0</v>
      </c>
      <c r="AQ137" s="52">
        <f t="shared" si="159"/>
        <v>0</v>
      </c>
      <c r="AR137" s="52">
        <f t="shared" si="160"/>
        <v>0</v>
      </c>
      <c r="AS137" s="52">
        <f t="shared" si="161"/>
        <v>0</v>
      </c>
      <c r="AT137" s="52">
        <f t="shared" si="162"/>
        <v>0</v>
      </c>
      <c r="AU137" s="52">
        <f t="shared" si="163"/>
        <v>0</v>
      </c>
      <c r="AV137" s="52">
        <f t="shared" si="164"/>
        <v>0</v>
      </c>
      <c r="AW137" s="52">
        <f t="shared" si="165"/>
        <v>0</v>
      </c>
      <c r="AX137" s="52">
        <f t="shared" si="166"/>
        <v>0</v>
      </c>
      <c r="AY137" s="52">
        <f t="shared" si="220"/>
        <v>0</v>
      </c>
      <c r="BA137" s="52">
        <f t="shared" si="221"/>
        <v>8</v>
      </c>
      <c r="BB137" s="52">
        <f t="shared" si="167"/>
        <v>8</v>
      </c>
      <c r="BC137" s="52">
        <f t="shared" si="168"/>
        <v>8</v>
      </c>
      <c r="BD137" s="52">
        <f t="shared" si="169"/>
        <v>8</v>
      </c>
      <c r="BE137" s="52">
        <f t="shared" si="170"/>
        <v>8</v>
      </c>
      <c r="BF137" s="52">
        <f t="shared" si="171"/>
        <v>8</v>
      </c>
      <c r="BG137" s="52">
        <f t="shared" si="172"/>
        <v>8</v>
      </c>
      <c r="BH137" s="52">
        <f t="shared" si="173"/>
        <v>7</v>
      </c>
      <c r="BI137" s="52">
        <f t="shared" si="174"/>
        <v>7</v>
      </c>
      <c r="BJ137" s="52">
        <f t="shared" si="175"/>
        <v>7</v>
      </c>
      <c r="BK137" s="52">
        <f t="shared" si="176"/>
        <v>7</v>
      </c>
      <c r="BL137" s="52">
        <f t="shared" si="177"/>
        <v>3</v>
      </c>
      <c r="BM137" s="52">
        <f t="shared" si="178"/>
        <v>1</v>
      </c>
      <c r="BN137" s="52">
        <f t="shared" si="179"/>
        <v>7</v>
      </c>
      <c r="BO137" s="52">
        <f t="shared" si="180"/>
        <v>7</v>
      </c>
      <c r="BP137" s="52">
        <f t="shared" si="181"/>
        <v>7</v>
      </c>
      <c r="BQ137" s="52">
        <f t="shared" si="182"/>
        <v>7</v>
      </c>
      <c r="BR137" s="52">
        <f t="shared" si="183"/>
        <v>7</v>
      </c>
      <c r="BS137" s="52">
        <f t="shared" si="184"/>
        <v>8</v>
      </c>
      <c r="BT137" s="52">
        <f t="shared" si="185"/>
        <v>8</v>
      </c>
      <c r="BU137" s="52">
        <f t="shared" si="186"/>
        <v>8</v>
      </c>
      <c r="BV137" s="52">
        <f t="shared" si="187"/>
        <v>8</v>
      </c>
      <c r="BW137" s="52">
        <f t="shared" si="188"/>
        <v>8</v>
      </c>
      <c r="BX137" s="52">
        <f t="shared" si="189"/>
        <v>8</v>
      </c>
      <c r="BZ137">
        <f t="shared" si="225"/>
        <v>0</v>
      </c>
      <c r="CA137">
        <f t="shared" si="223"/>
        <v>0</v>
      </c>
      <c r="CB137">
        <f t="shared" si="223"/>
        <v>0</v>
      </c>
      <c r="CC137">
        <f t="shared" si="223"/>
        <v>0</v>
      </c>
      <c r="CD137">
        <f t="shared" si="223"/>
        <v>0</v>
      </c>
      <c r="CE137">
        <f t="shared" si="223"/>
        <v>0</v>
      </c>
      <c r="CF137">
        <f t="shared" si="223"/>
        <v>0</v>
      </c>
      <c r="CG137">
        <f t="shared" si="223"/>
        <v>-1</v>
      </c>
      <c r="CH137">
        <f t="shared" si="223"/>
        <v>0</v>
      </c>
      <c r="CI137">
        <f t="shared" si="223"/>
        <v>0</v>
      </c>
      <c r="CJ137">
        <f t="shared" si="223"/>
        <v>0</v>
      </c>
      <c r="CK137">
        <f t="shared" si="223"/>
        <v>-4</v>
      </c>
      <c r="CL137">
        <f t="shared" si="223"/>
        <v>-2</v>
      </c>
      <c r="CM137">
        <f t="shared" si="223"/>
        <v>6</v>
      </c>
      <c r="CN137">
        <f t="shared" si="223"/>
        <v>0</v>
      </c>
      <c r="CO137">
        <f t="shared" si="223"/>
        <v>0</v>
      </c>
      <c r="CP137">
        <f t="shared" si="223"/>
        <v>0</v>
      </c>
      <c r="CQ137">
        <f t="shared" si="226"/>
        <v>0</v>
      </c>
      <c r="CR137">
        <f t="shared" si="227"/>
        <v>1</v>
      </c>
      <c r="CS137">
        <f t="shared" si="228"/>
        <v>0</v>
      </c>
      <c r="CT137">
        <f t="shared" si="229"/>
        <v>0</v>
      </c>
      <c r="CU137">
        <f t="shared" si="230"/>
        <v>0</v>
      </c>
      <c r="CV137">
        <f t="shared" si="231"/>
        <v>0</v>
      </c>
      <c r="CW137">
        <f t="shared" si="232"/>
        <v>0</v>
      </c>
    </row>
    <row r="138" spans="1:101">
      <c r="A138" s="60">
        <v>45060</v>
      </c>
      <c r="B138" s="426">
        <v>66226.600000000006</v>
      </c>
      <c r="C138">
        <v>59687.9</v>
      </c>
      <c r="D138">
        <v>54286.2</v>
      </c>
      <c r="E138">
        <v>54304.6</v>
      </c>
      <c r="F138">
        <v>54351.199999999997</v>
      </c>
      <c r="G138">
        <v>54337.9</v>
      </c>
      <c r="H138">
        <v>54436.3</v>
      </c>
      <c r="I138">
        <v>54413.7</v>
      </c>
      <c r="J138">
        <v>54381.4</v>
      </c>
      <c r="K138">
        <v>53518.1</v>
      </c>
      <c r="L138">
        <v>53419.199999999997</v>
      </c>
      <c r="M138">
        <v>53855.1</v>
      </c>
      <c r="N138">
        <v>53255.8</v>
      </c>
      <c r="O138">
        <v>54103.9</v>
      </c>
      <c r="P138">
        <v>54098.9</v>
      </c>
      <c r="Q138">
        <v>54133.3</v>
      </c>
      <c r="R138">
        <v>54123.7</v>
      </c>
      <c r="S138">
        <v>54233.1</v>
      </c>
      <c r="T138">
        <v>53874.3</v>
      </c>
      <c r="U138">
        <v>68724.600000000006</v>
      </c>
      <c r="V138">
        <v>69010.3</v>
      </c>
      <c r="W138">
        <v>69065.2</v>
      </c>
      <c r="X138">
        <v>68376.899999999994</v>
      </c>
      <c r="Y138">
        <v>63426.2</v>
      </c>
      <c r="Z138" s="77">
        <v>1383644.4</v>
      </c>
      <c r="AB138">
        <f t="shared" si="219"/>
        <v>0</v>
      </c>
      <c r="AC138">
        <f t="shared" si="145"/>
        <v>0</v>
      </c>
      <c r="AD138">
        <f t="shared" si="146"/>
        <v>0</v>
      </c>
      <c r="AE138">
        <f t="shared" si="147"/>
        <v>0</v>
      </c>
      <c r="AF138">
        <f t="shared" si="148"/>
        <v>0</v>
      </c>
      <c r="AG138">
        <f t="shared" si="149"/>
        <v>0</v>
      </c>
      <c r="AH138">
        <f t="shared" si="150"/>
        <v>0</v>
      </c>
      <c r="AI138">
        <f t="shared" si="151"/>
        <v>0</v>
      </c>
      <c r="AJ138">
        <f t="shared" si="152"/>
        <v>0</v>
      </c>
      <c r="AK138">
        <f t="shared" si="153"/>
        <v>0</v>
      </c>
      <c r="AL138">
        <f t="shared" si="154"/>
        <v>0</v>
      </c>
      <c r="AM138">
        <f t="shared" si="155"/>
        <v>0</v>
      </c>
      <c r="AN138">
        <f t="shared" si="156"/>
        <v>0</v>
      </c>
      <c r="AO138">
        <f t="shared" si="157"/>
        <v>0</v>
      </c>
      <c r="AP138">
        <f t="shared" si="158"/>
        <v>0</v>
      </c>
      <c r="AQ138">
        <f t="shared" si="159"/>
        <v>0</v>
      </c>
      <c r="AR138">
        <f t="shared" si="160"/>
        <v>0</v>
      </c>
      <c r="AS138">
        <f t="shared" si="161"/>
        <v>0</v>
      </c>
      <c r="AT138">
        <f t="shared" si="162"/>
        <v>0</v>
      </c>
      <c r="AU138">
        <f t="shared" si="163"/>
        <v>0</v>
      </c>
      <c r="AV138">
        <f t="shared" si="164"/>
        <v>0</v>
      </c>
      <c r="AW138">
        <f t="shared" si="165"/>
        <v>0</v>
      </c>
      <c r="AX138">
        <f t="shared" si="166"/>
        <v>0</v>
      </c>
      <c r="AY138">
        <f t="shared" si="220"/>
        <v>0</v>
      </c>
      <c r="BA138">
        <f t="shared" si="221"/>
        <v>8</v>
      </c>
      <c r="BB138">
        <f t="shared" si="167"/>
        <v>7</v>
      </c>
      <c r="BC138">
        <f t="shared" si="168"/>
        <v>7</v>
      </c>
      <c r="BD138">
        <f t="shared" si="169"/>
        <v>7</v>
      </c>
      <c r="BE138">
        <f t="shared" si="170"/>
        <v>7</v>
      </c>
      <c r="BF138">
        <f t="shared" si="171"/>
        <v>7</v>
      </c>
      <c r="BG138">
        <f t="shared" si="172"/>
        <v>7</v>
      </c>
      <c r="BH138">
        <f t="shared" si="173"/>
        <v>7</v>
      </c>
      <c r="BI138">
        <f t="shared" si="174"/>
        <v>7</v>
      </c>
      <c r="BJ138">
        <f t="shared" si="175"/>
        <v>7</v>
      </c>
      <c r="BK138">
        <f t="shared" si="176"/>
        <v>7</v>
      </c>
      <c r="BL138">
        <f t="shared" si="177"/>
        <v>7</v>
      </c>
      <c r="BM138">
        <f t="shared" si="178"/>
        <v>7</v>
      </c>
      <c r="BN138">
        <f t="shared" si="179"/>
        <v>7</v>
      </c>
      <c r="BO138">
        <f t="shared" si="180"/>
        <v>7</v>
      </c>
      <c r="BP138">
        <f t="shared" si="181"/>
        <v>7</v>
      </c>
      <c r="BQ138">
        <f t="shared" si="182"/>
        <v>7</v>
      </c>
      <c r="BR138">
        <f t="shared" si="183"/>
        <v>7</v>
      </c>
      <c r="BS138">
        <f t="shared" si="184"/>
        <v>7</v>
      </c>
      <c r="BT138">
        <f t="shared" si="185"/>
        <v>8</v>
      </c>
      <c r="BU138">
        <f t="shared" si="186"/>
        <v>8</v>
      </c>
      <c r="BV138">
        <f t="shared" si="187"/>
        <v>8</v>
      </c>
      <c r="BW138">
        <f t="shared" si="188"/>
        <v>8</v>
      </c>
      <c r="BX138">
        <f t="shared" si="189"/>
        <v>8</v>
      </c>
      <c r="BZ138" s="52">
        <f t="shared" si="225"/>
        <v>0</v>
      </c>
      <c r="CA138" s="52">
        <f t="shared" si="223"/>
        <v>-1</v>
      </c>
      <c r="CB138" s="52">
        <f t="shared" si="223"/>
        <v>0</v>
      </c>
      <c r="CC138" s="52">
        <f t="shared" si="223"/>
        <v>0</v>
      </c>
      <c r="CD138" s="52">
        <f t="shared" si="223"/>
        <v>0</v>
      </c>
      <c r="CE138" s="52">
        <f t="shared" si="223"/>
        <v>0</v>
      </c>
      <c r="CF138" s="52">
        <f t="shared" si="223"/>
        <v>0</v>
      </c>
      <c r="CG138" s="52">
        <f t="shared" si="223"/>
        <v>0</v>
      </c>
      <c r="CH138" s="52">
        <f t="shared" si="223"/>
        <v>0</v>
      </c>
      <c r="CI138" s="52">
        <f t="shared" si="223"/>
        <v>0</v>
      </c>
      <c r="CJ138" s="52">
        <f t="shared" si="223"/>
        <v>0</v>
      </c>
      <c r="CK138" s="52">
        <f t="shared" si="223"/>
        <v>0</v>
      </c>
      <c r="CL138" s="52">
        <f t="shared" si="223"/>
        <v>0</v>
      </c>
      <c r="CM138" s="52">
        <f t="shared" si="223"/>
        <v>0</v>
      </c>
      <c r="CN138" s="52">
        <f t="shared" si="223"/>
        <v>0</v>
      </c>
      <c r="CO138" s="52">
        <f t="shared" si="223"/>
        <v>0</v>
      </c>
      <c r="CP138" s="52">
        <f t="shared" si="223"/>
        <v>0</v>
      </c>
      <c r="CQ138" s="52">
        <f t="shared" si="226"/>
        <v>0</v>
      </c>
      <c r="CR138" s="52">
        <f t="shared" si="227"/>
        <v>0</v>
      </c>
      <c r="CS138" s="52">
        <f t="shared" si="228"/>
        <v>1</v>
      </c>
      <c r="CT138" s="52">
        <f t="shared" si="229"/>
        <v>0</v>
      </c>
      <c r="CU138" s="52">
        <f t="shared" si="230"/>
        <v>0</v>
      </c>
      <c r="CV138" s="52">
        <f t="shared" si="231"/>
        <v>0</v>
      </c>
      <c r="CW138" s="52">
        <f t="shared" si="232"/>
        <v>0</v>
      </c>
    </row>
    <row r="139" spans="1:101">
      <c r="A139" s="60">
        <v>45061</v>
      </c>
      <c r="B139" s="426">
        <v>54820.1</v>
      </c>
      <c r="C139">
        <v>54074.8</v>
      </c>
      <c r="D139">
        <v>54234.5</v>
      </c>
      <c r="E139">
        <v>54237.5</v>
      </c>
      <c r="F139">
        <v>54359.9</v>
      </c>
      <c r="G139">
        <v>54330.3</v>
      </c>
      <c r="H139">
        <v>54248.7</v>
      </c>
      <c r="I139">
        <v>54405.5</v>
      </c>
      <c r="J139">
        <v>54314.9</v>
      </c>
      <c r="K139">
        <v>53572.7</v>
      </c>
      <c r="L139">
        <v>53980.6</v>
      </c>
      <c r="M139">
        <v>55162.2</v>
      </c>
      <c r="N139">
        <v>52558.1</v>
      </c>
      <c r="O139">
        <v>52830.7</v>
      </c>
      <c r="P139">
        <v>64966</v>
      </c>
      <c r="Q139">
        <v>67914.3</v>
      </c>
      <c r="R139">
        <v>67368.600000000006</v>
      </c>
      <c r="S139">
        <v>54542.3</v>
      </c>
      <c r="T139">
        <v>66361.2</v>
      </c>
      <c r="U139">
        <v>67659.100000000006</v>
      </c>
      <c r="V139">
        <v>67971.600000000006</v>
      </c>
      <c r="W139">
        <v>69303.899999999994</v>
      </c>
      <c r="X139">
        <v>68158</v>
      </c>
      <c r="Y139">
        <v>68014.3</v>
      </c>
      <c r="Z139" s="77">
        <v>1419389.8</v>
      </c>
      <c r="AB139" s="52">
        <f t="shared" si="219"/>
        <v>0</v>
      </c>
      <c r="AC139" s="52">
        <f t="shared" si="145"/>
        <v>0</v>
      </c>
      <c r="AD139" s="52">
        <f t="shared" si="146"/>
        <v>0</v>
      </c>
      <c r="AE139" s="52">
        <f t="shared" si="147"/>
        <v>0</v>
      </c>
      <c r="AF139" s="52">
        <f t="shared" si="148"/>
        <v>0</v>
      </c>
      <c r="AG139" s="52">
        <f t="shared" si="149"/>
        <v>0</v>
      </c>
      <c r="AH139" s="52">
        <f t="shared" si="150"/>
        <v>0</v>
      </c>
      <c r="AI139" s="52">
        <f t="shared" si="151"/>
        <v>0</v>
      </c>
      <c r="AJ139" s="52">
        <f t="shared" si="152"/>
        <v>0</v>
      </c>
      <c r="AK139" s="52">
        <f t="shared" si="153"/>
        <v>0</v>
      </c>
      <c r="AL139" s="52">
        <f t="shared" si="154"/>
        <v>0</v>
      </c>
      <c r="AM139" s="52">
        <f t="shared" si="155"/>
        <v>0</v>
      </c>
      <c r="AN139" s="52">
        <f t="shared" si="156"/>
        <v>0</v>
      </c>
      <c r="AO139" s="52">
        <f t="shared" si="157"/>
        <v>0</v>
      </c>
      <c r="AP139" s="52">
        <f t="shared" si="158"/>
        <v>0</v>
      </c>
      <c r="AQ139" s="52">
        <f t="shared" si="159"/>
        <v>0</v>
      </c>
      <c r="AR139" s="52">
        <f t="shared" si="160"/>
        <v>0</v>
      </c>
      <c r="AS139" s="52">
        <f t="shared" si="161"/>
        <v>0</v>
      </c>
      <c r="AT139" s="52">
        <f t="shared" si="162"/>
        <v>0</v>
      </c>
      <c r="AU139" s="52">
        <f t="shared" si="163"/>
        <v>0</v>
      </c>
      <c r="AV139" s="52">
        <f t="shared" si="164"/>
        <v>0</v>
      </c>
      <c r="AW139" s="52">
        <f t="shared" si="165"/>
        <v>0</v>
      </c>
      <c r="AX139" s="52">
        <f t="shared" si="166"/>
        <v>0</v>
      </c>
      <c r="AY139" s="52">
        <f t="shared" si="220"/>
        <v>0</v>
      </c>
      <c r="BA139" s="52">
        <f t="shared" si="221"/>
        <v>7</v>
      </c>
      <c r="BB139" s="52">
        <f t="shared" si="167"/>
        <v>7</v>
      </c>
      <c r="BC139" s="52">
        <f t="shared" si="168"/>
        <v>7</v>
      </c>
      <c r="BD139" s="52">
        <f t="shared" si="169"/>
        <v>7</v>
      </c>
      <c r="BE139" s="52">
        <f t="shared" si="170"/>
        <v>7</v>
      </c>
      <c r="BF139" s="52">
        <f t="shared" si="171"/>
        <v>7</v>
      </c>
      <c r="BG139" s="52">
        <f t="shared" si="172"/>
        <v>7</v>
      </c>
      <c r="BH139" s="52">
        <f t="shared" si="173"/>
        <v>7</v>
      </c>
      <c r="BI139" s="52">
        <f t="shared" si="174"/>
        <v>7</v>
      </c>
      <c r="BJ139" s="52">
        <f t="shared" si="175"/>
        <v>7</v>
      </c>
      <c r="BK139" s="52">
        <f t="shared" si="176"/>
        <v>7</v>
      </c>
      <c r="BL139" s="52">
        <f t="shared" si="177"/>
        <v>7</v>
      </c>
      <c r="BM139" s="52">
        <f t="shared" si="178"/>
        <v>6</v>
      </c>
      <c r="BN139" s="52">
        <f t="shared" si="179"/>
        <v>7</v>
      </c>
      <c r="BO139" s="52">
        <f t="shared" si="180"/>
        <v>8</v>
      </c>
      <c r="BP139" s="52">
        <f t="shared" si="181"/>
        <v>8</v>
      </c>
      <c r="BQ139" s="52">
        <f t="shared" si="182"/>
        <v>8</v>
      </c>
      <c r="BR139" s="52">
        <f t="shared" si="183"/>
        <v>7</v>
      </c>
      <c r="BS139" s="52">
        <f t="shared" si="184"/>
        <v>8</v>
      </c>
      <c r="BT139" s="52">
        <f t="shared" si="185"/>
        <v>8</v>
      </c>
      <c r="BU139" s="52">
        <f t="shared" si="186"/>
        <v>8</v>
      </c>
      <c r="BV139" s="52">
        <f t="shared" si="187"/>
        <v>8</v>
      </c>
      <c r="BW139" s="52">
        <f t="shared" si="188"/>
        <v>8</v>
      </c>
      <c r="BX139" s="52">
        <f t="shared" si="189"/>
        <v>8</v>
      </c>
      <c r="BZ139">
        <f t="shared" si="225"/>
        <v>-1</v>
      </c>
      <c r="CA139">
        <f t="shared" si="223"/>
        <v>0</v>
      </c>
      <c r="CB139">
        <f t="shared" si="223"/>
        <v>0</v>
      </c>
      <c r="CC139">
        <f t="shared" si="223"/>
        <v>0</v>
      </c>
      <c r="CD139">
        <f t="shared" si="223"/>
        <v>0</v>
      </c>
      <c r="CE139">
        <f t="shared" si="223"/>
        <v>0</v>
      </c>
      <c r="CF139">
        <f t="shared" si="223"/>
        <v>0</v>
      </c>
      <c r="CG139">
        <f t="shared" si="223"/>
        <v>0</v>
      </c>
      <c r="CH139">
        <f t="shared" si="223"/>
        <v>0</v>
      </c>
      <c r="CI139">
        <f t="shared" si="223"/>
        <v>0</v>
      </c>
      <c r="CJ139">
        <f t="shared" si="223"/>
        <v>0</v>
      </c>
      <c r="CK139">
        <f t="shared" si="223"/>
        <v>0</v>
      </c>
      <c r="CL139">
        <f t="shared" si="223"/>
        <v>-1</v>
      </c>
      <c r="CM139">
        <f t="shared" si="223"/>
        <v>1</v>
      </c>
      <c r="CN139">
        <f t="shared" si="223"/>
        <v>1</v>
      </c>
      <c r="CO139">
        <f t="shared" si="223"/>
        <v>0</v>
      </c>
      <c r="CP139">
        <f t="shared" si="223"/>
        <v>0</v>
      </c>
      <c r="CQ139">
        <f t="shared" si="226"/>
        <v>-1</v>
      </c>
      <c r="CR139">
        <f t="shared" si="227"/>
        <v>1</v>
      </c>
      <c r="CS139">
        <f t="shared" si="228"/>
        <v>0</v>
      </c>
      <c r="CT139">
        <f t="shared" si="229"/>
        <v>0</v>
      </c>
      <c r="CU139">
        <f t="shared" si="230"/>
        <v>0</v>
      </c>
      <c r="CV139">
        <f t="shared" si="231"/>
        <v>0</v>
      </c>
      <c r="CW139">
        <f t="shared" si="232"/>
        <v>0</v>
      </c>
    </row>
    <row r="140" spans="1:101">
      <c r="A140" s="60">
        <v>45062</v>
      </c>
      <c r="B140" s="426">
        <v>54820.1</v>
      </c>
      <c r="C140">
        <v>54074.8</v>
      </c>
      <c r="D140">
        <v>54234.5</v>
      </c>
      <c r="E140">
        <v>54237.5</v>
      </c>
      <c r="F140">
        <v>54359.9</v>
      </c>
      <c r="G140">
        <v>54330.3</v>
      </c>
      <c r="H140">
        <v>54248.7</v>
      </c>
      <c r="I140">
        <v>54405.5</v>
      </c>
      <c r="J140">
        <v>54314.9</v>
      </c>
      <c r="K140">
        <v>53572.7</v>
      </c>
      <c r="L140">
        <v>53980.6</v>
      </c>
      <c r="M140">
        <v>55162.2</v>
      </c>
      <c r="N140">
        <v>52558.1</v>
      </c>
      <c r="O140">
        <v>52830.7</v>
      </c>
      <c r="P140">
        <v>64966</v>
      </c>
      <c r="Q140">
        <v>67914.3</v>
      </c>
      <c r="R140">
        <v>67368.600000000006</v>
      </c>
      <c r="S140">
        <v>54542.3</v>
      </c>
      <c r="T140">
        <v>66361.2</v>
      </c>
      <c r="U140">
        <v>67659.100000000006</v>
      </c>
      <c r="V140">
        <v>67971.600000000006</v>
      </c>
      <c r="W140">
        <v>69303.899999999994</v>
      </c>
      <c r="X140">
        <v>68158</v>
      </c>
      <c r="Y140">
        <v>68014.3</v>
      </c>
      <c r="Z140" s="77">
        <v>1419389.8</v>
      </c>
      <c r="AB140">
        <f t="shared" si="219"/>
        <v>0</v>
      </c>
      <c r="AC140">
        <f t="shared" si="145"/>
        <v>0</v>
      </c>
      <c r="AD140">
        <f t="shared" si="146"/>
        <v>0</v>
      </c>
      <c r="AE140">
        <f t="shared" si="147"/>
        <v>0</v>
      </c>
      <c r="AF140">
        <f t="shared" si="148"/>
        <v>0</v>
      </c>
      <c r="AG140">
        <f t="shared" si="149"/>
        <v>0</v>
      </c>
      <c r="AH140">
        <f t="shared" si="150"/>
        <v>0</v>
      </c>
      <c r="AI140">
        <f t="shared" si="151"/>
        <v>0</v>
      </c>
      <c r="AJ140">
        <f t="shared" si="152"/>
        <v>0</v>
      </c>
      <c r="AK140">
        <f t="shared" si="153"/>
        <v>0</v>
      </c>
      <c r="AL140">
        <f t="shared" si="154"/>
        <v>0</v>
      </c>
      <c r="AM140">
        <f t="shared" si="155"/>
        <v>0</v>
      </c>
      <c r="AN140">
        <f t="shared" si="156"/>
        <v>0</v>
      </c>
      <c r="AO140">
        <f t="shared" si="157"/>
        <v>0</v>
      </c>
      <c r="AP140">
        <f t="shared" si="158"/>
        <v>0</v>
      </c>
      <c r="AQ140">
        <f t="shared" si="159"/>
        <v>0</v>
      </c>
      <c r="AR140">
        <f t="shared" si="160"/>
        <v>0</v>
      </c>
      <c r="AS140">
        <f t="shared" si="161"/>
        <v>0</v>
      </c>
      <c r="AT140">
        <f t="shared" si="162"/>
        <v>0</v>
      </c>
      <c r="AU140">
        <f t="shared" si="163"/>
        <v>0</v>
      </c>
      <c r="AV140">
        <f t="shared" si="164"/>
        <v>0</v>
      </c>
      <c r="AW140">
        <f t="shared" si="165"/>
        <v>0</v>
      </c>
      <c r="AX140">
        <f t="shared" si="166"/>
        <v>0</v>
      </c>
      <c r="AY140">
        <f t="shared" si="220"/>
        <v>0</v>
      </c>
      <c r="BA140">
        <f t="shared" si="221"/>
        <v>7</v>
      </c>
      <c r="BB140">
        <f t="shared" si="167"/>
        <v>7</v>
      </c>
      <c r="BC140">
        <f t="shared" si="168"/>
        <v>7</v>
      </c>
      <c r="BD140">
        <f t="shared" si="169"/>
        <v>7</v>
      </c>
      <c r="BE140">
        <f t="shared" si="170"/>
        <v>7</v>
      </c>
      <c r="BF140">
        <f t="shared" si="171"/>
        <v>7</v>
      </c>
      <c r="BG140">
        <f t="shared" si="172"/>
        <v>7</v>
      </c>
      <c r="BH140">
        <f t="shared" si="173"/>
        <v>7</v>
      </c>
      <c r="BI140">
        <f t="shared" si="174"/>
        <v>7</v>
      </c>
      <c r="BJ140">
        <f t="shared" si="175"/>
        <v>7</v>
      </c>
      <c r="BK140">
        <f t="shared" si="176"/>
        <v>7</v>
      </c>
      <c r="BL140">
        <f t="shared" si="177"/>
        <v>7</v>
      </c>
      <c r="BM140">
        <f t="shared" si="178"/>
        <v>6</v>
      </c>
      <c r="BN140">
        <f t="shared" si="179"/>
        <v>7</v>
      </c>
      <c r="BO140">
        <f t="shared" si="180"/>
        <v>8</v>
      </c>
      <c r="BP140">
        <f t="shared" si="181"/>
        <v>8</v>
      </c>
      <c r="BQ140">
        <f t="shared" si="182"/>
        <v>8</v>
      </c>
      <c r="BR140">
        <f t="shared" si="183"/>
        <v>7</v>
      </c>
      <c r="BS140">
        <f t="shared" si="184"/>
        <v>8</v>
      </c>
      <c r="BT140">
        <f t="shared" si="185"/>
        <v>8</v>
      </c>
      <c r="BU140">
        <f t="shared" si="186"/>
        <v>8</v>
      </c>
      <c r="BV140">
        <f t="shared" si="187"/>
        <v>8</v>
      </c>
      <c r="BW140">
        <f t="shared" si="188"/>
        <v>8</v>
      </c>
      <c r="BX140">
        <f t="shared" si="189"/>
        <v>8</v>
      </c>
      <c r="BZ140" s="52">
        <f t="shared" si="225"/>
        <v>-1</v>
      </c>
      <c r="CA140" s="52">
        <f t="shared" si="223"/>
        <v>0</v>
      </c>
      <c r="CB140" s="52">
        <f t="shared" si="223"/>
        <v>0</v>
      </c>
      <c r="CC140" s="52">
        <f t="shared" si="223"/>
        <v>0</v>
      </c>
      <c r="CD140" s="52">
        <f t="shared" si="223"/>
        <v>0</v>
      </c>
      <c r="CE140" s="52">
        <f t="shared" si="223"/>
        <v>0</v>
      </c>
      <c r="CF140" s="52">
        <f t="shared" si="223"/>
        <v>0</v>
      </c>
      <c r="CG140" s="52">
        <f t="shared" si="223"/>
        <v>0</v>
      </c>
      <c r="CH140" s="52">
        <f t="shared" si="223"/>
        <v>0</v>
      </c>
      <c r="CI140" s="52">
        <f t="shared" si="223"/>
        <v>0</v>
      </c>
      <c r="CJ140" s="52">
        <f t="shared" si="223"/>
        <v>0</v>
      </c>
      <c r="CK140" s="52">
        <f t="shared" si="223"/>
        <v>0</v>
      </c>
      <c r="CL140" s="52">
        <f t="shared" si="223"/>
        <v>-1</v>
      </c>
      <c r="CM140" s="52">
        <f t="shared" si="223"/>
        <v>1</v>
      </c>
      <c r="CN140" s="52">
        <f t="shared" si="223"/>
        <v>1</v>
      </c>
      <c r="CO140" s="52">
        <f t="shared" si="223"/>
        <v>0</v>
      </c>
      <c r="CP140" s="52">
        <f t="shared" si="223"/>
        <v>0</v>
      </c>
      <c r="CQ140" s="52">
        <f t="shared" si="226"/>
        <v>-1</v>
      </c>
      <c r="CR140" s="52">
        <f t="shared" si="227"/>
        <v>1</v>
      </c>
      <c r="CS140" s="52">
        <f t="shared" si="228"/>
        <v>0</v>
      </c>
      <c r="CT140" s="52">
        <f t="shared" si="229"/>
        <v>0</v>
      </c>
      <c r="CU140" s="52">
        <f t="shared" si="230"/>
        <v>0</v>
      </c>
      <c r="CV140" s="52">
        <f t="shared" si="231"/>
        <v>0</v>
      </c>
      <c r="CW140" s="52">
        <f t="shared" si="232"/>
        <v>0</v>
      </c>
    </row>
    <row r="141" spans="1:101">
      <c r="A141" s="60">
        <v>45063</v>
      </c>
      <c r="B141" s="426">
        <v>67176.399999999994</v>
      </c>
      <c r="C141">
        <v>56242.2</v>
      </c>
      <c r="D141">
        <v>54743.1</v>
      </c>
      <c r="E141">
        <v>54601.599999999999</v>
      </c>
      <c r="F141">
        <v>54338.3</v>
      </c>
      <c r="G141">
        <v>52992.5</v>
      </c>
      <c r="H141">
        <v>53163</v>
      </c>
      <c r="I141">
        <v>54109.1</v>
      </c>
      <c r="J141">
        <v>63851.199999999997</v>
      </c>
      <c r="K141">
        <v>68856</v>
      </c>
      <c r="L141">
        <v>68704.3</v>
      </c>
      <c r="M141">
        <v>68986.399999999994</v>
      </c>
      <c r="N141">
        <v>68928.3</v>
      </c>
      <c r="O141">
        <v>68807.899999999994</v>
      </c>
      <c r="P141">
        <v>69018.5</v>
      </c>
      <c r="Q141">
        <v>68974.7</v>
      </c>
      <c r="R141">
        <v>69029.100000000006</v>
      </c>
      <c r="S141">
        <v>69021.8</v>
      </c>
      <c r="T141">
        <v>68597.399999999994</v>
      </c>
      <c r="U141">
        <v>69020.100000000006</v>
      </c>
      <c r="V141">
        <v>68949.399999999994</v>
      </c>
      <c r="W141">
        <v>68937.7</v>
      </c>
      <c r="X141">
        <v>68567.100000000006</v>
      </c>
      <c r="Y141">
        <v>68889.3</v>
      </c>
      <c r="Z141" s="77">
        <v>1544505.4000000001</v>
      </c>
      <c r="AB141" s="52">
        <f t="shared" si="219"/>
        <v>0</v>
      </c>
      <c r="AC141" s="52">
        <f t="shared" si="145"/>
        <v>0</v>
      </c>
      <c r="AD141" s="52">
        <f t="shared" si="146"/>
        <v>0</v>
      </c>
      <c r="AE141" s="52">
        <f t="shared" si="147"/>
        <v>0</v>
      </c>
      <c r="AF141" s="52">
        <f t="shared" si="148"/>
        <v>0</v>
      </c>
      <c r="AG141" s="52">
        <f t="shared" si="149"/>
        <v>0</v>
      </c>
      <c r="AH141" s="52">
        <f t="shared" si="150"/>
        <v>0</v>
      </c>
      <c r="AI141" s="52">
        <f t="shared" si="151"/>
        <v>0</v>
      </c>
      <c r="AJ141" s="52">
        <f t="shared" si="152"/>
        <v>0</v>
      </c>
      <c r="AK141" s="52">
        <f t="shared" si="153"/>
        <v>0</v>
      </c>
      <c r="AL141" s="52">
        <f t="shared" si="154"/>
        <v>0</v>
      </c>
      <c r="AM141" s="52">
        <f t="shared" si="155"/>
        <v>0</v>
      </c>
      <c r="AN141" s="52">
        <f t="shared" si="156"/>
        <v>0</v>
      </c>
      <c r="AO141" s="52">
        <f t="shared" si="157"/>
        <v>0</v>
      </c>
      <c r="AP141" s="52">
        <f t="shared" si="158"/>
        <v>0</v>
      </c>
      <c r="AQ141" s="52">
        <f t="shared" si="159"/>
        <v>0</v>
      </c>
      <c r="AR141" s="52">
        <f t="shared" si="160"/>
        <v>0</v>
      </c>
      <c r="AS141" s="52">
        <f t="shared" si="161"/>
        <v>0</v>
      </c>
      <c r="AT141" s="52">
        <f t="shared" si="162"/>
        <v>0</v>
      </c>
      <c r="AU141" s="52">
        <f t="shared" si="163"/>
        <v>0</v>
      </c>
      <c r="AV141" s="52">
        <f t="shared" si="164"/>
        <v>0</v>
      </c>
      <c r="AW141" s="52">
        <f t="shared" si="165"/>
        <v>0</v>
      </c>
      <c r="AX141" s="52">
        <f t="shared" si="166"/>
        <v>0</v>
      </c>
      <c r="AY141" s="52">
        <f t="shared" si="220"/>
        <v>0</v>
      </c>
      <c r="BA141" s="52">
        <f t="shared" si="221"/>
        <v>8</v>
      </c>
      <c r="BB141" s="52">
        <f t="shared" si="167"/>
        <v>7</v>
      </c>
      <c r="BC141" s="52">
        <f t="shared" si="168"/>
        <v>7</v>
      </c>
      <c r="BD141" s="52">
        <f t="shared" si="169"/>
        <v>7</v>
      </c>
      <c r="BE141" s="52">
        <f t="shared" si="170"/>
        <v>7</v>
      </c>
      <c r="BF141" s="52">
        <f t="shared" si="171"/>
        <v>7</v>
      </c>
      <c r="BG141" s="52">
        <f t="shared" si="172"/>
        <v>7</v>
      </c>
      <c r="BH141" s="52">
        <f t="shared" si="173"/>
        <v>7</v>
      </c>
      <c r="BI141" s="52">
        <f t="shared" si="174"/>
        <v>8</v>
      </c>
      <c r="BJ141" s="52">
        <f t="shared" si="175"/>
        <v>8</v>
      </c>
      <c r="BK141" s="52">
        <f t="shared" si="176"/>
        <v>8</v>
      </c>
      <c r="BL141" s="52">
        <f t="shared" si="177"/>
        <v>8</v>
      </c>
      <c r="BM141" s="52">
        <f t="shared" si="178"/>
        <v>8</v>
      </c>
      <c r="BN141" s="52">
        <f t="shared" si="179"/>
        <v>8</v>
      </c>
      <c r="BO141" s="52">
        <f t="shared" si="180"/>
        <v>8</v>
      </c>
      <c r="BP141" s="52">
        <f t="shared" si="181"/>
        <v>8</v>
      </c>
      <c r="BQ141" s="52">
        <f t="shared" si="182"/>
        <v>8</v>
      </c>
      <c r="BR141" s="52">
        <f t="shared" si="183"/>
        <v>8</v>
      </c>
      <c r="BS141" s="52">
        <f t="shared" si="184"/>
        <v>8</v>
      </c>
      <c r="BT141" s="52">
        <f t="shared" si="185"/>
        <v>8</v>
      </c>
      <c r="BU141" s="52">
        <f t="shared" si="186"/>
        <v>8</v>
      </c>
      <c r="BV141" s="52">
        <f t="shared" si="187"/>
        <v>8</v>
      </c>
      <c r="BW141" s="52">
        <f t="shared" si="188"/>
        <v>8</v>
      </c>
      <c r="BX141" s="52">
        <f t="shared" si="189"/>
        <v>8</v>
      </c>
      <c r="BZ141">
        <f t="shared" si="225"/>
        <v>0</v>
      </c>
      <c r="CA141">
        <f t="shared" si="223"/>
        <v>-1</v>
      </c>
      <c r="CB141">
        <f t="shared" si="223"/>
        <v>0</v>
      </c>
      <c r="CC141">
        <f t="shared" si="223"/>
        <v>0</v>
      </c>
      <c r="CD141">
        <f t="shared" si="223"/>
        <v>0</v>
      </c>
      <c r="CE141">
        <f t="shared" si="223"/>
        <v>0</v>
      </c>
      <c r="CF141">
        <f t="shared" si="223"/>
        <v>0</v>
      </c>
      <c r="CG141">
        <f t="shared" si="223"/>
        <v>0</v>
      </c>
      <c r="CH141">
        <f t="shared" si="223"/>
        <v>1</v>
      </c>
      <c r="CI141">
        <f t="shared" si="223"/>
        <v>0</v>
      </c>
      <c r="CJ141">
        <f t="shared" si="223"/>
        <v>0</v>
      </c>
      <c r="CK141">
        <f t="shared" si="223"/>
        <v>0</v>
      </c>
      <c r="CL141">
        <f t="shared" si="223"/>
        <v>0</v>
      </c>
      <c r="CM141">
        <f t="shared" si="223"/>
        <v>0</v>
      </c>
      <c r="CN141">
        <f t="shared" si="223"/>
        <v>0</v>
      </c>
      <c r="CO141">
        <f t="shared" si="223"/>
        <v>0</v>
      </c>
      <c r="CP141">
        <f t="shared" si="223"/>
        <v>0</v>
      </c>
      <c r="CQ141">
        <f t="shared" si="226"/>
        <v>0</v>
      </c>
      <c r="CR141">
        <f t="shared" si="227"/>
        <v>0</v>
      </c>
      <c r="CS141">
        <f t="shared" si="228"/>
        <v>0</v>
      </c>
      <c r="CT141">
        <f t="shared" si="229"/>
        <v>0</v>
      </c>
      <c r="CU141">
        <f t="shared" si="230"/>
        <v>0</v>
      </c>
      <c r="CV141">
        <f t="shared" si="231"/>
        <v>0</v>
      </c>
      <c r="CW141">
        <f t="shared" si="232"/>
        <v>0</v>
      </c>
    </row>
    <row r="142" spans="1:101">
      <c r="A142" s="60">
        <v>45064</v>
      </c>
      <c r="B142" s="426">
        <v>53735.3</v>
      </c>
      <c r="C142">
        <v>53039.7</v>
      </c>
      <c r="D142">
        <v>52811.199999999997</v>
      </c>
      <c r="E142">
        <v>54342.6</v>
      </c>
      <c r="F142">
        <v>54425.7</v>
      </c>
      <c r="G142">
        <v>54436.4</v>
      </c>
      <c r="H142">
        <v>54343.1</v>
      </c>
      <c r="I142">
        <v>54545.3</v>
      </c>
      <c r="J142">
        <v>54258.7</v>
      </c>
      <c r="K142">
        <v>53805.7</v>
      </c>
      <c r="L142">
        <v>53720.3</v>
      </c>
      <c r="M142">
        <v>53709.1</v>
      </c>
      <c r="N142">
        <v>53704.800000000003</v>
      </c>
      <c r="O142">
        <v>53974.1</v>
      </c>
      <c r="P142">
        <v>68517.600000000006</v>
      </c>
      <c r="Q142">
        <v>63334.400000000001</v>
      </c>
      <c r="R142">
        <v>68747.3</v>
      </c>
      <c r="S142">
        <v>55203.1</v>
      </c>
      <c r="T142">
        <v>68354.7</v>
      </c>
      <c r="U142">
        <v>61149.9</v>
      </c>
      <c r="V142">
        <v>60479.199999999997</v>
      </c>
      <c r="W142">
        <v>65350.8</v>
      </c>
      <c r="X142">
        <v>66816.399999999994</v>
      </c>
      <c r="Y142">
        <v>66001.399999999994</v>
      </c>
      <c r="Z142" s="77">
        <v>1398806.7999999998</v>
      </c>
      <c r="AB142">
        <f t="shared" si="219"/>
        <v>0</v>
      </c>
      <c r="AC142">
        <f t="shared" si="145"/>
        <v>0</v>
      </c>
      <c r="AD142">
        <f t="shared" si="146"/>
        <v>0</v>
      </c>
      <c r="AE142">
        <f t="shared" si="147"/>
        <v>0</v>
      </c>
      <c r="AF142">
        <f t="shared" si="148"/>
        <v>0</v>
      </c>
      <c r="AG142">
        <f t="shared" si="149"/>
        <v>0</v>
      </c>
      <c r="AH142">
        <f t="shared" si="150"/>
        <v>0</v>
      </c>
      <c r="AI142">
        <f t="shared" si="151"/>
        <v>0</v>
      </c>
      <c r="AJ142">
        <f t="shared" si="152"/>
        <v>0</v>
      </c>
      <c r="AK142">
        <f t="shared" si="153"/>
        <v>0</v>
      </c>
      <c r="AL142">
        <f t="shared" si="154"/>
        <v>0</v>
      </c>
      <c r="AM142">
        <f t="shared" si="155"/>
        <v>0</v>
      </c>
      <c r="AN142">
        <f t="shared" si="156"/>
        <v>0</v>
      </c>
      <c r="AO142">
        <f t="shared" si="157"/>
        <v>0</v>
      </c>
      <c r="AP142">
        <f t="shared" si="158"/>
        <v>0</v>
      </c>
      <c r="AQ142">
        <f t="shared" si="159"/>
        <v>0</v>
      </c>
      <c r="AR142">
        <f t="shared" si="160"/>
        <v>0</v>
      </c>
      <c r="AS142">
        <f t="shared" si="161"/>
        <v>0</v>
      </c>
      <c r="AT142">
        <f t="shared" si="162"/>
        <v>0</v>
      </c>
      <c r="AU142">
        <f t="shared" si="163"/>
        <v>0</v>
      </c>
      <c r="AV142">
        <f t="shared" si="164"/>
        <v>0</v>
      </c>
      <c r="AW142">
        <f t="shared" si="165"/>
        <v>0</v>
      </c>
      <c r="AX142">
        <f t="shared" si="166"/>
        <v>0</v>
      </c>
      <c r="AY142">
        <f t="shared" si="220"/>
        <v>0</v>
      </c>
      <c r="BA142">
        <f t="shared" si="221"/>
        <v>7</v>
      </c>
      <c r="BB142">
        <f t="shared" si="167"/>
        <v>7</v>
      </c>
      <c r="BC142">
        <f t="shared" si="168"/>
        <v>7</v>
      </c>
      <c r="BD142">
        <f t="shared" si="169"/>
        <v>7</v>
      </c>
      <c r="BE142">
        <f t="shared" si="170"/>
        <v>7</v>
      </c>
      <c r="BF142">
        <f t="shared" si="171"/>
        <v>7</v>
      </c>
      <c r="BG142">
        <f t="shared" si="172"/>
        <v>7</v>
      </c>
      <c r="BH142">
        <f t="shared" si="173"/>
        <v>7</v>
      </c>
      <c r="BI142">
        <f t="shared" si="174"/>
        <v>7</v>
      </c>
      <c r="BJ142">
        <f t="shared" si="175"/>
        <v>7</v>
      </c>
      <c r="BK142">
        <f t="shared" si="176"/>
        <v>7</v>
      </c>
      <c r="BL142">
        <f t="shared" si="177"/>
        <v>7</v>
      </c>
      <c r="BM142">
        <f t="shared" si="178"/>
        <v>7</v>
      </c>
      <c r="BN142">
        <f t="shared" si="179"/>
        <v>7</v>
      </c>
      <c r="BO142">
        <f t="shared" si="180"/>
        <v>8</v>
      </c>
      <c r="BP142">
        <f t="shared" si="181"/>
        <v>8</v>
      </c>
      <c r="BQ142">
        <f t="shared" si="182"/>
        <v>8</v>
      </c>
      <c r="BR142">
        <f t="shared" si="183"/>
        <v>7</v>
      </c>
      <c r="BS142">
        <f t="shared" si="184"/>
        <v>8</v>
      </c>
      <c r="BT142">
        <f t="shared" si="185"/>
        <v>7</v>
      </c>
      <c r="BU142">
        <f t="shared" si="186"/>
        <v>7</v>
      </c>
      <c r="BV142">
        <f t="shared" si="187"/>
        <v>8</v>
      </c>
      <c r="BW142">
        <f t="shared" si="188"/>
        <v>8</v>
      </c>
      <c r="BX142">
        <f t="shared" si="189"/>
        <v>8</v>
      </c>
      <c r="BZ142" s="52">
        <f t="shared" si="225"/>
        <v>-1</v>
      </c>
      <c r="CA142" s="52">
        <f t="shared" si="223"/>
        <v>0</v>
      </c>
      <c r="CB142" s="52">
        <f t="shared" si="223"/>
        <v>0</v>
      </c>
      <c r="CC142" s="52">
        <f t="shared" si="223"/>
        <v>0</v>
      </c>
      <c r="CD142" s="52">
        <f t="shared" si="223"/>
        <v>0</v>
      </c>
      <c r="CE142" s="52">
        <f t="shared" si="223"/>
        <v>0</v>
      </c>
      <c r="CF142" s="52">
        <f t="shared" si="223"/>
        <v>0</v>
      </c>
      <c r="CG142" s="52">
        <f t="shared" si="223"/>
        <v>0</v>
      </c>
      <c r="CH142" s="52">
        <f t="shared" si="223"/>
        <v>0</v>
      </c>
      <c r="CI142" s="52">
        <f t="shared" si="223"/>
        <v>0</v>
      </c>
      <c r="CJ142" s="52">
        <f t="shared" si="223"/>
        <v>0</v>
      </c>
      <c r="CK142" s="52">
        <f t="shared" si="223"/>
        <v>0</v>
      </c>
      <c r="CL142" s="52">
        <f t="shared" si="223"/>
        <v>0</v>
      </c>
      <c r="CM142" s="52">
        <f t="shared" si="223"/>
        <v>0</v>
      </c>
      <c r="CN142" s="52">
        <f t="shared" si="223"/>
        <v>1</v>
      </c>
      <c r="CO142" s="52">
        <f t="shared" si="223"/>
        <v>0</v>
      </c>
      <c r="CP142" s="52">
        <f t="shared" si="223"/>
        <v>0</v>
      </c>
      <c r="CQ142" s="52">
        <f t="shared" si="226"/>
        <v>-1</v>
      </c>
      <c r="CR142" s="52">
        <f t="shared" si="227"/>
        <v>1</v>
      </c>
      <c r="CS142" s="52">
        <f t="shared" si="228"/>
        <v>-1</v>
      </c>
      <c r="CT142" s="52">
        <f t="shared" si="229"/>
        <v>0</v>
      </c>
      <c r="CU142" s="52">
        <f t="shared" si="230"/>
        <v>1</v>
      </c>
      <c r="CV142" s="52">
        <f t="shared" si="231"/>
        <v>0</v>
      </c>
      <c r="CW142" s="52">
        <f t="shared" si="232"/>
        <v>0</v>
      </c>
    </row>
    <row r="143" spans="1:101">
      <c r="A143" s="60">
        <v>45065</v>
      </c>
      <c r="B143" s="426">
        <v>55589.3</v>
      </c>
      <c r="C143">
        <v>53860.2</v>
      </c>
      <c r="D143">
        <v>53918.1</v>
      </c>
      <c r="E143">
        <v>54122.6</v>
      </c>
      <c r="F143">
        <v>54480.1</v>
      </c>
      <c r="G143">
        <v>53302.7</v>
      </c>
      <c r="H143">
        <v>53699.199999999997</v>
      </c>
      <c r="I143">
        <v>53901.8</v>
      </c>
      <c r="J143">
        <v>53580.1</v>
      </c>
      <c r="K143">
        <v>54135.4</v>
      </c>
      <c r="L143">
        <v>53673.2</v>
      </c>
      <c r="M143">
        <v>53366.9</v>
      </c>
      <c r="N143">
        <v>53566.8</v>
      </c>
      <c r="O143">
        <v>53842.400000000001</v>
      </c>
      <c r="P143">
        <v>53576.4</v>
      </c>
      <c r="Q143">
        <v>53820.6</v>
      </c>
      <c r="R143">
        <v>53296</v>
      </c>
      <c r="S143">
        <v>53531.1</v>
      </c>
      <c r="T143">
        <v>56139.8</v>
      </c>
      <c r="U143">
        <v>62197.8</v>
      </c>
      <c r="V143">
        <v>63629.4</v>
      </c>
      <c r="W143">
        <v>56926.8</v>
      </c>
      <c r="X143">
        <v>68089</v>
      </c>
      <c r="Y143">
        <v>67869.100000000006</v>
      </c>
      <c r="Z143" s="77">
        <v>1344114.8</v>
      </c>
      <c r="AB143" s="52">
        <f t="shared" si="219"/>
        <v>0</v>
      </c>
      <c r="AC143" s="52">
        <f t="shared" si="145"/>
        <v>0</v>
      </c>
      <c r="AD143" s="52">
        <f t="shared" si="146"/>
        <v>0</v>
      </c>
      <c r="AE143" s="52">
        <f t="shared" si="147"/>
        <v>0</v>
      </c>
      <c r="AF143" s="52">
        <f t="shared" si="148"/>
        <v>0</v>
      </c>
      <c r="AG143" s="52">
        <f t="shared" si="149"/>
        <v>0</v>
      </c>
      <c r="AH143" s="52">
        <f t="shared" si="150"/>
        <v>0</v>
      </c>
      <c r="AI143" s="52">
        <f t="shared" si="151"/>
        <v>0</v>
      </c>
      <c r="AJ143" s="52">
        <f t="shared" si="152"/>
        <v>0</v>
      </c>
      <c r="AK143" s="52">
        <f t="shared" si="153"/>
        <v>0</v>
      </c>
      <c r="AL143" s="52">
        <f t="shared" si="154"/>
        <v>0</v>
      </c>
      <c r="AM143" s="52">
        <f t="shared" si="155"/>
        <v>0</v>
      </c>
      <c r="AN143" s="52">
        <f t="shared" si="156"/>
        <v>0</v>
      </c>
      <c r="AO143" s="52">
        <f t="shared" si="157"/>
        <v>0</v>
      </c>
      <c r="AP143" s="52">
        <f t="shared" si="158"/>
        <v>0</v>
      </c>
      <c r="AQ143" s="52">
        <f t="shared" si="159"/>
        <v>0</v>
      </c>
      <c r="AR143" s="52">
        <f t="shared" si="160"/>
        <v>0</v>
      </c>
      <c r="AS143" s="52">
        <f t="shared" si="161"/>
        <v>0</v>
      </c>
      <c r="AT143" s="52">
        <f t="shared" si="162"/>
        <v>0</v>
      </c>
      <c r="AU143" s="52">
        <f t="shared" si="163"/>
        <v>0</v>
      </c>
      <c r="AV143" s="52">
        <f t="shared" si="164"/>
        <v>0</v>
      </c>
      <c r="AW143" s="52">
        <f t="shared" si="165"/>
        <v>0</v>
      </c>
      <c r="AX143" s="52">
        <f t="shared" si="166"/>
        <v>0</v>
      </c>
      <c r="AY143" s="52">
        <f t="shared" si="220"/>
        <v>0</v>
      </c>
      <c r="BA143" s="52">
        <f t="shared" si="221"/>
        <v>7</v>
      </c>
      <c r="BB143" s="52">
        <f t="shared" si="167"/>
        <v>7</v>
      </c>
      <c r="BC143" s="52">
        <f t="shared" si="168"/>
        <v>7</v>
      </c>
      <c r="BD143" s="52">
        <f t="shared" si="169"/>
        <v>7</v>
      </c>
      <c r="BE143" s="52">
        <f t="shared" si="170"/>
        <v>7</v>
      </c>
      <c r="BF143" s="52">
        <f t="shared" si="171"/>
        <v>7</v>
      </c>
      <c r="BG143" s="52">
        <f t="shared" si="172"/>
        <v>7</v>
      </c>
      <c r="BH143" s="52">
        <f t="shared" si="173"/>
        <v>7</v>
      </c>
      <c r="BI143" s="52">
        <f t="shared" si="174"/>
        <v>7</v>
      </c>
      <c r="BJ143" s="52">
        <f t="shared" si="175"/>
        <v>7</v>
      </c>
      <c r="BK143" s="52">
        <f t="shared" si="176"/>
        <v>7</v>
      </c>
      <c r="BL143" s="52">
        <f t="shared" si="177"/>
        <v>7</v>
      </c>
      <c r="BM143" s="52">
        <f t="shared" si="178"/>
        <v>7</v>
      </c>
      <c r="BN143" s="52">
        <f t="shared" si="179"/>
        <v>7</v>
      </c>
      <c r="BO143" s="52">
        <f t="shared" si="180"/>
        <v>7</v>
      </c>
      <c r="BP143" s="52">
        <f t="shared" si="181"/>
        <v>7</v>
      </c>
      <c r="BQ143" s="52">
        <f t="shared" si="182"/>
        <v>7</v>
      </c>
      <c r="BR143" s="52">
        <f t="shared" si="183"/>
        <v>7</v>
      </c>
      <c r="BS143" s="52">
        <f t="shared" si="184"/>
        <v>7</v>
      </c>
      <c r="BT143" s="52">
        <f t="shared" si="185"/>
        <v>8</v>
      </c>
      <c r="BU143" s="52">
        <f t="shared" si="186"/>
        <v>8</v>
      </c>
      <c r="BV143" s="52">
        <f t="shared" si="187"/>
        <v>7</v>
      </c>
      <c r="BW143" s="52">
        <f t="shared" si="188"/>
        <v>8</v>
      </c>
      <c r="BX143" s="52">
        <f t="shared" si="189"/>
        <v>8</v>
      </c>
      <c r="BZ143">
        <f t="shared" si="225"/>
        <v>-1</v>
      </c>
      <c r="CA143">
        <f t="shared" si="223"/>
        <v>0</v>
      </c>
      <c r="CB143">
        <f t="shared" si="223"/>
        <v>0</v>
      </c>
      <c r="CC143">
        <f t="shared" si="223"/>
        <v>0</v>
      </c>
      <c r="CD143">
        <f t="shared" si="223"/>
        <v>0</v>
      </c>
      <c r="CE143">
        <f t="shared" si="223"/>
        <v>0</v>
      </c>
      <c r="CF143">
        <f t="shared" si="223"/>
        <v>0</v>
      </c>
      <c r="CG143">
        <f t="shared" si="223"/>
        <v>0</v>
      </c>
      <c r="CH143">
        <f t="shared" si="223"/>
        <v>0</v>
      </c>
      <c r="CI143">
        <f t="shared" si="223"/>
        <v>0</v>
      </c>
      <c r="CJ143">
        <f t="shared" si="223"/>
        <v>0</v>
      </c>
      <c r="CK143">
        <f t="shared" si="223"/>
        <v>0</v>
      </c>
      <c r="CL143">
        <f t="shared" si="223"/>
        <v>0</v>
      </c>
      <c r="CM143">
        <f t="shared" si="223"/>
        <v>0</v>
      </c>
      <c r="CN143">
        <f t="shared" si="223"/>
        <v>0</v>
      </c>
      <c r="CO143">
        <f t="shared" si="223"/>
        <v>0</v>
      </c>
      <c r="CP143">
        <f t="shared" si="223"/>
        <v>0</v>
      </c>
      <c r="CQ143">
        <f t="shared" si="226"/>
        <v>0</v>
      </c>
      <c r="CR143">
        <f t="shared" si="227"/>
        <v>0</v>
      </c>
      <c r="CS143">
        <f t="shared" si="228"/>
        <v>1</v>
      </c>
      <c r="CT143">
        <f t="shared" si="229"/>
        <v>0</v>
      </c>
      <c r="CU143">
        <f t="shared" si="230"/>
        <v>-1</v>
      </c>
      <c r="CV143">
        <f t="shared" si="231"/>
        <v>1</v>
      </c>
      <c r="CW143">
        <f t="shared" si="232"/>
        <v>0</v>
      </c>
    </row>
    <row r="144" spans="1:101">
      <c r="A144" s="60">
        <v>45066</v>
      </c>
      <c r="B144" s="426">
        <v>54791.7</v>
      </c>
      <c r="C144">
        <v>54440.3</v>
      </c>
      <c r="D144">
        <v>54473.599999999999</v>
      </c>
      <c r="E144">
        <v>54427.9</v>
      </c>
      <c r="F144">
        <v>54269.9</v>
      </c>
      <c r="G144">
        <v>53974</v>
      </c>
      <c r="H144">
        <v>54443.1</v>
      </c>
      <c r="I144">
        <v>54695</v>
      </c>
      <c r="J144">
        <v>54649.2</v>
      </c>
      <c r="K144">
        <v>54644.6</v>
      </c>
      <c r="L144">
        <v>54689.1</v>
      </c>
      <c r="M144">
        <v>54523.9</v>
      </c>
      <c r="N144">
        <v>53908.800000000003</v>
      </c>
      <c r="O144">
        <v>53406.6</v>
      </c>
      <c r="P144">
        <v>53427.199999999997</v>
      </c>
      <c r="Q144">
        <v>54176.800000000003</v>
      </c>
      <c r="R144">
        <v>69216.899999999994</v>
      </c>
      <c r="S144">
        <v>69808.3</v>
      </c>
      <c r="T144">
        <v>69789.100000000006</v>
      </c>
      <c r="U144">
        <v>69629</v>
      </c>
      <c r="V144">
        <v>69708.100000000006</v>
      </c>
      <c r="W144">
        <v>69433.100000000006</v>
      </c>
      <c r="X144">
        <v>69825.600000000006</v>
      </c>
      <c r="Y144">
        <v>69569.3</v>
      </c>
      <c r="Z144" s="77">
        <v>1425921.1000000006</v>
      </c>
      <c r="AB144">
        <f t="shared" si="219"/>
        <v>0</v>
      </c>
      <c r="AC144">
        <f t="shared" si="145"/>
        <v>0</v>
      </c>
      <c r="AD144">
        <f t="shared" si="146"/>
        <v>0</v>
      </c>
      <c r="AE144">
        <f t="shared" si="147"/>
        <v>0</v>
      </c>
      <c r="AF144">
        <f t="shared" si="148"/>
        <v>0</v>
      </c>
      <c r="AG144">
        <f t="shared" si="149"/>
        <v>0</v>
      </c>
      <c r="AH144">
        <f t="shared" si="150"/>
        <v>0</v>
      </c>
      <c r="AI144">
        <f t="shared" si="151"/>
        <v>0</v>
      </c>
      <c r="AJ144">
        <f t="shared" si="152"/>
        <v>0</v>
      </c>
      <c r="AK144">
        <f t="shared" si="153"/>
        <v>0</v>
      </c>
      <c r="AL144">
        <f t="shared" si="154"/>
        <v>0</v>
      </c>
      <c r="AM144">
        <f t="shared" si="155"/>
        <v>0</v>
      </c>
      <c r="AN144">
        <f t="shared" si="156"/>
        <v>0</v>
      </c>
      <c r="AO144">
        <f t="shared" si="157"/>
        <v>0</v>
      </c>
      <c r="AP144">
        <f t="shared" si="158"/>
        <v>0</v>
      </c>
      <c r="AQ144">
        <f t="shared" si="159"/>
        <v>0</v>
      </c>
      <c r="AR144">
        <f t="shared" si="160"/>
        <v>0</v>
      </c>
      <c r="AS144">
        <f t="shared" si="161"/>
        <v>0</v>
      </c>
      <c r="AT144">
        <f t="shared" si="162"/>
        <v>0</v>
      </c>
      <c r="AU144">
        <f t="shared" si="163"/>
        <v>0</v>
      </c>
      <c r="AV144">
        <f t="shared" si="164"/>
        <v>0</v>
      </c>
      <c r="AW144">
        <f t="shared" si="165"/>
        <v>0</v>
      </c>
      <c r="AX144">
        <f t="shared" si="166"/>
        <v>0</v>
      </c>
      <c r="AY144">
        <f t="shared" si="220"/>
        <v>0</v>
      </c>
      <c r="BA144">
        <f t="shared" si="221"/>
        <v>7</v>
      </c>
      <c r="BB144">
        <f t="shared" si="167"/>
        <v>7</v>
      </c>
      <c r="BC144">
        <f t="shared" si="168"/>
        <v>7</v>
      </c>
      <c r="BD144">
        <f t="shared" si="169"/>
        <v>7</v>
      </c>
      <c r="BE144">
        <f t="shared" si="170"/>
        <v>7</v>
      </c>
      <c r="BF144">
        <f t="shared" si="171"/>
        <v>7</v>
      </c>
      <c r="BG144">
        <f t="shared" si="172"/>
        <v>7</v>
      </c>
      <c r="BH144">
        <f t="shared" si="173"/>
        <v>7</v>
      </c>
      <c r="BI144">
        <f t="shared" si="174"/>
        <v>7</v>
      </c>
      <c r="BJ144">
        <f t="shared" si="175"/>
        <v>7</v>
      </c>
      <c r="BK144">
        <f t="shared" si="176"/>
        <v>7</v>
      </c>
      <c r="BL144">
        <f t="shared" si="177"/>
        <v>7</v>
      </c>
      <c r="BM144">
        <f t="shared" si="178"/>
        <v>7</v>
      </c>
      <c r="BN144">
        <f t="shared" si="179"/>
        <v>7</v>
      </c>
      <c r="BO144">
        <f t="shared" si="180"/>
        <v>7</v>
      </c>
      <c r="BP144">
        <f t="shared" si="181"/>
        <v>7</v>
      </c>
      <c r="BQ144">
        <f t="shared" si="182"/>
        <v>8</v>
      </c>
      <c r="BR144">
        <f t="shared" si="183"/>
        <v>8</v>
      </c>
      <c r="BS144">
        <f t="shared" si="184"/>
        <v>8</v>
      </c>
      <c r="BT144">
        <f t="shared" si="185"/>
        <v>8</v>
      </c>
      <c r="BU144">
        <f t="shared" si="186"/>
        <v>8</v>
      </c>
      <c r="BV144">
        <f t="shared" si="187"/>
        <v>8</v>
      </c>
      <c r="BW144">
        <f t="shared" si="188"/>
        <v>8</v>
      </c>
      <c r="BX144">
        <f t="shared" si="189"/>
        <v>8</v>
      </c>
      <c r="BZ144" s="52">
        <f t="shared" si="225"/>
        <v>-1</v>
      </c>
      <c r="CA144" s="52">
        <f t="shared" si="223"/>
        <v>0</v>
      </c>
      <c r="CB144" s="52">
        <f t="shared" si="223"/>
        <v>0</v>
      </c>
      <c r="CC144" s="52">
        <f t="shared" si="223"/>
        <v>0</v>
      </c>
      <c r="CD144" s="52">
        <f t="shared" si="223"/>
        <v>0</v>
      </c>
      <c r="CE144" s="52">
        <f t="shared" si="223"/>
        <v>0</v>
      </c>
      <c r="CF144" s="52">
        <f t="shared" si="223"/>
        <v>0</v>
      </c>
      <c r="CG144" s="52">
        <f t="shared" si="223"/>
        <v>0</v>
      </c>
      <c r="CH144" s="52">
        <f t="shared" si="223"/>
        <v>0</v>
      </c>
      <c r="CI144" s="52">
        <f t="shared" si="223"/>
        <v>0</v>
      </c>
      <c r="CJ144" s="52">
        <f t="shared" si="223"/>
        <v>0</v>
      </c>
      <c r="CK144" s="52">
        <f t="shared" si="223"/>
        <v>0</v>
      </c>
      <c r="CL144" s="52">
        <f t="shared" si="223"/>
        <v>0</v>
      </c>
      <c r="CM144" s="52">
        <f t="shared" si="223"/>
        <v>0</v>
      </c>
      <c r="CN144" s="52">
        <f t="shared" si="223"/>
        <v>0</v>
      </c>
      <c r="CO144" s="52">
        <f t="shared" si="223"/>
        <v>0</v>
      </c>
      <c r="CP144" s="52">
        <f t="shared" si="223"/>
        <v>1</v>
      </c>
      <c r="CQ144" s="52">
        <f t="shared" si="226"/>
        <v>0</v>
      </c>
      <c r="CR144" s="52">
        <f t="shared" si="227"/>
        <v>0</v>
      </c>
      <c r="CS144" s="52">
        <f t="shared" si="228"/>
        <v>0</v>
      </c>
      <c r="CT144" s="52">
        <f t="shared" si="229"/>
        <v>0</v>
      </c>
      <c r="CU144" s="52">
        <f t="shared" si="230"/>
        <v>0</v>
      </c>
      <c r="CV144" s="52">
        <f t="shared" si="231"/>
        <v>0</v>
      </c>
      <c r="CW144" s="52">
        <f t="shared" si="232"/>
        <v>0</v>
      </c>
    </row>
    <row r="145" spans="1:102">
      <c r="A145" s="60">
        <v>45067</v>
      </c>
      <c r="B145" s="426">
        <v>69328.7</v>
      </c>
      <c r="C145">
        <v>53766.3</v>
      </c>
      <c r="D145">
        <v>53362.1</v>
      </c>
      <c r="E145">
        <v>54151.6</v>
      </c>
      <c r="F145">
        <v>54168.3</v>
      </c>
      <c r="G145">
        <v>54170</v>
      </c>
      <c r="H145">
        <v>54260.6</v>
      </c>
      <c r="I145">
        <v>54249.9</v>
      </c>
      <c r="J145">
        <v>54352.4</v>
      </c>
      <c r="K145">
        <v>53716.9</v>
      </c>
      <c r="L145">
        <v>53812.1</v>
      </c>
      <c r="M145">
        <v>53775.6</v>
      </c>
      <c r="N145">
        <v>53785</v>
      </c>
      <c r="O145">
        <v>53749</v>
      </c>
      <c r="P145">
        <v>53934.2</v>
      </c>
      <c r="Q145">
        <v>53886.7</v>
      </c>
      <c r="R145">
        <v>53911.6</v>
      </c>
      <c r="S145">
        <v>53884.7</v>
      </c>
      <c r="T145">
        <v>68292.7</v>
      </c>
      <c r="U145">
        <v>68980.600000000006</v>
      </c>
      <c r="V145">
        <v>68852</v>
      </c>
      <c r="W145">
        <v>55052.1</v>
      </c>
      <c r="X145">
        <v>54380.6</v>
      </c>
      <c r="Y145">
        <v>54421.4</v>
      </c>
      <c r="Z145" s="77">
        <v>1356245.1</v>
      </c>
      <c r="AB145" s="52">
        <f t="shared" si="219"/>
        <v>0</v>
      </c>
      <c r="AC145" s="52">
        <f t="shared" si="145"/>
        <v>0</v>
      </c>
      <c r="AD145" s="52">
        <f t="shared" si="146"/>
        <v>0</v>
      </c>
      <c r="AE145" s="52">
        <f t="shared" si="147"/>
        <v>0</v>
      </c>
      <c r="AF145" s="52">
        <f t="shared" si="148"/>
        <v>0</v>
      </c>
      <c r="AG145" s="52">
        <f t="shared" si="149"/>
        <v>0</v>
      </c>
      <c r="AH145" s="52">
        <f t="shared" si="150"/>
        <v>0</v>
      </c>
      <c r="AI145" s="52">
        <f t="shared" si="151"/>
        <v>0</v>
      </c>
      <c r="AJ145" s="52">
        <f t="shared" si="152"/>
        <v>0</v>
      </c>
      <c r="AK145" s="52">
        <f t="shared" si="153"/>
        <v>0</v>
      </c>
      <c r="AL145" s="52">
        <f t="shared" si="154"/>
        <v>0</v>
      </c>
      <c r="AM145" s="52">
        <f t="shared" si="155"/>
        <v>0</v>
      </c>
      <c r="AN145" s="52">
        <f t="shared" si="156"/>
        <v>0</v>
      </c>
      <c r="AO145" s="52">
        <f t="shared" si="157"/>
        <v>0</v>
      </c>
      <c r="AP145" s="52">
        <f t="shared" si="158"/>
        <v>0</v>
      </c>
      <c r="AQ145" s="52">
        <f t="shared" si="159"/>
        <v>0</v>
      </c>
      <c r="AR145" s="52">
        <f t="shared" si="160"/>
        <v>0</v>
      </c>
      <c r="AS145" s="52">
        <f t="shared" si="161"/>
        <v>0</v>
      </c>
      <c r="AT145" s="52">
        <f t="shared" si="162"/>
        <v>0</v>
      </c>
      <c r="AU145" s="52">
        <f t="shared" si="163"/>
        <v>0</v>
      </c>
      <c r="AV145" s="52">
        <f t="shared" si="164"/>
        <v>0</v>
      </c>
      <c r="AW145" s="52">
        <f t="shared" si="165"/>
        <v>0</v>
      </c>
      <c r="AX145" s="52">
        <f t="shared" si="166"/>
        <v>0</v>
      </c>
      <c r="AY145" s="52">
        <f t="shared" si="220"/>
        <v>0</v>
      </c>
      <c r="BA145" s="52">
        <f t="shared" si="221"/>
        <v>8</v>
      </c>
      <c r="BB145" s="52">
        <f t="shared" si="167"/>
        <v>7</v>
      </c>
      <c r="BC145" s="52">
        <f t="shared" si="168"/>
        <v>7</v>
      </c>
      <c r="BD145" s="52">
        <f t="shared" si="169"/>
        <v>7</v>
      </c>
      <c r="BE145" s="52">
        <f t="shared" si="170"/>
        <v>7</v>
      </c>
      <c r="BF145" s="52">
        <f t="shared" si="171"/>
        <v>7</v>
      </c>
      <c r="BG145" s="52">
        <f t="shared" si="172"/>
        <v>7</v>
      </c>
      <c r="BH145" s="52">
        <f t="shared" si="173"/>
        <v>7</v>
      </c>
      <c r="BI145" s="52">
        <f t="shared" si="174"/>
        <v>7</v>
      </c>
      <c r="BJ145" s="52">
        <f t="shared" si="175"/>
        <v>7</v>
      </c>
      <c r="BK145" s="52">
        <f t="shared" si="176"/>
        <v>7</v>
      </c>
      <c r="BL145" s="52">
        <f t="shared" si="177"/>
        <v>7</v>
      </c>
      <c r="BM145" s="52">
        <f t="shared" si="178"/>
        <v>7</v>
      </c>
      <c r="BN145" s="52">
        <f t="shared" si="179"/>
        <v>7</v>
      </c>
      <c r="BO145" s="52">
        <f t="shared" si="180"/>
        <v>7</v>
      </c>
      <c r="BP145" s="52">
        <f t="shared" si="181"/>
        <v>7</v>
      </c>
      <c r="BQ145" s="52">
        <f t="shared" si="182"/>
        <v>7</v>
      </c>
      <c r="BR145" s="52">
        <f t="shared" si="183"/>
        <v>7</v>
      </c>
      <c r="BS145" s="52">
        <f t="shared" si="184"/>
        <v>8</v>
      </c>
      <c r="BT145" s="52">
        <f t="shared" si="185"/>
        <v>8</v>
      </c>
      <c r="BU145" s="52">
        <f t="shared" si="186"/>
        <v>8</v>
      </c>
      <c r="BV145" s="52">
        <f t="shared" si="187"/>
        <v>7</v>
      </c>
      <c r="BW145" s="52">
        <f t="shared" si="188"/>
        <v>7</v>
      </c>
      <c r="BX145" s="52">
        <f t="shared" si="189"/>
        <v>7</v>
      </c>
      <c r="BZ145">
        <f t="shared" si="225"/>
        <v>0</v>
      </c>
      <c r="CA145">
        <f t="shared" si="223"/>
        <v>-1</v>
      </c>
      <c r="CB145">
        <f t="shared" si="223"/>
        <v>0</v>
      </c>
      <c r="CC145">
        <f t="shared" si="223"/>
        <v>0</v>
      </c>
      <c r="CD145">
        <f t="shared" si="223"/>
        <v>0</v>
      </c>
      <c r="CE145">
        <f t="shared" si="223"/>
        <v>0</v>
      </c>
      <c r="CF145">
        <f t="shared" si="223"/>
        <v>0</v>
      </c>
      <c r="CG145">
        <f t="shared" si="223"/>
        <v>0</v>
      </c>
      <c r="CH145">
        <f t="shared" si="223"/>
        <v>0</v>
      </c>
      <c r="CI145">
        <f t="shared" si="223"/>
        <v>0</v>
      </c>
      <c r="CJ145">
        <f t="shared" si="223"/>
        <v>0</v>
      </c>
      <c r="CK145">
        <f t="shared" si="223"/>
        <v>0</v>
      </c>
      <c r="CL145">
        <f t="shared" si="223"/>
        <v>0</v>
      </c>
      <c r="CM145">
        <f t="shared" si="223"/>
        <v>0</v>
      </c>
      <c r="CN145">
        <f t="shared" si="223"/>
        <v>0</v>
      </c>
      <c r="CO145">
        <f t="shared" si="223"/>
        <v>0</v>
      </c>
      <c r="CP145">
        <f t="shared" si="223"/>
        <v>0</v>
      </c>
      <c r="CQ145">
        <f t="shared" si="226"/>
        <v>0</v>
      </c>
      <c r="CR145">
        <f t="shared" si="227"/>
        <v>1</v>
      </c>
      <c r="CS145">
        <f t="shared" si="228"/>
        <v>0</v>
      </c>
      <c r="CT145">
        <f t="shared" si="229"/>
        <v>0</v>
      </c>
      <c r="CU145">
        <f t="shared" si="230"/>
        <v>-1</v>
      </c>
      <c r="CV145">
        <f t="shared" si="231"/>
        <v>0</v>
      </c>
      <c r="CW145">
        <f t="shared" si="232"/>
        <v>0</v>
      </c>
    </row>
    <row r="146" spans="1:102">
      <c r="A146" s="60">
        <v>45068</v>
      </c>
      <c r="B146" s="426">
        <v>53915.5</v>
      </c>
      <c r="C146">
        <v>54853.7</v>
      </c>
      <c r="D146">
        <v>54623.5</v>
      </c>
      <c r="E146">
        <v>54781.3</v>
      </c>
      <c r="F146">
        <v>54427.4</v>
      </c>
      <c r="G146">
        <v>54339.9</v>
      </c>
      <c r="H146">
        <v>54095.4</v>
      </c>
      <c r="I146">
        <v>54004.1</v>
      </c>
      <c r="J146">
        <v>53881.9</v>
      </c>
      <c r="K146">
        <v>53735.1</v>
      </c>
      <c r="L146">
        <v>53835.1</v>
      </c>
      <c r="M146">
        <v>53871</v>
      </c>
      <c r="N146">
        <v>53749.2</v>
      </c>
      <c r="O146">
        <v>53773.9</v>
      </c>
      <c r="P146">
        <v>53744.6</v>
      </c>
      <c r="Q146">
        <v>53820.3</v>
      </c>
      <c r="R146">
        <v>53665.8</v>
      </c>
      <c r="S146">
        <v>53909.7</v>
      </c>
      <c r="T146">
        <v>53987.6</v>
      </c>
      <c r="U146">
        <v>53989.3</v>
      </c>
      <c r="V146">
        <v>69450.100000000006</v>
      </c>
      <c r="W146">
        <v>69501.600000000006</v>
      </c>
      <c r="X146">
        <v>68674.600000000006</v>
      </c>
      <c r="Y146">
        <v>68889.2</v>
      </c>
      <c r="Z146" s="77">
        <v>1357519.8000000003</v>
      </c>
      <c r="AB146">
        <f t="shared" si="219"/>
        <v>0</v>
      </c>
      <c r="AC146">
        <f t="shared" si="145"/>
        <v>0</v>
      </c>
      <c r="AD146">
        <f t="shared" si="146"/>
        <v>0</v>
      </c>
      <c r="AE146">
        <f t="shared" si="147"/>
        <v>0</v>
      </c>
      <c r="AF146">
        <f t="shared" si="148"/>
        <v>0</v>
      </c>
      <c r="AG146">
        <f t="shared" si="149"/>
        <v>0</v>
      </c>
      <c r="AH146">
        <f t="shared" si="150"/>
        <v>0</v>
      </c>
      <c r="AI146">
        <f t="shared" si="151"/>
        <v>0</v>
      </c>
      <c r="AJ146">
        <f t="shared" si="152"/>
        <v>0</v>
      </c>
      <c r="AK146">
        <f t="shared" si="153"/>
        <v>0</v>
      </c>
      <c r="AL146">
        <f t="shared" si="154"/>
        <v>0</v>
      </c>
      <c r="AM146">
        <f t="shared" si="155"/>
        <v>0</v>
      </c>
      <c r="AN146">
        <f t="shared" si="156"/>
        <v>0</v>
      </c>
      <c r="AO146">
        <f t="shared" si="157"/>
        <v>0</v>
      </c>
      <c r="AP146">
        <f t="shared" si="158"/>
        <v>0</v>
      </c>
      <c r="AQ146">
        <f t="shared" si="159"/>
        <v>0</v>
      </c>
      <c r="AR146">
        <f t="shared" si="160"/>
        <v>0</v>
      </c>
      <c r="AS146">
        <f t="shared" si="161"/>
        <v>0</v>
      </c>
      <c r="AT146">
        <f t="shared" si="162"/>
        <v>0</v>
      </c>
      <c r="AU146">
        <f t="shared" si="163"/>
        <v>0</v>
      </c>
      <c r="AV146">
        <f t="shared" si="164"/>
        <v>0</v>
      </c>
      <c r="AW146">
        <f t="shared" si="165"/>
        <v>0</v>
      </c>
      <c r="AX146">
        <f t="shared" si="166"/>
        <v>0</v>
      </c>
      <c r="AY146">
        <f t="shared" si="220"/>
        <v>0</v>
      </c>
      <c r="BA146">
        <f t="shared" si="221"/>
        <v>7</v>
      </c>
      <c r="BB146">
        <f t="shared" si="167"/>
        <v>7</v>
      </c>
      <c r="BC146">
        <f t="shared" si="168"/>
        <v>7</v>
      </c>
      <c r="BD146">
        <f t="shared" si="169"/>
        <v>7</v>
      </c>
      <c r="BE146">
        <f t="shared" si="170"/>
        <v>7</v>
      </c>
      <c r="BF146">
        <f t="shared" si="171"/>
        <v>7</v>
      </c>
      <c r="BG146">
        <f t="shared" si="172"/>
        <v>7</v>
      </c>
      <c r="BH146">
        <f t="shared" si="173"/>
        <v>7</v>
      </c>
      <c r="BI146">
        <f t="shared" si="174"/>
        <v>7</v>
      </c>
      <c r="BJ146">
        <f t="shared" si="175"/>
        <v>7</v>
      </c>
      <c r="BK146">
        <f t="shared" si="176"/>
        <v>7</v>
      </c>
      <c r="BL146">
        <f t="shared" si="177"/>
        <v>7</v>
      </c>
      <c r="BM146">
        <f t="shared" si="178"/>
        <v>7</v>
      </c>
      <c r="BN146">
        <f t="shared" si="179"/>
        <v>7</v>
      </c>
      <c r="BO146">
        <f t="shared" si="180"/>
        <v>7</v>
      </c>
      <c r="BP146">
        <f t="shared" si="181"/>
        <v>7</v>
      </c>
      <c r="BQ146">
        <f t="shared" si="182"/>
        <v>7</v>
      </c>
      <c r="BR146">
        <f t="shared" si="183"/>
        <v>7</v>
      </c>
      <c r="BS146">
        <f t="shared" si="184"/>
        <v>7</v>
      </c>
      <c r="BT146">
        <f t="shared" si="185"/>
        <v>7</v>
      </c>
      <c r="BU146">
        <f t="shared" si="186"/>
        <v>8</v>
      </c>
      <c r="BV146">
        <f t="shared" si="187"/>
        <v>8</v>
      </c>
      <c r="BW146">
        <f t="shared" si="188"/>
        <v>8</v>
      </c>
      <c r="BX146">
        <f t="shared" si="189"/>
        <v>8</v>
      </c>
      <c r="BZ146" s="52">
        <f t="shared" si="225"/>
        <v>0</v>
      </c>
      <c r="CA146" s="52">
        <f t="shared" si="223"/>
        <v>0</v>
      </c>
      <c r="CB146" s="52">
        <f t="shared" si="223"/>
        <v>0</v>
      </c>
      <c r="CC146" s="52">
        <f t="shared" si="223"/>
        <v>0</v>
      </c>
      <c r="CD146" s="52">
        <f t="shared" si="223"/>
        <v>0</v>
      </c>
      <c r="CE146" s="52">
        <f t="shared" si="223"/>
        <v>0</v>
      </c>
      <c r="CF146" s="52">
        <f t="shared" si="223"/>
        <v>0</v>
      </c>
      <c r="CG146" s="52">
        <f t="shared" si="223"/>
        <v>0</v>
      </c>
      <c r="CH146" s="52">
        <f t="shared" si="223"/>
        <v>0</v>
      </c>
      <c r="CI146" s="52">
        <f t="shared" si="223"/>
        <v>0</v>
      </c>
      <c r="CJ146" s="52">
        <f t="shared" si="223"/>
        <v>0</v>
      </c>
      <c r="CK146" s="52">
        <f t="shared" si="223"/>
        <v>0</v>
      </c>
      <c r="CL146" s="52">
        <f t="shared" si="223"/>
        <v>0</v>
      </c>
      <c r="CM146" s="52">
        <f t="shared" si="223"/>
        <v>0</v>
      </c>
      <c r="CN146" s="52">
        <f t="shared" si="223"/>
        <v>0</v>
      </c>
      <c r="CO146" s="52">
        <f t="shared" si="223"/>
        <v>0</v>
      </c>
      <c r="CP146" s="52">
        <f t="shared" si="223"/>
        <v>0</v>
      </c>
      <c r="CQ146" s="52">
        <f t="shared" si="226"/>
        <v>0</v>
      </c>
      <c r="CR146" s="52">
        <f t="shared" si="227"/>
        <v>0</v>
      </c>
      <c r="CS146" s="52">
        <f t="shared" si="228"/>
        <v>0</v>
      </c>
      <c r="CT146" s="52">
        <f t="shared" si="229"/>
        <v>1</v>
      </c>
      <c r="CU146" s="52">
        <f t="shared" si="230"/>
        <v>0</v>
      </c>
      <c r="CV146" s="52">
        <f t="shared" si="231"/>
        <v>0</v>
      </c>
      <c r="CW146" s="52">
        <f t="shared" si="232"/>
        <v>0</v>
      </c>
    </row>
    <row r="147" spans="1:102">
      <c r="A147" s="60">
        <v>45069</v>
      </c>
      <c r="B147" s="426">
        <v>53408.1</v>
      </c>
      <c r="C147">
        <v>54188.3</v>
      </c>
      <c r="D147">
        <v>54163</v>
      </c>
      <c r="E147">
        <v>54382.400000000001</v>
      </c>
      <c r="F147">
        <v>54508</v>
      </c>
      <c r="G147">
        <v>54355.7</v>
      </c>
      <c r="H147">
        <v>52483.5</v>
      </c>
      <c r="I147">
        <v>52467.5</v>
      </c>
      <c r="J147">
        <v>52682</v>
      </c>
      <c r="K147">
        <v>52769.3</v>
      </c>
      <c r="L147">
        <v>53034.6</v>
      </c>
      <c r="M147">
        <v>52746.400000000001</v>
      </c>
      <c r="N147">
        <v>52967.6</v>
      </c>
      <c r="O147">
        <v>52868.6</v>
      </c>
      <c r="P147">
        <v>52995.6</v>
      </c>
      <c r="Q147">
        <v>59415.3</v>
      </c>
      <c r="R147">
        <v>67891.7</v>
      </c>
      <c r="S147">
        <v>68156.3</v>
      </c>
      <c r="T147">
        <v>68165.399999999994</v>
      </c>
      <c r="U147">
        <v>68551.899999999994</v>
      </c>
      <c r="V147">
        <v>68603.899999999994</v>
      </c>
      <c r="W147">
        <v>67398.100000000006</v>
      </c>
      <c r="X147">
        <v>66820.3</v>
      </c>
      <c r="Y147">
        <v>66704.5</v>
      </c>
      <c r="Z147" s="77">
        <v>1401728</v>
      </c>
      <c r="AB147" s="52">
        <f t="shared" si="219"/>
        <v>0</v>
      </c>
      <c r="AC147" s="52">
        <f t="shared" si="145"/>
        <v>0</v>
      </c>
      <c r="AD147" s="52">
        <f t="shared" si="146"/>
        <v>0</v>
      </c>
      <c r="AE147" s="52">
        <f t="shared" si="147"/>
        <v>0</v>
      </c>
      <c r="AF147" s="52">
        <f t="shared" si="148"/>
        <v>0</v>
      </c>
      <c r="AG147" s="52">
        <f t="shared" si="149"/>
        <v>0</v>
      </c>
      <c r="AH147" s="52">
        <f t="shared" si="150"/>
        <v>0</v>
      </c>
      <c r="AI147" s="52">
        <f t="shared" si="151"/>
        <v>0</v>
      </c>
      <c r="AJ147" s="52">
        <f t="shared" si="152"/>
        <v>0</v>
      </c>
      <c r="AK147" s="52">
        <f t="shared" si="153"/>
        <v>0</v>
      </c>
      <c r="AL147" s="52">
        <f t="shared" si="154"/>
        <v>0</v>
      </c>
      <c r="AM147" s="52">
        <f t="shared" si="155"/>
        <v>0</v>
      </c>
      <c r="AN147" s="52">
        <f t="shared" si="156"/>
        <v>0</v>
      </c>
      <c r="AO147" s="52">
        <f t="shared" si="157"/>
        <v>0</v>
      </c>
      <c r="AP147" s="52">
        <f t="shared" si="158"/>
        <v>0</v>
      </c>
      <c r="AQ147" s="52">
        <f t="shared" si="159"/>
        <v>0</v>
      </c>
      <c r="AR147" s="52">
        <f t="shared" si="160"/>
        <v>0</v>
      </c>
      <c r="AS147" s="52">
        <f t="shared" si="161"/>
        <v>0</v>
      </c>
      <c r="AT147" s="52">
        <f t="shared" si="162"/>
        <v>0</v>
      </c>
      <c r="AU147" s="52">
        <f t="shared" si="163"/>
        <v>0</v>
      </c>
      <c r="AV147" s="52">
        <f t="shared" si="164"/>
        <v>0</v>
      </c>
      <c r="AW147" s="52">
        <f t="shared" si="165"/>
        <v>0</v>
      </c>
      <c r="AX147" s="52">
        <f t="shared" si="166"/>
        <v>0</v>
      </c>
      <c r="AY147" s="52">
        <f t="shared" si="220"/>
        <v>0</v>
      </c>
      <c r="BA147" s="52">
        <f t="shared" si="221"/>
        <v>7</v>
      </c>
      <c r="BB147" s="52">
        <f t="shared" si="167"/>
        <v>7</v>
      </c>
      <c r="BC147" s="52">
        <f t="shared" si="168"/>
        <v>7</v>
      </c>
      <c r="BD147" s="52">
        <f t="shared" si="169"/>
        <v>7</v>
      </c>
      <c r="BE147" s="52">
        <f t="shared" si="170"/>
        <v>7</v>
      </c>
      <c r="BF147" s="52">
        <f t="shared" si="171"/>
        <v>7</v>
      </c>
      <c r="BG147" s="52">
        <f t="shared" si="172"/>
        <v>6</v>
      </c>
      <c r="BH147" s="52">
        <f t="shared" si="173"/>
        <v>6</v>
      </c>
      <c r="BI147" s="52">
        <f t="shared" si="174"/>
        <v>6</v>
      </c>
      <c r="BJ147" s="52">
        <f t="shared" si="175"/>
        <v>6</v>
      </c>
      <c r="BK147" s="52">
        <f t="shared" si="176"/>
        <v>7</v>
      </c>
      <c r="BL147" s="52">
        <f t="shared" si="177"/>
        <v>6</v>
      </c>
      <c r="BM147" s="52">
        <f t="shared" si="178"/>
        <v>7</v>
      </c>
      <c r="BN147" s="52">
        <f t="shared" si="179"/>
        <v>7</v>
      </c>
      <c r="BO147" s="52">
        <f t="shared" si="180"/>
        <v>7</v>
      </c>
      <c r="BP147" s="52">
        <f t="shared" si="181"/>
        <v>7</v>
      </c>
      <c r="BQ147" s="52">
        <f t="shared" si="182"/>
        <v>8</v>
      </c>
      <c r="BR147" s="52">
        <f t="shared" si="183"/>
        <v>8</v>
      </c>
      <c r="BS147" s="52">
        <f t="shared" si="184"/>
        <v>8</v>
      </c>
      <c r="BT147" s="52">
        <f t="shared" si="185"/>
        <v>8</v>
      </c>
      <c r="BU147" s="52">
        <f t="shared" si="186"/>
        <v>8</v>
      </c>
      <c r="BV147" s="52">
        <f t="shared" si="187"/>
        <v>8</v>
      </c>
      <c r="BW147" s="52">
        <f t="shared" si="188"/>
        <v>8</v>
      </c>
      <c r="BX147" s="52">
        <f t="shared" si="189"/>
        <v>8</v>
      </c>
      <c r="BZ147">
        <f t="shared" si="225"/>
        <v>-1</v>
      </c>
      <c r="CA147">
        <f t="shared" si="223"/>
        <v>0</v>
      </c>
      <c r="CB147">
        <f t="shared" si="223"/>
        <v>0</v>
      </c>
      <c r="CC147">
        <f t="shared" si="223"/>
        <v>0</v>
      </c>
      <c r="CD147">
        <f t="shared" si="223"/>
        <v>0</v>
      </c>
      <c r="CE147">
        <f t="shared" si="223"/>
        <v>0</v>
      </c>
      <c r="CF147">
        <f t="shared" si="223"/>
        <v>-1</v>
      </c>
      <c r="CG147">
        <f t="shared" si="223"/>
        <v>0</v>
      </c>
      <c r="CH147">
        <f t="shared" si="223"/>
        <v>0</v>
      </c>
      <c r="CI147">
        <f t="shared" si="223"/>
        <v>0</v>
      </c>
      <c r="CJ147">
        <f t="shared" si="223"/>
        <v>1</v>
      </c>
      <c r="CK147">
        <f t="shared" si="223"/>
        <v>-1</v>
      </c>
      <c r="CL147">
        <f t="shared" si="223"/>
        <v>1</v>
      </c>
      <c r="CM147">
        <f t="shared" si="223"/>
        <v>0</v>
      </c>
      <c r="CN147">
        <f t="shared" si="223"/>
        <v>0</v>
      </c>
      <c r="CO147">
        <f t="shared" si="223"/>
        <v>0</v>
      </c>
      <c r="CP147">
        <f t="shared" si="223"/>
        <v>1</v>
      </c>
      <c r="CQ147">
        <f t="shared" si="226"/>
        <v>0</v>
      </c>
      <c r="CR147">
        <f t="shared" si="227"/>
        <v>0</v>
      </c>
      <c r="CS147">
        <f t="shared" si="228"/>
        <v>0</v>
      </c>
      <c r="CT147">
        <f t="shared" si="229"/>
        <v>0</v>
      </c>
      <c r="CU147">
        <f t="shared" si="230"/>
        <v>0</v>
      </c>
      <c r="CV147">
        <f t="shared" si="231"/>
        <v>0</v>
      </c>
      <c r="CW147">
        <f t="shared" si="232"/>
        <v>0</v>
      </c>
    </row>
    <row r="148" spans="1:102">
      <c r="A148" s="60">
        <v>45070</v>
      </c>
      <c r="B148" s="426">
        <v>63214.5</v>
      </c>
      <c r="C148">
        <v>56333.5</v>
      </c>
      <c r="D148">
        <v>57278.400000000001</v>
      </c>
      <c r="E148">
        <v>57021.4</v>
      </c>
      <c r="F148">
        <v>57013.4</v>
      </c>
      <c r="G148">
        <v>56483.8</v>
      </c>
      <c r="H148">
        <v>56272.6</v>
      </c>
      <c r="I148">
        <v>56540.800000000003</v>
      </c>
      <c r="J148">
        <v>56450.9</v>
      </c>
      <c r="K148">
        <v>56343.8</v>
      </c>
      <c r="L148">
        <v>56384</v>
      </c>
      <c r="M148">
        <v>56359.199999999997</v>
      </c>
      <c r="N148">
        <v>55820</v>
      </c>
      <c r="O148">
        <v>56596.9</v>
      </c>
      <c r="P148">
        <v>55982.1</v>
      </c>
      <c r="Q148">
        <v>55822.3</v>
      </c>
      <c r="R148">
        <v>55790.5</v>
      </c>
      <c r="S148">
        <v>56136.4</v>
      </c>
      <c r="T148">
        <v>57048.9</v>
      </c>
      <c r="U148">
        <v>69415.399999999994</v>
      </c>
      <c r="V148">
        <v>69368.3</v>
      </c>
      <c r="W148">
        <v>62460.800000000003</v>
      </c>
      <c r="X148">
        <v>57199.199999999997</v>
      </c>
      <c r="Y148">
        <v>56684.800000000003</v>
      </c>
      <c r="Z148" s="77">
        <v>1394021.9</v>
      </c>
      <c r="AB148">
        <f t="shared" si="219"/>
        <v>0</v>
      </c>
      <c r="AC148">
        <f t="shared" si="145"/>
        <v>0</v>
      </c>
      <c r="AD148">
        <f t="shared" si="146"/>
        <v>0</v>
      </c>
      <c r="AE148">
        <f t="shared" si="147"/>
        <v>0</v>
      </c>
      <c r="AF148">
        <f t="shared" si="148"/>
        <v>0</v>
      </c>
      <c r="AG148">
        <f t="shared" si="149"/>
        <v>0</v>
      </c>
      <c r="AH148">
        <f t="shared" si="150"/>
        <v>0</v>
      </c>
      <c r="AI148">
        <f t="shared" si="151"/>
        <v>0</v>
      </c>
      <c r="AJ148">
        <f t="shared" si="152"/>
        <v>0</v>
      </c>
      <c r="AK148">
        <f t="shared" si="153"/>
        <v>0</v>
      </c>
      <c r="AL148">
        <f t="shared" si="154"/>
        <v>0</v>
      </c>
      <c r="AM148">
        <f t="shared" si="155"/>
        <v>0</v>
      </c>
      <c r="AN148">
        <f t="shared" si="156"/>
        <v>0</v>
      </c>
      <c r="AO148">
        <f t="shared" si="157"/>
        <v>0</v>
      </c>
      <c r="AP148">
        <f t="shared" si="158"/>
        <v>0</v>
      </c>
      <c r="AQ148">
        <f t="shared" si="159"/>
        <v>0</v>
      </c>
      <c r="AR148">
        <f t="shared" si="160"/>
        <v>0</v>
      </c>
      <c r="AS148">
        <f t="shared" si="161"/>
        <v>0</v>
      </c>
      <c r="AT148">
        <f t="shared" si="162"/>
        <v>0</v>
      </c>
      <c r="AU148">
        <f t="shared" si="163"/>
        <v>0</v>
      </c>
      <c r="AV148">
        <f t="shared" si="164"/>
        <v>0</v>
      </c>
      <c r="AW148">
        <f t="shared" si="165"/>
        <v>0</v>
      </c>
      <c r="AX148">
        <f t="shared" si="166"/>
        <v>0</v>
      </c>
      <c r="AY148">
        <f t="shared" si="220"/>
        <v>0</v>
      </c>
      <c r="BA148">
        <f t="shared" si="221"/>
        <v>8</v>
      </c>
      <c r="BB148">
        <f t="shared" si="167"/>
        <v>7</v>
      </c>
      <c r="BC148">
        <f t="shared" si="168"/>
        <v>7</v>
      </c>
      <c r="BD148">
        <f t="shared" si="169"/>
        <v>7</v>
      </c>
      <c r="BE148">
        <f t="shared" si="170"/>
        <v>7</v>
      </c>
      <c r="BF148">
        <f t="shared" si="171"/>
        <v>7</v>
      </c>
      <c r="BG148">
        <f t="shared" si="172"/>
        <v>7</v>
      </c>
      <c r="BH148">
        <f t="shared" si="173"/>
        <v>7</v>
      </c>
      <c r="BI148">
        <f t="shared" si="174"/>
        <v>7</v>
      </c>
      <c r="BJ148">
        <f t="shared" si="175"/>
        <v>7</v>
      </c>
      <c r="BK148">
        <f t="shared" si="176"/>
        <v>7</v>
      </c>
      <c r="BL148">
        <f t="shared" si="177"/>
        <v>7</v>
      </c>
      <c r="BM148">
        <f t="shared" si="178"/>
        <v>7</v>
      </c>
      <c r="BN148">
        <f t="shared" si="179"/>
        <v>7</v>
      </c>
      <c r="BO148">
        <f t="shared" si="180"/>
        <v>7</v>
      </c>
      <c r="BP148">
        <f t="shared" si="181"/>
        <v>7</v>
      </c>
      <c r="BQ148">
        <f t="shared" si="182"/>
        <v>7</v>
      </c>
      <c r="BR148">
        <f t="shared" si="183"/>
        <v>7</v>
      </c>
      <c r="BS148">
        <f t="shared" si="184"/>
        <v>7</v>
      </c>
      <c r="BT148">
        <f t="shared" si="185"/>
        <v>8</v>
      </c>
      <c r="BU148">
        <f t="shared" si="186"/>
        <v>8</v>
      </c>
      <c r="BV148">
        <f t="shared" si="187"/>
        <v>8</v>
      </c>
      <c r="BW148">
        <f t="shared" si="188"/>
        <v>7</v>
      </c>
      <c r="BX148">
        <f t="shared" si="189"/>
        <v>7</v>
      </c>
      <c r="BZ148" s="52">
        <f t="shared" si="225"/>
        <v>0</v>
      </c>
      <c r="CA148" s="52">
        <f t="shared" si="223"/>
        <v>-1</v>
      </c>
      <c r="CB148" s="52">
        <f t="shared" si="223"/>
        <v>0</v>
      </c>
      <c r="CC148" s="52">
        <f t="shared" si="223"/>
        <v>0</v>
      </c>
      <c r="CD148" s="52">
        <f t="shared" si="223"/>
        <v>0</v>
      </c>
      <c r="CE148" s="52">
        <f t="shared" si="223"/>
        <v>0</v>
      </c>
      <c r="CF148" s="52">
        <f t="shared" si="223"/>
        <v>0</v>
      </c>
      <c r="CG148" s="52">
        <f t="shared" si="223"/>
        <v>0</v>
      </c>
      <c r="CH148" s="52">
        <f t="shared" si="223"/>
        <v>0</v>
      </c>
      <c r="CI148" s="52">
        <f t="shared" si="223"/>
        <v>0</v>
      </c>
      <c r="CJ148" s="52">
        <f t="shared" si="223"/>
        <v>0</v>
      </c>
      <c r="CK148" s="52">
        <f t="shared" si="223"/>
        <v>0</v>
      </c>
      <c r="CL148" s="52">
        <f t="shared" si="223"/>
        <v>0</v>
      </c>
      <c r="CM148" s="52">
        <f t="shared" si="223"/>
        <v>0</v>
      </c>
      <c r="CN148" s="52">
        <f t="shared" si="223"/>
        <v>0</v>
      </c>
      <c r="CO148" s="52">
        <f t="shared" si="223"/>
        <v>0</v>
      </c>
      <c r="CP148" s="52">
        <f t="shared" si="223"/>
        <v>0</v>
      </c>
      <c r="CQ148" s="52">
        <f t="shared" si="226"/>
        <v>0</v>
      </c>
      <c r="CR148" s="52">
        <f t="shared" si="227"/>
        <v>0</v>
      </c>
      <c r="CS148" s="52">
        <f t="shared" si="228"/>
        <v>1</v>
      </c>
      <c r="CT148" s="52">
        <f t="shared" si="229"/>
        <v>0</v>
      </c>
      <c r="CU148" s="52">
        <f t="shared" si="230"/>
        <v>0</v>
      </c>
      <c r="CV148" s="52">
        <f t="shared" si="231"/>
        <v>-1</v>
      </c>
      <c r="CW148" s="52">
        <f t="shared" si="232"/>
        <v>0</v>
      </c>
    </row>
    <row r="149" spans="1:102">
      <c r="A149" s="60">
        <v>45071</v>
      </c>
      <c r="B149" s="426">
        <v>52517.9</v>
      </c>
      <c r="C149">
        <v>52473.7</v>
      </c>
      <c r="D149">
        <v>52571.4</v>
      </c>
      <c r="E149">
        <v>52578.3</v>
      </c>
      <c r="F149">
        <v>52622.2</v>
      </c>
      <c r="G149">
        <v>52726.2</v>
      </c>
      <c r="H149">
        <v>52466.400000000001</v>
      </c>
      <c r="I149">
        <v>52746.8</v>
      </c>
      <c r="J149">
        <v>52710.2</v>
      </c>
      <c r="K149">
        <v>54102.6</v>
      </c>
      <c r="L149">
        <v>54800.9</v>
      </c>
      <c r="M149">
        <v>54234.6</v>
      </c>
      <c r="N149">
        <v>54222.3</v>
      </c>
      <c r="O149">
        <v>54059.4</v>
      </c>
      <c r="P149">
        <v>67844</v>
      </c>
      <c r="Q149">
        <v>68486</v>
      </c>
      <c r="R149">
        <v>55199.3</v>
      </c>
      <c r="S149">
        <v>54234.5</v>
      </c>
      <c r="T149">
        <v>67806.899999999994</v>
      </c>
      <c r="U149">
        <v>68557.899999999994</v>
      </c>
      <c r="V149">
        <v>68521.899999999994</v>
      </c>
      <c r="W149">
        <v>68399.3</v>
      </c>
      <c r="X149">
        <v>68406.2</v>
      </c>
      <c r="Y149">
        <v>54305.599999999999</v>
      </c>
      <c r="Z149" s="77">
        <v>1386594.5</v>
      </c>
      <c r="AB149" s="52">
        <f t="shared" si="219"/>
        <v>0</v>
      </c>
      <c r="AC149" s="52">
        <f t="shared" si="145"/>
        <v>0</v>
      </c>
      <c r="AD149" s="52">
        <f t="shared" si="146"/>
        <v>0</v>
      </c>
      <c r="AE149" s="52">
        <f t="shared" si="147"/>
        <v>0</v>
      </c>
      <c r="AF149" s="52">
        <f t="shared" si="148"/>
        <v>0</v>
      </c>
      <c r="AG149" s="52">
        <f t="shared" si="149"/>
        <v>0</v>
      </c>
      <c r="AH149" s="52">
        <f t="shared" si="150"/>
        <v>0</v>
      </c>
      <c r="AI149" s="52">
        <f t="shared" si="151"/>
        <v>0</v>
      </c>
      <c r="AJ149" s="52">
        <f t="shared" si="152"/>
        <v>0</v>
      </c>
      <c r="AK149" s="52">
        <f t="shared" si="153"/>
        <v>0</v>
      </c>
      <c r="AL149" s="52">
        <f t="shared" si="154"/>
        <v>0</v>
      </c>
      <c r="AM149" s="52">
        <f t="shared" si="155"/>
        <v>0</v>
      </c>
      <c r="AN149" s="52">
        <f t="shared" si="156"/>
        <v>0</v>
      </c>
      <c r="AO149" s="52">
        <f t="shared" si="157"/>
        <v>0</v>
      </c>
      <c r="AP149" s="52">
        <f t="shared" si="158"/>
        <v>0</v>
      </c>
      <c r="AQ149" s="52">
        <f t="shared" si="159"/>
        <v>0</v>
      </c>
      <c r="AR149" s="52">
        <f t="shared" si="160"/>
        <v>0</v>
      </c>
      <c r="AS149" s="52">
        <f t="shared" si="161"/>
        <v>0</v>
      </c>
      <c r="AT149" s="52">
        <f t="shared" si="162"/>
        <v>0</v>
      </c>
      <c r="AU149" s="52">
        <f t="shared" si="163"/>
        <v>0</v>
      </c>
      <c r="AV149" s="52">
        <f t="shared" si="164"/>
        <v>0</v>
      </c>
      <c r="AW149" s="52">
        <f t="shared" si="165"/>
        <v>0</v>
      </c>
      <c r="AX149" s="52">
        <f t="shared" si="166"/>
        <v>0</v>
      </c>
      <c r="AY149" s="52">
        <f t="shared" si="220"/>
        <v>0</v>
      </c>
      <c r="BA149" s="52">
        <f t="shared" si="221"/>
        <v>6</v>
      </c>
      <c r="BB149" s="52">
        <f t="shared" si="167"/>
        <v>6</v>
      </c>
      <c r="BC149" s="52">
        <f t="shared" si="168"/>
        <v>6</v>
      </c>
      <c r="BD149" s="52">
        <f t="shared" si="169"/>
        <v>6</v>
      </c>
      <c r="BE149" s="52">
        <f t="shared" si="170"/>
        <v>6</v>
      </c>
      <c r="BF149" s="52">
        <f t="shared" si="171"/>
        <v>6</v>
      </c>
      <c r="BG149" s="52">
        <f t="shared" si="172"/>
        <v>6</v>
      </c>
      <c r="BH149" s="52">
        <f t="shared" si="173"/>
        <v>6</v>
      </c>
      <c r="BI149" s="52">
        <f t="shared" si="174"/>
        <v>6</v>
      </c>
      <c r="BJ149" s="52">
        <f t="shared" si="175"/>
        <v>7</v>
      </c>
      <c r="BK149" s="52">
        <f t="shared" si="176"/>
        <v>7</v>
      </c>
      <c r="BL149" s="52">
        <f t="shared" si="177"/>
        <v>7</v>
      </c>
      <c r="BM149" s="52">
        <f t="shared" si="178"/>
        <v>7</v>
      </c>
      <c r="BN149" s="52">
        <f t="shared" si="179"/>
        <v>7</v>
      </c>
      <c r="BO149" s="52">
        <f t="shared" si="180"/>
        <v>8</v>
      </c>
      <c r="BP149" s="52">
        <f t="shared" si="181"/>
        <v>8</v>
      </c>
      <c r="BQ149" s="52">
        <f t="shared" si="182"/>
        <v>7</v>
      </c>
      <c r="BR149" s="52">
        <f t="shared" si="183"/>
        <v>7</v>
      </c>
      <c r="BS149" s="52">
        <f t="shared" si="184"/>
        <v>8</v>
      </c>
      <c r="BT149" s="52">
        <f t="shared" si="185"/>
        <v>8</v>
      </c>
      <c r="BU149" s="52">
        <f t="shared" si="186"/>
        <v>8</v>
      </c>
      <c r="BV149" s="52">
        <f t="shared" si="187"/>
        <v>8</v>
      </c>
      <c r="BW149" s="52">
        <f t="shared" si="188"/>
        <v>8</v>
      </c>
      <c r="BX149" s="52">
        <f t="shared" si="189"/>
        <v>7</v>
      </c>
      <c r="BZ149">
        <f t="shared" si="225"/>
        <v>-1</v>
      </c>
      <c r="CA149">
        <f t="shared" si="223"/>
        <v>0</v>
      </c>
      <c r="CB149">
        <f t="shared" si="223"/>
        <v>0</v>
      </c>
      <c r="CC149">
        <f t="shared" si="223"/>
        <v>0</v>
      </c>
      <c r="CD149">
        <f t="shared" si="223"/>
        <v>0</v>
      </c>
      <c r="CE149">
        <f t="shared" si="223"/>
        <v>0</v>
      </c>
      <c r="CF149">
        <f t="shared" si="223"/>
        <v>0</v>
      </c>
      <c r="CG149">
        <f t="shared" si="223"/>
        <v>0</v>
      </c>
      <c r="CH149">
        <f t="shared" si="223"/>
        <v>0</v>
      </c>
      <c r="CI149">
        <f t="shared" si="223"/>
        <v>1</v>
      </c>
      <c r="CJ149">
        <f t="shared" si="223"/>
        <v>0</v>
      </c>
      <c r="CK149">
        <f t="shared" si="223"/>
        <v>0</v>
      </c>
      <c r="CL149">
        <f t="shared" si="223"/>
        <v>0</v>
      </c>
      <c r="CM149">
        <f t="shared" si="223"/>
        <v>0</v>
      </c>
      <c r="CN149">
        <f t="shared" ref="CN149:CP151" si="233">BO149-BN149</f>
        <v>1</v>
      </c>
      <c r="CO149">
        <f t="shared" si="233"/>
        <v>0</v>
      </c>
      <c r="CP149">
        <f t="shared" si="233"/>
        <v>-1</v>
      </c>
      <c r="CQ149">
        <f t="shared" si="226"/>
        <v>0</v>
      </c>
      <c r="CR149">
        <f t="shared" si="227"/>
        <v>1</v>
      </c>
      <c r="CS149">
        <f t="shared" si="228"/>
        <v>0</v>
      </c>
      <c r="CT149">
        <f t="shared" si="229"/>
        <v>0</v>
      </c>
      <c r="CU149">
        <f t="shared" si="230"/>
        <v>0</v>
      </c>
      <c r="CV149">
        <f t="shared" si="231"/>
        <v>0</v>
      </c>
      <c r="CW149">
        <f t="shared" si="232"/>
        <v>-1</v>
      </c>
    </row>
    <row r="150" spans="1:102">
      <c r="A150" s="60">
        <v>45072</v>
      </c>
      <c r="B150" s="426">
        <v>52623.1</v>
      </c>
      <c r="C150">
        <v>52528.2</v>
      </c>
      <c r="D150">
        <v>52325.2</v>
      </c>
      <c r="E150">
        <v>52456.1</v>
      </c>
      <c r="F150">
        <v>52496.9</v>
      </c>
      <c r="G150">
        <v>52337.2</v>
      </c>
      <c r="H150">
        <v>53838.400000000001</v>
      </c>
      <c r="I150">
        <v>54356.6</v>
      </c>
      <c r="J150">
        <v>53896.5</v>
      </c>
      <c r="K150">
        <v>53782.1</v>
      </c>
      <c r="L150">
        <v>53682.9</v>
      </c>
      <c r="M150">
        <v>53765.599999999999</v>
      </c>
      <c r="N150">
        <v>53688.7</v>
      </c>
      <c r="O150">
        <v>53778.9</v>
      </c>
      <c r="P150">
        <v>53867.9</v>
      </c>
      <c r="Q150">
        <v>54017.2</v>
      </c>
      <c r="R150">
        <v>54674.6</v>
      </c>
      <c r="S150">
        <v>54542.8</v>
      </c>
      <c r="T150">
        <v>68271.100000000006</v>
      </c>
      <c r="U150">
        <v>69266</v>
      </c>
      <c r="V150">
        <v>69233.3</v>
      </c>
      <c r="W150">
        <v>56103.9</v>
      </c>
      <c r="X150">
        <v>53685.599999999999</v>
      </c>
      <c r="Y150">
        <v>54001.9</v>
      </c>
      <c r="Z150" s="77">
        <v>1333220.7</v>
      </c>
      <c r="AB150">
        <f t="shared" si="219"/>
        <v>0</v>
      </c>
      <c r="AC150">
        <f t="shared" si="145"/>
        <v>0</v>
      </c>
      <c r="AD150">
        <f t="shared" si="146"/>
        <v>0</v>
      </c>
      <c r="AE150">
        <f t="shared" si="147"/>
        <v>0</v>
      </c>
      <c r="AF150">
        <f t="shared" si="148"/>
        <v>0</v>
      </c>
      <c r="AG150">
        <f t="shared" si="149"/>
        <v>0</v>
      </c>
      <c r="AH150">
        <f t="shared" si="150"/>
        <v>0</v>
      </c>
      <c r="AI150">
        <f t="shared" si="151"/>
        <v>0</v>
      </c>
      <c r="AJ150">
        <f t="shared" si="152"/>
        <v>0</v>
      </c>
      <c r="AK150">
        <f t="shared" si="153"/>
        <v>0</v>
      </c>
      <c r="AL150">
        <f t="shared" si="154"/>
        <v>0</v>
      </c>
      <c r="AM150">
        <f t="shared" si="155"/>
        <v>0</v>
      </c>
      <c r="AN150">
        <f t="shared" si="156"/>
        <v>0</v>
      </c>
      <c r="AO150">
        <f t="shared" si="157"/>
        <v>0</v>
      </c>
      <c r="AP150">
        <f t="shared" si="158"/>
        <v>0</v>
      </c>
      <c r="AQ150">
        <f t="shared" si="159"/>
        <v>0</v>
      </c>
      <c r="AR150">
        <f t="shared" si="160"/>
        <v>0</v>
      </c>
      <c r="AS150">
        <f t="shared" si="161"/>
        <v>0</v>
      </c>
      <c r="AT150">
        <f t="shared" si="162"/>
        <v>0</v>
      </c>
      <c r="AU150">
        <f t="shared" si="163"/>
        <v>0</v>
      </c>
      <c r="AV150">
        <f t="shared" si="164"/>
        <v>0</v>
      </c>
      <c r="AW150">
        <f t="shared" si="165"/>
        <v>0</v>
      </c>
      <c r="AX150">
        <f t="shared" si="166"/>
        <v>0</v>
      </c>
      <c r="AY150">
        <f t="shared" si="220"/>
        <v>0</v>
      </c>
      <c r="BA150">
        <f t="shared" si="221"/>
        <v>6</v>
      </c>
      <c r="BB150">
        <f t="shared" si="167"/>
        <v>6</v>
      </c>
      <c r="BC150">
        <f t="shared" si="168"/>
        <v>6</v>
      </c>
      <c r="BD150">
        <f t="shared" si="169"/>
        <v>6</v>
      </c>
      <c r="BE150">
        <f t="shared" si="170"/>
        <v>6</v>
      </c>
      <c r="BF150">
        <f t="shared" si="171"/>
        <v>6</v>
      </c>
      <c r="BG150">
        <f t="shared" si="172"/>
        <v>7</v>
      </c>
      <c r="BH150">
        <f t="shared" si="173"/>
        <v>7</v>
      </c>
      <c r="BI150">
        <f t="shared" si="174"/>
        <v>7</v>
      </c>
      <c r="BJ150">
        <f t="shared" si="175"/>
        <v>7</v>
      </c>
      <c r="BK150">
        <f t="shared" si="176"/>
        <v>7</v>
      </c>
      <c r="BL150">
        <f t="shared" si="177"/>
        <v>7</v>
      </c>
      <c r="BM150">
        <f t="shared" si="178"/>
        <v>7</v>
      </c>
      <c r="BN150">
        <f t="shared" si="179"/>
        <v>7</v>
      </c>
      <c r="BO150">
        <f t="shared" si="180"/>
        <v>7</v>
      </c>
      <c r="BP150">
        <f t="shared" si="181"/>
        <v>7</v>
      </c>
      <c r="BQ150">
        <f t="shared" si="182"/>
        <v>7</v>
      </c>
      <c r="BR150">
        <f t="shared" si="183"/>
        <v>7</v>
      </c>
      <c r="BS150">
        <f t="shared" si="184"/>
        <v>8</v>
      </c>
      <c r="BT150">
        <f t="shared" si="185"/>
        <v>8</v>
      </c>
      <c r="BU150">
        <f t="shared" si="186"/>
        <v>8</v>
      </c>
      <c r="BV150">
        <f t="shared" si="187"/>
        <v>7</v>
      </c>
      <c r="BW150">
        <f t="shared" si="188"/>
        <v>7</v>
      </c>
      <c r="BX150">
        <f t="shared" si="189"/>
        <v>7</v>
      </c>
      <c r="BZ150" s="52">
        <f t="shared" si="225"/>
        <v>-1</v>
      </c>
      <c r="CA150" s="52">
        <f t="shared" ref="CA150:CP167" si="234">BB150-BA150</f>
        <v>0</v>
      </c>
      <c r="CB150" s="52">
        <f t="shared" ref="CB150:CM151" si="235">BC150-BB150</f>
        <v>0</v>
      </c>
      <c r="CC150" s="52">
        <f t="shared" si="235"/>
        <v>0</v>
      </c>
      <c r="CD150" s="52">
        <f t="shared" si="235"/>
        <v>0</v>
      </c>
      <c r="CE150" s="52">
        <f t="shared" si="235"/>
        <v>0</v>
      </c>
      <c r="CF150" s="52">
        <f t="shared" si="235"/>
        <v>1</v>
      </c>
      <c r="CG150" s="52">
        <f t="shared" si="235"/>
        <v>0</v>
      </c>
      <c r="CH150" s="52">
        <f t="shared" si="235"/>
        <v>0</v>
      </c>
      <c r="CI150" s="52">
        <f t="shared" si="235"/>
        <v>0</v>
      </c>
      <c r="CJ150" s="52">
        <f t="shared" si="235"/>
        <v>0</v>
      </c>
      <c r="CK150" s="52">
        <f t="shared" si="235"/>
        <v>0</v>
      </c>
      <c r="CL150" s="52">
        <f t="shared" si="235"/>
        <v>0</v>
      </c>
      <c r="CM150" s="52">
        <f t="shared" si="235"/>
        <v>0</v>
      </c>
      <c r="CN150" s="52">
        <f t="shared" si="233"/>
        <v>0</v>
      </c>
      <c r="CO150" s="52">
        <f t="shared" si="233"/>
        <v>0</v>
      </c>
      <c r="CP150" s="52">
        <f t="shared" si="233"/>
        <v>0</v>
      </c>
      <c r="CQ150" s="52">
        <f t="shared" si="226"/>
        <v>0</v>
      </c>
      <c r="CR150" s="52">
        <f t="shared" si="227"/>
        <v>1</v>
      </c>
      <c r="CS150" s="52">
        <f t="shared" si="228"/>
        <v>0</v>
      </c>
      <c r="CT150" s="52">
        <f t="shared" si="229"/>
        <v>0</v>
      </c>
      <c r="CU150" s="52">
        <f t="shared" si="230"/>
        <v>-1</v>
      </c>
      <c r="CV150" s="52">
        <f t="shared" si="231"/>
        <v>0</v>
      </c>
      <c r="CW150" s="52">
        <f t="shared" si="232"/>
        <v>0</v>
      </c>
    </row>
    <row r="151" spans="1:102">
      <c r="A151" s="60">
        <v>45073</v>
      </c>
      <c r="B151" s="426">
        <v>53844.9</v>
      </c>
      <c r="C151">
        <v>53981.1</v>
      </c>
      <c r="D151">
        <v>54152.3</v>
      </c>
      <c r="E151">
        <v>54171</v>
      </c>
      <c r="F151">
        <v>54209.4</v>
      </c>
      <c r="G151">
        <v>54227.8</v>
      </c>
      <c r="H151">
        <v>54196.2</v>
      </c>
      <c r="I151">
        <v>54222.7</v>
      </c>
      <c r="J151">
        <v>53988</v>
      </c>
      <c r="K151">
        <v>54092.3</v>
      </c>
      <c r="L151">
        <v>54576.1</v>
      </c>
      <c r="M151">
        <v>53521.3</v>
      </c>
      <c r="N151">
        <v>54167.1</v>
      </c>
      <c r="O151">
        <v>54275.5</v>
      </c>
      <c r="P151">
        <v>54214.2</v>
      </c>
      <c r="Q151">
        <v>53813.9</v>
      </c>
      <c r="R151">
        <v>53641.599999999999</v>
      </c>
      <c r="S151">
        <v>54001.4</v>
      </c>
      <c r="T151">
        <v>54149.9</v>
      </c>
      <c r="U151">
        <v>66016.100000000006</v>
      </c>
      <c r="V151">
        <v>68301.399999999994</v>
      </c>
      <c r="W151">
        <v>55997.9</v>
      </c>
      <c r="X151">
        <v>55205.599999999999</v>
      </c>
      <c r="Y151">
        <v>55348.2</v>
      </c>
      <c r="Z151" s="77">
        <v>1328315.8999999999</v>
      </c>
      <c r="AB151" s="52">
        <f t="shared" si="219"/>
        <v>0</v>
      </c>
      <c r="AC151" s="52">
        <f t="shared" si="145"/>
        <v>0</v>
      </c>
      <c r="AD151" s="52">
        <f t="shared" si="146"/>
        <v>0</v>
      </c>
      <c r="AE151" s="52">
        <f t="shared" si="147"/>
        <v>0</v>
      </c>
      <c r="AF151" s="52">
        <f t="shared" si="148"/>
        <v>0</v>
      </c>
      <c r="AG151" s="52">
        <f t="shared" si="149"/>
        <v>0</v>
      </c>
      <c r="AH151" s="52">
        <f t="shared" si="150"/>
        <v>0</v>
      </c>
      <c r="AI151" s="52">
        <f t="shared" si="151"/>
        <v>0</v>
      </c>
      <c r="AJ151" s="52">
        <f t="shared" si="152"/>
        <v>0</v>
      </c>
      <c r="AK151" s="52">
        <f t="shared" si="153"/>
        <v>0</v>
      </c>
      <c r="AL151" s="52">
        <f t="shared" si="154"/>
        <v>0</v>
      </c>
      <c r="AM151" s="52">
        <f t="shared" si="155"/>
        <v>0</v>
      </c>
      <c r="AN151" s="52">
        <f t="shared" si="156"/>
        <v>0</v>
      </c>
      <c r="AO151" s="52">
        <f t="shared" si="157"/>
        <v>0</v>
      </c>
      <c r="AP151" s="52">
        <f t="shared" si="158"/>
        <v>0</v>
      </c>
      <c r="AQ151" s="52">
        <f t="shared" si="159"/>
        <v>0</v>
      </c>
      <c r="AR151" s="52">
        <f t="shared" si="160"/>
        <v>0</v>
      </c>
      <c r="AS151" s="52">
        <f t="shared" si="161"/>
        <v>0</v>
      </c>
      <c r="AT151" s="52">
        <f t="shared" si="162"/>
        <v>0</v>
      </c>
      <c r="AU151" s="52">
        <f t="shared" si="163"/>
        <v>0</v>
      </c>
      <c r="AV151" s="52">
        <f t="shared" si="164"/>
        <v>0</v>
      </c>
      <c r="AW151" s="52">
        <f t="shared" si="165"/>
        <v>0</v>
      </c>
      <c r="AX151" s="52">
        <f t="shared" si="166"/>
        <v>0</v>
      </c>
      <c r="AY151" s="52">
        <f t="shared" si="220"/>
        <v>0</v>
      </c>
      <c r="BA151" s="52">
        <f t="shared" si="221"/>
        <v>7</v>
      </c>
      <c r="BB151" s="52">
        <f t="shared" si="167"/>
        <v>7</v>
      </c>
      <c r="BC151" s="52">
        <f t="shared" si="168"/>
        <v>7</v>
      </c>
      <c r="BD151" s="52">
        <f t="shared" si="169"/>
        <v>7</v>
      </c>
      <c r="BE151" s="52">
        <f t="shared" si="170"/>
        <v>7</v>
      </c>
      <c r="BF151" s="52">
        <f t="shared" si="171"/>
        <v>7</v>
      </c>
      <c r="BG151" s="52">
        <f t="shared" si="172"/>
        <v>7</v>
      </c>
      <c r="BH151" s="52">
        <f t="shared" si="173"/>
        <v>7</v>
      </c>
      <c r="BI151" s="52">
        <f t="shared" si="174"/>
        <v>7</v>
      </c>
      <c r="BJ151" s="52">
        <f t="shared" si="175"/>
        <v>7</v>
      </c>
      <c r="BK151" s="52">
        <f t="shared" si="176"/>
        <v>7</v>
      </c>
      <c r="BL151" s="52">
        <f t="shared" si="177"/>
        <v>7</v>
      </c>
      <c r="BM151" s="52">
        <f t="shared" si="178"/>
        <v>7</v>
      </c>
      <c r="BN151" s="52">
        <f t="shared" si="179"/>
        <v>7</v>
      </c>
      <c r="BO151" s="52">
        <f t="shared" si="180"/>
        <v>7</v>
      </c>
      <c r="BP151" s="52">
        <f t="shared" si="181"/>
        <v>7</v>
      </c>
      <c r="BQ151" s="52">
        <f t="shared" si="182"/>
        <v>7</v>
      </c>
      <c r="BR151" s="52">
        <f t="shared" si="183"/>
        <v>7</v>
      </c>
      <c r="BS151" s="52">
        <f t="shared" si="184"/>
        <v>7</v>
      </c>
      <c r="BT151" s="52">
        <f t="shared" si="185"/>
        <v>8</v>
      </c>
      <c r="BU151" s="52">
        <f t="shared" si="186"/>
        <v>8</v>
      </c>
      <c r="BV151" s="52">
        <f t="shared" si="187"/>
        <v>7</v>
      </c>
      <c r="BW151" s="52">
        <f t="shared" si="188"/>
        <v>7</v>
      </c>
      <c r="BX151" s="52">
        <f t="shared" si="189"/>
        <v>7</v>
      </c>
      <c r="BZ151">
        <f t="shared" si="225"/>
        <v>0</v>
      </c>
      <c r="CA151">
        <f t="shared" si="234"/>
        <v>0</v>
      </c>
      <c r="CB151">
        <f t="shared" si="235"/>
        <v>0</v>
      </c>
      <c r="CC151">
        <f t="shared" si="235"/>
        <v>0</v>
      </c>
      <c r="CD151">
        <f t="shared" si="235"/>
        <v>0</v>
      </c>
      <c r="CE151">
        <f t="shared" si="235"/>
        <v>0</v>
      </c>
      <c r="CF151">
        <f t="shared" si="235"/>
        <v>0</v>
      </c>
      <c r="CG151">
        <f t="shared" si="235"/>
        <v>0</v>
      </c>
      <c r="CH151">
        <f t="shared" si="235"/>
        <v>0</v>
      </c>
      <c r="CI151">
        <f t="shared" si="235"/>
        <v>0</v>
      </c>
      <c r="CJ151">
        <f t="shared" si="235"/>
        <v>0</v>
      </c>
      <c r="CK151">
        <f t="shared" si="235"/>
        <v>0</v>
      </c>
      <c r="CL151">
        <f t="shared" si="235"/>
        <v>0</v>
      </c>
      <c r="CM151">
        <f t="shared" si="235"/>
        <v>0</v>
      </c>
      <c r="CN151">
        <f t="shared" si="233"/>
        <v>0</v>
      </c>
      <c r="CO151">
        <f t="shared" si="233"/>
        <v>0</v>
      </c>
      <c r="CP151">
        <f t="shared" si="233"/>
        <v>0</v>
      </c>
      <c r="CQ151">
        <f t="shared" si="226"/>
        <v>0</v>
      </c>
      <c r="CR151">
        <f t="shared" si="227"/>
        <v>0</v>
      </c>
      <c r="CS151">
        <f t="shared" si="228"/>
        <v>1</v>
      </c>
      <c r="CT151">
        <f t="shared" si="229"/>
        <v>0</v>
      </c>
      <c r="CU151">
        <f t="shared" si="230"/>
        <v>-1</v>
      </c>
      <c r="CV151">
        <f t="shared" si="231"/>
        <v>0</v>
      </c>
      <c r="CW151">
        <f t="shared" si="232"/>
        <v>0</v>
      </c>
    </row>
    <row r="152" spans="1:102">
      <c r="A152" s="60">
        <v>45074</v>
      </c>
      <c r="B152" s="426">
        <v>55182.8</v>
      </c>
      <c r="C152">
        <v>55153.2</v>
      </c>
      <c r="D152">
        <v>55058.3</v>
      </c>
      <c r="E152">
        <v>54880</v>
      </c>
      <c r="F152">
        <v>55118.8</v>
      </c>
      <c r="G152">
        <v>54571.3</v>
      </c>
      <c r="H152">
        <v>53767.199999999997</v>
      </c>
      <c r="I152">
        <v>53875.9</v>
      </c>
      <c r="J152">
        <v>54042.8</v>
      </c>
      <c r="K152">
        <v>54069.1</v>
      </c>
      <c r="L152">
        <v>54169.3</v>
      </c>
      <c r="M152">
        <v>53843.4</v>
      </c>
      <c r="N152">
        <v>53929.4</v>
      </c>
      <c r="O152">
        <v>53738.400000000001</v>
      </c>
      <c r="P152">
        <v>53905.9</v>
      </c>
      <c r="Q152">
        <v>54052.800000000003</v>
      </c>
      <c r="R152">
        <v>54320.800000000003</v>
      </c>
      <c r="S152">
        <v>54341.3</v>
      </c>
      <c r="T152">
        <v>54233.4</v>
      </c>
      <c r="U152">
        <v>54191.199999999997</v>
      </c>
      <c r="V152">
        <v>68062.5</v>
      </c>
      <c r="W152">
        <v>54851.7</v>
      </c>
      <c r="X152">
        <v>53708.5</v>
      </c>
      <c r="Y152">
        <v>54058.400000000001</v>
      </c>
      <c r="Z152" s="77">
        <v>1317126.4000000001</v>
      </c>
      <c r="AB152">
        <f t="shared" si="219"/>
        <v>0</v>
      </c>
      <c r="AC152">
        <f t="shared" si="145"/>
        <v>0</v>
      </c>
      <c r="AD152">
        <f t="shared" si="146"/>
        <v>0</v>
      </c>
      <c r="AE152">
        <f t="shared" si="147"/>
        <v>0</v>
      </c>
      <c r="AF152">
        <f t="shared" si="148"/>
        <v>0</v>
      </c>
      <c r="AG152">
        <f t="shared" si="149"/>
        <v>0</v>
      </c>
      <c r="AH152">
        <f t="shared" si="150"/>
        <v>0</v>
      </c>
      <c r="AI152">
        <f t="shared" si="151"/>
        <v>0</v>
      </c>
      <c r="AJ152">
        <f t="shared" si="152"/>
        <v>0</v>
      </c>
      <c r="AK152">
        <f t="shared" si="153"/>
        <v>0</v>
      </c>
      <c r="AL152">
        <f t="shared" si="154"/>
        <v>0</v>
      </c>
      <c r="AM152">
        <f t="shared" si="155"/>
        <v>0</v>
      </c>
      <c r="AN152">
        <f t="shared" si="156"/>
        <v>0</v>
      </c>
      <c r="AO152">
        <f t="shared" si="157"/>
        <v>0</v>
      </c>
      <c r="AP152">
        <f t="shared" si="158"/>
        <v>0</v>
      </c>
      <c r="AQ152">
        <f t="shared" si="159"/>
        <v>0</v>
      </c>
      <c r="AR152">
        <f t="shared" si="160"/>
        <v>0</v>
      </c>
      <c r="AS152">
        <f t="shared" si="161"/>
        <v>0</v>
      </c>
      <c r="AT152">
        <f t="shared" si="162"/>
        <v>0</v>
      </c>
      <c r="AU152">
        <f t="shared" si="163"/>
        <v>0</v>
      </c>
      <c r="AV152">
        <f t="shared" si="164"/>
        <v>0</v>
      </c>
      <c r="AW152">
        <f t="shared" si="165"/>
        <v>0</v>
      </c>
      <c r="AX152">
        <f t="shared" si="166"/>
        <v>0</v>
      </c>
      <c r="AY152">
        <f t="shared" si="220"/>
        <v>0</v>
      </c>
      <c r="BA152">
        <f t="shared" si="221"/>
        <v>7</v>
      </c>
      <c r="BB152">
        <f t="shared" si="167"/>
        <v>7</v>
      </c>
      <c r="BC152">
        <f t="shared" si="168"/>
        <v>7</v>
      </c>
      <c r="BD152">
        <f t="shared" si="169"/>
        <v>7</v>
      </c>
      <c r="BE152">
        <f t="shared" si="170"/>
        <v>7</v>
      </c>
      <c r="BF152">
        <f t="shared" si="171"/>
        <v>7</v>
      </c>
      <c r="BG152">
        <f t="shared" si="172"/>
        <v>7</v>
      </c>
      <c r="BH152">
        <f t="shared" si="173"/>
        <v>7</v>
      </c>
      <c r="BI152">
        <f t="shared" si="174"/>
        <v>7</v>
      </c>
      <c r="BJ152">
        <f t="shared" si="175"/>
        <v>7</v>
      </c>
      <c r="BK152">
        <f t="shared" si="176"/>
        <v>7</v>
      </c>
      <c r="BL152">
        <f t="shared" si="177"/>
        <v>7</v>
      </c>
      <c r="BM152">
        <f t="shared" si="178"/>
        <v>7</v>
      </c>
      <c r="BN152">
        <f t="shared" si="179"/>
        <v>7</v>
      </c>
      <c r="BO152">
        <f t="shared" si="180"/>
        <v>7</v>
      </c>
      <c r="BP152">
        <f t="shared" si="181"/>
        <v>7</v>
      </c>
      <c r="BQ152">
        <f t="shared" si="182"/>
        <v>7</v>
      </c>
      <c r="BR152">
        <f t="shared" si="183"/>
        <v>7</v>
      </c>
      <c r="BS152">
        <f t="shared" si="184"/>
        <v>7</v>
      </c>
      <c r="BT152">
        <f t="shared" si="185"/>
        <v>7</v>
      </c>
      <c r="BU152">
        <f t="shared" si="186"/>
        <v>8</v>
      </c>
      <c r="BV152">
        <f t="shared" si="187"/>
        <v>7</v>
      </c>
      <c r="BW152">
        <f t="shared" si="188"/>
        <v>7</v>
      </c>
      <c r="BX152">
        <f t="shared" si="189"/>
        <v>7</v>
      </c>
      <c r="BZ152" s="52">
        <f t="shared" si="225"/>
        <v>0</v>
      </c>
      <c r="CA152" s="52">
        <f t="shared" si="234"/>
        <v>0</v>
      </c>
      <c r="CB152" s="52">
        <f t="shared" si="234"/>
        <v>0</v>
      </c>
      <c r="CC152" s="52">
        <f t="shared" si="234"/>
        <v>0</v>
      </c>
      <c r="CD152" s="52">
        <f t="shared" si="234"/>
        <v>0</v>
      </c>
      <c r="CE152" s="52">
        <f t="shared" si="234"/>
        <v>0</v>
      </c>
      <c r="CF152" s="52">
        <f t="shared" si="234"/>
        <v>0</v>
      </c>
      <c r="CG152" s="52">
        <f t="shared" si="234"/>
        <v>0</v>
      </c>
      <c r="CH152" s="52">
        <f t="shared" si="234"/>
        <v>0</v>
      </c>
      <c r="CI152" s="52">
        <f t="shared" si="234"/>
        <v>0</v>
      </c>
      <c r="CJ152" s="52">
        <f t="shared" si="234"/>
        <v>0</v>
      </c>
      <c r="CK152" s="52">
        <f t="shared" si="234"/>
        <v>0</v>
      </c>
      <c r="CL152" s="52">
        <f t="shared" si="234"/>
        <v>0</v>
      </c>
      <c r="CM152" s="52">
        <f t="shared" si="234"/>
        <v>0</v>
      </c>
      <c r="CN152" s="52">
        <f t="shared" si="234"/>
        <v>0</v>
      </c>
      <c r="CO152" s="52">
        <f t="shared" si="234"/>
        <v>0</v>
      </c>
      <c r="CP152" s="52">
        <f t="shared" si="234"/>
        <v>0</v>
      </c>
      <c r="CQ152" s="52">
        <f t="shared" si="226"/>
        <v>0</v>
      </c>
      <c r="CR152" s="52">
        <f t="shared" si="227"/>
        <v>0</v>
      </c>
      <c r="CS152" s="52">
        <f t="shared" si="228"/>
        <v>0</v>
      </c>
      <c r="CT152" s="52">
        <f t="shared" si="229"/>
        <v>1</v>
      </c>
      <c r="CU152" s="52">
        <f t="shared" si="230"/>
        <v>-1</v>
      </c>
      <c r="CV152" s="52">
        <f t="shared" si="231"/>
        <v>0</v>
      </c>
      <c r="CW152" s="52">
        <f t="shared" si="232"/>
        <v>0</v>
      </c>
    </row>
    <row r="153" spans="1:102">
      <c r="A153" s="60">
        <v>45075</v>
      </c>
      <c r="B153" s="426">
        <v>54868.6</v>
      </c>
      <c r="C153">
        <v>54743.1</v>
      </c>
      <c r="D153">
        <v>54661.5</v>
      </c>
      <c r="E153">
        <v>54753.4</v>
      </c>
      <c r="F153">
        <v>54894.3</v>
      </c>
      <c r="G153">
        <v>54118.3</v>
      </c>
      <c r="H153">
        <v>54123.1</v>
      </c>
      <c r="I153">
        <v>53962.7</v>
      </c>
      <c r="J153">
        <v>54918.8</v>
      </c>
      <c r="K153">
        <v>54971.6</v>
      </c>
      <c r="L153">
        <v>55287.9</v>
      </c>
      <c r="M153">
        <v>55147.4</v>
      </c>
      <c r="N153">
        <v>55109.599999999999</v>
      </c>
      <c r="O153">
        <v>55459.6</v>
      </c>
      <c r="P153">
        <v>54415</v>
      </c>
      <c r="Q153">
        <v>54398.1</v>
      </c>
      <c r="R153">
        <v>54150.5</v>
      </c>
      <c r="S153">
        <v>54099.1</v>
      </c>
      <c r="T153">
        <v>55943.8</v>
      </c>
      <c r="U153">
        <v>67766.100000000006</v>
      </c>
      <c r="V153">
        <v>68302.2</v>
      </c>
      <c r="W153">
        <v>54797.3</v>
      </c>
      <c r="X153">
        <v>54383.4</v>
      </c>
      <c r="Y153">
        <v>54027.6</v>
      </c>
      <c r="Z153" s="77">
        <v>1339303</v>
      </c>
      <c r="AB153" s="52">
        <f t="shared" si="219"/>
        <v>0</v>
      </c>
      <c r="AC153" s="52">
        <f t="shared" si="145"/>
        <v>0</v>
      </c>
      <c r="AD153" s="52">
        <f t="shared" si="146"/>
        <v>0</v>
      </c>
      <c r="AE153" s="52">
        <f t="shared" si="147"/>
        <v>0</v>
      </c>
      <c r="AF153" s="52">
        <f t="shared" si="148"/>
        <v>0</v>
      </c>
      <c r="AG153" s="52">
        <f t="shared" si="149"/>
        <v>0</v>
      </c>
      <c r="AH153" s="52">
        <f t="shared" si="150"/>
        <v>0</v>
      </c>
      <c r="AI153" s="52">
        <f t="shared" si="151"/>
        <v>0</v>
      </c>
      <c r="AJ153" s="52">
        <f t="shared" si="152"/>
        <v>0</v>
      </c>
      <c r="AK153" s="52">
        <f t="shared" si="153"/>
        <v>0</v>
      </c>
      <c r="AL153" s="52">
        <f t="shared" si="154"/>
        <v>0</v>
      </c>
      <c r="AM153" s="52">
        <f t="shared" si="155"/>
        <v>0</v>
      </c>
      <c r="AN153" s="52">
        <f t="shared" si="156"/>
        <v>0</v>
      </c>
      <c r="AO153" s="52">
        <f t="shared" si="157"/>
        <v>0</v>
      </c>
      <c r="AP153" s="52">
        <f t="shared" si="158"/>
        <v>0</v>
      </c>
      <c r="AQ153" s="52">
        <f t="shared" si="159"/>
        <v>0</v>
      </c>
      <c r="AR153" s="52">
        <f t="shared" si="160"/>
        <v>0</v>
      </c>
      <c r="AS153" s="52">
        <f t="shared" si="161"/>
        <v>0</v>
      </c>
      <c r="AT153" s="52">
        <f t="shared" si="162"/>
        <v>0</v>
      </c>
      <c r="AU153" s="52">
        <f t="shared" si="163"/>
        <v>0</v>
      </c>
      <c r="AV153" s="52">
        <f t="shared" si="164"/>
        <v>0</v>
      </c>
      <c r="AW153" s="52">
        <f t="shared" si="165"/>
        <v>0</v>
      </c>
      <c r="AX153" s="52">
        <f t="shared" si="166"/>
        <v>0</v>
      </c>
      <c r="AY153" s="52">
        <f t="shared" si="220"/>
        <v>0</v>
      </c>
      <c r="BA153" s="52">
        <f t="shared" si="221"/>
        <v>7</v>
      </c>
      <c r="BB153" s="52">
        <f t="shared" si="167"/>
        <v>7</v>
      </c>
      <c r="BC153" s="52">
        <f t="shared" si="168"/>
        <v>7</v>
      </c>
      <c r="BD153" s="52">
        <f t="shared" si="169"/>
        <v>7</v>
      </c>
      <c r="BE153" s="52">
        <f t="shared" si="170"/>
        <v>7</v>
      </c>
      <c r="BF153" s="52">
        <f t="shared" si="171"/>
        <v>7</v>
      </c>
      <c r="BG153" s="52">
        <f t="shared" si="172"/>
        <v>7</v>
      </c>
      <c r="BH153" s="52">
        <f t="shared" si="173"/>
        <v>7</v>
      </c>
      <c r="BI153" s="52">
        <f t="shared" si="174"/>
        <v>7</v>
      </c>
      <c r="BJ153" s="52">
        <f t="shared" si="175"/>
        <v>7</v>
      </c>
      <c r="BK153" s="52">
        <f t="shared" si="176"/>
        <v>7</v>
      </c>
      <c r="BL153" s="52">
        <f t="shared" si="177"/>
        <v>7</v>
      </c>
      <c r="BM153" s="52">
        <f t="shared" si="178"/>
        <v>7</v>
      </c>
      <c r="BN153" s="52">
        <f t="shared" si="179"/>
        <v>7</v>
      </c>
      <c r="BO153" s="52">
        <f t="shared" si="180"/>
        <v>7</v>
      </c>
      <c r="BP153" s="52">
        <f t="shared" si="181"/>
        <v>7</v>
      </c>
      <c r="BQ153" s="52">
        <f t="shared" si="182"/>
        <v>7</v>
      </c>
      <c r="BR153" s="52">
        <f t="shared" si="183"/>
        <v>7</v>
      </c>
      <c r="BS153" s="52">
        <f t="shared" si="184"/>
        <v>7</v>
      </c>
      <c r="BT153" s="52">
        <f t="shared" si="185"/>
        <v>8</v>
      </c>
      <c r="BU153" s="52">
        <f t="shared" si="186"/>
        <v>8</v>
      </c>
      <c r="BV153" s="52">
        <f t="shared" si="187"/>
        <v>7</v>
      </c>
      <c r="BW153" s="52">
        <f t="shared" si="188"/>
        <v>7</v>
      </c>
      <c r="BX153" s="52">
        <f t="shared" si="189"/>
        <v>7</v>
      </c>
      <c r="BZ153">
        <f t="shared" si="225"/>
        <v>0</v>
      </c>
      <c r="CA153">
        <f t="shared" si="234"/>
        <v>0</v>
      </c>
      <c r="CB153">
        <f t="shared" si="234"/>
        <v>0</v>
      </c>
      <c r="CC153">
        <f t="shared" si="234"/>
        <v>0</v>
      </c>
      <c r="CD153">
        <f t="shared" si="234"/>
        <v>0</v>
      </c>
      <c r="CE153">
        <f t="shared" si="234"/>
        <v>0</v>
      </c>
      <c r="CF153">
        <f t="shared" si="234"/>
        <v>0</v>
      </c>
      <c r="CG153">
        <f t="shared" si="234"/>
        <v>0</v>
      </c>
      <c r="CH153">
        <f t="shared" si="234"/>
        <v>0</v>
      </c>
      <c r="CI153">
        <f t="shared" si="234"/>
        <v>0</v>
      </c>
      <c r="CJ153">
        <f t="shared" si="234"/>
        <v>0</v>
      </c>
      <c r="CK153">
        <f t="shared" si="234"/>
        <v>0</v>
      </c>
      <c r="CL153">
        <f t="shared" si="234"/>
        <v>0</v>
      </c>
      <c r="CM153">
        <f t="shared" si="234"/>
        <v>0</v>
      </c>
      <c r="CN153">
        <f t="shared" si="234"/>
        <v>0</v>
      </c>
      <c r="CO153">
        <f t="shared" si="234"/>
        <v>0</v>
      </c>
      <c r="CP153">
        <f t="shared" si="234"/>
        <v>0</v>
      </c>
      <c r="CQ153">
        <f t="shared" si="226"/>
        <v>0</v>
      </c>
      <c r="CR153">
        <f t="shared" si="227"/>
        <v>0</v>
      </c>
      <c r="CS153">
        <f t="shared" si="228"/>
        <v>1</v>
      </c>
      <c r="CT153">
        <f t="shared" si="229"/>
        <v>0</v>
      </c>
      <c r="CU153">
        <f t="shared" si="230"/>
        <v>-1</v>
      </c>
      <c r="CV153">
        <f t="shared" si="231"/>
        <v>0</v>
      </c>
      <c r="CW153">
        <f t="shared" si="232"/>
        <v>0</v>
      </c>
    </row>
    <row r="154" spans="1:102">
      <c r="A154" s="60">
        <v>45076</v>
      </c>
      <c r="B154" s="426">
        <v>54505.4</v>
      </c>
      <c r="C154">
        <v>54638.400000000001</v>
      </c>
      <c r="D154">
        <v>54680.6</v>
      </c>
      <c r="E154">
        <v>54393.599999999999</v>
      </c>
      <c r="F154">
        <v>54448.7</v>
      </c>
      <c r="G154">
        <v>54048.6</v>
      </c>
      <c r="H154">
        <v>54068.2</v>
      </c>
      <c r="I154">
        <v>54510.400000000001</v>
      </c>
      <c r="J154">
        <v>54965.5</v>
      </c>
      <c r="K154">
        <v>55347</v>
      </c>
      <c r="L154">
        <v>54807.6</v>
      </c>
      <c r="M154">
        <v>54563.4</v>
      </c>
      <c r="N154">
        <v>54550.2</v>
      </c>
      <c r="O154">
        <v>54619.8</v>
      </c>
      <c r="P154">
        <v>54487.3</v>
      </c>
      <c r="Q154">
        <v>54516</v>
      </c>
      <c r="R154">
        <v>54152</v>
      </c>
      <c r="S154">
        <v>54203.9</v>
      </c>
      <c r="T154">
        <v>54703.7</v>
      </c>
      <c r="U154">
        <v>67535.5</v>
      </c>
      <c r="V154">
        <v>67890.600000000006</v>
      </c>
      <c r="W154">
        <v>55179.3</v>
      </c>
      <c r="X154">
        <v>54305.3</v>
      </c>
      <c r="Y154">
        <v>54625.8</v>
      </c>
      <c r="Z154" s="77">
        <v>1335746.8000000003</v>
      </c>
      <c r="AB154">
        <f t="shared" si="219"/>
        <v>0</v>
      </c>
      <c r="AC154">
        <f t="shared" si="145"/>
        <v>0</v>
      </c>
      <c r="AD154">
        <f t="shared" si="146"/>
        <v>0</v>
      </c>
      <c r="AE154">
        <f t="shared" si="147"/>
        <v>0</v>
      </c>
      <c r="AF154">
        <f t="shared" si="148"/>
        <v>0</v>
      </c>
      <c r="AG154">
        <f t="shared" si="149"/>
        <v>0</v>
      </c>
      <c r="AH154">
        <f t="shared" si="150"/>
        <v>0</v>
      </c>
      <c r="AI154">
        <f t="shared" si="151"/>
        <v>0</v>
      </c>
      <c r="AJ154">
        <f t="shared" si="152"/>
        <v>0</v>
      </c>
      <c r="AK154">
        <f t="shared" si="153"/>
        <v>0</v>
      </c>
      <c r="AL154">
        <f t="shared" si="154"/>
        <v>0</v>
      </c>
      <c r="AM154">
        <f t="shared" si="155"/>
        <v>0</v>
      </c>
      <c r="AN154">
        <f t="shared" si="156"/>
        <v>0</v>
      </c>
      <c r="AO154">
        <f t="shared" si="157"/>
        <v>0</v>
      </c>
      <c r="AP154">
        <f t="shared" si="158"/>
        <v>0</v>
      </c>
      <c r="AQ154">
        <f t="shared" si="159"/>
        <v>0</v>
      </c>
      <c r="AR154">
        <f t="shared" si="160"/>
        <v>0</v>
      </c>
      <c r="AS154">
        <f t="shared" si="161"/>
        <v>0</v>
      </c>
      <c r="AT154">
        <f t="shared" si="162"/>
        <v>0</v>
      </c>
      <c r="AU154">
        <f t="shared" si="163"/>
        <v>0</v>
      </c>
      <c r="AV154">
        <f t="shared" si="164"/>
        <v>0</v>
      </c>
      <c r="AW154">
        <f t="shared" si="165"/>
        <v>0</v>
      </c>
      <c r="AX154">
        <f t="shared" si="166"/>
        <v>0</v>
      </c>
      <c r="AY154">
        <f t="shared" si="220"/>
        <v>0</v>
      </c>
      <c r="BA154">
        <f t="shared" si="221"/>
        <v>7</v>
      </c>
      <c r="BB154">
        <f t="shared" si="167"/>
        <v>7</v>
      </c>
      <c r="BC154">
        <f t="shared" si="168"/>
        <v>7</v>
      </c>
      <c r="BD154">
        <f t="shared" si="169"/>
        <v>7</v>
      </c>
      <c r="BE154">
        <f t="shared" si="170"/>
        <v>7</v>
      </c>
      <c r="BF154">
        <f t="shared" si="171"/>
        <v>7</v>
      </c>
      <c r="BG154">
        <f t="shared" si="172"/>
        <v>7</v>
      </c>
      <c r="BH154">
        <f t="shared" si="173"/>
        <v>7</v>
      </c>
      <c r="BI154">
        <f t="shared" si="174"/>
        <v>7</v>
      </c>
      <c r="BJ154">
        <f t="shared" si="175"/>
        <v>7</v>
      </c>
      <c r="BK154">
        <f t="shared" si="176"/>
        <v>7</v>
      </c>
      <c r="BL154">
        <f t="shared" si="177"/>
        <v>7</v>
      </c>
      <c r="BM154">
        <f t="shared" si="178"/>
        <v>7</v>
      </c>
      <c r="BN154">
        <f t="shared" si="179"/>
        <v>7</v>
      </c>
      <c r="BO154">
        <f t="shared" si="180"/>
        <v>7</v>
      </c>
      <c r="BP154">
        <f t="shared" si="181"/>
        <v>7</v>
      </c>
      <c r="BQ154">
        <f t="shared" si="182"/>
        <v>7</v>
      </c>
      <c r="BR154">
        <f t="shared" si="183"/>
        <v>7</v>
      </c>
      <c r="BS154">
        <f t="shared" si="184"/>
        <v>7</v>
      </c>
      <c r="BT154">
        <f t="shared" si="185"/>
        <v>8</v>
      </c>
      <c r="BU154">
        <f t="shared" si="186"/>
        <v>8</v>
      </c>
      <c r="BV154">
        <f t="shared" si="187"/>
        <v>7</v>
      </c>
      <c r="BW154">
        <f t="shared" si="188"/>
        <v>7</v>
      </c>
      <c r="BX154">
        <f t="shared" si="189"/>
        <v>7</v>
      </c>
      <c r="BZ154" s="52">
        <f t="shared" si="225"/>
        <v>0</v>
      </c>
      <c r="CA154" s="52">
        <f t="shared" si="234"/>
        <v>0</v>
      </c>
      <c r="CB154" s="52">
        <f t="shared" si="234"/>
        <v>0</v>
      </c>
      <c r="CC154" s="52">
        <f t="shared" si="234"/>
        <v>0</v>
      </c>
      <c r="CD154" s="52">
        <f t="shared" si="234"/>
        <v>0</v>
      </c>
      <c r="CE154" s="52">
        <f t="shared" si="234"/>
        <v>0</v>
      </c>
      <c r="CF154" s="52">
        <f t="shared" si="234"/>
        <v>0</v>
      </c>
      <c r="CG154" s="52">
        <f t="shared" si="234"/>
        <v>0</v>
      </c>
      <c r="CH154" s="52">
        <f t="shared" si="234"/>
        <v>0</v>
      </c>
      <c r="CI154" s="52">
        <f t="shared" si="234"/>
        <v>0</v>
      </c>
      <c r="CJ154" s="52">
        <f t="shared" si="234"/>
        <v>0</v>
      </c>
      <c r="CK154" s="52">
        <f t="shared" si="234"/>
        <v>0</v>
      </c>
      <c r="CL154" s="52">
        <f t="shared" si="234"/>
        <v>0</v>
      </c>
      <c r="CM154" s="52">
        <f t="shared" si="234"/>
        <v>0</v>
      </c>
      <c r="CN154" s="52">
        <f t="shared" si="234"/>
        <v>0</v>
      </c>
      <c r="CO154" s="52">
        <f t="shared" si="234"/>
        <v>0</v>
      </c>
      <c r="CP154" s="52">
        <f t="shared" si="234"/>
        <v>0</v>
      </c>
      <c r="CQ154" s="52">
        <f t="shared" si="226"/>
        <v>0</v>
      </c>
      <c r="CR154" s="52">
        <f t="shared" si="227"/>
        <v>0</v>
      </c>
      <c r="CS154" s="52">
        <f t="shared" si="228"/>
        <v>1</v>
      </c>
      <c r="CT154" s="52">
        <f t="shared" si="229"/>
        <v>0</v>
      </c>
      <c r="CU154" s="52">
        <f t="shared" si="230"/>
        <v>-1</v>
      </c>
      <c r="CV154" s="52">
        <f t="shared" si="231"/>
        <v>0</v>
      </c>
      <c r="CW154" s="52">
        <f t="shared" si="232"/>
        <v>0</v>
      </c>
    </row>
    <row r="155" spans="1:102">
      <c r="A155" s="60">
        <v>45077</v>
      </c>
      <c r="B155" s="426">
        <v>54829.4</v>
      </c>
      <c r="C155">
        <v>54738.1</v>
      </c>
      <c r="D155">
        <v>54581.9</v>
      </c>
      <c r="E155">
        <v>53696.9</v>
      </c>
      <c r="F155">
        <v>53852.3</v>
      </c>
      <c r="G155">
        <v>54367.7</v>
      </c>
      <c r="H155">
        <v>54106</v>
      </c>
      <c r="I155">
        <v>54221.8</v>
      </c>
      <c r="J155">
        <v>54211.7</v>
      </c>
      <c r="K155">
        <v>53724.4</v>
      </c>
      <c r="L155">
        <v>52999.8</v>
      </c>
      <c r="M155">
        <v>53662.3</v>
      </c>
      <c r="N155">
        <v>53649.1</v>
      </c>
      <c r="O155">
        <v>53761</v>
      </c>
      <c r="P155">
        <v>54003.3</v>
      </c>
      <c r="Q155">
        <v>54009.2</v>
      </c>
      <c r="R155">
        <v>53724.4</v>
      </c>
      <c r="S155">
        <v>53843.8</v>
      </c>
      <c r="T155">
        <v>54059.4</v>
      </c>
      <c r="U155">
        <v>66125.600000000006</v>
      </c>
      <c r="V155">
        <v>68107.199999999997</v>
      </c>
      <c r="W155">
        <v>54946.3</v>
      </c>
      <c r="X155">
        <v>53874.2</v>
      </c>
      <c r="Y155">
        <v>53765.9</v>
      </c>
      <c r="Z155" s="77">
        <v>1322861.7</v>
      </c>
      <c r="AB155" s="52">
        <f>+IF(AND(B155=0,C155&lt;&gt;0),1,0)</f>
        <v>0</v>
      </c>
      <c r="AC155" s="52">
        <f t="shared" si="145"/>
        <v>0</v>
      </c>
      <c r="AD155" s="52">
        <f t="shared" si="146"/>
        <v>0</v>
      </c>
      <c r="AE155" s="52">
        <f t="shared" si="147"/>
        <v>0</v>
      </c>
      <c r="AF155" s="52">
        <f t="shared" si="148"/>
        <v>0</v>
      </c>
      <c r="AG155" s="52">
        <f t="shared" si="149"/>
        <v>0</v>
      </c>
      <c r="AH155" s="52">
        <f t="shared" si="150"/>
        <v>0</v>
      </c>
      <c r="AI155" s="52">
        <f t="shared" si="151"/>
        <v>0</v>
      </c>
      <c r="AJ155" s="52">
        <f t="shared" si="152"/>
        <v>0</v>
      </c>
      <c r="AK155" s="52">
        <f t="shared" si="153"/>
        <v>0</v>
      </c>
      <c r="AL155" s="52">
        <f t="shared" si="154"/>
        <v>0</v>
      </c>
      <c r="AM155" s="52">
        <f t="shared" si="155"/>
        <v>0</v>
      </c>
      <c r="AN155" s="52">
        <f t="shared" si="156"/>
        <v>0</v>
      </c>
      <c r="AO155" s="52">
        <f t="shared" si="157"/>
        <v>0</v>
      </c>
      <c r="AP155" s="52">
        <f t="shared" si="158"/>
        <v>0</v>
      </c>
      <c r="AQ155" s="52">
        <f t="shared" si="159"/>
        <v>0</v>
      </c>
      <c r="AR155" s="52">
        <f t="shared" si="160"/>
        <v>0</v>
      </c>
      <c r="AS155" s="52">
        <f t="shared" si="161"/>
        <v>0</v>
      </c>
      <c r="AT155" s="52">
        <f t="shared" si="162"/>
        <v>0</v>
      </c>
      <c r="AU155" s="52">
        <f t="shared" si="163"/>
        <v>0</v>
      </c>
      <c r="AV155" s="52">
        <f t="shared" si="164"/>
        <v>0</v>
      </c>
      <c r="AW155" s="52">
        <f t="shared" si="165"/>
        <v>0</v>
      </c>
      <c r="AX155" s="52">
        <f t="shared" si="166"/>
        <v>0</v>
      </c>
      <c r="AY155" s="52">
        <f>+IF(AND(Y155=0,B156&lt;&gt;0),1,0)</f>
        <v>0</v>
      </c>
      <c r="BA155" s="52">
        <f>+ROUNDUP(B155/8800,0)</f>
        <v>7</v>
      </c>
      <c r="BB155" s="52">
        <f t="shared" si="167"/>
        <v>7</v>
      </c>
      <c r="BC155" s="52">
        <f t="shared" si="168"/>
        <v>7</v>
      </c>
      <c r="BD155" s="52">
        <f t="shared" si="169"/>
        <v>7</v>
      </c>
      <c r="BE155" s="52">
        <f t="shared" si="170"/>
        <v>7</v>
      </c>
      <c r="BF155" s="52">
        <f t="shared" si="171"/>
        <v>7</v>
      </c>
      <c r="BG155" s="52">
        <f t="shared" si="172"/>
        <v>7</v>
      </c>
      <c r="BH155" s="52">
        <f t="shared" si="173"/>
        <v>7</v>
      </c>
      <c r="BI155" s="52">
        <f t="shared" si="174"/>
        <v>7</v>
      </c>
      <c r="BJ155" s="52">
        <f t="shared" si="175"/>
        <v>7</v>
      </c>
      <c r="BK155" s="52">
        <f t="shared" si="176"/>
        <v>7</v>
      </c>
      <c r="BL155" s="52">
        <f t="shared" si="177"/>
        <v>7</v>
      </c>
      <c r="BM155" s="52">
        <f t="shared" si="178"/>
        <v>7</v>
      </c>
      <c r="BN155" s="52">
        <f t="shared" si="179"/>
        <v>7</v>
      </c>
      <c r="BO155" s="52">
        <f t="shared" si="180"/>
        <v>7</v>
      </c>
      <c r="BP155" s="52">
        <f t="shared" si="181"/>
        <v>7</v>
      </c>
      <c r="BQ155" s="52">
        <f t="shared" si="182"/>
        <v>7</v>
      </c>
      <c r="BR155" s="52">
        <f t="shared" si="183"/>
        <v>7</v>
      </c>
      <c r="BS155" s="52">
        <f t="shared" si="184"/>
        <v>7</v>
      </c>
      <c r="BT155" s="52">
        <f t="shared" si="185"/>
        <v>8</v>
      </c>
      <c r="BU155" s="52">
        <f t="shared" si="186"/>
        <v>8</v>
      </c>
      <c r="BV155" s="52">
        <f t="shared" si="187"/>
        <v>7</v>
      </c>
      <c r="BW155" s="52">
        <f t="shared" si="188"/>
        <v>7</v>
      </c>
      <c r="BX155" s="52">
        <f t="shared" si="189"/>
        <v>7</v>
      </c>
      <c r="BZ155">
        <f t="shared" si="225"/>
        <v>0</v>
      </c>
      <c r="CA155">
        <f t="shared" si="234"/>
        <v>0</v>
      </c>
      <c r="CB155">
        <f t="shared" si="234"/>
        <v>0</v>
      </c>
      <c r="CC155">
        <f t="shared" si="234"/>
        <v>0</v>
      </c>
      <c r="CD155">
        <f t="shared" si="234"/>
        <v>0</v>
      </c>
      <c r="CE155">
        <f t="shared" si="234"/>
        <v>0</v>
      </c>
      <c r="CF155">
        <f t="shared" si="234"/>
        <v>0</v>
      </c>
      <c r="CG155">
        <f t="shared" si="234"/>
        <v>0</v>
      </c>
      <c r="CH155">
        <f t="shared" si="234"/>
        <v>0</v>
      </c>
      <c r="CI155">
        <f t="shared" si="234"/>
        <v>0</v>
      </c>
      <c r="CJ155">
        <f t="shared" si="234"/>
        <v>0</v>
      </c>
      <c r="CK155">
        <f t="shared" si="234"/>
        <v>0</v>
      </c>
      <c r="CL155">
        <f t="shared" si="234"/>
        <v>0</v>
      </c>
      <c r="CM155">
        <f t="shared" si="234"/>
        <v>0</v>
      </c>
      <c r="CN155">
        <f t="shared" si="234"/>
        <v>0</v>
      </c>
      <c r="CO155">
        <f t="shared" si="234"/>
        <v>0</v>
      </c>
      <c r="CP155">
        <f t="shared" si="234"/>
        <v>0</v>
      </c>
      <c r="CQ155">
        <f t="shared" si="226"/>
        <v>0</v>
      </c>
      <c r="CR155">
        <f t="shared" si="227"/>
        <v>0</v>
      </c>
      <c r="CS155">
        <f t="shared" si="228"/>
        <v>1</v>
      </c>
      <c r="CT155">
        <f t="shared" si="229"/>
        <v>0</v>
      </c>
      <c r="CU155">
        <f t="shared" si="230"/>
        <v>-1</v>
      </c>
      <c r="CV155">
        <f t="shared" si="231"/>
        <v>0</v>
      </c>
      <c r="CW155">
        <f t="shared" si="232"/>
        <v>0</v>
      </c>
    </row>
    <row r="156" spans="1:102">
      <c r="A156" s="60">
        <v>45078</v>
      </c>
      <c r="B156" s="426">
        <v>53926.2</v>
      </c>
      <c r="C156">
        <v>53901.1</v>
      </c>
      <c r="D156">
        <v>53908.9</v>
      </c>
      <c r="E156">
        <v>53907</v>
      </c>
      <c r="F156">
        <v>53709.2</v>
      </c>
      <c r="G156">
        <v>53791.4</v>
      </c>
      <c r="H156">
        <v>53629.7</v>
      </c>
      <c r="I156">
        <v>53656.4</v>
      </c>
      <c r="J156">
        <v>53493.5</v>
      </c>
      <c r="K156">
        <v>53412</v>
      </c>
      <c r="L156">
        <v>54037.3</v>
      </c>
      <c r="M156">
        <v>54047.4</v>
      </c>
      <c r="N156">
        <v>54048.1</v>
      </c>
      <c r="O156">
        <v>54055</v>
      </c>
      <c r="P156">
        <v>54919.7</v>
      </c>
      <c r="Q156">
        <v>53748.9</v>
      </c>
      <c r="R156">
        <v>53785.9</v>
      </c>
      <c r="S156">
        <v>53646.9</v>
      </c>
      <c r="T156">
        <v>67532.800000000003</v>
      </c>
      <c r="U156">
        <v>67860.899999999994</v>
      </c>
      <c r="V156">
        <v>67886.3</v>
      </c>
      <c r="W156">
        <v>59225.9</v>
      </c>
      <c r="X156">
        <v>54603</v>
      </c>
      <c r="Y156">
        <v>54283.3</v>
      </c>
      <c r="Z156" s="77">
        <v>1341016.8</v>
      </c>
      <c r="AB156" s="157">
        <f t="shared" ref="AB156:AB184" si="236">+IF(AND(B156=0,C156&lt;&gt;0),1,0)</f>
        <v>0</v>
      </c>
      <c r="AC156" s="157">
        <f t="shared" si="145"/>
        <v>0</v>
      </c>
      <c r="AD156" s="157">
        <f t="shared" si="146"/>
        <v>0</v>
      </c>
      <c r="AE156" s="157">
        <f t="shared" si="147"/>
        <v>0</v>
      </c>
      <c r="AF156" s="157">
        <f t="shared" si="148"/>
        <v>0</v>
      </c>
      <c r="AG156" s="157">
        <f t="shared" si="149"/>
        <v>0</v>
      </c>
      <c r="AH156" s="157">
        <f t="shared" si="150"/>
        <v>0</v>
      </c>
      <c r="AI156" s="157">
        <f t="shared" si="151"/>
        <v>0</v>
      </c>
      <c r="AJ156" s="157">
        <f t="shared" si="152"/>
        <v>0</v>
      </c>
      <c r="AK156" s="157">
        <f t="shared" si="153"/>
        <v>0</v>
      </c>
      <c r="AL156" s="157">
        <f t="shared" si="154"/>
        <v>0</v>
      </c>
      <c r="AM156" s="157">
        <f t="shared" si="155"/>
        <v>0</v>
      </c>
      <c r="AN156" s="157">
        <f t="shared" si="156"/>
        <v>0</v>
      </c>
      <c r="AO156" s="157">
        <f t="shared" si="157"/>
        <v>0</v>
      </c>
      <c r="AP156" s="157">
        <f t="shared" si="158"/>
        <v>0</v>
      </c>
      <c r="AQ156" s="157">
        <f t="shared" si="159"/>
        <v>0</v>
      </c>
      <c r="AR156" s="157">
        <f t="shared" si="160"/>
        <v>0</v>
      </c>
      <c r="AS156" s="157">
        <f t="shared" si="161"/>
        <v>0</v>
      </c>
      <c r="AT156" s="157">
        <f t="shared" si="162"/>
        <v>0</v>
      </c>
      <c r="AU156" s="157">
        <f t="shared" si="163"/>
        <v>0</v>
      </c>
      <c r="AV156" s="157">
        <f t="shared" si="164"/>
        <v>0</v>
      </c>
      <c r="AW156" s="157">
        <f t="shared" si="165"/>
        <v>0</v>
      </c>
      <c r="AX156" s="157">
        <f t="shared" si="166"/>
        <v>0</v>
      </c>
      <c r="AY156" s="157">
        <f t="shared" ref="AY156:AY184" si="237">+IF(AND(Y156=0,B157&lt;&gt;0),1,0)</f>
        <v>0</v>
      </c>
      <c r="AZ156" s="63">
        <f>+SUM(AB125:AY155)</f>
        <v>0</v>
      </c>
      <c r="BA156" s="54">
        <f t="shared" ref="BA156:BA184" si="238">+ROUNDUP(B156/8800,0)</f>
        <v>7</v>
      </c>
      <c r="BB156" s="54">
        <f t="shared" si="167"/>
        <v>7</v>
      </c>
      <c r="BC156" s="54">
        <f t="shared" si="168"/>
        <v>7</v>
      </c>
      <c r="BD156" s="54">
        <f t="shared" si="169"/>
        <v>7</v>
      </c>
      <c r="BE156" s="54">
        <f t="shared" si="170"/>
        <v>7</v>
      </c>
      <c r="BF156" s="54">
        <f t="shared" si="171"/>
        <v>7</v>
      </c>
      <c r="BG156" s="54">
        <f t="shared" si="172"/>
        <v>7</v>
      </c>
      <c r="BH156" s="54">
        <f t="shared" si="173"/>
        <v>7</v>
      </c>
      <c r="BI156" s="54">
        <f t="shared" si="174"/>
        <v>7</v>
      </c>
      <c r="BJ156" s="54">
        <f t="shared" si="175"/>
        <v>7</v>
      </c>
      <c r="BK156" s="54">
        <f t="shared" si="176"/>
        <v>7</v>
      </c>
      <c r="BL156" s="54">
        <f t="shared" si="177"/>
        <v>7</v>
      </c>
      <c r="BM156" s="54">
        <f t="shared" si="178"/>
        <v>7</v>
      </c>
      <c r="BN156" s="54">
        <f t="shared" si="179"/>
        <v>7</v>
      </c>
      <c r="BO156" s="54">
        <f t="shared" si="180"/>
        <v>7</v>
      </c>
      <c r="BP156" s="54">
        <f t="shared" si="181"/>
        <v>7</v>
      </c>
      <c r="BQ156" s="54">
        <f t="shared" si="182"/>
        <v>7</v>
      </c>
      <c r="BR156" s="54">
        <f t="shared" si="183"/>
        <v>7</v>
      </c>
      <c r="BS156" s="54">
        <f t="shared" si="184"/>
        <v>8</v>
      </c>
      <c r="BT156" s="54">
        <f t="shared" si="185"/>
        <v>8</v>
      </c>
      <c r="BU156" s="54">
        <f t="shared" si="186"/>
        <v>8</v>
      </c>
      <c r="BV156" s="54">
        <f t="shared" si="187"/>
        <v>7</v>
      </c>
      <c r="BW156" s="54">
        <f t="shared" si="188"/>
        <v>7</v>
      </c>
      <c r="BX156" s="54">
        <f t="shared" si="189"/>
        <v>7</v>
      </c>
      <c r="BY156" s="53">
        <f>+SUM(BA126:BX156)</f>
        <v>5422</v>
      </c>
      <c r="BZ156" s="54">
        <f t="shared" si="225"/>
        <v>0</v>
      </c>
      <c r="CA156" s="54">
        <f t="shared" si="234"/>
        <v>0</v>
      </c>
      <c r="CB156" s="54">
        <f t="shared" si="234"/>
        <v>0</v>
      </c>
      <c r="CC156" s="54">
        <f t="shared" si="234"/>
        <v>0</v>
      </c>
      <c r="CD156" s="54">
        <f t="shared" si="234"/>
        <v>0</v>
      </c>
      <c r="CE156" s="54">
        <f t="shared" si="234"/>
        <v>0</v>
      </c>
      <c r="CF156" s="54">
        <f t="shared" si="234"/>
        <v>0</v>
      </c>
      <c r="CG156" s="54">
        <f t="shared" si="234"/>
        <v>0</v>
      </c>
      <c r="CH156" s="54">
        <f t="shared" si="234"/>
        <v>0</v>
      </c>
      <c r="CI156" s="54">
        <f t="shared" si="234"/>
        <v>0</v>
      </c>
      <c r="CJ156" s="54">
        <f t="shared" si="234"/>
        <v>0</v>
      </c>
      <c r="CK156" s="54">
        <f t="shared" si="234"/>
        <v>0</v>
      </c>
      <c r="CL156" s="54">
        <f t="shared" si="234"/>
        <v>0</v>
      </c>
      <c r="CM156" s="54">
        <f t="shared" si="234"/>
        <v>0</v>
      </c>
      <c r="CN156" s="54">
        <f t="shared" si="234"/>
        <v>0</v>
      </c>
      <c r="CO156" s="54">
        <f t="shared" si="234"/>
        <v>0</v>
      </c>
      <c r="CP156" s="54">
        <f t="shared" si="234"/>
        <v>0</v>
      </c>
      <c r="CQ156" s="54">
        <f t="shared" si="226"/>
        <v>0</v>
      </c>
      <c r="CR156" s="54">
        <f t="shared" si="227"/>
        <v>1</v>
      </c>
      <c r="CS156" s="54">
        <f t="shared" si="228"/>
        <v>0</v>
      </c>
      <c r="CT156" s="54">
        <f t="shared" si="229"/>
        <v>0</v>
      </c>
      <c r="CU156" s="54">
        <f t="shared" si="230"/>
        <v>-1</v>
      </c>
      <c r="CV156" s="54">
        <f t="shared" si="231"/>
        <v>0</v>
      </c>
      <c r="CW156" s="54">
        <f t="shared" si="232"/>
        <v>0</v>
      </c>
      <c r="CX156" s="53">
        <f>+SUMIF(BZ126:CW156,"&gt;0")</f>
        <v>56</v>
      </c>
    </row>
    <row r="157" spans="1:102">
      <c r="A157" s="60">
        <v>45079</v>
      </c>
      <c r="B157" s="426">
        <v>54165.599999999999</v>
      </c>
      <c r="C157">
        <v>54328.4</v>
      </c>
      <c r="D157">
        <v>54290.2</v>
      </c>
      <c r="E157">
        <v>54301.1</v>
      </c>
      <c r="F157">
        <v>54521.4</v>
      </c>
      <c r="G157">
        <v>54271.9</v>
      </c>
      <c r="H157">
        <v>53855.7</v>
      </c>
      <c r="I157">
        <v>54152.6</v>
      </c>
      <c r="J157">
        <v>54110.400000000001</v>
      </c>
      <c r="K157">
        <v>53859.1</v>
      </c>
      <c r="L157">
        <v>54150.6</v>
      </c>
      <c r="M157">
        <v>53234.9</v>
      </c>
      <c r="N157">
        <v>52652.9</v>
      </c>
      <c r="O157">
        <v>53732.5</v>
      </c>
      <c r="P157">
        <v>53862</v>
      </c>
      <c r="Q157">
        <v>53961.7</v>
      </c>
      <c r="R157">
        <v>53878.7</v>
      </c>
      <c r="S157">
        <v>52943.8</v>
      </c>
      <c r="T157">
        <v>53232.9</v>
      </c>
      <c r="U157">
        <v>69573.3</v>
      </c>
      <c r="V157">
        <v>69851.899999999994</v>
      </c>
      <c r="W157">
        <v>54797.1</v>
      </c>
      <c r="X157">
        <v>54141.5</v>
      </c>
      <c r="Y157">
        <v>53994.3</v>
      </c>
      <c r="Z157" s="77">
        <v>1325864.5</v>
      </c>
      <c r="AB157" s="52">
        <f t="shared" si="236"/>
        <v>0</v>
      </c>
      <c r="AC157" s="52">
        <f t="shared" si="145"/>
        <v>0</v>
      </c>
      <c r="AD157" s="52">
        <f t="shared" si="146"/>
        <v>0</v>
      </c>
      <c r="AE157" s="52">
        <f t="shared" si="147"/>
        <v>0</v>
      </c>
      <c r="AF157" s="52">
        <f t="shared" si="148"/>
        <v>0</v>
      </c>
      <c r="AG157" s="52">
        <f t="shared" si="149"/>
        <v>0</v>
      </c>
      <c r="AH157" s="52">
        <f t="shared" si="150"/>
        <v>0</v>
      </c>
      <c r="AI157" s="52">
        <f t="shared" si="151"/>
        <v>0</v>
      </c>
      <c r="AJ157" s="52">
        <f t="shared" si="152"/>
        <v>0</v>
      </c>
      <c r="AK157" s="52">
        <f t="shared" si="153"/>
        <v>0</v>
      </c>
      <c r="AL157" s="52">
        <f t="shared" si="154"/>
        <v>0</v>
      </c>
      <c r="AM157" s="52">
        <f t="shared" si="155"/>
        <v>0</v>
      </c>
      <c r="AN157" s="52">
        <f t="shared" si="156"/>
        <v>0</v>
      </c>
      <c r="AO157" s="52">
        <f t="shared" si="157"/>
        <v>0</v>
      </c>
      <c r="AP157" s="52">
        <f t="shared" si="158"/>
        <v>0</v>
      </c>
      <c r="AQ157" s="52">
        <f t="shared" si="159"/>
        <v>0</v>
      </c>
      <c r="AR157" s="52">
        <f t="shared" si="160"/>
        <v>0</v>
      </c>
      <c r="AS157" s="52">
        <f t="shared" si="161"/>
        <v>0</v>
      </c>
      <c r="AT157" s="52">
        <f t="shared" si="162"/>
        <v>0</v>
      </c>
      <c r="AU157" s="52">
        <f t="shared" si="163"/>
        <v>0</v>
      </c>
      <c r="AV157" s="52">
        <f t="shared" si="164"/>
        <v>0</v>
      </c>
      <c r="AW157" s="52">
        <f t="shared" si="165"/>
        <v>0</v>
      </c>
      <c r="AX157" s="52">
        <f t="shared" si="166"/>
        <v>0</v>
      </c>
      <c r="AY157" s="52">
        <f t="shared" si="237"/>
        <v>0</v>
      </c>
      <c r="BA157" s="52">
        <f t="shared" si="238"/>
        <v>7</v>
      </c>
      <c r="BB157" s="52">
        <f t="shared" si="167"/>
        <v>7</v>
      </c>
      <c r="BC157" s="52">
        <f t="shared" si="168"/>
        <v>7</v>
      </c>
      <c r="BD157" s="52">
        <f t="shared" si="169"/>
        <v>7</v>
      </c>
      <c r="BE157" s="52">
        <f t="shared" si="170"/>
        <v>7</v>
      </c>
      <c r="BF157" s="52">
        <f t="shared" si="171"/>
        <v>7</v>
      </c>
      <c r="BG157" s="52">
        <f t="shared" si="172"/>
        <v>7</v>
      </c>
      <c r="BH157" s="52">
        <f t="shared" si="173"/>
        <v>7</v>
      </c>
      <c r="BI157" s="52">
        <f t="shared" si="174"/>
        <v>7</v>
      </c>
      <c r="BJ157" s="52">
        <f t="shared" si="175"/>
        <v>7</v>
      </c>
      <c r="BK157" s="52">
        <f t="shared" si="176"/>
        <v>7</v>
      </c>
      <c r="BL157" s="52">
        <f t="shared" si="177"/>
        <v>7</v>
      </c>
      <c r="BM157" s="52">
        <f t="shared" si="178"/>
        <v>6</v>
      </c>
      <c r="BN157" s="52">
        <f t="shared" si="179"/>
        <v>7</v>
      </c>
      <c r="BO157" s="52">
        <f t="shared" si="180"/>
        <v>7</v>
      </c>
      <c r="BP157" s="52">
        <f t="shared" si="181"/>
        <v>7</v>
      </c>
      <c r="BQ157" s="52">
        <f t="shared" si="182"/>
        <v>7</v>
      </c>
      <c r="BR157" s="52">
        <f t="shared" si="183"/>
        <v>7</v>
      </c>
      <c r="BS157" s="52">
        <f t="shared" si="184"/>
        <v>7</v>
      </c>
      <c r="BT157" s="52">
        <f t="shared" si="185"/>
        <v>8</v>
      </c>
      <c r="BU157" s="52">
        <f t="shared" si="186"/>
        <v>8</v>
      </c>
      <c r="BV157" s="52">
        <f t="shared" si="187"/>
        <v>7</v>
      </c>
      <c r="BW157" s="52">
        <f t="shared" si="188"/>
        <v>7</v>
      </c>
      <c r="BX157" s="52">
        <f t="shared" si="189"/>
        <v>7</v>
      </c>
      <c r="BZ157">
        <f t="shared" si="225"/>
        <v>0</v>
      </c>
      <c r="CA157">
        <f t="shared" si="234"/>
        <v>0</v>
      </c>
      <c r="CB157">
        <f t="shared" si="234"/>
        <v>0</v>
      </c>
      <c r="CC157">
        <f t="shared" si="234"/>
        <v>0</v>
      </c>
      <c r="CD157">
        <f t="shared" si="234"/>
        <v>0</v>
      </c>
      <c r="CE157">
        <f t="shared" si="234"/>
        <v>0</v>
      </c>
      <c r="CF157">
        <f t="shared" si="234"/>
        <v>0</v>
      </c>
      <c r="CG157">
        <f t="shared" si="234"/>
        <v>0</v>
      </c>
      <c r="CH157">
        <f t="shared" si="234"/>
        <v>0</v>
      </c>
      <c r="CI157">
        <f t="shared" si="234"/>
        <v>0</v>
      </c>
      <c r="CJ157">
        <f t="shared" si="234"/>
        <v>0</v>
      </c>
      <c r="CK157">
        <f t="shared" si="234"/>
        <v>0</v>
      </c>
      <c r="CL157">
        <f t="shared" si="234"/>
        <v>-1</v>
      </c>
      <c r="CM157">
        <f t="shared" si="234"/>
        <v>1</v>
      </c>
      <c r="CN157">
        <f t="shared" si="234"/>
        <v>0</v>
      </c>
      <c r="CO157">
        <f t="shared" si="234"/>
        <v>0</v>
      </c>
      <c r="CP157">
        <f t="shared" si="234"/>
        <v>0</v>
      </c>
      <c r="CQ157">
        <f t="shared" si="226"/>
        <v>0</v>
      </c>
      <c r="CR157">
        <f t="shared" si="227"/>
        <v>0</v>
      </c>
      <c r="CS157">
        <f t="shared" si="228"/>
        <v>1</v>
      </c>
      <c r="CT157">
        <f t="shared" si="229"/>
        <v>0</v>
      </c>
      <c r="CU157">
        <f t="shared" si="230"/>
        <v>-1</v>
      </c>
      <c r="CV157">
        <f t="shared" si="231"/>
        <v>0</v>
      </c>
      <c r="CW157">
        <f t="shared" si="232"/>
        <v>0</v>
      </c>
    </row>
    <row r="158" spans="1:102">
      <c r="A158" s="60">
        <v>45080</v>
      </c>
      <c r="B158" s="426">
        <v>54352.1</v>
      </c>
      <c r="C158">
        <v>54476.5</v>
      </c>
      <c r="D158">
        <v>54790.8</v>
      </c>
      <c r="E158">
        <v>54753.4</v>
      </c>
      <c r="F158">
        <v>54704.4</v>
      </c>
      <c r="G158">
        <v>54076.4</v>
      </c>
      <c r="H158">
        <v>52885.5</v>
      </c>
      <c r="I158">
        <v>54391.7</v>
      </c>
      <c r="J158">
        <v>54237.9</v>
      </c>
      <c r="K158">
        <v>54287.7</v>
      </c>
      <c r="L158">
        <v>54017</v>
      </c>
      <c r="M158">
        <v>54190.2</v>
      </c>
      <c r="N158">
        <v>54557.2</v>
      </c>
      <c r="O158">
        <v>54454.9</v>
      </c>
      <c r="P158">
        <v>54341.599999999999</v>
      </c>
      <c r="Q158">
        <v>56511.4</v>
      </c>
      <c r="R158">
        <v>68204.5</v>
      </c>
      <c r="S158">
        <v>68844.2</v>
      </c>
      <c r="T158">
        <v>69220.100000000006</v>
      </c>
      <c r="U158">
        <v>68161.7</v>
      </c>
      <c r="V158">
        <v>68153.100000000006</v>
      </c>
      <c r="W158">
        <v>68179.600000000006</v>
      </c>
      <c r="X158">
        <v>68041.100000000006</v>
      </c>
      <c r="Y158">
        <v>67315.199999999997</v>
      </c>
      <c r="Z158" s="77">
        <v>1417148.2000000002</v>
      </c>
      <c r="AB158">
        <f t="shared" si="236"/>
        <v>0</v>
      </c>
      <c r="AC158">
        <f t="shared" si="145"/>
        <v>0</v>
      </c>
      <c r="AD158">
        <f t="shared" si="146"/>
        <v>0</v>
      </c>
      <c r="AE158">
        <f t="shared" si="147"/>
        <v>0</v>
      </c>
      <c r="AF158">
        <f t="shared" si="148"/>
        <v>0</v>
      </c>
      <c r="AG158">
        <f t="shared" si="149"/>
        <v>0</v>
      </c>
      <c r="AH158">
        <f t="shared" si="150"/>
        <v>0</v>
      </c>
      <c r="AI158">
        <f t="shared" si="151"/>
        <v>0</v>
      </c>
      <c r="AJ158">
        <f t="shared" si="152"/>
        <v>0</v>
      </c>
      <c r="AK158">
        <f t="shared" si="153"/>
        <v>0</v>
      </c>
      <c r="AL158">
        <f t="shared" si="154"/>
        <v>0</v>
      </c>
      <c r="AM158">
        <f t="shared" si="155"/>
        <v>0</v>
      </c>
      <c r="AN158">
        <f t="shared" si="156"/>
        <v>0</v>
      </c>
      <c r="AO158">
        <f t="shared" si="157"/>
        <v>0</v>
      </c>
      <c r="AP158">
        <f t="shared" si="158"/>
        <v>0</v>
      </c>
      <c r="AQ158">
        <f t="shared" si="159"/>
        <v>0</v>
      </c>
      <c r="AR158">
        <f t="shared" si="160"/>
        <v>0</v>
      </c>
      <c r="AS158">
        <f t="shared" si="161"/>
        <v>0</v>
      </c>
      <c r="AT158">
        <f t="shared" si="162"/>
        <v>0</v>
      </c>
      <c r="AU158">
        <f t="shared" si="163"/>
        <v>0</v>
      </c>
      <c r="AV158">
        <f t="shared" si="164"/>
        <v>0</v>
      </c>
      <c r="AW158">
        <f t="shared" si="165"/>
        <v>0</v>
      </c>
      <c r="AX158">
        <f t="shared" si="166"/>
        <v>0</v>
      </c>
      <c r="AY158">
        <f t="shared" si="237"/>
        <v>0</v>
      </c>
      <c r="BA158">
        <f t="shared" si="238"/>
        <v>7</v>
      </c>
      <c r="BB158">
        <f t="shared" si="167"/>
        <v>7</v>
      </c>
      <c r="BC158">
        <f t="shared" si="168"/>
        <v>7</v>
      </c>
      <c r="BD158">
        <f t="shared" si="169"/>
        <v>7</v>
      </c>
      <c r="BE158">
        <f t="shared" si="170"/>
        <v>7</v>
      </c>
      <c r="BF158">
        <f t="shared" si="171"/>
        <v>7</v>
      </c>
      <c r="BG158">
        <f t="shared" si="172"/>
        <v>7</v>
      </c>
      <c r="BH158">
        <f t="shared" si="173"/>
        <v>7</v>
      </c>
      <c r="BI158">
        <f t="shared" si="174"/>
        <v>7</v>
      </c>
      <c r="BJ158">
        <f t="shared" si="175"/>
        <v>7</v>
      </c>
      <c r="BK158">
        <f t="shared" si="176"/>
        <v>7</v>
      </c>
      <c r="BL158">
        <f t="shared" si="177"/>
        <v>7</v>
      </c>
      <c r="BM158">
        <f t="shared" si="178"/>
        <v>7</v>
      </c>
      <c r="BN158">
        <f t="shared" si="179"/>
        <v>7</v>
      </c>
      <c r="BO158">
        <f t="shared" si="180"/>
        <v>7</v>
      </c>
      <c r="BP158">
        <f t="shared" si="181"/>
        <v>7</v>
      </c>
      <c r="BQ158">
        <f t="shared" si="182"/>
        <v>8</v>
      </c>
      <c r="BR158">
        <f t="shared" si="183"/>
        <v>8</v>
      </c>
      <c r="BS158">
        <f t="shared" si="184"/>
        <v>8</v>
      </c>
      <c r="BT158">
        <f t="shared" si="185"/>
        <v>8</v>
      </c>
      <c r="BU158">
        <f t="shared" si="186"/>
        <v>8</v>
      </c>
      <c r="BV158">
        <f t="shared" si="187"/>
        <v>8</v>
      </c>
      <c r="BW158">
        <f t="shared" si="188"/>
        <v>8</v>
      </c>
      <c r="BX158">
        <f t="shared" si="189"/>
        <v>8</v>
      </c>
      <c r="BZ158" s="52">
        <f t="shared" si="225"/>
        <v>0</v>
      </c>
      <c r="CA158" s="52">
        <f t="shared" si="234"/>
        <v>0</v>
      </c>
      <c r="CB158" s="52">
        <f t="shared" si="234"/>
        <v>0</v>
      </c>
      <c r="CC158" s="52">
        <f t="shared" si="234"/>
        <v>0</v>
      </c>
      <c r="CD158" s="52">
        <f t="shared" si="234"/>
        <v>0</v>
      </c>
      <c r="CE158" s="52">
        <f t="shared" si="234"/>
        <v>0</v>
      </c>
      <c r="CF158" s="52">
        <f t="shared" si="234"/>
        <v>0</v>
      </c>
      <c r="CG158" s="52">
        <f t="shared" si="234"/>
        <v>0</v>
      </c>
      <c r="CH158" s="52">
        <f t="shared" si="234"/>
        <v>0</v>
      </c>
      <c r="CI158" s="52">
        <f t="shared" si="234"/>
        <v>0</v>
      </c>
      <c r="CJ158" s="52">
        <f t="shared" si="234"/>
        <v>0</v>
      </c>
      <c r="CK158" s="52">
        <f t="shared" si="234"/>
        <v>0</v>
      </c>
      <c r="CL158" s="52">
        <f t="shared" si="234"/>
        <v>0</v>
      </c>
      <c r="CM158" s="52">
        <f t="shared" si="234"/>
        <v>0</v>
      </c>
      <c r="CN158" s="52">
        <f t="shared" si="234"/>
        <v>0</v>
      </c>
      <c r="CO158" s="52">
        <f t="shared" si="234"/>
        <v>0</v>
      </c>
      <c r="CP158" s="52">
        <f t="shared" si="234"/>
        <v>1</v>
      </c>
      <c r="CQ158" s="52">
        <f t="shared" si="226"/>
        <v>0</v>
      </c>
      <c r="CR158" s="52">
        <f t="shared" si="227"/>
        <v>0</v>
      </c>
      <c r="CS158" s="52">
        <f t="shared" si="228"/>
        <v>0</v>
      </c>
      <c r="CT158" s="52">
        <f t="shared" si="229"/>
        <v>0</v>
      </c>
      <c r="CU158" s="52">
        <f t="shared" si="230"/>
        <v>0</v>
      </c>
      <c r="CV158" s="52">
        <f t="shared" si="231"/>
        <v>0</v>
      </c>
      <c r="CW158" s="52">
        <f t="shared" si="232"/>
        <v>0</v>
      </c>
    </row>
    <row r="159" spans="1:102">
      <c r="A159" s="60">
        <v>45081</v>
      </c>
      <c r="B159" s="426">
        <v>66126.8</v>
      </c>
      <c r="C159">
        <v>53519</v>
      </c>
      <c r="D159">
        <v>53581.5</v>
      </c>
      <c r="E159">
        <v>53561.2</v>
      </c>
      <c r="F159">
        <v>53687.199999999997</v>
      </c>
      <c r="G159">
        <v>53544.5</v>
      </c>
      <c r="H159">
        <v>52782.8</v>
      </c>
      <c r="I159">
        <v>54743.8</v>
      </c>
      <c r="J159">
        <v>53913.599999999999</v>
      </c>
      <c r="K159">
        <v>54327.7</v>
      </c>
      <c r="L159">
        <v>54368.6</v>
      </c>
      <c r="M159">
        <v>54399.7</v>
      </c>
      <c r="N159">
        <v>54359.3</v>
      </c>
      <c r="O159">
        <v>54406.5</v>
      </c>
      <c r="P159">
        <v>54426.9</v>
      </c>
      <c r="Q159">
        <v>54497.2</v>
      </c>
      <c r="R159">
        <v>54614.5</v>
      </c>
      <c r="S159">
        <v>54332.800000000003</v>
      </c>
      <c r="T159">
        <v>54983.7</v>
      </c>
      <c r="U159">
        <v>60207.8</v>
      </c>
      <c r="V159">
        <v>68280.399999999994</v>
      </c>
      <c r="W159">
        <v>54380.7</v>
      </c>
      <c r="X159">
        <v>53456.800000000003</v>
      </c>
      <c r="Y159">
        <v>53658.9</v>
      </c>
      <c r="Z159" s="77">
        <v>1330161.8999999997</v>
      </c>
      <c r="AB159" s="52">
        <f t="shared" si="236"/>
        <v>0</v>
      </c>
      <c r="AC159" s="52">
        <f t="shared" si="145"/>
        <v>0</v>
      </c>
      <c r="AD159" s="52">
        <f t="shared" si="146"/>
        <v>0</v>
      </c>
      <c r="AE159" s="52">
        <f t="shared" si="147"/>
        <v>0</v>
      </c>
      <c r="AF159" s="52">
        <f t="shared" si="148"/>
        <v>0</v>
      </c>
      <c r="AG159" s="52">
        <f t="shared" si="149"/>
        <v>0</v>
      </c>
      <c r="AH159" s="52">
        <f t="shared" si="150"/>
        <v>0</v>
      </c>
      <c r="AI159" s="52">
        <f t="shared" si="151"/>
        <v>0</v>
      </c>
      <c r="AJ159" s="52">
        <f t="shared" si="152"/>
        <v>0</v>
      </c>
      <c r="AK159" s="52">
        <f t="shared" si="153"/>
        <v>0</v>
      </c>
      <c r="AL159" s="52">
        <f t="shared" si="154"/>
        <v>0</v>
      </c>
      <c r="AM159" s="52">
        <f t="shared" si="155"/>
        <v>0</v>
      </c>
      <c r="AN159" s="52">
        <f t="shared" si="156"/>
        <v>0</v>
      </c>
      <c r="AO159" s="52">
        <f t="shared" si="157"/>
        <v>0</v>
      </c>
      <c r="AP159" s="52">
        <f t="shared" si="158"/>
        <v>0</v>
      </c>
      <c r="AQ159" s="52">
        <f t="shared" si="159"/>
        <v>0</v>
      </c>
      <c r="AR159" s="52">
        <f t="shared" si="160"/>
        <v>0</v>
      </c>
      <c r="AS159" s="52">
        <f t="shared" si="161"/>
        <v>0</v>
      </c>
      <c r="AT159" s="52">
        <f t="shared" si="162"/>
        <v>0</v>
      </c>
      <c r="AU159" s="52">
        <f t="shared" si="163"/>
        <v>0</v>
      </c>
      <c r="AV159" s="52">
        <f t="shared" si="164"/>
        <v>0</v>
      </c>
      <c r="AW159" s="52">
        <f t="shared" si="165"/>
        <v>0</v>
      </c>
      <c r="AX159" s="52">
        <f t="shared" si="166"/>
        <v>0</v>
      </c>
      <c r="AY159" s="52">
        <f t="shared" si="237"/>
        <v>0</v>
      </c>
      <c r="BA159" s="52">
        <f t="shared" si="238"/>
        <v>8</v>
      </c>
      <c r="BB159" s="52">
        <f t="shared" si="167"/>
        <v>7</v>
      </c>
      <c r="BC159" s="52">
        <f t="shared" si="168"/>
        <v>7</v>
      </c>
      <c r="BD159" s="52">
        <f t="shared" si="169"/>
        <v>7</v>
      </c>
      <c r="BE159" s="52">
        <f t="shared" si="170"/>
        <v>7</v>
      </c>
      <c r="BF159" s="52">
        <f t="shared" si="171"/>
        <v>7</v>
      </c>
      <c r="BG159" s="52">
        <f t="shared" si="172"/>
        <v>6</v>
      </c>
      <c r="BH159" s="52">
        <f t="shared" si="173"/>
        <v>7</v>
      </c>
      <c r="BI159" s="52">
        <f t="shared" si="174"/>
        <v>7</v>
      </c>
      <c r="BJ159" s="52">
        <f t="shared" si="175"/>
        <v>7</v>
      </c>
      <c r="BK159" s="52">
        <f t="shared" si="176"/>
        <v>7</v>
      </c>
      <c r="BL159" s="52">
        <f t="shared" si="177"/>
        <v>7</v>
      </c>
      <c r="BM159" s="52">
        <f t="shared" si="178"/>
        <v>7</v>
      </c>
      <c r="BN159" s="52">
        <f t="shared" si="179"/>
        <v>7</v>
      </c>
      <c r="BO159" s="52">
        <f t="shared" si="180"/>
        <v>7</v>
      </c>
      <c r="BP159" s="52">
        <f t="shared" si="181"/>
        <v>7</v>
      </c>
      <c r="BQ159" s="52">
        <f t="shared" si="182"/>
        <v>7</v>
      </c>
      <c r="BR159" s="52">
        <f t="shared" si="183"/>
        <v>7</v>
      </c>
      <c r="BS159" s="52">
        <f t="shared" si="184"/>
        <v>7</v>
      </c>
      <c r="BT159" s="52">
        <f t="shared" si="185"/>
        <v>7</v>
      </c>
      <c r="BU159" s="52">
        <f t="shared" si="186"/>
        <v>8</v>
      </c>
      <c r="BV159" s="52">
        <f t="shared" si="187"/>
        <v>7</v>
      </c>
      <c r="BW159" s="52">
        <f t="shared" si="188"/>
        <v>7</v>
      </c>
      <c r="BX159" s="52">
        <f t="shared" si="189"/>
        <v>7</v>
      </c>
      <c r="BZ159">
        <f t="shared" si="225"/>
        <v>0</v>
      </c>
      <c r="CA159">
        <f t="shared" si="234"/>
        <v>-1</v>
      </c>
      <c r="CB159">
        <f t="shared" si="234"/>
        <v>0</v>
      </c>
      <c r="CC159">
        <f t="shared" si="234"/>
        <v>0</v>
      </c>
      <c r="CD159">
        <f t="shared" si="234"/>
        <v>0</v>
      </c>
      <c r="CE159">
        <f t="shared" si="234"/>
        <v>0</v>
      </c>
      <c r="CF159">
        <f t="shared" si="234"/>
        <v>-1</v>
      </c>
      <c r="CG159">
        <f t="shared" si="234"/>
        <v>1</v>
      </c>
      <c r="CH159">
        <f t="shared" si="234"/>
        <v>0</v>
      </c>
      <c r="CI159">
        <f t="shared" si="234"/>
        <v>0</v>
      </c>
      <c r="CJ159">
        <f t="shared" si="234"/>
        <v>0</v>
      </c>
      <c r="CK159">
        <f t="shared" si="234"/>
        <v>0</v>
      </c>
      <c r="CL159">
        <f t="shared" si="234"/>
        <v>0</v>
      </c>
      <c r="CM159">
        <f t="shared" si="234"/>
        <v>0</v>
      </c>
      <c r="CN159">
        <f t="shared" si="234"/>
        <v>0</v>
      </c>
      <c r="CO159">
        <f t="shared" si="234"/>
        <v>0</v>
      </c>
      <c r="CP159">
        <f t="shared" si="234"/>
        <v>0</v>
      </c>
      <c r="CQ159">
        <f t="shared" si="226"/>
        <v>0</v>
      </c>
      <c r="CR159">
        <f t="shared" si="227"/>
        <v>0</v>
      </c>
      <c r="CS159">
        <f t="shared" si="228"/>
        <v>0</v>
      </c>
      <c r="CT159">
        <f t="shared" si="229"/>
        <v>1</v>
      </c>
      <c r="CU159">
        <f t="shared" si="230"/>
        <v>-1</v>
      </c>
      <c r="CV159">
        <f t="shared" si="231"/>
        <v>0</v>
      </c>
      <c r="CW159">
        <f t="shared" si="232"/>
        <v>0</v>
      </c>
    </row>
    <row r="160" spans="1:102">
      <c r="A160" s="60">
        <v>45082</v>
      </c>
      <c r="B160" s="426">
        <v>52937</v>
      </c>
      <c r="C160">
        <v>54022.7</v>
      </c>
      <c r="D160">
        <v>54525.2</v>
      </c>
      <c r="E160">
        <v>54524.2</v>
      </c>
      <c r="F160">
        <v>54665.5</v>
      </c>
      <c r="G160">
        <v>54785.8</v>
      </c>
      <c r="H160">
        <v>53389.4</v>
      </c>
      <c r="I160">
        <v>53588</v>
      </c>
      <c r="J160">
        <v>54559.4</v>
      </c>
      <c r="K160">
        <v>54521.9</v>
      </c>
      <c r="L160">
        <v>54630.7</v>
      </c>
      <c r="M160">
        <v>54517.599999999999</v>
      </c>
      <c r="N160">
        <v>54549</v>
      </c>
      <c r="O160">
        <v>54486.400000000001</v>
      </c>
      <c r="P160">
        <v>54552.1</v>
      </c>
      <c r="Q160">
        <v>54502.8</v>
      </c>
      <c r="R160">
        <v>54344.7</v>
      </c>
      <c r="S160">
        <v>54324.2</v>
      </c>
      <c r="T160">
        <v>60916.3</v>
      </c>
      <c r="U160">
        <v>67757.5</v>
      </c>
      <c r="V160">
        <v>68225.8</v>
      </c>
      <c r="W160">
        <v>55318.2</v>
      </c>
      <c r="X160">
        <v>54158.9</v>
      </c>
      <c r="Y160">
        <v>54293.3</v>
      </c>
      <c r="Z160" s="77">
        <v>1338096.5999999999</v>
      </c>
      <c r="AB160">
        <f t="shared" si="236"/>
        <v>0</v>
      </c>
      <c r="AC160">
        <f t="shared" si="145"/>
        <v>0</v>
      </c>
      <c r="AD160">
        <f t="shared" si="146"/>
        <v>0</v>
      </c>
      <c r="AE160">
        <f t="shared" si="147"/>
        <v>0</v>
      </c>
      <c r="AF160">
        <f t="shared" si="148"/>
        <v>0</v>
      </c>
      <c r="AG160">
        <f t="shared" si="149"/>
        <v>0</v>
      </c>
      <c r="AH160">
        <f t="shared" si="150"/>
        <v>0</v>
      </c>
      <c r="AI160">
        <f t="shared" si="151"/>
        <v>0</v>
      </c>
      <c r="AJ160">
        <f t="shared" si="152"/>
        <v>0</v>
      </c>
      <c r="AK160">
        <f t="shared" si="153"/>
        <v>0</v>
      </c>
      <c r="AL160">
        <f t="shared" si="154"/>
        <v>0</v>
      </c>
      <c r="AM160">
        <f t="shared" si="155"/>
        <v>0</v>
      </c>
      <c r="AN160">
        <f t="shared" si="156"/>
        <v>0</v>
      </c>
      <c r="AO160">
        <f t="shared" si="157"/>
        <v>0</v>
      </c>
      <c r="AP160">
        <f t="shared" si="158"/>
        <v>0</v>
      </c>
      <c r="AQ160">
        <f t="shared" si="159"/>
        <v>0</v>
      </c>
      <c r="AR160">
        <f t="shared" si="160"/>
        <v>0</v>
      </c>
      <c r="AS160">
        <f t="shared" si="161"/>
        <v>0</v>
      </c>
      <c r="AT160">
        <f t="shared" si="162"/>
        <v>0</v>
      </c>
      <c r="AU160">
        <f t="shared" si="163"/>
        <v>0</v>
      </c>
      <c r="AV160">
        <f t="shared" si="164"/>
        <v>0</v>
      </c>
      <c r="AW160">
        <f t="shared" si="165"/>
        <v>0</v>
      </c>
      <c r="AX160">
        <f t="shared" si="166"/>
        <v>0</v>
      </c>
      <c r="AY160">
        <f t="shared" si="237"/>
        <v>0</v>
      </c>
      <c r="BA160">
        <f t="shared" si="238"/>
        <v>7</v>
      </c>
      <c r="BB160">
        <f t="shared" si="167"/>
        <v>7</v>
      </c>
      <c r="BC160">
        <f t="shared" si="168"/>
        <v>7</v>
      </c>
      <c r="BD160">
        <f t="shared" si="169"/>
        <v>7</v>
      </c>
      <c r="BE160">
        <f t="shared" si="170"/>
        <v>7</v>
      </c>
      <c r="BF160">
        <f t="shared" si="171"/>
        <v>7</v>
      </c>
      <c r="BG160">
        <f t="shared" si="172"/>
        <v>7</v>
      </c>
      <c r="BH160">
        <f t="shared" si="173"/>
        <v>7</v>
      </c>
      <c r="BI160">
        <f t="shared" si="174"/>
        <v>7</v>
      </c>
      <c r="BJ160">
        <f t="shared" si="175"/>
        <v>7</v>
      </c>
      <c r="BK160">
        <f t="shared" si="176"/>
        <v>7</v>
      </c>
      <c r="BL160">
        <f t="shared" si="177"/>
        <v>7</v>
      </c>
      <c r="BM160">
        <f t="shared" si="178"/>
        <v>7</v>
      </c>
      <c r="BN160">
        <f t="shared" si="179"/>
        <v>7</v>
      </c>
      <c r="BO160">
        <f t="shared" si="180"/>
        <v>7</v>
      </c>
      <c r="BP160">
        <f t="shared" si="181"/>
        <v>7</v>
      </c>
      <c r="BQ160">
        <f t="shared" si="182"/>
        <v>7</v>
      </c>
      <c r="BR160">
        <f t="shared" si="183"/>
        <v>7</v>
      </c>
      <c r="BS160">
        <f t="shared" si="184"/>
        <v>7</v>
      </c>
      <c r="BT160">
        <f t="shared" si="185"/>
        <v>8</v>
      </c>
      <c r="BU160">
        <f t="shared" si="186"/>
        <v>8</v>
      </c>
      <c r="BV160">
        <f t="shared" si="187"/>
        <v>7</v>
      </c>
      <c r="BW160">
        <f t="shared" si="188"/>
        <v>7</v>
      </c>
      <c r="BX160">
        <f t="shared" si="189"/>
        <v>7</v>
      </c>
      <c r="BZ160" s="52">
        <f t="shared" si="225"/>
        <v>0</v>
      </c>
      <c r="CA160" s="52">
        <f t="shared" si="234"/>
        <v>0</v>
      </c>
      <c r="CB160" s="52">
        <f t="shared" si="234"/>
        <v>0</v>
      </c>
      <c r="CC160" s="52">
        <f t="shared" si="234"/>
        <v>0</v>
      </c>
      <c r="CD160" s="52">
        <f t="shared" si="234"/>
        <v>0</v>
      </c>
      <c r="CE160" s="52">
        <f t="shared" si="234"/>
        <v>0</v>
      </c>
      <c r="CF160" s="52">
        <f t="shared" si="234"/>
        <v>0</v>
      </c>
      <c r="CG160" s="52">
        <f t="shared" si="234"/>
        <v>0</v>
      </c>
      <c r="CH160" s="52">
        <f t="shared" si="234"/>
        <v>0</v>
      </c>
      <c r="CI160" s="52">
        <f t="shared" si="234"/>
        <v>0</v>
      </c>
      <c r="CJ160" s="52">
        <f t="shared" si="234"/>
        <v>0</v>
      </c>
      <c r="CK160" s="52">
        <f t="shared" si="234"/>
        <v>0</v>
      </c>
      <c r="CL160" s="52">
        <f t="shared" si="234"/>
        <v>0</v>
      </c>
      <c r="CM160" s="52">
        <f t="shared" si="234"/>
        <v>0</v>
      </c>
      <c r="CN160" s="52">
        <f t="shared" si="234"/>
        <v>0</v>
      </c>
      <c r="CO160" s="52">
        <f t="shared" si="234"/>
        <v>0</v>
      </c>
      <c r="CP160" s="52">
        <f t="shared" si="234"/>
        <v>0</v>
      </c>
      <c r="CQ160" s="52">
        <f t="shared" si="226"/>
        <v>0</v>
      </c>
      <c r="CR160" s="52">
        <f t="shared" si="227"/>
        <v>0</v>
      </c>
      <c r="CS160" s="52">
        <f t="shared" si="228"/>
        <v>1</v>
      </c>
      <c r="CT160" s="52">
        <f t="shared" si="229"/>
        <v>0</v>
      </c>
      <c r="CU160" s="52">
        <f t="shared" si="230"/>
        <v>-1</v>
      </c>
      <c r="CV160" s="52">
        <f t="shared" si="231"/>
        <v>0</v>
      </c>
      <c r="CW160" s="52">
        <f t="shared" si="232"/>
        <v>0</v>
      </c>
    </row>
    <row r="161" spans="1:101">
      <c r="A161" s="60">
        <v>45083</v>
      </c>
      <c r="B161" s="426">
        <v>54109.9</v>
      </c>
      <c r="C161">
        <v>54352.4</v>
      </c>
      <c r="D161">
        <v>54122.1</v>
      </c>
      <c r="E161">
        <v>54185.4</v>
      </c>
      <c r="F161">
        <v>53814.400000000001</v>
      </c>
      <c r="G161">
        <v>53834.7</v>
      </c>
      <c r="H161">
        <v>53690.3</v>
      </c>
      <c r="I161">
        <v>53470.3</v>
      </c>
      <c r="J161">
        <v>53633.5</v>
      </c>
      <c r="K161">
        <v>54447.8</v>
      </c>
      <c r="L161">
        <v>54658.400000000001</v>
      </c>
      <c r="M161">
        <v>54529.9</v>
      </c>
      <c r="N161">
        <v>54697.3</v>
      </c>
      <c r="O161">
        <v>54632.1</v>
      </c>
      <c r="P161">
        <v>54380.1</v>
      </c>
      <c r="Q161">
        <v>54291.3</v>
      </c>
      <c r="R161">
        <v>54176.3</v>
      </c>
      <c r="S161">
        <v>54368.6</v>
      </c>
      <c r="T161">
        <v>54390.7</v>
      </c>
      <c r="U161">
        <v>61093.7</v>
      </c>
      <c r="V161">
        <v>68504.100000000006</v>
      </c>
      <c r="W161">
        <v>54947.9</v>
      </c>
      <c r="X161">
        <v>53148.7</v>
      </c>
      <c r="Y161">
        <v>54021.9</v>
      </c>
      <c r="Z161" s="77">
        <v>1321501.8</v>
      </c>
      <c r="AB161" s="52">
        <f t="shared" si="236"/>
        <v>0</v>
      </c>
      <c r="AC161" s="52">
        <f t="shared" si="145"/>
        <v>0</v>
      </c>
      <c r="AD161" s="52">
        <f t="shared" si="146"/>
        <v>0</v>
      </c>
      <c r="AE161" s="52">
        <f t="shared" si="147"/>
        <v>0</v>
      </c>
      <c r="AF161" s="52">
        <f t="shared" si="148"/>
        <v>0</v>
      </c>
      <c r="AG161" s="52">
        <f t="shared" si="149"/>
        <v>0</v>
      </c>
      <c r="AH161" s="52">
        <f t="shared" si="150"/>
        <v>0</v>
      </c>
      <c r="AI161" s="52">
        <f t="shared" si="151"/>
        <v>0</v>
      </c>
      <c r="AJ161" s="52">
        <f t="shared" si="152"/>
        <v>0</v>
      </c>
      <c r="AK161" s="52">
        <f t="shared" si="153"/>
        <v>0</v>
      </c>
      <c r="AL161" s="52">
        <f t="shared" si="154"/>
        <v>0</v>
      </c>
      <c r="AM161" s="52">
        <f t="shared" si="155"/>
        <v>0</v>
      </c>
      <c r="AN161" s="52">
        <f t="shared" si="156"/>
        <v>0</v>
      </c>
      <c r="AO161" s="52">
        <f t="shared" si="157"/>
        <v>0</v>
      </c>
      <c r="AP161" s="52">
        <f t="shared" si="158"/>
        <v>0</v>
      </c>
      <c r="AQ161" s="52">
        <f t="shared" si="159"/>
        <v>0</v>
      </c>
      <c r="AR161" s="52">
        <f t="shared" si="160"/>
        <v>0</v>
      </c>
      <c r="AS161" s="52">
        <f t="shared" si="161"/>
        <v>0</v>
      </c>
      <c r="AT161" s="52">
        <f t="shared" si="162"/>
        <v>0</v>
      </c>
      <c r="AU161" s="52">
        <f t="shared" si="163"/>
        <v>0</v>
      </c>
      <c r="AV161" s="52">
        <f t="shared" si="164"/>
        <v>0</v>
      </c>
      <c r="AW161" s="52">
        <f t="shared" si="165"/>
        <v>0</v>
      </c>
      <c r="AX161" s="52">
        <f t="shared" si="166"/>
        <v>0</v>
      </c>
      <c r="AY161" s="52">
        <f t="shared" si="237"/>
        <v>0</v>
      </c>
      <c r="BA161" s="52">
        <f t="shared" si="238"/>
        <v>7</v>
      </c>
      <c r="BB161" s="52">
        <f t="shared" si="167"/>
        <v>7</v>
      </c>
      <c r="BC161" s="52">
        <f t="shared" si="168"/>
        <v>7</v>
      </c>
      <c r="BD161" s="52">
        <f t="shared" si="169"/>
        <v>7</v>
      </c>
      <c r="BE161" s="52">
        <f t="shared" si="170"/>
        <v>7</v>
      </c>
      <c r="BF161" s="52">
        <f t="shared" si="171"/>
        <v>7</v>
      </c>
      <c r="BG161" s="52">
        <f t="shared" si="172"/>
        <v>7</v>
      </c>
      <c r="BH161" s="52">
        <f t="shared" si="173"/>
        <v>7</v>
      </c>
      <c r="BI161" s="52">
        <f t="shared" si="174"/>
        <v>7</v>
      </c>
      <c r="BJ161" s="52">
        <f t="shared" si="175"/>
        <v>7</v>
      </c>
      <c r="BK161" s="52">
        <f t="shared" si="176"/>
        <v>7</v>
      </c>
      <c r="BL161" s="52">
        <f t="shared" si="177"/>
        <v>7</v>
      </c>
      <c r="BM161" s="52">
        <f t="shared" si="178"/>
        <v>7</v>
      </c>
      <c r="BN161" s="52">
        <f t="shared" si="179"/>
        <v>7</v>
      </c>
      <c r="BO161" s="52">
        <f t="shared" si="180"/>
        <v>7</v>
      </c>
      <c r="BP161" s="52">
        <f t="shared" si="181"/>
        <v>7</v>
      </c>
      <c r="BQ161" s="52">
        <f t="shared" si="182"/>
        <v>7</v>
      </c>
      <c r="BR161" s="52">
        <f t="shared" si="183"/>
        <v>7</v>
      </c>
      <c r="BS161" s="52">
        <f t="shared" si="184"/>
        <v>7</v>
      </c>
      <c r="BT161" s="52">
        <f t="shared" si="185"/>
        <v>7</v>
      </c>
      <c r="BU161" s="52">
        <f t="shared" si="186"/>
        <v>8</v>
      </c>
      <c r="BV161" s="52">
        <f t="shared" si="187"/>
        <v>7</v>
      </c>
      <c r="BW161" s="52">
        <f t="shared" si="188"/>
        <v>7</v>
      </c>
      <c r="BX161" s="52">
        <f t="shared" si="189"/>
        <v>7</v>
      </c>
      <c r="BZ161">
        <f t="shared" si="225"/>
        <v>0</v>
      </c>
      <c r="CA161">
        <f t="shared" si="234"/>
        <v>0</v>
      </c>
      <c r="CB161">
        <f t="shared" si="234"/>
        <v>0</v>
      </c>
      <c r="CC161">
        <f t="shared" si="234"/>
        <v>0</v>
      </c>
      <c r="CD161">
        <f t="shared" si="234"/>
        <v>0</v>
      </c>
      <c r="CE161">
        <f t="shared" si="234"/>
        <v>0</v>
      </c>
      <c r="CF161">
        <f t="shared" si="234"/>
        <v>0</v>
      </c>
      <c r="CG161">
        <f t="shared" si="234"/>
        <v>0</v>
      </c>
      <c r="CH161">
        <f t="shared" si="234"/>
        <v>0</v>
      </c>
      <c r="CI161">
        <f t="shared" si="234"/>
        <v>0</v>
      </c>
      <c r="CJ161">
        <f t="shared" si="234"/>
        <v>0</v>
      </c>
      <c r="CK161">
        <f t="shared" si="234"/>
        <v>0</v>
      </c>
      <c r="CL161">
        <f t="shared" si="234"/>
        <v>0</v>
      </c>
      <c r="CM161">
        <f t="shared" si="234"/>
        <v>0</v>
      </c>
      <c r="CN161">
        <f t="shared" si="234"/>
        <v>0</v>
      </c>
      <c r="CO161">
        <f t="shared" si="234"/>
        <v>0</v>
      </c>
      <c r="CP161">
        <f t="shared" si="234"/>
        <v>0</v>
      </c>
      <c r="CQ161">
        <f t="shared" si="226"/>
        <v>0</v>
      </c>
      <c r="CR161">
        <f t="shared" si="227"/>
        <v>0</v>
      </c>
      <c r="CS161">
        <f t="shared" si="228"/>
        <v>0</v>
      </c>
      <c r="CT161">
        <f t="shared" si="229"/>
        <v>1</v>
      </c>
      <c r="CU161">
        <f t="shared" si="230"/>
        <v>-1</v>
      </c>
      <c r="CV161">
        <f t="shared" si="231"/>
        <v>0</v>
      </c>
      <c r="CW161">
        <f t="shared" si="232"/>
        <v>0</v>
      </c>
    </row>
    <row r="162" spans="1:101">
      <c r="A162" s="60">
        <v>45084</v>
      </c>
      <c r="B162" s="426">
        <v>53617.3</v>
      </c>
      <c r="C162">
        <v>54422.400000000001</v>
      </c>
      <c r="D162">
        <v>54460</v>
      </c>
      <c r="E162">
        <v>54354.2</v>
      </c>
      <c r="F162">
        <v>54597.9</v>
      </c>
      <c r="G162">
        <v>53887.9</v>
      </c>
      <c r="H162">
        <v>54046.1</v>
      </c>
      <c r="I162">
        <v>54832.5</v>
      </c>
      <c r="J162">
        <v>54821.1</v>
      </c>
      <c r="K162">
        <v>54812.800000000003</v>
      </c>
      <c r="L162">
        <v>54811.9</v>
      </c>
      <c r="M162">
        <v>54862.7</v>
      </c>
      <c r="N162">
        <v>68724.100000000006</v>
      </c>
      <c r="O162">
        <v>69372.5</v>
      </c>
      <c r="P162">
        <v>69326.8</v>
      </c>
      <c r="Q162">
        <v>70012.5</v>
      </c>
      <c r="R162">
        <v>55453</v>
      </c>
      <c r="S162">
        <v>53847.7</v>
      </c>
      <c r="T162">
        <v>56472.6</v>
      </c>
      <c r="U162">
        <v>56144.6</v>
      </c>
      <c r="V162">
        <v>68068.800000000003</v>
      </c>
      <c r="W162">
        <v>55070.6</v>
      </c>
      <c r="X162">
        <v>53972.2</v>
      </c>
      <c r="Y162">
        <v>53718.3</v>
      </c>
      <c r="Z162" s="77">
        <v>1383710.5000000002</v>
      </c>
      <c r="AB162">
        <f t="shared" si="236"/>
        <v>0</v>
      </c>
      <c r="AC162">
        <f t="shared" si="145"/>
        <v>0</v>
      </c>
      <c r="AD162">
        <f t="shared" si="146"/>
        <v>0</v>
      </c>
      <c r="AE162">
        <f t="shared" si="147"/>
        <v>0</v>
      </c>
      <c r="AF162">
        <f t="shared" si="148"/>
        <v>0</v>
      </c>
      <c r="AG162">
        <f t="shared" si="149"/>
        <v>0</v>
      </c>
      <c r="AH162">
        <f t="shared" si="150"/>
        <v>0</v>
      </c>
      <c r="AI162">
        <f t="shared" si="151"/>
        <v>0</v>
      </c>
      <c r="AJ162">
        <f t="shared" si="152"/>
        <v>0</v>
      </c>
      <c r="AK162">
        <f t="shared" si="153"/>
        <v>0</v>
      </c>
      <c r="AL162">
        <f t="shared" si="154"/>
        <v>0</v>
      </c>
      <c r="AM162">
        <f t="shared" si="155"/>
        <v>0</v>
      </c>
      <c r="AN162">
        <f t="shared" si="156"/>
        <v>0</v>
      </c>
      <c r="AO162">
        <f t="shared" si="157"/>
        <v>0</v>
      </c>
      <c r="AP162">
        <f t="shared" si="158"/>
        <v>0</v>
      </c>
      <c r="AQ162">
        <f t="shared" si="159"/>
        <v>0</v>
      </c>
      <c r="AR162">
        <f t="shared" si="160"/>
        <v>0</v>
      </c>
      <c r="AS162">
        <f t="shared" si="161"/>
        <v>0</v>
      </c>
      <c r="AT162">
        <f t="shared" si="162"/>
        <v>0</v>
      </c>
      <c r="AU162">
        <f t="shared" si="163"/>
        <v>0</v>
      </c>
      <c r="AV162">
        <f t="shared" si="164"/>
        <v>0</v>
      </c>
      <c r="AW162">
        <f t="shared" si="165"/>
        <v>0</v>
      </c>
      <c r="AX162">
        <f t="shared" si="166"/>
        <v>0</v>
      </c>
      <c r="AY162">
        <f t="shared" si="237"/>
        <v>0</v>
      </c>
      <c r="BA162">
        <f t="shared" si="238"/>
        <v>7</v>
      </c>
      <c r="BB162">
        <f t="shared" si="167"/>
        <v>7</v>
      </c>
      <c r="BC162">
        <f t="shared" si="168"/>
        <v>7</v>
      </c>
      <c r="BD162">
        <f t="shared" si="169"/>
        <v>7</v>
      </c>
      <c r="BE162">
        <f t="shared" si="170"/>
        <v>7</v>
      </c>
      <c r="BF162">
        <f t="shared" si="171"/>
        <v>7</v>
      </c>
      <c r="BG162">
        <f t="shared" si="172"/>
        <v>7</v>
      </c>
      <c r="BH162">
        <f t="shared" si="173"/>
        <v>7</v>
      </c>
      <c r="BI162">
        <f t="shared" si="174"/>
        <v>7</v>
      </c>
      <c r="BJ162">
        <f t="shared" si="175"/>
        <v>7</v>
      </c>
      <c r="BK162">
        <f t="shared" si="176"/>
        <v>7</v>
      </c>
      <c r="BL162">
        <f t="shared" si="177"/>
        <v>7</v>
      </c>
      <c r="BM162">
        <f t="shared" si="178"/>
        <v>8</v>
      </c>
      <c r="BN162">
        <f t="shared" si="179"/>
        <v>8</v>
      </c>
      <c r="BO162">
        <f t="shared" si="180"/>
        <v>8</v>
      </c>
      <c r="BP162">
        <f t="shared" si="181"/>
        <v>8</v>
      </c>
      <c r="BQ162">
        <f t="shared" si="182"/>
        <v>7</v>
      </c>
      <c r="BR162">
        <f t="shared" si="183"/>
        <v>7</v>
      </c>
      <c r="BS162">
        <f t="shared" si="184"/>
        <v>7</v>
      </c>
      <c r="BT162">
        <f t="shared" si="185"/>
        <v>7</v>
      </c>
      <c r="BU162">
        <f t="shared" si="186"/>
        <v>8</v>
      </c>
      <c r="BV162">
        <f t="shared" si="187"/>
        <v>7</v>
      </c>
      <c r="BW162">
        <f t="shared" si="188"/>
        <v>7</v>
      </c>
      <c r="BX162">
        <f t="shared" si="189"/>
        <v>7</v>
      </c>
      <c r="BZ162" s="52">
        <f t="shared" si="225"/>
        <v>0</v>
      </c>
      <c r="CA162" s="52">
        <f t="shared" si="234"/>
        <v>0</v>
      </c>
      <c r="CB162" s="52">
        <f t="shared" si="234"/>
        <v>0</v>
      </c>
      <c r="CC162" s="52">
        <f t="shared" si="234"/>
        <v>0</v>
      </c>
      <c r="CD162" s="52">
        <f t="shared" si="234"/>
        <v>0</v>
      </c>
      <c r="CE162" s="52">
        <f t="shared" si="234"/>
        <v>0</v>
      </c>
      <c r="CF162" s="52">
        <f t="shared" si="234"/>
        <v>0</v>
      </c>
      <c r="CG162" s="52">
        <f t="shared" si="234"/>
        <v>0</v>
      </c>
      <c r="CH162" s="52">
        <f t="shared" si="234"/>
        <v>0</v>
      </c>
      <c r="CI162" s="52">
        <f t="shared" si="234"/>
        <v>0</v>
      </c>
      <c r="CJ162" s="52">
        <f t="shared" si="234"/>
        <v>0</v>
      </c>
      <c r="CK162" s="52">
        <f t="shared" si="234"/>
        <v>0</v>
      </c>
      <c r="CL162" s="52">
        <f t="shared" si="234"/>
        <v>1</v>
      </c>
      <c r="CM162" s="52">
        <f t="shared" si="234"/>
        <v>0</v>
      </c>
      <c r="CN162" s="52">
        <f t="shared" si="234"/>
        <v>0</v>
      </c>
      <c r="CO162" s="52">
        <f t="shared" si="234"/>
        <v>0</v>
      </c>
      <c r="CP162" s="52">
        <f t="shared" si="234"/>
        <v>-1</v>
      </c>
      <c r="CQ162" s="52">
        <f t="shared" si="226"/>
        <v>0</v>
      </c>
      <c r="CR162" s="52">
        <f t="shared" si="227"/>
        <v>0</v>
      </c>
      <c r="CS162" s="52">
        <f t="shared" si="228"/>
        <v>0</v>
      </c>
      <c r="CT162" s="52">
        <f t="shared" si="229"/>
        <v>1</v>
      </c>
      <c r="CU162" s="52">
        <f t="shared" si="230"/>
        <v>-1</v>
      </c>
      <c r="CV162" s="52">
        <f t="shared" si="231"/>
        <v>0</v>
      </c>
      <c r="CW162" s="52">
        <f t="shared" si="232"/>
        <v>0</v>
      </c>
    </row>
    <row r="163" spans="1:101">
      <c r="A163" s="60">
        <v>45085</v>
      </c>
      <c r="B163" s="426">
        <v>53681.4</v>
      </c>
      <c r="C163">
        <v>53662.9</v>
      </c>
      <c r="D163">
        <v>54867.6</v>
      </c>
      <c r="E163">
        <v>54740.7</v>
      </c>
      <c r="F163">
        <v>54526.9</v>
      </c>
      <c r="G163">
        <v>54203.8</v>
      </c>
      <c r="H163">
        <v>53760.3</v>
      </c>
      <c r="I163">
        <v>54482.8</v>
      </c>
      <c r="J163">
        <v>53717.599999999999</v>
      </c>
      <c r="K163">
        <v>54295.199999999997</v>
      </c>
      <c r="L163">
        <v>53570.8</v>
      </c>
      <c r="M163">
        <v>54013.3</v>
      </c>
      <c r="N163">
        <v>54203</v>
      </c>
      <c r="O163">
        <v>54197</v>
      </c>
      <c r="P163">
        <v>54257</v>
      </c>
      <c r="Q163">
        <v>54044.1</v>
      </c>
      <c r="R163">
        <v>54036.4</v>
      </c>
      <c r="S163">
        <v>53068.6</v>
      </c>
      <c r="T163">
        <v>54647.3</v>
      </c>
      <c r="U163">
        <v>53833</v>
      </c>
      <c r="V163">
        <v>54779.3</v>
      </c>
      <c r="W163">
        <v>54701</v>
      </c>
      <c r="X163">
        <v>55010.1</v>
      </c>
      <c r="Y163">
        <v>54574</v>
      </c>
      <c r="Z163" s="77">
        <v>1300874.1000000003</v>
      </c>
      <c r="AB163" s="52">
        <f t="shared" si="236"/>
        <v>0</v>
      </c>
      <c r="AC163" s="52">
        <f t="shared" si="145"/>
        <v>0</v>
      </c>
      <c r="AD163" s="52">
        <f t="shared" si="146"/>
        <v>0</v>
      </c>
      <c r="AE163" s="52">
        <f t="shared" si="147"/>
        <v>0</v>
      </c>
      <c r="AF163" s="52">
        <f t="shared" si="148"/>
        <v>0</v>
      </c>
      <c r="AG163" s="52">
        <f t="shared" si="149"/>
        <v>0</v>
      </c>
      <c r="AH163" s="52">
        <f t="shared" si="150"/>
        <v>0</v>
      </c>
      <c r="AI163" s="52">
        <f t="shared" si="151"/>
        <v>0</v>
      </c>
      <c r="AJ163" s="52">
        <f t="shared" si="152"/>
        <v>0</v>
      </c>
      <c r="AK163" s="52">
        <f t="shared" si="153"/>
        <v>0</v>
      </c>
      <c r="AL163" s="52">
        <f t="shared" si="154"/>
        <v>0</v>
      </c>
      <c r="AM163" s="52">
        <f t="shared" si="155"/>
        <v>0</v>
      </c>
      <c r="AN163" s="52">
        <f t="shared" si="156"/>
        <v>0</v>
      </c>
      <c r="AO163" s="52">
        <f t="shared" si="157"/>
        <v>0</v>
      </c>
      <c r="AP163" s="52">
        <f t="shared" si="158"/>
        <v>0</v>
      </c>
      <c r="AQ163" s="52">
        <f t="shared" si="159"/>
        <v>0</v>
      </c>
      <c r="AR163" s="52">
        <f t="shared" si="160"/>
        <v>0</v>
      </c>
      <c r="AS163" s="52">
        <f t="shared" si="161"/>
        <v>0</v>
      </c>
      <c r="AT163" s="52">
        <f t="shared" si="162"/>
        <v>0</v>
      </c>
      <c r="AU163" s="52">
        <f t="shared" si="163"/>
        <v>0</v>
      </c>
      <c r="AV163" s="52">
        <f t="shared" si="164"/>
        <v>0</v>
      </c>
      <c r="AW163" s="52">
        <f t="shared" si="165"/>
        <v>0</v>
      </c>
      <c r="AX163" s="52">
        <f t="shared" si="166"/>
        <v>0</v>
      </c>
      <c r="AY163" s="52">
        <f t="shared" si="237"/>
        <v>0</v>
      </c>
      <c r="BA163" s="52">
        <f t="shared" si="238"/>
        <v>7</v>
      </c>
      <c r="BB163" s="52">
        <f t="shared" si="167"/>
        <v>7</v>
      </c>
      <c r="BC163" s="52">
        <f t="shared" si="168"/>
        <v>7</v>
      </c>
      <c r="BD163" s="52">
        <f t="shared" si="169"/>
        <v>7</v>
      </c>
      <c r="BE163" s="52">
        <f t="shared" si="170"/>
        <v>7</v>
      </c>
      <c r="BF163" s="52">
        <f t="shared" si="171"/>
        <v>7</v>
      </c>
      <c r="BG163" s="52">
        <f t="shared" si="172"/>
        <v>7</v>
      </c>
      <c r="BH163" s="52">
        <f t="shared" si="173"/>
        <v>7</v>
      </c>
      <c r="BI163" s="52">
        <f t="shared" si="174"/>
        <v>7</v>
      </c>
      <c r="BJ163" s="52">
        <f t="shared" si="175"/>
        <v>7</v>
      </c>
      <c r="BK163" s="52">
        <f t="shared" si="176"/>
        <v>7</v>
      </c>
      <c r="BL163" s="52">
        <f t="shared" si="177"/>
        <v>7</v>
      </c>
      <c r="BM163" s="52">
        <f t="shared" si="178"/>
        <v>7</v>
      </c>
      <c r="BN163" s="52">
        <f t="shared" si="179"/>
        <v>7</v>
      </c>
      <c r="BO163" s="52">
        <f t="shared" si="180"/>
        <v>7</v>
      </c>
      <c r="BP163" s="52">
        <f t="shared" si="181"/>
        <v>7</v>
      </c>
      <c r="BQ163" s="52">
        <f t="shared" si="182"/>
        <v>7</v>
      </c>
      <c r="BR163" s="52">
        <f t="shared" si="183"/>
        <v>7</v>
      </c>
      <c r="BS163" s="52">
        <f t="shared" si="184"/>
        <v>7</v>
      </c>
      <c r="BT163" s="52">
        <f t="shared" si="185"/>
        <v>7</v>
      </c>
      <c r="BU163" s="52">
        <f t="shared" si="186"/>
        <v>7</v>
      </c>
      <c r="BV163" s="52">
        <f t="shared" si="187"/>
        <v>7</v>
      </c>
      <c r="BW163" s="52">
        <f t="shared" si="188"/>
        <v>7</v>
      </c>
      <c r="BX163" s="52">
        <f t="shared" si="189"/>
        <v>7</v>
      </c>
      <c r="BZ163">
        <f t="shared" si="225"/>
        <v>0</v>
      </c>
      <c r="CA163">
        <f t="shared" si="234"/>
        <v>0</v>
      </c>
      <c r="CB163">
        <f t="shared" si="234"/>
        <v>0</v>
      </c>
      <c r="CC163">
        <f t="shared" si="234"/>
        <v>0</v>
      </c>
      <c r="CD163">
        <f t="shared" si="234"/>
        <v>0</v>
      </c>
      <c r="CE163">
        <f t="shared" si="234"/>
        <v>0</v>
      </c>
      <c r="CF163">
        <f t="shared" si="234"/>
        <v>0</v>
      </c>
      <c r="CG163">
        <f t="shared" si="234"/>
        <v>0</v>
      </c>
      <c r="CH163">
        <f t="shared" si="234"/>
        <v>0</v>
      </c>
      <c r="CI163">
        <f t="shared" si="234"/>
        <v>0</v>
      </c>
      <c r="CJ163">
        <f t="shared" si="234"/>
        <v>0</v>
      </c>
      <c r="CK163">
        <f t="shared" si="234"/>
        <v>0</v>
      </c>
      <c r="CL163">
        <f t="shared" si="234"/>
        <v>0</v>
      </c>
      <c r="CM163">
        <f t="shared" si="234"/>
        <v>0</v>
      </c>
      <c r="CN163">
        <f t="shared" si="234"/>
        <v>0</v>
      </c>
      <c r="CO163">
        <f t="shared" si="234"/>
        <v>0</v>
      </c>
      <c r="CP163">
        <f t="shared" si="234"/>
        <v>0</v>
      </c>
      <c r="CQ163">
        <f t="shared" si="226"/>
        <v>0</v>
      </c>
      <c r="CR163">
        <f t="shared" si="227"/>
        <v>0</v>
      </c>
      <c r="CS163">
        <f t="shared" si="228"/>
        <v>0</v>
      </c>
      <c r="CT163">
        <f t="shared" si="229"/>
        <v>0</v>
      </c>
      <c r="CU163">
        <f t="shared" si="230"/>
        <v>0</v>
      </c>
      <c r="CV163">
        <f t="shared" si="231"/>
        <v>0</v>
      </c>
      <c r="CW163">
        <f t="shared" si="232"/>
        <v>0</v>
      </c>
    </row>
    <row r="164" spans="1:101">
      <c r="A164" s="60">
        <v>45086</v>
      </c>
      <c r="B164" s="426">
        <v>54383.6</v>
      </c>
      <c r="C164">
        <v>54548.2</v>
      </c>
      <c r="D164">
        <v>54045.2</v>
      </c>
      <c r="E164">
        <v>54183.1</v>
      </c>
      <c r="F164">
        <v>54193.599999999999</v>
      </c>
      <c r="G164">
        <v>53930.5</v>
      </c>
      <c r="H164">
        <v>53745.2</v>
      </c>
      <c r="I164">
        <v>53682.7</v>
      </c>
      <c r="J164">
        <v>53905.8</v>
      </c>
      <c r="K164">
        <v>53043.8</v>
      </c>
      <c r="L164">
        <v>53008.1</v>
      </c>
      <c r="M164">
        <v>53069.5</v>
      </c>
      <c r="N164">
        <v>52998.1</v>
      </c>
      <c r="O164">
        <v>53078.2</v>
      </c>
      <c r="P164">
        <v>53110.1</v>
      </c>
      <c r="Q164">
        <v>53037.1</v>
      </c>
      <c r="R164">
        <v>53923.9</v>
      </c>
      <c r="S164">
        <v>55198.5</v>
      </c>
      <c r="T164">
        <v>66571.8</v>
      </c>
      <c r="U164">
        <v>72269.5</v>
      </c>
      <c r="V164">
        <v>71538</v>
      </c>
      <c r="W164">
        <v>54849.2</v>
      </c>
      <c r="X164">
        <v>53898.7</v>
      </c>
      <c r="Y164">
        <v>54632.2</v>
      </c>
      <c r="Z164" s="77">
        <v>1340844.5999999999</v>
      </c>
      <c r="AB164">
        <f t="shared" si="236"/>
        <v>0</v>
      </c>
      <c r="AC164">
        <f t="shared" ref="AC164:AC214" si="239">+IF(AND(C164=0,D164&lt;&gt;0),1,0)</f>
        <v>0</v>
      </c>
      <c r="AD164">
        <f t="shared" ref="AD164:AD214" si="240">+IF(AND(D164=0,E164&lt;&gt;0),1,0)</f>
        <v>0</v>
      </c>
      <c r="AE164">
        <f t="shared" ref="AE164:AE214" si="241">+IF(AND(E164=0,F164&lt;&gt;0),1,0)</f>
        <v>0</v>
      </c>
      <c r="AF164">
        <f t="shared" ref="AF164:AF214" si="242">+IF(AND(F164=0,G164&lt;&gt;0),1,0)</f>
        <v>0</v>
      </c>
      <c r="AG164">
        <f t="shared" ref="AG164:AG214" si="243">+IF(AND(G164=0,H164&lt;&gt;0),1,0)</f>
        <v>0</v>
      </c>
      <c r="AH164">
        <f t="shared" ref="AH164:AH214" si="244">+IF(AND(H164=0,I164&lt;&gt;0),1,0)</f>
        <v>0</v>
      </c>
      <c r="AI164">
        <f t="shared" ref="AI164:AI214" si="245">+IF(AND(I164=0,J164&lt;&gt;0),1,0)</f>
        <v>0</v>
      </c>
      <c r="AJ164">
        <f t="shared" ref="AJ164:AJ214" si="246">+IF(AND(J164=0,K164&lt;&gt;0),1,0)</f>
        <v>0</v>
      </c>
      <c r="AK164">
        <f t="shared" ref="AK164:AK214" si="247">+IF(AND(K164=0,L164&lt;&gt;0),1,0)</f>
        <v>0</v>
      </c>
      <c r="AL164">
        <f t="shared" ref="AL164:AL214" si="248">+IF(AND(L164=0,M164&lt;&gt;0),1,0)</f>
        <v>0</v>
      </c>
      <c r="AM164">
        <f t="shared" ref="AM164:AM214" si="249">+IF(AND(M164=0,N164&lt;&gt;0),1,0)</f>
        <v>0</v>
      </c>
      <c r="AN164">
        <f t="shared" ref="AN164:AN214" si="250">+IF(AND(N164=0,O164&lt;&gt;0),1,0)</f>
        <v>0</v>
      </c>
      <c r="AO164">
        <f t="shared" ref="AO164:AO214" si="251">+IF(AND(O164=0,P164&lt;&gt;0),1,0)</f>
        <v>0</v>
      </c>
      <c r="AP164">
        <f t="shared" ref="AP164:AP214" si="252">+IF(AND(P164=0,Q164&lt;&gt;0),1,0)</f>
        <v>0</v>
      </c>
      <c r="AQ164">
        <f t="shared" ref="AQ164:AQ214" si="253">+IF(AND(Q164=0,R164&lt;&gt;0),1,0)</f>
        <v>0</v>
      </c>
      <c r="AR164">
        <f t="shared" ref="AR164:AR214" si="254">+IF(AND(R164=0,S164&lt;&gt;0),1,0)</f>
        <v>0</v>
      </c>
      <c r="AS164">
        <f t="shared" ref="AS164:AS214" si="255">+IF(AND(S164=0,T164&lt;&gt;0),1,0)</f>
        <v>0</v>
      </c>
      <c r="AT164">
        <f t="shared" ref="AT164:AT214" si="256">+IF(AND(T164=0,U164&lt;&gt;0),1,0)</f>
        <v>0</v>
      </c>
      <c r="AU164">
        <f t="shared" ref="AU164:AU214" si="257">+IF(AND(U164=0,V164&lt;&gt;0),1,0)</f>
        <v>0</v>
      </c>
      <c r="AV164">
        <f t="shared" ref="AV164:AV214" si="258">+IF(AND(V164=0,W164&lt;&gt;0),1,0)</f>
        <v>0</v>
      </c>
      <c r="AW164">
        <f t="shared" ref="AW164:AW214" si="259">+IF(AND(W164=0,X164&lt;&gt;0),1,0)</f>
        <v>0</v>
      </c>
      <c r="AX164">
        <f t="shared" ref="AX164:AX214" si="260">+IF(AND(X164=0,Y164&lt;&gt;0),1,0)</f>
        <v>0</v>
      </c>
      <c r="AY164">
        <f t="shared" si="237"/>
        <v>0</v>
      </c>
      <c r="BA164">
        <f t="shared" si="238"/>
        <v>7</v>
      </c>
      <c r="BB164">
        <f t="shared" ref="BB164:BB214" si="261">+ROUNDUP(C164/8800,0)</f>
        <v>7</v>
      </c>
      <c r="BC164">
        <f t="shared" ref="BC164:BC214" si="262">+ROUNDUP(D164/8800,0)</f>
        <v>7</v>
      </c>
      <c r="BD164">
        <f t="shared" ref="BD164:BD214" si="263">+ROUNDUP(E164/8800,0)</f>
        <v>7</v>
      </c>
      <c r="BE164">
        <f t="shared" ref="BE164:BE214" si="264">+ROUNDUP(F164/8800,0)</f>
        <v>7</v>
      </c>
      <c r="BF164">
        <f t="shared" ref="BF164:BF214" si="265">+ROUNDUP(G164/8800,0)</f>
        <v>7</v>
      </c>
      <c r="BG164">
        <f t="shared" ref="BG164:BG214" si="266">+ROUNDUP(H164/8800,0)</f>
        <v>7</v>
      </c>
      <c r="BH164">
        <f t="shared" ref="BH164:BH214" si="267">+ROUNDUP(I164/8800,0)</f>
        <v>7</v>
      </c>
      <c r="BI164">
        <f t="shared" ref="BI164:BI214" si="268">+ROUNDUP(J164/8800,0)</f>
        <v>7</v>
      </c>
      <c r="BJ164">
        <f t="shared" ref="BJ164:BJ214" si="269">+ROUNDUP(K164/8800,0)</f>
        <v>7</v>
      </c>
      <c r="BK164">
        <f t="shared" ref="BK164:BK214" si="270">+ROUNDUP(L164/8800,0)</f>
        <v>7</v>
      </c>
      <c r="BL164">
        <f t="shared" ref="BL164:BL214" si="271">+ROUNDUP(M164/8800,0)</f>
        <v>7</v>
      </c>
      <c r="BM164">
        <f t="shared" ref="BM164:BM214" si="272">+ROUNDUP(N164/8800,0)</f>
        <v>7</v>
      </c>
      <c r="BN164">
        <f t="shared" ref="BN164:BN214" si="273">+ROUNDUP(O164/8800,0)</f>
        <v>7</v>
      </c>
      <c r="BO164">
        <f t="shared" ref="BO164:BO214" si="274">+ROUNDUP(P164/8800,0)</f>
        <v>7</v>
      </c>
      <c r="BP164">
        <f t="shared" ref="BP164:BP214" si="275">+ROUNDUP(Q164/8800,0)</f>
        <v>7</v>
      </c>
      <c r="BQ164">
        <f t="shared" ref="BQ164:BQ214" si="276">+ROUNDUP(R164/8800,0)</f>
        <v>7</v>
      </c>
      <c r="BR164">
        <f t="shared" ref="BR164:BR214" si="277">+ROUNDUP(S164/8800,0)</f>
        <v>7</v>
      </c>
      <c r="BS164">
        <f t="shared" ref="BS164:BS214" si="278">+ROUNDUP(T164/8800,0)</f>
        <v>8</v>
      </c>
      <c r="BT164">
        <f t="shared" ref="BT164:BT214" si="279">+ROUNDUP(U164/8800,0)</f>
        <v>9</v>
      </c>
      <c r="BU164">
        <f t="shared" ref="BU164:BU214" si="280">+ROUNDUP(V164/8800,0)</f>
        <v>9</v>
      </c>
      <c r="BV164">
        <f t="shared" ref="BV164:BV214" si="281">+ROUNDUP(W164/8800,0)</f>
        <v>7</v>
      </c>
      <c r="BW164">
        <f t="shared" ref="BW164:BW214" si="282">+ROUNDUP(X164/8800,0)</f>
        <v>7</v>
      </c>
      <c r="BX164">
        <f t="shared" ref="BX164:BX214" si="283">+ROUNDUP(Y164/8800,0)</f>
        <v>7</v>
      </c>
      <c r="BZ164" s="52">
        <f t="shared" si="225"/>
        <v>0</v>
      </c>
      <c r="CA164" s="52">
        <f t="shared" si="234"/>
        <v>0</v>
      </c>
      <c r="CB164" s="52">
        <f t="shared" si="234"/>
        <v>0</v>
      </c>
      <c r="CC164" s="52">
        <f t="shared" si="234"/>
        <v>0</v>
      </c>
      <c r="CD164" s="52">
        <f t="shared" si="234"/>
        <v>0</v>
      </c>
      <c r="CE164" s="52">
        <f t="shared" si="234"/>
        <v>0</v>
      </c>
      <c r="CF164" s="52">
        <f t="shared" si="234"/>
        <v>0</v>
      </c>
      <c r="CG164" s="52">
        <f t="shared" si="234"/>
        <v>0</v>
      </c>
      <c r="CH164" s="52">
        <f t="shared" si="234"/>
        <v>0</v>
      </c>
      <c r="CI164" s="52">
        <f t="shared" si="234"/>
        <v>0</v>
      </c>
      <c r="CJ164" s="52">
        <f t="shared" si="234"/>
        <v>0</v>
      </c>
      <c r="CK164" s="52">
        <f t="shared" si="234"/>
        <v>0</v>
      </c>
      <c r="CL164" s="52">
        <f t="shared" si="234"/>
        <v>0</v>
      </c>
      <c r="CM164" s="52">
        <f t="shared" si="234"/>
        <v>0</v>
      </c>
      <c r="CN164" s="52">
        <f t="shared" si="234"/>
        <v>0</v>
      </c>
      <c r="CO164" s="52">
        <f t="shared" si="234"/>
        <v>0</v>
      </c>
      <c r="CP164" s="52">
        <f t="shared" si="234"/>
        <v>0</v>
      </c>
      <c r="CQ164" s="52">
        <f t="shared" si="226"/>
        <v>0</v>
      </c>
      <c r="CR164" s="52">
        <f t="shared" si="227"/>
        <v>1</v>
      </c>
      <c r="CS164" s="52">
        <f t="shared" si="228"/>
        <v>1</v>
      </c>
      <c r="CT164" s="52">
        <f t="shared" si="229"/>
        <v>0</v>
      </c>
      <c r="CU164" s="52">
        <f t="shared" si="230"/>
        <v>-2</v>
      </c>
      <c r="CV164" s="52">
        <f t="shared" si="231"/>
        <v>0</v>
      </c>
      <c r="CW164" s="52">
        <f t="shared" si="232"/>
        <v>0</v>
      </c>
    </row>
    <row r="165" spans="1:101">
      <c r="A165" s="60">
        <v>45087</v>
      </c>
      <c r="B165" s="426">
        <v>54631.4</v>
      </c>
      <c r="C165">
        <v>54406.9</v>
      </c>
      <c r="D165">
        <v>54396.6</v>
      </c>
      <c r="E165">
        <v>54421.4</v>
      </c>
      <c r="F165">
        <v>54372.9</v>
      </c>
      <c r="G165">
        <v>54386.5</v>
      </c>
      <c r="H165">
        <v>54373.599999999999</v>
      </c>
      <c r="I165">
        <v>54304.3</v>
      </c>
      <c r="J165">
        <v>54205</v>
      </c>
      <c r="K165">
        <v>54908</v>
      </c>
      <c r="L165">
        <v>53125.5</v>
      </c>
      <c r="M165">
        <v>54546.6</v>
      </c>
      <c r="N165">
        <v>53244.5</v>
      </c>
      <c r="O165">
        <v>53591</v>
      </c>
      <c r="P165">
        <v>53722.3</v>
      </c>
      <c r="Q165">
        <v>53448.800000000003</v>
      </c>
      <c r="R165">
        <v>53558.9</v>
      </c>
      <c r="S165">
        <v>53531.199999999997</v>
      </c>
      <c r="T165">
        <v>60063.6</v>
      </c>
      <c r="U165">
        <v>53596.3</v>
      </c>
      <c r="V165">
        <v>54144.4</v>
      </c>
      <c r="W165">
        <v>54467.4</v>
      </c>
      <c r="X165">
        <v>55069.1</v>
      </c>
      <c r="Y165">
        <v>54577.2</v>
      </c>
      <c r="Z165" s="77">
        <v>1305093.3999999999</v>
      </c>
      <c r="AB165" s="52">
        <f t="shared" si="236"/>
        <v>0</v>
      </c>
      <c r="AC165" s="52">
        <f t="shared" si="239"/>
        <v>0</v>
      </c>
      <c r="AD165" s="52">
        <f t="shared" si="240"/>
        <v>0</v>
      </c>
      <c r="AE165" s="52">
        <f t="shared" si="241"/>
        <v>0</v>
      </c>
      <c r="AF165" s="52">
        <f t="shared" si="242"/>
        <v>0</v>
      </c>
      <c r="AG165" s="52">
        <f t="shared" si="243"/>
        <v>0</v>
      </c>
      <c r="AH165" s="52">
        <f t="shared" si="244"/>
        <v>0</v>
      </c>
      <c r="AI165" s="52">
        <f t="shared" si="245"/>
        <v>0</v>
      </c>
      <c r="AJ165" s="52">
        <f t="shared" si="246"/>
        <v>0</v>
      </c>
      <c r="AK165" s="52">
        <f t="shared" si="247"/>
        <v>0</v>
      </c>
      <c r="AL165" s="52">
        <f t="shared" si="248"/>
        <v>0</v>
      </c>
      <c r="AM165" s="52">
        <f t="shared" si="249"/>
        <v>0</v>
      </c>
      <c r="AN165" s="52">
        <f t="shared" si="250"/>
        <v>0</v>
      </c>
      <c r="AO165" s="52">
        <f t="shared" si="251"/>
        <v>0</v>
      </c>
      <c r="AP165" s="52">
        <f t="shared" si="252"/>
        <v>0</v>
      </c>
      <c r="AQ165" s="52">
        <f t="shared" si="253"/>
        <v>0</v>
      </c>
      <c r="AR165" s="52">
        <f t="shared" si="254"/>
        <v>0</v>
      </c>
      <c r="AS165" s="52">
        <f t="shared" si="255"/>
        <v>0</v>
      </c>
      <c r="AT165" s="52">
        <f t="shared" si="256"/>
        <v>0</v>
      </c>
      <c r="AU165" s="52">
        <f t="shared" si="257"/>
        <v>0</v>
      </c>
      <c r="AV165" s="52">
        <f t="shared" si="258"/>
        <v>0</v>
      </c>
      <c r="AW165" s="52">
        <f t="shared" si="259"/>
        <v>0</v>
      </c>
      <c r="AX165" s="52">
        <f t="shared" si="260"/>
        <v>0</v>
      </c>
      <c r="AY165" s="52">
        <f t="shared" si="237"/>
        <v>0</v>
      </c>
      <c r="BA165" s="52">
        <f t="shared" si="238"/>
        <v>7</v>
      </c>
      <c r="BB165" s="52">
        <f t="shared" si="261"/>
        <v>7</v>
      </c>
      <c r="BC165" s="52">
        <f t="shared" si="262"/>
        <v>7</v>
      </c>
      <c r="BD165" s="52">
        <f t="shared" si="263"/>
        <v>7</v>
      </c>
      <c r="BE165" s="52">
        <f t="shared" si="264"/>
        <v>7</v>
      </c>
      <c r="BF165" s="52">
        <f t="shared" si="265"/>
        <v>7</v>
      </c>
      <c r="BG165" s="52">
        <f t="shared" si="266"/>
        <v>7</v>
      </c>
      <c r="BH165" s="52">
        <f t="shared" si="267"/>
        <v>7</v>
      </c>
      <c r="BI165" s="52">
        <f t="shared" si="268"/>
        <v>7</v>
      </c>
      <c r="BJ165" s="52">
        <f t="shared" si="269"/>
        <v>7</v>
      </c>
      <c r="BK165" s="52">
        <f t="shared" si="270"/>
        <v>7</v>
      </c>
      <c r="BL165" s="52">
        <f t="shared" si="271"/>
        <v>7</v>
      </c>
      <c r="BM165" s="52">
        <f t="shared" si="272"/>
        <v>7</v>
      </c>
      <c r="BN165" s="52">
        <f t="shared" si="273"/>
        <v>7</v>
      </c>
      <c r="BO165" s="52">
        <f t="shared" si="274"/>
        <v>7</v>
      </c>
      <c r="BP165" s="52">
        <f t="shared" si="275"/>
        <v>7</v>
      </c>
      <c r="BQ165" s="52">
        <f t="shared" si="276"/>
        <v>7</v>
      </c>
      <c r="BR165" s="52">
        <f t="shared" si="277"/>
        <v>7</v>
      </c>
      <c r="BS165" s="52">
        <f t="shared" si="278"/>
        <v>7</v>
      </c>
      <c r="BT165" s="52">
        <f t="shared" si="279"/>
        <v>7</v>
      </c>
      <c r="BU165" s="52">
        <f t="shared" si="280"/>
        <v>7</v>
      </c>
      <c r="BV165" s="52">
        <f t="shared" si="281"/>
        <v>7</v>
      </c>
      <c r="BW165" s="52">
        <f t="shared" si="282"/>
        <v>7</v>
      </c>
      <c r="BX165" s="52">
        <f t="shared" si="283"/>
        <v>7</v>
      </c>
      <c r="BZ165">
        <f t="shared" si="225"/>
        <v>0</v>
      </c>
      <c r="CA165">
        <f t="shared" si="234"/>
        <v>0</v>
      </c>
      <c r="CB165">
        <f t="shared" si="234"/>
        <v>0</v>
      </c>
      <c r="CC165">
        <f t="shared" si="234"/>
        <v>0</v>
      </c>
      <c r="CD165">
        <f t="shared" si="234"/>
        <v>0</v>
      </c>
      <c r="CE165">
        <f t="shared" si="234"/>
        <v>0</v>
      </c>
      <c r="CF165">
        <f t="shared" si="234"/>
        <v>0</v>
      </c>
      <c r="CG165">
        <f t="shared" si="234"/>
        <v>0</v>
      </c>
      <c r="CH165">
        <f t="shared" si="234"/>
        <v>0</v>
      </c>
      <c r="CI165">
        <f t="shared" si="234"/>
        <v>0</v>
      </c>
      <c r="CJ165">
        <f t="shared" si="234"/>
        <v>0</v>
      </c>
      <c r="CK165">
        <f t="shared" si="234"/>
        <v>0</v>
      </c>
      <c r="CL165">
        <f t="shared" si="234"/>
        <v>0</v>
      </c>
      <c r="CM165">
        <f t="shared" si="234"/>
        <v>0</v>
      </c>
      <c r="CN165">
        <f t="shared" si="234"/>
        <v>0</v>
      </c>
      <c r="CO165">
        <f t="shared" si="234"/>
        <v>0</v>
      </c>
      <c r="CP165">
        <f t="shared" si="234"/>
        <v>0</v>
      </c>
      <c r="CQ165">
        <f t="shared" si="226"/>
        <v>0</v>
      </c>
      <c r="CR165">
        <f t="shared" si="227"/>
        <v>0</v>
      </c>
      <c r="CS165">
        <f t="shared" si="228"/>
        <v>0</v>
      </c>
      <c r="CT165">
        <f t="shared" si="229"/>
        <v>0</v>
      </c>
      <c r="CU165">
        <f t="shared" si="230"/>
        <v>0</v>
      </c>
      <c r="CV165">
        <f t="shared" si="231"/>
        <v>0</v>
      </c>
      <c r="CW165">
        <f t="shared" si="232"/>
        <v>0</v>
      </c>
    </row>
    <row r="166" spans="1:101">
      <c r="A166" s="60">
        <v>45088</v>
      </c>
      <c r="B166" s="426">
        <v>54658.3</v>
      </c>
      <c r="C166">
        <v>54775.6</v>
      </c>
      <c r="D166">
        <v>54556.3</v>
      </c>
      <c r="E166">
        <v>54553.9</v>
      </c>
      <c r="F166">
        <v>54632.800000000003</v>
      </c>
      <c r="G166">
        <v>54458</v>
      </c>
      <c r="H166">
        <v>53956.9</v>
      </c>
      <c r="I166">
        <v>53766</v>
      </c>
      <c r="J166">
        <v>53854.9</v>
      </c>
      <c r="K166">
        <v>54306.5</v>
      </c>
      <c r="L166">
        <v>54611.7</v>
      </c>
      <c r="M166">
        <v>54569.599999999999</v>
      </c>
      <c r="N166">
        <v>54533.9</v>
      </c>
      <c r="O166">
        <v>54505.5</v>
      </c>
      <c r="P166">
        <v>54543.9</v>
      </c>
      <c r="Q166">
        <v>54672</v>
      </c>
      <c r="R166">
        <v>54499.3</v>
      </c>
      <c r="S166">
        <v>54526.1</v>
      </c>
      <c r="T166">
        <v>54854.6</v>
      </c>
      <c r="U166">
        <v>54345.599999999999</v>
      </c>
      <c r="V166">
        <v>54212.2</v>
      </c>
      <c r="W166">
        <v>55091.4</v>
      </c>
      <c r="X166">
        <v>54915.9</v>
      </c>
      <c r="Y166">
        <v>54830.400000000001</v>
      </c>
      <c r="Z166" s="77">
        <v>1308231.2999999998</v>
      </c>
      <c r="AB166">
        <f t="shared" si="236"/>
        <v>0</v>
      </c>
      <c r="AC166">
        <f t="shared" si="239"/>
        <v>0</v>
      </c>
      <c r="AD166">
        <f t="shared" si="240"/>
        <v>0</v>
      </c>
      <c r="AE166">
        <f t="shared" si="241"/>
        <v>0</v>
      </c>
      <c r="AF166">
        <f t="shared" si="242"/>
        <v>0</v>
      </c>
      <c r="AG166">
        <f t="shared" si="243"/>
        <v>0</v>
      </c>
      <c r="AH166">
        <f t="shared" si="244"/>
        <v>0</v>
      </c>
      <c r="AI166">
        <f t="shared" si="245"/>
        <v>0</v>
      </c>
      <c r="AJ166">
        <f t="shared" si="246"/>
        <v>0</v>
      </c>
      <c r="AK166">
        <f t="shared" si="247"/>
        <v>0</v>
      </c>
      <c r="AL166">
        <f t="shared" si="248"/>
        <v>0</v>
      </c>
      <c r="AM166">
        <f t="shared" si="249"/>
        <v>0</v>
      </c>
      <c r="AN166">
        <f t="shared" si="250"/>
        <v>0</v>
      </c>
      <c r="AO166">
        <f t="shared" si="251"/>
        <v>0</v>
      </c>
      <c r="AP166">
        <f t="shared" si="252"/>
        <v>0</v>
      </c>
      <c r="AQ166">
        <f t="shared" si="253"/>
        <v>0</v>
      </c>
      <c r="AR166">
        <f t="shared" si="254"/>
        <v>0</v>
      </c>
      <c r="AS166">
        <f t="shared" si="255"/>
        <v>0</v>
      </c>
      <c r="AT166">
        <f t="shared" si="256"/>
        <v>0</v>
      </c>
      <c r="AU166">
        <f t="shared" si="257"/>
        <v>0</v>
      </c>
      <c r="AV166">
        <f t="shared" si="258"/>
        <v>0</v>
      </c>
      <c r="AW166">
        <f t="shared" si="259"/>
        <v>0</v>
      </c>
      <c r="AX166">
        <f t="shared" si="260"/>
        <v>0</v>
      </c>
      <c r="AY166">
        <f t="shared" si="237"/>
        <v>0</v>
      </c>
      <c r="BA166">
        <f t="shared" si="238"/>
        <v>7</v>
      </c>
      <c r="BB166">
        <f t="shared" si="261"/>
        <v>7</v>
      </c>
      <c r="BC166">
        <f t="shared" si="262"/>
        <v>7</v>
      </c>
      <c r="BD166">
        <f t="shared" si="263"/>
        <v>7</v>
      </c>
      <c r="BE166">
        <f t="shared" si="264"/>
        <v>7</v>
      </c>
      <c r="BF166">
        <f t="shared" si="265"/>
        <v>7</v>
      </c>
      <c r="BG166">
        <f t="shared" si="266"/>
        <v>7</v>
      </c>
      <c r="BH166">
        <f t="shared" si="267"/>
        <v>7</v>
      </c>
      <c r="BI166">
        <f t="shared" si="268"/>
        <v>7</v>
      </c>
      <c r="BJ166">
        <f t="shared" si="269"/>
        <v>7</v>
      </c>
      <c r="BK166">
        <f t="shared" si="270"/>
        <v>7</v>
      </c>
      <c r="BL166">
        <f t="shared" si="271"/>
        <v>7</v>
      </c>
      <c r="BM166">
        <f t="shared" si="272"/>
        <v>7</v>
      </c>
      <c r="BN166">
        <f t="shared" si="273"/>
        <v>7</v>
      </c>
      <c r="BO166">
        <f t="shared" si="274"/>
        <v>7</v>
      </c>
      <c r="BP166">
        <f t="shared" si="275"/>
        <v>7</v>
      </c>
      <c r="BQ166">
        <f t="shared" si="276"/>
        <v>7</v>
      </c>
      <c r="BR166">
        <f t="shared" si="277"/>
        <v>7</v>
      </c>
      <c r="BS166">
        <f t="shared" si="278"/>
        <v>7</v>
      </c>
      <c r="BT166">
        <f t="shared" si="279"/>
        <v>7</v>
      </c>
      <c r="BU166">
        <f t="shared" si="280"/>
        <v>7</v>
      </c>
      <c r="BV166">
        <f t="shared" si="281"/>
        <v>7</v>
      </c>
      <c r="BW166">
        <f t="shared" si="282"/>
        <v>7</v>
      </c>
      <c r="BX166">
        <f t="shared" si="283"/>
        <v>7</v>
      </c>
      <c r="BZ166" s="52">
        <f t="shared" si="225"/>
        <v>0</v>
      </c>
      <c r="CA166" s="52">
        <f t="shared" si="234"/>
        <v>0</v>
      </c>
      <c r="CB166" s="52">
        <f t="shared" si="234"/>
        <v>0</v>
      </c>
      <c r="CC166" s="52">
        <f t="shared" si="234"/>
        <v>0</v>
      </c>
      <c r="CD166" s="52">
        <f t="shared" si="234"/>
        <v>0</v>
      </c>
      <c r="CE166" s="52">
        <f t="shared" si="234"/>
        <v>0</v>
      </c>
      <c r="CF166" s="52">
        <f t="shared" si="234"/>
        <v>0</v>
      </c>
      <c r="CG166" s="52">
        <f t="shared" si="234"/>
        <v>0</v>
      </c>
      <c r="CH166" s="52">
        <f t="shared" si="234"/>
        <v>0</v>
      </c>
      <c r="CI166" s="52">
        <f t="shared" si="234"/>
        <v>0</v>
      </c>
      <c r="CJ166" s="52">
        <f t="shared" si="234"/>
        <v>0</v>
      </c>
      <c r="CK166" s="52">
        <f t="shared" si="234"/>
        <v>0</v>
      </c>
      <c r="CL166" s="52">
        <f t="shared" si="234"/>
        <v>0</v>
      </c>
      <c r="CM166" s="52">
        <f t="shared" si="234"/>
        <v>0</v>
      </c>
      <c r="CN166" s="52">
        <f t="shared" si="234"/>
        <v>0</v>
      </c>
      <c r="CO166" s="52">
        <f t="shared" si="234"/>
        <v>0</v>
      </c>
      <c r="CP166" s="52">
        <f t="shared" si="234"/>
        <v>0</v>
      </c>
      <c r="CQ166" s="52">
        <f t="shared" si="226"/>
        <v>0</v>
      </c>
      <c r="CR166" s="52">
        <f t="shared" si="227"/>
        <v>0</v>
      </c>
      <c r="CS166" s="52">
        <f t="shared" si="228"/>
        <v>0</v>
      </c>
      <c r="CT166" s="52">
        <f t="shared" si="229"/>
        <v>0</v>
      </c>
      <c r="CU166" s="52">
        <f t="shared" si="230"/>
        <v>0</v>
      </c>
      <c r="CV166" s="52">
        <f t="shared" si="231"/>
        <v>0</v>
      </c>
      <c r="CW166" s="52">
        <f t="shared" si="232"/>
        <v>0</v>
      </c>
    </row>
    <row r="167" spans="1:101">
      <c r="A167" s="60">
        <v>45089</v>
      </c>
      <c r="B167" s="426">
        <v>54966.1</v>
      </c>
      <c r="C167">
        <v>54962.8</v>
      </c>
      <c r="D167">
        <v>54809.9</v>
      </c>
      <c r="E167">
        <v>53715.9</v>
      </c>
      <c r="F167">
        <v>54506.5</v>
      </c>
      <c r="G167">
        <v>54527.5</v>
      </c>
      <c r="H167">
        <v>52978.2</v>
      </c>
      <c r="I167">
        <v>53936.4</v>
      </c>
      <c r="J167">
        <v>54114.1</v>
      </c>
      <c r="K167">
        <v>54633</v>
      </c>
      <c r="L167">
        <v>54888.1</v>
      </c>
      <c r="M167">
        <v>54712.7</v>
      </c>
      <c r="N167">
        <v>54817.7</v>
      </c>
      <c r="O167">
        <v>54701.7</v>
      </c>
      <c r="P167">
        <v>54800.2</v>
      </c>
      <c r="Q167">
        <v>54654.9</v>
      </c>
      <c r="R167">
        <v>54493.2</v>
      </c>
      <c r="S167">
        <v>54658.7</v>
      </c>
      <c r="T167">
        <v>54649.7</v>
      </c>
      <c r="U167">
        <v>67379.399999999994</v>
      </c>
      <c r="V167">
        <v>68499</v>
      </c>
      <c r="W167">
        <v>68029</v>
      </c>
      <c r="X167">
        <v>67383.100000000006</v>
      </c>
      <c r="Y167">
        <v>67914.2</v>
      </c>
      <c r="Z167" s="77">
        <v>1374731.9999999995</v>
      </c>
      <c r="AB167" s="52">
        <f t="shared" si="236"/>
        <v>0</v>
      </c>
      <c r="AC167" s="52">
        <f t="shared" si="239"/>
        <v>0</v>
      </c>
      <c r="AD167" s="52">
        <f t="shared" si="240"/>
        <v>0</v>
      </c>
      <c r="AE167" s="52">
        <f t="shared" si="241"/>
        <v>0</v>
      </c>
      <c r="AF167" s="52">
        <f t="shared" si="242"/>
        <v>0</v>
      </c>
      <c r="AG167" s="52">
        <f t="shared" si="243"/>
        <v>0</v>
      </c>
      <c r="AH167" s="52">
        <f t="shared" si="244"/>
        <v>0</v>
      </c>
      <c r="AI167" s="52">
        <f t="shared" si="245"/>
        <v>0</v>
      </c>
      <c r="AJ167" s="52">
        <f t="shared" si="246"/>
        <v>0</v>
      </c>
      <c r="AK167" s="52">
        <f t="shared" si="247"/>
        <v>0</v>
      </c>
      <c r="AL167" s="52">
        <f t="shared" si="248"/>
        <v>0</v>
      </c>
      <c r="AM167" s="52">
        <f t="shared" si="249"/>
        <v>0</v>
      </c>
      <c r="AN167" s="52">
        <f t="shared" si="250"/>
        <v>0</v>
      </c>
      <c r="AO167" s="52">
        <f t="shared" si="251"/>
        <v>0</v>
      </c>
      <c r="AP167" s="52">
        <f t="shared" si="252"/>
        <v>0</v>
      </c>
      <c r="AQ167" s="52">
        <f t="shared" si="253"/>
        <v>0</v>
      </c>
      <c r="AR167" s="52">
        <f t="shared" si="254"/>
        <v>0</v>
      </c>
      <c r="AS167" s="52">
        <f t="shared" si="255"/>
        <v>0</v>
      </c>
      <c r="AT167" s="52">
        <f t="shared" si="256"/>
        <v>0</v>
      </c>
      <c r="AU167" s="52">
        <f t="shared" si="257"/>
        <v>0</v>
      </c>
      <c r="AV167" s="52">
        <f t="shared" si="258"/>
        <v>0</v>
      </c>
      <c r="AW167" s="52">
        <f t="shared" si="259"/>
        <v>0</v>
      </c>
      <c r="AX167" s="52">
        <f t="shared" si="260"/>
        <v>0</v>
      </c>
      <c r="AY167" s="52">
        <f t="shared" si="237"/>
        <v>0</v>
      </c>
      <c r="BA167" s="52">
        <f t="shared" si="238"/>
        <v>7</v>
      </c>
      <c r="BB167" s="52">
        <f t="shared" si="261"/>
        <v>7</v>
      </c>
      <c r="BC167" s="52">
        <f t="shared" si="262"/>
        <v>7</v>
      </c>
      <c r="BD167" s="52">
        <f t="shared" si="263"/>
        <v>7</v>
      </c>
      <c r="BE167" s="52">
        <f t="shared" si="264"/>
        <v>7</v>
      </c>
      <c r="BF167" s="52">
        <f t="shared" si="265"/>
        <v>7</v>
      </c>
      <c r="BG167" s="52">
        <f t="shared" si="266"/>
        <v>7</v>
      </c>
      <c r="BH167" s="52">
        <f t="shared" si="267"/>
        <v>7</v>
      </c>
      <c r="BI167" s="52">
        <f t="shared" si="268"/>
        <v>7</v>
      </c>
      <c r="BJ167" s="52">
        <f t="shared" si="269"/>
        <v>7</v>
      </c>
      <c r="BK167" s="52">
        <f t="shared" si="270"/>
        <v>7</v>
      </c>
      <c r="BL167" s="52">
        <f t="shared" si="271"/>
        <v>7</v>
      </c>
      <c r="BM167" s="52">
        <f t="shared" si="272"/>
        <v>7</v>
      </c>
      <c r="BN167" s="52">
        <f t="shared" si="273"/>
        <v>7</v>
      </c>
      <c r="BO167" s="52">
        <f t="shared" si="274"/>
        <v>7</v>
      </c>
      <c r="BP167" s="52">
        <f t="shared" si="275"/>
        <v>7</v>
      </c>
      <c r="BQ167" s="52">
        <f t="shared" si="276"/>
        <v>7</v>
      </c>
      <c r="BR167" s="52">
        <f t="shared" si="277"/>
        <v>7</v>
      </c>
      <c r="BS167" s="52">
        <f t="shared" si="278"/>
        <v>7</v>
      </c>
      <c r="BT167" s="52">
        <f t="shared" si="279"/>
        <v>8</v>
      </c>
      <c r="BU167" s="52">
        <f t="shared" si="280"/>
        <v>8</v>
      </c>
      <c r="BV167" s="52">
        <f t="shared" si="281"/>
        <v>8</v>
      </c>
      <c r="BW167" s="52">
        <f t="shared" si="282"/>
        <v>8</v>
      </c>
      <c r="BX167" s="52">
        <f t="shared" si="283"/>
        <v>8</v>
      </c>
      <c r="BZ167">
        <f t="shared" si="225"/>
        <v>0</v>
      </c>
      <c r="CA167">
        <f t="shared" si="234"/>
        <v>0</v>
      </c>
      <c r="CB167">
        <f t="shared" si="234"/>
        <v>0</v>
      </c>
      <c r="CC167">
        <f t="shared" si="234"/>
        <v>0</v>
      </c>
      <c r="CD167">
        <f t="shared" si="234"/>
        <v>0</v>
      </c>
      <c r="CE167">
        <f t="shared" si="234"/>
        <v>0</v>
      </c>
      <c r="CF167">
        <f t="shared" si="234"/>
        <v>0</v>
      </c>
      <c r="CG167">
        <f t="shared" si="234"/>
        <v>0</v>
      </c>
      <c r="CH167">
        <f t="shared" si="234"/>
        <v>0</v>
      </c>
      <c r="CI167">
        <f t="shared" si="234"/>
        <v>0</v>
      </c>
      <c r="CJ167">
        <f t="shared" si="234"/>
        <v>0</v>
      </c>
      <c r="CK167">
        <f t="shared" si="234"/>
        <v>0</v>
      </c>
      <c r="CL167">
        <f t="shared" si="234"/>
        <v>0</v>
      </c>
      <c r="CM167">
        <f t="shared" si="234"/>
        <v>0</v>
      </c>
      <c r="CN167">
        <f t="shared" ref="CN167:CP169" si="284">BO167-BN167</f>
        <v>0</v>
      </c>
      <c r="CO167">
        <f t="shared" si="284"/>
        <v>0</v>
      </c>
      <c r="CP167">
        <f t="shared" si="284"/>
        <v>0</v>
      </c>
      <c r="CQ167">
        <f t="shared" si="226"/>
        <v>0</v>
      </c>
      <c r="CR167">
        <f t="shared" si="227"/>
        <v>0</v>
      </c>
      <c r="CS167">
        <f t="shared" si="228"/>
        <v>1</v>
      </c>
      <c r="CT167">
        <f t="shared" si="229"/>
        <v>0</v>
      </c>
      <c r="CU167">
        <f t="shared" si="230"/>
        <v>0</v>
      </c>
      <c r="CV167">
        <f t="shared" si="231"/>
        <v>0</v>
      </c>
      <c r="CW167">
        <f t="shared" si="232"/>
        <v>0</v>
      </c>
    </row>
    <row r="168" spans="1:101">
      <c r="A168" s="60">
        <v>45090</v>
      </c>
      <c r="B168" s="426">
        <v>60401.599999999999</v>
      </c>
      <c r="C168">
        <v>53004.9</v>
      </c>
      <c r="D168">
        <v>53048.2</v>
      </c>
      <c r="E168">
        <v>53150.5</v>
      </c>
      <c r="F168">
        <v>53095.199999999997</v>
      </c>
      <c r="G168">
        <v>52961.8</v>
      </c>
      <c r="H168">
        <v>52698.8</v>
      </c>
      <c r="I168">
        <v>53910.7</v>
      </c>
      <c r="J168">
        <v>54300.3</v>
      </c>
      <c r="K168">
        <v>54685.3</v>
      </c>
      <c r="L168">
        <v>54912.800000000003</v>
      </c>
      <c r="M168">
        <v>54432.800000000003</v>
      </c>
      <c r="N168">
        <v>54933.1</v>
      </c>
      <c r="O168">
        <v>54008.6</v>
      </c>
      <c r="P168">
        <v>54426.1</v>
      </c>
      <c r="Q168">
        <v>62708</v>
      </c>
      <c r="R168">
        <v>68182.8</v>
      </c>
      <c r="S168">
        <v>68254.5</v>
      </c>
      <c r="T168">
        <v>68415.7</v>
      </c>
      <c r="U168">
        <v>68331.600000000006</v>
      </c>
      <c r="V168">
        <v>68231.899999999994</v>
      </c>
      <c r="W168">
        <v>67740.7</v>
      </c>
      <c r="X168">
        <v>68046.8</v>
      </c>
      <c r="Y168">
        <v>66091.100000000006</v>
      </c>
      <c r="Z168" s="77">
        <v>1419973.8000000003</v>
      </c>
      <c r="AB168">
        <f t="shared" si="236"/>
        <v>0</v>
      </c>
      <c r="AC168">
        <f t="shared" si="239"/>
        <v>0</v>
      </c>
      <c r="AD168">
        <f t="shared" si="240"/>
        <v>0</v>
      </c>
      <c r="AE168">
        <f t="shared" si="241"/>
        <v>0</v>
      </c>
      <c r="AF168">
        <f t="shared" si="242"/>
        <v>0</v>
      </c>
      <c r="AG168">
        <f t="shared" si="243"/>
        <v>0</v>
      </c>
      <c r="AH168">
        <f t="shared" si="244"/>
        <v>0</v>
      </c>
      <c r="AI168">
        <f t="shared" si="245"/>
        <v>0</v>
      </c>
      <c r="AJ168">
        <f t="shared" si="246"/>
        <v>0</v>
      </c>
      <c r="AK168">
        <f t="shared" si="247"/>
        <v>0</v>
      </c>
      <c r="AL168">
        <f t="shared" si="248"/>
        <v>0</v>
      </c>
      <c r="AM168">
        <f t="shared" si="249"/>
        <v>0</v>
      </c>
      <c r="AN168">
        <f t="shared" si="250"/>
        <v>0</v>
      </c>
      <c r="AO168">
        <f t="shared" si="251"/>
        <v>0</v>
      </c>
      <c r="AP168">
        <f t="shared" si="252"/>
        <v>0</v>
      </c>
      <c r="AQ168">
        <f t="shared" si="253"/>
        <v>0</v>
      </c>
      <c r="AR168">
        <f t="shared" si="254"/>
        <v>0</v>
      </c>
      <c r="AS168">
        <f t="shared" si="255"/>
        <v>0</v>
      </c>
      <c r="AT168">
        <f t="shared" si="256"/>
        <v>0</v>
      </c>
      <c r="AU168">
        <f t="shared" si="257"/>
        <v>0</v>
      </c>
      <c r="AV168">
        <f t="shared" si="258"/>
        <v>0</v>
      </c>
      <c r="AW168">
        <f t="shared" si="259"/>
        <v>0</v>
      </c>
      <c r="AX168">
        <f t="shared" si="260"/>
        <v>0</v>
      </c>
      <c r="AY168">
        <f t="shared" si="237"/>
        <v>0</v>
      </c>
      <c r="BA168">
        <f t="shared" si="238"/>
        <v>7</v>
      </c>
      <c r="BB168">
        <f t="shared" si="261"/>
        <v>7</v>
      </c>
      <c r="BC168">
        <f t="shared" si="262"/>
        <v>7</v>
      </c>
      <c r="BD168">
        <f t="shared" si="263"/>
        <v>7</v>
      </c>
      <c r="BE168">
        <f t="shared" si="264"/>
        <v>7</v>
      </c>
      <c r="BF168">
        <f t="shared" si="265"/>
        <v>7</v>
      </c>
      <c r="BG168">
        <f t="shared" si="266"/>
        <v>6</v>
      </c>
      <c r="BH168">
        <f t="shared" si="267"/>
        <v>7</v>
      </c>
      <c r="BI168">
        <f t="shared" si="268"/>
        <v>7</v>
      </c>
      <c r="BJ168">
        <f t="shared" si="269"/>
        <v>7</v>
      </c>
      <c r="BK168">
        <f t="shared" si="270"/>
        <v>7</v>
      </c>
      <c r="BL168">
        <f t="shared" si="271"/>
        <v>7</v>
      </c>
      <c r="BM168">
        <f t="shared" si="272"/>
        <v>7</v>
      </c>
      <c r="BN168">
        <f t="shared" si="273"/>
        <v>7</v>
      </c>
      <c r="BO168">
        <f t="shared" si="274"/>
        <v>7</v>
      </c>
      <c r="BP168">
        <f t="shared" si="275"/>
        <v>8</v>
      </c>
      <c r="BQ168">
        <f t="shared" si="276"/>
        <v>8</v>
      </c>
      <c r="BR168">
        <f t="shared" si="277"/>
        <v>8</v>
      </c>
      <c r="BS168">
        <f t="shared" si="278"/>
        <v>8</v>
      </c>
      <c r="BT168">
        <f t="shared" si="279"/>
        <v>8</v>
      </c>
      <c r="BU168">
        <f t="shared" si="280"/>
        <v>8</v>
      </c>
      <c r="BV168">
        <f t="shared" si="281"/>
        <v>8</v>
      </c>
      <c r="BW168">
        <f t="shared" si="282"/>
        <v>8</v>
      </c>
      <c r="BX168">
        <f t="shared" si="283"/>
        <v>8</v>
      </c>
      <c r="BZ168" s="52">
        <f t="shared" si="225"/>
        <v>-1</v>
      </c>
      <c r="CA168" s="52">
        <f t="shared" ref="CA168:CP185" si="285">BB168-BA168</f>
        <v>0</v>
      </c>
      <c r="CB168" s="52">
        <f t="shared" ref="CB168:CM169" si="286">BC168-BB168</f>
        <v>0</v>
      </c>
      <c r="CC168" s="52">
        <f t="shared" si="286"/>
        <v>0</v>
      </c>
      <c r="CD168" s="52">
        <f t="shared" si="286"/>
        <v>0</v>
      </c>
      <c r="CE168" s="52">
        <f t="shared" si="286"/>
        <v>0</v>
      </c>
      <c r="CF168" s="52">
        <f t="shared" si="286"/>
        <v>-1</v>
      </c>
      <c r="CG168" s="52">
        <f t="shared" si="286"/>
        <v>1</v>
      </c>
      <c r="CH168" s="52">
        <f t="shared" si="286"/>
        <v>0</v>
      </c>
      <c r="CI168" s="52">
        <f t="shared" si="286"/>
        <v>0</v>
      </c>
      <c r="CJ168" s="52">
        <f t="shared" si="286"/>
        <v>0</v>
      </c>
      <c r="CK168" s="52">
        <f t="shared" si="286"/>
        <v>0</v>
      </c>
      <c r="CL168" s="52">
        <f t="shared" si="286"/>
        <v>0</v>
      </c>
      <c r="CM168" s="52">
        <f t="shared" si="286"/>
        <v>0</v>
      </c>
      <c r="CN168" s="52">
        <f t="shared" si="284"/>
        <v>0</v>
      </c>
      <c r="CO168" s="52">
        <f t="shared" si="284"/>
        <v>1</v>
      </c>
      <c r="CP168" s="52">
        <f t="shared" si="284"/>
        <v>0</v>
      </c>
      <c r="CQ168" s="52">
        <f t="shared" si="226"/>
        <v>0</v>
      </c>
      <c r="CR168" s="52">
        <f t="shared" si="227"/>
        <v>0</v>
      </c>
      <c r="CS168" s="52">
        <f t="shared" si="228"/>
        <v>0</v>
      </c>
      <c r="CT168" s="52">
        <f t="shared" si="229"/>
        <v>0</v>
      </c>
      <c r="CU168" s="52">
        <f t="shared" si="230"/>
        <v>0</v>
      </c>
      <c r="CV168" s="52">
        <f t="shared" si="231"/>
        <v>0</v>
      </c>
      <c r="CW168" s="52">
        <f t="shared" si="232"/>
        <v>0</v>
      </c>
    </row>
    <row r="169" spans="1:101">
      <c r="A169" s="60">
        <v>45091</v>
      </c>
      <c r="B169" s="426">
        <v>54956.6</v>
      </c>
      <c r="C169">
        <v>54140.9</v>
      </c>
      <c r="D169">
        <v>54082.9</v>
      </c>
      <c r="E169">
        <v>54079.9</v>
      </c>
      <c r="F169">
        <v>54003.1</v>
      </c>
      <c r="G169">
        <v>54097.7</v>
      </c>
      <c r="H169">
        <v>53998</v>
      </c>
      <c r="I169">
        <v>54113.7</v>
      </c>
      <c r="J169">
        <v>54160.6</v>
      </c>
      <c r="K169">
        <v>54071.5</v>
      </c>
      <c r="L169">
        <v>54409.5</v>
      </c>
      <c r="M169">
        <v>54308</v>
      </c>
      <c r="N169">
        <v>54238.8</v>
      </c>
      <c r="O169">
        <v>53771.3</v>
      </c>
      <c r="P169">
        <v>57369.3</v>
      </c>
      <c r="Q169">
        <v>67807.5</v>
      </c>
      <c r="R169">
        <v>67997.600000000006</v>
      </c>
      <c r="S169">
        <v>68619.5</v>
      </c>
      <c r="T169">
        <v>68678.2</v>
      </c>
      <c r="U169">
        <v>67803.8</v>
      </c>
      <c r="V169">
        <v>67670</v>
      </c>
      <c r="W169">
        <v>67825.600000000006</v>
      </c>
      <c r="X169">
        <v>68123.899999999994</v>
      </c>
      <c r="Y169">
        <v>68025.600000000006</v>
      </c>
      <c r="Z169" s="77">
        <v>1428353.5000000002</v>
      </c>
      <c r="AB169" s="52">
        <f t="shared" si="236"/>
        <v>0</v>
      </c>
      <c r="AC169" s="52">
        <f t="shared" si="239"/>
        <v>0</v>
      </c>
      <c r="AD169" s="52">
        <f t="shared" si="240"/>
        <v>0</v>
      </c>
      <c r="AE169" s="52">
        <f t="shared" si="241"/>
        <v>0</v>
      </c>
      <c r="AF169" s="52">
        <f t="shared" si="242"/>
        <v>0</v>
      </c>
      <c r="AG169" s="52">
        <f t="shared" si="243"/>
        <v>0</v>
      </c>
      <c r="AH169" s="52">
        <f t="shared" si="244"/>
        <v>0</v>
      </c>
      <c r="AI169" s="52">
        <f t="shared" si="245"/>
        <v>0</v>
      </c>
      <c r="AJ169" s="52">
        <f t="shared" si="246"/>
        <v>0</v>
      </c>
      <c r="AK169" s="52">
        <f t="shared" si="247"/>
        <v>0</v>
      </c>
      <c r="AL169" s="52">
        <f t="shared" si="248"/>
        <v>0</v>
      </c>
      <c r="AM169" s="52">
        <f t="shared" si="249"/>
        <v>0</v>
      </c>
      <c r="AN169" s="52">
        <f t="shared" si="250"/>
        <v>0</v>
      </c>
      <c r="AO169" s="52">
        <f t="shared" si="251"/>
        <v>0</v>
      </c>
      <c r="AP169" s="52">
        <f t="shared" si="252"/>
        <v>0</v>
      </c>
      <c r="AQ169" s="52">
        <f t="shared" si="253"/>
        <v>0</v>
      </c>
      <c r="AR169" s="52">
        <f t="shared" si="254"/>
        <v>0</v>
      </c>
      <c r="AS169" s="52">
        <f t="shared" si="255"/>
        <v>0</v>
      </c>
      <c r="AT169" s="52">
        <f t="shared" si="256"/>
        <v>0</v>
      </c>
      <c r="AU169" s="52">
        <f t="shared" si="257"/>
        <v>0</v>
      </c>
      <c r="AV169" s="52">
        <f t="shared" si="258"/>
        <v>0</v>
      </c>
      <c r="AW169" s="52">
        <f t="shared" si="259"/>
        <v>0</v>
      </c>
      <c r="AX169" s="52">
        <f t="shared" si="260"/>
        <v>0</v>
      </c>
      <c r="AY169" s="52">
        <f t="shared" si="237"/>
        <v>0</v>
      </c>
      <c r="BA169" s="52">
        <f t="shared" si="238"/>
        <v>7</v>
      </c>
      <c r="BB169" s="52">
        <f t="shared" si="261"/>
        <v>7</v>
      </c>
      <c r="BC169" s="52">
        <f t="shared" si="262"/>
        <v>7</v>
      </c>
      <c r="BD169" s="52">
        <f t="shared" si="263"/>
        <v>7</v>
      </c>
      <c r="BE169" s="52">
        <f t="shared" si="264"/>
        <v>7</v>
      </c>
      <c r="BF169" s="52">
        <f t="shared" si="265"/>
        <v>7</v>
      </c>
      <c r="BG169" s="52">
        <f t="shared" si="266"/>
        <v>7</v>
      </c>
      <c r="BH169" s="52">
        <f t="shared" si="267"/>
        <v>7</v>
      </c>
      <c r="BI169" s="52">
        <f t="shared" si="268"/>
        <v>7</v>
      </c>
      <c r="BJ169" s="52">
        <f t="shared" si="269"/>
        <v>7</v>
      </c>
      <c r="BK169" s="52">
        <f t="shared" si="270"/>
        <v>7</v>
      </c>
      <c r="BL169" s="52">
        <f t="shared" si="271"/>
        <v>7</v>
      </c>
      <c r="BM169" s="52">
        <f t="shared" si="272"/>
        <v>7</v>
      </c>
      <c r="BN169" s="52">
        <f t="shared" si="273"/>
        <v>7</v>
      </c>
      <c r="BO169" s="52">
        <f t="shared" si="274"/>
        <v>7</v>
      </c>
      <c r="BP169" s="52">
        <f t="shared" si="275"/>
        <v>8</v>
      </c>
      <c r="BQ169" s="52">
        <f t="shared" si="276"/>
        <v>8</v>
      </c>
      <c r="BR169" s="52">
        <f t="shared" si="277"/>
        <v>8</v>
      </c>
      <c r="BS169" s="52">
        <f t="shared" si="278"/>
        <v>8</v>
      </c>
      <c r="BT169" s="52">
        <f t="shared" si="279"/>
        <v>8</v>
      </c>
      <c r="BU169" s="52">
        <f t="shared" si="280"/>
        <v>8</v>
      </c>
      <c r="BV169" s="52">
        <f t="shared" si="281"/>
        <v>8</v>
      </c>
      <c r="BW169" s="52">
        <f t="shared" si="282"/>
        <v>8</v>
      </c>
      <c r="BX169" s="52">
        <f t="shared" si="283"/>
        <v>8</v>
      </c>
      <c r="BZ169">
        <f t="shared" si="225"/>
        <v>-1</v>
      </c>
      <c r="CA169">
        <f t="shared" si="285"/>
        <v>0</v>
      </c>
      <c r="CB169">
        <f t="shared" si="286"/>
        <v>0</v>
      </c>
      <c r="CC169">
        <f t="shared" si="286"/>
        <v>0</v>
      </c>
      <c r="CD169">
        <f t="shared" si="286"/>
        <v>0</v>
      </c>
      <c r="CE169">
        <f t="shared" si="286"/>
        <v>0</v>
      </c>
      <c r="CF169">
        <f t="shared" si="286"/>
        <v>0</v>
      </c>
      <c r="CG169">
        <f t="shared" si="286"/>
        <v>0</v>
      </c>
      <c r="CH169">
        <f t="shared" si="286"/>
        <v>0</v>
      </c>
      <c r="CI169">
        <f t="shared" si="286"/>
        <v>0</v>
      </c>
      <c r="CJ169">
        <f t="shared" si="286"/>
        <v>0</v>
      </c>
      <c r="CK169">
        <f t="shared" si="286"/>
        <v>0</v>
      </c>
      <c r="CL169">
        <f t="shared" si="286"/>
        <v>0</v>
      </c>
      <c r="CM169">
        <f t="shared" si="286"/>
        <v>0</v>
      </c>
      <c r="CN169">
        <f t="shared" si="284"/>
        <v>0</v>
      </c>
      <c r="CO169">
        <f t="shared" si="284"/>
        <v>1</v>
      </c>
      <c r="CP169">
        <f t="shared" si="284"/>
        <v>0</v>
      </c>
      <c r="CQ169">
        <f t="shared" si="226"/>
        <v>0</v>
      </c>
      <c r="CR169">
        <f t="shared" si="227"/>
        <v>0</v>
      </c>
      <c r="CS169">
        <f t="shared" si="228"/>
        <v>0</v>
      </c>
      <c r="CT169">
        <f t="shared" si="229"/>
        <v>0</v>
      </c>
      <c r="CU169">
        <f t="shared" si="230"/>
        <v>0</v>
      </c>
      <c r="CV169">
        <f t="shared" si="231"/>
        <v>0</v>
      </c>
      <c r="CW169">
        <f t="shared" si="232"/>
        <v>0</v>
      </c>
    </row>
    <row r="170" spans="1:101">
      <c r="A170" s="60">
        <v>45092</v>
      </c>
      <c r="B170" s="426">
        <v>54262.9</v>
      </c>
      <c r="C170">
        <v>53301.1</v>
      </c>
      <c r="D170">
        <v>53346.400000000001</v>
      </c>
      <c r="E170">
        <v>53346.6</v>
      </c>
      <c r="F170">
        <v>53344.6</v>
      </c>
      <c r="G170">
        <v>54918.6</v>
      </c>
      <c r="H170">
        <v>53436.4</v>
      </c>
      <c r="I170">
        <v>53297.599999999999</v>
      </c>
      <c r="J170">
        <v>55611</v>
      </c>
      <c r="K170">
        <v>55017.9</v>
      </c>
      <c r="L170">
        <v>54404.7</v>
      </c>
      <c r="M170">
        <v>54469</v>
      </c>
      <c r="N170">
        <v>54645.599999999999</v>
      </c>
      <c r="O170">
        <v>56136</v>
      </c>
      <c r="P170">
        <v>68257.8</v>
      </c>
      <c r="Q170">
        <v>67462.8</v>
      </c>
      <c r="R170">
        <v>67766.2</v>
      </c>
      <c r="S170">
        <v>55023.5</v>
      </c>
      <c r="T170">
        <v>62482.9</v>
      </c>
      <c r="U170">
        <v>69015.8</v>
      </c>
      <c r="V170">
        <v>67880.5</v>
      </c>
      <c r="W170">
        <v>65565.399999999994</v>
      </c>
      <c r="X170">
        <v>69000.600000000006</v>
      </c>
      <c r="Y170">
        <v>69382.5</v>
      </c>
      <c r="Z170" s="77">
        <v>1421376.4</v>
      </c>
      <c r="AB170">
        <f t="shared" si="236"/>
        <v>0</v>
      </c>
      <c r="AC170">
        <f t="shared" si="239"/>
        <v>0</v>
      </c>
      <c r="AD170">
        <f t="shared" si="240"/>
        <v>0</v>
      </c>
      <c r="AE170">
        <f t="shared" si="241"/>
        <v>0</v>
      </c>
      <c r="AF170">
        <f t="shared" si="242"/>
        <v>0</v>
      </c>
      <c r="AG170">
        <f t="shared" si="243"/>
        <v>0</v>
      </c>
      <c r="AH170">
        <f t="shared" si="244"/>
        <v>0</v>
      </c>
      <c r="AI170">
        <f t="shared" si="245"/>
        <v>0</v>
      </c>
      <c r="AJ170">
        <f t="shared" si="246"/>
        <v>0</v>
      </c>
      <c r="AK170">
        <f t="shared" si="247"/>
        <v>0</v>
      </c>
      <c r="AL170">
        <f t="shared" si="248"/>
        <v>0</v>
      </c>
      <c r="AM170">
        <f t="shared" si="249"/>
        <v>0</v>
      </c>
      <c r="AN170">
        <f t="shared" si="250"/>
        <v>0</v>
      </c>
      <c r="AO170">
        <f t="shared" si="251"/>
        <v>0</v>
      </c>
      <c r="AP170">
        <f t="shared" si="252"/>
        <v>0</v>
      </c>
      <c r="AQ170">
        <f t="shared" si="253"/>
        <v>0</v>
      </c>
      <c r="AR170">
        <f t="shared" si="254"/>
        <v>0</v>
      </c>
      <c r="AS170">
        <f t="shared" si="255"/>
        <v>0</v>
      </c>
      <c r="AT170">
        <f t="shared" si="256"/>
        <v>0</v>
      </c>
      <c r="AU170">
        <f t="shared" si="257"/>
        <v>0</v>
      </c>
      <c r="AV170">
        <f t="shared" si="258"/>
        <v>0</v>
      </c>
      <c r="AW170">
        <f t="shared" si="259"/>
        <v>0</v>
      </c>
      <c r="AX170">
        <f t="shared" si="260"/>
        <v>0</v>
      </c>
      <c r="AY170">
        <f t="shared" si="237"/>
        <v>0</v>
      </c>
      <c r="BA170">
        <f t="shared" si="238"/>
        <v>7</v>
      </c>
      <c r="BB170">
        <f t="shared" si="261"/>
        <v>7</v>
      </c>
      <c r="BC170">
        <f t="shared" si="262"/>
        <v>7</v>
      </c>
      <c r="BD170">
        <f t="shared" si="263"/>
        <v>7</v>
      </c>
      <c r="BE170">
        <f t="shared" si="264"/>
        <v>7</v>
      </c>
      <c r="BF170">
        <f t="shared" si="265"/>
        <v>7</v>
      </c>
      <c r="BG170">
        <f t="shared" si="266"/>
        <v>7</v>
      </c>
      <c r="BH170">
        <f t="shared" si="267"/>
        <v>7</v>
      </c>
      <c r="BI170">
        <f t="shared" si="268"/>
        <v>7</v>
      </c>
      <c r="BJ170">
        <f t="shared" si="269"/>
        <v>7</v>
      </c>
      <c r="BK170">
        <f t="shared" si="270"/>
        <v>7</v>
      </c>
      <c r="BL170">
        <f t="shared" si="271"/>
        <v>7</v>
      </c>
      <c r="BM170">
        <f t="shared" si="272"/>
        <v>7</v>
      </c>
      <c r="BN170">
        <f t="shared" si="273"/>
        <v>7</v>
      </c>
      <c r="BO170">
        <f t="shared" si="274"/>
        <v>8</v>
      </c>
      <c r="BP170">
        <f t="shared" si="275"/>
        <v>8</v>
      </c>
      <c r="BQ170">
        <f t="shared" si="276"/>
        <v>8</v>
      </c>
      <c r="BR170">
        <f t="shared" si="277"/>
        <v>7</v>
      </c>
      <c r="BS170">
        <f t="shared" si="278"/>
        <v>8</v>
      </c>
      <c r="BT170">
        <f t="shared" si="279"/>
        <v>8</v>
      </c>
      <c r="BU170">
        <f t="shared" si="280"/>
        <v>8</v>
      </c>
      <c r="BV170">
        <f t="shared" si="281"/>
        <v>8</v>
      </c>
      <c r="BW170">
        <f t="shared" si="282"/>
        <v>8</v>
      </c>
      <c r="BX170">
        <f t="shared" si="283"/>
        <v>8</v>
      </c>
      <c r="BZ170" s="52">
        <f t="shared" si="225"/>
        <v>-1</v>
      </c>
      <c r="CA170" s="52">
        <f t="shared" si="285"/>
        <v>0</v>
      </c>
      <c r="CB170" s="52">
        <f t="shared" si="285"/>
        <v>0</v>
      </c>
      <c r="CC170" s="52">
        <f t="shared" si="285"/>
        <v>0</v>
      </c>
      <c r="CD170" s="52">
        <f t="shared" si="285"/>
        <v>0</v>
      </c>
      <c r="CE170" s="52">
        <f t="shared" si="285"/>
        <v>0</v>
      </c>
      <c r="CF170" s="52">
        <f t="shared" si="285"/>
        <v>0</v>
      </c>
      <c r="CG170" s="52">
        <f t="shared" si="285"/>
        <v>0</v>
      </c>
      <c r="CH170" s="52">
        <f t="shared" si="285"/>
        <v>0</v>
      </c>
      <c r="CI170" s="52">
        <f t="shared" si="285"/>
        <v>0</v>
      </c>
      <c r="CJ170" s="52">
        <f t="shared" si="285"/>
        <v>0</v>
      </c>
      <c r="CK170" s="52">
        <f t="shared" si="285"/>
        <v>0</v>
      </c>
      <c r="CL170" s="52">
        <f t="shared" si="285"/>
        <v>0</v>
      </c>
      <c r="CM170" s="52">
        <f t="shared" si="285"/>
        <v>0</v>
      </c>
      <c r="CN170" s="52">
        <f t="shared" si="285"/>
        <v>1</v>
      </c>
      <c r="CO170" s="52">
        <f t="shared" si="285"/>
        <v>0</v>
      </c>
      <c r="CP170" s="52">
        <f t="shared" si="285"/>
        <v>0</v>
      </c>
      <c r="CQ170" s="52">
        <f t="shared" si="226"/>
        <v>-1</v>
      </c>
      <c r="CR170" s="52">
        <f t="shared" si="227"/>
        <v>1</v>
      </c>
      <c r="CS170" s="52">
        <f t="shared" si="228"/>
        <v>0</v>
      </c>
      <c r="CT170" s="52">
        <f t="shared" si="229"/>
        <v>0</v>
      </c>
      <c r="CU170" s="52">
        <f t="shared" si="230"/>
        <v>0</v>
      </c>
      <c r="CV170" s="52">
        <f t="shared" si="231"/>
        <v>0</v>
      </c>
      <c r="CW170" s="52">
        <f t="shared" si="232"/>
        <v>0</v>
      </c>
    </row>
    <row r="171" spans="1:101">
      <c r="A171" s="60">
        <v>45093</v>
      </c>
      <c r="B171" s="426">
        <v>64601.7</v>
      </c>
      <c r="C171">
        <v>54709.2</v>
      </c>
      <c r="D171">
        <v>54537.8</v>
      </c>
      <c r="E171">
        <v>54613.2</v>
      </c>
      <c r="F171">
        <v>54669.2</v>
      </c>
      <c r="G171">
        <v>54694.1</v>
      </c>
      <c r="H171">
        <v>53942.400000000001</v>
      </c>
      <c r="I171">
        <v>54647</v>
      </c>
      <c r="J171">
        <v>54219</v>
      </c>
      <c r="K171">
        <v>54045.7</v>
      </c>
      <c r="L171">
        <v>53926.5</v>
      </c>
      <c r="M171">
        <v>54110.8</v>
      </c>
      <c r="N171">
        <v>45297.1</v>
      </c>
      <c r="O171">
        <v>44835</v>
      </c>
      <c r="P171">
        <v>58069.599999999999</v>
      </c>
      <c r="Q171">
        <v>59224.1</v>
      </c>
      <c r="R171">
        <v>62499</v>
      </c>
      <c r="S171">
        <v>62621.9</v>
      </c>
      <c r="T171">
        <v>61142.1</v>
      </c>
      <c r="U171">
        <v>61857.599999999999</v>
      </c>
      <c r="V171">
        <v>60155.1</v>
      </c>
      <c r="W171">
        <v>60042.5</v>
      </c>
      <c r="X171">
        <v>60096.800000000003</v>
      </c>
      <c r="Y171">
        <v>60085.9</v>
      </c>
      <c r="Z171" s="77">
        <v>1358643.3000000003</v>
      </c>
      <c r="AB171" s="52">
        <f t="shared" si="236"/>
        <v>0</v>
      </c>
      <c r="AC171" s="52">
        <f t="shared" si="239"/>
        <v>0</v>
      </c>
      <c r="AD171" s="52">
        <f t="shared" si="240"/>
        <v>0</v>
      </c>
      <c r="AE171" s="52">
        <f t="shared" si="241"/>
        <v>0</v>
      </c>
      <c r="AF171" s="52">
        <f t="shared" si="242"/>
        <v>0</v>
      </c>
      <c r="AG171" s="52">
        <f t="shared" si="243"/>
        <v>0</v>
      </c>
      <c r="AH171" s="52">
        <f t="shared" si="244"/>
        <v>0</v>
      </c>
      <c r="AI171" s="52">
        <f t="shared" si="245"/>
        <v>0</v>
      </c>
      <c r="AJ171" s="52">
        <f t="shared" si="246"/>
        <v>0</v>
      </c>
      <c r="AK171" s="52">
        <f t="shared" si="247"/>
        <v>0</v>
      </c>
      <c r="AL171" s="52">
        <f t="shared" si="248"/>
        <v>0</v>
      </c>
      <c r="AM171" s="52">
        <f t="shared" si="249"/>
        <v>0</v>
      </c>
      <c r="AN171" s="52">
        <f t="shared" si="250"/>
        <v>0</v>
      </c>
      <c r="AO171" s="52">
        <f>+IF(AND(O171=0,P171&lt;&gt;1),1,1)</f>
        <v>1</v>
      </c>
      <c r="AP171" s="52">
        <f t="shared" si="252"/>
        <v>0</v>
      </c>
      <c r="AQ171" s="52">
        <f t="shared" si="253"/>
        <v>0</v>
      </c>
      <c r="AR171" s="52">
        <f t="shared" si="254"/>
        <v>0</v>
      </c>
      <c r="AS171" s="52">
        <f t="shared" si="255"/>
        <v>0</v>
      </c>
      <c r="AT171" s="52">
        <f t="shared" si="256"/>
        <v>0</v>
      </c>
      <c r="AU171" s="52">
        <f t="shared" si="257"/>
        <v>0</v>
      </c>
      <c r="AV171" s="52">
        <f t="shared" si="258"/>
        <v>0</v>
      </c>
      <c r="AW171" s="52">
        <f t="shared" si="259"/>
        <v>0</v>
      </c>
      <c r="AX171" s="52">
        <f t="shared" si="260"/>
        <v>0</v>
      </c>
      <c r="AY171" s="52">
        <f t="shared" si="237"/>
        <v>0</v>
      </c>
      <c r="BA171" s="52">
        <f t="shared" si="238"/>
        <v>8</v>
      </c>
      <c r="BB171" s="52">
        <f t="shared" si="261"/>
        <v>7</v>
      </c>
      <c r="BC171" s="52">
        <f t="shared" si="262"/>
        <v>7</v>
      </c>
      <c r="BD171" s="52">
        <f t="shared" si="263"/>
        <v>7</v>
      </c>
      <c r="BE171" s="52">
        <f t="shared" si="264"/>
        <v>7</v>
      </c>
      <c r="BF171" s="52">
        <f t="shared" si="265"/>
        <v>7</v>
      </c>
      <c r="BG171" s="52">
        <f t="shared" si="266"/>
        <v>7</v>
      </c>
      <c r="BH171" s="52">
        <f t="shared" si="267"/>
        <v>7</v>
      </c>
      <c r="BI171" s="52">
        <f t="shared" si="268"/>
        <v>7</v>
      </c>
      <c r="BJ171" s="52">
        <f t="shared" si="269"/>
        <v>7</v>
      </c>
      <c r="BK171" s="52">
        <f t="shared" si="270"/>
        <v>7</v>
      </c>
      <c r="BL171" s="52">
        <f t="shared" si="271"/>
        <v>7</v>
      </c>
      <c r="BM171" s="52">
        <f t="shared" si="272"/>
        <v>6</v>
      </c>
      <c r="BN171" s="52">
        <f t="shared" si="273"/>
        <v>6</v>
      </c>
      <c r="BO171" s="52">
        <f t="shared" si="274"/>
        <v>7</v>
      </c>
      <c r="BP171" s="52">
        <f t="shared" si="275"/>
        <v>7</v>
      </c>
      <c r="BQ171" s="52">
        <f t="shared" si="276"/>
        <v>8</v>
      </c>
      <c r="BR171" s="52">
        <f t="shared" si="277"/>
        <v>8</v>
      </c>
      <c r="BS171" s="52">
        <f t="shared" si="278"/>
        <v>7</v>
      </c>
      <c r="BT171" s="52">
        <f t="shared" si="279"/>
        <v>8</v>
      </c>
      <c r="BU171" s="52">
        <f t="shared" si="280"/>
        <v>7</v>
      </c>
      <c r="BV171" s="52">
        <f t="shared" si="281"/>
        <v>7</v>
      </c>
      <c r="BW171" s="52">
        <f t="shared" si="282"/>
        <v>7</v>
      </c>
      <c r="BX171" s="52">
        <f t="shared" si="283"/>
        <v>7</v>
      </c>
      <c r="BZ171">
        <f t="shared" si="225"/>
        <v>0</v>
      </c>
      <c r="CA171">
        <f t="shared" si="285"/>
        <v>-1</v>
      </c>
      <c r="CB171">
        <f t="shared" si="285"/>
        <v>0</v>
      </c>
      <c r="CC171">
        <f t="shared" si="285"/>
        <v>0</v>
      </c>
      <c r="CD171">
        <f t="shared" si="285"/>
        <v>0</v>
      </c>
      <c r="CE171">
        <f t="shared" si="285"/>
        <v>0</v>
      </c>
      <c r="CF171">
        <f t="shared" si="285"/>
        <v>0</v>
      </c>
      <c r="CG171">
        <f t="shared" si="285"/>
        <v>0</v>
      </c>
      <c r="CH171">
        <f t="shared" si="285"/>
        <v>0</v>
      </c>
      <c r="CI171">
        <f t="shared" si="285"/>
        <v>0</v>
      </c>
      <c r="CJ171">
        <f t="shared" si="285"/>
        <v>0</v>
      </c>
      <c r="CK171">
        <f t="shared" si="285"/>
        <v>0</v>
      </c>
      <c r="CL171">
        <f t="shared" si="285"/>
        <v>-1</v>
      </c>
      <c r="CM171">
        <f t="shared" si="285"/>
        <v>0</v>
      </c>
      <c r="CN171">
        <f t="shared" si="285"/>
        <v>1</v>
      </c>
      <c r="CO171">
        <f t="shared" si="285"/>
        <v>0</v>
      </c>
      <c r="CP171">
        <f t="shared" si="285"/>
        <v>1</v>
      </c>
      <c r="CQ171">
        <f t="shared" si="226"/>
        <v>0</v>
      </c>
      <c r="CR171">
        <f t="shared" si="227"/>
        <v>-1</v>
      </c>
      <c r="CS171">
        <f t="shared" si="228"/>
        <v>1</v>
      </c>
      <c r="CT171">
        <f t="shared" si="229"/>
        <v>-1</v>
      </c>
      <c r="CU171">
        <f t="shared" si="230"/>
        <v>0</v>
      </c>
      <c r="CV171">
        <f t="shared" si="231"/>
        <v>0</v>
      </c>
      <c r="CW171">
        <f t="shared" si="232"/>
        <v>0</v>
      </c>
    </row>
    <row r="172" spans="1:101">
      <c r="A172" s="60">
        <v>45094</v>
      </c>
      <c r="B172" s="426">
        <v>67256.800000000003</v>
      </c>
      <c r="C172">
        <v>55165.9</v>
      </c>
      <c r="D172">
        <v>54861.7</v>
      </c>
      <c r="E172">
        <v>55017.3</v>
      </c>
      <c r="F172">
        <v>54960.5</v>
      </c>
      <c r="G172">
        <v>54838.7</v>
      </c>
      <c r="H172">
        <v>54620.3</v>
      </c>
      <c r="I172">
        <v>54743.3</v>
      </c>
      <c r="J172">
        <v>54728</v>
      </c>
      <c r="K172">
        <v>54680.800000000003</v>
      </c>
      <c r="L172">
        <v>54708.4</v>
      </c>
      <c r="M172">
        <v>54414.400000000001</v>
      </c>
      <c r="N172">
        <v>54374.400000000001</v>
      </c>
      <c r="O172">
        <v>54299.5</v>
      </c>
      <c r="P172">
        <v>54481.9</v>
      </c>
      <c r="Q172">
        <v>54294.7</v>
      </c>
      <c r="R172">
        <v>54396.6</v>
      </c>
      <c r="S172">
        <v>54275.6</v>
      </c>
      <c r="T172">
        <v>54359.5</v>
      </c>
      <c r="U172">
        <v>68155.399999999994</v>
      </c>
      <c r="V172">
        <v>68685.399999999994</v>
      </c>
      <c r="W172">
        <v>68315.600000000006</v>
      </c>
      <c r="X172">
        <v>58998.7</v>
      </c>
      <c r="Y172">
        <v>54210.6</v>
      </c>
      <c r="Z172" s="77">
        <v>1368844</v>
      </c>
      <c r="AB172">
        <f t="shared" si="236"/>
        <v>0</v>
      </c>
      <c r="AC172">
        <f t="shared" si="239"/>
        <v>0</v>
      </c>
      <c r="AD172">
        <f t="shared" si="240"/>
        <v>0</v>
      </c>
      <c r="AE172">
        <f t="shared" si="241"/>
        <v>0</v>
      </c>
      <c r="AF172">
        <f t="shared" si="242"/>
        <v>0</v>
      </c>
      <c r="AG172">
        <f t="shared" si="243"/>
        <v>0</v>
      </c>
      <c r="AH172">
        <f t="shared" si="244"/>
        <v>0</v>
      </c>
      <c r="AI172">
        <f t="shared" si="245"/>
        <v>0</v>
      </c>
      <c r="AJ172">
        <f t="shared" si="246"/>
        <v>0</v>
      </c>
      <c r="AK172">
        <f t="shared" si="247"/>
        <v>0</v>
      </c>
      <c r="AL172">
        <f t="shared" si="248"/>
        <v>0</v>
      </c>
      <c r="AM172">
        <f t="shared" si="249"/>
        <v>0</v>
      </c>
      <c r="AN172">
        <f t="shared" si="250"/>
        <v>0</v>
      </c>
      <c r="AO172">
        <f t="shared" si="251"/>
        <v>0</v>
      </c>
      <c r="AP172">
        <f t="shared" si="252"/>
        <v>0</v>
      </c>
      <c r="AQ172">
        <f t="shared" si="253"/>
        <v>0</v>
      </c>
      <c r="AR172">
        <f t="shared" si="254"/>
        <v>0</v>
      </c>
      <c r="AS172">
        <f t="shared" si="255"/>
        <v>0</v>
      </c>
      <c r="AT172">
        <f t="shared" si="256"/>
        <v>0</v>
      </c>
      <c r="AU172">
        <f t="shared" si="257"/>
        <v>0</v>
      </c>
      <c r="AV172">
        <f t="shared" si="258"/>
        <v>0</v>
      </c>
      <c r="AW172">
        <f t="shared" si="259"/>
        <v>0</v>
      </c>
      <c r="AX172">
        <f t="shared" si="260"/>
        <v>0</v>
      </c>
      <c r="AY172">
        <f t="shared" si="237"/>
        <v>0</v>
      </c>
      <c r="BA172">
        <f t="shared" si="238"/>
        <v>8</v>
      </c>
      <c r="BB172">
        <f t="shared" si="261"/>
        <v>7</v>
      </c>
      <c r="BC172">
        <f t="shared" si="262"/>
        <v>7</v>
      </c>
      <c r="BD172">
        <f t="shared" si="263"/>
        <v>7</v>
      </c>
      <c r="BE172">
        <f t="shared" si="264"/>
        <v>7</v>
      </c>
      <c r="BF172">
        <f t="shared" si="265"/>
        <v>7</v>
      </c>
      <c r="BG172">
        <f t="shared" si="266"/>
        <v>7</v>
      </c>
      <c r="BH172">
        <f t="shared" si="267"/>
        <v>7</v>
      </c>
      <c r="BI172">
        <f t="shared" si="268"/>
        <v>7</v>
      </c>
      <c r="BJ172">
        <f t="shared" si="269"/>
        <v>7</v>
      </c>
      <c r="BK172">
        <f t="shared" si="270"/>
        <v>7</v>
      </c>
      <c r="BL172">
        <f t="shared" si="271"/>
        <v>7</v>
      </c>
      <c r="BM172">
        <f t="shared" si="272"/>
        <v>7</v>
      </c>
      <c r="BN172">
        <f t="shared" si="273"/>
        <v>7</v>
      </c>
      <c r="BO172">
        <f t="shared" si="274"/>
        <v>7</v>
      </c>
      <c r="BP172">
        <f t="shared" si="275"/>
        <v>7</v>
      </c>
      <c r="BQ172">
        <f t="shared" si="276"/>
        <v>7</v>
      </c>
      <c r="BR172">
        <f t="shared" si="277"/>
        <v>7</v>
      </c>
      <c r="BS172">
        <f t="shared" si="278"/>
        <v>7</v>
      </c>
      <c r="BT172">
        <f t="shared" si="279"/>
        <v>8</v>
      </c>
      <c r="BU172">
        <f t="shared" si="280"/>
        <v>8</v>
      </c>
      <c r="BV172">
        <f t="shared" si="281"/>
        <v>8</v>
      </c>
      <c r="BW172">
        <f t="shared" si="282"/>
        <v>7</v>
      </c>
      <c r="BX172">
        <f t="shared" si="283"/>
        <v>7</v>
      </c>
      <c r="BZ172" s="52">
        <f t="shared" si="225"/>
        <v>1</v>
      </c>
      <c r="CA172" s="52">
        <f t="shared" si="285"/>
        <v>-1</v>
      </c>
      <c r="CB172" s="52">
        <f t="shared" si="285"/>
        <v>0</v>
      </c>
      <c r="CC172" s="52">
        <f t="shared" si="285"/>
        <v>0</v>
      </c>
      <c r="CD172" s="52">
        <f t="shared" si="285"/>
        <v>0</v>
      </c>
      <c r="CE172" s="52">
        <f t="shared" si="285"/>
        <v>0</v>
      </c>
      <c r="CF172" s="52">
        <f t="shared" si="285"/>
        <v>0</v>
      </c>
      <c r="CG172" s="52">
        <f t="shared" si="285"/>
        <v>0</v>
      </c>
      <c r="CH172" s="52">
        <f t="shared" si="285"/>
        <v>0</v>
      </c>
      <c r="CI172" s="52">
        <f t="shared" si="285"/>
        <v>0</v>
      </c>
      <c r="CJ172" s="52">
        <f t="shared" si="285"/>
        <v>0</v>
      </c>
      <c r="CK172" s="52">
        <f t="shared" si="285"/>
        <v>0</v>
      </c>
      <c r="CL172" s="52">
        <f t="shared" si="285"/>
        <v>0</v>
      </c>
      <c r="CM172" s="52">
        <f t="shared" si="285"/>
        <v>0</v>
      </c>
      <c r="CN172" s="52">
        <f t="shared" si="285"/>
        <v>0</v>
      </c>
      <c r="CO172" s="52">
        <f t="shared" si="285"/>
        <v>0</v>
      </c>
      <c r="CP172" s="52">
        <f t="shared" si="285"/>
        <v>0</v>
      </c>
      <c r="CQ172" s="52">
        <f t="shared" si="226"/>
        <v>0</v>
      </c>
      <c r="CR172" s="52">
        <f t="shared" si="227"/>
        <v>0</v>
      </c>
      <c r="CS172" s="52">
        <f t="shared" si="228"/>
        <v>1</v>
      </c>
      <c r="CT172" s="52">
        <f t="shared" si="229"/>
        <v>0</v>
      </c>
      <c r="CU172" s="52">
        <f t="shared" si="230"/>
        <v>0</v>
      </c>
      <c r="CV172" s="52">
        <f t="shared" si="231"/>
        <v>-1</v>
      </c>
      <c r="CW172" s="52">
        <f t="shared" si="232"/>
        <v>0</v>
      </c>
    </row>
    <row r="173" spans="1:101">
      <c r="A173" s="60">
        <v>45095</v>
      </c>
      <c r="B173" s="426">
        <v>54123.4</v>
      </c>
      <c r="C173">
        <v>54434.1</v>
      </c>
      <c r="D173">
        <v>54164.800000000003</v>
      </c>
      <c r="E173">
        <v>53965.599999999999</v>
      </c>
      <c r="F173">
        <v>54163.8</v>
      </c>
      <c r="G173">
        <v>53993.7</v>
      </c>
      <c r="H173">
        <v>54470.8</v>
      </c>
      <c r="I173">
        <v>54472</v>
      </c>
      <c r="J173">
        <v>54575.199999999997</v>
      </c>
      <c r="K173">
        <v>54474.3</v>
      </c>
      <c r="L173">
        <v>54400.800000000003</v>
      </c>
      <c r="M173">
        <v>54530.9</v>
      </c>
      <c r="N173">
        <v>54387.199999999997</v>
      </c>
      <c r="O173">
        <v>54279.199999999997</v>
      </c>
      <c r="P173">
        <v>54306.1</v>
      </c>
      <c r="Q173">
        <v>54292.6</v>
      </c>
      <c r="R173">
        <v>54217.599999999999</v>
      </c>
      <c r="S173">
        <v>54079.3</v>
      </c>
      <c r="T173">
        <v>58976.7</v>
      </c>
      <c r="U173">
        <v>67909.2</v>
      </c>
      <c r="V173">
        <v>68448.800000000003</v>
      </c>
      <c r="W173">
        <v>68337.2</v>
      </c>
      <c r="X173">
        <v>67786.100000000006</v>
      </c>
      <c r="Y173">
        <v>67874.100000000006</v>
      </c>
      <c r="Z173" s="77">
        <v>1376663.5000000002</v>
      </c>
      <c r="AB173" s="52">
        <f t="shared" si="236"/>
        <v>0</v>
      </c>
      <c r="AC173" s="52">
        <f t="shared" si="239"/>
        <v>0</v>
      </c>
      <c r="AD173" s="52">
        <f t="shared" si="240"/>
        <v>0</v>
      </c>
      <c r="AE173" s="52">
        <f t="shared" si="241"/>
        <v>0</v>
      </c>
      <c r="AF173" s="52">
        <f t="shared" si="242"/>
        <v>0</v>
      </c>
      <c r="AG173" s="52">
        <f t="shared" si="243"/>
        <v>0</v>
      </c>
      <c r="AH173" s="52">
        <f t="shared" si="244"/>
        <v>0</v>
      </c>
      <c r="AI173" s="52">
        <f t="shared" si="245"/>
        <v>0</v>
      </c>
      <c r="AJ173" s="52">
        <f t="shared" si="246"/>
        <v>0</v>
      </c>
      <c r="AK173" s="52">
        <f t="shared" si="247"/>
        <v>0</v>
      </c>
      <c r="AL173" s="52">
        <f t="shared" si="248"/>
        <v>0</v>
      </c>
      <c r="AM173" s="52">
        <f t="shared" si="249"/>
        <v>0</v>
      </c>
      <c r="AN173" s="52">
        <f t="shared" si="250"/>
        <v>0</v>
      </c>
      <c r="AO173" s="52">
        <f t="shared" si="251"/>
        <v>0</v>
      </c>
      <c r="AP173" s="52">
        <f t="shared" si="252"/>
        <v>0</v>
      </c>
      <c r="AQ173" s="52">
        <f t="shared" si="253"/>
        <v>0</v>
      </c>
      <c r="AR173" s="52">
        <f t="shared" si="254"/>
        <v>0</v>
      </c>
      <c r="AS173" s="52">
        <f t="shared" si="255"/>
        <v>0</v>
      </c>
      <c r="AT173" s="52">
        <f t="shared" si="256"/>
        <v>0</v>
      </c>
      <c r="AU173" s="52">
        <f t="shared" si="257"/>
        <v>0</v>
      </c>
      <c r="AV173" s="52">
        <f t="shared" si="258"/>
        <v>0</v>
      </c>
      <c r="AW173" s="52">
        <f t="shared" si="259"/>
        <v>0</v>
      </c>
      <c r="AX173" s="52">
        <f t="shared" si="260"/>
        <v>0</v>
      </c>
      <c r="AY173" s="52">
        <f t="shared" si="237"/>
        <v>0</v>
      </c>
      <c r="BA173" s="52">
        <f t="shared" si="238"/>
        <v>7</v>
      </c>
      <c r="BB173" s="52">
        <f t="shared" si="261"/>
        <v>7</v>
      </c>
      <c r="BC173" s="52">
        <f t="shared" si="262"/>
        <v>7</v>
      </c>
      <c r="BD173" s="52">
        <f t="shared" si="263"/>
        <v>7</v>
      </c>
      <c r="BE173" s="52">
        <f t="shared" si="264"/>
        <v>7</v>
      </c>
      <c r="BF173" s="52">
        <f t="shared" si="265"/>
        <v>7</v>
      </c>
      <c r="BG173" s="52">
        <f t="shared" si="266"/>
        <v>7</v>
      </c>
      <c r="BH173" s="52">
        <f t="shared" si="267"/>
        <v>7</v>
      </c>
      <c r="BI173" s="52">
        <f t="shared" si="268"/>
        <v>7</v>
      </c>
      <c r="BJ173" s="52">
        <f t="shared" si="269"/>
        <v>7</v>
      </c>
      <c r="BK173" s="52">
        <f t="shared" si="270"/>
        <v>7</v>
      </c>
      <c r="BL173" s="52">
        <f t="shared" si="271"/>
        <v>7</v>
      </c>
      <c r="BM173" s="52">
        <f t="shared" si="272"/>
        <v>7</v>
      </c>
      <c r="BN173" s="52">
        <f t="shared" si="273"/>
        <v>7</v>
      </c>
      <c r="BO173" s="52">
        <f t="shared" si="274"/>
        <v>7</v>
      </c>
      <c r="BP173" s="52">
        <f t="shared" si="275"/>
        <v>7</v>
      </c>
      <c r="BQ173" s="52">
        <f t="shared" si="276"/>
        <v>7</v>
      </c>
      <c r="BR173" s="52">
        <f t="shared" si="277"/>
        <v>7</v>
      </c>
      <c r="BS173" s="52">
        <f t="shared" si="278"/>
        <v>7</v>
      </c>
      <c r="BT173" s="52">
        <f t="shared" si="279"/>
        <v>8</v>
      </c>
      <c r="BU173" s="52">
        <f t="shared" si="280"/>
        <v>8</v>
      </c>
      <c r="BV173" s="52">
        <f t="shared" si="281"/>
        <v>8</v>
      </c>
      <c r="BW173" s="52">
        <f t="shared" si="282"/>
        <v>8</v>
      </c>
      <c r="BX173" s="52">
        <f t="shared" si="283"/>
        <v>8</v>
      </c>
      <c r="BZ173">
        <f t="shared" si="225"/>
        <v>0</v>
      </c>
      <c r="CA173">
        <f t="shared" si="285"/>
        <v>0</v>
      </c>
      <c r="CB173">
        <f t="shared" si="285"/>
        <v>0</v>
      </c>
      <c r="CC173">
        <f t="shared" si="285"/>
        <v>0</v>
      </c>
      <c r="CD173">
        <f t="shared" si="285"/>
        <v>0</v>
      </c>
      <c r="CE173">
        <f t="shared" si="285"/>
        <v>0</v>
      </c>
      <c r="CF173">
        <f t="shared" si="285"/>
        <v>0</v>
      </c>
      <c r="CG173">
        <f t="shared" si="285"/>
        <v>0</v>
      </c>
      <c r="CH173">
        <f t="shared" si="285"/>
        <v>0</v>
      </c>
      <c r="CI173">
        <f t="shared" si="285"/>
        <v>0</v>
      </c>
      <c r="CJ173">
        <f t="shared" si="285"/>
        <v>0</v>
      </c>
      <c r="CK173">
        <f t="shared" si="285"/>
        <v>0</v>
      </c>
      <c r="CL173">
        <f t="shared" si="285"/>
        <v>0</v>
      </c>
      <c r="CM173">
        <f t="shared" si="285"/>
        <v>0</v>
      </c>
      <c r="CN173">
        <f t="shared" si="285"/>
        <v>0</v>
      </c>
      <c r="CO173">
        <f t="shared" si="285"/>
        <v>0</v>
      </c>
      <c r="CP173">
        <f t="shared" si="285"/>
        <v>0</v>
      </c>
      <c r="CQ173">
        <f t="shared" si="226"/>
        <v>0</v>
      </c>
      <c r="CR173">
        <f t="shared" si="227"/>
        <v>0</v>
      </c>
      <c r="CS173">
        <f t="shared" si="228"/>
        <v>1</v>
      </c>
      <c r="CT173">
        <f t="shared" si="229"/>
        <v>0</v>
      </c>
      <c r="CU173">
        <f t="shared" si="230"/>
        <v>0</v>
      </c>
      <c r="CV173">
        <f t="shared" si="231"/>
        <v>0</v>
      </c>
      <c r="CW173">
        <f t="shared" si="232"/>
        <v>0</v>
      </c>
    </row>
    <row r="174" spans="1:101">
      <c r="A174" s="60">
        <v>45096</v>
      </c>
      <c r="B174" s="426">
        <v>67911.7</v>
      </c>
      <c r="C174">
        <v>55161.599999999999</v>
      </c>
      <c r="D174">
        <v>53781.2</v>
      </c>
      <c r="E174">
        <v>54267.199999999997</v>
      </c>
      <c r="F174">
        <v>54354.400000000001</v>
      </c>
      <c r="G174">
        <v>54388</v>
      </c>
      <c r="H174">
        <v>54231.6</v>
      </c>
      <c r="I174">
        <v>52588.800000000003</v>
      </c>
      <c r="J174">
        <v>52704</v>
      </c>
      <c r="K174">
        <v>53472.3</v>
      </c>
      <c r="L174">
        <v>53599.1</v>
      </c>
      <c r="M174">
        <v>53506.3</v>
      </c>
      <c r="N174">
        <v>53616.7</v>
      </c>
      <c r="O174">
        <v>53437.9</v>
      </c>
      <c r="P174">
        <v>53489</v>
      </c>
      <c r="Q174">
        <v>53507.199999999997</v>
      </c>
      <c r="R174">
        <v>53446.400000000001</v>
      </c>
      <c r="S174">
        <v>53409.4</v>
      </c>
      <c r="T174">
        <v>60408.2</v>
      </c>
      <c r="U174">
        <v>68233.3</v>
      </c>
      <c r="V174">
        <v>68372.5</v>
      </c>
      <c r="W174">
        <v>68563.3</v>
      </c>
      <c r="X174">
        <v>68351.8</v>
      </c>
      <c r="Y174">
        <v>55408.4</v>
      </c>
      <c r="Z174" s="77">
        <v>1370210.3</v>
      </c>
      <c r="AB174">
        <f t="shared" si="236"/>
        <v>0</v>
      </c>
      <c r="AC174">
        <f t="shared" si="239"/>
        <v>0</v>
      </c>
      <c r="AD174">
        <f t="shared" si="240"/>
        <v>0</v>
      </c>
      <c r="AE174">
        <f t="shared" si="241"/>
        <v>0</v>
      </c>
      <c r="AF174">
        <f t="shared" si="242"/>
        <v>0</v>
      </c>
      <c r="AG174">
        <f t="shared" si="243"/>
        <v>0</v>
      </c>
      <c r="AH174">
        <f t="shared" si="244"/>
        <v>0</v>
      </c>
      <c r="AI174">
        <f t="shared" si="245"/>
        <v>0</v>
      </c>
      <c r="AJ174">
        <f t="shared" si="246"/>
        <v>0</v>
      </c>
      <c r="AK174">
        <f t="shared" si="247"/>
        <v>0</v>
      </c>
      <c r="AL174">
        <f t="shared" si="248"/>
        <v>0</v>
      </c>
      <c r="AM174">
        <f t="shared" si="249"/>
        <v>0</v>
      </c>
      <c r="AN174">
        <f t="shared" si="250"/>
        <v>0</v>
      </c>
      <c r="AO174">
        <f t="shared" si="251"/>
        <v>0</v>
      </c>
      <c r="AP174">
        <f t="shared" si="252"/>
        <v>0</v>
      </c>
      <c r="AQ174">
        <f t="shared" si="253"/>
        <v>0</v>
      </c>
      <c r="AR174">
        <f t="shared" si="254"/>
        <v>0</v>
      </c>
      <c r="AS174">
        <f t="shared" si="255"/>
        <v>0</v>
      </c>
      <c r="AT174">
        <f t="shared" si="256"/>
        <v>0</v>
      </c>
      <c r="AU174">
        <f t="shared" si="257"/>
        <v>0</v>
      </c>
      <c r="AV174">
        <f t="shared" si="258"/>
        <v>0</v>
      </c>
      <c r="AW174">
        <f t="shared" si="259"/>
        <v>0</v>
      </c>
      <c r="AX174">
        <f t="shared" si="260"/>
        <v>0</v>
      </c>
      <c r="AY174">
        <f t="shared" si="237"/>
        <v>0</v>
      </c>
      <c r="BA174">
        <f t="shared" si="238"/>
        <v>8</v>
      </c>
      <c r="BB174">
        <f t="shared" si="261"/>
        <v>7</v>
      </c>
      <c r="BC174">
        <f t="shared" si="262"/>
        <v>7</v>
      </c>
      <c r="BD174">
        <f t="shared" si="263"/>
        <v>7</v>
      </c>
      <c r="BE174">
        <f t="shared" si="264"/>
        <v>7</v>
      </c>
      <c r="BF174">
        <f t="shared" si="265"/>
        <v>7</v>
      </c>
      <c r="BG174">
        <f t="shared" si="266"/>
        <v>7</v>
      </c>
      <c r="BH174">
        <f t="shared" si="267"/>
        <v>6</v>
      </c>
      <c r="BI174">
        <f t="shared" si="268"/>
        <v>6</v>
      </c>
      <c r="BJ174">
        <f t="shared" si="269"/>
        <v>7</v>
      </c>
      <c r="BK174">
        <f t="shared" si="270"/>
        <v>7</v>
      </c>
      <c r="BL174">
        <f t="shared" si="271"/>
        <v>7</v>
      </c>
      <c r="BM174">
        <f t="shared" si="272"/>
        <v>7</v>
      </c>
      <c r="BN174">
        <f t="shared" si="273"/>
        <v>7</v>
      </c>
      <c r="BO174">
        <f t="shared" si="274"/>
        <v>7</v>
      </c>
      <c r="BP174">
        <f t="shared" si="275"/>
        <v>7</v>
      </c>
      <c r="BQ174">
        <f t="shared" si="276"/>
        <v>7</v>
      </c>
      <c r="BR174">
        <f t="shared" si="277"/>
        <v>7</v>
      </c>
      <c r="BS174">
        <f t="shared" si="278"/>
        <v>7</v>
      </c>
      <c r="BT174">
        <f t="shared" si="279"/>
        <v>8</v>
      </c>
      <c r="BU174">
        <f t="shared" si="280"/>
        <v>8</v>
      </c>
      <c r="BV174">
        <f t="shared" si="281"/>
        <v>8</v>
      </c>
      <c r="BW174">
        <f t="shared" si="282"/>
        <v>8</v>
      </c>
      <c r="BX174">
        <f t="shared" si="283"/>
        <v>7</v>
      </c>
      <c r="BZ174" s="52">
        <f t="shared" si="225"/>
        <v>0</v>
      </c>
      <c r="CA174" s="52">
        <f t="shared" si="285"/>
        <v>-1</v>
      </c>
      <c r="CB174" s="52">
        <f t="shared" si="285"/>
        <v>0</v>
      </c>
      <c r="CC174" s="52">
        <f t="shared" si="285"/>
        <v>0</v>
      </c>
      <c r="CD174" s="52">
        <f t="shared" si="285"/>
        <v>0</v>
      </c>
      <c r="CE174" s="52">
        <f t="shared" si="285"/>
        <v>0</v>
      </c>
      <c r="CF174" s="52">
        <f t="shared" si="285"/>
        <v>0</v>
      </c>
      <c r="CG174" s="52">
        <f t="shared" si="285"/>
        <v>-1</v>
      </c>
      <c r="CH174" s="52">
        <f t="shared" si="285"/>
        <v>0</v>
      </c>
      <c r="CI174" s="52">
        <f t="shared" si="285"/>
        <v>1</v>
      </c>
      <c r="CJ174" s="52">
        <f t="shared" si="285"/>
        <v>0</v>
      </c>
      <c r="CK174" s="52">
        <f t="shared" si="285"/>
        <v>0</v>
      </c>
      <c r="CL174" s="52">
        <f t="shared" si="285"/>
        <v>0</v>
      </c>
      <c r="CM174" s="52">
        <f t="shared" si="285"/>
        <v>0</v>
      </c>
      <c r="CN174" s="52">
        <f t="shared" si="285"/>
        <v>0</v>
      </c>
      <c r="CO174" s="52">
        <f t="shared" si="285"/>
        <v>0</v>
      </c>
      <c r="CP174" s="52">
        <f t="shared" si="285"/>
        <v>0</v>
      </c>
      <c r="CQ174" s="52">
        <f t="shared" si="226"/>
        <v>0</v>
      </c>
      <c r="CR174" s="52">
        <f t="shared" si="227"/>
        <v>0</v>
      </c>
      <c r="CS174" s="52">
        <f t="shared" si="228"/>
        <v>1</v>
      </c>
      <c r="CT174" s="52">
        <f t="shared" si="229"/>
        <v>0</v>
      </c>
      <c r="CU174" s="52">
        <f t="shared" si="230"/>
        <v>0</v>
      </c>
      <c r="CV174" s="52">
        <f t="shared" si="231"/>
        <v>0</v>
      </c>
      <c r="CW174" s="52">
        <f t="shared" si="232"/>
        <v>-1</v>
      </c>
    </row>
    <row r="175" spans="1:101">
      <c r="A175" s="60">
        <v>45097</v>
      </c>
      <c r="B175" s="426">
        <v>66035</v>
      </c>
      <c r="C175">
        <v>68480.399999999994</v>
      </c>
      <c r="D175">
        <v>63960.6</v>
      </c>
      <c r="E175">
        <v>54602.6</v>
      </c>
      <c r="F175">
        <v>54636.7</v>
      </c>
      <c r="G175">
        <v>54874.2</v>
      </c>
      <c r="H175">
        <v>53885.2</v>
      </c>
      <c r="I175">
        <v>54541.5</v>
      </c>
      <c r="J175">
        <v>54135</v>
      </c>
      <c r="K175">
        <v>54291.4</v>
      </c>
      <c r="L175">
        <v>54342</v>
      </c>
      <c r="M175">
        <v>54479.8</v>
      </c>
      <c r="N175">
        <v>53853.9</v>
      </c>
      <c r="O175">
        <v>60488.4</v>
      </c>
      <c r="P175">
        <v>67838.8</v>
      </c>
      <c r="Q175">
        <v>68026.7</v>
      </c>
      <c r="R175">
        <v>61715</v>
      </c>
      <c r="S175">
        <v>55427.8</v>
      </c>
      <c r="T175">
        <v>60231.1</v>
      </c>
      <c r="U175">
        <v>60889.8</v>
      </c>
      <c r="V175">
        <v>60854.1</v>
      </c>
      <c r="W175">
        <v>60253.7</v>
      </c>
      <c r="X175">
        <v>60576.2</v>
      </c>
      <c r="Y175">
        <v>60441.7</v>
      </c>
      <c r="Z175" s="77">
        <v>1418861.6</v>
      </c>
      <c r="AB175" s="52">
        <f t="shared" si="236"/>
        <v>0</v>
      </c>
      <c r="AC175" s="52">
        <f t="shared" si="239"/>
        <v>0</v>
      </c>
      <c r="AD175" s="52">
        <f t="shared" si="240"/>
        <v>0</v>
      </c>
      <c r="AE175" s="52">
        <f t="shared" si="241"/>
        <v>0</v>
      </c>
      <c r="AF175" s="52">
        <f t="shared" si="242"/>
        <v>0</v>
      </c>
      <c r="AG175" s="52">
        <f t="shared" si="243"/>
        <v>0</v>
      </c>
      <c r="AH175" s="52">
        <f t="shared" si="244"/>
        <v>0</v>
      </c>
      <c r="AI175" s="52">
        <f t="shared" si="245"/>
        <v>0</v>
      </c>
      <c r="AJ175" s="52">
        <f t="shared" si="246"/>
        <v>0</v>
      </c>
      <c r="AK175" s="52">
        <f t="shared" si="247"/>
        <v>0</v>
      </c>
      <c r="AL175" s="52">
        <f t="shared" si="248"/>
        <v>0</v>
      </c>
      <c r="AM175" s="52">
        <f t="shared" si="249"/>
        <v>0</v>
      </c>
      <c r="AN175" s="52">
        <f t="shared" si="250"/>
        <v>0</v>
      </c>
      <c r="AO175" s="52">
        <f t="shared" si="251"/>
        <v>0</v>
      </c>
      <c r="AP175" s="52">
        <f t="shared" si="252"/>
        <v>0</v>
      </c>
      <c r="AQ175" s="52">
        <f t="shared" si="253"/>
        <v>0</v>
      </c>
      <c r="AR175" s="52">
        <f t="shared" si="254"/>
        <v>0</v>
      </c>
      <c r="AS175" s="52">
        <f t="shared" si="255"/>
        <v>0</v>
      </c>
      <c r="AT175" s="52">
        <f t="shared" si="256"/>
        <v>0</v>
      </c>
      <c r="AU175" s="52">
        <f t="shared" si="257"/>
        <v>0</v>
      </c>
      <c r="AV175" s="52">
        <f t="shared" si="258"/>
        <v>0</v>
      </c>
      <c r="AW175" s="52">
        <f t="shared" si="259"/>
        <v>0</v>
      </c>
      <c r="AX175" s="52">
        <f t="shared" si="260"/>
        <v>0</v>
      </c>
      <c r="AY175" s="52">
        <f t="shared" si="237"/>
        <v>0</v>
      </c>
      <c r="BA175" s="52">
        <f t="shared" si="238"/>
        <v>8</v>
      </c>
      <c r="BB175" s="52">
        <f t="shared" si="261"/>
        <v>8</v>
      </c>
      <c r="BC175" s="52">
        <f t="shared" si="262"/>
        <v>8</v>
      </c>
      <c r="BD175" s="52">
        <f t="shared" si="263"/>
        <v>7</v>
      </c>
      <c r="BE175" s="52">
        <f t="shared" si="264"/>
        <v>7</v>
      </c>
      <c r="BF175" s="52">
        <f t="shared" si="265"/>
        <v>7</v>
      </c>
      <c r="BG175" s="52">
        <f t="shared" si="266"/>
        <v>7</v>
      </c>
      <c r="BH175" s="52">
        <f t="shared" si="267"/>
        <v>7</v>
      </c>
      <c r="BI175" s="52">
        <f t="shared" si="268"/>
        <v>7</v>
      </c>
      <c r="BJ175" s="52">
        <f t="shared" si="269"/>
        <v>7</v>
      </c>
      <c r="BK175" s="52">
        <f t="shared" si="270"/>
        <v>7</v>
      </c>
      <c r="BL175" s="52">
        <f t="shared" si="271"/>
        <v>7</v>
      </c>
      <c r="BM175" s="52">
        <f t="shared" si="272"/>
        <v>7</v>
      </c>
      <c r="BN175" s="52">
        <f t="shared" si="273"/>
        <v>7</v>
      </c>
      <c r="BO175" s="52">
        <f t="shared" si="274"/>
        <v>8</v>
      </c>
      <c r="BP175" s="52">
        <f t="shared" si="275"/>
        <v>8</v>
      </c>
      <c r="BQ175" s="52">
        <f t="shared" si="276"/>
        <v>8</v>
      </c>
      <c r="BR175" s="52">
        <f t="shared" si="277"/>
        <v>7</v>
      </c>
      <c r="BS175" s="52">
        <f t="shared" si="278"/>
        <v>7</v>
      </c>
      <c r="BT175" s="52">
        <f t="shared" si="279"/>
        <v>7</v>
      </c>
      <c r="BU175" s="52">
        <f t="shared" si="280"/>
        <v>7</v>
      </c>
      <c r="BV175" s="52">
        <f t="shared" si="281"/>
        <v>7</v>
      </c>
      <c r="BW175" s="52">
        <f t="shared" si="282"/>
        <v>7</v>
      </c>
      <c r="BX175" s="52">
        <f t="shared" si="283"/>
        <v>7</v>
      </c>
      <c r="BZ175">
        <f t="shared" si="225"/>
        <v>1</v>
      </c>
      <c r="CA175">
        <f t="shared" si="285"/>
        <v>0</v>
      </c>
      <c r="CB175">
        <f t="shared" si="285"/>
        <v>0</v>
      </c>
      <c r="CC175">
        <f t="shared" si="285"/>
        <v>-1</v>
      </c>
      <c r="CD175">
        <f t="shared" si="285"/>
        <v>0</v>
      </c>
      <c r="CE175">
        <f t="shared" si="285"/>
        <v>0</v>
      </c>
      <c r="CF175">
        <f t="shared" si="285"/>
        <v>0</v>
      </c>
      <c r="CG175">
        <f t="shared" si="285"/>
        <v>0</v>
      </c>
      <c r="CH175">
        <f t="shared" si="285"/>
        <v>0</v>
      </c>
      <c r="CI175">
        <f t="shared" si="285"/>
        <v>0</v>
      </c>
      <c r="CJ175">
        <f t="shared" si="285"/>
        <v>0</v>
      </c>
      <c r="CK175">
        <f t="shared" si="285"/>
        <v>0</v>
      </c>
      <c r="CL175">
        <f t="shared" si="285"/>
        <v>0</v>
      </c>
      <c r="CM175">
        <f t="shared" si="285"/>
        <v>0</v>
      </c>
      <c r="CN175">
        <f t="shared" si="285"/>
        <v>1</v>
      </c>
      <c r="CO175">
        <f t="shared" si="285"/>
        <v>0</v>
      </c>
      <c r="CP175">
        <f t="shared" si="285"/>
        <v>0</v>
      </c>
      <c r="CQ175">
        <f t="shared" si="226"/>
        <v>-1</v>
      </c>
      <c r="CR175">
        <f t="shared" si="227"/>
        <v>0</v>
      </c>
      <c r="CS175">
        <f t="shared" si="228"/>
        <v>0</v>
      </c>
      <c r="CT175">
        <f t="shared" si="229"/>
        <v>0</v>
      </c>
      <c r="CU175">
        <f t="shared" si="230"/>
        <v>0</v>
      </c>
      <c r="CV175">
        <f t="shared" si="231"/>
        <v>0</v>
      </c>
      <c r="CW175">
        <f t="shared" si="232"/>
        <v>0</v>
      </c>
    </row>
    <row r="176" spans="1:101">
      <c r="A176" s="60">
        <v>45098</v>
      </c>
      <c r="B176" s="426">
        <v>60427.5</v>
      </c>
      <c r="C176">
        <v>60812.2</v>
      </c>
      <c r="D176">
        <v>55505.2</v>
      </c>
      <c r="E176">
        <v>54797.2</v>
      </c>
      <c r="F176">
        <v>54821.9</v>
      </c>
      <c r="G176">
        <v>54886.6</v>
      </c>
      <c r="H176">
        <v>54793.2</v>
      </c>
      <c r="I176">
        <v>54994.7</v>
      </c>
      <c r="J176">
        <v>55012.3</v>
      </c>
      <c r="K176">
        <v>55091.9</v>
      </c>
      <c r="L176">
        <v>55096</v>
      </c>
      <c r="M176">
        <v>55254.3</v>
      </c>
      <c r="N176">
        <v>54784.5</v>
      </c>
      <c r="O176">
        <v>56297</v>
      </c>
      <c r="P176">
        <v>67074.7</v>
      </c>
      <c r="Q176">
        <v>68302.899999999994</v>
      </c>
      <c r="R176">
        <v>57040.3</v>
      </c>
      <c r="S176">
        <v>66773.3</v>
      </c>
      <c r="T176">
        <v>63211.5</v>
      </c>
      <c r="U176">
        <v>59961.3</v>
      </c>
      <c r="V176">
        <v>59483.5</v>
      </c>
      <c r="W176">
        <v>60313.7</v>
      </c>
      <c r="X176">
        <v>60156.7</v>
      </c>
      <c r="Y176">
        <v>60004.6</v>
      </c>
      <c r="Z176" s="77">
        <v>1404897.0000000002</v>
      </c>
      <c r="AB176">
        <f t="shared" si="236"/>
        <v>0</v>
      </c>
      <c r="AC176">
        <f t="shared" si="239"/>
        <v>0</v>
      </c>
      <c r="AD176">
        <f t="shared" si="240"/>
        <v>0</v>
      </c>
      <c r="AE176">
        <f t="shared" si="241"/>
        <v>0</v>
      </c>
      <c r="AF176">
        <f t="shared" si="242"/>
        <v>0</v>
      </c>
      <c r="AG176">
        <f t="shared" si="243"/>
        <v>0</v>
      </c>
      <c r="AH176">
        <f t="shared" si="244"/>
        <v>0</v>
      </c>
      <c r="AI176">
        <f t="shared" si="245"/>
        <v>0</v>
      </c>
      <c r="AJ176">
        <f t="shared" si="246"/>
        <v>0</v>
      </c>
      <c r="AK176">
        <f t="shared" si="247"/>
        <v>0</v>
      </c>
      <c r="AL176">
        <f t="shared" si="248"/>
        <v>0</v>
      </c>
      <c r="AM176">
        <f t="shared" si="249"/>
        <v>0</v>
      </c>
      <c r="AN176">
        <f t="shared" si="250"/>
        <v>0</v>
      </c>
      <c r="AO176">
        <f t="shared" si="251"/>
        <v>0</v>
      </c>
      <c r="AP176">
        <f t="shared" si="252"/>
        <v>0</v>
      </c>
      <c r="AQ176">
        <f t="shared" si="253"/>
        <v>0</v>
      </c>
      <c r="AR176">
        <f t="shared" si="254"/>
        <v>0</v>
      </c>
      <c r="AS176">
        <f t="shared" si="255"/>
        <v>0</v>
      </c>
      <c r="AT176">
        <f t="shared" si="256"/>
        <v>0</v>
      </c>
      <c r="AU176">
        <f t="shared" si="257"/>
        <v>0</v>
      </c>
      <c r="AV176">
        <f t="shared" si="258"/>
        <v>0</v>
      </c>
      <c r="AW176">
        <f t="shared" si="259"/>
        <v>0</v>
      </c>
      <c r="AX176">
        <f t="shared" si="260"/>
        <v>0</v>
      </c>
      <c r="AY176">
        <f t="shared" si="237"/>
        <v>0</v>
      </c>
      <c r="BA176">
        <f t="shared" si="238"/>
        <v>7</v>
      </c>
      <c r="BB176">
        <f t="shared" si="261"/>
        <v>7</v>
      </c>
      <c r="BC176">
        <f t="shared" si="262"/>
        <v>7</v>
      </c>
      <c r="BD176">
        <f t="shared" si="263"/>
        <v>7</v>
      </c>
      <c r="BE176">
        <f t="shared" si="264"/>
        <v>7</v>
      </c>
      <c r="BF176">
        <f t="shared" si="265"/>
        <v>7</v>
      </c>
      <c r="BG176">
        <f t="shared" si="266"/>
        <v>7</v>
      </c>
      <c r="BH176">
        <f t="shared" si="267"/>
        <v>7</v>
      </c>
      <c r="BI176">
        <f t="shared" si="268"/>
        <v>7</v>
      </c>
      <c r="BJ176">
        <f t="shared" si="269"/>
        <v>7</v>
      </c>
      <c r="BK176">
        <f t="shared" si="270"/>
        <v>7</v>
      </c>
      <c r="BL176">
        <f t="shared" si="271"/>
        <v>7</v>
      </c>
      <c r="BM176">
        <f t="shared" si="272"/>
        <v>7</v>
      </c>
      <c r="BN176">
        <f t="shared" si="273"/>
        <v>7</v>
      </c>
      <c r="BO176">
        <f t="shared" si="274"/>
        <v>8</v>
      </c>
      <c r="BP176">
        <f t="shared" si="275"/>
        <v>8</v>
      </c>
      <c r="BQ176">
        <f t="shared" si="276"/>
        <v>7</v>
      </c>
      <c r="BR176">
        <f t="shared" si="277"/>
        <v>8</v>
      </c>
      <c r="BS176">
        <f t="shared" si="278"/>
        <v>8</v>
      </c>
      <c r="BT176">
        <f t="shared" si="279"/>
        <v>7</v>
      </c>
      <c r="BU176">
        <f t="shared" si="280"/>
        <v>7</v>
      </c>
      <c r="BV176">
        <f t="shared" si="281"/>
        <v>7</v>
      </c>
      <c r="BW176">
        <f t="shared" si="282"/>
        <v>7</v>
      </c>
      <c r="BX176">
        <f t="shared" si="283"/>
        <v>7</v>
      </c>
      <c r="BZ176" s="52">
        <f t="shared" si="225"/>
        <v>0</v>
      </c>
      <c r="CA176" s="52">
        <f t="shared" si="285"/>
        <v>0</v>
      </c>
      <c r="CB176" s="52">
        <f t="shared" si="285"/>
        <v>0</v>
      </c>
      <c r="CC176" s="52">
        <f t="shared" si="285"/>
        <v>0</v>
      </c>
      <c r="CD176" s="52">
        <f t="shared" si="285"/>
        <v>0</v>
      </c>
      <c r="CE176" s="52">
        <f t="shared" si="285"/>
        <v>0</v>
      </c>
      <c r="CF176" s="52">
        <f t="shared" si="285"/>
        <v>0</v>
      </c>
      <c r="CG176" s="52">
        <f t="shared" si="285"/>
        <v>0</v>
      </c>
      <c r="CH176" s="52">
        <f t="shared" si="285"/>
        <v>0</v>
      </c>
      <c r="CI176" s="52">
        <f t="shared" si="285"/>
        <v>0</v>
      </c>
      <c r="CJ176" s="52">
        <f t="shared" si="285"/>
        <v>0</v>
      </c>
      <c r="CK176" s="52">
        <f t="shared" si="285"/>
        <v>0</v>
      </c>
      <c r="CL176" s="52">
        <f t="shared" si="285"/>
        <v>0</v>
      </c>
      <c r="CM176" s="52">
        <f t="shared" si="285"/>
        <v>0</v>
      </c>
      <c r="CN176" s="52">
        <f t="shared" si="285"/>
        <v>1</v>
      </c>
      <c r="CO176" s="52">
        <f t="shared" si="285"/>
        <v>0</v>
      </c>
      <c r="CP176" s="52">
        <f t="shared" si="285"/>
        <v>-1</v>
      </c>
      <c r="CQ176" s="52">
        <f t="shared" si="226"/>
        <v>1</v>
      </c>
      <c r="CR176" s="52">
        <f t="shared" si="227"/>
        <v>0</v>
      </c>
      <c r="CS176" s="52">
        <f t="shared" si="228"/>
        <v>-1</v>
      </c>
      <c r="CT176" s="52">
        <f t="shared" si="229"/>
        <v>0</v>
      </c>
      <c r="CU176" s="52">
        <f t="shared" si="230"/>
        <v>0</v>
      </c>
      <c r="CV176" s="52">
        <f t="shared" si="231"/>
        <v>0</v>
      </c>
      <c r="CW176" s="52">
        <f t="shared" si="232"/>
        <v>0</v>
      </c>
    </row>
    <row r="177" spans="1:102">
      <c r="A177" s="60">
        <v>45099</v>
      </c>
      <c r="B177" s="426">
        <v>59835.199999999997</v>
      </c>
      <c r="C177">
        <v>59743.4</v>
      </c>
      <c r="D177">
        <v>44203</v>
      </c>
      <c r="E177">
        <v>43291.4</v>
      </c>
      <c r="F177">
        <v>43365.3</v>
      </c>
      <c r="G177">
        <v>44223.9</v>
      </c>
      <c r="H177">
        <v>44736.2</v>
      </c>
      <c r="I177">
        <v>44955.5</v>
      </c>
      <c r="J177">
        <v>44858.9</v>
      </c>
      <c r="K177">
        <v>45268</v>
      </c>
      <c r="L177">
        <v>45309.5</v>
      </c>
      <c r="M177">
        <v>51788</v>
      </c>
      <c r="N177">
        <v>52241.7</v>
      </c>
      <c r="O177">
        <v>55628.3</v>
      </c>
      <c r="P177">
        <v>69025.5</v>
      </c>
      <c r="Q177">
        <v>69040.7</v>
      </c>
      <c r="R177">
        <v>63041.9</v>
      </c>
      <c r="S177">
        <v>66640.600000000006</v>
      </c>
      <c r="T177">
        <v>66459.8</v>
      </c>
      <c r="U177">
        <v>67316.899999999994</v>
      </c>
      <c r="V177">
        <v>67646</v>
      </c>
      <c r="W177">
        <v>67283.8</v>
      </c>
      <c r="X177">
        <v>66344.5</v>
      </c>
      <c r="Y177">
        <v>67354.100000000006</v>
      </c>
      <c r="Z177" s="77">
        <v>1349602.1</v>
      </c>
      <c r="AB177" s="52">
        <f t="shared" si="236"/>
        <v>0</v>
      </c>
      <c r="AC177" s="52">
        <f t="shared" si="239"/>
        <v>0</v>
      </c>
      <c r="AD177" s="52">
        <f t="shared" si="240"/>
        <v>0</v>
      </c>
      <c r="AE177" s="52">
        <f t="shared" si="241"/>
        <v>0</v>
      </c>
      <c r="AF177" s="52">
        <f t="shared" si="242"/>
        <v>0</v>
      </c>
      <c r="AG177" s="52">
        <f t="shared" si="243"/>
        <v>0</v>
      </c>
      <c r="AH177" s="52">
        <f t="shared" si="244"/>
        <v>0</v>
      </c>
      <c r="AI177" s="52">
        <f t="shared" si="245"/>
        <v>0</v>
      </c>
      <c r="AJ177" s="52">
        <f t="shared" si="246"/>
        <v>0</v>
      </c>
      <c r="AK177" s="52">
        <f t="shared" si="247"/>
        <v>0</v>
      </c>
      <c r="AL177" s="52">
        <f t="shared" si="248"/>
        <v>0</v>
      </c>
      <c r="AM177" s="52">
        <f t="shared" si="249"/>
        <v>0</v>
      </c>
      <c r="AN177" s="52">
        <f t="shared" si="250"/>
        <v>0</v>
      </c>
      <c r="AO177" s="52">
        <f t="shared" si="251"/>
        <v>0</v>
      </c>
      <c r="AP177" s="52">
        <f t="shared" si="252"/>
        <v>0</v>
      </c>
      <c r="AQ177" s="52">
        <f t="shared" si="253"/>
        <v>0</v>
      </c>
      <c r="AR177" s="52">
        <f t="shared" si="254"/>
        <v>0</v>
      </c>
      <c r="AS177" s="52">
        <f t="shared" si="255"/>
        <v>0</v>
      </c>
      <c r="AT177" s="52">
        <f t="shared" si="256"/>
        <v>0</v>
      </c>
      <c r="AU177" s="52">
        <f t="shared" si="257"/>
        <v>0</v>
      </c>
      <c r="AV177" s="52">
        <f t="shared" si="258"/>
        <v>0</v>
      </c>
      <c r="AW177" s="52">
        <f t="shared" si="259"/>
        <v>0</v>
      </c>
      <c r="AX177" s="52">
        <f t="shared" si="260"/>
        <v>0</v>
      </c>
      <c r="AY177" s="52">
        <f t="shared" si="237"/>
        <v>0</v>
      </c>
      <c r="BA177" s="52">
        <f t="shared" si="238"/>
        <v>7</v>
      </c>
      <c r="BB177" s="52">
        <f t="shared" si="261"/>
        <v>7</v>
      </c>
      <c r="BC177" s="52">
        <f t="shared" si="262"/>
        <v>6</v>
      </c>
      <c r="BD177" s="52">
        <f t="shared" si="263"/>
        <v>5</v>
      </c>
      <c r="BE177" s="52">
        <f t="shared" si="264"/>
        <v>5</v>
      </c>
      <c r="BF177" s="52">
        <f t="shared" si="265"/>
        <v>6</v>
      </c>
      <c r="BG177" s="52">
        <f t="shared" si="266"/>
        <v>6</v>
      </c>
      <c r="BH177" s="52">
        <f t="shared" si="267"/>
        <v>6</v>
      </c>
      <c r="BI177" s="52">
        <f t="shared" si="268"/>
        <v>6</v>
      </c>
      <c r="BJ177" s="52">
        <f t="shared" si="269"/>
        <v>6</v>
      </c>
      <c r="BK177" s="52">
        <f t="shared" si="270"/>
        <v>6</v>
      </c>
      <c r="BL177" s="52">
        <f t="shared" si="271"/>
        <v>6</v>
      </c>
      <c r="BM177" s="52">
        <f t="shared" si="272"/>
        <v>6</v>
      </c>
      <c r="BN177" s="52">
        <f t="shared" si="273"/>
        <v>7</v>
      </c>
      <c r="BO177" s="52">
        <f t="shared" si="274"/>
        <v>8</v>
      </c>
      <c r="BP177" s="52">
        <f t="shared" si="275"/>
        <v>8</v>
      </c>
      <c r="BQ177" s="52">
        <f t="shared" si="276"/>
        <v>8</v>
      </c>
      <c r="BR177" s="52">
        <f t="shared" si="277"/>
        <v>8</v>
      </c>
      <c r="BS177" s="52">
        <f t="shared" si="278"/>
        <v>8</v>
      </c>
      <c r="BT177" s="52">
        <f t="shared" si="279"/>
        <v>8</v>
      </c>
      <c r="BU177" s="52">
        <f t="shared" si="280"/>
        <v>8</v>
      </c>
      <c r="BV177" s="52">
        <f t="shared" si="281"/>
        <v>8</v>
      </c>
      <c r="BW177" s="52">
        <f t="shared" si="282"/>
        <v>8</v>
      </c>
      <c r="BX177" s="52">
        <f t="shared" si="283"/>
        <v>8</v>
      </c>
      <c r="BZ177">
        <f t="shared" si="225"/>
        <v>0</v>
      </c>
      <c r="CA177">
        <f t="shared" si="285"/>
        <v>0</v>
      </c>
      <c r="CB177">
        <f t="shared" si="285"/>
        <v>-1</v>
      </c>
      <c r="CC177">
        <f t="shared" si="285"/>
        <v>-1</v>
      </c>
      <c r="CD177">
        <f t="shared" si="285"/>
        <v>0</v>
      </c>
      <c r="CE177">
        <f t="shared" si="285"/>
        <v>1</v>
      </c>
      <c r="CF177">
        <f t="shared" si="285"/>
        <v>0</v>
      </c>
      <c r="CG177">
        <f t="shared" si="285"/>
        <v>0</v>
      </c>
      <c r="CH177">
        <f t="shared" si="285"/>
        <v>0</v>
      </c>
      <c r="CI177">
        <f t="shared" si="285"/>
        <v>0</v>
      </c>
      <c r="CJ177">
        <f t="shared" si="285"/>
        <v>0</v>
      </c>
      <c r="CK177">
        <f t="shared" si="285"/>
        <v>0</v>
      </c>
      <c r="CL177">
        <f t="shared" si="285"/>
        <v>0</v>
      </c>
      <c r="CM177">
        <f t="shared" si="285"/>
        <v>1</v>
      </c>
      <c r="CN177">
        <f t="shared" si="285"/>
        <v>1</v>
      </c>
      <c r="CO177">
        <f t="shared" si="285"/>
        <v>0</v>
      </c>
      <c r="CP177">
        <f t="shared" si="285"/>
        <v>0</v>
      </c>
      <c r="CQ177">
        <f t="shared" si="226"/>
        <v>0</v>
      </c>
      <c r="CR177">
        <f t="shared" si="227"/>
        <v>0</v>
      </c>
      <c r="CS177">
        <f t="shared" si="228"/>
        <v>0</v>
      </c>
      <c r="CT177">
        <f t="shared" si="229"/>
        <v>0</v>
      </c>
      <c r="CU177">
        <f t="shared" si="230"/>
        <v>0</v>
      </c>
      <c r="CV177">
        <f t="shared" si="231"/>
        <v>0</v>
      </c>
      <c r="CW177">
        <f t="shared" si="232"/>
        <v>0</v>
      </c>
    </row>
    <row r="178" spans="1:102">
      <c r="A178" s="60">
        <v>45100</v>
      </c>
      <c r="B178" s="426">
        <v>53376.7</v>
      </c>
      <c r="C178">
        <v>51354.6</v>
      </c>
      <c r="D178">
        <v>51328.2</v>
      </c>
      <c r="E178">
        <v>51429.599999999999</v>
      </c>
      <c r="F178">
        <v>51400.7</v>
      </c>
      <c r="G178">
        <v>51309.7</v>
      </c>
      <c r="H178">
        <v>51311.6</v>
      </c>
      <c r="I178">
        <v>51547.199999999997</v>
      </c>
      <c r="J178">
        <v>51448.2</v>
      </c>
      <c r="K178">
        <v>51506.1</v>
      </c>
      <c r="L178">
        <v>51637</v>
      </c>
      <c r="M178">
        <v>51415</v>
      </c>
      <c r="N178">
        <v>51625.9</v>
      </c>
      <c r="O178">
        <v>53890.9</v>
      </c>
      <c r="P178">
        <v>64512.1</v>
      </c>
      <c r="Q178">
        <v>65775.8</v>
      </c>
      <c r="R178">
        <v>67563.899999999994</v>
      </c>
      <c r="S178">
        <v>67565.2</v>
      </c>
      <c r="T178">
        <v>67649.8</v>
      </c>
      <c r="U178">
        <v>67936.600000000006</v>
      </c>
      <c r="V178">
        <v>68666.600000000006</v>
      </c>
      <c r="W178">
        <v>68492.600000000006</v>
      </c>
      <c r="X178">
        <v>68734.5</v>
      </c>
      <c r="Y178">
        <v>68945.7</v>
      </c>
      <c r="Z178" s="77">
        <v>1400424.2000000002</v>
      </c>
      <c r="AB178">
        <f t="shared" si="236"/>
        <v>0</v>
      </c>
      <c r="AC178">
        <f t="shared" si="239"/>
        <v>0</v>
      </c>
      <c r="AD178">
        <f t="shared" si="240"/>
        <v>0</v>
      </c>
      <c r="AE178">
        <f t="shared" si="241"/>
        <v>0</v>
      </c>
      <c r="AF178">
        <f t="shared" si="242"/>
        <v>0</v>
      </c>
      <c r="AG178">
        <f t="shared" si="243"/>
        <v>0</v>
      </c>
      <c r="AH178">
        <f t="shared" si="244"/>
        <v>0</v>
      </c>
      <c r="AI178">
        <f t="shared" si="245"/>
        <v>0</v>
      </c>
      <c r="AJ178">
        <f t="shared" si="246"/>
        <v>0</v>
      </c>
      <c r="AK178">
        <f t="shared" si="247"/>
        <v>0</v>
      </c>
      <c r="AL178">
        <f t="shared" si="248"/>
        <v>0</v>
      </c>
      <c r="AM178">
        <f t="shared" si="249"/>
        <v>0</v>
      </c>
      <c r="AN178">
        <f t="shared" si="250"/>
        <v>0</v>
      </c>
      <c r="AO178">
        <f t="shared" si="251"/>
        <v>0</v>
      </c>
      <c r="AP178">
        <f t="shared" si="252"/>
        <v>0</v>
      </c>
      <c r="AQ178">
        <f t="shared" si="253"/>
        <v>0</v>
      </c>
      <c r="AR178">
        <f t="shared" si="254"/>
        <v>0</v>
      </c>
      <c r="AS178">
        <f t="shared" si="255"/>
        <v>0</v>
      </c>
      <c r="AT178">
        <f t="shared" si="256"/>
        <v>0</v>
      </c>
      <c r="AU178">
        <f t="shared" si="257"/>
        <v>0</v>
      </c>
      <c r="AV178">
        <f t="shared" si="258"/>
        <v>0</v>
      </c>
      <c r="AW178">
        <f t="shared" si="259"/>
        <v>0</v>
      </c>
      <c r="AX178">
        <f t="shared" si="260"/>
        <v>0</v>
      </c>
      <c r="AY178">
        <f t="shared" si="237"/>
        <v>0</v>
      </c>
      <c r="BA178">
        <f t="shared" si="238"/>
        <v>7</v>
      </c>
      <c r="BB178">
        <f t="shared" si="261"/>
        <v>6</v>
      </c>
      <c r="BC178">
        <f t="shared" si="262"/>
        <v>6</v>
      </c>
      <c r="BD178">
        <f t="shared" si="263"/>
        <v>6</v>
      </c>
      <c r="BE178">
        <f t="shared" si="264"/>
        <v>6</v>
      </c>
      <c r="BF178">
        <f t="shared" si="265"/>
        <v>6</v>
      </c>
      <c r="BG178">
        <f t="shared" si="266"/>
        <v>6</v>
      </c>
      <c r="BH178">
        <f t="shared" si="267"/>
        <v>6</v>
      </c>
      <c r="BI178">
        <f t="shared" si="268"/>
        <v>6</v>
      </c>
      <c r="BJ178">
        <f t="shared" si="269"/>
        <v>6</v>
      </c>
      <c r="BK178">
        <f t="shared" si="270"/>
        <v>6</v>
      </c>
      <c r="BL178">
        <f t="shared" si="271"/>
        <v>6</v>
      </c>
      <c r="BM178">
        <f t="shared" si="272"/>
        <v>6</v>
      </c>
      <c r="BN178">
        <f t="shared" si="273"/>
        <v>7</v>
      </c>
      <c r="BO178">
        <f t="shared" si="274"/>
        <v>8</v>
      </c>
      <c r="BP178">
        <f t="shared" si="275"/>
        <v>8</v>
      </c>
      <c r="BQ178">
        <f t="shared" si="276"/>
        <v>8</v>
      </c>
      <c r="BR178">
        <f t="shared" si="277"/>
        <v>8</v>
      </c>
      <c r="BS178">
        <f t="shared" si="278"/>
        <v>8</v>
      </c>
      <c r="BT178">
        <f t="shared" si="279"/>
        <v>8</v>
      </c>
      <c r="BU178">
        <f t="shared" si="280"/>
        <v>8</v>
      </c>
      <c r="BV178">
        <f t="shared" si="281"/>
        <v>8</v>
      </c>
      <c r="BW178">
        <f t="shared" si="282"/>
        <v>8</v>
      </c>
      <c r="BX178">
        <f t="shared" si="283"/>
        <v>8</v>
      </c>
      <c r="BZ178" s="52">
        <f t="shared" si="225"/>
        <v>-1</v>
      </c>
      <c r="CA178" s="52">
        <f t="shared" si="285"/>
        <v>-1</v>
      </c>
      <c r="CB178" s="52">
        <f t="shared" si="285"/>
        <v>0</v>
      </c>
      <c r="CC178" s="52">
        <f t="shared" si="285"/>
        <v>0</v>
      </c>
      <c r="CD178" s="52">
        <f t="shared" si="285"/>
        <v>0</v>
      </c>
      <c r="CE178" s="52">
        <f t="shared" si="285"/>
        <v>0</v>
      </c>
      <c r="CF178" s="52">
        <f t="shared" si="285"/>
        <v>0</v>
      </c>
      <c r="CG178" s="52">
        <f t="shared" si="285"/>
        <v>0</v>
      </c>
      <c r="CH178" s="52">
        <f t="shared" si="285"/>
        <v>0</v>
      </c>
      <c r="CI178" s="52">
        <f t="shared" si="285"/>
        <v>0</v>
      </c>
      <c r="CJ178" s="52">
        <f t="shared" si="285"/>
        <v>0</v>
      </c>
      <c r="CK178" s="52">
        <f t="shared" si="285"/>
        <v>0</v>
      </c>
      <c r="CL178" s="52">
        <f t="shared" si="285"/>
        <v>0</v>
      </c>
      <c r="CM178" s="52">
        <f t="shared" si="285"/>
        <v>1</v>
      </c>
      <c r="CN178" s="52">
        <f t="shared" si="285"/>
        <v>1</v>
      </c>
      <c r="CO178" s="52">
        <f t="shared" si="285"/>
        <v>0</v>
      </c>
      <c r="CP178" s="52">
        <f t="shared" si="285"/>
        <v>0</v>
      </c>
      <c r="CQ178" s="52">
        <f t="shared" si="226"/>
        <v>0</v>
      </c>
      <c r="CR178" s="52">
        <f t="shared" si="227"/>
        <v>0</v>
      </c>
      <c r="CS178" s="52">
        <f t="shared" si="228"/>
        <v>0</v>
      </c>
      <c r="CT178" s="52">
        <f t="shared" si="229"/>
        <v>0</v>
      </c>
      <c r="CU178" s="52">
        <f t="shared" si="230"/>
        <v>0</v>
      </c>
      <c r="CV178" s="52">
        <f t="shared" si="231"/>
        <v>0</v>
      </c>
      <c r="CW178" s="52">
        <f t="shared" si="232"/>
        <v>0</v>
      </c>
    </row>
    <row r="179" spans="1:102">
      <c r="A179" s="60">
        <v>45101</v>
      </c>
      <c r="B179" s="426">
        <v>68800.100000000006</v>
      </c>
      <c r="C179">
        <v>68856.2</v>
      </c>
      <c r="D179">
        <v>68556.7</v>
      </c>
      <c r="E179">
        <v>68616.3</v>
      </c>
      <c r="F179">
        <v>65400.6</v>
      </c>
      <c r="G179">
        <v>52608.1</v>
      </c>
      <c r="H179">
        <v>52046.6</v>
      </c>
      <c r="I179">
        <v>52071</v>
      </c>
      <c r="J179">
        <v>51176.800000000003</v>
      </c>
      <c r="K179">
        <v>64620.1</v>
      </c>
      <c r="L179">
        <v>67994.399999999994</v>
      </c>
      <c r="M179">
        <v>68105.600000000006</v>
      </c>
      <c r="N179">
        <v>68086.2</v>
      </c>
      <c r="O179">
        <v>68096.3</v>
      </c>
      <c r="P179">
        <v>68128.600000000006</v>
      </c>
      <c r="Q179">
        <v>68070.5</v>
      </c>
      <c r="R179">
        <v>68193.600000000006</v>
      </c>
      <c r="S179">
        <v>67993.8</v>
      </c>
      <c r="T179">
        <v>68166.7</v>
      </c>
      <c r="U179">
        <v>67940.7</v>
      </c>
      <c r="V179">
        <v>67767.8</v>
      </c>
      <c r="W179">
        <v>67230.899999999994</v>
      </c>
      <c r="X179">
        <v>66749.7</v>
      </c>
      <c r="Y179">
        <v>68452.3</v>
      </c>
      <c r="Z179" s="77">
        <v>1563729.5999999999</v>
      </c>
      <c r="AB179" s="52">
        <f t="shared" si="236"/>
        <v>0</v>
      </c>
      <c r="AC179" s="52">
        <f t="shared" si="239"/>
        <v>0</v>
      </c>
      <c r="AD179" s="52">
        <f t="shared" si="240"/>
        <v>0</v>
      </c>
      <c r="AE179" s="52">
        <f t="shared" si="241"/>
        <v>0</v>
      </c>
      <c r="AF179" s="52">
        <f t="shared" si="242"/>
        <v>0</v>
      </c>
      <c r="AG179" s="52">
        <f t="shared" si="243"/>
        <v>0</v>
      </c>
      <c r="AH179" s="52">
        <f t="shared" si="244"/>
        <v>0</v>
      </c>
      <c r="AI179" s="52">
        <f t="shared" si="245"/>
        <v>0</v>
      </c>
      <c r="AJ179" s="52">
        <f t="shared" si="246"/>
        <v>0</v>
      </c>
      <c r="AK179" s="52">
        <f t="shared" si="247"/>
        <v>0</v>
      </c>
      <c r="AL179" s="52">
        <f t="shared" si="248"/>
        <v>0</v>
      </c>
      <c r="AM179" s="52">
        <f t="shared" si="249"/>
        <v>0</v>
      </c>
      <c r="AN179" s="52">
        <f t="shared" si="250"/>
        <v>0</v>
      </c>
      <c r="AO179" s="52">
        <f t="shared" si="251"/>
        <v>0</v>
      </c>
      <c r="AP179" s="52">
        <f t="shared" si="252"/>
        <v>0</v>
      </c>
      <c r="AQ179" s="52">
        <f t="shared" si="253"/>
        <v>0</v>
      </c>
      <c r="AR179" s="52">
        <f t="shared" si="254"/>
        <v>0</v>
      </c>
      <c r="AS179" s="52">
        <f t="shared" si="255"/>
        <v>0</v>
      </c>
      <c r="AT179" s="52">
        <f t="shared" si="256"/>
        <v>0</v>
      </c>
      <c r="AU179" s="52">
        <f t="shared" si="257"/>
        <v>0</v>
      </c>
      <c r="AV179" s="52">
        <f t="shared" si="258"/>
        <v>0</v>
      </c>
      <c r="AW179" s="52">
        <f t="shared" si="259"/>
        <v>0</v>
      </c>
      <c r="AX179" s="52">
        <f t="shared" si="260"/>
        <v>0</v>
      </c>
      <c r="AY179" s="52">
        <f t="shared" si="237"/>
        <v>0</v>
      </c>
      <c r="BA179" s="52">
        <f t="shared" si="238"/>
        <v>8</v>
      </c>
      <c r="BB179" s="52">
        <f t="shared" si="261"/>
        <v>8</v>
      </c>
      <c r="BC179" s="52">
        <f t="shared" si="262"/>
        <v>8</v>
      </c>
      <c r="BD179" s="52">
        <f t="shared" si="263"/>
        <v>8</v>
      </c>
      <c r="BE179" s="52">
        <f t="shared" si="264"/>
        <v>8</v>
      </c>
      <c r="BF179" s="52">
        <f t="shared" si="265"/>
        <v>6</v>
      </c>
      <c r="BG179" s="52">
        <f t="shared" si="266"/>
        <v>6</v>
      </c>
      <c r="BH179" s="52">
        <f t="shared" si="267"/>
        <v>6</v>
      </c>
      <c r="BI179" s="52">
        <f t="shared" si="268"/>
        <v>6</v>
      </c>
      <c r="BJ179" s="52">
        <f t="shared" si="269"/>
        <v>8</v>
      </c>
      <c r="BK179" s="52">
        <f t="shared" si="270"/>
        <v>8</v>
      </c>
      <c r="BL179" s="52">
        <f t="shared" si="271"/>
        <v>8</v>
      </c>
      <c r="BM179" s="52">
        <f t="shared" si="272"/>
        <v>8</v>
      </c>
      <c r="BN179" s="52">
        <f t="shared" si="273"/>
        <v>8</v>
      </c>
      <c r="BO179" s="52">
        <f t="shared" si="274"/>
        <v>8</v>
      </c>
      <c r="BP179" s="52">
        <f t="shared" si="275"/>
        <v>8</v>
      </c>
      <c r="BQ179" s="52">
        <f t="shared" si="276"/>
        <v>8</v>
      </c>
      <c r="BR179" s="52">
        <f t="shared" si="277"/>
        <v>8</v>
      </c>
      <c r="BS179" s="52">
        <f t="shared" si="278"/>
        <v>8</v>
      </c>
      <c r="BT179" s="52">
        <f t="shared" si="279"/>
        <v>8</v>
      </c>
      <c r="BU179" s="52">
        <f t="shared" si="280"/>
        <v>8</v>
      </c>
      <c r="BV179" s="52">
        <f t="shared" si="281"/>
        <v>8</v>
      </c>
      <c r="BW179" s="52">
        <f t="shared" si="282"/>
        <v>8</v>
      </c>
      <c r="BX179" s="52">
        <f t="shared" si="283"/>
        <v>8</v>
      </c>
      <c r="BZ179">
        <f t="shared" si="225"/>
        <v>0</v>
      </c>
      <c r="CA179">
        <f t="shared" si="285"/>
        <v>0</v>
      </c>
      <c r="CB179">
        <f t="shared" si="285"/>
        <v>0</v>
      </c>
      <c r="CC179">
        <f t="shared" si="285"/>
        <v>0</v>
      </c>
      <c r="CD179">
        <f t="shared" si="285"/>
        <v>0</v>
      </c>
      <c r="CE179">
        <f t="shared" si="285"/>
        <v>-2</v>
      </c>
      <c r="CF179">
        <f t="shared" si="285"/>
        <v>0</v>
      </c>
      <c r="CG179">
        <f t="shared" si="285"/>
        <v>0</v>
      </c>
      <c r="CH179">
        <f t="shared" si="285"/>
        <v>0</v>
      </c>
      <c r="CI179">
        <f t="shared" si="285"/>
        <v>2</v>
      </c>
      <c r="CJ179">
        <f t="shared" si="285"/>
        <v>0</v>
      </c>
      <c r="CK179">
        <f t="shared" si="285"/>
        <v>0</v>
      </c>
      <c r="CL179">
        <f t="shared" si="285"/>
        <v>0</v>
      </c>
      <c r="CM179">
        <f t="shared" si="285"/>
        <v>0</v>
      </c>
      <c r="CN179">
        <f t="shared" si="285"/>
        <v>0</v>
      </c>
      <c r="CO179">
        <f t="shared" si="285"/>
        <v>0</v>
      </c>
      <c r="CP179">
        <f t="shared" si="285"/>
        <v>0</v>
      </c>
      <c r="CQ179">
        <f t="shared" si="226"/>
        <v>0</v>
      </c>
      <c r="CR179">
        <f t="shared" si="227"/>
        <v>0</v>
      </c>
      <c r="CS179">
        <f t="shared" si="228"/>
        <v>0</v>
      </c>
      <c r="CT179">
        <f t="shared" si="229"/>
        <v>0</v>
      </c>
      <c r="CU179">
        <f t="shared" si="230"/>
        <v>0</v>
      </c>
      <c r="CV179">
        <f t="shared" si="231"/>
        <v>0</v>
      </c>
      <c r="CW179">
        <f t="shared" si="232"/>
        <v>0</v>
      </c>
    </row>
    <row r="180" spans="1:102">
      <c r="A180" s="60">
        <v>45102</v>
      </c>
      <c r="B180" s="426">
        <v>59360.7</v>
      </c>
      <c r="C180">
        <v>67469.8</v>
      </c>
      <c r="D180">
        <v>68631.3</v>
      </c>
      <c r="E180">
        <v>68658.7</v>
      </c>
      <c r="F180">
        <v>65359.5</v>
      </c>
      <c r="G180">
        <v>54794.3</v>
      </c>
      <c r="H180">
        <v>55126.2</v>
      </c>
      <c r="I180">
        <v>54917.9</v>
      </c>
      <c r="J180">
        <v>54900.7</v>
      </c>
      <c r="K180">
        <v>54998</v>
      </c>
      <c r="L180">
        <v>55013.7</v>
      </c>
      <c r="M180">
        <v>69033.8</v>
      </c>
      <c r="N180">
        <v>69289.399999999994</v>
      </c>
      <c r="O180">
        <v>69339.7</v>
      </c>
      <c r="P180">
        <v>69219.199999999997</v>
      </c>
      <c r="Q180">
        <v>69116.800000000003</v>
      </c>
      <c r="R180">
        <v>69204.100000000006</v>
      </c>
      <c r="S180">
        <v>69094.3</v>
      </c>
      <c r="T180">
        <v>69176.2</v>
      </c>
      <c r="U180">
        <v>69250.2</v>
      </c>
      <c r="V180">
        <v>69165.5</v>
      </c>
      <c r="W180">
        <v>68870.399999999994</v>
      </c>
      <c r="X180">
        <v>68845</v>
      </c>
      <c r="Y180">
        <v>68444.899999999994</v>
      </c>
      <c r="Z180" s="77">
        <v>1557280.2999999998</v>
      </c>
      <c r="AB180">
        <f t="shared" si="236"/>
        <v>0</v>
      </c>
      <c r="AC180">
        <f t="shared" si="239"/>
        <v>0</v>
      </c>
      <c r="AD180">
        <f t="shared" si="240"/>
        <v>0</v>
      </c>
      <c r="AE180">
        <f t="shared" si="241"/>
        <v>0</v>
      </c>
      <c r="AF180">
        <f t="shared" si="242"/>
        <v>0</v>
      </c>
      <c r="AG180">
        <f t="shared" si="243"/>
        <v>0</v>
      </c>
      <c r="AH180">
        <f t="shared" si="244"/>
        <v>0</v>
      </c>
      <c r="AI180">
        <f t="shared" si="245"/>
        <v>0</v>
      </c>
      <c r="AJ180">
        <f t="shared" si="246"/>
        <v>0</v>
      </c>
      <c r="AK180">
        <f t="shared" si="247"/>
        <v>0</v>
      </c>
      <c r="AL180">
        <f t="shared" si="248"/>
        <v>0</v>
      </c>
      <c r="AM180">
        <f t="shared" si="249"/>
        <v>0</v>
      </c>
      <c r="AN180">
        <f t="shared" si="250"/>
        <v>0</v>
      </c>
      <c r="AO180">
        <f t="shared" si="251"/>
        <v>0</v>
      </c>
      <c r="AP180">
        <f t="shared" si="252"/>
        <v>0</v>
      </c>
      <c r="AQ180">
        <f t="shared" si="253"/>
        <v>0</v>
      </c>
      <c r="AR180">
        <f t="shared" si="254"/>
        <v>0</v>
      </c>
      <c r="AS180">
        <f t="shared" si="255"/>
        <v>0</v>
      </c>
      <c r="AT180">
        <f t="shared" si="256"/>
        <v>0</v>
      </c>
      <c r="AU180">
        <f t="shared" si="257"/>
        <v>0</v>
      </c>
      <c r="AV180">
        <f t="shared" si="258"/>
        <v>0</v>
      </c>
      <c r="AW180">
        <f t="shared" si="259"/>
        <v>0</v>
      </c>
      <c r="AX180">
        <f t="shared" si="260"/>
        <v>0</v>
      </c>
      <c r="AY180">
        <f t="shared" si="237"/>
        <v>0</v>
      </c>
      <c r="BA180">
        <f t="shared" si="238"/>
        <v>7</v>
      </c>
      <c r="BB180">
        <f t="shared" si="261"/>
        <v>8</v>
      </c>
      <c r="BC180">
        <f t="shared" si="262"/>
        <v>8</v>
      </c>
      <c r="BD180">
        <f t="shared" si="263"/>
        <v>8</v>
      </c>
      <c r="BE180">
        <f t="shared" si="264"/>
        <v>8</v>
      </c>
      <c r="BF180">
        <f t="shared" si="265"/>
        <v>7</v>
      </c>
      <c r="BG180">
        <f t="shared" si="266"/>
        <v>7</v>
      </c>
      <c r="BH180">
        <f t="shared" si="267"/>
        <v>7</v>
      </c>
      <c r="BI180">
        <f t="shared" si="268"/>
        <v>7</v>
      </c>
      <c r="BJ180">
        <f t="shared" si="269"/>
        <v>7</v>
      </c>
      <c r="BK180">
        <f t="shared" si="270"/>
        <v>7</v>
      </c>
      <c r="BL180">
        <f t="shared" si="271"/>
        <v>8</v>
      </c>
      <c r="BM180">
        <f t="shared" si="272"/>
        <v>8</v>
      </c>
      <c r="BN180">
        <f t="shared" si="273"/>
        <v>8</v>
      </c>
      <c r="BO180">
        <f t="shared" si="274"/>
        <v>8</v>
      </c>
      <c r="BP180">
        <f t="shared" si="275"/>
        <v>8</v>
      </c>
      <c r="BQ180">
        <f t="shared" si="276"/>
        <v>8</v>
      </c>
      <c r="BR180">
        <f t="shared" si="277"/>
        <v>8</v>
      </c>
      <c r="BS180">
        <f t="shared" si="278"/>
        <v>8</v>
      </c>
      <c r="BT180">
        <f t="shared" si="279"/>
        <v>8</v>
      </c>
      <c r="BU180">
        <f t="shared" si="280"/>
        <v>8</v>
      </c>
      <c r="BV180">
        <f t="shared" si="281"/>
        <v>8</v>
      </c>
      <c r="BW180">
        <f t="shared" si="282"/>
        <v>8</v>
      </c>
      <c r="BX180">
        <f t="shared" si="283"/>
        <v>8</v>
      </c>
      <c r="BZ180" s="52">
        <f t="shared" si="225"/>
        <v>-1</v>
      </c>
      <c r="CA180" s="52">
        <f t="shared" si="285"/>
        <v>1</v>
      </c>
      <c r="CB180" s="52">
        <f t="shared" si="285"/>
        <v>0</v>
      </c>
      <c r="CC180" s="52">
        <f t="shared" si="285"/>
        <v>0</v>
      </c>
      <c r="CD180" s="52">
        <f t="shared" si="285"/>
        <v>0</v>
      </c>
      <c r="CE180" s="52">
        <f t="shared" si="285"/>
        <v>-1</v>
      </c>
      <c r="CF180" s="52">
        <f t="shared" si="285"/>
        <v>0</v>
      </c>
      <c r="CG180" s="52">
        <f t="shared" si="285"/>
        <v>0</v>
      </c>
      <c r="CH180" s="52">
        <f t="shared" si="285"/>
        <v>0</v>
      </c>
      <c r="CI180" s="52">
        <f t="shared" si="285"/>
        <v>0</v>
      </c>
      <c r="CJ180" s="52">
        <f t="shared" si="285"/>
        <v>0</v>
      </c>
      <c r="CK180" s="52">
        <f t="shared" si="285"/>
        <v>1</v>
      </c>
      <c r="CL180" s="52">
        <f t="shared" si="285"/>
        <v>0</v>
      </c>
      <c r="CM180" s="52">
        <f t="shared" si="285"/>
        <v>0</v>
      </c>
      <c r="CN180" s="52">
        <f t="shared" si="285"/>
        <v>0</v>
      </c>
      <c r="CO180" s="52">
        <f t="shared" si="285"/>
        <v>0</v>
      </c>
      <c r="CP180" s="52">
        <f t="shared" si="285"/>
        <v>0</v>
      </c>
      <c r="CQ180" s="52">
        <f t="shared" si="226"/>
        <v>0</v>
      </c>
      <c r="CR180" s="52">
        <f t="shared" si="227"/>
        <v>0</v>
      </c>
      <c r="CS180" s="52">
        <f t="shared" si="228"/>
        <v>0</v>
      </c>
      <c r="CT180" s="52">
        <f t="shared" si="229"/>
        <v>0</v>
      </c>
      <c r="CU180" s="52">
        <f t="shared" si="230"/>
        <v>0</v>
      </c>
      <c r="CV180" s="52">
        <f t="shared" si="231"/>
        <v>0</v>
      </c>
      <c r="CW180" s="52">
        <f t="shared" si="232"/>
        <v>0</v>
      </c>
    </row>
    <row r="181" spans="1:102">
      <c r="A181" s="60">
        <v>45103</v>
      </c>
      <c r="B181" s="426">
        <v>67397.100000000006</v>
      </c>
      <c r="C181">
        <v>67862.399999999994</v>
      </c>
      <c r="D181">
        <v>67869.2</v>
      </c>
      <c r="E181">
        <v>67936.600000000006</v>
      </c>
      <c r="F181">
        <v>68270.899999999994</v>
      </c>
      <c r="G181">
        <v>68412.7</v>
      </c>
      <c r="H181">
        <v>51327.1</v>
      </c>
      <c r="I181">
        <v>51251.1</v>
      </c>
      <c r="J181">
        <v>67983.899999999994</v>
      </c>
      <c r="K181">
        <v>67974.3</v>
      </c>
      <c r="L181">
        <v>68256.899999999994</v>
      </c>
      <c r="M181">
        <v>68210.399999999994</v>
      </c>
      <c r="N181">
        <v>68134.5</v>
      </c>
      <c r="O181">
        <v>68035</v>
      </c>
      <c r="P181">
        <v>68071</v>
      </c>
      <c r="Q181">
        <v>67966</v>
      </c>
      <c r="R181">
        <v>68033.2</v>
      </c>
      <c r="S181">
        <v>68126.8</v>
      </c>
      <c r="T181">
        <v>68239.100000000006</v>
      </c>
      <c r="U181">
        <v>68143.3</v>
      </c>
      <c r="V181">
        <v>67945.8</v>
      </c>
      <c r="W181">
        <v>67415.8</v>
      </c>
      <c r="X181">
        <v>66694.2</v>
      </c>
      <c r="Y181">
        <v>67883.3</v>
      </c>
      <c r="Z181" s="77">
        <v>1597440.6000000003</v>
      </c>
      <c r="AB181" s="52">
        <f t="shared" si="236"/>
        <v>0</v>
      </c>
      <c r="AC181" s="52">
        <f t="shared" si="239"/>
        <v>0</v>
      </c>
      <c r="AD181" s="52">
        <f t="shared" si="240"/>
        <v>0</v>
      </c>
      <c r="AE181" s="52">
        <f t="shared" si="241"/>
        <v>0</v>
      </c>
      <c r="AF181" s="52">
        <f t="shared" si="242"/>
        <v>0</v>
      </c>
      <c r="AG181" s="52">
        <f t="shared" si="243"/>
        <v>0</v>
      </c>
      <c r="AH181" s="52">
        <f t="shared" si="244"/>
        <v>0</v>
      </c>
      <c r="AI181" s="52">
        <f t="shared" si="245"/>
        <v>0</v>
      </c>
      <c r="AJ181" s="52">
        <f t="shared" si="246"/>
        <v>0</v>
      </c>
      <c r="AK181" s="52">
        <f t="shared" si="247"/>
        <v>0</v>
      </c>
      <c r="AL181" s="52">
        <f t="shared" si="248"/>
        <v>0</v>
      </c>
      <c r="AM181" s="52">
        <f t="shared" si="249"/>
        <v>0</v>
      </c>
      <c r="AN181" s="52">
        <f t="shared" si="250"/>
        <v>0</v>
      </c>
      <c r="AO181" s="52">
        <f t="shared" si="251"/>
        <v>0</v>
      </c>
      <c r="AP181" s="52">
        <f t="shared" si="252"/>
        <v>0</v>
      </c>
      <c r="AQ181" s="52">
        <f t="shared" si="253"/>
        <v>0</v>
      </c>
      <c r="AR181" s="52">
        <f t="shared" si="254"/>
        <v>0</v>
      </c>
      <c r="AS181" s="52">
        <f t="shared" si="255"/>
        <v>0</v>
      </c>
      <c r="AT181" s="52">
        <f t="shared" si="256"/>
        <v>0</v>
      </c>
      <c r="AU181" s="52">
        <f t="shared" si="257"/>
        <v>0</v>
      </c>
      <c r="AV181" s="52">
        <f t="shared" si="258"/>
        <v>0</v>
      </c>
      <c r="AW181" s="52">
        <f t="shared" si="259"/>
        <v>0</v>
      </c>
      <c r="AX181" s="52">
        <f t="shared" si="260"/>
        <v>0</v>
      </c>
      <c r="AY181" s="52">
        <f t="shared" si="237"/>
        <v>0</v>
      </c>
      <c r="BA181" s="52">
        <f t="shared" si="238"/>
        <v>8</v>
      </c>
      <c r="BB181" s="52">
        <f t="shared" si="261"/>
        <v>8</v>
      </c>
      <c r="BC181" s="52">
        <f t="shared" si="262"/>
        <v>8</v>
      </c>
      <c r="BD181" s="52">
        <f t="shared" si="263"/>
        <v>8</v>
      </c>
      <c r="BE181" s="52">
        <f t="shared" si="264"/>
        <v>8</v>
      </c>
      <c r="BF181" s="52">
        <f t="shared" si="265"/>
        <v>8</v>
      </c>
      <c r="BG181" s="52">
        <f t="shared" si="266"/>
        <v>6</v>
      </c>
      <c r="BH181" s="52">
        <f t="shared" si="267"/>
        <v>6</v>
      </c>
      <c r="BI181" s="52">
        <f t="shared" si="268"/>
        <v>8</v>
      </c>
      <c r="BJ181" s="52">
        <f t="shared" si="269"/>
        <v>8</v>
      </c>
      <c r="BK181" s="52">
        <f t="shared" si="270"/>
        <v>8</v>
      </c>
      <c r="BL181" s="52">
        <f t="shared" si="271"/>
        <v>8</v>
      </c>
      <c r="BM181" s="52">
        <f t="shared" si="272"/>
        <v>8</v>
      </c>
      <c r="BN181" s="52">
        <f t="shared" si="273"/>
        <v>8</v>
      </c>
      <c r="BO181" s="52">
        <f t="shared" si="274"/>
        <v>8</v>
      </c>
      <c r="BP181" s="52">
        <f t="shared" si="275"/>
        <v>8</v>
      </c>
      <c r="BQ181" s="52">
        <f t="shared" si="276"/>
        <v>8</v>
      </c>
      <c r="BR181" s="52">
        <f t="shared" si="277"/>
        <v>8</v>
      </c>
      <c r="BS181" s="52">
        <f t="shared" si="278"/>
        <v>8</v>
      </c>
      <c r="BT181" s="52">
        <f t="shared" si="279"/>
        <v>8</v>
      </c>
      <c r="BU181" s="52">
        <f t="shared" si="280"/>
        <v>8</v>
      </c>
      <c r="BV181" s="52">
        <f t="shared" si="281"/>
        <v>8</v>
      </c>
      <c r="BW181" s="52">
        <f t="shared" si="282"/>
        <v>8</v>
      </c>
      <c r="BX181" s="52">
        <f t="shared" si="283"/>
        <v>8</v>
      </c>
      <c r="BZ181">
        <f t="shared" si="225"/>
        <v>0</v>
      </c>
      <c r="CA181">
        <f t="shared" si="285"/>
        <v>0</v>
      </c>
      <c r="CB181">
        <f t="shared" si="285"/>
        <v>0</v>
      </c>
      <c r="CC181">
        <f t="shared" si="285"/>
        <v>0</v>
      </c>
      <c r="CD181">
        <f t="shared" si="285"/>
        <v>0</v>
      </c>
      <c r="CE181">
        <f t="shared" si="285"/>
        <v>0</v>
      </c>
      <c r="CF181">
        <f t="shared" si="285"/>
        <v>-2</v>
      </c>
      <c r="CG181">
        <f t="shared" si="285"/>
        <v>0</v>
      </c>
      <c r="CH181">
        <f t="shared" si="285"/>
        <v>2</v>
      </c>
      <c r="CI181">
        <f t="shared" si="285"/>
        <v>0</v>
      </c>
      <c r="CJ181">
        <f t="shared" si="285"/>
        <v>0</v>
      </c>
      <c r="CK181">
        <f t="shared" si="285"/>
        <v>0</v>
      </c>
      <c r="CL181">
        <f t="shared" si="285"/>
        <v>0</v>
      </c>
      <c r="CM181">
        <f t="shared" si="285"/>
        <v>0</v>
      </c>
      <c r="CN181">
        <f t="shared" si="285"/>
        <v>0</v>
      </c>
      <c r="CO181">
        <f t="shared" si="285"/>
        <v>0</v>
      </c>
      <c r="CP181">
        <f t="shared" si="285"/>
        <v>0</v>
      </c>
      <c r="CQ181">
        <f t="shared" si="226"/>
        <v>0</v>
      </c>
      <c r="CR181">
        <f t="shared" si="227"/>
        <v>0</v>
      </c>
      <c r="CS181">
        <f t="shared" si="228"/>
        <v>0</v>
      </c>
      <c r="CT181">
        <f t="shared" si="229"/>
        <v>0</v>
      </c>
      <c r="CU181">
        <f t="shared" si="230"/>
        <v>0</v>
      </c>
      <c r="CV181">
        <f t="shared" si="231"/>
        <v>0</v>
      </c>
      <c r="CW181">
        <f t="shared" si="232"/>
        <v>0</v>
      </c>
    </row>
    <row r="182" spans="1:102">
      <c r="A182" s="60">
        <v>45104</v>
      </c>
      <c r="B182" s="426">
        <v>63372.5</v>
      </c>
      <c r="C182">
        <v>67449</v>
      </c>
      <c r="D182">
        <v>67426.399999999994</v>
      </c>
      <c r="E182">
        <v>67513</v>
      </c>
      <c r="F182">
        <v>67689.3</v>
      </c>
      <c r="G182">
        <v>62505.3</v>
      </c>
      <c r="H182">
        <v>51080.7</v>
      </c>
      <c r="I182">
        <v>51073.4</v>
      </c>
      <c r="J182">
        <v>67273.600000000006</v>
      </c>
      <c r="K182">
        <v>67781.2</v>
      </c>
      <c r="L182">
        <v>67673</v>
      </c>
      <c r="M182">
        <v>67765.600000000006</v>
      </c>
      <c r="N182">
        <v>67494.5</v>
      </c>
      <c r="O182">
        <v>67473</v>
      </c>
      <c r="P182">
        <v>67598</v>
      </c>
      <c r="Q182">
        <v>67735.600000000006</v>
      </c>
      <c r="R182">
        <v>67801.899999999994</v>
      </c>
      <c r="S182">
        <v>67864.2</v>
      </c>
      <c r="T182">
        <v>67868.100000000006</v>
      </c>
      <c r="U182">
        <v>67846.5</v>
      </c>
      <c r="V182">
        <v>67932.100000000006</v>
      </c>
      <c r="W182">
        <v>67813.7</v>
      </c>
      <c r="X182">
        <v>67542.5</v>
      </c>
      <c r="Y182">
        <v>67307.100000000006</v>
      </c>
      <c r="Z182" s="77">
        <v>1580880.2000000002</v>
      </c>
      <c r="AB182">
        <f t="shared" si="236"/>
        <v>0</v>
      </c>
      <c r="AC182">
        <f t="shared" si="239"/>
        <v>0</v>
      </c>
      <c r="AD182">
        <f t="shared" si="240"/>
        <v>0</v>
      </c>
      <c r="AE182">
        <f t="shared" si="241"/>
        <v>0</v>
      </c>
      <c r="AF182">
        <f t="shared" si="242"/>
        <v>0</v>
      </c>
      <c r="AG182">
        <f t="shared" si="243"/>
        <v>0</v>
      </c>
      <c r="AH182">
        <f t="shared" si="244"/>
        <v>0</v>
      </c>
      <c r="AI182">
        <f t="shared" si="245"/>
        <v>0</v>
      </c>
      <c r="AJ182">
        <f t="shared" si="246"/>
        <v>0</v>
      </c>
      <c r="AK182">
        <f t="shared" si="247"/>
        <v>0</v>
      </c>
      <c r="AL182">
        <f t="shared" si="248"/>
        <v>0</v>
      </c>
      <c r="AM182">
        <f t="shared" si="249"/>
        <v>0</v>
      </c>
      <c r="AN182">
        <f t="shared" si="250"/>
        <v>0</v>
      </c>
      <c r="AO182">
        <f t="shared" si="251"/>
        <v>0</v>
      </c>
      <c r="AP182">
        <f t="shared" si="252"/>
        <v>0</v>
      </c>
      <c r="AQ182">
        <f t="shared" si="253"/>
        <v>0</v>
      </c>
      <c r="AR182">
        <f t="shared" si="254"/>
        <v>0</v>
      </c>
      <c r="AS182">
        <f t="shared" si="255"/>
        <v>0</v>
      </c>
      <c r="AT182">
        <f t="shared" si="256"/>
        <v>0</v>
      </c>
      <c r="AU182">
        <f t="shared" si="257"/>
        <v>0</v>
      </c>
      <c r="AV182">
        <f t="shared" si="258"/>
        <v>0</v>
      </c>
      <c r="AW182">
        <f t="shared" si="259"/>
        <v>0</v>
      </c>
      <c r="AX182">
        <f t="shared" si="260"/>
        <v>0</v>
      </c>
      <c r="AY182">
        <f t="shared" si="237"/>
        <v>0</v>
      </c>
      <c r="BA182">
        <f t="shared" si="238"/>
        <v>8</v>
      </c>
      <c r="BB182">
        <f t="shared" si="261"/>
        <v>8</v>
      </c>
      <c r="BC182">
        <f t="shared" si="262"/>
        <v>8</v>
      </c>
      <c r="BD182">
        <f t="shared" si="263"/>
        <v>8</v>
      </c>
      <c r="BE182">
        <f t="shared" si="264"/>
        <v>8</v>
      </c>
      <c r="BF182">
        <f t="shared" si="265"/>
        <v>8</v>
      </c>
      <c r="BG182">
        <f t="shared" si="266"/>
        <v>6</v>
      </c>
      <c r="BH182">
        <f t="shared" si="267"/>
        <v>6</v>
      </c>
      <c r="BI182">
        <f t="shared" si="268"/>
        <v>8</v>
      </c>
      <c r="BJ182">
        <f t="shared" si="269"/>
        <v>8</v>
      </c>
      <c r="BK182">
        <f t="shared" si="270"/>
        <v>8</v>
      </c>
      <c r="BL182">
        <f t="shared" si="271"/>
        <v>8</v>
      </c>
      <c r="BM182">
        <f t="shared" si="272"/>
        <v>8</v>
      </c>
      <c r="BN182">
        <f t="shared" si="273"/>
        <v>8</v>
      </c>
      <c r="BO182">
        <f t="shared" si="274"/>
        <v>8</v>
      </c>
      <c r="BP182">
        <f t="shared" si="275"/>
        <v>8</v>
      </c>
      <c r="BQ182">
        <f t="shared" si="276"/>
        <v>8</v>
      </c>
      <c r="BR182">
        <f t="shared" si="277"/>
        <v>8</v>
      </c>
      <c r="BS182">
        <f t="shared" si="278"/>
        <v>8</v>
      </c>
      <c r="BT182">
        <f t="shared" si="279"/>
        <v>8</v>
      </c>
      <c r="BU182">
        <f t="shared" si="280"/>
        <v>8</v>
      </c>
      <c r="BV182">
        <f t="shared" si="281"/>
        <v>8</v>
      </c>
      <c r="BW182">
        <f t="shared" si="282"/>
        <v>8</v>
      </c>
      <c r="BX182">
        <f t="shared" si="283"/>
        <v>8</v>
      </c>
      <c r="BZ182" s="52">
        <f t="shared" si="225"/>
        <v>0</v>
      </c>
      <c r="CA182" s="52">
        <f t="shared" si="285"/>
        <v>0</v>
      </c>
      <c r="CB182" s="52">
        <f t="shared" si="285"/>
        <v>0</v>
      </c>
      <c r="CC182" s="52">
        <f t="shared" si="285"/>
        <v>0</v>
      </c>
      <c r="CD182" s="52">
        <f t="shared" si="285"/>
        <v>0</v>
      </c>
      <c r="CE182" s="52">
        <f t="shared" si="285"/>
        <v>0</v>
      </c>
      <c r="CF182" s="52">
        <f t="shared" si="285"/>
        <v>-2</v>
      </c>
      <c r="CG182" s="52">
        <f t="shared" si="285"/>
        <v>0</v>
      </c>
      <c r="CH182" s="52">
        <f t="shared" si="285"/>
        <v>2</v>
      </c>
      <c r="CI182" s="52">
        <f t="shared" si="285"/>
        <v>0</v>
      </c>
      <c r="CJ182" s="52">
        <f t="shared" si="285"/>
        <v>0</v>
      </c>
      <c r="CK182" s="52">
        <f t="shared" si="285"/>
        <v>0</v>
      </c>
      <c r="CL182" s="52">
        <f t="shared" si="285"/>
        <v>0</v>
      </c>
      <c r="CM182" s="52">
        <f t="shared" si="285"/>
        <v>0</v>
      </c>
      <c r="CN182" s="52">
        <f t="shared" si="285"/>
        <v>0</v>
      </c>
      <c r="CO182" s="52">
        <f t="shared" si="285"/>
        <v>0</v>
      </c>
      <c r="CP182" s="52">
        <f t="shared" si="285"/>
        <v>0</v>
      </c>
      <c r="CQ182" s="52">
        <f t="shared" si="226"/>
        <v>0</v>
      </c>
      <c r="CR182" s="52">
        <f t="shared" si="227"/>
        <v>0</v>
      </c>
      <c r="CS182" s="52">
        <f t="shared" si="228"/>
        <v>0</v>
      </c>
      <c r="CT182" s="52">
        <f t="shared" si="229"/>
        <v>0</v>
      </c>
      <c r="CU182" s="52">
        <f t="shared" si="230"/>
        <v>0</v>
      </c>
      <c r="CV182" s="52">
        <f t="shared" si="231"/>
        <v>0</v>
      </c>
      <c r="CW182" s="52">
        <f t="shared" si="232"/>
        <v>0</v>
      </c>
    </row>
    <row r="183" spans="1:102">
      <c r="A183" s="60">
        <v>45105</v>
      </c>
      <c r="B183" s="426">
        <v>52084.2</v>
      </c>
      <c r="C183">
        <v>51594.5</v>
      </c>
      <c r="D183">
        <v>51426.8</v>
      </c>
      <c r="E183">
        <v>51616.800000000003</v>
      </c>
      <c r="F183">
        <v>51703.5</v>
      </c>
      <c r="G183">
        <v>51655.5</v>
      </c>
      <c r="H183">
        <v>51600.9</v>
      </c>
      <c r="I183">
        <v>51449.2</v>
      </c>
      <c r="J183">
        <v>51860.2</v>
      </c>
      <c r="K183">
        <v>53523.4</v>
      </c>
      <c r="L183">
        <v>53570.400000000001</v>
      </c>
      <c r="M183">
        <v>53486.1</v>
      </c>
      <c r="N183">
        <v>53481.3</v>
      </c>
      <c r="O183">
        <v>53921.3</v>
      </c>
      <c r="P183">
        <v>54309.7</v>
      </c>
      <c r="Q183">
        <v>45050.5</v>
      </c>
      <c r="R183">
        <v>52725.8</v>
      </c>
      <c r="S183">
        <v>69229.100000000006</v>
      </c>
      <c r="T183">
        <v>55492.7</v>
      </c>
      <c r="U183">
        <v>53853.4</v>
      </c>
      <c r="V183">
        <v>53799.4</v>
      </c>
      <c r="W183">
        <v>53981.599999999999</v>
      </c>
      <c r="X183">
        <v>53651.5</v>
      </c>
      <c r="Y183">
        <v>53408.2</v>
      </c>
      <c r="Z183" s="77">
        <v>1278476</v>
      </c>
      <c r="AB183" s="52">
        <f t="shared" si="236"/>
        <v>0</v>
      </c>
      <c r="AC183" s="52">
        <f t="shared" si="239"/>
        <v>0</v>
      </c>
      <c r="AD183" s="52">
        <f t="shared" si="240"/>
        <v>0</v>
      </c>
      <c r="AE183" s="52">
        <f t="shared" si="241"/>
        <v>0</v>
      </c>
      <c r="AF183" s="52">
        <f t="shared" si="242"/>
        <v>0</v>
      </c>
      <c r="AG183" s="52">
        <f t="shared" si="243"/>
        <v>0</v>
      </c>
      <c r="AH183" s="52">
        <f t="shared" si="244"/>
        <v>0</v>
      </c>
      <c r="AI183" s="52">
        <f t="shared" si="245"/>
        <v>0</v>
      </c>
      <c r="AJ183" s="52">
        <f t="shared" si="246"/>
        <v>0</v>
      </c>
      <c r="AK183" s="52">
        <f t="shared" si="247"/>
        <v>0</v>
      </c>
      <c r="AL183" s="52">
        <f t="shared" si="248"/>
        <v>0</v>
      </c>
      <c r="AM183" s="52">
        <f t="shared" si="249"/>
        <v>0</v>
      </c>
      <c r="AN183" s="52">
        <f t="shared" si="250"/>
        <v>0</v>
      </c>
      <c r="AO183" s="52">
        <f t="shared" si="251"/>
        <v>0</v>
      </c>
      <c r="AP183" s="52">
        <f t="shared" si="252"/>
        <v>0</v>
      </c>
      <c r="AQ183" s="52">
        <f t="shared" si="253"/>
        <v>0</v>
      </c>
      <c r="AR183" s="52">
        <f t="shared" si="254"/>
        <v>0</v>
      </c>
      <c r="AS183" s="52">
        <f t="shared" si="255"/>
        <v>0</v>
      </c>
      <c r="AT183" s="52">
        <f t="shared" si="256"/>
        <v>0</v>
      </c>
      <c r="AU183" s="52">
        <f t="shared" si="257"/>
        <v>0</v>
      </c>
      <c r="AV183" s="52">
        <f t="shared" si="258"/>
        <v>0</v>
      </c>
      <c r="AW183" s="52">
        <f t="shared" si="259"/>
        <v>0</v>
      </c>
      <c r="AX183" s="52">
        <f t="shared" si="260"/>
        <v>0</v>
      </c>
      <c r="AY183" s="52">
        <f t="shared" si="237"/>
        <v>0</v>
      </c>
      <c r="BA183" s="52">
        <f t="shared" si="238"/>
        <v>6</v>
      </c>
      <c r="BB183" s="52">
        <f t="shared" si="261"/>
        <v>6</v>
      </c>
      <c r="BC183" s="52">
        <f t="shared" si="262"/>
        <v>6</v>
      </c>
      <c r="BD183" s="52">
        <f t="shared" si="263"/>
        <v>6</v>
      </c>
      <c r="BE183" s="52">
        <f t="shared" si="264"/>
        <v>6</v>
      </c>
      <c r="BF183" s="52">
        <f t="shared" si="265"/>
        <v>6</v>
      </c>
      <c r="BG183" s="52">
        <f t="shared" si="266"/>
        <v>6</v>
      </c>
      <c r="BH183" s="52">
        <f t="shared" si="267"/>
        <v>6</v>
      </c>
      <c r="BI183" s="52">
        <f t="shared" si="268"/>
        <v>6</v>
      </c>
      <c r="BJ183" s="52">
        <f t="shared" si="269"/>
        <v>7</v>
      </c>
      <c r="BK183" s="52">
        <f t="shared" si="270"/>
        <v>7</v>
      </c>
      <c r="BL183" s="52">
        <f t="shared" si="271"/>
        <v>7</v>
      </c>
      <c r="BM183" s="52">
        <f t="shared" si="272"/>
        <v>7</v>
      </c>
      <c r="BN183" s="52">
        <f t="shared" si="273"/>
        <v>7</v>
      </c>
      <c r="BO183" s="52">
        <f t="shared" si="274"/>
        <v>7</v>
      </c>
      <c r="BP183" s="52">
        <f t="shared" si="275"/>
        <v>6</v>
      </c>
      <c r="BQ183" s="52">
        <f t="shared" si="276"/>
        <v>6</v>
      </c>
      <c r="BR183" s="52">
        <f t="shared" si="277"/>
        <v>8</v>
      </c>
      <c r="BS183" s="52">
        <f t="shared" si="278"/>
        <v>7</v>
      </c>
      <c r="BT183" s="52">
        <f t="shared" si="279"/>
        <v>7</v>
      </c>
      <c r="BU183" s="52">
        <f t="shared" si="280"/>
        <v>7</v>
      </c>
      <c r="BV183" s="52">
        <f t="shared" si="281"/>
        <v>7</v>
      </c>
      <c r="BW183" s="52">
        <f t="shared" si="282"/>
        <v>7</v>
      </c>
      <c r="BX183" s="52">
        <f t="shared" si="283"/>
        <v>7</v>
      </c>
      <c r="BZ183">
        <f t="shared" si="225"/>
        <v>-2</v>
      </c>
      <c r="CA183">
        <f t="shared" si="285"/>
        <v>0</v>
      </c>
      <c r="CB183">
        <f t="shared" si="285"/>
        <v>0</v>
      </c>
      <c r="CC183">
        <f t="shared" si="285"/>
        <v>0</v>
      </c>
      <c r="CD183">
        <f t="shared" si="285"/>
        <v>0</v>
      </c>
      <c r="CE183">
        <f t="shared" si="285"/>
        <v>0</v>
      </c>
      <c r="CF183">
        <f t="shared" si="285"/>
        <v>0</v>
      </c>
      <c r="CG183">
        <f t="shared" si="285"/>
        <v>0</v>
      </c>
      <c r="CH183">
        <f t="shared" si="285"/>
        <v>0</v>
      </c>
      <c r="CI183">
        <f t="shared" si="285"/>
        <v>1</v>
      </c>
      <c r="CJ183">
        <f t="shared" si="285"/>
        <v>0</v>
      </c>
      <c r="CK183">
        <f t="shared" si="285"/>
        <v>0</v>
      </c>
      <c r="CL183">
        <f t="shared" si="285"/>
        <v>0</v>
      </c>
      <c r="CM183">
        <f t="shared" si="285"/>
        <v>0</v>
      </c>
      <c r="CN183">
        <f t="shared" si="285"/>
        <v>0</v>
      </c>
      <c r="CO183">
        <f t="shared" si="285"/>
        <v>-1</v>
      </c>
      <c r="CP183">
        <f t="shared" si="285"/>
        <v>0</v>
      </c>
      <c r="CQ183">
        <f t="shared" si="226"/>
        <v>2</v>
      </c>
      <c r="CR183">
        <f t="shared" si="227"/>
        <v>-1</v>
      </c>
      <c r="CS183">
        <f t="shared" si="228"/>
        <v>0</v>
      </c>
      <c r="CT183">
        <f t="shared" si="229"/>
        <v>0</v>
      </c>
      <c r="CU183">
        <f t="shared" si="230"/>
        <v>0</v>
      </c>
      <c r="CV183">
        <f t="shared" si="231"/>
        <v>0</v>
      </c>
      <c r="CW183">
        <f t="shared" si="232"/>
        <v>0</v>
      </c>
    </row>
    <row r="184" spans="1:102">
      <c r="A184" s="60">
        <v>45106</v>
      </c>
      <c r="B184" s="426">
        <v>45102</v>
      </c>
      <c r="C184">
        <v>44607.8</v>
      </c>
      <c r="D184">
        <v>44587.6</v>
      </c>
      <c r="E184">
        <v>44548.6</v>
      </c>
      <c r="F184">
        <v>44588.7</v>
      </c>
      <c r="G184">
        <v>44704.3</v>
      </c>
      <c r="H184">
        <v>44526.2</v>
      </c>
      <c r="I184">
        <v>44789.8</v>
      </c>
      <c r="J184">
        <v>44654.1</v>
      </c>
      <c r="K184">
        <v>44672.5</v>
      </c>
      <c r="L184">
        <v>44554.9</v>
      </c>
      <c r="M184">
        <v>44762.1</v>
      </c>
      <c r="N184">
        <v>44163</v>
      </c>
      <c r="O184">
        <v>43655.8</v>
      </c>
      <c r="P184">
        <v>44426.7</v>
      </c>
      <c r="Q184">
        <v>44179.5</v>
      </c>
      <c r="R184">
        <v>44193.3</v>
      </c>
      <c r="S184">
        <v>44114.400000000001</v>
      </c>
      <c r="T184">
        <v>44052.9</v>
      </c>
      <c r="U184">
        <v>44157</v>
      </c>
      <c r="V184">
        <v>44182.9</v>
      </c>
      <c r="W184">
        <v>47641.7</v>
      </c>
      <c r="X184">
        <v>58663.1</v>
      </c>
      <c r="Y184">
        <v>58453.5</v>
      </c>
      <c r="Z184" s="77">
        <v>1097982.3999999999</v>
      </c>
      <c r="AB184">
        <f t="shared" si="236"/>
        <v>0</v>
      </c>
      <c r="AC184">
        <f t="shared" si="239"/>
        <v>0</v>
      </c>
      <c r="AD184">
        <f t="shared" si="240"/>
        <v>0</v>
      </c>
      <c r="AE184">
        <f t="shared" si="241"/>
        <v>0</v>
      </c>
      <c r="AF184">
        <f t="shared" si="242"/>
        <v>0</v>
      </c>
      <c r="AG184">
        <f t="shared" si="243"/>
        <v>0</v>
      </c>
      <c r="AH184">
        <f t="shared" si="244"/>
        <v>0</v>
      </c>
      <c r="AI184">
        <f t="shared" si="245"/>
        <v>0</v>
      </c>
      <c r="AJ184">
        <f t="shared" si="246"/>
        <v>0</v>
      </c>
      <c r="AK184">
        <f t="shared" si="247"/>
        <v>0</v>
      </c>
      <c r="AL184">
        <f t="shared" si="248"/>
        <v>0</v>
      </c>
      <c r="AM184">
        <f t="shared" si="249"/>
        <v>0</v>
      </c>
      <c r="AN184">
        <f t="shared" si="250"/>
        <v>0</v>
      </c>
      <c r="AO184">
        <f t="shared" si="251"/>
        <v>0</v>
      </c>
      <c r="AP184">
        <f t="shared" si="252"/>
        <v>0</v>
      </c>
      <c r="AQ184">
        <f t="shared" si="253"/>
        <v>0</v>
      </c>
      <c r="AR184">
        <f t="shared" si="254"/>
        <v>0</v>
      </c>
      <c r="AS184">
        <f t="shared" si="255"/>
        <v>0</v>
      </c>
      <c r="AT184">
        <f t="shared" si="256"/>
        <v>0</v>
      </c>
      <c r="AU184">
        <f t="shared" si="257"/>
        <v>0</v>
      </c>
      <c r="AV184">
        <f t="shared" si="258"/>
        <v>0</v>
      </c>
      <c r="AW184">
        <f t="shared" si="259"/>
        <v>0</v>
      </c>
      <c r="AX184">
        <f t="shared" si="260"/>
        <v>0</v>
      </c>
      <c r="AY184">
        <f t="shared" si="237"/>
        <v>0</v>
      </c>
      <c r="BA184">
        <f t="shared" si="238"/>
        <v>6</v>
      </c>
      <c r="BB184">
        <f t="shared" si="261"/>
        <v>6</v>
      </c>
      <c r="BC184">
        <f t="shared" si="262"/>
        <v>6</v>
      </c>
      <c r="BD184">
        <f t="shared" si="263"/>
        <v>6</v>
      </c>
      <c r="BE184">
        <f t="shared" si="264"/>
        <v>6</v>
      </c>
      <c r="BF184">
        <f t="shared" si="265"/>
        <v>6</v>
      </c>
      <c r="BG184">
        <f t="shared" si="266"/>
        <v>6</v>
      </c>
      <c r="BH184">
        <f t="shared" si="267"/>
        <v>6</v>
      </c>
      <c r="BI184">
        <f t="shared" si="268"/>
        <v>6</v>
      </c>
      <c r="BJ184">
        <f t="shared" si="269"/>
        <v>6</v>
      </c>
      <c r="BK184">
        <f t="shared" si="270"/>
        <v>6</v>
      </c>
      <c r="BL184">
        <f t="shared" si="271"/>
        <v>6</v>
      </c>
      <c r="BM184">
        <f t="shared" si="272"/>
        <v>6</v>
      </c>
      <c r="BN184">
        <f t="shared" si="273"/>
        <v>5</v>
      </c>
      <c r="BO184">
        <f t="shared" si="274"/>
        <v>6</v>
      </c>
      <c r="BP184">
        <f t="shared" si="275"/>
        <v>6</v>
      </c>
      <c r="BQ184">
        <f t="shared" si="276"/>
        <v>6</v>
      </c>
      <c r="BR184">
        <f t="shared" si="277"/>
        <v>6</v>
      </c>
      <c r="BS184">
        <f t="shared" si="278"/>
        <v>6</v>
      </c>
      <c r="BT184">
        <f t="shared" si="279"/>
        <v>6</v>
      </c>
      <c r="BU184">
        <f t="shared" si="280"/>
        <v>6</v>
      </c>
      <c r="BV184">
        <f t="shared" si="281"/>
        <v>6</v>
      </c>
      <c r="BW184">
        <f t="shared" si="282"/>
        <v>7</v>
      </c>
      <c r="BX184">
        <f t="shared" si="283"/>
        <v>7</v>
      </c>
      <c r="BZ184" s="52">
        <f t="shared" si="225"/>
        <v>-1</v>
      </c>
      <c r="CA184" s="52">
        <f t="shared" si="285"/>
        <v>0</v>
      </c>
      <c r="CB184" s="52">
        <f t="shared" si="285"/>
        <v>0</v>
      </c>
      <c r="CC184" s="52">
        <f t="shared" si="285"/>
        <v>0</v>
      </c>
      <c r="CD184" s="52">
        <f t="shared" si="285"/>
        <v>0</v>
      </c>
      <c r="CE184" s="52">
        <f t="shared" si="285"/>
        <v>0</v>
      </c>
      <c r="CF184" s="52">
        <f t="shared" si="285"/>
        <v>0</v>
      </c>
      <c r="CG184" s="52">
        <f t="shared" si="285"/>
        <v>0</v>
      </c>
      <c r="CH184" s="52">
        <f t="shared" si="285"/>
        <v>0</v>
      </c>
      <c r="CI184" s="52">
        <f t="shared" si="285"/>
        <v>0</v>
      </c>
      <c r="CJ184" s="52">
        <f t="shared" si="285"/>
        <v>0</v>
      </c>
      <c r="CK184" s="52">
        <f t="shared" si="285"/>
        <v>0</v>
      </c>
      <c r="CL184" s="52">
        <f t="shared" si="285"/>
        <v>0</v>
      </c>
      <c r="CM184" s="52">
        <f t="shared" si="285"/>
        <v>-1</v>
      </c>
      <c r="CN184" s="52">
        <f t="shared" si="285"/>
        <v>1</v>
      </c>
      <c r="CO184" s="52">
        <f t="shared" si="285"/>
        <v>0</v>
      </c>
      <c r="CP184" s="52">
        <f t="shared" si="285"/>
        <v>0</v>
      </c>
      <c r="CQ184" s="52">
        <f t="shared" si="226"/>
        <v>0</v>
      </c>
      <c r="CR184" s="52">
        <f t="shared" si="227"/>
        <v>0</v>
      </c>
      <c r="CS184" s="52">
        <f t="shared" si="228"/>
        <v>0</v>
      </c>
      <c r="CT184" s="52">
        <f t="shared" si="229"/>
        <v>0</v>
      </c>
      <c r="CU184" s="52">
        <f t="shared" si="230"/>
        <v>0</v>
      </c>
      <c r="CV184" s="52">
        <f t="shared" si="231"/>
        <v>1</v>
      </c>
      <c r="CW184" s="52">
        <f t="shared" si="232"/>
        <v>0</v>
      </c>
    </row>
    <row r="185" spans="1:102">
      <c r="A185" s="60">
        <v>45107</v>
      </c>
      <c r="B185" s="426">
        <v>46555.5</v>
      </c>
      <c r="C185">
        <v>44919.1</v>
      </c>
      <c r="D185">
        <v>44966</v>
      </c>
      <c r="E185">
        <v>44887.4</v>
      </c>
      <c r="F185">
        <v>44987.1</v>
      </c>
      <c r="G185">
        <v>44979.199999999997</v>
      </c>
      <c r="H185">
        <v>44933.1</v>
      </c>
      <c r="I185">
        <v>45165.9</v>
      </c>
      <c r="J185">
        <v>45003.6</v>
      </c>
      <c r="K185">
        <v>45054.7</v>
      </c>
      <c r="L185">
        <v>45186</v>
      </c>
      <c r="M185">
        <v>45147.8</v>
      </c>
      <c r="N185">
        <v>45212.9</v>
      </c>
      <c r="O185">
        <v>43945.599999999999</v>
      </c>
      <c r="P185">
        <v>43576.2</v>
      </c>
      <c r="Q185">
        <v>44326.2</v>
      </c>
      <c r="R185">
        <v>43420.9</v>
      </c>
      <c r="S185">
        <v>43910.5</v>
      </c>
      <c r="T185">
        <v>43860.3</v>
      </c>
      <c r="U185">
        <v>43908.5</v>
      </c>
      <c r="V185">
        <v>43936.2</v>
      </c>
      <c r="W185">
        <v>46257.5</v>
      </c>
      <c r="X185">
        <v>58848.9</v>
      </c>
      <c r="Y185">
        <v>59294.3</v>
      </c>
      <c r="Z185" s="77">
        <v>1102283.3999999999</v>
      </c>
      <c r="AB185" s="52">
        <f>+IF(AND(B185=0,C185&lt;&gt;0),1,0)</f>
        <v>0</v>
      </c>
      <c r="AC185" s="52">
        <f t="shared" si="239"/>
        <v>0</v>
      </c>
      <c r="AD185" s="52">
        <f t="shared" si="240"/>
        <v>0</v>
      </c>
      <c r="AE185" s="52">
        <f t="shared" si="241"/>
        <v>0</v>
      </c>
      <c r="AF185" s="52">
        <f t="shared" si="242"/>
        <v>0</v>
      </c>
      <c r="AG185" s="52">
        <f t="shared" si="243"/>
        <v>0</v>
      </c>
      <c r="AH185" s="52">
        <f t="shared" si="244"/>
        <v>0</v>
      </c>
      <c r="AI185" s="52">
        <f t="shared" si="245"/>
        <v>0</v>
      </c>
      <c r="AJ185" s="52">
        <f t="shared" si="246"/>
        <v>0</v>
      </c>
      <c r="AK185" s="52">
        <f t="shared" si="247"/>
        <v>0</v>
      </c>
      <c r="AL185" s="52">
        <f t="shared" si="248"/>
        <v>0</v>
      </c>
      <c r="AM185" s="52">
        <f t="shared" si="249"/>
        <v>0</v>
      </c>
      <c r="AN185" s="52">
        <f t="shared" si="250"/>
        <v>0</v>
      </c>
      <c r="AO185" s="52">
        <f t="shared" si="251"/>
        <v>0</v>
      </c>
      <c r="AP185" s="52">
        <f t="shared" si="252"/>
        <v>0</v>
      </c>
      <c r="AQ185" s="52">
        <f t="shared" si="253"/>
        <v>0</v>
      </c>
      <c r="AR185" s="52">
        <f t="shared" si="254"/>
        <v>0</v>
      </c>
      <c r="AS185" s="52">
        <f t="shared" si="255"/>
        <v>0</v>
      </c>
      <c r="AT185" s="52">
        <f t="shared" si="256"/>
        <v>0</v>
      </c>
      <c r="AU185" s="52">
        <f t="shared" si="257"/>
        <v>0</v>
      </c>
      <c r="AV185" s="52">
        <f t="shared" si="258"/>
        <v>0</v>
      </c>
      <c r="AW185" s="52">
        <f t="shared" si="259"/>
        <v>0</v>
      </c>
      <c r="AX185" s="52">
        <f t="shared" si="260"/>
        <v>0</v>
      </c>
      <c r="AY185" s="52">
        <f>+IF(AND(Y185=0,B186&lt;&gt;0),1,0)</f>
        <v>0</v>
      </c>
      <c r="BA185" s="52">
        <f>+ROUNDUP(B185/8800,0)</f>
        <v>6</v>
      </c>
      <c r="BB185" s="52">
        <f t="shared" si="261"/>
        <v>6</v>
      </c>
      <c r="BC185" s="52">
        <f t="shared" si="262"/>
        <v>6</v>
      </c>
      <c r="BD185" s="52">
        <f t="shared" si="263"/>
        <v>6</v>
      </c>
      <c r="BE185" s="52">
        <f t="shared" si="264"/>
        <v>6</v>
      </c>
      <c r="BF185" s="52">
        <f t="shared" si="265"/>
        <v>6</v>
      </c>
      <c r="BG185" s="52">
        <f t="shared" si="266"/>
        <v>6</v>
      </c>
      <c r="BH185" s="52">
        <f t="shared" si="267"/>
        <v>6</v>
      </c>
      <c r="BI185" s="52">
        <f t="shared" si="268"/>
        <v>6</v>
      </c>
      <c r="BJ185" s="52">
        <f t="shared" si="269"/>
        <v>6</v>
      </c>
      <c r="BK185" s="52">
        <f t="shared" si="270"/>
        <v>6</v>
      </c>
      <c r="BL185" s="52">
        <f t="shared" si="271"/>
        <v>6</v>
      </c>
      <c r="BM185" s="52">
        <f t="shared" si="272"/>
        <v>6</v>
      </c>
      <c r="BN185" s="52">
        <f t="shared" si="273"/>
        <v>5</v>
      </c>
      <c r="BO185" s="52">
        <f t="shared" si="274"/>
        <v>5</v>
      </c>
      <c r="BP185" s="52">
        <f t="shared" si="275"/>
        <v>6</v>
      </c>
      <c r="BQ185" s="52">
        <f t="shared" si="276"/>
        <v>5</v>
      </c>
      <c r="BR185" s="52">
        <f t="shared" si="277"/>
        <v>5</v>
      </c>
      <c r="BS185" s="52">
        <f t="shared" si="278"/>
        <v>5</v>
      </c>
      <c r="BT185" s="52">
        <f t="shared" si="279"/>
        <v>5</v>
      </c>
      <c r="BU185" s="52">
        <f t="shared" si="280"/>
        <v>5</v>
      </c>
      <c r="BV185" s="52">
        <f t="shared" si="281"/>
        <v>6</v>
      </c>
      <c r="BW185" s="52">
        <f t="shared" si="282"/>
        <v>7</v>
      </c>
      <c r="BX185" s="52">
        <f t="shared" si="283"/>
        <v>7</v>
      </c>
      <c r="BZ185">
        <f t="shared" si="225"/>
        <v>-1</v>
      </c>
      <c r="CA185">
        <f t="shared" si="285"/>
        <v>0</v>
      </c>
      <c r="CB185">
        <f t="shared" si="285"/>
        <v>0</v>
      </c>
      <c r="CC185">
        <f t="shared" si="285"/>
        <v>0</v>
      </c>
      <c r="CD185">
        <f t="shared" si="285"/>
        <v>0</v>
      </c>
      <c r="CE185">
        <f t="shared" si="285"/>
        <v>0</v>
      </c>
      <c r="CF185">
        <f t="shared" si="285"/>
        <v>0</v>
      </c>
      <c r="CG185">
        <f t="shared" si="285"/>
        <v>0</v>
      </c>
      <c r="CH185">
        <f t="shared" si="285"/>
        <v>0</v>
      </c>
      <c r="CI185">
        <f t="shared" si="285"/>
        <v>0</v>
      </c>
      <c r="CJ185">
        <f t="shared" si="285"/>
        <v>0</v>
      </c>
      <c r="CK185">
        <f t="shared" si="285"/>
        <v>0</v>
      </c>
      <c r="CL185">
        <f t="shared" si="285"/>
        <v>0</v>
      </c>
      <c r="CM185">
        <f t="shared" si="285"/>
        <v>-1</v>
      </c>
      <c r="CN185">
        <f t="shared" ref="CN185:CP187" si="287">BO185-BN185</f>
        <v>0</v>
      </c>
      <c r="CO185">
        <f t="shared" si="287"/>
        <v>1</v>
      </c>
      <c r="CP185">
        <f t="shared" si="287"/>
        <v>-1</v>
      </c>
      <c r="CQ185">
        <f t="shared" si="226"/>
        <v>0</v>
      </c>
      <c r="CR185">
        <f t="shared" si="227"/>
        <v>0</v>
      </c>
      <c r="CS185">
        <f t="shared" si="228"/>
        <v>0</v>
      </c>
      <c r="CT185">
        <f t="shared" si="229"/>
        <v>0</v>
      </c>
      <c r="CU185">
        <f t="shared" si="230"/>
        <v>1</v>
      </c>
      <c r="CV185">
        <f t="shared" si="231"/>
        <v>1</v>
      </c>
      <c r="CW185">
        <f t="shared" si="232"/>
        <v>0</v>
      </c>
    </row>
    <row r="186" spans="1:102">
      <c r="A186" s="60">
        <v>45108</v>
      </c>
      <c r="B186" s="426">
        <v>54956.7</v>
      </c>
      <c r="C186">
        <v>54398.1</v>
      </c>
      <c r="D186">
        <v>54648.9</v>
      </c>
      <c r="E186">
        <v>54846.2</v>
      </c>
      <c r="F186">
        <v>54931.7</v>
      </c>
      <c r="G186">
        <v>54886.3</v>
      </c>
      <c r="H186">
        <v>55075.3</v>
      </c>
      <c r="I186">
        <v>54307.6</v>
      </c>
      <c r="J186">
        <v>54070.9</v>
      </c>
      <c r="K186">
        <v>54091.1</v>
      </c>
      <c r="L186">
        <v>53985.9</v>
      </c>
      <c r="M186">
        <v>53602.1</v>
      </c>
      <c r="N186">
        <v>53607.5</v>
      </c>
      <c r="O186">
        <v>53861.599999999999</v>
      </c>
      <c r="P186">
        <v>53770.6</v>
      </c>
      <c r="Q186">
        <v>53870.8</v>
      </c>
      <c r="R186">
        <v>53755.7</v>
      </c>
      <c r="S186">
        <v>53565.3</v>
      </c>
      <c r="T186">
        <v>53764.2</v>
      </c>
      <c r="U186">
        <v>54058.6</v>
      </c>
      <c r="V186">
        <v>54422.400000000001</v>
      </c>
      <c r="W186">
        <v>54713.7</v>
      </c>
      <c r="X186">
        <v>54603</v>
      </c>
      <c r="Y186">
        <v>54558.3</v>
      </c>
      <c r="Z186" s="77">
        <v>1302352.4999999998</v>
      </c>
      <c r="AB186" s="157">
        <f t="shared" ref="AB186:AB214" si="288">+IF(AND(B186=0,C186&lt;&gt;0),1,0)</f>
        <v>0</v>
      </c>
      <c r="AC186" s="157">
        <f t="shared" si="239"/>
        <v>0</v>
      </c>
      <c r="AD186" s="157">
        <f t="shared" si="240"/>
        <v>0</v>
      </c>
      <c r="AE186" s="157">
        <f t="shared" si="241"/>
        <v>0</v>
      </c>
      <c r="AF186" s="157">
        <f t="shared" si="242"/>
        <v>0</v>
      </c>
      <c r="AG186" s="157">
        <f t="shared" si="243"/>
        <v>0</v>
      </c>
      <c r="AH186" s="157">
        <f t="shared" si="244"/>
        <v>0</v>
      </c>
      <c r="AI186" s="157">
        <f t="shared" si="245"/>
        <v>0</v>
      </c>
      <c r="AJ186" s="157">
        <f t="shared" si="246"/>
        <v>0</v>
      </c>
      <c r="AK186" s="157">
        <f t="shared" si="247"/>
        <v>0</v>
      </c>
      <c r="AL186" s="157">
        <f t="shared" si="248"/>
        <v>0</v>
      </c>
      <c r="AM186" s="157">
        <f t="shared" si="249"/>
        <v>0</v>
      </c>
      <c r="AN186" s="157">
        <f t="shared" si="250"/>
        <v>0</v>
      </c>
      <c r="AO186" s="157">
        <f t="shared" si="251"/>
        <v>0</v>
      </c>
      <c r="AP186" s="157">
        <f t="shared" si="252"/>
        <v>0</v>
      </c>
      <c r="AQ186" s="157">
        <f t="shared" si="253"/>
        <v>0</v>
      </c>
      <c r="AR186" s="157">
        <f t="shared" si="254"/>
        <v>0</v>
      </c>
      <c r="AS186" s="157">
        <f t="shared" si="255"/>
        <v>0</v>
      </c>
      <c r="AT186" s="157">
        <f t="shared" si="256"/>
        <v>0</v>
      </c>
      <c r="AU186" s="157">
        <f t="shared" si="257"/>
        <v>0</v>
      </c>
      <c r="AV186" s="157">
        <f t="shared" si="258"/>
        <v>0</v>
      </c>
      <c r="AW186" s="157">
        <f t="shared" si="259"/>
        <v>0</v>
      </c>
      <c r="AX186" s="157">
        <f t="shared" si="260"/>
        <v>0</v>
      </c>
      <c r="AY186" s="157">
        <f t="shared" ref="AY186:AY214" si="289">+IF(AND(Y186=0,B187&lt;&gt;0),1,0)</f>
        <v>0</v>
      </c>
      <c r="AZ186" s="63">
        <f>+SUM(AB156:AY185)</f>
        <v>1</v>
      </c>
      <c r="BA186" s="54">
        <f t="shared" ref="BA186:BA214" si="290">+ROUNDUP(B186/8800,0)</f>
        <v>7</v>
      </c>
      <c r="BB186" s="54">
        <f t="shared" si="261"/>
        <v>7</v>
      </c>
      <c r="BC186" s="54">
        <f t="shared" si="262"/>
        <v>7</v>
      </c>
      <c r="BD186" s="54">
        <f t="shared" si="263"/>
        <v>7</v>
      </c>
      <c r="BE186" s="54">
        <f t="shared" si="264"/>
        <v>7</v>
      </c>
      <c r="BF186" s="54">
        <f t="shared" si="265"/>
        <v>7</v>
      </c>
      <c r="BG186" s="54">
        <f t="shared" si="266"/>
        <v>7</v>
      </c>
      <c r="BH186" s="54">
        <f t="shared" si="267"/>
        <v>7</v>
      </c>
      <c r="BI186" s="54">
        <f t="shared" si="268"/>
        <v>7</v>
      </c>
      <c r="BJ186" s="54">
        <f t="shared" si="269"/>
        <v>7</v>
      </c>
      <c r="BK186" s="54">
        <f t="shared" si="270"/>
        <v>7</v>
      </c>
      <c r="BL186" s="54">
        <f t="shared" si="271"/>
        <v>7</v>
      </c>
      <c r="BM186" s="54">
        <f t="shared" si="272"/>
        <v>7</v>
      </c>
      <c r="BN186" s="54">
        <f t="shared" si="273"/>
        <v>7</v>
      </c>
      <c r="BO186" s="54">
        <f t="shared" si="274"/>
        <v>7</v>
      </c>
      <c r="BP186" s="54">
        <f t="shared" si="275"/>
        <v>7</v>
      </c>
      <c r="BQ186" s="54">
        <f t="shared" si="276"/>
        <v>7</v>
      </c>
      <c r="BR186" s="54">
        <f t="shared" si="277"/>
        <v>7</v>
      </c>
      <c r="BS186" s="54">
        <f t="shared" si="278"/>
        <v>7</v>
      </c>
      <c r="BT186" s="54">
        <f t="shared" si="279"/>
        <v>7</v>
      </c>
      <c r="BU186" s="54">
        <f t="shared" si="280"/>
        <v>7</v>
      </c>
      <c r="BV186" s="54">
        <f t="shared" si="281"/>
        <v>7</v>
      </c>
      <c r="BW186" s="54">
        <f t="shared" si="282"/>
        <v>7</v>
      </c>
      <c r="BX186" s="54">
        <f t="shared" si="283"/>
        <v>7</v>
      </c>
      <c r="BY186" s="53">
        <f>+SUM(BA157:BX186)</f>
        <v>5124</v>
      </c>
      <c r="BZ186" s="54">
        <f t="shared" si="225"/>
        <v>0</v>
      </c>
      <c r="CA186" s="54">
        <f t="shared" ref="CA186:CP203" si="291">BB186-BA186</f>
        <v>0</v>
      </c>
      <c r="CB186" s="54">
        <f t="shared" ref="CB186:CM187" si="292">BC186-BB186</f>
        <v>0</v>
      </c>
      <c r="CC186" s="54">
        <f t="shared" si="292"/>
        <v>0</v>
      </c>
      <c r="CD186" s="54">
        <f t="shared" si="292"/>
        <v>0</v>
      </c>
      <c r="CE186" s="54">
        <f t="shared" si="292"/>
        <v>0</v>
      </c>
      <c r="CF186" s="54">
        <f t="shared" si="292"/>
        <v>0</v>
      </c>
      <c r="CG186" s="54">
        <f t="shared" si="292"/>
        <v>0</v>
      </c>
      <c r="CH186" s="54">
        <f t="shared" si="292"/>
        <v>0</v>
      </c>
      <c r="CI186" s="54">
        <f t="shared" si="292"/>
        <v>0</v>
      </c>
      <c r="CJ186" s="54">
        <f t="shared" si="292"/>
        <v>0</v>
      </c>
      <c r="CK186" s="54">
        <f t="shared" si="292"/>
        <v>0</v>
      </c>
      <c r="CL186" s="54">
        <f t="shared" si="292"/>
        <v>0</v>
      </c>
      <c r="CM186" s="54">
        <f t="shared" si="292"/>
        <v>0</v>
      </c>
      <c r="CN186" s="54">
        <f t="shared" si="287"/>
        <v>0</v>
      </c>
      <c r="CO186" s="54">
        <f t="shared" si="287"/>
        <v>0</v>
      </c>
      <c r="CP186" s="54">
        <f t="shared" si="287"/>
        <v>0</v>
      </c>
      <c r="CQ186" s="54">
        <f t="shared" si="226"/>
        <v>0</v>
      </c>
      <c r="CR186" s="54">
        <f t="shared" si="227"/>
        <v>0</v>
      </c>
      <c r="CS186" s="54">
        <f t="shared" si="228"/>
        <v>0</v>
      </c>
      <c r="CT186" s="54">
        <f t="shared" si="229"/>
        <v>0</v>
      </c>
      <c r="CU186" s="54">
        <f t="shared" si="230"/>
        <v>0</v>
      </c>
      <c r="CV186" s="54">
        <f t="shared" si="231"/>
        <v>0</v>
      </c>
      <c r="CW186" s="54">
        <f t="shared" si="232"/>
        <v>0</v>
      </c>
      <c r="CX186" s="53">
        <f>+SUMIF(BZ157:CW186,"&gt;0")</f>
        <v>50</v>
      </c>
    </row>
    <row r="187" spans="1:102">
      <c r="A187" s="60">
        <v>45109</v>
      </c>
      <c r="B187" s="426">
        <v>54533.9</v>
      </c>
      <c r="C187">
        <v>54721.599999999999</v>
      </c>
      <c r="D187">
        <v>54910.5</v>
      </c>
      <c r="E187">
        <v>54514.6</v>
      </c>
      <c r="F187">
        <v>54700.9</v>
      </c>
      <c r="G187">
        <v>54876.4</v>
      </c>
      <c r="H187">
        <v>54872.1</v>
      </c>
      <c r="I187">
        <v>55086.7</v>
      </c>
      <c r="J187">
        <v>54862.400000000001</v>
      </c>
      <c r="K187">
        <v>54996.9</v>
      </c>
      <c r="L187">
        <v>54978.400000000001</v>
      </c>
      <c r="M187">
        <v>54898.1</v>
      </c>
      <c r="N187">
        <v>54932.9</v>
      </c>
      <c r="O187">
        <v>54818.8</v>
      </c>
      <c r="P187">
        <v>54922.7</v>
      </c>
      <c r="Q187">
        <v>54857.7</v>
      </c>
      <c r="R187">
        <v>54945.9</v>
      </c>
      <c r="S187">
        <v>54823.199999999997</v>
      </c>
      <c r="T187">
        <v>54897.9</v>
      </c>
      <c r="U187">
        <v>54926.8</v>
      </c>
      <c r="V187">
        <v>54808.7</v>
      </c>
      <c r="W187">
        <v>54714.9</v>
      </c>
      <c r="X187">
        <v>54631.6</v>
      </c>
      <c r="Y187">
        <v>54423.6</v>
      </c>
      <c r="Z187" s="77">
        <v>1315657.2</v>
      </c>
      <c r="AB187" s="52">
        <f t="shared" si="288"/>
        <v>0</v>
      </c>
      <c r="AC187" s="52">
        <f t="shared" si="239"/>
        <v>0</v>
      </c>
      <c r="AD187" s="52">
        <f t="shared" si="240"/>
        <v>0</v>
      </c>
      <c r="AE187" s="52">
        <f t="shared" si="241"/>
        <v>0</v>
      </c>
      <c r="AF187" s="52">
        <f t="shared" si="242"/>
        <v>0</v>
      </c>
      <c r="AG187" s="52">
        <f t="shared" si="243"/>
        <v>0</v>
      </c>
      <c r="AH187" s="52">
        <f t="shared" si="244"/>
        <v>0</v>
      </c>
      <c r="AI187" s="52">
        <f t="shared" si="245"/>
        <v>0</v>
      </c>
      <c r="AJ187" s="52">
        <f t="shared" si="246"/>
        <v>0</v>
      </c>
      <c r="AK187" s="52">
        <f t="shared" si="247"/>
        <v>0</v>
      </c>
      <c r="AL187" s="52">
        <f t="shared" si="248"/>
        <v>0</v>
      </c>
      <c r="AM187" s="52">
        <f t="shared" si="249"/>
        <v>0</v>
      </c>
      <c r="AN187" s="52">
        <f t="shared" si="250"/>
        <v>0</v>
      </c>
      <c r="AO187" s="52">
        <f t="shared" si="251"/>
        <v>0</v>
      </c>
      <c r="AP187" s="52">
        <f t="shared" si="252"/>
        <v>0</v>
      </c>
      <c r="AQ187" s="52">
        <f t="shared" si="253"/>
        <v>0</v>
      </c>
      <c r="AR187" s="52">
        <f t="shared" si="254"/>
        <v>0</v>
      </c>
      <c r="AS187" s="52">
        <f t="shared" si="255"/>
        <v>0</v>
      </c>
      <c r="AT187" s="52">
        <f t="shared" si="256"/>
        <v>0</v>
      </c>
      <c r="AU187" s="52">
        <f t="shared" si="257"/>
        <v>0</v>
      </c>
      <c r="AV187" s="52">
        <f t="shared" si="258"/>
        <v>0</v>
      </c>
      <c r="AW187" s="52">
        <f t="shared" si="259"/>
        <v>0</v>
      </c>
      <c r="AX187" s="52">
        <f t="shared" si="260"/>
        <v>0</v>
      </c>
      <c r="AY187" s="52">
        <f t="shared" si="289"/>
        <v>0</v>
      </c>
      <c r="BA187" s="52">
        <f t="shared" si="290"/>
        <v>7</v>
      </c>
      <c r="BB187" s="52">
        <f t="shared" si="261"/>
        <v>7</v>
      </c>
      <c r="BC187" s="52">
        <f t="shared" si="262"/>
        <v>7</v>
      </c>
      <c r="BD187" s="52">
        <f t="shared" si="263"/>
        <v>7</v>
      </c>
      <c r="BE187" s="52">
        <f t="shared" si="264"/>
        <v>7</v>
      </c>
      <c r="BF187" s="52">
        <f t="shared" si="265"/>
        <v>7</v>
      </c>
      <c r="BG187" s="52">
        <f t="shared" si="266"/>
        <v>7</v>
      </c>
      <c r="BH187" s="52">
        <f t="shared" si="267"/>
        <v>7</v>
      </c>
      <c r="BI187" s="52">
        <f t="shared" si="268"/>
        <v>7</v>
      </c>
      <c r="BJ187" s="52">
        <f t="shared" si="269"/>
        <v>7</v>
      </c>
      <c r="BK187" s="52">
        <f t="shared" si="270"/>
        <v>7</v>
      </c>
      <c r="BL187" s="52">
        <f t="shared" si="271"/>
        <v>7</v>
      </c>
      <c r="BM187" s="52">
        <f t="shared" si="272"/>
        <v>7</v>
      </c>
      <c r="BN187" s="52">
        <f t="shared" si="273"/>
        <v>7</v>
      </c>
      <c r="BO187" s="52">
        <f t="shared" si="274"/>
        <v>7</v>
      </c>
      <c r="BP187" s="52">
        <f t="shared" si="275"/>
        <v>7</v>
      </c>
      <c r="BQ187" s="52">
        <f t="shared" si="276"/>
        <v>7</v>
      </c>
      <c r="BR187" s="52">
        <f t="shared" si="277"/>
        <v>7</v>
      </c>
      <c r="BS187" s="52">
        <f t="shared" si="278"/>
        <v>7</v>
      </c>
      <c r="BT187" s="52">
        <f t="shared" si="279"/>
        <v>7</v>
      </c>
      <c r="BU187" s="52">
        <f t="shared" si="280"/>
        <v>7</v>
      </c>
      <c r="BV187" s="52">
        <f t="shared" si="281"/>
        <v>7</v>
      </c>
      <c r="BW187" s="52">
        <f t="shared" si="282"/>
        <v>7</v>
      </c>
      <c r="BX187" s="52">
        <f t="shared" si="283"/>
        <v>7</v>
      </c>
      <c r="BZ187">
        <f t="shared" si="225"/>
        <v>0</v>
      </c>
      <c r="CA187">
        <f t="shared" si="291"/>
        <v>0</v>
      </c>
      <c r="CB187">
        <f t="shared" si="292"/>
        <v>0</v>
      </c>
      <c r="CC187">
        <f t="shared" si="292"/>
        <v>0</v>
      </c>
      <c r="CD187">
        <f t="shared" si="292"/>
        <v>0</v>
      </c>
      <c r="CE187">
        <f t="shared" si="292"/>
        <v>0</v>
      </c>
      <c r="CF187">
        <f t="shared" si="292"/>
        <v>0</v>
      </c>
      <c r="CG187">
        <f t="shared" si="292"/>
        <v>0</v>
      </c>
      <c r="CH187">
        <f t="shared" si="292"/>
        <v>0</v>
      </c>
      <c r="CI187">
        <f t="shared" si="292"/>
        <v>0</v>
      </c>
      <c r="CJ187">
        <f t="shared" si="292"/>
        <v>0</v>
      </c>
      <c r="CK187">
        <f t="shared" si="292"/>
        <v>0</v>
      </c>
      <c r="CL187">
        <f t="shared" si="292"/>
        <v>0</v>
      </c>
      <c r="CM187">
        <f t="shared" si="292"/>
        <v>0</v>
      </c>
      <c r="CN187">
        <f t="shared" si="287"/>
        <v>0</v>
      </c>
      <c r="CO187">
        <f t="shared" si="287"/>
        <v>0</v>
      </c>
      <c r="CP187">
        <f t="shared" si="287"/>
        <v>0</v>
      </c>
      <c r="CQ187">
        <f t="shared" si="226"/>
        <v>0</v>
      </c>
      <c r="CR187">
        <f t="shared" si="227"/>
        <v>0</v>
      </c>
      <c r="CS187">
        <f t="shared" si="228"/>
        <v>0</v>
      </c>
      <c r="CT187">
        <f t="shared" si="229"/>
        <v>0</v>
      </c>
      <c r="CU187">
        <f t="shared" si="230"/>
        <v>0</v>
      </c>
      <c r="CV187">
        <f t="shared" si="231"/>
        <v>0</v>
      </c>
      <c r="CW187">
        <f t="shared" si="232"/>
        <v>0</v>
      </c>
    </row>
    <row r="188" spans="1:102">
      <c r="A188" s="60">
        <v>45110</v>
      </c>
      <c r="B188" s="426">
        <v>54418.2</v>
      </c>
      <c r="C188">
        <v>54396.9</v>
      </c>
      <c r="D188">
        <v>54368.9</v>
      </c>
      <c r="E188">
        <v>54408.2</v>
      </c>
      <c r="F188">
        <v>54719.6</v>
      </c>
      <c r="G188">
        <v>54708.1</v>
      </c>
      <c r="H188">
        <v>54686.9</v>
      </c>
      <c r="I188">
        <v>54837.1</v>
      </c>
      <c r="J188">
        <v>54757.4</v>
      </c>
      <c r="K188">
        <v>54248.1</v>
      </c>
      <c r="L188">
        <v>54227.3</v>
      </c>
      <c r="M188">
        <v>54366.6</v>
      </c>
      <c r="N188">
        <v>54482</v>
      </c>
      <c r="O188">
        <v>54385.8</v>
      </c>
      <c r="P188">
        <v>53916.5</v>
      </c>
      <c r="Q188">
        <v>53570.8</v>
      </c>
      <c r="R188">
        <v>53768.4</v>
      </c>
      <c r="S188">
        <v>53729.5</v>
      </c>
      <c r="T188">
        <v>53527.3</v>
      </c>
      <c r="U188">
        <v>53785.9</v>
      </c>
      <c r="V188">
        <v>53739.6</v>
      </c>
      <c r="W188">
        <v>53464.6</v>
      </c>
      <c r="X188">
        <v>54047.7</v>
      </c>
      <c r="Y188">
        <v>54660.800000000003</v>
      </c>
      <c r="Z188" s="77">
        <v>1301222.2000000004</v>
      </c>
      <c r="AB188">
        <f t="shared" si="288"/>
        <v>0</v>
      </c>
      <c r="AC188">
        <f t="shared" si="239"/>
        <v>0</v>
      </c>
      <c r="AD188">
        <f t="shared" si="240"/>
        <v>0</v>
      </c>
      <c r="AE188">
        <f t="shared" si="241"/>
        <v>0</v>
      </c>
      <c r="AF188">
        <f t="shared" si="242"/>
        <v>0</v>
      </c>
      <c r="AG188">
        <f t="shared" si="243"/>
        <v>0</v>
      </c>
      <c r="AH188">
        <f t="shared" si="244"/>
        <v>0</v>
      </c>
      <c r="AI188">
        <f t="shared" si="245"/>
        <v>0</v>
      </c>
      <c r="AJ188">
        <f t="shared" si="246"/>
        <v>0</v>
      </c>
      <c r="AK188">
        <f t="shared" si="247"/>
        <v>0</v>
      </c>
      <c r="AL188">
        <f t="shared" si="248"/>
        <v>0</v>
      </c>
      <c r="AM188">
        <f t="shared" si="249"/>
        <v>0</v>
      </c>
      <c r="AN188">
        <f t="shared" si="250"/>
        <v>0</v>
      </c>
      <c r="AO188">
        <f t="shared" si="251"/>
        <v>0</v>
      </c>
      <c r="AP188">
        <f t="shared" si="252"/>
        <v>0</v>
      </c>
      <c r="AQ188">
        <f t="shared" si="253"/>
        <v>0</v>
      </c>
      <c r="AR188">
        <f t="shared" si="254"/>
        <v>0</v>
      </c>
      <c r="AS188">
        <f t="shared" si="255"/>
        <v>0</v>
      </c>
      <c r="AT188">
        <f t="shared" si="256"/>
        <v>0</v>
      </c>
      <c r="AU188">
        <f t="shared" si="257"/>
        <v>0</v>
      </c>
      <c r="AV188">
        <f t="shared" si="258"/>
        <v>0</v>
      </c>
      <c r="AW188">
        <f t="shared" si="259"/>
        <v>0</v>
      </c>
      <c r="AX188">
        <f t="shared" si="260"/>
        <v>0</v>
      </c>
      <c r="AY188">
        <f t="shared" si="289"/>
        <v>0</v>
      </c>
      <c r="BA188">
        <f t="shared" si="290"/>
        <v>7</v>
      </c>
      <c r="BB188">
        <f t="shared" si="261"/>
        <v>7</v>
      </c>
      <c r="BC188">
        <f t="shared" si="262"/>
        <v>7</v>
      </c>
      <c r="BD188">
        <f t="shared" si="263"/>
        <v>7</v>
      </c>
      <c r="BE188">
        <f t="shared" si="264"/>
        <v>7</v>
      </c>
      <c r="BF188">
        <f t="shared" si="265"/>
        <v>7</v>
      </c>
      <c r="BG188">
        <f t="shared" si="266"/>
        <v>7</v>
      </c>
      <c r="BH188">
        <f t="shared" si="267"/>
        <v>7</v>
      </c>
      <c r="BI188">
        <f t="shared" si="268"/>
        <v>7</v>
      </c>
      <c r="BJ188">
        <f t="shared" si="269"/>
        <v>7</v>
      </c>
      <c r="BK188">
        <f t="shared" si="270"/>
        <v>7</v>
      </c>
      <c r="BL188">
        <f t="shared" si="271"/>
        <v>7</v>
      </c>
      <c r="BM188">
        <f t="shared" si="272"/>
        <v>7</v>
      </c>
      <c r="BN188">
        <f t="shared" si="273"/>
        <v>7</v>
      </c>
      <c r="BO188">
        <f t="shared" si="274"/>
        <v>7</v>
      </c>
      <c r="BP188">
        <f t="shared" si="275"/>
        <v>7</v>
      </c>
      <c r="BQ188">
        <f t="shared" si="276"/>
        <v>7</v>
      </c>
      <c r="BR188">
        <f t="shared" si="277"/>
        <v>7</v>
      </c>
      <c r="BS188">
        <f t="shared" si="278"/>
        <v>7</v>
      </c>
      <c r="BT188">
        <f t="shared" si="279"/>
        <v>7</v>
      </c>
      <c r="BU188">
        <f t="shared" si="280"/>
        <v>7</v>
      </c>
      <c r="BV188">
        <f t="shared" si="281"/>
        <v>7</v>
      </c>
      <c r="BW188">
        <f t="shared" si="282"/>
        <v>7</v>
      </c>
      <c r="BX188">
        <f t="shared" si="283"/>
        <v>7</v>
      </c>
      <c r="BZ188" s="52">
        <f t="shared" si="225"/>
        <v>0</v>
      </c>
      <c r="CA188" s="52">
        <f t="shared" si="291"/>
        <v>0</v>
      </c>
      <c r="CB188" s="52">
        <f t="shared" si="291"/>
        <v>0</v>
      </c>
      <c r="CC188" s="52">
        <f t="shared" si="291"/>
        <v>0</v>
      </c>
      <c r="CD188" s="52">
        <f t="shared" si="291"/>
        <v>0</v>
      </c>
      <c r="CE188" s="52">
        <f t="shared" si="291"/>
        <v>0</v>
      </c>
      <c r="CF188" s="52">
        <f t="shared" si="291"/>
        <v>0</v>
      </c>
      <c r="CG188" s="52">
        <f t="shared" si="291"/>
        <v>0</v>
      </c>
      <c r="CH188" s="52">
        <f t="shared" si="291"/>
        <v>0</v>
      </c>
      <c r="CI188" s="52">
        <f t="shared" si="291"/>
        <v>0</v>
      </c>
      <c r="CJ188" s="52">
        <f t="shared" si="291"/>
        <v>0</v>
      </c>
      <c r="CK188" s="52">
        <f t="shared" si="291"/>
        <v>0</v>
      </c>
      <c r="CL188" s="52">
        <f t="shared" si="291"/>
        <v>0</v>
      </c>
      <c r="CM188" s="52">
        <f t="shared" si="291"/>
        <v>0</v>
      </c>
      <c r="CN188" s="52">
        <f t="shared" si="291"/>
        <v>0</v>
      </c>
      <c r="CO188" s="52">
        <f t="shared" si="291"/>
        <v>0</v>
      </c>
      <c r="CP188" s="52">
        <f t="shared" si="291"/>
        <v>0</v>
      </c>
      <c r="CQ188" s="52">
        <f t="shared" si="226"/>
        <v>0</v>
      </c>
      <c r="CR188" s="52">
        <f t="shared" si="227"/>
        <v>0</v>
      </c>
      <c r="CS188" s="52">
        <f t="shared" si="228"/>
        <v>0</v>
      </c>
      <c r="CT188" s="52">
        <f t="shared" si="229"/>
        <v>0</v>
      </c>
      <c r="CU188" s="52">
        <f t="shared" si="230"/>
        <v>0</v>
      </c>
      <c r="CV188" s="52">
        <f t="shared" si="231"/>
        <v>0</v>
      </c>
      <c r="CW188" s="52">
        <f t="shared" si="232"/>
        <v>0</v>
      </c>
    </row>
    <row r="189" spans="1:102">
      <c r="A189" s="60">
        <v>45111</v>
      </c>
      <c r="B189" s="426">
        <v>54356.6</v>
      </c>
      <c r="C189">
        <v>54369</v>
      </c>
      <c r="D189">
        <v>54412.3</v>
      </c>
      <c r="E189">
        <v>54623.7</v>
      </c>
      <c r="F189">
        <v>54731.9</v>
      </c>
      <c r="G189">
        <v>54531.7</v>
      </c>
      <c r="H189">
        <v>54529.3</v>
      </c>
      <c r="I189">
        <v>54817.599999999999</v>
      </c>
      <c r="J189">
        <v>54460.5</v>
      </c>
      <c r="K189">
        <v>54546.1</v>
      </c>
      <c r="L189">
        <v>54516.5</v>
      </c>
      <c r="M189">
        <v>54596</v>
      </c>
      <c r="N189">
        <v>54603.5</v>
      </c>
      <c r="O189">
        <v>54454.8</v>
      </c>
      <c r="P189">
        <v>54564.9</v>
      </c>
      <c r="Q189">
        <v>54537.5</v>
      </c>
      <c r="R189">
        <v>54593.7</v>
      </c>
      <c r="S189">
        <v>54382.2</v>
      </c>
      <c r="T189">
        <v>54673.9</v>
      </c>
      <c r="U189">
        <v>54701.5</v>
      </c>
      <c r="V189">
        <v>54643.4</v>
      </c>
      <c r="W189">
        <v>54303.7</v>
      </c>
      <c r="X189">
        <v>54552.9</v>
      </c>
      <c r="Y189">
        <v>54679.6</v>
      </c>
      <c r="Z189" s="77">
        <v>1309182.8</v>
      </c>
      <c r="AB189" s="52">
        <f t="shared" si="288"/>
        <v>0</v>
      </c>
      <c r="AC189" s="52">
        <f t="shared" si="239"/>
        <v>0</v>
      </c>
      <c r="AD189" s="52">
        <f t="shared" si="240"/>
        <v>0</v>
      </c>
      <c r="AE189" s="52">
        <f t="shared" si="241"/>
        <v>0</v>
      </c>
      <c r="AF189" s="52">
        <f t="shared" si="242"/>
        <v>0</v>
      </c>
      <c r="AG189" s="52">
        <f t="shared" si="243"/>
        <v>0</v>
      </c>
      <c r="AH189" s="52">
        <f t="shared" si="244"/>
        <v>0</v>
      </c>
      <c r="AI189" s="52">
        <f t="shared" si="245"/>
        <v>0</v>
      </c>
      <c r="AJ189" s="52">
        <f t="shared" si="246"/>
        <v>0</v>
      </c>
      <c r="AK189" s="52">
        <f t="shared" si="247"/>
        <v>0</v>
      </c>
      <c r="AL189" s="52">
        <f t="shared" si="248"/>
        <v>0</v>
      </c>
      <c r="AM189" s="52">
        <f t="shared" si="249"/>
        <v>0</v>
      </c>
      <c r="AN189" s="52">
        <f t="shared" si="250"/>
        <v>0</v>
      </c>
      <c r="AO189" s="52">
        <f t="shared" si="251"/>
        <v>0</v>
      </c>
      <c r="AP189" s="52">
        <f t="shared" si="252"/>
        <v>0</v>
      </c>
      <c r="AQ189" s="52">
        <f t="shared" si="253"/>
        <v>0</v>
      </c>
      <c r="AR189" s="52">
        <f t="shared" si="254"/>
        <v>0</v>
      </c>
      <c r="AS189" s="52">
        <f t="shared" si="255"/>
        <v>0</v>
      </c>
      <c r="AT189" s="52">
        <f t="shared" si="256"/>
        <v>0</v>
      </c>
      <c r="AU189" s="52">
        <f t="shared" si="257"/>
        <v>0</v>
      </c>
      <c r="AV189" s="52">
        <f t="shared" si="258"/>
        <v>0</v>
      </c>
      <c r="AW189" s="52">
        <f t="shared" si="259"/>
        <v>0</v>
      </c>
      <c r="AX189" s="52">
        <f t="shared" si="260"/>
        <v>0</v>
      </c>
      <c r="AY189" s="52">
        <f t="shared" si="289"/>
        <v>0</v>
      </c>
      <c r="BA189" s="52">
        <f t="shared" si="290"/>
        <v>7</v>
      </c>
      <c r="BB189" s="52">
        <f t="shared" si="261"/>
        <v>7</v>
      </c>
      <c r="BC189" s="52">
        <f t="shared" si="262"/>
        <v>7</v>
      </c>
      <c r="BD189" s="52">
        <f t="shared" si="263"/>
        <v>7</v>
      </c>
      <c r="BE189" s="52">
        <f t="shared" si="264"/>
        <v>7</v>
      </c>
      <c r="BF189" s="52">
        <f t="shared" si="265"/>
        <v>7</v>
      </c>
      <c r="BG189" s="52">
        <f t="shared" si="266"/>
        <v>7</v>
      </c>
      <c r="BH189" s="52">
        <f t="shared" si="267"/>
        <v>7</v>
      </c>
      <c r="BI189" s="52">
        <f t="shared" si="268"/>
        <v>7</v>
      </c>
      <c r="BJ189" s="52">
        <f t="shared" si="269"/>
        <v>7</v>
      </c>
      <c r="BK189" s="52">
        <f t="shared" si="270"/>
        <v>7</v>
      </c>
      <c r="BL189" s="52">
        <f t="shared" si="271"/>
        <v>7</v>
      </c>
      <c r="BM189" s="52">
        <f t="shared" si="272"/>
        <v>7</v>
      </c>
      <c r="BN189" s="52">
        <f t="shared" si="273"/>
        <v>7</v>
      </c>
      <c r="BO189" s="52">
        <f t="shared" si="274"/>
        <v>7</v>
      </c>
      <c r="BP189" s="52">
        <f t="shared" si="275"/>
        <v>7</v>
      </c>
      <c r="BQ189" s="52">
        <f t="shared" si="276"/>
        <v>7</v>
      </c>
      <c r="BR189" s="52">
        <f t="shared" si="277"/>
        <v>7</v>
      </c>
      <c r="BS189" s="52">
        <f t="shared" si="278"/>
        <v>7</v>
      </c>
      <c r="BT189" s="52">
        <f t="shared" si="279"/>
        <v>7</v>
      </c>
      <c r="BU189" s="52">
        <f t="shared" si="280"/>
        <v>7</v>
      </c>
      <c r="BV189" s="52">
        <f t="shared" si="281"/>
        <v>7</v>
      </c>
      <c r="BW189" s="52">
        <f t="shared" si="282"/>
        <v>7</v>
      </c>
      <c r="BX189" s="52">
        <f t="shared" si="283"/>
        <v>7</v>
      </c>
      <c r="BZ189">
        <f t="shared" si="225"/>
        <v>0</v>
      </c>
      <c r="CA189">
        <f t="shared" si="291"/>
        <v>0</v>
      </c>
      <c r="CB189">
        <f t="shared" si="291"/>
        <v>0</v>
      </c>
      <c r="CC189">
        <f t="shared" si="291"/>
        <v>0</v>
      </c>
      <c r="CD189">
        <f t="shared" si="291"/>
        <v>0</v>
      </c>
      <c r="CE189">
        <f t="shared" si="291"/>
        <v>0</v>
      </c>
      <c r="CF189">
        <f t="shared" si="291"/>
        <v>0</v>
      </c>
      <c r="CG189">
        <f t="shared" si="291"/>
        <v>0</v>
      </c>
      <c r="CH189">
        <f t="shared" si="291"/>
        <v>0</v>
      </c>
      <c r="CI189">
        <f t="shared" si="291"/>
        <v>0</v>
      </c>
      <c r="CJ189">
        <f t="shared" si="291"/>
        <v>0</v>
      </c>
      <c r="CK189">
        <f t="shared" si="291"/>
        <v>0</v>
      </c>
      <c r="CL189">
        <f t="shared" si="291"/>
        <v>0</v>
      </c>
      <c r="CM189">
        <f t="shared" si="291"/>
        <v>0</v>
      </c>
      <c r="CN189">
        <f t="shared" si="291"/>
        <v>0</v>
      </c>
      <c r="CO189">
        <f t="shared" si="291"/>
        <v>0</v>
      </c>
      <c r="CP189">
        <f t="shared" si="291"/>
        <v>0</v>
      </c>
      <c r="CQ189">
        <f t="shared" si="226"/>
        <v>0</v>
      </c>
      <c r="CR189">
        <f t="shared" si="227"/>
        <v>0</v>
      </c>
      <c r="CS189">
        <f t="shared" si="228"/>
        <v>0</v>
      </c>
      <c r="CT189">
        <f t="shared" si="229"/>
        <v>0</v>
      </c>
      <c r="CU189">
        <f t="shared" si="230"/>
        <v>0</v>
      </c>
      <c r="CV189">
        <f t="shared" si="231"/>
        <v>0</v>
      </c>
      <c r="CW189">
        <f t="shared" si="232"/>
        <v>0</v>
      </c>
    </row>
    <row r="190" spans="1:102">
      <c r="A190" s="60">
        <v>45112</v>
      </c>
      <c r="B190" s="426">
        <v>54380.5</v>
      </c>
      <c r="C190">
        <v>54306.7</v>
      </c>
      <c r="D190">
        <v>54629.9</v>
      </c>
      <c r="E190">
        <v>54794.8</v>
      </c>
      <c r="F190">
        <v>54893</v>
      </c>
      <c r="G190">
        <v>54725.4</v>
      </c>
      <c r="H190">
        <v>54756.5</v>
      </c>
      <c r="I190">
        <v>54689.2</v>
      </c>
      <c r="J190">
        <v>54718.8</v>
      </c>
      <c r="K190">
        <v>54821.1</v>
      </c>
      <c r="L190">
        <v>54658.6</v>
      </c>
      <c r="M190">
        <v>55081.7</v>
      </c>
      <c r="N190">
        <v>54309.599999999999</v>
      </c>
      <c r="O190">
        <v>54408.800000000003</v>
      </c>
      <c r="P190">
        <v>54354.1</v>
      </c>
      <c r="Q190">
        <v>54006.6</v>
      </c>
      <c r="R190">
        <v>54184.6</v>
      </c>
      <c r="S190">
        <v>54337.4</v>
      </c>
      <c r="T190">
        <v>54381.8</v>
      </c>
      <c r="U190">
        <v>54274.5</v>
      </c>
      <c r="V190">
        <v>54238.8</v>
      </c>
      <c r="W190">
        <v>54041</v>
      </c>
      <c r="X190">
        <v>54138.6</v>
      </c>
      <c r="Y190">
        <v>54168.1</v>
      </c>
      <c r="Z190" s="77">
        <v>1307300.1000000003</v>
      </c>
      <c r="AB190">
        <f t="shared" si="288"/>
        <v>0</v>
      </c>
      <c r="AC190">
        <f t="shared" si="239"/>
        <v>0</v>
      </c>
      <c r="AD190">
        <f t="shared" si="240"/>
        <v>0</v>
      </c>
      <c r="AE190">
        <f t="shared" si="241"/>
        <v>0</v>
      </c>
      <c r="AF190">
        <f t="shared" si="242"/>
        <v>0</v>
      </c>
      <c r="AG190">
        <f t="shared" si="243"/>
        <v>0</v>
      </c>
      <c r="AH190">
        <f t="shared" si="244"/>
        <v>0</v>
      </c>
      <c r="AI190">
        <f t="shared" si="245"/>
        <v>0</v>
      </c>
      <c r="AJ190">
        <f t="shared" si="246"/>
        <v>0</v>
      </c>
      <c r="AK190">
        <f t="shared" si="247"/>
        <v>0</v>
      </c>
      <c r="AL190">
        <f t="shared" si="248"/>
        <v>0</v>
      </c>
      <c r="AM190">
        <f t="shared" si="249"/>
        <v>0</v>
      </c>
      <c r="AN190">
        <f t="shared" si="250"/>
        <v>0</v>
      </c>
      <c r="AO190">
        <f t="shared" si="251"/>
        <v>0</v>
      </c>
      <c r="AP190">
        <f t="shared" si="252"/>
        <v>0</v>
      </c>
      <c r="AQ190">
        <f t="shared" si="253"/>
        <v>0</v>
      </c>
      <c r="AR190">
        <f t="shared" si="254"/>
        <v>0</v>
      </c>
      <c r="AS190">
        <f t="shared" si="255"/>
        <v>0</v>
      </c>
      <c r="AT190">
        <f t="shared" si="256"/>
        <v>0</v>
      </c>
      <c r="AU190">
        <f t="shared" si="257"/>
        <v>0</v>
      </c>
      <c r="AV190">
        <f t="shared" si="258"/>
        <v>0</v>
      </c>
      <c r="AW190">
        <f t="shared" si="259"/>
        <v>0</v>
      </c>
      <c r="AX190">
        <f t="shared" si="260"/>
        <v>0</v>
      </c>
      <c r="AY190">
        <f t="shared" si="289"/>
        <v>0</v>
      </c>
      <c r="BA190">
        <f t="shared" si="290"/>
        <v>7</v>
      </c>
      <c r="BB190">
        <f t="shared" si="261"/>
        <v>7</v>
      </c>
      <c r="BC190">
        <f t="shared" si="262"/>
        <v>7</v>
      </c>
      <c r="BD190">
        <f t="shared" si="263"/>
        <v>7</v>
      </c>
      <c r="BE190">
        <f t="shared" si="264"/>
        <v>7</v>
      </c>
      <c r="BF190">
        <f t="shared" si="265"/>
        <v>7</v>
      </c>
      <c r="BG190">
        <f t="shared" si="266"/>
        <v>7</v>
      </c>
      <c r="BH190">
        <f t="shared" si="267"/>
        <v>7</v>
      </c>
      <c r="BI190">
        <f t="shared" si="268"/>
        <v>7</v>
      </c>
      <c r="BJ190">
        <f t="shared" si="269"/>
        <v>7</v>
      </c>
      <c r="BK190">
        <f t="shared" si="270"/>
        <v>7</v>
      </c>
      <c r="BL190">
        <f t="shared" si="271"/>
        <v>7</v>
      </c>
      <c r="BM190">
        <f t="shared" si="272"/>
        <v>7</v>
      </c>
      <c r="BN190">
        <f t="shared" si="273"/>
        <v>7</v>
      </c>
      <c r="BO190">
        <f t="shared" si="274"/>
        <v>7</v>
      </c>
      <c r="BP190">
        <f t="shared" si="275"/>
        <v>7</v>
      </c>
      <c r="BQ190">
        <f t="shared" si="276"/>
        <v>7</v>
      </c>
      <c r="BR190">
        <f t="shared" si="277"/>
        <v>7</v>
      </c>
      <c r="BS190">
        <f t="shared" si="278"/>
        <v>7</v>
      </c>
      <c r="BT190">
        <f t="shared" si="279"/>
        <v>7</v>
      </c>
      <c r="BU190">
        <f t="shared" si="280"/>
        <v>7</v>
      </c>
      <c r="BV190">
        <f t="shared" si="281"/>
        <v>7</v>
      </c>
      <c r="BW190">
        <f t="shared" si="282"/>
        <v>7</v>
      </c>
      <c r="BX190">
        <f t="shared" si="283"/>
        <v>7</v>
      </c>
      <c r="BZ190" s="52">
        <f t="shared" si="225"/>
        <v>0</v>
      </c>
      <c r="CA190" s="52">
        <f t="shared" si="291"/>
        <v>0</v>
      </c>
      <c r="CB190" s="52">
        <f t="shared" si="291"/>
        <v>0</v>
      </c>
      <c r="CC190" s="52">
        <f t="shared" si="291"/>
        <v>0</v>
      </c>
      <c r="CD190" s="52">
        <f t="shared" si="291"/>
        <v>0</v>
      </c>
      <c r="CE190" s="52">
        <f t="shared" si="291"/>
        <v>0</v>
      </c>
      <c r="CF190" s="52">
        <f t="shared" si="291"/>
        <v>0</v>
      </c>
      <c r="CG190" s="52">
        <f t="shared" si="291"/>
        <v>0</v>
      </c>
      <c r="CH190" s="52">
        <f t="shared" si="291"/>
        <v>0</v>
      </c>
      <c r="CI190" s="52">
        <f t="shared" si="291"/>
        <v>0</v>
      </c>
      <c r="CJ190" s="52">
        <f t="shared" si="291"/>
        <v>0</v>
      </c>
      <c r="CK190" s="52">
        <f t="shared" si="291"/>
        <v>0</v>
      </c>
      <c r="CL190" s="52">
        <f t="shared" si="291"/>
        <v>0</v>
      </c>
      <c r="CM190" s="52">
        <f t="shared" si="291"/>
        <v>0</v>
      </c>
      <c r="CN190" s="52">
        <f t="shared" si="291"/>
        <v>0</v>
      </c>
      <c r="CO190" s="52">
        <f t="shared" si="291"/>
        <v>0</v>
      </c>
      <c r="CP190" s="52">
        <f t="shared" si="291"/>
        <v>0</v>
      </c>
      <c r="CQ190" s="52">
        <f t="shared" si="226"/>
        <v>0</v>
      </c>
      <c r="CR190" s="52">
        <f t="shared" si="227"/>
        <v>0</v>
      </c>
      <c r="CS190" s="52">
        <f t="shared" si="228"/>
        <v>0</v>
      </c>
      <c r="CT190" s="52">
        <f t="shared" si="229"/>
        <v>0</v>
      </c>
      <c r="CU190" s="52">
        <f t="shared" si="230"/>
        <v>0</v>
      </c>
      <c r="CV190" s="52">
        <f t="shared" si="231"/>
        <v>0</v>
      </c>
      <c r="CW190" s="52">
        <f t="shared" si="232"/>
        <v>0</v>
      </c>
    </row>
    <row r="191" spans="1:102">
      <c r="A191" s="60">
        <v>45113</v>
      </c>
      <c r="B191" s="426">
        <v>53920.9</v>
      </c>
      <c r="C191">
        <v>53850.3</v>
      </c>
      <c r="D191">
        <v>54077</v>
      </c>
      <c r="E191">
        <v>53948.6</v>
      </c>
      <c r="F191">
        <v>54205.1</v>
      </c>
      <c r="G191">
        <v>54103.1</v>
      </c>
      <c r="H191">
        <v>54119.8</v>
      </c>
      <c r="I191">
        <v>54320.4</v>
      </c>
      <c r="J191">
        <v>54386.1</v>
      </c>
      <c r="K191">
        <v>54368</v>
      </c>
      <c r="L191">
        <v>54385.7</v>
      </c>
      <c r="M191">
        <v>54328.3</v>
      </c>
      <c r="N191">
        <v>54260.3</v>
      </c>
      <c r="O191">
        <v>54788.7</v>
      </c>
      <c r="P191">
        <v>54756.4</v>
      </c>
      <c r="Q191">
        <v>54799.3</v>
      </c>
      <c r="R191">
        <v>54643</v>
      </c>
      <c r="S191">
        <v>54627.9</v>
      </c>
      <c r="T191">
        <v>54828.800000000003</v>
      </c>
      <c r="U191">
        <v>54740.3</v>
      </c>
      <c r="V191">
        <v>54540.7</v>
      </c>
      <c r="W191">
        <v>53964.2</v>
      </c>
      <c r="X191">
        <v>54024.2</v>
      </c>
      <c r="Y191">
        <v>54075.8</v>
      </c>
      <c r="Z191" s="77">
        <v>1304062.9000000001</v>
      </c>
      <c r="AB191" s="52">
        <f t="shared" si="288"/>
        <v>0</v>
      </c>
      <c r="AC191" s="52">
        <f t="shared" si="239"/>
        <v>0</v>
      </c>
      <c r="AD191" s="52">
        <f t="shared" si="240"/>
        <v>0</v>
      </c>
      <c r="AE191" s="52">
        <f t="shared" si="241"/>
        <v>0</v>
      </c>
      <c r="AF191" s="52">
        <f t="shared" si="242"/>
        <v>0</v>
      </c>
      <c r="AG191" s="52">
        <f t="shared" si="243"/>
        <v>0</v>
      </c>
      <c r="AH191" s="52">
        <f t="shared" si="244"/>
        <v>0</v>
      </c>
      <c r="AI191" s="52">
        <f t="shared" si="245"/>
        <v>0</v>
      </c>
      <c r="AJ191" s="52">
        <f t="shared" si="246"/>
        <v>0</v>
      </c>
      <c r="AK191" s="52">
        <f t="shared" si="247"/>
        <v>0</v>
      </c>
      <c r="AL191" s="52">
        <f t="shared" si="248"/>
        <v>0</v>
      </c>
      <c r="AM191" s="52">
        <f t="shared" si="249"/>
        <v>0</v>
      </c>
      <c r="AN191" s="52">
        <f t="shared" si="250"/>
        <v>0</v>
      </c>
      <c r="AO191" s="52">
        <f t="shared" si="251"/>
        <v>0</v>
      </c>
      <c r="AP191" s="52">
        <f t="shared" si="252"/>
        <v>0</v>
      </c>
      <c r="AQ191" s="52">
        <f t="shared" si="253"/>
        <v>0</v>
      </c>
      <c r="AR191" s="52">
        <f t="shared" si="254"/>
        <v>0</v>
      </c>
      <c r="AS191" s="52">
        <f t="shared" si="255"/>
        <v>0</v>
      </c>
      <c r="AT191" s="52">
        <f t="shared" si="256"/>
        <v>0</v>
      </c>
      <c r="AU191" s="52">
        <f t="shared" si="257"/>
        <v>0</v>
      </c>
      <c r="AV191" s="52">
        <f t="shared" si="258"/>
        <v>0</v>
      </c>
      <c r="AW191" s="52">
        <f t="shared" si="259"/>
        <v>0</v>
      </c>
      <c r="AX191" s="52">
        <f t="shared" si="260"/>
        <v>0</v>
      </c>
      <c r="AY191" s="52">
        <f t="shared" si="289"/>
        <v>0</v>
      </c>
      <c r="BA191" s="52">
        <f t="shared" si="290"/>
        <v>7</v>
      </c>
      <c r="BB191" s="52">
        <f t="shared" si="261"/>
        <v>7</v>
      </c>
      <c r="BC191" s="52">
        <f t="shared" si="262"/>
        <v>7</v>
      </c>
      <c r="BD191" s="52">
        <f t="shared" si="263"/>
        <v>7</v>
      </c>
      <c r="BE191" s="52">
        <f t="shared" si="264"/>
        <v>7</v>
      </c>
      <c r="BF191" s="52">
        <f t="shared" si="265"/>
        <v>7</v>
      </c>
      <c r="BG191" s="52">
        <f t="shared" si="266"/>
        <v>7</v>
      </c>
      <c r="BH191" s="52">
        <f t="shared" si="267"/>
        <v>7</v>
      </c>
      <c r="BI191" s="52">
        <f t="shared" si="268"/>
        <v>7</v>
      </c>
      <c r="BJ191" s="52">
        <f t="shared" si="269"/>
        <v>7</v>
      </c>
      <c r="BK191" s="52">
        <f t="shared" si="270"/>
        <v>7</v>
      </c>
      <c r="BL191" s="52">
        <f t="shared" si="271"/>
        <v>7</v>
      </c>
      <c r="BM191" s="52">
        <f t="shared" si="272"/>
        <v>7</v>
      </c>
      <c r="BN191" s="52">
        <f t="shared" si="273"/>
        <v>7</v>
      </c>
      <c r="BO191" s="52">
        <f t="shared" si="274"/>
        <v>7</v>
      </c>
      <c r="BP191" s="52">
        <f t="shared" si="275"/>
        <v>7</v>
      </c>
      <c r="BQ191" s="52">
        <f t="shared" si="276"/>
        <v>7</v>
      </c>
      <c r="BR191" s="52">
        <f t="shared" si="277"/>
        <v>7</v>
      </c>
      <c r="BS191" s="52">
        <f t="shared" si="278"/>
        <v>7</v>
      </c>
      <c r="BT191" s="52">
        <f t="shared" si="279"/>
        <v>7</v>
      </c>
      <c r="BU191" s="52">
        <f t="shared" si="280"/>
        <v>7</v>
      </c>
      <c r="BV191" s="52">
        <f t="shared" si="281"/>
        <v>7</v>
      </c>
      <c r="BW191" s="52">
        <f t="shared" si="282"/>
        <v>7</v>
      </c>
      <c r="BX191" s="52">
        <f t="shared" si="283"/>
        <v>7</v>
      </c>
      <c r="BZ191">
        <f t="shared" si="225"/>
        <v>0</v>
      </c>
      <c r="CA191">
        <f t="shared" si="291"/>
        <v>0</v>
      </c>
      <c r="CB191">
        <f t="shared" si="291"/>
        <v>0</v>
      </c>
      <c r="CC191">
        <f t="shared" si="291"/>
        <v>0</v>
      </c>
      <c r="CD191">
        <f t="shared" si="291"/>
        <v>0</v>
      </c>
      <c r="CE191">
        <f t="shared" si="291"/>
        <v>0</v>
      </c>
      <c r="CF191">
        <f t="shared" si="291"/>
        <v>0</v>
      </c>
      <c r="CG191">
        <f t="shared" si="291"/>
        <v>0</v>
      </c>
      <c r="CH191">
        <f t="shared" si="291"/>
        <v>0</v>
      </c>
      <c r="CI191">
        <f t="shared" si="291"/>
        <v>0</v>
      </c>
      <c r="CJ191">
        <f t="shared" si="291"/>
        <v>0</v>
      </c>
      <c r="CK191">
        <f t="shared" si="291"/>
        <v>0</v>
      </c>
      <c r="CL191">
        <f t="shared" si="291"/>
        <v>0</v>
      </c>
      <c r="CM191">
        <f t="shared" si="291"/>
        <v>0</v>
      </c>
      <c r="CN191">
        <f t="shared" si="291"/>
        <v>0</v>
      </c>
      <c r="CO191">
        <f t="shared" si="291"/>
        <v>0</v>
      </c>
      <c r="CP191">
        <f t="shared" si="291"/>
        <v>0</v>
      </c>
      <c r="CQ191">
        <f t="shared" si="226"/>
        <v>0</v>
      </c>
      <c r="CR191">
        <f t="shared" si="227"/>
        <v>0</v>
      </c>
      <c r="CS191">
        <f t="shared" si="228"/>
        <v>0</v>
      </c>
      <c r="CT191">
        <f t="shared" si="229"/>
        <v>0</v>
      </c>
      <c r="CU191">
        <f t="shared" si="230"/>
        <v>0</v>
      </c>
      <c r="CV191">
        <f t="shared" si="231"/>
        <v>0</v>
      </c>
      <c r="CW191">
        <f t="shared" si="232"/>
        <v>0</v>
      </c>
    </row>
    <row r="192" spans="1:102">
      <c r="A192" s="60">
        <v>45114</v>
      </c>
      <c r="B192" s="426">
        <v>54392.3</v>
      </c>
      <c r="C192">
        <v>54158.6</v>
      </c>
      <c r="D192">
        <v>54207.7</v>
      </c>
      <c r="E192">
        <v>54180.7</v>
      </c>
      <c r="F192">
        <v>54373.4</v>
      </c>
      <c r="G192">
        <v>54378.5</v>
      </c>
      <c r="H192">
        <v>54205.599999999999</v>
      </c>
      <c r="I192">
        <v>54018.5</v>
      </c>
      <c r="J192">
        <v>54116.800000000003</v>
      </c>
      <c r="K192">
        <v>54019.7</v>
      </c>
      <c r="L192">
        <v>54190.6</v>
      </c>
      <c r="M192">
        <v>54148</v>
      </c>
      <c r="N192">
        <v>54078.2</v>
      </c>
      <c r="O192">
        <v>54181.1</v>
      </c>
      <c r="P192">
        <v>54287.4</v>
      </c>
      <c r="Q192">
        <v>54214.3</v>
      </c>
      <c r="R192">
        <v>54009.9</v>
      </c>
      <c r="S192">
        <v>54185.2</v>
      </c>
      <c r="T192">
        <v>54193.4</v>
      </c>
      <c r="U192">
        <v>54114.9</v>
      </c>
      <c r="V192">
        <v>54211.6</v>
      </c>
      <c r="W192">
        <v>53947.6</v>
      </c>
      <c r="X192">
        <v>53976</v>
      </c>
      <c r="Y192">
        <v>54055.1</v>
      </c>
      <c r="Z192" s="77">
        <v>1299845.1000000001</v>
      </c>
      <c r="AB192">
        <f t="shared" si="288"/>
        <v>0</v>
      </c>
      <c r="AC192">
        <f t="shared" si="239"/>
        <v>0</v>
      </c>
      <c r="AD192">
        <f t="shared" si="240"/>
        <v>0</v>
      </c>
      <c r="AE192">
        <f t="shared" si="241"/>
        <v>0</v>
      </c>
      <c r="AF192">
        <f t="shared" si="242"/>
        <v>0</v>
      </c>
      <c r="AG192">
        <f t="shared" si="243"/>
        <v>0</v>
      </c>
      <c r="AH192">
        <f t="shared" si="244"/>
        <v>0</v>
      </c>
      <c r="AI192">
        <f t="shared" si="245"/>
        <v>0</v>
      </c>
      <c r="AJ192">
        <f t="shared" si="246"/>
        <v>0</v>
      </c>
      <c r="AK192">
        <f t="shared" si="247"/>
        <v>0</v>
      </c>
      <c r="AL192">
        <f t="shared" si="248"/>
        <v>0</v>
      </c>
      <c r="AM192">
        <f t="shared" si="249"/>
        <v>0</v>
      </c>
      <c r="AN192">
        <f t="shared" si="250"/>
        <v>0</v>
      </c>
      <c r="AO192">
        <f t="shared" si="251"/>
        <v>0</v>
      </c>
      <c r="AP192">
        <f t="shared" si="252"/>
        <v>0</v>
      </c>
      <c r="AQ192">
        <f t="shared" si="253"/>
        <v>0</v>
      </c>
      <c r="AR192">
        <f t="shared" si="254"/>
        <v>0</v>
      </c>
      <c r="AS192">
        <f t="shared" si="255"/>
        <v>0</v>
      </c>
      <c r="AT192">
        <f t="shared" si="256"/>
        <v>0</v>
      </c>
      <c r="AU192">
        <f t="shared" si="257"/>
        <v>0</v>
      </c>
      <c r="AV192">
        <f t="shared" si="258"/>
        <v>0</v>
      </c>
      <c r="AW192">
        <f t="shared" si="259"/>
        <v>0</v>
      </c>
      <c r="AX192">
        <f t="shared" si="260"/>
        <v>0</v>
      </c>
      <c r="AY192">
        <f t="shared" si="289"/>
        <v>0</v>
      </c>
      <c r="BA192">
        <f t="shared" si="290"/>
        <v>7</v>
      </c>
      <c r="BB192">
        <f t="shared" si="261"/>
        <v>7</v>
      </c>
      <c r="BC192">
        <f t="shared" si="262"/>
        <v>7</v>
      </c>
      <c r="BD192">
        <f t="shared" si="263"/>
        <v>7</v>
      </c>
      <c r="BE192">
        <f t="shared" si="264"/>
        <v>7</v>
      </c>
      <c r="BF192">
        <f t="shared" si="265"/>
        <v>7</v>
      </c>
      <c r="BG192">
        <f t="shared" si="266"/>
        <v>7</v>
      </c>
      <c r="BH192">
        <f t="shared" si="267"/>
        <v>7</v>
      </c>
      <c r="BI192">
        <f t="shared" si="268"/>
        <v>7</v>
      </c>
      <c r="BJ192">
        <f t="shared" si="269"/>
        <v>7</v>
      </c>
      <c r="BK192">
        <f t="shared" si="270"/>
        <v>7</v>
      </c>
      <c r="BL192">
        <f t="shared" si="271"/>
        <v>7</v>
      </c>
      <c r="BM192">
        <f t="shared" si="272"/>
        <v>7</v>
      </c>
      <c r="BN192">
        <f t="shared" si="273"/>
        <v>7</v>
      </c>
      <c r="BO192">
        <f t="shared" si="274"/>
        <v>7</v>
      </c>
      <c r="BP192">
        <f t="shared" si="275"/>
        <v>7</v>
      </c>
      <c r="BQ192">
        <f t="shared" si="276"/>
        <v>7</v>
      </c>
      <c r="BR192">
        <f t="shared" si="277"/>
        <v>7</v>
      </c>
      <c r="BS192">
        <f t="shared" si="278"/>
        <v>7</v>
      </c>
      <c r="BT192">
        <f t="shared" si="279"/>
        <v>7</v>
      </c>
      <c r="BU192">
        <f t="shared" si="280"/>
        <v>7</v>
      </c>
      <c r="BV192">
        <f t="shared" si="281"/>
        <v>7</v>
      </c>
      <c r="BW192">
        <f t="shared" si="282"/>
        <v>7</v>
      </c>
      <c r="BX192">
        <f t="shared" si="283"/>
        <v>7</v>
      </c>
      <c r="BZ192" s="52">
        <f t="shared" si="225"/>
        <v>0</v>
      </c>
      <c r="CA192" s="52">
        <f t="shared" si="291"/>
        <v>0</v>
      </c>
      <c r="CB192" s="52">
        <f t="shared" si="291"/>
        <v>0</v>
      </c>
      <c r="CC192" s="52">
        <f t="shared" si="291"/>
        <v>0</v>
      </c>
      <c r="CD192" s="52">
        <f t="shared" si="291"/>
        <v>0</v>
      </c>
      <c r="CE192" s="52">
        <f t="shared" si="291"/>
        <v>0</v>
      </c>
      <c r="CF192" s="52">
        <f t="shared" si="291"/>
        <v>0</v>
      </c>
      <c r="CG192" s="52">
        <f t="shared" si="291"/>
        <v>0</v>
      </c>
      <c r="CH192" s="52">
        <f t="shared" si="291"/>
        <v>0</v>
      </c>
      <c r="CI192" s="52">
        <f t="shared" si="291"/>
        <v>0</v>
      </c>
      <c r="CJ192" s="52">
        <f t="shared" si="291"/>
        <v>0</v>
      </c>
      <c r="CK192" s="52">
        <f t="shared" si="291"/>
        <v>0</v>
      </c>
      <c r="CL192" s="52">
        <f t="shared" si="291"/>
        <v>0</v>
      </c>
      <c r="CM192" s="52">
        <f t="shared" si="291"/>
        <v>0</v>
      </c>
      <c r="CN192" s="52">
        <f t="shared" si="291"/>
        <v>0</v>
      </c>
      <c r="CO192" s="52">
        <f t="shared" si="291"/>
        <v>0</v>
      </c>
      <c r="CP192" s="52">
        <f t="shared" si="291"/>
        <v>0</v>
      </c>
      <c r="CQ192" s="52">
        <f t="shared" si="226"/>
        <v>0</v>
      </c>
      <c r="CR192" s="52">
        <f t="shared" si="227"/>
        <v>0</v>
      </c>
      <c r="CS192" s="52">
        <f t="shared" si="228"/>
        <v>0</v>
      </c>
      <c r="CT192" s="52">
        <f t="shared" si="229"/>
        <v>0</v>
      </c>
      <c r="CU192" s="52">
        <f t="shared" si="230"/>
        <v>0</v>
      </c>
      <c r="CV192" s="52">
        <f t="shared" si="231"/>
        <v>0</v>
      </c>
      <c r="CW192" s="52">
        <f t="shared" si="232"/>
        <v>0</v>
      </c>
    </row>
    <row r="193" spans="1:101">
      <c r="A193" s="60">
        <v>45115</v>
      </c>
      <c r="B193" s="426">
        <v>54095.6</v>
      </c>
      <c r="C193">
        <v>54251</v>
      </c>
      <c r="D193">
        <v>54267.6</v>
      </c>
      <c r="E193">
        <v>54237</v>
      </c>
      <c r="F193">
        <v>54295</v>
      </c>
      <c r="G193">
        <v>54283</v>
      </c>
      <c r="H193">
        <v>54267.7</v>
      </c>
      <c r="I193">
        <v>54303.4</v>
      </c>
      <c r="J193">
        <v>54264.3</v>
      </c>
      <c r="K193">
        <v>54271.199999999997</v>
      </c>
      <c r="L193">
        <v>54223.8</v>
      </c>
      <c r="M193">
        <v>54267.1</v>
      </c>
      <c r="N193">
        <v>54220.6</v>
      </c>
      <c r="O193">
        <v>54161.4</v>
      </c>
      <c r="P193">
        <v>54264.6</v>
      </c>
      <c r="Q193">
        <v>54281.599999999999</v>
      </c>
      <c r="R193">
        <v>54207.7</v>
      </c>
      <c r="S193">
        <v>54171.4</v>
      </c>
      <c r="T193">
        <v>54300.5</v>
      </c>
      <c r="U193">
        <v>54144.2</v>
      </c>
      <c r="V193">
        <v>54088.3</v>
      </c>
      <c r="W193">
        <v>54050.8</v>
      </c>
      <c r="X193">
        <v>54254</v>
      </c>
      <c r="Y193">
        <v>54306.6</v>
      </c>
      <c r="Z193" s="77">
        <v>1301478.4000000001</v>
      </c>
      <c r="AB193" s="52">
        <f t="shared" si="288"/>
        <v>0</v>
      </c>
      <c r="AC193" s="52">
        <f t="shared" si="239"/>
        <v>0</v>
      </c>
      <c r="AD193" s="52">
        <f t="shared" si="240"/>
        <v>0</v>
      </c>
      <c r="AE193" s="52">
        <f t="shared" si="241"/>
        <v>0</v>
      </c>
      <c r="AF193" s="52">
        <f t="shared" si="242"/>
        <v>0</v>
      </c>
      <c r="AG193" s="52">
        <f t="shared" si="243"/>
        <v>0</v>
      </c>
      <c r="AH193" s="52">
        <f t="shared" si="244"/>
        <v>0</v>
      </c>
      <c r="AI193" s="52">
        <f t="shared" si="245"/>
        <v>0</v>
      </c>
      <c r="AJ193" s="52">
        <f t="shared" si="246"/>
        <v>0</v>
      </c>
      <c r="AK193" s="52">
        <f t="shared" si="247"/>
        <v>0</v>
      </c>
      <c r="AL193" s="52">
        <f t="shared" si="248"/>
        <v>0</v>
      </c>
      <c r="AM193" s="52">
        <f t="shared" si="249"/>
        <v>0</v>
      </c>
      <c r="AN193" s="52">
        <f t="shared" si="250"/>
        <v>0</v>
      </c>
      <c r="AO193" s="52">
        <f t="shared" si="251"/>
        <v>0</v>
      </c>
      <c r="AP193" s="52">
        <f t="shared" si="252"/>
        <v>0</v>
      </c>
      <c r="AQ193" s="52">
        <f t="shared" si="253"/>
        <v>0</v>
      </c>
      <c r="AR193" s="52">
        <f t="shared" si="254"/>
        <v>0</v>
      </c>
      <c r="AS193" s="52">
        <f t="shared" si="255"/>
        <v>0</v>
      </c>
      <c r="AT193" s="52">
        <f t="shared" si="256"/>
        <v>0</v>
      </c>
      <c r="AU193" s="52">
        <f t="shared" si="257"/>
        <v>0</v>
      </c>
      <c r="AV193" s="52">
        <f t="shared" si="258"/>
        <v>0</v>
      </c>
      <c r="AW193" s="52">
        <f t="shared" si="259"/>
        <v>0</v>
      </c>
      <c r="AX193" s="52">
        <f t="shared" si="260"/>
        <v>0</v>
      </c>
      <c r="AY193" s="52">
        <f t="shared" si="289"/>
        <v>0</v>
      </c>
      <c r="BA193" s="52">
        <f t="shared" si="290"/>
        <v>7</v>
      </c>
      <c r="BB193" s="52">
        <f t="shared" si="261"/>
        <v>7</v>
      </c>
      <c r="BC193" s="52">
        <f t="shared" si="262"/>
        <v>7</v>
      </c>
      <c r="BD193" s="52">
        <f t="shared" si="263"/>
        <v>7</v>
      </c>
      <c r="BE193" s="52">
        <f t="shared" si="264"/>
        <v>7</v>
      </c>
      <c r="BF193" s="52">
        <f t="shared" si="265"/>
        <v>7</v>
      </c>
      <c r="BG193" s="52">
        <f t="shared" si="266"/>
        <v>7</v>
      </c>
      <c r="BH193" s="52">
        <f t="shared" si="267"/>
        <v>7</v>
      </c>
      <c r="BI193" s="52">
        <f t="shared" si="268"/>
        <v>7</v>
      </c>
      <c r="BJ193" s="52">
        <f t="shared" si="269"/>
        <v>7</v>
      </c>
      <c r="BK193" s="52">
        <f t="shared" si="270"/>
        <v>7</v>
      </c>
      <c r="BL193" s="52">
        <f t="shared" si="271"/>
        <v>7</v>
      </c>
      <c r="BM193" s="52">
        <f t="shared" si="272"/>
        <v>7</v>
      </c>
      <c r="BN193" s="52">
        <f t="shared" si="273"/>
        <v>7</v>
      </c>
      <c r="BO193" s="52">
        <f t="shared" si="274"/>
        <v>7</v>
      </c>
      <c r="BP193" s="52">
        <f t="shared" si="275"/>
        <v>7</v>
      </c>
      <c r="BQ193" s="52">
        <f t="shared" si="276"/>
        <v>7</v>
      </c>
      <c r="BR193" s="52">
        <f t="shared" si="277"/>
        <v>7</v>
      </c>
      <c r="BS193" s="52">
        <f t="shared" si="278"/>
        <v>7</v>
      </c>
      <c r="BT193" s="52">
        <f t="shared" si="279"/>
        <v>7</v>
      </c>
      <c r="BU193" s="52">
        <f t="shared" si="280"/>
        <v>7</v>
      </c>
      <c r="BV193" s="52">
        <f t="shared" si="281"/>
        <v>7</v>
      </c>
      <c r="BW193" s="52">
        <f t="shared" si="282"/>
        <v>7</v>
      </c>
      <c r="BX193" s="52">
        <f t="shared" si="283"/>
        <v>7</v>
      </c>
      <c r="BZ193">
        <f t="shared" si="225"/>
        <v>0</v>
      </c>
      <c r="CA193">
        <f t="shared" si="291"/>
        <v>0</v>
      </c>
      <c r="CB193">
        <f t="shared" si="291"/>
        <v>0</v>
      </c>
      <c r="CC193">
        <f t="shared" si="291"/>
        <v>0</v>
      </c>
      <c r="CD193">
        <f t="shared" si="291"/>
        <v>0</v>
      </c>
      <c r="CE193">
        <f t="shared" si="291"/>
        <v>0</v>
      </c>
      <c r="CF193">
        <f t="shared" si="291"/>
        <v>0</v>
      </c>
      <c r="CG193">
        <f t="shared" si="291"/>
        <v>0</v>
      </c>
      <c r="CH193">
        <f t="shared" si="291"/>
        <v>0</v>
      </c>
      <c r="CI193">
        <f t="shared" si="291"/>
        <v>0</v>
      </c>
      <c r="CJ193">
        <f t="shared" si="291"/>
        <v>0</v>
      </c>
      <c r="CK193">
        <f t="shared" si="291"/>
        <v>0</v>
      </c>
      <c r="CL193">
        <f t="shared" si="291"/>
        <v>0</v>
      </c>
      <c r="CM193">
        <f t="shared" si="291"/>
        <v>0</v>
      </c>
      <c r="CN193">
        <f t="shared" si="291"/>
        <v>0</v>
      </c>
      <c r="CO193">
        <f t="shared" si="291"/>
        <v>0</v>
      </c>
      <c r="CP193">
        <f t="shared" si="291"/>
        <v>0</v>
      </c>
      <c r="CQ193">
        <f t="shared" si="226"/>
        <v>0</v>
      </c>
      <c r="CR193">
        <f t="shared" si="227"/>
        <v>0</v>
      </c>
      <c r="CS193">
        <f t="shared" si="228"/>
        <v>0</v>
      </c>
      <c r="CT193">
        <f t="shared" si="229"/>
        <v>0</v>
      </c>
      <c r="CU193">
        <f t="shared" si="230"/>
        <v>0</v>
      </c>
      <c r="CV193">
        <f t="shared" si="231"/>
        <v>0</v>
      </c>
      <c r="CW193">
        <f t="shared" si="232"/>
        <v>0</v>
      </c>
    </row>
    <row r="194" spans="1:101">
      <c r="A194" s="60">
        <v>45116</v>
      </c>
      <c r="B194" s="426">
        <v>54382.400000000001</v>
      </c>
      <c r="C194">
        <v>53948.7</v>
      </c>
      <c r="D194">
        <v>53957.4</v>
      </c>
      <c r="E194">
        <v>53897.7</v>
      </c>
      <c r="F194">
        <v>53932</v>
      </c>
      <c r="G194">
        <v>53896.1</v>
      </c>
      <c r="H194">
        <v>53974.400000000001</v>
      </c>
      <c r="I194">
        <v>54092.6</v>
      </c>
      <c r="J194">
        <v>54080.6</v>
      </c>
      <c r="K194">
        <v>54305</v>
      </c>
      <c r="L194">
        <v>54399.9</v>
      </c>
      <c r="M194">
        <v>54282.1</v>
      </c>
      <c r="N194">
        <v>54614.1</v>
      </c>
      <c r="O194">
        <v>54728.1</v>
      </c>
      <c r="P194">
        <v>54857.2</v>
      </c>
      <c r="Q194">
        <v>54836.5</v>
      </c>
      <c r="R194">
        <v>54860.1</v>
      </c>
      <c r="S194">
        <v>54854.2</v>
      </c>
      <c r="T194">
        <v>54975.5</v>
      </c>
      <c r="U194">
        <v>54739</v>
      </c>
      <c r="V194">
        <v>54642.3</v>
      </c>
      <c r="W194">
        <v>54641.8</v>
      </c>
      <c r="X194">
        <v>54687.8</v>
      </c>
      <c r="Y194">
        <v>54719.7</v>
      </c>
      <c r="Z194" s="77">
        <v>1306305.1999999997</v>
      </c>
      <c r="AB194">
        <f t="shared" si="288"/>
        <v>0</v>
      </c>
      <c r="AC194">
        <f t="shared" si="239"/>
        <v>0</v>
      </c>
      <c r="AD194">
        <f t="shared" si="240"/>
        <v>0</v>
      </c>
      <c r="AE194">
        <f t="shared" si="241"/>
        <v>0</v>
      </c>
      <c r="AF194">
        <f t="shared" si="242"/>
        <v>0</v>
      </c>
      <c r="AG194">
        <f t="shared" si="243"/>
        <v>0</v>
      </c>
      <c r="AH194">
        <f t="shared" si="244"/>
        <v>0</v>
      </c>
      <c r="AI194">
        <f t="shared" si="245"/>
        <v>0</v>
      </c>
      <c r="AJ194">
        <f t="shared" si="246"/>
        <v>0</v>
      </c>
      <c r="AK194">
        <f t="shared" si="247"/>
        <v>0</v>
      </c>
      <c r="AL194">
        <f t="shared" si="248"/>
        <v>0</v>
      </c>
      <c r="AM194">
        <f t="shared" si="249"/>
        <v>0</v>
      </c>
      <c r="AN194">
        <f t="shared" si="250"/>
        <v>0</v>
      </c>
      <c r="AO194">
        <f t="shared" si="251"/>
        <v>0</v>
      </c>
      <c r="AP194">
        <f t="shared" si="252"/>
        <v>0</v>
      </c>
      <c r="AQ194">
        <f t="shared" si="253"/>
        <v>0</v>
      </c>
      <c r="AR194">
        <f t="shared" si="254"/>
        <v>0</v>
      </c>
      <c r="AS194">
        <f t="shared" si="255"/>
        <v>0</v>
      </c>
      <c r="AT194">
        <f t="shared" si="256"/>
        <v>0</v>
      </c>
      <c r="AU194">
        <f t="shared" si="257"/>
        <v>0</v>
      </c>
      <c r="AV194">
        <f t="shared" si="258"/>
        <v>0</v>
      </c>
      <c r="AW194">
        <f t="shared" si="259"/>
        <v>0</v>
      </c>
      <c r="AX194">
        <f t="shared" si="260"/>
        <v>0</v>
      </c>
      <c r="AY194">
        <f t="shared" si="289"/>
        <v>0</v>
      </c>
      <c r="BA194">
        <f t="shared" si="290"/>
        <v>7</v>
      </c>
      <c r="BB194">
        <f t="shared" si="261"/>
        <v>7</v>
      </c>
      <c r="BC194">
        <f t="shared" si="262"/>
        <v>7</v>
      </c>
      <c r="BD194">
        <f t="shared" si="263"/>
        <v>7</v>
      </c>
      <c r="BE194">
        <f t="shared" si="264"/>
        <v>7</v>
      </c>
      <c r="BF194">
        <f t="shared" si="265"/>
        <v>7</v>
      </c>
      <c r="BG194">
        <f t="shared" si="266"/>
        <v>7</v>
      </c>
      <c r="BH194">
        <f t="shared" si="267"/>
        <v>7</v>
      </c>
      <c r="BI194">
        <f t="shared" si="268"/>
        <v>7</v>
      </c>
      <c r="BJ194">
        <f t="shared" si="269"/>
        <v>7</v>
      </c>
      <c r="BK194">
        <f t="shared" si="270"/>
        <v>7</v>
      </c>
      <c r="BL194">
        <f t="shared" si="271"/>
        <v>7</v>
      </c>
      <c r="BM194">
        <f t="shared" si="272"/>
        <v>7</v>
      </c>
      <c r="BN194">
        <f t="shared" si="273"/>
        <v>7</v>
      </c>
      <c r="BO194">
        <f t="shared" si="274"/>
        <v>7</v>
      </c>
      <c r="BP194">
        <f t="shared" si="275"/>
        <v>7</v>
      </c>
      <c r="BQ194">
        <f t="shared" si="276"/>
        <v>7</v>
      </c>
      <c r="BR194">
        <f t="shared" si="277"/>
        <v>7</v>
      </c>
      <c r="BS194">
        <f t="shared" si="278"/>
        <v>7</v>
      </c>
      <c r="BT194">
        <f t="shared" si="279"/>
        <v>7</v>
      </c>
      <c r="BU194">
        <f t="shared" si="280"/>
        <v>7</v>
      </c>
      <c r="BV194">
        <f t="shared" si="281"/>
        <v>7</v>
      </c>
      <c r="BW194">
        <f t="shared" si="282"/>
        <v>7</v>
      </c>
      <c r="BX194">
        <f t="shared" si="283"/>
        <v>7</v>
      </c>
      <c r="BZ194" s="52">
        <f t="shared" si="225"/>
        <v>0</v>
      </c>
      <c r="CA194" s="52">
        <f t="shared" si="291"/>
        <v>0</v>
      </c>
      <c r="CB194" s="52">
        <f t="shared" si="291"/>
        <v>0</v>
      </c>
      <c r="CC194" s="52">
        <f t="shared" si="291"/>
        <v>0</v>
      </c>
      <c r="CD194" s="52">
        <f t="shared" si="291"/>
        <v>0</v>
      </c>
      <c r="CE194" s="52">
        <f t="shared" si="291"/>
        <v>0</v>
      </c>
      <c r="CF194" s="52">
        <f t="shared" si="291"/>
        <v>0</v>
      </c>
      <c r="CG194" s="52">
        <f t="shared" si="291"/>
        <v>0</v>
      </c>
      <c r="CH194" s="52">
        <f t="shared" si="291"/>
        <v>0</v>
      </c>
      <c r="CI194" s="52">
        <f t="shared" si="291"/>
        <v>0</v>
      </c>
      <c r="CJ194" s="52">
        <f t="shared" si="291"/>
        <v>0</v>
      </c>
      <c r="CK194" s="52">
        <f t="shared" si="291"/>
        <v>0</v>
      </c>
      <c r="CL194" s="52">
        <f t="shared" si="291"/>
        <v>0</v>
      </c>
      <c r="CM194" s="52">
        <f t="shared" si="291"/>
        <v>0</v>
      </c>
      <c r="CN194" s="52">
        <f t="shared" si="291"/>
        <v>0</v>
      </c>
      <c r="CO194" s="52">
        <f t="shared" si="291"/>
        <v>0</v>
      </c>
      <c r="CP194" s="52">
        <f t="shared" si="291"/>
        <v>0</v>
      </c>
      <c r="CQ194" s="52">
        <f t="shared" si="226"/>
        <v>0</v>
      </c>
      <c r="CR194" s="52">
        <f t="shared" si="227"/>
        <v>0</v>
      </c>
      <c r="CS194" s="52">
        <f t="shared" si="228"/>
        <v>0</v>
      </c>
      <c r="CT194" s="52">
        <f t="shared" si="229"/>
        <v>0</v>
      </c>
      <c r="CU194" s="52">
        <f t="shared" si="230"/>
        <v>0</v>
      </c>
      <c r="CV194" s="52">
        <f t="shared" si="231"/>
        <v>0</v>
      </c>
      <c r="CW194" s="52">
        <f t="shared" si="232"/>
        <v>0</v>
      </c>
    </row>
    <row r="195" spans="1:101">
      <c r="A195" s="60">
        <v>45117</v>
      </c>
      <c r="B195" s="426">
        <v>54560.4</v>
      </c>
      <c r="C195">
        <v>54226.1</v>
      </c>
      <c r="D195">
        <v>54781.9</v>
      </c>
      <c r="E195">
        <v>54639.8</v>
      </c>
      <c r="F195">
        <v>54670.3</v>
      </c>
      <c r="G195">
        <v>54584.800000000003</v>
      </c>
      <c r="H195">
        <v>53683.9</v>
      </c>
      <c r="I195">
        <v>54802.5</v>
      </c>
      <c r="J195">
        <v>54847.3</v>
      </c>
      <c r="K195">
        <v>54717.4</v>
      </c>
      <c r="L195">
        <v>54425.8</v>
      </c>
      <c r="M195">
        <v>54516.4</v>
      </c>
      <c r="N195">
        <v>54788.1</v>
      </c>
      <c r="O195">
        <v>54887.6</v>
      </c>
      <c r="P195">
        <v>54769.8</v>
      </c>
      <c r="Q195">
        <v>54666.7</v>
      </c>
      <c r="R195">
        <v>54766.2</v>
      </c>
      <c r="S195">
        <v>54605.599999999999</v>
      </c>
      <c r="T195">
        <v>54526.3</v>
      </c>
      <c r="U195">
        <v>54281.4</v>
      </c>
      <c r="V195">
        <v>54377.7</v>
      </c>
      <c r="W195">
        <v>54321.3</v>
      </c>
      <c r="X195">
        <v>54448.7</v>
      </c>
      <c r="Y195">
        <v>54096.800000000003</v>
      </c>
      <c r="Z195" s="77">
        <v>1308992.8</v>
      </c>
      <c r="AB195" s="52">
        <f t="shared" si="288"/>
        <v>0</v>
      </c>
      <c r="AC195" s="52">
        <f t="shared" si="239"/>
        <v>0</v>
      </c>
      <c r="AD195" s="52">
        <f t="shared" si="240"/>
        <v>0</v>
      </c>
      <c r="AE195" s="52">
        <f t="shared" si="241"/>
        <v>0</v>
      </c>
      <c r="AF195" s="52">
        <f t="shared" si="242"/>
        <v>0</v>
      </c>
      <c r="AG195" s="52">
        <f t="shared" si="243"/>
        <v>0</v>
      </c>
      <c r="AH195" s="52">
        <f t="shared" si="244"/>
        <v>0</v>
      </c>
      <c r="AI195" s="52">
        <f t="shared" si="245"/>
        <v>0</v>
      </c>
      <c r="AJ195" s="52">
        <f t="shared" si="246"/>
        <v>0</v>
      </c>
      <c r="AK195" s="52">
        <f t="shared" si="247"/>
        <v>0</v>
      </c>
      <c r="AL195" s="52">
        <f t="shared" si="248"/>
        <v>0</v>
      </c>
      <c r="AM195" s="52">
        <f t="shared" si="249"/>
        <v>0</v>
      </c>
      <c r="AN195" s="52">
        <f t="shared" si="250"/>
        <v>0</v>
      </c>
      <c r="AO195" s="52">
        <f t="shared" si="251"/>
        <v>0</v>
      </c>
      <c r="AP195" s="52">
        <f t="shared" si="252"/>
        <v>0</v>
      </c>
      <c r="AQ195" s="52">
        <f t="shared" si="253"/>
        <v>0</v>
      </c>
      <c r="AR195" s="52">
        <f t="shared" si="254"/>
        <v>0</v>
      </c>
      <c r="AS195" s="52">
        <f t="shared" si="255"/>
        <v>0</v>
      </c>
      <c r="AT195" s="52">
        <f t="shared" si="256"/>
        <v>0</v>
      </c>
      <c r="AU195" s="52">
        <f t="shared" si="257"/>
        <v>0</v>
      </c>
      <c r="AV195" s="52">
        <f t="shared" si="258"/>
        <v>0</v>
      </c>
      <c r="AW195" s="52">
        <f t="shared" si="259"/>
        <v>0</v>
      </c>
      <c r="AX195" s="52">
        <f t="shared" si="260"/>
        <v>0</v>
      </c>
      <c r="AY195" s="52">
        <f t="shared" si="289"/>
        <v>0</v>
      </c>
      <c r="BA195" s="52">
        <f t="shared" si="290"/>
        <v>7</v>
      </c>
      <c r="BB195" s="52">
        <f t="shared" si="261"/>
        <v>7</v>
      </c>
      <c r="BC195" s="52">
        <f t="shared" si="262"/>
        <v>7</v>
      </c>
      <c r="BD195" s="52">
        <f t="shared" si="263"/>
        <v>7</v>
      </c>
      <c r="BE195" s="52">
        <f t="shared" si="264"/>
        <v>7</v>
      </c>
      <c r="BF195" s="52">
        <f t="shared" si="265"/>
        <v>7</v>
      </c>
      <c r="BG195" s="52">
        <f t="shared" si="266"/>
        <v>7</v>
      </c>
      <c r="BH195" s="52">
        <f t="shared" si="267"/>
        <v>7</v>
      </c>
      <c r="BI195" s="52">
        <f t="shared" si="268"/>
        <v>7</v>
      </c>
      <c r="BJ195" s="52">
        <f t="shared" si="269"/>
        <v>7</v>
      </c>
      <c r="BK195" s="52">
        <f t="shared" si="270"/>
        <v>7</v>
      </c>
      <c r="BL195" s="52">
        <f t="shared" si="271"/>
        <v>7</v>
      </c>
      <c r="BM195" s="52">
        <f t="shared" si="272"/>
        <v>7</v>
      </c>
      <c r="BN195" s="52">
        <f t="shared" si="273"/>
        <v>7</v>
      </c>
      <c r="BO195" s="52">
        <f t="shared" si="274"/>
        <v>7</v>
      </c>
      <c r="BP195" s="52">
        <f t="shared" si="275"/>
        <v>7</v>
      </c>
      <c r="BQ195" s="52">
        <f t="shared" si="276"/>
        <v>7</v>
      </c>
      <c r="BR195" s="52">
        <f t="shared" si="277"/>
        <v>7</v>
      </c>
      <c r="BS195" s="52">
        <f t="shared" si="278"/>
        <v>7</v>
      </c>
      <c r="BT195" s="52">
        <f t="shared" si="279"/>
        <v>7</v>
      </c>
      <c r="BU195" s="52">
        <f t="shared" si="280"/>
        <v>7</v>
      </c>
      <c r="BV195" s="52">
        <f t="shared" si="281"/>
        <v>7</v>
      </c>
      <c r="BW195" s="52">
        <f t="shared" si="282"/>
        <v>7</v>
      </c>
      <c r="BX195" s="52">
        <f t="shared" si="283"/>
        <v>7</v>
      </c>
      <c r="BZ195">
        <f t="shared" si="225"/>
        <v>0</v>
      </c>
      <c r="CA195">
        <f t="shared" si="291"/>
        <v>0</v>
      </c>
      <c r="CB195">
        <f t="shared" si="291"/>
        <v>0</v>
      </c>
      <c r="CC195">
        <f t="shared" si="291"/>
        <v>0</v>
      </c>
      <c r="CD195">
        <f t="shared" si="291"/>
        <v>0</v>
      </c>
      <c r="CE195">
        <f t="shared" si="291"/>
        <v>0</v>
      </c>
      <c r="CF195">
        <f t="shared" si="291"/>
        <v>0</v>
      </c>
      <c r="CG195">
        <f t="shared" si="291"/>
        <v>0</v>
      </c>
      <c r="CH195">
        <f t="shared" si="291"/>
        <v>0</v>
      </c>
      <c r="CI195">
        <f t="shared" si="291"/>
        <v>0</v>
      </c>
      <c r="CJ195">
        <f t="shared" si="291"/>
        <v>0</v>
      </c>
      <c r="CK195">
        <f t="shared" si="291"/>
        <v>0</v>
      </c>
      <c r="CL195">
        <f t="shared" si="291"/>
        <v>0</v>
      </c>
      <c r="CM195">
        <f t="shared" si="291"/>
        <v>0</v>
      </c>
      <c r="CN195">
        <f t="shared" si="291"/>
        <v>0</v>
      </c>
      <c r="CO195">
        <f t="shared" si="291"/>
        <v>0</v>
      </c>
      <c r="CP195">
        <f t="shared" si="291"/>
        <v>0</v>
      </c>
      <c r="CQ195">
        <f t="shared" si="226"/>
        <v>0</v>
      </c>
      <c r="CR195">
        <f t="shared" si="227"/>
        <v>0</v>
      </c>
      <c r="CS195">
        <f t="shared" si="228"/>
        <v>0</v>
      </c>
      <c r="CT195">
        <f t="shared" si="229"/>
        <v>0</v>
      </c>
      <c r="CU195">
        <f t="shared" si="230"/>
        <v>0</v>
      </c>
      <c r="CV195">
        <f t="shared" si="231"/>
        <v>0</v>
      </c>
      <c r="CW195">
        <f t="shared" si="232"/>
        <v>0</v>
      </c>
    </row>
    <row r="196" spans="1:101">
      <c r="A196" s="60">
        <v>45118</v>
      </c>
      <c r="B196" s="426">
        <v>54186.400000000001</v>
      </c>
      <c r="C196">
        <v>54112.2</v>
      </c>
      <c r="D196">
        <v>54281.4</v>
      </c>
      <c r="E196">
        <v>54495.6</v>
      </c>
      <c r="F196">
        <v>54525</v>
      </c>
      <c r="G196">
        <v>54236.800000000003</v>
      </c>
      <c r="H196">
        <v>54086.7</v>
      </c>
      <c r="I196">
        <v>54228.3</v>
      </c>
      <c r="J196">
        <v>54363.5</v>
      </c>
      <c r="K196">
        <v>54908.4</v>
      </c>
      <c r="L196">
        <v>54951.8</v>
      </c>
      <c r="M196">
        <v>54356.2</v>
      </c>
      <c r="N196">
        <v>54331.9</v>
      </c>
      <c r="O196">
        <v>54556.2</v>
      </c>
      <c r="P196">
        <v>54862.2</v>
      </c>
      <c r="Q196">
        <v>54011.199999999997</v>
      </c>
      <c r="R196">
        <v>54426.5</v>
      </c>
      <c r="S196">
        <v>54283.1</v>
      </c>
      <c r="T196">
        <v>54490.2</v>
      </c>
      <c r="U196">
        <v>54379.199999999997</v>
      </c>
      <c r="V196">
        <v>54360.7</v>
      </c>
      <c r="W196">
        <v>54487.7</v>
      </c>
      <c r="X196">
        <v>54234</v>
      </c>
      <c r="Y196">
        <v>54350</v>
      </c>
      <c r="Z196" s="77">
        <v>1305505.1999999997</v>
      </c>
      <c r="AB196">
        <f t="shared" si="288"/>
        <v>0</v>
      </c>
      <c r="AC196">
        <f t="shared" si="239"/>
        <v>0</v>
      </c>
      <c r="AD196">
        <f t="shared" si="240"/>
        <v>0</v>
      </c>
      <c r="AE196">
        <f t="shared" si="241"/>
        <v>0</v>
      </c>
      <c r="AF196">
        <f t="shared" si="242"/>
        <v>0</v>
      </c>
      <c r="AG196">
        <f t="shared" si="243"/>
        <v>0</v>
      </c>
      <c r="AH196">
        <f t="shared" si="244"/>
        <v>0</v>
      </c>
      <c r="AI196">
        <f t="shared" si="245"/>
        <v>0</v>
      </c>
      <c r="AJ196">
        <f t="shared" si="246"/>
        <v>0</v>
      </c>
      <c r="AK196">
        <f t="shared" si="247"/>
        <v>0</v>
      </c>
      <c r="AL196">
        <f t="shared" si="248"/>
        <v>0</v>
      </c>
      <c r="AM196">
        <f t="shared" si="249"/>
        <v>0</v>
      </c>
      <c r="AN196">
        <f t="shared" si="250"/>
        <v>0</v>
      </c>
      <c r="AO196">
        <f t="shared" si="251"/>
        <v>0</v>
      </c>
      <c r="AP196">
        <f t="shared" si="252"/>
        <v>0</v>
      </c>
      <c r="AQ196">
        <f t="shared" si="253"/>
        <v>0</v>
      </c>
      <c r="AR196">
        <f t="shared" si="254"/>
        <v>0</v>
      </c>
      <c r="AS196">
        <f t="shared" si="255"/>
        <v>0</v>
      </c>
      <c r="AT196">
        <f t="shared" si="256"/>
        <v>0</v>
      </c>
      <c r="AU196">
        <f t="shared" si="257"/>
        <v>0</v>
      </c>
      <c r="AV196">
        <f t="shared" si="258"/>
        <v>0</v>
      </c>
      <c r="AW196">
        <f t="shared" si="259"/>
        <v>0</v>
      </c>
      <c r="AX196">
        <f t="shared" si="260"/>
        <v>0</v>
      </c>
      <c r="AY196">
        <f t="shared" si="289"/>
        <v>0</v>
      </c>
      <c r="BA196">
        <f t="shared" si="290"/>
        <v>7</v>
      </c>
      <c r="BB196">
        <f t="shared" si="261"/>
        <v>7</v>
      </c>
      <c r="BC196">
        <f t="shared" si="262"/>
        <v>7</v>
      </c>
      <c r="BD196">
        <f t="shared" si="263"/>
        <v>7</v>
      </c>
      <c r="BE196">
        <f t="shared" si="264"/>
        <v>7</v>
      </c>
      <c r="BF196">
        <f t="shared" si="265"/>
        <v>7</v>
      </c>
      <c r="BG196">
        <f t="shared" si="266"/>
        <v>7</v>
      </c>
      <c r="BH196">
        <f t="shared" si="267"/>
        <v>7</v>
      </c>
      <c r="BI196">
        <f t="shared" si="268"/>
        <v>7</v>
      </c>
      <c r="BJ196">
        <f t="shared" si="269"/>
        <v>7</v>
      </c>
      <c r="BK196">
        <f t="shared" si="270"/>
        <v>7</v>
      </c>
      <c r="BL196">
        <f t="shared" si="271"/>
        <v>7</v>
      </c>
      <c r="BM196">
        <f t="shared" si="272"/>
        <v>7</v>
      </c>
      <c r="BN196">
        <f t="shared" si="273"/>
        <v>7</v>
      </c>
      <c r="BO196">
        <f t="shared" si="274"/>
        <v>7</v>
      </c>
      <c r="BP196">
        <f t="shared" si="275"/>
        <v>7</v>
      </c>
      <c r="BQ196">
        <f t="shared" si="276"/>
        <v>7</v>
      </c>
      <c r="BR196">
        <f t="shared" si="277"/>
        <v>7</v>
      </c>
      <c r="BS196">
        <f t="shared" si="278"/>
        <v>7</v>
      </c>
      <c r="BT196">
        <f t="shared" si="279"/>
        <v>7</v>
      </c>
      <c r="BU196">
        <f t="shared" si="280"/>
        <v>7</v>
      </c>
      <c r="BV196">
        <f t="shared" si="281"/>
        <v>7</v>
      </c>
      <c r="BW196">
        <f t="shared" si="282"/>
        <v>7</v>
      </c>
      <c r="BX196">
        <f t="shared" si="283"/>
        <v>7</v>
      </c>
      <c r="BZ196" s="52">
        <f t="shared" si="225"/>
        <v>0</v>
      </c>
      <c r="CA196" s="52">
        <f t="shared" si="291"/>
        <v>0</v>
      </c>
      <c r="CB196" s="52">
        <f t="shared" si="291"/>
        <v>0</v>
      </c>
      <c r="CC196" s="52">
        <f t="shared" si="291"/>
        <v>0</v>
      </c>
      <c r="CD196" s="52">
        <f t="shared" si="291"/>
        <v>0</v>
      </c>
      <c r="CE196" s="52">
        <f t="shared" si="291"/>
        <v>0</v>
      </c>
      <c r="CF196" s="52">
        <f t="shared" si="291"/>
        <v>0</v>
      </c>
      <c r="CG196" s="52">
        <f t="shared" si="291"/>
        <v>0</v>
      </c>
      <c r="CH196" s="52">
        <f t="shared" si="291"/>
        <v>0</v>
      </c>
      <c r="CI196" s="52">
        <f t="shared" si="291"/>
        <v>0</v>
      </c>
      <c r="CJ196" s="52">
        <f t="shared" si="291"/>
        <v>0</v>
      </c>
      <c r="CK196" s="52">
        <f t="shared" si="291"/>
        <v>0</v>
      </c>
      <c r="CL196" s="52">
        <f t="shared" si="291"/>
        <v>0</v>
      </c>
      <c r="CM196" s="52">
        <f t="shared" si="291"/>
        <v>0</v>
      </c>
      <c r="CN196" s="52">
        <f t="shared" si="291"/>
        <v>0</v>
      </c>
      <c r="CO196" s="52">
        <f t="shared" si="291"/>
        <v>0</v>
      </c>
      <c r="CP196" s="52">
        <f t="shared" si="291"/>
        <v>0</v>
      </c>
      <c r="CQ196" s="52">
        <f t="shared" si="226"/>
        <v>0</v>
      </c>
      <c r="CR196" s="52">
        <f t="shared" si="227"/>
        <v>0</v>
      </c>
      <c r="CS196" s="52">
        <f t="shared" si="228"/>
        <v>0</v>
      </c>
      <c r="CT196" s="52">
        <f t="shared" si="229"/>
        <v>0</v>
      </c>
      <c r="CU196" s="52">
        <f t="shared" si="230"/>
        <v>0</v>
      </c>
      <c r="CV196" s="52">
        <f t="shared" si="231"/>
        <v>0</v>
      </c>
      <c r="CW196" s="52">
        <f t="shared" si="232"/>
        <v>0</v>
      </c>
    </row>
    <row r="197" spans="1:101">
      <c r="A197" s="60">
        <v>45119</v>
      </c>
      <c r="B197" s="426">
        <v>53927.4</v>
      </c>
      <c r="C197">
        <v>54046.2</v>
      </c>
      <c r="D197">
        <v>54080.9</v>
      </c>
      <c r="E197">
        <v>54115.199999999997</v>
      </c>
      <c r="F197">
        <v>54244.1</v>
      </c>
      <c r="G197">
        <v>53782.5</v>
      </c>
      <c r="H197">
        <v>53382.1</v>
      </c>
      <c r="I197">
        <v>54297.599999999999</v>
      </c>
      <c r="J197">
        <v>54068.7</v>
      </c>
      <c r="K197">
        <v>54096.6</v>
      </c>
      <c r="L197">
        <v>54824.1</v>
      </c>
      <c r="M197">
        <v>54915.5</v>
      </c>
      <c r="N197">
        <v>54932.1</v>
      </c>
      <c r="O197">
        <v>53703.1</v>
      </c>
      <c r="P197">
        <v>53792.800000000003</v>
      </c>
      <c r="Q197">
        <v>54490.6</v>
      </c>
      <c r="R197">
        <v>53915.3</v>
      </c>
      <c r="S197">
        <v>53844.4</v>
      </c>
      <c r="T197">
        <v>53971.8</v>
      </c>
      <c r="U197">
        <v>54541.8</v>
      </c>
      <c r="V197">
        <v>54674.5</v>
      </c>
      <c r="W197">
        <v>54405.599999999999</v>
      </c>
      <c r="X197">
        <v>54823.3</v>
      </c>
      <c r="Y197">
        <v>55150.3</v>
      </c>
      <c r="Z197" s="77">
        <v>1302026.5000000002</v>
      </c>
      <c r="AB197" s="52">
        <f t="shared" si="288"/>
        <v>0</v>
      </c>
      <c r="AC197" s="52">
        <f t="shared" si="239"/>
        <v>0</v>
      </c>
      <c r="AD197" s="52">
        <f t="shared" si="240"/>
        <v>0</v>
      </c>
      <c r="AE197" s="52">
        <f t="shared" si="241"/>
        <v>0</v>
      </c>
      <c r="AF197" s="52">
        <f t="shared" si="242"/>
        <v>0</v>
      </c>
      <c r="AG197" s="52">
        <f t="shared" si="243"/>
        <v>0</v>
      </c>
      <c r="AH197" s="52">
        <f t="shared" si="244"/>
        <v>0</v>
      </c>
      <c r="AI197" s="52">
        <f t="shared" si="245"/>
        <v>0</v>
      </c>
      <c r="AJ197" s="52">
        <f t="shared" si="246"/>
        <v>0</v>
      </c>
      <c r="AK197" s="52">
        <f t="shared" si="247"/>
        <v>0</v>
      </c>
      <c r="AL197" s="52">
        <f t="shared" si="248"/>
        <v>0</v>
      </c>
      <c r="AM197" s="52">
        <f t="shared" si="249"/>
        <v>0</v>
      </c>
      <c r="AN197" s="52">
        <f t="shared" si="250"/>
        <v>0</v>
      </c>
      <c r="AO197" s="52">
        <f t="shared" si="251"/>
        <v>0</v>
      </c>
      <c r="AP197" s="52">
        <f t="shared" si="252"/>
        <v>0</v>
      </c>
      <c r="AQ197" s="52">
        <f t="shared" si="253"/>
        <v>0</v>
      </c>
      <c r="AR197" s="52">
        <f t="shared" si="254"/>
        <v>0</v>
      </c>
      <c r="AS197" s="52">
        <f t="shared" si="255"/>
        <v>0</v>
      </c>
      <c r="AT197" s="52">
        <f t="shared" si="256"/>
        <v>0</v>
      </c>
      <c r="AU197" s="52">
        <f t="shared" si="257"/>
        <v>0</v>
      </c>
      <c r="AV197" s="52">
        <f t="shared" si="258"/>
        <v>0</v>
      </c>
      <c r="AW197" s="52">
        <f t="shared" si="259"/>
        <v>0</v>
      </c>
      <c r="AX197" s="52">
        <f t="shared" si="260"/>
        <v>0</v>
      </c>
      <c r="AY197" s="52">
        <f t="shared" si="289"/>
        <v>0</v>
      </c>
      <c r="BA197" s="52">
        <f t="shared" si="290"/>
        <v>7</v>
      </c>
      <c r="BB197" s="52">
        <f t="shared" si="261"/>
        <v>7</v>
      </c>
      <c r="BC197" s="52">
        <f t="shared" si="262"/>
        <v>7</v>
      </c>
      <c r="BD197" s="52">
        <f t="shared" si="263"/>
        <v>7</v>
      </c>
      <c r="BE197" s="52">
        <f t="shared" si="264"/>
        <v>7</v>
      </c>
      <c r="BF197" s="52">
        <f t="shared" si="265"/>
        <v>7</v>
      </c>
      <c r="BG197" s="52">
        <f t="shared" si="266"/>
        <v>7</v>
      </c>
      <c r="BH197" s="52">
        <f t="shared" si="267"/>
        <v>7</v>
      </c>
      <c r="BI197" s="52">
        <f t="shared" si="268"/>
        <v>7</v>
      </c>
      <c r="BJ197" s="52">
        <f t="shared" si="269"/>
        <v>7</v>
      </c>
      <c r="BK197" s="52">
        <f t="shared" si="270"/>
        <v>7</v>
      </c>
      <c r="BL197" s="52">
        <f t="shared" si="271"/>
        <v>7</v>
      </c>
      <c r="BM197" s="52">
        <f t="shared" si="272"/>
        <v>7</v>
      </c>
      <c r="BN197" s="52">
        <f t="shared" si="273"/>
        <v>7</v>
      </c>
      <c r="BO197" s="52">
        <f t="shared" si="274"/>
        <v>7</v>
      </c>
      <c r="BP197" s="52">
        <f t="shared" si="275"/>
        <v>7</v>
      </c>
      <c r="BQ197" s="52">
        <f t="shared" si="276"/>
        <v>7</v>
      </c>
      <c r="BR197" s="52">
        <f t="shared" si="277"/>
        <v>7</v>
      </c>
      <c r="BS197" s="52">
        <f t="shared" si="278"/>
        <v>7</v>
      </c>
      <c r="BT197" s="52">
        <f t="shared" si="279"/>
        <v>7</v>
      </c>
      <c r="BU197" s="52">
        <f t="shared" si="280"/>
        <v>7</v>
      </c>
      <c r="BV197" s="52">
        <f t="shared" si="281"/>
        <v>7</v>
      </c>
      <c r="BW197" s="52">
        <f t="shared" si="282"/>
        <v>7</v>
      </c>
      <c r="BX197" s="52">
        <f t="shared" si="283"/>
        <v>7</v>
      </c>
      <c r="BZ197">
        <f t="shared" si="225"/>
        <v>0</v>
      </c>
      <c r="CA197">
        <f t="shared" si="291"/>
        <v>0</v>
      </c>
      <c r="CB197">
        <f t="shared" si="291"/>
        <v>0</v>
      </c>
      <c r="CC197">
        <f t="shared" si="291"/>
        <v>0</v>
      </c>
      <c r="CD197">
        <f t="shared" si="291"/>
        <v>0</v>
      </c>
      <c r="CE197">
        <f t="shared" si="291"/>
        <v>0</v>
      </c>
      <c r="CF197">
        <f t="shared" si="291"/>
        <v>0</v>
      </c>
      <c r="CG197">
        <f t="shared" si="291"/>
        <v>0</v>
      </c>
      <c r="CH197">
        <f t="shared" si="291"/>
        <v>0</v>
      </c>
      <c r="CI197">
        <f t="shared" si="291"/>
        <v>0</v>
      </c>
      <c r="CJ197">
        <f t="shared" si="291"/>
        <v>0</v>
      </c>
      <c r="CK197">
        <f t="shared" si="291"/>
        <v>0</v>
      </c>
      <c r="CL197">
        <f t="shared" si="291"/>
        <v>0</v>
      </c>
      <c r="CM197">
        <f t="shared" si="291"/>
        <v>0</v>
      </c>
      <c r="CN197">
        <f t="shared" si="291"/>
        <v>0</v>
      </c>
      <c r="CO197">
        <f t="shared" si="291"/>
        <v>0</v>
      </c>
      <c r="CP197">
        <f t="shared" si="291"/>
        <v>0</v>
      </c>
      <c r="CQ197">
        <f t="shared" si="226"/>
        <v>0</v>
      </c>
      <c r="CR197">
        <f t="shared" si="227"/>
        <v>0</v>
      </c>
      <c r="CS197">
        <f t="shared" si="228"/>
        <v>0</v>
      </c>
      <c r="CT197">
        <f t="shared" si="229"/>
        <v>0</v>
      </c>
      <c r="CU197">
        <f t="shared" si="230"/>
        <v>0</v>
      </c>
      <c r="CV197">
        <f t="shared" si="231"/>
        <v>0</v>
      </c>
      <c r="CW197">
        <f t="shared" si="232"/>
        <v>0</v>
      </c>
    </row>
    <row r="198" spans="1:101">
      <c r="A198" s="60">
        <v>45120</v>
      </c>
      <c r="B198" s="426">
        <v>52955.7</v>
      </c>
      <c r="C198">
        <v>54470.5</v>
      </c>
      <c r="D198">
        <v>53947.199999999997</v>
      </c>
      <c r="E198">
        <v>54365.599999999999</v>
      </c>
      <c r="F198">
        <v>54617.599999999999</v>
      </c>
      <c r="G198">
        <v>54470.400000000001</v>
      </c>
      <c r="H198">
        <v>54559.1</v>
      </c>
      <c r="I198">
        <v>54542.8</v>
      </c>
      <c r="J198">
        <v>54747.7</v>
      </c>
      <c r="K198">
        <v>54910</v>
      </c>
      <c r="L198">
        <v>53891.199999999997</v>
      </c>
      <c r="M198">
        <v>53835.4</v>
      </c>
      <c r="N198">
        <v>53863.199999999997</v>
      </c>
      <c r="O198">
        <v>53654.6</v>
      </c>
      <c r="P198">
        <v>53713.9</v>
      </c>
      <c r="Q198">
        <v>53485.5</v>
      </c>
      <c r="R198">
        <v>54286</v>
      </c>
      <c r="S198">
        <v>54380.7</v>
      </c>
      <c r="T198">
        <v>53384.6</v>
      </c>
      <c r="U198">
        <v>54653.599999999999</v>
      </c>
      <c r="V198">
        <v>54437.9</v>
      </c>
      <c r="W198">
        <v>54521.4</v>
      </c>
      <c r="X198">
        <v>54769.5</v>
      </c>
      <c r="Y198">
        <v>54321.5</v>
      </c>
      <c r="Z198" s="77">
        <v>1300785.5999999996</v>
      </c>
      <c r="AB198">
        <f t="shared" si="288"/>
        <v>0</v>
      </c>
      <c r="AC198">
        <f t="shared" si="239"/>
        <v>0</v>
      </c>
      <c r="AD198">
        <f t="shared" si="240"/>
        <v>0</v>
      </c>
      <c r="AE198">
        <f t="shared" si="241"/>
        <v>0</v>
      </c>
      <c r="AF198">
        <f t="shared" si="242"/>
        <v>0</v>
      </c>
      <c r="AG198">
        <f t="shared" si="243"/>
        <v>0</v>
      </c>
      <c r="AH198">
        <f t="shared" si="244"/>
        <v>0</v>
      </c>
      <c r="AI198">
        <f t="shared" si="245"/>
        <v>0</v>
      </c>
      <c r="AJ198">
        <f t="shared" si="246"/>
        <v>0</v>
      </c>
      <c r="AK198">
        <f t="shared" si="247"/>
        <v>0</v>
      </c>
      <c r="AL198">
        <f t="shared" si="248"/>
        <v>0</v>
      </c>
      <c r="AM198">
        <f t="shared" si="249"/>
        <v>0</v>
      </c>
      <c r="AN198">
        <f t="shared" si="250"/>
        <v>0</v>
      </c>
      <c r="AO198">
        <f t="shared" si="251"/>
        <v>0</v>
      </c>
      <c r="AP198">
        <f t="shared" si="252"/>
        <v>0</v>
      </c>
      <c r="AQ198">
        <f t="shared" si="253"/>
        <v>0</v>
      </c>
      <c r="AR198">
        <f t="shared" si="254"/>
        <v>0</v>
      </c>
      <c r="AS198">
        <f t="shared" si="255"/>
        <v>0</v>
      </c>
      <c r="AT198">
        <f t="shared" si="256"/>
        <v>0</v>
      </c>
      <c r="AU198">
        <f t="shared" si="257"/>
        <v>0</v>
      </c>
      <c r="AV198">
        <f t="shared" si="258"/>
        <v>0</v>
      </c>
      <c r="AW198">
        <f t="shared" si="259"/>
        <v>0</v>
      </c>
      <c r="AX198">
        <f t="shared" si="260"/>
        <v>0</v>
      </c>
      <c r="AY198">
        <f t="shared" si="289"/>
        <v>0</v>
      </c>
      <c r="BA198">
        <f t="shared" si="290"/>
        <v>7</v>
      </c>
      <c r="BB198">
        <f t="shared" si="261"/>
        <v>7</v>
      </c>
      <c r="BC198">
        <f t="shared" si="262"/>
        <v>7</v>
      </c>
      <c r="BD198">
        <f t="shared" si="263"/>
        <v>7</v>
      </c>
      <c r="BE198">
        <f t="shared" si="264"/>
        <v>7</v>
      </c>
      <c r="BF198">
        <f t="shared" si="265"/>
        <v>7</v>
      </c>
      <c r="BG198">
        <f t="shared" si="266"/>
        <v>7</v>
      </c>
      <c r="BH198">
        <f t="shared" si="267"/>
        <v>7</v>
      </c>
      <c r="BI198">
        <f t="shared" si="268"/>
        <v>7</v>
      </c>
      <c r="BJ198">
        <f t="shared" si="269"/>
        <v>7</v>
      </c>
      <c r="BK198">
        <f t="shared" si="270"/>
        <v>7</v>
      </c>
      <c r="BL198">
        <f t="shared" si="271"/>
        <v>7</v>
      </c>
      <c r="BM198">
        <f t="shared" si="272"/>
        <v>7</v>
      </c>
      <c r="BN198">
        <f t="shared" si="273"/>
        <v>7</v>
      </c>
      <c r="BO198">
        <f t="shared" si="274"/>
        <v>7</v>
      </c>
      <c r="BP198">
        <f t="shared" si="275"/>
        <v>7</v>
      </c>
      <c r="BQ198">
        <f t="shared" si="276"/>
        <v>7</v>
      </c>
      <c r="BR198">
        <f t="shared" si="277"/>
        <v>7</v>
      </c>
      <c r="BS198">
        <f t="shared" si="278"/>
        <v>7</v>
      </c>
      <c r="BT198">
        <f t="shared" si="279"/>
        <v>7</v>
      </c>
      <c r="BU198">
        <f t="shared" si="280"/>
        <v>7</v>
      </c>
      <c r="BV198">
        <f t="shared" si="281"/>
        <v>7</v>
      </c>
      <c r="BW198">
        <f t="shared" si="282"/>
        <v>7</v>
      </c>
      <c r="BX198">
        <f t="shared" si="283"/>
        <v>7</v>
      </c>
      <c r="BZ198" s="52">
        <f t="shared" si="225"/>
        <v>0</v>
      </c>
      <c r="CA198" s="52">
        <f t="shared" si="291"/>
        <v>0</v>
      </c>
      <c r="CB198" s="52">
        <f t="shared" si="291"/>
        <v>0</v>
      </c>
      <c r="CC198" s="52">
        <f t="shared" si="291"/>
        <v>0</v>
      </c>
      <c r="CD198" s="52">
        <f t="shared" si="291"/>
        <v>0</v>
      </c>
      <c r="CE198" s="52">
        <f t="shared" si="291"/>
        <v>0</v>
      </c>
      <c r="CF198" s="52">
        <f t="shared" si="291"/>
        <v>0</v>
      </c>
      <c r="CG198" s="52">
        <f t="shared" si="291"/>
        <v>0</v>
      </c>
      <c r="CH198" s="52">
        <f t="shared" si="291"/>
        <v>0</v>
      </c>
      <c r="CI198" s="52">
        <f t="shared" si="291"/>
        <v>0</v>
      </c>
      <c r="CJ198" s="52">
        <f t="shared" si="291"/>
        <v>0</v>
      </c>
      <c r="CK198" s="52">
        <f t="shared" si="291"/>
        <v>0</v>
      </c>
      <c r="CL198" s="52">
        <f t="shared" si="291"/>
        <v>0</v>
      </c>
      <c r="CM198" s="52">
        <f t="shared" si="291"/>
        <v>0</v>
      </c>
      <c r="CN198" s="52">
        <f t="shared" si="291"/>
        <v>0</v>
      </c>
      <c r="CO198" s="52">
        <f t="shared" si="291"/>
        <v>0</v>
      </c>
      <c r="CP198" s="52">
        <f t="shared" si="291"/>
        <v>0</v>
      </c>
      <c r="CQ198" s="52">
        <f t="shared" si="226"/>
        <v>0</v>
      </c>
      <c r="CR198" s="52">
        <f t="shared" si="227"/>
        <v>0</v>
      </c>
      <c r="CS198" s="52">
        <f t="shared" si="228"/>
        <v>0</v>
      </c>
      <c r="CT198" s="52">
        <f t="shared" si="229"/>
        <v>0</v>
      </c>
      <c r="CU198" s="52">
        <f t="shared" si="230"/>
        <v>0</v>
      </c>
      <c r="CV198" s="52">
        <f t="shared" si="231"/>
        <v>0</v>
      </c>
      <c r="CW198" s="52">
        <f t="shared" si="232"/>
        <v>0</v>
      </c>
    </row>
    <row r="199" spans="1:101">
      <c r="A199" s="60">
        <v>45121</v>
      </c>
      <c r="B199" s="426">
        <v>53976.800000000003</v>
      </c>
      <c r="C199">
        <v>54163.9</v>
      </c>
      <c r="D199">
        <v>54240.9</v>
      </c>
      <c r="E199">
        <v>54117.4</v>
      </c>
      <c r="F199">
        <v>54294</v>
      </c>
      <c r="G199">
        <v>54172.800000000003</v>
      </c>
      <c r="H199">
        <v>54353.1</v>
      </c>
      <c r="I199">
        <v>54238.6</v>
      </c>
      <c r="J199">
        <v>54307</v>
      </c>
      <c r="K199">
        <v>54113.7</v>
      </c>
      <c r="L199">
        <v>54027.9</v>
      </c>
      <c r="M199">
        <v>54117.8</v>
      </c>
      <c r="N199">
        <v>54299</v>
      </c>
      <c r="O199">
        <v>54526.3</v>
      </c>
      <c r="P199">
        <v>54499.199999999997</v>
      </c>
      <c r="Q199">
        <v>54446.9</v>
      </c>
      <c r="R199">
        <v>54365.7</v>
      </c>
      <c r="S199">
        <v>54410.2</v>
      </c>
      <c r="T199">
        <v>54578.3</v>
      </c>
      <c r="U199">
        <v>54631.5</v>
      </c>
      <c r="V199">
        <v>54594.3</v>
      </c>
      <c r="W199">
        <v>54137.9</v>
      </c>
      <c r="X199">
        <v>54301.8</v>
      </c>
      <c r="Y199">
        <v>54648.6</v>
      </c>
      <c r="Z199" s="77">
        <v>1303563.6000000001</v>
      </c>
      <c r="AB199" s="52">
        <f t="shared" si="288"/>
        <v>0</v>
      </c>
      <c r="AC199" s="52">
        <f t="shared" si="239"/>
        <v>0</v>
      </c>
      <c r="AD199" s="52">
        <f t="shared" si="240"/>
        <v>0</v>
      </c>
      <c r="AE199" s="52">
        <f t="shared" si="241"/>
        <v>0</v>
      </c>
      <c r="AF199" s="52">
        <f t="shared" si="242"/>
        <v>0</v>
      </c>
      <c r="AG199" s="52">
        <f t="shared" si="243"/>
        <v>0</v>
      </c>
      <c r="AH199" s="52">
        <f t="shared" si="244"/>
        <v>0</v>
      </c>
      <c r="AI199" s="52">
        <f t="shared" si="245"/>
        <v>0</v>
      </c>
      <c r="AJ199" s="52">
        <f t="shared" si="246"/>
        <v>0</v>
      </c>
      <c r="AK199" s="52">
        <f t="shared" si="247"/>
        <v>0</v>
      </c>
      <c r="AL199" s="52">
        <f t="shared" si="248"/>
        <v>0</v>
      </c>
      <c r="AM199" s="52">
        <f t="shared" si="249"/>
        <v>0</v>
      </c>
      <c r="AN199" s="52">
        <f t="shared" si="250"/>
        <v>0</v>
      </c>
      <c r="AO199" s="52">
        <f t="shared" si="251"/>
        <v>0</v>
      </c>
      <c r="AP199" s="52">
        <f t="shared" si="252"/>
        <v>0</v>
      </c>
      <c r="AQ199" s="52">
        <f t="shared" si="253"/>
        <v>0</v>
      </c>
      <c r="AR199" s="52">
        <f t="shared" si="254"/>
        <v>0</v>
      </c>
      <c r="AS199" s="52">
        <f t="shared" si="255"/>
        <v>0</v>
      </c>
      <c r="AT199" s="52">
        <f t="shared" si="256"/>
        <v>0</v>
      </c>
      <c r="AU199" s="52">
        <f t="shared" si="257"/>
        <v>0</v>
      </c>
      <c r="AV199" s="52">
        <f t="shared" si="258"/>
        <v>0</v>
      </c>
      <c r="AW199" s="52">
        <f t="shared" si="259"/>
        <v>0</v>
      </c>
      <c r="AX199" s="52">
        <f t="shared" si="260"/>
        <v>0</v>
      </c>
      <c r="AY199" s="52">
        <f t="shared" si="289"/>
        <v>0</v>
      </c>
      <c r="BA199" s="52">
        <f t="shared" si="290"/>
        <v>7</v>
      </c>
      <c r="BB199" s="52">
        <f t="shared" si="261"/>
        <v>7</v>
      </c>
      <c r="BC199" s="52">
        <f t="shared" si="262"/>
        <v>7</v>
      </c>
      <c r="BD199" s="52">
        <f t="shared" si="263"/>
        <v>7</v>
      </c>
      <c r="BE199" s="52">
        <f t="shared" si="264"/>
        <v>7</v>
      </c>
      <c r="BF199" s="52">
        <f t="shared" si="265"/>
        <v>7</v>
      </c>
      <c r="BG199" s="52">
        <f t="shared" si="266"/>
        <v>7</v>
      </c>
      <c r="BH199" s="52">
        <f t="shared" si="267"/>
        <v>7</v>
      </c>
      <c r="BI199" s="52">
        <f t="shared" si="268"/>
        <v>7</v>
      </c>
      <c r="BJ199" s="52">
        <f t="shared" si="269"/>
        <v>7</v>
      </c>
      <c r="BK199" s="52">
        <f t="shared" si="270"/>
        <v>7</v>
      </c>
      <c r="BL199" s="52">
        <f t="shared" si="271"/>
        <v>7</v>
      </c>
      <c r="BM199" s="52">
        <f t="shared" si="272"/>
        <v>7</v>
      </c>
      <c r="BN199" s="52">
        <f t="shared" si="273"/>
        <v>7</v>
      </c>
      <c r="BO199" s="52">
        <f t="shared" si="274"/>
        <v>7</v>
      </c>
      <c r="BP199" s="52">
        <f t="shared" si="275"/>
        <v>7</v>
      </c>
      <c r="BQ199" s="52">
        <f t="shared" si="276"/>
        <v>7</v>
      </c>
      <c r="BR199" s="52">
        <f t="shared" si="277"/>
        <v>7</v>
      </c>
      <c r="BS199" s="52">
        <f t="shared" si="278"/>
        <v>7</v>
      </c>
      <c r="BT199" s="52">
        <f t="shared" si="279"/>
        <v>7</v>
      </c>
      <c r="BU199" s="52">
        <f t="shared" si="280"/>
        <v>7</v>
      </c>
      <c r="BV199" s="52">
        <f t="shared" si="281"/>
        <v>7</v>
      </c>
      <c r="BW199" s="52">
        <f t="shared" si="282"/>
        <v>7</v>
      </c>
      <c r="BX199" s="52">
        <f t="shared" si="283"/>
        <v>7</v>
      </c>
      <c r="BZ199">
        <f t="shared" si="225"/>
        <v>0</v>
      </c>
      <c r="CA199">
        <f t="shared" si="291"/>
        <v>0</v>
      </c>
      <c r="CB199">
        <f t="shared" si="291"/>
        <v>0</v>
      </c>
      <c r="CC199">
        <f t="shared" si="291"/>
        <v>0</v>
      </c>
      <c r="CD199">
        <f t="shared" si="291"/>
        <v>0</v>
      </c>
      <c r="CE199">
        <f t="shared" si="291"/>
        <v>0</v>
      </c>
      <c r="CF199">
        <f t="shared" si="291"/>
        <v>0</v>
      </c>
      <c r="CG199">
        <f t="shared" si="291"/>
        <v>0</v>
      </c>
      <c r="CH199">
        <f t="shared" si="291"/>
        <v>0</v>
      </c>
      <c r="CI199">
        <f t="shared" si="291"/>
        <v>0</v>
      </c>
      <c r="CJ199">
        <f t="shared" si="291"/>
        <v>0</v>
      </c>
      <c r="CK199">
        <f t="shared" si="291"/>
        <v>0</v>
      </c>
      <c r="CL199">
        <f t="shared" si="291"/>
        <v>0</v>
      </c>
      <c r="CM199">
        <f t="shared" si="291"/>
        <v>0</v>
      </c>
      <c r="CN199">
        <f t="shared" si="291"/>
        <v>0</v>
      </c>
      <c r="CO199">
        <f t="shared" si="291"/>
        <v>0</v>
      </c>
      <c r="CP199">
        <f t="shared" si="291"/>
        <v>0</v>
      </c>
      <c r="CQ199">
        <f t="shared" si="226"/>
        <v>0</v>
      </c>
      <c r="CR199">
        <f t="shared" si="227"/>
        <v>0</v>
      </c>
      <c r="CS199">
        <f t="shared" si="228"/>
        <v>0</v>
      </c>
      <c r="CT199">
        <f t="shared" si="229"/>
        <v>0</v>
      </c>
      <c r="CU199">
        <f t="shared" si="230"/>
        <v>0</v>
      </c>
      <c r="CV199">
        <f t="shared" si="231"/>
        <v>0</v>
      </c>
      <c r="CW199">
        <f t="shared" si="232"/>
        <v>0</v>
      </c>
    </row>
    <row r="200" spans="1:101">
      <c r="A200" s="60">
        <v>45122</v>
      </c>
      <c r="B200" s="426">
        <v>53251.1</v>
      </c>
      <c r="C200">
        <v>51743.199999999997</v>
      </c>
      <c r="D200">
        <v>53039.8</v>
      </c>
      <c r="E200">
        <v>54558.1</v>
      </c>
      <c r="F200">
        <v>54704.2</v>
      </c>
      <c r="G200">
        <v>54662.7</v>
      </c>
      <c r="H200">
        <v>54759.6</v>
      </c>
      <c r="I200">
        <v>54547.3</v>
      </c>
      <c r="J200">
        <v>54349.4</v>
      </c>
      <c r="K200">
        <v>54702.400000000001</v>
      </c>
      <c r="L200">
        <v>53714.5</v>
      </c>
      <c r="M200">
        <v>53438.1</v>
      </c>
      <c r="N200">
        <v>50237.7</v>
      </c>
      <c r="O200">
        <v>52479.9</v>
      </c>
      <c r="P200">
        <v>53012.1</v>
      </c>
      <c r="Q200">
        <v>52658.1</v>
      </c>
      <c r="R200">
        <v>53351.8</v>
      </c>
      <c r="S200">
        <v>54392.3</v>
      </c>
      <c r="T200">
        <v>54420</v>
      </c>
      <c r="U200">
        <v>52652.5</v>
      </c>
      <c r="V200">
        <v>52922.8</v>
      </c>
      <c r="W200">
        <v>54664.1</v>
      </c>
      <c r="X200">
        <v>54771.5</v>
      </c>
      <c r="Y200">
        <v>54853.599999999999</v>
      </c>
      <c r="Z200" s="77">
        <v>1287886.8</v>
      </c>
      <c r="AB200">
        <f t="shared" si="288"/>
        <v>0</v>
      </c>
      <c r="AC200">
        <f t="shared" si="239"/>
        <v>0</v>
      </c>
      <c r="AD200">
        <f t="shared" si="240"/>
        <v>0</v>
      </c>
      <c r="AE200">
        <f t="shared" si="241"/>
        <v>0</v>
      </c>
      <c r="AF200">
        <f t="shared" si="242"/>
        <v>0</v>
      </c>
      <c r="AG200">
        <f t="shared" si="243"/>
        <v>0</v>
      </c>
      <c r="AH200">
        <f t="shared" si="244"/>
        <v>0</v>
      </c>
      <c r="AI200">
        <f t="shared" si="245"/>
        <v>0</v>
      </c>
      <c r="AJ200">
        <f t="shared" si="246"/>
        <v>0</v>
      </c>
      <c r="AK200">
        <f t="shared" si="247"/>
        <v>0</v>
      </c>
      <c r="AL200">
        <f t="shared" si="248"/>
        <v>0</v>
      </c>
      <c r="AM200">
        <f t="shared" si="249"/>
        <v>0</v>
      </c>
      <c r="AN200">
        <f t="shared" si="250"/>
        <v>0</v>
      </c>
      <c r="AO200">
        <f t="shared" si="251"/>
        <v>0</v>
      </c>
      <c r="AP200">
        <f t="shared" si="252"/>
        <v>0</v>
      </c>
      <c r="AQ200">
        <f t="shared" si="253"/>
        <v>0</v>
      </c>
      <c r="AR200">
        <f t="shared" si="254"/>
        <v>0</v>
      </c>
      <c r="AS200">
        <f t="shared" si="255"/>
        <v>0</v>
      </c>
      <c r="AT200">
        <f t="shared" si="256"/>
        <v>0</v>
      </c>
      <c r="AU200">
        <f t="shared" si="257"/>
        <v>0</v>
      </c>
      <c r="AV200">
        <f t="shared" si="258"/>
        <v>0</v>
      </c>
      <c r="AW200">
        <f t="shared" si="259"/>
        <v>0</v>
      </c>
      <c r="AX200">
        <f t="shared" si="260"/>
        <v>0</v>
      </c>
      <c r="AY200">
        <f t="shared" si="289"/>
        <v>0</v>
      </c>
      <c r="BA200">
        <f t="shared" si="290"/>
        <v>7</v>
      </c>
      <c r="BB200">
        <f t="shared" si="261"/>
        <v>6</v>
      </c>
      <c r="BC200">
        <f t="shared" si="262"/>
        <v>7</v>
      </c>
      <c r="BD200">
        <f t="shared" si="263"/>
        <v>7</v>
      </c>
      <c r="BE200">
        <f t="shared" si="264"/>
        <v>7</v>
      </c>
      <c r="BF200">
        <f t="shared" si="265"/>
        <v>7</v>
      </c>
      <c r="BG200">
        <f t="shared" si="266"/>
        <v>7</v>
      </c>
      <c r="BH200">
        <f t="shared" si="267"/>
        <v>7</v>
      </c>
      <c r="BI200">
        <f t="shared" si="268"/>
        <v>7</v>
      </c>
      <c r="BJ200">
        <f t="shared" si="269"/>
        <v>7</v>
      </c>
      <c r="BK200">
        <f t="shared" si="270"/>
        <v>7</v>
      </c>
      <c r="BL200">
        <f t="shared" si="271"/>
        <v>7</v>
      </c>
      <c r="BM200">
        <f t="shared" si="272"/>
        <v>6</v>
      </c>
      <c r="BN200">
        <f t="shared" si="273"/>
        <v>6</v>
      </c>
      <c r="BO200">
        <f t="shared" si="274"/>
        <v>7</v>
      </c>
      <c r="BP200">
        <f t="shared" si="275"/>
        <v>6</v>
      </c>
      <c r="BQ200">
        <f t="shared" si="276"/>
        <v>7</v>
      </c>
      <c r="BR200">
        <f t="shared" si="277"/>
        <v>7</v>
      </c>
      <c r="BS200">
        <f t="shared" si="278"/>
        <v>7</v>
      </c>
      <c r="BT200">
        <f t="shared" si="279"/>
        <v>6</v>
      </c>
      <c r="BU200">
        <f t="shared" si="280"/>
        <v>7</v>
      </c>
      <c r="BV200">
        <f t="shared" si="281"/>
        <v>7</v>
      </c>
      <c r="BW200">
        <f t="shared" si="282"/>
        <v>7</v>
      </c>
      <c r="BX200">
        <f t="shared" si="283"/>
        <v>7</v>
      </c>
      <c r="BZ200" s="52">
        <f t="shared" ref="BZ200:BZ214" si="293">+BA200-BX199</f>
        <v>0</v>
      </c>
      <c r="CA200" s="52">
        <f t="shared" si="291"/>
        <v>-1</v>
      </c>
      <c r="CB200" s="52">
        <f t="shared" si="291"/>
        <v>1</v>
      </c>
      <c r="CC200" s="52">
        <f t="shared" si="291"/>
        <v>0</v>
      </c>
      <c r="CD200" s="52">
        <f t="shared" si="291"/>
        <v>0</v>
      </c>
      <c r="CE200" s="52">
        <f t="shared" si="291"/>
        <v>0</v>
      </c>
      <c r="CF200" s="52">
        <f t="shared" si="291"/>
        <v>0</v>
      </c>
      <c r="CG200" s="52">
        <f t="shared" si="291"/>
        <v>0</v>
      </c>
      <c r="CH200" s="52">
        <f t="shared" si="291"/>
        <v>0</v>
      </c>
      <c r="CI200" s="52">
        <f t="shared" si="291"/>
        <v>0</v>
      </c>
      <c r="CJ200" s="52">
        <f t="shared" si="291"/>
        <v>0</v>
      </c>
      <c r="CK200" s="52">
        <f t="shared" si="291"/>
        <v>0</v>
      </c>
      <c r="CL200" s="52">
        <f t="shared" si="291"/>
        <v>-1</v>
      </c>
      <c r="CM200" s="52">
        <f t="shared" si="291"/>
        <v>0</v>
      </c>
      <c r="CN200" s="52">
        <f t="shared" si="291"/>
        <v>1</v>
      </c>
      <c r="CO200" s="52">
        <f t="shared" si="291"/>
        <v>-1</v>
      </c>
      <c r="CP200" s="52">
        <f t="shared" si="291"/>
        <v>1</v>
      </c>
      <c r="CQ200" s="52">
        <f t="shared" ref="CQ200:CQ214" si="294">BR200-BQ200</f>
        <v>0</v>
      </c>
      <c r="CR200" s="52">
        <f t="shared" ref="CR200:CR214" si="295">BS200-BR200</f>
        <v>0</v>
      </c>
      <c r="CS200" s="52">
        <f t="shared" ref="CS200:CS214" si="296">BT200-BS200</f>
        <v>-1</v>
      </c>
      <c r="CT200" s="52">
        <f t="shared" ref="CT200:CT214" si="297">BU200-BT200</f>
        <v>1</v>
      </c>
      <c r="CU200" s="52">
        <f t="shared" ref="CU200:CU214" si="298">BV200-BU200</f>
        <v>0</v>
      </c>
      <c r="CV200" s="52">
        <f t="shared" ref="CV200:CV214" si="299">BW200-BV200</f>
        <v>0</v>
      </c>
      <c r="CW200" s="52">
        <f t="shared" ref="CW200:CW214" si="300">BX200-BW200</f>
        <v>0</v>
      </c>
    </row>
    <row r="201" spans="1:101">
      <c r="A201" s="60">
        <v>45123</v>
      </c>
      <c r="B201" s="426">
        <v>50734.1</v>
      </c>
      <c r="C201">
        <v>48396.7</v>
      </c>
      <c r="D201">
        <v>53456.7</v>
      </c>
      <c r="E201">
        <v>54261.3</v>
      </c>
      <c r="F201">
        <v>54147.199999999997</v>
      </c>
      <c r="G201">
        <v>53940.5</v>
      </c>
      <c r="H201">
        <v>54036</v>
      </c>
      <c r="I201">
        <v>54085.8</v>
      </c>
      <c r="J201">
        <v>54382.5</v>
      </c>
      <c r="K201">
        <v>54240.800000000003</v>
      </c>
      <c r="L201">
        <v>54292.5</v>
      </c>
      <c r="M201">
        <v>54202.7</v>
      </c>
      <c r="N201">
        <v>54168.800000000003</v>
      </c>
      <c r="O201">
        <v>54245.1</v>
      </c>
      <c r="P201">
        <v>54230.3</v>
      </c>
      <c r="Q201">
        <v>54311.199999999997</v>
      </c>
      <c r="R201">
        <v>54159.6</v>
      </c>
      <c r="S201">
        <v>54325.9</v>
      </c>
      <c r="T201">
        <v>60569.9</v>
      </c>
      <c r="U201">
        <v>54497.4</v>
      </c>
      <c r="V201">
        <v>53511.9</v>
      </c>
      <c r="W201">
        <v>53650.6</v>
      </c>
      <c r="X201">
        <v>54339.5</v>
      </c>
      <c r="Y201">
        <v>54216.3</v>
      </c>
      <c r="Z201" s="77">
        <v>1296403.3</v>
      </c>
      <c r="AB201" s="52">
        <f t="shared" si="288"/>
        <v>0</v>
      </c>
      <c r="AC201" s="52">
        <f t="shared" si="239"/>
        <v>0</v>
      </c>
      <c r="AD201" s="52">
        <f t="shared" si="240"/>
        <v>0</v>
      </c>
      <c r="AE201" s="52">
        <f t="shared" si="241"/>
        <v>0</v>
      </c>
      <c r="AF201" s="52">
        <f t="shared" si="242"/>
        <v>0</v>
      </c>
      <c r="AG201" s="52">
        <f t="shared" si="243"/>
        <v>0</v>
      </c>
      <c r="AH201" s="52">
        <f t="shared" si="244"/>
        <v>0</v>
      </c>
      <c r="AI201" s="52">
        <f t="shared" si="245"/>
        <v>0</v>
      </c>
      <c r="AJ201" s="52">
        <f t="shared" si="246"/>
        <v>0</v>
      </c>
      <c r="AK201" s="52">
        <f t="shared" si="247"/>
        <v>0</v>
      </c>
      <c r="AL201" s="52">
        <f t="shared" si="248"/>
        <v>0</v>
      </c>
      <c r="AM201" s="52">
        <f t="shared" si="249"/>
        <v>0</v>
      </c>
      <c r="AN201" s="52">
        <f t="shared" si="250"/>
        <v>0</v>
      </c>
      <c r="AO201" s="52">
        <f t="shared" si="251"/>
        <v>0</v>
      </c>
      <c r="AP201" s="52">
        <f t="shared" si="252"/>
        <v>0</v>
      </c>
      <c r="AQ201" s="52">
        <f t="shared" si="253"/>
        <v>0</v>
      </c>
      <c r="AR201" s="52">
        <f t="shared" si="254"/>
        <v>0</v>
      </c>
      <c r="AS201" s="52">
        <f t="shared" si="255"/>
        <v>0</v>
      </c>
      <c r="AT201" s="52">
        <f t="shared" si="256"/>
        <v>0</v>
      </c>
      <c r="AU201" s="52">
        <f t="shared" si="257"/>
        <v>0</v>
      </c>
      <c r="AV201" s="52">
        <f t="shared" si="258"/>
        <v>0</v>
      </c>
      <c r="AW201" s="52">
        <f t="shared" si="259"/>
        <v>0</v>
      </c>
      <c r="AX201" s="52">
        <f t="shared" si="260"/>
        <v>0</v>
      </c>
      <c r="AY201" s="52">
        <f t="shared" si="289"/>
        <v>0</v>
      </c>
      <c r="BA201" s="52">
        <f t="shared" si="290"/>
        <v>6</v>
      </c>
      <c r="BB201" s="52">
        <f t="shared" si="261"/>
        <v>6</v>
      </c>
      <c r="BC201" s="52">
        <f t="shared" si="262"/>
        <v>7</v>
      </c>
      <c r="BD201" s="52">
        <f t="shared" si="263"/>
        <v>7</v>
      </c>
      <c r="BE201" s="52">
        <f t="shared" si="264"/>
        <v>7</v>
      </c>
      <c r="BF201" s="52">
        <f t="shared" si="265"/>
        <v>7</v>
      </c>
      <c r="BG201" s="52">
        <f t="shared" si="266"/>
        <v>7</v>
      </c>
      <c r="BH201" s="52">
        <f t="shared" si="267"/>
        <v>7</v>
      </c>
      <c r="BI201" s="52">
        <f t="shared" si="268"/>
        <v>7</v>
      </c>
      <c r="BJ201" s="52">
        <f t="shared" si="269"/>
        <v>7</v>
      </c>
      <c r="BK201" s="52">
        <f t="shared" si="270"/>
        <v>7</v>
      </c>
      <c r="BL201" s="52">
        <f t="shared" si="271"/>
        <v>7</v>
      </c>
      <c r="BM201" s="52">
        <f t="shared" si="272"/>
        <v>7</v>
      </c>
      <c r="BN201" s="52">
        <f t="shared" si="273"/>
        <v>7</v>
      </c>
      <c r="BO201" s="52">
        <f t="shared" si="274"/>
        <v>7</v>
      </c>
      <c r="BP201" s="52">
        <f t="shared" si="275"/>
        <v>7</v>
      </c>
      <c r="BQ201" s="52">
        <f t="shared" si="276"/>
        <v>7</v>
      </c>
      <c r="BR201" s="52">
        <f t="shared" si="277"/>
        <v>7</v>
      </c>
      <c r="BS201" s="52">
        <f t="shared" si="278"/>
        <v>7</v>
      </c>
      <c r="BT201" s="52">
        <f t="shared" si="279"/>
        <v>7</v>
      </c>
      <c r="BU201" s="52">
        <f t="shared" si="280"/>
        <v>7</v>
      </c>
      <c r="BV201" s="52">
        <f t="shared" si="281"/>
        <v>7</v>
      </c>
      <c r="BW201" s="52">
        <f t="shared" si="282"/>
        <v>7</v>
      </c>
      <c r="BX201" s="52">
        <f t="shared" si="283"/>
        <v>7</v>
      </c>
      <c r="BZ201">
        <f t="shared" si="293"/>
        <v>-1</v>
      </c>
      <c r="CA201">
        <f t="shared" si="291"/>
        <v>0</v>
      </c>
      <c r="CB201">
        <f t="shared" si="291"/>
        <v>1</v>
      </c>
      <c r="CC201">
        <f t="shared" si="291"/>
        <v>0</v>
      </c>
      <c r="CD201">
        <f t="shared" si="291"/>
        <v>0</v>
      </c>
      <c r="CE201">
        <f t="shared" si="291"/>
        <v>0</v>
      </c>
      <c r="CF201">
        <f t="shared" si="291"/>
        <v>0</v>
      </c>
      <c r="CG201">
        <f t="shared" si="291"/>
        <v>0</v>
      </c>
      <c r="CH201">
        <f t="shared" si="291"/>
        <v>0</v>
      </c>
      <c r="CI201">
        <f t="shared" si="291"/>
        <v>0</v>
      </c>
      <c r="CJ201">
        <f t="shared" si="291"/>
        <v>0</v>
      </c>
      <c r="CK201">
        <f t="shared" si="291"/>
        <v>0</v>
      </c>
      <c r="CL201">
        <f t="shared" si="291"/>
        <v>0</v>
      </c>
      <c r="CM201">
        <f t="shared" si="291"/>
        <v>0</v>
      </c>
      <c r="CN201">
        <f t="shared" si="291"/>
        <v>0</v>
      </c>
      <c r="CO201">
        <f t="shared" si="291"/>
        <v>0</v>
      </c>
      <c r="CP201">
        <f t="shared" si="291"/>
        <v>0</v>
      </c>
      <c r="CQ201">
        <f t="shared" si="294"/>
        <v>0</v>
      </c>
      <c r="CR201">
        <f t="shared" si="295"/>
        <v>0</v>
      </c>
      <c r="CS201">
        <f t="shared" si="296"/>
        <v>0</v>
      </c>
      <c r="CT201">
        <f t="shared" si="297"/>
        <v>0</v>
      </c>
      <c r="CU201">
        <f t="shared" si="298"/>
        <v>0</v>
      </c>
      <c r="CV201">
        <f t="shared" si="299"/>
        <v>0</v>
      </c>
      <c r="CW201">
        <f t="shared" si="300"/>
        <v>0</v>
      </c>
    </row>
    <row r="202" spans="1:101">
      <c r="A202" s="60">
        <v>45124</v>
      </c>
      <c r="B202" s="426">
        <v>54192.3</v>
      </c>
      <c r="C202">
        <v>53969.7</v>
      </c>
      <c r="D202">
        <v>54013.3</v>
      </c>
      <c r="E202">
        <v>54080.4</v>
      </c>
      <c r="F202">
        <v>54146.9</v>
      </c>
      <c r="G202">
        <v>54007.8</v>
      </c>
      <c r="H202">
        <v>54102</v>
      </c>
      <c r="I202">
        <v>54181.7</v>
      </c>
      <c r="J202">
        <v>54176.800000000003</v>
      </c>
      <c r="K202">
        <v>54475.8</v>
      </c>
      <c r="L202">
        <v>54369</v>
      </c>
      <c r="M202">
        <v>54547.4</v>
      </c>
      <c r="N202">
        <v>54334</v>
      </c>
      <c r="O202">
        <v>54357.5</v>
      </c>
      <c r="P202">
        <v>54458</v>
      </c>
      <c r="Q202">
        <v>54413.5</v>
      </c>
      <c r="R202">
        <v>54347.199999999997</v>
      </c>
      <c r="S202">
        <v>54525.599999999999</v>
      </c>
      <c r="T202">
        <v>54420.1</v>
      </c>
      <c r="U202">
        <v>54485</v>
      </c>
      <c r="V202">
        <v>54713.8</v>
      </c>
      <c r="W202">
        <v>52980.7</v>
      </c>
      <c r="X202">
        <v>53331.8</v>
      </c>
      <c r="Y202">
        <v>54705.8</v>
      </c>
      <c r="Z202" s="77">
        <v>1301336.1000000001</v>
      </c>
      <c r="AB202">
        <f t="shared" si="288"/>
        <v>0</v>
      </c>
      <c r="AC202">
        <f t="shared" si="239"/>
        <v>0</v>
      </c>
      <c r="AD202">
        <f t="shared" si="240"/>
        <v>0</v>
      </c>
      <c r="AE202">
        <f t="shared" si="241"/>
        <v>0</v>
      </c>
      <c r="AF202">
        <f t="shared" si="242"/>
        <v>0</v>
      </c>
      <c r="AG202">
        <f t="shared" si="243"/>
        <v>0</v>
      </c>
      <c r="AH202">
        <f t="shared" si="244"/>
        <v>0</v>
      </c>
      <c r="AI202">
        <f t="shared" si="245"/>
        <v>0</v>
      </c>
      <c r="AJ202">
        <f t="shared" si="246"/>
        <v>0</v>
      </c>
      <c r="AK202">
        <f t="shared" si="247"/>
        <v>0</v>
      </c>
      <c r="AL202">
        <f t="shared" si="248"/>
        <v>0</v>
      </c>
      <c r="AM202">
        <f t="shared" si="249"/>
        <v>0</v>
      </c>
      <c r="AN202">
        <f t="shared" si="250"/>
        <v>0</v>
      </c>
      <c r="AO202">
        <f t="shared" si="251"/>
        <v>0</v>
      </c>
      <c r="AP202">
        <f t="shared" si="252"/>
        <v>0</v>
      </c>
      <c r="AQ202">
        <f t="shared" si="253"/>
        <v>0</v>
      </c>
      <c r="AR202">
        <f t="shared" si="254"/>
        <v>0</v>
      </c>
      <c r="AS202">
        <f t="shared" si="255"/>
        <v>0</v>
      </c>
      <c r="AT202">
        <f t="shared" si="256"/>
        <v>0</v>
      </c>
      <c r="AU202">
        <f t="shared" si="257"/>
        <v>0</v>
      </c>
      <c r="AV202">
        <f t="shared" si="258"/>
        <v>0</v>
      </c>
      <c r="AW202">
        <f t="shared" si="259"/>
        <v>0</v>
      </c>
      <c r="AX202">
        <f t="shared" si="260"/>
        <v>0</v>
      </c>
      <c r="AY202">
        <f t="shared" si="289"/>
        <v>0</v>
      </c>
      <c r="BA202">
        <f t="shared" si="290"/>
        <v>7</v>
      </c>
      <c r="BB202">
        <f t="shared" si="261"/>
        <v>7</v>
      </c>
      <c r="BC202">
        <f t="shared" si="262"/>
        <v>7</v>
      </c>
      <c r="BD202">
        <f t="shared" si="263"/>
        <v>7</v>
      </c>
      <c r="BE202">
        <f t="shared" si="264"/>
        <v>7</v>
      </c>
      <c r="BF202">
        <f t="shared" si="265"/>
        <v>7</v>
      </c>
      <c r="BG202">
        <f t="shared" si="266"/>
        <v>7</v>
      </c>
      <c r="BH202">
        <f t="shared" si="267"/>
        <v>7</v>
      </c>
      <c r="BI202">
        <f t="shared" si="268"/>
        <v>7</v>
      </c>
      <c r="BJ202">
        <f t="shared" si="269"/>
        <v>7</v>
      </c>
      <c r="BK202">
        <f t="shared" si="270"/>
        <v>7</v>
      </c>
      <c r="BL202">
        <f t="shared" si="271"/>
        <v>7</v>
      </c>
      <c r="BM202">
        <f t="shared" si="272"/>
        <v>7</v>
      </c>
      <c r="BN202">
        <f t="shared" si="273"/>
        <v>7</v>
      </c>
      <c r="BO202">
        <f t="shared" si="274"/>
        <v>7</v>
      </c>
      <c r="BP202">
        <f t="shared" si="275"/>
        <v>7</v>
      </c>
      <c r="BQ202">
        <f t="shared" si="276"/>
        <v>7</v>
      </c>
      <c r="BR202">
        <f t="shared" si="277"/>
        <v>7</v>
      </c>
      <c r="BS202">
        <f t="shared" si="278"/>
        <v>7</v>
      </c>
      <c r="BT202">
        <f t="shared" si="279"/>
        <v>7</v>
      </c>
      <c r="BU202">
        <f t="shared" si="280"/>
        <v>7</v>
      </c>
      <c r="BV202">
        <f t="shared" si="281"/>
        <v>7</v>
      </c>
      <c r="BW202">
        <f t="shared" si="282"/>
        <v>7</v>
      </c>
      <c r="BX202">
        <f t="shared" si="283"/>
        <v>7</v>
      </c>
      <c r="BZ202" s="52">
        <f t="shared" si="293"/>
        <v>0</v>
      </c>
      <c r="CA202" s="52">
        <f t="shared" si="291"/>
        <v>0</v>
      </c>
      <c r="CB202" s="52">
        <f t="shared" si="291"/>
        <v>0</v>
      </c>
      <c r="CC202" s="52">
        <f t="shared" si="291"/>
        <v>0</v>
      </c>
      <c r="CD202" s="52">
        <f t="shared" si="291"/>
        <v>0</v>
      </c>
      <c r="CE202" s="52">
        <f t="shared" si="291"/>
        <v>0</v>
      </c>
      <c r="CF202" s="52">
        <f t="shared" si="291"/>
        <v>0</v>
      </c>
      <c r="CG202" s="52">
        <f t="shared" si="291"/>
        <v>0</v>
      </c>
      <c r="CH202" s="52">
        <f t="shared" si="291"/>
        <v>0</v>
      </c>
      <c r="CI202" s="52">
        <f t="shared" si="291"/>
        <v>0</v>
      </c>
      <c r="CJ202" s="52">
        <f t="shared" si="291"/>
        <v>0</v>
      </c>
      <c r="CK202" s="52">
        <f t="shared" si="291"/>
        <v>0</v>
      </c>
      <c r="CL202" s="52">
        <f t="shared" si="291"/>
        <v>0</v>
      </c>
      <c r="CM202" s="52">
        <f t="shared" si="291"/>
        <v>0</v>
      </c>
      <c r="CN202" s="52">
        <f t="shared" si="291"/>
        <v>0</v>
      </c>
      <c r="CO202" s="52">
        <f t="shared" si="291"/>
        <v>0</v>
      </c>
      <c r="CP202" s="52">
        <f t="shared" si="291"/>
        <v>0</v>
      </c>
      <c r="CQ202" s="52">
        <f t="shared" si="294"/>
        <v>0</v>
      </c>
      <c r="CR202" s="52">
        <f t="shared" si="295"/>
        <v>0</v>
      </c>
      <c r="CS202" s="52">
        <f t="shared" si="296"/>
        <v>0</v>
      </c>
      <c r="CT202" s="52">
        <f t="shared" si="297"/>
        <v>0</v>
      </c>
      <c r="CU202" s="52">
        <f t="shared" si="298"/>
        <v>0</v>
      </c>
      <c r="CV202" s="52">
        <f t="shared" si="299"/>
        <v>0</v>
      </c>
      <c r="CW202" s="52">
        <f t="shared" si="300"/>
        <v>0</v>
      </c>
    </row>
    <row r="203" spans="1:101">
      <c r="A203" s="60">
        <v>45125</v>
      </c>
      <c r="B203" s="426">
        <v>53070.1</v>
      </c>
      <c r="C203">
        <v>53806.9</v>
      </c>
      <c r="D203">
        <v>53851.4</v>
      </c>
      <c r="E203">
        <v>54943.3</v>
      </c>
      <c r="F203">
        <v>54674.3</v>
      </c>
      <c r="G203">
        <v>54378.2</v>
      </c>
      <c r="H203">
        <v>54341.9</v>
      </c>
      <c r="I203">
        <v>54498.9</v>
      </c>
      <c r="J203">
        <v>54557.5</v>
      </c>
      <c r="K203">
        <v>54431.9</v>
      </c>
      <c r="L203">
        <v>54504.800000000003</v>
      </c>
      <c r="M203">
        <v>53957.5</v>
      </c>
      <c r="N203">
        <v>54417.7</v>
      </c>
      <c r="O203">
        <v>54238.6</v>
      </c>
      <c r="P203">
        <v>54136.6</v>
      </c>
      <c r="Q203">
        <v>54356.7</v>
      </c>
      <c r="R203">
        <v>54244.5</v>
      </c>
      <c r="S203">
        <v>55534.6</v>
      </c>
      <c r="T203">
        <v>53406.7</v>
      </c>
      <c r="U203">
        <v>51783.199999999997</v>
      </c>
      <c r="V203">
        <v>54532.1</v>
      </c>
      <c r="W203">
        <v>51568</v>
      </c>
      <c r="X203">
        <v>52896.3</v>
      </c>
      <c r="Y203">
        <v>54841.2</v>
      </c>
      <c r="Z203" s="77">
        <v>1296972.8999999999</v>
      </c>
      <c r="AB203" s="52">
        <f t="shared" si="288"/>
        <v>0</v>
      </c>
      <c r="AC203" s="52">
        <f t="shared" si="239"/>
        <v>0</v>
      </c>
      <c r="AD203" s="52">
        <f t="shared" si="240"/>
        <v>0</v>
      </c>
      <c r="AE203" s="52">
        <f t="shared" si="241"/>
        <v>0</v>
      </c>
      <c r="AF203" s="52">
        <f t="shared" si="242"/>
        <v>0</v>
      </c>
      <c r="AG203" s="52">
        <f t="shared" si="243"/>
        <v>0</v>
      </c>
      <c r="AH203" s="52">
        <f t="shared" si="244"/>
        <v>0</v>
      </c>
      <c r="AI203" s="52">
        <f t="shared" si="245"/>
        <v>0</v>
      </c>
      <c r="AJ203" s="52">
        <f t="shared" si="246"/>
        <v>0</v>
      </c>
      <c r="AK203" s="52">
        <f t="shared" si="247"/>
        <v>0</v>
      </c>
      <c r="AL203" s="52">
        <f t="shared" si="248"/>
        <v>0</v>
      </c>
      <c r="AM203" s="52">
        <f t="shared" si="249"/>
        <v>0</v>
      </c>
      <c r="AN203" s="52">
        <f t="shared" si="250"/>
        <v>0</v>
      </c>
      <c r="AO203" s="52">
        <f t="shared" si="251"/>
        <v>0</v>
      </c>
      <c r="AP203" s="52">
        <f t="shared" si="252"/>
        <v>0</v>
      </c>
      <c r="AQ203" s="52">
        <f t="shared" si="253"/>
        <v>0</v>
      </c>
      <c r="AR203" s="52">
        <f t="shared" si="254"/>
        <v>0</v>
      </c>
      <c r="AS203" s="52">
        <f t="shared" si="255"/>
        <v>0</v>
      </c>
      <c r="AT203" s="52">
        <f t="shared" si="256"/>
        <v>0</v>
      </c>
      <c r="AU203" s="52">
        <f t="shared" si="257"/>
        <v>0</v>
      </c>
      <c r="AV203" s="52">
        <f t="shared" si="258"/>
        <v>0</v>
      </c>
      <c r="AW203" s="52">
        <f t="shared" si="259"/>
        <v>0</v>
      </c>
      <c r="AX203" s="52">
        <f t="shared" si="260"/>
        <v>0</v>
      </c>
      <c r="AY203" s="52">
        <f t="shared" si="289"/>
        <v>0</v>
      </c>
      <c r="BA203" s="52">
        <f t="shared" si="290"/>
        <v>7</v>
      </c>
      <c r="BB203" s="52">
        <f t="shared" si="261"/>
        <v>7</v>
      </c>
      <c r="BC203" s="52">
        <f t="shared" si="262"/>
        <v>7</v>
      </c>
      <c r="BD203" s="52">
        <f t="shared" si="263"/>
        <v>7</v>
      </c>
      <c r="BE203" s="52">
        <f t="shared" si="264"/>
        <v>7</v>
      </c>
      <c r="BF203" s="52">
        <f t="shared" si="265"/>
        <v>7</v>
      </c>
      <c r="BG203" s="52">
        <f t="shared" si="266"/>
        <v>7</v>
      </c>
      <c r="BH203" s="52">
        <f t="shared" si="267"/>
        <v>7</v>
      </c>
      <c r="BI203" s="52">
        <f t="shared" si="268"/>
        <v>7</v>
      </c>
      <c r="BJ203" s="52">
        <f t="shared" si="269"/>
        <v>7</v>
      </c>
      <c r="BK203" s="52">
        <f t="shared" si="270"/>
        <v>7</v>
      </c>
      <c r="BL203" s="52">
        <f t="shared" si="271"/>
        <v>7</v>
      </c>
      <c r="BM203" s="52">
        <f t="shared" si="272"/>
        <v>7</v>
      </c>
      <c r="BN203" s="52">
        <f t="shared" si="273"/>
        <v>7</v>
      </c>
      <c r="BO203" s="52">
        <f t="shared" si="274"/>
        <v>7</v>
      </c>
      <c r="BP203" s="52">
        <f t="shared" si="275"/>
        <v>7</v>
      </c>
      <c r="BQ203" s="52">
        <f t="shared" si="276"/>
        <v>7</v>
      </c>
      <c r="BR203" s="52">
        <f t="shared" si="277"/>
        <v>7</v>
      </c>
      <c r="BS203" s="52">
        <f t="shared" si="278"/>
        <v>7</v>
      </c>
      <c r="BT203" s="52">
        <f t="shared" si="279"/>
        <v>6</v>
      </c>
      <c r="BU203" s="52">
        <f t="shared" si="280"/>
        <v>7</v>
      </c>
      <c r="BV203" s="52">
        <f t="shared" si="281"/>
        <v>6</v>
      </c>
      <c r="BW203" s="52">
        <f t="shared" si="282"/>
        <v>7</v>
      </c>
      <c r="BX203" s="52">
        <f t="shared" si="283"/>
        <v>7</v>
      </c>
      <c r="BZ203">
        <f t="shared" si="293"/>
        <v>0</v>
      </c>
      <c r="CA203">
        <f t="shared" si="291"/>
        <v>0</v>
      </c>
      <c r="CB203">
        <f t="shared" si="291"/>
        <v>0</v>
      </c>
      <c r="CC203">
        <f t="shared" si="291"/>
        <v>0</v>
      </c>
      <c r="CD203">
        <f t="shared" si="291"/>
        <v>0</v>
      </c>
      <c r="CE203">
        <f t="shared" si="291"/>
        <v>0</v>
      </c>
      <c r="CF203">
        <f t="shared" si="291"/>
        <v>0</v>
      </c>
      <c r="CG203">
        <f t="shared" si="291"/>
        <v>0</v>
      </c>
      <c r="CH203">
        <f t="shared" si="291"/>
        <v>0</v>
      </c>
      <c r="CI203">
        <f t="shared" si="291"/>
        <v>0</v>
      </c>
      <c r="CJ203">
        <f t="shared" si="291"/>
        <v>0</v>
      </c>
      <c r="CK203">
        <f t="shared" si="291"/>
        <v>0</v>
      </c>
      <c r="CL203">
        <f t="shared" si="291"/>
        <v>0</v>
      </c>
      <c r="CM203">
        <f t="shared" si="291"/>
        <v>0</v>
      </c>
      <c r="CN203">
        <f t="shared" ref="CN203:CP205" si="301">BO203-BN203</f>
        <v>0</v>
      </c>
      <c r="CO203">
        <f t="shared" si="301"/>
        <v>0</v>
      </c>
      <c r="CP203">
        <f t="shared" si="301"/>
        <v>0</v>
      </c>
      <c r="CQ203">
        <f t="shared" si="294"/>
        <v>0</v>
      </c>
      <c r="CR203">
        <f t="shared" si="295"/>
        <v>0</v>
      </c>
      <c r="CS203">
        <f t="shared" si="296"/>
        <v>-1</v>
      </c>
      <c r="CT203">
        <f t="shared" si="297"/>
        <v>1</v>
      </c>
      <c r="CU203">
        <f t="shared" si="298"/>
        <v>-1</v>
      </c>
      <c r="CV203">
        <f t="shared" si="299"/>
        <v>1</v>
      </c>
      <c r="CW203">
        <f t="shared" si="300"/>
        <v>0</v>
      </c>
    </row>
    <row r="204" spans="1:101">
      <c r="A204" s="60">
        <v>45126</v>
      </c>
      <c r="B204" s="426">
        <v>55067.8</v>
      </c>
      <c r="C204">
        <v>55261.9</v>
      </c>
      <c r="D204">
        <v>54541.599999999999</v>
      </c>
      <c r="E204">
        <v>54437</v>
      </c>
      <c r="F204">
        <v>54584.9</v>
      </c>
      <c r="G204">
        <v>54570.3</v>
      </c>
      <c r="H204">
        <v>54353.1</v>
      </c>
      <c r="I204">
        <v>54851.3</v>
      </c>
      <c r="J204">
        <v>54197.8</v>
      </c>
      <c r="K204">
        <v>53943.8</v>
      </c>
      <c r="L204">
        <v>53871</v>
      </c>
      <c r="M204">
        <v>53835.3</v>
      </c>
      <c r="N204">
        <v>53563.8</v>
      </c>
      <c r="O204">
        <v>53605.599999999999</v>
      </c>
      <c r="P204">
        <v>53570.9</v>
      </c>
      <c r="Q204">
        <v>53636</v>
      </c>
      <c r="R204">
        <v>53282.6</v>
      </c>
      <c r="S204">
        <v>53152.2</v>
      </c>
      <c r="T204">
        <v>53732.6</v>
      </c>
      <c r="U204">
        <v>54436.2</v>
      </c>
      <c r="V204">
        <v>54441.5</v>
      </c>
      <c r="W204">
        <v>54516.800000000003</v>
      </c>
      <c r="X204">
        <v>54487.5</v>
      </c>
      <c r="Y204">
        <v>54246.7</v>
      </c>
      <c r="Z204" s="77">
        <v>1300188.2</v>
      </c>
      <c r="AB204">
        <f t="shared" si="288"/>
        <v>0</v>
      </c>
      <c r="AC204">
        <f t="shared" si="239"/>
        <v>0</v>
      </c>
      <c r="AD204">
        <f t="shared" si="240"/>
        <v>0</v>
      </c>
      <c r="AE204">
        <f t="shared" si="241"/>
        <v>0</v>
      </c>
      <c r="AF204">
        <f t="shared" si="242"/>
        <v>0</v>
      </c>
      <c r="AG204">
        <f t="shared" si="243"/>
        <v>0</v>
      </c>
      <c r="AH204">
        <f t="shared" si="244"/>
        <v>0</v>
      </c>
      <c r="AI204">
        <f t="shared" si="245"/>
        <v>0</v>
      </c>
      <c r="AJ204">
        <f t="shared" si="246"/>
        <v>0</v>
      </c>
      <c r="AK204">
        <f t="shared" si="247"/>
        <v>0</v>
      </c>
      <c r="AL204">
        <f t="shared" si="248"/>
        <v>0</v>
      </c>
      <c r="AM204">
        <f t="shared" si="249"/>
        <v>0</v>
      </c>
      <c r="AN204">
        <f t="shared" si="250"/>
        <v>0</v>
      </c>
      <c r="AO204">
        <f t="shared" si="251"/>
        <v>0</v>
      </c>
      <c r="AP204">
        <f t="shared" si="252"/>
        <v>0</v>
      </c>
      <c r="AQ204">
        <f t="shared" si="253"/>
        <v>0</v>
      </c>
      <c r="AR204">
        <f t="shared" si="254"/>
        <v>0</v>
      </c>
      <c r="AS204">
        <f t="shared" si="255"/>
        <v>0</v>
      </c>
      <c r="AT204">
        <f t="shared" si="256"/>
        <v>0</v>
      </c>
      <c r="AU204">
        <f t="shared" si="257"/>
        <v>0</v>
      </c>
      <c r="AV204">
        <f t="shared" si="258"/>
        <v>0</v>
      </c>
      <c r="AW204">
        <f t="shared" si="259"/>
        <v>0</v>
      </c>
      <c r="AX204">
        <f t="shared" si="260"/>
        <v>0</v>
      </c>
      <c r="AY204">
        <f t="shared" si="289"/>
        <v>0</v>
      </c>
      <c r="BA204">
        <f t="shared" si="290"/>
        <v>7</v>
      </c>
      <c r="BB204">
        <f t="shared" si="261"/>
        <v>7</v>
      </c>
      <c r="BC204">
        <f t="shared" si="262"/>
        <v>7</v>
      </c>
      <c r="BD204">
        <f t="shared" si="263"/>
        <v>7</v>
      </c>
      <c r="BE204">
        <f t="shared" si="264"/>
        <v>7</v>
      </c>
      <c r="BF204">
        <f t="shared" si="265"/>
        <v>7</v>
      </c>
      <c r="BG204">
        <f t="shared" si="266"/>
        <v>7</v>
      </c>
      <c r="BH204">
        <f t="shared" si="267"/>
        <v>7</v>
      </c>
      <c r="BI204">
        <f t="shared" si="268"/>
        <v>7</v>
      </c>
      <c r="BJ204">
        <f t="shared" si="269"/>
        <v>7</v>
      </c>
      <c r="BK204">
        <f t="shared" si="270"/>
        <v>7</v>
      </c>
      <c r="BL204">
        <f t="shared" si="271"/>
        <v>7</v>
      </c>
      <c r="BM204">
        <f t="shared" si="272"/>
        <v>7</v>
      </c>
      <c r="BN204">
        <f t="shared" si="273"/>
        <v>7</v>
      </c>
      <c r="BO204">
        <f t="shared" si="274"/>
        <v>7</v>
      </c>
      <c r="BP204">
        <f t="shared" si="275"/>
        <v>7</v>
      </c>
      <c r="BQ204">
        <f t="shared" si="276"/>
        <v>7</v>
      </c>
      <c r="BR204">
        <f t="shared" si="277"/>
        <v>7</v>
      </c>
      <c r="BS204">
        <f t="shared" si="278"/>
        <v>7</v>
      </c>
      <c r="BT204">
        <f t="shared" si="279"/>
        <v>7</v>
      </c>
      <c r="BU204">
        <f t="shared" si="280"/>
        <v>7</v>
      </c>
      <c r="BV204">
        <f t="shared" si="281"/>
        <v>7</v>
      </c>
      <c r="BW204">
        <f t="shared" si="282"/>
        <v>7</v>
      </c>
      <c r="BX204">
        <f t="shared" si="283"/>
        <v>7</v>
      </c>
      <c r="BZ204" s="52">
        <f t="shared" si="293"/>
        <v>0</v>
      </c>
      <c r="CA204" s="52">
        <f t="shared" ref="CA204:CP214" si="302">BB204-BA204</f>
        <v>0</v>
      </c>
      <c r="CB204" s="52">
        <f t="shared" ref="CB204:CM205" si="303">BC204-BB204</f>
        <v>0</v>
      </c>
      <c r="CC204" s="52">
        <f t="shared" si="303"/>
        <v>0</v>
      </c>
      <c r="CD204" s="52">
        <f t="shared" si="303"/>
        <v>0</v>
      </c>
      <c r="CE204" s="52">
        <f t="shared" si="303"/>
        <v>0</v>
      </c>
      <c r="CF204" s="52">
        <f t="shared" si="303"/>
        <v>0</v>
      </c>
      <c r="CG204" s="52">
        <f t="shared" si="303"/>
        <v>0</v>
      </c>
      <c r="CH204" s="52">
        <f t="shared" si="303"/>
        <v>0</v>
      </c>
      <c r="CI204" s="52">
        <f t="shared" si="303"/>
        <v>0</v>
      </c>
      <c r="CJ204" s="52">
        <f t="shared" si="303"/>
        <v>0</v>
      </c>
      <c r="CK204" s="52">
        <f t="shared" si="303"/>
        <v>0</v>
      </c>
      <c r="CL204" s="52">
        <f t="shared" si="303"/>
        <v>0</v>
      </c>
      <c r="CM204" s="52">
        <f t="shared" si="303"/>
        <v>0</v>
      </c>
      <c r="CN204" s="52">
        <f t="shared" si="301"/>
        <v>0</v>
      </c>
      <c r="CO204" s="52">
        <f t="shared" si="301"/>
        <v>0</v>
      </c>
      <c r="CP204" s="52">
        <f t="shared" si="301"/>
        <v>0</v>
      </c>
      <c r="CQ204" s="52">
        <f t="shared" si="294"/>
        <v>0</v>
      </c>
      <c r="CR204" s="52">
        <f t="shared" si="295"/>
        <v>0</v>
      </c>
      <c r="CS204" s="52">
        <f t="shared" si="296"/>
        <v>0</v>
      </c>
      <c r="CT204" s="52">
        <f t="shared" si="297"/>
        <v>0</v>
      </c>
      <c r="CU204" s="52">
        <f t="shared" si="298"/>
        <v>0</v>
      </c>
      <c r="CV204" s="52">
        <f t="shared" si="299"/>
        <v>0</v>
      </c>
      <c r="CW204" s="52">
        <f t="shared" si="300"/>
        <v>0</v>
      </c>
    </row>
    <row r="205" spans="1:101">
      <c r="A205" s="60">
        <v>45127</v>
      </c>
      <c r="B205" s="426">
        <v>54696.7</v>
      </c>
      <c r="C205">
        <v>54657.1</v>
      </c>
      <c r="D205">
        <v>54566.5</v>
      </c>
      <c r="E205">
        <v>54220</v>
      </c>
      <c r="F205">
        <v>55035.9</v>
      </c>
      <c r="G205">
        <v>54710</v>
      </c>
      <c r="H205">
        <v>54425.3</v>
      </c>
      <c r="I205">
        <v>54741.599999999999</v>
      </c>
      <c r="J205">
        <v>54697.2</v>
      </c>
      <c r="K205">
        <v>54752.800000000003</v>
      </c>
      <c r="L205">
        <v>54674.8</v>
      </c>
      <c r="M205">
        <v>54582.8</v>
      </c>
      <c r="N205">
        <v>54490.3</v>
      </c>
      <c r="O205">
        <v>54608.800000000003</v>
      </c>
      <c r="P205">
        <v>54019.1</v>
      </c>
      <c r="Q205">
        <v>54577.9</v>
      </c>
      <c r="R205">
        <v>54821.9</v>
      </c>
      <c r="S205">
        <v>53747.6</v>
      </c>
      <c r="T205">
        <v>54140.6</v>
      </c>
      <c r="U205">
        <v>54326.8</v>
      </c>
      <c r="V205">
        <v>53600</v>
      </c>
      <c r="W205">
        <v>53882.8</v>
      </c>
      <c r="X205">
        <v>53578.5</v>
      </c>
      <c r="Y205">
        <v>53132.5</v>
      </c>
      <c r="Z205" s="77">
        <v>1304687.5000000002</v>
      </c>
      <c r="AB205" s="52">
        <f t="shared" si="288"/>
        <v>0</v>
      </c>
      <c r="AC205" s="52">
        <f t="shared" si="239"/>
        <v>0</v>
      </c>
      <c r="AD205" s="52">
        <f t="shared" si="240"/>
        <v>0</v>
      </c>
      <c r="AE205" s="52">
        <f t="shared" si="241"/>
        <v>0</v>
      </c>
      <c r="AF205" s="52">
        <f t="shared" si="242"/>
        <v>0</v>
      </c>
      <c r="AG205" s="52">
        <f t="shared" si="243"/>
        <v>0</v>
      </c>
      <c r="AH205" s="52">
        <f t="shared" si="244"/>
        <v>0</v>
      </c>
      <c r="AI205" s="52">
        <f t="shared" si="245"/>
        <v>0</v>
      </c>
      <c r="AJ205" s="52">
        <f t="shared" si="246"/>
        <v>0</v>
      </c>
      <c r="AK205" s="52">
        <f t="shared" si="247"/>
        <v>0</v>
      </c>
      <c r="AL205" s="52">
        <f t="shared" si="248"/>
        <v>0</v>
      </c>
      <c r="AM205" s="52">
        <f t="shared" si="249"/>
        <v>0</v>
      </c>
      <c r="AN205" s="52">
        <f t="shared" si="250"/>
        <v>0</v>
      </c>
      <c r="AO205" s="52">
        <f t="shared" si="251"/>
        <v>0</v>
      </c>
      <c r="AP205" s="52">
        <f t="shared" si="252"/>
        <v>0</v>
      </c>
      <c r="AQ205" s="52">
        <f t="shared" si="253"/>
        <v>0</v>
      </c>
      <c r="AR205" s="52">
        <f t="shared" si="254"/>
        <v>0</v>
      </c>
      <c r="AS205" s="52">
        <f t="shared" si="255"/>
        <v>0</v>
      </c>
      <c r="AT205" s="52">
        <f t="shared" si="256"/>
        <v>0</v>
      </c>
      <c r="AU205" s="52">
        <f t="shared" si="257"/>
        <v>0</v>
      </c>
      <c r="AV205" s="52">
        <f t="shared" si="258"/>
        <v>0</v>
      </c>
      <c r="AW205" s="52">
        <f t="shared" si="259"/>
        <v>0</v>
      </c>
      <c r="AX205" s="52">
        <f t="shared" si="260"/>
        <v>0</v>
      </c>
      <c r="AY205" s="52">
        <f t="shared" si="289"/>
        <v>0</v>
      </c>
      <c r="BA205" s="52">
        <f t="shared" si="290"/>
        <v>7</v>
      </c>
      <c r="BB205" s="52">
        <f t="shared" si="261"/>
        <v>7</v>
      </c>
      <c r="BC205" s="52">
        <f t="shared" si="262"/>
        <v>7</v>
      </c>
      <c r="BD205" s="52">
        <f t="shared" si="263"/>
        <v>7</v>
      </c>
      <c r="BE205" s="52">
        <f t="shared" si="264"/>
        <v>7</v>
      </c>
      <c r="BF205" s="52">
        <f t="shared" si="265"/>
        <v>7</v>
      </c>
      <c r="BG205" s="52">
        <f t="shared" si="266"/>
        <v>7</v>
      </c>
      <c r="BH205" s="52">
        <f t="shared" si="267"/>
        <v>7</v>
      </c>
      <c r="BI205" s="52">
        <f t="shared" si="268"/>
        <v>7</v>
      </c>
      <c r="BJ205" s="52">
        <f t="shared" si="269"/>
        <v>7</v>
      </c>
      <c r="BK205" s="52">
        <f t="shared" si="270"/>
        <v>7</v>
      </c>
      <c r="BL205" s="52">
        <f t="shared" si="271"/>
        <v>7</v>
      </c>
      <c r="BM205" s="52">
        <f t="shared" si="272"/>
        <v>7</v>
      </c>
      <c r="BN205" s="52">
        <f t="shared" si="273"/>
        <v>7</v>
      </c>
      <c r="BO205" s="52">
        <f t="shared" si="274"/>
        <v>7</v>
      </c>
      <c r="BP205" s="52">
        <f t="shared" si="275"/>
        <v>7</v>
      </c>
      <c r="BQ205" s="52">
        <f t="shared" si="276"/>
        <v>7</v>
      </c>
      <c r="BR205" s="52">
        <f t="shared" si="277"/>
        <v>7</v>
      </c>
      <c r="BS205" s="52">
        <f t="shared" si="278"/>
        <v>7</v>
      </c>
      <c r="BT205" s="52">
        <f t="shared" si="279"/>
        <v>7</v>
      </c>
      <c r="BU205" s="52">
        <f t="shared" si="280"/>
        <v>7</v>
      </c>
      <c r="BV205" s="52">
        <f t="shared" si="281"/>
        <v>7</v>
      </c>
      <c r="BW205" s="52">
        <f t="shared" si="282"/>
        <v>7</v>
      </c>
      <c r="BX205" s="52">
        <f t="shared" si="283"/>
        <v>7</v>
      </c>
      <c r="BZ205">
        <f t="shared" si="293"/>
        <v>0</v>
      </c>
      <c r="CA205">
        <f t="shared" si="302"/>
        <v>0</v>
      </c>
      <c r="CB205">
        <f t="shared" si="303"/>
        <v>0</v>
      </c>
      <c r="CC205">
        <f t="shared" si="303"/>
        <v>0</v>
      </c>
      <c r="CD205">
        <f t="shared" si="303"/>
        <v>0</v>
      </c>
      <c r="CE205">
        <f t="shared" si="303"/>
        <v>0</v>
      </c>
      <c r="CF205">
        <f t="shared" si="303"/>
        <v>0</v>
      </c>
      <c r="CG205">
        <f t="shared" si="303"/>
        <v>0</v>
      </c>
      <c r="CH205">
        <f t="shared" si="303"/>
        <v>0</v>
      </c>
      <c r="CI205">
        <f t="shared" si="303"/>
        <v>0</v>
      </c>
      <c r="CJ205">
        <f t="shared" si="303"/>
        <v>0</v>
      </c>
      <c r="CK205">
        <f t="shared" si="303"/>
        <v>0</v>
      </c>
      <c r="CL205">
        <f t="shared" si="303"/>
        <v>0</v>
      </c>
      <c r="CM205">
        <f t="shared" si="303"/>
        <v>0</v>
      </c>
      <c r="CN205">
        <f t="shared" si="301"/>
        <v>0</v>
      </c>
      <c r="CO205">
        <f t="shared" si="301"/>
        <v>0</v>
      </c>
      <c r="CP205">
        <f t="shared" si="301"/>
        <v>0</v>
      </c>
      <c r="CQ205">
        <f t="shared" si="294"/>
        <v>0</v>
      </c>
      <c r="CR205">
        <f t="shared" si="295"/>
        <v>0</v>
      </c>
      <c r="CS205">
        <f t="shared" si="296"/>
        <v>0</v>
      </c>
      <c r="CT205">
        <f t="shared" si="297"/>
        <v>0</v>
      </c>
      <c r="CU205">
        <f t="shared" si="298"/>
        <v>0</v>
      </c>
      <c r="CV205">
        <f t="shared" si="299"/>
        <v>0</v>
      </c>
      <c r="CW205">
        <f t="shared" si="300"/>
        <v>0</v>
      </c>
    </row>
    <row r="206" spans="1:101">
      <c r="A206" s="60">
        <v>45128</v>
      </c>
      <c r="B206" s="426">
        <v>45483.8</v>
      </c>
      <c r="C206">
        <v>45153.4</v>
      </c>
      <c r="D206">
        <v>44777.3</v>
      </c>
      <c r="E206">
        <v>44003.1</v>
      </c>
      <c r="F206">
        <v>43781.599999999999</v>
      </c>
      <c r="G206">
        <v>43892.800000000003</v>
      </c>
      <c r="H206">
        <v>44717.5</v>
      </c>
      <c r="I206">
        <v>43843.199999999997</v>
      </c>
      <c r="J206">
        <v>43744.1</v>
      </c>
      <c r="K206">
        <v>43791.199999999997</v>
      </c>
      <c r="L206">
        <v>45190</v>
      </c>
      <c r="M206">
        <v>44115.1</v>
      </c>
      <c r="N206">
        <v>43195.3</v>
      </c>
      <c r="O206">
        <v>43378.2</v>
      </c>
      <c r="P206">
        <v>44056.7</v>
      </c>
      <c r="Q206">
        <v>44700.3</v>
      </c>
      <c r="R206">
        <v>44571</v>
      </c>
      <c r="S206">
        <v>44234.2</v>
      </c>
      <c r="T206">
        <v>44536.800000000003</v>
      </c>
      <c r="U206">
        <v>44670.7</v>
      </c>
      <c r="V206">
        <v>44547.1</v>
      </c>
      <c r="W206">
        <v>44389.599999999999</v>
      </c>
      <c r="X206">
        <v>44579.8</v>
      </c>
      <c r="Y206">
        <v>43717.5</v>
      </c>
      <c r="Z206" s="77">
        <v>1063070.2999999998</v>
      </c>
      <c r="AB206">
        <f t="shared" si="288"/>
        <v>0</v>
      </c>
      <c r="AC206">
        <f t="shared" si="239"/>
        <v>0</v>
      </c>
      <c r="AD206">
        <f t="shared" si="240"/>
        <v>0</v>
      </c>
      <c r="AE206">
        <f t="shared" si="241"/>
        <v>0</v>
      </c>
      <c r="AF206">
        <f t="shared" si="242"/>
        <v>0</v>
      </c>
      <c r="AG206">
        <f t="shared" si="243"/>
        <v>0</v>
      </c>
      <c r="AH206">
        <f t="shared" si="244"/>
        <v>0</v>
      </c>
      <c r="AI206">
        <f t="shared" si="245"/>
        <v>0</v>
      </c>
      <c r="AJ206">
        <f t="shared" si="246"/>
        <v>0</v>
      </c>
      <c r="AK206">
        <f t="shared" si="247"/>
        <v>0</v>
      </c>
      <c r="AL206">
        <f t="shared" si="248"/>
        <v>0</v>
      </c>
      <c r="AM206">
        <f t="shared" si="249"/>
        <v>0</v>
      </c>
      <c r="AN206">
        <f t="shared" si="250"/>
        <v>0</v>
      </c>
      <c r="AO206">
        <f t="shared" si="251"/>
        <v>0</v>
      </c>
      <c r="AP206">
        <f t="shared" si="252"/>
        <v>0</v>
      </c>
      <c r="AQ206">
        <f t="shared" si="253"/>
        <v>0</v>
      </c>
      <c r="AR206">
        <f t="shared" si="254"/>
        <v>0</v>
      </c>
      <c r="AS206">
        <f t="shared" si="255"/>
        <v>0</v>
      </c>
      <c r="AT206">
        <f t="shared" si="256"/>
        <v>0</v>
      </c>
      <c r="AU206">
        <f t="shared" si="257"/>
        <v>0</v>
      </c>
      <c r="AV206">
        <f t="shared" si="258"/>
        <v>0</v>
      </c>
      <c r="AW206">
        <f t="shared" si="259"/>
        <v>0</v>
      </c>
      <c r="AX206">
        <f t="shared" si="260"/>
        <v>0</v>
      </c>
      <c r="AY206">
        <f t="shared" si="289"/>
        <v>0</v>
      </c>
      <c r="BA206">
        <f t="shared" si="290"/>
        <v>6</v>
      </c>
      <c r="BB206">
        <f t="shared" si="261"/>
        <v>6</v>
      </c>
      <c r="BC206">
        <f t="shared" si="262"/>
        <v>6</v>
      </c>
      <c r="BD206">
        <f t="shared" si="263"/>
        <v>6</v>
      </c>
      <c r="BE206">
        <f t="shared" si="264"/>
        <v>5</v>
      </c>
      <c r="BF206">
        <f t="shared" si="265"/>
        <v>5</v>
      </c>
      <c r="BG206">
        <f t="shared" si="266"/>
        <v>6</v>
      </c>
      <c r="BH206">
        <f t="shared" si="267"/>
        <v>5</v>
      </c>
      <c r="BI206">
        <f t="shared" si="268"/>
        <v>5</v>
      </c>
      <c r="BJ206">
        <f t="shared" si="269"/>
        <v>5</v>
      </c>
      <c r="BK206">
        <f t="shared" si="270"/>
        <v>6</v>
      </c>
      <c r="BL206">
        <f t="shared" si="271"/>
        <v>6</v>
      </c>
      <c r="BM206">
        <f t="shared" si="272"/>
        <v>5</v>
      </c>
      <c r="BN206">
        <f t="shared" si="273"/>
        <v>5</v>
      </c>
      <c r="BO206">
        <f t="shared" si="274"/>
        <v>6</v>
      </c>
      <c r="BP206">
        <f t="shared" si="275"/>
        <v>6</v>
      </c>
      <c r="BQ206">
        <f t="shared" si="276"/>
        <v>6</v>
      </c>
      <c r="BR206">
        <f t="shared" si="277"/>
        <v>6</v>
      </c>
      <c r="BS206">
        <f t="shared" si="278"/>
        <v>6</v>
      </c>
      <c r="BT206">
        <f t="shared" si="279"/>
        <v>6</v>
      </c>
      <c r="BU206">
        <f t="shared" si="280"/>
        <v>6</v>
      </c>
      <c r="BV206">
        <f t="shared" si="281"/>
        <v>6</v>
      </c>
      <c r="BW206">
        <f t="shared" si="282"/>
        <v>6</v>
      </c>
      <c r="BX206">
        <f t="shared" si="283"/>
        <v>5</v>
      </c>
      <c r="BZ206" s="52">
        <f t="shared" si="293"/>
        <v>-1</v>
      </c>
      <c r="CA206" s="52">
        <f t="shared" si="302"/>
        <v>0</v>
      </c>
      <c r="CB206" s="52">
        <f t="shared" si="302"/>
        <v>0</v>
      </c>
      <c r="CC206" s="52">
        <f t="shared" si="302"/>
        <v>0</v>
      </c>
      <c r="CD206" s="52">
        <f t="shared" si="302"/>
        <v>-1</v>
      </c>
      <c r="CE206" s="52">
        <f t="shared" si="302"/>
        <v>0</v>
      </c>
      <c r="CF206" s="52">
        <f t="shared" si="302"/>
        <v>1</v>
      </c>
      <c r="CG206" s="52">
        <f t="shared" si="302"/>
        <v>-1</v>
      </c>
      <c r="CH206" s="52">
        <f t="shared" si="302"/>
        <v>0</v>
      </c>
      <c r="CI206" s="52">
        <f t="shared" si="302"/>
        <v>0</v>
      </c>
      <c r="CJ206" s="52">
        <f t="shared" si="302"/>
        <v>1</v>
      </c>
      <c r="CK206" s="52">
        <f t="shared" si="302"/>
        <v>0</v>
      </c>
      <c r="CL206" s="52">
        <f t="shared" si="302"/>
        <v>-1</v>
      </c>
      <c r="CM206" s="52">
        <f t="shared" si="302"/>
        <v>0</v>
      </c>
      <c r="CN206" s="52">
        <f t="shared" si="302"/>
        <v>1</v>
      </c>
      <c r="CO206" s="52">
        <f t="shared" si="302"/>
        <v>0</v>
      </c>
      <c r="CP206" s="52">
        <f t="shared" si="302"/>
        <v>0</v>
      </c>
      <c r="CQ206" s="52">
        <f t="shared" si="294"/>
        <v>0</v>
      </c>
      <c r="CR206" s="52">
        <f t="shared" si="295"/>
        <v>0</v>
      </c>
      <c r="CS206" s="52">
        <f t="shared" si="296"/>
        <v>0</v>
      </c>
      <c r="CT206" s="52">
        <f t="shared" si="297"/>
        <v>0</v>
      </c>
      <c r="CU206" s="52">
        <f t="shared" si="298"/>
        <v>0</v>
      </c>
      <c r="CV206" s="52">
        <f t="shared" si="299"/>
        <v>0</v>
      </c>
      <c r="CW206" s="52">
        <f t="shared" si="300"/>
        <v>-1</v>
      </c>
    </row>
    <row r="207" spans="1:101">
      <c r="A207" s="60">
        <v>45129</v>
      </c>
      <c r="B207" s="426">
        <v>44339.3</v>
      </c>
      <c r="C207">
        <v>53299.6</v>
      </c>
      <c r="D207">
        <v>54732.3</v>
      </c>
      <c r="E207">
        <v>54596.7</v>
      </c>
      <c r="F207">
        <v>54751.5</v>
      </c>
      <c r="G207">
        <v>54636.6</v>
      </c>
      <c r="H207">
        <v>54679.9</v>
      </c>
      <c r="I207">
        <v>54936.3</v>
      </c>
      <c r="J207">
        <v>54712.6</v>
      </c>
      <c r="K207">
        <v>54898.400000000001</v>
      </c>
      <c r="L207">
        <v>54464.3</v>
      </c>
      <c r="M207">
        <v>54569.1</v>
      </c>
      <c r="N207">
        <v>54732.2</v>
      </c>
      <c r="O207">
        <v>54733.599999999999</v>
      </c>
      <c r="P207">
        <v>54832.2</v>
      </c>
      <c r="Q207">
        <v>54596.6</v>
      </c>
      <c r="R207">
        <v>54554.400000000001</v>
      </c>
      <c r="S207">
        <v>54628.1</v>
      </c>
      <c r="T207">
        <v>54637.3</v>
      </c>
      <c r="U207">
        <v>54557.4</v>
      </c>
      <c r="V207">
        <v>54399.7</v>
      </c>
      <c r="W207">
        <v>54439.5</v>
      </c>
      <c r="X207">
        <v>54435</v>
      </c>
      <c r="Y207">
        <v>54454.1</v>
      </c>
      <c r="Z207" s="77">
        <v>1299616.7</v>
      </c>
      <c r="AB207" s="52">
        <f t="shared" si="288"/>
        <v>0</v>
      </c>
      <c r="AC207" s="52">
        <f t="shared" si="239"/>
        <v>0</v>
      </c>
      <c r="AD207" s="52">
        <f t="shared" si="240"/>
        <v>0</v>
      </c>
      <c r="AE207" s="52">
        <f t="shared" si="241"/>
        <v>0</v>
      </c>
      <c r="AF207" s="52">
        <f t="shared" si="242"/>
        <v>0</v>
      </c>
      <c r="AG207" s="52">
        <f t="shared" si="243"/>
        <v>0</v>
      </c>
      <c r="AH207" s="52">
        <f t="shared" si="244"/>
        <v>0</v>
      </c>
      <c r="AI207" s="52">
        <f t="shared" si="245"/>
        <v>0</v>
      </c>
      <c r="AJ207" s="52">
        <f t="shared" si="246"/>
        <v>0</v>
      </c>
      <c r="AK207" s="52">
        <f t="shared" si="247"/>
        <v>0</v>
      </c>
      <c r="AL207" s="52">
        <f t="shared" si="248"/>
        <v>0</v>
      </c>
      <c r="AM207" s="52">
        <f t="shared" si="249"/>
        <v>0</v>
      </c>
      <c r="AN207" s="52">
        <f t="shared" si="250"/>
        <v>0</v>
      </c>
      <c r="AO207" s="52">
        <f t="shared" si="251"/>
        <v>0</v>
      </c>
      <c r="AP207" s="52">
        <f t="shared" si="252"/>
        <v>0</v>
      </c>
      <c r="AQ207" s="52">
        <f t="shared" si="253"/>
        <v>0</v>
      </c>
      <c r="AR207" s="52">
        <f t="shared" si="254"/>
        <v>0</v>
      </c>
      <c r="AS207" s="52">
        <f t="shared" si="255"/>
        <v>0</v>
      </c>
      <c r="AT207" s="52">
        <f t="shared" si="256"/>
        <v>0</v>
      </c>
      <c r="AU207" s="52">
        <f t="shared" si="257"/>
        <v>0</v>
      </c>
      <c r="AV207" s="52">
        <f t="shared" si="258"/>
        <v>0</v>
      </c>
      <c r="AW207" s="52">
        <f t="shared" si="259"/>
        <v>0</v>
      </c>
      <c r="AX207" s="52">
        <f t="shared" si="260"/>
        <v>0</v>
      </c>
      <c r="AY207" s="52">
        <f t="shared" si="289"/>
        <v>0</v>
      </c>
      <c r="BA207" s="52">
        <f t="shared" si="290"/>
        <v>6</v>
      </c>
      <c r="BB207" s="52">
        <f t="shared" si="261"/>
        <v>7</v>
      </c>
      <c r="BC207" s="52">
        <f t="shared" si="262"/>
        <v>7</v>
      </c>
      <c r="BD207" s="52">
        <f t="shared" si="263"/>
        <v>7</v>
      </c>
      <c r="BE207" s="52">
        <f t="shared" si="264"/>
        <v>7</v>
      </c>
      <c r="BF207" s="52">
        <f t="shared" si="265"/>
        <v>7</v>
      </c>
      <c r="BG207" s="52">
        <f t="shared" si="266"/>
        <v>7</v>
      </c>
      <c r="BH207" s="52">
        <f t="shared" si="267"/>
        <v>7</v>
      </c>
      <c r="BI207" s="52">
        <f t="shared" si="268"/>
        <v>7</v>
      </c>
      <c r="BJ207" s="52">
        <f t="shared" si="269"/>
        <v>7</v>
      </c>
      <c r="BK207" s="52">
        <f t="shared" si="270"/>
        <v>7</v>
      </c>
      <c r="BL207" s="52">
        <f t="shared" si="271"/>
        <v>7</v>
      </c>
      <c r="BM207" s="52">
        <f t="shared" si="272"/>
        <v>7</v>
      </c>
      <c r="BN207" s="52">
        <f t="shared" si="273"/>
        <v>7</v>
      </c>
      <c r="BO207" s="52">
        <f t="shared" si="274"/>
        <v>7</v>
      </c>
      <c r="BP207" s="52">
        <f t="shared" si="275"/>
        <v>7</v>
      </c>
      <c r="BQ207" s="52">
        <f t="shared" si="276"/>
        <v>7</v>
      </c>
      <c r="BR207" s="52">
        <f t="shared" si="277"/>
        <v>7</v>
      </c>
      <c r="BS207" s="52">
        <f t="shared" si="278"/>
        <v>7</v>
      </c>
      <c r="BT207" s="52">
        <f t="shared" si="279"/>
        <v>7</v>
      </c>
      <c r="BU207" s="52">
        <f t="shared" si="280"/>
        <v>7</v>
      </c>
      <c r="BV207" s="52">
        <f t="shared" si="281"/>
        <v>7</v>
      </c>
      <c r="BW207" s="52">
        <f t="shared" si="282"/>
        <v>7</v>
      </c>
      <c r="BX207" s="52">
        <f t="shared" si="283"/>
        <v>7</v>
      </c>
      <c r="BZ207">
        <f t="shared" si="293"/>
        <v>1</v>
      </c>
      <c r="CA207">
        <f t="shared" si="302"/>
        <v>1</v>
      </c>
      <c r="CB207">
        <f t="shared" si="302"/>
        <v>0</v>
      </c>
      <c r="CC207">
        <f t="shared" si="302"/>
        <v>0</v>
      </c>
      <c r="CD207">
        <f t="shared" si="302"/>
        <v>0</v>
      </c>
      <c r="CE207">
        <f t="shared" si="302"/>
        <v>0</v>
      </c>
      <c r="CF207">
        <f t="shared" si="302"/>
        <v>0</v>
      </c>
      <c r="CG207">
        <f t="shared" si="302"/>
        <v>0</v>
      </c>
      <c r="CH207">
        <f t="shared" si="302"/>
        <v>0</v>
      </c>
      <c r="CI207">
        <f t="shared" si="302"/>
        <v>0</v>
      </c>
      <c r="CJ207">
        <f t="shared" si="302"/>
        <v>0</v>
      </c>
      <c r="CK207">
        <f t="shared" si="302"/>
        <v>0</v>
      </c>
      <c r="CL207">
        <f t="shared" si="302"/>
        <v>0</v>
      </c>
      <c r="CM207">
        <f t="shared" si="302"/>
        <v>0</v>
      </c>
      <c r="CN207">
        <f t="shared" si="302"/>
        <v>0</v>
      </c>
      <c r="CO207">
        <f t="shared" si="302"/>
        <v>0</v>
      </c>
      <c r="CP207">
        <f t="shared" si="302"/>
        <v>0</v>
      </c>
      <c r="CQ207">
        <f t="shared" si="294"/>
        <v>0</v>
      </c>
      <c r="CR207">
        <f t="shared" si="295"/>
        <v>0</v>
      </c>
      <c r="CS207">
        <f t="shared" si="296"/>
        <v>0</v>
      </c>
      <c r="CT207">
        <f t="shared" si="297"/>
        <v>0</v>
      </c>
      <c r="CU207">
        <f t="shared" si="298"/>
        <v>0</v>
      </c>
      <c r="CV207">
        <f t="shared" si="299"/>
        <v>0</v>
      </c>
      <c r="CW207">
        <f t="shared" si="300"/>
        <v>0</v>
      </c>
    </row>
    <row r="208" spans="1:101">
      <c r="A208" s="60">
        <v>45130</v>
      </c>
      <c r="B208" s="426">
        <v>54524.3</v>
      </c>
      <c r="C208">
        <v>54554.1</v>
      </c>
      <c r="D208">
        <v>54528.6</v>
      </c>
      <c r="E208">
        <v>53525.599999999999</v>
      </c>
      <c r="F208">
        <v>54539.6</v>
      </c>
      <c r="G208">
        <v>54568.1</v>
      </c>
      <c r="H208">
        <v>54614.7</v>
      </c>
      <c r="I208">
        <v>54785.9</v>
      </c>
      <c r="J208">
        <v>54782.400000000001</v>
      </c>
      <c r="K208">
        <v>54572.1</v>
      </c>
      <c r="L208">
        <v>54636.2</v>
      </c>
      <c r="M208">
        <v>54347.7</v>
      </c>
      <c r="N208">
        <v>54547.6</v>
      </c>
      <c r="O208">
        <v>54578.7</v>
      </c>
      <c r="P208">
        <v>54090.3</v>
      </c>
      <c r="Q208">
        <v>54328.800000000003</v>
      </c>
      <c r="R208">
        <v>54236.6</v>
      </c>
      <c r="S208">
        <v>54236.800000000003</v>
      </c>
      <c r="T208">
        <v>54188.6</v>
      </c>
      <c r="U208">
        <v>54098.400000000001</v>
      </c>
      <c r="V208">
        <v>53897.3</v>
      </c>
      <c r="W208">
        <v>53995.5</v>
      </c>
      <c r="X208">
        <v>54101.9</v>
      </c>
      <c r="Y208">
        <v>54159.5</v>
      </c>
      <c r="Z208" s="77">
        <v>1304439.2999999998</v>
      </c>
      <c r="AB208">
        <f t="shared" si="288"/>
        <v>0</v>
      </c>
      <c r="AC208">
        <f t="shared" si="239"/>
        <v>0</v>
      </c>
      <c r="AD208">
        <f t="shared" si="240"/>
        <v>0</v>
      </c>
      <c r="AE208">
        <f t="shared" si="241"/>
        <v>0</v>
      </c>
      <c r="AF208">
        <f t="shared" si="242"/>
        <v>0</v>
      </c>
      <c r="AG208">
        <f t="shared" si="243"/>
        <v>0</v>
      </c>
      <c r="AH208">
        <f t="shared" si="244"/>
        <v>0</v>
      </c>
      <c r="AI208">
        <f t="shared" si="245"/>
        <v>0</v>
      </c>
      <c r="AJ208">
        <f t="shared" si="246"/>
        <v>0</v>
      </c>
      <c r="AK208">
        <f t="shared" si="247"/>
        <v>0</v>
      </c>
      <c r="AL208">
        <f t="shared" si="248"/>
        <v>0</v>
      </c>
      <c r="AM208">
        <f t="shared" si="249"/>
        <v>0</v>
      </c>
      <c r="AN208">
        <f t="shared" si="250"/>
        <v>0</v>
      </c>
      <c r="AO208">
        <f t="shared" si="251"/>
        <v>0</v>
      </c>
      <c r="AP208">
        <f t="shared" si="252"/>
        <v>0</v>
      </c>
      <c r="AQ208">
        <f t="shared" si="253"/>
        <v>0</v>
      </c>
      <c r="AR208">
        <f t="shared" si="254"/>
        <v>0</v>
      </c>
      <c r="AS208">
        <f t="shared" si="255"/>
        <v>0</v>
      </c>
      <c r="AT208">
        <f t="shared" si="256"/>
        <v>0</v>
      </c>
      <c r="AU208">
        <f t="shared" si="257"/>
        <v>0</v>
      </c>
      <c r="AV208">
        <f t="shared" si="258"/>
        <v>0</v>
      </c>
      <c r="AW208">
        <f t="shared" si="259"/>
        <v>0</v>
      </c>
      <c r="AX208">
        <f t="shared" si="260"/>
        <v>0</v>
      </c>
      <c r="AY208">
        <f t="shared" si="289"/>
        <v>0</v>
      </c>
      <c r="BA208">
        <f t="shared" si="290"/>
        <v>7</v>
      </c>
      <c r="BB208">
        <f t="shared" si="261"/>
        <v>7</v>
      </c>
      <c r="BC208">
        <f t="shared" si="262"/>
        <v>7</v>
      </c>
      <c r="BD208">
        <f t="shared" si="263"/>
        <v>7</v>
      </c>
      <c r="BE208">
        <f t="shared" si="264"/>
        <v>7</v>
      </c>
      <c r="BF208">
        <f t="shared" si="265"/>
        <v>7</v>
      </c>
      <c r="BG208">
        <f t="shared" si="266"/>
        <v>7</v>
      </c>
      <c r="BH208">
        <f t="shared" si="267"/>
        <v>7</v>
      </c>
      <c r="BI208">
        <f t="shared" si="268"/>
        <v>7</v>
      </c>
      <c r="BJ208">
        <f t="shared" si="269"/>
        <v>7</v>
      </c>
      <c r="BK208">
        <f t="shared" si="270"/>
        <v>7</v>
      </c>
      <c r="BL208">
        <f t="shared" si="271"/>
        <v>7</v>
      </c>
      <c r="BM208">
        <f t="shared" si="272"/>
        <v>7</v>
      </c>
      <c r="BN208">
        <f t="shared" si="273"/>
        <v>7</v>
      </c>
      <c r="BO208">
        <f t="shared" si="274"/>
        <v>7</v>
      </c>
      <c r="BP208">
        <f t="shared" si="275"/>
        <v>7</v>
      </c>
      <c r="BQ208">
        <f t="shared" si="276"/>
        <v>7</v>
      </c>
      <c r="BR208">
        <f t="shared" si="277"/>
        <v>7</v>
      </c>
      <c r="BS208">
        <f t="shared" si="278"/>
        <v>7</v>
      </c>
      <c r="BT208">
        <f t="shared" si="279"/>
        <v>7</v>
      </c>
      <c r="BU208">
        <f t="shared" si="280"/>
        <v>7</v>
      </c>
      <c r="BV208">
        <f t="shared" si="281"/>
        <v>7</v>
      </c>
      <c r="BW208">
        <f t="shared" si="282"/>
        <v>7</v>
      </c>
      <c r="BX208">
        <f t="shared" si="283"/>
        <v>7</v>
      </c>
      <c r="BZ208" s="52">
        <f t="shared" si="293"/>
        <v>0</v>
      </c>
      <c r="CA208" s="52">
        <f t="shared" si="302"/>
        <v>0</v>
      </c>
      <c r="CB208" s="52">
        <f t="shared" si="302"/>
        <v>0</v>
      </c>
      <c r="CC208" s="52">
        <f t="shared" si="302"/>
        <v>0</v>
      </c>
      <c r="CD208" s="52">
        <f t="shared" si="302"/>
        <v>0</v>
      </c>
      <c r="CE208" s="52">
        <f t="shared" si="302"/>
        <v>0</v>
      </c>
      <c r="CF208" s="52">
        <f t="shared" si="302"/>
        <v>0</v>
      </c>
      <c r="CG208" s="52">
        <f t="shared" si="302"/>
        <v>0</v>
      </c>
      <c r="CH208" s="52">
        <f t="shared" si="302"/>
        <v>0</v>
      </c>
      <c r="CI208" s="52">
        <f t="shared" si="302"/>
        <v>0</v>
      </c>
      <c r="CJ208" s="52">
        <f t="shared" si="302"/>
        <v>0</v>
      </c>
      <c r="CK208" s="52">
        <f t="shared" si="302"/>
        <v>0</v>
      </c>
      <c r="CL208" s="52">
        <f t="shared" si="302"/>
        <v>0</v>
      </c>
      <c r="CM208" s="52">
        <f t="shared" si="302"/>
        <v>0</v>
      </c>
      <c r="CN208" s="52">
        <f t="shared" si="302"/>
        <v>0</v>
      </c>
      <c r="CO208" s="52">
        <f t="shared" si="302"/>
        <v>0</v>
      </c>
      <c r="CP208" s="52">
        <f t="shared" si="302"/>
        <v>0</v>
      </c>
      <c r="CQ208" s="52">
        <f t="shared" si="294"/>
        <v>0</v>
      </c>
      <c r="CR208" s="52">
        <f t="shared" si="295"/>
        <v>0</v>
      </c>
      <c r="CS208" s="52">
        <f t="shared" si="296"/>
        <v>0</v>
      </c>
      <c r="CT208" s="52">
        <f t="shared" si="297"/>
        <v>0</v>
      </c>
      <c r="CU208" s="52">
        <f t="shared" si="298"/>
        <v>0</v>
      </c>
      <c r="CV208" s="52">
        <f t="shared" si="299"/>
        <v>0</v>
      </c>
      <c r="CW208" s="52">
        <f t="shared" si="300"/>
        <v>0</v>
      </c>
    </row>
    <row r="209" spans="1:102">
      <c r="A209" s="60">
        <v>45131</v>
      </c>
      <c r="B209" s="426">
        <v>54188.6</v>
      </c>
      <c r="C209">
        <v>54210.5</v>
      </c>
      <c r="D209">
        <v>53994.8</v>
      </c>
      <c r="E209">
        <v>54172.3</v>
      </c>
      <c r="F209">
        <v>54245.599999999999</v>
      </c>
      <c r="G209">
        <v>54254.3</v>
      </c>
      <c r="H209">
        <v>54106</v>
      </c>
      <c r="I209">
        <v>54284</v>
      </c>
      <c r="J209">
        <v>54161.9</v>
      </c>
      <c r="K209">
        <v>54143.6</v>
      </c>
      <c r="L209">
        <v>53359.7</v>
      </c>
      <c r="M209">
        <v>52018.9</v>
      </c>
      <c r="N209">
        <v>52096.800000000003</v>
      </c>
      <c r="O209">
        <v>52107.3</v>
      </c>
      <c r="P209">
        <v>52629.9</v>
      </c>
      <c r="Q209">
        <v>53618.8</v>
      </c>
      <c r="R209">
        <v>53476.5</v>
      </c>
      <c r="S209">
        <v>53523.4</v>
      </c>
      <c r="T209">
        <v>53669.1</v>
      </c>
      <c r="U209">
        <v>53223.3</v>
      </c>
      <c r="V209">
        <v>53682.5</v>
      </c>
      <c r="W209">
        <v>53898.7</v>
      </c>
      <c r="X209">
        <v>53679.199999999997</v>
      </c>
      <c r="Y209">
        <v>53726.8</v>
      </c>
      <c r="Z209" s="77">
        <v>1286472.5</v>
      </c>
      <c r="AB209" s="52">
        <f t="shared" si="288"/>
        <v>0</v>
      </c>
      <c r="AC209" s="52">
        <f t="shared" si="239"/>
        <v>0</v>
      </c>
      <c r="AD209" s="52">
        <f t="shared" si="240"/>
        <v>0</v>
      </c>
      <c r="AE209" s="52">
        <f t="shared" si="241"/>
        <v>0</v>
      </c>
      <c r="AF209" s="52">
        <f t="shared" si="242"/>
        <v>0</v>
      </c>
      <c r="AG209" s="52">
        <f t="shared" si="243"/>
        <v>0</v>
      </c>
      <c r="AH209" s="52">
        <f t="shared" si="244"/>
        <v>0</v>
      </c>
      <c r="AI209" s="52">
        <f t="shared" si="245"/>
        <v>0</v>
      </c>
      <c r="AJ209" s="52">
        <f t="shared" si="246"/>
        <v>0</v>
      </c>
      <c r="AK209" s="52">
        <f t="shared" si="247"/>
        <v>0</v>
      </c>
      <c r="AL209" s="52">
        <f t="shared" si="248"/>
        <v>0</v>
      </c>
      <c r="AM209" s="52">
        <f t="shared" si="249"/>
        <v>0</v>
      </c>
      <c r="AN209" s="52">
        <f t="shared" si="250"/>
        <v>0</v>
      </c>
      <c r="AO209" s="52">
        <f t="shared" si="251"/>
        <v>0</v>
      </c>
      <c r="AP209" s="52">
        <f t="shared" si="252"/>
        <v>0</v>
      </c>
      <c r="AQ209" s="52">
        <f t="shared" si="253"/>
        <v>0</v>
      </c>
      <c r="AR209" s="52">
        <f t="shared" si="254"/>
        <v>0</v>
      </c>
      <c r="AS209" s="52">
        <f t="shared" si="255"/>
        <v>0</v>
      </c>
      <c r="AT209" s="52">
        <f t="shared" si="256"/>
        <v>0</v>
      </c>
      <c r="AU209" s="52">
        <f t="shared" si="257"/>
        <v>0</v>
      </c>
      <c r="AV209" s="52">
        <f t="shared" si="258"/>
        <v>0</v>
      </c>
      <c r="AW209" s="52">
        <f t="shared" si="259"/>
        <v>0</v>
      </c>
      <c r="AX209" s="52">
        <f t="shared" si="260"/>
        <v>0</v>
      </c>
      <c r="AY209" s="52">
        <f t="shared" si="289"/>
        <v>0</v>
      </c>
      <c r="BA209" s="52">
        <f t="shared" si="290"/>
        <v>7</v>
      </c>
      <c r="BB209" s="52">
        <f t="shared" si="261"/>
        <v>7</v>
      </c>
      <c r="BC209" s="52">
        <f t="shared" si="262"/>
        <v>7</v>
      </c>
      <c r="BD209" s="52">
        <f t="shared" si="263"/>
        <v>7</v>
      </c>
      <c r="BE209" s="52">
        <f t="shared" si="264"/>
        <v>7</v>
      </c>
      <c r="BF209" s="52">
        <f t="shared" si="265"/>
        <v>7</v>
      </c>
      <c r="BG209" s="52">
        <f t="shared" si="266"/>
        <v>7</v>
      </c>
      <c r="BH209" s="52">
        <f t="shared" si="267"/>
        <v>7</v>
      </c>
      <c r="BI209" s="52">
        <f t="shared" si="268"/>
        <v>7</v>
      </c>
      <c r="BJ209" s="52">
        <f t="shared" si="269"/>
        <v>7</v>
      </c>
      <c r="BK209" s="52">
        <f t="shared" si="270"/>
        <v>7</v>
      </c>
      <c r="BL209" s="52">
        <f t="shared" si="271"/>
        <v>6</v>
      </c>
      <c r="BM209" s="52">
        <f t="shared" si="272"/>
        <v>6</v>
      </c>
      <c r="BN209" s="52">
        <f t="shared" si="273"/>
        <v>6</v>
      </c>
      <c r="BO209" s="52">
        <f t="shared" si="274"/>
        <v>6</v>
      </c>
      <c r="BP209" s="52">
        <f t="shared" si="275"/>
        <v>7</v>
      </c>
      <c r="BQ209" s="52">
        <f t="shared" si="276"/>
        <v>7</v>
      </c>
      <c r="BR209" s="52">
        <f t="shared" si="277"/>
        <v>7</v>
      </c>
      <c r="BS209" s="52">
        <f t="shared" si="278"/>
        <v>7</v>
      </c>
      <c r="BT209" s="52">
        <f t="shared" si="279"/>
        <v>7</v>
      </c>
      <c r="BU209" s="52">
        <f t="shared" si="280"/>
        <v>7</v>
      </c>
      <c r="BV209" s="52">
        <f t="shared" si="281"/>
        <v>7</v>
      </c>
      <c r="BW209" s="52">
        <f t="shared" si="282"/>
        <v>7</v>
      </c>
      <c r="BX209" s="52">
        <f t="shared" si="283"/>
        <v>7</v>
      </c>
      <c r="BZ209">
        <f t="shared" si="293"/>
        <v>0</v>
      </c>
      <c r="CA209">
        <f t="shared" si="302"/>
        <v>0</v>
      </c>
      <c r="CB209">
        <f t="shared" si="302"/>
        <v>0</v>
      </c>
      <c r="CC209">
        <f t="shared" si="302"/>
        <v>0</v>
      </c>
      <c r="CD209">
        <f t="shared" si="302"/>
        <v>0</v>
      </c>
      <c r="CE209">
        <f t="shared" si="302"/>
        <v>0</v>
      </c>
      <c r="CF209">
        <f t="shared" si="302"/>
        <v>0</v>
      </c>
      <c r="CG209">
        <f t="shared" si="302"/>
        <v>0</v>
      </c>
      <c r="CH209">
        <f t="shared" si="302"/>
        <v>0</v>
      </c>
      <c r="CI209">
        <f t="shared" si="302"/>
        <v>0</v>
      </c>
      <c r="CJ209">
        <f t="shared" si="302"/>
        <v>0</v>
      </c>
      <c r="CK209">
        <f t="shared" si="302"/>
        <v>-1</v>
      </c>
      <c r="CL209">
        <f t="shared" si="302"/>
        <v>0</v>
      </c>
      <c r="CM209">
        <f t="shared" si="302"/>
        <v>0</v>
      </c>
      <c r="CN209">
        <f t="shared" si="302"/>
        <v>0</v>
      </c>
      <c r="CO209">
        <f t="shared" si="302"/>
        <v>1</v>
      </c>
      <c r="CP209">
        <f t="shared" si="302"/>
        <v>0</v>
      </c>
      <c r="CQ209">
        <f t="shared" si="294"/>
        <v>0</v>
      </c>
      <c r="CR209">
        <f t="shared" si="295"/>
        <v>0</v>
      </c>
      <c r="CS209">
        <f t="shared" si="296"/>
        <v>0</v>
      </c>
      <c r="CT209">
        <f t="shared" si="297"/>
        <v>0</v>
      </c>
      <c r="CU209">
        <f t="shared" si="298"/>
        <v>0</v>
      </c>
      <c r="CV209">
        <f t="shared" si="299"/>
        <v>0</v>
      </c>
      <c r="CW209">
        <f t="shared" si="300"/>
        <v>0</v>
      </c>
    </row>
    <row r="210" spans="1:102">
      <c r="A210" s="60">
        <v>45132</v>
      </c>
      <c r="B210" s="426">
        <v>53994.9</v>
      </c>
      <c r="C210">
        <v>53833.4</v>
      </c>
      <c r="D210">
        <v>54049.4</v>
      </c>
      <c r="E210">
        <v>53978.400000000001</v>
      </c>
      <c r="F210">
        <v>54040.6</v>
      </c>
      <c r="G210">
        <v>53935.8</v>
      </c>
      <c r="H210">
        <v>53933.7</v>
      </c>
      <c r="I210">
        <v>53851.1</v>
      </c>
      <c r="J210">
        <v>53697.1</v>
      </c>
      <c r="K210">
        <v>53736.7</v>
      </c>
      <c r="L210">
        <v>52468.3</v>
      </c>
      <c r="M210">
        <v>51922.3</v>
      </c>
      <c r="N210">
        <v>52401.1</v>
      </c>
      <c r="O210">
        <v>52372.9</v>
      </c>
      <c r="P210">
        <v>52368.9</v>
      </c>
      <c r="Q210">
        <v>52406.400000000001</v>
      </c>
      <c r="R210">
        <v>52290.3</v>
      </c>
      <c r="S210">
        <v>52300.5</v>
      </c>
      <c r="T210">
        <v>52412.6</v>
      </c>
      <c r="U210">
        <v>53563.5</v>
      </c>
      <c r="V210">
        <v>53272.4</v>
      </c>
      <c r="W210">
        <v>54023.1</v>
      </c>
      <c r="X210">
        <v>54096</v>
      </c>
      <c r="Y210">
        <v>53626.8</v>
      </c>
      <c r="Z210" s="77">
        <v>1278576.2000000002</v>
      </c>
      <c r="AB210">
        <f t="shared" si="288"/>
        <v>0</v>
      </c>
      <c r="AC210">
        <f t="shared" si="239"/>
        <v>0</v>
      </c>
      <c r="AD210">
        <f t="shared" si="240"/>
        <v>0</v>
      </c>
      <c r="AE210">
        <f t="shared" si="241"/>
        <v>0</v>
      </c>
      <c r="AF210">
        <f t="shared" si="242"/>
        <v>0</v>
      </c>
      <c r="AG210">
        <f t="shared" si="243"/>
        <v>0</v>
      </c>
      <c r="AH210">
        <f t="shared" si="244"/>
        <v>0</v>
      </c>
      <c r="AI210">
        <f t="shared" si="245"/>
        <v>0</v>
      </c>
      <c r="AJ210">
        <f t="shared" si="246"/>
        <v>0</v>
      </c>
      <c r="AK210">
        <f t="shared" si="247"/>
        <v>0</v>
      </c>
      <c r="AL210">
        <f t="shared" si="248"/>
        <v>0</v>
      </c>
      <c r="AM210">
        <f t="shared" si="249"/>
        <v>0</v>
      </c>
      <c r="AN210">
        <f t="shared" si="250"/>
        <v>0</v>
      </c>
      <c r="AO210">
        <f t="shared" si="251"/>
        <v>0</v>
      </c>
      <c r="AP210">
        <f t="shared" si="252"/>
        <v>0</v>
      </c>
      <c r="AQ210">
        <f t="shared" si="253"/>
        <v>0</v>
      </c>
      <c r="AR210">
        <f t="shared" si="254"/>
        <v>0</v>
      </c>
      <c r="AS210">
        <f t="shared" si="255"/>
        <v>0</v>
      </c>
      <c r="AT210">
        <f t="shared" si="256"/>
        <v>0</v>
      </c>
      <c r="AU210">
        <f t="shared" si="257"/>
        <v>0</v>
      </c>
      <c r="AV210">
        <f t="shared" si="258"/>
        <v>0</v>
      </c>
      <c r="AW210">
        <f t="shared" si="259"/>
        <v>0</v>
      </c>
      <c r="AX210">
        <f t="shared" si="260"/>
        <v>0</v>
      </c>
      <c r="AY210">
        <f t="shared" si="289"/>
        <v>0</v>
      </c>
      <c r="BA210">
        <f t="shared" si="290"/>
        <v>7</v>
      </c>
      <c r="BB210">
        <f t="shared" si="261"/>
        <v>7</v>
      </c>
      <c r="BC210">
        <f t="shared" si="262"/>
        <v>7</v>
      </c>
      <c r="BD210">
        <f t="shared" si="263"/>
        <v>7</v>
      </c>
      <c r="BE210">
        <f t="shared" si="264"/>
        <v>7</v>
      </c>
      <c r="BF210">
        <f t="shared" si="265"/>
        <v>7</v>
      </c>
      <c r="BG210">
        <f t="shared" si="266"/>
        <v>7</v>
      </c>
      <c r="BH210">
        <f t="shared" si="267"/>
        <v>7</v>
      </c>
      <c r="BI210">
        <f t="shared" si="268"/>
        <v>7</v>
      </c>
      <c r="BJ210">
        <f t="shared" si="269"/>
        <v>7</v>
      </c>
      <c r="BK210">
        <f t="shared" si="270"/>
        <v>6</v>
      </c>
      <c r="BL210">
        <f t="shared" si="271"/>
        <v>6</v>
      </c>
      <c r="BM210">
        <f t="shared" si="272"/>
        <v>6</v>
      </c>
      <c r="BN210">
        <f t="shared" si="273"/>
        <v>6</v>
      </c>
      <c r="BO210">
        <f t="shared" si="274"/>
        <v>6</v>
      </c>
      <c r="BP210">
        <f t="shared" si="275"/>
        <v>6</v>
      </c>
      <c r="BQ210">
        <f t="shared" si="276"/>
        <v>6</v>
      </c>
      <c r="BR210">
        <f t="shared" si="277"/>
        <v>6</v>
      </c>
      <c r="BS210">
        <f t="shared" si="278"/>
        <v>6</v>
      </c>
      <c r="BT210">
        <f t="shared" si="279"/>
        <v>7</v>
      </c>
      <c r="BU210">
        <f t="shared" si="280"/>
        <v>7</v>
      </c>
      <c r="BV210">
        <f t="shared" si="281"/>
        <v>7</v>
      </c>
      <c r="BW210">
        <f t="shared" si="282"/>
        <v>7</v>
      </c>
      <c r="BX210">
        <f t="shared" si="283"/>
        <v>7</v>
      </c>
      <c r="BZ210" s="52">
        <f t="shared" si="293"/>
        <v>0</v>
      </c>
      <c r="CA210" s="52">
        <f t="shared" si="302"/>
        <v>0</v>
      </c>
      <c r="CB210" s="52">
        <f t="shared" si="302"/>
        <v>0</v>
      </c>
      <c r="CC210" s="52">
        <f t="shared" si="302"/>
        <v>0</v>
      </c>
      <c r="CD210" s="52">
        <f t="shared" si="302"/>
        <v>0</v>
      </c>
      <c r="CE210" s="52">
        <f t="shared" si="302"/>
        <v>0</v>
      </c>
      <c r="CF210" s="52">
        <f t="shared" si="302"/>
        <v>0</v>
      </c>
      <c r="CG210" s="52">
        <f t="shared" si="302"/>
        <v>0</v>
      </c>
      <c r="CH210" s="52">
        <f t="shared" si="302"/>
        <v>0</v>
      </c>
      <c r="CI210" s="52">
        <f t="shared" si="302"/>
        <v>0</v>
      </c>
      <c r="CJ210" s="52">
        <f t="shared" si="302"/>
        <v>-1</v>
      </c>
      <c r="CK210" s="52">
        <f t="shared" si="302"/>
        <v>0</v>
      </c>
      <c r="CL210" s="52">
        <f t="shared" si="302"/>
        <v>0</v>
      </c>
      <c r="CM210" s="52">
        <f t="shared" si="302"/>
        <v>0</v>
      </c>
      <c r="CN210" s="52">
        <f t="shared" si="302"/>
        <v>0</v>
      </c>
      <c r="CO210" s="52">
        <f t="shared" si="302"/>
        <v>0</v>
      </c>
      <c r="CP210" s="52">
        <f t="shared" si="302"/>
        <v>0</v>
      </c>
      <c r="CQ210" s="52">
        <f t="shared" si="294"/>
        <v>0</v>
      </c>
      <c r="CR210" s="52">
        <f t="shared" si="295"/>
        <v>0</v>
      </c>
      <c r="CS210" s="52">
        <f t="shared" si="296"/>
        <v>1</v>
      </c>
      <c r="CT210" s="52">
        <f t="shared" si="297"/>
        <v>0</v>
      </c>
      <c r="CU210" s="52">
        <f t="shared" si="298"/>
        <v>0</v>
      </c>
      <c r="CV210" s="52">
        <f t="shared" si="299"/>
        <v>0</v>
      </c>
      <c r="CW210" s="52">
        <f t="shared" si="300"/>
        <v>0</v>
      </c>
    </row>
    <row r="211" spans="1:102">
      <c r="A211" s="60">
        <v>45133</v>
      </c>
      <c r="B211" s="426">
        <v>46035.9</v>
      </c>
      <c r="C211">
        <v>44972.3</v>
      </c>
      <c r="D211">
        <v>45065.3</v>
      </c>
      <c r="E211">
        <v>44956.800000000003</v>
      </c>
      <c r="F211">
        <v>45215.9</v>
      </c>
      <c r="G211">
        <v>45014.8</v>
      </c>
      <c r="H211">
        <v>45344.7</v>
      </c>
      <c r="I211">
        <v>45380.2</v>
      </c>
      <c r="J211">
        <v>45259</v>
      </c>
      <c r="K211">
        <v>45325.7</v>
      </c>
      <c r="L211">
        <v>44166.3</v>
      </c>
      <c r="M211">
        <v>44317.3</v>
      </c>
      <c r="N211">
        <v>44753.9</v>
      </c>
      <c r="O211">
        <v>44751.7</v>
      </c>
      <c r="P211">
        <v>44757.5</v>
      </c>
      <c r="Q211">
        <v>44847.3</v>
      </c>
      <c r="R211">
        <v>44710.6</v>
      </c>
      <c r="S211">
        <v>45153.8</v>
      </c>
      <c r="T211">
        <v>44589.599999999999</v>
      </c>
      <c r="U211">
        <v>44462.6</v>
      </c>
      <c r="V211">
        <v>44620.800000000003</v>
      </c>
      <c r="W211">
        <v>44641.1</v>
      </c>
      <c r="X211">
        <v>44653.8</v>
      </c>
      <c r="Y211">
        <v>45405.7</v>
      </c>
      <c r="Z211" s="77">
        <v>1078402.6000000001</v>
      </c>
      <c r="AB211" s="52">
        <f t="shared" si="288"/>
        <v>0</v>
      </c>
      <c r="AC211" s="52">
        <f t="shared" si="239"/>
        <v>0</v>
      </c>
      <c r="AD211" s="52">
        <f t="shared" si="240"/>
        <v>0</v>
      </c>
      <c r="AE211" s="52">
        <f t="shared" si="241"/>
        <v>0</v>
      </c>
      <c r="AF211" s="52">
        <f t="shared" si="242"/>
        <v>0</v>
      </c>
      <c r="AG211" s="52">
        <f t="shared" si="243"/>
        <v>0</v>
      </c>
      <c r="AH211" s="52">
        <f t="shared" si="244"/>
        <v>0</v>
      </c>
      <c r="AI211" s="52">
        <f t="shared" si="245"/>
        <v>0</v>
      </c>
      <c r="AJ211" s="52">
        <f t="shared" si="246"/>
        <v>0</v>
      </c>
      <c r="AK211" s="52">
        <f t="shared" si="247"/>
        <v>0</v>
      </c>
      <c r="AL211" s="52">
        <f t="shared" si="248"/>
        <v>0</v>
      </c>
      <c r="AM211" s="52">
        <f t="shared" si="249"/>
        <v>0</v>
      </c>
      <c r="AN211" s="52">
        <f t="shared" si="250"/>
        <v>0</v>
      </c>
      <c r="AO211" s="52">
        <f t="shared" si="251"/>
        <v>0</v>
      </c>
      <c r="AP211" s="52">
        <f t="shared" si="252"/>
        <v>0</v>
      </c>
      <c r="AQ211" s="52">
        <f t="shared" si="253"/>
        <v>0</v>
      </c>
      <c r="AR211" s="52">
        <f t="shared" si="254"/>
        <v>0</v>
      </c>
      <c r="AS211" s="52">
        <f t="shared" si="255"/>
        <v>0</v>
      </c>
      <c r="AT211" s="52">
        <f t="shared" si="256"/>
        <v>0</v>
      </c>
      <c r="AU211" s="52">
        <f t="shared" si="257"/>
        <v>0</v>
      </c>
      <c r="AV211" s="52">
        <f t="shared" si="258"/>
        <v>0</v>
      </c>
      <c r="AW211" s="52">
        <f t="shared" si="259"/>
        <v>0</v>
      </c>
      <c r="AX211" s="52">
        <f t="shared" si="260"/>
        <v>0</v>
      </c>
      <c r="AY211" s="52">
        <f t="shared" si="289"/>
        <v>0</v>
      </c>
      <c r="BA211" s="52">
        <f t="shared" si="290"/>
        <v>6</v>
      </c>
      <c r="BB211" s="52">
        <f t="shared" si="261"/>
        <v>6</v>
      </c>
      <c r="BC211" s="52">
        <f t="shared" si="262"/>
        <v>6</v>
      </c>
      <c r="BD211" s="52">
        <f t="shared" si="263"/>
        <v>6</v>
      </c>
      <c r="BE211" s="52">
        <f t="shared" si="264"/>
        <v>6</v>
      </c>
      <c r="BF211" s="52">
        <f t="shared" si="265"/>
        <v>6</v>
      </c>
      <c r="BG211" s="52">
        <f t="shared" si="266"/>
        <v>6</v>
      </c>
      <c r="BH211" s="52">
        <f t="shared" si="267"/>
        <v>6</v>
      </c>
      <c r="BI211" s="52">
        <f t="shared" si="268"/>
        <v>6</v>
      </c>
      <c r="BJ211" s="52">
        <f t="shared" si="269"/>
        <v>6</v>
      </c>
      <c r="BK211" s="52">
        <f t="shared" si="270"/>
        <v>6</v>
      </c>
      <c r="BL211" s="52">
        <f t="shared" si="271"/>
        <v>6</v>
      </c>
      <c r="BM211" s="52">
        <f t="shared" si="272"/>
        <v>6</v>
      </c>
      <c r="BN211" s="52">
        <f t="shared" si="273"/>
        <v>6</v>
      </c>
      <c r="BO211" s="52">
        <f t="shared" si="274"/>
        <v>6</v>
      </c>
      <c r="BP211" s="52">
        <f t="shared" si="275"/>
        <v>6</v>
      </c>
      <c r="BQ211" s="52">
        <f t="shared" si="276"/>
        <v>6</v>
      </c>
      <c r="BR211" s="52">
        <f t="shared" si="277"/>
        <v>6</v>
      </c>
      <c r="BS211" s="52">
        <f t="shared" si="278"/>
        <v>6</v>
      </c>
      <c r="BT211" s="52">
        <f t="shared" si="279"/>
        <v>6</v>
      </c>
      <c r="BU211" s="52">
        <f t="shared" si="280"/>
        <v>6</v>
      </c>
      <c r="BV211" s="52">
        <f t="shared" si="281"/>
        <v>6</v>
      </c>
      <c r="BW211" s="52">
        <f t="shared" si="282"/>
        <v>6</v>
      </c>
      <c r="BX211" s="52">
        <f t="shared" si="283"/>
        <v>6</v>
      </c>
      <c r="BZ211">
        <f t="shared" si="293"/>
        <v>-1</v>
      </c>
      <c r="CA211">
        <f t="shared" si="302"/>
        <v>0</v>
      </c>
      <c r="CB211">
        <f t="shared" si="302"/>
        <v>0</v>
      </c>
      <c r="CC211">
        <f t="shared" si="302"/>
        <v>0</v>
      </c>
      <c r="CD211">
        <f t="shared" si="302"/>
        <v>0</v>
      </c>
      <c r="CE211">
        <f t="shared" si="302"/>
        <v>0</v>
      </c>
      <c r="CF211">
        <f t="shared" si="302"/>
        <v>0</v>
      </c>
      <c r="CG211">
        <f t="shared" si="302"/>
        <v>0</v>
      </c>
      <c r="CH211">
        <f t="shared" si="302"/>
        <v>0</v>
      </c>
      <c r="CI211">
        <f t="shared" si="302"/>
        <v>0</v>
      </c>
      <c r="CJ211">
        <f t="shared" si="302"/>
        <v>0</v>
      </c>
      <c r="CK211">
        <f t="shared" si="302"/>
        <v>0</v>
      </c>
      <c r="CL211">
        <f t="shared" si="302"/>
        <v>0</v>
      </c>
      <c r="CM211">
        <f t="shared" si="302"/>
        <v>0</v>
      </c>
      <c r="CN211">
        <f t="shared" si="302"/>
        <v>0</v>
      </c>
      <c r="CO211">
        <f t="shared" si="302"/>
        <v>0</v>
      </c>
      <c r="CP211">
        <f t="shared" si="302"/>
        <v>0</v>
      </c>
      <c r="CQ211">
        <f t="shared" si="294"/>
        <v>0</v>
      </c>
      <c r="CR211">
        <f t="shared" si="295"/>
        <v>0</v>
      </c>
      <c r="CS211">
        <f t="shared" si="296"/>
        <v>0</v>
      </c>
      <c r="CT211">
        <f t="shared" si="297"/>
        <v>0</v>
      </c>
      <c r="CU211">
        <f t="shared" si="298"/>
        <v>0</v>
      </c>
      <c r="CV211">
        <f t="shared" si="299"/>
        <v>0</v>
      </c>
      <c r="CW211">
        <f t="shared" si="300"/>
        <v>0</v>
      </c>
    </row>
    <row r="212" spans="1:102">
      <c r="A212" s="60">
        <v>45134</v>
      </c>
      <c r="B212" s="426">
        <v>51784</v>
      </c>
      <c r="C212">
        <v>54014</v>
      </c>
      <c r="D212">
        <v>53753.2</v>
      </c>
      <c r="E212">
        <v>53922.400000000001</v>
      </c>
      <c r="F212">
        <v>54313.9</v>
      </c>
      <c r="G212">
        <v>54024.1</v>
      </c>
      <c r="H212">
        <v>54377.8</v>
      </c>
      <c r="I212">
        <v>54453.3</v>
      </c>
      <c r="J212">
        <v>54496.9</v>
      </c>
      <c r="K212">
        <v>54550.5</v>
      </c>
      <c r="L212">
        <v>53974.3</v>
      </c>
      <c r="M212">
        <v>54061.2</v>
      </c>
      <c r="N212">
        <v>54128.2</v>
      </c>
      <c r="O212">
        <v>54131.1</v>
      </c>
      <c r="P212">
        <v>54130.6</v>
      </c>
      <c r="Q212">
        <v>54099.7</v>
      </c>
      <c r="R212">
        <v>54043.6</v>
      </c>
      <c r="S212">
        <v>53985.3</v>
      </c>
      <c r="T212">
        <v>53825.8</v>
      </c>
      <c r="U212">
        <v>54062.8</v>
      </c>
      <c r="V212">
        <v>54057.599999999999</v>
      </c>
      <c r="W212">
        <v>53994.6</v>
      </c>
      <c r="X212">
        <v>54046.9</v>
      </c>
      <c r="Y212">
        <v>53918.5</v>
      </c>
      <c r="Z212" s="77">
        <v>1296150.3</v>
      </c>
      <c r="AB212">
        <f t="shared" si="288"/>
        <v>0</v>
      </c>
      <c r="AC212">
        <f t="shared" si="239"/>
        <v>0</v>
      </c>
      <c r="AD212">
        <f t="shared" si="240"/>
        <v>0</v>
      </c>
      <c r="AE212">
        <f t="shared" si="241"/>
        <v>0</v>
      </c>
      <c r="AF212">
        <f t="shared" si="242"/>
        <v>0</v>
      </c>
      <c r="AG212">
        <f t="shared" si="243"/>
        <v>0</v>
      </c>
      <c r="AH212">
        <f t="shared" si="244"/>
        <v>0</v>
      </c>
      <c r="AI212">
        <f t="shared" si="245"/>
        <v>0</v>
      </c>
      <c r="AJ212">
        <f t="shared" si="246"/>
        <v>0</v>
      </c>
      <c r="AK212">
        <f t="shared" si="247"/>
        <v>0</v>
      </c>
      <c r="AL212">
        <f t="shared" si="248"/>
        <v>0</v>
      </c>
      <c r="AM212">
        <f t="shared" si="249"/>
        <v>0</v>
      </c>
      <c r="AN212">
        <f t="shared" si="250"/>
        <v>0</v>
      </c>
      <c r="AO212">
        <f t="shared" si="251"/>
        <v>0</v>
      </c>
      <c r="AP212">
        <f t="shared" si="252"/>
        <v>0</v>
      </c>
      <c r="AQ212">
        <f t="shared" si="253"/>
        <v>0</v>
      </c>
      <c r="AR212">
        <f t="shared" si="254"/>
        <v>0</v>
      </c>
      <c r="AS212">
        <f t="shared" si="255"/>
        <v>0</v>
      </c>
      <c r="AT212">
        <f t="shared" si="256"/>
        <v>0</v>
      </c>
      <c r="AU212">
        <f t="shared" si="257"/>
        <v>0</v>
      </c>
      <c r="AV212">
        <f t="shared" si="258"/>
        <v>0</v>
      </c>
      <c r="AW212">
        <f t="shared" si="259"/>
        <v>0</v>
      </c>
      <c r="AX212">
        <f t="shared" si="260"/>
        <v>0</v>
      </c>
      <c r="AY212">
        <f t="shared" si="289"/>
        <v>0</v>
      </c>
      <c r="BA212">
        <f t="shared" si="290"/>
        <v>6</v>
      </c>
      <c r="BB212">
        <f t="shared" si="261"/>
        <v>7</v>
      </c>
      <c r="BC212">
        <f t="shared" si="262"/>
        <v>7</v>
      </c>
      <c r="BD212">
        <f t="shared" si="263"/>
        <v>7</v>
      </c>
      <c r="BE212">
        <f t="shared" si="264"/>
        <v>7</v>
      </c>
      <c r="BF212">
        <f t="shared" si="265"/>
        <v>7</v>
      </c>
      <c r="BG212">
        <f t="shared" si="266"/>
        <v>7</v>
      </c>
      <c r="BH212">
        <f t="shared" si="267"/>
        <v>7</v>
      </c>
      <c r="BI212">
        <f t="shared" si="268"/>
        <v>7</v>
      </c>
      <c r="BJ212">
        <f t="shared" si="269"/>
        <v>7</v>
      </c>
      <c r="BK212">
        <f t="shared" si="270"/>
        <v>7</v>
      </c>
      <c r="BL212">
        <f t="shared" si="271"/>
        <v>7</v>
      </c>
      <c r="BM212">
        <f t="shared" si="272"/>
        <v>7</v>
      </c>
      <c r="BN212">
        <f t="shared" si="273"/>
        <v>7</v>
      </c>
      <c r="BO212">
        <f t="shared" si="274"/>
        <v>7</v>
      </c>
      <c r="BP212">
        <f t="shared" si="275"/>
        <v>7</v>
      </c>
      <c r="BQ212">
        <f t="shared" si="276"/>
        <v>7</v>
      </c>
      <c r="BR212">
        <f t="shared" si="277"/>
        <v>7</v>
      </c>
      <c r="BS212">
        <f t="shared" si="278"/>
        <v>7</v>
      </c>
      <c r="BT212">
        <f t="shared" si="279"/>
        <v>7</v>
      </c>
      <c r="BU212">
        <f t="shared" si="280"/>
        <v>7</v>
      </c>
      <c r="BV212">
        <f t="shared" si="281"/>
        <v>7</v>
      </c>
      <c r="BW212">
        <f t="shared" si="282"/>
        <v>7</v>
      </c>
      <c r="BX212">
        <f t="shared" si="283"/>
        <v>7</v>
      </c>
      <c r="BZ212" s="52">
        <f t="shared" si="293"/>
        <v>0</v>
      </c>
      <c r="CA212" s="52">
        <f t="shared" si="302"/>
        <v>1</v>
      </c>
      <c r="CB212" s="52">
        <f t="shared" si="302"/>
        <v>0</v>
      </c>
      <c r="CC212" s="52">
        <f t="shared" si="302"/>
        <v>0</v>
      </c>
      <c r="CD212" s="52">
        <f t="shared" si="302"/>
        <v>0</v>
      </c>
      <c r="CE212" s="52">
        <f t="shared" si="302"/>
        <v>0</v>
      </c>
      <c r="CF212" s="52">
        <f t="shared" si="302"/>
        <v>0</v>
      </c>
      <c r="CG212" s="52">
        <f t="shared" si="302"/>
        <v>0</v>
      </c>
      <c r="CH212" s="52">
        <f t="shared" si="302"/>
        <v>0</v>
      </c>
      <c r="CI212" s="52">
        <f t="shared" si="302"/>
        <v>0</v>
      </c>
      <c r="CJ212" s="52">
        <f t="shared" si="302"/>
        <v>0</v>
      </c>
      <c r="CK212" s="52">
        <f t="shared" si="302"/>
        <v>0</v>
      </c>
      <c r="CL212" s="52">
        <f t="shared" si="302"/>
        <v>0</v>
      </c>
      <c r="CM212" s="52">
        <f t="shared" si="302"/>
        <v>0</v>
      </c>
      <c r="CN212" s="52">
        <f t="shared" si="302"/>
        <v>0</v>
      </c>
      <c r="CO212" s="52">
        <f t="shared" si="302"/>
        <v>0</v>
      </c>
      <c r="CP212" s="52">
        <f t="shared" si="302"/>
        <v>0</v>
      </c>
      <c r="CQ212" s="52">
        <f t="shared" si="294"/>
        <v>0</v>
      </c>
      <c r="CR212" s="52">
        <f t="shared" si="295"/>
        <v>0</v>
      </c>
      <c r="CS212" s="52">
        <f t="shared" si="296"/>
        <v>0</v>
      </c>
      <c r="CT212" s="52">
        <f t="shared" si="297"/>
        <v>0</v>
      </c>
      <c r="CU212" s="52">
        <f t="shared" si="298"/>
        <v>0</v>
      </c>
      <c r="CV212" s="52">
        <f t="shared" si="299"/>
        <v>0</v>
      </c>
      <c r="CW212" s="52">
        <f t="shared" si="300"/>
        <v>0</v>
      </c>
    </row>
    <row r="213" spans="1:102">
      <c r="A213" s="60">
        <v>45135</v>
      </c>
      <c r="B213" s="426">
        <v>53860.3</v>
      </c>
      <c r="C213">
        <v>53913.1</v>
      </c>
      <c r="D213">
        <v>53482.9</v>
      </c>
      <c r="E213">
        <v>53713.3</v>
      </c>
      <c r="F213">
        <v>53823.4</v>
      </c>
      <c r="G213">
        <v>53635.7</v>
      </c>
      <c r="H213">
        <v>53872.800000000003</v>
      </c>
      <c r="I213">
        <v>53807.8</v>
      </c>
      <c r="J213">
        <v>53762.400000000001</v>
      </c>
      <c r="K213">
        <v>53757.599999999999</v>
      </c>
      <c r="L213">
        <v>54140.1</v>
      </c>
      <c r="M213">
        <v>54082.3</v>
      </c>
      <c r="N213">
        <v>54088.6</v>
      </c>
      <c r="O213">
        <v>53651.3</v>
      </c>
      <c r="P213">
        <v>53808</v>
      </c>
      <c r="Q213">
        <v>54103.6</v>
      </c>
      <c r="R213">
        <v>54637.2</v>
      </c>
      <c r="S213">
        <v>54622.3</v>
      </c>
      <c r="T213">
        <v>54577.2</v>
      </c>
      <c r="U213">
        <v>54535.4</v>
      </c>
      <c r="V213">
        <v>54517.7</v>
      </c>
      <c r="W213">
        <v>54594.9</v>
      </c>
      <c r="X213">
        <v>54318.8</v>
      </c>
      <c r="Y213">
        <v>54049.1</v>
      </c>
      <c r="Z213" s="77">
        <v>1297355.8</v>
      </c>
      <c r="AB213" s="52">
        <f t="shared" si="288"/>
        <v>0</v>
      </c>
      <c r="AC213" s="52">
        <f t="shared" si="239"/>
        <v>0</v>
      </c>
      <c r="AD213" s="52">
        <f t="shared" si="240"/>
        <v>0</v>
      </c>
      <c r="AE213" s="52">
        <f t="shared" si="241"/>
        <v>0</v>
      </c>
      <c r="AF213" s="52">
        <f t="shared" si="242"/>
        <v>0</v>
      </c>
      <c r="AG213" s="52">
        <f t="shared" si="243"/>
        <v>0</v>
      </c>
      <c r="AH213" s="52">
        <f t="shared" si="244"/>
        <v>0</v>
      </c>
      <c r="AI213" s="52">
        <f t="shared" si="245"/>
        <v>0</v>
      </c>
      <c r="AJ213" s="52">
        <f t="shared" si="246"/>
        <v>0</v>
      </c>
      <c r="AK213" s="52">
        <f t="shared" si="247"/>
        <v>0</v>
      </c>
      <c r="AL213" s="52">
        <f t="shared" si="248"/>
        <v>0</v>
      </c>
      <c r="AM213" s="52">
        <f t="shared" si="249"/>
        <v>0</v>
      </c>
      <c r="AN213" s="52">
        <f t="shared" si="250"/>
        <v>0</v>
      </c>
      <c r="AO213" s="52">
        <f t="shared" si="251"/>
        <v>0</v>
      </c>
      <c r="AP213" s="52">
        <f t="shared" si="252"/>
        <v>0</v>
      </c>
      <c r="AQ213" s="52">
        <f t="shared" si="253"/>
        <v>0</v>
      </c>
      <c r="AR213" s="52">
        <f t="shared" si="254"/>
        <v>0</v>
      </c>
      <c r="AS213" s="52">
        <f t="shared" si="255"/>
        <v>0</v>
      </c>
      <c r="AT213" s="52">
        <f t="shared" si="256"/>
        <v>0</v>
      </c>
      <c r="AU213" s="52">
        <f t="shared" si="257"/>
        <v>0</v>
      </c>
      <c r="AV213" s="52">
        <f t="shared" si="258"/>
        <v>0</v>
      </c>
      <c r="AW213" s="52">
        <f t="shared" si="259"/>
        <v>0</v>
      </c>
      <c r="AX213" s="52">
        <f t="shared" si="260"/>
        <v>0</v>
      </c>
      <c r="AY213" s="52">
        <f t="shared" si="289"/>
        <v>0</v>
      </c>
      <c r="BA213" s="52">
        <f t="shared" si="290"/>
        <v>7</v>
      </c>
      <c r="BB213" s="52">
        <f t="shared" si="261"/>
        <v>7</v>
      </c>
      <c r="BC213" s="52">
        <f t="shared" si="262"/>
        <v>7</v>
      </c>
      <c r="BD213" s="52">
        <f t="shared" si="263"/>
        <v>7</v>
      </c>
      <c r="BE213" s="52">
        <f t="shared" si="264"/>
        <v>7</v>
      </c>
      <c r="BF213" s="52">
        <f t="shared" si="265"/>
        <v>7</v>
      </c>
      <c r="BG213" s="52">
        <f t="shared" si="266"/>
        <v>7</v>
      </c>
      <c r="BH213" s="52">
        <f t="shared" si="267"/>
        <v>7</v>
      </c>
      <c r="BI213" s="52">
        <f t="shared" si="268"/>
        <v>7</v>
      </c>
      <c r="BJ213" s="52">
        <f t="shared" si="269"/>
        <v>7</v>
      </c>
      <c r="BK213" s="52">
        <f t="shared" si="270"/>
        <v>7</v>
      </c>
      <c r="BL213" s="52">
        <f t="shared" si="271"/>
        <v>7</v>
      </c>
      <c r="BM213" s="52">
        <f t="shared" si="272"/>
        <v>7</v>
      </c>
      <c r="BN213" s="52">
        <f t="shared" si="273"/>
        <v>7</v>
      </c>
      <c r="BO213" s="52">
        <f t="shared" si="274"/>
        <v>7</v>
      </c>
      <c r="BP213" s="52">
        <f t="shared" si="275"/>
        <v>7</v>
      </c>
      <c r="BQ213" s="52">
        <f t="shared" si="276"/>
        <v>7</v>
      </c>
      <c r="BR213" s="52">
        <f t="shared" si="277"/>
        <v>7</v>
      </c>
      <c r="BS213" s="52">
        <f t="shared" si="278"/>
        <v>7</v>
      </c>
      <c r="BT213" s="52">
        <f t="shared" si="279"/>
        <v>7</v>
      </c>
      <c r="BU213" s="52">
        <f t="shared" si="280"/>
        <v>7</v>
      </c>
      <c r="BV213" s="52">
        <f t="shared" si="281"/>
        <v>7</v>
      </c>
      <c r="BW213" s="52">
        <f t="shared" si="282"/>
        <v>7</v>
      </c>
      <c r="BX213" s="52">
        <f t="shared" si="283"/>
        <v>7</v>
      </c>
      <c r="BZ213">
        <f t="shared" si="293"/>
        <v>0</v>
      </c>
      <c r="CA213">
        <f t="shared" si="302"/>
        <v>0</v>
      </c>
      <c r="CB213">
        <f t="shared" si="302"/>
        <v>0</v>
      </c>
      <c r="CC213">
        <f t="shared" si="302"/>
        <v>0</v>
      </c>
      <c r="CD213">
        <f t="shared" si="302"/>
        <v>0</v>
      </c>
      <c r="CE213">
        <f t="shared" si="302"/>
        <v>0</v>
      </c>
      <c r="CF213">
        <f t="shared" si="302"/>
        <v>0</v>
      </c>
      <c r="CG213">
        <f t="shared" si="302"/>
        <v>0</v>
      </c>
      <c r="CH213">
        <f t="shared" si="302"/>
        <v>0</v>
      </c>
      <c r="CI213">
        <f t="shared" si="302"/>
        <v>0</v>
      </c>
      <c r="CJ213">
        <f t="shared" si="302"/>
        <v>0</v>
      </c>
      <c r="CK213">
        <f t="shared" si="302"/>
        <v>0</v>
      </c>
      <c r="CL213">
        <f t="shared" si="302"/>
        <v>0</v>
      </c>
      <c r="CM213">
        <f t="shared" si="302"/>
        <v>0</v>
      </c>
      <c r="CN213">
        <f t="shared" si="302"/>
        <v>0</v>
      </c>
      <c r="CO213">
        <f t="shared" si="302"/>
        <v>0</v>
      </c>
      <c r="CP213">
        <f t="shared" si="302"/>
        <v>0</v>
      </c>
      <c r="CQ213">
        <f t="shared" si="294"/>
        <v>0</v>
      </c>
      <c r="CR213">
        <f t="shared" si="295"/>
        <v>0</v>
      </c>
      <c r="CS213">
        <f t="shared" si="296"/>
        <v>0</v>
      </c>
      <c r="CT213">
        <f t="shared" si="297"/>
        <v>0</v>
      </c>
      <c r="CU213">
        <f t="shared" si="298"/>
        <v>0</v>
      </c>
      <c r="CV213">
        <f t="shared" si="299"/>
        <v>0</v>
      </c>
      <c r="CW213">
        <f t="shared" si="300"/>
        <v>0</v>
      </c>
    </row>
    <row r="214" spans="1:102">
      <c r="A214" s="60">
        <v>45136</v>
      </c>
      <c r="B214" s="426">
        <v>54332.7</v>
      </c>
      <c r="C214">
        <v>54202.8</v>
      </c>
      <c r="D214">
        <v>54171.5</v>
      </c>
      <c r="E214">
        <v>54197.2</v>
      </c>
      <c r="F214">
        <v>54318.6</v>
      </c>
      <c r="G214">
        <v>54204.800000000003</v>
      </c>
      <c r="H214">
        <v>53637.1</v>
      </c>
      <c r="I214">
        <v>53711.8</v>
      </c>
      <c r="J214">
        <v>53574.1</v>
      </c>
      <c r="K214">
        <v>53650.5</v>
      </c>
      <c r="L214">
        <v>54282.2</v>
      </c>
      <c r="M214">
        <v>54415.199999999997</v>
      </c>
      <c r="N214">
        <v>54240</v>
      </c>
      <c r="O214">
        <v>53048.6</v>
      </c>
      <c r="P214">
        <v>54509.1</v>
      </c>
      <c r="Q214">
        <v>54254.1</v>
      </c>
      <c r="R214">
        <v>54408.6</v>
      </c>
      <c r="S214">
        <v>54336.6</v>
      </c>
      <c r="T214">
        <v>54465.1</v>
      </c>
      <c r="U214">
        <v>54329.599999999999</v>
      </c>
      <c r="V214">
        <v>54400.800000000003</v>
      </c>
      <c r="W214">
        <v>54111.6</v>
      </c>
      <c r="X214">
        <v>54269.1</v>
      </c>
      <c r="Y214">
        <v>54232.9</v>
      </c>
      <c r="Z214" s="77">
        <v>1299304.5999999999</v>
      </c>
      <c r="AB214">
        <f t="shared" si="288"/>
        <v>0</v>
      </c>
      <c r="AC214">
        <f t="shared" si="239"/>
        <v>0</v>
      </c>
      <c r="AD214">
        <f t="shared" si="240"/>
        <v>0</v>
      </c>
      <c r="AE214">
        <f t="shared" si="241"/>
        <v>0</v>
      </c>
      <c r="AF214">
        <f t="shared" si="242"/>
        <v>0</v>
      </c>
      <c r="AG214">
        <f t="shared" si="243"/>
        <v>0</v>
      </c>
      <c r="AH214">
        <f t="shared" si="244"/>
        <v>0</v>
      </c>
      <c r="AI214">
        <f t="shared" si="245"/>
        <v>0</v>
      </c>
      <c r="AJ214">
        <f t="shared" si="246"/>
        <v>0</v>
      </c>
      <c r="AK214">
        <f t="shared" si="247"/>
        <v>0</v>
      </c>
      <c r="AL214">
        <f t="shared" si="248"/>
        <v>0</v>
      </c>
      <c r="AM214">
        <f t="shared" si="249"/>
        <v>0</v>
      </c>
      <c r="AN214">
        <f t="shared" si="250"/>
        <v>0</v>
      </c>
      <c r="AO214">
        <f t="shared" si="251"/>
        <v>0</v>
      </c>
      <c r="AP214">
        <f t="shared" si="252"/>
        <v>0</v>
      </c>
      <c r="AQ214">
        <f t="shared" si="253"/>
        <v>0</v>
      </c>
      <c r="AR214">
        <f t="shared" si="254"/>
        <v>0</v>
      </c>
      <c r="AS214">
        <f t="shared" si="255"/>
        <v>0</v>
      </c>
      <c r="AT214">
        <f t="shared" si="256"/>
        <v>0</v>
      </c>
      <c r="AU214">
        <f t="shared" si="257"/>
        <v>0</v>
      </c>
      <c r="AV214">
        <f t="shared" si="258"/>
        <v>0</v>
      </c>
      <c r="AW214">
        <f t="shared" si="259"/>
        <v>0</v>
      </c>
      <c r="AX214">
        <f t="shared" si="260"/>
        <v>0</v>
      </c>
      <c r="AY214">
        <f t="shared" si="289"/>
        <v>0</v>
      </c>
      <c r="BA214">
        <f t="shared" si="290"/>
        <v>7</v>
      </c>
      <c r="BB214">
        <f t="shared" si="261"/>
        <v>7</v>
      </c>
      <c r="BC214">
        <f t="shared" si="262"/>
        <v>7</v>
      </c>
      <c r="BD214">
        <f t="shared" si="263"/>
        <v>7</v>
      </c>
      <c r="BE214">
        <f t="shared" si="264"/>
        <v>7</v>
      </c>
      <c r="BF214">
        <f t="shared" si="265"/>
        <v>7</v>
      </c>
      <c r="BG214">
        <f t="shared" si="266"/>
        <v>7</v>
      </c>
      <c r="BH214">
        <f t="shared" si="267"/>
        <v>7</v>
      </c>
      <c r="BI214">
        <f t="shared" si="268"/>
        <v>7</v>
      </c>
      <c r="BJ214">
        <f t="shared" si="269"/>
        <v>7</v>
      </c>
      <c r="BK214">
        <f t="shared" si="270"/>
        <v>7</v>
      </c>
      <c r="BL214">
        <f t="shared" si="271"/>
        <v>7</v>
      </c>
      <c r="BM214">
        <f t="shared" si="272"/>
        <v>7</v>
      </c>
      <c r="BN214">
        <f t="shared" si="273"/>
        <v>7</v>
      </c>
      <c r="BO214">
        <f t="shared" si="274"/>
        <v>7</v>
      </c>
      <c r="BP214">
        <f t="shared" si="275"/>
        <v>7</v>
      </c>
      <c r="BQ214">
        <f t="shared" si="276"/>
        <v>7</v>
      </c>
      <c r="BR214">
        <f t="shared" si="277"/>
        <v>7</v>
      </c>
      <c r="BS214">
        <f t="shared" si="278"/>
        <v>7</v>
      </c>
      <c r="BT214">
        <f t="shared" si="279"/>
        <v>7</v>
      </c>
      <c r="BU214">
        <f t="shared" si="280"/>
        <v>7</v>
      </c>
      <c r="BV214">
        <f t="shared" si="281"/>
        <v>7</v>
      </c>
      <c r="BW214">
        <f t="shared" si="282"/>
        <v>7</v>
      </c>
      <c r="BX214">
        <f t="shared" si="283"/>
        <v>7</v>
      </c>
      <c r="BZ214" s="52">
        <f t="shared" si="293"/>
        <v>0</v>
      </c>
      <c r="CA214" s="52">
        <f t="shared" si="302"/>
        <v>0</v>
      </c>
      <c r="CB214" s="52">
        <f t="shared" si="302"/>
        <v>0</v>
      </c>
      <c r="CC214" s="52">
        <f t="shared" si="302"/>
        <v>0</v>
      </c>
      <c r="CD214" s="52">
        <f t="shared" si="302"/>
        <v>0</v>
      </c>
      <c r="CE214" s="52">
        <f t="shared" si="302"/>
        <v>0</v>
      </c>
      <c r="CF214" s="52">
        <f t="shared" si="302"/>
        <v>0</v>
      </c>
      <c r="CG214" s="52">
        <f t="shared" si="302"/>
        <v>0</v>
      </c>
      <c r="CH214" s="52">
        <f t="shared" si="302"/>
        <v>0</v>
      </c>
      <c r="CI214" s="52">
        <f t="shared" si="302"/>
        <v>0</v>
      </c>
      <c r="CJ214" s="52">
        <f t="shared" si="302"/>
        <v>0</v>
      </c>
      <c r="CK214" s="52">
        <f t="shared" si="302"/>
        <v>0</v>
      </c>
      <c r="CL214" s="52">
        <f t="shared" si="302"/>
        <v>0</v>
      </c>
      <c r="CM214" s="52">
        <f t="shared" si="302"/>
        <v>0</v>
      </c>
      <c r="CN214" s="52">
        <f t="shared" si="302"/>
        <v>0</v>
      </c>
      <c r="CO214" s="52">
        <f t="shared" si="302"/>
        <v>0</v>
      </c>
      <c r="CP214" s="52">
        <f t="shared" si="302"/>
        <v>0</v>
      </c>
      <c r="CQ214" s="52">
        <f t="shared" si="294"/>
        <v>0</v>
      </c>
      <c r="CR214" s="52">
        <f t="shared" si="295"/>
        <v>0</v>
      </c>
      <c r="CS214" s="52">
        <f t="shared" si="296"/>
        <v>0</v>
      </c>
      <c r="CT214" s="52">
        <f t="shared" si="297"/>
        <v>0</v>
      </c>
      <c r="CU214" s="52">
        <f t="shared" si="298"/>
        <v>0</v>
      </c>
      <c r="CV214" s="52">
        <f t="shared" si="299"/>
        <v>0</v>
      </c>
      <c r="CW214" s="52">
        <f t="shared" si="300"/>
        <v>0</v>
      </c>
    </row>
    <row r="215" spans="1:102">
      <c r="A215" s="60">
        <v>45137</v>
      </c>
      <c r="B215" s="426">
        <v>53770.9</v>
      </c>
      <c r="C215">
        <v>53939.9</v>
      </c>
      <c r="D215">
        <v>54163.1</v>
      </c>
      <c r="E215">
        <v>54157.1</v>
      </c>
      <c r="F215">
        <v>54193</v>
      </c>
      <c r="G215">
        <v>54082.5</v>
      </c>
      <c r="H215">
        <v>54172.3</v>
      </c>
      <c r="I215">
        <v>54401.7</v>
      </c>
      <c r="J215">
        <v>54415.5</v>
      </c>
      <c r="K215">
        <v>54344.800000000003</v>
      </c>
      <c r="L215">
        <v>54538.2</v>
      </c>
      <c r="M215">
        <v>54445.4</v>
      </c>
      <c r="N215">
        <v>53678</v>
      </c>
      <c r="O215">
        <v>53390.6</v>
      </c>
      <c r="P215">
        <v>53426.6</v>
      </c>
      <c r="Q215">
        <v>52783.199999999997</v>
      </c>
      <c r="R215">
        <v>54304.7</v>
      </c>
      <c r="S215">
        <v>54364.3</v>
      </c>
      <c r="T215">
        <v>54754.7</v>
      </c>
      <c r="U215">
        <v>54386.6</v>
      </c>
      <c r="V215">
        <v>54332.4</v>
      </c>
      <c r="W215">
        <v>54385.4</v>
      </c>
      <c r="X215">
        <v>54353.1</v>
      </c>
      <c r="Y215">
        <v>54266.3</v>
      </c>
      <c r="Z215" s="77">
        <v>1299050.2999999998</v>
      </c>
      <c r="AB215" s="52">
        <f t="shared" ref="AB215:AK218" si="304">+IF(AND(B215=0,C215&lt;&gt;0),1,0)</f>
        <v>0</v>
      </c>
      <c r="AC215" s="52">
        <f t="shared" si="304"/>
        <v>0</v>
      </c>
      <c r="AD215" s="52">
        <f t="shared" si="304"/>
        <v>0</v>
      </c>
      <c r="AE215" s="52">
        <f t="shared" si="304"/>
        <v>0</v>
      </c>
      <c r="AF215" s="52">
        <f t="shared" si="304"/>
        <v>0</v>
      </c>
      <c r="AG215" s="52">
        <f t="shared" si="304"/>
        <v>0</v>
      </c>
      <c r="AH215" s="52">
        <f t="shared" si="304"/>
        <v>0</v>
      </c>
      <c r="AI215" s="52">
        <f t="shared" si="304"/>
        <v>0</v>
      </c>
      <c r="AJ215" s="52">
        <f t="shared" si="304"/>
        <v>0</v>
      </c>
      <c r="AK215" s="52">
        <f t="shared" si="304"/>
        <v>0</v>
      </c>
      <c r="AL215" s="52">
        <f t="shared" ref="AL215:AU218" si="305">+IF(AND(L215=0,M215&lt;&gt;0),1,0)</f>
        <v>0</v>
      </c>
      <c r="AM215" s="52">
        <f t="shared" si="305"/>
        <v>0</v>
      </c>
      <c r="AN215" s="52">
        <f t="shared" si="305"/>
        <v>0</v>
      </c>
      <c r="AO215" s="52">
        <f t="shared" si="305"/>
        <v>0</v>
      </c>
      <c r="AP215" s="52">
        <f t="shared" si="305"/>
        <v>0</v>
      </c>
      <c r="AQ215" s="52">
        <f t="shared" si="305"/>
        <v>0</v>
      </c>
      <c r="AR215" s="52">
        <f t="shared" si="305"/>
        <v>0</v>
      </c>
      <c r="AS215" s="52">
        <f t="shared" si="305"/>
        <v>0</v>
      </c>
      <c r="AT215" s="52">
        <f t="shared" si="305"/>
        <v>0</v>
      </c>
      <c r="AU215" s="52">
        <f t="shared" si="305"/>
        <v>0</v>
      </c>
      <c r="AV215" s="52">
        <f t="shared" ref="AV215:AX218" si="306">+IF(AND(V215=0,W215&lt;&gt;0),1,0)</f>
        <v>0</v>
      </c>
      <c r="AW215" s="52">
        <f t="shared" si="306"/>
        <v>0</v>
      </c>
      <c r="AX215" s="52">
        <f t="shared" si="306"/>
        <v>0</v>
      </c>
      <c r="AY215" s="52">
        <f t="shared" ref="AY215:AY220" si="307">+IF(AND(Y215=0,B216&lt;&gt;0),1,0)</f>
        <v>0</v>
      </c>
      <c r="BA215" s="52">
        <f t="shared" ref="BA215:BA246" si="308">+ROUNDUP(B215/8800,0)</f>
        <v>7</v>
      </c>
      <c r="BB215" s="52">
        <f t="shared" ref="BB215:BB246" si="309">+ROUNDUP(C215/8800,0)</f>
        <v>7</v>
      </c>
      <c r="BC215" s="52">
        <f t="shared" ref="BC215:BC246" si="310">+ROUNDUP(D215/8800,0)</f>
        <v>7</v>
      </c>
      <c r="BD215" s="52">
        <f t="shared" ref="BD215:BD246" si="311">+ROUNDUP(E215/8800,0)</f>
        <v>7</v>
      </c>
      <c r="BE215" s="52">
        <f t="shared" ref="BE215:BE246" si="312">+ROUNDUP(F215/8800,0)</f>
        <v>7</v>
      </c>
      <c r="BF215" s="52">
        <f t="shared" ref="BF215:BF246" si="313">+ROUNDUP(G215/8800,0)</f>
        <v>7</v>
      </c>
      <c r="BG215" s="52">
        <f t="shared" ref="BG215:BG246" si="314">+ROUNDUP(H215/8800,0)</f>
        <v>7</v>
      </c>
      <c r="BH215" s="52">
        <f t="shared" ref="BH215:BH246" si="315">+ROUNDUP(I215/8800,0)</f>
        <v>7</v>
      </c>
      <c r="BI215" s="52">
        <f t="shared" ref="BI215:BI246" si="316">+ROUNDUP(J215/8800,0)</f>
        <v>7</v>
      </c>
      <c r="BJ215" s="52">
        <f t="shared" ref="BJ215:BJ246" si="317">+ROUNDUP(K215/8800,0)</f>
        <v>7</v>
      </c>
      <c r="BK215" s="52">
        <f t="shared" ref="BK215:BK246" si="318">+ROUNDUP(L215/8800,0)</f>
        <v>7</v>
      </c>
      <c r="BL215" s="52">
        <f t="shared" ref="BL215:BL246" si="319">+ROUNDUP(M215/8800,0)</f>
        <v>7</v>
      </c>
      <c r="BM215" s="52">
        <f t="shared" ref="BM215:BM246" si="320">+ROUNDUP(N215/8800,0)</f>
        <v>7</v>
      </c>
      <c r="BN215" s="52">
        <f t="shared" ref="BN215:BN246" si="321">+ROUNDUP(O215/8800,0)</f>
        <v>7</v>
      </c>
      <c r="BO215" s="52">
        <f t="shared" ref="BO215:BO246" si="322">+ROUNDUP(P215/8800,0)</f>
        <v>7</v>
      </c>
      <c r="BP215" s="52">
        <f t="shared" ref="BP215:BP246" si="323">+ROUNDUP(Q215/8800,0)</f>
        <v>6</v>
      </c>
      <c r="BQ215" s="52">
        <f t="shared" ref="BQ215:BQ246" si="324">+ROUNDUP(R215/8800,0)</f>
        <v>7</v>
      </c>
      <c r="BR215" s="52">
        <f t="shared" ref="BR215:BR246" si="325">+ROUNDUP(S215/8800,0)</f>
        <v>7</v>
      </c>
      <c r="BS215" s="52">
        <f t="shared" ref="BS215:BS246" si="326">+ROUNDUP(T215/8800,0)</f>
        <v>7</v>
      </c>
      <c r="BT215" s="52">
        <f t="shared" ref="BT215:BT246" si="327">+ROUNDUP(U215/8800,0)</f>
        <v>7</v>
      </c>
      <c r="BU215" s="52">
        <f t="shared" ref="BU215:BU246" si="328">+ROUNDUP(V215/8800,0)</f>
        <v>7</v>
      </c>
      <c r="BV215" s="52">
        <f t="shared" ref="BV215:BV246" si="329">+ROUNDUP(W215/8800,0)</f>
        <v>7</v>
      </c>
      <c r="BW215" s="52">
        <f t="shared" ref="BW215:BW246" si="330">+ROUNDUP(X215/8800,0)</f>
        <v>7</v>
      </c>
      <c r="BX215" s="52">
        <f t="shared" ref="BX215:BX246" si="331">+ROUNDUP(Y215/8800,0)</f>
        <v>7</v>
      </c>
      <c r="BZ215">
        <f t="shared" ref="BZ215:BZ246" si="332">+BA215-BX214</f>
        <v>0</v>
      </c>
      <c r="CA215">
        <f t="shared" ref="CA215:CP230" si="333">BB215-BA215</f>
        <v>0</v>
      </c>
      <c r="CB215">
        <f t="shared" ref="CB215:CP219" si="334">BC215-BB215</f>
        <v>0</v>
      </c>
      <c r="CC215">
        <f t="shared" si="334"/>
        <v>0</v>
      </c>
      <c r="CD215">
        <f t="shared" si="334"/>
        <v>0</v>
      </c>
      <c r="CE215">
        <f t="shared" si="334"/>
        <v>0</v>
      </c>
      <c r="CF215">
        <f t="shared" si="334"/>
        <v>0</v>
      </c>
      <c r="CG215">
        <f t="shared" si="334"/>
        <v>0</v>
      </c>
      <c r="CH215">
        <f t="shared" si="334"/>
        <v>0</v>
      </c>
      <c r="CI215">
        <f t="shared" si="334"/>
        <v>0</v>
      </c>
      <c r="CJ215">
        <f t="shared" si="334"/>
        <v>0</v>
      </c>
      <c r="CK215">
        <f t="shared" si="334"/>
        <v>0</v>
      </c>
      <c r="CL215">
        <f t="shared" si="334"/>
        <v>0</v>
      </c>
      <c r="CM215">
        <f t="shared" si="334"/>
        <v>0</v>
      </c>
      <c r="CN215">
        <f t="shared" si="334"/>
        <v>0</v>
      </c>
      <c r="CO215">
        <f t="shared" si="334"/>
        <v>-1</v>
      </c>
      <c r="CP215">
        <f t="shared" si="334"/>
        <v>1</v>
      </c>
      <c r="CQ215">
        <f t="shared" ref="CQ215:CQ246" si="335">BR215-BQ215</f>
        <v>0</v>
      </c>
      <c r="CR215">
        <f t="shared" ref="CR215:CR246" si="336">BS215-BR215</f>
        <v>0</v>
      </c>
      <c r="CS215">
        <f t="shared" ref="CS215:CS246" si="337">BT215-BS215</f>
        <v>0</v>
      </c>
      <c r="CT215">
        <f t="shared" ref="CT215:CT246" si="338">BU215-BT215</f>
        <v>0</v>
      </c>
      <c r="CU215">
        <f t="shared" ref="CU215:CU246" si="339">BV215-BU215</f>
        <v>0</v>
      </c>
      <c r="CV215">
        <f t="shared" ref="CV215:CV246" si="340">BW215-BV215</f>
        <v>0</v>
      </c>
      <c r="CW215">
        <f t="shared" ref="CW215:CW246" si="341">BX215-BW215</f>
        <v>0</v>
      </c>
    </row>
    <row r="216" spans="1:102">
      <c r="A216" s="60">
        <v>45138</v>
      </c>
      <c r="B216" s="426">
        <v>44605.2</v>
      </c>
      <c r="C216">
        <v>44341.7</v>
      </c>
      <c r="D216">
        <v>44222.3</v>
      </c>
      <c r="E216">
        <v>44212.9</v>
      </c>
      <c r="F216">
        <v>44335.7</v>
      </c>
      <c r="G216">
        <v>44399.3</v>
      </c>
      <c r="H216">
        <v>53724.1</v>
      </c>
      <c r="I216">
        <v>54648</v>
      </c>
      <c r="J216">
        <v>55065.9</v>
      </c>
      <c r="K216">
        <v>54735</v>
      </c>
      <c r="L216">
        <v>54826.2</v>
      </c>
      <c r="M216">
        <v>54613.5</v>
      </c>
      <c r="N216">
        <v>54724.7</v>
      </c>
      <c r="O216">
        <v>54453.5</v>
      </c>
      <c r="P216">
        <v>54453.4</v>
      </c>
      <c r="Q216">
        <v>53960.3</v>
      </c>
      <c r="R216">
        <v>54889.8</v>
      </c>
      <c r="S216">
        <v>54923.7</v>
      </c>
      <c r="T216">
        <v>55219.1</v>
      </c>
      <c r="U216">
        <v>54281</v>
      </c>
      <c r="V216">
        <v>54221.1</v>
      </c>
      <c r="W216">
        <v>54212.6</v>
      </c>
      <c r="X216">
        <v>54236.2</v>
      </c>
      <c r="Y216">
        <v>54584.1</v>
      </c>
      <c r="Z216" s="77">
        <v>1247889.3</v>
      </c>
      <c r="AB216">
        <f t="shared" si="304"/>
        <v>0</v>
      </c>
      <c r="AC216">
        <f t="shared" si="304"/>
        <v>0</v>
      </c>
      <c r="AD216">
        <f t="shared" si="304"/>
        <v>0</v>
      </c>
      <c r="AE216">
        <f t="shared" si="304"/>
        <v>0</v>
      </c>
      <c r="AF216">
        <f t="shared" si="304"/>
        <v>0</v>
      </c>
      <c r="AG216">
        <f t="shared" si="304"/>
        <v>0</v>
      </c>
      <c r="AH216">
        <f t="shared" si="304"/>
        <v>0</v>
      </c>
      <c r="AI216">
        <f t="shared" si="304"/>
        <v>0</v>
      </c>
      <c r="AJ216">
        <f t="shared" si="304"/>
        <v>0</v>
      </c>
      <c r="AK216">
        <f t="shared" si="304"/>
        <v>0</v>
      </c>
      <c r="AL216">
        <f t="shared" si="305"/>
        <v>0</v>
      </c>
      <c r="AM216">
        <f t="shared" si="305"/>
        <v>0</v>
      </c>
      <c r="AN216">
        <f t="shared" si="305"/>
        <v>0</v>
      </c>
      <c r="AO216">
        <f t="shared" si="305"/>
        <v>0</v>
      </c>
      <c r="AP216">
        <f t="shared" si="305"/>
        <v>0</v>
      </c>
      <c r="AQ216">
        <f t="shared" si="305"/>
        <v>0</v>
      </c>
      <c r="AR216">
        <f t="shared" si="305"/>
        <v>0</v>
      </c>
      <c r="AS216">
        <f t="shared" si="305"/>
        <v>0</v>
      </c>
      <c r="AT216">
        <f t="shared" si="305"/>
        <v>0</v>
      </c>
      <c r="AU216">
        <f t="shared" si="305"/>
        <v>0</v>
      </c>
      <c r="AV216">
        <f t="shared" si="306"/>
        <v>0</v>
      </c>
      <c r="AW216">
        <f t="shared" si="306"/>
        <v>0</v>
      </c>
      <c r="AX216">
        <f t="shared" si="306"/>
        <v>0</v>
      </c>
      <c r="AY216">
        <f t="shared" si="307"/>
        <v>0</v>
      </c>
      <c r="BA216">
        <f t="shared" si="308"/>
        <v>6</v>
      </c>
      <c r="BB216">
        <f t="shared" si="309"/>
        <v>6</v>
      </c>
      <c r="BC216">
        <f t="shared" si="310"/>
        <v>6</v>
      </c>
      <c r="BD216">
        <f t="shared" si="311"/>
        <v>6</v>
      </c>
      <c r="BE216">
        <f t="shared" si="312"/>
        <v>6</v>
      </c>
      <c r="BF216">
        <f t="shared" si="313"/>
        <v>6</v>
      </c>
      <c r="BG216">
        <f t="shared" si="314"/>
        <v>7</v>
      </c>
      <c r="BH216">
        <f t="shared" si="315"/>
        <v>7</v>
      </c>
      <c r="BI216">
        <f t="shared" si="316"/>
        <v>7</v>
      </c>
      <c r="BJ216">
        <f t="shared" si="317"/>
        <v>7</v>
      </c>
      <c r="BK216">
        <f t="shared" si="318"/>
        <v>7</v>
      </c>
      <c r="BL216">
        <f t="shared" si="319"/>
        <v>7</v>
      </c>
      <c r="BM216">
        <f t="shared" si="320"/>
        <v>7</v>
      </c>
      <c r="BN216">
        <f t="shared" si="321"/>
        <v>7</v>
      </c>
      <c r="BO216">
        <f t="shared" si="322"/>
        <v>7</v>
      </c>
      <c r="BP216">
        <f t="shared" si="323"/>
        <v>7</v>
      </c>
      <c r="BQ216">
        <f t="shared" si="324"/>
        <v>7</v>
      </c>
      <c r="BR216">
        <f t="shared" si="325"/>
        <v>7</v>
      </c>
      <c r="BS216">
        <f t="shared" si="326"/>
        <v>7</v>
      </c>
      <c r="BT216">
        <f t="shared" si="327"/>
        <v>7</v>
      </c>
      <c r="BU216">
        <f t="shared" si="328"/>
        <v>7</v>
      </c>
      <c r="BV216">
        <f t="shared" si="329"/>
        <v>7</v>
      </c>
      <c r="BW216">
        <f t="shared" si="330"/>
        <v>7</v>
      </c>
      <c r="BX216">
        <f t="shared" si="331"/>
        <v>7</v>
      </c>
      <c r="BZ216" s="52">
        <f t="shared" si="332"/>
        <v>-1</v>
      </c>
      <c r="CA216" s="52">
        <f t="shared" si="333"/>
        <v>0</v>
      </c>
      <c r="CB216" s="52">
        <f t="shared" si="334"/>
        <v>0</v>
      </c>
      <c r="CC216" s="52">
        <f t="shared" si="334"/>
        <v>0</v>
      </c>
      <c r="CD216" s="52">
        <f t="shared" si="334"/>
        <v>0</v>
      </c>
      <c r="CE216" s="52">
        <f t="shared" si="334"/>
        <v>0</v>
      </c>
      <c r="CF216" s="52">
        <f t="shared" si="334"/>
        <v>1</v>
      </c>
      <c r="CG216" s="52">
        <f t="shared" si="334"/>
        <v>0</v>
      </c>
      <c r="CH216" s="52">
        <f t="shared" si="334"/>
        <v>0</v>
      </c>
      <c r="CI216" s="52">
        <f t="shared" si="334"/>
        <v>0</v>
      </c>
      <c r="CJ216" s="52">
        <f t="shared" si="334"/>
        <v>0</v>
      </c>
      <c r="CK216" s="52">
        <f t="shared" si="334"/>
        <v>0</v>
      </c>
      <c r="CL216" s="52">
        <f t="shared" si="334"/>
        <v>0</v>
      </c>
      <c r="CM216" s="52">
        <f t="shared" si="334"/>
        <v>0</v>
      </c>
      <c r="CN216" s="52">
        <f t="shared" si="334"/>
        <v>0</v>
      </c>
      <c r="CO216" s="52">
        <f t="shared" si="334"/>
        <v>0</v>
      </c>
      <c r="CP216" s="52">
        <f t="shared" si="334"/>
        <v>0</v>
      </c>
      <c r="CQ216" s="52">
        <f t="shared" si="335"/>
        <v>0</v>
      </c>
      <c r="CR216" s="52">
        <f t="shared" si="336"/>
        <v>0</v>
      </c>
      <c r="CS216" s="52">
        <f t="shared" si="337"/>
        <v>0</v>
      </c>
      <c r="CT216" s="52">
        <f t="shared" si="338"/>
        <v>0</v>
      </c>
      <c r="CU216" s="52">
        <f t="shared" si="339"/>
        <v>0</v>
      </c>
      <c r="CV216" s="52">
        <f t="shared" si="340"/>
        <v>0</v>
      </c>
      <c r="CW216" s="52">
        <f t="shared" si="341"/>
        <v>0</v>
      </c>
    </row>
    <row r="217" spans="1:102">
      <c r="A217" s="60">
        <v>45139</v>
      </c>
      <c r="B217" s="426">
        <v>54735.7</v>
      </c>
      <c r="C217">
        <v>54653.8</v>
      </c>
      <c r="D217">
        <v>54657.8</v>
      </c>
      <c r="E217">
        <v>54628.9</v>
      </c>
      <c r="F217">
        <v>55287.3</v>
      </c>
      <c r="G217">
        <v>55111.3</v>
      </c>
      <c r="H217">
        <v>55119.4</v>
      </c>
      <c r="I217">
        <v>55385.7</v>
      </c>
      <c r="J217">
        <v>55412.1</v>
      </c>
      <c r="K217">
        <v>54166</v>
      </c>
      <c r="L217">
        <v>54176.800000000003</v>
      </c>
      <c r="M217">
        <v>54087.7</v>
      </c>
      <c r="N217">
        <v>54507.4</v>
      </c>
      <c r="O217">
        <v>54449.599999999999</v>
      </c>
      <c r="P217">
        <v>53986.5</v>
      </c>
      <c r="Q217">
        <v>53671.199999999997</v>
      </c>
      <c r="R217">
        <v>53719.199999999997</v>
      </c>
      <c r="S217">
        <v>52975.7</v>
      </c>
      <c r="T217">
        <v>54459.6</v>
      </c>
      <c r="U217">
        <v>54404.1</v>
      </c>
      <c r="V217">
        <v>54308.5</v>
      </c>
      <c r="W217">
        <v>66399.7</v>
      </c>
      <c r="X217">
        <v>69500.2</v>
      </c>
      <c r="Y217">
        <v>60005.5</v>
      </c>
      <c r="Z217" s="77">
        <v>1339809.6999999997</v>
      </c>
      <c r="AB217" s="157">
        <f t="shared" si="304"/>
        <v>0</v>
      </c>
      <c r="AC217" s="157">
        <f t="shared" si="304"/>
        <v>0</v>
      </c>
      <c r="AD217" s="157">
        <f t="shared" si="304"/>
        <v>0</v>
      </c>
      <c r="AE217" s="157">
        <f t="shared" si="304"/>
        <v>0</v>
      </c>
      <c r="AF217" s="157">
        <f t="shared" si="304"/>
        <v>0</v>
      </c>
      <c r="AG217" s="157">
        <f t="shared" si="304"/>
        <v>0</v>
      </c>
      <c r="AH217" s="157">
        <f t="shared" si="304"/>
        <v>0</v>
      </c>
      <c r="AI217" s="157">
        <f t="shared" si="304"/>
        <v>0</v>
      </c>
      <c r="AJ217" s="157">
        <f t="shared" si="304"/>
        <v>0</v>
      </c>
      <c r="AK217" s="157">
        <f t="shared" si="304"/>
        <v>0</v>
      </c>
      <c r="AL217" s="157">
        <f t="shared" si="305"/>
        <v>0</v>
      </c>
      <c r="AM217" s="157">
        <f t="shared" si="305"/>
        <v>0</v>
      </c>
      <c r="AN217" s="157">
        <f t="shared" si="305"/>
        <v>0</v>
      </c>
      <c r="AO217" s="157">
        <f t="shared" si="305"/>
        <v>0</v>
      </c>
      <c r="AP217" s="157">
        <f t="shared" si="305"/>
        <v>0</v>
      </c>
      <c r="AQ217" s="157">
        <f t="shared" si="305"/>
        <v>0</v>
      </c>
      <c r="AR217" s="157">
        <f t="shared" si="305"/>
        <v>0</v>
      </c>
      <c r="AS217" s="157">
        <f t="shared" si="305"/>
        <v>0</v>
      </c>
      <c r="AT217" s="157">
        <f t="shared" si="305"/>
        <v>0</v>
      </c>
      <c r="AU217" s="157">
        <f t="shared" si="305"/>
        <v>0</v>
      </c>
      <c r="AV217" s="157">
        <f t="shared" si="306"/>
        <v>0</v>
      </c>
      <c r="AW217" s="157">
        <f t="shared" si="306"/>
        <v>0</v>
      </c>
      <c r="AX217" s="157">
        <f t="shared" si="306"/>
        <v>0</v>
      </c>
      <c r="AY217" s="157">
        <f t="shared" si="307"/>
        <v>0</v>
      </c>
      <c r="AZ217" s="63">
        <f>+SUM(AB186:AY216)</f>
        <v>0</v>
      </c>
      <c r="BA217" s="54">
        <f t="shared" si="308"/>
        <v>7</v>
      </c>
      <c r="BB217" s="54">
        <f t="shared" si="309"/>
        <v>7</v>
      </c>
      <c r="BC217" s="54">
        <f t="shared" si="310"/>
        <v>7</v>
      </c>
      <c r="BD217" s="54">
        <f t="shared" si="311"/>
        <v>7</v>
      </c>
      <c r="BE217" s="54">
        <f t="shared" si="312"/>
        <v>7</v>
      </c>
      <c r="BF217" s="54">
        <f t="shared" si="313"/>
        <v>7</v>
      </c>
      <c r="BG217" s="54">
        <f t="shared" si="314"/>
        <v>7</v>
      </c>
      <c r="BH217" s="54">
        <f t="shared" si="315"/>
        <v>7</v>
      </c>
      <c r="BI217" s="54">
        <f t="shared" si="316"/>
        <v>7</v>
      </c>
      <c r="BJ217" s="54">
        <f t="shared" si="317"/>
        <v>7</v>
      </c>
      <c r="BK217" s="54">
        <f t="shared" si="318"/>
        <v>7</v>
      </c>
      <c r="BL217" s="54">
        <f t="shared" si="319"/>
        <v>7</v>
      </c>
      <c r="BM217" s="54">
        <f t="shared" si="320"/>
        <v>7</v>
      </c>
      <c r="BN217" s="54">
        <f t="shared" si="321"/>
        <v>7</v>
      </c>
      <c r="BO217" s="54">
        <f t="shared" si="322"/>
        <v>7</v>
      </c>
      <c r="BP217" s="54">
        <f t="shared" si="323"/>
        <v>7</v>
      </c>
      <c r="BQ217" s="54">
        <f t="shared" si="324"/>
        <v>7</v>
      </c>
      <c r="BR217" s="54">
        <f t="shared" si="325"/>
        <v>7</v>
      </c>
      <c r="BS217" s="54">
        <f t="shared" si="326"/>
        <v>7</v>
      </c>
      <c r="BT217" s="54">
        <f t="shared" si="327"/>
        <v>7</v>
      </c>
      <c r="BU217" s="54">
        <f t="shared" si="328"/>
        <v>7</v>
      </c>
      <c r="BV217" s="54">
        <f t="shared" si="329"/>
        <v>8</v>
      </c>
      <c r="BW217" s="54">
        <f t="shared" si="330"/>
        <v>8</v>
      </c>
      <c r="BX217" s="54">
        <f t="shared" si="331"/>
        <v>7</v>
      </c>
      <c r="BY217" s="53">
        <f>+SUM(BA188:BX217)</f>
        <v>4955</v>
      </c>
      <c r="BZ217" s="54">
        <f t="shared" si="332"/>
        <v>0</v>
      </c>
      <c r="CA217" s="54">
        <f t="shared" si="333"/>
        <v>0</v>
      </c>
      <c r="CB217" s="54">
        <f t="shared" si="334"/>
        <v>0</v>
      </c>
      <c r="CC217" s="54">
        <f t="shared" si="334"/>
        <v>0</v>
      </c>
      <c r="CD217" s="54">
        <f t="shared" si="334"/>
        <v>0</v>
      </c>
      <c r="CE217" s="54">
        <f t="shared" si="334"/>
        <v>0</v>
      </c>
      <c r="CF217" s="54">
        <f t="shared" si="334"/>
        <v>0</v>
      </c>
      <c r="CG217" s="54">
        <f t="shared" si="334"/>
        <v>0</v>
      </c>
      <c r="CH217" s="54">
        <f t="shared" si="334"/>
        <v>0</v>
      </c>
      <c r="CI217" s="54">
        <f t="shared" si="334"/>
        <v>0</v>
      </c>
      <c r="CJ217" s="54">
        <f t="shared" si="334"/>
        <v>0</v>
      </c>
      <c r="CK217" s="54">
        <f t="shared" si="334"/>
        <v>0</v>
      </c>
      <c r="CL217" s="54">
        <f t="shared" si="334"/>
        <v>0</v>
      </c>
      <c r="CM217" s="54">
        <f t="shared" si="334"/>
        <v>0</v>
      </c>
      <c r="CN217" s="54">
        <f t="shared" si="334"/>
        <v>0</v>
      </c>
      <c r="CO217" s="54">
        <f t="shared" si="334"/>
        <v>0</v>
      </c>
      <c r="CP217" s="54">
        <f t="shared" si="334"/>
        <v>0</v>
      </c>
      <c r="CQ217" s="54">
        <f t="shared" si="335"/>
        <v>0</v>
      </c>
      <c r="CR217" s="54">
        <f t="shared" si="336"/>
        <v>0</v>
      </c>
      <c r="CS217" s="54">
        <f t="shared" si="337"/>
        <v>0</v>
      </c>
      <c r="CT217" s="54">
        <f t="shared" si="338"/>
        <v>0</v>
      </c>
      <c r="CU217" s="54">
        <f t="shared" si="339"/>
        <v>1</v>
      </c>
      <c r="CV217" s="54">
        <f t="shared" si="340"/>
        <v>0</v>
      </c>
      <c r="CW217" s="54">
        <f t="shared" si="341"/>
        <v>-1</v>
      </c>
      <c r="CX217" s="53">
        <f>+SUMIF(BZ188:CW217,"&gt;0")</f>
        <v>18</v>
      </c>
    </row>
    <row r="218" spans="1:102">
      <c r="A218" s="60">
        <v>45140</v>
      </c>
      <c r="B218" s="426">
        <v>54179.3</v>
      </c>
      <c r="C218">
        <v>54834.1</v>
      </c>
      <c r="D218">
        <v>54628.2</v>
      </c>
      <c r="E218">
        <v>54513.599999999999</v>
      </c>
      <c r="F218">
        <v>54537.1</v>
      </c>
      <c r="G218">
        <v>54641.3</v>
      </c>
      <c r="H218">
        <v>54440</v>
      </c>
      <c r="I218">
        <v>54794.400000000001</v>
      </c>
      <c r="J218">
        <v>54762.400000000001</v>
      </c>
      <c r="K218">
        <v>54826.400000000001</v>
      </c>
      <c r="L218">
        <v>54777.2</v>
      </c>
      <c r="M218">
        <v>54855.5</v>
      </c>
      <c r="N218">
        <v>54827.6</v>
      </c>
      <c r="O218">
        <v>54898.9</v>
      </c>
      <c r="P218">
        <v>57508.3</v>
      </c>
      <c r="Q218">
        <v>65651.199999999997</v>
      </c>
      <c r="R218">
        <v>62061.5</v>
      </c>
      <c r="S218">
        <v>53087.6</v>
      </c>
      <c r="T218">
        <v>53412</v>
      </c>
      <c r="U218">
        <v>59419.4</v>
      </c>
      <c r="V218">
        <v>56840.2</v>
      </c>
      <c r="W218">
        <v>60144.6</v>
      </c>
      <c r="X218">
        <v>53573.599999999999</v>
      </c>
      <c r="Y218">
        <v>53770.7</v>
      </c>
      <c r="Z218" s="77">
        <v>1340985.1000000001</v>
      </c>
      <c r="AB218">
        <f t="shared" si="304"/>
        <v>0</v>
      </c>
      <c r="AC218">
        <f t="shared" si="304"/>
        <v>0</v>
      </c>
      <c r="AD218">
        <f t="shared" si="304"/>
        <v>0</v>
      </c>
      <c r="AE218">
        <f t="shared" si="304"/>
        <v>0</v>
      </c>
      <c r="AF218">
        <f t="shared" si="304"/>
        <v>0</v>
      </c>
      <c r="AG218">
        <f t="shared" si="304"/>
        <v>0</v>
      </c>
      <c r="AH218">
        <f t="shared" si="304"/>
        <v>0</v>
      </c>
      <c r="AI218">
        <f t="shared" si="304"/>
        <v>0</v>
      </c>
      <c r="AJ218">
        <f t="shared" si="304"/>
        <v>0</v>
      </c>
      <c r="AK218">
        <f t="shared" si="304"/>
        <v>0</v>
      </c>
      <c r="AL218">
        <f t="shared" si="305"/>
        <v>0</v>
      </c>
      <c r="AM218">
        <f t="shared" si="305"/>
        <v>0</v>
      </c>
      <c r="AN218">
        <f t="shared" si="305"/>
        <v>0</v>
      </c>
      <c r="AO218">
        <f t="shared" si="305"/>
        <v>0</v>
      </c>
      <c r="AP218">
        <f t="shared" si="305"/>
        <v>0</v>
      </c>
      <c r="AQ218">
        <f t="shared" si="305"/>
        <v>0</v>
      </c>
      <c r="AR218">
        <f t="shared" si="305"/>
        <v>0</v>
      </c>
      <c r="AS218">
        <f t="shared" si="305"/>
        <v>0</v>
      </c>
      <c r="AT218">
        <f t="shared" si="305"/>
        <v>0</v>
      </c>
      <c r="AU218">
        <f t="shared" si="305"/>
        <v>0</v>
      </c>
      <c r="AV218">
        <f t="shared" si="306"/>
        <v>0</v>
      </c>
      <c r="AW218">
        <f t="shared" si="306"/>
        <v>0</v>
      </c>
      <c r="AX218">
        <f t="shared" si="306"/>
        <v>0</v>
      </c>
      <c r="AY218">
        <f t="shared" si="307"/>
        <v>0</v>
      </c>
      <c r="BA218">
        <f t="shared" si="308"/>
        <v>7</v>
      </c>
      <c r="BB218">
        <f t="shared" si="309"/>
        <v>7</v>
      </c>
      <c r="BC218">
        <f t="shared" si="310"/>
        <v>7</v>
      </c>
      <c r="BD218">
        <f t="shared" si="311"/>
        <v>7</v>
      </c>
      <c r="BE218">
        <f t="shared" si="312"/>
        <v>7</v>
      </c>
      <c r="BF218">
        <f t="shared" si="313"/>
        <v>7</v>
      </c>
      <c r="BG218">
        <f t="shared" si="314"/>
        <v>7</v>
      </c>
      <c r="BH218">
        <f t="shared" si="315"/>
        <v>7</v>
      </c>
      <c r="BI218">
        <f t="shared" si="316"/>
        <v>7</v>
      </c>
      <c r="BJ218">
        <f t="shared" si="317"/>
        <v>7</v>
      </c>
      <c r="BK218">
        <f t="shared" si="318"/>
        <v>7</v>
      </c>
      <c r="BL218">
        <f t="shared" si="319"/>
        <v>7</v>
      </c>
      <c r="BM218">
        <f t="shared" si="320"/>
        <v>7</v>
      </c>
      <c r="BN218">
        <f t="shared" si="321"/>
        <v>7</v>
      </c>
      <c r="BO218">
        <f t="shared" si="322"/>
        <v>7</v>
      </c>
      <c r="BP218">
        <f t="shared" si="323"/>
        <v>8</v>
      </c>
      <c r="BQ218">
        <f t="shared" si="324"/>
        <v>8</v>
      </c>
      <c r="BR218">
        <f t="shared" si="325"/>
        <v>7</v>
      </c>
      <c r="BS218">
        <f t="shared" si="326"/>
        <v>7</v>
      </c>
      <c r="BT218">
        <f t="shared" si="327"/>
        <v>7</v>
      </c>
      <c r="BU218">
        <f t="shared" si="328"/>
        <v>7</v>
      </c>
      <c r="BV218">
        <f t="shared" si="329"/>
        <v>7</v>
      </c>
      <c r="BW218">
        <f t="shared" si="330"/>
        <v>7</v>
      </c>
      <c r="BX218">
        <f t="shared" si="331"/>
        <v>7</v>
      </c>
      <c r="BZ218" s="52">
        <f t="shared" si="332"/>
        <v>0</v>
      </c>
      <c r="CA218" s="52">
        <f t="shared" si="333"/>
        <v>0</v>
      </c>
      <c r="CB218" s="52">
        <f t="shared" si="334"/>
        <v>0</v>
      </c>
      <c r="CC218" s="52">
        <f t="shared" si="334"/>
        <v>0</v>
      </c>
      <c r="CD218" s="52">
        <f t="shared" si="334"/>
        <v>0</v>
      </c>
      <c r="CE218" s="52">
        <f t="shared" si="334"/>
        <v>0</v>
      </c>
      <c r="CF218" s="52">
        <f t="shared" si="334"/>
        <v>0</v>
      </c>
      <c r="CG218" s="52">
        <f t="shared" si="334"/>
        <v>0</v>
      </c>
      <c r="CH218" s="52">
        <f t="shared" si="334"/>
        <v>0</v>
      </c>
      <c r="CI218" s="52">
        <f t="shared" si="334"/>
        <v>0</v>
      </c>
      <c r="CJ218" s="52">
        <f t="shared" si="334"/>
        <v>0</v>
      </c>
      <c r="CK218" s="52">
        <f t="shared" si="334"/>
        <v>0</v>
      </c>
      <c r="CL218" s="52">
        <f t="shared" si="334"/>
        <v>0</v>
      </c>
      <c r="CM218" s="52">
        <f t="shared" si="334"/>
        <v>0</v>
      </c>
      <c r="CN218" s="52">
        <f t="shared" si="334"/>
        <v>0</v>
      </c>
      <c r="CO218" s="52">
        <f t="shared" si="334"/>
        <v>1</v>
      </c>
      <c r="CP218" s="52">
        <f t="shared" si="334"/>
        <v>0</v>
      </c>
      <c r="CQ218" s="52">
        <f t="shared" si="335"/>
        <v>-1</v>
      </c>
      <c r="CR218" s="52">
        <f t="shared" si="336"/>
        <v>0</v>
      </c>
      <c r="CS218" s="52">
        <f t="shared" si="337"/>
        <v>0</v>
      </c>
      <c r="CT218" s="52">
        <f t="shared" si="338"/>
        <v>0</v>
      </c>
      <c r="CU218" s="52">
        <f t="shared" si="339"/>
        <v>0</v>
      </c>
      <c r="CV218" s="52">
        <f t="shared" si="340"/>
        <v>0</v>
      </c>
      <c r="CW218" s="52">
        <f t="shared" si="341"/>
        <v>0</v>
      </c>
    </row>
    <row r="219" spans="1:102">
      <c r="A219" s="60">
        <v>45141</v>
      </c>
      <c r="B219" s="426">
        <v>54367.6</v>
      </c>
      <c r="C219">
        <v>54158.7</v>
      </c>
      <c r="D219">
        <v>54097.4</v>
      </c>
      <c r="E219">
        <v>54249.7</v>
      </c>
      <c r="F219">
        <v>54192.7</v>
      </c>
      <c r="G219">
        <v>54203.3</v>
      </c>
      <c r="H219">
        <v>54131</v>
      </c>
      <c r="I219">
        <v>54323.5</v>
      </c>
      <c r="J219">
        <v>54330.2</v>
      </c>
      <c r="K219">
        <v>54257</v>
      </c>
      <c r="L219">
        <v>54516</v>
      </c>
      <c r="M219">
        <v>55045.2</v>
      </c>
      <c r="N219">
        <v>55161.599999999999</v>
      </c>
      <c r="O219">
        <v>55051.199999999997</v>
      </c>
      <c r="P219">
        <v>62830.9</v>
      </c>
      <c r="Q219">
        <v>68370.3</v>
      </c>
      <c r="R219">
        <v>68297</v>
      </c>
      <c r="S219">
        <v>67107.100000000006</v>
      </c>
      <c r="T219">
        <v>54929.1</v>
      </c>
      <c r="U219">
        <v>65946.2</v>
      </c>
      <c r="V219">
        <v>67286.7</v>
      </c>
      <c r="W219">
        <v>67126.100000000006</v>
      </c>
      <c r="X219">
        <v>55146.1</v>
      </c>
      <c r="Y219">
        <v>53940.4</v>
      </c>
      <c r="Z219" s="77">
        <v>1393065</v>
      </c>
      <c r="AB219" s="52">
        <f t="shared" ref="AB219:AB245" si="342">+IF(AND(B219=0,C219&lt;&gt;0),1,0)</f>
        <v>0</v>
      </c>
      <c r="AC219" s="52">
        <f t="shared" ref="AC219:AC245" si="343">+IF(AND(C219=0,D219&lt;&gt;0),1,0)</f>
        <v>0</v>
      </c>
      <c r="AD219" s="52">
        <f t="shared" ref="AD219:AD245" si="344">+IF(AND(D219=0,E219&lt;&gt;0),1,0)</f>
        <v>0</v>
      </c>
      <c r="AE219" s="52">
        <f t="shared" ref="AE219:AE245" si="345">+IF(AND(E219=0,F219&lt;&gt;0),1,0)</f>
        <v>0</v>
      </c>
      <c r="AF219" s="52">
        <f t="shared" ref="AF219:AF245" si="346">+IF(AND(F219=0,G219&lt;&gt;0),1,0)</f>
        <v>0</v>
      </c>
      <c r="AG219" s="52">
        <f t="shared" ref="AG219:AG245" si="347">+IF(AND(G219=0,H219&lt;&gt;0),1,0)</f>
        <v>0</v>
      </c>
      <c r="AH219" s="52">
        <f t="shared" ref="AH219:AH245" si="348">+IF(AND(H219=0,I219&lt;&gt;0),1,0)</f>
        <v>0</v>
      </c>
      <c r="AI219" s="52">
        <f t="shared" ref="AI219:AI245" si="349">+IF(AND(I219=0,J219&lt;&gt;0),1,0)</f>
        <v>0</v>
      </c>
      <c r="AJ219" s="52">
        <f t="shared" ref="AJ219:AJ245" si="350">+IF(AND(J219=0,K219&lt;&gt;0),1,0)</f>
        <v>0</v>
      </c>
      <c r="AK219" s="52">
        <f t="shared" ref="AK219:AK245" si="351">+IF(AND(K219=0,L219&lt;&gt;0),1,0)</f>
        <v>0</v>
      </c>
      <c r="AL219" s="52">
        <f t="shared" ref="AL219:AL245" si="352">+IF(AND(L219=0,M219&lt;&gt;0),1,0)</f>
        <v>0</v>
      </c>
      <c r="AM219" s="52">
        <f t="shared" ref="AM219:AM245" si="353">+IF(AND(M219=0,N219&lt;&gt;0),1,0)</f>
        <v>0</v>
      </c>
      <c r="AN219" s="52">
        <f t="shared" ref="AN219:AN245" si="354">+IF(AND(N219=0,O219&lt;&gt;0),1,0)</f>
        <v>0</v>
      </c>
      <c r="AO219" s="52">
        <f t="shared" ref="AO219:AO245" si="355">+IF(AND(O219=0,P219&lt;&gt;0),1,0)</f>
        <v>0</v>
      </c>
      <c r="AP219" s="52">
        <f t="shared" ref="AP219:AP245" si="356">+IF(AND(P219=0,Q219&lt;&gt;0),1,0)</f>
        <v>0</v>
      </c>
      <c r="AQ219" s="52">
        <f t="shared" ref="AQ219:AQ245" si="357">+IF(AND(Q219=0,R219&lt;&gt;0),1,0)</f>
        <v>0</v>
      </c>
      <c r="AR219" s="52">
        <f t="shared" ref="AR219:AR245" si="358">+IF(AND(R219=0,S219&lt;&gt;0),1,0)</f>
        <v>0</v>
      </c>
      <c r="AS219" s="52">
        <f t="shared" ref="AS219:AS245" si="359">+IF(AND(S219=0,T219&lt;&gt;0),1,0)</f>
        <v>0</v>
      </c>
      <c r="AT219" s="52">
        <f t="shared" ref="AT219:AT245" si="360">+IF(AND(T219=0,U219&lt;&gt;0),1,0)</f>
        <v>0</v>
      </c>
      <c r="AU219" s="52">
        <f t="shared" ref="AU219:AU245" si="361">+IF(AND(U219=0,V219&lt;&gt;0),1,0)</f>
        <v>0</v>
      </c>
      <c r="AV219" s="52">
        <f t="shared" ref="AV219:AV245" si="362">+IF(AND(V219=0,W219&lt;&gt;0),1,0)</f>
        <v>0</v>
      </c>
      <c r="AW219" s="52">
        <f t="shared" ref="AW219:AW245" si="363">+IF(AND(W219=0,X219&lt;&gt;0),1,0)</f>
        <v>0</v>
      </c>
      <c r="AX219" s="52">
        <f t="shared" ref="AX219:AX245" si="364">+IF(AND(X219=0,Y219&lt;&gt;0),1,0)</f>
        <v>0</v>
      </c>
      <c r="AY219" s="52">
        <f t="shared" si="307"/>
        <v>0</v>
      </c>
      <c r="BA219" s="52">
        <f t="shared" si="308"/>
        <v>7</v>
      </c>
      <c r="BB219" s="52">
        <f t="shared" si="309"/>
        <v>7</v>
      </c>
      <c r="BC219" s="52">
        <f t="shared" si="310"/>
        <v>7</v>
      </c>
      <c r="BD219" s="52">
        <f t="shared" si="311"/>
        <v>7</v>
      </c>
      <c r="BE219" s="52">
        <f t="shared" si="312"/>
        <v>7</v>
      </c>
      <c r="BF219" s="52">
        <f t="shared" si="313"/>
        <v>7</v>
      </c>
      <c r="BG219" s="52">
        <f t="shared" si="314"/>
        <v>7</v>
      </c>
      <c r="BH219" s="52">
        <f t="shared" si="315"/>
        <v>7</v>
      </c>
      <c r="BI219" s="52">
        <f t="shared" si="316"/>
        <v>7</v>
      </c>
      <c r="BJ219" s="52">
        <f t="shared" si="317"/>
        <v>7</v>
      </c>
      <c r="BK219" s="52">
        <f t="shared" si="318"/>
        <v>7</v>
      </c>
      <c r="BL219" s="52">
        <f t="shared" si="319"/>
        <v>7</v>
      </c>
      <c r="BM219" s="52">
        <f t="shared" si="320"/>
        <v>7</v>
      </c>
      <c r="BN219" s="52">
        <f t="shared" si="321"/>
        <v>7</v>
      </c>
      <c r="BO219" s="52">
        <f t="shared" si="322"/>
        <v>8</v>
      </c>
      <c r="BP219" s="52">
        <f t="shared" si="323"/>
        <v>8</v>
      </c>
      <c r="BQ219" s="52">
        <f t="shared" si="324"/>
        <v>8</v>
      </c>
      <c r="BR219" s="52">
        <f t="shared" si="325"/>
        <v>8</v>
      </c>
      <c r="BS219" s="52">
        <f t="shared" si="326"/>
        <v>7</v>
      </c>
      <c r="BT219" s="52">
        <f t="shared" si="327"/>
        <v>8</v>
      </c>
      <c r="BU219" s="52">
        <f t="shared" si="328"/>
        <v>8</v>
      </c>
      <c r="BV219" s="52">
        <f t="shared" si="329"/>
        <v>8</v>
      </c>
      <c r="BW219" s="52">
        <f t="shared" si="330"/>
        <v>7</v>
      </c>
      <c r="BX219" s="52">
        <f t="shared" si="331"/>
        <v>7</v>
      </c>
      <c r="BZ219">
        <f t="shared" si="332"/>
        <v>0</v>
      </c>
      <c r="CA219">
        <f t="shared" si="333"/>
        <v>0</v>
      </c>
      <c r="CB219">
        <f t="shared" si="334"/>
        <v>0</v>
      </c>
      <c r="CC219">
        <f t="shared" si="334"/>
        <v>0</v>
      </c>
      <c r="CD219">
        <f t="shared" si="334"/>
        <v>0</v>
      </c>
      <c r="CE219">
        <f t="shared" si="334"/>
        <v>0</v>
      </c>
      <c r="CF219">
        <f t="shared" si="334"/>
        <v>0</v>
      </c>
      <c r="CG219">
        <f t="shared" si="334"/>
        <v>0</v>
      </c>
      <c r="CH219">
        <f t="shared" si="334"/>
        <v>0</v>
      </c>
      <c r="CI219">
        <f t="shared" si="334"/>
        <v>0</v>
      </c>
      <c r="CJ219">
        <f t="shared" si="334"/>
        <v>0</v>
      </c>
      <c r="CK219">
        <f t="shared" si="334"/>
        <v>0</v>
      </c>
      <c r="CL219">
        <f t="shared" si="334"/>
        <v>0</v>
      </c>
      <c r="CM219">
        <f t="shared" si="334"/>
        <v>0</v>
      </c>
      <c r="CN219">
        <f t="shared" si="334"/>
        <v>1</v>
      </c>
      <c r="CO219">
        <f t="shared" si="334"/>
        <v>0</v>
      </c>
      <c r="CP219">
        <f t="shared" si="334"/>
        <v>0</v>
      </c>
      <c r="CQ219">
        <f t="shared" si="335"/>
        <v>0</v>
      </c>
      <c r="CR219">
        <f t="shared" si="336"/>
        <v>-1</v>
      </c>
      <c r="CS219">
        <f t="shared" si="337"/>
        <v>1</v>
      </c>
      <c r="CT219">
        <f t="shared" si="338"/>
        <v>0</v>
      </c>
      <c r="CU219">
        <f t="shared" si="339"/>
        <v>0</v>
      </c>
      <c r="CV219">
        <f t="shared" si="340"/>
        <v>-1</v>
      </c>
      <c r="CW219">
        <f t="shared" si="341"/>
        <v>0</v>
      </c>
    </row>
    <row r="220" spans="1:102">
      <c r="A220" s="60">
        <v>45142</v>
      </c>
      <c r="B220" s="426">
        <v>52590.3</v>
      </c>
      <c r="C220">
        <v>52952.4</v>
      </c>
      <c r="D220">
        <v>52824.7</v>
      </c>
      <c r="E220">
        <v>52798.3</v>
      </c>
      <c r="F220">
        <v>52812.3</v>
      </c>
      <c r="G220">
        <v>52884.7</v>
      </c>
      <c r="H220">
        <v>52908.7</v>
      </c>
      <c r="I220">
        <v>52922.400000000001</v>
      </c>
      <c r="J220">
        <v>52990.6</v>
      </c>
      <c r="K220">
        <v>53042.9</v>
      </c>
      <c r="L220">
        <v>52851.4</v>
      </c>
      <c r="M220">
        <v>53082.7</v>
      </c>
      <c r="N220">
        <v>53058</v>
      </c>
      <c r="O220">
        <v>53059.5</v>
      </c>
      <c r="P220">
        <v>58388.3</v>
      </c>
      <c r="Q220">
        <v>68093.899999999994</v>
      </c>
      <c r="R220">
        <v>67386.7</v>
      </c>
      <c r="S220">
        <v>66840.399999999994</v>
      </c>
      <c r="T220">
        <v>69149</v>
      </c>
      <c r="U220">
        <v>54476.6</v>
      </c>
      <c r="V220">
        <v>58208.3</v>
      </c>
      <c r="W220">
        <v>70261.899999999994</v>
      </c>
      <c r="X220">
        <v>69500.899999999994</v>
      </c>
      <c r="Y220">
        <v>54015.9</v>
      </c>
      <c r="Z220" s="77">
        <v>1377100.8</v>
      </c>
      <c r="AB220">
        <f t="shared" si="342"/>
        <v>0</v>
      </c>
      <c r="AC220">
        <f t="shared" si="343"/>
        <v>0</v>
      </c>
      <c r="AD220">
        <f t="shared" si="344"/>
        <v>0</v>
      </c>
      <c r="AE220">
        <f t="shared" si="345"/>
        <v>0</v>
      </c>
      <c r="AF220">
        <f t="shared" si="346"/>
        <v>0</v>
      </c>
      <c r="AG220">
        <f t="shared" si="347"/>
        <v>0</v>
      </c>
      <c r="AH220">
        <f t="shared" si="348"/>
        <v>0</v>
      </c>
      <c r="AI220">
        <f t="shared" si="349"/>
        <v>0</v>
      </c>
      <c r="AJ220">
        <f t="shared" si="350"/>
        <v>0</v>
      </c>
      <c r="AK220">
        <f t="shared" si="351"/>
        <v>0</v>
      </c>
      <c r="AL220">
        <f t="shared" si="352"/>
        <v>0</v>
      </c>
      <c r="AM220">
        <f t="shared" si="353"/>
        <v>0</v>
      </c>
      <c r="AN220">
        <f t="shared" si="354"/>
        <v>0</v>
      </c>
      <c r="AO220">
        <f t="shared" si="355"/>
        <v>0</v>
      </c>
      <c r="AP220">
        <f t="shared" si="356"/>
        <v>0</v>
      </c>
      <c r="AQ220">
        <f t="shared" si="357"/>
        <v>0</v>
      </c>
      <c r="AR220">
        <f t="shared" si="358"/>
        <v>0</v>
      </c>
      <c r="AS220">
        <f t="shared" si="359"/>
        <v>0</v>
      </c>
      <c r="AT220">
        <f t="shared" si="360"/>
        <v>0</v>
      </c>
      <c r="AU220">
        <f t="shared" si="361"/>
        <v>0</v>
      </c>
      <c r="AV220">
        <f t="shared" si="362"/>
        <v>0</v>
      </c>
      <c r="AW220">
        <f t="shared" si="363"/>
        <v>0</v>
      </c>
      <c r="AX220">
        <f t="shared" si="364"/>
        <v>0</v>
      </c>
      <c r="AY220">
        <f t="shared" si="307"/>
        <v>0</v>
      </c>
      <c r="BA220">
        <f t="shared" si="308"/>
        <v>6</v>
      </c>
      <c r="BB220">
        <f t="shared" si="309"/>
        <v>7</v>
      </c>
      <c r="BC220">
        <f t="shared" si="310"/>
        <v>7</v>
      </c>
      <c r="BD220">
        <f t="shared" si="311"/>
        <v>6</v>
      </c>
      <c r="BE220">
        <f t="shared" si="312"/>
        <v>7</v>
      </c>
      <c r="BF220">
        <f t="shared" si="313"/>
        <v>7</v>
      </c>
      <c r="BG220">
        <f t="shared" si="314"/>
        <v>7</v>
      </c>
      <c r="BH220">
        <f t="shared" si="315"/>
        <v>7</v>
      </c>
      <c r="BI220">
        <f t="shared" si="316"/>
        <v>7</v>
      </c>
      <c r="BJ220">
        <f t="shared" si="317"/>
        <v>7</v>
      </c>
      <c r="BK220">
        <f t="shared" si="318"/>
        <v>7</v>
      </c>
      <c r="BL220">
        <f t="shared" si="319"/>
        <v>7</v>
      </c>
      <c r="BM220">
        <f t="shared" si="320"/>
        <v>7</v>
      </c>
      <c r="BN220">
        <f t="shared" si="321"/>
        <v>7</v>
      </c>
      <c r="BO220">
        <f t="shared" si="322"/>
        <v>7</v>
      </c>
      <c r="BP220">
        <f t="shared" si="323"/>
        <v>8</v>
      </c>
      <c r="BQ220">
        <f t="shared" si="324"/>
        <v>8</v>
      </c>
      <c r="BR220">
        <f t="shared" si="325"/>
        <v>8</v>
      </c>
      <c r="BS220">
        <f t="shared" si="326"/>
        <v>8</v>
      </c>
      <c r="BT220">
        <f t="shared" si="327"/>
        <v>7</v>
      </c>
      <c r="BU220">
        <f t="shared" si="328"/>
        <v>7</v>
      </c>
      <c r="BV220">
        <f t="shared" si="329"/>
        <v>8</v>
      </c>
      <c r="BW220">
        <f t="shared" si="330"/>
        <v>8</v>
      </c>
      <c r="BX220">
        <f t="shared" si="331"/>
        <v>7</v>
      </c>
      <c r="BZ220" s="52">
        <f t="shared" si="332"/>
        <v>-1</v>
      </c>
      <c r="CA220" s="52">
        <f t="shared" si="333"/>
        <v>1</v>
      </c>
      <c r="CB220" s="52">
        <f t="shared" si="333"/>
        <v>0</v>
      </c>
      <c r="CC220" s="52">
        <f t="shared" si="333"/>
        <v>-1</v>
      </c>
      <c r="CD220" s="52">
        <f t="shared" si="333"/>
        <v>1</v>
      </c>
      <c r="CE220" s="52">
        <f t="shared" si="333"/>
        <v>0</v>
      </c>
      <c r="CF220" s="52">
        <f t="shared" si="333"/>
        <v>0</v>
      </c>
      <c r="CG220" s="52">
        <f t="shared" si="333"/>
        <v>0</v>
      </c>
      <c r="CH220" s="52">
        <f t="shared" si="333"/>
        <v>0</v>
      </c>
      <c r="CI220" s="52">
        <f t="shared" si="333"/>
        <v>0</v>
      </c>
      <c r="CJ220" s="52">
        <f t="shared" si="333"/>
        <v>0</v>
      </c>
      <c r="CK220" s="52">
        <f t="shared" si="333"/>
        <v>0</v>
      </c>
      <c r="CL220" s="52">
        <f t="shared" si="333"/>
        <v>0</v>
      </c>
      <c r="CM220" s="52">
        <f t="shared" si="333"/>
        <v>0</v>
      </c>
      <c r="CN220" s="52">
        <f t="shared" si="333"/>
        <v>0</v>
      </c>
      <c r="CO220" s="52">
        <f t="shared" si="333"/>
        <v>1</v>
      </c>
      <c r="CP220" s="52">
        <f t="shared" si="333"/>
        <v>0</v>
      </c>
      <c r="CQ220" s="52">
        <f t="shared" si="335"/>
        <v>0</v>
      </c>
      <c r="CR220" s="52">
        <f t="shared" si="336"/>
        <v>0</v>
      </c>
      <c r="CS220" s="52">
        <f t="shared" si="337"/>
        <v>-1</v>
      </c>
      <c r="CT220" s="52">
        <f t="shared" si="338"/>
        <v>0</v>
      </c>
      <c r="CU220" s="52">
        <f t="shared" si="339"/>
        <v>1</v>
      </c>
      <c r="CV220" s="52">
        <f t="shared" si="340"/>
        <v>0</v>
      </c>
      <c r="CW220" s="52">
        <f t="shared" si="341"/>
        <v>-1</v>
      </c>
    </row>
    <row r="221" spans="1:102">
      <c r="A221" s="60">
        <v>45143</v>
      </c>
      <c r="B221" s="426">
        <v>53991.1</v>
      </c>
      <c r="C221">
        <v>54027.8</v>
      </c>
      <c r="D221">
        <v>53798.1</v>
      </c>
      <c r="E221">
        <v>53807.9</v>
      </c>
      <c r="F221">
        <v>53853.3</v>
      </c>
      <c r="G221">
        <v>53847.8</v>
      </c>
      <c r="H221">
        <v>53922.400000000001</v>
      </c>
      <c r="I221">
        <v>53932.3</v>
      </c>
      <c r="J221">
        <v>53979.7</v>
      </c>
      <c r="K221">
        <v>53542.6</v>
      </c>
      <c r="L221">
        <v>53448.5</v>
      </c>
      <c r="M221">
        <v>53446.2</v>
      </c>
      <c r="N221">
        <v>53346.7</v>
      </c>
      <c r="O221">
        <v>52412.800000000003</v>
      </c>
      <c r="P221">
        <v>53904.1</v>
      </c>
      <c r="Q221">
        <v>54217.3</v>
      </c>
      <c r="R221">
        <v>53805.4</v>
      </c>
      <c r="S221">
        <v>53893.3</v>
      </c>
      <c r="T221">
        <v>68917.899999999994</v>
      </c>
      <c r="U221">
        <v>55692</v>
      </c>
      <c r="V221">
        <v>54015</v>
      </c>
      <c r="W221">
        <v>54120</v>
      </c>
      <c r="X221">
        <v>53917.5</v>
      </c>
      <c r="Y221">
        <v>53995.7</v>
      </c>
      <c r="Z221" s="77">
        <v>1307835.4000000001</v>
      </c>
      <c r="AB221" s="52">
        <f t="shared" si="342"/>
        <v>0</v>
      </c>
      <c r="AC221" s="52">
        <f t="shared" si="343"/>
        <v>0</v>
      </c>
      <c r="AD221" s="52">
        <f t="shared" si="344"/>
        <v>0</v>
      </c>
      <c r="AE221" s="52">
        <f t="shared" si="345"/>
        <v>0</v>
      </c>
      <c r="AF221" s="52">
        <f t="shared" si="346"/>
        <v>0</v>
      </c>
      <c r="AG221" s="52">
        <f t="shared" si="347"/>
        <v>0</v>
      </c>
      <c r="AH221" s="52">
        <f t="shared" si="348"/>
        <v>0</v>
      </c>
      <c r="AI221" s="52">
        <f t="shared" si="349"/>
        <v>0</v>
      </c>
      <c r="AJ221" s="52">
        <f t="shared" si="350"/>
        <v>0</v>
      </c>
      <c r="AK221" s="52">
        <f t="shared" si="351"/>
        <v>0</v>
      </c>
      <c r="AL221" s="52">
        <f t="shared" si="352"/>
        <v>0</v>
      </c>
      <c r="AM221" s="52">
        <f t="shared" si="353"/>
        <v>0</v>
      </c>
      <c r="AN221" s="52">
        <f t="shared" si="354"/>
        <v>0</v>
      </c>
      <c r="AO221" s="52">
        <f t="shared" si="355"/>
        <v>0</v>
      </c>
      <c r="AP221" s="52">
        <f t="shared" si="356"/>
        <v>0</v>
      </c>
      <c r="AQ221" s="52">
        <f t="shared" si="357"/>
        <v>0</v>
      </c>
      <c r="AR221" s="52">
        <f t="shared" si="358"/>
        <v>0</v>
      </c>
      <c r="AS221" s="52">
        <f t="shared" si="359"/>
        <v>0</v>
      </c>
      <c r="AT221" s="52">
        <f t="shared" si="360"/>
        <v>0</v>
      </c>
      <c r="AU221" s="52">
        <f t="shared" si="361"/>
        <v>0</v>
      </c>
      <c r="AV221" s="52">
        <f t="shared" si="362"/>
        <v>0</v>
      </c>
      <c r="AW221" s="52">
        <f t="shared" si="363"/>
        <v>0</v>
      </c>
      <c r="AX221" s="52">
        <f t="shared" si="364"/>
        <v>0</v>
      </c>
      <c r="AY221" s="52">
        <f t="shared" ref="AY221:AY245" si="365">+IF(AND(Y221=0,B222&lt;&gt;0),1,0)</f>
        <v>0</v>
      </c>
      <c r="BA221" s="52">
        <f t="shared" si="308"/>
        <v>7</v>
      </c>
      <c r="BB221" s="52">
        <f t="shared" si="309"/>
        <v>7</v>
      </c>
      <c r="BC221" s="52">
        <f t="shared" si="310"/>
        <v>7</v>
      </c>
      <c r="BD221" s="52">
        <f t="shared" si="311"/>
        <v>7</v>
      </c>
      <c r="BE221" s="52">
        <f t="shared" si="312"/>
        <v>7</v>
      </c>
      <c r="BF221" s="52">
        <f t="shared" si="313"/>
        <v>7</v>
      </c>
      <c r="BG221" s="52">
        <f t="shared" si="314"/>
        <v>7</v>
      </c>
      <c r="BH221" s="52">
        <f t="shared" si="315"/>
        <v>7</v>
      </c>
      <c r="BI221" s="52">
        <f t="shared" si="316"/>
        <v>7</v>
      </c>
      <c r="BJ221" s="52">
        <f t="shared" si="317"/>
        <v>7</v>
      </c>
      <c r="BK221" s="52">
        <f t="shared" si="318"/>
        <v>7</v>
      </c>
      <c r="BL221" s="52">
        <f t="shared" si="319"/>
        <v>7</v>
      </c>
      <c r="BM221" s="52">
        <f t="shared" si="320"/>
        <v>7</v>
      </c>
      <c r="BN221" s="52">
        <f t="shared" si="321"/>
        <v>6</v>
      </c>
      <c r="BO221" s="52">
        <f t="shared" si="322"/>
        <v>7</v>
      </c>
      <c r="BP221" s="52">
        <f t="shared" si="323"/>
        <v>7</v>
      </c>
      <c r="BQ221" s="52">
        <f t="shared" si="324"/>
        <v>7</v>
      </c>
      <c r="BR221" s="52">
        <f t="shared" si="325"/>
        <v>7</v>
      </c>
      <c r="BS221" s="52">
        <f t="shared" si="326"/>
        <v>8</v>
      </c>
      <c r="BT221" s="52">
        <f t="shared" si="327"/>
        <v>7</v>
      </c>
      <c r="BU221" s="52">
        <f t="shared" si="328"/>
        <v>7</v>
      </c>
      <c r="BV221" s="52">
        <f t="shared" si="329"/>
        <v>7</v>
      </c>
      <c r="BW221" s="52">
        <f t="shared" si="330"/>
        <v>7</v>
      </c>
      <c r="BX221" s="52">
        <f t="shared" si="331"/>
        <v>7</v>
      </c>
      <c r="BZ221">
        <f t="shared" si="332"/>
        <v>0</v>
      </c>
      <c r="CA221">
        <f t="shared" si="333"/>
        <v>0</v>
      </c>
      <c r="CB221">
        <f t="shared" si="333"/>
        <v>0</v>
      </c>
      <c r="CC221">
        <f t="shared" si="333"/>
        <v>0</v>
      </c>
      <c r="CD221">
        <f t="shared" si="333"/>
        <v>0</v>
      </c>
      <c r="CE221">
        <f t="shared" si="333"/>
        <v>0</v>
      </c>
      <c r="CF221">
        <f t="shared" si="333"/>
        <v>0</v>
      </c>
      <c r="CG221">
        <f t="shared" si="333"/>
        <v>0</v>
      </c>
      <c r="CH221">
        <f t="shared" si="333"/>
        <v>0</v>
      </c>
      <c r="CI221">
        <f t="shared" si="333"/>
        <v>0</v>
      </c>
      <c r="CJ221">
        <f t="shared" si="333"/>
        <v>0</v>
      </c>
      <c r="CK221">
        <f t="shared" si="333"/>
        <v>0</v>
      </c>
      <c r="CL221">
        <f t="shared" si="333"/>
        <v>0</v>
      </c>
      <c r="CM221">
        <f t="shared" si="333"/>
        <v>-1</v>
      </c>
      <c r="CN221">
        <f t="shared" si="333"/>
        <v>1</v>
      </c>
      <c r="CO221">
        <f t="shared" si="333"/>
        <v>0</v>
      </c>
      <c r="CP221">
        <f t="shared" si="333"/>
        <v>0</v>
      </c>
      <c r="CQ221">
        <f t="shared" si="335"/>
        <v>0</v>
      </c>
      <c r="CR221">
        <f t="shared" si="336"/>
        <v>1</v>
      </c>
      <c r="CS221">
        <f t="shared" si="337"/>
        <v>-1</v>
      </c>
      <c r="CT221">
        <f t="shared" si="338"/>
        <v>0</v>
      </c>
      <c r="CU221">
        <f t="shared" si="339"/>
        <v>0</v>
      </c>
      <c r="CV221">
        <f t="shared" si="340"/>
        <v>0</v>
      </c>
      <c r="CW221">
        <f t="shared" si="341"/>
        <v>0</v>
      </c>
    </row>
    <row r="222" spans="1:102">
      <c r="A222" s="60">
        <v>45144</v>
      </c>
      <c r="B222" s="426">
        <v>61336.4</v>
      </c>
      <c r="C222">
        <v>61769.9</v>
      </c>
      <c r="D222">
        <v>61808.1</v>
      </c>
      <c r="E222">
        <v>61781.599999999999</v>
      </c>
      <c r="F222">
        <v>61849.1</v>
      </c>
      <c r="G222">
        <v>74455.3</v>
      </c>
      <c r="H222">
        <v>76060.100000000006</v>
      </c>
      <c r="I222">
        <v>76855.399999999994</v>
      </c>
      <c r="J222">
        <v>76609.899999999994</v>
      </c>
      <c r="K222">
        <v>76393.3</v>
      </c>
      <c r="L222">
        <v>76972.800000000003</v>
      </c>
      <c r="M222">
        <v>76341.399999999994</v>
      </c>
      <c r="N222">
        <v>76187.199999999997</v>
      </c>
      <c r="O222">
        <v>76413.600000000006</v>
      </c>
      <c r="P222">
        <v>76510.399999999994</v>
      </c>
      <c r="Q222">
        <v>76371.899999999994</v>
      </c>
      <c r="R222">
        <v>76603</v>
      </c>
      <c r="S222">
        <v>63721.5</v>
      </c>
      <c r="T222">
        <v>62497.1</v>
      </c>
      <c r="U222">
        <v>62765.4</v>
      </c>
      <c r="V222">
        <v>61602.400000000001</v>
      </c>
      <c r="W222">
        <v>63005.9</v>
      </c>
      <c r="X222">
        <v>62850.8</v>
      </c>
      <c r="Y222">
        <v>62980.7</v>
      </c>
      <c r="Z222" s="77">
        <v>1663743.1999999997</v>
      </c>
      <c r="AB222">
        <f t="shared" si="342"/>
        <v>0</v>
      </c>
      <c r="AC222">
        <f t="shared" si="343"/>
        <v>0</v>
      </c>
      <c r="AD222">
        <f t="shared" si="344"/>
        <v>0</v>
      </c>
      <c r="AE222">
        <f t="shared" si="345"/>
        <v>0</v>
      </c>
      <c r="AF222">
        <f t="shared" si="346"/>
        <v>0</v>
      </c>
      <c r="AG222">
        <f t="shared" si="347"/>
        <v>0</v>
      </c>
      <c r="AH222">
        <f t="shared" si="348"/>
        <v>0</v>
      </c>
      <c r="AI222">
        <f t="shared" si="349"/>
        <v>0</v>
      </c>
      <c r="AJ222">
        <f t="shared" si="350"/>
        <v>0</v>
      </c>
      <c r="AK222">
        <f t="shared" si="351"/>
        <v>0</v>
      </c>
      <c r="AL222">
        <f t="shared" si="352"/>
        <v>0</v>
      </c>
      <c r="AM222">
        <f t="shared" si="353"/>
        <v>0</v>
      </c>
      <c r="AN222">
        <f t="shared" si="354"/>
        <v>0</v>
      </c>
      <c r="AO222">
        <f t="shared" si="355"/>
        <v>0</v>
      </c>
      <c r="AP222">
        <f t="shared" si="356"/>
        <v>0</v>
      </c>
      <c r="AQ222">
        <f t="shared" si="357"/>
        <v>0</v>
      </c>
      <c r="AR222">
        <f t="shared" si="358"/>
        <v>0</v>
      </c>
      <c r="AS222">
        <f t="shared" si="359"/>
        <v>0</v>
      </c>
      <c r="AT222">
        <f t="shared" si="360"/>
        <v>0</v>
      </c>
      <c r="AU222">
        <f t="shared" si="361"/>
        <v>0</v>
      </c>
      <c r="AV222">
        <f t="shared" si="362"/>
        <v>0</v>
      </c>
      <c r="AW222">
        <f t="shared" si="363"/>
        <v>0</v>
      </c>
      <c r="AX222">
        <f t="shared" si="364"/>
        <v>0</v>
      </c>
      <c r="AY222">
        <f t="shared" si="365"/>
        <v>0</v>
      </c>
      <c r="BA222">
        <f t="shared" si="308"/>
        <v>7</v>
      </c>
      <c r="BB222">
        <f t="shared" si="309"/>
        <v>8</v>
      </c>
      <c r="BC222">
        <f t="shared" si="310"/>
        <v>8</v>
      </c>
      <c r="BD222">
        <f t="shared" si="311"/>
        <v>8</v>
      </c>
      <c r="BE222">
        <f t="shared" si="312"/>
        <v>8</v>
      </c>
      <c r="BF222">
        <f t="shared" si="313"/>
        <v>9</v>
      </c>
      <c r="BG222">
        <f t="shared" si="314"/>
        <v>9</v>
      </c>
      <c r="BH222">
        <f t="shared" si="315"/>
        <v>9</v>
      </c>
      <c r="BI222">
        <f t="shared" si="316"/>
        <v>9</v>
      </c>
      <c r="BJ222">
        <f t="shared" si="317"/>
        <v>9</v>
      </c>
      <c r="BK222">
        <f t="shared" si="318"/>
        <v>9</v>
      </c>
      <c r="BL222">
        <f t="shared" si="319"/>
        <v>9</v>
      </c>
      <c r="BM222">
        <f t="shared" si="320"/>
        <v>9</v>
      </c>
      <c r="BN222">
        <f t="shared" si="321"/>
        <v>9</v>
      </c>
      <c r="BO222">
        <f t="shared" si="322"/>
        <v>9</v>
      </c>
      <c r="BP222">
        <f t="shared" si="323"/>
        <v>9</v>
      </c>
      <c r="BQ222">
        <f t="shared" si="324"/>
        <v>9</v>
      </c>
      <c r="BR222">
        <f t="shared" si="325"/>
        <v>8</v>
      </c>
      <c r="BS222">
        <f t="shared" si="326"/>
        <v>8</v>
      </c>
      <c r="BT222">
        <f t="shared" si="327"/>
        <v>8</v>
      </c>
      <c r="BU222">
        <f t="shared" si="328"/>
        <v>8</v>
      </c>
      <c r="BV222">
        <f t="shared" si="329"/>
        <v>8</v>
      </c>
      <c r="BW222">
        <f t="shared" si="330"/>
        <v>8</v>
      </c>
      <c r="BX222">
        <f t="shared" si="331"/>
        <v>8</v>
      </c>
      <c r="BZ222" s="52">
        <f t="shared" si="332"/>
        <v>0</v>
      </c>
      <c r="CA222" s="52">
        <f t="shared" si="333"/>
        <v>1</v>
      </c>
      <c r="CB222" s="52">
        <f t="shared" si="333"/>
        <v>0</v>
      </c>
      <c r="CC222" s="52">
        <f t="shared" si="333"/>
        <v>0</v>
      </c>
      <c r="CD222" s="52">
        <f t="shared" si="333"/>
        <v>0</v>
      </c>
      <c r="CE222" s="52">
        <f t="shared" si="333"/>
        <v>1</v>
      </c>
      <c r="CF222" s="52">
        <f t="shared" si="333"/>
        <v>0</v>
      </c>
      <c r="CG222" s="52">
        <f t="shared" si="333"/>
        <v>0</v>
      </c>
      <c r="CH222" s="52">
        <f t="shared" si="333"/>
        <v>0</v>
      </c>
      <c r="CI222" s="52">
        <f t="shared" si="333"/>
        <v>0</v>
      </c>
      <c r="CJ222" s="52">
        <f t="shared" si="333"/>
        <v>0</v>
      </c>
      <c r="CK222" s="52">
        <f t="shared" si="333"/>
        <v>0</v>
      </c>
      <c r="CL222" s="52">
        <f t="shared" si="333"/>
        <v>0</v>
      </c>
      <c r="CM222" s="52">
        <f t="shared" si="333"/>
        <v>0</v>
      </c>
      <c r="CN222" s="52">
        <f t="shared" si="333"/>
        <v>0</v>
      </c>
      <c r="CO222" s="52">
        <f t="shared" si="333"/>
        <v>0</v>
      </c>
      <c r="CP222" s="52">
        <f t="shared" si="333"/>
        <v>0</v>
      </c>
      <c r="CQ222" s="52">
        <f t="shared" si="335"/>
        <v>-1</v>
      </c>
      <c r="CR222" s="52">
        <f t="shared" si="336"/>
        <v>0</v>
      </c>
      <c r="CS222" s="52">
        <f t="shared" si="337"/>
        <v>0</v>
      </c>
      <c r="CT222" s="52">
        <f t="shared" si="338"/>
        <v>0</v>
      </c>
      <c r="CU222" s="52">
        <f t="shared" si="339"/>
        <v>0</v>
      </c>
      <c r="CV222" s="52">
        <f t="shared" si="340"/>
        <v>0</v>
      </c>
      <c r="CW222" s="52">
        <f t="shared" si="341"/>
        <v>0</v>
      </c>
    </row>
    <row r="223" spans="1:102">
      <c r="A223" s="60">
        <v>45145</v>
      </c>
      <c r="B223" s="426">
        <v>63009.9</v>
      </c>
      <c r="C223">
        <v>62508.800000000003</v>
      </c>
      <c r="D223">
        <v>62363.7</v>
      </c>
      <c r="E223">
        <v>62400.5</v>
      </c>
      <c r="F223">
        <v>62420</v>
      </c>
      <c r="G223">
        <v>62371.6</v>
      </c>
      <c r="H223">
        <v>62348.4</v>
      </c>
      <c r="I223">
        <v>62445.8</v>
      </c>
      <c r="J223">
        <v>62835.9</v>
      </c>
      <c r="K223">
        <v>62574.5</v>
      </c>
      <c r="L223">
        <v>62714.5</v>
      </c>
      <c r="M223">
        <v>62553.5</v>
      </c>
      <c r="N223">
        <v>62402.7</v>
      </c>
      <c r="O223">
        <v>62467.3</v>
      </c>
      <c r="P223">
        <v>62448.2</v>
      </c>
      <c r="Q223">
        <v>62671</v>
      </c>
      <c r="R223">
        <v>62991.7</v>
      </c>
      <c r="S223">
        <v>61918.5</v>
      </c>
      <c r="T223">
        <v>62032.4</v>
      </c>
      <c r="U223">
        <v>62132.1</v>
      </c>
      <c r="V223">
        <v>62778.5</v>
      </c>
      <c r="W223">
        <v>62627.7</v>
      </c>
      <c r="X223">
        <v>61970.7</v>
      </c>
      <c r="Y223">
        <v>61882.400000000001</v>
      </c>
      <c r="Z223" s="77">
        <v>1498870.2999999998</v>
      </c>
      <c r="AB223" s="52">
        <f t="shared" si="342"/>
        <v>0</v>
      </c>
      <c r="AC223" s="52">
        <f t="shared" si="343"/>
        <v>0</v>
      </c>
      <c r="AD223" s="52">
        <f t="shared" si="344"/>
        <v>0</v>
      </c>
      <c r="AE223" s="52">
        <f t="shared" si="345"/>
        <v>0</v>
      </c>
      <c r="AF223" s="52">
        <f t="shared" si="346"/>
        <v>0</v>
      </c>
      <c r="AG223" s="52">
        <f t="shared" si="347"/>
        <v>0</v>
      </c>
      <c r="AH223" s="52">
        <f t="shared" si="348"/>
        <v>0</v>
      </c>
      <c r="AI223" s="52">
        <f t="shared" si="349"/>
        <v>0</v>
      </c>
      <c r="AJ223" s="52">
        <f t="shared" si="350"/>
        <v>0</v>
      </c>
      <c r="AK223" s="52">
        <f t="shared" si="351"/>
        <v>0</v>
      </c>
      <c r="AL223" s="52">
        <f t="shared" si="352"/>
        <v>0</v>
      </c>
      <c r="AM223" s="52">
        <f t="shared" si="353"/>
        <v>0</v>
      </c>
      <c r="AN223" s="52">
        <f t="shared" si="354"/>
        <v>0</v>
      </c>
      <c r="AO223" s="52">
        <f t="shared" si="355"/>
        <v>0</v>
      </c>
      <c r="AP223" s="52">
        <f t="shared" si="356"/>
        <v>0</v>
      </c>
      <c r="AQ223" s="52">
        <f t="shared" si="357"/>
        <v>0</v>
      </c>
      <c r="AR223" s="52">
        <f t="shared" si="358"/>
        <v>0</v>
      </c>
      <c r="AS223" s="52">
        <f t="shared" si="359"/>
        <v>0</v>
      </c>
      <c r="AT223" s="52">
        <f t="shared" si="360"/>
        <v>0</v>
      </c>
      <c r="AU223" s="52">
        <f t="shared" si="361"/>
        <v>0</v>
      </c>
      <c r="AV223" s="52">
        <f t="shared" si="362"/>
        <v>0</v>
      </c>
      <c r="AW223" s="52">
        <f t="shared" si="363"/>
        <v>0</v>
      </c>
      <c r="AX223" s="52">
        <f t="shared" si="364"/>
        <v>0</v>
      </c>
      <c r="AY223" s="52">
        <f t="shared" si="365"/>
        <v>0</v>
      </c>
      <c r="BA223" s="52">
        <f t="shared" si="308"/>
        <v>8</v>
      </c>
      <c r="BB223" s="52">
        <f t="shared" si="309"/>
        <v>8</v>
      </c>
      <c r="BC223" s="52">
        <f t="shared" si="310"/>
        <v>8</v>
      </c>
      <c r="BD223" s="52">
        <f t="shared" si="311"/>
        <v>8</v>
      </c>
      <c r="BE223" s="52">
        <f t="shared" si="312"/>
        <v>8</v>
      </c>
      <c r="BF223" s="52">
        <f t="shared" si="313"/>
        <v>8</v>
      </c>
      <c r="BG223" s="52">
        <f t="shared" si="314"/>
        <v>8</v>
      </c>
      <c r="BH223" s="52">
        <f t="shared" si="315"/>
        <v>8</v>
      </c>
      <c r="BI223" s="52">
        <f t="shared" si="316"/>
        <v>8</v>
      </c>
      <c r="BJ223" s="52">
        <f t="shared" si="317"/>
        <v>8</v>
      </c>
      <c r="BK223" s="52">
        <f t="shared" si="318"/>
        <v>8</v>
      </c>
      <c r="BL223" s="52">
        <f t="shared" si="319"/>
        <v>8</v>
      </c>
      <c r="BM223" s="52">
        <f t="shared" si="320"/>
        <v>8</v>
      </c>
      <c r="BN223" s="52">
        <f t="shared" si="321"/>
        <v>8</v>
      </c>
      <c r="BO223" s="52">
        <f t="shared" si="322"/>
        <v>8</v>
      </c>
      <c r="BP223" s="52">
        <f t="shared" si="323"/>
        <v>8</v>
      </c>
      <c r="BQ223" s="52">
        <f t="shared" si="324"/>
        <v>8</v>
      </c>
      <c r="BR223" s="52">
        <f t="shared" si="325"/>
        <v>8</v>
      </c>
      <c r="BS223" s="52">
        <f t="shared" si="326"/>
        <v>8</v>
      </c>
      <c r="BT223" s="52">
        <f t="shared" si="327"/>
        <v>8</v>
      </c>
      <c r="BU223" s="52">
        <f t="shared" si="328"/>
        <v>8</v>
      </c>
      <c r="BV223" s="52">
        <f t="shared" si="329"/>
        <v>8</v>
      </c>
      <c r="BW223" s="52">
        <f t="shared" si="330"/>
        <v>8</v>
      </c>
      <c r="BX223" s="52">
        <f t="shared" si="331"/>
        <v>8</v>
      </c>
      <c r="BZ223">
        <f t="shared" si="332"/>
        <v>0</v>
      </c>
      <c r="CA223">
        <f t="shared" si="333"/>
        <v>0</v>
      </c>
      <c r="CB223">
        <f t="shared" si="333"/>
        <v>0</v>
      </c>
      <c r="CC223">
        <f t="shared" si="333"/>
        <v>0</v>
      </c>
      <c r="CD223">
        <f t="shared" si="333"/>
        <v>0</v>
      </c>
      <c r="CE223">
        <f t="shared" si="333"/>
        <v>0</v>
      </c>
      <c r="CF223">
        <f t="shared" si="333"/>
        <v>0</v>
      </c>
      <c r="CG223">
        <f t="shared" si="333"/>
        <v>0</v>
      </c>
      <c r="CH223">
        <f t="shared" si="333"/>
        <v>0</v>
      </c>
      <c r="CI223">
        <f t="shared" si="333"/>
        <v>0</v>
      </c>
      <c r="CJ223">
        <f t="shared" si="333"/>
        <v>0</v>
      </c>
      <c r="CK223">
        <f t="shared" si="333"/>
        <v>0</v>
      </c>
      <c r="CL223">
        <f t="shared" si="333"/>
        <v>0</v>
      </c>
      <c r="CM223">
        <f t="shared" si="333"/>
        <v>0</v>
      </c>
      <c r="CN223">
        <f t="shared" si="333"/>
        <v>0</v>
      </c>
      <c r="CO223">
        <f t="shared" si="333"/>
        <v>0</v>
      </c>
      <c r="CP223">
        <f t="shared" si="333"/>
        <v>0</v>
      </c>
      <c r="CQ223">
        <f t="shared" si="335"/>
        <v>0</v>
      </c>
      <c r="CR223">
        <f t="shared" si="336"/>
        <v>0</v>
      </c>
      <c r="CS223">
        <f t="shared" si="337"/>
        <v>0</v>
      </c>
      <c r="CT223">
        <f t="shared" si="338"/>
        <v>0</v>
      </c>
      <c r="CU223">
        <f t="shared" si="339"/>
        <v>0</v>
      </c>
      <c r="CV223">
        <f t="shared" si="340"/>
        <v>0</v>
      </c>
      <c r="CW223">
        <f t="shared" si="341"/>
        <v>0</v>
      </c>
    </row>
    <row r="224" spans="1:102">
      <c r="A224" s="60">
        <v>45146</v>
      </c>
      <c r="B224" s="426">
        <v>61760.6</v>
      </c>
      <c r="C224">
        <v>62090.5</v>
      </c>
      <c r="D224">
        <v>62036.4</v>
      </c>
      <c r="E224">
        <v>62115.199999999997</v>
      </c>
      <c r="F224">
        <v>62065</v>
      </c>
      <c r="G224">
        <v>61993.4</v>
      </c>
      <c r="H224">
        <v>62451.3</v>
      </c>
      <c r="I224">
        <v>61916.4</v>
      </c>
      <c r="J224">
        <v>63131.1</v>
      </c>
      <c r="K224">
        <v>62896.5</v>
      </c>
      <c r="L224">
        <v>63138.9</v>
      </c>
      <c r="M224">
        <v>63150.8</v>
      </c>
      <c r="N224">
        <v>63069.599999999999</v>
      </c>
      <c r="O224">
        <v>63209.3</v>
      </c>
      <c r="P224">
        <v>63110.6</v>
      </c>
      <c r="Q224">
        <v>63195.3</v>
      </c>
      <c r="R224">
        <v>62848.3</v>
      </c>
      <c r="S224">
        <v>63012.1</v>
      </c>
      <c r="T224">
        <v>62858.6</v>
      </c>
      <c r="U224">
        <v>62931.4</v>
      </c>
      <c r="V224">
        <v>62153</v>
      </c>
      <c r="W224">
        <v>62266.7</v>
      </c>
      <c r="X224">
        <v>62132.3</v>
      </c>
      <c r="Y224">
        <v>62273</v>
      </c>
      <c r="Z224" s="77">
        <v>1501806.3000000003</v>
      </c>
      <c r="AB224">
        <f t="shared" si="342"/>
        <v>0</v>
      </c>
      <c r="AC224">
        <f t="shared" si="343"/>
        <v>0</v>
      </c>
      <c r="AD224">
        <f t="shared" si="344"/>
        <v>0</v>
      </c>
      <c r="AE224">
        <f t="shared" si="345"/>
        <v>0</v>
      </c>
      <c r="AF224">
        <f t="shared" si="346"/>
        <v>0</v>
      </c>
      <c r="AG224">
        <f t="shared" si="347"/>
        <v>0</v>
      </c>
      <c r="AH224">
        <f t="shared" si="348"/>
        <v>0</v>
      </c>
      <c r="AI224">
        <f t="shared" si="349"/>
        <v>0</v>
      </c>
      <c r="AJ224">
        <f t="shared" si="350"/>
        <v>0</v>
      </c>
      <c r="AK224">
        <f t="shared" si="351"/>
        <v>0</v>
      </c>
      <c r="AL224">
        <f t="shared" si="352"/>
        <v>0</v>
      </c>
      <c r="AM224">
        <f t="shared" si="353"/>
        <v>0</v>
      </c>
      <c r="AN224">
        <f t="shared" si="354"/>
        <v>0</v>
      </c>
      <c r="AO224">
        <f t="shared" si="355"/>
        <v>0</v>
      </c>
      <c r="AP224">
        <f t="shared" si="356"/>
        <v>0</v>
      </c>
      <c r="AQ224">
        <f t="shared" si="357"/>
        <v>0</v>
      </c>
      <c r="AR224">
        <f t="shared" si="358"/>
        <v>0</v>
      </c>
      <c r="AS224">
        <f t="shared" si="359"/>
        <v>0</v>
      </c>
      <c r="AT224">
        <f t="shared" si="360"/>
        <v>0</v>
      </c>
      <c r="AU224">
        <f t="shared" si="361"/>
        <v>0</v>
      </c>
      <c r="AV224">
        <f t="shared" si="362"/>
        <v>0</v>
      </c>
      <c r="AW224">
        <f t="shared" si="363"/>
        <v>0</v>
      </c>
      <c r="AX224">
        <f t="shared" si="364"/>
        <v>0</v>
      </c>
      <c r="AY224">
        <f t="shared" si="365"/>
        <v>0</v>
      </c>
      <c r="BA224">
        <f t="shared" si="308"/>
        <v>8</v>
      </c>
      <c r="BB224">
        <f t="shared" si="309"/>
        <v>8</v>
      </c>
      <c r="BC224">
        <f t="shared" si="310"/>
        <v>8</v>
      </c>
      <c r="BD224">
        <f t="shared" si="311"/>
        <v>8</v>
      </c>
      <c r="BE224">
        <f t="shared" si="312"/>
        <v>8</v>
      </c>
      <c r="BF224">
        <f t="shared" si="313"/>
        <v>8</v>
      </c>
      <c r="BG224">
        <f t="shared" si="314"/>
        <v>8</v>
      </c>
      <c r="BH224">
        <f t="shared" si="315"/>
        <v>8</v>
      </c>
      <c r="BI224">
        <f t="shared" si="316"/>
        <v>8</v>
      </c>
      <c r="BJ224">
        <f t="shared" si="317"/>
        <v>8</v>
      </c>
      <c r="BK224">
        <f t="shared" si="318"/>
        <v>8</v>
      </c>
      <c r="BL224">
        <f t="shared" si="319"/>
        <v>8</v>
      </c>
      <c r="BM224">
        <f t="shared" si="320"/>
        <v>8</v>
      </c>
      <c r="BN224">
        <f t="shared" si="321"/>
        <v>8</v>
      </c>
      <c r="BO224">
        <f t="shared" si="322"/>
        <v>8</v>
      </c>
      <c r="BP224">
        <f t="shared" si="323"/>
        <v>8</v>
      </c>
      <c r="BQ224">
        <f t="shared" si="324"/>
        <v>8</v>
      </c>
      <c r="BR224">
        <f t="shared" si="325"/>
        <v>8</v>
      </c>
      <c r="BS224">
        <f t="shared" si="326"/>
        <v>8</v>
      </c>
      <c r="BT224">
        <f t="shared" si="327"/>
        <v>8</v>
      </c>
      <c r="BU224">
        <f t="shared" si="328"/>
        <v>8</v>
      </c>
      <c r="BV224">
        <f t="shared" si="329"/>
        <v>8</v>
      </c>
      <c r="BW224">
        <f t="shared" si="330"/>
        <v>8</v>
      </c>
      <c r="BX224">
        <f t="shared" si="331"/>
        <v>8</v>
      </c>
      <c r="BZ224" s="52">
        <f t="shared" si="332"/>
        <v>0</v>
      </c>
      <c r="CA224" s="52">
        <f t="shared" si="333"/>
        <v>0</v>
      </c>
      <c r="CB224" s="52">
        <f t="shared" si="333"/>
        <v>0</v>
      </c>
      <c r="CC224" s="52">
        <f t="shared" si="333"/>
        <v>0</v>
      </c>
      <c r="CD224" s="52">
        <f t="shared" si="333"/>
        <v>0</v>
      </c>
      <c r="CE224" s="52">
        <f t="shared" si="333"/>
        <v>0</v>
      </c>
      <c r="CF224" s="52">
        <f t="shared" si="333"/>
        <v>0</v>
      </c>
      <c r="CG224" s="52">
        <f t="shared" si="333"/>
        <v>0</v>
      </c>
      <c r="CH224" s="52">
        <f t="shared" si="333"/>
        <v>0</v>
      </c>
      <c r="CI224" s="52">
        <f t="shared" si="333"/>
        <v>0</v>
      </c>
      <c r="CJ224" s="52">
        <f t="shared" si="333"/>
        <v>0</v>
      </c>
      <c r="CK224" s="52">
        <f t="shared" si="333"/>
        <v>0</v>
      </c>
      <c r="CL224" s="52">
        <f t="shared" si="333"/>
        <v>0</v>
      </c>
      <c r="CM224" s="52">
        <f t="shared" si="333"/>
        <v>0</v>
      </c>
      <c r="CN224" s="52">
        <f t="shared" si="333"/>
        <v>0</v>
      </c>
      <c r="CO224" s="52">
        <f t="shared" si="333"/>
        <v>0</v>
      </c>
      <c r="CP224" s="52">
        <f t="shared" si="333"/>
        <v>0</v>
      </c>
      <c r="CQ224" s="52">
        <f t="shared" si="335"/>
        <v>0</v>
      </c>
      <c r="CR224" s="52">
        <f t="shared" si="336"/>
        <v>0</v>
      </c>
      <c r="CS224" s="52">
        <f t="shared" si="337"/>
        <v>0</v>
      </c>
      <c r="CT224" s="52">
        <f t="shared" si="338"/>
        <v>0</v>
      </c>
      <c r="CU224" s="52">
        <f t="shared" si="339"/>
        <v>0</v>
      </c>
      <c r="CV224" s="52">
        <f t="shared" si="340"/>
        <v>0</v>
      </c>
      <c r="CW224" s="52">
        <f t="shared" si="341"/>
        <v>0</v>
      </c>
    </row>
    <row r="225" spans="1:101">
      <c r="A225" s="60">
        <v>45147</v>
      </c>
      <c r="B225" s="426">
        <v>60122.9</v>
      </c>
      <c r="C225">
        <v>60040.800000000003</v>
      </c>
      <c r="D225">
        <v>60128.6</v>
      </c>
      <c r="E225">
        <v>59995.9</v>
      </c>
      <c r="F225">
        <v>60166.5</v>
      </c>
      <c r="G225">
        <v>59948.5</v>
      </c>
      <c r="H225">
        <v>60027.9</v>
      </c>
      <c r="I225">
        <v>60414.2</v>
      </c>
      <c r="J225">
        <v>61201.9</v>
      </c>
      <c r="K225">
        <v>61312.5</v>
      </c>
      <c r="L225">
        <v>61309.7</v>
      </c>
      <c r="M225">
        <v>61252.3</v>
      </c>
      <c r="N225">
        <v>61323.6</v>
      </c>
      <c r="O225">
        <v>68386.399999999994</v>
      </c>
      <c r="P225">
        <v>76141.399999999994</v>
      </c>
      <c r="Q225">
        <v>76024.100000000006</v>
      </c>
      <c r="R225">
        <v>76107.899999999994</v>
      </c>
      <c r="S225">
        <v>74020.7</v>
      </c>
      <c r="T225">
        <v>62927.4</v>
      </c>
      <c r="U225">
        <v>60032.3</v>
      </c>
      <c r="V225">
        <v>60049.8</v>
      </c>
      <c r="W225">
        <v>71423.8</v>
      </c>
      <c r="X225">
        <v>76020.399999999994</v>
      </c>
      <c r="Y225">
        <v>74384.7</v>
      </c>
      <c r="Z225" s="77">
        <v>1562764.2</v>
      </c>
      <c r="AB225" s="52">
        <f t="shared" si="342"/>
        <v>0</v>
      </c>
      <c r="AC225" s="52">
        <f t="shared" si="343"/>
        <v>0</v>
      </c>
      <c r="AD225" s="52">
        <f t="shared" si="344"/>
        <v>0</v>
      </c>
      <c r="AE225" s="52">
        <f t="shared" si="345"/>
        <v>0</v>
      </c>
      <c r="AF225" s="52">
        <f t="shared" si="346"/>
        <v>0</v>
      </c>
      <c r="AG225" s="52">
        <f t="shared" si="347"/>
        <v>0</v>
      </c>
      <c r="AH225" s="52">
        <f t="shared" si="348"/>
        <v>0</v>
      </c>
      <c r="AI225" s="52">
        <f t="shared" si="349"/>
        <v>0</v>
      </c>
      <c r="AJ225" s="52">
        <f t="shared" si="350"/>
        <v>0</v>
      </c>
      <c r="AK225" s="52">
        <f t="shared" si="351"/>
        <v>0</v>
      </c>
      <c r="AL225" s="52">
        <f t="shared" si="352"/>
        <v>0</v>
      </c>
      <c r="AM225" s="52">
        <f t="shared" si="353"/>
        <v>0</v>
      </c>
      <c r="AN225" s="52">
        <f t="shared" si="354"/>
        <v>0</v>
      </c>
      <c r="AO225" s="52">
        <f t="shared" si="355"/>
        <v>0</v>
      </c>
      <c r="AP225" s="52">
        <f t="shared" si="356"/>
        <v>0</v>
      </c>
      <c r="AQ225" s="52">
        <f t="shared" si="357"/>
        <v>0</v>
      </c>
      <c r="AR225" s="52">
        <f t="shared" si="358"/>
        <v>0</v>
      </c>
      <c r="AS225" s="52">
        <f t="shared" si="359"/>
        <v>0</v>
      </c>
      <c r="AT225" s="52">
        <f t="shared" si="360"/>
        <v>0</v>
      </c>
      <c r="AU225" s="52">
        <f t="shared" si="361"/>
        <v>0</v>
      </c>
      <c r="AV225" s="52">
        <f t="shared" si="362"/>
        <v>0</v>
      </c>
      <c r="AW225" s="52">
        <f t="shared" si="363"/>
        <v>0</v>
      </c>
      <c r="AX225" s="52">
        <f t="shared" si="364"/>
        <v>0</v>
      </c>
      <c r="AY225" s="52">
        <f t="shared" si="365"/>
        <v>0</v>
      </c>
      <c r="BA225" s="52">
        <f t="shared" si="308"/>
        <v>7</v>
      </c>
      <c r="BB225" s="52">
        <f t="shared" si="309"/>
        <v>7</v>
      </c>
      <c r="BC225" s="52">
        <f t="shared" si="310"/>
        <v>7</v>
      </c>
      <c r="BD225" s="52">
        <f t="shared" si="311"/>
        <v>7</v>
      </c>
      <c r="BE225" s="52">
        <f t="shared" si="312"/>
        <v>7</v>
      </c>
      <c r="BF225" s="52">
        <f t="shared" si="313"/>
        <v>7</v>
      </c>
      <c r="BG225" s="52">
        <f t="shared" si="314"/>
        <v>7</v>
      </c>
      <c r="BH225" s="52">
        <f t="shared" si="315"/>
        <v>7</v>
      </c>
      <c r="BI225" s="52">
        <f t="shared" si="316"/>
        <v>7</v>
      </c>
      <c r="BJ225" s="52">
        <f t="shared" si="317"/>
        <v>7</v>
      </c>
      <c r="BK225" s="52">
        <f t="shared" si="318"/>
        <v>7</v>
      </c>
      <c r="BL225" s="52">
        <f t="shared" si="319"/>
        <v>7</v>
      </c>
      <c r="BM225" s="52">
        <f t="shared" si="320"/>
        <v>7</v>
      </c>
      <c r="BN225" s="52">
        <f t="shared" si="321"/>
        <v>8</v>
      </c>
      <c r="BO225" s="52">
        <f t="shared" si="322"/>
        <v>9</v>
      </c>
      <c r="BP225" s="52">
        <f t="shared" si="323"/>
        <v>9</v>
      </c>
      <c r="BQ225" s="52">
        <f t="shared" si="324"/>
        <v>9</v>
      </c>
      <c r="BR225" s="52">
        <f t="shared" si="325"/>
        <v>9</v>
      </c>
      <c r="BS225" s="52">
        <f t="shared" si="326"/>
        <v>8</v>
      </c>
      <c r="BT225" s="52">
        <f t="shared" si="327"/>
        <v>7</v>
      </c>
      <c r="BU225" s="52">
        <f t="shared" si="328"/>
        <v>7</v>
      </c>
      <c r="BV225" s="52">
        <f t="shared" si="329"/>
        <v>9</v>
      </c>
      <c r="BW225" s="52">
        <f t="shared" si="330"/>
        <v>9</v>
      </c>
      <c r="BX225" s="52">
        <f t="shared" si="331"/>
        <v>9</v>
      </c>
      <c r="BZ225">
        <f t="shared" si="332"/>
        <v>-1</v>
      </c>
      <c r="CA225">
        <f t="shared" si="333"/>
        <v>0</v>
      </c>
      <c r="CB225">
        <f t="shared" si="333"/>
        <v>0</v>
      </c>
      <c r="CC225">
        <f t="shared" si="333"/>
        <v>0</v>
      </c>
      <c r="CD225">
        <f t="shared" si="333"/>
        <v>0</v>
      </c>
      <c r="CE225">
        <f t="shared" si="333"/>
        <v>0</v>
      </c>
      <c r="CF225">
        <f t="shared" si="333"/>
        <v>0</v>
      </c>
      <c r="CG225">
        <f t="shared" si="333"/>
        <v>0</v>
      </c>
      <c r="CH225">
        <f t="shared" si="333"/>
        <v>0</v>
      </c>
      <c r="CI225">
        <f t="shared" si="333"/>
        <v>0</v>
      </c>
      <c r="CJ225">
        <f t="shared" si="333"/>
        <v>0</v>
      </c>
      <c r="CK225">
        <f t="shared" si="333"/>
        <v>0</v>
      </c>
      <c r="CL225">
        <f t="shared" si="333"/>
        <v>0</v>
      </c>
      <c r="CM225">
        <f t="shared" si="333"/>
        <v>1</v>
      </c>
      <c r="CN225">
        <f t="shared" si="333"/>
        <v>1</v>
      </c>
      <c r="CO225">
        <f t="shared" si="333"/>
        <v>0</v>
      </c>
      <c r="CP225">
        <f t="shared" si="333"/>
        <v>0</v>
      </c>
      <c r="CQ225">
        <f t="shared" si="335"/>
        <v>0</v>
      </c>
      <c r="CR225">
        <f t="shared" si="336"/>
        <v>-1</v>
      </c>
      <c r="CS225">
        <f t="shared" si="337"/>
        <v>-1</v>
      </c>
      <c r="CT225">
        <f t="shared" si="338"/>
        <v>0</v>
      </c>
      <c r="CU225">
        <f t="shared" si="339"/>
        <v>2</v>
      </c>
      <c r="CV225">
        <f t="shared" si="340"/>
        <v>0</v>
      </c>
      <c r="CW225">
        <f t="shared" si="341"/>
        <v>0</v>
      </c>
    </row>
    <row r="226" spans="1:101">
      <c r="A226" s="60">
        <v>45148</v>
      </c>
      <c r="B226" s="426">
        <v>50558.1</v>
      </c>
      <c r="C226">
        <v>50901.3</v>
      </c>
      <c r="D226">
        <v>51014.1</v>
      </c>
      <c r="E226">
        <v>50944.3</v>
      </c>
      <c r="F226">
        <v>50642.9</v>
      </c>
      <c r="G226">
        <v>50717.1</v>
      </c>
      <c r="H226">
        <v>50538.8</v>
      </c>
      <c r="I226">
        <v>50785.3</v>
      </c>
      <c r="J226">
        <v>51597.599999999999</v>
      </c>
      <c r="K226">
        <v>50726.7</v>
      </c>
      <c r="L226">
        <v>50787.9</v>
      </c>
      <c r="M226">
        <v>50622.6</v>
      </c>
      <c r="N226">
        <v>50862.3</v>
      </c>
      <c r="O226">
        <v>51261.9</v>
      </c>
      <c r="P226">
        <v>51489.1</v>
      </c>
      <c r="Q226">
        <v>51462.5</v>
      </c>
      <c r="R226">
        <v>51392.7</v>
      </c>
      <c r="S226">
        <v>51423.9</v>
      </c>
      <c r="T226">
        <v>51404.3</v>
      </c>
      <c r="U226">
        <v>66714.899999999994</v>
      </c>
      <c r="V226">
        <v>67391.5</v>
      </c>
      <c r="W226">
        <v>60089</v>
      </c>
      <c r="X226">
        <v>67327.100000000006</v>
      </c>
      <c r="Y226">
        <v>66701.8</v>
      </c>
      <c r="Z226" s="77">
        <v>1297357.7000000002</v>
      </c>
      <c r="AB226">
        <f t="shared" si="342"/>
        <v>0</v>
      </c>
      <c r="AC226">
        <f t="shared" si="343"/>
        <v>0</v>
      </c>
      <c r="AD226">
        <f t="shared" si="344"/>
        <v>0</v>
      </c>
      <c r="AE226">
        <f t="shared" si="345"/>
        <v>0</v>
      </c>
      <c r="AF226">
        <f t="shared" si="346"/>
        <v>0</v>
      </c>
      <c r="AG226">
        <f t="shared" si="347"/>
        <v>0</v>
      </c>
      <c r="AH226">
        <f t="shared" si="348"/>
        <v>0</v>
      </c>
      <c r="AI226">
        <f t="shared" si="349"/>
        <v>0</v>
      </c>
      <c r="AJ226">
        <f t="shared" si="350"/>
        <v>0</v>
      </c>
      <c r="AK226">
        <f t="shared" si="351"/>
        <v>0</v>
      </c>
      <c r="AL226">
        <f t="shared" si="352"/>
        <v>0</v>
      </c>
      <c r="AM226">
        <f t="shared" si="353"/>
        <v>0</v>
      </c>
      <c r="AN226">
        <f t="shared" si="354"/>
        <v>0</v>
      </c>
      <c r="AO226">
        <f t="shared" si="355"/>
        <v>0</v>
      </c>
      <c r="AP226">
        <f t="shared" si="356"/>
        <v>0</v>
      </c>
      <c r="AQ226">
        <f t="shared" si="357"/>
        <v>0</v>
      </c>
      <c r="AR226">
        <f t="shared" si="358"/>
        <v>0</v>
      </c>
      <c r="AS226">
        <f t="shared" si="359"/>
        <v>0</v>
      </c>
      <c r="AT226">
        <f t="shared" si="360"/>
        <v>0</v>
      </c>
      <c r="AU226">
        <f t="shared" si="361"/>
        <v>0</v>
      </c>
      <c r="AV226">
        <f t="shared" si="362"/>
        <v>0</v>
      </c>
      <c r="AW226">
        <f t="shared" si="363"/>
        <v>0</v>
      </c>
      <c r="AX226">
        <f t="shared" si="364"/>
        <v>0</v>
      </c>
      <c r="AY226">
        <f t="shared" si="365"/>
        <v>0</v>
      </c>
      <c r="BA226">
        <f t="shared" si="308"/>
        <v>6</v>
      </c>
      <c r="BB226">
        <f t="shared" si="309"/>
        <v>6</v>
      </c>
      <c r="BC226">
        <f t="shared" si="310"/>
        <v>6</v>
      </c>
      <c r="BD226">
        <f t="shared" si="311"/>
        <v>6</v>
      </c>
      <c r="BE226">
        <f t="shared" si="312"/>
        <v>6</v>
      </c>
      <c r="BF226">
        <f t="shared" si="313"/>
        <v>6</v>
      </c>
      <c r="BG226">
        <f t="shared" si="314"/>
        <v>6</v>
      </c>
      <c r="BH226">
        <f t="shared" si="315"/>
        <v>6</v>
      </c>
      <c r="BI226">
        <f t="shared" si="316"/>
        <v>6</v>
      </c>
      <c r="BJ226">
        <f t="shared" si="317"/>
        <v>6</v>
      </c>
      <c r="BK226">
        <f t="shared" si="318"/>
        <v>6</v>
      </c>
      <c r="BL226">
        <f t="shared" si="319"/>
        <v>6</v>
      </c>
      <c r="BM226">
        <f t="shared" si="320"/>
        <v>6</v>
      </c>
      <c r="BN226">
        <f t="shared" si="321"/>
        <v>6</v>
      </c>
      <c r="BO226">
        <f t="shared" si="322"/>
        <v>6</v>
      </c>
      <c r="BP226">
        <f t="shared" si="323"/>
        <v>6</v>
      </c>
      <c r="BQ226">
        <f t="shared" si="324"/>
        <v>6</v>
      </c>
      <c r="BR226">
        <f t="shared" si="325"/>
        <v>6</v>
      </c>
      <c r="BS226">
        <f t="shared" si="326"/>
        <v>6</v>
      </c>
      <c r="BT226">
        <f t="shared" si="327"/>
        <v>8</v>
      </c>
      <c r="BU226">
        <f t="shared" si="328"/>
        <v>8</v>
      </c>
      <c r="BV226">
        <f t="shared" si="329"/>
        <v>7</v>
      </c>
      <c r="BW226">
        <f t="shared" si="330"/>
        <v>8</v>
      </c>
      <c r="BX226">
        <f t="shared" si="331"/>
        <v>8</v>
      </c>
      <c r="BZ226" s="52">
        <f t="shared" si="332"/>
        <v>-3</v>
      </c>
      <c r="CA226" s="52">
        <f t="shared" si="333"/>
        <v>0</v>
      </c>
      <c r="CB226" s="52">
        <f t="shared" si="333"/>
        <v>0</v>
      </c>
      <c r="CC226" s="52">
        <f t="shared" si="333"/>
        <v>0</v>
      </c>
      <c r="CD226" s="52">
        <f t="shared" si="333"/>
        <v>0</v>
      </c>
      <c r="CE226" s="52">
        <f t="shared" si="333"/>
        <v>0</v>
      </c>
      <c r="CF226" s="52">
        <f t="shared" si="333"/>
        <v>0</v>
      </c>
      <c r="CG226" s="52">
        <f t="shared" si="333"/>
        <v>0</v>
      </c>
      <c r="CH226" s="52">
        <f t="shared" si="333"/>
        <v>0</v>
      </c>
      <c r="CI226" s="52">
        <f t="shared" si="333"/>
        <v>0</v>
      </c>
      <c r="CJ226" s="52">
        <f t="shared" si="333"/>
        <v>0</v>
      </c>
      <c r="CK226" s="52">
        <f t="shared" si="333"/>
        <v>0</v>
      </c>
      <c r="CL226" s="52">
        <f t="shared" si="333"/>
        <v>0</v>
      </c>
      <c r="CM226" s="52">
        <f t="shared" si="333"/>
        <v>0</v>
      </c>
      <c r="CN226" s="52">
        <f t="shared" si="333"/>
        <v>0</v>
      </c>
      <c r="CO226" s="52">
        <f t="shared" si="333"/>
        <v>0</v>
      </c>
      <c r="CP226" s="52">
        <f t="shared" si="333"/>
        <v>0</v>
      </c>
      <c r="CQ226" s="52">
        <f t="shared" si="335"/>
        <v>0</v>
      </c>
      <c r="CR226" s="52">
        <f t="shared" si="336"/>
        <v>0</v>
      </c>
      <c r="CS226" s="52">
        <f t="shared" si="337"/>
        <v>2</v>
      </c>
      <c r="CT226" s="52">
        <f t="shared" si="338"/>
        <v>0</v>
      </c>
      <c r="CU226" s="52">
        <f t="shared" si="339"/>
        <v>-1</v>
      </c>
      <c r="CV226" s="52">
        <f t="shared" si="340"/>
        <v>1</v>
      </c>
      <c r="CW226" s="52">
        <f t="shared" si="341"/>
        <v>0</v>
      </c>
    </row>
    <row r="227" spans="1:101">
      <c r="A227" s="60">
        <v>45149</v>
      </c>
      <c r="B227" s="426">
        <v>67027.3</v>
      </c>
      <c r="C227">
        <v>67674.899999999994</v>
      </c>
      <c r="D227">
        <v>67537.5</v>
      </c>
      <c r="E227">
        <v>52685.599999999999</v>
      </c>
      <c r="F227">
        <v>51123.1</v>
      </c>
      <c r="G227">
        <v>51018.5</v>
      </c>
      <c r="H227">
        <v>51083.199999999997</v>
      </c>
      <c r="I227">
        <v>50965.9</v>
      </c>
      <c r="J227">
        <v>51746</v>
      </c>
      <c r="K227">
        <v>51759.8</v>
      </c>
      <c r="L227">
        <v>51766</v>
      </c>
      <c r="M227">
        <v>51794.7</v>
      </c>
      <c r="N227">
        <v>51795.6</v>
      </c>
      <c r="O227">
        <v>51822.7</v>
      </c>
      <c r="P227">
        <v>61867.7</v>
      </c>
      <c r="Q227">
        <v>65495.1</v>
      </c>
      <c r="R227">
        <v>53106.5</v>
      </c>
      <c r="S227">
        <v>53238.3</v>
      </c>
      <c r="T227">
        <v>53300.7</v>
      </c>
      <c r="U227">
        <v>53252.3</v>
      </c>
      <c r="V227">
        <v>64510.1</v>
      </c>
      <c r="W227">
        <v>54984.3</v>
      </c>
      <c r="X227">
        <v>53814.2</v>
      </c>
      <c r="Y227">
        <v>53420.1</v>
      </c>
      <c r="Z227" s="77">
        <v>1336790.1000000001</v>
      </c>
      <c r="AB227" s="52">
        <f t="shared" si="342"/>
        <v>0</v>
      </c>
      <c r="AC227" s="52">
        <f t="shared" si="343"/>
        <v>0</v>
      </c>
      <c r="AD227" s="52">
        <f t="shared" si="344"/>
        <v>0</v>
      </c>
      <c r="AE227" s="52">
        <f t="shared" si="345"/>
        <v>0</v>
      </c>
      <c r="AF227" s="52">
        <f t="shared" si="346"/>
        <v>0</v>
      </c>
      <c r="AG227" s="52">
        <f t="shared" si="347"/>
        <v>0</v>
      </c>
      <c r="AH227" s="52">
        <f t="shared" si="348"/>
        <v>0</v>
      </c>
      <c r="AI227" s="52">
        <f t="shared" si="349"/>
        <v>0</v>
      </c>
      <c r="AJ227" s="52">
        <f t="shared" si="350"/>
        <v>0</v>
      </c>
      <c r="AK227" s="52">
        <f t="shared" si="351"/>
        <v>0</v>
      </c>
      <c r="AL227" s="52">
        <f t="shared" si="352"/>
        <v>0</v>
      </c>
      <c r="AM227" s="52">
        <f t="shared" si="353"/>
        <v>0</v>
      </c>
      <c r="AN227" s="52">
        <f t="shared" si="354"/>
        <v>0</v>
      </c>
      <c r="AO227" s="52">
        <f t="shared" si="355"/>
        <v>0</v>
      </c>
      <c r="AP227" s="52">
        <f t="shared" si="356"/>
        <v>0</v>
      </c>
      <c r="AQ227" s="52">
        <f t="shared" si="357"/>
        <v>0</v>
      </c>
      <c r="AR227" s="52">
        <f t="shared" si="358"/>
        <v>0</v>
      </c>
      <c r="AS227" s="52">
        <f t="shared" si="359"/>
        <v>0</v>
      </c>
      <c r="AT227" s="52">
        <f t="shared" si="360"/>
        <v>0</v>
      </c>
      <c r="AU227" s="52">
        <f t="shared" si="361"/>
        <v>0</v>
      </c>
      <c r="AV227" s="52">
        <f t="shared" si="362"/>
        <v>0</v>
      </c>
      <c r="AW227" s="52">
        <f t="shared" si="363"/>
        <v>0</v>
      </c>
      <c r="AX227" s="52">
        <f t="shared" si="364"/>
        <v>0</v>
      </c>
      <c r="AY227" s="52">
        <f t="shared" si="365"/>
        <v>0</v>
      </c>
      <c r="BA227" s="52">
        <f t="shared" si="308"/>
        <v>8</v>
      </c>
      <c r="BB227" s="52">
        <f t="shared" si="309"/>
        <v>8</v>
      </c>
      <c r="BC227" s="52">
        <f t="shared" si="310"/>
        <v>8</v>
      </c>
      <c r="BD227" s="52">
        <f t="shared" si="311"/>
        <v>6</v>
      </c>
      <c r="BE227" s="52">
        <f t="shared" si="312"/>
        <v>6</v>
      </c>
      <c r="BF227" s="52">
        <f t="shared" si="313"/>
        <v>6</v>
      </c>
      <c r="BG227" s="52">
        <f t="shared" si="314"/>
        <v>6</v>
      </c>
      <c r="BH227" s="52">
        <f t="shared" si="315"/>
        <v>6</v>
      </c>
      <c r="BI227" s="52">
        <f t="shared" si="316"/>
        <v>6</v>
      </c>
      <c r="BJ227" s="52">
        <f t="shared" si="317"/>
        <v>6</v>
      </c>
      <c r="BK227" s="52">
        <f t="shared" si="318"/>
        <v>6</v>
      </c>
      <c r="BL227" s="52">
        <f t="shared" si="319"/>
        <v>6</v>
      </c>
      <c r="BM227" s="52">
        <f t="shared" si="320"/>
        <v>6</v>
      </c>
      <c r="BN227" s="52">
        <f t="shared" si="321"/>
        <v>6</v>
      </c>
      <c r="BO227" s="52">
        <f t="shared" si="322"/>
        <v>8</v>
      </c>
      <c r="BP227" s="52">
        <f t="shared" si="323"/>
        <v>8</v>
      </c>
      <c r="BQ227" s="52">
        <f t="shared" si="324"/>
        <v>7</v>
      </c>
      <c r="BR227" s="52">
        <f t="shared" si="325"/>
        <v>7</v>
      </c>
      <c r="BS227" s="52">
        <f t="shared" si="326"/>
        <v>7</v>
      </c>
      <c r="BT227" s="52">
        <f t="shared" si="327"/>
        <v>7</v>
      </c>
      <c r="BU227" s="52">
        <f t="shared" si="328"/>
        <v>8</v>
      </c>
      <c r="BV227" s="52">
        <f t="shared" si="329"/>
        <v>7</v>
      </c>
      <c r="BW227" s="52">
        <f t="shared" si="330"/>
        <v>7</v>
      </c>
      <c r="BX227" s="52">
        <f t="shared" si="331"/>
        <v>7</v>
      </c>
      <c r="BZ227">
        <f t="shared" si="332"/>
        <v>0</v>
      </c>
      <c r="CA227">
        <f t="shared" si="333"/>
        <v>0</v>
      </c>
      <c r="CB227">
        <f t="shared" si="333"/>
        <v>0</v>
      </c>
      <c r="CC227">
        <f t="shared" si="333"/>
        <v>-2</v>
      </c>
      <c r="CD227">
        <f t="shared" si="333"/>
        <v>0</v>
      </c>
      <c r="CE227">
        <f t="shared" si="333"/>
        <v>0</v>
      </c>
      <c r="CF227">
        <f t="shared" si="333"/>
        <v>0</v>
      </c>
      <c r="CG227">
        <f t="shared" si="333"/>
        <v>0</v>
      </c>
      <c r="CH227">
        <f t="shared" si="333"/>
        <v>0</v>
      </c>
      <c r="CI227">
        <f t="shared" si="333"/>
        <v>0</v>
      </c>
      <c r="CJ227">
        <f t="shared" si="333"/>
        <v>0</v>
      </c>
      <c r="CK227">
        <f t="shared" si="333"/>
        <v>0</v>
      </c>
      <c r="CL227">
        <f t="shared" si="333"/>
        <v>0</v>
      </c>
      <c r="CM227">
        <f t="shared" si="333"/>
        <v>0</v>
      </c>
      <c r="CN227">
        <f t="shared" si="333"/>
        <v>2</v>
      </c>
      <c r="CO227">
        <f t="shared" si="333"/>
        <v>0</v>
      </c>
      <c r="CP227">
        <f t="shared" si="333"/>
        <v>-1</v>
      </c>
      <c r="CQ227">
        <f t="shared" si="335"/>
        <v>0</v>
      </c>
      <c r="CR227">
        <f t="shared" si="336"/>
        <v>0</v>
      </c>
      <c r="CS227">
        <f t="shared" si="337"/>
        <v>0</v>
      </c>
      <c r="CT227">
        <f t="shared" si="338"/>
        <v>1</v>
      </c>
      <c r="CU227">
        <f t="shared" si="339"/>
        <v>-1</v>
      </c>
      <c r="CV227">
        <f t="shared" si="340"/>
        <v>0</v>
      </c>
      <c r="CW227">
        <f t="shared" si="341"/>
        <v>0</v>
      </c>
    </row>
    <row r="228" spans="1:101">
      <c r="A228" s="60">
        <v>45150</v>
      </c>
      <c r="B228" s="426">
        <v>52959.9</v>
      </c>
      <c r="C228">
        <v>53158.400000000001</v>
      </c>
      <c r="D228">
        <v>53324</v>
      </c>
      <c r="E228">
        <v>53819.8</v>
      </c>
      <c r="F228">
        <v>53719.3</v>
      </c>
      <c r="G228">
        <v>54115.199999999997</v>
      </c>
      <c r="H228">
        <v>54175.4</v>
      </c>
      <c r="I228">
        <v>54128</v>
      </c>
      <c r="J228">
        <v>54216.6</v>
      </c>
      <c r="K228">
        <v>54293.3</v>
      </c>
      <c r="L228">
        <v>54293.8</v>
      </c>
      <c r="M228">
        <v>54265.3</v>
      </c>
      <c r="N228">
        <v>54226.3</v>
      </c>
      <c r="O228">
        <v>63935.9</v>
      </c>
      <c r="P228">
        <v>68214.5</v>
      </c>
      <c r="Q228">
        <v>55006.400000000001</v>
      </c>
      <c r="R228">
        <v>53893.7</v>
      </c>
      <c r="S228">
        <v>53342.1</v>
      </c>
      <c r="T228">
        <v>53408.3</v>
      </c>
      <c r="U228">
        <v>52712.5</v>
      </c>
      <c r="V228">
        <v>54426.6</v>
      </c>
      <c r="W228">
        <v>54465.9</v>
      </c>
      <c r="X228">
        <v>54533.9</v>
      </c>
      <c r="Y228">
        <v>54050.8</v>
      </c>
      <c r="Z228" s="77">
        <v>1318685.9000000001</v>
      </c>
      <c r="AB228">
        <f t="shared" si="342"/>
        <v>0</v>
      </c>
      <c r="AC228">
        <f t="shared" si="343"/>
        <v>0</v>
      </c>
      <c r="AD228">
        <f t="shared" si="344"/>
        <v>0</v>
      </c>
      <c r="AE228">
        <f t="shared" si="345"/>
        <v>0</v>
      </c>
      <c r="AF228">
        <f t="shared" si="346"/>
        <v>0</v>
      </c>
      <c r="AG228">
        <f t="shared" si="347"/>
        <v>0</v>
      </c>
      <c r="AH228">
        <f t="shared" si="348"/>
        <v>0</v>
      </c>
      <c r="AI228">
        <f t="shared" si="349"/>
        <v>0</v>
      </c>
      <c r="AJ228">
        <f t="shared" si="350"/>
        <v>0</v>
      </c>
      <c r="AK228">
        <f t="shared" si="351"/>
        <v>0</v>
      </c>
      <c r="AL228">
        <f t="shared" si="352"/>
        <v>0</v>
      </c>
      <c r="AM228">
        <f t="shared" si="353"/>
        <v>0</v>
      </c>
      <c r="AN228">
        <f t="shared" si="354"/>
        <v>0</v>
      </c>
      <c r="AO228">
        <f t="shared" si="355"/>
        <v>0</v>
      </c>
      <c r="AP228">
        <f t="shared" si="356"/>
        <v>0</v>
      </c>
      <c r="AQ228">
        <f t="shared" si="357"/>
        <v>0</v>
      </c>
      <c r="AR228">
        <f t="shared" si="358"/>
        <v>0</v>
      </c>
      <c r="AS228">
        <f t="shared" si="359"/>
        <v>0</v>
      </c>
      <c r="AT228">
        <f t="shared" si="360"/>
        <v>0</v>
      </c>
      <c r="AU228">
        <f t="shared" si="361"/>
        <v>0</v>
      </c>
      <c r="AV228">
        <f t="shared" si="362"/>
        <v>0</v>
      </c>
      <c r="AW228">
        <f t="shared" si="363"/>
        <v>0</v>
      </c>
      <c r="AX228">
        <f t="shared" si="364"/>
        <v>0</v>
      </c>
      <c r="AY228">
        <f t="shared" si="365"/>
        <v>0</v>
      </c>
      <c r="BA228">
        <f t="shared" si="308"/>
        <v>7</v>
      </c>
      <c r="BB228">
        <f t="shared" si="309"/>
        <v>7</v>
      </c>
      <c r="BC228">
        <f t="shared" si="310"/>
        <v>7</v>
      </c>
      <c r="BD228">
        <f t="shared" si="311"/>
        <v>7</v>
      </c>
      <c r="BE228">
        <f t="shared" si="312"/>
        <v>7</v>
      </c>
      <c r="BF228">
        <f t="shared" si="313"/>
        <v>7</v>
      </c>
      <c r="BG228">
        <f t="shared" si="314"/>
        <v>7</v>
      </c>
      <c r="BH228">
        <f t="shared" si="315"/>
        <v>7</v>
      </c>
      <c r="BI228">
        <f t="shared" si="316"/>
        <v>7</v>
      </c>
      <c r="BJ228">
        <f t="shared" si="317"/>
        <v>7</v>
      </c>
      <c r="BK228">
        <f t="shared" si="318"/>
        <v>7</v>
      </c>
      <c r="BL228">
        <f t="shared" si="319"/>
        <v>7</v>
      </c>
      <c r="BM228">
        <f t="shared" si="320"/>
        <v>7</v>
      </c>
      <c r="BN228">
        <f t="shared" si="321"/>
        <v>8</v>
      </c>
      <c r="BO228">
        <f t="shared" si="322"/>
        <v>8</v>
      </c>
      <c r="BP228">
        <f t="shared" si="323"/>
        <v>7</v>
      </c>
      <c r="BQ228">
        <f t="shared" si="324"/>
        <v>7</v>
      </c>
      <c r="BR228">
        <f t="shared" si="325"/>
        <v>7</v>
      </c>
      <c r="BS228">
        <f t="shared" si="326"/>
        <v>7</v>
      </c>
      <c r="BT228">
        <f t="shared" si="327"/>
        <v>6</v>
      </c>
      <c r="BU228">
        <f t="shared" si="328"/>
        <v>7</v>
      </c>
      <c r="BV228">
        <f t="shared" si="329"/>
        <v>7</v>
      </c>
      <c r="BW228">
        <f t="shared" si="330"/>
        <v>7</v>
      </c>
      <c r="BX228">
        <f t="shared" si="331"/>
        <v>7</v>
      </c>
      <c r="BZ228" s="52">
        <f t="shared" si="332"/>
        <v>0</v>
      </c>
      <c r="CA228" s="52">
        <f t="shared" si="333"/>
        <v>0</v>
      </c>
      <c r="CB228" s="52">
        <f t="shared" si="333"/>
        <v>0</v>
      </c>
      <c r="CC228" s="52">
        <f t="shared" si="333"/>
        <v>0</v>
      </c>
      <c r="CD228" s="52">
        <f t="shared" si="333"/>
        <v>0</v>
      </c>
      <c r="CE228" s="52">
        <f t="shared" si="333"/>
        <v>0</v>
      </c>
      <c r="CF228" s="52">
        <f t="shared" si="333"/>
        <v>0</v>
      </c>
      <c r="CG228" s="52">
        <f t="shared" si="333"/>
        <v>0</v>
      </c>
      <c r="CH228" s="52">
        <f t="shared" si="333"/>
        <v>0</v>
      </c>
      <c r="CI228" s="52">
        <f t="shared" si="333"/>
        <v>0</v>
      </c>
      <c r="CJ228" s="52">
        <f t="shared" si="333"/>
        <v>0</v>
      </c>
      <c r="CK228" s="52">
        <f t="shared" si="333"/>
        <v>0</v>
      </c>
      <c r="CL228" s="52">
        <f t="shared" si="333"/>
        <v>0</v>
      </c>
      <c r="CM228" s="52">
        <f t="shared" si="333"/>
        <v>1</v>
      </c>
      <c r="CN228" s="52">
        <f t="shared" si="333"/>
        <v>0</v>
      </c>
      <c r="CO228" s="52">
        <f t="shared" si="333"/>
        <v>-1</v>
      </c>
      <c r="CP228" s="52">
        <f t="shared" si="333"/>
        <v>0</v>
      </c>
      <c r="CQ228" s="52">
        <f t="shared" si="335"/>
        <v>0</v>
      </c>
      <c r="CR228" s="52">
        <f t="shared" si="336"/>
        <v>0</v>
      </c>
      <c r="CS228" s="52">
        <f t="shared" si="337"/>
        <v>-1</v>
      </c>
      <c r="CT228" s="52">
        <f t="shared" si="338"/>
        <v>1</v>
      </c>
      <c r="CU228" s="52">
        <f t="shared" si="339"/>
        <v>0</v>
      </c>
      <c r="CV228" s="52">
        <f t="shared" si="340"/>
        <v>0</v>
      </c>
      <c r="CW228" s="52">
        <f t="shared" si="341"/>
        <v>0</v>
      </c>
    </row>
    <row r="229" spans="1:101">
      <c r="A229" s="60">
        <v>45151</v>
      </c>
      <c r="B229" s="426">
        <v>53713.3</v>
      </c>
      <c r="C229">
        <v>53529.4</v>
      </c>
      <c r="D229">
        <v>53577.5</v>
      </c>
      <c r="E229">
        <v>53523.3</v>
      </c>
      <c r="F229">
        <v>53526.2</v>
      </c>
      <c r="G229">
        <v>53479.9</v>
      </c>
      <c r="H229">
        <v>53516</v>
      </c>
      <c r="I229">
        <v>53574.9</v>
      </c>
      <c r="J229">
        <v>53600.2</v>
      </c>
      <c r="K229">
        <v>53565.5</v>
      </c>
      <c r="L229">
        <v>53577.9</v>
      </c>
      <c r="M229">
        <v>53687.3</v>
      </c>
      <c r="N229">
        <v>53679.6</v>
      </c>
      <c r="O229">
        <v>53676.2</v>
      </c>
      <c r="P229">
        <v>53657.2</v>
      </c>
      <c r="Q229">
        <v>53692.7</v>
      </c>
      <c r="R229">
        <v>52686.400000000001</v>
      </c>
      <c r="S229">
        <v>52591.199999999997</v>
      </c>
      <c r="T229">
        <v>52687.4</v>
      </c>
      <c r="U229">
        <v>53349</v>
      </c>
      <c r="V229">
        <v>54006.9</v>
      </c>
      <c r="W229">
        <v>53057.3</v>
      </c>
      <c r="X229">
        <v>54184.3</v>
      </c>
      <c r="Y229">
        <v>54214.5</v>
      </c>
      <c r="Z229" s="77">
        <v>1284354.1000000001</v>
      </c>
      <c r="AB229" s="52">
        <f t="shared" si="342"/>
        <v>0</v>
      </c>
      <c r="AC229" s="52">
        <f t="shared" si="343"/>
        <v>0</v>
      </c>
      <c r="AD229" s="52">
        <f t="shared" si="344"/>
        <v>0</v>
      </c>
      <c r="AE229" s="52">
        <f t="shared" si="345"/>
        <v>0</v>
      </c>
      <c r="AF229" s="52">
        <f t="shared" si="346"/>
        <v>0</v>
      </c>
      <c r="AG229" s="52">
        <f t="shared" si="347"/>
        <v>0</v>
      </c>
      <c r="AH229" s="52">
        <f t="shared" si="348"/>
        <v>0</v>
      </c>
      <c r="AI229" s="52">
        <f t="shared" si="349"/>
        <v>0</v>
      </c>
      <c r="AJ229" s="52">
        <f t="shared" si="350"/>
        <v>0</v>
      </c>
      <c r="AK229" s="52">
        <f t="shared" si="351"/>
        <v>0</v>
      </c>
      <c r="AL229" s="52">
        <f t="shared" si="352"/>
        <v>0</v>
      </c>
      <c r="AM229" s="52">
        <f t="shared" si="353"/>
        <v>0</v>
      </c>
      <c r="AN229" s="52">
        <f t="shared" si="354"/>
        <v>0</v>
      </c>
      <c r="AO229" s="52">
        <f t="shared" si="355"/>
        <v>0</v>
      </c>
      <c r="AP229" s="52">
        <f t="shared" si="356"/>
        <v>0</v>
      </c>
      <c r="AQ229" s="52">
        <f t="shared" si="357"/>
        <v>0</v>
      </c>
      <c r="AR229" s="52">
        <f t="shared" si="358"/>
        <v>0</v>
      </c>
      <c r="AS229" s="52">
        <f t="shared" si="359"/>
        <v>0</v>
      </c>
      <c r="AT229" s="52">
        <f t="shared" si="360"/>
        <v>0</v>
      </c>
      <c r="AU229" s="52">
        <f t="shared" si="361"/>
        <v>0</v>
      </c>
      <c r="AV229" s="52">
        <f t="shared" si="362"/>
        <v>0</v>
      </c>
      <c r="AW229" s="52">
        <f t="shared" si="363"/>
        <v>0</v>
      </c>
      <c r="AX229" s="52">
        <f t="shared" si="364"/>
        <v>0</v>
      </c>
      <c r="AY229" s="52">
        <f t="shared" si="365"/>
        <v>0</v>
      </c>
      <c r="BA229" s="52">
        <f t="shared" si="308"/>
        <v>7</v>
      </c>
      <c r="BB229" s="52">
        <f t="shared" si="309"/>
        <v>7</v>
      </c>
      <c r="BC229" s="52">
        <f t="shared" si="310"/>
        <v>7</v>
      </c>
      <c r="BD229" s="52">
        <f t="shared" si="311"/>
        <v>7</v>
      </c>
      <c r="BE229" s="52">
        <f t="shared" si="312"/>
        <v>7</v>
      </c>
      <c r="BF229" s="52">
        <f t="shared" si="313"/>
        <v>7</v>
      </c>
      <c r="BG229" s="52">
        <f t="shared" si="314"/>
        <v>7</v>
      </c>
      <c r="BH229" s="52">
        <f t="shared" si="315"/>
        <v>7</v>
      </c>
      <c r="BI229" s="52">
        <f t="shared" si="316"/>
        <v>7</v>
      </c>
      <c r="BJ229" s="52">
        <f t="shared" si="317"/>
        <v>7</v>
      </c>
      <c r="BK229" s="52">
        <f t="shared" si="318"/>
        <v>7</v>
      </c>
      <c r="BL229" s="52">
        <f t="shared" si="319"/>
        <v>7</v>
      </c>
      <c r="BM229" s="52">
        <f t="shared" si="320"/>
        <v>7</v>
      </c>
      <c r="BN229" s="52">
        <f t="shared" si="321"/>
        <v>7</v>
      </c>
      <c r="BO229" s="52">
        <f t="shared" si="322"/>
        <v>7</v>
      </c>
      <c r="BP229" s="52">
        <f t="shared" si="323"/>
        <v>7</v>
      </c>
      <c r="BQ229" s="52">
        <f t="shared" si="324"/>
        <v>6</v>
      </c>
      <c r="BR229" s="52">
        <f t="shared" si="325"/>
        <v>6</v>
      </c>
      <c r="BS229" s="52">
        <f t="shared" si="326"/>
        <v>6</v>
      </c>
      <c r="BT229" s="52">
        <f t="shared" si="327"/>
        <v>7</v>
      </c>
      <c r="BU229" s="52">
        <f t="shared" si="328"/>
        <v>7</v>
      </c>
      <c r="BV229" s="52">
        <f t="shared" si="329"/>
        <v>7</v>
      </c>
      <c r="BW229" s="52">
        <f t="shared" si="330"/>
        <v>7</v>
      </c>
      <c r="BX229" s="52">
        <f t="shared" si="331"/>
        <v>7</v>
      </c>
      <c r="BZ229">
        <f t="shared" si="332"/>
        <v>0</v>
      </c>
      <c r="CA229">
        <f t="shared" si="333"/>
        <v>0</v>
      </c>
      <c r="CB229">
        <f t="shared" si="333"/>
        <v>0</v>
      </c>
      <c r="CC229">
        <f t="shared" si="333"/>
        <v>0</v>
      </c>
      <c r="CD229">
        <f t="shared" si="333"/>
        <v>0</v>
      </c>
      <c r="CE229">
        <f t="shared" si="333"/>
        <v>0</v>
      </c>
      <c r="CF229">
        <f t="shared" si="333"/>
        <v>0</v>
      </c>
      <c r="CG229">
        <f t="shared" si="333"/>
        <v>0</v>
      </c>
      <c r="CH229">
        <f t="shared" si="333"/>
        <v>0</v>
      </c>
      <c r="CI229">
        <f t="shared" si="333"/>
        <v>0</v>
      </c>
      <c r="CJ229">
        <f t="shared" si="333"/>
        <v>0</v>
      </c>
      <c r="CK229">
        <f t="shared" si="333"/>
        <v>0</v>
      </c>
      <c r="CL229">
        <f t="shared" si="333"/>
        <v>0</v>
      </c>
      <c r="CM229">
        <f t="shared" si="333"/>
        <v>0</v>
      </c>
      <c r="CN229">
        <f t="shared" si="333"/>
        <v>0</v>
      </c>
      <c r="CO229">
        <f t="shared" si="333"/>
        <v>0</v>
      </c>
      <c r="CP229">
        <f t="shared" si="333"/>
        <v>-1</v>
      </c>
      <c r="CQ229">
        <f t="shared" si="335"/>
        <v>0</v>
      </c>
      <c r="CR229">
        <f t="shared" si="336"/>
        <v>0</v>
      </c>
      <c r="CS229">
        <f t="shared" si="337"/>
        <v>1</v>
      </c>
      <c r="CT229">
        <f t="shared" si="338"/>
        <v>0</v>
      </c>
      <c r="CU229">
        <f t="shared" si="339"/>
        <v>0</v>
      </c>
      <c r="CV229">
        <f t="shared" si="340"/>
        <v>0</v>
      </c>
      <c r="CW229">
        <f t="shared" si="341"/>
        <v>0</v>
      </c>
    </row>
    <row r="230" spans="1:101">
      <c r="A230" s="60">
        <v>45152</v>
      </c>
      <c r="B230" s="426">
        <v>60530.9</v>
      </c>
      <c r="C230">
        <v>60923.3</v>
      </c>
      <c r="D230">
        <v>61551.199999999997</v>
      </c>
      <c r="E230">
        <v>61662.400000000001</v>
      </c>
      <c r="F230">
        <v>62500.2</v>
      </c>
      <c r="G230">
        <v>62353</v>
      </c>
      <c r="H230">
        <v>62436.6</v>
      </c>
      <c r="I230">
        <v>62512.3</v>
      </c>
      <c r="J230">
        <v>62528.800000000003</v>
      </c>
      <c r="K230">
        <v>62607.5</v>
      </c>
      <c r="L230">
        <v>62417.9</v>
      </c>
      <c r="M230">
        <v>62638.7</v>
      </c>
      <c r="N230">
        <v>62472.7</v>
      </c>
      <c r="O230">
        <v>62556.9</v>
      </c>
      <c r="P230">
        <v>62538.3</v>
      </c>
      <c r="Q230">
        <v>62490.3</v>
      </c>
      <c r="R230">
        <v>62455.8</v>
      </c>
      <c r="S230">
        <v>62299.7</v>
      </c>
      <c r="T230">
        <v>61298.3</v>
      </c>
      <c r="U230">
        <v>72104.5</v>
      </c>
      <c r="V230">
        <v>76341.600000000006</v>
      </c>
      <c r="W230">
        <v>75799.100000000006</v>
      </c>
      <c r="X230">
        <v>74237</v>
      </c>
      <c r="Y230">
        <v>76469.3</v>
      </c>
      <c r="Z230" s="77">
        <v>1555726.3000000003</v>
      </c>
      <c r="AB230">
        <f t="shared" si="342"/>
        <v>0</v>
      </c>
      <c r="AC230">
        <f t="shared" si="343"/>
        <v>0</v>
      </c>
      <c r="AD230">
        <f t="shared" si="344"/>
        <v>0</v>
      </c>
      <c r="AE230">
        <f t="shared" si="345"/>
        <v>0</v>
      </c>
      <c r="AF230">
        <f t="shared" si="346"/>
        <v>0</v>
      </c>
      <c r="AG230">
        <f t="shared" si="347"/>
        <v>0</v>
      </c>
      <c r="AH230">
        <f t="shared" si="348"/>
        <v>0</v>
      </c>
      <c r="AI230">
        <f t="shared" si="349"/>
        <v>0</v>
      </c>
      <c r="AJ230">
        <f t="shared" si="350"/>
        <v>0</v>
      </c>
      <c r="AK230">
        <f t="shared" si="351"/>
        <v>0</v>
      </c>
      <c r="AL230">
        <f t="shared" si="352"/>
        <v>0</v>
      </c>
      <c r="AM230">
        <f t="shared" si="353"/>
        <v>0</v>
      </c>
      <c r="AN230">
        <f t="shared" si="354"/>
        <v>0</v>
      </c>
      <c r="AO230">
        <f t="shared" si="355"/>
        <v>0</v>
      </c>
      <c r="AP230">
        <f t="shared" si="356"/>
        <v>0</v>
      </c>
      <c r="AQ230">
        <f t="shared" si="357"/>
        <v>0</v>
      </c>
      <c r="AR230">
        <f t="shared" si="358"/>
        <v>0</v>
      </c>
      <c r="AS230">
        <f t="shared" si="359"/>
        <v>0</v>
      </c>
      <c r="AT230">
        <f t="shared" si="360"/>
        <v>0</v>
      </c>
      <c r="AU230">
        <f t="shared" si="361"/>
        <v>0</v>
      </c>
      <c r="AV230">
        <f t="shared" si="362"/>
        <v>0</v>
      </c>
      <c r="AW230">
        <f t="shared" si="363"/>
        <v>0</v>
      </c>
      <c r="AX230">
        <f t="shared" si="364"/>
        <v>0</v>
      </c>
      <c r="AY230">
        <f t="shared" si="365"/>
        <v>0</v>
      </c>
      <c r="BA230">
        <f t="shared" si="308"/>
        <v>7</v>
      </c>
      <c r="BB230">
        <f t="shared" si="309"/>
        <v>7</v>
      </c>
      <c r="BC230">
        <f t="shared" si="310"/>
        <v>7</v>
      </c>
      <c r="BD230">
        <f t="shared" si="311"/>
        <v>8</v>
      </c>
      <c r="BE230">
        <f t="shared" si="312"/>
        <v>8</v>
      </c>
      <c r="BF230">
        <f t="shared" si="313"/>
        <v>8</v>
      </c>
      <c r="BG230">
        <f t="shared" si="314"/>
        <v>8</v>
      </c>
      <c r="BH230">
        <f t="shared" si="315"/>
        <v>8</v>
      </c>
      <c r="BI230">
        <f t="shared" si="316"/>
        <v>8</v>
      </c>
      <c r="BJ230">
        <f t="shared" si="317"/>
        <v>8</v>
      </c>
      <c r="BK230">
        <f t="shared" si="318"/>
        <v>8</v>
      </c>
      <c r="BL230">
        <f t="shared" si="319"/>
        <v>8</v>
      </c>
      <c r="BM230">
        <f t="shared" si="320"/>
        <v>8</v>
      </c>
      <c r="BN230">
        <f t="shared" si="321"/>
        <v>8</v>
      </c>
      <c r="BO230">
        <f t="shared" si="322"/>
        <v>8</v>
      </c>
      <c r="BP230">
        <f t="shared" si="323"/>
        <v>8</v>
      </c>
      <c r="BQ230">
        <f t="shared" si="324"/>
        <v>8</v>
      </c>
      <c r="BR230">
        <f t="shared" si="325"/>
        <v>8</v>
      </c>
      <c r="BS230">
        <f t="shared" si="326"/>
        <v>7</v>
      </c>
      <c r="BT230">
        <f t="shared" si="327"/>
        <v>9</v>
      </c>
      <c r="BU230">
        <f t="shared" si="328"/>
        <v>9</v>
      </c>
      <c r="BV230">
        <f t="shared" si="329"/>
        <v>9</v>
      </c>
      <c r="BW230">
        <f t="shared" si="330"/>
        <v>9</v>
      </c>
      <c r="BX230">
        <f t="shared" si="331"/>
        <v>9</v>
      </c>
      <c r="BZ230" s="52">
        <f t="shared" si="332"/>
        <v>0</v>
      </c>
      <c r="CA230" s="52">
        <f t="shared" si="333"/>
        <v>0</v>
      </c>
      <c r="CB230" s="52">
        <f t="shared" si="333"/>
        <v>0</v>
      </c>
      <c r="CC230" s="52">
        <f t="shared" si="333"/>
        <v>1</v>
      </c>
      <c r="CD230" s="52">
        <f t="shared" si="333"/>
        <v>0</v>
      </c>
      <c r="CE230" s="52">
        <f t="shared" si="333"/>
        <v>0</v>
      </c>
      <c r="CF230" s="52">
        <f t="shared" si="333"/>
        <v>0</v>
      </c>
      <c r="CG230" s="52">
        <f t="shared" si="333"/>
        <v>0</v>
      </c>
      <c r="CH230" s="52">
        <f t="shared" si="333"/>
        <v>0</v>
      </c>
      <c r="CI230" s="52">
        <f t="shared" si="333"/>
        <v>0</v>
      </c>
      <c r="CJ230" s="52">
        <f t="shared" si="333"/>
        <v>0</v>
      </c>
      <c r="CK230" s="52">
        <f t="shared" si="333"/>
        <v>0</v>
      </c>
      <c r="CL230" s="52">
        <f t="shared" si="333"/>
        <v>0</v>
      </c>
      <c r="CM230" s="52">
        <f t="shared" si="333"/>
        <v>0</v>
      </c>
      <c r="CN230" s="52">
        <f t="shared" si="333"/>
        <v>0</v>
      </c>
      <c r="CO230" s="52">
        <f t="shared" si="333"/>
        <v>0</v>
      </c>
      <c r="CP230" s="52">
        <f t="shared" si="333"/>
        <v>0</v>
      </c>
      <c r="CQ230" s="52">
        <f t="shared" si="335"/>
        <v>0</v>
      </c>
      <c r="CR230" s="52">
        <f t="shared" si="336"/>
        <v>-1</v>
      </c>
      <c r="CS230" s="52">
        <f t="shared" si="337"/>
        <v>2</v>
      </c>
      <c r="CT230" s="52">
        <f t="shared" si="338"/>
        <v>0</v>
      </c>
      <c r="CU230" s="52">
        <f t="shared" si="339"/>
        <v>0</v>
      </c>
      <c r="CV230" s="52">
        <f t="shared" si="340"/>
        <v>0</v>
      </c>
      <c r="CW230" s="52">
        <f t="shared" si="341"/>
        <v>0</v>
      </c>
    </row>
    <row r="231" spans="1:101">
      <c r="A231" s="60">
        <v>45153</v>
      </c>
      <c r="B231" s="426">
        <v>62350.8</v>
      </c>
      <c r="C231">
        <v>59162.1</v>
      </c>
      <c r="D231">
        <v>59134.7</v>
      </c>
      <c r="E231">
        <v>59516.2</v>
      </c>
      <c r="F231">
        <v>59879.199999999997</v>
      </c>
      <c r="G231">
        <v>59924.6</v>
      </c>
      <c r="H231">
        <v>59844.1</v>
      </c>
      <c r="I231">
        <v>59759.8</v>
      </c>
      <c r="J231">
        <v>61633.4</v>
      </c>
      <c r="K231">
        <v>59379.1</v>
      </c>
      <c r="L231">
        <v>59992.6</v>
      </c>
      <c r="M231">
        <v>59856.5</v>
      </c>
      <c r="N231">
        <v>59167.6</v>
      </c>
      <c r="O231">
        <v>64548</v>
      </c>
      <c r="P231">
        <v>75361.600000000006</v>
      </c>
      <c r="Q231">
        <v>66234.8</v>
      </c>
      <c r="R231">
        <v>62839</v>
      </c>
      <c r="S231">
        <v>62518.400000000001</v>
      </c>
      <c r="T231">
        <v>62194.400000000001</v>
      </c>
      <c r="U231">
        <v>61821.9</v>
      </c>
      <c r="V231">
        <v>62441.2</v>
      </c>
      <c r="W231">
        <v>62118.5</v>
      </c>
      <c r="X231">
        <v>62257.2</v>
      </c>
      <c r="Y231">
        <v>61622.1</v>
      </c>
      <c r="Z231" s="77">
        <v>1483557.7999999996</v>
      </c>
      <c r="AB231" s="52">
        <f t="shared" si="342"/>
        <v>0</v>
      </c>
      <c r="AC231" s="52">
        <f t="shared" si="343"/>
        <v>0</v>
      </c>
      <c r="AD231" s="52">
        <f t="shared" si="344"/>
        <v>0</v>
      </c>
      <c r="AE231" s="52">
        <f t="shared" si="345"/>
        <v>0</v>
      </c>
      <c r="AF231" s="52">
        <f t="shared" si="346"/>
        <v>0</v>
      </c>
      <c r="AG231" s="52">
        <f t="shared" si="347"/>
        <v>0</v>
      </c>
      <c r="AH231" s="52">
        <f t="shared" si="348"/>
        <v>0</v>
      </c>
      <c r="AI231" s="52">
        <f t="shared" si="349"/>
        <v>0</v>
      </c>
      <c r="AJ231" s="52">
        <f t="shared" si="350"/>
        <v>0</v>
      </c>
      <c r="AK231" s="52">
        <f t="shared" si="351"/>
        <v>0</v>
      </c>
      <c r="AL231" s="52">
        <f t="shared" si="352"/>
        <v>0</v>
      </c>
      <c r="AM231" s="52">
        <f t="shared" si="353"/>
        <v>0</v>
      </c>
      <c r="AN231" s="52">
        <f t="shared" si="354"/>
        <v>0</v>
      </c>
      <c r="AO231" s="52">
        <f t="shared" si="355"/>
        <v>0</v>
      </c>
      <c r="AP231" s="52">
        <f t="shared" si="356"/>
        <v>0</v>
      </c>
      <c r="AQ231" s="52">
        <f t="shared" si="357"/>
        <v>0</v>
      </c>
      <c r="AR231" s="52">
        <f t="shared" si="358"/>
        <v>0</v>
      </c>
      <c r="AS231" s="52">
        <f t="shared" si="359"/>
        <v>0</v>
      </c>
      <c r="AT231" s="52">
        <f t="shared" si="360"/>
        <v>0</v>
      </c>
      <c r="AU231" s="52">
        <f t="shared" si="361"/>
        <v>0</v>
      </c>
      <c r="AV231" s="52">
        <f t="shared" si="362"/>
        <v>0</v>
      </c>
      <c r="AW231" s="52">
        <f t="shared" si="363"/>
        <v>0</v>
      </c>
      <c r="AX231" s="52">
        <f t="shared" si="364"/>
        <v>0</v>
      </c>
      <c r="AY231" s="52">
        <f t="shared" si="365"/>
        <v>0</v>
      </c>
      <c r="BA231" s="52">
        <f t="shared" si="308"/>
        <v>8</v>
      </c>
      <c r="BB231" s="52">
        <f t="shared" si="309"/>
        <v>7</v>
      </c>
      <c r="BC231" s="52">
        <f t="shared" si="310"/>
        <v>7</v>
      </c>
      <c r="BD231" s="52">
        <f t="shared" si="311"/>
        <v>7</v>
      </c>
      <c r="BE231" s="52">
        <f t="shared" si="312"/>
        <v>7</v>
      </c>
      <c r="BF231" s="52">
        <f t="shared" si="313"/>
        <v>7</v>
      </c>
      <c r="BG231" s="52">
        <f t="shared" si="314"/>
        <v>7</v>
      </c>
      <c r="BH231" s="52">
        <f t="shared" si="315"/>
        <v>7</v>
      </c>
      <c r="BI231" s="52">
        <f t="shared" si="316"/>
        <v>8</v>
      </c>
      <c r="BJ231" s="52">
        <f t="shared" si="317"/>
        <v>7</v>
      </c>
      <c r="BK231" s="52">
        <f t="shared" si="318"/>
        <v>7</v>
      </c>
      <c r="BL231" s="52">
        <f t="shared" si="319"/>
        <v>7</v>
      </c>
      <c r="BM231" s="52">
        <f t="shared" si="320"/>
        <v>7</v>
      </c>
      <c r="BN231" s="52">
        <f t="shared" si="321"/>
        <v>8</v>
      </c>
      <c r="BO231" s="52">
        <f t="shared" si="322"/>
        <v>9</v>
      </c>
      <c r="BP231" s="52">
        <f t="shared" si="323"/>
        <v>8</v>
      </c>
      <c r="BQ231" s="52">
        <f t="shared" si="324"/>
        <v>8</v>
      </c>
      <c r="BR231" s="52">
        <f t="shared" si="325"/>
        <v>8</v>
      </c>
      <c r="BS231" s="52">
        <f t="shared" si="326"/>
        <v>8</v>
      </c>
      <c r="BT231" s="52">
        <f t="shared" si="327"/>
        <v>8</v>
      </c>
      <c r="BU231" s="52">
        <f t="shared" si="328"/>
        <v>8</v>
      </c>
      <c r="BV231" s="52">
        <f t="shared" si="329"/>
        <v>8</v>
      </c>
      <c r="BW231" s="52">
        <f t="shared" si="330"/>
        <v>8</v>
      </c>
      <c r="BX231" s="52">
        <f t="shared" si="331"/>
        <v>8</v>
      </c>
      <c r="BZ231">
        <f t="shared" si="332"/>
        <v>-1</v>
      </c>
      <c r="CA231">
        <f t="shared" ref="CA231:CP246" si="366">BB231-BA231</f>
        <v>-1</v>
      </c>
      <c r="CB231">
        <f t="shared" si="366"/>
        <v>0</v>
      </c>
      <c r="CC231">
        <f t="shared" si="366"/>
        <v>0</v>
      </c>
      <c r="CD231">
        <f t="shared" si="366"/>
        <v>0</v>
      </c>
      <c r="CE231">
        <f t="shared" si="366"/>
        <v>0</v>
      </c>
      <c r="CF231">
        <f t="shared" si="366"/>
        <v>0</v>
      </c>
      <c r="CG231">
        <f t="shared" si="366"/>
        <v>0</v>
      </c>
      <c r="CH231">
        <f t="shared" si="366"/>
        <v>1</v>
      </c>
      <c r="CI231">
        <f t="shared" si="366"/>
        <v>-1</v>
      </c>
      <c r="CJ231">
        <f t="shared" si="366"/>
        <v>0</v>
      </c>
      <c r="CK231">
        <f t="shared" si="366"/>
        <v>0</v>
      </c>
      <c r="CL231">
        <f t="shared" si="366"/>
        <v>0</v>
      </c>
      <c r="CM231">
        <f t="shared" si="366"/>
        <v>1</v>
      </c>
      <c r="CN231">
        <f t="shared" si="366"/>
        <v>1</v>
      </c>
      <c r="CO231">
        <f t="shared" si="366"/>
        <v>-1</v>
      </c>
      <c r="CP231">
        <f t="shared" si="366"/>
        <v>0</v>
      </c>
      <c r="CQ231">
        <f t="shared" si="335"/>
        <v>0</v>
      </c>
      <c r="CR231">
        <f t="shared" si="336"/>
        <v>0</v>
      </c>
      <c r="CS231">
        <f t="shared" si="337"/>
        <v>0</v>
      </c>
      <c r="CT231">
        <f t="shared" si="338"/>
        <v>0</v>
      </c>
      <c r="CU231">
        <f t="shared" si="339"/>
        <v>0</v>
      </c>
      <c r="CV231">
        <f t="shared" si="340"/>
        <v>0</v>
      </c>
      <c r="CW231">
        <f t="shared" si="341"/>
        <v>0</v>
      </c>
    </row>
    <row r="232" spans="1:101">
      <c r="A232" s="60">
        <v>45154</v>
      </c>
      <c r="B232" s="426">
        <v>52066.400000000001</v>
      </c>
      <c r="C232">
        <v>51389</v>
      </c>
      <c r="D232">
        <v>51329.1</v>
      </c>
      <c r="E232">
        <v>51386.8</v>
      </c>
      <c r="F232">
        <v>51392.7</v>
      </c>
      <c r="G232">
        <v>51283.3</v>
      </c>
      <c r="H232">
        <v>51377</v>
      </c>
      <c r="I232">
        <v>51371.199999999997</v>
      </c>
      <c r="J232">
        <v>51502.9</v>
      </c>
      <c r="K232">
        <v>51465.4</v>
      </c>
      <c r="L232">
        <v>51652.4</v>
      </c>
      <c r="M232">
        <v>51563.9</v>
      </c>
      <c r="N232">
        <v>51518.3</v>
      </c>
      <c r="O232">
        <v>51508.6</v>
      </c>
      <c r="P232">
        <v>51602</v>
      </c>
      <c r="Q232">
        <v>51588.3</v>
      </c>
      <c r="R232">
        <v>51573.7</v>
      </c>
      <c r="S232">
        <v>51638</v>
      </c>
      <c r="T232">
        <v>52054.2</v>
      </c>
      <c r="U232">
        <v>52037.9</v>
      </c>
      <c r="V232">
        <v>52080.1</v>
      </c>
      <c r="W232">
        <v>51849.4</v>
      </c>
      <c r="X232">
        <v>51899.199999999997</v>
      </c>
      <c r="Y232">
        <v>51989.1</v>
      </c>
      <c r="Z232" s="77">
        <v>1239118.9000000001</v>
      </c>
      <c r="AB232">
        <f t="shared" si="342"/>
        <v>0</v>
      </c>
      <c r="AC232">
        <f t="shared" si="343"/>
        <v>0</v>
      </c>
      <c r="AD232">
        <f t="shared" si="344"/>
        <v>0</v>
      </c>
      <c r="AE232">
        <f t="shared" si="345"/>
        <v>0</v>
      </c>
      <c r="AF232">
        <f t="shared" si="346"/>
        <v>0</v>
      </c>
      <c r="AG232">
        <f t="shared" si="347"/>
        <v>0</v>
      </c>
      <c r="AH232">
        <f t="shared" si="348"/>
        <v>0</v>
      </c>
      <c r="AI232">
        <f t="shared" si="349"/>
        <v>0</v>
      </c>
      <c r="AJ232">
        <f t="shared" si="350"/>
        <v>0</v>
      </c>
      <c r="AK232">
        <f t="shared" si="351"/>
        <v>0</v>
      </c>
      <c r="AL232">
        <f t="shared" si="352"/>
        <v>0</v>
      </c>
      <c r="AM232">
        <f t="shared" si="353"/>
        <v>0</v>
      </c>
      <c r="AN232">
        <f t="shared" si="354"/>
        <v>0</v>
      </c>
      <c r="AO232">
        <f t="shared" si="355"/>
        <v>0</v>
      </c>
      <c r="AP232">
        <f t="shared" si="356"/>
        <v>0</v>
      </c>
      <c r="AQ232">
        <f t="shared" si="357"/>
        <v>0</v>
      </c>
      <c r="AR232">
        <f t="shared" si="358"/>
        <v>0</v>
      </c>
      <c r="AS232">
        <f t="shared" si="359"/>
        <v>0</v>
      </c>
      <c r="AT232">
        <f t="shared" si="360"/>
        <v>0</v>
      </c>
      <c r="AU232">
        <f t="shared" si="361"/>
        <v>0</v>
      </c>
      <c r="AV232">
        <f t="shared" si="362"/>
        <v>0</v>
      </c>
      <c r="AW232">
        <f t="shared" si="363"/>
        <v>0</v>
      </c>
      <c r="AX232">
        <f t="shared" si="364"/>
        <v>0</v>
      </c>
      <c r="AY232">
        <f t="shared" si="365"/>
        <v>0</v>
      </c>
      <c r="BA232">
        <f t="shared" si="308"/>
        <v>6</v>
      </c>
      <c r="BB232">
        <f t="shared" si="309"/>
        <v>6</v>
      </c>
      <c r="BC232">
        <f t="shared" si="310"/>
        <v>6</v>
      </c>
      <c r="BD232">
        <f t="shared" si="311"/>
        <v>6</v>
      </c>
      <c r="BE232">
        <f t="shared" si="312"/>
        <v>6</v>
      </c>
      <c r="BF232">
        <f t="shared" si="313"/>
        <v>6</v>
      </c>
      <c r="BG232">
        <f t="shared" si="314"/>
        <v>6</v>
      </c>
      <c r="BH232">
        <f t="shared" si="315"/>
        <v>6</v>
      </c>
      <c r="BI232">
        <f t="shared" si="316"/>
        <v>6</v>
      </c>
      <c r="BJ232">
        <f t="shared" si="317"/>
        <v>6</v>
      </c>
      <c r="BK232">
        <f t="shared" si="318"/>
        <v>6</v>
      </c>
      <c r="BL232">
        <f t="shared" si="319"/>
        <v>6</v>
      </c>
      <c r="BM232">
        <f t="shared" si="320"/>
        <v>6</v>
      </c>
      <c r="BN232">
        <f t="shared" si="321"/>
        <v>6</v>
      </c>
      <c r="BO232">
        <f t="shared" si="322"/>
        <v>6</v>
      </c>
      <c r="BP232">
        <f t="shared" si="323"/>
        <v>6</v>
      </c>
      <c r="BQ232">
        <f t="shared" si="324"/>
        <v>6</v>
      </c>
      <c r="BR232">
        <f t="shared" si="325"/>
        <v>6</v>
      </c>
      <c r="BS232">
        <f t="shared" si="326"/>
        <v>6</v>
      </c>
      <c r="BT232">
        <f t="shared" si="327"/>
        <v>6</v>
      </c>
      <c r="BU232">
        <f t="shared" si="328"/>
        <v>6</v>
      </c>
      <c r="BV232">
        <f t="shared" si="329"/>
        <v>6</v>
      </c>
      <c r="BW232">
        <f t="shared" si="330"/>
        <v>6</v>
      </c>
      <c r="BX232">
        <f t="shared" si="331"/>
        <v>6</v>
      </c>
      <c r="BZ232" s="52">
        <f t="shared" si="332"/>
        <v>-2</v>
      </c>
      <c r="CA232" s="52">
        <f t="shared" si="366"/>
        <v>0</v>
      </c>
      <c r="CB232" s="52">
        <f t="shared" si="366"/>
        <v>0</v>
      </c>
      <c r="CC232" s="52">
        <f t="shared" si="366"/>
        <v>0</v>
      </c>
      <c r="CD232" s="52">
        <f t="shared" si="366"/>
        <v>0</v>
      </c>
      <c r="CE232" s="52">
        <f t="shared" si="366"/>
        <v>0</v>
      </c>
      <c r="CF232" s="52">
        <f t="shared" si="366"/>
        <v>0</v>
      </c>
      <c r="CG232" s="52">
        <f t="shared" si="366"/>
        <v>0</v>
      </c>
      <c r="CH232" s="52">
        <f t="shared" si="366"/>
        <v>0</v>
      </c>
      <c r="CI232" s="52">
        <f t="shared" si="366"/>
        <v>0</v>
      </c>
      <c r="CJ232" s="52">
        <f t="shared" si="366"/>
        <v>0</v>
      </c>
      <c r="CK232" s="52">
        <f t="shared" si="366"/>
        <v>0</v>
      </c>
      <c r="CL232" s="52">
        <f t="shared" si="366"/>
        <v>0</v>
      </c>
      <c r="CM232" s="52">
        <f t="shared" si="366"/>
        <v>0</v>
      </c>
      <c r="CN232" s="52">
        <f t="shared" si="366"/>
        <v>0</v>
      </c>
      <c r="CO232" s="52">
        <f t="shared" si="366"/>
        <v>0</v>
      </c>
      <c r="CP232" s="52">
        <f t="shared" si="366"/>
        <v>0</v>
      </c>
      <c r="CQ232" s="52">
        <f t="shared" si="335"/>
        <v>0</v>
      </c>
      <c r="CR232" s="52">
        <f t="shared" si="336"/>
        <v>0</v>
      </c>
      <c r="CS232" s="52">
        <f t="shared" si="337"/>
        <v>0</v>
      </c>
      <c r="CT232" s="52">
        <f t="shared" si="338"/>
        <v>0</v>
      </c>
      <c r="CU232" s="52">
        <f t="shared" si="339"/>
        <v>0</v>
      </c>
      <c r="CV232" s="52">
        <f t="shared" si="340"/>
        <v>0</v>
      </c>
      <c r="CW232" s="52">
        <f t="shared" si="341"/>
        <v>0</v>
      </c>
    </row>
    <row r="233" spans="1:101">
      <c r="A233" s="60">
        <v>45155</v>
      </c>
      <c r="B233" s="426">
        <v>51939.3</v>
      </c>
      <c r="C233">
        <v>51223.7</v>
      </c>
      <c r="D233">
        <v>51415.5</v>
      </c>
      <c r="E233">
        <v>51492.800000000003</v>
      </c>
      <c r="F233">
        <v>52046.3</v>
      </c>
      <c r="G233">
        <v>51931.6</v>
      </c>
      <c r="H233">
        <v>51954.8</v>
      </c>
      <c r="I233">
        <v>52031.9</v>
      </c>
      <c r="J233">
        <v>52002.1</v>
      </c>
      <c r="K233">
        <v>51848.7</v>
      </c>
      <c r="L233">
        <v>52036.800000000003</v>
      </c>
      <c r="M233">
        <v>52111.8</v>
      </c>
      <c r="N233">
        <v>52039.4</v>
      </c>
      <c r="O233">
        <v>52157.9</v>
      </c>
      <c r="P233">
        <v>52069.599999999999</v>
      </c>
      <c r="Q233">
        <v>52143.4</v>
      </c>
      <c r="R233">
        <v>52097.7</v>
      </c>
      <c r="S233">
        <v>52057.5</v>
      </c>
      <c r="T233">
        <v>52677.1</v>
      </c>
      <c r="U233">
        <v>52592.9</v>
      </c>
      <c r="V233">
        <v>62452.4</v>
      </c>
      <c r="W233">
        <v>52860.1</v>
      </c>
      <c r="X233">
        <v>52162</v>
      </c>
      <c r="Y233">
        <v>52358.7</v>
      </c>
      <c r="Z233" s="77">
        <v>1259704</v>
      </c>
      <c r="AB233" s="52">
        <f t="shared" si="342"/>
        <v>0</v>
      </c>
      <c r="AC233" s="52">
        <f t="shared" si="343"/>
        <v>0</v>
      </c>
      <c r="AD233" s="52">
        <f t="shared" si="344"/>
        <v>0</v>
      </c>
      <c r="AE233" s="52">
        <f t="shared" si="345"/>
        <v>0</v>
      </c>
      <c r="AF233" s="52">
        <f t="shared" si="346"/>
        <v>0</v>
      </c>
      <c r="AG233" s="52">
        <f t="shared" si="347"/>
        <v>0</v>
      </c>
      <c r="AH233" s="52">
        <f t="shared" si="348"/>
        <v>0</v>
      </c>
      <c r="AI233" s="52">
        <f t="shared" si="349"/>
        <v>0</v>
      </c>
      <c r="AJ233" s="52">
        <f t="shared" si="350"/>
        <v>0</v>
      </c>
      <c r="AK233" s="52">
        <f t="shared" si="351"/>
        <v>0</v>
      </c>
      <c r="AL233" s="52">
        <f t="shared" si="352"/>
        <v>0</v>
      </c>
      <c r="AM233" s="52">
        <f t="shared" si="353"/>
        <v>0</v>
      </c>
      <c r="AN233" s="52">
        <f t="shared" si="354"/>
        <v>0</v>
      </c>
      <c r="AO233" s="52">
        <f t="shared" si="355"/>
        <v>0</v>
      </c>
      <c r="AP233" s="52">
        <f t="shared" si="356"/>
        <v>0</v>
      </c>
      <c r="AQ233" s="52">
        <f t="shared" si="357"/>
        <v>0</v>
      </c>
      <c r="AR233" s="52">
        <f t="shared" si="358"/>
        <v>0</v>
      </c>
      <c r="AS233" s="52">
        <f t="shared" si="359"/>
        <v>0</v>
      </c>
      <c r="AT233" s="52">
        <f t="shared" si="360"/>
        <v>0</v>
      </c>
      <c r="AU233" s="52">
        <f t="shared" si="361"/>
        <v>0</v>
      </c>
      <c r="AV233" s="52">
        <f t="shared" si="362"/>
        <v>0</v>
      </c>
      <c r="AW233" s="52">
        <f t="shared" si="363"/>
        <v>0</v>
      </c>
      <c r="AX233" s="52">
        <f t="shared" si="364"/>
        <v>0</v>
      </c>
      <c r="AY233" s="52">
        <f t="shared" si="365"/>
        <v>0</v>
      </c>
      <c r="BA233" s="52">
        <f t="shared" si="308"/>
        <v>6</v>
      </c>
      <c r="BB233" s="52">
        <f t="shared" si="309"/>
        <v>6</v>
      </c>
      <c r="BC233" s="52">
        <f t="shared" si="310"/>
        <v>6</v>
      </c>
      <c r="BD233" s="52">
        <f t="shared" si="311"/>
        <v>6</v>
      </c>
      <c r="BE233" s="52">
        <f t="shared" si="312"/>
        <v>6</v>
      </c>
      <c r="BF233" s="52">
        <f t="shared" si="313"/>
        <v>6</v>
      </c>
      <c r="BG233" s="52">
        <f t="shared" si="314"/>
        <v>6</v>
      </c>
      <c r="BH233" s="52">
        <f t="shared" si="315"/>
        <v>6</v>
      </c>
      <c r="BI233" s="52">
        <f t="shared" si="316"/>
        <v>6</v>
      </c>
      <c r="BJ233" s="52">
        <f t="shared" si="317"/>
        <v>6</v>
      </c>
      <c r="BK233" s="52">
        <f t="shared" si="318"/>
        <v>6</v>
      </c>
      <c r="BL233" s="52">
        <f t="shared" si="319"/>
        <v>6</v>
      </c>
      <c r="BM233" s="52">
        <f t="shared" si="320"/>
        <v>6</v>
      </c>
      <c r="BN233" s="52">
        <f t="shared" si="321"/>
        <v>6</v>
      </c>
      <c r="BO233" s="52">
        <f t="shared" si="322"/>
        <v>6</v>
      </c>
      <c r="BP233" s="52">
        <f t="shared" si="323"/>
        <v>6</v>
      </c>
      <c r="BQ233" s="52">
        <f t="shared" si="324"/>
        <v>6</v>
      </c>
      <c r="BR233" s="52">
        <f t="shared" si="325"/>
        <v>6</v>
      </c>
      <c r="BS233" s="52">
        <f t="shared" si="326"/>
        <v>6</v>
      </c>
      <c r="BT233" s="52">
        <f t="shared" si="327"/>
        <v>6</v>
      </c>
      <c r="BU233" s="52">
        <f t="shared" si="328"/>
        <v>8</v>
      </c>
      <c r="BV233" s="52">
        <f t="shared" si="329"/>
        <v>7</v>
      </c>
      <c r="BW233" s="52">
        <f t="shared" si="330"/>
        <v>6</v>
      </c>
      <c r="BX233" s="52">
        <f t="shared" si="331"/>
        <v>6</v>
      </c>
      <c r="BZ233">
        <f t="shared" si="332"/>
        <v>0</v>
      </c>
      <c r="CA233">
        <f t="shared" si="366"/>
        <v>0</v>
      </c>
      <c r="CB233">
        <f t="shared" si="366"/>
        <v>0</v>
      </c>
      <c r="CC233">
        <f t="shared" si="366"/>
        <v>0</v>
      </c>
      <c r="CD233">
        <f t="shared" si="366"/>
        <v>0</v>
      </c>
      <c r="CE233">
        <f t="shared" si="366"/>
        <v>0</v>
      </c>
      <c r="CF233">
        <f t="shared" si="366"/>
        <v>0</v>
      </c>
      <c r="CG233">
        <f t="shared" si="366"/>
        <v>0</v>
      </c>
      <c r="CH233">
        <f t="shared" si="366"/>
        <v>0</v>
      </c>
      <c r="CI233">
        <f t="shared" si="366"/>
        <v>0</v>
      </c>
      <c r="CJ233">
        <f t="shared" si="366"/>
        <v>0</v>
      </c>
      <c r="CK233">
        <f t="shared" si="366"/>
        <v>0</v>
      </c>
      <c r="CL233">
        <f t="shared" si="366"/>
        <v>0</v>
      </c>
      <c r="CM233">
        <f t="shared" si="366"/>
        <v>0</v>
      </c>
      <c r="CN233">
        <f t="shared" si="366"/>
        <v>0</v>
      </c>
      <c r="CO233">
        <f t="shared" si="366"/>
        <v>0</v>
      </c>
      <c r="CP233">
        <f t="shared" si="366"/>
        <v>0</v>
      </c>
      <c r="CQ233">
        <f t="shared" si="335"/>
        <v>0</v>
      </c>
      <c r="CR233">
        <f t="shared" si="336"/>
        <v>0</v>
      </c>
      <c r="CS233">
        <f t="shared" si="337"/>
        <v>0</v>
      </c>
      <c r="CT233">
        <f t="shared" si="338"/>
        <v>2</v>
      </c>
      <c r="CU233">
        <f t="shared" si="339"/>
        <v>-1</v>
      </c>
      <c r="CV233">
        <f t="shared" si="340"/>
        <v>-1</v>
      </c>
      <c r="CW233">
        <f t="shared" si="341"/>
        <v>0</v>
      </c>
    </row>
    <row r="234" spans="1:101">
      <c r="A234" s="60">
        <v>45156</v>
      </c>
      <c r="B234" s="426">
        <v>51713.3</v>
      </c>
      <c r="C234">
        <v>50995.3</v>
      </c>
      <c r="D234">
        <v>51502.1</v>
      </c>
      <c r="E234">
        <v>51622</v>
      </c>
      <c r="F234">
        <v>51688.800000000003</v>
      </c>
      <c r="G234">
        <v>51630.9</v>
      </c>
      <c r="H234">
        <v>51667</v>
      </c>
      <c r="I234">
        <v>51804.800000000003</v>
      </c>
      <c r="J234">
        <v>51794.7</v>
      </c>
      <c r="K234">
        <v>51877.8</v>
      </c>
      <c r="L234">
        <v>51905.5</v>
      </c>
      <c r="M234">
        <v>51880.7</v>
      </c>
      <c r="N234">
        <v>51814.400000000001</v>
      </c>
      <c r="O234">
        <v>51905.1</v>
      </c>
      <c r="P234">
        <v>50545.2</v>
      </c>
      <c r="Q234">
        <v>51200.4</v>
      </c>
      <c r="R234">
        <v>51269.9</v>
      </c>
      <c r="S234">
        <v>51244.4</v>
      </c>
      <c r="T234">
        <v>51935.6</v>
      </c>
      <c r="U234">
        <v>52641</v>
      </c>
      <c r="V234">
        <v>52497.1</v>
      </c>
      <c r="W234">
        <v>52226.7</v>
      </c>
      <c r="X234">
        <v>52357.5</v>
      </c>
      <c r="Y234">
        <v>53236.1</v>
      </c>
      <c r="Z234" s="77">
        <v>1242956.3</v>
      </c>
      <c r="AB234">
        <f t="shared" si="342"/>
        <v>0</v>
      </c>
      <c r="AC234">
        <f t="shared" si="343"/>
        <v>0</v>
      </c>
      <c r="AD234">
        <f t="shared" si="344"/>
        <v>0</v>
      </c>
      <c r="AE234">
        <f t="shared" si="345"/>
        <v>0</v>
      </c>
      <c r="AF234">
        <f t="shared" si="346"/>
        <v>0</v>
      </c>
      <c r="AG234">
        <f t="shared" si="347"/>
        <v>0</v>
      </c>
      <c r="AH234">
        <f t="shared" si="348"/>
        <v>0</v>
      </c>
      <c r="AI234">
        <f t="shared" si="349"/>
        <v>0</v>
      </c>
      <c r="AJ234">
        <f t="shared" si="350"/>
        <v>0</v>
      </c>
      <c r="AK234">
        <f t="shared" si="351"/>
        <v>0</v>
      </c>
      <c r="AL234">
        <f t="shared" si="352"/>
        <v>0</v>
      </c>
      <c r="AM234">
        <f t="shared" si="353"/>
        <v>0</v>
      </c>
      <c r="AN234">
        <f t="shared" si="354"/>
        <v>0</v>
      </c>
      <c r="AO234">
        <f t="shared" si="355"/>
        <v>0</v>
      </c>
      <c r="AP234">
        <f t="shared" si="356"/>
        <v>0</v>
      </c>
      <c r="AQ234">
        <f t="shared" si="357"/>
        <v>0</v>
      </c>
      <c r="AR234">
        <f t="shared" si="358"/>
        <v>0</v>
      </c>
      <c r="AS234">
        <f t="shared" si="359"/>
        <v>0</v>
      </c>
      <c r="AT234">
        <f t="shared" si="360"/>
        <v>0</v>
      </c>
      <c r="AU234">
        <f t="shared" si="361"/>
        <v>0</v>
      </c>
      <c r="AV234">
        <f t="shared" si="362"/>
        <v>0</v>
      </c>
      <c r="AW234">
        <f t="shared" si="363"/>
        <v>0</v>
      </c>
      <c r="AX234">
        <f t="shared" si="364"/>
        <v>0</v>
      </c>
      <c r="AY234">
        <f t="shared" si="365"/>
        <v>0</v>
      </c>
      <c r="BA234">
        <f t="shared" si="308"/>
        <v>6</v>
      </c>
      <c r="BB234">
        <f t="shared" si="309"/>
        <v>6</v>
      </c>
      <c r="BC234">
        <f t="shared" si="310"/>
        <v>6</v>
      </c>
      <c r="BD234">
        <f t="shared" si="311"/>
        <v>6</v>
      </c>
      <c r="BE234">
        <f t="shared" si="312"/>
        <v>6</v>
      </c>
      <c r="BF234">
        <f t="shared" si="313"/>
        <v>6</v>
      </c>
      <c r="BG234">
        <f t="shared" si="314"/>
        <v>6</v>
      </c>
      <c r="BH234">
        <f t="shared" si="315"/>
        <v>6</v>
      </c>
      <c r="BI234">
        <f t="shared" si="316"/>
        <v>6</v>
      </c>
      <c r="BJ234">
        <f t="shared" si="317"/>
        <v>6</v>
      </c>
      <c r="BK234">
        <f t="shared" si="318"/>
        <v>6</v>
      </c>
      <c r="BL234">
        <f t="shared" si="319"/>
        <v>6</v>
      </c>
      <c r="BM234">
        <f t="shared" si="320"/>
        <v>6</v>
      </c>
      <c r="BN234">
        <f t="shared" si="321"/>
        <v>6</v>
      </c>
      <c r="BO234">
        <f t="shared" si="322"/>
        <v>6</v>
      </c>
      <c r="BP234">
        <f t="shared" si="323"/>
        <v>6</v>
      </c>
      <c r="BQ234">
        <f t="shared" si="324"/>
        <v>6</v>
      </c>
      <c r="BR234">
        <f t="shared" si="325"/>
        <v>6</v>
      </c>
      <c r="BS234">
        <f t="shared" si="326"/>
        <v>6</v>
      </c>
      <c r="BT234">
        <f t="shared" si="327"/>
        <v>6</v>
      </c>
      <c r="BU234">
        <f t="shared" si="328"/>
        <v>6</v>
      </c>
      <c r="BV234">
        <f t="shared" si="329"/>
        <v>6</v>
      </c>
      <c r="BW234">
        <f t="shared" si="330"/>
        <v>6</v>
      </c>
      <c r="BX234">
        <f t="shared" si="331"/>
        <v>7</v>
      </c>
      <c r="BZ234" s="52">
        <f t="shared" si="332"/>
        <v>0</v>
      </c>
      <c r="CA234" s="52">
        <f t="shared" si="366"/>
        <v>0</v>
      </c>
      <c r="CB234" s="52">
        <f t="shared" si="366"/>
        <v>0</v>
      </c>
      <c r="CC234" s="52">
        <f t="shared" si="366"/>
        <v>0</v>
      </c>
      <c r="CD234" s="52">
        <f t="shared" si="366"/>
        <v>0</v>
      </c>
      <c r="CE234" s="52">
        <f t="shared" si="366"/>
        <v>0</v>
      </c>
      <c r="CF234" s="52">
        <f t="shared" si="366"/>
        <v>0</v>
      </c>
      <c r="CG234" s="52">
        <f t="shared" si="366"/>
        <v>0</v>
      </c>
      <c r="CH234" s="52">
        <f t="shared" si="366"/>
        <v>0</v>
      </c>
      <c r="CI234" s="52">
        <f t="shared" si="366"/>
        <v>0</v>
      </c>
      <c r="CJ234" s="52">
        <f t="shared" si="366"/>
        <v>0</v>
      </c>
      <c r="CK234" s="52">
        <f t="shared" si="366"/>
        <v>0</v>
      </c>
      <c r="CL234" s="52">
        <f t="shared" si="366"/>
        <v>0</v>
      </c>
      <c r="CM234" s="52">
        <f t="shared" si="366"/>
        <v>0</v>
      </c>
      <c r="CN234" s="52">
        <f t="shared" si="366"/>
        <v>0</v>
      </c>
      <c r="CO234" s="52">
        <f t="shared" si="366"/>
        <v>0</v>
      </c>
      <c r="CP234" s="52">
        <f t="shared" si="366"/>
        <v>0</v>
      </c>
      <c r="CQ234" s="52">
        <f t="shared" si="335"/>
        <v>0</v>
      </c>
      <c r="CR234" s="52">
        <f t="shared" si="336"/>
        <v>0</v>
      </c>
      <c r="CS234" s="52">
        <f t="shared" si="337"/>
        <v>0</v>
      </c>
      <c r="CT234" s="52">
        <f t="shared" si="338"/>
        <v>0</v>
      </c>
      <c r="CU234" s="52">
        <f t="shared" si="339"/>
        <v>0</v>
      </c>
      <c r="CV234" s="52">
        <f t="shared" si="340"/>
        <v>0</v>
      </c>
      <c r="CW234" s="52">
        <f t="shared" si="341"/>
        <v>1</v>
      </c>
    </row>
    <row r="235" spans="1:101">
      <c r="A235" s="60">
        <v>45157</v>
      </c>
      <c r="B235" s="426">
        <v>54413.2</v>
      </c>
      <c r="C235">
        <v>53905.9</v>
      </c>
      <c r="D235">
        <v>53081.599999999999</v>
      </c>
      <c r="E235">
        <v>53741.7</v>
      </c>
      <c r="F235">
        <v>54480.5</v>
      </c>
      <c r="G235">
        <v>54192.5</v>
      </c>
      <c r="H235">
        <v>53910.7</v>
      </c>
      <c r="I235">
        <v>53627.9</v>
      </c>
      <c r="J235">
        <v>53552.4</v>
      </c>
      <c r="K235">
        <v>53660.2</v>
      </c>
      <c r="L235">
        <v>53600</v>
      </c>
      <c r="M235">
        <v>53665.3</v>
      </c>
      <c r="N235">
        <v>53493.3</v>
      </c>
      <c r="O235">
        <v>53537.1</v>
      </c>
      <c r="P235">
        <v>53651.199999999997</v>
      </c>
      <c r="Q235">
        <v>52877.4</v>
      </c>
      <c r="R235">
        <v>52668</v>
      </c>
      <c r="S235">
        <v>52663.1</v>
      </c>
      <c r="T235">
        <v>52281.5</v>
      </c>
      <c r="U235">
        <v>52886.1</v>
      </c>
      <c r="V235">
        <v>53774.5</v>
      </c>
      <c r="W235">
        <v>53584.9</v>
      </c>
      <c r="X235">
        <v>53515.4</v>
      </c>
      <c r="Y235">
        <v>53973.1</v>
      </c>
      <c r="Z235" s="77">
        <v>1284737.5</v>
      </c>
      <c r="AB235" s="52">
        <f t="shared" si="342"/>
        <v>0</v>
      </c>
      <c r="AC235" s="52">
        <f t="shared" si="343"/>
        <v>0</v>
      </c>
      <c r="AD235" s="52">
        <f t="shared" si="344"/>
        <v>0</v>
      </c>
      <c r="AE235" s="52">
        <f t="shared" si="345"/>
        <v>0</v>
      </c>
      <c r="AF235" s="52">
        <f t="shared" si="346"/>
        <v>0</v>
      </c>
      <c r="AG235" s="52">
        <f t="shared" si="347"/>
        <v>0</v>
      </c>
      <c r="AH235" s="52">
        <f t="shared" si="348"/>
        <v>0</v>
      </c>
      <c r="AI235" s="52">
        <f t="shared" si="349"/>
        <v>0</v>
      </c>
      <c r="AJ235" s="52">
        <f t="shared" si="350"/>
        <v>0</v>
      </c>
      <c r="AK235" s="52">
        <f t="shared" si="351"/>
        <v>0</v>
      </c>
      <c r="AL235" s="52">
        <f t="shared" si="352"/>
        <v>0</v>
      </c>
      <c r="AM235" s="52">
        <f t="shared" si="353"/>
        <v>0</v>
      </c>
      <c r="AN235" s="52">
        <f t="shared" si="354"/>
        <v>0</v>
      </c>
      <c r="AO235" s="52">
        <f t="shared" si="355"/>
        <v>0</v>
      </c>
      <c r="AP235" s="52">
        <f t="shared" si="356"/>
        <v>0</v>
      </c>
      <c r="AQ235" s="52">
        <f t="shared" si="357"/>
        <v>0</v>
      </c>
      <c r="AR235" s="52">
        <f t="shared" si="358"/>
        <v>0</v>
      </c>
      <c r="AS235" s="52">
        <f t="shared" si="359"/>
        <v>0</v>
      </c>
      <c r="AT235" s="52">
        <f t="shared" si="360"/>
        <v>0</v>
      </c>
      <c r="AU235" s="52">
        <f t="shared" si="361"/>
        <v>0</v>
      </c>
      <c r="AV235" s="52">
        <f t="shared" si="362"/>
        <v>0</v>
      </c>
      <c r="AW235" s="52">
        <f t="shared" si="363"/>
        <v>0</v>
      </c>
      <c r="AX235" s="52">
        <f t="shared" si="364"/>
        <v>0</v>
      </c>
      <c r="AY235" s="52">
        <f t="shared" si="365"/>
        <v>0</v>
      </c>
      <c r="BA235" s="52">
        <f t="shared" si="308"/>
        <v>7</v>
      </c>
      <c r="BB235" s="52">
        <f t="shared" si="309"/>
        <v>7</v>
      </c>
      <c r="BC235" s="52">
        <f t="shared" si="310"/>
        <v>7</v>
      </c>
      <c r="BD235" s="52">
        <f t="shared" si="311"/>
        <v>7</v>
      </c>
      <c r="BE235" s="52">
        <f t="shared" si="312"/>
        <v>7</v>
      </c>
      <c r="BF235" s="52">
        <f t="shared" si="313"/>
        <v>7</v>
      </c>
      <c r="BG235" s="52">
        <f t="shared" si="314"/>
        <v>7</v>
      </c>
      <c r="BH235" s="52">
        <f t="shared" si="315"/>
        <v>7</v>
      </c>
      <c r="BI235" s="52">
        <f t="shared" si="316"/>
        <v>7</v>
      </c>
      <c r="BJ235" s="52">
        <f t="shared" si="317"/>
        <v>7</v>
      </c>
      <c r="BK235" s="52">
        <f t="shared" si="318"/>
        <v>7</v>
      </c>
      <c r="BL235" s="52">
        <f t="shared" si="319"/>
        <v>7</v>
      </c>
      <c r="BM235" s="52">
        <f t="shared" si="320"/>
        <v>7</v>
      </c>
      <c r="BN235" s="52">
        <f t="shared" si="321"/>
        <v>7</v>
      </c>
      <c r="BO235" s="52">
        <f t="shared" si="322"/>
        <v>7</v>
      </c>
      <c r="BP235" s="52">
        <f t="shared" si="323"/>
        <v>7</v>
      </c>
      <c r="BQ235" s="52">
        <f t="shared" si="324"/>
        <v>6</v>
      </c>
      <c r="BR235" s="52">
        <f t="shared" si="325"/>
        <v>6</v>
      </c>
      <c r="BS235" s="52">
        <f t="shared" si="326"/>
        <v>6</v>
      </c>
      <c r="BT235" s="52">
        <f t="shared" si="327"/>
        <v>7</v>
      </c>
      <c r="BU235" s="52">
        <f t="shared" si="328"/>
        <v>7</v>
      </c>
      <c r="BV235" s="52">
        <f t="shared" si="329"/>
        <v>7</v>
      </c>
      <c r="BW235" s="52">
        <f t="shared" si="330"/>
        <v>7</v>
      </c>
      <c r="BX235" s="52">
        <f t="shared" si="331"/>
        <v>7</v>
      </c>
      <c r="BZ235">
        <f t="shared" si="332"/>
        <v>0</v>
      </c>
      <c r="CA235">
        <f t="shared" si="366"/>
        <v>0</v>
      </c>
      <c r="CB235">
        <f t="shared" si="366"/>
        <v>0</v>
      </c>
      <c r="CC235">
        <f t="shared" si="366"/>
        <v>0</v>
      </c>
      <c r="CD235">
        <f t="shared" si="366"/>
        <v>0</v>
      </c>
      <c r="CE235">
        <f t="shared" si="366"/>
        <v>0</v>
      </c>
      <c r="CF235">
        <f t="shared" si="366"/>
        <v>0</v>
      </c>
      <c r="CG235">
        <f t="shared" si="366"/>
        <v>0</v>
      </c>
      <c r="CH235">
        <f t="shared" si="366"/>
        <v>0</v>
      </c>
      <c r="CI235">
        <f t="shared" si="366"/>
        <v>0</v>
      </c>
      <c r="CJ235">
        <f t="shared" si="366"/>
        <v>0</v>
      </c>
      <c r="CK235">
        <f t="shared" si="366"/>
        <v>0</v>
      </c>
      <c r="CL235">
        <f t="shared" si="366"/>
        <v>0</v>
      </c>
      <c r="CM235">
        <f t="shared" si="366"/>
        <v>0</v>
      </c>
      <c r="CN235">
        <f t="shared" si="366"/>
        <v>0</v>
      </c>
      <c r="CO235">
        <f t="shared" si="366"/>
        <v>0</v>
      </c>
      <c r="CP235">
        <f t="shared" si="366"/>
        <v>-1</v>
      </c>
      <c r="CQ235">
        <f t="shared" si="335"/>
        <v>0</v>
      </c>
      <c r="CR235">
        <f t="shared" si="336"/>
        <v>0</v>
      </c>
      <c r="CS235">
        <f t="shared" si="337"/>
        <v>1</v>
      </c>
      <c r="CT235">
        <f t="shared" si="338"/>
        <v>0</v>
      </c>
      <c r="CU235">
        <f t="shared" si="339"/>
        <v>0</v>
      </c>
      <c r="CV235">
        <f t="shared" si="340"/>
        <v>0</v>
      </c>
      <c r="CW235">
        <f t="shared" si="341"/>
        <v>0</v>
      </c>
    </row>
    <row r="236" spans="1:101">
      <c r="A236" s="60">
        <v>45158</v>
      </c>
      <c r="B236" s="426">
        <v>54173</v>
      </c>
      <c r="C236">
        <v>52912.6</v>
      </c>
      <c r="D236">
        <v>53348.9</v>
      </c>
      <c r="E236">
        <v>53692.7</v>
      </c>
      <c r="F236">
        <v>68198.8</v>
      </c>
      <c r="G236">
        <v>68141.399999999994</v>
      </c>
      <c r="H236">
        <v>72511.899999999994</v>
      </c>
      <c r="I236">
        <v>68580</v>
      </c>
      <c r="J236">
        <v>53686</v>
      </c>
      <c r="K236">
        <v>53564.1</v>
      </c>
      <c r="L236">
        <v>53755.6</v>
      </c>
      <c r="M236">
        <v>53417.599999999999</v>
      </c>
      <c r="N236">
        <v>53151.5</v>
      </c>
      <c r="O236">
        <v>52141.1</v>
      </c>
      <c r="P236">
        <v>53879.1</v>
      </c>
      <c r="Q236">
        <v>54123.3</v>
      </c>
      <c r="R236">
        <v>54194.1</v>
      </c>
      <c r="S236">
        <v>54209.3</v>
      </c>
      <c r="T236">
        <v>53566</v>
      </c>
      <c r="U236">
        <v>53761.1</v>
      </c>
      <c r="V236">
        <v>53696.4</v>
      </c>
      <c r="W236">
        <v>53599.6</v>
      </c>
      <c r="X236">
        <v>53641</v>
      </c>
      <c r="Y236">
        <v>54065.9</v>
      </c>
      <c r="Z236" s="77">
        <v>1350011</v>
      </c>
      <c r="AB236">
        <f t="shared" si="342"/>
        <v>0</v>
      </c>
      <c r="AC236">
        <f t="shared" si="343"/>
        <v>0</v>
      </c>
      <c r="AD236">
        <f t="shared" si="344"/>
        <v>0</v>
      </c>
      <c r="AE236">
        <f t="shared" si="345"/>
        <v>0</v>
      </c>
      <c r="AF236">
        <f t="shared" si="346"/>
        <v>0</v>
      </c>
      <c r="AG236">
        <f t="shared" si="347"/>
        <v>0</v>
      </c>
      <c r="AH236">
        <f t="shared" si="348"/>
        <v>0</v>
      </c>
      <c r="AI236">
        <f t="shared" si="349"/>
        <v>0</v>
      </c>
      <c r="AJ236">
        <f t="shared" si="350"/>
        <v>0</v>
      </c>
      <c r="AK236">
        <f t="shared" si="351"/>
        <v>0</v>
      </c>
      <c r="AL236">
        <f t="shared" si="352"/>
        <v>0</v>
      </c>
      <c r="AM236">
        <f t="shared" si="353"/>
        <v>0</v>
      </c>
      <c r="AN236">
        <f t="shared" si="354"/>
        <v>0</v>
      </c>
      <c r="AO236">
        <f t="shared" si="355"/>
        <v>0</v>
      </c>
      <c r="AP236">
        <f t="shared" si="356"/>
        <v>0</v>
      </c>
      <c r="AQ236">
        <f t="shared" si="357"/>
        <v>0</v>
      </c>
      <c r="AR236">
        <f t="shared" si="358"/>
        <v>0</v>
      </c>
      <c r="AS236">
        <f t="shared" si="359"/>
        <v>0</v>
      </c>
      <c r="AT236">
        <f t="shared" si="360"/>
        <v>0</v>
      </c>
      <c r="AU236">
        <f t="shared" si="361"/>
        <v>0</v>
      </c>
      <c r="AV236">
        <f t="shared" si="362"/>
        <v>0</v>
      </c>
      <c r="AW236">
        <f t="shared" si="363"/>
        <v>0</v>
      </c>
      <c r="AX236">
        <f t="shared" si="364"/>
        <v>0</v>
      </c>
      <c r="AY236">
        <f t="shared" si="365"/>
        <v>0</v>
      </c>
      <c r="BA236">
        <f t="shared" si="308"/>
        <v>7</v>
      </c>
      <c r="BB236">
        <f t="shared" si="309"/>
        <v>7</v>
      </c>
      <c r="BC236">
        <f t="shared" si="310"/>
        <v>7</v>
      </c>
      <c r="BD236">
        <f t="shared" si="311"/>
        <v>7</v>
      </c>
      <c r="BE236">
        <f t="shared" si="312"/>
        <v>8</v>
      </c>
      <c r="BF236">
        <f t="shared" si="313"/>
        <v>8</v>
      </c>
      <c r="BG236">
        <f t="shared" si="314"/>
        <v>9</v>
      </c>
      <c r="BH236">
        <f t="shared" si="315"/>
        <v>8</v>
      </c>
      <c r="BI236">
        <f t="shared" si="316"/>
        <v>7</v>
      </c>
      <c r="BJ236">
        <f t="shared" si="317"/>
        <v>7</v>
      </c>
      <c r="BK236">
        <f t="shared" si="318"/>
        <v>7</v>
      </c>
      <c r="BL236">
        <f t="shared" si="319"/>
        <v>7</v>
      </c>
      <c r="BM236">
        <f t="shared" si="320"/>
        <v>7</v>
      </c>
      <c r="BN236">
        <f t="shared" si="321"/>
        <v>6</v>
      </c>
      <c r="BO236">
        <f t="shared" si="322"/>
        <v>7</v>
      </c>
      <c r="BP236">
        <f t="shared" si="323"/>
        <v>7</v>
      </c>
      <c r="BQ236">
        <f t="shared" si="324"/>
        <v>7</v>
      </c>
      <c r="BR236">
        <f t="shared" si="325"/>
        <v>7</v>
      </c>
      <c r="BS236">
        <f t="shared" si="326"/>
        <v>7</v>
      </c>
      <c r="BT236">
        <f t="shared" si="327"/>
        <v>7</v>
      </c>
      <c r="BU236">
        <f t="shared" si="328"/>
        <v>7</v>
      </c>
      <c r="BV236">
        <f t="shared" si="329"/>
        <v>7</v>
      </c>
      <c r="BW236">
        <f t="shared" si="330"/>
        <v>7</v>
      </c>
      <c r="BX236">
        <f t="shared" si="331"/>
        <v>7</v>
      </c>
      <c r="BZ236" s="52">
        <f t="shared" si="332"/>
        <v>0</v>
      </c>
      <c r="CA236" s="52">
        <f t="shared" si="366"/>
        <v>0</v>
      </c>
      <c r="CB236" s="52">
        <f t="shared" si="366"/>
        <v>0</v>
      </c>
      <c r="CC236" s="52">
        <f t="shared" si="366"/>
        <v>0</v>
      </c>
      <c r="CD236" s="52">
        <f t="shared" si="366"/>
        <v>1</v>
      </c>
      <c r="CE236" s="52">
        <f t="shared" si="366"/>
        <v>0</v>
      </c>
      <c r="CF236" s="52">
        <f t="shared" si="366"/>
        <v>1</v>
      </c>
      <c r="CG236" s="52">
        <f t="shared" si="366"/>
        <v>-1</v>
      </c>
      <c r="CH236" s="52">
        <f t="shared" si="366"/>
        <v>-1</v>
      </c>
      <c r="CI236" s="52">
        <f t="shared" si="366"/>
        <v>0</v>
      </c>
      <c r="CJ236" s="52">
        <f t="shared" si="366"/>
        <v>0</v>
      </c>
      <c r="CK236" s="52">
        <f t="shared" si="366"/>
        <v>0</v>
      </c>
      <c r="CL236" s="52">
        <f t="shared" si="366"/>
        <v>0</v>
      </c>
      <c r="CM236" s="52">
        <f t="shared" si="366"/>
        <v>-1</v>
      </c>
      <c r="CN236" s="52">
        <f t="shared" si="366"/>
        <v>1</v>
      </c>
      <c r="CO236" s="52">
        <f t="shared" si="366"/>
        <v>0</v>
      </c>
      <c r="CP236" s="52">
        <f t="shared" si="366"/>
        <v>0</v>
      </c>
      <c r="CQ236" s="52">
        <f t="shared" si="335"/>
        <v>0</v>
      </c>
      <c r="CR236" s="52">
        <f t="shared" si="336"/>
        <v>0</v>
      </c>
      <c r="CS236" s="52">
        <f t="shared" si="337"/>
        <v>0</v>
      </c>
      <c r="CT236" s="52">
        <f t="shared" si="338"/>
        <v>0</v>
      </c>
      <c r="CU236" s="52">
        <f t="shared" si="339"/>
        <v>0</v>
      </c>
      <c r="CV236" s="52">
        <f t="shared" si="340"/>
        <v>0</v>
      </c>
      <c r="CW236" s="52">
        <f t="shared" si="341"/>
        <v>0</v>
      </c>
    </row>
    <row r="237" spans="1:101">
      <c r="A237" s="60">
        <v>45159</v>
      </c>
      <c r="B237" s="426">
        <v>52927</v>
      </c>
      <c r="C237">
        <v>54687</v>
      </c>
      <c r="D237">
        <v>54273.599999999999</v>
      </c>
      <c r="E237">
        <v>53637.5</v>
      </c>
      <c r="F237">
        <v>53647</v>
      </c>
      <c r="G237">
        <v>53549.9</v>
      </c>
      <c r="H237">
        <v>53613.5</v>
      </c>
      <c r="I237">
        <v>53611.7</v>
      </c>
      <c r="J237">
        <v>53781.599999999999</v>
      </c>
      <c r="K237">
        <v>53592</v>
      </c>
      <c r="L237">
        <v>53643.3</v>
      </c>
      <c r="M237">
        <v>53580</v>
      </c>
      <c r="N237">
        <v>53676.7</v>
      </c>
      <c r="O237">
        <v>53634.8</v>
      </c>
      <c r="P237">
        <v>53637.2</v>
      </c>
      <c r="Q237">
        <v>53696.6</v>
      </c>
      <c r="R237">
        <v>53626</v>
      </c>
      <c r="S237">
        <v>53707.7</v>
      </c>
      <c r="T237">
        <v>67978</v>
      </c>
      <c r="U237">
        <v>67926.3</v>
      </c>
      <c r="V237">
        <v>67910.8</v>
      </c>
      <c r="W237">
        <v>69190.600000000006</v>
      </c>
      <c r="X237">
        <v>70148.2</v>
      </c>
      <c r="Y237">
        <v>69829.399999999994</v>
      </c>
      <c r="Z237" s="77">
        <v>1379506.4</v>
      </c>
      <c r="AB237" s="52">
        <f t="shared" si="342"/>
        <v>0</v>
      </c>
      <c r="AC237" s="52">
        <f t="shared" si="343"/>
        <v>0</v>
      </c>
      <c r="AD237" s="52">
        <f t="shared" si="344"/>
        <v>0</v>
      </c>
      <c r="AE237" s="52">
        <f t="shared" si="345"/>
        <v>0</v>
      </c>
      <c r="AF237" s="52">
        <f t="shared" si="346"/>
        <v>0</v>
      </c>
      <c r="AG237" s="52">
        <f t="shared" si="347"/>
        <v>0</v>
      </c>
      <c r="AH237" s="52">
        <f t="shared" si="348"/>
        <v>0</v>
      </c>
      <c r="AI237" s="52">
        <f t="shared" si="349"/>
        <v>0</v>
      </c>
      <c r="AJ237" s="52">
        <f t="shared" si="350"/>
        <v>0</v>
      </c>
      <c r="AK237" s="52">
        <f t="shared" si="351"/>
        <v>0</v>
      </c>
      <c r="AL237" s="52">
        <f t="shared" si="352"/>
        <v>0</v>
      </c>
      <c r="AM237" s="52">
        <f t="shared" si="353"/>
        <v>0</v>
      </c>
      <c r="AN237" s="52">
        <f t="shared" si="354"/>
        <v>0</v>
      </c>
      <c r="AO237" s="52">
        <f t="shared" si="355"/>
        <v>0</v>
      </c>
      <c r="AP237" s="52">
        <f t="shared" si="356"/>
        <v>0</v>
      </c>
      <c r="AQ237" s="52">
        <f t="shared" si="357"/>
        <v>0</v>
      </c>
      <c r="AR237" s="52">
        <f t="shared" si="358"/>
        <v>0</v>
      </c>
      <c r="AS237" s="52">
        <f t="shared" si="359"/>
        <v>0</v>
      </c>
      <c r="AT237" s="52">
        <f t="shared" si="360"/>
        <v>0</v>
      </c>
      <c r="AU237" s="52">
        <f t="shared" si="361"/>
        <v>0</v>
      </c>
      <c r="AV237" s="52">
        <f t="shared" si="362"/>
        <v>0</v>
      </c>
      <c r="AW237" s="52">
        <f t="shared" si="363"/>
        <v>0</v>
      </c>
      <c r="AX237" s="52">
        <f t="shared" si="364"/>
        <v>0</v>
      </c>
      <c r="AY237" s="52">
        <f t="shared" si="365"/>
        <v>0</v>
      </c>
      <c r="BA237" s="52">
        <f t="shared" si="308"/>
        <v>7</v>
      </c>
      <c r="BB237" s="52">
        <f t="shared" si="309"/>
        <v>7</v>
      </c>
      <c r="BC237" s="52">
        <f t="shared" si="310"/>
        <v>7</v>
      </c>
      <c r="BD237" s="52">
        <f t="shared" si="311"/>
        <v>7</v>
      </c>
      <c r="BE237" s="52">
        <f t="shared" si="312"/>
        <v>7</v>
      </c>
      <c r="BF237" s="52">
        <f t="shared" si="313"/>
        <v>7</v>
      </c>
      <c r="BG237" s="52">
        <f t="shared" si="314"/>
        <v>7</v>
      </c>
      <c r="BH237" s="52">
        <f t="shared" si="315"/>
        <v>7</v>
      </c>
      <c r="BI237" s="52">
        <f t="shared" si="316"/>
        <v>7</v>
      </c>
      <c r="BJ237" s="52">
        <f t="shared" si="317"/>
        <v>7</v>
      </c>
      <c r="BK237" s="52">
        <f t="shared" si="318"/>
        <v>7</v>
      </c>
      <c r="BL237" s="52">
        <f t="shared" si="319"/>
        <v>7</v>
      </c>
      <c r="BM237" s="52">
        <f t="shared" si="320"/>
        <v>7</v>
      </c>
      <c r="BN237" s="52">
        <f t="shared" si="321"/>
        <v>7</v>
      </c>
      <c r="BO237" s="52">
        <f t="shared" si="322"/>
        <v>7</v>
      </c>
      <c r="BP237" s="52">
        <f t="shared" si="323"/>
        <v>7</v>
      </c>
      <c r="BQ237" s="52">
        <f t="shared" si="324"/>
        <v>7</v>
      </c>
      <c r="BR237" s="52">
        <f t="shared" si="325"/>
        <v>7</v>
      </c>
      <c r="BS237" s="52">
        <f t="shared" si="326"/>
        <v>8</v>
      </c>
      <c r="BT237" s="52">
        <f t="shared" si="327"/>
        <v>8</v>
      </c>
      <c r="BU237" s="52">
        <f t="shared" si="328"/>
        <v>8</v>
      </c>
      <c r="BV237" s="52">
        <f t="shared" si="329"/>
        <v>8</v>
      </c>
      <c r="BW237" s="52">
        <f t="shared" si="330"/>
        <v>8</v>
      </c>
      <c r="BX237" s="52">
        <f t="shared" si="331"/>
        <v>8</v>
      </c>
      <c r="BZ237">
        <f t="shared" si="332"/>
        <v>0</v>
      </c>
      <c r="CA237">
        <f t="shared" si="366"/>
        <v>0</v>
      </c>
      <c r="CB237">
        <f t="shared" si="366"/>
        <v>0</v>
      </c>
      <c r="CC237">
        <f t="shared" si="366"/>
        <v>0</v>
      </c>
      <c r="CD237">
        <f t="shared" si="366"/>
        <v>0</v>
      </c>
      <c r="CE237">
        <f t="shared" si="366"/>
        <v>0</v>
      </c>
      <c r="CF237">
        <f t="shared" si="366"/>
        <v>0</v>
      </c>
      <c r="CG237">
        <f t="shared" si="366"/>
        <v>0</v>
      </c>
      <c r="CH237">
        <f t="shared" si="366"/>
        <v>0</v>
      </c>
      <c r="CI237">
        <f t="shared" si="366"/>
        <v>0</v>
      </c>
      <c r="CJ237">
        <f t="shared" si="366"/>
        <v>0</v>
      </c>
      <c r="CK237">
        <f t="shared" si="366"/>
        <v>0</v>
      </c>
      <c r="CL237">
        <f t="shared" si="366"/>
        <v>0</v>
      </c>
      <c r="CM237">
        <f t="shared" si="366"/>
        <v>0</v>
      </c>
      <c r="CN237">
        <f t="shared" si="366"/>
        <v>0</v>
      </c>
      <c r="CO237">
        <f t="shared" si="366"/>
        <v>0</v>
      </c>
      <c r="CP237">
        <f t="shared" si="366"/>
        <v>0</v>
      </c>
      <c r="CQ237">
        <f t="shared" si="335"/>
        <v>0</v>
      </c>
      <c r="CR237">
        <f t="shared" si="336"/>
        <v>1</v>
      </c>
      <c r="CS237">
        <f t="shared" si="337"/>
        <v>0</v>
      </c>
      <c r="CT237">
        <f t="shared" si="338"/>
        <v>0</v>
      </c>
      <c r="CU237">
        <f t="shared" si="339"/>
        <v>0</v>
      </c>
      <c r="CV237">
        <f t="shared" si="340"/>
        <v>0</v>
      </c>
      <c r="CW237">
        <f t="shared" si="341"/>
        <v>0</v>
      </c>
    </row>
    <row r="238" spans="1:101">
      <c r="A238" s="60">
        <v>45160</v>
      </c>
      <c r="B238" s="426"/>
      <c r="Z238" s="77"/>
      <c r="AB238">
        <f t="shared" si="342"/>
        <v>0</v>
      </c>
      <c r="AC238">
        <f t="shared" si="343"/>
        <v>0</v>
      </c>
      <c r="AD238">
        <f t="shared" si="344"/>
        <v>0</v>
      </c>
      <c r="AE238">
        <f t="shared" si="345"/>
        <v>0</v>
      </c>
      <c r="AF238">
        <f t="shared" si="346"/>
        <v>0</v>
      </c>
      <c r="AG238">
        <f t="shared" si="347"/>
        <v>0</v>
      </c>
      <c r="AH238">
        <f t="shared" si="348"/>
        <v>0</v>
      </c>
      <c r="AI238">
        <f t="shared" si="349"/>
        <v>0</v>
      </c>
      <c r="AJ238">
        <f t="shared" si="350"/>
        <v>0</v>
      </c>
      <c r="AK238">
        <f t="shared" si="351"/>
        <v>0</v>
      </c>
      <c r="AL238">
        <f t="shared" si="352"/>
        <v>0</v>
      </c>
      <c r="AM238">
        <f t="shared" si="353"/>
        <v>0</v>
      </c>
      <c r="AN238">
        <f t="shared" si="354"/>
        <v>0</v>
      </c>
      <c r="AO238">
        <f t="shared" si="355"/>
        <v>0</v>
      </c>
      <c r="AP238">
        <f t="shared" si="356"/>
        <v>0</v>
      </c>
      <c r="AQ238">
        <f t="shared" si="357"/>
        <v>0</v>
      </c>
      <c r="AR238">
        <f t="shared" si="358"/>
        <v>0</v>
      </c>
      <c r="AS238">
        <f t="shared" si="359"/>
        <v>0</v>
      </c>
      <c r="AT238">
        <f t="shared" si="360"/>
        <v>0</v>
      </c>
      <c r="AU238">
        <f t="shared" si="361"/>
        <v>0</v>
      </c>
      <c r="AV238">
        <f t="shared" si="362"/>
        <v>0</v>
      </c>
      <c r="AW238">
        <f t="shared" si="363"/>
        <v>0</v>
      </c>
      <c r="AX238">
        <f t="shared" si="364"/>
        <v>0</v>
      </c>
      <c r="AY238">
        <f t="shared" si="365"/>
        <v>0</v>
      </c>
      <c r="BA238">
        <f t="shared" si="308"/>
        <v>0</v>
      </c>
      <c r="BB238">
        <f t="shared" si="309"/>
        <v>0</v>
      </c>
      <c r="BC238">
        <f t="shared" si="310"/>
        <v>0</v>
      </c>
      <c r="BD238">
        <f t="shared" si="311"/>
        <v>0</v>
      </c>
      <c r="BE238">
        <f t="shared" si="312"/>
        <v>0</v>
      </c>
      <c r="BF238">
        <f t="shared" si="313"/>
        <v>0</v>
      </c>
      <c r="BG238">
        <f t="shared" si="314"/>
        <v>0</v>
      </c>
      <c r="BH238">
        <f t="shared" si="315"/>
        <v>0</v>
      </c>
      <c r="BI238">
        <f t="shared" si="316"/>
        <v>0</v>
      </c>
      <c r="BJ238">
        <f t="shared" si="317"/>
        <v>0</v>
      </c>
      <c r="BK238">
        <f t="shared" si="318"/>
        <v>0</v>
      </c>
      <c r="BL238">
        <f t="shared" si="319"/>
        <v>0</v>
      </c>
      <c r="BM238">
        <f t="shared" si="320"/>
        <v>0</v>
      </c>
      <c r="BN238">
        <f t="shared" si="321"/>
        <v>0</v>
      </c>
      <c r="BO238">
        <f t="shared" si="322"/>
        <v>0</v>
      </c>
      <c r="BP238">
        <f t="shared" si="323"/>
        <v>0</v>
      </c>
      <c r="BQ238">
        <f t="shared" si="324"/>
        <v>0</v>
      </c>
      <c r="BR238">
        <f t="shared" si="325"/>
        <v>0</v>
      </c>
      <c r="BS238">
        <f t="shared" si="326"/>
        <v>0</v>
      </c>
      <c r="BT238">
        <f t="shared" si="327"/>
        <v>0</v>
      </c>
      <c r="BU238">
        <f t="shared" si="328"/>
        <v>0</v>
      </c>
      <c r="BV238">
        <f t="shared" si="329"/>
        <v>0</v>
      </c>
      <c r="BW238">
        <f t="shared" si="330"/>
        <v>0</v>
      </c>
      <c r="BX238">
        <f t="shared" si="331"/>
        <v>0</v>
      </c>
      <c r="BZ238" s="52">
        <f t="shared" si="332"/>
        <v>-8</v>
      </c>
      <c r="CA238" s="52">
        <f t="shared" si="366"/>
        <v>0</v>
      </c>
      <c r="CB238" s="52">
        <f t="shared" si="366"/>
        <v>0</v>
      </c>
      <c r="CC238" s="52">
        <f t="shared" si="366"/>
        <v>0</v>
      </c>
      <c r="CD238" s="52">
        <f t="shared" si="366"/>
        <v>0</v>
      </c>
      <c r="CE238" s="52">
        <f t="shared" si="366"/>
        <v>0</v>
      </c>
      <c r="CF238" s="52">
        <f t="shared" si="366"/>
        <v>0</v>
      </c>
      <c r="CG238" s="52">
        <f t="shared" si="366"/>
        <v>0</v>
      </c>
      <c r="CH238" s="52">
        <f t="shared" si="366"/>
        <v>0</v>
      </c>
      <c r="CI238" s="52">
        <f t="shared" si="366"/>
        <v>0</v>
      </c>
      <c r="CJ238" s="52">
        <f t="shared" si="366"/>
        <v>0</v>
      </c>
      <c r="CK238" s="52">
        <f t="shared" si="366"/>
        <v>0</v>
      </c>
      <c r="CL238" s="52">
        <f t="shared" si="366"/>
        <v>0</v>
      </c>
      <c r="CM238" s="52">
        <f t="shared" si="366"/>
        <v>0</v>
      </c>
      <c r="CN238" s="52">
        <f t="shared" si="366"/>
        <v>0</v>
      </c>
      <c r="CO238" s="52">
        <f t="shared" si="366"/>
        <v>0</v>
      </c>
      <c r="CP238" s="52">
        <f t="shared" si="366"/>
        <v>0</v>
      </c>
      <c r="CQ238" s="52">
        <f t="shared" si="335"/>
        <v>0</v>
      </c>
      <c r="CR238" s="52">
        <f t="shared" si="336"/>
        <v>0</v>
      </c>
      <c r="CS238" s="52">
        <f t="shared" si="337"/>
        <v>0</v>
      </c>
      <c r="CT238" s="52">
        <f t="shared" si="338"/>
        <v>0</v>
      </c>
      <c r="CU238" s="52">
        <f t="shared" si="339"/>
        <v>0</v>
      </c>
      <c r="CV238" s="52">
        <f t="shared" si="340"/>
        <v>0</v>
      </c>
      <c r="CW238" s="52">
        <f t="shared" si="341"/>
        <v>0</v>
      </c>
    </row>
    <row r="239" spans="1:101">
      <c r="A239" s="60">
        <v>45161</v>
      </c>
      <c r="B239" s="426"/>
      <c r="Z239" s="77"/>
      <c r="AB239" s="52">
        <f t="shared" si="342"/>
        <v>0</v>
      </c>
      <c r="AC239" s="52">
        <f t="shared" si="343"/>
        <v>0</v>
      </c>
      <c r="AD239" s="52">
        <f t="shared" si="344"/>
        <v>0</v>
      </c>
      <c r="AE239" s="52">
        <f t="shared" si="345"/>
        <v>0</v>
      </c>
      <c r="AF239" s="52">
        <f t="shared" si="346"/>
        <v>0</v>
      </c>
      <c r="AG239" s="52">
        <f t="shared" si="347"/>
        <v>0</v>
      </c>
      <c r="AH239" s="52">
        <f t="shared" si="348"/>
        <v>0</v>
      </c>
      <c r="AI239" s="52">
        <f t="shared" si="349"/>
        <v>0</v>
      </c>
      <c r="AJ239" s="52">
        <f t="shared" si="350"/>
        <v>0</v>
      </c>
      <c r="AK239" s="52">
        <f t="shared" si="351"/>
        <v>0</v>
      </c>
      <c r="AL239" s="52">
        <f t="shared" si="352"/>
        <v>0</v>
      </c>
      <c r="AM239" s="52">
        <f t="shared" si="353"/>
        <v>0</v>
      </c>
      <c r="AN239" s="52">
        <f t="shared" si="354"/>
        <v>0</v>
      </c>
      <c r="AO239" s="52">
        <f t="shared" si="355"/>
        <v>0</v>
      </c>
      <c r="AP239" s="52">
        <f t="shared" si="356"/>
        <v>0</v>
      </c>
      <c r="AQ239" s="52">
        <f t="shared" si="357"/>
        <v>0</v>
      </c>
      <c r="AR239" s="52">
        <f t="shared" si="358"/>
        <v>0</v>
      </c>
      <c r="AS239" s="52">
        <f t="shared" si="359"/>
        <v>0</v>
      </c>
      <c r="AT239" s="52">
        <f t="shared" si="360"/>
        <v>0</v>
      </c>
      <c r="AU239" s="52">
        <f t="shared" si="361"/>
        <v>0</v>
      </c>
      <c r="AV239" s="52">
        <f t="shared" si="362"/>
        <v>0</v>
      </c>
      <c r="AW239" s="52">
        <f t="shared" si="363"/>
        <v>0</v>
      </c>
      <c r="AX239" s="52">
        <f t="shared" si="364"/>
        <v>0</v>
      </c>
      <c r="AY239" s="52">
        <f t="shared" si="365"/>
        <v>0</v>
      </c>
      <c r="BA239" s="52">
        <f t="shared" si="308"/>
        <v>0</v>
      </c>
      <c r="BB239" s="52">
        <f t="shared" si="309"/>
        <v>0</v>
      </c>
      <c r="BC239" s="52">
        <f t="shared" si="310"/>
        <v>0</v>
      </c>
      <c r="BD239" s="52">
        <f t="shared" si="311"/>
        <v>0</v>
      </c>
      <c r="BE239" s="52">
        <f t="shared" si="312"/>
        <v>0</v>
      </c>
      <c r="BF239" s="52">
        <f t="shared" si="313"/>
        <v>0</v>
      </c>
      <c r="BG239" s="52">
        <f t="shared" si="314"/>
        <v>0</v>
      </c>
      <c r="BH239" s="52">
        <f t="shared" si="315"/>
        <v>0</v>
      </c>
      <c r="BI239" s="52">
        <f t="shared" si="316"/>
        <v>0</v>
      </c>
      <c r="BJ239" s="52">
        <f t="shared" si="317"/>
        <v>0</v>
      </c>
      <c r="BK239" s="52">
        <f t="shared" si="318"/>
        <v>0</v>
      </c>
      <c r="BL239" s="52">
        <f t="shared" si="319"/>
        <v>0</v>
      </c>
      <c r="BM239" s="52">
        <f t="shared" si="320"/>
        <v>0</v>
      </c>
      <c r="BN239" s="52">
        <f t="shared" si="321"/>
        <v>0</v>
      </c>
      <c r="BO239" s="52">
        <f t="shared" si="322"/>
        <v>0</v>
      </c>
      <c r="BP239" s="52">
        <f t="shared" si="323"/>
        <v>0</v>
      </c>
      <c r="BQ239" s="52">
        <f t="shared" si="324"/>
        <v>0</v>
      </c>
      <c r="BR239" s="52">
        <f t="shared" si="325"/>
        <v>0</v>
      </c>
      <c r="BS239" s="52">
        <f t="shared" si="326"/>
        <v>0</v>
      </c>
      <c r="BT239" s="52">
        <f t="shared" si="327"/>
        <v>0</v>
      </c>
      <c r="BU239" s="52">
        <f t="shared" si="328"/>
        <v>0</v>
      </c>
      <c r="BV239" s="52">
        <f t="shared" si="329"/>
        <v>0</v>
      </c>
      <c r="BW239" s="52">
        <f t="shared" si="330"/>
        <v>0</v>
      </c>
      <c r="BX239" s="52">
        <f t="shared" si="331"/>
        <v>0</v>
      </c>
      <c r="BZ239">
        <f t="shared" si="332"/>
        <v>0</v>
      </c>
      <c r="CA239">
        <f t="shared" si="366"/>
        <v>0</v>
      </c>
      <c r="CB239">
        <f t="shared" si="366"/>
        <v>0</v>
      </c>
      <c r="CC239">
        <f t="shared" si="366"/>
        <v>0</v>
      </c>
      <c r="CD239">
        <f t="shared" si="366"/>
        <v>0</v>
      </c>
      <c r="CE239">
        <f t="shared" si="366"/>
        <v>0</v>
      </c>
      <c r="CF239">
        <f t="shared" si="366"/>
        <v>0</v>
      </c>
      <c r="CG239">
        <f t="shared" si="366"/>
        <v>0</v>
      </c>
      <c r="CH239">
        <f t="shared" si="366"/>
        <v>0</v>
      </c>
      <c r="CI239">
        <f t="shared" si="366"/>
        <v>0</v>
      </c>
      <c r="CJ239">
        <f t="shared" si="366"/>
        <v>0</v>
      </c>
      <c r="CK239">
        <f t="shared" si="366"/>
        <v>0</v>
      </c>
      <c r="CL239">
        <f t="shared" si="366"/>
        <v>0</v>
      </c>
      <c r="CM239">
        <f t="shared" si="366"/>
        <v>0</v>
      </c>
      <c r="CN239">
        <f t="shared" si="366"/>
        <v>0</v>
      </c>
      <c r="CO239">
        <f t="shared" si="366"/>
        <v>0</v>
      </c>
      <c r="CP239">
        <f t="shared" si="366"/>
        <v>0</v>
      </c>
      <c r="CQ239">
        <f t="shared" si="335"/>
        <v>0</v>
      </c>
      <c r="CR239">
        <f t="shared" si="336"/>
        <v>0</v>
      </c>
      <c r="CS239">
        <f t="shared" si="337"/>
        <v>0</v>
      </c>
      <c r="CT239">
        <f t="shared" si="338"/>
        <v>0</v>
      </c>
      <c r="CU239">
        <f t="shared" si="339"/>
        <v>0</v>
      </c>
      <c r="CV239">
        <f t="shared" si="340"/>
        <v>0</v>
      </c>
      <c r="CW239">
        <f t="shared" si="341"/>
        <v>0</v>
      </c>
    </row>
    <row r="240" spans="1:101">
      <c r="A240" s="60">
        <v>45162</v>
      </c>
      <c r="B240" s="426"/>
      <c r="Z240" s="77"/>
      <c r="AB240">
        <f t="shared" si="342"/>
        <v>0</v>
      </c>
      <c r="AC240">
        <f t="shared" si="343"/>
        <v>0</v>
      </c>
      <c r="AD240">
        <f t="shared" si="344"/>
        <v>0</v>
      </c>
      <c r="AE240">
        <f t="shared" si="345"/>
        <v>0</v>
      </c>
      <c r="AF240">
        <f t="shared" si="346"/>
        <v>0</v>
      </c>
      <c r="AG240">
        <f t="shared" si="347"/>
        <v>0</v>
      </c>
      <c r="AH240">
        <f t="shared" si="348"/>
        <v>0</v>
      </c>
      <c r="AI240">
        <f t="shared" si="349"/>
        <v>0</v>
      </c>
      <c r="AJ240">
        <f t="shared" si="350"/>
        <v>0</v>
      </c>
      <c r="AK240">
        <f t="shared" si="351"/>
        <v>0</v>
      </c>
      <c r="AL240">
        <f t="shared" si="352"/>
        <v>0</v>
      </c>
      <c r="AM240">
        <f t="shared" si="353"/>
        <v>0</v>
      </c>
      <c r="AN240">
        <f t="shared" si="354"/>
        <v>0</v>
      </c>
      <c r="AO240">
        <f t="shared" si="355"/>
        <v>0</v>
      </c>
      <c r="AP240">
        <f t="shared" si="356"/>
        <v>0</v>
      </c>
      <c r="AQ240">
        <f t="shared" si="357"/>
        <v>0</v>
      </c>
      <c r="AR240">
        <f t="shared" si="358"/>
        <v>0</v>
      </c>
      <c r="AS240">
        <f t="shared" si="359"/>
        <v>0</v>
      </c>
      <c r="AT240">
        <f t="shared" si="360"/>
        <v>0</v>
      </c>
      <c r="AU240">
        <f t="shared" si="361"/>
        <v>0</v>
      </c>
      <c r="AV240">
        <f t="shared" si="362"/>
        <v>0</v>
      </c>
      <c r="AW240">
        <f t="shared" si="363"/>
        <v>0</v>
      </c>
      <c r="AX240">
        <f t="shared" si="364"/>
        <v>0</v>
      </c>
      <c r="AY240">
        <f t="shared" si="365"/>
        <v>0</v>
      </c>
      <c r="BA240">
        <f t="shared" si="308"/>
        <v>0</v>
      </c>
      <c r="BB240">
        <f t="shared" si="309"/>
        <v>0</v>
      </c>
      <c r="BC240">
        <f t="shared" si="310"/>
        <v>0</v>
      </c>
      <c r="BD240">
        <f t="shared" si="311"/>
        <v>0</v>
      </c>
      <c r="BE240">
        <f t="shared" si="312"/>
        <v>0</v>
      </c>
      <c r="BF240">
        <f t="shared" si="313"/>
        <v>0</v>
      </c>
      <c r="BG240">
        <f t="shared" si="314"/>
        <v>0</v>
      </c>
      <c r="BH240">
        <f t="shared" si="315"/>
        <v>0</v>
      </c>
      <c r="BI240">
        <f t="shared" si="316"/>
        <v>0</v>
      </c>
      <c r="BJ240">
        <f t="shared" si="317"/>
        <v>0</v>
      </c>
      <c r="BK240">
        <f t="shared" si="318"/>
        <v>0</v>
      </c>
      <c r="BL240">
        <f t="shared" si="319"/>
        <v>0</v>
      </c>
      <c r="BM240">
        <f t="shared" si="320"/>
        <v>0</v>
      </c>
      <c r="BN240">
        <f t="shared" si="321"/>
        <v>0</v>
      </c>
      <c r="BO240">
        <f t="shared" si="322"/>
        <v>0</v>
      </c>
      <c r="BP240">
        <f t="shared" si="323"/>
        <v>0</v>
      </c>
      <c r="BQ240">
        <f t="shared" si="324"/>
        <v>0</v>
      </c>
      <c r="BR240">
        <f t="shared" si="325"/>
        <v>0</v>
      </c>
      <c r="BS240">
        <f t="shared" si="326"/>
        <v>0</v>
      </c>
      <c r="BT240">
        <f t="shared" si="327"/>
        <v>0</v>
      </c>
      <c r="BU240">
        <f t="shared" si="328"/>
        <v>0</v>
      </c>
      <c r="BV240">
        <f t="shared" si="329"/>
        <v>0</v>
      </c>
      <c r="BW240">
        <f t="shared" si="330"/>
        <v>0</v>
      </c>
      <c r="BX240">
        <f t="shared" si="331"/>
        <v>0</v>
      </c>
      <c r="BZ240" s="52">
        <f t="shared" si="332"/>
        <v>0</v>
      </c>
      <c r="CA240" s="52">
        <f t="shared" si="366"/>
        <v>0</v>
      </c>
      <c r="CB240" s="52">
        <f t="shared" si="366"/>
        <v>0</v>
      </c>
      <c r="CC240" s="52">
        <f t="shared" si="366"/>
        <v>0</v>
      </c>
      <c r="CD240" s="52">
        <f t="shared" si="366"/>
        <v>0</v>
      </c>
      <c r="CE240" s="52">
        <f t="shared" si="366"/>
        <v>0</v>
      </c>
      <c r="CF240" s="52">
        <f t="shared" si="366"/>
        <v>0</v>
      </c>
      <c r="CG240" s="52">
        <f t="shared" si="366"/>
        <v>0</v>
      </c>
      <c r="CH240" s="52">
        <f t="shared" si="366"/>
        <v>0</v>
      </c>
      <c r="CI240" s="52">
        <f t="shared" si="366"/>
        <v>0</v>
      </c>
      <c r="CJ240" s="52">
        <f t="shared" si="366"/>
        <v>0</v>
      </c>
      <c r="CK240" s="52">
        <f t="shared" si="366"/>
        <v>0</v>
      </c>
      <c r="CL240" s="52">
        <f t="shared" si="366"/>
        <v>0</v>
      </c>
      <c r="CM240" s="52">
        <f t="shared" si="366"/>
        <v>0</v>
      </c>
      <c r="CN240" s="52">
        <f t="shared" si="366"/>
        <v>0</v>
      </c>
      <c r="CO240" s="52">
        <f t="shared" si="366"/>
        <v>0</v>
      </c>
      <c r="CP240" s="52">
        <f t="shared" si="366"/>
        <v>0</v>
      </c>
      <c r="CQ240" s="52">
        <f t="shared" si="335"/>
        <v>0</v>
      </c>
      <c r="CR240" s="52">
        <f t="shared" si="336"/>
        <v>0</v>
      </c>
      <c r="CS240" s="52">
        <f t="shared" si="337"/>
        <v>0</v>
      </c>
      <c r="CT240" s="52">
        <f t="shared" si="338"/>
        <v>0</v>
      </c>
      <c r="CU240" s="52">
        <f t="shared" si="339"/>
        <v>0</v>
      </c>
      <c r="CV240" s="52">
        <f t="shared" si="340"/>
        <v>0</v>
      </c>
      <c r="CW240" s="52">
        <f t="shared" si="341"/>
        <v>0</v>
      </c>
    </row>
    <row r="241" spans="1:102">
      <c r="A241" s="60">
        <v>45163</v>
      </c>
      <c r="B241" s="426"/>
      <c r="Z241" s="77"/>
      <c r="AB241" s="52">
        <f t="shared" si="342"/>
        <v>0</v>
      </c>
      <c r="AC241" s="52">
        <f t="shared" si="343"/>
        <v>0</v>
      </c>
      <c r="AD241" s="52">
        <f t="shared" si="344"/>
        <v>0</v>
      </c>
      <c r="AE241" s="52">
        <f t="shared" si="345"/>
        <v>0</v>
      </c>
      <c r="AF241" s="52">
        <f t="shared" si="346"/>
        <v>0</v>
      </c>
      <c r="AG241" s="52">
        <f t="shared" si="347"/>
        <v>0</v>
      </c>
      <c r="AH241" s="52">
        <f t="shared" si="348"/>
        <v>0</v>
      </c>
      <c r="AI241" s="52">
        <f t="shared" si="349"/>
        <v>0</v>
      </c>
      <c r="AJ241" s="52">
        <f t="shared" si="350"/>
        <v>0</v>
      </c>
      <c r="AK241" s="52">
        <f t="shared" si="351"/>
        <v>0</v>
      </c>
      <c r="AL241" s="52">
        <f t="shared" si="352"/>
        <v>0</v>
      </c>
      <c r="AM241" s="52">
        <f t="shared" si="353"/>
        <v>0</v>
      </c>
      <c r="AN241" s="52">
        <f t="shared" si="354"/>
        <v>0</v>
      </c>
      <c r="AO241" s="52">
        <f t="shared" si="355"/>
        <v>0</v>
      </c>
      <c r="AP241" s="52">
        <f t="shared" si="356"/>
        <v>0</v>
      </c>
      <c r="AQ241" s="52">
        <f t="shared" si="357"/>
        <v>0</v>
      </c>
      <c r="AR241" s="52">
        <f t="shared" si="358"/>
        <v>0</v>
      </c>
      <c r="AS241" s="52">
        <f t="shared" si="359"/>
        <v>0</v>
      </c>
      <c r="AT241" s="52">
        <f t="shared" si="360"/>
        <v>0</v>
      </c>
      <c r="AU241" s="52">
        <f t="shared" si="361"/>
        <v>0</v>
      </c>
      <c r="AV241" s="52">
        <f t="shared" si="362"/>
        <v>0</v>
      </c>
      <c r="AW241" s="52">
        <f t="shared" si="363"/>
        <v>0</v>
      </c>
      <c r="AX241" s="52">
        <f t="shared" si="364"/>
        <v>0</v>
      </c>
      <c r="AY241" s="52">
        <f t="shared" si="365"/>
        <v>0</v>
      </c>
      <c r="BA241" s="52">
        <f t="shared" si="308"/>
        <v>0</v>
      </c>
      <c r="BB241" s="52">
        <f t="shared" si="309"/>
        <v>0</v>
      </c>
      <c r="BC241" s="52">
        <f t="shared" si="310"/>
        <v>0</v>
      </c>
      <c r="BD241" s="52">
        <f t="shared" si="311"/>
        <v>0</v>
      </c>
      <c r="BE241" s="52">
        <f t="shared" si="312"/>
        <v>0</v>
      </c>
      <c r="BF241" s="52">
        <f t="shared" si="313"/>
        <v>0</v>
      </c>
      <c r="BG241" s="52">
        <f t="shared" si="314"/>
        <v>0</v>
      </c>
      <c r="BH241" s="52">
        <f t="shared" si="315"/>
        <v>0</v>
      </c>
      <c r="BI241" s="52">
        <f t="shared" si="316"/>
        <v>0</v>
      </c>
      <c r="BJ241" s="52">
        <f t="shared" si="317"/>
        <v>0</v>
      </c>
      <c r="BK241" s="52">
        <f t="shared" si="318"/>
        <v>0</v>
      </c>
      <c r="BL241" s="52">
        <f t="shared" si="319"/>
        <v>0</v>
      </c>
      <c r="BM241" s="52">
        <f t="shared" si="320"/>
        <v>0</v>
      </c>
      <c r="BN241" s="52">
        <f t="shared" si="321"/>
        <v>0</v>
      </c>
      <c r="BO241" s="52">
        <f t="shared" si="322"/>
        <v>0</v>
      </c>
      <c r="BP241" s="52">
        <f t="shared" si="323"/>
        <v>0</v>
      </c>
      <c r="BQ241" s="52">
        <f t="shared" si="324"/>
        <v>0</v>
      </c>
      <c r="BR241" s="52">
        <f t="shared" si="325"/>
        <v>0</v>
      </c>
      <c r="BS241" s="52">
        <f t="shared" si="326"/>
        <v>0</v>
      </c>
      <c r="BT241" s="52">
        <f t="shared" si="327"/>
        <v>0</v>
      </c>
      <c r="BU241" s="52">
        <f t="shared" si="328"/>
        <v>0</v>
      </c>
      <c r="BV241" s="52">
        <f t="shared" si="329"/>
        <v>0</v>
      </c>
      <c r="BW241" s="52">
        <f t="shared" si="330"/>
        <v>0</v>
      </c>
      <c r="BX241" s="52">
        <f t="shared" si="331"/>
        <v>0</v>
      </c>
      <c r="BZ241">
        <f t="shared" si="332"/>
        <v>0</v>
      </c>
      <c r="CA241">
        <f t="shared" si="366"/>
        <v>0</v>
      </c>
      <c r="CB241">
        <f t="shared" si="366"/>
        <v>0</v>
      </c>
      <c r="CC241">
        <f t="shared" si="366"/>
        <v>0</v>
      </c>
      <c r="CD241">
        <f t="shared" si="366"/>
        <v>0</v>
      </c>
      <c r="CE241">
        <f t="shared" si="366"/>
        <v>0</v>
      </c>
      <c r="CF241">
        <f t="shared" si="366"/>
        <v>0</v>
      </c>
      <c r="CG241">
        <f t="shared" si="366"/>
        <v>0</v>
      </c>
      <c r="CH241">
        <f t="shared" si="366"/>
        <v>0</v>
      </c>
      <c r="CI241">
        <f t="shared" si="366"/>
        <v>0</v>
      </c>
      <c r="CJ241">
        <f t="shared" si="366"/>
        <v>0</v>
      </c>
      <c r="CK241">
        <f t="shared" si="366"/>
        <v>0</v>
      </c>
      <c r="CL241">
        <f t="shared" si="366"/>
        <v>0</v>
      </c>
      <c r="CM241">
        <f t="shared" si="366"/>
        <v>0</v>
      </c>
      <c r="CN241">
        <f t="shared" si="366"/>
        <v>0</v>
      </c>
      <c r="CO241">
        <f t="shared" si="366"/>
        <v>0</v>
      </c>
      <c r="CP241">
        <f t="shared" si="366"/>
        <v>0</v>
      </c>
      <c r="CQ241">
        <f t="shared" si="335"/>
        <v>0</v>
      </c>
      <c r="CR241">
        <f t="shared" si="336"/>
        <v>0</v>
      </c>
      <c r="CS241">
        <f t="shared" si="337"/>
        <v>0</v>
      </c>
      <c r="CT241">
        <f t="shared" si="338"/>
        <v>0</v>
      </c>
      <c r="CU241">
        <f t="shared" si="339"/>
        <v>0</v>
      </c>
      <c r="CV241">
        <f t="shared" si="340"/>
        <v>0</v>
      </c>
      <c r="CW241">
        <f t="shared" si="341"/>
        <v>0</v>
      </c>
    </row>
    <row r="242" spans="1:102">
      <c r="A242" s="60">
        <v>45164</v>
      </c>
      <c r="B242" s="426"/>
      <c r="Z242" s="77"/>
      <c r="AB242">
        <f t="shared" si="342"/>
        <v>0</v>
      </c>
      <c r="AC242">
        <f t="shared" si="343"/>
        <v>0</v>
      </c>
      <c r="AD242">
        <f t="shared" si="344"/>
        <v>0</v>
      </c>
      <c r="AE242">
        <f t="shared" si="345"/>
        <v>0</v>
      </c>
      <c r="AF242">
        <f t="shared" si="346"/>
        <v>0</v>
      </c>
      <c r="AG242">
        <f t="shared" si="347"/>
        <v>0</v>
      </c>
      <c r="AH242">
        <f t="shared" si="348"/>
        <v>0</v>
      </c>
      <c r="AI242">
        <f t="shared" si="349"/>
        <v>0</v>
      </c>
      <c r="AJ242">
        <f t="shared" si="350"/>
        <v>0</v>
      </c>
      <c r="AK242">
        <f t="shared" si="351"/>
        <v>0</v>
      </c>
      <c r="AL242">
        <f t="shared" si="352"/>
        <v>0</v>
      </c>
      <c r="AM242">
        <f t="shared" si="353"/>
        <v>0</v>
      </c>
      <c r="AN242">
        <f t="shared" si="354"/>
        <v>0</v>
      </c>
      <c r="AO242">
        <f t="shared" si="355"/>
        <v>0</v>
      </c>
      <c r="AP242">
        <f t="shared" si="356"/>
        <v>0</v>
      </c>
      <c r="AQ242">
        <f t="shared" si="357"/>
        <v>0</v>
      </c>
      <c r="AR242">
        <f t="shared" si="358"/>
        <v>0</v>
      </c>
      <c r="AS242">
        <f t="shared" si="359"/>
        <v>0</v>
      </c>
      <c r="AT242">
        <f t="shared" si="360"/>
        <v>0</v>
      </c>
      <c r="AU242">
        <f t="shared" si="361"/>
        <v>0</v>
      </c>
      <c r="AV242">
        <f t="shared" si="362"/>
        <v>0</v>
      </c>
      <c r="AW242">
        <f t="shared" si="363"/>
        <v>0</v>
      </c>
      <c r="AX242">
        <f t="shared" si="364"/>
        <v>0</v>
      </c>
      <c r="AY242">
        <f t="shared" si="365"/>
        <v>0</v>
      </c>
      <c r="BA242">
        <f t="shared" si="308"/>
        <v>0</v>
      </c>
      <c r="BB242">
        <f t="shared" si="309"/>
        <v>0</v>
      </c>
      <c r="BC242">
        <f t="shared" si="310"/>
        <v>0</v>
      </c>
      <c r="BD242">
        <f t="shared" si="311"/>
        <v>0</v>
      </c>
      <c r="BE242">
        <f t="shared" si="312"/>
        <v>0</v>
      </c>
      <c r="BF242">
        <f t="shared" si="313"/>
        <v>0</v>
      </c>
      <c r="BG242">
        <f t="shared" si="314"/>
        <v>0</v>
      </c>
      <c r="BH242">
        <f t="shared" si="315"/>
        <v>0</v>
      </c>
      <c r="BI242">
        <f t="shared" si="316"/>
        <v>0</v>
      </c>
      <c r="BJ242">
        <f t="shared" si="317"/>
        <v>0</v>
      </c>
      <c r="BK242">
        <f t="shared" si="318"/>
        <v>0</v>
      </c>
      <c r="BL242">
        <f t="shared" si="319"/>
        <v>0</v>
      </c>
      <c r="BM242">
        <f t="shared" si="320"/>
        <v>0</v>
      </c>
      <c r="BN242">
        <f t="shared" si="321"/>
        <v>0</v>
      </c>
      <c r="BO242">
        <f t="shared" si="322"/>
        <v>0</v>
      </c>
      <c r="BP242">
        <f t="shared" si="323"/>
        <v>0</v>
      </c>
      <c r="BQ242">
        <f t="shared" si="324"/>
        <v>0</v>
      </c>
      <c r="BR242">
        <f t="shared" si="325"/>
        <v>0</v>
      </c>
      <c r="BS242">
        <f t="shared" si="326"/>
        <v>0</v>
      </c>
      <c r="BT242">
        <f t="shared" si="327"/>
        <v>0</v>
      </c>
      <c r="BU242">
        <f t="shared" si="328"/>
        <v>0</v>
      </c>
      <c r="BV242">
        <f t="shared" si="329"/>
        <v>0</v>
      </c>
      <c r="BW242">
        <f t="shared" si="330"/>
        <v>0</v>
      </c>
      <c r="BX242">
        <f t="shared" si="331"/>
        <v>0</v>
      </c>
      <c r="BZ242" s="52">
        <f t="shared" si="332"/>
        <v>0</v>
      </c>
      <c r="CA242" s="52">
        <f t="shared" si="366"/>
        <v>0</v>
      </c>
      <c r="CB242" s="52">
        <f t="shared" si="366"/>
        <v>0</v>
      </c>
      <c r="CC242" s="52">
        <f t="shared" si="366"/>
        <v>0</v>
      </c>
      <c r="CD242" s="52">
        <f t="shared" si="366"/>
        <v>0</v>
      </c>
      <c r="CE242" s="52">
        <f t="shared" si="366"/>
        <v>0</v>
      </c>
      <c r="CF242" s="52">
        <f t="shared" si="366"/>
        <v>0</v>
      </c>
      <c r="CG242" s="52">
        <f t="shared" si="366"/>
        <v>0</v>
      </c>
      <c r="CH242" s="52">
        <f t="shared" si="366"/>
        <v>0</v>
      </c>
      <c r="CI242" s="52">
        <f t="shared" si="366"/>
        <v>0</v>
      </c>
      <c r="CJ242" s="52">
        <f t="shared" si="366"/>
        <v>0</v>
      </c>
      <c r="CK242" s="52">
        <f t="shared" si="366"/>
        <v>0</v>
      </c>
      <c r="CL242" s="52">
        <f t="shared" si="366"/>
        <v>0</v>
      </c>
      <c r="CM242" s="52">
        <f t="shared" si="366"/>
        <v>0</v>
      </c>
      <c r="CN242" s="52">
        <f t="shared" si="366"/>
        <v>0</v>
      </c>
      <c r="CO242" s="52">
        <f t="shared" si="366"/>
        <v>0</v>
      </c>
      <c r="CP242" s="52">
        <f t="shared" si="366"/>
        <v>0</v>
      </c>
      <c r="CQ242" s="52">
        <f t="shared" si="335"/>
        <v>0</v>
      </c>
      <c r="CR242" s="52">
        <f t="shared" si="336"/>
        <v>0</v>
      </c>
      <c r="CS242" s="52">
        <f t="shared" si="337"/>
        <v>0</v>
      </c>
      <c r="CT242" s="52">
        <f t="shared" si="338"/>
        <v>0</v>
      </c>
      <c r="CU242" s="52">
        <f t="shared" si="339"/>
        <v>0</v>
      </c>
      <c r="CV242" s="52">
        <f t="shared" si="340"/>
        <v>0</v>
      </c>
      <c r="CW242" s="52">
        <f t="shared" si="341"/>
        <v>0</v>
      </c>
    </row>
    <row r="243" spans="1:102">
      <c r="A243" s="60">
        <v>45165</v>
      </c>
      <c r="B243" s="426"/>
      <c r="Z243" s="77"/>
      <c r="AB243" s="52">
        <f t="shared" si="342"/>
        <v>0</v>
      </c>
      <c r="AC243" s="52">
        <f t="shared" si="343"/>
        <v>0</v>
      </c>
      <c r="AD243" s="52">
        <f t="shared" si="344"/>
        <v>0</v>
      </c>
      <c r="AE243" s="52">
        <f t="shared" si="345"/>
        <v>0</v>
      </c>
      <c r="AF243" s="52">
        <f t="shared" si="346"/>
        <v>0</v>
      </c>
      <c r="AG243" s="52">
        <f t="shared" si="347"/>
        <v>0</v>
      </c>
      <c r="AH243" s="52">
        <f t="shared" si="348"/>
        <v>0</v>
      </c>
      <c r="AI243" s="52">
        <f t="shared" si="349"/>
        <v>0</v>
      </c>
      <c r="AJ243" s="52">
        <f t="shared" si="350"/>
        <v>0</v>
      </c>
      <c r="AK243" s="52">
        <f t="shared" si="351"/>
        <v>0</v>
      </c>
      <c r="AL243" s="52">
        <f t="shared" si="352"/>
        <v>0</v>
      </c>
      <c r="AM243" s="52">
        <f t="shared" si="353"/>
        <v>0</v>
      </c>
      <c r="AN243" s="52">
        <f t="shared" si="354"/>
        <v>0</v>
      </c>
      <c r="AO243" s="52">
        <f t="shared" si="355"/>
        <v>0</v>
      </c>
      <c r="AP243" s="52">
        <f t="shared" si="356"/>
        <v>0</v>
      </c>
      <c r="AQ243" s="52">
        <f t="shared" si="357"/>
        <v>0</v>
      </c>
      <c r="AR243" s="52">
        <f t="shared" si="358"/>
        <v>0</v>
      </c>
      <c r="AS243" s="52">
        <f t="shared" si="359"/>
        <v>0</v>
      </c>
      <c r="AT243" s="52">
        <f t="shared" si="360"/>
        <v>0</v>
      </c>
      <c r="AU243" s="52">
        <f t="shared" si="361"/>
        <v>0</v>
      </c>
      <c r="AV243" s="52">
        <f t="shared" si="362"/>
        <v>0</v>
      </c>
      <c r="AW243" s="52">
        <f t="shared" si="363"/>
        <v>0</v>
      </c>
      <c r="AX243" s="52">
        <f t="shared" si="364"/>
        <v>0</v>
      </c>
      <c r="AY243" s="52">
        <f t="shared" si="365"/>
        <v>0</v>
      </c>
      <c r="BA243" s="52">
        <f t="shared" si="308"/>
        <v>0</v>
      </c>
      <c r="BB243" s="52">
        <f t="shared" si="309"/>
        <v>0</v>
      </c>
      <c r="BC243" s="52">
        <f t="shared" si="310"/>
        <v>0</v>
      </c>
      <c r="BD243" s="52">
        <f t="shared" si="311"/>
        <v>0</v>
      </c>
      <c r="BE243" s="52">
        <f t="shared" si="312"/>
        <v>0</v>
      </c>
      <c r="BF243" s="52">
        <f t="shared" si="313"/>
        <v>0</v>
      </c>
      <c r="BG243" s="52">
        <f t="shared" si="314"/>
        <v>0</v>
      </c>
      <c r="BH243" s="52">
        <f t="shared" si="315"/>
        <v>0</v>
      </c>
      <c r="BI243" s="52">
        <f t="shared" si="316"/>
        <v>0</v>
      </c>
      <c r="BJ243" s="52">
        <f t="shared" si="317"/>
        <v>0</v>
      </c>
      <c r="BK243" s="52">
        <f t="shared" si="318"/>
        <v>0</v>
      </c>
      <c r="BL243" s="52">
        <f t="shared" si="319"/>
        <v>0</v>
      </c>
      <c r="BM243" s="52">
        <f t="shared" si="320"/>
        <v>0</v>
      </c>
      <c r="BN243" s="52">
        <f t="shared" si="321"/>
        <v>0</v>
      </c>
      <c r="BO243" s="52">
        <f t="shared" si="322"/>
        <v>0</v>
      </c>
      <c r="BP243" s="52">
        <f t="shared" si="323"/>
        <v>0</v>
      </c>
      <c r="BQ243" s="52">
        <f t="shared" si="324"/>
        <v>0</v>
      </c>
      <c r="BR243" s="52">
        <f t="shared" si="325"/>
        <v>0</v>
      </c>
      <c r="BS243" s="52">
        <f t="shared" si="326"/>
        <v>0</v>
      </c>
      <c r="BT243" s="52">
        <f t="shared" si="327"/>
        <v>0</v>
      </c>
      <c r="BU243" s="52">
        <f t="shared" si="328"/>
        <v>0</v>
      </c>
      <c r="BV243" s="52">
        <f t="shared" si="329"/>
        <v>0</v>
      </c>
      <c r="BW243" s="52">
        <f t="shared" si="330"/>
        <v>0</v>
      </c>
      <c r="BX243" s="52">
        <f t="shared" si="331"/>
        <v>0</v>
      </c>
      <c r="BZ243">
        <f t="shared" si="332"/>
        <v>0</v>
      </c>
      <c r="CA243">
        <f t="shared" si="366"/>
        <v>0</v>
      </c>
      <c r="CB243">
        <f t="shared" si="366"/>
        <v>0</v>
      </c>
      <c r="CC243">
        <f t="shared" si="366"/>
        <v>0</v>
      </c>
      <c r="CD243">
        <f t="shared" si="366"/>
        <v>0</v>
      </c>
      <c r="CE243">
        <f t="shared" si="366"/>
        <v>0</v>
      </c>
      <c r="CF243">
        <f t="shared" si="366"/>
        <v>0</v>
      </c>
      <c r="CG243">
        <f t="shared" si="366"/>
        <v>0</v>
      </c>
      <c r="CH243">
        <f t="shared" si="366"/>
        <v>0</v>
      </c>
      <c r="CI243">
        <f t="shared" si="366"/>
        <v>0</v>
      </c>
      <c r="CJ243">
        <f t="shared" si="366"/>
        <v>0</v>
      </c>
      <c r="CK243">
        <f t="shared" si="366"/>
        <v>0</v>
      </c>
      <c r="CL243">
        <f t="shared" si="366"/>
        <v>0</v>
      </c>
      <c r="CM243">
        <f t="shared" si="366"/>
        <v>0</v>
      </c>
      <c r="CN243">
        <f t="shared" si="366"/>
        <v>0</v>
      </c>
      <c r="CO243">
        <f t="shared" si="366"/>
        <v>0</v>
      </c>
      <c r="CP243">
        <f t="shared" si="366"/>
        <v>0</v>
      </c>
      <c r="CQ243">
        <f t="shared" si="335"/>
        <v>0</v>
      </c>
      <c r="CR243">
        <f t="shared" si="336"/>
        <v>0</v>
      </c>
      <c r="CS243">
        <f t="shared" si="337"/>
        <v>0</v>
      </c>
      <c r="CT243">
        <f t="shared" si="338"/>
        <v>0</v>
      </c>
      <c r="CU243">
        <f t="shared" si="339"/>
        <v>0</v>
      </c>
      <c r="CV243">
        <f t="shared" si="340"/>
        <v>0</v>
      </c>
      <c r="CW243">
        <f t="shared" si="341"/>
        <v>0</v>
      </c>
    </row>
    <row r="244" spans="1:102">
      <c r="A244" s="60">
        <v>45166</v>
      </c>
      <c r="B244" s="426"/>
      <c r="Z244" s="77"/>
      <c r="AB244">
        <f t="shared" si="342"/>
        <v>0</v>
      </c>
      <c r="AC244">
        <f t="shared" si="343"/>
        <v>0</v>
      </c>
      <c r="AD244">
        <f t="shared" si="344"/>
        <v>0</v>
      </c>
      <c r="AE244">
        <f t="shared" si="345"/>
        <v>0</v>
      </c>
      <c r="AF244">
        <f t="shared" si="346"/>
        <v>0</v>
      </c>
      <c r="AG244">
        <f t="shared" si="347"/>
        <v>0</v>
      </c>
      <c r="AH244">
        <f t="shared" si="348"/>
        <v>0</v>
      </c>
      <c r="AI244">
        <f t="shared" si="349"/>
        <v>0</v>
      </c>
      <c r="AJ244">
        <f t="shared" si="350"/>
        <v>0</v>
      </c>
      <c r="AK244">
        <f t="shared" si="351"/>
        <v>0</v>
      </c>
      <c r="AL244">
        <f t="shared" si="352"/>
        <v>0</v>
      </c>
      <c r="AM244">
        <f t="shared" si="353"/>
        <v>0</v>
      </c>
      <c r="AN244">
        <f t="shared" si="354"/>
        <v>0</v>
      </c>
      <c r="AO244">
        <f t="shared" si="355"/>
        <v>0</v>
      </c>
      <c r="AP244">
        <f t="shared" si="356"/>
        <v>0</v>
      </c>
      <c r="AQ244">
        <f t="shared" si="357"/>
        <v>0</v>
      </c>
      <c r="AR244">
        <f t="shared" si="358"/>
        <v>0</v>
      </c>
      <c r="AS244">
        <f t="shared" si="359"/>
        <v>0</v>
      </c>
      <c r="AT244">
        <f t="shared" si="360"/>
        <v>0</v>
      </c>
      <c r="AU244">
        <f t="shared" si="361"/>
        <v>0</v>
      </c>
      <c r="AV244">
        <f t="shared" si="362"/>
        <v>0</v>
      </c>
      <c r="AW244">
        <f t="shared" si="363"/>
        <v>0</v>
      </c>
      <c r="AX244">
        <f t="shared" si="364"/>
        <v>0</v>
      </c>
      <c r="AY244">
        <f>+IF(AND(Y244=0,B245&lt;&gt;0),1,0)</f>
        <v>0</v>
      </c>
      <c r="BA244">
        <f t="shared" si="308"/>
        <v>0</v>
      </c>
      <c r="BB244">
        <f t="shared" si="309"/>
        <v>0</v>
      </c>
      <c r="BC244">
        <f t="shared" si="310"/>
        <v>0</v>
      </c>
      <c r="BD244">
        <f t="shared" si="311"/>
        <v>0</v>
      </c>
      <c r="BE244">
        <f t="shared" si="312"/>
        <v>0</v>
      </c>
      <c r="BF244">
        <f t="shared" si="313"/>
        <v>0</v>
      </c>
      <c r="BG244">
        <f t="shared" si="314"/>
        <v>0</v>
      </c>
      <c r="BH244">
        <f t="shared" si="315"/>
        <v>0</v>
      </c>
      <c r="BI244">
        <f t="shared" si="316"/>
        <v>0</v>
      </c>
      <c r="BJ244">
        <f t="shared" si="317"/>
        <v>0</v>
      </c>
      <c r="BK244">
        <f t="shared" si="318"/>
        <v>0</v>
      </c>
      <c r="BL244">
        <f t="shared" si="319"/>
        <v>0</v>
      </c>
      <c r="BM244">
        <f t="shared" si="320"/>
        <v>0</v>
      </c>
      <c r="BN244">
        <f t="shared" si="321"/>
        <v>0</v>
      </c>
      <c r="BO244">
        <f t="shared" si="322"/>
        <v>0</v>
      </c>
      <c r="BP244">
        <f t="shared" si="323"/>
        <v>0</v>
      </c>
      <c r="BQ244">
        <f t="shared" si="324"/>
        <v>0</v>
      </c>
      <c r="BR244">
        <f t="shared" si="325"/>
        <v>0</v>
      </c>
      <c r="BS244">
        <f t="shared" si="326"/>
        <v>0</v>
      </c>
      <c r="BT244">
        <f t="shared" si="327"/>
        <v>0</v>
      </c>
      <c r="BU244">
        <f t="shared" si="328"/>
        <v>0</v>
      </c>
      <c r="BV244">
        <f t="shared" si="329"/>
        <v>0</v>
      </c>
      <c r="BW244">
        <f t="shared" si="330"/>
        <v>0</v>
      </c>
      <c r="BX244">
        <f t="shared" si="331"/>
        <v>0</v>
      </c>
      <c r="BZ244" s="52">
        <f t="shared" si="332"/>
        <v>0</v>
      </c>
      <c r="CA244" s="52">
        <f t="shared" si="366"/>
        <v>0</v>
      </c>
      <c r="CB244" s="52">
        <f t="shared" si="366"/>
        <v>0</v>
      </c>
      <c r="CC244" s="52">
        <f t="shared" si="366"/>
        <v>0</v>
      </c>
      <c r="CD244" s="52">
        <f t="shared" si="366"/>
        <v>0</v>
      </c>
      <c r="CE244" s="52">
        <f t="shared" si="366"/>
        <v>0</v>
      </c>
      <c r="CF244" s="52">
        <f t="shared" si="366"/>
        <v>0</v>
      </c>
      <c r="CG244" s="52">
        <f t="shared" si="366"/>
        <v>0</v>
      </c>
      <c r="CH244" s="52">
        <f t="shared" si="366"/>
        <v>0</v>
      </c>
      <c r="CI244" s="52">
        <f t="shared" si="366"/>
        <v>0</v>
      </c>
      <c r="CJ244" s="52">
        <f t="shared" si="366"/>
        <v>0</v>
      </c>
      <c r="CK244" s="52">
        <f t="shared" si="366"/>
        <v>0</v>
      </c>
      <c r="CL244" s="52">
        <f t="shared" si="366"/>
        <v>0</v>
      </c>
      <c r="CM244" s="52">
        <f t="shared" si="366"/>
        <v>0</v>
      </c>
      <c r="CN244" s="52">
        <f t="shared" si="366"/>
        <v>0</v>
      </c>
      <c r="CO244" s="52">
        <f t="shared" si="366"/>
        <v>0</v>
      </c>
      <c r="CP244" s="52">
        <f t="shared" si="366"/>
        <v>0</v>
      </c>
      <c r="CQ244" s="52">
        <f t="shared" si="335"/>
        <v>0</v>
      </c>
      <c r="CR244" s="52">
        <f t="shared" si="336"/>
        <v>0</v>
      </c>
      <c r="CS244" s="52">
        <f t="shared" si="337"/>
        <v>0</v>
      </c>
      <c r="CT244" s="52">
        <f t="shared" si="338"/>
        <v>0</v>
      </c>
      <c r="CU244" s="52">
        <f t="shared" si="339"/>
        <v>0</v>
      </c>
      <c r="CV244" s="52">
        <f t="shared" si="340"/>
        <v>0</v>
      </c>
      <c r="CW244" s="52">
        <f t="shared" si="341"/>
        <v>0</v>
      </c>
    </row>
    <row r="245" spans="1:102">
      <c r="A245" s="60">
        <v>45167</v>
      </c>
      <c r="B245" s="426"/>
      <c r="Z245" s="77"/>
      <c r="AB245" s="52">
        <f t="shared" si="342"/>
        <v>0</v>
      </c>
      <c r="AC245" s="52">
        <f t="shared" si="343"/>
        <v>0</v>
      </c>
      <c r="AD245" s="52">
        <f t="shared" si="344"/>
        <v>0</v>
      </c>
      <c r="AE245" s="52">
        <f t="shared" si="345"/>
        <v>0</v>
      </c>
      <c r="AF245" s="52">
        <f t="shared" si="346"/>
        <v>0</v>
      </c>
      <c r="AG245" s="52">
        <f t="shared" si="347"/>
        <v>0</v>
      </c>
      <c r="AH245" s="52">
        <f t="shared" si="348"/>
        <v>0</v>
      </c>
      <c r="AI245" s="52">
        <f t="shared" si="349"/>
        <v>0</v>
      </c>
      <c r="AJ245" s="52">
        <f t="shared" si="350"/>
        <v>0</v>
      </c>
      <c r="AK245" s="52">
        <f t="shared" si="351"/>
        <v>0</v>
      </c>
      <c r="AL245" s="52">
        <f t="shared" si="352"/>
        <v>0</v>
      </c>
      <c r="AM245" s="52">
        <f t="shared" si="353"/>
        <v>0</v>
      </c>
      <c r="AN245" s="52">
        <f t="shared" si="354"/>
        <v>0</v>
      </c>
      <c r="AO245" s="52">
        <f t="shared" si="355"/>
        <v>0</v>
      </c>
      <c r="AP245" s="52">
        <f t="shared" si="356"/>
        <v>0</v>
      </c>
      <c r="AQ245" s="52">
        <f t="shared" si="357"/>
        <v>0</v>
      </c>
      <c r="AR245" s="52">
        <f t="shared" si="358"/>
        <v>0</v>
      </c>
      <c r="AS245" s="52">
        <f t="shared" si="359"/>
        <v>0</v>
      </c>
      <c r="AT245" s="52">
        <f t="shared" si="360"/>
        <v>0</v>
      </c>
      <c r="AU245" s="52">
        <f t="shared" si="361"/>
        <v>0</v>
      </c>
      <c r="AV245" s="52">
        <f t="shared" si="362"/>
        <v>0</v>
      </c>
      <c r="AW245" s="52">
        <f t="shared" si="363"/>
        <v>0</v>
      </c>
      <c r="AX245" s="52">
        <f t="shared" si="364"/>
        <v>0</v>
      </c>
      <c r="AY245" s="52">
        <f t="shared" si="365"/>
        <v>0</v>
      </c>
      <c r="BA245" s="52">
        <f t="shared" si="308"/>
        <v>0</v>
      </c>
      <c r="BB245" s="52">
        <f t="shared" si="309"/>
        <v>0</v>
      </c>
      <c r="BC245" s="52">
        <f t="shared" si="310"/>
        <v>0</v>
      </c>
      <c r="BD245" s="52">
        <f t="shared" si="311"/>
        <v>0</v>
      </c>
      <c r="BE245" s="52">
        <f t="shared" si="312"/>
        <v>0</v>
      </c>
      <c r="BF245" s="52">
        <f t="shared" si="313"/>
        <v>0</v>
      </c>
      <c r="BG245" s="52">
        <f t="shared" si="314"/>
        <v>0</v>
      </c>
      <c r="BH245" s="52">
        <f t="shared" si="315"/>
        <v>0</v>
      </c>
      <c r="BI245" s="52">
        <f t="shared" si="316"/>
        <v>0</v>
      </c>
      <c r="BJ245" s="52">
        <f t="shared" si="317"/>
        <v>0</v>
      </c>
      <c r="BK245" s="52">
        <f t="shared" si="318"/>
        <v>0</v>
      </c>
      <c r="BL245" s="52">
        <f t="shared" si="319"/>
        <v>0</v>
      </c>
      <c r="BM245" s="52">
        <f t="shared" si="320"/>
        <v>0</v>
      </c>
      <c r="BN245" s="52">
        <f t="shared" si="321"/>
        <v>0</v>
      </c>
      <c r="BO245" s="52">
        <f t="shared" si="322"/>
        <v>0</v>
      </c>
      <c r="BP245" s="52">
        <f t="shared" si="323"/>
        <v>0</v>
      </c>
      <c r="BQ245" s="52">
        <f t="shared" si="324"/>
        <v>0</v>
      </c>
      <c r="BR245" s="52">
        <f t="shared" si="325"/>
        <v>0</v>
      </c>
      <c r="BS245" s="52">
        <f t="shared" si="326"/>
        <v>0</v>
      </c>
      <c r="BT245" s="52">
        <f t="shared" si="327"/>
        <v>0</v>
      </c>
      <c r="BU245" s="52">
        <f t="shared" si="328"/>
        <v>0</v>
      </c>
      <c r="BV245" s="52">
        <f t="shared" si="329"/>
        <v>0</v>
      </c>
      <c r="BW245" s="52">
        <f t="shared" si="330"/>
        <v>0</v>
      </c>
      <c r="BX245" s="52">
        <f t="shared" si="331"/>
        <v>0</v>
      </c>
      <c r="BZ245">
        <f t="shared" si="332"/>
        <v>0</v>
      </c>
      <c r="CA245">
        <f t="shared" si="366"/>
        <v>0</v>
      </c>
      <c r="CB245">
        <f t="shared" si="366"/>
        <v>0</v>
      </c>
      <c r="CC245">
        <f t="shared" si="366"/>
        <v>0</v>
      </c>
      <c r="CD245">
        <f t="shared" si="366"/>
        <v>0</v>
      </c>
      <c r="CE245">
        <f t="shared" si="366"/>
        <v>0</v>
      </c>
      <c r="CF245">
        <f t="shared" si="366"/>
        <v>0</v>
      </c>
      <c r="CG245">
        <f t="shared" si="366"/>
        <v>0</v>
      </c>
      <c r="CH245">
        <f t="shared" si="366"/>
        <v>0</v>
      </c>
      <c r="CI245">
        <f t="shared" si="366"/>
        <v>0</v>
      </c>
      <c r="CJ245">
        <f t="shared" si="366"/>
        <v>0</v>
      </c>
      <c r="CK245">
        <f t="shared" si="366"/>
        <v>0</v>
      </c>
      <c r="CL245">
        <f t="shared" si="366"/>
        <v>0</v>
      </c>
      <c r="CM245">
        <f t="shared" si="366"/>
        <v>0</v>
      </c>
      <c r="CN245">
        <f t="shared" si="366"/>
        <v>0</v>
      </c>
      <c r="CO245">
        <f t="shared" si="366"/>
        <v>0</v>
      </c>
      <c r="CP245">
        <f t="shared" si="366"/>
        <v>0</v>
      </c>
      <c r="CQ245">
        <f t="shared" si="335"/>
        <v>0</v>
      </c>
      <c r="CR245">
        <f t="shared" si="336"/>
        <v>0</v>
      </c>
      <c r="CS245">
        <f t="shared" si="337"/>
        <v>0</v>
      </c>
      <c r="CT245">
        <f t="shared" si="338"/>
        <v>0</v>
      </c>
      <c r="CU245">
        <f t="shared" si="339"/>
        <v>0</v>
      </c>
      <c r="CV245">
        <f t="shared" si="340"/>
        <v>0</v>
      </c>
      <c r="CW245">
        <f t="shared" si="341"/>
        <v>0</v>
      </c>
    </row>
    <row r="246" spans="1:102">
      <c r="A246" s="60">
        <v>45168</v>
      </c>
      <c r="B246" s="426"/>
      <c r="Z246" s="77"/>
      <c r="AB246">
        <f t="shared" ref="AB246:AK253" si="367">+IF(AND(B246=0,C246&lt;&gt;0),1,0)</f>
        <v>0</v>
      </c>
      <c r="AC246">
        <f t="shared" si="367"/>
        <v>0</v>
      </c>
      <c r="AD246">
        <f t="shared" si="367"/>
        <v>0</v>
      </c>
      <c r="AE246">
        <f t="shared" si="367"/>
        <v>0</v>
      </c>
      <c r="AF246">
        <f t="shared" si="367"/>
        <v>0</v>
      </c>
      <c r="AG246">
        <f t="shared" si="367"/>
        <v>0</v>
      </c>
      <c r="AH246">
        <f t="shared" si="367"/>
        <v>0</v>
      </c>
      <c r="AI246">
        <f t="shared" si="367"/>
        <v>0</v>
      </c>
      <c r="AJ246">
        <f t="shared" si="367"/>
        <v>0</v>
      </c>
      <c r="AK246">
        <f t="shared" si="367"/>
        <v>0</v>
      </c>
      <c r="AL246">
        <f t="shared" ref="AL246:AU253" si="368">+IF(AND(L246=0,M246&lt;&gt;0),1,0)</f>
        <v>0</v>
      </c>
      <c r="AM246">
        <f t="shared" si="368"/>
        <v>0</v>
      </c>
      <c r="AN246">
        <f t="shared" si="368"/>
        <v>0</v>
      </c>
      <c r="AO246">
        <f t="shared" si="368"/>
        <v>0</v>
      </c>
      <c r="AP246">
        <f t="shared" si="368"/>
        <v>0</v>
      </c>
      <c r="AQ246">
        <f t="shared" si="368"/>
        <v>0</v>
      </c>
      <c r="AR246">
        <f t="shared" si="368"/>
        <v>0</v>
      </c>
      <c r="AS246">
        <f t="shared" si="368"/>
        <v>0</v>
      </c>
      <c r="AT246">
        <f t="shared" si="368"/>
        <v>0</v>
      </c>
      <c r="AU246">
        <f t="shared" si="368"/>
        <v>0</v>
      </c>
      <c r="AV246">
        <f t="shared" ref="AV246:AX253" si="369">+IF(AND(V246=0,W246&lt;&gt;0),1,0)</f>
        <v>0</v>
      </c>
      <c r="AW246">
        <f t="shared" si="369"/>
        <v>0</v>
      </c>
      <c r="AX246">
        <f t="shared" si="369"/>
        <v>0</v>
      </c>
      <c r="AY246">
        <f t="shared" ref="AY246:AY277" si="370">+IF(AND(Y246=0,B247&lt;&gt;0),1,0)</f>
        <v>0</v>
      </c>
      <c r="BA246">
        <f t="shared" si="308"/>
        <v>0</v>
      </c>
      <c r="BB246">
        <f t="shared" si="309"/>
        <v>0</v>
      </c>
      <c r="BC246">
        <f t="shared" si="310"/>
        <v>0</v>
      </c>
      <c r="BD246">
        <f t="shared" si="311"/>
        <v>0</v>
      </c>
      <c r="BE246">
        <f t="shared" si="312"/>
        <v>0</v>
      </c>
      <c r="BF246">
        <f t="shared" si="313"/>
        <v>0</v>
      </c>
      <c r="BG246">
        <f t="shared" si="314"/>
        <v>0</v>
      </c>
      <c r="BH246">
        <f t="shared" si="315"/>
        <v>0</v>
      </c>
      <c r="BI246">
        <f t="shared" si="316"/>
        <v>0</v>
      </c>
      <c r="BJ246">
        <f t="shared" si="317"/>
        <v>0</v>
      </c>
      <c r="BK246">
        <f t="shared" si="318"/>
        <v>0</v>
      </c>
      <c r="BL246">
        <f t="shared" si="319"/>
        <v>0</v>
      </c>
      <c r="BM246">
        <f t="shared" si="320"/>
        <v>0</v>
      </c>
      <c r="BN246">
        <f t="shared" si="321"/>
        <v>0</v>
      </c>
      <c r="BO246">
        <f t="shared" si="322"/>
        <v>0</v>
      </c>
      <c r="BP246">
        <f t="shared" si="323"/>
        <v>0</v>
      </c>
      <c r="BQ246">
        <f t="shared" si="324"/>
        <v>0</v>
      </c>
      <c r="BR246">
        <f t="shared" si="325"/>
        <v>0</v>
      </c>
      <c r="BS246">
        <f t="shared" si="326"/>
        <v>0</v>
      </c>
      <c r="BT246">
        <f t="shared" si="327"/>
        <v>0</v>
      </c>
      <c r="BU246">
        <f t="shared" si="328"/>
        <v>0</v>
      </c>
      <c r="BV246">
        <f t="shared" si="329"/>
        <v>0</v>
      </c>
      <c r="BW246">
        <f t="shared" si="330"/>
        <v>0</v>
      </c>
      <c r="BX246">
        <f t="shared" si="331"/>
        <v>0</v>
      </c>
      <c r="BZ246" s="52">
        <f t="shared" si="332"/>
        <v>0</v>
      </c>
      <c r="CA246" s="52">
        <f t="shared" si="366"/>
        <v>0</v>
      </c>
      <c r="CB246" s="52">
        <f t="shared" si="366"/>
        <v>0</v>
      </c>
      <c r="CC246" s="52">
        <f t="shared" si="366"/>
        <v>0</v>
      </c>
      <c r="CD246" s="52">
        <f t="shared" si="366"/>
        <v>0</v>
      </c>
      <c r="CE246" s="52">
        <f t="shared" si="366"/>
        <v>0</v>
      </c>
      <c r="CF246" s="52">
        <f t="shared" si="366"/>
        <v>0</v>
      </c>
      <c r="CG246" s="52">
        <f t="shared" si="366"/>
        <v>0</v>
      </c>
      <c r="CH246" s="52">
        <f t="shared" si="366"/>
        <v>0</v>
      </c>
      <c r="CI246" s="52">
        <f t="shared" si="366"/>
        <v>0</v>
      </c>
      <c r="CJ246" s="52">
        <f t="shared" si="366"/>
        <v>0</v>
      </c>
      <c r="CK246" s="52">
        <f t="shared" si="366"/>
        <v>0</v>
      </c>
      <c r="CL246" s="52">
        <f t="shared" si="366"/>
        <v>0</v>
      </c>
      <c r="CM246" s="52">
        <f t="shared" si="366"/>
        <v>0</v>
      </c>
      <c r="CN246" s="52">
        <f t="shared" si="366"/>
        <v>0</v>
      </c>
      <c r="CO246" s="52">
        <f t="shared" si="366"/>
        <v>0</v>
      </c>
      <c r="CP246" s="52">
        <f>BQ246-BP246</f>
        <v>0</v>
      </c>
      <c r="CQ246" s="52">
        <f t="shared" si="335"/>
        <v>0</v>
      </c>
      <c r="CR246" s="52">
        <f t="shared" si="336"/>
        <v>0</v>
      </c>
      <c r="CS246" s="52">
        <f t="shared" si="337"/>
        <v>0</v>
      </c>
      <c r="CT246" s="52">
        <f t="shared" si="338"/>
        <v>0</v>
      </c>
      <c r="CU246" s="52">
        <f t="shared" si="339"/>
        <v>0</v>
      </c>
      <c r="CV246" s="52">
        <f t="shared" si="340"/>
        <v>0</v>
      </c>
      <c r="CW246" s="52">
        <f t="shared" si="341"/>
        <v>0</v>
      </c>
    </row>
    <row r="247" spans="1:102">
      <c r="A247" s="60">
        <v>45169</v>
      </c>
      <c r="B247" s="426"/>
      <c r="Z247" s="77"/>
      <c r="AB247" s="52">
        <f t="shared" si="367"/>
        <v>0</v>
      </c>
      <c r="AC247" s="52">
        <f t="shared" si="367"/>
        <v>0</v>
      </c>
      <c r="AD247" s="52">
        <f t="shared" si="367"/>
        <v>0</v>
      </c>
      <c r="AE247" s="52">
        <f t="shared" si="367"/>
        <v>0</v>
      </c>
      <c r="AF247" s="52">
        <f t="shared" si="367"/>
        <v>0</v>
      </c>
      <c r="AG247" s="52">
        <f t="shared" si="367"/>
        <v>0</v>
      </c>
      <c r="AH247" s="52">
        <f t="shared" si="367"/>
        <v>0</v>
      </c>
      <c r="AI247" s="52">
        <f t="shared" si="367"/>
        <v>0</v>
      </c>
      <c r="AJ247" s="52">
        <f t="shared" si="367"/>
        <v>0</v>
      </c>
      <c r="AK247" s="52">
        <f t="shared" si="367"/>
        <v>0</v>
      </c>
      <c r="AL247" s="52">
        <f t="shared" si="368"/>
        <v>0</v>
      </c>
      <c r="AM247" s="52">
        <f t="shared" si="368"/>
        <v>0</v>
      </c>
      <c r="AN247" s="52">
        <f t="shared" si="368"/>
        <v>0</v>
      </c>
      <c r="AO247" s="52">
        <f t="shared" si="368"/>
        <v>0</v>
      </c>
      <c r="AP247" s="52">
        <f t="shared" si="368"/>
        <v>0</v>
      </c>
      <c r="AQ247" s="52">
        <f t="shared" si="368"/>
        <v>0</v>
      </c>
      <c r="AR247" s="52">
        <f t="shared" si="368"/>
        <v>0</v>
      </c>
      <c r="AS247" s="52">
        <f t="shared" si="368"/>
        <v>0</v>
      </c>
      <c r="AT247" s="52">
        <f t="shared" si="368"/>
        <v>0</v>
      </c>
      <c r="AU247" s="52">
        <f t="shared" si="368"/>
        <v>0</v>
      </c>
      <c r="AV247" s="52">
        <f t="shared" si="369"/>
        <v>0</v>
      </c>
      <c r="AW247" s="52">
        <f t="shared" si="369"/>
        <v>0</v>
      </c>
      <c r="AX247" s="52">
        <f t="shared" si="369"/>
        <v>0</v>
      </c>
      <c r="AY247" s="52">
        <f t="shared" si="370"/>
        <v>0</v>
      </c>
      <c r="BA247" s="52">
        <f t="shared" ref="BA247:BJ262" si="371">+ROUNDUP(B247/8800,0)</f>
        <v>0</v>
      </c>
      <c r="BB247" s="52">
        <f t="shared" si="371"/>
        <v>0</v>
      </c>
      <c r="BC247" s="52">
        <f t="shared" si="371"/>
        <v>0</v>
      </c>
      <c r="BD247" s="52">
        <f t="shared" si="371"/>
        <v>0</v>
      </c>
      <c r="BE247" s="52">
        <f t="shared" si="371"/>
        <v>0</v>
      </c>
      <c r="BF247" s="52">
        <f t="shared" si="371"/>
        <v>0</v>
      </c>
      <c r="BG247" s="52">
        <f t="shared" si="371"/>
        <v>0</v>
      </c>
      <c r="BH247" s="52">
        <f t="shared" si="371"/>
        <v>0</v>
      </c>
      <c r="BI247" s="52">
        <f t="shared" si="371"/>
        <v>0</v>
      </c>
      <c r="BJ247" s="52">
        <f t="shared" si="371"/>
        <v>0</v>
      </c>
      <c r="BK247" s="52">
        <f t="shared" ref="BK247:BT262" si="372">+ROUNDUP(L247/8800,0)</f>
        <v>0</v>
      </c>
      <c r="BL247" s="52">
        <f t="shared" si="372"/>
        <v>0</v>
      </c>
      <c r="BM247" s="52">
        <f t="shared" si="372"/>
        <v>0</v>
      </c>
      <c r="BN247" s="52">
        <f t="shared" si="372"/>
        <v>0</v>
      </c>
      <c r="BO247" s="52">
        <f t="shared" si="372"/>
        <v>0</v>
      </c>
      <c r="BP247" s="52">
        <f t="shared" si="372"/>
        <v>0</v>
      </c>
      <c r="BQ247" s="52">
        <f t="shared" si="372"/>
        <v>0</v>
      </c>
      <c r="BR247" s="52">
        <f t="shared" si="372"/>
        <v>0</v>
      </c>
      <c r="BS247" s="52">
        <f t="shared" si="372"/>
        <v>0</v>
      </c>
      <c r="BT247" s="52">
        <f t="shared" si="372"/>
        <v>0</v>
      </c>
      <c r="BU247" s="52">
        <f t="shared" ref="BU247:BX262" si="373">+ROUNDUP(V247/8800,0)</f>
        <v>0</v>
      </c>
      <c r="BV247" s="52">
        <f t="shared" si="373"/>
        <v>0</v>
      </c>
      <c r="BW247" s="52">
        <f t="shared" si="373"/>
        <v>0</v>
      </c>
      <c r="BX247" s="52">
        <f t="shared" si="373"/>
        <v>0</v>
      </c>
      <c r="BZ247">
        <f>+BA247-BX246</f>
        <v>0</v>
      </c>
      <c r="CA247">
        <f t="shared" ref="CA247:CP262" si="374">BB247-BA247</f>
        <v>0</v>
      </c>
      <c r="CB247">
        <f t="shared" si="374"/>
        <v>0</v>
      </c>
      <c r="CC247">
        <f t="shared" si="374"/>
        <v>0</v>
      </c>
      <c r="CD247">
        <f t="shared" si="374"/>
        <v>0</v>
      </c>
      <c r="CE247">
        <f t="shared" si="374"/>
        <v>0</v>
      </c>
      <c r="CF247">
        <f t="shared" si="374"/>
        <v>0</v>
      </c>
      <c r="CG247">
        <f t="shared" si="374"/>
        <v>0</v>
      </c>
      <c r="CH247">
        <f t="shared" si="374"/>
        <v>0</v>
      </c>
      <c r="CI247">
        <f t="shared" si="374"/>
        <v>0</v>
      </c>
      <c r="CJ247">
        <f t="shared" si="374"/>
        <v>0</v>
      </c>
      <c r="CK247">
        <f t="shared" si="374"/>
        <v>0</v>
      </c>
      <c r="CL247">
        <f t="shared" si="374"/>
        <v>0</v>
      </c>
      <c r="CM247">
        <f t="shared" si="374"/>
        <v>0</v>
      </c>
      <c r="CN247">
        <f t="shared" si="374"/>
        <v>0</v>
      </c>
      <c r="CO247">
        <f t="shared" si="374"/>
        <v>0</v>
      </c>
      <c r="CP247">
        <f>BQ247-BP247</f>
        <v>0</v>
      </c>
      <c r="CQ247">
        <f t="shared" ref="CQ247:CW262" si="375">BR247-BQ247</f>
        <v>0</v>
      </c>
      <c r="CR247">
        <f t="shared" si="375"/>
        <v>0</v>
      </c>
      <c r="CS247">
        <f t="shared" si="375"/>
        <v>0</v>
      </c>
      <c r="CT247">
        <f t="shared" si="375"/>
        <v>0</v>
      </c>
      <c r="CU247">
        <f t="shared" si="375"/>
        <v>0</v>
      </c>
      <c r="CV247">
        <f t="shared" si="375"/>
        <v>0</v>
      </c>
      <c r="CW247">
        <f t="shared" si="375"/>
        <v>0</v>
      </c>
    </row>
    <row r="248" spans="1:102">
      <c r="A248" s="60">
        <v>45170</v>
      </c>
      <c r="B248" s="426"/>
      <c r="Z248" s="77"/>
      <c r="AB248" s="157">
        <f t="shared" si="367"/>
        <v>0</v>
      </c>
      <c r="AC248" s="157">
        <f t="shared" si="367"/>
        <v>0</v>
      </c>
      <c r="AD248" s="157">
        <f t="shared" si="367"/>
        <v>0</v>
      </c>
      <c r="AE248" s="157">
        <f t="shared" si="367"/>
        <v>0</v>
      </c>
      <c r="AF248" s="157">
        <f t="shared" si="367"/>
        <v>0</v>
      </c>
      <c r="AG248" s="157">
        <f t="shared" si="367"/>
        <v>0</v>
      </c>
      <c r="AH248" s="157">
        <f t="shared" si="367"/>
        <v>0</v>
      </c>
      <c r="AI248" s="157">
        <f t="shared" si="367"/>
        <v>0</v>
      </c>
      <c r="AJ248" s="157">
        <f t="shared" si="367"/>
        <v>0</v>
      </c>
      <c r="AK248" s="157">
        <f t="shared" si="367"/>
        <v>0</v>
      </c>
      <c r="AL248" s="157">
        <f t="shared" si="368"/>
        <v>0</v>
      </c>
      <c r="AM248" s="157">
        <f t="shared" si="368"/>
        <v>0</v>
      </c>
      <c r="AN248" s="157">
        <f t="shared" si="368"/>
        <v>0</v>
      </c>
      <c r="AO248" s="157">
        <f t="shared" si="368"/>
        <v>0</v>
      </c>
      <c r="AP248" s="157">
        <f t="shared" si="368"/>
        <v>0</v>
      </c>
      <c r="AQ248" s="157">
        <f t="shared" si="368"/>
        <v>0</v>
      </c>
      <c r="AR248" s="157">
        <f t="shared" si="368"/>
        <v>0</v>
      </c>
      <c r="AS248" s="157">
        <f t="shared" si="368"/>
        <v>0</v>
      </c>
      <c r="AT248" s="157">
        <f t="shared" si="368"/>
        <v>0</v>
      </c>
      <c r="AU248" s="157">
        <f t="shared" si="368"/>
        <v>0</v>
      </c>
      <c r="AV248" s="157">
        <f t="shared" si="369"/>
        <v>0</v>
      </c>
      <c r="AW248" s="157">
        <f t="shared" si="369"/>
        <v>0</v>
      </c>
      <c r="AX248" s="157">
        <f t="shared" si="369"/>
        <v>0</v>
      </c>
      <c r="AY248" s="157">
        <f t="shared" si="370"/>
        <v>0</v>
      </c>
      <c r="AZ248" s="63">
        <f>+SUM(AB217:AY247)</f>
        <v>0</v>
      </c>
      <c r="BA248" s="54">
        <f t="shared" si="371"/>
        <v>0</v>
      </c>
      <c r="BB248" s="54">
        <f t="shared" si="371"/>
        <v>0</v>
      </c>
      <c r="BC248" s="54">
        <f t="shared" si="371"/>
        <v>0</v>
      </c>
      <c r="BD248" s="54">
        <f t="shared" si="371"/>
        <v>0</v>
      </c>
      <c r="BE248" s="54">
        <f t="shared" si="371"/>
        <v>0</v>
      </c>
      <c r="BF248" s="54">
        <f t="shared" si="371"/>
        <v>0</v>
      </c>
      <c r="BG248" s="54">
        <f t="shared" si="371"/>
        <v>0</v>
      </c>
      <c r="BH248" s="54">
        <f t="shared" si="371"/>
        <v>0</v>
      </c>
      <c r="BI248" s="54">
        <f t="shared" si="371"/>
        <v>0</v>
      </c>
      <c r="BJ248" s="54">
        <f t="shared" si="371"/>
        <v>0</v>
      </c>
      <c r="BK248" s="54">
        <f t="shared" si="372"/>
        <v>0</v>
      </c>
      <c r="BL248" s="54">
        <f t="shared" si="372"/>
        <v>0</v>
      </c>
      <c r="BM248" s="54">
        <f t="shared" si="372"/>
        <v>0</v>
      </c>
      <c r="BN248" s="54">
        <f t="shared" si="372"/>
        <v>0</v>
      </c>
      <c r="BO248" s="54">
        <f t="shared" si="372"/>
        <v>0</v>
      </c>
      <c r="BP248" s="54">
        <f t="shared" si="372"/>
        <v>0</v>
      </c>
      <c r="BQ248" s="54">
        <f t="shared" si="372"/>
        <v>0</v>
      </c>
      <c r="BR248" s="54">
        <f t="shared" si="372"/>
        <v>0</v>
      </c>
      <c r="BS248" s="54">
        <f t="shared" si="372"/>
        <v>0</v>
      </c>
      <c r="BT248" s="54">
        <f t="shared" si="372"/>
        <v>0</v>
      </c>
      <c r="BU248" s="54">
        <f t="shared" si="373"/>
        <v>0</v>
      </c>
      <c r="BV248" s="54">
        <f t="shared" si="373"/>
        <v>0</v>
      </c>
      <c r="BW248" s="54">
        <f t="shared" si="373"/>
        <v>0</v>
      </c>
      <c r="BX248" s="54">
        <f t="shared" si="373"/>
        <v>0</v>
      </c>
      <c r="BY248" s="53">
        <f>+SUM(BA219:BX248)</f>
        <v>3258</v>
      </c>
      <c r="BZ248" s="54">
        <f>+BA248-BX247</f>
        <v>0</v>
      </c>
      <c r="CA248" s="54">
        <f t="shared" si="374"/>
        <v>0</v>
      </c>
      <c r="CB248" s="54">
        <f t="shared" si="374"/>
        <v>0</v>
      </c>
      <c r="CC248" s="54">
        <f t="shared" si="374"/>
        <v>0</v>
      </c>
      <c r="CD248" s="54">
        <f t="shared" si="374"/>
        <v>0</v>
      </c>
      <c r="CE248" s="54">
        <f t="shared" si="374"/>
        <v>0</v>
      </c>
      <c r="CF248" s="54">
        <f t="shared" si="374"/>
        <v>0</v>
      </c>
      <c r="CG248" s="54">
        <f t="shared" si="374"/>
        <v>0</v>
      </c>
      <c r="CH248" s="54">
        <f t="shared" si="374"/>
        <v>0</v>
      </c>
      <c r="CI248" s="54">
        <f t="shared" si="374"/>
        <v>0</v>
      </c>
      <c r="CJ248" s="54">
        <f t="shared" si="374"/>
        <v>0</v>
      </c>
      <c r="CK248" s="54">
        <f t="shared" si="374"/>
        <v>0</v>
      </c>
      <c r="CL248" s="54">
        <f t="shared" si="374"/>
        <v>0</v>
      </c>
      <c r="CM248" s="54">
        <f t="shared" si="374"/>
        <v>0</v>
      </c>
      <c r="CN248" s="54">
        <f t="shared" si="374"/>
        <v>0</v>
      </c>
      <c r="CO248" s="54">
        <f t="shared" si="374"/>
        <v>0</v>
      </c>
      <c r="CP248" s="54">
        <f>BQ248-BP248</f>
        <v>0</v>
      </c>
      <c r="CQ248" s="54">
        <f t="shared" si="375"/>
        <v>0</v>
      </c>
      <c r="CR248" s="54">
        <f t="shared" si="375"/>
        <v>0</v>
      </c>
      <c r="CS248" s="54">
        <f t="shared" si="375"/>
        <v>0</v>
      </c>
      <c r="CT248" s="54">
        <f t="shared" si="375"/>
        <v>0</v>
      </c>
      <c r="CU248" s="54">
        <f t="shared" si="375"/>
        <v>0</v>
      </c>
      <c r="CV248" s="54">
        <f t="shared" si="375"/>
        <v>0</v>
      </c>
      <c r="CW248" s="54">
        <f t="shared" si="375"/>
        <v>0</v>
      </c>
      <c r="CX248" s="53">
        <f>+SUMIF(BZ219:CW248,"&gt;0")</f>
        <v>37</v>
      </c>
    </row>
    <row r="249" spans="1:102">
      <c r="A249" s="60">
        <v>45171</v>
      </c>
      <c r="B249" s="426"/>
      <c r="Z249" s="77"/>
      <c r="AB249" s="52">
        <f t="shared" si="367"/>
        <v>0</v>
      </c>
      <c r="AC249" s="52">
        <f t="shared" si="367"/>
        <v>0</v>
      </c>
      <c r="AD249" s="52">
        <f t="shared" si="367"/>
        <v>0</v>
      </c>
      <c r="AE249" s="52">
        <f t="shared" si="367"/>
        <v>0</v>
      </c>
      <c r="AF249" s="52">
        <f t="shared" si="367"/>
        <v>0</v>
      </c>
      <c r="AG249" s="52">
        <f t="shared" si="367"/>
        <v>0</v>
      </c>
      <c r="AH249" s="52">
        <f t="shared" si="367"/>
        <v>0</v>
      </c>
      <c r="AI249" s="52">
        <f t="shared" si="367"/>
        <v>0</v>
      </c>
      <c r="AJ249" s="52">
        <f t="shared" si="367"/>
        <v>0</v>
      </c>
      <c r="AK249" s="52">
        <f t="shared" si="367"/>
        <v>0</v>
      </c>
      <c r="AL249" s="52">
        <f t="shared" si="368"/>
        <v>0</v>
      </c>
      <c r="AM249" s="52">
        <f t="shared" si="368"/>
        <v>0</v>
      </c>
      <c r="AN249" s="52">
        <f t="shared" si="368"/>
        <v>0</v>
      </c>
      <c r="AO249" s="52">
        <f t="shared" si="368"/>
        <v>0</v>
      </c>
      <c r="AP249" s="52">
        <f t="shared" si="368"/>
        <v>0</v>
      </c>
      <c r="AQ249" s="52">
        <f t="shared" si="368"/>
        <v>0</v>
      </c>
      <c r="AR249" s="52">
        <f t="shared" si="368"/>
        <v>0</v>
      </c>
      <c r="AS249" s="52">
        <f t="shared" si="368"/>
        <v>0</v>
      </c>
      <c r="AT249" s="52">
        <f t="shared" si="368"/>
        <v>0</v>
      </c>
      <c r="AU249" s="52">
        <f t="shared" si="368"/>
        <v>0</v>
      </c>
      <c r="AV249" s="52">
        <f t="shared" si="369"/>
        <v>0</v>
      </c>
      <c r="AW249" s="52">
        <f t="shared" si="369"/>
        <v>0</v>
      </c>
      <c r="AX249" s="52">
        <f t="shared" si="369"/>
        <v>0</v>
      </c>
      <c r="AY249" s="52">
        <f t="shared" si="370"/>
        <v>0</v>
      </c>
      <c r="BA249" s="52">
        <f t="shared" si="371"/>
        <v>0</v>
      </c>
      <c r="BB249" s="52">
        <f t="shared" si="371"/>
        <v>0</v>
      </c>
      <c r="BC249" s="52">
        <f t="shared" si="371"/>
        <v>0</v>
      </c>
      <c r="BD249" s="52">
        <f t="shared" si="371"/>
        <v>0</v>
      </c>
      <c r="BE249" s="52">
        <f t="shared" si="371"/>
        <v>0</v>
      </c>
      <c r="BF249" s="52">
        <f t="shared" si="371"/>
        <v>0</v>
      </c>
      <c r="BG249" s="52">
        <f t="shared" si="371"/>
        <v>0</v>
      </c>
      <c r="BH249" s="52">
        <f t="shared" si="371"/>
        <v>0</v>
      </c>
      <c r="BI249" s="52">
        <f t="shared" si="371"/>
        <v>0</v>
      </c>
      <c r="BJ249" s="52">
        <f t="shared" si="371"/>
        <v>0</v>
      </c>
      <c r="BK249" s="52">
        <f t="shared" si="372"/>
        <v>0</v>
      </c>
      <c r="BL249" s="52">
        <f t="shared" si="372"/>
        <v>0</v>
      </c>
      <c r="BM249" s="52">
        <f t="shared" si="372"/>
        <v>0</v>
      </c>
      <c r="BN249" s="52">
        <f t="shared" si="372"/>
        <v>0</v>
      </c>
      <c r="BO249" s="52">
        <f t="shared" si="372"/>
        <v>0</v>
      </c>
      <c r="BP249" s="52">
        <f t="shared" si="372"/>
        <v>0</v>
      </c>
      <c r="BQ249" s="52">
        <f t="shared" si="372"/>
        <v>0</v>
      </c>
      <c r="BR249" s="52">
        <f t="shared" si="372"/>
        <v>0</v>
      </c>
      <c r="BS249" s="52">
        <f t="shared" si="372"/>
        <v>0</v>
      </c>
      <c r="BT249" s="52">
        <f t="shared" si="372"/>
        <v>0</v>
      </c>
      <c r="BU249" s="52">
        <f t="shared" si="373"/>
        <v>0</v>
      </c>
      <c r="BV249" s="52">
        <f t="shared" si="373"/>
        <v>0</v>
      </c>
      <c r="BW249" s="52">
        <f t="shared" si="373"/>
        <v>0</v>
      </c>
      <c r="BX249" s="52">
        <f t="shared" si="373"/>
        <v>0</v>
      </c>
      <c r="BZ249" s="52">
        <f t="shared" ref="BZ249:BZ277" si="376">+BA249-BX248</f>
        <v>0</v>
      </c>
      <c r="CA249" s="52">
        <f t="shared" si="374"/>
        <v>0</v>
      </c>
      <c r="CB249" s="52">
        <f t="shared" si="374"/>
        <v>0</v>
      </c>
      <c r="CC249" s="52">
        <f t="shared" si="374"/>
        <v>0</v>
      </c>
      <c r="CD249" s="52">
        <f t="shared" si="374"/>
        <v>0</v>
      </c>
      <c r="CE249" s="52">
        <f t="shared" si="374"/>
        <v>0</v>
      </c>
      <c r="CF249" s="52">
        <f t="shared" si="374"/>
        <v>0</v>
      </c>
      <c r="CG249" s="52">
        <f t="shared" si="374"/>
        <v>0</v>
      </c>
      <c r="CH249" s="52">
        <f t="shared" si="374"/>
        <v>0</v>
      </c>
      <c r="CI249" s="52">
        <f t="shared" si="374"/>
        <v>0</v>
      </c>
      <c r="CJ249" s="52">
        <f t="shared" si="374"/>
        <v>0</v>
      </c>
      <c r="CK249" s="52">
        <f t="shared" si="374"/>
        <v>0</v>
      </c>
      <c r="CL249" s="52">
        <f t="shared" si="374"/>
        <v>0</v>
      </c>
      <c r="CM249" s="52">
        <f t="shared" si="374"/>
        <v>0</v>
      </c>
      <c r="CN249" s="52">
        <f t="shared" si="374"/>
        <v>0</v>
      </c>
      <c r="CO249" s="52">
        <f t="shared" si="374"/>
        <v>0</v>
      </c>
      <c r="CP249" s="52">
        <f t="shared" ref="CP249:CP261" si="377">BQ249-BP249</f>
        <v>0</v>
      </c>
      <c r="CQ249" s="52">
        <f t="shared" si="375"/>
        <v>0</v>
      </c>
      <c r="CR249" s="52">
        <f t="shared" si="375"/>
        <v>0</v>
      </c>
      <c r="CS249" s="52">
        <f t="shared" si="375"/>
        <v>0</v>
      </c>
      <c r="CT249" s="52">
        <f t="shared" si="375"/>
        <v>0</v>
      </c>
      <c r="CU249" s="52">
        <f t="shared" si="375"/>
        <v>0</v>
      </c>
      <c r="CV249" s="52">
        <f t="shared" si="375"/>
        <v>0</v>
      </c>
      <c r="CW249" s="52">
        <f t="shared" si="375"/>
        <v>0</v>
      </c>
    </row>
    <row r="250" spans="1:102">
      <c r="A250" s="60">
        <v>45172</v>
      </c>
      <c r="B250" s="426"/>
      <c r="Z250" s="77"/>
      <c r="AB250">
        <f>+IF(AND(B250=0,C250&lt;&gt;0),1,0)</f>
        <v>0</v>
      </c>
      <c r="AC250">
        <f t="shared" si="367"/>
        <v>0</v>
      </c>
      <c r="AD250">
        <f t="shared" si="367"/>
        <v>0</v>
      </c>
      <c r="AE250">
        <f t="shared" si="367"/>
        <v>0</v>
      </c>
      <c r="AF250">
        <f t="shared" si="367"/>
        <v>0</v>
      </c>
      <c r="AG250">
        <f t="shared" si="367"/>
        <v>0</v>
      </c>
      <c r="AH250">
        <f t="shared" si="367"/>
        <v>0</v>
      </c>
      <c r="AI250">
        <f t="shared" si="367"/>
        <v>0</v>
      </c>
      <c r="AJ250">
        <f t="shared" si="367"/>
        <v>0</v>
      </c>
      <c r="AK250">
        <f t="shared" si="367"/>
        <v>0</v>
      </c>
      <c r="AL250">
        <f t="shared" si="368"/>
        <v>0</v>
      </c>
      <c r="AM250">
        <f t="shared" si="368"/>
        <v>0</v>
      </c>
      <c r="AN250">
        <f t="shared" si="368"/>
        <v>0</v>
      </c>
      <c r="AO250">
        <f t="shared" si="368"/>
        <v>0</v>
      </c>
      <c r="AP250">
        <f t="shared" si="368"/>
        <v>0</v>
      </c>
      <c r="AQ250">
        <f t="shared" si="368"/>
        <v>0</v>
      </c>
      <c r="AR250">
        <f t="shared" si="368"/>
        <v>0</v>
      </c>
      <c r="AS250">
        <f t="shared" si="368"/>
        <v>0</v>
      </c>
      <c r="AT250">
        <f t="shared" si="368"/>
        <v>0</v>
      </c>
      <c r="AU250">
        <f t="shared" si="368"/>
        <v>0</v>
      </c>
      <c r="AV250">
        <f t="shared" si="369"/>
        <v>0</v>
      </c>
      <c r="AW250">
        <f t="shared" si="369"/>
        <v>0</v>
      </c>
      <c r="AX250">
        <f t="shared" si="369"/>
        <v>0</v>
      </c>
      <c r="AY250">
        <f t="shared" si="370"/>
        <v>0</v>
      </c>
      <c r="BA250">
        <f t="shared" si="371"/>
        <v>0</v>
      </c>
      <c r="BB250">
        <f t="shared" si="371"/>
        <v>0</v>
      </c>
      <c r="BC250">
        <f t="shared" si="371"/>
        <v>0</v>
      </c>
      <c r="BD250">
        <f t="shared" si="371"/>
        <v>0</v>
      </c>
      <c r="BE250">
        <f t="shared" si="371"/>
        <v>0</v>
      </c>
      <c r="BF250">
        <f t="shared" si="371"/>
        <v>0</v>
      </c>
      <c r="BG250">
        <f t="shared" si="371"/>
        <v>0</v>
      </c>
      <c r="BH250">
        <f t="shared" si="371"/>
        <v>0</v>
      </c>
      <c r="BI250">
        <f t="shared" si="371"/>
        <v>0</v>
      </c>
      <c r="BJ250">
        <f t="shared" si="371"/>
        <v>0</v>
      </c>
      <c r="BK250">
        <f t="shared" si="372"/>
        <v>0</v>
      </c>
      <c r="BL250">
        <f t="shared" si="372"/>
        <v>0</v>
      </c>
      <c r="BM250">
        <f t="shared" si="372"/>
        <v>0</v>
      </c>
      <c r="BN250">
        <f t="shared" si="372"/>
        <v>0</v>
      </c>
      <c r="BO250">
        <f t="shared" si="372"/>
        <v>0</v>
      </c>
      <c r="BP250">
        <f t="shared" si="372"/>
        <v>0</v>
      </c>
      <c r="BQ250">
        <f t="shared" si="372"/>
        <v>0</v>
      </c>
      <c r="BR250">
        <f t="shared" si="372"/>
        <v>0</v>
      </c>
      <c r="BS250">
        <f t="shared" si="372"/>
        <v>0</v>
      </c>
      <c r="BT250">
        <f t="shared" si="372"/>
        <v>0</v>
      </c>
      <c r="BU250">
        <f t="shared" si="373"/>
        <v>0</v>
      </c>
      <c r="BV250">
        <f t="shared" si="373"/>
        <v>0</v>
      </c>
      <c r="BW250">
        <f t="shared" si="373"/>
        <v>0</v>
      </c>
      <c r="BX250">
        <f t="shared" si="373"/>
        <v>0</v>
      </c>
      <c r="BZ250">
        <f t="shared" si="376"/>
        <v>0</v>
      </c>
      <c r="CA250">
        <f t="shared" si="374"/>
        <v>0</v>
      </c>
      <c r="CB250">
        <f t="shared" si="374"/>
        <v>0</v>
      </c>
      <c r="CC250">
        <f t="shared" si="374"/>
        <v>0</v>
      </c>
      <c r="CD250">
        <f t="shared" si="374"/>
        <v>0</v>
      </c>
      <c r="CE250">
        <f t="shared" si="374"/>
        <v>0</v>
      </c>
      <c r="CF250">
        <f t="shared" si="374"/>
        <v>0</v>
      </c>
      <c r="CG250">
        <f t="shared" si="374"/>
        <v>0</v>
      </c>
      <c r="CH250">
        <f t="shared" si="374"/>
        <v>0</v>
      </c>
      <c r="CI250">
        <f t="shared" si="374"/>
        <v>0</v>
      </c>
      <c r="CJ250">
        <f t="shared" si="374"/>
        <v>0</v>
      </c>
      <c r="CK250">
        <f t="shared" si="374"/>
        <v>0</v>
      </c>
      <c r="CL250">
        <f t="shared" si="374"/>
        <v>0</v>
      </c>
      <c r="CM250">
        <f t="shared" si="374"/>
        <v>0</v>
      </c>
      <c r="CN250">
        <f t="shared" si="374"/>
        <v>0</v>
      </c>
      <c r="CO250">
        <f t="shared" si="374"/>
        <v>0</v>
      </c>
      <c r="CP250">
        <f t="shared" si="377"/>
        <v>0</v>
      </c>
      <c r="CQ250">
        <f t="shared" si="375"/>
        <v>0</v>
      </c>
      <c r="CR250">
        <f t="shared" si="375"/>
        <v>0</v>
      </c>
      <c r="CS250">
        <f t="shared" si="375"/>
        <v>0</v>
      </c>
      <c r="CT250">
        <f t="shared" si="375"/>
        <v>0</v>
      </c>
      <c r="CU250">
        <f t="shared" si="375"/>
        <v>0</v>
      </c>
      <c r="CV250">
        <f t="shared" si="375"/>
        <v>0</v>
      </c>
      <c r="CW250">
        <f t="shared" si="375"/>
        <v>0</v>
      </c>
    </row>
    <row r="251" spans="1:102">
      <c r="A251" s="60">
        <v>45173</v>
      </c>
      <c r="B251" s="426"/>
      <c r="Z251" s="77"/>
      <c r="AB251" s="52">
        <f t="shared" si="367"/>
        <v>0</v>
      </c>
      <c r="AC251" s="52">
        <f t="shared" si="367"/>
        <v>0</v>
      </c>
      <c r="AD251" s="52">
        <f t="shared" si="367"/>
        <v>0</v>
      </c>
      <c r="AE251" s="52">
        <f t="shared" si="367"/>
        <v>0</v>
      </c>
      <c r="AF251" s="52">
        <f t="shared" si="367"/>
        <v>0</v>
      </c>
      <c r="AG251" s="52">
        <f t="shared" si="367"/>
        <v>0</v>
      </c>
      <c r="AH251" s="52">
        <f t="shared" si="367"/>
        <v>0</v>
      </c>
      <c r="AI251" s="52">
        <f t="shared" si="367"/>
        <v>0</v>
      </c>
      <c r="AJ251" s="52">
        <f t="shared" si="367"/>
        <v>0</v>
      </c>
      <c r="AK251" s="52">
        <f t="shared" si="367"/>
        <v>0</v>
      </c>
      <c r="AL251" s="52">
        <f t="shared" si="368"/>
        <v>0</v>
      </c>
      <c r="AM251" s="52">
        <f t="shared" si="368"/>
        <v>0</v>
      </c>
      <c r="AN251" s="52">
        <f t="shared" si="368"/>
        <v>0</v>
      </c>
      <c r="AO251" s="52">
        <f t="shared" si="368"/>
        <v>0</v>
      </c>
      <c r="AP251" s="52">
        <f t="shared" si="368"/>
        <v>0</v>
      </c>
      <c r="AQ251" s="52">
        <f t="shared" si="368"/>
        <v>0</v>
      </c>
      <c r="AR251" s="52">
        <f t="shared" si="368"/>
        <v>0</v>
      </c>
      <c r="AS251" s="52">
        <f t="shared" si="368"/>
        <v>0</v>
      </c>
      <c r="AT251" s="52">
        <f t="shared" si="368"/>
        <v>0</v>
      </c>
      <c r="AU251" s="52">
        <f t="shared" si="368"/>
        <v>0</v>
      </c>
      <c r="AV251" s="52">
        <f t="shared" si="369"/>
        <v>0</v>
      </c>
      <c r="AW251" s="52">
        <f t="shared" si="369"/>
        <v>0</v>
      </c>
      <c r="AX251" s="52">
        <f t="shared" si="369"/>
        <v>0</v>
      </c>
      <c r="AY251" s="52">
        <f t="shared" si="370"/>
        <v>0</v>
      </c>
      <c r="BA251" s="52">
        <f t="shared" si="371"/>
        <v>0</v>
      </c>
      <c r="BB251" s="52">
        <f t="shared" si="371"/>
        <v>0</v>
      </c>
      <c r="BC251" s="52">
        <f t="shared" si="371"/>
        <v>0</v>
      </c>
      <c r="BD251" s="52">
        <f t="shared" si="371"/>
        <v>0</v>
      </c>
      <c r="BE251" s="52">
        <f t="shared" si="371"/>
        <v>0</v>
      </c>
      <c r="BF251" s="52">
        <f t="shared" si="371"/>
        <v>0</v>
      </c>
      <c r="BG251" s="52">
        <f t="shared" si="371"/>
        <v>0</v>
      </c>
      <c r="BH251" s="52">
        <f t="shared" si="371"/>
        <v>0</v>
      </c>
      <c r="BI251" s="52">
        <f t="shared" si="371"/>
        <v>0</v>
      </c>
      <c r="BJ251" s="52">
        <f t="shared" si="371"/>
        <v>0</v>
      </c>
      <c r="BK251" s="52">
        <f t="shared" si="372"/>
        <v>0</v>
      </c>
      <c r="BL251" s="52">
        <f t="shared" si="372"/>
        <v>0</v>
      </c>
      <c r="BM251" s="52">
        <f t="shared" si="372"/>
        <v>0</v>
      </c>
      <c r="BN251" s="52">
        <f t="shared" si="372"/>
        <v>0</v>
      </c>
      <c r="BO251" s="52">
        <f t="shared" si="372"/>
        <v>0</v>
      </c>
      <c r="BP251" s="52">
        <f t="shared" si="372"/>
        <v>0</v>
      </c>
      <c r="BQ251" s="52">
        <f t="shared" si="372"/>
        <v>0</v>
      </c>
      <c r="BR251" s="52">
        <f t="shared" si="372"/>
        <v>0</v>
      </c>
      <c r="BS251" s="52">
        <f t="shared" si="372"/>
        <v>0</v>
      </c>
      <c r="BT251" s="52">
        <f t="shared" si="372"/>
        <v>0</v>
      </c>
      <c r="BU251" s="52">
        <f t="shared" si="373"/>
        <v>0</v>
      </c>
      <c r="BV251" s="52">
        <f t="shared" si="373"/>
        <v>0</v>
      </c>
      <c r="BW251" s="52">
        <f t="shared" si="373"/>
        <v>0</v>
      </c>
      <c r="BX251" s="52">
        <f t="shared" si="373"/>
        <v>0</v>
      </c>
      <c r="BZ251" s="52">
        <f t="shared" si="376"/>
        <v>0</v>
      </c>
      <c r="CA251" s="52">
        <f t="shared" si="374"/>
        <v>0</v>
      </c>
      <c r="CB251" s="52">
        <f t="shared" si="374"/>
        <v>0</v>
      </c>
      <c r="CC251" s="52">
        <f t="shared" si="374"/>
        <v>0</v>
      </c>
      <c r="CD251" s="52">
        <f t="shared" si="374"/>
        <v>0</v>
      </c>
      <c r="CE251" s="52">
        <f t="shared" si="374"/>
        <v>0</v>
      </c>
      <c r="CF251" s="52">
        <f t="shared" si="374"/>
        <v>0</v>
      </c>
      <c r="CG251" s="52">
        <f t="shared" si="374"/>
        <v>0</v>
      </c>
      <c r="CH251" s="52">
        <f t="shared" si="374"/>
        <v>0</v>
      </c>
      <c r="CI251" s="52">
        <f t="shared" si="374"/>
        <v>0</v>
      </c>
      <c r="CJ251" s="52">
        <f t="shared" si="374"/>
        <v>0</v>
      </c>
      <c r="CK251" s="52">
        <f t="shared" si="374"/>
        <v>0</v>
      </c>
      <c r="CL251" s="52">
        <f t="shared" si="374"/>
        <v>0</v>
      </c>
      <c r="CM251" s="52">
        <f t="shared" si="374"/>
        <v>0</v>
      </c>
      <c r="CN251" s="52">
        <f t="shared" si="374"/>
        <v>0</v>
      </c>
      <c r="CO251" s="52">
        <f t="shared" si="374"/>
        <v>0</v>
      </c>
      <c r="CP251" s="52">
        <f t="shared" si="377"/>
        <v>0</v>
      </c>
      <c r="CQ251" s="52">
        <f t="shared" si="375"/>
        <v>0</v>
      </c>
      <c r="CR251" s="52">
        <f t="shared" si="375"/>
        <v>0</v>
      </c>
      <c r="CS251" s="52">
        <f t="shared" si="375"/>
        <v>0</v>
      </c>
      <c r="CT251" s="52">
        <f t="shared" si="375"/>
        <v>0</v>
      </c>
      <c r="CU251" s="52">
        <f t="shared" si="375"/>
        <v>0</v>
      </c>
      <c r="CV251" s="52">
        <f t="shared" si="375"/>
        <v>0</v>
      </c>
      <c r="CW251" s="52">
        <f t="shared" si="375"/>
        <v>0</v>
      </c>
    </row>
    <row r="252" spans="1:102">
      <c r="A252" s="60">
        <v>45174</v>
      </c>
      <c r="B252" s="426"/>
      <c r="Z252" s="77"/>
      <c r="AB252">
        <f t="shared" si="367"/>
        <v>0</v>
      </c>
      <c r="AC252">
        <f t="shared" si="367"/>
        <v>0</v>
      </c>
      <c r="AD252">
        <f t="shared" si="367"/>
        <v>0</v>
      </c>
      <c r="AE252">
        <f t="shared" si="367"/>
        <v>0</v>
      </c>
      <c r="AF252">
        <f t="shared" si="367"/>
        <v>0</v>
      </c>
      <c r="AG252">
        <f t="shared" si="367"/>
        <v>0</v>
      </c>
      <c r="AH252">
        <f t="shared" si="367"/>
        <v>0</v>
      </c>
      <c r="AI252">
        <f t="shared" si="367"/>
        <v>0</v>
      </c>
      <c r="AJ252">
        <f t="shared" si="367"/>
        <v>0</v>
      </c>
      <c r="AK252">
        <f t="shared" si="367"/>
        <v>0</v>
      </c>
      <c r="AL252">
        <f t="shared" si="368"/>
        <v>0</v>
      </c>
      <c r="AM252">
        <f t="shared" si="368"/>
        <v>0</v>
      </c>
      <c r="AN252">
        <f t="shared" si="368"/>
        <v>0</v>
      </c>
      <c r="AO252">
        <f t="shared" si="368"/>
        <v>0</v>
      </c>
      <c r="AP252">
        <f t="shared" si="368"/>
        <v>0</v>
      </c>
      <c r="AQ252">
        <f t="shared" si="368"/>
        <v>0</v>
      </c>
      <c r="AR252">
        <f t="shared" si="368"/>
        <v>0</v>
      </c>
      <c r="AS252">
        <f t="shared" si="368"/>
        <v>0</v>
      </c>
      <c r="AT252">
        <f t="shared" si="368"/>
        <v>0</v>
      </c>
      <c r="AU252">
        <f t="shared" si="368"/>
        <v>0</v>
      </c>
      <c r="AV252">
        <f t="shared" si="369"/>
        <v>0</v>
      </c>
      <c r="AW252">
        <f t="shared" si="369"/>
        <v>0</v>
      </c>
      <c r="AX252">
        <f t="shared" si="369"/>
        <v>0</v>
      </c>
      <c r="AY252">
        <f t="shared" si="370"/>
        <v>0</v>
      </c>
      <c r="BA252">
        <f t="shared" si="371"/>
        <v>0</v>
      </c>
      <c r="BB252">
        <f t="shared" si="371"/>
        <v>0</v>
      </c>
      <c r="BC252">
        <f t="shared" si="371"/>
        <v>0</v>
      </c>
      <c r="BD252">
        <f t="shared" si="371"/>
        <v>0</v>
      </c>
      <c r="BE252">
        <f t="shared" si="371"/>
        <v>0</v>
      </c>
      <c r="BF252">
        <f t="shared" si="371"/>
        <v>0</v>
      </c>
      <c r="BG252">
        <f t="shared" si="371"/>
        <v>0</v>
      </c>
      <c r="BH252">
        <f t="shared" si="371"/>
        <v>0</v>
      </c>
      <c r="BI252">
        <f t="shared" si="371"/>
        <v>0</v>
      </c>
      <c r="BJ252">
        <f t="shared" si="371"/>
        <v>0</v>
      </c>
      <c r="BK252">
        <f t="shared" si="372"/>
        <v>0</v>
      </c>
      <c r="BL252">
        <f t="shared" si="372"/>
        <v>0</v>
      </c>
      <c r="BM252">
        <f t="shared" si="372"/>
        <v>0</v>
      </c>
      <c r="BN252">
        <f t="shared" si="372"/>
        <v>0</v>
      </c>
      <c r="BO252">
        <f t="shared" si="372"/>
        <v>0</v>
      </c>
      <c r="BP252">
        <f t="shared" si="372"/>
        <v>0</v>
      </c>
      <c r="BQ252">
        <f t="shared" si="372"/>
        <v>0</v>
      </c>
      <c r="BR252">
        <f t="shared" si="372"/>
        <v>0</v>
      </c>
      <c r="BS252">
        <f t="shared" si="372"/>
        <v>0</v>
      </c>
      <c r="BT252">
        <f t="shared" si="372"/>
        <v>0</v>
      </c>
      <c r="BU252">
        <f t="shared" si="373"/>
        <v>0</v>
      </c>
      <c r="BV252">
        <f t="shared" si="373"/>
        <v>0</v>
      </c>
      <c r="BW252">
        <f t="shared" si="373"/>
        <v>0</v>
      </c>
      <c r="BX252">
        <f t="shared" si="373"/>
        <v>0</v>
      </c>
      <c r="BZ252">
        <f t="shared" si="376"/>
        <v>0</v>
      </c>
      <c r="CA252">
        <f t="shared" si="374"/>
        <v>0</v>
      </c>
      <c r="CB252">
        <f t="shared" si="374"/>
        <v>0</v>
      </c>
      <c r="CC252">
        <f t="shared" si="374"/>
        <v>0</v>
      </c>
      <c r="CD252">
        <f t="shared" si="374"/>
        <v>0</v>
      </c>
      <c r="CE252">
        <f t="shared" si="374"/>
        <v>0</v>
      </c>
      <c r="CF252">
        <f t="shared" si="374"/>
        <v>0</v>
      </c>
      <c r="CG252">
        <f t="shared" si="374"/>
        <v>0</v>
      </c>
      <c r="CH252">
        <f t="shared" si="374"/>
        <v>0</v>
      </c>
      <c r="CI252">
        <f t="shared" si="374"/>
        <v>0</v>
      </c>
      <c r="CJ252">
        <f t="shared" si="374"/>
        <v>0</v>
      </c>
      <c r="CK252">
        <f t="shared" si="374"/>
        <v>0</v>
      </c>
      <c r="CL252">
        <f t="shared" si="374"/>
        <v>0</v>
      </c>
      <c r="CM252">
        <f t="shared" si="374"/>
        <v>0</v>
      </c>
      <c r="CN252">
        <f t="shared" si="374"/>
        <v>0</v>
      </c>
      <c r="CO252">
        <f t="shared" si="374"/>
        <v>0</v>
      </c>
      <c r="CP252">
        <f t="shared" si="377"/>
        <v>0</v>
      </c>
      <c r="CQ252">
        <f t="shared" si="375"/>
        <v>0</v>
      </c>
      <c r="CR252">
        <f t="shared" si="375"/>
        <v>0</v>
      </c>
      <c r="CS252">
        <f t="shared" si="375"/>
        <v>0</v>
      </c>
      <c r="CT252">
        <f t="shared" si="375"/>
        <v>0</v>
      </c>
      <c r="CU252">
        <f t="shared" si="375"/>
        <v>0</v>
      </c>
      <c r="CV252">
        <f t="shared" si="375"/>
        <v>0</v>
      </c>
      <c r="CW252">
        <f t="shared" si="375"/>
        <v>0</v>
      </c>
    </row>
    <row r="253" spans="1:102">
      <c r="A253" s="60">
        <v>45175</v>
      </c>
      <c r="B253" s="426"/>
      <c r="Z253" s="77"/>
      <c r="AB253" s="52">
        <f t="shared" si="367"/>
        <v>0</v>
      </c>
      <c r="AC253" s="52">
        <f t="shared" si="367"/>
        <v>0</v>
      </c>
      <c r="AD253" s="52">
        <f t="shared" si="367"/>
        <v>0</v>
      </c>
      <c r="AE253" s="52">
        <f t="shared" si="367"/>
        <v>0</v>
      </c>
      <c r="AF253" s="52">
        <f t="shared" si="367"/>
        <v>0</v>
      </c>
      <c r="AG253" s="52">
        <f t="shared" si="367"/>
        <v>0</v>
      </c>
      <c r="AH253" s="52">
        <f t="shared" si="367"/>
        <v>0</v>
      </c>
      <c r="AI253" s="52">
        <f t="shared" si="367"/>
        <v>0</v>
      </c>
      <c r="AJ253" s="52">
        <f t="shared" si="367"/>
        <v>0</v>
      </c>
      <c r="AK253" s="52">
        <f t="shared" si="367"/>
        <v>0</v>
      </c>
      <c r="AL253" s="52">
        <f t="shared" si="368"/>
        <v>0</v>
      </c>
      <c r="AM253" s="52">
        <f t="shared" si="368"/>
        <v>0</v>
      </c>
      <c r="AN253" s="52">
        <f t="shared" si="368"/>
        <v>0</v>
      </c>
      <c r="AO253" s="52">
        <f t="shared" si="368"/>
        <v>0</v>
      </c>
      <c r="AP253" s="52">
        <f t="shared" si="368"/>
        <v>0</v>
      </c>
      <c r="AQ253" s="52">
        <f t="shared" si="368"/>
        <v>0</v>
      </c>
      <c r="AR253" s="52">
        <f t="shared" si="368"/>
        <v>0</v>
      </c>
      <c r="AS253" s="52">
        <f t="shared" si="368"/>
        <v>0</v>
      </c>
      <c r="AT253" s="52">
        <f t="shared" si="368"/>
        <v>0</v>
      </c>
      <c r="AU253" s="52">
        <f t="shared" si="368"/>
        <v>0</v>
      </c>
      <c r="AV253" s="52">
        <f t="shared" si="369"/>
        <v>0</v>
      </c>
      <c r="AW253" s="52">
        <f t="shared" si="369"/>
        <v>0</v>
      </c>
      <c r="AX253" s="52">
        <f t="shared" si="369"/>
        <v>0</v>
      </c>
      <c r="AY253" s="52">
        <f t="shared" si="370"/>
        <v>0</v>
      </c>
      <c r="BA253" s="52">
        <f t="shared" si="371"/>
        <v>0</v>
      </c>
      <c r="BB253" s="52">
        <f t="shared" si="371"/>
        <v>0</v>
      </c>
      <c r="BC253" s="52">
        <f t="shared" si="371"/>
        <v>0</v>
      </c>
      <c r="BD253" s="52">
        <f t="shared" si="371"/>
        <v>0</v>
      </c>
      <c r="BE253" s="52">
        <f t="shared" si="371"/>
        <v>0</v>
      </c>
      <c r="BF253" s="52">
        <f t="shared" si="371"/>
        <v>0</v>
      </c>
      <c r="BG253" s="52">
        <f t="shared" si="371"/>
        <v>0</v>
      </c>
      <c r="BH253" s="52">
        <f t="shared" si="371"/>
        <v>0</v>
      </c>
      <c r="BI253" s="52">
        <f t="shared" si="371"/>
        <v>0</v>
      </c>
      <c r="BJ253" s="52">
        <f t="shared" si="371"/>
        <v>0</v>
      </c>
      <c r="BK253" s="52">
        <f t="shared" si="372"/>
        <v>0</v>
      </c>
      <c r="BL253" s="52">
        <f t="shared" si="372"/>
        <v>0</v>
      </c>
      <c r="BM253" s="52">
        <f t="shared" si="372"/>
        <v>0</v>
      </c>
      <c r="BN253" s="52">
        <f t="shared" si="372"/>
        <v>0</v>
      </c>
      <c r="BO253" s="52">
        <f t="shared" si="372"/>
        <v>0</v>
      </c>
      <c r="BP253" s="52">
        <f t="shared" si="372"/>
        <v>0</v>
      </c>
      <c r="BQ253" s="52">
        <f t="shared" si="372"/>
        <v>0</v>
      </c>
      <c r="BR253" s="52">
        <f t="shared" si="372"/>
        <v>0</v>
      </c>
      <c r="BS253" s="52">
        <f t="shared" si="372"/>
        <v>0</v>
      </c>
      <c r="BT253" s="52">
        <f t="shared" si="372"/>
        <v>0</v>
      </c>
      <c r="BU253" s="52">
        <f t="shared" si="373"/>
        <v>0</v>
      </c>
      <c r="BV253" s="52">
        <f t="shared" si="373"/>
        <v>0</v>
      </c>
      <c r="BW253" s="52">
        <f t="shared" si="373"/>
        <v>0</v>
      </c>
      <c r="BX253" s="52">
        <f t="shared" si="373"/>
        <v>0</v>
      </c>
      <c r="BZ253" s="52">
        <f t="shared" si="376"/>
        <v>0</v>
      </c>
      <c r="CA253" s="52">
        <f t="shared" si="374"/>
        <v>0</v>
      </c>
      <c r="CB253" s="52">
        <f t="shared" si="374"/>
        <v>0</v>
      </c>
      <c r="CC253" s="52">
        <f t="shared" si="374"/>
        <v>0</v>
      </c>
      <c r="CD253" s="52">
        <f t="shared" si="374"/>
        <v>0</v>
      </c>
      <c r="CE253" s="52">
        <f t="shared" si="374"/>
        <v>0</v>
      </c>
      <c r="CF253" s="52">
        <f t="shared" si="374"/>
        <v>0</v>
      </c>
      <c r="CG253" s="52">
        <f t="shared" si="374"/>
        <v>0</v>
      </c>
      <c r="CH253" s="52">
        <f t="shared" si="374"/>
        <v>0</v>
      </c>
      <c r="CI253" s="52">
        <f t="shared" si="374"/>
        <v>0</v>
      </c>
      <c r="CJ253" s="52">
        <f t="shared" si="374"/>
        <v>0</v>
      </c>
      <c r="CK253" s="52">
        <f t="shared" si="374"/>
        <v>0</v>
      </c>
      <c r="CL253" s="52">
        <f t="shared" si="374"/>
        <v>0</v>
      </c>
      <c r="CM253" s="52">
        <f t="shared" si="374"/>
        <v>0</v>
      </c>
      <c r="CN253" s="52">
        <f t="shared" si="374"/>
        <v>0</v>
      </c>
      <c r="CO253" s="52">
        <f t="shared" si="374"/>
        <v>0</v>
      </c>
      <c r="CP253" s="52">
        <f t="shared" si="377"/>
        <v>0</v>
      </c>
      <c r="CQ253" s="52">
        <f t="shared" si="375"/>
        <v>0</v>
      </c>
      <c r="CR253" s="52">
        <f t="shared" si="375"/>
        <v>0</v>
      </c>
      <c r="CS253" s="52">
        <f t="shared" si="375"/>
        <v>0</v>
      </c>
      <c r="CT253" s="52">
        <f t="shared" si="375"/>
        <v>0</v>
      </c>
      <c r="CU253" s="52">
        <f t="shared" si="375"/>
        <v>0</v>
      </c>
      <c r="CV253" s="52">
        <f t="shared" si="375"/>
        <v>0</v>
      </c>
      <c r="CW253" s="52">
        <f t="shared" si="375"/>
        <v>0</v>
      </c>
    </row>
    <row r="254" spans="1:102">
      <c r="A254" s="60">
        <v>45176</v>
      </c>
      <c r="B254" s="426"/>
      <c r="Z254" s="77"/>
      <c r="AB254">
        <v>1</v>
      </c>
      <c r="AC254">
        <f t="shared" ref="AC254:AC291" si="378">+IF(AND(C254=0,D254&lt;&gt;0),1,0)</f>
        <v>0</v>
      </c>
      <c r="AD254">
        <f t="shared" ref="AD254:AD291" si="379">+IF(AND(D254=0,E254&lt;&gt;0),1,0)</f>
        <v>0</v>
      </c>
      <c r="AE254">
        <f t="shared" ref="AE254:AE291" si="380">+IF(AND(E254=0,F254&lt;&gt;0),1,0)</f>
        <v>0</v>
      </c>
      <c r="AF254">
        <f t="shared" ref="AF254:AF291" si="381">+IF(AND(F254=0,G254&lt;&gt;0),1,0)</f>
        <v>0</v>
      </c>
      <c r="AG254">
        <f t="shared" ref="AG254:AG291" si="382">+IF(AND(G254=0,H254&lt;&gt;0),1,0)</f>
        <v>0</v>
      </c>
      <c r="AH254">
        <f t="shared" ref="AH254:AH291" si="383">+IF(AND(H254=0,I254&lt;&gt;0),1,0)</f>
        <v>0</v>
      </c>
      <c r="AI254">
        <f t="shared" ref="AI254:AI291" si="384">+IF(AND(I254=0,J254&lt;&gt;0),1,0)</f>
        <v>0</v>
      </c>
      <c r="AJ254">
        <f t="shared" ref="AJ254:AJ291" si="385">+IF(AND(J254=0,K254&lt;&gt;0),1,0)</f>
        <v>0</v>
      </c>
      <c r="AK254">
        <f t="shared" ref="AK254:AK291" si="386">+IF(AND(K254=0,L254&lt;&gt;0),1,0)</f>
        <v>0</v>
      </c>
      <c r="AL254">
        <f t="shared" ref="AL254:AL291" si="387">+IF(AND(L254=0,M254&lt;&gt;0),1,0)</f>
        <v>0</v>
      </c>
      <c r="AM254">
        <f t="shared" ref="AM254:AM291" si="388">+IF(AND(M254=0,N254&lt;&gt;0),1,0)</f>
        <v>0</v>
      </c>
      <c r="AN254">
        <f t="shared" ref="AN254:AN291" si="389">+IF(AND(N254=0,O254&lt;&gt;0),1,0)</f>
        <v>0</v>
      </c>
      <c r="AO254">
        <f t="shared" ref="AO254:AO291" si="390">+IF(AND(O254=0,P254&lt;&gt;0),1,0)</f>
        <v>0</v>
      </c>
      <c r="AP254">
        <f t="shared" ref="AP254:AP291" si="391">+IF(AND(P254=0,Q254&lt;&gt;0),1,0)</f>
        <v>0</v>
      </c>
      <c r="AQ254">
        <f t="shared" ref="AQ254:AQ291" si="392">+IF(AND(Q254=0,R254&lt;&gt;0),1,0)</f>
        <v>0</v>
      </c>
      <c r="AR254">
        <f t="shared" ref="AR254:AR291" si="393">+IF(AND(R254=0,S254&lt;&gt;0),1,0)</f>
        <v>0</v>
      </c>
      <c r="AS254">
        <f t="shared" ref="AS254:AS291" si="394">+IF(AND(S254=0,T254&lt;&gt;0),1,0)</f>
        <v>0</v>
      </c>
      <c r="AT254">
        <f t="shared" ref="AT254:AT291" si="395">+IF(AND(T254=0,U254&lt;&gt;0),1,0)</f>
        <v>0</v>
      </c>
      <c r="AU254">
        <f t="shared" ref="AU254:AU291" si="396">+IF(AND(U254=0,V254&lt;&gt;0),1,0)</f>
        <v>0</v>
      </c>
      <c r="AV254">
        <f t="shared" ref="AV254:AV291" si="397">+IF(AND(V254=0,W254&lt;&gt;0),1,0)</f>
        <v>0</v>
      </c>
      <c r="AW254">
        <f t="shared" ref="AW254:AW291" si="398">+IF(AND(W254=0,X254&lt;&gt;0),1,0)</f>
        <v>0</v>
      </c>
      <c r="AX254">
        <f t="shared" ref="AX254:AX291" si="399">+IF(AND(X254=0,Y254&lt;&gt;0),1,0)</f>
        <v>0</v>
      </c>
      <c r="AY254">
        <f t="shared" si="370"/>
        <v>0</v>
      </c>
      <c r="BA254">
        <f t="shared" si="371"/>
        <v>0</v>
      </c>
      <c r="BB254">
        <f t="shared" si="371"/>
        <v>0</v>
      </c>
      <c r="BC254">
        <f t="shared" si="371"/>
        <v>0</v>
      </c>
      <c r="BD254">
        <f t="shared" si="371"/>
        <v>0</v>
      </c>
      <c r="BE254">
        <f t="shared" si="371"/>
        <v>0</v>
      </c>
      <c r="BF254">
        <f t="shared" si="371"/>
        <v>0</v>
      </c>
      <c r="BG254">
        <f t="shared" si="371"/>
        <v>0</v>
      </c>
      <c r="BH254">
        <f t="shared" si="371"/>
        <v>0</v>
      </c>
      <c r="BI254">
        <f t="shared" si="371"/>
        <v>0</v>
      </c>
      <c r="BJ254">
        <f t="shared" si="371"/>
        <v>0</v>
      </c>
      <c r="BK254">
        <f t="shared" si="372"/>
        <v>0</v>
      </c>
      <c r="BL254">
        <f t="shared" si="372"/>
        <v>0</v>
      </c>
      <c r="BM254">
        <f t="shared" si="372"/>
        <v>0</v>
      </c>
      <c r="BN254">
        <f t="shared" si="372"/>
        <v>0</v>
      </c>
      <c r="BO254">
        <f t="shared" si="372"/>
        <v>0</v>
      </c>
      <c r="BP254">
        <f t="shared" si="372"/>
        <v>0</v>
      </c>
      <c r="BQ254">
        <f t="shared" si="372"/>
        <v>0</v>
      </c>
      <c r="BR254">
        <f t="shared" si="372"/>
        <v>0</v>
      </c>
      <c r="BS254">
        <f t="shared" si="372"/>
        <v>0</v>
      </c>
      <c r="BT254">
        <f t="shared" si="372"/>
        <v>0</v>
      </c>
      <c r="BU254">
        <f t="shared" si="373"/>
        <v>0</v>
      </c>
      <c r="BV254">
        <f t="shared" si="373"/>
        <v>0</v>
      </c>
      <c r="BW254">
        <f t="shared" si="373"/>
        <v>0</v>
      </c>
      <c r="BX254">
        <f t="shared" si="373"/>
        <v>0</v>
      </c>
      <c r="BZ254">
        <f t="shared" si="376"/>
        <v>0</v>
      </c>
      <c r="CA254">
        <f t="shared" si="374"/>
        <v>0</v>
      </c>
      <c r="CB254">
        <f t="shared" si="374"/>
        <v>0</v>
      </c>
      <c r="CC254">
        <f t="shared" si="374"/>
        <v>0</v>
      </c>
      <c r="CD254">
        <f t="shared" si="374"/>
        <v>0</v>
      </c>
      <c r="CE254">
        <f t="shared" si="374"/>
        <v>0</v>
      </c>
      <c r="CF254">
        <f t="shared" si="374"/>
        <v>0</v>
      </c>
      <c r="CG254">
        <f t="shared" si="374"/>
        <v>0</v>
      </c>
      <c r="CH254">
        <f t="shared" si="374"/>
        <v>0</v>
      </c>
      <c r="CI254">
        <f t="shared" si="374"/>
        <v>0</v>
      </c>
      <c r="CJ254">
        <f t="shared" si="374"/>
        <v>0</v>
      </c>
      <c r="CK254">
        <f t="shared" si="374"/>
        <v>0</v>
      </c>
      <c r="CL254">
        <f t="shared" si="374"/>
        <v>0</v>
      </c>
      <c r="CM254">
        <f t="shared" si="374"/>
        <v>0</v>
      </c>
      <c r="CN254">
        <f t="shared" si="374"/>
        <v>0</v>
      </c>
      <c r="CO254">
        <f t="shared" si="374"/>
        <v>0</v>
      </c>
      <c r="CP254">
        <f t="shared" si="377"/>
        <v>0</v>
      </c>
      <c r="CQ254">
        <f t="shared" si="375"/>
        <v>0</v>
      </c>
      <c r="CR254">
        <f t="shared" si="375"/>
        <v>0</v>
      </c>
      <c r="CS254">
        <f t="shared" si="375"/>
        <v>0</v>
      </c>
      <c r="CT254">
        <f t="shared" si="375"/>
        <v>0</v>
      </c>
      <c r="CU254">
        <f t="shared" si="375"/>
        <v>0</v>
      </c>
      <c r="CV254">
        <f t="shared" si="375"/>
        <v>0</v>
      </c>
      <c r="CW254">
        <f t="shared" si="375"/>
        <v>0</v>
      </c>
    </row>
    <row r="255" spans="1:102">
      <c r="A255" s="60">
        <v>45177</v>
      </c>
      <c r="B255" s="426"/>
      <c r="Z255" s="77"/>
      <c r="AB255" s="52">
        <f t="shared" ref="AB255:AB291" si="400">+IF(AND(B255=0,C255&lt;&gt;0),1,0)</f>
        <v>0</v>
      </c>
      <c r="AC255" s="52">
        <f t="shared" si="378"/>
        <v>0</v>
      </c>
      <c r="AD255" s="52">
        <f t="shared" si="379"/>
        <v>0</v>
      </c>
      <c r="AE255" s="52">
        <f t="shared" si="380"/>
        <v>0</v>
      </c>
      <c r="AF255" s="52">
        <f t="shared" si="381"/>
        <v>0</v>
      </c>
      <c r="AG255" s="52">
        <f t="shared" si="382"/>
        <v>0</v>
      </c>
      <c r="AH255" s="52">
        <f t="shared" si="383"/>
        <v>0</v>
      </c>
      <c r="AI255" s="52">
        <f t="shared" si="384"/>
        <v>0</v>
      </c>
      <c r="AJ255" s="52">
        <f t="shared" si="385"/>
        <v>0</v>
      </c>
      <c r="AK255" s="52">
        <f t="shared" si="386"/>
        <v>0</v>
      </c>
      <c r="AL255" s="52">
        <f t="shared" si="387"/>
        <v>0</v>
      </c>
      <c r="AM255" s="52">
        <f t="shared" si="388"/>
        <v>0</v>
      </c>
      <c r="AN255" s="52">
        <f t="shared" si="389"/>
        <v>0</v>
      </c>
      <c r="AO255" s="52">
        <f t="shared" si="390"/>
        <v>0</v>
      </c>
      <c r="AP255" s="52">
        <f t="shared" si="391"/>
        <v>0</v>
      </c>
      <c r="AQ255" s="52">
        <f t="shared" si="392"/>
        <v>0</v>
      </c>
      <c r="AR255" s="52">
        <f t="shared" si="393"/>
        <v>0</v>
      </c>
      <c r="AS255" s="52">
        <f t="shared" si="394"/>
        <v>0</v>
      </c>
      <c r="AT255" s="52">
        <f t="shared" si="395"/>
        <v>0</v>
      </c>
      <c r="AU255" s="52">
        <f t="shared" si="396"/>
        <v>0</v>
      </c>
      <c r="AV255" s="52">
        <f t="shared" si="397"/>
        <v>0</v>
      </c>
      <c r="AW255" s="52">
        <f t="shared" si="398"/>
        <v>0</v>
      </c>
      <c r="AX255" s="52">
        <f t="shared" si="399"/>
        <v>0</v>
      </c>
      <c r="AY255" s="52">
        <f t="shared" si="370"/>
        <v>0</v>
      </c>
      <c r="BA255" s="52">
        <f t="shared" si="371"/>
        <v>0</v>
      </c>
      <c r="BB255" s="52">
        <f t="shared" si="371"/>
        <v>0</v>
      </c>
      <c r="BC255" s="52">
        <f t="shared" si="371"/>
        <v>0</v>
      </c>
      <c r="BD255" s="52">
        <f t="shared" si="371"/>
        <v>0</v>
      </c>
      <c r="BE255" s="52">
        <f t="shared" si="371"/>
        <v>0</v>
      </c>
      <c r="BF255" s="52">
        <f t="shared" si="371"/>
        <v>0</v>
      </c>
      <c r="BG255" s="52">
        <f t="shared" si="371"/>
        <v>0</v>
      </c>
      <c r="BH255" s="52">
        <f t="shared" si="371"/>
        <v>0</v>
      </c>
      <c r="BI255" s="52">
        <f t="shared" si="371"/>
        <v>0</v>
      </c>
      <c r="BJ255" s="52">
        <f t="shared" si="371"/>
        <v>0</v>
      </c>
      <c r="BK255" s="52">
        <f t="shared" si="372"/>
        <v>0</v>
      </c>
      <c r="BL255" s="52">
        <f t="shared" si="372"/>
        <v>0</v>
      </c>
      <c r="BM255" s="52">
        <f t="shared" si="372"/>
        <v>0</v>
      </c>
      <c r="BN255" s="52">
        <f t="shared" si="372"/>
        <v>0</v>
      </c>
      <c r="BO255" s="52">
        <f t="shared" si="372"/>
        <v>0</v>
      </c>
      <c r="BP255" s="52">
        <f t="shared" si="372"/>
        <v>0</v>
      </c>
      <c r="BQ255" s="52">
        <f t="shared" si="372"/>
        <v>0</v>
      </c>
      <c r="BR255" s="52">
        <f t="shared" si="372"/>
        <v>0</v>
      </c>
      <c r="BS255" s="52">
        <f t="shared" si="372"/>
        <v>0</v>
      </c>
      <c r="BT255" s="52">
        <f t="shared" si="372"/>
        <v>0</v>
      </c>
      <c r="BU255" s="52">
        <f t="shared" si="373"/>
        <v>0</v>
      </c>
      <c r="BV255" s="52">
        <f t="shared" si="373"/>
        <v>0</v>
      </c>
      <c r="BW255" s="52">
        <f t="shared" si="373"/>
        <v>0</v>
      </c>
      <c r="BX255" s="52">
        <f t="shared" si="373"/>
        <v>0</v>
      </c>
      <c r="BZ255" s="52">
        <f t="shared" si="376"/>
        <v>0</v>
      </c>
      <c r="CA255" s="52">
        <f t="shared" si="374"/>
        <v>0</v>
      </c>
      <c r="CB255" s="52">
        <f t="shared" si="374"/>
        <v>0</v>
      </c>
      <c r="CC255" s="52">
        <f t="shared" si="374"/>
        <v>0</v>
      </c>
      <c r="CD255" s="52">
        <f t="shared" si="374"/>
        <v>0</v>
      </c>
      <c r="CE255" s="52">
        <f t="shared" si="374"/>
        <v>0</v>
      </c>
      <c r="CF255" s="52">
        <f t="shared" si="374"/>
        <v>0</v>
      </c>
      <c r="CG255" s="52">
        <f t="shared" si="374"/>
        <v>0</v>
      </c>
      <c r="CH255" s="52">
        <f t="shared" si="374"/>
        <v>0</v>
      </c>
      <c r="CI255" s="52">
        <f t="shared" si="374"/>
        <v>0</v>
      </c>
      <c r="CJ255" s="52">
        <f t="shared" si="374"/>
        <v>0</v>
      </c>
      <c r="CK255" s="52">
        <f t="shared" si="374"/>
        <v>0</v>
      </c>
      <c r="CL255" s="52">
        <f t="shared" si="374"/>
        <v>0</v>
      </c>
      <c r="CM255" s="52">
        <f t="shared" si="374"/>
        <v>0</v>
      </c>
      <c r="CN255" s="52">
        <f t="shared" si="374"/>
        <v>0</v>
      </c>
      <c r="CO255" s="52">
        <f t="shared" si="374"/>
        <v>0</v>
      </c>
      <c r="CP255" s="52">
        <f t="shared" si="377"/>
        <v>0</v>
      </c>
      <c r="CQ255" s="52">
        <f t="shared" si="375"/>
        <v>0</v>
      </c>
      <c r="CR255" s="52">
        <f t="shared" si="375"/>
        <v>0</v>
      </c>
      <c r="CS255" s="52">
        <f t="shared" si="375"/>
        <v>0</v>
      </c>
      <c r="CT255" s="52">
        <f t="shared" si="375"/>
        <v>0</v>
      </c>
      <c r="CU255" s="52">
        <f t="shared" si="375"/>
        <v>0</v>
      </c>
      <c r="CV255" s="52">
        <f t="shared" si="375"/>
        <v>0</v>
      </c>
      <c r="CW255" s="52">
        <f t="shared" si="375"/>
        <v>0</v>
      </c>
    </row>
    <row r="256" spans="1:102">
      <c r="A256" s="60">
        <v>45178</v>
      </c>
      <c r="B256" s="426"/>
      <c r="Z256" s="77"/>
      <c r="AB256">
        <f t="shared" si="400"/>
        <v>0</v>
      </c>
      <c r="AC256">
        <f t="shared" si="378"/>
        <v>0</v>
      </c>
      <c r="AD256">
        <f t="shared" si="379"/>
        <v>0</v>
      </c>
      <c r="AE256">
        <f t="shared" si="380"/>
        <v>0</v>
      </c>
      <c r="AF256">
        <f t="shared" si="381"/>
        <v>0</v>
      </c>
      <c r="AG256">
        <f t="shared" si="382"/>
        <v>0</v>
      </c>
      <c r="AH256">
        <f t="shared" si="383"/>
        <v>0</v>
      </c>
      <c r="AI256">
        <f t="shared" si="384"/>
        <v>0</v>
      </c>
      <c r="AJ256">
        <f t="shared" si="385"/>
        <v>0</v>
      </c>
      <c r="AK256">
        <f t="shared" si="386"/>
        <v>0</v>
      </c>
      <c r="AL256">
        <f t="shared" si="387"/>
        <v>0</v>
      </c>
      <c r="AM256">
        <f t="shared" si="388"/>
        <v>0</v>
      </c>
      <c r="AN256">
        <f t="shared" si="389"/>
        <v>0</v>
      </c>
      <c r="AO256">
        <f t="shared" si="390"/>
        <v>0</v>
      </c>
      <c r="AP256">
        <f t="shared" si="391"/>
        <v>0</v>
      </c>
      <c r="AQ256">
        <f t="shared" si="392"/>
        <v>0</v>
      </c>
      <c r="AR256">
        <f t="shared" si="393"/>
        <v>0</v>
      </c>
      <c r="AS256">
        <f t="shared" si="394"/>
        <v>0</v>
      </c>
      <c r="AT256">
        <f t="shared" si="395"/>
        <v>0</v>
      </c>
      <c r="AU256">
        <f t="shared" si="396"/>
        <v>0</v>
      </c>
      <c r="AV256">
        <f t="shared" si="397"/>
        <v>0</v>
      </c>
      <c r="AW256">
        <f t="shared" si="398"/>
        <v>0</v>
      </c>
      <c r="AX256">
        <f t="shared" si="399"/>
        <v>0</v>
      </c>
      <c r="AY256">
        <f t="shared" si="370"/>
        <v>0</v>
      </c>
      <c r="BA256">
        <f t="shared" si="371"/>
        <v>0</v>
      </c>
      <c r="BB256">
        <f t="shared" si="371"/>
        <v>0</v>
      </c>
      <c r="BC256">
        <f t="shared" si="371"/>
        <v>0</v>
      </c>
      <c r="BD256">
        <f t="shared" si="371"/>
        <v>0</v>
      </c>
      <c r="BE256">
        <f t="shared" si="371"/>
        <v>0</v>
      </c>
      <c r="BF256">
        <f t="shared" si="371"/>
        <v>0</v>
      </c>
      <c r="BG256">
        <f t="shared" si="371"/>
        <v>0</v>
      </c>
      <c r="BH256">
        <f t="shared" si="371"/>
        <v>0</v>
      </c>
      <c r="BI256">
        <f t="shared" si="371"/>
        <v>0</v>
      </c>
      <c r="BJ256">
        <f t="shared" si="371"/>
        <v>0</v>
      </c>
      <c r="BK256">
        <f t="shared" si="372"/>
        <v>0</v>
      </c>
      <c r="BL256">
        <f t="shared" si="372"/>
        <v>0</v>
      </c>
      <c r="BM256">
        <f t="shared" si="372"/>
        <v>0</v>
      </c>
      <c r="BN256">
        <f t="shared" si="372"/>
        <v>0</v>
      </c>
      <c r="BO256">
        <f t="shared" si="372"/>
        <v>0</v>
      </c>
      <c r="BP256">
        <f t="shared" si="372"/>
        <v>0</v>
      </c>
      <c r="BQ256">
        <f t="shared" si="372"/>
        <v>0</v>
      </c>
      <c r="BR256">
        <f t="shared" si="372"/>
        <v>0</v>
      </c>
      <c r="BS256">
        <f t="shared" si="372"/>
        <v>0</v>
      </c>
      <c r="BT256">
        <f t="shared" si="372"/>
        <v>0</v>
      </c>
      <c r="BU256">
        <f t="shared" si="373"/>
        <v>0</v>
      </c>
      <c r="BV256">
        <f t="shared" si="373"/>
        <v>0</v>
      </c>
      <c r="BW256">
        <f t="shared" si="373"/>
        <v>0</v>
      </c>
      <c r="BX256">
        <f t="shared" si="373"/>
        <v>0</v>
      </c>
      <c r="BZ256">
        <f t="shared" si="376"/>
        <v>0</v>
      </c>
      <c r="CA256">
        <f t="shared" si="374"/>
        <v>0</v>
      </c>
      <c r="CB256">
        <f t="shared" si="374"/>
        <v>0</v>
      </c>
      <c r="CC256">
        <f t="shared" si="374"/>
        <v>0</v>
      </c>
      <c r="CD256">
        <f t="shared" si="374"/>
        <v>0</v>
      </c>
      <c r="CE256">
        <f t="shared" si="374"/>
        <v>0</v>
      </c>
      <c r="CF256">
        <f t="shared" si="374"/>
        <v>0</v>
      </c>
      <c r="CG256">
        <f t="shared" si="374"/>
        <v>0</v>
      </c>
      <c r="CH256">
        <f t="shared" si="374"/>
        <v>0</v>
      </c>
      <c r="CI256">
        <f t="shared" si="374"/>
        <v>0</v>
      </c>
      <c r="CJ256">
        <f t="shared" si="374"/>
        <v>0</v>
      </c>
      <c r="CK256">
        <f t="shared" si="374"/>
        <v>0</v>
      </c>
      <c r="CL256">
        <f t="shared" si="374"/>
        <v>0</v>
      </c>
      <c r="CM256">
        <f t="shared" si="374"/>
        <v>0</v>
      </c>
      <c r="CN256">
        <f t="shared" si="374"/>
        <v>0</v>
      </c>
      <c r="CO256">
        <f t="shared" si="374"/>
        <v>0</v>
      </c>
      <c r="CP256">
        <f t="shared" si="377"/>
        <v>0</v>
      </c>
      <c r="CQ256">
        <f t="shared" si="375"/>
        <v>0</v>
      </c>
      <c r="CR256">
        <f t="shared" si="375"/>
        <v>0</v>
      </c>
      <c r="CS256">
        <f t="shared" si="375"/>
        <v>0</v>
      </c>
      <c r="CT256">
        <f t="shared" si="375"/>
        <v>0</v>
      </c>
      <c r="CU256">
        <f t="shared" si="375"/>
        <v>0</v>
      </c>
      <c r="CV256">
        <f t="shared" si="375"/>
        <v>0</v>
      </c>
      <c r="CW256">
        <f t="shared" si="375"/>
        <v>0</v>
      </c>
    </row>
    <row r="257" spans="1:101">
      <c r="A257" s="60">
        <v>45179</v>
      </c>
      <c r="B257" s="426"/>
      <c r="Z257" s="77"/>
      <c r="AB257" s="52">
        <f t="shared" si="400"/>
        <v>0</v>
      </c>
      <c r="AC257" s="52">
        <f t="shared" si="378"/>
        <v>0</v>
      </c>
      <c r="AD257" s="52">
        <f t="shared" si="379"/>
        <v>0</v>
      </c>
      <c r="AE257" s="52">
        <f t="shared" si="380"/>
        <v>0</v>
      </c>
      <c r="AF257" s="52">
        <f t="shared" si="381"/>
        <v>0</v>
      </c>
      <c r="AG257" s="52">
        <f t="shared" si="382"/>
        <v>0</v>
      </c>
      <c r="AH257" s="52">
        <f t="shared" si="383"/>
        <v>0</v>
      </c>
      <c r="AI257" s="52">
        <f t="shared" si="384"/>
        <v>0</v>
      </c>
      <c r="AJ257" s="52">
        <f t="shared" si="385"/>
        <v>0</v>
      </c>
      <c r="AK257" s="52">
        <f t="shared" si="386"/>
        <v>0</v>
      </c>
      <c r="AL257" s="52">
        <f t="shared" si="387"/>
        <v>0</v>
      </c>
      <c r="AM257" s="52">
        <f t="shared" si="388"/>
        <v>0</v>
      </c>
      <c r="AN257" s="52">
        <f t="shared" si="389"/>
        <v>0</v>
      </c>
      <c r="AO257" s="52">
        <f t="shared" si="390"/>
        <v>0</v>
      </c>
      <c r="AP257" s="52">
        <f t="shared" si="391"/>
        <v>0</v>
      </c>
      <c r="AQ257" s="52">
        <f t="shared" si="392"/>
        <v>0</v>
      </c>
      <c r="AR257" s="52">
        <f t="shared" si="393"/>
        <v>0</v>
      </c>
      <c r="AS257" s="52">
        <f t="shared" si="394"/>
        <v>0</v>
      </c>
      <c r="AT257" s="52">
        <f t="shared" si="395"/>
        <v>0</v>
      </c>
      <c r="AU257" s="52">
        <f t="shared" si="396"/>
        <v>0</v>
      </c>
      <c r="AV257" s="52">
        <f t="shared" si="397"/>
        <v>0</v>
      </c>
      <c r="AW257" s="52">
        <f t="shared" si="398"/>
        <v>0</v>
      </c>
      <c r="AX257" s="52">
        <f t="shared" si="399"/>
        <v>0</v>
      </c>
      <c r="AY257" s="52">
        <f t="shared" si="370"/>
        <v>0</v>
      </c>
      <c r="BA257" s="52">
        <f t="shared" si="371"/>
        <v>0</v>
      </c>
      <c r="BB257" s="52">
        <f t="shared" si="371"/>
        <v>0</v>
      </c>
      <c r="BC257" s="52">
        <f t="shared" si="371"/>
        <v>0</v>
      </c>
      <c r="BD257" s="52">
        <f t="shared" si="371"/>
        <v>0</v>
      </c>
      <c r="BE257" s="52">
        <f t="shared" si="371"/>
        <v>0</v>
      </c>
      <c r="BF257" s="52">
        <f t="shared" si="371"/>
        <v>0</v>
      </c>
      <c r="BG257" s="52">
        <f t="shared" si="371"/>
        <v>0</v>
      </c>
      <c r="BH257" s="52">
        <f t="shared" si="371"/>
        <v>0</v>
      </c>
      <c r="BI257" s="52">
        <f t="shared" si="371"/>
        <v>0</v>
      </c>
      <c r="BJ257" s="52">
        <f t="shared" si="371"/>
        <v>0</v>
      </c>
      <c r="BK257" s="52">
        <f t="shared" si="372"/>
        <v>0</v>
      </c>
      <c r="BL257" s="52">
        <f t="shared" si="372"/>
        <v>0</v>
      </c>
      <c r="BM257" s="52">
        <f t="shared" si="372"/>
        <v>0</v>
      </c>
      <c r="BN257" s="52">
        <f t="shared" si="372"/>
        <v>0</v>
      </c>
      <c r="BO257" s="52">
        <f t="shared" si="372"/>
        <v>0</v>
      </c>
      <c r="BP257" s="52">
        <f t="shared" si="372"/>
        <v>0</v>
      </c>
      <c r="BQ257" s="52">
        <f t="shared" si="372"/>
        <v>0</v>
      </c>
      <c r="BR257" s="52">
        <f t="shared" si="372"/>
        <v>0</v>
      </c>
      <c r="BS257" s="52">
        <f t="shared" si="372"/>
        <v>0</v>
      </c>
      <c r="BT257" s="52">
        <f t="shared" si="372"/>
        <v>0</v>
      </c>
      <c r="BU257" s="52">
        <f t="shared" si="373"/>
        <v>0</v>
      </c>
      <c r="BV257" s="52">
        <f t="shared" si="373"/>
        <v>0</v>
      </c>
      <c r="BW257" s="52">
        <f t="shared" si="373"/>
        <v>0</v>
      </c>
      <c r="BX257" s="52">
        <f t="shared" si="373"/>
        <v>0</v>
      </c>
      <c r="BZ257" s="52">
        <f t="shared" si="376"/>
        <v>0</v>
      </c>
      <c r="CA257" s="52">
        <f t="shared" si="374"/>
        <v>0</v>
      </c>
      <c r="CB257" s="52">
        <f t="shared" si="374"/>
        <v>0</v>
      </c>
      <c r="CC257" s="52">
        <f t="shared" si="374"/>
        <v>0</v>
      </c>
      <c r="CD257" s="52">
        <f t="shared" si="374"/>
        <v>0</v>
      </c>
      <c r="CE257" s="52">
        <f t="shared" si="374"/>
        <v>0</v>
      </c>
      <c r="CF257" s="52">
        <f t="shared" si="374"/>
        <v>0</v>
      </c>
      <c r="CG257" s="52">
        <f t="shared" si="374"/>
        <v>0</v>
      </c>
      <c r="CH257" s="52">
        <f t="shared" si="374"/>
        <v>0</v>
      </c>
      <c r="CI257" s="52">
        <f t="shared" si="374"/>
        <v>0</v>
      </c>
      <c r="CJ257" s="52">
        <f t="shared" si="374"/>
        <v>0</v>
      </c>
      <c r="CK257" s="52">
        <f t="shared" si="374"/>
        <v>0</v>
      </c>
      <c r="CL257" s="52">
        <f t="shared" si="374"/>
        <v>0</v>
      </c>
      <c r="CM257" s="52">
        <f t="shared" si="374"/>
        <v>0</v>
      </c>
      <c r="CN257" s="52">
        <f t="shared" si="374"/>
        <v>0</v>
      </c>
      <c r="CO257" s="52">
        <f t="shared" si="374"/>
        <v>0</v>
      </c>
      <c r="CP257" s="52">
        <f t="shared" si="377"/>
        <v>0</v>
      </c>
      <c r="CQ257" s="52">
        <f t="shared" si="375"/>
        <v>0</v>
      </c>
      <c r="CR257" s="52">
        <f t="shared" si="375"/>
        <v>0</v>
      </c>
      <c r="CS257" s="52">
        <f t="shared" si="375"/>
        <v>0</v>
      </c>
      <c r="CT257" s="52">
        <f t="shared" si="375"/>
        <v>0</v>
      </c>
      <c r="CU257" s="52">
        <f t="shared" si="375"/>
        <v>0</v>
      </c>
      <c r="CV257" s="52">
        <f t="shared" si="375"/>
        <v>0</v>
      </c>
      <c r="CW257" s="52">
        <f t="shared" si="375"/>
        <v>0</v>
      </c>
    </row>
    <row r="258" spans="1:101">
      <c r="A258" s="60">
        <v>45180</v>
      </c>
      <c r="B258" s="426"/>
      <c r="Z258" s="77"/>
      <c r="AB258">
        <f t="shared" si="400"/>
        <v>0</v>
      </c>
      <c r="AC258">
        <f t="shared" si="378"/>
        <v>0</v>
      </c>
      <c r="AD258">
        <f t="shared" si="379"/>
        <v>0</v>
      </c>
      <c r="AE258">
        <f t="shared" si="380"/>
        <v>0</v>
      </c>
      <c r="AF258">
        <f t="shared" si="381"/>
        <v>0</v>
      </c>
      <c r="AG258">
        <f t="shared" si="382"/>
        <v>0</v>
      </c>
      <c r="AH258">
        <f t="shared" si="383"/>
        <v>0</v>
      </c>
      <c r="AI258">
        <f t="shared" si="384"/>
        <v>0</v>
      </c>
      <c r="AJ258">
        <f t="shared" si="385"/>
        <v>0</v>
      </c>
      <c r="AK258">
        <f t="shared" si="386"/>
        <v>0</v>
      </c>
      <c r="AL258">
        <f t="shared" si="387"/>
        <v>0</v>
      </c>
      <c r="AM258">
        <f t="shared" si="388"/>
        <v>0</v>
      </c>
      <c r="AN258">
        <f t="shared" si="389"/>
        <v>0</v>
      </c>
      <c r="AO258">
        <f t="shared" si="390"/>
        <v>0</v>
      </c>
      <c r="AP258">
        <f t="shared" si="391"/>
        <v>0</v>
      </c>
      <c r="AQ258">
        <f t="shared" si="392"/>
        <v>0</v>
      </c>
      <c r="AR258">
        <f t="shared" si="393"/>
        <v>0</v>
      </c>
      <c r="AS258">
        <f t="shared" si="394"/>
        <v>0</v>
      </c>
      <c r="AT258">
        <f t="shared" si="395"/>
        <v>0</v>
      </c>
      <c r="AU258">
        <f t="shared" si="396"/>
        <v>0</v>
      </c>
      <c r="AV258">
        <f t="shared" si="397"/>
        <v>0</v>
      </c>
      <c r="AW258">
        <f t="shared" si="398"/>
        <v>0</v>
      </c>
      <c r="AX258">
        <f t="shared" si="399"/>
        <v>0</v>
      </c>
      <c r="AY258">
        <f t="shared" si="370"/>
        <v>0</v>
      </c>
      <c r="BA258">
        <f t="shared" si="371"/>
        <v>0</v>
      </c>
      <c r="BB258">
        <f t="shared" si="371"/>
        <v>0</v>
      </c>
      <c r="BC258">
        <f t="shared" si="371"/>
        <v>0</v>
      </c>
      <c r="BD258">
        <f t="shared" si="371"/>
        <v>0</v>
      </c>
      <c r="BE258">
        <f t="shared" si="371"/>
        <v>0</v>
      </c>
      <c r="BF258">
        <f t="shared" si="371"/>
        <v>0</v>
      </c>
      <c r="BG258">
        <f t="shared" si="371"/>
        <v>0</v>
      </c>
      <c r="BH258">
        <f t="shared" si="371"/>
        <v>0</v>
      </c>
      <c r="BI258">
        <f t="shared" si="371"/>
        <v>0</v>
      </c>
      <c r="BJ258">
        <f t="shared" si="371"/>
        <v>0</v>
      </c>
      <c r="BK258">
        <f t="shared" si="372"/>
        <v>0</v>
      </c>
      <c r="BL258">
        <f t="shared" si="372"/>
        <v>0</v>
      </c>
      <c r="BM258">
        <f t="shared" si="372"/>
        <v>0</v>
      </c>
      <c r="BN258">
        <f t="shared" si="372"/>
        <v>0</v>
      </c>
      <c r="BO258">
        <f t="shared" si="372"/>
        <v>0</v>
      </c>
      <c r="BP258">
        <f t="shared" si="372"/>
        <v>0</v>
      </c>
      <c r="BQ258">
        <f t="shared" si="372"/>
        <v>0</v>
      </c>
      <c r="BR258">
        <f t="shared" si="372"/>
        <v>0</v>
      </c>
      <c r="BS258">
        <f t="shared" si="372"/>
        <v>0</v>
      </c>
      <c r="BT258">
        <f t="shared" si="372"/>
        <v>0</v>
      </c>
      <c r="BU258">
        <f t="shared" si="373"/>
        <v>0</v>
      </c>
      <c r="BV258">
        <f t="shared" si="373"/>
        <v>0</v>
      </c>
      <c r="BW258">
        <f t="shared" si="373"/>
        <v>0</v>
      </c>
      <c r="BX258">
        <f t="shared" si="373"/>
        <v>0</v>
      </c>
      <c r="BZ258">
        <f t="shared" si="376"/>
        <v>0</v>
      </c>
      <c r="CA258">
        <f t="shared" si="374"/>
        <v>0</v>
      </c>
      <c r="CB258">
        <f t="shared" si="374"/>
        <v>0</v>
      </c>
      <c r="CC258">
        <f t="shared" si="374"/>
        <v>0</v>
      </c>
      <c r="CD258">
        <f t="shared" si="374"/>
        <v>0</v>
      </c>
      <c r="CE258">
        <f t="shared" si="374"/>
        <v>0</v>
      </c>
      <c r="CF258">
        <f t="shared" si="374"/>
        <v>0</v>
      </c>
      <c r="CG258">
        <f t="shared" si="374"/>
        <v>0</v>
      </c>
      <c r="CH258">
        <f t="shared" si="374"/>
        <v>0</v>
      </c>
      <c r="CI258">
        <f t="shared" si="374"/>
        <v>0</v>
      </c>
      <c r="CJ258">
        <f t="shared" si="374"/>
        <v>0</v>
      </c>
      <c r="CK258">
        <f t="shared" si="374"/>
        <v>0</v>
      </c>
      <c r="CL258">
        <f t="shared" si="374"/>
        <v>0</v>
      </c>
      <c r="CM258">
        <f t="shared" si="374"/>
        <v>0</v>
      </c>
      <c r="CN258">
        <f t="shared" si="374"/>
        <v>0</v>
      </c>
      <c r="CO258">
        <f t="shared" si="374"/>
        <v>0</v>
      </c>
      <c r="CP258">
        <f t="shared" si="377"/>
        <v>0</v>
      </c>
      <c r="CQ258">
        <f t="shared" si="375"/>
        <v>0</v>
      </c>
      <c r="CR258">
        <f t="shared" si="375"/>
        <v>0</v>
      </c>
      <c r="CS258">
        <f t="shared" si="375"/>
        <v>0</v>
      </c>
      <c r="CT258">
        <f t="shared" si="375"/>
        <v>0</v>
      </c>
      <c r="CU258">
        <f t="shared" si="375"/>
        <v>0</v>
      </c>
      <c r="CV258">
        <f t="shared" si="375"/>
        <v>0</v>
      </c>
      <c r="CW258">
        <f t="shared" si="375"/>
        <v>0</v>
      </c>
    </row>
    <row r="259" spans="1:101">
      <c r="A259" s="60">
        <v>45181</v>
      </c>
      <c r="B259" s="426"/>
      <c r="Z259" s="77"/>
      <c r="AB259" s="52">
        <f t="shared" si="400"/>
        <v>0</v>
      </c>
      <c r="AC259" s="52">
        <f t="shared" si="378"/>
        <v>0</v>
      </c>
      <c r="AD259" s="52">
        <f t="shared" si="379"/>
        <v>0</v>
      </c>
      <c r="AE259" s="52">
        <f t="shared" si="380"/>
        <v>0</v>
      </c>
      <c r="AF259" s="52">
        <f t="shared" si="381"/>
        <v>0</v>
      </c>
      <c r="AG259" s="52">
        <f t="shared" si="382"/>
        <v>0</v>
      </c>
      <c r="AH259" s="52">
        <f t="shared" si="383"/>
        <v>0</v>
      </c>
      <c r="AI259" s="52">
        <f t="shared" si="384"/>
        <v>0</v>
      </c>
      <c r="AJ259" s="52">
        <f t="shared" si="385"/>
        <v>0</v>
      </c>
      <c r="AK259" s="52">
        <f t="shared" si="386"/>
        <v>0</v>
      </c>
      <c r="AL259" s="52">
        <f t="shared" si="387"/>
        <v>0</v>
      </c>
      <c r="AM259" s="52">
        <f t="shared" si="388"/>
        <v>0</v>
      </c>
      <c r="AN259" s="52">
        <f t="shared" si="389"/>
        <v>0</v>
      </c>
      <c r="AO259" s="52">
        <f t="shared" si="390"/>
        <v>0</v>
      </c>
      <c r="AP259" s="52">
        <f t="shared" si="391"/>
        <v>0</v>
      </c>
      <c r="AQ259" s="52">
        <f t="shared" si="392"/>
        <v>0</v>
      </c>
      <c r="AR259" s="52">
        <f t="shared" si="393"/>
        <v>0</v>
      </c>
      <c r="AS259" s="52">
        <f t="shared" si="394"/>
        <v>0</v>
      </c>
      <c r="AT259" s="52">
        <f t="shared" si="395"/>
        <v>0</v>
      </c>
      <c r="AU259" s="52">
        <f t="shared" si="396"/>
        <v>0</v>
      </c>
      <c r="AV259" s="52">
        <f t="shared" si="397"/>
        <v>0</v>
      </c>
      <c r="AW259" s="52">
        <f t="shared" si="398"/>
        <v>0</v>
      </c>
      <c r="AX259" s="52">
        <f t="shared" si="399"/>
        <v>0</v>
      </c>
      <c r="AY259" s="52">
        <f t="shared" si="370"/>
        <v>0</v>
      </c>
      <c r="BA259" s="52">
        <f t="shared" si="371"/>
        <v>0</v>
      </c>
      <c r="BB259" s="52">
        <f t="shared" si="371"/>
        <v>0</v>
      </c>
      <c r="BC259" s="52">
        <f t="shared" si="371"/>
        <v>0</v>
      </c>
      <c r="BD259" s="52">
        <f t="shared" si="371"/>
        <v>0</v>
      </c>
      <c r="BE259" s="52">
        <f t="shared" si="371"/>
        <v>0</v>
      </c>
      <c r="BF259" s="52">
        <f t="shared" si="371"/>
        <v>0</v>
      </c>
      <c r="BG259" s="52">
        <f t="shared" si="371"/>
        <v>0</v>
      </c>
      <c r="BH259" s="52">
        <f t="shared" si="371"/>
        <v>0</v>
      </c>
      <c r="BI259" s="52">
        <f t="shared" si="371"/>
        <v>0</v>
      </c>
      <c r="BJ259" s="52">
        <f t="shared" si="371"/>
        <v>0</v>
      </c>
      <c r="BK259" s="52">
        <f t="shared" si="372"/>
        <v>0</v>
      </c>
      <c r="BL259" s="52">
        <f t="shared" si="372"/>
        <v>0</v>
      </c>
      <c r="BM259" s="52">
        <f t="shared" si="372"/>
        <v>0</v>
      </c>
      <c r="BN259" s="52">
        <f t="shared" si="372"/>
        <v>0</v>
      </c>
      <c r="BO259" s="52">
        <f t="shared" si="372"/>
        <v>0</v>
      </c>
      <c r="BP259" s="52">
        <f t="shared" si="372"/>
        <v>0</v>
      </c>
      <c r="BQ259" s="52">
        <f t="shared" si="372"/>
        <v>0</v>
      </c>
      <c r="BR259" s="52">
        <f t="shared" si="372"/>
        <v>0</v>
      </c>
      <c r="BS259" s="52">
        <f t="shared" si="372"/>
        <v>0</v>
      </c>
      <c r="BT259" s="52">
        <f t="shared" si="372"/>
        <v>0</v>
      </c>
      <c r="BU259" s="52">
        <f t="shared" si="373"/>
        <v>0</v>
      </c>
      <c r="BV259" s="52">
        <f t="shared" si="373"/>
        <v>0</v>
      </c>
      <c r="BW259" s="52">
        <f t="shared" si="373"/>
        <v>0</v>
      </c>
      <c r="BX259" s="52">
        <f t="shared" si="373"/>
        <v>0</v>
      </c>
      <c r="BZ259" s="52">
        <f t="shared" si="376"/>
        <v>0</v>
      </c>
      <c r="CA259" s="52">
        <f t="shared" si="374"/>
        <v>0</v>
      </c>
      <c r="CB259" s="52">
        <f t="shared" si="374"/>
        <v>0</v>
      </c>
      <c r="CC259" s="52">
        <f t="shared" si="374"/>
        <v>0</v>
      </c>
      <c r="CD259" s="52">
        <f t="shared" si="374"/>
        <v>0</v>
      </c>
      <c r="CE259" s="52">
        <f t="shared" si="374"/>
        <v>0</v>
      </c>
      <c r="CF259" s="52">
        <f t="shared" si="374"/>
        <v>0</v>
      </c>
      <c r="CG259" s="52">
        <f t="shared" si="374"/>
        <v>0</v>
      </c>
      <c r="CH259" s="52">
        <f t="shared" si="374"/>
        <v>0</v>
      </c>
      <c r="CI259" s="52">
        <f t="shared" si="374"/>
        <v>0</v>
      </c>
      <c r="CJ259" s="52">
        <f t="shared" si="374"/>
        <v>0</v>
      </c>
      <c r="CK259" s="52">
        <f t="shared" si="374"/>
        <v>0</v>
      </c>
      <c r="CL259" s="52">
        <f t="shared" si="374"/>
        <v>0</v>
      </c>
      <c r="CM259" s="52">
        <f t="shared" si="374"/>
        <v>0</v>
      </c>
      <c r="CN259" s="52">
        <f t="shared" si="374"/>
        <v>0</v>
      </c>
      <c r="CO259" s="52">
        <f t="shared" si="374"/>
        <v>0</v>
      </c>
      <c r="CP259" s="52">
        <f t="shared" si="377"/>
        <v>0</v>
      </c>
      <c r="CQ259" s="52">
        <f t="shared" si="375"/>
        <v>0</v>
      </c>
      <c r="CR259" s="52">
        <f t="shared" si="375"/>
        <v>0</v>
      </c>
      <c r="CS259" s="52">
        <f t="shared" si="375"/>
        <v>0</v>
      </c>
      <c r="CT259" s="52">
        <f t="shared" si="375"/>
        <v>0</v>
      </c>
      <c r="CU259" s="52">
        <f t="shared" si="375"/>
        <v>0</v>
      </c>
      <c r="CV259" s="52">
        <f t="shared" si="375"/>
        <v>0</v>
      </c>
      <c r="CW259" s="52">
        <f t="shared" si="375"/>
        <v>0</v>
      </c>
    </row>
    <row r="260" spans="1:101">
      <c r="A260" s="60">
        <v>45182</v>
      </c>
      <c r="B260" s="426"/>
      <c r="Z260" s="77"/>
      <c r="AB260">
        <f t="shared" si="400"/>
        <v>0</v>
      </c>
      <c r="AC260">
        <f t="shared" si="378"/>
        <v>0</v>
      </c>
      <c r="AD260">
        <f t="shared" si="379"/>
        <v>0</v>
      </c>
      <c r="AE260">
        <f t="shared" si="380"/>
        <v>0</v>
      </c>
      <c r="AF260">
        <f t="shared" si="381"/>
        <v>0</v>
      </c>
      <c r="AG260">
        <f t="shared" si="382"/>
        <v>0</v>
      </c>
      <c r="AH260">
        <f t="shared" si="383"/>
        <v>0</v>
      </c>
      <c r="AI260">
        <f t="shared" si="384"/>
        <v>0</v>
      </c>
      <c r="AJ260">
        <f t="shared" si="385"/>
        <v>0</v>
      </c>
      <c r="AK260">
        <f t="shared" si="386"/>
        <v>0</v>
      </c>
      <c r="AL260">
        <f t="shared" si="387"/>
        <v>0</v>
      </c>
      <c r="AM260">
        <f t="shared" si="388"/>
        <v>0</v>
      </c>
      <c r="AN260">
        <f t="shared" si="389"/>
        <v>0</v>
      </c>
      <c r="AO260">
        <f t="shared" si="390"/>
        <v>0</v>
      </c>
      <c r="AP260">
        <f t="shared" si="391"/>
        <v>0</v>
      </c>
      <c r="AQ260">
        <f t="shared" si="392"/>
        <v>0</v>
      </c>
      <c r="AR260">
        <f t="shared" si="393"/>
        <v>0</v>
      </c>
      <c r="AS260">
        <f t="shared" si="394"/>
        <v>0</v>
      </c>
      <c r="AT260">
        <f t="shared" si="395"/>
        <v>0</v>
      </c>
      <c r="AU260">
        <f t="shared" si="396"/>
        <v>0</v>
      </c>
      <c r="AV260">
        <f t="shared" si="397"/>
        <v>0</v>
      </c>
      <c r="AW260">
        <f t="shared" si="398"/>
        <v>0</v>
      </c>
      <c r="AX260">
        <f t="shared" si="399"/>
        <v>0</v>
      </c>
      <c r="AY260">
        <f t="shared" si="370"/>
        <v>0</v>
      </c>
      <c r="BA260">
        <f t="shared" si="371"/>
        <v>0</v>
      </c>
      <c r="BB260">
        <f t="shared" si="371"/>
        <v>0</v>
      </c>
      <c r="BC260">
        <f t="shared" si="371"/>
        <v>0</v>
      </c>
      <c r="BD260">
        <f t="shared" si="371"/>
        <v>0</v>
      </c>
      <c r="BE260">
        <f t="shared" si="371"/>
        <v>0</v>
      </c>
      <c r="BF260">
        <f t="shared" si="371"/>
        <v>0</v>
      </c>
      <c r="BG260">
        <f t="shared" si="371"/>
        <v>0</v>
      </c>
      <c r="BH260">
        <f t="shared" si="371"/>
        <v>0</v>
      </c>
      <c r="BI260">
        <f t="shared" si="371"/>
        <v>0</v>
      </c>
      <c r="BJ260">
        <f t="shared" si="371"/>
        <v>0</v>
      </c>
      <c r="BK260">
        <f t="shared" si="372"/>
        <v>0</v>
      </c>
      <c r="BL260">
        <f t="shared" si="372"/>
        <v>0</v>
      </c>
      <c r="BM260">
        <f t="shared" si="372"/>
        <v>0</v>
      </c>
      <c r="BN260">
        <f t="shared" si="372"/>
        <v>0</v>
      </c>
      <c r="BO260">
        <f t="shared" si="372"/>
        <v>0</v>
      </c>
      <c r="BP260">
        <f t="shared" si="372"/>
        <v>0</v>
      </c>
      <c r="BQ260">
        <f t="shared" si="372"/>
        <v>0</v>
      </c>
      <c r="BR260">
        <f t="shared" si="372"/>
        <v>0</v>
      </c>
      <c r="BS260">
        <f t="shared" si="372"/>
        <v>0</v>
      </c>
      <c r="BT260">
        <f t="shared" si="372"/>
        <v>0</v>
      </c>
      <c r="BU260">
        <f t="shared" si="373"/>
        <v>0</v>
      </c>
      <c r="BV260">
        <f t="shared" si="373"/>
        <v>0</v>
      </c>
      <c r="BW260">
        <f t="shared" si="373"/>
        <v>0</v>
      </c>
      <c r="BX260">
        <f t="shared" si="373"/>
        <v>0</v>
      </c>
      <c r="BZ260">
        <f t="shared" si="376"/>
        <v>0</v>
      </c>
      <c r="CA260">
        <f t="shared" si="374"/>
        <v>0</v>
      </c>
      <c r="CB260">
        <f t="shared" si="374"/>
        <v>0</v>
      </c>
      <c r="CC260">
        <f t="shared" si="374"/>
        <v>0</v>
      </c>
      <c r="CD260">
        <f t="shared" si="374"/>
        <v>0</v>
      </c>
      <c r="CE260">
        <f t="shared" si="374"/>
        <v>0</v>
      </c>
      <c r="CF260">
        <f t="shared" si="374"/>
        <v>0</v>
      </c>
      <c r="CG260">
        <f t="shared" si="374"/>
        <v>0</v>
      </c>
      <c r="CH260">
        <f t="shared" si="374"/>
        <v>0</v>
      </c>
      <c r="CI260">
        <f t="shared" si="374"/>
        <v>0</v>
      </c>
      <c r="CJ260">
        <f t="shared" si="374"/>
        <v>0</v>
      </c>
      <c r="CK260">
        <f t="shared" si="374"/>
        <v>0</v>
      </c>
      <c r="CL260">
        <f t="shared" si="374"/>
        <v>0</v>
      </c>
      <c r="CM260">
        <f t="shared" si="374"/>
        <v>0</v>
      </c>
      <c r="CN260">
        <f t="shared" si="374"/>
        <v>0</v>
      </c>
      <c r="CO260">
        <f t="shared" si="374"/>
        <v>0</v>
      </c>
      <c r="CP260">
        <f t="shared" si="377"/>
        <v>0</v>
      </c>
      <c r="CQ260">
        <f t="shared" si="375"/>
        <v>0</v>
      </c>
      <c r="CR260">
        <f t="shared" si="375"/>
        <v>0</v>
      </c>
      <c r="CS260">
        <f t="shared" si="375"/>
        <v>0</v>
      </c>
      <c r="CT260">
        <f t="shared" si="375"/>
        <v>0</v>
      </c>
      <c r="CU260">
        <f t="shared" si="375"/>
        <v>0</v>
      </c>
      <c r="CV260">
        <f t="shared" si="375"/>
        <v>0</v>
      </c>
      <c r="CW260">
        <f t="shared" si="375"/>
        <v>0</v>
      </c>
    </row>
    <row r="261" spans="1:101">
      <c r="A261" s="60">
        <v>45183</v>
      </c>
      <c r="B261" s="426"/>
      <c r="Z261" s="77"/>
      <c r="AB261" s="52">
        <f t="shared" si="400"/>
        <v>0</v>
      </c>
      <c r="AC261" s="52">
        <f t="shared" si="378"/>
        <v>0</v>
      </c>
      <c r="AD261" s="52">
        <f t="shared" si="379"/>
        <v>0</v>
      </c>
      <c r="AE261" s="52">
        <f t="shared" si="380"/>
        <v>0</v>
      </c>
      <c r="AF261" s="52">
        <f t="shared" si="381"/>
        <v>0</v>
      </c>
      <c r="AG261" s="52">
        <f t="shared" si="382"/>
        <v>0</v>
      </c>
      <c r="AH261" s="52">
        <f t="shared" si="383"/>
        <v>0</v>
      </c>
      <c r="AI261" s="52">
        <f t="shared" si="384"/>
        <v>0</v>
      </c>
      <c r="AJ261" s="52">
        <f t="shared" si="385"/>
        <v>0</v>
      </c>
      <c r="AK261" s="52">
        <f t="shared" si="386"/>
        <v>0</v>
      </c>
      <c r="AL261" s="52">
        <f t="shared" si="387"/>
        <v>0</v>
      </c>
      <c r="AM261" s="52">
        <f t="shared" si="388"/>
        <v>0</v>
      </c>
      <c r="AN261" s="52">
        <f t="shared" si="389"/>
        <v>0</v>
      </c>
      <c r="AO261" s="52">
        <f t="shared" si="390"/>
        <v>0</v>
      </c>
      <c r="AP261" s="52">
        <f t="shared" si="391"/>
        <v>0</v>
      </c>
      <c r="AQ261" s="52">
        <f t="shared" si="392"/>
        <v>0</v>
      </c>
      <c r="AR261" s="52">
        <f t="shared" si="393"/>
        <v>0</v>
      </c>
      <c r="AS261" s="52">
        <f t="shared" si="394"/>
        <v>0</v>
      </c>
      <c r="AT261" s="52">
        <f t="shared" si="395"/>
        <v>0</v>
      </c>
      <c r="AU261" s="52">
        <f t="shared" si="396"/>
        <v>0</v>
      </c>
      <c r="AV261" s="52">
        <f t="shared" si="397"/>
        <v>0</v>
      </c>
      <c r="AW261" s="52">
        <f t="shared" si="398"/>
        <v>0</v>
      </c>
      <c r="AX261" s="52">
        <f t="shared" si="399"/>
        <v>0</v>
      </c>
      <c r="AY261" s="52">
        <f t="shared" si="370"/>
        <v>0</v>
      </c>
      <c r="BA261" s="52">
        <f t="shared" si="371"/>
        <v>0</v>
      </c>
      <c r="BB261" s="52">
        <f t="shared" si="371"/>
        <v>0</v>
      </c>
      <c r="BC261" s="52">
        <f t="shared" si="371"/>
        <v>0</v>
      </c>
      <c r="BD261" s="52">
        <f t="shared" si="371"/>
        <v>0</v>
      </c>
      <c r="BE261" s="52">
        <f t="shared" si="371"/>
        <v>0</v>
      </c>
      <c r="BF261" s="52">
        <f t="shared" si="371"/>
        <v>0</v>
      </c>
      <c r="BG261" s="52">
        <f t="shared" si="371"/>
        <v>0</v>
      </c>
      <c r="BH261" s="52">
        <f t="shared" si="371"/>
        <v>0</v>
      </c>
      <c r="BI261" s="52">
        <f t="shared" si="371"/>
        <v>0</v>
      </c>
      <c r="BJ261" s="52">
        <f t="shared" si="371"/>
        <v>0</v>
      </c>
      <c r="BK261" s="52">
        <f t="shared" si="372"/>
        <v>0</v>
      </c>
      <c r="BL261" s="52">
        <f t="shared" si="372"/>
        <v>0</v>
      </c>
      <c r="BM261" s="52">
        <f t="shared" si="372"/>
        <v>0</v>
      </c>
      <c r="BN261" s="52">
        <f t="shared" si="372"/>
        <v>0</v>
      </c>
      <c r="BO261" s="52">
        <f t="shared" si="372"/>
        <v>0</v>
      </c>
      <c r="BP261" s="52">
        <f t="shared" si="372"/>
        <v>0</v>
      </c>
      <c r="BQ261" s="52">
        <f t="shared" si="372"/>
        <v>0</v>
      </c>
      <c r="BR261" s="52">
        <f t="shared" si="372"/>
        <v>0</v>
      </c>
      <c r="BS261" s="52">
        <f t="shared" si="372"/>
        <v>0</v>
      </c>
      <c r="BT261" s="52">
        <f t="shared" si="372"/>
        <v>0</v>
      </c>
      <c r="BU261" s="52">
        <f t="shared" si="373"/>
        <v>0</v>
      </c>
      <c r="BV261" s="52">
        <f t="shared" si="373"/>
        <v>0</v>
      </c>
      <c r="BW261" s="52">
        <f t="shared" si="373"/>
        <v>0</v>
      </c>
      <c r="BX261" s="52">
        <f t="shared" si="373"/>
        <v>0</v>
      </c>
      <c r="BZ261" s="52">
        <f t="shared" si="376"/>
        <v>0</v>
      </c>
      <c r="CA261" s="52">
        <f t="shared" si="374"/>
        <v>0</v>
      </c>
      <c r="CB261" s="52">
        <f t="shared" si="374"/>
        <v>0</v>
      </c>
      <c r="CC261" s="52">
        <f t="shared" si="374"/>
        <v>0</v>
      </c>
      <c r="CD261" s="52">
        <f t="shared" si="374"/>
        <v>0</v>
      </c>
      <c r="CE261" s="52">
        <f t="shared" si="374"/>
        <v>0</v>
      </c>
      <c r="CF261" s="52">
        <f t="shared" si="374"/>
        <v>0</v>
      </c>
      <c r="CG261" s="52">
        <f t="shared" si="374"/>
        <v>0</v>
      </c>
      <c r="CH261" s="52">
        <f t="shared" si="374"/>
        <v>0</v>
      </c>
      <c r="CI261" s="52">
        <f t="shared" si="374"/>
        <v>0</v>
      </c>
      <c r="CJ261" s="52">
        <f t="shared" si="374"/>
        <v>0</v>
      </c>
      <c r="CK261" s="52">
        <f t="shared" si="374"/>
        <v>0</v>
      </c>
      <c r="CL261" s="52">
        <f t="shared" si="374"/>
        <v>0</v>
      </c>
      <c r="CM261" s="52">
        <f t="shared" si="374"/>
        <v>0</v>
      </c>
      <c r="CN261" s="52">
        <f t="shared" si="374"/>
        <v>0</v>
      </c>
      <c r="CO261" s="52">
        <f t="shared" si="374"/>
        <v>0</v>
      </c>
      <c r="CP261" s="52">
        <f t="shared" si="377"/>
        <v>0</v>
      </c>
      <c r="CQ261" s="52">
        <f t="shared" si="375"/>
        <v>0</v>
      </c>
      <c r="CR261" s="52">
        <f t="shared" si="375"/>
        <v>0</v>
      </c>
      <c r="CS261" s="52">
        <f t="shared" si="375"/>
        <v>0</v>
      </c>
      <c r="CT261" s="52">
        <f t="shared" si="375"/>
        <v>0</v>
      </c>
      <c r="CU261" s="52">
        <f t="shared" si="375"/>
        <v>0</v>
      </c>
      <c r="CV261" s="52">
        <f t="shared" si="375"/>
        <v>0</v>
      </c>
      <c r="CW261" s="52">
        <f t="shared" si="375"/>
        <v>0</v>
      </c>
    </row>
    <row r="262" spans="1:101">
      <c r="A262" s="60">
        <v>45184</v>
      </c>
      <c r="B262" s="426"/>
      <c r="Z262" s="77"/>
      <c r="AB262">
        <f t="shared" si="400"/>
        <v>0</v>
      </c>
      <c r="AC262">
        <f t="shared" si="378"/>
        <v>0</v>
      </c>
      <c r="AD262">
        <f t="shared" si="379"/>
        <v>0</v>
      </c>
      <c r="AE262">
        <f t="shared" si="380"/>
        <v>0</v>
      </c>
      <c r="AF262">
        <f t="shared" si="381"/>
        <v>0</v>
      </c>
      <c r="AG262">
        <f t="shared" si="382"/>
        <v>0</v>
      </c>
      <c r="AH262">
        <f t="shared" si="383"/>
        <v>0</v>
      </c>
      <c r="AI262">
        <f t="shared" si="384"/>
        <v>0</v>
      </c>
      <c r="AJ262">
        <f t="shared" si="385"/>
        <v>0</v>
      </c>
      <c r="AK262">
        <f t="shared" si="386"/>
        <v>0</v>
      </c>
      <c r="AL262">
        <f t="shared" si="387"/>
        <v>0</v>
      </c>
      <c r="AM262">
        <f t="shared" si="388"/>
        <v>0</v>
      </c>
      <c r="AN262">
        <f t="shared" si="389"/>
        <v>0</v>
      </c>
      <c r="AO262">
        <f t="shared" si="390"/>
        <v>0</v>
      </c>
      <c r="AP262">
        <f t="shared" si="391"/>
        <v>0</v>
      </c>
      <c r="AQ262">
        <f t="shared" si="392"/>
        <v>0</v>
      </c>
      <c r="AR262">
        <f t="shared" si="393"/>
        <v>0</v>
      </c>
      <c r="AS262">
        <f t="shared" si="394"/>
        <v>0</v>
      </c>
      <c r="AT262">
        <f t="shared" si="395"/>
        <v>0</v>
      </c>
      <c r="AU262">
        <f t="shared" si="396"/>
        <v>0</v>
      </c>
      <c r="AV262">
        <f t="shared" si="397"/>
        <v>0</v>
      </c>
      <c r="AW262">
        <f t="shared" si="398"/>
        <v>0</v>
      </c>
      <c r="AX262">
        <f t="shared" si="399"/>
        <v>0</v>
      </c>
      <c r="AY262">
        <f t="shared" si="370"/>
        <v>0</v>
      </c>
      <c r="BA262">
        <f t="shared" si="371"/>
        <v>0</v>
      </c>
      <c r="BB262">
        <f t="shared" si="371"/>
        <v>0</v>
      </c>
      <c r="BC262">
        <f t="shared" si="371"/>
        <v>0</v>
      </c>
      <c r="BD262">
        <f t="shared" si="371"/>
        <v>0</v>
      </c>
      <c r="BE262">
        <f t="shared" si="371"/>
        <v>0</v>
      </c>
      <c r="BF262">
        <f t="shared" si="371"/>
        <v>0</v>
      </c>
      <c r="BG262">
        <f t="shared" si="371"/>
        <v>0</v>
      </c>
      <c r="BH262">
        <f t="shared" si="371"/>
        <v>0</v>
      </c>
      <c r="BI262">
        <f t="shared" si="371"/>
        <v>0</v>
      </c>
      <c r="BJ262">
        <f t="shared" si="371"/>
        <v>0</v>
      </c>
      <c r="BK262">
        <f t="shared" si="372"/>
        <v>0</v>
      </c>
      <c r="BL262">
        <f t="shared" si="372"/>
        <v>0</v>
      </c>
      <c r="BM262">
        <f t="shared" si="372"/>
        <v>0</v>
      </c>
      <c r="BN262">
        <f t="shared" si="372"/>
        <v>0</v>
      </c>
      <c r="BO262">
        <f t="shared" si="372"/>
        <v>0</v>
      </c>
      <c r="BP262">
        <f t="shared" si="372"/>
        <v>0</v>
      </c>
      <c r="BQ262">
        <f t="shared" si="372"/>
        <v>0</v>
      </c>
      <c r="BR262">
        <f t="shared" si="372"/>
        <v>0</v>
      </c>
      <c r="BS262">
        <f t="shared" si="372"/>
        <v>0</v>
      </c>
      <c r="BT262">
        <f t="shared" si="372"/>
        <v>0</v>
      </c>
      <c r="BU262">
        <f t="shared" si="373"/>
        <v>0</v>
      </c>
      <c r="BV262">
        <f t="shared" si="373"/>
        <v>0</v>
      </c>
      <c r="BW262">
        <f t="shared" si="373"/>
        <v>0</v>
      </c>
      <c r="BX262">
        <f t="shared" si="373"/>
        <v>0</v>
      </c>
      <c r="BZ262">
        <f t="shared" si="376"/>
        <v>0</v>
      </c>
      <c r="CA262">
        <f t="shared" si="374"/>
        <v>0</v>
      </c>
      <c r="CB262">
        <f t="shared" si="374"/>
        <v>0</v>
      </c>
      <c r="CC262">
        <f t="shared" si="374"/>
        <v>0</v>
      </c>
      <c r="CD262">
        <f t="shared" si="374"/>
        <v>0</v>
      </c>
      <c r="CE262">
        <f t="shared" si="374"/>
        <v>0</v>
      </c>
      <c r="CF262">
        <f t="shared" si="374"/>
        <v>0</v>
      </c>
      <c r="CG262">
        <f t="shared" si="374"/>
        <v>0</v>
      </c>
      <c r="CH262">
        <f t="shared" si="374"/>
        <v>0</v>
      </c>
      <c r="CI262">
        <f t="shared" si="374"/>
        <v>0</v>
      </c>
      <c r="CJ262">
        <f t="shared" si="374"/>
        <v>0</v>
      </c>
      <c r="CK262">
        <f t="shared" si="374"/>
        <v>0</v>
      </c>
      <c r="CL262">
        <f t="shared" si="374"/>
        <v>0</v>
      </c>
      <c r="CM262">
        <f t="shared" si="374"/>
        <v>0</v>
      </c>
      <c r="CN262">
        <f t="shared" si="374"/>
        <v>0</v>
      </c>
      <c r="CO262">
        <f t="shared" si="374"/>
        <v>0</v>
      </c>
      <c r="CP262">
        <f t="shared" si="374"/>
        <v>0</v>
      </c>
      <c r="CQ262">
        <f t="shared" si="375"/>
        <v>0</v>
      </c>
      <c r="CR262">
        <f t="shared" si="375"/>
        <v>0</v>
      </c>
      <c r="CS262">
        <f t="shared" si="375"/>
        <v>0</v>
      </c>
      <c r="CT262">
        <f t="shared" si="375"/>
        <v>0</v>
      </c>
      <c r="CU262">
        <f t="shared" si="375"/>
        <v>0</v>
      </c>
      <c r="CV262">
        <f t="shared" si="375"/>
        <v>0</v>
      </c>
      <c r="CW262">
        <f t="shared" si="375"/>
        <v>0</v>
      </c>
    </row>
    <row r="263" spans="1:101">
      <c r="A263" s="60">
        <v>45185</v>
      </c>
      <c r="B263" s="426"/>
      <c r="Z263" s="77"/>
      <c r="AB263" s="52">
        <f t="shared" si="400"/>
        <v>0</v>
      </c>
      <c r="AC263" s="52">
        <f t="shared" si="378"/>
        <v>0</v>
      </c>
      <c r="AD263" s="52">
        <f t="shared" si="379"/>
        <v>0</v>
      </c>
      <c r="AE263" s="52">
        <f t="shared" si="380"/>
        <v>0</v>
      </c>
      <c r="AF263" s="52">
        <f t="shared" si="381"/>
        <v>0</v>
      </c>
      <c r="AG263" s="52">
        <f t="shared" si="382"/>
        <v>0</v>
      </c>
      <c r="AH263" s="52">
        <f t="shared" si="383"/>
        <v>0</v>
      </c>
      <c r="AI263" s="52">
        <f t="shared" si="384"/>
        <v>0</v>
      </c>
      <c r="AJ263" s="52">
        <f t="shared" si="385"/>
        <v>0</v>
      </c>
      <c r="AK263" s="52">
        <f t="shared" si="386"/>
        <v>0</v>
      </c>
      <c r="AL263" s="52">
        <f t="shared" si="387"/>
        <v>0</v>
      </c>
      <c r="AM263" s="52">
        <f t="shared" si="388"/>
        <v>0</v>
      </c>
      <c r="AN263" s="52">
        <f t="shared" si="389"/>
        <v>0</v>
      </c>
      <c r="AO263" s="52">
        <f t="shared" si="390"/>
        <v>0</v>
      </c>
      <c r="AP263" s="52">
        <f t="shared" si="391"/>
        <v>0</v>
      </c>
      <c r="AQ263" s="52">
        <f t="shared" si="392"/>
        <v>0</v>
      </c>
      <c r="AR263" s="52">
        <f t="shared" si="393"/>
        <v>0</v>
      </c>
      <c r="AS263" s="52">
        <f t="shared" si="394"/>
        <v>0</v>
      </c>
      <c r="AT263" s="52">
        <f t="shared" si="395"/>
        <v>0</v>
      </c>
      <c r="AU263" s="52">
        <f t="shared" si="396"/>
        <v>0</v>
      </c>
      <c r="AV263" s="52">
        <f t="shared" si="397"/>
        <v>0</v>
      </c>
      <c r="AW263" s="52">
        <f t="shared" si="398"/>
        <v>0</v>
      </c>
      <c r="AX263" s="52">
        <f t="shared" si="399"/>
        <v>0</v>
      </c>
      <c r="AY263" s="52">
        <f t="shared" si="370"/>
        <v>0</v>
      </c>
      <c r="BA263" s="52">
        <f t="shared" ref="BA263:BA290" si="401">+ROUNDUP(B263/8800,0)</f>
        <v>0</v>
      </c>
      <c r="BB263" s="52">
        <f t="shared" ref="BB263:BB290" si="402">+ROUNDUP(C263/8800,0)</f>
        <v>0</v>
      </c>
      <c r="BC263" s="52">
        <f t="shared" ref="BC263:BC290" si="403">+ROUNDUP(D263/8800,0)</f>
        <v>0</v>
      </c>
      <c r="BD263" s="52">
        <f t="shared" ref="BD263:BD290" si="404">+ROUNDUP(E263/8800,0)</f>
        <v>0</v>
      </c>
      <c r="BE263" s="52">
        <f t="shared" ref="BE263:BE290" si="405">+ROUNDUP(F263/8800,0)</f>
        <v>0</v>
      </c>
      <c r="BF263" s="52">
        <f t="shared" ref="BF263:BF290" si="406">+ROUNDUP(G263/8800,0)</f>
        <v>0</v>
      </c>
      <c r="BG263" s="52">
        <f t="shared" ref="BG263:BG290" si="407">+ROUNDUP(H263/8800,0)</f>
        <v>0</v>
      </c>
      <c r="BH263" s="52">
        <f t="shared" ref="BH263:BH290" si="408">+ROUNDUP(I263/8800,0)</f>
        <v>0</v>
      </c>
      <c r="BI263" s="52">
        <f t="shared" ref="BI263:BI290" si="409">+ROUNDUP(J263/8800,0)</f>
        <v>0</v>
      </c>
      <c r="BJ263" s="52">
        <f t="shared" ref="BJ263:BJ290" si="410">+ROUNDUP(K263/8800,0)</f>
        <v>0</v>
      </c>
      <c r="BK263" s="52">
        <f t="shared" ref="BK263:BK290" si="411">+ROUNDUP(L263/8800,0)</f>
        <v>0</v>
      </c>
      <c r="BL263" s="52">
        <f t="shared" ref="BL263:BL290" si="412">+ROUNDUP(M263/8800,0)</f>
        <v>0</v>
      </c>
      <c r="BM263" s="52">
        <f t="shared" ref="BM263:BM290" si="413">+ROUNDUP(N263/8800,0)</f>
        <v>0</v>
      </c>
      <c r="BN263" s="52">
        <f t="shared" ref="BN263:BN290" si="414">+ROUNDUP(O263/8800,0)</f>
        <v>0</v>
      </c>
      <c r="BO263" s="52">
        <f t="shared" ref="BO263:BO290" si="415">+ROUNDUP(P263/8800,0)</f>
        <v>0</v>
      </c>
      <c r="BP263" s="52">
        <f t="shared" ref="BP263:BP290" si="416">+ROUNDUP(Q263/8800,0)</f>
        <v>0</v>
      </c>
      <c r="BQ263" s="52">
        <f t="shared" ref="BQ263:BQ290" si="417">+ROUNDUP(R263/8800,0)</f>
        <v>0</v>
      </c>
      <c r="BR263" s="52">
        <f t="shared" ref="BR263:BR290" si="418">+ROUNDUP(S263/8800,0)</f>
        <v>0</v>
      </c>
      <c r="BS263" s="52">
        <f t="shared" ref="BS263:BS290" si="419">+ROUNDUP(T263/8800,0)</f>
        <v>0</v>
      </c>
      <c r="BT263" s="52">
        <f t="shared" ref="BT263:BT290" si="420">+ROUNDUP(U263/8800,0)</f>
        <v>0</v>
      </c>
      <c r="BU263" s="52">
        <f t="shared" ref="BU263:BU290" si="421">+ROUNDUP(V263/8800,0)</f>
        <v>0</v>
      </c>
      <c r="BV263" s="52">
        <f t="shared" ref="BV263:BV290" si="422">+ROUNDUP(W263/8800,0)</f>
        <v>0</v>
      </c>
      <c r="BW263" s="52">
        <f t="shared" ref="BW263:BW290" si="423">+ROUNDUP(X263/8800,0)</f>
        <v>0</v>
      </c>
      <c r="BX263" s="52">
        <f t="shared" ref="BX263:BX290" si="424">+ROUNDUP(Y263/8800,0)</f>
        <v>0</v>
      </c>
      <c r="BZ263" s="52">
        <f t="shared" si="376"/>
        <v>0</v>
      </c>
      <c r="CA263" s="52">
        <f t="shared" ref="CA263:CP278" si="425">BB263-BA263</f>
        <v>0</v>
      </c>
      <c r="CB263" s="52">
        <f t="shared" si="425"/>
        <v>0</v>
      </c>
      <c r="CC263" s="52">
        <f t="shared" si="425"/>
        <v>0</v>
      </c>
      <c r="CD263" s="52">
        <f t="shared" si="425"/>
        <v>0</v>
      </c>
      <c r="CE263" s="52">
        <f t="shared" si="425"/>
        <v>0</v>
      </c>
      <c r="CF263" s="52">
        <f t="shared" si="425"/>
        <v>0</v>
      </c>
      <c r="CG263" s="52">
        <f t="shared" si="425"/>
        <v>0</v>
      </c>
      <c r="CH263" s="52">
        <f t="shared" si="425"/>
        <v>0</v>
      </c>
      <c r="CI263" s="52">
        <f t="shared" si="425"/>
        <v>0</v>
      </c>
      <c r="CJ263" s="52">
        <f t="shared" si="425"/>
        <v>0</v>
      </c>
      <c r="CK263" s="52">
        <f t="shared" si="425"/>
        <v>0</v>
      </c>
      <c r="CL263" s="52">
        <f t="shared" si="425"/>
        <v>0</v>
      </c>
      <c r="CM263" s="52">
        <f t="shared" si="425"/>
        <v>0</v>
      </c>
      <c r="CN263" s="52">
        <f t="shared" si="425"/>
        <v>0</v>
      </c>
      <c r="CO263" s="52">
        <f t="shared" si="425"/>
        <v>0</v>
      </c>
      <c r="CP263" s="52">
        <f t="shared" si="425"/>
        <v>0</v>
      </c>
      <c r="CQ263" s="52">
        <f t="shared" ref="CQ263:CQ308" si="426">BR263-BQ263</f>
        <v>0</v>
      </c>
      <c r="CR263" s="52">
        <f t="shared" ref="CR263:CR308" si="427">BS263-BR263</f>
        <v>0</v>
      </c>
      <c r="CS263" s="52">
        <f t="shared" ref="CS263:CS308" si="428">BT263-BS263</f>
        <v>0</v>
      </c>
      <c r="CT263" s="52">
        <f t="shared" ref="CT263:CT308" si="429">BU263-BT263</f>
        <v>0</v>
      </c>
      <c r="CU263" s="52">
        <f t="shared" ref="CU263:CU308" si="430">BV263-BU263</f>
        <v>0</v>
      </c>
      <c r="CV263" s="52">
        <f t="shared" ref="CV263:CV308" si="431">BW263-BV263</f>
        <v>0</v>
      </c>
      <c r="CW263" s="52">
        <f t="shared" ref="CW263:CW308" si="432">BX263-BW263</f>
        <v>0</v>
      </c>
    </row>
    <row r="264" spans="1:101">
      <c r="A264" s="60">
        <v>45186</v>
      </c>
      <c r="B264" s="426"/>
      <c r="Z264" s="77"/>
      <c r="AB264">
        <f t="shared" si="400"/>
        <v>0</v>
      </c>
      <c r="AC264">
        <f t="shared" si="378"/>
        <v>0</v>
      </c>
      <c r="AD264">
        <f t="shared" si="379"/>
        <v>0</v>
      </c>
      <c r="AE264">
        <f t="shared" si="380"/>
        <v>0</v>
      </c>
      <c r="AF264">
        <f t="shared" si="381"/>
        <v>0</v>
      </c>
      <c r="AG264">
        <f t="shared" si="382"/>
        <v>0</v>
      </c>
      <c r="AH264">
        <f t="shared" si="383"/>
        <v>0</v>
      </c>
      <c r="AI264">
        <f t="shared" si="384"/>
        <v>0</v>
      </c>
      <c r="AJ264">
        <f t="shared" si="385"/>
        <v>0</v>
      </c>
      <c r="AK264">
        <f t="shared" si="386"/>
        <v>0</v>
      </c>
      <c r="AL264">
        <f t="shared" si="387"/>
        <v>0</v>
      </c>
      <c r="AM264">
        <f t="shared" si="388"/>
        <v>0</v>
      </c>
      <c r="AN264">
        <f t="shared" si="389"/>
        <v>0</v>
      </c>
      <c r="AO264">
        <f t="shared" si="390"/>
        <v>0</v>
      </c>
      <c r="AP264">
        <f t="shared" si="391"/>
        <v>0</v>
      </c>
      <c r="AQ264">
        <f t="shared" si="392"/>
        <v>0</v>
      </c>
      <c r="AR264">
        <f t="shared" si="393"/>
        <v>0</v>
      </c>
      <c r="AS264">
        <f t="shared" si="394"/>
        <v>0</v>
      </c>
      <c r="AT264">
        <f t="shared" si="395"/>
        <v>0</v>
      </c>
      <c r="AU264">
        <f t="shared" si="396"/>
        <v>0</v>
      </c>
      <c r="AV264">
        <f t="shared" si="397"/>
        <v>0</v>
      </c>
      <c r="AW264">
        <f t="shared" si="398"/>
        <v>0</v>
      </c>
      <c r="AX264">
        <f t="shared" si="399"/>
        <v>0</v>
      </c>
      <c r="AY264">
        <f t="shared" si="370"/>
        <v>0</v>
      </c>
      <c r="BA264">
        <f t="shared" si="401"/>
        <v>0</v>
      </c>
      <c r="BB264">
        <f t="shared" si="402"/>
        <v>0</v>
      </c>
      <c r="BC264">
        <f t="shared" si="403"/>
        <v>0</v>
      </c>
      <c r="BD264">
        <f t="shared" si="404"/>
        <v>0</v>
      </c>
      <c r="BE264">
        <f t="shared" si="405"/>
        <v>0</v>
      </c>
      <c r="BF264">
        <f t="shared" si="406"/>
        <v>0</v>
      </c>
      <c r="BG264">
        <f t="shared" si="407"/>
        <v>0</v>
      </c>
      <c r="BH264">
        <f t="shared" si="408"/>
        <v>0</v>
      </c>
      <c r="BI264">
        <f t="shared" si="409"/>
        <v>0</v>
      </c>
      <c r="BJ264">
        <f t="shared" si="410"/>
        <v>0</v>
      </c>
      <c r="BK264">
        <f t="shared" si="411"/>
        <v>0</v>
      </c>
      <c r="BL264">
        <f t="shared" si="412"/>
        <v>0</v>
      </c>
      <c r="BM264">
        <f t="shared" si="413"/>
        <v>0</v>
      </c>
      <c r="BN264">
        <f t="shared" si="414"/>
        <v>0</v>
      </c>
      <c r="BO264">
        <f t="shared" si="415"/>
        <v>0</v>
      </c>
      <c r="BP264">
        <f t="shared" si="416"/>
        <v>0</v>
      </c>
      <c r="BQ264">
        <f t="shared" si="417"/>
        <v>0</v>
      </c>
      <c r="BR264">
        <f t="shared" si="418"/>
        <v>0</v>
      </c>
      <c r="BS264">
        <f t="shared" si="419"/>
        <v>0</v>
      </c>
      <c r="BT264">
        <f t="shared" si="420"/>
        <v>0</v>
      </c>
      <c r="BU264">
        <f t="shared" si="421"/>
        <v>0</v>
      </c>
      <c r="BV264">
        <f t="shared" si="422"/>
        <v>0</v>
      </c>
      <c r="BW264">
        <f t="shared" si="423"/>
        <v>0</v>
      </c>
      <c r="BX264">
        <f t="shared" si="424"/>
        <v>0</v>
      </c>
      <c r="BZ264">
        <f t="shared" si="376"/>
        <v>0</v>
      </c>
      <c r="CA264">
        <f t="shared" si="425"/>
        <v>0</v>
      </c>
      <c r="CB264">
        <f t="shared" si="425"/>
        <v>0</v>
      </c>
      <c r="CC264">
        <f t="shared" si="425"/>
        <v>0</v>
      </c>
      <c r="CD264">
        <f t="shared" si="425"/>
        <v>0</v>
      </c>
      <c r="CE264">
        <f t="shared" si="425"/>
        <v>0</v>
      </c>
      <c r="CF264">
        <f t="shared" si="425"/>
        <v>0</v>
      </c>
      <c r="CG264">
        <f t="shared" si="425"/>
        <v>0</v>
      </c>
      <c r="CH264">
        <f t="shared" si="425"/>
        <v>0</v>
      </c>
      <c r="CI264">
        <f t="shared" si="425"/>
        <v>0</v>
      </c>
      <c r="CJ264">
        <f t="shared" si="425"/>
        <v>0</v>
      </c>
      <c r="CK264">
        <f t="shared" si="425"/>
        <v>0</v>
      </c>
      <c r="CL264">
        <f t="shared" si="425"/>
        <v>0</v>
      </c>
      <c r="CM264">
        <f t="shared" si="425"/>
        <v>0</v>
      </c>
      <c r="CN264">
        <f t="shared" si="425"/>
        <v>0</v>
      </c>
      <c r="CO264">
        <f t="shared" si="425"/>
        <v>0</v>
      </c>
      <c r="CP264">
        <f t="shared" si="425"/>
        <v>0</v>
      </c>
      <c r="CQ264">
        <f t="shared" si="426"/>
        <v>0</v>
      </c>
      <c r="CR264">
        <f t="shared" si="427"/>
        <v>0</v>
      </c>
      <c r="CS264">
        <f t="shared" si="428"/>
        <v>0</v>
      </c>
      <c r="CT264">
        <f t="shared" si="429"/>
        <v>0</v>
      </c>
      <c r="CU264">
        <f t="shared" si="430"/>
        <v>0</v>
      </c>
      <c r="CV264">
        <f t="shared" si="431"/>
        <v>0</v>
      </c>
      <c r="CW264">
        <f t="shared" si="432"/>
        <v>0</v>
      </c>
    </row>
    <row r="265" spans="1:101">
      <c r="A265" s="60">
        <v>45187</v>
      </c>
      <c r="B265" s="426"/>
      <c r="Z265" s="77"/>
      <c r="AB265" s="52">
        <f t="shared" si="400"/>
        <v>0</v>
      </c>
      <c r="AC265" s="52">
        <f t="shared" si="378"/>
        <v>0</v>
      </c>
      <c r="AD265" s="52">
        <f t="shared" si="379"/>
        <v>0</v>
      </c>
      <c r="AE265" s="52">
        <f t="shared" si="380"/>
        <v>0</v>
      </c>
      <c r="AF265" s="52">
        <f t="shared" si="381"/>
        <v>0</v>
      </c>
      <c r="AG265" s="52">
        <f t="shared" si="382"/>
        <v>0</v>
      </c>
      <c r="AH265" s="52">
        <f t="shared" si="383"/>
        <v>0</v>
      </c>
      <c r="AI265" s="52">
        <f t="shared" si="384"/>
        <v>0</v>
      </c>
      <c r="AJ265" s="52">
        <f t="shared" si="385"/>
        <v>0</v>
      </c>
      <c r="AK265" s="52">
        <f t="shared" si="386"/>
        <v>0</v>
      </c>
      <c r="AL265" s="52">
        <f t="shared" si="387"/>
        <v>0</v>
      </c>
      <c r="AM265" s="52">
        <f t="shared" si="388"/>
        <v>0</v>
      </c>
      <c r="AN265" s="52">
        <f t="shared" si="389"/>
        <v>0</v>
      </c>
      <c r="AO265" s="52">
        <f t="shared" si="390"/>
        <v>0</v>
      </c>
      <c r="AP265" s="52">
        <f t="shared" si="391"/>
        <v>0</v>
      </c>
      <c r="AQ265" s="52">
        <f t="shared" si="392"/>
        <v>0</v>
      </c>
      <c r="AR265" s="52">
        <f t="shared" si="393"/>
        <v>0</v>
      </c>
      <c r="AS265" s="52">
        <f t="shared" si="394"/>
        <v>0</v>
      </c>
      <c r="AT265" s="52">
        <f t="shared" si="395"/>
        <v>0</v>
      </c>
      <c r="AU265" s="52">
        <f t="shared" si="396"/>
        <v>0</v>
      </c>
      <c r="AV265" s="52">
        <f t="shared" si="397"/>
        <v>0</v>
      </c>
      <c r="AW265" s="52">
        <f t="shared" si="398"/>
        <v>0</v>
      </c>
      <c r="AX265" s="52">
        <f t="shared" si="399"/>
        <v>0</v>
      </c>
      <c r="AY265" s="52">
        <f t="shared" si="370"/>
        <v>0</v>
      </c>
      <c r="BA265" s="52">
        <f t="shared" si="401"/>
        <v>0</v>
      </c>
      <c r="BB265" s="52">
        <f t="shared" si="402"/>
        <v>0</v>
      </c>
      <c r="BC265" s="52">
        <f t="shared" si="403"/>
        <v>0</v>
      </c>
      <c r="BD265" s="52">
        <f t="shared" si="404"/>
        <v>0</v>
      </c>
      <c r="BE265" s="52">
        <f t="shared" si="405"/>
        <v>0</v>
      </c>
      <c r="BF265" s="52">
        <f t="shared" si="406"/>
        <v>0</v>
      </c>
      <c r="BG265" s="52">
        <f t="shared" si="407"/>
        <v>0</v>
      </c>
      <c r="BH265" s="52">
        <f t="shared" si="408"/>
        <v>0</v>
      </c>
      <c r="BI265" s="52">
        <f t="shared" si="409"/>
        <v>0</v>
      </c>
      <c r="BJ265" s="52">
        <f t="shared" si="410"/>
        <v>0</v>
      </c>
      <c r="BK265" s="52">
        <f t="shared" si="411"/>
        <v>0</v>
      </c>
      <c r="BL265" s="52">
        <f t="shared" si="412"/>
        <v>0</v>
      </c>
      <c r="BM265" s="52">
        <f t="shared" si="413"/>
        <v>0</v>
      </c>
      <c r="BN265" s="52">
        <f t="shared" si="414"/>
        <v>0</v>
      </c>
      <c r="BO265" s="52">
        <f t="shared" si="415"/>
        <v>0</v>
      </c>
      <c r="BP265" s="52">
        <f t="shared" si="416"/>
        <v>0</v>
      </c>
      <c r="BQ265" s="52">
        <f t="shared" si="417"/>
        <v>0</v>
      </c>
      <c r="BR265" s="52">
        <f t="shared" si="418"/>
        <v>0</v>
      </c>
      <c r="BS265" s="52">
        <f t="shared" si="419"/>
        <v>0</v>
      </c>
      <c r="BT265" s="52">
        <f t="shared" si="420"/>
        <v>0</v>
      </c>
      <c r="BU265" s="52">
        <f t="shared" si="421"/>
        <v>0</v>
      </c>
      <c r="BV265" s="52">
        <f t="shared" si="422"/>
        <v>0</v>
      </c>
      <c r="BW265" s="52">
        <f t="shared" si="423"/>
        <v>0</v>
      </c>
      <c r="BX265" s="52">
        <f t="shared" si="424"/>
        <v>0</v>
      </c>
      <c r="BZ265" s="52">
        <f t="shared" si="376"/>
        <v>0</v>
      </c>
      <c r="CA265" s="52">
        <f t="shared" si="425"/>
        <v>0</v>
      </c>
      <c r="CB265" s="52">
        <f t="shared" si="425"/>
        <v>0</v>
      </c>
      <c r="CC265" s="52">
        <f t="shared" si="425"/>
        <v>0</v>
      </c>
      <c r="CD265" s="52">
        <f t="shared" si="425"/>
        <v>0</v>
      </c>
      <c r="CE265" s="52">
        <f t="shared" si="425"/>
        <v>0</v>
      </c>
      <c r="CF265" s="52">
        <f t="shared" si="425"/>
        <v>0</v>
      </c>
      <c r="CG265" s="52">
        <f t="shared" si="425"/>
        <v>0</v>
      </c>
      <c r="CH265" s="52">
        <f t="shared" si="425"/>
        <v>0</v>
      </c>
      <c r="CI265" s="52">
        <f t="shared" si="425"/>
        <v>0</v>
      </c>
      <c r="CJ265" s="52">
        <f t="shared" si="425"/>
        <v>0</v>
      </c>
      <c r="CK265" s="52">
        <f t="shared" si="425"/>
        <v>0</v>
      </c>
      <c r="CL265" s="52">
        <f t="shared" si="425"/>
        <v>0</v>
      </c>
      <c r="CM265" s="52">
        <f t="shared" si="425"/>
        <v>0</v>
      </c>
      <c r="CN265" s="52">
        <f t="shared" si="425"/>
        <v>0</v>
      </c>
      <c r="CO265" s="52">
        <f t="shared" si="425"/>
        <v>0</v>
      </c>
      <c r="CP265" s="52">
        <f t="shared" si="425"/>
        <v>0</v>
      </c>
      <c r="CQ265" s="52">
        <f t="shared" si="426"/>
        <v>0</v>
      </c>
      <c r="CR265" s="52">
        <f t="shared" si="427"/>
        <v>0</v>
      </c>
      <c r="CS265" s="52">
        <f t="shared" si="428"/>
        <v>0</v>
      </c>
      <c r="CT265" s="52">
        <f t="shared" si="429"/>
        <v>0</v>
      </c>
      <c r="CU265" s="52">
        <f t="shared" si="430"/>
        <v>0</v>
      </c>
      <c r="CV265" s="52">
        <f t="shared" si="431"/>
        <v>0</v>
      </c>
      <c r="CW265" s="52">
        <f t="shared" si="432"/>
        <v>0</v>
      </c>
    </row>
    <row r="266" spans="1:101">
      <c r="A266" s="60">
        <v>45188</v>
      </c>
      <c r="B266" s="426"/>
      <c r="Z266" s="77"/>
      <c r="AB266">
        <f t="shared" si="400"/>
        <v>0</v>
      </c>
      <c r="AC266">
        <f t="shared" si="378"/>
        <v>0</v>
      </c>
      <c r="AD266">
        <f t="shared" si="379"/>
        <v>0</v>
      </c>
      <c r="AE266">
        <f t="shared" si="380"/>
        <v>0</v>
      </c>
      <c r="AF266">
        <f t="shared" si="381"/>
        <v>0</v>
      </c>
      <c r="AG266">
        <f t="shared" si="382"/>
        <v>0</v>
      </c>
      <c r="AH266">
        <f t="shared" si="383"/>
        <v>0</v>
      </c>
      <c r="AI266">
        <f t="shared" si="384"/>
        <v>0</v>
      </c>
      <c r="AJ266">
        <f t="shared" si="385"/>
        <v>0</v>
      </c>
      <c r="AK266">
        <f t="shared" si="386"/>
        <v>0</v>
      </c>
      <c r="AL266">
        <f t="shared" si="387"/>
        <v>0</v>
      </c>
      <c r="AM266">
        <f t="shared" si="388"/>
        <v>0</v>
      </c>
      <c r="AN266">
        <f t="shared" si="389"/>
        <v>0</v>
      </c>
      <c r="AO266">
        <f t="shared" si="390"/>
        <v>0</v>
      </c>
      <c r="AP266">
        <f t="shared" si="391"/>
        <v>0</v>
      </c>
      <c r="AQ266">
        <f t="shared" si="392"/>
        <v>0</v>
      </c>
      <c r="AR266">
        <f t="shared" si="393"/>
        <v>0</v>
      </c>
      <c r="AS266">
        <f t="shared" si="394"/>
        <v>0</v>
      </c>
      <c r="AT266">
        <f t="shared" si="395"/>
        <v>0</v>
      </c>
      <c r="AU266">
        <f t="shared" si="396"/>
        <v>0</v>
      </c>
      <c r="AV266">
        <f t="shared" si="397"/>
        <v>0</v>
      </c>
      <c r="AW266">
        <f t="shared" si="398"/>
        <v>0</v>
      </c>
      <c r="AX266">
        <f t="shared" si="399"/>
        <v>0</v>
      </c>
      <c r="AY266">
        <f t="shared" si="370"/>
        <v>0</v>
      </c>
      <c r="BA266">
        <f t="shared" si="401"/>
        <v>0</v>
      </c>
      <c r="BB266">
        <f t="shared" si="402"/>
        <v>0</v>
      </c>
      <c r="BC266">
        <f t="shared" si="403"/>
        <v>0</v>
      </c>
      <c r="BD266">
        <f t="shared" si="404"/>
        <v>0</v>
      </c>
      <c r="BE266">
        <f t="shared" si="405"/>
        <v>0</v>
      </c>
      <c r="BF266">
        <f t="shared" si="406"/>
        <v>0</v>
      </c>
      <c r="BG266">
        <f t="shared" si="407"/>
        <v>0</v>
      </c>
      <c r="BH266">
        <f t="shared" si="408"/>
        <v>0</v>
      </c>
      <c r="BI266">
        <f t="shared" si="409"/>
        <v>0</v>
      </c>
      <c r="BJ266">
        <f t="shared" si="410"/>
        <v>0</v>
      </c>
      <c r="BK266">
        <f t="shared" si="411"/>
        <v>0</v>
      </c>
      <c r="BL266">
        <f t="shared" si="412"/>
        <v>0</v>
      </c>
      <c r="BM266">
        <f t="shared" si="413"/>
        <v>0</v>
      </c>
      <c r="BN266">
        <f t="shared" si="414"/>
        <v>0</v>
      </c>
      <c r="BO266">
        <f t="shared" si="415"/>
        <v>0</v>
      </c>
      <c r="BP266">
        <f t="shared" si="416"/>
        <v>0</v>
      </c>
      <c r="BQ266">
        <f t="shared" si="417"/>
        <v>0</v>
      </c>
      <c r="BR266">
        <f t="shared" si="418"/>
        <v>0</v>
      </c>
      <c r="BS266">
        <f t="shared" si="419"/>
        <v>0</v>
      </c>
      <c r="BT266">
        <f t="shared" si="420"/>
        <v>0</v>
      </c>
      <c r="BU266">
        <f t="shared" si="421"/>
        <v>0</v>
      </c>
      <c r="BV266">
        <f t="shared" si="422"/>
        <v>0</v>
      </c>
      <c r="BW266">
        <f t="shared" si="423"/>
        <v>0</v>
      </c>
      <c r="BX266">
        <f t="shared" si="424"/>
        <v>0</v>
      </c>
      <c r="BZ266">
        <f t="shared" si="376"/>
        <v>0</v>
      </c>
      <c r="CA266">
        <f t="shared" si="425"/>
        <v>0</v>
      </c>
      <c r="CB266">
        <f t="shared" si="425"/>
        <v>0</v>
      </c>
      <c r="CC266">
        <f t="shared" si="425"/>
        <v>0</v>
      </c>
      <c r="CD266">
        <f t="shared" si="425"/>
        <v>0</v>
      </c>
      <c r="CE266">
        <f t="shared" si="425"/>
        <v>0</v>
      </c>
      <c r="CF266">
        <f t="shared" si="425"/>
        <v>0</v>
      </c>
      <c r="CG266">
        <f t="shared" si="425"/>
        <v>0</v>
      </c>
      <c r="CH266">
        <f t="shared" si="425"/>
        <v>0</v>
      </c>
      <c r="CI266">
        <f t="shared" si="425"/>
        <v>0</v>
      </c>
      <c r="CJ266">
        <f t="shared" si="425"/>
        <v>0</v>
      </c>
      <c r="CK266">
        <f t="shared" si="425"/>
        <v>0</v>
      </c>
      <c r="CL266">
        <f t="shared" si="425"/>
        <v>0</v>
      </c>
      <c r="CM266">
        <f t="shared" si="425"/>
        <v>0</v>
      </c>
      <c r="CN266">
        <f t="shared" si="425"/>
        <v>0</v>
      </c>
      <c r="CO266">
        <f t="shared" si="425"/>
        <v>0</v>
      </c>
      <c r="CP266">
        <f t="shared" si="425"/>
        <v>0</v>
      </c>
      <c r="CQ266">
        <f t="shared" si="426"/>
        <v>0</v>
      </c>
      <c r="CR266">
        <f t="shared" si="427"/>
        <v>0</v>
      </c>
      <c r="CS266">
        <f t="shared" si="428"/>
        <v>0</v>
      </c>
      <c r="CT266">
        <f t="shared" si="429"/>
        <v>0</v>
      </c>
      <c r="CU266">
        <f t="shared" si="430"/>
        <v>0</v>
      </c>
      <c r="CV266">
        <f t="shared" si="431"/>
        <v>0</v>
      </c>
      <c r="CW266">
        <f t="shared" si="432"/>
        <v>0</v>
      </c>
    </row>
    <row r="267" spans="1:101">
      <c r="A267" s="60">
        <v>45189</v>
      </c>
      <c r="B267" s="426"/>
      <c r="Z267" s="77"/>
      <c r="AB267" s="52">
        <f t="shared" si="400"/>
        <v>0</v>
      </c>
      <c r="AC267" s="52">
        <f t="shared" si="378"/>
        <v>0</v>
      </c>
      <c r="AD267" s="52">
        <f t="shared" si="379"/>
        <v>0</v>
      </c>
      <c r="AE267" s="52">
        <f t="shared" si="380"/>
        <v>0</v>
      </c>
      <c r="AF267" s="52">
        <f t="shared" si="381"/>
        <v>0</v>
      </c>
      <c r="AG267" s="52">
        <f t="shared" si="382"/>
        <v>0</v>
      </c>
      <c r="AH267" s="52">
        <f t="shared" si="383"/>
        <v>0</v>
      </c>
      <c r="AI267" s="52">
        <f t="shared" si="384"/>
        <v>0</v>
      </c>
      <c r="AJ267" s="52">
        <f t="shared" si="385"/>
        <v>0</v>
      </c>
      <c r="AK267" s="52">
        <f t="shared" si="386"/>
        <v>0</v>
      </c>
      <c r="AL267" s="52">
        <f t="shared" si="387"/>
        <v>0</v>
      </c>
      <c r="AM267" s="52">
        <f t="shared" si="388"/>
        <v>0</v>
      </c>
      <c r="AN267" s="52">
        <f t="shared" si="389"/>
        <v>0</v>
      </c>
      <c r="AO267" s="52">
        <f t="shared" si="390"/>
        <v>0</v>
      </c>
      <c r="AP267" s="52">
        <f t="shared" si="391"/>
        <v>0</v>
      </c>
      <c r="AQ267" s="52">
        <f t="shared" si="392"/>
        <v>0</v>
      </c>
      <c r="AR267" s="52">
        <f t="shared" si="393"/>
        <v>0</v>
      </c>
      <c r="AS267" s="52">
        <f t="shared" si="394"/>
        <v>0</v>
      </c>
      <c r="AT267" s="52">
        <f t="shared" si="395"/>
        <v>0</v>
      </c>
      <c r="AU267" s="52">
        <f t="shared" si="396"/>
        <v>0</v>
      </c>
      <c r="AV267" s="52">
        <f t="shared" si="397"/>
        <v>0</v>
      </c>
      <c r="AW267" s="52">
        <f t="shared" si="398"/>
        <v>0</v>
      </c>
      <c r="AX267" s="52">
        <f t="shared" si="399"/>
        <v>0</v>
      </c>
      <c r="AY267" s="52">
        <f t="shared" si="370"/>
        <v>0</v>
      </c>
      <c r="BA267" s="52">
        <f t="shared" si="401"/>
        <v>0</v>
      </c>
      <c r="BB267" s="52">
        <f t="shared" si="402"/>
        <v>0</v>
      </c>
      <c r="BC267" s="52">
        <f t="shared" si="403"/>
        <v>0</v>
      </c>
      <c r="BD267" s="52">
        <f t="shared" si="404"/>
        <v>0</v>
      </c>
      <c r="BE267" s="52">
        <f t="shared" si="405"/>
        <v>0</v>
      </c>
      <c r="BF267" s="52">
        <f t="shared" si="406"/>
        <v>0</v>
      </c>
      <c r="BG267" s="52">
        <f t="shared" si="407"/>
        <v>0</v>
      </c>
      <c r="BH267" s="52">
        <f t="shared" si="408"/>
        <v>0</v>
      </c>
      <c r="BI267" s="52">
        <f t="shared" si="409"/>
        <v>0</v>
      </c>
      <c r="BJ267" s="52">
        <f t="shared" si="410"/>
        <v>0</v>
      </c>
      <c r="BK267" s="52">
        <f t="shared" si="411"/>
        <v>0</v>
      </c>
      <c r="BL267" s="52">
        <f t="shared" si="412"/>
        <v>0</v>
      </c>
      <c r="BM267" s="52">
        <f t="shared" si="413"/>
        <v>0</v>
      </c>
      <c r="BN267" s="52">
        <f t="shared" si="414"/>
        <v>0</v>
      </c>
      <c r="BO267" s="52">
        <f t="shared" si="415"/>
        <v>0</v>
      </c>
      <c r="BP267" s="52">
        <f t="shared" si="416"/>
        <v>0</v>
      </c>
      <c r="BQ267" s="52">
        <f t="shared" si="417"/>
        <v>0</v>
      </c>
      <c r="BR267" s="52">
        <f t="shared" si="418"/>
        <v>0</v>
      </c>
      <c r="BS267" s="52">
        <f t="shared" si="419"/>
        <v>0</v>
      </c>
      <c r="BT267" s="52">
        <f t="shared" si="420"/>
        <v>0</v>
      </c>
      <c r="BU267" s="52">
        <f t="shared" si="421"/>
        <v>0</v>
      </c>
      <c r="BV267" s="52">
        <f t="shared" si="422"/>
        <v>0</v>
      </c>
      <c r="BW267" s="52">
        <f t="shared" si="423"/>
        <v>0</v>
      </c>
      <c r="BX267" s="52">
        <f t="shared" si="424"/>
        <v>0</v>
      </c>
      <c r="BZ267" s="52">
        <f t="shared" si="376"/>
        <v>0</v>
      </c>
      <c r="CA267" s="52">
        <f t="shared" si="425"/>
        <v>0</v>
      </c>
      <c r="CB267" s="52">
        <f t="shared" si="425"/>
        <v>0</v>
      </c>
      <c r="CC267" s="52">
        <f t="shared" si="425"/>
        <v>0</v>
      </c>
      <c r="CD267" s="52">
        <f t="shared" si="425"/>
        <v>0</v>
      </c>
      <c r="CE267" s="52">
        <f t="shared" si="425"/>
        <v>0</v>
      </c>
      <c r="CF267" s="52">
        <f t="shared" si="425"/>
        <v>0</v>
      </c>
      <c r="CG267" s="52">
        <f t="shared" si="425"/>
        <v>0</v>
      </c>
      <c r="CH267" s="52">
        <f t="shared" si="425"/>
        <v>0</v>
      </c>
      <c r="CI267" s="52">
        <f t="shared" si="425"/>
        <v>0</v>
      </c>
      <c r="CJ267" s="52">
        <f t="shared" si="425"/>
        <v>0</v>
      </c>
      <c r="CK267" s="52">
        <f t="shared" si="425"/>
        <v>0</v>
      </c>
      <c r="CL267" s="52">
        <f t="shared" si="425"/>
        <v>0</v>
      </c>
      <c r="CM267" s="52">
        <f t="shared" si="425"/>
        <v>0</v>
      </c>
      <c r="CN267" s="52">
        <f t="shared" si="425"/>
        <v>0</v>
      </c>
      <c r="CO267" s="52">
        <f t="shared" si="425"/>
        <v>0</v>
      </c>
      <c r="CP267" s="52">
        <f t="shared" si="425"/>
        <v>0</v>
      </c>
      <c r="CQ267" s="52">
        <f t="shared" si="426"/>
        <v>0</v>
      </c>
      <c r="CR267" s="52">
        <f t="shared" si="427"/>
        <v>0</v>
      </c>
      <c r="CS267" s="52">
        <f t="shared" si="428"/>
        <v>0</v>
      </c>
      <c r="CT267" s="52">
        <f t="shared" si="429"/>
        <v>0</v>
      </c>
      <c r="CU267" s="52">
        <f t="shared" si="430"/>
        <v>0</v>
      </c>
      <c r="CV267" s="52">
        <f t="shared" si="431"/>
        <v>0</v>
      </c>
      <c r="CW267" s="52">
        <f t="shared" si="432"/>
        <v>0</v>
      </c>
    </row>
    <row r="268" spans="1:101">
      <c r="A268" s="60">
        <v>45190</v>
      </c>
      <c r="B268" s="426"/>
      <c r="Z268" s="77"/>
      <c r="AB268">
        <f t="shared" si="400"/>
        <v>0</v>
      </c>
      <c r="AC268">
        <f t="shared" si="378"/>
        <v>0</v>
      </c>
      <c r="AD268">
        <f t="shared" si="379"/>
        <v>0</v>
      </c>
      <c r="AE268">
        <f>+IF(AND(E268=0,F268&lt;&gt;0),1,0)</f>
        <v>0</v>
      </c>
      <c r="AF268">
        <f>+IF(AND(F268=0,G268&lt;&gt;0),1,0)</f>
        <v>0</v>
      </c>
      <c r="AG268">
        <f t="shared" si="382"/>
        <v>0</v>
      </c>
      <c r="AH268">
        <f>+IF(AND(H268=0,I268&lt;&gt;0),1,0)</f>
        <v>0</v>
      </c>
      <c r="AI268">
        <f t="shared" si="384"/>
        <v>0</v>
      </c>
      <c r="AJ268">
        <f t="shared" si="385"/>
        <v>0</v>
      </c>
      <c r="AK268">
        <f t="shared" si="386"/>
        <v>0</v>
      </c>
      <c r="AL268">
        <f t="shared" si="387"/>
        <v>0</v>
      </c>
      <c r="AM268">
        <f t="shared" si="388"/>
        <v>0</v>
      </c>
      <c r="AN268">
        <f t="shared" si="389"/>
        <v>0</v>
      </c>
      <c r="AO268">
        <f>+IF(AND(O268=0,P268&lt;&gt;0),1,0)</f>
        <v>0</v>
      </c>
      <c r="AP268">
        <f t="shared" si="391"/>
        <v>0</v>
      </c>
      <c r="AQ268">
        <f t="shared" si="392"/>
        <v>0</v>
      </c>
      <c r="AR268">
        <f t="shared" si="393"/>
        <v>0</v>
      </c>
      <c r="AS268">
        <f t="shared" si="394"/>
        <v>0</v>
      </c>
      <c r="AT268">
        <f t="shared" si="395"/>
        <v>0</v>
      </c>
      <c r="AU268">
        <f t="shared" si="396"/>
        <v>0</v>
      </c>
      <c r="AV268">
        <f t="shared" si="397"/>
        <v>0</v>
      </c>
      <c r="AW268">
        <f t="shared" si="398"/>
        <v>0</v>
      </c>
      <c r="AX268">
        <f t="shared" si="399"/>
        <v>0</v>
      </c>
      <c r="AY268">
        <f t="shared" si="370"/>
        <v>0</v>
      </c>
      <c r="BA268">
        <f t="shared" si="401"/>
        <v>0</v>
      </c>
      <c r="BB268">
        <f t="shared" si="402"/>
        <v>0</v>
      </c>
      <c r="BC268">
        <f t="shared" si="403"/>
        <v>0</v>
      </c>
      <c r="BD268">
        <f t="shared" si="404"/>
        <v>0</v>
      </c>
      <c r="BE268">
        <f t="shared" si="405"/>
        <v>0</v>
      </c>
      <c r="BF268">
        <f t="shared" si="406"/>
        <v>0</v>
      </c>
      <c r="BG268">
        <f t="shared" si="407"/>
        <v>0</v>
      </c>
      <c r="BH268">
        <f t="shared" si="408"/>
        <v>0</v>
      </c>
      <c r="BI268">
        <f t="shared" si="409"/>
        <v>0</v>
      </c>
      <c r="BJ268">
        <f t="shared" si="410"/>
        <v>0</v>
      </c>
      <c r="BK268">
        <f t="shared" si="411"/>
        <v>0</v>
      </c>
      <c r="BL268">
        <f t="shared" si="412"/>
        <v>0</v>
      </c>
      <c r="BM268">
        <f t="shared" si="413"/>
        <v>0</v>
      </c>
      <c r="BN268">
        <f t="shared" si="414"/>
        <v>0</v>
      </c>
      <c r="BO268">
        <f t="shared" si="415"/>
        <v>0</v>
      </c>
      <c r="BP268">
        <f t="shared" si="416"/>
        <v>0</v>
      </c>
      <c r="BQ268">
        <f t="shared" si="417"/>
        <v>0</v>
      </c>
      <c r="BR268">
        <f t="shared" si="418"/>
        <v>0</v>
      </c>
      <c r="BS268">
        <f t="shared" si="419"/>
        <v>0</v>
      </c>
      <c r="BT268">
        <f t="shared" si="420"/>
        <v>0</v>
      </c>
      <c r="BU268">
        <f t="shared" si="421"/>
        <v>0</v>
      </c>
      <c r="BV268">
        <f t="shared" si="422"/>
        <v>0</v>
      </c>
      <c r="BW268">
        <f t="shared" si="423"/>
        <v>0</v>
      </c>
      <c r="BX268">
        <f t="shared" si="424"/>
        <v>0</v>
      </c>
      <c r="BZ268">
        <f t="shared" si="376"/>
        <v>0</v>
      </c>
      <c r="CA268">
        <f t="shared" si="425"/>
        <v>0</v>
      </c>
      <c r="CB268">
        <f t="shared" si="425"/>
        <v>0</v>
      </c>
      <c r="CC268">
        <f t="shared" si="425"/>
        <v>0</v>
      </c>
      <c r="CD268">
        <f t="shared" si="425"/>
        <v>0</v>
      </c>
      <c r="CE268">
        <f t="shared" si="425"/>
        <v>0</v>
      </c>
      <c r="CF268">
        <f t="shared" si="425"/>
        <v>0</v>
      </c>
      <c r="CG268">
        <f t="shared" si="425"/>
        <v>0</v>
      </c>
      <c r="CH268">
        <f t="shared" si="425"/>
        <v>0</v>
      </c>
      <c r="CI268">
        <f t="shared" si="425"/>
        <v>0</v>
      </c>
      <c r="CJ268">
        <f t="shared" si="425"/>
        <v>0</v>
      </c>
      <c r="CK268">
        <f t="shared" si="425"/>
        <v>0</v>
      </c>
      <c r="CL268">
        <f t="shared" si="425"/>
        <v>0</v>
      </c>
      <c r="CM268">
        <f t="shared" si="425"/>
        <v>0</v>
      </c>
      <c r="CN268">
        <f t="shared" si="425"/>
        <v>0</v>
      </c>
      <c r="CO268">
        <f t="shared" si="425"/>
        <v>0</v>
      </c>
      <c r="CP268">
        <f t="shared" si="425"/>
        <v>0</v>
      </c>
      <c r="CQ268">
        <f t="shared" si="426"/>
        <v>0</v>
      </c>
      <c r="CR268">
        <f t="shared" si="427"/>
        <v>0</v>
      </c>
      <c r="CS268">
        <f t="shared" si="428"/>
        <v>0</v>
      </c>
      <c r="CT268">
        <f t="shared" si="429"/>
        <v>0</v>
      </c>
      <c r="CU268">
        <f t="shared" si="430"/>
        <v>0</v>
      </c>
      <c r="CV268">
        <f t="shared" si="431"/>
        <v>0</v>
      </c>
      <c r="CW268">
        <f t="shared" si="432"/>
        <v>0</v>
      </c>
    </row>
    <row r="269" spans="1:101">
      <c r="A269" s="60">
        <v>45191</v>
      </c>
      <c r="B269" s="426"/>
      <c r="Z269" s="77"/>
      <c r="AB269" s="52">
        <f t="shared" si="400"/>
        <v>0</v>
      </c>
      <c r="AC269" s="52">
        <f t="shared" si="378"/>
        <v>0</v>
      </c>
      <c r="AD269" s="52">
        <f t="shared" si="379"/>
        <v>0</v>
      </c>
      <c r="AE269" s="52">
        <f t="shared" si="380"/>
        <v>0</v>
      </c>
      <c r="AF269" s="52">
        <f t="shared" si="381"/>
        <v>0</v>
      </c>
      <c r="AG269" s="52">
        <f t="shared" si="382"/>
        <v>0</v>
      </c>
      <c r="AH269" s="52">
        <f t="shared" si="383"/>
        <v>0</v>
      </c>
      <c r="AI269" s="52">
        <f t="shared" si="384"/>
        <v>0</v>
      </c>
      <c r="AJ269" s="52">
        <f t="shared" si="385"/>
        <v>0</v>
      </c>
      <c r="AK269" s="52">
        <f t="shared" si="386"/>
        <v>0</v>
      </c>
      <c r="AL269" s="52">
        <f t="shared" si="387"/>
        <v>0</v>
      </c>
      <c r="AM269" s="52">
        <f t="shared" si="388"/>
        <v>0</v>
      </c>
      <c r="AN269" s="52">
        <f t="shared" si="389"/>
        <v>0</v>
      </c>
      <c r="AO269" s="52">
        <f t="shared" si="390"/>
        <v>0</v>
      </c>
      <c r="AP269" s="52">
        <f t="shared" si="391"/>
        <v>0</v>
      </c>
      <c r="AQ269" s="52">
        <f t="shared" si="392"/>
        <v>0</v>
      </c>
      <c r="AR269" s="52">
        <f t="shared" si="393"/>
        <v>0</v>
      </c>
      <c r="AS269" s="52">
        <f t="shared" si="394"/>
        <v>0</v>
      </c>
      <c r="AT269" s="52">
        <f t="shared" si="395"/>
        <v>0</v>
      </c>
      <c r="AU269" s="52">
        <f t="shared" si="396"/>
        <v>0</v>
      </c>
      <c r="AV269" s="52">
        <f t="shared" si="397"/>
        <v>0</v>
      </c>
      <c r="AW269" s="52">
        <f t="shared" si="398"/>
        <v>0</v>
      </c>
      <c r="AX269" s="52">
        <f t="shared" si="399"/>
        <v>0</v>
      </c>
      <c r="AY269" s="52">
        <f t="shared" si="370"/>
        <v>0</v>
      </c>
      <c r="BA269" s="52">
        <f t="shared" si="401"/>
        <v>0</v>
      </c>
      <c r="BB269" s="52">
        <f t="shared" si="402"/>
        <v>0</v>
      </c>
      <c r="BC269" s="52">
        <f t="shared" si="403"/>
        <v>0</v>
      </c>
      <c r="BD269" s="52">
        <f t="shared" si="404"/>
        <v>0</v>
      </c>
      <c r="BE269" s="52">
        <f t="shared" si="405"/>
        <v>0</v>
      </c>
      <c r="BF269" s="52">
        <f t="shared" si="406"/>
        <v>0</v>
      </c>
      <c r="BG269" s="52">
        <f t="shared" si="407"/>
        <v>0</v>
      </c>
      <c r="BH269" s="52">
        <f t="shared" si="408"/>
        <v>0</v>
      </c>
      <c r="BI269" s="52">
        <f t="shared" si="409"/>
        <v>0</v>
      </c>
      <c r="BJ269" s="52">
        <f t="shared" si="410"/>
        <v>0</v>
      </c>
      <c r="BK269" s="52">
        <f t="shared" si="411"/>
        <v>0</v>
      </c>
      <c r="BL269" s="52">
        <f t="shared" si="412"/>
        <v>0</v>
      </c>
      <c r="BM269" s="52">
        <f t="shared" si="413"/>
        <v>0</v>
      </c>
      <c r="BN269" s="52">
        <f t="shared" si="414"/>
        <v>0</v>
      </c>
      <c r="BO269" s="52">
        <f t="shared" si="415"/>
        <v>0</v>
      </c>
      <c r="BP269" s="52">
        <f t="shared" si="416"/>
        <v>0</v>
      </c>
      <c r="BQ269" s="52">
        <f t="shared" si="417"/>
        <v>0</v>
      </c>
      <c r="BR269" s="52">
        <f t="shared" si="418"/>
        <v>0</v>
      </c>
      <c r="BS269" s="52">
        <f t="shared" si="419"/>
        <v>0</v>
      </c>
      <c r="BT269" s="52">
        <f t="shared" si="420"/>
        <v>0</v>
      </c>
      <c r="BU269" s="52">
        <f t="shared" si="421"/>
        <v>0</v>
      </c>
      <c r="BV269" s="52">
        <f t="shared" si="422"/>
        <v>0</v>
      </c>
      <c r="BW269" s="52">
        <f t="shared" si="423"/>
        <v>0</v>
      </c>
      <c r="BX269" s="52">
        <f t="shared" si="424"/>
        <v>0</v>
      </c>
      <c r="BZ269" s="52">
        <f t="shared" si="376"/>
        <v>0</v>
      </c>
      <c r="CA269" s="52">
        <f t="shared" si="425"/>
        <v>0</v>
      </c>
      <c r="CB269" s="52">
        <f t="shared" si="425"/>
        <v>0</v>
      </c>
      <c r="CC269" s="52">
        <f t="shared" si="425"/>
        <v>0</v>
      </c>
      <c r="CD269" s="52">
        <f t="shared" si="425"/>
        <v>0</v>
      </c>
      <c r="CE269" s="52">
        <f t="shared" si="425"/>
        <v>0</v>
      </c>
      <c r="CF269" s="52">
        <f t="shared" si="425"/>
        <v>0</v>
      </c>
      <c r="CG269" s="52">
        <f t="shared" si="425"/>
        <v>0</v>
      </c>
      <c r="CH269" s="52">
        <f t="shared" si="425"/>
        <v>0</v>
      </c>
      <c r="CI269" s="52">
        <f t="shared" si="425"/>
        <v>0</v>
      </c>
      <c r="CJ269" s="52">
        <f t="shared" si="425"/>
        <v>0</v>
      </c>
      <c r="CK269" s="52">
        <f t="shared" si="425"/>
        <v>0</v>
      </c>
      <c r="CL269" s="52">
        <f t="shared" si="425"/>
        <v>0</v>
      </c>
      <c r="CM269" s="52">
        <f t="shared" si="425"/>
        <v>0</v>
      </c>
      <c r="CN269" s="52">
        <f t="shared" si="425"/>
        <v>0</v>
      </c>
      <c r="CO269" s="52">
        <f t="shared" si="425"/>
        <v>0</v>
      </c>
      <c r="CP269" s="52">
        <f t="shared" si="425"/>
        <v>0</v>
      </c>
      <c r="CQ269" s="52">
        <f t="shared" si="426"/>
        <v>0</v>
      </c>
      <c r="CR269" s="52">
        <f t="shared" si="427"/>
        <v>0</v>
      </c>
      <c r="CS269" s="52">
        <f t="shared" si="428"/>
        <v>0</v>
      </c>
      <c r="CT269" s="52">
        <f t="shared" si="429"/>
        <v>0</v>
      </c>
      <c r="CU269" s="52">
        <f t="shared" si="430"/>
        <v>0</v>
      </c>
      <c r="CV269" s="52">
        <f t="shared" si="431"/>
        <v>0</v>
      </c>
      <c r="CW269" s="52">
        <f t="shared" si="432"/>
        <v>0</v>
      </c>
    </row>
    <row r="270" spans="1:101">
      <c r="A270" s="60">
        <v>45192</v>
      </c>
      <c r="B270" s="426"/>
      <c r="Z270" s="77"/>
      <c r="AB270">
        <f t="shared" si="400"/>
        <v>0</v>
      </c>
      <c r="AC270">
        <f t="shared" si="378"/>
        <v>0</v>
      </c>
      <c r="AD270">
        <f t="shared" si="379"/>
        <v>0</v>
      </c>
      <c r="AE270">
        <f t="shared" si="380"/>
        <v>0</v>
      </c>
      <c r="AF270">
        <f t="shared" si="381"/>
        <v>0</v>
      </c>
      <c r="AG270">
        <f t="shared" si="382"/>
        <v>0</v>
      </c>
      <c r="AH270">
        <f t="shared" si="383"/>
        <v>0</v>
      </c>
      <c r="AI270">
        <f t="shared" si="384"/>
        <v>0</v>
      </c>
      <c r="AJ270">
        <f t="shared" si="385"/>
        <v>0</v>
      </c>
      <c r="AK270">
        <f t="shared" si="386"/>
        <v>0</v>
      </c>
      <c r="AL270">
        <f t="shared" si="387"/>
        <v>0</v>
      </c>
      <c r="AM270">
        <f t="shared" si="388"/>
        <v>0</v>
      </c>
      <c r="AN270">
        <f t="shared" si="389"/>
        <v>0</v>
      </c>
      <c r="AO270">
        <f t="shared" si="390"/>
        <v>0</v>
      </c>
      <c r="AP270">
        <f t="shared" si="391"/>
        <v>0</v>
      </c>
      <c r="AQ270">
        <f t="shared" si="392"/>
        <v>0</v>
      </c>
      <c r="AR270">
        <f t="shared" si="393"/>
        <v>0</v>
      </c>
      <c r="AS270">
        <f t="shared" si="394"/>
        <v>0</v>
      </c>
      <c r="AT270">
        <f t="shared" si="395"/>
        <v>0</v>
      </c>
      <c r="AU270">
        <f t="shared" si="396"/>
        <v>0</v>
      </c>
      <c r="AV270">
        <f t="shared" si="397"/>
        <v>0</v>
      </c>
      <c r="AW270">
        <f t="shared" si="398"/>
        <v>0</v>
      </c>
      <c r="AX270">
        <f t="shared" si="399"/>
        <v>0</v>
      </c>
      <c r="AY270">
        <f t="shared" si="370"/>
        <v>0</v>
      </c>
      <c r="BA270">
        <f t="shared" si="401"/>
        <v>0</v>
      </c>
      <c r="BB270">
        <f t="shared" si="402"/>
        <v>0</v>
      </c>
      <c r="BC270">
        <f t="shared" si="403"/>
        <v>0</v>
      </c>
      <c r="BD270">
        <f t="shared" si="404"/>
        <v>0</v>
      </c>
      <c r="BE270">
        <f t="shared" si="405"/>
        <v>0</v>
      </c>
      <c r="BF270">
        <f t="shared" si="406"/>
        <v>0</v>
      </c>
      <c r="BG270">
        <f t="shared" si="407"/>
        <v>0</v>
      </c>
      <c r="BH270">
        <f t="shared" si="408"/>
        <v>0</v>
      </c>
      <c r="BI270">
        <f t="shared" si="409"/>
        <v>0</v>
      </c>
      <c r="BJ270">
        <f t="shared" si="410"/>
        <v>0</v>
      </c>
      <c r="BK270">
        <f t="shared" si="411"/>
        <v>0</v>
      </c>
      <c r="BL270">
        <f t="shared" si="412"/>
        <v>0</v>
      </c>
      <c r="BM270">
        <f t="shared" si="413"/>
        <v>0</v>
      </c>
      <c r="BN270">
        <f t="shared" si="414"/>
        <v>0</v>
      </c>
      <c r="BO270">
        <f t="shared" si="415"/>
        <v>0</v>
      </c>
      <c r="BP270">
        <f t="shared" si="416"/>
        <v>0</v>
      </c>
      <c r="BQ270">
        <f t="shared" si="417"/>
        <v>0</v>
      </c>
      <c r="BR270">
        <f t="shared" si="418"/>
        <v>0</v>
      </c>
      <c r="BS270">
        <f t="shared" si="419"/>
        <v>0</v>
      </c>
      <c r="BT270">
        <f t="shared" si="420"/>
        <v>0</v>
      </c>
      <c r="BU270">
        <f t="shared" si="421"/>
        <v>0</v>
      </c>
      <c r="BV270">
        <f t="shared" si="422"/>
        <v>0</v>
      </c>
      <c r="BW270">
        <f t="shared" si="423"/>
        <v>0</v>
      </c>
      <c r="BX270">
        <f t="shared" si="424"/>
        <v>0</v>
      </c>
      <c r="BZ270">
        <f t="shared" si="376"/>
        <v>0</v>
      </c>
      <c r="CA270">
        <f t="shared" si="425"/>
        <v>0</v>
      </c>
      <c r="CB270">
        <f t="shared" si="425"/>
        <v>0</v>
      </c>
      <c r="CC270">
        <f t="shared" si="425"/>
        <v>0</v>
      </c>
      <c r="CD270">
        <f t="shared" si="425"/>
        <v>0</v>
      </c>
      <c r="CE270">
        <f t="shared" si="425"/>
        <v>0</v>
      </c>
      <c r="CF270">
        <f t="shared" si="425"/>
        <v>0</v>
      </c>
      <c r="CG270">
        <f t="shared" si="425"/>
        <v>0</v>
      </c>
      <c r="CH270">
        <f t="shared" si="425"/>
        <v>0</v>
      </c>
      <c r="CI270">
        <f t="shared" si="425"/>
        <v>0</v>
      </c>
      <c r="CJ270">
        <f t="shared" si="425"/>
        <v>0</v>
      </c>
      <c r="CK270">
        <f t="shared" si="425"/>
        <v>0</v>
      </c>
      <c r="CL270">
        <f t="shared" si="425"/>
        <v>0</v>
      </c>
      <c r="CM270">
        <f t="shared" si="425"/>
        <v>0</v>
      </c>
      <c r="CN270">
        <f t="shared" si="425"/>
        <v>0</v>
      </c>
      <c r="CO270">
        <f t="shared" si="425"/>
        <v>0</v>
      </c>
      <c r="CP270">
        <f t="shared" si="425"/>
        <v>0</v>
      </c>
      <c r="CQ270">
        <f t="shared" si="426"/>
        <v>0</v>
      </c>
      <c r="CR270">
        <f t="shared" si="427"/>
        <v>0</v>
      </c>
      <c r="CS270">
        <f t="shared" si="428"/>
        <v>0</v>
      </c>
      <c r="CT270">
        <f t="shared" si="429"/>
        <v>0</v>
      </c>
      <c r="CU270">
        <f t="shared" si="430"/>
        <v>0</v>
      </c>
      <c r="CV270">
        <f t="shared" si="431"/>
        <v>0</v>
      </c>
      <c r="CW270">
        <f t="shared" si="432"/>
        <v>0</v>
      </c>
    </row>
    <row r="271" spans="1:101">
      <c r="A271" s="60">
        <v>45193</v>
      </c>
      <c r="B271" s="426"/>
      <c r="Z271" s="77"/>
      <c r="AB271" s="52">
        <f t="shared" si="400"/>
        <v>0</v>
      </c>
      <c r="AC271" s="52">
        <f t="shared" si="378"/>
        <v>0</v>
      </c>
      <c r="AD271" s="52">
        <f t="shared" si="379"/>
        <v>0</v>
      </c>
      <c r="AE271" s="52">
        <f t="shared" si="380"/>
        <v>0</v>
      </c>
      <c r="AF271" s="52">
        <f t="shared" si="381"/>
        <v>0</v>
      </c>
      <c r="AG271" s="52">
        <f t="shared" si="382"/>
        <v>0</v>
      </c>
      <c r="AH271" s="52">
        <f t="shared" si="383"/>
        <v>0</v>
      </c>
      <c r="AI271" s="52">
        <f t="shared" si="384"/>
        <v>0</v>
      </c>
      <c r="AJ271" s="52">
        <f t="shared" si="385"/>
        <v>0</v>
      </c>
      <c r="AK271" s="52">
        <f t="shared" si="386"/>
        <v>0</v>
      </c>
      <c r="AL271" s="52">
        <f t="shared" si="387"/>
        <v>0</v>
      </c>
      <c r="AM271" s="52">
        <f t="shared" si="388"/>
        <v>0</v>
      </c>
      <c r="AN271" s="52">
        <f t="shared" si="389"/>
        <v>0</v>
      </c>
      <c r="AO271" s="52">
        <f t="shared" si="390"/>
        <v>0</v>
      </c>
      <c r="AP271" s="52">
        <f t="shared" si="391"/>
        <v>0</v>
      </c>
      <c r="AQ271" s="52">
        <f t="shared" si="392"/>
        <v>0</v>
      </c>
      <c r="AR271" s="52">
        <f t="shared" si="393"/>
        <v>0</v>
      </c>
      <c r="AS271" s="52">
        <f t="shared" si="394"/>
        <v>0</v>
      </c>
      <c r="AT271" s="52">
        <f t="shared" si="395"/>
        <v>0</v>
      </c>
      <c r="AU271" s="52">
        <f t="shared" si="396"/>
        <v>0</v>
      </c>
      <c r="AV271" s="52">
        <f t="shared" si="397"/>
        <v>0</v>
      </c>
      <c r="AW271" s="52">
        <f t="shared" si="398"/>
        <v>0</v>
      </c>
      <c r="AX271" s="52">
        <f t="shared" si="399"/>
        <v>0</v>
      </c>
      <c r="AY271" s="52">
        <f t="shared" si="370"/>
        <v>0</v>
      </c>
      <c r="BA271" s="52">
        <f t="shared" si="401"/>
        <v>0</v>
      </c>
      <c r="BB271" s="52">
        <f t="shared" si="402"/>
        <v>0</v>
      </c>
      <c r="BC271" s="52">
        <f t="shared" si="403"/>
        <v>0</v>
      </c>
      <c r="BD271" s="52">
        <f t="shared" si="404"/>
        <v>0</v>
      </c>
      <c r="BE271" s="52">
        <f t="shared" si="405"/>
        <v>0</v>
      </c>
      <c r="BF271" s="52">
        <f t="shared" si="406"/>
        <v>0</v>
      </c>
      <c r="BG271" s="52">
        <f t="shared" si="407"/>
        <v>0</v>
      </c>
      <c r="BH271" s="52">
        <f t="shared" si="408"/>
        <v>0</v>
      </c>
      <c r="BI271" s="52">
        <f t="shared" si="409"/>
        <v>0</v>
      </c>
      <c r="BJ271" s="52">
        <f t="shared" si="410"/>
        <v>0</v>
      </c>
      <c r="BK271" s="52">
        <f t="shared" si="411"/>
        <v>0</v>
      </c>
      <c r="BL271" s="52">
        <f t="shared" si="412"/>
        <v>0</v>
      </c>
      <c r="BM271" s="52">
        <f t="shared" si="413"/>
        <v>0</v>
      </c>
      <c r="BN271" s="52">
        <f t="shared" si="414"/>
        <v>0</v>
      </c>
      <c r="BO271" s="52">
        <f t="shared" si="415"/>
        <v>0</v>
      </c>
      <c r="BP271" s="52">
        <f t="shared" si="416"/>
        <v>0</v>
      </c>
      <c r="BQ271" s="52">
        <f t="shared" si="417"/>
        <v>0</v>
      </c>
      <c r="BR271" s="52">
        <f t="shared" si="418"/>
        <v>0</v>
      </c>
      <c r="BS271" s="52">
        <f t="shared" si="419"/>
        <v>0</v>
      </c>
      <c r="BT271" s="52">
        <f t="shared" si="420"/>
        <v>0</v>
      </c>
      <c r="BU271" s="52">
        <f t="shared" si="421"/>
        <v>0</v>
      </c>
      <c r="BV271" s="52">
        <f t="shared" si="422"/>
        <v>0</v>
      </c>
      <c r="BW271" s="52">
        <f t="shared" si="423"/>
        <v>0</v>
      </c>
      <c r="BX271" s="52">
        <f t="shared" si="424"/>
        <v>0</v>
      </c>
      <c r="BZ271" s="52">
        <f t="shared" si="376"/>
        <v>0</v>
      </c>
      <c r="CA271" s="52">
        <f t="shared" si="425"/>
        <v>0</v>
      </c>
      <c r="CB271" s="52">
        <f t="shared" si="425"/>
        <v>0</v>
      </c>
      <c r="CC271" s="52">
        <f t="shared" si="425"/>
        <v>0</v>
      </c>
      <c r="CD271" s="52">
        <f t="shared" si="425"/>
        <v>0</v>
      </c>
      <c r="CE271" s="52">
        <f t="shared" si="425"/>
        <v>0</v>
      </c>
      <c r="CF271" s="52">
        <f t="shared" si="425"/>
        <v>0</v>
      </c>
      <c r="CG271" s="52">
        <f t="shared" si="425"/>
        <v>0</v>
      </c>
      <c r="CH271" s="52">
        <f t="shared" si="425"/>
        <v>0</v>
      </c>
      <c r="CI271" s="52">
        <f t="shared" si="425"/>
        <v>0</v>
      </c>
      <c r="CJ271" s="52">
        <f t="shared" si="425"/>
        <v>0</v>
      </c>
      <c r="CK271" s="52">
        <f t="shared" si="425"/>
        <v>0</v>
      </c>
      <c r="CL271" s="52">
        <f t="shared" si="425"/>
        <v>0</v>
      </c>
      <c r="CM271" s="52">
        <f t="shared" si="425"/>
        <v>0</v>
      </c>
      <c r="CN271" s="52">
        <f t="shared" si="425"/>
        <v>0</v>
      </c>
      <c r="CO271" s="52">
        <f t="shared" si="425"/>
        <v>0</v>
      </c>
      <c r="CP271" s="52">
        <f t="shared" si="425"/>
        <v>0</v>
      </c>
      <c r="CQ271" s="52">
        <f t="shared" si="426"/>
        <v>0</v>
      </c>
      <c r="CR271" s="52">
        <f t="shared" si="427"/>
        <v>0</v>
      </c>
      <c r="CS271" s="52">
        <f t="shared" si="428"/>
        <v>0</v>
      </c>
      <c r="CT271" s="52">
        <f t="shared" si="429"/>
        <v>0</v>
      </c>
      <c r="CU271" s="52">
        <f t="shared" si="430"/>
        <v>0</v>
      </c>
      <c r="CV271" s="52">
        <f t="shared" si="431"/>
        <v>0</v>
      </c>
      <c r="CW271" s="52">
        <f t="shared" si="432"/>
        <v>0</v>
      </c>
    </row>
    <row r="272" spans="1:101">
      <c r="A272" s="60">
        <v>45194</v>
      </c>
      <c r="B272" s="426"/>
      <c r="Z272" s="77"/>
      <c r="AB272">
        <f t="shared" si="400"/>
        <v>0</v>
      </c>
      <c r="AC272">
        <f t="shared" si="378"/>
        <v>0</v>
      </c>
      <c r="AD272">
        <f t="shared" si="379"/>
        <v>0</v>
      </c>
      <c r="AE272">
        <f t="shared" si="380"/>
        <v>0</v>
      </c>
      <c r="AF272">
        <f t="shared" si="381"/>
        <v>0</v>
      </c>
      <c r="AG272">
        <f t="shared" si="382"/>
        <v>0</v>
      </c>
      <c r="AH272">
        <f t="shared" si="383"/>
        <v>0</v>
      </c>
      <c r="AI272">
        <f t="shared" si="384"/>
        <v>0</v>
      </c>
      <c r="AJ272">
        <f t="shared" si="385"/>
        <v>0</v>
      </c>
      <c r="AK272">
        <f t="shared" si="386"/>
        <v>0</v>
      </c>
      <c r="AL272">
        <f t="shared" si="387"/>
        <v>0</v>
      </c>
      <c r="AM272">
        <f t="shared" si="388"/>
        <v>0</v>
      </c>
      <c r="AN272">
        <f t="shared" si="389"/>
        <v>0</v>
      </c>
      <c r="AO272">
        <f t="shared" si="390"/>
        <v>0</v>
      </c>
      <c r="AP272">
        <f t="shared" si="391"/>
        <v>0</v>
      </c>
      <c r="AQ272">
        <f t="shared" si="392"/>
        <v>0</v>
      </c>
      <c r="AR272">
        <f t="shared" si="393"/>
        <v>0</v>
      </c>
      <c r="AS272">
        <f t="shared" si="394"/>
        <v>0</v>
      </c>
      <c r="AT272">
        <f t="shared" si="395"/>
        <v>0</v>
      </c>
      <c r="AU272">
        <f t="shared" si="396"/>
        <v>0</v>
      </c>
      <c r="AV272">
        <f t="shared" si="397"/>
        <v>0</v>
      </c>
      <c r="AW272">
        <f t="shared" si="398"/>
        <v>0</v>
      </c>
      <c r="AX272">
        <f t="shared" si="399"/>
        <v>0</v>
      </c>
      <c r="AY272">
        <f t="shared" si="370"/>
        <v>0</v>
      </c>
      <c r="BA272">
        <f t="shared" si="401"/>
        <v>0</v>
      </c>
      <c r="BB272">
        <f t="shared" si="402"/>
        <v>0</v>
      </c>
      <c r="BC272">
        <f t="shared" si="403"/>
        <v>0</v>
      </c>
      <c r="BD272">
        <f t="shared" si="404"/>
        <v>0</v>
      </c>
      <c r="BE272">
        <f t="shared" si="405"/>
        <v>0</v>
      </c>
      <c r="BF272">
        <f t="shared" si="406"/>
        <v>0</v>
      </c>
      <c r="BG272">
        <f t="shared" si="407"/>
        <v>0</v>
      </c>
      <c r="BH272">
        <f t="shared" si="408"/>
        <v>0</v>
      </c>
      <c r="BI272">
        <f t="shared" si="409"/>
        <v>0</v>
      </c>
      <c r="BJ272">
        <f t="shared" si="410"/>
        <v>0</v>
      </c>
      <c r="BK272">
        <f t="shared" si="411"/>
        <v>0</v>
      </c>
      <c r="BL272">
        <f t="shared" si="412"/>
        <v>0</v>
      </c>
      <c r="BM272">
        <f t="shared" si="413"/>
        <v>0</v>
      </c>
      <c r="BN272">
        <f t="shared" si="414"/>
        <v>0</v>
      </c>
      <c r="BO272">
        <f t="shared" si="415"/>
        <v>0</v>
      </c>
      <c r="BP272">
        <f t="shared" si="416"/>
        <v>0</v>
      </c>
      <c r="BQ272">
        <f t="shared" si="417"/>
        <v>0</v>
      </c>
      <c r="BR272">
        <f t="shared" si="418"/>
        <v>0</v>
      </c>
      <c r="BS272">
        <f t="shared" si="419"/>
        <v>0</v>
      </c>
      <c r="BT272">
        <f t="shared" si="420"/>
        <v>0</v>
      </c>
      <c r="BU272">
        <f t="shared" si="421"/>
        <v>0</v>
      </c>
      <c r="BV272">
        <f t="shared" si="422"/>
        <v>0</v>
      </c>
      <c r="BW272">
        <f t="shared" si="423"/>
        <v>0</v>
      </c>
      <c r="BX272">
        <f t="shared" si="424"/>
        <v>0</v>
      </c>
      <c r="BZ272">
        <f t="shared" si="376"/>
        <v>0</v>
      </c>
      <c r="CA272">
        <f t="shared" si="425"/>
        <v>0</v>
      </c>
      <c r="CB272">
        <f t="shared" si="425"/>
        <v>0</v>
      </c>
      <c r="CC272">
        <f t="shared" si="425"/>
        <v>0</v>
      </c>
      <c r="CD272">
        <f t="shared" si="425"/>
        <v>0</v>
      </c>
      <c r="CE272">
        <f t="shared" si="425"/>
        <v>0</v>
      </c>
      <c r="CF272">
        <f t="shared" si="425"/>
        <v>0</v>
      </c>
      <c r="CG272">
        <f t="shared" si="425"/>
        <v>0</v>
      </c>
      <c r="CH272">
        <f t="shared" si="425"/>
        <v>0</v>
      </c>
      <c r="CI272">
        <f t="shared" si="425"/>
        <v>0</v>
      </c>
      <c r="CJ272">
        <f t="shared" si="425"/>
        <v>0</v>
      </c>
      <c r="CK272">
        <f t="shared" si="425"/>
        <v>0</v>
      </c>
      <c r="CL272">
        <f t="shared" si="425"/>
        <v>0</v>
      </c>
      <c r="CM272">
        <f t="shared" si="425"/>
        <v>0</v>
      </c>
      <c r="CN272">
        <f t="shared" si="425"/>
        <v>0</v>
      </c>
      <c r="CO272">
        <f t="shared" si="425"/>
        <v>0</v>
      </c>
      <c r="CP272">
        <f t="shared" si="425"/>
        <v>0</v>
      </c>
      <c r="CQ272">
        <f t="shared" si="426"/>
        <v>0</v>
      </c>
      <c r="CR272">
        <f t="shared" si="427"/>
        <v>0</v>
      </c>
      <c r="CS272">
        <f t="shared" si="428"/>
        <v>0</v>
      </c>
      <c r="CT272">
        <f t="shared" si="429"/>
        <v>0</v>
      </c>
      <c r="CU272">
        <f t="shared" si="430"/>
        <v>0</v>
      </c>
      <c r="CV272">
        <f t="shared" si="431"/>
        <v>0</v>
      </c>
      <c r="CW272">
        <f t="shared" si="432"/>
        <v>0</v>
      </c>
    </row>
    <row r="273" spans="1:102">
      <c r="A273" s="60">
        <v>45195</v>
      </c>
      <c r="B273" s="426"/>
      <c r="Z273" s="77"/>
      <c r="AB273" s="52">
        <f t="shared" si="400"/>
        <v>0</v>
      </c>
      <c r="AC273" s="52">
        <f t="shared" si="378"/>
        <v>0</v>
      </c>
      <c r="AD273" s="52">
        <f t="shared" si="379"/>
        <v>0</v>
      </c>
      <c r="AE273" s="52">
        <f t="shared" si="380"/>
        <v>0</v>
      </c>
      <c r="AF273" s="52">
        <f t="shared" si="381"/>
        <v>0</v>
      </c>
      <c r="AG273" s="52">
        <f t="shared" si="382"/>
        <v>0</v>
      </c>
      <c r="AH273" s="52">
        <f t="shared" si="383"/>
        <v>0</v>
      </c>
      <c r="AI273" s="52">
        <f t="shared" si="384"/>
        <v>0</v>
      </c>
      <c r="AJ273" s="52">
        <f t="shared" si="385"/>
        <v>0</v>
      </c>
      <c r="AK273" s="52">
        <f t="shared" si="386"/>
        <v>0</v>
      </c>
      <c r="AL273" s="52">
        <f t="shared" si="387"/>
        <v>0</v>
      </c>
      <c r="AM273" s="52">
        <f t="shared" si="388"/>
        <v>0</v>
      </c>
      <c r="AN273" s="52">
        <f t="shared" si="389"/>
        <v>0</v>
      </c>
      <c r="AO273" s="52">
        <f t="shared" si="390"/>
        <v>0</v>
      </c>
      <c r="AP273" s="52">
        <f t="shared" si="391"/>
        <v>0</v>
      </c>
      <c r="AQ273" s="52">
        <f t="shared" si="392"/>
        <v>0</v>
      </c>
      <c r="AR273" s="52">
        <f t="shared" si="393"/>
        <v>0</v>
      </c>
      <c r="AS273" s="52">
        <f t="shared" si="394"/>
        <v>0</v>
      </c>
      <c r="AT273" s="52">
        <f t="shared" si="395"/>
        <v>0</v>
      </c>
      <c r="AU273" s="52">
        <f t="shared" si="396"/>
        <v>0</v>
      </c>
      <c r="AV273" s="52">
        <f t="shared" si="397"/>
        <v>0</v>
      </c>
      <c r="AW273" s="52">
        <f t="shared" si="398"/>
        <v>0</v>
      </c>
      <c r="AX273" s="52">
        <f t="shared" si="399"/>
        <v>0</v>
      </c>
      <c r="AY273" s="52">
        <f t="shared" si="370"/>
        <v>0</v>
      </c>
      <c r="BA273" s="52">
        <f t="shared" si="401"/>
        <v>0</v>
      </c>
      <c r="BB273" s="52">
        <f t="shared" si="402"/>
        <v>0</v>
      </c>
      <c r="BC273" s="52">
        <f t="shared" si="403"/>
        <v>0</v>
      </c>
      <c r="BD273" s="52">
        <f t="shared" si="404"/>
        <v>0</v>
      </c>
      <c r="BE273" s="52">
        <f t="shared" si="405"/>
        <v>0</v>
      </c>
      <c r="BF273" s="52">
        <f t="shared" si="406"/>
        <v>0</v>
      </c>
      <c r="BG273" s="52">
        <f t="shared" si="407"/>
        <v>0</v>
      </c>
      <c r="BH273" s="52">
        <f t="shared" si="408"/>
        <v>0</v>
      </c>
      <c r="BI273" s="52">
        <f t="shared" si="409"/>
        <v>0</v>
      </c>
      <c r="BJ273" s="52">
        <f t="shared" si="410"/>
        <v>0</v>
      </c>
      <c r="BK273" s="52">
        <f t="shared" si="411"/>
        <v>0</v>
      </c>
      <c r="BL273" s="52">
        <f t="shared" si="412"/>
        <v>0</v>
      </c>
      <c r="BM273" s="52">
        <f t="shared" si="413"/>
        <v>0</v>
      </c>
      <c r="BN273" s="52">
        <f t="shared" si="414"/>
        <v>0</v>
      </c>
      <c r="BO273" s="52">
        <f t="shared" si="415"/>
        <v>0</v>
      </c>
      <c r="BP273" s="52">
        <f t="shared" si="416"/>
        <v>0</v>
      </c>
      <c r="BQ273" s="52">
        <f t="shared" si="417"/>
        <v>0</v>
      </c>
      <c r="BR273" s="52">
        <f t="shared" si="418"/>
        <v>0</v>
      </c>
      <c r="BS273" s="52">
        <f t="shared" si="419"/>
        <v>0</v>
      </c>
      <c r="BT273" s="52">
        <f t="shared" si="420"/>
        <v>0</v>
      </c>
      <c r="BU273" s="52">
        <f t="shared" si="421"/>
        <v>0</v>
      </c>
      <c r="BV273" s="52">
        <f t="shared" si="422"/>
        <v>0</v>
      </c>
      <c r="BW273" s="52">
        <f t="shared" si="423"/>
        <v>0</v>
      </c>
      <c r="BX273" s="52">
        <f t="shared" si="424"/>
        <v>0</v>
      </c>
      <c r="BZ273" s="52">
        <f t="shared" si="376"/>
        <v>0</v>
      </c>
      <c r="CA273" s="52">
        <f t="shared" si="425"/>
        <v>0</v>
      </c>
      <c r="CB273" s="52">
        <f t="shared" si="425"/>
        <v>0</v>
      </c>
      <c r="CC273" s="52">
        <f t="shared" si="425"/>
        <v>0</v>
      </c>
      <c r="CD273" s="52">
        <f t="shared" si="425"/>
        <v>0</v>
      </c>
      <c r="CE273" s="52">
        <f t="shared" si="425"/>
        <v>0</v>
      </c>
      <c r="CF273" s="52">
        <f t="shared" si="425"/>
        <v>0</v>
      </c>
      <c r="CG273" s="52">
        <f t="shared" si="425"/>
        <v>0</v>
      </c>
      <c r="CH273" s="52">
        <f t="shared" si="425"/>
        <v>0</v>
      </c>
      <c r="CI273" s="52">
        <f t="shared" si="425"/>
        <v>0</v>
      </c>
      <c r="CJ273" s="52">
        <f t="shared" si="425"/>
        <v>0</v>
      </c>
      <c r="CK273" s="52">
        <f t="shared" si="425"/>
        <v>0</v>
      </c>
      <c r="CL273" s="52">
        <f t="shared" si="425"/>
        <v>0</v>
      </c>
      <c r="CM273" s="52">
        <f t="shared" si="425"/>
        <v>0</v>
      </c>
      <c r="CN273" s="52">
        <f t="shared" si="425"/>
        <v>0</v>
      </c>
      <c r="CO273" s="52">
        <f t="shared" si="425"/>
        <v>0</v>
      </c>
      <c r="CP273" s="52">
        <f t="shared" si="425"/>
        <v>0</v>
      </c>
      <c r="CQ273" s="52">
        <f t="shared" si="426"/>
        <v>0</v>
      </c>
      <c r="CR273" s="52">
        <f t="shared" si="427"/>
        <v>0</v>
      </c>
      <c r="CS273" s="52">
        <f t="shared" si="428"/>
        <v>0</v>
      </c>
      <c r="CT273" s="52">
        <f t="shared" si="429"/>
        <v>0</v>
      </c>
      <c r="CU273" s="52">
        <f t="shared" si="430"/>
        <v>0</v>
      </c>
      <c r="CV273" s="52">
        <f t="shared" si="431"/>
        <v>0</v>
      </c>
      <c r="CW273" s="52">
        <f t="shared" si="432"/>
        <v>0</v>
      </c>
    </row>
    <row r="274" spans="1:102">
      <c r="A274" s="60">
        <v>45196</v>
      </c>
      <c r="B274" s="426"/>
      <c r="Z274" s="77"/>
      <c r="AB274">
        <f t="shared" si="400"/>
        <v>0</v>
      </c>
      <c r="AC274">
        <f t="shared" si="378"/>
        <v>0</v>
      </c>
      <c r="AD274">
        <f t="shared" si="379"/>
        <v>0</v>
      </c>
      <c r="AE274">
        <f t="shared" si="380"/>
        <v>0</v>
      </c>
      <c r="AF274">
        <f t="shared" si="381"/>
        <v>0</v>
      </c>
      <c r="AG274">
        <f t="shared" si="382"/>
        <v>0</v>
      </c>
      <c r="AH274">
        <f t="shared" si="383"/>
        <v>0</v>
      </c>
      <c r="AI274">
        <f t="shared" si="384"/>
        <v>0</v>
      </c>
      <c r="AJ274">
        <f t="shared" si="385"/>
        <v>0</v>
      </c>
      <c r="AK274">
        <f t="shared" si="386"/>
        <v>0</v>
      </c>
      <c r="AL274">
        <f t="shared" si="387"/>
        <v>0</v>
      </c>
      <c r="AM274">
        <f t="shared" si="388"/>
        <v>0</v>
      </c>
      <c r="AN274">
        <f t="shared" si="389"/>
        <v>0</v>
      </c>
      <c r="AO274">
        <f t="shared" si="390"/>
        <v>0</v>
      </c>
      <c r="AP274">
        <f t="shared" si="391"/>
        <v>0</v>
      </c>
      <c r="AQ274">
        <f t="shared" si="392"/>
        <v>0</v>
      </c>
      <c r="AR274">
        <f t="shared" si="393"/>
        <v>0</v>
      </c>
      <c r="AS274">
        <f t="shared" si="394"/>
        <v>0</v>
      </c>
      <c r="AT274">
        <f t="shared" si="395"/>
        <v>0</v>
      </c>
      <c r="AU274">
        <f t="shared" si="396"/>
        <v>0</v>
      </c>
      <c r="AV274">
        <f t="shared" si="397"/>
        <v>0</v>
      </c>
      <c r="AW274">
        <f t="shared" si="398"/>
        <v>0</v>
      </c>
      <c r="AX274">
        <f t="shared" si="399"/>
        <v>0</v>
      </c>
      <c r="AY274">
        <f t="shared" si="370"/>
        <v>0</v>
      </c>
      <c r="BA274">
        <f t="shared" si="401"/>
        <v>0</v>
      </c>
      <c r="BB274">
        <f t="shared" si="402"/>
        <v>0</v>
      </c>
      <c r="BC274">
        <f t="shared" si="403"/>
        <v>0</v>
      </c>
      <c r="BD274">
        <f t="shared" si="404"/>
        <v>0</v>
      </c>
      <c r="BE274">
        <f t="shared" si="405"/>
        <v>0</v>
      </c>
      <c r="BF274">
        <f t="shared" si="406"/>
        <v>0</v>
      </c>
      <c r="BG274">
        <f t="shared" si="407"/>
        <v>0</v>
      </c>
      <c r="BH274">
        <f t="shared" si="408"/>
        <v>0</v>
      </c>
      <c r="BI274">
        <f t="shared" si="409"/>
        <v>0</v>
      </c>
      <c r="BJ274">
        <f t="shared" si="410"/>
        <v>0</v>
      </c>
      <c r="BK274">
        <f t="shared" si="411"/>
        <v>0</v>
      </c>
      <c r="BL274">
        <f t="shared" si="412"/>
        <v>0</v>
      </c>
      <c r="BM274">
        <f t="shared" si="413"/>
        <v>0</v>
      </c>
      <c r="BN274">
        <f t="shared" si="414"/>
        <v>0</v>
      </c>
      <c r="BO274">
        <f t="shared" si="415"/>
        <v>0</v>
      </c>
      <c r="BP274">
        <f t="shared" si="416"/>
        <v>0</v>
      </c>
      <c r="BQ274">
        <f t="shared" si="417"/>
        <v>0</v>
      </c>
      <c r="BR274">
        <f t="shared" si="418"/>
        <v>0</v>
      </c>
      <c r="BS274">
        <f t="shared" si="419"/>
        <v>0</v>
      </c>
      <c r="BT274">
        <f t="shared" si="420"/>
        <v>0</v>
      </c>
      <c r="BU274">
        <f t="shared" si="421"/>
        <v>0</v>
      </c>
      <c r="BV274">
        <f t="shared" si="422"/>
        <v>0</v>
      </c>
      <c r="BW274">
        <f t="shared" si="423"/>
        <v>0</v>
      </c>
      <c r="BX274">
        <f t="shared" si="424"/>
        <v>0</v>
      </c>
      <c r="BZ274">
        <f t="shared" si="376"/>
        <v>0</v>
      </c>
      <c r="CA274">
        <f t="shared" si="425"/>
        <v>0</v>
      </c>
      <c r="CB274">
        <f t="shared" si="425"/>
        <v>0</v>
      </c>
      <c r="CC274">
        <f t="shared" si="425"/>
        <v>0</v>
      </c>
      <c r="CD274">
        <f t="shared" si="425"/>
        <v>0</v>
      </c>
      <c r="CE274">
        <f t="shared" si="425"/>
        <v>0</v>
      </c>
      <c r="CF274">
        <f t="shared" si="425"/>
        <v>0</v>
      </c>
      <c r="CG274">
        <f t="shared" si="425"/>
        <v>0</v>
      </c>
      <c r="CH274">
        <f t="shared" si="425"/>
        <v>0</v>
      </c>
      <c r="CI274">
        <f t="shared" si="425"/>
        <v>0</v>
      </c>
      <c r="CJ274">
        <f t="shared" si="425"/>
        <v>0</v>
      </c>
      <c r="CK274">
        <f t="shared" si="425"/>
        <v>0</v>
      </c>
      <c r="CL274">
        <f t="shared" si="425"/>
        <v>0</v>
      </c>
      <c r="CM274">
        <f t="shared" si="425"/>
        <v>0</v>
      </c>
      <c r="CN274">
        <f t="shared" si="425"/>
        <v>0</v>
      </c>
      <c r="CO274">
        <f t="shared" si="425"/>
        <v>0</v>
      </c>
      <c r="CP274">
        <f t="shared" si="425"/>
        <v>0</v>
      </c>
      <c r="CQ274">
        <f t="shared" si="426"/>
        <v>0</v>
      </c>
      <c r="CR274">
        <f t="shared" si="427"/>
        <v>0</v>
      </c>
      <c r="CS274">
        <f t="shared" si="428"/>
        <v>0</v>
      </c>
      <c r="CT274">
        <f t="shared" si="429"/>
        <v>0</v>
      </c>
      <c r="CU274">
        <f t="shared" si="430"/>
        <v>0</v>
      </c>
      <c r="CV274">
        <f t="shared" si="431"/>
        <v>0</v>
      </c>
      <c r="CW274">
        <f t="shared" si="432"/>
        <v>0</v>
      </c>
    </row>
    <row r="275" spans="1:102">
      <c r="A275" s="60">
        <v>45197</v>
      </c>
      <c r="B275" s="426"/>
      <c r="Z275" s="77"/>
      <c r="AB275" s="52">
        <f t="shared" si="400"/>
        <v>0</v>
      </c>
      <c r="AC275" s="52">
        <f t="shared" si="378"/>
        <v>0</v>
      </c>
      <c r="AD275" s="52">
        <f t="shared" si="379"/>
        <v>0</v>
      </c>
      <c r="AE275" s="52">
        <f t="shared" si="380"/>
        <v>0</v>
      </c>
      <c r="AF275" s="52">
        <f t="shared" si="381"/>
        <v>0</v>
      </c>
      <c r="AG275" s="52">
        <f t="shared" si="382"/>
        <v>0</v>
      </c>
      <c r="AH275" s="52">
        <f t="shared" si="383"/>
        <v>0</v>
      </c>
      <c r="AI275" s="52">
        <f t="shared" si="384"/>
        <v>0</v>
      </c>
      <c r="AJ275" s="52">
        <f t="shared" si="385"/>
        <v>0</v>
      </c>
      <c r="AK275" s="52">
        <f t="shared" si="386"/>
        <v>0</v>
      </c>
      <c r="AL275" s="52">
        <f t="shared" si="387"/>
        <v>0</v>
      </c>
      <c r="AM275" s="52">
        <f t="shared" si="388"/>
        <v>0</v>
      </c>
      <c r="AN275" s="52">
        <f t="shared" si="389"/>
        <v>0</v>
      </c>
      <c r="AO275" s="52">
        <f t="shared" si="390"/>
        <v>0</v>
      </c>
      <c r="AP275" s="52">
        <f t="shared" si="391"/>
        <v>0</v>
      </c>
      <c r="AQ275" s="52">
        <f t="shared" si="392"/>
        <v>0</v>
      </c>
      <c r="AR275" s="52">
        <f t="shared" si="393"/>
        <v>0</v>
      </c>
      <c r="AS275" s="52">
        <f t="shared" si="394"/>
        <v>0</v>
      </c>
      <c r="AT275" s="52">
        <f t="shared" si="395"/>
        <v>0</v>
      </c>
      <c r="AU275" s="52">
        <f t="shared" si="396"/>
        <v>0</v>
      </c>
      <c r="AV275" s="52">
        <f t="shared" si="397"/>
        <v>0</v>
      </c>
      <c r="AW275" s="52">
        <f t="shared" si="398"/>
        <v>0</v>
      </c>
      <c r="AX275" s="52">
        <f t="shared" si="399"/>
        <v>0</v>
      </c>
      <c r="AY275" s="52">
        <f t="shared" si="370"/>
        <v>0</v>
      </c>
      <c r="BA275" s="52">
        <f t="shared" si="401"/>
        <v>0</v>
      </c>
      <c r="BB275" s="52">
        <f t="shared" si="402"/>
        <v>0</v>
      </c>
      <c r="BC275" s="52">
        <f t="shared" si="403"/>
        <v>0</v>
      </c>
      <c r="BD275" s="52">
        <f t="shared" si="404"/>
        <v>0</v>
      </c>
      <c r="BE275" s="52">
        <f t="shared" si="405"/>
        <v>0</v>
      </c>
      <c r="BF275" s="52">
        <f t="shared" si="406"/>
        <v>0</v>
      </c>
      <c r="BG275" s="52">
        <f t="shared" si="407"/>
        <v>0</v>
      </c>
      <c r="BH275" s="52">
        <f t="shared" si="408"/>
        <v>0</v>
      </c>
      <c r="BI275" s="52">
        <f t="shared" si="409"/>
        <v>0</v>
      </c>
      <c r="BJ275" s="52">
        <f t="shared" si="410"/>
        <v>0</v>
      </c>
      <c r="BK275" s="52">
        <f t="shared" si="411"/>
        <v>0</v>
      </c>
      <c r="BL275" s="52">
        <f t="shared" si="412"/>
        <v>0</v>
      </c>
      <c r="BM275" s="52">
        <f t="shared" si="413"/>
        <v>0</v>
      </c>
      <c r="BN275" s="52">
        <f t="shared" si="414"/>
        <v>0</v>
      </c>
      <c r="BO275" s="52">
        <f t="shared" si="415"/>
        <v>0</v>
      </c>
      <c r="BP275" s="52">
        <f t="shared" si="416"/>
        <v>0</v>
      </c>
      <c r="BQ275" s="52">
        <f t="shared" si="417"/>
        <v>0</v>
      </c>
      <c r="BR275" s="52">
        <f t="shared" si="418"/>
        <v>0</v>
      </c>
      <c r="BS275" s="52">
        <f t="shared" si="419"/>
        <v>0</v>
      </c>
      <c r="BT275" s="52">
        <f t="shared" si="420"/>
        <v>0</v>
      </c>
      <c r="BU275" s="52">
        <f t="shared" si="421"/>
        <v>0</v>
      </c>
      <c r="BV275" s="52">
        <f t="shared" si="422"/>
        <v>0</v>
      </c>
      <c r="BW275" s="52">
        <f t="shared" si="423"/>
        <v>0</v>
      </c>
      <c r="BX275" s="52">
        <f t="shared" si="424"/>
        <v>0</v>
      </c>
      <c r="BZ275" s="52">
        <f t="shared" si="376"/>
        <v>0</v>
      </c>
      <c r="CA275" s="52">
        <f t="shared" si="425"/>
        <v>0</v>
      </c>
      <c r="CB275" s="52">
        <f t="shared" si="425"/>
        <v>0</v>
      </c>
      <c r="CC275" s="52">
        <f t="shared" si="425"/>
        <v>0</v>
      </c>
      <c r="CD275" s="52">
        <f t="shared" si="425"/>
        <v>0</v>
      </c>
      <c r="CE275" s="52">
        <f t="shared" si="425"/>
        <v>0</v>
      </c>
      <c r="CF275" s="52">
        <f t="shared" si="425"/>
        <v>0</v>
      </c>
      <c r="CG275" s="52">
        <f t="shared" si="425"/>
        <v>0</v>
      </c>
      <c r="CH275" s="52">
        <f t="shared" si="425"/>
        <v>0</v>
      </c>
      <c r="CI275" s="52">
        <f t="shared" si="425"/>
        <v>0</v>
      </c>
      <c r="CJ275" s="52">
        <f t="shared" si="425"/>
        <v>0</v>
      </c>
      <c r="CK275" s="52">
        <f t="shared" si="425"/>
        <v>0</v>
      </c>
      <c r="CL275" s="52">
        <f t="shared" si="425"/>
        <v>0</v>
      </c>
      <c r="CM275" s="52">
        <f t="shared" si="425"/>
        <v>0</v>
      </c>
      <c r="CN275" s="52">
        <f t="shared" si="425"/>
        <v>0</v>
      </c>
      <c r="CO275" s="52">
        <f t="shared" si="425"/>
        <v>0</v>
      </c>
      <c r="CP275" s="52">
        <f t="shared" si="425"/>
        <v>0</v>
      </c>
      <c r="CQ275" s="52">
        <f t="shared" si="426"/>
        <v>0</v>
      </c>
      <c r="CR275" s="52">
        <f t="shared" si="427"/>
        <v>0</v>
      </c>
      <c r="CS275" s="52">
        <f t="shared" si="428"/>
        <v>0</v>
      </c>
      <c r="CT275" s="52">
        <f t="shared" si="429"/>
        <v>0</v>
      </c>
      <c r="CU275" s="52">
        <f t="shared" si="430"/>
        <v>0</v>
      </c>
      <c r="CV275" s="52">
        <f t="shared" si="431"/>
        <v>0</v>
      </c>
      <c r="CW275" s="52">
        <f t="shared" si="432"/>
        <v>0</v>
      </c>
    </row>
    <row r="276" spans="1:102">
      <c r="A276" s="60">
        <v>45198</v>
      </c>
      <c r="B276" s="426"/>
      <c r="Z276" s="77"/>
      <c r="AB276">
        <f t="shared" si="400"/>
        <v>0</v>
      </c>
      <c r="AC276">
        <f t="shared" si="378"/>
        <v>0</v>
      </c>
      <c r="AD276">
        <f t="shared" si="379"/>
        <v>0</v>
      </c>
      <c r="AE276">
        <f t="shared" si="380"/>
        <v>0</v>
      </c>
      <c r="AF276">
        <f t="shared" si="381"/>
        <v>0</v>
      </c>
      <c r="AG276">
        <f t="shared" si="382"/>
        <v>0</v>
      </c>
      <c r="AH276">
        <f t="shared" si="383"/>
        <v>0</v>
      </c>
      <c r="AI276">
        <f t="shared" si="384"/>
        <v>0</v>
      </c>
      <c r="AJ276">
        <f t="shared" si="385"/>
        <v>0</v>
      </c>
      <c r="AK276">
        <f t="shared" si="386"/>
        <v>0</v>
      </c>
      <c r="AL276">
        <f t="shared" si="387"/>
        <v>0</v>
      </c>
      <c r="AM276">
        <f t="shared" si="388"/>
        <v>0</v>
      </c>
      <c r="AN276">
        <f t="shared" si="389"/>
        <v>0</v>
      </c>
      <c r="AO276">
        <f t="shared" si="390"/>
        <v>0</v>
      </c>
      <c r="AP276">
        <f t="shared" si="391"/>
        <v>0</v>
      </c>
      <c r="AQ276">
        <f t="shared" si="392"/>
        <v>0</v>
      </c>
      <c r="AR276">
        <f t="shared" si="393"/>
        <v>0</v>
      </c>
      <c r="AS276">
        <f t="shared" si="394"/>
        <v>0</v>
      </c>
      <c r="AT276">
        <f t="shared" si="395"/>
        <v>0</v>
      </c>
      <c r="AU276">
        <f t="shared" si="396"/>
        <v>0</v>
      </c>
      <c r="AV276">
        <f t="shared" si="397"/>
        <v>0</v>
      </c>
      <c r="AW276">
        <f t="shared" si="398"/>
        <v>0</v>
      </c>
      <c r="AX276">
        <f t="shared" si="399"/>
        <v>0</v>
      </c>
      <c r="AY276">
        <f t="shared" si="370"/>
        <v>0</v>
      </c>
      <c r="BA276">
        <f t="shared" si="401"/>
        <v>0</v>
      </c>
      <c r="BB276">
        <f t="shared" si="402"/>
        <v>0</v>
      </c>
      <c r="BC276">
        <f t="shared" si="403"/>
        <v>0</v>
      </c>
      <c r="BD276">
        <f t="shared" si="404"/>
        <v>0</v>
      </c>
      <c r="BE276">
        <f t="shared" si="405"/>
        <v>0</v>
      </c>
      <c r="BF276">
        <f t="shared" si="406"/>
        <v>0</v>
      </c>
      <c r="BG276">
        <f t="shared" si="407"/>
        <v>0</v>
      </c>
      <c r="BH276">
        <f t="shared" si="408"/>
        <v>0</v>
      </c>
      <c r="BI276">
        <f t="shared" si="409"/>
        <v>0</v>
      </c>
      <c r="BJ276">
        <f t="shared" si="410"/>
        <v>0</v>
      </c>
      <c r="BK276">
        <f t="shared" si="411"/>
        <v>0</v>
      </c>
      <c r="BL276">
        <f t="shared" si="412"/>
        <v>0</v>
      </c>
      <c r="BM276">
        <f t="shared" si="413"/>
        <v>0</v>
      </c>
      <c r="BN276">
        <f t="shared" si="414"/>
        <v>0</v>
      </c>
      <c r="BO276">
        <f t="shared" si="415"/>
        <v>0</v>
      </c>
      <c r="BP276">
        <f t="shared" si="416"/>
        <v>0</v>
      </c>
      <c r="BQ276">
        <f t="shared" si="417"/>
        <v>0</v>
      </c>
      <c r="BR276">
        <f t="shared" si="418"/>
        <v>0</v>
      </c>
      <c r="BS276">
        <f t="shared" si="419"/>
        <v>0</v>
      </c>
      <c r="BT276">
        <f t="shared" si="420"/>
        <v>0</v>
      </c>
      <c r="BU276">
        <f t="shared" si="421"/>
        <v>0</v>
      </c>
      <c r="BV276">
        <f t="shared" si="422"/>
        <v>0</v>
      </c>
      <c r="BW276">
        <f t="shared" si="423"/>
        <v>0</v>
      </c>
      <c r="BX276">
        <f t="shared" si="424"/>
        <v>0</v>
      </c>
      <c r="BZ276">
        <f t="shared" si="376"/>
        <v>0</v>
      </c>
      <c r="CA276">
        <f t="shared" si="425"/>
        <v>0</v>
      </c>
      <c r="CB276">
        <f t="shared" si="425"/>
        <v>0</v>
      </c>
      <c r="CC276">
        <f t="shared" si="425"/>
        <v>0</v>
      </c>
      <c r="CD276">
        <f t="shared" si="425"/>
        <v>0</v>
      </c>
      <c r="CE276">
        <f t="shared" si="425"/>
        <v>0</v>
      </c>
      <c r="CF276">
        <f t="shared" si="425"/>
        <v>0</v>
      </c>
      <c r="CG276">
        <f t="shared" si="425"/>
        <v>0</v>
      </c>
      <c r="CH276">
        <f t="shared" si="425"/>
        <v>0</v>
      </c>
      <c r="CI276">
        <f t="shared" si="425"/>
        <v>0</v>
      </c>
      <c r="CJ276">
        <f t="shared" si="425"/>
        <v>0</v>
      </c>
      <c r="CK276">
        <f t="shared" si="425"/>
        <v>0</v>
      </c>
      <c r="CL276">
        <f t="shared" si="425"/>
        <v>0</v>
      </c>
      <c r="CM276">
        <f t="shared" si="425"/>
        <v>0</v>
      </c>
      <c r="CN276">
        <f t="shared" si="425"/>
        <v>0</v>
      </c>
      <c r="CO276">
        <f t="shared" si="425"/>
        <v>0</v>
      </c>
      <c r="CP276">
        <f t="shared" si="425"/>
        <v>0</v>
      </c>
      <c r="CQ276">
        <f t="shared" si="426"/>
        <v>0</v>
      </c>
      <c r="CR276">
        <f t="shared" si="427"/>
        <v>0</v>
      </c>
      <c r="CS276">
        <f t="shared" si="428"/>
        <v>0</v>
      </c>
      <c r="CT276">
        <f t="shared" si="429"/>
        <v>0</v>
      </c>
      <c r="CU276">
        <f t="shared" si="430"/>
        <v>0</v>
      </c>
      <c r="CV276">
        <f t="shared" si="431"/>
        <v>0</v>
      </c>
      <c r="CW276">
        <f t="shared" si="432"/>
        <v>0</v>
      </c>
    </row>
    <row r="277" spans="1:102">
      <c r="A277" s="60">
        <v>45199</v>
      </c>
      <c r="B277" s="426"/>
      <c r="Z277" s="77"/>
      <c r="AB277" s="52">
        <f t="shared" si="400"/>
        <v>0</v>
      </c>
      <c r="AC277" s="52">
        <f t="shared" si="378"/>
        <v>0</v>
      </c>
      <c r="AD277" s="52">
        <f t="shared" si="379"/>
        <v>0</v>
      </c>
      <c r="AE277" s="52">
        <f t="shared" si="380"/>
        <v>0</v>
      </c>
      <c r="AF277" s="52">
        <f t="shared" si="381"/>
        <v>0</v>
      </c>
      <c r="AG277" s="52">
        <f t="shared" si="382"/>
        <v>0</v>
      </c>
      <c r="AH277" s="52">
        <f t="shared" si="383"/>
        <v>0</v>
      </c>
      <c r="AI277" s="52">
        <f t="shared" si="384"/>
        <v>0</v>
      </c>
      <c r="AJ277" s="52">
        <f t="shared" si="385"/>
        <v>0</v>
      </c>
      <c r="AK277" s="52">
        <f t="shared" si="386"/>
        <v>0</v>
      </c>
      <c r="AL277" s="52">
        <f t="shared" si="387"/>
        <v>0</v>
      </c>
      <c r="AM277" s="52">
        <f t="shared" si="388"/>
        <v>0</v>
      </c>
      <c r="AN277" s="52">
        <f t="shared" si="389"/>
        <v>0</v>
      </c>
      <c r="AO277" s="52">
        <f t="shared" si="390"/>
        <v>0</v>
      </c>
      <c r="AP277" s="52">
        <f t="shared" si="391"/>
        <v>0</v>
      </c>
      <c r="AQ277" s="52">
        <f t="shared" si="392"/>
        <v>0</v>
      </c>
      <c r="AR277" s="52">
        <f t="shared" si="393"/>
        <v>0</v>
      </c>
      <c r="AS277" s="52">
        <f t="shared" si="394"/>
        <v>0</v>
      </c>
      <c r="AT277" s="52">
        <f t="shared" si="395"/>
        <v>0</v>
      </c>
      <c r="AU277" s="52">
        <f t="shared" si="396"/>
        <v>0</v>
      </c>
      <c r="AV277" s="52">
        <f t="shared" si="397"/>
        <v>0</v>
      </c>
      <c r="AW277" s="52">
        <f t="shared" si="398"/>
        <v>0</v>
      </c>
      <c r="AX277" s="52">
        <f t="shared" si="399"/>
        <v>0</v>
      </c>
      <c r="AY277" s="52">
        <f t="shared" si="370"/>
        <v>0</v>
      </c>
      <c r="BA277" s="52">
        <f t="shared" si="401"/>
        <v>0</v>
      </c>
      <c r="BB277" s="52">
        <f t="shared" si="402"/>
        <v>0</v>
      </c>
      <c r="BC277" s="52">
        <f t="shared" si="403"/>
        <v>0</v>
      </c>
      <c r="BD277" s="52">
        <f t="shared" si="404"/>
        <v>0</v>
      </c>
      <c r="BE277" s="52">
        <f t="shared" si="405"/>
        <v>0</v>
      </c>
      <c r="BF277" s="52">
        <f t="shared" si="406"/>
        <v>0</v>
      </c>
      <c r="BG277" s="52">
        <f t="shared" si="407"/>
        <v>0</v>
      </c>
      <c r="BH277" s="52">
        <f t="shared" si="408"/>
        <v>0</v>
      </c>
      <c r="BI277" s="52">
        <f t="shared" si="409"/>
        <v>0</v>
      </c>
      <c r="BJ277" s="52">
        <f t="shared" si="410"/>
        <v>0</v>
      </c>
      <c r="BK277" s="52">
        <f t="shared" si="411"/>
        <v>0</v>
      </c>
      <c r="BL277" s="52">
        <f t="shared" si="412"/>
        <v>0</v>
      </c>
      <c r="BM277" s="52">
        <f t="shared" si="413"/>
        <v>0</v>
      </c>
      <c r="BN277" s="52">
        <f t="shared" si="414"/>
        <v>0</v>
      </c>
      <c r="BO277" s="52">
        <f t="shared" si="415"/>
        <v>0</v>
      </c>
      <c r="BP277" s="52">
        <f t="shared" si="416"/>
        <v>0</v>
      </c>
      <c r="BQ277" s="52">
        <f t="shared" si="417"/>
        <v>0</v>
      </c>
      <c r="BR277" s="52">
        <f t="shared" si="418"/>
        <v>0</v>
      </c>
      <c r="BS277" s="52">
        <f t="shared" si="419"/>
        <v>0</v>
      </c>
      <c r="BT277" s="52">
        <f t="shared" si="420"/>
        <v>0</v>
      </c>
      <c r="BU277" s="52">
        <f t="shared" si="421"/>
        <v>0</v>
      </c>
      <c r="BV277" s="52">
        <f t="shared" si="422"/>
        <v>0</v>
      </c>
      <c r="BW277" s="52">
        <f t="shared" si="423"/>
        <v>0</v>
      </c>
      <c r="BX277" s="52">
        <f t="shared" si="424"/>
        <v>0</v>
      </c>
      <c r="BZ277" s="52">
        <f t="shared" si="376"/>
        <v>0</v>
      </c>
      <c r="CA277" s="52">
        <f t="shared" si="425"/>
        <v>0</v>
      </c>
      <c r="CB277" s="52">
        <f t="shared" si="425"/>
        <v>0</v>
      </c>
      <c r="CC277" s="52">
        <f t="shared" si="425"/>
        <v>0</v>
      </c>
      <c r="CD277" s="52">
        <f t="shared" si="425"/>
        <v>0</v>
      </c>
      <c r="CE277" s="52">
        <f t="shared" si="425"/>
        <v>0</v>
      </c>
      <c r="CF277" s="52">
        <f t="shared" si="425"/>
        <v>0</v>
      </c>
      <c r="CG277" s="52">
        <f t="shared" si="425"/>
        <v>0</v>
      </c>
      <c r="CH277" s="52">
        <f t="shared" si="425"/>
        <v>0</v>
      </c>
      <c r="CI277" s="52">
        <f t="shared" si="425"/>
        <v>0</v>
      </c>
      <c r="CJ277" s="52">
        <f t="shared" si="425"/>
        <v>0</v>
      </c>
      <c r="CK277" s="52">
        <f t="shared" si="425"/>
        <v>0</v>
      </c>
      <c r="CL277" s="52">
        <f t="shared" si="425"/>
        <v>0</v>
      </c>
      <c r="CM277" s="52">
        <f t="shared" si="425"/>
        <v>0</v>
      </c>
      <c r="CN277" s="52">
        <f t="shared" si="425"/>
        <v>0</v>
      </c>
      <c r="CO277" s="52">
        <f t="shared" si="425"/>
        <v>0</v>
      </c>
      <c r="CP277" s="52">
        <f>BQ277-BP277</f>
        <v>0</v>
      </c>
      <c r="CQ277" s="52">
        <f t="shared" si="426"/>
        <v>0</v>
      </c>
      <c r="CR277" s="52">
        <f t="shared" si="427"/>
        <v>0</v>
      </c>
      <c r="CS277" s="52">
        <f t="shared" si="428"/>
        <v>0</v>
      </c>
      <c r="CT277" s="52">
        <f t="shared" si="429"/>
        <v>0</v>
      </c>
      <c r="CU277" s="52">
        <f t="shared" si="430"/>
        <v>0</v>
      </c>
      <c r="CV277" s="52">
        <f t="shared" si="431"/>
        <v>0</v>
      </c>
      <c r="CW277" s="52">
        <f t="shared" si="432"/>
        <v>0</v>
      </c>
    </row>
    <row r="278" spans="1:102">
      <c r="A278" s="60">
        <v>45200</v>
      </c>
      <c r="B278" s="426"/>
      <c r="Z278" s="77"/>
      <c r="AB278" s="157">
        <f t="shared" si="400"/>
        <v>0</v>
      </c>
      <c r="AC278" s="157">
        <f t="shared" si="378"/>
        <v>0</v>
      </c>
      <c r="AD278" s="157">
        <f t="shared" si="379"/>
        <v>0</v>
      </c>
      <c r="AE278" s="157">
        <f t="shared" si="380"/>
        <v>0</v>
      </c>
      <c r="AF278" s="157">
        <f t="shared" si="381"/>
        <v>0</v>
      </c>
      <c r="AG278" s="157">
        <f t="shared" si="382"/>
        <v>0</v>
      </c>
      <c r="AH278" s="157">
        <f t="shared" si="383"/>
        <v>0</v>
      </c>
      <c r="AI278" s="157">
        <f t="shared" si="384"/>
        <v>0</v>
      </c>
      <c r="AJ278" s="157">
        <f t="shared" si="385"/>
        <v>0</v>
      </c>
      <c r="AK278" s="157">
        <f t="shared" si="386"/>
        <v>0</v>
      </c>
      <c r="AL278" s="157">
        <f t="shared" si="387"/>
        <v>0</v>
      </c>
      <c r="AM278" s="157">
        <f t="shared" si="388"/>
        <v>0</v>
      </c>
      <c r="AN278" s="157">
        <f t="shared" si="389"/>
        <v>0</v>
      </c>
      <c r="AO278" s="157">
        <f t="shared" si="390"/>
        <v>0</v>
      </c>
      <c r="AP278" s="157">
        <f t="shared" si="391"/>
        <v>0</v>
      </c>
      <c r="AQ278" s="157">
        <f t="shared" si="392"/>
        <v>0</v>
      </c>
      <c r="AR278" s="157">
        <f t="shared" si="393"/>
        <v>0</v>
      </c>
      <c r="AS278" s="157">
        <f t="shared" si="394"/>
        <v>0</v>
      </c>
      <c r="AT278" s="157">
        <f t="shared" si="395"/>
        <v>0</v>
      </c>
      <c r="AU278" s="157">
        <f t="shared" si="396"/>
        <v>0</v>
      </c>
      <c r="AV278" s="157">
        <f t="shared" si="397"/>
        <v>0</v>
      </c>
      <c r="AW278" s="157">
        <f t="shared" si="398"/>
        <v>0</v>
      </c>
      <c r="AX278" s="157">
        <f t="shared" si="399"/>
        <v>0</v>
      </c>
      <c r="AY278" s="157">
        <f t="shared" ref="AY278:AY309" si="433">+IF(AND(Y278=0,B279&lt;&gt;0),1,0)</f>
        <v>0</v>
      </c>
      <c r="AZ278" s="63">
        <f>+SUM(AB248:AY277)</f>
        <v>1</v>
      </c>
      <c r="BA278" s="54">
        <f t="shared" si="401"/>
        <v>0</v>
      </c>
      <c r="BB278" s="54">
        <f t="shared" si="402"/>
        <v>0</v>
      </c>
      <c r="BC278" s="54">
        <f t="shared" si="403"/>
        <v>0</v>
      </c>
      <c r="BD278" s="54">
        <f t="shared" si="404"/>
        <v>0</v>
      </c>
      <c r="BE278" s="54">
        <f t="shared" si="405"/>
        <v>0</v>
      </c>
      <c r="BF278" s="54">
        <f t="shared" si="406"/>
        <v>0</v>
      </c>
      <c r="BG278" s="54">
        <f t="shared" si="407"/>
        <v>0</v>
      </c>
      <c r="BH278" s="54">
        <f t="shared" si="408"/>
        <v>0</v>
      </c>
      <c r="BI278" s="54">
        <f t="shared" si="409"/>
        <v>0</v>
      </c>
      <c r="BJ278" s="54">
        <f t="shared" si="410"/>
        <v>0</v>
      </c>
      <c r="BK278" s="54">
        <f t="shared" si="411"/>
        <v>0</v>
      </c>
      <c r="BL278" s="54">
        <f t="shared" si="412"/>
        <v>0</v>
      </c>
      <c r="BM278" s="54">
        <f t="shared" si="413"/>
        <v>0</v>
      </c>
      <c r="BN278" s="54">
        <f t="shared" si="414"/>
        <v>0</v>
      </c>
      <c r="BO278" s="54">
        <f t="shared" si="415"/>
        <v>0</v>
      </c>
      <c r="BP278" s="54">
        <f t="shared" si="416"/>
        <v>0</v>
      </c>
      <c r="BQ278" s="54">
        <f t="shared" si="417"/>
        <v>0</v>
      </c>
      <c r="BR278" s="54">
        <f t="shared" si="418"/>
        <v>0</v>
      </c>
      <c r="BS278" s="54">
        <f t="shared" si="419"/>
        <v>0</v>
      </c>
      <c r="BT278" s="54">
        <f t="shared" si="420"/>
        <v>0</v>
      </c>
      <c r="BU278" s="54">
        <f t="shared" si="421"/>
        <v>0</v>
      </c>
      <c r="BV278" s="54">
        <f t="shared" si="422"/>
        <v>0</v>
      </c>
      <c r="BW278" s="54">
        <f t="shared" si="423"/>
        <v>0</v>
      </c>
      <c r="BX278" s="54">
        <f t="shared" si="424"/>
        <v>0</v>
      </c>
      <c r="BY278" s="53">
        <f>+SUM(BA249:BX278)</f>
        <v>0</v>
      </c>
      <c r="BZ278" s="54">
        <f>+BA278-BX277</f>
        <v>0</v>
      </c>
      <c r="CA278" s="54">
        <f t="shared" si="425"/>
        <v>0</v>
      </c>
      <c r="CB278" s="54">
        <f t="shared" ref="CB278:CO278" si="434">BC278-BB278</f>
        <v>0</v>
      </c>
      <c r="CC278" s="54">
        <f t="shared" si="434"/>
        <v>0</v>
      </c>
      <c r="CD278" s="54">
        <f t="shared" si="434"/>
        <v>0</v>
      </c>
      <c r="CE278" s="54">
        <f t="shared" si="434"/>
        <v>0</v>
      </c>
      <c r="CF278" s="54">
        <f t="shared" si="434"/>
        <v>0</v>
      </c>
      <c r="CG278" s="54">
        <f t="shared" si="434"/>
        <v>0</v>
      </c>
      <c r="CH278" s="54">
        <f t="shared" si="434"/>
        <v>0</v>
      </c>
      <c r="CI278" s="54">
        <f t="shared" si="434"/>
        <v>0</v>
      </c>
      <c r="CJ278" s="54">
        <f t="shared" si="434"/>
        <v>0</v>
      </c>
      <c r="CK278" s="54">
        <f t="shared" si="434"/>
        <v>0</v>
      </c>
      <c r="CL278" s="54">
        <f t="shared" si="434"/>
        <v>0</v>
      </c>
      <c r="CM278" s="54">
        <f t="shared" si="434"/>
        <v>0</v>
      </c>
      <c r="CN278" s="54">
        <f t="shared" si="434"/>
        <v>0</v>
      </c>
      <c r="CO278" s="54">
        <f t="shared" si="434"/>
        <v>0</v>
      </c>
      <c r="CP278" s="54">
        <f>BQ278-BP278</f>
        <v>0</v>
      </c>
      <c r="CQ278" s="54">
        <f t="shared" si="426"/>
        <v>0</v>
      </c>
      <c r="CR278" s="54">
        <f t="shared" si="427"/>
        <v>0</v>
      </c>
      <c r="CS278" s="54">
        <f t="shared" si="428"/>
        <v>0</v>
      </c>
      <c r="CT278" s="54">
        <f t="shared" si="429"/>
        <v>0</v>
      </c>
      <c r="CU278" s="54">
        <f t="shared" si="430"/>
        <v>0</v>
      </c>
      <c r="CV278" s="54">
        <f t="shared" si="431"/>
        <v>0</v>
      </c>
      <c r="CW278" s="54">
        <f t="shared" si="432"/>
        <v>0</v>
      </c>
      <c r="CX278" s="53">
        <f>+SUMIF(BZ249:CW278,"&gt;0")</f>
        <v>0</v>
      </c>
    </row>
    <row r="279" spans="1:102">
      <c r="A279" s="60">
        <v>45201</v>
      </c>
      <c r="B279" s="426"/>
      <c r="Z279" s="77"/>
      <c r="AB279" s="52">
        <f t="shared" si="400"/>
        <v>0</v>
      </c>
      <c r="AC279" s="52">
        <f t="shared" si="378"/>
        <v>0</v>
      </c>
      <c r="AD279" s="52">
        <f t="shared" si="379"/>
        <v>0</v>
      </c>
      <c r="AE279" s="52">
        <f t="shared" si="380"/>
        <v>0</v>
      </c>
      <c r="AF279" s="52">
        <f t="shared" si="381"/>
        <v>0</v>
      </c>
      <c r="AG279" s="52">
        <f t="shared" si="382"/>
        <v>0</v>
      </c>
      <c r="AH279" s="52">
        <f t="shared" si="383"/>
        <v>0</v>
      </c>
      <c r="AI279" s="52">
        <f t="shared" si="384"/>
        <v>0</v>
      </c>
      <c r="AJ279" s="52">
        <f t="shared" si="385"/>
        <v>0</v>
      </c>
      <c r="AK279" s="52">
        <f t="shared" si="386"/>
        <v>0</v>
      </c>
      <c r="AL279" s="52">
        <f t="shared" si="387"/>
        <v>0</v>
      </c>
      <c r="AM279" s="52">
        <f t="shared" si="388"/>
        <v>0</v>
      </c>
      <c r="AN279" s="52">
        <f t="shared" si="389"/>
        <v>0</v>
      </c>
      <c r="AO279" s="52">
        <f t="shared" si="390"/>
        <v>0</v>
      </c>
      <c r="AP279" s="52">
        <f t="shared" si="391"/>
        <v>0</v>
      </c>
      <c r="AQ279" s="52">
        <f t="shared" si="392"/>
        <v>0</v>
      </c>
      <c r="AR279" s="52">
        <f t="shared" si="393"/>
        <v>0</v>
      </c>
      <c r="AS279" s="52">
        <f t="shared" si="394"/>
        <v>0</v>
      </c>
      <c r="AT279" s="52">
        <f t="shared" si="395"/>
        <v>0</v>
      </c>
      <c r="AU279" s="52">
        <f t="shared" si="396"/>
        <v>0</v>
      </c>
      <c r="AV279" s="52">
        <f t="shared" si="397"/>
        <v>0</v>
      </c>
      <c r="AW279" s="52">
        <f t="shared" si="398"/>
        <v>0</v>
      </c>
      <c r="AX279" s="52">
        <f t="shared" si="399"/>
        <v>0</v>
      </c>
      <c r="AY279" s="52">
        <f t="shared" si="433"/>
        <v>0</v>
      </c>
      <c r="BA279" s="52">
        <f t="shared" si="401"/>
        <v>0</v>
      </c>
      <c r="BB279" s="52">
        <f t="shared" si="402"/>
        <v>0</v>
      </c>
      <c r="BC279" s="52">
        <f t="shared" si="403"/>
        <v>0</v>
      </c>
      <c r="BD279" s="52">
        <f t="shared" si="404"/>
        <v>0</v>
      </c>
      <c r="BE279" s="52">
        <f t="shared" si="405"/>
        <v>0</v>
      </c>
      <c r="BF279" s="52">
        <f t="shared" si="406"/>
        <v>0</v>
      </c>
      <c r="BG279" s="52">
        <f t="shared" si="407"/>
        <v>0</v>
      </c>
      <c r="BH279" s="52">
        <f t="shared" si="408"/>
        <v>0</v>
      </c>
      <c r="BI279" s="52">
        <f t="shared" si="409"/>
        <v>0</v>
      </c>
      <c r="BJ279" s="52">
        <f t="shared" si="410"/>
        <v>0</v>
      </c>
      <c r="BK279" s="52">
        <f t="shared" si="411"/>
        <v>0</v>
      </c>
      <c r="BL279" s="52">
        <f t="shared" si="412"/>
        <v>0</v>
      </c>
      <c r="BM279" s="52">
        <f t="shared" si="413"/>
        <v>0</v>
      </c>
      <c r="BN279" s="52">
        <f t="shared" si="414"/>
        <v>0</v>
      </c>
      <c r="BO279" s="52">
        <f t="shared" si="415"/>
        <v>0</v>
      </c>
      <c r="BP279" s="52">
        <f t="shared" si="416"/>
        <v>0</v>
      </c>
      <c r="BQ279" s="52">
        <f t="shared" si="417"/>
        <v>0</v>
      </c>
      <c r="BR279" s="52">
        <f t="shared" si="418"/>
        <v>0</v>
      </c>
      <c r="BS279" s="52">
        <f t="shared" si="419"/>
        <v>0</v>
      </c>
      <c r="BT279" s="52">
        <f t="shared" si="420"/>
        <v>0</v>
      </c>
      <c r="BU279" s="52">
        <f t="shared" si="421"/>
        <v>0</v>
      </c>
      <c r="BV279" s="52">
        <f t="shared" si="422"/>
        <v>0</v>
      </c>
      <c r="BW279" s="52">
        <f t="shared" si="423"/>
        <v>0</v>
      </c>
      <c r="BX279" s="52">
        <f t="shared" si="424"/>
        <v>0</v>
      </c>
      <c r="BZ279" s="52">
        <f t="shared" ref="BZ279:BZ307" si="435">+BA279-BX278</f>
        <v>0</v>
      </c>
      <c r="CA279" s="52">
        <f t="shared" ref="CA279:CA294" si="436">BB279-BA279</f>
        <v>0</v>
      </c>
      <c r="CB279" s="52">
        <f t="shared" ref="CB279:CB291" si="437">BC279-BB279</f>
        <v>0</v>
      </c>
      <c r="CC279" s="52">
        <f t="shared" ref="CC279:CC291" si="438">BD279-BC279</f>
        <v>0</v>
      </c>
      <c r="CD279" s="52">
        <f t="shared" ref="CD279:CD291" si="439">BE279-BD279</f>
        <v>0</v>
      </c>
      <c r="CE279" s="52">
        <f t="shared" ref="CE279:CE291" si="440">BF279-BE279</f>
        <v>0</v>
      </c>
      <c r="CF279" s="52">
        <f t="shared" ref="CF279:CF291" si="441">BG279-BF279</f>
        <v>0</v>
      </c>
      <c r="CG279" s="52">
        <f t="shared" ref="CG279:CG291" si="442">BH279-BG279</f>
        <v>0</v>
      </c>
      <c r="CH279" s="52">
        <f t="shared" ref="CH279:CH291" si="443">BI279-BH279</f>
        <v>0</v>
      </c>
      <c r="CI279" s="52">
        <f t="shared" ref="CI279:CI291" si="444">BJ279-BI279</f>
        <v>0</v>
      </c>
      <c r="CJ279" s="52">
        <f t="shared" ref="CJ279:CJ291" si="445">BK279-BJ279</f>
        <v>0</v>
      </c>
      <c r="CK279" s="52">
        <f t="shared" ref="CK279:CK291" si="446">BL279-BK279</f>
        <v>0</v>
      </c>
      <c r="CL279" s="52">
        <f t="shared" ref="CL279:CL291" si="447">BM279-BL279</f>
        <v>0</v>
      </c>
      <c r="CM279" s="52">
        <f t="shared" ref="CM279:CM291" si="448">BN279-BM279</f>
        <v>0</v>
      </c>
      <c r="CN279" s="52">
        <f t="shared" ref="CN279:CN291" si="449">BO279-BN279</f>
        <v>0</v>
      </c>
      <c r="CO279" s="52">
        <f t="shared" ref="CO279:CO291" si="450">BP279-BO279</f>
        <v>0</v>
      </c>
      <c r="CP279" s="52">
        <f t="shared" ref="CP279:CP291" si="451">BQ279-BP279</f>
        <v>0</v>
      </c>
      <c r="CQ279" s="52">
        <f t="shared" si="426"/>
        <v>0</v>
      </c>
      <c r="CR279" s="52">
        <f t="shared" si="427"/>
        <v>0</v>
      </c>
      <c r="CS279" s="52">
        <f t="shared" si="428"/>
        <v>0</v>
      </c>
      <c r="CT279" s="52">
        <f t="shared" si="429"/>
        <v>0</v>
      </c>
      <c r="CU279" s="52">
        <f t="shared" si="430"/>
        <v>0</v>
      </c>
      <c r="CV279" s="52">
        <f t="shared" si="431"/>
        <v>0</v>
      </c>
      <c r="CW279" s="52">
        <f t="shared" si="432"/>
        <v>0</v>
      </c>
    </row>
    <row r="280" spans="1:102">
      <c r="A280" s="60">
        <v>45202</v>
      </c>
      <c r="B280" s="426"/>
      <c r="Z280" s="77"/>
      <c r="AB280">
        <f t="shared" si="400"/>
        <v>0</v>
      </c>
      <c r="AC280">
        <f t="shared" si="378"/>
        <v>0</v>
      </c>
      <c r="AD280">
        <f t="shared" si="379"/>
        <v>0</v>
      </c>
      <c r="AE280">
        <f t="shared" si="380"/>
        <v>0</v>
      </c>
      <c r="AF280">
        <f t="shared" si="381"/>
        <v>0</v>
      </c>
      <c r="AG280">
        <f t="shared" si="382"/>
        <v>0</v>
      </c>
      <c r="AH280">
        <f t="shared" si="383"/>
        <v>0</v>
      </c>
      <c r="AI280">
        <f t="shared" si="384"/>
        <v>0</v>
      </c>
      <c r="AJ280">
        <f t="shared" si="385"/>
        <v>0</v>
      </c>
      <c r="AK280">
        <f t="shared" si="386"/>
        <v>0</v>
      </c>
      <c r="AL280">
        <f t="shared" si="387"/>
        <v>0</v>
      </c>
      <c r="AM280">
        <f t="shared" si="388"/>
        <v>0</v>
      </c>
      <c r="AN280">
        <f t="shared" si="389"/>
        <v>0</v>
      </c>
      <c r="AO280">
        <f t="shared" si="390"/>
        <v>0</v>
      </c>
      <c r="AP280">
        <f t="shared" si="391"/>
        <v>0</v>
      </c>
      <c r="AQ280">
        <f t="shared" si="392"/>
        <v>0</v>
      </c>
      <c r="AR280">
        <f t="shared" si="393"/>
        <v>0</v>
      </c>
      <c r="AS280">
        <f t="shared" si="394"/>
        <v>0</v>
      </c>
      <c r="AT280">
        <f t="shared" si="395"/>
        <v>0</v>
      </c>
      <c r="AU280">
        <f t="shared" si="396"/>
        <v>0</v>
      </c>
      <c r="AV280">
        <f t="shared" si="397"/>
        <v>0</v>
      </c>
      <c r="AW280">
        <f t="shared" si="398"/>
        <v>0</v>
      </c>
      <c r="AX280">
        <f t="shared" si="399"/>
        <v>0</v>
      </c>
      <c r="AY280">
        <f t="shared" si="433"/>
        <v>0</v>
      </c>
      <c r="BA280">
        <f t="shared" si="401"/>
        <v>0</v>
      </c>
      <c r="BB280">
        <f t="shared" si="402"/>
        <v>0</v>
      </c>
      <c r="BC280">
        <f t="shared" si="403"/>
        <v>0</v>
      </c>
      <c r="BD280">
        <f t="shared" si="404"/>
        <v>0</v>
      </c>
      <c r="BE280">
        <f t="shared" si="405"/>
        <v>0</v>
      </c>
      <c r="BF280">
        <f t="shared" si="406"/>
        <v>0</v>
      </c>
      <c r="BG280">
        <f t="shared" si="407"/>
        <v>0</v>
      </c>
      <c r="BH280">
        <f t="shared" si="408"/>
        <v>0</v>
      </c>
      <c r="BI280">
        <f t="shared" si="409"/>
        <v>0</v>
      </c>
      <c r="BJ280">
        <f t="shared" si="410"/>
        <v>0</v>
      </c>
      <c r="BK280">
        <f t="shared" si="411"/>
        <v>0</v>
      </c>
      <c r="BL280">
        <f t="shared" si="412"/>
        <v>0</v>
      </c>
      <c r="BM280">
        <f t="shared" si="413"/>
        <v>0</v>
      </c>
      <c r="BN280">
        <f t="shared" si="414"/>
        <v>0</v>
      </c>
      <c r="BO280">
        <f t="shared" si="415"/>
        <v>0</v>
      </c>
      <c r="BP280">
        <f t="shared" si="416"/>
        <v>0</v>
      </c>
      <c r="BQ280">
        <f t="shared" si="417"/>
        <v>0</v>
      </c>
      <c r="BR280">
        <f t="shared" si="418"/>
        <v>0</v>
      </c>
      <c r="BS280">
        <f t="shared" si="419"/>
        <v>0</v>
      </c>
      <c r="BT280">
        <f t="shared" si="420"/>
        <v>0</v>
      </c>
      <c r="BU280">
        <f t="shared" si="421"/>
        <v>0</v>
      </c>
      <c r="BV280">
        <f t="shared" si="422"/>
        <v>0</v>
      </c>
      <c r="BW280">
        <f t="shared" si="423"/>
        <v>0</v>
      </c>
      <c r="BX280">
        <f t="shared" si="424"/>
        <v>0</v>
      </c>
      <c r="BZ280">
        <f t="shared" si="435"/>
        <v>0</v>
      </c>
      <c r="CA280">
        <f t="shared" si="436"/>
        <v>0</v>
      </c>
      <c r="CB280">
        <f t="shared" si="437"/>
        <v>0</v>
      </c>
      <c r="CC280">
        <f t="shared" si="438"/>
        <v>0</v>
      </c>
      <c r="CD280">
        <f t="shared" si="439"/>
        <v>0</v>
      </c>
      <c r="CE280">
        <f t="shared" si="440"/>
        <v>0</v>
      </c>
      <c r="CF280">
        <f t="shared" si="441"/>
        <v>0</v>
      </c>
      <c r="CG280">
        <f t="shared" si="442"/>
        <v>0</v>
      </c>
      <c r="CH280">
        <f t="shared" si="443"/>
        <v>0</v>
      </c>
      <c r="CI280">
        <f t="shared" si="444"/>
        <v>0</v>
      </c>
      <c r="CJ280">
        <f t="shared" si="445"/>
        <v>0</v>
      </c>
      <c r="CK280">
        <f t="shared" si="446"/>
        <v>0</v>
      </c>
      <c r="CL280">
        <f t="shared" si="447"/>
        <v>0</v>
      </c>
      <c r="CM280">
        <f t="shared" si="448"/>
        <v>0</v>
      </c>
      <c r="CN280">
        <f t="shared" si="449"/>
        <v>0</v>
      </c>
      <c r="CO280">
        <f t="shared" si="450"/>
        <v>0</v>
      </c>
      <c r="CP280">
        <f t="shared" si="451"/>
        <v>0</v>
      </c>
      <c r="CQ280">
        <f t="shared" si="426"/>
        <v>0</v>
      </c>
      <c r="CR280">
        <f t="shared" si="427"/>
        <v>0</v>
      </c>
      <c r="CS280">
        <f t="shared" si="428"/>
        <v>0</v>
      </c>
      <c r="CT280">
        <f t="shared" si="429"/>
        <v>0</v>
      </c>
      <c r="CU280">
        <f t="shared" si="430"/>
        <v>0</v>
      </c>
      <c r="CV280">
        <f t="shared" si="431"/>
        <v>0</v>
      </c>
      <c r="CW280">
        <f t="shared" si="432"/>
        <v>0</v>
      </c>
    </row>
    <row r="281" spans="1:102">
      <c r="A281" s="60">
        <v>45203</v>
      </c>
      <c r="B281" s="426"/>
      <c r="Z281" s="77"/>
      <c r="AB281" s="52">
        <f t="shared" si="400"/>
        <v>0</v>
      </c>
      <c r="AC281" s="52">
        <f t="shared" si="378"/>
        <v>0</v>
      </c>
      <c r="AD281" s="52">
        <f t="shared" si="379"/>
        <v>0</v>
      </c>
      <c r="AE281" s="52">
        <f t="shared" si="380"/>
        <v>0</v>
      </c>
      <c r="AF281" s="52">
        <f t="shared" si="381"/>
        <v>0</v>
      </c>
      <c r="AG281" s="52">
        <f t="shared" si="382"/>
        <v>0</v>
      </c>
      <c r="AH281" s="52">
        <f t="shared" si="383"/>
        <v>0</v>
      </c>
      <c r="AI281" s="52">
        <f t="shared" si="384"/>
        <v>0</v>
      </c>
      <c r="AJ281" s="52">
        <f t="shared" si="385"/>
        <v>0</v>
      </c>
      <c r="AK281" s="52">
        <f t="shared" si="386"/>
        <v>0</v>
      </c>
      <c r="AL281" s="52">
        <f t="shared" si="387"/>
        <v>0</v>
      </c>
      <c r="AM281" s="52">
        <f t="shared" si="388"/>
        <v>0</v>
      </c>
      <c r="AN281" s="52">
        <f t="shared" si="389"/>
        <v>0</v>
      </c>
      <c r="AO281" s="52">
        <f t="shared" si="390"/>
        <v>0</v>
      </c>
      <c r="AP281" s="52">
        <f t="shared" si="391"/>
        <v>0</v>
      </c>
      <c r="AQ281" s="52">
        <f t="shared" si="392"/>
        <v>0</v>
      </c>
      <c r="AR281" s="52">
        <f t="shared" si="393"/>
        <v>0</v>
      </c>
      <c r="AS281" s="52">
        <f t="shared" si="394"/>
        <v>0</v>
      </c>
      <c r="AT281" s="52">
        <f t="shared" si="395"/>
        <v>0</v>
      </c>
      <c r="AU281" s="52">
        <f t="shared" si="396"/>
        <v>0</v>
      </c>
      <c r="AV281" s="52">
        <f t="shared" si="397"/>
        <v>0</v>
      </c>
      <c r="AW281" s="52">
        <f t="shared" si="398"/>
        <v>0</v>
      </c>
      <c r="AX281" s="52">
        <f t="shared" si="399"/>
        <v>0</v>
      </c>
      <c r="AY281" s="52">
        <f t="shared" si="433"/>
        <v>0</v>
      </c>
      <c r="BA281" s="52">
        <f t="shared" si="401"/>
        <v>0</v>
      </c>
      <c r="BB281" s="52">
        <f t="shared" si="402"/>
        <v>0</v>
      </c>
      <c r="BC281" s="52">
        <f t="shared" si="403"/>
        <v>0</v>
      </c>
      <c r="BD281" s="52">
        <f t="shared" si="404"/>
        <v>0</v>
      </c>
      <c r="BE281" s="52">
        <f t="shared" si="405"/>
        <v>0</v>
      </c>
      <c r="BF281" s="52">
        <f t="shared" si="406"/>
        <v>0</v>
      </c>
      <c r="BG281" s="52">
        <f t="shared" si="407"/>
        <v>0</v>
      </c>
      <c r="BH281" s="52">
        <f t="shared" si="408"/>
        <v>0</v>
      </c>
      <c r="BI281" s="52">
        <f t="shared" si="409"/>
        <v>0</v>
      </c>
      <c r="BJ281" s="52">
        <f t="shared" si="410"/>
        <v>0</v>
      </c>
      <c r="BK281" s="52">
        <f t="shared" si="411"/>
        <v>0</v>
      </c>
      <c r="BL281" s="52">
        <f t="shared" si="412"/>
        <v>0</v>
      </c>
      <c r="BM281" s="52">
        <f t="shared" si="413"/>
        <v>0</v>
      </c>
      <c r="BN281" s="52">
        <f t="shared" si="414"/>
        <v>0</v>
      </c>
      <c r="BO281" s="52">
        <f t="shared" si="415"/>
        <v>0</v>
      </c>
      <c r="BP281" s="52">
        <f t="shared" si="416"/>
        <v>0</v>
      </c>
      <c r="BQ281" s="52">
        <f t="shared" si="417"/>
        <v>0</v>
      </c>
      <c r="BR281" s="52">
        <f t="shared" si="418"/>
        <v>0</v>
      </c>
      <c r="BS281" s="52">
        <f t="shared" si="419"/>
        <v>0</v>
      </c>
      <c r="BT281" s="52">
        <f t="shared" si="420"/>
        <v>0</v>
      </c>
      <c r="BU281" s="52">
        <f t="shared" si="421"/>
        <v>0</v>
      </c>
      <c r="BV281" s="52">
        <f t="shared" si="422"/>
        <v>0</v>
      </c>
      <c r="BW281" s="52">
        <f t="shared" si="423"/>
        <v>0</v>
      </c>
      <c r="BX281" s="52">
        <f t="shared" si="424"/>
        <v>0</v>
      </c>
      <c r="BZ281" s="52">
        <f t="shared" si="435"/>
        <v>0</v>
      </c>
      <c r="CA281" s="52">
        <f t="shared" si="436"/>
        <v>0</v>
      </c>
      <c r="CB281" s="52">
        <f t="shared" si="437"/>
        <v>0</v>
      </c>
      <c r="CC281" s="52">
        <f t="shared" si="438"/>
        <v>0</v>
      </c>
      <c r="CD281" s="52">
        <f t="shared" si="439"/>
        <v>0</v>
      </c>
      <c r="CE281" s="52">
        <f t="shared" si="440"/>
        <v>0</v>
      </c>
      <c r="CF281" s="52">
        <f t="shared" si="441"/>
        <v>0</v>
      </c>
      <c r="CG281" s="52">
        <f t="shared" si="442"/>
        <v>0</v>
      </c>
      <c r="CH281" s="52">
        <f t="shared" si="443"/>
        <v>0</v>
      </c>
      <c r="CI281" s="52">
        <f t="shared" si="444"/>
        <v>0</v>
      </c>
      <c r="CJ281" s="52">
        <f t="shared" si="445"/>
        <v>0</v>
      </c>
      <c r="CK281" s="52">
        <f t="shared" si="446"/>
        <v>0</v>
      </c>
      <c r="CL281" s="52">
        <f t="shared" si="447"/>
        <v>0</v>
      </c>
      <c r="CM281" s="52">
        <f t="shared" si="448"/>
        <v>0</v>
      </c>
      <c r="CN281" s="52">
        <f t="shared" si="449"/>
        <v>0</v>
      </c>
      <c r="CO281" s="52">
        <f t="shared" si="450"/>
        <v>0</v>
      </c>
      <c r="CP281" s="52">
        <f t="shared" si="451"/>
        <v>0</v>
      </c>
      <c r="CQ281" s="52">
        <f t="shared" si="426"/>
        <v>0</v>
      </c>
      <c r="CR281" s="52">
        <f t="shared" si="427"/>
        <v>0</v>
      </c>
      <c r="CS281" s="52">
        <f t="shared" si="428"/>
        <v>0</v>
      </c>
      <c r="CT281" s="52">
        <f t="shared" si="429"/>
        <v>0</v>
      </c>
      <c r="CU281" s="52">
        <f t="shared" si="430"/>
        <v>0</v>
      </c>
      <c r="CV281" s="52">
        <f t="shared" si="431"/>
        <v>0</v>
      </c>
      <c r="CW281" s="52">
        <f t="shared" si="432"/>
        <v>0</v>
      </c>
    </row>
    <row r="282" spans="1:102">
      <c r="A282" s="60">
        <v>45204</v>
      </c>
      <c r="B282" s="426"/>
      <c r="Z282" s="77"/>
      <c r="AB282">
        <f t="shared" si="400"/>
        <v>0</v>
      </c>
      <c r="AC282">
        <f t="shared" si="378"/>
        <v>0</v>
      </c>
      <c r="AD282">
        <f t="shared" si="379"/>
        <v>0</v>
      </c>
      <c r="AE282">
        <f t="shared" si="380"/>
        <v>0</v>
      </c>
      <c r="AF282">
        <f t="shared" si="381"/>
        <v>0</v>
      </c>
      <c r="AG282">
        <f t="shared" si="382"/>
        <v>0</v>
      </c>
      <c r="AH282">
        <f t="shared" si="383"/>
        <v>0</v>
      </c>
      <c r="AI282">
        <f t="shared" si="384"/>
        <v>0</v>
      </c>
      <c r="AJ282">
        <f t="shared" si="385"/>
        <v>0</v>
      </c>
      <c r="AK282">
        <f t="shared" si="386"/>
        <v>0</v>
      </c>
      <c r="AL282">
        <f t="shared" si="387"/>
        <v>0</v>
      </c>
      <c r="AM282">
        <f t="shared" si="388"/>
        <v>0</v>
      </c>
      <c r="AN282">
        <f t="shared" si="389"/>
        <v>0</v>
      </c>
      <c r="AO282">
        <f t="shared" si="390"/>
        <v>0</v>
      </c>
      <c r="AP282">
        <f t="shared" si="391"/>
        <v>0</v>
      </c>
      <c r="AQ282">
        <f t="shared" si="392"/>
        <v>0</v>
      </c>
      <c r="AR282">
        <f t="shared" si="393"/>
        <v>0</v>
      </c>
      <c r="AS282">
        <f t="shared" si="394"/>
        <v>0</v>
      </c>
      <c r="AT282">
        <f t="shared" si="395"/>
        <v>0</v>
      </c>
      <c r="AU282">
        <f t="shared" si="396"/>
        <v>0</v>
      </c>
      <c r="AV282">
        <f t="shared" si="397"/>
        <v>0</v>
      </c>
      <c r="AW282">
        <f t="shared" si="398"/>
        <v>0</v>
      </c>
      <c r="AX282">
        <f t="shared" si="399"/>
        <v>0</v>
      </c>
      <c r="AY282">
        <f t="shared" si="433"/>
        <v>0</v>
      </c>
      <c r="BA282">
        <f t="shared" si="401"/>
        <v>0</v>
      </c>
      <c r="BB282">
        <f t="shared" si="402"/>
        <v>0</v>
      </c>
      <c r="BC282">
        <f t="shared" si="403"/>
        <v>0</v>
      </c>
      <c r="BD282">
        <f t="shared" si="404"/>
        <v>0</v>
      </c>
      <c r="BE282">
        <f t="shared" si="405"/>
        <v>0</v>
      </c>
      <c r="BF282">
        <f t="shared" si="406"/>
        <v>0</v>
      </c>
      <c r="BG282">
        <f t="shared" si="407"/>
        <v>0</v>
      </c>
      <c r="BH282">
        <f t="shared" si="408"/>
        <v>0</v>
      </c>
      <c r="BI282">
        <f t="shared" si="409"/>
        <v>0</v>
      </c>
      <c r="BJ282">
        <f t="shared" si="410"/>
        <v>0</v>
      </c>
      <c r="BK282">
        <f t="shared" si="411"/>
        <v>0</v>
      </c>
      <c r="BL282">
        <f t="shared" si="412"/>
        <v>0</v>
      </c>
      <c r="BM282">
        <f t="shared" si="413"/>
        <v>0</v>
      </c>
      <c r="BN282">
        <f t="shared" si="414"/>
        <v>0</v>
      </c>
      <c r="BO282">
        <f t="shared" si="415"/>
        <v>0</v>
      </c>
      <c r="BP282">
        <f t="shared" si="416"/>
        <v>0</v>
      </c>
      <c r="BQ282">
        <f t="shared" si="417"/>
        <v>0</v>
      </c>
      <c r="BR282">
        <f t="shared" si="418"/>
        <v>0</v>
      </c>
      <c r="BS282">
        <f t="shared" si="419"/>
        <v>0</v>
      </c>
      <c r="BT282">
        <f t="shared" si="420"/>
        <v>0</v>
      </c>
      <c r="BU282">
        <f t="shared" si="421"/>
        <v>0</v>
      </c>
      <c r="BV282">
        <f t="shared" si="422"/>
        <v>0</v>
      </c>
      <c r="BW282">
        <f t="shared" si="423"/>
        <v>0</v>
      </c>
      <c r="BX282">
        <f t="shared" si="424"/>
        <v>0</v>
      </c>
      <c r="BZ282">
        <f t="shared" si="435"/>
        <v>0</v>
      </c>
      <c r="CA282">
        <f t="shared" si="436"/>
        <v>0</v>
      </c>
      <c r="CB282">
        <f t="shared" si="437"/>
        <v>0</v>
      </c>
      <c r="CC282">
        <f t="shared" si="438"/>
        <v>0</v>
      </c>
      <c r="CD282">
        <f t="shared" si="439"/>
        <v>0</v>
      </c>
      <c r="CE282">
        <f t="shared" si="440"/>
        <v>0</v>
      </c>
      <c r="CF282">
        <f t="shared" si="441"/>
        <v>0</v>
      </c>
      <c r="CG282">
        <f t="shared" si="442"/>
        <v>0</v>
      </c>
      <c r="CH282">
        <f t="shared" si="443"/>
        <v>0</v>
      </c>
      <c r="CI282">
        <f t="shared" si="444"/>
        <v>0</v>
      </c>
      <c r="CJ282">
        <f t="shared" si="445"/>
        <v>0</v>
      </c>
      <c r="CK282">
        <f t="shared" si="446"/>
        <v>0</v>
      </c>
      <c r="CL282">
        <f t="shared" si="447"/>
        <v>0</v>
      </c>
      <c r="CM282">
        <f t="shared" si="448"/>
        <v>0</v>
      </c>
      <c r="CN282">
        <f t="shared" si="449"/>
        <v>0</v>
      </c>
      <c r="CO282">
        <f t="shared" si="450"/>
        <v>0</v>
      </c>
      <c r="CP282">
        <f t="shared" si="451"/>
        <v>0</v>
      </c>
      <c r="CQ282">
        <f t="shared" si="426"/>
        <v>0</v>
      </c>
      <c r="CR282">
        <f t="shared" si="427"/>
        <v>0</v>
      </c>
      <c r="CS282">
        <f t="shared" si="428"/>
        <v>0</v>
      </c>
      <c r="CT282">
        <f t="shared" si="429"/>
        <v>0</v>
      </c>
      <c r="CU282">
        <f t="shared" si="430"/>
        <v>0</v>
      </c>
      <c r="CV282">
        <f t="shared" si="431"/>
        <v>0</v>
      </c>
      <c r="CW282">
        <f t="shared" si="432"/>
        <v>0</v>
      </c>
    </row>
    <row r="283" spans="1:102">
      <c r="A283" s="60">
        <v>45205</v>
      </c>
      <c r="B283" s="426"/>
      <c r="Z283" s="77"/>
      <c r="AB283" s="52">
        <f t="shared" si="400"/>
        <v>0</v>
      </c>
      <c r="AC283" s="52">
        <f t="shared" si="378"/>
        <v>0</v>
      </c>
      <c r="AD283" s="52">
        <f t="shared" si="379"/>
        <v>0</v>
      </c>
      <c r="AE283" s="52">
        <f t="shared" si="380"/>
        <v>0</v>
      </c>
      <c r="AF283" s="52">
        <f t="shared" si="381"/>
        <v>0</v>
      </c>
      <c r="AG283" s="52">
        <f t="shared" si="382"/>
        <v>0</v>
      </c>
      <c r="AH283" s="52">
        <f t="shared" si="383"/>
        <v>0</v>
      </c>
      <c r="AI283" s="52">
        <f t="shared" si="384"/>
        <v>0</v>
      </c>
      <c r="AJ283" s="52">
        <f t="shared" si="385"/>
        <v>0</v>
      </c>
      <c r="AK283" s="52">
        <f t="shared" si="386"/>
        <v>0</v>
      </c>
      <c r="AL283" s="52">
        <f t="shared" si="387"/>
        <v>0</v>
      </c>
      <c r="AM283" s="52">
        <f t="shared" si="388"/>
        <v>0</v>
      </c>
      <c r="AN283" s="52">
        <f t="shared" si="389"/>
        <v>0</v>
      </c>
      <c r="AO283" s="52">
        <f t="shared" si="390"/>
        <v>0</v>
      </c>
      <c r="AP283" s="52">
        <f t="shared" si="391"/>
        <v>0</v>
      </c>
      <c r="AQ283" s="52">
        <f t="shared" si="392"/>
        <v>0</v>
      </c>
      <c r="AR283" s="52">
        <f t="shared" si="393"/>
        <v>0</v>
      </c>
      <c r="AS283" s="52">
        <f t="shared" si="394"/>
        <v>0</v>
      </c>
      <c r="AT283" s="52">
        <f t="shared" si="395"/>
        <v>0</v>
      </c>
      <c r="AU283" s="52">
        <f t="shared" si="396"/>
        <v>0</v>
      </c>
      <c r="AV283" s="52">
        <f t="shared" si="397"/>
        <v>0</v>
      </c>
      <c r="AW283" s="52">
        <f t="shared" si="398"/>
        <v>0</v>
      </c>
      <c r="AX283" s="52">
        <f t="shared" si="399"/>
        <v>0</v>
      </c>
      <c r="AY283" s="52">
        <f t="shared" si="433"/>
        <v>0</v>
      </c>
      <c r="BA283" s="52">
        <f t="shared" si="401"/>
        <v>0</v>
      </c>
      <c r="BB283" s="52">
        <f t="shared" si="402"/>
        <v>0</v>
      </c>
      <c r="BC283" s="52">
        <f t="shared" si="403"/>
        <v>0</v>
      </c>
      <c r="BD283" s="52">
        <f t="shared" si="404"/>
        <v>0</v>
      </c>
      <c r="BE283" s="52">
        <f t="shared" si="405"/>
        <v>0</v>
      </c>
      <c r="BF283" s="52">
        <f t="shared" si="406"/>
        <v>0</v>
      </c>
      <c r="BG283" s="52">
        <f t="shared" si="407"/>
        <v>0</v>
      </c>
      <c r="BH283" s="52">
        <f t="shared" si="408"/>
        <v>0</v>
      </c>
      <c r="BI283" s="52">
        <f t="shared" si="409"/>
        <v>0</v>
      </c>
      <c r="BJ283" s="52">
        <f t="shared" si="410"/>
        <v>0</v>
      </c>
      <c r="BK283" s="52">
        <f t="shared" si="411"/>
        <v>0</v>
      </c>
      <c r="BL283" s="52">
        <f t="shared" si="412"/>
        <v>0</v>
      </c>
      <c r="BM283" s="52">
        <f t="shared" si="413"/>
        <v>0</v>
      </c>
      <c r="BN283" s="52">
        <f t="shared" si="414"/>
        <v>0</v>
      </c>
      <c r="BO283" s="52">
        <f t="shared" si="415"/>
        <v>0</v>
      </c>
      <c r="BP283" s="52">
        <f t="shared" si="416"/>
        <v>0</v>
      </c>
      <c r="BQ283" s="52">
        <f t="shared" si="417"/>
        <v>0</v>
      </c>
      <c r="BR283" s="52">
        <f t="shared" si="418"/>
        <v>0</v>
      </c>
      <c r="BS283" s="52">
        <f t="shared" si="419"/>
        <v>0</v>
      </c>
      <c r="BT283" s="52">
        <f t="shared" si="420"/>
        <v>0</v>
      </c>
      <c r="BU283" s="52">
        <f t="shared" si="421"/>
        <v>0</v>
      </c>
      <c r="BV283" s="52">
        <f t="shared" si="422"/>
        <v>0</v>
      </c>
      <c r="BW283" s="52">
        <f t="shared" si="423"/>
        <v>0</v>
      </c>
      <c r="BX283" s="52">
        <f t="shared" si="424"/>
        <v>0</v>
      </c>
      <c r="BZ283" s="52">
        <f t="shared" si="435"/>
        <v>0</v>
      </c>
      <c r="CA283" s="52">
        <f t="shared" si="436"/>
        <v>0</v>
      </c>
      <c r="CB283" s="52">
        <f t="shared" si="437"/>
        <v>0</v>
      </c>
      <c r="CC283" s="52">
        <f t="shared" si="438"/>
        <v>0</v>
      </c>
      <c r="CD283" s="52">
        <f t="shared" si="439"/>
        <v>0</v>
      </c>
      <c r="CE283" s="52">
        <f t="shared" si="440"/>
        <v>0</v>
      </c>
      <c r="CF283" s="52">
        <f t="shared" si="441"/>
        <v>0</v>
      </c>
      <c r="CG283" s="52">
        <f t="shared" si="442"/>
        <v>0</v>
      </c>
      <c r="CH283" s="52">
        <f t="shared" si="443"/>
        <v>0</v>
      </c>
      <c r="CI283" s="52">
        <f t="shared" si="444"/>
        <v>0</v>
      </c>
      <c r="CJ283" s="52">
        <f t="shared" si="445"/>
        <v>0</v>
      </c>
      <c r="CK283" s="52">
        <f t="shared" si="446"/>
        <v>0</v>
      </c>
      <c r="CL283" s="52">
        <f t="shared" si="447"/>
        <v>0</v>
      </c>
      <c r="CM283" s="52">
        <f t="shared" si="448"/>
        <v>0</v>
      </c>
      <c r="CN283" s="52">
        <f t="shared" si="449"/>
        <v>0</v>
      </c>
      <c r="CO283" s="52">
        <f t="shared" si="450"/>
        <v>0</v>
      </c>
      <c r="CP283" s="52">
        <f t="shared" si="451"/>
        <v>0</v>
      </c>
      <c r="CQ283" s="52">
        <f t="shared" si="426"/>
        <v>0</v>
      </c>
      <c r="CR283" s="52">
        <f t="shared" si="427"/>
        <v>0</v>
      </c>
      <c r="CS283" s="52">
        <f t="shared" si="428"/>
        <v>0</v>
      </c>
      <c r="CT283" s="52">
        <f t="shared" si="429"/>
        <v>0</v>
      </c>
      <c r="CU283" s="52">
        <f t="shared" si="430"/>
        <v>0</v>
      </c>
      <c r="CV283" s="52">
        <f t="shared" si="431"/>
        <v>0</v>
      </c>
      <c r="CW283" s="52">
        <f t="shared" si="432"/>
        <v>0</v>
      </c>
    </row>
    <row r="284" spans="1:102">
      <c r="A284" s="60">
        <v>45206</v>
      </c>
      <c r="B284" s="426"/>
      <c r="Z284" s="77"/>
      <c r="AB284">
        <f t="shared" si="400"/>
        <v>0</v>
      </c>
      <c r="AC284">
        <f t="shared" si="378"/>
        <v>0</v>
      </c>
      <c r="AD284">
        <f t="shared" si="379"/>
        <v>0</v>
      </c>
      <c r="AE284">
        <f t="shared" si="380"/>
        <v>0</v>
      </c>
      <c r="AF284">
        <f t="shared" si="381"/>
        <v>0</v>
      </c>
      <c r="AG284">
        <f t="shared" si="382"/>
        <v>0</v>
      </c>
      <c r="AH284">
        <f t="shared" si="383"/>
        <v>0</v>
      </c>
      <c r="AI284">
        <f t="shared" si="384"/>
        <v>0</v>
      </c>
      <c r="AJ284">
        <f t="shared" si="385"/>
        <v>0</v>
      </c>
      <c r="AK284">
        <f t="shared" si="386"/>
        <v>0</v>
      </c>
      <c r="AL284">
        <f t="shared" si="387"/>
        <v>0</v>
      </c>
      <c r="AM284">
        <f t="shared" si="388"/>
        <v>0</v>
      </c>
      <c r="AN284">
        <f t="shared" si="389"/>
        <v>0</v>
      </c>
      <c r="AO284">
        <f t="shared" si="390"/>
        <v>0</v>
      </c>
      <c r="AP284">
        <f t="shared" si="391"/>
        <v>0</v>
      </c>
      <c r="AQ284">
        <f t="shared" si="392"/>
        <v>0</v>
      </c>
      <c r="AR284">
        <f t="shared" si="393"/>
        <v>0</v>
      </c>
      <c r="AS284">
        <f t="shared" si="394"/>
        <v>0</v>
      </c>
      <c r="AT284">
        <f t="shared" si="395"/>
        <v>0</v>
      </c>
      <c r="AU284">
        <f t="shared" si="396"/>
        <v>0</v>
      </c>
      <c r="AV284">
        <f t="shared" si="397"/>
        <v>0</v>
      </c>
      <c r="AW284">
        <f t="shared" si="398"/>
        <v>0</v>
      </c>
      <c r="AX284">
        <f t="shared" si="399"/>
        <v>0</v>
      </c>
      <c r="AY284">
        <f t="shared" si="433"/>
        <v>0</v>
      </c>
      <c r="BA284">
        <f t="shared" si="401"/>
        <v>0</v>
      </c>
      <c r="BB284">
        <f t="shared" si="402"/>
        <v>0</v>
      </c>
      <c r="BC284">
        <f t="shared" si="403"/>
        <v>0</v>
      </c>
      <c r="BD284">
        <f t="shared" si="404"/>
        <v>0</v>
      </c>
      <c r="BE284">
        <f t="shared" si="405"/>
        <v>0</v>
      </c>
      <c r="BF284">
        <f t="shared" si="406"/>
        <v>0</v>
      </c>
      <c r="BG284">
        <f t="shared" si="407"/>
        <v>0</v>
      </c>
      <c r="BH284">
        <f t="shared" si="408"/>
        <v>0</v>
      </c>
      <c r="BI284">
        <f t="shared" si="409"/>
        <v>0</v>
      </c>
      <c r="BJ284">
        <f t="shared" si="410"/>
        <v>0</v>
      </c>
      <c r="BK284">
        <f t="shared" si="411"/>
        <v>0</v>
      </c>
      <c r="BL284">
        <f t="shared" si="412"/>
        <v>0</v>
      </c>
      <c r="BM284">
        <f t="shared" si="413"/>
        <v>0</v>
      </c>
      <c r="BN284">
        <f t="shared" si="414"/>
        <v>0</v>
      </c>
      <c r="BO284">
        <f t="shared" si="415"/>
        <v>0</v>
      </c>
      <c r="BP284">
        <f t="shared" si="416"/>
        <v>0</v>
      </c>
      <c r="BQ284">
        <f t="shared" si="417"/>
        <v>0</v>
      </c>
      <c r="BR284">
        <f t="shared" si="418"/>
        <v>0</v>
      </c>
      <c r="BS284">
        <f t="shared" si="419"/>
        <v>0</v>
      </c>
      <c r="BT284">
        <f t="shared" si="420"/>
        <v>0</v>
      </c>
      <c r="BU284">
        <f t="shared" si="421"/>
        <v>0</v>
      </c>
      <c r="BV284">
        <f t="shared" si="422"/>
        <v>0</v>
      </c>
      <c r="BW284">
        <f t="shared" si="423"/>
        <v>0</v>
      </c>
      <c r="BX284">
        <f t="shared" si="424"/>
        <v>0</v>
      </c>
      <c r="BZ284">
        <f t="shared" si="435"/>
        <v>0</v>
      </c>
      <c r="CA284">
        <f t="shared" si="436"/>
        <v>0</v>
      </c>
      <c r="CB284">
        <f t="shared" si="437"/>
        <v>0</v>
      </c>
      <c r="CC284">
        <f t="shared" si="438"/>
        <v>0</v>
      </c>
      <c r="CD284">
        <f t="shared" si="439"/>
        <v>0</v>
      </c>
      <c r="CE284">
        <f t="shared" si="440"/>
        <v>0</v>
      </c>
      <c r="CF284">
        <f t="shared" si="441"/>
        <v>0</v>
      </c>
      <c r="CG284">
        <f t="shared" si="442"/>
        <v>0</v>
      </c>
      <c r="CH284">
        <f t="shared" si="443"/>
        <v>0</v>
      </c>
      <c r="CI284">
        <f t="shared" si="444"/>
        <v>0</v>
      </c>
      <c r="CJ284">
        <f t="shared" si="445"/>
        <v>0</v>
      </c>
      <c r="CK284">
        <f t="shared" si="446"/>
        <v>0</v>
      </c>
      <c r="CL284">
        <f t="shared" si="447"/>
        <v>0</v>
      </c>
      <c r="CM284">
        <f t="shared" si="448"/>
        <v>0</v>
      </c>
      <c r="CN284">
        <f t="shared" si="449"/>
        <v>0</v>
      </c>
      <c r="CO284">
        <f t="shared" si="450"/>
        <v>0</v>
      </c>
      <c r="CP284">
        <f t="shared" si="451"/>
        <v>0</v>
      </c>
      <c r="CQ284">
        <f t="shared" si="426"/>
        <v>0</v>
      </c>
      <c r="CR284">
        <f t="shared" si="427"/>
        <v>0</v>
      </c>
      <c r="CS284">
        <f t="shared" si="428"/>
        <v>0</v>
      </c>
      <c r="CT284">
        <f t="shared" si="429"/>
        <v>0</v>
      </c>
      <c r="CU284">
        <f t="shared" si="430"/>
        <v>0</v>
      </c>
      <c r="CV284">
        <f t="shared" si="431"/>
        <v>0</v>
      </c>
      <c r="CW284">
        <f t="shared" si="432"/>
        <v>0</v>
      </c>
    </row>
    <row r="285" spans="1:102">
      <c r="A285" s="60">
        <v>45207</v>
      </c>
      <c r="B285" s="426"/>
      <c r="Z285" s="77"/>
      <c r="AB285" s="52">
        <f t="shared" si="400"/>
        <v>0</v>
      </c>
      <c r="AC285" s="52">
        <f t="shared" si="378"/>
        <v>0</v>
      </c>
      <c r="AD285" s="52">
        <f t="shared" si="379"/>
        <v>0</v>
      </c>
      <c r="AE285" s="52">
        <f t="shared" si="380"/>
        <v>0</v>
      </c>
      <c r="AF285" s="52">
        <f t="shared" si="381"/>
        <v>0</v>
      </c>
      <c r="AG285" s="52">
        <f t="shared" si="382"/>
        <v>0</v>
      </c>
      <c r="AH285" s="52">
        <f t="shared" si="383"/>
        <v>0</v>
      </c>
      <c r="AI285" s="52">
        <f t="shared" si="384"/>
        <v>0</v>
      </c>
      <c r="AJ285" s="52">
        <f t="shared" si="385"/>
        <v>0</v>
      </c>
      <c r="AK285" s="52">
        <f t="shared" si="386"/>
        <v>0</v>
      </c>
      <c r="AL285" s="52">
        <f t="shared" si="387"/>
        <v>0</v>
      </c>
      <c r="AM285" s="52">
        <f t="shared" si="388"/>
        <v>0</v>
      </c>
      <c r="AN285" s="52">
        <f t="shared" si="389"/>
        <v>0</v>
      </c>
      <c r="AO285" s="52">
        <f t="shared" si="390"/>
        <v>0</v>
      </c>
      <c r="AP285" s="52">
        <f t="shared" si="391"/>
        <v>0</v>
      </c>
      <c r="AQ285" s="52">
        <f t="shared" si="392"/>
        <v>0</v>
      </c>
      <c r="AR285" s="52">
        <f t="shared" si="393"/>
        <v>0</v>
      </c>
      <c r="AS285" s="52">
        <f t="shared" si="394"/>
        <v>0</v>
      </c>
      <c r="AT285" s="52">
        <f t="shared" si="395"/>
        <v>0</v>
      </c>
      <c r="AU285" s="52">
        <f t="shared" si="396"/>
        <v>0</v>
      </c>
      <c r="AV285" s="52">
        <f t="shared" si="397"/>
        <v>0</v>
      </c>
      <c r="AW285" s="52">
        <f t="shared" si="398"/>
        <v>0</v>
      </c>
      <c r="AX285" s="52">
        <f t="shared" si="399"/>
        <v>0</v>
      </c>
      <c r="AY285" s="52">
        <f t="shared" si="433"/>
        <v>0</v>
      </c>
      <c r="BA285" s="52">
        <f t="shared" si="401"/>
        <v>0</v>
      </c>
      <c r="BB285" s="52">
        <f t="shared" si="402"/>
        <v>0</v>
      </c>
      <c r="BC285" s="52">
        <f t="shared" si="403"/>
        <v>0</v>
      </c>
      <c r="BD285" s="52">
        <f t="shared" si="404"/>
        <v>0</v>
      </c>
      <c r="BE285" s="52">
        <f t="shared" si="405"/>
        <v>0</v>
      </c>
      <c r="BF285" s="52">
        <f t="shared" si="406"/>
        <v>0</v>
      </c>
      <c r="BG285" s="52">
        <f t="shared" si="407"/>
        <v>0</v>
      </c>
      <c r="BH285" s="52">
        <f t="shared" si="408"/>
        <v>0</v>
      </c>
      <c r="BI285" s="52">
        <f t="shared" si="409"/>
        <v>0</v>
      </c>
      <c r="BJ285" s="52">
        <f t="shared" si="410"/>
        <v>0</v>
      </c>
      <c r="BK285" s="52">
        <f t="shared" si="411"/>
        <v>0</v>
      </c>
      <c r="BL285" s="52">
        <f t="shared" si="412"/>
        <v>0</v>
      </c>
      <c r="BM285" s="52">
        <f t="shared" si="413"/>
        <v>0</v>
      </c>
      <c r="BN285" s="52">
        <f t="shared" si="414"/>
        <v>0</v>
      </c>
      <c r="BO285" s="52">
        <f t="shared" si="415"/>
        <v>0</v>
      </c>
      <c r="BP285" s="52">
        <f t="shared" si="416"/>
        <v>0</v>
      </c>
      <c r="BQ285" s="52">
        <f t="shared" si="417"/>
        <v>0</v>
      </c>
      <c r="BR285" s="52">
        <f t="shared" si="418"/>
        <v>0</v>
      </c>
      <c r="BS285" s="52">
        <f t="shared" si="419"/>
        <v>0</v>
      </c>
      <c r="BT285" s="52">
        <f t="shared" si="420"/>
        <v>0</v>
      </c>
      <c r="BU285" s="52">
        <f t="shared" si="421"/>
        <v>0</v>
      </c>
      <c r="BV285" s="52">
        <f t="shared" si="422"/>
        <v>0</v>
      </c>
      <c r="BW285" s="52">
        <f t="shared" si="423"/>
        <v>0</v>
      </c>
      <c r="BX285" s="52">
        <f t="shared" si="424"/>
        <v>0</v>
      </c>
      <c r="BZ285" s="52">
        <f t="shared" si="435"/>
        <v>0</v>
      </c>
      <c r="CA285" s="52">
        <f t="shared" si="436"/>
        <v>0</v>
      </c>
      <c r="CB285" s="52">
        <f t="shared" si="437"/>
        <v>0</v>
      </c>
      <c r="CC285" s="52">
        <f t="shared" si="438"/>
        <v>0</v>
      </c>
      <c r="CD285" s="52">
        <f t="shared" si="439"/>
        <v>0</v>
      </c>
      <c r="CE285" s="52">
        <f t="shared" si="440"/>
        <v>0</v>
      </c>
      <c r="CF285" s="52">
        <f t="shared" si="441"/>
        <v>0</v>
      </c>
      <c r="CG285" s="52">
        <f t="shared" si="442"/>
        <v>0</v>
      </c>
      <c r="CH285" s="52">
        <f t="shared" si="443"/>
        <v>0</v>
      </c>
      <c r="CI285" s="52">
        <f t="shared" si="444"/>
        <v>0</v>
      </c>
      <c r="CJ285" s="52">
        <f t="shared" si="445"/>
        <v>0</v>
      </c>
      <c r="CK285" s="52">
        <f t="shared" si="446"/>
        <v>0</v>
      </c>
      <c r="CL285" s="52">
        <f t="shared" si="447"/>
        <v>0</v>
      </c>
      <c r="CM285" s="52">
        <f t="shared" si="448"/>
        <v>0</v>
      </c>
      <c r="CN285" s="52">
        <f t="shared" si="449"/>
        <v>0</v>
      </c>
      <c r="CO285" s="52">
        <f t="shared" si="450"/>
        <v>0</v>
      </c>
      <c r="CP285" s="52">
        <f t="shared" si="451"/>
        <v>0</v>
      </c>
      <c r="CQ285" s="52">
        <f t="shared" si="426"/>
        <v>0</v>
      </c>
      <c r="CR285" s="52">
        <f t="shared" si="427"/>
        <v>0</v>
      </c>
      <c r="CS285" s="52">
        <f t="shared" si="428"/>
        <v>0</v>
      </c>
      <c r="CT285" s="52">
        <f t="shared" si="429"/>
        <v>0</v>
      </c>
      <c r="CU285" s="52">
        <f t="shared" si="430"/>
        <v>0</v>
      </c>
      <c r="CV285" s="52">
        <f t="shared" si="431"/>
        <v>0</v>
      </c>
      <c r="CW285" s="52">
        <f t="shared" si="432"/>
        <v>0</v>
      </c>
    </row>
    <row r="286" spans="1:102">
      <c r="A286" s="60">
        <v>45208</v>
      </c>
      <c r="B286" s="426"/>
      <c r="Z286" s="77"/>
      <c r="AB286">
        <f t="shared" si="400"/>
        <v>0</v>
      </c>
      <c r="AC286">
        <f t="shared" si="378"/>
        <v>0</v>
      </c>
      <c r="AD286">
        <f t="shared" si="379"/>
        <v>0</v>
      </c>
      <c r="AE286">
        <f t="shared" si="380"/>
        <v>0</v>
      </c>
      <c r="AF286">
        <f t="shared" si="381"/>
        <v>0</v>
      </c>
      <c r="AG286">
        <f t="shared" si="382"/>
        <v>0</v>
      </c>
      <c r="AH286">
        <f t="shared" si="383"/>
        <v>0</v>
      </c>
      <c r="AI286">
        <f t="shared" si="384"/>
        <v>0</v>
      </c>
      <c r="AJ286">
        <f t="shared" si="385"/>
        <v>0</v>
      </c>
      <c r="AK286">
        <f t="shared" si="386"/>
        <v>0</v>
      </c>
      <c r="AL286">
        <f t="shared" si="387"/>
        <v>0</v>
      </c>
      <c r="AM286">
        <f t="shared" si="388"/>
        <v>0</v>
      </c>
      <c r="AN286">
        <f t="shared" si="389"/>
        <v>0</v>
      </c>
      <c r="AO286">
        <f t="shared" si="390"/>
        <v>0</v>
      </c>
      <c r="AP286">
        <f t="shared" si="391"/>
        <v>0</v>
      </c>
      <c r="AQ286">
        <f t="shared" si="392"/>
        <v>0</v>
      </c>
      <c r="AR286">
        <f t="shared" si="393"/>
        <v>0</v>
      </c>
      <c r="AS286">
        <f t="shared" si="394"/>
        <v>0</v>
      </c>
      <c r="AT286">
        <f t="shared" si="395"/>
        <v>0</v>
      </c>
      <c r="AU286">
        <f t="shared" si="396"/>
        <v>0</v>
      </c>
      <c r="AV286">
        <f t="shared" si="397"/>
        <v>0</v>
      </c>
      <c r="AW286">
        <f t="shared" si="398"/>
        <v>0</v>
      </c>
      <c r="AX286">
        <f t="shared" si="399"/>
        <v>0</v>
      </c>
      <c r="AY286">
        <f t="shared" si="433"/>
        <v>0</v>
      </c>
      <c r="BA286">
        <f t="shared" si="401"/>
        <v>0</v>
      </c>
      <c r="BB286">
        <f t="shared" si="402"/>
        <v>0</v>
      </c>
      <c r="BC286">
        <f t="shared" si="403"/>
        <v>0</v>
      </c>
      <c r="BD286">
        <f t="shared" si="404"/>
        <v>0</v>
      </c>
      <c r="BE286">
        <f t="shared" si="405"/>
        <v>0</v>
      </c>
      <c r="BF286">
        <f t="shared" si="406"/>
        <v>0</v>
      </c>
      <c r="BG286">
        <f t="shared" si="407"/>
        <v>0</v>
      </c>
      <c r="BH286">
        <f t="shared" si="408"/>
        <v>0</v>
      </c>
      <c r="BI286">
        <f t="shared" si="409"/>
        <v>0</v>
      </c>
      <c r="BJ286">
        <f t="shared" si="410"/>
        <v>0</v>
      </c>
      <c r="BK286">
        <f t="shared" si="411"/>
        <v>0</v>
      </c>
      <c r="BL286">
        <f t="shared" si="412"/>
        <v>0</v>
      </c>
      <c r="BM286">
        <f t="shared" si="413"/>
        <v>0</v>
      </c>
      <c r="BN286">
        <f t="shared" si="414"/>
        <v>0</v>
      </c>
      <c r="BO286">
        <f t="shared" si="415"/>
        <v>0</v>
      </c>
      <c r="BP286">
        <f t="shared" si="416"/>
        <v>0</v>
      </c>
      <c r="BQ286">
        <f t="shared" si="417"/>
        <v>0</v>
      </c>
      <c r="BR286">
        <f t="shared" si="418"/>
        <v>0</v>
      </c>
      <c r="BS286">
        <f t="shared" si="419"/>
        <v>0</v>
      </c>
      <c r="BT286">
        <f t="shared" si="420"/>
        <v>0</v>
      </c>
      <c r="BU286">
        <f t="shared" si="421"/>
        <v>0</v>
      </c>
      <c r="BV286">
        <f t="shared" si="422"/>
        <v>0</v>
      </c>
      <c r="BW286">
        <f t="shared" si="423"/>
        <v>0</v>
      </c>
      <c r="BX286">
        <f t="shared" si="424"/>
        <v>0</v>
      </c>
      <c r="BZ286">
        <f t="shared" si="435"/>
        <v>0</v>
      </c>
      <c r="CA286">
        <f t="shared" si="436"/>
        <v>0</v>
      </c>
      <c r="CB286">
        <f t="shared" si="437"/>
        <v>0</v>
      </c>
      <c r="CC286">
        <f t="shared" si="438"/>
        <v>0</v>
      </c>
      <c r="CD286">
        <f t="shared" si="439"/>
        <v>0</v>
      </c>
      <c r="CE286">
        <f t="shared" si="440"/>
        <v>0</v>
      </c>
      <c r="CF286">
        <f t="shared" si="441"/>
        <v>0</v>
      </c>
      <c r="CG286">
        <f t="shared" si="442"/>
        <v>0</v>
      </c>
      <c r="CH286">
        <f t="shared" si="443"/>
        <v>0</v>
      </c>
      <c r="CI286">
        <f t="shared" si="444"/>
        <v>0</v>
      </c>
      <c r="CJ286">
        <f t="shared" si="445"/>
        <v>0</v>
      </c>
      <c r="CK286">
        <f t="shared" si="446"/>
        <v>0</v>
      </c>
      <c r="CL286">
        <f t="shared" si="447"/>
        <v>0</v>
      </c>
      <c r="CM286">
        <f t="shared" si="448"/>
        <v>0</v>
      </c>
      <c r="CN286">
        <f t="shared" si="449"/>
        <v>0</v>
      </c>
      <c r="CO286">
        <f t="shared" si="450"/>
        <v>0</v>
      </c>
      <c r="CP286">
        <f t="shared" si="451"/>
        <v>0</v>
      </c>
      <c r="CQ286">
        <f t="shared" si="426"/>
        <v>0</v>
      </c>
      <c r="CR286">
        <f t="shared" si="427"/>
        <v>0</v>
      </c>
      <c r="CS286">
        <f t="shared" si="428"/>
        <v>0</v>
      </c>
      <c r="CT286">
        <f t="shared" si="429"/>
        <v>0</v>
      </c>
      <c r="CU286">
        <f t="shared" si="430"/>
        <v>0</v>
      </c>
      <c r="CV286">
        <f t="shared" si="431"/>
        <v>0</v>
      </c>
      <c r="CW286">
        <f t="shared" si="432"/>
        <v>0</v>
      </c>
    </row>
    <row r="287" spans="1:102">
      <c r="A287" s="60">
        <v>45209</v>
      </c>
      <c r="B287" s="426"/>
      <c r="Z287" s="77"/>
      <c r="AB287" s="52">
        <f t="shared" si="400"/>
        <v>0</v>
      </c>
      <c r="AC287" s="52">
        <f t="shared" si="378"/>
        <v>0</v>
      </c>
      <c r="AD287" s="52">
        <f t="shared" si="379"/>
        <v>0</v>
      </c>
      <c r="AE287" s="52">
        <f t="shared" si="380"/>
        <v>0</v>
      </c>
      <c r="AF287" s="52">
        <f t="shared" si="381"/>
        <v>0</v>
      </c>
      <c r="AG287" s="52">
        <f t="shared" si="382"/>
        <v>0</v>
      </c>
      <c r="AH287" s="52">
        <f t="shared" si="383"/>
        <v>0</v>
      </c>
      <c r="AI287" s="52">
        <f t="shared" si="384"/>
        <v>0</v>
      </c>
      <c r="AJ287" s="52">
        <f t="shared" si="385"/>
        <v>0</v>
      </c>
      <c r="AK287" s="52">
        <f t="shared" si="386"/>
        <v>0</v>
      </c>
      <c r="AL287" s="52">
        <f t="shared" si="387"/>
        <v>0</v>
      </c>
      <c r="AM287" s="52">
        <f t="shared" si="388"/>
        <v>0</v>
      </c>
      <c r="AN287" s="52">
        <f t="shared" si="389"/>
        <v>0</v>
      </c>
      <c r="AO287" s="52">
        <f t="shared" si="390"/>
        <v>0</v>
      </c>
      <c r="AP287" s="52">
        <f t="shared" si="391"/>
        <v>0</v>
      </c>
      <c r="AQ287" s="52">
        <f t="shared" si="392"/>
        <v>0</v>
      </c>
      <c r="AR287" s="52">
        <f t="shared" si="393"/>
        <v>0</v>
      </c>
      <c r="AS287" s="52">
        <f t="shared" si="394"/>
        <v>0</v>
      </c>
      <c r="AT287" s="52">
        <f t="shared" si="395"/>
        <v>0</v>
      </c>
      <c r="AU287" s="52">
        <f t="shared" si="396"/>
        <v>0</v>
      </c>
      <c r="AV287" s="52">
        <f t="shared" si="397"/>
        <v>0</v>
      </c>
      <c r="AW287" s="52">
        <f t="shared" si="398"/>
        <v>0</v>
      </c>
      <c r="AX287" s="52">
        <f t="shared" si="399"/>
        <v>0</v>
      </c>
      <c r="AY287" s="52">
        <f t="shared" si="433"/>
        <v>0</v>
      </c>
      <c r="BA287" s="52">
        <f t="shared" si="401"/>
        <v>0</v>
      </c>
      <c r="BB287" s="52">
        <f t="shared" si="402"/>
        <v>0</v>
      </c>
      <c r="BC287" s="52">
        <f t="shared" si="403"/>
        <v>0</v>
      </c>
      <c r="BD287" s="52">
        <f t="shared" si="404"/>
        <v>0</v>
      </c>
      <c r="BE287" s="52">
        <f t="shared" si="405"/>
        <v>0</v>
      </c>
      <c r="BF287" s="52">
        <f t="shared" si="406"/>
        <v>0</v>
      </c>
      <c r="BG287" s="52">
        <f t="shared" si="407"/>
        <v>0</v>
      </c>
      <c r="BH287" s="52">
        <f t="shared" si="408"/>
        <v>0</v>
      </c>
      <c r="BI287" s="52">
        <f t="shared" si="409"/>
        <v>0</v>
      </c>
      <c r="BJ287" s="52">
        <f t="shared" si="410"/>
        <v>0</v>
      </c>
      <c r="BK287" s="52">
        <f t="shared" si="411"/>
        <v>0</v>
      </c>
      <c r="BL287" s="52">
        <f t="shared" si="412"/>
        <v>0</v>
      </c>
      <c r="BM287" s="52">
        <f t="shared" si="413"/>
        <v>0</v>
      </c>
      <c r="BN287" s="52">
        <f t="shared" si="414"/>
        <v>0</v>
      </c>
      <c r="BO287" s="52">
        <f t="shared" si="415"/>
        <v>0</v>
      </c>
      <c r="BP287" s="52">
        <f t="shared" si="416"/>
        <v>0</v>
      </c>
      <c r="BQ287" s="52">
        <f t="shared" si="417"/>
        <v>0</v>
      </c>
      <c r="BR287" s="52">
        <f t="shared" si="418"/>
        <v>0</v>
      </c>
      <c r="BS287" s="52">
        <f t="shared" si="419"/>
        <v>0</v>
      </c>
      <c r="BT287" s="52">
        <f t="shared" si="420"/>
        <v>0</v>
      </c>
      <c r="BU287" s="52">
        <f t="shared" si="421"/>
        <v>0</v>
      </c>
      <c r="BV287" s="52">
        <f t="shared" si="422"/>
        <v>0</v>
      </c>
      <c r="BW287" s="52">
        <f t="shared" si="423"/>
        <v>0</v>
      </c>
      <c r="BX287" s="52">
        <f t="shared" si="424"/>
        <v>0</v>
      </c>
      <c r="BZ287" s="52">
        <f t="shared" si="435"/>
        <v>0</v>
      </c>
      <c r="CA287" s="52">
        <f t="shared" si="436"/>
        <v>0</v>
      </c>
      <c r="CB287" s="52">
        <f t="shared" si="437"/>
        <v>0</v>
      </c>
      <c r="CC287" s="52">
        <f t="shared" si="438"/>
        <v>0</v>
      </c>
      <c r="CD287" s="52">
        <f t="shared" si="439"/>
        <v>0</v>
      </c>
      <c r="CE287" s="52">
        <f t="shared" si="440"/>
        <v>0</v>
      </c>
      <c r="CF287" s="52">
        <f t="shared" si="441"/>
        <v>0</v>
      </c>
      <c r="CG287" s="52">
        <f t="shared" si="442"/>
        <v>0</v>
      </c>
      <c r="CH287" s="52">
        <f t="shared" si="443"/>
        <v>0</v>
      </c>
      <c r="CI287" s="52">
        <f t="shared" si="444"/>
        <v>0</v>
      </c>
      <c r="CJ287" s="52">
        <f t="shared" si="445"/>
        <v>0</v>
      </c>
      <c r="CK287" s="52">
        <f t="shared" si="446"/>
        <v>0</v>
      </c>
      <c r="CL287" s="52">
        <f t="shared" si="447"/>
        <v>0</v>
      </c>
      <c r="CM287" s="52">
        <f t="shared" si="448"/>
        <v>0</v>
      </c>
      <c r="CN287" s="52">
        <f t="shared" si="449"/>
        <v>0</v>
      </c>
      <c r="CO287" s="52">
        <f t="shared" si="450"/>
        <v>0</v>
      </c>
      <c r="CP287" s="52">
        <f t="shared" si="451"/>
        <v>0</v>
      </c>
      <c r="CQ287" s="52">
        <f t="shared" si="426"/>
        <v>0</v>
      </c>
      <c r="CR287" s="52">
        <f t="shared" si="427"/>
        <v>0</v>
      </c>
      <c r="CS287" s="52">
        <f t="shared" si="428"/>
        <v>0</v>
      </c>
      <c r="CT287" s="52">
        <f t="shared" si="429"/>
        <v>0</v>
      </c>
      <c r="CU287" s="52">
        <f t="shared" si="430"/>
        <v>0</v>
      </c>
      <c r="CV287" s="52">
        <f t="shared" si="431"/>
        <v>0</v>
      </c>
      <c r="CW287" s="52">
        <f t="shared" si="432"/>
        <v>0</v>
      </c>
    </row>
    <row r="288" spans="1:102">
      <c r="A288" s="60">
        <v>45210</v>
      </c>
      <c r="B288" s="426"/>
      <c r="Z288" s="77"/>
      <c r="AB288">
        <f t="shared" si="400"/>
        <v>0</v>
      </c>
      <c r="AC288">
        <f t="shared" si="378"/>
        <v>0</v>
      </c>
      <c r="AD288">
        <f t="shared" si="379"/>
        <v>0</v>
      </c>
      <c r="AE288">
        <f t="shared" si="380"/>
        <v>0</v>
      </c>
      <c r="AF288">
        <f t="shared" si="381"/>
        <v>0</v>
      </c>
      <c r="AG288">
        <f t="shared" si="382"/>
        <v>0</v>
      </c>
      <c r="AH288">
        <f t="shared" si="383"/>
        <v>0</v>
      </c>
      <c r="AI288">
        <f t="shared" si="384"/>
        <v>0</v>
      </c>
      <c r="AJ288">
        <f t="shared" si="385"/>
        <v>0</v>
      </c>
      <c r="AK288">
        <f t="shared" si="386"/>
        <v>0</v>
      </c>
      <c r="AL288">
        <f t="shared" si="387"/>
        <v>0</v>
      </c>
      <c r="AM288">
        <f t="shared" si="388"/>
        <v>0</v>
      </c>
      <c r="AN288">
        <f t="shared" si="389"/>
        <v>0</v>
      </c>
      <c r="AO288">
        <f t="shared" si="390"/>
        <v>0</v>
      </c>
      <c r="AP288">
        <f t="shared" si="391"/>
        <v>0</v>
      </c>
      <c r="AQ288">
        <f t="shared" si="392"/>
        <v>0</v>
      </c>
      <c r="AR288">
        <f t="shared" si="393"/>
        <v>0</v>
      </c>
      <c r="AS288">
        <f t="shared" si="394"/>
        <v>0</v>
      </c>
      <c r="AT288">
        <f t="shared" si="395"/>
        <v>0</v>
      </c>
      <c r="AU288">
        <f t="shared" si="396"/>
        <v>0</v>
      </c>
      <c r="AV288">
        <f t="shared" si="397"/>
        <v>0</v>
      </c>
      <c r="AW288">
        <f t="shared" si="398"/>
        <v>0</v>
      </c>
      <c r="AX288">
        <f t="shared" si="399"/>
        <v>0</v>
      </c>
      <c r="AY288">
        <f t="shared" si="433"/>
        <v>0</v>
      </c>
      <c r="BA288">
        <f t="shared" si="401"/>
        <v>0</v>
      </c>
      <c r="BB288">
        <f t="shared" si="402"/>
        <v>0</v>
      </c>
      <c r="BC288">
        <f t="shared" si="403"/>
        <v>0</v>
      </c>
      <c r="BD288">
        <f t="shared" si="404"/>
        <v>0</v>
      </c>
      <c r="BE288">
        <f t="shared" si="405"/>
        <v>0</v>
      </c>
      <c r="BF288">
        <f t="shared" si="406"/>
        <v>0</v>
      </c>
      <c r="BG288">
        <f t="shared" si="407"/>
        <v>0</v>
      </c>
      <c r="BH288">
        <f t="shared" si="408"/>
        <v>0</v>
      </c>
      <c r="BI288">
        <f t="shared" si="409"/>
        <v>0</v>
      </c>
      <c r="BJ288">
        <f t="shared" si="410"/>
        <v>0</v>
      </c>
      <c r="BK288">
        <f t="shared" si="411"/>
        <v>0</v>
      </c>
      <c r="BL288">
        <f t="shared" si="412"/>
        <v>0</v>
      </c>
      <c r="BM288">
        <f t="shared" si="413"/>
        <v>0</v>
      </c>
      <c r="BN288">
        <f t="shared" si="414"/>
        <v>0</v>
      </c>
      <c r="BO288">
        <f t="shared" si="415"/>
        <v>0</v>
      </c>
      <c r="BP288">
        <f t="shared" si="416"/>
        <v>0</v>
      </c>
      <c r="BQ288">
        <f t="shared" si="417"/>
        <v>0</v>
      </c>
      <c r="BR288">
        <f t="shared" si="418"/>
        <v>0</v>
      </c>
      <c r="BS288">
        <f t="shared" si="419"/>
        <v>0</v>
      </c>
      <c r="BT288">
        <f t="shared" si="420"/>
        <v>0</v>
      </c>
      <c r="BU288">
        <f t="shared" si="421"/>
        <v>0</v>
      </c>
      <c r="BV288">
        <f t="shared" si="422"/>
        <v>0</v>
      </c>
      <c r="BW288">
        <f t="shared" si="423"/>
        <v>0</v>
      </c>
      <c r="BX288">
        <f t="shared" si="424"/>
        <v>0</v>
      </c>
      <c r="BZ288">
        <f t="shared" si="435"/>
        <v>0</v>
      </c>
      <c r="CA288">
        <f t="shared" si="436"/>
        <v>0</v>
      </c>
      <c r="CB288">
        <f t="shared" si="437"/>
        <v>0</v>
      </c>
      <c r="CC288">
        <f t="shared" si="438"/>
        <v>0</v>
      </c>
      <c r="CD288">
        <f t="shared" si="439"/>
        <v>0</v>
      </c>
      <c r="CE288">
        <f t="shared" si="440"/>
        <v>0</v>
      </c>
      <c r="CF288">
        <f t="shared" si="441"/>
        <v>0</v>
      </c>
      <c r="CG288">
        <f t="shared" si="442"/>
        <v>0</v>
      </c>
      <c r="CH288">
        <f t="shared" si="443"/>
        <v>0</v>
      </c>
      <c r="CI288">
        <f t="shared" si="444"/>
        <v>0</v>
      </c>
      <c r="CJ288">
        <f t="shared" si="445"/>
        <v>0</v>
      </c>
      <c r="CK288">
        <f t="shared" si="446"/>
        <v>0</v>
      </c>
      <c r="CL288">
        <f t="shared" si="447"/>
        <v>0</v>
      </c>
      <c r="CM288">
        <f t="shared" si="448"/>
        <v>0</v>
      </c>
      <c r="CN288">
        <f t="shared" si="449"/>
        <v>0</v>
      </c>
      <c r="CO288">
        <f t="shared" si="450"/>
        <v>0</v>
      </c>
      <c r="CP288">
        <f t="shared" si="451"/>
        <v>0</v>
      </c>
      <c r="CQ288">
        <f t="shared" si="426"/>
        <v>0</v>
      </c>
      <c r="CR288">
        <f t="shared" si="427"/>
        <v>0</v>
      </c>
      <c r="CS288">
        <f t="shared" si="428"/>
        <v>0</v>
      </c>
      <c r="CT288">
        <f t="shared" si="429"/>
        <v>0</v>
      </c>
      <c r="CU288">
        <f t="shared" si="430"/>
        <v>0</v>
      </c>
      <c r="CV288">
        <f t="shared" si="431"/>
        <v>0</v>
      </c>
      <c r="CW288">
        <f t="shared" si="432"/>
        <v>0</v>
      </c>
    </row>
    <row r="289" spans="1:101">
      <c r="A289" s="60">
        <v>45211</v>
      </c>
      <c r="B289" s="426"/>
      <c r="Z289" s="77"/>
      <c r="AB289" s="52">
        <f t="shared" si="400"/>
        <v>0</v>
      </c>
      <c r="AC289" s="52">
        <f t="shared" si="378"/>
        <v>0</v>
      </c>
      <c r="AD289" s="52">
        <f t="shared" si="379"/>
        <v>0</v>
      </c>
      <c r="AE289" s="52">
        <f t="shared" si="380"/>
        <v>0</v>
      </c>
      <c r="AF289" s="52">
        <f t="shared" si="381"/>
        <v>0</v>
      </c>
      <c r="AG289" s="52">
        <f t="shared" si="382"/>
        <v>0</v>
      </c>
      <c r="AH289" s="52">
        <f t="shared" si="383"/>
        <v>0</v>
      </c>
      <c r="AI289" s="52">
        <f t="shared" si="384"/>
        <v>0</v>
      </c>
      <c r="AJ289" s="52">
        <f t="shared" si="385"/>
        <v>0</v>
      </c>
      <c r="AK289" s="52">
        <f t="shared" si="386"/>
        <v>0</v>
      </c>
      <c r="AL289" s="52">
        <f t="shared" si="387"/>
        <v>0</v>
      </c>
      <c r="AM289" s="52">
        <f t="shared" si="388"/>
        <v>0</v>
      </c>
      <c r="AN289" s="52">
        <f t="shared" si="389"/>
        <v>0</v>
      </c>
      <c r="AO289" s="52">
        <f t="shared" si="390"/>
        <v>0</v>
      </c>
      <c r="AP289" s="52">
        <f t="shared" si="391"/>
        <v>0</v>
      </c>
      <c r="AQ289" s="52">
        <f t="shared" si="392"/>
        <v>0</v>
      </c>
      <c r="AR289" s="52">
        <f t="shared" si="393"/>
        <v>0</v>
      </c>
      <c r="AS289" s="52">
        <f t="shared" si="394"/>
        <v>0</v>
      </c>
      <c r="AT289" s="52">
        <f t="shared" si="395"/>
        <v>0</v>
      </c>
      <c r="AU289" s="52">
        <f t="shared" si="396"/>
        <v>0</v>
      </c>
      <c r="AV289" s="52">
        <f t="shared" si="397"/>
        <v>0</v>
      </c>
      <c r="AW289" s="52">
        <f t="shared" si="398"/>
        <v>0</v>
      </c>
      <c r="AX289" s="52">
        <f t="shared" si="399"/>
        <v>0</v>
      </c>
      <c r="AY289" s="52">
        <f t="shared" si="433"/>
        <v>0</v>
      </c>
      <c r="BA289" s="52">
        <f t="shared" si="401"/>
        <v>0</v>
      </c>
      <c r="BB289" s="52">
        <f t="shared" si="402"/>
        <v>0</v>
      </c>
      <c r="BC289" s="52">
        <f t="shared" si="403"/>
        <v>0</v>
      </c>
      <c r="BD289" s="52">
        <f t="shared" si="404"/>
        <v>0</v>
      </c>
      <c r="BE289" s="52">
        <f t="shared" si="405"/>
        <v>0</v>
      </c>
      <c r="BF289" s="52">
        <f t="shared" si="406"/>
        <v>0</v>
      </c>
      <c r="BG289" s="52">
        <f t="shared" si="407"/>
        <v>0</v>
      </c>
      <c r="BH289" s="52">
        <f t="shared" si="408"/>
        <v>0</v>
      </c>
      <c r="BI289" s="52">
        <f t="shared" si="409"/>
        <v>0</v>
      </c>
      <c r="BJ289" s="52">
        <f t="shared" si="410"/>
        <v>0</v>
      </c>
      <c r="BK289" s="52">
        <f t="shared" si="411"/>
        <v>0</v>
      </c>
      <c r="BL289" s="52">
        <f t="shared" si="412"/>
        <v>0</v>
      </c>
      <c r="BM289" s="52">
        <f t="shared" si="413"/>
        <v>0</v>
      </c>
      <c r="BN289" s="52">
        <f t="shared" si="414"/>
        <v>0</v>
      </c>
      <c r="BO289" s="52">
        <f t="shared" si="415"/>
        <v>0</v>
      </c>
      <c r="BP289" s="52">
        <f t="shared" si="416"/>
        <v>0</v>
      </c>
      <c r="BQ289" s="52">
        <f t="shared" si="417"/>
        <v>0</v>
      </c>
      <c r="BR289" s="52">
        <f t="shared" si="418"/>
        <v>0</v>
      </c>
      <c r="BS289" s="52">
        <f t="shared" si="419"/>
        <v>0</v>
      </c>
      <c r="BT289" s="52">
        <f t="shared" si="420"/>
        <v>0</v>
      </c>
      <c r="BU289" s="52">
        <f t="shared" si="421"/>
        <v>0</v>
      </c>
      <c r="BV289" s="52">
        <f t="shared" si="422"/>
        <v>0</v>
      </c>
      <c r="BW289" s="52">
        <f t="shared" si="423"/>
        <v>0</v>
      </c>
      <c r="BX289" s="52">
        <f t="shared" si="424"/>
        <v>0</v>
      </c>
      <c r="BZ289" s="52">
        <f t="shared" si="435"/>
        <v>0</v>
      </c>
      <c r="CA289" s="52">
        <f t="shared" si="436"/>
        <v>0</v>
      </c>
      <c r="CB289" s="52">
        <f t="shared" si="437"/>
        <v>0</v>
      </c>
      <c r="CC289" s="52">
        <f t="shared" si="438"/>
        <v>0</v>
      </c>
      <c r="CD289" s="52">
        <f t="shared" si="439"/>
        <v>0</v>
      </c>
      <c r="CE289" s="52">
        <f t="shared" si="440"/>
        <v>0</v>
      </c>
      <c r="CF289" s="52">
        <f t="shared" si="441"/>
        <v>0</v>
      </c>
      <c r="CG289" s="52">
        <f t="shared" si="442"/>
        <v>0</v>
      </c>
      <c r="CH289" s="52">
        <f t="shared" si="443"/>
        <v>0</v>
      </c>
      <c r="CI289" s="52">
        <f t="shared" si="444"/>
        <v>0</v>
      </c>
      <c r="CJ289" s="52">
        <f t="shared" si="445"/>
        <v>0</v>
      </c>
      <c r="CK289" s="52">
        <f t="shared" si="446"/>
        <v>0</v>
      </c>
      <c r="CL289" s="52">
        <f t="shared" si="447"/>
        <v>0</v>
      </c>
      <c r="CM289" s="52">
        <f t="shared" si="448"/>
        <v>0</v>
      </c>
      <c r="CN289" s="52">
        <f t="shared" si="449"/>
        <v>0</v>
      </c>
      <c r="CO289" s="52">
        <f t="shared" si="450"/>
        <v>0</v>
      </c>
      <c r="CP289" s="52">
        <f t="shared" si="451"/>
        <v>0</v>
      </c>
      <c r="CQ289" s="52">
        <f t="shared" si="426"/>
        <v>0</v>
      </c>
      <c r="CR289" s="52">
        <f t="shared" si="427"/>
        <v>0</v>
      </c>
      <c r="CS289" s="52">
        <f t="shared" si="428"/>
        <v>0</v>
      </c>
      <c r="CT289" s="52">
        <f t="shared" si="429"/>
        <v>0</v>
      </c>
      <c r="CU289" s="52">
        <f t="shared" si="430"/>
        <v>0</v>
      </c>
      <c r="CV289" s="52">
        <f t="shared" si="431"/>
        <v>0</v>
      </c>
      <c r="CW289" s="52">
        <f t="shared" si="432"/>
        <v>0</v>
      </c>
    </row>
    <row r="290" spans="1:101">
      <c r="A290" s="60">
        <v>45212</v>
      </c>
      <c r="B290" s="426"/>
      <c r="Z290" s="77"/>
      <c r="AB290">
        <f t="shared" si="400"/>
        <v>0</v>
      </c>
      <c r="AC290">
        <f t="shared" si="378"/>
        <v>0</v>
      </c>
      <c r="AD290">
        <f t="shared" si="379"/>
        <v>0</v>
      </c>
      <c r="AE290">
        <f t="shared" si="380"/>
        <v>0</v>
      </c>
      <c r="AF290">
        <f t="shared" si="381"/>
        <v>0</v>
      </c>
      <c r="AG290">
        <f t="shared" si="382"/>
        <v>0</v>
      </c>
      <c r="AH290">
        <f t="shared" si="383"/>
        <v>0</v>
      </c>
      <c r="AI290">
        <f t="shared" si="384"/>
        <v>0</v>
      </c>
      <c r="AJ290">
        <f t="shared" si="385"/>
        <v>0</v>
      </c>
      <c r="AK290">
        <f t="shared" si="386"/>
        <v>0</v>
      </c>
      <c r="AL290">
        <f t="shared" si="387"/>
        <v>0</v>
      </c>
      <c r="AM290">
        <f t="shared" si="388"/>
        <v>0</v>
      </c>
      <c r="AN290">
        <f t="shared" si="389"/>
        <v>0</v>
      </c>
      <c r="AO290">
        <f t="shared" si="390"/>
        <v>0</v>
      </c>
      <c r="AP290">
        <f t="shared" si="391"/>
        <v>0</v>
      </c>
      <c r="AQ290">
        <f t="shared" si="392"/>
        <v>0</v>
      </c>
      <c r="AR290">
        <f t="shared" si="393"/>
        <v>0</v>
      </c>
      <c r="AS290">
        <f t="shared" si="394"/>
        <v>0</v>
      </c>
      <c r="AT290">
        <f t="shared" si="395"/>
        <v>0</v>
      </c>
      <c r="AU290">
        <f t="shared" si="396"/>
        <v>0</v>
      </c>
      <c r="AV290">
        <f t="shared" si="397"/>
        <v>0</v>
      </c>
      <c r="AW290">
        <f t="shared" si="398"/>
        <v>0</v>
      </c>
      <c r="AX290">
        <f t="shared" si="399"/>
        <v>0</v>
      </c>
      <c r="AY290">
        <f t="shared" si="433"/>
        <v>0</v>
      </c>
      <c r="BA290">
        <f t="shared" si="401"/>
        <v>0</v>
      </c>
      <c r="BB290">
        <f t="shared" si="402"/>
        <v>0</v>
      </c>
      <c r="BC290">
        <f t="shared" si="403"/>
        <v>0</v>
      </c>
      <c r="BD290">
        <f t="shared" si="404"/>
        <v>0</v>
      </c>
      <c r="BE290">
        <f t="shared" si="405"/>
        <v>0</v>
      </c>
      <c r="BF290">
        <f t="shared" si="406"/>
        <v>0</v>
      </c>
      <c r="BG290">
        <f t="shared" si="407"/>
        <v>0</v>
      </c>
      <c r="BH290">
        <f t="shared" si="408"/>
        <v>0</v>
      </c>
      <c r="BI290">
        <f t="shared" si="409"/>
        <v>0</v>
      </c>
      <c r="BJ290">
        <f t="shared" si="410"/>
        <v>0</v>
      </c>
      <c r="BK290">
        <f t="shared" si="411"/>
        <v>0</v>
      </c>
      <c r="BL290">
        <f t="shared" si="412"/>
        <v>0</v>
      </c>
      <c r="BM290">
        <f t="shared" si="413"/>
        <v>0</v>
      </c>
      <c r="BN290">
        <f t="shared" si="414"/>
        <v>0</v>
      </c>
      <c r="BO290">
        <f t="shared" si="415"/>
        <v>0</v>
      </c>
      <c r="BP290">
        <f t="shared" si="416"/>
        <v>0</v>
      </c>
      <c r="BQ290">
        <f t="shared" si="417"/>
        <v>0</v>
      </c>
      <c r="BR290">
        <f t="shared" si="418"/>
        <v>0</v>
      </c>
      <c r="BS290">
        <f t="shared" si="419"/>
        <v>0</v>
      </c>
      <c r="BT290">
        <f t="shared" si="420"/>
        <v>0</v>
      </c>
      <c r="BU290">
        <f t="shared" si="421"/>
        <v>0</v>
      </c>
      <c r="BV290">
        <f t="shared" si="422"/>
        <v>0</v>
      </c>
      <c r="BW290">
        <f t="shared" si="423"/>
        <v>0</v>
      </c>
      <c r="BX290">
        <f t="shared" si="424"/>
        <v>0</v>
      </c>
      <c r="BZ290">
        <f t="shared" si="435"/>
        <v>0</v>
      </c>
      <c r="CA290">
        <f t="shared" si="436"/>
        <v>0</v>
      </c>
      <c r="CB290">
        <f t="shared" si="437"/>
        <v>0</v>
      </c>
      <c r="CC290">
        <f t="shared" si="438"/>
        <v>0</v>
      </c>
      <c r="CD290">
        <f t="shared" si="439"/>
        <v>0</v>
      </c>
      <c r="CE290">
        <f t="shared" si="440"/>
        <v>0</v>
      </c>
      <c r="CF290">
        <f t="shared" si="441"/>
        <v>0</v>
      </c>
      <c r="CG290">
        <f t="shared" si="442"/>
        <v>0</v>
      </c>
      <c r="CH290">
        <f t="shared" si="443"/>
        <v>0</v>
      </c>
      <c r="CI290">
        <f t="shared" si="444"/>
        <v>0</v>
      </c>
      <c r="CJ290">
        <f t="shared" si="445"/>
        <v>0</v>
      </c>
      <c r="CK290">
        <f t="shared" si="446"/>
        <v>0</v>
      </c>
      <c r="CL290">
        <f t="shared" si="447"/>
        <v>0</v>
      </c>
      <c r="CM290">
        <f t="shared" si="448"/>
        <v>0</v>
      </c>
      <c r="CN290">
        <f t="shared" si="449"/>
        <v>0</v>
      </c>
      <c r="CO290">
        <f t="shared" si="450"/>
        <v>0</v>
      </c>
      <c r="CP290">
        <f t="shared" si="451"/>
        <v>0</v>
      </c>
      <c r="CQ290">
        <f t="shared" si="426"/>
        <v>0</v>
      </c>
      <c r="CR290">
        <f t="shared" si="427"/>
        <v>0</v>
      </c>
      <c r="CS290">
        <f t="shared" si="428"/>
        <v>0</v>
      </c>
      <c r="CT290">
        <f t="shared" si="429"/>
        <v>0</v>
      </c>
      <c r="CU290">
        <f t="shared" si="430"/>
        <v>0</v>
      </c>
      <c r="CV290">
        <f t="shared" si="431"/>
        <v>0</v>
      </c>
      <c r="CW290">
        <f t="shared" si="432"/>
        <v>0</v>
      </c>
    </row>
    <row r="291" spans="1:101">
      <c r="A291" s="60">
        <v>45213</v>
      </c>
      <c r="B291" s="426"/>
      <c r="Z291" s="77"/>
      <c r="AB291" s="52">
        <f t="shared" si="400"/>
        <v>0</v>
      </c>
      <c r="AC291" s="52">
        <f t="shared" si="378"/>
        <v>0</v>
      </c>
      <c r="AD291" s="52">
        <f t="shared" si="379"/>
        <v>0</v>
      </c>
      <c r="AE291" s="52">
        <f t="shared" si="380"/>
        <v>0</v>
      </c>
      <c r="AF291" s="52">
        <f t="shared" si="381"/>
        <v>0</v>
      </c>
      <c r="AG291" s="52">
        <f t="shared" si="382"/>
        <v>0</v>
      </c>
      <c r="AH291" s="52">
        <f t="shared" si="383"/>
        <v>0</v>
      </c>
      <c r="AI291" s="52">
        <f t="shared" si="384"/>
        <v>0</v>
      </c>
      <c r="AJ291" s="52">
        <f t="shared" si="385"/>
        <v>0</v>
      </c>
      <c r="AK291" s="52">
        <f t="shared" si="386"/>
        <v>0</v>
      </c>
      <c r="AL291" s="52">
        <f t="shared" si="387"/>
        <v>0</v>
      </c>
      <c r="AM291" s="52">
        <f t="shared" si="388"/>
        <v>0</v>
      </c>
      <c r="AN291" s="52">
        <f t="shared" si="389"/>
        <v>0</v>
      </c>
      <c r="AO291" s="52">
        <f t="shared" si="390"/>
        <v>0</v>
      </c>
      <c r="AP291" s="52">
        <f t="shared" si="391"/>
        <v>0</v>
      </c>
      <c r="AQ291" s="52">
        <f t="shared" si="392"/>
        <v>0</v>
      </c>
      <c r="AR291" s="52">
        <f t="shared" si="393"/>
        <v>0</v>
      </c>
      <c r="AS291" s="52">
        <f t="shared" si="394"/>
        <v>0</v>
      </c>
      <c r="AT291" s="52">
        <f t="shared" si="395"/>
        <v>0</v>
      </c>
      <c r="AU291" s="52">
        <f t="shared" si="396"/>
        <v>0</v>
      </c>
      <c r="AV291" s="52">
        <f t="shared" si="397"/>
        <v>0</v>
      </c>
      <c r="AW291" s="52">
        <f t="shared" si="398"/>
        <v>0</v>
      </c>
      <c r="AX291" s="52">
        <f t="shared" si="399"/>
        <v>0</v>
      </c>
      <c r="AY291" s="52">
        <f t="shared" si="433"/>
        <v>0</v>
      </c>
      <c r="BA291" s="52">
        <f t="shared" ref="BA291:BA305" si="452">+ROUNDUP(B291/8800,0)</f>
        <v>0</v>
      </c>
      <c r="BB291" s="52">
        <f t="shared" ref="BB291:BB305" si="453">+ROUNDUP(C291/8800,0)</f>
        <v>0</v>
      </c>
      <c r="BC291" s="52">
        <f t="shared" ref="BC291:BC305" si="454">+ROUNDUP(D291/8800,0)</f>
        <v>0</v>
      </c>
      <c r="BD291" s="52">
        <f t="shared" ref="BD291:BD305" si="455">+ROUNDUP(E291/8800,0)</f>
        <v>0</v>
      </c>
      <c r="BE291" s="52">
        <f t="shared" ref="BE291:BE305" si="456">+ROUNDUP(F291/8800,0)</f>
        <v>0</v>
      </c>
      <c r="BF291" s="52">
        <f t="shared" ref="BF291:BF305" si="457">+ROUNDUP(G291/8800,0)</f>
        <v>0</v>
      </c>
      <c r="BG291" s="52">
        <f t="shared" ref="BG291:BG305" si="458">+ROUNDUP(H291/8800,0)</f>
        <v>0</v>
      </c>
      <c r="BH291" s="52">
        <f t="shared" ref="BH291:BH305" si="459">+ROUNDUP(I291/8800,0)</f>
        <v>0</v>
      </c>
      <c r="BI291" s="52">
        <f t="shared" ref="BI291:BI305" si="460">+ROUNDUP(J291/8800,0)</f>
        <v>0</v>
      </c>
      <c r="BJ291" s="52">
        <f t="shared" ref="BJ291:BJ305" si="461">+ROUNDUP(K291/8800,0)</f>
        <v>0</v>
      </c>
      <c r="BK291" s="52">
        <f t="shared" ref="BK291:BK305" si="462">+ROUNDUP(L291/8800,0)</f>
        <v>0</v>
      </c>
      <c r="BL291" s="52">
        <f t="shared" ref="BL291:BL305" si="463">+ROUNDUP(M291/8800,0)</f>
        <v>0</v>
      </c>
      <c r="BM291" s="52">
        <f t="shared" ref="BM291:BM305" si="464">+ROUNDUP(N291/8800,0)</f>
        <v>0</v>
      </c>
      <c r="BN291" s="52">
        <f t="shared" ref="BN291:BN305" si="465">+ROUNDUP(O291/8800,0)</f>
        <v>0</v>
      </c>
      <c r="BO291" s="52">
        <f t="shared" ref="BO291:BO305" si="466">+ROUNDUP(P291/8800,0)</f>
        <v>0</v>
      </c>
      <c r="BP291" s="52">
        <f t="shared" ref="BP291:BP305" si="467">+ROUNDUP(Q291/8800,0)</f>
        <v>0</v>
      </c>
      <c r="BQ291" s="52">
        <f t="shared" ref="BQ291:BQ305" si="468">+ROUNDUP(R291/8800,0)</f>
        <v>0</v>
      </c>
      <c r="BR291" s="52">
        <f t="shared" ref="BR291:BR305" si="469">+ROUNDUP(S291/8800,0)</f>
        <v>0</v>
      </c>
      <c r="BS291" s="52">
        <f t="shared" ref="BS291:BS305" si="470">+ROUNDUP(T291/8800,0)</f>
        <v>0</v>
      </c>
      <c r="BT291" s="52">
        <f t="shared" ref="BT291:BT305" si="471">+ROUNDUP(U291/8800,0)</f>
        <v>0</v>
      </c>
      <c r="BU291" s="52">
        <f t="shared" ref="BU291:BU305" si="472">+ROUNDUP(V291/8800,0)</f>
        <v>0</v>
      </c>
      <c r="BV291" s="52">
        <f t="shared" ref="BV291:BV305" si="473">+ROUNDUP(W291/8800,0)</f>
        <v>0</v>
      </c>
      <c r="BW291" s="52">
        <f t="shared" ref="BW291:BW305" si="474">+ROUNDUP(X291/8800,0)</f>
        <v>0</v>
      </c>
      <c r="BX291" s="52">
        <f t="shared" ref="BX291:BX305" si="475">+ROUNDUP(Y291/8800,0)</f>
        <v>0</v>
      </c>
      <c r="BZ291" s="52">
        <f t="shared" si="435"/>
        <v>0</v>
      </c>
      <c r="CA291" s="52">
        <f t="shared" si="436"/>
        <v>0</v>
      </c>
      <c r="CB291" s="52">
        <f t="shared" si="437"/>
        <v>0</v>
      </c>
      <c r="CC291" s="52">
        <f t="shared" si="438"/>
        <v>0</v>
      </c>
      <c r="CD291" s="52">
        <f t="shared" si="439"/>
        <v>0</v>
      </c>
      <c r="CE291" s="52">
        <f t="shared" si="440"/>
        <v>0</v>
      </c>
      <c r="CF291" s="52">
        <f t="shared" si="441"/>
        <v>0</v>
      </c>
      <c r="CG291" s="52">
        <f t="shared" si="442"/>
        <v>0</v>
      </c>
      <c r="CH291" s="52">
        <f t="shared" si="443"/>
        <v>0</v>
      </c>
      <c r="CI291" s="52">
        <f t="shared" si="444"/>
        <v>0</v>
      </c>
      <c r="CJ291" s="52">
        <f t="shared" si="445"/>
        <v>0</v>
      </c>
      <c r="CK291" s="52">
        <f t="shared" si="446"/>
        <v>0</v>
      </c>
      <c r="CL291" s="52">
        <f t="shared" si="447"/>
        <v>0</v>
      </c>
      <c r="CM291" s="52">
        <f t="shared" si="448"/>
        <v>0</v>
      </c>
      <c r="CN291" s="52">
        <f t="shared" si="449"/>
        <v>0</v>
      </c>
      <c r="CO291" s="52">
        <f t="shared" si="450"/>
        <v>0</v>
      </c>
      <c r="CP291" s="52">
        <f t="shared" si="451"/>
        <v>0</v>
      </c>
      <c r="CQ291" s="52">
        <f t="shared" si="426"/>
        <v>0</v>
      </c>
      <c r="CR291" s="52">
        <f t="shared" si="427"/>
        <v>0</v>
      </c>
      <c r="CS291" s="52">
        <f t="shared" si="428"/>
        <v>0</v>
      </c>
      <c r="CT291" s="52">
        <f t="shared" si="429"/>
        <v>0</v>
      </c>
      <c r="CU291" s="52">
        <f t="shared" si="430"/>
        <v>0</v>
      </c>
      <c r="CV291" s="52">
        <f t="shared" si="431"/>
        <v>0</v>
      </c>
      <c r="CW291" s="52">
        <f t="shared" si="432"/>
        <v>0</v>
      </c>
    </row>
    <row r="292" spans="1:101">
      <c r="A292" s="60">
        <v>45214</v>
      </c>
      <c r="B292" s="426"/>
      <c r="Z292" s="77"/>
      <c r="AB292">
        <f t="shared" ref="AB292:AB325" si="476">+IF(AND(B292=0,C292&lt;&gt;0),1,0)</f>
        <v>0</v>
      </c>
      <c r="AC292">
        <f t="shared" ref="AC292:AC325" si="477">+IF(AND(C292=0,D292&lt;&gt;0),1,0)</f>
        <v>0</v>
      </c>
      <c r="AD292">
        <f t="shared" ref="AD292:AD325" si="478">+IF(AND(D292=0,E292&lt;&gt;0),1,0)</f>
        <v>0</v>
      </c>
      <c r="AE292">
        <f t="shared" ref="AE292:AE325" si="479">+IF(AND(E292=0,F292&lt;&gt;0),1,0)</f>
        <v>0</v>
      </c>
      <c r="AF292">
        <f t="shared" ref="AF292:AF325" si="480">+IF(AND(F292=0,G292&lt;&gt;0),1,0)</f>
        <v>0</v>
      </c>
      <c r="AG292">
        <f t="shared" ref="AG292:AG325" si="481">+IF(AND(G292=0,H292&lt;&gt;0),1,0)</f>
        <v>0</v>
      </c>
      <c r="AH292">
        <f t="shared" ref="AH292:AH325" si="482">+IF(AND(H292=0,I292&lt;&gt;0),1,0)</f>
        <v>0</v>
      </c>
      <c r="AI292">
        <f t="shared" ref="AI292:AI325" si="483">+IF(AND(I292=0,J292&lt;&gt;0),1,0)</f>
        <v>0</v>
      </c>
      <c r="AJ292">
        <f t="shared" ref="AJ292:AJ325" si="484">+IF(AND(J292=0,K292&lt;&gt;0),1,0)</f>
        <v>0</v>
      </c>
      <c r="AK292">
        <f t="shared" ref="AK292:AK325" si="485">+IF(AND(K292=0,L292&lt;&gt;0),1,0)</f>
        <v>0</v>
      </c>
      <c r="AL292">
        <f t="shared" ref="AL292:AL325" si="486">+IF(AND(L292=0,M292&lt;&gt;0),1,0)</f>
        <v>0</v>
      </c>
      <c r="AM292">
        <f t="shared" ref="AM292:AM325" si="487">+IF(AND(M292=0,N292&lt;&gt;0),1,0)</f>
        <v>0</v>
      </c>
      <c r="AN292">
        <f t="shared" ref="AN292:AN325" si="488">+IF(AND(N292=0,O292&lt;&gt;0),1,0)</f>
        <v>0</v>
      </c>
      <c r="AO292">
        <f t="shared" ref="AO292:AO325" si="489">+IF(AND(O292=0,P292&lt;&gt;0),1,0)</f>
        <v>0</v>
      </c>
      <c r="AP292">
        <f t="shared" ref="AP292:AP325" si="490">+IF(AND(P292=0,Q292&lt;&gt;0),1,0)</f>
        <v>0</v>
      </c>
      <c r="AQ292">
        <f t="shared" ref="AQ292:AQ325" si="491">+IF(AND(Q292=0,R292&lt;&gt;0),1,0)</f>
        <v>0</v>
      </c>
      <c r="AR292">
        <f t="shared" ref="AR292:AR325" si="492">+IF(AND(R292=0,S292&lt;&gt;0),1,0)</f>
        <v>0</v>
      </c>
      <c r="AS292">
        <f t="shared" ref="AS292:AS325" si="493">+IF(AND(S292=0,T292&lt;&gt;0),1,0)</f>
        <v>0</v>
      </c>
      <c r="AT292">
        <f t="shared" ref="AT292:AT325" si="494">+IF(AND(T292=0,U292&lt;&gt;0),1,0)</f>
        <v>0</v>
      </c>
      <c r="AU292">
        <f t="shared" ref="AU292:AU325" si="495">+IF(AND(U292=0,V292&lt;&gt;0),1,0)</f>
        <v>0</v>
      </c>
      <c r="AV292">
        <f t="shared" ref="AV292:AV325" si="496">+IF(AND(V292=0,W292&lt;&gt;0),1,0)</f>
        <v>0</v>
      </c>
      <c r="AW292">
        <f t="shared" ref="AW292:AW325" si="497">+IF(AND(W292=0,X292&lt;&gt;0),1,0)</f>
        <v>0</v>
      </c>
      <c r="AX292">
        <f t="shared" ref="AX292:AX325" si="498">+IF(AND(X292=0,Y292&lt;&gt;0),1,0)</f>
        <v>0</v>
      </c>
      <c r="AY292">
        <f t="shared" si="433"/>
        <v>0</v>
      </c>
      <c r="BA292">
        <f t="shared" si="452"/>
        <v>0</v>
      </c>
      <c r="BB292">
        <f t="shared" si="453"/>
        <v>0</v>
      </c>
      <c r="BC292">
        <f t="shared" si="454"/>
        <v>0</v>
      </c>
      <c r="BD292">
        <f t="shared" si="455"/>
        <v>0</v>
      </c>
      <c r="BE292">
        <f t="shared" si="456"/>
        <v>0</v>
      </c>
      <c r="BF292">
        <f t="shared" si="457"/>
        <v>0</v>
      </c>
      <c r="BG292">
        <f t="shared" si="458"/>
        <v>0</v>
      </c>
      <c r="BH292">
        <f t="shared" si="459"/>
        <v>0</v>
      </c>
      <c r="BI292">
        <f t="shared" si="460"/>
        <v>0</v>
      </c>
      <c r="BJ292">
        <f t="shared" si="461"/>
        <v>0</v>
      </c>
      <c r="BK292">
        <f t="shared" si="462"/>
        <v>0</v>
      </c>
      <c r="BL292">
        <f t="shared" si="463"/>
        <v>0</v>
      </c>
      <c r="BM292">
        <f t="shared" si="464"/>
        <v>0</v>
      </c>
      <c r="BN292">
        <f t="shared" si="465"/>
        <v>0</v>
      </c>
      <c r="BO292">
        <f t="shared" si="466"/>
        <v>0</v>
      </c>
      <c r="BP292">
        <f t="shared" si="467"/>
        <v>0</v>
      </c>
      <c r="BQ292">
        <f t="shared" si="468"/>
        <v>0</v>
      </c>
      <c r="BR292">
        <f t="shared" si="469"/>
        <v>0</v>
      </c>
      <c r="BS292">
        <f t="shared" si="470"/>
        <v>0</v>
      </c>
      <c r="BT292">
        <f t="shared" si="471"/>
        <v>0</v>
      </c>
      <c r="BU292">
        <f t="shared" si="472"/>
        <v>0</v>
      </c>
      <c r="BV292">
        <f t="shared" si="473"/>
        <v>0</v>
      </c>
      <c r="BW292">
        <f t="shared" si="474"/>
        <v>0</v>
      </c>
      <c r="BX292">
        <f t="shared" si="475"/>
        <v>0</v>
      </c>
      <c r="BZ292">
        <f t="shared" si="435"/>
        <v>0</v>
      </c>
      <c r="CA292">
        <f t="shared" si="436"/>
        <v>0</v>
      </c>
      <c r="CB292">
        <f t="shared" ref="CB292:CP294" si="499">BC292-BB292</f>
        <v>0</v>
      </c>
      <c r="CC292">
        <f t="shared" si="499"/>
        <v>0</v>
      </c>
      <c r="CD292">
        <f t="shared" si="499"/>
        <v>0</v>
      </c>
      <c r="CE292">
        <f t="shared" si="499"/>
        <v>0</v>
      </c>
      <c r="CF292">
        <f t="shared" si="499"/>
        <v>0</v>
      </c>
      <c r="CG292">
        <f t="shared" si="499"/>
        <v>0</v>
      </c>
      <c r="CH292">
        <f t="shared" si="499"/>
        <v>0</v>
      </c>
      <c r="CI292">
        <f t="shared" si="499"/>
        <v>0</v>
      </c>
      <c r="CJ292">
        <f t="shared" si="499"/>
        <v>0</v>
      </c>
      <c r="CK292">
        <f t="shared" si="499"/>
        <v>0</v>
      </c>
      <c r="CL292">
        <f t="shared" si="499"/>
        <v>0</v>
      </c>
      <c r="CM292">
        <f t="shared" si="499"/>
        <v>0</v>
      </c>
      <c r="CN292">
        <f t="shared" si="499"/>
        <v>0</v>
      </c>
      <c r="CO292">
        <f t="shared" si="499"/>
        <v>0</v>
      </c>
      <c r="CP292">
        <f t="shared" si="499"/>
        <v>0</v>
      </c>
      <c r="CQ292">
        <f t="shared" si="426"/>
        <v>0</v>
      </c>
      <c r="CR292">
        <f t="shared" si="427"/>
        <v>0</v>
      </c>
      <c r="CS292">
        <f t="shared" si="428"/>
        <v>0</v>
      </c>
      <c r="CT292">
        <f t="shared" si="429"/>
        <v>0</v>
      </c>
      <c r="CU292">
        <f t="shared" si="430"/>
        <v>0</v>
      </c>
      <c r="CV292">
        <f t="shared" si="431"/>
        <v>0</v>
      </c>
      <c r="CW292">
        <f t="shared" si="432"/>
        <v>0</v>
      </c>
    </row>
    <row r="293" spans="1:101">
      <c r="A293" s="60">
        <v>45215</v>
      </c>
      <c r="B293" s="426"/>
      <c r="Z293" s="77"/>
      <c r="AB293" s="52">
        <f t="shared" si="476"/>
        <v>0</v>
      </c>
      <c r="AC293" s="52">
        <f t="shared" si="477"/>
        <v>0</v>
      </c>
      <c r="AD293" s="52">
        <f t="shared" si="478"/>
        <v>0</v>
      </c>
      <c r="AE293" s="52">
        <f t="shared" si="479"/>
        <v>0</v>
      </c>
      <c r="AF293" s="52">
        <f t="shared" si="480"/>
        <v>0</v>
      </c>
      <c r="AG293" s="52">
        <f t="shared" si="481"/>
        <v>0</v>
      </c>
      <c r="AH293" s="52">
        <f t="shared" si="482"/>
        <v>0</v>
      </c>
      <c r="AI293" s="52">
        <f t="shared" si="483"/>
        <v>0</v>
      </c>
      <c r="AJ293" s="52">
        <f t="shared" si="484"/>
        <v>0</v>
      </c>
      <c r="AK293" s="52">
        <f t="shared" si="485"/>
        <v>0</v>
      </c>
      <c r="AL293" s="52">
        <f t="shared" si="486"/>
        <v>0</v>
      </c>
      <c r="AM293" s="52">
        <f t="shared" si="487"/>
        <v>0</v>
      </c>
      <c r="AN293" s="52">
        <f t="shared" si="488"/>
        <v>0</v>
      </c>
      <c r="AO293" s="52">
        <f t="shared" si="489"/>
        <v>0</v>
      </c>
      <c r="AP293" s="52">
        <f t="shared" si="490"/>
        <v>0</v>
      </c>
      <c r="AQ293" s="52">
        <f t="shared" si="491"/>
        <v>0</v>
      </c>
      <c r="AR293" s="52">
        <f t="shared" si="492"/>
        <v>0</v>
      </c>
      <c r="AS293" s="52">
        <f t="shared" si="493"/>
        <v>0</v>
      </c>
      <c r="AT293" s="52">
        <f t="shared" si="494"/>
        <v>0</v>
      </c>
      <c r="AU293" s="52">
        <f t="shared" si="495"/>
        <v>0</v>
      </c>
      <c r="AV293" s="52">
        <f t="shared" si="496"/>
        <v>0</v>
      </c>
      <c r="AW293" s="52">
        <f t="shared" si="497"/>
        <v>0</v>
      </c>
      <c r="AX293" s="52">
        <f t="shared" si="498"/>
        <v>0</v>
      </c>
      <c r="AY293" s="52">
        <f t="shared" si="433"/>
        <v>0</v>
      </c>
      <c r="BA293" s="52">
        <f t="shared" si="452"/>
        <v>0</v>
      </c>
      <c r="BB293" s="52">
        <f t="shared" si="453"/>
        <v>0</v>
      </c>
      <c r="BC293" s="52">
        <f t="shared" si="454"/>
        <v>0</v>
      </c>
      <c r="BD293" s="52">
        <f t="shared" si="455"/>
        <v>0</v>
      </c>
      <c r="BE293" s="52">
        <f t="shared" si="456"/>
        <v>0</v>
      </c>
      <c r="BF293" s="52">
        <f t="shared" si="457"/>
        <v>0</v>
      </c>
      <c r="BG293" s="52">
        <f t="shared" si="458"/>
        <v>0</v>
      </c>
      <c r="BH293" s="52">
        <f t="shared" si="459"/>
        <v>0</v>
      </c>
      <c r="BI293" s="52">
        <f t="shared" si="460"/>
        <v>0</v>
      </c>
      <c r="BJ293" s="52">
        <f t="shared" si="461"/>
        <v>0</v>
      </c>
      <c r="BK293" s="52">
        <f t="shared" si="462"/>
        <v>0</v>
      </c>
      <c r="BL293" s="52">
        <f t="shared" si="463"/>
        <v>0</v>
      </c>
      <c r="BM293" s="52">
        <f t="shared" si="464"/>
        <v>0</v>
      </c>
      <c r="BN293" s="52">
        <f t="shared" si="465"/>
        <v>0</v>
      </c>
      <c r="BO293" s="52">
        <f t="shared" si="466"/>
        <v>0</v>
      </c>
      <c r="BP293" s="52">
        <f t="shared" si="467"/>
        <v>0</v>
      </c>
      <c r="BQ293" s="52">
        <f t="shared" si="468"/>
        <v>0</v>
      </c>
      <c r="BR293" s="52">
        <f t="shared" si="469"/>
        <v>0</v>
      </c>
      <c r="BS293" s="52">
        <f t="shared" si="470"/>
        <v>0</v>
      </c>
      <c r="BT293" s="52">
        <f t="shared" si="471"/>
        <v>0</v>
      </c>
      <c r="BU293" s="52">
        <f t="shared" si="472"/>
        <v>0</v>
      </c>
      <c r="BV293" s="52">
        <f t="shared" si="473"/>
        <v>0</v>
      </c>
      <c r="BW293" s="52">
        <f t="shared" si="474"/>
        <v>0</v>
      </c>
      <c r="BX293" s="52">
        <f t="shared" si="475"/>
        <v>0</v>
      </c>
      <c r="BZ293" s="52">
        <f t="shared" si="435"/>
        <v>0</v>
      </c>
      <c r="CA293" s="52">
        <f t="shared" si="436"/>
        <v>0</v>
      </c>
      <c r="CB293" s="52">
        <f t="shared" si="499"/>
        <v>0</v>
      </c>
      <c r="CC293" s="52">
        <f t="shared" si="499"/>
        <v>0</v>
      </c>
      <c r="CD293" s="52">
        <f t="shared" si="499"/>
        <v>0</v>
      </c>
      <c r="CE293" s="52">
        <f t="shared" si="499"/>
        <v>0</v>
      </c>
      <c r="CF293" s="52">
        <f t="shared" si="499"/>
        <v>0</v>
      </c>
      <c r="CG293" s="52">
        <f t="shared" si="499"/>
        <v>0</v>
      </c>
      <c r="CH293" s="52">
        <f t="shared" si="499"/>
        <v>0</v>
      </c>
      <c r="CI293" s="52">
        <f t="shared" si="499"/>
        <v>0</v>
      </c>
      <c r="CJ293" s="52">
        <f t="shared" si="499"/>
        <v>0</v>
      </c>
      <c r="CK293" s="52">
        <f t="shared" si="499"/>
        <v>0</v>
      </c>
      <c r="CL293" s="52">
        <f t="shared" si="499"/>
        <v>0</v>
      </c>
      <c r="CM293" s="52">
        <f t="shared" si="499"/>
        <v>0</v>
      </c>
      <c r="CN293" s="52">
        <f t="shared" si="499"/>
        <v>0</v>
      </c>
      <c r="CO293" s="52">
        <f t="shared" si="499"/>
        <v>0</v>
      </c>
      <c r="CP293" s="52">
        <f t="shared" si="499"/>
        <v>0</v>
      </c>
      <c r="CQ293" s="52">
        <f t="shared" si="426"/>
        <v>0</v>
      </c>
      <c r="CR293" s="52">
        <f t="shared" si="427"/>
        <v>0</v>
      </c>
      <c r="CS293" s="52">
        <f t="shared" si="428"/>
        <v>0</v>
      </c>
      <c r="CT293" s="52">
        <f t="shared" si="429"/>
        <v>0</v>
      </c>
      <c r="CU293" s="52">
        <f t="shared" si="430"/>
        <v>0</v>
      </c>
      <c r="CV293" s="52">
        <f t="shared" si="431"/>
        <v>0</v>
      </c>
      <c r="CW293" s="52">
        <f t="shared" si="432"/>
        <v>0</v>
      </c>
    </row>
    <row r="294" spans="1:101">
      <c r="A294" s="60">
        <v>45216</v>
      </c>
      <c r="B294" s="426"/>
      <c r="Z294" s="77"/>
      <c r="AB294">
        <f t="shared" si="476"/>
        <v>0</v>
      </c>
      <c r="AC294">
        <f t="shared" si="477"/>
        <v>0</v>
      </c>
      <c r="AD294">
        <f t="shared" si="478"/>
        <v>0</v>
      </c>
      <c r="AE294">
        <f t="shared" si="479"/>
        <v>0</v>
      </c>
      <c r="AF294">
        <f t="shared" si="480"/>
        <v>0</v>
      </c>
      <c r="AG294">
        <f t="shared" si="481"/>
        <v>0</v>
      </c>
      <c r="AH294">
        <f t="shared" si="482"/>
        <v>0</v>
      </c>
      <c r="AI294">
        <f t="shared" si="483"/>
        <v>0</v>
      </c>
      <c r="AJ294">
        <f t="shared" si="484"/>
        <v>0</v>
      </c>
      <c r="AK294">
        <f t="shared" si="485"/>
        <v>0</v>
      </c>
      <c r="AL294">
        <f t="shared" si="486"/>
        <v>0</v>
      </c>
      <c r="AM294">
        <f t="shared" si="487"/>
        <v>0</v>
      </c>
      <c r="AN294">
        <f t="shared" si="488"/>
        <v>0</v>
      </c>
      <c r="AO294">
        <f t="shared" si="489"/>
        <v>0</v>
      </c>
      <c r="AP294">
        <f t="shared" si="490"/>
        <v>0</v>
      </c>
      <c r="AQ294">
        <f t="shared" si="491"/>
        <v>0</v>
      </c>
      <c r="AR294">
        <f t="shared" si="492"/>
        <v>0</v>
      </c>
      <c r="AS294">
        <f t="shared" si="493"/>
        <v>0</v>
      </c>
      <c r="AT294">
        <f t="shared" si="494"/>
        <v>0</v>
      </c>
      <c r="AU294">
        <f t="shared" si="495"/>
        <v>0</v>
      </c>
      <c r="AV294">
        <f t="shared" si="496"/>
        <v>0</v>
      </c>
      <c r="AW294">
        <f t="shared" si="497"/>
        <v>0</v>
      </c>
      <c r="AX294">
        <f t="shared" si="498"/>
        <v>0</v>
      </c>
      <c r="AY294">
        <f t="shared" si="433"/>
        <v>0</v>
      </c>
      <c r="BA294">
        <f t="shared" si="452"/>
        <v>0</v>
      </c>
      <c r="BB294">
        <f t="shared" si="453"/>
        <v>0</v>
      </c>
      <c r="BC294">
        <f t="shared" si="454"/>
        <v>0</v>
      </c>
      <c r="BD294">
        <f t="shared" si="455"/>
        <v>0</v>
      </c>
      <c r="BE294">
        <f t="shared" si="456"/>
        <v>0</v>
      </c>
      <c r="BF294">
        <f t="shared" si="457"/>
        <v>0</v>
      </c>
      <c r="BG294">
        <f t="shared" si="458"/>
        <v>0</v>
      </c>
      <c r="BH294">
        <f t="shared" si="459"/>
        <v>0</v>
      </c>
      <c r="BI294">
        <f t="shared" si="460"/>
        <v>0</v>
      </c>
      <c r="BJ294">
        <f t="shared" si="461"/>
        <v>0</v>
      </c>
      <c r="BK294">
        <f t="shared" si="462"/>
        <v>0</v>
      </c>
      <c r="BL294">
        <f t="shared" si="463"/>
        <v>0</v>
      </c>
      <c r="BM294">
        <f t="shared" si="464"/>
        <v>0</v>
      </c>
      <c r="BN294">
        <f t="shared" si="465"/>
        <v>0</v>
      </c>
      <c r="BO294">
        <f t="shared" si="466"/>
        <v>0</v>
      </c>
      <c r="BP294">
        <f t="shared" si="467"/>
        <v>0</v>
      </c>
      <c r="BQ294">
        <f t="shared" si="468"/>
        <v>0</v>
      </c>
      <c r="BR294">
        <f t="shared" si="469"/>
        <v>0</v>
      </c>
      <c r="BS294">
        <f t="shared" si="470"/>
        <v>0</v>
      </c>
      <c r="BT294">
        <f t="shared" si="471"/>
        <v>0</v>
      </c>
      <c r="BU294">
        <f t="shared" si="472"/>
        <v>0</v>
      </c>
      <c r="BV294">
        <f t="shared" si="473"/>
        <v>0</v>
      </c>
      <c r="BW294">
        <f t="shared" si="474"/>
        <v>0</v>
      </c>
      <c r="BX294">
        <f t="shared" si="475"/>
        <v>0</v>
      </c>
      <c r="BZ294">
        <f t="shared" si="435"/>
        <v>0</v>
      </c>
      <c r="CA294">
        <f t="shared" si="436"/>
        <v>0</v>
      </c>
      <c r="CB294">
        <f t="shared" si="499"/>
        <v>0</v>
      </c>
      <c r="CC294">
        <f t="shared" si="499"/>
        <v>0</v>
      </c>
      <c r="CD294">
        <f t="shared" si="499"/>
        <v>0</v>
      </c>
      <c r="CE294">
        <f t="shared" si="499"/>
        <v>0</v>
      </c>
      <c r="CF294">
        <f t="shared" si="499"/>
        <v>0</v>
      </c>
      <c r="CG294">
        <f t="shared" si="499"/>
        <v>0</v>
      </c>
      <c r="CH294">
        <f t="shared" si="499"/>
        <v>0</v>
      </c>
      <c r="CI294">
        <f t="shared" si="499"/>
        <v>0</v>
      </c>
      <c r="CJ294">
        <f t="shared" si="499"/>
        <v>0</v>
      </c>
      <c r="CK294">
        <f t="shared" si="499"/>
        <v>0</v>
      </c>
      <c r="CL294">
        <f t="shared" si="499"/>
        <v>0</v>
      </c>
      <c r="CM294">
        <f t="shared" si="499"/>
        <v>0</v>
      </c>
      <c r="CN294">
        <f t="shared" si="499"/>
        <v>0</v>
      </c>
      <c r="CO294">
        <f t="shared" si="499"/>
        <v>0</v>
      </c>
      <c r="CP294">
        <f t="shared" si="499"/>
        <v>0</v>
      </c>
      <c r="CQ294">
        <f t="shared" si="426"/>
        <v>0</v>
      </c>
      <c r="CR294">
        <f t="shared" si="427"/>
        <v>0</v>
      </c>
      <c r="CS294">
        <f t="shared" si="428"/>
        <v>0</v>
      </c>
      <c r="CT294">
        <f t="shared" si="429"/>
        <v>0</v>
      </c>
      <c r="CU294">
        <f t="shared" si="430"/>
        <v>0</v>
      </c>
      <c r="CV294">
        <f t="shared" si="431"/>
        <v>0</v>
      </c>
      <c r="CW294">
        <f t="shared" si="432"/>
        <v>0</v>
      </c>
    </row>
    <row r="295" spans="1:101">
      <c r="A295" s="60">
        <v>45217</v>
      </c>
      <c r="B295" s="426"/>
      <c r="Z295" s="77"/>
      <c r="AB295" s="52">
        <f t="shared" si="476"/>
        <v>0</v>
      </c>
      <c r="AC295" s="52">
        <f t="shared" si="477"/>
        <v>0</v>
      </c>
      <c r="AD295" s="52">
        <f t="shared" si="478"/>
        <v>0</v>
      </c>
      <c r="AE295" s="52">
        <f t="shared" si="479"/>
        <v>0</v>
      </c>
      <c r="AF295" s="52">
        <f t="shared" si="480"/>
        <v>0</v>
      </c>
      <c r="AG295" s="52">
        <f t="shared" si="481"/>
        <v>0</v>
      </c>
      <c r="AH295" s="52">
        <f t="shared" si="482"/>
        <v>0</v>
      </c>
      <c r="AI295" s="52">
        <f t="shared" si="483"/>
        <v>0</v>
      </c>
      <c r="AJ295" s="52">
        <f t="shared" si="484"/>
        <v>0</v>
      </c>
      <c r="AK295" s="52">
        <f t="shared" si="485"/>
        <v>0</v>
      </c>
      <c r="AL295" s="52">
        <f t="shared" si="486"/>
        <v>0</v>
      </c>
      <c r="AM295" s="52">
        <f t="shared" si="487"/>
        <v>0</v>
      </c>
      <c r="AN295" s="52">
        <f t="shared" si="488"/>
        <v>0</v>
      </c>
      <c r="AO295" s="52">
        <f t="shared" si="489"/>
        <v>0</v>
      </c>
      <c r="AP295" s="52">
        <f t="shared" si="490"/>
        <v>0</v>
      </c>
      <c r="AQ295" s="52">
        <f t="shared" si="491"/>
        <v>0</v>
      </c>
      <c r="AR295" s="52">
        <f t="shared" si="492"/>
        <v>0</v>
      </c>
      <c r="AS295" s="52">
        <f t="shared" si="493"/>
        <v>0</v>
      </c>
      <c r="AT295" s="52">
        <f t="shared" si="494"/>
        <v>0</v>
      </c>
      <c r="AU295" s="52">
        <f t="shared" si="495"/>
        <v>0</v>
      </c>
      <c r="AV295" s="52">
        <f t="shared" si="496"/>
        <v>0</v>
      </c>
      <c r="AW295" s="52">
        <f t="shared" si="497"/>
        <v>0</v>
      </c>
      <c r="AX295" s="52">
        <f t="shared" si="498"/>
        <v>0</v>
      </c>
      <c r="AY295" s="52">
        <f t="shared" si="433"/>
        <v>0</v>
      </c>
      <c r="BA295" s="52">
        <f t="shared" si="452"/>
        <v>0</v>
      </c>
      <c r="BB295" s="52">
        <f t="shared" si="453"/>
        <v>0</v>
      </c>
      <c r="BC295" s="52">
        <f t="shared" si="454"/>
        <v>0</v>
      </c>
      <c r="BD295" s="52">
        <f t="shared" si="455"/>
        <v>0</v>
      </c>
      <c r="BE295" s="52">
        <f t="shared" si="456"/>
        <v>0</v>
      </c>
      <c r="BF295" s="52">
        <f t="shared" si="457"/>
        <v>0</v>
      </c>
      <c r="BG295" s="52">
        <f t="shared" si="458"/>
        <v>0</v>
      </c>
      <c r="BH295" s="52">
        <f t="shared" si="459"/>
        <v>0</v>
      </c>
      <c r="BI295" s="52">
        <f t="shared" si="460"/>
        <v>0</v>
      </c>
      <c r="BJ295" s="52">
        <f t="shared" si="461"/>
        <v>0</v>
      </c>
      <c r="BK295" s="52">
        <f t="shared" si="462"/>
        <v>0</v>
      </c>
      <c r="BL295" s="52">
        <f t="shared" si="463"/>
        <v>0</v>
      </c>
      <c r="BM295" s="52">
        <f t="shared" si="464"/>
        <v>0</v>
      </c>
      <c r="BN295" s="52">
        <f t="shared" si="465"/>
        <v>0</v>
      </c>
      <c r="BO295" s="52">
        <f t="shared" si="466"/>
        <v>0</v>
      </c>
      <c r="BP295" s="52">
        <f t="shared" si="467"/>
        <v>0</v>
      </c>
      <c r="BQ295" s="52">
        <f t="shared" si="468"/>
        <v>0</v>
      </c>
      <c r="BR295" s="52">
        <f t="shared" si="469"/>
        <v>0</v>
      </c>
      <c r="BS295" s="52">
        <f t="shared" si="470"/>
        <v>0</v>
      </c>
      <c r="BT295" s="52">
        <f t="shared" si="471"/>
        <v>0</v>
      </c>
      <c r="BU295" s="52">
        <f t="shared" si="472"/>
        <v>0</v>
      </c>
      <c r="BV295" s="52">
        <f t="shared" si="473"/>
        <v>0</v>
      </c>
      <c r="BW295" s="52">
        <f t="shared" si="474"/>
        <v>0</v>
      </c>
      <c r="BX295" s="52">
        <f t="shared" si="475"/>
        <v>0</v>
      </c>
      <c r="BZ295" s="52">
        <f t="shared" si="435"/>
        <v>0</v>
      </c>
      <c r="CA295" s="52">
        <f t="shared" ref="CA295:CP309" si="500">BB295-BA295</f>
        <v>0</v>
      </c>
      <c r="CB295" s="52">
        <f t="shared" si="500"/>
        <v>0</v>
      </c>
      <c r="CC295" s="52">
        <f t="shared" si="500"/>
        <v>0</v>
      </c>
      <c r="CD295" s="52">
        <f t="shared" si="500"/>
        <v>0</v>
      </c>
      <c r="CE295" s="52">
        <f t="shared" si="500"/>
        <v>0</v>
      </c>
      <c r="CF295" s="52">
        <f t="shared" si="500"/>
        <v>0</v>
      </c>
      <c r="CG295" s="52">
        <f t="shared" si="500"/>
        <v>0</v>
      </c>
      <c r="CH295" s="52">
        <f t="shared" si="500"/>
        <v>0</v>
      </c>
      <c r="CI295" s="52">
        <f t="shared" si="500"/>
        <v>0</v>
      </c>
      <c r="CJ295" s="52">
        <f t="shared" si="500"/>
        <v>0</v>
      </c>
      <c r="CK295" s="52">
        <f t="shared" si="500"/>
        <v>0</v>
      </c>
      <c r="CL295" s="52">
        <f t="shared" si="500"/>
        <v>0</v>
      </c>
      <c r="CM295" s="52">
        <f t="shared" si="500"/>
        <v>0</v>
      </c>
      <c r="CN295" s="52">
        <f t="shared" si="500"/>
        <v>0</v>
      </c>
      <c r="CO295" s="52">
        <f t="shared" si="500"/>
        <v>0</v>
      </c>
      <c r="CP295" s="52">
        <f t="shared" si="500"/>
        <v>0</v>
      </c>
      <c r="CQ295" s="52">
        <f t="shared" si="426"/>
        <v>0</v>
      </c>
      <c r="CR295" s="52">
        <f t="shared" si="427"/>
        <v>0</v>
      </c>
      <c r="CS295" s="52">
        <f t="shared" si="428"/>
        <v>0</v>
      </c>
      <c r="CT295" s="52">
        <f t="shared" si="429"/>
        <v>0</v>
      </c>
      <c r="CU295" s="52">
        <f t="shared" si="430"/>
        <v>0</v>
      </c>
      <c r="CV295" s="52">
        <f t="shared" si="431"/>
        <v>0</v>
      </c>
      <c r="CW295" s="52">
        <f t="shared" si="432"/>
        <v>0</v>
      </c>
    </row>
    <row r="296" spans="1:101">
      <c r="A296" s="60">
        <v>45218</v>
      </c>
      <c r="B296" s="426"/>
      <c r="Z296" s="77"/>
      <c r="AB296">
        <f t="shared" si="476"/>
        <v>0</v>
      </c>
      <c r="AC296">
        <f t="shared" si="477"/>
        <v>0</v>
      </c>
      <c r="AD296">
        <f t="shared" si="478"/>
        <v>0</v>
      </c>
      <c r="AE296">
        <f t="shared" si="479"/>
        <v>0</v>
      </c>
      <c r="AF296">
        <f t="shared" si="480"/>
        <v>0</v>
      </c>
      <c r="AG296">
        <f t="shared" si="481"/>
        <v>0</v>
      </c>
      <c r="AH296">
        <f t="shared" si="482"/>
        <v>0</v>
      </c>
      <c r="AI296">
        <f t="shared" si="483"/>
        <v>0</v>
      </c>
      <c r="AJ296">
        <f t="shared" si="484"/>
        <v>0</v>
      </c>
      <c r="AK296">
        <f t="shared" si="485"/>
        <v>0</v>
      </c>
      <c r="AL296">
        <f t="shared" si="486"/>
        <v>0</v>
      </c>
      <c r="AM296">
        <f t="shared" si="487"/>
        <v>0</v>
      </c>
      <c r="AN296">
        <f t="shared" si="488"/>
        <v>0</v>
      </c>
      <c r="AO296">
        <f t="shared" si="489"/>
        <v>0</v>
      </c>
      <c r="AP296">
        <f t="shared" si="490"/>
        <v>0</v>
      </c>
      <c r="AQ296">
        <f t="shared" si="491"/>
        <v>0</v>
      </c>
      <c r="AR296">
        <f t="shared" si="492"/>
        <v>0</v>
      </c>
      <c r="AS296">
        <f t="shared" si="493"/>
        <v>0</v>
      </c>
      <c r="AT296">
        <f t="shared" si="494"/>
        <v>0</v>
      </c>
      <c r="AU296">
        <f t="shared" si="495"/>
        <v>0</v>
      </c>
      <c r="AV296">
        <f t="shared" si="496"/>
        <v>0</v>
      </c>
      <c r="AW296">
        <f t="shared" si="497"/>
        <v>0</v>
      </c>
      <c r="AX296">
        <f t="shared" si="498"/>
        <v>0</v>
      </c>
      <c r="AY296">
        <f t="shared" si="433"/>
        <v>0</v>
      </c>
      <c r="BA296">
        <f t="shared" si="452"/>
        <v>0</v>
      </c>
      <c r="BB296">
        <f t="shared" si="453"/>
        <v>0</v>
      </c>
      <c r="BC296">
        <f t="shared" si="454"/>
        <v>0</v>
      </c>
      <c r="BD296">
        <f t="shared" si="455"/>
        <v>0</v>
      </c>
      <c r="BE296">
        <f t="shared" si="456"/>
        <v>0</v>
      </c>
      <c r="BF296">
        <f t="shared" si="457"/>
        <v>0</v>
      </c>
      <c r="BG296">
        <f t="shared" si="458"/>
        <v>0</v>
      </c>
      <c r="BH296">
        <f t="shared" si="459"/>
        <v>0</v>
      </c>
      <c r="BI296">
        <f t="shared" si="460"/>
        <v>0</v>
      </c>
      <c r="BJ296">
        <f t="shared" si="461"/>
        <v>0</v>
      </c>
      <c r="BK296">
        <f t="shared" si="462"/>
        <v>0</v>
      </c>
      <c r="BL296">
        <f t="shared" si="463"/>
        <v>0</v>
      </c>
      <c r="BM296">
        <f t="shared" si="464"/>
        <v>0</v>
      </c>
      <c r="BN296">
        <f t="shared" si="465"/>
        <v>0</v>
      </c>
      <c r="BO296">
        <f t="shared" si="466"/>
        <v>0</v>
      </c>
      <c r="BP296">
        <f t="shared" si="467"/>
        <v>0</v>
      </c>
      <c r="BQ296">
        <f t="shared" si="468"/>
        <v>0</v>
      </c>
      <c r="BR296">
        <f t="shared" si="469"/>
        <v>0</v>
      </c>
      <c r="BS296">
        <f t="shared" si="470"/>
        <v>0</v>
      </c>
      <c r="BT296">
        <f t="shared" si="471"/>
        <v>0</v>
      </c>
      <c r="BU296">
        <f t="shared" si="472"/>
        <v>0</v>
      </c>
      <c r="BV296">
        <f t="shared" si="473"/>
        <v>0</v>
      </c>
      <c r="BW296">
        <f t="shared" si="474"/>
        <v>0</v>
      </c>
      <c r="BX296">
        <f t="shared" si="475"/>
        <v>0</v>
      </c>
      <c r="BZ296">
        <f t="shared" si="435"/>
        <v>0</v>
      </c>
      <c r="CA296">
        <f t="shared" si="500"/>
        <v>0</v>
      </c>
      <c r="CB296">
        <f t="shared" si="500"/>
        <v>0</v>
      </c>
      <c r="CC296">
        <f t="shared" si="500"/>
        <v>0</v>
      </c>
      <c r="CD296">
        <f t="shared" si="500"/>
        <v>0</v>
      </c>
      <c r="CE296">
        <f t="shared" si="500"/>
        <v>0</v>
      </c>
      <c r="CF296">
        <f t="shared" si="500"/>
        <v>0</v>
      </c>
      <c r="CG296">
        <f t="shared" si="500"/>
        <v>0</v>
      </c>
      <c r="CH296">
        <f t="shared" si="500"/>
        <v>0</v>
      </c>
      <c r="CI296">
        <f t="shared" si="500"/>
        <v>0</v>
      </c>
      <c r="CJ296">
        <f t="shared" si="500"/>
        <v>0</v>
      </c>
      <c r="CK296">
        <f t="shared" si="500"/>
        <v>0</v>
      </c>
      <c r="CL296">
        <f t="shared" si="500"/>
        <v>0</v>
      </c>
      <c r="CM296">
        <f t="shared" si="500"/>
        <v>0</v>
      </c>
      <c r="CN296">
        <f t="shared" si="500"/>
        <v>0</v>
      </c>
      <c r="CO296">
        <f t="shared" si="500"/>
        <v>0</v>
      </c>
      <c r="CP296">
        <f t="shared" si="500"/>
        <v>0</v>
      </c>
      <c r="CQ296">
        <f t="shared" si="426"/>
        <v>0</v>
      </c>
      <c r="CR296">
        <f t="shared" si="427"/>
        <v>0</v>
      </c>
      <c r="CS296">
        <f t="shared" si="428"/>
        <v>0</v>
      </c>
      <c r="CT296">
        <f t="shared" si="429"/>
        <v>0</v>
      </c>
      <c r="CU296">
        <f t="shared" si="430"/>
        <v>0</v>
      </c>
      <c r="CV296">
        <f t="shared" si="431"/>
        <v>0</v>
      </c>
      <c r="CW296">
        <f t="shared" si="432"/>
        <v>0</v>
      </c>
    </row>
    <row r="297" spans="1:101">
      <c r="A297" s="60">
        <v>45219</v>
      </c>
      <c r="B297" s="426"/>
      <c r="Z297" s="77"/>
      <c r="AB297" s="52">
        <f t="shared" si="476"/>
        <v>0</v>
      </c>
      <c r="AC297" s="52">
        <f t="shared" si="477"/>
        <v>0</v>
      </c>
      <c r="AD297" s="52">
        <f t="shared" si="478"/>
        <v>0</v>
      </c>
      <c r="AE297" s="52">
        <f t="shared" si="479"/>
        <v>0</v>
      </c>
      <c r="AF297" s="52">
        <f t="shared" si="480"/>
        <v>0</v>
      </c>
      <c r="AG297" s="52">
        <f t="shared" si="481"/>
        <v>0</v>
      </c>
      <c r="AH297" s="52">
        <f t="shared" si="482"/>
        <v>0</v>
      </c>
      <c r="AI297" s="52">
        <f t="shared" si="483"/>
        <v>0</v>
      </c>
      <c r="AJ297" s="52">
        <f t="shared" si="484"/>
        <v>0</v>
      </c>
      <c r="AK297" s="52">
        <f t="shared" si="485"/>
        <v>0</v>
      </c>
      <c r="AL297" s="52">
        <f t="shared" si="486"/>
        <v>0</v>
      </c>
      <c r="AM297" s="52">
        <f t="shared" si="487"/>
        <v>0</v>
      </c>
      <c r="AN297" s="52">
        <f t="shared" si="488"/>
        <v>0</v>
      </c>
      <c r="AO297" s="52">
        <f t="shared" si="489"/>
        <v>0</v>
      </c>
      <c r="AP297" s="52">
        <f t="shared" si="490"/>
        <v>0</v>
      </c>
      <c r="AQ297" s="52">
        <f t="shared" si="491"/>
        <v>0</v>
      </c>
      <c r="AR297" s="52">
        <f t="shared" si="492"/>
        <v>0</v>
      </c>
      <c r="AS297" s="52">
        <f t="shared" si="493"/>
        <v>0</v>
      </c>
      <c r="AT297" s="52">
        <f t="shared" si="494"/>
        <v>0</v>
      </c>
      <c r="AU297" s="52">
        <f t="shared" si="495"/>
        <v>0</v>
      </c>
      <c r="AV297" s="52">
        <f t="shared" si="496"/>
        <v>0</v>
      </c>
      <c r="AW297" s="52">
        <f t="shared" si="497"/>
        <v>0</v>
      </c>
      <c r="AX297" s="52">
        <f t="shared" si="498"/>
        <v>0</v>
      </c>
      <c r="AY297" s="52">
        <f t="shared" si="433"/>
        <v>0</v>
      </c>
      <c r="BA297" s="52">
        <f t="shared" si="452"/>
        <v>0</v>
      </c>
      <c r="BB297" s="52">
        <f t="shared" si="453"/>
        <v>0</v>
      </c>
      <c r="BC297" s="52">
        <f t="shared" si="454"/>
        <v>0</v>
      </c>
      <c r="BD297" s="52">
        <f t="shared" si="455"/>
        <v>0</v>
      </c>
      <c r="BE297" s="52">
        <f t="shared" si="456"/>
        <v>0</v>
      </c>
      <c r="BF297" s="52">
        <f t="shared" si="457"/>
        <v>0</v>
      </c>
      <c r="BG297" s="52">
        <f t="shared" si="458"/>
        <v>0</v>
      </c>
      <c r="BH297" s="52">
        <f t="shared" si="459"/>
        <v>0</v>
      </c>
      <c r="BI297" s="52">
        <f t="shared" si="460"/>
        <v>0</v>
      </c>
      <c r="BJ297" s="52">
        <f t="shared" si="461"/>
        <v>0</v>
      </c>
      <c r="BK297" s="52">
        <f t="shared" si="462"/>
        <v>0</v>
      </c>
      <c r="BL297" s="52">
        <f t="shared" si="463"/>
        <v>0</v>
      </c>
      <c r="BM297" s="52">
        <f t="shared" si="464"/>
        <v>0</v>
      </c>
      <c r="BN297" s="52">
        <f t="shared" si="465"/>
        <v>0</v>
      </c>
      <c r="BO297" s="52">
        <f t="shared" si="466"/>
        <v>0</v>
      </c>
      <c r="BP297" s="52">
        <f t="shared" si="467"/>
        <v>0</v>
      </c>
      <c r="BQ297" s="52">
        <f t="shared" si="468"/>
        <v>0</v>
      </c>
      <c r="BR297" s="52">
        <f t="shared" si="469"/>
        <v>0</v>
      </c>
      <c r="BS297" s="52">
        <f t="shared" si="470"/>
        <v>0</v>
      </c>
      <c r="BT297" s="52">
        <f t="shared" si="471"/>
        <v>0</v>
      </c>
      <c r="BU297" s="52">
        <f t="shared" si="472"/>
        <v>0</v>
      </c>
      <c r="BV297" s="52">
        <f t="shared" si="473"/>
        <v>0</v>
      </c>
      <c r="BW297" s="52">
        <f t="shared" si="474"/>
        <v>0</v>
      </c>
      <c r="BX297" s="52">
        <f t="shared" si="475"/>
        <v>0</v>
      </c>
      <c r="BZ297" s="52">
        <f t="shared" si="435"/>
        <v>0</v>
      </c>
      <c r="CA297" s="52">
        <f t="shared" si="500"/>
        <v>0</v>
      </c>
      <c r="CB297" s="52">
        <f t="shared" si="500"/>
        <v>0</v>
      </c>
      <c r="CC297" s="52">
        <f t="shared" si="500"/>
        <v>0</v>
      </c>
      <c r="CD297" s="52">
        <f t="shared" si="500"/>
        <v>0</v>
      </c>
      <c r="CE297" s="52">
        <f t="shared" si="500"/>
        <v>0</v>
      </c>
      <c r="CF297" s="52">
        <f t="shared" si="500"/>
        <v>0</v>
      </c>
      <c r="CG297" s="52">
        <f t="shared" si="500"/>
        <v>0</v>
      </c>
      <c r="CH297" s="52">
        <f t="shared" si="500"/>
        <v>0</v>
      </c>
      <c r="CI297" s="52">
        <f t="shared" si="500"/>
        <v>0</v>
      </c>
      <c r="CJ297" s="52">
        <f t="shared" si="500"/>
        <v>0</v>
      </c>
      <c r="CK297" s="52">
        <f t="shared" si="500"/>
        <v>0</v>
      </c>
      <c r="CL297" s="52">
        <f t="shared" si="500"/>
        <v>0</v>
      </c>
      <c r="CM297" s="52">
        <f t="shared" si="500"/>
        <v>0</v>
      </c>
      <c r="CN297" s="52">
        <f t="shared" si="500"/>
        <v>0</v>
      </c>
      <c r="CO297" s="52">
        <f t="shared" si="500"/>
        <v>0</v>
      </c>
      <c r="CP297" s="52">
        <f t="shared" si="500"/>
        <v>0</v>
      </c>
      <c r="CQ297" s="52">
        <f t="shared" si="426"/>
        <v>0</v>
      </c>
      <c r="CR297" s="52">
        <f t="shared" si="427"/>
        <v>0</v>
      </c>
      <c r="CS297" s="52">
        <f t="shared" si="428"/>
        <v>0</v>
      </c>
      <c r="CT297" s="52">
        <f t="shared" si="429"/>
        <v>0</v>
      </c>
      <c r="CU297" s="52">
        <f t="shared" si="430"/>
        <v>0</v>
      </c>
      <c r="CV297" s="52">
        <f t="shared" si="431"/>
        <v>0</v>
      </c>
      <c r="CW297" s="52">
        <f t="shared" si="432"/>
        <v>0</v>
      </c>
    </row>
    <row r="298" spans="1:101">
      <c r="A298" s="60">
        <v>45220</v>
      </c>
      <c r="B298" s="426"/>
      <c r="Z298" s="77"/>
      <c r="AB298">
        <f t="shared" si="476"/>
        <v>0</v>
      </c>
      <c r="AC298">
        <f t="shared" si="477"/>
        <v>0</v>
      </c>
      <c r="AD298">
        <f t="shared" si="478"/>
        <v>0</v>
      </c>
      <c r="AE298">
        <f t="shared" si="479"/>
        <v>0</v>
      </c>
      <c r="AF298">
        <f t="shared" si="480"/>
        <v>0</v>
      </c>
      <c r="AG298">
        <f t="shared" si="481"/>
        <v>0</v>
      </c>
      <c r="AH298">
        <f t="shared" si="482"/>
        <v>0</v>
      </c>
      <c r="AI298">
        <f t="shared" si="483"/>
        <v>0</v>
      </c>
      <c r="AJ298">
        <f t="shared" si="484"/>
        <v>0</v>
      </c>
      <c r="AK298">
        <f t="shared" si="485"/>
        <v>0</v>
      </c>
      <c r="AL298">
        <f t="shared" si="486"/>
        <v>0</v>
      </c>
      <c r="AM298">
        <f t="shared" si="487"/>
        <v>0</v>
      </c>
      <c r="AN298">
        <f t="shared" si="488"/>
        <v>0</v>
      </c>
      <c r="AO298">
        <f t="shared" si="489"/>
        <v>0</v>
      </c>
      <c r="AP298">
        <f t="shared" si="490"/>
        <v>0</v>
      </c>
      <c r="AQ298">
        <f t="shared" si="491"/>
        <v>0</v>
      </c>
      <c r="AR298">
        <f t="shared" si="492"/>
        <v>0</v>
      </c>
      <c r="AS298">
        <f t="shared" si="493"/>
        <v>0</v>
      </c>
      <c r="AT298">
        <f t="shared" si="494"/>
        <v>0</v>
      </c>
      <c r="AU298">
        <f t="shared" si="495"/>
        <v>0</v>
      </c>
      <c r="AV298">
        <f t="shared" si="496"/>
        <v>0</v>
      </c>
      <c r="AW298">
        <f t="shared" si="497"/>
        <v>0</v>
      </c>
      <c r="AX298">
        <f t="shared" si="498"/>
        <v>0</v>
      </c>
      <c r="AY298">
        <f t="shared" si="433"/>
        <v>0</v>
      </c>
      <c r="BA298">
        <f t="shared" si="452"/>
        <v>0</v>
      </c>
      <c r="BB298">
        <f t="shared" si="453"/>
        <v>0</v>
      </c>
      <c r="BC298">
        <f t="shared" si="454"/>
        <v>0</v>
      </c>
      <c r="BD298">
        <f t="shared" si="455"/>
        <v>0</v>
      </c>
      <c r="BE298">
        <f t="shared" si="456"/>
        <v>0</v>
      </c>
      <c r="BF298">
        <f t="shared" si="457"/>
        <v>0</v>
      </c>
      <c r="BG298">
        <f t="shared" si="458"/>
        <v>0</v>
      </c>
      <c r="BH298">
        <f t="shared" si="459"/>
        <v>0</v>
      </c>
      <c r="BI298">
        <f t="shared" si="460"/>
        <v>0</v>
      </c>
      <c r="BJ298">
        <f t="shared" si="461"/>
        <v>0</v>
      </c>
      <c r="BK298">
        <f t="shared" si="462"/>
        <v>0</v>
      </c>
      <c r="BL298">
        <f t="shared" si="463"/>
        <v>0</v>
      </c>
      <c r="BM298">
        <f t="shared" si="464"/>
        <v>0</v>
      </c>
      <c r="BN298">
        <f t="shared" si="465"/>
        <v>0</v>
      </c>
      <c r="BO298">
        <f t="shared" si="466"/>
        <v>0</v>
      </c>
      <c r="BP298">
        <f t="shared" si="467"/>
        <v>0</v>
      </c>
      <c r="BQ298">
        <f t="shared" si="468"/>
        <v>0</v>
      </c>
      <c r="BR298">
        <f t="shared" si="469"/>
        <v>0</v>
      </c>
      <c r="BS298">
        <f t="shared" si="470"/>
        <v>0</v>
      </c>
      <c r="BT298">
        <f t="shared" si="471"/>
        <v>0</v>
      </c>
      <c r="BU298">
        <f t="shared" si="472"/>
        <v>0</v>
      </c>
      <c r="BV298">
        <f t="shared" si="473"/>
        <v>0</v>
      </c>
      <c r="BW298">
        <f t="shared" si="474"/>
        <v>0</v>
      </c>
      <c r="BX298">
        <f t="shared" si="475"/>
        <v>0</v>
      </c>
      <c r="BZ298">
        <f t="shared" si="435"/>
        <v>0</v>
      </c>
      <c r="CA298">
        <f t="shared" si="500"/>
        <v>0</v>
      </c>
      <c r="CB298">
        <f t="shared" si="500"/>
        <v>0</v>
      </c>
      <c r="CC298">
        <f t="shared" si="500"/>
        <v>0</v>
      </c>
      <c r="CD298">
        <f t="shared" si="500"/>
        <v>0</v>
      </c>
      <c r="CE298">
        <f t="shared" si="500"/>
        <v>0</v>
      </c>
      <c r="CF298">
        <f t="shared" si="500"/>
        <v>0</v>
      </c>
      <c r="CG298">
        <f t="shared" si="500"/>
        <v>0</v>
      </c>
      <c r="CH298">
        <f t="shared" si="500"/>
        <v>0</v>
      </c>
      <c r="CI298">
        <f t="shared" si="500"/>
        <v>0</v>
      </c>
      <c r="CJ298">
        <f t="shared" si="500"/>
        <v>0</v>
      </c>
      <c r="CK298">
        <f t="shared" si="500"/>
        <v>0</v>
      </c>
      <c r="CL298">
        <f t="shared" si="500"/>
        <v>0</v>
      </c>
      <c r="CM298">
        <f t="shared" si="500"/>
        <v>0</v>
      </c>
      <c r="CN298">
        <f t="shared" si="500"/>
        <v>0</v>
      </c>
      <c r="CO298">
        <f t="shared" si="500"/>
        <v>0</v>
      </c>
      <c r="CP298">
        <f t="shared" si="500"/>
        <v>0</v>
      </c>
      <c r="CQ298">
        <f t="shared" si="426"/>
        <v>0</v>
      </c>
      <c r="CR298">
        <f t="shared" si="427"/>
        <v>0</v>
      </c>
      <c r="CS298">
        <f t="shared" si="428"/>
        <v>0</v>
      </c>
      <c r="CT298">
        <f t="shared" si="429"/>
        <v>0</v>
      </c>
      <c r="CU298">
        <f t="shared" si="430"/>
        <v>0</v>
      </c>
      <c r="CV298">
        <f t="shared" si="431"/>
        <v>0</v>
      </c>
      <c r="CW298">
        <f t="shared" si="432"/>
        <v>0</v>
      </c>
    </row>
    <row r="299" spans="1:101">
      <c r="A299" s="60">
        <v>45221</v>
      </c>
      <c r="B299" s="426"/>
      <c r="Z299" s="77"/>
      <c r="AB299" s="52">
        <f t="shared" si="476"/>
        <v>0</v>
      </c>
      <c r="AC299" s="52">
        <f t="shared" si="477"/>
        <v>0</v>
      </c>
      <c r="AD299" s="52">
        <f t="shared" si="478"/>
        <v>0</v>
      </c>
      <c r="AE299" s="52">
        <f t="shared" si="479"/>
        <v>0</v>
      </c>
      <c r="AF299" s="52">
        <f t="shared" si="480"/>
        <v>0</v>
      </c>
      <c r="AG299" s="52">
        <f t="shared" si="481"/>
        <v>0</v>
      </c>
      <c r="AH299" s="52">
        <f t="shared" si="482"/>
        <v>0</v>
      </c>
      <c r="AI299" s="52">
        <f t="shared" si="483"/>
        <v>0</v>
      </c>
      <c r="AJ299" s="52">
        <f t="shared" si="484"/>
        <v>0</v>
      </c>
      <c r="AK299" s="52">
        <f t="shared" si="485"/>
        <v>0</v>
      </c>
      <c r="AL299" s="52">
        <f t="shared" si="486"/>
        <v>0</v>
      </c>
      <c r="AM299" s="52">
        <f t="shared" si="487"/>
        <v>0</v>
      </c>
      <c r="AN299" s="52">
        <f t="shared" si="488"/>
        <v>0</v>
      </c>
      <c r="AO299" s="52">
        <f t="shared" si="489"/>
        <v>0</v>
      </c>
      <c r="AP299" s="52">
        <f t="shared" si="490"/>
        <v>0</v>
      </c>
      <c r="AQ299" s="52">
        <f t="shared" si="491"/>
        <v>0</v>
      </c>
      <c r="AR299" s="52">
        <f t="shared" si="492"/>
        <v>0</v>
      </c>
      <c r="AS299" s="52">
        <f t="shared" si="493"/>
        <v>0</v>
      </c>
      <c r="AT299" s="52">
        <f t="shared" si="494"/>
        <v>0</v>
      </c>
      <c r="AU299" s="52">
        <f t="shared" si="495"/>
        <v>0</v>
      </c>
      <c r="AV299" s="52">
        <f t="shared" si="496"/>
        <v>0</v>
      </c>
      <c r="AW299" s="52">
        <f t="shared" si="497"/>
        <v>0</v>
      </c>
      <c r="AX299" s="52">
        <f t="shared" si="498"/>
        <v>0</v>
      </c>
      <c r="AY299" s="52">
        <f t="shared" si="433"/>
        <v>0</v>
      </c>
      <c r="BA299" s="52">
        <f t="shared" si="452"/>
        <v>0</v>
      </c>
      <c r="BB299" s="52">
        <f t="shared" si="453"/>
        <v>0</v>
      </c>
      <c r="BC299" s="52">
        <f t="shared" si="454"/>
        <v>0</v>
      </c>
      <c r="BD299" s="52">
        <f t="shared" si="455"/>
        <v>0</v>
      </c>
      <c r="BE299" s="52">
        <f t="shared" si="456"/>
        <v>0</v>
      </c>
      <c r="BF299" s="52">
        <f t="shared" si="457"/>
        <v>0</v>
      </c>
      <c r="BG299" s="52">
        <f t="shared" si="458"/>
        <v>0</v>
      </c>
      <c r="BH299" s="52">
        <f t="shared" si="459"/>
        <v>0</v>
      </c>
      <c r="BI299" s="52">
        <f t="shared" si="460"/>
        <v>0</v>
      </c>
      <c r="BJ299" s="52">
        <f t="shared" si="461"/>
        <v>0</v>
      </c>
      <c r="BK299" s="52">
        <f t="shared" si="462"/>
        <v>0</v>
      </c>
      <c r="BL299" s="52">
        <f t="shared" si="463"/>
        <v>0</v>
      </c>
      <c r="BM299" s="52">
        <f t="shared" si="464"/>
        <v>0</v>
      </c>
      <c r="BN299" s="52">
        <f t="shared" si="465"/>
        <v>0</v>
      </c>
      <c r="BO299" s="52">
        <f t="shared" si="466"/>
        <v>0</v>
      </c>
      <c r="BP299" s="52">
        <f t="shared" si="467"/>
        <v>0</v>
      </c>
      <c r="BQ299" s="52">
        <f t="shared" si="468"/>
        <v>0</v>
      </c>
      <c r="BR299" s="52">
        <f t="shared" si="469"/>
        <v>0</v>
      </c>
      <c r="BS299" s="52">
        <f t="shared" si="470"/>
        <v>0</v>
      </c>
      <c r="BT299" s="52">
        <f t="shared" si="471"/>
        <v>0</v>
      </c>
      <c r="BU299" s="52">
        <f t="shared" si="472"/>
        <v>0</v>
      </c>
      <c r="BV299" s="52">
        <f t="shared" si="473"/>
        <v>0</v>
      </c>
      <c r="BW299" s="52">
        <f t="shared" si="474"/>
        <v>0</v>
      </c>
      <c r="BX299" s="52">
        <f t="shared" si="475"/>
        <v>0</v>
      </c>
      <c r="BZ299" s="52">
        <f t="shared" si="435"/>
        <v>0</v>
      </c>
      <c r="CA299" s="52">
        <f t="shared" si="500"/>
        <v>0</v>
      </c>
      <c r="CB299" s="52">
        <f t="shared" si="500"/>
        <v>0</v>
      </c>
      <c r="CC299" s="52">
        <f t="shared" si="500"/>
        <v>0</v>
      </c>
      <c r="CD299" s="52">
        <f t="shared" si="500"/>
        <v>0</v>
      </c>
      <c r="CE299" s="52">
        <f t="shared" si="500"/>
        <v>0</v>
      </c>
      <c r="CF299" s="52">
        <f t="shared" si="500"/>
        <v>0</v>
      </c>
      <c r="CG299" s="52">
        <f t="shared" si="500"/>
        <v>0</v>
      </c>
      <c r="CH299" s="52">
        <f t="shared" si="500"/>
        <v>0</v>
      </c>
      <c r="CI299" s="52">
        <f t="shared" si="500"/>
        <v>0</v>
      </c>
      <c r="CJ299" s="52">
        <f t="shared" si="500"/>
        <v>0</v>
      </c>
      <c r="CK299" s="52">
        <f t="shared" si="500"/>
        <v>0</v>
      </c>
      <c r="CL299" s="52">
        <f t="shared" si="500"/>
        <v>0</v>
      </c>
      <c r="CM299" s="52">
        <f t="shared" si="500"/>
        <v>0</v>
      </c>
      <c r="CN299" s="52">
        <f t="shared" si="500"/>
        <v>0</v>
      </c>
      <c r="CO299" s="52">
        <f t="shared" si="500"/>
        <v>0</v>
      </c>
      <c r="CP299" s="52">
        <f t="shared" si="500"/>
        <v>0</v>
      </c>
      <c r="CQ299" s="52">
        <f t="shared" si="426"/>
        <v>0</v>
      </c>
      <c r="CR299" s="52">
        <f t="shared" si="427"/>
        <v>0</v>
      </c>
      <c r="CS299" s="52">
        <f t="shared" si="428"/>
        <v>0</v>
      </c>
      <c r="CT299" s="52">
        <f t="shared" si="429"/>
        <v>0</v>
      </c>
      <c r="CU299" s="52">
        <f t="shared" si="430"/>
        <v>0</v>
      </c>
      <c r="CV299" s="52">
        <f t="shared" si="431"/>
        <v>0</v>
      </c>
      <c r="CW299" s="52">
        <f t="shared" si="432"/>
        <v>0</v>
      </c>
    </row>
    <row r="300" spans="1:101">
      <c r="A300" s="60">
        <v>45222</v>
      </c>
      <c r="B300" s="426"/>
      <c r="Z300" s="77"/>
      <c r="AB300">
        <f t="shared" si="476"/>
        <v>0</v>
      </c>
      <c r="AC300">
        <f t="shared" si="477"/>
        <v>0</v>
      </c>
      <c r="AD300">
        <f t="shared" si="478"/>
        <v>0</v>
      </c>
      <c r="AE300">
        <f t="shared" si="479"/>
        <v>0</v>
      </c>
      <c r="AF300">
        <f t="shared" si="480"/>
        <v>0</v>
      </c>
      <c r="AG300">
        <f t="shared" si="481"/>
        <v>0</v>
      </c>
      <c r="AH300">
        <f t="shared" si="482"/>
        <v>0</v>
      </c>
      <c r="AI300">
        <f t="shared" si="483"/>
        <v>0</v>
      </c>
      <c r="AJ300">
        <f t="shared" si="484"/>
        <v>0</v>
      </c>
      <c r="AK300">
        <f t="shared" si="485"/>
        <v>0</v>
      </c>
      <c r="AL300">
        <f t="shared" si="486"/>
        <v>0</v>
      </c>
      <c r="AM300">
        <f t="shared" si="487"/>
        <v>0</v>
      </c>
      <c r="AN300">
        <f t="shared" si="488"/>
        <v>0</v>
      </c>
      <c r="AO300">
        <f t="shared" si="489"/>
        <v>0</v>
      </c>
      <c r="AP300">
        <f t="shared" si="490"/>
        <v>0</v>
      </c>
      <c r="AQ300">
        <f t="shared" si="491"/>
        <v>0</v>
      </c>
      <c r="AR300">
        <f t="shared" si="492"/>
        <v>0</v>
      </c>
      <c r="AS300">
        <f t="shared" si="493"/>
        <v>0</v>
      </c>
      <c r="AT300">
        <f t="shared" si="494"/>
        <v>0</v>
      </c>
      <c r="AU300">
        <f t="shared" si="495"/>
        <v>0</v>
      </c>
      <c r="AV300">
        <f t="shared" si="496"/>
        <v>0</v>
      </c>
      <c r="AW300">
        <f t="shared" si="497"/>
        <v>0</v>
      </c>
      <c r="AX300">
        <f t="shared" si="498"/>
        <v>0</v>
      </c>
      <c r="AY300">
        <f t="shared" si="433"/>
        <v>0</v>
      </c>
      <c r="BA300">
        <f t="shared" si="452"/>
        <v>0</v>
      </c>
      <c r="BB300">
        <f t="shared" si="453"/>
        <v>0</v>
      </c>
      <c r="BC300">
        <f t="shared" si="454"/>
        <v>0</v>
      </c>
      <c r="BD300">
        <f t="shared" si="455"/>
        <v>0</v>
      </c>
      <c r="BE300">
        <f t="shared" si="456"/>
        <v>0</v>
      </c>
      <c r="BF300">
        <f t="shared" si="457"/>
        <v>0</v>
      </c>
      <c r="BG300">
        <f t="shared" si="458"/>
        <v>0</v>
      </c>
      <c r="BH300">
        <f t="shared" si="459"/>
        <v>0</v>
      </c>
      <c r="BI300">
        <f t="shared" si="460"/>
        <v>0</v>
      </c>
      <c r="BJ300">
        <f t="shared" si="461"/>
        <v>0</v>
      </c>
      <c r="BK300">
        <f t="shared" si="462"/>
        <v>0</v>
      </c>
      <c r="BL300">
        <f t="shared" si="463"/>
        <v>0</v>
      </c>
      <c r="BM300">
        <f t="shared" si="464"/>
        <v>0</v>
      </c>
      <c r="BN300">
        <f t="shared" si="465"/>
        <v>0</v>
      </c>
      <c r="BO300">
        <f t="shared" si="466"/>
        <v>0</v>
      </c>
      <c r="BP300">
        <f t="shared" si="467"/>
        <v>0</v>
      </c>
      <c r="BQ300">
        <f t="shared" si="468"/>
        <v>0</v>
      </c>
      <c r="BR300">
        <f t="shared" si="469"/>
        <v>0</v>
      </c>
      <c r="BS300">
        <f t="shared" si="470"/>
        <v>0</v>
      </c>
      <c r="BT300">
        <f t="shared" si="471"/>
        <v>0</v>
      </c>
      <c r="BU300">
        <f t="shared" si="472"/>
        <v>0</v>
      </c>
      <c r="BV300">
        <f t="shared" si="473"/>
        <v>0</v>
      </c>
      <c r="BW300">
        <f t="shared" si="474"/>
        <v>0</v>
      </c>
      <c r="BX300">
        <f t="shared" si="475"/>
        <v>0</v>
      </c>
      <c r="BZ300">
        <f t="shared" si="435"/>
        <v>0</v>
      </c>
      <c r="CA300">
        <f t="shared" si="500"/>
        <v>0</v>
      </c>
      <c r="CB300">
        <f t="shared" si="500"/>
        <v>0</v>
      </c>
      <c r="CC300">
        <f t="shared" si="500"/>
        <v>0</v>
      </c>
      <c r="CD300">
        <f t="shared" si="500"/>
        <v>0</v>
      </c>
      <c r="CE300">
        <f t="shared" si="500"/>
        <v>0</v>
      </c>
      <c r="CF300">
        <f t="shared" si="500"/>
        <v>0</v>
      </c>
      <c r="CG300">
        <f t="shared" si="500"/>
        <v>0</v>
      </c>
      <c r="CH300">
        <f t="shared" si="500"/>
        <v>0</v>
      </c>
      <c r="CI300">
        <f t="shared" si="500"/>
        <v>0</v>
      </c>
      <c r="CJ300">
        <f t="shared" si="500"/>
        <v>0</v>
      </c>
      <c r="CK300">
        <f t="shared" si="500"/>
        <v>0</v>
      </c>
      <c r="CL300">
        <f t="shared" si="500"/>
        <v>0</v>
      </c>
      <c r="CM300">
        <f t="shared" si="500"/>
        <v>0</v>
      </c>
      <c r="CN300">
        <f t="shared" si="500"/>
        <v>0</v>
      </c>
      <c r="CO300">
        <f t="shared" si="500"/>
        <v>0</v>
      </c>
      <c r="CP300">
        <f t="shared" si="500"/>
        <v>0</v>
      </c>
      <c r="CQ300">
        <f t="shared" si="426"/>
        <v>0</v>
      </c>
      <c r="CR300">
        <f t="shared" si="427"/>
        <v>0</v>
      </c>
      <c r="CS300">
        <f t="shared" si="428"/>
        <v>0</v>
      </c>
      <c r="CT300">
        <f t="shared" si="429"/>
        <v>0</v>
      </c>
      <c r="CU300">
        <f t="shared" si="430"/>
        <v>0</v>
      </c>
      <c r="CV300">
        <f t="shared" si="431"/>
        <v>0</v>
      </c>
      <c r="CW300">
        <f t="shared" si="432"/>
        <v>0</v>
      </c>
    </row>
    <row r="301" spans="1:101">
      <c r="A301" s="60">
        <v>45223</v>
      </c>
      <c r="B301" s="426"/>
      <c r="Z301" s="77"/>
      <c r="AB301" s="52">
        <f t="shared" si="476"/>
        <v>0</v>
      </c>
      <c r="AC301" s="52">
        <f t="shared" si="477"/>
        <v>0</v>
      </c>
      <c r="AD301" s="52">
        <f t="shared" si="478"/>
        <v>0</v>
      </c>
      <c r="AE301" s="52">
        <f t="shared" si="479"/>
        <v>0</v>
      </c>
      <c r="AF301" s="52">
        <f t="shared" si="480"/>
        <v>0</v>
      </c>
      <c r="AG301" s="52">
        <f t="shared" si="481"/>
        <v>0</v>
      </c>
      <c r="AH301" s="52">
        <f t="shared" si="482"/>
        <v>0</v>
      </c>
      <c r="AI301" s="52">
        <f t="shared" si="483"/>
        <v>0</v>
      </c>
      <c r="AJ301" s="52">
        <f t="shared" si="484"/>
        <v>0</v>
      </c>
      <c r="AK301" s="52">
        <f t="shared" si="485"/>
        <v>0</v>
      </c>
      <c r="AL301" s="52">
        <f t="shared" si="486"/>
        <v>0</v>
      </c>
      <c r="AM301" s="52">
        <f t="shared" si="487"/>
        <v>0</v>
      </c>
      <c r="AN301" s="52">
        <f t="shared" si="488"/>
        <v>0</v>
      </c>
      <c r="AO301" s="52">
        <f t="shared" si="489"/>
        <v>0</v>
      </c>
      <c r="AP301" s="52">
        <f t="shared" si="490"/>
        <v>0</v>
      </c>
      <c r="AQ301" s="52">
        <f t="shared" si="491"/>
        <v>0</v>
      </c>
      <c r="AR301" s="52">
        <f t="shared" si="492"/>
        <v>0</v>
      </c>
      <c r="AS301" s="52">
        <f t="shared" si="493"/>
        <v>0</v>
      </c>
      <c r="AT301" s="52">
        <f t="shared" si="494"/>
        <v>0</v>
      </c>
      <c r="AU301" s="52">
        <f t="shared" si="495"/>
        <v>0</v>
      </c>
      <c r="AV301" s="52">
        <f t="shared" si="496"/>
        <v>0</v>
      </c>
      <c r="AW301" s="52">
        <f t="shared" si="497"/>
        <v>0</v>
      </c>
      <c r="AX301" s="52">
        <f t="shared" si="498"/>
        <v>0</v>
      </c>
      <c r="AY301" s="52">
        <f t="shared" si="433"/>
        <v>0</v>
      </c>
      <c r="BA301" s="52">
        <f t="shared" si="452"/>
        <v>0</v>
      </c>
      <c r="BB301" s="52">
        <f t="shared" si="453"/>
        <v>0</v>
      </c>
      <c r="BC301" s="52">
        <f t="shared" si="454"/>
        <v>0</v>
      </c>
      <c r="BD301" s="52">
        <f t="shared" si="455"/>
        <v>0</v>
      </c>
      <c r="BE301" s="52">
        <f t="shared" si="456"/>
        <v>0</v>
      </c>
      <c r="BF301" s="52">
        <f t="shared" si="457"/>
        <v>0</v>
      </c>
      <c r="BG301" s="52">
        <f t="shared" si="458"/>
        <v>0</v>
      </c>
      <c r="BH301" s="52">
        <f t="shared" si="459"/>
        <v>0</v>
      </c>
      <c r="BI301" s="52">
        <f t="shared" si="460"/>
        <v>0</v>
      </c>
      <c r="BJ301" s="52">
        <f t="shared" si="461"/>
        <v>0</v>
      </c>
      <c r="BK301" s="52">
        <f t="shared" si="462"/>
        <v>0</v>
      </c>
      <c r="BL301" s="52">
        <f t="shared" si="463"/>
        <v>0</v>
      </c>
      <c r="BM301" s="52">
        <f t="shared" si="464"/>
        <v>0</v>
      </c>
      <c r="BN301" s="52">
        <f t="shared" si="465"/>
        <v>0</v>
      </c>
      <c r="BO301" s="52">
        <f t="shared" si="466"/>
        <v>0</v>
      </c>
      <c r="BP301" s="52">
        <f t="shared" si="467"/>
        <v>0</v>
      </c>
      <c r="BQ301" s="52">
        <f t="shared" si="468"/>
        <v>0</v>
      </c>
      <c r="BR301" s="52">
        <f t="shared" si="469"/>
        <v>0</v>
      </c>
      <c r="BS301" s="52">
        <f t="shared" si="470"/>
        <v>0</v>
      </c>
      <c r="BT301" s="52">
        <f t="shared" si="471"/>
        <v>0</v>
      </c>
      <c r="BU301" s="52">
        <f t="shared" si="472"/>
        <v>0</v>
      </c>
      <c r="BV301" s="52">
        <f t="shared" si="473"/>
        <v>0</v>
      </c>
      <c r="BW301" s="52">
        <f t="shared" si="474"/>
        <v>0</v>
      </c>
      <c r="BX301" s="52">
        <f t="shared" si="475"/>
        <v>0</v>
      </c>
      <c r="BZ301" s="52">
        <f t="shared" si="435"/>
        <v>0</v>
      </c>
      <c r="CA301" s="52">
        <f t="shared" si="500"/>
        <v>0</v>
      </c>
      <c r="CB301" s="52">
        <f t="shared" si="500"/>
        <v>0</v>
      </c>
      <c r="CC301" s="52">
        <f t="shared" si="500"/>
        <v>0</v>
      </c>
      <c r="CD301" s="52">
        <f t="shared" si="500"/>
        <v>0</v>
      </c>
      <c r="CE301" s="52">
        <f t="shared" si="500"/>
        <v>0</v>
      </c>
      <c r="CF301" s="52">
        <f t="shared" si="500"/>
        <v>0</v>
      </c>
      <c r="CG301" s="52">
        <f t="shared" si="500"/>
        <v>0</v>
      </c>
      <c r="CH301" s="52">
        <f t="shared" si="500"/>
        <v>0</v>
      </c>
      <c r="CI301" s="52">
        <f t="shared" si="500"/>
        <v>0</v>
      </c>
      <c r="CJ301" s="52">
        <f t="shared" si="500"/>
        <v>0</v>
      </c>
      <c r="CK301" s="52">
        <f t="shared" si="500"/>
        <v>0</v>
      </c>
      <c r="CL301" s="52">
        <f t="shared" si="500"/>
        <v>0</v>
      </c>
      <c r="CM301" s="52">
        <f t="shared" si="500"/>
        <v>0</v>
      </c>
      <c r="CN301" s="52">
        <f t="shared" si="500"/>
        <v>0</v>
      </c>
      <c r="CO301" s="52">
        <f t="shared" si="500"/>
        <v>0</v>
      </c>
      <c r="CP301" s="52">
        <f t="shared" si="500"/>
        <v>0</v>
      </c>
      <c r="CQ301" s="52">
        <f t="shared" si="426"/>
        <v>0</v>
      </c>
      <c r="CR301" s="52">
        <f t="shared" si="427"/>
        <v>0</v>
      </c>
      <c r="CS301" s="52">
        <f t="shared" si="428"/>
        <v>0</v>
      </c>
      <c r="CT301" s="52">
        <f t="shared" si="429"/>
        <v>0</v>
      </c>
      <c r="CU301" s="52">
        <f t="shared" si="430"/>
        <v>0</v>
      </c>
      <c r="CV301" s="52">
        <f t="shared" si="431"/>
        <v>0</v>
      </c>
      <c r="CW301" s="52">
        <f t="shared" si="432"/>
        <v>0</v>
      </c>
    </row>
    <row r="302" spans="1:101">
      <c r="A302" s="60">
        <v>45224</v>
      </c>
      <c r="B302" s="426"/>
      <c r="Z302" s="77"/>
      <c r="AB302">
        <f t="shared" si="476"/>
        <v>0</v>
      </c>
      <c r="AC302">
        <f t="shared" si="477"/>
        <v>0</v>
      </c>
      <c r="AD302">
        <f t="shared" si="478"/>
        <v>0</v>
      </c>
      <c r="AE302">
        <f t="shared" si="479"/>
        <v>0</v>
      </c>
      <c r="AF302">
        <f t="shared" si="480"/>
        <v>0</v>
      </c>
      <c r="AG302">
        <f t="shared" si="481"/>
        <v>0</v>
      </c>
      <c r="AH302">
        <f t="shared" si="482"/>
        <v>0</v>
      </c>
      <c r="AI302">
        <f t="shared" si="483"/>
        <v>0</v>
      </c>
      <c r="AJ302">
        <f t="shared" si="484"/>
        <v>0</v>
      </c>
      <c r="AK302">
        <f t="shared" si="485"/>
        <v>0</v>
      </c>
      <c r="AL302">
        <f t="shared" si="486"/>
        <v>0</v>
      </c>
      <c r="AM302">
        <f t="shared" si="487"/>
        <v>0</v>
      </c>
      <c r="AN302">
        <f t="shared" si="488"/>
        <v>0</v>
      </c>
      <c r="AO302">
        <f t="shared" si="489"/>
        <v>0</v>
      </c>
      <c r="AP302">
        <f t="shared" si="490"/>
        <v>0</v>
      </c>
      <c r="AQ302">
        <f t="shared" si="491"/>
        <v>0</v>
      </c>
      <c r="AR302">
        <f t="shared" si="492"/>
        <v>0</v>
      </c>
      <c r="AS302">
        <f t="shared" si="493"/>
        <v>0</v>
      </c>
      <c r="AT302">
        <f t="shared" si="494"/>
        <v>0</v>
      </c>
      <c r="AU302">
        <f t="shared" si="495"/>
        <v>0</v>
      </c>
      <c r="AV302">
        <f t="shared" si="496"/>
        <v>0</v>
      </c>
      <c r="AW302">
        <f t="shared" si="497"/>
        <v>0</v>
      </c>
      <c r="AX302">
        <f t="shared" si="498"/>
        <v>0</v>
      </c>
      <c r="AY302">
        <f t="shared" si="433"/>
        <v>0</v>
      </c>
      <c r="BA302">
        <f t="shared" si="452"/>
        <v>0</v>
      </c>
      <c r="BB302">
        <f t="shared" si="453"/>
        <v>0</v>
      </c>
      <c r="BC302">
        <f t="shared" si="454"/>
        <v>0</v>
      </c>
      <c r="BD302">
        <f t="shared" si="455"/>
        <v>0</v>
      </c>
      <c r="BE302">
        <f t="shared" si="456"/>
        <v>0</v>
      </c>
      <c r="BF302">
        <f t="shared" si="457"/>
        <v>0</v>
      </c>
      <c r="BG302">
        <f t="shared" si="458"/>
        <v>0</v>
      </c>
      <c r="BH302">
        <f t="shared" si="459"/>
        <v>0</v>
      </c>
      <c r="BI302">
        <f t="shared" si="460"/>
        <v>0</v>
      </c>
      <c r="BJ302">
        <f t="shared" si="461"/>
        <v>0</v>
      </c>
      <c r="BK302">
        <f t="shared" si="462"/>
        <v>0</v>
      </c>
      <c r="BL302">
        <f t="shared" si="463"/>
        <v>0</v>
      </c>
      <c r="BM302">
        <f t="shared" si="464"/>
        <v>0</v>
      </c>
      <c r="BN302">
        <f t="shared" si="465"/>
        <v>0</v>
      </c>
      <c r="BO302">
        <f t="shared" si="466"/>
        <v>0</v>
      </c>
      <c r="BP302">
        <f t="shared" si="467"/>
        <v>0</v>
      </c>
      <c r="BQ302">
        <f t="shared" si="468"/>
        <v>0</v>
      </c>
      <c r="BR302">
        <f t="shared" si="469"/>
        <v>0</v>
      </c>
      <c r="BS302">
        <f t="shared" si="470"/>
        <v>0</v>
      </c>
      <c r="BT302">
        <f t="shared" si="471"/>
        <v>0</v>
      </c>
      <c r="BU302">
        <f t="shared" si="472"/>
        <v>0</v>
      </c>
      <c r="BV302">
        <f t="shared" si="473"/>
        <v>0</v>
      </c>
      <c r="BW302">
        <f t="shared" si="474"/>
        <v>0</v>
      </c>
      <c r="BX302">
        <f t="shared" si="475"/>
        <v>0</v>
      </c>
      <c r="BZ302">
        <f t="shared" si="435"/>
        <v>0</v>
      </c>
      <c r="CA302">
        <f t="shared" si="500"/>
        <v>0</v>
      </c>
      <c r="CB302">
        <f t="shared" si="500"/>
        <v>0</v>
      </c>
      <c r="CC302">
        <f t="shared" si="500"/>
        <v>0</v>
      </c>
      <c r="CD302">
        <f t="shared" si="500"/>
        <v>0</v>
      </c>
      <c r="CE302">
        <f t="shared" si="500"/>
        <v>0</v>
      </c>
      <c r="CF302">
        <f t="shared" si="500"/>
        <v>0</v>
      </c>
      <c r="CG302">
        <f t="shared" si="500"/>
        <v>0</v>
      </c>
      <c r="CH302">
        <f t="shared" si="500"/>
        <v>0</v>
      </c>
      <c r="CI302">
        <f t="shared" si="500"/>
        <v>0</v>
      </c>
      <c r="CJ302">
        <f t="shared" si="500"/>
        <v>0</v>
      </c>
      <c r="CK302">
        <f t="shared" si="500"/>
        <v>0</v>
      </c>
      <c r="CL302">
        <f t="shared" si="500"/>
        <v>0</v>
      </c>
      <c r="CM302">
        <f t="shared" si="500"/>
        <v>0</v>
      </c>
      <c r="CN302">
        <f t="shared" si="500"/>
        <v>0</v>
      </c>
      <c r="CO302">
        <f t="shared" si="500"/>
        <v>0</v>
      </c>
      <c r="CP302">
        <f t="shared" si="500"/>
        <v>0</v>
      </c>
      <c r="CQ302">
        <f t="shared" si="426"/>
        <v>0</v>
      </c>
      <c r="CR302">
        <f t="shared" si="427"/>
        <v>0</v>
      </c>
      <c r="CS302">
        <f t="shared" si="428"/>
        <v>0</v>
      </c>
      <c r="CT302">
        <f t="shared" si="429"/>
        <v>0</v>
      </c>
      <c r="CU302">
        <f t="shared" si="430"/>
        <v>0</v>
      </c>
      <c r="CV302">
        <f t="shared" si="431"/>
        <v>0</v>
      </c>
      <c r="CW302">
        <f t="shared" si="432"/>
        <v>0</v>
      </c>
    </row>
    <row r="303" spans="1:101">
      <c r="A303" s="60">
        <v>45225</v>
      </c>
      <c r="B303" s="426"/>
      <c r="Z303" s="77"/>
      <c r="AB303" s="52">
        <f t="shared" si="476"/>
        <v>0</v>
      </c>
      <c r="AC303" s="52">
        <f t="shared" si="477"/>
        <v>0</v>
      </c>
      <c r="AD303" s="52">
        <f t="shared" si="478"/>
        <v>0</v>
      </c>
      <c r="AE303" s="52">
        <f t="shared" si="479"/>
        <v>0</v>
      </c>
      <c r="AF303" s="52">
        <f t="shared" si="480"/>
        <v>0</v>
      </c>
      <c r="AG303" s="52">
        <f t="shared" si="481"/>
        <v>0</v>
      </c>
      <c r="AH303" s="52">
        <f t="shared" si="482"/>
        <v>0</v>
      </c>
      <c r="AI303" s="52">
        <f t="shared" si="483"/>
        <v>0</v>
      </c>
      <c r="AJ303" s="52">
        <f t="shared" si="484"/>
        <v>0</v>
      </c>
      <c r="AK303" s="52">
        <f t="shared" si="485"/>
        <v>0</v>
      </c>
      <c r="AL303" s="52">
        <f t="shared" si="486"/>
        <v>0</v>
      </c>
      <c r="AM303" s="52">
        <f t="shared" si="487"/>
        <v>0</v>
      </c>
      <c r="AN303" s="52">
        <f t="shared" si="488"/>
        <v>0</v>
      </c>
      <c r="AO303" s="52">
        <f t="shared" si="489"/>
        <v>0</v>
      </c>
      <c r="AP303" s="52">
        <f t="shared" si="490"/>
        <v>0</v>
      </c>
      <c r="AQ303" s="52">
        <f t="shared" si="491"/>
        <v>0</v>
      </c>
      <c r="AR303" s="52">
        <f t="shared" si="492"/>
        <v>0</v>
      </c>
      <c r="AS303" s="52">
        <f t="shared" si="493"/>
        <v>0</v>
      </c>
      <c r="AT303" s="52">
        <f t="shared" si="494"/>
        <v>0</v>
      </c>
      <c r="AU303" s="52">
        <f t="shared" si="495"/>
        <v>0</v>
      </c>
      <c r="AV303" s="52">
        <f t="shared" si="496"/>
        <v>0</v>
      </c>
      <c r="AW303" s="52">
        <f t="shared" si="497"/>
        <v>0</v>
      </c>
      <c r="AX303" s="52">
        <f t="shared" si="498"/>
        <v>0</v>
      </c>
      <c r="AY303" s="52">
        <f t="shared" si="433"/>
        <v>0</v>
      </c>
      <c r="BA303" s="52">
        <f t="shared" si="452"/>
        <v>0</v>
      </c>
      <c r="BB303" s="52">
        <f t="shared" si="453"/>
        <v>0</v>
      </c>
      <c r="BC303" s="52">
        <f t="shared" si="454"/>
        <v>0</v>
      </c>
      <c r="BD303" s="52">
        <f t="shared" si="455"/>
        <v>0</v>
      </c>
      <c r="BE303" s="52">
        <f t="shared" si="456"/>
        <v>0</v>
      </c>
      <c r="BF303" s="52">
        <f t="shared" si="457"/>
        <v>0</v>
      </c>
      <c r="BG303" s="52">
        <f t="shared" si="458"/>
        <v>0</v>
      </c>
      <c r="BH303" s="52">
        <f t="shared" si="459"/>
        <v>0</v>
      </c>
      <c r="BI303" s="52">
        <f t="shared" si="460"/>
        <v>0</v>
      </c>
      <c r="BJ303" s="52">
        <f t="shared" si="461"/>
        <v>0</v>
      </c>
      <c r="BK303" s="52">
        <f t="shared" si="462"/>
        <v>0</v>
      </c>
      <c r="BL303" s="52">
        <f t="shared" si="463"/>
        <v>0</v>
      </c>
      <c r="BM303" s="52">
        <f t="shared" si="464"/>
        <v>0</v>
      </c>
      <c r="BN303" s="52">
        <f t="shared" si="465"/>
        <v>0</v>
      </c>
      <c r="BO303" s="52">
        <f t="shared" si="466"/>
        <v>0</v>
      </c>
      <c r="BP303" s="52">
        <f t="shared" si="467"/>
        <v>0</v>
      </c>
      <c r="BQ303" s="52">
        <f t="shared" si="468"/>
        <v>0</v>
      </c>
      <c r="BR303" s="52">
        <f t="shared" si="469"/>
        <v>0</v>
      </c>
      <c r="BS303" s="52">
        <f t="shared" si="470"/>
        <v>0</v>
      </c>
      <c r="BT303" s="52">
        <f t="shared" si="471"/>
        <v>0</v>
      </c>
      <c r="BU303" s="52">
        <f t="shared" si="472"/>
        <v>0</v>
      </c>
      <c r="BV303" s="52">
        <f t="shared" si="473"/>
        <v>0</v>
      </c>
      <c r="BW303" s="52">
        <f t="shared" si="474"/>
        <v>0</v>
      </c>
      <c r="BX303" s="52">
        <f t="shared" si="475"/>
        <v>0</v>
      </c>
      <c r="BZ303" s="52">
        <f t="shared" si="435"/>
        <v>0</v>
      </c>
      <c r="CA303" s="52">
        <f t="shared" si="500"/>
        <v>0</v>
      </c>
      <c r="CB303" s="52">
        <f t="shared" si="500"/>
        <v>0</v>
      </c>
      <c r="CC303" s="52">
        <f t="shared" si="500"/>
        <v>0</v>
      </c>
      <c r="CD303" s="52">
        <f t="shared" si="500"/>
        <v>0</v>
      </c>
      <c r="CE303" s="52">
        <f t="shared" si="500"/>
        <v>0</v>
      </c>
      <c r="CF303" s="52">
        <f t="shared" si="500"/>
        <v>0</v>
      </c>
      <c r="CG303" s="52">
        <f t="shared" si="500"/>
        <v>0</v>
      </c>
      <c r="CH303" s="52">
        <f t="shared" si="500"/>
        <v>0</v>
      </c>
      <c r="CI303" s="52">
        <f t="shared" si="500"/>
        <v>0</v>
      </c>
      <c r="CJ303" s="52">
        <f t="shared" si="500"/>
        <v>0</v>
      </c>
      <c r="CK303" s="52">
        <f t="shared" si="500"/>
        <v>0</v>
      </c>
      <c r="CL303" s="52">
        <f t="shared" si="500"/>
        <v>0</v>
      </c>
      <c r="CM303" s="52">
        <f t="shared" si="500"/>
        <v>0</v>
      </c>
      <c r="CN303" s="52">
        <f t="shared" si="500"/>
        <v>0</v>
      </c>
      <c r="CO303" s="52">
        <f t="shared" si="500"/>
        <v>0</v>
      </c>
      <c r="CP303" s="52">
        <f t="shared" si="500"/>
        <v>0</v>
      </c>
      <c r="CQ303" s="52">
        <f t="shared" si="426"/>
        <v>0</v>
      </c>
      <c r="CR303" s="52">
        <f t="shared" si="427"/>
        <v>0</v>
      </c>
      <c r="CS303" s="52">
        <f t="shared" si="428"/>
        <v>0</v>
      </c>
      <c r="CT303" s="52">
        <f t="shared" si="429"/>
        <v>0</v>
      </c>
      <c r="CU303" s="52">
        <f t="shared" si="430"/>
        <v>0</v>
      </c>
      <c r="CV303" s="52">
        <f t="shared" si="431"/>
        <v>0</v>
      </c>
      <c r="CW303" s="52">
        <f t="shared" si="432"/>
        <v>0</v>
      </c>
    </row>
    <row r="304" spans="1:101">
      <c r="A304" s="60">
        <v>45226</v>
      </c>
      <c r="B304" s="426"/>
      <c r="Z304" s="77"/>
      <c r="AB304">
        <f t="shared" si="476"/>
        <v>0</v>
      </c>
      <c r="AC304">
        <f t="shared" si="477"/>
        <v>0</v>
      </c>
      <c r="AD304">
        <f t="shared" si="478"/>
        <v>0</v>
      </c>
      <c r="AE304">
        <f t="shared" si="479"/>
        <v>0</v>
      </c>
      <c r="AF304">
        <f t="shared" si="480"/>
        <v>0</v>
      </c>
      <c r="AG304">
        <f t="shared" si="481"/>
        <v>0</v>
      </c>
      <c r="AH304">
        <f t="shared" si="482"/>
        <v>0</v>
      </c>
      <c r="AI304">
        <f t="shared" si="483"/>
        <v>0</v>
      </c>
      <c r="AJ304">
        <f t="shared" si="484"/>
        <v>0</v>
      </c>
      <c r="AK304">
        <f t="shared" si="485"/>
        <v>0</v>
      </c>
      <c r="AL304">
        <f t="shared" si="486"/>
        <v>0</v>
      </c>
      <c r="AM304">
        <f t="shared" si="487"/>
        <v>0</v>
      </c>
      <c r="AN304">
        <f t="shared" si="488"/>
        <v>0</v>
      </c>
      <c r="AO304">
        <f t="shared" si="489"/>
        <v>0</v>
      </c>
      <c r="AP304">
        <f t="shared" si="490"/>
        <v>0</v>
      </c>
      <c r="AQ304">
        <f t="shared" si="491"/>
        <v>0</v>
      </c>
      <c r="AR304">
        <f t="shared" si="492"/>
        <v>0</v>
      </c>
      <c r="AS304">
        <f t="shared" si="493"/>
        <v>0</v>
      </c>
      <c r="AT304">
        <f t="shared" si="494"/>
        <v>0</v>
      </c>
      <c r="AU304">
        <f t="shared" si="495"/>
        <v>0</v>
      </c>
      <c r="AV304">
        <f t="shared" si="496"/>
        <v>0</v>
      </c>
      <c r="AW304">
        <f t="shared" si="497"/>
        <v>0</v>
      </c>
      <c r="AX304">
        <f t="shared" si="498"/>
        <v>0</v>
      </c>
      <c r="AY304">
        <f t="shared" si="433"/>
        <v>0</v>
      </c>
      <c r="BA304">
        <f t="shared" si="452"/>
        <v>0</v>
      </c>
      <c r="BB304">
        <f t="shared" si="453"/>
        <v>0</v>
      </c>
      <c r="BC304">
        <f t="shared" si="454"/>
        <v>0</v>
      </c>
      <c r="BD304">
        <f t="shared" si="455"/>
        <v>0</v>
      </c>
      <c r="BE304">
        <f t="shared" si="456"/>
        <v>0</v>
      </c>
      <c r="BF304">
        <f t="shared" si="457"/>
        <v>0</v>
      </c>
      <c r="BG304">
        <f t="shared" si="458"/>
        <v>0</v>
      </c>
      <c r="BH304">
        <f t="shared" si="459"/>
        <v>0</v>
      </c>
      <c r="BI304">
        <f t="shared" si="460"/>
        <v>0</v>
      </c>
      <c r="BJ304">
        <f t="shared" si="461"/>
        <v>0</v>
      </c>
      <c r="BK304">
        <f t="shared" si="462"/>
        <v>0</v>
      </c>
      <c r="BL304">
        <f t="shared" si="463"/>
        <v>0</v>
      </c>
      <c r="BM304">
        <f t="shared" si="464"/>
        <v>0</v>
      </c>
      <c r="BN304">
        <f t="shared" si="465"/>
        <v>0</v>
      </c>
      <c r="BO304">
        <f t="shared" si="466"/>
        <v>0</v>
      </c>
      <c r="BP304">
        <f t="shared" si="467"/>
        <v>0</v>
      </c>
      <c r="BQ304">
        <f t="shared" si="468"/>
        <v>0</v>
      </c>
      <c r="BR304">
        <f t="shared" si="469"/>
        <v>0</v>
      </c>
      <c r="BS304">
        <f t="shared" si="470"/>
        <v>0</v>
      </c>
      <c r="BT304">
        <f t="shared" si="471"/>
        <v>0</v>
      </c>
      <c r="BU304">
        <f t="shared" si="472"/>
        <v>0</v>
      </c>
      <c r="BV304">
        <f t="shared" si="473"/>
        <v>0</v>
      </c>
      <c r="BW304">
        <f t="shared" si="474"/>
        <v>0</v>
      </c>
      <c r="BX304">
        <f t="shared" si="475"/>
        <v>0</v>
      </c>
      <c r="BZ304">
        <f t="shared" si="435"/>
        <v>0</v>
      </c>
      <c r="CA304">
        <f t="shared" si="500"/>
        <v>0</v>
      </c>
      <c r="CB304">
        <f t="shared" si="500"/>
        <v>0</v>
      </c>
      <c r="CC304">
        <f t="shared" si="500"/>
        <v>0</v>
      </c>
      <c r="CD304">
        <f t="shared" si="500"/>
        <v>0</v>
      </c>
      <c r="CE304">
        <f t="shared" si="500"/>
        <v>0</v>
      </c>
      <c r="CF304">
        <f t="shared" si="500"/>
        <v>0</v>
      </c>
      <c r="CG304">
        <f t="shared" si="500"/>
        <v>0</v>
      </c>
      <c r="CH304">
        <f t="shared" si="500"/>
        <v>0</v>
      </c>
      <c r="CI304">
        <f t="shared" si="500"/>
        <v>0</v>
      </c>
      <c r="CJ304">
        <f t="shared" si="500"/>
        <v>0</v>
      </c>
      <c r="CK304">
        <f t="shared" si="500"/>
        <v>0</v>
      </c>
      <c r="CL304">
        <f t="shared" si="500"/>
        <v>0</v>
      </c>
      <c r="CM304">
        <f t="shared" si="500"/>
        <v>0</v>
      </c>
      <c r="CN304">
        <f t="shared" si="500"/>
        <v>0</v>
      </c>
      <c r="CO304">
        <f t="shared" si="500"/>
        <v>0</v>
      </c>
      <c r="CP304">
        <f t="shared" si="500"/>
        <v>0</v>
      </c>
      <c r="CQ304">
        <f t="shared" si="426"/>
        <v>0</v>
      </c>
      <c r="CR304">
        <f t="shared" si="427"/>
        <v>0</v>
      </c>
      <c r="CS304">
        <f t="shared" si="428"/>
        <v>0</v>
      </c>
      <c r="CT304">
        <f t="shared" si="429"/>
        <v>0</v>
      </c>
      <c r="CU304">
        <f t="shared" si="430"/>
        <v>0</v>
      </c>
      <c r="CV304">
        <f t="shared" si="431"/>
        <v>0</v>
      </c>
      <c r="CW304">
        <f t="shared" si="432"/>
        <v>0</v>
      </c>
    </row>
    <row r="305" spans="1:102">
      <c r="A305" s="60">
        <v>45227</v>
      </c>
      <c r="B305" s="426"/>
      <c r="Z305" s="77"/>
      <c r="AB305" s="52">
        <f t="shared" si="476"/>
        <v>0</v>
      </c>
      <c r="AC305" s="52">
        <f t="shared" si="477"/>
        <v>0</v>
      </c>
      <c r="AD305" s="52">
        <f t="shared" si="478"/>
        <v>0</v>
      </c>
      <c r="AE305" s="52">
        <f t="shared" si="479"/>
        <v>0</v>
      </c>
      <c r="AF305" s="52">
        <f t="shared" si="480"/>
        <v>0</v>
      </c>
      <c r="AG305" s="52">
        <f t="shared" si="481"/>
        <v>0</v>
      </c>
      <c r="AH305" s="52">
        <f t="shared" si="482"/>
        <v>0</v>
      </c>
      <c r="AI305" s="52">
        <f t="shared" si="483"/>
        <v>0</v>
      </c>
      <c r="AJ305" s="52">
        <f t="shared" si="484"/>
        <v>0</v>
      </c>
      <c r="AK305" s="52">
        <f t="shared" si="485"/>
        <v>0</v>
      </c>
      <c r="AL305" s="52">
        <f t="shared" si="486"/>
        <v>0</v>
      </c>
      <c r="AM305" s="52">
        <f t="shared" si="487"/>
        <v>0</v>
      </c>
      <c r="AN305" s="52">
        <f t="shared" si="488"/>
        <v>0</v>
      </c>
      <c r="AO305" s="52">
        <f t="shared" si="489"/>
        <v>0</v>
      </c>
      <c r="AP305" s="52">
        <f t="shared" si="490"/>
        <v>0</v>
      </c>
      <c r="AQ305" s="52">
        <f t="shared" si="491"/>
        <v>0</v>
      </c>
      <c r="AR305" s="52">
        <f t="shared" si="492"/>
        <v>0</v>
      </c>
      <c r="AS305" s="52">
        <f t="shared" si="493"/>
        <v>0</v>
      </c>
      <c r="AT305" s="52">
        <f t="shared" si="494"/>
        <v>0</v>
      </c>
      <c r="AU305" s="52">
        <f t="shared" si="495"/>
        <v>0</v>
      </c>
      <c r="AV305" s="52">
        <f t="shared" si="496"/>
        <v>0</v>
      </c>
      <c r="AW305" s="52">
        <f t="shared" si="497"/>
        <v>0</v>
      </c>
      <c r="AX305" s="52">
        <f t="shared" si="498"/>
        <v>0</v>
      </c>
      <c r="AY305" s="52">
        <f t="shared" si="433"/>
        <v>0</v>
      </c>
      <c r="BA305" s="52">
        <f t="shared" si="452"/>
        <v>0</v>
      </c>
      <c r="BB305" s="52">
        <f t="shared" si="453"/>
        <v>0</v>
      </c>
      <c r="BC305" s="52">
        <f t="shared" si="454"/>
        <v>0</v>
      </c>
      <c r="BD305" s="52">
        <f t="shared" si="455"/>
        <v>0</v>
      </c>
      <c r="BE305" s="52">
        <f t="shared" si="456"/>
        <v>0</v>
      </c>
      <c r="BF305" s="52">
        <f t="shared" si="457"/>
        <v>0</v>
      </c>
      <c r="BG305" s="52">
        <f t="shared" si="458"/>
        <v>0</v>
      </c>
      <c r="BH305" s="52">
        <f t="shared" si="459"/>
        <v>0</v>
      </c>
      <c r="BI305" s="52">
        <f t="shared" si="460"/>
        <v>0</v>
      </c>
      <c r="BJ305" s="52">
        <f t="shared" si="461"/>
        <v>0</v>
      </c>
      <c r="BK305" s="52">
        <f t="shared" si="462"/>
        <v>0</v>
      </c>
      <c r="BL305" s="52">
        <f t="shared" si="463"/>
        <v>0</v>
      </c>
      <c r="BM305" s="52">
        <f t="shared" si="464"/>
        <v>0</v>
      </c>
      <c r="BN305" s="52">
        <f t="shared" si="465"/>
        <v>0</v>
      </c>
      <c r="BO305" s="52">
        <f t="shared" si="466"/>
        <v>0</v>
      </c>
      <c r="BP305" s="52">
        <f t="shared" si="467"/>
        <v>0</v>
      </c>
      <c r="BQ305" s="52">
        <f t="shared" si="468"/>
        <v>0</v>
      </c>
      <c r="BR305" s="52">
        <f t="shared" si="469"/>
        <v>0</v>
      </c>
      <c r="BS305" s="52">
        <f t="shared" si="470"/>
        <v>0</v>
      </c>
      <c r="BT305" s="52">
        <f t="shared" si="471"/>
        <v>0</v>
      </c>
      <c r="BU305" s="52">
        <f t="shared" si="472"/>
        <v>0</v>
      </c>
      <c r="BV305" s="52">
        <f t="shared" si="473"/>
        <v>0</v>
      </c>
      <c r="BW305" s="52">
        <f t="shared" si="474"/>
        <v>0</v>
      </c>
      <c r="BX305" s="52">
        <f t="shared" si="475"/>
        <v>0</v>
      </c>
      <c r="BZ305" s="52">
        <f t="shared" si="435"/>
        <v>0</v>
      </c>
      <c r="CA305" s="52">
        <f t="shared" si="500"/>
        <v>0</v>
      </c>
      <c r="CB305" s="52">
        <f t="shared" si="500"/>
        <v>0</v>
      </c>
      <c r="CC305" s="52">
        <f t="shared" si="500"/>
        <v>0</v>
      </c>
      <c r="CD305" s="52">
        <f t="shared" si="500"/>
        <v>0</v>
      </c>
      <c r="CE305" s="52">
        <f t="shared" si="500"/>
        <v>0</v>
      </c>
      <c r="CF305" s="52">
        <f t="shared" si="500"/>
        <v>0</v>
      </c>
      <c r="CG305" s="52">
        <f t="shared" si="500"/>
        <v>0</v>
      </c>
      <c r="CH305" s="52">
        <f t="shared" si="500"/>
        <v>0</v>
      </c>
      <c r="CI305" s="52">
        <f t="shared" si="500"/>
        <v>0</v>
      </c>
      <c r="CJ305" s="52">
        <f t="shared" si="500"/>
        <v>0</v>
      </c>
      <c r="CK305" s="52">
        <f t="shared" si="500"/>
        <v>0</v>
      </c>
      <c r="CL305" s="52">
        <f t="shared" si="500"/>
        <v>0</v>
      </c>
      <c r="CM305" s="52">
        <f t="shared" si="500"/>
        <v>0</v>
      </c>
      <c r="CN305" s="52">
        <f t="shared" si="500"/>
        <v>0</v>
      </c>
      <c r="CO305" s="52">
        <f t="shared" si="500"/>
        <v>0</v>
      </c>
      <c r="CP305" s="52">
        <f t="shared" si="500"/>
        <v>0</v>
      </c>
      <c r="CQ305" s="52">
        <f t="shared" si="426"/>
        <v>0</v>
      </c>
      <c r="CR305" s="52">
        <f t="shared" si="427"/>
        <v>0</v>
      </c>
      <c r="CS305" s="52">
        <f t="shared" si="428"/>
        <v>0</v>
      </c>
      <c r="CT305" s="52">
        <f t="shared" si="429"/>
        <v>0</v>
      </c>
      <c r="CU305" s="52">
        <f t="shared" si="430"/>
        <v>0</v>
      </c>
      <c r="CV305" s="52">
        <f t="shared" si="431"/>
        <v>0</v>
      </c>
      <c r="CW305" s="52">
        <f t="shared" si="432"/>
        <v>0</v>
      </c>
    </row>
    <row r="306" spans="1:102">
      <c r="A306" s="60">
        <v>45228</v>
      </c>
      <c r="B306" s="426"/>
      <c r="Z306" s="77"/>
      <c r="AB306">
        <f t="shared" si="476"/>
        <v>0</v>
      </c>
      <c r="AC306">
        <f t="shared" si="477"/>
        <v>0</v>
      </c>
      <c r="AD306">
        <f t="shared" si="478"/>
        <v>0</v>
      </c>
      <c r="AE306">
        <f t="shared" si="479"/>
        <v>0</v>
      </c>
      <c r="AF306">
        <f t="shared" si="480"/>
        <v>0</v>
      </c>
      <c r="AG306">
        <f t="shared" si="481"/>
        <v>0</v>
      </c>
      <c r="AH306">
        <f t="shared" si="482"/>
        <v>0</v>
      </c>
      <c r="AI306">
        <f t="shared" si="483"/>
        <v>0</v>
      </c>
      <c r="AJ306">
        <f t="shared" si="484"/>
        <v>0</v>
      </c>
      <c r="AK306">
        <f t="shared" si="485"/>
        <v>0</v>
      </c>
      <c r="AL306">
        <f t="shared" si="486"/>
        <v>0</v>
      </c>
      <c r="AM306">
        <f t="shared" si="487"/>
        <v>0</v>
      </c>
      <c r="AN306">
        <f t="shared" si="488"/>
        <v>0</v>
      </c>
      <c r="AO306">
        <f t="shared" si="489"/>
        <v>0</v>
      </c>
      <c r="AP306">
        <f t="shared" si="490"/>
        <v>0</v>
      </c>
      <c r="AQ306">
        <f t="shared" si="491"/>
        <v>0</v>
      </c>
      <c r="AR306">
        <f t="shared" si="492"/>
        <v>0</v>
      </c>
      <c r="AS306">
        <f t="shared" si="493"/>
        <v>0</v>
      </c>
      <c r="AT306">
        <f t="shared" si="494"/>
        <v>0</v>
      </c>
      <c r="AU306">
        <f t="shared" si="495"/>
        <v>0</v>
      </c>
      <c r="AV306">
        <f t="shared" si="496"/>
        <v>0</v>
      </c>
      <c r="AW306">
        <f t="shared" si="497"/>
        <v>0</v>
      </c>
      <c r="AX306">
        <f t="shared" si="498"/>
        <v>0</v>
      </c>
      <c r="AY306">
        <f t="shared" si="433"/>
        <v>0</v>
      </c>
      <c r="BA306">
        <f t="shared" ref="BA306:BA338" si="501">+ROUNDUP(B306/8800,0)</f>
        <v>0</v>
      </c>
      <c r="BB306">
        <f t="shared" ref="BB306:BB338" si="502">+ROUNDUP(C306/8800,0)</f>
        <v>0</v>
      </c>
      <c r="BC306">
        <f t="shared" ref="BC306:BC338" si="503">+ROUNDUP(D306/8800,0)</f>
        <v>0</v>
      </c>
      <c r="BD306">
        <f t="shared" ref="BD306:BD338" si="504">+ROUNDUP(E306/8800,0)</f>
        <v>0</v>
      </c>
      <c r="BE306">
        <f t="shared" ref="BE306:BE338" si="505">+ROUNDUP(F306/8800,0)</f>
        <v>0</v>
      </c>
      <c r="BF306">
        <f t="shared" ref="BF306:BF338" si="506">+ROUNDUP(G306/8800,0)</f>
        <v>0</v>
      </c>
      <c r="BG306">
        <f t="shared" ref="BG306:BG338" si="507">+ROUNDUP(H306/8800,0)</f>
        <v>0</v>
      </c>
      <c r="BH306">
        <f t="shared" ref="BH306:BH338" si="508">+ROUNDUP(I306/8800,0)</f>
        <v>0</v>
      </c>
      <c r="BI306">
        <f t="shared" ref="BI306:BI338" si="509">+ROUNDUP(J306/8800,0)</f>
        <v>0</v>
      </c>
      <c r="BJ306">
        <f t="shared" ref="BJ306:BJ338" si="510">+ROUNDUP(K306/8800,0)</f>
        <v>0</v>
      </c>
      <c r="BK306">
        <f t="shared" ref="BK306:BK338" si="511">+ROUNDUP(L306/8800,0)</f>
        <v>0</v>
      </c>
      <c r="BL306">
        <f t="shared" ref="BL306:BL338" si="512">+ROUNDUP(M306/8800,0)</f>
        <v>0</v>
      </c>
      <c r="BM306">
        <f t="shared" ref="BM306:BM338" si="513">+ROUNDUP(N306/8800,0)</f>
        <v>0</v>
      </c>
      <c r="BN306">
        <f t="shared" ref="BN306:BN338" si="514">+ROUNDUP(O306/8800,0)</f>
        <v>0</v>
      </c>
      <c r="BO306">
        <f t="shared" ref="BO306:BO338" si="515">+ROUNDUP(P306/8800,0)</f>
        <v>0</v>
      </c>
      <c r="BP306">
        <f t="shared" ref="BP306:BP338" si="516">+ROUNDUP(Q306/8800,0)</f>
        <v>0</v>
      </c>
      <c r="BQ306">
        <f t="shared" ref="BQ306:BQ338" si="517">+ROUNDUP(R306/8800,0)</f>
        <v>0</v>
      </c>
      <c r="BR306">
        <f t="shared" ref="BR306:BR338" si="518">+ROUNDUP(S306/8800,0)</f>
        <v>0</v>
      </c>
      <c r="BS306">
        <f t="shared" ref="BS306:BS338" si="519">+ROUNDUP(T306/8800,0)</f>
        <v>0</v>
      </c>
      <c r="BT306">
        <f t="shared" ref="BT306:BT338" si="520">+ROUNDUP(U306/8800,0)</f>
        <v>0</v>
      </c>
      <c r="BU306">
        <f t="shared" ref="BU306:BU338" si="521">+ROUNDUP(V306/8800,0)</f>
        <v>0</v>
      </c>
      <c r="BV306">
        <f t="shared" ref="BV306:BV338" si="522">+ROUNDUP(W306/8800,0)</f>
        <v>0</v>
      </c>
      <c r="BW306">
        <f t="shared" ref="BW306:BW338" si="523">+ROUNDUP(X306/8800,0)</f>
        <v>0</v>
      </c>
      <c r="BX306">
        <f t="shared" ref="BX306:BX338" si="524">+ROUNDUP(Y306/8800,0)</f>
        <v>0</v>
      </c>
      <c r="BZ306">
        <f t="shared" si="435"/>
        <v>0</v>
      </c>
      <c r="CA306">
        <f t="shared" si="500"/>
        <v>0</v>
      </c>
      <c r="CB306">
        <f t="shared" si="500"/>
        <v>0</v>
      </c>
      <c r="CC306">
        <f t="shared" si="500"/>
        <v>0</v>
      </c>
      <c r="CD306">
        <f t="shared" si="500"/>
        <v>0</v>
      </c>
      <c r="CE306">
        <f t="shared" si="500"/>
        <v>0</v>
      </c>
      <c r="CF306">
        <f t="shared" si="500"/>
        <v>0</v>
      </c>
      <c r="CG306">
        <f t="shared" si="500"/>
        <v>0</v>
      </c>
      <c r="CH306">
        <f t="shared" si="500"/>
        <v>0</v>
      </c>
      <c r="CI306">
        <f t="shared" si="500"/>
        <v>0</v>
      </c>
      <c r="CJ306">
        <f t="shared" si="500"/>
        <v>0</v>
      </c>
      <c r="CK306">
        <f t="shared" si="500"/>
        <v>0</v>
      </c>
      <c r="CL306">
        <f t="shared" si="500"/>
        <v>0</v>
      </c>
      <c r="CM306">
        <f t="shared" si="500"/>
        <v>0</v>
      </c>
      <c r="CN306">
        <f t="shared" si="500"/>
        <v>0</v>
      </c>
      <c r="CO306">
        <f t="shared" si="500"/>
        <v>0</v>
      </c>
      <c r="CP306">
        <f t="shared" si="500"/>
        <v>0</v>
      </c>
      <c r="CQ306">
        <f t="shared" si="426"/>
        <v>0</v>
      </c>
      <c r="CR306">
        <f t="shared" si="427"/>
        <v>0</v>
      </c>
      <c r="CS306">
        <f t="shared" si="428"/>
        <v>0</v>
      </c>
      <c r="CT306">
        <f t="shared" si="429"/>
        <v>0</v>
      </c>
      <c r="CU306">
        <f t="shared" si="430"/>
        <v>0</v>
      </c>
      <c r="CV306">
        <f t="shared" si="431"/>
        <v>0</v>
      </c>
      <c r="CW306">
        <f t="shared" si="432"/>
        <v>0</v>
      </c>
    </row>
    <row r="307" spans="1:102">
      <c r="A307" s="60">
        <v>45229</v>
      </c>
      <c r="B307" s="426"/>
      <c r="Z307" s="77"/>
      <c r="AB307" s="52">
        <f t="shared" si="476"/>
        <v>0</v>
      </c>
      <c r="AC307" s="52">
        <f t="shared" si="477"/>
        <v>0</v>
      </c>
      <c r="AD307" s="52">
        <f t="shared" si="478"/>
        <v>0</v>
      </c>
      <c r="AE307" s="52">
        <f t="shared" si="479"/>
        <v>0</v>
      </c>
      <c r="AF307" s="52">
        <f t="shared" si="480"/>
        <v>0</v>
      </c>
      <c r="AG307" s="52">
        <f t="shared" si="481"/>
        <v>0</v>
      </c>
      <c r="AH307" s="52">
        <f t="shared" si="482"/>
        <v>0</v>
      </c>
      <c r="AI307" s="52">
        <f t="shared" si="483"/>
        <v>0</v>
      </c>
      <c r="AJ307" s="52">
        <f t="shared" si="484"/>
        <v>0</v>
      </c>
      <c r="AK307" s="52">
        <f t="shared" si="485"/>
        <v>0</v>
      </c>
      <c r="AL307" s="52">
        <f t="shared" si="486"/>
        <v>0</v>
      </c>
      <c r="AM307" s="52">
        <f t="shared" si="487"/>
        <v>0</v>
      </c>
      <c r="AN307" s="52">
        <f t="shared" si="488"/>
        <v>0</v>
      </c>
      <c r="AO307" s="52">
        <f t="shared" si="489"/>
        <v>0</v>
      </c>
      <c r="AP307" s="52">
        <f t="shared" si="490"/>
        <v>0</v>
      </c>
      <c r="AQ307" s="52">
        <f t="shared" si="491"/>
        <v>0</v>
      </c>
      <c r="AR307" s="52">
        <f t="shared" si="492"/>
        <v>0</v>
      </c>
      <c r="AS307" s="52">
        <f t="shared" si="493"/>
        <v>0</v>
      </c>
      <c r="AT307" s="52">
        <f t="shared" si="494"/>
        <v>0</v>
      </c>
      <c r="AU307" s="52">
        <f t="shared" si="495"/>
        <v>0</v>
      </c>
      <c r="AV307" s="52">
        <f t="shared" si="496"/>
        <v>0</v>
      </c>
      <c r="AW307" s="52">
        <f t="shared" si="497"/>
        <v>0</v>
      </c>
      <c r="AX307" s="52">
        <f t="shared" si="498"/>
        <v>0</v>
      </c>
      <c r="AY307" s="52">
        <f t="shared" si="433"/>
        <v>0</v>
      </c>
      <c r="BA307" s="52">
        <f t="shared" si="501"/>
        <v>0</v>
      </c>
      <c r="BB307" s="52">
        <f t="shared" si="502"/>
        <v>0</v>
      </c>
      <c r="BC307" s="52">
        <f t="shared" si="503"/>
        <v>0</v>
      </c>
      <c r="BD307" s="52">
        <f t="shared" si="504"/>
        <v>0</v>
      </c>
      <c r="BE307" s="52">
        <f t="shared" si="505"/>
        <v>0</v>
      </c>
      <c r="BF307" s="52">
        <f t="shared" si="506"/>
        <v>0</v>
      </c>
      <c r="BG307" s="52">
        <f t="shared" si="507"/>
        <v>0</v>
      </c>
      <c r="BH307" s="52">
        <f t="shared" si="508"/>
        <v>0</v>
      </c>
      <c r="BI307" s="52">
        <f t="shared" si="509"/>
        <v>0</v>
      </c>
      <c r="BJ307" s="52">
        <f t="shared" si="510"/>
        <v>0</v>
      </c>
      <c r="BK307" s="52">
        <f t="shared" si="511"/>
        <v>0</v>
      </c>
      <c r="BL307" s="52">
        <f t="shared" si="512"/>
        <v>0</v>
      </c>
      <c r="BM307" s="52">
        <f t="shared" si="513"/>
        <v>0</v>
      </c>
      <c r="BN307" s="52">
        <f t="shared" si="514"/>
        <v>0</v>
      </c>
      <c r="BO307" s="52">
        <f t="shared" si="515"/>
        <v>0</v>
      </c>
      <c r="BP307" s="52">
        <f t="shared" si="516"/>
        <v>0</v>
      </c>
      <c r="BQ307" s="52">
        <f t="shared" si="517"/>
        <v>0</v>
      </c>
      <c r="BR307" s="52">
        <f t="shared" si="518"/>
        <v>0</v>
      </c>
      <c r="BS307" s="52">
        <f t="shared" si="519"/>
        <v>0</v>
      </c>
      <c r="BT307" s="52">
        <f t="shared" si="520"/>
        <v>0</v>
      </c>
      <c r="BU307" s="52">
        <f t="shared" si="521"/>
        <v>0</v>
      </c>
      <c r="BV307" s="52">
        <f t="shared" si="522"/>
        <v>0</v>
      </c>
      <c r="BW307" s="52">
        <f t="shared" si="523"/>
        <v>0</v>
      </c>
      <c r="BX307" s="52">
        <f t="shared" si="524"/>
        <v>0</v>
      </c>
      <c r="BZ307" s="52">
        <f t="shared" si="435"/>
        <v>0</v>
      </c>
      <c r="CA307" s="52">
        <f t="shared" si="500"/>
        <v>0</v>
      </c>
      <c r="CB307" s="52">
        <f t="shared" si="500"/>
        <v>0</v>
      </c>
      <c r="CC307" s="52">
        <f t="shared" si="500"/>
        <v>0</v>
      </c>
      <c r="CD307" s="52">
        <f t="shared" si="500"/>
        <v>0</v>
      </c>
      <c r="CE307" s="52">
        <f t="shared" si="500"/>
        <v>0</v>
      </c>
      <c r="CF307" s="52">
        <f t="shared" si="500"/>
        <v>0</v>
      </c>
      <c r="CG307" s="52">
        <f t="shared" si="500"/>
        <v>0</v>
      </c>
      <c r="CH307" s="52">
        <f t="shared" si="500"/>
        <v>0</v>
      </c>
      <c r="CI307" s="52">
        <f t="shared" si="500"/>
        <v>0</v>
      </c>
      <c r="CJ307" s="52">
        <f t="shared" si="500"/>
        <v>0</v>
      </c>
      <c r="CK307" s="52">
        <f t="shared" si="500"/>
        <v>0</v>
      </c>
      <c r="CL307" s="52">
        <f t="shared" si="500"/>
        <v>0</v>
      </c>
      <c r="CM307" s="52">
        <f t="shared" si="500"/>
        <v>0</v>
      </c>
      <c r="CN307" s="52">
        <f t="shared" si="500"/>
        <v>0</v>
      </c>
      <c r="CO307" s="52">
        <f t="shared" si="500"/>
        <v>0</v>
      </c>
      <c r="CP307" s="52">
        <f t="shared" ref="CP307:CP315" si="525">BQ307-BP307</f>
        <v>0</v>
      </c>
      <c r="CQ307" s="52">
        <f t="shared" si="426"/>
        <v>0</v>
      </c>
      <c r="CR307" s="52">
        <f t="shared" si="427"/>
        <v>0</v>
      </c>
      <c r="CS307" s="52">
        <f t="shared" si="428"/>
        <v>0</v>
      </c>
      <c r="CT307" s="52">
        <f t="shared" si="429"/>
        <v>0</v>
      </c>
      <c r="CU307" s="52">
        <f t="shared" si="430"/>
        <v>0</v>
      </c>
      <c r="CV307" s="52">
        <f t="shared" si="431"/>
        <v>0</v>
      </c>
      <c r="CW307" s="52">
        <f t="shared" si="432"/>
        <v>0</v>
      </c>
    </row>
    <row r="308" spans="1:102">
      <c r="A308" s="60">
        <v>45230</v>
      </c>
      <c r="B308" s="426"/>
      <c r="Z308" s="77"/>
      <c r="AB308">
        <f t="shared" si="476"/>
        <v>0</v>
      </c>
      <c r="AC308">
        <f t="shared" si="477"/>
        <v>0</v>
      </c>
      <c r="AD308">
        <f t="shared" si="478"/>
        <v>0</v>
      </c>
      <c r="AE308">
        <f t="shared" si="479"/>
        <v>0</v>
      </c>
      <c r="AF308">
        <f t="shared" si="480"/>
        <v>0</v>
      </c>
      <c r="AG308">
        <f t="shared" si="481"/>
        <v>0</v>
      </c>
      <c r="AH308">
        <f t="shared" si="482"/>
        <v>0</v>
      </c>
      <c r="AI308">
        <f t="shared" si="483"/>
        <v>0</v>
      </c>
      <c r="AJ308">
        <f t="shared" si="484"/>
        <v>0</v>
      </c>
      <c r="AK308">
        <f t="shared" si="485"/>
        <v>0</v>
      </c>
      <c r="AL308">
        <f t="shared" si="486"/>
        <v>0</v>
      </c>
      <c r="AM308">
        <f t="shared" si="487"/>
        <v>0</v>
      </c>
      <c r="AN308">
        <f t="shared" si="488"/>
        <v>0</v>
      </c>
      <c r="AO308">
        <f t="shared" si="489"/>
        <v>0</v>
      </c>
      <c r="AP308">
        <f t="shared" si="490"/>
        <v>0</v>
      </c>
      <c r="AQ308">
        <f t="shared" si="491"/>
        <v>0</v>
      </c>
      <c r="AR308">
        <f t="shared" si="492"/>
        <v>0</v>
      </c>
      <c r="AS308">
        <f t="shared" si="493"/>
        <v>0</v>
      </c>
      <c r="AT308">
        <f t="shared" si="494"/>
        <v>0</v>
      </c>
      <c r="AU308">
        <f t="shared" si="495"/>
        <v>0</v>
      </c>
      <c r="AV308">
        <f t="shared" si="496"/>
        <v>0</v>
      </c>
      <c r="AW308">
        <f t="shared" si="497"/>
        <v>0</v>
      </c>
      <c r="AX308">
        <f t="shared" si="498"/>
        <v>0</v>
      </c>
      <c r="AY308">
        <f t="shared" si="433"/>
        <v>0</v>
      </c>
      <c r="BA308">
        <f t="shared" si="501"/>
        <v>0</v>
      </c>
      <c r="BB308">
        <f t="shared" si="502"/>
        <v>0</v>
      </c>
      <c r="BC308">
        <f t="shared" si="503"/>
        <v>0</v>
      </c>
      <c r="BD308">
        <f t="shared" si="504"/>
        <v>0</v>
      </c>
      <c r="BE308">
        <f t="shared" si="505"/>
        <v>0</v>
      </c>
      <c r="BF308">
        <f t="shared" si="506"/>
        <v>0</v>
      </c>
      <c r="BG308">
        <f t="shared" si="507"/>
        <v>0</v>
      </c>
      <c r="BH308">
        <f t="shared" si="508"/>
        <v>0</v>
      </c>
      <c r="BI308">
        <f t="shared" si="509"/>
        <v>0</v>
      </c>
      <c r="BJ308">
        <f t="shared" si="510"/>
        <v>0</v>
      </c>
      <c r="BK308">
        <f t="shared" si="511"/>
        <v>0</v>
      </c>
      <c r="BL308">
        <f t="shared" si="512"/>
        <v>0</v>
      </c>
      <c r="BM308">
        <f t="shared" si="513"/>
        <v>0</v>
      </c>
      <c r="BN308">
        <f t="shared" si="514"/>
        <v>0</v>
      </c>
      <c r="BO308">
        <f t="shared" si="515"/>
        <v>0</v>
      </c>
      <c r="BP308">
        <f t="shared" si="516"/>
        <v>0</v>
      </c>
      <c r="BQ308">
        <f t="shared" si="517"/>
        <v>0</v>
      </c>
      <c r="BR308">
        <f t="shared" si="518"/>
        <v>0</v>
      </c>
      <c r="BS308">
        <f t="shared" si="519"/>
        <v>0</v>
      </c>
      <c r="BT308">
        <f t="shared" si="520"/>
        <v>0</v>
      </c>
      <c r="BU308">
        <f t="shared" si="521"/>
        <v>0</v>
      </c>
      <c r="BV308">
        <f t="shared" si="522"/>
        <v>0</v>
      </c>
      <c r="BW308">
        <f t="shared" si="523"/>
        <v>0</v>
      </c>
      <c r="BX308">
        <f t="shared" si="524"/>
        <v>0</v>
      </c>
      <c r="BZ308">
        <f>+BA308-BX307</f>
        <v>0</v>
      </c>
      <c r="CA308">
        <f t="shared" si="500"/>
        <v>0</v>
      </c>
      <c r="CB308">
        <f t="shared" si="500"/>
        <v>0</v>
      </c>
      <c r="CC308">
        <f t="shared" si="500"/>
        <v>0</v>
      </c>
      <c r="CD308">
        <f t="shared" si="500"/>
        <v>0</v>
      </c>
      <c r="CE308">
        <f t="shared" si="500"/>
        <v>0</v>
      </c>
      <c r="CF308">
        <f t="shared" si="500"/>
        <v>0</v>
      </c>
      <c r="CG308">
        <f t="shared" si="500"/>
        <v>0</v>
      </c>
      <c r="CH308">
        <f t="shared" si="500"/>
        <v>0</v>
      </c>
      <c r="CI308">
        <f t="shared" si="500"/>
        <v>0</v>
      </c>
      <c r="CJ308">
        <f t="shared" si="500"/>
        <v>0</v>
      </c>
      <c r="CK308">
        <f t="shared" si="500"/>
        <v>0</v>
      </c>
      <c r="CL308">
        <f t="shared" si="500"/>
        <v>0</v>
      </c>
      <c r="CM308">
        <f t="shared" si="500"/>
        <v>0</v>
      </c>
      <c r="CN308">
        <f t="shared" si="500"/>
        <v>0</v>
      </c>
      <c r="CO308">
        <f t="shared" si="500"/>
        <v>0</v>
      </c>
      <c r="CP308">
        <f t="shared" si="525"/>
        <v>0</v>
      </c>
      <c r="CQ308">
        <f t="shared" si="426"/>
        <v>0</v>
      </c>
      <c r="CR308">
        <f t="shared" si="427"/>
        <v>0</v>
      </c>
      <c r="CS308">
        <f t="shared" si="428"/>
        <v>0</v>
      </c>
      <c r="CT308">
        <f t="shared" si="429"/>
        <v>0</v>
      </c>
      <c r="CU308">
        <f t="shared" si="430"/>
        <v>0</v>
      </c>
      <c r="CV308">
        <f t="shared" si="431"/>
        <v>0</v>
      </c>
      <c r="CW308">
        <f t="shared" si="432"/>
        <v>0</v>
      </c>
    </row>
    <row r="309" spans="1:102">
      <c r="A309" s="60">
        <v>45231</v>
      </c>
      <c r="B309" s="426"/>
      <c r="Z309" s="77"/>
      <c r="AB309" s="157">
        <f t="shared" si="476"/>
        <v>0</v>
      </c>
      <c r="AC309" s="157">
        <f t="shared" si="477"/>
        <v>0</v>
      </c>
      <c r="AD309" s="157">
        <f t="shared" si="478"/>
        <v>0</v>
      </c>
      <c r="AE309" s="157">
        <f t="shared" si="479"/>
        <v>0</v>
      </c>
      <c r="AF309" s="157">
        <f t="shared" si="480"/>
        <v>0</v>
      </c>
      <c r="AG309" s="157">
        <f t="shared" si="481"/>
        <v>0</v>
      </c>
      <c r="AH309" s="157">
        <f t="shared" si="482"/>
        <v>0</v>
      </c>
      <c r="AI309" s="157">
        <f t="shared" si="483"/>
        <v>0</v>
      </c>
      <c r="AJ309" s="157">
        <f t="shared" si="484"/>
        <v>0</v>
      </c>
      <c r="AK309" s="157">
        <f t="shared" si="485"/>
        <v>0</v>
      </c>
      <c r="AL309" s="157">
        <f t="shared" si="486"/>
        <v>0</v>
      </c>
      <c r="AM309" s="157">
        <f t="shared" si="487"/>
        <v>0</v>
      </c>
      <c r="AN309" s="157">
        <f t="shared" si="488"/>
        <v>0</v>
      </c>
      <c r="AO309" s="157">
        <f t="shared" si="489"/>
        <v>0</v>
      </c>
      <c r="AP309" s="157">
        <f t="shared" si="490"/>
        <v>0</v>
      </c>
      <c r="AQ309" s="157">
        <f t="shared" si="491"/>
        <v>0</v>
      </c>
      <c r="AR309" s="157">
        <f t="shared" si="492"/>
        <v>0</v>
      </c>
      <c r="AS309" s="157">
        <f t="shared" si="493"/>
        <v>0</v>
      </c>
      <c r="AT309" s="157">
        <f t="shared" si="494"/>
        <v>0</v>
      </c>
      <c r="AU309" s="157">
        <f t="shared" si="495"/>
        <v>0</v>
      </c>
      <c r="AV309" s="157">
        <f t="shared" si="496"/>
        <v>0</v>
      </c>
      <c r="AW309" s="157">
        <f t="shared" si="497"/>
        <v>0</v>
      </c>
      <c r="AX309" s="157">
        <f t="shared" si="498"/>
        <v>0</v>
      </c>
      <c r="AY309" s="157">
        <f t="shared" si="433"/>
        <v>0</v>
      </c>
      <c r="AZ309" s="63">
        <f>+SUM(AB278:AY308)</f>
        <v>0</v>
      </c>
      <c r="BA309" s="54">
        <f t="shared" si="501"/>
        <v>0</v>
      </c>
      <c r="BB309" s="54">
        <f t="shared" si="502"/>
        <v>0</v>
      </c>
      <c r="BC309" s="54">
        <f t="shared" si="503"/>
        <v>0</v>
      </c>
      <c r="BD309" s="54">
        <f t="shared" si="504"/>
        <v>0</v>
      </c>
      <c r="BE309" s="54">
        <f t="shared" si="505"/>
        <v>0</v>
      </c>
      <c r="BF309" s="54">
        <f t="shared" si="506"/>
        <v>0</v>
      </c>
      <c r="BG309" s="54">
        <f t="shared" si="507"/>
        <v>0</v>
      </c>
      <c r="BH309" s="54">
        <f t="shared" si="508"/>
        <v>0</v>
      </c>
      <c r="BI309" s="54">
        <f t="shared" si="509"/>
        <v>0</v>
      </c>
      <c r="BJ309" s="54">
        <f t="shared" si="510"/>
        <v>0</v>
      </c>
      <c r="BK309" s="54">
        <f t="shared" si="511"/>
        <v>0</v>
      </c>
      <c r="BL309" s="54">
        <f t="shared" si="512"/>
        <v>0</v>
      </c>
      <c r="BM309" s="54">
        <f t="shared" si="513"/>
        <v>0</v>
      </c>
      <c r="BN309" s="54">
        <f t="shared" si="514"/>
        <v>0</v>
      </c>
      <c r="BO309" s="54">
        <f t="shared" si="515"/>
        <v>0</v>
      </c>
      <c r="BP309" s="54">
        <f t="shared" si="516"/>
        <v>0</v>
      </c>
      <c r="BQ309" s="54">
        <f t="shared" si="517"/>
        <v>0</v>
      </c>
      <c r="BR309" s="54">
        <f t="shared" si="518"/>
        <v>0</v>
      </c>
      <c r="BS309" s="54">
        <f t="shared" si="519"/>
        <v>0</v>
      </c>
      <c r="BT309" s="54">
        <f t="shared" si="520"/>
        <v>0</v>
      </c>
      <c r="BU309" s="54">
        <f t="shared" si="521"/>
        <v>0</v>
      </c>
      <c r="BV309" s="54">
        <f t="shared" si="522"/>
        <v>0</v>
      </c>
      <c r="BW309" s="54">
        <f t="shared" si="523"/>
        <v>0</v>
      </c>
      <c r="BX309" s="54">
        <f t="shared" si="524"/>
        <v>0</v>
      </c>
      <c r="BY309" s="63">
        <f>+SUM(BA279:BX309)</f>
        <v>0</v>
      </c>
      <c r="BZ309" s="54">
        <f>+BA309-BX308</f>
        <v>0</v>
      </c>
      <c r="CA309" s="54">
        <f t="shared" si="500"/>
        <v>0</v>
      </c>
      <c r="CB309" s="54">
        <f t="shared" si="500"/>
        <v>0</v>
      </c>
      <c r="CC309" s="54">
        <f t="shared" si="500"/>
        <v>0</v>
      </c>
      <c r="CD309" s="54">
        <f t="shared" si="500"/>
        <v>0</v>
      </c>
      <c r="CE309" s="54">
        <f t="shared" si="500"/>
        <v>0</v>
      </c>
      <c r="CF309" s="54">
        <f t="shared" si="500"/>
        <v>0</v>
      </c>
      <c r="CG309" s="54">
        <f t="shared" si="500"/>
        <v>0</v>
      </c>
      <c r="CH309" s="54">
        <f t="shared" si="500"/>
        <v>0</v>
      </c>
      <c r="CI309" s="54">
        <f t="shared" si="500"/>
        <v>0</v>
      </c>
      <c r="CJ309" s="54">
        <f t="shared" si="500"/>
        <v>0</v>
      </c>
      <c r="CK309" s="54">
        <f t="shared" si="500"/>
        <v>0</v>
      </c>
      <c r="CL309" s="54">
        <f t="shared" si="500"/>
        <v>0</v>
      </c>
      <c r="CM309" s="54">
        <f t="shared" si="500"/>
        <v>0</v>
      </c>
      <c r="CN309" s="54">
        <f t="shared" si="500"/>
        <v>0</v>
      </c>
      <c r="CO309" s="54">
        <f t="shared" si="500"/>
        <v>0</v>
      </c>
      <c r="CP309" s="54">
        <f t="shared" si="525"/>
        <v>0</v>
      </c>
      <c r="CQ309" s="54">
        <f t="shared" ref="CQ309:CW309" si="526">BR309-BQ309</f>
        <v>0</v>
      </c>
      <c r="CR309" s="54">
        <f t="shared" si="526"/>
        <v>0</v>
      </c>
      <c r="CS309" s="54">
        <f t="shared" si="526"/>
        <v>0</v>
      </c>
      <c r="CT309" s="54">
        <f t="shared" si="526"/>
        <v>0</v>
      </c>
      <c r="CU309" s="54">
        <f t="shared" si="526"/>
        <v>0</v>
      </c>
      <c r="CV309" s="54">
        <f t="shared" si="526"/>
        <v>0</v>
      </c>
      <c r="CW309" s="54">
        <f t="shared" si="526"/>
        <v>0</v>
      </c>
      <c r="CX309" s="63">
        <f>+SUMIF(BZ279:CW309,"&gt;0")</f>
        <v>0</v>
      </c>
    </row>
    <row r="310" spans="1:102">
      <c r="A310" s="60">
        <v>45232</v>
      </c>
      <c r="B310" s="426"/>
      <c r="Z310" s="77"/>
      <c r="AB310">
        <f t="shared" si="476"/>
        <v>0</v>
      </c>
      <c r="AC310">
        <f t="shared" si="477"/>
        <v>0</v>
      </c>
      <c r="AD310">
        <f t="shared" si="478"/>
        <v>0</v>
      </c>
      <c r="AE310">
        <f t="shared" si="479"/>
        <v>0</v>
      </c>
      <c r="AF310">
        <f t="shared" si="480"/>
        <v>0</v>
      </c>
      <c r="AG310">
        <f t="shared" si="481"/>
        <v>0</v>
      </c>
      <c r="AH310">
        <f t="shared" si="482"/>
        <v>0</v>
      </c>
      <c r="AI310">
        <f t="shared" si="483"/>
        <v>0</v>
      </c>
      <c r="AJ310">
        <f t="shared" si="484"/>
        <v>0</v>
      </c>
      <c r="AK310">
        <f t="shared" si="485"/>
        <v>0</v>
      </c>
      <c r="AL310">
        <f t="shared" si="486"/>
        <v>0</v>
      </c>
      <c r="AM310">
        <f t="shared" si="487"/>
        <v>0</v>
      </c>
      <c r="AN310">
        <f t="shared" si="488"/>
        <v>0</v>
      </c>
      <c r="AO310">
        <f t="shared" si="489"/>
        <v>0</v>
      </c>
      <c r="AP310">
        <f t="shared" si="490"/>
        <v>0</v>
      </c>
      <c r="AQ310">
        <f t="shared" si="491"/>
        <v>0</v>
      </c>
      <c r="AR310">
        <f t="shared" si="492"/>
        <v>0</v>
      </c>
      <c r="AS310">
        <f t="shared" si="493"/>
        <v>0</v>
      </c>
      <c r="AT310">
        <f t="shared" si="494"/>
        <v>0</v>
      </c>
      <c r="AU310">
        <f t="shared" si="495"/>
        <v>0</v>
      </c>
      <c r="AV310">
        <f t="shared" si="496"/>
        <v>0</v>
      </c>
      <c r="AW310">
        <f t="shared" si="497"/>
        <v>0</v>
      </c>
      <c r="AX310">
        <f t="shared" si="498"/>
        <v>0</v>
      </c>
      <c r="AY310">
        <f t="shared" ref="AY310:AY370" si="527">+IF(AND(Y310=0,B311&lt;&gt;0),1,0)</f>
        <v>0</v>
      </c>
      <c r="BA310">
        <f t="shared" si="501"/>
        <v>0</v>
      </c>
      <c r="BB310">
        <f t="shared" si="502"/>
        <v>0</v>
      </c>
      <c r="BC310">
        <f t="shared" si="503"/>
        <v>0</v>
      </c>
      <c r="BD310">
        <f t="shared" si="504"/>
        <v>0</v>
      </c>
      <c r="BE310">
        <f t="shared" si="505"/>
        <v>0</v>
      </c>
      <c r="BF310">
        <f t="shared" si="506"/>
        <v>0</v>
      </c>
      <c r="BG310">
        <f t="shared" si="507"/>
        <v>0</v>
      </c>
      <c r="BH310">
        <f t="shared" si="508"/>
        <v>0</v>
      </c>
      <c r="BI310">
        <f t="shared" si="509"/>
        <v>0</v>
      </c>
      <c r="BJ310">
        <f t="shared" si="510"/>
        <v>0</v>
      </c>
      <c r="BK310">
        <f t="shared" si="511"/>
        <v>0</v>
      </c>
      <c r="BL310">
        <f t="shared" si="512"/>
        <v>0</v>
      </c>
      <c r="BM310">
        <f t="shared" si="513"/>
        <v>0</v>
      </c>
      <c r="BN310">
        <f t="shared" si="514"/>
        <v>0</v>
      </c>
      <c r="BO310">
        <f t="shared" si="515"/>
        <v>0</v>
      </c>
      <c r="BP310">
        <f t="shared" si="516"/>
        <v>0</v>
      </c>
      <c r="BQ310">
        <f t="shared" si="517"/>
        <v>0</v>
      </c>
      <c r="BR310">
        <f t="shared" si="518"/>
        <v>0</v>
      </c>
      <c r="BS310">
        <f t="shared" si="519"/>
        <v>0</v>
      </c>
      <c r="BT310">
        <f t="shared" si="520"/>
        <v>0</v>
      </c>
      <c r="BU310">
        <f t="shared" si="521"/>
        <v>0</v>
      </c>
      <c r="BV310">
        <f t="shared" si="522"/>
        <v>0</v>
      </c>
      <c r="BW310">
        <f t="shared" si="523"/>
        <v>0</v>
      </c>
      <c r="BX310">
        <f t="shared" si="524"/>
        <v>0</v>
      </c>
      <c r="BZ310">
        <f t="shared" ref="BZ310:BZ338" si="528">+BA310-BX309</f>
        <v>0</v>
      </c>
      <c r="CA310">
        <f t="shared" ref="CA310:CA370" si="529">BB310-BA310</f>
        <v>0</v>
      </c>
      <c r="CB310">
        <f t="shared" ref="CB310:CB370" si="530">BC310-BB310</f>
        <v>0</v>
      </c>
      <c r="CC310">
        <f t="shared" ref="CC310:CC370" si="531">BD310-BC310</f>
        <v>0</v>
      </c>
      <c r="CD310">
        <f t="shared" ref="CD310:CD370" si="532">BE310-BD310</f>
        <v>0</v>
      </c>
      <c r="CE310">
        <f t="shared" ref="CE310:CE370" si="533">BF310-BE310</f>
        <v>0</v>
      </c>
      <c r="CF310">
        <f t="shared" ref="CF310:CF370" si="534">BG310-BF310</f>
        <v>0</v>
      </c>
      <c r="CG310">
        <f t="shared" ref="CG310:CG370" si="535">BH310-BG310</f>
        <v>0</v>
      </c>
      <c r="CH310">
        <f t="shared" ref="CH310:CH370" si="536">BI310-BH310</f>
        <v>0</v>
      </c>
      <c r="CI310">
        <f t="shared" ref="CI310:CI370" si="537">BJ310-BI310</f>
        <v>0</v>
      </c>
      <c r="CJ310">
        <f t="shared" ref="CJ310:CJ370" si="538">BK310-BJ310</f>
        <v>0</v>
      </c>
      <c r="CK310">
        <f t="shared" ref="CK310:CK370" si="539">BL310-BK310</f>
        <v>0</v>
      </c>
      <c r="CL310">
        <f t="shared" ref="CL310:CL370" si="540">BM310-BL310</f>
        <v>0</v>
      </c>
      <c r="CM310">
        <f t="shared" ref="CM310:CM370" si="541">BN310-BM310</f>
        <v>0</v>
      </c>
      <c r="CN310">
        <f t="shared" ref="CN310:CN370" si="542">BO310-BN310</f>
        <v>0</v>
      </c>
      <c r="CO310">
        <f t="shared" ref="CO310:CO370" si="543">BP310-BO310</f>
        <v>0</v>
      </c>
      <c r="CP310">
        <f t="shared" si="525"/>
        <v>0</v>
      </c>
      <c r="CQ310">
        <f t="shared" ref="CQ310:CQ370" si="544">BR310-BQ310</f>
        <v>0</v>
      </c>
      <c r="CR310">
        <f t="shared" ref="CR310:CR370" si="545">BS310-BR310</f>
        <v>0</v>
      </c>
      <c r="CS310">
        <f t="shared" ref="CS310:CS370" si="546">BT310-BS310</f>
        <v>0</v>
      </c>
      <c r="CT310">
        <f t="shared" ref="CT310:CT370" si="547">BU310-BT310</f>
        <v>0</v>
      </c>
      <c r="CU310">
        <f t="shared" ref="CU310:CU370" si="548">BV310-BU310</f>
        <v>0</v>
      </c>
      <c r="CV310">
        <f t="shared" ref="CV310:CV370" si="549">BW310-BV310</f>
        <v>0</v>
      </c>
      <c r="CW310">
        <f t="shared" ref="CW310:CW370" si="550">BX310-BW310</f>
        <v>0</v>
      </c>
    </row>
    <row r="311" spans="1:102">
      <c r="A311" s="60">
        <v>45233</v>
      </c>
      <c r="B311" s="426"/>
      <c r="Z311" s="77"/>
      <c r="AB311" s="52">
        <f t="shared" si="476"/>
        <v>0</v>
      </c>
      <c r="AC311" s="52">
        <f t="shared" si="477"/>
        <v>0</v>
      </c>
      <c r="AD311" s="52">
        <f t="shared" si="478"/>
        <v>0</v>
      </c>
      <c r="AE311" s="52">
        <f t="shared" si="479"/>
        <v>0</v>
      </c>
      <c r="AF311" s="52">
        <f t="shared" si="480"/>
        <v>0</v>
      </c>
      <c r="AG311" s="52">
        <f t="shared" si="481"/>
        <v>0</v>
      </c>
      <c r="AH311" s="52">
        <f t="shared" si="482"/>
        <v>0</v>
      </c>
      <c r="AI311" s="52">
        <f t="shared" si="483"/>
        <v>0</v>
      </c>
      <c r="AJ311" s="52">
        <f t="shared" si="484"/>
        <v>0</v>
      </c>
      <c r="AK311" s="52">
        <f t="shared" si="485"/>
        <v>0</v>
      </c>
      <c r="AL311" s="52">
        <f t="shared" si="486"/>
        <v>0</v>
      </c>
      <c r="AM311" s="52">
        <f t="shared" si="487"/>
        <v>0</v>
      </c>
      <c r="AN311" s="52">
        <f t="shared" si="488"/>
        <v>0</v>
      </c>
      <c r="AO311" s="52">
        <f t="shared" si="489"/>
        <v>0</v>
      </c>
      <c r="AP311" s="52">
        <f t="shared" si="490"/>
        <v>0</v>
      </c>
      <c r="AQ311" s="52">
        <f t="shared" si="491"/>
        <v>0</v>
      </c>
      <c r="AR311" s="52">
        <f t="shared" si="492"/>
        <v>0</v>
      </c>
      <c r="AS311" s="52">
        <f t="shared" si="493"/>
        <v>0</v>
      </c>
      <c r="AT311" s="52">
        <f t="shared" si="494"/>
        <v>0</v>
      </c>
      <c r="AU311" s="52">
        <f t="shared" si="495"/>
        <v>0</v>
      </c>
      <c r="AV311" s="52">
        <f t="shared" si="496"/>
        <v>0</v>
      </c>
      <c r="AW311" s="52">
        <f t="shared" si="497"/>
        <v>0</v>
      </c>
      <c r="AX311" s="52">
        <f t="shared" si="498"/>
        <v>0</v>
      </c>
      <c r="AY311" s="52">
        <f t="shared" si="527"/>
        <v>0</v>
      </c>
      <c r="BA311" s="52">
        <f t="shared" si="501"/>
        <v>0</v>
      </c>
      <c r="BB311" s="52">
        <f t="shared" si="502"/>
        <v>0</v>
      </c>
      <c r="BC311" s="52">
        <f t="shared" si="503"/>
        <v>0</v>
      </c>
      <c r="BD311" s="52">
        <f t="shared" si="504"/>
        <v>0</v>
      </c>
      <c r="BE311" s="52">
        <f t="shared" si="505"/>
        <v>0</v>
      </c>
      <c r="BF311" s="52">
        <f t="shared" si="506"/>
        <v>0</v>
      </c>
      <c r="BG311" s="52">
        <f t="shared" si="507"/>
        <v>0</v>
      </c>
      <c r="BH311" s="52">
        <f t="shared" si="508"/>
        <v>0</v>
      </c>
      <c r="BI311" s="52">
        <f t="shared" si="509"/>
        <v>0</v>
      </c>
      <c r="BJ311" s="52">
        <f t="shared" si="510"/>
        <v>0</v>
      </c>
      <c r="BK311" s="52">
        <f t="shared" si="511"/>
        <v>0</v>
      </c>
      <c r="BL311" s="52">
        <f t="shared" si="512"/>
        <v>0</v>
      </c>
      <c r="BM311" s="52">
        <f t="shared" si="513"/>
        <v>0</v>
      </c>
      <c r="BN311" s="52">
        <f t="shared" si="514"/>
        <v>0</v>
      </c>
      <c r="BO311" s="52">
        <f t="shared" si="515"/>
        <v>0</v>
      </c>
      <c r="BP311" s="52">
        <f t="shared" si="516"/>
        <v>0</v>
      </c>
      <c r="BQ311" s="52">
        <f t="shared" si="517"/>
        <v>0</v>
      </c>
      <c r="BR311" s="52">
        <f t="shared" si="518"/>
        <v>0</v>
      </c>
      <c r="BS311" s="52">
        <f t="shared" si="519"/>
        <v>0</v>
      </c>
      <c r="BT311" s="52">
        <f t="shared" si="520"/>
        <v>0</v>
      </c>
      <c r="BU311" s="52">
        <f t="shared" si="521"/>
        <v>0</v>
      </c>
      <c r="BV311" s="52">
        <f t="shared" si="522"/>
        <v>0</v>
      </c>
      <c r="BW311" s="52">
        <f t="shared" si="523"/>
        <v>0</v>
      </c>
      <c r="BX311" s="52">
        <f t="shared" si="524"/>
        <v>0</v>
      </c>
      <c r="BZ311" s="52">
        <f t="shared" si="528"/>
        <v>0</v>
      </c>
      <c r="CA311" s="52">
        <f t="shared" si="529"/>
        <v>0</v>
      </c>
      <c r="CB311" s="52">
        <f t="shared" si="530"/>
        <v>0</v>
      </c>
      <c r="CC311" s="52">
        <f t="shared" si="531"/>
        <v>0</v>
      </c>
      <c r="CD311" s="52">
        <f t="shared" si="532"/>
        <v>0</v>
      </c>
      <c r="CE311" s="52">
        <f t="shared" si="533"/>
        <v>0</v>
      </c>
      <c r="CF311" s="52">
        <f t="shared" si="534"/>
        <v>0</v>
      </c>
      <c r="CG311" s="52">
        <f t="shared" si="535"/>
        <v>0</v>
      </c>
      <c r="CH311" s="52">
        <f t="shared" si="536"/>
        <v>0</v>
      </c>
      <c r="CI311" s="52">
        <f t="shared" si="537"/>
        <v>0</v>
      </c>
      <c r="CJ311" s="52">
        <f t="shared" si="538"/>
        <v>0</v>
      </c>
      <c r="CK311" s="52">
        <f t="shared" si="539"/>
        <v>0</v>
      </c>
      <c r="CL311" s="52">
        <f t="shared" si="540"/>
        <v>0</v>
      </c>
      <c r="CM311" s="52">
        <f t="shared" si="541"/>
        <v>0</v>
      </c>
      <c r="CN311" s="52">
        <f t="shared" si="542"/>
        <v>0</v>
      </c>
      <c r="CO311" s="52">
        <f t="shared" si="543"/>
        <v>0</v>
      </c>
      <c r="CP311" s="52">
        <f t="shared" si="525"/>
        <v>0</v>
      </c>
      <c r="CQ311" s="52">
        <f t="shared" si="544"/>
        <v>0</v>
      </c>
      <c r="CR311" s="52">
        <f t="shared" si="545"/>
        <v>0</v>
      </c>
      <c r="CS311" s="52">
        <f t="shared" si="546"/>
        <v>0</v>
      </c>
      <c r="CT311" s="52">
        <f t="shared" si="547"/>
        <v>0</v>
      </c>
      <c r="CU311" s="52">
        <f t="shared" si="548"/>
        <v>0</v>
      </c>
      <c r="CV311" s="52">
        <f t="shared" si="549"/>
        <v>0</v>
      </c>
      <c r="CW311" s="52">
        <f t="shared" si="550"/>
        <v>0</v>
      </c>
    </row>
    <row r="312" spans="1:102">
      <c r="A312" s="60">
        <v>45234</v>
      </c>
      <c r="B312" s="426"/>
      <c r="Z312" s="77"/>
      <c r="AB312">
        <f t="shared" si="476"/>
        <v>0</v>
      </c>
      <c r="AC312">
        <f t="shared" si="477"/>
        <v>0</v>
      </c>
      <c r="AD312">
        <f t="shared" si="478"/>
        <v>0</v>
      </c>
      <c r="AE312">
        <f t="shared" si="479"/>
        <v>0</v>
      </c>
      <c r="AF312">
        <f t="shared" si="480"/>
        <v>0</v>
      </c>
      <c r="AG312">
        <f t="shared" si="481"/>
        <v>0</v>
      </c>
      <c r="AH312">
        <f t="shared" si="482"/>
        <v>0</v>
      </c>
      <c r="AI312">
        <f t="shared" si="483"/>
        <v>0</v>
      </c>
      <c r="AJ312">
        <f t="shared" si="484"/>
        <v>0</v>
      </c>
      <c r="AK312">
        <f t="shared" si="485"/>
        <v>0</v>
      </c>
      <c r="AL312">
        <f t="shared" si="486"/>
        <v>0</v>
      </c>
      <c r="AM312">
        <f t="shared" si="487"/>
        <v>0</v>
      </c>
      <c r="AN312">
        <f t="shared" si="488"/>
        <v>0</v>
      </c>
      <c r="AO312">
        <f t="shared" si="489"/>
        <v>0</v>
      </c>
      <c r="AP312">
        <f t="shared" si="490"/>
        <v>0</v>
      </c>
      <c r="AQ312">
        <f t="shared" si="491"/>
        <v>0</v>
      </c>
      <c r="AR312">
        <f t="shared" si="492"/>
        <v>0</v>
      </c>
      <c r="AS312">
        <f t="shared" si="493"/>
        <v>0</v>
      </c>
      <c r="AT312">
        <f t="shared" si="494"/>
        <v>0</v>
      </c>
      <c r="AU312">
        <f t="shared" si="495"/>
        <v>0</v>
      </c>
      <c r="AV312">
        <f t="shared" si="496"/>
        <v>0</v>
      </c>
      <c r="AW312">
        <f t="shared" si="497"/>
        <v>0</v>
      </c>
      <c r="AX312">
        <f t="shared" si="498"/>
        <v>0</v>
      </c>
      <c r="AY312">
        <f t="shared" si="527"/>
        <v>0</v>
      </c>
      <c r="BA312">
        <f t="shared" si="501"/>
        <v>0</v>
      </c>
      <c r="BB312">
        <f t="shared" si="502"/>
        <v>0</v>
      </c>
      <c r="BC312">
        <f t="shared" si="503"/>
        <v>0</v>
      </c>
      <c r="BD312">
        <f t="shared" si="504"/>
        <v>0</v>
      </c>
      <c r="BE312">
        <f t="shared" si="505"/>
        <v>0</v>
      </c>
      <c r="BF312">
        <f t="shared" si="506"/>
        <v>0</v>
      </c>
      <c r="BG312">
        <f t="shared" si="507"/>
        <v>0</v>
      </c>
      <c r="BH312">
        <f t="shared" si="508"/>
        <v>0</v>
      </c>
      <c r="BI312">
        <f t="shared" si="509"/>
        <v>0</v>
      </c>
      <c r="BJ312">
        <f t="shared" si="510"/>
        <v>0</v>
      </c>
      <c r="BK312">
        <f t="shared" si="511"/>
        <v>0</v>
      </c>
      <c r="BL312">
        <f t="shared" si="512"/>
        <v>0</v>
      </c>
      <c r="BM312">
        <f t="shared" si="513"/>
        <v>0</v>
      </c>
      <c r="BN312">
        <f t="shared" si="514"/>
        <v>0</v>
      </c>
      <c r="BO312">
        <f t="shared" si="515"/>
        <v>0</v>
      </c>
      <c r="BP312">
        <f t="shared" si="516"/>
        <v>0</v>
      </c>
      <c r="BQ312">
        <f t="shared" si="517"/>
        <v>0</v>
      </c>
      <c r="BR312">
        <f t="shared" si="518"/>
        <v>0</v>
      </c>
      <c r="BS312">
        <f t="shared" si="519"/>
        <v>0</v>
      </c>
      <c r="BT312">
        <f t="shared" si="520"/>
        <v>0</v>
      </c>
      <c r="BU312">
        <f t="shared" si="521"/>
        <v>0</v>
      </c>
      <c r="BV312">
        <f t="shared" si="522"/>
        <v>0</v>
      </c>
      <c r="BW312">
        <f t="shared" si="523"/>
        <v>0</v>
      </c>
      <c r="BX312">
        <f t="shared" si="524"/>
        <v>0</v>
      </c>
      <c r="BZ312">
        <f t="shared" si="528"/>
        <v>0</v>
      </c>
      <c r="CA312">
        <f t="shared" si="529"/>
        <v>0</v>
      </c>
      <c r="CB312">
        <f t="shared" si="530"/>
        <v>0</v>
      </c>
      <c r="CC312">
        <f t="shared" si="531"/>
        <v>0</v>
      </c>
      <c r="CD312">
        <f t="shared" si="532"/>
        <v>0</v>
      </c>
      <c r="CE312">
        <f t="shared" si="533"/>
        <v>0</v>
      </c>
      <c r="CF312">
        <f t="shared" si="534"/>
        <v>0</v>
      </c>
      <c r="CG312">
        <f t="shared" si="535"/>
        <v>0</v>
      </c>
      <c r="CH312">
        <f t="shared" si="536"/>
        <v>0</v>
      </c>
      <c r="CI312">
        <f t="shared" si="537"/>
        <v>0</v>
      </c>
      <c r="CJ312">
        <f t="shared" si="538"/>
        <v>0</v>
      </c>
      <c r="CK312">
        <f t="shared" si="539"/>
        <v>0</v>
      </c>
      <c r="CL312">
        <f t="shared" si="540"/>
        <v>0</v>
      </c>
      <c r="CM312">
        <f t="shared" si="541"/>
        <v>0</v>
      </c>
      <c r="CN312">
        <f t="shared" si="542"/>
        <v>0</v>
      </c>
      <c r="CO312">
        <f t="shared" si="543"/>
        <v>0</v>
      </c>
      <c r="CP312">
        <f t="shared" si="525"/>
        <v>0</v>
      </c>
      <c r="CQ312">
        <f t="shared" si="544"/>
        <v>0</v>
      </c>
      <c r="CR312">
        <f t="shared" si="545"/>
        <v>0</v>
      </c>
      <c r="CS312">
        <f t="shared" si="546"/>
        <v>0</v>
      </c>
      <c r="CT312">
        <f t="shared" si="547"/>
        <v>0</v>
      </c>
      <c r="CU312">
        <f t="shared" si="548"/>
        <v>0</v>
      </c>
      <c r="CV312">
        <f t="shared" si="549"/>
        <v>0</v>
      </c>
      <c r="CW312">
        <f t="shared" si="550"/>
        <v>0</v>
      </c>
    </row>
    <row r="313" spans="1:102">
      <c r="A313" s="60">
        <v>45235</v>
      </c>
      <c r="B313" s="426"/>
      <c r="Z313" s="77"/>
      <c r="AB313" s="52">
        <f t="shared" si="476"/>
        <v>0</v>
      </c>
      <c r="AC313" s="52">
        <f t="shared" si="477"/>
        <v>0</v>
      </c>
      <c r="AD313" s="52">
        <f t="shared" si="478"/>
        <v>0</v>
      </c>
      <c r="AE313" s="52">
        <f t="shared" si="479"/>
        <v>0</v>
      </c>
      <c r="AF313" s="52">
        <f t="shared" si="480"/>
        <v>0</v>
      </c>
      <c r="AG313" s="52">
        <f t="shared" si="481"/>
        <v>0</v>
      </c>
      <c r="AH313" s="52">
        <f t="shared" si="482"/>
        <v>0</v>
      </c>
      <c r="AI313" s="52">
        <f t="shared" si="483"/>
        <v>0</v>
      </c>
      <c r="AJ313" s="52">
        <f t="shared" si="484"/>
        <v>0</v>
      </c>
      <c r="AK313" s="52">
        <f t="shared" si="485"/>
        <v>0</v>
      </c>
      <c r="AL313" s="52">
        <f t="shared" si="486"/>
        <v>0</v>
      </c>
      <c r="AM313" s="52">
        <f t="shared" si="487"/>
        <v>0</v>
      </c>
      <c r="AN313" s="52">
        <f t="shared" si="488"/>
        <v>0</v>
      </c>
      <c r="AO313" s="52">
        <f t="shared" si="489"/>
        <v>0</v>
      </c>
      <c r="AP313" s="52">
        <f t="shared" si="490"/>
        <v>0</v>
      </c>
      <c r="AQ313" s="52">
        <f t="shared" si="491"/>
        <v>0</v>
      </c>
      <c r="AR313" s="52">
        <f t="shared" si="492"/>
        <v>0</v>
      </c>
      <c r="AS313" s="52">
        <f t="shared" si="493"/>
        <v>0</v>
      </c>
      <c r="AT313" s="52">
        <f t="shared" si="494"/>
        <v>0</v>
      </c>
      <c r="AU313" s="52">
        <f t="shared" si="495"/>
        <v>0</v>
      </c>
      <c r="AV313" s="52">
        <f t="shared" si="496"/>
        <v>0</v>
      </c>
      <c r="AW313" s="52">
        <f t="shared" si="497"/>
        <v>0</v>
      </c>
      <c r="AX313" s="52">
        <f t="shared" si="498"/>
        <v>0</v>
      </c>
      <c r="AY313" s="52">
        <f t="shared" si="527"/>
        <v>0</v>
      </c>
      <c r="BA313" s="52">
        <f t="shared" si="501"/>
        <v>0</v>
      </c>
      <c r="BB313" s="52">
        <f t="shared" si="502"/>
        <v>0</v>
      </c>
      <c r="BC313" s="52">
        <f t="shared" si="503"/>
        <v>0</v>
      </c>
      <c r="BD313" s="52">
        <f t="shared" si="504"/>
        <v>0</v>
      </c>
      <c r="BE313" s="52">
        <f t="shared" si="505"/>
        <v>0</v>
      </c>
      <c r="BF313" s="52">
        <f t="shared" si="506"/>
        <v>0</v>
      </c>
      <c r="BG313" s="52">
        <f t="shared" si="507"/>
        <v>0</v>
      </c>
      <c r="BH313" s="52">
        <f t="shared" si="508"/>
        <v>0</v>
      </c>
      <c r="BI313" s="52">
        <f t="shared" si="509"/>
        <v>0</v>
      </c>
      <c r="BJ313" s="52">
        <f t="shared" si="510"/>
        <v>0</v>
      </c>
      <c r="BK313" s="52">
        <f t="shared" si="511"/>
        <v>0</v>
      </c>
      <c r="BL313" s="52">
        <f t="shared" si="512"/>
        <v>0</v>
      </c>
      <c r="BM313" s="52">
        <f t="shared" si="513"/>
        <v>0</v>
      </c>
      <c r="BN313" s="52">
        <f t="shared" si="514"/>
        <v>0</v>
      </c>
      <c r="BO313" s="52">
        <f t="shared" si="515"/>
        <v>0</v>
      </c>
      <c r="BP313" s="52">
        <f t="shared" si="516"/>
        <v>0</v>
      </c>
      <c r="BQ313" s="52">
        <f t="shared" si="517"/>
        <v>0</v>
      </c>
      <c r="BR313" s="52">
        <f t="shared" si="518"/>
        <v>0</v>
      </c>
      <c r="BS313" s="52">
        <f t="shared" si="519"/>
        <v>0</v>
      </c>
      <c r="BT313" s="52">
        <f t="shared" si="520"/>
        <v>0</v>
      </c>
      <c r="BU313" s="52">
        <f t="shared" si="521"/>
        <v>0</v>
      </c>
      <c r="BV313" s="52">
        <f t="shared" si="522"/>
        <v>0</v>
      </c>
      <c r="BW313" s="52">
        <f t="shared" si="523"/>
        <v>0</v>
      </c>
      <c r="BX313" s="52">
        <f t="shared" si="524"/>
        <v>0</v>
      </c>
      <c r="BZ313" s="52">
        <f t="shared" si="528"/>
        <v>0</v>
      </c>
      <c r="CA313" s="52">
        <f t="shared" si="529"/>
        <v>0</v>
      </c>
      <c r="CB313" s="52">
        <f t="shared" si="530"/>
        <v>0</v>
      </c>
      <c r="CC313" s="52">
        <f t="shared" si="531"/>
        <v>0</v>
      </c>
      <c r="CD313" s="52">
        <f t="shared" si="532"/>
        <v>0</v>
      </c>
      <c r="CE313" s="52">
        <f t="shared" si="533"/>
        <v>0</v>
      </c>
      <c r="CF313" s="52">
        <f t="shared" si="534"/>
        <v>0</v>
      </c>
      <c r="CG313" s="52">
        <f t="shared" si="535"/>
        <v>0</v>
      </c>
      <c r="CH313" s="52">
        <f t="shared" si="536"/>
        <v>0</v>
      </c>
      <c r="CI313" s="52">
        <f t="shared" si="537"/>
        <v>0</v>
      </c>
      <c r="CJ313" s="52">
        <f t="shared" si="538"/>
        <v>0</v>
      </c>
      <c r="CK313" s="52">
        <f t="shared" si="539"/>
        <v>0</v>
      </c>
      <c r="CL313" s="52">
        <f t="shared" si="540"/>
        <v>0</v>
      </c>
      <c r="CM313" s="52">
        <f t="shared" si="541"/>
        <v>0</v>
      </c>
      <c r="CN313" s="52">
        <f t="shared" si="542"/>
        <v>0</v>
      </c>
      <c r="CO313" s="52">
        <f t="shared" si="543"/>
        <v>0</v>
      </c>
      <c r="CP313" s="52">
        <f t="shared" si="525"/>
        <v>0</v>
      </c>
      <c r="CQ313" s="52">
        <f t="shared" si="544"/>
        <v>0</v>
      </c>
      <c r="CR313" s="52">
        <f t="shared" si="545"/>
        <v>0</v>
      </c>
      <c r="CS313" s="52">
        <f t="shared" si="546"/>
        <v>0</v>
      </c>
      <c r="CT313" s="52">
        <f t="shared" si="547"/>
        <v>0</v>
      </c>
      <c r="CU313" s="52">
        <f t="shared" si="548"/>
        <v>0</v>
      </c>
      <c r="CV313" s="52">
        <f t="shared" si="549"/>
        <v>0</v>
      </c>
      <c r="CW313" s="52">
        <f t="shared" si="550"/>
        <v>0</v>
      </c>
    </row>
    <row r="314" spans="1:102">
      <c r="A314" s="60">
        <v>45236</v>
      </c>
      <c r="B314" s="426"/>
      <c r="Z314" s="77"/>
      <c r="AB314">
        <f t="shared" si="476"/>
        <v>0</v>
      </c>
      <c r="AC314">
        <f t="shared" si="477"/>
        <v>0</v>
      </c>
      <c r="AD314">
        <f t="shared" si="478"/>
        <v>0</v>
      </c>
      <c r="AE314">
        <f t="shared" si="479"/>
        <v>0</v>
      </c>
      <c r="AF314">
        <f t="shared" si="480"/>
        <v>0</v>
      </c>
      <c r="AG314">
        <f t="shared" si="481"/>
        <v>0</v>
      </c>
      <c r="AH314">
        <f t="shared" si="482"/>
        <v>0</v>
      </c>
      <c r="AI314">
        <f t="shared" si="483"/>
        <v>0</v>
      </c>
      <c r="AJ314">
        <f t="shared" si="484"/>
        <v>0</v>
      </c>
      <c r="AK314">
        <f t="shared" si="485"/>
        <v>0</v>
      </c>
      <c r="AL314">
        <f t="shared" si="486"/>
        <v>0</v>
      </c>
      <c r="AM314">
        <f t="shared" si="487"/>
        <v>0</v>
      </c>
      <c r="AN314">
        <f t="shared" si="488"/>
        <v>0</v>
      </c>
      <c r="AO314">
        <f t="shared" si="489"/>
        <v>0</v>
      </c>
      <c r="AP314">
        <f t="shared" si="490"/>
        <v>0</v>
      </c>
      <c r="AQ314">
        <f t="shared" si="491"/>
        <v>0</v>
      </c>
      <c r="AR314">
        <f t="shared" si="492"/>
        <v>0</v>
      </c>
      <c r="AS314">
        <f t="shared" si="493"/>
        <v>0</v>
      </c>
      <c r="AT314">
        <f t="shared" si="494"/>
        <v>0</v>
      </c>
      <c r="AU314">
        <f t="shared" si="495"/>
        <v>0</v>
      </c>
      <c r="AV314">
        <f t="shared" si="496"/>
        <v>0</v>
      </c>
      <c r="AW314">
        <f t="shared" si="497"/>
        <v>0</v>
      </c>
      <c r="AX314">
        <f t="shared" si="498"/>
        <v>0</v>
      </c>
      <c r="AY314">
        <f t="shared" si="527"/>
        <v>0</v>
      </c>
      <c r="BA314">
        <f t="shared" si="501"/>
        <v>0</v>
      </c>
      <c r="BB314">
        <f t="shared" si="502"/>
        <v>0</v>
      </c>
      <c r="BC314">
        <f t="shared" si="503"/>
        <v>0</v>
      </c>
      <c r="BD314">
        <f t="shared" si="504"/>
        <v>0</v>
      </c>
      <c r="BE314">
        <f t="shared" si="505"/>
        <v>0</v>
      </c>
      <c r="BF314">
        <f t="shared" si="506"/>
        <v>0</v>
      </c>
      <c r="BG314">
        <f t="shared" si="507"/>
        <v>0</v>
      </c>
      <c r="BH314">
        <f t="shared" si="508"/>
        <v>0</v>
      </c>
      <c r="BI314">
        <f t="shared" si="509"/>
        <v>0</v>
      </c>
      <c r="BJ314">
        <f t="shared" si="510"/>
        <v>0</v>
      </c>
      <c r="BK314">
        <f t="shared" si="511"/>
        <v>0</v>
      </c>
      <c r="BL314">
        <f t="shared" si="512"/>
        <v>0</v>
      </c>
      <c r="BM314">
        <f t="shared" si="513"/>
        <v>0</v>
      </c>
      <c r="BN314">
        <f t="shared" si="514"/>
        <v>0</v>
      </c>
      <c r="BO314">
        <f t="shared" si="515"/>
        <v>0</v>
      </c>
      <c r="BP314">
        <f t="shared" si="516"/>
        <v>0</v>
      </c>
      <c r="BQ314">
        <f t="shared" si="517"/>
        <v>0</v>
      </c>
      <c r="BR314">
        <f t="shared" si="518"/>
        <v>0</v>
      </c>
      <c r="BS314">
        <f t="shared" si="519"/>
        <v>0</v>
      </c>
      <c r="BT314">
        <f t="shared" si="520"/>
        <v>0</v>
      </c>
      <c r="BU314">
        <f t="shared" si="521"/>
        <v>0</v>
      </c>
      <c r="BV314">
        <f t="shared" si="522"/>
        <v>0</v>
      </c>
      <c r="BW314">
        <f t="shared" si="523"/>
        <v>0</v>
      </c>
      <c r="BX314">
        <f t="shared" si="524"/>
        <v>0</v>
      </c>
      <c r="BZ314">
        <f t="shared" si="528"/>
        <v>0</v>
      </c>
      <c r="CA314">
        <f t="shared" si="529"/>
        <v>0</v>
      </c>
      <c r="CB314">
        <f t="shared" si="530"/>
        <v>0</v>
      </c>
      <c r="CC314">
        <f t="shared" si="531"/>
        <v>0</v>
      </c>
      <c r="CD314">
        <f t="shared" si="532"/>
        <v>0</v>
      </c>
      <c r="CE314">
        <f t="shared" si="533"/>
        <v>0</v>
      </c>
      <c r="CF314">
        <f t="shared" si="534"/>
        <v>0</v>
      </c>
      <c r="CG314">
        <f t="shared" si="535"/>
        <v>0</v>
      </c>
      <c r="CH314">
        <f t="shared" si="536"/>
        <v>0</v>
      </c>
      <c r="CI314">
        <f t="shared" si="537"/>
        <v>0</v>
      </c>
      <c r="CJ314">
        <f t="shared" si="538"/>
        <v>0</v>
      </c>
      <c r="CK314">
        <f t="shared" si="539"/>
        <v>0</v>
      </c>
      <c r="CL314">
        <f t="shared" si="540"/>
        <v>0</v>
      </c>
      <c r="CM314">
        <f t="shared" si="541"/>
        <v>0</v>
      </c>
      <c r="CN314">
        <f t="shared" si="542"/>
        <v>0</v>
      </c>
      <c r="CO314">
        <f t="shared" si="543"/>
        <v>0</v>
      </c>
      <c r="CP314">
        <f t="shared" si="525"/>
        <v>0</v>
      </c>
      <c r="CQ314">
        <f t="shared" si="544"/>
        <v>0</v>
      </c>
      <c r="CR314">
        <f t="shared" si="545"/>
        <v>0</v>
      </c>
      <c r="CS314">
        <f t="shared" si="546"/>
        <v>0</v>
      </c>
      <c r="CT314">
        <f t="shared" si="547"/>
        <v>0</v>
      </c>
      <c r="CU314">
        <f t="shared" si="548"/>
        <v>0</v>
      </c>
      <c r="CV314">
        <f t="shared" si="549"/>
        <v>0</v>
      </c>
      <c r="CW314">
        <f t="shared" si="550"/>
        <v>0</v>
      </c>
    </row>
    <row r="315" spans="1:102">
      <c r="A315" s="60">
        <v>45237</v>
      </c>
      <c r="B315" s="426"/>
      <c r="Z315" s="77"/>
      <c r="AB315" s="52">
        <f t="shared" si="476"/>
        <v>0</v>
      </c>
      <c r="AC315" s="52">
        <f t="shared" si="477"/>
        <v>0</v>
      </c>
      <c r="AD315" s="52">
        <f t="shared" si="478"/>
        <v>0</v>
      </c>
      <c r="AE315" s="52">
        <f t="shared" si="479"/>
        <v>0</v>
      </c>
      <c r="AF315" s="52">
        <f t="shared" si="480"/>
        <v>0</v>
      </c>
      <c r="AG315" s="52">
        <f t="shared" si="481"/>
        <v>0</v>
      </c>
      <c r="AH315" s="52">
        <f t="shared" si="482"/>
        <v>0</v>
      </c>
      <c r="AI315" s="52">
        <f t="shared" si="483"/>
        <v>0</v>
      </c>
      <c r="AJ315" s="52">
        <f t="shared" si="484"/>
        <v>0</v>
      </c>
      <c r="AK315" s="52">
        <f t="shared" si="485"/>
        <v>0</v>
      </c>
      <c r="AL315" s="52">
        <f t="shared" si="486"/>
        <v>0</v>
      </c>
      <c r="AM315" s="52">
        <f t="shared" si="487"/>
        <v>0</v>
      </c>
      <c r="AN315" s="52">
        <f t="shared" si="488"/>
        <v>0</v>
      </c>
      <c r="AO315" s="52">
        <f t="shared" si="489"/>
        <v>0</v>
      </c>
      <c r="AP315" s="52">
        <f t="shared" si="490"/>
        <v>0</v>
      </c>
      <c r="AQ315" s="52">
        <f t="shared" si="491"/>
        <v>0</v>
      </c>
      <c r="AR315" s="52">
        <f t="shared" si="492"/>
        <v>0</v>
      </c>
      <c r="AS315" s="52">
        <f t="shared" si="493"/>
        <v>0</v>
      </c>
      <c r="AT315" s="52">
        <f t="shared" si="494"/>
        <v>0</v>
      </c>
      <c r="AU315" s="52">
        <f t="shared" si="495"/>
        <v>0</v>
      </c>
      <c r="AV315" s="52">
        <f t="shared" si="496"/>
        <v>0</v>
      </c>
      <c r="AW315" s="52">
        <f t="shared" si="497"/>
        <v>0</v>
      </c>
      <c r="AX315" s="52">
        <f t="shared" si="498"/>
        <v>0</v>
      </c>
      <c r="AY315" s="52">
        <f t="shared" si="527"/>
        <v>0</v>
      </c>
      <c r="BA315" s="52">
        <f t="shared" si="501"/>
        <v>0</v>
      </c>
      <c r="BB315" s="52">
        <f t="shared" si="502"/>
        <v>0</v>
      </c>
      <c r="BC315" s="52">
        <f t="shared" si="503"/>
        <v>0</v>
      </c>
      <c r="BD315" s="52">
        <f t="shared" si="504"/>
        <v>0</v>
      </c>
      <c r="BE315" s="52">
        <f t="shared" si="505"/>
        <v>0</v>
      </c>
      <c r="BF315" s="52">
        <f t="shared" si="506"/>
        <v>0</v>
      </c>
      <c r="BG315" s="52">
        <f t="shared" si="507"/>
        <v>0</v>
      </c>
      <c r="BH315" s="52">
        <f t="shared" si="508"/>
        <v>0</v>
      </c>
      <c r="BI315" s="52">
        <f t="shared" si="509"/>
        <v>0</v>
      </c>
      <c r="BJ315" s="52">
        <f t="shared" si="510"/>
        <v>0</v>
      </c>
      <c r="BK315" s="52">
        <f t="shared" si="511"/>
        <v>0</v>
      </c>
      <c r="BL315" s="52">
        <f t="shared" si="512"/>
        <v>0</v>
      </c>
      <c r="BM315" s="52">
        <f t="shared" si="513"/>
        <v>0</v>
      </c>
      <c r="BN315" s="52">
        <f t="shared" si="514"/>
        <v>0</v>
      </c>
      <c r="BO315" s="52">
        <f t="shared" si="515"/>
        <v>0</v>
      </c>
      <c r="BP315" s="52">
        <f t="shared" si="516"/>
        <v>0</v>
      </c>
      <c r="BQ315" s="52">
        <f t="shared" si="517"/>
        <v>0</v>
      </c>
      <c r="BR315" s="52">
        <f t="shared" si="518"/>
        <v>0</v>
      </c>
      <c r="BS315" s="52">
        <f t="shared" si="519"/>
        <v>0</v>
      </c>
      <c r="BT315" s="52">
        <f t="shared" si="520"/>
        <v>0</v>
      </c>
      <c r="BU315" s="52">
        <f t="shared" si="521"/>
        <v>0</v>
      </c>
      <c r="BV315" s="52">
        <f t="shared" si="522"/>
        <v>0</v>
      </c>
      <c r="BW315" s="52">
        <f t="shared" si="523"/>
        <v>0</v>
      </c>
      <c r="BX315" s="52">
        <f t="shared" si="524"/>
        <v>0</v>
      </c>
      <c r="BZ315" s="52">
        <f t="shared" si="528"/>
        <v>0</v>
      </c>
      <c r="CA315" s="52">
        <f t="shared" si="529"/>
        <v>0</v>
      </c>
      <c r="CB315" s="52">
        <f t="shared" si="530"/>
        <v>0</v>
      </c>
      <c r="CC315" s="52">
        <f t="shared" si="531"/>
        <v>0</v>
      </c>
      <c r="CD315" s="52">
        <f t="shared" si="532"/>
        <v>0</v>
      </c>
      <c r="CE315" s="52">
        <f t="shared" si="533"/>
        <v>0</v>
      </c>
      <c r="CF315" s="52">
        <f t="shared" si="534"/>
        <v>0</v>
      </c>
      <c r="CG315" s="52">
        <f t="shared" si="535"/>
        <v>0</v>
      </c>
      <c r="CH315" s="52">
        <f t="shared" si="536"/>
        <v>0</v>
      </c>
      <c r="CI315" s="52">
        <f t="shared" si="537"/>
        <v>0</v>
      </c>
      <c r="CJ315" s="52">
        <f t="shared" si="538"/>
        <v>0</v>
      </c>
      <c r="CK315" s="52">
        <f t="shared" si="539"/>
        <v>0</v>
      </c>
      <c r="CL315" s="52">
        <f t="shared" si="540"/>
        <v>0</v>
      </c>
      <c r="CM315" s="52">
        <f t="shared" si="541"/>
        <v>0</v>
      </c>
      <c r="CN315" s="52">
        <f t="shared" si="542"/>
        <v>0</v>
      </c>
      <c r="CO315" s="52">
        <f t="shared" si="543"/>
        <v>0</v>
      </c>
      <c r="CP315" s="52">
        <f t="shared" si="525"/>
        <v>0</v>
      </c>
      <c r="CQ315" s="52">
        <f t="shared" si="544"/>
        <v>0</v>
      </c>
      <c r="CR315" s="52">
        <f t="shared" si="545"/>
        <v>0</v>
      </c>
      <c r="CS315" s="52">
        <f t="shared" si="546"/>
        <v>0</v>
      </c>
      <c r="CT315" s="52">
        <f t="shared" si="547"/>
        <v>0</v>
      </c>
      <c r="CU315" s="52">
        <f t="shared" si="548"/>
        <v>0</v>
      </c>
      <c r="CV315" s="52">
        <f t="shared" si="549"/>
        <v>0</v>
      </c>
      <c r="CW315" s="52">
        <f t="shared" si="550"/>
        <v>0</v>
      </c>
    </row>
    <row r="316" spans="1:102">
      <c r="A316" s="60">
        <v>45238</v>
      </c>
      <c r="B316" s="426"/>
      <c r="Z316" s="77"/>
      <c r="AB316">
        <f t="shared" si="476"/>
        <v>0</v>
      </c>
      <c r="AC316">
        <f t="shared" si="477"/>
        <v>0</v>
      </c>
      <c r="AD316">
        <f t="shared" si="478"/>
        <v>0</v>
      </c>
      <c r="AE316">
        <f t="shared" si="479"/>
        <v>0</v>
      </c>
      <c r="AF316">
        <f t="shared" si="480"/>
        <v>0</v>
      </c>
      <c r="AG316">
        <f t="shared" si="481"/>
        <v>0</v>
      </c>
      <c r="AH316">
        <f t="shared" si="482"/>
        <v>0</v>
      </c>
      <c r="AI316">
        <f t="shared" si="483"/>
        <v>0</v>
      </c>
      <c r="AJ316">
        <f t="shared" si="484"/>
        <v>0</v>
      </c>
      <c r="AK316">
        <f t="shared" si="485"/>
        <v>0</v>
      </c>
      <c r="AL316">
        <f t="shared" si="486"/>
        <v>0</v>
      </c>
      <c r="AM316">
        <f t="shared" si="487"/>
        <v>0</v>
      </c>
      <c r="AN316">
        <f t="shared" si="488"/>
        <v>0</v>
      </c>
      <c r="AO316">
        <f t="shared" si="489"/>
        <v>0</v>
      </c>
      <c r="AP316">
        <f t="shared" si="490"/>
        <v>0</v>
      </c>
      <c r="AQ316">
        <f t="shared" si="491"/>
        <v>0</v>
      </c>
      <c r="AR316">
        <f t="shared" si="492"/>
        <v>0</v>
      </c>
      <c r="AS316">
        <f t="shared" si="493"/>
        <v>0</v>
      </c>
      <c r="AT316">
        <f t="shared" si="494"/>
        <v>0</v>
      </c>
      <c r="AU316">
        <f t="shared" si="495"/>
        <v>0</v>
      </c>
      <c r="AV316">
        <f t="shared" si="496"/>
        <v>0</v>
      </c>
      <c r="AW316">
        <f t="shared" si="497"/>
        <v>0</v>
      </c>
      <c r="AX316">
        <f t="shared" si="498"/>
        <v>0</v>
      </c>
      <c r="AY316">
        <f t="shared" si="527"/>
        <v>0</v>
      </c>
      <c r="BA316">
        <f t="shared" si="501"/>
        <v>0</v>
      </c>
      <c r="BB316">
        <f t="shared" si="502"/>
        <v>0</v>
      </c>
      <c r="BC316">
        <f t="shared" si="503"/>
        <v>0</v>
      </c>
      <c r="BD316">
        <f t="shared" si="504"/>
        <v>0</v>
      </c>
      <c r="BE316">
        <f t="shared" si="505"/>
        <v>0</v>
      </c>
      <c r="BF316">
        <f t="shared" si="506"/>
        <v>0</v>
      </c>
      <c r="BG316">
        <f t="shared" si="507"/>
        <v>0</v>
      </c>
      <c r="BH316">
        <f t="shared" si="508"/>
        <v>0</v>
      </c>
      <c r="BI316">
        <f t="shared" si="509"/>
        <v>0</v>
      </c>
      <c r="BJ316">
        <f t="shared" si="510"/>
        <v>0</v>
      </c>
      <c r="BK316">
        <f t="shared" si="511"/>
        <v>0</v>
      </c>
      <c r="BL316">
        <f t="shared" si="512"/>
        <v>0</v>
      </c>
      <c r="BM316">
        <f t="shared" si="513"/>
        <v>0</v>
      </c>
      <c r="BN316">
        <f t="shared" si="514"/>
        <v>0</v>
      </c>
      <c r="BO316">
        <f t="shared" si="515"/>
        <v>0</v>
      </c>
      <c r="BP316">
        <f t="shared" si="516"/>
        <v>0</v>
      </c>
      <c r="BQ316">
        <f t="shared" si="517"/>
        <v>0</v>
      </c>
      <c r="BR316">
        <f t="shared" si="518"/>
        <v>0</v>
      </c>
      <c r="BS316">
        <f t="shared" si="519"/>
        <v>0</v>
      </c>
      <c r="BT316">
        <f t="shared" si="520"/>
        <v>0</v>
      </c>
      <c r="BU316">
        <f t="shared" si="521"/>
        <v>0</v>
      </c>
      <c r="BV316">
        <f t="shared" si="522"/>
        <v>0</v>
      </c>
      <c r="BW316">
        <f t="shared" si="523"/>
        <v>0</v>
      </c>
      <c r="BX316">
        <f t="shared" si="524"/>
        <v>0</v>
      </c>
      <c r="BZ316">
        <f t="shared" si="528"/>
        <v>0</v>
      </c>
      <c r="CA316">
        <f t="shared" si="529"/>
        <v>0</v>
      </c>
      <c r="CB316">
        <f t="shared" si="530"/>
        <v>0</v>
      </c>
      <c r="CC316">
        <f t="shared" si="531"/>
        <v>0</v>
      </c>
      <c r="CD316">
        <f t="shared" si="532"/>
        <v>0</v>
      </c>
      <c r="CE316">
        <f t="shared" si="533"/>
        <v>0</v>
      </c>
      <c r="CF316">
        <f t="shared" si="534"/>
        <v>0</v>
      </c>
      <c r="CG316">
        <f t="shared" si="535"/>
        <v>0</v>
      </c>
      <c r="CH316">
        <f t="shared" si="536"/>
        <v>0</v>
      </c>
      <c r="CI316">
        <f t="shared" si="537"/>
        <v>0</v>
      </c>
      <c r="CJ316">
        <f t="shared" si="538"/>
        <v>0</v>
      </c>
      <c r="CK316">
        <f t="shared" si="539"/>
        <v>0</v>
      </c>
      <c r="CL316">
        <f t="shared" si="540"/>
        <v>0</v>
      </c>
      <c r="CM316">
        <f t="shared" si="541"/>
        <v>0</v>
      </c>
      <c r="CN316">
        <f t="shared" si="542"/>
        <v>0</v>
      </c>
      <c r="CO316">
        <f t="shared" si="543"/>
        <v>0</v>
      </c>
      <c r="CP316">
        <f t="shared" ref="CP316:CP338" si="551">BQ316-BP316</f>
        <v>0</v>
      </c>
      <c r="CQ316">
        <f t="shared" si="544"/>
        <v>0</v>
      </c>
      <c r="CR316">
        <f t="shared" si="545"/>
        <v>0</v>
      </c>
      <c r="CS316">
        <f t="shared" si="546"/>
        <v>0</v>
      </c>
      <c r="CT316">
        <f t="shared" si="547"/>
        <v>0</v>
      </c>
      <c r="CU316">
        <f t="shared" si="548"/>
        <v>0</v>
      </c>
      <c r="CV316">
        <f t="shared" si="549"/>
        <v>0</v>
      </c>
      <c r="CW316">
        <f t="shared" si="550"/>
        <v>0</v>
      </c>
    </row>
    <row r="317" spans="1:102">
      <c r="A317" s="60">
        <v>45239</v>
      </c>
      <c r="B317" s="426"/>
      <c r="Z317" s="77"/>
      <c r="AB317" s="52">
        <f t="shared" si="476"/>
        <v>0</v>
      </c>
      <c r="AC317" s="52">
        <f t="shared" si="477"/>
        <v>0</v>
      </c>
      <c r="AD317" s="52">
        <f t="shared" si="478"/>
        <v>0</v>
      </c>
      <c r="AE317" s="52">
        <f t="shared" si="479"/>
        <v>0</v>
      </c>
      <c r="AF317" s="52">
        <f t="shared" si="480"/>
        <v>0</v>
      </c>
      <c r="AG317" s="52">
        <f t="shared" si="481"/>
        <v>0</v>
      </c>
      <c r="AH317" s="52">
        <f t="shared" si="482"/>
        <v>0</v>
      </c>
      <c r="AI317" s="52">
        <f t="shared" si="483"/>
        <v>0</v>
      </c>
      <c r="AJ317" s="52">
        <f t="shared" si="484"/>
        <v>0</v>
      </c>
      <c r="AK317" s="52">
        <f t="shared" si="485"/>
        <v>0</v>
      </c>
      <c r="AL317" s="52">
        <f t="shared" si="486"/>
        <v>0</v>
      </c>
      <c r="AM317" s="52">
        <f t="shared" si="487"/>
        <v>0</v>
      </c>
      <c r="AN317" s="52">
        <f t="shared" si="488"/>
        <v>0</v>
      </c>
      <c r="AO317" s="52">
        <f t="shared" si="489"/>
        <v>0</v>
      </c>
      <c r="AP317" s="52">
        <f t="shared" si="490"/>
        <v>0</v>
      </c>
      <c r="AQ317" s="52">
        <f t="shared" si="491"/>
        <v>0</v>
      </c>
      <c r="AR317" s="52">
        <f t="shared" si="492"/>
        <v>0</v>
      </c>
      <c r="AS317" s="52">
        <f t="shared" si="493"/>
        <v>0</v>
      </c>
      <c r="AT317" s="52">
        <f t="shared" si="494"/>
        <v>0</v>
      </c>
      <c r="AU317" s="52">
        <f t="shared" si="495"/>
        <v>0</v>
      </c>
      <c r="AV317" s="52">
        <f t="shared" si="496"/>
        <v>0</v>
      </c>
      <c r="AW317" s="52">
        <f t="shared" si="497"/>
        <v>0</v>
      </c>
      <c r="AX317" s="52">
        <f t="shared" si="498"/>
        <v>0</v>
      </c>
      <c r="AY317" s="52">
        <f t="shared" si="527"/>
        <v>0</v>
      </c>
      <c r="BA317" s="52">
        <f t="shared" si="501"/>
        <v>0</v>
      </c>
      <c r="BB317" s="52">
        <f t="shared" si="502"/>
        <v>0</v>
      </c>
      <c r="BC317" s="52">
        <f t="shared" si="503"/>
        <v>0</v>
      </c>
      <c r="BD317" s="52">
        <f t="shared" si="504"/>
        <v>0</v>
      </c>
      <c r="BE317" s="52">
        <f t="shared" si="505"/>
        <v>0</v>
      </c>
      <c r="BF317" s="52">
        <f t="shared" si="506"/>
        <v>0</v>
      </c>
      <c r="BG317" s="52">
        <f t="shared" si="507"/>
        <v>0</v>
      </c>
      <c r="BH317" s="52">
        <f t="shared" si="508"/>
        <v>0</v>
      </c>
      <c r="BI317" s="52">
        <f t="shared" si="509"/>
        <v>0</v>
      </c>
      <c r="BJ317" s="52">
        <f t="shared" si="510"/>
        <v>0</v>
      </c>
      <c r="BK317" s="52">
        <f t="shared" si="511"/>
        <v>0</v>
      </c>
      <c r="BL317" s="52">
        <f t="shared" si="512"/>
        <v>0</v>
      </c>
      <c r="BM317" s="52">
        <f t="shared" si="513"/>
        <v>0</v>
      </c>
      <c r="BN317" s="52">
        <f t="shared" si="514"/>
        <v>0</v>
      </c>
      <c r="BO317" s="52">
        <f t="shared" si="515"/>
        <v>0</v>
      </c>
      <c r="BP317" s="52">
        <f t="shared" si="516"/>
        <v>0</v>
      </c>
      <c r="BQ317" s="52">
        <f t="shared" si="517"/>
        <v>0</v>
      </c>
      <c r="BR317" s="52">
        <f t="shared" si="518"/>
        <v>0</v>
      </c>
      <c r="BS317" s="52">
        <f t="shared" si="519"/>
        <v>0</v>
      </c>
      <c r="BT317" s="52">
        <f t="shared" si="520"/>
        <v>0</v>
      </c>
      <c r="BU317" s="52">
        <f t="shared" si="521"/>
        <v>0</v>
      </c>
      <c r="BV317" s="52">
        <f t="shared" si="522"/>
        <v>0</v>
      </c>
      <c r="BW317" s="52">
        <f t="shared" si="523"/>
        <v>0</v>
      </c>
      <c r="BX317" s="52">
        <f t="shared" si="524"/>
        <v>0</v>
      </c>
      <c r="BZ317" s="52">
        <f t="shared" si="528"/>
        <v>0</v>
      </c>
      <c r="CA317" s="52">
        <f t="shared" si="529"/>
        <v>0</v>
      </c>
      <c r="CB317" s="52">
        <f t="shared" si="530"/>
        <v>0</v>
      </c>
      <c r="CC317" s="52">
        <f t="shared" si="531"/>
        <v>0</v>
      </c>
      <c r="CD317" s="52">
        <f t="shared" si="532"/>
        <v>0</v>
      </c>
      <c r="CE317" s="52">
        <f t="shared" si="533"/>
        <v>0</v>
      </c>
      <c r="CF317" s="52">
        <f t="shared" si="534"/>
        <v>0</v>
      </c>
      <c r="CG317" s="52">
        <f t="shared" si="535"/>
        <v>0</v>
      </c>
      <c r="CH317" s="52">
        <f t="shared" si="536"/>
        <v>0</v>
      </c>
      <c r="CI317" s="52">
        <f t="shared" si="537"/>
        <v>0</v>
      </c>
      <c r="CJ317" s="52">
        <f t="shared" si="538"/>
        <v>0</v>
      </c>
      <c r="CK317" s="52">
        <f t="shared" si="539"/>
        <v>0</v>
      </c>
      <c r="CL317" s="52">
        <f t="shared" si="540"/>
        <v>0</v>
      </c>
      <c r="CM317" s="52">
        <f t="shared" si="541"/>
        <v>0</v>
      </c>
      <c r="CN317" s="52">
        <f t="shared" si="542"/>
        <v>0</v>
      </c>
      <c r="CO317" s="52">
        <f t="shared" si="543"/>
        <v>0</v>
      </c>
      <c r="CP317" s="52">
        <f t="shared" si="551"/>
        <v>0</v>
      </c>
      <c r="CQ317" s="52">
        <f t="shared" si="544"/>
        <v>0</v>
      </c>
      <c r="CR317" s="52">
        <f t="shared" si="545"/>
        <v>0</v>
      </c>
      <c r="CS317" s="52">
        <f t="shared" si="546"/>
        <v>0</v>
      </c>
      <c r="CT317" s="52">
        <f t="shared" si="547"/>
        <v>0</v>
      </c>
      <c r="CU317" s="52">
        <f t="shared" si="548"/>
        <v>0</v>
      </c>
      <c r="CV317" s="52">
        <f t="shared" si="549"/>
        <v>0</v>
      </c>
      <c r="CW317" s="52">
        <f t="shared" si="550"/>
        <v>0</v>
      </c>
    </row>
    <row r="318" spans="1:102">
      <c r="A318" s="60">
        <v>45240</v>
      </c>
      <c r="B318" s="426"/>
      <c r="Z318" s="77"/>
      <c r="AB318">
        <f t="shared" si="476"/>
        <v>0</v>
      </c>
      <c r="AC318">
        <f t="shared" si="477"/>
        <v>0</v>
      </c>
      <c r="AD318">
        <f t="shared" si="478"/>
        <v>0</v>
      </c>
      <c r="AE318">
        <f t="shared" si="479"/>
        <v>0</v>
      </c>
      <c r="AF318">
        <f t="shared" si="480"/>
        <v>0</v>
      </c>
      <c r="AG318">
        <f t="shared" si="481"/>
        <v>0</v>
      </c>
      <c r="AH318">
        <f t="shared" si="482"/>
        <v>0</v>
      </c>
      <c r="AI318">
        <f t="shared" si="483"/>
        <v>0</v>
      </c>
      <c r="AJ318">
        <f t="shared" si="484"/>
        <v>0</v>
      </c>
      <c r="AK318">
        <f t="shared" si="485"/>
        <v>0</v>
      </c>
      <c r="AL318">
        <f t="shared" si="486"/>
        <v>0</v>
      </c>
      <c r="AM318">
        <f t="shared" si="487"/>
        <v>0</v>
      </c>
      <c r="AN318">
        <f t="shared" si="488"/>
        <v>0</v>
      </c>
      <c r="AO318">
        <f t="shared" si="489"/>
        <v>0</v>
      </c>
      <c r="AP318">
        <f t="shared" si="490"/>
        <v>0</v>
      </c>
      <c r="AQ318">
        <f t="shared" si="491"/>
        <v>0</v>
      </c>
      <c r="AR318">
        <f t="shared" si="492"/>
        <v>0</v>
      </c>
      <c r="AS318">
        <f t="shared" si="493"/>
        <v>0</v>
      </c>
      <c r="AT318">
        <f t="shared" si="494"/>
        <v>0</v>
      </c>
      <c r="AU318">
        <f t="shared" si="495"/>
        <v>0</v>
      </c>
      <c r="AV318">
        <f t="shared" si="496"/>
        <v>0</v>
      </c>
      <c r="AW318">
        <f t="shared" si="497"/>
        <v>0</v>
      </c>
      <c r="AX318">
        <f t="shared" si="498"/>
        <v>0</v>
      </c>
      <c r="AY318">
        <f t="shared" si="527"/>
        <v>0</v>
      </c>
      <c r="BA318">
        <f t="shared" si="501"/>
        <v>0</v>
      </c>
      <c r="BB318">
        <f t="shared" si="502"/>
        <v>0</v>
      </c>
      <c r="BC318">
        <f t="shared" si="503"/>
        <v>0</v>
      </c>
      <c r="BD318">
        <f t="shared" si="504"/>
        <v>0</v>
      </c>
      <c r="BE318">
        <f t="shared" si="505"/>
        <v>0</v>
      </c>
      <c r="BF318">
        <f t="shared" si="506"/>
        <v>0</v>
      </c>
      <c r="BG318">
        <f t="shared" si="507"/>
        <v>0</v>
      </c>
      <c r="BH318">
        <f t="shared" si="508"/>
        <v>0</v>
      </c>
      <c r="BI318">
        <f t="shared" si="509"/>
        <v>0</v>
      </c>
      <c r="BJ318">
        <f t="shared" si="510"/>
        <v>0</v>
      </c>
      <c r="BK318">
        <f t="shared" si="511"/>
        <v>0</v>
      </c>
      <c r="BL318">
        <f t="shared" si="512"/>
        <v>0</v>
      </c>
      <c r="BM318">
        <f t="shared" si="513"/>
        <v>0</v>
      </c>
      <c r="BN318">
        <f t="shared" si="514"/>
        <v>0</v>
      </c>
      <c r="BO318">
        <f t="shared" si="515"/>
        <v>0</v>
      </c>
      <c r="BP318">
        <f t="shared" si="516"/>
        <v>0</v>
      </c>
      <c r="BQ318">
        <f t="shared" si="517"/>
        <v>0</v>
      </c>
      <c r="BR318">
        <f t="shared" si="518"/>
        <v>0</v>
      </c>
      <c r="BS318">
        <f t="shared" si="519"/>
        <v>0</v>
      </c>
      <c r="BT318">
        <f t="shared" si="520"/>
        <v>0</v>
      </c>
      <c r="BU318">
        <f t="shared" si="521"/>
        <v>0</v>
      </c>
      <c r="BV318">
        <f t="shared" si="522"/>
        <v>0</v>
      </c>
      <c r="BW318">
        <f t="shared" si="523"/>
        <v>0</v>
      </c>
      <c r="BX318">
        <f t="shared" si="524"/>
        <v>0</v>
      </c>
      <c r="BZ318">
        <f t="shared" si="528"/>
        <v>0</v>
      </c>
      <c r="CA318">
        <f t="shared" si="529"/>
        <v>0</v>
      </c>
      <c r="CB318">
        <f t="shared" si="530"/>
        <v>0</v>
      </c>
      <c r="CC318">
        <f t="shared" si="531"/>
        <v>0</v>
      </c>
      <c r="CD318">
        <f t="shared" si="532"/>
        <v>0</v>
      </c>
      <c r="CE318">
        <f t="shared" si="533"/>
        <v>0</v>
      </c>
      <c r="CF318">
        <f t="shared" si="534"/>
        <v>0</v>
      </c>
      <c r="CG318">
        <f t="shared" si="535"/>
        <v>0</v>
      </c>
      <c r="CH318">
        <f t="shared" si="536"/>
        <v>0</v>
      </c>
      <c r="CI318">
        <f t="shared" si="537"/>
        <v>0</v>
      </c>
      <c r="CJ318">
        <f t="shared" si="538"/>
        <v>0</v>
      </c>
      <c r="CK318">
        <f t="shared" si="539"/>
        <v>0</v>
      </c>
      <c r="CL318">
        <f t="shared" si="540"/>
        <v>0</v>
      </c>
      <c r="CM318">
        <f t="shared" si="541"/>
        <v>0</v>
      </c>
      <c r="CN318">
        <f t="shared" si="542"/>
        <v>0</v>
      </c>
      <c r="CO318">
        <f t="shared" si="543"/>
        <v>0</v>
      </c>
      <c r="CP318">
        <f t="shared" si="551"/>
        <v>0</v>
      </c>
      <c r="CQ318">
        <f t="shared" si="544"/>
        <v>0</v>
      </c>
      <c r="CR318">
        <f t="shared" si="545"/>
        <v>0</v>
      </c>
      <c r="CS318">
        <f t="shared" si="546"/>
        <v>0</v>
      </c>
      <c r="CT318">
        <f t="shared" si="547"/>
        <v>0</v>
      </c>
      <c r="CU318">
        <f t="shared" si="548"/>
        <v>0</v>
      </c>
      <c r="CV318">
        <f t="shared" si="549"/>
        <v>0</v>
      </c>
      <c r="CW318">
        <f t="shared" si="550"/>
        <v>0</v>
      </c>
    </row>
    <row r="319" spans="1:102">
      <c r="A319" s="60">
        <v>45241</v>
      </c>
      <c r="B319" s="426"/>
      <c r="Z319" s="77"/>
      <c r="AB319" s="52">
        <f t="shared" si="476"/>
        <v>0</v>
      </c>
      <c r="AC319" s="52">
        <f t="shared" si="477"/>
        <v>0</v>
      </c>
      <c r="AD319" s="52">
        <f t="shared" si="478"/>
        <v>0</v>
      </c>
      <c r="AE319" s="52">
        <f t="shared" si="479"/>
        <v>0</v>
      </c>
      <c r="AF319" s="52">
        <f t="shared" si="480"/>
        <v>0</v>
      </c>
      <c r="AG319" s="52">
        <f t="shared" si="481"/>
        <v>0</v>
      </c>
      <c r="AH319" s="52">
        <f t="shared" si="482"/>
        <v>0</v>
      </c>
      <c r="AI319" s="52">
        <f t="shared" si="483"/>
        <v>0</v>
      </c>
      <c r="AJ319" s="52">
        <f t="shared" si="484"/>
        <v>0</v>
      </c>
      <c r="AK319" s="52">
        <f t="shared" si="485"/>
        <v>0</v>
      </c>
      <c r="AL319" s="52">
        <f t="shared" si="486"/>
        <v>0</v>
      </c>
      <c r="AM319" s="52">
        <f t="shared" si="487"/>
        <v>0</v>
      </c>
      <c r="AN319" s="52">
        <f t="shared" si="488"/>
        <v>0</v>
      </c>
      <c r="AO319" s="52">
        <f t="shared" si="489"/>
        <v>0</v>
      </c>
      <c r="AP319" s="52">
        <f t="shared" si="490"/>
        <v>0</v>
      </c>
      <c r="AQ319" s="52">
        <f t="shared" si="491"/>
        <v>0</v>
      </c>
      <c r="AR319" s="52">
        <f t="shared" si="492"/>
        <v>0</v>
      </c>
      <c r="AS319" s="52">
        <f t="shared" si="493"/>
        <v>0</v>
      </c>
      <c r="AT319" s="52">
        <f t="shared" si="494"/>
        <v>0</v>
      </c>
      <c r="AU319" s="52">
        <f t="shared" si="495"/>
        <v>0</v>
      </c>
      <c r="AV319" s="52">
        <f t="shared" si="496"/>
        <v>0</v>
      </c>
      <c r="AW319" s="52">
        <f t="shared" si="497"/>
        <v>0</v>
      </c>
      <c r="AX319" s="52">
        <f t="shared" si="498"/>
        <v>0</v>
      </c>
      <c r="AY319" s="52">
        <f t="shared" si="527"/>
        <v>0</v>
      </c>
      <c r="BA319" s="52">
        <f t="shared" si="501"/>
        <v>0</v>
      </c>
      <c r="BB319" s="52">
        <f t="shared" si="502"/>
        <v>0</v>
      </c>
      <c r="BC319" s="52">
        <f t="shared" si="503"/>
        <v>0</v>
      </c>
      <c r="BD319" s="52">
        <f t="shared" si="504"/>
        <v>0</v>
      </c>
      <c r="BE319" s="52">
        <f t="shared" si="505"/>
        <v>0</v>
      </c>
      <c r="BF319" s="52">
        <f t="shared" si="506"/>
        <v>0</v>
      </c>
      <c r="BG319" s="52">
        <f t="shared" si="507"/>
        <v>0</v>
      </c>
      <c r="BH319" s="52">
        <f t="shared" si="508"/>
        <v>0</v>
      </c>
      <c r="BI319" s="52">
        <f t="shared" si="509"/>
        <v>0</v>
      </c>
      <c r="BJ319" s="52">
        <f t="shared" si="510"/>
        <v>0</v>
      </c>
      <c r="BK319" s="52">
        <f t="shared" si="511"/>
        <v>0</v>
      </c>
      <c r="BL319" s="52">
        <f t="shared" si="512"/>
        <v>0</v>
      </c>
      <c r="BM319" s="52">
        <f t="shared" si="513"/>
        <v>0</v>
      </c>
      <c r="BN319" s="52">
        <f t="shared" si="514"/>
        <v>0</v>
      </c>
      <c r="BO319" s="52">
        <f t="shared" si="515"/>
        <v>0</v>
      </c>
      <c r="BP319" s="52">
        <f t="shared" si="516"/>
        <v>0</v>
      </c>
      <c r="BQ319" s="52">
        <f t="shared" si="517"/>
        <v>0</v>
      </c>
      <c r="BR319" s="52">
        <f t="shared" si="518"/>
        <v>0</v>
      </c>
      <c r="BS319" s="52">
        <f t="shared" si="519"/>
        <v>0</v>
      </c>
      <c r="BT319" s="52">
        <f t="shared" si="520"/>
        <v>0</v>
      </c>
      <c r="BU319" s="52">
        <f t="shared" si="521"/>
        <v>0</v>
      </c>
      <c r="BV319" s="52">
        <f t="shared" si="522"/>
        <v>0</v>
      </c>
      <c r="BW319" s="52">
        <f t="shared" si="523"/>
        <v>0</v>
      </c>
      <c r="BX319" s="52">
        <f t="shared" si="524"/>
        <v>0</v>
      </c>
      <c r="BZ319" s="52">
        <f t="shared" si="528"/>
        <v>0</v>
      </c>
      <c r="CA319" s="52">
        <f t="shared" si="529"/>
        <v>0</v>
      </c>
      <c r="CB319" s="52">
        <f t="shared" si="530"/>
        <v>0</v>
      </c>
      <c r="CC319" s="52">
        <f t="shared" si="531"/>
        <v>0</v>
      </c>
      <c r="CD319" s="52">
        <f t="shared" si="532"/>
        <v>0</v>
      </c>
      <c r="CE319" s="52">
        <f t="shared" si="533"/>
        <v>0</v>
      </c>
      <c r="CF319" s="52">
        <f t="shared" si="534"/>
        <v>0</v>
      </c>
      <c r="CG319" s="52">
        <f t="shared" si="535"/>
        <v>0</v>
      </c>
      <c r="CH319" s="52">
        <f t="shared" si="536"/>
        <v>0</v>
      </c>
      <c r="CI319" s="52">
        <f t="shared" si="537"/>
        <v>0</v>
      </c>
      <c r="CJ319" s="52">
        <f t="shared" si="538"/>
        <v>0</v>
      </c>
      <c r="CK319" s="52">
        <f t="shared" si="539"/>
        <v>0</v>
      </c>
      <c r="CL319" s="52">
        <f t="shared" si="540"/>
        <v>0</v>
      </c>
      <c r="CM319" s="52">
        <f t="shared" si="541"/>
        <v>0</v>
      </c>
      <c r="CN319" s="52">
        <f t="shared" si="542"/>
        <v>0</v>
      </c>
      <c r="CO319" s="52">
        <f t="shared" si="543"/>
        <v>0</v>
      </c>
      <c r="CP319" s="52">
        <f t="shared" si="551"/>
        <v>0</v>
      </c>
      <c r="CQ319" s="52">
        <f t="shared" si="544"/>
        <v>0</v>
      </c>
      <c r="CR319" s="52">
        <f t="shared" si="545"/>
        <v>0</v>
      </c>
      <c r="CS319" s="52">
        <f t="shared" si="546"/>
        <v>0</v>
      </c>
      <c r="CT319" s="52">
        <f t="shared" si="547"/>
        <v>0</v>
      </c>
      <c r="CU319" s="52">
        <f t="shared" si="548"/>
        <v>0</v>
      </c>
      <c r="CV319" s="52">
        <f t="shared" si="549"/>
        <v>0</v>
      </c>
      <c r="CW319" s="52">
        <f t="shared" si="550"/>
        <v>0</v>
      </c>
    </row>
    <row r="320" spans="1:102">
      <c r="A320" s="60">
        <v>45242</v>
      </c>
      <c r="B320" s="426"/>
      <c r="Z320" s="77"/>
      <c r="AB320">
        <f t="shared" si="476"/>
        <v>0</v>
      </c>
      <c r="AC320">
        <f t="shared" si="477"/>
        <v>0</v>
      </c>
      <c r="AD320">
        <f t="shared" si="478"/>
        <v>0</v>
      </c>
      <c r="AE320">
        <f t="shared" si="479"/>
        <v>0</v>
      </c>
      <c r="AF320">
        <f t="shared" si="480"/>
        <v>0</v>
      </c>
      <c r="AG320">
        <f t="shared" si="481"/>
        <v>0</v>
      </c>
      <c r="AH320">
        <f t="shared" si="482"/>
        <v>0</v>
      </c>
      <c r="AI320">
        <f t="shared" si="483"/>
        <v>0</v>
      </c>
      <c r="AJ320">
        <f t="shared" si="484"/>
        <v>0</v>
      </c>
      <c r="AK320">
        <f t="shared" si="485"/>
        <v>0</v>
      </c>
      <c r="AL320">
        <f t="shared" si="486"/>
        <v>0</v>
      </c>
      <c r="AM320">
        <f t="shared" si="487"/>
        <v>0</v>
      </c>
      <c r="AN320">
        <f t="shared" si="488"/>
        <v>0</v>
      </c>
      <c r="AO320">
        <f t="shared" si="489"/>
        <v>0</v>
      </c>
      <c r="AP320">
        <f t="shared" si="490"/>
        <v>0</v>
      </c>
      <c r="AQ320">
        <f t="shared" si="491"/>
        <v>0</v>
      </c>
      <c r="AR320">
        <f t="shared" si="492"/>
        <v>0</v>
      </c>
      <c r="AS320">
        <f t="shared" si="493"/>
        <v>0</v>
      </c>
      <c r="AT320">
        <f t="shared" si="494"/>
        <v>0</v>
      </c>
      <c r="AU320">
        <f t="shared" si="495"/>
        <v>0</v>
      </c>
      <c r="AV320">
        <f t="shared" si="496"/>
        <v>0</v>
      </c>
      <c r="AW320">
        <f t="shared" si="497"/>
        <v>0</v>
      </c>
      <c r="AX320">
        <f t="shared" si="498"/>
        <v>0</v>
      </c>
      <c r="AY320">
        <f t="shared" si="527"/>
        <v>0</v>
      </c>
      <c r="BA320">
        <f t="shared" si="501"/>
        <v>0</v>
      </c>
      <c r="BB320">
        <f t="shared" si="502"/>
        <v>0</v>
      </c>
      <c r="BC320">
        <f t="shared" si="503"/>
        <v>0</v>
      </c>
      <c r="BD320">
        <f t="shared" si="504"/>
        <v>0</v>
      </c>
      <c r="BE320">
        <f t="shared" si="505"/>
        <v>0</v>
      </c>
      <c r="BF320">
        <f t="shared" si="506"/>
        <v>0</v>
      </c>
      <c r="BG320">
        <f t="shared" si="507"/>
        <v>0</v>
      </c>
      <c r="BH320">
        <f t="shared" si="508"/>
        <v>0</v>
      </c>
      <c r="BI320">
        <f t="shared" si="509"/>
        <v>0</v>
      </c>
      <c r="BJ320">
        <f t="shared" si="510"/>
        <v>0</v>
      </c>
      <c r="BK320">
        <f t="shared" si="511"/>
        <v>0</v>
      </c>
      <c r="BL320">
        <f t="shared" si="512"/>
        <v>0</v>
      </c>
      <c r="BM320">
        <f t="shared" si="513"/>
        <v>0</v>
      </c>
      <c r="BN320">
        <f t="shared" si="514"/>
        <v>0</v>
      </c>
      <c r="BO320">
        <f t="shared" si="515"/>
        <v>0</v>
      </c>
      <c r="BP320">
        <f t="shared" si="516"/>
        <v>0</v>
      </c>
      <c r="BQ320">
        <f t="shared" si="517"/>
        <v>0</v>
      </c>
      <c r="BR320">
        <f t="shared" si="518"/>
        <v>0</v>
      </c>
      <c r="BS320">
        <f t="shared" si="519"/>
        <v>0</v>
      </c>
      <c r="BT320">
        <f t="shared" si="520"/>
        <v>0</v>
      </c>
      <c r="BU320">
        <f t="shared" si="521"/>
        <v>0</v>
      </c>
      <c r="BV320">
        <f t="shared" si="522"/>
        <v>0</v>
      </c>
      <c r="BW320">
        <f t="shared" si="523"/>
        <v>0</v>
      </c>
      <c r="BX320">
        <f t="shared" si="524"/>
        <v>0</v>
      </c>
      <c r="BZ320">
        <f t="shared" si="528"/>
        <v>0</v>
      </c>
      <c r="CA320">
        <f t="shared" si="529"/>
        <v>0</v>
      </c>
      <c r="CB320">
        <f t="shared" si="530"/>
        <v>0</v>
      </c>
      <c r="CC320">
        <f t="shared" si="531"/>
        <v>0</v>
      </c>
      <c r="CD320">
        <f t="shared" si="532"/>
        <v>0</v>
      </c>
      <c r="CE320">
        <f t="shared" si="533"/>
        <v>0</v>
      </c>
      <c r="CF320">
        <f t="shared" si="534"/>
        <v>0</v>
      </c>
      <c r="CG320">
        <f t="shared" si="535"/>
        <v>0</v>
      </c>
      <c r="CH320">
        <f t="shared" si="536"/>
        <v>0</v>
      </c>
      <c r="CI320">
        <f t="shared" si="537"/>
        <v>0</v>
      </c>
      <c r="CJ320">
        <f t="shared" si="538"/>
        <v>0</v>
      </c>
      <c r="CK320">
        <f t="shared" si="539"/>
        <v>0</v>
      </c>
      <c r="CL320">
        <f t="shared" si="540"/>
        <v>0</v>
      </c>
      <c r="CM320">
        <f t="shared" si="541"/>
        <v>0</v>
      </c>
      <c r="CN320">
        <f t="shared" si="542"/>
        <v>0</v>
      </c>
      <c r="CO320">
        <f t="shared" si="543"/>
        <v>0</v>
      </c>
      <c r="CP320">
        <f t="shared" si="551"/>
        <v>0</v>
      </c>
      <c r="CQ320">
        <f t="shared" si="544"/>
        <v>0</v>
      </c>
      <c r="CR320">
        <f t="shared" si="545"/>
        <v>0</v>
      </c>
      <c r="CS320">
        <f t="shared" si="546"/>
        <v>0</v>
      </c>
      <c r="CT320">
        <f t="shared" si="547"/>
        <v>0</v>
      </c>
      <c r="CU320">
        <f t="shared" si="548"/>
        <v>0</v>
      </c>
      <c r="CV320">
        <f t="shared" si="549"/>
        <v>0</v>
      </c>
      <c r="CW320">
        <f t="shared" si="550"/>
        <v>0</v>
      </c>
    </row>
    <row r="321" spans="1:101">
      <c r="A321" s="60">
        <v>45243</v>
      </c>
      <c r="B321" s="426"/>
      <c r="Z321" s="77"/>
      <c r="AB321" s="52">
        <f t="shared" si="476"/>
        <v>0</v>
      </c>
      <c r="AC321" s="52">
        <f t="shared" si="477"/>
        <v>0</v>
      </c>
      <c r="AD321" s="52">
        <f t="shared" si="478"/>
        <v>0</v>
      </c>
      <c r="AE321" s="52">
        <f t="shared" si="479"/>
        <v>0</v>
      </c>
      <c r="AF321" s="52">
        <f t="shared" si="480"/>
        <v>0</v>
      </c>
      <c r="AG321" s="52">
        <f t="shared" si="481"/>
        <v>0</v>
      </c>
      <c r="AH321" s="52">
        <f t="shared" si="482"/>
        <v>0</v>
      </c>
      <c r="AI321" s="52">
        <f t="shared" si="483"/>
        <v>0</v>
      </c>
      <c r="AJ321" s="52">
        <f t="shared" si="484"/>
        <v>0</v>
      </c>
      <c r="AK321" s="52">
        <f t="shared" si="485"/>
        <v>0</v>
      </c>
      <c r="AL321" s="52">
        <f t="shared" si="486"/>
        <v>0</v>
      </c>
      <c r="AM321" s="52">
        <f t="shared" si="487"/>
        <v>0</v>
      </c>
      <c r="AN321" s="52">
        <f t="shared" si="488"/>
        <v>0</v>
      </c>
      <c r="AO321" s="52">
        <f t="shared" si="489"/>
        <v>0</v>
      </c>
      <c r="AP321" s="52">
        <f t="shared" si="490"/>
        <v>0</v>
      </c>
      <c r="AQ321" s="52">
        <f t="shared" si="491"/>
        <v>0</v>
      </c>
      <c r="AR321" s="52">
        <f t="shared" si="492"/>
        <v>0</v>
      </c>
      <c r="AS321" s="52">
        <f t="shared" si="493"/>
        <v>0</v>
      </c>
      <c r="AT321" s="52">
        <f t="shared" si="494"/>
        <v>0</v>
      </c>
      <c r="AU321" s="52">
        <f t="shared" si="495"/>
        <v>0</v>
      </c>
      <c r="AV321" s="52">
        <f t="shared" si="496"/>
        <v>0</v>
      </c>
      <c r="AW321" s="52">
        <f t="shared" si="497"/>
        <v>0</v>
      </c>
      <c r="AX321" s="52">
        <f t="shared" si="498"/>
        <v>0</v>
      </c>
      <c r="AY321" s="52">
        <f t="shared" si="527"/>
        <v>0</v>
      </c>
      <c r="BA321" s="52">
        <f t="shared" si="501"/>
        <v>0</v>
      </c>
      <c r="BB321" s="52">
        <f t="shared" si="502"/>
        <v>0</v>
      </c>
      <c r="BC321" s="52">
        <f t="shared" si="503"/>
        <v>0</v>
      </c>
      <c r="BD321" s="52">
        <f t="shared" si="504"/>
        <v>0</v>
      </c>
      <c r="BE321" s="52">
        <f t="shared" si="505"/>
        <v>0</v>
      </c>
      <c r="BF321" s="52">
        <f t="shared" si="506"/>
        <v>0</v>
      </c>
      <c r="BG321" s="52">
        <f t="shared" si="507"/>
        <v>0</v>
      </c>
      <c r="BH321" s="52">
        <f t="shared" si="508"/>
        <v>0</v>
      </c>
      <c r="BI321" s="52">
        <f t="shared" si="509"/>
        <v>0</v>
      </c>
      <c r="BJ321" s="52">
        <f t="shared" si="510"/>
        <v>0</v>
      </c>
      <c r="BK321" s="52">
        <f t="shared" si="511"/>
        <v>0</v>
      </c>
      <c r="BL321" s="52">
        <f t="shared" si="512"/>
        <v>0</v>
      </c>
      <c r="BM321" s="52">
        <f t="shared" si="513"/>
        <v>0</v>
      </c>
      <c r="BN321" s="52">
        <f t="shared" si="514"/>
        <v>0</v>
      </c>
      <c r="BO321" s="52">
        <f t="shared" si="515"/>
        <v>0</v>
      </c>
      <c r="BP321" s="52">
        <f t="shared" si="516"/>
        <v>0</v>
      </c>
      <c r="BQ321" s="52">
        <f t="shared" si="517"/>
        <v>0</v>
      </c>
      <c r="BR321" s="52">
        <f t="shared" si="518"/>
        <v>0</v>
      </c>
      <c r="BS321" s="52">
        <f t="shared" si="519"/>
        <v>0</v>
      </c>
      <c r="BT321" s="52">
        <f t="shared" si="520"/>
        <v>0</v>
      </c>
      <c r="BU321" s="52">
        <f t="shared" si="521"/>
        <v>0</v>
      </c>
      <c r="BV321" s="52">
        <f t="shared" si="522"/>
        <v>0</v>
      </c>
      <c r="BW321" s="52">
        <f t="shared" si="523"/>
        <v>0</v>
      </c>
      <c r="BX321" s="52">
        <f t="shared" si="524"/>
        <v>0</v>
      </c>
      <c r="BZ321" s="52">
        <f t="shared" si="528"/>
        <v>0</v>
      </c>
      <c r="CA321" s="52">
        <f t="shared" si="529"/>
        <v>0</v>
      </c>
      <c r="CB321" s="52">
        <f t="shared" si="530"/>
        <v>0</v>
      </c>
      <c r="CC321" s="52">
        <f t="shared" si="531"/>
        <v>0</v>
      </c>
      <c r="CD321" s="52">
        <f t="shared" si="532"/>
        <v>0</v>
      </c>
      <c r="CE321" s="52">
        <f t="shared" si="533"/>
        <v>0</v>
      </c>
      <c r="CF321" s="52">
        <f t="shared" si="534"/>
        <v>0</v>
      </c>
      <c r="CG321" s="52">
        <f t="shared" si="535"/>
        <v>0</v>
      </c>
      <c r="CH321" s="52">
        <f t="shared" si="536"/>
        <v>0</v>
      </c>
      <c r="CI321" s="52">
        <f t="shared" si="537"/>
        <v>0</v>
      </c>
      <c r="CJ321" s="52">
        <f t="shared" si="538"/>
        <v>0</v>
      </c>
      <c r="CK321" s="52">
        <f t="shared" si="539"/>
        <v>0</v>
      </c>
      <c r="CL321" s="52">
        <f t="shared" si="540"/>
        <v>0</v>
      </c>
      <c r="CM321" s="52">
        <f t="shared" si="541"/>
        <v>0</v>
      </c>
      <c r="CN321" s="52">
        <f t="shared" si="542"/>
        <v>0</v>
      </c>
      <c r="CO321" s="52">
        <f t="shared" si="543"/>
        <v>0</v>
      </c>
      <c r="CP321" s="52">
        <f t="shared" si="551"/>
        <v>0</v>
      </c>
      <c r="CQ321" s="52">
        <f t="shared" si="544"/>
        <v>0</v>
      </c>
      <c r="CR321" s="52">
        <f t="shared" si="545"/>
        <v>0</v>
      </c>
      <c r="CS321" s="52">
        <f t="shared" si="546"/>
        <v>0</v>
      </c>
      <c r="CT321" s="52">
        <f t="shared" si="547"/>
        <v>0</v>
      </c>
      <c r="CU321" s="52">
        <f t="shared" si="548"/>
        <v>0</v>
      </c>
      <c r="CV321" s="52">
        <f t="shared" si="549"/>
        <v>0</v>
      </c>
      <c r="CW321" s="52">
        <f t="shared" si="550"/>
        <v>0</v>
      </c>
    </row>
    <row r="322" spans="1:101">
      <c r="A322" s="60">
        <v>45244</v>
      </c>
      <c r="B322" s="426"/>
      <c r="Z322" s="77"/>
      <c r="AB322">
        <f t="shared" si="476"/>
        <v>0</v>
      </c>
      <c r="AC322">
        <f t="shared" si="477"/>
        <v>0</v>
      </c>
      <c r="AD322">
        <f t="shared" si="478"/>
        <v>0</v>
      </c>
      <c r="AE322">
        <f t="shared" si="479"/>
        <v>0</v>
      </c>
      <c r="AF322">
        <f t="shared" si="480"/>
        <v>0</v>
      </c>
      <c r="AG322">
        <f t="shared" si="481"/>
        <v>0</v>
      </c>
      <c r="AH322">
        <f t="shared" si="482"/>
        <v>0</v>
      </c>
      <c r="AI322">
        <f t="shared" si="483"/>
        <v>0</v>
      </c>
      <c r="AJ322">
        <f t="shared" si="484"/>
        <v>0</v>
      </c>
      <c r="AK322">
        <f t="shared" si="485"/>
        <v>0</v>
      </c>
      <c r="AL322">
        <f t="shared" si="486"/>
        <v>0</v>
      </c>
      <c r="AM322">
        <f t="shared" si="487"/>
        <v>0</v>
      </c>
      <c r="AN322">
        <f t="shared" si="488"/>
        <v>0</v>
      </c>
      <c r="AO322">
        <f t="shared" si="489"/>
        <v>0</v>
      </c>
      <c r="AP322">
        <f t="shared" si="490"/>
        <v>0</v>
      </c>
      <c r="AQ322">
        <f t="shared" si="491"/>
        <v>0</v>
      </c>
      <c r="AR322">
        <f t="shared" si="492"/>
        <v>0</v>
      </c>
      <c r="AS322">
        <f t="shared" si="493"/>
        <v>0</v>
      </c>
      <c r="AT322">
        <f t="shared" si="494"/>
        <v>0</v>
      </c>
      <c r="AU322">
        <f t="shared" si="495"/>
        <v>0</v>
      </c>
      <c r="AV322">
        <f t="shared" si="496"/>
        <v>0</v>
      </c>
      <c r="AW322">
        <f t="shared" si="497"/>
        <v>0</v>
      </c>
      <c r="AX322">
        <f t="shared" si="498"/>
        <v>0</v>
      </c>
      <c r="AY322">
        <f t="shared" si="527"/>
        <v>0</v>
      </c>
      <c r="BA322">
        <f t="shared" si="501"/>
        <v>0</v>
      </c>
      <c r="BB322">
        <f t="shared" si="502"/>
        <v>0</v>
      </c>
      <c r="BC322">
        <f t="shared" si="503"/>
        <v>0</v>
      </c>
      <c r="BD322">
        <f t="shared" si="504"/>
        <v>0</v>
      </c>
      <c r="BE322">
        <f t="shared" si="505"/>
        <v>0</v>
      </c>
      <c r="BF322">
        <f t="shared" si="506"/>
        <v>0</v>
      </c>
      <c r="BG322">
        <f t="shared" si="507"/>
        <v>0</v>
      </c>
      <c r="BH322">
        <f t="shared" si="508"/>
        <v>0</v>
      </c>
      <c r="BI322">
        <f t="shared" si="509"/>
        <v>0</v>
      </c>
      <c r="BJ322">
        <f t="shared" si="510"/>
        <v>0</v>
      </c>
      <c r="BK322">
        <f t="shared" si="511"/>
        <v>0</v>
      </c>
      <c r="BL322">
        <f t="shared" si="512"/>
        <v>0</v>
      </c>
      <c r="BM322">
        <f t="shared" si="513"/>
        <v>0</v>
      </c>
      <c r="BN322">
        <f t="shared" si="514"/>
        <v>0</v>
      </c>
      <c r="BO322">
        <f t="shared" si="515"/>
        <v>0</v>
      </c>
      <c r="BP322">
        <f t="shared" si="516"/>
        <v>0</v>
      </c>
      <c r="BQ322">
        <f t="shared" si="517"/>
        <v>0</v>
      </c>
      <c r="BR322">
        <f t="shared" si="518"/>
        <v>0</v>
      </c>
      <c r="BS322">
        <f t="shared" si="519"/>
        <v>0</v>
      </c>
      <c r="BT322">
        <f t="shared" si="520"/>
        <v>0</v>
      </c>
      <c r="BU322">
        <f t="shared" si="521"/>
        <v>0</v>
      </c>
      <c r="BV322">
        <f t="shared" si="522"/>
        <v>0</v>
      </c>
      <c r="BW322">
        <f t="shared" si="523"/>
        <v>0</v>
      </c>
      <c r="BX322">
        <f t="shared" si="524"/>
        <v>0</v>
      </c>
      <c r="BZ322">
        <f t="shared" si="528"/>
        <v>0</v>
      </c>
      <c r="CA322">
        <f t="shared" si="529"/>
        <v>0</v>
      </c>
      <c r="CB322">
        <f t="shared" si="530"/>
        <v>0</v>
      </c>
      <c r="CC322">
        <f t="shared" si="531"/>
        <v>0</v>
      </c>
      <c r="CD322">
        <f t="shared" si="532"/>
        <v>0</v>
      </c>
      <c r="CE322">
        <f t="shared" si="533"/>
        <v>0</v>
      </c>
      <c r="CF322">
        <f t="shared" si="534"/>
        <v>0</v>
      </c>
      <c r="CG322">
        <f t="shared" si="535"/>
        <v>0</v>
      </c>
      <c r="CH322">
        <f t="shared" si="536"/>
        <v>0</v>
      </c>
      <c r="CI322">
        <f t="shared" si="537"/>
        <v>0</v>
      </c>
      <c r="CJ322">
        <f t="shared" si="538"/>
        <v>0</v>
      </c>
      <c r="CK322">
        <f t="shared" si="539"/>
        <v>0</v>
      </c>
      <c r="CL322">
        <f t="shared" si="540"/>
        <v>0</v>
      </c>
      <c r="CM322">
        <f t="shared" si="541"/>
        <v>0</v>
      </c>
      <c r="CN322">
        <f t="shared" si="542"/>
        <v>0</v>
      </c>
      <c r="CO322">
        <f t="shared" si="543"/>
        <v>0</v>
      </c>
      <c r="CP322">
        <f t="shared" si="551"/>
        <v>0</v>
      </c>
      <c r="CQ322">
        <f t="shared" si="544"/>
        <v>0</v>
      </c>
      <c r="CR322">
        <f t="shared" si="545"/>
        <v>0</v>
      </c>
      <c r="CS322">
        <f t="shared" si="546"/>
        <v>0</v>
      </c>
      <c r="CT322">
        <f t="shared" si="547"/>
        <v>0</v>
      </c>
      <c r="CU322">
        <f t="shared" si="548"/>
        <v>0</v>
      </c>
      <c r="CV322">
        <f t="shared" si="549"/>
        <v>0</v>
      </c>
      <c r="CW322">
        <f t="shared" si="550"/>
        <v>0</v>
      </c>
    </row>
    <row r="323" spans="1:101">
      <c r="A323" s="60">
        <v>45245</v>
      </c>
      <c r="B323" s="426"/>
      <c r="Z323" s="77"/>
      <c r="AB323" s="52">
        <f t="shared" si="476"/>
        <v>0</v>
      </c>
      <c r="AC323" s="52">
        <f t="shared" si="477"/>
        <v>0</v>
      </c>
      <c r="AD323" s="52">
        <f t="shared" si="478"/>
        <v>0</v>
      </c>
      <c r="AE323" s="52">
        <f t="shared" si="479"/>
        <v>0</v>
      </c>
      <c r="AF323" s="52">
        <f t="shared" si="480"/>
        <v>0</v>
      </c>
      <c r="AG323" s="52">
        <f t="shared" si="481"/>
        <v>0</v>
      </c>
      <c r="AH323" s="52">
        <f t="shared" si="482"/>
        <v>0</v>
      </c>
      <c r="AI323" s="52">
        <f t="shared" si="483"/>
        <v>0</v>
      </c>
      <c r="AJ323" s="52">
        <f t="shared" si="484"/>
        <v>0</v>
      </c>
      <c r="AK323" s="52">
        <f t="shared" si="485"/>
        <v>0</v>
      </c>
      <c r="AL323" s="52">
        <f t="shared" si="486"/>
        <v>0</v>
      </c>
      <c r="AM323" s="52">
        <f t="shared" si="487"/>
        <v>0</v>
      </c>
      <c r="AN323" s="52">
        <f t="shared" si="488"/>
        <v>0</v>
      </c>
      <c r="AO323" s="52">
        <f t="shared" si="489"/>
        <v>0</v>
      </c>
      <c r="AP323" s="52">
        <f t="shared" si="490"/>
        <v>0</v>
      </c>
      <c r="AQ323" s="52">
        <f t="shared" si="491"/>
        <v>0</v>
      </c>
      <c r="AR323" s="52">
        <f t="shared" si="492"/>
        <v>0</v>
      </c>
      <c r="AS323" s="52">
        <f t="shared" si="493"/>
        <v>0</v>
      </c>
      <c r="AT323" s="52">
        <f t="shared" si="494"/>
        <v>0</v>
      </c>
      <c r="AU323" s="52">
        <f t="shared" si="495"/>
        <v>0</v>
      </c>
      <c r="AV323" s="52">
        <f t="shared" si="496"/>
        <v>0</v>
      </c>
      <c r="AW323" s="52">
        <f t="shared" si="497"/>
        <v>0</v>
      </c>
      <c r="AX323" s="52">
        <f t="shared" si="498"/>
        <v>0</v>
      </c>
      <c r="AY323" s="52">
        <f t="shared" si="527"/>
        <v>0</v>
      </c>
      <c r="BA323" s="52">
        <f t="shared" si="501"/>
        <v>0</v>
      </c>
      <c r="BB323" s="52">
        <f t="shared" si="502"/>
        <v>0</v>
      </c>
      <c r="BC323" s="52">
        <f t="shared" si="503"/>
        <v>0</v>
      </c>
      <c r="BD323" s="52">
        <f t="shared" si="504"/>
        <v>0</v>
      </c>
      <c r="BE323" s="52">
        <f t="shared" si="505"/>
        <v>0</v>
      </c>
      <c r="BF323" s="52">
        <f t="shared" si="506"/>
        <v>0</v>
      </c>
      <c r="BG323" s="52">
        <f t="shared" si="507"/>
        <v>0</v>
      </c>
      <c r="BH323" s="52">
        <f t="shared" si="508"/>
        <v>0</v>
      </c>
      <c r="BI323" s="52">
        <f t="shared" si="509"/>
        <v>0</v>
      </c>
      <c r="BJ323" s="52">
        <f t="shared" si="510"/>
        <v>0</v>
      </c>
      <c r="BK323" s="52">
        <f t="shared" si="511"/>
        <v>0</v>
      </c>
      <c r="BL323" s="52">
        <f t="shared" si="512"/>
        <v>0</v>
      </c>
      <c r="BM323" s="52">
        <f t="shared" si="513"/>
        <v>0</v>
      </c>
      <c r="BN323" s="52">
        <f t="shared" si="514"/>
        <v>0</v>
      </c>
      <c r="BO323" s="52">
        <f t="shared" si="515"/>
        <v>0</v>
      </c>
      <c r="BP323" s="52">
        <f t="shared" si="516"/>
        <v>0</v>
      </c>
      <c r="BQ323" s="52">
        <f t="shared" si="517"/>
        <v>0</v>
      </c>
      <c r="BR323" s="52">
        <f t="shared" si="518"/>
        <v>0</v>
      </c>
      <c r="BS323" s="52">
        <f t="shared" si="519"/>
        <v>0</v>
      </c>
      <c r="BT323" s="52">
        <f t="shared" si="520"/>
        <v>0</v>
      </c>
      <c r="BU323" s="52">
        <f t="shared" si="521"/>
        <v>0</v>
      </c>
      <c r="BV323" s="52">
        <f t="shared" si="522"/>
        <v>0</v>
      </c>
      <c r="BW323" s="52">
        <f t="shared" si="523"/>
        <v>0</v>
      </c>
      <c r="BX323" s="52">
        <f t="shared" si="524"/>
        <v>0</v>
      </c>
      <c r="BZ323" s="52">
        <f t="shared" si="528"/>
        <v>0</v>
      </c>
      <c r="CA323" s="52">
        <f t="shared" si="529"/>
        <v>0</v>
      </c>
      <c r="CB323" s="52">
        <f t="shared" si="530"/>
        <v>0</v>
      </c>
      <c r="CC323" s="52">
        <f t="shared" si="531"/>
        <v>0</v>
      </c>
      <c r="CD323" s="52">
        <f t="shared" si="532"/>
        <v>0</v>
      </c>
      <c r="CE323" s="52">
        <f t="shared" si="533"/>
        <v>0</v>
      </c>
      <c r="CF323" s="52">
        <f t="shared" si="534"/>
        <v>0</v>
      </c>
      <c r="CG323" s="52">
        <f t="shared" si="535"/>
        <v>0</v>
      </c>
      <c r="CH323" s="52">
        <f t="shared" si="536"/>
        <v>0</v>
      </c>
      <c r="CI323" s="52">
        <f t="shared" si="537"/>
        <v>0</v>
      </c>
      <c r="CJ323" s="52">
        <f t="shared" si="538"/>
        <v>0</v>
      </c>
      <c r="CK323" s="52">
        <f t="shared" si="539"/>
        <v>0</v>
      </c>
      <c r="CL323" s="52">
        <f t="shared" si="540"/>
        <v>0</v>
      </c>
      <c r="CM323" s="52">
        <f t="shared" si="541"/>
        <v>0</v>
      </c>
      <c r="CN323" s="52">
        <f t="shared" si="542"/>
        <v>0</v>
      </c>
      <c r="CO323" s="52">
        <f t="shared" si="543"/>
        <v>0</v>
      </c>
      <c r="CP323" s="52">
        <f t="shared" si="551"/>
        <v>0</v>
      </c>
      <c r="CQ323" s="52">
        <f t="shared" si="544"/>
        <v>0</v>
      </c>
      <c r="CR323" s="52">
        <f t="shared" si="545"/>
        <v>0</v>
      </c>
      <c r="CS323" s="52">
        <f t="shared" si="546"/>
        <v>0</v>
      </c>
      <c r="CT323" s="52">
        <f t="shared" si="547"/>
        <v>0</v>
      </c>
      <c r="CU323" s="52">
        <f t="shared" si="548"/>
        <v>0</v>
      </c>
      <c r="CV323" s="52">
        <f t="shared" si="549"/>
        <v>0</v>
      </c>
      <c r="CW323" s="52">
        <f t="shared" si="550"/>
        <v>0</v>
      </c>
    </row>
    <row r="324" spans="1:101">
      <c r="A324" s="60">
        <v>45246</v>
      </c>
      <c r="B324" s="426"/>
      <c r="Z324" s="77"/>
      <c r="AB324">
        <f t="shared" si="476"/>
        <v>0</v>
      </c>
      <c r="AC324">
        <f t="shared" si="477"/>
        <v>0</v>
      </c>
      <c r="AD324">
        <f t="shared" si="478"/>
        <v>0</v>
      </c>
      <c r="AE324">
        <f t="shared" si="479"/>
        <v>0</v>
      </c>
      <c r="AF324">
        <f t="shared" si="480"/>
        <v>0</v>
      </c>
      <c r="AG324">
        <f t="shared" si="481"/>
        <v>0</v>
      </c>
      <c r="AH324">
        <f t="shared" si="482"/>
        <v>0</v>
      </c>
      <c r="AI324">
        <f t="shared" si="483"/>
        <v>0</v>
      </c>
      <c r="AJ324">
        <f t="shared" si="484"/>
        <v>0</v>
      </c>
      <c r="AK324">
        <f t="shared" si="485"/>
        <v>0</v>
      </c>
      <c r="AL324">
        <f t="shared" si="486"/>
        <v>0</v>
      </c>
      <c r="AM324">
        <f t="shared" si="487"/>
        <v>0</v>
      </c>
      <c r="AN324">
        <f t="shared" si="488"/>
        <v>0</v>
      </c>
      <c r="AO324">
        <f t="shared" si="489"/>
        <v>0</v>
      </c>
      <c r="AP324">
        <f t="shared" si="490"/>
        <v>0</v>
      </c>
      <c r="AQ324">
        <f t="shared" si="491"/>
        <v>0</v>
      </c>
      <c r="AR324">
        <f t="shared" si="492"/>
        <v>0</v>
      </c>
      <c r="AS324">
        <f t="shared" si="493"/>
        <v>0</v>
      </c>
      <c r="AT324">
        <f t="shared" si="494"/>
        <v>0</v>
      </c>
      <c r="AU324">
        <f t="shared" si="495"/>
        <v>0</v>
      </c>
      <c r="AV324">
        <f t="shared" si="496"/>
        <v>0</v>
      </c>
      <c r="AW324">
        <f t="shared" si="497"/>
        <v>0</v>
      </c>
      <c r="AX324">
        <f t="shared" si="498"/>
        <v>0</v>
      </c>
      <c r="AY324">
        <f t="shared" si="527"/>
        <v>0</v>
      </c>
      <c r="BA324">
        <f t="shared" si="501"/>
        <v>0</v>
      </c>
      <c r="BB324">
        <f t="shared" si="502"/>
        <v>0</v>
      </c>
      <c r="BC324">
        <f t="shared" si="503"/>
        <v>0</v>
      </c>
      <c r="BD324">
        <f t="shared" si="504"/>
        <v>0</v>
      </c>
      <c r="BE324">
        <f t="shared" si="505"/>
        <v>0</v>
      </c>
      <c r="BF324">
        <f t="shared" si="506"/>
        <v>0</v>
      </c>
      <c r="BG324">
        <f t="shared" si="507"/>
        <v>0</v>
      </c>
      <c r="BH324">
        <f t="shared" si="508"/>
        <v>0</v>
      </c>
      <c r="BI324">
        <f t="shared" si="509"/>
        <v>0</v>
      </c>
      <c r="BJ324">
        <f t="shared" si="510"/>
        <v>0</v>
      </c>
      <c r="BK324">
        <f t="shared" si="511"/>
        <v>0</v>
      </c>
      <c r="BL324">
        <f t="shared" si="512"/>
        <v>0</v>
      </c>
      <c r="BM324">
        <f t="shared" si="513"/>
        <v>0</v>
      </c>
      <c r="BN324">
        <f t="shared" si="514"/>
        <v>0</v>
      </c>
      <c r="BO324">
        <f t="shared" si="515"/>
        <v>0</v>
      </c>
      <c r="BP324">
        <f t="shared" si="516"/>
        <v>0</v>
      </c>
      <c r="BQ324">
        <f t="shared" si="517"/>
        <v>0</v>
      </c>
      <c r="BR324">
        <f t="shared" si="518"/>
        <v>0</v>
      </c>
      <c r="BS324">
        <f t="shared" si="519"/>
        <v>0</v>
      </c>
      <c r="BT324">
        <f t="shared" si="520"/>
        <v>0</v>
      </c>
      <c r="BU324">
        <f t="shared" si="521"/>
        <v>0</v>
      </c>
      <c r="BV324">
        <f t="shared" si="522"/>
        <v>0</v>
      </c>
      <c r="BW324">
        <f t="shared" si="523"/>
        <v>0</v>
      </c>
      <c r="BX324">
        <f t="shared" si="524"/>
        <v>0</v>
      </c>
      <c r="BZ324">
        <f t="shared" si="528"/>
        <v>0</v>
      </c>
      <c r="CA324">
        <f t="shared" si="529"/>
        <v>0</v>
      </c>
      <c r="CB324">
        <f t="shared" si="530"/>
        <v>0</v>
      </c>
      <c r="CC324">
        <f t="shared" si="531"/>
        <v>0</v>
      </c>
      <c r="CD324">
        <f t="shared" si="532"/>
        <v>0</v>
      </c>
      <c r="CE324">
        <f t="shared" si="533"/>
        <v>0</v>
      </c>
      <c r="CF324">
        <f t="shared" si="534"/>
        <v>0</v>
      </c>
      <c r="CG324">
        <f t="shared" si="535"/>
        <v>0</v>
      </c>
      <c r="CH324">
        <f t="shared" si="536"/>
        <v>0</v>
      </c>
      <c r="CI324">
        <f t="shared" si="537"/>
        <v>0</v>
      </c>
      <c r="CJ324">
        <f t="shared" si="538"/>
        <v>0</v>
      </c>
      <c r="CK324">
        <f t="shared" si="539"/>
        <v>0</v>
      </c>
      <c r="CL324">
        <f t="shared" si="540"/>
        <v>0</v>
      </c>
      <c r="CM324">
        <f t="shared" si="541"/>
        <v>0</v>
      </c>
      <c r="CN324">
        <f t="shared" si="542"/>
        <v>0</v>
      </c>
      <c r="CO324">
        <f t="shared" si="543"/>
        <v>0</v>
      </c>
      <c r="CP324">
        <f t="shared" si="551"/>
        <v>0</v>
      </c>
      <c r="CQ324">
        <f t="shared" si="544"/>
        <v>0</v>
      </c>
      <c r="CR324">
        <f t="shared" si="545"/>
        <v>0</v>
      </c>
      <c r="CS324">
        <f t="shared" si="546"/>
        <v>0</v>
      </c>
      <c r="CT324">
        <f t="shared" si="547"/>
        <v>0</v>
      </c>
      <c r="CU324">
        <f t="shared" si="548"/>
        <v>0</v>
      </c>
      <c r="CV324">
        <f t="shared" si="549"/>
        <v>0</v>
      </c>
      <c r="CW324">
        <f t="shared" si="550"/>
        <v>0</v>
      </c>
    </row>
    <row r="325" spans="1:101">
      <c r="A325" s="60">
        <v>45247</v>
      </c>
      <c r="B325" s="426"/>
      <c r="Z325" s="77"/>
      <c r="AB325" s="52">
        <f t="shared" si="476"/>
        <v>0</v>
      </c>
      <c r="AC325" s="52">
        <f t="shared" si="477"/>
        <v>0</v>
      </c>
      <c r="AD325" s="52">
        <f t="shared" si="478"/>
        <v>0</v>
      </c>
      <c r="AE325" s="52">
        <f t="shared" si="479"/>
        <v>0</v>
      </c>
      <c r="AF325" s="52">
        <f t="shared" si="480"/>
        <v>0</v>
      </c>
      <c r="AG325" s="52">
        <f t="shared" si="481"/>
        <v>0</v>
      </c>
      <c r="AH325" s="52">
        <f t="shared" si="482"/>
        <v>0</v>
      </c>
      <c r="AI325" s="52">
        <f t="shared" si="483"/>
        <v>0</v>
      </c>
      <c r="AJ325" s="52">
        <f t="shared" si="484"/>
        <v>0</v>
      </c>
      <c r="AK325" s="52">
        <f t="shared" si="485"/>
        <v>0</v>
      </c>
      <c r="AL325" s="52">
        <f t="shared" si="486"/>
        <v>0</v>
      </c>
      <c r="AM325" s="52">
        <f t="shared" si="487"/>
        <v>0</v>
      </c>
      <c r="AN325" s="52">
        <f t="shared" si="488"/>
        <v>0</v>
      </c>
      <c r="AO325" s="52">
        <f t="shared" si="489"/>
        <v>0</v>
      </c>
      <c r="AP325" s="52">
        <f t="shared" si="490"/>
        <v>0</v>
      </c>
      <c r="AQ325" s="52">
        <f t="shared" si="491"/>
        <v>0</v>
      </c>
      <c r="AR325" s="52">
        <f t="shared" si="492"/>
        <v>0</v>
      </c>
      <c r="AS325" s="52">
        <f t="shared" si="493"/>
        <v>0</v>
      </c>
      <c r="AT325" s="52">
        <f t="shared" si="494"/>
        <v>0</v>
      </c>
      <c r="AU325" s="52">
        <f t="shared" si="495"/>
        <v>0</v>
      </c>
      <c r="AV325" s="52">
        <f t="shared" si="496"/>
        <v>0</v>
      </c>
      <c r="AW325" s="52">
        <f t="shared" si="497"/>
        <v>0</v>
      </c>
      <c r="AX325" s="52">
        <f t="shared" si="498"/>
        <v>0</v>
      </c>
      <c r="AY325" s="52">
        <f t="shared" si="527"/>
        <v>0</v>
      </c>
      <c r="BA325" s="52">
        <f t="shared" si="501"/>
        <v>0</v>
      </c>
      <c r="BB325" s="52">
        <f t="shared" si="502"/>
        <v>0</v>
      </c>
      <c r="BC325" s="52">
        <f t="shared" si="503"/>
        <v>0</v>
      </c>
      <c r="BD325" s="52">
        <f t="shared" si="504"/>
        <v>0</v>
      </c>
      <c r="BE325" s="52">
        <f t="shared" si="505"/>
        <v>0</v>
      </c>
      <c r="BF325" s="52">
        <f t="shared" si="506"/>
        <v>0</v>
      </c>
      <c r="BG325" s="52">
        <f t="shared" si="507"/>
        <v>0</v>
      </c>
      <c r="BH325" s="52">
        <f t="shared" si="508"/>
        <v>0</v>
      </c>
      <c r="BI325" s="52">
        <f t="shared" si="509"/>
        <v>0</v>
      </c>
      <c r="BJ325" s="52">
        <f t="shared" si="510"/>
        <v>0</v>
      </c>
      <c r="BK325" s="52">
        <f t="shared" si="511"/>
        <v>0</v>
      </c>
      <c r="BL325" s="52">
        <f t="shared" si="512"/>
        <v>0</v>
      </c>
      <c r="BM325" s="52">
        <f t="shared" si="513"/>
        <v>0</v>
      </c>
      <c r="BN325" s="52">
        <f t="shared" si="514"/>
        <v>0</v>
      </c>
      <c r="BO325" s="52">
        <f t="shared" si="515"/>
        <v>0</v>
      </c>
      <c r="BP325" s="52">
        <f t="shared" si="516"/>
        <v>0</v>
      </c>
      <c r="BQ325" s="52">
        <f t="shared" si="517"/>
        <v>0</v>
      </c>
      <c r="BR325" s="52">
        <f t="shared" si="518"/>
        <v>0</v>
      </c>
      <c r="BS325" s="52">
        <f t="shared" si="519"/>
        <v>0</v>
      </c>
      <c r="BT325" s="52">
        <f t="shared" si="520"/>
        <v>0</v>
      </c>
      <c r="BU325" s="52">
        <f t="shared" si="521"/>
        <v>0</v>
      </c>
      <c r="BV325" s="52">
        <f t="shared" si="522"/>
        <v>0</v>
      </c>
      <c r="BW325" s="52">
        <f t="shared" si="523"/>
        <v>0</v>
      </c>
      <c r="BX325" s="52">
        <f t="shared" si="524"/>
        <v>0</v>
      </c>
      <c r="BZ325" s="52">
        <f t="shared" si="528"/>
        <v>0</v>
      </c>
      <c r="CA325" s="52">
        <f t="shared" si="529"/>
        <v>0</v>
      </c>
      <c r="CB325" s="52">
        <f t="shared" si="530"/>
        <v>0</v>
      </c>
      <c r="CC325" s="52">
        <f t="shared" si="531"/>
        <v>0</v>
      </c>
      <c r="CD325" s="52">
        <f t="shared" si="532"/>
        <v>0</v>
      </c>
      <c r="CE325" s="52">
        <f t="shared" si="533"/>
        <v>0</v>
      </c>
      <c r="CF325" s="52">
        <f t="shared" si="534"/>
        <v>0</v>
      </c>
      <c r="CG325" s="52">
        <f t="shared" si="535"/>
        <v>0</v>
      </c>
      <c r="CH325" s="52">
        <f t="shared" si="536"/>
        <v>0</v>
      </c>
      <c r="CI325" s="52">
        <f t="shared" si="537"/>
        <v>0</v>
      </c>
      <c r="CJ325" s="52">
        <f t="shared" si="538"/>
        <v>0</v>
      </c>
      <c r="CK325" s="52">
        <f t="shared" si="539"/>
        <v>0</v>
      </c>
      <c r="CL325" s="52">
        <f t="shared" si="540"/>
        <v>0</v>
      </c>
      <c r="CM325" s="52">
        <f t="shared" si="541"/>
        <v>0</v>
      </c>
      <c r="CN325" s="52">
        <f t="shared" si="542"/>
        <v>0</v>
      </c>
      <c r="CO325" s="52">
        <f t="shared" si="543"/>
        <v>0</v>
      </c>
      <c r="CP325" s="52">
        <f t="shared" si="551"/>
        <v>0</v>
      </c>
      <c r="CQ325" s="52">
        <f t="shared" si="544"/>
        <v>0</v>
      </c>
      <c r="CR325" s="52">
        <f t="shared" si="545"/>
        <v>0</v>
      </c>
      <c r="CS325" s="52">
        <f t="shared" si="546"/>
        <v>0</v>
      </c>
      <c r="CT325" s="52">
        <f t="shared" si="547"/>
        <v>0</v>
      </c>
      <c r="CU325" s="52">
        <f t="shared" si="548"/>
        <v>0</v>
      </c>
      <c r="CV325" s="52">
        <f t="shared" si="549"/>
        <v>0</v>
      </c>
      <c r="CW325" s="52">
        <f t="shared" si="550"/>
        <v>0</v>
      </c>
    </row>
    <row r="326" spans="1:101">
      <c r="A326" s="60">
        <v>45248</v>
      </c>
      <c r="B326" s="426"/>
      <c r="Z326" s="77"/>
      <c r="AB326">
        <f t="shared" ref="AB326:AB338" si="552">+IF(AND(B326=0,C326&lt;&gt;0),1,0)</f>
        <v>0</v>
      </c>
      <c r="AC326">
        <f t="shared" ref="AC326:AC370" si="553">+IF(AND(C326=0,D326&lt;&gt;0),1,0)</f>
        <v>0</v>
      </c>
      <c r="AD326">
        <f t="shared" ref="AD326:AD370" si="554">+IF(AND(D326=0,E326&lt;&gt;0),1,0)</f>
        <v>0</v>
      </c>
      <c r="AE326">
        <f t="shared" ref="AE326:AE370" si="555">+IF(AND(E326=0,F326&lt;&gt;0),1,0)</f>
        <v>0</v>
      </c>
      <c r="AF326">
        <f t="shared" ref="AF326:AF370" si="556">+IF(AND(F326=0,G326&lt;&gt;0),1,0)</f>
        <v>0</v>
      </c>
      <c r="AG326">
        <f t="shared" ref="AG326:AG370" si="557">+IF(AND(G326=0,H326&lt;&gt;0),1,0)</f>
        <v>0</v>
      </c>
      <c r="AH326">
        <f t="shared" ref="AH326:AH370" si="558">+IF(AND(H326=0,I326&lt;&gt;0),1,0)</f>
        <v>0</v>
      </c>
      <c r="AI326">
        <f t="shared" ref="AI326:AI370" si="559">+IF(AND(I326=0,J326&lt;&gt;0),1,0)</f>
        <v>0</v>
      </c>
      <c r="AJ326">
        <f t="shared" ref="AJ326:AJ370" si="560">+IF(AND(J326=0,K326&lt;&gt;0),1,0)</f>
        <v>0</v>
      </c>
      <c r="AK326">
        <f t="shared" ref="AK326:AK370" si="561">+IF(AND(K326=0,L326&lt;&gt;0),1,0)</f>
        <v>0</v>
      </c>
      <c r="AL326">
        <f t="shared" ref="AL326:AL370" si="562">+IF(AND(L326=0,M326&lt;&gt;0),1,0)</f>
        <v>0</v>
      </c>
      <c r="AM326">
        <f t="shared" ref="AM326:AM370" si="563">+IF(AND(M326=0,N326&lt;&gt;0),1,0)</f>
        <v>0</v>
      </c>
      <c r="AN326">
        <f t="shared" ref="AN326:AN370" si="564">+IF(AND(N326=0,O326&lt;&gt;0),1,0)</f>
        <v>0</v>
      </c>
      <c r="AO326">
        <f t="shared" ref="AO326:AO370" si="565">+IF(AND(O326=0,P326&lt;&gt;0),1,0)</f>
        <v>0</v>
      </c>
      <c r="AP326">
        <f t="shared" ref="AP326:AP370" si="566">+IF(AND(P326=0,Q326&lt;&gt;0),1,0)</f>
        <v>0</v>
      </c>
      <c r="AQ326">
        <f t="shared" ref="AQ326:AQ370" si="567">+IF(AND(Q326=0,R326&lt;&gt;0),1,0)</f>
        <v>0</v>
      </c>
      <c r="AR326">
        <f t="shared" ref="AR326:AR370" si="568">+IF(AND(R326=0,S326&lt;&gt;0),1,0)</f>
        <v>0</v>
      </c>
      <c r="AS326">
        <f t="shared" ref="AS326:AS370" si="569">+IF(AND(S326=0,T326&lt;&gt;0),1,0)</f>
        <v>0</v>
      </c>
      <c r="AT326">
        <f t="shared" ref="AT326:AT370" si="570">+IF(AND(T326=0,U326&lt;&gt;0),1,0)</f>
        <v>0</v>
      </c>
      <c r="AU326">
        <f t="shared" ref="AU326:AV370" si="571">+IF(AND(U326=0,V326&lt;&gt;0),1,0)</f>
        <v>0</v>
      </c>
      <c r="AV326">
        <f t="shared" ref="AV326:AV370" si="572">+IF(AND(V326=0,W326&lt;&gt;0),1,0)</f>
        <v>0</v>
      </c>
      <c r="AW326">
        <f t="shared" ref="AW326:AW370" si="573">+IF(AND(W326=0,X326&lt;&gt;0),1,0)</f>
        <v>0</v>
      </c>
      <c r="AX326">
        <f t="shared" ref="AX326:AX370" si="574">+IF(AND(X326=0,Y326&lt;&gt;0),1,0)</f>
        <v>0</v>
      </c>
      <c r="AY326">
        <f t="shared" si="527"/>
        <v>0</v>
      </c>
      <c r="BA326">
        <f t="shared" si="501"/>
        <v>0</v>
      </c>
      <c r="BB326">
        <f t="shared" si="502"/>
        <v>0</v>
      </c>
      <c r="BC326">
        <f t="shared" si="503"/>
        <v>0</v>
      </c>
      <c r="BD326">
        <f t="shared" si="504"/>
        <v>0</v>
      </c>
      <c r="BE326">
        <f t="shared" si="505"/>
        <v>0</v>
      </c>
      <c r="BF326">
        <f t="shared" si="506"/>
        <v>0</v>
      </c>
      <c r="BG326">
        <f t="shared" si="507"/>
        <v>0</v>
      </c>
      <c r="BH326">
        <f t="shared" si="508"/>
        <v>0</v>
      </c>
      <c r="BI326">
        <f t="shared" si="509"/>
        <v>0</v>
      </c>
      <c r="BJ326">
        <f t="shared" si="510"/>
        <v>0</v>
      </c>
      <c r="BK326">
        <f t="shared" si="511"/>
        <v>0</v>
      </c>
      <c r="BL326">
        <f t="shared" si="512"/>
        <v>0</v>
      </c>
      <c r="BM326">
        <f t="shared" si="513"/>
        <v>0</v>
      </c>
      <c r="BN326">
        <f t="shared" si="514"/>
        <v>0</v>
      </c>
      <c r="BO326">
        <f t="shared" si="515"/>
        <v>0</v>
      </c>
      <c r="BP326">
        <f t="shared" si="516"/>
        <v>0</v>
      </c>
      <c r="BQ326">
        <f t="shared" si="517"/>
        <v>0</v>
      </c>
      <c r="BR326">
        <f t="shared" si="518"/>
        <v>0</v>
      </c>
      <c r="BS326">
        <f t="shared" si="519"/>
        <v>0</v>
      </c>
      <c r="BT326">
        <f t="shared" si="520"/>
        <v>0</v>
      </c>
      <c r="BU326">
        <f t="shared" si="521"/>
        <v>0</v>
      </c>
      <c r="BV326">
        <f t="shared" si="522"/>
        <v>0</v>
      </c>
      <c r="BW326">
        <f t="shared" si="523"/>
        <v>0</v>
      </c>
      <c r="BX326">
        <f t="shared" si="524"/>
        <v>0</v>
      </c>
      <c r="BZ326">
        <f t="shared" si="528"/>
        <v>0</v>
      </c>
      <c r="CA326">
        <f t="shared" si="529"/>
        <v>0</v>
      </c>
      <c r="CB326">
        <f t="shared" si="530"/>
        <v>0</v>
      </c>
      <c r="CC326">
        <f t="shared" si="531"/>
        <v>0</v>
      </c>
      <c r="CD326">
        <f t="shared" si="532"/>
        <v>0</v>
      </c>
      <c r="CE326">
        <f t="shared" si="533"/>
        <v>0</v>
      </c>
      <c r="CF326">
        <f t="shared" si="534"/>
        <v>0</v>
      </c>
      <c r="CG326">
        <f t="shared" si="535"/>
        <v>0</v>
      </c>
      <c r="CH326">
        <f t="shared" si="536"/>
        <v>0</v>
      </c>
      <c r="CI326">
        <f t="shared" si="537"/>
        <v>0</v>
      </c>
      <c r="CJ326">
        <f t="shared" si="538"/>
        <v>0</v>
      </c>
      <c r="CK326">
        <f t="shared" si="539"/>
        <v>0</v>
      </c>
      <c r="CL326">
        <f t="shared" si="540"/>
        <v>0</v>
      </c>
      <c r="CM326">
        <f t="shared" si="541"/>
        <v>0</v>
      </c>
      <c r="CN326">
        <f t="shared" si="542"/>
        <v>0</v>
      </c>
      <c r="CO326">
        <f t="shared" si="543"/>
        <v>0</v>
      </c>
      <c r="CP326">
        <f t="shared" si="551"/>
        <v>0</v>
      </c>
      <c r="CQ326">
        <f t="shared" si="544"/>
        <v>0</v>
      </c>
      <c r="CR326">
        <f t="shared" si="545"/>
        <v>0</v>
      </c>
      <c r="CS326">
        <f t="shared" si="546"/>
        <v>0</v>
      </c>
      <c r="CT326">
        <f t="shared" si="547"/>
        <v>0</v>
      </c>
      <c r="CU326">
        <f t="shared" si="548"/>
        <v>0</v>
      </c>
      <c r="CV326">
        <f t="shared" si="549"/>
        <v>0</v>
      </c>
      <c r="CW326">
        <f t="shared" si="550"/>
        <v>0</v>
      </c>
    </row>
    <row r="327" spans="1:101">
      <c r="A327" s="60">
        <v>45249</v>
      </c>
      <c r="B327" s="426"/>
      <c r="Z327" s="77"/>
      <c r="AB327" s="52">
        <f t="shared" si="552"/>
        <v>0</v>
      </c>
      <c r="AC327" s="52">
        <f t="shared" si="553"/>
        <v>0</v>
      </c>
      <c r="AD327" s="52">
        <f t="shared" si="554"/>
        <v>0</v>
      </c>
      <c r="AE327" s="52">
        <f t="shared" si="555"/>
        <v>0</v>
      </c>
      <c r="AF327" s="52">
        <f t="shared" si="556"/>
        <v>0</v>
      </c>
      <c r="AG327" s="52">
        <f t="shared" si="557"/>
        <v>0</v>
      </c>
      <c r="AH327" s="52">
        <f t="shared" si="558"/>
        <v>0</v>
      </c>
      <c r="AI327" s="52">
        <f t="shared" si="559"/>
        <v>0</v>
      </c>
      <c r="AJ327" s="52">
        <f t="shared" si="560"/>
        <v>0</v>
      </c>
      <c r="AK327" s="52">
        <f t="shared" si="561"/>
        <v>0</v>
      </c>
      <c r="AL327" s="52">
        <f t="shared" si="562"/>
        <v>0</v>
      </c>
      <c r="AM327" s="52">
        <f t="shared" si="563"/>
        <v>0</v>
      </c>
      <c r="AN327" s="52">
        <f t="shared" si="564"/>
        <v>0</v>
      </c>
      <c r="AO327" s="52">
        <f t="shared" si="565"/>
        <v>0</v>
      </c>
      <c r="AP327" s="52">
        <f t="shared" si="566"/>
        <v>0</v>
      </c>
      <c r="AQ327" s="52">
        <f t="shared" si="567"/>
        <v>0</v>
      </c>
      <c r="AR327" s="52">
        <f t="shared" si="568"/>
        <v>0</v>
      </c>
      <c r="AS327" s="52">
        <f t="shared" si="569"/>
        <v>0</v>
      </c>
      <c r="AT327" s="52">
        <f t="shared" si="570"/>
        <v>0</v>
      </c>
      <c r="AU327" s="52">
        <f t="shared" si="571"/>
        <v>0</v>
      </c>
      <c r="AV327" s="52">
        <f t="shared" si="571"/>
        <v>0</v>
      </c>
      <c r="AW327" s="52">
        <f t="shared" si="573"/>
        <v>0</v>
      </c>
      <c r="AX327" s="52">
        <f t="shared" si="574"/>
        <v>0</v>
      </c>
      <c r="AY327" s="52">
        <f t="shared" si="527"/>
        <v>0</v>
      </c>
      <c r="BA327" s="52">
        <f t="shared" si="501"/>
        <v>0</v>
      </c>
      <c r="BB327" s="52">
        <f t="shared" si="502"/>
        <v>0</v>
      </c>
      <c r="BC327" s="52">
        <f t="shared" si="503"/>
        <v>0</v>
      </c>
      <c r="BD327" s="52">
        <f t="shared" si="504"/>
        <v>0</v>
      </c>
      <c r="BE327" s="52">
        <f t="shared" si="505"/>
        <v>0</v>
      </c>
      <c r="BF327" s="52">
        <f t="shared" si="506"/>
        <v>0</v>
      </c>
      <c r="BG327" s="52">
        <f t="shared" si="507"/>
        <v>0</v>
      </c>
      <c r="BH327" s="52">
        <f t="shared" si="508"/>
        <v>0</v>
      </c>
      <c r="BI327" s="52">
        <f t="shared" si="509"/>
        <v>0</v>
      </c>
      <c r="BJ327" s="52">
        <f t="shared" si="510"/>
        <v>0</v>
      </c>
      <c r="BK327" s="52">
        <f t="shared" si="511"/>
        <v>0</v>
      </c>
      <c r="BL327" s="52">
        <f t="shared" si="512"/>
        <v>0</v>
      </c>
      <c r="BM327" s="52">
        <f t="shared" si="513"/>
        <v>0</v>
      </c>
      <c r="BN327" s="52">
        <f t="shared" si="514"/>
        <v>0</v>
      </c>
      <c r="BO327" s="52">
        <f t="shared" si="515"/>
        <v>0</v>
      </c>
      <c r="BP327" s="52">
        <f t="shared" si="516"/>
        <v>0</v>
      </c>
      <c r="BQ327" s="52">
        <f t="shared" si="517"/>
        <v>0</v>
      </c>
      <c r="BR327" s="52">
        <f t="shared" si="518"/>
        <v>0</v>
      </c>
      <c r="BS327" s="52">
        <f t="shared" si="519"/>
        <v>0</v>
      </c>
      <c r="BT327" s="52">
        <f t="shared" si="520"/>
        <v>0</v>
      </c>
      <c r="BU327" s="52">
        <f t="shared" si="521"/>
        <v>0</v>
      </c>
      <c r="BV327" s="52">
        <f t="shared" si="522"/>
        <v>0</v>
      </c>
      <c r="BW327" s="52">
        <f t="shared" si="523"/>
        <v>0</v>
      </c>
      <c r="BX327" s="52">
        <f t="shared" si="524"/>
        <v>0</v>
      </c>
      <c r="BZ327" s="52">
        <f t="shared" si="528"/>
        <v>0</v>
      </c>
      <c r="CA327" s="52">
        <f t="shared" si="529"/>
        <v>0</v>
      </c>
      <c r="CB327" s="52">
        <f t="shared" si="530"/>
        <v>0</v>
      </c>
      <c r="CC327" s="52">
        <f t="shared" si="531"/>
        <v>0</v>
      </c>
      <c r="CD327" s="52">
        <f t="shared" si="532"/>
        <v>0</v>
      </c>
      <c r="CE327" s="52">
        <f t="shared" si="533"/>
        <v>0</v>
      </c>
      <c r="CF327" s="52">
        <f t="shared" si="534"/>
        <v>0</v>
      </c>
      <c r="CG327" s="52">
        <f t="shared" si="535"/>
        <v>0</v>
      </c>
      <c r="CH327" s="52">
        <f t="shared" si="536"/>
        <v>0</v>
      </c>
      <c r="CI327" s="52">
        <f t="shared" si="537"/>
        <v>0</v>
      </c>
      <c r="CJ327" s="52">
        <f t="shared" si="538"/>
        <v>0</v>
      </c>
      <c r="CK327" s="52">
        <f t="shared" si="539"/>
        <v>0</v>
      </c>
      <c r="CL327" s="52">
        <f t="shared" si="540"/>
        <v>0</v>
      </c>
      <c r="CM327" s="52">
        <f t="shared" si="541"/>
        <v>0</v>
      </c>
      <c r="CN327" s="52">
        <f t="shared" si="542"/>
        <v>0</v>
      </c>
      <c r="CO327" s="52">
        <f t="shared" si="543"/>
        <v>0</v>
      </c>
      <c r="CP327" s="52">
        <f t="shared" si="551"/>
        <v>0</v>
      </c>
      <c r="CQ327" s="52">
        <f t="shared" si="544"/>
        <v>0</v>
      </c>
      <c r="CR327" s="52">
        <f t="shared" si="545"/>
        <v>0</v>
      </c>
      <c r="CS327" s="52">
        <f t="shared" si="546"/>
        <v>0</v>
      </c>
      <c r="CT327" s="52">
        <f t="shared" si="547"/>
        <v>0</v>
      </c>
      <c r="CU327" s="52">
        <f t="shared" si="548"/>
        <v>0</v>
      </c>
      <c r="CV327" s="52">
        <f t="shared" si="549"/>
        <v>0</v>
      </c>
      <c r="CW327" s="52">
        <f t="shared" si="550"/>
        <v>0</v>
      </c>
    </row>
    <row r="328" spans="1:101">
      <c r="A328" s="60">
        <v>45250</v>
      </c>
      <c r="B328" s="426"/>
      <c r="Z328" s="77"/>
      <c r="AB328">
        <f t="shared" si="552"/>
        <v>0</v>
      </c>
      <c r="AC328">
        <f t="shared" si="553"/>
        <v>0</v>
      </c>
      <c r="AD328">
        <f t="shared" si="554"/>
        <v>0</v>
      </c>
      <c r="AE328">
        <f t="shared" si="555"/>
        <v>0</v>
      </c>
      <c r="AF328">
        <f t="shared" si="556"/>
        <v>0</v>
      </c>
      <c r="AG328">
        <f t="shared" si="557"/>
        <v>0</v>
      </c>
      <c r="AH328">
        <f t="shared" si="558"/>
        <v>0</v>
      </c>
      <c r="AI328">
        <f t="shared" si="559"/>
        <v>0</v>
      </c>
      <c r="AJ328">
        <f t="shared" si="560"/>
        <v>0</v>
      </c>
      <c r="AK328">
        <f t="shared" si="561"/>
        <v>0</v>
      </c>
      <c r="AL328">
        <f t="shared" si="562"/>
        <v>0</v>
      </c>
      <c r="AM328">
        <f t="shared" si="563"/>
        <v>0</v>
      </c>
      <c r="AN328">
        <f t="shared" si="564"/>
        <v>0</v>
      </c>
      <c r="AO328">
        <f t="shared" si="565"/>
        <v>0</v>
      </c>
      <c r="AP328">
        <f t="shared" si="566"/>
        <v>0</v>
      </c>
      <c r="AQ328">
        <f t="shared" si="567"/>
        <v>0</v>
      </c>
      <c r="AR328">
        <f t="shared" si="568"/>
        <v>0</v>
      </c>
      <c r="AS328">
        <f t="shared" si="569"/>
        <v>0</v>
      </c>
      <c r="AT328">
        <f t="shared" si="570"/>
        <v>0</v>
      </c>
      <c r="AU328">
        <f t="shared" si="571"/>
        <v>0</v>
      </c>
      <c r="AV328">
        <f t="shared" si="572"/>
        <v>0</v>
      </c>
      <c r="AW328">
        <f t="shared" si="573"/>
        <v>0</v>
      </c>
      <c r="AX328">
        <f t="shared" si="574"/>
        <v>0</v>
      </c>
      <c r="AY328">
        <f t="shared" si="527"/>
        <v>0</v>
      </c>
      <c r="BA328">
        <f t="shared" si="501"/>
        <v>0</v>
      </c>
      <c r="BB328">
        <f t="shared" si="502"/>
        <v>0</v>
      </c>
      <c r="BC328">
        <f t="shared" si="503"/>
        <v>0</v>
      </c>
      <c r="BD328">
        <f t="shared" si="504"/>
        <v>0</v>
      </c>
      <c r="BE328">
        <f t="shared" si="505"/>
        <v>0</v>
      </c>
      <c r="BF328">
        <f t="shared" si="506"/>
        <v>0</v>
      </c>
      <c r="BG328">
        <f t="shared" si="507"/>
        <v>0</v>
      </c>
      <c r="BH328">
        <f t="shared" si="508"/>
        <v>0</v>
      </c>
      <c r="BI328">
        <f t="shared" si="509"/>
        <v>0</v>
      </c>
      <c r="BJ328">
        <f t="shared" si="510"/>
        <v>0</v>
      </c>
      <c r="BK328">
        <f t="shared" si="511"/>
        <v>0</v>
      </c>
      <c r="BL328">
        <f t="shared" si="512"/>
        <v>0</v>
      </c>
      <c r="BM328">
        <f t="shared" si="513"/>
        <v>0</v>
      </c>
      <c r="BN328">
        <f t="shared" si="514"/>
        <v>0</v>
      </c>
      <c r="BO328">
        <f t="shared" si="515"/>
        <v>0</v>
      </c>
      <c r="BP328">
        <f t="shared" si="516"/>
        <v>0</v>
      </c>
      <c r="BQ328">
        <f t="shared" si="517"/>
        <v>0</v>
      </c>
      <c r="BR328">
        <f t="shared" si="518"/>
        <v>0</v>
      </c>
      <c r="BS328">
        <f t="shared" si="519"/>
        <v>0</v>
      </c>
      <c r="BT328">
        <f t="shared" si="520"/>
        <v>0</v>
      </c>
      <c r="BU328">
        <f t="shared" si="521"/>
        <v>0</v>
      </c>
      <c r="BV328">
        <f t="shared" si="522"/>
        <v>0</v>
      </c>
      <c r="BW328">
        <f t="shared" si="523"/>
        <v>0</v>
      </c>
      <c r="BX328">
        <f t="shared" si="524"/>
        <v>0</v>
      </c>
      <c r="BZ328">
        <f t="shared" si="528"/>
        <v>0</v>
      </c>
      <c r="CA328">
        <f t="shared" si="529"/>
        <v>0</v>
      </c>
      <c r="CB328">
        <f t="shared" si="530"/>
        <v>0</v>
      </c>
      <c r="CC328">
        <f t="shared" si="531"/>
        <v>0</v>
      </c>
      <c r="CD328">
        <f t="shared" si="532"/>
        <v>0</v>
      </c>
      <c r="CE328">
        <f t="shared" si="533"/>
        <v>0</v>
      </c>
      <c r="CF328">
        <f t="shared" si="534"/>
        <v>0</v>
      </c>
      <c r="CG328">
        <f t="shared" si="535"/>
        <v>0</v>
      </c>
      <c r="CH328">
        <f t="shared" si="536"/>
        <v>0</v>
      </c>
      <c r="CI328">
        <f t="shared" si="537"/>
        <v>0</v>
      </c>
      <c r="CJ328">
        <f t="shared" si="538"/>
        <v>0</v>
      </c>
      <c r="CK328">
        <f t="shared" si="539"/>
        <v>0</v>
      </c>
      <c r="CL328">
        <f t="shared" si="540"/>
        <v>0</v>
      </c>
      <c r="CM328">
        <f t="shared" si="541"/>
        <v>0</v>
      </c>
      <c r="CN328">
        <f t="shared" si="542"/>
        <v>0</v>
      </c>
      <c r="CO328">
        <f t="shared" si="543"/>
        <v>0</v>
      </c>
      <c r="CP328">
        <f t="shared" si="551"/>
        <v>0</v>
      </c>
      <c r="CQ328">
        <f t="shared" si="544"/>
        <v>0</v>
      </c>
      <c r="CR328">
        <f t="shared" si="545"/>
        <v>0</v>
      </c>
      <c r="CS328">
        <f t="shared" si="546"/>
        <v>0</v>
      </c>
      <c r="CT328">
        <f t="shared" si="547"/>
        <v>0</v>
      </c>
      <c r="CU328">
        <f t="shared" si="548"/>
        <v>0</v>
      </c>
      <c r="CV328">
        <f t="shared" si="549"/>
        <v>0</v>
      </c>
      <c r="CW328">
        <f t="shared" si="550"/>
        <v>0</v>
      </c>
    </row>
    <row r="329" spans="1:101">
      <c r="A329" s="60">
        <v>45251</v>
      </c>
      <c r="B329" s="426"/>
      <c r="Z329" s="77"/>
      <c r="AB329" s="52">
        <f t="shared" si="552"/>
        <v>0</v>
      </c>
      <c r="AC329" s="52">
        <f t="shared" si="553"/>
        <v>0</v>
      </c>
      <c r="AD329" s="52">
        <f t="shared" si="554"/>
        <v>0</v>
      </c>
      <c r="AE329" s="52">
        <f t="shared" si="555"/>
        <v>0</v>
      </c>
      <c r="AF329" s="52">
        <f t="shared" si="556"/>
        <v>0</v>
      </c>
      <c r="AG329" s="52">
        <f t="shared" si="557"/>
        <v>0</v>
      </c>
      <c r="AH329" s="52">
        <f t="shared" si="558"/>
        <v>0</v>
      </c>
      <c r="AI329" s="52">
        <f t="shared" si="559"/>
        <v>0</v>
      </c>
      <c r="AJ329" s="52">
        <f t="shared" si="560"/>
        <v>0</v>
      </c>
      <c r="AK329" s="52">
        <f t="shared" si="561"/>
        <v>0</v>
      </c>
      <c r="AL329" s="52">
        <f t="shared" si="562"/>
        <v>0</v>
      </c>
      <c r="AM329" s="52">
        <f t="shared" si="563"/>
        <v>0</v>
      </c>
      <c r="AN329" s="52">
        <f t="shared" si="564"/>
        <v>0</v>
      </c>
      <c r="AO329" s="52">
        <f t="shared" si="565"/>
        <v>0</v>
      </c>
      <c r="AP329" s="52">
        <f t="shared" si="566"/>
        <v>0</v>
      </c>
      <c r="AQ329" s="52">
        <f t="shared" si="567"/>
        <v>0</v>
      </c>
      <c r="AR329" s="52">
        <f t="shared" si="568"/>
        <v>0</v>
      </c>
      <c r="AS329" s="52">
        <f t="shared" si="569"/>
        <v>0</v>
      </c>
      <c r="AT329" s="52">
        <f t="shared" si="570"/>
        <v>0</v>
      </c>
      <c r="AU329" s="52">
        <f t="shared" si="571"/>
        <v>0</v>
      </c>
      <c r="AV329" s="52">
        <f t="shared" si="572"/>
        <v>0</v>
      </c>
      <c r="AW329" s="52">
        <f t="shared" si="573"/>
        <v>0</v>
      </c>
      <c r="AX329" s="52">
        <f t="shared" si="574"/>
        <v>0</v>
      </c>
      <c r="AY329" s="52">
        <f t="shared" si="527"/>
        <v>0</v>
      </c>
      <c r="BA329" s="52">
        <f t="shared" si="501"/>
        <v>0</v>
      </c>
      <c r="BB329" s="52">
        <f t="shared" si="502"/>
        <v>0</v>
      </c>
      <c r="BC329" s="52">
        <f t="shared" si="503"/>
        <v>0</v>
      </c>
      <c r="BD329" s="52">
        <f t="shared" si="504"/>
        <v>0</v>
      </c>
      <c r="BE329" s="52">
        <f t="shared" si="505"/>
        <v>0</v>
      </c>
      <c r="BF329" s="52">
        <f t="shared" si="506"/>
        <v>0</v>
      </c>
      <c r="BG329" s="52">
        <f t="shared" si="507"/>
        <v>0</v>
      </c>
      <c r="BH329" s="52">
        <f t="shared" si="508"/>
        <v>0</v>
      </c>
      <c r="BI329" s="52">
        <f t="shared" si="509"/>
        <v>0</v>
      </c>
      <c r="BJ329" s="52">
        <f t="shared" si="510"/>
        <v>0</v>
      </c>
      <c r="BK329" s="52">
        <f t="shared" si="511"/>
        <v>0</v>
      </c>
      <c r="BL329" s="52">
        <f t="shared" si="512"/>
        <v>0</v>
      </c>
      <c r="BM329" s="52">
        <f t="shared" si="513"/>
        <v>0</v>
      </c>
      <c r="BN329" s="52">
        <f t="shared" si="514"/>
        <v>0</v>
      </c>
      <c r="BO329" s="52">
        <f t="shared" si="515"/>
        <v>0</v>
      </c>
      <c r="BP329" s="52">
        <f t="shared" si="516"/>
        <v>0</v>
      </c>
      <c r="BQ329" s="52">
        <f t="shared" si="517"/>
        <v>0</v>
      </c>
      <c r="BR329" s="52">
        <f t="shared" si="518"/>
        <v>0</v>
      </c>
      <c r="BS329" s="52">
        <f t="shared" si="519"/>
        <v>0</v>
      </c>
      <c r="BT329" s="52">
        <f t="shared" si="520"/>
        <v>0</v>
      </c>
      <c r="BU329" s="52">
        <f t="shared" si="521"/>
        <v>0</v>
      </c>
      <c r="BV329" s="52">
        <f t="shared" si="522"/>
        <v>0</v>
      </c>
      <c r="BW329" s="52">
        <f t="shared" si="523"/>
        <v>0</v>
      </c>
      <c r="BX329" s="52">
        <f t="shared" si="524"/>
        <v>0</v>
      </c>
      <c r="BZ329" s="52">
        <f t="shared" si="528"/>
        <v>0</v>
      </c>
      <c r="CA329" s="52">
        <f t="shared" si="529"/>
        <v>0</v>
      </c>
      <c r="CB329" s="52">
        <f t="shared" si="530"/>
        <v>0</v>
      </c>
      <c r="CC329" s="52">
        <f t="shared" si="531"/>
        <v>0</v>
      </c>
      <c r="CD329" s="52">
        <f t="shared" si="532"/>
        <v>0</v>
      </c>
      <c r="CE329" s="52">
        <f t="shared" si="533"/>
        <v>0</v>
      </c>
      <c r="CF329" s="52">
        <f t="shared" si="534"/>
        <v>0</v>
      </c>
      <c r="CG329" s="52">
        <f t="shared" si="535"/>
        <v>0</v>
      </c>
      <c r="CH329" s="52">
        <f t="shared" si="536"/>
        <v>0</v>
      </c>
      <c r="CI329" s="52">
        <f t="shared" si="537"/>
        <v>0</v>
      </c>
      <c r="CJ329" s="52">
        <f t="shared" si="538"/>
        <v>0</v>
      </c>
      <c r="CK329" s="52">
        <f t="shared" si="539"/>
        <v>0</v>
      </c>
      <c r="CL329" s="52">
        <f t="shared" si="540"/>
        <v>0</v>
      </c>
      <c r="CM329" s="52">
        <f t="shared" si="541"/>
        <v>0</v>
      </c>
      <c r="CN329" s="52">
        <f t="shared" si="542"/>
        <v>0</v>
      </c>
      <c r="CO329" s="52">
        <f t="shared" si="543"/>
        <v>0</v>
      </c>
      <c r="CP329" s="52">
        <f t="shared" si="551"/>
        <v>0</v>
      </c>
      <c r="CQ329" s="52">
        <f t="shared" si="544"/>
        <v>0</v>
      </c>
      <c r="CR329" s="52">
        <f t="shared" si="545"/>
        <v>0</v>
      </c>
      <c r="CS329" s="52">
        <f t="shared" si="546"/>
        <v>0</v>
      </c>
      <c r="CT329" s="52">
        <f t="shared" si="547"/>
        <v>0</v>
      </c>
      <c r="CU329" s="52">
        <f t="shared" si="548"/>
        <v>0</v>
      </c>
      <c r="CV329" s="52">
        <f t="shared" si="549"/>
        <v>0</v>
      </c>
      <c r="CW329" s="52">
        <f t="shared" si="550"/>
        <v>0</v>
      </c>
    </row>
    <row r="330" spans="1:101">
      <c r="A330" s="60">
        <v>45252</v>
      </c>
      <c r="B330" s="426"/>
      <c r="Z330" s="77"/>
      <c r="AB330">
        <f t="shared" si="552"/>
        <v>0</v>
      </c>
      <c r="AC330">
        <f t="shared" si="553"/>
        <v>0</v>
      </c>
      <c r="AD330">
        <f t="shared" si="554"/>
        <v>0</v>
      </c>
      <c r="AE330">
        <f t="shared" si="555"/>
        <v>0</v>
      </c>
      <c r="AF330">
        <f t="shared" si="556"/>
        <v>0</v>
      </c>
      <c r="AG330">
        <f t="shared" si="557"/>
        <v>0</v>
      </c>
      <c r="AH330">
        <f t="shared" si="558"/>
        <v>0</v>
      </c>
      <c r="AI330">
        <f t="shared" si="559"/>
        <v>0</v>
      </c>
      <c r="AJ330">
        <f t="shared" si="560"/>
        <v>0</v>
      </c>
      <c r="AK330">
        <f t="shared" si="561"/>
        <v>0</v>
      </c>
      <c r="AL330">
        <f t="shared" si="562"/>
        <v>0</v>
      </c>
      <c r="AM330">
        <f t="shared" si="563"/>
        <v>0</v>
      </c>
      <c r="AN330">
        <f t="shared" si="564"/>
        <v>0</v>
      </c>
      <c r="AO330">
        <f t="shared" si="565"/>
        <v>0</v>
      </c>
      <c r="AP330">
        <f t="shared" si="566"/>
        <v>0</v>
      </c>
      <c r="AQ330">
        <f t="shared" si="567"/>
        <v>0</v>
      </c>
      <c r="AR330">
        <f t="shared" si="568"/>
        <v>0</v>
      </c>
      <c r="AS330">
        <f t="shared" si="569"/>
        <v>0</v>
      </c>
      <c r="AT330">
        <f t="shared" si="570"/>
        <v>0</v>
      </c>
      <c r="AU330">
        <f t="shared" si="571"/>
        <v>0</v>
      </c>
      <c r="AV330">
        <f t="shared" si="572"/>
        <v>0</v>
      </c>
      <c r="AW330">
        <f t="shared" si="573"/>
        <v>0</v>
      </c>
      <c r="AX330">
        <f t="shared" si="574"/>
        <v>0</v>
      </c>
      <c r="AY330">
        <f t="shared" si="527"/>
        <v>0</v>
      </c>
      <c r="BA330">
        <f t="shared" si="501"/>
        <v>0</v>
      </c>
      <c r="BB330">
        <f t="shared" si="502"/>
        <v>0</v>
      </c>
      <c r="BC330">
        <f t="shared" si="503"/>
        <v>0</v>
      </c>
      <c r="BD330">
        <f t="shared" si="504"/>
        <v>0</v>
      </c>
      <c r="BE330">
        <f t="shared" si="505"/>
        <v>0</v>
      </c>
      <c r="BF330">
        <f t="shared" si="506"/>
        <v>0</v>
      </c>
      <c r="BG330">
        <f t="shared" si="507"/>
        <v>0</v>
      </c>
      <c r="BH330">
        <f t="shared" si="508"/>
        <v>0</v>
      </c>
      <c r="BI330">
        <f t="shared" si="509"/>
        <v>0</v>
      </c>
      <c r="BJ330">
        <f t="shared" si="510"/>
        <v>0</v>
      </c>
      <c r="BK330">
        <f t="shared" si="511"/>
        <v>0</v>
      </c>
      <c r="BL330">
        <f t="shared" si="512"/>
        <v>0</v>
      </c>
      <c r="BM330">
        <f t="shared" si="513"/>
        <v>0</v>
      </c>
      <c r="BN330">
        <f t="shared" si="514"/>
        <v>0</v>
      </c>
      <c r="BO330">
        <f t="shared" si="515"/>
        <v>0</v>
      </c>
      <c r="BP330">
        <f t="shared" si="516"/>
        <v>0</v>
      </c>
      <c r="BQ330">
        <f t="shared" si="517"/>
        <v>0</v>
      </c>
      <c r="BR330">
        <f t="shared" si="518"/>
        <v>0</v>
      </c>
      <c r="BS330">
        <f t="shared" si="519"/>
        <v>0</v>
      </c>
      <c r="BT330">
        <f t="shared" si="520"/>
        <v>0</v>
      </c>
      <c r="BU330">
        <f t="shared" si="521"/>
        <v>0</v>
      </c>
      <c r="BV330">
        <f t="shared" si="522"/>
        <v>0</v>
      </c>
      <c r="BW330">
        <f t="shared" si="523"/>
        <v>0</v>
      </c>
      <c r="BX330">
        <f t="shared" si="524"/>
        <v>0</v>
      </c>
      <c r="BZ330">
        <f t="shared" si="528"/>
        <v>0</v>
      </c>
      <c r="CA330">
        <f t="shared" si="529"/>
        <v>0</v>
      </c>
      <c r="CB330">
        <f t="shared" si="530"/>
        <v>0</v>
      </c>
      <c r="CC330">
        <f t="shared" si="531"/>
        <v>0</v>
      </c>
      <c r="CD330">
        <f t="shared" si="532"/>
        <v>0</v>
      </c>
      <c r="CE330">
        <f t="shared" si="533"/>
        <v>0</v>
      </c>
      <c r="CF330">
        <f t="shared" si="534"/>
        <v>0</v>
      </c>
      <c r="CG330">
        <f t="shared" si="535"/>
        <v>0</v>
      </c>
      <c r="CH330">
        <f t="shared" si="536"/>
        <v>0</v>
      </c>
      <c r="CI330">
        <f t="shared" si="537"/>
        <v>0</v>
      </c>
      <c r="CJ330">
        <f t="shared" si="538"/>
        <v>0</v>
      </c>
      <c r="CK330">
        <f t="shared" si="539"/>
        <v>0</v>
      </c>
      <c r="CL330">
        <f t="shared" si="540"/>
        <v>0</v>
      </c>
      <c r="CM330">
        <f t="shared" si="541"/>
        <v>0</v>
      </c>
      <c r="CN330">
        <f t="shared" si="542"/>
        <v>0</v>
      </c>
      <c r="CO330">
        <f t="shared" si="543"/>
        <v>0</v>
      </c>
      <c r="CP330">
        <f t="shared" si="551"/>
        <v>0</v>
      </c>
      <c r="CQ330">
        <f t="shared" si="544"/>
        <v>0</v>
      </c>
      <c r="CR330">
        <f t="shared" si="545"/>
        <v>0</v>
      </c>
      <c r="CS330">
        <f t="shared" si="546"/>
        <v>0</v>
      </c>
      <c r="CT330">
        <f t="shared" si="547"/>
        <v>0</v>
      </c>
      <c r="CU330">
        <f t="shared" si="548"/>
        <v>0</v>
      </c>
      <c r="CV330">
        <f t="shared" si="549"/>
        <v>0</v>
      </c>
      <c r="CW330">
        <f t="shared" si="550"/>
        <v>0</v>
      </c>
    </row>
    <row r="331" spans="1:101">
      <c r="A331" s="60">
        <v>45253</v>
      </c>
      <c r="B331" s="426"/>
      <c r="Z331" s="77"/>
      <c r="AB331" s="52">
        <f t="shared" si="552"/>
        <v>0</v>
      </c>
      <c r="AC331" s="52">
        <f t="shared" si="553"/>
        <v>0</v>
      </c>
      <c r="AD331" s="52">
        <f t="shared" si="554"/>
        <v>0</v>
      </c>
      <c r="AE331" s="52">
        <f t="shared" si="555"/>
        <v>0</v>
      </c>
      <c r="AF331" s="52">
        <f t="shared" si="556"/>
        <v>0</v>
      </c>
      <c r="AG331" s="52">
        <f t="shared" si="557"/>
        <v>0</v>
      </c>
      <c r="AH331" s="52">
        <f t="shared" si="558"/>
        <v>0</v>
      </c>
      <c r="AI331" s="52">
        <f t="shared" si="559"/>
        <v>0</v>
      </c>
      <c r="AJ331" s="52">
        <f t="shared" si="560"/>
        <v>0</v>
      </c>
      <c r="AK331" s="52">
        <f t="shared" si="561"/>
        <v>0</v>
      </c>
      <c r="AL331" s="52">
        <f t="shared" si="562"/>
        <v>0</v>
      </c>
      <c r="AM331" s="52">
        <f t="shared" si="563"/>
        <v>0</v>
      </c>
      <c r="AN331" s="52">
        <f t="shared" si="564"/>
        <v>0</v>
      </c>
      <c r="AO331" s="52">
        <f t="shared" si="565"/>
        <v>0</v>
      </c>
      <c r="AP331" s="52">
        <f t="shared" si="566"/>
        <v>0</v>
      </c>
      <c r="AQ331" s="52">
        <f t="shared" si="567"/>
        <v>0</v>
      </c>
      <c r="AR331" s="52">
        <f t="shared" si="568"/>
        <v>0</v>
      </c>
      <c r="AS331" s="52">
        <f t="shared" si="569"/>
        <v>0</v>
      </c>
      <c r="AT331" s="52">
        <f t="shared" si="570"/>
        <v>0</v>
      </c>
      <c r="AU331" s="52">
        <f t="shared" si="571"/>
        <v>0</v>
      </c>
      <c r="AV331" s="52">
        <f t="shared" si="572"/>
        <v>0</v>
      </c>
      <c r="AW331" s="52">
        <f t="shared" si="573"/>
        <v>0</v>
      </c>
      <c r="AX331" s="52">
        <f t="shared" si="574"/>
        <v>0</v>
      </c>
      <c r="AY331" s="52">
        <f t="shared" si="527"/>
        <v>0</v>
      </c>
      <c r="BA331" s="52">
        <f t="shared" si="501"/>
        <v>0</v>
      </c>
      <c r="BB331" s="52">
        <f t="shared" si="502"/>
        <v>0</v>
      </c>
      <c r="BC331" s="52">
        <f t="shared" si="503"/>
        <v>0</v>
      </c>
      <c r="BD331" s="52">
        <f t="shared" si="504"/>
        <v>0</v>
      </c>
      <c r="BE331" s="52">
        <f t="shared" si="505"/>
        <v>0</v>
      </c>
      <c r="BF331" s="52">
        <f t="shared" si="506"/>
        <v>0</v>
      </c>
      <c r="BG331" s="52">
        <f t="shared" si="507"/>
        <v>0</v>
      </c>
      <c r="BH331" s="52">
        <f t="shared" si="508"/>
        <v>0</v>
      </c>
      <c r="BI331" s="52">
        <f t="shared" si="509"/>
        <v>0</v>
      </c>
      <c r="BJ331" s="52">
        <f t="shared" si="510"/>
        <v>0</v>
      </c>
      <c r="BK331" s="52">
        <f t="shared" si="511"/>
        <v>0</v>
      </c>
      <c r="BL331" s="52">
        <f t="shared" si="512"/>
        <v>0</v>
      </c>
      <c r="BM331" s="52">
        <f t="shared" si="513"/>
        <v>0</v>
      </c>
      <c r="BN331" s="52">
        <f t="shared" si="514"/>
        <v>0</v>
      </c>
      <c r="BO331" s="52">
        <f t="shared" si="515"/>
        <v>0</v>
      </c>
      <c r="BP331" s="52">
        <f t="shared" si="516"/>
        <v>0</v>
      </c>
      <c r="BQ331" s="52">
        <f t="shared" si="517"/>
        <v>0</v>
      </c>
      <c r="BR331" s="52">
        <f t="shared" si="518"/>
        <v>0</v>
      </c>
      <c r="BS331" s="52">
        <f t="shared" si="519"/>
        <v>0</v>
      </c>
      <c r="BT331" s="52">
        <f t="shared" si="520"/>
        <v>0</v>
      </c>
      <c r="BU331" s="52">
        <f t="shared" si="521"/>
        <v>0</v>
      </c>
      <c r="BV331" s="52">
        <f t="shared" si="522"/>
        <v>0</v>
      </c>
      <c r="BW331" s="52">
        <f t="shared" si="523"/>
        <v>0</v>
      </c>
      <c r="BX331" s="52">
        <f t="shared" si="524"/>
        <v>0</v>
      </c>
      <c r="BZ331" s="52">
        <f t="shared" si="528"/>
        <v>0</v>
      </c>
      <c r="CA331" s="52">
        <f t="shared" si="529"/>
        <v>0</v>
      </c>
      <c r="CB331" s="52">
        <f t="shared" si="530"/>
        <v>0</v>
      </c>
      <c r="CC331" s="52">
        <f t="shared" si="531"/>
        <v>0</v>
      </c>
      <c r="CD331" s="52">
        <f t="shared" si="532"/>
        <v>0</v>
      </c>
      <c r="CE331" s="52">
        <f t="shared" si="533"/>
        <v>0</v>
      </c>
      <c r="CF331" s="52">
        <f t="shared" si="534"/>
        <v>0</v>
      </c>
      <c r="CG331" s="52">
        <f t="shared" si="535"/>
        <v>0</v>
      </c>
      <c r="CH331" s="52">
        <f t="shared" si="536"/>
        <v>0</v>
      </c>
      <c r="CI331" s="52">
        <f t="shared" si="537"/>
        <v>0</v>
      </c>
      <c r="CJ331" s="52">
        <f t="shared" si="538"/>
        <v>0</v>
      </c>
      <c r="CK331" s="52">
        <f t="shared" si="539"/>
        <v>0</v>
      </c>
      <c r="CL331" s="52">
        <f t="shared" si="540"/>
        <v>0</v>
      </c>
      <c r="CM331" s="52">
        <f t="shared" si="541"/>
        <v>0</v>
      </c>
      <c r="CN331" s="52">
        <f t="shared" si="542"/>
        <v>0</v>
      </c>
      <c r="CO331" s="52">
        <f t="shared" si="543"/>
        <v>0</v>
      </c>
      <c r="CP331" s="52">
        <f t="shared" si="551"/>
        <v>0</v>
      </c>
      <c r="CQ331" s="52">
        <f t="shared" si="544"/>
        <v>0</v>
      </c>
      <c r="CR331" s="52">
        <f t="shared" si="545"/>
        <v>0</v>
      </c>
      <c r="CS331" s="52">
        <f t="shared" si="546"/>
        <v>0</v>
      </c>
      <c r="CT331" s="52">
        <f t="shared" si="547"/>
        <v>0</v>
      </c>
      <c r="CU331" s="52">
        <f t="shared" si="548"/>
        <v>0</v>
      </c>
      <c r="CV331" s="52">
        <f t="shared" si="549"/>
        <v>0</v>
      </c>
      <c r="CW331" s="52">
        <f t="shared" si="550"/>
        <v>0</v>
      </c>
    </row>
    <row r="332" spans="1:101">
      <c r="A332" s="60">
        <v>45254</v>
      </c>
      <c r="B332" s="426"/>
      <c r="Z332" s="77"/>
      <c r="AB332">
        <f>+IF(AND(B332=0,C332&lt;&gt;0),1,0)</f>
        <v>0</v>
      </c>
      <c r="AC332">
        <f t="shared" si="553"/>
        <v>0</v>
      </c>
      <c r="AD332">
        <f t="shared" si="554"/>
        <v>0</v>
      </c>
      <c r="AE332">
        <f t="shared" si="555"/>
        <v>0</v>
      </c>
      <c r="AF332">
        <f t="shared" si="556"/>
        <v>0</v>
      </c>
      <c r="AG332">
        <f t="shared" si="557"/>
        <v>0</v>
      </c>
      <c r="AH332">
        <f t="shared" si="558"/>
        <v>0</v>
      </c>
      <c r="AI332">
        <f t="shared" si="559"/>
        <v>0</v>
      </c>
      <c r="AJ332">
        <f t="shared" si="560"/>
        <v>0</v>
      </c>
      <c r="AK332">
        <f t="shared" si="561"/>
        <v>0</v>
      </c>
      <c r="AL332">
        <f t="shared" si="562"/>
        <v>0</v>
      </c>
      <c r="AM332">
        <f t="shared" si="563"/>
        <v>0</v>
      </c>
      <c r="AN332">
        <f t="shared" si="564"/>
        <v>0</v>
      </c>
      <c r="AO332">
        <f t="shared" si="565"/>
        <v>0</v>
      </c>
      <c r="AP332">
        <f t="shared" si="566"/>
        <v>0</v>
      </c>
      <c r="AQ332">
        <f t="shared" si="567"/>
        <v>0</v>
      </c>
      <c r="AR332">
        <f t="shared" si="568"/>
        <v>0</v>
      </c>
      <c r="AS332">
        <f t="shared" si="569"/>
        <v>0</v>
      </c>
      <c r="AT332">
        <f t="shared" si="570"/>
        <v>0</v>
      </c>
      <c r="AU332">
        <f t="shared" si="571"/>
        <v>0</v>
      </c>
      <c r="AV332">
        <f t="shared" si="572"/>
        <v>0</v>
      </c>
      <c r="AW332">
        <f t="shared" si="573"/>
        <v>0</v>
      </c>
      <c r="AX332">
        <f t="shared" si="574"/>
        <v>0</v>
      </c>
      <c r="AY332">
        <f t="shared" si="527"/>
        <v>0</v>
      </c>
      <c r="BA332">
        <f t="shared" si="501"/>
        <v>0</v>
      </c>
      <c r="BB332">
        <f t="shared" si="502"/>
        <v>0</v>
      </c>
      <c r="BC332">
        <f t="shared" si="503"/>
        <v>0</v>
      </c>
      <c r="BD332">
        <f t="shared" si="504"/>
        <v>0</v>
      </c>
      <c r="BE332">
        <f t="shared" si="505"/>
        <v>0</v>
      </c>
      <c r="BF332">
        <f t="shared" si="506"/>
        <v>0</v>
      </c>
      <c r="BG332">
        <f t="shared" si="507"/>
        <v>0</v>
      </c>
      <c r="BH332">
        <f t="shared" si="508"/>
        <v>0</v>
      </c>
      <c r="BI332">
        <f t="shared" si="509"/>
        <v>0</v>
      </c>
      <c r="BJ332">
        <f t="shared" si="510"/>
        <v>0</v>
      </c>
      <c r="BK332">
        <f t="shared" si="511"/>
        <v>0</v>
      </c>
      <c r="BL332">
        <f t="shared" si="512"/>
        <v>0</v>
      </c>
      <c r="BM332">
        <f t="shared" si="513"/>
        <v>0</v>
      </c>
      <c r="BN332">
        <f t="shared" si="514"/>
        <v>0</v>
      </c>
      <c r="BO332">
        <f t="shared" si="515"/>
        <v>0</v>
      </c>
      <c r="BP332">
        <f t="shared" si="516"/>
        <v>0</v>
      </c>
      <c r="BQ332">
        <f t="shared" si="517"/>
        <v>0</v>
      </c>
      <c r="BR332">
        <f t="shared" si="518"/>
        <v>0</v>
      </c>
      <c r="BS332">
        <f t="shared" si="519"/>
        <v>0</v>
      </c>
      <c r="BT332">
        <f t="shared" si="520"/>
        <v>0</v>
      </c>
      <c r="BU332">
        <f t="shared" si="521"/>
        <v>0</v>
      </c>
      <c r="BV332">
        <f t="shared" si="522"/>
        <v>0</v>
      </c>
      <c r="BW332">
        <f t="shared" si="523"/>
        <v>0</v>
      </c>
      <c r="BX332">
        <f t="shared" si="524"/>
        <v>0</v>
      </c>
      <c r="BZ332">
        <f t="shared" si="528"/>
        <v>0</v>
      </c>
      <c r="CA332">
        <f t="shared" si="529"/>
        <v>0</v>
      </c>
      <c r="CB332">
        <f t="shared" si="530"/>
        <v>0</v>
      </c>
      <c r="CC332">
        <f t="shared" si="531"/>
        <v>0</v>
      </c>
      <c r="CD332">
        <f t="shared" si="532"/>
        <v>0</v>
      </c>
      <c r="CE332">
        <f t="shared" si="533"/>
        <v>0</v>
      </c>
      <c r="CF332">
        <f t="shared" si="534"/>
        <v>0</v>
      </c>
      <c r="CG332">
        <f t="shared" si="535"/>
        <v>0</v>
      </c>
      <c r="CH332">
        <f t="shared" si="536"/>
        <v>0</v>
      </c>
      <c r="CI332">
        <f t="shared" si="537"/>
        <v>0</v>
      </c>
      <c r="CJ332">
        <f t="shared" si="538"/>
        <v>0</v>
      </c>
      <c r="CK332">
        <f t="shared" si="539"/>
        <v>0</v>
      </c>
      <c r="CL332">
        <f t="shared" si="540"/>
        <v>0</v>
      </c>
      <c r="CM332">
        <f t="shared" si="541"/>
        <v>0</v>
      </c>
      <c r="CN332">
        <f t="shared" si="542"/>
        <v>0</v>
      </c>
      <c r="CO332">
        <f t="shared" si="543"/>
        <v>0</v>
      </c>
      <c r="CP332">
        <f t="shared" si="551"/>
        <v>0</v>
      </c>
      <c r="CQ332">
        <f t="shared" si="544"/>
        <v>0</v>
      </c>
      <c r="CR332">
        <f t="shared" si="545"/>
        <v>0</v>
      </c>
      <c r="CS332">
        <f t="shared" si="546"/>
        <v>0</v>
      </c>
      <c r="CT332">
        <f t="shared" si="547"/>
        <v>0</v>
      </c>
      <c r="CU332">
        <f t="shared" si="548"/>
        <v>0</v>
      </c>
      <c r="CV332">
        <f t="shared" si="549"/>
        <v>0</v>
      </c>
      <c r="CW332">
        <f t="shared" si="550"/>
        <v>0</v>
      </c>
    </row>
    <row r="333" spans="1:101">
      <c r="A333" s="60">
        <v>45255</v>
      </c>
      <c r="B333" s="426"/>
      <c r="Z333" s="77"/>
      <c r="AB333" s="52">
        <f t="shared" si="552"/>
        <v>0</v>
      </c>
      <c r="AC333" s="52">
        <f t="shared" si="553"/>
        <v>0</v>
      </c>
      <c r="AD333" s="52">
        <f t="shared" si="554"/>
        <v>0</v>
      </c>
      <c r="AE333" s="52">
        <f t="shared" si="555"/>
        <v>0</v>
      </c>
      <c r="AF333" s="52">
        <f t="shared" si="556"/>
        <v>0</v>
      </c>
      <c r="AG333" s="52">
        <f t="shared" si="557"/>
        <v>0</v>
      </c>
      <c r="AH333" s="52">
        <f t="shared" si="558"/>
        <v>0</v>
      </c>
      <c r="AI333" s="52">
        <f t="shared" si="559"/>
        <v>0</v>
      </c>
      <c r="AJ333" s="52">
        <f t="shared" si="560"/>
        <v>0</v>
      </c>
      <c r="AK333" s="52">
        <f t="shared" si="561"/>
        <v>0</v>
      </c>
      <c r="AL333" s="52">
        <f t="shared" si="562"/>
        <v>0</v>
      </c>
      <c r="AM333" s="52">
        <f t="shared" si="563"/>
        <v>0</v>
      </c>
      <c r="AN333" s="52">
        <f t="shared" si="564"/>
        <v>0</v>
      </c>
      <c r="AO333" s="52">
        <f t="shared" si="565"/>
        <v>0</v>
      </c>
      <c r="AP333" s="52">
        <f t="shared" si="566"/>
        <v>0</v>
      </c>
      <c r="AQ333" s="52">
        <f t="shared" si="567"/>
        <v>0</v>
      </c>
      <c r="AR333" s="52">
        <f t="shared" si="568"/>
        <v>0</v>
      </c>
      <c r="AS333" s="52">
        <f t="shared" si="569"/>
        <v>0</v>
      </c>
      <c r="AT333" s="52">
        <f t="shared" si="570"/>
        <v>0</v>
      </c>
      <c r="AU333" s="52">
        <f t="shared" si="571"/>
        <v>0</v>
      </c>
      <c r="AV333" s="52">
        <f t="shared" si="572"/>
        <v>0</v>
      </c>
      <c r="AW333" s="52">
        <f t="shared" si="573"/>
        <v>0</v>
      </c>
      <c r="AX333" s="52">
        <f t="shared" si="574"/>
        <v>0</v>
      </c>
      <c r="AY333" s="52">
        <f t="shared" si="527"/>
        <v>0</v>
      </c>
      <c r="BA333" s="52">
        <f t="shared" si="501"/>
        <v>0</v>
      </c>
      <c r="BB333" s="52">
        <f t="shared" si="502"/>
        <v>0</v>
      </c>
      <c r="BC333" s="52">
        <f t="shared" si="503"/>
        <v>0</v>
      </c>
      <c r="BD333" s="52">
        <f t="shared" si="504"/>
        <v>0</v>
      </c>
      <c r="BE333" s="52">
        <f t="shared" si="505"/>
        <v>0</v>
      </c>
      <c r="BF333" s="52">
        <f t="shared" si="506"/>
        <v>0</v>
      </c>
      <c r="BG333" s="52">
        <f t="shared" si="507"/>
        <v>0</v>
      </c>
      <c r="BH333" s="52">
        <f t="shared" si="508"/>
        <v>0</v>
      </c>
      <c r="BI333" s="52">
        <f t="shared" si="509"/>
        <v>0</v>
      </c>
      <c r="BJ333" s="52">
        <f t="shared" si="510"/>
        <v>0</v>
      </c>
      <c r="BK333" s="52">
        <f t="shared" si="511"/>
        <v>0</v>
      </c>
      <c r="BL333" s="52">
        <f t="shared" si="512"/>
        <v>0</v>
      </c>
      <c r="BM333" s="52">
        <f t="shared" si="513"/>
        <v>0</v>
      </c>
      <c r="BN333" s="52">
        <f t="shared" si="514"/>
        <v>0</v>
      </c>
      <c r="BO333" s="52">
        <f t="shared" si="515"/>
        <v>0</v>
      </c>
      <c r="BP333" s="52">
        <f t="shared" si="516"/>
        <v>0</v>
      </c>
      <c r="BQ333" s="52">
        <f t="shared" si="517"/>
        <v>0</v>
      </c>
      <c r="BR333" s="52">
        <f t="shared" si="518"/>
        <v>0</v>
      </c>
      <c r="BS333" s="52">
        <f t="shared" si="519"/>
        <v>0</v>
      </c>
      <c r="BT333" s="52">
        <f t="shared" si="520"/>
        <v>0</v>
      </c>
      <c r="BU333" s="52">
        <f t="shared" si="521"/>
        <v>0</v>
      </c>
      <c r="BV333" s="52">
        <f t="shared" si="522"/>
        <v>0</v>
      </c>
      <c r="BW333" s="52">
        <f t="shared" si="523"/>
        <v>0</v>
      </c>
      <c r="BX333" s="52">
        <f t="shared" si="524"/>
        <v>0</v>
      </c>
      <c r="BZ333" s="52">
        <f t="shared" si="528"/>
        <v>0</v>
      </c>
      <c r="CA333" s="52">
        <f t="shared" si="529"/>
        <v>0</v>
      </c>
      <c r="CB333" s="52">
        <f t="shared" si="530"/>
        <v>0</v>
      </c>
      <c r="CC333" s="52">
        <f t="shared" si="531"/>
        <v>0</v>
      </c>
      <c r="CD333" s="52">
        <f t="shared" si="532"/>
        <v>0</v>
      </c>
      <c r="CE333" s="52">
        <f t="shared" si="533"/>
        <v>0</v>
      </c>
      <c r="CF333" s="52">
        <f t="shared" si="534"/>
        <v>0</v>
      </c>
      <c r="CG333" s="52">
        <f t="shared" si="535"/>
        <v>0</v>
      </c>
      <c r="CH333" s="52">
        <f t="shared" si="536"/>
        <v>0</v>
      </c>
      <c r="CI333" s="52">
        <f t="shared" si="537"/>
        <v>0</v>
      </c>
      <c r="CJ333" s="52">
        <f t="shared" si="538"/>
        <v>0</v>
      </c>
      <c r="CK333" s="52">
        <f t="shared" si="539"/>
        <v>0</v>
      </c>
      <c r="CL333" s="52">
        <f t="shared" si="540"/>
        <v>0</v>
      </c>
      <c r="CM333" s="52">
        <f t="shared" si="541"/>
        <v>0</v>
      </c>
      <c r="CN333" s="52">
        <f t="shared" si="542"/>
        <v>0</v>
      </c>
      <c r="CO333" s="52">
        <f t="shared" si="543"/>
        <v>0</v>
      </c>
      <c r="CP333" s="52">
        <f t="shared" si="551"/>
        <v>0</v>
      </c>
      <c r="CQ333" s="52">
        <f t="shared" si="544"/>
        <v>0</v>
      </c>
      <c r="CR333" s="52">
        <f t="shared" si="545"/>
        <v>0</v>
      </c>
      <c r="CS333" s="52">
        <f t="shared" si="546"/>
        <v>0</v>
      </c>
      <c r="CT333" s="52">
        <f t="shared" si="547"/>
        <v>0</v>
      </c>
      <c r="CU333" s="52">
        <f t="shared" si="548"/>
        <v>0</v>
      </c>
      <c r="CV333" s="52">
        <f t="shared" si="549"/>
        <v>0</v>
      </c>
      <c r="CW333" s="52">
        <f t="shared" si="550"/>
        <v>0</v>
      </c>
    </row>
    <row r="334" spans="1:101">
      <c r="A334" s="60">
        <v>45256</v>
      </c>
      <c r="B334" s="426"/>
      <c r="Z334" s="77"/>
      <c r="AB334">
        <f t="shared" si="552"/>
        <v>0</v>
      </c>
      <c r="AC334">
        <f t="shared" si="553"/>
        <v>0</v>
      </c>
      <c r="AD334">
        <f t="shared" si="554"/>
        <v>0</v>
      </c>
      <c r="AE334">
        <f t="shared" si="555"/>
        <v>0</v>
      </c>
      <c r="AF334">
        <f t="shared" si="556"/>
        <v>0</v>
      </c>
      <c r="AG334">
        <f t="shared" si="557"/>
        <v>0</v>
      </c>
      <c r="AH334">
        <f t="shared" si="558"/>
        <v>0</v>
      </c>
      <c r="AI334">
        <f t="shared" si="559"/>
        <v>0</v>
      </c>
      <c r="AJ334">
        <f t="shared" si="560"/>
        <v>0</v>
      </c>
      <c r="AK334">
        <f t="shared" si="561"/>
        <v>0</v>
      </c>
      <c r="AL334">
        <f t="shared" si="562"/>
        <v>0</v>
      </c>
      <c r="AM334">
        <f t="shared" si="563"/>
        <v>0</v>
      </c>
      <c r="AN334">
        <f t="shared" si="564"/>
        <v>0</v>
      </c>
      <c r="AO334">
        <f t="shared" si="565"/>
        <v>0</v>
      </c>
      <c r="AP334">
        <f t="shared" si="566"/>
        <v>0</v>
      </c>
      <c r="AQ334">
        <f t="shared" si="567"/>
        <v>0</v>
      </c>
      <c r="AR334">
        <f t="shared" si="568"/>
        <v>0</v>
      </c>
      <c r="AS334">
        <f t="shared" si="569"/>
        <v>0</v>
      </c>
      <c r="AT334">
        <f t="shared" si="570"/>
        <v>0</v>
      </c>
      <c r="AU334">
        <f t="shared" si="571"/>
        <v>0</v>
      </c>
      <c r="AV334">
        <f t="shared" si="572"/>
        <v>0</v>
      </c>
      <c r="AW334">
        <f t="shared" si="573"/>
        <v>0</v>
      </c>
      <c r="AX334">
        <f t="shared" si="574"/>
        <v>0</v>
      </c>
      <c r="AY334">
        <f t="shared" si="527"/>
        <v>0</v>
      </c>
      <c r="BA334">
        <f t="shared" si="501"/>
        <v>0</v>
      </c>
      <c r="BB334">
        <f t="shared" si="502"/>
        <v>0</v>
      </c>
      <c r="BC334">
        <f t="shared" si="503"/>
        <v>0</v>
      </c>
      <c r="BD334">
        <f t="shared" si="504"/>
        <v>0</v>
      </c>
      <c r="BE334">
        <f t="shared" si="505"/>
        <v>0</v>
      </c>
      <c r="BF334">
        <f t="shared" si="506"/>
        <v>0</v>
      </c>
      <c r="BG334">
        <f t="shared" si="507"/>
        <v>0</v>
      </c>
      <c r="BH334">
        <f t="shared" si="508"/>
        <v>0</v>
      </c>
      <c r="BI334">
        <f t="shared" si="509"/>
        <v>0</v>
      </c>
      <c r="BJ334">
        <f t="shared" si="510"/>
        <v>0</v>
      </c>
      <c r="BK334">
        <f t="shared" si="511"/>
        <v>0</v>
      </c>
      <c r="BL334">
        <f t="shared" si="512"/>
        <v>0</v>
      </c>
      <c r="BM334">
        <f t="shared" si="513"/>
        <v>0</v>
      </c>
      <c r="BN334">
        <f t="shared" si="514"/>
        <v>0</v>
      </c>
      <c r="BO334">
        <f t="shared" si="515"/>
        <v>0</v>
      </c>
      <c r="BP334">
        <f t="shared" si="516"/>
        <v>0</v>
      </c>
      <c r="BQ334">
        <f t="shared" si="517"/>
        <v>0</v>
      </c>
      <c r="BR334">
        <f t="shared" si="518"/>
        <v>0</v>
      </c>
      <c r="BS334">
        <f t="shared" si="519"/>
        <v>0</v>
      </c>
      <c r="BT334">
        <f t="shared" si="520"/>
        <v>0</v>
      </c>
      <c r="BU334">
        <f t="shared" si="521"/>
        <v>0</v>
      </c>
      <c r="BV334">
        <f t="shared" si="522"/>
        <v>0</v>
      </c>
      <c r="BW334">
        <f t="shared" si="523"/>
        <v>0</v>
      </c>
      <c r="BX334">
        <f t="shared" si="524"/>
        <v>0</v>
      </c>
      <c r="BZ334">
        <f t="shared" si="528"/>
        <v>0</v>
      </c>
      <c r="CA334">
        <f t="shared" si="529"/>
        <v>0</v>
      </c>
      <c r="CB334">
        <f t="shared" si="530"/>
        <v>0</v>
      </c>
      <c r="CC334">
        <f t="shared" si="531"/>
        <v>0</v>
      </c>
      <c r="CD334">
        <f t="shared" si="532"/>
        <v>0</v>
      </c>
      <c r="CE334">
        <f t="shared" si="533"/>
        <v>0</v>
      </c>
      <c r="CF334">
        <f t="shared" si="534"/>
        <v>0</v>
      </c>
      <c r="CG334">
        <f t="shared" si="535"/>
        <v>0</v>
      </c>
      <c r="CH334">
        <f t="shared" si="536"/>
        <v>0</v>
      </c>
      <c r="CI334">
        <f t="shared" si="537"/>
        <v>0</v>
      </c>
      <c r="CJ334">
        <f t="shared" si="538"/>
        <v>0</v>
      </c>
      <c r="CK334">
        <f t="shared" si="539"/>
        <v>0</v>
      </c>
      <c r="CL334">
        <f t="shared" si="540"/>
        <v>0</v>
      </c>
      <c r="CM334">
        <f t="shared" si="541"/>
        <v>0</v>
      </c>
      <c r="CN334">
        <f t="shared" si="542"/>
        <v>0</v>
      </c>
      <c r="CO334">
        <f t="shared" si="543"/>
        <v>0</v>
      </c>
      <c r="CP334">
        <f t="shared" si="551"/>
        <v>0</v>
      </c>
      <c r="CQ334">
        <f t="shared" si="544"/>
        <v>0</v>
      </c>
      <c r="CR334">
        <f t="shared" si="545"/>
        <v>0</v>
      </c>
      <c r="CS334">
        <f t="shared" si="546"/>
        <v>0</v>
      </c>
      <c r="CT334">
        <f t="shared" si="547"/>
        <v>0</v>
      </c>
      <c r="CU334">
        <f t="shared" si="548"/>
        <v>0</v>
      </c>
      <c r="CV334">
        <f t="shared" si="549"/>
        <v>0</v>
      </c>
      <c r="CW334">
        <f t="shared" si="550"/>
        <v>0</v>
      </c>
    </row>
    <row r="335" spans="1:101">
      <c r="A335" s="60">
        <v>45257</v>
      </c>
      <c r="B335" s="426"/>
      <c r="Z335" s="77"/>
      <c r="AB335" s="52">
        <f t="shared" si="552"/>
        <v>0</v>
      </c>
      <c r="AC335" s="52">
        <f t="shared" si="553"/>
        <v>0</v>
      </c>
      <c r="AD335" s="52">
        <f t="shared" si="554"/>
        <v>0</v>
      </c>
      <c r="AE335" s="52">
        <f t="shared" si="555"/>
        <v>0</v>
      </c>
      <c r="AF335" s="52">
        <f t="shared" si="556"/>
        <v>0</v>
      </c>
      <c r="AG335" s="52">
        <f t="shared" si="557"/>
        <v>0</v>
      </c>
      <c r="AH335" s="52">
        <f t="shared" si="558"/>
        <v>0</v>
      </c>
      <c r="AI335" s="52">
        <f t="shared" si="559"/>
        <v>0</v>
      </c>
      <c r="AJ335" s="52">
        <f t="shared" si="560"/>
        <v>0</v>
      </c>
      <c r="AK335" s="52">
        <f t="shared" si="561"/>
        <v>0</v>
      </c>
      <c r="AL335" s="52">
        <f t="shared" si="562"/>
        <v>0</v>
      </c>
      <c r="AM335" s="52">
        <f t="shared" si="563"/>
        <v>0</v>
      </c>
      <c r="AN335" s="52">
        <f t="shared" si="564"/>
        <v>0</v>
      </c>
      <c r="AO335" s="52">
        <f t="shared" si="565"/>
        <v>0</v>
      </c>
      <c r="AP335" s="52">
        <f t="shared" si="566"/>
        <v>0</v>
      </c>
      <c r="AQ335" s="52">
        <f t="shared" si="567"/>
        <v>0</v>
      </c>
      <c r="AR335" s="52">
        <f t="shared" si="568"/>
        <v>0</v>
      </c>
      <c r="AS335" s="52">
        <f t="shared" si="569"/>
        <v>0</v>
      </c>
      <c r="AT335" s="52">
        <f t="shared" si="570"/>
        <v>0</v>
      </c>
      <c r="AU335" s="52">
        <f t="shared" si="571"/>
        <v>0</v>
      </c>
      <c r="AV335" s="52">
        <f t="shared" si="572"/>
        <v>0</v>
      </c>
      <c r="AW335" s="52">
        <f t="shared" si="573"/>
        <v>0</v>
      </c>
      <c r="AX335" s="52">
        <f t="shared" si="574"/>
        <v>0</v>
      </c>
      <c r="AY335" s="52">
        <f t="shared" si="527"/>
        <v>0</v>
      </c>
      <c r="BA335" s="52">
        <f t="shared" si="501"/>
        <v>0</v>
      </c>
      <c r="BB335" s="52">
        <f t="shared" si="502"/>
        <v>0</v>
      </c>
      <c r="BC335" s="52">
        <f t="shared" si="503"/>
        <v>0</v>
      </c>
      <c r="BD335" s="52">
        <f t="shared" si="504"/>
        <v>0</v>
      </c>
      <c r="BE335" s="52">
        <f t="shared" si="505"/>
        <v>0</v>
      </c>
      <c r="BF335" s="52">
        <f t="shared" si="506"/>
        <v>0</v>
      </c>
      <c r="BG335" s="52">
        <f t="shared" si="507"/>
        <v>0</v>
      </c>
      <c r="BH335" s="52">
        <f t="shared" si="508"/>
        <v>0</v>
      </c>
      <c r="BI335" s="52">
        <f t="shared" si="509"/>
        <v>0</v>
      </c>
      <c r="BJ335" s="52">
        <f t="shared" si="510"/>
        <v>0</v>
      </c>
      <c r="BK335" s="52">
        <f t="shared" si="511"/>
        <v>0</v>
      </c>
      <c r="BL335" s="52">
        <f t="shared" si="512"/>
        <v>0</v>
      </c>
      <c r="BM335" s="52">
        <f t="shared" si="513"/>
        <v>0</v>
      </c>
      <c r="BN335" s="52">
        <f t="shared" si="514"/>
        <v>0</v>
      </c>
      <c r="BO335" s="52">
        <f t="shared" si="515"/>
        <v>0</v>
      </c>
      <c r="BP335" s="52">
        <f t="shared" si="516"/>
        <v>0</v>
      </c>
      <c r="BQ335" s="52">
        <f t="shared" si="517"/>
        <v>0</v>
      </c>
      <c r="BR335" s="52">
        <f t="shared" si="518"/>
        <v>0</v>
      </c>
      <c r="BS335" s="52">
        <f t="shared" si="519"/>
        <v>0</v>
      </c>
      <c r="BT335" s="52">
        <f t="shared" si="520"/>
        <v>0</v>
      </c>
      <c r="BU335" s="52">
        <f t="shared" si="521"/>
        <v>0</v>
      </c>
      <c r="BV335" s="52">
        <f t="shared" si="522"/>
        <v>0</v>
      </c>
      <c r="BW335" s="52">
        <f t="shared" si="523"/>
        <v>0</v>
      </c>
      <c r="BX335" s="52">
        <f t="shared" si="524"/>
        <v>0</v>
      </c>
      <c r="BZ335" s="52">
        <f t="shared" si="528"/>
        <v>0</v>
      </c>
      <c r="CA335" s="52">
        <f t="shared" si="529"/>
        <v>0</v>
      </c>
      <c r="CB335" s="52">
        <f t="shared" si="530"/>
        <v>0</v>
      </c>
      <c r="CC335" s="52">
        <f t="shared" si="531"/>
        <v>0</v>
      </c>
      <c r="CD335" s="52">
        <f t="shared" si="532"/>
        <v>0</v>
      </c>
      <c r="CE335" s="52">
        <f t="shared" si="533"/>
        <v>0</v>
      </c>
      <c r="CF335" s="52">
        <f t="shared" si="534"/>
        <v>0</v>
      </c>
      <c r="CG335" s="52">
        <f t="shared" si="535"/>
        <v>0</v>
      </c>
      <c r="CH335" s="52">
        <f t="shared" si="536"/>
        <v>0</v>
      </c>
      <c r="CI335" s="52">
        <f t="shared" si="537"/>
        <v>0</v>
      </c>
      <c r="CJ335" s="52">
        <f t="shared" si="538"/>
        <v>0</v>
      </c>
      <c r="CK335" s="52">
        <f t="shared" si="539"/>
        <v>0</v>
      </c>
      <c r="CL335" s="52">
        <f t="shared" si="540"/>
        <v>0</v>
      </c>
      <c r="CM335" s="52">
        <f t="shared" si="541"/>
        <v>0</v>
      </c>
      <c r="CN335" s="52">
        <f t="shared" si="542"/>
        <v>0</v>
      </c>
      <c r="CO335" s="52">
        <f t="shared" si="543"/>
        <v>0</v>
      </c>
      <c r="CP335" s="52">
        <f t="shared" si="551"/>
        <v>0</v>
      </c>
      <c r="CQ335" s="52">
        <f t="shared" si="544"/>
        <v>0</v>
      </c>
      <c r="CR335" s="52">
        <f t="shared" si="545"/>
        <v>0</v>
      </c>
      <c r="CS335" s="52">
        <f t="shared" si="546"/>
        <v>0</v>
      </c>
      <c r="CT335" s="52">
        <f t="shared" si="547"/>
        <v>0</v>
      </c>
      <c r="CU335" s="52">
        <f t="shared" si="548"/>
        <v>0</v>
      </c>
      <c r="CV335" s="52">
        <f t="shared" si="549"/>
        <v>0</v>
      </c>
      <c r="CW335" s="52">
        <f t="shared" si="550"/>
        <v>0</v>
      </c>
    </row>
    <row r="336" spans="1:101">
      <c r="A336" s="60">
        <v>45258</v>
      </c>
      <c r="B336" s="426"/>
      <c r="Z336" s="77"/>
      <c r="AB336">
        <f t="shared" si="552"/>
        <v>0</v>
      </c>
      <c r="AC336">
        <f t="shared" si="553"/>
        <v>0</v>
      </c>
      <c r="AD336">
        <f t="shared" si="554"/>
        <v>0</v>
      </c>
      <c r="AE336">
        <f t="shared" si="555"/>
        <v>0</v>
      </c>
      <c r="AF336">
        <f t="shared" si="556"/>
        <v>0</v>
      </c>
      <c r="AG336">
        <f t="shared" si="557"/>
        <v>0</v>
      </c>
      <c r="AH336">
        <f t="shared" si="558"/>
        <v>0</v>
      </c>
      <c r="AI336">
        <f t="shared" si="559"/>
        <v>0</v>
      </c>
      <c r="AJ336">
        <f t="shared" si="560"/>
        <v>0</v>
      </c>
      <c r="AK336">
        <f t="shared" si="561"/>
        <v>0</v>
      </c>
      <c r="AL336">
        <f t="shared" si="562"/>
        <v>0</v>
      </c>
      <c r="AM336">
        <f t="shared" si="563"/>
        <v>0</v>
      </c>
      <c r="AN336">
        <f t="shared" si="564"/>
        <v>0</v>
      </c>
      <c r="AO336">
        <f t="shared" si="565"/>
        <v>0</v>
      </c>
      <c r="AP336">
        <f t="shared" si="566"/>
        <v>0</v>
      </c>
      <c r="AQ336">
        <f t="shared" si="567"/>
        <v>0</v>
      </c>
      <c r="AR336">
        <f t="shared" si="568"/>
        <v>0</v>
      </c>
      <c r="AS336">
        <f t="shared" si="569"/>
        <v>0</v>
      </c>
      <c r="AT336">
        <f t="shared" si="570"/>
        <v>0</v>
      </c>
      <c r="AU336">
        <f t="shared" si="571"/>
        <v>0</v>
      </c>
      <c r="AV336">
        <f t="shared" si="572"/>
        <v>0</v>
      </c>
      <c r="AW336">
        <f t="shared" si="573"/>
        <v>0</v>
      </c>
      <c r="AX336">
        <f t="shared" si="574"/>
        <v>0</v>
      </c>
      <c r="AY336">
        <f t="shared" si="527"/>
        <v>0</v>
      </c>
      <c r="BA336">
        <f t="shared" si="501"/>
        <v>0</v>
      </c>
      <c r="BB336">
        <f t="shared" si="502"/>
        <v>0</v>
      </c>
      <c r="BC336">
        <f t="shared" si="503"/>
        <v>0</v>
      </c>
      <c r="BD336">
        <f t="shared" si="504"/>
        <v>0</v>
      </c>
      <c r="BE336">
        <f t="shared" si="505"/>
        <v>0</v>
      </c>
      <c r="BF336">
        <f t="shared" si="506"/>
        <v>0</v>
      </c>
      <c r="BG336">
        <f t="shared" si="507"/>
        <v>0</v>
      </c>
      <c r="BH336">
        <f t="shared" si="508"/>
        <v>0</v>
      </c>
      <c r="BI336">
        <f t="shared" si="509"/>
        <v>0</v>
      </c>
      <c r="BJ336">
        <f t="shared" si="510"/>
        <v>0</v>
      </c>
      <c r="BK336">
        <f t="shared" si="511"/>
        <v>0</v>
      </c>
      <c r="BL336">
        <f t="shared" si="512"/>
        <v>0</v>
      </c>
      <c r="BM336">
        <f t="shared" si="513"/>
        <v>0</v>
      </c>
      <c r="BN336">
        <f t="shared" si="514"/>
        <v>0</v>
      </c>
      <c r="BO336">
        <f t="shared" si="515"/>
        <v>0</v>
      </c>
      <c r="BP336">
        <f t="shared" si="516"/>
        <v>0</v>
      </c>
      <c r="BQ336">
        <f t="shared" si="517"/>
        <v>0</v>
      </c>
      <c r="BR336">
        <f t="shared" si="518"/>
        <v>0</v>
      </c>
      <c r="BS336">
        <f t="shared" si="519"/>
        <v>0</v>
      </c>
      <c r="BT336">
        <f t="shared" si="520"/>
        <v>0</v>
      </c>
      <c r="BU336">
        <f t="shared" si="521"/>
        <v>0</v>
      </c>
      <c r="BV336">
        <f t="shared" si="522"/>
        <v>0</v>
      </c>
      <c r="BW336">
        <f t="shared" si="523"/>
        <v>0</v>
      </c>
      <c r="BX336">
        <f t="shared" si="524"/>
        <v>0</v>
      </c>
      <c r="BZ336">
        <f t="shared" si="528"/>
        <v>0</v>
      </c>
      <c r="CA336">
        <f t="shared" si="529"/>
        <v>0</v>
      </c>
      <c r="CB336">
        <f t="shared" si="530"/>
        <v>0</v>
      </c>
      <c r="CC336">
        <f t="shared" si="531"/>
        <v>0</v>
      </c>
      <c r="CD336">
        <f t="shared" si="532"/>
        <v>0</v>
      </c>
      <c r="CE336">
        <f t="shared" si="533"/>
        <v>0</v>
      </c>
      <c r="CF336">
        <f t="shared" si="534"/>
        <v>0</v>
      </c>
      <c r="CG336">
        <f t="shared" si="535"/>
        <v>0</v>
      </c>
      <c r="CH336">
        <f t="shared" si="536"/>
        <v>0</v>
      </c>
      <c r="CI336">
        <f t="shared" si="537"/>
        <v>0</v>
      </c>
      <c r="CJ336">
        <f t="shared" si="538"/>
        <v>0</v>
      </c>
      <c r="CK336">
        <f t="shared" si="539"/>
        <v>0</v>
      </c>
      <c r="CL336">
        <f t="shared" si="540"/>
        <v>0</v>
      </c>
      <c r="CM336">
        <f t="shared" si="541"/>
        <v>0</v>
      </c>
      <c r="CN336">
        <f t="shared" si="542"/>
        <v>0</v>
      </c>
      <c r="CO336">
        <f t="shared" si="543"/>
        <v>0</v>
      </c>
      <c r="CP336">
        <f t="shared" si="551"/>
        <v>0</v>
      </c>
      <c r="CQ336">
        <f t="shared" si="544"/>
        <v>0</v>
      </c>
      <c r="CR336">
        <f t="shared" si="545"/>
        <v>0</v>
      </c>
      <c r="CS336">
        <f t="shared" si="546"/>
        <v>0</v>
      </c>
      <c r="CT336">
        <f t="shared" si="547"/>
        <v>0</v>
      </c>
      <c r="CU336">
        <f t="shared" si="548"/>
        <v>0</v>
      </c>
      <c r="CV336">
        <f t="shared" si="549"/>
        <v>0</v>
      </c>
      <c r="CW336">
        <f t="shared" si="550"/>
        <v>0</v>
      </c>
    </row>
    <row r="337" spans="1:102">
      <c r="A337" s="60">
        <v>45259</v>
      </c>
      <c r="B337" s="426"/>
      <c r="Z337" s="77"/>
      <c r="AB337" s="52">
        <f t="shared" si="552"/>
        <v>0</v>
      </c>
      <c r="AC337" s="52">
        <f t="shared" si="553"/>
        <v>0</v>
      </c>
      <c r="AD337" s="52">
        <f t="shared" si="554"/>
        <v>0</v>
      </c>
      <c r="AE337" s="52">
        <f t="shared" si="555"/>
        <v>0</v>
      </c>
      <c r="AF337" s="52">
        <f t="shared" si="556"/>
        <v>0</v>
      </c>
      <c r="AG337" s="52">
        <f t="shared" si="557"/>
        <v>0</v>
      </c>
      <c r="AH337" s="52">
        <f t="shared" si="558"/>
        <v>0</v>
      </c>
      <c r="AI337" s="52">
        <f t="shared" si="559"/>
        <v>0</v>
      </c>
      <c r="AJ337" s="52">
        <f t="shared" si="560"/>
        <v>0</v>
      </c>
      <c r="AK337" s="52">
        <f t="shared" si="561"/>
        <v>0</v>
      </c>
      <c r="AL337" s="52">
        <f t="shared" si="562"/>
        <v>0</v>
      </c>
      <c r="AM337" s="52">
        <f t="shared" si="563"/>
        <v>0</v>
      </c>
      <c r="AN337" s="52">
        <f t="shared" si="564"/>
        <v>0</v>
      </c>
      <c r="AO337" s="52">
        <f t="shared" si="565"/>
        <v>0</v>
      </c>
      <c r="AP337" s="52">
        <f t="shared" si="566"/>
        <v>0</v>
      </c>
      <c r="AQ337" s="52">
        <f t="shared" si="567"/>
        <v>0</v>
      </c>
      <c r="AR337" s="52">
        <f t="shared" si="568"/>
        <v>0</v>
      </c>
      <c r="AS337" s="52">
        <f t="shared" si="569"/>
        <v>0</v>
      </c>
      <c r="AT337" s="52">
        <f t="shared" si="570"/>
        <v>0</v>
      </c>
      <c r="AU337" s="52">
        <f t="shared" si="571"/>
        <v>0</v>
      </c>
      <c r="AV337" s="52">
        <f t="shared" si="572"/>
        <v>0</v>
      </c>
      <c r="AW337" s="52">
        <f t="shared" si="573"/>
        <v>0</v>
      </c>
      <c r="AX337" s="52">
        <f t="shared" si="574"/>
        <v>0</v>
      </c>
      <c r="AY337" s="52">
        <f t="shared" si="527"/>
        <v>0</v>
      </c>
      <c r="BA337" s="52">
        <f t="shared" si="501"/>
        <v>0</v>
      </c>
      <c r="BB337" s="52">
        <f t="shared" si="502"/>
        <v>0</v>
      </c>
      <c r="BC337" s="52">
        <f t="shared" si="503"/>
        <v>0</v>
      </c>
      <c r="BD337" s="52">
        <f t="shared" si="504"/>
        <v>0</v>
      </c>
      <c r="BE337" s="52">
        <f t="shared" si="505"/>
        <v>0</v>
      </c>
      <c r="BF337" s="52">
        <f t="shared" si="506"/>
        <v>0</v>
      </c>
      <c r="BG337" s="52">
        <f t="shared" si="507"/>
        <v>0</v>
      </c>
      <c r="BH337" s="52">
        <f t="shared" si="508"/>
        <v>0</v>
      </c>
      <c r="BI337" s="52">
        <f t="shared" si="509"/>
        <v>0</v>
      </c>
      <c r="BJ337" s="52">
        <f t="shared" si="510"/>
        <v>0</v>
      </c>
      <c r="BK337" s="52">
        <f t="shared" si="511"/>
        <v>0</v>
      </c>
      <c r="BL337" s="52">
        <f t="shared" si="512"/>
        <v>0</v>
      </c>
      <c r="BM337" s="52">
        <f t="shared" si="513"/>
        <v>0</v>
      </c>
      <c r="BN337" s="52">
        <f t="shared" si="514"/>
        <v>0</v>
      </c>
      <c r="BO337" s="52">
        <f t="shared" si="515"/>
        <v>0</v>
      </c>
      <c r="BP337" s="52">
        <f t="shared" si="516"/>
        <v>0</v>
      </c>
      <c r="BQ337" s="52">
        <f t="shared" si="517"/>
        <v>0</v>
      </c>
      <c r="BR337" s="52">
        <f t="shared" si="518"/>
        <v>0</v>
      </c>
      <c r="BS337" s="52">
        <f t="shared" si="519"/>
        <v>0</v>
      </c>
      <c r="BT337" s="52">
        <f t="shared" si="520"/>
        <v>0</v>
      </c>
      <c r="BU337" s="52">
        <f t="shared" si="521"/>
        <v>0</v>
      </c>
      <c r="BV337" s="52">
        <f t="shared" si="522"/>
        <v>0</v>
      </c>
      <c r="BW337" s="52">
        <f t="shared" si="523"/>
        <v>0</v>
      </c>
      <c r="BX337" s="52">
        <f t="shared" si="524"/>
        <v>0</v>
      </c>
      <c r="BZ337" s="52">
        <f t="shared" si="528"/>
        <v>0</v>
      </c>
      <c r="CA337" s="52">
        <f t="shared" si="529"/>
        <v>0</v>
      </c>
      <c r="CB337" s="52">
        <f t="shared" si="530"/>
        <v>0</v>
      </c>
      <c r="CC337" s="52">
        <f t="shared" si="531"/>
        <v>0</v>
      </c>
      <c r="CD337" s="52">
        <f t="shared" si="532"/>
        <v>0</v>
      </c>
      <c r="CE337" s="52">
        <f t="shared" si="533"/>
        <v>0</v>
      </c>
      <c r="CF337" s="52">
        <f t="shared" si="534"/>
        <v>0</v>
      </c>
      <c r="CG337" s="52">
        <f t="shared" si="535"/>
        <v>0</v>
      </c>
      <c r="CH337" s="52">
        <f t="shared" si="536"/>
        <v>0</v>
      </c>
      <c r="CI337" s="52">
        <f t="shared" si="537"/>
        <v>0</v>
      </c>
      <c r="CJ337" s="52">
        <f t="shared" si="538"/>
        <v>0</v>
      </c>
      <c r="CK337" s="52">
        <f t="shared" si="539"/>
        <v>0</v>
      </c>
      <c r="CL337" s="52">
        <f t="shared" si="540"/>
        <v>0</v>
      </c>
      <c r="CM337" s="52">
        <f t="shared" si="541"/>
        <v>0</v>
      </c>
      <c r="CN337" s="52">
        <f t="shared" si="542"/>
        <v>0</v>
      </c>
      <c r="CO337" s="52">
        <f t="shared" si="543"/>
        <v>0</v>
      </c>
      <c r="CP337" s="52">
        <f t="shared" si="551"/>
        <v>0</v>
      </c>
      <c r="CQ337" s="52">
        <f t="shared" si="544"/>
        <v>0</v>
      </c>
      <c r="CR337" s="52">
        <f t="shared" si="545"/>
        <v>0</v>
      </c>
      <c r="CS337" s="52">
        <f t="shared" si="546"/>
        <v>0</v>
      </c>
      <c r="CT337" s="52">
        <f t="shared" si="547"/>
        <v>0</v>
      </c>
      <c r="CU337" s="52">
        <f t="shared" si="548"/>
        <v>0</v>
      </c>
      <c r="CV337" s="52">
        <f t="shared" si="549"/>
        <v>0</v>
      </c>
      <c r="CW337" s="52">
        <f t="shared" si="550"/>
        <v>0</v>
      </c>
    </row>
    <row r="338" spans="1:102">
      <c r="A338" s="60">
        <v>45260</v>
      </c>
      <c r="B338" s="426"/>
      <c r="Z338" s="77"/>
      <c r="AB338">
        <f t="shared" si="552"/>
        <v>0</v>
      </c>
      <c r="AC338">
        <f t="shared" si="553"/>
        <v>0</v>
      </c>
      <c r="AD338">
        <f t="shared" si="554"/>
        <v>0</v>
      </c>
      <c r="AE338">
        <f t="shared" si="555"/>
        <v>0</v>
      </c>
      <c r="AF338">
        <f t="shared" si="556"/>
        <v>0</v>
      </c>
      <c r="AG338">
        <f t="shared" si="557"/>
        <v>0</v>
      </c>
      <c r="AH338">
        <f t="shared" si="558"/>
        <v>0</v>
      </c>
      <c r="AI338">
        <f t="shared" si="559"/>
        <v>0</v>
      </c>
      <c r="AJ338">
        <f t="shared" si="560"/>
        <v>0</v>
      </c>
      <c r="AK338">
        <f t="shared" si="561"/>
        <v>0</v>
      </c>
      <c r="AL338">
        <f t="shared" si="562"/>
        <v>0</v>
      </c>
      <c r="AM338">
        <f t="shared" si="563"/>
        <v>0</v>
      </c>
      <c r="AN338">
        <f t="shared" si="564"/>
        <v>0</v>
      </c>
      <c r="AO338">
        <f t="shared" si="565"/>
        <v>0</v>
      </c>
      <c r="AP338">
        <f t="shared" si="566"/>
        <v>0</v>
      </c>
      <c r="AQ338">
        <f t="shared" si="567"/>
        <v>0</v>
      </c>
      <c r="AR338">
        <f t="shared" si="568"/>
        <v>0</v>
      </c>
      <c r="AS338">
        <f t="shared" si="569"/>
        <v>0</v>
      </c>
      <c r="AT338">
        <f t="shared" si="570"/>
        <v>0</v>
      </c>
      <c r="AU338">
        <f t="shared" si="571"/>
        <v>0</v>
      </c>
      <c r="AV338">
        <f t="shared" si="572"/>
        <v>0</v>
      </c>
      <c r="AW338">
        <f t="shared" si="573"/>
        <v>0</v>
      </c>
      <c r="AX338">
        <f t="shared" si="574"/>
        <v>0</v>
      </c>
      <c r="AY338">
        <f t="shared" si="527"/>
        <v>0</v>
      </c>
      <c r="BA338">
        <f t="shared" si="501"/>
        <v>0</v>
      </c>
      <c r="BB338">
        <f t="shared" si="502"/>
        <v>0</v>
      </c>
      <c r="BC338">
        <f t="shared" si="503"/>
        <v>0</v>
      </c>
      <c r="BD338">
        <f t="shared" si="504"/>
        <v>0</v>
      </c>
      <c r="BE338">
        <f t="shared" si="505"/>
        <v>0</v>
      </c>
      <c r="BF338">
        <f t="shared" si="506"/>
        <v>0</v>
      </c>
      <c r="BG338">
        <f t="shared" si="507"/>
        <v>0</v>
      </c>
      <c r="BH338">
        <f t="shared" si="508"/>
        <v>0</v>
      </c>
      <c r="BI338">
        <f t="shared" si="509"/>
        <v>0</v>
      </c>
      <c r="BJ338">
        <f t="shared" si="510"/>
        <v>0</v>
      </c>
      <c r="BK338">
        <f t="shared" si="511"/>
        <v>0</v>
      </c>
      <c r="BL338">
        <f t="shared" si="512"/>
        <v>0</v>
      </c>
      <c r="BM338">
        <f t="shared" si="513"/>
        <v>0</v>
      </c>
      <c r="BN338">
        <f t="shared" si="514"/>
        <v>0</v>
      </c>
      <c r="BO338">
        <f t="shared" si="515"/>
        <v>0</v>
      </c>
      <c r="BP338">
        <f t="shared" si="516"/>
        <v>0</v>
      </c>
      <c r="BQ338">
        <f t="shared" si="517"/>
        <v>0</v>
      </c>
      <c r="BR338">
        <f t="shared" si="518"/>
        <v>0</v>
      </c>
      <c r="BS338">
        <f t="shared" si="519"/>
        <v>0</v>
      </c>
      <c r="BT338">
        <f t="shared" si="520"/>
        <v>0</v>
      </c>
      <c r="BU338">
        <f t="shared" si="521"/>
        <v>0</v>
      </c>
      <c r="BV338">
        <f t="shared" si="522"/>
        <v>0</v>
      </c>
      <c r="BW338">
        <f t="shared" si="523"/>
        <v>0</v>
      </c>
      <c r="BX338">
        <f t="shared" si="524"/>
        <v>0</v>
      </c>
      <c r="BZ338">
        <f t="shared" si="528"/>
        <v>0</v>
      </c>
      <c r="CA338">
        <f t="shared" si="529"/>
        <v>0</v>
      </c>
      <c r="CB338">
        <f t="shared" si="530"/>
        <v>0</v>
      </c>
      <c r="CC338">
        <f t="shared" si="531"/>
        <v>0</v>
      </c>
      <c r="CD338">
        <f t="shared" si="532"/>
        <v>0</v>
      </c>
      <c r="CE338">
        <f t="shared" si="533"/>
        <v>0</v>
      </c>
      <c r="CF338">
        <f t="shared" si="534"/>
        <v>0</v>
      </c>
      <c r="CG338">
        <f t="shared" si="535"/>
        <v>0</v>
      </c>
      <c r="CH338">
        <f t="shared" si="536"/>
        <v>0</v>
      </c>
      <c r="CI338">
        <f t="shared" si="537"/>
        <v>0</v>
      </c>
      <c r="CJ338">
        <f t="shared" si="538"/>
        <v>0</v>
      </c>
      <c r="CK338">
        <f t="shared" si="539"/>
        <v>0</v>
      </c>
      <c r="CL338">
        <f t="shared" si="540"/>
        <v>0</v>
      </c>
      <c r="CM338">
        <f t="shared" si="541"/>
        <v>0</v>
      </c>
      <c r="CN338">
        <f t="shared" si="542"/>
        <v>0</v>
      </c>
      <c r="CO338">
        <f t="shared" si="543"/>
        <v>0</v>
      </c>
      <c r="CP338">
        <f t="shared" si="551"/>
        <v>0</v>
      </c>
      <c r="CQ338">
        <f t="shared" si="544"/>
        <v>0</v>
      </c>
      <c r="CR338">
        <f t="shared" si="545"/>
        <v>0</v>
      </c>
      <c r="CS338">
        <f t="shared" si="546"/>
        <v>0</v>
      </c>
      <c r="CT338">
        <f t="shared" si="547"/>
        <v>0</v>
      </c>
      <c r="CU338">
        <f t="shared" si="548"/>
        <v>0</v>
      </c>
      <c r="CV338">
        <f t="shared" si="549"/>
        <v>0</v>
      </c>
      <c r="CW338">
        <f t="shared" si="550"/>
        <v>0</v>
      </c>
    </row>
    <row r="339" spans="1:102">
      <c r="A339" s="60">
        <v>45261</v>
      </c>
      <c r="B339" s="426"/>
      <c r="Z339" s="77"/>
      <c r="AB339" s="157">
        <f>+IF(AND(B339=0,C339&lt;&gt;0),1,0)</f>
        <v>0</v>
      </c>
      <c r="AC339" s="157">
        <f t="shared" si="553"/>
        <v>0</v>
      </c>
      <c r="AD339" s="157">
        <f t="shared" si="554"/>
        <v>0</v>
      </c>
      <c r="AE339" s="157">
        <f t="shared" si="555"/>
        <v>0</v>
      </c>
      <c r="AF339" s="157">
        <f t="shared" si="556"/>
        <v>0</v>
      </c>
      <c r="AG339" s="157">
        <f t="shared" si="557"/>
        <v>0</v>
      </c>
      <c r="AH339" s="157">
        <f t="shared" si="558"/>
        <v>0</v>
      </c>
      <c r="AI339" s="157">
        <f t="shared" si="559"/>
        <v>0</v>
      </c>
      <c r="AJ339" s="157">
        <f t="shared" si="560"/>
        <v>0</v>
      </c>
      <c r="AK339" s="157">
        <f t="shared" si="561"/>
        <v>0</v>
      </c>
      <c r="AL339" s="157">
        <f t="shared" si="562"/>
        <v>0</v>
      </c>
      <c r="AM339" s="157">
        <f t="shared" si="563"/>
        <v>0</v>
      </c>
      <c r="AN339" s="157">
        <f t="shared" si="564"/>
        <v>0</v>
      </c>
      <c r="AO339" s="157">
        <f t="shared" si="565"/>
        <v>0</v>
      </c>
      <c r="AP339" s="157">
        <f t="shared" si="566"/>
        <v>0</v>
      </c>
      <c r="AQ339" s="157">
        <f t="shared" si="567"/>
        <v>0</v>
      </c>
      <c r="AR339" s="157">
        <f t="shared" si="568"/>
        <v>0</v>
      </c>
      <c r="AS339" s="157">
        <f t="shared" si="569"/>
        <v>0</v>
      </c>
      <c r="AT339" s="157">
        <f t="shared" si="570"/>
        <v>0</v>
      </c>
      <c r="AU339" s="157">
        <f t="shared" si="571"/>
        <v>0</v>
      </c>
      <c r="AV339" s="157">
        <f t="shared" si="572"/>
        <v>0</v>
      </c>
      <c r="AW339" s="157">
        <f t="shared" si="573"/>
        <v>0</v>
      </c>
      <c r="AX339" s="157">
        <f t="shared" si="574"/>
        <v>0</v>
      </c>
      <c r="AY339" s="157">
        <f t="shared" si="527"/>
        <v>0</v>
      </c>
      <c r="AZ339" s="63">
        <f>+SUM(AB309:AY338)</f>
        <v>0</v>
      </c>
      <c r="BA339" s="54">
        <f t="shared" ref="BA339:BX349" si="575">+ROUNDUP(B339/8800,0)</f>
        <v>0</v>
      </c>
      <c r="BB339" s="54">
        <f t="shared" si="575"/>
        <v>0</v>
      </c>
      <c r="BC339" s="54">
        <f t="shared" si="575"/>
        <v>0</v>
      </c>
      <c r="BD339" s="54">
        <f t="shared" si="575"/>
        <v>0</v>
      </c>
      <c r="BE339" s="54">
        <f t="shared" si="575"/>
        <v>0</v>
      </c>
      <c r="BF339" s="54">
        <f t="shared" si="575"/>
        <v>0</v>
      </c>
      <c r="BG339" s="54">
        <f t="shared" si="575"/>
        <v>0</v>
      </c>
      <c r="BH339" s="54">
        <f t="shared" si="575"/>
        <v>0</v>
      </c>
      <c r="BI339" s="54">
        <f t="shared" si="575"/>
        <v>0</v>
      </c>
      <c r="BJ339" s="54">
        <f t="shared" si="575"/>
        <v>0</v>
      </c>
      <c r="BK339" s="54">
        <f t="shared" si="575"/>
        <v>0</v>
      </c>
      <c r="BL339" s="54">
        <f t="shared" si="575"/>
        <v>0</v>
      </c>
      <c r="BM339" s="54">
        <f t="shared" si="575"/>
        <v>0</v>
      </c>
      <c r="BN339" s="54">
        <f t="shared" si="575"/>
        <v>0</v>
      </c>
      <c r="BO339" s="54">
        <f t="shared" si="575"/>
        <v>0</v>
      </c>
      <c r="BP339" s="54">
        <f t="shared" si="575"/>
        <v>0</v>
      </c>
      <c r="BQ339" s="54">
        <f t="shared" si="575"/>
        <v>0</v>
      </c>
      <c r="BR339" s="54">
        <f t="shared" si="575"/>
        <v>0</v>
      </c>
      <c r="BS339" s="54">
        <f t="shared" si="575"/>
        <v>0</v>
      </c>
      <c r="BT339" s="54">
        <f t="shared" si="575"/>
        <v>0</v>
      </c>
      <c r="BU339" s="54">
        <f t="shared" si="575"/>
        <v>0</v>
      </c>
      <c r="BV339" s="54">
        <f t="shared" si="575"/>
        <v>0</v>
      </c>
      <c r="BW339" s="54">
        <f t="shared" si="575"/>
        <v>0</v>
      </c>
      <c r="BX339" s="54">
        <f t="shared" si="575"/>
        <v>0</v>
      </c>
      <c r="BY339" s="63">
        <f>+SUM(BA310:BX339)</f>
        <v>0</v>
      </c>
      <c r="BZ339" s="54">
        <f>+BA339-BX338</f>
        <v>0</v>
      </c>
      <c r="CA339" s="54">
        <f t="shared" si="529"/>
        <v>0</v>
      </c>
      <c r="CB339" s="54">
        <f t="shared" si="530"/>
        <v>0</v>
      </c>
      <c r="CC339" s="54">
        <f t="shared" si="531"/>
        <v>0</v>
      </c>
      <c r="CD339" s="54">
        <f t="shared" si="532"/>
        <v>0</v>
      </c>
      <c r="CE339" s="54">
        <f t="shared" si="533"/>
        <v>0</v>
      </c>
      <c r="CF339" s="54">
        <f t="shared" si="534"/>
        <v>0</v>
      </c>
      <c r="CG339" s="54">
        <f t="shared" si="535"/>
        <v>0</v>
      </c>
      <c r="CH339" s="54">
        <f t="shared" si="536"/>
        <v>0</v>
      </c>
      <c r="CI339" s="54">
        <f t="shared" si="537"/>
        <v>0</v>
      </c>
      <c r="CJ339" s="54">
        <f t="shared" si="538"/>
        <v>0</v>
      </c>
      <c r="CK339" s="54">
        <f t="shared" si="539"/>
        <v>0</v>
      </c>
      <c r="CL339" s="54">
        <f t="shared" si="540"/>
        <v>0</v>
      </c>
      <c r="CM339" s="54">
        <f t="shared" si="541"/>
        <v>0</v>
      </c>
      <c r="CN339" s="54">
        <f t="shared" si="542"/>
        <v>0</v>
      </c>
      <c r="CO339" s="54">
        <f t="shared" si="543"/>
        <v>0</v>
      </c>
      <c r="CP339" s="54">
        <f>BQ339-BP339</f>
        <v>0</v>
      </c>
      <c r="CQ339" s="54">
        <f t="shared" si="544"/>
        <v>0</v>
      </c>
      <c r="CR339" s="54">
        <f t="shared" si="545"/>
        <v>0</v>
      </c>
      <c r="CS339" s="54">
        <f t="shared" si="546"/>
        <v>0</v>
      </c>
      <c r="CT339" s="54">
        <f t="shared" si="547"/>
        <v>0</v>
      </c>
      <c r="CU339" s="54">
        <f t="shared" si="548"/>
        <v>0</v>
      </c>
      <c r="CV339" s="54">
        <f t="shared" si="549"/>
        <v>0</v>
      </c>
      <c r="CW339" s="54">
        <f t="shared" si="550"/>
        <v>0</v>
      </c>
      <c r="CX339" s="63">
        <f>+SUMIF(BZ310:CW339,"&gt;0")</f>
        <v>0</v>
      </c>
    </row>
    <row r="340" spans="1:102">
      <c r="A340" s="60">
        <v>45262</v>
      </c>
      <c r="B340" s="426"/>
      <c r="Z340" s="77"/>
      <c r="AB340" s="52">
        <f t="shared" ref="AB340:AB370" si="576">+IF(AND(B340=0,C340&lt;&gt;0),1,0)</f>
        <v>0</v>
      </c>
      <c r="AC340" s="52">
        <f t="shared" si="553"/>
        <v>0</v>
      </c>
      <c r="AD340" s="52">
        <f t="shared" si="554"/>
        <v>0</v>
      </c>
      <c r="AE340" s="52">
        <f t="shared" si="555"/>
        <v>0</v>
      </c>
      <c r="AF340" s="52">
        <f t="shared" si="556"/>
        <v>0</v>
      </c>
      <c r="AG340" s="52">
        <f t="shared" si="557"/>
        <v>0</v>
      </c>
      <c r="AH340" s="52">
        <f t="shared" si="558"/>
        <v>0</v>
      </c>
      <c r="AI340" s="52">
        <f t="shared" si="559"/>
        <v>0</v>
      </c>
      <c r="AJ340" s="52">
        <f t="shared" si="560"/>
        <v>0</v>
      </c>
      <c r="AK340" s="52">
        <f t="shared" si="561"/>
        <v>0</v>
      </c>
      <c r="AL340" s="52">
        <f t="shared" si="562"/>
        <v>0</v>
      </c>
      <c r="AM340" s="52">
        <f t="shared" si="563"/>
        <v>0</v>
      </c>
      <c r="AN340" s="52">
        <f t="shared" si="564"/>
        <v>0</v>
      </c>
      <c r="AO340" s="52">
        <f t="shared" si="565"/>
        <v>0</v>
      </c>
      <c r="AP340" s="52">
        <f t="shared" si="566"/>
        <v>0</v>
      </c>
      <c r="AQ340" s="52">
        <f t="shared" si="567"/>
        <v>0</v>
      </c>
      <c r="AR340" s="52">
        <f t="shared" si="568"/>
        <v>0</v>
      </c>
      <c r="AS340" s="52">
        <f t="shared" si="569"/>
        <v>0</v>
      </c>
      <c r="AT340" s="52">
        <f t="shared" si="570"/>
        <v>0</v>
      </c>
      <c r="AU340" s="52">
        <f t="shared" si="571"/>
        <v>0</v>
      </c>
      <c r="AV340" s="52">
        <f t="shared" si="572"/>
        <v>0</v>
      </c>
      <c r="AW340" s="52">
        <f t="shared" si="573"/>
        <v>0</v>
      </c>
      <c r="AX340" s="52">
        <f t="shared" si="574"/>
        <v>0</v>
      </c>
      <c r="AY340" s="52">
        <f t="shared" si="527"/>
        <v>0</v>
      </c>
      <c r="BA340" s="52">
        <f t="shared" si="575"/>
        <v>0</v>
      </c>
      <c r="BB340" s="52">
        <f t="shared" si="575"/>
        <v>0</v>
      </c>
      <c r="BC340" s="52">
        <f t="shared" si="575"/>
        <v>0</v>
      </c>
      <c r="BD340" s="52">
        <f t="shared" si="575"/>
        <v>0</v>
      </c>
      <c r="BE340" s="52">
        <f t="shared" si="575"/>
        <v>0</v>
      </c>
      <c r="BF340" s="52">
        <f t="shared" si="575"/>
        <v>0</v>
      </c>
      <c r="BG340" s="52">
        <f t="shared" si="575"/>
        <v>0</v>
      </c>
      <c r="BH340" s="52">
        <f t="shared" si="575"/>
        <v>0</v>
      </c>
      <c r="BI340" s="52">
        <f t="shared" si="575"/>
        <v>0</v>
      </c>
      <c r="BJ340" s="52">
        <f t="shared" si="575"/>
        <v>0</v>
      </c>
      <c r="BK340" s="52">
        <f t="shared" si="575"/>
        <v>0</v>
      </c>
      <c r="BL340" s="52">
        <f t="shared" si="575"/>
        <v>0</v>
      </c>
      <c r="BM340" s="52">
        <f t="shared" si="575"/>
        <v>0</v>
      </c>
      <c r="BN340" s="52">
        <f t="shared" si="575"/>
        <v>0</v>
      </c>
      <c r="BO340" s="52">
        <f t="shared" si="575"/>
        <v>0</v>
      </c>
      <c r="BP340" s="52">
        <f t="shared" si="575"/>
        <v>0</v>
      </c>
      <c r="BQ340" s="52">
        <f t="shared" si="575"/>
        <v>0</v>
      </c>
      <c r="BR340" s="52">
        <f t="shared" si="575"/>
        <v>0</v>
      </c>
      <c r="BS340" s="52">
        <f t="shared" si="575"/>
        <v>0</v>
      </c>
      <c r="BT340" s="52">
        <f t="shared" si="575"/>
        <v>0</v>
      </c>
      <c r="BU340" s="52">
        <f t="shared" si="575"/>
        <v>0</v>
      </c>
      <c r="BV340" s="52">
        <f t="shared" si="575"/>
        <v>0</v>
      </c>
      <c r="BW340" s="52">
        <f t="shared" si="575"/>
        <v>0</v>
      </c>
      <c r="BX340" s="52">
        <f t="shared" si="575"/>
        <v>0</v>
      </c>
      <c r="BZ340" s="52">
        <f t="shared" ref="BZ340:BZ368" si="577">+BA340-BX339</f>
        <v>0</v>
      </c>
      <c r="CA340" s="52">
        <f t="shared" si="529"/>
        <v>0</v>
      </c>
      <c r="CB340" s="52">
        <f t="shared" si="530"/>
        <v>0</v>
      </c>
      <c r="CC340" s="52">
        <f t="shared" si="531"/>
        <v>0</v>
      </c>
      <c r="CD340" s="52">
        <f t="shared" si="532"/>
        <v>0</v>
      </c>
      <c r="CE340" s="52">
        <f t="shared" si="533"/>
        <v>0</v>
      </c>
      <c r="CF340" s="52">
        <f t="shared" si="534"/>
        <v>0</v>
      </c>
      <c r="CG340" s="52">
        <f t="shared" si="535"/>
        <v>0</v>
      </c>
      <c r="CH340" s="52">
        <f t="shared" si="536"/>
        <v>0</v>
      </c>
      <c r="CI340" s="52">
        <f t="shared" si="537"/>
        <v>0</v>
      </c>
      <c r="CJ340" s="52">
        <f t="shared" si="538"/>
        <v>0</v>
      </c>
      <c r="CK340" s="52">
        <f t="shared" si="539"/>
        <v>0</v>
      </c>
      <c r="CL340" s="52">
        <f t="shared" si="540"/>
        <v>0</v>
      </c>
      <c r="CM340" s="52">
        <f t="shared" si="541"/>
        <v>0</v>
      </c>
      <c r="CN340" s="52">
        <f t="shared" si="542"/>
        <v>0</v>
      </c>
      <c r="CO340" s="52">
        <f t="shared" si="543"/>
        <v>0</v>
      </c>
      <c r="CP340" s="52">
        <f t="shared" ref="CP340:CP370" si="578">BQ340-BP340</f>
        <v>0</v>
      </c>
      <c r="CQ340" s="52">
        <f t="shared" si="544"/>
        <v>0</v>
      </c>
      <c r="CR340" s="52">
        <f t="shared" si="545"/>
        <v>0</v>
      </c>
      <c r="CS340" s="52">
        <f t="shared" si="546"/>
        <v>0</v>
      </c>
      <c r="CT340" s="52">
        <f t="shared" si="547"/>
        <v>0</v>
      </c>
      <c r="CU340" s="52">
        <f t="shared" si="548"/>
        <v>0</v>
      </c>
      <c r="CV340" s="52">
        <f t="shared" si="549"/>
        <v>0</v>
      </c>
      <c r="CW340" s="52">
        <f t="shared" si="550"/>
        <v>0</v>
      </c>
    </row>
    <row r="341" spans="1:102">
      <c r="A341" s="60">
        <v>45263</v>
      </c>
      <c r="B341" s="426"/>
      <c r="Z341" s="77"/>
      <c r="AB341">
        <f t="shared" si="576"/>
        <v>0</v>
      </c>
      <c r="AC341">
        <f t="shared" si="553"/>
        <v>0</v>
      </c>
      <c r="AD341">
        <f t="shared" si="554"/>
        <v>0</v>
      </c>
      <c r="AE341">
        <f t="shared" si="555"/>
        <v>0</v>
      </c>
      <c r="AF341">
        <f t="shared" si="556"/>
        <v>0</v>
      </c>
      <c r="AG341">
        <f t="shared" si="557"/>
        <v>0</v>
      </c>
      <c r="AH341">
        <f t="shared" si="558"/>
        <v>0</v>
      </c>
      <c r="AI341">
        <f t="shared" si="559"/>
        <v>0</v>
      </c>
      <c r="AJ341">
        <f t="shared" si="560"/>
        <v>0</v>
      </c>
      <c r="AK341">
        <f t="shared" si="561"/>
        <v>0</v>
      </c>
      <c r="AL341">
        <f t="shared" si="562"/>
        <v>0</v>
      </c>
      <c r="AM341">
        <f t="shared" si="563"/>
        <v>0</v>
      </c>
      <c r="AN341">
        <f t="shared" si="564"/>
        <v>0</v>
      </c>
      <c r="AO341">
        <f t="shared" si="565"/>
        <v>0</v>
      </c>
      <c r="AP341">
        <f t="shared" si="566"/>
        <v>0</v>
      </c>
      <c r="AQ341">
        <f t="shared" si="567"/>
        <v>0</v>
      </c>
      <c r="AR341">
        <f t="shared" si="568"/>
        <v>0</v>
      </c>
      <c r="AS341">
        <f t="shared" si="569"/>
        <v>0</v>
      </c>
      <c r="AT341">
        <f t="shared" si="570"/>
        <v>0</v>
      </c>
      <c r="AU341">
        <f t="shared" si="571"/>
        <v>0</v>
      </c>
      <c r="AV341">
        <f t="shared" si="572"/>
        <v>0</v>
      </c>
      <c r="AW341">
        <f t="shared" si="573"/>
        <v>0</v>
      </c>
      <c r="AX341">
        <f t="shared" si="574"/>
        <v>0</v>
      </c>
      <c r="AY341">
        <f t="shared" si="527"/>
        <v>0</v>
      </c>
      <c r="BA341">
        <f t="shared" si="575"/>
        <v>0</v>
      </c>
      <c r="BB341">
        <f t="shared" si="575"/>
        <v>0</v>
      </c>
      <c r="BC341">
        <f t="shared" si="575"/>
        <v>0</v>
      </c>
      <c r="BD341">
        <f t="shared" si="575"/>
        <v>0</v>
      </c>
      <c r="BE341">
        <f t="shared" si="575"/>
        <v>0</v>
      </c>
      <c r="BF341">
        <f t="shared" si="575"/>
        <v>0</v>
      </c>
      <c r="BG341">
        <f t="shared" si="575"/>
        <v>0</v>
      </c>
      <c r="BH341">
        <f t="shared" si="575"/>
        <v>0</v>
      </c>
      <c r="BI341">
        <f t="shared" si="575"/>
        <v>0</v>
      </c>
      <c r="BJ341">
        <f t="shared" si="575"/>
        <v>0</v>
      </c>
      <c r="BK341">
        <f t="shared" si="575"/>
        <v>0</v>
      </c>
      <c r="BL341">
        <f t="shared" si="575"/>
        <v>0</v>
      </c>
      <c r="BM341">
        <f t="shared" si="575"/>
        <v>0</v>
      </c>
      <c r="BN341">
        <f t="shared" si="575"/>
        <v>0</v>
      </c>
      <c r="BO341">
        <f t="shared" si="575"/>
        <v>0</v>
      </c>
      <c r="BP341">
        <f t="shared" si="575"/>
        <v>0</v>
      </c>
      <c r="BQ341">
        <f t="shared" si="575"/>
        <v>0</v>
      </c>
      <c r="BR341">
        <f t="shared" si="575"/>
        <v>0</v>
      </c>
      <c r="BS341">
        <f t="shared" si="575"/>
        <v>0</v>
      </c>
      <c r="BT341">
        <f t="shared" si="575"/>
        <v>0</v>
      </c>
      <c r="BU341">
        <f t="shared" si="575"/>
        <v>0</v>
      </c>
      <c r="BV341">
        <f t="shared" si="575"/>
        <v>0</v>
      </c>
      <c r="BW341">
        <f t="shared" si="575"/>
        <v>0</v>
      </c>
      <c r="BX341">
        <f t="shared" si="575"/>
        <v>0</v>
      </c>
      <c r="BZ341">
        <f t="shared" si="577"/>
        <v>0</v>
      </c>
      <c r="CA341">
        <f t="shared" si="529"/>
        <v>0</v>
      </c>
      <c r="CB341">
        <f t="shared" si="530"/>
        <v>0</v>
      </c>
      <c r="CC341">
        <f t="shared" si="531"/>
        <v>0</v>
      </c>
      <c r="CD341">
        <f t="shared" si="532"/>
        <v>0</v>
      </c>
      <c r="CE341">
        <f t="shared" si="533"/>
        <v>0</v>
      </c>
      <c r="CF341">
        <f t="shared" si="534"/>
        <v>0</v>
      </c>
      <c r="CG341">
        <f t="shared" si="535"/>
        <v>0</v>
      </c>
      <c r="CH341">
        <f t="shared" si="536"/>
        <v>0</v>
      </c>
      <c r="CI341">
        <f t="shared" si="537"/>
        <v>0</v>
      </c>
      <c r="CJ341">
        <f t="shared" si="538"/>
        <v>0</v>
      </c>
      <c r="CK341">
        <f t="shared" si="539"/>
        <v>0</v>
      </c>
      <c r="CL341">
        <f t="shared" si="540"/>
        <v>0</v>
      </c>
      <c r="CM341">
        <f t="shared" si="541"/>
        <v>0</v>
      </c>
      <c r="CN341">
        <f t="shared" si="542"/>
        <v>0</v>
      </c>
      <c r="CO341">
        <f t="shared" si="543"/>
        <v>0</v>
      </c>
      <c r="CP341">
        <f t="shared" si="578"/>
        <v>0</v>
      </c>
      <c r="CQ341">
        <f t="shared" si="544"/>
        <v>0</v>
      </c>
      <c r="CR341">
        <f t="shared" si="545"/>
        <v>0</v>
      </c>
      <c r="CS341">
        <f t="shared" si="546"/>
        <v>0</v>
      </c>
      <c r="CT341">
        <f t="shared" si="547"/>
        <v>0</v>
      </c>
      <c r="CU341">
        <f t="shared" si="548"/>
        <v>0</v>
      </c>
      <c r="CV341">
        <f t="shared" si="549"/>
        <v>0</v>
      </c>
      <c r="CW341">
        <f t="shared" si="550"/>
        <v>0</v>
      </c>
    </row>
    <row r="342" spans="1:102">
      <c r="A342" s="60">
        <v>45264</v>
      </c>
      <c r="B342" s="426"/>
      <c r="Z342" s="77"/>
      <c r="AB342" s="52">
        <f t="shared" si="576"/>
        <v>0</v>
      </c>
      <c r="AC342" s="52">
        <f t="shared" si="553"/>
        <v>0</v>
      </c>
      <c r="AD342" s="52">
        <f t="shared" si="554"/>
        <v>0</v>
      </c>
      <c r="AE342" s="52">
        <f t="shared" si="555"/>
        <v>0</v>
      </c>
      <c r="AF342" s="52">
        <f t="shared" si="556"/>
        <v>0</v>
      </c>
      <c r="AG342" s="52">
        <f t="shared" si="557"/>
        <v>0</v>
      </c>
      <c r="AH342" s="52">
        <f t="shared" si="558"/>
        <v>0</v>
      </c>
      <c r="AI342" s="52">
        <f t="shared" si="559"/>
        <v>0</v>
      </c>
      <c r="AJ342" s="52">
        <f t="shared" si="560"/>
        <v>0</v>
      </c>
      <c r="AK342" s="52">
        <f t="shared" si="561"/>
        <v>0</v>
      </c>
      <c r="AL342" s="52">
        <f t="shared" si="562"/>
        <v>0</v>
      </c>
      <c r="AM342" s="52">
        <f t="shared" si="563"/>
        <v>0</v>
      </c>
      <c r="AN342" s="52">
        <f t="shared" si="564"/>
        <v>0</v>
      </c>
      <c r="AO342" s="52">
        <f t="shared" si="565"/>
        <v>0</v>
      </c>
      <c r="AP342" s="52">
        <f t="shared" si="566"/>
        <v>0</v>
      </c>
      <c r="AQ342" s="52">
        <f t="shared" si="567"/>
        <v>0</v>
      </c>
      <c r="AR342" s="52">
        <f t="shared" si="568"/>
        <v>0</v>
      </c>
      <c r="AS342" s="52">
        <f t="shared" si="569"/>
        <v>0</v>
      </c>
      <c r="AT342" s="52">
        <f t="shared" si="570"/>
        <v>0</v>
      </c>
      <c r="AU342" s="52">
        <f t="shared" si="571"/>
        <v>0</v>
      </c>
      <c r="AV342" s="52">
        <f t="shared" si="572"/>
        <v>0</v>
      </c>
      <c r="AW342" s="52">
        <f t="shared" si="573"/>
        <v>0</v>
      </c>
      <c r="AX342" s="52">
        <f t="shared" si="574"/>
        <v>0</v>
      </c>
      <c r="AY342" s="52">
        <f t="shared" si="527"/>
        <v>0</v>
      </c>
      <c r="BA342" s="52">
        <f t="shared" si="575"/>
        <v>0</v>
      </c>
      <c r="BB342" s="52">
        <f t="shared" si="575"/>
        <v>0</v>
      </c>
      <c r="BC342" s="52">
        <f t="shared" si="575"/>
        <v>0</v>
      </c>
      <c r="BD342" s="52">
        <f t="shared" si="575"/>
        <v>0</v>
      </c>
      <c r="BE342" s="52">
        <f t="shared" si="575"/>
        <v>0</v>
      </c>
      <c r="BF342" s="52">
        <f t="shared" si="575"/>
        <v>0</v>
      </c>
      <c r="BG342" s="52">
        <f t="shared" si="575"/>
        <v>0</v>
      </c>
      <c r="BH342" s="52">
        <f t="shared" si="575"/>
        <v>0</v>
      </c>
      <c r="BI342" s="52">
        <f t="shared" si="575"/>
        <v>0</v>
      </c>
      <c r="BJ342" s="52">
        <f t="shared" si="575"/>
        <v>0</v>
      </c>
      <c r="BK342" s="52">
        <f t="shared" si="575"/>
        <v>0</v>
      </c>
      <c r="BL342" s="52">
        <f t="shared" si="575"/>
        <v>0</v>
      </c>
      <c r="BM342" s="52">
        <f t="shared" si="575"/>
        <v>0</v>
      </c>
      <c r="BN342" s="52">
        <f t="shared" si="575"/>
        <v>0</v>
      </c>
      <c r="BO342" s="52">
        <f t="shared" si="575"/>
        <v>0</v>
      </c>
      <c r="BP342" s="52">
        <f t="shared" si="575"/>
        <v>0</v>
      </c>
      <c r="BQ342" s="52">
        <f t="shared" si="575"/>
        <v>0</v>
      </c>
      <c r="BR342" s="52">
        <f t="shared" si="575"/>
        <v>0</v>
      </c>
      <c r="BS342" s="52">
        <f t="shared" si="575"/>
        <v>0</v>
      </c>
      <c r="BT342" s="52">
        <f t="shared" si="575"/>
        <v>0</v>
      </c>
      <c r="BU342" s="52">
        <f t="shared" si="575"/>
        <v>0</v>
      </c>
      <c r="BV342" s="52">
        <f t="shared" si="575"/>
        <v>0</v>
      </c>
      <c r="BW342" s="52">
        <f t="shared" si="575"/>
        <v>0</v>
      </c>
      <c r="BX342" s="52">
        <f t="shared" si="575"/>
        <v>0</v>
      </c>
      <c r="BZ342" s="52">
        <f t="shared" si="577"/>
        <v>0</v>
      </c>
      <c r="CA342" s="52">
        <f t="shared" si="529"/>
        <v>0</v>
      </c>
      <c r="CB342" s="52">
        <f t="shared" si="530"/>
        <v>0</v>
      </c>
      <c r="CC342" s="52">
        <f t="shared" si="531"/>
        <v>0</v>
      </c>
      <c r="CD342" s="52">
        <f t="shared" si="532"/>
        <v>0</v>
      </c>
      <c r="CE342" s="52">
        <f t="shared" si="533"/>
        <v>0</v>
      </c>
      <c r="CF342" s="52">
        <f t="shared" si="534"/>
        <v>0</v>
      </c>
      <c r="CG342" s="52">
        <f t="shared" si="535"/>
        <v>0</v>
      </c>
      <c r="CH342" s="52">
        <f t="shared" si="536"/>
        <v>0</v>
      </c>
      <c r="CI342" s="52">
        <f t="shared" si="537"/>
        <v>0</v>
      </c>
      <c r="CJ342" s="52">
        <f t="shared" si="538"/>
        <v>0</v>
      </c>
      <c r="CK342" s="52">
        <f t="shared" si="539"/>
        <v>0</v>
      </c>
      <c r="CL342" s="52">
        <f t="shared" si="540"/>
        <v>0</v>
      </c>
      <c r="CM342" s="52">
        <f t="shared" si="541"/>
        <v>0</v>
      </c>
      <c r="CN342" s="52">
        <f t="shared" si="542"/>
        <v>0</v>
      </c>
      <c r="CO342" s="52">
        <f t="shared" si="543"/>
        <v>0</v>
      </c>
      <c r="CP342" s="52">
        <f t="shared" si="578"/>
        <v>0</v>
      </c>
      <c r="CQ342" s="52">
        <f t="shared" si="544"/>
        <v>0</v>
      </c>
      <c r="CR342" s="52">
        <f t="shared" si="545"/>
        <v>0</v>
      </c>
      <c r="CS342" s="52">
        <f t="shared" si="546"/>
        <v>0</v>
      </c>
      <c r="CT342" s="52">
        <f t="shared" si="547"/>
        <v>0</v>
      </c>
      <c r="CU342" s="52">
        <f t="shared" si="548"/>
        <v>0</v>
      </c>
      <c r="CV342" s="52">
        <f t="shared" si="549"/>
        <v>0</v>
      </c>
      <c r="CW342" s="52">
        <f t="shared" si="550"/>
        <v>0</v>
      </c>
    </row>
    <row r="343" spans="1:102">
      <c r="A343" s="60">
        <v>45265</v>
      </c>
      <c r="B343" s="426"/>
      <c r="Z343" s="77"/>
      <c r="AB343">
        <f t="shared" si="576"/>
        <v>0</v>
      </c>
      <c r="AC343">
        <f t="shared" si="553"/>
        <v>0</v>
      </c>
      <c r="AD343">
        <f t="shared" si="554"/>
        <v>0</v>
      </c>
      <c r="AE343">
        <f t="shared" si="555"/>
        <v>0</v>
      </c>
      <c r="AF343">
        <f t="shared" si="556"/>
        <v>0</v>
      </c>
      <c r="AG343">
        <f t="shared" si="557"/>
        <v>0</v>
      </c>
      <c r="AH343">
        <f t="shared" si="558"/>
        <v>0</v>
      </c>
      <c r="AI343">
        <f t="shared" si="559"/>
        <v>0</v>
      </c>
      <c r="AJ343">
        <f t="shared" si="560"/>
        <v>0</v>
      </c>
      <c r="AK343">
        <f t="shared" si="561"/>
        <v>0</v>
      </c>
      <c r="AL343">
        <f t="shared" si="562"/>
        <v>0</v>
      </c>
      <c r="AM343">
        <f t="shared" si="563"/>
        <v>0</v>
      </c>
      <c r="AN343">
        <f t="shared" si="564"/>
        <v>0</v>
      </c>
      <c r="AO343">
        <f t="shared" si="565"/>
        <v>0</v>
      </c>
      <c r="AP343">
        <f t="shared" si="566"/>
        <v>0</v>
      </c>
      <c r="AQ343">
        <f t="shared" si="567"/>
        <v>0</v>
      </c>
      <c r="AR343">
        <f t="shared" si="568"/>
        <v>0</v>
      </c>
      <c r="AS343">
        <f t="shared" si="569"/>
        <v>0</v>
      </c>
      <c r="AT343">
        <f t="shared" si="570"/>
        <v>0</v>
      </c>
      <c r="AU343">
        <f t="shared" si="571"/>
        <v>0</v>
      </c>
      <c r="AV343">
        <f t="shared" si="572"/>
        <v>0</v>
      </c>
      <c r="AW343">
        <f t="shared" si="573"/>
        <v>0</v>
      </c>
      <c r="AX343">
        <f t="shared" si="574"/>
        <v>0</v>
      </c>
      <c r="AY343">
        <f t="shared" si="527"/>
        <v>0</v>
      </c>
      <c r="BA343">
        <f t="shared" si="575"/>
        <v>0</v>
      </c>
      <c r="BB343">
        <f t="shared" si="575"/>
        <v>0</v>
      </c>
      <c r="BC343">
        <f t="shared" si="575"/>
        <v>0</v>
      </c>
      <c r="BD343">
        <f t="shared" si="575"/>
        <v>0</v>
      </c>
      <c r="BE343">
        <f t="shared" si="575"/>
        <v>0</v>
      </c>
      <c r="BF343">
        <f t="shared" si="575"/>
        <v>0</v>
      </c>
      <c r="BG343">
        <f t="shared" si="575"/>
        <v>0</v>
      </c>
      <c r="BH343">
        <f t="shared" si="575"/>
        <v>0</v>
      </c>
      <c r="BI343">
        <f t="shared" si="575"/>
        <v>0</v>
      </c>
      <c r="BJ343">
        <f t="shared" si="575"/>
        <v>0</v>
      </c>
      <c r="BK343">
        <f t="shared" si="575"/>
        <v>0</v>
      </c>
      <c r="BL343">
        <f t="shared" si="575"/>
        <v>0</v>
      </c>
      <c r="BM343">
        <f t="shared" si="575"/>
        <v>0</v>
      </c>
      <c r="BN343">
        <f t="shared" si="575"/>
        <v>0</v>
      </c>
      <c r="BO343">
        <f t="shared" si="575"/>
        <v>0</v>
      </c>
      <c r="BP343">
        <f t="shared" si="575"/>
        <v>0</v>
      </c>
      <c r="BQ343">
        <f t="shared" si="575"/>
        <v>0</v>
      </c>
      <c r="BR343">
        <f t="shared" si="575"/>
        <v>0</v>
      </c>
      <c r="BS343">
        <f t="shared" si="575"/>
        <v>0</v>
      </c>
      <c r="BT343">
        <f t="shared" si="575"/>
        <v>0</v>
      </c>
      <c r="BU343">
        <f t="shared" si="575"/>
        <v>0</v>
      </c>
      <c r="BV343">
        <f t="shared" si="575"/>
        <v>0</v>
      </c>
      <c r="BW343">
        <f t="shared" si="575"/>
        <v>0</v>
      </c>
      <c r="BX343">
        <f t="shared" si="575"/>
        <v>0</v>
      </c>
      <c r="BZ343">
        <f t="shared" si="577"/>
        <v>0</v>
      </c>
      <c r="CA343">
        <f t="shared" si="529"/>
        <v>0</v>
      </c>
      <c r="CB343">
        <f t="shared" si="530"/>
        <v>0</v>
      </c>
      <c r="CC343">
        <f t="shared" si="531"/>
        <v>0</v>
      </c>
      <c r="CD343">
        <f t="shared" si="532"/>
        <v>0</v>
      </c>
      <c r="CE343">
        <f t="shared" si="533"/>
        <v>0</v>
      </c>
      <c r="CF343">
        <f t="shared" si="534"/>
        <v>0</v>
      </c>
      <c r="CG343">
        <f t="shared" si="535"/>
        <v>0</v>
      </c>
      <c r="CH343">
        <f t="shared" si="536"/>
        <v>0</v>
      </c>
      <c r="CI343">
        <f t="shared" si="537"/>
        <v>0</v>
      </c>
      <c r="CJ343">
        <f t="shared" si="538"/>
        <v>0</v>
      </c>
      <c r="CK343">
        <f t="shared" si="539"/>
        <v>0</v>
      </c>
      <c r="CL343">
        <f t="shared" si="540"/>
        <v>0</v>
      </c>
      <c r="CM343">
        <f t="shared" si="541"/>
        <v>0</v>
      </c>
      <c r="CN343">
        <f t="shared" si="542"/>
        <v>0</v>
      </c>
      <c r="CO343">
        <f t="shared" si="543"/>
        <v>0</v>
      </c>
      <c r="CP343">
        <f t="shared" si="578"/>
        <v>0</v>
      </c>
      <c r="CQ343">
        <f t="shared" si="544"/>
        <v>0</v>
      </c>
      <c r="CR343">
        <f t="shared" si="545"/>
        <v>0</v>
      </c>
      <c r="CS343">
        <f t="shared" si="546"/>
        <v>0</v>
      </c>
      <c r="CT343">
        <f t="shared" si="547"/>
        <v>0</v>
      </c>
      <c r="CU343">
        <f t="shared" si="548"/>
        <v>0</v>
      </c>
      <c r="CV343">
        <f t="shared" si="549"/>
        <v>0</v>
      </c>
      <c r="CW343">
        <f t="shared" si="550"/>
        <v>0</v>
      </c>
    </row>
    <row r="344" spans="1:102">
      <c r="A344" s="60">
        <v>45266</v>
      </c>
      <c r="B344" s="426"/>
      <c r="Z344" s="77"/>
      <c r="AB344" s="52">
        <f t="shared" si="576"/>
        <v>0</v>
      </c>
      <c r="AC344" s="52">
        <f t="shared" si="553"/>
        <v>0</v>
      </c>
      <c r="AD344" s="52">
        <f t="shared" si="554"/>
        <v>0</v>
      </c>
      <c r="AE344" s="52">
        <f t="shared" si="555"/>
        <v>0</v>
      </c>
      <c r="AF344" s="52">
        <f t="shared" si="556"/>
        <v>0</v>
      </c>
      <c r="AG344" s="52">
        <f t="shared" si="557"/>
        <v>0</v>
      </c>
      <c r="AH344" s="52">
        <f t="shared" si="558"/>
        <v>0</v>
      </c>
      <c r="AI344" s="52">
        <f t="shared" si="559"/>
        <v>0</v>
      </c>
      <c r="AJ344" s="52">
        <f t="shared" si="560"/>
        <v>0</v>
      </c>
      <c r="AK344" s="52">
        <f t="shared" si="561"/>
        <v>0</v>
      </c>
      <c r="AL344" s="52">
        <f t="shared" si="562"/>
        <v>0</v>
      </c>
      <c r="AM344" s="52">
        <f t="shared" si="563"/>
        <v>0</v>
      </c>
      <c r="AN344" s="52">
        <f t="shared" si="564"/>
        <v>0</v>
      </c>
      <c r="AO344" s="52">
        <f t="shared" si="565"/>
        <v>0</v>
      </c>
      <c r="AP344" s="52">
        <f t="shared" si="566"/>
        <v>0</v>
      </c>
      <c r="AQ344" s="52">
        <f t="shared" si="567"/>
        <v>0</v>
      </c>
      <c r="AR344" s="52">
        <f t="shared" si="568"/>
        <v>0</v>
      </c>
      <c r="AS344" s="52">
        <f t="shared" si="569"/>
        <v>0</v>
      </c>
      <c r="AT344" s="52">
        <f t="shared" si="570"/>
        <v>0</v>
      </c>
      <c r="AU344" s="52">
        <f t="shared" si="571"/>
        <v>0</v>
      </c>
      <c r="AV344" s="52">
        <f t="shared" si="572"/>
        <v>0</v>
      </c>
      <c r="AW344" s="52">
        <f t="shared" si="573"/>
        <v>0</v>
      </c>
      <c r="AX344" s="52">
        <f t="shared" si="574"/>
        <v>0</v>
      </c>
      <c r="AY344" s="52">
        <f t="shared" si="527"/>
        <v>0</v>
      </c>
      <c r="BA344" s="52">
        <f t="shared" si="575"/>
        <v>0</v>
      </c>
      <c r="BB344" s="52">
        <f t="shared" si="575"/>
        <v>0</v>
      </c>
      <c r="BC344" s="52">
        <f t="shared" si="575"/>
        <v>0</v>
      </c>
      <c r="BD344" s="52">
        <f t="shared" si="575"/>
        <v>0</v>
      </c>
      <c r="BE344" s="52">
        <f t="shared" si="575"/>
        <v>0</v>
      </c>
      <c r="BF344" s="52">
        <f t="shared" si="575"/>
        <v>0</v>
      </c>
      <c r="BG344" s="52">
        <f t="shared" si="575"/>
        <v>0</v>
      </c>
      <c r="BH344" s="52">
        <f t="shared" si="575"/>
        <v>0</v>
      </c>
      <c r="BI344" s="52">
        <f t="shared" si="575"/>
        <v>0</v>
      </c>
      <c r="BJ344" s="52">
        <f t="shared" si="575"/>
        <v>0</v>
      </c>
      <c r="BK344" s="52">
        <f t="shared" si="575"/>
        <v>0</v>
      </c>
      <c r="BL344" s="52">
        <f t="shared" si="575"/>
        <v>0</v>
      </c>
      <c r="BM344" s="52">
        <f t="shared" si="575"/>
        <v>0</v>
      </c>
      <c r="BN344" s="52">
        <f t="shared" si="575"/>
        <v>0</v>
      </c>
      <c r="BO344" s="52">
        <f t="shared" si="575"/>
        <v>0</v>
      </c>
      <c r="BP344" s="52">
        <f t="shared" si="575"/>
        <v>0</v>
      </c>
      <c r="BQ344" s="52">
        <f t="shared" si="575"/>
        <v>0</v>
      </c>
      <c r="BR344" s="52">
        <f t="shared" si="575"/>
        <v>0</v>
      </c>
      <c r="BS344" s="52">
        <f t="shared" si="575"/>
        <v>0</v>
      </c>
      <c r="BT344" s="52">
        <f t="shared" si="575"/>
        <v>0</v>
      </c>
      <c r="BU344" s="52">
        <f t="shared" si="575"/>
        <v>0</v>
      </c>
      <c r="BV344" s="52">
        <f t="shared" si="575"/>
        <v>0</v>
      </c>
      <c r="BW344" s="52">
        <f t="shared" si="575"/>
        <v>0</v>
      </c>
      <c r="BX344" s="52">
        <f t="shared" si="575"/>
        <v>0</v>
      </c>
      <c r="BZ344" s="52">
        <f t="shared" si="577"/>
        <v>0</v>
      </c>
      <c r="CA344" s="52">
        <f t="shared" si="529"/>
        <v>0</v>
      </c>
      <c r="CB344" s="52">
        <f t="shared" si="530"/>
        <v>0</v>
      </c>
      <c r="CC344" s="52">
        <f t="shared" si="531"/>
        <v>0</v>
      </c>
      <c r="CD344" s="52">
        <f t="shared" si="532"/>
        <v>0</v>
      </c>
      <c r="CE344" s="52">
        <f t="shared" si="533"/>
        <v>0</v>
      </c>
      <c r="CF344" s="52">
        <f t="shared" si="534"/>
        <v>0</v>
      </c>
      <c r="CG344" s="52">
        <f t="shared" si="535"/>
        <v>0</v>
      </c>
      <c r="CH344" s="52">
        <f t="shared" si="536"/>
        <v>0</v>
      </c>
      <c r="CI344" s="52">
        <f t="shared" si="537"/>
        <v>0</v>
      </c>
      <c r="CJ344" s="52">
        <f t="shared" si="538"/>
        <v>0</v>
      </c>
      <c r="CK344" s="52">
        <f t="shared" si="539"/>
        <v>0</v>
      </c>
      <c r="CL344" s="52">
        <f t="shared" si="540"/>
        <v>0</v>
      </c>
      <c r="CM344" s="52">
        <f t="shared" si="541"/>
        <v>0</v>
      </c>
      <c r="CN344" s="52">
        <f t="shared" si="542"/>
        <v>0</v>
      </c>
      <c r="CO344" s="52">
        <f t="shared" si="543"/>
        <v>0</v>
      </c>
      <c r="CP344" s="52">
        <f t="shared" si="578"/>
        <v>0</v>
      </c>
      <c r="CQ344" s="52">
        <f t="shared" si="544"/>
        <v>0</v>
      </c>
      <c r="CR344" s="52">
        <f t="shared" si="545"/>
        <v>0</v>
      </c>
      <c r="CS344" s="52">
        <f t="shared" si="546"/>
        <v>0</v>
      </c>
      <c r="CT344" s="52">
        <f t="shared" si="547"/>
        <v>0</v>
      </c>
      <c r="CU344" s="52">
        <f t="shared" si="548"/>
        <v>0</v>
      </c>
      <c r="CV344" s="52">
        <f t="shared" si="549"/>
        <v>0</v>
      </c>
      <c r="CW344" s="52">
        <f t="shared" si="550"/>
        <v>0</v>
      </c>
    </row>
    <row r="345" spans="1:102">
      <c r="A345" s="60">
        <v>45267</v>
      </c>
      <c r="B345" s="426"/>
      <c r="Z345" s="77"/>
      <c r="AB345">
        <f t="shared" si="576"/>
        <v>0</v>
      </c>
      <c r="AC345">
        <f t="shared" si="553"/>
        <v>0</v>
      </c>
      <c r="AD345">
        <f t="shared" si="554"/>
        <v>0</v>
      </c>
      <c r="AE345">
        <f t="shared" si="555"/>
        <v>0</v>
      </c>
      <c r="AF345">
        <f t="shared" si="556"/>
        <v>0</v>
      </c>
      <c r="AG345">
        <f t="shared" si="557"/>
        <v>0</v>
      </c>
      <c r="AH345">
        <f t="shared" si="558"/>
        <v>0</v>
      </c>
      <c r="AI345">
        <f t="shared" si="559"/>
        <v>0</v>
      </c>
      <c r="AJ345">
        <f t="shared" si="560"/>
        <v>0</v>
      </c>
      <c r="AK345">
        <f t="shared" si="561"/>
        <v>0</v>
      </c>
      <c r="AL345">
        <f t="shared" si="562"/>
        <v>0</v>
      </c>
      <c r="AM345">
        <f t="shared" si="563"/>
        <v>0</v>
      </c>
      <c r="AN345">
        <f t="shared" si="564"/>
        <v>0</v>
      </c>
      <c r="AO345">
        <f t="shared" si="565"/>
        <v>0</v>
      </c>
      <c r="AP345">
        <f t="shared" si="566"/>
        <v>0</v>
      </c>
      <c r="AQ345">
        <f t="shared" si="567"/>
        <v>0</v>
      </c>
      <c r="AR345">
        <f t="shared" si="568"/>
        <v>0</v>
      </c>
      <c r="AS345">
        <f t="shared" si="569"/>
        <v>0</v>
      </c>
      <c r="AT345">
        <f t="shared" si="570"/>
        <v>0</v>
      </c>
      <c r="AU345">
        <f t="shared" si="571"/>
        <v>0</v>
      </c>
      <c r="AV345">
        <f t="shared" si="572"/>
        <v>0</v>
      </c>
      <c r="AW345">
        <f t="shared" si="573"/>
        <v>0</v>
      </c>
      <c r="AX345">
        <f t="shared" si="574"/>
        <v>0</v>
      </c>
      <c r="AY345">
        <f t="shared" si="527"/>
        <v>0</v>
      </c>
      <c r="BA345">
        <f t="shared" si="575"/>
        <v>0</v>
      </c>
      <c r="BB345">
        <f t="shared" si="575"/>
        <v>0</v>
      </c>
      <c r="BC345">
        <f t="shared" si="575"/>
        <v>0</v>
      </c>
      <c r="BD345">
        <f t="shared" si="575"/>
        <v>0</v>
      </c>
      <c r="BE345">
        <f t="shared" si="575"/>
        <v>0</v>
      </c>
      <c r="BF345">
        <f t="shared" si="575"/>
        <v>0</v>
      </c>
      <c r="BG345">
        <f t="shared" si="575"/>
        <v>0</v>
      </c>
      <c r="BH345">
        <f t="shared" si="575"/>
        <v>0</v>
      </c>
      <c r="BI345">
        <f t="shared" si="575"/>
        <v>0</v>
      </c>
      <c r="BJ345">
        <f t="shared" si="575"/>
        <v>0</v>
      </c>
      <c r="BK345">
        <f t="shared" si="575"/>
        <v>0</v>
      </c>
      <c r="BL345">
        <f t="shared" si="575"/>
        <v>0</v>
      </c>
      <c r="BM345">
        <f t="shared" si="575"/>
        <v>0</v>
      </c>
      <c r="BN345">
        <f t="shared" si="575"/>
        <v>0</v>
      </c>
      <c r="BO345">
        <f t="shared" si="575"/>
        <v>0</v>
      </c>
      <c r="BP345">
        <f t="shared" si="575"/>
        <v>0</v>
      </c>
      <c r="BQ345">
        <f t="shared" si="575"/>
        <v>0</v>
      </c>
      <c r="BR345">
        <f t="shared" si="575"/>
        <v>0</v>
      </c>
      <c r="BS345">
        <f t="shared" si="575"/>
        <v>0</v>
      </c>
      <c r="BT345">
        <f t="shared" si="575"/>
        <v>0</v>
      </c>
      <c r="BU345">
        <f t="shared" si="575"/>
        <v>0</v>
      </c>
      <c r="BV345">
        <f t="shared" si="575"/>
        <v>0</v>
      </c>
      <c r="BW345">
        <f t="shared" si="575"/>
        <v>0</v>
      </c>
      <c r="BX345">
        <f t="shared" si="575"/>
        <v>0</v>
      </c>
      <c r="BZ345">
        <f t="shared" si="577"/>
        <v>0</v>
      </c>
      <c r="CA345">
        <f t="shared" si="529"/>
        <v>0</v>
      </c>
      <c r="CB345">
        <f t="shared" si="530"/>
        <v>0</v>
      </c>
      <c r="CC345">
        <f t="shared" si="531"/>
        <v>0</v>
      </c>
      <c r="CD345">
        <f t="shared" si="532"/>
        <v>0</v>
      </c>
      <c r="CE345">
        <f t="shared" si="533"/>
        <v>0</v>
      </c>
      <c r="CF345">
        <f t="shared" si="534"/>
        <v>0</v>
      </c>
      <c r="CG345">
        <f t="shared" si="535"/>
        <v>0</v>
      </c>
      <c r="CH345">
        <f t="shared" si="536"/>
        <v>0</v>
      </c>
      <c r="CI345">
        <f t="shared" si="537"/>
        <v>0</v>
      </c>
      <c r="CJ345">
        <f t="shared" si="538"/>
        <v>0</v>
      </c>
      <c r="CK345">
        <f t="shared" si="539"/>
        <v>0</v>
      </c>
      <c r="CL345">
        <f t="shared" si="540"/>
        <v>0</v>
      </c>
      <c r="CM345">
        <f t="shared" si="541"/>
        <v>0</v>
      </c>
      <c r="CN345">
        <f t="shared" si="542"/>
        <v>0</v>
      </c>
      <c r="CO345">
        <f t="shared" si="543"/>
        <v>0</v>
      </c>
      <c r="CP345">
        <f t="shared" si="578"/>
        <v>0</v>
      </c>
      <c r="CQ345">
        <f t="shared" si="544"/>
        <v>0</v>
      </c>
      <c r="CR345">
        <f t="shared" si="545"/>
        <v>0</v>
      </c>
      <c r="CS345">
        <f t="shared" si="546"/>
        <v>0</v>
      </c>
      <c r="CT345">
        <f t="shared" si="547"/>
        <v>0</v>
      </c>
      <c r="CU345">
        <f t="shared" si="548"/>
        <v>0</v>
      </c>
      <c r="CV345">
        <f t="shared" si="549"/>
        <v>0</v>
      </c>
      <c r="CW345">
        <f t="shared" si="550"/>
        <v>0</v>
      </c>
    </row>
    <row r="346" spans="1:102">
      <c r="A346" s="60">
        <v>45268</v>
      </c>
      <c r="B346" s="426"/>
      <c r="Z346" s="77"/>
      <c r="AB346" s="52">
        <f t="shared" si="576"/>
        <v>0</v>
      </c>
      <c r="AC346" s="52">
        <f t="shared" si="553"/>
        <v>0</v>
      </c>
      <c r="AD346" s="52">
        <f t="shared" si="554"/>
        <v>0</v>
      </c>
      <c r="AE346" s="52">
        <f t="shared" si="555"/>
        <v>0</v>
      </c>
      <c r="AF346" s="52">
        <f t="shared" si="556"/>
        <v>0</v>
      </c>
      <c r="AG346" s="52">
        <f t="shared" si="557"/>
        <v>0</v>
      </c>
      <c r="AH346" s="52">
        <f t="shared" si="558"/>
        <v>0</v>
      </c>
      <c r="AI346" s="52">
        <f t="shared" si="559"/>
        <v>0</v>
      </c>
      <c r="AJ346" s="52">
        <f t="shared" si="560"/>
        <v>0</v>
      </c>
      <c r="AK346" s="52">
        <f t="shared" si="561"/>
        <v>0</v>
      </c>
      <c r="AL346" s="52">
        <f t="shared" si="562"/>
        <v>0</v>
      </c>
      <c r="AM346" s="52">
        <f t="shared" si="563"/>
        <v>0</v>
      </c>
      <c r="AN346" s="52">
        <f t="shared" si="564"/>
        <v>0</v>
      </c>
      <c r="AO346" s="52">
        <f t="shared" si="565"/>
        <v>0</v>
      </c>
      <c r="AP346" s="52">
        <f t="shared" si="566"/>
        <v>0</v>
      </c>
      <c r="AQ346" s="52">
        <f t="shared" si="567"/>
        <v>0</v>
      </c>
      <c r="AR346" s="52">
        <f t="shared" si="568"/>
        <v>0</v>
      </c>
      <c r="AS346" s="52">
        <f t="shared" si="569"/>
        <v>0</v>
      </c>
      <c r="AT346" s="52">
        <f t="shared" si="570"/>
        <v>0</v>
      </c>
      <c r="AU346" s="52">
        <f t="shared" si="571"/>
        <v>0</v>
      </c>
      <c r="AV346" s="52">
        <f t="shared" si="572"/>
        <v>0</v>
      </c>
      <c r="AW346" s="52">
        <f t="shared" si="573"/>
        <v>0</v>
      </c>
      <c r="AX346" s="52">
        <f t="shared" si="574"/>
        <v>0</v>
      </c>
      <c r="AY346" s="52">
        <f t="shared" si="527"/>
        <v>0</v>
      </c>
      <c r="BA346" s="52">
        <f t="shared" si="575"/>
        <v>0</v>
      </c>
      <c r="BB346" s="52">
        <f t="shared" si="575"/>
        <v>0</v>
      </c>
      <c r="BC346" s="52">
        <f t="shared" si="575"/>
        <v>0</v>
      </c>
      <c r="BD346" s="52">
        <f t="shared" si="575"/>
        <v>0</v>
      </c>
      <c r="BE346" s="52">
        <f t="shared" si="575"/>
        <v>0</v>
      </c>
      <c r="BF346" s="52">
        <f t="shared" si="575"/>
        <v>0</v>
      </c>
      <c r="BG346" s="52">
        <f t="shared" si="575"/>
        <v>0</v>
      </c>
      <c r="BH346" s="52">
        <f t="shared" si="575"/>
        <v>0</v>
      </c>
      <c r="BI346" s="52">
        <f t="shared" si="575"/>
        <v>0</v>
      </c>
      <c r="BJ346" s="52">
        <f t="shared" si="575"/>
        <v>0</v>
      </c>
      <c r="BK346" s="52">
        <f t="shared" si="575"/>
        <v>0</v>
      </c>
      <c r="BL346" s="52">
        <f t="shared" si="575"/>
        <v>0</v>
      </c>
      <c r="BM346" s="52">
        <f t="shared" si="575"/>
        <v>0</v>
      </c>
      <c r="BN346" s="52">
        <f t="shared" si="575"/>
        <v>0</v>
      </c>
      <c r="BO346" s="52">
        <f t="shared" si="575"/>
        <v>0</v>
      </c>
      <c r="BP346" s="52">
        <f t="shared" si="575"/>
        <v>0</v>
      </c>
      <c r="BQ346" s="52">
        <f t="shared" si="575"/>
        <v>0</v>
      </c>
      <c r="BR346" s="52">
        <f t="shared" si="575"/>
        <v>0</v>
      </c>
      <c r="BS346" s="52">
        <f t="shared" si="575"/>
        <v>0</v>
      </c>
      <c r="BT346" s="52">
        <f t="shared" si="575"/>
        <v>0</v>
      </c>
      <c r="BU346" s="52">
        <f t="shared" si="575"/>
        <v>0</v>
      </c>
      <c r="BV346" s="52">
        <f t="shared" si="575"/>
        <v>0</v>
      </c>
      <c r="BW346" s="52">
        <f t="shared" si="575"/>
        <v>0</v>
      </c>
      <c r="BX346" s="52">
        <f t="shared" si="575"/>
        <v>0</v>
      </c>
      <c r="BZ346" s="52">
        <f t="shared" si="577"/>
        <v>0</v>
      </c>
      <c r="CA346" s="52">
        <f t="shared" si="529"/>
        <v>0</v>
      </c>
      <c r="CB346" s="52">
        <f t="shared" si="530"/>
        <v>0</v>
      </c>
      <c r="CC346" s="52">
        <f t="shared" si="531"/>
        <v>0</v>
      </c>
      <c r="CD346" s="52">
        <f t="shared" si="532"/>
        <v>0</v>
      </c>
      <c r="CE346" s="52">
        <f t="shared" si="533"/>
        <v>0</v>
      </c>
      <c r="CF346" s="52">
        <f t="shared" si="534"/>
        <v>0</v>
      </c>
      <c r="CG346" s="52">
        <f t="shared" si="535"/>
        <v>0</v>
      </c>
      <c r="CH346" s="52">
        <f t="shared" si="536"/>
        <v>0</v>
      </c>
      <c r="CI346" s="52">
        <f t="shared" si="537"/>
        <v>0</v>
      </c>
      <c r="CJ346" s="52">
        <f t="shared" si="538"/>
        <v>0</v>
      </c>
      <c r="CK346" s="52">
        <f t="shared" si="539"/>
        <v>0</v>
      </c>
      <c r="CL346" s="52">
        <f t="shared" si="540"/>
        <v>0</v>
      </c>
      <c r="CM346" s="52">
        <f t="shared" si="541"/>
        <v>0</v>
      </c>
      <c r="CN346" s="52">
        <f t="shared" si="542"/>
        <v>0</v>
      </c>
      <c r="CO346" s="52">
        <f t="shared" si="543"/>
        <v>0</v>
      </c>
      <c r="CP346" s="52">
        <f t="shared" si="578"/>
        <v>0</v>
      </c>
      <c r="CQ346" s="52">
        <f t="shared" si="544"/>
        <v>0</v>
      </c>
      <c r="CR346" s="52">
        <f t="shared" si="545"/>
        <v>0</v>
      </c>
      <c r="CS346" s="52">
        <f t="shared" si="546"/>
        <v>0</v>
      </c>
      <c r="CT346" s="52">
        <f t="shared" si="547"/>
        <v>0</v>
      </c>
      <c r="CU346" s="52">
        <f t="shared" si="548"/>
        <v>0</v>
      </c>
      <c r="CV346" s="52">
        <f t="shared" si="549"/>
        <v>0</v>
      </c>
      <c r="CW346" s="52">
        <f t="shared" si="550"/>
        <v>0</v>
      </c>
    </row>
    <row r="347" spans="1:102">
      <c r="A347" s="60">
        <v>45269</v>
      </c>
      <c r="B347" s="426"/>
      <c r="Z347" s="77"/>
      <c r="AB347">
        <f t="shared" si="576"/>
        <v>0</v>
      </c>
      <c r="AC347">
        <f t="shared" si="553"/>
        <v>0</v>
      </c>
      <c r="AD347">
        <f t="shared" si="554"/>
        <v>0</v>
      </c>
      <c r="AE347">
        <f t="shared" si="555"/>
        <v>0</v>
      </c>
      <c r="AF347">
        <f t="shared" si="556"/>
        <v>0</v>
      </c>
      <c r="AG347">
        <f t="shared" si="557"/>
        <v>0</v>
      </c>
      <c r="AH347">
        <f t="shared" si="558"/>
        <v>0</v>
      </c>
      <c r="AI347">
        <f t="shared" si="559"/>
        <v>0</v>
      </c>
      <c r="AJ347">
        <f t="shared" si="560"/>
        <v>0</v>
      </c>
      <c r="AK347">
        <f t="shared" si="561"/>
        <v>0</v>
      </c>
      <c r="AL347">
        <f t="shared" si="562"/>
        <v>0</v>
      </c>
      <c r="AM347">
        <f t="shared" si="563"/>
        <v>0</v>
      </c>
      <c r="AN347">
        <f t="shared" si="564"/>
        <v>0</v>
      </c>
      <c r="AO347">
        <f t="shared" si="565"/>
        <v>0</v>
      </c>
      <c r="AP347">
        <f t="shared" si="566"/>
        <v>0</v>
      </c>
      <c r="AQ347">
        <f t="shared" si="567"/>
        <v>0</v>
      </c>
      <c r="AR347">
        <f t="shared" si="568"/>
        <v>0</v>
      </c>
      <c r="AS347">
        <f t="shared" si="569"/>
        <v>0</v>
      </c>
      <c r="AT347">
        <f t="shared" si="570"/>
        <v>0</v>
      </c>
      <c r="AU347">
        <f t="shared" si="571"/>
        <v>0</v>
      </c>
      <c r="AV347">
        <f t="shared" si="572"/>
        <v>0</v>
      </c>
      <c r="AW347">
        <f t="shared" si="573"/>
        <v>0</v>
      </c>
      <c r="AX347">
        <f t="shared" si="574"/>
        <v>0</v>
      </c>
      <c r="AY347">
        <f t="shared" si="527"/>
        <v>0</v>
      </c>
      <c r="BA347">
        <f t="shared" si="575"/>
        <v>0</v>
      </c>
      <c r="BB347">
        <f t="shared" si="575"/>
        <v>0</v>
      </c>
      <c r="BC347">
        <f t="shared" si="575"/>
        <v>0</v>
      </c>
      <c r="BD347">
        <f t="shared" si="575"/>
        <v>0</v>
      </c>
      <c r="BE347">
        <f t="shared" si="575"/>
        <v>0</v>
      </c>
      <c r="BF347">
        <f t="shared" si="575"/>
        <v>0</v>
      </c>
      <c r="BG347">
        <f t="shared" si="575"/>
        <v>0</v>
      </c>
      <c r="BH347">
        <f t="shared" si="575"/>
        <v>0</v>
      </c>
      <c r="BI347">
        <f t="shared" si="575"/>
        <v>0</v>
      </c>
      <c r="BJ347">
        <f t="shared" si="575"/>
        <v>0</v>
      </c>
      <c r="BK347">
        <f t="shared" si="575"/>
        <v>0</v>
      </c>
      <c r="BL347">
        <f t="shared" si="575"/>
        <v>0</v>
      </c>
      <c r="BM347">
        <f t="shared" si="575"/>
        <v>0</v>
      </c>
      <c r="BN347">
        <f t="shared" si="575"/>
        <v>0</v>
      </c>
      <c r="BO347">
        <f t="shared" si="575"/>
        <v>0</v>
      </c>
      <c r="BP347">
        <f t="shared" si="575"/>
        <v>0</v>
      </c>
      <c r="BQ347">
        <f t="shared" si="575"/>
        <v>0</v>
      </c>
      <c r="BR347">
        <f t="shared" si="575"/>
        <v>0</v>
      </c>
      <c r="BS347">
        <f t="shared" si="575"/>
        <v>0</v>
      </c>
      <c r="BT347">
        <f t="shared" si="575"/>
        <v>0</v>
      </c>
      <c r="BU347">
        <f t="shared" si="575"/>
        <v>0</v>
      </c>
      <c r="BV347">
        <f t="shared" si="575"/>
        <v>0</v>
      </c>
      <c r="BW347">
        <f t="shared" si="575"/>
        <v>0</v>
      </c>
      <c r="BX347">
        <f t="shared" si="575"/>
        <v>0</v>
      </c>
      <c r="BZ347">
        <f t="shared" si="577"/>
        <v>0</v>
      </c>
      <c r="CA347">
        <f t="shared" si="529"/>
        <v>0</v>
      </c>
      <c r="CB347">
        <f t="shared" si="530"/>
        <v>0</v>
      </c>
      <c r="CC347">
        <f t="shared" si="531"/>
        <v>0</v>
      </c>
      <c r="CD347">
        <f t="shared" si="532"/>
        <v>0</v>
      </c>
      <c r="CE347">
        <f t="shared" si="533"/>
        <v>0</v>
      </c>
      <c r="CF347">
        <f t="shared" si="534"/>
        <v>0</v>
      </c>
      <c r="CG347">
        <f t="shared" si="535"/>
        <v>0</v>
      </c>
      <c r="CH347">
        <f t="shared" si="536"/>
        <v>0</v>
      </c>
      <c r="CI347">
        <f t="shared" si="537"/>
        <v>0</v>
      </c>
      <c r="CJ347">
        <f t="shared" si="538"/>
        <v>0</v>
      </c>
      <c r="CK347">
        <f t="shared" si="539"/>
        <v>0</v>
      </c>
      <c r="CL347">
        <f t="shared" si="540"/>
        <v>0</v>
      </c>
      <c r="CM347">
        <f t="shared" si="541"/>
        <v>0</v>
      </c>
      <c r="CN347">
        <f t="shared" si="542"/>
        <v>0</v>
      </c>
      <c r="CO347">
        <f t="shared" si="543"/>
        <v>0</v>
      </c>
      <c r="CP347">
        <f t="shared" si="578"/>
        <v>0</v>
      </c>
      <c r="CQ347">
        <f t="shared" si="544"/>
        <v>0</v>
      </c>
      <c r="CR347">
        <f t="shared" si="545"/>
        <v>0</v>
      </c>
      <c r="CS347">
        <f t="shared" si="546"/>
        <v>0</v>
      </c>
      <c r="CT347">
        <f t="shared" si="547"/>
        <v>0</v>
      </c>
      <c r="CU347">
        <f t="shared" si="548"/>
        <v>0</v>
      </c>
      <c r="CV347">
        <f t="shared" si="549"/>
        <v>0</v>
      </c>
      <c r="CW347">
        <f t="shared" si="550"/>
        <v>0</v>
      </c>
    </row>
    <row r="348" spans="1:102">
      <c r="A348" s="60">
        <v>45270</v>
      </c>
      <c r="B348" s="426"/>
      <c r="Z348" s="77"/>
      <c r="AB348" s="52">
        <f t="shared" si="576"/>
        <v>0</v>
      </c>
      <c r="AC348" s="52">
        <f t="shared" si="553"/>
        <v>0</v>
      </c>
      <c r="AD348" s="52">
        <f t="shared" si="554"/>
        <v>0</v>
      </c>
      <c r="AE348" s="52">
        <f t="shared" si="555"/>
        <v>0</v>
      </c>
      <c r="AF348" s="52">
        <f t="shared" si="556"/>
        <v>0</v>
      </c>
      <c r="AG348" s="52">
        <f t="shared" si="557"/>
        <v>0</v>
      </c>
      <c r="AH348" s="52">
        <f t="shared" si="558"/>
        <v>0</v>
      </c>
      <c r="AI348" s="52">
        <f t="shared" si="559"/>
        <v>0</v>
      </c>
      <c r="AJ348" s="52">
        <f t="shared" si="560"/>
        <v>0</v>
      </c>
      <c r="AK348" s="52">
        <f t="shared" si="561"/>
        <v>0</v>
      </c>
      <c r="AL348" s="52">
        <f t="shared" si="562"/>
        <v>0</v>
      </c>
      <c r="AM348" s="52">
        <f t="shared" si="563"/>
        <v>0</v>
      </c>
      <c r="AN348" s="52">
        <f t="shared" si="564"/>
        <v>0</v>
      </c>
      <c r="AO348" s="52">
        <f t="shared" si="565"/>
        <v>0</v>
      </c>
      <c r="AP348" s="52">
        <f t="shared" si="566"/>
        <v>0</v>
      </c>
      <c r="AQ348" s="52">
        <f t="shared" si="567"/>
        <v>0</v>
      </c>
      <c r="AR348" s="52">
        <f t="shared" si="568"/>
        <v>0</v>
      </c>
      <c r="AS348" s="52">
        <f t="shared" si="569"/>
        <v>0</v>
      </c>
      <c r="AT348" s="52">
        <f t="shared" si="570"/>
        <v>0</v>
      </c>
      <c r="AU348" s="52">
        <f t="shared" si="571"/>
        <v>0</v>
      </c>
      <c r="AV348" s="52">
        <f t="shared" si="572"/>
        <v>0</v>
      </c>
      <c r="AW348" s="52">
        <f t="shared" si="573"/>
        <v>0</v>
      </c>
      <c r="AX348" s="52">
        <f t="shared" si="574"/>
        <v>0</v>
      </c>
      <c r="AY348" s="52">
        <f t="shared" si="527"/>
        <v>0</v>
      </c>
      <c r="BA348" s="52">
        <f t="shared" si="575"/>
        <v>0</v>
      </c>
      <c r="BB348" s="52">
        <f t="shared" si="575"/>
        <v>0</v>
      </c>
      <c r="BC348" s="52">
        <f t="shared" si="575"/>
        <v>0</v>
      </c>
      <c r="BD348" s="52">
        <f t="shared" si="575"/>
        <v>0</v>
      </c>
      <c r="BE348" s="52">
        <f t="shared" si="575"/>
        <v>0</v>
      </c>
      <c r="BF348" s="52">
        <f t="shared" si="575"/>
        <v>0</v>
      </c>
      <c r="BG348" s="52">
        <f t="shared" si="575"/>
        <v>0</v>
      </c>
      <c r="BH348" s="52">
        <f t="shared" si="575"/>
        <v>0</v>
      </c>
      <c r="BI348" s="52">
        <f t="shared" si="575"/>
        <v>0</v>
      </c>
      <c r="BJ348" s="52">
        <f t="shared" si="575"/>
        <v>0</v>
      </c>
      <c r="BK348" s="52">
        <f t="shared" si="575"/>
        <v>0</v>
      </c>
      <c r="BL348" s="52">
        <f t="shared" si="575"/>
        <v>0</v>
      </c>
      <c r="BM348" s="52">
        <f t="shared" si="575"/>
        <v>0</v>
      </c>
      <c r="BN348" s="52">
        <f t="shared" si="575"/>
        <v>0</v>
      </c>
      <c r="BO348" s="52">
        <f t="shared" si="575"/>
        <v>0</v>
      </c>
      <c r="BP348" s="52">
        <f t="shared" si="575"/>
        <v>0</v>
      </c>
      <c r="BQ348" s="52">
        <f t="shared" si="575"/>
        <v>0</v>
      </c>
      <c r="BR348" s="52">
        <f t="shared" si="575"/>
        <v>0</v>
      </c>
      <c r="BS348" s="52">
        <f t="shared" si="575"/>
        <v>0</v>
      </c>
      <c r="BT348" s="52">
        <f t="shared" si="575"/>
        <v>0</v>
      </c>
      <c r="BU348" s="52">
        <f t="shared" si="575"/>
        <v>0</v>
      </c>
      <c r="BV348" s="52">
        <f t="shared" si="575"/>
        <v>0</v>
      </c>
      <c r="BW348" s="52">
        <f t="shared" si="575"/>
        <v>0</v>
      </c>
      <c r="BX348" s="52">
        <f t="shared" si="575"/>
        <v>0</v>
      </c>
      <c r="BZ348" s="52">
        <f t="shared" si="577"/>
        <v>0</v>
      </c>
      <c r="CA348" s="52">
        <f t="shared" si="529"/>
        <v>0</v>
      </c>
      <c r="CB348" s="52">
        <f t="shared" si="530"/>
        <v>0</v>
      </c>
      <c r="CC348" s="52">
        <f t="shared" si="531"/>
        <v>0</v>
      </c>
      <c r="CD348" s="52">
        <f t="shared" si="532"/>
        <v>0</v>
      </c>
      <c r="CE348" s="52">
        <f t="shared" si="533"/>
        <v>0</v>
      </c>
      <c r="CF348" s="52">
        <f t="shared" si="534"/>
        <v>0</v>
      </c>
      <c r="CG348" s="52">
        <f t="shared" si="535"/>
        <v>0</v>
      </c>
      <c r="CH348" s="52">
        <f t="shared" si="536"/>
        <v>0</v>
      </c>
      <c r="CI348" s="52">
        <f t="shared" si="537"/>
        <v>0</v>
      </c>
      <c r="CJ348" s="52">
        <f t="shared" si="538"/>
        <v>0</v>
      </c>
      <c r="CK348" s="52">
        <f t="shared" si="539"/>
        <v>0</v>
      </c>
      <c r="CL348" s="52">
        <f t="shared" si="540"/>
        <v>0</v>
      </c>
      <c r="CM348" s="52">
        <f t="shared" si="541"/>
        <v>0</v>
      </c>
      <c r="CN348" s="52">
        <f t="shared" si="542"/>
        <v>0</v>
      </c>
      <c r="CO348" s="52">
        <f t="shared" si="543"/>
        <v>0</v>
      </c>
      <c r="CP348" s="52">
        <f t="shared" si="578"/>
        <v>0</v>
      </c>
      <c r="CQ348" s="52">
        <f t="shared" si="544"/>
        <v>0</v>
      </c>
      <c r="CR348" s="52">
        <f t="shared" si="545"/>
        <v>0</v>
      </c>
      <c r="CS348" s="52">
        <f t="shared" si="546"/>
        <v>0</v>
      </c>
      <c r="CT348" s="52">
        <f t="shared" si="547"/>
        <v>0</v>
      </c>
      <c r="CU348" s="52">
        <f t="shared" si="548"/>
        <v>0</v>
      </c>
      <c r="CV348" s="52">
        <f t="shared" si="549"/>
        <v>0</v>
      </c>
      <c r="CW348" s="52">
        <f t="shared" si="550"/>
        <v>0</v>
      </c>
    </row>
    <row r="349" spans="1:102">
      <c r="A349" s="60">
        <v>45271</v>
      </c>
      <c r="B349" s="426"/>
      <c r="Z349" s="77"/>
      <c r="AB349">
        <f t="shared" si="576"/>
        <v>0</v>
      </c>
      <c r="AC349">
        <f t="shared" si="553"/>
        <v>0</v>
      </c>
      <c r="AD349">
        <f t="shared" si="554"/>
        <v>0</v>
      </c>
      <c r="AE349">
        <f t="shared" si="555"/>
        <v>0</v>
      </c>
      <c r="AF349">
        <f t="shared" si="556"/>
        <v>0</v>
      </c>
      <c r="AG349">
        <f t="shared" si="557"/>
        <v>0</v>
      </c>
      <c r="AH349">
        <f t="shared" si="558"/>
        <v>0</v>
      </c>
      <c r="AI349">
        <f t="shared" si="559"/>
        <v>0</v>
      </c>
      <c r="AJ349">
        <f t="shared" si="560"/>
        <v>0</v>
      </c>
      <c r="AK349">
        <f t="shared" si="561"/>
        <v>0</v>
      </c>
      <c r="AL349">
        <f t="shared" si="562"/>
        <v>0</v>
      </c>
      <c r="AM349">
        <f t="shared" si="563"/>
        <v>0</v>
      </c>
      <c r="AN349">
        <f t="shared" si="564"/>
        <v>0</v>
      </c>
      <c r="AO349">
        <f t="shared" si="565"/>
        <v>0</v>
      </c>
      <c r="AP349">
        <f t="shared" si="566"/>
        <v>0</v>
      </c>
      <c r="AQ349">
        <f t="shared" si="567"/>
        <v>0</v>
      </c>
      <c r="AR349">
        <f t="shared" si="568"/>
        <v>0</v>
      </c>
      <c r="AS349">
        <f t="shared" si="569"/>
        <v>0</v>
      </c>
      <c r="AT349">
        <f t="shared" si="570"/>
        <v>0</v>
      </c>
      <c r="AU349">
        <f t="shared" si="571"/>
        <v>0</v>
      </c>
      <c r="AV349">
        <f t="shared" si="572"/>
        <v>0</v>
      </c>
      <c r="AW349">
        <f t="shared" si="573"/>
        <v>0</v>
      </c>
      <c r="AX349">
        <f t="shared" si="574"/>
        <v>0</v>
      </c>
      <c r="AY349">
        <f t="shared" si="527"/>
        <v>0</v>
      </c>
      <c r="BA349">
        <f t="shared" si="575"/>
        <v>0</v>
      </c>
      <c r="BB349">
        <f t="shared" si="575"/>
        <v>0</v>
      </c>
      <c r="BC349">
        <f t="shared" si="575"/>
        <v>0</v>
      </c>
      <c r="BD349">
        <f t="shared" si="575"/>
        <v>0</v>
      </c>
      <c r="BE349">
        <f t="shared" si="575"/>
        <v>0</v>
      </c>
      <c r="BF349">
        <f t="shared" si="575"/>
        <v>0</v>
      </c>
      <c r="BG349">
        <f t="shared" si="575"/>
        <v>0</v>
      </c>
      <c r="BH349">
        <f t="shared" si="575"/>
        <v>0</v>
      </c>
      <c r="BI349">
        <f t="shared" si="575"/>
        <v>0</v>
      </c>
      <c r="BJ349">
        <f t="shared" si="575"/>
        <v>0</v>
      </c>
      <c r="BK349">
        <f t="shared" si="575"/>
        <v>0</v>
      </c>
      <c r="BL349">
        <f t="shared" si="575"/>
        <v>0</v>
      </c>
      <c r="BM349">
        <f t="shared" si="575"/>
        <v>0</v>
      </c>
      <c r="BN349">
        <f t="shared" si="575"/>
        <v>0</v>
      </c>
      <c r="BO349">
        <f t="shared" si="575"/>
        <v>0</v>
      </c>
      <c r="BP349">
        <f t="shared" ref="BP349:BP370" si="579">+ROUNDUP(Q349/8800,0)</f>
        <v>0</v>
      </c>
      <c r="BQ349">
        <f t="shared" ref="BQ349:BQ370" si="580">+ROUNDUP(R349/8800,0)</f>
        <v>0</v>
      </c>
      <c r="BR349">
        <f t="shared" ref="BR349:BR370" si="581">+ROUNDUP(S349/8800,0)</f>
        <v>0</v>
      </c>
      <c r="BS349">
        <f t="shared" ref="BS349:BS370" si="582">+ROUNDUP(T349/8800,0)</f>
        <v>0</v>
      </c>
      <c r="BT349">
        <f t="shared" ref="BT349:BT370" si="583">+ROUNDUP(U349/8800,0)</f>
        <v>0</v>
      </c>
      <c r="BU349">
        <f t="shared" ref="BU349:BU370" si="584">+ROUNDUP(V349/8800,0)</f>
        <v>0</v>
      </c>
      <c r="BV349">
        <f t="shared" ref="BV349:BV370" si="585">+ROUNDUP(W349/8800,0)</f>
        <v>0</v>
      </c>
      <c r="BW349">
        <f t="shared" ref="BW349:BW370" si="586">+ROUNDUP(X349/8800,0)</f>
        <v>0</v>
      </c>
      <c r="BX349">
        <f t="shared" ref="BX349:BX370" si="587">+ROUNDUP(Y349/8800,0)</f>
        <v>0</v>
      </c>
      <c r="BZ349">
        <f t="shared" si="577"/>
        <v>0</v>
      </c>
      <c r="CA349">
        <f t="shared" si="529"/>
        <v>0</v>
      </c>
      <c r="CB349">
        <f t="shared" si="530"/>
        <v>0</v>
      </c>
      <c r="CC349">
        <f t="shared" si="531"/>
        <v>0</v>
      </c>
      <c r="CD349">
        <f t="shared" si="532"/>
        <v>0</v>
      </c>
      <c r="CE349">
        <f t="shared" si="533"/>
        <v>0</v>
      </c>
      <c r="CF349">
        <f t="shared" si="534"/>
        <v>0</v>
      </c>
      <c r="CG349">
        <f t="shared" si="535"/>
        <v>0</v>
      </c>
      <c r="CH349">
        <f t="shared" si="536"/>
        <v>0</v>
      </c>
      <c r="CI349">
        <f t="shared" si="537"/>
        <v>0</v>
      </c>
      <c r="CJ349">
        <f t="shared" si="538"/>
        <v>0</v>
      </c>
      <c r="CK349">
        <f t="shared" si="539"/>
        <v>0</v>
      </c>
      <c r="CL349">
        <f t="shared" si="540"/>
        <v>0</v>
      </c>
      <c r="CM349">
        <f t="shared" si="541"/>
        <v>0</v>
      </c>
      <c r="CN349">
        <f t="shared" si="542"/>
        <v>0</v>
      </c>
      <c r="CO349">
        <f t="shared" si="543"/>
        <v>0</v>
      </c>
      <c r="CP349">
        <f t="shared" si="578"/>
        <v>0</v>
      </c>
      <c r="CQ349">
        <f t="shared" si="544"/>
        <v>0</v>
      </c>
      <c r="CR349">
        <f t="shared" si="545"/>
        <v>0</v>
      </c>
      <c r="CS349">
        <f t="shared" si="546"/>
        <v>0</v>
      </c>
      <c r="CT349">
        <f t="shared" si="547"/>
        <v>0</v>
      </c>
      <c r="CU349">
        <f t="shared" si="548"/>
        <v>0</v>
      </c>
      <c r="CV349">
        <f t="shared" si="549"/>
        <v>0</v>
      </c>
      <c r="CW349">
        <f t="shared" si="550"/>
        <v>0</v>
      </c>
    </row>
    <row r="350" spans="1:102">
      <c r="A350" s="60">
        <v>45272</v>
      </c>
      <c r="B350" s="426"/>
      <c r="Z350" s="77"/>
      <c r="AB350" s="52">
        <f t="shared" si="576"/>
        <v>0</v>
      </c>
      <c r="AC350" s="52">
        <f t="shared" si="553"/>
        <v>0</v>
      </c>
      <c r="AD350" s="52">
        <f t="shared" si="554"/>
        <v>0</v>
      </c>
      <c r="AE350" s="52">
        <f t="shared" si="555"/>
        <v>0</v>
      </c>
      <c r="AF350" s="52">
        <f t="shared" si="556"/>
        <v>0</v>
      </c>
      <c r="AG350" s="52">
        <f t="shared" si="557"/>
        <v>0</v>
      </c>
      <c r="AH350" s="52">
        <f t="shared" si="558"/>
        <v>0</v>
      </c>
      <c r="AI350" s="52">
        <f t="shared" si="559"/>
        <v>0</v>
      </c>
      <c r="AJ350" s="52">
        <f t="shared" si="560"/>
        <v>0</v>
      </c>
      <c r="AK350" s="52">
        <f t="shared" si="561"/>
        <v>0</v>
      </c>
      <c r="AL350" s="52">
        <f t="shared" si="562"/>
        <v>0</v>
      </c>
      <c r="AM350" s="52">
        <f t="shared" si="563"/>
        <v>0</v>
      </c>
      <c r="AN350" s="52">
        <f t="shared" si="564"/>
        <v>0</v>
      </c>
      <c r="AO350" s="52">
        <f t="shared" si="565"/>
        <v>0</v>
      </c>
      <c r="AP350" s="52">
        <f t="shared" si="566"/>
        <v>0</v>
      </c>
      <c r="AQ350" s="52">
        <f t="shared" si="567"/>
        <v>0</v>
      </c>
      <c r="AR350" s="52">
        <f t="shared" si="568"/>
        <v>0</v>
      </c>
      <c r="AS350" s="52">
        <f t="shared" si="569"/>
        <v>0</v>
      </c>
      <c r="AT350" s="52">
        <f t="shared" si="570"/>
        <v>0</v>
      </c>
      <c r="AU350" s="52">
        <f t="shared" si="571"/>
        <v>0</v>
      </c>
      <c r="AV350" s="52">
        <f t="shared" si="572"/>
        <v>0</v>
      </c>
      <c r="AW350" s="52">
        <f t="shared" si="573"/>
        <v>0</v>
      </c>
      <c r="AX350" s="52">
        <f t="shared" si="574"/>
        <v>0</v>
      </c>
      <c r="AY350" s="52">
        <f t="shared" si="527"/>
        <v>0</v>
      </c>
      <c r="BA350" s="52">
        <f t="shared" ref="BA350:BA370" si="588">+ROUNDUP(B350/8800,0)</f>
        <v>0</v>
      </c>
      <c r="BB350" s="52">
        <f t="shared" ref="BB350:BB370" si="589">+ROUNDUP(C350/8800,0)</f>
        <v>0</v>
      </c>
      <c r="BC350" s="52">
        <f t="shared" ref="BC350:BC370" si="590">+ROUNDUP(D350/8800,0)</f>
        <v>0</v>
      </c>
      <c r="BD350" s="52">
        <f t="shared" ref="BD350:BD370" si="591">+ROUNDUP(E350/8800,0)</f>
        <v>0</v>
      </c>
      <c r="BE350" s="52">
        <f t="shared" ref="BE350:BE370" si="592">+ROUNDUP(F350/8800,0)</f>
        <v>0</v>
      </c>
      <c r="BF350" s="52">
        <f t="shared" ref="BF350:BF370" si="593">+ROUNDUP(G350/8800,0)</f>
        <v>0</v>
      </c>
      <c r="BG350" s="52">
        <f t="shared" ref="BG350:BG370" si="594">+ROUNDUP(H350/8800,0)</f>
        <v>0</v>
      </c>
      <c r="BH350" s="52">
        <f t="shared" ref="BH350:BH370" si="595">+ROUNDUP(I350/8800,0)</f>
        <v>0</v>
      </c>
      <c r="BI350" s="52">
        <f t="shared" ref="BI350:BI370" si="596">+ROUNDUP(J350/8800,0)</f>
        <v>0</v>
      </c>
      <c r="BJ350" s="52">
        <f t="shared" ref="BJ350:BJ370" si="597">+ROUNDUP(K350/8800,0)</f>
        <v>0</v>
      </c>
      <c r="BK350" s="52">
        <f t="shared" ref="BK350:BK370" si="598">+ROUNDUP(L350/8800,0)</f>
        <v>0</v>
      </c>
      <c r="BL350" s="52">
        <f t="shared" ref="BL350:BL370" si="599">+ROUNDUP(M350/8800,0)</f>
        <v>0</v>
      </c>
      <c r="BM350" s="52">
        <f t="shared" ref="BM350:BM370" si="600">+ROUNDUP(N350/8800,0)</f>
        <v>0</v>
      </c>
      <c r="BN350" s="52">
        <f t="shared" ref="BN350:BN370" si="601">+ROUNDUP(O350/8800,0)</f>
        <v>0</v>
      </c>
      <c r="BO350" s="52">
        <f t="shared" ref="BO350:BO370" si="602">+ROUNDUP(P350/8800,0)</f>
        <v>0</v>
      </c>
      <c r="BP350" s="52">
        <f t="shared" si="579"/>
        <v>0</v>
      </c>
      <c r="BQ350" s="52">
        <f t="shared" si="580"/>
        <v>0</v>
      </c>
      <c r="BR350" s="52">
        <f t="shared" si="581"/>
        <v>0</v>
      </c>
      <c r="BS350" s="52">
        <f t="shared" si="582"/>
        <v>0</v>
      </c>
      <c r="BT350" s="52">
        <f t="shared" si="583"/>
        <v>0</v>
      </c>
      <c r="BU350" s="52">
        <f t="shared" si="584"/>
        <v>0</v>
      </c>
      <c r="BV350" s="52">
        <f t="shared" si="585"/>
        <v>0</v>
      </c>
      <c r="BW350" s="52">
        <f t="shared" si="586"/>
        <v>0</v>
      </c>
      <c r="BX350" s="52">
        <f t="shared" si="587"/>
        <v>0</v>
      </c>
      <c r="BZ350" s="52">
        <f t="shared" si="577"/>
        <v>0</v>
      </c>
      <c r="CA350" s="52">
        <f t="shared" si="529"/>
        <v>0</v>
      </c>
      <c r="CB350" s="52">
        <f t="shared" si="530"/>
        <v>0</v>
      </c>
      <c r="CC350" s="52">
        <f t="shared" si="531"/>
        <v>0</v>
      </c>
      <c r="CD350" s="52">
        <f t="shared" si="532"/>
        <v>0</v>
      </c>
      <c r="CE350" s="52">
        <f t="shared" si="533"/>
        <v>0</v>
      </c>
      <c r="CF350" s="52">
        <f t="shared" si="534"/>
        <v>0</v>
      </c>
      <c r="CG350" s="52">
        <f t="shared" si="535"/>
        <v>0</v>
      </c>
      <c r="CH350" s="52">
        <f t="shared" si="536"/>
        <v>0</v>
      </c>
      <c r="CI350" s="52">
        <f t="shared" si="537"/>
        <v>0</v>
      </c>
      <c r="CJ350" s="52">
        <f t="shared" si="538"/>
        <v>0</v>
      </c>
      <c r="CK350" s="52">
        <f t="shared" si="539"/>
        <v>0</v>
      </c>
      <c r="CL350" s="52">
        <f t="shared" si="540"/>
        <v>0</v>
      </c>
      <c r="CM350" s="52">
        <f t="shared" si="541"/>
        <v>0</v>
      </c>
      <c r="CN350" s="52">
        <f t="shared" si="542"/>
        <v>0</v>
      </c>
      <c r="CO350" s="52">
        <f t="shared" si="543"/>
        <v>0</v>
      </c>
      <c r="CP350" s="52">
        <f t="shared" si="578"/>
        <v>0</v>
      </c>
      <c r="CQ350" s="52">
        <f t="shared" si="544"/>
        <v>0</v>
      </c>
      <c r="CR350" s="52">
        <f t="shared" si="545"/>
        <v>0</v>
      </c>
      <c r="CS350" s="52">
        <f t="shared" si="546"/>
        <v>0</v>
      </c>
      <c r="CT350" s="52">
        <f t="shared" si="547"/>
        <v>0</v>
      </c>
      <c r="CU350" s="52">
        <f t="shared" si="548"/>
        <v>0</v>
      </c>
      <c r="CV350" s="52">
        <f t="shared" si="549"/>
        <v>0</v>
      </c>
      <c r="CW350" s="52">
        <f t="shared" si="550"/>
        <v>0</v>
      </c>
    </row>
    <row r="351" spans="1:102">
      <c r="A351" s="60">
        <v>45273</v>
      </c>
      <c r="B351" s="426"/>
      <c r="Z351" s="77"/>
      <c r="AB351">
        <f t="shared" si="576"/>
        <v>0</v>
      </c>
      <c r="AC351">
        <f t="shared" si="553"/>
        <v>0</v>
      </c>
      <c r="AD351">
        <f t="shared" si="554"/>
        <v>0</v>
      </c>
      <c r="AE351">
        <f t="shared" si="555"/>
        <v>0</v>
      </c>
      <c r="AF351">
        <f t="shared" si="556"/>
        <v>0</v>
      </c>
      <c r="AG351">
        <f t="shared" si="557"/>
        <v>0</v>
      </c>
      <c r="AH351">
        <f t="shared" si="558"/>
        <v>0</v>
      </c>
      <c r="AI351">
        <f t="shared" si="559"/>
        <v>0</v>
      </c>
      <c r="AJ351">
        <f t="shared" si="560"/>
        <v>0</v>
      </c>
      <c r="AK351">
        <f t="shared" si="561"/>
        <v>0</v>
      </c>
      <c r="AL351">
        <f t="shared" si="562"/>
        <v>0</v>
      </c>
      <c r="AM351">
        <f t="shared" si="563"/>
        <v>0</v>
      </c>
      <c r="AN351">
        <f t="shared" si="564"/>
        <v>0</v>
      </c>
      <c r="AO351">
        <f t="shared" si="565"/>
        <v>0</v>
      </c>
      <c r="AP351">
        <f t="shared" si="566"/>
        <v>0</v>
      </c>
      <c r="AQ351">
        <f t="shared" si="567"/>
        <v>0</v>
      </c>
      <c r="AR351">
        <f t="shared" si="568"/>
        <v>0</v>
      </c>
      <c r="AS351">
        <f t="shared" si="569"/>
        <v>0</v>
      </c>
      <c r="AT351">
        <f t="shared" si="570"/>
        <v>0</v>
      </c>
      <c r="AU351">
        <f t="shared" si="571"/>
        <v>0</v>
      </c>
      <c r="AV351">
        <f t="shared" si="572"/>
        <v>0</v>
      </c>
      <c r="AW351">
        <f t="shared" si="573"/>
        <v>0</v>
      </c>
      <c r="AX351">
        <f t="shared" si="574"/>
        <v>0</v>
      </c>
      <c r="AY351">
        <f t="shared" si="527"/>
        <v>0</v>
      </c>
      <c r="BA351">
        <f t="shared" si="588"/>
        <v>0</v>
      </c>
      <c r="BB351">
        <f t="shared" si="589"/>
        <v>0</v>
      </c>
      <c r="BC351">
        <f t="shared" si="590"/>
        <v>0</v>
      </c>
      <c r="BD351">
        <f t="shared" si="591"/>
        <v>0</v>
      </c>
      <c r="BE351">
        <f t="shared" si="592"/>
        <v>0</v>
      </c>
      <c r="BF351">
        <f t="shared" si="593"/>
        <v>0</v>
      </c>
      <c r="BG351">
        <f t="shared" si="594"/>
        <v>0</v>
      </c>
      <c r="BH351">
        <f t="shared" si="595"/>
        <v>0</v>
      </c>
      <c r="BI351">
        <f t="shared" si="596"/>
        <v>0</v>
      </c>
      <c r="BJ351">
        <f t="shared" si="597"/>
        <v>0</v>
      </c>
      <c r="BK351">
        <f t="shared" si="598"/>
        <v>0</v>
      </c>
      <c r="BL351">
        <f t="shared" si="599"/>
        <v>0</v>
      </c>
      <c r="BM351">
        <f t="shared" si="600"/>
        <v>0</v>
      </c>
      <c r="BN351">
        <f t="shared" si="601"/>
        <v>0</v>
      </c>
      <c r="BO351">
        <f t="shared" si="602"/>
        <v>0</v>
      </c>
      <c r="BP351">
        <f t="shared" si="579"/>
        <v>0</v>
      </c>
      <c r="BQ351">
        <f t="shared" si="580"/>
        <v>0</v>
      </c>
      <c r="BR351">
        <f t="shared" si="581"/>
        <v>0</v>
      </c>
      <c r="BS351">
        <f t="shared" si="582"/>
        <v>0</v>
      </c>
      <c r="BT351">
        <f t="shared" si="583"/>
        <v>0</v>
      </c>
      <c r="BU351">
        <f t="shared" si="584"/>
        <v>0</v>
      </c>
      <c r="BV351">
        <f t="shared" si="585"/>
        <v>0</v>
      </c>
      <c r="BW351">
        <f t="shared" si="586"/>
        <v>0</v>
      </c>
      <c r="BX351">
        <f t="shared" si="587"/>
        <v>0</v>
      </c>
      <c r="BZ351">
        <f t="shared" si="577"/>
        <v>0</v>
      </c>
      <c r="CA351">
        <f t="shared" si="529"/>
        <v>0</v>
      </c>
      <c r="CB351">
        <f t="shared" si="530"/>
        <v>0</v>
      </c>
      <c r="CC351">
        <f t="shared" si="531"/>
        <v>0</v>
      </c>
      <c r="CD351">
        <f t="shared" si="532"/>
        <v>0</v>
      </c>
      <c r="CE351">
        <f t="shared" si="533"/>
        <v>0</v>
      </c>
      <c r="CF351">
        <f t="shared" si="534"/>
        <v>0</v>
      </c>
      <c r="CG351">
        <f t="shared" si="535"/>
        <v>0</v>
      </c>
      <c r="CH351">
        <f t="shared" si="536"/>
        <v>0</v>
      </c>
      <c r="CI351">
        <f t="shared" si="537"/>
        <v>0</v>
      </c>
      <c r="CJ351">
        <f t="shared" si="538"/>
        <v>0</v>
      </c>
      <c r="CK351">
        <f t="shared" si="539"/>
        <v>0</v>
      </c>
      <c r="CL351">
        <f t="shared" si="540"/>
        <v>0</v>
      </c>
      <c r="CM351">
        <f t="shared" si="541"/>
        <v>0</v>
      </c>
      <c r="CN351">
        <f t="shared" si="542"/>
        <v>0</v>
      </c>
      <c r="CO351">
        <f t="shared" si="543"/>
        <v>0</v>
      </c>
      <c r="CP351">
        <f t="shared" si="578"/>
        <v>0</v>
      </c>
      <c r="CQ351">
        <f t="shared" si="544"/>
        <v>0</v>
      </c>
      <c r="CR351">
        <f t="shared" si="545"/>
        <v>0</v>
      </c>
      <c r="CS351">
        <f t="shared" si="546"/>
        <v>0</v>
      </c>
      <c r="CT351">
        <f t="shared" si="547"/>
        <v>0</v>
      </c>
      <c r="CU351">
        <f t="shared" si="548"/>
        <v>0</v>
      </c>
      <c r="CV351">
        <f t="shared" si="549"/>
        <v>0</v>
      </c>
      <c r="CW351">
        <f t="shared" si="550"/>
        <v>0</v>
      </c>
    </row>
    <row r="352" spans="1:102">
      <c r="A352" s="60">
        <v>45274</v>
      </c>
      <c r="B352" s="426"/>
      <c r="Z352" s="77"/>
      <c r="AB352" s="52">
        <f t="shared" si="576"/>
        <v>0</v>
      </c>
      <c r="AC352" s="52">
        <f t="shared" si="553"/>
        <v>0</v>
      </c>
      <c r="AD352" s="52">
        <f t="shared" si="554"/>
        <v>0</v>
      </c>
      <c r="AE352" s="52">
        <f t="shared" si="555"/>
        <v>0</v>
      </c>
      <c r="AF352" s="52">
        <f t="shared" si="556"/>
        <v>0</v>
      </c>
      <c r="AG352" s="52">
        <f t="shared" si="557"/>
        <v>0</v>
      </c>
      <c r="AH352" s="52">
        <f t="shared" si="558"/>
        <v>0</v>
      </c>
      <c r="AI352" s="52">
        <f t="shared" si="559"/>
        <v>0</v>
      </c>
      <c r="AJ352" s="52">
        <f t="shared" si="560"/>
        <v>0</v>
      </c>
      <c r="AK352" s="52">
        <f t="shared" si="561"/>
        <v>0</v>
      </c>
      <c r="AL352" s="52">
        <f t="shared" si="562"/>
        <v>0</v>
      </c>
      <c r="AM352" s="52">
        <f t="shared" si="563"/>
        <v>0</v>
      </c>
      <c r="AN352" s="52">
        <f t="shared" si="564"/>
        <v>0</v>
      </c>
      <c r="AO352" s="52">
        <f t="shared" si="565"/>
        <v>0</v>
      </c>
      <c r="AP352" s="52">
        <f t="shared" si="566"/>
        <v>0</v>
      </c>
      <c r="AQ352" s="52">
        <f t="shared" si="567"/>
        <v>0</v>
      </c>
      <c r="AR352" s="52">
        <f t="shared" si="568"/>
        <v>0</v>
      </c>
      <c r="AS352" s="52">
        <f t="shared" si="569"/>
        <v>0</v>
      </c>
      <c r="AT352" s="52">
        <f t="shared" si="570"/>
        <v>0</v>
      </c>
      <c r="AU352" s="52">
        <f t="shared" si="571"/>
        <v>0</v>
      </c>
      <c r="AV352" s="52">
        <f t="shared" si="572"/>
        <v>0</v>
      </c>
      <c r="AW352" s="52">
        <f t="shared" si="573"/>
        <v>0</v>
      </c>
      <c r="AX352" s="52">
        <f t="shared" si="574"/>
        <v>0</v>
      </c>
      <c r="AY352" s="52">
        <f t="shared" si="527"/>
        <v>0</v>
      </c>
      <c r="BA352" s="52">
        <f t="shared" si="588"/>
        <v>0</v>
      </c>
      <c r="BB352" s="52">
        <f t="shared" si="589"/>
        <v>0</v>
      </c>
      <c r="BC352" s="52">
        <f t="shared" si="590"/>
        <v>0</v>
      </c>
      <c r="BD352" s="52">
        <f t="shared" si="591"/>
        <v>0</v>
      </c>
      <c r="BE352" s="52">
        <f t="shared" si="592"/>
        <v>0</v>
      </c>
      <c r="BF352" s="52">
        <f t="shared" si="593"/>
        <v>0</v>
      </c>
      <c r="BG352" s="52">
        <f t="shared" si="594"/>
        <v>0</v>
      </c>
      <c r="BH352" s="52">
        <f t="shared" si="595"/>
        <v>0</v>
      </c>
      <c r="BI352" s="52">
        <f t="shared" si="596"/>
        <v>0</v>
      </c>
      <c r="BJ352" s="52">
        <f t="shared" si="597"/>
        <v>0</v>
      </c>
      <c r="BK352" s="52">
        <f t="shared" si="598"/>
        <v>0</v>
      </c>
      <c r="BL352" s="52">
        <f t="shared" si="599"/>
        <v>0</v>
      </c>
      <c r="BM352" s="52">
        <f t="shared" si="600"/>
        <v>0</v>
      </c>
      <c r="BN352" s="52">
        <f t="shared" si="601"/>
        <v>0</v>
      </c>
      <c r="BO352" s="52">
        <f t="shared" si="602"/>
        <v>0</v>
      </c>
      <c r="BP352" s="52">
        <f t="shared" si="579"/>
        <v>0</v>
      </c>
      <c r="BQ352" s="52">
        <f t="shared" si="580"/>
        <v>0</v>
      </c>
      <c r="BR352" s="52">
        <f t="shared" si="581"/>
        <v>0</v>
      </c>
      <c r="BS352" s="52">
        <f t="shared" si="582"/>
        <v>0</v>
      </c>
      <c r="BT352" s="52">
        <f t="shared" si="583"/>
        <v>0</v>
      </c>
      <c r="BU352" s="52">
        <f t="shared" si="584"/>
        <v>0</v>
      </c>
      <c r="BV352" s="52">
        <f t="shared" si="585"/>
        <v>0</v>
      </c>
      <c r="BW352" s="52">
        <f t="shared" si="586"/>
        <v>0</v>
      </c>
      <c r="BX352" s="52">
        <f t="shared" si="587"/>
        <v>0</v>
      </c>
      <c r="BZ352" s="52">
        <f t="shared" si="577"/>
        <v>0</v>
      </c>
      <c r="CA352" s="52">
        <f t="shared" si="529"/>
        <v>0</v>
      </c>
      <c r="CB352" s="52">
        <f t="shared" si="530"/>
        <v>0</v>
      </c>
      <c r="CC352" s="52">
        <f t="shared" si="531"/>
        <v>0</v>
      </c>
      <c r="CD352" s="52">
        <f t="shared" si="532"/>
        <v>0</v>
      </c>
      <c r="CE352" s="52">
        <f t="shared" si="533"/>
        <v>0</v>
      </c>
      <c r="CF352" s="52">
        <f t="shared" si="534"/>
        <v>0</v>
      </c>
      <c r="CG352" s="52">
        <f t="shared" si="535"/>
        <v>0</v>
      </c>
      <c r="CH352" s="52">
        <f t="shared" si="536"/>
        <v>0</v>
      </c>
      <c r="CI352" s="52">
        <f t="shared" si="537"/>
        <v>0</v>
      </c>
      <c r="CJ352" s="52">
        <f t="shared" si="538"/>
        <v>0</v>
      </c>
      <c r="CK352" s="52">
        <f t="shared" si="539"/>
        <v>0</v>
      </c>
      <c r="CL352" s="52">
        <f t="shared" si="540"/>
        <v>0</v>
      </c>
      <c r="CM352" s="52">
        <f t="shared" si="541"/>
        <v>0</v>
      </c>
      <c r="CN352" s="52">
        <f t="shared" si="542"/>
        <v>0</v>
      </c>
      <c r="CO352" s="52">
        <f t="shared" si="543"/>
        <v>0</v>
      </c>
      <c r="CP352" s="52">
        <f t="shared" si="578"/>
        <v>0</v>
      </c>
      <c r="CQ352" s="52">
        <f t="shared" si="544"/>
        <v>0</v>
      </c>
      <c r="CR352" s="52">
        <f t="shared" si="545"/>
        <v>0</v>
      </c>
      <c r="CS352" s="52">
        <f t="shared" si="546"/>
        <v>0</v>
      </c>
      <c r="CT352" s="52">
        <f t="shared" si="547"/>
        <v>0</v>
      </c>
      <c r="CU352" s="52">
        <f t="shared" si="548"/>
        <v>0</v>
      </c>
      <c r="CV352" s="52">
        <f t="shared" si="549"/>
        <v>0</v>
      </c>
      <c r="CW352" s="52">
        <f t="shared" si="550"/>
        <v>0</v>
      </c>
    </row>
    <row r="353" spans="1:101">
      <c r="A353" s="60">
        <v>45275</v>
      </c>
      <c r="B353" s="426"/>
      <c r="Z353" s="77"/>
      <c r="AB353">
        <f t="shared" si="576"/>
        <v>0</v>
      </c>
      <c r="AC353">
        <f t="shared" si="553"/>
        <v>0</v>
      </c>
      <c r="AD353">
        <f t="shared" si="554"/>
        <v>0</v>
      </c>
      <c r="AE353">
        <f t="shared" si="555"/>
        <v>0</v>
      </c>
      <c r="AF353">
        <f t="shared" si="556"/>
        <v>0</v>
      </c>
      <c r="AG353">
        <f t="shared" si="557"/>
        <v>0</v>
      </c>
      <c r="AH353">
        <f t="shared" si="558"/>
        <v>0</v>
      </c>
      <c r="AI353">
        <f t="shared" si="559"/>
        <v>0</v>
      </c>
      <c r="AJ353">
        <f t="shared" si="560"/>
        <v>0</v>
      </c>
      <c r="AK353">
        <f t="shared" si="561"/>
        <v>0</v>
      </c>
      <c r="AL353">
        <f t="shared" si="562"/>
        <v>0</v>
      </c>
      <c r="AM353">
        <f t="shared" si="563"/>
        <v>0</v>
      </c>
      <c r="AN353">
        <f t="shared" si="564"/>
        <v>0</v>
      </c>
      <c r="AO353">
        <f t="shared" si="565"/>
        <v>0</v>
      </c>
      <c r="AP353">
        <f t="shared" si="566"/>
        <v>0</v>
      </c>
      <c r="AQ353">
        <f t="shared" si="567"/>
        <v>0</v>
      </c>
      <c r="AR353">
        <f t="shared" si="568"/>
        <v>0</v>
      </c>
      <c r="AS353">
        <f t="shared" si="569"/>
        <v>0</v>
      </c>
      <c r="AT353">
        <f t="shared" si="570"/>
        <v>0</v>
      </c>
      <c r="AU353">
        <f t="shared" si="571"/>
        <v>0</v>
      </c>
      <c r="AV353">
        <f t="shared" si="572"/>
        <v>0</v>
      </c>
      <c r="AW353">
        <f t="shared" si="573"/>
        <v>0</v>
      </c>
      <c r="AX353">
        <f t="shared" si="574"/>
        <v>0</v>
      </c>
      <c r="AY353">
        <f t="shared" si="527"/>
        <v>0</v>
      </c>
      <c r="BA353">
        <f t="shared" si="588"/>
        <v>0</v>
      </c>
      <c r="BB353">
        <f t="shared" si="589"/>
        <v>0</v>
      </c>
      <c r="BC353">
        <f t="shared" si="590"/>
        <v>0</v>
      </c>
      <c r="BD353">
        <f t="shared" si="591"/>
        <v>0</v>
      </c>
      <c r="BE353">
        <f t="shared" si="592"/>
        <v>0</v>
      </c>
      <c r="BF353">
        <f t="shared" si="593"/>
        <v>0</v>
      </c>
      <c r="BG353">
        <f t="shared" si="594"/>
        <v>0</v>
      </c>
      <c r="BH353">
        <f t="shared" si="595"/>
        <v>0</v>
      </c>
      <c r="BI353">
        <f t="shared" si="596"/>
        <v>0</v>
      </c>
      <c r="BJ353">
        <f t="shared" si="597"/>
        <v>0</v>
      </c>
      <c r="BK353">
        <f t="shared" si="598"/>
        <v>0</v>
      </c>
      <c r="BL353">
        <f t="shared" si="599"/>
        <v>0</v>
      </c>
      <c r="BM353">
        <f t="shared" si="600"/>
        <v>0</v>
      </c>
      <c r="BN353">
        <f t="shared" si="601"/>
        <v>0</v>
      </c>
      <c r="BO353">
        <f t="shared" si="602"/>
        <v>0</v>
      </c>
      <c r="BP353">
        <f t="shared" si="579"/>
        <v>0</v>
      </c>
      <c r="BQ353">
        <f t="shared" si="580"/>
        <v>0</v>
      </c>
      <c r="BR353">
        <f t="shared" si="581"/>
        <v>0</v>
      </c>
      <c r="BS353">
        <f t="shared" si="582"/>
        <v>0</v>
      </c>
      <c r="BT353">
        <f t="shared" si="583"/>
        <v>0</v>
      </c>
      <c r="BU353">
        <f t="shared" si="584"/>
        <v>0</v>
      </c>
      <c r="BV353">
        <f t="shared" si="585"/>
        <v>0</v>
      </c>
      <c r="BW353">
        <f t="shared" si="586"/>
        <v>0</v>
      </c>
      <c r="BX353">
        <f t="shared" si="587"/>
        <v>0</v>
      </c>
      <c r="BZ353">
        <f t="shared" si="577"/>
        <v>0</v>
      </c>
      <c r="CA353">
        <f t="shared" si="529"/>
        <v>0</v>
      </c>
      <c r="CB353">
        <f t="shared" si="530"/>
        <v>0</v>
      </c>
      <c r="CC353">
        <f t="shared" si="531"/>
        <v>0</v>
      </c>
      <c r="CD353">
        <f t="shared" si="532"/>
        <v>0</v>
      </c>
      <c r="CE353">
        <f t="shared" si="533"/>
        <v>0</v>
      </c>
      <c r="CF353">
        <f t="shared" si="534"/>
        <v>0</v>
      </c>
      <c r="CG353">
        <f t="shared" si="535"/>
        <v>0</v>
      </c>
      <c r="CH353">
        <f t="shared" si="536"/>
        <v>0</v>
      </c>
      <c r="CI353">
        <f t="shared" si="537"/>
        <v>0</v>
      </c>
      <c r="CJ353">
        <f t="shared" si="538"/>
        <v>0</v>
      </c>
      <c r="CK353">
        <f t="shared" si="539"/>
        <v>0</v>
      </c>
      <c r="CL353">
        <f t="shared" si="540"/>
        <v>0</v>
      </c>
      <c r="CM353">
        <f t="shared" si="541"/>
        <v>0</v>
      </c>
      <c r="CN353">
        <f t="shared" si="542"/>
        <v>0</v>
      </c>
      <c r="CO353">
        <f t="shared" si="543"/>
        <v>0</v>
      </c>
      <c r="CP353">
        <f t="shared" si="578"/>
        <v>0</v>
      </c>
      <c r="CQ353">
        <f t="shared" si="544"/>
        <v>0</v>
      </c>
      <c r="CR353">
        <f t="shared" si="545"/>
        <v>0</v>
      </c>
      <c r="CS353">
        <f t="shared" si="546"/>
        <v>0</v>
      </c>
      <c r="CT353">
        <f t="shared" si="547"/>
        <v>0</v>
      </c>
      <c r="CU353">
        <f t="shared" si="548"/>
        <v>0</v>
      </c>
      <c r="CV353">
        <f t="shared" si="549"/>
        <v>0</v>
      </c>
      <c r="CW353">
        <f t="shared" si="550"/>
        <v>0</v>
      </c>
    </row>
    <row r="354" spans="1:101">
      <c r="A354" s="60">
        <v>45276</v>
      </c>
      <c r="B354" s="426"/>
      <c r="Z354" s="77"/>
      <c r="AB354" s="52">
        <f t="shared" si="576"/>
        <v>0</v>
      </c>
      <c r="AC354" s="52">
        <f t="shared" si="553"/>
        <v>0</v>
      </c>
      <c r="AD354" s="52">
        <f t="shared" si="554"/>
        <v>0</v>
      </c>
      <c r="AE354" s="52">
        <f t="shared" si="555"/>
        <v>0</v>
      </c>
      <c r="AF354" s="52">
        <f t="shared" si="556"/>
        <v>0</v>
      </c>
      <c r="AG354" s="52">
        <f t="shared" si="557"/>
        <v>0</v>
      </c>
      <c r="AH354" s="52">
        <f t="shared" si="558"/>
        <v>0</v>
      </c>
      <c r="AI354" s="52">
        <f t="shared" si="559"/>
        <v>0</v>
      </c>
      <c r="AJ354" s="52">
        <f t="shared" si="560"/>
        <v>0</v>
      </c>
      <c r="AK354" s="52">
        <f t="shared" si="561"/>
        <v>0</v>
      </c>
      <c r="AL354" s="52">
        <f t="shared" si="562"/>
        <v>0</v>
      </c>
      <c r="AM354" s="52">
        <f t="shared" si="563"/>
        <v>0</v>
      </c>
      <c r="AN354" s="52">
        <f t="shared" si="564"/>
        <v>0</v>
      </c>
      <c r="AO354" s="52">
        <f t="shared" si="565"/>
        <v>0</v>
      </c>
      <c r="AP354" s="52">
        <f t="shared" si="566"/>
        <v>0</v>
      </c>
      <c r="AQ354" s="52">
        <f t="shared" si="567"/>
        <v>0</v>
      </c>
      <c r="AR354" s="52">
        <f t="shared" si="568"/>
        <v>0</v>
      </c>
      <c r="AS354" s="52">
        <f t="shared" si="569"/>
        <v>0</v>
      </c>
      <c r="AT354" s="52">
        <f t="shared" si="570"/>
        <v>0</v>
      </c>
      <c r="AU354" s="52">
        <f t="shared" si="571"/>
        <v>0</v>
      </c>
      <c r="AV354" s="52">
        <f t="shared" si="572"/>
        <v>0</v>
      </c>
      <c r="AW354" s="52">
        <f t="shared" si="573"/>
        <v>0</v>
      </c>
      <c r="AX354" s="52">
        <f t="shared" si="574"/>
        <v>0</v>
      </c>
      <c r="AY354" s="52">
        <f t="shared" si="527"/>
        <v>0</v>
      </c>
      <c r="BA354" s="52">
        <f t="shared" si="588"/>
        <v>0</v>
      </c>
      <c r="BB354" s="52">
        <f t="shared" si="589"/>
        <v>0</v>
      </c>
      <c r="BC354" s="52">
        <f t="shared" si="590"/>
        <v>0</v>
      </c>
      <c r="BD354" s="52">
        <f t="shared" si="591"/>
        <v>0</v>
      </c>
      <c r="BE354" s="52">
        <f t="shared" si="592"/>
        <v>0</v>
      </c>
      <c r="BF354" s="52">
        <f t="shared" si="593"/>
        <v>0</v>
      </c>
      <c r="BG354" s="52">
        <f t="shared" si="594"/>
        <v>0</v>
      </c>
      <c r="BH354" s="52">
        <f t="shared" si="595"/>
        <v>0</v>
      </c>
      <c r="BI354" s="52">
        <f t="shared" si="596"/>
        <v>0</v>
      </c>
      <c r="BJ354" s="52">
        <f t="shared" si="597"/>
        <v>0</v>
      </c>
      <c r="BK354" s="52">
        <f t="shared" si="598"/>
        <v>0</v>
      </c>
      <c r="BL354" s="52">
        <f t="shared" si="599"/>
        <v>0</v>
      </c>
      <c r="BM354" s="52">
        <f t="shared" si="600"/>
        <v>0</v>
      </c>
      <c r="BN354" s="52">
        <f t="shared" si="601"/>
        <v>0</v>
      </c>
      <c r="BO354" s="52">
        <f t="shared" si="602"/>
        <v>0</v>
      </c>
      <c r="BP354" s="52">
        <f t="shared" si="579"/>
        <v>0</v>
      </c>
      <c r="BQ354" s="52">
        <f t="shared" si="580"/>
        <v>0</v>
      </c>
      <c r="BR354" s="52">
        <f t="shared" si="581"/>
        <v>0</v>
      </c>
      <c r="BS354" s="52">
        <f t="shared" si="582"/>
        <v>0</v>
      </c>
      <c r="BT354" s="52">
        <f t="shared" si="583"/>
        <v>0</v>
      </c>
      <c r="BU354" s="52">
        <f t="shared" si="584"/>
        <v>0</v>
      </c>
      <c r="BV354" s="52">
        <f t="shared" si="585"/>
        <v>0</v>
      </c>
      <c r="BW354" s="52">
        <f t="shared" si="586"/>
        <v>0</v>
      </c>
      <c r="BX354" s="52">
        <f t="shared" si="587"/>
        <v>0</v>
      </c>
      <c r="BZ354" s="52">
        <f t="shared" si="577"/>
        <v>0</v>
      </c>
      <c r="CA354" s="52">
        <f t="shared" si="529"/>
        <v>0</v>
      </c>
      <c r="CB354" s="52">
        <f t="shared" si="530"/>
        <v>0</v>
      </c>
      <c r="CC354" s="52">
        <f t="shared" si="531"/>
        <v>0</v>
      </c>
      <c r="CD354" s="52">
        <f t="shared" si="532"/>
        <v>0</v>
      </c>
      <c r="CE354" s="52">
        <f t="shared" si="533"/>
        <v>0</v>
      </c>
      <c r="CF354" s="52">
        <f t="shared" si="534"/>
        <v>0</v>
      </c>
      <c r="CG354" s="52">
        <f t="shared" si="535"/>
        <v>0</v>
      </c>
      <c r="CH354" s="52">
        <f t="shared" si="536"/>
        <v>0</v>
      </c>
      <c r="CI354" s="52">
        <f t="shared" si="537"/>
        <v>0</v>
      </c>
      <c r="CJ354" s="52">
        <f t="shared" si="538"/>
        <v>0</v>
      </c>
      <c r="CK354" s="52">
        <f t="shared" si="539"/>
        <v>0</v>
      </c>
      <c r="CL354" s="52">
        <f t="shared" si="540"/>
        <v>0</v>
      </c>
      <c r="CM354" s="52">
        <f t="shared" si="541"/>
        <v>0</v>
      </c>
      <c r="CN354" s="52">
        <f t="shared" si="542"/>
        <v>0</v>
      </c>
      <c r="CO354" s="52">
        <f t="shared" si="543"/>
        <v>0</v>
      </c>
      <c r="CP354" s="52">
        <f t="shared" si="578"/>
        <v>0</v>
      </c>
      <c r="CQ354" s="52">
        <f t="shared" si="544"/>
        <v>0</v>
      </c>
      <c r="CR354" s="52">
        <f t="shared" si="545"/>
        <v>0</v>
      </c>
      <c r="CS354" s="52">
        <f t="shared" si="546"/>
        <v>0</v>
      </c>
      <c r="CT354" s="52">
        <f t="shared" si="547"/>
        <v>0</v>
      </c>
      <c r="CU354" s="52">
        <f t="shared" si="548"/>
        <v>0</v>
      </c>
      <c r="CV354" s="52">
        <f t="shared" si="549"/>
        <v>0</v>
      </c>
      <c r="CW354" s="52">
        <f t="shared" si="550"/>
        <v>0</v>
      </c>
    </row>
    <row r="355" spans="1:101">
      <c r="A355" s="60">
        <v>45277</v>
      </c>
      <c r="B355" s="426"/>
      <c r="Z355" s="77"/>
      <c r="AB355">
        <f t="shared" si="576"/>
        <v>0</v>
      </c>
      <c r="AC355">
        <f t="shared" si="553"/>
        <v>0</v>
      </c>
      <c r="AD355">
        <f t="shared" si="554"/>
        <v>0</v>
      </c>
      <c r="AE355">
        <f t="shared" si="555"/>
        <v>0</v>
      </c>
      <c r="AF355">
        <f t="shared" si="556"/>
        <v>0</v>
      </c>
      <c r="AG355">
        <f t="shared" si="557"/>
        <v>0</v>
      </c>
      <c r="AH355">
        <f t="shared" si="558"/>
        <v>0</v>
      </c>
      <c r="AI355">
        <f t="shared" si="559"/>
        <v>0</v>
      </c>
      <c r="AJ355">
        <f t="shared" si="560"/>
        <v>0</v>
      </c>
      <c r="AK355">
        <f t="shared" si="561"/>
        <v>0</v>
      </c>
      <c r="AL355">
        <f t="shared" si="562"/>
        <v>0</v>
      </c>
      <c r="AM355">
        <f t="shared" si="563"/>
        <v>0</v>
      </c>
      <c r="AN355">
        <f t="shared" si="564"/>
        <v>0</v>
      </c>
      <c r="AO355">
        <f t="shared" si="565"/>
        <v>0</v>
      </c>
      <c r="AP355">
        <f t="shared" si="566"/>
        <v>0</v>
      </c>
      <c r="AQ355">
        <f t="shared" si="567"/>
        <v>0</v>
      </c>
      <c r="AR355">
        <f t="shared" si="568"/>
        <v>0</v>
      </c>
      <c r="AS355">
        <f t="shared" si="569"/>
        <v>0</v>
      </c>
      <c r="AT355">
        <f t="shared" si="570"/>
        <v>0</v>
      </c>
      <c r="AU355">
        <f t="shared" si="571"/>
        <v>0</v>
      </c>
      <c r="AV355">
        <f t="shared" si="572"/>
        <v>0</v>
      </c>
      <c r="AW355">
        <f t="shared" si="573"/>
        <v>0</v>
      </c>
      <c r="AX355">
        <f t="shared" si="574"/>
        <v>0</v>
      </c>
      <c r="AY355">
        <f t="shared" si="527"/>
        <v>0</v>
      </c>
      <c r="BA355">
        <f t="shared" si="588"/>
        <v>0</v>
      </c>
      <c r="BB355">
        <f t="shared" si="589"/>
        <v>0</v>
      </c>
      <c r="BC355">
        <f t="shared" si="590"/>
        <v>0</v>
      </c>
      <c r="BD355">
        <f t="shared" si="591"/>
        <v>0</v>
      </c>
      <c r="BE355">
        <f t="shared" si="592"/>
        <v>0</v>
      </c>
      <c r="BF355">
        <f t="shared" si="593"/>
        <v>0</v>
      </c>
      <c r="BG355">
        <f t="shared" si="594"/>
        <v>0</v>
      </c>
      <c r="BH355">
        <f t="shared" si="595"/>
        <v>0</v>
      </c>
      <c r="BI355">
        <f t="shared" si="596"/>
        <v>0</v>
      </c>
      <c r="BJ355">
        <f t="shared" si="597"/>
        <v>0</v>
      </c>
      <c r="BK355">
        <f t="shared" si="598"/>
        <v>0</v>
      </c>
      <c r="BL355">
        <f t="shared" si="599"/>
        <v>0</v>
      </c>
      <c r="BM355">
        <f t="shared" si="600"/>
        <v>0</v>
      </c>
      <c r="BN355">
        <f t="shared" si="601"/>
        <v>0</v>
      </c>
      <c r="BO355">
        <f t="shared" si="602"/>
        <v>0</v>
      </c>
      <c r="BP355">
        <f t="shared" si="579"/>
        <v>0</v>
      </c>
      <c r="BQ355">
        <f t="shared" si="580"/>
        <v>0</v>
      </c>
      <c r="BR355">
        <f t="shared" si="581"/>
        <v>0</v>
      </c>
      <c r="BS355">
        <f t="shared" si="582"/>
        <v>0</v>
      </c>
      <c r="BT355">
        <f t="shared" si="583"/>
        <v>0</v>
      </c>
      <c r="BU355">
        <f t="shared" si="584"/>
        <v>0</v>
      </c>
      <c r="BV355">
        <f t="shared" si="585"/>
        <v>0</v>
      </c>
      <c r="BW355">
        <f t="shared" si="586"/>
        <v>0</v>
      </c>
      <c r="BX355">
        <f t="shared" si="587"/>
        <v>0</v>
      </c>
      <c r="BZ355">
        <f t="shared" si="577"/>
        <v>0</v>
      </c>
      <c r="CA355">
        <f t="shared" si="529"/>
        <v>0</v>
      </c>
      <c r="CB355">
        <f t="shared" si="530"/>
        <v>0</v>
      </c>
      <c r="CC355">
        <f t="shared" si="531"/>
        <v>0</v>
      </c>
      <c r="CD355">
        <f t="shared" si="532"/>
        <v>0</v>
      </c>
      <c r="CE355">
        <f t="shared" si="533"/>
        <v>0</v>
      </c>
      <c r="CF355">
        <f t="shared" si="534"/>
        <v>0</v>
      </c>
      <c r="CG355">
        <f t="shared" si="535"/>
        <v>0</v>
      </c>
      <c r="CH355">
        <f t="shared" si="536"/>
        <v>0</v>
      </c>
      <c r="CI355">
        <f t="shared" si="537"/>
        <v>0</v>
      </c>
      <c r="CJ355">
        <f t="shared" si="538"/>
        <v>0</v>
      </c>
      <c r="CK355">
        <f t="shared" si="539"/>
        <v>0</v>
      </c>
      <c r="CL355">
        <f t="shared" si="540"/>
        <v>0</v>
      </c>
      <c r="CM355">
        <f t="shared" si="541"/>
        <v>0</v>
      </c>
      <c r="CN355">
        <f t="shared" si="542"/>
        <v>0</v>
      </c>
      <c r="CO355">
        <f t="shared" si="543"/>
        <v>0</v>
      </c>
      <c r="CP355">
        <f t="shared" si="578"/>
        <v>0</v>
      </c>
      <c r="CQ355">
        <f t="shared" si="544"/>
        <v>0</v>
      </c>
      <c r="CR355">
        <f t="shared" si="545"/>
        <v>0</v>
      </c>
      <c r="CS355">
        <f t="shared" si="546"/>
        <v>0</v>
      </c>
      <c r="CT355">
        <f t="shared" si="547"/>
        <v>0</v>
      </c>
      <c r="CU355">
        <f t="shared" si="548"/>
        <v>0</v>
      </c>
      <c r="CV355">
        <f t="shared" si="549"/>
        <v>0</v>
      </c>
      <c r="CW355">
        <f t="shared" si="550"/>
        <v>0</v>
      </c>
    </row>
    <row r="356" spans="1:101">
      <c r="A356" s="60">
        <v>45278</v>
      </c>
      <c r="B356" s="426"/>
      <c r="Z356" s="77"/>
      <c r="AB356" s="52">
        <f t="shared" si="576"/>
        <v>0</v>
      </c>
      <c r="AC356" s="52">
        <f t="shared" si="553"/>
        <v>0</v>
      </c>
      <c r="AD356" s="52">
        <f t="shared" si="554"/>
        <v>0</v>
      </c>
      <c r="AE356" s="52">
        <f t="shared" si="555"/>
        <v>0</v>
      </c>
      <c r="AF356" s="52">
        <f t="shared" si="556"/>
        <v>0</v>
      </c>
      <c r="AG356" s="52">
        <f t="shared" si="557"/>
        <v>0</v>
      </c>
      <c r="AH356" s="52">
        <f t="shared" si="558"/>
        <v>0</v>
      </c>
      <c r="AI356" s="52">
        <f t="shared" si="559"/>
        <v>0</v>
      </c>
      <c r="AJ356" s="52">
        <f t="shared" si="560"/>
        <v>0</v>
      </c>
      <c r="AK356" s="52">
        <f t="shared" si="561"/>
        <v>0</v>
      </c>
      <c r="AL356" s="52">
        <f t="shared" si="562"/>
        <v>0</v>
      </c>
      <c r="AM356" s="52">
        <f t="shared" si="563"/>
        <v>0</v>
      </c>
      <c r="AN356" s="52">
        <f t="shared" si="564"/>
        <v>0</v>
      </c>
      <c r="AO356" s="52">
        <f t="shared" si="565"/>
        <v>0</v>
      </c>
      <c r="AP356" s="52">
        <f t="shared" si="566"/>
        <v>0</v>
      </c>
      <c r="AQ356" s="52">
        <f t="shared" si="567"/>
        <v>0</v>
      </c>
      <c r="AR356" s="52">
        <f t="shared" si="568"/>
        <v>0</v>
      </c>
      <c r="AS356" s="52">
        <f t="shared" si="569"/>
        <v>0</v>
      </c>
      <c r="AT356" s="52">
        <f t="shared" si="570"/>
        <v>0</v>
      </c>
      <c r="AU356" s="52">
        <f t="shared" si="571"/>
        <v>0</v>
      </c>
      <c r="AV356" s="52">
        <f t="shared" si="572"/>
        <v>0</v>
      </c>
      <c r="AW356" s="52">
        <f t="shared" si="573"/>
        <v>0</v>
      </c>
      <c r="AX356" s="52">
        <f t="shared" si="574"/>
        <v>0</v>
      </c>
      <c r="AY356" s="52">
        <f t="shared" si="527"/>
        <v>0</v>
      </c>
      <c r="BA356" s="52">
        <f t="shared" si="588"/>
        <v>0</v>
      </c>
      <c r="BB356" s="52">
        <f t="shared" si="589"/>
        <v>0</v>
      </c>
      <c r="BC356" s="52">
        <f t="shared" si="590"/>
        <v>0</v>
      </c>
      <c r="BD356" s="52">
        <f t="shared" si="591"/>
        <v>0</v>
      </c>
      <c r="BE356" s="52">
        <f t="shared" si="592"/>
        <v>0</v>
      </c>
      <c r="BF356" s="52">
        <f t="shared" si="593"/>
        <v>0</v>
      </c>
      <c r="BG356" s="52">
        <f t="shared" si="594"/>
        <v>0</v>
      </c>
      <c r="BH356" s="52">
        <f t="shared" si="595"/>
        <v>0</v>
      </c>
      <c r="BI356" s="52">
        <f t="shared" si="596"/>
        <v>0</v>
      </c>
      <c r="BJ356" s="52">
        <f t="shared" si="597"/>
        <v>0</v>
      </c>
      <c r="BK356" s="52">
        <f t="shared" si="598"/>
        <v>0</v>
      </c>
      <c r="BL356" s="52">
        <f t="shared" si="599"/>
        <v>0</v>
      </c>
      <c r="BM356" s="52">
        <f t="shared" si="600"/>
        <v>0</v>
      </c>
      <c r="BN356" s="52">
        <f t="shared" si="601"/>
        <v>0</v>
      </c>
      <c r="BO356" s="52">
        <f t="shared" si="602"/>
        <v>0</v>
      </c>
      <c r="BP356" s="52">
        <f t="shared" si="579"/>
        <v>0</v>
      </c>
      <c r="BQ356" s="52">
        <f t="shared" si="580"/>
        <v>0</v>
      </c>
      <c r="BR356" s="52">
        <f t="shared" si="581"/>
        <v>0</v>
      </c>
      <c r="BS356" s="52">
        <f t="shared" si="582"/>
        <v>0</v>
      </c>
      <c r="BT356" s="52">
        <f t="shared" si="583"/>
        <v>0</v>
      </c>
      <c r="BU356" s="52">
        <f t="shared" si="584"/>
        <v>0</v>
      </c>
      <c r="BV356" s="52">
        <f t="shared" si="585"/>
        <v>0</v>
      </c>
      <c r="BW356" s="52">
        <f t="shared" si="586"/>
        <v>0</v>
      </c>
      <c r="BX356" s="52">
        <f t="shared" si="587"/>
        <v>0</v>
      </c>
      <c r="BZ356" s="52">
        <f t="shared" si="577"/>
        <v>0</v>
      </c>
      <c r="CA356" s="52">
        <f t="shared" si="529"/>
        <v>0</v>
      </c>
      <c r="CB356" s="52">
        <f t="shared" si="530"/>
        <v>0</v>
      </c>
      <c r="CC356" s="52">
        <f t="shared" si="531"/>
        <v>0</v>
      </c>
      <c r="CD356" s="52">
        <f t="shared" si="532"/>
        <v>0</v>
      </c>
      <c r="CE356" s="52">
        <f t="shared" si="533"/>
        <v>0</v>
      </c>
      <c r="CF356" s="52">
        <f t="shared" si="534"/>
        <v>0</v>
      </c>
      <c r="CG356" s="52">
        <f t="shared" si="535"/>
        <v>0</v>
      </c>
      <c r="CH356" s="52">
        <f t="shared" si="536"/>
        <v>0</v>
      </c>
      <c r="CI356" s="52">
        <f t="shared" si="537"/>
        <v>0</v>
      </c>
      <c r="CJ356" s="52">
        <f t="shared" si="538"/>
        <v>0</v>
      </c>
      <c r="CK356" s="52">
        <f t="shared" si="539"/>
        <v>0</v>
      </c>
      <c r="CL356" s="52">
        <f t="shared" si="540"/>
        <v>0</v>
      </c>
      <c r="CM356" s="52">
        <f t="shared" si="541"/>
        <v>0</v>
      </c>
      <c r="CN356" s="52">
        <f t="shared" si="542"/>
        <v>0</v>
      </c>
      <c r="CO356" s="52">
        <f t="shared" si="543"/>
        <v>0</v>
      </c>
      <c r="CP356" s="52">
        <f t="shared" si="578"/>
        <v>0</v>
      </c>
      <c r="CQ356" s="52">
        <f t="shared" si="544"/>
        <v>0</v>
      </c>
      <c r="CR356" s="52">
        <f t="shared" si="545"/>
        <v>0</v>
      </c>
      <c r="CS356" s="52">
        <f t="shared" si="546"/>
        <v>0</v>
      </c>
      <c r="CT356" s="52">
        <f t="shared" si="547"/>
        <v>0</v>
      </c>
      <c r="CU356" s="52">
        <f t="shared" si="548"/>
        <v>0</v>
      </c>
      <c r="CV356" s="52">
        <f t="shared" si="549"/>
        <v>0</v>
      </c>
      <c r="CW356" s="52">
        <f t="shared" si="550"/>
        <v>0</v>
      </c>
    </row>
    <row r="357" spans="1:101">
      <c r="A357" s="60">
        <v>45279</v>
      </c>
      <c r="B357" s="426"/>
      <c r="Z357" s="77"/>
      <c r="AB357">
        <f t="shared" si="576"/>
        <v>0</v>
      </c>
      <c r="AC357">
        <f t="shared" si="553"/>
        <v>0</v>
      </c>
      <c r="AD357">
        <f t="shared" si="554"/>
        <v>0</v>
      </c>
      <c r="AE357">
        <f t="shared" si="555"/>
        <v>0</v>
      </c>
      <c r="AF357">
        <f t="shared" si="556"/>
        <v>0</v>
      </c>
      <c r="AG357">
        <f t="shared" si="557"/>
        <v>0</v>
      </c>
      <c r="AH357">
        <f t="shared" si="558"/>
        <v>0</v>
      </c>
      <c r="AI357">
        <f t="shared" si="559"/>
        <v>0</v>
      </c>
      <c r="AJ357">
        <f t="shared" si="560"/>
        <v>0</v>
      </c>
      <c r="AK357">
        <f t="shared" si="561"/>
        <v>0</v>
      </c>
      <c r="AL357">
        <f t="shared" si="562"/>
        <v>0</v>
      </c>
      <c r="AM357">
        <f t="shared" si="563"/>
        <v>0</v>
      </c>
      <c r="AN357">
        <f t="shared" si="564"/>
        <v>0</v>
      </c>
      <c r="AO357">
        <f t="shared" si="565"/>
        <v>0</v>
      </c>
      <c r="AP357">
        <f t="shared" si="566"/>
        <v>0</v>
      </c>
      <c r="AQ357">
        <f t="shared" si="567"/>
        <v>0</v>
      </c>
      <c r="AR357">
        <f t="shared" si="568"/>
        <v>0</v>
      </c>
      <c r="AS357">
        <f t="shared" si="569"/>
        <v>0</v>
      </c>
      <c r="AT357">
        <f t="shared" si="570"/>
        <v>0</v>
      </c>
      <c r="AU357">
        <f t="shared" si="571"/>
        <v>0</v>
      </c>
      <c r="AV357">
        <f t="shared" si="572"/>
        <v>0</v>
      </c>
      <c r="AW357">
        <f t="shared" si="573"/>
        <v>0</v>
      </c>
      <c r="AX357">
        <f t="shared" si="574"/>
        <v>0</v>
      </c>
      <c r="AY357">
        <f t="shared" si="527"/>
        <v>0</v>
      </c>
      <c r="BA357">
        <f t="shared" si="588"/>
        <v>0</v>
      </c>
      <c r="BB357">
        <f t="shared" si="589"/>
        <v>0</v>
      </c>
      <c r="BC357">
        <f t="shared" si="590"/>
        <v>0</v>
      </c>
      <c r="BD357">
        <f t="shared" si="591"/>
        <v>0</v>
      </c>
      <c r="BE357">
        <f t="shared" si="592"/>
        <v>0</v>
      </c>
      <c r="BF357">
        <f t="shared" si="593"/>
        <v>0</v>
      </c>
      <c r="BG357">
        <f t="shared" si="594"/>
        <v>0</v>
      </c>
      <c r="BH357">
        <f t="shared" si="595"/>
        <v>0</v>
      </c>
      <c r="BI357">
        <f t="shared" si="596"/>
        <v>0</v>
      </c>
      <c r="BJ357">
        <f t="shared" si="597"/>
        <v>0</v>
      </c>
      <c r="BK357">
        <f t="shared" si="598"/>
        <v>0</v>
      </c>
      <c r="BL357">
        <f t="shared" si="599"/>
        <v>0</v>
      </c>
      <c r="BM357">
        <f t="shared" si="600"/>
        <v>0</v>
      </c>
      <c r="BN357">
        <f t="shared" si="601"/>
        <v>0</v>
      </c>
      <c r="BO357">
        <f t="shared" si="602"/>
        <v>0</v>
      </c>
      <c r="BP357">
        <f t="shared" si="579"/>
        <v>0</v>
      </c>
      <c r="BQ357">
        <f t="shared" si="580"/>
        <v>0</v>
      </c>
      <c r="BR357">
        <f t="shared" si="581"/>
        <v>0</v>
      </c>
      <c r="BS357">
        <f t="shared" si="582"/>
        <v>0</v>
      </c>
      <c r="BT357">
        <f t="shared" si="583"/>
        <v>0</v>
      </c>
      <c r="BU357">
        <f t="shared" si="584"/>
        <v>0</v>
      </c>
      <c r="BV357">
        <f t="shared" si="585"/>
        <v>0</v>
      </c>
      <c r="BW357">
        <f t="shared" si="586"/>
        <v>0</v>
      </c>
      <c r="BX357">
        <f t="shared" si="587"/>
        <v>0</v>
      </c>
      <c r="BZ357">
        <f t="shared" si="577"/>
        <v>0</v>
      </c>
      <c r="CA357">
        <f t="shared" si="529"/>
        <v>0</v>
      </c>
      <c r="CB357">
        <f t="shared" si="530"/>
        <v>0</v>
      </c>
      <c r="CC357">
        <f t="shared" si="531"/>
        <v>0</v>
      </c>
      <c r="CD357">
        <f t="shared" si="532"/>
        <v>0</v>
      </c>
      <c r="CE357">
        <f t="shared" si="533"/>
        <v>0</v>
      </c>
      <c r="CF357">
        <f t="shared" si="534"/>
        <v>0</v>
      </c>
      <c r="CG357">
        <f t="shared" si="535"/>
        <v>0</v>
      </c>
      <c r="CH357">
        <f t="shared" si="536"/>
        <v>0</v>
      </c>
      <c r="CI357">
        <f t="shared" si="537"/>
        <v>0</v>
      </c>
      <c r="CJ357">
        <f t="shared" si="538"/>
        <v>0</v>
      </c>
      <c r="CK357">
        <f t="shared" si="539"/>
        <v>0</v>
      </c>
      <c r="CL357">
        <f t="shared" si="540"/>
        <v>0</v>
      </c>
      <c r="CM357">
        <f t="shared" si="541"/>
        <v>0</v>
      </c>
      <c r="CN357">
        <f t="shared" si="542"/>
        <v>0</v>
      </c>
      <c r="CO357">
        <f t="shared" si="543"/>
        <v>0</v>
      </c>
      <c r="CP357">
        <f t="shared" si="578"/>
        <v>0</v>
      </c>
      <c r="CQ357">
        <f t="shared" si="544"/>
        <v>0</v>
      </c>
      <c r="CR357">
        <f t="shared" si="545"/>
        <v>0</v>
      </c>
      <c r="CS357">
        <f t="shared" si="546"/>
        <v>0</v>
      </c>
      <c r="CT357">
        <f t="shared" si="547"/>
        <v>0</v>
      </c>
      <c r="CU357">
        <f t="shared" si="548"/>
        <v>0</v>
      </c>
      <c r="CV357">
        <f t="shared" si="549"/>
        <v>0</v>
      </c>
      <c r="CW357">
        <f t="shared" si="550"/>
        <v>0</v>
      </c>
    </row>
    <row r="358" spans="1:101">
      <c r="A358" s="60">
        <v>45280</v>
      </c>
      <c r="B358" s="426"/>
      <c r="Z358" s="77"/>
      <c r="AB358" s="52">
        <f t="shared" si="576"/>
        <v>0</v>
      </c>
      <c r="AC358" s="52">
        <f t="shared" si="553"/>
        <v>0</v>
      </c>
      <c r="AD358" s="52">
        <f t="shared" si="554"/>
        <v>0</v>
      </c>
      <c r="AE358" s="52">
        <f t="shared" si="555"/>
        <v>0</v>
      </c>
      <c r="AF358" s="52">
        <f t="shared" si="556"/>
        <v>0</v>
      </c>
      <c r="AG358" s="52">
        <f t="shared" si="557"/>
        <v>0</v>
      </c>
      <c r="AH358" s="52">
        <f t="shared" si="558"/>
        <v>0</v>
      </c>
      <c r="AI358" s="52">
        <f t="shared" si="559"/>
        <v>0</v>
      </c>
      <c r="AJ358" s="52">
        <f t="shared" si="560"/>
        <v>0</v>
      </c>
      <c r="AK358" s="52">
        <f t="shared" si="561"/>
        <v>0</v>
      </c>
      <c r="AL358" s="52">
        <f t="shared" si="562"/>
        <v>0</v>
      </c>
      <c r="AM358" s="52">
        <f t="shared" si="563"/>
        <v>0</v>
      </c>
      <c r="AN358" s="52">
        <f t="shared" si="564"/>
        <v>0</v>
      </c>
      <c r="AO358" s="52">
        <f t="shared" si="565"/>
        <v>0</v>
      </c>
      <c r="AP358" s="52">
        <f t="shared" si="566"/>
        <v>0</v>
      </c>
      <c r="AQ358" s="52">
        <f t="shared" si="567"/>
        <v>0</v>
      </c>
      <c r="AR358" s="52">
        <f t="shared" si="568"/>
        <v>0</v>
      </c>
      <c r="AS358" s="52">
        <f t="shared" si="569"/>
        <v>0</v>
      </c>
      <c r="AT358" s="52">
        <f t="shared" si="570"/>
        <v>0</v>
      </c>
      <c r="AU358" s="52">
        <f t="shared" si="571"/>
        <v>0</v>
      </c>
      <c r="AV358" s="52">
        <f t="shared" si="572"/>
        <v>0</v>
      </c>
      <c r="AW358" s="52">
        <f t="shared" si="573"/>
        <v>0</v>
      </c>
      <c r="AX358" s="52">
        <f t="shared" si="574"/>
        <v>0</v>
      </c>
      <c r="AY358" s="52">
        <f t="shared" si="527"/>
        <v>0</v>
      </c>
      <c r="BA358" s="52">
        <f t="shared" si="588"/>
        <v>0</v>
      </c>
      <c r="BB358" s="52">
        <f t="shared" si="589"/>
        <v>0</v>
      </c>
      <c r="BC358" s="52">
        <f t="shared" si="590"/>
        <v>0</v>
      </c>
      <c r="BD358" s="52">
        <f t="shared" si="591"/>
        <v>0</v>
      </c>
      <c r="BE358" s="52">
        <f t="shared" si="592"/>
        <v>0</v>
      </c>
      <c r="BF358" s="52">
        <f t="shared" si="593"/>
        <v>0</v>
      </c>
      <c r="BG358" s="52">
        <f t="shared" si="594"/>
        <v>0</v>
      </c>
      <c r="BH358" s="52">
        <f t="shared" si="595"/>
        <v>0</v>
      </c>
      <c r="BI358" s="52">
        <f t="shared" si="596"/>
        <v>0</v>
      </c>
      <c r="BJ358" s="52">
        <f t="shared" si="597"/>
        <v>0</v>
      </c>
      <c r="BK358" s="52">
        <f t="shared" si="598"/>
        <v>0</v>
      </c>
      <c r="BL358" s="52">
        <f t="shared" si="599"/>
        <v>0</v>
      </c>
      <c r="BM358" s="52">
        <f t="shared" si="600"/>
        <v>0</v>
      </c>
      <c r="BN358" s="52">
        <f t="shared" si="601"/>
        <v>0</v>
      </c>
      <c r="BO358" s="52">
        <f t="shared" si="602"/>
        <v>0</v>
      </c>
      <c r="BP358" s="52">
        <f t="shared" si="579"/>
        <v>0</v>
      </c>
      <c r="BQ358" s="52">
        <f t="shared" si="580"/>
        <v>0</v>
      </c>
      <c r="BR358" s="52">
        <f t="shared" si="581"/>
        <v>0</v>
      </c>
      <c r="BS358" s="52">
        <f t="shared" si="582"/>
        <v>0</v>
      </c>
      <c r="BT358" s="52">
        <f t="shared" si="583"/>
        <v>0</v>
      </c>
      <c r="BU358" s="52">
        <f t="shared" si="584"/>
        <v>0</v>
      </c>
      <c r="BV358" s="52">
        <f t="shared" si="585"/>
        <v>0</v>
      </c>
      <c r="BW358" s="52">
        <f t="shared" si="586"/>
        <v>0</v>
      </c>
      <c r="BX358" s="52">
        <f t="shared" si="587"/>
        <v>0</v>
      </c>
      <c r="BZ358" s="52">
        <f t="shared" si="577"/>
        <v>0</v>
      </c>
      <c r="CA358" s="52">
        <f t="shared" si="529"/>
        <v>0</v>
      </c>
      <c r="CB358" s="52">
        <f t="shared" si="530"/>
        <v>0</v>
      </c>
      <c r="CC358" s="52">
        <f t="shared" si="531"/>
        <v>0</v>
      </c>
      <c r="CD358" s="52">
        <f t="shared" si="532"/>
        <v>0</v>
      </c>
      <c r="CE358" s="52">
        <f t="shared" si="533"/>
        <v>0</v>
      </c>
      <c r="CF358" s="52">
        <f t="shared" si="534"/>
        <v>0</v>
      </c>
      <c r="CG358" s="52">
        <f t="shared" si="535"/>
        <v>0</v>
      </c>
      <c r="CH358" s="52">
        <f t="shared" si="536"/>
        <v>0</v>
      </c>
      <c r="CI358" s="52">
        <f t="shared" si="537"/>
        <v>0</v>
      </c>
      <c r="CJ358" s="52">
        <f t="shared" si="538"/>
        <v>0</v>
      </c>
      <c r="CK358" s="52">
        <f t="shared" si="539"/>
        <v>0</v>
      </c>
      <c r="CL358" s="52">
        <f t="shared" si="540"/>
        <v>0</v>
      </c>
      <c r="CM358" s="52">
        <f t="shared" si="541"/>
        <v>0</v>
      </c>
      <c r="CN358" s="52">
        <f t="shared" si="542"/>
        <v>0</v>
      </c>
      <c r="CO358" s="52">
        <f t="shared" si="543"/>
        <v>0</v>
      </c>
      <c r="CP358" s="52">
        <f t="shared" si="578"/>
        <v>0</v>
      </c>
      <c r="CQ358" s="52">
        <f t="shared" si="544"/>
        <v>0</v>
      </c>
      <c r="CR358" s="52">
        <f t="shared" si="545"/>
        <v>0</v>
      </c>
      <c r="CS358" s="52">
        <f t="shared" si="546"/>
        <v>0</v>
      </c>
      <c r="CT358" s="52">
        <f t="shared" si="547"/>
        <v>0</v>
      </c>
      <c r="CU358" s="52">
        <f t="shared" si="548"/>
        <v>0</v>
      </c>
      <c r="CV358" s="52">
        <f t="shared" si="549"/>
        <v>0</v>
      </c>
      <c r="CW358" s="52">
        <f t="shared" si="550"/>
        <v>0</v>
      </c>
    </row>
    <row r="359" spans="1:101">
      <c r="A359" s="60">
        <v>45281</v>
      </c>
      <c r="B359" s="426"/>
      <c r="Z359" s="77"/>
      <c r="AB359">
        <f t="shared" si="576"/>
        <v>0</v>
      </c>
      <c r="AC359">
        <f t="shared" si="553"/>
        <v>0</v>
      </c>
      <c r="AD359">
        <f t="shared" si="554"/>
        <v>0</v>
      </c>
      <c r="AE359">
        <f t="shared" si="555"/>
        <v>0</v>
      </c>
      <c r="AF359">
        <f t="shared" si="556"/>
        <v>0</v>
      </c>
      <c r="AG359">
        <f t="shared" si="557"/>
        <v>0</v>
      </c>
      <c r="AH359">
        <f t="shared" si="558"/>
        <v>0</v>
      </c>
      <c r="AI359">
        <f t="shared" si="559"/>
        <v>0</v>
      </c>
      <c r="AJ359">
        <f t="shared" si="560"/>
        <v>0</v>
      </c>
      <c r="AK359">
        <f t="shared" si="561"/>
        <v>0</v>
      </c>
      <c r="AL359">
        <f t="shared" si="562"/>
        <v>0</v>
      </c>
      <c r="AM359">
        <f t="shared" si="563"/>
        <v>0</v>
      </c>
      <c r="AN359">
        <f t="shared" si="564"/>
        <v>0</v>
      </c>
      <c r="AO359">
        <f t="shared" si="565"/>
        <v>0</v>
      </c>
      <c r="AP359">
        <f t="shared" si="566"/>
        <v>0</v>
      </c>
      <c r="AQ359">
        <f t="shared" si="567"/>
        <v>0</v>
      </c>
      <c r="AR359">
        <f t="shared" si="568"/>
        <v>0</v>
      </c>
      <c r="AS359">
        <f t="shared" si="569"/>
        <v>0</v>
      </c>
      <c r="AT359">
        <f t="shared" si="570"/>
        <v>0</v>
      </c>
      <c r="AU359">
        <f t="shared" si="571"/>
        <v>0</v>
      </c>
      <c r="AV359">
        <f t="shared" si="572"/>
        <v>0</v>
      </c>
      <c r="AW359">
        <f t="shared" si="573"/>
        <v>0</v>
      </c>
      <c r="AX359">
        <f t="shared" si="574"/>
        <v>0</v>
      </c>
      <c r="AY359">
        <f t="shared" si="527"/>
        <v>0</v>
      </c>
      <c r="BA359">
        <f t="shared" si="588"/>
        <v>0</v>
      </c>
      <c r="BB359">
        <f t="shared" si="589"/>
        <v>0</v>
      </c>
      <c r="BC359">
        <f t="shared" si="590"/>
        <v>0</v>
      </c>
      <c r="BD359">
        <f t="shared" si="591"/>
        <v>0</v>
      </c>
      <c r="BE359">
        <f t="shared" si="592"/>
        <v>0</v>
      </c>
      <c r="BF359">
        <f t="shared" si="593"/>
        <v>0</v>
      </c>
      <c r="BG359">
        <f t="shared" si="594"/>
        <v>0</v>
      </c>
      <c r="BH359">
        <f t="shared" si="595"/>
        <v>0</v>
      </c>
      <c r="BI359">
        <f t="shared" si="596"/>
        <v>0</v>
      </c>
      <c r="BJ359">
        <f t="shared" si="597"/>
        <v>0</v>
      </c>
      <c r="BK359">
        <f t="shared" si="598"/>
        <v>0</v>
      </c>
      <c r="BL359">
        <f t="shared" si="599"/>
        <v>0</v>
      </c>
      <c r="BM359">
        <f t="shared" si="600"/>
        <v>0</v>
      </c>
      <c r="BN359">
        <f t="shared" si="601"/>
        <v>0</v>
      </c>
      <c r="BO359">
        <f t="shared" si="602"/>
        <v>0</v>
      </c>
      <c r="BP359">
        <f t="shared" si="579"/>
        <v>0</v>
      </c>
      <c r="BQ359">
        <f t="shared" si="580"/>
        <v>0</v>
      </c>
      <c r="BR359">
        <f t="shared" si="581"/>
        <v>0</v>
      </c>
      <c r="BS359">
        <f t="shared" si="582"/>
        <v>0</v>
      </c>
      <c r="BT359">
        <f t="shared" si="583"/>
        <v>0</v>
      </c>
      <c r="BU359">
        <f t="shared" si="584"/>
        <v>0</v>
      </c>
      <c r="BV359">
        <f t="shared" si="585"/>
        <v>0</v>
      </c>
      <c r="BW359">
        <f t="shared" si="586"/>
        <v>0</v>
      </c>
      <c r="BX359">
        <f t="shared" si="587"/>
        <v>0</v>
      </c>
      <c r="BZ359">
        <f t="shared" si="577"/>
        <v>0</v>
      </c>
      <c r="CA359">
        <f t="shared" si="529"/>
        <v>0</v>
      </c>
      <c r="CB359">
        <f t="shared" si="530"/>
        <v>0</v>
      </c>
      <c r="CC359">
        <f t="shared" si="531"/>
        <v>0</v>
      </c>
      <c r="CD359">
        <f t="shared" si="532"/>
        <v>0</v>
      </c>
      <c r="CE359">
        <f t="shared" si="533"/>
        <v>0</v>
      </c>
      <c r="CF359">
        <f t="shared" si="534"/>
        <v>0</v>
      </c>
      <c r="CG359">
        <f t="shared" si="535"/>
        <v>0</v>
      </c>
      <c r="CH359">
        <f t="shared" si="536"/>
        <v>0</v>
      </c>
      <c r="CI359">
        <f t="shared" si="537"/>
        <v>0</v>
      </c>
      <c r="CJ359">
        <f t="shared" si="538"/>
        <v>0</v>
      </c>
      <c r="CK359">
        <f t="shared" si="539"/>
        <v>0</v>
      </c>
      <c r="CL359">
        <f t="shared" si="540"/>
        <v>0</v>
      </c>
      <c r="CM359">
        <f t="shared" si="541"/>
        <v>0</v>
      </c>
      <c r="CN359">
        <f t="shared" si="542"/>
        <v>0</v>
      </c>
      <c r="CO359">
        <f t="shared" si="543"/>
        <v>0</v>
      </c>
      <c r="CP359">
        <f t="shared" si="578"/>
        <v>0</v>
      </c>
      <c r="CQ359">
        <f t="shared" si="544"/>
        <v>0</v>
      </c>
      <c r="CR359">
        <f t="shared" si="545"/>
        <v>0</v>
      </c>
      <c r="CS359">
        <f t="shared" si="546"/>
        <v>0</v>
      </c>
      <c r="CT359">
        <f t="shared" si="547"/>
        <v>0</v>
      </c>
      <c r="CU359">
        <f t="shared" si="548"/>
        <v>0</v>
      </c>
      <c r="CV359">
        <f t="shared" si="549"/>
        <v>0</v>
      </c>
      <c r="CW359">
        <f t="shared" si="550"/>
        <v>0</v>
      </c>
    </row>
    <row r="360" spans="1:101">
      <c r="A360" s="60">
        <v>45282</v>
      </c>
      <c r="B360" s="426"/>
      <c r="Z360" s="77"/>
      <c r="AB360" s="52">
        <f t="shared" si="576"/>
        <v>0</v>
      </c>
      <c r="AC360" s="52">
        <f t="shared" si="553"/>
        <v>0</v>
      </c>
      <c r="AD360" s="52">
        <f t="shared" si="554"/>
        <v>0</v>
      </c>
      <c r="AE360" s="52">
        <f t="shared" si="555"/>
        <v>0</v>
      </c>
      <c r="AF360" s="52">
        <f t="shared" si="556"/>
        <v>0</v>
      </c>
      <c r="AG360" s="52">
        <f t="shared" si="557"/>
        <v>0</v>
      </c>
      <c r="AH360" s="52">
        <f t="shared" si="558"/>
        <v>0</v>
      </c>
      <c r="AI360" s="52">
        <f t="shared" si="559"/>
        <v>0</v>
      </c>
      <c r="AJ360" s="52">
        <f t="shared" si="560"/>
        <v>0</v>
      </c>
      <c r="AK360" s="52">
        <f t="shared" si="561"/>
        <v>0</v>
      </c>
      <c r="AL360" s="52">
        <f t="shared" si="562"/>
        <v>0</v>
      </c>
      <c r="AM360" s="52">
        <f t="shared" si="563"/>
        <v>0</v>
      </c>
      <c r="AN360" s="52">
        <f t="shared" si="564"/>
        <v>0</v>
      </c>
      <c r="AO360" s="52">
        <f t="shared" si="565"/>
        <v>0</v>
      </c>
      <c r="AP360" s="52">
        <f t="shared" si="566"/>
        <v>0</v>
      </c>
      <c r="AQ360" s="52">
        <f t="shared" si="567"/>
        <v>0</v>
      </c>
      <c r="AR360" s="52">
        <f t="shared" si="568"/>
        <v>0</v>
      </c>
      <c r="AS360" s="52">
        <f t="shared" si="569"/>
        <v>0</v>
      </c>
      <c r="AT360" s="52">
        <f t="shared" si="570"/>
        <v>0</v>
      </c>
      <c r="AU360" s="52">
        <f t="shared" si="571"/>
        <v>0</v>
      </c>
      <c r="AV360" s="52">
        <f t="shared" si="572"/>
        <v>0</v>
      </c>
      <c r="AW360" s="52">
        <f t="shared" si="573"/>
        <v>0</v>
      </c>
      <c r="AX360" s="52">
        <f t="shared" si="574"/>
        <v>0</v>
      </c>
      <c r="AY360" s="52">
        <f t="shared" si="527"/>
        <v>0</v>
      </c>
      <c r="BA360" s="52">
        <f t="shared" si="588"/>
        <v>0</v>
      </c>
      <c r="BB360" s="52">
        <f t="shared" si="589"/>
        <v>0</v>
      </c>
      <c r="BC360" s="52">
        <f t="shared" si="590"/>
        <v>0</v>
      </c>
      <c r="BD360" s="52">
        <f t="shared" si="591"/>
        <v>0</v>
      </c>
      <c r="BE360" s="52">
        <f t="shared" si="592"/>
        <v>0</v>
      </c>
      <c r="BF360" s="52">
        <f t="shared" si="593"/>
        <v>0</v>
      </c>
      <c r="BG360" s="52">
        <f t="shared" si="594"/>
        <v>0</v>
      </c>
      <c r="BH360" s="52">
        <f t="shared" si="595"/>
        <v>0</v>
      </c>
      <c r="BI360" s="52">
        <f t="shared" si="596"/>
        <v>0</v>
      </c>
      <c r="BJ360" s="52">
        <f t="shared" si="597"/>
        <v>0</v>
      </c>
      <c r="BK360" s="52">
        <f t="shared" si="598"/>
        <v>0</v>
      </c>
      <c r="BL360" s="52">
        <f t="shared" si="599"/>
        <v>0</v>
      </c>
      <c r="BM360" s="52">
        <f t="shared" si="600"/>
        <v>0</v>
      </c>
      <c r="BN360" s="52">
        <f t="shared" si="601"/>
        <v>0</v>
      </c>
      <c r="BO360" s="52">
        <f t="shared" si="602"/>
        <v>0</v>
      </c>
      <c r="BP360" s="52">
        <f t="shared" si="579"/>
        <v>0</v>
      </c>
      <c r="BQ360" s="52">
        <f t="shared" si="580"/>
        <v>0</v>
      </c>
      <c r="BR360" s="52">
        <f t="shared" si="581"/>
        <v>0</v>
      </c>
      <c r="BS360" s="52">
        <f t="shared" si="582"/>
        <v>0</v>
      </c>
      <c r="BT360" s="52">
        <f t="shared" si="583"/>
        <v>0</v>
      </c>
      <c r="BU360" s="52">
        <f t="shared" si="584"/>
        <v>0</v>
      </c>
      <c r="BV360" s="52">
        <f t="shared" si="585"/>
        <v>0</v>
      </c>
      <c r="BW360" s="52">
        <f t="shared" si="586"/>
        <v>0</v>
      </c>
      <c r="BX360" s="52">
        <f t="shared" si="587"/>
        <v>0</v>
      </c>
      <c r="BZ360" s="52">
        <f t="shared" si="577"/>
        <v>0</v>
      </c>
      <c r="CA360" s="52">
        <f t="shared" si="529"/>
        <v>0</v>
      </c>
      <c r="CB360" s="52">
        <f t="shared" si="530"/>
        <v>0</v>
      </c>
      <c r="CC360" s="52">
        <f t="shared" si="531"/>
        <v>0</v>
      </c>
      <c r="CD360" s="52">
        <f t="shared" si="532"/>
        <v>0</v>
      </c>
      <c r="CE360" s="52">
        <f t="shared" si="533"/>
        <v>0</v>
      </c>
      <c r="CF360" s="52">
        <f t="shared" si="534"/>
        <v>0</v>
      </c>
      <c r="CG360" s="52">
        <f t="shared" si="535"/>
        <v>0</v>
      </c>
      <c r="CH360" s="52">
        <f t="shared" si="536"/>
        <v>0</v>
      </c>
      <c r="CI360" s="52">
        <f t="shared" si="537"/>
        <v>0</v>
      </c>
      <c r="CJ360" s="52">
        <f t="shared" si="538"/>
        <v>0</v>
      </c>
      <c r="CK360" s="52">
        <f t="shared" si="539"/>
        <v>0</v>
      </c>
      <c r="CL360" s="52">
        <f t="shared" si="540"/>
        <v>0</v>
      </c>
      <c r="CM360" s="52">
        <f t="shared" si="541"/>
        <v>0</v>
      </c>
      <c r="CN360" s="52">
        <f t="shared" si="542"/>
        <v>0</v>
      </c>
      <c r="CO360" s="52">
        <f t="shared" si="543"/>
        <v>0</v>
      </c>
      <c r="CP360" s="52">
        <f t="shared" si="578"/>
        <v>0</v>
      </c>
      <c r="CQ360" s="52">
        <f t="shared" si="544"/>
        <v>0</v>
      </c>
      <c r="CR360" s="52">
        <f t="shared" si="545"/>
        <v>0</v>
      </c>
      <c r="CS360" s="52">
        <f t="shared" si="546"/>
        <v>0</v>
      </c>
      <c r="CT360" s="52">
        <f t="shared" si="547"/>
        <v>0</v>
      </c>
      <c r="CU360" s="52">
        <f t="shared" si="548"/>
        <v>0</v>
      </c>
      <c r="CV360" s="52">
        <f t="shared" si="549"/>
        <v>0</v>
      </c>
      <c r="CW360" s="52">
        <f t="shared" si="550"/>
        <v>0</v>
      </c>
    </row>
    <row r="361" spans="1:101">
      <c r="A361" s="60">
        <v>45283</v>
      </c>
      <c r="B361" s="426"/>
      <c r="Z361" s="77"/>
      <c r="AB361">
        <f t="shared" si="576"/>
        <v>0</v>
      </c>
      <c r="AC361">
        <f t="shared" si="553"/>
        <v>0</v>
      </c>
      <c r="AD361">
        <f t="shared" si="554"/>
        <v>0</v>
      </c>
      <c r="AE361">
        <f t="shared" si="555"/>
        <v>0</v>
      </c>
      <c r="AF361">
        <f t="shared" si="556"/>
        <v>0</v>
      </c>
      <c r="AG361">
        <f t="shared" si="557"/>
        <v>0</v>
      </c>
      <c r="AH361">
        <f t="shared" si="558"/>
        <v>0</v>
      </c>
      <c r="AI361">
        <f t="shared" si="559"/>
        <v>0</v>
      </c>
      <c r="AJ361">
        <f t="shared" si="560"/>
        <v>0</v>
      </c>
      <c r="AK361">
        <f t="shared" si="561"/>
        <v>0</v>
      </c>
      <c r="AL361">
        <f t="shared" si="562"/>
        <v>0</v>
      </c>
      <c r="AM361">
        <f t="shared" si="563"/>
        <v>0</v>
      </c>
      <c r="AN361">
        <f t="shared" si="564"/>
        <v>0</v>
      </c>
      <c r="AO361">
        <f t="shared" si="565"/>
        <v>0</v>
      </c>
      <c r="AP361">
        <f t="shared" si="566"/>
        <v>0</v>
      </c>
      <c r="AQ361">
        <f t="shared" si="567"/>
        <v>0</v>
      </c>
      <c r="AR361">
        <f t="shared" si="568"/>
        <v>0</v>
      </c>
      <c r="AS361">
        <f t="shared" si="569"/>
        <v>0</v>
      </c>
      <c r="AT361">
        <f t="shared" si="570"/>
        <v>0</v>
      </c>
      <c r="AU361">
        <f t="shared" si="571"/>
        <v>0</v>
      </c>
      <c r="AV361">
        <f t="shared" si="572"/>
        <v>0</v>
      </c>
      <c r="AW361">
        <f t="shared" si="573"/>
        <v>0</v>
      </c>
      <c r="AX361">
        <f t="shared" si="574"/>
        <v>0</v>
      </c>
      <c r="AY361">
        <f t="shared" si="527"/>
        <v>0</v>
      </c>
      <c r="BA361">
        <f t="shared" si="588"/>
        <v>0</v>
      </c>
      <c r="BB361">
        <f t="shared" si="589"/>
        <v>0</v>
      </c>
      <c r="BC361">
        <f t="shared" si="590"/>
        <v>0</v>
      </c>
      <c r="BD361">
        <f t="shared" si="591"/>
        <v>0</v>
      </c>
      <c r="BE361">
        <f t="shared" si="592"/>
        <v>0</v>
      </c>
      <c r="BF361">
        <f t="shared" si="593"/>
        <v>0</v>
      </c>
      <c r="BG361">
        <f t="shared" si="594"/>
        <v>0</v>
      </c>
      <c r="BH361">
        <f t="shared" si="595"/>
        <v>0</v>
      </c>
      <c r="BI361">
        <f t="shared" si="596"/>
        <v>0</v>
      </c>
      <c r="BJ361">
        <f t="shared" si="597"/>
        <v>0</v>
      </c>
      <c r="BK361">
        <f t="shared" si="598"/>
        <v>0</v>
      </c>
      <c r="BL361">
        <f t="shared" si="599"/>
        <v>0</v>
      </c>
      <c r="BM361">
        <f t="shared" si="600"/>
        <v>0</v>
      </c>
      <c r="BN361">
        <f t="shared" si="601"/>
        <v>0</v>
      </c>
      <c r="BO361">
        <f t="shared" si="602"/>
        <v>0</v>
      </c>
      <c r="BP361">
        <f t="shared" si="579"/>
        <v>0</v>
      </c>
      <c r="BQ361">
        <f t="shared" si="580"/>
        <v>0</v>
      </c>
      <c r="BR361">
        <f t="shared" si="581"/>
        <v>0</v>
      </c>
      <c r="BS361">
        <f t="shared" si="582"/>
        <v>0</v>
      </c>
      <c r="BT361">
        <f t="shared" si="583"/>
        <v>0</v>
      </c>
      <c r="BU361">
        <f t="shared" si="584"/>
        <v>0</v>
      </c>
      <c r="BV361">
        <f t="shared" si="585"/>
        <v>0</v>
      </c>
      <c r="BW361">
        <f t="shared" si="586"/>
        <v>0</v>
      </c>
      <c r="BX361">
        <f t="shared" si="587"/>
        <v>0</v>
      </c>
      <c r="BZ361">
        <f t="shared" si="577"/>
        <v>0</v>
      </c>
      <c r="CA361">
        <f t="shared" si="529"/>
        <v>0</v>
      </c>
      <c r="CB361">
        <f t="shared" si="530"/>
        <v>0</v>
      </c>
      <c r="CC361">
        <f t="shared" si="531"/>
        <v>0</v>
      </c>
      <c r="CD361">
        <f t="shared" si="532"/>
        <v>0</v>
      </c>
      <c r="CE361">
        <f t="shared" si="533"/>
        <v>0</v>
      </c>
      <c r="CF361">
        <f t="shared" si="534"/>
        <v>0</v>
      </c>
      <c r="CG361">
        <f t="shared" si="535"/>
        <v>0</v>
      </c>
      <c r="CH361">
        <f t="shared" si="536"/>
        <v>0</v>
      </c>
      <c r="CI361">
        <f t="shared" si="537"/>
        <v>0</v>
      </c>
      <c r="CJ361">
        <f t="shared" si="538"/>
        <v>0</v>
      </c>
      <c r="CK361">
        <f t="shared" si="539"/>
        <v>0</v>
      </c>
      <c r="CL361">
        <f t="shared" si="540"/>
        <v>0</v>
      </c>
      <c r="CM361">
        <f t="shared" si="541"/>
        <v>0</v>
      </c>
      <c r="CN361">
        <f t="shared" si="542"/>
        <v>0</v>
      </c>
      <c r="CO361">
        <f t="shared" si="543"/>
        <v>0</v>
      </c>
      <c r="CP361">
        <f t="shared" si="578"/>
        <v>0</v>
      </c>
      <c r="CQ361">
        <f t="shared" si="544"/>
        <v>0</v>
      </c>
      <c r="CR361">
        <f t="shared" si="545"/>
        <v>0</v>
      </c>
      <c r="CS361">
        <f t="shared" si="546"/>
        <v>0</v>
      </c>
      <c r="CT361">
        <f t="shared" si="547"/>
        <v>0</v>
      </c>
      <c r="CU361">
        <f t="shared" si="548"/>
        <v>0</v>
      </c>
      <c r="CV361">
        <f t="shared" si="549"/>
        <v>0</v>
      </c>
      <c r="CW361">
        <f t="shared" si="550"/>
        <v>0</v>
      </c>
    </row>
    <row r="362" spans="1:101">
      <c r="A362" s="60">
        <v>45284</v>
      </c>
      <c r="B362" s="426"/>
      <c r="Z362" s="77"/>
      <c r="AB362" s="52">
        <f t="shared" si="576"/>
        <v>0</v>
      </c>
      <c r="AC362" s="52">
        <f t="shared" si="553"/>
        <v>0</v>
      </c>
      <c r="AD362" s="52">
        <f t="shared" si="554"/>
        <v>0</v>
      </c>
      <c r="AE362" s="52">
        <f t="shared" si="555"/>
        <v>0</v>
      </c>
      <c r="AF362" s="52">
        <f t="shared" si="556"/>
        <v>0</v>
      </c>
      <c r="AG362" s="52">
        <f t="shared" si="557"/>
        <v>0</v>
      </c>
      <c r="AH362" s="52">
        <f t="shared" si="558"/>
        <v>0</v>
      </c>
      <c r="AI362" s="52">
        <f t="shared" si="559"/>
        <v>0</v>
      </c>
      <c r="AJ362" s="52">
        <f t="shared" si="560"/>
        <v>0</v>
      </c>
      <c r="AK362" s="52">
        <f t="shared" si="561"/>
        <v>0</v>
      </c>
      <c r="AL362" s="52">
        <f t="shared" si="562"/>
        <v>0</v>
      </c>
      <c r="AM362" s="52">
        <f t="shared" si="563"/>
        <v>0</v>
      </c>
      <c r="AN362" s="52">
        <f t="shared" si="564"/>
        <v>0</v>
      </c>
      <c r="AO362" s="52">
        <f t="shared" si="565"/>
        <v>0</v>
      </c>
      <c r="AP362" s="52">
        <f t="shared" si="566"/>
        <v>0</v>
      </c>
      <c r="AQ362" s="52">
        <f t="shared" si="567"/>
        <v>0</v>
      </c>
      <c r="AR362" s="52">
        <f t="shared" si="568"/>
        <v>0</v>
      </c>
      <c r="AS362" s="52">
        <f t="shared" si="569"/>
        <v>0</v>
      </c>
      <c r="AT362" s="52">
        <f t="shared" si="570"/>
        <v>0</v>
      </c>
      <c r="AU362" s="52">
        <f t="shared" si="571"/>
        <v>0</v>
      </c>
      <c r="AV362" s="52">
        <f t="shared" si="572"/>
        <v>0</v>
      </c>
      <c r="AW362" s="52">
        <f t="shared" si="573"/>
        <v>0</v>
      </c>
      <c r="AX362" s="52">
        <f t="shared" si="574"/>
        <v>0</v>
      </c>
      <c r="AY362" s="52">
        <f t="shared" si="527"/>
        <v>0</v>
      </c>
      <c r="BA362" s="52">
        <f t="shared" si="588"/>
        <v>0</v>
      </c>
      <c r="BB362" s="52">
        <f t="shared" si="589"/>
        <v>0</v>
      </c>
      <c r="BC362" s="52">
        <f t="shared" si="590"/>
        <v>0</v>
      </c>
      <c r="BD362" s="52">
        <f t="shared" si="591"/>
        <v>0</v>
      </c>
      <c r="BE362" s="52">
        <f t="shared" si="592"/>
        <v>0</v>
      </c>
      <c r="BF362" s="52">
        <f t="shared" si="593"/>
        <v>0</v>
      </c>
      <c r="BG362" s="52">
        <f t="shared" si="594"/>
        <v>0</v>
      </c>
      <c r="BH362" s="52">
        <f t="shared" si="595"/>
        <v>0</v>
      </c>
      <c r="BI362" s="52">
        <f t="shared" si="596"/>
        <v>0</v>
      </c>
      <c r="BJ362" s="52">
        <f t="shared" si="597"/>
        <v>0</v>
      </c>
      <c r="BK362" s="52">
        <f t="shared" si="598"/>
        <v>0</v>
      </c>
      <c r="BL362" s="52">
        <f t="shared" si="599"/>
        <v>0</v>
      </c>
      <c r="BM362" s="52">
        <f t="shared" si="600"/>
        <v>0</v>
      </c>
      <c r="BN362" s="52">
        <f t="shared" si="601"/>
        <v>0</v>
      </c>
      <c r="BO362" s="52">
        <f t="shared" si="602"/>
        <v>0</v>
      </c>
      <c r="BP362" s="52">
        <f t="shared" si="579"/>
        <v>0</v>
      </c>
      <c r="BQ362" s="52">
        <f t="shared" si="580"/>
        <v>0</v>
      </c>
      <c r="BR362" s="52">
        <f t="shared" si="581"/>
        <v>0</v>
      </c>
      <c r="BS362" s="52">
        <f t="shared" si="582"/>
        <v>0</v>
      </c>
      <c r="BT362" s="52">
        <f t="shared" si="583"/>
        <v>0</v>
      </c>
      <c r="BU362" s="52">
        <f t="shared" si="584"/>
        <v>0</v>
      </c>
      <c r="BV362" s="52">
        <f t="shared" si="585"/>
        <v>0</v>
      </c>
      <c r="BW362" s="52">
        <f t="shared" si="586"/>
        <v>0</v>
      </c>
      <c r="BX362" s="52">
        <f t="shared" si="587"/>
        <v>0</v>
      </c>
      <c r="BZ362" s="52">
        <f t="shared" si="577"/>
        <v>0</v>
      </c>
      <c r="CA362" s="52">
        <f t="shared" si="529"/>
        <v>0</v>
      </c>
      <c r="CB362" s="52">
        <f t="shared" si="530"/>
        <v>0</v>
      </c>
      <c r="CC362" s="52">
        <f t="shared" si="531"/>
        <v>0</v>
      </c>
      <c r="CD362" s="52">
        <f t="shared" si="532"/>
        <v>0</v>
      </c>
      <c r="CE362" s="52">
        <f t="shared" si="533"/>
        <v>0</v>
      </c>
      <c r="CF362" s="52">
        <f t="shared" si="534"/>
        <v>0</v>
      </c>
      <c r="CG362" s="52">
        <f t="shared" si="535"/>
        <v>0</v>
      </c>
      <c r="CH362" s="52">
        <f t="shared" si="536"/>
        <v>0</v>
      </c>
      <c r="CI362" s="52">
        <f t="shared" si="537"/>
        <v>0</v>
      </c>
      <c r="CJ362" s="52">
        <f t="shared" si="538"/>
        <v>0</v>
      </c>
      <c r="CK362" s="52">
        <f t="shared" si="539"/>
        <v>0</v>
      </c>
      <c r="CL362" s="52">
        <f t="shared" si="540"/>
        <v>0</v>
      </c>
      <c r="CM362" s="52">
        <f t="shared" si="541"/>
        <v>0</v>
      </c>
      <c r="CN362" s="52">
        <f t="shared" si="542"/>
        <v>0</v>
      </c>
      <c r="CO362" s="52">
        <f t="shared" si="543"/>
        <v>0</v>
      </c>
      <c r="CP362" s="52">
        <f t="shared" si="578"/>
        <v>0</v>
      </c>
      <c r="CQ362" s="52">
        <f t="shared" si="544"/>
        <v>0</v>
      </c>
      <c r="CR362" s="52">
        <f t="shared" si="545"/>
        <v>0</v>
      </c>
      <c r="CS362" s="52">
        <f t="shared" si="546"/>
        <v>0</v>
      </c>
      <c r="CT362" s="52">
        <f t="shared" si="547"/>
        <v>0</v>
      </c>
      <c r="CU362" s="52">
        <f t="shared" si="548"/>
        <v>0</v>
      </c>
      <c r="CV362" s="52">
        <f t="shared" si="549"/>
        <v>0</v>
      </c>
      <c r="CW362" s="52">
        <f t="shared" si="550"/>
        <v>0</v>
      </c>
    </row>
    <row r="363" spans="1:101">
      <c r="A363" s="60">
        <v>45285</v>
      </c>
      <c r="B363" s="426"/>
      <c r="Z363" s="77"/>
      <c r="AB363">
        <f t="shared" si="576"/>
        <v>0</v>
      </c>
      <c r="AC363">
        <f t="shared" si="553"/>
        <v>0</v>
      </c>
      <c r="AD363">
        <f t="shared" si="554"/>
        <v>0</v>
      </c>
      <c r="AE363">
        <f t="shared" si="555"/>
        <v>0</v>
      </c>
      <c r="AF363">
        <f t="shared" si="556"/>
        <v>0</v>
      </c>
      <c r="AG363">
        <f t="shared" si="557"/>
        <v>0</v>
      </c>
      <c r="AH363">
        <f t="shared" si="558"/>
        <v>0</v>
      </c>
      <c r="AI363">
        <f t="shared" si="559"/>
        <v>0</v>
      </c>
      <c r="AJ363">
        <f t="shared" si="560"/>
        <v>0</v>
      </c>
      <c r="AK363">
        <f t="shared" si="561"/>
        <v>0</v>
      </c>
      <c r="AL363">
        <f t="shared" si="562"/>
        <v>0</v>
      </c>
      <c r="AM363">
        <f t="shared" si="563"/>
        <v>0</v>
      </c>
      <c r="AN363">
        <f t="shared" si="564"/>
        <v>0</v>
      </c>
      <c r="AO363">
        <f t="shared" si="565"/>
        <v>0</v>
      </c>
      <c r="AP363">
        <f t="shared" si="566"/>
        <v>0</v>
      </c>
      <c r="AQ363">
        <f t="shared" si="567"/>
        <v>0</v>
      </c>
      <c r="AR363">
        <f t="shared" si="568"/>
        <v>0</v>
      </c>
      <c r="AS363">
        <f t="shared" si="569"/>
        <v>0</v>
      </c>
      <c r="AT363">
        <f t="shared" si="570"/>
        <v>0</v>
      </c>
      <c r="AU363">
        <f t="shared" si="571"/>
        <v>0</v>
      </c>
      <c r="AV363">
        <f t="shared" si="572"/>
        <v>0</v>
      </c>
      <c r="AW363">
        <f t="shared" si="573"/>
        <v>0</v>
      </c>
      <c r="AX363">
        <f t="shared" si="574"/>
        <v>0</v>
      </c>
      <c r="AY363">
        <f t="shared" si="527"/>
        <v>0</v>
      </c>
      <c r="BA363">
        <f t="shared" si="588"/>
        <v>0</v>
      </c>
      <c r="BB363">
        <f t="shared" si="589"/>
        <v>0</v>
      </c>
      <c r="BC363">
        <f t="shared" si="590"/>
        <v>0</v>
      </c>
      <c r="BD363">
        <f t="shared" si="591"/>
        <v>0</v>
      </c>
      <c r="BE363">
        <f t="shared" si="592"/>
        <v>0</v>
      </c>
      <c r="BF363">
        <f t="shared" si="593"/>
        <v>0</v>
      </c>
      <c r="BG363">
        <f t="shared" si="594"/>
        <v>0</v>
      </c>
      <c r="BH363">
        <f t="shared" si="595"/>
        <v>0</v>
      </c>
      <c r="BI363">
        <f t="shared" si="596"/>
        <v>0</v>
      </c>
      <c r="BJ363">
        <f t="shared" si="597"/>
        <v>0</v>
      </c>
      <c r="BK363">
        <f t="shared" si="598"/>
        <v>0</v>
      </c>
      <c r="BL363">
        <f t="shared" si="599"/>
        <v>0</v>
      </c>
      <c r="BM363">
        <f t="shared" si="600"/>
        <v>0</v>
      </c>
      <c r="BN363">
        <f t="shared" si="601"/>
        <v>0</v>
      </c>
      <c r="BO363">
        <f t="shared" si="602"/>
        <v>0</v>
      </c>
      <c r="BP363">
        <f t="shared" si="579"/>
        <v>0</v>
      </c>
      <c r="BQ363">
        <f t="shared" si="580"/>
        <v>0</v>
      </c>
      <c r="BR363">
        <f t="shared" si="581"/>
        <v>0</v>
      </c>
      <c r="BS363">
        <f t="shared" si="582"/>
        <v>0</v>
      </c>
      <c r="BT363">
        <f t="shared" si="583"/>
        <v>0</v>
      </c>
      <c r="BU363">
        <f t="shared" si="584"/>
        <v>0</v>
      </c>
      <c r="BV363">
        <f t="shared" si="585"/>
        <v>0</v>
      </c>
      <c r="BW363">
        <f t="shared" si="586"/>
        <v>0</v>
      </c>
      <c r="BX363">
        <f t="shared" si="587"/>
        <v>0</v>
      </c>
      <c r="BZ363">
        <f t="shared" si="577"/>
        <v>0</v>
      </c>
      <c r="CA363">
        <f t="shared" si="529"/>
        <v>0</v>
      </c>
      <c r="CB363">
        <f t="shared" si="530"/>
        <v>0</v>
      </c>
      <c r="CC363">
        <f t="shared" si="531"/>
        <v>0</v>
      </c>
      <c r="CD363">
        <f t="shared" si="532"/>
        <v>0</v>
      </c>
      <c r="CE363">
        <f t="shared" si="533"/>
        <v>0</v>
      </c>
      <c r="CF363">
        <f t="shared" si="534"/>
        <v>0</v>
      </c>
      <c r="CG363">
        <f t="shared" si="535"/>
        <v>0</v>
      </c>
      <c r="CH363">
        <f t="shared" si="536"/>
        <v>0</v>
      </c>
      <c r="CI363">
        <f t="shared" si="537"/>
        <v>0</v>
      </c>
      <c r="CJ363">
        <f t="shared" si="538"/>
        <v>0</v>
      </c>
      <c r="CK363">
        <f t="shared" si="539"/>
        <v>0</v>
      </c>
      <c r="CL363">
        <f t="shared" si="540"/>
        <v>0</v>
      </c>
      <c r="CM363">
        <f t="shared" si="541"/>
        <v>0</v>
      </c>
      <c r="CN363">
        <f t="shared" si="542"/>
        <v>0</v>
      </c>
      <c r="CO363">
        <f t="shared" si="543"/>
        <v>0</v>
      </c>
      <c r="CP363">
        <f t="shared" si="578"/>
        <v>0</v>
      </c>
      <c r="CQ363">
        <f t="shared" si="544"/>
        <v>0</v>
      </c>
      <c r="CR363">
        <f t="shared" si="545"/>
        <v>0</v>
      </c>
      <c r="CS363">
        <f t="shared" si="546"/>
        <v>0</v>
      </c>
      <c r="CT363">
        <f t="shared" si="547"/>
        <v>0</v>
      </c>
      <c r="CU363">
        <f t="shared" si="548"/>
        <v>0</v>
      </c>
      <c r="CV363">
        <f t="shared" si="549"/>
        <v>0</v>
      </c>
      <c r="CW363">
        <f t="shared" si="550"/>
        <v>0</v>
      </c>
    </row>
    <row r="364" spans="1:101">
      <c r="A364" s="60">
        <v>45286</v>
      </c>
      <c r="B364" s="426"/>
      <c r="Z364" s="77"/>
      <c r="AB364" s="52">
        <f t="shared" si="576"/>
        <v>0</v>
      </c>
      <c r="AC364" s="52">
        <f t="shared" si="553"/>
        <v>0</v>
      </c>
      <c r="AD364" s="52">
        <f t="shared" si="554"/>
        <v>0</v>
      </c>
      <c r="AE364" s="52">
        <f t="shared" si="555"/>
        <v>0</v>
      </c>
      <c r="AF364" s="52">
        <f t="shared" si="556"/>
        <v>0</v>
      </c>
      <c r="AG364" s="52">
        <f t="shared" si="557"/>
        <v>0</v>
      </c>
      <c r="AH364" s="52">
        <f t="shared" si="558"/>
        <v>0</v>
      </c>
      <c r="AI364" s="52">
        <f t="shared" si="559"/>
        <v>0</v>
      </c>
      <c r="AJ364" s="52">
        <f t="shared" si="560"/>
        <v>0</v>
      </c>
      <c r="AK364" s="52">
        <f t="shared" si="561"/>
        <v>0</v>
      </c>
      <c r="AL364" s="52">
        <f t="shared" si="562"/>
        <v>0</v>
      </c>
      <c r="AM364" s="52">
        <f t="shared" si="563"/>
        <v>0</v>
      </c>
      <c r="AN364" s="52">
        <f t="shared" si="564"/>
        <v>0</v>
      </c>
      <c r="AO364" s="52">
        <f t="shared" si="565"/>
        <v>0</v>
      </c>
      <c r="AP364" s="52">
        <f t="shared" si="566"/>
        <v>0</v>
      </c>
      <c r="AQ364" s="52">
        <f t="shared" si="567"/>
        <v>0</v>
      </c>
      <c r="AR364" s="52">
        <f t="shared" si="568"/>
        <v>0</v>
      </c>
      <c r="AS364" s="52">
        <f t="shared" si="569"/>
        <v>0</v>
      </c>
      <c r="AT364" s="52">
        <f>+IF(AND(T364=0,U364&lt;&gt;0),1,0)</f>
        <v>0</v>
      </c>
      <c r="AU364" s="52">
        <f t="shared" si="571"/>
        <v>0</v>
      </c>
      <c r="AV364" s="52">
        <f t="shared" si="572"/>
        <v>0</v>
      </c>
      <c r="AW364" s="52">
        <f t="shared" si="573"/>
        <v>0</v>
      </c>
      <c r="AX364" s="52">
        <f t="shared" si="574"/>
        <v>0</v>
      </c>
      <c r="AY364" s="52">
        <f t="shared" si="527"/>
        <v>0</v>
      </c>
      <c r="BA364" s="52">
        <f t="shared" si="588"/>
        <v>0</v>
      </c>
      <c r="BB364" s="52">
        <f t="shared" si="589"/>
        <v>0</v>
      </c>
      <c r="BC364" s="52">
        <f t="shared" si="590"/>
        <v>0</v>
      </c>
      <c r="BD364" s="52">
        <f t="shared" si="591"/>
        <v>0</v>
      </c>
      <c r="BE364" s="52">
        <f t="shared" si="592"/>
        <v>0</v>
      </c>
      <c r="BF364" s="52">
        <f t="shared" si="593"/>
        <v>0</v>
      </c>
      <c r="BG364" s="52">
        <f t="shared" si="594"/>
        <v>0</v>
      </c>
      <c r="BH364" s="52">
        <f t="shared" si="595"/>
        <v>0</v>
      </c>
      <c r="BI364" s="52">
        <f t="shared" si="596"/>
        <v>0</v>
      </c>
      <c r="BJ364" s="52">
        <f t="shared" si="597"/>
        <v>0</v>
      </c>
      <c r="BK364" s="52">
        <f t="shared" si="598"/>
        <v>0</v>
      </c>
      <c r="BL364" s="52">
        <f t="shared" si="599"/>
        <v>0</v>
      </c>
      <c r="BM364" s="52">
        <f t="shared" si="600"/>
        <v>0</v>
      </c>
      <c r="BN364" s="52">
        <f t="shared" si="601"/>
        <v>0</v>
      </c>
      <c r="BO364" s="52">
        <f t="shared" si="602"/>
        <v>0</v>
      </c>
      <c r="BP364" s="52">
        <f t="shared" si="579"/>
        <v>0</v>
      </c>
      <c r="BQ364" s="52">
        <f t="shared" si="580"/>
        <v>0</v>
      </c>
      <c r="BR364" s="52">
        <f t="shared" si="581"/>
        <v>0</v>
      </c>
      <c r="BS364" s="52">
        <f t="shared" si="582"/>
        <v>0</v>
      </c>
      <c r="BT364" s="52">
        <f t="shared" si="583"/>
        <v>0</v>
      </c>
      <c r="BU364" s="52">
        <f t="shared" si="584"/>
        <v>0</v>
      </c>
      <c r="BV364" s="52">
        <f t="shared" si="585"/>
        <v>0</v>
      </c>
      <c r="BW364" s="52">
        <f t="shared" si="586"/>
        <v>0</v>
      </c>
      <c r="BX364" s="52">
        <f t="shared" si="587"/>
        <v>0</v>
      </c>
      <c r="BZ364" s="52">
        <f t="shared" si="577"/>
        <v>0</v>
      </c>
      <c r="CA364" s="52">
        <f t="shared" si="529"/>
        <v>0</v>
      </c>
      <c r="CB364" s="52">
        <f t="shared" si="530"/>
        <v>0</v>
      </c>
      <c r="CC364" s="52">
        <f t="shared" si="531"/>
        <v>0</v>
      </c>
      <c r="CD364" s="52">
        <f t="shared" si="532"/>
        <v>0</v>
      </c>
      <c r="CE364" s="52">
        <f t="shared" si="533"/>
        <v>0</v>
      </c>
      <c r="CF364" s="52">
        <f t="shared" si="534"/>
        <v>0</v>
      </c>
      <c r="CG364" s="52">
        <f t="shared" si="535"/>
        <v>0</v>
      </c>
      <c r="CH364" s="52">
        <f t="shared" si="536"/>
        <v>0</v>
      </c>
      <c r="CI364" s="52">
        <f t="shared" si="537"/>
        <v>0</v>
      </c>
      <c r="CJ364" s="52">
        <f t="shared" si="538"/>
        <v>0</v>
      </c>
      <c r="CK364" s="52">
        <f t="shared" si="539"/>
        <v>0</v>
      </c>
      <c r="CL364" s="52">
        <f t="shared" si="540"/>
        <v>0</v>
      </c>
      <c r="CM364" s="52">
        <f t="shared" si="541"/>
        <v>0</v>
      </c>
      <c r="CN364" s="52">
        <f t="shared" si="542"/>
        <v>0</v>
      </c>
      <c r="CO364" s="52">
        <f t="shared" si="543"/>
        <v>0</v>
      </c>
      <c r="CP364" s="52">
        <f t="shared" si="578"/>
        <v>0</v>
      </c>
      <c r="CQ364" s="52">
        <f t="shared" si="544"/>
        <v>0</v>
      </c>
      <c r="CR364" s="52">
        <f t="shared" si="545"/>
        <v>0</v>
      </c>
      <c r="CS364" s="52">
        <f t="shared" si="546"/>
        <v>0</v>
      </c>
      <c r="CT364" s="52">
        <f t="shared" si="547"/>
        <v>0</v>
      </c>
      <c r="CU364" s="52">
        <f t="shared" si="548"/>
        <v>0</v>
      </c>
      <c r="CV364" s="52">
        <f t="shared" si="549"/>
        <v>0</v>
      </c>
      <c r="CW364" s="52">
        <f t="shared" si="550"/>
        <v>0</v>
      </c>
    </row>
    <row r="365" spans="1:101">
      <c r="A365" s="60">
        <v>45287</v>
      </c>
      <c r="B365" s="426"/>
      <c r="Z365" s="77"/>
      <c r="AB365">
        <f t="shared" si="576"/>
        <v>0</v>
      </c>
      <c r="AC365">
        <f t="shared" si="553"/>
        <v>0</v>
      </c>
      <c r="AD365">
        <f t="shared" si="554"/>
        <v>0</v>
      </c>
      <c r="AE365">
        <f t="shared" si="555"/>
        <v>0</v>
      </c>
      <c r="AF365">
        <f t="shared" si="556"/>
        <v>0</v>
      </c>
      <c r="AG365">
        <f t="shared" si="557"/>
        <v>0</v>
      </c>
      <c r="AH365">
        <f t="shared" si="558"/>
        <v>0</v>
      </c>
      <c r="AI365">
        <f t="shared" si="559"/>
        <v>0</v>
      </c>
      <c r="AJ365">
        <f t="shared" si="560"/>
        <v>0</v>
      </c>
      <c r="AK365">
        <f t="shared" si="561"/>
        <v>0</v>
      </c>
      <c r="AL365">
        <f t="shared" si="562"/>
        <v>0</v>
      </c>
      <c r="AM365">
        <f t="shared" si="563"/>
        <v>0</v>
      </c>
      <c r="AN365">
        <f t="shared" si="564"/>
        <v>0</v>
      </c>
      <c r="AO365">
        <f t="shared" si="565"/>
        <v>0</v>
      </c>
      <c r="AP365">
        <f t="shared" si="566"/>
        <v>0</v>
      </c>
      <c r="AQ365">
        <f t="shared" si="567"/>
        <v>0</v>
      </c>
      <c r="AR365">
        <f t="shared" si="568"/>
        <v>0</v>
      </c>
      <c r="AS365">
        <f t="shared" si="569"/>
        <v>0</v>
      </c>
      <c r="AT365">
        <f t="shared" si="570"/>
        <v>0</v>
      </c>
      <c r="AU365">
        <f t="shared" si="571"/>
        <v>0</v>
      </c>
      <c r="AV365">
        <f t="shared" si="572"/>
        <v>0</v>
      </c>
      <c r="AW365">
        <f t="shared" si="573"/>
        <v>0</v>
      </c>
      <c r="AX365">
        <f t="shared" si="574"/>
        <v>0</v>
      </c>
      <c r="AY365">
        <f t="shared" si="527"/>
        <v>0</v>
      </c>
      <c r="BA365">
        <f t="shared" si="588"/>
        <v>0</v>
      </c>
      <c r="BB365">
        <f t="shared" si="589"/>
        <v>0</v>
      </c>
      <c r="BC365">
        <f t="shared" si="590"/>
        <v>0</v>
      </c>
      <c r="BD365">
        <f t="shared" si="591"/>
        <v>0</v>
      </c>
      <c r="BE365">
        <f t="shared" si="592"/>
        <v>0</v>
      </c>
      <c r="BF365">
        <f t="shared" si="593"/>
        <v>0</v>
      </c>
      <c r="BG365">
        <f t="shared" si="594"/>
        <v>0</v>
      </c>
      <c r="BH365">
        <f t="shared" si="595"/>
        <v>0</v>
      </c>
      <c r="BI365">
        <f t="shared" si="596"/>
        <v>0</v>
      </c>
      <c r="BJ365">
        <f t="shared" si="597"/>
        <v>0</v>
      </c>
      <c r="BK365">
        <f t="shared" si="598"/>
        <v>0</v>
      </c>
      <c r="BL365">
        <f t="shared" si="599"/>
        <v>0</v>
      </c>
      <c r="BM365">
        <f t="shared" si="600"/>
        <v>0</v>
      </c>
      <c r="BN365">
        <f t="shared" si="601"/>
        <v>0</v>
      </c>
      <c r="BO365">
        <f t="shared" si="602"/>
        <v>0</v>
      </c>
      <c r="BP365">
        <f t="shared" si="579"/>
        <v>0</v>
      </c>
      <c r="BQ365">
        <f t="shared" si="580"/>
        <v>0</v>
      </c>
      <c r="BR365">
        <f t="shared" si="581"/>
        <v>0</v>
      </c>
      <c r="BS365">
        <f t="shared" si="582"/>
        <v>0</v>
      </c>
      <c r="BT365">
        <f t="shared" si="583"/>
        <v>0</v>
      </c>
      <c r="BU365">
        <f t="shared" si="584"/>
        <v>0</v>
      </c>
      <c r="BV365">
        <f t="shared" si="585"/>
        <v>0</v>
      </c>
      <c r="BW365">
        <f t="shared" si="586"/>
        <v>0</v>
      </c>
      <c r="BX365">
        <f t="shared" si="587"/>
        <v>0</v>
      </c>
      <c r="BZ365">
        <f t="shared" si="577"/>
        <v>0</v>
      </c>
      <c r="CA365">
        <f t="shared" si="529"/>
        <v>0</v>
      </c>
      <c r="CB365">
        <f t="shared" si="530"/>
        <v>0</v>
      </c>
      <c r="CC365">
        <f t="shared" si="531"/>
        <v>0</v>
      </c>
      <c r="CD365">
        <f t="shared" si="532"/>
        <v>0</v>
      </c>
      <c r="CE365">
        <f t="shared" si="533"/>
        <v>0</v>
      </c>
      <c r="CF365">
        <f t="shared" si="534"/>
        <v>0</v>
      </c>
      <c r="CG365">
        <f t="shared" si="535"/>
        <v>0</v>
      </c>
      <c r="CH365">
        <f t="shared" si="536"/>
        <v>0</v>
      </c>
      <c r="CI365">
        <f t="shared" si="537"/>
        <v>0</v>
      </c>
      <c r="CJ365">
        <f t="shared" si="538"/>
        <v>0</v>
      </c>
      <c r="CK365">
        <f t="shared" si="539"/>
        <v>0</v>
      </c>
      <c r="CL365">
        <f t="shared" si="540"/>
        <v>0</v>
      </c>
      <c r="CM365">
        <f t="shared" si="541"/>
        <v>0</v>
      </c>
      <c r="CN365">
        <f t="shared" si="542"/>
        <v>0</v>
      </c>
      <c r="CO365">
        <f t="shared" si="543"/>
        <v>0</v>
      </c>
      <c r="CP365">
        <f t="shared" si="578"/>
        <v>0</v>
      </c>
      <c r="CQ365">
        <f t="shared" si="544"/>
        <v>0</v>
      </c>
      <c r="CR365">
        <f t="shared" si="545"/>
        <v>0</v>
      </c>
      <c r="CS365">
        <f t="shared" si="546"/>
        <v>0</v>
      </c>
      <c r="CT365">
        <f t="shared" si="547"/>
        <v>0</v>
      </c>
      <c r="CU365">
        <f t="shared" si="548"/>
        <v>0</v>
      </c>
      <c r="CV365">
        <f t="shared" si="549"/>
        <v>0</v>
      </c>
      <c r="CW365">
        <f t="shared" si="550"/>
        <v>0</v>
      </c>
    </row>
    <row r="366" spans="1:101">
      <c r="A366" s="60">
        <v>45288</v>
      </c>
      <c r="B366" s="426"/>
      <c r="Z366" s="77"/>
      <c r="AB366" s="52">
        <f t="shared" si="576"/>
        <v>0</v>
      </c>
      <c r="AC366" s="52">
        <f t="shared" si="553"/>
        <v>0</v>
      </c>
      <c r="AD366" s="52">
        <f t="shared" si="554"/>
        <v>0</v>
      </c>
      <c r="AE366" s="52">
        <f t="shared" si="555"/>
        <v>0</v>
      </c>
      <c r="AF366" s="52">
        <f t="shared" si="556"/>
        <v>0</v>
      </c>
      <c r="AG366" s="52">
        <f t="shared" si="557"/>
        <v>0</v>
      </c>
      <c r="AH366" s="52">
        <f t="shared" si="558"/>
        <v>0</v>
      </c>
      <c r="AI366" s="52">
        <f t="shared" si="559"/>
        <v>0</v>
      </c>
      <c r="AJ366" s="52">
        <f t="shared" si="560"/>
        <v>0</v>
      </c>
      <c r="AK366" s="52">
        <f t="shared" si="561"/>
        <v>0</v>
      </c>
      <c r="AL366" s="52">
        <f t="shared" si="562"/>
        <v>0</v>
      </c>
      <c r="AM366" s="52">
        <f t="shared" si="563"/>
        <v>0</v>
      </c>
      <c r="AN366" s="52">
        <f t="shared" si="564"/>
        <v>0</v>
      </c>
      <c r="AO366" s="52">
        <f t="shared" si="565"/>
        <v>0</v>
      </c>
      <c r="AP366" s="52">
        <f t="shared" si="566"/>
        <v>0</v>
      </c>
      <c r="AQ366" s="52">
        <f t="shared" si="567"/>
        <v>0</v>
      </c>
      <c r="AR366" s="52">
        <f t="shared" si="568"/>
        <v>0</v>
      </c>
      <c r="AS366" s="52">
        <f t="shared" si="569"/>
        <v>0</v>
      </c>
      <c r="AT366" s="52">
        <f t="shared" si="570"/>
        <v>0</v>
      </c>
      <c r="AU366" s="52">
        <f t="shared" si="571"/>
        <v>0</v>
      </c>
      <c r="AV366" s="52">
        <f t="shared" si="572"/>
        <v>0</v>
      </c>
      <c r="AW366" s="52">
        <f t="shared" si="573"/>
        <v>0</v>
      </c>
      <c r="AX366" s="52">
        <f t="shared" si="574"/>
        <v>0</v>
      </c>
      <c r="AY366" s="52">
        <f t="shared" si="527"/>
        <v>0</v>
      </c>
      <c r="BA366" s="52">
        <f t="shared" si="588"/>
        <v>0</v>
      </c>
      <c r="BB366" s="52">
        <f t="shared" si="589"/>
        <v>0</v>
      </c>
      <c r="BC366" s="52">
        <f t="shared" si="590"/>
        <v>0</v>
      </c>
      <c r="BD366" s="52">
        <f t="shared" si="591"/>
        <v>0</v>
      </c>
      <c r="BE366" s="52">
        <f t="shared" si="592"/>
        <v>0</v>
      </c>
      <c r="BF366" s="52">
        <f t="shared" si="593"/>
        <v>0</v>
      </c>
      <c r="BG366" s="52">
        <f t="shared" si="594"/>
        <v>0</v>
      </c>
      <c r="BH366" s="52">
        <f t="shared" si="595"/>
        <v>0</v>
      </c>
      <c r="BI366" s="52">
        <f t="shared" si="596"/>
        <v>0</v>
      </c>
      <c r="BJ366" s="52">
        <f t="shared" si="597"/>
        <v>0</v>
      </c>
      <c r="BK366" s="52">
        <f t="shared" si="598"/>
        <v>0</v>
      </c>
      <c r="BL366" s="52">
        <f t="shared" si="599"/>
        <v>0</v>
      </c>
      <c r="BM366" s="52">
        <f t="shared" si="600"/>
        <v>0</v>
      </c>
      <c r="BN366" s="52">
        <f t="shared" si="601"/>
        <v>0</v>
      </c>
      <c r="BO366" s="52">
        <f t="shared" si="602"/>
        <v>0</v>
      </c>
      <c r="BP366" s="52">
        <f t="shared" si="579"/>
        <v>0</v>
      </c>
      <c r="BQ366" s="52">
        <f t="shared" si="580"/>
        <v>0</v>
      </c>
      <c r="BR366" s="52">
        <f t="shared" si="581"/>
        <v>0</v>
      </c>
      <c r="BS366" s="52">
        <f t="shared" si="582"/>
        <v>0</v>
      </c>
      <c r="BT366" s="52">
        <f t="shared" si="583"/>
        <v>0</v>
      </c>
      <c r="BU366" s="52">
        <f t="shared" si="584"/>
        <v>0</v>
      </c>
      <c r="BV366" s="52">
        <f t="shared" si="585"/>
        <v>0</v>
      </c>
      <c r="BW366" s="52">
        <f t="shared" si="586"/>
        <v>0</v>
      </c>
      <c r="BX366" s="52">
        <f t="shared" si="587"/>
        <v>0</v>
      </c>
      <c r="BZ366" s="52">
        <f t="shared" si="577"/>
        <v>0</v>
      </c>
      <c r="CA366" s="52">
        <f t="shared" si="529"/>
        <v>0</v>
      </c>
      <c r="CB366" s="52">
        <f t="shared" si="530"/>
        <v>0</v>
      </c>
      <c r="CC366" s="52">
        <f t="shared" si="531"/>
        <v>0</v>
      </c>
      <c r="CD366" s="52">
        <f t="shared" si="532"/>
        <v>0</v>
      </c>
      <c r="CE366" s="52">
        <f t="shared" si="533"/>
        <v>0</v>
      </c>
      <c r="CF366" s="52">
        <f t="shared" si="534"/>
        <v>0</v>
      </c>
      <c r="CG366" s="52">
        <f t="shared" si="535"/>
        <v>0</v>
      </c>
      <c r="CH366" s="52">
        <f t="shared" si="536"/>
        <v>0</v>
      </c>
      <c r="CI366" s="52">
        <f t="shared" si="537"/>
        <v>0</v>
      </c>
      <c r="CJ366" s="52">
        <f t="shared" si="538"/>
        <v>0</v>
      </c>
      <c r="CK366" s="52">
        <f t="shared" si="539"/>
        <v>0</v>
      </c>
      <c r="CL366" s="52">
        <f t="shared" si="540"/>
        <v>0</v>
      </c>
      <c r="CM366" s="52">
        <f t="shared" si="541"/>
        <v>0</v>
      </c>
      <c r="CN366" s="52">
        <f t="shared" si="542"/>
        <v>0</v>
      </c>
      <c r="CO366" s="52">
        <f t="shared" si="543"/>
        <v>0</v>
      </c>
      <c r="CP366" s="52">
        <f t="shared" si="578"/>
        <v>0</v>
      </c>
      <c r="CQ366" s="52">
        <f t="shared" si="544"/>
        <v>0</v>
      </c>
      <c r="CR366" s="52">
        <f t="shared" si="545"/>
        <v>0</v>
      </c>
      <c r="CS366" s="52">
        <f t="shared" si="546"/>
        <v>0</v>
      </c>
      <c r="CT366" s="52">
        <f t="shared" si="547"/>
        <v>0</v>
      </c>
      <c r="CU366" s="52">
        <f t="shared" si="548"/>
        <v>0</v>
      </c>
      <c r="CV366" s="52">
        <f t="shared" si="549"/>
        <v>0</v>
      </c>
      <c r="CW366" s="52">
        <f t="shared" si="550"/>
        <v>0</v>
      </c>
    </row>
    <row r="367" spans="1:101">
      <c r="A367" s="60">
        <v>45289</v>
      </c>
      <c r="B367" s="426"/>
      <c r="Z367" s="77"/>
      <c r="AB367">
        <f t="shared" si="576"/>
        <v>0</v>
      </c>
      <c r="AC367">
        <f t="shared" si="553"/>
        <v>0</v>
      </c>
      <c r="AD367">
        <f t="shared" si="554"/>
        <v>0</v>
      </c>
      <c r="AE367">
        <f t="shared" si="555"/>
        <v>0</v>
      </c>
      <c r="AF367">
        <f t="shared" si="556"/>
        <v>0</v>
      </c>
      <c r="AG367">
        <f t="shared" si="557"/>
        <v>0</v>
      </c>
      <c r="AH367">
        <f t="shared" si="558"/>
        <v>0</v>
      </c>
      <c r="AI367">
        <f t="shared" si="559"/>
        <v>0</v>
      </c>
      <c r="AJ367">
        <f t="shared" si="560"/>
        <v>0</v>
      </c>
      <c r="AK367">
        <f t="shared" si="561"/>
        <v>0</v>
      </c>
      <c r="AL367">
        <f t="shared" si="562"/>
        <v>0</v>
      </c>
      <c r="AM367">
        <f t="shared" si="563"/>
        <v>0</v>
      </c>
      <c r="AN367">
        <f t="shared" si="564"/>
        <v>0</v>
      </c>
      <c r="AO367">
        <f t="shared" si="565"/>
        <v>0</v>
      </c>
      <c r="AP367">
        <f t="shared" si="566"/>
        <v>0</v>
      </c>
      <c r="AQ367">
        <f t="shared" si="567"/>
        <v>0</v>
      </c>
      <c r="AR367">
        <f t="shared" si="568"/>
        <v>0</v>
      </c>
      <c r="AS367">
        <f t="shared" si="569"/>
        <v>0</v>
      </c>
      <c r="AT367">
        <f t="shared" si="570"/>
        <v>0</v>
      </c>
      <c r="AU367">
        <f t="shared" si="571"/>
        <v>0</v>
      </c>
      <c r="AV367">
        <f t="shared" si="572"/>
        <v>0</v>
      </c>
      <c r="AW367">
        <f t="shared" si="573"/>
        <v>0</v>
      </c>
      <c r="AX367">
        <f t="shared" si="574"/>
        <v>0</v>
      </c>
      <c r="AY367">
        <f t="shared" si="527"/>
        <v>0</v>
      </c>
      <c r="BA367">
        <f t="shared" si="588"/>
        <v>0</v>
      </c>
      <c r="BB367">
        <f t="shared" si="589"/>
        <v>0</v>
      </c>
      <c r="BC367">
        <f t="shared" si="590"/>
        <v>0</v>
      </c>
      <c r="BD367">
        <f t="shared" si="591"/>
        <v>0</v>
      </c>
      <c r="BE367">
        <f t="shared" si="592"/>
        <v>0</v>
      </c>
      <c r="BF367">
        <f t="shared" si="593"/>
        <v>0</v>
      </c>
      <c r="BG367">
        <f t="shared" si="594"/>
        <v>0</v>
      </c>
      <c r="BH367">
        <f t="shared" si="595"/>
        <v>0</v>
      </c>
      <c r="BI367">
        <f t="shared" si="596"/>
        <v>0</v>
      </c>
      <c r="BJ367">
        <f t="shared" si="597"/>
        <v>0</v>
      </c>
      <c r="BK367">
        <f t="shared" si="598"/>
        <v>0</v>
      </c>
      <c r="BL367">
        <f t="shared" si="599"/>
        <v>0</v>
      </c>
      <c r="BM367">
        <f t="shared" si="600"/>
        <v>0</v>
      </c>
      <c r="BN367">
        <f t="shared" si="601"/>
        <v>0</v>
      </c>
      <c r="BO367">
        <f t="shared" si="602"/>
        <v>0</v>
      </c>
      <c r="BP367">
        <f t="shared" si="579"/>
        <v>0</v>
      </c>
      <c r="BQ367">
        <f t="shared" si="580"/>
        <v>0</v>
      </c>
      <c r="BR367">
        <f t="shared" si="581"/>
        <v>0</v>
      </c>
      <c r="BS367">
        <f t="shared" si="582"/>
        <v>0</v>
      </c>
      <c r="BT367">
        <f t="shared" si="583"/>
        <v>0</v>
      </c>
      <c r="BU367">
        <f t="shared" si="584"/>
        <v>0</v>
      </c>
      <c r="BV367">
        <f t="shared" si="585"/>
        <v>0</v>
      </c>
      <c r="BW367">
        <f t="shared" si="586"/>
        <v>0</v>
      </c>
      <c r="BX367">
        <f t="shared" si="587"/>
        <v>0</v>
      </c>
      <c r="BZ367">
        <f t="shared" si="577"/>
        <v>0</v>
      </c>
      <c r="CA367">
        <f t="shared" si="529"/>
        <v>0</v>
      </c>
      <c r="CB367">
        <f t="shared" si="530"/>
        <v>0</v>
      </c>
      <c r="CC367">
        <f t="shared" si="531"/>
        <v>0</v>
      </c>
      <c r="CD367">
        <f t="shared" si="532"/>
        <v>0</v>
      </c>
      <c r="CE367">
        <f t="shared" si="533"/>
        <v>0</v>
      </c>
      <c r="CF367">
        <f t="shared" si="534"/>
        <v>0</v>
      </c>
      <c r="CG367">
        <f t="shared" si="535"/>
        <v>0</v>
      </c>
      <c r="CH367">
        <f t="shared" si="536"/>
        <v>0</v>
      </c>
      <c r="CI367">
        <f t="shared" si="537"/>
        <v>0</v>
      </c>
      <c r="CJ367">
        <f t="shared" si="538"/>
        <v>0</v>
      </c>
      <c r="CK367">
        <f t="shared" si="539"/>
        <v>0</v>
      </c>
      <c r="CL367">
        <f t="shared" si="540"/>
        <v>0</v>
      </c>
      <c r="CM367">
        <f t="shared" si="541"/>
        <v>0</v>
      </c>
      <c r="CN367">
        <f t="shared" si="542"/>
        <v>0</v>
      </c>
      <c r="CO367">
        <f t="shared" si="543"/>
        <v>0</v>
      </c>
      <c r="CP367">
        <f t="shared" si="578"/>
        <v>0</v>
      </c>
      <c r="CQ367">
        <f t="shared" si="544"/>
        <v>0</v>
      </c>
      <c r="CR367">
        <f t="shared" si="545"/>
        <v>0</v>
      </c>
      <c r="CS367">
        <f t="shared" si="546"/>
        <v>0</v>
      </c>
      <c r="CT367">
        <f t="shared" si="547"/>
        <v>0</v>
      </c>
      <c r="CU367">
        <f t="shared" si="548"/>
        <v>0</v>
      </c>
      <c r="CV367">
        <f t="shared" si="549"/>
        <v>0</v>
      </c>
      <c r="CW367">
        <f t="shared" si="550"/>
        <v>0</v>
      </c>
    </row>
    <row r="368" spans="1:101">
      <c r="A368" s="60">
        <v>45290</v>
      </c>
      <c r="B368" s="426"/>
      <c r="Z368" s="77"/>
      <c r="AB368" s="52">
        <f t="shared" si="576"/>
        <v>0</v>
      </c>
      <c r="AC368" s="52">
        <f t="shared" si="553"/>
        <v>0</v>
      </c>
      <c r="AD368" s="52">
        <f t="shared" si="554"/>
        <v>0</v>
      </c>
      <c r="AE368" s="52">
        <f t="shared" si="555"/>
        <v>0</v>
      </c>
      <c r="AF368" s="52">
        <f t="shared" si="556"/>
        <v>0</v>
      </c>
      <c r="AG368" s="52">
        <f t="shared" si="557"/>
        <v>0</v>
      </c>
      <c r="AH368" s="52">
        <f t="shared" si="558"/>
        <v>0</v>
      </c>
      <c r="AI368" s="52">
        <f t="shared" si="559"/>
        <v>0</v>
      </c>
      <c r="AJ368" s="52">
        <f t="shared" si="560"/>
        <v>0</v>
      </c>
      <c r="AK368" s="52">
        <f t="shared" si="561"/>
        <v>0</v>
      </c>
      <c r="AL368" s="52">
        <f t="shared" si="562"/>
        <v>0</v>
      </c>
      <c r="AM368" s="52">
        <f t="shared" si="563"/>
        <v>0</v>
      </c>
      <c r="AN368" s="52">
        <f t="shared" si="564"/>
        <v>0</v>
      </c>
      <c r="AO368" s="52">
        <f t="shared" si="565"/>
        <v>0</v>
      </c>
      <c r="AP368" s="52">
        <f t="shared" si="566"/>
        <v>0</v>
      </c>
      <c r="AQ368" s="52">
        <f t="shared" si="567"/>
        <v>0</v>
      </c>
      <c r="AR368" s="52">
        <f t="shared" si="568"/>
        <v>0</v>
      </c>
      <c r="AS368" s="52">
        <f t="shared" si="569"/>
        <v>0</v>
      </c>
      <c r="AT368" s="52">
        <f t="shared" si="570"/>
        <v>0</v>
      </c>
      <c r="AU368" s="52">
        <f t="shared" si="571"/>
        <v>0</v>
      </c>
      <c r="AV368" s="52">
        <f t="shared" si="572"/>
        <v>0</v>
      </c>
      <c r="AW368" s="52">
        <f t="shared" si="573"/>
        <v>0</v>
      </c>
      <c r="AX368" s="52">
        <f t="shared" si="574"/>
        <v>0</v>
      </c>
      <c r="AY368" s="52">
        <f t="shared" si="527"/>
        <v>0</v>
      </c>
      <c r="BA368" s="52">
        <f t="shared" si="588"/>
        <v>0</v>
      </c>
      <c r="BB368" s="52">
        <f t="shared" si="589"/>
        <v>0</v>
      </c>
      <c r="BC368" s="52">
        <f t="shared" si="590"/>
        <v>0</v>
      </c>
      <c r="BD368" s="52">
        <f t="shared" si="591"/>
        <v>0</v>
      </c>
      <c r="BE368" s="52">
        <f t="shared" si="592"/>
        <v>0</v>
      </c>
      <c r="BF368" s="52">
        <f t="shared" si="593"/>
        <v>0</v>
      </c>
      <c r="BG368" s="52">
        <f t="shared" si="594"/>
        <v>0</v>
      </c>
      <c r="BH368" s="52">
        <f t="shared" si="595"/>
        <v>0</v>
      </c>
      <c r="BI368" s="52">
        <f t="shared" si="596"/>
        <v>0</v>
      </c>
      <c r="BJ368" s="52">
        <f t="shared" si="597"/>
        <v>0</v>
      </c>
      <c r="BK368" s="52">
        <f t="shared" si="598"/>
        <v>0</v>
      </c>
      <c r="BL368" s="52">
        <f t="shared" si="599"/>
        <v>0</v>
      </c>
      <c r="BM368" s="52">
        <f t="shared" si="600"/>
        <v>0</v>
      </c>
      <c r="BN368" s="52">
        <f t="shared" si="601"/>
        <v>0</v>
      </c>
      <c r="BO368" s="52">
        <f t="shared" si="602"/>
        <v>0</v>
      </c>
      <c r="BP368" s="52">
        <f t="shared" si="579"/>
        <v>0</v>
      </c>
      <c r="BQ368" s="52">
        <f t="shared" si="580"/>
        <v>0</v>
      </c>
      <c r="BR368" s="52">
        <f t="shared" si="581"/>
        <v>0</v>
      </c>
      <c r="BS368" s="52">
        <f t="shared" si="582"/>
        <v>0</v>
      </c>
      <c r="BT368" s="52">
        <f t="shared" si="583"/>
        <v>0</v>
      </c>
      <c r="BU368" s="52">
        <f t="shared" si="584"/>
        <v>0</v>
      </c>
      <c r="BV368" s="52">
        <f t="shared" si="585"/>
        <v>0</v>
      </c>
      <c r="BW368" s="52">
        <f t="shared" si="586"/>
        <v>0</v>
      </c>
      <c r="BX368" s="52">
        <f t="shared" si="587"/>
        <v>0</v>
      </c>
      <c r="BZ368" s="52">
        <f t="shared" si="577"/>
        <v>0</v>
      </c>
      <c r="CA368" s="52">
        <f t="shared" si="529"/>
        <v>0</v>
      </c>
      <c r="CB368" s="52">
        <f t="shared" si="530"/>
        <v>0</v>
      </c>
      <c r="CC368" s="52">
        <f t="shared" si="531"/>
        <v>0</v>
      </c>
      <c r="CD368" s="52">
        <f t="shared" si="532"/>
        <v>0</v>
      </c>
      <c r="CE368" s="52">
        <f t="shared" si="533"/>
        <v>0</v>
      </c>
      <c r="CF368" s="52">
        <f t="shared" si="534"/>
        <v>0</v>
      </c>
      <c r="CG368" s="52">
        <f t="shared" si="535"/>
        <v>0</v>
      </c>
      <c r="CH368" s="52">
        <f t="shared" si="536"/>
        <v>0</v>
      </c>
      <c r="CI368" s="52">
        <f t="shared" si="537"/>
        <v>0</v>
      </c>
      <c r="CJ368" s="52">
        <f t="shared" si="538"/>
        <v>0</v>
      </c>
      <c r="CK368" s="52">
        <f t="shared" si="539"/>
        <v>0</v>
      </c>
      <c r="CL368" s="52">
        <f t="shared" si="540"/>
        <v>0</v>
      </c>
      <c r="CM368" s="52">
        <f t="shared" si="541"/>
        <v>0</v>
      </c>
      <c r="CN368" s="52">
        <f t="shared" si="542"/>
        <v>0</v>
      </c>
      <c r="CO368" s="52">
        <f t="shared" si="543"/>
        <v>0</v>
      </c>
      <c r="CP368" s="52">
        <f t="shared" si="578"/>
        <v>0</v>
      </c>
      <c r="CQ368" s="52">
        <f t="shared" si="544"/>
        <v>0</v>
      </c>
      <c r="CR368" s="52">
        <f t="shared" si="545"/>
        <v>0</v>
      </c>
      <c r="CS368" s="52">
        <f t="shared" si="546"/>
        <v>0</v>
      </c>
      <c r="CT368" s="52">
        <f t="shared" si="547"/>
        <v>0</v>
      </c>
      <c r="CU368" s="52">
        <f t="shared" si="548"/>
        <v>0</v>
      </c>
      <c r="CV368" s="52">
        <f t="shared" si="549"/>
        <v>0</v>
      </c>
      <c r="CW368" s="52">
        <f t="shared" si="550"/>
        <v>0</v>
      </c>
    </row>
    <row r="369" spans="1:102">
      <c r="A369" s="62">
        <v>45291</v>
      </c>
      <c r="B369" s="427"/>
      <c r="C369" s="428"/>
      <c r="D369" s="428"/>
      <c r="E369" s="428"/>
      <c r="F369" s="428"/>
      <c r="G369" s="428"/>
      <c r="H369" s="428"/>
      <c r="I369" s="428"/>
      <c r="J369" s="428"/>
      <c r="K369" s="428"/>
      <c r="L369" s="428"/>
      <c r="M369" s="428"/>
      <c r="N369" s="428"/>
      <c r="O369" s="428"/>
      <c r="P369" s="428"/>
      <c r="Q369" s="428"/>
      <c r="R369" s="428"/>
      <c r="S369" s="428"/>
      <c r="T369" s="428"/>
      <c r="U369" s="428"/>
      <c r="V369" s="428"/>
      <c r="W369" s="428"/>
      <c r="X369" s="428"/>
      <c r="Y369" s="428"/>
      <c r="Z369" s="78"/>
      <c r="AB369">
        <f t="shared" si="576"/>
        <v>0</v>
      </c>
      <c r="AC369">
        <f t="shared" si="553"/>
        <v>0</v>
      </c>
      <c r="AD369">
        <f t="shared" si="554"/>
        <v>0</v>
      </c>
      <c r="AE369">
        <f t="shared" si="555"/>
        <v>0</v>
      </c>
      <c r="AF369">
        <f t="shared" si="556"/>
        <v>0</v>
      </c>
      <c r="AG369">
        <f t="shared" si="557"/>
        <v>0</v>
      </c>
      <c r="AH369">
        <f t="shared" si="558"/>
        <v>0</v>
      </c>
      <c r="AI369">
        <f t="shared" si="559"/>
        <v>0</v>
      </c>
      <c r="AJ369">
        <f t="shared" si="560"/>
        <v>0</v>
      </c>
      <c r="AK369">
        <f t="shared" si="561"/>
        <v>0</v>
      </c>
      <c r="AL369">
        <f t="shared" si="562"/>
        <v>0</v>
      </c>
      <c r="AM369">
        <f t="shared" si="563"/>
        <v>0</v>
      </c>
      <c r="AN369">
        <f t="shared" si="564"/>
        <v>0</v>
      </c>
      <c r="AO369">
        <f t="shared" si="565"/>
        <v>0</v>
      </c>
      <c r="AP369">
        <f t="shared" si="566"/>
        <v>0</v>
      </c>
      <c r="AQ369">
        <f t="shared" si="567"/>
        <v>0</v>
      </c>
      <c r="AR369">
        <f t="shared" si="568"/>
        <v>0</v>
      </c>
      <c r="AS369">
        <f t="shared" si="569"/>
        <v>0</v>
      </c>
      <c r="AT369">
        <f t="shared" si="570"/>
        <v>0</v>
      </c>
      <c r="AU369">
        <f t="shared" si="571"/>
        <v>0</v>
      </c>
      <c r="AV369">
        <f t="shared" si="572"/>
        <v>0</v>
      </c>
      <c r="AW369">
        <f t="shared" si="573"/>
        <v>0</v>
      </c>
      <c r="AX369">
        <f t="shared" si="574"/>
        <v>0</v>
      </c>
      <c r="AY369">
        <f t="shared" si="527"/>
        <v>0</v>
      </c>
      <c r="BA369">
        <f t="shared" si="588"/>
        <v>0</v>
      </c>
      <c r="BB369">
        <f t="shared" si="589"/>
        <v>0</v>
      </c>
      <c r="BC369">
        <f t="shared" si="590"/>
        <v>0</v>
      </c>
      <c r="BD369">
        <f t="shared" si="591"/>
        <v>0</v>
      </c>
      <c r="BE369">
        <f t="shared" si="592"/>
        <v>0</v>
      </c>
      <c r="BF369">
        <f t="shared" si="593"/>
        <v>0</v>
      </c>
      <c r="BG369">
        <f t="shared" si="594"/>
        <v>0</v>
      </c>
      <c r="BH369">
        <f t="shared" si="595"/>
        <v>0</v>
      </c>
      <c r="BI369">
        <f t="shared" si="596"/>
        <v>0</v>
      </c>
      <c r="BJ369">
        <f t="shared" si="597"/>
        <v>0</v>
      </c>
      <c r="BK369">
        <f t="shared" si="598"/>
        <v>0</v>
      </c>
      <c r="BL369">
        <f t="shared" si="599"/>
        <v>0</v>
      </c>
      <c r="BM369">
        <f t="shared" si="600"/>
        <v>0</v>
      </c>
      <c r="BN369">
        <f t="shared" si="601"/>
        <v>0</v>
      </c>
      <c r="BO369">
        <f t="shared" si="602"/>
        <v>0</v>
      </c>
      <c r="BP369">
        <f t="shared" si="579"/>
        <v>0</v>
      </c>
      <c r="BQ369">
        <f t="shared" si="580"/>
        <v>0</v>
      </c>
      <c r="BR369">
        <f t="shared" si="581"/>
        <v>0</v>
      </c>
      <c r="BS369">
        <f t="shared" si="582"/>
        <v>0</v>
      </c>
      <c r="BT369">
        <f t="shared" si="583"/>
        <v>0</v>
      </c>
      <c r="BU369">
        <f t="shared" si="584"/>
        <v>0</v>
      </c>
      <c r="BV369">
        <f t="shared" si="585"/>
        <v>0</v>
      </c>
      <c r="BW369">
        <f t="shared" si="586"/>
        <v>0</v>
      </c>
      <c r="BX369">
        <f t="shared" si="587"/>
        <v>0</v>
      </c>
      <c r="BZ369">
        <f>+BA369-BX368</f>
        <v>0</v>
      </c>
      <c r="CA369">
        <f t="shared" si="529"/>
        <v>0</v>
      </c>
      <c r="CB369">
        <f t="shared" si="530"/>
        <v>0</v>
      </c>
      <c r="CC369">
        <f t="shared" si="531"/>
        <v>0</v>
      </c>
      <c r="CD369">
        <f t="shared" si="532"/>
        <v>0</v>
      </c>
      <c r="CE369">
        <f t="shared" si="533"/>
        <v>0</v>
      </c>
      <c r="CF369">
        <f t="shared" si="534"/>
        <v>0</v>
      </c>
      <c r="CG369">
        <f t="shared" si="535"/>
        <v>0</v>
      </c>
      <c r="CH369">
        <f t="shared" si="536"/>
        <v>0</v>
      </c>
      <c r="CI369">
        <f t="shared" si="537"/>
        <v>0</v>
      </c>
      <c r="CJ369">
        <f t="shared" si="538"/>
        <v>0</v>
      </c>
      <c r="CK369">
        <f t="shared" si="539"/>
        <v>0</v>
      </c>
      <c r="CL369">
        <f t="shared" si="540"/>
        <v>0</v>
      </c>
      <c r="CM369">
        <f t="shared" si="541"/>
        <v>0</v>
      </c>
      <c r="CN369">
        <f t="shared" si="542"/>
        <v>0</v>
      </c>
      <c r="CO369">
        <f t="shared" si="543"/>
        <v>0</v>
      </c>
      <c r="CP369">
        <f t="shared" si="578"/>
        <v>0</v>
      </c>
      <c r="CQ369">
        <f t="shared" si="544"/>
        <v>0</v>
      </c>
      <c r="CR369">
        <f t="shared" si="545"/>
        <v>0</v>
      </c>
      <c r="CS369">
        <f t="shared" si="546"/>
        <v>0</v>
      </c>
      <c r="CT369">
        <f t="shared" si="547"/>
        <v>0</v>
      </c>
      <c r="CU369">
        <f t="shared" si="548"/>
        <v>0</v>
      </c>
      <c r="CV369">
        <f t="shared" si="549"/>
        <v>0</v>
      </c>
      <c r="CW369">
        <f t="shared" si="550"/>
        <v>0</v>
      </c>
    </row>
    <row r="370" spans="1:102">
      <c r="AB370" s="157">
        <f t="shared" si="576"/>
        <v>0</v>
      </c>
      <c r="AC370" s="157">
        <f t="shared" si="553"/>
        <v>0</v>
      </c>
      <c r="AD370" s="157">
        <f t="shared" si="554"/>
        <v>0</v>
      </c>
      <c r="AE370" s="157">
        <f t="shared" si="555"/>
        <v>0</v>
      </c>
      <c r="AF370" s="157">
        <f t="shared" si="556"/>
        <v>0</v>
      </c>
      <c r="AG370" s="157">
        <f t="shared" si="557"/>
        <v>0</v>
      </c>
      <c r="AH370" s="157">
        <f t="shared" si="558"/>
        <v>0</v>
      </c>
      <c r="AI370" s="157">
        <f t="shared" si="559"/>
        <v>0</v>
      </c>
      <c r="AJ370" s="157">
        <f t="shared" si="560"/>
        <v>0</v>
      </c>
      <c r="AK370" s="157">
        <f t="shared" si="561"/>
        <v>0</v>
      </c>
      <c r="AL370" s="157">
        <f t="shared" si="562"/>
        <v>0</v>
      </c>
      <c r="AM370" s="157">
        <f t="shared" si="563"/>
        <v>0</v>
      </c>
      <c r="AN370" s="157">
        <f t="shared" si="564"/>
        <v>0</v>
      </c>
      <c r="AO370" s="157">
        <f t="shared" si="565"/>
        <v>0</v>
      </c>
      <c r="AP370" s="157">
        <f t="shared" si="566"/>
        <v>0</v>
      </c>
      <c r="AQ370" s="157">
        <f t="shared" si="567"/>
        <v>0</v>
      </c>
      <c r="AR370" s="157">
        <f t="shared" si="568"/>
        <v>0</v>
      </c>
      <c r="AS370" s="157">
        <f t="shared" si="569"/>
        <v>0</v>
      </c>
      <c r="AT370" s="157">
        <f t="shared" si="570"/>
        <v>0</v>
      </c>
      <c r="AU370" s="157">
        <f t="shared" si="571"/>
        <v>0</v>
      </c>
      <c r="AV370" s="157">
        <f t="shared" si="572"/>
        <v>0</v>
      </c>
      <c r="AW370" s="157">
        <f t="shared" si="573"/>
        <v>0</v>
      </c>
      <c r="AX370" s="157">
        <f t="shared" si="574"/>
        <v>0</v>
      </c>
      <c r="AY370" s="157">
        <f t="shared" si="527"/>
        <v>0</v>
      </c>
      <c r="AZ370" s="63">
        <f>+SUM(AB339:AY369)</f>
        <v>0</v>
      </c>
      <c r="BA370" s="54">
        <f t="shared" si="588"/>
        <v>0</v>
      </c>
      <c r="BB370" s="54">
        <f t="shared" si="589"/>
        <v>0</v>
      </c>
      <c r="BC370" s="54">
        <f t="shared" si="590"/>
        <v>0</v>
      </c>
      <c r="BD370" s="54">
        <f t="shared" si="591"/>
        <v>0</v>
      </c>
      <c r="BE370" s="54">
        <f t="shared" si="592"/>
        <v>0</v>
      </c>
      <c r="BF370" s="54">
        <f t="shared" si="593"/>
        <v>0</v>
      </c>
      <c r="BG370" s="54">
        <f t="shared" si="594"/>
        <v>0</v>
      </c>
      <c r="BH370" s="54">
        <f t="shared" si="595"/>
        <v>0</v>
      </c>
      <c r="BI370" s="54">
        <f t="shared" si="596"/>
        <v>0</v>
      </c>
      <c r="BJ370" s="54">
        <f t="shared" si="597"/>
        <v>0</v>
      </c>
      <c r="BK370" s="54">
        <f t="shared" si="598"/>
        <v>0</v>
      </c>
      <c r="BL370" s="54">
        <f t="shared" si="599"/>
        <v>0</v>
      </c>
      <c r="BM370" s="54">
        <f t="shared" si="600"/>
        <v>0</v>
      </c>
      <c r="BN370" s="54">
        <f t="shared" si="601"/>
        <v>0</v>
      </c>
      <c r="BO370" s="54">
        <f t="shared" si="602"/>
        <v>0</v>
      </c>
      <c r="BP370" s="54">
        <f t="shared" si="579"/>
        <v>0</v>
      </c>
      <c r="BQ370" s="54">
        <f t="shared" si="580"/>
        <v>0</v>
      </c>
      <c r="BR370" s="54">
        <f t="shared" si="581"/>
        <v>0</v>
      </c>
      <c r="BS370" s="54">
        <f t="shared" si="582"/>
        <v>0</v>
      </c>
      <c r="BT370" s="54">
        <f t="shared" si="583"/>
        <v>0</v>
      </c>
      <c r="BU370" s="54">
        <f t="shared" si="584"/>
        <v>0</v>
      </c>
      <c r="BV370" s="54">
        <f t="shared" si="585"/>
        <v>0</v>
      </c>
      <c r="BW370" s="54">
        <f t="shared" si="586"/>
        <v>0</v>
      </c>
      <c r="BX370" s="54">
        <f t="shared" si="587"/>
        <v>0</v>
      </c>
      <c r="BY370" s="63">
        <f>+SUM(BA340:BX370)</f>
        <v>0</v>
      </c>
      <c r="BZ370" s="54">
        <f>+BA370-BX369</f>
        <v>0</v>
      </c>
      <c r="CA370" s="54">
        <f t="shared" si="529"/>
        <v>0</v>
      </c>
      <c r="CB370" s="54">
        <f t="shared" si="530"/>
        <v>0</v>
      </c>
      <c r="CC370" s="54">
        <f t="shared" si="531"/>
        <v>0</v>
      </c>
      <c r="CD370" s="54">
        <f t="shared" si="532"/>
        <v>0</v>
      </c>
      <c r="CE370" s="54">
        <f t="shared" si="533"/>
        <v>0</v>
      </c>
      <c r="CF370" s="54">
        <f t="shared" si="534"/>
        <v>0</v>
      </c>
      <c r="CG370" s="54">
        <f t="shared" si="535"/>
        <v>0</v>
      </c>
      <c r="CH370" s="54">
        <f t="shared" si="536"/>
        <v>0</v>
      </c>
      <c r="CI370" s="54">
        <f t="shared" si="537"/>
        <v>0</v>
      </c>
      <c r="CJ370" s="54">
        <f t="shared" si="538"/>
        <v>0</v>
      </c>
      <c r="CK370" s="54">
        <f t="shared" si="539"/>
        <v>0</v>
      </c>
      <c r="CL370" s="54">
        <f t="shared" si="540"/>
        <v>0</v>
      </c>
      <c r="CM370" s="54">
        <f t="shared" si="541"/>
        <v>0</v>
      </c>
      <c r="CN370" s="54">
        <f t="shared" si="542"/>
        <v>0</v>
      </c>
      <c r="CO370" s="54">
        <f t="shared" si="543"/>
        <v>0</v>
      </c>
      <c r="CP370" s="54">
        <f t="shared" si="578"/>
        <v>0</v>
      </c>
      <c r="CQ370" s="54">
        <f t="shared" si="544"/>
        <v>0</v>
      </c>
      <c r="CR370" s="54">
        <f t="shared" si="545"/>
        <v>0</v>
      </c>
      <c r="CS370" s="54">
        <f t="shared" si="546"/>
        <v>0</v>
      </c>
      <c r="CT370" s="54">
        <f t="shared" si="547"/>
        <v>0</v>
      </c>
      <c r="CU370" s="54">
        <f t="shared" si="548"/>
        <v>0</v>
      </c>
      <c r="CV370" s="54">
        <f t="shared" si="549"/>
        <v>0</v>
      </c>
      <c r="CW370" s="54">
        <f t="shared" si="550"/>
        <v>0</v>
      </c>
      <c r="CX370" s="63">
        <f>+SUMIF(BZ340:CW370,"&gt;0")</f>
        <v>0</v>
      </c>
    </row>
  </sheetData>
  <mergeCells count="3">
    <mergeCell ref="AB2:AY2"/>
    <mergeCell ref="BA2:BX2"/>
    <mergeCell ref="BZ2:CW2"/>
  </mergeCells>
  <pageMargins left="0.7" right="0.7" top="0.75" bottom="0.75" header="0.3" footer="0.3"/>
  <pageSetup orientation="portrait" horizontalDpi="300" verticalDpi="300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7"/>
  <dimension ref="A1:J367"/>
  <sheetViews>
    <sheetView topLeftCell="C1" workbookViewId="0">
      <selection activeCell="F1" sqref="F1"/>
    </sheetView>
  </sheetViews>
  <sheetFormatPr defaultColWidth="11.42578125" defaultRowHeight="15"/>
  <cols>
    <col min="1" max="1" width="16.85546875" bestFit="1" customWidth="1"/>
    <col min="2" max="2" width="26.85546875" bestFit="1" customWidth="1"/>
    <col min="3" max="4" width="38.42578125" bestFit="1" customWidth="1"/>
    <col min="6" max="6" width="19.140625" customWidth="1"/>
    <col min="7" max="7" width="23.42578125" bestFit="1" customWidth="1"/>
  </cols>
  <sheetData>
    <row r="1" spans="1:10" ht="30">
      <c r="A1" s="304" t="s">
        <v>84</v>
      </c>
      <c r="B1" s="5" t="s">
        <v>85</v>
      </c>
      <c r="C1" t="s">
        <v>86</v>
      </c>
      <c r="F1" s="152" t="s">
        <v>85</v>
      </c>
      <c r="G1" s="152" t="s">
        <v>58</v>
      </c>
    </row>
    <row r="2" spans="1:10">
      <c r="A2" s="99">
        <v>44927</v>
      </c>
      <c r="B2" s="35">
        <v>5137.3</v>
      </c>
      <c r="C2" s="35">
        <v>433014.3</v>
      </c>
      <c r="E2" s="172">
        <f>A2</f>
        <v>44927</v>
      </c>
      <c r="F2" s="34">
        <f>VLOOKUP(E2,$A$2:C179,2,0)/1000</f>
        <v>5.1372999999999998</v>
      </c>
      <c r="G2" s="153">
        <f>VLOOKUP(E2,$A$2:C179,3,0)/1000</f>
        <v>433.01429999999999</v>
      </c>
    </row>
    <row r="3" spans="1:10">
      <c r="A3" s="99">
        <v>44928</v>
      </c>
      <c r="B3" s="35">
        <v>3809.5</v>
      </c>
      <c r="C3" s="35">
        <v>878124.79999999981</v>
      </c>
      <c r="E3" s="172">
        <f t="shared" ref="E3:E66" si="0">A3</f>
        <v>44928</v>
      </c>
      <c r="F3" s="34">
        <f>VLOOKUP(E3,$A$2:C180,2,0)/1000</f>
        <v>3.8094999999999999</v>
      </c>
      <c r="G3" s="153">
        <f>VLOOKUP(E3,$A$2:C180,3,0)/1000</f>
        <v>878.12479999999982</v>
      </c>
    </row>
    <row r="4" spans="1:10">
      <c r="A4" s="99">
        <v>44929</v>
      </c>
      <c r="B4" s="35">
        <v>0</v>
      </c>
      <c r="C4" s="35">
        <v>1282146.5</v>
      </c>
      <c r="E4" s="172">
        <f t="shared" si="0"/>
        <v>44929</v>
      </c>
      <c r="F4" s="34">
        <f>VLOOKUP(E4,$A$2:C181,2,0)/1000</f>
        <v>0</v>
      </c>
      <c r="G4" s="153">
        <f>VLOOKUP(E4,$A$2:C181,3,0)/1000</f>
        <v>1282.1465000000001</v>
      </c>
    </row>
    <row r="5" spans="1:10">
      <c r="A5" s="99">
        <v>44930</v>
      </c>
      <c r="B5" s="35">
        <v>0</v>
      </c>
      <c r="C5" s="35">
        <v>1276481.3</v>
      </c>
      <c r="E5" s="172">
        <f t="shared" si="0"/>
        <v>44930</v>
      </c>
      <c r="F5" s="34">
        <f>VLOOKUP(E5,$A$2:C182,2,0)/1000</f>
        <v>0</v>
      </c>
      <c r="G5" s="153">
        <f>VLOOKUP(E5,$A$2:C182,3,0)/1000</f>
        <v>1276.4813000000001</v>
      </c>
    </row>
    <row r="6" spans="1:10">
      <c r="A6" s="99">
        <v>44931</v>
      </c>
      <c r="B6" s="35">
        <v>0</v>
      </c>
      <c r="C6" s="35">
        <v>1261885.5</v>
      </c>
      <c r="E6" s="172">
        <f t="shared" si="0"/>
        <v>44931</v>
      </c>
      <c r="F6" s="34">
        <f>VLOOKUP(E6,$A$2:C183,2,0)/1000</f>
        <v>0</v>
      </c>
      <c r="G6" s="153">
        <f>VLOOKUP(E6,$A$2:C183,3,0)/1000</f>
        <v>1261.8855000000001</v>
      </c>
    </row>
    <row r="7" spans="1:10">
      <c r="A7" s="99">
        <v>44932</v>
      </c>
      <c r="B7" s="35">
        <v>0</v>
      </c>
      <c r="C7" s="35">
        <v>1267991.0000000002</v>
      </c>
      <c r="E7" s="172">
        <f t="shared" si="0"/>
        <v>44932</v>
      </c>
      <c r="F7" s="34">
        <f>VLOOKUP(E7,$A$2:C184,2,0)/1000</f>
        <v>0</v>
      </c>
      <c r="G7" s="153">
        <f>VLOOKUP(E7,$A$2:C184,3,0)/1000</f>
        <v>1267.9910000000002</v>
      </c>
    </row>
    <row r="8" spans="1:10">
      <c r="A8" s="99">
        <v>44933</v>
      </c>
      <c r="B8" s="35">
        <v>996.3</v>
      </c>
      <c r="C8" s="35">
        <v>1277588.4000000004</v>
      </c>
      <c r="E8" s="172">
        <f t="shared" si="0"/>
        <v>44933</v>
      </c>
      <c r="F8" s="34">
        <f>VLOOKUP(E8,$A$2:C185,2,0)/1000</f>
        <v>0.99629999999999996</v>
      </c>
      <c r="G8" s="153">
        <f>VLOOKUP(E8,$A$2:C185,3,0)/1000</f>
        <v>1277.5884000000003</v>
      </c>
    </row>
    <row r="9" spans="1:10">
      <c r="A9" s="99">
        <v>44934</v>
      </c>
      <c r="B9" s="35">
        <v>2640.4</v>
      </c>
      <c r="C9" s="35">
        <v>986968.3</v>
      </c>
      <c r="E9" s="172">
        <f t="shared" si="0"/>
        <v>44934</v>
      </c>
      <c r="F9" s="34">
        <f>VLOOKUP(E9,$A$2:C186,2,0)/1000</f>
        <v>2.6404000000000001</v>
      </c>
      <c r="G9" s="153">
        <f>VLOOKUP(E9,$A$2:C186,3,0)/1000</f>
        <v>986.9683</v>
      </c>
    </row>
    <row r="10" spans="1:10">
      <c r="A10" s="99">
        <v>44935</v>
      </c>
      <c r="B10" s="35">
        <v>835.90000000000009</v>
      </c>
      <c r="C10" s="35">
        <v>1281640.7</v>
      </c>
      <c r="E10" s="172">
        <f t="shared" si="0"/>
        <v>44935</v>
      </c>
      <c r="F10" s="34">
        <f>VLOOKUP(E10,$A$2:C187,2,0)/1000</f>
        <v>0.83590000000000009</v>
      </c>
      <c r="G10" s="153">
        <f>VLOOKUP(E10,$A$2:C187,3,0)/1000</f>
        <v>1281.6406999999999</v>
      </c>
    </row>
    <row r="11" spans="1:10">
      <c r="A11" s="99">
        <v>44936</v>
      </c>
      <c r="B11" s="35">
        <v>0</v>
      </c>
      <c r="C11" s="35">
        <v>1500813.9</v>
      </c>
      <c r="E11" s="172">
        <f t="shared" si="0"/>
        <v>44936</v>
      </c>
      <c r="F11" s="34">
        <f>VLOOKUP(E11,$A$2:C188,2,0)/1000</f>
        <v>0</v>
      </c>
      <c r="G11" s="153">
        <f>VLOOKUP(E11,$A$2:C188,3,0)/1000</f>
        <v>1500.8138999999999</v>
      </c>
    </row>
    <row r="12" spans="1:10">
      <c r="A12" s="99">
        <v>44937</v>
      </c>
      <c r="B12" s="35">
        <v>0</v>
      </c>
      <c r="C12" s="35">
        <v>1270496.7</v>
      </c>
      <c r="E12" s="172">
        <f t="shared" si="0"/>
        <v>44937</v>
      </c>
      <c r="F12" s="34">
        <f>VLOOKUP(E12,$A$2:C189,2,0)/1000</f>
        <v>0</v>
      </c>
      <c r="G12" s="153">
        <f>VLOOKUP(E12,$A$2:C189,3,0)/1000</f>
        <v>1270.4966999999999</v>
      </c>
    </row>
    <row r="13" spans="1:10">
      <c r="A13" s="99">
        <v>44938</v>
      </c>
      <c r="B13" s="35">
        <v>0</v>
      </c>
      <c r="C13" s="35">
        <v>1277533.6000000001</v>
      </c>
      <c r="E13" s="172">
        <f t="shared" si="0"/>
        <v>44938</v>
      </c>
      <c r="F13" s="34">
        <f>VLOOKUP(E13,$A$2:C190,2,0)/1000</f>
        <v>0</v>
      </c>
      <c r="G13" s="153">
        <f>VLOOKUP(E13,$A$2:C190,3,0)/1000</f>
        <v>1277.5336000000002</v>
      </c>
    </row>
    <row r="14" spans="1:10">
      <c r="A14" s="99">
        <v>44939</v>
      </c>
      <c r="B14" s="35">
        <v>0</v>
      </c>
      <c r="C14" s="35">
        <v>1285123.9999999998</v>
      </c>
      <c r="E14" s="172">
        <f t="shared" si="0"/>
        <v>44939</v>
      </c>
      <c r="F14" s="34">
        <f>VLOOKUP(E14,$A$2:C191,2,0)/1000</f>
        <v>0</v>
      </c>
      <c r="G14" s="153">
        <f>VLOOKUP(E14,$A$2:C191,3,0)/1000</f>
        <v>1285.1239999999998</v>
      </c>
    </row>
    <row r="15" spans="1:10">
      <c r="A15" s="99">
        <v>44940</v>
      </c>
      <c r="B15" s="35">
        <v>0</v>
      </c>
      <c r="C15" s="35">
        <v>1276521.1000000001</v>
      </c>
      <c r="E15" s="172">
        <f t="shared" si="0"/>
        <v>44940</v>
      </c>
      <c r="F15" s="34">
        <f>VLOOKUP(E15,$A$2:C192,2,0)/1000</f>
        <v>0</v>
      </c>
      <c r="G15" s="153">
        <f>VLOOKUP(E15,$A$2:C192,3,0)/1000</f>
        <v>1276.5211000000002</v>
      </c>
    </row>
    <row r="16" spans="1:10">
      <c r="A16" s="99">
        <v>44941</v>
      </c>
      <c r="B16" s="35">
        <v>0</v>
      </c>
      <c r="C16" s="35">
        <v>1279166.9000000001</v>
      </c>
      <c r="E16" s="172">
        <f t="shared" si="0"/>
        <v>44941</v>
      </c>
      <c r="F16" s="34">
        <f>VLOOKUP(E16,$A$2:C193,2,0)/1000</f>
        <v>0</v>
      </c>
      <c r="G16" s="153">
        <f>VLOOKUP(E16,$A$2:C193,3,0)/1000</f>
        <v>1279.1669000000002</v>
      </c>
      <c r="J16" s="32"/>
    </row>
    <row r="17" spans="1:7">
      <c r="A17" s="99">
        <v>44942</v>
      </c>
      <c r="B17" s="35">
        <v>0</v>
      </c>
      <c r="C17" s="35">
        <v>1471078.8</v>
      </c>
      <c r="E17" s="172">
        <f t="shared" si="0"/>
        <v>44942</v>
      </c>
      <c r="F17" s="34">
        <f>VLOOKUP(E17,$A$2:C194,2,0)/1000</f>
        <v>0</v>
      </c>
      <c r="G17" s="153">
        <f>VLOOKUP(E17,$A$2:C194,3,0)/1000</f>
        <v>1471.0788</v>
      </c>
    </row>
    <row r="18" spans="1:7">
      <c r="A18" s="99">
        <v>44943</v>
      </c>
      <c r="B18" s="35">
        <v>0</v>
      </c>
      <c r="C18" s="35">
        <v>1469033.4999999998</v>
      </c>
      <c r="E18" s="172">
        <f t="shared" si="0"/>
        <v>44943</v>
      </c>
      <c r="F18" s="34">
        <f>VLOOKUP(E18,$A$2:C195,2,0)/1000</f>
        <v>0</v>
      </c>
      <c r="G18" s="153">
        <f>VLOOKUP(E18,$A$2:C195,3,0)/1000</f>
        <v>1469.0334999999998</v>
      </c>
    </row>
    <row r="19" spans="1:7">
      <c r="A19" s="99">
        <v>44944</v>
      </c>
      <c r="B19" s="35">
        <v>766.1</v>
      </c>
      <c r="C19" s="35">
        <v>1112626.2000000002</v>
      </c>
      <c r="E19" s="172">
        <f t="shared" si="0"/>
        <v>44944</v>
      </c>
      <c r="F19" s="34">
        <f>VLOOKUP(E19,$A$2:C196,2,0)/1000</f>
        <v>0.7661</v>
      </c>
      <c r="G19" s="153">
        <f>VLOOKUP(E19,$A$2:C196,3,0)/1000</f>
        <v>1112.6262000000002</v>
      </c>
    </row>
    <row r="20" spans="1:7">
      <c r="A20" s="99">
        <v>44945</v>
      </c>
      <c r="B20" s="35">
        <v>748.3</v>
      </c>
      <c r="C20" s="35">
        <v>1078234</v>
      </c>
      <c r="E20" s="172">
        <f t="shared" si="0"/>
        <v>44945</v>
      </c>
      <c r="F20" s="34">
        <f>VLOOKUP(E20,$A$2:C197,2,0)/1000</f>
        <v>0.74829999999999997</v>
      </c>
      <c r="G20" s="153">
        <f>VLOOKUP(E20,$A$2:C197,3,0)/1000</f>
        <v>1078.2339999999999</v>
      </c>
    </row>
    <row r="21" spans="1:7">
      <c r="A21" s="99">
        <v>44946</v>
      </c>
      <c r="B21" s="35">
        <v>824.6</v>
      </c>
      <c r="C21" s="35">
        <v>1111010.7999999998</v>
      </c>
      <c r="E21" s="172">
        <f t="shared" si="0"/>
        <v>44946</v>
      </c>
      <c r="F21" s="34">
        <f>VLOOKUP(E21,$A$2:C198,2,0)/1000</f>
        <v>0.8246</v>
      </c>
      <c r="G21" s="153">
        <f>VLOOKUP(E21,$A$2:C198,3,0)/1000</f>
        <v>1111.0107999999998</v>
      </c>
    </row>
    <row r="22" spans="1:7">
      <c r="A22" s="99">
        <v>44947</v>
      </c>
      <c r="B22" s="35">
        <v>0</v>
      </c>
      <c r="C22" s="35">
        <v>1296907.2999999998</v>
      </c>
      <c r="E22" s="172">
        <f t="shared" si="0"/>
        <v>44947</v>
      </c>
      <c r="F22" s="34">
        <f>VLOOKUP(E22,$A$2:C199,2,0)/1000</f>
        <v>0</v>
      </c>
      <c r="G22" s="153">
        <f>VLOOKUP(E22,$A$2:C199,3,0)/1000</f>
        <v>1296.9072999999999</v>
      </c>
    </row>
    <row r="23" spans="1:7">
      <c r="A23" s="99">
        <v>44948</v>
      </c>
      <c r="B23" s="35">
        <v>0</v>
      </c>
      <c r="C23" s="35">
        <v>1291040.1000000003</v>
      </c>
      <c r="E23" s="172">
        <f t="shared" si="0"/>
        <v>44948</v>
      </c>
      <c r="F23" s="34">
        <f>VLOOKUP(E23,$A$2:C200,2,0)/1000</f>
        <v>0</v>
      </c>
      <c r="G23" s="153">
        <f>VLOOKUP(E23,$A$2:C200,3,0)/1000</f>
        <v>1291.0401000000004</v>
      </c>
    </row>
    <row r="24" spans="1:7">
      <c r="A24" s="99">
        <v>44949</v>
      </c>
      <c r="B24" s="35">
        <v>0</v>
      </c>
      <c r="C24" s="35">
        <v>1300696.1000000001</v>
      </c>
      <c r="E24" s="172">
        <f t="shared" si="0"/>
        <v>44949</v>
      </c>
      <c r="F24" s="34">
        <f>VLOOKUP(E24,$A$2:C201,2,0)/1000</f>
        <v>0</v>
      </c>
      <c r="G24" s="153">
        <f>VLOOKUP(E24,$A$2:C201,3,0)/1000</f>
        <v>1300.6961000000001</v>
      </c>
    </row>
    <row r="25" spans="1:7">
      <c r="A25" s="99">
        <v>44950</v>
      </c>
      <c r="B25" s="35">
        <v>0</v>
      </c>
      <c r="C25" s="35">
        <v>1302891.7999999998</v>
      </c>
      <c r="E25" s="172">
        <f t="shared" si="0"/>
        <v>44950</v>
      </c>
      <c r="F25" s="34">
        <f>VLOOKUP(E25,$A$2:C202,2,0)/1000</f>
        <v>0</v>
      </c>
      <c r="G25" s="153">
        <f>VLOOKUP(E25,$A$2:C202,3,0)/1000</f>
        <v>1302.8917999999999</v>
      </c>
    </row>
    <row r="26" spans="1:7">
      <c r="A26" s="99">
        <v>44951</v>
      </c>
      <c r="B26" s="35">
        <v>649.30000000000007</v>
      </c>
      <c r="C26" s="35">
        <v>1344956.2999999998</v>
      </c>
      <c r="E26" s="172">
        <f t="shared" si="0"/>
        <v>44951</v>
      </c>
      <c r="F26" s="34">
        <f>VLOOKUP(E26,$A$2:C203,2,0)/1000</f>
        <v>0.6493000000000001</v>
      </c>
      <c r="G26" s="153">
        <f>VLOOKUP(E26,$A$2:C203,3,0)/1000</f>
        <v>1344.9562999999998</v>
      </c>
    </row>
    <row r="27" spans="1:7">
      <c r="A27" s="99">
        <v>44952</v>
      </c>
      <c r="B27" s="35">
        <v>0</v>
      </c>
      <c r="C27" s="35">
        <v>1500969.3000000003</v>
      </c>
      <c r="E27" s="172">
        <f t="shared" si="0"/>
        <v>44952</v>
      </c>
      <c r="F27" s="34">
        <f>VLOOKUP(E27,$A$2:C204,2,0)/1000</f>
        <v>0</v>
      </c>
      <c r="G27" s="153">
        <f>VLOOKUP(E27,$A$2:C204,3,0)/1000</f>
        <v>1500.9693000000002</v>
      </c>
    </row>
    <row r="28" spans="1:7">
      <c r="A28" s="99">
        <v>44953</v>
      </c>
      <c r="B28" s="35">
        <v>0</v>
      </c>
      <c r="C28" s="35">
        <v>1505832.6</v>
      </c>
      <c r="E28" s="172">
        <f t="shared" si="0"/>
        <v>44953</v>
      </c>
      <c r="F28" s="34">
        <f>VLOOKUP(E28,$A$2:C205,2,0)/1000</f>
        <v>0</v>
      </c>
      <c r="G28" s="153">
        <f>VLOOKUP(E28,$A$2:C205,3,0)/1000</f>
        <v>1505.8326000000002</v>
      </c>
    </row>
    <row r="29" spans="1:7">
      <c r="A29" s="99">
        <v>44954</v>
      </c>
      <c r="B29" s="35">
        <v>0</v>
      </c>
      <c r="C29" s="35">
        <v>1299027.5999999999</v>
      </c>
      <c r="E29" s="172">
        <f t="shared" si="0"/>
        <v>44954</v>
      </c>
      <c r="F29" s="34">
        <f>VLOOKUP(E29,$A$2:C206,2,0)/1000</f>
        <v>0</v>
      </c>
      <c r="G29" s="153">
        <f>VLOOKUP(E29,$A$2:C206,3,0)/1000</f>
        <v>1299.0275999999999</v>
      </c>
    </row>
    <row r="30" spans="1:7">
      <c r="A30" s="99">
        <v>44955</v>
      </c>
      <c r="B30" s="35">
        <v>2041.4</v>
      </c>
      <c r="C30" s="35">
        <v>1013632.7</v>
      </c>
      <c r="E30" s="172">
        <f t="shared" si="0"/>
        <v>44955</v>
      </c>
      <c r="F30" s="34">
        <f>VLOOKUP(E30,$A$2:C207,2,0)/1000</f>
        <v>2.0413999999999999</v>
      </c>
      <c r="G30" s="153">
        <f>VLOOKUP(E30,$A$2:C207,3,0)/1000</f>
        <v>1013.6327</v>
      </c>
    </row>
    <row r="31" spans="1:7">
      <c r="A31" s="99">
        <v>44956</v>
      </c>
      <c r="B31" s="35">
        <v>958</v>
      </c>
      <c r="C31" s="35">
        <v>1294734.7999999998</v>
      </c>
      <c r="E31" s="172">
        <f t="shared" si="0"/>
        <v>44956</v>
      </c>
      <c r="F31" s="34">
        <f>VLOOKUP(E31,$A$2:C208,2,0)/1000</f>
        <v>0.95799999999999996</v>
      </c>
      <c r="G31" s="153">
        <f>VLOOKUP(E31,$A$2:C208,3,0)/1000</f>
        <v>1294.7347999999997</v>
      </c>
    </row>
    <row r="32" spans="1:7">
      <c r="A32" s="99">
        <v>44957</v>
      </c>
      <c r="B32" s="35">
        <v>0</v>
      </c>
      <c r="C32" s="35">
        <v>1494270.3</v>
      </c>
      <c r="E32" s="172">
        <f t="shared" si="0"/>
        <v>44957</v>
      </c>
      <c r="F32" s="34">
        <f>VLOOKUP(E32,$A$2:C209,2,0)/1000</f>
        <v>0</v>
      </c>
      <c r="G32" s="153">
        <f>VLOOKUP(E32,$A$2:C209,3,0)/1000</f>
        <v>1494.2703000000001</v>
      </c>
    </row>
    <row r="33" spans="1:7">
      <c r="A33" s="99">
        <v>44958</v>
      </c>
      <c r="B33" s="35">
        <v>0</v>
      </c>
      <c r="C33" s="35">
        <v>1421844.5</v>
      </c>
      <c r="E33" s="172">
        <f t="shared" si="0"/>
        <v>44958</v>
      </c>
      <c r="F33" s="34">
        <f>VLOOKUP(E33,$A$2:C210,2,0)/1000</f>
        <v>0</v>
      </c>
      <c r="G33" s="153">
        <f>VLOOKUP(E33,$A$2:C210,3,0)/1000</f>
        <v>1421.8444999999999</v>
      </c>
    </row>
    <row r="34" spans="1:7">
      <c r="A34" s="99">
        <v>44959</v>
      </c>
      <c r="B34" s="35">
        <v>845.30000000000007</v>
      </c>
      <c r="C34" s="35">
        <v>1111987.5999999999</v>
      </c>
      <c r="E34" s="172">
        <f t="shared" si="0"/>
        <v>44959</v>
      </c>
      <c r="F34" s="34">
        <f>VLOOKUP(E34,$A$2:C211,2,0)/1000</f>
        <v>0.84530000000000005</v>
      </c>
      <c r="G34" s="153">
        <f>VLOOKUP(E34,$A$2:C211,3,0)/1000</f>
        <v>1111.9875999999999</v>
      </c>
    </row>
    <row r="35" spans="1:7">
      <c r="A35" s="99">
        <v>44960</v>
      </c>
      <c r="B35" s="35">
        <v>977.90000000000009</v>
      </c>
      <c r="C35" s="35">
        <v>1289273.5</v>
      </c>
      <c r="E35" s="172">
        <f t="shared" si="0"/>
        <v>44960</v>
      </c>
      <c r="F35" s="34">
        <f>VLOOKUP(E35,$A$2:C212,2,0)/1000</f>
        <v>0.9779000000000001</v>
      </c>
      <c r="G35" s="153">
        <f>VLOOKUP(E35,$A$2:C212,3,0)/1000</f>
        <v>1289.2735</v>
      </c>
    </row>
    <row r="36" spans="1:7">
      <c r="A36" s="99">
        <v>44961</v>
      </c>
      <c r="B36" s="35">
        <v>1917.4999999999998</v>
      </c>
      <c r="C36" s="35">
        <v>1237193.1000000001</v>
      </c>
      <c r="E36" s="172">
        <f t="shared" si="0"/>
        <v>44961</v>
      </c>
      <c r="F36" s="34">
        <f>VLOOKUP(E36,$A$2:C213,2,0)/1000</f>
        <v>1.9174999999999998</v>
      </c>
      <c r="G36" s="153">
        <f>VLOOKUP(E36,$A$2:C213,3,0)/1000</f>
        <v>1237.1931000000002</v>
      </c>
    </row>
    <row r="37" spans="1:7">
      <c r="A37" s="99">
        <v>44962</v>
      </c>
      <c r="B37" s="35">
        <v>1928.5</v>
      </c>
      <c r="C37" s="35">
        <v>1043257.7</v>
      </c>
      <c r="E37" s="172">
        <f t="shared" si="0"/>
        <v>44962</v>
      </c>
      <c r="F37" s="34">
        <f>VLOOKUP(E37,$A$2:C214,2,0)/1000</f>
        <v>1.9285000000000001</v>
      </c>
      <c r="G37" s="153">
        <f>VLOOKUP(E37,$A$2:C214,3,0)/1000</f>
        <v>1043.2576999999999</v>
      </c>
    </row>
    <row r="38" spans="1:7">
      <c r="A38" s="99">
        <v>44963</v>
      </c>
      <c r="B38" s="35">
        <v>1328.3</v>
      </c>
      <c r="C38" s="35">
        <v>1240767.9000000001</v>
      </c>
      <c r="E38" s="172">
        <f t="shared" si="0"/>
        <v>44963</v>
      </c>
      <c r="F38" s="34">
        <f>VLOOKUP(E38,$A$2:C215,2,0)/1000</f>
        <v>1.3283</v>
      </c>
      <c r="G38" s="153">
        <f>VLOOKUP(E38,$A$2:C215,3,0)/1000</f>
        <v>1240.7679000000001</v>
      </c>
    </row>
    <row r="39" spans="1:7">
      <c r="A39" s="99">
        <v>44964</v>
      </c>
      <c r="B39" s="35">
        <v>0</v>
      </c>
      <c r="C39" s="35">
        <v>1524620.9000000001</v>
      </c>
      <c r="E39" s="172">
        <f t="shared" si="0"/>
        <v>44964</v>
      </c>
      <c r="F39" s="34">
        <f>VLOOKUP(E39,$A$2:C216,2,0)/1000</f>
        <v>0</v>
      </c>
      <c r="G39" s="153">
        <f>VLOOKUP(E39,$A$2:C216,3,0)/1000</f>
        <v>1524.6209000000001</v>
      </c>
    </row>
    <row r="40" spans="1:7">
      <c r="A40" s="99">
        <v>44965</v>
      </c>
      <c r="B40" s="35">
        <v>0</v>
      </c>
      <c r="C40" s="35">
        <v>1526687.4999999998</v>
      </c>
      <c r="E40" s="172">
        <f t="shared" si="0"/>
        <v>44965</v>
      </c>
      <c r="F40" s="34">
        <f>VLOOKUP(E40,$A$2:C217,2,0)/1000</f>
        <v>0</v>
      </c>
      <c r="G40" s="153">
        <f>VLOOKUP(E40,$A$2:C217,3,0)/1000</f>
        <v>1526.6874999999998</v>
      </c>
    </row>
    <row r="41" spans="1:7">
      <c r="A41" s="99">
        <v>44966</v>
      </c>
      <c r="B41" s="35">
        <v>0</v>
      </c>
      <c r="C41" s="35">
        <v>1534879.8000000003</v>
      </c>
      <c r="E41" s="172">
        <f t="shared" si="0"/>
        <v>44966</v>
      </c>
      <c r="F41" s="34">
        <f>VLOOKUP(E41,$A$2:C218,2,0)/1000</f>
        <v>0</v>
      </c>
      <c r="G41" s="153">
        <f>VLOOKUP(E41,$A$2:C218,3,0)/1000</f>
        <v>1534.8798000000004</v>
      </c>
    </row>
    <row r="42" spans="1:7">
      <c r="A42" s="99">
        <v>44967</v>
      </c>
      <c r="B42" s="35">
        <v>0</v>
      </c>
      <c r="C42" s="35">
        <v>1530391.5</v>
      </c>
      <c r="E42" s="172">
        <f t="shared" si="0"/>
        <v>44967</v>
      </c>
      <c r="F42" s="34">
        <f>VLOOKUP(E42,$A$2:C219,2,0)/1000</f>
        <v>0</v>
      </c>
      <c r="G42" s="153">
        <f>VLOOKUP(E42,$A$2:C219,3,0)/1000</f>
        <v>1530.3915</v>
      </c>
    </row>
    <row r="43" spans="1:7">
      <c r="A43" s="99">
        <v>44968</v>
      </c>
      <c r="B43" s="35">
        <v>0</v>
      </c>
      <c r="C43" s="35">
        <v>1518791.4</v>
      </c>
      <c r="E43" s="172">
        <f t="shared" si="0"/>
        <v>44968</v>
      </c>
      <c r="F43" s="34">
        <f>VLOOKUP(E43,$A$2:C220,2,0)/1000</f>
        <v>0</v>
      </c>
      <c r="G43" s="153">
        <f>VLOOKUP(E43,$A$2:C220,3,0)/1000</f>
        <v>1518.7913999999998</v>
      </c>
    </row>
    <row r="44" spans="1:7">
      <c r="A44" s="99">
        <v>44969</v>
      </c>
      <c r="B44" s="35">
        <v>0</v>
      </c>
      <c r="C44" s="35">
        <v>1533193.9000000001</v>
      </c>
      <c r="E44" s="172">
        <f t="shared" si="0"/>
        <v>44969</v>
      </c>
      <c r="F44" s="34">
        <f>VLOOKUP(E44,$A$2:C221,2,0)/1000</f>
        <v>0</v>
      </c>
      <c r="G44" s="153">
        <f>VLOOKUP(E44,$A$2:C221,3,0)/1000</f>
        <v>1533.1939000000002</v>
      </c>
    </row>
    <row r="45" spans="1:7">
      <c r="A45" s="99">
        <v>44970</v>
      </c>
      <c r="B45" s="35">
        <v>0</v>
      </c>
      <c r="C45" s="35">
        <v>1502078.4000000001</v>
      </c>
      <c r="E45" s="172">
        <f t="shared" si="0"/>
        <v>44970</v>
      </c>
      <c r="F45" s="34">
        <f>VLOOKUP(E45,$A$2:C222,2,0)/1000</f>
        <v>0</v>
      </c>
      <c r="G45" s="153">
        <f>VLOOKUP(E45,$A$2:C222,3,0)/1000</f>
        <v>1502.0784000000001</v>
      </c>
    </row>
    <row r="46" spans="1:7">
      <c r="A46" s="99">
        <v>44971</v>
      </c>
      <c r="B46" s="35">
        <v>0</v>
      </c>
      <c r="C46" s="35">
        <v>1504251.5000000002</v>
      </c>
      <c r="E46" s="172">
        <f t="shared" si="0"/>
        <v>44971</v>
      </c>
      <c r="F46" s="34">
        <f>VLOOKUP(E46,$A$2:C223,2,0)/1000</f>
        <v>0</v>
      </c>
      <c r="G46" s="153">
        <f>VLOOKUP(E46,$A$2:C223,3,0)/1000</f>
        <v>1504.2515000000003</v>
      </c>
    </row>
    <row r="47" spans="1:7">
      <c r="A47" s="99">
        <v>44972</v>
      </c>
      <c r="B47" s="35">
        <v>0</v>
      </c>
      <c r="C47" s="35">
        <v>1513390.7000000002</v>
      </c>
      <c r="E47" s="172">
        <f t="shared" si="0"/>
        <v>44972</v>
      </c>
      <c r="F47" s="34">
        <f>VLOOKUP(E47,$A$2:C224,2,0)/1000</f>
        <v>0</v>
      </c>
      <c r="G47" s="153">
        <f>VLOOKUP(E47,$A$2:C224,3,0)/1000</f>
        <v>1513.3907000000002</v>
      </c>
    </row>
    <row r="48" spans="1:7">
      <c r="A48" s="99">
        <v>44973</v>
      </c>
      <c r="B48" s="35">
        <v>0</v>
      </c>
      <c r="C48" s="35">
        <v>1303901.6999999997</v>
      </c>
      <c r="E48" s="172">
        <f t="shared" si="0"/>
        <v>44973</v>
      </c>
      <c r="F48" s="34">
        <f>VLOOKUP(E48,$A$2:C225,2,0)/1000</f>
        <v>0</v>
      </c>
      <c r="G48" s="153">
        <f>VLOOKUP(E48,$A$2:C225,3,0)/1000</f>
        <v>1303.9016999999997</v>
      </c>
    </row>
    <row r="49" spans="1:7">
      <c r="A49" s="99">
        <v>44974</v>
      </c>
      <c r="B49" s="35">
        <v>0</v>
      </c>
      <c r="C49" s="35">
        <v>1291378.9000000001</v>
      </c>
      <c r="E49" s="172">
        <f t="shared" si="0"/>
        <v>44974</v>
      </c>
      <c r="F49" s="34">
        <f>VLOOKUP(E49,$A$2:C226,2,0)/1000</f>
        <v>0</v>
      </c>
      <c r="G49" s="153">
        <f>VLOOKUP(E49,$A$2:C226,3,0)/1000</f>
        <v>1291.3789000000002</v>
      </c>
    </row>
    <row r="50" spans="1:7">
      <c r="A50" s="99">
        <v>44975</v>
      </c>
      <c r="B50" s="35">
        <v>0</v>
      </c>
      <c r="C50" s="35">
        <v>1520745.3</v>
      </c>
      <c r="E50" s="172">
        <f t="shared" si="0"/>
        <v>44975</v>
      </c>
      <c r="F50" s="34">
        <f>VLOOKUP(E50,$A$2:C227,2,0)/1000</f>
        <v>0</v>
      </c>
      <c r="G50" s="153">
        <f>VLOOKUP(E50,$A$2:C227,3,0)/1000</f>
        <v>1520.7453</v>
      </c>
    </row>
    <row r="51" spans="1:7">
      <c r="A51" s="99">
        <v>44976</v>
      </c>
      <c r="B51" s="35">
        <v>0</v>
      </c>
      <c r="C51" s="35">
        <v>1529264.1000000003</v>
      </c>
      <c r="E51" s="172">
        <f t="shared" si="0"/>
        <v>44976</v>
      </c>
      <c r="F51" s="34">
        <f>VLOOKUP(E51,$A$2:C228,2,0)/1000</f>
        <v>0</v>
      </c>
      <c r="G51" s="153">
        <f>VLOOKUP(E51,$A$2:C228,3,0)/1000</f>
        <v>1529.2641000000003</v>
      </c>
    </row>
    <row r="52" spans="1:7">
      <c r="A52" s="99">
        <v>44977</v>
      </c>
      <c r="B52" s="35">
        <v>0</v>
      </c>
      <c r="C52" s="35">
        <v>1297087.9000000001</v>
      </c>
      <c r="E52" s="172">
        <f t="shared" si="0"/>
        <v>44977</v>
      </c>
      <c r="F52" s="34">
        <f>VLOOKUP(E52,$A$2:C229,2,0)/1000</f>
        <v>0</v>
      </c>
      <c r="G52" s="153">
        <f>VLOOKUP(E52,$A$2:C229,3,0)/1000</f>
        <v>1297.0879000000002</v>
      </c>
    </row>
    <row r="53" spans="1:7">
      <c r="A53" s="99">
        <v>44978</v>
      </c>
      <c r="B53" s="35">
        <v>0</v>
      </c>
      <c r="C53" s="35">
        <v>1289801.3999999999</v>
      </c>
      <c r="E53" s="172">
        <f t="shared" si="0"/>
        <v>44978</v>
      </c>
      <c r="F53" s="34">
        <f>VLOOKUP(E53,$A$2:C230,2,0)/1000</f>
        <v>0</v>
      </c>
      <c r="G53" s="153">
        <f>VLOOKUP(E53,$A$2:C230,3,0)/1000</f>
        <v>1289.8013999999998</v>
      </c>
    </row>
    <row r="54" spans="1:7">
      <c r="A54" s="99">
        <v>44979</v>
      </c>
      <c r="B54" s="35">
        <v>0</v>
      </c>
      <c r="C54" s="35">
        <v>1395083.3</v>
      </c>
      <c r="E54" s="172">
        <f t="shared" si="0"/>
        <v>44979</v>
      </c>
      <c r="F54" s="34">
        <f>VLOOKUP(E54,$A$2:C231,2,0)/1000</f>
        <v>0</v>
      </c>
      <c r="G54" s="153">
        <f>VLOOKUP(E54,$A$2:C231,3,0)/1000</f>
        <v>1395.0833</v>
      </c>
    </row>
    <row r="55" spans="1:7">
      <c r="A55" s="99">
        <v>44980</v>
      </c>
      <c r="B55" s="35">
        <v>0</v>
      </c>
      <c r="C55" s="35">
        <v>1502318.9</v>
      </c>
      <c r="E55" s="172">
        <f t="shared" si="0"/>
        <v>44980</v>
      </c>
      <c r="F55" s="34">
        <f>VLOOKUP(E55,$A$2:C232,2,0)/1000</f>
        <v>0</v>
      </c>
      <c r="G55" s="153">
        <f>VLOOKUP(E55,$A$2:C232,3,0)/1000</f>
        <v>1502.3189</v>
      </c>
    </row>
    <row r="56" spans="1:7">
      <c r="A56" s="99">
        <v>44981</v>
      </c>
      <c r="B56" s="35">
        <v>0</v>
      </c>
      <c r="C56" s="35">
        <v>1501589.8000000003</v>
      </c>
      <c r="E56" s="172">
        <f t="shared" si="0"/>
        <v>44981</v>
      </c>
      <c r="F56" s="34">
        <f>VLOOKUP(E56,$A$2:C233,2,0)/1000</f>
        <v>0</v>
      </c>
      <c r="G56" s="153">
        <f>VLOOKUP(E56,$A$2:C233,3,0)/1000</f>
        <v>1501.5898000000002</v>
      </c>
    </row>
    <row r="57" spans="1:7">
      <c r="A57" s="99">
        <v>44982</v>
      </c>
      <c r="B57" s="35">
        <v>0</v>
      </c>
      <c r="C57" s="35">
        <v>1291318.0999999996</v>
      </c>
      <c r="E57" s="172">
        <f t="shared" si="0"/>
        <v>44982</v>
      </c>
      <c r="F57" s="34">
        <f>VLOOKUP(E57,$A$2:C234,2,0)/1000</f>
        <v>0</v>
      </c>
      <c r="G57" s="153">
        <f>VLOOKUP(E57,$A$2:C234,3,0)/1000</f>
        <v>1291.3180999999997</v>
      </c>
    </row>
    <row r="58" spans="1:7">
      <c r="A58" s="99">
        <v>44983</v>
      </c>
      <c r="B58" s="35">
        <v>934.7</v>
      </c>
      <c r="C58" s="35">
        <v>1101632.6000000001</v>
      </c>
      <c r="E58" s="172">
        <f t="shared" si="0"/>
        <v>44983</v>
      </c>
      <c r="F58" s="34">
        <f>VLOOKUP(E58,$A$2:C235,2,0)/1000</f>
        <v>0.93470000000000009</v>
      </c>
      <c r="G58" s="153">
        <f>VLOOKUP(E58,$A$2:C235,3,0)/1000</f>
        <v>1101.6326000000001</v>
      </c>
    </row>
    <row r="59" spans="1:7">
      <c r="A59" s="99">
        <v>44984</v>
      </c>
      <c r="B59" s="35">
        <v>0</v>
      </c>
      <c r="C59" s="35">
        <v>1286376.3999999999</v>
      </c>
      <c r="E59" s="172">
        <f t="shared" si="0"/>
        <v>44984</v>
      </c>
      <c r="F59" s="34">
        <f>VLOOKUP(E59,$A$2:C236,2,0)/1000</f>
        <v>0</v>
      </c>
      <c r="G59" s="153">
        <f>VLOOKUP(E59,$A$2:C236,3,0)/1000</f>
        <v>1286.3763999999999</v>
      </c>
    </row>
    <row r="60" spans="1:7">
      <c r="A60" s="99">
        <v>44985</v>
      </c>
      <c r="B60" s="35">
        <v>0</v>
      </c>
      <c r="C60" s="35">
        <v>1289807.3999999999</v>
      </c>
      <c r="E60" s="172">
        <f t="shared" si="0"/>
        <v>44985</v>
      </c>
      <c r="F60" s="34">
        <f>VLOOKUP(E60,$A$2:C237,2,0)/1000</f>
        <v>0</v>
      </c>
      <c r="G60" s="153">
        <f>VLOOKUP(E60,$A$2:C237,3,0)/1000</f>
        <v>1289.8073999999999</v>
      </c>
    </row>
    <row r="61" spans="1:7">
      <c r="A61" s="99">
        <v>44986</v>
      </c>
      <c r="B61" s="35">
        <v>0</v>
      </c>
      <c r="C61" s="35">
        <v>1341000.7</v>
      </c>
      <c r="E61" s="172">
        <f t="shared" si="0"/>
        <v>44986</v>
      </c>
      <c r="F61" s="34">
        <f>VLOOKUP(E61,$A$2:C238,2,0)/1000</f>
        <v>0</v>
      </c>
      <c r="G61" s="153">
        <f>VLOOKUP(E61,$A$2:C238,3,0)/1000</f>
        <v>1341.0007000000001</v>
      </c>
    </row>
    <row r="62" spans="1:7">
      <c r="A62" s="99">
        <v>44987</v>
      </c>
      <c r="B62" s="35">
        <v>0</v>
      </c>
      <c r="C62" s="35">
        <v>1317266.0000000002</v>
      </c>
      <c r="E62" s="172">
        <f t="shared" si="0"/>
        <v>44987</v>
      </c>
      <c r="F62" s="34">
        <f>VLOOKUP(E62,$A$2:C239,2,0)/1000</f>
        <v>0</v>
      </c>
      <c r="G62" s="153">
        <f>VLOOKUP(E62,$A$2:C239,3,0)/1000</f>
        <v>1317.2660000000003</v>
      </c>
    </row>
    <row r="63" spans="1:7">
      <c r="A63" s="99">
        <v>44988</v>
      </c>
      <c r="B63" s="35">
        <v>0</v>
      </c>
      <c r="C63" s="35">
        <v>1283899.5</v>
      </c>
      <c r="E63" s="172">
        <f t="shared" si="0"/>
        <v>44988</v>
      </c>
      <c r="F63" s="34">
        <f>VLOOKUP(E63,$A$2:C240,2,0)/1000</f>
        <v>0</v>
      </c>
      <c r="G63" s="153">
        <f>VLOOKUP(E63,$A$2:C240,3,0)/1000</f>
        <v>1283.8995</v>
      </c>
    </row>
    <row r="64" spans="1:7">
      <c r="A64" s="99">
        <v>44989</v>
      </c>
      <c r="B64" s="35">
        <v>0</v>
      </c>
      <c r="C64" s="35">
        <v>1290167.7000000002</v>
      </c>
      <c r="E64" s="172">
        <f t="shared" si="0"/>
        <v>44989</v>
      </c>
      <c r="F64" s="34">
        <f>VLOOKUP(E64,$A$2:C241,2,0)/1000</f>
        <v>0</v>
      </c>
      <c r="G64" s="153">
        <f>VLOOKUP(E64,$A$2:C241,3,0)/1000</f>
        <v>1290.1677000000002</v>
      </c>
    </row>
    <row r="65" spans="1:7">
      <c r="A65" s="99">
        <v>44990</v>
      </c>
      <c r="B65" s="35">
        <v>0</v>
      </c>
      <c r="C65" s="35">
        <v>1315415.0999999999</v>
      </c>
      <c r="E65" s="172">
        <f t="shared" si="0"/>
        <v>44990</v>
      </c>
      <c r="F65" s="34">
        <f>VLOOKUP(E65,$A$2:C242,2,0)/1000</f>
        <v>0</v>
      </c>
      <c r="G65" s="153">
        <f>VLOOKUP(E65,$A$2:C242,3,0)/1000</f>
        <v>1315.4150999999999</v>
      </c>
    </row>
    <row r="66" spans="1:7">
      <c r="A66" s="99">
        <v>44991</v>
      </c>
      <c r="B66" s="35">
        <v>0</v>
      </c>
      <c r="C66" s="35">
        <v>1319006</v>
      </c>
      <c r="E66" s="172">
        <f t="shared" si="0"/>
        <v>44991</v>
      </c>
      <c r="F66" s="34">
        <f>VLOOKUP(E66,$A$2:C243,2,0)/1000</f>
        <v>0</v>
      </c>
      <c r="G66" s="153">
        <f>VLOOKUP(E66,$A$2:C243,3,0)/1000</f>
        <v>1319.0060000000001</v>
      </c>
    </row>
    <row r="67" spans="1:7">
      <c r="A67" s="99">
        <v>44992</v>
      </c>
      <c r="B67" s="35">
        <v>0</v>
      </c>
      <c r="C67" s="35">
        <v>1311114.3999999999</v>
      </c>
      <c r="E67" s="172">
        <f t="shared" ref="E67:E130" si="1">A67</f>
        <v>44992</v>
      </c>
      <c r="F67" s="34">
        <f>VLOOKUP(E67,$A$2:C244,2,0)/1000</f>
        <v>0</v>
      </c>
      <c r="G67" s="153">
        <f>VLOOKUP(E67,$A$2:C244,3,0)/1000</f>
        <v>1311.1143999999999</v>
      </c>
    </row>
    <row r="68" spans="1:7">
      <c r="A68" s="99">
        <v>44993</v>
      </c>
      <c r="B68" s="35">
        <v>0</v>
      </c>
      <c r="C68" s="35">
        <v>1299569.5999999999</v>
      </c>
      <c r="E68" s="172">
        <f t="shared" si="1"/>
        <v>44993</v>
      </c>
      <c r="F68" s="34">
        <f>VLOOKUP(E68,$A$2:C245,2,0)/1000</f>
        <v>0</v>
      </c>
      <c r="G68" s="153">
        <f>VLOOKUP(E68,$A$2:C245,3,0)/1000</f>
        <v>1299.5695999999998</v>
      </c>
    </row>
    <row r="69" spans="1:7">
      <c r="A69" s="99">
        <v>44994</v>
      </c>
      <c r="B69" s="35">
        <v>0</v>
      </c>
      <c r="C69" s="35">
        <v>1310199.7000000002</v>
      </c>
      <c r="E69" s="172">
        <f t="shared" si="1"/>
        <v>44994</v>
      </c>
      <c r="F69" s="34">
        <f>VLOOKUP(E69,$A$2:C246,2,0)/1000</f>
        <v>0</v>
      </c>
      <c r="G69" s="153">
        <f>VLOOKUP(E69,$A$2:C246,3,0)/1000</f>
        <v>1310.1997000000001</v>
      </c>
    </row>
    <row r="70" spans="1:7">
      <c r="A70" s="99">
        <v>44995</v>
      </c>
      <c r="B70" s="35">
        <v>0</v>
      </c>
      <c r="C70" s="35">
        <v>1297012</v>
      </c>
      <c r="E70" s="172">
        <f t="shared" si="1"/>
        <v>44995</v>
      </c>
      <c r="F70" s="34">
        <f>VLOOKUP(E70,$A$2:C247,2,0)/1000</f>
        <v>0</v>
      </c>
      <c r="G70" s="153">
        <f>VLOOKUP(E70,$A$2:C247,3,0)/1000</f>
        <v>1297.0119999999999</v>
      </c>
    </row>
    <row r="71" spans="1:7">
      <c r="A71" s="99">
        <v>44996</v>
      </c>
      <c r="B71" s="35">
        <v>0</v>
      </c>
      <c r="C71" s="35">
        <v>1281126.7000000002</v>
      </c>
      <c r="E71" s="172">
        <f t="shared" si="1"/>
        <v>44996</v>
      </c>
      <c r="F71" s="34">
        <f>VLOOKUP(E71,$A$2:C248,2,0)/1000</f>
        <v>0</v>
      </c>
      <c r="G71" s="153">
        <f>VLOOKUP(E71,$A$2:C248,3,0)/1000</f>
        <v>1281.1267000000003</v>
      </c>
    </row>
    <row r="72" spans="1:7">
      <c r="A72" s="99">
        <v>44997</v>
      </c>
      <c r="B72" s="35">
        <v>0</v>
      </c>
      <c r="C72" s="35">
        <v>1274351.1000000001</v>
      </c>
      <c r="E72" s="172">
        <f t="shared" si="1"/>
        <v>44997</v>
      </c>
      <c r="F72" s="34">
        <f>VLOOKUP(E72,$A$2:C249,2,0)/1000</f>
        <v>0</v>
      </c>
      <c r="G72" s="153">
        <f>VLOOKUP(E72,$A$2:C249,3,0)/1000</f>
        <v>1274.3511000000001</v>
      </c>
    </row>
    <row r="73" spans="1:7">
      <c r="A73" s="99">
        <v>44998</v>
      </c>
      <c r="B73" s="35">
        <v>0</v>
      </c>
      <c r="C73" s="35">
        <v>1275279.0999999996</v>
      </c>
      <c r="E73" s="172">
        <f t="shared" si="1"/>
        <v>44998</v>
      </c>
      <c r="F73" s="34">
        <f>VLOOKUP(E73,$A$2:C250,2,0)/1000</f>
        <v>0</v>
      </c>
      <c r="G73" s="153">
        <f>VLOOKUP(E73,$A$2:C250,3,0)/1000</f>
        <v>1275.2790999999995</v>
      </c>
    </row>
    <row r="74" spans="1:7">
      <c r="A74" s="99">
        <v>44999</v>
      </c>
      <c r="B74" s="35">
        <v>0</v>
      </c>
      <c r="C74" s="35">
        <v>1283185.2999999998</v>
      </c>
      <c r="E74" s="172">
        <f t="shared" si="1"/>
        <v>44999</v>
      </c>
      <c r="F74" s="34">
        <f>VLOOKUP(E74,$A$2:C251,2,0)/1000</f>
        <v>0</v>
      </c>
      <c r="G74" s="153">
        <f>VLOOKUP(E74,$A$2:C251,3,0)/1000</f>
        <v>1283.1852999999999</v>
      </c>
    </row>
    <row r="75" spans="1:7">
      <c r="A75" s="99">
        <v>45000</v>
      </c>
      <c r="B75" s="35">
        <v>0</v>
      </c>
      <c r="C75" s="35">
        <v>1287041.6000000003</v>
      </c>
      <c r="E75" s="172">
        <f t="shared" si="1"/>
        <v>45000</v>
      </c>
      <c r="F75" s="34">
        <f>VLOOKUP(E75,$A$2:C252,2,0)/1000</f>
        <v>0</v>
      </c>
      <c r="G75" s="153">
        <f>VLOOKUP(E75,$A$2:C252,3,0)/1000</f>
        <v>1287.0416000000002</v>
      </c>
    </row>
    <row r="76" spans="1:7">
      <c r="A76" s="99">
        <v>45001</v>
      </c>
      <c r="B76" s="35">
        <v>708.9</v>
      </c>
      <c r="C76" s="35">
        <v>1143088.5</v>
      </c>
      <c r="E76" s="172">
        <f t="shared" si="1"/>
        <v>45001</v>
      </c>
      <c r="F76" s="34">
        <f>VLOOKUP(E76,$A$2:C253,2,0)/1000</f>
        <v>0.70889999999999997</v>
      </c>
      <c r="G76" s="153">
        <f>VLOOKUP(E76,$A$2:C253,3,0)/1000</f>
        <v>1143.0885000000001</v>
      </c>
    </row>
    <row r="77" spans="1:7">
      <c r="A77" s="99">
        <v>45002</v>
      </c>
      <c r="B77" s="35">
        <v>693.9</v>
      </c>
      <c r="C77" s="35">
        <v>1179695.9000000001</v>
      </c>
      <c r="E77" s="172">
        <f t="shared" si="1"/>
        <v>45002</v>
      </c>
      <c r="F77" s="34">
        <f>VLOOKUP(E77,$A$2:C254,2,0)/1000</f>
        <v>0.69389999999999996</v>
      </c>
      <c r="G77" s="153">
        <f>VLOOKUP(E77,$A$2:C254,3,0)/1000</f>
        <v>1179.6959000000002</v>
      </c>
    </row>
    <row r="78" spans="1:7">
      <c r="A78" s="99">
        <v>45003</v>
      </c>
      <c r="B78" s="35">
        <v>0</v>
      </c>
      <c r="C78" s="35">
        <v>1297957.9999999998</v>
      </c>
      <c r="E78" s="172">
        <f t="shared" si="1"/>
        <v>45003</v>
      </c>
      <c r="F78" s="34">
        <f>VLOOKUP(E78,$A$2:C255,2,0)/1000</f>
        <v>0</v>
      </c>
      <c r="G78" s="153">
        <f>VLOOKUP(E78,$A$2:C255,3,0)/1000</f>
        <v>1297.9579999999999</v>
      </c>
    </row>
    <row r="79" spans="1:7">
      <c r="A79" s="99">
        <v>45004</v>
      </c>
      <c r="B79" s="35">
        <v>0</v>
      </c>
      <c r="C79" s="35">
        <v>1310965</v>
      </c>
      <c r="E79" s="172">
        <f t="shared" si="1"/>
        <v>45004</v>
      </c>
      <c r="F79" s="34">
        <f>VLOOKUP(E79,$A$2:C256,2,0)/1000</f>
        <v>0</v>
      </c>
      <c r="G79" s="153">
        <f>VLOOKUP(E79,$A$2:C256,3,0)/1000</f>
        <v>1310.9649999999999</v>
      </c>
    </row>
    <row r="80" spans="1:7">
      <c r="A80" s="99">
        <v>45005</v>
      </c>
      <c r="B80" s="35">
        <v>0</v>
      </c>
      <c r="C80" s="35">
        <v>1280362.8</v>
      </c>
      <c r="E80" s="172">
        <f t="shared" si="1"/>
        <v>45005</v>
      </c>
      <c r="F80" s="34">
        <f>VLOOKUP(E80,$A$2:C257,2,0)/1000</f>
        <v>0</v>
      </c>
      <c r="G80" s="153">
        <f>VLOOKUP(E80,$A$2:C257,3,0)/1000</f>
        <v>1280.3628000000001</v>
      </c>
    </row>
    <row r="81" spans="1:7">
      <c r="A81" s="99">
        <v>45006</v>
      </c>
      <c r="B81" s="35">
        <v>0</v>
      </c>
      <c r="C81" s="35">
        <v>1280031</v>
      </c>
      <c r="E81" s="172">
        <f t="shared" si="1"/>
        <v>45006</v>
      </c>
      <c r="F81" s="34">
        <f>VLOOKUP(E81,$A$2:C258,2,0)/1000</f>
        <v>0</v>
      </c>
      <c r="G81" s="153">
        <f>VLOOKUP(E81,$A$2:C258,3,0)/1000</f>
        <v>1280.0309999999999</v>
      </c>
    </row>
    <row r="82" spans="1:7">
      <c r="A82" s="99">
        <v>45007</v>
      </c>
      <c r="B82" s="35">
        <v>0</v>
      </c>
      <c r="C82" s="35">
        <v>1287752.5999999996</v>
      </c>
      <c r="E82" s="172">
        <f t="shared" si="1"/>
        <v>45007</v>
      </c>
      <c r="F82" s="34">
        <f>VLOOKUP(E82,$A$2:C259,2,0)/1000</f>
        <v>0</v>
      </c>
      <c r="G82" s="153">
        <f>VLOOKUP(E82,$A$2:C259,3,0)/1000</f>
        <v>1287.7525999999996</v>
      </c>
    </row>
    <row r="83" spans="1:7">
      <c r="A83" s="99">
        <v>45008</v>
      </c>
      <c r="B83" s="35">
        <v>0</v>
      </c>
      <c r="C83" s="35">
        <v>1307530.1999999997</v>
      </c>
      <c r="E83" s="172">
        <f t="shared" si="1"/>
        <v>45008</v>
      </c>
      <c r="F83" s="34">
        <f>VLOOKUP(E83,$A$2:C260,2,0)/1000</f>
        <v>0</v>
      </c>
      <c r="G83" s="153">
        <f>VLOOKUP(E83,$A$2:C260,3,0)/1000</f>
        <v>1307.5301999999997</v>
      </c>
    </row>
    <row r="84" spans="1:7">
      <c r="A84" s="99">
        <v>45009</v>
      </c>
      <c r="B84" s="35">
        <v>0</v>
      </c>
      <c r="C84" s="35">
        <v>1323413.8</v>
      </c>
      <c r="E84" s="172">
        <f t="shared" si="1"/>
        <v>45009</v>
      </c>
      <c r="F84" s="34">
        <f>VLOOKUP(E84,$A$2:C261,2,0)/1000</f>
        <v>0</v>
      </c>
      <c r="G84" s="153">
        <f>VLOOKUP(E84,$A$2:C261,3,0)/1000</f>
        <v>1323.4138</v>
      </c>
    </row>
    <row r="85" spans="1:7">
      <c r="A85" s="99">
        <v>45010</v>
      </c>
      <c r="B85" s="35">
        <v>0</v>
      </c>
      <c r="C85" s="35">
        <v>1294205.1000000001</v>
      </c>
      <c r="E85" s="172">
        <f t="shared" si="1"/>
        <v>45010</v>
      </c>
      <c r="F85" s="34">
        <f>VLOOKUP(E85,$A$2:C262,2,0)/1000</f>
        <v>0</v>
      </c>
      <c r="G85" s="153">
        <f>VLOOKUP(E85,$A$2:C262,3,0)/1000</f>
        <v>1294.2051000000001</v>
      </c>
    </row>
    <row r="86" spans="1:7">
      <c r="A86" s="99">
        <v>45011</v>
      </c>
      <c r="B86" s="35">
        <v>711.4</v>
      </c>
      <c r="C86" s="35">
        <v>1151991.3999999999</v>
      </c>
      <c r="E86" s="172">
        <f t="shared" si="1"/>
        <v>45011</v>
      </c>
      <c r="F86" s="34">
        <f>VLOOKUP(E86,$A$2:C263,2,0)/1000</f>
        <v>0.71140000000000003</v>
      </c>
      <c r="G86" s="153">
        <f>VLOOKUP(E86,$A$2:C263,3,0)/1000</f>
        <v>1151.9913999999999</v>
      </c>
    </row>
    <row r="87" spans="1:7">
      <c r="A87" s="99">
        <v>45012</v>
      </c>
      <c r="B87" s="35">
        <v>0</v>
      </c>
      <c r="C87" s="35">
        <v>1341827.8999999999</v>
      </c>
      <c r="E87" s="172">
        <f t="shared" si="1"/>
        <v>45012</v>
      </c>
      <c r="F87" s="34">
        <f>VLOOKUP(E87,$A$2:C264,2,0)/1000</f>
        <v>0</v>
      </c>
      <c r="G87" s="153">
        <f>VLOOKUP(E87,$A$2:C264,3,0)/1000</f>
        <v>1341.8279</v>
      </c>
    </row>
    <row r="88" spans="1:7">
      <c r="A88" s="99">
        <v>45013</v>
      </c>
      <c r="B88" s="35">
        <v>0</v>
      </c>
      <c r="C88" s="35">
        <v>1349396.9999999998</v>
      </c>
      <c r="E88" s="172">
        <f t="shared" si="1"/>
        <v>45013</v>
      </c>
      <c r="F88" s="34">
        <f>VLOOKUP(E88,$A$2:C265,2,0)/1000</f>
        <v>0</v>
      </c>
      <c r="G88" s="153">
        <f>VLOOKUP(E88,$A$2:C265,3,0)/1000</f>
        <v>1349.3969999999997</v>
      </c>
    </row>
    <row r="89" spans="1:7">
      <c r="A89" s="99">
        <v>45014</v>
      </c>
      <c r="B89" s="35">
        <v>0</v>
      </c>
      <c r="C89" s="35">
        <v>1336595.7000000002</v>
      </c>
      <c r="E89" s="172">
        <f t="shared" si="1"/>
        <v>45014</v>
      </c>
      <c r="F89" s="34">
        <f>VLOOKUP(E89,$A$2:C266,2,0)/1000</f>
        <v>0</v>
      </c>
      <c r="G89" s="153">
        <f>VLOOKUP(E89,$A$2:C266,3,0)/1000</f>
        <v>1336.5957000000001</v>
      </c>
    </row>
    <row r="90" spans="1:7">
      <c r="A90" s="99">
        <v>45015</v>
      </c>
      <c r="B90" s="35">
        <v>0</v>
      </c>
      <c r="C90" s="35">
        <v>1352556.0000000005</v>
      </c>
      <c r="E90" s="172">
        <f t="shared" si="1"/>
        <v>45015</v>
      </c>
      <c r="F90" s="34">
        <f>VLOOKUP(E90,$A$2:C267,2,0)/1000</f>
        <v>0</v>
      </c>
      <c r="G90" s="153">
        <f>VLOOKUP(E90,$A$2:C267,3,0)/1000</f>
        <v>1352.5560000000005</v>
      </c>
    </row>
    <row r="91" spans="1:7">
      <c r="A91" s="99">
        <v>45016</v>
      </c>
      <c r="B91" s="35">
        <v>0</v>
      </c>
      <c r="C91" s="35">
        <v>1318712.8</v>
      </c>
      <c r="E91" s="172">
        <f t="shared" si="1"/>
        <v>45016</v>
      </c>
      <c r="F91" s="34">
        <f>VLOOKUP(E91,$A$2:C268,2,0)/1000</f>
        <v>0</v>
      </c>
      <c r="G91" s="153">
        <f>VLOOKUP(E91,$A$2:C268,3,0)/1000</f>
        <v>1318.7128</v>
      </c>
    </row>
    <row r="92" spans="1:7">
      <c r="A92" s="99">
        <v>45017</v>
      </c>
      <c r="B92" s="35">
        <v>0</v>
      </c>
      <c r="C92" s="35">
        <v>1309771.1000000001</v>
      </c>
      <c r="E92" s="172">
        <f t="shared" si="1"/>
        <v>45017</v>
      </c>
      <c r="F92" s="34">
        <f>VLOOKUP(E92,$A$2:C269,2,0)/1000</f>
        <v>0</v>
      </c>
      <c r="G92" s="153">
        <f>VLOOKUP(E92,$A$2:C269,3,0)/1000</f>
        <v>1309.7711000000002</v>
      </c>
    </row>
    <row r="93" spans="1:7">
      <c r="A93" s="99">
        <v>45018</v>
      </c>
      <c r="B93" s="35">
        <v>0</v>
      </c>
      <c r="C93" s="35">
        <v>1296791.5999999999</v>
      </c>
      <c r="E93" s="172">
        <f t="shared" si="1"/>
        <v>45018</v>
      </c>
      <c r="F93" s="34">
        <f>VLOOKUP(E93,$A$2:C270,2,0)/1000</f>
        <v>0</v>
      </c>
      <c r="G93" s="153">
        <f>VLOOKUP(E93,$A$2:C270,3,0)/1000</f>
        <v>1296.7915999999998</v>
      </c>
    </row>
    <row r="94" spans="1:7">
      <c r="A94" s="99">
        <v>45019</v>
      </c>
      <c r="B94" s="35">
        <v>0</v>
      </c>
      <c r="C94" s="35">
        <v>1327357.5000000005</v>
      </c>
      <c r="E94" s="172">
        <f t="shared" si="1"/>
        <v>45019</v>
      </c>
      <c r="F94" s="34">
        <f>VLOOKUP(E94,$A$2:C271,2,0)/1000</f>
        <v>0</v>
      </c>
      <c r="G94" s="153">
        <f>VLOOKUP(E94,$A$2:C271,3,0)/1000</f>
        <v>1327.3575000000005</v>
      </c>
    </row>
    <row r="95" spans="1:7">
      <c r="A95" s="99">
        <v>45020</v>
      </c>
      <c r="B95" s="35">
        <v>0</v>
      </c>
      <c r="C95" s="35">
        <v>1365096.4</v>
      </c>
      <c r="E95" s="172">
        <f t="shared" si="1"/>
        <v>45020</v>
      </c>
      <c r="F95" s="34">
        <f>VLOOKUP(E95,$A$2:C272,2,0)/1000</f>
        <v>0</v>
      </c>
      <c r="G95" s="153">
        <f>VLOOKUP(E95,$A$2:C272,3,0)/1000</f>
        <v>1365.0963999999999</v>
      </c>
    </row>
    <row r="96" spans="1:7">
      <c r="A96" s="99">
        <v>45021</v>
      </c>
      <c r="B96" s="35">
        <v>0</v>
      </c>
      <c r="C96" s="35">
        <v>1451714.7000000004</v>
      </c>
      <c r="E96" s="172">
        <f t="shared" si="1"/>
        <v>45021</v>
      </c>
      <c r="F96" s="34">
        <f>VLOOKUP(E96,$A$2:C273,2,0)/1000</f>
        <v>0</v>
      </c>
      <c r="G96" s="153">
        <f>VLOOKUP(E96,$A$2:C273,3,0)/1000</f>
        <v>1451.7147000000004</v>
      </c>
    </row>
    <row r="97" spans="1:7">
      <c r="A97" s="99">
        <v>45022</v>
      </c>
      <c r="B97" s="35">
        <v>0</v>
      </c>
      <c r="C97" s="35">
        <v>1320280.7000000002</v>
      </c>
      <c r="E97" s="172">
        <f t="shared" si="1"/>
        <v>45022</v>
      </c>
      <c r="F97" s="34">
        <f>VLOOKUP(E97,$A$2:C274,2,0)/1000</f>
        <v>0</v>
      </c>
      <c r="G97" s="153">
        <f>VLOOKUP(E97,$A$2:C274,3,0)/1000</f>
        <v>1320.2807000000003</v>
      </c>
    </row>
    <row r="98" spans="1:7">
      <c r="A98" s="99">
        <v>45023</v>
      </c>
      <c r="B98" s="35">
        <v>0</v>
      </c>
      <c r="C98" s="35">
        <v>1312626.7</v>
      </c>
      <c r="E98" s="172">
        <f t="shared" si="1"/>
        <v>45023</v>
      </c>
      <c r="F98" s="34">
        <f>VLOOKUP(E98,$A$2:C275,2,0)/1000</f>
        <v>0</v>
      </c>
      <c r="G98" s="153">
        <f>VLOOKUP(E98,$A$2:C275,3,0)/1000</f>
        <v>1312.6267</v>
      </c>
    </row>
    <row r="99" spans="1:7">
      <c r="A99" s="99">
        <v>45024</v>
      </c>
      <c r="B99" s="35">
        <v>0</v>
      </c>
      <c r="C99" s="35">
        <v>1311627.8999999999</v>
      </c>
      <c r="E99" s="172">
        <f t="shared" si="1"/>
        <v>45024</v>
      </c>
      <c r="F99" s="34">
        <f>VLOOKUP(E99,$A$2:C276,2,0)/1000</f>
        <v>0</v>
      </c>
      <c r="G99" s="153">
        <f>VLOOKUP(E99,$A$2:C276,3,0)/1000</f>
        <v>1311.6279</v>
      </c>
    </row>
    <row r="100" spans="1:7">
      <c r="A100" s="99">
        <v>45025</v>
      </c>
      <c r="B100" s="35">
        <v>0</v>
      </c>
      <c r="C100" s="35">
        <v>1339506.3999999999</v>
      </c>
      <c r="E100" s="172">
        <f t="shared" si="1"/>
        <v>45025</v>
      </c>
      <c r="F100" s="34">
        <f>VLOOKUP(E100,$A$2:C277,2,0)/1000</f>
        <v>0</v>
      </c>
      <c r="G100" s="153">
        <f>VLOOKUP(E100,$A$2:C277,3,0)/1000</f>
        <v>1339.5064</v>
      </c>
    </row>
    <row r="101" spans="1:7">
      <c r="A101" s="99">
        <v>45026</v>
      </c>
      <c r="B101" s="35">
        <v>0</v>
      </c>
      <c r="C101" s="35">
        <v>1347174.0999999999</v>
      </c>
      <c r="E101" s="172">
        <f t="shared" si="1"/>
        <v>45026</v>
      </c>
      <c r="F101" s="34">
        <f>VLOOKUP(E101,$A$2:C278,2,0)/1000</f>
        <v>0</v>
      </c>
      <c r="G101" s="153">
        <f>VLOOKUP(E101,$A$2:C278,3,0)/1000</f>
        <v>1347.1741</v>
      </c>
    </row>
    <row r="102" spans="1:7">
      <c r="A102" s="99">
        <v>45027</v>
      </c>
      <c r="B102" s="35">
        <v>0</v>
      </c>
      <c r="C102" s="35">
        <v>1316959.8999999999</v>
      </c>
      <c r="E102" s="172">
        <f t="shared" si="1"/>
        <v>45027</v>
      </c>
      <c r="F102" s="34">
        <f>VLOOKUP(E102,$A$2:C279,2,0)/1000</f>
        <v>0</v>
      </c>
      <c r="G102" s="153">
        <f>VLOOKUP(E102,$A$2:C279,3,0)/1000</f>
        <v>1316.9598999999998</v>
      </c>
    </row>
    <row r="103" spans="1:7">
      <c r="A103" s="99">
        <v>45028</v>
      </c>
      <c r="B103" s="35">
        <v>0</v>
      </c>
      <c r="C103" s="35">
        <v>1095951.5999999999</v>
      </c>
      <c r="E103" s="172">
        <f t="shared" si="1"/>
        <v>45028</v>
      </c>
      <c r="F103" s="34">
        <f>VLOOKUP(E103,$A$2:C280,2,0)/1000</f>
        <v>0</v>
      </c>
      <c r="G103" s="153">
        <f>VLOOKUP(E103,$A$2:C280,3,0)/1000</f>
        <v>1095.9515999999999</v>
      </c>
    </row>
    <row r="104" spans="1:7">
      <c r="A104" s="99">
        <v>45029</v>
      </c>
      <c r="B104" s="35">
        <v>0</v>
      </c>
      <c r="C104" s="35">
        <v>1333679.1000000001</v>
      </c>
      <c r="E104" s="172">
        <f t="shared" si="1"/>
        <v>45029</v>
      </c>
      <c r="F104" s="34">
        <f>VLOOKUP(E104,$A$2:C281,2,0)/1000</f>
        <v>0</v>
      </c>
      <c r="G104" s="153">
        <f>VLOOKUP(E104,$A$2:C281,3,0)/1000</f>
        <v>1333.6791000000001</v>
      </c>
    </row>
    <row r="105" spans="1:7">
      <c r="A105" s="99">
        <v>45030</v>
      </c>
      <c r="B105" s="35">
        <v>0</v>
      </c>
      <c r="C105" s="35">
        <v>1342214.9</v>
      </c>
      <c r="E105" s="172">
        <f t="shared" si="1"/>
        <v>45030</v>
      </c>
      <c r="F105" s="34">
        <f>VLOOKUP(E105,$A$2:C282,2,0)/1000</f>
        <v>0</v>
      </c>
      <c r="G105" s="153">
        <f>VLOOKUP(E105,$A$2:C282,3,0)/1000</f>
        <v>1342.2148999999999</v>
      </c>
    </row>
    <row r="106" spans="1:7">
      <c r="A106" s="99">
        <v>45031</v>
      </c>
      <c r="B106" s="35">
        <v>0</v>
      </c>
      <c r="C106" s="35">
        <v>1300006.8999999999</v>
      </c>
      <c r="E106" s="172">
        <f t="shared" si="1"/>
        <v>45031</v>
      </c>
      <c r="F106" s="34">
        <f>VLOOKUP(E106,$A$2:C283,2,0)/1000</f>
        <v>0</v>
      </c>
      <c r="G106" s="153">
        <f>VLOOKUP(E106,$A$2:C283,3,0)/1000</f>
        <v>1300.0068999999999</v>
      </c>
    </row>
    <row r="107" spans="1:7">
      <c r="A107" s="99">
        <v>45032</v>
      </c>
      <c r="B107" s="35">
        <v>0</v>
      </c>
      <c r="C107" s="35">
        <v>1092276.0000000002</v>
      </c>
      <c r="E107" s="172">
        <f t="shared" si="1"/>
        <v>45032</v>
      </c>
      <c r="F107" s="34">
        <f>VLOOKUP(E107,$A$2:C284,2,0)/1000</f>
        <v>0</v>
      </c>
      <c r="G107" s="153">
        <f>VLOOKUP(E107,$A$2:C284,3,0)/1000</f>
        <v>1092.2760000000003</v>
      </c>
    </row>
    <row r="108" spans="1:7">
      <c r="A108" s="99">
        <v>45033</v>
      </c>
      <c r="B108" s="35">
        <v>0</v>
      </c>
      <c r="C108" s="35">
        <v>1319544.6000000001</v>
      </c>
      <c r="E108" s="172">
        <f t="shared" si="1"/>
        <v>45033</v>
      </c>
      <c r="F108" s="34">
        <f>VLOOKUP(E108,$A$2:C285,2,0)/1000</f>
        <v>0</v>
      </c>
      <c r="G108" s="153">
        <f>VLOOKUP(E108,$A$2:C285,3,0)/1000</f>
        <v>1319.5446000000002</v>
      </c>
    </row>
    <row r="109" spans="1:7">
      <c r="A109" s="99">
        <v>45034</v>
      </c>
      <c r="B109" s="35">
        <v>0</v>
      </c>
      <c r="C109" s="35">
        <v>1330136.1999999997</v>
      </c>
      <c r="E109" s="172">
        <f t="shared" si="1"/>
        <v>45034</v>
      </c>
      <c r="F109" s="34">
        <f>VLOOKUP(E109,$A$2:C286,2,0)/1000</f>
        <v>0</v>
      </c>
      <c r="G109" s="153">
        <f>VLOOKUP(E109,$A$2:C286,3,0)/1000</f>
        <v>1330.1361999999997</v>
      </c>
    </row>
    <row r="110" spans="1:7">
      <c r="A110" s="99">
        <v>45035</v>
      </c>
      <c r="B110" s="35">
        <v>0</v>
      </c>
      <c r="C110" s="35">
        <v>1315503.2999999998</v>
      </c>
      <c r="E110" s="172">
        <f t="shared" si="1"/>
        <v>45035</v>
      </c>
      <c r="F110" s="34">
        <f>VLOOKUP(E110,$A$2:C287,2,0)/1000</f>
        <v>0</v>
      </c>
      <c r="G110" s="153">
        <f>VLOOKUP(E110,$A$2:C287,3,0)/1000</f>
        <v>1315.5032999999999</v>
      </c>
    </row>
    <row r="111" spans="1:7">
      <c r="A111" s="99">
        <v>45036</v>
      </c>
      <c r="B111" s="35">
        <v>0</v>
      </c>
      <c r="C111" s="35">
        <v>1320292.9000000001</v>
      </c>
      <c r="E111" s="172">
        <f t="shared" si="1"/>
        <v>45036</v>
      </c>
      <c r="F111" s="34">
        <f>VLOOKUP(E111,$A$2:C288,2,0)/1000</f>
        <v>0</v>
      </c>
      <c r="G111" s="153">
        <f>VLOOKUP(E111,$A$2:C288,3,0)/1000</f>
        <v>1320.2929000000001</v>
      </c>
    </row>
    <row r="112" spans="1:7">
      <c r="A112" s="99">
        <v>45037</v>
      </c>
      <c r="B112" s="35">
        <v>0</v>
      </c>
      <c r="C112" s="35">
        <v>1311028.3</v>
      </c>
      <c r="E112" s="172">
        <f t="shared" si="1"/>
        <v>45037</v>
      </c>
      <c r="F112" s="34">
        <f>VLOOKUP(E112,$A$2:C289,2,0)/1000</f>
        <v>0</v>
      </c>
      <c r="G112" s="153">
        <f>VLOOKUP(E112,$A$2:C289,3,0)/1000</f>
        <v>1311.0282999999999</v>
      </c>
    </row>
    <row r="113" spans="1:7">
      <c r="A113" s="99">
        <v>45038</v>
      </c>
      <c r="B113" s="35">
        <v>0</v>
      </c>
      <c r="C113" s="35">
        <v>1316918.8999999999</v>
      </c>
      <c r="E113" s="172">
        <f t="shared" si="1"/>
        <v>45038</v>
      </c>
      <c r="F113" s="34">
        <f>VLOOKUP(E113,$A$2:C290,2,0)/1000</f>
        <v>0</v>
      </c>
      <c r="G113" s="153">
        <f>VLOOKUP(E113,$A$2:C290,3,0)/1000</f>
        <v>1316.9188999999999</v>
      </c>
    </row>
    <row r="114" spans="1:7">
      <c r="A114" s="99">
        <v>45039</v>
      </c>
      <c r="B114" s="35">
        <v>0</v>
      </c>
      <c r="C114" s="35">
        <v>1296761.0999999999</v>
      </c>
      <c r="E114" s="172">
        <f t="shared" si="1"/>
        <v>45039</v>
      </c>
      <c r="F114" s="34">
        <f>VLOOKUP(E114,$A$2:C291,2,0)/1000</f>
        <v>0</v>
      </c>
      <c r="G114" s="153">
        <f>VLOOKUP(E114,$A$2:C291,3,0)/1000</f>
        <v>1296.7610999999999</v>
      </c>
    </row>
    <row r="115" spans="1:7">
      <c r="A115" s="99">
        <v>45040</v>
      </c>
      <c r="B115" s="35">
        <v>0</v>
      </c>
      <c r="C115" s="35">
        <v>1218648.3999999999</v>
      </c>
      <c r="E115" s="172">
        <f t="shared" si="1"/>
        <v>45040</v>
      </c>
      <c r="F115" s="34">
        <f>VLOOKUP(E115,$A$2:C292,2,0)/1000</f>
        <v>0</v>
      </c>
      <c r="G115" s="153">
        <f>VLOOKUP(E115,$A$2:C292,3,0)/1000</f>
        <v>1218.6483999999998</v>
      </c>
    </row>
    <row r="116" spans="1:7">
      <c r="A116" s="99">
        <v>45041</v>
      </c>
      <c r="B116" s="35">
        <v>0</v>
      </c>
      <c r="C116" s="35">
        <v>1332998.2999999998</v>
      </c>
      <c r="E116" s="172">
        <f t="shared" si="1"/>
        <v>45041</v>
      </c>
      <c r="F116" s="34">
        <f>VLOOKUP(E116,$A$2:C293,2,0)/1000</f>
        <v>0</v>
      </c>
      <c r="G116" s="153">
        <f>VLOOKUP(E116,$A$2:C293,3,0)/1000</f>
        <v>1332.9982999999997</v>
      </c>
    </row>
    <row r="117" spans="1:7">
      <c r="A117" s="99">
        <v>45042</v>
      </c>
      <c r="B117" s="35">
        <v>0</v>
      </c>
      <c r="C117" s="35">
        <v>1355757.5000000002</v>
      </c>
      <c r="E117" s="172">
        <f t="shared" si="1"/>
        <v>45042</v>
      </c>
      <c r="F117" s="34">
        <f>VLOOKUP(E117,$A$2:C294,2,0)/1000</f>
        <v>0</v>
      </c>
      <c r="G117" s="153">
        <f>VLOOKUP(E117,$A$2:C294,3,0)/1000</f>
        <v>1355.7575000000002</v>
      </c>
    </row>
    <row r="118" spans="1:7">
      <c r="A118" s="99">
        <v>45043</v>
      </c>
      <c r="B118" s="35">
        <v>0</v>
      </c>
      <c r="C118" s="35">
        <v>1164428.5999999999</v>
      </c>
      <c r="E118" s="172">
        <f t="shared" si="1"/>
        <v>45043</v>
      </c>
      <c r="F118" s="34">
        <f>VLOOKUP(E118,$A$2:C295,2,0)/1000</f>
        <v>0</v>
      </c>
      <c r="G118" s="153">
        <f>VLOOKUP(E118,$A$2:C295,3,0)/1000</f>
        <v>1164.4286</v>
      </c>
    </row>
    <row r="119" spans="1:7">
      <c r="A119" s="99">
        <v>45044</v>
      </c>
      <c r="B119" s="35">
        <v>0</v>
      </c>
      <c r="C119" s="35">
        <v>1353154</v>
      </c>
      <c r="E119" s="172">
        <f t="shared" si="1"/>
        <v>45044</v>
      </c>
      <c r="F119" s="34">
        <f>VLOOKUP(E119,$A$2:C296,2,0)/1000</f>
        <v>0</v>
      </c>
      <c r="G119" s="153">
        <f>VLOOKUP(E119,$A$2:C296,3,0)/1000</f>
        <v>1353.154</v>
      </c>
    </row>
    <row r="120" spans="1:7">
      <c r="A120" s="99">
        <v>45045</v>
      </c>
      <c r="B120" s="35">
        <v>0</v>
      </c>
      <c r="C120" s="35">
        <v>1320383.0999999999</v>
      </c>
      <c r="E120" s="172">
        <f t="shared" si="1"/>
        <v>45045</v>
      </c>
      <c r="F120" s="34">
        <f>VLOOKUP(E120,$A$2:C297,2,0)/1000</f>
        <v>0</v>
      </c>
      <c r="G120" s="153">
        <f>VLOOKUP(E120,$A$2:C297,3,0)/1000</f>
        <v>1320.3830999999998</v>
      </c>
    </row>
    <row r="121" spans="1:7">
      <c r="A121" s="99">
        <v>45046</v>
      </c>
      <c r="B121" s="35">
        <v>0</v>
      </c>
      <c r="C121" s="35">
        <v>1289839.3</v>
      </c>
      <c r="E121" s="172">
        <f t="shared" si="1"/>
        <v>45046</v>
      </c>
      <c r="F121" s="34">
        <f>VLOOKUP(E121,$A$2:C298,2,0)/1000</f>
        <v>0</v>
      </c>
      <c r="G121" s="153">
        <f>VLOOKUP(E121,$A$2:C298,3,0)/1000</f>
        <v>1289.8393000000001</v>
      </c>
    </row>
    <row r="122" spans="1:7">
      <c r="A122" s="99">
        <v>45047</v>
      </c>
      <c r="B122" s="35">
        <v>0</v>
      </c>
      <c r="C122" s="35">
        <v>1286602.7000000002</v>
      </c>
      <c r="E122" s="172">
        <f t="shared" si="1"/>
        <v>45047</v>
      </c>
      <c r="F122" s="34">
        <f>VLOOKUP(E122,$A$2:C299,2,0)/1000</f>
        <v>0</v>
      </c>
      <c r="G122" s="153">
        <f>VLOOKUP(E122,$A$2:C299,3,0)/1000</f>
        <v>1286.6027000000001</v>
      </c>
    </row>
    <row r="123" spans="1:7">
      <c r="A123" s="99">
        <v>45048</v>
      </c>
      <c r="B123" s="35">
        <v>0</v>
      </c>
      <c r="C123" s="35">
        <v>1371541.5999999999</v>
      </c>
      <c r="E123" s="172">
        <f t="shared" si="1"/>
        <v>45048</v>
      </c>
      <c r="F123" s="34">
        <f>VLOOKUP(E123,$A$2:C300,2,0)/1000</f>
        <v>0</v>
      </c>
      <c r="G123" s="153">
        <f>VLOOKUP(E123,$A$2:C300,3,0)/1000</f>
        <v>1371.5415999999998</v>
      </c>
    </row>
    <row r="124" spans="1:7">
      <c r="A124" s="99">
        <v>45049</v>
      </c>
      <c r="B124" s="35">
        <v>0</v>
      </c>
      <c r="C124" s="35">
        <v>1426265.6</v>
      </c>
      <c r="E124" s="172">
        <f t="shared" si="1"/>
        <v>45049</v>
      </c>
      <c r="F124" s="34">
        <f>VLOOKUP(E124,$A$2:C301,2,0)/1000</f>
        <v>0</v>
      </c>
      <c r="G124" s="153">
        <f>VLOOKUP(E124,$A$2:C301,3,0)/1000</f>
        <v>1426.2656000000002</v>
      </c>
    </row>
    <row r="125" spans="1:7">
      <c r="A125" s="99">
        <v>45050</v>
      </c>
      <c r="B125" s="35">
        <v>0</v>
      </c>
      <c r="C125" s="35">
        <v>1428291.4999999998</v>
      </c>
      <c r="E125" s="172">
        <f t="shared" si="1"/>
        <v>45050</v>
      </c>
      <c r="F125" s="34">
        <f>VLOOKUP(E125,$A$2:C302,2,0)/1000</f>
        <v>0</v>
      </c>
      <c r="G125" s="153">
        <f>VLOOKUP(E125,$A$2:C302,3,0)/1000</f>
        <v>1428.2914999999998</v>
      </c>
    </row>
    <row r="126" spans="1:7">
      <c r="A126" s="99">
        <v>45051</v>
      </c>
      <c r="B126" s="35">
        <v>0</v>
      </c>
      <c r="C126" s="35">
        <v>1456754.7000000002</v>
      </c>
      <c r="E126" s="172">
        <f t="shared" si="1"/>
        <v>45051</v>
      </c>
      <c r="F126" s="34">
        <f>VLOOKUP(E126,$A$2:C303,2,0)/1000</f>
        <v>0</v>
      </c>
      <c r="G126" s="153">
        <f>VLOOKUP(E126,$A$2:C303,3,0)/1000</f>
        <v>1456.7547000000002</v>
      </c>
    </row>
    <row r="127" spans="1:7">
      <c r="A127" s="99">
        <v>45052</v>
      </c>
      <c r="B127" s="35">
        <v>0</v>
      </c>
      <c r="C127" s="35">
        <v>1403855</v>
      </c>
      <c r="E127" s="172">
        <f t="shared" si="1"/>
        <v>45052</v>
      </c>
      <c r="F127" s="34">
        <f>VLOOKUP(E127,$A$2:C304,2,0)/1000</f>
        <v>0</v>
      </c>
      <c r="G127" s="153">
        <f>VLOOKUP(E127,$A$2:C304,3,0)/1000</f>
        <v>1403.855</v>
      </c>
    </row>
    <row r="128" spans="1:7">
      <c r="A128" s="99">
        <v>45053</v>
      </c>
      <c r="B128" s="35">
        <v>0</v>
      </c>
      <c r="C128" s="35">
        <v>1387848.2</v>
      </c>
      <c r="E128" s="172">
        <f t="shared" si="1"/>
        <v>45053</v>
      </c>
      <c r="F128" s="34">
        <f>VLOOKUP(E128,$A$2:C305,2,0)/1000</f>
        <v>0</v>
      </c>
      <c r="G128" s="153">
        <f>VLOOKUP(E128,$A$2:C305,3,0)/1000</f>
        <v>1387.8481999999999</v>
      </c>
    </row>
    <row r="129" spans="1:7">
      <c r="A129" s="99">
        <v>45054</v>
      </c>
      <c r="B129" s="35">
        <v>0</v>
      </c>
      <c r="C129" s="35">
        <v>1471212.5</v>
      </c>
      <c r="E129" s="172">
        <f t="shared" si="1"/>
        <v>45054</v>
      </c>
      <c r="F129" s="34">
        <f>VLOOKUP(E129,$A$2:C306,2,0)/1000</f>
        <v>0</v>
      </c>
      <c r="G129" s="153">
        <f>VLOOKUP(E129,$A$2:C306,3,0)/1000</f>
        <v>1471.2125000000001</v>
      </c>
    </row>
    <row r="130" spans="1:7">
      <c r="A130" s="99">
        <v>45055</v>
      </c>
      <c r="B130" s="35">
        <v>0</v>
      </c>
      <c r="C130" s="35">
        <v>1526128.9000000004</v>
      </c>
      <c r="E130" s="172">
        <f t="shared" si="1"/>
        <v>45055</v>
      </c>
      <c r="F130" s="34">
        <f>VLOOKUP(E130,$A$2:C307,2,0)/1000</f>
        <v>0</v>
      </c>
      <c r="G130" s="153">
        <f>VLOOKUP(E130,$A$2:C307,3,0)/1000</f>
        <v>1526.1289000000004</v>
      </c>
    </row>
    <row r="131" spans="1:7">
      <c r="A131" s="99">
        <v>45056</v>
      </c>
      <c r="B131" s="35">
        <v>0</v>
      </c>
      <c r="C131" s="35">
        <v>1514204.0999999996</v>
      </c>
      <c r="E131" s="172">
        <f t="shared" ref="E131:E192" si="2">A131</f>
        <v>45056</v>
      </c>
      <c r="F131" s="34">
        <f>VLOOKUP(E131,$A$2:C308,2,0)/1000</f>
        <v>0</v>
      </c>
      <c r="G131" s="153">
        <f>VLOOKUP(E131,$A$2:C308,3,0)/1000</f>
        <v>1514.2040999999997</v>
      </c>
    </row>
    <row r="132" spans="1:7">
      <c r="A132" s="99">
        <v>45057</v>
      </c>
      <c r="B132" s="35">
        <v>0</v>
      </c>
      <c r="C132" s="35">
        <v>1552609.2000000002</v>
      </c>
      <c r="E132" s="172">
        <f t="shared" si="2"/>
        <v>45057</v>
      </c>
      <c r="F132" s="34">
        <f>VLOOKUP(E132,$A$2:C309,2,0)/1000</f>
        <v>0</v>
      </c>
      <c r="G132" s="153">
        <f>VLOOKUP(E132,$A$2:C309,3,0)/1000</f>
        <v>1552.6092000000001</v>
      </c>
    </row>
    <row r="133" spans="1:7">
      <c r="A133" s="99">
        <v>45058</v>
      </c>
      <c r="B133" s="35">
        <v>0</v>
      </c>
      <c r="C133" s="35">
        <v>1575434.2</v>
      </c>
      <c r="E133" s="172">
        <f t="shared" si="2"/>
        <v>45058</v>
      </c>
      <c r="F133" s="34">
        <f>VLOOKUP(E133,$A$2:C310,2,0)/1000</f>
        <v>0</v>
      </c>
      <c r="G133" s="153">
        <f>VLOOKUP(E133,$A$2:C310,3,0)/1000</f>
        <v>1575.4341999999999</v>
      </c>
    </row>
    <row r="134" spans="1:7">
      <c r="A134" s="99">
        <v>45059</v>
      </c>
      <c r="B134" s="35">
        <v>0</v>
      </c>
      <c r="C134" s="35">
        <v>1381993.7</v>
      </c>
      <c r="E134" s="172">
        <f t="shared" si="2"/>
        <v>45059</v>
      </c>
      <c r="F134" s="34">
        <f>VLOOKUP(E134,$A$2:C311,2,0)/1000</f>
        <v>0</v>
      </c>
      <c r="G134" s="153">
        <f>VLOOKUP(E134,$A$2:C311,3,0)/1000</f>
        <v>1381.9937</v>
      </c>
    </row>
    <row r="135" spans="1:7">
      <c r="A135" s="99">
        <v>45060</v>
      </c>
      <c r="B135" s="35">
        <v>0</v>
      </c>
      <c r="C135" s="35">
        <v>1383644.4</v>
      </c>
      <c r="E135" s="172">
        <f t="shared" si="2"/>
        <v>45060</v>
      </c>
      <c r="F135" s="34">
        <f>VLOOKUP(E135,$A$2:C312,2,0)/1000</f>
        <v>0</v>
      </c>
      <c r="G135" s="153">
        <f>VLOOKUP(E135,$A$2:C312,3,0)/1000</f>
        <v>1383.6443999999999</v>
      </c>
    </row>
    <row r="136" spans="1:7">
      <c r="A136" s="99">
        <v>45061</v>
      </c>
      <c r="B136" s="35">
        <v>0</v>
      </c>
      <c r="C136" s="35">
        <v>1419389.8</v>
      </c>
      <c r="E136" s="172">
        <f t="shared" si="2"/>
        <v>45061</v>
      </c>
      <c r="F136" s="34">
        <f>VLOOKUP(E136,$A$2:C313,2,0)/1000</f>
        <v>0</v>
      </c>
      <c r="G136" s="153">
        <f>VLOOKUP(E136,$A$2:C313,3,0)/1000</f>
        <v>1419.3898000000002</v>
      </c>
    </row>
    <row r="137" spans="1:7">
      <c r="A137" s="99">
        <v>45062</v>
      </c>
      <c r="B137" s="35">
        <v>0</v>
      </c>
      <c r="C137" s="35">
        <v>1419389.8</v>
      </c>
      <c r="E137" s="172">
        <f t="shared" si="2"/>
        <v>45062</v>
      </c>
      <c r="F137" s="34">
        <f>VLOOKUP(E137,$A$2:C314,2,0)/1000</f>
        <v>0</v>
      </c>
      <c r="G137" s="153">
        <f>VLOOKUP(E137,$A$2:C314,3,0)/1000</f>
        <v>1419.3898000000002</v>
      </c>
    </row>
    <row r="138" spans="1:7">
      <c r="A138" s="99">
        <v>45063</v>
      </c>
      <c r="B138" s="35">
        <v>0</v>
      </c>
      <c r="C138" s="35">
        <v>1544505.4000000001</v>
      </c>
      <c r="E138" s="172">
        <f t="shared" si="2"/>
        <v>45063</v>
      </c>
      <c r="F138" s="34">
        <f>VLOOKUP(E138,$A$2:C315,2,0)/1000</f>
        <v>0</v>
      </c>
      <c r="G138" s="153">
        <f>VLOOKUP(E138,$A$2:C315,3,0)/1000</f>
        <v>1544.5054000000002</v>
      </c>
    </row>
    <row r="139" spans="1:7">
      <c r="A139" s="99">
        <v>45064</v>
      </c>
      <c r="B139" s="35">
        <v>0</v>
      </c>
      <c r="C139" s="35">
        <v>1398806.7999999998</v>
      </c>
      <c r="E139" s="172">
        <f t="shared" si="2"/>
        <v>45064</v>
      </c>
      <c r="F139" s="34">
        <f>VLOOKUP(E139,$A$2:C316,2,0)/1000</f>
        <v>0</v>
      </c>
      <c r="G139" s="153">
        <f>VLOOKUP(E139,$A$2:C316,3,0)/1000</f>
        <v>1398.8067999999998</v>
      </c>
    </row>
    <row r="140" spans="1:7">
      <c r="A140" s="99">
        <v>45065</v>
      </c>
      <c r="B140" s="35">
        <v>0</v>
      </c>
      <c r="C140" s="35">
        <v>1344114.8</v>
      </c>
      <c r="E140" s="172">
        <f t="shared" si="2"/>
        <v>45065</v>
      </c>
      <c r="F140" s="34">
        <f>VLOOKUP(E140,$A$2:C317,2,0)/1000</f>
        <v>0</v>
      </c>
      <c r="G140" s="153">
        <f>VLOOKUP(E140,$A$2:C317,3,0)/1000</f>
        <v>1344.1148000000001</v>
      </c>
    </row>
    <row r="141" spans="1:7">
      <c r="A141" s="99">
        <v>45066</v>
      </c>
      <c r="B141" s="35">
        <v>0</v>
      </c>
      <c r="C141" s="35">
        <v>1425921.1000000006</v>
      </c>
      <c r="E141" s="172">
        <f t="shared" si="2"/>
        <v>45066</v>
      </c>
      <c r="F141" s="34">
        <f>VLOOKUP(E141,$A$2:C318,2,0)/1000</f>
        <v>0</v>
      </c>
      <c r="G141" s="153">
        <f>VLOOKUP(E141,$A$2:C318,3,0)/1000</f>
        <v>1425.9211000000005</v>
      </c>
    </row>
    <row r="142" spans="1:7">
      <c r="A142" s="99">
        <v>45067</v>
      </c>
      <c r="B142" s="35">
        <v>0</v>
      </c>
      <c r="C142" s="35">
        <v>1356245.1</v>
      </c>
      <c r="E142" s="172">
        <f t="shared" si="2"/>
        <v>45067</v>
      </c>
      <c r="F142" s="34">
        <f>VLOOKUP(E142,$A$2:C319,2,0)/1000</f>
        <v>0</v>
      </c>
      <c r="G142" s="153">
        <f>VLOOKUP(E142,$A$2:C319,3,0)/1000</f>
        <v>1356.2451000000001</v>
      </c>
    </row>
    <row r="143" spans="1:7">
      <c r="A143" s="99">
        <v>45068</v>
      </c>
      <c r="B143" s="35">
        <v>0</v>
      </c>
      <c r="C143" s="35">
        <v>1357519.8000000003</v>
      </c>
      <c r="E143" s="172">
        <f t="shared" si="2"/>
        <v>45068</v>
      </c>
      <c r="F143" s="34">
        <f>VLOOKUP(E143,$A$2:C320,2,0)/1000</f>
        <v>0</v>
      </c>
      <c r="G143" s="153">
        <f>VLOOKUP(E143,$A$2:C320,3,0)/1000</f>
        <v>1357.5198000000003</v>
      </c>
    </row>
    <row r="144" spans="1:7">
      <c r="A144" s="99">
        <v>45069</v>
      </c>
      <c r="B144" s="35">
        <v>0</v>
      </c>
      <c r="C144" s="35">
        <v>1401728</v>
      </c>
      <c r="E144" s="172">
        <f t="shared" si="2"/>
        <v>45069</v>
      </c>
      <c r="F144" s="34">
        <f>VLOOKUP(E144,$A$2:C321,2,0)/1000</f>
        <v>0</v>
      </c>
      <c r="G144" s="153">
        <f>VLOOKUP(E144,$A$2:C321,3,0)/1000</f>
        <v>1401.7280000000001</v>
      </c>
    </row>
    <row r="145" spans="1:7">
      <c r="A145" s="99">
        <v>45070</v>
      </c>
      <c r="B145" s="35">
        <v>0</v>
      </c>
      <c r="C145" s="35">
        <v>1394021.9</v>
      </c>
      <c r="E145" s="172">
        <f t="shared" si="2"/>
        <v>45070</v>
      </c>
      <c r="F145" s="34">
        <f>VLOOKUP(E145,$A$2:C322,2,0)/1000</f>
        <v>0</v>
      </c>
      <c r="G145" s="153">
        <f>VLOOKUP(E145,$A$2:C322,3,0)/1000</f>
        <v>1394.0219</v>
      </c>
    </row>
    <row r="146" spans="1:7">
      <c r="A146" s="99">
        <v>45071</v>
      </c>
      <c r="B146" s="35">
        <v>0</v>
      </c>
      <c r="C146" s="35">
        <v>1386594.5</v>
      </c>
      <c r="E146" s="172">
        <f t="shared" si="2"/>
        <v>45071</v>
      </c>
      <c r="F146" s="34">
        <f>VLOOKUP(E146,$A$2:C323,2,0)/1000</f>
        <v>0</v>
      </c>
      <c r="G146" s="153">
        <f>VLOOKUP(E146,$A$2:C323,3,0)/1000</f>
        <v>1386.5944999999999</v>
      </c>
    </row>
    <row r="147" spans="1:7">
      <c r="A147" s="99">
        <v>45072</v>
      </c>
      <c r="B147" s="35">
        <v>0</v>
      </c>
      <c r="C147" s="35">
        <v>1333220.7</v>
      </c>
      <c r="E147" s="172">
        <f t="shared" si="2"/>
        <v>45072</v>
      </c>
      <c r="F147" s="34">
        <f>VLOOKUP(E147,$A$2:C324,2,0)/1000</f>
        <v>0</v>
      </c>
      <c r="G147" s="153">
        <f>VLOOKUP(E147,$A$2:C324,3,0)/1000</f>
        <v>1333.2206999999999</v>
      </c>
    </row>
    <row r="148" spans="1:7">
      <c r="A148" s="99">
        <v>45073</v>
      </c>
      <c r="B148" s="35">
        <v>0</v>
      </c>
      <c r="C148" s="35">
        <v>1328315.8999999999</v>
      </c>
      <c r="E148" s="172">
        <f t="shared" si="2"/>
        <v>45073</v>
      </c>
      <c r="F148" s="34">
        <f>VLOOKUP(E148,$A$2:C325,2,0)/1000</f>
        <v>0</v>
      </c>
      <c r="G148" s="153">
        <f>VLOOKUP(E148,$A$2:C325,3,0)/1000</f>
        <v>1328.3158999999998</v>
      </c>
    </row>
    <row r="149" spans="1:7">
      <c r="A149" s="99">
        <v>45074</v>
      </c>
      <c r="B149" s="35">
        <v>0</v>
      </c>
      <c r="C149" s="35">
        <v>1317126.4000000001</v>
      </c>
      <c r="E149" s="172">
        <f t="shared" si="2"/>
        <v>45074</v>
      </c>
      <c r="F149" s="34">
        <f>VLOOKUP(E149,$A$2:C326,2,0)/1000</f>
        <v>0</v>
      </c>
      <c r="G149" s="153">
        <f>VLOOKUP(E149,$A$2:C326,3,0)/1000</f>
        <v>1317.1264000000001</v>
      </c>
    </row>
    <row r="150" spans="1:7">
      <c r="A150" s="99">
        <v>45075</v>
      </c>
      <c r="B150" s="35">
        <v>0</v>
      </c>
      <c r="C150" s="35">
        <v>1339303</v>
      </c>
      <c r="E150" s="172">
        <f t="shared" si="2"/>
        <v>45075</v>
      </c>
      <c r="F150" s="34">
        <f>VLOOKUP(E150,$A$2:C327,2,0)/1000</f>
        <v>0</v>
      </c>
      <c r="G150" s="153">
        <f>VLOOKUP(E150,$A$2:C327,3,0)/1000</f>
        <v>1339.3030000000001</v>
      </c>
    </row>
    <row r="151" spans="1:7">
      <c r="A151" s="99">
        <v>45076</v>
      </c>
      <c r="B151" s="35">
        <v>0</v>
      </c>
      <c r="C151" s="35">
        <v>1335746.8000000003</v>
      </c>
      <c r="E151" s="172">
        <f t="shared" si="2"/>
        <v>45076</v>
      </c>
      <c r="F151" s="34">
        <f>VLOOKUP(E151,$A$2:C328,2,0)/1000</f>
        <v>0</v>
      </c>
      <c r="G151" s="153">
        <f>VLOOKUP(E151,$A$2:C328,3,0)/1000</f>
        <v>1335.7468000000003</v>
      </c>
    </row>
    <row r="152" spans="1:7">
      <c r="A152" s="99">
        <v>45077</v>
      </c>
      <c r="B152" s="35">
        <v>0</v>
      </c>
      <c r="C152" s="35">
        <v>1322861.7</v>
      </c>
      <c r="E152" s="172">
        <f t="shared" si="2"/>
        <v>45077</v>
      </c>
      <c r="F152" s="34">
        <f>VLOOKUP(E152,$A$2:C329,2,0)/1000</f>
        <v>0</v>
      </c>
      <c r="G152" s="153">
        <f>VLOOKUP(E152,$A$2:C329,3,0)/1000</f>
        <v>1322.8616999999999</v>
      </c>
    </row>
    <row r="153" spans="1:7">
      <c r="A153" s="99">
        <v>45078</v>
      </c>
      <c r="B153" s="35">
        <v>0</v>
      </c>
      <c r="C153" s="35">
        <v>1341016.8</v>
      </c>
      <c r="E153" s="172">
        <f t="shared" si="2"/>
        <v>45078</v>
      </c>
      <c r="F153" s="34">
        <f>VLOOKUP(E153,$A$2:C330,2,0)/1000</f>
        <v>0</v>
      </c>
      <c r="G153" s="153">
        <f>VLOOKUP(E153,$A$2:C330,3,0)/1000</f>
        <v>1341.0168000000001</v>
      </c>
    </row>
    <row r="154" spans="1:7">
      <c r="A154" s="99">
        <v>45079</v>
      </c>
      <c r="B154" s="35">
        <v>0</v>
      </c>
      <c r="C154" s="35">
        <v>1325864.5</v>
      </c>
      <c r="E154" s="172">
        <f t="shared" si="2"/>
        <v>45079</v>
      </c>
      <c r="F154" s="34">
        <f>VLOOKUP(E154,$A$2:C331,2,0)/1000</f>
        <v>0</v>
      </c>
      <c r="G154" s="153">
        <f>VLOOKUP(E154,$A$2:C331,3,0)/1000</f>
        <v>1325.8644999999999</v>
      </c>
    </row>
    <row r="155" spans="1:7">
      <c r="A155" s="99">
        <v>45080</v>
      </c>
      <c r="B155" s="35">
        <v>0</v>
      </c>
      <c r="C155" s="35">
        <v>1417148.2000000002</v>
      </c>
      <c r="E155" s="172">
        <f t="shared" si="2"/>
        <v>45080</v>
      </c>
      <c r="F155" s="34">
        <f>VLOOKUP(E155,$A$2:C332,2,0)/1000</f>
        <v>0</v>
      </c>
      <c r="G155" s="153">
        <f>VLOOKUP(E155,$A$2:C332,3,0)/1000</f>
        <v>1417.1482000000001</v>
      </c>
    </row>
    <row r="156" spans="1:7">
      <c r="A156" s="99">
        <v>45081</v>
      </c>
      <c r="B156" s="35">
        <v>0</v>
      </c>
      <c r="C156" s="35">
        <v>1330161.8999999997</v>
      </c>
      <c r="E156" s="172">
        <f t="shared" si="2"/>
        <v>45081</v>
      </c>
      <c r="F156" s="34">
        <f>VLOOKUP(E156,$A$2:C333,2,0)/1000</f>
        <v>0</v>
      </c>
      <c r="G156" s="153">
        <f>VLOOKUP(E156,$A$2:C333,3,0)/1000</f>
        <v>1330.1618999999996</v>
      </c>
    </row>
    <row r="157" spans="1:7">
      <c r="A157" s="99">
        <v>45082</v>
      </c>
      <c r="B157" s="35">
        <v>0</v>
      </c>
      <c r="C157" s="35">
        <v>1338096.5999999999</v>
      </c>
      <c r="E157" s="172">
        <f t="shared" si="2"/>
        <v>45082</v>
      </c>
      <c r="F157" s="34">
        <f>VLOOKUP(E157,$A$2:C334,2,0)/1000</f>
        <v>0</v>
      </c>
      <c r="G157" s="153">
        <f>VLOOKUP(E157,$A$2:C334,3,0)/1000</f>
        <v>1338.0965999999999</v>
      </c>
    </row>
    <row r="158" spans="1:7">
      <c r="A158" s="99">
        <v>45083</v>
      </c>
      <c r="B158" s="35">
        <v>0</v>
      </c>
      <c r="C158" s="35">
        <v>1321501.8</v>
      </c>
      <c r="E158" s="172">
        <f t="shared" si="2"/>
        <v>45083</v>
      </c>
      <c r="F158" s="34">
        <f>VLOOKUP(E158,$A$2:C335,2,0)/1000</f>
        <v>0</v>
      </c>
      <c r="G158" s="153">
        <f>VLOOKUP(E158,$A$2:C335,3,0)/1000</f>
        <v>1321.5018</v>
      </c>
    </row>
    <row r="159" spans="1:7">
      <c r="A159" s="99">
        <v>45084</v>
      </c>
      <c r="B159" s="35">
        <v>0</v>
      </c>
      <c r="C159" s="35">
        <v>1383710.5000000002</v>
      </c>
      <c r="E159" s="172">
        <f t="shared" si="2"/>
        <v>45084</v>
      </c>
      <c r="F159" s="34">
        <f>VLOOKUP(E159,$A$2:C336,2,0)/1000</f>
        <v>0</v>
      </c>
      <c r="G159" s="153">
        <f>VLOOKUP(E159,$A$2:C336,3,0)/1000</f>
        <v>1383.7105000000001</v>
      </c>
    </row>
    <row r="160" spans="1:7">
      <c r="A160" s="99">
        <v>45085</v>
      </c>
      <c r="B160" s="35">
        <v>0</v>
      </c>
      <c r="C160" s="35">
        <v>1300874.1000000003</v>
      </c>
      <c r="E160" s="172">
        <f t="shared" si="2"/>
        <v>45085</v>
      </c>
      <c r="F160" s="34">
        <f>VLOOKUP(E160,$A$2:C337,2,0)/1000</f>
        <v>0</v>
      </c>
      <c r="G160" s="153">
        <f>VLOOKUP(E160,$A$2:C337,3,0)/1000</f>
        <v>1300.8741000000002</v>
      </c>
    </row>
    <row r="161" spans="1:7">
      <c r="A161" s="99">
        <v>45086</v>
      </c>
      <c r="B161" s="35">
        <v>0</v>
      </c>
      <c r="C161" s="35">
        <v>1340844.5999999999</v>
      </c>
      <c r="E161" s="172">
        <f t="shared" si="2"/>
        <v>45086</v>
      </c>
      <c r="F161" s="34">
        <f>VLOOKUP(E161,$A$2:C338,2,0)/1000</f>
        <v>0</v>
      </c>
      <c r="G161" s="153">
        <f>VLOOKUP(E161,$A$2:C338,3,0)/1000</f>
        <v>1340.8445999999999</v>
      </c>
    </row>
    <row r="162" spans="1:7">
      <c r="A162" s="99">
        <v>45087</v>
      </c>
      <c r="B162" s="35">
        <v>0</v>
      </c>
      <c r="C162" s="35">
        <v>1305093.3999999999</v>
      </c>
      <c r="E162" s="172">
        <f t="shared" si="2"/>
        <v>45087</v>
      </c>
      <c r="F162" s="34">
        <f>VLOOKUP(E162,$A$2:C339,2,0)/1000</f>
        <v>0</v>
      </c>
      <c r="G162" s="153">
        <f>VLOOKUP(E162,$A$2:C339,3,0)/1000</f>
        <v>1305.0934</v>
      </c>
    </row>
    <row r="163" spans="1:7">
      <c r="A163" s="99">
        <v>45088</v>
      </c>
      <c r="B163" s="35">
        <v>0</v>
      </c>
      <c r="C163" s="35">
        <v>1308231.2999999998</v>
      </c>
      <c r="E163" s="172">
        <f t="shared" si="2"/>
        <v>45088</v>
      </c>
      <c r="F163" s="34">
        <f>VLOOKUP(E163,$A$2:C340,2,0)/1000</f>
        <v>0</v>
      </c>
      <c r="G163" s="153">
        <f>VLOOKUP(E163,$A$2:C340,3,0)/1000</f>
        <v>1308.2312999999999</v>
      </c>
    </row>
    <row r="164" spans="1:7">
      <c r="A164" s="99">
        <v>45089</v>
      </c>
      <c r="B164" s="35">
        <v>0</v>
      </c>
      <c r="C164" s="35">
        <v>1374731.9999999995</v>
      </c>
      <c r="E164" s="172">
        <f t="shared" si="2"/>
        <v>45089</v>
      </c>
      <c r="F164" s="34">
        <f>VLOOKUP(E164,$A$2:C341,2,0)/1000</f>
        <v>0</v>
      </c>
      <c r="G164" s="153">
        <f>VLOOKUP(E164,$A$2:C341,3,0)/1000</f>
        <v>1374.7319999999995</v>
      </c>
    </row>
    <row r="165" spans="1:7">
      <c r="A165" s="99">
        <v>45090</v>
      </c>
      <c r="B165" s="35">
        <v>0</v>
      </c>
      <c r="C165" s="35">
        <v>1419973.8000000003</v>
      </c>
      <c r="E165" s="172">
        <f t="shared" si="2"/>
        <v>45090</v>
      </c>
      <c r="F165" s="34">
        <f>VLOOKUP(E165,$A$2:C342,2,0)/1000</f>
        <v>0</v>
      </c>
      <c r="G165" s="153">
        <f>VLOOKUP(E165,$A$2:C342,3,0)/1000</f>
        <v>1419.9738000000002</v>
      </c>
    </row>
    <row r="166" spans="1:7">
      <c r="A166" s="99">
        <v>45091</v>
      </c>
      <c r="B166" s="35">
        <v>0</v>
      </c>
      <c r="C166" s="35">
        <v>1428353.5000000002</v>
      </c>
      <c r="E166" s="172">
        <f t="shared" si="2"/>
        <v>45091</v>
      </c>
      <c r="F166" s="34">
        <f>VLOOKUP(E166,$A$2:C343,2,0)/1000</f>
        <v>0</v>
      </c>
      <c r="G166" s="153">
        <f>VLOOKUP(E166,$A$2:C343,3,0)/1000</f>
        <v>1428.3535000000002</v>
      </c>
    </row>
    <row r="167" spans="1:7">
      <c r="A167" s="99">
        <v>45092</v>
      </c>
      <c r="B167" s="35">
        <v>0</v>
      </c>
      <c r="C167" s="35">
        <v>1421376.4</v>
      </c>
      <c r="E167" s="172">
        <f t="shared" si="2"/>
        <v>45092</v>
      </c>
      <c r="F167" s="34">
        <f>VLOOKUP(E167,$A$2:C344,2,0)/1000</f>
        <v>0</v>
      </c>
      <c r="G167" s="153">
        <f>VLOOKUP(E167,$A$2:C344,3,0)/1000</f>
        <v>1421.3763999999999</v>
      </c>
    </row>
    <row r="168" spans="1:7">
      <c r="A168" s="99">
        <v>45093</v>
      </c>
      <c r="B168" s="35">
        <v>0</v>
      </c>
      <c r="C168" s="35">
        <v>1358643.3000000003</v>
      </c>
      <c r="E168" s="172">
        <f t="shared" si="2"/>
        <v>45093</v>
      </c>
      <c r="F168" s="34">
        <f>VLOOKUP(E168,$A$2:C345,2,0)/1000</f>
        <v>0</v>
      </c>
      <c r="G168" s="153">
        <f>VLOOKUP(E168,$A$2:C345,3,0)/1000</f>
        <v>1358.6433000000002</v>
      </c>
    </row>
    <row r="169" spans="1:7">
      <c r="A169" s="99">
        <v>45094</v>
      </c>
      <c r="B169" s="35">
        <v>0</v>
      </c>
      <c r="C169" s="35">
        <v>1368844</v>
      </c>
      <c r="E169" s="172">
        <f t="shared" si="2"/>
        <v>45094</v>
      </c>
      <c r="F169" s="34">
        <f>VLOOKUP(E169,$A$2:C346,2,0)/1000</f>
        <v>0</v>
      </c>
      <c r="G169" s="153">
        <f>VLOOKUP(E169,$A$2:C346,3,0)/1000</f>
        <v>1368.8440000000001</v>
      </c>
    </row>
    <row r="170" spans="1:7">
      <c r="A170" s="99">
        <v>45095</v>
      </c>
      <c r="B170" s="35">
        <v>0</v>
      </c>
      <c r="C170" s="35">
        <v>1376663.5000000002</v>
      </c>
      <c r="E170" s="172">
        <f t="shared" si="2"/>
        <v>45095</v>
      </c>
      <c r="F170" s="34">
        <f>VLOOKUP(E170,$A$2:C347,2,0)/1000</f>
        <v>0</v>
      </c>
      <c r="G170" s="153">
        <f>VLOOKUP(E170,$A$2:C347,3,0)/1000</f>
        <v>1376.6635000000003</v>
      </c>
    </row>
    <row r="171" spans="1:7">
      <c r="A171" s="99">
        <v>45096</v>
      </c>
      <c r="B171" s="35">
        <v>0</v>
      </c>
      <c r="C171" s="35">
        <v>1370210.3</v>
      </c>
      <c r="E171" s="172">
        <f t="shared" si="2"/>
        <v>45096</v>
      </c>
      <c r="F171" s="34">
        <f>VLOOKUP(E171,$A$2:C348,2,0)/1000</f>
        <v>0</v>
      </c>
      <c r="G171" s="153">
        <f>VLOOKUP(E171,$A$2:C348,3,0)/1000</f>
        <v>1370.2103</v>
      </c>
    </row>
    <row r="172" spans="1:7">
      <c r="A172" s="99">
        <v>45097</v>
      </c>
      <c r="B172" s="35">
        <v>0</v>
      </c>
      <c r="C172" s="35">
        <v>1418861.6</v>
      </c>
      <c r="E172" s="172">
        <f t="shared" si="2"/>
        <v>45097</v>
      </c>
      <c r="F172" s="34">
        <f>VLOOKUP(E172,$A$2:C349,2,0)/1000</f>
        <v>0</v>
      </c>
      <c r="G172" s="153">
        <f>VLOOKUP(E172,$A$2:C349,3,0)/1000</f>
        <v>1418.8616000000002</v>
      </c>
    </row>
    <row r="173" spans="1:7">
      <c r="A173" s="99">
        <v>45098</v>
      </c>
      <c r="B173" s="35">
        <v>0</v>
      </c>
      <c r="C173" s="35">
        <v>1404897.0000000002</v>
      </c>
      <c r="E173" s="172">
        <f t="shared" si="2"/>
        <v>45098</v>
      </c>
      <c r="F173" s="34">
        <f>VLOOKUP(E173,$A$2:C350,2,0)/1000</f>
        <v>0</v>
      </c>
      <c r="G173" s="153">
        <f>VLOOKUP(E173,$A$2:C350,3,0)/1000</f>
        <v>1404.8970000000002</v>
      </c>
    </row>
    <row r="174" spans="1:7">
      <c r="A174" s="99">
        <v>45099</v>
      </c>
      <c r="B174" s="35">
        <v>0</v>
      </c>
      <c r="C174" s="35">
        <v>1349602.1</v>
      </c>
      <c r="E174" s="172">
        <f t="shared" si="2"/>
        <v>45099</v>
      </c>
      <c r="F174" s="34">
        <f>VLOOKUP(E174,$A$2:C351,2,0)/1000</f>
        <v>0</v>
      </c>
      <c r="G174" s="153">
        <f>VLOOKUP(E174,$A$2:C351,3,0)/1000</f>
        <v>1349.6021000000001</v>
      </c>
    </row>
    <row r="175" spans="1:7">
      <c r="A175" s="99">
        <v>45100</v>
      </c>
      <c r="B175" s="35">
        <v>0</v>
      </c>
      <c r="C175" s="35">
        <v>1400424.2000000002</v>
      </c>
      <c r="E175" s="172">
        <f t="shared" si="2"/>
        <v>45100</v>
      </c>
      <c r="F175" s="34">
        <f>VLOOKUP(E175,$A$2:C352,2,0)/1000</f>
        <v>0</v>
      </c>
      <c r="G175" s="153">
        <f>VLOOKUP(E175,$A$2:C352,3,0)/1000</f>
        <v>1400.4242000000002</v>
      </c>
    </row>
    <row r="176" spans="1:7">
      <c r="A176" s="99">
        <v>45101</v>
      </c>
      <c r="B176" s="35">
        <v>0</v>
      </c>
      <c r="C176" s="35">
        <v>1563729.5999999999</v>
      </c>
      <c r="E176" s="172">
        <f t="shared" si="2"/>
        <v>45101</v>
      </c>
      <c r="F176" s="34">
        <f>VLOOKUP(E176,$A$2:C353,2,0)/1000</f>
        <v>0</v>
      </c>
      <c r="G176" s="153">
        <f>VLOOKUP(E176,$A$2:C353,3,0)/1000</f>
        <v>1563.7295999999999</v>
      </c>
    </row>
    <row r="177" spans="1:7">
      <c r="A177" s="99">
        <v>45102</v>
      </c>
      <c r="B177" s="35">
        <v>0</v>
      </c>
      <c r="C177" s="35">
        <v>1557280.2999999998</v>
      </c>
      <c r="E177" s="172">
        <f t="shared" si="2"/>
        <v>45102</v>
      </c>
      <c r="F177" s="34">
        <f>VLOOKUP(E177,$A$2:C354,2,0)/1000</f>
        <v>0</v>
      </c>
      <c r="G177" s="153">
        <f>VLOOKUP(E177,$A$2:C354,3,0)/1000</f>
        <v>1557.2802999999999</v>
      </c>
    </row>
    <row r="178" spans="1:7">
      <c r="A178" s="99">
        <v>45103</v>
      </c>
      <c r="B178" s="35">
        <v>0</v>
      </c>
      <c r="C178" s="35">
        <v>1597440.6000000003</v>
      </c>
      <c r="E178" s="172">
        <f t="shared" si="2"/>
        <v>45103</v>
      </c>
      <c r="F178" s="34">
        <f>VLOOKUP(E178,$A$2:C355,2,0)/1000</f>
        <v>0</v>
      </c>
      <c r="G178" s="153">
        <f>VLOOKUP(E178,$A$2:C355,3,0)/1000</f>
        <v>1597.4406000000004</v>
      </c>
    </row>
    <row r="179" spans="1:7">
      <c r="A179" s="99">
        <v>45104</v>
      </c>
      <c r="B179" s="35">
        <v>0</v>
      </c>
      <c r="C179" s="35">
        <v>1580880.2000000002</v>
      </c>
      <c r="E179" s="172">
        <f t="shared" si="2"/>
        <v>45104</v>
      </c>
      <c r="F179" s="34">
        <f>VLOOKUP(E179,$A$2:C356,2,0)/1000</f>
        <v>0</v>
      </c>
      <c r="G179" s="153">
        <f>VLOOKUP(E179,$A$2:C356,3,0)/1000</f>
        <v>1580.8802000000003</v>
      </c>
    </row>
    <row r="180" spans="1:7">
      <c r="A180" s="99">
        <v>45105</v>
      </c>
      <c r="B180" s="35">
        <v>0</v>
      </c>
      <c r="C180" s="35">
        <v>1278476</v>
      </c>
      <c r="E180" s="172">
        <f t="shared" si="2"/>
        <v>45105</v>
      </c>
      <c r="F180" s="34">
        <f>VLOOKUP(E180,$A$2:C357,2,0)/1000</f>
        <v>0</v>
      </c>
      <c r="G180" s="153">
        <f>VLOOKUP(E180,$A$2:C357,3,0)/1000</f>
        <v>1278.4760000000001</v>
      </c>
    </row>
    <row r="181" spans="1:7">
      <c r="A181" s="99">
        <v>45106</v>
      </c>
      <c r="B181" s="35">
        <v>0</v>
      </c>
      <c r="C181" s="35">
        <v>1097982.3999999999</v>
      </c>
      <c r="E181" s="172">
        <f t="shared" si="2"/>
        <v>45106</v>
      </c>
      <c r="F181" s="34">
        <f>VLOOKUP(E181,$A$2:C358,2,0)/1000</f>
        <v>0</v>
      </c>
      <c r="G181" s="153">
        <f>VLOOKUP(E181,$A$2:C358,3,0)/1000</f>
        <v>1097.9823999999999</v>
      </c>
    </row>
    <row r="182" spans="1:7">
      <c r="A182" s="99">
        <v>45107</v>
      </c>
      <c r="B182" s="35">
        <v>0</v>
      </c>
      <c r="C182" s="35">
        <v>1102283.3999999999</v>
      </c>
      <c r="E182" s="172">
        <f t="shared" si="2"/>
        <v>45107</v>
      </c>
      <c r="F182" s="34">
        <f>VLOOKUP(E182,$A$2:C359,2,0)/1000</f>
        <v>0</v>
      </c>
      <c r="G182" s="153">
        <f>VLOOKUP(E182,$A$2:C359,3,0)/1000</f>
        <v>1102.2833999999998</v>
      </c>
    </row>
    <row r="183" spans="1:7">
      <c r="A183" s="99">
        <v>45108</v>
      </c>
      <c r="B183" s="35">
        <v>0</v>
      </c>
      <c r="C183" s="35">
        <v>1302352.4999999998</v>
      </c>
      <c r="E183" s="172">
        <f t="shared" si="2"/>
        <v>45108</v>
      </c>
      <c r="F183" s="34">
        <f>VLOOKUP(E183,$A$2:C360,2,0)/1000</f>
        <v>0</v>
      </c>
      <c r="G183" s="153">
        <f>VLOOKUP(E183,$A$2:C360,3,0)/1000</f>
        <v>1302.3524999999997</v>
      </c>
    </row>
    <row r="184" spans="1:7">
      <c r="A184" s="99">
        <v>45109</v>
      </c>
      <c r="B184" s="35">
        <v>0</v>
      </c>
      <c r="C184" s="35">
        <v>1315657.2</v>
      </c>
      <c r="E184" s="172">
        <f t="shared" si="2"/>
        <v>45109</v>
      </c>
      <c r="F184" s="34">
        <f>VLOOKUP(E184,$A$2:C361,2,0)/1000</f>
        <v>0</v>
      </c>
      <c r="G184" s="153">
        <f>VLOOKUP(E184,$A$2:C361,3,0)/1000</f>
        <v>1315.6571999999999</v>
      </c>
    </row>
    <row r="185" spans="1:7">
      <c r="A185" s="99">
        <v>45110</v>
      </c>
      <c r="B185" s="35">
        <v>0</v>
      </c>
      <c r="C185" s="35">
        <v>1301222.2000000004</v>
      </c>
      <c r="E185" s="172">
        <f t="shared" si="2"/>
        <v>45110</v>
      </c>
      <c r="F185" s="34">
        <f>VLOOKUP(E185,$A$2:C362,2,0)/1000</f>
        <v>0</v>
      </c>
      <c r="G185" s="153">
        <f>VLOOKUP(E185,$A$2:C362,3,0)/1000</f>
        <v>1301.2222000000004</v>
      </c>
    </row>
    <row r="186" spans="1:7">
      <c r="A186" s="99">
        <v>45111</v>
      </c>
      <c r="B186" s="35">
        <v>0</v>
      </c>
      <c r="C186" s="35">
        <v>1309182.8</v>
      </c>
      <c r="E186" s="172">
        <f t="shared" si="2"/>
        <v>45111</v>
      </c>
      <c r="F186" s="34">
        <f>VLOOKUP(E186,$A$2:C363,2,0)/1000</f>
        <v>0</v>
      </c>
      <c r="G186" s="153">
        <f>VLOOKUP(E186,$A$2:C363,3,0)/1000</f>
        <v>1309.1828</v>
      </c>
    </row>
    <row r="187" spans="1:7">
      <c r="A187" s="99">
        <v>45112</v>
      </c>
      <c r="B187" s="35">
        <v>0</v>
      </c>
      <c r="C187" s="35">
        <v>1307300.1000000003</v>
      </c>
      <c r="E187" s="172">
        <f t="shared" si="2"/>
        <v>45112</v>
      </c>
      <c r="F187" s="34">
        <f>VLOOKUP(E187,$A$2:C364,2,0)/1000</f>
        <v>0</v>
      </c>
      <c r="G187" s="153">
        <f>VLOOKUP(E187,$A$2:C364,3,0)/1000</f>
        <v>1307.3001000000004</v>
      </c>
    </row>
    <row r="188" spans="1:7">
      <c r="A188" s="99">
        <v>45113</v>
      </c>
      <c r="B188" s="35">
        <v>0</v>
      </c>
      <c r="C188" s="35">
        <v>1304062.9000000001</v>
      </c>
      <c r="E188" s="172">
        <f t="shared" si="2"/>
        <v>45113</v>
      </c>
      <c r="F188" s="34">
        <f>VLOOKUP(E188,$A$2:C365,2,0)/1000</f>
        <v>0</v>
      </c>
      <c r="G188" s="153">
        <f>VLOOKUP(E188,$A$2:C365,3,0)/1000</f>
        <v>1304.0629000000001</v>
      </c>
    </row>
    <row r="189" spans="1:7">
      <c r="A189" s="99">
        <v>45114</v>
      </c>
      <c r="B189" s="35">
        <v>0</v>
      </c>
      <c r="C189" s="35">
        <v>1299845.1000000001</v>
      </c>
      <c r="E189" s="172">
        <f t="shared" si="2"/>
        <v>45114</v>
      </c>
      <c r="F189" s="34">
        <f>VLOOKUP(E189,$A$2:C366,2,0)/1000</f>
        <v>0</v>
      </c>
      <c r="G189" s="153">
        <f>VLOOKUP(E189,$A$2:C366,3,0)/1000</f>
        <v>1299.8451</v>
      </c>
    </row>
    <row r="190" spans="1:7">
      <c r="A190" s="99">
        <v>45115</v>
      </c>
      <c r="B190" s="35">
        <v>0</v>
      </c>
      <c r="C190" s="35">
        <v>1301478.4000000001</v>
      </c>
      <c r="E190" s="172">
        <f t="shared" si="2"/>
        <v>45115</v>
      </c>
      <c r="F190" s="34">
        <f>VLOOKUP(E190,$A$2:C367,2,0)/1000</f>
        <v>0</v>
      </c>
      <c r="G190" s="153">
        <f>VLOOKUP(E190,$A$2:C367,3,0)/1000</f>
        <v>1301.4784000000002</v>
      </c>
    </row>
    <row r="191" spans="1:7">
      <c r="A191" s="99">
        <v>45116</v>
      </c>
      <c r="B191" s="35">
        <v>0</v>
      </c>
      <c r="C191" s="35">
        <v>1306305.1999999997</v>
      </c>
      <c r="E191" s="172">
        <f t="shared" si="2"/>
        <v>45116</v>
      </c>
      <c r="F191" s="34">
        <f>VLOOKUP(E191,$A$2:C368,2,0)/1000</f>
        <v>0</v>
      </c>
      <c r="G191" s="153">
        <f>VLOOKUP(E191,$A$2:C368,3,0)/1000</f>
        <v>1306.3051999999998</v>
      </c>
    </row>
    <row r="192" spans="1:7">
      <c r="A192" s="99">
        <v>45117</v>
      </c>
      <c r="B192" s="35">
        <v>0</v>
      </c>
      <c r="C192" s="35">
        <v>1308992.8</v>
      </c>
      <c r="E192" s="172">
        <f t="shared" si="2"/>
        <v>45117</v>
      </c>
      <c r="F192" s="34">
        <f>VLOOKUP(E192,$A$2:C369,2,0)/1000</f>
        <v>0</v>
      </c>
      <c r="G192" s="153">
        <f>VLOOKUP(E192,$A$2:C369,3,0)/1000</f>
        <v>1308.9928</v>
      </c>
    </row>
    <row r="193" spans="1:7">
      <c r="A193" s="99">
        <v>45118</v>
      </c>
      <c r="B193" s="35">
        <v>0</v>
      </c>
      <c r="C193" s="35">
        <v>1305505.1999999997</v>
      </c>
      <c r="E193" s="172">
        <f t="shared" ref="E193:E198" si="3">A193</f>
        <v>45118</v>
      </c>
      <c r="F193" s="34">
        <f>VLOOKUP(E193,$A$2:C370,2,0)/1000</f>
        <v>0</v>
      </c>
      <c r="G193" s="153">
        <f>VLOOKUP(E193,$A$2:C370,3,0)/1000</f>
        <v>1305.5051999999998</v>
      </c>
    </row>
    <row r="194" spans="1:7">
      <c r="A194" s="99">
        <v>45119</v>
      </c>
      <c r="B194" s="35">
        <v>0</v>
      </c>
      <c r="C194" s="35">
        <v>1302026.5000000002</v>
      </c>
      <c r="E194" s="172">
        <f t="shared" si="3"/>
        <v>45119</v>
      </c>
      <c r="F194" s="34">
        <f>VLOOKUP(E194,$A$2:C371,2,0)/1000</f>
        <v>0</v>
      </c>
      <c r="G194" s="153">
        <f>VLOOKUP(E194,$A$2:C371,3,0)/1000</f>
        <v>1302.0265000000002</v>
      </c>
    </row>
    <row r="195" spans="1:7">
      <c r="A195" s="99">
        <v>45120</v>
      </c>
      <c r="B195" s="35">
        <v>0</v>
      </c>
      <c r="C195" s="35">
        <v>1300785.5999999996</v>
      </c>
      <c r="E195" s="172">
        <f t="shared" si="3"/>
        <v>45120</v>
      </c>
      <c r="F195" s="34">
        <f>VLOOKUP(E195,$A$2:C372,2,0)/1000</f>
        <v>0</v>
      </c>
      <c r="G195" s="153">
        <f>VLOOKUP(E195,$A$2:C372,3,0)/1000</f>
        <v>1300.7855999999997</v>
      </c>
    </row>
    <row r="196" spans="1:7">
      <c r="A196" s="99">
        <v>45121</v>
      </c>
      <c r="B196" s="35">
        <v>0</v>
      </c>
      <c r="C196" s="35">
        <v>1303563.6000000001</v>
      </c>
      <c r="E196" s="172">
        <f t="shared" si="3"/>
        <v>45121</v>
      </c>
      <c r="F196" s="34">
        <f>VLOOKUP(E196,$A$2:C373,2,0)/1000</f>
        <v>0</v>
      </c>
      <c r="G196" s="153">
        <f>VLOOKUP(E196,$A$2:C373,3,0)/1000</f>
        <v>1303.5636000000002</v>
      </c>
    </row>
    <row r="197" spans="1:7">
      <c r="A197" s="99">
        <v>45122</v>
      </c>
      <c r="B197" s="35">
        <v>0</v>
      </c>
      <c r="C197" s="35">
        <v>1287886.8</v>
      </c>
      <c r="E197" s="172">
        <f t="shared" si="3"/>
        <v>45122</v>
      </c>
      <c r="F197" s="34">
        <f>VLOOKUP(E197,$A$2:C374,2,0)/1000</f>
        <v>0</v>
      </c>
      <c r="G197" s="153">
        <f>VLOOKUP(E197,$A$2:C374,3,0)/1000</f>
        <v>1287.8868</v>
      </c>
    </row>
    <row r="198" spans="1:7">
      <c r="A198" s="99">
        <v>45123</v>
      </c>
      <c r="B198" s="35">
        <v>0</v>
      </c>
      <c r="C198" s="35">
        <v>1296403.3</v>
      </c>
      <c r="E198" s="172">
        <f t="shared" si="3"/>
        <v>45123</v>
      </c>
      <c r="F198" s="34">
        <f>VLOOKUP(E198,$A$2:C375,2,0)/1000</f>
        <v>0</v>
      </c>
      <c r="G198" s="153">
        <f>VLOOKUP(E198,$A$2:C375,3,0)/1000</f>
        <v>1296.4032999999999</v>
      </c>
    </row>
    <row r="199" spans="1:7">
      <c r="A199" s="99">
        <v>45124</v>
      </c>
      <c r="B199" s="35">
        <v>0</v>
      </c>
      <c r="C199" s="35">
        <v>1301336.1000000001</v>
      </c>
      <c r="E199" s="172">
        <f t="shared" ref="E199:E204" si="4">A199</f>
        <v>45124</v>
      </c>
      <c r="F199" s="34">
        <f>VLOOKUP(E199,$A$2:C376,2,0)/1000</f>
        <v>0</v>
      </c>
      <c r="G199" s="153">
        <f>VLOOKUP(E199,$A$2:C376,3,0)/1000</f>
        <v>1301.3361</v>
      </c>
    </row>
    <row r="200" spans="1:7">
      <c r="A200" s="99">
        <v>45125</v>
      </c>
      <c r="B200" s="35">
        <v>0</v>
      </c>
      <c r="C200" s="35">
        <v>1296972.8999999999</v>
      </c>
      <c r="E200" s="172">
        <f t="shared" si="4"/>
        <v>45125</v>
      </c>
      <c r="F200" s="34">
        <f>VLOOKUP(E200,$A$2:C377,2,0)/1000</f>
        <v>0</v>
      </c>
      <c r="G200" s="153">
        <f>VLOOKUP(E200,$A$2:C377,3,0)/1000</f>
        <v>1296.9729</v>
      </c>
    </row>
    <row r="201" spans="1:7">
      <c r="A201" s="99">
        <v>45126</v>
      </c>
      <c r="B201" s="35">
        <v>0</v>
      </c>
      <c r="C201" s="35">
        <v>1300188.2</v>
      </c>
      <c r="E201" s="172">
        <f t="shared" si="4"/>
        <v>45126</v>
      </c>
      <c r="F201" s="34">
        <f>VLOOKUP(E201,$A$2:C378,2,0)/1000</f>
        <v>0</v>
      </c>
      <c r="G201" s="153">
        <f>VLOOKUP(E201,$A$2:C378,3,0)/1000</f>
        <v>1300.1882000000001</v>
      </c>
    </row>
    <row r="202" spans="1:7">
      <c r="A202" s="99">
        <v>45127</v>
      </c>
      <c r="B202" s="35">
        <v>0</v>
      </c>
      <c r="C202" s="35">
        <v>1304687.5000000002</v>
      </c>
      <c r="E202" s="172">
        <f t="shared" si="4"/>
        <v>45127</v>
      </c>
      <c r="F202" s="34">
        <f>VLOOKUP(E202,$A$2:C379,2,0)/1000</f>
        <v>0</v>
      </c>
      <c r="G202" s="153">
        <f>VLOOKUP(E202,$A$2:C379,3,0)/1000</f>
        <v>1304.6875000000002</v>
      </c>
    </row>
    <row r="203" spans="1:7">
      <c r="A203" s="99">
        <v>45128</v>
      </c>
      <c r="B203" s="35">
        <v>0</v>
      </c>
      <c r="C203" s="35">
        <v>1063070.2999999998</v>
      </c>
      <c r="E203" s="172">
        <f t="shared" si="4"/>
        <v>45128</v>
      </c>
      <c r="F203" s="34">
        <f>VLOOKUP(E203,$A$2:C380,2,0)/1000</f>
        <v>0</v>
      </c>
      <c r="G203" s="153">
        <f>VLOOKUP(E203,$A$2:C380,3,0)/1000</f>
        <v>1063.0702999999999</v>
      </c>
    </row>
    <row r="204" spans="1:7">
      <c r="A204" s="99">
        <v>45129</v>
      </c>
      <c r="B204" s="35">
        <v>0</v>
      </c>
      <c r="C204" s="35">
        <v>1299616.7</v>
      </c>
      <c r="E204" s="172">
        <f t="shared" si="4"/>
        <v>45129</v>
      </c>
      <c r="F204" s="34">
        <f>VLOOKUP(E204,$A$2:C381,2,0)/1000</f>
        <v>0</v>
      </c>
      <c r="G204" s="153">
        <f>VLOOKUP(E204,$A$2:C381,3,0)/1000</f>
        <v>1299.6167</v>
      </c>
    </row>
    <row r="205" spans="1:7">
      <c r="A205" s="99">
        <v>45130</v>
      </c>
      <c r="B205" s="35">
        <v>0</v>
      </c>
      <c r="C205" s="35">
        <v>1304439.2999999998</v>
      </c>
      <c r="E205" s="172">
        <f t="shared" ref="E205:E233" si="5">A205</f>
        <v>45130</v>
      </c>
      <c r="F205" s="34">
        <f>VLOOKUP(E205,$A$2:C382,2,0)/1000</f>
        <v>0</v>
      </c>
      <c r="G205" s="153">
        <f>VLOOKUP(E205,$A$2:C382,3,0)/1000</f>
        <v>1304.4392999999998</v>
      </c>
    </row>
    <row r="206" spans="1:7">
      <c r="A206" s="99">
        <v>45131</v>
      </c>
      <c r="B206" s="35">
        <v>0</v>
      </c>
      <c r="C206" s="35">
        <v>1286472.5</v>
      </c>
      <c r="E206" s="172">
        <f t="shared" si="5"/>
        <v>45131</v>
      </c>
      <c r="F206" s="34">
        <f>VLOOKUP(E206,$A$2:C383,2,0)/1000</f>
        <v>0</v>
      </c>
      <c r="G206" s="153">
        <f>VLOOKUP(E206,$A$2:C383,3,0)/1000</f>
        <v>1286.4725000000001</v>
      </c>
    </row>
    <row r="207" spans="1:7">
      <c r="A207" s="99">
        <v>45132</v>
      </c>
      <c r="B207" s="35">
        <v>0</v>
      </c>
      <c r="C207" s="35">
        <v>1278576.2000000002</v>
      </c>
      <c r="E207" s="172">
        <f t="shared" si="5"/>
        <v>45132</v>
      </c>
      <c r="F207" s="34">
        <f>VLOOKUP(E207,$A$2:C384,2,0)/1000</f>
        <v>0</v>
      </c>
      <c r="G207" s="153">
        <f>VLOOKUP(E207,$A$2:C384,3,0)/1000</f>
        <v>1278.5762000000002</v>
      </c>
    </row>
    <row r="208" spans="1:7">
      <c r="A208" s="99">
        <v>45133</v>
      </c>
      <c r="B208" s="35">
        <v>0</v>
      </c>
      <c r="C208" s="35">
        <v>1078402.6000000001</v>
      </c>
      <c r="E208" s="172">
        <f t="shared" si="5"/>
        <v>45133</v>
      </c>
      <c r="F208" s="34">
        <f>VLOOKUP(E208,$A$2:C385,2,0)/1000</f>
        <v>0</v>
      </c>
      <c r="G208" s="153">
        <f>VLOOKUP(E208,$A$2:C385,3,0)/1000</f>
        <v>1078.4026000000001</v>
      </c>
    </row>
    <row r="209" spans="1:7">
      <c r="A209" s="99">
        <v>45134</v>
      </c>
      <c r="B209" s="35">
        <v>0</v>
      </c>
      <c r="C209" s="35">
        <v>1296150.3</v>
      </c>
      <c r="E209" s="172">
        <f t="shared" si="5"/>
        <v>45134</v>
      </c>
      <c r="F209" s="34">
        <f>VLOOKUP(E209,$A$2:C386,2,0)/1000</f>
        <v>0</v>
      </c>
      <c r="G209" s="153">
        <f>VLOOKUP(E209,$A$2:C386,3,0)/1000</f>
        <v>1296.1503</v>
      </c>
    </row>
    <row r="210" spans="1:7">
      <c r="A210" s="99">
        <v>45135</v>
      </c>
      <c r="B210" s="35">
        <v>0</v>
      </c>
      <c r="C210" s="35">
        <v>1297355.8</v>
      </c>
      <c r="E210" s="172">
        <f t="shared" si="5"/>
        <v>45135</v>
      </c>
      <c r="F210" s="34">
        <f>VLOOKUP(E210,$A$2:C387,2,0)/1000</f>
        <v>0</v>
      </c>
      <c r="G210" s="153">
        <f>VLOOKUP(E210,$A$2:C387,3,0)/1000</f>
        <v>1297.3558</v>
      </c>
    </row>
    <row r="211" spans="1:7">
      <c r="A211" s="99">
        <v>45136</v>
      </c>
      <c r="B211" s="35">
        <v>0</v>
      </c>
      <c r="C211" s="35">
        <v>1299304.5999999999</v>
      </c>
      <c r="E211" s="172">
        <f t="shared" si="5"/>
        <v>45136</v>
      </c>
      <c r="F211" s="34">
        <f>VLOOKUP(E211,$A$2:C388,2,0)/1000</f>
        <v>0</v>
      </c>
      <c r="G211" s="153">
        <f>VLOOKUP(E211,$A$2:C388,3,0)/1000</f>
        <v>1299.3045999999999</v>
      </c>
    </row>
    <row r="212" spans="1:7">
      <c r="A212" s="99">
        <v>45137</v>
      </c>
      <c r="B212" s="35">
        <v>0</v>
      </c>
      <c r="C212" s="35">
        <v>1299050.2999999998</v>
      </c>
      <c r="E212" s="172">
        <f t="shared" si="5"/>
        <v>45137</v>
      </c>
      <c r="F212" s="34">
        <f>VLOOKUP(E212,$A$2:C389,2,0)/1000</f>
        <v>0</v>
      </c>
      <c r="G212" s="153">
        <f>VLOOKUP(E212,$A$2:C389,3,0)/1000</f>
        <v>1299.0502999999999</v>
      </c>
    </row>
    <row r="213" spans="1:7">
      <c r="A213" s="99">
        <v>45138</v>
      </c>
      <c r="B213" s="35">
        <v>0</v>
      </c>
      <c r="C213" s="35">
        <v>1247889.3</v>
      </c>
      <c r="E213" s="172">
        <f t="shared" si="5"/>
        <v>45138</v>
      </c>
      <c r="F213" s="34">
        <f>VLOOKUP(E213,$A$2:C390,2,0)/1000</f>
        <v>0</v>
      </c>
      <c r="G213" s="153">
        <f>VLOOKUP(E213,$A$2:C390,3,0)/1000</f>
        <v>1247.8893</v>
      </c>
    </row>
    <row r="214" spans="1:7">
      <c r="A214" s="99">
        <v>45139</v>
      </c>
      <c r="B214" s="35">
        <v>0</v>
      </c>
      <c r="C214" s="35">
        <v>1339809.6999999997</v>
      </c>
      <c r="E214" s="172">
        <f t="shared" si="5"/>
        <v>45139</v>
      </c>
      <c r="F214" s="34">
        <f>VLOOKUP(E214,$A$2:C391,2,0)/1000</f>
        <v>0</v>
      </c>
      <c r="G214" s="153">
        <f>VLOOKUP(E214,$A$2:C391,3,0)/1000</f>
        <v>1339.8096999999998</v>
      </c>
    </row>
    <row r="215" spans="1:7">
      <c r="A215" s="99">
        <v>45140</v>
      </c>
      <c r="B215" s="35">
        <v>0</v>
      </c>
      <c r="C215" s="35">
        <v>1340985.1000000001</v>
      </c>
      <c r="E215" s="172">
        <f t="shared" si="5"/>
        <v>45140</v>
      </c>
      <c r="F215" s="34">
        <f>VLOOKUP(E215,$A$2:C392,2,0)/1000</f>
        <v>0</v>
      </c>
      <c r="G215" s="153">
        <f>VLOOKUP(E215,$A$2:C392,3,0)/1000</f>
        <v>1340.9851000000001</v>
      </c>
    </row>
    <row r="216" spans="1:7">
      <c r="A216" s="99">
        <v>45141</v>
      </c>
      <c r="B216" s="35">
        <v>0</v>
      </c>
      <c r="C216" s="35">
        <v>1393065</v>
      </c>
      <c r="E216" s="172">
        <f t="shared" si="5"/>
        <v>45141</v>
      </c>
      <c r="F216" s="34">
        <f>VLOOKUP(E216,$A$2:C393,2,0)/1000</f>
        <v>0</v>
      </c>
      <c r="G216" s="153">
        <f>VLOOKUP(E216,$A$2:C393,3,0)/1000</f>
        <v>1393.0650000000001</v>
      </c>
    </row>
    <row r="217" spans="1:7">
      <c r="A217" s="99">
        <v>45142</v>
      </c>
      <c r="B217" s="35">
        <v>0</v>
      </c>
      <c r="C217" s="35">
        <v>1377100.8</v>
      </c>
      <c r="E217" s="172">
        <f t="shared" si="5"/>
        <v>45142</v>
      </c>
      <c r="F217" s="34">
        <f>VLOOKUP(E217,$A$2:C394,2,0)/1000</f>
        <v>0</v>
      </c>
      <c r="G217" s="153">
        <f>VLOOKUP(E217,$A$2:C394,3,0)/1000</f>
        <v>1377.1007999999999</v>
      </c>
    </row>
    <row r="218" spans="1:7">
      <c r="A218" s="99">
        <v>45143</v>
      </c>
      <c r="B218" s="35">
        <v>0</v>
      </c>
      <c r="C218" s="35">
        <v>1307835.4000000001</v>
      </c>
      <c r="E218" s="172">
        <f t="shared" si="5"/>
        <v>45143</v>
      </c>
      <c r="F218" s="34">
        <f>VLOOKUP(E218,$A$2:C395,2,0)/1000</f>
        <v>0</v>
      </c>
      <c r="G218" s="153">
        <f>VLOOKUP(E218,$A$2:C395,3,0)/1000</f>
        <v>1307.8354000000002</v>
      </c>
    </row>
    <row r="219" spans="1:7">
      <c r="A219" s="99">
        <v>45144</v>
      </c>
      <c r="B219" s="35">
        <v>0</v>
      </c>
      <c r="C219" s="35">
        <v>1663743.1999999997</v>
      </c>
      <c r="E219" s="172">
        <f t="shared" si="5"/>
        <v>45144</v>
      </c>
      <c r="F219" s="34">
        <f>VLOOKUP(E219,$A$2:C396,2,0)/1000</f>
        <v>0</v>
      </c>
      <c r="G219" s="153">
        <f>VLOOKUP(E219,$A$2:C396,3,0)/1000</f>
        <v>1663.7431999999997</v>
      </c>
    </row>
    <row r="220" spans="1:7">
      <c r="A220" s="99">
        <v>45145</v>
      </c>
      <c r="B220" s="35">
        <v>0</v>
      </c>
      <c r="C220" s="35">
        <v>1498870.2999999998</v>
      </c>
      <c r="E220" s="172">
        <f t="shared" si="5"/>
        <v>45145</v>
      </c>
      <c r="F220" s="34">
        <f>VLOOKUP(E220,$A$2:C397,2,0)/1000</f>
        <v>0</v>
      </c>
      <c r="G220" s="153">
        <f>VLOOKUP(E220,$A$2:C397,3,0)/1000</f>
        <v>1498.8702999999998</v>
      </c>
    </row>
    <row r="221" spans="1:7">
      <c r="A221" s="99">
        <v>45146</v>
      </c>
      <c r="B221" s="35">
        <v>0</v>
      </c>
      <c r="C221" s="35">
        <v>1501806.3000000003</v>
      </c>
      <c r="E221" s="172">
        <f t="shared" si="5"/>
        <v>45146</v>
      </c>
      <c r="F221" s="34">
        <f>VLOOKUP(E221,$A$2:C398,2,0)/1000</f>
        <v>0</v>
      </c>
      <c r="G221" s="153">
        <f>VLOOKUP(E221,$A$2:C398,3,0)/1000</f>
        <v>1501.8063000000002</v>
      </c>
    </row>
    <row r="222" spans="1:7">
      <c r="A222" s="99">
        <v>45147</v>
      </c>
      <c r="B222" s="35">
        <v>0</v>
      </c>
      <c r="C222" s="35">
        <v>1562764.2</v>
      </c>
      <c r="E222" s="172">
        <f t="shared" si="5"/>
        <v>45147</v>
      </c>
      <c r="F222" s="34">
        <f>VLOOKUP(E222,$A$2:C399,2,0)/1000</f>
        <v>0</v>
      </c>
      <c r="G222" s="153">
        <f>VLOOKUP(E222,$A$2:C399,3,0)/1000</f>
        <v>1562.7641999999998</v>
      </c>
    </row>
    <row r="223" spans="1:7">
      <c r="A223" s="99">
        <v>45148</v>
      </c>
      <c r="B223" s="35">
        <v>0</v>
      </c>
      <c r="C223" s="35">
        <v>1297357.7000000002</v>
      </c>
      <c r="E223" s="172">
        <f t="shared" si="5"/>
        <v>45148</v>
      </c>
      <c r="F223" s="34">
        <f>VLOOKUP(E223,$A$2:C400,2,0)/1000</f>
        <v>0</v>
      </c>
      <c r="G223" s="153">
        <f>VLOOKUP(E223,$A$2:C400,3,0)/1000</f>
        <v>1297.3577000000002</v>
      </c>
    </row>
    <row r="224" spans="1:7">
      <c r="A224" s="99">
        <v>45149</v>
      </c>
      <c r="B224" s="35">
        <v>0</v>
      </c>
      <c r="C224" s="35">
        <v>1336790.1000000001</v>
      </c>
      <c r="E224" s="172">
        <f t="shared" si="5"/>
        <v>45149</v>
      </c>
      <c r="F224" s="34">
        <f>VLOOKUP(E224,$A$2:C401,2,0)/1000</f>
        <v>0</v>
      </c>
      <c r="G224" s="153">
        <f>VLOOKUP(E224,$A$2:C401,3,0)/1000</f>
        <v>1336.7901000000002</v>
      </c>
    </row>
    <row r="225" spans="1:7">
      <c r="A225" s="99">
        <v>45150</v>
      </c>
      <c r="B225" s="35">
        <v>0</v>
      </c>
      <c r="C225" s="35">
        <v>1318685.9000000001</v>
      </c>
      <c r="E225" s="172">
        <f t="shared" si="5"/>
        <v>45150</v>
      </c>
      <c r="F225" s="34">
        <f>VLOOKUP(E225,$A$2:C402,2,0)/1000</f>
        <v>0</v>
      </c>
      <c r="G225" s="153">
        <f>VLOOKUP(E225,$A$2:C402,3,0)/1000</f>
        <v>1318.6859000000002</v>
      </c>
    </row>
    <row r="226" spans="1:7">
      <c r="A226" s="99">
        <v>45151</v>
      </c>
      <c r="B226" s="35">
        <v>0</v>
      </c>
      <c r="C226" s="35">
        <v>1284354.1000000001</v>
      </c>
      <c r="E226" s="172">
        <f t="shared" si="5"/>
        <v>45151</v>
      </c>
      <c r="F226" s="34">
        <f>VLOOKUP(E226,$A$2:C403,2,0)/1000</f>
        <v>0</v>
      </c>
      <c r="G226" s="153">
        <f>VLOOKUP(E226,$A$2:C403,3,0)/1000</f>
        <v>1284.3541</v>
      </c>
    </row>
    <row r="227" spans="1:7">
      <c r="A227" s="99">
        <v>45152</v>
      </c>
      <c r="B227" s="35">
        <v>0</v>
      </c>
      <c r="C227" s="35">
        <v>1555726.3000000003</v>
      </c>
      <c r="E227" s="172">
        <f t="shared" si="5"/>
        <v>45152</v>
      </c>
      <c r="F227" s="34">
        <f>VLOOKUP(E227,$A$2:C404,2,0)/1000</f>
        <v>0</v>
      </c>
      <c r="G227" s="153">
        <f>VLOOKUP(E227,$A$2:C404,3,0)/1000</f>
        <v>1555.7263000000003</v>
      </c>
    </row>
    <row r="228" spans="1:7">
      <c r="A228" s="99">
        <v>45153</v>
      </c>
      <c r="B228" s="35">
        <v>0</v>
      </c>
      <c r="C228" s="35">
        <v>1483557.7999999996</v>
      </c>
      <c r="E228" s="172">
        <f t="shared" si="5"/>
        <v>45153</v>
      </c>
      <c r="F228" s="34">
        <f>VLOOKUP(E228,$A$2:C405,2,0)/1000</f>
        <v>0</v>
      </c>
      <c r="G228" s="153">
        <f>VLOOKUP(E228,$A$2:C405,3,0)/1000</f>
        <v>1483.5577999999996</v>
      </c>
    </row>
    <row r="229" spans="1:7">
      <c r="A229" s="99">
        <v>45154</v>
      </c>
      <c r="B229" s="35">
        <v>0</v>
      </c>
      <c r="C229" s="35">
        <v>1239118.9000000001</v>
      </c>
      <c r="E229" s="172">
        <f t="shared" si="5"/>
        <v>45154</v>
      </c>
      <c r="F229" s="34">
        <f>VLOOKUP(E229,$A$2:C406,2,0)/1000</f>
        <v>0</v>
      </c>
      <c r="G229" s="153">
        <f>VLOOKUP(E229,$A$2:C406,3,0)/1000</f>
        <v>1239.1189000000002</v>
      </c>
    </row>
    <row r="230" spans="1:7">
      <c r="A230" s="99">
        <v>45155</v>
      </c>
      <c r="B230" s="35">
        <v>0</v>
      </c>
      <c r="C230" s="35">
        <v>1259704</v>
      </c>
      <c r="E230" s="172">
        <f t="shared" si="5"/>
        <v>45155</v>
      </c>
      <c r="F230" s="34">
        <f>VLOOKUP(E230,$A$2:C407,2,0)/1000</f>
        <v>0</v>
      </c>
      <c r="G230" s="153">
        <f>VLOOKUP(E230,$A$2:C407,3,0)/1000</f>
        <v>1259.704</v>
      </c>
    </row>
    <row r="231" spans="1:7">
      <c r="A231" s="99">
        <v>45156</v>
      </c>
      <c r="B231" s="35">
        <v>0</v>
      </c>
      <c r="C231" s="35">
        <v>1242956.3</v>
      </c>
      <c r="E231" s="172">
        <f t="shared" si="5"/>
        <v>45156</v>
      </c>
      <c r="F231" s="34">
        <f>VLOOKUP(E231,$A$2:C408,2,0)/1000</f>
        <v>0</v>
      </c>
      <c r="G231" s="153">
        <f>VLOOKUP(E231,$A$2:C408,3,0)/1000</f>
        <v>1242.9563000000001</v>
      </c>
    </row>
    <row r="232" spans="1:7">
      <c r="A232" s="99">
        <v>45157</v>
      </c>
      <c r="B232" s="35">
        <v>0</v>
      </c>
      <c r="C232" s="35">
        <v>1284737.5</v>
      </c>
      <c r="E232" s="172">
        <f t="shared" si="5"/>
        <v>45157</v>
      </c>
      <c r="F232" s="34">
        <f>VLOOKUP(E232,$A$2:C409,2,0)/1000</f>
        <v>0</v>
      </c>
      <c r="G232" s="153">
        <f>VLOOKUP(E232,$A$2:C409,3,0)/1000</f>
        <v>1284.7375</v>
      </c>
    </row>
    <row r="233" spans="1:7">
      <c r="A233" s="99">
        <v>45158</v>
      </c>
      <c r="B233" s="35">
        <v>0</v>
      </c>
      <c r="C233" s="35">
        <v>1350011</v>
      </c>
      <c r="E233" s="172">
        <f t="shared" si="5"/>
        <v>45158</v>
      </c>
      <c r="F233" s="34">
        <f>VLOOKUP(E233,$A$2:C410,2,0)/1000</f>
        <v>0</v>
      </c>
      <c r="G233" s="153">
        <f>VLOOKUP(E233,$A$2:C410,3,0)/1000</f>
        <v>1350.011</v>
      </c>
    </row>
    <row r="234" spans="1:7">
      <c r="A234" s="99">
        <v>45159</v>
      </c>
      <c r="B234" s="35">
        <v>0</v>
      </c>
      <c r="C234" s="35">
        <v>1379506.4</v>
      </c>
      <c r="E234" s="172">
        <f t="shared" ref="E234:E245" si="6">A234</f>
        <v>45159</v>
      </c>
      <c r="F234" s="34">
        <f>VLOOKUP(E234,$A$2:C411,2,0)/1000</f>
        <v>0</v>
      </c>
      <c r="G234" s="153">
        <f>VLOOKUP(E234,$A$2:C411,3,0)/1000</f>
        <v>1379.5064</v>
      </c>
    </row>
    <row r="235" spans="1:7">
      <c r="A235" s="99">
        <v>45160</v>
      </c>
      <c r="B235" s="35"/>
      <c r="C235" s="35"/>
      <c r="E235" s="172">
        <f t="shared" si="6"/>
        <v>45160</v>
      </c>
      <c r="F235" s="34">
        <f>VLOOKUP(E235,$A$2:C412,2,0)/1000</f>
        <v>0</v>
      </c>
      <c r="G235" s="153">
        <f>VLOOKUP(E235,$A$2:C412,3,0)/1000</f>
        <v>0</v>
      </c>
    </row>
    <row r="236" spans="1:7">
      <c r="A236" s="99">
        <v>45161</v>
      </c>
      <c r="B236" s="35"/>
      <c r="C236" s="35"/>
      <c r="E236" s="172">
        <f t="shared" si="6"/>
        <v>45161</v>
      </c>
      <c r="F236" s="34">
        <f>VLOOKUP(E236,$A$2:C413,2,0)/1000</f>
        <v>0</v>
      </c>
      <c r="G236" s="153">
        <f>VLOOKUP(E236,$A$2:C413,3,0)/1000</f>
        <v>0</v>
      </c>
    </row>
    <row r="237" spans="1:7">
      <c r="A237" s="99">
        <v>45162</v>
      </c>
      <c r="B237" s="35"/>
      <c r="C237" s="35"/>
      <c r="E237" s="172">
        <f t="shared" si="6"/>
        <v>45162</v>
      </c>
      <c r="F237" s="34">
        <f>VLOOKUP(E237,$A$2:C414,2,0)/1000</f>
        <v>0</v>
      </c>
      <c r="G237" s="153">
        <f>VLOOKUP(E237,$A$2:C414,3,0)/1000</f>
        <v>0</v>
      </c>
    </row>
    <row r="238" spans="1:7">
      <c r="A238" s="99">
        <v>45163</v>
      </c>
      <c r="B238" s="35"/>
      <c r="C238" s="35"/>
      <c r="E238" s="172">
        <f t="shared" si="6"/>
        <v>45163</v>
      </c>
      <c r="F238" s="34">
        <f>VLOOKUP(E238,$A$2:C415,2,0)/1000</f>
        <v>0</v>
      </c>
      <c r="G238" s="153">
        <f>VLOOKUP(E238,$A$2:C415,3,0)/1000</f>
        <v>0</v>
      </c>
    </row>
    <row r="239" spans="1:7">
      <c r="A239" s="99">
        <v>45164</v>
      </c>
      <c r="B239" s="35"/>
      <c r="C239" s="35"/>
      <c r="E239" s="172">
        <f t="shared" si="6"/>
        <v>45164</v>
      </c>
      <c r="F239" s="34">
        <f>VLOOKUP(E239,$A$2:C416,2,0)/1000</f>
        <v>0</v>
      </c>
      <c r="G239" s="153">
        <f>VLOOKUP(E239,$A$2:C416,3,0)/1000</f>
        <v>0</v>
      </c>
    </row>
    <row r="240" spans="1:7">
      <c r="A240" s="99">
        <v>45165</v>
      </c>
      <c r="B240" s="35"/>
      <c r="C240" s="35"/>
      <c r="E240" s="172">
        <f t="shared" si="6"/>
        <v>45165</v>
      </c>
      <c r="F240" s="34">
        <f>VLOOKUP(E240,$A$2:C417,2,0)/1000</f>
        <v>0</v>
      </c>
      <c r="G240" s="153">
        <f>VLOOKUP(E240,$A$2:C417,3,0)/1000</f>
        <v>0</v>
      </c>
    </row>
    <row r="241" spans="1:7">
      <c r="A241" s="99">
        <v>45166</v>
      </c>
      <c r="B241" s="35"/>
      <c r="C241" s="35"/>
      <c r="E241" s="172">
        <f t="shared" si="6"/>
        <v>45166</v>
      </c>
      <c r="F241" s="34">
        <f>VLOOKUP(E241,$A$2:C418,2,0)/1000</f>
        <v>0</v>
      </c>
      <c r="G241" s="153">
        <f>VLOOKUP(E241,$A$2:C418,3,0)/1000</f>
        <v>0</v>
      </c>
    </row>
    <row r="242" spans="1:7">
      <c r="A242" s="99">
        <v>45167</v>
      </c>
      <c r="B242" s="35"/>
      <c r="C242" s="35"/>
      <c r="E242" s="172">
        <f t="shared" si="6"/>
        <v>45167</v>
      </c>
      <c r="F242" s="34">
        <f>VLOOKUP(E242,$A$2:C419,2,0)/1000</f>
        <v>0</v>
      </c>
      <c r="G242" s="153">
        <f>VLOOKUP(E242,$A$2:C419,3,0)/1000</f>
        <v>0</v>
      </c>
    </row>
    <row r="243" spans="1:7">
      <c r="A243" s="99">
        <v>45168</v>
      </c>
      <c r="B243" s="35"/>
      <c r="C243" s="35"/>
      <c r="E243" s="172">
        <f t="shared" si="6"/>
        <v>45168</v>
      </c>
      <c r="F243" s="34">
        <f>VLOOKUP(E243,$A$2:C420,2,0)/1000</f>
        <v>0</v>
      </c>
      <c r="G243" s="153">
        <f>VLOOKUP(E243,$A$2:C420,3,0)/1000</f>
        <v>0</v>
      </c>
    </row>
    <row r="244" spans="1:7">
      <c r="A244" s="99">
        <v>45169</v>
      </c>
      <c r="B244" s="35"/>
      <c r="C244" s="35"/>
      <c r="E244" s="172">
        <f t="shared" si="6"/>
        <v>45169</v>
      </c>
      <c r="F244" s="34">
        <f>VLOOKUP(E244,$A$2:C421,2,0)/1000</f>
        <v>0</v>
      </c>
      <c r="G244" s="153">
        <f>VLOOKUP(E244,$A$2:C421,3,0)/1000</f>
        <v>0</v>
      </c>
    </row>
    <row r="245" spans="1:7">
      <c r="A245" s="99">
        <v>45170</v>
      </c>
      <c r="B245" s="35"/>
      <c r="C245" s="35"/>
      <c r="E245" s="172">
        <f t="shared" si="6"/>
        <v>45170</v>
      </c>
      <c r="F245" s="34">
        <f>VLOOKUP(E245,$A$2:C422,2,0)/1000</f>
        <v>0</v>
      </c>
      <c r="G245" s="153">
        <f>VLOOKUP(E245,$A$2:C422,3,0)/1000</f>
        <v>0</v>
      </c>
    </row>
    <row r="246" spans="1:7">
      <c r="A246" s="99">
        <v>45171</v>
      </c>
      <c r="B246" s="35"/>
      <c r="C246" s="35"/>
      <c r="E246" s="172">
        <f t="shared" ref="E246:E253" si="7">A246</f>
        <v>45171</v>
      </c>
      <c r="F246" s="34">
        <f>VLOOKUP(E246,$A$2:C423,2,0)/1000</f>
        <v>0</v>
      </c>
      <c r="G246" s="153">
        <f>VLOOKUP(E246,$A$2:C423,3,0)/1000</f>
        <v>0</v>
      </c>
    </row>
    <row r="247" spans="1:7">
      <c r="A247" s="99">
        <v>45172</v>
      </c>
      <c r="B247" s="35"/>
      <c r="C247" s="35"/>
      <c r="E247" s="172">
        <f t="shared" si="7"/>
        <v>45172</v>
      </c>
      <c r="F247" s="34">
        <f>VLOOKUP(E247,$A$2:C424,2,0)/1000</f>
        <v>0</v>
      </c>
      <c r="G247" s="153">
        <f>VLOOKUP(E247,$A$2:C424,3,0)/1000</f>
        <v>0</v>
      </c>
    </row>
    <row r="248" spans="1:7">
      <c r="A248" s="99">
        <v>45173</v>
      </c>
      <c r="B248" s="35"/>
      <c r="C248" s="35"/>
      <c r="E248" s="172">
        <f t="shared" si="7"/>
        <v>45173</v>
      </c>
      <c r="F248" s="34">
        <f>VLOOKUP(E248,$A$2:C425,2,0)/1000</f>
        <v>0</v>
      </c>
      <c r="G248" s="153">
        <f>VLOOKUP(E248,$A$2:C425,3,0)/1000</f>
        <v>0</v>
      </c>
    </row>
    <row r="249" spans="1:7">
      <c r="A249" s="99">
        <v>45174</v>
      </c>
      <c r="B249" s="35"/>
      <c r="C249" s="35"/>
      <c r="E249" s="172">
        <f t="shared" si="7"/>
        <v>45174</v>
      </c>
      <c r="F249" s="34">
        <f>VLOOKUP(E249,$A$2:C426,2,0)/1000</f>
        <v>0</v>
      </c>
      <c r="G249" s="153">
        <f>VLOOKUP(E249,$A$2:C426,3,0)/1000</f>
        <v>0</v>
      </c>
    </row>
    <row r="250" spans="1:7">
      <c r="A250" s="99">
        <v>45175</v>
      </c>
      <c r="B250" s="35"/>
      <c r="C250" s="35"/>
      <c r="E250" s="172">
        <f t="shared" si="7"/>
        <v>45175</v>
      </c>
      <c r="F250" s="34">
        <f>VLOOKUP(E250,$A$2:C427,2,0)/1000</f>
        <v>0</v>
      </c>
      <c r="G250" s="153">
        <f>VLOOKUP(E250,$A$2:C427,3,0)/1000</f>
        <v>0</v>
      </c>
    </row>
    <row r="251" spans="1:7">
      <c r="A251" s="99">
        <v>45176</v>
      </c>
      <c r="B251" s="35"/>
      <c r="C251" s="35"/>
      <c r="E251" s="172">
        <f t="shared" si="7"/>
        <v>45176</v>
      </c>
      <c r="F251" s="34">
        <f>VLOOKUP(E251,$A$2:C428,2,0)/1000</f>
        <v>0</v>
      </c>
      <c r="G251" s="153">
        <f>VLOOKUP(E251,$A$2:C428,3,0)/1000</f>
        <v>0</v>
      </c>
    </row>
    <row r="252" spans="1:7">
      <c r="A252" s="99">
        <v>45177</v>
      </c>
      <c r="B252" s="35"/>
      <c r="C252" s="35"/>
      <c r="E252" s="172">
        <f t="shared" si="7"/>
        <v>45177</v>
      </c>
      <c r="F252" s="34">
        <f>VLOOKUP(E252,$A$2:C429,2,0)/1000</f>
        <v>0</v>
      </c>
      <c r="G252" s="153">
        <f>VLOOKUP(E252,$A$2:C429,3,0)/1000</f>
        <v>0</v>
      </c>
    </row>
    <row r="253" spans="1:7">
      <c r="A253" s="99">
        <v>45178</v>
      </c>
      <c r="B253" s="35"/>
      <c r="C253" s="35"/>
      <c r="E253" s="172">
        <f t="shared" si="7"/>
        <v>45178</v>
      </c>
      <c r="F253" s="34">
        <f>VLOOKUP(E253,$A$2:C430,2,0)/1000</f>
        <v>0</v>
      </c>
      <c r="G253" s="153">
        <f>VLOOKUP(E253,$A$2:C430,3,0)/1000</f>
        <v>0</v>
      </c>
    </row>
    <row r="254" spans="1:7">
      <c r="A254" s="99">
        <v>45179</v>
      </c>
      <c r="B254" s="35"/>
      <c r="C254" s="35"/>
      <c r="E254" s="172">
        <f t="shared" ref="E254:E268" si="8">A254</f>
        <v>45179</v>
      </c>
      <c r="F254" s="34">
        <f>VLOOKUP(E254,$A$2:C431,2,0)/1000</f>
        <v>0</v>
      </c>
      <c r="G254" s="153">
        <f>VLOOKUP(E254,$A$2:C431,3,0)/1000</f>
        <v>0</v>
      </c>
    </row>
    <row r="255" spans="1:7">
      <c r="A255" s="99">
        <v>45180</v>
      </c>
      <c r="B255" s="35"/>
      <c r="C255" s="35"/>
      <c r="E255" s="172">
        <f t="shared" si="8"/>
        <v>45180</v>
      </c>
      <c r="F255" s="34">
        <f>VLOOKUP(E255,$A$2:C432,2,0)/1000</f>
        <v>0</v>
      </c>
      <c r="G255" s="153">
        <f>VLOOKUP(E255,$A$2:C432,3,0)/1000</f>
        <v>0</v>
      </c>
    </row>
    <row r="256" spans="1:7">
      <c r="A256" s="99">
        <v>45181</v>
      </c>
      <c r="B256" s="35"/>
      <c r="C256" s="35"/>
      <c r="E256" s="172">
        <f t="shared" si="8"/>
        <v>45181</v>
      </c>
      <c r="F256" s="34">
        <f>VLOOKUP(E256,$A$2:C433,2,0)/1000</f>
        <v>0</v>
      </c>
      <c r="G256" s="153">
        <f>VLOOKUP(E256,$A$2:C433,3,0)/1000</f>
        <v>0</v>
      </c>
    </row>
    <row r="257" spans="1:7">
      <c r="A257" s="99">
        <v>45182</v>
      </c>
      <c r="B257" s="35"/>
      <c r="C257" s="35"/>
      <c r="E257" s="172">
        <f t="shared" si="8"/>
        <v>45182</v>
      </c>
      <c r="F257" s="34">
        <f>VLOOKUP(E257,$A$2:C434,2,0)/1000</f>
        <v>0</v>
      </c>
      <c r="G257" s="153">
        <f>VLOOKUP(E257,$A$2:C434,3,0)/1000</f>
        <v>0</v>
      </c>
    </row>
    <row r="258" spans="1:7">
      <c r="A258" s="99">
        <v>45183</v>
      </c>
      <c r="B258" s="35"/>
      <c r="C258" s="35"/>
      <c r="E258" s="172">
        <f t="shared" si="8"/>
        <v>45183</v>
      </c>
      <c r="F258" s="34">
        <f>VLOOKUP(E258,$A$2:C435,2,0)/1000</f>
        <v>0</v>
      </c>
      <c r="G258" s="153">
        <f>VLOOKUP(E258,$A$2:C435,3,0)/1000</f>
        <v>0</v>
      </c>
    </row>
    <row r="259" spans="1:7">
      <c r="A259" s="99">
        <v>45184</v>
      </c>
      <c r="B259" s="35"/>
      <c r="C259" s="35"/>
      <c r="E259" s="172">
        <f t="shared" si="8"/>
        <v>45184</v>
      </c>
      <c r="F259" s="34">
        <f>VLOOKUP(E259,$A$2:C436,2,0)/1000</f>
        <v>0</v>
      </c>
      <c r="G259" s="153">
        <f>VLOOKUP(E259,$A$2:C436,3,0)/1000</f>
        <v>0</v>
      </c>
    </row>
    <row r="260" spans="1:7">
      <c r="A260" s="99">
        <v>45185</v>
      </c>
      <c r="B260" s="35"/>
      <c r="C260" s="35"/>
      <c r="E260" s="172">
        <f t="shared" si="8"/>
        <v>45185</v>
      </c>
      <c r="F260" s="34">
        <f>VLOOKUP(E260,$A$2:C437,2,0)/1000</f>
        <v>0</v>
      </c>
      <c r="G260" s="153">
        <f>VLOOKUP(E260,$A$2:C437,3,0)/1000</f>
        <v>0</v>
      </c>
    </row>
    <row r="261" spans="1:7">
      <c r="A261" s="99">
        <v>45186</v>
      </c>
      <c r="B261" s="35"/>
      <c r="C261" s="35"/>
      <c r="E261" s="172">
        <f t="shared" si="8"/>
        <v>45186</v>
      </c>
      <c r="F261" s="34">
        <f>VLOOKUP(E261,$A$2:C438,2,0)/1000</f>
        <v>0</v>
      </c>
      <c r="G261" s="153">
        <f>VLOOKUP(E261,$A$2:C438,3,0)/1000</f>
        <v>0</v>
      </c>
    </row>
    <row r="262" spans="1:7">
      <c r="A262" s="99">
        <v>45187</v>
      </c>
      <c r="B262" s="35"/>
      <c r="C262" s="35"/>
      <c r="E262" s="172">
        <f t="shared" si="8"/>
        <v>45187</v>
      </c>
      <c r="F262" s="34">
        <f>VLOOKUP(E262,$A$2:C439,2,0)/1000</f>
        <v>0</v>
      </c>
      <c r="G262" s="153">
        <f>VLOOKUP(E262,$A$2:C439,3,0)/1000</f>
        <v>0</v>
      </c>
    </row>
    <row r="263" spans="1:7">
      <c r="A263" s="99">
        <v>45188</v>
      </c>
      <c r="B263" s="35"/>
      <c r="C263" s="35"/>
      <c r="E263" s="172">
        <f t="shared" si="8"/>
        <v>45188</v>
      </c>
      <c r="F263" s="34">
        <f>VLOOKUP(E263,$A$2:C440,2,0)/1000</f>
        <v>0</v>
      </c>
      <c r="G263" s="153">
        <f>VLOOKUP(E263,$A$2:C440,3,0)/1000</f>
        <v>0</v>
      </c>
    </row>
    <row r="264" spans="1:7">
      <c r="A264" s="99">
        <v>45189</v>
      </c>
      <c r="B264" s="35"/>
      <c r="C264" s="35"/>
      <c r="E264" s="172">
        <f t="shared" si="8"/>
        <v>45189</v>
      </c>
      <c r="F264" s="34">
        <f>VLOOKUP(E264,$A$2:C441,2,0)/1000</f>
        <v>0</v>
      </c>
      <c r="G264" s="153">
        <f>VLOOKUP(E264,$A$2:C441,3,0)/1000</f>
        <v>0</v>
      </c>
    </row>
    <row r="265" spans="1:7">
      <c r="A265" s="99">
        <v>45190</v>
      </c>
      <c r="B265" s="35"/>
      <c r="C265" s="35"/>
      <c r="E265" s="172">
        <f t="shared" si="8"/>
        <v>45190</v>
      </c>
      <c r="F265" s="34">
        <f>VLOOKUP(E265,$A$2:C442,2,0)/1000</f>
        <v>0</v>
      </c>
      <c r="G265" s="153">
        <f>VLOOKUP(E265,$A$2:C442,3,0)/1000</f>
        <v>0</v>
      </c>
    </row>
    <row r="266" spans="1:7">
      <c r="A266" s="99">
        <v>45191</v>
      </c>
      <c r="B266" s="35"/>
      <c r="C266" s="35"/>
      <c r="E266" s="172">
        <f t="shared" si="8"/>
        <v>45191</v>
      </c>
      <c r="F266" s="34">
        <f>VLOOKUP(E266,$A$2:C443,2,0)/1000</f>
        <v>0</v>
      </c>
      <c r="G266" s="153">
        <f>VLOOKUP(E266,$A$2:C443,3,0)/1000</f>
        <v>0</v>
      </c>
    </row>
    <row r="267" spans="1:7">
      <c r="A267" s="99">
        <v>45192</v>
      </c>
      <c r="B267" s="35"/>
      <c r="C267" s="35"/>
      <c r="E267" s="172">
        <f t="shared" si="8"/>
        <v>45192</v>
      </c>
      <c r="F267" s="34">
        <f>VLOOKUP(E267,$A$2:C444,2,0)/1000</f>
        <v>0</v>
      </c>
      <c r="G267" s="153">
        <f>VLOOKUP(E267,$A$2:C444,3,0)/1000</f>
        <v>0</v>
      </c>
    </row>
    <row r="268" spans="1:7">
      <c r="A268" s="99">
        <v>45193</v>
      </c>
      <c r="B268" s="35"/>
      <c r="C268" s="35"/>
      <c r="E268" s="172">
        <f t="shared" si="8"/>
        <v>45193</v>
      </c>
      <c r="F268" s="34">
        <f>VLOOKUP(E268,$A$2:C445,2,0)/1000</f>
        <v>0</v>
      </c>
      <c r="G268" s="153">
        <f>VLOOKUP(E268,$A$2:C445,3,0)/1000</f>
        <v>0</v>
      </c>
    </row>
    <row r="269" spans="1:7">
      <c r="A269" s="99">
        <v>45194</v>
      </c>
      <c r="B269" s="35"/>
      <c r="C269" s="35"/>
      <c r="E269" s="172">
        <f t="shared" ref="E269:E275" si="9">A269</f>
        <v>45194</v>
      </c>
      <c r="F269" s="34">
        <f>VLOOKUP(E269,$A$2:C446,2,0)/1000</f>
        <v>0</v>
      </c>
      <c r="G269" s="153">
        <f>VLOOKUP(E269,$A$2:C446,3,0)/1000</f>
        <v>0</v>
      </c>
    </row>
    <row r="270" spans="1:7">
      <c r="A270" s="99">
        <v>45195</v>
      </c>
      <c r="B270" s="35"/>
      <c r="C270" s="35"/>
      <c r="E270" s="172">
        <f t="shared" si="9"/>
        <v>45195</v>
      </c>
      <c r="F270" s="34">
        <f>VLOOKUP(E270,$A$2:C447,2,0)/1000</f>
        <v>0</v>
      </c>
      <c r="G270" s="153">
        <f>VLOOKUP(E270,$A$2:C447,3,0)/1000</f>
        <v>0</v>
      </c>
    </row>
    <row r="271" spans="1:7">
      <c r="A271" s="99">
        <v>45196</v>
      </c>
      <c r="B271" s="35"/>
      <c r="C271" s="35"/>
      <c r="E271" s="172">
        <f t="shared" si="9"/>
        <v>45196</v>
      </c>
      <c r="F271" s="34">
        <f>VLOOKUP(E271,$A$2:C448,2,0)/1000</f>
        <v>0</v>
      </c>
      <c r="G271" s="153">
        <f>VLOOKUP(E271,$A$2:C448,3,0)/1000</f>
        <v>0</v>
      </c>
    </row>
    <row r="272" spans="1:7">
      <c r="A272" s="99">
        <v>45197</v>
      </c>
      <c r="B272" s="35"/>
      <c r="C272" s="35"/>
      <c r="E272" s="172">
        <f t="shared" si="9"/>
        <v>45197</v>
      </c>
      <c r="F272" s="34">
        <f>VLOOKUP(E272,$A$2:C449,2,0)/1000</f>
        <v>0</v>
      </c>
      <c r="G272" s="153">
        <f>VLOOKUP(E272,$A$2:C449,3,0)/1000</f>
        <v>0</v>
      </c>
    </row>
    <row r="273" spans="1:7">
      <c r="A273" s="99">
        <v>45198</v>
      </c>
      <c r="B273" s="35"/>
      <c r="C273" s="35"/>
      <c r="E273" s="172">
        <f t="shared" si="9"/>
        <v>45198</v>
      </c>
      <c r="F273" s="34">
        <f>VLOOKUP(E273,$A$2:C450,2,0)/1000</f>
        <v>0</v>
      </c>
      <c r="G273" s="153">
        <f>VLOOKUP(E273,$A$2:C450,3,0)/1000</f>
        <v>0</v>
      </c>
    </row>
    <row r="274" spans="1:7">
      <c r="A274" s="99">
        <v>45199</v>
      </c>
      <c r="B274" s="35"/>
      <c r="C274" s="35"/>
      <c r="E274" s="172">
        <f t="shared" si="9"/>
        <v>45199</v>
      </c>
      <c r="F274" s="34">
        <f>VLOOKUP(E274,$A$2:C451,2,0)/1000</f>
        <v>0</v>
      </c>
      <c r="G274" s="153">
        <f>VLOOKUP(E274,$A$2:C451,3,0)/1000</f>
        <v>0</v>
      </c>
    </row>
    <row r="275" spans="1:7">
      <c r="A275" s="99">
        <v>45200</v>
      </c>
      <c r="B275" s="35"/>
      <c r="C275" s="35"/>
      <c r="E275" s="172">
        <f t="shared" si="9"/>
        <v>45200</v>
      </c>
      <c r="F275" s="34">
        <f>VLOOKUP(E275,$A$2:C452,2,0)/1000</f>
        <v>0</v>
      </c>
      <c r="G275" s="153">
        <f>VLOOKUP(E275,$A$2:C452,3,0)/1000</f>
        <v>0</v>
      </c>
    </row>
    <row r="276" spans="1:7">
      <c r="A276" s="99">
        <v>45201</v>
      </c>
      <c r="B276" s="35"/>
      <c r="C276" s="35"/>
      <c r="E276" s="172">
        <f t="shared" ref="E276:E310" si="10">A276</f>
        <v>45201</v>
      </c>
      <c r="F276" s="34">
        <f>VLOOKUP(E276,$A$2:C453,2,0)/1000</f>
        <v>0</v>
      </c>
      <c r="G276" s="153">
        <f>VLOOKUP(E276,$A$2:C453,3,0)/1000</f>
        <v>0</v>
      </c>
    </row>
    <row r="277" spans="1:7">
      <c r="A277" s="99">
        <v>45202</v>
      </c>
      <c r="B277" s="35"/>
      <c r="C277" s="35"/>
      <c r="E277" s="172">
        <f t="shared" si="10"/>
        <v>45202</v>
      </c>
      <c r="F277" s="34">
        <f>VLOOKUP(E277,$A$2:C454,2,0)/1000</f>
        <v>0</v>
      </c>
      <c r="G277" s="153">
        <f>VLOOKUP(E277,$A$2:C454,3,0)/1000</f>
        <v>0</v>
      </c>
    </row>
    <row r="278" spans="1:7">
      <c r="A278" s="99">
        <v>45203</v>
      </c>
      <c r="B278" s="35"/>
      <c r="C278" s="35"/>
      <c r="E278" s="172">
        <f t="shared" si="10"/>
        <v>45203</v>
      </c>
      <c r="F278" s="34">
        <f>VLOOKUP(E278,$A$2:C455,2,0)/1000</f>
        <v>0</v>
      </c>
      <c r="G278" s="153">
        <f>VLOOKUP(E278,$A$2:C455,3,0)/1000</f>
        <v>0</v>
      </c>
    </row>
    <row r="279" spans="1:7">
      <c r="A279" s="99">
        <v>45204</v>
      </c>
      <c r="B279" s="35"/>
      <c r="C279" s="35"/>
      <c r="E279" s="172">
        <f t="shared" si="10"/>
        <v>45204</v>
      </c>
      <c r="F279" s="34">
        <f>VLOOKUP(E279,$A$2:C456,2,0)/1000</f>
        <v>0</v>
      </c>
      <c r="G279" s="153">
        <f>VLOOKUP(E279,$A$2:C456,3,0)/1000</f>
        <v>0</v>
      </c>
    </row>
    <row r="280" spans="1:7">
      <c r="A280" s="99">
        <v>45205</v>
      </c>
      <c r="B280" s="35"/>
      <c r="C280" s="35"/>
      <c r="E280" s="172">
        <f t="shared" si="10"/>
        <v>45205</v>
      </c>
      <c r="F280" s="34">
        <f>VLOOKUP(E280,$A$2:C457,2,0)/1000</f>
        <v>0</v>
      </c>
      <c r="G280" s="153">
        <f>VLOOKUP(E280,$A$2:C457,3,0)/1000</f>
        <v>0</v>
      </c>
    </row>
    <row r="281" spans="1:7">
      <c r="A281" s="99">
        <v>45206</v>
      </c>
      <c r="B281" s="35"/>
      <c r="C281" s="35"/>
      <c r="E281" s="172">
        <f t="shared" si="10"/>
        <v>45206</v>
      </c>
      <c r="F281" s="34">
        <f>VLOOKUP(E281,$A$2:C458,2,0)/1000</f>
        <v>0</v>
      </c>
      <c r="G281" s="153">
        <f>VLOOKUP(E281,$A$2:C458,3,0)/1000</f>
        <v>0</v>
      </c>
    </row>
    <row r="282" spans="1:7">
      <c r="A282" s="99">
        <v>45207</v>
      </c>
      <c r="B282" s="35"/>
      <c r="C282" s="35"/>
      <c r="E282" s="172">
        <f t="shared" si="10"/>
        <v>45207</v>
      </c>
      <c r="F282" s="34">
        <f>VLOOKUP(E282,$A$2:C459,2,0)/1000</f>
        <v>0</v>
      </c>
      <c r="G282" s="153">
        <f>VLOOKUP(E282,$A$2:C459,3,0)/1000</f>
        <v>0</v>
      </c>
    </row>
    <row r="283" spans="1:7">
      <c r="A283" s="99">
        <v>45208</v>
      </c>
      <c r="B283" s="35"/>
      <c r="C283" s="35"/>
      <c r="E283" s="172">
        <f t="shared" si="10"/>
        <v>45208</v>
      </c>
      <c r="F283" s="34">
        <f>VLOOKUP(E283,$A$2:C460,2,0)/1000</f>
        <v>0</v>
      </c>
      <c r="G283" s="153">
        <f>VLOOKUP(E283,$A$2:C460,3,0)/1000</f>
        <v>0</v>
      </c>
    </row>
    <row r="284" spans="1:7">
      <c r="A284" s="99">
        <v>45209</v>
      </c>
      <c r="B284" s="35"/>
      <c r="C284" s="35"/>
      <c r="E284" s="172">
        <f t="shared" si="10"/>
        <v>45209</v>
      </c>
      <c r="F284" s="34">
        <f>VLOOKUP(E284,$A$2:C461,2,0)/1000</f>
        <v>0</v>
      </c>
      <c r="G284" s="153">
        <f>VLOOKUP(E284,$A$2:C461,3,0)/1000</f>
        <v>0</v>
      </c>
    </row>
    <row r="285" spans="1:7">
      <c r="A285" s="99">
        <v>45210</v>
      </c>
      <c r="B285" s="35"/>
      <c r="C285" s="35"/>
      <c r="E285" s="172">
        <f t="shared" si="10"/>
        <v>45210</v>
      </c>
      <c r="F285" s="34">
        <f>VLOOKUP(E285,$A$2:C462,2,0)/1000</f>
        <v>0</v>
      </c>
      <c r="G285" s="153">
        <f>VLOOKUP(E285,$A$2:C462,3,0)/1000</f>
        <v>0</v>
      </c>
    </row>
    <row r="286" spans="1:7">
      <c r="A286" s="99">
        <v>45211</v>
      </c>
      <c r="B286" s="35"/>
      <c r="C286" s="35"/>
      <c r="E286" s="172">
        <f t="shared" si="10"/>
        <v>45211</v>
      </c>
      <c r="F286" s="34">
        <f>VLOOKUP(E286,$A$2:C463,2,0)/1000</f>
        <v>0</v>
      </c>
      <c r="G286" s="153">
        <f>VLOOKUP(E286,$A$2:C463,3,0)/1000</f>
        <v>0</v>
      </c>
    </row>
    <row r="287" spans="1:7">
      <c r="A287" s="99">
        <v>45212</v>
      </c>
      <c r="B287" s="35"/>
      <c r="C287" s="35"/>
      <c r="E287" s="172">
        <f t="shared" si="10"/>
        <v>45212</v>
      </c>
      <c r="F287" s="34">
        <f>VLOOKUP(E287,$A$2:C464,2,0)/1000</f>
        <v>0</v>
      </c>
      <c r="G287" s="153">
        <f>VLOOKUP(E287,$A$2:C464,3,0)/1000</f>
        <v>0</v>
      </c>
    </row>
    <row r="288" spans="1:7">
      <c r="A288" s="99">
        <v>45213</v>
      </c>
      <c r="B288" s="35"/>
      <c r="C288" s="35"/>
      <c r="E288" s="172">
        <f t="shared" si="10"/>
        <v>45213</v>
      </c>
      <c r="F288" s="34">
        <f>VLOOKUP(E288,$A$2:C465,2,0)/1000</f>
        <v>0</v>
      </c>
      <c r="G288" s="153">
        <f>VLOOKUP(E288,$A$2:C465,3,0)/1000</f>
        <v>0</v>
      </c>
    </row>
    <row r="289" spans="1:7">
      <c r="A289" s="99">
        <v>45214</v>
      </c>
      <c r="B289" s="35"/>
      <c r="C289" s="35"/>
      <c r="E289" s="172">
        <f t="shared" si="10"/>
        <v>45214</v>
      </c>
      <c r="F289" s="34">
        <f>VLOOKUP(E289,$A$2:C466,2,0)/1000</f>
        <v>0</v>
      </c>
      <c r="G289" s="153">
        <f>VLOOKUP(E289,$A$2:C466,3,0)/1000</f>
        <v>0</v>
      </c>
    </row>
    <row r="290" spans="1:7">
      <c r="A290" s="99">
        <v>45215</v>
      </c>
      <c r="B290" s="35"/>
      <c r="C290" s="35"/>
      <c r="E290" s="172">
        <f t="shared" si="10"/>
        <v>45215</v>
      </c>
      <c r="F290" s="34">
        <f>VLOOKUP(E290,$A$2:C467,2,0)/1000</f>
        <v>0</v>
      </c>
      <c r="G290" s="153">
        <f>VLOOKUP(E290,$A$2:C467,3,0)/1000</f>
        <v>0</v>
      </c>
    </row>
    <row r="291" spans="1:7">
      <c r="A291" s="99">
        <v>45216</v>
      </c>
      <c r="B291" s="35"/>
      <c r="C291" s="35"/>
      <c r="E291" s="172">
        <f t="shared" si="10"/>
        <v>45216</v>
      </c>
      <c r="F291" s="34">
        <f>VLOOKUP(E291,$A$2:C468,2,0)/1000</f>
        <v>0</v>
      </c>
      <c r="G291" s="153">
        <f>VLOOKUP(E291,$A$2:C468,3,0)/1000</f>
        <v>0</v>
      </c>
    </row>
    <row r="292" spans="1:7">
      <c r="A292" s="99">
        <v>45217</v>
      </c>
      <c r="B292" s="35"/>
      <c r="C292" s="35"/>
      <c r="E292" s="172">
        <f t="shared" si="10"/>
        <v>45217</v>
      </c>
      <c r="F292" s="34">
        <f>VLOOKUP(E292,$A$2:C469,2,0)/1000</f>
        <v>0</v>
      </c>
      <c r="G292" s="153">
        <f>VLOOKUP(E292,$A$2:C469,3,0)/1000</f>
        <v>0</v>
      </c>
    </row>
    <row r="293" spans="1:7">
      <c r="A293" s="99">
        <v>45218</v>
      </c>
      <c r="B293" s="35"/>
      <c r="C293" s="35"/>
      <c r="E293" s="172">
        <f t="shared" si="10"/>
        <v>45218</v>
      </c>
      <c r="F293" s="34">
        <f>VLOOKUP(E293,$A$2:C470,2,0)/1000</f>
        <v>0</v>
      </c>
      <c r="G293" s="153">
        <f>VLOOKUP(E293,$A$2:C470,3,0)/1000</f>
        <v>0</v>
      </c>
    </row>
    <row r="294" spans="1:7">
      <c r="A294" s="99">
        <v>45219</v>
      </c>
      <c r="B294" s="35"/>
      <c r="C294" s="35"/>
      <c r="E294" s="172">
        <f t="shared" si="10"/>
        <v>45219</v>
      </c>
      <c r="F294" s="34">
        <f>VLOOKUP(E294,$A$2:C471,2,0)/1000</f>
        <v>0</v>
      </c>
      <c r="G294" s="153">
        <f>VLOOKUP(E294,$A$2:C471,3,0)/1000</f>
        <v>0</v>
      </c>
    </row>
    <row r="295" spans="1:7">
      <c r="A295" s="99">
        <v>45220</v>
      </c>
      <c r="B295" s="35"/>
      <c r="C295" s="35"/>
      <c r="E295" s="172">
        <f t="shared" si="10"/>
        <v>45220</v>
      </c>
      <c r="F295" s="34">
        <f>VLOOKUP(E295,$A$2:C472,2,0)/1000</f>
        <v>0</v>
      </c>
      <c r="G295" s="153">
        <f>VLOOKUP(E295,$A$2:C472,3,0)/1000</f>
        <v>0</v>
      </c>
    </row>
    <row r="296" spans="1:7">
      <c r="A296" s="99">
        <v>45221</v>
      </c>
      <c r="B296" s="35"/>
      <c r="C296" s="35"/>
      <c r="E296" s="172">
        <f t="shared" si="10"/>
        <v>45221</v>
      </c>
      <c r="F296" s="34">
        <f>VLOOKUP(E296,$A$2:C473,2,0)/1000</f>
        <v>0</v>
      </c>
      <c r="G296" s="153">
        <f>VLOOKUP(E296,$A$2:C473,3,0)/1000</f>
        <v>0</v>
      </c>
    </row>
    <row r="297" spans="1:7">
      <c r="A297" s="99">
        <v>45222</v>
      </c>
      <c r="B297" s="35"/>
      <c r="C297" s="35"/>
      <c r="E297" s="172">
        <f t="shared" si="10"/>
        <v>45222</v>
      </c>
      <c r="F297" s="34">
        <f>VLOOKUP(E297,$A$2:C474,2,0)/1000</f>
        <v>0</v>
      </c>
      <c r="G297" s="153">
        <f>VLOOKUP(E297,$A$2:C474,3,0)/1000</f>
        <v>0</v>
      </c>
    </row>
    <row r="298" spans="1:7">
      <c r="A298" s="99">
        <v>45223</v>
      </c>
      <c r="B298" s="35"/>
      <c r="C298" s="35"/>
      <c r="E298" s="172">
        <f t="shared" si="10"/>
        <v>45223</v>
      </c>
      <c r="F298" s="34">
        <f>VLOOKUP(E298,$A$2:C475,2,0)/1000</f>
        <v>0</v>
      </c>
      <c r="G298" s="153">
        <f>VLOOKUP(E298,$A$2:C475,3,0)/1000</f>
        <v>0</v>
      </c>
    </row>
    <row r="299" spans="1:7">
      <c r="A299" s="99">
        <v>45224</v>
      </c>
      <c r="B299" s="35"/>
      <c r="C299" s="35"/>
      <c r="E299" s="172">
        <f t="shared" si="10"/>
        <v>45224</v>
      </c>
      <c r="F299" s="34">
        <f>VLOOKUP(E299,$A$2:C476,2,0)/1000</f>
        <v>0</v>
      </c>
      <c r="G299" s="153">
        <f>VLOOKUP(E299,$A$2:C476,3,0)/1000</f>
        <v>0</v>
      </c>
    </row>
    <row r="300" spans="1:7">
      <c r="A300" s="99">
        <v>45225</v>
      </c>
      <c r="B300" s="35"/>
      <c r="C300" s="35"/>
      <c r="E300" s="172">
        <f t="shared" si="10"/>
        <v>45225</v>
      </c>
      <c r="F300" s="34">
        <f>VLOOKUP(E300,$A$2:C477,2,0)/1000</f>
        <v>0</v>
      </c>
      <c r="G300" s="153">
        <f>VLOOKUP(E300,$A$2:C477,3,0)/1000</f>
        <v>0</v>
      </c>
    </row>
    <row r="301" spans="1:7">
      <c r="A301" s="99">
        <v>45226</v>
      </c>
      <c r="B301" s="35"/>
      <c r="C301" s="35"/>
      <c r="E301" s="172">
        <f t="shared" si="10"/>
        <v>45226</v>
      </c>
      <c r="F301" s="34">
        <f>VLOOKUP(E301,$A$2:C478,2,0)/1000</f>
        <v>0</v>
      </c>
      <c r="G301" s="153">
        <f>VLOOKUP(E301,$A$2:C478,3,0)/1000</f>
        <v>0</v>
      </c>
    </row>
    <row r="302" spans="1:7">
      <c r="A302" s="99">
        <v>45227</v>
      </c>
      <c r="B302" s="35"/>
      <c r="C302" s="35"/>
      <c r="E302" s="172">
        <f t="shared" si="10"/>
        <v>45227</v>
      </c>
      <c r="F302" s="34">
        <f>VLOOKUP(E302,$A$2:C479,2,0)/1000</f>
        <v>0</v>
      </c>
      <c r="G302" s="153">
        <f>VLOOKUP(E302,$A$2:C479,3,0)/1000</f>
        <v>0</v>
      </c>
    </row>
    <row r="303" spans="1:7">
      <c r="A303" s="99">
        <v>45228</v>
      </c>
      <c r="B303" s="35"/>
      <c r="C303" s="35"/>
      <c r="E303" s="172">
        <f t="shared" si="10"/>
        <v>45228</v>
      </c>
      <c r="F303" s="34">
        <f>VLOOKUP(E303,$A$2:C480,2,0)/1000</f>
        <v>0</v>
      </c>
      <c r="G303" s="153">
        <f>VLOOKUP(E303,$A$2:C480,3,0)/1000</f>
        <v>0</v>
      </c>
    </row>
    <row r="304" spans="1:7">
      <c r="A304" s="99">
        <v>45229</v>
      </c>
      <c r="B304" s="35"/>
      <c r="C304" s="35"/>
      <c r="E304" s="172">
        <f t="shared" si="10"/>
        <v>45229</v>
      </c>
      <c r="F304" s="34">
        <f>VLOOKUP(E304,$A$2:C481,2,0)/1000</f>
        <v>0</v>
      </c>
      <c r="G304" s="153">
        <f>VLOOKUP(E304,$A$2:C481,3,0)/1000</f>
        <v>0</v>
      </c>
    </row>
    <row r="305" spans="1:7">
      <c r="A305" s="99">
        <v>45230</v>
      </c>
      <c r="B305" s="35"/>
      <c r="C305" s="35"/>
      <c r="E305" s="172">
        <f t="shared" si="10"/>
        <v>45230</v>
      </c>
      <c r="F305" s="34">
        <f>VLOOKUP(E305,$A$2:C482,2,0)/1000</f>
        <v>0</v>
      </c>
      <c r="G305" s="153">
        <f>VLOOKUP(E305,$A$2:C482,3,0)/1000</f>
        <v>0</v>
      </c>
    </row>
    <row r="306" spans="1:7">
      <c r="A306" s="99">
        <v>45231</v>
      </c>
      <c r="B306" s="35"/>
      <c r="C306" s="35"/>
      <c r="E306" s="172">
        <f t="shared" si="10"/>
        <v>45231</v>
      </c>
      <c r="F306" s="34">
        <f>VLOOKUP(E306,$A$2:C483,2,0)/1000</f>
        <v>0</v>
      </c>
      <c r="G306" s="153">
        <f>VLOOKUP(E306,$A$2:C483,3,0)/1000</f>
        <v>0</v>
      </c>
    </row>
    <row r="307" spans="1:7">
      <c r="A307" s="99">
        <v>45232</v>
      </c>
      <c r="B307" s="35"/>
      <c r="C307" s="35"/>
      <c r="E307" s="172">
        <f t="shared" si="10"/>
        <v>45232</v>
      </c>
      <c r="F307" s="34">
        <f>VLOOKUP(E307,$A$2:C484,2,0)/1000</f>
        <v>0</v>
      </c>
      <c r="G307" s="153">
        <f>VLOOKUP(E307,$A$2:C484,3,0)/1000</f>
        <v>0</v>
      </c>
    </row>
    <row r="308" spans="1:7">
      <c r="A308" s="99">
        <v>45233</v>
      </c>
      <c r="B308" s="35"/>
      <c r="C308" s="35"/>
      <c r="E308" s="172">
        <f t="shared" si="10"/>
        <v>45233</v>
      </c>
      <c r="F308" s="34">
        <f>VLOOKUP(E308,$A$2:C485,2,0)/1000</f>
        <v>0</v>
      </c>
      <c r="G308" s="153">
        <f>VLOOKUP(E308,$A$2:C485,3,0)/1000</f>
        <v>0</v>
      </c>
    </row>
    <row r="309" spans="1:7">
      <c r="A309" s="99">
        <v>45234</v>
      </c>
      <c r="B309" s="35"/>
      <c r="C309" s="35"/>
      <c r="E309" s="172">
        <f t="shared" si="10"/>
        <v>45234</v>
      </c>
      <c r="F309" s="34">
        <f>VLOOKUP(E309,$A$2:C486,2,0)/1000</f>
        <v>0</v>
      </c>
      <c r="G309" s="153">
        <f>VLOOKUP(E309,$A$2:C486,3,0)/1000</f>
        <v>0</v>
      </c>
    </row>
    <row r="310" spans="1:7">
      <c r="A310" s="99">
        <v>45235</v>
      </c>
      <c r="B310" s="35"/>
      <c r="C310" s="35"/>
      <c r="E310" s="172">
        <f t="shared" si="10"/>
        <v>45235</v>
      </c>
      <c r="F310" s="34">
        <f>VLOOKUP(E310,$A$2:C487,2,0)/1000</f>
        <v>0</v>
      </c>
      <c r="G310" s="153">
        <f>VLOOKUP(E310,$A$2:C487,3,0)/1000</f>
        <v>0</v>
      </c>
    </row>
    <row r="311" spans="1:7">
      <c r="A311" s="99">
        <v>45236</v>
      </c>
      <c r="B311" s="35"/>
      <c r="C311" s="35"/>
      <c r="E311" s="172">
        <f t="shared" ref="E311:E336" si="11">A311</f>
        <v>45236</v>
      </c>
      <c r="F311" s="34">
        <f>VLOOKUP(E311,$A$2:C488,2,0)/1000</f>
        <v>0</v>
      </c>
      <c r="G311" s="153">
        <f>VLOOKUP(E311,$A$2:C488,3,0)/1000</f>
        <v>0</v>
      </c>
    </row>
    <row r="312" spans="1:7">
      <c r="A312" s="99">
        <v>45237</v>
      </c>
      <c r="B312" s="35"/>
      <c r="C312" s="35"/>
      <c r="E312" s="172">
        <f t="shared" si="11"/>
        <v>45237</v>
      </c>
      <c r="F312" s="34">
        <f>VLOOKUP(E312,$A$2:C489,2,0)/1000</f>
        <v>0</v>
      </c>
      <c r="G312" s="153">
        <f>VLOOKUP(E312,$A$2:C489,3,0)/1000</f>
        <v>0</v>
      </c>
    </row>
    <row r="313" spans="1:7">
      <c r="A313" s="99">
        <v>45238</v>
      </c>
      <c r="B313" s="35"/>
      <c r="C313" s="35"/>
      <c r="E313" s="172">
        <f t="shared" si="11"/>
        <v>45238</v>
      </c>
      <c r="F313" s="34">
        <f>VLOOKUP(E313,$A$2:C490,2,0)/1000</f>
        <v>0</v>
      </c>
      <c r="G313" s="153">
        <f>VLOOKUP(E313,$A$2:C490,3,0)/1000</f>
        <v>0</v>
      </c>
    </row>
    <row r="314" spans="1:7">
      <c r="A314" s="99">
        <v>45239</v>
      </c>
      <c r="B314" s="35"/>
      <c r="C314" s="35"/>
      <c r="E314" s="172">
        <f t="shared" si="11"/>
        <v>45239</v>
      </c>
      <c r="F314" s="34">
        <f>VLOOKUP(E314,$A$2:C491,2,0)/1000</f>
        <v>0</v>
      </c>
      <c r="G314" s="153">
        <f>VLOOKUP(E314,$A$2:C491,3,0)/1000</f>
        <v>0</v>
      </c>
    </row>
    <row r="315" spans="1:7">
      <c r="A315" s="99">
        <v>45240</v>
      </c>
      <c r="B315" s="35"/>
      <c r="C315" s="35"/>
      <c r="E315" s="172">
        <f t="shared" si="11"/>
        <v>45240</v>
      </c>
      <c r="F315" s="34">
        <f>VLOOKUP(E315,$A$2:C492,2,0)/1000</f>
        <v>0</v>
      </c>
      <c r="G315" s="153">
        <f>VLOOKUP(E315,$A$2:C492,3,0)/1000</f>
        <v>0</v>
      </c>
    </row>
    <row r="316" spans="1:7">
      <c r="A316" s="99">
        <v>45241</v>
      </c>
      <c r="B316" s="35"/>
      <c r="C316" s="35"/>
      <c r="E316" s="172">
        <f t="shared" si="11"/>
        <v>45241</v>
      </c>
      <c r="F316" s="34">
        <f>VLOOKUP(E316,$A$2:C493,2,0)/1000</f>
        <v>0</v>
      </c>
      <c r="G316" s="153">
        <f>VLOOKUP(E316,$A$2:C493,3,0)/1000</f>
        <v>0</v>
      </c>
    </row>
    <row r="317" spans="1:7">
      <c r="A317" s="99">
        <v>45242</v>
      </c>
      <c r="B317" s="35"/>
      <c r="C317" s="35"/>
      <c r="E317" s="172">
        <f t="shared" si="11"/>
        <v>45242</v>
      </c>
      <c r="F317" s="34">
        <f>VLOOKUP(E317,$A$2:C494,2,0)/1000</f>
        <v>0</v>
      </c>
      <c r="G317" s="153">
        <f>VLOOKUP(E317,$A$2:C494,3,0)/1000</f>
        <v>0</v>
      </c>
    </row>
    <row r="318" spans="1:7">
      <c r="A318" s="99">
        <v>45243</v>
      </c>
      <c r="B318" s="35"/>
      <c r="C318" s="35"/>
      <c r="E318" s="172">
        <f t="shared" si="11"/>
        <v>45243</v>
      </c>
      <c r="F318" s="34">
        <f>VLOOKUP(E318,$A$2:C495,2,0)/1000</f>
        <v>0</v>
      </c>
      <c r="G318" s="153">
        <f>VLOOKUP(E318,$A$2:C495,3,0)/1000</f>
        <v>0</v>
      </c>
    </row>
    <row r="319" spans="1:7">
      <c r="A319" s="99">
        <v>45244</v>
      </c>
      <c r="B319" s="35"/>
      <c r="C319" s="35"/>
      <c r="E319" s="172">
        <f t="shared" si="11"/>
        <v>45244</v>
      </c>
      <c r="F319" s="34">
        <f>VLOOKUP(E319,$A$2:C496,2,0)/1000</f>
        <v>0</v>
      </c>
      <c r="G319" s="153">
        <f>VLOOKUP(E319,$A$2:C496,3,0)/1000</f>
        <v>0</v>
      </c>
    </row>
    <row r="320" spans="1:7">
      <c r="A320" s="99">
        <v>45245</v>
      </c>
      <c r="B320" s="35"/>
      <c r="C320" s="35"/>
      <c r="E320" s="172">
        <f t="shared" si="11"/>
        <v>45245</v>
      </c>
      <c r="F320" s="34">
        <f>VLOOKUP(E320,$A$2:C497,2,0)/1000</f>
        <v>0</v>
      </c>
      <c r="G320" s="153">
        <f>VLOOKUP(E320,$A$2:C497,3,0)/1000</f>
        <v>0</v>
      </c>
    </row>
    <row r="321" spans="1:7">
      <c r="A321" s="99">
        <v>45246</v>
      </c>
      <c r="B321" s="35"/>
      <c r="C321" s="35"/>
      <c r="E321" s="172">
        <f t="shared" si="11"/>
        <v>45246</v>
      </c>
      <c r="F321" s="34">
        <f>VLOOKUP(E321,$A$2:C498,2,0)/1000</f>
        <v>0</v>
      </c>
      <c r="G321" s="153">
        <f>VLOOKUP(E321,$A$2:C498,3,0)/1000</f>
        <v>0</v>
      </c>
    </row>
    <row r="322" spans="1:7">
      <c r="A322" s="99">
        <v>45247</v>
      </c>
      <c r="B322" s="35"/>
      <c r="C322" s="35"/>
      <c r="E322" s="172">
        <f t="shared" si="11"/>
        <v>45247</v>
      </c>
      <c r="F322" s="34">
        <f>VLOOKUP(E322,$A$2:C499,2,0)/1000</f>
        <v>0</v>
      </c>
      <c r="G322" s="153">
        <f>VLOOKUP(E322,$A$2:C499,3,0)/1000</f>
        <v>0</v>
      </c>
    </row>
    <row r="323" spans="1:7">
      <c r="A323" s="99">
        <v>45248</v>
      </c>
      <c r="B323" s="35"/>
      <c r="C323" s="35"/>
      <c r="E323" s="172">
        <f t="shared" si="11"/>
        <v>45248</v>
      </c>
      <c r="F323" s="34">
        <f>VLOOKUP(E323,$A$2:C500,2,0)/1000</f>
        <v>0</v>
      </c>
      <c r="G323" s="153">
        <f>VLOOKUP(E323,$A$2:C500,3,0)/1000</f>
        <v>0</v>
      </c>
    </row>
    <row r="324" spans="1:7">
      <c r="A324" s="99">
        <v>45249</v>
      </c>
      <c r="B324" s="35"/>
      <c r="C324" s="35"/>
      <c r="E324" s="172">
        <f t="shared" si="11"/>
        <v>45249</v>
      </c>
      <c r="F324" s="34">
        <f>VLOOKUP(E324,$A$2:C501,2,0)/1000</f>
        <v>0</v>
      </c>
      <c r="G324" s="153">
        <f>VLOOKUP(E324,$A$2:C501,3,0)/1000</f>
        <v>0</v>
      </c>
    </row>
    <row r="325" spans="1:7">
      <c r="A325" s="99">
        <v>45250</v>
      </c>
      <c r="B325" s="35"/>
      <c r="C325" s="35"/>
      <c r="E325" s="172">
        <f t="shared" si="11"/>
        <v>45250</v>
      </c>
      <c r="F325" s="34">
        <f>VLOOKUP(E325,$A$2:C502,2,0)/1000</f>
        <v>0</v>
      </c>
      <c r="G325" s="153">
        <f>VLOOKUP(E325,$A$2:C502,3,0)/1000</f>
        <v>0</v>
      </c>
    </row>
    <row r="326" spans="1:7">
      <c r="A326" s="99">
        <v>45251</v>
      </c>
      <c r="B326" s="35"/>
      <c r="C326" s="35"/>
      <c r="E326" s="172">
        <f t="shared" si="11"/>
        <v>45251</v>
      </c>
      <c r="F326" s="34">
        <f>VLOOKUP(E326,$A$2:C503,2,0)/1000</f>
        <v>0</v>
      </c>
      <c r="G326" s="153">
        <f>VLOOKUP(E326,$A$2:C503,3,0)/1000</f>
        <v>0</v>
      </c>
    </row>
    <row r="327" spans="1:7">
      <c r="A327" s="99">
        <v>45252</v>
      </c>
      <c r="B327" s="35"/>
      <c r="C327" s="35"/>
      <c r="E327" s="172">
        <f t="shared" si="11"/>
        <v>45252</v>
      </c>
      <c r="F327" s="34">
        <f>VLOOKUP(E327,$A$2:C504,2,0)/1000</f>
        <v>0</v>
      </c>
      <c r="G327" s="153">
        <f>VLOOKUP(E327,$A$2:C504,3,0)/1000</f>
        <v>0</v>
      </c>
    </row>
    <row r="328" spans="1:7">
      <c r="A328" s="99">
        <v>45253</v>
      </c>
      <c r="B328" s="35"/>
      <c r="C328" s="35"/>
      <c r="E328" s="172">
        <f t="shared" si="11"/>
        <v>45253</v>
      </c>
      <c r="F328" s="34">
        <f>VLOOKUP(E328,$A$2:C505,2,0)/1000</f>
        <v>0</v>
      </c>
      <c r="G328" s="153">
        <f>VLOOKUP(E328,$A$2:C505,3,0)/1000</f>
        <v>0</v>
      </c>
    </row>
    <row r="329" spans="1:7">
      <c r="A329" s="99">
        <v>45254</v>
      </c>
      <c r="B329" s="35"/>
      <c r="C329" s="35"/>
      <c r="E329" s="172">
        <f t="shared" si="11"/>
        <v>45254</v>
      </c>
      <c r="F329" s="34">
        <f>VLOOKUP(E329,$A$2:C506,2,0)/1000</f>
        <v>0</v>
      </c>
      <c r="G329" s="153">
        <f>VLOOKUP(E329,$A$2:C506,3,0)/1000</f>
        <v>0</v>
      </c>
    </row>
    <row r="330" spans="1:7">
      <c r="A330" s="99">
        <v>45255</v>
      </c>
      <c r="B330" s="35"/>
      <c r="C330" s="35"/>
      <c r="E330" s="172">
        <f t="shared" si="11"/>
        <v>45255</v>
      </c>
      <c r="F330" s="34">
        <f>VLOOKUP(E330,$A$2:C507,2,0)/1000</f>
        <v>0</v>
      </c>
      <c r="G330" s="153">
        <f>VLOOKUP(E330,$A$2:C507,3,0)/1000</f>
        <v>0</v>
      </c>
    </row>
    <row r="331" spans="1:7">
      <c r="A331" s="99">
        <v>45256</v>
      </c>
      <c r="B331" s="35"/>
      <c r="C331" s="35"/>
      <c r="E331" s="172">
        <f t="shared" si="11"/>
        <v>45256</v>
      </c>
      <c r="F331" s="34">
        <f>VLOOKUP(E331,$A$2:C508,2,0)/1000</f>
        <v>0</v>
      </c>
      <c r="G331" s="153">
        <f>VLOOKUP(E331,$A$2:C508,3,0)/1000</f>
        <v>0</v>
      </c>
    </row>
    <row r="332" spans="1:7">
      <c r="A332" s="99">
        <v>45257</v>
      </c>
      <c r="B332" s="35"/>
      <c r="C332" s="35"/>
      <c r="E332" s="172">
        <f t="shared" si="11"/>
        <v>45257</v>
      </c>
      <c r="F332" s="34">
        <f>VLOOKUP(E332,$A$2:C509,2,0)/1000</f>
        <v>0</v>
      </c>
      <c r="G332" s="153">
        <f>VLOOKUP(E332,$A$2:C509,3,0)/1000</f>
        <v>0</v>
      </c>
    </row>
    <row r="333" spans="1:7">
      <c r="A333" s="99">
        <v>45258</v>
      </c>
      <c r="B333" s="35"/>
      <c r="C333" s="35"/>
      <c r="E333" s="172">
        <f t="shared" si="11"/>
        <v>45258</v>
      </c>
      <c r="F333" s="34">
        <f>VLOOKUP(E333,$A$2:C510,2,0)/1000</f>
        <v>0</v>
      </c>
      <c r="G333" s="153">
        <f>VLOOKUP(E333,$A$2:C510,3,0)/1000</f>
        <v>0</v>
      </c>
    </row>
    <row r="334" spans="1:7">
      <c r="A334" s="99">
        <v>45259</v>
      </c>
      <c r="B334" s="35"/>
      <c r="C334" s="35"/>
      <c r="E334" s="172">
        <f t="shared" si="11"/>
        <v>45259</v>
      </c>
      <c r="F334" s="34">
        <f>VLOOKUP(E334,$A$2:C511,2,0)/1000</f>
        <v>0</v>
      </c>
      <c r="G334" s="153">
        <f>VLOOKUP(E334,$A$2:C511,3,0)/1000</f>
        <v>0</v>
      </c>
    </row>
    <row r="335" spans="1:7">
      <c r="A335" s="99">
        <v>45260</v>
      </c>
      <c r="B335" s="35"/>
      <c r="C335" s="35"/>
      <c r="E335" s="172">
        <f t="shared" si="11"/>
        <v>45260</v>
      </c>
      <c r="F335" s="34">
        <f>VLOOKUP(E335,$A$2:C512,2,0)/1000</f>
        <v>0</v>
      </c>
      <c r="G335" s="153">
        <f>VLOOKUP(E335,$A$2:C512,3,0)/1000</f>
        <v>0</v>
      </c>
    </row>
    <row r="336" spans="1:7">
      <c r="A336" s="99">
        <v>45261</v>
      </c>
      <c r="B336" s="35"/>
      <c r="C336" s="35"/>
      <c r="E336" s="172">
        <f t="shared" si="11"/>
        <v>45261</v>
      </c>
      <c r="F336" s="34">
        <f>VLOOKUP(E336,$A$2:C513,2,0)/1000</f>
        <v>0</v>
      </c>
      <c r="G336" s="153">
        <f>VLOOKUP(E336,$A$2:C513,3,0)/1000</f>
        <v>0</v>
      </c>
    </row>
    <row r="337" spans="1:7">
      <c r="A337" s="99">
        <v>45262</v>
      </c>
      <c r="B337" s="35"/>
      <c r="C337" s="35"/>
      <c r="E337" s="172">
        <f t="shared" ref="E337:E367" si="12">A337</f>
        <v>45262</v>
      </c>
      <c r="F337" s="34">
        <f>VLOOKUP(E337,$A$2:C514,2,0)/1000</f>
        <v>0</v>
      </c>
      <c r="G337" s="153">
        <f>VLOOKUP(E337,$A$2:C514,3,0)/1000</f>
        <v>0</v>
      </c>
    </row>
    <row r="338" spans="1:7">
      <c r="A338" s="99">
        <v>45263</v>
      </c>
      <c r="B338" s="35"/>
      <c r="C338" s="35"/>
      <c r="E338" s="172">
        <f t="shared" si="12"/>
        <v>45263</v>
      </c>
      <c r="F338" s="34">
        <f>VLOOKUP(E338,$A$2:C515,2,0)/1000</f>
        <v>0</v>
      </c>
      <c r="G338" s="153">
        <f>VLOOKUP(E338,$A$2:C515,3,0)/1000</f>
        <v>0</v>
      </c>
    </row>
    <row r="339" spans="1:7">
      <c r="A339" s="99">
        <v>45264</v>
      </c>
      <c r="B339" s="35"/>
      <c r="C339" s="35"/>
      <c r="E339" s="172">
        <f t="shared" si="12"/>
        <v>45264</v>
      </c>
      <c r="F339" s="34">
        <f>VLOOKUP(E339,$A$2:C516,2,0)/1000</f>
        <v>0</v>
      </c>
      <c r="G339" s="153">
        <f>VLOOKUP(E339,$A$2:C516,3,0)/1000</f>
        <v>0</v>
      </c>
    </row>
    <row r="340" spans="1:7">
      <c r="A340" s="99">
        <v>45265</v>
      </c>
      <c r="B340" s="35"/>
      <c r="C340" s="35"/>
      <c r="E340" s="172">
        <f t="shared" si="12"/>
        <v>45265</v>
      </c>
      <c r="F340" s="34">
        <f>VLOOKUP(E340,$A$2:C517,2,0)/1000</f>
        <v>0</v>
      </c>
      <c r="G340" s="153">
        <f>VLOOKUP(E340,$A$2:C517,3,0)/1000</f>
        <v>0</v>
      </c>
    </row>
    <row r="341" spans="1:7">
      <c r="A341" s="99">
        <v>45266</v>
      </c>
      <c r="B341" s="35"/>
      <c r="C341" s="35"/>
      <c r="E341" s="172">
        <f t="shared" si="12"/>
        <v>45266</v>
      </c>
      <c r="F341" s="34">
        <f>VLOOKUP(E341,$A$2:C518,2,0)/1000</f>
        <v>0</v>
      </c>
      <c r="G341" s="153">
        <f>VLOOKUP(E341,$A$2:C518,3,0)/1000</f>
        <v>0</v>
      </c>
    </row>
    <row r="342" spans="1:7">
      <c r="A342" s="99">
        <v>45267</v>
      </c>
      <c r="B342" s="35"/>
      <c r="C342" s="35"/>
      <c r="E342" s="172">
        <f t="shared" si="12"/>
        <v>45267</v>
      </c>
      <c r="F342" s="34">
        <f>VLOOKUP(E342,$A$2:C519,2,0)/1000</f>
        <v>0</v>
      </c>
      <c r="G342" s="153">
        <f>VLOOKUP(E342,$A$2:C519,3,0)/1000</f>
        <v>0</v>
      </c>
    </row>
    <row r="343" spans="1:7">
      <c r="A343" s="99">
        <v>45268</v>
      </c>
      <c r="B343" s="35"/>
      <c r="C343" s="35"/>
      <c r="E343" s="172">
        <f t="shared" si="12"/>
        <v>45268</v>
      </c>
      <c r="F343" s="34">
        <f>VLOOKUP(E343,$A$2:C520,2,0)/1000</f>
        <v>0</v>
      </c>
      <c r="G343" s="153">
        <f>VLOOKUP(E343,$A$2:C520,3,0)/1000</f>
        <v>0</v>
      </c>
    </row>
    <row r="344" spans="1:7">
      <c r="A344" s="99">
        <v>45269</v>
      </c>
      <c r="B344" s="35"/>
      <c r="C344" s="35"/>
      <c r="E344" s="172">
        <f t="shared" si="12"/>
        <v>45269</v>
      </c>
      <c r="F344" s="34">
        <f>VLOOKUP(E344,$A$2:C521,2,0)/1000</f>
        <v>0</v>
      </c>
      <c r="G344" s="153">
        <f>VLOOKUP(E344,$A$2:C521,3,0)/1000</f>
        <v>0</v>
      </c>
    </row>
    <row r="345" spans="1:7">
      <c r="A345" s="99">
        <v>45270</v>
      </c>
      <c r="B345" s="35"/>
      <c r="C345" s="35"/>
      <c r="E345" s="172">
        <f t="shared" si="12"/>
        <v>45270</v>
      </c>
      <c r="F345" s="34">
        <f>VLOOKUP(E345,$A$2:C522,2,0)/1000</f>
        <v>0</v>
      </c>
      <c r="G345" s="153">
        <f>VLOOKUP(E345,$A$2:C522,3,0)/1000</f>
        <v>0</v>
      </c>
    </row>
    <row r="346" spans="1:7">
      <c r="A346" s="99">
        <v>45271</v>
      </c>
      <c r="B346" s="35"/>
      <c r="C346" s="35"/>
      <c r="E346" s="172">
        <f t="shared" si="12"/>
        <v>45271</v>
      </c>
      <c r="F346" s="34">
        <f>VLOOKUP(E346,$A$2:C523,2,0)/1000</f>
        <v>0</v>
      </c>
      <c r="G346" s="153">
        <f>VLOOKUP(E346,$A$2:C523,3,0)/1000</f>
        <v>0</v>
      </c>
    </row>
    <row r="347" spans="1:7">
      <c r="A347" s="99">
        <v>45272</v>
      </c>
      <c r="B347" s="35"/>
      <c r="C347" s="35"/>
      <c r="E347" s="172">
        <f t="shared" si="12"/>
        <v>45272</v>
      </c>
      <c r="F347" s="34">
        <f>VLOOKUP(E347,$A$2:C524,2,0)/1000</f>
        <v>0</v>
      </c>
      <c r="G347" s="153">
        <f>VLOOKUP(E347,$A$2:C524,3,0)/1000</f>
        <v>0</v>
      </c>
    </row>
    <row r="348" spans="1:7">
      <c r="A348" s="99">
        <v>45273</v>
      </c>
      <c r="B348" s="35"/>
      <c r="C348" s="35"/>
      <c r="E348" s="172">
        <f t="shared" si="12"/>
        <v>45273</v>
      </c>
      <c r="F348" s="34">
        <f>VLOOKUP(E348,$A$2:C525,2,0)/1000</f>
        <v>0</v>
      </c>
      <c r="G348" s="153">
        <f>VLOOKUP(E348,$A$2:C525,3,0)/1000</f>
        <v>0</v>
      </c>
    </row>
    <row r="349" spans="1:7">
      <c r="A349" s="99">
        <v>45274</v>
      </c>
      <c r="B349" s="35"/>
      <c r="C349" s="35"/>
      <c r="E349" s="172">
        <f t="shared" si="12"/>
        <v>45274</v>
      </c>
      <c r="F349" s="34">
        <f>VLOOKUP(E349,$A$2:C526,2,0)/1000</f>
        <v>0</v>
      </c>
      <c r="G349" s="153">
        <f>VLOOKUP(E349,$A$2:C526,3,0)/1000</f>
        <v>0</v>
      </c>
    </row>
    <row r="350" spans="1:7">
      <c r="A350" s="99">
        <v>45275</v>
      </c>
      <c r="B350" s="35"/>
      <c r="C350" s="35"/>
      <c r="E350" s="172">
        <f t="shared" si="12"/>
        <v>45275</v>
      </c>
      <c r="F350" s="34">
        <f>VLOOKUP(E350,$A$2:C527,2,0)/1000</f>
        <v>0</v>
      </c>
      <c r="G350" s="153">
        <f>VLOOKUP(E350,$A$2:C527,3,0)/1000</f>
        <v>0</v>
      </c>
    </row>
    <row r="351" spans="1:7">
      <c r="A351" s="99">
        <v>45276</v>
      </c>
      <c r="B351" s="35"/>
      <c r="C351" s="35"/>
      <c r="E351" s="172">
        <f t="shared" si="12"/>
        <v>45276</v>
      </c>
      <c r="F351" s="34">
        <f>VLOOKUP(E351,$A$2:C528,2,0)/1000</f>
        <v>0</v>
      </c>
      <c r="G351" s="153">
        <f>VLOOKUP(E351,$A$2:C528,3,0)/1000</f>
        <v>0</v>
      </c>
    </row>
    <row r="352" spans="1:7">
      <c r="A352" s="99">
        <v>45277</v>
      </c>
      <c r="B352" s="35"/>
      <c r="C352" s="35"/>
      <c r="E352" s="172">
        <f t="shared" si="12"/>
        <v>45277</v>
      </c>
      <c r="F352" s="34">
        <f>VLOOKUP(E352,$A$2:C529,2,0)/1000</f>
        <v>0</v>
      </c>
      <c r="G352" s="153">
        <f>VLOOKUP(E352,$A$2:C529,3,0)/1000</f>
        <v>0</v>
      </c>
    </row>
    <row r="353" spans="1:7">
      <c r="A353" s="99">
        <v>45278</v>
      </c>
      <c r="B353" s="35"/>
      <c r="C353" s="35"/>
      <c r="E353" s="172">
        <f t="shared" si="12"/>
        <v>45278</v>
      </c>
      <c r="F353" s="34">
        <f>VLOOKUP(E353,$A$2:C530,2,0)/1000</f>
        <v>0</v>
      </c>
      <c r="G353" s="153">
        <f>VLOOKUP(E353,$A$2:C530,3,0)/1000</f>
        <v>0</v>
      </c>
    </row>
    <row r="354" spans="1:7">
      <c r="A354" s="99">
        <v>45279</v>
      </c>
      <c r="B354" s="35"/>
      <c r="C354" s="35"/>
      <c r="E354" s="172">
        <f t="shared" si="12"/>
        <v>45279</v>
      </c>
      <c r="F354" s="34">
        <f>VLOOKUP(E354,$A$2:C531,2,0)/1000</f>
        <v>0</v>
      </c>
      <c r="G354" s="153">
        <f>VLOOKUP(E354,$A$2:C531,3,0)/1000</f>
        <v>0</v>
      </c>
    </row>
    <row r="355" spans="1:7">
      <c r="A355" s="99">
        <v>45280</v>
      </c>
      <c r="B355" s="35"/>
      <c r="C355" s="35"/>
      <c r="E355" s="172">
        <f t="shared" si="12"/>
        <v>45280</v>
      </c>
      <c r="F355" s="34">
        <f>VLOOKUP(E355,$A$2:C532,2,0)/1000</f>
        <v>0</v>
      </c>
      <c r="G355" s="153">
        <f>VLOOKUP(E355,$A$2:C532,3,0)/1000</f>
        <v>0</v>
      </c>
    </row>
    <row r="356" spans="1:7">
      <c r="A356" s="99">
        <v>45281</v>
      </c>
      <c r="B356" s="35"/>
      <c r="C356" s="35"/>
      <c r="E356" s="172">
        <f t="shared" si="12"/>
        <v>45281</v>
      </c>
      <c r="F356" s="34">
        <f>VLOOKUP(E356,$A$2:C533,2,0)/1000</f>
        <v>0</v>
      </c>
      <c r="G356" s="153">
        <f>VLOOKUP(E356,$A$2:C533,3,0)/1000</f>
        <v>0</v>
      </c>
    </row>
    <row r="357" spans="1:7">
      <c r="A357" s="99">
        <v>45282</v>
      </c>
      <c r="B357" s="35"/>
      <c r="C357" s="35"/>
      <c r="E357" s="172">
        <f t="shared" si="12"/>
        <v>45282</v>
      </c>
      <c r="F357" s="34">
        <f>VLOOKUP(E357,$A$2:C534,2,0)/1000</f>
        <v>0</v>
      </c>
      <c r="G357" s="153">
        <f>VLOOKUP(E357,$A$2:C534,3,0)/1000</f>
        <v>0</v>
      </c>
    </row>
    <row r="358" spans="1:7">
      <c r="A358" s="99">
        <v>45283</v>
      </c>
      <c r="B358" s="35"/>
      <c r="C358" s="35"/>
      <c r="E358" s="172">
        <f t="shared" si="12"/>
        <v>45283</v>
      </c>
      <c r="F358" s="34">
        <f>VLOOKUP(E358,$A$2:C535,2,0)/1000</f>
        <v>0</v>
      </c>
      <c r="G358" s="153">
        <f>VLOOKUP(E358,$A$2:C535,3,0)/1000</f>
        <v>0</v>
      </c>
    </row>
    <row r="359" spans="1:7">
      <c r="A359" s="99">
        <v>45284</v>
      </c>
      <c r="B359" s="35"/>
      <c r="C359" s="35"/>
      <c r="E359" s="172">
        <f t="shared" si="12"/>
        <v>45284</v>
      </c>
      <c r="F359" s="34">
        <f>VLOOKUP(E359,$A$2:C536,2,0)/1000</f>
        <v>0</v>
      </c>
      <c r="G359" s="153">
        <f>VLOOKUP(E359,$A$2:C536,3,0)/1000</f>
        <v>0</v>
      </c>
    </row>
    <row r="360" spans="1:7">
      <c r="A360" s="99">
        <v>45285</v>
      </c>
      <c r="B360" s="35"/>
      <c r="C360" s="35"/>
      <c r="E360" s="172">
        <f t="shared" si="12"/>
        <v>45285</v>
      </c>
      <c r="F360" s="34">
        <f>VLOOKUP(E360,$A$2:C537,2,0)/1000</f>
        <v>0</v>
      </c>
      <c r="G360" s="153">
        <f>VLOOKUP(E360,$A$2:C537,3,0)/1000</f>
        <v>0</v>
      </c>
    </row>
    <row r="361" spans="1:7">
      <c r="A361" s="99">
        <v>45286</v>
      </c>
      <c r="B361" s="35"/>
      <c r="C361" s="35"/>
      <c r="E361" s="172">
        <f t="shared" si="12"/>
        <v>45286</v>
      </c>
      <c r="F361" s="34">
        <f>VLOOKUP(E361,$A$2:C538,2,0)/1000</f>
        <v>0</v>
      </c>
      <c r="G361" s="153">
        <f>VLOOKUP(E361,$A$2:C538,3,0)/1000</f>
        <v>0</v>
      </c>
    </row>
    <row r="362" spans="1:7">
      <c r="A362" s="99">
        <v>45287</v>
      </c>
      <c r="B362" s="35"/>
      <c r="C362" s="35"/>
      <c r="E362" s="172">
        <f t="shared" si="12"/>
        <v>45287</v>
      </c>
      <c r="F362" s="34">
        <f>VLOOKUP(E362,$A$2:C539,2,0)/1000</f>
        <v>0</v>
      </c>
      <c r="G362" s="153">
        <f>VLOOKUP(E362,$A$2:C539,3,0)/1000</f>
        <v>0</v>
      </c>
    </row>
    <row r="363" spans="1:7">
      <c r="A363" s="99">
        <v>45288</v>
      </c>
      <c r="B363" s="35"/>
      <c r="C363" s="35"/>
      <c r="E363" s="172">
        <f t="shared" si="12"/>
        <v>45288</v>
      </c>
      <c r="F363" s="34">
        <f>VLOOKUP(E363,$A$2:C540,2,0)/1000</f>
        <v>0</v>
      </c>
      <c r="G363" s="153">
        <f>VLOOKUP(E363,$A$2:C540,3,0)/1000</f>
        <v>0</v>
      </c>
    </row>
    <row r="364" spans="1:7">
      <c r="A364" s="99">
        <v>45289</v>
      </c>
      <c r="B364" s="35"/>
      <c r="C364" s="35"/>
      <c r="E364" s="172">
        <f t="shared" si="12"/>
        <v>45289</v>
      </c>
      <c r="F364" s="34">
        <f>VLOOKUP(E364,$A$2:C541,2,0)/1000</f>
        <v>0</v>
      </c>
      <c r="G364" s="153">
        <f>VLOOKUP(E364,$A$2:C541,3,0)/1000</f>
        <v>0</v>
      </c>
    </row>
    <row r="365" spans="1:7">
      <c r="A365" s="99">
        <v>45290</v>
      </c>
      <c r="B365" s="35"/>
      <c r="C365" s="35"/>
      <c r="E365" s="172">
        <f t="shared" si="12"/>
        <v>45290</v>
      </c>
      <c r="F365" s="34">
        <f>VLOOKUP(E365,$A$2:C542,2,0)/1000</f>
        <v>0</v>
      </c>
      <c r="G365" s="153">
        <f>VLOOKUP(E365,$A$2:C542,3,0)/1000</f>
        <v>0</v>
      </c>
    </row>
    <row r="366" spans="1:7">
      <c r="A366" s="99">
        <v>45291</v>
      </c>
      <c r="B366" s="35"/>
      <c r="C366" s="35"/>
      <c r="E366" s="172">
        <f t="shared" si="12"/>
        <v>45291</v>
      </c>
      <c r="F366" s="34">
        <f>VLOOKUP(E366,$A$2:C543,2,0)/1000</f>
        <v>0</v>
      </c>
      <c r="G366" s="153">
        <f>VLOOKUP(E366,$A$2:C543,3,0)/1000</f>
        <v>0</v>
      </c>
    </row>
    <row r="367" spans="1:7">
      <c r="A367" s="172" t="s">
        <v>83</v>
      </c>
      <c r="B367" s="35">
        <v>29453.500000000004</v>
      </c>
      <c r="C367" s="35">
        <v>310104467.60000014</v>
      </c>
      <c r="E367" s="172" t="str">
        <f t="shared" si="12"/>
        <v>Total general</v>
      </c>
      <c r="F367" s="34">
        <f>VLOOKUP(E367,$A$2:C544,2,0)/1000</f>
        <v>29.453500000000005</v>
      </c>
      <c r="G367" s="153">
        <f>VLOOKUP(E367,$A$2:C544,3,0)/1000</f>
        <v>310104.46760000015</v>
      </c>
    </row>
  </sheetData>
  <pageMargins left="0.7" right="0.7" top="0.75" bottom="0.75" header="0.3" footer="0.3"/>
  <pageSetup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theme="5" tint="0.79998168889431442"/>
  </sheetPr>
  <dimension ref="A1:AY366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X7" sqref="AX7"/>
    </sheetView>
  </sheetViews>
  <sheetFormatPr defaultColWidth="11.42578125" defaultRowHeight="15"/>
  <cols>
    <col min="1" max="1" width="11.5703125" style="12" bestFit="1" customWidth="1"/>
    <col min="2" max="49" width="4.140625" style="10" bestFit="1" customWidth="1"/>
    <col min="50" max="50" width="11" style="10" customWidth="1"/>
    <col min="51" max="51" width="11.85546875" style="10" customWidth="1"/>
    <col min="52" max="16384" width="11.42578125" style="10"/>
  </cols>
  <sheetData>
    <row r="1" spans="1:51" s="12" customFormat="1">
      <c r="A1" s="13"/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1</v>
      </c>
      <c r="AA1" s="14" t="s">
        <v>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4" t="s">
        <v>10</v>
      </c>
      <c r="AJ1" s="14" t="s">
        <v>11</v>
      </c>
      <c r="AK1" s="14" t="s">
        <v>12</v>
      </c>
      <c r="AL1" s="14" t="s">
        <v>13</v>
      </c>
      <c r="AM1" s="14" t="s">
        <v>14</v>
      </c>
      <c r="AN1" s="14" t="s">
        <v>15</v>
      </c>
      <c r="AO1" s="14" t="s">
        <v>16</v>
      </c>
      <c r="AP1" s="14" t="s">
        <v>17</v>
      </c>
      <c r="AQ1" s="14" t="s">
        <v>18</v>
      </c>
      <c r="AR1" s="14" t="s">
        <v>19</v>
      </c>
      <c r="AS1" s="14" t="s">
        <v>20</v>
      </c>
      <c r="AT1" s="14" t="s">
        <v>21</v>
      </c>
      <c r="AU1" s="14" t="s">
        <v>22</v>
      </c>
      <c r="AV1" s="14" t="s">
        <v>23</v>
      </c>
      <c r="AW1" s="14" t="s">
        <v>24</v>
      </c>
      <c r="AX1" s="13" t="s">
        <v>87</v>
      </c>
      <c r="AY1" s="13" t="s">
        <v>88</v>
      </c>
    </row>
    <row r="2" spans="1:51" s="12" customFormat="1">
      <c r="A2" s="15">
        <v>44927</v>
      </c>
      <c r="B2" s="436">
        <v>0</v>
      </c>
      <c r="C2" s="436">
        <v>0</v>
      </c>
      <c r="D2" s="436">
        <v>0</v>
      </c>
      <c r="E2" s="436">
        <v>0</v>
      </c>
      <c r="F2" s="436">
        <v>0</v>
      </c>
      <c r="G2" s="436">
        <v>0</v>
      </c>
      <c r="H2" s="436">
        <v>0</v>
      </c>
      <c r="I2" s="436">
        <v>0</v>
      </c>
      <c r="J2" s="436">
        <v>0</v>
      </c>
      <c r="K2" s="436">
        <v>0</v>
      </c>
      <c r="L2" s="436">
        <v>0</v>
      </c>
      <c r="M2" s="436">
        <v>0</v>
      </c>
      <c r="N2" s="436">
        <v>0</v>
      </c>
      <c r="O2" s="436">
        <v>0</v>
      </c>
      <c r="P2" s="436">
        <v>2</v>
      </c>
      <c r="Q2" s="436">
        <v>5</v>
      </c>
      <c r="R2" s="436">
        <v>6</v>
      </c>
      <c r="S2" s="436">
        <v>8</v>
      </c>
      <c r="T2" s="436">
        <v>8</v>
      </c>
      <c r="U2" s="436">
        <v>8</v>
      </c>
      <c r="V2" s="436">
        <v>8</v>
      </c>
      <c r="W2" s="436">
        <v>8</v>
      </c>
      <c r="X2" s="436">
        <v>8</v>
      </c>
      <c r="Y2" s="436">
        <v>6</v>
      </c>
      <c r="Z2" s="11">
        <v>0</v>
      </c>
      <c r="AA2" s="11">
        <f>C2-B2</f>
        <v>0</v>
      </c>
      <c r="AB2" s="11">
        <f t="shared" ref="AB2:AB62" si="0">D2-C2</f>
        <v>0</v>
      </c>
      <c r="AC2" s="11">
        <f t="shared" ref="AC2:AC62" si="1">E2-D2</f>
        <v>0</v>
      </c>
      <c r="AD2" s="11">
        <f t="shared" ref="AD2:AD62" si="2">F2-E2</f>
        <v>0</v>
      </c>
      <c r="AE2" s="11">
        <f t="shared" ref="AE2:AE62" si="3">G2-F2</f>
        <v>0</v>
      </c>
      <c r="AF2" s="11">
        <f t="shared" ref="AF2:AF62" si="4">H2-G2</f>
        <v>0</v>
      </c>
      <c r="AG2" s="11">
        <f t="shared" ref="AG2:AG62" si="5">I2-H2</f>
        <v>0</v>
      </c>
      <c r="AH2" s="11">
        <f t="shared" ref="AH2:AH62" si="6">J2-I2</f>
        <v>0</v>
      </c>
      <c r="AI2" s="11">
        <f t="shared" ref="AI2:AI62" si="7">K2-J2</f>
        <v>0</v>
      </c>
      <c r="AJ2" s="11">
        <f t="shared" ref="AJ2:AJ62" si="8">L2-K2</f>
        <v>0</v>
      </c>
      <c r="AK2" s="11">
        <f t="shared" ref="AK2:AK62" si="9">M2-L2</f>
        <v>0</v>
      </c>
      <c r="AL2" s="11">
        <f t="shared" ref="AL2:AL62" si="10">N2-M2</f>
        <v>0</v>
      </c>
      <c r="AM2" s="11">
        <f t="shared" ref="AM2:AM62" si="11">O2-N2</f>
        <v>0</v>
      </c>
      <c r="AN2" s="11">
        <f t="shared" ref="AN2:AN62" si="12">P2-O2</f>
        <v>2</v>
      </c>
      <c r="AO2" s="11">
        <f t="shared" ref="AO2:AO62" si="13">Q2-P2</f>
        <v>3</v>
      </c>
      <c r="AP2" s="11">
        <f t="shared" ref="AP2:AP62" si="14">R2-Q2</f>
        <v>1</v>
      </c>
      <c r="AQ2" s="11">
        <f t="shared" ref="AQ2:AQ62" si="15">S2-R2</f>
        <v>2</v>
      </c>
      <c r="AR2" s="11">
        <f t="shared" ref="AR2:AR62" si="16">T2-S2</f>
        <v>0</v>
      </c>
      <c r="AS2" s="11">
        <f t="shared" ref="AS2:AS62" si="17">U2-T2</f>
        <v>0</v>
      </c>
      <c r="AT2" s="11">
        <f t="shared" ref="AT2:AT62" si="18">V2-U2</f>
        <v>0</v>
      </c>
      <c r="AU2" s="11">
        <f t="shared" ref="AU2:AU62" si="19">W2-V2</f>
        <v>0</v>
      </c>
      <c r="AV2" s="11">
        <f t="shared" ref="AV2:AV62" si="20">X2-W2</f>
        <v>0</v>
      </c>
      <c r="AW2" s="11">
        <f t="shared" ref="AW2:AW62" si="21">Y2-X2</f>
        <v>-2</v>
      </c>
      <c r="AX2" s="11">
        <f>SUMIF(Z2:AW2,"&gt;0")</f>
        <v>8</v>
      </c>
      <c r="AY2" s="11">
        <f t="shared" ref="AY2:AY65" si="22">SUMIF(Z2:AW2,"&lt;0")*-1</f>
        <v>2</v>
      </c>
    </row>
    <row r="3" spans="1:51" s="12" customFormat="1">
      <c r="A3" s="15">
        <v>44928</v>
      </c>
      <c r="B3" s="436">
        <v>2</v>
      </c>
      <c r="C3" s="436">
        <v>0</v>
      </c>
      <c r="D3" s="436">
        <v>0</v>
      </c>
      <c r="E3" s="436">
        <v>0</v>
      </c>
      <c r="F3" s="436">
        <v>0</v>
      </c>
      <c r="G3" s="436">
        <v>0</v>
      </c>
      <c r="H3" s="436">
        <v>2</v>
      </c>
      <c r="I3" s="436">
        <v>5</v>
      </c>
      <c r="J3" s="436">
        <v>6</v>
      </c>
      <c r="K3" s="436">
        <v>8</v>
      </c>
      <c r="L3" s="436">
        <v>8</v>
      </c>
      <c r="M3" s="436">
        <v>8</v>
      </c>
      <c r="N3" s="436">
        <v>8</v>
      </c>
      <c r="O3" s="436">
        <v>8</v>
      </c>
      <c r="P3" s="436">
        <v>8</v>
      </c>
      <c r="Q3" s="436">
        <v>8</v>
      </c>
      <c r="R3" s="436">
        <v>8</v>
      </c>
      <c r="S3" s="436">
        <v>8</v>
      </c>
      <c r="T3" s="436">
        <v>8</v>
      </c>
      <c r="U3" s="436">
        <v>8</v>
      </c>
      <c r="V3" s="436">
        <v>8</v>
      </c>
      <c r="W3" s="436">
        <v>8</v>
      </c>
      <c r="X3" s="436">
        <v>8</v>
      </c>
      <c r="Y3" s="436">
        <v>8</v>
      </c>
      <c r="Z3" s="11">
        <f>B3-Y2</f>
        <v>-4</v>
      </c>
      <c r="AA3" s="11">
        <f>C3-B3</f>
        <v>-2</v>
      </c>
      <c r="AB3" s="11">
        <f t="shared" si="0"/>
        <v>0</v>
      </c>
      <c r="AC3" s="11">
        <f t="shared" si="1"/>
        <v>0</v>
      </c>
      <c r="AD3" s="11">
        <f t="shared" si="2"/>
        <v>0</v>
      </c>
      <c r="AE3" s="11">
        <f t="shared" si="3"/>
        <v>0</v>
      </c>
      <c r="AF3" s="11">
        <f t="shared" si="4"/>
        <v>2</v>
      </c>
      <c r="AG3" s="11">
        <f t="shared" si="5"/>
        <v>3</v>
      </c>
      <c r="AH3" s="11">
        <f t="shared" si="6"/>
        <v>1</v>
      </c>
      <c r="AI3" s="11">
        <f t="shared" si="7"/>
        <v>2</v>
      </c>
      <c r="AJ3" s="11">
        <f t="shared" si="8"/>
        <v>0</v>
      </c>
      <c r="AK3" s="11">
        <f t="shared" si="9"/>
        <v>0</v>
      </c>
      <c r="AL3" s="11">
        <f t="shared" si="10"/>
        <v>0</v>
      </c>
      <c r="AM3" s="11">
        <f t="shared" si="11"/>
        <v>0</v>
      </c>
      <c r="AN3" s="11">
        <f t="shared" si="12"/>
        <v>0</v>
      </c>
      <c r="AO3" s="11">
        <f t="shared" si="13"/>
        <v>0</v>
      </c>
      <c r="AP3" s="11">
        <f t="shared" si="14"/>
        <v>0</v>
      </c>
      <c r="AQ3" s="11">
        <f t="shared" si="15"/>
        <v>0</v>
      </c>
      <c r="AR3" s="11">
        <f t="shared" si="16"/>
        <v>0</v>
      </c>
      <c r="AS3" s="11">
        <f t="shared" si="17"/>
        <v>0</v>
      </c>
      <c r="AT3" s="11">
        <f t="shared" si="18"/>
        <v>0</v>
      </c>
      <c r="AU3" s="11">
        <f t="shared" si="19"/>
        <v>0</v>
      </c>
      <c r="AV3" s="11">
        <f t="shared" si="20"/>
        <v>0</v>
      </c>
      <c r="AW3" s="11">
        <f t="shared" si="21"/>
        <v>0</v>
      </c>
      <c r="AX3" s="11">
        <f t="shared" ref="AX3:AX65" si="23">SUMIF(Z3:AW3,"&gt;0")</f>
        <v>8</v>
      </c>
      <c r="AY3" s="11">
        <f t="shared" si="22"/>
        <v>6</v>
      </c>
    </row>
    <row r="4" spans="1:51" s="12" customFormat="1">
      <c r="A4" s="15">
        <v>44929</v>
      </c>
      <c r="B4" s="436">
        <v>8</v>
      </c>
      <c r="C4" s="436">
        <v>8</v>
      </c>
      <c r="D4" s="436">
        <v>8</v>
      </c>
      <c r="E4" s="436">
        <v>6</v>
      </c>
      <c r="F4" s="436">
        <v>6</v>
      </c>
      <c r="G4" s="436">
        <v>6</v>
      </c>
      <c r="H4" s="436">
        <v>6</v>
      </c>
      <c r="I4" s="436">
        <v>6</v>
      </c>
      <c r="J4" s="436">
        <v>6</v>
      </c>
      <c r="K4" s="436">
        <v>6</v>
      </c>
      <c r="L4" s="436">
        <v>7</v>
      </c>
      <c r="M4" s="436">
        <v>7</v>
      </c>
      <c r="N4" s="436">
        <v>8</v>
      </c>
      <c r="O4" s="436">
        <v>8</v>
      </c>
      <c r="P4" s="436">
        <v>8</v>
      </c>
      <c r="Q4" s="436">
        <v>8</v>
      </c>
      <c r="R4" s="436">
        <v>8</v>
      </c>
      <c r="S4" s="436">
        <v>8</v>
      </c>
      <c r="T4" s="436">
        <v>8</v>
      </c>
      <c r="U4" s="436">
        <v>8</v>
      </c>
      <c r="V4" s="436">
        <v>8</v>
      </c>
      <c r="W4" s="436">
        <v>8</v>
      </c>
      <c r="X4" s="436">
        <v>8</v>
      </c>
      <c r="Y4" s="436">
        <v>8</v>
      </c>
      <c r="Z4" s="11">
        <f t="shared" ref="Z4:Z9" si="24">B4-Y3</f>
        <v>0</v>
      </c>
      <c r="AA4" s="11">
        <f t="shared" ref="AA4:AA31" si="25">C4-B4</f>
        <v>0</v>
      </c>
      <c r="AB4" s="11">
        <f t="shared" si="0"/>
        <v>0</v>
      </c>
      <c r="AC4" s="11">
        <f t="shared" si="1"/>
        <v>-2</v>
      </c>
      <c r="AD4" s="11">
        <f t="shared" si="2"/>
        <v>0</v>
      </c>
      <c r="AE4" s="11">
        <f t="shared" si="3"/>
        <v>0</v>
      </c>
      <c r="AF4" s="11">
        <f t="shared" si="4"/>
        <v>0</v>
      </c>
      <c r="AG4" s="11">
        <f t="shared" si="5"/>
        <v>0</v>
      </c>
      <c r="AH4" s="11">
        <f t="shared" si="6"/>
        <v>0</v>
      </c>
      <c r="AI4" s="11">
        <f t="shared" si="7"/>
        <v>0</v>
      </c>
      <c r="AJ4" s="11">
        <f t="shared" si="8"/>
        <v>1</v>
      </c>
      <c r="AK4" s="11">
        <f t="shared" si="9"/>
        <v>0</v>
      </c>
      <c r="AL4" s="11">
        <f t="shared" si="10"/>
        <v>1</v>
      </c>
      <c r="AM4" s="11">
        <f t="shared" si="11"/>
        <v>0</v>
      </c>
      <c r="AN4" s="11">
        <f t="shared" si="12"/>
        <v>0</v>
      </c>
      <c r="AO4" s="11">
        <f t="shared" si="13"/>
        <v>0</v>
      </c>
      <c r="AP4" s="11">
        <f t="shared" si="14"/>
        <v>0</v>
      </c>
      <c r="AQ4" s="11">
        <f t="shared" si="15"/>
        <v>0</v>
      </c>
      <c r="AR4" s="11">
        <f t="shared" si="16"/>
        <v>0</v>
      </c>
      <c r="AS4" s="11">
        <f t="shared" si="17"/>
        <v>0</v>
      </c>
      <c r="AT4" s="11">
        <f t="shared" si="18"/>
        <v>0</v>
      </c>
      <c r="AU4" s="11">
        <f t="shared" si="19"/>
        <v>0</v>
      </c>
      <c r="AV4" s="11">
        <f t="shared" si="20"/>
        <v>0</v>
      </c>
      <c r="AW4" s="11">
        <f t="shared" si="21"/>
        <v>0</v>
      </c>
      <c r="AX4" s="11">
        <f t="shared" si="23"/>
        <v>2</v>
      </c>
      <c r="AY4" s="11">
        <f t="shared" si="22"/>
        <v>2</v>
      </c>
    </row>
    <row r="5" spans="1:51" s="12" customFormat="1">
      <c r="A5" s="15">
        <v>44930</v>
      </c>
      <c r="B5" s="436">
        <v>8</v>
      </c>
      <c r="C5" s="436">
        <v>8</v>
      </c>
      <c r="D5" s="436">
        <v>8</v>
      </c>
      <c r="E5" s="436">
        <v>8</v>
      </c>
      <c r="F5" s="436">
        <v>7</v>
      </c>
      <c r="G5" s="436">
        <v>7</v>
      </c>
      <c r="H5" s="436">
        <v>7</v>
      </c>
      <c r="I5" s="436">
        <v>7</v>
      </c>
      <c r="J5" s="436">
        <v>7</v>
      </c>
      <c r="K5" s="436">
        <v>7</v>
      </c>
      <c r="L5" s="436">
        <v>7</v>
      </c>
      <c r="M5" s="436">
        <v>7</v>
      </c>
      <c r="N5" s="436">
        <v>7</v>
      </c>
      <c r="O5" s="436">
        <v>7</v>
      </c>
      <c r="P5" s="436">
        <v>7</v>
      </c>
      <c r="Q5" s="436">
        <v>7</v>
      </c>
      <c r="R5" s="436">
        <v>7</v>
      </c>
      <c r="S5" s="436">
        <v>8</v>
      </c>
      <c r="T5" s="436">
        <v>8</v>
      </c>
      <c r="U5" s="436">
        <v>8</v>
      </c>
      <c r="V5" s="436">
        <v>8</v>
      </c>
      <c r="W5" s="436">
        <v>8</v>
      </c>
      <c r="X5" s="436">
        <v>8</v>
      </c>
      <c r="Y5" s="436">
        <v>8</v>
      </c>
      <c r="Z5" s="11">
        <f t="shared" si="24"/>
        <v>0</v>
      </c>
      <c r="AA5" s="11">
        <f t="shared" si="25"/>
        <v>0</v>
      </c>
      <c r="AB5" s="11">
        <f t="shared" si="0"/>
        <v>0</v>
      </c>
      <c r="AC5" s="11">
        <f t="shared" si="1"/>
        <v>0</v>
      </c>
      <c r="AD5" s="11">
        <f t="shared" si="2"/>
        <v>-1</v>
      </c>
      <c r="AE5" s="11">
        <f t="shared" si="3"/>
        <v>0</v>
      </c>
      <c r="AF5" s="11">
        <f t="shared" si="4"/>
        <v>0</v>
      </c>
      <c r="AG5" s="11">
        <f t="shared" si="5"/>
        <v>0</v>
      </c>
      <c r="AH5" s="11">
        <f t="shared" si="6"/>
        <v>0</v>
      </c>
      <c r="AI5" s="11">
        <f t="shared" si="7"/>
        <v>0</v>
      </c>
      <c r="AJ5" s="11">
        <f t="shared" si="8"/>
        <v>0</v>
      </c>
      <c r="AK5" s="11">
        <f t="shared" si="9"/>
        <v>0</v>
      </c>
      <c r="AL5" s="11">
        <f t="shared" si="10"/>
        <v>0</v>
      </c>
      <c r="AM5" s="11">
        <f t="shared" si="11"/>
        <v>0</v>
      </c>
      <c r="AN5" s="11">
        <f t="shared" si="12"/>
        <v>0</v>
      </c>
      <c r="AO5" s="11">
        <f t="shared" si="13"/>
        <v>0</v>
      </c>
      <c r="AP5" s="11">
        <f t="shared" si="14"/>
        <v>0</v>
      </c>
      <c r="AQ5" s="11">
        <f t="shared" si="15"/>
        <v>1</v>
      </c>
      <c r="AR5" s="11">
        <f t="shared" si="16"/>
        <v>0</v>
      </c>
      <c r="AS5" s="11">
        <f t="shared" si="17"/>
        <v>0</v>
      </c>
      <c r="AT5" s="11">
        <f t="shared" si="18"/>
        <v>0</v>
      </c>
      <c r="AU5" s="11">
        <f t="shared" si="19"/>
        <v>0</v>
      </c>
      <c r="AV5" s="11">
        <f t="shared" si="20"/>
        <v>0</v>
      </c>
      <c r="AW5" s="11">
        <f t="shared" si="21"/>
        <v>0</v>
      </c>
      <c r="AX5" s="11">
        <f t="shared" si="23"/>
        <v>1</v>
      </c>
      <c r="AY5" s="11">
        <f t="shared" si="22"/>
        <v>1</v>
      </c>
    </row>
    <row r="6" spans="1:51" s="12" customFormat="1">
      <c r="A6" s="15">
        <v>44931</v>
      </c>
      <c r="B6" s="436">
        <v>8</v>
      </c>
      <c r="C6" s="436">
        <v>8</v>
      </c>
      <c r="D6" s="436">
        <v>8</v>
      </c>
      <c r="E6" s="436">
        <v>6</v>
      </c>
      <c r="F6" s="436">
        <v>6</v>
      </c>
      <c r="G6" s="436">
        <v>6</v>
      </c>
      <c r="H6" s="436">
        <v>6</v>
      </c>
      <c r="I6" s="436">
        <v>6</v>
      </c>
      <c r="J6" s="436">
        <v>6</v>
      </c>
      <c r="K6" s="436">
        <v>8</v>
      </c>
      <c r="L6" s="436">
        <v>8</v>
      </c>
      <c r="M6" s="436">
        <v>8</v>
      </c>
      <c r="N6" s="436">
        <v>8</v>
      </c>
      <c r="O6" s="436">
        <v>8</v>
      </c>
      <c r="P6" s="436">
        <v>8</v>
      </c>
      <c r="Q6" s="436">
        <v>8</v>
      </c>
      <c r="R6" s="436">
        <v>8</v>
      </c>
      <c r="S6" s="436">
        <v>8</v>
      </c>
      <c r="T6" s="436">
        <v>8</v>
      </c>
      <c r="U6" s="436">
        <v>8</v>
      </c>
      <c r="V6" s="436">
        <v>8</v>
      </c>
      <c r="W6" s="436">
        <v>8</v>
      </c>
      <c r="X6" s="436">
        <v>8</v>
      </c>
      <c r="Y6" s="436">
        <v>8</v>
      </c>
      <c r="Z6" s="11">
        <f t="shared" si="24"/>
        <v>0</v>
      </c>
      <c r="AA6" s="11">
        <f t="shared" si="25"/>
        <v>0</v>
      </c>
      <c r="AB6" s="11">
        <f t="shared" si="0"/>
        <v>0</v>
      </c>
      <c r="AC6" s="11">
        <f t="shared" si="1"/>
        <v>-2</v>
      </c>
      <c r="AD6" s="11">
        <f t="shared" si="2"/>
        <v>0</v>
      </c>
      <c r="AE6" s="11">
        <f t="shared" si="3"/>
        <v>0</v>
      </c>
      <c r="AF6" s="11">
        <f t="shared" si="4"/>
        <v>0</v>
      </c>
      <c r="AG6" s="11">
        <f t="shared" si="5"/>
        <v>0</v>
      </c>
      <c r="AH6" s="11">
        <f t="shared" si="6"/>
        <v>0</v>
      </c>
      <c r="AI6" s="11">
        <f t="shared" si="7"/>
        <v>2</v>
      </c>
      <c r="AJ6" s="11">
        <f t="shared" si="8"/>
        <v>0</v>
      </c>
      <c r="AK6" s="11">
        <f t="shared" si="9"/>
        <v>0</v>
      </c>
      <c r="AL6" s="11">
        <f t="shared" si="10"/>
        <v>0</v>
      </c>
      <c r="AM6" s="11">
        <f t="shared" si="11"/>
        <v>0</v>
      </c>
      <c r="AN6" s="11">
        <f t="shared" si="12"/>
        <v>0</v>
      </c>
      <c r="AO6" s="11">
        <f t="shared" si="13"/>
        <v>0</v>
      </c>
      <c r="AP6" s="11">
        <f t="shared" si="14"/>
        <v>0</v>
      </c>
      <c r="AQ6" s="11">
        <f t="shared" si="15"/>
        <v>0</v>
      </c>
      <c r="AR6" s="11">
        <f t="shared" si="16"/>
        <v>0</v>
      </c>
      <c r="AS6" s="11">
        <f t="shared" si="17"/>
        <v>0</v>
      </c>
      <c r="AT6" s="11">
        <f t="shared" si="18"/>
        <v>0</v>
      </c>
      <c r="AU6" s="11">
        <f t="shared" si="19"/>
        <v>0</v>
      </c>
      <c r="AV6" s="11">
        <f t="shared" si="20"/>
        <v>0</v>
      </c>
      <c r="AW6" s="11">
        <f t="shared" si="21"/>
        <v>0</v>
      </c>
      <c r="AX6" s="11">
        <f t="shared" si="23"/>
        <v>2</v>
      </c>
      <c r="AY6" s="11">
        <f t="shared" si="22"/>
        <v>2</v>
      </c>
    </row>
    <row r="7" spans="1:51" s="12" customFormat="1">
      <c r="A7" s="15">
        <v>44932</v>
      </c>
      <c r="B7" s="436">
        <v>8</v>
      </c>
      <c r="C7" s="436">
        <v>8</v>
      </c>
      <c r="D7" s="436">
        <v>8</v>
      </c>
      <c r="E7" s="436">
        <v>8</v>
      </c>
      <c r="F7" s="436">
        <v>6</v>
      </c>
      <c r="G7" s="436">
        <v>6</v>
      </c>
      <c r="H7" s="436">
        <v>6</v>
      </c>
      <c r="I7" s="436">
        <v>6</v>
      </c>
      <c r="J7" s="436">
        <v>6</v>
      </c>
      <c r="K7" s="436">
        <v>8</v>
      </c>
      <c r="L7" s="436">
        <v>8</v>
      </c>
      <c r="M7" s="436">
        <v>8</v>
      </c>
      <c r="N7" s="436">
        <v>8</v>
      </c>
      <c r="O7" s="436">
        <v>8</v>
      </c>
      <c r="P7" s="436">
        <v>8</v>
      </c>
      <c r="Q7" s="436">
        <v>8</v>
      </c>
      <c r="R7" s="436">
        <v>8</v>
      </c>
      <c r="S7" s="436">
        <v>8</v>
      </c>
      <c r="T7" s="436">
        <v>8</v>
      </c>
      <c r="U7" s="436">
        <v>8</v>
      </c>
      <c r="V7" s="436">
        <v>8</v>
      </c>
      <c r="W7" s="436">
        <v>8</v>
      </c>
      <c r="X7" s="436">
        <v>8</v>
      </c>
      <c r="Y7" s="436">
        <v>8</v>
      </c>
      <c r="Z7" s="11">
        <f t="shared" si="24"/>
        <v>0</v>
      </c>
      <c r="AA7" s="11">
        <f t="shared" si="25"/>
        <v>0</v>
      </c>
      <c r="AB7" s="11">
        <f t="shared" si="0"/>
        <v>0</v>
      </c>
      <c r="AC7" s="11">
        <f t="shared" si="1"/>
        <v>0</v>
      </c>
      <c r="AD7" s="11">
        <f t="shared" si="2"/>
        <v>-2</v>
      </c>
      <c r="AE7" s="11">
        <f t="shared" si="3"/>
        <v>0</v>
      </c>
      <c r="AF7" s="11">
        <f t="shared" si="4"/>
        <v>0</v>
      </c>
      <c r="AG7" s="11">
        <f t="shared" si="5"/>
        <v>0</v>
      </c>
      <c r="AH7" s="11">
        <f t="shared" si="6"/>
        <v>0</v>
      </c>
      <c r="AI7" s="11">
        <f t="shared" si="7"/>
        <v>2</v>
      </c>
      <c r="AJ7" s="11">
        <f t="shared" si="8"/>
        <v>0</v>
      </c>
      <c r="AK7" s="11">
        <f t="shared" si="9"/>
        <v>0</v>
      </c>
      <c r="AL7" s="11">
        <f t="shared" si="10"/>
        <v>0</v>
      </c>
      <c r="AM7" s="11">
        <f t="shared" si="11"/>
        <v>0</v>
      </c>
      <c r="AN7" s="11">
        <f t="shared" si="12"/>
        <v>0</v>
      </c>
      <c r="AO7" s="11">
        <f t="shared" si="13"/>
        <v>0</v>
      </c>
      <c r="AP7" s="11">
        <f t="shared" si="14"/>
        <v>0</v>
      </c>
      <c r="AQ7" s="11">
        <f t="shared" si="15"/>
        <v>0</v>
      </c>
      <c r="AR7" s="11">
        <f t="shared" si="16"/>
        <v>0</v>
      </c>
      <c r="AS7" s="11">
        <f t="shared" si="17"/>
        <v>0</v>
      </c>
      <c r="AT7" s="11">
        <f t="shared" si="18"/>
        <v>0</v>
      </c>
      <c r="AU7" s="11">
        <f t="shared" si="19"/>
        <v>0</v>
      </c>
      <c r="AV7" s="11">
        <f t="shared" si="20"/>
        <v>0</v>
      </c>
      <c r="AW7" s="11">
        <f t="shared" si="21"/>
        <v>0</v>
      </c>
      <c r="AX7" s="11">
        <f t="shared" si="23"/>
        <v>2</v>
      </c>
      <c r="AY7" s="11">
        <f t="shared" si="22"/>
        <v>2</v>
      </c>
    </row>
    <row r="8" spans="1:51" s="12" customFormat="1">
      <c r="A8" s="15">
        <v>44933</v>
      </c>
      <c r="B8" s="436">
        <v>9</v>
      </c>
      <c r="C8" s="436">
        <v>9</v>
      </c>
      <c r="D8" s="436">
        <v>9</v>
      </c>
      <c r="E8" s="436">
        <v>7</v>
      </c>
      <c r="F8" s="436">
        <v>7</v>
      </c>
      <c r="G8" s="436">
        <v>3</v>
      </c>
      <c r="H8" s="436">
        <v>3</v>
      </c>
      <c r="I8" s="436">
        <v>2</v>
      </c>
      <c r="J8" s="436">
        <v>2</v>
      </c>
      <c r="K8" s="436">
        <v>6</v>
      </c>
      <c r="L8" s="436">
        <v>6</v>
      </c>
      <c r="M8" s="436">
        <v>9</v>
      </c>
      <c r="N8" s="436">
        <v>8</v>
      </c>
      <c r="O8" s="436">
        <v>9</v>
      </c>
      <c r="P8" s="436">
        <v>9</v>
      </c>
      <c r="Q8" s="436">
        <v>9</v>
      </c>
      <c r="R8" s="436">
        <v>9</v>
      </c>
      <c r="S8" s="436">
        <v>9</v>
      </c>
      <c r="T8" s="436">
        <v>9</v>
      </c>
      <c r="U8" s="436">
        <v>9</v>
      </c>
      <c r="V8" s="436">
        <v>9</v>
      </c>
      <c r="W8" s="436">
        <v>9</v>
      </c>
      <c r="X8" s="436">
        <v>9</v>
      </c>
      <c r="Y8" s="436">
        <v>9</v>
      </c>
      <c r="Z8" s="11">
        <f t="shared" si="24"/>
        <v>1</v>
      </c>
      <c r="AA8" s="11">
        <f t="shared" si="25"/>
        <v>0</v>
      </c>
      <c r="AB8" s="11">
        <f t="shared" si="0"/>
        <v>0</v>
      </c>
      <c r="AC8" s="11">
        <f t="shared" si="1"/>
        <v>-2</v>
      </c>
      <c r="AD8" s="11">
        <f t="shared" si="2"/>
        <v>0</v>
      </c>
      <c r="AE8" s="11">
        <f t="shared" si="3"/>
        <v>-4</v>
      </c>
      <c r="AF8" s="11">
        <f t="shared" si="4"/>
        <v>0</v>
      </c>
      <c r="AG8" s="11">
        <f t="shared" si="5"/>
        <v>-1</v>
      </c>
      <c r="AH8" s="11">
        <f t="shared" si="6"/>
        <v>0</v>
      </c>
      <c r="AI8" s="11">
        <f t="shared" si="7"/>
        <v>4</v>
      </c>
      <c r="AJ8" s="11">
        <f t="shared" si="8"/>
        <v>0</v>
      </c>
      <c r="AK8" s="11">
        <f t="shared" si="9"/>
        <v>3</v>
      </c>
      <c r="AL8" s="11">
        <f t="shared" si="10"/>
        <v>-1</v>
      </c>
      <c r="AM8" s="11">
        <f t="shared" si="11"/>
        <v>1</v>
      </c>
      <c r="AN8" s="11">
        <f t="shared" si="12"/>
        <v>0</v>
      </c>
      <c r="AO8" s="11">
        <f t="shared" si="13"/>
        <v>0</v>
      </c>
      <c r="AP8" s="11">
        <f t="shared" si="14"/>
        <v>0</v>
      </c>
      <c r="AQ8" s="11">
        <f t="shared" si="15"/>
        <v>0</v>
      </c>
      <c r="AR8" s="11">
        <f t="shared" si="16"/>
        <v>0</v>
      </c>
      <c r="AS8" s="11">
        <f t="shared" si="17"/>
        <v>0</v>
      </c>
      <c r="AT8" s="11">
        <f t="shared" si="18"/>
        <v>0</v>
      </c>
      <c r="AU8" s="11">
        <f t="shared" si="19"/>
        <v>0</v>
      </c>
      <c r="AV8" s="11">
        <f t="shared" si="20"/>
        <v>0</v>
      </c>
      <c r="AW8" s="11">
        <f t="shared" si="21"/>
        <v>0</v>
      </c>
      <c r="AX8" s="11">
        <f t="shared" si="23"/>
        <v>9</v>
      </c>
      <c r="AY8" s="11">
        <f t="shared" si="22"/>
        <v>8</v>
      </c>
    </row>
    <row r="9" spans="1:51" s="12" customFormat="1">
      <c r="A9" s="15">
        <v>44934</v>
      </c>
      <c r="B9" s="436">
        <v>8</v>
      </c>
      <c r="C9" s="436">
        <v>8</v>
      </c>
      <c r="D9" s="436">
        <v>8</v>
      </c>
      <c r="E9" s="436">
        <v>8</v>
      </c>
      <c r="F9" s="436">
        <v>6</v>
      </c>
      <c r="G9" s="436">
        <v>6</v>
      </c>
      <c r="H9" s="436">
        <v>6</v>
      </c>
      <c r="I9" s="436">
        <v>2</v>
      </c>
      <c r="J9" s="436">
        <v>0</v>
      </c>
      <c r="K9" s="436">
        <v>0</v>
      </c>
      <c r="L9" s="436">
        <v>2</v>
      </c>
      <c r="M9" s="436">
        <v>2</v>
      </c>
      <c r="N9" s="436">
        <v>6</v>
      </c>
      <c r="O9" s="436">
        <v>8</v>
      </c>
      <c r="P9" s="436">
        <v>8</v>
      </c>
      <c r="Q9" s="436">
        <v>8</v>
      </c>
      <c r="R9" s="436">
        <v>8</v>
      </c>
      <c r="S9" s="436">
        <v>8</v>
      </c>
      <c r="T9" s="436">
        <v>8</v>
      </c>
      <c r="U9" s="436">
        <v>8</v>
      </c>
      <c r="V9" s="436">
        <v>8</v>
      </c>
      <c r="W9" s="436">
        <v>8</v>
      </c>
      <c r="X9" s="436">
        <v>8</v>
      </c>
      <c r="Y9" s="436">
        <v>8</v>
      </c>
      <c r="Z9" s="11">
        <f t="shared" si="24"/>
        <v>-1</v>
      </c>
      <c r="AA9" s="11">
        <f t="shared" si="25"/>
        <v>0</v>
      </c>
      <c r="AB9" s="11">
        <f t="shared" si="0"/>
        <v>0</v>
      </c>
      <c r="AC9" s="11">
        <f t="shared" si="1"/>
        <v>0</v>
      </c>
      <c r="AD9" s="11">
        <f t="shared" si="2"/>
        <v>-2</v>
      </c>
      <c r="AE9" s="11">
        <f t="shared" si="3"/>
        <v>0</v>
      </c>
      <c r="AF9" s="11">
        <f t="shared" si="4"/>
        <v>0</v>
      </c>
      <c r="AG9" s="11">
        <f t="shared" si="5"/>
        <v>-4</v>
      </c>
      <c r="AH9" s="11">
        <f t="shared" si="6"/>
        <v>-2</v>
      </c>
      <c r="AI9" s="11">
        <f t="shared" si="7"/>
        <v>0</v>
      </c>
      <c r="AJ9" s="11">
        <f t="shared" si="8"/>
        <v>2</v>
      </c>
      <c r="AK9" s="11">
        <f t="shared" si="9"/>
        <v>0</v>
      </c>
      <c r="AL9" s="11">
        <f t="shared" si="10"/>
        <v>4</v>
      </c>
      <c r="AM9" s="11">
        <f t="shared" si="11"/>
        <v>2</v>
      </c>
      <c r="AN9" s="11">
        <f t="shared" si="12"/>
        <v>0</v>
      </c>
      <c r="AO9" s="11">
        <f t="shared" si="13"/>
        <v>0</v>
      </c>
      <c r="AP9" s="11">
        <f t="shared" si="14"/>
        <v>0</v>
      </c>
      <c r="AQ9" s="11">
        <f t="shared" si="15"/>
        <v>0</v>
      </c>
      <c r="AR9" s="11">
        <f t="shared" si="16"/>
        <v>0</v>
      </c>
      <c r="AS9" s="11">
        <f t="shared" si="17"/>
        <v>0</v>
      </c>
      <c r="AT9" s="11">
        <f t="shared" si="18"/>
        <v>0</v>
      </c>
      <c r="AU9" s="11">
        <f t="shared" si="19"/>
        <v>0</v>
      </c>
      <c r="AV9" s="11">
        <f t="shared" si="20"/>
        <v>0</v>
      </c>
      <c r="AW9" s="11">
        <f t="shared" si="21"/>
        <v>0</v>
      </c>
      <c r="AX9" s="11">
        <f t="shared" si="23"/>
        <v>8</v>
      </c>
      <c r="AY9" s="11">
        <f t="shared" si="22"/>
        <v>9</v>
      </c>
    </row>
    <row r="10" spans="1:51" s="12" customFormat="1">
      <c r="A10" s="15">
        <v>44935</v>
      </c>
      <c r="B10" s="436">
        <v>9</v>
      </c>
      <c r="C10" s="436">
        <v>9</v>
      </c>
      <c r="D10" s="436">
        <v>9</v>
      </c>
      <c r="E10" s="436">
        <v>9</v>
      </c>
      <c r="F10" s="436">
        <v>9</v>
      </c>
      <c r="G10" s="436">
        <v>8</v>
      </c>
      <c r="H10" s="436">
        <v>7</v>
      </c>
      <c r="I10" s="436">
        <v>7</v>
      </c>
      <c r="J10" s="436">
        <v>0</v>
      </c>
      <c r="K10" s="436">
        <v>2</v>
      </c>
      <c r="L10" s="436">
        <v>2</v>
      </c>
      <c r="M10" s="436">
        <v>6</v>
      </c>
      <c r="N10" s="436">
        <v>9</v>
      </c>
      <c r="O10" s="436">
        <v>9</v>
      </c>
      <c r="P10" s="436">
        <v>9</v>
      </c>
      <c r="Q10" s="436">
        <v>9</v>
      </c>
      <c r="R10" s="436">
        <v>9</v>
      </c>
      <c r="S10" s="436">
        <v>9</v>
      </c>
      <c r="T10" s="436">
        <v>9</v>
      </c>
      <c r="U10" s="436">
        <v>9</v>
      </c>
      <c r="V10" s="436">
        <v>9</v>
      </c>
      <c r="W10" s="436">
        <v>9</v>
      </c>
      <c r="X10" s="436">
        <v>9</v>
      </c>
      <c r="Y10" s="436">
        <v>9</v>
      </c>
      <c r="Z10" s="11">
        <f t="shared" ref="Z10:Z32" si="26">B10-Y9</f>
        <v>1</v>
      </c>
      <c r="AA10" s="11">
        <f t="shared" si="25"/>
        <v>0</v>
      </c>
      <c r="AB10" s="11">
        <f t="shared" si="0"/>
        <v>0</v>
      </c>
      <c r="AC10" s="11">
        <f t="shared" si="1"/>
        <v>0</v>
      </c>
      <c r="AD10" s="11">
        <f t="shared" si="2"/>
        <v>0</v>
      </c>
      <c r="AE10" s="11">
        <f t="shared" si="3"/>
        <v>-1</v>
      </c>
      <c r="AF10" s="11">
        <f t="shared" si="4"/>
        <v>-1</v>
      </c>
      <c r="AG10" s="11">
        <f t="shared" si="5"/>
        <v>0</v>
      </c>
      <c r="AH10" s="11">
        <f t="shared" si="6"/>
        <v>-7</v>
      </c>
      <c r="AI10" s="11">
        <f t="shared" si="7"/>
        <v>2</v>
      </c>
      <c r="AJ10" s="11">
        <f t="shared" si="8"/>
        <v>0</v>
      </c>
      <c r="AK10" s="11">
        <f t="shared" si="9"/>
        <v>4</v>
      </c>
      <c r="AL10" s="11">
        <f t="shared" si="10"/>
        <v>3</v>
      </c>
      <c r="AM10" s="11">
        <f t="shared" si="11"/>
        <v>0</v>
      </c>
      <c r="AN10" s="11">
        <f t="shared" si="12"/>
        <v>0</v>
      </c>
      <c r="AO10" s="11">
        <f t="shared" si="13"/>
        <v>0</v>
      </c>
      <c r="AP10" s="11">
        <f t="shared" si="14"/>
        <v>0</v>
      </c>
      <c r="AQ10" s="11">
        <f t="shared" si="15"/>
        <v>0</v>
      </c>
      <c r="AR10" s="11">
        <f t="shared" si="16"/>
        <v>0</v>
      </c>
      <c r="AS10" s="11">
        <f t="shared" si="17"/>
        <v>0</v>
      </c>
      <c r="AT10" s="11">
        <f t="shared" si="18"/>
        <v>0</v>
      </c>
      <c r="AU10" s="11">
        <f t="shared" si="19"/>
        <v>0</v>
      </c>
      <c r="AV10" s="11">
        <f t="shared" si="20"/>
        <v>0</v>
      </c>
      <c r="AW10" s="11">
        <f t="shared" si="21"/>
        <v>0</v>
      </c>
      <c r="AX10" s="11">
        <f t="shared" si="23"/>
        <v>10</v>
      </c>
      <c r="AY10" s="11">
        <f t="shared" si="22"/>
        <v>9</v>
      </c>
    </row>
    <row r="11" spans="1:51" s="12" customFormat="1">
      <c r="A11" s="15">
        <v>44936</v>
      </c>
      <c r="B11" s="436">
        <v>9</v>
      </c>
      <c r="C11" s="436">
        <v>9</v>
      </c>
      <c r="D11" s="436">
        <v>9</v>
      </c>
      <c r="E11" s="436">
        <v>9</v>
      </c>
      <c r="F11" s="436">
        <v>9</v>
      </c>
      <c r="G11" s="436">
        <v>7</v>
      </c>
      <c r="H11" s="436">
        <v>7</v>
      </c>
      <c r="I11" s="436">
        <v>7</v>
      </c>
      <c r="J11" s="436">
        <v>7</v>
      </c>
      <c r="K11" s="436">
        <v>9</v>
      </c>
      <c r="L11" s="436">
        <v>9</v>
      </c>
      <c r="M11" s="436">
        <v>9</v>
      </c>
      <c r="N11" s="436">
        <v>9</v>
      </c>
      <c r="O11" s="436">
        <v>9</v>
      </c>
      <c r="P11" s="436">
        <v>9</v>
      </c>
      <c r="Q11" s="436">
        <v>9</v>
      </c>
      <c r="R11" s="436">
        <v>9</v>
      </c>
      <c r="S11" s="436">
        <v>9</v>
      </c>
      <c r="T11" s="436">
        <v>9</v>
      </c>
      <c r="U11" s="436">
        <v>9</v>
      </c>
      <c r="V11" s="436">
        <v>9</v>
      </c>
      <c r="W11" s="436">
        <v>9</v>
      </c>
      <c r="X11" s="436">
        <v>9</v>
      </c>
      <c r="Y11" s="436">
        <v>9</v>
      </c>
      <c r="Z11" s="11">
        <f t="shared" si="26"/>
        <v>0</v>
      </c>
      <c r="AA11" s="11">
        <f t="shared" si="25"/>
        <v>0</v>
      </c>
      <c r="AB11" s="11">
        <f t="shared" si="0"/>
        <v>0</v>
      </c>
      <c r="AC11" s="11">
        <f t="shared" si="1"/>
        <v>0</v>
      </c>
      <c r="AD11" s="11">
        <f t="shared" si="2"/>
        <v>0</v>
      </c>
      <c r="AE11" s="11">
        <f t="shared" si="3"/>
        <v>-2</v>
      </c>
      <c r="AF11" s="11">
        <f t="shared" si="4"/>
        <v>0</v>
      </c>
      <c r="AG11" s="11">
        <f t="shared" si="5"/>
        <v>0</v>
      </c>
      <c r="AH11" s="11">
        <f t="shared" si="6"/>
        <v>0</v>
      </c>
      <c r="AI11" s="11">
        <f t="shared" si="7"/>
        <v>2</v>
      </c>
      <c r="AJ11" s="11">
        <f t="shared" si="8"/>
        <v>0</v>
      </c>
      <c r="AK11" s="11">
        <f t="shared" si="9"/>
        <v>0</v>
      </c>
      <c r="AL11" s="11">
        <f t="shared" si="10"/>
        <v>0</v>
      </c>
      <c r="AM11" s="11">
        <f t="shared" si="11"/>
        <v>0</v>
      </c>
      <c r="AN11" s="11">
        <f t="shared" si="12"/>
        <v>0</v>
      </c>
      <c r="AO11" s="11">
        <f t="shared" si="13"/>
        <v>0</v>
      </c>
      <c r="AP11" s="11">
        <f t="shared" si="14"/>
        <v>0</v>
      </c>
      <c r="AQ11" s="11">
        <f t="shared" si="15"/>
        <v>0</v>
      </c>
      <c r="AR11" s="11">
        <f t="shared" si="16"/>
        <v>0</v>
      </c>
      <c r="AS11" s="11">
        <f t="shared" si="17"/>
        <v>0</v>
      </c>
      <c r="AT11" s="11">
        <f t="shared" si="18"/>
        <v>0</v>
      </c>
      <c r="AU11" s="11">
        <f t="shared" si="19"/>
        <v>0</v>
      </c>
      <c r="AV11" s="11">
        <f t="shared" si="20"/>
        <v>0</v>
      </c>
      <c r="AW11" s="11">
        <f t="shared" si="21"/>
        <v>0</v>
      </c>
      <c r="AX11" s="11">
        <f t="shared" si="23"/>
        <v>2</v>
      </c>
      <c r="AY11" s="11">
        <f t="shared" si="22"/>
        <v>2</v>
      </c>
    </row>
    <row r="12" spans="1:51" s="12" customFormat="1">
      <c r="A12" s="15">
        <v>44937</v>
      </c>
      <c r="B12" s="436">
        <v>8</v>
      </c>
      <c r="C12" s="436">
        <v>8</v>
      </c>
      <c r="D12" s="436">
        <v>8</v>
      </c>
      <c r="E12" s="436">
        <v>8</v>
      </c>
      <c r="F12" s="436">
        <v>8</v>
      </c>
      <c r="G12" s="436">
        <v>6</v>
      </c>
      <c r="H12" s="436">
        <v>6</v>
      </c>
      <c r="I12" s="436">
        <v>6</v>
      </c>
      <c r="J12" s="436">
        <v>6</v>
      </c>
      <c r="K12" s="436">
        <v>8</v>
      </c>
      <c r="L12" s="436">
        <v>8</v>
      </c>
      <c r="M12" s="436">
        <v>8</v>
      </c>
      <c r="N12" s="436">
        <v>8</v>
      </c>
      <c r="O12" s="436">
        <v>8</v>
      </c>
      <c r="P12" s="436">
        <v>8</v>
      </c>
      <c r="Q12" s="436">
        <v>8</v>
      </c>
      <c r="R12" s="436">
        <v>8</v>
      </c>
      <c r="S12" s="436">
        <v>8</v>
      </c>
      <c r="T12" s="436">
        <v>8</v>
      </c>
      <c r="U12" s="436">
        <v>8</v>
      </c>
      <c r="V12" s="436">
        <v>8</v>
      </c>
      <c r="W12" s="436">
        <v>8</v>
      </c>
      <c r="X12" s="436">
        <v>8</v>
      </c>
      <c r="Y12" s="436">
        <v>8</v>
      </c>
      <c r="Z12" s="11">
        <f t="shared" si="26"/>
        <v>-1</v>
      </c>
      <c r="AA12" s="11">
        <f t="shared" si="25"/>
        <v>0</v>
      </c>
      <c r="AB12" s="11">
        <f t="shared" si="0"/>
        <v>0</v>
      </c>
      <c r="AC12" s="11">
        <f t="shared" si="1"/>
        <v>0</v>
      </c>
      <c r="AD12" s="11">
        <f t="shared" si="2"/>
        <v>0</v>
      </c>
      <c r="AE12" s="11">
        <f t="shared" si="3"/>
        <v>-2</v>
      </c>
      <c r="AF12" s="11">
        <f t="shared" si="4"/>
        <v>0</v>
      </c>
      <c r="AG12" s="11">
        <f t="shared" si="5"/>
        <v>0</v>
      </c>
      <c r="AH12" s="11">
        <f t="shared" si="6"/>
        <v>0</v>
      </c>
      <c r="AI12" s="11">
        <f t="shared" si="7"/>
        <v>2</v>
      </c>
      <c r="AJ12" s="11">
        <f t="shared" si="8"/>
        <v>0</v>
      </c>
      <c r="AK12" s="11">
        <f t="shared" si="9"/>
        <v>0</v>
      </c>
      <c r="AL12" s="11">
        <f t="shared" si="10"/>
        <v>0</v>
      </c>
      <c r="AM12" s="11">
        <f t="shared" si="11"/>
        <v>0</v>
      </c>
      <c r="AN12" s="11">
        <f t="shared" si="12"/>
        <v>0</v>
      </c>
      <c r="AO12" s="11">
        <f t="shared" si="13"/>
        <v>0</v>
      </c>
      <c r="AP12" s="11">
        <f t="shared" si="14"/>
        <v>0</v>
      </c>
      <c r="AQ12" s="11">
        <f t="shared" si="15"/>
        <v>0</v>
      </c>
      <c r="AR12" s="11">
        <f t="shared" si="16"/>
        <v>0</v>
      </c>
      <c r="AS12" s="11">
        <f t="shared" si="17"/>
        <v>0</v>
      </c>
      <c r="AT12" s="11">
        <f t="shared" si="18"/>
        <v>0</v>
      </c>
      <c r="AU12" s="11">
        <f t="shared" si="19"/>
        <v>0</v>
      </c>
      <c r="AV12" s="11">
        <f t="shared" si="20"/>
        <v>0</v>
      </c>
      <c r="AW12" s="11">
        <f t="shared" si="21"/>
        <v>0</v>
      </c>
      <c r="AX12" s="11">
        <f t="shared" si="23"/>
        <v>2</v>
      </c>
      <c r="AY12" s="11">
        <f t="shared" si="22"/>
        <v>3</v>
      </c>
    </row>
    <row r="13" spans="1:51" s="12" customFormat="1">
      <c r="A13" s="15">
        <v>44938</v>
      </c>
      <c r="B13" s="436">
        <v>8</v>
      </c>
      <c r="C13" s="436">
        <v>8</v>
      </c>
      <c r="D13" s="436">
        <v>8</v>
      </c>
      <c r="E13" s="436">
        <v>8</v>
      </c>
      <c r="F13" s="436">
        <v>8</v>
      </c>
      <c r="G13" s="436">
        <v>6</v>
      </c>
      <c r="H13" s="436">
        <v>6</v>
      </c>
      <c r="I13" s="436">
        <v>6</v>
      </c>
      <c r="J13" s="436">
        <v>8</v>
      </c>
      <c r="K13" s="436">
        <v>8</v>
      </c>
      <c r="L13" s="436">
        <v>8</v>
      </c>
      <c r="M13" s="436">
        <v>8</v>
      </c>
      <c r="N13" s="436">
        <v>8</v>
      </c>
      <c r="O13" s="436">
        <v>8</v>
      </c>
      <c r="P13" s="436">
        <v>8</v>
      </c>
      <c r="Q13" s="436">
        <v>8</v>
      </c>
      <c r="R13" s="436">
        <v>8</v>
      </c>
      <c r="S13" s="436">
        <v>8</v>
      </c>
      <c r="T13" s="436">
        <v>8</v>
      </c>
      <c r="U13" s="436">
        <v>8</v>
      </c>
      <c r="V13" s="436">
        <v>8</v>
      </c>
      <c r="W13" s="436">
        <v>8</v>
      </c>
      <c r="X13" s="436">
        <v>8</v>
      </c>
      <c r="Y13" s="436">
        <v>8</v>
      </c>
      <c r="Z13" s="11">
        <f t="shared" si="26"/>
        <v>0</v>
      </c>
      <c r="AA13" s="11">
        <f t="shared" si="25"/>
        <v>0</v>
      </c>
      <c r="AB13" s="11">
        <f t="shared" si="0"/>
        <v>0</v>
      </c>
      <c r="AC13" s="11">
        <f t="shared" si="1"/>
        <v>0</v>
      </c>
      <c r="AD13" s="11">
        <f t="shared" si="2"/>
        <v>0</v>
      </c>
      <c r="AE13" s="11">
        <f t="shared" si="3"/>
        <v>-2</v>
      </c>
      <c r="AF13" s="11">
        <f t="shared" si="4"/>
        <v>0</v>
      </c>
      <c r="AG13" s="11">
        <f t="shared" si="5"/>
        <v>0</v>
      </c>
      <c r="AH13" s="11">
        <f t="shared" si="6"/>
        <v>2</v>
      </c>
      <c r="AI13" s="11">
        <f t="shared" si="7"/>
        <v>0</v>
      </c>
      <c r="AJ13" s="11">
        <f t="shared" si="8"/>
        <v>0</v>
      </c>
      <c r="AK13" s="11">
        <f t="shared" si="9"/>
        <v>0</v>
      </c>
      <c r="AL13" s="11">
        <f t="shared" si="10"/>
        <v>0</v>
      </c>
      <c r="AM13" s="11">
        <f t="shared" si="11"/>
        <v>0</v>
      </c>
      <c r="AN13" s="11">
        <f t="shared" si="12"/>
        <v>0</v>
      </c>
      <c r="AO13" s="11">
        <f t="shared" si="13"/>
        <v>0</v>
      </c>
      <c r="AP13" s="11">
        <f t="shared" si="14"/>
        <v>0</v>
      </c>
      <c r="AQ13" s="11">
        <f t="shared" si="15"/>
        <v>0</v>
      </c>
      <c r="AR13" s="11">
        <f>T13-S13</f>
        <v>0</v>
      </c>
      <c r="AS13" s="11">
        <f t="shared" si="17"/>
        <v>0</v>
      </c>
      <c r="AT13" s="11">
        <f t="shared" si="18"/>
        <v>0</v>
      </c>
      <c r="AU13" s="11">
        <f t="shared" si="19"/>
        <v>0</v>
      </c>
      <c r="AV13" s="11">
        <f t="shared" si="20"/>
        <v>0</v>
      </c>
      <c r="AW13" s="11">
        <f t="shared" si="21"/>
        <v>0</v>
      </c>
      <c r="AX13" s="11">
        <f t="shared" si="23"/>
        <v>2</v>
      </c>
      <c r="AY13" s="11">
        <f t="shared" si="22"/>
        <v>2</v>
      </c>
    </row>
    <row r="14" spans="1:51" s="12" customFormat="1">
      <c r="A14" s="15">
        <v>44939</v>
      </c>
      <c r="B14" s="436">
        <v>8</v>
      </c>
      <c r="C14" s="436">
        <v>8</v>
      </c>
      <c r="D14" s="436">
        <v>8</v>
      </c>
      <c r="E14" s="436">
        <v>8</v>
      </c>
      <c r="F14" s="436">
        <v>8</v>
      </c>
      <c r="G14" s="436">
        <v>8</v>
      </c>
      <c r="H14" s="436">
        <v>6</v>
      </c>
      <c r="I14" s="436">
        <v>6</v>
      </c>
      <c r="J14" s="436">
        <v>6</v>
      </c>
      <c r="K14" s="436">
        <v>8</v>
      </c>
      <c r="L14" s="436">
        <v>8</v>
      </c>
      <c r="M14" s="436">
        <v>8</v>
      </c>
      <c r="N14" s="436">
        <v>8</v>
      </c>
      <c r="O14" s="436">
        <v>8</v>
      </c>
      <c r="P14" s="436">
        <v>8</v>
      </c>
      <c r="Q14" s="436">
        <v>8</v>
      </c>
      <c r="R14" s="436">
        <v>8</v>
      </c>
      <c r="S14" s="436">
        <v>8</v>
      </c>
      <c r="T14" s="436">
        <v>8</v>
      </c>
      <c r="U14" s="436">
        <v>8</v>
      </c>
      <c r="V14" s="436">
        <v>8</v>
      </c>
      <c r="W14" s="436">
        <v>8</v>
      </c>
      <c r="X14" s="436">
        <v>8</v>
      </c>
      <c r="Y14" s="436">
        <v>8</v>
      </c>
      <c r="Z14" s="11">
        <f t="shared" si="26"/>
        <v>0</v>
      </c>
      <c r="AA14" s="11">
        <f t="shared" si="25"/>
        <v>0</v>
      </c>
      <c r="AB14" s="11">
        <f t="shared" si="0"/>
        <v>0</v>
      </c>
      <c r="AC14" s="11">
        <f t="shared" si="1"/>
        <v>0</v>
      </c>
      <c r="AD14" s="11">
        <f t="shared" si="2"/>
        <v>0</v>
      </c>
      <c r="AE14" s="11">
        <f t="shared" si="3"/>
        <v>0</v>
      </c>
      <c r="AF14" s="11">
        <f t="shared" si="4"/>
        <v>-2</v>
      </c>
      <c r="AG14" s="11">
        <f t="shared" si="5"/>
        <v>0</v>
      </c>
      <c r="AH14" s="11">
        <f t="shared" si="6"/>
        <v>0</v>
      </c>
      <c r="AI14" s="11">
        <f t="shared" si="7"/>
        <v>2</v>
      </c>
      <c r="AJ14" s="11">
        <f t="shared" si="8"/>
        <v>0</v>
      </c>
      <c r="AK14" s="11">
        <f t="shared" si="9"/>
        <v>0</v>
      </c>
      <c r="AL14" s="11">
        <f t="shared" si="10"/>
        <v>0</v>
      </c>
      <c r="AM14" s="11">
        <f t="shared" si="11"/>
        <v>0</v>
      </c>
      <c r="AN14" s="11">
        <f t="shared" si="12"/>
        <v>0</v>
      </c>
      <c r="AO14" s="11">
        <f t="shared" si="13"/>
        <v>0</v>
      </c>
      <c r="AP14" s="11">
        <f t="shared" si="14"/>
        <v>0</v>
      </c>
      <c r="AQ14" s="11">
        <f t="shared" si="15"/>
        <v>0</v>
      </c>
      <c r="AR14" s="11">
        <f t="shared" si="16"/>
        <v>0</v>
      </c>
      <c r="AS14" s="11">
        <f t="shared" si="17"/>
        <v>0</v>
      </c>
      <c r="AT14" s="11">
        <f t="shared" si="18"/>
        <v>0</v>
      </c>
      <c r="AU14" s="11">
        <f t="shared" si="19"/>
        <v>0</v>
      </c>
      <c r="AV14" s="11">
        <f t="shared" si="20"/>
        <v>0</v>
      </c>
      <c r="AW14" s="11">
        <f t="shared" si="21"/>
        <v>0</v>
      </c>
      <c r="AX14" s="11">
        <f t="shared" si="23"/>
        <v>2</v>
      </c>
      <c r="AY14" s="11">
        <f t="shared" si="22"/>
        <v>2</v>
      </c>
    </row>
    <row r="15" spans="1:51" s="12" customFormat="1">
      <c r="A15" s="15">
        <v>44940</v>
      </c>
      <c r="B15" s="436">
        <v>8</v>
      </c>
      <c r="C15" s="436">
        <v>8</v>
      </c>
      <c r="D15" s="436">
        <v>8</v>
      </c>
      <c r="E15" s="436">
        <v>8</v>
      </c>
      <c r="F15" s="436">
        <v>8</v>
      </c>
      <c r="G15" s="436">
        <v>8</v>
      </c>
      <c r="H15" s="436">
        <v>8</v>
      </c>
      <c r="I15" s="436">
        <v>8</v>
      </c>
      <c r="J15" s="436">
        <v>7</v>
      </c>
      <c r="K15" s="436">
        <v>8</v>
      </c>
      <c r="L15" s="436">
        <v>8</v>
      </c>
      <c r="M15" s="436">
        <v>8</v>
      </c>
      <c r="N15" s="436">
        <v>8</v>
      </c>
      <c r="O15" s="436">
        <v>8</v>
      </c>
      <c r="P15" s="436">
        <v>8</v>
      </c>
      <c r="Q15" s="436">
        <v>8</v>
      </c>
      <c r="R15" s="436">
        <v>8</v>
      </c>
      <c r="S15" s="436">
        <v>8</v>
      </c>
      <c r="T15" s="436">
        <v>8</v>
      </c>
      <c r="U15" s="436">
        <v>8</v>
      </c>
      <c r="V15" s="436">
        <v>8</v>
      </c>
      <c r="W15" s="436">
        <v>8</v>
      </c>
      <c r="X15" s="436">
        <v>8</v>
      </c>
      <c r="Y15" s="436">
        <v>8</v>
      </c>
      <c r="Z15" s="11">
        <f t="shared" si="26"/>
        <v>0</v>
      </c>
      <c r="AA15" s="11">
        <f t="shared" si="25"/>
        <v>0</v>
      </c>
      <c r="AB15" s="11">
        <f t="shared" si="0"/>
        <v>0</v>
      </c>
      <c r="AC15" s="11">
        <f t="shared" si="1"/>
        <v>0</v>
      </c>
      <c r="AD15" s="11">
        <f t="shared" si="2"/>
        <v>0</v>
      </c>
      <c r="AE15" s="11">
        <f t="shared" si="3"/>
        <v>0</v>
      </c>
      <c r="AF15" s="11">
        <f t="shared" si="4"/>
        <v>0</v>
      </c>
      <c r="AG15" s="11">
        <f t="shared" si="5"/>
        <v>0</v>
      </c>
      <c r="AH15" s="11">
        <f t="shared" si="6"/>
        <v>-1</v>
      </c>
      <c r="AI15" s="11">
        <f t="shared" si="7"/>
        <v>1</v>
      </c>
      <c r="AJ15" s="11">
        <f t="shared" si="8"/>
        <v>0</v>
      </c>
      <c r="AK15" s="11">
        <f t="shared" si="9"/>
        <v>0</v>
      </c>
      <c r="AL15" s="11">
        <f t="shared" si="10"/>
        <v>0</v>
      </c>
      <c r="AM15" s="11">
        <f t="shared" si="11"/>
        <v>0</v>
      </c>
      <c r="AN15" s="11">
        <f t="shared" si="12"/>
        <v>0</v>
      </c>
      <c r="AO15" s="11">
        <f t="shared" si="13"/>
        <v>0</v>
      </c>
      <c r="AP15" s="11">
        <f t="shared" si="14"/>
        <v>0</v>
      </c>
      <c r="AQ15" s="11">
        <f t="shared" si="15"/>
        <v>0</v>
      </c>
      <c r="AR15" s="11">
        <f t="shared" si="16"/>
        <v>0</v>
      </c>
      <c r="AS15" s="11">
        <f t="shared" si="17"/>
        <v>0</v>
      </c>
      <c r="AT15" s="11">
        <f t="shared" si="18"/>
        <v>0</v>
      </c>
      <c r="AU15" s="11">
        <f t="shared" si="19"/>
        <v>0</v>
      </c>
      <c r="AV15" s="11">
        <f t="shared" si="20"/>
        <v>0</v>
      </c>
      <c r="AW15" s="11">
        <f t="shared" si="21"/>
        <v>0</v>
      </c>
      <c r="AX15" s="11">
        <f t="shared" si="23"/>
        <v>1</v>
      </c>
      <c r="AY15" s="11">
        <f t="shared" si="22"/>
        <v>1</v>
      </c>
    </row>
    <row r="16" spans="1:51" s="12" customFormat="1">
      <c r="A16" s="15">
        <v>44941</v>
      </c>
      <c r="B16" s="436">
        <v>8</v>
      </c>
      <c r="C16" s="436">
        <v>8</v>
      </c>
      <c r="D16" s="436">
        <v>8</v>
      </c>
      <c r="E16" s="436">
        <v>8</v>
      </c>
      <c r="F16" s="436">
        <v>8</v>
      </c>
      <c r="G16" s="436">
        <v>8</v>
      </c>
      <c r="H16" s="436">
        <v>6</v>
      </c>
      <c r="I16" s="436">
        <v>6</v>
      </c>
      <c r="J16" s="436">
        <v>6</v>
      </c>
      <c r="K16" s="436">
        <v>6</v>
      </c>
      <c r="L16" s="436">
        <v>7</v>
      </c>
      <c r="M16" s="436">
        <v>8</v>
      </c>
      <c r="N16" s="436">
        <v>8</v>
      </c>
      <c r="O16" s="436">
        <v>8</v>
      </c>
      <c r="P16" s="436">
        <v>8</v>
      </c>
      <c r="Q16" s="436">
        <v>8</v>
      </c>
      <c r="R16" s="436">
        <v>8</v>
      </c>
      <c r="S16" s="436">
        <v>8</v>
      </c>
      <c r="T16" s="436">
        <v>8</v>
      </c>
      <c r="U16" s="436">
        <v>8</v>
      </c>
      <c r="V16" s="436">
        <v>8</v>
      </c>
      <c r="W16" s="436">
        <v>8</v>
      </c>
      <c r="X16" s="436">
        <v>8</v>
      </c>
      <c r="Y16" s="436">
        <v>8</v>
      </c>
      <c r="Z16" s="11">
        <f t="shared" si="26"/>
        <v>0</v>
      </c>
      <c r="AA16" s="11">
        <f t="shared" si="25"/>
        <v>0</v>
      </c>
      <c r="AB16" s="11">
        <f t="shared" si="0"/>
        <v>0</v>
      </c>
      <c r="AC16" s="11">
        <f t="shared" si="1"/>
        <v>0</v>
      </c>
      <c r="AD16" s="11">
        <f t="shared" si="2"/>
        <v>0</v>
      </c>
      <c r="AE16" s="11">
        <f t="shared" si="3"/>
        <v>0</v>
      </c>
      <c r="AF16" s="11">
        <f t="shared" si="4"/>
        <v>-2</v>
      </c>
      <c r="AG16" s="11">
        <f t="shared" si="5"/>
        <v>0</v>
      </c>
      <c r="AH16" s="11">
        <f t="shared" si="6"/>
        <v>0</v>
      </c>
      <c r="AI16" s="11">
        <f t="shared" si="7"/>
        <v>0</v>
      </c>
      <c r="AJ16" s="11">
        <f t="shared" si="8"/>
        <v>1</v>
      </c>
      <c r="AK16" s="11">
        <f t="shared" si="9"/>
        <v>1</v>
      </c>
      <c r="AL16" s="11">
        <f t="shared" si="10"/>
        <v>0</v>
      </c>
      <c r="AM16" s="11">
        <f t="shared" si="11"/>
        <v>0</v>
      </c>
      <c r="AN16" s="11">
        <f t="shared" si="12"/>
        <v>0</v>
      </c>
      <c r="AO16" s="11">
        <f t="shared" si="13"/>
        <v>0</v>
      </c>
      <c r="AP16" s="11">
        <f t="shared" si="14"/>
        <v>0</v>
      </c>
      <c r="AQ16" s="11">
        <f t="shared" si="15"/>
        <v>0</v>
      </c>
      <c r="AR16" s="11">
        <f t="shared" si="16"/>
        <v>0</v>
      </c>
      <c r="AS16" s="11">
        <f t="shared" si="17"/>
        <v>0</v>
      </c>
      <c r="AT16" s="11">
        <f t="shared" si="18"/>
        <v>0</v>
      </c>
      <c r="AU16" s="11">
        <f t="shared" si="19"/>
        <v>0</v>
      </c>
      <c r="AV16" s="11">
        <f t="shared" si="20"/>
        <v>0</v>
      </c>
      <c r="AW16" s="11">
        <f t="shared" si="21"/>
        <v>0</v>
      </c>
      <c r="AX16" s="11">
        <f t="shared" si="23"/>
        <v>2</v>
      </c>
      <c r="AY16" s="11">
        <f t="shared" si="22"/>
        <v>2</v>
      </c>
    </row>
    <row r="17" spans="1:51" s="12" customFormat="1">
      <c r="A17" s="15">
        <v>44942</v>
      </c>
      <c r="B17" s="436">
        <v>8</v>
      </c>
      <c r="C17" s="436">
        <v>8</v>
      </c>
      <c r="D17" s="436">
        <v>8</v>
      </c>
      <c r="E17" s="436">
        <v>7</v>
      </c>
      <c r="F17" s="436">
        <v>7</v>
      </c>
      <c r="G17" s="436">
        <v>9</v>
      </c>
      <c r="H17" s="436">
        <v>8</v>
      </c>
      <c r="I17" s="436">
        <v>8</v>
      </c>
      <c r="J17" s="436">
        <v>8</v>
      </c>
      <c r="K17" s="436">
        <v>8</v>
      </c>
      <c r="L17" s="436">
        <v>8</v>
      </c>
      <c r="M17" s="436">
        <v>8</v>
      </c>
      <c r="N17" s="436">
        <v>8</v>
      </c>
      <c r="O17" s="436">
        <v>7</v>
      </c>
      <c r="P17" s="436">
        <v>7</v>
      </c>
      <c r="Q17" s="436">
        <v>9</v>
      </c>
      <c r="R17" s="436">
        <v>9</v>
      </c>
      <c r="S17" s="436">
        <v>9</v>
      </c>
      <c r="T17" s="436">
        <v>9</v>
      </c>
      <c r="U17" s="436">
        <v>9</v>
      </c>
      <c r="V17" s="436">
        <v>9</v>
      </c>
      <c r="W17" s="436">
        <v>9</v>
      </c>
      <c r="X17" s="436">
        <v>9</v>
      </c>
      <c r="Y17" s="436">
        <v>9</v>
      </c>
      <c r="Z17" s="11">
        <f t="shared" si="26"/>
        <v>0</v>
      </c>
      <c r="AA17" s="11">
        <f t="shared" si="25"/>
        <v>0</v>
      </c>
      <c r="AB17" s="11">
        <f t="shared" si="0"/>
        <v>0</v>
      </c>
      <c r="AC17" s="11">
        <f t="shared" si="1"/>
        <v>-1</v>
      </c>
      <c r="AD17" s="11">
        <f t="shared" si="2"/>
        <v>0</v>
      </c>
      <c r="AE17" s="11">
        <f t="shared" si="3"/>
        <v>2</v>
      </c>
      <c r="AF17" s="11">
        <f t="shared" si="4"/>
        <v>-1</v>
      </c>
      <c r="AG17" s="11">
        <f t="shared" si="5"/>
        <v>0</v>
      </c>
      <c r="AH17" s="11">
        <f t="shared" si="6"/>
        <v>0</v>
      </c>
      <c r="AI17" s="11">
        <f t="shared" si="7"/>
        <v>0</v>
      </c>
      <c r="AJ17" s="11">
        <f t="shared" si="8"/>
        <v>0</v>
      </c>
      <c r="AK17" s="11">
        <f t="shared" si="9"/>
        <v>0</v>
      </c>
      <c r="AL17" s="11">
        <f t="shared" si="10"/>
        <v>0</v>
      </c>
      <c r="AM17" s="11">
        <f t="shared" si="11"/>
        <v>-1</v>
      </c>
      <c r="AN17" s="11">
        <f t="shared" si="12"/>
        <v>0</v>
      </c>
      <c r="AO17" s="11">
        <f t="shared" si="13"/>
        <v>2</v>
      </c>
      <c r="AP17" s="11">
        <f t="shared" si="14"/>
        <v>0</v>
      </c>
      <c r="AQ17" s="11">
        <f t="shared" si="15"/>
        <v>0</v>
      </c>
      <c r="AR17" s="11">
        <f t="shared" si="16"/>
        <v>0</v>
      </c>
      <c r="AS17" s="11">
        <f t="shared" si="17"/>
        <v>0</v>
      </c>
      <c r="AT17" s="11">
        <f t="shared" si="18"/>
        <v>0</v>
      </c>
      <c r="AU17" s="11">
        <f t="shared" si="19"/>
        <v>0</v>
      </c>
      <c r="AV17" s="11">
        <f t="shared" si="20"/>
        <v>0</v>
      </c>
      <c r="AW17" s="11">
        <f t="shared" si="21"/>
        <v>0</v>
      </c>
      <c r="AX17" s="11">
        <f t="shared" si="23"/>
        <v>4</v>
      </c>
      <c r="AY17" s="11">
        <f t="shared" si="22"/>
        <v>3</v>
      </c>
    </row>
    <row r="18" spans="1:51" s="12" customFormat="1">
      <c r="A18" s="15">
        <v>44943</v>
      </c>
      <c r="B18" s="436">
        <v>9</v>
      </c>
      <c r="C18" s="436">
        <v>9</v>
      </c>
      <c r="D18" s="436">
        <v>9</v>
      </c>
      <c r="E18" s="436">
        <v>9</v>
      </c>
      <c r="F18" s="436">
        <v>9</v>
      </c>
      <c r="G18" s="436">
        <v>9</v>
      </c>
      <c r="H18" s="436">
        <v>9</v>
      </c>
      <c r="I18" s="436">
        <v>9</v>
      </c>
      <c r="J18" s="436">
        <v>9</v>
      </c>
      <c r="K18" s="436">
        <v>9</v>
      </c>
      <c r="L18" s="436">
        <v>9</v>
      </c>
      <c r="M18" s="436">
        <v>9</v>
      </c>
      <c r="N18" s="436">
        <v>9</v>
      </c>
      <c r="O18" s="436">
        <v>9</v>
      </c>
      <c r="P18" s="436">
        <v>9</v>
      </c>
      <c r="Q18" s="436">
        <v>9</v>
      </c>
      <c r="R18" s="436">
        <v>9</v>
      </c>
      <c r="S18" s="436">
        <v>9</v>
      </c>
      <c r="T18" s="436">
        <v>9</v>
      </c>
      <c r="U18" s="436">
        <v>9</v>
      </c>
      <c r="V18" s="436">
        <v>9</v>
      </c>
      <c r="W18" s="436">
        <v>9</v>
      </c>
      <c r="X18" s="436">
        <v>9</v>
      </c>
      <c r="Y18" s="436">
        <v>9</v>
      </c>
      <c r="Z18" s="11">
        <f t="shared" si="26"/>
        <v>0</v>
      </c>
      <c r="AA18" s="11">
        <f t="shared" si="25"/>
        <v>0</v>
      </c>
      <c r="AB18" s="11">
        <f t="shared" si="0"/>
        <v>0</v>
      </c>
      <c r="AC18" s="11">
        <f t="shared" si="1"/>
        <v>0</v>
      </c>
      <c r="AD18" s="11">
        <f t="shared" si="2"/>
        <v>0</v>
      </c>
      <c r="AE18" s="11">
        <f t="shared" si="3"/>
        <v>0</v>
      </c>
      <c r="AF18" s="11">
        <f t="shared" si="4"/>
        <v>0</v>
      </c>
      <c r="AG18" s="11">
        <f t="shared" si="5"/>
        <v>0</v>
      </c>
      <c r="AH18" s="11">
        <f t="shared" si="6"/>
        <v>0</v>
      </c>
      <c r="AI18" s="11">
        <f t="shared" si="7"/>
        <v>0</v>
      </c>
      <c r="AJ18" s="11">
        <f t="shared" si="8"/>
        <v>0</v>
      </c>
      <c r="AK18" s="11">
        <f t="shared" si="9"/>
        <v>0</v>
      </c>
      <c r="AL18" s="11">
        <f t="shared" si="10"/>
        <v>0</v>
      </c>
      <c r="AM18" s="11">
        <f t="shared" si="11"/>
        <v>0</v>
      </c>
      <c r="AN18" s="11">
        <f t="shared" si="12"/>
        <v>0</v>
      </c>
      <c r="AO18" s="11">
        <f t="shared" si="13"/>
        <v>0</v>
      </c>
      <c r="AP18" s="11">
        <f t="shared" si="14"/>
        <v>0</v>
      </c>
      <c r="AQ18" s="11">
        <f t="shared" si="15"/>
        <v>0</v>
      </c>
      <c r="AR18" s="11">
        <f t="shared" si="16"/>
        <v>0</v>
      </c>
      <c r="AS18" s="11">
        <f t="shared" si="17"/>
        <v>0</v>
      </c>
      <c r="AT18" s="11">
        <f t="shared" si="18"/>
        <v>0</v>
      </c>
      <c r="AU18" s="11">
        <f t="shared" si="19"/>
        <v>0</v>
      </c>
      <c r="AV18" s="11">
        <f t="shared" si="20"/>
        <v>0</v>
      </c>
      <c r="AW18" s="11">
        <f t="shared" si="21"/>
        <v>0</v>
      </c>
      <c r="AX18" s="11">
        <f t="shared" si="23"/>
        <v>0</v>
      </c>
      <c r="AY18" s="11">
        <f t="shared" si="22"/>
        <v>0</v>
      </c>
    </row>
    <row r="19" spans="1:51" s="12" customFormat="1">
      <c r="A19" s="15">
        <v>44944</v>
      </c>
      <c r="B19" s="436">
        <v>8</v>
      </c>
      <c r="C19" s="436">
        <v>8</v>
      </c>
      <c r="D19" s="436">
        <v>8</v>
      </c>
      <c r="E19" s="436">
        <v>8</v>
      </c>
      <c r="F19" s="436">
        <v>2</v>
      </c>
      <c r="G19" s="436">
        <v>0</v>
      </c>
      <c r="H19" s="436">
        <v>2</v>
      </c>
      <c r="I19" s="436">
        <v>2</v>
      </c>
      <c r="J19" s="436">
        <v>7</v>
      </c>
      <c r="K19" s="436">
        <v>7</v>
      </c>
      <c r="L19" s="436">
        <v>8</v>
      </c>
      <c r="M19" s="436">
        <v>8</v>
      </c>
      <c r="N19" s="436">
        <v>8</v>
      </c>
      <c r="O19" s="436">
        <v>8</v>
      </c>
      <c r="P19" s="436">
        <v>8</v>
      </c>
      <c r="Q19" s="436">
        <v>8</v>
      </c>
      <c r="R19" s="436">
        <v>8</v>
      </c>
      <c r="S19" s="436">
        <v>8</v>
      </c>
      <c r="T19" s="436">
        <v>8</v>
      </c>
      <c r="U19" s="436">
        <v>8</v>
      </c>
      <c r="V19" s="436">
        <v>8</v>
      </c>
      <c r="W19" s="436">
        <v>8</v>
      </c>
      <c r="X19" s="436">
        <v>8</v>
      </c>
      <c r="Y19" s="436">
        <v>8</v>
      </c>
      <c r="Z19" s="11">
        <f t="shared" si="26"/>
        <v>-1</v>
      </c>
      <c r="AA19" s="11">
        <f t="shared" si="25"/>
        <v>0</v>
      </c>
      <c r="AB19" s="11">
        <f t="shared" si="0"/>
        <v>0</v>
      </c>
      <c r="AC19" s="11">
        <f t="shared" si="1"/>
        <v>0</v>
      </c>
      <c r="AD19" s="11">
        <f t="shared" si="2"/>
        <v>-6</v>
      </c>
      <c r="AE19" s="11">
        <f t="shared" si="3"/>
        <v>-2</v>
      </c>
      <c r="AF19" s="11">
        <f t="shared" si="4"/>
        <v>2</v>
      </c>
      <c r="AG19" s="11">
        <f t="shared" si="5"/>
        <v>0</v>
      </c>
      <c r="AH19" s="11">
        <f t="shared" si="6"/>
        <v>5</v>
      </c>
      <c r="AI19" s="11">
        <f t="shared" si="7"/>
        <v>0</v>
      </c>
      <c r="AJ19" s="11">
        <f t="shared" si="8"/>
        <v>1</v>
      </c>
      <c r="AK19" s="11">
        <f t="shared" si="9"/>
        <v>0</v>
      </c>
      <c r="AL19" s="11">
        <f t="shared" si="10"/>
        <v>0</v>
      </c>
      <c r="AM19" s="11">
        <f t="shared" si="11"/>
        <v>0</v>
      </c>
      <c r="AN19" s="11">
        <f t="shared" si="12"/>
        <v>0</v>
      </c>
      <c r="AO19" s="11">
        <f t="shared" si="13"/>
        <v>0</v>
      </c>
      <c r="AP19" s="11">
        <f t="shared" si="14"/>
        <v>0</v>
      </c>
      <c r="AQ19" s="11">
        <f t="shared" si="15"/>
        <v>0</v>
      </c>
      <c r="AR19" s="11">
        <f t="shared" si="16"/>
        <v>0</v>
      </c>
      <c r="AS19" s="11">
        <f t="shared" si="17"/>
        <v>0</v>
      </c>
      <c r="AT19" s="11">
        <f t="shared" si="18"/>
        <v>0</v>
      </c>
      <c r="AU19" s="11">
        <f t="shared" si="19"/>
        <v>0</v>
      </c>
      <c r="AV19" s="11">
        <f t="shared" si="20"/>
        <v>0</v>
      </c>
      <c r="AW19" s="11">
        <f t="shared" si="21"/>
        <v>0</v>
      </c>
      <c r="AX19" s="11">
        <f t="shared" si="23"/>
        <v>8</v>
      </c>
      <c r="AY19" s="11">
        <f t="shared" si="22"/>
        <v>9</v>
      </c>
    </row>
    <row r="20" spans="1:51" s="12" customFormat="1">
      <c r="A20" s="15">
        <v>44945</v>
      </c>
      <c r="B20" s="436">
        <v>8</v>
      </c>
      <c r="C20" s="436">
        <v>8</v>
      </c>
      <c r="D20" s="436">
        <v>8</v>
      </c>
      <c r="E20" s="436">
        <v>8</v>
      </c>
      <c r="F20" s="436">
        <v>2</v>
      </c>
      <c r="G20" s="436">
        <v>0</v>
      </c>
      <c r="H20" s="436">
        <v>2</v>
      </c>
      <c r="I20" s="436">
        <v>2</v>
      </c>
      <c r="J20" s="436">
        <v>5</v>
      </c>
      <c r="K20" s="436">
        <v>4</v>
      </c>
      <c r="L20" s="436">
        <v>4</v>
      </c>
      <c r="M20" s="436">
        <v>4</v>
      </c>
      <c r="N20" s="436">
        <v>6</v>
      </c>
      <c r="O20" s="436">
        <v>6</v>
      </c>
      <c r="P20" s="436">
        <v>8</v>
      </c>
      <c r="Q20" s="436">
        <v>8</v>
      </c>
      <c r="R20" s="436">
        <v>8</v>
      </c>
      <c r="S20" s="436">
        <v>8</v>
      </c>
      <c r="T20" s="436">
        <v>8</v>
      </c>
      <c r="U20" s="436">
        <v>8</v>
      </c>
      <c r="V20" s="436">
        <v>8</v>
      </c>
      <c r="W20" s="436">
        <v>8</v>
      </c>
      <c r="X20" s="436">
        <v>8</v>
      </c>
      <c r="Y20" s="436">
        <v>8</v>
      </c>
      <c r="Z20" s="11">
        <f t="shared" si="26"/>
        <v>0</v>
      </c>
      <c r="AA20" s="11">
        <f t="shared" si="25"/>
        <v>0</v>
      </c>
      <c r="AB20" s="11">
        <f t="shared" si="0"/>
        <v>0</v>
      </c>
      <c r="AC20" s="11">
        <f t="shared" si="1"/>
        <v>0</v>
      </c>
      <c r="AD20" s="11">
        <f t="shared" si="2"/>
        <v>-6</v>
      </c>
      <c r="AE20" s="11">
        <f t="shared" si="3"/>
        <v>-2</v>
      </c>
      <c r="AF20" s="11">
        <f t="shared" si="4"/>
        <v>2</v>
      </c>
      <c r="AG20" s="11">
        <f t="shared" si="5"/>
        <v>0</v>
      </c>
      <c r="AH20" s="11">
        <f t="shared" si="6"/>
        <v>3</v>
      </c>
      <c r="AI20" s="11">
        <f t="shared" si="7"/>
        <v>-1</v>
      </c>
      <c r="AJ20" s="11">
        <f t="shared" si="8"/>
        <v>0</v>
      </c>
      <c r="AK20" s="11">
        <f t="shared" si="9"/>
        <v>0</v>
      </c>
      <c r="AL20" s="11">
        <f t="shared" si="10"/>
        <v>2</v>
      </c>
      <c r="AM20" s="11">
        <f t="shared" si="11"/>
        <v>0</v>
      </c>
      <c r="AN20" s="11">
        <f t="shared" si="12"/>
        <v>2</v>
      </c>
      <c r="AO20" s="11">
        <f t="shared" si="13"/>
        <v>0</v>
      </c>
      <c r="AP20" s="11">
        <f t="shared" si="14"/>
        <v>0</v>
      </c>
      <c r="AQ20" s="11">
        <f t="shared" si="15"/>
        <v>0</v>
      </c>
      <c r="AR20" s="11">
        <f t="shared" si="16"/>
        <v>0</v>
      </c>
      <c r="AS20" s="11">
        <f t="shared" si="17"/>
        <v>0</v>
      </c>
      <c r="AT20" s="11">
        <f t="shared" si="18"/>
        <v>0</v>
      </c>
      <c r="AU20" s="11">
        <f t="shared" si="19"/>
        <v>0</v>
      </c>
      <c r="AV20" s="11">
        <f t="shared" si="20"/>
        <v>0</v>
      </c>
      <c r="AW20" s="11">
        <f t="shared" si="21"/>
        <v>0</v>
      </c>
      <c r="AX20" s="11">
        <f t="shared" si="23"/>
        <v>9</v>
      </c>
      <c r="AY20" s="11">
        <f t="shared" si="22"/>
        <v>9</v>
      </c>
    </row>
    <row r="21" spans="1:51" s="12" customFormat="1">
      <c r="A21" s="15">
        <v>44946</v>
      </c>
      <c r="B21" s="436">
        <v>8</v>
      </c>
      <c r="C21" s="436">
        <v>8</v>
      </c>
      <c r="D21" s="436">
        <v>8</v>
      </c>
      <c r="E21" s="436">
        <v>8</v>
      </c>
      <c r="F21" s="436">
        <v>2</v>
      </c>
      <c r="G21" s="436">
        <v>0</v>
      </c>
      <c r="H21" s="436">
        <v>2</v>
      </c>
      <c r="I21" s="436">
        <v>2</v>
      </c>
      <c r="J21" s="436">
        <v>6</v>
      </c>
      <c r="K21" s="436">
        <v>8</v>
      </c>
      <c r="L21" s="436">
        <v>8</v>
      </c>
      <c r="M21" s="436">
        <v>8</v>
      </c>
      <c r="N21" s="436">
        <v>8</v>
      </c>
      <c r="O21" s="436">
        <v>8</v>
      </c>
      <c r="P21" s="436">
        <v>8</v>
      </c>
      <c r="Q21" s="436">
        <v>7</v>
      </c>
      <c r="R21" s="436">
        <v>7</v>
      </c>
      <c r="S21" s="436">
        <v>8</v>
      </c>
      <c r="T21" s="436">
        <v>8</v>
      </c>
      <c r="U21" s="436">
        <v>8</v>
      </c>
      <c r="V21" s="436">
        <v>8</v>
      </c>
      <c r="W21" s="436">
        <v>8</v>
      </c>
      <c r="X21" s="436">
        <v>8</v>
      </c>
      <c r="Y21" s="436">
        <v>8</v>
      </c>
      <c r="Z21" s="11">
        <f t="shared" si="26"/>
        <v>0</v>
      </c>
      <c r="AA21" s="11">
        <f t="shared" si="25"/>
        <v>0</v>
      </c>
      <c r="AB21" s="11">
        <f t="shared" si="0"/>
        <v>0</v>
      </c>
      <c r="AC21" s="11">
        <f t="shared" si="1"/>
        <v>0</v>
      </c>
      <c r="AD21" s="11">
        <f t="shared" si="2"/>
        <v>-6</v>
      </c>
      <c r="AE21" s="11">
        <f t="shared" si="3"/>
        <v>-2</v>
      </c>
      <c r="AF21" s="11">
        <f t="shared" si="4"/>
        <v>2</v>
      </c>
      <c r="AG21" s="11">
        <f t="shared" si="5"/>
        <v>0</v>
      </c>
      <c r="AH21" s="11">
        <f t="shared" si="6"/>
        <v>4</v>
      </c>
      <c r="AI21" s="11">
        <f t="shared" si="7"/>
        <v>2</v>
      </c>
      <c r="AJ21" s="11">
        <f t="shared" si="8"/>
        <v>0</v>
      </c>
      <c r="AK21" s="11">
        <f t="shared" si="9"/>
        <v>0</v>
      </c>
      <c r="AL21" s="11">
        <f t="shared" si="10"/>
        <v>0</v>
      </c>
      <c r="AM21" s="11">
        <f t="shared" si="11"/>
        <v>0</v>
      </c>
      <c r="AN21" s="11">
        <f t="shared" si="12"/>
        <v>0</v>
      </c>
      <c r="AO21" s="11">
        <f t="shared" si="13"/>
        <v>-1</v>
      </c>
      <c r="AP21" s="11">
        <f t="shared" si="14"/>
        <v>0</v>
      </c>
      <c r="AQ21" s="11">
        <f t="shared" si="15"/>
        <v>1</v>
      </c>
      <c r="AR21" s="11">
        <f t="shared" si="16"/>
        <v>0</v>
      </c>
      <c r="AS21" s="11">
        <f t="shared" si="17"/>
        <v>0</v>
      </c>
      <c r="AT21" s="11">
        <f t="shared" si="18"/>
        <v>0</v>
      </c>
      <c r="AU21" s="11">
        <f t="shared" si="19"/>
        <v>0</v>
      </c>
      <c r="AV21" s="11">
        <f t="shared" si="20"/>
        <v>0</v>
      </c>
      <c r="AW21" s="11">
        <f t="shared" si="21"/>
        <v>0</v>
      </c>
      <c r="AX21" s="11">
        <f t="shared" si="23"/>
        <v>9</v>
      </c>
      <c r="AY21" s="11">
        <f t="shared" si="22"/>
        <v>9</v>
      </c>
    </row>
    <row r="22" spans="1:51" s="12" customFormat="1">
      <c r="A22" s="15">
        <v>44947</v>
      </c>
      <c r="B22" s="436">
        <v>8</v>
      </c>
      <c r="C22" s="436">
        <v>8</v>
      </c>
      <c r="D22" s="436">
        <v>8</v>
      </c>
      <c r="E22" s="436">
        <v>8</v>
      </c>
      <c r="F22" s="436">
        <v>8</v>
      </c>
      <c r="G22" s="436">
        <v>8</v>
      </c>
      <c r="H22" s="436">
        <v>7</v>
      </c>
      <c r="I22" s="436">
        <v>7</v>
      </c>
      <c r="J22" s="436">
        <v>7</v>
      </c>
      <c r="K22" s="436">
        <v>8</v>
      </c>
      <c r="L22" s="436">
        <v>8</v>
      </c>
      <c r="M22" s="436">
        <v>8</v>
      </c>
      <c r="N22" s="436">
        <v>8</v>
      </c>
      <c r="O22" s="436">
        <v>8</v>
      </c>
      <c r="P22" s="436">
        <v>8</v>
      </c>
      <c r="Q22" s="436">
        <v>8</v>
      </c>
      <c r="R22" s="436">
        <v>8</v>
      </c>
      <c r="S22" s="436">
        <v>8</v>
      </c>
      <c r="T22" s="436">
        <v>8</v>
      </c>
      <c r="U22" s="436">
        <v>8</v>
      </c>
      <c r="V22" s="436">
        <v>8</v>
      </c>
      <c r="W22" s="436">
        <v>8</v>
      </c>
      <c r="X22" s="436">
        <v>8</v>
      </c>
      <c r="Y22" s="436">
        <v>8</v>
      </c>
      <c r="Z22" s="11">
        <f t="shared" si="26"/>
        <v>0</v>
      </c>
      <c r="AA22" s="11">
        <f t="shared" si="25"/>
        <v>0</v>
      </c>
      <c r="AB22" s="11">
        <f t="shared" si="0"/>
        <v>0</v>
      </c>
      <c r="AC22" s="11">
        <f t="shared" si="1"/>
        <v>0</v>
      </c>
      <c r="AD22" s="11">
        <f t="shared" si="2"/>
        <v>0</v>
      </c>
      <c r="AE22" s="11">
        <f t="shared" si="3"/>
        <v>0</v>
      </c>
      <c r="AF22" s="11">
        <f t="shared" si="4"/>
        <v>-1</v>
      </c>
      <c r="AG22" s="11">
        <f t="shared" si="5"/>
        <v>0</v>
      </c>
      <c r="AH22" s="11">
        <f t="shared" si="6"/>
        <v>0</v>
      </c>
      <c r="AI22" s="11">
        <f t="shared" si="7"/>
        <v>1</v>
      </c>
      <c r="AJ22" s="11">
        <f t="shared" si="8"/>
        <v>0</v>
      </c>
      <c r="AK22" s="11">
        <f t="shared" si="9"/>
        <v>0</v>
      </c>
      <c r="AL22" s="11">
        <f t="shared" si="10"/>
        <v>0</v>
      </c>
      <c r="AM22" s="11">
        <f t="shared" si="11"/>
        <v>0</v>
      </c>
      <c r="AN22" s="11">
        <f t="shared" si="12"/>
        <v>0</v>
      </c>
      <c r="AO22" s="11">
        <f t="shared" si="13"/>
        <v>0</v>
      </c>
      <c r="AP22" s="11">
        <f t="shared" si="14"/>
        <v>0</v>
      </c>
      <c r="AQ22" s="11">
        <f t="shared" si="15"/>
        <v>0</v>
      </c>
      <c r="AR22" s="11">
        <f t="shared" si="16"/>
        <v>0</v>
      </c>
      <c r="AS22" s="11">
        <f t="shared" si="17"/>
        <v>0</v>
      </c>
      <c r="AT22" s="11">
        <f t="shared" si="18"/>
        <v>0</v>
      </c>
      <c r="AU22" s="11">
        <f t="shared" si="19"/>
        <v>0</v>
      </c>
      <c r="AV22" s="11">
        <f t="shared" si="20"/>
        <v>0</v>
      </c>
      <c r="AW22" s="11">
        <f t="shared" si="21"/>
        <v>0</v>
      </c>
      <c r="AX22" s="11">
        <f t="shared" si="23"/>
        <v>1</v>
      </c>
      <c r="AY22" s="11">
        <f t="shared" si="22"/>
        <v>1</v>
      </c>
    </row>
    <row r="23" spans="1:51" s="12" customFormat="1">
      <c r="A23" s="15">
        <v>44948</v>
      </c>
      <c r="B23" s="436">
        <v>8</v>
      </c>
      <c r="C23" s="436">
        <v>8</v>
      </c>
      <c r="D23" s="436">
        <v>8</v>
      </c>
      <c r="E23" s="436">
        <v>8</v>
      </c>
      <c r="F23" s="436">
        <v>8</v>
      </c>
      <c r="G23" s="436">
        <v>8</v>
      </c>
      <c r="H23" s="436">
        <v>7</v>
      </c>
      <c r="I23" s="436">
        <v>7</v>
      </c>
      <c r="J23" s="436">
        <v>7</v>
      </c>
      <c r="K23" s="436">
        <v>7</v>
      </c>
      <c r="L23" s="436">
        <v>7</v>
      </c>
      <c r="M23" s="436">
        <v>8</v>
      </c>
      <c r="N23" s="436">
        <v>8</v>
      </c>
      <c r="O23" s="436">
        <v>8</v>
      </c>
      <c r="P23" s="436">
        <v>8</v>
      </c>
      <c r="Q23" s="436">
        <v>8</v>
      </c>
      <c r="R23" s="436">
        <v>8</v>
      </c>
      <c r="S23" s="436">
        <v>8</v>
      </c>
      <c r="T23" s="436">
        <v>8</v>
      </c>
      <c r="U23" s="436">
        <v>8</v>
      </c>
      <c r="V23" s="436">
        <v>8</v>
      </c>
      <c r="W23" s="436">
        <v>8</v>
      </c>
      <c r="X23" s="436">
        <v>8</v>
      </c>
      <c r="Y23" s="436">
        <v>8</v>
      </c>
      <c r="Z23" s="11">
        <f t="shared" si="26"/>
        <v>0</v>
      </c>
      <c r="AA23" s="11">
        <f t="shared" si="25"/>
        <v>0</v>
      </c>
      <c r="AB23" s="11">
        <f t="shared" si="0"/>
        <v>0</v>
      </c>
      <c r="AC23" s="11">
        <f t="shared" si="1"/>
        <v>0</v>
      </c>
      <c r="AD23" s="11">
        <f t="shared" si="2"/>
        <v>0</v>
      </c>
      <c r="AE23" s="11">
        <f t="shared" si="3"/>
        <v>0</v>
      </c>
      <c r="AF23" s="11">
        <f t="shared" si="4"/>
        <v>-1</v>
      </c>
      <c r="AG23" s="11">
        <f t="shared" si="5"/>
        <v>0</v>
      </c>
      <c r="AH23" s="11">
        <f t="shared" si="6"/>
        <v>0</v>
      </c>
      <c r="AI23" s="11">
        <f t="shared" si="7"/>
        <v>0</v>
      </c>
      <c r="AJ23" s="11">
        <f t="shared" si="8"/>
        <v>0</v>
      </c>
      <c r="AK23" s="11">
        <f t="shared" si="9"/>
        <v>1</v>
      </c>
      <c r="AL23" s="11">
        <f t="shared" si="10"/>
        <v>0</v>
      </c>
      <c r="AM23" s="11">
        <f t="shared" si="11"/>
        <v>0</v>
      </c>
      <c r="AN23" s="11">
        <f t="shared" si="12"/>
        <v>0</v>
      </c>
      <c r="AO23" s="11">
        <f t="shared" si="13"/>
        <v>0</v>
      </c>
      <c r="AP23" s="11">
        <f t="shared" si="14"/>
        <v>0</v>
      </c>
      <c r="AQ23" s="11">
        <f t="shared" si="15"/>
        <v>0</v>
      </c>
      <c r="AR23" s="11">
        <f t="shared" si="16"/>
        <v>0</v>
      </c>
      <c r="AS23" s="11">
        <f t="shared" si="17"/>
        <v>0</v>
      </c>
      <c r="AT23" s="11">
        <f t="shared" si="18"/>
        <v>0</v>
      </c>
      <c r="AU23" s="11">
        <f t="shared" si="19"/>
        <v>0</v>
      </c>
      <c r="AV23" s="11">
        <f t="shared" si="20"/>
        <v>0</v>
      </c>
      <c r="AW23" s="11">
        <f t="shared" si="21"/>
        <v>0</v>
      </c>
      <c r="AX23" s="11">
        <f t="shared" si="23"/>
        <v>1</v>
      </c>
      <c r="AY23" s="11">
        <f t="shared" si="22"/>
        <v>1</v>
      </c>
    </row>
    <row r="24" spans="1:51" s="12" customFormat="1">
      <c r="A24" s="15">
        <v>44949</v>
      </c>
      <c r="B24" s="436">
        <v>8</v>
      </c>
      <c r="C24" s="436">
        <v>8</v>
      </c>
      <c r="D24" s="436">
        <v>7</v>
      </c>
      <c r="E24" s="436">
        <v>7</v>
      </c>
      <c r="F24" s="436">
        <v>7</v>
      </c>
      <c r="G24" s="436">
        <v>7</v>
      </c>
      <c r="H24" s="436">
        <v>7</v>
      </c>
      <c r="I24" s="436">
        <v>7</v>
      </c>
      <c r="J24" s="436">
        <v>7</v>
      </c>
      <c r="K24" s="436">
        <v>7</v>
      </c>
      <c r="L24" s="436">
        <v>8</v>
      </c>
      <c r="M24" s="436">
        <v>8</v>
      </c>
      <c r="N24" s="436">
        <v>8</v>
      </c>
      <c r="O24" s="436">
        <v>8</v>
      </c>
      <c r="P24" s="436">
        <v>8</v>
      </c>
      <c r="Q24" s="436">
        <v>8</v>
      </c>
      <c r="R24" s="436">
        <v>8</v>
      </c>
      <c r="S24" s="436">
        <v>8</v>
      </c>
      <c r="T24" s="436">
        <v>8</v>
      </c>
      <c r="U24" s="436">
        <v>8</v>
      </c>
      <c r="V24" s="436">
        <v>8</v>
      </c>
      <c r="W24" s="436">
        <v>8</v>
      </c>
      <c r="X24" s="436">
        <v>8</v>
      </c>
      <c r="Y24" s="436">
        <v>8</v>
      </c>
      <c r="Z24" s="11">
        <f t="shared" si="26"/>
        <v>0</v>
      </c>
      <c r="AA24" s="11">
        <f t="shared" si="25"/>
        <v>0</v>
      </c>
      <c r="AB24" s="11">
        <f t="shared" si="0"/>
        <v>-1</v>
      </c>
      <c r="AC24" s="11">
        <f t="shared" si="1"/>
        <v>0</v>
      </c>
      <c r="AD24" s="11">
        <f t="shared" si="2"/>
        <v>0</v>
      </c>
      <c r="AE24" s="11">
        <f t="shared" si="3"/>
        <v>0</v>
      </c>
      <c r="AF24" s="11">
        <f t="shared" si="4"/>
        <v>0</v>
      </c>
      <c r="AG24" s="11">
        <f t="shared" si="5"/>
        <v>0</v>
      </c>
      <c r="AH24" s="11">
        <f t="shared" si="6"/>
        <v>0</v>
      </c>
      <c r="AI24" s="11">
        <f t="shared" si="7"/>
        <v>0</v>
      </c>
      <c r="AJ24" s="11">
        <f t="shared" si="8"/>
        <v>1</v>
      </c>
      <c r="AK24" s="11">
        <f t="shared" si="9"/>
        <v>0</v>
      </c>
      <c r="AL24" s="11">
        <f t="shared" si="10"/>
        <v>0</v>
      </c>
      <c r="AM24" s="11">
        <f t="shared" si="11"/>
        <v>0</v>
      </c>
      <c r="AN24" s="11">
        <f t="shared" si="12"/>
        <v>0</v>
      </c>
      <c r="AO24" s="11">
        <f t="shared" si="13"/>
        <v>0</v>
      </c>
      <c r="AP24" s="11">
        <f t="shared" si="14"/>
        <v>0</v>
      </c>
      <c r="AQ24" s="11">
        <f t="shared" si="15"/>
        <v>0</v>
      </c>
      <c r="AR24" s="11">
        <f t="shared" si="16"/>
        <v>0</v>
      </c>
      <c r="AS24" s="11">
        <f t="shared" si="17"/>
        <v>0</v>
      </c>
      <c r="AT24" s="11">
        <f t="shared" si="18"/>
        <v>0</v>
      </c>
      <c r="AU24" s="11">
        <f t="shared" si="19"/>
        <v>0</v>
      </c>
      <c r="AV24" s="11">
        <f t="shared" si="20"/>
        <v>0</v>
      </c>
      <c r="AW24" s="11">
        <f t="shared" si="21"/>
        <v>0</v>
      </c>
      <c r="AX24" s="11">
        <f t="shared" si="23"/>
        <v>1</v>
      </c>
      <c r="AY24" s="11">
        <f t="shared" si="22"/>
        <v>1</v>
      </c>
    </row>
    <row r="25" spans="1:51" s="12" customFormat="1">
      <c r="A25" s="15">
        <v>44950</v>
      </c>
      <c r="B25" s="436">
        <v>8</v>
      </c>
      <c r="C25" s="436">
        <v>8</v>
      </c>
      <c r="D25" s="436">
        <v>8</v>
      </c>
      <c r="E25" s="436">
        <v>8</v>
      </c>
      <c r="F25" s="436">
        <v>7</v>
      </c>
      <c r="G25" s="436">
        <v>7</v>
      </c>
      <c r="H25" s="436">
        <v>7</v>
      </c>
      <c r="I25" s="436">
        <v>7</v>
      </c>
      <c r="J25" s="436">
        <v>7</v>
      </c>
      <c r="K25" s="436">
        <v>7</v>
      </c>
      <c r="L25" s="436">
        <v>8</v>
      </c>
      <c r="M25" s="436">
        <v>8</v>
      </c>
      <c r="N25" s="436">
        <v>8</v>
      </c>
      <c r="O25" s="436">
        <v>8</v>
      </c>
      <c r="P25" s="436">
        <v>8</v>
      </c>
      <c r="Q25" s="436">
        <v>8</v>
      </c>
      <c r="R25" s="436">
        <v>8</v>
      </c>
      <c r="S25" s="436">
        <v>8</v>
      </c>
      <c r="T25" s="436">
        <v>8</v>
      </c>
      <c r="U25" s="436">
        <v>8</v>
      </c>
      <c r="V25" s="436">
        <v>8</v>
      </c>
      <c r="W25" s="436">
        <v>8</v>
      </c>
      <c r="X25" s="436">
        <v>8</v>
      </c>
      <c r="Y25" s="436">
        <v>8</v>
      </c>
      <c r="Z25" s="11">
        <f t="shared" si="26"/>
        <v>0</v>
      </c>
      <c r="AA25" s="11">
        <f t="shared" si="25"/>
        <v>0</v>
      </c>
      <c r="AB25" s="11">
        <f t="shared" si="0"/>
        <v>0</v>
      </c>
      <c r="AC25" s="11">
        <f t="shared" si="1"/>
        <v>0</v>
      </c>
      <c r="AD25" s="11">
        <f t="shared" si="2"/>
        <v>-1</v>
      </c>
      <c r="AE25" s="11">
        <f t="shared" si="3"/>
        <v>0</v>
      </c>
      <c r="AF25" s="11">
        <f t="shared" si="4"/>
        <v>0</v>
      </c>
      <c r="AG25" s="11">
        <f t="shared" si="5"/>
        <v>0</v>
      </c>
      <c r="AH25" s="11">
        <f t="shared" si="6"/>
        <v>0</v>
      </c>
      <c r="AI25" s="11">
        <f t="shared" si="7"/>
        <v>0</v>
      </c>
      <c r="AJ25" s="11">
        <f t="shared" si="8"/>
        <v>1</v>
      </c>
      <c r="AK25" s="11">
        <f t="shared" si="9"/>
        <v>0</v>
      </c>
      <c r="AL25" s="11">
        <f t="shared" si="10"/>
        <v>0</v>
      </c>
      <c r="AM25" s="11">
        <f t="shared" si="11"/>
        <v>0</v>
      </c>
      <c r="AN25" s="11">
        <f t="shared" si="12"/>
        <v>0</v>
      </c>
      <c r="AO25" s="11">
        <f t="shared" si="13"/>
        <v>0</v>
      </c>
      <c r="AP25" s="11">
        <f t="shared" si="14"/>
        <v>0</v>
      </c>
      <c r="AQ25" s="11">
        <f t="shared" si="15"/>
        <v>0</v>
      </c>
      <c r="AR25" s="11">
        <f t="shared" si="16"/>
        <v>0</v>
      </c>
      <c r="AS25" s="11">
        <f t="shared" si="17"/>
        <v>0</v>
      </c>
      <c r="AT25" s="11">
        <f t="shared" si="18"/>
        <v>0</v>
      </c>
      <c r="AU25" s="11">
        <f t="shared" si="19"/>
        <v>0</v>
      </c>
      <c r="AV25" s="11">
        <f t="shared" si="20"/>
        <v>0</v>
      </c>
      <c r="AW25" s="11">
        <f t="shared" si="21"/>
        <v>0</v>
      </c>
      <c r="AX25" s="11">
        <f t="shared" si="23"/>
        <v>1</v>
      </c>
      <c r="AY25" s="11">
        <f t="shared" si="22"/>
        <v>1</v>
      </c>
    </row>
    <row r="26" spans="1:51" s="12" customFormat="1">
      <c r="A26" s="15">
        <v>44951</v>
      </c>
      <c r="B26" s="436">
        <v>9</v>
      </c>
      <c r="C26" s="436">
        <v>9</v>
      </c>
      <c r="D26" s="436">
        <v>9</v>
      </c>
      <c r="E26" s="436">
        <v>9</v>
      </c>
      <c r="F26" s="436">
        <v>9</v>
      </c>
      <c r="G26" s="436">
        <v>5</v>
      </c>
      <c r="H26" s="436">
        <v>0</v>
      </c>
      <c r="I26" s="436">
        <v>5</v>
      </c>
      <c r="J26" s="436">
        <v>8</v>
      </c>
      <c r="K26" s="436">
        <v>9</v>
      </c>
      <c r="L26" s="436">
        <v>9</v>
      </c>
      <c r="M26" s="436">
        <v>9</v>
      </c>
      <c r="N26" s="436">
        <v>9</v>
      </c>
      <c r="O26" s="436">
        <v>9</v>
      </c>
      <c r="P26" s="436">
        <v>9</v>
      </c>
      <c r="Q26" s="436">
        <v>9</v>
      </c>
      <c r="R26" s="436">
        <v>9</v>
      </c>
      <c r="S26" s="436">
        <v>9</v>
      </c>
      <c r="T26" s="436">
        <v>9</v>
      </c>
      <c r="U26" s="436">
        <v>9</v>
      </c>
      <c r="V26" s="436">
        <v>8</v>
      </c>
      <c r="W26" s="436">
        <v>9</v>
      </c>
      <c r="X26" s="436">
        <v>9</v>
      </c>
      <c r="Y26" s="436">
        <v>9</v>
      </c>
      <c r="Z26" s="11">
        <f t="shared" si="26"/>
        <v>1</v>
      </c>
      <c r="AA26" s="11">
        <f t="shared" si="25"/>
        <v>0</v>
      </c>
      <c r="AB26" s="11">
        <f t="shared" si="0"/>
        <v>0</v>
      </c>
      <c r="AC26" s="11">
        <f t="shared" si="1"/>
        <v>0</v>
      </c>
      <c r="AD26" s="11">
        <f t="shared" si="2"/>
        <v>0</v>
      </c>
      <c r="AE26" s="11">
        <f t="shared" si="3"/>
        <v>-4</v>
      </c>
      <c r="AF26" s="11">
        <f t="shared" si="4"/>
        <v>-5</v>
      </c>
      <c r="AG26" s="11">
        <f t="shared" si="5"/>
        <v>5</v>
      </c>
      <c r="AH26" s="11">
        <f t="shared" si="6"/>
        <v>3</v>
      </c>
      <c r="AI26" s="11">
        <f t="shared" si="7"/>
        <v>1</v>
      </c>
      <c r="AJ26" s="11">
        <f t="shared" si="8"/>
        <v>0</v>
      </c>
      <c r="AK26" s="11">
        <f t="shared" si="9"/>
        <v>0</v>
      </c>
      <c r="AL26" s="11">
        <f t="shared" si="10"/>
        <v>0</v>
      </c>
      <c r="AM26" s="11">
        <f t="shared" si="11"/>
        <v>0</v>
      </c>
      <c r="AN26" s="11">
        <f t="shared" si="12"/>
        <v>0</v>
      </c>
      <c r="AO26" s="11">
        <f t="shared" si="13"/>
        <v>0</v>
      </c>
      <c r="AP26" s="11">
        <f t="shared" si="14"/>
        <v>0</v>
      </c>
      <c r="AQ26" s="11">
        <f t="shared" si="15"/>
        <v>0</v>
      </c>
      <c r="AR26" s="11">
        <f t="shared" si="16"/>
        <v>0</v>
      </c>
      <c r="AS26" s="11">
        <f t="shared" si="17"/>
        <v>0</v>
      </c>
      <c r="AT26" s="11">
        <f t="shared" si="18"/>
        <v>-1</v>
      </c>
      <c r="AU26" s="11">
        <f t="shared" si="19"/>
        <v>1</v>
      </c>
      <c r="AV26" s="11">
        <f t="shared" si="20"/>
        <v>0</v>
      </c>
      <c r="AW26" s="11">
        <f t="shared" si="21"/>
        <v>0</v>
      </c>
      <c r="AX26" s="11">
        <f t="shared" si="23"/>
        <v>11</v>
      </c>
      <c r="AY26" s="11">
        <f t="shared" si="22"/>
        <v>10</v>
      </c>
    </row>
    <row r="27" spans="1:51" s="12" customFormat="1">
      <c r="A27" s="15">
        <v>44952</v>
      </c>
      <c r="B27" s="436">
        <v>9</v>
      </c>
      <c r="C27" s="436">
        <v>9</v>
      </c>
      <c r="D27" s="436">
        <v>9</v>
      </c>
      <c r="E27" s="436">
        <v>9</v>
      </c>
      <c r="F27" s="436">
        <v>8</v>
      </c>
      <c r="G27" s="436">
        <v>7</v>
      </c>
      <c r="H27" s="436">
        <v>7</v>
      </c>
      <c r="I27" s="436">
        <v>7</v>
      </c>
      <c r="J27" s="436">
        <v>7</v>
      </c>
      <c r="K27" s="436">
        <v>7</v>
      </c>
      <c r="L27" s="436">
        <v>7</v>
      </c>
      <c r="M27" s="436">
        <v>7</v>
      </c>
      <c r="N27" s="436">
        <v>9</v>
      </c>
      <c r="O27" s="436">
        <v>9</v>
      </c>
      <c r="P27" s="436">
        <v>9</v>
      </c>
      <c r="Q27" s="436">
        <v>8</v>
      </c>
      <c r="R27" s="436">
        <v>8</v>
      </c>
      <c r="S27" s="436">
        <v>9</v>
      </c>
      <c r="T27" s="436">
        <v>9</v>
      </c>
      <c r="U27" s="436">
        <v>9</v>
      </c>
      <c r="V27" s="436">
        <v>9</v>
      </c>
      <c r="W27" s="436">
        <v>9</v>
      </c>
      <c r="X27" s="436">
        <v>9</v>
      </c>
      <c r="Y27" s="436">
        <v>9</v>
      </c>
      <c r="Z27" s="11">
        <f t="shared" si="26"/>
        <v>0</v>
      </c>
      <c r="AA27" s="11">
        <f t="shared" si="25"/>
        <v>0</v>
      </c>
      <c r="AB27" s="11">
        <f t="shared" si="0"/>
        <v>0</v>
      </c>
      <c r="AC27" s="11">
        <f t="shared" si="1"/>
        <v>0</v>
      </c>
      <c r="AD27" s="11">
        <f t="shared" si="2"/>
        <v>-1</v>
      </c>
      <c r="AE27" s="11">
        <f t="shared" si="3"/>
        <v>-1</v>
      </c>
      <c r="AF27" s="11">
        <f t="shared" si="4"/>
        <v>0</v>
      </c>
      <c r="AG27" s="11">
        <f t="shared" si="5"/>
        <v>0</v>
      </c>
      <c r="AH27" s="11">
        <f t="shared" si="6"/>
        <v>0</v>
      </c>
      <c r="AI27" s="11">
        <f t="shared" si="7"/>
        <v>0</v>
      </c>
      <c r="AJ27" s="11">
        <f t="shared" si="8"/>
        <v>0</v>
      </c>
      <c r="AK27" s="11">
        <f t="shared" si="9"/>
        <v>0</v>
      </c>
      <c r="AL27" s="11">
        <f t="shared" si="10"/>
        <v>2</v>
      </c>
      <c r="AM27" s="11">
        <f t="shared" si="11"/>
        <v>0</v>
      </c>
      <c r="AN27" s="11">
        <f t="shared" si="12"/>
        <v>0</v>
      </c>
      <c r="AO27" s="11">
        <f t="shared" si="13"/>
        <v>-1</v>
      </c>
      <c r="AP27" s="11">
        <f t="shared" si="14"/>
        <v>0</v>
      </c>
      <c r="AQ27" s="11">
        <f t="shared" si="15"/>
        <v>1</v>
      </c>
      <c r="AR27" s="11">
        <f t="shared" si="16"/>
        <v>0</v>
      </c>
      <c r="AS27" s="11">
        <f t="shared" si="17"/>
        <v>0</v>
      </c>
      <c r="AT27" s="11">
        <f t="shared" si="18"/>
        <v>0</v>
      </c>
      <c r="AU27" s="11">
        <f t="shared" si="19"/>
        <v>0</v>
      </c>
      <c r="AV27" s="11">
        <f t="shared" si="20"/>
        <v>0</v>
      </c>
      <c r="AW27" s="11">
        <f t="shared" si="21"/>
        <v>0</v>
      </c>
      <c r="AX27" s="11">
        <f t="shared" si="23"/>
        <v>3</v>
      </c>
      <c r="AY27" s="11">
        <f t="shared" si="22"/>
        <v>3</v>
      </c>
    </row>
    <row r="28" spans="1:51" s="12" customFormat="1">
      <c r="A28" s="15">
        <v>44953</v>
      </c>
      <c r="B28" s="436">
        <v>9</v>
      </c>
      <c r="C28" s="436">
        <v>9</v>
      </c>
      <c r="D28" s="436">
        <v>9</v>
      </c>
      <c r="E28" s="436">
        <v>9</v>
      </c>
      <c r="F28" s="436">
        <v>9</v>
      </c>
      <c r="G28" s="436">
        <v>9</v>
      </c>
      <c r="H28" s="436">
        <v>7</v>
      </c>
      <c r="I28" s="436">
        <v>7</v>
      </c>
      <c r="J28" s="436">
        <v>7</v>
      </c>
      <c r="K28" s="436">
        <v>7</v>
      </c>
      <c r="L28" s="436">
        <v>7</v>
      </c>
      <c r="M28" s="436">
        <v>7</v>
      </c>
      <c r="N28" s="436">
        <v>7</v>
      </c>
      <c r="O28" s="436">
        <v>7</v>
      </c>
      <c r="P28" s="436">
        <v>8</v>
      </c>
      <c r="Q28" s="436">
        <v>8</v>
      </c>
      <c r="R28" s="436">
        <v>7</v>
      </c>
      <c r="S28" s="436">
        <v>9</v>
      </c>
      <c r="T28" s="436">
        <v>9</v>
      </c>
      <c r="U28" s="436">
        <v>9</v>
      </c>
      <c r="V28" s="436">
        <v>9</v>
      </c>
      <c r="W28" s="436">
        <v>9</v>
      </c>
      <c r="X28" s="436">
        <v>9</v>
      </c>
      <c r="Y28" s="436">
        <v>9</v>
      </c>
      <c r="Z28" s="11">
        <f t="shared" si="26"/>
        <v>0</v>
      </c>
      <c r="AA28" s="11">
        <f t="shared" si="25"/>
        <v>0</v>
      </c>
      <c r="AB28" s="11">
        <f t="shared" si="0"/>
        <v>0</v>
      </c>
      <c r="AC28" s="11">
        <f t="shared" si="1"/>
        <v>0</v>
      </c>
      <c r="AD28" s="11">
        <f t="shared" si="2"/>
        <v>0</v>
      </c>
      <c r="AE28" s="11">
        <f t="shared" si="3"/>
        <v>0</v>
      </c>
      <c r="AF28" s="11">
        <f t="shared" si="4"/>
        <v>-2</v>
      </c>
      <c r="AG28" s="11">
        <f t="shared" si="5"/>
        <v>0</v>
      </c>
      <c r="AH28" s="11">
        <f t="shared" si="6"/>
        <v>0</v>
      </c>
      <c r="AI28" s="11">
        <f t="shared" si="7"/>
        <v>0</v>
      </c>
      <c r="AJ28" s="11">
        <f t="shared" si="8"/>
        <v>0</v>
      </c>
      <c r="AK28" s="11">
        <f t="shared" si="9"/>
        <v>0</v>
      </c>
      <c r="AL28" s="11">
        <f t="shared" si="10"/>
        <v>0</v>
      </c>
      <c r="AM28" s="11">
        <f t="shared" si="11"/>
        <v>0</v>
      </c>
      <c r="AN28" s="11">
        <f t="shared" si="12"/>
        <v>1</v>
      </c>
      <c r="AO28" s="11">
        <f t="shared" si="13"/>
        <v>0</v>
      </c>
      <c r="AP28" s="11">
        <f t="shared" si="14"/>
        <v>-1</v>
      </c>
      <c r="AQ28" s="11">
        <f t="shared" si="15"/>
        <v>2</v>
      </c>
      <c r="AR28" s="11">
        <f t="shared" si="16"/>
        <v>0</v>
      </c>
      <c r="AS28" s="11">
        <f t="shared" si="17"/>
        <v>0</v>
      </c>
      <c r="AT28" s="11">
        <f t="shared" si="18"/>
        <v>0</v>
      </c>
      <c r="AU28" s="11">
        <f t="shared" si="19"/>
        <v>0</v>
      </c>
      <c r="AV28" s="11">
        <f t="shared" si="20"/>
        <v>0</v>
      </c>
      <c r="AW28" s="11">
        <f t="shared" si="21"/>
        <v>0</v>
      </c>
      <c r="AX28" s="11">
        <f t="shared" si="23"/>
        <v>3</v>
      </c>
      <c r="AY28" s="11">
        <f t="shared" si="22"/>
        <v>3</v>
      </c>
    </row>
    <row r="29" spans="1:51" s="12" customFormat="1">
      <c r="A29" s="15">
        <v>44954</v>
      </c>
      <c r="B29" s="436">
        <v>8</v>
      </c>
      <c r="C29" s="436">
        <v>8</v>
      </c>
      <c r="D29" s="436">
        <v>8</v>
      </c>
      <c r="E29" s="436">
        <v>8</v>
      </c>
      <c r="F29" s="436">
        <v>7</v>
      </c>
      <c r="G29" s="436">
        <v>7</v>
      </c>
      <c r="H29" s="436">
        <v>7</v>
      </c>
      <c r="I29" s="436">
        <v>8</v>
      </c>
      <c r="J29" s="436">
        <v>7</v>
      </c>
      <c r="K29" s="436">
        <v>7</v>
      </c>
      <c r="L29" s="436">
        <v>8</v>
      </c>
      <c r="M29" s="436">
        <v>8</v>
      </c>
      <c r="N29" s="436">
        <v>8</v>
      </c>
      <c r="O29" s="436">
        <v>8</v>
      </c>
      <c r="P29" s="436">
        <v>8</v>
      </c>
      <c r="Q29" s="436">
        <v>8</v>
      </c>
      <c r="R29" s="436">
        <v>8</v>
      </c>
      <c r="S29" s="436">
        <v>8</v>
      </c>
      <c r="T29" s="436">
        <v>8</v>
      </c>
      <c r="U29" s="436">
        <v>8</v>
      </c>
      <c r="V29" s="436">
        <v>8</v>
      </c>
      <c r="W29" s="436">
        <v>8</v>
      </c>
      <c r="X29" s="436">
        <v>8</v>
      </c>
      <c r="Y29" s="436">
        <v>8</v>
      </c>
      <c r="Z29" s="11">
        <f t="shared" si="26"/>
        <v>-1</v>
      </c>
      <c r="AA29" s="11">
        <f t="shared" si="25"/>
        <v>0</v>
      </c>
      <c r="AB29" s="11">
        <f t="shared" si="0"/>
        <v>0</v>
      </c>
      <c r="AC29" s="11">
        <f t="shared" si="1"/>
        <v>0</v>
      </c>
      <c r="AD29" s="11">
        <f t="shared" si="2"/>
        <v>-1</v>
      </c>
      <c r="AE29" s="11">
        <f t="shared" si="3"/>
        <v>0</v>
      </c>
      <c r="AF29" s="11">
        <f t="shared" si="4"/>
        <v>0</v>
      </c>
      <c r="AG29" s="11">
        <f t="shared" si="5"/>
        <v>1</v>
      </c>
      <c r="AH29" s="11">
        <f t="shared" si="6"/>
        <v>-1</v>
      </c>
      <c r="AI29" s="11">
        <f t="shared" si="7"/>
        <v>0</v>
      </c>
      <c r="AJ29" s="11">
        <f t="shared" si="8"/>
        <v>1</v>
      </c>
      <c r="AK29" s="11">
        <f t="shared" si="9"/>
        <v>0</v>
      </c>
      <c r="AL29" s="11">
        <f t="shared" si="10"/>
        <v>0</v>
      </c>
      <c r="AM29" s="11">
        <f t="shared" si="11"/>
        <v>0</v>
      </c>
      <c r="AN29" s="11">
        <f t="shared" si="12"/>
        <v>0</v>
      </c>
      <c r="AO29" s="11">
        <f t="shared" si="13"/>
        <v>0</v>
      </c>
      <c r="AP29" s="11">
        <f t="shared" si="14"/>
        <v>0</v>
      </c>
      <c r="AQ29" s="11">
        <f t="shared" si="15"/>
        <v>0</v>
      </c>
      <c r="AR29" s="11">
        <f t="shared" si="16"/>
        <v>0</v>
      </c>
      <c r="AS29" s="11">
        <f t="shared" si="17"/>
        <v>0</v>
      </c>
      <c r="AT29" s="11">
        <f t="shared" si="18"/>
        <v>0</v>
      </c>
      <c r="AU29" s="11">
        <f t="shared" si="19"/>
        <v>0</v>
      </c>
      <c r="AV29" s="11">
        <f t="shared" si="20"/>
        <v>0</v>
      </c>
      <c r="AW29" s="11">
        <f t="shared" si="21"/>
        <v>0</v>
      </c>
      <c r="AX29" s="11">
        <f t="shared" si="23"/>
        <v>2</v>
      </c>
      <c r="AY29" s="11">
        <f t="shared" si="22"/>
        <v>3</v>
      </c>
    </row>
    <row r="30" spans="1:51" s="12" customFormat="1">
      <c r="A30" s="15">
        <v>44955</v>
      </c>
      <c r="B30" s="436">
        <v>8</v>
      </c>
      <c r="C30" s="436">
        <v>8</v>
      </c>
      <c r="D30" s="436">
        <v>8</v>
      </c>
      <c r="E30" s="436">
        <v>8</v>
      </c>
      <c r="F30" s="436">
        <v>8</v>
      </c>
      <c r="G30" s="436">
        <v>2</v>
      </c>
      <c r="H30" s="436">
        <v>0</v>
      </c>
      <c r="I30" s="436">
        <v>0</v>
      </c>
      <c r="J30" s="436">
        <v>0</v>
      </c>
      <c r="K30" s="436">
        <v>2</v>
      </c>
      <c r="L30" s="436">
        <v>2</v>
      </c>
      <c r="M30" s="436">
        <v>6</v>
      </c>
      <c r="N30" s="436">
        <v>8</v>
      </c>
      <c r="O30" s="436">
        <v>8</v>
      </c>
      <c r="P30" s="436">
        <v>6</v>
      </c>
      <c r="Q30" s="436">
        <v>8</v>
      </c>
      <c r="R30" s="436">
        <v>8</v>
      </c>
      <c r="S30" s="436">
        <v>8</v>
      </c>
      <c r="T30" s="436">
        <v>8</v>
      </c>
      <c r="U30" s="436">
        <v>8</v>
      </c>
      <c r="V30" s="436">
        <v>8</v>
      </c>
      <c r="W30" s="436">
        <v>8</v>
      </c>
      <c r="X30" s="436">
        <v>8</v>
      </c>
      <c r="Y30" s="436">
        <v>8</v>
      </c>
      <c r="Z30" s="11">
        <f t="shared" si="26"/>
        <v>0</v>
      </c>
      <c r="AA30" s="11">
        <f t="shared" si="25"/>
        <v>0</v>
      </c>
      <c r="AB30" s="11">
        <f t="shared" si="0"/>
        <v>0</v>
      </c>
      <c r="AC30" s="11">
        <f t="shared" si="1"/>
        <v>0</v>
      </c>
      <c r="AD30" s="11">
        <f t="shared" si="2"/>
        <v>0</v>
      </c>
      <c r="AE30" s="11">
        <f t="shared" si="3"/>
        <v>-6</v>
      </c>
      <c r="AF30" s="11">
        <f t="shared" si="4"/>
        <v>-2</v>
      </c>
      <c r="AG30" s="11">
        <f t="shared" si="5"/>
        <v>0</v>
      </c>
      <c r="AH30" s="11">
        <f t="shared" si="6"/>
        <v>0</v>
      </c>
      <c r="AI30" s="11">
        <f t="shared" si="7"/>
        <v>2</v>
      </c>
      <c r="AJ30" s="11">
        <f t="shared" si="8"/>
        <v>0</v>
      </c>
      <c r="AK30" s="11">
        <f t="shared" si="9"/>
        <v>4</v>
      </c>
      <c r="AL30" s="11">
        <f t="shared" si="10"/>
        <v>2</v>
      </c>
      <c r="AM30" s="11">
        <f t="shared" si="11"/>
        <v>0</v>
      </c>
      <c r="AN30" s="11">
        <f t="shared" si="12"/>
        <v>-2</v>
      </c>
      <c r="AO30" s="11">
        <f t="shared" si="13"/>
        <v>2</v>
      </c>
      <c r="AP30" s="11">
        <f t="shared" si="14"/>
        <v>0</v>
      </c>
      <c r="AQ30" s="11">
        <f t="shared" si="15"/>
        <v>0</v>
      </c>
      <c r="AR30" s="11">
        <f t="shared" si="16"/>
        <v>0</v>
      </c>
      <c r="AS30" s="11">
        <f t="shared" si="17"/>
        <v>0</v>
      </c>
      <c r="AT30" s="11">
        <f t="shared" si="18"/>
        <v>0</v>
      </c>
      <c r="AU30" s="11">
        <f t="shared" si="19"/>
        <v>0</v>
      </c>
      <c r="AV30" s="11">
        <f t="shared" si="20"/>
        <v>0</v>
      </c>
      <c r="AW30" s="11">
        <f t="shared" si="21"/>
        <v>0</v>
      </c>
      <c r="AX30" s="11">
        <f t="shared" si="23"/>
        <v>10</v>
      </c>
      <c r="AY30" s="11">
        <f t="shared" si="22"/>
        <v>10</v>
      </c>
    </row>
    <row r="31" spans="1:51" s="12" customFormat="1">
      <c r="A31" s="15">
        <v>44956</v>
      </c>
      <c r="B31" s="436">
        <v>9</v>
      </c>
      <c r="C31" s="436">
        <v>9</v>
      </c>
      <c r="D31" s="436">
        <v>9</v>
      </c>
      <c r="E31" s="436">
        <v>9</v>
      </c>
      <c r="F31" s="436">
        <v>4</v>
      </c>
      <c r="G31" s="436">
        <v>3</v>
      </c>
      <c r="H31" s="436">
        <v>2</v>
      </c>
      <c r="I31" s="436">
        <v>2</v>
      </c>
      <c r="J31" s="436">
        <v>7</v>
      </c>
      <c r="K31" s="436">
        <v>8</v>
      </c>
      <c r="L31" s="436">
        <v>9</v>
      </c>
      <c r="M31" s="436">
        <v>9</v>
      </c>
      <c r="N31" s="436">
        <v>9</v>
      </c>
      <c r="O31" s="436">
        <v>9</v>
      </c>
      <c r="P31" s="436">
        <v>9</v>
      </c>
      <c r="Q31" s="436">
        <v>9</v>
      </c>
      <c r="R31" s="436">
        <v>9</v>
      </c>
      <c r="S31" s="436">
        <v>9</v>
      </c>
      <c r="T31" s="436">
        <v>9</v>
      </c>
      <c r="U31" s="436">
        <v>9</v>
      </c>
      <c r="V31" s="436">
        <v>9</v>
      </c>
      <c r="W31" s="436">
        <v>9</v>
      </c>
      <c r="X31" s="436">
        <v>9</v>
      </c>
      <c r="Y31" s="436">
        <v>9</v>
      </c>
      <c r="Z31" s="11">
        <f t="shared" si="26"/>
        <v>1</v>
      </c>
      <c r="AA31" s="11">
        <f t="shared" si="25"/>
        <v>0</v>
      </c>
      <c r="AB31" s="11">
        <f t="shared" si="0"/>
        <v>0</v>
      </c>
      <c r="AC31" s="11">
        <f t="shared" si="1"/>
        <v>0</v>
      </c>
      <c r="AD31" s="11">
        <f t="shared" si="2"/>
        <v>-5</v>
      </c>
      <c r="AE31" s="11">
        <f t="shared" si="3"/>
        <v>-1</v>
      </c>
      <c r="AF31" s="11">
        <f t="shared" si="4"/>
        <v>-1</v>
      </c>
      <c r="AG31" s="11">
        <f t="shared" si="5"/>
        <v>0</v>
      </c>
      <c r="AH31" s="11">
        <f t="shared" si="6"/>
        <v>5</v>
      </c>
      <c r="AI31" s="11">
        <f t="shared" si="7"/>
        <v>1</v>
      </c>
      <c r="AJ31" s="11">
        <f t="shared" si="8"/>
        <v>1</v>
      </c>
      <c r="AK31" s="11">
        <f t="shared" si="9"/>
        <v>0</v>
      </c>
      <c r="AL31" s="11">
        <f t="shared" si="10"/>
        <v>0</v>
      </c>
      <c r="AM31" s="11">
        <f t="shared" si="11"/>
        <v>0</v>
      </c>
      <c r="AN31" s="11">
        <f t="shared" si="12"/>
        <v>0</v>
      </c>
      <c r="AO31" s="11">
        <f t="shared" si="13"/>
        <v>0</v>
      </c>
      <c r="AP31" s="11">
        <f t="shared" si="14"/>
        <v>0</v>
      </c>
      <c r="AQ31" s="11">
        <f t="shared" si="15"/>
        <v>0</v>
      </c>
      <c r="AR31" s="11">
        <f t="shared" si="16"/>
        <v>0</v>
      </c>
      <c r="AS31" s="11">
        <f t="shared" si="17"/>
        <v>0</v>
      </c>
      <c r="AT31" s="11">
        <f t="shared" si="18"/>
        <v>0</v>
      </c>
      <c r="AU31" s="11">
        <f t="shared" si="19"/>
        <v>0</v>
      </c>
      <c r="AV31" s="11">
        <f t="shared" si="20"/>
        <v>0</v>
      </c>
      <c r="AW31" s="11">
        <f t="shared" si="21"/>
        <v>0</v>
      </c>
      <c r="AX31" s="11">
        <f t="shared" si="23"/>
        <v>8</v>
      </c>
      <c r="AY31" s="11">
        <f t="shared" si="22"/>
        <v>7</v>
      </c>
    </row>
    <row r="32" spans="1:51" s="12" customFormat="1">
      <c r="A32" s="15">
        <v>44957</v>
      </c>
      <c r="B32" s="436">
        <v>9</v>
      </c>
      <c r="C32" s="436">
        <v>9</v>
      </c>
      <c r="D32" s="436">
        <v>9</v>
      </c>
      <c r="E32" s="436">
        <v>9</v>
      </c>
      <c r="F32" s="436">
        <v>9</v>
      </c>
      <c r="G32" s="436">
        <v>9</v>
      </c>
      <c r="H32" s="436">
        <v>9</v>
      </c>
      <c r="I32" s="436">
        <v>9</v>
      </c>
      <c r="J32" s="436">
        <v>6</v>
      </c>
      <c r="K32" s="436">
        <v>9</v>
      </c>
      <c r="L32" s="436">
        <v>9</v>
      </c>
      <c r="M32" s="436">
        <v>9</v>
      </c>
      <c r="N32" s="436">
        <v>9</v>
      </c>
      <c r="O32" s="436">
        <v>9</v>
      </c>
      <c r="P32" s="436">
        <v>9</v>
      </c>
      <c r="Q32" s="436">
        <v>9</v>
      </c>
      <c r="R32" s="436">
        <v>9</v>
      </c>
      <c r="S32" s="436">
        <v>9</v>
      </c>
      <c r="T32" s="436">
        <v>9</v>
      </c>
      <c r="U32" s="436">
        <v>8</v>
      </c>
      <c r="V32" s="436">
        <v>9</v>
      </c>
      <c r="W32" s="436">
        <v>9</v>
      </c>
      <c r="X32" s="436">
        <v>9</v>
      </c>
      <c r="Y32" s="436">
        <v>8</v>
      </c>
      <c r="Z32" s="11">
        <f t="shared" si="26"/>
        <v>0</v>
      </c>
      <c r="AA32" s="11">
        <f>C32-B32</f>
        <v>0</v>
      </c>
      <c r="AB32" s="11">
        <f t="shared" si="0"/>
        <v>0</v>
      </c>
      <c r="AC32" s="11">
        <f t="shared" si="1"/>
        <v>0</v>
      </c>
      <c r="AD32" s="11">
        <f t="shared" si="2"/>
        <v>0</v>
      </c>
      <c r="AE32" s="11">
        <f t="shared" si="3"/>
        <v>0</v>
      </c>
      <c r="AF32" s="11">
        <f t="shared" si="4"/>
        <v>0</v>
      </c>
      <c r="AG32" s="11">
        <f t="shared" si="5"/>
        <v>0</v>
      </c>
      <c r="AH32" s="11">
        <f t="shared" si="6"/>
        <v>-3</v>
      </c>
      <c r="AI32" s="11">
        <f t="shared" si="7"/>
        <v>3</v>
      </c>
      <c r="AJ32" s="11">
        <f t="shared" si="8"/>
        <v>0</v>
      </c>
      <c r="AK32" s="11">
        <f t="shared" si="9"/>
        <v>0</v>
      </c>
      <c r="AL32" s="11">
        <f t="shared" si="10"/>
        <v>0</v>
      </c>
      <c r="AM32" s="11">
        <f t="shared" si="11"/>
        <v>0</v>
      </c>
      <c r="AN32" s="11">
        <f t="shared" si="12"/>
        <v>0</v>
      </c>
      <c r="AO32" s="11">
        <f t="shared" si="13"/>
        <v>0</v>
      </c>
      <c r="AP32" s="11">
        <f t="shared" si="14"/>
        <v>0</v>
      </c>
      <c r="AQ32" s="11">
        <f t="shared" si="15"/>
        <v>0</v>
      </c>
      <c r="AR32" s="11">
        <f t="shared" si="16"/>
        <v>0</v>
      </c>
      <c r="AS32" s="11">
        <f t="shared" si="17"/>
        <v>-1</v>
      </c>
      <c r="AT32" s="11">
        <f t="shared" si="18"/>
        <v>1</v>
      </c>
      <c r="AU32" s="11">
        <f t="shared" si="19"/>
        <v>0</v>
      </c>
      <c r="AV32" s="11">
        <f t="shared" si="20"/>
        <v>0</v>
      </c>
      <c r="AW32" s="11">
        <f t="shared" si="21"/>
        <v>-1</v>
      </c>
      <c r="AX32" s="11">
        <f t="shared" si="23"/>
        <v>4</v>
      </c>
      <c r="AY32" s="11">
        <f t="shared" si="22"/>
        <v>5</v>
      </c>
    </row>
    <row r="33" spans="1:51" s="12" customFormat="1">
      <c r="A33" s="15">
        <v>44958</v>
      </c>
      <c r="B33" s="436">
        <v>9</v>
      </c>
      <c r="C33" s="436">
        <v>9</v>
      </c>
      <c r="D33" s="436">
        <v>9</v>
      </c>
      <c r="E33" s="436">
        <v>9</v>
      </c>
      <c r="F33" s="436">
        <v>9</v>
      </c>
      <c r="G33" s="436">
        <v>8</v>
      </c>
      <c r="H33" s="436">
        <v>8</v>
      </c>
      <c r="I33" s="436">
        <v>8</v>
      </c>
      <c r="J33" s="436">
        <v>8</v>
      </c>
      <c r="K33" s="436">
        <v>8</v>
      </c>
      <c r="L33" s="436">
        <v>8</v>
      </c>
      <c r="M33" s="436">
        <v>8</v>
      </c>
      <c r="N33" s="436">
        <v>8</v>
      </c>
      <c r="O33" s="436">
        <v>8</v>
      </c>
      <c r="P33" s="436">
        <v>8</v>
      </c>
      <c r="Q33" s="436">
        <v>8</v>
      </c>
      <c r="R33" s="436">
        <v>8</v>
      </c>
      <c r="S33" s="436">
        <v>8</v>
      </c>
      <c r="T33" s="436">
        <v>8</v>
      </c>
      <c r="U33" s="436">
        <v>8</v>
      </c>
      <c r="V33" s="436">
        <v>8</v>
      </c>
      <c r="W33" s="436">
        <v>8</v>
      </c>
      <c r="X33" s="436">
        <v>8</v>
      </c>
      <c r="Y33" s="436">
        <v>8</v>
      </c>
      <c r="Z33" s="11">
        <f>B33-Y32</f>
        <v>1</v>
      </c>
      <c r="AA33" s="11">
        <f>C33-B33</f>
        <v>0</v>
      </c>
      <c r="AB33" s="11">
        <f t="shared" si="0"/>
        <v>0</v>
      </c>
      <c r="AC33" s="11">
        <f t="shared" si="1"/>
        <v>0</v>
      </c>
      <c r="AD33" s="11">
        <f t="shared" si="2"/>
        <v>0</v>
      </c>
      <c r="AE33" s="11">
        <f t="shared" si="3"/>
        <v>-1</v>
      </c>
      <c r="AF33" s="11">
        <f t="shared" si="4"/>
        <v>0</v>
      </c>
      <c r="AG33" s="11">
        <f t="shared" si="5"/>
        <v>0</v>
      </c>
      <c r="AH33" s="11">
        <f t="shared" si="6"/>
        <v>0</v>
      </c>
      <c r="AI33" s="11">
        <f t="shared" si="7"/>
        <v>0</v>
      </c>
      <c r="AJ33" s="11">
        <f t="shared" si="8"/>
        <v>0</v>
      </c>
      <c r="AK33" s="11">
        <f t="shared" si="9"/>
        <v>0</v>
      </c>
      <c r="AL33" s="11">
        <f t="shared" si="10"/>
        <v>0</v>
      </c>
      <c r="AM33" s="11">
        <f t="shared" si="11"/>
        <v>0</v>
      </c>
      <c r="AN33" s="11">
        <f t="shared" si="12"/>
        <v>0</v>
      </c>
      <c r="AO33" s="11">
        <f t="shared" si="13"/>
        <v>0</v>
      </c>
      <c r="AP33" s="11">
        <f t="shared" si="14"/>
        <v>0</v>
      </c>
      <c r="AQ33" s="11">
        <f t="shared" si="15"/>
        <v>0</v>
      </c>
      <c r="AR33" s="11">
        <f t="shared" si="16"/>
        <v>0</v>
      </c>
      <c r="AS33" s="11">
        <f t="shared" si="17"/>
        <v>0</v>
      </c>
      <c r="AT33" s="11">
        <f t="shared" si="18"/>
        <v>0</v>
      </c>
      <c r="AU33" s="11">
        <f t="shared" si="19"/>
        <v>0</v>
      </c>
      <c r="AV33" s="11">
        <f t="shared" si="20"/>
        <v>0</v>
      </c>
      <c r="AW33" s="11">
        <f t="shared" si="21"/>
        <v>0</v>
      </c>
      <c r="AX33" s="11">
        <f t="shared" si="23"/>
        <v>1</v>
      </c>
      <c r="AY33" s="11">
        <f t="shared" si="22"/>
        <v>1</v>
      </c>
    </row>
    <row r="34" spans="1:51" s="12" customFormat="1">
      <c r="A34" s="15">
        <v>44959</v>
      </c>
      <c r="B34" s="436">
        <v>8</v>
      </c>
      <c r="C34" s="436">
        <v>8</v>
      </c>
      <c r="D34" s="436">
        <v>8</v>
      </c>
      <c r="E34" s="436">
        <v>7</v>
      </c>
      <c r="F34" s="436">
        <v>2</v>
      </c>
      <c r="G34" s="436">
        <v>2</v>
      </c>
      <c r="H34" s="436">
        <v>2</v>
      </c>
      <c r="I34" s="436">
        <v>5</v>
      </c>
      <c r="J34" s="436">
        <v>6</v>
      </c>
      <c r="K34" s="436">
        <v>8</v>
      </c>
      <c r="L34" s="436">
        <v>7</v>
      </c>
      <c r="M34" s="436">
        <v>7</v>
      </c>
      <c r="N34" s="436">
        <v>8</v>
      </c>
      <c r="O34" s="436">
        <v>8</v>
      </c>
      <c r="P34" s="436">
        <v>8</v>
      </c>
      <c r="Q34" s="436">
        <v>9</v>
      </c>
      <c r="R34" s="436">
        <v>9</v>
      </c>
      <c r="S34" s="436">
        <v>9</v>
      </c>
      <c r="T34" s="436">
        <v>9</v>
      </c>
      <c r="U34" s="436">
        <v>9</v>
      </c>
      <c r="V34" s="436">
        <v>9</v>
      </c>
      <c r="W34" s="436">
        <v>9</v>
      </c>
      <c r="X34" s="436">
        <v>9</v>
      </c>
      <c r="Y34" s="436">
        <v>9</v>
      </c>
      <c r="Z34" s="11">
        <f>B34-Y33</f>
        <v>0</v>
      </c>
      <c r="AA34" s="11">
        <f>C34-B34</f>
        <v>0</v>
      </c>
      <c r="AB34" s="11">
        <f t="shared" si="0"/>
        <v>0</v>
      </c>
      <c r="AC34" s="11">
        <f t="shared" si="1"/>
        <v>-1</v>
      </c>
      <c r="AD34" s="11">
        <f t="shared" si="2"/>
        <v>-5</v>
      </c>
      <c r="AE34" s="11">
        <f t="shared" si="3"/>
        <v>0</v>
      </c>
      <c r="AF34" s="11">
        <f t="shared" si="4"/>
        <v>0</v>
      </c>
      <c r="AG34" s="11">
        <f t="shared" si="5"/>
        <v>3</v>
      </c>
      <c r="AH34" s="11">
        <f t="shared" si="6"/>
        <v>1</v>
      </c>
      <c r="AI34" s="11">
        <f t="shared" si="7"/>
        <v>2</v>
      </c>
      <c r="AJ34" s="11">
        <f t="shared" si="8"/>
        <v>-1</v>
      </c>
      <c r="AK34" s="11">
        <f t="shared" si="9"/>
        <v>0</v>
      </c>
      <c r="AL34" s="11">
        <f t="shared" si="10"/>
        <v>1</v>
      </c>
      <c r="AM34" s="11">
        <f t="shared" si="11"/>
        <v>0</v>
      </c>
      <c r="AN34" s="11">
        <f t="shared" si="12"/>
        <v>0</v>
      </c>
      <c r="AO34" s="11">
        <f t="shared" si="13"/>
        <v>1</v>
      </c>
      <c r="AP34" s="11">
        <f t="shared" si="14"/>
        <v>0</v>
      </c>
      <c r="AQ34" s="11">
        <f t="shared" si="15"/>
        <v>0</v>
      </c>
      <c r="AR34" s="11">
        <f t="shared" si="16"/>
        <v>0</v>
      </c>
      <c r="AS34" s="11">
        <f t="shared" si="17"/>
        <v>0</v>
      </c>
      <c r="AT34" s="11">
        <f t="shared" si="18"/>
        <v>0</v>
      </c>
      <c r="AU34" s="11">
        <f t="shared" si="19"/>
        <v>0</v>
      </c>
      <c r="AV34" s="11">
        <f t="shared" si="20"/>
        <v>0</v>
      </c>
      <c r="AW34" s="11">
        <f t="shared" si="21"/>
        <v>0</v>
      </c>
      <c r="AX34" s="11">
        <f t="shared" si="23"/>
        <v>8</v>
      </c>
      <c r="AY34" s="11">
        <f t="shared" si="22"/>
        <v>7</v>
      </c>
    </row>
    <row r="35" spans="1:51" s="12" customFormat="1">
      <c r="A35" s="15">
        <v>44960</v>
      </c>
      <c r="B35" s="436">
        <v>9</v>
      </c>
      <c r="C35" s="436">
        <v>9</v>
      </c>
      <c r="D35" s="436">
        <v>9</v>
      </c>
      <c r="E35" s="436">
        <v>8</v>
      </c>
      <c r="F35" s="436">
        <v>3</v>
      </c>
      <c r="G35" s="436">
        <v>3</v>
      </c>
      <c r="H35" s="436">
        <v>2</v>
      </c>
      <c r="I35" s="436">
        <v>5</v>
      </c>
      <c r="J35" s="436">
        <v>7</v>
      </c>
      <c r="K35" s="436">
        <v>9</v>
      </c>
      <c r="L35" s="436">
        <v>9</v>
      </c>
      <c r="M35" s="436">
        <v>9</v>
      </c>
      <c r="N35" s="436">
        <v>9</v>
      </c>
      <c r="O35" s="436">
        <v>9</v>
      </c>
      <c r="P35" s="436">
        <v>9</v>
      </c>
      <c r="Q35" s="436">
        <v>9</v>
      </c>
      <c r="R35" s="436">
        <v>9</v>
      </c>
      <c r="S35" s="436">
        <v>9</v>
      </c>
      <c r="T35" s="436">
        <v>9</v>
      </c>
      <c r="U35" s="436">
        <v>9</v>
      </c>
      <c r="V35" s="436">
        <v>9</v>
      </c>
      <c r="W35" s="436">
        <v>9</v>
      </c>
      <c r="X35" s="436">
        <v>9</v>
      </c>
      <c r="Y35" s="436">
        <v>9</v>
      </c>
      <c r="Z35" s="11">
        <f>B35-Y34</f>
        <v>0</v>
      </c>
      <c r="AA35" s="11">
        <f>C35-B35</f>
        <v>0</v>
      </c>
      <c r="AB35" s="11">
        <f t="shared" si="0"/>
        <v>0</v>
      </c>
      <c r="AC35" s="11">
        <f t="shared" si="1"/>
        <v>-1</v>
      </c>
      <c r="AD35" s="11">
        <f t="shared" si="2"/>
        <v>-5</v>
      </c>
      <c r="AE35" s="11">
        <f t="shared" si="3"/>
        <v>0</v>
      </c>
      <c r="AF35" s="11">
        <f t="shared" si="4"/>
        <v>-1</v>
      </c>
      <c r="AG35" s="11">
        <f t="shared" si="5"/>
        <v>3</v>
      </c>
      <c r="AH35" s="11">
        <f t="shared" si="6"/>
        <v>2</v>
      </c>
      <c r="AI35" s="11">
        <f t="shared" si="7"/>
        <v>2</v>
      </c>
      <c r="AJ35" s="11">
        <f t="shared" si="8"/>
        <v>0</v>
      </c>
      <c r="AK35" s="11">
        <f t="shared" si="9"/>
        <v>0</v>
      </c>
      <c r="AL35" s="11">
        <f t="shared" si="10"/>
        <v>0</v>
      </c>
      <c r="AM35" s="11">
        <f t="shared" si="11"/>
        <v>0</v>
      </c>
      <c r="AN35" s="11">
        <f t="shared" si="12"/>
        <v>0</v>
      </c>
      <c r="AO35" s="11">
        <f t="shared" si="13"/>
        <v>0</v>
      </c>
      <c r="AP35" s="11">
        <f t="shared" si="14"/>
        <v>0</v>
      </c>
      <c r="AQ35" s="11">
        <f t="shared" si="15"/>
        <v>0</v>
      </c>
      <c r="AR35" s="11">
        <f t="shared" si="16"/>
        <v>0</v>
      </c>
      <c r="AS35" s="11">
        <f t="shared" si="17"/>
        <v>0</v>
      </c>
      <c r="AT35" s="11">
        <f t="shared" si="18"/>
        <v>0</v>
      </c>
      <c r="AU35" s="11">
        <f t="shared" si="19"/>
        <v>0</v>
      </c>
      <c r="AV35" s="11">
        <f t="shared" si="20"/>
        <v>0</v>
      </c>
      <c r="AW35" s="11">
        <f t="shared" si="21"/>
        <v>0</v>
      </c>
      <c r="AX35" s="11">
        <f t="shared" si="23"/>
        <v>7</v>
      </c>
      <c r="AY35" s="11">
        <f t="shared" si="22"/>
        <v>7</v>
      </c>
    </row>
    <row r="36" spans="1:51" s="12" customFormat="1">
      <c r="A36" s="15">
        <v>44961</v>
      </c>
      <c r="B36" s="436">
        <v>9</v>
      </c>
      <c r="C36" s="436">
        <v>9</v>
      </c>
      <c r="D36" s="436">
        <v>9</v>
      </c>
      <c r="E36" s="436">
        <v>7</v>
      </c>
      <c r="F36" s="436">
        <v>6</v>
      </c>
      <c r="G36" s="436">
        <v>3</v>
      </c>
      <c r="H36" s="436">
        <v>0</v>
      </c>
      <c r="I36" s="436">
        <v>2</v>
      </c>
      <c r="J36" s="436">
        <v>4</v>
      </c>
      <c r="K36" s="436">
        <v>6</v>
      </c>
      <c r="L36" s="436">
        <v>8</v>
      </c>
      <c r="M36" s="436">
        <v>8</v>
      </c>
      <c r="N36" s="436">
        <v>9</v>
      </c>
      <c r="O36" s="436">
        <v>9</v>
      </c>
      <c r="P36" s="436">
        <v>9</v>
      </c>
      <c r="Q36" s="436">
        <v>9</v>
      </c>
      <c r="R36" s="436">
        <v>9</v>
      </c>
      <c r="S36" s="436">
        <v>9</v>
      </c>
      <c r="T36" s="436">
        <v>9</v>
      </c>
      <c r="U36" s="436">
        <v>9</v>
      </c>
      <c r="V36" s="436">
        <v>9</v>
      </c>
      <c r="W36" s="436">
        <v>9</v>
      </c>
      <c r="X36" s="436">
        <v>9</v>
      </c>
      <c r="Y36" s="436">
        <v>9</v>
      </c>
      <c r="Z36" s="11">
        <f>B36-Y35</f>
        <v>0</v>
      </c>
      <c r="AA36" s="11">
        <f t="shared" ref="AA36:AA50" si="27">C36-B36</f>
        <v>0</v>
      </c>
      <c r="AB36" s="11">
        <f t="shared" si="0"/>
        <v>0</v>
      </c>
      <c r="AC36" s="11">
        <f t="shared" si="1"/>
        <v>-2</v>
      </c>
      <c r="AD36" s="11">
        <f t="shared" si="2"/>
        <v>-1</v>
      </c>
      <c r="AE36" s="11">
        <f t="shared" si="3"/>
        <v>-3</v>
      </c>
      <c r="AF36" s="11">
        <f t="shared" si="4"/>
        <v>-3</v>
      </c>
      <c r="AG36" s="11">
        <f t="shared" si="5"/>
        <v>2</v>
      </c>
      <c r="AH36" s="11">
        <f t="shared" si="6"/>
        <v>2</v>
      </c>
      <c r="AI36" s="11">
        <f t="shared" si="7"/>
        <v>2</v>
      </c>
      <c r="AJ36" s="11">
        <f t="shared" si="8"/>
        <v>2</v>
      </c>
      <c r="AK36" s="11">
        <f t="shared" si="9"/>
        <v>0</v>
      </c>
      <c r="AL36" s="11">
        <f t="shared" si="10"/>
        <v>1</v>
      </c>
      <c r="AM36" s="11">
        <f t="shared" si="11"/>
        <v>0</v>
      </c>
      <c r="AN36" s="11">
        <f t="shared" si="12"/>
        <v>0</v>
      </c>
      <c r="AO36" s="11">
        <f t="shared" si="13"/>
        <v>0</v>
      </c>
      <c r="AP36" s="11">
        <f t="shared" si="14"/>
        <v>0</v>
      </c>
      <c r="AQ36" s="11">
        <f t="shared" si="15"/>
        <v>0</v>
      </c>
      <c r="AR36" s="11">
        <f t="shared" si="16"/>
        <v>0</v>
      </c>
      <c r="AS36" s="11">
        <f t="shared" si="17"/>
        <v>0</v>
      </c>
      <c r="AT36" s="11">
        <f t="shared" si="18"/>
        <v>0</v>
      </c>
      <c r="AU36" s="11">
        <f t="shared" si="19"/>
        <v>0</v>
      </c>
      <c r="AV36" s="11">
        <f t="shared" si="20"/>
        <v>0</v>
      </c>
      <c r="AW36" s="11">
        <f t="shared" si="21"/>
        <v>0</v>
      </c>
      <c r="AX36" s="11">
        <f t="shared" si="23"/>
        <v>9</v>
      </c>
      <c r="AY36" s="11">
        <f t="shared" si="22"/>
        <v>9</v>
      </c>
    </row>
    <row r="37" spans="1:51" s="12" customFormat="1">
      <c r="A37" s="15">
        <v>44962</v>
      </c>
      <c r="B37" s="436">
        <v>9</v>
      </c>
      <c r="C37" s="436">
        <v>9</v>
      </c>
      <c r="D37" s="436">
        <v>7</v>
      </c>
      <c r="E37" s="436">
        <v>3</v>
      </c>
      <c r="F37" s="436">
        <v>0</v>
      </c>
      <c r="G37" s="436">
        <v>0</v>
      </c>
      <c r="H37" s="436">
        <v>0</v>
      </c>
      <c r="I37" s="436">
        <v>0</v>
      </c>
      <c r="J37" s="436">
        <v>0</v>
      </c>
      <c r="K37" s="436">
        <v>2</v>
      </c>
      <c r="L37" s="436">
        <v>2</v>
      </c>
      <c r="M37" s="436">
        <v>7</v>
      </c>
      <c r="N37" s="436">
        <v>9</v>
      </c>
      <c r="O37" s="436">
        <v>9</v>
      </c>
      <c r="P37" s="436">
        <v>9</v>
      </c>
      <c r="Q37" s="436">
        <v>9</v>
      </c>
      <c r="R37" s="436">
        <v>9</v>
      </c>
      <c r="S37" s="436">
        <v>9</v>
      </c>
      <c r="T37" s="436">
        <v>9</v>
      </c>
      <c r="U37" s="436">
        <v>9</v>
      </c>
      <c r="V37" s="436">
        <v>9</v>
      </c>
      <c r="W37" s="436">
        <v>9</v>
      </c>
      <c r="X37" s="436">
        <v>9</v>
      </c>
      <c r="Y37" s="436">
        <v>9</v>
      </c>
      <c r="Z37" s="11">
        <f t="shared" ref="Z37:Z50" si="28">B37-Y36</f>
        <v>0</v>
      </c>
      <c r="AA37" s="11">
        <f t="shared" si="27"/>
        <v>0</v>
      </c>
      <c r="AB37" s="11">
        <f t="shared" si="0"/>
        <v>-2</v>
      </c>
      <c r="AC37" s="11">
        <f t="shared" si="1"/>
        <v>-4</v>
      </c>
      <c r="AD37" s="11">
        <f t="shared" si="2"/>
        <v>-3</v>
      </c>
      <c r="AE37" s="11">
        <f t="shared" si="3"/>
        <v>0</v>
      </c>
      <c r="AF37" s="11">
        <f t="shared" si="4"/>
        <v>0</v>
      </c>
      <c r="AG37" s="11">
        <f t="shared" si="5"/>
        <v>0</v>
      </c>
      <c r="AH37" s="11">
        <f t="shared" si="6"/>
        <v>0</v>
      </c>
      <c r="AI37" s="11">
        <f t="shared" si="7"/>
        <v>2</v>
      </c>
      <c r="AJ37" s="11">
        <f t="shared" si="8"/>
        <v>0</v>
      </c>
      <c r="AK37" s="11">
        <f t="shared" si="9"/>
        <v>5</v>
      </c>
      <c r="AL37" s="11">
        <f t="shared" si="10"/>
        <v>2</v>
      </c>
      <c r="AM37" s="11">
        <f t="shared" si="11"/>
        <v>0</v>
      </c>
      <c r="AN37" s="11">
        <f t="shared" si="12"/>
        <v>0</v>
      </c>
      <c r="AO37" s="11">
        <f t="shared" si="13"/>
        <v>0</v>
      </c>
      <c r="AP37" s="11">
        <f t="shared" si="14"/>
        <v>0</v>
      </c>
      <c r="AQ37" s="11">
        <f t="shared" si="15"/>
        <v>0</v>
      </c>
      <c r="AR37" s="11">
        <f t="shared" si="16"/>
        <v>0</v>
      </c>
      <c r="AS37" s="11">
        <f t="shared" si="17"/>
        <v>0</v>
      </c>
      <c r="AT37" s="11">
        <f t="shared" si="18"/>
        <v>0</v>
      </c>
      <c r="AU37" s="11">
        <f t="shared" si="19"/>
        <v>0</v>
      </c>
      <c r="AV37" s="11">
        <f t="shared" si="20"/>
        <v>0</v>
      </c>
      <c r="AW37" s="11">
        <f t="shared" si="21"/>
        <v>0</v>
      </c>
      <c r="AX37" s="11">
        <f t="shared" si="23"/>
        <v>9</v>
      </c>
      <c r="AY37" s="11">
        <f t="shared" si="22"/>
        <v>9</v>
      </c>
    </row>
    <row r="38" spans="1:51" s="12" customFormat="1">
      <c r="A38" s="15">
        <v>44963</v>
      </c>
      <c r="B38" s="436">
        <v>9</v>
      </c>
      <c r="C38" s="436">
        <v>9</v>
      </c>
      <c r="D38" s="436">
        <v>7</v>
      </c>
      <c r="E38" s="436">
        <v>3</v>
      </c>
      <c r="F38" s="436">
        <v>3</v>
      </c>
      <c r="G38" s="436">
        <v>0</v>
      </c>
      <c r="H38" s="436">
        <v>2</v>
      </c>
      <c r="I38" s="436">
        <v>2</v>
      </c>
      <c r="J38" s="436">
        <v>7</v>
      </c>
      <c r="K38" s="436">
        <v>9</v>
      </c>
      <c r="L38" s="436">
        <v>9</v>
      </c>
      <c r="M38" s="436">
        <v>9</v>
      </c>
      <c r="N38" s="436">
        <v>9</v>
      </c>
      <c r="O38" s="436">
        <v>9</v>
      </c>
      <c r="P38" s="436">
        <v>9</v>
      </c>
      <c r="Q38" s="436">
        <v>9</v>
      </c>
      <c r="R38" s="436">
        <v>9</v>
      </c>
      <c r="S38" s="436">
        <v>9</v>
      </c>
      <c r="T38" s="436">
        <v>9</v>
      </c>
      <c r="U38" s="436">
        <v>9</v>
      </c>
      <c r="V38" s="436">
        <v>9</v>
      </c>
      <c r="W38" s="436">
        <v>9</v>
      </c>
      <c r="X38" s="436">
        <v>9</v>
      </c>
      <c r="Y38" s="436">
        <v>9</v>
      </c>
      <c r="Z38" s="11">
        <f t="shared" si="28"/>
        <v>0</v>
      </c>
      <c r="AA38" s="11">
        <f t="shared" si="27"/>
        <v>0</v>
      </c>
      <c r="AB38" s="11">
        <f t="shared" si="0"/>
        <v>-2</v>
      </c>
      <c r="AC38" s="11">
        <f t="shared" si="1"/>
        <v>-4</v>
      </c>
      <c r="AD38" s="11">
        <f t="shared" si="2"/>
        <v>0</v>
      </c>
      <c r="AE38" s="11">
        <f t="shared" si="3"/>
        <v>-3</v>
      </c>
      <c r="AF38" s="11">
        <f t="shared" si="4"/>
        <v>2</v>
      </c>
      <c r="AG38" s="11">
        <f t="shared" si="5"/>
        <v>0</v>
      </c>
      <c r="AH38" s="11">
        <f t="shared" si="6"/>
        <v>5</v>
      </c>
      <c r="AI38" s="11">
        <f t="shared" si="7"/>
        <v>2</v>
      </c>
      <c r="AJ38" s="11">
        <f t="shared" si="8"/>
        <v>0</v>
      </c>
      <c r="AK38" s="11">
        <f t="shared" si="9"/>
        <v>0</v>
      </c>
      <c r="AL38" s="11">
        <f t="shared" si="10"/>
        <v>0</v>
      </c>
      <c r="AM38" s="11">
        <f t="shared" si="11"/>
        <v>0</v>
      </c>
      <c r="AN38" s="11">
        <f t="shared" si="12"/>
        <v>0</v>
      </c>
      <c r="AO38" s="11">
        <f t="shared" si="13"/>
        <v>0</v>
      </c>
      <c r="AP38" s="11">
        <f t="shared" si="14"/>
        <v>0</v>
      </c>
      <c r="AQ38" s="11">
        <f t="shared" si="15"/>
        <v>0</v>
      </c>
      <c r="AR38" s="11">
        <f t="shared" si="16"/>
        <v>0</v>
      </c>
      <c r="AS38" s="11">
        <f t="shared" si="17"/>
        <v>0</v>
      </c>
      <c r="AT38" s="11">
        <f t="shared" si="18"/>
        <v>0</v>
      </c>
      <c r="AU38" s="11">
        <f t="shared" si="19"/>
        <v>0</v>
      </c>
      <c r="AV38" s="11">
        <f t="shared" si="20"/>
        <v>0</v>
      </c>
      <c r="AW38" s="11">
        <f t="shared" si="21"/>
        <v>0</v>
      </c>
      <c r="AX38" s="11">
        <f t="shared" si="23"/>
        <v>9</v>
      </c>
      <c r="AY38" s="11">
        <f t="shared" si="22"/>
        <v>9</v>
      </c>
    </row>
    <row r="39" spans="1:51" s="12" customFormat="1">
      <c r="A39" s="15">
        <v>44964</v>
      </c>
      <c r="B39" s="436">
        <v>9</v>
      </c>
      <c r="C39" s="436">
        <v>9</v>
      </c>
      <c r="D39" s="436">
        <v>9</v>
      </c>
      <c r="E39" s="436">
        <v>8</v>
      </c>
      <c r="F39" s="436">
        <v>8</v>
      </c>
      <c r="G39" s="436">
        <v>8</v>
      </c>
      <c r="H39" s="436">
        <v>8</v>
      </c>
      <c r="I39" s="436">
        <v>8</v>
      </c>
      <c r="J39" s="436">
        <v>8</v>
      </c>
      <c r="K39" s="436">
        <v>8</v>
      </c>
      <c r="L39" s="436">
        <v>9</v>
      </c>
      <c r="M39" s="436">
        <v>9</v>
      </c>
      <c r="N39" s="436">
        <v>9</v>
      </c>
      <c r="O39" s="436">
        <v>9</v>
      </c>
      <c r="P39" s="436">
        <v>9</v>
      </c>
      <c r="Q39" s="436">
        <v>9</v>
      </c>
      <c r="R39" s="436">
        <v>9</v>
      </c>
      <c r="S39" s="436">
        <v>9</v>
      </c>
      <c r="T39" s="436">
        <v>9</v>
      </c>
      <c r="U39" s="436">
        <v>9</v>
      </c>
      <c r="V39" s="436">
        <v>9</v>
      </c>
      <c r="W39" s="436">
        <v>9</v>
      </c>
      <c r="X39" s="436">
        <v>9</v>
      </c>
      <c r="Y39" s="436">
        <v>9</v>
      </c>
      <c r="Z39" s="11">
        <f t="shared" si="28"/>
        <v>0</v>
      </c>
      <c r="AA39" s="11">
        <f t="shared" si="27"/>
        <v>0</v>
      </c>
      <c r="AB39" s="11">
        <f t="shared" si="0"/>
        <v>0</v>
      </c>
      <c r="AC39" s="11">
        <f t="shared" si="1"/>
        <v>-1</v>
      </c>
      <c r="AD39" s="11">
        <f t="shared" si="2"/>
        <v>0</v>
      </c>
      <c r="AE39" s="11">
        <f t="shared" si="3"/>
        <v>0</v>
      </c>
      <c r="AF39" s="11">
        <f t="shared" si="4"/>
        <v>0</v>
      </c>
      <c r="AG39" s="11">
        <f t="shared" si="5"/>
        <v>0</v>
      </c>
      <c r="AH39" s="11">
        <f t="shared" si="6"/>
        <v>0</v>
      </c>
      <c r="AI39" s="11">
        <f t="shared" si="7"/>
        <v>0</v>
      </c>
      <c r="AJ39" s="11">
        <f t="shared" si="8"/>
        <v>1</v>
      </c>
      <c r="AK39" s="11">
        <f t="shared" si="9"/>
        <v>0</v>
      </c>
      <c r="AL39" s="11">
        <f t="shared" si="10"/>
        <v>0</v>
      </c>
      <c r="AM39" s="11">
        <f t="shared" si="11"/>
        <v>0</v>
      </c>
      <c r="AN39" s="11">
        <f t="shared" si="12"/>
        <v>0</v>
      </c>
      <c r="AO39" s="11">
        <f t="shared" si="13"/>
        <v>0</v>
      </c>
      <c r="AP39" s="11">
        <f t="shared" si="14"/>
        <v>0</v>
      </c>
      <c r="AQ39" s="11">
        <f t="shared" si="15"/>
        <v>0</v>
      </c>
      <c r="AR39" s="11">
        <f t="shared" si="16"/>
        <v>0</v>
      </c>
      <c r="AS39" s="11">
        <f t="shared" si="17"/>
        <v>0</v>
      </c>
      <c r="AT39" s="11">
        <f t="shared" si="18"/>
        <v>0</v>
      </c>
      <c r="AU39" s="11">
        <f t="shared" si="19"/>
        <v>0</v>
      </c>
      <c r="AV39" s="11">
        <f t="shared" si="20"/>
        <v>0</v>
      </c>
      <c r="AW39" s="11">
        <f t="shared" si="21"/>
        <v>0</v>
      </c>
      <c r="AX39" s="11">
        <f t="shared" si="23"/>
        <v>1</v>
      </c>
      <c r="AY39" s="11">
        <f t="shared" si="22"/>
        <v>1</v>
      </c>
    </row>
    <row r="40" spans="1:51" s="12" customFormat="1">
      <c r="A40" s="15">
        <v>44965</v>
      </c>
      <c r="B40" s="436">
        <v>9</v>
      </c>
      <c r="C40" s="436">
        <v>9</v>
      </c>
      <c r="D40" s="436">
        <v>9</v>
      </c>
      <c r="E40" s="436">
        <v>9</v>
      </c>
      <c r="F40" s="436">
        <v>8</v>
      </c>
      <c r="G40" s="436">
        <v>9</v>
      </c>
      <c r="H40" s="436">
        <v>8</v>
      </c>
      <c r="I40" s="436">
        <v>8</v>
      </c>
      <c r="J40" s="436">
        <v>8</v>
      </c>
      <c r="K40" s="436">
        <v>8</v>
      </c>
      <c r="L40" s="436">
        <v>9</v>
      </c>
      <c r="M40" s="436">
        <v>9</v>
      </c>
      <c r="N40" s="436">
        <v>9</v>
      </c>
      <c r="O40" s="436">
        <v>9</v>
      </c>
      <c r="P40" s="436">
        <v>9</v>
      </c>
      <c r="Q40" s="436">
        <v>9</v>
      </c>
      <c r="R40" s="436">
        <v>9</v>
      </c>
      <c r="S40" s="436">
        <v>9</v>
      </c>
      <c r="T40" s="436">
        <v>9</v>
      </c>
      <c r="U40" s="436">
        <v>9</v>
      </c>
      <c r="V40" s="436">
        <v>9</v>
      </c>
      <c r="W40" s="436">
        <v>9</v>
      </c>
      <c r="X40" s="436">
        <v>9</v>
      </c>
      <c r="Y40" s="436">
        <v>9</v>
      </c>
      <c r="Z40" s="11">
        <f t="shared" si="28"/>
        <v>0</v>
      </c>
      <c r="AA40" s="11">
        <f t="shared" si="27"/>
        <v>0</v>
      </c>
      <c r="AB40" s="11">
        <f t="shared" si="0"/>
        <v>0</v>
      </c>
      <c r="AC40" s="11">
        <f t="shared" si="1"/>
        <v>0</v>
      </c>
      <c r="AD40" s="11">
        <f t="shared" si="2"/>
        <v>-1</v>
      </c>
      <c r="AE40" s="11">
        <f t="shared" si="3"/>
        <v>1</v>
      </c>
      <c r="AF40" s="11">
        <f t="shared" si="4"/>
        <v>-1</v>
      </c>
      <c r="AG40" s="11">
        <f t="shared" si="5"/>
        <v>0</v>
      </c>
      <c r="AH40" s="11">
        <f t="shared" si="6"/>
        <v>0</v>
      </c>
      <c r="AI40" s="11">
        <f t="shared" si="7"/>
        <v>0</v>
      </c>
      <c r="AJ40" s="11">
        <f t="shared" si="8"/>
        <v>1</v>
      </c>
      <c r="AK40" s="11">
        <f t="shared" si="9"/>
        <v>0</v>
      </c>
      <c r="AL40" s="11">
        <f t="shared" si="10"/>
        <v>0</v>
      </c>
      <c r="AM40" s="11">
        <f t="shared" si="11"/>
        <v>0</v>
      </c>
      <c r="AN40" s="11">
        <f t="shared" si="12"/>
        <v>0</v>
      </c>
      <c r="AO40" s="11">
        <f t="shared" si="13"/>
        <v>0</v>
      </c>
      <c r="AP40" s="11">
        <f t="shared" si="14"/>
        <v>0</v>
      </c>
      <c r="AQ40" s="11">
        <f t="shared" si="15"/>
        <v>0</v>
      </c>
      <c r="AR40" s="11">
        <f t="shared" si="16"/>
        <v>0</v>
      </c>
      <c r="AS40" s="11">
        <f t="shared" si="17"/>
        <v>0</v>
      </c>
      <c r="AT40" s="11">
        <f t="shared" si="18"/>
        <v>0</v>
      </c>
      <c r="AU40" s="11">
        <f t="shared" si="19"/>
        <v>0</v>
      </c>
      <c r="AV40" s="11">
        <f t="shared" si="20"/>
        <v>0</v>
      </c>
      <c r="AW40" s="11">
        <f t="shared" si="21"/>
        <v>0</v>
      </c>
      <c r="AX40" s="11">
        <f t="shared" si="23"/>
        <v>2</v>
      </c>
      <c r="AY40" s="11">
        <f t="shared" si="22"/>
        <v>2</v>
      </c>
    </row>
    <row r="41" spans="1:51" s="12" customFormat="1">
      <c r="A41" s="15">
        <v>44966</v>
      </c>
      <c r="B41" s="436">
        <v>9</v>
      </c>
      <c r="C41" s="436">
        <v>9</v>
      </c>
      <c r="D41" s="436">
        <v>9</v>
      </c>
      <c r="E41" s="436">
        <v>9</v>
      </c>
      <c r="F41" s="436">
        <v>9</v>
      </c>
      <c r="G41" s="436">
        <v>8</v>
      </c>
      <c r="H41" s="436">
        <v>8</v>
      </c>
      <c r="I41" s="436">
        <v>8</v>
      </c>
      <c r="J41" s="436">
        <v>8</v>
      </c>
      <c r="K41" s="436">
        <v>9</v>
      </c>
      <c r="L41" s="436">
        <v>9</v>
      </c>
      <c r="M41" s="436">
        <v>9</v>
      </c>
      <c r="N41" s="436">
        <v>9</v>
      </c>
      <c r="O41" s="436">
        <v>9</v>
      </c>
      <c r="P41" s="436">
        <v>9</v>
      </c>
      <c r="Q41" s="436">
        <v>9</v>
      </c>
      <c r="R41" s="436">
        <v>9</v>
      </c>
      <c r="S41" s="436">
        <v>9</v>
      </c>
      <c r="T41" s="436">
        <v>9</v>
      </c>
      <c r="U41" s="436">
        <v>9</v>
      </c>
      <c r="V41" s="436">
        <v>9</v>
      </c>
      <c r="W41" s="436">
        <v>9</v>
      </c>
      <c r="X41" s="436">
        <v>9</v>
      </c>
      <c r="Y41" s="436">
        <v>9</v>
      </c>
      <c r="Z41" s="11">
        <f t="shared" si="28"/>
        <v>0</v>
      </c>
      <c r="AA41" s="11">
        <f t="shared" si="27"/>
        <v>0</v>
      </c>
      <c r="AB41" s="11">
        <f t="shared" si="0"/>
        <v>0</v>
      </c>
      <c r="AC41" s="11">
        <f t="shared" si="1"/>
        <v>0</v>
      </c>
      <c r="AD41" s="11">
        <f t="shared" si="2"/>
        <v>0</v>
      </c>
      <c r="AE41" s="11">
        <f t="shared" si="3"/>
        <v>-1</v>
      </c>
      <c r="AF41" s="11">
        <f t="shared" si="4"/>
        <v>0</v>
      </c>
      <c r="AG41" s="11">
        <f t="shared" si="5"/>
        <v>0</v>
      </c>
      <c r="AH41" s="11">
        <f t="shared" si="6"/>
        <v>0</v>
      </c>
      <c r="AI41" s="11">
        <f t="shared" si="7"/>
        <v>1</v>
      </c>
      <c r="AJ41" s="11">
        <f t="shared" si="8"/>
        <v>0</v>
      </c>
      <c r="AK41" s="11">
        <f t="shared" si="9"/>
        <v>0</v>
      </c>
      <c r="AL41" s="11">
        <f t="shared" si="10"/>
        <v>0</v>
      </c>
      <c r="AM41" s="11">
        <f t="shared" si="11"/>
        <v>0</v>
      </c>
      <c r="AN41" s="11">
        <f t="shared" si="12"/>
        <v>0</v>
      </c>
      <c r="AO41" s="11">
        <f t="shared" si="13"/>
        <v>0</v>
      </c>
      <c r="AP41" s="11">
        <f t="shared" si="14"/>
        <v>0</v>
      </c>
      <c r="AQ41" s="11">
        <f t="shared" si="15"/>
        <v>0</v>
      </c>
      <c r="AR41" s="11">
        <f t="shared" si="16"/>
        <v>0</v>
      </c>
      <c r="AS41" s="11">
        <f t="shared" si="17"/>
        <v>0</v>
      </c>
      <c r="AT41" s="11">
        <f t="shared" si="18"/>
        <v>0</v>
      </c>
      <c r="AU41" s="11">
        <f t="shared" si="19"/>
        <v>0</v>
      </c>
      <c r="AV41" s="11">
        <f t="shared" si="20"/>
        <v>0</v>
      </c>
      <c r="AW41" s="11">
        <f t="shared" si="21"/>
        <v>0</v>
      </c>
      <c r="AX41" s="11">
        <f t="shared" si="23"/>
        <v>1</v>
      </c>
      <c r="AY41" s="11">
        <f t="shared" si="22"/>
        <v>1</v>
      </c>
    </row>
    <row r="42" spans="1:51" s="12" customFormat="1">
      <c r="A42" s="15">
        <v>44967</v>
      </c>
      <c r="B42" s="436">
        <v>9</v>
      </c>
      <c r="C42" s="436">
        <v>9</v>
      </c>
      <c r="D42" s="436">
        <v>9</v>
      </c>
      <c r="E42" s="436">
        <v>9</v>
      </c>
      <c r="F42" s="436">
        <v>9</v>
      </c>
      <c r="G42" s="436">
        <v>8</v>
      </c>
      <c r="H42" s="436">
        <v>9</v>
      </c>
      <c r="I42" s="436">
        <v>8</v>
      </c>
      <c r="J42" s="436">
        <v>9</v>
      </c>
      <c r="K42" s="436">
        <v>9</v>
      </c>
      <c r="L42" s="436">
        <v>9</v>
      </c>
      <c r="M42" s="436">
        <v>9</v>
      </c>
      <c r="N42" s="436">
        <v>9</v>
      </c>
      <c r="O42" s="436">
        <v>9</v>
      </c>
      <c r="P42" s="436">
        <v>9</v>
      </c>
      <c r="Q42" s="436">
        <v>9</v>
      </c>
      <c r="R42" s="436">
        <v>9</v>
      </c>
      <c r="S42" s="436">
        <v>9</v>
      </c>
      <c r="T42" s="436">
        <v>9</v>
      </c>
      <c r="U42" s="436">
        <v>9</v>
      </c>
      <c r="V42" s="436">
        <v>9</v>
      </c>
      <c r="W42" s="436">
        <v>9</v>
      </c>
      <c r="X42" s="436">
        <v>9</v>
      </c>
      <c r="Y42" s="436">
        <v>9</v>
      </c>
      <c r="Z42" s="11">
        <f t="shared" si="28"/>
        <v>0</v>
      </c>
      <c r="AA42" s="11">
        <f t="shared" si="27"/>
        <v>0</v>
      </c>
      <c r="AB42" s="11">
        <f t="shared" si="0"/>
        <v>0</v>
      </c>
      <c r="AC42" s="11">
        <f t="shared" si="1"/>
        <v>0</v>
      </c>
      <c r="AD42" s="11">
        <f t="shared" si="2"/>
        <v>0</v>
      </c>
      <c r="AE42" s="11">
        <f t="shared" si="3"/>
        <v>-1</v>
      </c>
      <c r="AF42" s="11">
        <f t="shared" si="4"/>
        <v>1</v>
      </c>
      <c r="AG42" s="11">
        <f t="shared" si="5"/>
        <v>-1</v>
      </c>
      <c r="AH42" s="11">
        <f t="shared" si="6"/>
        <v>1</v>
      </c>
      <c r="AI42" s="11">
        <f t="shared" si="7"/>
        <v>0</v>
      </c>
      <c r="AJ42" s="11">
        <f t="shared" si="8"/>
        <v>0</v>
      </c>
      <c r="AK42" s="11">
        <f t="shared" si="9"/>
        <v>0</v>
      </c>
      <c r="AL42" s="11">
        <f t="shared" si="10"/>
        <v>0</v>
      </c>
      <c r="AM42" s="11">
        <f t="shared" si="11"/>
        <v>0</v>
      </c>
      <c r="AN42" s="11">
        <f t="shared" si="12"/>
        <v>0</v>
      </c>
      <c r="AO42" s="11">
        <f t="shared" si="13"/>
        <v>0</v>
      </c>
      <c r="AP42" s="11">
        <f t="shared" si="14"/>
        <v>0</v>
      </c>
      <c r="AQ42" s="11">
        <f t="shared" si="15"/>
        <v>0</v>
      </c>
      <c r="AR42" s="11">
        <f t="shared" si="16"/>
        <v>0</v>
      </c>
      <c r="AS42" s="11">
        <f t="shared" si="17"/>
        <v>0</v>
      </c>
      <c r="AT42" s="11">
        <f t="shared" si="18"/>
        <v>0</v>
      </c>
      <c r="AU42" s="11">
        <f t="shared" si="19"/>
        <v>0</v>
      </c>
      <c r="AV42" s="11">
        <f t="shared" si="20"/>
        <v>0</v>
      </c>
      <c r="AW42" s="11">
        <f t="shared" si="21"/>
        <v>0</v>
      </c>
      <c r="AX42" s="11">
        <f t="shared" si="23"/>
        <v>2</v>
      </c>
      <c r="AY42" s="11">
        <f t="shared" si="22"/>
        <v>2</v>
      </c>
    </row>
    <row r="43" spans="1:51" s="12" customFormat="1">
      <c r="A43" s="15">
        <v>44968</v>
      </c>
      <c r="B43" s="436">
        <v>9</v>
      </c>
      <c r="C43" s="436">
        <v>9</v>
      </c>
      <c r="D43" s="436">
        <v>9</v>
      </c>
      <c r="E43" s="436">
        <v>9</v>
      </c>
      <c r="F43" s="436">
        <v>8</v>
      </c>
      <c r="G43" s="436">
        <v>8</v>
      </c>
      <c r="H43" s="436">
        <v>8</v>
      </c>
      <c r="I43" s="436">
        <v>8</v>
      </c>
      <c r="J43" s="436">
        <v>8</v>
      </c>
      <c r="K43" s="436">
        <v>8</v>
      </c>
      <c r="L43" s="436">
        <v>9</v>
      </c>
      <c r="M43" s="436">
        <v>9</v>
      </c>
      <c r="N43" s="436">
        <v>9</v>
      </c>
      <c r="O43" s="436">
        <v>9</v>
      </c>
      <c r="P43" s="436">
        <v>9</v>
      </c>
      <c r="Q43" s="436">
        <v>9</v>
      </c>
      <c r="R43" s="436">
        <v>9</v>
      </c>
      <c r="S43" s="436">
        <v>9</v>
      </c>
      <c r="T43" s="436">
        <v>9</v>
      </c>
      <c r="U43" s="436">
        <v>9</v>
      </c>
      <c r="V43" s="436">
        <v>9</v>
      </c>
      <c r="W43" s="436">
        <v>9</v>
      </c>
      <c r="X43" s="436">
        <v>9</v>
      </c>
      <c r="Y43" s="436">
        <v>9</v>
      </c>
      <c r="Z43" s="11">
        <f t="shared" si="28"/>
        <v>0</v>
      </c>
      <c r="AA43" s="11">
        <f t="shared" si="27"/>
        <v>0</v>
      </c>
      <c r="AB43" s="11">
        <f t="shared" si="0"/>
        <v>0</v>
      </c>
      <c r="AC43" s="11">
        <f t="shared" si="1"/>
        <v>0</v>
      </c>
      <c r="AD43" s="11">
        <f t="shared" si="2"/>
        <v>-1</v>
      </c>
      <c r="AE43" s="11">
        <f t="shared" si="3"/>
        <v>0</v>
      </c>
      <c r="AF43" s="11">
        <f t="shared" si="4"/>
        <v>0</v>
      </c>
      <c r="AG43" s="11">
        <f t="shared" si="5"/>
        <v>0</v>
      </c>
      <c r="AH43" s="11">
        <f t="shared" si="6"/>
        <v>0</v>
      </c>
      <c r="AI43" s="11">
        <f t="shared" si="7"/>
        <v>0</v>
      </c>
      <c r="AJ43" s="11">
        <f t="shared" si="8"/>
        <v>1</v>
      </c>
      <c r="AK43" s="11">
        <f t="shared" si="9"/>
        <v>0</v>
      </c>
      <c r="AL43" s="11">
        <f t="shared" si="10"/>
        <v>0</v>
      </c>
      <c r="AM43" s="11">
        <f t="shared" si="11"/>
        <v>0</v>
      </c>
      <c r="AN43" s="11">
        <f t="shared" si="12"/>
        <v>0</v>
      </c>
      <c r="AO43" s="11">
        <f t="shared" si="13"/>
        <v>0</v>
      </c>
      <c r="AP43" s="11">
        <f t="shared" si="14"/>
        <v>0</v>
      </c>
      <c r="AQ43" s="11">
        <f t="shared" si="15"/>
        <v>0</v>
      </c>
      <c r="AR43" s="11">
        <f t="shared" si="16"/>
        <v>0</v>
      </c>
      <c r="AS43" s="11">
        <f t="shared" si="17"/>
        <v>0</v>
      </c>
      <c r="AT43" s="11">
        <f t="shared" si="18"/>
        <v>0</v>
      </c>
      <c r="AU43" s="11">
        <f t="shared" si="19"/>
        <v>0</v>
      </c>
      <c r="AV43" s="11">
        <f t="shared" si="20"/>
        <v>0</v>
      </c>
      <c r="AW43" s="11">
        <f t="shared" si="21"/>
        <v>0</v>
      </c>
      <c r="AX43" s="11">
        <f t="shared" si="23"/>
        <v>1</v>
      </c>
      <c r="AY43" s="11">
        <f t="shared" si="22"/>
        <v>1</v>
      </c>
    </row>
    <row r="44" spans="1:51" s="12" customFormat="1">
      <c r="A44" s="15">
        <v>44969</v>
      </c>
      <c r="B44" s="436">
        <v>9</v>
      </c>
      <c r="C44" s="436">
        <v>9</v>
      </c>
      <c r="D44" s="436">
        <v>9</v>
      </c>
      <c r="E44" s="436">
        <v>9</v>
      </c>
      <c r="F44" s="436">
        <v>9</v>
      </c>
      <c r="G44" s="436">
        <v>9</v>
      </c>
      <c r="H44" s="436">
        <v>8</v>
      </c>
      <c r="I44" s="436">
        <v>8</v>
      </c>
      <c r="J44" s="436">
        <v>8</v>
      </c>
      <c r="K44" s="436">
        <v>8</v>
      </c>
      <c r="L44" s="436">
        <v>9</v>
      </c>
      <c r="M44" s="436">
        <v>9</v>
      </c>
      <c r="N44" s="436">
        <v>9</v>
      </c>
      <c r="O44" s="436">
        <v>9</v>
      </c>
      <c r="P44" s="436">
        <v>9</v>
      </c>
      <c r="Q44" s="436">
        <v>9</v>
      </c>
      <c r="R44" s="436">
        <v>9</v>
      </c>
      <c r="S44" s="436">
        <v>9</v>
      </c>
      <c r="T44" s="436">
        <v>9</v>
      </c>
      <c r="U44" s="436">
        <v>9</v>
      </c>
      <c r="V44" s="436">
        <v>9</v>
      </c>
      <c r="W44" s="436">
        <v>9</v>
      </c>
      <c r="X44" s="436">
        <v>9</v>
      </c>
      <c r="Y44" s="436">
        <v>9</v>
      </c>
      <c r="Z44" s="11">
        <f t="shared" si="28"/>
        <v>0</v>
      </c>
      <c r="AA44" s="11">
        <f t="shared" si="27"/>
        <v>0</v>
      </c>
      <c r="AB44" s="11">
        <f t="shared" si="0"/>
        <v>0</v>
      </c>
      <c r="AC44" s="11">
        <f t="shared" si="1"/>
        <v>0</v>
      </c>
      <c r="AD44" s="11">
        <f t="shared" si="2"/>
        <v>0</v>
      </c>
      <c r="AE44" s="11">
        <f t="shared" si="3"/>
        <v>0</v>
      </c>
      <c r="AF44" s="11">
        <f t="shared" si="4"/>
        <v>-1</v>
      </c>
      <c r="AG44" s="11">
        <f t="shared" si="5"/>
        <v>0</v>
      </c>
      <c r="AH44" s="11">
        <f t="shared" si="6"/>
        <v>0</v>
      </c>
      <c r="AI44" s="11">
        <f t="shared" si="7"/>
        <v>0</v>
      </c>
      <c r="AJ44" s="11">
        <f t="shared" si="8"/>
        <v>1</v>
      </c>
      <c r="AK44" s="11">
        <f t="shared" si="9"/>
        <v>0</v>
      </c>
      <c r="AL44" s="11">
        <f t="shared" si="10"/>
        <v>0</v>
      </c>
      <c r="AM44" s="11">
        <f t="shared" si="11"/>
        <v>0</v>
      </c>
      <c r="AN44" s="11">
        <f t="shared" si="12"/>
        <v>0</v>
      </c>
      <c r="AO44" s="11">
        <f t="shared" si="13"/>
        <v>0</v>
      </c>
      <c r="AP44" s="11">
        <f t="shared" si="14"/>
        <v>0</v>
      </c>
      <c r="AQ44" s="11">
        <f t="shared" si="15"/>
        <v>0</v>
      </c>
      <c r="AR44" s="11">
        <f t="shared" si="16"/>
        <v>0</v>
      </c>
      <c r="AS44" s="11">
        <f t="shared" si="17"/>
        <v>0</v>
      </c>
      <c r="AT44" s="11">
        <f t="shared" si="18"/>
        <v>0</v>
      </c>
      <c r="AU44" s="11">
        <f t="shared" si="19"/>
        <v>0</v>
      </c>
      <c r="AV44" s="11">
        <f t="shared" si="20"/>
        <v>0</v>
      </c>
      <c r="AW44" s="11">
        <f t="shared" si="21"/>
        <v>0</v>
      </c>
      <c r="AX44" s="11">
        <f t="shared" si="23"/>
        <v>1</v>
      </c>
      <c r="AY44" s="11">
        <f t="shared" si="22"/>
        <v>1</v>
      </c>
    </row>
    <row r="45" spans="1:51" s="12" customFormat="1">
      <c r="A45" s="15">
        <v>44970</v>
      </c>
      <c r="B45" s="436">
        <v>9</v>
      </c>
      <c r="C45" s="436">
        <v>9</v>
      </c>
      <c r="D45" s="436">
        <v>9</v>
      </c>
      <c r="E45" s="436">
        <v>9</v>
      </c>
      <c r="F45" s="436">
        <v>9</v>
      </c>
      <c r="G45" s="436">
        <v>8</v>
      </c>
      <c r="H45" s="436">
        <v>8</v>
      </c>
      <c r="I45" s="436">
        <v>8</v>
      </c>
      <c r="J45" s="436">
        <v>8</v>
      </c>
      <c r="K45" s="436">
        <v>9</v>
      </c>
      <c r="L45" s="436">
        <v>9</v>
      </c>
      <c r="M45" s="436">
        <v>9</v>
      </c>
      <c r="N45" s="436">
        <v>9</v>
      </c>
      <c r="O45" s="436">
        <v>9</v>
      </c>
      <c r="P45" s="436">
        <v>9</v>
      </c>
      <c r="Q45" s="436">
        <v>9</v>
      </c>
      <c r="R45" s="436">
        <v>9</v>
      </c>
      <c r="S45" s="436">
        <v>9</v>
      </c>
      <c r="T45" s="436">
        <v>9</v>
      </c>
      <c r="U45" s="436">
        <v>9</v>
      </c>
      <c r="V45" s="436">
        <v>9</v>
      </c>
      <c r="W45" s="436">
        <v>9</v>
      </c>
      <c r="X45" s="436">
        <v>9</v>
      </c>
      <c r="Y45" s="436">
        <v>9</v>
      </c>
      <c r="Z45" s="11">
        <f t="shared" si="28"/>
        <v>0</v>
      </c>
      <c r="AA45" s="11">
        <f t="shared" si="27"/>
        <v>0</v>
      </c>
      <c r="AB45" s="11">
        <f t="shared" si="0"/>
        <v>0</v>
      </c>
      <c r="AC45" s="11">
        <f t="shared" si="1"/>
        <v>0</v>
      </c>
      <c r="AD45" s="11">
        <f t="shared" si="2"/>
        <v>0</v>
      </c>
      <c r="AE45" s="11">
        <f t="shared" si="3"/>
        <v>-1</v>
      </c>
      <c r="AF45" s="11">
        <f t="shared" si="4"/>
        <v>0</v>
      </c>
      <c r="AG45" s="11">
        <f t="shared" si="5"/>
        <v>0</v>
      </c>
      <c r="AH45" s="11">
        <f t="shared" si="6"/>
        <v>0</v>
      </c>
      <c r="AI45" s="11">
        <f t="shared" si="7"/>
        <v>1</v>
      </c>
      <c r="AJ45" s="11">
        <f t="shared" si="8"/>
        <v>0</v>
      </c>
      <c r="AK45" s="11">
        <f t="shared" si="9"/>
        <v>0</v>
      </c>
      <c r="AL45" s="11">
        <f t="shared" si="10"/>
        <v>0</v>
      </c>
      <c r="AM45" s="11">
        <f t="shared" si="11"/>
        <v>0</v>
      </c>
      <c r="AN45" s="11">
        <f t="shared" si="12"/>
        <v>0</v>
      </c>
      <c r="AO45" s="11">
        <f t="shared" si="13"/>
        <v>0</v>
      </c>
      <c r="AP45" s="11">
        <f t="shared" si="14"/>
        <v>0</v>
      </c>
      <c r="AQ45" s="11">
        <f t="shared" si="15"/>
        <v>0</v>
      </c>
      <c r="AR45" s="11">
        <f t="shared" si="16"/>
        <v>0</v>
      </c>
      <c r="AS45" s="11">
        <f t="shared" si="17"/>
        <v>0</v>
      </c>
      <c r="AT45" s="11">
        <f t="shared" si="18"/>
        <v>0</v>
      </c>
      <c r="AU45" s="11">
        <f t="shared" si="19"/>
        <v>0</v>
      </c>
      <c r="AV45" s="11">
        <f t="shared" si="20"/>
        <v>0</v>
      </c>
      <c r="AW45" s="11">
        <f t="shared" si="21"/>
        <v>0</v>
      </c>
      <c r="AX45" s="11">
        <f t="shared" si="23"/>
        <v>1</v>
      </c>
      <c r="AY45" s="11">
        <f t="shared" si="22"/>
        <v>1</v>
      </c>
    </row>
    <row r="46" spans="1:51" s="12" customFormat="1">
      <c r="A46" s="15">
        <v>44971</v>
      </c>
      <c r="B46" s="436">
        <v>9</v>
      </c>
      <c r="C46" s="436">
        <v>9</v>
      </c>
      <c r="D46" s="436">
        <v>9</v>
      </c>
      <c r="E46" s="436">
        <v>9</v>
      </c>
      <c r="F46" s="436">
        <v>9</v>
      </c>
      <c r="G46" s="436">
        <v>7</v>
      </c>
      <c r="H46" s="436">
        <v>7</v>
      </c>
      <c r="I46" s="436">
        <v>7</v>
      </c>
      <c r="J46" s="436">
        <v>7</v>
      </c>
      <c r="K46" s="436">
        <v>7</v>
      </c>
      <c r="L46" s="436">
        <v>9</v>
      </c>
      <c r="M46" s="436">
        <v>9</v>
      </c>
      <c r="N46" s="436">
        <v>9</v>
      </c>
      <c r="O46" s="436">
        <v>9</v>
      </c>
      <c r="P46" s="436">
        <v>9</v>
      </c>
      <c r="Q46" s="436">
        <v>9</v>
      </c>
      <c r="R46" s="436">
        <v>9</v>
      </c>
      <c r="S46" s="436">
        <v>9</v>
      </c>
      <c r="T46" s="436">
        <v>9</v>
      </c>
      <c r="U46" s="436">
        <v>9</v>
      </c>
      <c r="V46" s="436">
        <v>9</v>
      </c>
      <c r="W46" s="436">
        <v>9</v>
      </c>
      <c r="X46" s="436">
        <v>9</v>
      </c>
      <c r="Y46" s="436">
        <v>9</v>
      </c>
      <c r="Z46" s="11">
        <f t="shared" si="28"/>
        <v>0</v>
      </c>
      <c r="AA46" s="11">
        <f t="shared" si="27"/>
        <v>0</v>
      </c>
      <c r="AB46" s="11">
        <f t="shared" si="0"/>
        <v>0</v>
      </c>
      <c r="AC46" s="11">
        <f t="shared" si="1"/>
        <v>0</v>
      </c>
      <c r="AD46" s="11">
        <f t="shared" si="2"/>
        <v>0</v>
      </c>
      <c r="AE46" s="11">
        <f t="shared" si="3"/>
        <v>-2</v>
      </c>
      <c r="AF46" s="11">
        <f t="shared" si="4"/>
        <v>0</v>
      </c>
      <c r="AG46" s="11">
        <f t="shared" si="5"/>
        <v>0</v>
      </c>
      <c r="AH46" s="11">
        <f t="shared" si="6"/>
        <v>0</v>
      </c>
      <c r="AI46" s="11">
        <f t="shared" si="7"/>
        <v>0</v>
      </c>
      <c r="AJ46" s="11">
        <f t="shared" si="8"/>
        <v>2</v>
      </c>
      <c r="AK46" s="11">
        <f t="shared" si="9"/>
        <v>0</v>
      </c>
      <c r="AL46" s="11">
        <f t="shared" si="10"/>
        <v>0</v>
      </c>
      <c r="AM46" s="11">
        <f t="shared" si="11"/>
        <v>0</v>
      </c>
      <c r="AN46" s="11">
        <f t="shared" si="12"/>
        <v>0</v>
      </c>
      <c r="AO46" s="11">
        <f t="shared" si="13"/>
        <v>0</v>
      </c>
      <c r="AP46" s="11">
        <f t="shared" si="14"/>
        <v>0</v>
      </c>
      <c r="AQ46" s="11">
        <f t="shared" si="15"/>
        <v>0</v>
      </c>
      <c r="AR46" s="11">
        <f t="shared" si="16"/>
        <v>0</v>
      </c>
      <c r="AS46" s="11">
        <f t="shared" si="17"/>
        <v>0</v>
      </c>
      <c r="AT46" s="11">
        <f t="shared" si="18"/>
        <v>0</v>
      </c>
      <c r="AU46" s="11">
        <f t="shared" si="19"/>
        <v>0</v>
      </c>
      <c r="AV46" s="11">
        <f t="shared" si="20"/>
        <v>0</v>
      </c>
      <c r="AW46" s="11">
        <f t="shared" si="21"/>
        <v>0</v>
      </c>
      <c r="AX46" s="11">
        <f t="shared" si="23"/>
        <v>2</v>
      </c>
      <c r="AY46" s="11">
        <f t="shared" si="22"/>
        <v>2</v>
      </c>
    </row>
    <row r="47" spans="1:51" s="12" customFormat="1">
      <c r="A47" s="15">
        <v>44972</v>
      </c>
      <c r="B47" s="436">
        <v>9</v>
      </c>
      <c r="C47" s="436">
        <v>9</v>
      </c>
      <c r="D47" s="436">
        <v>9</v>
      </c>
      <c r="E47" s="436">
        <v>9</v>
      </c>
      <c r="F47" s="436">
        <v>9</v>
      </c>
      <c r="G47" s="436">
        <v>7</v>
      </c>
      <c r="H47" s="436">
        <v>7</v>
      </c>
      <c r="I47" s="436">
        <v>7</v>
      </c>
      <c r="J47" s="436">
        <v>7</v>
      </c>
      <c r="K47" s="436">
        <v>8</v>
      </c>
      <c r="L47" s="436">
        <v>9</v>
      </c>
      <c r="M47" s="436">
        <v>9</v>
      </c>
      <c r="N47" s="436">
        <v>9</v>
      </c>
      <c r="O47" s="436">
        <v>9</v>
      </c>
      <c r="P47" s="436">
        <v>9</v>
      </c>
      <c r="Q47" s="436">
        <v>9</v>
      </c>
      <c r="R47" s="436">
        <v>9</v>
      </c>
      <c r="S47" s="436">
        <v>9</v>
      </c>
      <c r="T47" s="436">
        <v>9</v>
      </c>
      <c r="U47" s="436">
        <v>9</v>
      </c>
      <c r="V47" s="436">
        <v>9</v>
      </c>
      <c r="W47" s="436">
        <v>9</v>
      </c>
      <c r="X47" s="436">
        <v>9</v>
      </c>
      <c r="Y47" s="436">
        <v>9</v>
      </c>
      <c r="Z47" s="11">
        <f t="shared" si="28"/>
        <v>0</v>
      </c>
      <c r="AA47" s="11">
        <f t="shared" si="27"/>
        <v>0</v>
      </c>
      <c r="AB47" s="11">
        <f t="shared" si="0"/>
        <v>0</v>
      </c>
      <c r="AC47" s="11">
        <f t="shared" si="1"/>
        <v>0</v>
      </c>
      <c r="AD47" s="11">
        <f t="shared" si="2"/>
        <v>0</v>
      </c>
      <c r="AE47" s="11">
        <f t="shared" si="3"/>
        <v>-2</v>
      </c>
      <c r="AF47" s="11">
        <f t="shared" si="4"/>
        <v>0</v>
      </c>
      <c r="AG47" s="11">
        <f t="shared" si="5"/>
        <v>0</v>
      </c>
      <c r="AH47" s="11">
        <f t="shared" si="6"/>
        <v>0</v>
      </c>
      <c r="AI47" s="11">
        <f t="shared" si="7"/>
        <v>1</v>
      </c>
      <c r="AJ47" s="11">
        <f t="shared" si="8"/>
        <v>1</v>
      </c>
      <c r="AK47" s="11">
        <f t="shared" si="9"/>
        <v>0</v>
      </c>
      <c r="AL47" s="11">
        <f t="shared" si="10"/>
        <v>0</v>
      </c>
      <c r="AM47" s="11">
        <f t="shared" si="11"/>
        <v>0</v>
      </c>
      <c r="AN47" s="11">
        <f t="shared" si="12"/>
        <v>0</v>
      </c>
      <c r="AO47" s="11">
        <f t="shared" si="13"/>
        <v>0</v>
      </c>
      <c r="AP47" s="11">
        <f t="shared" si="14"/>
        <v>0</v>
      </c>
      <c r="AQ47" s="11">
        <f t="shared" si="15"/>
        <v>0</v>
      </c>
      <c r="AR47" s="11">
        <f t="shared" si="16"/>
        <v>0</v>
      </c>
      <c r="AS47" s="11">
        <f t="shared" si="17"/>
        <v>0</v>
      </c>
      <c r="AT47" s="11">
        <f t="shared" si="18"/>
        <v>0</v>
      </c>
      <c r="AU47" s="11">
        <f t="shared" si="19"/>
        <v>0</v>
      </c>
      <c r="AV47" s="11">
        <f t="shared" si="20"/>
        <v>0</v>
      </c>
      <c r="AW47" s="11">
        <f t="shared" si="21"/>
        <v>0</v>
      </c>
      <c r="AX47" s="11">
        <f t="shared" si="23"/>
        <v>2</v>
      </c>
      <c r="AY47" s="11">
        <f t="shared" si="22"/>
        <v>2</v>
      </c>
    </row>
    <row r="48" spans="1:51" s="12" customFormat="1">
      <c r="A48" s="15">
        <v>44973</v>
      </c>
      <c r="B48" s="436">
        <v>8</v>
      </c>
      <c r="C48" s="436">
        <v>8</v>
      </c>
      <c r="D48" s="436">
        <v>8</v>
      </c>
      <c r="E48" s="436">
        <v>8</v>
      </c>
      <c r="F48" s="436">
        <v>8</v>
      </c>
      <c r="G48" s="436">
        <v>8</v>
      </c>
      <c r="H48" s="436">
        <v>7</v>
      </c>
      <c r="I48" s="436">
        <v>7</v>
      </c>
      <c r="J48" s="436">
        <v>7</v>
      </c>
      <c r="K48" s="436">
        <v>8</v>
      </c>
      <c r="L48" s="436">
        <v>8</v>
      </c>
      <c r="M48" s="436">
        <v>8</v>
      </c>
      <c r="N48" s="436">
        <v>8</v>
      </c>
      <c r="O48" s="436">
        <v>8</v>
      </c>
      <c r="P48" s="436">
        <v>8</v>
      </c>
      <c r="Q48" s="436">
        <v>8</v>
      </c>
      <c r="R48" s="436">
        <v>8</v>
      </c>
      <c r="S48" s="436">
        <v>8</v>
      </c>
      <c r="T48" s="436">
        <v>8</v>
      </c>
      <c r="U48" s="436">
        <v>8</v>
      </c>
      <c r="V48" s="436">
        <v>8</v>
      </c>
      <c r="W48" s="436">
        <v>8</v>
      </c>
      <c r="X48" s="436">
        <v>8</v>
      </c>
      <c r="Y48" s="436">
        <v>8</v>
      </c>
      <c r="Z48" s="11">
        <f t="shared" si="28"/>
        <v>-1</v>
      </c>
      <c r="AA48" s="11">
        <f t="shared" si="27"/>
        <v>0</v>
      </c>
      <c r="AB48" s="11">
        <f t="shared" si="0"/>
        <v>0</v>
      </c>
      <c r="AC48" s="11">
        <f t="shared" si="1"/>
        <v>0</v>
      </c>
      <c r="AD48" s="11">
        <f t="shared" si="2"/>
        <v>0</v>
      </c>
      <c r="AE48" s="11">
        <f t="shared" si="3"/>
        <v>0</v>
      </c>
      <c r="AF48" s="11">
        <f t="shared" si="4"/>
        <v>-1</v>
      </c>
      <c r="AG48" s="11">
        <f t="shared" si="5"/>
        <v>0</v>
      </c>
      <c r="AH48" s="11">
        <f t="shared" si="6"/>
        <v>0</v>
      </c>
      <c r="AI48" s="11">
        <f t="shared" si="7"/>
        <v>1</v>
      </c>
      <c r="AJ48" s="11">
        <f t="shared" si="8"/>
        <v>0</v>
      </c>
      <c r="AK48" s="11">
        <f t="shared" si="9"/>
        <v>0</v>
      </c>
      <c r="AL48" s="11">
        <f t="shared" si="10"/>
        <v>0</v>
      </c>
      <c r="AM48" s="11">
        <f t="shared" si="11"/>
        <v>0</v>
      </c>
      <c r="AN48" s="11">
        <f t="shared" si="12"/>
        <v>0</v>
      </c>
      <c r="AO48" s="11">
        <f t="shared" si="13"/>
        <v>0</v>
      </c>
      <c r="AP48" s="11">
        <f t="shared" si="14"/>
        <v>0</v>
      </c>
      <c r="AQ48" s="11">
        <f t="shared" si="15"/>
        <v>0</v>
      </c>
      <c r="AR48" s="11">
        <f t="shared" si="16"/>
        <v>0</v>
      </c>
      <c r="AS48" s="11">
        <f t="shared" si="17"/>
        <v>0</v>
      </c>
      <c r="AT48" s="11">
        <f t="shared" si="18"/>
        <v>0</v>
      </c>
      <c r="AU48" s="11">
        <f t="shared" si="19"/>
        <v>0</v>
      </c>
      <c r="AV48" s="11">
        <f t="shared" si="20"/>
        <v>0</v>
      </c>
      <c r="AW48" s="11">
        <f t="shared" si="21"/>
        <v>0</v>
      </c>
      <c r="AX48" s="11">
        <f t="shared" si="23"/>
        <v>1</v>
      </c>
      <c r="AY48" s="11">
        <f t="shared" si="22"/>
        <v>2</v>
      </c>
    </row>
    <row r="49" spans="1:51" s="12" customFormat="1">
      <c r="A49" s="15">
        <v>44974</v>
      </c>
      <c r="B49" s="436">
        <v>8</v>
      </c>
      <c r="C49" s="436">
        <v>8</v>
      </c>
      <c r="D49" s="436">
        <v>8</v>
      </c>
      <c r="E49" s="436">
        <v>8</v>
      </c>
      <c r="F49" s="436">
        <v>8</v>
      </c>
      <c r="G49" s="436">
        <v>8</v>
      </c>
      <c r="H49" s="436">
        <v>7</v>
      </c>
      <c r="I49" s="436">
        <v>7</v>
      </c>
      <c r="J49" s="436">
        <v>8</v>
      </c>
      <c r="K49" s="436">
        <v>8</v>
      </c>
      <c r="L49" s="436">
        <v>8</v>
      </c>
      <c r="M49" s="436">
        <v>8</v>
      </c>
      <c r="N49" s="436">
        <v>8</v>
      </c>
      <c r="O49" s="436">
        <v>8</v>
      </c>
      <c r="P49" s="436">
        <v>8</v>
      </c>
      <c r="Q49" s="436">
        <v>8</v>
      </c>
      <c r="R49" s="436">
        <v>8</v>
      </c>
      <c r="S49" s="436">
        <v>8</v>
      </c>
      <c r="T49" s="436">
        <v>8</v>
      </c>
      <c r="U49" s="436">
        <v>8</v>
      </c>
      <c r="V49" s="436">
        <v>8</v>
      </c>
      <c r="W49" s="436">
        <v>8</v>
      </c>
      <c r="X49" s="436">
        <v>8</v>
      </c>
      <c r="Y49" s="436">
        <v>8</v>
      </c>
      <c r="Z49" s="11">
        <f t="shared" si="28"/>
        <v>0</v>
      </c>
      <c r="AA49" s="11">
        <f t="shared" si="27"/>
        <v>0</v>
      </c>
      <c r="AB49" s="11">
        <f t="shared" si="0"/>
        <v>0</v>
      </c>
      <c r="AC49" s="11">
        <f t="shared" si="1"/>
        <v>0</v>
      </c>
      <c r="AD49" s="11">
        <f t="shared" si="2"/>
        <v>0</v>
      </c>
      <c r="AE49" s="11">
        <f t="shared" si="3"/>
        <v>0</v>
      </c>
      <c r="AF49" s="11">
        <f t="shared" si="4"/>
        <v>-1</v>
      </c>
      <c r="AG49" s="11">
        <f t="shared" si="5"/>
        <v>0</v>
      </c>
      <c r="AH49" s="11">
        <f t="shared" si="6"/>
        <v>1</v>
      </c>
      <c r="AI49" s="11">
        <f t="shared" si="7"/>
        <v>0</v>
      </c>
      <c r="AJ49" s="11">
        <f t="shared" si="8"/>
        <v>0</v>
      </c>
      <c r="AK49" s="11">
        <f t="shared" si="9"/>
        <v>0</v>
      </c>
      <c r="AL49" s="11">
        <f t="shared" si="10"/>
        <v>0</v>
      </c>
      <c r="AM49" s="11">
        <f t="shared" si="11"/>
        <v>0</v>
      </c>
      <c r="AN49" s="11">
        <f t="shared" si="12"/>
        <v>0</v>
      </c>
      <c r="AO49" s="11">
        <f t="shared" si="13"/>
        <v>0</v>
      </c>
      <c r="AP49" s="11">
        <f t="shared" si="14"/>
        <v>0</v>
      </c>
      <c r="AQ49" s="11">
        <f t="shared" si="15"/>
        <v>0</v>
      </c>
      <c r="AR49" s="11">
        <f t="shared" si="16"/>
        <v>0</v>
      </c>
      <c r="AS49" s="11">
        <f t="shared" si="17"/>
        <v>0</v>
      </c>
      <c r="AT49" s="11">
        <f t="shared" si="18"/>
        <v>0</v>
      </c>
      <c r="AU49" s="11">
        <f t="shared" si="19"/>
        <v>0</v>
      </c>
      <c r="AV49" s="11">
        <f t="shared" si="20"/>
        <v>0</v>
      </c>
      <c r="AW49" s="11">
        <f t="shared" si="21"/>
        <v>0</v>
      </c>
      <c r="AX49" s="11">
        <f t="shared" si="23"/>
        <v>1</v>
      </c>
      <c r="AY49" s="11">
        <f t="shared" si="22"/>
        <v>1</v>
      </c>
    </row>
    <row r="50" spans="1:51" s="12" customFormat="1">
      <c r="A50" s="15">
        <v>44975</v>
      </c>
      <c r="B50" s="436">
        <v>9</v>
      </c>
      <c r="C50" s="436">
        <v>9</v>
      </c>
      <c r="D50" s="436">
        <v>9</v>
      </c>
      <c r="E50" s="436">
        <v>9</v>
      </c>
      <c r="F50" s="436">
        <v>9</v>
      </c>
      <c r="G50" s="436">
        <v>9</v>
      </c>
      <c r="H50" s="436">
        <v>8</v>
      </c>
      <c r="I50" s="436">
        <v>8</v>
      </c>
      <c r="J50" s="436">
        <v>7</v>
      </c>
      <c r="K50" s="436">
        <v>8</v>
      </c>
      <c r="L50" s="436">
        <v>9</v>
      </c>
      <c r="M50" s="436">
        <v>9</v>
      </c>
      <c r="N50" s="436">
        <v>9</v>
      </c>
      <c r="O50" s="436">
        <v>9</v>
      </c>
      <c r="P50" s="436">
        <v>9</v>
      </c>
      <c r="Q50" s="436">
        <v>9</v>
      </c>
      <c r="R50" s="436">
        <v>9</v>
      </c>
      <c r="S50" s="436">
        <v>9</v>
      </c>
      <c r="T50" s="436">
        <v>9</v>
      </c>
      <c r="U50" s="436">
        <v>9</v>
      </c>
      <c r="V50" s="436">
        <v>9</v>
      </c>
      <c r="W50" s="436">
        <v>9</v>
      </c>
      <c r="X50" s="436">
        <v>9</v>
      </c>
      <c r="Y50" s="436">
        <v>9</v>
      </c>
      <c r="Z50" s="11">
        <f t="shared" si="28"/>
        <v>1</v>
      </c>
      <c r="AA50" s="11">
        <f t="shared" si="27"/>
        <v>0</v>
      </c>
      <c r="AB50" s="11">
        <f t="shared" si="0"/>
        <v>0</v>
      </c>
      <c r="AC50" s="11">
        <f t="shared" si="1"/>
        <v>0</v>
      </c>
      <c r="AD50" s="11">
        <f t="shared" si="2"/>
        <v>0</v>
      </c>
      <c r="AE50" s="11">
        <f t="shared" si="3"/>
        <v>0</v>
      </c>
      <c r="AF50" s="11">
        <f t="shared" si="4"/>
        <v>-1</v>
      </c>
      <c r="AG50" s="11">
        <f t="shared" si="5"/>
        <v>0</v>
      </c>
      <c r="AH50" s="11">
        <f t="shared" si="6"/>
        <v>-1</v>
      </c>
      <c r="AI50" s="11">
        <f t="shared" si="7"/>
        <v>1</v>
      </c>
      <c r="AJ50" s="11">
        <f t="shared" si="8"/>
        <v>1</v>
      </c>
      <c r="AK50" s="11">
        <f t="shared" si="9"/>
        <v>0</v>
      </c>
      <c r="AL50" s="11">
        <f t="shared" si="10"/>
        <v>0</v>
      </c>
      <c r="AM50" s="11">
        <f t="shared" si="11"/>
        <v>0</v>
      </c>
      <c r="AN50" s="11">
        <f t="shared" si="12"/>
        <v>0</v>
      </c>
      <c r="AO50" s="11">
        <f t="shared" si="13"/>
        <v>0</v>
      </c>
      <c r="AP50" s="11">
        <f t="shared" si="14"/>
        <v>0</v>
      </c>
      <c r="AQ50" s="11">
        <f t="shared" si="15"/>
        <v>0</v>
      </c>
      <c r="AR50" s="11">
        <f t="shared" si="16"/>
        <v>0</v>
      </c>
      <c r="AS50" s="11">
        <f t="shared" si="17"/>
        <v>0</v>
      </c>
      <c r="AT50" s="11">
        <f t="shared" si="18"/>
        <v>0</v>
      </c>
      <c r="AU50" s="11">
        <f t="shared" si="19"/>
        <v>0</v>
      </c>
      <c r="AV50" s="11">
        <f t="shared" si="20"/>
        <v>0</v>
      </c>
      <c r="AW50" s="11">
        <f t="shared" si="21"/>
        <v>0</v>
      </c>
      <c r="AX50" s="11">
        <f t="shared" si="23"/>
        <v>3</v>
      </c>
      <c r="AY50" s="11">
        <f t="shared" si="22"/>
        <v>2</v>
      </c>
    </row>
    <row r="51" spans="1:51" s="12" customFormat="1">
      <c r="A51" s="15">
        <v>44976</v>
      </c>
      <c r="B51" s="436">
        <v>9</v>
      </c>
      <c r="C51" s="436">
        <v>9</v>
      </c>
      <c r="D51" s="436">
        <v>9</v>
      </c>
      <c r="E51" s="436">
        <v>9</v>
      </c>
      <c r="F51" s="436">
        <v>9</v>
      </c>
      <c r="G51" s="436">
        <v>9</v>
      </c>
      <c r="H51" s="436">
        <v>8</v>
      </c>
      <c r="I51" s="436">
        <v>8</v>
      </c>
      <c r="J51" s="436">
        <v>8</v>
      </c>
      <c r="K51" s="436">
        <v>8</v>
      </c>
      <c r="L51" s="436">
        <v>9</v>
      </c>
      <c r="M51" s="436">
        <v>9</v>
      </c>
      <c r="N51" s="436">
        <v>9</v>
      </c>
      <c r="O51" s="436">
        <v>9</v>
      </c>
      <c r="P51" s="436">
        <v>9</v>
      </c>
      <c r="Q51" s="436">
        <v>9</v>
      </c>
      <c r="R51" s="436">
        <v>9</v>
      </c>
      <c r="S51" s="436">
        <v>9</v>
      </c>
      <c r="T51" s="436">
        <v>9</v>
      </c>
      <c r="U51" s="436">
        <v>9</v>
      </c>
      <c r="V51" s="436">
        <v>9</v>
      </c>
      <c r="W51" s="436">
        <v>9</v>
      </c>
      <c r="X51" s="436">
        <v>9</v>
      </c>
      <c r="Y51" s="436">
        <v>9</v>
      </c>
      <c r="Z51" s="11">
        <f>B51-Y50</f>
        <v>0</v>
      </c>
      <c r="AA51" s="11">
        <f>C51-B51</f>
        <v>0</v>
      </c>
      <c r="AB51" s="11">
        <f t="shared" si="0"/>
        <v>0</v>
      </c>
      <c r="AC51" s="11">
        <f t="shared" si="1"/>
        <v>0</v>
      </c>
      <c r="AD51" s="11">
        <f t="shared" si="2"/>
        <v>0</v>
      </c>
      <c r="AE51" s="11">
        <f t="shared" si="3"/>
        <v>0</v>
      </c>
      <c r="AF51" s="11">
        <f t="shared" si="4"/>
        <v>-1</v>
      </c>
      <c r="AG51" s="11">
        <f t="shared" si="5"/>
        <v>0</v>
      </c>
      <c r="AH51" s="11">
        <f t="shared" si="6"/>
        <v>0</v>
      </c>
      <c r="AI51" s="11">
        <f t="shared" si="7"/>
        <v>0</v>
      </c>
      <c r="AJ51" s="11">
        <f t="shared" si="8"/>
        <v>1</v>
      </c>
      <c r="AK51" s="11">
        <f t="shared" si="9"/>
        <v>0</v>
      </c>
      <c r="AL51" s="11">
        <f t="shared" si="10"/>
        <v>0</v>
      </c>
      <c r="AM51" s="11">
        <f t="shared" si="11"/>
        <v>0</v>
      </c>
      <c r="AN51" s="11">
        <f t="shared" si="12"/>
        <v>0</v>
      </c>
      <c r="AO51" s="11">
        <f t="shared" si="13"/>
        <v>0</v>
      </c>
      <c r="AP51" s="11">
        <f t="shared" si="14"/>
        <v>0</v>
      </c>
      <c r="AQ51" s="11">
        <f t="shared" si="15"/>
        <v>0</v>
      </c>
      <c r="AR51" s="11">
        <f t="shared" si="16"/>
        <v>0</v>
      </c>
      <c r="AS51" s="11">
        <f t="shared" si="17"/>
        <v>0</v>
      </c>
      <c r="AT51" s="11">
        <f t="shared" si="18"/>
        <v>0</v>
      </c>
      <c r="AU51" s="11">
        <f t="shared" si="19"/>
        <v>0</v>
      </c>
      <c r="AV51" s="11">
        <f t="shared" si="20"/>
        <v>0</v>
      </c>
      <c r="AW51" s="11">
        <f t="shared" si="21"/>
        <v>0</v>
      </c>
      <c r="AX51" s="11">
        <f t="shared" si="23"/>
        <v>1</v>
      </c>
      <c r="AY51" s="11">
        <f t="shared" si="22"/>
        <v>1</v>
      </c>
    </row>
    <row r="52" spans="1:51" s="12" customFormat="1">
      <c r="A52" s="15">
        <v>44977</v>
      </c>
      <c r="B52" s="436">
        <v>8</v>
      </c>
      <c r="C52" s="436">
        <v>8</v>
      </c>
      <c r="D52" s="436">
        <v>8</v>
      </c>
      <c r="E52" s="436">
        <v>8</v>
      </c>
      <c r="F52" s="436">
        <v>8</v>
      </c>
      <c r="G52" s="436">
        <v>7</v>
      </c>
      <c r="H52" s="436">
        <v>7</v>
      </c>
      <c r="I52" s="436">
        <v>7</v>
      </c>
      <c r="J52" s="436">
        <v>7</v>
      </c>
      <c r="K52" s="436">
        <v>8</v>
      </c>
      <c r="L52" s="436">
        <v>8</v>
      </c>
      <c r="M52" s="436">
        <v>8</v>
      </c>
      <c r="N52" s="436">
        <v>8</v>
      </c>
      <c r="O52" s="436">
        <v>8</v>
      </c>
      <c r="P52" s="436">
        <v>8</v>
      </c>
      <c r="Q52" s="436">
        <v>8</v>
      </c>
      <c r="R52" s="436">
        <v>8</v>
      </c>
      <c r="S52" s="436">
        <v>8</v>
      </c>
      <c r="T52" s="436">
        <v>8</v>
      </c>
      <c r="U52" s="436">
        <v>8</v>
      </c>
      <c r="V52" s="436">
        <v>8</v>
      </c>
      <c r="W52" s="436">
        <v>8</v>
      </c>
      <c r="X52" s="436">
        <v>8</v>
      </c>
      <c r="Y52" s="436">
        <v>8</v>
      </c>
      <c r="Z52" s="11">
        <f t="shared" ref="Z52:Z62" si="29">B52-Y51</f>
        <v>-1</v>
      </c>
      <c r="AA52" s="11">
        <f t="shared" ref="AA52:AA61" si="30">C52-B52</f>
        <v>0</v>
      </c>
      <c r="AB52" s="11">
        <f t="shared" si="0"/>
        <v>0</v>
      </c>
      <c r="AC52" s="11">
        <f t="shared" si="1"/>
        <v>0</v>
      </c>
      <c r="AD52" s="11">
        <f t="shared" si="2"/>
        <v>0</v>
      </c>
      <c r="AE52" s="11">
        <f t="shared" si="3"/>
        <v>-1</v>
      </c>
      <c r="AF52" s="11">
        <f t="shared" si="4"/>
        <v>0</v>
      </c>
      <c r="AG52" s="11">
        <f t="shared" si="5"/>
        <v>0</v>
      </c>
      <c r="AH52" s="11">
        <f t="shared" si="6"/>
        <v>0</v>
      </c>
      <c r="AI52" s="11">
        <f t="shared" si="7"/>
        <v>1</v>
      </c>
      <c r="AJ52" s="11">
        <f t="shared" si="8"/>
        <v>0</v>
      </c>
      <c r="AK52" s="11">
        <f t="shared" si="9"/>
        <v>0</v>
      </c>
      <c r="AL52" s="11">
        <f t="shared" si="10"/>
        <v>0</v>
      </c>
      <c r="AM52" s="11">
        <f t="shared" si="11"/>
        <v>0</v>
      </c>
      <c r="AN52" s="11">
        <f t="shared" si="12"/>
        <v>0</v>
      </c>
      <c r="AO52" s="11">
        <f t="shared" si="13"/>
        <v>0</v>
      </c>
      <c r="AP52" s="11">
        <f t="shared" si="14"/>
        <v>0</v>
      </c>
      <c r="AQ52" s="11">
        <f t="shared" si="15"/>
        <v>0</v>
      </c>
      <c r="AR52" s="11">
        <f t="shared" si="16"/>
        <v>0</v>
      </c>
      <c r="AS52" s="11">
        <f t="shared" si="17"/>
        <v>0</v>
      </c>
      <c r="AT52" s="11">
        <f t="shared" si="18"/>
        <v>0</v>
      </c>
      <c r="AU52" s="11">
        <f t="shared" si="19"/>
        <v>0</v>
      </c>
      <c r="AV52" s="11">
        <f t="shared" si="20"/>
        <v>0</v>
      </c>
      <c r="AW52" s="11">
        <f t="shared" si="21"/>
        <v>0</v>
      </c>
      <c r="AX52" s="11">
        <f t="shared" si="23"/>
        <v>1</v>
      </c>
      <c r="AY52" s="11">
        <f t="shared" si="22"/>
        <v>2</v>
      </c>
    </row>
    <row r="53" spans="1:51" s="12" customFormat="1">
      <c r="A53" s="15">
        <v>44978</v>
      </c>
      <c r="B53" s="436">
        <v>8</v>
      </c>
      <c r="C53" s="436">
        <v>8</v>
      </c>
      <c r="D53" s="436">
        <v>8</v>
      </c>
      <c r="E53" s="436">
        <v>8</v>
      </c>
      <c r="F53" s="436">
        <v>8</v>
      </c>
      <c r="G53" s="436">
        <v>7</v>
      </c>
      <c r="H53" s="436">
        <v>7</v>
      </c>
      <c r="I53" s="436">
        <v>7</v>
      </c>
      <c r="J53" s="436">
        <v>7</v>
      </c>
      <c r="K53" s="436">
        <v>8</v>
      </c>
      <c r="L53" s="436">
        <v>8</v>
      </c>
      <c r="M53" s="436">
        <v>8</v>
      </c>
      <c r="N53" s="436">
        <v>8</v>
      </c>
      <c r="O53" s="436">
        <v>8</v>
      </c>
      <c r="P53" s="436">
        <v>8</v>
      </c>
      <c r="Q53" s="436">
        <v>8</v>
      </c>
      <c r="R53" s="436">
        <v>8</v>
      </c>
      <c r="S53" s="436">
        <v>8</v>
      </c>
      <c r="T53" s="436">
        <v>8</v>
      </c>
      <c r="U53" s="436">
        <v>8</v>
      </c>
      <c r="V53" s="436">
        <v>8</v>
      </c>
      <c r="W53" s="436">
        <v>8</v>
      </c>
      <c r="X53" s="436">
        <v>8</v>
      </c>
      <c r="Y53" s="436">
        <v>8</v>
      </c>
      <c r="Z53" s="11">
        <f t="shared" si="29"/>
        <v>0</v>
      </c>
      <c r="AA53" s="11">
        <f t="shared" si="30"/>
        <v>0</v>
      </c>
      <c r="AB53" s="11">
        <f t="shared" si="0"/>
        <v>0</v>
      </c>
      <c r="AC53" s="11">
        <f t="shared" si="1"/>
        <v>0</v>
      </c>
      <c r="AD53" s="11">
        <f t="shared" si="2"/>
        <v>0</v>
      </c>
      <c r="AE53" s="11">
        <f t="shared" si="3"/>
        <v>-1</v>
      </c>
      <c r="AF53" s="11">
        <f t="shared" si="4"/>
        <v>0</v>
      </c>
      <c r="AG53" s="11">
        <f t="shared" si="5"/>
        <v>0</v>
      </c>
      <c r="AH53" s="11">
        <f t="shared" si="6"/>
        <v>0</v>
      </c>
      <c r="AI53" s="11">
        <f t="shared" si="7"/>
        <v>1</v>
      </c>
      <c r="AJ53" s="11">
        <f t="shared" si="8"/>
        <v>0</v>
      </c>
      <c r="AK53" s="11">
        <f t="shared" si="9"/>
        <v>0</v>
      </c>
      <c r="AL53" s="11">
        <f t="shared" si="10"/>
        <v>0</v>
      </c>
      <c r="AM53" s="11">
        <f t="shared" si="11"/>
        <v>0</v>
      </c>
      <c r="AN53" s="11">
        <f t="shared" si="12"/>
        <v>0</v>
      </c>
      <c r="AO53" s="11">
        <f t="shared" si="13"/>
        <v>0</v>
      </c>
      <c r="AP53" s="11">
        <f t="shared" si="14"/>
        <v>0</v>
      </c>
      <c r="AQ53" s="11">
        <f t="shared" si="15"/>
        <v>0</v>
      </c>
      <c r="AR53" s="11">
        <f t="shared" si="16"/>
        <v>0</v>
      </c>
      <c r="AS53" s="11">
        <f t="shared" si="17"/>
        <v>0</v>
      </c>
      <c r="AT53" s="11">
        <f t="shared" si="18"/>
        <v>0</v>
      </c>
      <c r="AU53" s="11">
        <f t="shared" si="19"/>
        <v>0</v>
      </c>
      <c r="AV53" s="11">
        <f t="shared" si="20"/>
        <v>0</v>
      </c>
      <c r="AW53" s="11">
        <f t="shared" si="21"/>
        <v>0</v>
      </c>
      <c r="AX53" s="11">
        <f t="shared" si="23"/>
        <v>1</v>
      </c>
      <c r="AY53" s="11">
        <f t="shared" si="22"/>
        <v>1</v>
      </c>
    </row>
    <row r="54" spans="1:51" s="12" customFormat="1">
      <c r="A54" s="15">
        <v>44979</v>
      </c>
      <c r="B54" s="436">
        <v>8</v>
      </c>
      <c r="C54" s="436">
        <v>8</v>
      </c>
      <c r="D54" s="436">
        <v>8</v>
      </c>
      <c r="E54" s="436">
        <v>8</v>
      </c>
      <c r="F54" s="436">
        <v>8</v>
      </c>
      <c r="G54" s="436">
        <v>8</v>
      </c>
      <c r="H54" s="436">
        <v>7</v>
      </c>
      <c r="I54" s="436">
        <v>8</v>
      </c>
      <c r="J54" s="436">
        <v>7</v>
      </c>
      <c r="K54" s="436">
        <v>8</v>
      </c>
      <c r="L54" s="436">
        <v>8</v>
      </c>
      <c r="M54" s="436">
        <v>8</v>
      </c>
      <c r="N54" s="436">
        <v>9</v>
      </c>
      <c r="O54" s="436">
        <v>9</v>
      </c>
      <c r="P54" s="436">
        <v>9</v>
      </c>
      <c r="Q54" s="436">
        <v>9</v>
      </c>
      <c r="R54" s="436">
        <v>9</v>
      </c>
      <c r="S54" s="436">
        <v>9</v>
      </c>
      <c r="T54" s="436">
        <v>9</v>
      </c>
      <c r="U54" s="436">
        <v>9</v>
      </c>
      <c r="V54" s="436">
        <v>9</v>
      </c>
      <c r="W54" s="436">
        <v>9</v>
      </c>
      <c r="X54" s="436">
        <v>9</v>
      </c>
      <c r="Y54" s="436">
        <v>9</v>
      </c>
      <c r="Z54" s="11">
        <f t="shared" si="29"/>
        <v>0</v>
      </c>
      <c r="AA54" s="11">
        <f t="shared" si="30"/>
        <v>0</v>
      </c>
      <c r="AB54" s="11">
        <f t="shared" si="0"/>
        <v>0</v>
      </c>
      <c r="AC54" s="11">
        <f t="shared" si="1"/>
        <v>0</v>
      </c>
      <c r="AD54" s="11">
        <f t="shared" si="2"/>
        <v>0</v>
      </c>
      <c r="AE54" s="11">
        <f t="shared" si="3"/>
        <v>0</v>
      </c>
      <c r="AF54" s="11">
        <f t="shared" si="4"/>
        <v>-1</v>
      </c>
      <c r="AG54" s="11">
        <f t="shared" si="5"/>
        <v>1</v>
      </c>
      <c r="AH54" s="11">
        <f t="shared" si="6"/>
        <v>-1</v>
      </c>
      <c r="AI54" s="11">
        <f t="shared" si="7"/>
        <v>1</v>
      </c>
      <c r="AJ54" s="11">
        <f t="shared" si="8"/>
        <v>0</v>
      </c>
      <c r="AK54" s="11">
        <f t="shared" si="9"/>
        <v>0</v>
      </c>
      <c r="AL54" s="11">
        <f t="shared" si="10"/>
        <v>1</v>
      </c>
      <c r="AM54" s="11">
        <f t="shared" si="11"/>
        <v>0</v>
      </c>
      <c r="AN54" s="11">
        <f t="shared" si="12"/>
        <v>0</v>
      </c>
      <c r="AO54" s="11">
        <f t="shared" si="13"/>
        <v>0</v>
      </c>
      <c r="AP54" s="11">
        <f t="shared" si="14"/>
        <v>0</v>
      </c>
      <c r="AQ54" s="11">
        <f t="shared" si="15"/>
        <v>0</v>
      </c>
      <c r="AR54" s="11">
        <f t="shared" si="16"/>
        <v>0</v>
      </c>
      <c r="AS54" s="11">
        <f t="shared" si="17"/>
        <v>0</v>
      </c>
      <c r="AT54" s="11">
        <f t="shared" si="18"/>
        <v>0</v>
      </c>
      <c r="AU54" s="11">
        <f t="shared" si="19"/>
        <v>0</v>
      </c>
      <c r="AV54" s="11">
        <f t="shared" si="20"/>
        <v>0</v>
      </c>
      <c r="AW54" s="11">
        <f t="shared" si="21"/>
        <v>0</v>
      </c>
      <c r="AX54" s="11">
        <f t="shared" si="23"/>
        <v>3</v>
      </c>
      <c r="AY54" s="11">
        <f t="shared" si="22"/>
        <v>2</v>
      </c>
    </row>
    <row r="55" spans="1:51" s="12" customFormat="1">
      <c r="A55" s="15">
        <v>44980</v>
      </c>
      <c r="B55" s="436">
        <v>9</v>
      </c>
      <c r="C55" s="436">
        <v>9</v>
      </c>
      <c r="D55" s="436">
        <v>9</v>
      </c>
      <c r="E55" s="436">
        <v>9</v>
      </c>
      <c r="F55" s="436">
        <v>9</v>
      </c>
      <c r="G55" s="436">
        <v>7</v>
      </c>
      <c r="H55" s="436">
        <v>7</v>
      </c>
      <c r="I55" s="436">
        <v>7</v>
      </c>
      <c r="J55" s="436">
        <v>8</v>
      </c>
      <c r="K55" s="436">
        <v>9</v>
      </c>
      <c r="L55" s="436">
        <v>9</v>
      </c>
      <c r="M55" s="436">
        <v>9</v>
      </c>
      <c r="N55" s="436">
        <v>9</v>
      </c>
      <c r="O55" s="436">
        <v>9</v>
      </c>
      <c r="P55" s="436">
        <v>9</v>
      </c>
      <c r="Q55" s="436">
        <v>9</v>
      </c>
      <c r="R55" s="436">
        <v>9</v>
      </c>
      <c r="S55" s="436">
        <v>9</v>
      </c>
      <c r="T55" s="436">
        <v>9</v>
      </c>
      <c r="U55" s="436">
        <v>9</v>
      </c>
      <c r="V55" s="436">
        <v>9</v>
      </c>
      <c r="W55" s="436">
        <v>9</v>
      </c>
      <c r="X55" s="436">
        <v>9</v>
      </c>
      <c r="Y55" s="436">
        <v>9</v>
      </c>
      <c r="Z55" s="11">
        <f t="shared" si="29"/>
        <v>0</v>
      </c>
      <c r="AA55" s="11">
        <f t="shared" si="30"/>
        <v>0</v>
      </c>
      <c r="AB55" s="11">
        <f t="shared" si="0"/>
        <v>0</v>
      </c>
      <c r="AC55" s="11">
        <f t="shared" si="1"/>
        <v>0</v>
      </c>
      <c r="AD55" s="11">
        <f t="shared" si="2"/>
        <v>0</v>
      </c>
      <c r="AE55" s="11">
        <f t="shared" si="3"/>
        <v>-2</v>
      </c>
      <c r="AF55" s="11">
        <f t="shared" si="4"/>
        <v>0</v>
      </c>
      <c r="AG55" s="11">
        <f t="shared" si="5"/>
        <v>0</v>
      </c>
      <c r="AH55" s="11">
        <f t="shared" si="6"/>
        <v>1</v>
      </c>
      <c r="AI55" s="11">
        <f t="shared" si="7"/>
        <v>1</v>
      </c>
      <c r="AJ55" s="11">
        <f t="shared" si="8"/>
        <v>0</v>
      </c>
      <c r="AK55" s="11">
        <f t="shared" si="9"/>
        <v>0</v>
      </c>
      <c r="AL55" s="11">
        <f t="shared" si="10"/>
        <v>0</v>
      </c>
      <c r="AM55" s="11">
        <f t="shared" si="11"/>
        <v>0</v>
      </c>
      <c r="AN55" s="11">
        <f t="shared" si="12"/>
        <v>0</v>
      </c>
      <c r="AO55" s="11">
        <f t="shared" si="13"/>
        <v>0</v>
      </c>
      <c r="AP55" s="11">
        <f t="shared" si="14"/>
        <v>0</v>
      </c>
      <c r="AQ55" s="11">
        <f t="shared" si="15"/>
        <v>0</v>
      </c>
      <c r="AR55" s="11">
        <f t="shared" si="16"/>
        <v>0</v>
      </c>
      <c r="AS55" s="11">
        <f t="shared" si="17"/>
        <v>0</v>
      </c>
      <c r="AT55" s="11">
        <f t="shared" si="18"/>
        <v>0</v>
      </c>
      <c r="AU55" s="11">
        <f t="shared" si="19"/>
        <v>0</v>
      </c>
      <c r="AV55" s="11">
        <f t="shared" si="20"/>
        <v>0</v>
      </c>
      <c r="AW55" s="11">
        <f t="shared" si="21"/>
        <v>0</v>
      </c>
      <c r="AX55" s="11">
        <f t="shared" si="23"/>
        <v>2</v>
      </c>
      <c r="AY55" s="11">
        <f t="shared" si="22"/>
        <v>2</v>
      </c>
    </row>
    <row r="56" spans="1:51" s="12" customFormat="1">
      <c r="A56" s="15">
        <v>44981</v>
      </c>
      <c r="B56" s="436">
        <v>9</v>
      </c>
      <c r="C56" s="436">
        <v>9</v>
      </c>
      <c r="D56" s="436">
        <v>9</v>
      </c>
      <c r="E56" s="436">
        <v>9</v>
      </c>
      <c r="F56" s="436">
        <v>9</v>
      </c>
      <c r="G56" s="436">
        <v>8</v>
      </c>
      <c r="H56" s="436">
        <v>8</v>
      </c>
      <c r="I56" s="436">
        <v>7</v>
      </c>
      <c r="J56" s="436">
        <v>7</v>
      </c>
      <c r="K56" s="436">
        <v>7</v>
      </c>
      <c r="L56" s="436">
        <v>7</v>
      </c>
      <c r="M56" s="436">
        <v>9</v>
      </c>
      <c r="N56" s="436">
        <v>9</v>
      </c>
      <c r="O56" s="436">
        <v>9</v>
      </c>
      <c r="P56" s="436">
        <v>9</v>
      </c>
      <c r="Q56" s="436">
        <v>9</v>
      </c>
      <c r="R56" s="436">
        <v>9</v>
      </c>
      <c r="S56" s="436">
        <v>9</v>
      </c>
      <c r="T56" s="436">
        <v>9</v>
      </c>
      <c r="U56" s="436">
        <v>9</v>
      </c>
      <c r="V56" s="436">
        <v>9</v>
      </c>
      <c r="W56" s="436">
        <v>9</v>
      </c>
      <c r="X56" s="436">
        <v>9</v>
      </c>
      <c r="Y56" s="436">
        <v>9</v>
      </c>
      <c r="Z56" s="11">
        <f t="shared" si="29"/>
        <v>0</v>
      </c>
      <c r="AA56" s="11">
        <f t="shared" si="30"/>
        <v>0</v>
      </c>
      <c r="AB56" s="11">
        <f t="shared" si="0"/>
        <v>0</v>
      </c>
      <c r="AC56" s="11">
        <f t="shared" si="1"/>
        <v>0</v>
      </c>
      <c r="AD56" s="11">
        <f t="shared" si="2"/>
        <v>0</v>
      </c>
      <c r="AE56" s="11">
        <f t="shared" si="3"/>
        <v>-1</v>
      </c>
      <c r="AF56" s="11">
        <f t="shared" si="4"/>
        <v>0</v>
      </c>
      <c r="AG56" s="11">
        <f t="shared" si="5"/>
        <v>-1</v>
      </c>
      <c r="AH56" s="11">
        <f t="shared" si="6"/>
        <v>0</v>
      </c>
      <c r="AI56" s="11">
        <f t="shared" si="7"/>
        <v>0</v>
      </c>
      <c r="AJ56" s="11">
        <f t="shared" si="8"/>
        <v>0</v>
      </c>
      <c r="AK56" s="11">
        <f t="shared" si="9"/>
        <v>2</v>
      </c>
      <c r="AL56" s="11">
        <f t="shared" si="10"/>
        <v>0</v>
      </c>
      <c r="AM56" s="11">
        <f t="shared" si="11"/>
        <v>0</v>
      </c>
      <c r="AN56" s="11">
        <f t="shared" si="12"/>
        <v>0</v>
      </c>
      <c r="AO56" s="11">
        <f t="shared" si="13"/>
        <v>0</v>
      </c>
      <c r="AP56" s="11">
        <f t="shared" si="14"/>
        <v>0</v>
      </c>
      <c r="AQ56" s="11">
        <f t="shared" si="15"/>
        <v>0</v>
      </c>
      <c r="AR56" s="11">
        <f t="shared" si="16"/>
        <v>0</v>
      </c>
      <c r="AS56" s="11">
        <f t="shared" si="17"/>
        <v>0</v>
      </c>
      <c r="AT56" s="11">
        <f t="shared" si="18"/>
        <v>0</v>
      </c>
      <c r="AU56" s="11">
        <f t="shared" si="19"/>
        <v>0</v>
      </c>
      <c r="AV56" s="11">
        <f t="shared" si="20"/>
        <v>0</v>
      </c>
      <c r="AW56" s="11">
        <f t="shared" si="21"/>
        <v>0</v>
      </c>
      <c r="AX56" s="11">
        <f t="shared" si="23"/>
        <v>2</v>
      </c>
      <c r="AY56" s="11">
        <f t="shared" si="22"/>
        <v>2</v>
      </c>
    </row>
    <row r="57" spans="1:51" s="12" customFormat="1">
      <c r="A57" s="15">
        <v>44982</v>
      </c>
      <c r="B57" s="436">
        <v>8</v>
      </c>
      <c r="C57" s="436">
        <v>8</v>
      </c>
      <c r="D57" s="436">
        <v>8</v>
      </c>
      <c r="E57" s="436">
        <v>8</v>
      </c>
      <c r="F57" s="436">
        <v>8</v>
      </c>
      <c r="G57" s="436">
        <v>8</v>
      </c>
      <c r="H57" s="436">
        <v>6</v>
      </c>
      <c r="I57" s="436">
        <v>7</v>
      </c>
      <c r="J57" s="436">
        <v>7</v>
      </c>
      <c r="K57" s="436">
        <v>8</v>
      </c>
      <c r="L57" s="436">
        <v>8</v>
      </c>
      <c r="M57" s="436">
        <v>8</v>
      </c>
      <c r="N57" s="436">
        <v>8</v>
      </c>
      <c r="O57" s="436">
        <v>8</v>
      </c>
      <c r="P57" s="436">
        <v>8</v>
      </c>
      <c r="Q57" s="436">
        <v>8</v>
      </c>
      <c r="R57" s="436">
        <v>8</v>
      </c>
      <c r="S57" s="436">
        <v>8</v>
      </c>
      <c r="T57" s="436">
        <v>8</v>
      </c>
      <c r="U57" s="436">
        <v>8</v>
      </c>
      <c r="V57" s="436">
        <v>8</v>
      </c>
      <c r="W57" s="436">
        <v>8</v>
      </c>
      <c r="X57" s="436">
        <v>8</v>
      </c>
      <c r="Y57" s="436">
        <v>8</v>
      </c>
      <c r="Z57" s="11">
        <f t="shared" si="29"/>
        <v>-1</v>
      </c>
      <c r="AA57" s="11">
        <f t="shared" si="30"/>
        <v>0</v>
      </c>
      <c r="AB57" s="11">
        <f t="shared" si="0"/>
        <v>0</v>
      </c>
      <c r="AC57" s="11">
        <f t="shared" si="1"/>
        <v>0</v>
      </c>
      <c r="AD57" s="11">
        <f t="shared" si="2"/>
        <v>0</v>
      </c>
      <c r="AE57" s="11">
        <f t="shared" si="3"/>
        <v>0</v>
      </c>
      <c r="AF57" s="11">
        <f t="shared" si="4"/>
        <v>-2</v>
      </c>
      <c r="AG57" s="11">
        <f t="shared" si="5"/>
        <v>1</v>
      </c>
      <c r="AH57" s="11">
        <f t="shared" si="6"/>
        <v>0</v>
      </c>
      <c r="AI57" s="11">
        <f t="shared" si="7"/>
        <v>1</v>
      </c>
      <c r="AJ57" s="11">
        <f t="shared" si="8"/>
        <v>0</v>
      </c>
      <c r="AK57" s="11">
        <f t="shared" si="9"/>
        <v>0</v>
      </c>
      <c r="AL57" s="11">
        <f t="shared" si="10"/>
        <v>0</v>
      </c>
      <c r="AM57" s="11">
        <f t="shared" si="11"/>
        <v>0</v>
      </c>
      <c r="AN57" s="11">
        <f t="shared" si="12"/>
        <v>0</v>
      </c>
      <c r="AO57" s="11">
        <f t="shared" si="13"/>
        <v>0</v>
      </c>
      <c r="AP57" s="11">
        <f t="shared" si="14"/>
        <v>0</v>
      </c>
      <c r="AQ57" s="11">
        <f t="shared" si="15"/>
        <v>0</v>
      </c>
      <c r="AR57" s="11">
        <f t="shared" si="16"/>
        <v>0</v>
      </c>
      <c r="AS57" s="11">
        <f t="shared" si="17"/>
        <v>0</v>
      </c>
      <c r="AT57" s="11">
        <f t="shared" si="18"/>
        <v>0</v>
      </c>
      <c r="AU57" s="11">
        <f t="shared" si="19"/>
        <v>0</v>
      </c>
      <c r="AV57" s="11">
        <f t="shared" si="20"/>
        <v>0</v>
      </c>
      <c r="AW57" s="11">
        <f t="shared" si="21"/>
        <v>0</v>
      </c>
      <c r="AX57" s="11">
        <f t="shared" si="23"/>
        <v>2</v>
      </c>
      <c r="AY57" s="11">
        <f t="shared" si="22"/>
        <v>3</v>
      </c>
    </row>
    <row r="58" spans="1:51" s="12" customFormat="1">
      <c r="A58" s="15">
        <v>44983</v>
      </c>
      <c r="B58" s="436">
        <v>8</v>
      </c>
      <c r="C58" s="436">
        <v>8</v>
      </c>
      <c r="D58" s="436">
        <v>8</v>
      </c>
      <c r="E58" s="436">
        <v>8</v>
      </c>
      <c r="F58" s="436">
        <v>8</v>
      </c>
      <c r="G58" s="436">
        <v>8</v>
      </c>
      <c r="H58" s="436">
        <v>2</v>
      </c>
      <c r="I58" s="436">
        <v>2</v>
      </c>
      <c r="J58" s="436">
        <v>2</v>
      </c>
      <c r="K58" s="436">
        <v>5</v>
      </c>
      <c r="L58" s="436">
        <v>6</v>
      </c>
      <c r="M58" s="436">
        <v>7</v>
      </c>
      <c r="N58" s="436">
        <v>8</v>
      </c>
      <c r="O58" s="436">
        <v>8</v>
      </c>
      <c r="P58" s="436">
        <v>8</v>
      </c>
      <c r="Q58" s="436">
        <v>8</v>
      </c>
      <c r="R58" s="436">
        <v>8</v>
      </c>
      <c r="S58" s="436">
        <v>8</v>
      </c>
      <c r="T58" s="436">
        <v>8</v>
      </c>
      <c r="U58" s="436">
        <v>8</v>
      </c>
      <c r="V58" s="436">
        <v>8</v>
      </c>
      <c r="W58" s="436">
        <v>8</v>
      </c>
      <c r="X58" s="436">
        <v>8</v>
      </c>
      <c r="Y58" s="436">
        <v>8</v>
      </c>
      <c r="Z58" s="11">
        <f t="shared" si="29"/>
        <v>0</v>
      </c>
      <c r="AA58" s="11">
        <f t="shared" si="30"/>
        <v>0</v>
      </c>
      <c r="AB58" s="11">
        <f t="shared" si="0"/>
        <v>0</v>
      </c>
      <c r="AC58" s="11">
        <f t="shared" si="1"/>
        <v>0</v>
      </c>
      <c r="AD58" s="11">
        <f t="shared" si="2"/>
        <v>0</v>
      </c>
      <c r="AE58" s="11">
        <f t="shared" si="3"/>
        <v>0</v>
      </c>
      <c r="AF58" s="11">
        <f t="shared" si="4"/>
        <v>-6</v>
      </c>
      <c r="AG58" s="11">
        <f t="shared" si="5"/>
        <v>0</v>
      </c>
      <c r="AH58" s="11">
        <f t="shared" si="6"/>
        <v>0</v>
      </c>
      <c r="AI58" s="11">
        <f t="shared" si="7"/>
        <v>3</v>
      </c>
      <c r="AJ58" s="11">
        <f t="shared" si="8"/>
        <v>1</v>
      </c>
      <c r="AK58" s="11">
        <f t="shared" si="9"/>
        <v>1</v>
      </c>
      <c r="AL58" s="11">
        <f t="shared" si="10"/>
        <v>1</v>
      </c>
      <c r="AM58" s="11">
        <f t="shared" si="11"/>
        <v>0</v>
      </c>
      <c r="AN58" s="11">
        <f t="shared" si="12"/>
        <v>0</v>
      </c>
      <c r="AO58" s="11">
        <f t="shared" si="13"/>
        <v>0</v>
      </c>
      <c r="AP58" s="11">
        <f t="shared" si="14"/>
        <v>0</v>
      </c>
      <c r="AQ58" s="11">
        <f t="shared" si="15"/>
        <v>0</v>
      </c>
      <c r="AR58" s="11">
        <f t="shared" si="16"/>
        <v>0</v>
      </c>
      <c r="AS58" s="11">
        <f t="shared" si="17"/>
        <v>0</v>
      </c>
      <c r="AT58" s="11">
        <f t="shared" si="18"/>
        <v>0</v>
      </c>
      <c r="AU58" s="11">
        <f t="shared" si="19"/>
        <v>0</v>
      </c>
      <c r="AV58" s="11">
        <f t="shared" si="20"/>
        <v>0</v>
      </c>
      <c r="AW58" s="11">
        <f t="shared" si="21"/>
        <v>0</v>
      </c>
      <c r="AX58" s="11">
        <f t="shared" si="23"/>
        <v>6</v>
      </c>
      <c r="AY58" s="11">
        <f t="shared" si="22"/>
        <v>6</v>
      </c>
    </row>
    <row r="59" spans="1:51" s="12" customFormat="1">
      <c r="A59" s="15">
        <v>44984</v>
      </c>
      <c r="B59" s="436">
        <v>8</v>
      </c>
      <c r="C59" s="436">
        <v>8</v>
      </c>
      <c r="D59" s="436">
        <v>8</v>
      </c>
      <c r="E59" s="436">
        <v>8</v>
      </c>
      <c r="F59" s="436">
        <v>8</v>
      </c>
      <c r="G59" s="436">
        <v>7</v>
      </c>
      <c r="H59" s="436">
        <v>7</v>
      </c>
      <c r="I59" s="436">
        <v>7</v>
      </c>
      <c r="J59" s="436">
        <v>8</v>
      </c>
      <c r="K59" s="436">
        <v>8</v>
      </c>
      <c r="L59" s="436">
        <v>8</v>
      </c>
      <c r="M59" s="436">
        <v>8</v>
      </c>
      <c r="N59" s="436">
        <v>8</v>
      </c>
      <c r="O59" s="436">
        <v>8</v>
      </c>
      <c r="P59" s="436">
        <v>8</v>
      </c>
      <c r="Q59" s="436">
        <v>8</v>
      </c>
      <c r="R59" s="436">
        <v>8</v>
      </c>
      <c r="S59" s="436">
        <v>8</v>
      </c>
      <c r="T59" s="436">
        <v>8</v>
      </c>
      <c r="U59" s="436">
        <v>8</v>
      </c>
      <c r="V59" s="436">
        <v>8</v>
      </c>
      <c r="W59" s="436">
        <v>8</v>
      </c>
      <c r="X59" s="436">
        <v>8</v>
      </c>
      <c r="Y59" s="436">
        <v>8</v>
      </c>
      <c r="Z59" s="11">
        <f t="shared" si="29"/>
        <v>0</v>
      </c>
      <c r="AA59" s="11">
        <f t="shared" si="30"/>
        <v>0</v>
      </c>
      <c r="AB59" s="11">
        <f t="shared" si="0"/>
        <v>0</v>
      </c>
      <c r="AC59" s="11">
        <f t="shared" si="1"/>
        <v>0</v>
      </c>
      <c r="AD59" s="11">
        <f t="shared" si="2"/>
        <v>0</v>
      </c>
      <c r="AE59" s="11">
        <f t="shared" si="3"/>
        <v>-1</v>
      </c>
      <c r="AF59" s="11">
        <f t="shared" si="4"/>
        <v>0</v>
      </c>
      <c r="AG59" s="11">
        <f t="shared" si="5"/>
        <v>0</v>
      </c>
      <c r="AH59" s="11">
        <f t="shared" si="6"/>
        <v>1</v>
      </c>
      <c r="AI59" s="11">
        <f t="shared" si="7"/>
        <v>0</v>
      </c>
      <c r="AJ59" s="11">
        <f t="shared" si="8"/>
        <v>0</v>
      </c>
      <c r="AK59" s="11">
        <f t="shared" si="9"/>
        <v>0</v>
      </c>
      <c r="AL59" s="11">
        <f t="shared" si="10"/>
        <v>0</v>
      </c>
      <c r="AM59" s="11">
        <f t="shared" si="11"/>
        <v>0</v>
      </c>
      <c r="AN59" s="11">
        <f t="shared" si="12"/>
        <v>0</v>
      </c>
      <c r="AO59" s="11">
        <f t="shared" si="13"/>
        <v>0</v>
      </c>
      <c r="AP59" s="11">
        <f t="shared" si="14"/>
        <v>0</v>
      </c>
      <c r="AQ59" s="11">
        <f t="shared" si="15"/>
        <v>0</v>
      </c>
      <c r="AR59" s="11">
        <f t="shared" si="16"/>
        <v>0</v>
      </c>
      <c r="AS59" s="11">
        <f t="shared" si="17"/>
        <v>0</v>
      </c>
      <c r="AT59" s="11">
        <f t="shared" si="18"/>
        <v>0</v>
      </c>
      <c r="AU59" s="11">
        <f t="shared" si="19"/>
        <v>0</v>
      </c>
      <c r="AV59" s="11">
        <f t="shared" si="20"/>
        <v>0</v>
      </c>
      <c r="AW59" s="11">
        <f t="shared" si="21"/>
        <v>0</v>
      </c>
      <c r="AX59" s="11">
        <f t="shared" si="23"/>
        <v>1</v>
      </c>
      <c r="AY59" s="11">
        <f t="shared" si="22"/>
        <v>1</v>
      </c>
    </row>
    <row r="60" spans="1:51" s="12" customFormat="1">
      <c r="A60" s="15">
        <v>44985</v>
      </c>
      <c r="B60" s="436">
        <v>8</v>
      </c>
      <c r="C60" s="436">
        <v>8</v>
      </c>
      <c r="D60" s="436">
        <v>8</v>
      </c>
      <c r="E60" s="436">
        <v>8</v>
      </c>
      <c r="F60" s="436">
        <v>8</v>
      </c>
      <c r="G60" s="436">
        <v>8</v>
      </c>
      <c r="H60" s="436">
        <v>7</v>
      </c>
      <c r="I60" s="436">
        <v>7</v>
      </c>
      <c r="J60" s="436">
        <v>7</v>
      </c>
      <c r="K60" s="436">
        <v>8</v>
      </c>
      <c r="L60" s="436">
        <v>8</v>
      </c>
      <c r="M60" s="436">
        <v>8</v>
      </c>
      <c r="N60" s="436">
        <v>8</v>
      </c>
      <c r="O60" s="436">
        <v>8</v>
      </c>
      <c r="P60" s="436">
        <v>8</v>
      </c>
      <c r="Q60" s="436">
        <v>8</v>
      </c>
      <c r="R60" s="436">
        <v>8</v>
      </c>
      <c r="S60" s="436">
        <v>8</v>
      </c>
      <c r="T60" s="436">
        <v>8</v>
      </c>
      <c r="U60" s="436">
        <v>8</v>
      </c>
      <c r="V60" s="436">
        <v>8</v>
      </c>
      <c r="W60" s="436">
        <v>8</v>
      </c>
      <c r="X60" s="436">
        <v>8</v>
      </c>
      <c r="Y60" s="436">
        <v>8</v>
      </c>
      <c r="Z60" s="11">
        <f t="shared" si="29"/>
        <v>0</v>
      </c>
      <c r="AA60" s="11">
        <f t="shared" si="30"/>
        <v>0</v>
      </c>
      <c r="AB60" s="11">
        <f t="shared" si="0"/>
        <v>0</v>
      </c>
      <c r="AC60" s="11">
        <f t="shared" si="1"/>
        <v>0</v>
      </c>
      <c r="AD60" s="11">
        <f t="shared" si="2"/>
        <v>0</v>
      </c>
      <c r="AE60" s="11">
        <f t="shared" si="3"/>
        <v>0</v>
      </c>
      <c r="AF60" s="11">
        <f t="shared" si="4"/>
        <v>-1</v>
      </c>
      <c r="AG60" s="11">
        <f t="shared" si="5"/>
        <v>0</v>
      </c>
      <c r="AH60" s="11">
        <f t="shared" si="6"/>
        <v>0</v>
      </c>
      <c r="AI60" s="11">
        <f t="shared" si="7"/>
        <v>1</v>
      </c>
      <c r="AJ60" s="11">
        <f t="shared" si="8"/>
        <v>0</v>
      </c>
      <c r="AK60" s="11">
        <f t="shared" si="9"/>
        <v>0</v>
      </c>
      <c r="AL60" s="11">
        <f t="shared" si="10"/>
        <v>0</v>
      </c>
      <c r="AM60" s="11">
        <f t="shared" si="11"/>
        <v>0</v>
      </c>
      <c r="AN60" s="11">
        <f t="shared" si="12"/>
        <v>0</v>
      </c>
      <c r="AO60" s="11">
        <f t="shared" si="13"/>
        <v>0</v>
      </c>
      <c r="AP60" s="11">
        <f t="shared" si="14"/>
        <v>0</v>
      </c>
      <c r="AQ60" s="11">
        <f t="shared" si="15"/>
        <v>0</v>
      </c>
      <c r="AR60" s="11">
        <f t="shared" si="16"/>
        <v>0</v>
      </c>
      <c r="AS60" s="11">
        <f t="shared" si="17"/>
        <v>0</v>
      </c>
      <c r="AT60" s="11">
        <f t="shared" si="18"/>
        <v>0</v>
      </c>
      <c r="AU60" s="11">
        <f t="shared" si="19"/>
        <v>0</v>
      </c>
      <c r="AV60" s="11">
        <f t="shared" si="20"/>
        <v>0</v>
      </c>
      <c r="AW60" s="11">
        <f t="shared" si="21"/>
        <v>0</v>
      </c>
      <c r="AX60" s="11">
        <f t="shared" si="23"/>
        <v>1</v>
      </c>
      <c r="AY60" s="11">
        <f t="shared" si="22"/>
        <v>1</v>
      </c>
    </row>
    <row r="61" spans="1:51" s="12" customFormat="1">
      <c r="A61" s="15">
        <v>44986</v>
      </c>
      <c r="B61" s="436">
        <v>8</v>
      </c>
      <c r="C61" s="436">
        <v>7</v>
      </c>
      <c r="D61" s="436">
        <v>7</v>
      </c>
      <c r="E61" s="436">
        <v>7</v>
      </c>
      <c r="F61" s="436">
        <v>7</v>
      </c>
      <c r="G61" s="436">
        <v>7</v>
      </c>
      <c r="H61" s="436">
        <v>7</v>
      </c>
      <c r="I61" s="436">
        <v>7</v>
      </c>
      <c r="J61" s="436">
        <v>7</v>
      </c>
      <c r="K61" s="436">
        <v>8</v>
      </c>
      <c r="L61" s="436">
        <v>8</v>
      </c>
      <c r="M61" s="436">
        <v>8</v>
      </c>
      <c r="N61" s="436">
        <v>8</v>
      </c>
      <c r="O61" s="436">
        <v>8</v>
      </c>
      <c r="P61" s="436">
        <v>8</v>
      </c>
      <c r="Q61" s="436">
        <v>8</v>
      </c>
      <c r="R61" s="436">
        <v>8</v>
      </c>
      <c r="S61" s="436">
        <v>8</v>
      </c>
      <c r="T61" s="436">
        <v>8</v>
      </c>
      <c r="U61" s="436">
        <v>8</v>
      </c>
      <c r="V61" s="436">
        <v>8</v>
      </c>
      <c r="W61" s="436">
        <v>8</v>
      </c>
      <c r="X61" s="436">
        <v>8</v>
      </c>
      <c r="Y61" s="436">
        <v>8</v>
      </c>
      <c r="Z61" s="11">
        <f t="shared" si="29"/>
        <v>0</v>
      </c>
      <c r="AA61" s="11">
        <f t="shared" si="30"/>
        <v>-1</v>
      </c>
      <c r="AB61" s="11">
        <f t="shared" si="0"/>
        <v>0</v>
      </c>
      <c r="AC61" s="11">
        <f t="shared" si="1"/>
        <v>0</v>
      </c>
      <c r="AD61" s="11">
        <f t="shared" si="2"/>
        <v>0</v>
      </c>
      <c r="AE61" s="11">
        <f t="shared" si="3"/>
        <v>0</v>
      </c>
      <c r="AF61" s="11">
        <f t="shared" si="4"/>
        <v>0</v>
      </c>
      <c r="AG61" s="11">
        <f t="shared" si="5"/>
        <v>0</v>
      </c>
      <c r="AH61" s="11">
        <f t="shared" si="6"/>
        <v>0</v>
      </c>
      <c r="AI61" s="11">
        <f t="shared" si="7"/>
        <v>1</v>
      </c>
      <c r="AJ61" s="11">
        <f t="shared" si="8"/>
        <v>0</v>
      </c>
      <c r="AK61" s="11">
        <f t="shared" si="9"/>
        <v>0</v>
      </c>
      <c r="AL61" s="11">
        <f t="shared" si="10"/>
        <v>0</v>
      </c>
      <c r="AM61" s="11">
        <f t="shared" si="11"/>
        <v>0</v>
      </c>
      <c r="AN61" s="11">
        <f t="shared" si="12"/>
        <v>0</v>
      </c>
      <c r="AO61" s="11">
        <f t="shared" si="13"/>
        <v>0</v>
      </c>
      <c r="AP61" s="11">
        <f t="shared" si="14"/>
        <v>0</v>
      </c>
      <c r="AQ61" s="11">
        <f t="shared" si="15"/>
        <v>0</v>
      </c>
      <c r="AR61" s="11">
        <f t="shared" si="16"/>
        <v>0</v>
      </c>
      <c r="AS61" s="11">
        <f t="shared" si="17"/>
        <v>0</v>
      </c>
      <c r="AT61" s="11">
        <f t="shared" si="18"/>
        <v>0</v>
      </c>
      <c r="AU61" s="11">
        <f t="shared" si="19"/>
        <v>0</v>
      </c>
      <c r="AV61" s="11">
        <f t="shared" si="20"/>
        <v>0</v>
      </c>
      <c r="AW61" s="11">
        <f t="shared" si="21"/>
        <v>0</v>
      </c>
      <c r="AX61" s="11">
        <f t="shared" si="23"/>
        <v>1</v>
      </c>
      <c r="AY61" s="11">
        <f t="shared" si="22"/>
        <v>1</v>
      </c>
    </row>
    <row r="62" spans="1:51" s="12" customFormat="1">
      <c r="A62" s="15">
        <v>44987</v>
      </c>
      <c r="B62" s="436">
        <v>8</v>
      </c>
      <c r="C62" s="436">
        <v>8</v>
      </c>
      <c r="D62" s="436">
        <v>8</v>
      </c>
      <c r="E62" s="436">
        <v>8</v>
      </c>
      <c r="F62" s="436">
        <v>7</v>
      </c>
      <c r="G62" s="436">
        <v>7</v>
      </c>
      <c r="H62" s="436">
        <v>7</v>
      </c>
      <c r="I62" s="436">
        <v>7</v>
      </c>
      <c r="J62" s="436">
        <v>8</v>
      </c>
      <c r="K62" s="436">
        <v>7</v>
      </c>
      <c r="L62" s="436">
        <v>8</v>
      </c>
      <c r="M62" s="436">
        <v>8</v>
      </c>
      <c r="N62" s="436">
        <v>8</v>
      </c>
      <c r="O62" s="436">
        <v>8</v>
      </c>
      <c r="P62" s="436">
        <v>8</v>
      </c>
      <c r="Q62" s="436">
        <v>8</v>
      </c>
      <c r="R62" s="436">
        <v>8</v>
      </c>
      <c r="S62" s="436">
        <v>8</v>
      </c>
      <c r="T62" s="436">
        <v>8</v>
      </c>
      <c r="U62" s="436">
        <v>8</v>
      </c>
      <c r="V62" s="436">
        <v>8</v>
      </c>
      <c r="W62" s="436">
        <v>8</v>
      </c>
      <c r="X62" s="436">
        <v>8</v>
      </c>
      <c r="Y62" s="436">
        <v>8</v>
      </c>
      <c r="Z62" s="11">
        <f t="shared" si="29"/>
        <v>0</v>
      </c>
      <c r="AA62" s="11">
        <f>C62-B62</f>
        <v>0</v>
      </c>
      <c r="AB62" s="11">
        <f t="shared" si="0"/>
        <v>0</v>
      </c>
      <c r="AC62" s="11">
        <f t="shared" si="1"/>
        <v>0</v>
      </c>
      <c r="AD62" s="11">
        <f t="shared" si="2"/>
        <v>-1</v>
      </c>
      <c r="AE62" s="11">
        <f t="shared" si="3"/>
        <v>0</v>
      </c>
      <c r="AF62" s="11">
        <f t="shared" si="4"/>
        <v>0</v>
      </c>
      <c r="AG62" s="11">
        <f t="shared" si="5"/>
        <v>0</v>
      </c>
      <c r="AH62" s="11">
        <f t="shared" si="6"/>
        <v>1</v>
      </c>
      <c r="AI62" s="11">
        <f t="shared" si="7"/>
        <v>-1</v>
      </c>
      <c r="AJ62" s="11">
        <f t="shared" si="8"/>
        <v>1</v>
      </c>
      <c r="AK62" s="11">
        <f t="shared" si="9"/>
        <v>0</v>
      </c>
      <c r="AL62" s="11">
        <f t="shared" si="10"/>
        <v>0</v>
      </c>
      <c r="AM62" s="11">
        <f t="shared" si="11"/>
        <v>0</v>
      </c>
      <c r="AN62" s="11">
        <f t="shared" si="12"/>
        <v>0</v>
      </c>
      <c r="AO62" s="11">
        <f t="shared" si="13"/>
        <v>0</v>
      </c>
      <c r="AP62" s="11">
        <f t="shared" si="14"/>
        <v>0</v>
      </c>
      <c r="AQ62" s="11">
        <f t="shared" si="15"/>
        <v>0</v>
      </c>
      <c r="AR62" s="11">
        <f t="shared" si="16"/>
        <v>0</v>
      </c>
      <c r="AS62" s="11">
        <f t="shared" si="17"/>
        <v>0</v>
      </c>
      <c r="AT62" s="11">
        <f t="shared" si="18"/>
        <v>0</v>
      </c>
      <c r="AU62" s="11">
        <f t="shared" si="19"/>
        <v>0</v>
      </c>
      <c r="AV62" s="11">
        <f t="shared" si="20"/>
        <v>0</v>
      </c>
      <c r="AW62" s="11">
        <f t="shared" si="21"/>
        <v>0</v>
      </c>
      <c r="AX62" s="11">
        <f t="shared" si="23"/>
        <v>2</v>
      </c>
      <c r="AY62" s="11">
        <f t="shared" si="22"/>
        <v>2</v>
      </c>
    </row>
    <row r="63" spans="1:51" s="12" customFormat="1">
      <c r="A63" s="15">
        <v>44988</v>
      </c>
      <c r="B63" s="436">
        <v>8</v>
      </c>
      <c r="C63" s="436">
        <v>8</v>
      </c>
      <c r="D63" s="436">
        <v>8</v>
      </c>
      <c r="E63" s="436">
        <v>8</v>
      </c>
      <c r="F63" s="436">
        <v>8</v>
      </c>
      <c r="G63" s="436">
        <v>7</v>
      </c>
      <c r="H63" s="436">
        <v>7</v>
      </c>
      <c r="I63" s="436">
        <v>7</v>
      </c>
      <c r="J63" s="436">
        <v>7</v>
      </c>
      <c r="K63" s="436">
        <v>6</v>
      </c>
      <c r="L63" s="436">
        <v>8</v>
      </c>
      <c r="M63" s="436">
        <v>8</v>
      </c>
      <c r="N63" s="436">
        <v>8</v>
      </c>
      <c r="O63" s="436">
        <v>8</v>
      </c>
      <c r="P63" s="436">
        <v>8</v>
      </c>
      <c r="Q63" s="436">
        <v>8</v>
      </c>
      <c r="R63" s="436">
        <v>8</v>
      </c>
      <c r="S63" s="436">
        <v>8</v>
      </c>
      <c r="T63" s="436">
        <v>8</v>
      </c>
      <c r="U63" s="436">
        <v>8</v>
      </c>
      <c r="V63" s="436">
        <v>8</v>
      </c>
      <c r="W63" s="436">
        <v>8</v>
      </c>
      <c r="X63" s="436">
        <v>8</v>
      </c>
      <c r="Y63" s="436">
        <v>8</v>
      </c>
      <c r="Z63" s="11">
        <f t="shared" ref="Z63:Z120" si="31">B63-Y62</f>
        <v>0</v>
      </c>
      <c r="AA63" s="11">
        <f t="shared" ref="AA63:AA121" si="32">C63-B63</f>
        <v>0</v>
      </c>
      <c r="AB63" s="11">
        <f t="shared" ref="AB63:AB122" si="33">D63-C63</f>
        <v>0</v>
      </c>
      <c r="AC63" s="11">
        <f t="shared" ref="AC63:AC122" si="34">E63-D63</f>
        <v>0</v>
      </c>
      <c r="AD63" s="11">
        <f t="shared" ref="AD63:AD122" si="35">F63-E63</f>
        <v>0</v>
      </c>
      <c r="AE63" s="11">
        <f t="shared" ref="AE63:AE122" si="36">G63-F63</f>
        <v>-1</v>
      </c>
      <c r="AF63" s="11">
        <f t="shared" ref="AF63:AF122" si="37">H63-G63</f>
        <v>0</v>
      </c>
      <c r="AG63" s="11">
        <f t="shared" ref="AG63:AG122" si="38">I63-H63</f>
        <v>0</v>
      </c>
      <c r="AH63" s="11">
        <f t="shared" ref="AH63:AH122" si="39">J63-I63</f>
        <v>0</v>
      </c>
      <c r="AI63" s="11">
        <f t="shared" ref="AI63:AI122" si="40">K63-J63</f>
        <v>-1</v>
      </c>
      <c r="AJ63" s="11">
        <f t="shared" ref="AJ63:AJ122" si="41">L63-K63</f>
        <v>2</v>
      </c>
      <c r="AK63" s="11">
        <f t="shared" ref="AK63:AK122" si="42">M63-L63</f>
        <v>0</v>
      </c>
      <c r="AL63" s="11">
        <f t="shared" ref="AL63:AL122" si="43">N63-M63</f>
        <v>0</v>
      </c>
      <c r="AM63" s="11">
        <f t="shared" ref="AM63:AM122" si="44">O63-N63</f>
        <v>0</v>
      </c>
      <c r="AN63" s="11">
        <f t="shared" ref="AN63:AN122" si="45">P63-O63</f>
        <v>0</v>
      </c>
      <c r="AO63" s="11">
        <f t="shared" ref="AO63:AO122" si="46">Q63-P63</f>
        <v>0</v>
      </c>
      <c r="AP63" s="11">
        <f t="shared" ref="AP63:AP122" si="47">R63-Q63</f>
        <v>0</v>
      </c>
      <c r="AQ63" s="11">
        <f t="shared" ref="AQ63:AQ122" si="48">S63-R63</f>
        <v>0</v>
      </c>
      <c r="AR63" s="11">
        <f t="shared" ref="AR63:AR122" si="49">T63-S63</f>
        <v>0</v>
      </c>
      <c r="AS63" s="11">
        <f t="shared" ref="AS63:AS122" si="50">U63-T63</f>
        <v>0</v>
      </c>
      <c r="AT63" s="11">
        <f t="shared" ref="AT63:AT122" si="51">V63-U63</f>
        <v>0</v>
      </c>
      <c r="AU63" s="11">
        <f t="shared" ref="AU63:AU122" si="52">W63-V63</f>
        <v>0</v>
      </c>
      <c r="AV63" s="11">
        <f t="shared" ref="AV63:AV122" si="53">X63-W63</f>
        <v>0</v>
      </c>
      <c r="AW63" s="11">
        <f t="shared" ref="AW63:AW122" si="54">Y63-X63</f>
        <v>0</v>
      </c>
      <c r="AX63" s="11">
        <f t="shared" si="23"/>
        <v>2</v>
      </c>
      <c r="AY63" s="11">
        <f t="shared" si="22"/>
        <v>2</v>
      </c>
    </row>
    <row r="64" spans="1:51" s="12" customFormat="1">
      <c r="A64" s="15">
        <v>44989</v>
      </c>
      <c r="B64" s="436">
        <v>8</v>
      </c>
      <c r="C64" s="436">
        <v>8</v>
      </c>
      <c r="D64" s="436">
        <v>8</v>
      </c>
      <c r="E64" s="436">
        <v>8</v>
      </c>
      <c r="F64" s="436">
        <v>7</v>
      </c>
      <c r="G64" s="436">
        <v>8</v>
      </c>
      <c r="H64" s="436">
        <v>7</v>
      </c>
      <c r="I64" s="436">
        <v>7</v>
      </c>
      <c r="J64" s="436">
        <v>7</v>
      </c>
      <c r="K64" s="436">
        <v>8</v>
      </c>
      <c r="L64" s="436">
        <v>8</v>
      </c>
      <c r="M64" s="436">
        <v>8</v>
      </c>
      <c r="N64" s="436">
        <v>8</v>
      </c>
      <c r="O64" s="436">
        <v>8</v>
      </c>
      <c r="P64" s="436">
        <v>8</v>
      </c>
      <c r="Q64" s="436">
        <v>8</v>
      </c>
      <c r="R64" s="436">
        <v>8</v>
      </c>
      <c r="S64" s="436">
        <v>8</v>
      </c>
      <c r="T64" s="436">
        <v>8</v>
      </c>
      <c r="U64" s="436">
        <v>8</v>
      </c>
      <c r="V64" s="436">
        <v>8</v>
      </c>
      <c r="W64" s="436">
        <v>8</v>
      </c>
      <c r="X64" s="436">
        <v>8</v>
      </c>
      <c r="Y64" s="436">
        <v>8</v>
      </c>
      <c r="Z64" s="11">
        <f t="shared" si="31"/>
        <v>0</v>
      </c>
      <c r="AA64" s="11">
        <f t="shared" si="32"/>
        <v>0</v>
      </c>
      <c r="AB64" s="11">
        <f t="shared" si="33"/>
        <v>0</v>
      </c>
      <c r="AC64" s="11">
        <f t="shared" si="34"/>
        <v>0</v>
      </c>
      <c r="AD64" s="11">
        <f t="shared" si="35"/>
        <v>-1</v>
      </c>
      <c r="AE64" s="11">
        <f t="shared" si="36"/>
        <v>1</v>
      </c>
      <c r="AF64" s="11">
        <f t="shared" si="37"/>
        <v>-1</v>
      </c>
      <c r="AG64" s="11">
        <f t="shared" si="38"/>
        <v>0</v>
      </c>
      <c r="AH64" s="11">
        <f t="shared" si="39"/>
        <v>0</v>
      </c>
      <c r="AI64" s="11">
        <f t="shared" si="40"/>
        <v>1</v>
      </c>
      <c r="AJ64" s="11">
        <f t="shared" si="41"/>
        <v>0</v>
      </c>
      <c r="AK64" s="11">
        <f t="shared" si="42"/>
        <v>0</v>
      </c>
      <c r="AL64" s="11">
        <f t="shared" si="43"/>
        <v>0</v>
      </c>
      <c r="AM64" s="11">
        <f t="shared" si="44"/>
        <v>0</v>
      </c>
      <c r="AN64" s="11">
        <f t="shared" si="45"/>
        <v>0</v>
      </c>
      <c r="AO64" s="11">
        <f t="shared" si="46"/>
        <v>0</v>
      </c>
      <c r="AP64" s="11">
        <f t="shared" si="47"/>
        <v>0</v>
      </c>
      <c r="AQ64" s="11">
        <f t="shared" si="48"/>
        <v>0</v>
      </c>
      <c r="AR64" s="11">
        <f t="shared" si="49"/>
        <v>0</v>
      </c>
      <c r="AS64" s="11">
        <f t="shared" si="50"/>
        <v>0</v>
      </c>
      <c r="AT64" s="11">
        <f t="shared" si="51"/>
        <v>0</v>
      </c>
      <c r="AU64" s="11">
        <f t="shared" si="52"/>
        <v>0</v>
      </c>
      <c r="AV64" s="11">
        <f t="shared" si="53"/>
        <v>0</v>
      </c>
      <c r="AW64" s="11">
        <f t="shared" si="54"/>
        <v>0</v>
      </c>
      <c r="AX64" s="11">
        <f t="shared" si="23"/>
        <v>2</v>
      </c>
      <c r="AY64" s="11">
        <f t="shared" si="22"/>
        <v>2</v>
      </c>
    </row>
    <row r="65" spans="1:51" s="12" customFormat="1">
      <c r="A65" s="15">
        <v>44990</v>
      </c>
      <c r="B65" s="436">
        <v>8</v>
      </c>
      <c r="C65" s="436">
        <v>8</v>
      </c>
      <c r="D65" s="436">
        <v>8</v>
      </c>
      <c r="E65" s="436">
        <v>8</v>
      </c>
      <c r="F65" s="436">
        <v>8</v>
      </c>
      <c r="G65" s="436">
        <v>8</v>
      </c>
      <c r="H65" s="436">
        <v>7</v>
      </c>
      <c r="I65" s="436">
        <v>7</v>
      </c>
      <c r="J65" s="436">
        <v>7</v>
      </c>
      <c r="K65" s="436">
        <v>7</v>
      </c>
      <c r="L65" s="436">
        <v>7</v>
      </c>
      <c r="M65" s="436">
        <v>8</v>
      </c>
      <c r="N65" s="436">
        <v>8</v>
      </c>
      <c r="O65" s="436">
        <v>8</v>
      </c>
      <c r="P65" s="436">
        <v>8</v>
      </c>
      <c r="Q65" s="436">
        <v>8</v>
      </c>
      <c r="R65" s="436">
        <v>8</v>
      </c>
      <c r="S65" s="436">
        <v>8</v>
      </c>
      <c r="T65" s="436">
        <v>8</v>
      </c>
      <c r="U65" s="436">
        <v>8</v>
      </c>
      <c r="V65" s="436">
        <v>8</v>
      </c>
      <c r="W65" s="436">
        <v>8</v>
      </c>
      <c r="X65" s="436">
        <v>8</v>
      </c>
      <c r="Y65" s="436">
        <v>8</v>
      </c>
      <c r="Z65" s="11">
        <f t="shared" si="31"/>
        <v>0</v>
      </c>
      <c r="AA65" s="11">
        <f t="shared" si="32"/>
        <v>0</v>
      </c>
      <c r="AB65" s="11">
        <f t="shared" si="33"/>
        <v>0</v>
      </c>
      <c r="AC65" s="11">
        <f t="shared" si="34"/>
        <v>0</v>
      </c>
      <c r="AD65" s="11">
        <f t="shared" si="35"/>
        <v>0</v>
      </c>
      <c r="AE65" s="11">
        <f t="shared" si="36"/>
        <v>0</v>
      </c>
      <c r="AF65" s="11">
        <f t="shared" si="37"/>
        <v>-1</v>
      </c>
      <c r="AG65" s="11">
        <f t="shared" si="38"/>
        <v>0</v>
      </c>
      <c r="AH65" s="11">
        <f t="shared" si="39"/>
        <v>0</v>
      </c>
      <c r="AI65" s="11">
        <f t="shared" si="40"/>
        <v>0</v>
      </c>
      <c r="AJ65" s="11">
        <f t="shared" si="41"/>
        <v>0</v>
      </c>
      <c r="AK65" s="11">
        <f t="shared" si="42"/>
        <v>1</v>
      </c>
      <c r="AL65" s="11">
        <f t="shared" si="43"/>
        <v>0</v>
      </c>
      <c r="AM65" s="11">
        <f t="shared" si="44"/>
        <v>0</v>
      </c>
      <c r="AN65" s="11">
        <f t="shared" si="45"/>
        <v>0</v>
      </c>
      <c r="AO65" s="11">
        <f t="shared" si="46"/>
        <v>0</v>
      </c>
      <c r="AP65" s="11">
        <f t="shared" si="47"/>
        <v>0</v>
      </c>
      <c r="AQ65" s="11">
        <f t="shared" si="48"/>
        <v>0</v>
      </c>
      <c r="AR65" s="11">
        <f t="shared" si="49"/>
        <v>0</v>
      </c>
      <c r="AS65" s="11">
        <f t="shared" si="50"/>
        <v>0</v>
      </c>
      <c r="AT65" s="11">
        <f t="shared" si="51"/>
        <v>0</v>
      </c>
      <c r="AU65" s="11">
        <f t="shared" si="52"/>
        <v>0</v>
      </c>
      <c r="AV65" s="11">
        <f t="shared" si="53"/>
        <v>0</v>
      </c>
      <c r="AW65" s="11">
        <f t="shared" si="54"/>
        <v>0</v>
      </c>
      <c r="AX65" s="11">
        <f t="shared" si="23"/>
        <v>1</v>
      </c>
      <c r="AY65" s="11">
        <f t="shared" si="22"/>
        <v>1</v>
      </c>
    </row>
    <row r="66" spans="1:51" s="12" customFormat="1">
      <c r="A66" s="15">
        <v>44991</v>
      </c>
      <c r="B66" s="436">
        <v>8</v>
      </c>
      <c r="C66" s="436">
        <v>8</v>
      </c>
      <c r="D66" s="436">
        <v>8</v>
      </c>
      <c r="E66" s="436">
        <v>8</v>
      </c>
      <c r="F66" s="436">
        <v>8</v>
      </c>
      <c r="G66" s="436">
        <v>8</v>
      </c>
      <c r="H66" s="436">
        <v>7</v>
      </c>
      <c r="I66" s="436">
        <v>7</v>
      </c>
      <c r="J66" s="436">
        <v>7</v>
      </c>
      <c r="K66" s="436">
        <v>7</v>
      </c>
      <c r="L66" s="436">
        <v>8</v>
      </c>
      <c r="M66" s="436">
        <v>8</v>
      </c>
      <c r="N66" s="436">
        <v>8</v>
      </c>
      <c r="O66" s="436">
        <v>8</v>
      </c>
      <c r="P66" s="436">
        <v>8</v>
      </c>
      <c r="Q66" s="436">
        <v>8</v>
      </c>
      <c r="R66" s="436">
        <v>8</v>
      </c>
      <c r="S66" s="436">
        <v>8</v>
      </c>
      <c r="T66" s="436">
        <v>8</v>
      </c>
      <c r="U66" s="436">
        <v>8</v>
      </c>
      <c r="V66" s="436">
        <v>8</v>
      </c>
      <c r="W66" s="436">
        <v>8</v>
      </c>
      <c r="X66" s="436">
        <v>8</v>
      </c>
      <c r="Y66" s="436">
        <v>8</v>
      </c>
      <c r="Z66" s="11">
        <f t="shared" si="31"/>
        <v>0</v>
      </c>
      <c r="AA66" s="11">
        <f t="shared" si="32"/>
        <v>0</v>
      </c>
      <c r="AB66" s="11">
        <f t="shared" si="33"/>
        <v>0</v>
      </c>
      <c r="AC66" s="11">
        <f t="shared" si="34"/>
        <v>0</v>
      </c>
      <c r="AD66" s="11">
        <f t="shared" si="35"/>
        <v>0</v>
      </c>
      <c r="AE66" s="11">
        <f t="shared" si="36"/>
        <v>0</v>
      </c>
      <c r="AF66" s="11">
        <f t="shared" si="37"/>
        <v>-1</v>
      </c>
      <c r="AG66" s="11">
        <f t="shared" si="38"/>
        <v>0</v>
      </c>
      <c r="AH66" s="11">
        <f t="shared" si="39"/>
        <v>0</v>
      </c>
      <c r="AI66" s="11">
        <f t="shared" si="40"/>
        <v>0</v>
      </c>
      <c r="AJ66" s="11">
        <f t="shared" si="41"/>
        <v>1</v>
      </c>
      <c r="AK66" s="11">
        <f t="shared" si="42"/>
        <v>0</v>
      </c>
      <c r="AL66" s="11">
        <f t="shared" si="43"/>
        <v>0</v>
      </c>
      <c r="AM66" s="11">
        <f t="shared" si="44"/>
        <v>0</v>
      </c>
      <c r="AN66" s="11">
        <f t="shared" si="45"/>
        <v>0</v>
      </c>
      <c r="AO66" s="11">
        <f t="shared" si="46"/>
        <v>0</v>
      </c>
      <c r="AP66" s="11">
        <f t="shared" si="47"/>
        <v>0</v>
      </c>
      <c r="AQ66" s="11">
        <f t="shared" si="48"/>
        <v>0</v>
      </c>
      <c r="AR66" s="11">
        <f t="shared" si="49"/>
        <v>0</v>
      </c>
      <c r="AS66" s="11">
        <f t="shared" si="50"/>
        <v>0</v>
      </c>
      <c r="AT66" s="11">
        <f t="shared" si="51"/>
        <v>0</v>
      </c>
      <c r="AU66" s="11">
        <f t="shared" si="52"/>
        <v>0</v>
      </c>
      <c r="AV66" s="11">
        <f t="shared" si="53"/>
        <v>0</v>
      </c>
      <c r="AW66" s="11">
        <f t="shared" si="54"/>
        <v>0</v>
      </c>
      <c r="AX66" s="11">
        <f t="shared" ref="AX66:AX122" si="55">SUMIF(Z66:AW66,"&gt;0")</f>
        <v>1</v>
      </c>
      <c r="AY66" s="11">
        <f t="shared" ref="AY66:AY122" si="56">SUMIF(Z66:AW66,"&lt;0")*-1</f>
        <v>1</v>
      </c>
    </row>
    <row r="67" spans="1:51" s="12" customFormat="1">
      <c r="A67" s="15">
        <v>44992</v>
      </c>
      <c r="B67" s="436">
        <v>8</v>
      </c>
      <c r="C67" s="436">
        <v>8</v>
      </c>
      <c r="D67" s="436">
        <v>8</v>
      </c>
      <c r="E67" s="436">
        <v>8</v>
      </c>
      <c r="F67" s="436">
        <v>8</v>
      </c>
      <c r="G67" s="436">
        <v>8</v>
      </c>
      <c r="H67" s="436">
        <v>7</v>
      </c>
      <c r="I67" s="436">
        <v>8</v>
      </c>
      <c r="J67" s="436">
        <v>8</v>
      </c>
      <c r="K67" s="436">
        <v>8</v>
      </c>
      <c r="L67" s="436">
        <v>8</v>
      </c>
      <c r="M67" s="436">
        <v>8</v>
      </c>
      <c r="N67" s="436">
        <v>8</v>
      </c>
      <c r="O67" s="436">
        <v>8</v>
      </c>
      <c r="P67" s="436">
        <v>8</v>
      </c>
      <c r="Q67" s="436">
        <v>8</v>
      </c>
      <c r="R67" s="436">
        <v>8</v>
      </c>
      <c r="S67" s="436">
        <v>8</v>
      </c>
      <c r="T67" s="436">
        <v>8</v>
      </c>
      <c r="U67" s="436">
        <v>8</v>
      </c>
      <c r="V67" s="436">
        <v>8</v>
      </c>
      <c r="W67" s="436">
        <v>8</v>
      </c>
      <c r="X67" s="436">
        <v>8</v>
      </c>
      <c r="Y67" s="436">
        <v>8</v>
      </c>
      <c r="Z67" s="11">
        <f t="shared" si="31"/>
        <v>0</v>
      </c>
      <c r="AA67" s="11">
        <f t="shared" si="32"/>
        <v>0</v>
      </c>
      <c r="AB67" s="11">
        <f t="shared" si="33"/>
        <v>0</v>
      </c>
      <c r="AC67" s="11">
        <f t="shared" si="34"/>
        <v>0</v>
      </c>
      <c r="AD67" s="11">
        <f t="shared" si="35"/>
        <v>0</v>
      </c>
      <c r="AE67" s="11">
        <f t="shared" si="36"/>
        <v>0</v>
      </c>
      <c r="AF67" s="11">
        <f t="shared" si="37"/>
        <v>-1</v>
      </c>
      <c r="AG67" s="11">
        <f t="shared" si="38"/>
        <v>1</v>
      </c>
      <c r="AH67" s="11">
        <f t="shared" si="39"/>
        <v>0</v>
      </c>
      <c r="AI67" s="11">
        <f t="shared" si="40"/>
        <v>0</v>
      </c>
      <c r="AJ67" s="11">
        <f t="shared" si="41"/>
        <v>0</v>
      </c>
      <c r="AK67" s="11">
        <f t="shared" si="42"/>
        <v>0</v>
      </c>
      <c r="AL67" s="11">
        <f t="shared" si="43"/>
        <v>0</v>
      </c>
      <c r="AM67" s="11">
        <f t="shared" si="44"/>
        <v>0</v>
      </c>
      <c r="AN67" s="11">
        <f t="shared" si="45"/>
        <v>0</v>
      </c>
      <c r="AO67" s="11">
        <f t="shared" si="46"/>
        <v>0</v>
      </c>
      <c r="AP67" s="11">
        <f t="shared" si="47"/>
        <v>0</v>
      </c>
      <c r="AQ67" s="11">
        <f t="shared" si="48"/>
        <v>0</v>
      </c>
      <c r="AR67" s="11">
        <f t="shared" si="49"/>
        <v>0</v>
      </c>
      <c r="AS67" s="11">
        <f t="shared" si="50"/>
        <v>0</v>
      </c>
      <c r="AT67" s="11">
        <f t="shared" si="51"/>
        <v>0</v>
      </c>
      <c r="AU67" s="11">
        <f t="shared" si="52"/>
        <v>0</v>
      </c>
      <c r="AV67" s="11">
        <f t="shared" si="53"/>
        <v>0</v>
      </c>
      <c r="AW67" s="11">
        <f t="shared" si="54"/>
        <v>0</v>
      </c>
      <c r="AX67" s="11">
        <f t="shared" si="55"/>
        <v>1</v>
      </c>
      <c r="AY67" s="11">
        <f t="shared" si="56"/>
        <v>1</v>
      </c>
    </row>
    <row r="68" spans="1:51" s="12" customFormat="1">
      <c r="A68" s="15">
        <v>44993</v>
      </c>
      <c r="B68" s="436">
        <v>8</v>
      </c>
      <c r="C68" s="436">
        <v>8</v>
      </c>
      <c r="D68" s="436">
        <v>8</v>
      </c>
      <c r="E68" s="436">
        <v>8</v>
      </c>
      <c r="F68" s="436">
        <v>8</v>
      </c>
      <c r="G68" s="436">
        <v>8</v>
      </c>
      <c r="H68" s="436">
        <v>7</v>
      </c>
      <c r="I68" s="436">
        <v>7</v>
      </c>
      <c r="J68" s="436">
        <v>7</v>
      </c>
      <c r="K68" s="436">
        <v>8</v>
      </c>
      <c r="L68" s="436">
        <v>8</v>
      </c>
      <c r="M68" s="436">
        <v>8</v>
      </c>
      <c r="N68" s="436">
        <v>8</v>
      </c>
      <c r="O68" s="436">
        <v>8</v>
      </c>
      <c r="P68" s="436">
        <v>8</v>
      </c>
      <c r="Q68" s="436">
        <v>8</v>
      </c>
      <c r="R68" s="436">
        <v>8</v>
      </c>
      <c r="S68" s="436">
        <v>8</v>
      </c>
      <c r="T68" s="436">
        <v>8</v>
      </c>
      <c r="U68" s="436">
        <v>8</v>
      </c>
      <c r="V68" s="436">
        <v>8</v>
      </c>
      <c r="W68" s="436">
        <v>8</v>
      </c>
      <c r="X68" s="436">
        <v>8</v>
      </c>
      <c r="Y68" s="436">
        <v>8</v>
      </c>
      <c r="Z68" s="11">
        <f t="shared" si="31"/>
        <v>0</v>
      </c>
      <c r="AA68" s="11">
        <f t="shared" si="32"/>
        <v>0</v>
      </c>
      <c r="AB68" s="11">
        <f t="shared" si="33"/>
        <v>0</v>
      </c>
      <c r="AC68" s="11">
        <f t="shared" si="34"/>
        <v>0</v>
      </c>
      <c r="AD68" s="11">
        <f t="shared" si="35"/>
        <v>0</v>
      </c>
      <c r="AE68" s="11">
        <f t="shared" si="36"/>
        <v>0</v>
      </c>
      <c r="AF68" s="11">
        <f t="shared" si="37"/>
        <v>-1</v>
      </c>
      <c r="AG68" s="11">
        <f t="shared" si="38"/>
        <v>0</v>
      </c>
      <c r="AH68" s="11">
        <f t="shared" si="39"/>
        <v>0</v>
      </c>
      <c r="AI68" s="11">
        <f t="shared" si="40"/>
        <v>1</v>
      </c>
      <c r="AJ68" s="11">
        <f t="shared" si="41"/>
        <v>0</v>
      </c>
      <c r="AK68" s="11">
        <f t="shared" si="42"/>
        <v>0</v>
      </c>
      <c r="AL68" s="11">
        <f t="shared" si="43"/>
        <v>0</v>
      </c>
      <c r="AM68" s="11">
        <f t="shared" si="44"/>
        <v>0</v>
      </c>
      <c r="AN68" s="11">
        <f t="shared" si="45"/>
        <v>0</v>
      </c>
      <c r="AO68" s="11">
        <f t="shared" si="46"/>
        <v>0</v>
      </c>
      <c r="AP68" s="11">
        <f t="shared" si="47"/>
        <v>0</v>
      </c>
      <c r="AQ68" s="11">
        <f t="shared" si="48"/>
        <v>0</v>
      </c>
      <c r="AR68" s="11">
        <f t="shared" si="49"/>
        <v>0</v>
      </c>
      <c r="AS68" s="11">
        <f t="shared" si="50"/>
        <v>0</v>
      </c>
      <c r="AT68" s="11">
        <f t="shared" si="51"/>
        <v>0</v>
      </c>
      <c r="AU68" s="11">
        <f t="shared" si="52"/>
        <v>0</v>
      </c>
      <c r="AV68" s="11">
        <f t="shared" si="53"/>
        <v>0</v>
      </c>
      <c r="AW68" s="11">
        <f t="shared" si="54"/>
        <v>0</v>
      </c>
      <c r="AX68" s="11">
        <f t="shared" si="55"/>
        <v>1</v>
      </c>
      <c r="AY68" s="11">
        <f t="shared" si="56"/>
        <v>1</v>
      </c>
    </row>
    <row r="69" spans="1:51" s="12" customFormat="1">
      <c r="A69" s="15">
        <v>44994</v>
      </c>
      <c r="B69" s="436">
        <v>8</v>
      </c>
      <c r="C69" s="436">
        <v>8</v>
      </c>
      <c r="D69" s="436">
        <v>8</v>
      </c>
      <c r="E69" s="436">
        <v>8</v>
      </c>
      <c r="F69" s="436">
        <v>8</v>
      </c>
      <c r="G69" s="436">
        <v>7</v>
      </c>
      <c r="H69" s="436">
        <v>8</v>
      </c>
      <c r="I69" s="436">
        <v>7</v>
      </c>
      <c r="J69" s="436">
        <v>7</v>
      </c>
      <c r="K69" s="436">
        <v>8</v>
      </c>
      <c r="L69" s="436">
        <v>8</v>
      </c>
      <c r="M69" s="436">
        <v>8</v>
      </c>
      <c r="N69" s="436">
        <v>8</v>
      </c>
      <c r="O69" s="436">
        <v>8</v>
      </c>
      <c r="P69" s="436">
        <v>8</v>
      </c>
      <c r="Q69" s="436">
        <v>8</v>
      </c>
      <c r="R69" s="436">
        <v>8</v>
      </c>
      <c r="S69" s="436">
        <v>8</v>
      </c>
      <c r="T69" s="436">
        <v>8</v>
      </c>
      <c r="U69" s="436">
        <v>8</v>
      </c>
      <c r="V69" s="436">
        <v>8</v>
      </c>
      <c r="W69" s="436">
        <v>8</v>
      </c>
      <c r="X69" s="436">
        <v>8</v>
      </c>
      <c r="Y69" s="436">
        <v>8</v>
      </c>
      <c r="Z69" s="11">
        <f t="shared" si="31"/>
        <v>0</v>
      </c>
      <c r="AA69" s="11">
        <f t="shared" si="32"/>
        <v>0</v>
      </c>
      <c r="AB69" s="11">
        <f t="shared" si="33"/>
        <v>0</v>
      </c>
      <c r="AC69" s="11">
        <f t="shared" si="34"/>
        <v>0</v>
      </c>
      <c r="AD69" s="11">
        <f t="shared" si="35"/>
        <v>0</v>
      </c>
      <c r="AE69" s="11">
        <f t="shared" si="36"/>
        <v>-1</v>
      </c>
      <c r="AF69" s="11">
        <f t="shared" si="37"/>
        <v>1</v>
      </c>
      <c r="AG69" s="11">
        <f t="shared" si="38"/>
        <v>-1</v>
      </c>
      <c r="AH69" s="11">
        <f t="shared" si="39"/>
        <v>0</v>
      </c>
      <c r="AI69" s="11">
        <f t="shared" si="40"/>
        <v>1</v>
      </c>
      <c r="AJ69" s="11">
        <f t="shared" si="41"/>
        <v>0</v>
      </c>
      <c r="AK69" s="11">
        <f t="shared" si="42"/>
        <v>0</v>
      </c>
      <c r="AL69" s="11">
        <f t="shared" si="43"/>
        <v>0</v>
      </c>
      <c r="AM69" s="11">
        <f t="shared" si="44"/>
        <v>0</v>
      </c>
      <c r="AN69" s="11">
        <f t="shared" si="45"/>
        <v>0</v>
      </c>
      <c r="AO69" s="11">
        <f t="shared" si="46"/>
        <v>0</v>
      </c>
      <c r="AP69" s="11">
        <f t="shared" si="47"/>
        <v>0</v>
      </c>
      <c r="AQ69" s="11">
        <f t="shared" si="48"/>
        <v>0</v>
      </c>
      <c r="AR69" s="11">
        <f t="shared" si="49"/>
        <v>0</v>
      </c>
      <c r="AS69" s="11">
        <f t="shared" si="50"/>
        <v>0</v>
      </c>
      <c r="AT69" s="11">
        <f t="shared" si="51"/>
        <v>0</v>
      </c>
      <c r="AU69" s="11">
        <f t="shared" si="52"/>
        <v>0</v>
      </c>
      <c r="AV69" s="11">
        <f t="shared" si="53"/>
        <v>0</v>
      </c>
      <c r="AW69" s="11">
        <f t="shared" si="54"/>
        <v>0</v>
      </c>
      <c r="AX69" s="11">
        <f t="shared" si="55"/>
        <v>2</v>
      </c>
      <c r="AY69" s="11">
        <f t="shared" si="56"/>
        <v>2</v>
      </c>
    </row>
    <row r="70" spans="1:51" s="12" customFormat="1">
      <c r="A70" s="15">
        <v>44995</v>
      </c>
      <c r="B70" s="436">
        <v>8</v>
      </c>
      <c r="C70" s="436">
        <v>8</v>
      </c>
      <c r="D70" s="436">
        <v>8</v>
      </c>
      <c r="E70" s="436">
        <v>8</v>
      </c>
      <c r="F70" s="436">
        <v>8</v>
      </c>
      <c r="G70" s="436">
        <v>8</v>
      </c>
      <c r="H70" s="436">
        <v>7</v>
      </c>
      <c r="I70" s="436">
        <v>7</v>
      </c>
      <c r="J70" s="436">
        <v>7</v>
      </c>
      <c r="K70" s="436">
        <v>8</v>
      </c>
      <c r="L70" s="436">
        <v>8</v>
      </c>
      <c r="M70" s="436">
        <v>8</v>
      </c>
      <c r="N70" s="436">
        <v>8</v>
      </c>
      <c r="O70" s="436">
        <v>8</v>
      </c>
      <c r="P70" s="436">
        <v>8</v>
      </c>
      <c r="Q70" s="436">
        <v>8</v>
      </c>
      <c r="R70" s="436">
        <v>8</v>
      </c>
      <c r="S70" s="436">
        <v>8</v>
      </c>
      <c r="T70" s="436">
        <v>8</v>
      </c>
      <c r="U70" s="436">
        <v>8</v>
      </c>
      <c r="V70" s="436">
        <v>8</v>
      </c>
      <c r="W70" s="436">
        <v>8</v>
      </c>
      <c r="X70" s="436">
        <v>8</v>
      </c>
      <c r="Y70" s="436">
        <v>8</v>
      </c>
      <c r="Z70" s="11">
        <f t="shared" si="31"/>
        <v>0</v>
      </c>
      <c r="AA70" s="11">
        <f t="shared" si="32"/>
        <v>0</v>
      </c>
      <c r="AB70" s="11">
        <f t="shared" si="33"/>
        <v>0</v>
      </c>
      <c r="AC70" s="11">
        <f t="shared" si="34"/>
        <v>0</v>
      </c>
      <c r="AD70" s="11">
        <f t="shared" si="35"/>
        <v>0</v>
      </c>
      <c r="AE70" s="11">
        <f t="shared" si="36"/>
        <v>0</v>
      </c>
      <c r="AF70" s="11">
        <f t="shared" si="37"/>
        <v>-1</v>
      </c>
      <c r="AG70" s="11">
        <f t="shared" si="38"/>
        <v>0</v>
      </c>
      <c r="AH70" s="11">
        <f t="shared" si="39"/>
        <v>0</v>
      </c>
      <c r="AI70" s="11">
        <f t="shared" si="40"/>
        <v>1</v>
      </c>
      <c r="AJ70" s="11">
        <f t="shared" si="41"/>
        <v>0</v>
      </c>
      <c r="AK70" s="11">
        <f t="shared" si="42"/>
        <v>0</v>
      </c>
      <c r="AL70" s="11">
        <f t="shared" si="43"/>
        <v>0</v>
      </c>
      <c r="AM70" s="11">
        <f t="shared" si="44"/>
        <v>0</v>
      </c>
      <c r="AN70" s="11">
        <f t="shared" si="45"/>
        <v>0</v>
      </c>
      <c r="AO70" s="11">
        <f t="shared" si="46"/>
        <v>0</v>
      </c>
      <c r="AP70" s="11">
        <f t="shared" si="47"/>
        <v>0</v>
      </c>
      <c r="AQ70" s="11">
        <f t="shared" si="48"/>
        <v>0</v>
      </c>
      <c r="AR70" s="11">
        <f t="shared" si="49"/>
        <v>0</v>
      </c>
      <c r="AS70" s="11">
        <f t="shared" si="50"/>
        <v>0</v>
      </c>
      <c r="AT70" s="11">
        <f t="shared" si="51"/>
        <v>0</v>
      </c>
      <c r="AU70" s="11">
        <f t="shared" si="52"/>
        <v>0</v>
      </c>
      <c r="AV70" s="11">
        <f t="shared" si="53"/>
        <v>0</v>
      </c>
      <c r="AW70" s="11">
        <f t="shared" si="54"/>
        <v>0</v>
      </c>
      <c r="AX70" s="11">
        <f t="shared" si="55"/>
        <v>1</v>
      </c>
      <c r="AY70" s="11">
        <f t="shared" si="56"/>
        <v>1</v>
      </c>
    </row>
    <row r="71" spans="1:51" s="12" customFormat="1">
      <c r="A71" s="15">
        <v>44996</v>
      </c>
      <c r="B71" s="436">
        <v>7</v>
      </c>
      <c r="C71" s="436">
        <v>7</v>
      </c>
      <c r="D71" s="436">
        <v>7</v>
      </c>
      <c r="E71" s="436">
        <v>7</v>
      </c>
      <c r="F71" s="436">
        <v>7</v>
      </c>
      <c r="G71" s="436">
        <v>7</v>
      </c>
      <c r="H71" s="436">
        <v>7</v>
      </c>
      <c r="I71" s="436">
        <v>6</v>
      </c>
      <c r="J71" s="436">
        <v>6</v>
      </c>
      <c r="K71" s="436">
        <v>6</v>
      </c>
      <c r="L71" s="436">
        <v>7</v>
      </c>
      <c r="M71" s="436">
        <v>8</v>
      </c>
      <c r="N71" s="436">
        <v>8</v>
      </c>
      <c r="O71" s="436">
        <v>8</v>
      </c>
      <c r="P71" s="436">
        <v>8</v>
      </c>
      <c r="Q71" s="436">
        <v>8</v>
      </c>
      <c r="R71" s="436">
        <v>8</v>
      </c>
      <c r="S71" s="436">
        <v>8</v>
      </c>
      <c r="T71" s="436">
        <v>8</v>
      </c>
      <c r="U71" s="436">
        <v>8</v>
      </c>
      <c r="V71" s="436">
        <v>8</v>
      </c>
      <c r="W71" s="436">
        <v>8</v>
      </c>
      <c r="X71" s="436">
        <v>8</v>
      </c>
      <c r="Y71" s="436">
        <v>8</v>
      </c>
      <c r="Z71" s="11">
        <f t="shared" si="31"/>
        <v>-1</v>
      </c>
      <c r="AA71" s="11">
        <f t="shared" si="32"/>
        <v>0</v>
      </c>
      <c r="AB71" s="11">
        <f t="shared" si="33"/>
        <v>0</v>
      </c>
      <c r="AC71" s="11">
        <f t="shared" si="34"/>
        <v>0</v>
      </c>
      <c r="AD71" s="11">
        <f t="shared" si="35"/>
        <v>0</v>
      </c>
      <c r="AE71" s="11">
        <f t="shared" si="36"/>
        <v>0</v>
      </c>
      <c r="AF71" s="11">
        <f t="shared" si="37"/>
        <v>0</v>
      </c>
      <c r="AG71" s="11">
        <f t="shared" si="38"/>
        <v>-1</v>
      </c>
      <c r="AH71" s="11">
        <f t="shared" si="39"/>
        <v>0</v>
      </c>
      <c r="AI71" s="11">
        <f t="shared" si="40"/>
        <v>0</v>
      </c>
      <c r="AJ71" s="11">
        <f t="shared" si="41"/>
        <v>1</v>
      </c>
      <c r="AK71" s="11">
        <f t="shared" si="42"/>
        <v>1</v>
      </c>
      <c r="AL71" s="11">
        <f t="shared" si="43"/>
        <v>0</v>
      </c>
      <c r="AM71" s="11">
        <f t="shared" si="44"/>
        <v>0</v>
      </c>
      <c r="AN71" s="11">
        <f t="shared" si="45"/>
        <v>0</v>
      </c>
      <c r="AO71" s="11">
        <f t="shared" si="46"/>
        <v>0</v>
      </c>
      <c r="AP71" s="11">
        <f t="shared" si="47"/>
        <v>0</v>
      </c>
      <c r="AQ71" s="11">
        <f t="shared" si="48"/>
        <v>0</v>
      </c>
      <c r="AR71" s="11">
        <f t="shared" si="49"/>
        <v>0</v>
      </c>
      <c r="AS71" s="11">
        <f t="shared" si="50"/>
        <v>0</v>
      </c>
      <c r="AT71" s="11">
        <f t="shared" si="51"/>
        <v>0</v>
      </c>
      <c r="AU71" s="11">
        <f t="shared" si="52"/>
        <v>0</v>
      </c>
      <c r="AV71" s="11">
        <f t="shared" si="53"/>
        <v>0</v>
      </c>
      <c r="AW71" s="11">
        <f t="shared" si="54"/>
        <v>0</v>
      </c>
      <c r="AX71" s="11">
        <f t="shared" si="55"/>
        <v>2</v>
      </c>
      <c r="AY71" s="11">
        <f t="shared" si="56"/>
        <v>2</v>
      </c>
    </row>
    <row r="72" spans="1:51" s="12" customFormat="1">
      <c r="A72" s="15">
        <v>44997</v>
      </c>
      <c r="B72" s="436">
        <v>8</v>
      </c>
      <c r="C72" s="436">
        <v>8</v>
      </c>
      <c r="D72" s="436">
        <v>8</v>
      </c>
      <c r="E72" s="436">
        <v>7</v>
      </c>
      <c r="F72" s="436">
        <v>7</v>
      </c>
      <c r="G72" s="436">
        <v>7</v>
      </c>
      <c r="H72" s="436">
        <v>7</v>
      </c>
      <c r="I72" s="436">
        <v>7</v>
      </c>
      <c r="J72" s="436">
        <v>7</v>
      </c>
      <c r="K72" s="436">
        <v>7</v>
      </c>
      <c r="L72" s="436">
        <v>7</v>
      </c>
      <c r="M72" s="436">
        <v>7</v>
      </c>
      <c r="N72" s="436">
        <v>7</v>
      </c>
      <c r="O72" s="436">
        <v>7</v>
      </c>
      <c r="P72" s="436">
        <v>7</v>
      </c>
      <c r="Q72" s="436">
        <v>7</v>
      </c>
      <c r="R72" s="436">
        <v>7</v>
      </c>
      <c r="S72" s="436">
        <v>7</v>
      </c>
      <c r="T72" s="436">
        <v>7</v>
      </c>
      <c r="U72" s="436">
        <v>7</v>
      </c>
      <c r="V72" s="436">
        <v>7</v>
      </c>
      <c r="W72" s="436">
        <v>7</v>
      </c>
      <c r="X72" s="436">
        <v>8</v>
      </c>
      <c r="Y72" s="436">
        <v>8</v>
      </c>
      <c r="Z72" s="11">
        <f t="shared" si="31"/>
        <v>0</v>
      </c>
      <c r="AA72" s="11">
        <f t="shared" si="32"/>
        <v>0</v>
      </c>
      <c r="AB72" s="11">
        <f t="shared" si="33"/>
        <v>0</v>
      </c>
      <c r="AC72" s="11">
        <f t="shared" si="34"/>
        <v>-1</v>
      </c>
      <c r="AD72" s="11">
        <f t="shared" si="35"/>
        <v>0</v>
      </c>
      <c r="AE72" s="11">
        <f t="shared" si="36"/>
        <v>0</v>
      </c>
      <c r="AF72" s="11">
        <f t="shared" si="37"/>
        <v>0</v>
      </c>
      <c r="AG72" s="11">
        <f t="shared" si="38"/>
        <v>0</v>
      </c>
      <c r="AH72" s="11">
        <f t="shared" si="39"/>
        <v>0</v>
      </c>
      <c r="AI72" s="11">
        <f t="shared" si="40"/>
        <v>0</v>
      </c>
      <c r="AJ72" s="11">
        <f t="shared" si="41"/>
        <v>0</v>
      </c>
      <c r="AK72" s="11">
        <f t="shared" si="42"/>
        <v>0</v>
      </c>
      <c r="AL72" s="11">
        <f t="shared" si="43"/>
        <v>0</v>
      </c>
      <c r="AM72" s="11">
        <f t="shared" si="44"/>
        <v>0</v>
      </c>
      <c r="AN72" s="11">
        <f t="shared" si="45"/>
        <v>0</v>
      </c>
      <c r="AO72" s="11">
        <f t="shared" si="46"/>
        <v>0</v>
      </c>
      <c r="AP72" s="11">
        <f t="shared" si="47"/>
        <v>0</v>
      </c>
      <c r="AQ72" s="11">
        <f t="shared" si="48"/>
        <v>0</v>
      </c>
      <c r="AR72" s="11">
        <f t="shared" si="49"/>
        <v>0</v>
      </c>
      <c r="AS72" s="11">
        <f t="shared" si="50"/>
        <v>0</v>
      </c>
      <c r="AT72" s="11">
        <f t="shared" si="51"/>
        <v>0</v>
      </c>
      <c r="AU72" s="11">
        <f t="shared" si="52"/>
        <v>0</v>
      </c>
      <c r="AV72" s="11">
        <f t="shared" si="53"/>
        <v>1</v>
      </c>
      <c r="AW72" s="11">
        <f t="shared" si="54"/>
        <v>0</v>
      </c>
      <c r="AX72" s="11">
        <f t="shared" si="55"/>
        <v>1</v>
      </c>
      <c r="AY72" s="11">
        <f t="shared" si="56"/>
        <v>1</v>
      </c>
    </row>
    <row r="73" spans="1:51" s="12" customFormat="1">
      <c r="A73" s="15">
        <v>44998</v>
      </c>
      <c r="B73" s="436">
        <v>8</v>
      </c>
      <c r="C73" s="436">
        <v>8</v>
      </c>
      <c r="D73" s="436">
        <v>8</v>
      </c>
      <c r="E73" s="436">
        <v>8</v>
      </c>
      <c r="F73" s="436">
        <v>8</v>
      </c>
      <c r="G73" s="436">
        <v>7</v>
      </c>
      <c r="H73" s="436">
        <v>7</v>
      </c>
      <c r="I73" s="436">
        <v>7</v>
      </c>
      <c r="J73" s="436">
        <v>8</v>
      </c>
      <c r="K73" s="436">
        <v>8</v>
      </c>
      <c r="L73" s="436">
        <v>8</v>
      </c>
      <c r="M73" s="436">
        <v>8</v>
      </c>
      <c r="N73" s="436">
        <v>8</v>
      </c>
      <c r="O73" s="436">
        <v>8</v>
      </c>
      <c r="P73" s="436">
        <v>8</v>
      </c>
      <c r="Q73" s="436">
        <v>8</v>
      </c>
      <c r="R73" s="436">
        <v>8</v>
      </c>
      <c r="S73" s="436">
        <v>8</v>
      </c>
      <c r="T73" s="436">
        <v>8</v>
      </c>
      <c r="U73" s="436">
        <v>8</v>
      </c>
      <c r="V73" s="436">
        <v>8</v>
      </c>
      <c r="W73" s="436">
        <v>8</v>
      </c>
      <c r="X73" s="436">
        <v>8</v>
      </c>
      <c r="Y73" s="436">
        <v>8</v>
      </c>
      <c r="Z73" s="11">
        <f t="shared" si="31"/>
        <v>0</v>
      </c>
      <c r="AA73" s="11">
        <f t="shared" si="32"/>
        <v>0</v>
      </c>
      <c r="AB73" s="11">
        <f t="shared" si="33"/>
        <v>0</v>
      </c>
      <c r="AC73" s="11">
        <f t="shared" si="34"/>
        <v>0</v>
      </c>
      <c r="AD73" s="11">
        <f t="shared" si="35"/>
        <v>0</v>
      </c>
      <c r="AE73" s="11">
        <f t="shared" si="36"/>
        <v>-1</v>
      </c>
      <c r="AF73" s="11">
        <f t="shared" si="37"/>
        <v>0</v>
      </c>
      <c r="AG73" s="11">
        <f t="shared" si="38"/>
        <v>0</v>
      </c>
      <c r="AH73" s="11">
        <f t="shared" si="39"/>
        <v>1</v>
      </c>
      <c r="AI73" s="11">
        <f t="shared" si="40"/>
        <v>0</v>
      </c>
      <c r="AJ73" s="11">
        <f t="shared" si="41"/>
        <v>0</v>
      </c>
      <c r="AK73" s="11">
        <f t="shared" si="42"/>
        <v>0</v>
      </c>
      <c r="AL73" s="11">
        <f t="shared" si="43"/>
        <v>0</v>
      </c>
      <c r="AM73" s="11">
        <f t="shared" si="44"/>
        <v>0</v>
      </c>
      <c r="AN73" s="11">
        <f t="shared" si="45"/>
        <v>0</v>
      </c>
      <c r="AO73" s="11">
        <f t="shared" si="46"/>
        <v>0</v>
      </c>
      <c r="AP73" s="11">
        <f t="shared" si="47"/>
        <v>0</v>
      </c>
      <c r="AQ73" s="11">
        <f t="shared" si="48"/>
        <v>0</v>
      </c>
      <c r="AR73" s="11">
        <f t="shared" si="49"/>
        <v>0</v>
      </c>
      <c r="AS73" s="11">
        <f t="shared" si="50"/>
        <v>0</v>
      </c>
      <c r="AT73" s="11">
        <f t="shared" si="51"/>
        <v>0</v>
      </c>
      <c r="AU73" s="11">
        <f t="shared" si="52"/>
        <v>0</v>
      </c>
      <c r="AV73" s="11">
        <f t="shared" si="53"/>
        <v>0</v>
      </c>
      <c r="AW73" s="11">
        <f t="shared" si="54"/>
        <v>0</v>
      </c>
      <c r="AX73" s="11">
        <f t="shared" si="55"/>
        <v>1</v>
      </c>
      <c r="AY73" s="11">
        <f t="shared" si="56"/>
        <v>1</v>
      </c>
    </row>
    <row r="74" spans="1:51" s="12" customFormat="1">
      <c r="A74" s="15">
        <v>44999</v>
      </c>
      <c r="B74" s="436">
        <v>8</v>
      </c>
      <c r="C74" s="436">
        <v>8</v>
      </c>
      <c r="D74" s="436">
        <v>8</v>
      </c>
      <c r="E74" s="436">
        <v>8</v>
      </c>
      <c r="F74" s="436">
        <v>7</v>
      </c>
      <c r="G74" s="436">
        <v>7</v>
      </c>
      <c r="H74" s="436">
        <v>7</v>
      </c>
      <c r="I74" s="436">
        <v>8</v>
      </c>
      <c r="J74" s="436">
        <v>7</v>
      </c>
      <c r="K74" s="436">
        <v>8</v>
      </c>
      <c r="L74" s="436">
        <v>8</v>
      </c>
      <c r="M74" s="436">
        <v>8</v>
      </c>
      <c r="N74" s="436">
        <v>8</v>
      </c>
      <c r="O74" s="436">
        <v>8</v>
      </c>
      <c r="P74" s="436">
        <v>8</v>
      </c>
      <c r="Q74" s="436">
        <v>8</v>
      </c>
      <c r="R74" s="436">
        <v>8</v>
      </c>
      <c r="S74" s="436">
        <v>8</v>
      </c>
      <c r="T74" s="436">
        <v>8</v>
      </c>
      <c r="U74" s="436">
        <v>8</v>
      </c>
      <c r="V74" s="436">
        <v>8</v>
      </c>
      <c r="W74" s="436">
        <v>8</v>
      </c>
      <c r="X74" s="436">
        <v>8</v>
      </c>
      <c r="Y74" s="436">
        <v>8</v>
      </c>
      <c r="Z74" s="11">
        <f t="shared" si="31"/>
        <v>0</v>
      </c>
      <c r="AA74" s="11">
        <f t="shared" si="32"/>
        <v>0</v>
      </c>
      <c r="AB74" s="11">
        <f t="shared" si="33"/>
        <v>0</v>
      </c>
      <c r="AC74" s="11">
        <f t="shared" si="34"/>
        <v>0</v>
      </c>
      <c r="AD74" s="11">
        <f t="shared" si="35"/>
        <v>-1</v>
      </c>
      <c r="AE74" s="11">
        <f t="shared" si="36"/>
        <v>0</v>
      </c>
      <c r="AF74" s="11">
        <f t="shared" si="37"/>
        <v>0</v>
      </c>
      <c r="AG74" s="11">
        <f t="shared" si="38"/>
        <v>1</v>
      </c>
      <c r="AH74" s="11">
        <f t="shared" si="39"/>
        <v>-1</v>
      </c>
      <c r="AI74" s="11">
        <f t="shared" si="40"/>
        <v>1</v>
      </c>
      <c r="AJ74" s="11">
        <f t="shared" si="41"/>
        <v>0</v>
      </c>
      <c r="AK74" s="11">
        <f t="shared" si="42"/>
        <v>0</v>
      </c>
      <c r="AL74" s="11">
        <f t="shared" si="43"/>
        <v>0</v>
      </c>
      <c r="AM74" s="11">
        <f t="shared" si="44"/>
        <v>0</v>
      </c>
      <c r="AN74" s="11">
        <f t="shared" si="45"/>
        <v>0</v>
      </c>
      <c r="AO74" s="11">
        <f t="shared" si="46"/>
        <v>0</v>
      </c>
      <c r="AP74" s="11">
        <f t="shared" si="47"/>
        <v>0</v>
      </c>
      <c r="AQ74" s="11">
        <f t="shared" si="48"/>
        <v>0</v>
      </c>
      <c r="AR74" s="11">
        <f t="shared" si="49"/>
        <v>0</v>
      </c>
      <c r="AS74" s="11">
        <f t="shared" si="50"/>
        <v>0</v>
      </c>
      <c r="AT74" s="11">
        <f t="shared" si="51"/>
        <v>0</v>
      </c>
      <c r="AU74" s="11">
        <f t="shared" si="52"/>
        <v>0</v>
      </c>
      <c r="AV74" s="11">
        <f t="shared" si="53"/>
        <v>0</v>
      </c>
      <c r="AW74" s="11">
        <f t="shared" si="54"/>
        <v>0</v>
      </c>
      <c r="AX74" s="11">
        <f t="shared" si="55"/>
        <v>2</v>
      </c>
      <c r="AY74" s="11">
        <f t="shared" si="56"/>
        <v>2</v>
      </c>
    </row>
    <row r="75" spans="1:51" s="12" customFormat="1">
      <c r="A75" s="15">
        <v>45000</v>
      </c>
      <c r="B75" s="436">
        <v>8</v>
      </c>
      <c r="C75" s="436">
        <v>8</v>
      </c>
      <c r="D75" s="436">
        <v>8</v>
      </c>
      <c r="E75" s="436">
        <v>7</v>
      </c>
      <c r="F75" s="436">
        <v>7</v>
      </c>
      <c r="G75" s="436">
        <v>7</v>
      </c>
      <c r="H75" s="436">
        <v>7</v>
      </c>
      <c r="I75" s="436">
        <v>7</v>
      </c>
      <c r="J75" s="436">
        <v>8</v>
      </c>
      <c r="K75" s="436">
        <v>8</v>
      </c>
      <c r="L75" s="436">
        <v>8</v>
      </c>
      <c r="M75" s="436">
        <v>8</v>
      </c>
      <c r="N75" s="436">
        <v>8</v>
      </c>
      <c r="O75" s="436">
        <v>8</v>
      </c>
      <c r="P75" s="436">
        <v>8</v>
      </c>
      <c r="Q75" s="436">
        <v>8</v>
      </c>
      <c r="R75" s="436">
        <v>8</v>
      </c>
      <c r="S75" s="436">
        <v>8</v>
      </c>
      <c r="T75" s="436">
        <v>8</v>
      </c>
      <c r="U75" s="436">
        <v>8</v>
      </c>
      <c r="V75" s="436">
        <v>8</v>
      </c>
      <c r="W75" s="436">
        <v>8</v>
      </c>
      <c r="X75" s="436">
        <v>8</v>
      </c>
      <c r="Y75" s="436">
        <v>8</v>
      </c>
      <c r="Z75" s="11">
        <f t="shared" si="31"/>
        <v>0</v>
      </c>
      <c r="AA75" s="11">
        <f t="shared" si="32"/>
        <v>0</v>
      </c>
      <c r="AB75" s="11">
        <f t="shared" si="33"/>
        <v>0</v>
      </c>
      <c r="AC75" s="11">
        <f t="shared" si="34"/>
        <v>-1</v>
      </c>
      <c r="AD75" s="11">
        <f t="shared" si="35"/>
        <v>0</v>
      </c>
      <c r="AE75" s="11">
        <f t="shared" si="36"/>
        <v>0</v>
      </c>
      <c r="AF75" s="11">
        <f t="shared" si="37"/>
        <v>0</v>
      </c>
      <c r="AG75" s="11">
        <f t="shared" si="38"/>
        <v>0</v>
      </c>
      <c r="AH75" s="11">
        <f t="shared" si="39"/>
        <v>1</v>
      </c>
      <c r="AI75" s="11">
        <f t="shared" si="40"/>
        <v>0</v>
      </c>
      <c r="AJ75" s="11">
        <f t="shared" si="41"/>
        <v>0</v>
      </c>
      <c r="AK75" s="11">
        <f t="shared" si="42"/>
        <v>0</v>
      </c>
      <c r="AL75" s="11">
        <f t="shared" si="43"/>
        <v>0</v>
      </c>
      <c r="AM75" s="11">
        <f t="shared" si="44"/>
        <v>0</v>
      </c>
      <c r="AN75" s="11">
        <f t="shared" si="45"/>
        <v>0</v>
      </c>
      <c r="AO75" s="11">
        <f t="shared" si="46"/>
        <v>0</v>
      </c>
      <c r="AP75" s="11">
        <f t="shared" si="47"/>
        <v>0</v>
      </c>
      <c r="AQ75" s="11">
        <f t="shared" si="48"/>
        <v>0</v>
      </c>
      <c r="AR75" s="11">
        <f t="shared" si="49"/>
        <v>0</v>
      </c>
      <c r="AS75" s="11">
        <f t="shared" si="50"/>
        <v>0</v>
      </c>
      <c r="AT75" s="11">
        <f t="shared" si="51"/>
        <v>0</v>
      </c>
      <c r="AU75" s="11">
        <f t="shared" si="52"/>
        <v>0</v>
      </c>
      <c r="AV75" s="11">
        <f t="shared" si="53"/>
        <v>0</v>
      </c>
      <c r="AW75" s="11">
        <f t="shared" si="54"/>
        <v>0</v>
      </c>
      <c r="AX75" s="11">
        <f t="shared" si="55"/>
        <v>1</v>
      </c>
      <c r="AY75" s="11">
        <f t="shared" si="56"/>
        <v>1</v>
      </c>
    </row>
    <row r="76" spans="1:51" s="12" customFormat="1">
      <c r="A76" s="15">
        <v>45001</v>
      </c>
      <c r="B76" s="436">
        <v>8</v>
      </c>
      <c r="C76" s="436">
        <v>8</v>
      </c>
      <c r="D76" s="436">
        <v>7</v>
      </c>
      <c r="E76" s="436">
        <v>7</v>
      </c>
      <c r="F76" s="436">
        <v>7</v>
      </c>
      <c r="G76" s="436">
        <v>2</v>
      </c>
      <c r="H76" s="436">
        <v>0</v>
      </c>
      <c r="I76" s="436">
        <v>2</v>
      </c>
      <c r="J76" s="436">
        <v>5</v>
      </c>
      <c r="K76" s="436">
        <v>7</v>
      </c>
      <c r="L76" s="436">
        <v>7</v>
      </c>
      <c r="M76" s="436">
        <v>8</v>
      </c>
      <c r="N76" s="436">
        <v>8</v>
      </c>
      <c r="O76" s="436">
        <v>8</v>
      </c>
      <c r="P76" s="436">
        <v>8</v>
      </c>
      <c r="Q76" s="436">
        <v>8</v>
      </c>
      <c r="R76" s="436">
        <v>8</v>
      </c>
      <c r="S76" s="436">
        <v>8</v>
      </c>
      <c r="T76" s="436">
        <v>8</v>
      </c>
      <c r="U76" s="436">
        <v>8</v>
      </c>
      <c r="V76" s="436">
        <v>8</v>
      </c>
      <c r="W76" s="436">
        <v>8</v>
      </c>
      <c r="X76" s="436">
        <v>8</v>
      </c>
      <c r="Y76" s="436">
        <v>8</v>
      </c>
      <c r="Z76" s="11">
        <f t="shared" si="31"/>
        <v>0</v>
      </c>
      <c r="AA76" s="11">
        <f t="shared" si="32"/>
        <v>0</v>
      </c>
      <c r="AB76" s="11">
        <f t="shared" si="33"/>
        <v>-1</v>
      </c>
      <c r="AC76" s="11">
        <f t="shared" si="34"/>
        <v>0</v>
      </c>
      <c r="AD76" s="11">
        <f t="shared" si="35"/>
        <v>0</v>
      </c>
      <c r="AE76" s="11">
        <f t="shared" si="36"/>
        <v>-5</v>
      </c>
      <c r="AF76" s="11">
        <f t="shared" si="37"/>
        <v>-2</v>
      </c>
      <c r="AG76" s="11">
        <f t="shared" si="38"/>
        <v>2</v>
      </c>
      <c r="AH76" s="11">
        <f t="shared" si="39"/>
        <v>3</v>
      </c>
      <c r="AI76" s="11">
        <f t="shared" si="40"/>
        <v>2</v>
      </c>
      <c r="AJ76" s="11">
        <f t="shared" si="41"/>
        <v>0</v>
      </c>
      <c r="AK76" s="11">
        <f t="shared" si="42"/>
        <v>1</v>
      </c>
      <c r="AL76" s="11">
        <f t="shared" si="43"/>
        <v>0</v>
      </c>
      <c r="AM76" s="11">
        <f t="shared" si="44"/>
        <v>0</v>
      </c>
      <c r="AN76" s="11">
        <f t="shared" si="45"/>
        <v>0</v>
      </c>
      <c r="AO76" s="11">
        <f t="shared" si="46"/>
        <v>0</v>
      </c>
      <c r="AP76" s="11">
        <f t="shared" si="47"/>
        <v>0</v>
      </c>
      <c r="AQ76" s="11">
        <f t="shared" si="48"/>
        <v>0</v>
      </c>
      <c r="AR76" s="11">
        <f t="shared" si="49"/>
        <v>0</v>
      </c>
      <c r="AS76" s="11">
        <f t="shared" si="50"/>
        <v>0</v>
      </c>
      <c r="AT76" s="11">
        <f t="shared" si="51"/>
        <v>0</v>
      </c>
      <c r="AU76" s="11">
        <f t="shared" si="52"/>
        <v>0</v>
      </c>
      <c r="AV76" s="11">
        <f t="shared" si="53"/>
        <v>0</v>
      </c>
      <c r="AW76" s="11">
        <f t="shared" si="54"/>
        <v>0</v>
      </c>
      <c r="AX76" s="11">
        <f t="shared" si="55"/>
        <v>8</v>
      </c>
      <c r="AY76" s="11">
        <f t="shared" si="56"/>
        <v>8</v>
      </c>
    </row>
    <row r="77" spans="1:51" s="12" customFormat="1">
      <c r="A77" s="15">
        <v>45002</v>
      </c>
      <c r="B77" s="436">
        <v>8</v>
      </c>
      <c r="C77" s="436">
        <v>8</v>
      </c>
      <c r="D77" s="436">
        <v>8</v>
      </c>
      <c r="E77" s="436">
        <v>8</v>
      </c>
      <c r="F77" s="436">
        <v>8</v>
      </c>
      <c r="G77" s="436">
        <v>2</v>
      </c>
      <c r="H77" s="436">
        <v>0</v>
      </c>
      <c r="I77" s="436">
        <v>3</v>
      </c>
      <c r="J77" s="436">
        <v>7</v>
      </c>
      <c r="K77" s="436">
        <v>7</v>
      </c>
      <c r="L77" s="436">
        <v>8</v>
      </c>
      <c r="M77" s="436">
        <v>8</v>
      </c>
      <c r="N77" s="436">
        <v>8</v>
      </c>
      <c r="O77" s="436">
        <v>8</v>
      </c>
      <c r="P77" s="436">
        <v>8</v>
      </c>
      <c r="Q77" s="436">
        <v>8</v>
      </c>
      <c r="R77" s="436">
        <v>8</v>
      </c>
      <c r="S77" s="436">
        <v>8</v>
      </c>
      <c r="T77" s="436">
        <v>8</v>
      </c>
      <c r="U77" s="436">
        <v>8</v>
      </c>
      <c r="V77" s="436">
        <v>8</v>
      </c>
      <c r="W77" s="436">
        <v>8</v>
      </c>
      <c r="X77" s="436">
        <v>8</v>
      </c>
      <c r="Y77" s="436">
        <v>8</v>
      </c>
      <c r="Z77" s="11">
        <f t="shared" si="31"/>
        <v>0</v>
      </c>
      <c r="AA77" s="11">
        <f t="shared" si="32"/>
        <v>0</v>
      </c>
      <c r="AB77" s="11">
        <f t="shared" si="33"/>
        <v>0</v>
      </c>
      <c r="AC77" s="11">
        <f t="shared" si="34"/>
        <v>0</v>
      </c>
      <c r="AD77" s="11">
        <f t="shared" si="35"/>
        <v>0</v>
      </c>
      <c r="AE77" s="11">
        <f t="shared" si="36"/>
        <v>-6</v>
      </c>
      <c r="AF77" s="11">
        <f t="shared" si="37"/>
        <v>-2</v>
      </c>
      <c r="AG77" s="11">
        <f t="shared" si="38"/>
        <v>3</v>
      </c>
      <c r="AH77" s="11">
        <f t="shared" si="39"/>
        <v>4</v>
      </c>
      <c r="AI77" s="11">
        <f t="shared" si="40"/>
        <v>0</v>
      </c>
      <c r="AJ77" s="11">
        <f t="shared" si="41"/>
        <v>1</v>
      </c>
      <c r="AK77" s="11">
        <f t="shared" si="42"/>
        <v>0</v>
      </c>
      <c r="AL77" s="11">
        <f t="shared" si="43"/>
        <v>0</v>
      </c>
      <c r="AM77" s="11">
        <f t="shared" si="44"/>
        <v>0</v>
      </c>
      <c r="AN77" s="11">
        <f t="shared" si="45"/>
        <v>0</v>
      </c>
      <c r="AO77" s="11">
        <f t="shared" si="46"/>
        <v>0</v>
      </c>
      <c r="AP77" s="11">
        <f t="shared" si="47"/>
        <v>0</v>
      </c>
      <c r="AQ77" s="11">
        <f t="shared" si="48"/>
        <v>0</v>
      </c>
      <c r="AR77" s="11">
        <f t="shared" si="49"/>
        <v>0</v>
      </c>
      <c r="AS77" s="11">
        <f t="shared" si="50"/>
        <v>0</v>
      </c>
      <c r="AT77" s="11">
        <f t="shared" si="51"/>
        <v>0</v>
      </c>
      <c r="AU77" s="11">
        <f t="shared" si="52"/>
        <v>0</v>
      </c>
      <c r="AV77" s="11">
        <f t="shared" si="53"/>
        <v>0</v>
      </c>
      <c r="AW77" s="11">
        <f t="shared" si="54"/>
        <v>0</v>
      </c>
      <c r="AX77" s="11">
        <f t="shared" si="55"/>
        <v>8</v>
      </c>
      <c r="AY77" s="11">
        <f t="shared" si="56"/>
        <v>8</v>
      </c>
    </row>
    <row r="78" spans="1:51" s="12" customFormat="1">
      <c r="A78" s="15">
        <v>45003</v>
      </c>
      <c r="B78" s="436">
        <v>8</v>
      </c>
      <c r="C78" s="436">
        <v>8</v>
      </c>
      <c r="D78" s="436">
        <v>8</v>
      </c>
      <c r="E78" s="436">
        <v>8</v>
      </c>
      <c r="F78" s="436">
        <v>8</v>
      </c>
      <c r="G78" s="436">
        <v>7</v>
      </c>
      <c r="H78" s="436">
        <v>7</v>
      </c>
      <c r="I78" s="436">
        <v>7</v>
      </c>
      <c r="J78" s="436">
        <v>7</v>
      </c>
      <c r="K78" s="436">
        <v>7</v>
      </c>
      <c r="L78" s="436">
        <v>8</v>
      </c>
      <c r="M78" s="436">
        <v>8</v>
      </c>
      <c r="N78" s="436">
        <v>8</v>
      </c>
      <c r="O78" s="436">
        <v>8</v>
      </c>
      <c r="P78" s="436">
        <v>8</v>
      </c>
      <c r="Q78" s="436">
        <v>8</v>
      </c>
      <c r="R78" s="436">
        <v>8</v>
      </c>
      <c r="S78" s="436">
        <v>8</v>
      </c>
      <c r="T78" s="436">
        <v>8</v>
      </c>
      <c r="U78" s="436">
        <v>8</v>
      </c>
      <c r="V78" s="436">
        <v>8</v>
      </c>
      <c r="W78" s="436">
        <v>8</v>
      </c>
      <c r="X78" s="436">
        <v>8</v>
      </c>
      <c r="Y78" s="436">
        <v>8</v>
      </c>
      <c r="Z78" s="11">
        <f t="shared" si="31"/>
        <v>0</v>
      </c>
      <c r="AA78" s="11">
        <f t="shared" si="32"/>
        <v>0</v>
      </c>
      <c r="AB78" s="11">
        <f t="shared" si="33"/>
        <v>0</v>
      </c>
      <c r="AC78" s="11">
        <f t="shared" si="34"/>
        <v>0</v>
      </c>
      <c r="AD78" s="11">
        <f t="shared" si="35"/>
        <v>0</v>
      </c>
      <c r="AE78" s="11">
        <f t="shared" si="36"/>
        <v>-1</v>
      </c>
      <c r="AF78" s="11">
        <f t="shared" si="37"/>
        <v>0</v>
      </c>
      <c r="AG78" s="11">
        <f t="shared" si="38"/>
        <v>0</v>
      </c>
      <c r="AH78" s="11">
        <f t="shared" si="39"/>
        <v>0</v>
      </c>
      <c r="AI78" s="11">
        <f t="shared" si="40"/>
        <v>0</v>
      </c>
      <c r="AJ78" s="11">
        <f t="shared" si="41"/>
        <v>1</v>
      </c>
      <c r="AK78" s="11">
        <f t="shared" si="42"/>
        <v>0</v>
      </c>
      <c r="AL78" s="11">
        <f t="shared" si="43"/>
        <v>0</v>
      </c>
      <c r="AM78" s="11">
        <f t="shared" si="44"/>
        <v>0</v>
      </c>
      <c r="AN78" s="11">
        <f t="shared" si="45"/>
        <v>0</v>
      </c>
      <c r="AO78" s="11">
        <f t="shared" si="46"/>
        <v>0</v>
      </c>
      <c r="AP78" s="11">
        <f t="shared" si="47"/>
        <v>0</v>
      </c>
      <c r="AQ78" s="11">
        <f t="shared" si="48"/>
        <v>0</v>
      </c>
      <c r="AR78" s="11">
        <f t="shared" si="49"/>
        <v>0</v>
      </c>
      <c r="AS78" s="11">
        <f t="shared" si="50"/>
        <v>0</v>
      </c>
      <c r="AT78" s="11">
        <f t="shared" si="51"/>
        <v>0</v>
      </c>
      <c r="AU78" s="11">
        <f t="shared" si="52"/>
        <v>0</v>
      </c>
      <c r="AV78" s="11">
        <f t="shared" si="53"/>
        <v>0</v>
      </c>
      <c r="AW78" s="11">
        <f t="shared" si="54"/>
        <v>0</v>
      </c>
      <c r="AX78" s="11">
        <f t="shared" si="55"/>
        <v>1</v>
      </c>
      <c r="AY78" s="11">
        <f t="shared" si="56"/>
        <v>1</v>
      </c>
    </row>
    <row r="79" spans="1:51" s="12" customFormat="1">
      <c r="A79" s="15">
        <v>45004</v>
      </c>
      <c r="B79" s="436">
        <v>7</v>
      </c>
      <c r="C79" s="436">
        <v>8</v>
      </c>
      <c r="D79" s="436">
        <v>8</v>
      </c>
      <c r="E79" s="436">
        <v>8</v>
      </c>
      <c r="F79" s="436">
        <v>8</v>
      </c>
      <c r="G79" s="436">
        <v>8</v>
      </c>
      <c r="H79" s="436">
        <v>7</v>
      </c>
      <c r="I79" s="436">
        <v>7</v>
      </c>
      <c r="J79" s="436">
        <v>7</v>
      </c>
      <c r="K79" s="436">
        <v>7</v>
      </c>
      <c r="L79" s="436">
        <v>7</v>
      </c>
      <c r="M79" s="436">
        <v>7</v>
      </c>
      <c r="N79" s="436">
        <v>8</v>
      </c>
      <c r="O79" s="436">
        <v>8</v>
      </c>
      <c r="P79" s="436">
        <v>8</v>
      </c>
      <c r="Q79" s="436">
        <v>8</v>
      </c>
      <c r="R79" s="436">
        <v>8</v>
      </c>
      <c r="S79" s="436">
        <v>8</v>
      </c>
      <c r="T79" s="436">
        <v>8</v>
      </c>
      <c r="U79" s="436">
        <v>8</v>
      </c>
      <c r="V79" s="436">
        <v>8</v>
      </c>
      <c r="W79" s="436">
        <v>8</v>
      </c>
      <c r="X79" s="436">
        <v>8</v>
      </c>
      <c r="Y79" s="436">
        <v>8</v>
      </c>
      <c r="Z79" s="11">
        <f t="shared" si="31"/>
        <v>-1</v>
      </c>
      <c r="AA79" s="11">
        <f t="shared" si="32"/>
        <v>1</v>
      </c>
      <c r="AB79" s="11">
        <f t="shared" si="33"/>
        <v>0</v>
      </c>
      <c r="AC79" s="11">
        <f t="shared" si="34"/>
        <v>0</v>
      </c>
      <c r="AD79" s="11">
        <f t="shared" si="35"/>
        <v>0</v>
      </c>
      <c r="AE79" s="11">
        <f t="shared" si="36"/>
        <v>0</v>
      </c>
      <c r="AF79" s="11">
        <f t="shared" si="37"/>
        <v>-1</v>
      </c>
      <c r="AG79" s="11">
        <f t="shared" si="38"/>
        <v>0</v>
      </c>
      <c r="AH79" s="11">
        <f t="shared" si="39"/>
        <v>0</v>
      </c>
      <c r="AI79" s="11">
        <f t="shared" si="40"/>
        <v>0</v>
      </c>
      <c r="AJ79" s="11">
        <f t="shared" si="41"/>
        <v>0</v>
      </c>
      <c r="AK79" s="11">
        <f t="shared" si="42"/>
        <v>0</v>
      </c>
      <c r="AL79" s="11">
        <f t="shared" si="43"/>
        <v>1</v>
      </c>
      <c r="AM79" s="11">
        <f t="shared" si="44"/>
        <v>0</v>
      </c>
      <c r="AN79" s="11">
        <f t="shared" si="45"/>
        <v>0</v>
      </c>
      <c r="AO79" s="11">
        <f t="shared" si="46"/>
        <v>0</v>
      </c>
      <c r="AP79" s="11">
        <f t="shared" si="47"/>
        <v>0</v>
      </c>
      <c r="AQ79" s="11">
        <f t="shared" si="48"/>
        <v>0</v>
      </c>
      <c r="AR79" s="11">
        <f t="shared" si="49"/>
        <v>0</v>
      </c>
      <c r="AS79" s="11">
        <f t="shared" si="50"/>
        <v>0</v>
      </c>
      <c r="AT79" s="11">
        <f t="shared" si="51"/>
        <v>0</v>
      </c>
      <c r="AU79" s="11">
        <f t="shared" si="52"/>
        <v>0</v>
      </c>
      <c r="AV79" s="11">
        <f t="shared" si="53"/>
        <v>0</v>
      </c>
      <c r="AW79" s="11">
        <f t="shared" si="54"/>
        <v>0</v>
      </c>
      <c r="AX79" s="11">
        <f t="shared" si="55"/>
        <v>2</v>
      </c>
      <c r="AY79" s="11">
        <f t="shared" si="56"/>
        <v>2</v>
      </c>
    </row>
    <row r="80" spans="1:51" s="12" customFormat="1">
      <c r="A80" s="15">
        <v>45005</v>
      </c>
      <c r="B80" s="436">
        <v>8</v>
      </c>
      <c r="C80" s="436">
        <v>8</v>
      </c>
      <c r="D80" s="436">
        <v>8</v>
      </c>
      <c r="E80" s="436">
        <v>8</v>
      </c>
      <c r="F80" s="436">
        <v>8</v>
      </c>
      <c r="G80" s="436">
        <v>7</v>
      </c>
      <c r="H80" s="436">
        <v>7</v>
      </c>
      <c r="I80" s="436">
        <v>7</v>
      </c>
      <c r="J80" s="436">
        <v>7</v>
      </c>
      <c r="K80" s="436">
        <v>7</v>
      </c>
      <c r="L80" s="436">
        <v>7</v>
      </c>
      <c r="M80" s="436">
        <v>8</v>
      </c>
      <c r="N80" s="436">
        <v>8</v>
      </c>
      <c r="O80" s="436">
        <v>8</v>
      </c>
      <c r="P80" s="436">
        <v>8</v>
      </c>
      <c r="Q80" s="436">
        <v>8</v>
      </c>
      <c r="R80" s="436">
        <v>8</v>
      </c>
      <c r="S80" s="436">
        <v>8</v>
      </c>
      <c r="T80" s="436">
        <v>8</v>
      </c>
      <c r="U80" s="436">
        <v>8</v>
      </c>
      <c r="V80" s="436">
        <v>8</v>
      </c>
      <c r="W80" s="436">
        <v>8</v>
      </c>
      <c r="X80" s="436">
        <v>8</v>
      </c>
      <c r="Y80" s="436">
        <v>8</v>
      </c>
      <c r="Z80" s="11">
        <f t="shared" si="31"/>
        <v>0</v>
      </c>
      <c r="AA80" s="11">
        <f t="shared" si="32"/>
        <v>0</v>
      </c>
      <c r="AB80" s="11">
        <f t="shared" si="33"/>
        <v>0</v>
      </c>
      <c r="AC80" s="11">
        <f t="shared" si="34"/>
        <v>0</v>
      </c>
      <c r="AD80" s="11">
        <f t="shared" si="35"/>
        <v>0</v>
      </c>
      <c r="AE80" s="11">
        <f t="shared" si="36"/>
        <v>-1</v>
      </c>
      <c r="AF80" s="11">
        <f t="shared" si="37"/>
        <v>0</v>
      </c>
      <c r="AG80" s="11">
        <f t="shared" si="38"/>
        <v>0</v>
      </c>
      <c r="AH80" s="11">
        <f t="shared" si="39"/>
        <v>0</v>
      </c>
      <c r="AI80" s="11">
        <f t="shared" si="40"/>
        <v>0</v>
      </c>
      <c r="AJ80" s="11">
        <f t="shared" si="41"/>
        <v>0</v>
      </c>
      <c r="AK80" s="11">
        <f t="shared" si="42"/>
        <v>1</v>
      </c>
      <c r="AL80" s="11">
        <f t="shared" si="43"/>
        <v>0</v>
      </c>
      <c r="AM80" s="11">
        <f t="shared" si="44"/>
        <v>0</v>
      </c>
      <c r="AN80" s="11">
        <f t="shared" si="45"/>
        <v>0</v>
      </c>
      <c r="AO80" s="11">
        <f t="shared" si="46"/>
        <v>0</v>
      </c>
      <c r="AP80" s="11">
        <f t="shared" si="47"/>
        <v>0</v>
      </c>
      <c r="AQ80" s="11">
        <f t="shared" si="48"/>
        <v>0</v>
      </c>
      <c r="AR80" s="11">
        <f t="shared" si="49"/>
        <v>0</v>
      </c>
      <c r="AS80" s="11">
        <f t="shared" si="50"/>
        <v>0</v>
      </c>
      <c r="AT80" s="11">
        <f t="shared" si="51"/>
        <v>0</v>
      </c>
      <c r="AU80" s="11">
        <f t="shared" si="52"/>
        <v>0</v>
      </c>
      <c r="AV80" s="11">
        <f t="shared" si="53"/>
        <v>0</v>
      </c>
      <c r="AW80" s="11">
        <f t="shared" si="54"/>
        <v>0</v>
      </c>
      <c r="AX80" s="11">
        <f t="shared" si="55"/>
        <v>1</v>
      </c>
      <c r="AY80" s="11">
        <f t="shared" si="56"/>
        <v>1</v>
      </c>
    </row>
    <row r="81" spans="1:51" s="12" customFormat="1">
      <c r="A81" s="15">
        <v>45006</v>
      </c>
      <c r="B81" s="436">
        <v>8</v>
      </c>
      <c r="C81" s="436">
        <v>8</v>
      </c>
      <c r="D81" s="436">
        <v>8</v>
      </c>
      <c r="E81" s="436">
        <v>8</v>
      </c>
      <c r="F81" s="436">
        <v>7</v>
      </c>
      <c r="G81" s="436">
        <v>7</v>
      </c>
      <c r="H81" s="436">
        <v>7</v>
      </c>
      <c r="I81" s="436">
        <v>7</v>
      </c>
      <c r="J81" s="436">
        <v>7</v>
      </c>
      <c r="K81" s="436">
        <v>8</v>
      </c>
      <c r="L81" s="436">
        <v>8</v>
      </c>
      <c r="M81" s="436">
        <v>8</v>
      </c>
      <c r="N81" s="436">
        <v>8</v>
      </c>
      <c r="O81" s="436">
        <v>8</v>
      </c>
      <c r="P81" s="436">
        <v>8</v>
      </c>
      <c r="Q81" s="436">
        <v>8</v>
      </c>
      <c r="R81" s="436">
        <v>8</v>
      </c>
      <c r="S81" s="436">
        <v>8</v>
      </c>
      <c r="T81" s="436">
        <v>8</v>
      </c>
      <c r="U81" s="436">
        <v>8</v>
      </c>
      <c r="V81" s="436">
        <v>8</v>
      </c>
      <c r="W81" s="436">
        <v>8</v>
      </c>
      <c r="X81" s="436">
        <v>8</v>
      </c>
      <c r="Y81" s="436">
        <v>8</v>
      </c>
      <c r="Z81" s="11">
        <f t="shared" si="31"/>
        <v>0</v>
      </c>
      <c r="AA81" s="11">
        <f t="shared" si="32"/>
        <v>0</v>
      </c>
      <c r="AB81" s="11">
        <f t="shared" si="33"/>
        <v>0</v>
      </c>
      <c r="AC81" s="11">
        <f t="shared" si="34"/>
        <v>0</v>
      </c>
      <c r="AD81" s="11">
        <f t="shared" si="35"/>
        <v>-1</v>
      </c>
      <c r="AE81" s="11">
        <f t="shared" si="36"/>
        <v>0</v>
      </c>
      <c r="AF81" s="11">
        <f t="shared" si="37"/>
        <v>0</v>
      </c>
      <c r="AG81" s="11">
        <f t="shared" si="38"/>
        <v>0</v>
      </c>
      <c r="AH81" s="11">
        <f t="shared" si="39"/>
        <v>0</v>
      </c>
      <c r="AI81" s="11">
        <f t="shared" si="40"/>
        <v>1</v>
      </c>
      <c r="AJ81" s="11">
        <f t="shared" si="41"/>
        <v>0</v>
      </c>
      <c r="AK81" s="11">
        <f t="shared" si="42"/>
        <v>0</v>
      </c>
      <c r="AL81" s="11">
        <f t="shared" si="43"/>
        <v>0</v>
      </c>
      <c r="AM81" s="11">
        <f t="shared" si="44"/>
        <v>0</v>
      </c>
      <c r="AN81" s="11">
        <f t="shared" si="45"/>
        <v>0</v>
      </c>
      <c r="AO81" s="11">
        <f t="shared" si="46"/>
        <v>0</v>
      </c>
      <c r="AP81" s="11">
        <f t="shared" si="47"/>
        <v>0</v>
      </c>
      <c r="AQ81" s="11">
        <f t="shared" si="48"/>
        <v>0</v>
      </c>
      <c r="AR81" s="11">
        <f t="shared" si="49"/>
        <v>0</v>
      </c>
      <c r="AS81" s="11">
        <f t="shared" si="50"/>
        <v>0</v>
      </c>
      <c r="AT81" s="11">
        <f t="shared" si="51"/>
        <v>0</v>
      </c>
      <c r="AU81" s="11">
        <f t="shared" si="52"/>
        <v>0</v>
      </c>
      <c r="AV81" s="11">
        <f t="shared" si="53"/>
        <v>0</v>
      </c>
      <c r="AW81" s="11">
        <f t="shared" si="54"/>
        <v>0</v>
      </c>
      <c r="AX81" s="11">
        <f t="shared" si="55"/>
        <v>1</v>
      </c>
      <c r="AY81" s="11">
        <f t="shared" si="56"/>
        <v>1</v>
      </c>
    </row>
    <row r="82" spans="1:51" s="12" customFormat="1">
      <c r="A82" s="15">
        <v>45007</v>
      </c>
      <c r="B82" s="436">
        <v>7</v>
      </c>
      <c r="C82" s="436">
        <v>7</v>
      </c>
      <c r="D82" s="436">
        <v>7</v>
      </c>
      <c r="E82" s="436">
        <v>7</v>
      </c>
      <c r="F82" s="436">
        <v>7</v>
      </c>
      <c r="G82" s="436">
        <v>7</v>
      </c>
      <c r="H82" s="436">
        <v>7</v>
      </c>
      <c r="I82" s="436">
        <v>7</v>
      </c>
      <c r="J82" s="436">
        <v>7</v>
      </c>
      <c r="K82" s="436">
        <v>7</v>
      </c>
      <c r="L82" s="436">
        <v>7</v>
      </c>
      <c r="M82" s="436">
        <v>7</v>
      </c>
      <c r="N82" s="436">
        <v>7</v>
      </c>
      <c r="O82" s="436">
        <v>7</v>
      </c>
      <c r="P82" s="436">
        <v>8</v>
      </c>
      <c r="Q82" s="436">
        <v>7</v>
      </c>
      <c r="R82" s="436">
        <v>7</v>
      </c>
      <c r="S82" s="436">
        <v>7</v>
      </c>
      <c r="T82" s="436">
        <v>8</v>
      </c>
      <c r="U82" s="436">
        <v>8</v>
      </c>
      <c r="V82" s="436">
        <v>7</v>
      </c>
      <c r="W82" s="436">
        <v>7</v>
      </c>
      <c r="X82" s="436">
        <v>7</v>
      </c>
      <c r="Y82" s="436">
        <v>7</v>
      </c>
      <c r="Z82" s="11">
        <f t="shared" si="31"/>
        <v>-1</v>
      </c>
      <c r="AA82" s="11">
        <f t="shared" si="32"/>
        <v>0</v>
      </c>
      <c r="AB82" s="11">
        <f t="shared" si="33"/>
        <v>0</v>
      </c>
      <c r="AC82" s="11">
        <f t="shared" si="34"/>
        <v>0</v>
      </c>
      <c r="AD82" s="11">
        <f t="shared" si="35"/>
        <v>0</v>
      </c>
      <c r="AE82" s="11">
        <f t="shared" si="36"/>
        <v>0</v>
      </c>
      <c r="AF82" s="11">
        <f t="shared" si="37"/>
        <v>0</v>
      </c>
      <c r="AG82" s="11">
        <f t="shared" si="38"/>
        <v>0</v>
      </c>
      <c r="AH82" s="11">
        <f t="shared" si="39"/>
        <v>0</v>
      </c>
      <c r="AI82" s="11">
        <f t="shared" si="40"/>
        <v>0</v>
      </c>
      <c r="AJ82" s="11">
        <f t="shared" si="41"/>
        <v>0</v>
      </c>
      <c r="AK82" s="11">
        <f t="shared" si="42"/>
        <v>0</v>
      </c>
      <c r="AL82" s="11">
        <f t="shared" si="43"/>
        <v>0</v>
      </c>
      <c r="AM82" s="11">
        <f t="shared" si="44"/>
        <v>0</v>
      </c>
      <c r="AN82" s="11">
        <f t="shared" si="45"/>
        <v>1</v>
      </c>
      <c r="AO82" s="11">
        <f t="shared" si="46"/>
        <v>-1</v>
      </c>
      <c r="AP82" s="11">
        <f t="shared" si="47"/>
        <v>0</v>
      </c>
      <c r="AQ82" s="11">
        <f t="shared" si="48"/>
        <v>0</v>
      </c>
      <c r="AR82" s="11">
        <f t="shared" si="49"/>
        <v>1</v>
      </c>
      <c r="AS82" s="11">
        <f t="shared" si="50"/>
        <v>0</v>
      </c>
      <c r="AT82" s="11">
        <f t="shared" si="51"/>
        <v>-1</v>
      </c>
      <c r="AU82" s="11">
        <f t="shared" si="52"/>
        <v>0</v>
      </c>
      <c r="AV82" s="11">
        <f t="shared" si="53"/>
        <v>0</v>
      </c>
      <c r="AW82" s="11">
        <f t="shared" si="54"/>
        <v>0</v>
      </c>
      <c r="AX82" s="11">
        <f t="shared" si="55"/>
        <v>2</v>
      </c>
      <c r="AY82" s="11">
        <f t="shared" si="56"/>
        <v>3</v>
      </c>
    </row>
    <row r="83" spans="1:51" s="12" customFormat="1">
      <c r="A83" s="15">
        <v>45008</v>
      </c>
      <c r="B83" s="436">
        <v>7</v>
      </c>
      <c r="C83" s="436">
        <v>7</v>
      </c>
      <c r="D83" s="436">
        <v>7</v>
      </c>
      <c r="E83" s="436">
        <v>7</v>
      </c>
      <c r="F83" s="436">
        <v>7</v>
      </c>
      <c r="G83" s="436">
        <v>7</v>
      </c>
      <c r="H83" s="436">
        <v>7</v>
      </c>
      <c r="I83" s="436">
        <v>7</v>
      </c>
      <c r="J83" s="436">
        <v>7</v>
      </c>
      <c r="K83" s="436">
        <v>7</v>
      </c>
      <c r="L83" s="436">
        <v>8</v>
      </c>
      <c r="M83" s="436">
        <v>8</v>
      </c>
      <c r="N83" s="436">
        <v>8</v>
      </c>
      <c r="O83" s="436">
        <v>8</v>
      </c>
      <c r="P83" s="436">
        <v>8</v>
      </c>
      <c r="Q83" s="436">
        <v>8</v>
      </c>
      <c r="R83" s="436">
        <v>8</v>
      </c>
      <c r="S83" s="436">
        <v>8</v>
      </c>
      <c r="T83" s="436">
        <v>8</v>
      </c>
      <c r="U83" s="436">
        <v>8</v>
      </c>
      <c r="V83" s="436">
        <v>8</v>
      </c>
      <c r="W83" s="436">
        <v>8</v>
      </c>
      <c r="X83" s="436">
        <v>8</v>
      </c>
      <c r="Y83" s="436">
        <v>8</v>
      </c>
      <c r="Z83" s="11">
        <f t="shared" si="31"/>
        <v>0</v>
      </c>
      <c r="AA83" s="11">
        <f t="shared" si="32"/>
        <v>0</v>
      </c>
      <c r="AB83" s="11">
        <f t="shared" si="33"/>
        <v>0</v>
      </c>
      <c r="AC83" s="11">
        <f t="shared" si="34"/>
        <v>0</v>
      </c>
      <c r="AD83" s="11">
        <f t="shared" si="35"/>
        <v>0</v>
      </c>
      <c r="AE83" s="11">
        <f t="shared" si="36"/>
        <v>0</v>
      </c>
      <c r="AF83" s="11">
        <f t="shared" si="37"/>
        <v>0</v>
      </c>
      <c r="AG83" s="11">
        <f t="shared" si="38"/>
        <v>0</v>
      </c>
      <c r="AH83" s="11">
        <f t="shared" si="39"/>
        <v>0</v>
      </c>
      <c r="AI83" s="11">
        <f t="shared" si="40"/>
        <v>0</v>
      </c>
      <c r="AJ83" s="11">
        <f t="shared" si="41"/>
        <v>1</v>
      </c>
      <c r="AK83" s="11">
        <f t="shared" si="42"/>
        <v>0</v>
      </c>
      <c r="AL83" s="11">
        <f t="shared" si="43"/>
        <v>0</v>
      </c>
      <c r="AM83" s="11">
        <f t="shared" si="44"/>
        <v>0</v>
      </c>
      <c r="AN83" s="11">
        <f t="shared" si="45"/>
        <v>0</v>
      </c>
      <c r="AO83" s="11">
        <f t="shared" si="46"/>
        <v>0</v>
      </c>
      <c r="AP83" s="11">
        <f t="shared" si="47"/>
        <v>0</v>
      </c>
      <c r="AQ83" s="11">
        <f t="shared" si="48"/>
        <v>0</v>
      </c>
      <c r="AR83" s="11">
        <f t="shared" si="49"/>
        <v>0</v>
      </c>
      <c r="AS83" s="11">
        <f t="shared" si="50"/>
        <v>0</v>
      </c>
      <c r="AT83" s="11">
        <f t="shared" si="51"/>
        <v>0</v>
      </c>
      <c r="AU83" s="11">
        <f t="shared" si="52"/>
        <v>0</v>
      </c>
      <c r="AV83" s="11">
        <f t="shared" si="53"/>
        <v>0</v>
      </c>
      <c r="AW83" s="11">
        <f t="shared" si="54"/>
        <v>0</v>
      </c>
      <c r="AX83" s="11">
        <f t="shared" si="55"/>
        <v>1</v>
      </c>
      <c r="AY83" s="11">
        <f t="shared" si="56"/>
        <v>0</v>
      </c>
    </row>
    <row r="84" spans="1:51" s="12" customFormat="1">
      <c r="A84" s="15">
        <v>45009</v>
      </c>
      <c r="B84" s="436">
        <v>8</v>
      </c>
      <c r="C84" s="436">
        <v>7</v>
      </c>
      <c r="D84" s="436">
        <v>7</v>
      </c>
      <c r="E84" s="436">
        <v>8</v>
      </c>
      <c r="F84" s="436">
        <v>8</v>
      </c>
      <c r="G84" s="436">
        <v>8</v>
      </c>
      <c r="H84" s="436">
        <v>7</v>
      </c>
      <c r="I84" s="436">
        <v>7</v>
      </c>
      <c r="J84" s="436">
        <v>8</v>
      </c>
      <c r="K84" s="436">
        <v>8</v>
      </c>
      <c r="L84" s="436">
        <v>8</v>
      </c>
      <c r="M84" s="436">
        <v>8</v>
      </c>
      <c r="N84" s="436">
        <v>8</v>
      </c>
      <c r="O84" s="436">
        <v>8</v>
      </c>
      <c r="P84" s="436">
        <v>8</v>
      </c>
      <c r="Q84" s="436">
        <v>8</v>
      </c>
      <c r="R84" s="436">
        <v>8</v>
      </c>
      <c r="S84" s="436">
        <v>8</v>
      </c>
      <c r="T84" s="436">
        <v>8</v>
      </c>
      <c r="U84" s="436">
        <v>8</v>
      </c>
      <c r="V84" s="436">
        <v>8</v>
      </c>
      <c r="W84" s="436">
        <v>8</v>
      </c>
      <c r="X84" s="436">
        <v>8</v>
      </c>
      <c r="Y84" s="436">
        <v>8</v>
      </c>
      <c r="Z84" s="11">
        <f t="shared" si="31"/>
        <v>0</v>
      </c>
      <c r="AA84" s="11">
        <f t="shared" si="32"/>
        <v>-1</v>
      </c>
      <c r="AB84" s="11">
        <f t="shared" si="33"/>
        <v>0</v>
      </c>
      <c r="AC84" s="11">
        <f t="shared" si="34"/>
        <v>1</v>
      </c>
      <c r="AD84" s="11">
        <f t="shared" si="35"/>
        <v>0</v>
      </c>
      <c r="AE84" s="11">
        <f t="shared" si="36"/>
        <v>0</v>
      </c>
      <c r="AF84" s="11">
        <f t="shared" si="37"/>
        <v>-1</v>
      </c>
      <c r="AG84" s="11">
        <f t="shared" si="38"/>
        <v>0</v>
      </c>
      <c r="AH84" s="11">
        <f t="shared" si="39"/>
        <v>1</v>
      </c>
      <c r="AI84" s="11">
        <f t="shared" si="40"/>
        <v>0</v>
      </c>
      <c r="AJ84" s="11">
        <f t="shared" si="41"/>
        <v>0</v>
      </c>
      <c r="AK84" s="11">
        <f t="shared" si="42"/>
        <v>0</v>
      </c>
      <c r="AL84" s="11">
        <f t="shared" si="43"/>
        <v>0</v>
      </c>
      <c r="AM84" s="11">
        <f t="shared" si="44"/>
        <v>0</v>
      </c>
      <c r="AN84" s="11">
        <f t="shared" si="45"/>
        <v>0</v>
      </c>
      <c r="AO84" s="11">
        <f t="shared" si="46"/>
        <v>0</v>
      </c>
      <c r="AP84" s="11">
        <f t="shared" si="47"/>
        <v>0</v>
      </c>
      <c r="AQ84" s="11">
        <f t="shared" si="48"/>
        <v>0</v>
      </c>
      <c r="AR84" s="11">
        <f t="shared" si="49"/>
        <v>0</v>
      </c>
      <c r="AS84" s="11">
        <f t="shared" si="50"/>
        <v>0</v>
      </c>
      <c r="AT84" s="11">
        <f t="shared" si="51"/>
        <v>0</v>
      </c>
      <c r="AU84" s="11">
        <f t="shared" si="52"/>
        <v>0</v>
      </c>
      <c r="AV84" s="11">
        <f t="shared" si="53"/>
        <v>0</v>
      </c>
      <c r="AW84" s="11">
        <f t="shared" si="54"/>
        <v>0</v>
      </c>
      <c r="AX84" s="11">
        <f t="shared" si="55"/>
        <v>2</v>
      </c>
      <c r="AY84" s="11">
        <f t="shared" si="56"/>
        <v>2</v>
      </c>
    </row>
    <row r="85" spans="1:51" s="12" customFormat="1">
      <c r="A85" s="15">
        <v>45010</v>
      </c>
      <c r="B85" s="436">
        <v>8</v>
      </c>
      <c r="C85" s="436">
        <v>7</v>
      </c>
      <c r="D85" s="436">
        <v>7</v>
      </c>
      <c r="E85" s="436">
        <v>8</v>
      </c>
      <c r="F85" s="436">
        <v>7</v>
      </c>
      <c r="G85" s="436">
        <v>7</v>
      </c>
      <c r="H85" s="436">
        <v>7</v>
      </c>
      <c r="I85" s="436">
        <v>7</v>
      </c>
      <c r="J85" s="436">
        <v>8</v>
      </c>
      <c r="K85" s="436">
        <v>8</v>
      </c>
      <c r="L85" s="436">
        <v>8</v>
      </c>
      <c r="M85" s="436">
        <v>8</v>
      </c>
      <c r="N85" s="436">
        <v>8</v>
      </c>
      <c r="O85" s="436">
        <v>8</v>
      </c>
      <c r="P85" s="436">
        <v>8</v>
      </c>
      <c r="Q85" s="436">
        <v>8</v>
      </c>
      <c r="R85" s="436">
        <v>8</v>
      </c>
      <c r="S85" s="436">
        <v>8</v>
      </c>
      <c r="T85" s="436">
        <v>8</v>
      </c>
      <c r="U85" s="436">
        <v>8</v>
      </c>
      <c r="V85" s="436">
        <v>8</v>
      </c>
      <c r="W85" s="436">
        <v>8</v>
      </c>
      <c r="X85" s="436">
        <v>8</v>
      </c>
      <c r="Y85" s="436">
        <v>8</v>
      </c>
      <c r="Z85" s="11">
        <f t="shared" si="31"/>
        <v>0</v>
      </c>
      <c r="AA85" s="11">
        <f t="shared" si="32"/>
        <v>-1</v>
      </c>
      <c r="AB85" s="11">
        <f t="shared" si="33"/>
        <v>0</v>
      </c>
      <c r="AC85" s="11">
        <f t="shared" si="34"/>
        <v>1</v>
      </c>
      <c r="AD85" s="11">
        <f t="shared" si="35"/>
        <v>-1</v>
      </c>
      <c r="AE85" s="11">
        <f t="shared" si="36"/>
        <v>0</v>
      </c>
      <c r="AF85" s="11">
        <f t="shared" si="37"/>
        <v>0</v>
      </c>
      <c r="AG85" s="11">
        <f t="shared" si="38"/>
        <v>0</v>
      </c>
      <c r="AH85" s="11">
        <f t="shared" si="39"/>
        <v>1</v>
      </c>
      <c r="AI85" s="11">
        <f t="shared" si="40"/>
        <v>0</v>
      </c>
      <c r="AJ85" s="11">
        <f t="shared" si="41"/>
        <v>0</v>
      </c>
      <c r="AK85" s="11">
        <f t="shared" si="42"/>
        <v>0</v>
      </c>
      <c r="AL85" s="11">
        <f t="shared" si="43"/>
        <v>0</v>
      </c>
      <c r="AM85" s="11">
        <f t="shared" si="44"/>
        <v>0</v>
      </c>
      <c r="AN85" s="11">
        <f t="shared" si="45"/>
        <v>0</v>
      </c>
      <c r="AO85" s="11">
        <f t="shared" si="46"/>
        <v>0</v>
      </c>
      <c r="AP85" s="11">
        <f t="shared" si="47"/>
        <v>0</v>
      </c>
      <c r="AQ85" s="11">
        <f t="shared" si="48"/>
        <v>0</v>
      </c>
      <c r="AR85" s="11">
        <f t="shared" si="49"/>
        <v>0</v>
      </c>
      <c r="AS85" s="11">
        <f t="shared" si="50"/>
        <v>0</v>
      </c>
      <c r="AT85" s="11">
        <f t="shared" si="51"/>
        <v>0</v>
      </c>
      <c r="AU85" s="11">
        <f t="shared" si="52"/>
        <v>0</v>
      </c>
      <c r="AV85" s="11">
        <f t="shared" si="53"/>
        <v>0</v>
      </c>
      <c r="AW85" s="11">
        <f t="shared" si="54"/>
        <v>0</v>
      </c>
      <c r="AX85" s="11">
        <f t="shared" si="55"/>
        <v>2</v>
      </c>
      <c r="AY85" s="11">
        <f t="shared" si="56"/>
        <v>2</v>
      </c>
    </row>
    <row r="86" spans="1:51" s="12" customFormat="1">
      <c r="A86" s="15">
        <v>45011</v>
      </c>
      <c r="B86" s="436">
        <v>8</v>
      </c>
      <c r="C86" s="436">
        <v>7</v>
      </c>
      <c r="D86" s="436">
        <v>7</v>
      </c>
      <c r="E86" s="436">
        <v>8</v>
      </c>
      <c r="F86" s="436">
        <v>8</v>
      </c>
      <c r="G86" s="436">
        <v>8</v>
      </c>
      <c r="H86" s="436">
        <v>3</v>
      </c>
      <c r="I86" s="436">
        <v>0</v>
      </c>
      <c r="J86" s="436">
        <v>3</v>
      </c>
      <c r="K86" s="436">
        <v>6</v>
      </c>
      <c r="L86" s="436">
        <v>8</v>
      </c>
      <c r="M86" s="436">
        <v>8</v>
      </c>
      <c r="N86" s="436">
        <v>8</v>
      </c>
      <c r="O86" s="436">
        <v>8</v>
      </c>
      <c r="P86" s="436">
        <v>8</v>
      </c>
      <c r="Q86" s="436">
        <v>8</v>
      </c>
      <c r="R86" s="436">
        <v>8</v>
      </c>
      <c r="S86" s="436">
        <v>8</v>
      </c>
      <c r="T86" s="436">
        <v>8</v>
      </c>
      <c r="U86" s="436">
        <v>8</v>
      </c>
      <c r="V86" s="436">
        <v>8</v>
      </c>
      <c r="W86" s="436">
        <v>7</v>
      </c>
      <c r="X86" s="436">
        <v>7</v>
      </c>
      <c r="Y86" s="436">
        <v>7</v>
      </c>
      <c r="Z86" s="11">
        <f t="shared" si="31"/>
        <v>0</v>
      </c>
      <c r="AA86" s="11">
        <f t="shared" si="32"/>
        <v>-1</v>
      </c>
      <c r="AB86" s="11">
        <f t="shared" si="33"/>
        <v>0</v>
      </c>
      <c r="AC86" s="11">
        <f t="shared" si="34"/>
        <v>1</v>
      </c>
      <c r="AD86" s="11">
        <f t="shared" si="35"/>
        <v>0</v>
      </c>
      <c r="AE86" s="11">
        <f t="shared" si="36"/>
        <v>0</v>
      </c>
      <c r="AF86" s="11">
        <f t="shared" si="37"/>
        <v>-5</v>
      </c>
      <c r="AG86" s="11">
        <f t="shared" si="38"/>
        <v>-3</v>
      </c>
      <c r="AH86" s="11">
        <f t="shared" si="39"/>
        <v>3</v>
      </c>
      <c r="AI86" s="11">
        <f t="shared" si="40"/>
        <v>3</v>
      </c>
      <c r="AJ86" s="11">
        <f t="shared" si="41"/>
        <v>2</v>
      </c>
      <c r="AK86" s="11">
        <f t="shared" si="42"/>
        <v>0</v>
      </c>
      <c r="AL86" s="11">
        <f t="shared" si="43"/>
        <v>0</v>
      </c>
      <c r="AM86" s="11">
        <f t="shared" si="44"/>
        <v>0</v>
      </c>
      <c r="AN86" s="11">
        <f t="shared" si="45"/>
        <v>0</v>
      </c>
      <c r="AO86" s="11">
        <f t="shared" si="46"/>
        <v>0</v>
      </c>
      <c r="AP86" s="11">
        <f t="shared" si="47"/>
        <v>0</v>
      </c>
      <c r="AQ86" s="11">
        <f t="shared" si="48"/>
        <v>0</v>
      </c>
      <c r="AR86" s="11">
        <f t="shared" si="49"/>
        <v>0</v>
      </c>
      <c r="AS86" s="11">
        <f t="shared" si="50"/>
        <v>0</v>
      </c>
      <c r="AT86" s="11">
        <f t="shared" si="51"/>
        <v>0</v>
      </c>
      <c r="AU86" s="11">
        <f t="shared" si="52"/>
        <v>-1</v>
      </c>
      <c r="AV86" s="11">
        <f t="shared" si="53"/>
        <v>0</v>
      </c>
      <c r="AW86" s="11">
        <f t="shared" si="54"/>
        <v>0</v>
      </c>
      <c r="AX86" s="11">
        <f t="shared" si="55"/>
        <v>9</v>
      </c>
      <c r="AY86" s="11">
        <f t="shared" si="56"/>
        <v>10</v>
      </c>
    </row>
    <row r="87" spans="1:51" s="12" customFormat="1">
      <c r="A87" s="15">
        <v>45012</v>
      </c>
      <c r="B87" s="436">
        <v>8</v>
      </c>
      <c r="C87" s="436">
        <v>7</v>
      </c>
      <c r="D87" s="436">
        <v>7</v>
      </c>
      <c r="E87" s="436">
        <v>7</v>
      </c>
      <c r="F87" s="436">
        <v>8</v>
      </c>
      <c r="G87" s="436">
        <v>8</v>
      </c>
      <c r="H87" s="436">
        <v>7</v>
      </c>
      <c r="I87" s="436">
        <v>7</v>
      </c>
      <c r="J87" s="436">
        <v>7</v>
      </c>
      <c r="K87" s="436">
        <v>7</v>
      </c>
      <c r="L87" s="436">
        <v>8</v>
      </c>
      <c r="M87" s="436">
        <v>8</v>
      </c>
      <c r="N87" s="436">
        <v>8</v>
      </c>
      <c r="O87" s="436">
        <v>8</v>
      </c>
      <c r="P87" s="436">
        <v>8</v>
      </c>
      <c r="Q87" s="436">
        <v>8</v>
      </c>
      <c r="R87" s="436">
        <v>8</v>
      </c>
      <c r="S87" s="436">
        <v>8</v>
      </c>
      <c r="T87" s="436">
        <v>8</v>
      </c>
      <c r="U87" s="436">
        <v>8</v>
      </c>
      <c r="V87" s="436">
        <v>8</v>
      </c>
      <c r="W87" s="436">
        <v>8</v>
      </c>
      <c r="X87" s="436">
        <v>8</v>
      </c>
      <c r="Y87" s="436">
        <v>8</v>
      </c>
      <c r="Z87" s="11">
        <f t="shared" si="31"/>
        <v>1</v>
      </c>
      <c r="AA87" s="11">
        <f t="shared" si="32"/>
        <v>-1</v>
      </c>
      <c r="AB87" s="11">
        <f t="shared" si="33"/>
        <v>0</v>
      </c>
      <c r="AC87" s="11">
        <f t="shared" si="34"/>
        <v>0</v>
      </c>
      <c r="AD87" s="11">
        <f t="shared" si="35"/>
        <v>1</v>
      </c>
      <c r="AE87" s="11">
        <f t="shared" si="36"/>
        <v>0</v>
      </c>
      <c r="AF87" s="11">
        <f t="shared" si="37"/>
        <v>-1</v>
      </c>
      <c r="AG87" s="11">
        <f t="shared" si="38"/>
        <v>0</v>
      </c>
      <c r="AH87" s="11">
        <f t="shared" si="39"/>
        <v>0</v>
      </c>
      <c r="AI87" s="11">
        <f t="shared" si="40"/>
        <v>0</v>
      </c>
      <c r="AJ87" s="11">
        <f t="shared" si="41"/>
        <v>1</v>
      </c>
      <c r="AK87" s="11">
        <f t="shared" si="42"/>
        <v>0</v>
      </c>
      <c r="AL87" s="11">
        <f t="shared" si="43"/>
        <v>0</v>
      </c>
      <c r="AM87" s="11">
        <f t="shared" si="44"/>
        <v>0</v>
      </c>
      <c r="AN87" s="11">
        <f t="shared" si="45"/>
        <v>0</v>
      </c>
      <c r="AO87" s="11">
        <f t="shared" si="46"/>
        <v>0</v>
      </c>
      <c r="AP87" s="11">
        <f t="shared" si="47"/>
        <v>0</v>
      </c>
      <c r="AQ87" s="11">
        <f t="shared" si="48"/>
        <v>0</v>
      </c>
      <c r="AR87" s="11">
        <f t="shared" si="49"/>
        <v>0</v>
      </c>
      <c r="AS87" s="11">
        <f t="shared" si="50"/>
        <v>0</v>
      </c>
      <c r="AT87" s="11">
        <f t="shared" si="51"/>
        <v>0</v>
      </c>
      <c r="AU87" s="11">
        <f t="shared" si="52"/>
        <v>0</v>
      </c>
      <c r="AV87" s="11">
        <f t="shared" si="53"/>
        <v>0</v>
      </c>
      <c r="AW87" s="11">
        <f t="shared" si="54"/>
        <v>0</v>
      </c>
      <c r="AX87" s="11">
        <f t="shared" si="55"/>
        <v>3</v>
      </c>
      <c r="AY87" s="11">
        <f t="shared" si="56"/>
        <v>2</v>
      </c>
    </row>
    <row r="88" spans="1:51" s="12" customFormat="1">
      <c r="A88" s="15">
        <v>45013</v>
      </c>
      <c r="B88" s="436">
        <v>8</v>
      </c>
      <c r="C88" s="436">
        <v>8</v>
      </c>
      <c r="D88" s="436">
        <v>8</v>
      </c>
      <c r="E88" s="436">
        <v>8</v>
      </c>
      <c r="F88" s="436">
        <v>8</v>
      </c>
      <c r="G88" s="436">
        <v>8</v>
      </c>
      <c r="H88" s="436">
        <v>7</v>
      </c>
      <c r="I88" s="436">
        <v>8</v>
      </c>
      <c r="J88" s="436">
        <v>7</v>
      </c>
      <c r="K88" s="436">
        <v>7</v>
      </c>
      <c r="L88" s="436">
        <v>7</v>
      </c>
      <c r="M88" s="436">
        <v>8</v>
      </c>
      <c r="N88" s="436">
        <v>8</v>
      </c>
      <c r="O88" s="436">
        <v>8</v>
      </c>
      <c r="P88" s="436">
        <v>8</v>
      </c>
      <c r="Q88" s="436">
        <v>8</v>
      </c>
      <c r="R88" s="436">
        <v>8</v>
      </c>
      <c r="S88" s="436">
        <v>8</v>
      </c>
      <c r="T88" s="436">
        <v>8</v>
      </c>
      <c r="U88" s="436">
        <v>8</v>
      </c>
      <c r="V88" s="436">
        <v>8</v>
      </c>
      <c r="W88" s="436">
        <v>8</v>
      </c>
      <c r="X88" s="436">
        <v>8</v>
      </c>
      <c r="Y88" s="436">
        <v>8</v>
      </c>
      <c r="Z88" s="11">
        <f t="shared" si="31"/>
        <v>0</v>
      </c>
      <c r="AA88" s="11">
        <f t="shared" si="32"/>
        <v>0</v>
      </c>
      <c r="AB88" s="11">
        <f t="shared" si="33"/>
        <v>0</v>
      </c>
      <c r="AC88" s="11">
        <f t="shared" si="34"/>
        <v>0</v>
      </c>
      <c r="AD88" s="11">
        <f t="shared" si="35"/>
        <v>0</v>
      </c>
      <c r="AE88" s="11">
        <f t="shared" si="36"/>
        <v>0</v>
      </c>
      <c r="AF88" s="11">
        <f t="shared" si="37"/>
        <v>-1</v>
      </c>
      <c r="AG88" s="11">
        <f t="shared" si="38"/>
        <v>1</v>
      </c>
      <c r="AH88" s="11">
        <f t="shared" si="39"/>
        <v>-1</v>
      </c>
      <c r="AI88" s="11">
        <f t="shared" si="40"/>
        <v>0</v>
      </c>
      <c r="AJ88" s="11">
        <f t="shared" si="41"/>
        <v>0</v>
      </c>
      <c r="AK88" s="11">
        <f t="shared" si="42"/>
        <v>1</v>
      </c>
      <c r="AL88" s="11">
        <f t="shared" si="43"/>
        <v>0</v>
      </c>
      <c r="AM88" s="11">
        <f t="shared" si="44"/>
        <v>0</v>
      </c>
      <c r="AN88" s="11">
        <f t="shared" si="45"/>
        <v>0</v>
      </c>
      <c r="AO88" s="11">
        <f t="shared" si="46"/>
        <v>0</v>
      </c>
      <c r="AP88" s="11">
        <f t="shared" si="47"/>
        <v>0</v>
      </c>
      <c r="AQ88" s="11">
        <f t="shared" si="48"/>
        <v>0</v>
      </c>
      <c r="AR88" s="11">
        <f t="shared" si="49"/>
        <v>0</v>
      </c>
      <c r="AS88" s="11">
        <f t="shared" si="50"/>
        <v>0</v>
      </c>
      <c r="AT88" s="11">
        <f t="shared" si="51"/>
        <v>0</v>
      </c>
      <c r="AU88" s="11">
        <f t="shared" si="52"/>
        <v>0</v>
      </c>
      <c r="AV88" s="11">
        <f t="shared" si="53"/>
        <v>0</v>
      </c>
      <c r="AW88" s="11">
        <f t="shared" si="54"/>
        <v>0</v>
      </c>
      <c r="AX88" s="11">
        <f t="shared" si="55"/>
        <v>2</v>
      </c>
      <c r="AY88" s="11">
        <f t="shared" si="56"/>
        <v>2</v>
      </c>
    </row>
    <row r="89" spans="1:51" s="12" customFormat="1">
      <c r="A89" s="15">
        <v>45014</v>
      </c>
      <c r="B89" s="436">
        <v>8</v>
      </c>
      <c r="C89" s="436">
        <v>8</v>
      </c>
      <c r="D89" s="436">
        <v>8</v>
      </c>
      <c r="E89" s="436">
        <v>8</v>
      </c>
      <c r="F89" s="436">
        <v>8</v>
      </c>
      <c r="G89" s="436">
        <v>8</v>
      </c>
      <c r="H89" s="436">
        <v>7</v>
      </c>
      <c r="I89" s="436">
        <v>7</v>
      </c>
      <c r="J89" s="436">
        <v>7</v>
      </c>
      <c r="K89" s="436">
        <v>8</v>
      </c>
      <c r="L89" s="436">
        <v>8</v>
      </c>
      <c r="M89" s="436">
        <v>8</v>
      </c>
      <c r="N89" s="436">
        <v>8</v>
      </c>
      <c r="O89" s="436">
        <v>8</v>
      </c>
      <c r="P89" s="436">
        <v>8</v>
      </c>
      <c r="Q89" s="436">
        <v>8</v>
      </c>
      <c r="R89" s="436">
        <v>8</v>
      </c>
      <c r="S89" s="436">
        <v>8</v>
      </c>
      <c r="T89" s="436">
        <v>8</v>
      </c>
      <c r="U89" s="436">
        <v>8</v>
      </c>
      <c r="V89" s="436">
        <v>8</v>
      </c>
      <c r="W89" s="436">
        <v>8</v>
      </c>
      <c r="X89" s="436">
        <v>8</v>
      </c>
      <c r="Y89" s="436">
        <v>8</v>
      </c>
      <c r="Z89" s="11">
        <f t="shared" si="31"/>
        <v>0</v>
      </c>
      <c r="AA89" s="11">
        <f t="shared" si="32"/>
        <v>0</v>
      </c>
      <c r="AB89" s="11">
        <f t="shared" si="33"/>
        <v>0</v>
      </c>
      <c r="AC89" s="11">
        <f t="shared" si="34"/>
        <v>0</v>
      </c>
      <c r="AD89" s="11">
        <f t="shared" si="35"/>
        <v>0</v>
      </c>
      <c r="AE89" s="11">
        <f t="shared" si="36"/>
        <v>0</v>
      </c>
      <c r="AF89" s="11">
        <f t="shared" si="37"/>
        <v>-1</v>
      </c>
      <c r="AG89" s="11">
        <f t="shared" si="38"/>
        <v>0</v>
      </c>
      <c r="AH89" s="11">
        <f t="shared" si="39"/>
        <v>0</v>
      </c>
      <c r="AI89" s="11">
        <f t="shared" si="40"/>
        <v>1</v>
      </c>
      <c r="AJ89" s="11">
        <f t="shared" si="41"/>
        <v>0</v>
      </c>
      <c r="AK89" s="11">
        <f t="shared" si="42"/>
        <v>0</v>
      </c>
      <c r="AL89" s="11">
        <f t="shared" si="43"/>
        <v>0</v>
      </c>
      <c r="AM89" s="11">
        <f t="shared" si="44"/>
        <v>0</v>
      </c>
      <c r="AN89" s="11">
        <f t="shared" si="45"/>
        <v>0</v>
      </c>
      <c r="AO89" s="11">
        <f t="shared" si="46"/>
        <v>0</v>
      </c>
      <c r="AP89" s="11">
        <f t="shared" si="47"/>
        <v>0</v>
      </c>
      <c r="AQ89" s="11">
        <f t="shared" si="48"/>
        <v>0</v>
      </c>
      <c r="AR89" s="11">
        <f t="shared" si="49"/>
        <v>0</v>
      </c>
      <c r="AS89" s="11">
        <f t="shared" si="50"/>
        <v>0</v>
      </c>
      <c r="AT89" s="11">
        <f t="shared" si="51"/>
        <v>0</v>
      </c>
      <c r="AU89" s="11">
        <f t="shared" si="52"/>
        <v>0</v>
      </c>
      <c r="AV89" s="11">
        <f t="shared" si="53"/>
        <v>0</v>
      </c>
      <c r="AW89" s="11">
        <f t="shared" si="54"/>
        <v>0</v>
      </c>
      <c r="AX89" s="11">
        <f t="shared" si="55"/>
        <v>1</v>
      </c>
      <c r="AY89" s="11">
        <f t="shared" si="56"/>
        <v>1</v>
      </c>
    </row>
    <row r="90" spans="1:51" s="12" customFormat="1">
      <c r="A90" s="15">
        <v>45015</v>
      </c>
      <c r="B90" s="436">
        <v>8</v>
      </c>
      <c r="C90" s="436">
        <v>8</v>
      </c>
      <c r="D90" s="436">
        <v>8</v>
      </c>
      <c r="E90" s="436">
        <v>8</v>
      </c>
      <c r="F90" s="436">
        <v>8</v>
      </c>
      <c r="G90" s="436">
        <v>8</v>
      </c>
      <c r="H90" s="436">
        <v>7</v>
      </c>
      <c r="I90" s="436">
        <v>7</v>
      </c>
      <c r="J90" s="436">
        <v>7</v>
      </c>
      <c r="K90" s="436">
        <v>8</v>
      </c>
      <c r="L90" s="436">
        <v>8</v>
      </c>
      <c r="M90" s="436">
        <v>8</v>
      </c>
      <c r="N90" s="436">
        <v>8</v>
      </c>
      <c r="O90" s="436">
        <v>8</v>
      </c>
      <c r="P90" s="436">
        <v>8</v>
      </c>
      <c r="Q90" s="436">
        <v>8</v>
      </c>
      <c r="R90" s="436">
        <v>8</v>
      </c>
      <c r="S90" s="436">
        <v>8</v>
      </c>
      <c r="T90" s="436">
        <v>8</v>
      </c>
      <c r="U90" s="436">
        <v>8</v>
      </c>
      <c r="V90" s="436">
        <v>8</v>
      </c>
      <c r="W90" s="436">
        <v>8</v>
      </c>
      <c r="X90" s="436">
        <v>8</v>
      </c>
      <c r="Y90" s="436">
        <v>8</v>
      </c>
      <c r="Z90" s="11">
        <f t="shared" si="31"/>
        <v>0</v>
      </c>
      <c r="AA90" s="11">
        <f t="shared" si="32"/>
        <v>0</v>
      </c>
      <c r="AB90" s="11">
        <f t="shared" si="33"/>
        <v>0</v>
      </c>
      <c r="AC90" s="11">
        <f t="shared" si="34"/>
        <v>0</v>
      </c>
      <c r="AD90" s="11">
        <f t="shared" si="35"/>
        <v>0</v>
      </c>
      <c r="AE90" s="11">
        <f t="shared" si="36"/>
        <v>0</v>
      </c>
      <c r="AF90" s="11">
        <f t="shared" si="37"/>
        <v>-1</v>
      </c>
      <c r="AG90" s="11">
        <f t="shared" si="38"/>
        <v>0</v>
      </c>
      <c r="AH90" s="11">
        <f t="shared" si="39"/>
        <v>0</v>
      </c>
      <c r="AI90" s="11">
        <f t="shared" si="40"/>
        <v>1</v>
      </c>
      <c r="AJ90" s="11">
        <f t="shared" si="41"/>
        <v>0</v>
      </c>
      <c r="AK90" s="11">
        <f t="shared" si="42"/>
        <v>0</v>
      </c>
      <c r="AL90" s="11">
        <f t="shared" si="43"/>
        <v>0</v>
      </c>
      <c r="AM90" s="11">
        <f t="shared" si="44"/>
        <v>0</v>
      </c>
      <c r="AN90" s="11">
        <f t="shared" si="45"/>
        <v>0</v>
      </c>
      <c r="AO90" s="11">
        <f t="shared" si="46"/>
        <v>0</v>
      </c>
      <c r="AP90" s="11">
        <f t="shared" si="47"/>
        <v>0</v>
      </c>
      <c r="AQ90" s="11">
        <f t="shared" si="48"/>
        <v>0</v>
      </c>
      <c r="AR90" s="11">
        <f t="shared" si="49"/>
        <v>0</v>
      </c>
      <c r="AS90" s="11">
        <f t="shared" si="50"/>
        <v>0</v>
      </c>
      <c r="AT90" s="11">
        <f t="shared" si="51"/>
        <v>0</v>
      </c>
      <c r="AU90" s="11">
        <f t="shared" si="52"/>
        <v>0</v>
      </c>
      <c r="AV90" s="11">
        <f t="shared" si="53"/>
        <v>0</v>
      </c>
      <c r="AW90" s="11">
        <f t="shared" si="54"/>
        <v>0</v>
      </c>
      <c r="AX90" s="11">
        <f t="shared" si="55"/>
        <v>1</v>
      </c>
      <c r="AY90" s="11">
        <f t="shared" si="56"/>
        <v>1</v>
      </c>
    </row>
    <row r="91" spans="1:51" s="12" customFormat="1">
      <c r="A91" s="15">
        <v>45016</v>
      </c>
      <c r="B91" s="436">
        <v>8</v>
      </c>
      <c r="C91" s="436">
        <v>8</v>
      </c>
      <c r="D91" s="436">
        <v>8</v>
      </c>
      <c r="E91" s="436">
        <v>8</v>
      </c>
      <c r="F91" s="436">
        <v>8</v>
      </c>
      <c r="G91" s="436">
        <v>7</v>
      </c>
      <c r="H91" s="436">
        <v>7</v>
      </c>
      <c r="I91" s="436">
        <v>7</v>
      </c>
      <c r="J91" s="436">
        <v>7</v>
      </c>
      <c r="K91" s="436">
        <v>8</v>
      </c>
      <c r="L91" s="436">
        <v>8</v>
      </c>
      <c r="M91" s="436">
        <v>8</v>
      </c>
      <c r="N91" s="436">
        <v>8</v>
      </c>
      <c r="O91" s="436">
        <v>8</v>
      </c>
      <c r="P91" s="436">
        <v>8</v>
      </c>
      <c r="Q91" s="436">
        <v>8</v>
      </c>
      <c r="R91" s="436">
        <v>8</v>
      </c>
      <c r="S91" s="436">
        <v>8</v>
      </c>
      <c r="T91" s="436">
        <v>8</v>
      </c>
      <c r="U91" s="436">
        <v>8</v>
      </c>
      <c r="V91" s="436">
        <v>8</v>
      </c>
      <c r="W91" s="436">
        <v>8</v>
      </c>
      <c r="X91" s="436">
        <v>8</v>
      </c>
      <c r="Y91" s="436">
        <v>8</v>
      </c>
      <c r="Z91" s="11">
        <f t="shared" si="31"/>
        <v>0</v>
      </c>
      <c r="AA91" s="11">
        <f t="shared" si="32"/>
        <v>0</v>
      </c>
      <c r="AB91" s="11">
        <f t="shared" si="33"/>
        <v>0</v>
      </c>
      <c r="AC91" s="11">
        <f t="shared" si="34"/>
        <v>0</v>
      </c>
      <c r="AD91" s="11">
        <f t="shared" si="35"/>
        <v>0</v>
      </c>
      <c r="AE91" s="11">
        <f t="shared" si="36"/>
        <v>-1</v>
      </c>
      <c r="AF91" s="11">
        <f t="shared" si="37"/>
        <v>0</v>
      </c>
      <c r="AG91" s="11">
        <f t="shared" si="38"/>
        <v>0</v>
      </c>
      <c r="AH91" s="11">
        <f t="shared" si="39"/>
        <v>0</v>
      </c>
      <c r="AI91" s="11">
        <f t="shared" si="40"/>
        <v>1</v>
      </c>
      <c r="AJ91" s="11">
        <f t="shared" si="41"/>
        <v>0</v>
      </c>
      <c r="AK91" s="11">
        <f t="shared" si="42"/>
        <v>0</v>
      </c>
      <c r="AL91" s="11">
        <f t="shared" si="43"/>
        <v>0</v>
      </c>
      <c r="AM91" s="11">
        <f t="shared" si="44"/>
        <v>0</v>
      </c>
      <c r="AN91" s="11">
        <f t="shared" si="45"/>
        <v>0</v>
      </c>
      <c r="AO91" s="11">
        <f t="shared" si="46"/>
        <v>0</v>
      </c>
      <c r="AP91" s="11">
        <f t="shared" si="47"/>
        <v>0</v>
      </c>
      <c r="AQ91" s="11">
        <f t="shared" si="48"/>
        <v>0</v>
      </c>
      <c r="AR91" s="11">
        <f t="shared" si="49"/>
        <v>0</v>
      </c>
      <c r="AS91" s="11">
        <f t="shared" si="50"/>
        <v>0</v>
      </c>
      <c r="AT91" s="11">
        <f t="shared" si="51"/>
        <v>0</v>
      </c>
      <c r="AU91" s="11">
        <f t="shared" si="52"/>
        <v>0</v>
      </c>
      <c r="AV91" s="11">
        <f t="shared" si="53"/>
        <v>0</v>
      </c>
      <c r="AW91" s="11">
        <f t="shared" si="54"/>
        <v>0</v>
      </c>
      <c r="AX91" s="11">
        <f t="shared" si="55"/>
        <v>1</v>
      </c>
      <c r="AY91" s="11">
        <f t="shared" si="56"/>
        <v>1</v>
      </c>
    </row>
    <row r="92" spans="1:51" s="12" customFormat="1">
      <c r="A92" s="15">
        <v>45017</v>
      </c>
      <c r="B92" s="436">
        <v>7</v>
      </c>
      <c r="C92" s="436">
        <v>7</v>
      </c>
      <c r="D92" s="436">
        <v>7</v>
      </c>
      <c r="E92" s="436">
        <v>7</v>
      </c>
      <c r="F92" s="436">
        <v>7</v>
      </c>
      <c r="G92" s="436">
        <v>7</v>
      </c>
      <c r="H92" s="436">
        <v>7</v>
      </c>
      <c r="I92" s="436">
        <v>7</v>
      </c>
      <c r="J92" s="436">
        <v>7</v>
      </c>
      <c r="K92" s="436">
        <v>7</v>
      </c>
      <c r="L92" s="436">
        <v>7</v>
      </c>
      <c r="M92" s="436">
        <v>7</v>
      </c>
      <c r="N92" s="436">
        <v>7</v>
      </c>
      <c r="O92" s="436">
        <v>7</v>
      </c>
      <c r="P92" s="436">
        <v>7</v>
      </c>
      <c r="Q92" s="436">
        <v>7</v>
      </c>
      <c r="R92" s="436">
        <v>7</v>
      </c>
      <c r="S92" s="436">
        <v>7</v>
      </c>
      <c r="T92" s="436">
        <v>7</v>
      </c>
      <c r="U92" s="436">
        <v>7</v>
      </c>
      <c r="V92" s="436">
        <v>8</v>
      </c>
      <c r="W92" s="436">
        <v>8</v>
      </c>
      <c r="X92" s="436">
        <v>8</v>
      </c>
      <c r="Y92" s="436">
        <v>8</v>
      </c>
      <c r="Z92" s="11">
        <f t="shared" si="31"/>
        <v>-1</v>
      </c>
      <c r="AA92" s="11">
        <f t="shared" si="32"/>
        <v>0</v>
      </c>
      <c r="AB92" s="11">
        <f t="shared" si="33"/>
        <v>0</v>
      </c>
      <c r="AC92" s="11">
        <f t="shared" si="34"/>
        <v>0</v>
      </c>
      <c r="AD92" s="11">
        <f t="shared" si="35"/>
        <v>0</v>
      </c>
      <c r="AE92" s="11">
        <f t="shared" si="36"/>
        <v>0</v>
      </c>
      <c r="AF92" s="11">
        <f t="shared" si="37"/>
        <v>0</v>
      </c>
      <c r="AG92" s="11">
        <f t="shared" si="38"/>
        <v>0</v>
      </c>
      <c r="AH92" s="11">
        <f t="shared" si="39"/>
        <v>0</v>
      </c>
      <c r="AI92" s="11">
        <f t="shared" si="40"/>
        <v>0</v>
      </c>
      <c r="AJ92" s="11">
        <f t="shared" si="41"/>
        <v>0</v>
      </c>
      <c r="AK92" s="11">
        <f t="shared" si="42"/>
        <v>0</v>
      </c>
      <c r="AL92" s="11">
        <f t="shared" si="43"/>
        <v>0</v>
      </c>
      <c r="AM92" s="11">
        <f t="shared" si="44"/>
        <v>0</v>
      </c>
      <c r="AN92" s="11">
        <f t="shared" si="45"/>
        <v>0</v>
      </c>
      <c r="AO92" s="11">
        <f t="shared" si="46"/>
        <v>0</v>
      </c>
      <c r="AP92" s="11">
        <f t="shared" si="47"/>
        <v>0</v>
      </c>
      <c r="AQ92" s="11">
        <f t="shared" si="48"/>
        <v>0</v>
      </c>
      <c r="AR92" s="11">
        <f t="shared" si="49"/>
        <v>0</v>
      </c>
      <c r="AS92" s="11">
        <f t="shared" si="50"/>
        <v>0</v>
      </c>
      <c r="AT92" s="11">
        <f t="shared" si="51"/>
        <v>1</v>
      </c>
      <c r="AU92" s="11">
        <f t="shared" si="52"/>
        <v>0</v>
      </c>
      <c r="AV92" s="11">
        <f t="shared" si="53"/>
        <v>0</v>
      </c>
      <c r="AW92" s="11">
        <f t="shared" si="54"/>
        <v>0</v>
      </c>
      <c r="AX92" s="11">
        <f t="shared" si="55"/>
        <v>1</v>
      </c>
      <c r="AY92" s="11">
        <f t="shared" si="56"/>
        <v>1</v>
      </c>
    </row>
    <row r="93" spans="1:51" s="12" customFormat="1">
      <c r="A93" s="15">
        <v>45018</v>
      </c>
      <c r="B93" s="436">
        <v>7</v>
      </c>
      <c r="C93" s="436">
        <v>7</v>
      </c>
      <c r="D93" s="436">
        <v>7</v>
      </c>
      <c r="E93" s="436">
        <v>8</v>
      </c>
      <c r="F93" s="436">
        <v>8</v>
      </c>
      <c r="G93" s="436">
        <v>8</v>
      </c>
      <c r="H93" s="436">
        <v>6</v>
      </c>
      <c r="I93" s="436">
        <v>6</v>
      </c>
      <c r="J93" s="436">
        <v>6</v>
      </c>
      <c r="K93" s="436">
        <v>6</v>
      </c>
      <c r="L93" s="436">
        <v>8</v>
      </c>
      <c r="M93" s="436">
        <v>8</v>
      </c>
      <c r="N93" s="436">
        <v>8</v>
      </c>
      <c r="O93" s="436">
        <v>8</v>
      </c>
      <c r="P93" s="436">
        <v>8</v>
      </c>
      <c r="Q93" s="436">
        <v>8</v>
      </c>
      <c r="R93" s="436">
        <v>8</v>
      </c>
      <c r="S93" s="436">
        <v>8</v>
      </c>
      <c r="T93" s="436">
        <v>8</v>
      </c>
      <c r="U93" s="436">
        <v>8</v>
      </c>
      <c r="V93" s="436">
        <v>8</v>
      </c>
      <c r="W93" s="436">
        <v>8</v>
      </c>
      <c r="X93" s="436">
        <v>8</v>
      </c>
      <c r="Y93" s="436">
        <v>8</v>
      </c>
      <c r="Z93" s="11">
        <f t="shared" si="31"/>
        <v>-1</v>
      </c>
      <c r="AA93" s="11">
        <f t="shared" si="32"/>
        <v>0</v>
      </c>
      <c r="AB93" s="11">
        <f t="shared" si="33"/>
        <v>0</v>
      </c>
      <c r="AC93" s="11">
        <f t="shared" si="34"/>
        <v>1</v>
      </c>
      <c r="AD93" s="11">
        <f t="shared" si="35"/>
        <v>0</v>
      </c>
      <c r="AE93" s="11">
        <f t="shared" si="36"/>
        <v>0</v>
      </c>
      <c r="AF93" s="11">
        <f t="shared" si="37"/>
        <v>-2</v>
      </c>
      <c r="AG93" s="11">
        <f t="shared" si="38"/>
        <v>0</v>
      </c>
      <c r="AH93" s="11">
        <f t="shared" si="39"/>
        <v>0</v>
      </c>
      <c r="AI93" s="11">
        <f t="shared" si="40"/>
        <v>0</v>
      </c>
      <c r="AJ93" s="11">
        <f t="shared" si="41"/>
        <v>2</v>
      </c>
      <c r="AK93" s="11">
        <f t="shared" si="42"/>
        <v>0</v>
      </c>
      <c r="AL93" s="11">
        <f t="shared" si="43"/>
        <v>0</v>
      </c>
      <c r="AM93" s="11">
        <f t="shared" si="44"/>
        <v>0</v>
      </c>
      <c r="AN93" s="11">
        <f t="shared" si="45"/>
        <v>0</v>
      </c>
      <c r="AO93" s="11">
        <f t="shared" si="46"/>
        <v>0</v>
      </c>
      <c r="AP93" s="11">
        <f t="shared" si="47"/>
        <v>0</v>
      </c>
      <c r="AQ93" s="11">
        <f t="shared" si="48"/>
        <v>0</v>
      </c>
      <c r="AR93" s="11">
        <f t="shared" si="49"/>
        <v>0</v>
      </c>
      <c r="AS93" s="11">
        <f t="shared" si="50"/>
        <v>0</v>
      </c>
      <c r="AT93" s="11">
        <f t="shared" si="51"/>
        <v>0</v>
      </c>
      <c r="AU93" s="11">
        <f t="shared" si="52"/>
        <v>0</v>
      </c>
      <c r="AV93" s="11">
        <f t="shared" si="53"/>
        <v>0</v>
      </c>
      <c r="AW93" s="11">
        <f t="shared" si="54"/>
        <v>0</v>
      </c>
      <c r="AX93" s="11">
        <f t="shared" si="55"/>
        <v>3</v>
      </c>
      <c r="AY93" s="11">
        <f t="shared" si="56"/>
        <v>3</v>
      </c>
    </row>
    <row r="94" spans="1:51" s="12" customFormat="1">
      <c r="A94" s="15">
        <v>45019</v>
      </c>
      <c r="B94" s="436">
        <v>7</v>
      </c>
      <c r="C94" s="436">
        <v>7</v>
      </c>
      <c r="D94" s="436">
        <v>7</v>
      </c>
      <c r="E94" s="436">
        <v>8</v>
      </c>
      <c r="F94" s="436">
        <v>8</v>
      </c>
      <c r="G94" s="436">
        <v>7</v>
      </c>
      <c r="H94" s="436">
        <v>7</v>
      </c>
      <c r="I94" s="436">
        <v>7</v>
      </c>
      <c r="J94" s="436">
        <v>7</v>
      </c>
      <c r="K94" s="436">
        <v>8</v>
      </c>
      <c r="L94" s="436">
        <v>8</v>
      </c>
      <c r="M94" s="436">
        <v>8</v>
      </c>
      <c r="N94" s="436">
        <v>8</v>
      </c>
      <c r="O94" s="436">
        <v>8</v>
      </c>
      <c r="P94" s="436">
        <v>8</v>
      </c>
      <c r="Q94" s="436">
        <v>8</v>
      </c>
      <c r="R94" s="436">
        <v>8</v>
      </c>
      <c r="S94" s="436">
        <v>8</v>
      </c>
      <c r="T94" s="436">
        <v>8</v>
      </c>
      <c r="U94" s="436">
        <v>8</v>
      </c>
      <c r="V94" s="436">
        <v>8</v>
      </c>
      <c r="W94" s="436">
        <v>8</v>
      </c>
      <c r="X94" s="436">
        <v>8</v>
      </c>
      <c r="Y94" s="436">
        <v>8</v>
      </c>
      <c r="Z94" s="11">
        <f t="shared" si="31"/>
        <v>-1</v>
      </c>
      <c r="AA94" s="11">
        <f t="shared" si="32"/>
        <v>0</v>
      </c>
      <c r="AB94" s="11">
        <f t="shared" si="33"/>
        <v>0</v>
      </c>
      <c r="AC94" s="11">
        <f t="shared" si="34"/>
        <v>1</v>
      </c>
      <c r="AD94" s="11">
        <f t="shared" si="35"/>
        <v>0</v>
      </c>
      <c r="AE94" s="11">
        <f t="shared" si="36"/>
        <v>-1</v>
      </c>
      <c r="AF94" s="11">
        <f t="shared" si="37"/>
        <v>0</v>
      </c>
      <c r="AG94" s="11">
        <f t="shared" si="38"/>
        <v>0</v>
      </c>
      <c r="AH94" s="11">
        <f t="shared" si="39"/>
        <v>0</v>
      </c>
      <c r="AI94" s="11">
        <f t="shared" si="40"/>
        <v>1</v>
      </c>
      <c r="AJ94" s="11">
        <f t="shared" si="41"/>
        <v>0</v>
      </c>
      <c r="AK94" s="11">
        <f t="shared" si="42"/>
        <v>0</v>
      </c>
      <c r="AL94" s="11">
        <f t="shared" si="43"/>
        <v>0</v>
      </c>
      <c r="AM94" s="11">
        <f t="shared" si="44"/>
        <v>0</v>
      </c>
      <c r="AN94" s="11">
        <f t="shared" si="45"/>
        <v>0</v>
      </c>
      <c r="AO94" s="11">
        <f t="shared" si="46"/>
        <v>0</v>
      </c>
      <c r="AP94" s="11">
        <f t="shared" si="47"/>
        <v>0</v>
      </c>
      <c r="AQ94" s="11">
        <f t="shared" si="48"/>
        <v>0</v>
      </c>
      <c r="AR94" s="11">
        <f t="shared" si="49"/>
        <v>0</v>
      </c>
      <c r="AS94" s="11">
        <f t="shared" si="50"/>
        <v>0</v>
      </c>
      <c r="AT94" s="11">
        <f t="shared" si="51"/>
        <v>0</v>
      </c>
      <c r="AU94" s="11">
        <f t="shared" si="52"/>
        <v>0</v>
      </c>
      <c r="AV94" s="11">
        <f t="shared" si="53"/>
        <v>0</v>
      </c>
      <c r="AW94" s="11">
        <f t="shared" si="54"/>
        <v>0</v>
      </c>
      <c r="AX94" s="11">
        <f t="shared" si="55"/>
        <v>2</v>
      </c>
      <c r="AY94" s="11">
        <f t="shared" si="56"/>
        <v>2</v>
      </c>
    </row>
    <row r="95" spans="1:51" s="12" customFormat="1">
      <c r="A95" s="15">
        <v>45020</v>
      </c>
      <c r="B95" s="436">
        <v>7</v>
      </c>
      <c r="C95" s="436">
        <v>7</v>
      </c>
      <c r="D95" s="436">
        <v>7</v>
      </c>
      <c r="E95" s="436">
        <v>8</v>
      </c>
      <c r="F95" s="436">
        <v>8</v>
      </c>
      <c r="G95" s="436">
        <v>7</v>
      </c>
      <c r="H95" s="436">
        <v>7</v>
      </c>
      <c r="I95" s="436">
        <v>7</v>
      </c>
      <c r="J95" s="436">
        <v>7</v>
      </c>
      <c r="K95" s="436">
        <v>8</v>
      </c>
      <c r="L95" s="436">
        <v>8</v>
      </c>
      <c r="M95" s="436">
        <v>8</v>
      </c>
      <c r="N95" s="436">
        <v>8</v>
      </c>
      <c r="O95" s="436">
        <v>8</v>
      </c>
      <c r="P95" s="436">
        <v>8</v>
      </c>
      <c r="Q95" s="436">
        <v>8</v>
      </c>
      <c r="R95" s="436">
        <v>8</v>
      </c>
      <c r="S95" s="436">
        <v>8</v>
      </c>
      <c r="T95" s="436">
        <v>7</v>
      </c>
      <c r="U95" s="436">
        <v>7</v>
      </c>
      <c r="V95" s="436">
        <v>7</v>
      </c>
      <c r="W95" s="436">
        <v>7</v>
      </c>
      <c r="X95" s="436">
        <v>7</v>
      </c>
      <c r="Y95" s="436">
        <v>7</v>
      </c>
      <c r="Z95" s="11">
        <f t="shared" si="31"/>
        <v>-1</v>
      </c>
      <c r="AA95" s="11">
        <f t="shared" si="32"/>
        <v>0</v>
      </c>
      <c r="AB95" s="11">
        <f t="shared" si="33"/>
        <v>0</v>
      </c>
      <c r="AC95" s="11">
        <f t="shared" si="34"/>
        <v>1</v>
      </c>
      <c r="AD95" s="11">
        <f t="shared" si="35"/>
        <v>0</v>
      </c>
      <c r="AE95" s="11">
        <f t="shared" si="36"/>
        <v>-1</v>
      </c>
      <c r="AF95" s="11">
        <f t="shared" si="37"/>
        <v>0</v>
      </c>
      <c r="AG95" s="11">
        <f t="shared" si="38"/>
        <v>0</v>
      </c>
      <c r="AH95" s="11">
        <f t="shared" si="39"/>
        <v>0</v>
      </c>
      <c r="AI95" s="11">
        <f t="shared" si="40"/>
        <v>1</v>
      </c>
      <c r="AJ95" s="11">
        <f t="shared" si="41"/>
        <v>0</v>
      </c>
      <c r="AK95" s="11">
        <f t="shared" si="42"/>
        <v>0</v>
      </c>
      <c r="AL95" s="11">
        <f t="shared" si="43"/>
        <v>0</v>
      </c>
      <c r="AM95" s="11">
        <f t="shared" si="44"/>
        <v>0</v>
      </c>
      <c r="AN95" s="11">
        <f t="shared" si="45"/>
        <v>0</v>
      </c>
      <c r="AO95" s="11">
        <f t="shared" si="46"/>
        <v>0</v>
      </c>
      <c r="AP95" s="11">
        <f t="shared" si="47"/>
        <v>0</v>
      </c>
      <c r="AQ95" s="11">
        <f t="shared" si="48"/>
        <v>0</v>
      </c>
      <c r="AR95" s="11">
        <f t="shared" si="49"/>
        <v>-1</v>
      </c>
      <c r="AS95" s="11">
        <f t="shared" si="50"/>
        <v>0</v>
      </c>
      <c r="AT95" s="11">
        <f t="shared" si="51"/>
        <v>0</v>
      </c>
      <c r="AU95" s="11">
        <f t="shared" si="52"/>
        <v>0</v>
      </c>
      <c r="AV95" s="11">
        <f t="shared" si="53"/>
        <v>0</v>
      </c>
      <c r="AW95" s="11">
        <f t="shared" si="54"/>
        <v>0</v>
      </c>
      <c r="AX95" s="11">
        <f t="shared" si="55"/>
        <v>2</v>
      </c>
      <c r="AY95" s="11">
        <f t="shared" si="56"/>
        <v>3</v>
      </c>
    </row>
    <row r="96" spans="1:51" s="12" customFormat="1">
      <c r="A96" s="15">
        <v>45021</v>
      </c>
      <c r="B96" s="436">
        <v>7</v>
      </c>
      <c r="C96" s="436">
        <v>7</v>
      </c>
      <c r="D96" s="436">
        <v>7</v>
      </c>
      <c r="E96" s="436">
        <v>7</v>
      </c>
      <c r="F96" s="436">
        <v>7</v>
      </c>
      <c r="G96" s="436">
        <v>7</v>
      </c>
      <c r="H96" s="436">
        <v>6</v>
      </c>
      <c r="I96" s="436">
        <v>6</v>
      </c>
      <c r="J96" s="436">
        <v>8</v>
      </c>
      <c r="K96" s="436">
        <v>8</v>
      </c>
      <c r="L96" s="436">
        <v>8</v>
      </c>
      <c r="M96" s="436">
        <v>8</v>
      </c>
      <c r="N96" s="436">
        <v>8</v>
      </c>
      <c r="O96" s="436">
        <v>8</v>
      </c>
      <c r="P96" s="436">
        <v>8</v>
      </c>
      <c r="Q96" s="436">
        <v>8</v>
      </c>
      <c r="R96" s="436">
        <v>8</v>
      </c>
      <c r="S96" s="436">
        <v>8</v>
      </c>
      <c r="T96" s="436">
        <v>8</v>
      </c>
      <c r="U96" s="436">
        <v>8</v>
      </c>
      <c r="V96" s="436">
        <v>8</v>
      </c>
      <c r="W96" s="436">
        <v>8</v>
      </c>
      <c r="X96" s="436">
        <v>8</v>
      </c>
      <c r="Y96" s="436">
        <v>8</v>
      </c>
      <c r="Z96" s="11">
        <f t="shared" si="31"/>
        <v>0</v>
      </c>
      <c r="AA96" s="11">
        <f t="shared" si="32"/>
        <v>0</v>
      </c>
      <c r="AB96" s="11">
        <f t="shared" si="33"/>
        <v>0</v>
      </c>
      <c r="AC96" s="11">
        <f t="shared" si="34"/>
        <v>0</v>
      </c>
      <c r="AD96" s="11">
        <f t="shared" si="35"/>
        <v>0</v>
      </c>
      <c r="AE96" s="11">
        <f t="shared" si="36"/>
        <v>0</v>
      </c>
      <c r="AF96" s="11">
        <f t="shared" si="37"/>
        <v>-1</v>
      </c>
      <c r="AG96" s="11">
        <f t="shared" si="38"/>
        <v>0</v>
      </c>
      <c r="AH96" s="11">
        <f t="shared" si="39"/>
        <v>2</v>
      </c>
      <c r="AI96" s="11">
        <f t="shared" si="40"/>
        <v>0</v>
      </c>
      <c r="AJ96" s="11">
        <f t="shared" si="41"/>
        <v>0</v>
      </c>
      <c r="AK96" s="11">
        <f t="shared" si="42"/>
        <v>0</v>
      </c>
      <c r="AL96" s="11">
        <f t="shared" si="43"/>
        <v>0</v>
      </c>
      <c r="AM96" s="11">
        <f t="shared" si="44"/>
        <v>0</v>
      </c>
      <c r="AN96" s="11">
        <f t="shared" si="45"/>
        <v>0</v>
      </c>
      <c r="AO96" s="11">
        <f t="shared" si="46"/>
        <v>0</v>
      </c>
      <c r="AP96" s="11">
        <f t="shared" si="47"/>
        <v>0</v>
      </c>
      <c r="AQ96" s="11">
        <f t="shared" si="48"/>
        <v>0</v>
      </c>
      <c r="AR96" s="11">
        <f t="shared" si="49"/>
        <v>0</v>
      </c>
      <c r="AS96" s="11">
        <f t="shared" si="50"/>
        <v>0</v>
      </c>
      <c r="AT96" s="11">
        <f t="shared" si="51"/>
        <v>0</v>
      </c>
      <c r="AU96" s="11">
        <f t="shared" si="52"/>
        <v>0</v>
      </c>
      <c r="AV96" s="11">
        <f t="shared" si="53"/>
        <v>0</v>
      </c>
      <c r="AW96" s="11">
        <f t="shared" si="54"/>
        <v>0</v>
      </c>
      <c r="AX96" s="11">
        <f t="shared" si="55"/>
        <v>2</v>
      </c>
      <c r="AY96" s="11">
        <f t="shared" si="56"/>
        <v>1</v>
      </c>
    </row>
    <row r="97" spans="1:51" s="12" customFormat="1">
      <c r="A97" s="15">
        <v>45022</v>
      </c>
      <c r="B97" s="436">
        <v>7</v>
      </c>
      <c r="C97" s="436">
        <v>7</v>
      </c>
      <c r="D97" s="436">
        <v>7</v>
      </c>
      <c r="E97" s="436">
        <v>8</v>
      </c>
      <c r="F97" s="436">
        <v>8</v>
      </c>
      <c r="G97" s="436">
        <v>8</v>
      </c>
      <c r="H97" s="436">
        <v>8</v>
      </c>
      <c r="I97" s="436">
        <v>8</v>
      </c>
      <c r="J97" s="436">
        <v>8</v>
      </c>
      <c r="K97" s="436">
        <v>8</v>
      </c>
      <c r="L97" s="436">
        <v>8</v>
      </c>
      <c r="M97" s="436">
        <v>8</v>
      </c>
      <c r="N97" s="436">
        <v>8</v>
      </c>
      <c r="O97" s="436">
        <v>8</v>
      </c>
      <c r="P97" s="436">
        <v>8</v>
      </c>
      <c r="Q97" s="436">
        <v>8</v>
      </c>
      <c r="R97" s="436">
        <v>8</v>
      </c>
      <c r="S97" s="436">
        <v>8</v>
      </c>
      <c r="T97" s="436">
        <v>8</v>
      </c>
      <c r="U97" s="436">
        <v>8</v>
      </c>
      <c r="V97" s="436">
        <v>8</v>
      </c>
      <c r="W97" s="436">
        <v>8</v>
      </c>
      <c r="X97" s="436">
        <v>8</v>
      </c>
      <c r="Y97" s="436">
        <v>8</v>
      </c>
      <c r="Z97" s="11">
        <f t="shared" si="31"/>
        <v>-1</v>
      </c>
      <c r="AA97" s="11">
        <f t="shared" si="32"/>
        <v>0</v>
      </c>
      <c r="AB97" s="11">
        <f t="shared" si="33"/>
        <v>0</v>
      </c>
      <c r="AC97" s="11">
        <f t="shared" si="34"/>
        <v>1</v>
      </c>
      <c r="AD97" s="11">
        <f t="shared" si="35"/>
        <v>0</v>
      </c>
      <c r="AE97" s="11">
        <f t="shared" si="36"/>
        <v>0</v>
      </c>
      <c r="AF97" s="11">
        <f t="shared" si="37"/>
        <v>0</v>
      </c>
      <c r="AG97" s="11">
        <f t="shared" si="38"/>
        <v>0</v>
      </c>
      <c r="AH97" s="11">
        <f t="shared" si="39"/>
        <v>0</v>
      </c>
      <c r="AI97" s="11">
        <f t="shared" si="40"/>
        <v>0</v>
      </c>
      <c r="AJ97" s="11">
        <f t="shared" si="41"/>
        <v>0</v>
      </c>
      <c r="AK97" s="11">
        <f t="shared" si="42"/>
        <v>0</v>
      </c>
      <c r="AL97" s="11">
        <f t="shared" si="43"/>
        <v>0</v>
      </c>
      <c r="AM97" s="11">
        <f t="shared" si="44"/>
        <v>0</v>
      </c>
      <c r="AN97" s="11">
        <f t="shared" si="45"/>
        <v>0</v>
      </c>
      <c r="AO97" s="11">
        <f t="shared" si="46"/>
        <v>0</v>
      </c>
      <c r="AP97" s="11">
        <f t="shared" si="47"/>
        <v>0</v>
      </c>
      <c r="AQ97" s="11">
        <f t="shared" si="48"/>
        <v>0</v>
      </c>
      <c r="AR97" s="11">
        <f t="shared" si="49"/>
        <v>0</v>
      </c>
      <c r="AS97" s="11">
        <f t="shared" si="50"/>
        <v>0</v>
      </c>
      <c r="AT97" s="11">
        <f t="shared" si="51"/>
        <v>0</v>
      </c>
      <c r="AU97" s="11">
        <f t="shared" si="52"/>
        <v>0</v>
      </c>
      <c r="AV97" s="11">
        <f t="shared" si="53"/>
        <v>0</v>
      </c>
      <c r="AW97" s="11">
        <f t="shared" si="54"/>
        <v>0</v>
      </c>
      <c r="AX97" s="11">
        <f t="shared" si="55"/>
        <v>1</v>
      </c>
      <c r="AY97" s="11">
        <f t="shared" si="56"/>
        <v>1</v>
      </c>
    </row>
    <row r="98" spans="1:51" s="12" customFormat="1">
      <c r="A98" s="15">
        <v>45023</v>
      </c>
      <c r="B98" s="436">
        <v>8</v>
      </c>
      <c r="C98" s="436">
        <v>8</v>
      </c>
      <c r="D98" s="436">
        <v>8</v>
      </c>
      <c r="E98" s="436">
        <v>8</v>
      </c>
      <c r="F98" s="436">
        <v>8</v>
      </c>
      <c r="G98" s="436">
        <v>8</v>
      </c>
      <c r="H98" s="436">
        <v>7</v>
      </c>
      <c r="I98" s="436">
        <v>7</v>
      </c>
      <c r="J98" s="436">
        <v>7</v>
      </c>
      <c r="K98" s="436">
        <v>7</v>
      </c>
      <c r="L98" s="436">
        <v>8</v>
      </c>
      <c r="M98" s="436">
        <v>8</v>
      </c>
      <c r="N98" s="436">
        <v>8</v>
      </c>
      <c r="O98" s="436">
        <v>8</v>
      </c>
      <c r="P98" s="436">
        <v>8</v>
      </c>
      <c r="Q98" s="436">
        <v>8</v>
      </c>
      <c r="R98" s="436">
        <v>8</v>
      </c>
      <c r="S98" s="436">
        <v>8</v>
      </c>
      <c r="T98" s="436">
        <v>8</v>
      </c>
      <c r="U98" s="436">
        <v>8</v>
      </c>
      <c r="V98" s="436">
        <v>8</v>
      </c>
      <c r="W98" s="436">
        <v>8</v>
      </c>
      <c r="X98" s="436">
        <v>8</v>
      </c>
      <c r="Y98" s="436">
        <v>8</v>
      </c>
      <c r="Z98" s="11">
        <f t="shared" si="31"/>
        <v>0</v>
      </c>
      <c r="AA98" s="11">
        <f t="shared" si="32"/>
        <v>0</v>
      </c>
      <c r="AB98" s="11">
        <f t="shared" si="33"/>
        <v>0</v>
      </c>
      <c r="AC98" s="11">
        <f t="shared" si="34"/>
        <v>0</v>
      </c>
      <c r="AD98" s="11">
        <f t="shared" si="35"/>
        <v>0</v>
      </c>
      <c r="AE98" s="11">
        <f t="shared" si="36"/>
        <v>0</v>
      </c>
      <c r="AF98" s="11">
        <f t="shared" si="37"/>
        <v>-1</v>
      </c>
      <c r="AG98" s="11">
        <f t="shared" si="38"/>
        <v>0</v>
      </c>
      <c r="AH98" s="11">
        <f t="shared" si="39"/>
        <v>0</v>
      </c>
      <c r="AI98" s="11">
        <f t="shared" si="40"/>
        <v>0</v>
      </c>
      <c r="AJ98" s="11">
        <f t="shared" si="41"/>
        <v>1</v>
      </c>
      <c r="AK98" s="11">
        <f t="shared" si="42"/>
        <v>0</v>
      </c>
      <c r="AL98" s="11">
        <f t="shared" si="43"/>
        <v>0</v>
      </c>
      <c r="AM98" s="11">
        <f t="shared" si="44"/>
        <v>0</v>
      </c>
      <c r="AN98" s="11">
        <f t="shared" si="45"/>
        <v>0</v>
      </c>
      <c r="AO98" s="11">
        <f t="shared" si="46"/>
        <v>0</v>
      </c>
      <c r="AP98" s="11">
        <f t="shared" si="47"/>
        <v>0</v>
      </c>
      <c r="AQ98" s="11">
        <f t="shared" si="48"/>
        <v>0</v>
      </c>
      <c r="AR98" s="11">
        <f t="shared" si="49"/>
        <v>0</v>
      </c>
      <c r="AS98" s="11">
        <f t="shared" si="50"/>
        <v>0</v>
      </c>
      <c r="AT98" s="11">
        <f t="shared" si="51"/>
        <v>0</v>
      </c>
      <c r="AU98" s="11">
        <f t="shared" si="52"/>
        <v>0</v>
      </c>
      <c r="AV98" s="11">
        <f t="shared" si="53"/>
        <v>0</v>
      </c>
      <c r="AW98" s="11">
        <f t="shared" si="54"/>
        <v>0</v>
      </c>
      <c r="AX98" s="11">
        <f t="shared" si="55"/>
        <v>1</v>
      </c>
      <c r="AY98" s="11">
        <f t="shared" si="56"/>
        <v>1</v>
      </c>
    </row>
    <row r="99" spans="1:51" s="12" customFormat="1">
      <c r="A99" s="15">
        <v>45024</v>
      </c>
      <c r="B99" s="436">
        <v>8</v>
      </c>
      <c r="C99" s="436">
        <v>8</v>
      </c>
      <c r="D99" s="436">
        <v>8</v>
      </c>
      <c r="E99" s="436">
        <v>8</v>
      </c>
      <c r="F99" s="436">
        <v>8</v>
      </c>
      <c r="G99" s="436">
        <v>8</v>
      </c>
      <c r="H99" s="436">
        <v>7</v>
      </c>
      <c r="I99" s="436">
        <v>8</v>
      </c>
      <c r="J99" s="436">
        <v>7</v>
      </c>
      <c r="K99" s="436">
        <v>8</v>
      </c>
      <c r="L99" s="436">
        <v>8</v>
      </c>
      <c r="M99" s="436">
        <v>8</v>
      </c>
      <c r="N99" s="436">
        <v>8</v>
      </c>
      <c r="O99" s="436">
        <v>8</v>
      </c>
      <c r="P99" s="436">
        <v>8</v>
      </c>
      <c r="Q99" s="436">
        <v>8</v>
      </c>
      <c r="R99" s="436">
        <v>8</v>
      </c>
      <c r="S99" s="436">
        <v>8</v>
      </c>
      <c r="T99" s="436">
        <v>8</v>
      </c>
      <c r="U99" s="436">
        <v>8</v>
      </c>
      <c r="V99" s="436">
        <v>8</v>
      </c>
      <c r="W99" s="436">
        <v>7</v>
      </c>
      <c r="X99" s="436">
        <v>8</v>
      </c>
      <c r="Y99" s="436">
        <v>8</v>
      </c>
      <c r="Z99" s="11">
        <f t="shared" si="31"/>
        <v>0</v>
      </c>
      <c r="AA99" s="11">
        <f t="shared" si="32"/>
        <v>0</v>
      </c>
      <c r="AB99" s="11">
        <f t="shared" si="33"/>
        <v>0</v>
      </c>
      <c r="AC99" s="11">
        <f t="shared" si="34"/>
        <v>0</v>
      </c>
      <c r="AD99" s="11">
        <f t="shared" si="35"/>
        <v>0</v>
      </c>
      <c r="AE99" s="11">
        <f t="shared" si="36"/>
        <v>0</v>
      </c>
      <c r="AF99" s="11">
        <f t="shared" si="37"/>
        <v>-1</v>
      </c>
      <c r="AG99" s="11">
        <f t="shared" si="38"/>
        <v>1</v>
      </c>
      <c r="AH99" s="11">
        <f t="shared" si="39"/>
        <v>-1</v>
      </c>
      <c r="AI99" s="11">
        <f t="shared" si="40"/>
        <v>1</v>
      </c>
      <c r="AJ99" s="11">
        <f t="shared" si="41"/>
        <v>0</v>
      </c>
      <c r="AK99" s="11">
        <f t="shared" si="42"/>
        <v>0</v>
      </c>
      <c r="AL99" s="11">
        <f t="shared" si="43"/>
        <v>0</v>
      </c>
      <c r="AM99" s="11">
        <f t="shared" si="44"/>
        <v>0</v>
      </c>
      <c r="AN99" s="11">
        <f t="shared" si="45"/>
        <v>0</v>
      </c>
      <c r="AO99" s="11">
        <f t="shared" si="46"/>
        <v>0</v>
      </c>
      <c r="AP99" s="11">
        <f t="shared" si="47"/>
        <v>0</v>
      </c>
      <c r="AQ99" s="11">
        <f t="shared" si="48"/>
        <v>0</v>
      </c>
      <c r="AR99" s="11">
        <f t="shared" si="49"/>
        <v>0</v>
      </c>
      <c r="AS99" s="11">
        <f t="shared" si="50"/>
        <v>0</v>
      </c>
      <c r="AT99" s="11">
        <f t="shared" si="51"/>
        <v>0</v>
      </c>
      <c r="AU99" s="11">
        <f t="shared" si="52"/>
        <v>-1</v>
      </c>
      <c r="AV99" s="11">
        <f t="shared" si="53"/>
        <v>1</v>
      </c>
      <c r="AW99" s="11">
        <f t="shared" si="54"/>
        <v>0</v>
      </c>
      <c r="AX99" s="11">
        <f t="shared" si="55"/>
        <v>3</v>
      </c>
      <c r="AY99" s="11">
        <f t="shared" si="56"/>
        <v>3</v>
      </c>
    </row>
    <row r="100" spans="1:51" s="12" customFormat="1">
      <c r="A100" s="15">
        <v>45025</v>
      </c>
      <c r="B100" s="436">
        <v>8</v>
      </c>
      <c r="C100" s="436">
        <v>8</v>
      </c>
      <c r="D100" s="436">
        <v>8</v>
      </c>
      <c r="E100" s="436">
        <v>8</v>
      </c>
      <c r="F100" s="436">
        <v>8</v>
      </c>
      <c r="G100" s="436">
        <v>8</v>
      </c>
      <c r="H100" s="436">
        <v>6</v>
      </c>
      <c r="I100" s="436">
        <v>7</v>
      </c>
      <c r="J100" s="436">
        <v>8</v>
      </c>
      <c r="K100" s="436">
        <v>8</v>
      </c>
      <c r="L100" s="436">
        <v>8</v>
      </c>
      <c r="M100" s="436">
        <v>8</v>
      </c>
      <c r="N100" s="436">
        <v>8</v>
      </c>
      <c r="O100" s="436">
        <v>8</v>
      </c>
      <c r="P100" s="436">
        <v>8</v>
      </c>
      <c r="Q100" s="436">
        <v>8</v>
      </c>
      <c r="R100" s="436">
        <v>8</v>
      </c>
      <c r="S100" s="436">
        <v>8</v>
      </c>
      <c r="T100" s="436">
        <v>8</v>
      </c>
      <c r="U100" s="436">
        <v>8</v>
      </c>
      <c r="V100" s="436">
        <v>8</v>
      </c>
      <c r="W100" s="436">
        <v>8</v>
      </c>
      <c r="X100" s="436">
        <v>8</v>
      </c>
      <c r="Y100" s="436">
        <v>8</v>
      </c>
      <c r="Z100" s="11">
        <f t="shared" si="31"/>
        <v>0</v>
      </c>
      <c r="AA100" s="11">
        <f t="shared" si="32"/>
        <v>0</v>
      </c>
      <c r="AB100" s="11">
        <f t="shared" si="33"/>
        <v>0</v>
      </c>
      <c r="AC100" s="11">
        <f t="shared" si="34"/>
        <v>0</v>
      </c>
      <c r="AD100" s="11">
        <f t="shared" si="35"/>
        <v>0</v>
      </c>
      <c r="AE100" s="11">
        <f t="shared" si="36"/>
        <v>0</v>
      </c>
      <c r="AF100" s="11">
        <f t="shared" si="37"/>
        <v>-2</v>
      </c>
      <c r="AG100" s="11">
        <f t="shared" si="38"/>
        <v>1</v>
      </c>
      <c r="AH100" s="11">
        <f t="shared" si="39"/>
        <v>1</v>
      </c>
      <c r="AI100" s="11">
        <f t="shared" si="40"/>
        <v>0</v>
      </c>
      <c r="AJ100" s="11">
        <f t="shared" si="41"/>
        <v>0</v>
      </c>
      <c r="AK100" s="11">
        <f t="shared" si="42"/>
        <v>0</v>
      </c>
      <c r="AL100" s="11">
        <f t="shared" si="43"/>
        <v>0</v>
      </c>
      <c r="AM100" s="11">
        <f t="shared" si="44"/>
        <v>0</v>
      </c>
      <c r="AN100" s="11">
        <f t="shared" si="45"/>
        <v>0</v>
      </c>
      <c r="AO100" s="11">
        <f t="shared" si="46"/>
        <v>0</v>
      </c>
      <c r="AP100" s="11">
        <f t="shared" si="47"/>
        <v>0</v>
      </c>
      <c r="AQ100" s="11">
        <f t="shared" si="48"/>
        <v>0</v>
      </c>
      <c r="AR100" s="11">
        <f t="shared" si="49"/>
        <v>0</v>
      </c>
      <c r="AS100" s="11">
        <f t="shared" si="50"/>
        <v>0</v>
      </c>
      <c r="AT100" s="11">
        <f t="shared" si="51"/>
        <v>0</v>
      </c>
      <c r="AU100" s="11">
        <f t="shared" si="52"/>
        <v>0</v>
      </c>
      <c r="AV100" s="11">
        <f t="shared" si="53"/>
        <v>0</v>
      </c>
      <c r="AW100" s="11">
        <f t="shared" si="54"/>
        <v>0</v>
      </c>
      <c r="AX100" s="11">
        <f t="shared" si="55"/>
        <v>2</v>
      </c>
      <c r="AY100" s="11">
        <f t="shared" si="56"/>
        <v>2</v>
      </c>
    </row>
    <row r="101" spans="1:51" s="12" customFormat="1">
      <c r="A101" s="15">
        <v>45026</v>
      </c>
      <c r="B101" s="436">
        <v>8</v>
      </c>
      <c r="C101" s="436">
        <v>8</v>
      </c>
      <c r="D101" s="436">
        <v>8</v>
      </c>
      <c r="E101" s="436">
        <v>8</v>
      </c>
      <c r="F101" s="436">
        <v>8</v>
      </c>
      <c r="G101" s="436">
        <v>8</v>
      </c>
      <c r="H101" s="436">
        <v>7</v>
      </c>
      <c r="I101" s="436">
        <v>8</v>
      </c>
      <c r="J101" s="436">
        <v>8</v>
      </c>
      <c r="K101" s="436">
        <v>8</v>
      </c>
      <c r="L101" s="436">
        <v>7</v>
      </c>
      <c r="M101" s="436">
        <v>7</v>
      </c>
      <c r="N101" s="436">
        <v>8</v>
      </c>
      <c r="O101" s="436">
        <v>8</v>
      </c>
      <c r="P101" s="436">
        <v>8</v>
      </c>
      <c r="Q101" s="436">
        <v>8</v>
      </c>
      <c r="R101" s="436">
        <v>8</v>
      </c>
      <c r="S101" s="436">
        <v>8</v>
      </c>
      <c r="T101" s="436">
        <v>8</v>
      </c>
      <c r="U101" s="436">
        <v>8</v>
      </c>
      <c r="V101" s="436">
        <v>8</v>
      </c>
      <c r="W101" s="436">
        <v>8</v>
      </c>
      <c r="X101" s="436">
        <v>8</v>
      </c>
      <c r="Y101" s="436">
        <v>8</v>
      </c>
      <c r="Z101" s="11">
        <f t="shared" si="31"/>
        <v>0</v>
      </c>
      <c r="AA101" s="11">
        <f t="shared" si="32"/>
        <v>0</v>
      </c>
      <c r="AB101" s="11">
        <f t="shared" si="33"/>
        <v>0</v>
      </c>
      <c r="AC101" s="11">
        <f t="shared" si="34"/>
        <v>0</v>
      </c>
      <c r="AD101" s="11">
        <f t="shared" si="35"/>
        <v>0</v>
      </c>
      <c r="AE101" s="11">
        <f t="shared" si="36"/>
        <v>0</v>
      </c>
      <c r="AF101" s="11">
        <f t="shared" si="37"/>
        <v>-1</v>
      </c>
      <c r="AG101" s="11">
        <f t="shared" si="38"/>
        <v>1</v>
      </c>
      <c r="AH101" s="11">
        <f t="shared" si="39"/>
        <v>0</v>
      </c>
      <c r="AI101" s="11">
        <f t="shared" si="40"/>
        <v>0</v>
      </c>
      <c r="AJ101" s="11">
        <f t="shared" si="41"/>
        <v>-1</v>
      </c>
      <c r="AK101" s="11">
        <f t="shared" si="42"/>
        <v>0</v>
      </c>
      <c r="AL101" s="11">
        <f t="shared" si="43"/>
        <v>1</v>
      </c>
      <c r="AM101" s="11">
        <f t="shared" si="44"/>
        <v>0</v>
      </c>
      <c r="AN101" s="11">
        <f t="shared" si="45"/>
        <v>0</v>
      </c>
      <c r="AO101" s="11">
        <f t="shared" si="46"/>
        <v>0</v>
      </c>
      <c r="AP101" s="11">
        <f t="shared" si="47"/>
        <v>0</v>
      </c>
      <c r="AQ101" s="11">
        <f t="shared" si="48"/>
        <v>0</v>
      </c>
      <c r="AR101" s="11">
        <f t="shared" si="49"/>
        <v>0</v>
      </c>
      <c r="AS101" s="11">
        <f t="shared" si="50"/>
        <v>0</v>
      </c>
      <c r="AT101" s="11">
        <f t="shared" si="51"/>
        <v>0</v>
      </c>
      <c r="AU101" s="11">
        <f t="shared" si="52"/>
        <v>0</v>
      </c>
      <c r="AV101" s="11">
        <f t="shared" si="53"/>
        <v>0</v>
      </c>
      <c r="AW101" s="11">
        <f t="shared" si="54"/>
        <v>0</v>
      </c>
      <c r="AX101" s="11">
        <f t="shared" si="55"/>
        <v>2</v>
      </c>
      <c r="AY101" s="11">
        <f t="shared" si="56"/>
        <v>2</v>
      </c>
    </row>
    <row r="102" spans="1:51" s="12" customFormat="1">
      <c r="A102" s="15">
        <v>45027</v>
      </c>
      <c r="B102" s="436">
        <v>8</v>
      </c>
      <c r="C102" s="436">
        <v>8</v>
      </c>
      <c r="D102" s="436">
        <v>8</v>
      </c>
      <c r="E102" s="436">
        <v>8</v>
      </c>
      <c r="F102" s="436">
        <v>8</v>
      </c>
      <c r="G102" s="436">
        <v>8</v>
      </c>
      <c r="H102" s="436">
        <v>7</v>
      </c>
      <c r="I102" s="436">
        <v>8</v>
      </c>
      <c r="J102" s="436">
        <v>8</v>
      </c>
      <c r="K102" s="436">
        <v>7</v>
      </c>
      <c r="L102" s="436">
        <v>7</v>
      </c>
      <c r="M102" s="436">
        <v>8</v>
      </c>
      <c r="N102" s="436">
        <v>8</v>
      </c>
      <c r="O102" s="436">
        <v>8</v>
      </c>
      <c r="P102" s="436">
        <v>8</v>
      </c>
      <c r="Q102" s="436">
        <v>8</v>
      </c>
      <c r="R102" s="436">
        <v>8</v>
      </c>
      <c r="S102" s="436">
        <v>8</v>
      </c>
      <c r="T102" s="436">
        <v>8</v>
      </c>
      <c r="U102" s="436">
        <v>8</v>
      </c>
      <c r="V102" s="436">
        <v>8</v>
      </c>
      <c r="W102" s="436">
        <v>8</v>
      </c>
      <c r="X102" s="436">
        <v>8</v>
      </c>
      <c r="Y102" s="436">
        <v>8</v>
      </c>
      <c r="Z102" s="11">
        <f t="shared" si="31"/>
        <v>0</v>
      </c>
      <c r="AA102" s="11">
        <f t="shared" si="32"/>
        <v>0</v>
      </c>
      <c r="AB102" s="11">
        <f t="shared" si="33"/>
        <v>0</v>
      </c>
      <c r="AC102" s="11">
        <f t="shared" si="34"/>
        <v>0</v>
      </c>
      <c r="AD102" s="11">
        <f t="shared" si="35"/>
        <v>0</v>
      </c>
      <c r="AE102" s="11">
        <f t="shared" si="36"/>
        <v>0</v>
      </c>
      <c r="AF102" s="11">
        <f t="shared" si="37"/>
        <v>-1</v>
      </c>
      <c r="AG102" s="11">
        <f t="shared" si="38"/>
        <v>1</v>
      </c>
      <c r="AH102" s="11">
        <f t="shared" si="39"/>
        <v>0</v>
      </c>
      <c r="AI102" s="11">
        <f t="shared" si="40"/>
        <v>-1</v>
      </c>
      <c r="AJ102" s="11">
        <f t="shared" si="41"/>
        <v>0</v>
      </c>
      <c r="AK102" s="11">
        <f t="shared" si="42"/>
        <v>1</v>
      </c>
      <c r="AL102" s="11">
        <f t="shared" si="43"/>
        <v>0</v>
      </c>
      <c r="AM102" s="11">
        <f t="shared" si="44"/>
        <v>0</v>
      </c>
      <c r="AN102" s="11">
        <f t="shared" si="45"/>
        <v>0</v>
      </c>
      <c r="AO102" s="11">
        <f t="shared" si="46"/>
        <v>0</v>
      </c>
      <c r="AP102" s="11">
        <f t="shared" si="47"/>
        <v>0</v>
      </c>
      <c r="AQ102" s="11">
        <f t="shared" si="48"/>
        <v>0</v>
      </c>
      <c r="AR102" s="11">
        <f t="shared" si="49"/>
        <v>0</v>
      </c>
      <c r="AS102" s="11">
        <f t="shared" si="50"/>
        <v>0</v>
      </c>
      <c r="AT102" s="11">
        <f t="shared" si="51"/>
        <v>0</v>
      </c>
      <c r="AU102" s="11">
        <f t="shared" si="52"/>
        <v>0</v>
      </c>
      <c r="AV102" s="11">
        <f t="shared" si="53"/>
        <v>0</v>
      </c>
      <c r="AW102" s="11">
        <f t="shared" si="54"/>
        <v>0</v>
      </c>
      <c r="AX102" s="11">
        <f t="shared" si="55"/>
        <v>2</v>
      </c>
      <c r="AY102" s="11">
        <f t="shared" si="56"/>
        <v>2</v>
      </c>
    </row>
    <row r="103" spans="1:51" s="12" customFormat="1">
      <c r="A103" s="15">
        <v>45028</v>
      </c>
      <c r="B103" s="436">
        <v>6</v>
      </c>
      <c r="C103" s="436">
        <v>6</v>
      </c>
      <c r="D103" s="436">
        <v>6</v>
      </c>
      <c r="E103" s="436">
        <v>6</v>
      </c>
      <c r="F103" s="436">
        <v>6</v>
      </c>
      <c r="G103" s="436">
        <v>6</v>
      </c>
      <c r="H103" s="436">
        <v>6</v>
      </c>
      <c r="I103" s="436">
        <v>6</v>
      </c>
      <c r="J103" s="436">
        <v>6</v>
      </c>
      <c r="K103" s="436">
        <v>0</v>
      </c>
      <c r="L103" s="436">
        <v>0</v>
      </c>
      <c r="M103" s="436">
        <v>0</v>
      </c>
      <c r="N103" s="436">
        <v>0</v>
      </c>
      <c r="O103" s="436">
        <v>5</v>
      </c>
      <c r="P103" s="436">
        <v>5</v>
      </c>
      <c r="Q103" s="436">
        <v>4</v>
      </c>
      <c r="R103" s="436">
        <v>5</v>
      </c>
      <c r="S103" s="436">
        <v>5</v>
      </c>
      <c r="T103" s="436">
        <v>5</v>
      </c>
      <c r="U103" s="436">
        <v>5</v>
      </c>
      <c r="V103" s="436">
        <v>6</v>
      </c>
      <c r="W103" s="436">
        <v>6</v>
      </c>
      <c r="X103" s="436">
        <v>6</v>
      </c>
      <c r="Y103" s="436">
        <v>6</v>
      </c>
      <c r="Z103" s="11">
        <f t="shared" si="31"/>
        <v>-2</v>
      </c>
      <c r="AA103" s="11">
        <f t="shared" si="32"/>
        <v>0</v>
      </c>
      <c r="AB103" s="11">
        <f t="shared" si="33"/>
        <v>0</v>
      </c>
      <c r="AC103" s="11">
        <f t="shared" si="34"/>
        <v>0</v>
      </c>
      <c r="AD103" s="11">
        <f t="shared" si="35"/>
        <v>0</v>
      </c>
      <c r="AE103" s="11">
        <f t="shared" si="36"/>
        <v>0</v>
      </c>
      <c r="AF103" s="11">
        <f t="shared" si="37"/>
        <v>0</v>
      </c>
      <c r="AG103" s="11">
        <f t="shared" si="38"/>
        <v>0</v>
      </c>
      <c r="AH103" s="11">
        <f t="shared" si="39"/>
        <v>0</v>
      </c>
      <c r="AI103" s="11">
        <f t="shared" si="40"/>
        <v>-6</v>
      </c>
      <c r="AJ103" s="11">
        <f t="shared" si="41"/>
        <v>0</v>
      </c>
      <c r="AK103" s="11">
        <f t="shared" si="42"/>
        <v>0</v>
      </c>
      <c r="AL103" s="11">
        <f t="shared" si="43"/>
        <v>0</v>
      </c>
      <c r="AM103" s="11">
        <f t="shared" si="44"/>
        <v>5</v>
      </c>
      <c r="AN103" s="11">
        <f t="shared" si="45"/>
        <v>0</v>
      </c>
      <c r="AO103" s="11">
        <f t="shared" si="46"/>
        <v>-1</v>
      </c>
      <c r="AP103" s="11">
        <f t="shared" si="47"/>
        <v>1</v>
      </c>
      <c r="AQ103" s="11">
        <f t="shared" si="48"/>
        <v>0</v>
      </c>
      <c r="AR103" s="11">
        <f t="shared" si="49"/>
        <v>0</v>
      </c>
      <c r="AS103" s="11">
        <f t="shared" si="50"/>
        <v>0</v>
      </c>
      <c r="AT103" s="11">
        <f t="shared" si="51"/>
        <v>1</v>
      </c>
      <c r="AU103" s="11">
        <f t="shared" si="52"/>
        <v>0</v>
      </c>
      <c r="AV103" s="11">
        <f t="shared" si="53"/>
        <v>0</v>
      </c>
      <c r="AW103" s="11">
        <f t="shared" si="54"/>
        <v>0</v>
      </c>
      <c r="AX103" s="11">
        <f t="shared" si="55"/>
        <v>7</v>
      </c>
      <c r="AY103" s="11">
        <f t="shared" si="56"/>
        <v>9</v>
      </c>
    </row>
    <row r="104" spans="1:51" s="12" customFormat="1">
      <c r="A104" s="15">
        <v>45029</v>
      </c>
      <c r="B104" s="436">
        <v>7</v>
      </c>
      <c r="C104" s="436">
        <v>7</v>
      </c>
      <c r="D104" s="436">
        <v>8</v>
      </c>
      <c r="E104" s="436">
        <v>8</v>
      </c>
      <c r="F104" s="436">
        <v>8</v>
      </c>
      <c r="G104" s="436">
        <v>8</v>
      </c>
      <c r="H104" s="436">
        <v>7</v>
      </c>
      <c r="I104" s="436">
        <v>8</v>
      </c>
      <c r="J104" s="436">
        <v>8</v>
      </c>
      <c r="K104" s="436">
        <v>8</v>
      </c>
      <c r="L104" s="436">
        <v>8</v>
      </c>
      <c r="M104" s="436">
        <v>8</v>
      </c>
      <c r="N104" s="436">
        <v>8</v>
      </c>
      <c r="O104" s="436">
        <v>8</v>
      </c>
      <c r="P104" s="436">
        <v>8</v>
      </c>
      <c r="Q104" s="436">
        <v>8</v>
      </c>
      <c r="R104" s="436">
        <v>8</v>
      </c>
      <c r="S104" s="436">
        <v>8</v>
      </c>
      <c r="T104" s="436">
        <v>8</v>
      </c>
      <c r="U104" s="436">
        <v>8</v>
      </c>
      <c r="V104" s="436">
        <v>8</v>
      </c>
      <c r="W104" s="436">
        <v>8</v>
      </c>
      <c r="X104" s="436">
        <v>8</v>
      </c>
      <c r="Y104" s="436">
        <v>8</v>
      </c>
      <c r="Z104" s="11">
        <f t="shared" si="31"/>
        <v>1</v>
      </c>
      <c r="AA104" s="11">
        <f t="shared" si="32"/>
        <v>0</v>
      </c>
      <c r="AB104" s="11">
        <f t="shared" si="33"/>
        <v>1</v>
      </c>
      <c r="AC104" s="11">
        <f t="shared" si="34"/>
        <v>0</v>
      </c>
      <c r="AD104" s="11">
        <f t="shared" si="35"/>
        <v>0</v>
      </c>
      <c r="AE104" s="11">
        <f t="shared" si="36"/>
        <v>0</v>
      </c>
      <c r="AF104" s="11">
        <f t="shared" si="37"/>
        <v>-1</v>
      </c>
      <c r="AG104" s="11">
        <f t="shared" si="38"/>
        <v>1</v>
      </c>
      <c r="AH104" s="11">
        <f t="shared" si="39"/>
        <v>0</v>
      </c>
      <c r="AI104" s="11">
        <f t="shared" si="40"/>
        <v>0</v>
      </c>
      <c r="AJ104" s="11">
        <f t="shared" si="41"/>
        <v>0</v>
      </c>
      <c r="AK104" s="11">
        <f t="shared" si="42"/>
        <v>0</v>
      </c>
      <c r="AL104" s="11">
        <f t="shared" si="43"/>
        <v>0</v>
      </c>
      <c r="AM104" s="11">
        <f t="shared" si="44"/>
        <v>0</v>
      </c>
      <c r="AN104" s="11">
        <f t="shared" si="45"/>
        <v>0</v>
      </c>
      <c r="AO104" s="11">
        <f t="shared" si="46"/>
        <v>0</v>
      </c>
      <c r="AP104" s="11">
        <f t="shared" si="47"/>
        <v>0</v>
      </c>
      <c r="AQ104" s="11">
        <f t="shared" si="48"/>
        <v>0</v>
      </c>
      <c r="AR104" s="11">
        <f t="shared" si="49"/>
        <v>0</v>
      </c>
      <c r="AS104" s="11">
        <f t="shared" si="50"/>
        <v>0</v>
      </c>
      <c r="AT104" s="11">
        <f t="shared" si="51"/>
        <v>0</v>
      </c>
      <c r="AU104" s="11">
        <f t="shared" si="52"/>
        <v>0</v>
      </c>
      <c r="AV104" s="11">
        <f t="shared" si="53"/>
        <v>0</v>
      </c>
      <c r="AW104" s="11">
        <f t="shared" si="54"/>
        <v>0</v>
      </c>
      <c r="AX104" s="11">
        <f t="shared" si="55"/>
        <v>3</v>
      </c>
      <c r="AY104" s="11">
        <f t="shared" si="56"/>
        <v>1</v>
      </c>
    </row>
    <row r="105" spans="1:51" s="12" customFormat="1">
      <c r="A105" s="15">
        <v>45030</v>
      </c>
      <c r="B105" s="436">
        <v>8</v>
      </c>
      <c r="C105" s="436">
        <v>8</v>
      </c>
      <c r="D105" s="436">
        <v>8</v>
      </c>
      <c r="E105" s="436">
        <v>8</v>
      </c>
      <c r="F105" s="436">
        <v>8</v>
      </c>
      <c r="G105" s="436">
        <v>7</v>
      </c>
      <c r="H105" s="436">
        <v>7</v>
      </c>
      <c r="I105" s="436">
        <v>7</v>
      </c>
      <c r="J105" s="436">
        <v>7</v>
      </c>
      <c r="K105" s="436">
        <v>7</v>
      </c>
      <c r="L105" s="436">
        <v>7</v>
      </c>
      <c r="M105" s="436">
        <v>8</v>
      </c>
      <c r="N105" s="436">
        <v>7</v>
      </c>
      <c r="O105" s="436">
        <v>7</v>
      </c>
      <c r="P105" s="436">
        <v>8</v>
      </c>
      <c r="Q105" s="436">
        <v>8</v>
      </c>
      <c r="R105" s="436">
        <v>8</v>
      </c>
      <c r="S105" s="436">
        <v>7</v>
      </c>
      <c r="T105" s="436">
        <v>7</v>
      </c>
      <c r="U105" s="436">
        <v>7</v>
      </c>
      <c r="V105" s="436">
        <v>7</v>
      </c>
      <c r="W105" s="436">
        <v>7</v>
      </c>
      <c r="X105" s="436">
        <v>7</v>
      </c>
      <c r="Y105" s="436">
        <v>7</v>
      </c>
      <c r="Z105" s="11">
        <f t="shared" si="31"/>
        <v>0</v>
      </c>
      <c r="AA105" s="11">
        <f t="shared" si="32"/>
        <v>0</v>
      </c>
      <c r="AB105" s="11">
        <f t="shared" si="33"/>
        <v>0</v>
      </c>
      <c r="AC105" s="11">
        <f t="shared" si="34"/>
        <v>0</v>
      </c>
      <c r="AD105" s="11">
        <f t="shared" si="35"/>
        <v>0</v>
      </c>
      <c r="AE105" s="11">
        <f t="shared" si="36"/>
        <v>-1</v>
      </c>
      <c r="AF105" s="11">
        <f t="shared" si="37"/>
        <v>0</v>
      </c>
      <c r="AG105" s="11">
        <f t="shared" si="38"/>
        <v>0</v>
      </c>
      <c r="AH105" s="11">
        <f t="shared" si="39"/>
        <v>0</v>
      </c>
      <c r="AI105" s="11">
        <f t="shared" si="40"/>
        <v>0</v>
      </c>
      <c r="AJ105" s="11">
        <f t="shared" si="41"/>
        <v>0</v>
      </c>
      <c r="AK105" s="11">
        <f t="shared" si="42"/>
        <v>1</v>
      </c>
      <c r="AL105" s="11">
        <f t="shared" si="43"/>
        <v>-1</v>
      </c>
      <c r="AM105" s="11">
        <f t="shared" si="44"/>
        <v>0</v>
      </c>
      <c r="AN105" s="11">
        <f t="shared" si="45"/>
        <v>1</v>
      </c>
      <c r="AO105" s="11">
        <f t="shared" si="46"/>
        <v>0</v>
      </c>
      <c r="AP105" s="11">
        <f t="shared" si="47"/>
        <v>0</v>
      </c>
      <c r="AQ105" s="11">
        <f t="shared" si="48"/>
        <v>-1</v>
      </c>
      <c r="AR105" s="11">
        <f t="shared" si="49"/>
        <v>0</v>
      </c>
      <c r="AS105" s="11">
        <f t="shared" si="50"/>
        <v>0</v>
      </c>
      <c r="AT105" s="11">
        <f t="shared" si="51"/>
        <v>0</v>
      </c>
      <c r="AU105" s="11">
        <f t="shared" si="52"/>
        <v>0</v>
      </c>
      <c r="AV105" s="11">
        <f t="shared" si="53"/>
        <v>0</v>
      </c>
      <c r="AW105" s="11">
        <f t="shared" si="54"/>
        <v>0</v>
      </c>
      <c r="AX105" s="11">
        <f t="shared" si="55"/>
        <v>2</v>
      </c>
      <c r="AY105" s="11">
        <f t="shared" si="56"/>
        <v>3</v>
      </c>
    </row>
    <row r="106" spans="1:51" s="12" customFormat="1">
      <c r="A106" s="15">
        <v>45031</v>
      </c>
      <c r="B106" s="436">
        <v>7</v>
      </c>
      <c r="C106" s="436">
        <v>7</v>
      </c>
      <c r="D106" s="436">
        <v>7</v>
      </c>
      <c r="E106" s="436">
        <v>7</v>
      </c>
      <c r="F106" s="436">
        <v>7</v>
      </c>
      <c r="G106" s="436">
        <v>7</v>
      </c>
      <c r="H106" s="436">
        <v>7</v>
      </c>
      <c r="I106" s="436">
        <v>7</v>
      </c>
      <c r="J106" s="436">
        <v>7</v>
      </c>
      <c r="K106" s="436">
        <v>7</v>
      </c>
      <c r="L106" s="436">
        <v>7</v>
      </c>
      <c r="M106" s="436">
        <v>7</v>
      </c>
      <c r="N106" s="436">
        <v>7</v>
      </c>
      <c r="O106" s="436">
        <v>4</v>
      </c>
      <c r="P106" s="436">
        <v>7</v>
      </c>
      <c r="Q106" s="436">
        <v>7</v>
      </c>
      <c r="R106" s="436">
        <v>7</v>
      </c>
      <c r="S106" s="436">
        <v>7</v>
      </c>
      <c r="T106" s="436">
        <v>7</v>
      </c>
      <c r="U106" s="436">
        <v>7</v>
      </c>
      <c r="V106" s="436">
        <v>7</v>
      </c>
      <c r="W106" s="436">
        <v>7</v>
      </c>
      <c r="X106" s="436">
        <v>7</v>
      </c>
      <c r="Y106" s="436">
        <v>7</v>
      </c>
      <c r="Z106" s="11">
        <f t="shared" si="31"/>
        <v>0</v>
      </c>
      <c r="AA106" s="11">
        <f t="shared" si="32"/>
        <v>0</v>
      </c>
      <c r="AB106" s="11">
        <f t="shared" si="33"/>
        <v>0</v>
      </c>
      <c r="AC106" s="11">
        <f t="shared" si="34"/>
        <v>0</v>
      </c>
      <c r="AD106" s="11">
        <f t="shared" si="35"/>
        <v>0</v>
      </c>
      <c r="AE106" s="11">
        <f t="shared" si="36"/>
        <v>0</v>
      </c>
      <c r="AF106" s="11">
        <f t="shared" si="37"/>
        <v>0</v>
      </c>
      <c r="AG106" s="11">
        <f t="shared" si="38"/>
        <v>0</v>
      </c>
      <c r="AH106" s="11">
        <f t="shared" si="39"/>
        <v>0</v>
      </c>
      <c r="AI106" s="11">
        <f t="shared" si="40"/>
        <v>0</v>
      </c>
      <c r="AJ106" s="11">
        <f t="shared" si="41"/>
        <v>0</v>
      </c>
      <c r="AK106" s="11">
        <f t="shared" si="42"/>
        <v>0</v>
      </c>
      <c r="AL106" s="11">
        <f t="shared" si="43"/>
        <v>0</v>
      </c>
      <c r="AM106" s="11">
        <f t="shared" si="44"/>
        <v>-3</v>
      </c>
      <c r="AN106" s="11">
        <f t="shared" si="45"/>
        <v>3</v>
      </c>
      <c r="AO106" s="11">
        <f t="shared" si="46"/>
        <v>0</v>
      </c>
      <c r="AP106" s="11">
        <f t="shared" si="47"/>
        <v>0</v>
      </c>
      <c r="AQ106" s="11">
        <f t="shared" si="48"/>
        <v>0</v>
      </c>
      <c r="AR106" s="11">
        <f t="shared" si="49"/>
        <v>0</v>
      </c>
      <c r="AS106" s="11">
        <f t="shared" si="50"/>
        <v>0</v>
      </c>
      <c r="AT106" s="11">
        <f t="shared" si="51"/>
        <v>0</v>
      </c>
      <c r="AU106" s="11">
        <f t="shared" si="52"/>
        <v>0</v>
      </c>
      <c r="AV106" s="11">
        <f t="shared" si="53"/>
        <v>0</v>
      </c>
      <c r="AW106" s="11">
        <f t="shared" si="54"/>
        <v>0</v>
      </c>
      <c r="AX106" s="11">
        <f t="shared" si="55"/>
        <v>3</v>
      </c>
      <c r="AY106" s="11">
        <f t="shared" si="56"/>
        <v>3</v>
      </c>
    </row>
    <row r="107" spans="1:51" s="12" customFormat="1">
      <c r="A107" s="15">
        <v>45032</v>
      </c>
      <c r="B107" s="436">
        <v>7</v>
      </c>
      <c r="C107" s="436">
        <v>7</v>
      </c>
      <c r="D107" s="436">
        <v>7</v>
      </c>
      <c r="E107" s="436">
        <v>7</v>
      </c>
      <c r="F107" s="436">
        <v>7</v>
      </c>
      <c r="G107" s="436">
        <v>7</v>
      </c>
      <c r="H107" s="436">
        <v>7</v>
      </c>
      <c r="I107" s="436">
        <v>7</v>
      </c>
      <c r="J107" s="436">
        <v>7</v>
      </c>
      <c r="K107" s="436">
        <v>7</v>
      </c>
      <c r="L107" s="436">
        <v>7</v>
      </c>
      <c r="M107" s="436">
        <v>7</v>
      </c>
      <c r="N107" s="436">
        <v>7</v>
      </c>
      <c r="O107" s="436">
        <v>7</v>
      </c>
      <c r="P107" s="436">
        <v>7</v>
      </c>
      <c r="Q107" s="436">
        <v>7</v>
      </c>
      <c r="R107" s="436">
        <v>7</v>
      </c>
      <c r="S107" s="436">
        <v>7</v>
      </c>
      <c r="T107" s="436">
        <v>7</v>
      </c>
      <c r="U107" s="436">
        <v>7</v>
      </c>
      <c r="V107" s="436">
        <v>7</v>
      </c>
      <c r="W107" s="436">
        <v>7</v>
      </c>
      <c r="X107" s="436">
        <v>7</v>
      </c>
      <c r="Y107" s="436">
        <v>7</v>
      </c>
      <c r="Z107" s="11">
        <f t="shared" si="31"/>
        <v>0</v>
      </c>
      <c r="AA107" s="11">
        <f t="shared" si="32"/>
        <v>0</v>
      </c>
      <c r="AB107" s="11">
        <f t="shared" si="33"/>
        <v>0</v>
      </c>
      <c r="AC107" s="11">
        <f t="shared" si="34"/>
        <v>0</v>
      </c>
      <c r="AD107" s="11">
        <f t="shared" si="35"/>
        <v>0</v>
      </c>
      <c r="AE107" s="11">
        <f t="shared" si="36"/>
        <v>0</v>
      </c>
      <c r="AF107" s="11">
        <f t="shared" si="37"/>
        <v>0</v>
      </c>
      <c r="AG107" s="11">
        <f t="shared" si="38"/>
        <v>0</v>
      </c>
      <c r="AH107" s="11">
        <f t="shared" si="39"/>
        <v>0</v>
      </c>
      <c r="AI107" s="11">
        <f t="shared" si="40"/>
        <v>0</v>
      </c>
      <c r="AJ107" s="11">
        <f t="shared" si="41"/>
        <v>0</v>
      </c>
      <c r="AK107" s="11">
        <f t="shared" si="42"/>
        <v>0</v>
      </c>
      <c r="AL107" s="11">
        <f t="shared" si="43"/>
        <v>0</v>
      </c>
      <c r="AM107" s="11">
        <f t="shared" si="44"/>
        <v>0</v>
      </c>
      <c r="AN107" s="11">
        <f t="shared" si="45"/>
        <v>0</v>
      </c>
      <c r="AO107" s="11">
        <f t="shared" si="46"/>
        <v>0</v>
      </c>
      <c r="AP107" s="11">
        <f t="shared" si="47"/>
        <v>0</v>
      </c>
      <c r="AQ107" s="11">
        <f t="shared" si="48"/>
        <v>0</v>
      </c>
      <c r="AR107" s="11">
        <f t="shared" si="49"/>
        <v>0</v>
      </c>
      <c r="AS107" s="11">
        <f t="shared" si="50"/>
        <v>0</v>
      </c>
      <c r="AT107" s="11">
        <f t="shared" si="51"/>
        <v>0</v>
      </c>
      <c r="AU107" s="11">
        <f t="shared" si="52"/>
        <v>0</v>
      </c>
      <c r="AV107" s="11">
        <f t="shared" si="53"/>
        <v>0</v>
      </c>
      <c r="AW107" s="11">
        <f t="shared" si="54"/>
        <v>0</v>
      </c>
      <c r="AX107" s="11">
        <f t="shared" si="55"/>
        <v>0</v>
      </c>
      <c r="AY107" s="11">
        <f t="shared" si="56"/>
        <v>0</v>
      </c>
    </row>
    <row r="108" spans="1:51" s="12" customFormat="1">
      <c r="A108" s="15">
        <v>45033</v>
      </c>
      <c r="B108" s="436">
        <v>7</v>
      </c>
      <c r="C108" s="436">
        <v>7</v>
      </c>
      <c r="D108" s="436">
        <v>7</v>
      </c>
      <c r="E108" s="436">
        <v>8</v>
      </c>
      <c r="F108" s="436">
        <v>8</v>
      </c>
      <c r="G108" s="436">
        <v>8</v>
      </c>
      <c r="H108" s="436">
        <v>8</v>
      </c>
      <c r="I108" s="436">
        <v>8</v>
      </c>
      <c r="J108" s="436">
        <v>8</v>
      </c>
      <c r="K108" s="436">
        <v>8</v>
      </c>
      <c r="L108" s="436">
        <v>8</v>
      </c>
      <c r="M108" s="436">
        <v>8</v>
      </c>
      <c r="N108" s="436">
        <v>8</v>
      </c>
      <c r="O108" s="436">
        <v>8</v>
      </c>
      <c r="P108" s="436">
        <v>8</v>
      </c>
      <c r="Q108" s="436">
        <v>7</v>
      </c>
      <c r="R108" s="436">
        <v>8</v>
      </c>
      <c r="S108" s="436">
        <v>8</v>
      </c>
      <c r="T108" s="436">
        <v>8</v>
      </c>
      <c r="U108" s="436">
        <v>8</v>
      </c>
      <c r="V108" s="436">
        <v>8</v>
      </c>
      <c r="W108" s="436">
        <v>8</v>
      </c>
      <c r="X108" s="436">
        <v>8</v>
      </c>
      <c r="Y108" s="436">
        <v>8</v>
      </c>
      <c r="Z108" s="11">
        <f t="shared" si="31"/>
        <v>0</v>
      </c>
      <c r="AA108" s="11">
        <f t="shared" si="32"/>
        <v>0</v>
      </c>
      <c r="AB108" s="11">
        <f t="shared" si="33"/>
        <v>0</v>
      </c>
      <c r="AC108" s="11">
        <f t="shared" si="34"/>
        <v>1</v>
      </c>
      <c r="AD108" s="11">
        <f t="shared" si="35"/>
        <v>0</v>
      </c>
      <c r="AE108" s="11">
        <f t="shared" si="36"/>
        <v>0</v>
      </c>
      <c r="AF108" s="11">
        <f t="shared" si="37"/>
        <v>0</v>
      </c>
      <c r="AG108" s="11">
        <f t="shared" si="38"/>
        <v>0</v>
      </c>
      <c r="AH108" s="11">
        <f t="shared" si="39"/>
        <v>0</v>
      </c>
      <c r="AI108" s="11">
        <f t="shared" si="40"/>
        <v>0</v>
      </c>
      <c r="AJ108" s="11">
        <f t="shared" si="41"/>
        <v>0</v>
      </c>
      <c r="AK108" s="11">
        <f t="shared" si="42"/>
        <v>0</v>
      </c>
      <c r="AL108" s="11">
        <f t="shared" si="43"/>
        <v>0</v>
      </c>
      <c r="AM108" s="11">
        <f t="shared" si="44"/>
        <v>0</v>
      </c>
      <c r="AN108" s="11">
        <f t="shared" si="45"/>
        <v>0</v>
      </c>
      <c r="AO108" s="11">
        <f t="shared" si="46"/>
        <v>-1</v>
      </c>
      <c r="AP108" s="11">
        <f t="shared" si="47"/>
        <v>1</v>
      </c>
      <c r="AQ108" s="11">
        <f t="shared" si="48"/>
        <v>0</v>
      </c>
      <c r="AR108" s="11">
        <f t="shared" si="49"/>
        <v>0</v>
      </c>
      <c r="AS108" s="11">
        <f t="shared" si="50"/>
        <v>0</v>
      </c>
      <c r="AT108" s="11">
        <f t="shared" si="51"/>
        <v>0</v>
      </c>
      <c r="AU108" s="11">
        <f t="shared" si="52"/>
        <v>0</v>
      </c>
      <c r="AV108" s="11">
        <f t="shared" si="53"/>
        <v>0</v>
      </c>
      <c r="AW108" s="11">
        <f t="shared" si="54"/>
        <v>0</v>
      </c>
      <c r="AX108" s="11">
        <f t="shared" si="55"/>
        <v>2</v>
      </c>
      <c r="AY108" s="11">
        <f t="shared" si="56"/>
        <v>1</v>
      </c>
    </row>
    <row r="109" spans="1:51" s="12" customFormat="1">
      <c r="A109" s="15">
        <v>45034</v>
      </c>
      <c r="B109" s="436">
        <v>8</v>
      </c>
      <c r="C109" s="436">
        <v>8</v>
      </c>
      <c r="D109" s="436">
        <v>8</v>
      </c>
      <c r="E109" s="436">
        <v>8</v>
      </c>
      <c r="F109" s="436">
        <v>8</v>
      </c>
      <c r="G109" s="436">
        <v>8</v>
      </c>
      <c r="H109" s="436">
        <v>7</v>
      </c>
      <c r="I109" s="436">
        <v>7</v>
      </c>
      <c r="J109" s="436">
        <v>8</v>
      </c>
      <c r="K109" s="436">
        <v>8</v>
      </c>
      <c r="L109" s="436">
        <v>8</v>
      </c>
      <c r="M109" s="436">
        <v>8</v>
      </c>
      <c r="N109" s="436">
        <v>8</v>
      </c>
      <c r="O109" s="436">
        <v>8</v>
      </c>
      <c r="P109" s="436">
        <v>8</v>
      </c>
      <c r="Q109" s="436">
        <v>8</v>
      </c>
      <c r="R109" s="436">
        <v>8</v>
      </c>
      <c r="S109" s="436">
        <v>8</v>
      </c>
      <c r="T109" s="436">
        <v>8</v>
      </c>
      <c r="U109" s="436">
        <v>8</v>
      </c>
      <c r="V109" s="436">
        <v>8</v>
      </c>
      <c r="W109" s="436">
        <v>8</v>
      </c>
      <c r="X109" s="436">
        <v>8</v>
      </c>
      <c r="Y109" s="436">
        <v>8</v>
      </c>
      <c r="Z109" s="11">
        <f t="shared" si="31"/>
        <v>0</v>
      </c>
      <c r="AA109" s="11">
        <f t="shared" si="32"/>
        <v>0</v>
      </c>
      <c r="AB109" s="11">
        <f t="shared" si="33"/>
        <v>0</v>
      </c>
      <c r="AC109" s="11">
        <f t="shared" si="34"/>
        <v>0</v>
      </c>
      <c r="AD109" s="11">
        <f t="shared" si="35"/>
        <v>0</v>
      </c>
      <c r="AE109" s="11">
        <f t="shared" si="36"/>
        <v>0</v>
      </c>
      <c r="AF109" s="11">
        <f t="shared" si="37"/>
        <v>-1</v>
      </c>
      <c r="AG109" s="11">
        <f t="shared" si="38"/>
        <v>0</v>
      </c>
      <c r="AH109" s="11">
        <f t="shared" si="39"/>
        <v>1</v>
      </c>
      <c r="AI109" s="11">
        <f t="shared" si="40"/>
        <v>0</v>
      </c>
      <c r="AJ109" s="11">
        <f t="shared" si="41"/>
        <v>0</v>
      </c>
      <c r="AK109" s="11">
        <f t="shared" si="42"/>
        <v>0</v>
      </c>
      <c r="AL109" s="11">
        <f t="shared" si="43"/>
        <v>0</v>
      </c>
      <c r="AM109" s="11">
        <f t="shared" si="44"/>
        <v>0</v>
      </c>
      <c r="AN109" s="11">
        <f t="shared" si="45"/>
        <v>0</v>
      </c>
      <c r="AO109" s="11">
        <f t="shared" si="46"/>
        <v>0</v>
      </c>
      <c r="AP109" s="11">
        <f t="shared" si="47"/>
        <v>0</v>
      </c>
      <c r="AQ109" s="11">
        <f t="shared" si="48"/>
        <v>0</v>
      </c>
      <c r="AR109" s="11">
        <f t="shared" si="49"/>
        <v>0</v>
      </c>
      <c r="AS109" s="11">
        <f t="shared" si="50"/>
        <v>0</v>
      </c>
      <c r="AT109" s="11">
        <f t="shared" si="51"/>
        <v>0</v>
      </c>
      <c r="AU109" s="11">
        <f t="shared" si="52"/>
        <v>0</v>
      </c>
      <c r="AV109" s="11">
        <f t="shared" si="53"/>
        <v>0</v>
      </c>
      <c r="AW109" s="11">
        <f t="shared" si="54"/>
        <v>0</v>
      </c>
      <c r="AX109" s="11">
        <f t="shared" si="55"/>
        <v>1</v>
      </c>
      <c r="AY109" s="11">
        <f t="shared" si="56"/>
        <v>1</v>
      </c>
    </row>
    <row r="110" spans="1:51" s="12" customFormat="1">
      <c r="A110" s="15">
        <v>45035</v>
      </c>
      <c r="B110" s="436">
        <v>8</v>
      </c>
      <c r="C110" s="436">
        <v>8</v>
      </c>
      <c r="D110" s="436">
        <v>8</v>
      </c>
      <c r="E110" s="436">
        <v>8</v>
      </c>
      <c r="F110" s="436">
        <v>8</v>
      </c>
      <c r="G110" s="436">
        <v>8</v>
      </c>
      <c r="H110" s="436">
        <v>7</v>
      </c>
      <c r="I110" s="436">
        <v>7</v>
      </c>
      <c r="J110" s="436">
        <v>8</v>
      </c>
      <c r="K110" s="436">
        <v>8</v>
      </c>
      <c r="L110" s="436">
        <v>8</v>
      </c>
      <c r="M110" s="436">
        <v>8</v>
      </c>
      <c r="N110" s="436">
        <v>8</v>
      </c>
      <c r="O110" s="436">
        <v>8</v>
      </c>
      <c r="P110" s="436">
        <v>8</v>
      </c>
      <c r="Q110" s="436">
        <v>8</v>
      </c>
      <c r="R110" s="436">
        <v>8</v>
      </c>
      <c r="S110" s="436">
        <v>8</v>
      </c>
      <c r="T110" s="436">
        <v>7</v>
      </c>
      <c r="U110" s="436">
        <v>7</v>
      </c>
      <c r="V110" s="436">
        <v>7</v>
      </c>
      <c r="W110" s="436">
        <v>7</v>
      </c>
      <c r="X110" s="436">
        <v>7</v>
      </c>
      <c r="Y110" s="436">
        <v>7</v>
      </c>
      <c r="Z110" s="11">
        <f t="shared" si="31"/>
        <v>0</v>
      </c>
      <c r="AA110" s="11">
        <f t="shared" si="32"/>
        <v>0</v>
      </c>
      <c r="AB110" s="11">
        <f t="shared" si="33"/>
        <v>0</v>
      </c>
      <c r="AC110" s="11">
        <f t="shared" si="34"/>
        <v>0</v>
      </c>
      <c r="AD110" s="11">
        <f t="shared" si="35"/>
        <v>0</v>
      </c>
      <c r="AE110" s="11">
        <f t="shared" si="36"/>
        <v>0</v>
      </c>
      <c r="AF110" s="11">
        <f t="shared" si="37"/>
        <v>-1</v>
      </c>
      <c r="AG110" s="11">
        <f t="shared" si="38"/>
        <v>0</v>
      </c>
      <c r="AH110" s="11">
        <f t="shared" si="39"/>
        <v>1</v>
      </c>
      <c r="AI110" s="11">
        <f t="shared" si="40"/>
        <v>0</v>
      </c>
      <c r="AJ110" s="11">
        <f t="shared" si="41"/>
        <v>0</v>
      </c>
      <c r="AK110" s="11">
        <f t="shared" si="42"/>
        <v>0</v>
      </c>
      <c r="AL110" s="11">
        <f t="shared" si="43"/>
        <v>0</v>
      </c>
      <c r="AM110" s="11">
        <f t="shared" si="44"/>
        <v>0</v>
      </c>
      <c r="AN110" s="11">
        <f t="shared" si="45"/>
        <v>0</v>
      </c>
      <c r="AO110" s="11">
        <f t="shared" si="46"/>
        <v>0</v>
      </c>
      <c r="AP110" s="11">
        <f t="shared" si="47"/>
        <v>0</v>
      </c>
      <c r="AQ110" s="11">
        <f t="shared" si="48"/>
        <v>0</v>
      </c>
      <c r="AR110" s="11">
        <f t="shared" si="49"/>
        <v>-1</v>
      </c>
      <c r="AS110" s="11">
        <f t="shared" si="50"/>
        <v>0</v>
      </c>
      <c r="AT110" s="11">
        <f t="shared" si="51"/>
        <v>0</v>
      </c>
      <c r="AU110" s="11">
        <f t="shared" si="52"/>
        <v>0</v>
      </c>
      <c r="AV110" s="11">
        <f t="shared" si="53"/>
        <v>0</v>
      </c>
      <c r="AW110" s="11">
        <f t="shared" si="54"/>
        <v>0</v>
      </c>
      <c r="AX110" s="11">
        <f t="shared" si="55"/>
        <v>1</v>
      </c>
      <c r="AY110" s="11">
        <f t="shared" si="56"/>
        <v>2</v>
      </c>
    </row>
    <row r="111" spans="1:51" s="12" customFormat="1">
      <c r="A111" s="15">
        <v>45036</v>
      </c>
      <c r="B111" s="436">
        <v>7</v>
      </c>
      <c r="C111" s="436">
        <v>7</v>
      </c>
      <c r="D111" s="436">
        <v>7</v>
      </c>
      <c r="E111" s="436">
        <v>7</v>
      </c>
      <c r="F111" s="436">
        <v>7</v>
      </c>
      <c r="G111" s="436">
        <v>6</v>
      </c>
      <c r="H111" s="436">
        <v>6</v>
      </c>
      <c r="I111" s="436">
        <v>7</v>
      </c>
      <c r="J111" s="436">
        <v>7</v>
      </c>
      <c r="K111" s="436">
        <v>7</v>
      </c>
      <c r="L111" s="436">
        <v>7</v>
      </c>
      <c r="M111" s="436">
        <v>7</v>
      </c>
      <c r="N111" s="436">
        <v>7</v>
      </c>
      <c r="O111" s="436">
        <v>7</v>
      </c>
      <c r="P111" s="436">
        <v>7</v>
      </c>
      <c r="Q111" s="436">
        <v>7</v>
      </c>
      <c r="R111" s="436">
        <v>7</v>
      </c>
      <c r="S111" s="436">
        <v>7</v>
      </c>
      <c r="T111" s="436">
        <v>7</v>
      </c>
      <c r="U111" s="436">
        <v>7</v>
      </c>
      <c r="V111" s="436">
        <v>7</v>
      </c>
      <c r="W111" s="436">
        <v>7</v>
      </c>
      <c r="X111" s="436">
        <v>7</v>
      </c>
      <c r="Y111" s="436">
        <v>7</v>
      </c>
      <c r="Z111" s="11">
        <f t="shared" si="31"/>
        <v>0</v>
      </c>
      <c r="AA111" s="11">
        <f t="shared" si="32"/>
        <v>0</v>
      </c>
      <c r="AB111" s="11">
        <f t="shared" si="33"/>
        <v>0</v>
      </c>
      <c r="AC111" s="11">
        <f t="shared" si="34"/>
        <v>0</v>
      </c>
      <c r="AD111" s="11">
        <f t="shared" si="35"/>
        <v>0</v>
      </c>
      <c r="AE111" s="11">
        <f t="shared" si="36"/>
        <v>-1</v>
      </c>
      <c r="AF111" s="11">
        <f t="shared" si="37"/>
        <v>0</v>
      </c>
      <c r="AG111" s="11">
        <f t="shared" si="38"/>
        <v>1</v>
      </c>
      <c r="AH111" s="11">
        <f t="shared" si="39"/>
        <v>0</v>
      </c>
      <c r="AI111" s="11">
        <f t="shared" si="40"/>
        <v>0</v>
      </c>
      <c r="AJ111" s="11">
        <f t="shared" si="41"/>
        <v>0</v>
      </c>
      <c r="AK111" s="11">
        <f t="shared" si="42"/>
        <v>0</v>
      </c>
      <c r="AL111" s="11">
        <f t="shared" si="43"/>
        <v>0</v>
      </c>
      <c r="AM111" s="11">
        <f t="shared" si="44"/>
        <v>0</v>
      </c>
      <c r="AN111" s="11">
        <f t="shared" si="45"/>
        <v>0</v>
      </c>
      <c r="AO111" s="11">
        <f t="shared" si="46"/>
        <v>0</v>
      </c>
      <c r="AP111" s="11">
        <f t="shared" si="47"/>
        <v>0</v>
      </c>
      <c r="AQ111" s="11">
        <f t="shared" si="48"/>
        <v>0</v>
      </c>
      <c r="AR111" s="11">
        <f t="shared" si="49"/>
        <v>0</v>
      </c>
      <c r="AS111" s="11">
        <f t="shared" si="50"/>
        <v>0</v>
      </c>
      <c r="AT111" s="11">
        <f t="shared" si="51"/>
        <v>0</v>
      </c>
      <c r="AU111" s="11">
        <f t="shared" si="52"/>
        <v>0</v>
      </c>
      <c r="AV111" s="11">
        <f t="shared" si="53"/>
        <v>0</v>
      </c>
      <c r="AW111" s="11">
        <f t="shared" si="54"/>
        <v>0</v>
      </c>
      <c r="AX111" s="11">
        <f t="shared" si="55"/>
        <v>1</v>
      </c>
      <c r="AY111" s="11">
        <f t="shared" si="56"/>
        <v>1</v>
      </c>
    </row>
    <row r="112" spans="1:51" s="12" customFormat="1">
      <c r="A112" s="15">
        <v>45037</v>
      </c>
      <c r="B112" s="436">
        <v>7</v>
      </c>
      <c r="C112" s="436">
        <v>7</v>
      </c>
      <c r="D112" s="436">
        <v>7</v>
      </c>
      <c r="E112" s="436">
        <v>7</v>
      </c>
      <c r="F112" s="436">
        <v>7</v>
      </c>
      <c r="G112" s="436">
        <v>7</v>
      </c>
      <c r="H112" s="436">
        <v>7</v>
      </c>
      <c r="I112" s="436">
        <v>7</v>
      </c>
      <c r="J112" s="436">
        <v>7</v>
      </c>
      <c r="K112" s="436">
        <v>7</v>
      </c>
      <c r="L112" s="436">
        <v>7</v>
      </c>
      <c r="M112" s="436">
        <v>7</v>
      </c>
      <c r="N112" s="436">
        <v>7</v>
      </c>
      <c r="O112" s="436">
        <v>7</v>
      </c>
      <c r="P112" s="436">
        <v>7</v>
      </c>
      <c r="Q112" s="436">
        <v>7</v>
      </c>
      <c r="R112" s="436">
        <v>7</v>
      </c>
      <c r="S112" s="436">
        <v>7</v>
      </c>
      <c r="T112" s="436">
        <v>7</v>
      </c>
      <c r="U112" s="436">
        <v>7</v>
      </c>
      <c r="V112" s="436">
        <v>7</v>
      </c>
      <c r="W112" s="436">
        <v>7</v>
      </c>
      <c r="X112" s="436">
        <v>7</v>
      </c>
      <c r="Y112" s="436">
        <v>7</v>
      </c>
      <c r="Z112" s="11">
        <f t="shared" si="31"/>
        <v>0</v>
      </c>
      <c r="AA112" s="11">
        <f t="shared" si="32"/>
        <v>0</v>
      </c>
      <c r="AB112" s="11">
        <f t="shared" si="33"/>
        <v>0</v>
      </c>
      <c r="AC112" s="11">
        <f t="shared" si="34"/>
        <v>0</v>
      </c>
      <c r="AD112" s="11">
        <f t="shared" si="35"/>
        <v>0</v>
      </c>
      <c r="AE112" s="11">
        <f t="shared" si="36"/>
        <v>0</v>
      </c>
      <c r="AF112" s="11">
        <f t="shared" si="37"/>
        <v>0</v>
      </c>
      <c r="AG112" s="11">
        <f t="shared" si="38"/>
        <v>0</v>
      </c>
      <c r="AH112" s="11">
        <f t="shared" si="39"/>
        <v>0</v>
      </c>
      <c r="AI112" s="11">
        <f t="shared" si="40"/>
        <v>0</v>
      </c>
      <c r="AJ112" s="11">
        <f t="shared" si="41"/>
        <v>0</v>
      </c>
      <c r="AK112" s="11">
        <f t="shared" si="42"/>
        <v>0</v>
      </c>
      <c r="AL112" s="11">
        <f t="shared" si="43"/>
        <v>0</v>
      </c>
      <c r="AM112" s="11">
        <f t="shared" si="44"/>
        <v>0</v>
      </c>
      <c r="AN112" s="11">
        <f t="shared" si="45"/>
        <v>0</v>
      </c>
      <c r="AO112" s="11">
        <f t="shared" si="46"/>
        <v>0</v>
      </c>
      <c r="AP112" s="11">
        <f t="shared" si="47"/>
        <v>0</v>
      </c>
      <c r="AQ112" s="11">
        <f t="shared" si="48"/>
        <v>0</v>
      </c>
      <c r="AR112" s="11">
        <f t="shared" si="49"/>
        <v>0</v>
      </c>
      <c r="AS112" s="11">
        <f t="shared" si="50"/>
        <v>0</v>
      </c>
      <c r="AT112" s="11">
        <f t="shared" si="51"/>
        <v>0</v>
      </c>
      <c r="AU112" s="11">
        <f t="shared" si="52"/>
        <v>0</v>
      </c>
      <c r="AV112" s="11">
        <f t="shared" si="53"/>
        <v>0</v>
      </c>
      <c r="AW112" s="11">
        <f t="shared" si="54"/>
        <v>0</v>
      </c>
      <c r="AX112" s="11">
        <f t="shared" si="55"/>
        <v>0</v>
      </c>
      <c r="AY112" s="11">
        <f t="shared" si="56"/>
        <v>0</v>
      </c>
    </row>
    <row r="113" spans="1:51" s="12" customFormat="1">
      <c r="A113" s="15">
        <v>45038</v>
      </c>
      <c r="B113" s="436">
        <v>8</v>
      </c>
      <c r="C113" s="436">
        <v>8</v>
      </c>
      <c r="D113" s="436">
        <v>8</v>
      </c>
      <c r="E113" s="436">
        <v>8</v>
      </c>
      <c r="F113" s="436">
        <v>8</v>
      </c>
      <c r="G113" s="436">
        <v>8</v>
      </c>
      <c r="H113" s="436">
        <v>7</v>
      </c>
      <c r="I113" s="436">
        <v>7</v>
      </c>
      <c r="J113" s="436">
        <v>8</v>
      </c>
      <c r="K113" s="436">
        <v>8</v>
      </c>
      <c r="L113" s="436">
        <v>8</v>
      </c>
      <c r="M113" s="436">
        <v>8</v>
      </c>
      <c r="N113" s="436">
        <v>8</v>
      </c>
      <c r="O113" s="436">
        <v>8</v>
      </c>
      <c r="P113" s="436">
        <v>8</v>
      </c>
      <c r="Q113" s="436">
        <v>8</v>
      </c>
      <c r="R113" s="436">
        <v>8</v>
      </c>
      <c r="S113" s="436">
        <v>8</v>
      </c>
      <c r="T113" s="436">
        <v>8</v>
      </c>
      <c r="U113" s="436">
        <v>8</v>
      </c>
      <c r="V113" s="436">
        <v>8</v>
      </c>
      <c r="W113" s="436">
        <v>8</v>
      </c>
      <c r="X113" s="436">
        <v>8</v>
      </c>
      <c r="Y113" s="436">
        <v>8</v>
      </c>
      <c r="Z113" s="11">
        <f t="shared" si="31"/>
        <v>1</v>
      </c>
      <c r="AA113" s="11">
        <f t="shared" si="32"/>
        <v>0</v>
      </c>
      <c r="AB113" s="11">
        <f t="shared" si="33"/>
        <v>0</v>
      </c>
      <c r="AC113" s="11">
        <f t="shared" si="34"/>
        <v>0</v>
      </c>
      <c r="AD113" s="11">
        <f t="shared" si="35"/>
        <v>0</v>
      </c>
      <c r="AE113" s="11">
        <f t="shared" si="36"/>
        <v>0</v>
      </c>
      <c r="AF113" s="11">
        <f t="shared" si="37"/>
        <v>-1</v>
      </c>
      <c r="AG113" s="11">
        <f t="shared" si="38"/>
        <v>0</v>
      </c>
      <c r="AH113" s="11">
        <f t="shared" si="39"/>
        <v>1</v>
      </c>
      <c r="AI113" s="11">
        <f t="shared" si="40"/>
        <v>0</v>
      </c>
      <c r="AJ113" s="11">
        <f t="shared" si="41"/>
        <v>0</v>
      </c>
      <c r="AK113" s="11">
        <f t="shared" si="42"/>
        <v>0</v>
      </c>
      <c r="AL113" s="11">
        <f t="shared" si="43"/>
        <v>0</v>
      </c>
      <c r="AM113" s="11">
        <f t="shared" si="44"/>
        <v>0</v>
      </c>
      <c r="AN113" s="11">
        <f t="shared" si="45"/>
        <v>0</v>
      </c>
      <c r="AO113" s="11">
        <f t="shared" si="46"/>
        <v>0</v>
      </c>
      <c r="AP113" s="11">
        <f t="shared" si="47"/>
        <v>0</v>
      </c>
      <c r="AQ113" s="11">
        <f t="shared" si="48"/>
        <v>0</v>
      </c>
      <c r="AR113" s="11">
        <f t="shared" si="49"/>
        <v>0</v>
      </c>
      <c r="AS113" s="11">
        <f t="shared" si="50"/>
        <v>0</v>
      </c>
      <c r="AT113" s="11">
        <f t="shared" si="51"/>
        <v>0</v>
      </c>
      <c r="AU113" s="11">
        <f t="shared" si="52"/>
        <v>0</v>
      </c>
      <c r="AV113" s="11">
        <f t="shared" si="53"/>
        <v>0</v>
      </c>
      <c r="AW113" s="11">
        <f t="shared" si="54"/>
        <v>0</v>
      </c>
      <c r="AX113" s="11">
        <f t="shared" si="55"/>
        <v>2</v>
      </c>
      <c r="AY113" s="11">
        <f t="shared" si="56"/>
        <v>1</v>
      </c>
    </row>
    <row r="114" spans="1:51" s="12" customFormat="1">
      <c r="A114" s="15">
        <v>45039</v>
      </c>
      <c r="B114" s="436">
        <v>8</v>
      </c>
      <c r="C114" s="436">
        <v>8</v>
      </c>
      <c r="D114" s="436">
        <v>8</v>
      </c>
      <c r="E114" s="436">
        <v>8</v>
      </c>
      <c r="F114" s="436">
        <v>8</v>
      </c>
      <c r="G114" s="436">
        <v>8</v>
      </c>
      <c r="H114" s="436">
        <v>7</v>
      </c>
      <c r="I114" s="436">
        <v>7</v>
      </c>
      <c r="J114" s="436">
        <v>8</v>
      </c>
      <c r="K114" s="436">
        <v>8</v>
      </c>
      <c r="L114" s="436">
        <v>8</v>
      </c>
      <c r="M114" s="436">
        <v>8</v>
      </c>
      <c r="N114" s="436">
        <v>8</v>
      </c>
      <c r="O114" s="436">
        <v>8</v>
      </c>
      <c r="P114" s="436">
        <v>8</v>
      </c>
      <c r="Q114" s="436">
        <v>8</v>
      </c>
      <c r="R114" s="436">
        <v>8</v>
      </c>
      <c r="S114" s="436">
        <v>8</v>
      </c>
      <c r="T114" s="436">
        <v>8</v>
      </c>
      <c r="U114" s="436">
        <v>8</v>
      </c>
      <c r="V114" s="436">
        <v>8</v>
      </c>
      <c r="W114" s="436">
        <v>8</v>
      </c>
      <c r="X114" s="436">
        <v>8</v>
      </c>
      <c r="Y114" s="436">
        <v>8</v>
      </c>
      <c r="Z114" s="11">
        <f t="shared" si="31"/>
        <v>0</v>
      </c>
      <c r="AA114" s="11">
        <f t="shared" si="32"/>
        <v>0</v>
      </c>
      <c r="AB114" s="11">
        <f t="shared" si="33"/>
        <v>0</v>
      </c>
      <c r="AC114" s="11">
        <f t="shared" si="34"/>
        <v>0</v>
      </c>
      <c r="AD114" s="11">
        <f t="shared" si="35"/>
        <v>0</v>
      </c>
      <c r="AE114" s="11">
        <f t="shared" si="36"/>
        <v>0</v>
      </c>
      <c r="AF114" s="11">
        <f t="shared" si="37"/>
        <v>-1</v>
      </c>
      <c r="AG114" s="11">
        <f t="shared" si="38"/>
        <v>0</v>
      </c>
      <c r="AH114" s="11">
        <f t="shared" si="39"/>
        <v>1</v>
      </c>
      <c r="AI114" s="11">
        <f t="shared" si="40"/>
        <v>0</v>
      </c>
      <c r="AJ114" s="11">
        <f t="shared" si="41"/>
        <v>0</v>
      </c>
      <c r="AK114" s="11">
        <f t="shared" si="42"/>
        <v>0</v>
      </c>
      <c r="AL114" s="11">
        <f t="shared" si="43"/>
        <v>0</v>
      </c>
      <c r="AM114" s="11">
        <f t="shared" si="44"/>
        <v>0</v>
      </c>
      <c r="AN114" s="11">
        <f t="shared" si="45"/>
        <v>0</v>
      </c>
      <c r="AO114" s="11">
        <f t="shared" si="46"/>
        <v>0</v>
      </c>
      <c r="AP114" s="11">
        <f t="shared" si="47"/>
        <v>0</v>
      </c>
      <c r="AQ114" s="11">
        <f t="shared" si="48"/>
        <v>0</v>
      </c>
      <c r="AR114" s="11">
        <f t="shared" si="49"/>
        <v>0</v>
      </c>
      <c r="AS114" s="11">
        <f t="shared" si="50"/>
        <v>0</v>
      </c>
      <c r="AT114" s="11">
        <f t="shared" si="51"/>
        <v>0</v>
      </c>
      <c r="AU114" s="11">
        <f t="shared" si="52"/>
        <v>0</v>
      </c>
      <c r="AV114" s="11">
        <f t="shared" si="53"/>
        <v>0</v>
      </c>
      <c r="AW114" s="11">
        <f t="shared" si="54"/>
        <v>0</v>
      </c>
      <c r="AX114" s="11">
        <f t="shared" si="55"/>
        <v>1</v>
      </c>
      <c r="AY114" s="11">
        <f t="shared" si="56"/>
        <v>1</v>
      </c>
    </row>
    <row r="115" spans="1:51" s="12" customFormat="1">
      <c r="A115" s="15">
        <v>45040</v>
      </c>
      <c r="B115" s="436">
        <v>7</v>
      </c>
      <c r="C115" s="436">
        <v>6</v>
      </c>
      <c r="D115" s="436">
        <v>6</v>
      </c>
      <c r="E115" s="436">
        <v>6</v>
      </c>
      <c r="F115" s="436">
        <v>6</v>
      </c>
      <c r="G115" s="436">
        <v>6</v>
      </c>
      <c r="H115" s="436">
        <v>6</v>
      </c>
      <c r="I115" s="436">
        <v>6</v>
      </c>
      <c r="J115" s="436">
        <v>6</v>
      </c>
      <c r="K115" s="436">
        <v>6</v>
      </c>
      <c r="L115" s="436">
        <v>6</v>
      </c>
      <c r="M115" s="436">
        <v>6</v>
      </c>
      <c r="N115" s="436">
        <v>6</v>
      </c>
      <c r="O115" s="436">
        <v>7</v>
      </c>
      <c r="P115" s="436">
        <v>7</v>
      </c>
      <c r="Q115" s="436">
        <v>7</v>
      </c>
      <c r="R115" s="436">
        <v>7</v>
      </c>
      <c r="S115" s="436">
        <v>7</v>
      </c>
      <c r="T115" s="436">
        <v>7</v>
      </c>
      <c r="U115" s="436">
        <v>7</v>
      </c>
      <c r="V115" s="436">
        <v>7</v>
      </c>
      <c r="W115" s="436">
        <v>7</v>
      </c>
      <c r="X115" s="436">
        <v>7</v>
      </c>
      <c r="Y115" s="436">
        <v>7</v>
      </c>
      <c r="Z115" s="11">
        <f t="shared" si="31"/>
        <v>-1</v>
      </c>
      <c r="AA115" s="11">
        <f t="shared" si="32"/>
        <v>-1</v>
      </c>
      <c r="AB115" s="11">
        <f t="shared" si="33"/>
        <v>0</v>
      </c>
      <c r="AC115" s="11">
        <f t="shared" si="34"/>
        <v>0</v>
      </c>
      <c r="AD115" s="11">
        <f t="shared" si="35"/>
        <v>0</v>
      </c>
      <c r="AE115" s="11">
        <f t="shared" si="36"/>
        <v>0</v>
      </c>
      <c r="AF115" s="11">
        <f t="shared" si="37"/>
        <v>0</v>
      </c>
      <c r="AG115" s="11">
        <f t="shared" si="38"/>
        <v>0</v>
      </c>
      <c r="AH115" s="11">
        <f t="shared" si="39"/>
        <v>0</v>
      </c>
      <c r="AI115" s="11">
        <f t="shared" si="40"/>
        <v>0</v>
      </c>
      <c r="AJ115" s="11">
        <f t="shared" si="41"/>
        <v>0</v>
      </c>
      <c r="AK115" s="11">
        <f t="shared" si="42"/>
        <v>0</v>
      </c>
      <c r="AL115" s="11">
        <f t="shared" si="43"/>
        <v>0</v>
      </c>
      <c r="AM115" s="11">
        <f t="shared" si="44"/>
        <v>1</v>
      </c>
      <c r="AN115" s="11">
        <f t="shared" si="45"/>
        <v>0</v>
      </c>
      <c r="AO115" s="11">
        <f t="shared" si="46"/>
        <v>0</v>
      </c>
      <c r="AP115" s="11">
        <f t="shared" si="47"/>
        <v>0</v>
      </c>
      <c r="AQ115" s="11">
        <f t="shared" si="48"/>
        <v>0</v>
      </c>
      <c r="AR115" s="11">
        <f t="shared" si="49"/>
        <v>0</v>
      </c>
      <c r="AS115" s="11">
        <f t="shared" si="50"/>
        <v>0</v>
      </c>
      <c r="AT115" s="11">
        <f t="shared" si="51"/>
        <v>0</v>
      </c>
      <c r="AU115" s="11">
        <f t="shared" si="52"/>
        <v>0</v>
      </c>
      <c r="AV115" s="11">
        <f t="shared" si="53"/>
        <v>0</v>
      </c>
      <c r="AW115" s="11">
        <f t="shared" si="54"/>
        <v>0</v>
      </c>
      <c r="AX115" s="11">
        <f t="shared" si="55"/>
        <v>1</v>
      </c>
      <c r="AY115" s="11">
        <f t="shared" si="56"/>
        <v>2</v>
      </c>
    </row>
    <row r="116" spans="1:51" s="12" customFormat="1">
      <c r="A116" s="15">
        <v>45041</v>
      </c>
      <c r="B116" s="436">
        <v>6</v>
      </c>
      <c r="C116" s="436">
        <v>6</v>
      </c>
      <c r="D116" s="436">
        <v>6</v>
      </c>
      <c r="E116" s="436">
        <v>7</v>
      </c>
      <c r="F116" s="436">
        <v>7</v>
      </c>
      <c r="G116" s="436">
        <v>7</v>
      </c>
      <c r="H116" s="436">
        <v>7</v>
      </c>
      <c r="I116" s="436">
        <v>7</v>
      </c>
      <c r="J116" s="436">
        <v>7</v>
      </c>
      <c r="K116" s="436">
        <v>8</v>
      </c>
      <c r="L116" s="436">
        <v>8</v>
      </c>
      <c r="M116" s="436">
        <v>8</v>
      </c>
      <c r="N116" s="436">
        <v>8</v>
      </c>
      <c r="O116" s="436">
        <v>8</v>
      </c>
      <c r="P116" s="436">
        <v>8</v>
      </c>
      <c r="Q116" s="436">
        <v>8</v>
      </c>
      <c r="R116" s="436">
        <v>8</v>
      </c>
      <c r="S116" s="436">
        <v>8</v>
      </c>
      <c r="T116" s="436">
        <v>8</v>
      </c>
      <c r="U116" s="436">
        <v>8</v>
      </c>
      <c r="V116" s="436">
        <v>8</v>
      </c>
      <c r="W116" s="436">
        <v>8</v>
      </c>
      <c r="X116" s="436">
        <v>8</v>
      </c>
      <c r="Y116" s="436">
        <v>8</v>
      </c>
      <c r="Z116" s="11">
        <f t="shared" si="31"/>
        <v>-1</v>
      </c>
      <c r="AA116" s="11">
        <f t="shared" si="32"/>
        <v>0</v>
      </c>
      <c r="AB116" s="11">
        <f t="shared" si="33"/>
        <v>0</v>
      </c>
      <c r="AC116" s="11">
        <f t="shared" si="34"/>
        <v>1</v>
      </c>
      <c r="AD116" s="11">
        <f t="shared" si="35"/>
        <v>0</v>
      </c>
      <c r="AE116" s="11">
        <f t="shared" si="36"/>
        <v>0</v>
      </c>
      <c r="AF116" s="11">
        <f t="shared" si="37"/>
        <v>0</v>
      </c>
      <c r="AG116" s="11">
        <f t="shared" si="38"/>
        <v>0</v>
      </c>
      <c r="AH116" s="11">
        <f t="shared" si="39"/>
        <v>0</v>
      </c>
      <c r="AI116" s="11">
        <f t="shared" si="40"/>
        <v>1</v>
      </c>
      <c r="AJ116" s="11">
        <f t="shared" si="41"/>
        <v>0</v>
      </c>
      <c r="AK116" s="11">
        <f t="shared" si="42"/>
        <v>0</v>
      </c>
      <c r="AL116" s="11">
        <f t="shared" si="43"/>
        <v>0</v>
      </c>
      <c r="AM116" s="11">
        <f t="shared" si="44"/>
        <v>0</v>
      </c>
      <c r="AN116" s="11">
        <f t="shared" si="45"/>
        <v>0</v>
      </c>
      <c r="AO116" s="11">
        <f t="shared" si="46"/>
        <v>0</v>
      </c>
      <c r="AP116" s="11">
        <f t="shared" si="47"/>
        <v>0</v>
      </c>
      <c r="AQ116" s="11">
        <f t="shared" si="48"/>
        <v>0</v>
      </c>
      <c r="AR116" s="11">
        <f t="shared" si="49"/>
        <v>0</v>
      </c>
      <c r="AS116" s="11">
        <f t="shared" si="50"/>
        <v>0</v>
      </c>
      <c r="AT116" s="11">
        <f t="shared" si="51"/>
        <v>0</v>
      </c>
      <c r="AU116" s="11">
        <f t="shared" si="52"/>
        <v>0</v>
      </c>
      <c r="AV116" s="11">
        <f t="shared" si="53"/>
        <v>0</v>
      </c>
      <c r="AW116" s="11">
        <f t="shared" si="54"/>
        <v>0</v>
      </c>
      <c r="AX116" s="11">
        <f t="shared" si="55"/>
        <v>2</v>
      </c>
      <c r="AY116" s="11">
        <f t="shared" si="56"/>
        <v>1</v>
      </c>
    </row>
    <row r="117" spans="1:51" s="12" customFormat="1">
      <c r="A117" s="15">
        <v>45042</v>
      </c>
      <c r="B117" s="436">
        <v>8</v>
      </c>
      <c r="C117" s="436">
        <v>8</v>
      </c>
      <c r="D117" s="436">
        <v>8</v>
      </c>
      <c r="E117" s="436">
        <v>8</v>
      </c>
      <c r="F117" s="436">
        <v>8</v>
      </c>
      <c r="G117" s="436">
        <v>7</v>
      </c>
      <c r="H117" s="436">
        <v>7</v>
      </c>
      <c r="I117" s="436">
        <v>7</v>
      </c>
      <c r="J117" s="436">
        <v>8</v>
      </c>
      <c r="K117" s="436">
        <v>8</v>
      </c>
      <c r="L117" s="436">
        <v>8</v>
      </c>
      <c r="M117" s="436">
        <v>8</v>
      </c>
      <c r="N117" s="436">
        <v>8</v>
      </c>
      <c r="O117" s="436">
        <v>8</v>
      </c>
      <c r="P117" s="436">
        <v>8</v>
      </c>
      <c r="Q117" s="436">
        <v>8</v>
      </c>
      <c r="R117" s="436">
        <v>8</v>
      </c>
      <c r="S117" s="436">
        <v>8</v>
      </c>
      <c r="T117" s="436">
        <v>8</v>
      </c>
      <c r="U117" s="436">
        <v>8</v>
      </c>
      <c r="V117" s="436">
        <v>8</v>
      </c>
      <c r="W117" s="436">
        <v>8</v>
      </c>
      <c r="X117" s="436">
        <v>8</v>
      </c>
      <c r="Y117" s="436">
        <v>8</v>
      </c>
      <c r="Z117" s="11">
        <f t="shared" si="31"/>
        <v>0</v>
      </c>
      <c r="AA117" s="11">
        <f t="shared" si="32"/>
        <v>0</v>
      </c>
      <c r="AB117" s="11">
        <f t="shared" si="33"/>
        <v>0</v>
      </c>
      <c r="AC117" s="11">
        <f t="shared" si="34"/>
        <v>0</v>
      </c>
      <c r="AD117" s="11">
        <f t="shared" si="35"/>
        <v>0</v>
      </c>
      <c r="AE117" s="11">
        <f t="shared" si="36"/>
        <v>-1</v>
      </c>
      <c r="AF117" s="11">
        <f t="shared" si="37"/>
        <v>0</v>
      </c>
      <c r="AG117" s="11">
        <f t="shared" si="38"/>
        <v>0</v>
      </c>
      <c r="AH117" s="11">
        <f t="shared" si="39"/>
        <v>1</v>
      </c>
      <c r="AI117" s="11">
        <f t="shared" si="40"/>
        <v>0</v>
      </c>
      <c r="AJ117" s="11">
        <f t="shared" si="41"/>
        <v>0</v>
      </c>
      <c r="AK117" s="11">
        <f t="shared" si="42"/>
        <v>0</v>
      </c>
      <c r="AL117" s="11">
        <f t="shared" si="43"/>
        <v>0</v>
      </c>
      <c r="AM117" s="11">
        <f t="shared" si="44"/>
        <v>0</v>
      </c>
      <c r="AN117" s="11">
        <f t="shared" si="45"/>
        <v>0</v>
      </c>
      <c r="AO117" s="11">
        <f t="shared" si="46"/>
        <v>0</v>
      </c>
      <c r="AP117" s="11">
        <f t="shared" si="47"/>
        <v>0</v>
      </c>
      <c r="AQ117" s="11">
        <f t="shared" si="48"/>
        <v>0</v>
      </c>
      <c r="AR117" s="11">
        <f t="shared" si="49"/>
        <v>0</v>
      </c>
      <c r="AS117" s="11">
        <f t="shared" si="50"/>
        <v>0</v>
      </c>
      <c r="AT117" s="11">
        <f t="shared" si="51"/>
        <v>0</v>
      </c>
      <c r="AU117" s="11">
        <f t="shared" si="52"/>
        <v>0</v>
      </c>
      <c r="AV117" s="11">
        <f t="shared" si="53"/>
        <v>0</v>
      </c>
      <c r="AW117" s="11">
        <f t="shared" si="54"/>
        <v>0</v>
      </c>
      <c r="AX117" s="11">
        <f t="shared" si="55"/>
        <v>1</v>
      </c>
      <c r="AY117" s="11">
        <f t="shared" si="56"/>
        <v>1</v>
      </c>
    </row>
    <row r="118" spans="1:51" s="12" customFormat="1">
      <c r="A118" s="15">
        <v>45043</v>
      </c>
      <c r="B118" s="436">
        <v>7</v>
      </c>
      <c r="C118" s="436">
        <v>7</v>
      </c>
      <c r="D118" s="436">
        <v>7</v>
      </c>
      <c r="E118" s="436">
        <v>7</v>
      </c>
      <c r="F118" s="436">
        <v>7</v>
      </c>
      <c r="G118" s="436">
        <v>6</v>
      </c>
      <c r="H118" s="436">
        <v>6</v>
      </c>
      <c r="I118" s="436">
        <v>6</v>
      </c>
      <c r="J118" s="436">
        <v>7</v>
      </c>
      <c r="K118" s="436">
        <v>7</v>
      </c>
      <c r="L118" s="436">
        <v>7</v>
      </c>
      <c r="M118" s="436">
        <v>7</v>
      </c>
      <c r="N118" s="436">
        <v>7</v>
      </c>
      <c r="O118" s="436">
        <v>7</v>
      </c>
      <c r="P118" s="436">
        <v>7</v>
      </c>
      <c r="Q118" s="436">
        <v>7</v>
      </c>
      <c r="R118" s="436">
        <v>7</v>
      </c>
      <c r="S118" s="436">
        <v>7</v>
      </c>
      <c r="T118" s="436">
        <v>7</v>
      </c>
      <c r="U118" s="436">
        <v>7</v>
      </c>
      <c r="V118" s="436">
        <v>7</v>
      </c>
      <c r="W118" s="436">
        <v>7</v>
      </c>
      <c r="X118" s="436">
        <v>7</v>
      </c>
      <c r="Y118" s="436">
        <v>7</v>
      </c>
      <c r="Z118" s="11">
        <f t="shared" si="31"/>
        <v>-1</v>
      </c>
      <c r="AA118" s="11">
        <f t="shared" si="32"/>
        <v>0</v>
      </c>
      <c r="AB118" s="11">
        <f t="shared" si="33"/>
        <v>0</v>
      </c>
      <c r="AC118" s="11">
        <f t="shared" si="34"/>
        <v>0</v>
      </c>
      <c r="AD118" s="11">
        <f t="shared" si="35"/>
        <v>0</v>
      </c>
      <c r="AE118" s="11">
        <f t="shared" si="36"/>
        <v>-1</v>
      </c>
      <c r="AF118" s="11">
        <f t="shared" si="37"/>
        <v>0</v>
      </c>
      <c r="AG118" s="11">
        <f t="shared" si="38"/>
        <v>0</v>
      </c>
      <c r="AH118" s="11">
        <f t="shared" si="39"/>
        <v>1</v>
      </c>
      <c r="AI118" s="11">
        <f t="shared" si="40"/>
        <v>0</v>
      </c>
      <c r="AJ118" s="11">
        <f t="shared" si="41"/>
        <v>0</v>
      </c>
      <c r="AK118" s="11">
        <f t="shared" si="42"/>
        <v>0</v>
      </c>
      <c r="AL118" s="11">
        <f t="shared" si="43"/>
        <v>0</v>
      </c>
      <c r="AM118" s="11">
        <f t="shared" si="44"/>
        <v>0</v>
      </c>
      <c r="AN118" s="11">
        <f t="shared" si="45"/>
        <v>0</v>
      </c>
      <c r="AO118" s="11">
        <f t="shared" si="46"/>
        <v>0</v>
      </c>
      <c r="AP118" s="11">
        <f t="shared" si="47"/>
        <v>0</v>
      </c>
      <c r="AQ118" s="11">
        <f t="shared" si="48"/>
        <v>0</v>
      </c>
      <c r="AR118" s="11">
        <f t="shared" si="49"/>
        <v>0</v>
      </c>
      <c r="AS118" s="11">
        <f t="shared" si="50"/>
        <v>0</v>
      </c>
      <c r="AT118" s="11">
        <f t="shared" si="51"/>
        <v>0</v>
      </c>
      <c r="AU118" s="11">
        <f t="shared" si="52"/>
        <v>0</v>
      </c>
      <c r="AV118" s="11">
        <f t="shared" si="53"/>
        <v>0</v>
      </c>
      <c r="AW118" s="11">
        <f t="shared" si="54"/>
        <v>0</v>
      </c>
      <c r="AX118" s="11">
        <f t="shared" si="55"/>
        <v>1</v>
      </c>
      <c r="AY118" s="11">
        <f t="shared" si="56"/>
        <v>2</v>
      </c>
    </row>
    <row r="119" spans="1:51" s="12" customFormat="1">
      <c r="A119" s="15">
        <v>45044</v>
      </c>
      <c r="B119" s="436">
        <v>7</v>
      </c>
      <c r="C119" s="436">
        <v>7</v>
      </c>
      <c r="D119" s="436">
        <v>7</v>
      </c>
      <c r="E119" s="436">
        <v>8</v>
      </c>
      <c r="F119" s="436">
        <v>8</v>
      </c>
      <c r="G119" s="436">
        <v>6</v>
      </c>
      <c r="H119" s="436">
        <v>6</v>
      </c>
      <c r="I119" s="436">
        <v>6</v>
      </c>
      <c r="J119" s="436">
        <v>7</v>
      </c>
      <c r="K119" s="436">
        <v>7</v>
      </c>
      <c r="L119" s="436">
        <v>7</v>
      </c>
      <c r="M119" s="436">
        <v>7</v>
      </c>
      <c r="N119" s="436">
        <v>7</v>
      </c>
      <c r="O119" s="436">
        <v>7</v>
      </c>
      <c r="P119" s="436">
        <v>7</v>
      </c>
      <c r="Q119" s="436">
        <v>7</v>
      </c>
      <c r="R119" s="436">
        <v>7</v>
      </c>
      <c r="S119" s="436">
        <v>7</v>
      </c>
      <c r="T119" s="436">
        <v>7</v>
      </c>
      <c r="U119" s="436">
        <v>7</v>
      </c>
      <c r="V119" s="436">
        <v>7</v>
      </c>
      <c r="W119" s="436">
        <v>7</v>
      </c>
      <c r="X119" s="436">
        <v>7</v>
      </c>
      <c r="Y119" s="436">
        <v>7</v>
      </c>
      <c r="Z119" s="11">
        <f t="shared" si="31"/>
        <v>0</v>
      </c>
      <c r="AA119" s="11">
        <f t="shared" si="32"/>
        <v>0</v>
      </c>
      <c r="AB119" s="11">
        <f t="shared" si="33"/>
        <v>0</v>
      </c>
      <c r="AC119" s="11">
        <f t="shared" si="34"/>
        <v>1</v>
      </c>
      <c r="AD119" s="11">
        <f t="shared" si="35"/>
        <v>0</v>
      </c>
      <c r="AE119" s="11">
        <f t="shared" si="36"/>
        <v>-2</v>
      </c>
      <c r="AF119" s="11">
        <f t="shared" si="37"/>
        <v>0</v>
      </c>
      <c r="AG119" s="11">
        <f t="shared" si="38"/>
        <v>0</v>
      </c>
      <c r="AH119" s="11">
        <f t="shared" si="39"/>
        <v>1</v>
      </c>
      <c r="AI119" s="11">
        <f t="shared" si="40"/>
        <v>0</v>
      </c>
      <c r="AJ119" s="11">
        <f t="shared" si="41"/>
        <v>0</v>
      </c>
      <c r="AK119" s="11">
        <f t="shared" si="42"/>
        <v>0</v>
      </c>
      <c r="AL119" s="11">
        <f t="shared" si="43"/>
        <v>0</v>
      </c>
      <c r="AM119" s="11">
        <f t="shared" si="44"/>
        <v>0</v>
      </c>
      <c r="AN119" s="11">
        <f t="shared" si="45"/>
        <v>0</v>
      </c>
      <c r="AO119" s="11">
        <f t="shared" si="46"/>
        <v>0</v>
      </c>
      <c r="AP119" s="11">
        <f t="shared" si="47"/>
        <v>0</v>
      </c>
      <c r="AQ119" s="11">
        <f t="shared" si="48"/>
        <v>0</v>
      </c>
      <c r="AR119" s="11">
        <f t="shared" si="49"/>
        <v>0</v>
      </c>
      <c r="AS119" s="11">
        <f t="shared" si="50"/>
        <v>0</v>
      </c>
      <c r="AT119" s="11">
        <f t="shared" si="51"/>
        <v>0</v>
      </c>
      <c r="AU119" s="11">
        <f t="shared" si="52"/>
        <v>0</v>
      </c>
      <c r="AV119" s="11">
        <f t="shared" si="53"/>
        <v>0</v>
      </c>
      <c r="AW119" s="11">
        <f t="shared" si="54"/>
        <v>0</v>
      </c>
      <c r="AX119" s="11">
        <f t="shared" si="55"/>
        <v>2</v>
      </c>
      <c r="AY119" s="11">
        <f t="shared" si="56"/>
        <v>2</v>
      </c>
    </row>
    <row r="120" spans="1:51" s="12" customFormat="1">
      <c r="A120" s="15">
        <v>45045</v>
      </c>
      <c r="B120" s="436">
        <v>7</v>
      </c>
      <c r="C120" s="436">
        <v>7</v>
      </c>
      <c r="D120" s="436">
        <v>7</v>
      </c>
      <c r="E120" s="436">
        <v>7</v>
      </c>
      <c r="F120" s="436">
        <v>7</v>
      </c>
      <c r="G120" s="436">
        <v>7</v>
      </c>
      <c r="H120" s="436">
        <v>6</v>
      </c>
      <c r="I120" s="436">
        <v>6</v>
      </c>
      <c r="J120" s="436">
        <v>7</v>
      </c>
      <c r="K120" s="436">
        <v>7</v>
      </c>
      <c r="L120" s="436">
        <v>7</v>
      </c>
      <c r="M120" s="436">
        <v>7</v>
      </c>
      <c r="N120" s="436">
        <v>7</v>
      </c>
      <c r="O120" s="436">
        <v>7</v>
      </c>
      <c r="P120" s="436">
        <v>7</v>
      </c>
      <c r="Q120" s="436">
        <v>7</v>
      </c>
      <c r="R120" s="436">
        <v>7</v>
      </c>
      <c r="S120" s="436">
        <v>7</v>
      </c>
      <c r="T120" s="436">
        <v>7</v>
      </c>
      <c r="U120" s="436">
        <v>7</v>
      </c>
      <c r="V120" s="436">
        <v>7</v>
      </c>
      <c r="W120" s="436">
        <v>7</v>
      </c>
      <c r="X120" s="436">
        <v>7</v>
      </c>
      <c r="Y120" s="436">
        <v>7</v>
      </c>
      <c r="Z120" s="11">
        <f t="shared" si="31"/>
        <v>0</v>
      </c>
      <c r="AA120" s="11">
        <f t="shared" si="32"/>
        <v>0</v>
      </c>
      <c r="AB120" s="11">
        <f t="shared" si="33"/>
        <v>0</v>
      </c>
      <c r="AC120" s="11">
        <f t="shared" si="34"/>
        <v>0</v>
      </c>
      <c r="AD120" s="11">
        <f t="shared" si="35"/>
        <v>0</v>
      </c>
      <c r="AE120" s="11">
        <f t="shared" si="36"/>
        <v>0</v>
      </c>
      <c r="AF120" s="11">
        <f t="shared" si="37"/>
        <v>-1</v>
      </c>
      <c r="AG120" s="11">
        <f t="shared" si="38"/>
        <v>0</v>
      </c>
      <c r="AH120" s="11">
        <f t="shared" si="39"/>
        <v>1</v>
      </c>
      <c r="AI120" s="11">
        <f t="shared" si="40"/>
        <v>0</v>
      </c>
      <c r="AJ120" s="11">
        <f t="shared" si="41"/>
        <v>0</v>
      </c>
      <c r="AK120" s="11">
        <f t="shared" si="42"/>
        <v>0</v>
      </c>
      <c r="AL120" s="11">
        <f t="shared" si="43"/>
        <v>0</v>
      </c>
      <c r="AM120" s="11">
        <f t="shared" si="44"/>
        <v>0</v>
      </c>
      <c r="AN120" s="11">
        <f t="shared" si="45"/>
        <v>0</v>
      </c>
      <c r="AO120" s="11">
        <f t="shared" si="46"/>
        <v>0</v>
      </c>
      <c r="AP120" s="11">
        <f t="shared" si="47"/>
        <v>0</v>
      </c>
      <c r="AQ120" s="11">
        <f t="shared" si="48"/>
        <v>0</v>
      </c>
      <c r="AR120" s="11">
        <f t="shared" si="49"/>
        <v>0</v>
      </c>
      <c r="AS120" s="11">
        <f t="shared" si="50"/>
        <v>0</v>
      </c>
      <c r="AT120" s="11">
        <f t="shared" si="51"/>
        <v>0</v>
      </c>
      <c r="AU120" s="11">
        <f t="shared" si="52"/>
        <v>0</v>
      </c>
      <c r="AV120" s="11">
        <f t="shared" si="53"/>
        <v>0</v>
      </c>
      <c r="AW120" s="11">
        <f t="shared" si="54"/>
        <v>0</v>
      </c>
      <c r="AX120" s="11">
        <f t="shared" si="55"/>
        <v>1</v>
      </c>
      <c r="AY120" s="11">
        <f t="shared" si="56"/>
        <v>1</v>
      </c>
    </row>
    <row r="121" spans="1:51" s="12" customFormat="1">
      <c r="A121" s="15">
        <v>45046</v>
      </c>
      <c r="B121" s="436">
        <v>7</v>
      </c>
      <c r="C121" s="436">
        <v>7</v>
      </c>
      <c r="D121" s="436">
        <v>7</v>
      </c>
      <c r="E121" s="436">
        <v>7</v>
      </c>
      <c r="F121" s="436">
        <v>7</v>
      </c>
      <c r="G121" s="436">
        <v>7</v>
      </c>
      <c r="H121" s="436">
        <v>6</v>
      </c>
      <c r="I121" s="436">
        <v>6</v>
      </c>
      <c r="J121" s="436">
        <v>7</v>
      </c>
      <c r="K121" s="436">
        <v>7</v>
      </c>
      <c r="L121" s="436">
        <v>7</v>
      </c>
      <c r="M121" s="436">
        <v>7</v>
      </c>
      <c r="N121" s="436">
        <v>7</v>
      </c>
      <c r="O121" s="436">
        <v>7</v>
      </c>
      <c r="P121" s="436">
        <v>7</v>
      </c>
      <c r="Q121" s="436">
        <v>7</v>
      </c>
      <c r="R121" s="436">
        <v>7</v>
      </c>
      <c r="S121" s="436">
        <v>7</v>
      </c>
      <c r="T121" s="436">
        <v>7</v>
      </c>
      <c r="U121" s="436">
        <v>7</v>
      </c>
      <c r="V121" s="436">
        <v>7</v>
      </c>
      <c r="W121" s="436">
        <v>7</v>
      </c>
      <c r="X121" s="436">
        <v>7</v>
      </c>
      <c r="Y121" s="436">
        <v>7</v>
      </c>
      <c r="Z121" s="11">
        <f>B121-Y120</f>
        <v>0</v>
      </c>
      <c r="AA121" s="11">
        <f t="shared" si="32"/>
        <v>0</v>
      </c>
      <c r="AB121" s="11">
        <f t="shared" si="33"/>
        <v>0</v>
      </c>
      <c r="AC121" s="11">
        <f t="shared" si="34"/>
        <v>0</v>
      </c>
      <c r="AD121" s="11">
        <f t="shared" si="35"/>
        <v>0</v>
      </c>
      <c r="AE121" s="11">
        <f t="shared" si="36"/>
        <v>0</v>
      </c>
      <c r="AF121" s="11">
        <f t="shared" si="37"/>
        <v>-1</v>
      </c>
      <c r="AG121" s="11">
        <f t="shared" si="38"/>
        <v>0</v>
      </c>
      <c r="AH121" s="11">
        <f t="shared" si="39"/>
        <v>1</v>
      </c>
      <c r="AI121" s="11">
        <f t="shared" si="40"/>
        <v>0</v>
      </c>
      <c r="AJ121" s="11">
        <f t="shared" si="41"/>
        <v>0</v>
      </c>
      <c r="AK121" s="11">
        <f t="shared" si="42"/>
        <v>0</v>
      </c>
      <c r="AL121" s="11">
        <f t="shared" si="43"/>
        <v>0</v>
      </c>
      <c r="AM121" s="11">
        <f t="shared" si="44"/>
        <v>0</v>
      </c>
      <c r="AN121" s="11">
        <f t="shared" si="45"/>
        <v>0</v>
      </c>
      <c r="AO121" s="11">
        <f t="shared" si="46"/>
        <v>0</v>
      </c>
      <c r="AP121" s="11">
        <f t="shared" si="47"/>
        <v>0</v>
      </c>
      <c r="AQ121" s="11">
        <f t="shared" si="48"/>
        <v>0</v>
      </c>
      <c r="AR121" s="11">
        <f t="shared" si="49"/>
        <v>0</v>
      </c>
      <c r="AS121" s="11">
        <f t="shared" si="50"/>
        <v>0</v>
      </c>
      <c r="AT121" s="11">
        <f t="shared" si="51"/>
        <v>0</v>
      </c>
      <c r="AU121" s="11">
        <f t="shared" si="52"/>
        <v>0</v>
      </c>
      <c r="AV121" s="11">
        <f t="shared" si="53"/>
        <v>0</v>
      </c>
      <c r="AW121" s="11">
        <f t="shared" si="54"/>
        <v>0</v>
      </c>
      <c r="AX121" s="11">
        <f t="shared" si="55"/>
        <v>1</v>
      </c>
      <c r="AY121" s="11">
        <f t="shared" si="56"/>
        <v>1</v>
      </c>
    </row>
    <row r="122" spans="1:51" s="12" customFormat="1">
      <c r="A122" s="15">
        <v>45047</v>
      </c>
      <c r="B122" s="436">
        <v>8</v>
      </c>
      <c r="C122" s="436">
        <v>8</v>
      </c>
      <c r="D122" s="436">
        <v>8</v>
      </c>
      <c r="E122" s="436">
        <v>8</v>
      </c>
      <c r="F122" s="436">
        <v>8</v>
      </c>
      <c r="G122" s="436">
        <v>8</v>
      </c>
      <c r="H122" s="436">
        <v>8</v>
      </c>
      <c r="I122" s="436">
        <v>8</v>
      </c>
      <c r="J122" s="436">
        <v>8</v>
      </c>
      <c r="K122" s="436">
        <v>8</v>
      </c>
      <c r="L122" s="436">
        <v>8</v>
      </c>
      <c r="M122" s="436">
        <v>8</v>
      </c>
      <c r="N122" s="436">
        <v>8</v>
      </c>
      <c r="O122" s="436">
        <v>8</v>
      </c>
      <c r="P122" s="436">
        <v>8</v>
      </c>
      <c r="Q122" s="436">
        <v>8</v>
      </c>
      <c r="R122" s="436">
        <v>8</v>
      </c>
      <c r="S122" s="436">
        <v>8</v>
      </c>
      <c r="T122" s="436">
        <v>8</v>
      </c>
      <c r="U122" s="436">
        <v>8</v>
      </c>
      <c r="V122" s="436">
        <v>8</v>
      </c>
      <c r="W122" s="436">
        <v>8</v>
      </c>
      <c r="X122" s="436">
        <v>8</v>
      </c>
      <c r="Y122" s="436">
        <v>8</v>
      </c>
      <c r="Z122" s="11">
        <f>B122-Y121</f>
        <v>1</v>
      </c>
      <c r="AA122" s="11">
        <f>C122-B122</f>
        <v>0</v>
      </c>
      <c r="AB122" s="11">
        <f t="shared" si="33"/>
        <v>0</v>
      </c>
      <c r="AC122" s="11">
        <f t="shared" si="34"/>
        <v>0</v>
      </c>
      <c r="AD122" s="11">
        <f t="shared" si="35"/>
        <v>0</v>
      </c>
      <c r="AE122" s="11">
        <f t="shared" si="36"/>
        <v>0</v>
      </c>
      <c r="AF122" s="11">
        <f t="shared" si="37"/>
        <v>0</v>
      </c>
      <c r="AG122" s="11">
        <f t="shared" si="38"/>
        <v>0</v>
      </c>
      <c r="AH122" s="11">
        <f t="shared" si="39"/>
        <v>0</v>
      </c>
      <c r="AI122" s="11">
        <f t="shared" si="40"/>
        <v>0</v>
      </c>
      <c r="AJ122" s="11">
        <f t="shared" si="41"/>
        <v>0</v>
      </c>
      <c r="AK122" s="11">
        <f t="shared" si="42"/>
        <v>0</v>
      </c>
      <c r="AL122" s="11">
        <f t="shared" si="43"/>
        <v>0</v>
      </c>
      <c r="AM122" s="11">
        <f t="shared" si="44"/>
        <v>0</v>
      </c>
      <c r="AN122" s="11">
        <f t="shared" si="45"/>
        <v>0</v>
      </c>
      <c r="AO122" s="11">
        <f t="shared" si="46"/>
        <v>0</v>
      </c>
      <c r="AP122" s="11">
        <f t="shared" si="47"/>
        <v>0</v>
      </c>
      <c r="AQ122" s="11">
        <f t="shared" si="48"/>
        <v>0</v>
      </c>
      <c r="AR122" s="11">
        <f t="shared" si="49"/>
        <v>0</v>
      </c>
      <c r="AS122" s="11">
        <f t="shared" si="50"/>
        <v>0</v>
      </c>
      <c r="AT122" s="11">
        <f t="shared" si="51"/>
        <v>0</v>
      </c>
      <c r="AU122" s="11">
        <f t="shared" si="52"/>
        <v>0</v>
      </c>
      <c r="AV122" s="11">
        <f t="shared" si="53"/>
        <v>0</v>
      </c>
      <c r="AW122" s="11">
        <f t="shared" si="54"/>
        <v>0</v>
      </c>
      <c r="AX122" s="11">
        <f t="shared" si="55"/>
        <v>1</v>
      </c>
      <c r="AY122" s="11">
        <f t="shared" si="56"/>
        <v>0</v>
      </c>
    </row>
    <row r="123" spans="1:51">
      <c r="A123" s="15">
        <v>45048</v>
      </c>
      <c r="B123" s="436">
        <v>8</v>
      </c>
      <c r="C123" s="436">
        <v>8</v>
      </c>
      <c r="D123" s="436">
        <v>8</v>
      </c>
      <c r="E123" s="436">
        <v>8</v>
      </c>
      <c r="F123" s="436">
        <v>8</v>
      </c>
      <c r="G123" s="436">
        <v>8</v>
      </c>
      <c r="H123" s="436">
        <v>8</v>
      </c>
      <c r="I123" s="436">
        <v>8</v>
      </c>
      <c r="J123" s="436">
        <v>8</v>
      </c>
      <c r="K123" s="436">
        <v>8</v>
      </c>
      <c r="L123" s="436">
        <v>8</v>
      </c>
      <c r="M123" s="436">
        <v>8</v>
      </c>
      <c r="N123" s="436">
        <v>8</v>
      </c>
      <c r="O123" s="436">
        <v>8</v>
      </c>
      <c r="P123" s="436">
        <v>8</v>
      </c>
      <c r="Q123" s="436">
        <v>8</v>
      </c>
      <c r="R123" s="436">
        <v>8</v>
      </c>
      <c r="S123" s="436">
        <v>8</v>
      </c>
      <c r="T123" s="436">
        <v>8</v>
      </c>
      <c r="U123" s="436">
        <v>8</v>
      </c>
      <c r="V123" s="436">
        <v>8</v>
      </c>
      <c r="W123" s="436">
        <v>8</v>
      </c>
      <c r="X123" s="436">
        <v>8</v>
      </c>
      <c r="Y123" s="436">
        <v>8</v>
      </c>
      <c r="Z123" s="11">
        <f>B123-Y122</f>
        <v>0</v>
      </c>
      <c r="AA123" s="11">
        <f>C123-B123</f>
        <v>0</v>
      </c>
      <c r="AB123" s="11">
        <f t="shared" ref="AB123:AW123" si="57">D123-C123</f>
        <v>0</v>
      </c>
      <c r="AC123" s="11">
        <f t="shared" si="57"/>
        <v>0</v>
      </c>
      <c r="AD123" s="11">
        <f t="shared" si="57"/>
        <v>0</v>
      </c>
      <c r="AE123" s="11">
        <f t="shared" si="57"/>
        <v>0</v>
      </c>
      <c r="AF123" s="11">
        <f t="shared" si="57"/>
        <v>0</v>
      </c>
      <c r="AG123" s="11">
        <f t="shared" si="57"/>
        <v>0</v>
      </c>
      <c r="AH123" s="11">
        <f t="shared" si="57"/>
        <v>0</v>
      </c>
      <c r="AI123" s="11">
        <f t="shared" si="57"/>
        <v>0</v>
      </c>
      <c r="AJ123" s="11">
        <f t="shared" si="57"/>
        <v>0</v>
      </c>
      <c r="AK123" s="11">
        <f t="shared" si="57"/>
        <v>0</v>
      </c>
      <c r="AL123" s="11">
        <f t="shared" si="57"/>
        <v>0</v>
      </c>
      <c r="AM123" s="11">
        <f t="shared" si="57"/>
        <v>0</v>
      </c>
      <c r="AN123" s="11">
        <f t="shared" si="57"/>
        <v>0</v>
      </c>
      <c r="AO123" s="11">
        <f t="shared" si="57"/>
        <v>0</v>
      </c>
      <c r="AP123" s="11">
        <f t="shared" si="57"/>
        <v>0</v>
      </c>
      <c r="AQ123" s="11">
        <f t="shared" si="57"/>
        <v>0</v>
      </c>
      <c r="AR123" s="11">
        <f t="shared" si="57"/>
        <v>0</v>
      </c>
      <c r="AS123" s="11">
        <f t="shared" si="57"/>
        <v>0</v>
      </c>
      <c r="AT123" s="11">
        <f t="shared" si="57"/>
        <v>0</v>
      </c>
      <c r="AU123" s="11">
        <f t="shared" si="57"/>
        <v>0</v>
      </c>
      <c r="AV123" s="11">
        <f t="shared" si="57"/>
        <v>0</v>
      </c>
      <c r="AW123" s="11">
        <f t="shared" si="57"/>
        <v>0</v>
      </c>
      <c r="AX123" s="11">
        <f>SUMIF(Z123:AW123,"&gt;0")</f>
        <v>0</v>
      </c>
      <c r="AY123" s="11">
        <f>SUMIF(Z123:AW123,"&lt;0")*-1</f>
        <v>0</v>
      </c>
    </row>
    <row r="124" spans="1:51">
      <c r="A124" s="15">
        <v>45049</v>
      </c>
      <c r="B124" s="436">
        <v>8</v>
      </c>
      <c r="C124" s="436">
        <v>8</v>
      </c>
      <c r="D124" s="436">
        <v>8</v>
      </c>
      <c r="E124" s="436">
        <v>8</v>
      </c>
      <c r="F124" s="436">
        <v>8</v>
      </c>
      <c r="G124" s="436">
        <v>8</v>
      </c>
      <c r="H124" s="436">
        <v>8</v>
      </c>
      <c r="I124" s="436">
        <v>8</v>
      </c>
      <c r="J124" s="436">
        <v>8</v>
      </c>
      <c r="K124" s="436">
        <v>8</v>
      </c>
      <c r="L124" s="436">
        <v>8</v>
      </c>
      <c r="M124" s="436">
        <v>8</v>
      </c>
      <c r="N124" s="436">
        <v>8</v>
      </c>
      <c r="O124" s="436">
        <v>8</v>
      </c>
      <c r="P124" s="436">
        <v>8</v>
      </c>
      <c r="Q124" s="436">
        <v>8</v>
      </c>
      <c r="R124" s="436">
        <v>8</v>
      </c>
      <c r="S124" s="436">
        <v>8</v>
      </c>
      <c r="T124" s="436">
        <v>8</v>
      </c>
      <c r="U124" s="436">
        <v>8</v>
      </c>
      <c r="V124" s="436">
        <v>8</v>
      </c>
      <c r="W124" s="436">
        <v>8</v>
      </c>
      <c r="X124" s="436">
        <v>8</v>
      </c>
      <c r="Y124" s="436">
        <v>8</v>
      </c>
      <c r="Z124" s="11">
        <f>B124-Y123</f>
        <v>0</v>
      </c>
      <c r="AA124" s="11">
        <f>C124-B124</f>
        <v>0</v>
      </c>
      <c r="AB124" s="11">
        <f t="shared" ref="AB124:AW124" si="58">D124-C124</f>
        <v>0</v>
      </c>
      <c r="AC124" s="11">
        <f t="shared" si="58"/>
        <v>0</v>
      </c>
      <c r="AD124" s="11">
        <f t="shared" si="58"/>
        <v>0</v>
      </c>
      <c r="AE124" s="11">
        <f t="shared" si="58"/>
        <v>0</v>
      </c>
      <c r="AF124" s="11">
        <f t="shared" si="58"/>
        <v>0</v>
      </c>
      <c r="AG124" s="11">
        <f t="shared" si="58"/>
        <v>0</v>
      </c>
      <c r="AH124" s="11">
        <f t="shared" si="58"/>
        <v>0</v>
      </c>
      <c r="AI124" s="11">
        <f t="shared" si="58"/>
        <v>0</v>
      </c>
      <c r="AJ124" s="11">
        <f t="shared" si="58"/>
        <v>0</v>
      </c>
      <c r="AK124" s="11">
        <f t="shared" si="58"/>
        <v>0</v>
      </c>
      <c r="AL124" s="11">
        <f t="shared" si="58"/>
        <v>0</v>
      </c>
      <c r="AM124" s="11">
        <f t="shared" si="58"/>
        <v>0</v>
      </c>
      <c r="AN124" s="11">
        <f t="shared" si="58"/>
        <v>0</v>
      </c>
      <c r="AO124" s="11">
        <f t="shared" si="58"/>
        <v>0</v>
      </c>
      <c r="AP124" s="11">
        <f t="shared" si="58"/>
        <v>0</v>
      </c>
      <c r="AQ124" s="11">
        <f t="shared" si="58"/>
        <v>0</v>
      </c>
      <c r="AR124" s="11">
        <f t="shared" si="58"/>
        <v>0</v>
      </c>
      <c r="AS124" s="11">
        <f t="shared" si="58"/>
        <v>0</v>
      </c>
      <c r="AT124" s="11">
        <f t="shared" si="58"/>
        <v>0</v>
      </c>
      <c r="AU124" s="11">
        <f t="shared" si="58"/>
        <v>0</v>
      </c>
      <c r="AV124" s="11">
        <f t="shared" si="58"/>
        <v>0</v>
      </c>
      <c r="AW124" s="11">
        <f t="shared" si="58"/>
        <v>0</v>
      </c>
      <c r="AX124" s="11">
        <f t="shared" ref="AX124:AX153" si="59">SUMIF(Z124:AW124,"&gt;0")</f>
        <v>0</v>
      </c>
      <c r="AY124" s="11">
        <f t="shared" ref="AY124:AY183" si="60">SUMIF(Z124:AW124,"&lt;0")*-1</f>
        <v>0</v>
      </c>
    </row>
    <row r="125" spans="1:51">
      <c r="A125" s="15">
        <v>45050</v>
      </c>
      <c r="B125" s="436">
        <v>8</v>
      </c>
      <c r="C125" s="436">
        <v>8</v>
      </c>
      <c r="D125" s="436">
        <v>8</v>
      </c>
      <c r="E125" s="436">
        <v>8</v>
      </c>
      <c r="F125" s="436">
        <v>8</v>
      </c>
      <c r="G125" s="436">
        <v>8</v>
      </c>
      <c r="H125" s="436">
        <v>8</v>
      </c>
      <c r="I125" s="436">
        <v>8</v>
      </c>
      <c r="J125" s="436">
        <v>8</v>
      </c>
      <c r="K125" s="436">
        <v>8</v>
      </c>
      <c r="L125" s="436">
        <v>8</v>
      </c>
      <c r="M125" s="436">
        <v>8</v>
      </c>
      <c r="N125" s="436">
        <v>8</v>
      </c>
      <c r="O125" s="436">
        <v>8</v>
      </c>
      <c r="P125" s="436">
        <v>8</v>
      </c>
      <c r="Q125" s="436">
        <v>8</v>
      </c>
      <c r="R125" s="436">
        <v>8</v>
      </c>
      <c r="S125" s="436">
        <v>8</v>
      </c>
      <c r="T125" s="436">
        <v>8</v>
      </c>
      <c r="U125" s="436">
        <v>8</v>
      </c>
      <c r="V125" s="436">
        <v>8</v>
      </c>
      <c r="W125" s="436">
        <v>8</v>
      </c>
      <c r="X125" s="436">
        <v>8</v>
      </c>
      <c r="Y125" s="436">
        <v>8</v>
      </c>
      <c r="Z125" s="11">
        <f t="shared" ref="Z125:Z153" si="61">B125-Y124</f>
        <v>0</v>
      </c>
      <c r="AA125" s="11">
        <f t="shared" ref="AA125:AA152" si="62">C125-B125</f>
        <v>0</v>
      </c>
      <c r="AB125" s="11">
        <f t="shared" ref="AB125:AB153" si="63">D125-C125</f>
        <v>0</v>
      </c>
      <c r="AC125" s="11">
        <f t="shared" ref="AC125:AC153" si="64">E125-D125</f>
        <v>0</v>
      </c>
      <c r="AD125" s="11">
        <f t="shared" ref="AD125:AD153" si="65">F125-E125</f>
        <v>0</v>
      </c>
      <c r="AE125" s="11">
        <f t="shared" ref="AE125:AE153" si="66">G125-F125</f>
        <v>0</v>
      </c>
      <c r="AF125" s="11">
        <f t="shared" ref="AF125:AF153" si="67">H125-G125</f>
        <v>0</v>
      </c>
      <c r="AG125" s="11">
        <f t="shared" ref="AG125:AG153" si="68">I125-H125</f>
        <v>0</v>
      </c>
      <c r="AH125" s="11">
        <f t="shared" ref="AH125:AH153" si="69">J125-I125</f>
        <v>0</v>
      </c>
      <c r="AI125" s="11">
        <f t="shared" ref="AI125:AI153" si="70">K125-J125</f>
        <v>0</v>
      </c>
      <c r="AJ125" s="11">
        <f t="shared" ref="AJ125:AJ153" si="71">L125-K125</f>
        <v>0</v>
      </c>
      <c r="AK125" s="11">
        <f t="shared" ref="AK125:AK153" si="72">M125-L125</f>
        <v>0</v>
      </c>
      <c r="AL125" s="11">
        <f t="shared" ref="AL125:AL153" si="73">N125-M125</f>
        <v>0</v>
      </c>
      <c r="AM125" s="11">
        <f t="shared" ref="AM125:AM153" si="74">O125-N125</f>
        <v>0</v>
      </c>
      <c r="AN125" s="11">
        <f t="shared" ref="AN125:AN153" si="75">P125-O125</f>
        <v>0</v>
      </c>
      <c r="AO125" s="11">
        <f t="shared" ref="AO125:AO153" si="76">Q125-P125</f>
        <v>0</v>
      </c>
      <c r="AP125" s="11">
        <f t="shared" ref="AP125:AP153" si="77">R125-Q125</f>
        <v>0</v>
      </c>
      <c r="AQ125" s="11">
        <f t="shared" ref="AQ125:AQ153" si="78">S125-R125</f>
        <v>0</v>
      </c>
      <c r="AR125" s="11">
        <f t="shared" ref="AR125:AR153" si="79">T125-S125</f>
        <v>0</v>
      </c>
      <c r="AS125" s="11">
        <f t="shared" ref="AS125:AS153" si="80">U125-T125</f>
        <v>0</v>
      </c>
      <c r="AT125" s="11">
        <f t="shared" ref="AT125:AT153" si="81">V125-U125</f>
        <v>0</v>
      </c>
      <c r="AU125" s="11">
        <f t="shared" ref="AU125:AU153" si="82">W125-V125</f>
        <v>0</v>
      </c>
      <c r="AV125" s="11">
        <f t="shared" ref="AV125:AV153" si="83">X125-W125</f>
        <v>0</v>
      </c>
      <c r="AW125" s="11">
        <f t="shared" ref="AW125:AW153" si="84">Y125-X125</f>
        <v>0</v>
      </c>
      <c r="AX125" s="11">
        <f t="shared" si="59"/>
        <v>0</v>
      </c>
      <c r="AY125" s="11">
        <f t="shared" si="60"/>
        <v>0</v>
      </c>
    </row>
    <row r="126" spans="1:51">
      <c r="A126" s="15">
        <v>45051</v>
      </c>
      <c r="B126" s="436">
        <v>8</v>
      </c>
      <c r="C126" s="436">
        <v>8</v>
      </c>
      <c r="D126" s="436">
        <v>8</v>
      </c>
      <c r="E126" s="436">
        <v>8</v>
      </c>
      <c r="F126" s="436">
        <v>8</v>
      </c>
      <c r="G126" s="436">
        <v>8</v>
      </c>
      <c r="H126" s="436">
        <v>7</v>
      </c>
      <c r="I126" s="436">
        <v>7</v>
      </c>
      <c r="J126" s="436">
        <v>8</v>
      </c>
      <c r="K126" s="436">
        <v>8</v>
      </c>
      <c r="L126" s="436">
        <v>8</v>
      </c>
      <c r="M126" s="436">
        <v>8</v>
      </c>
      <c r="N126" s="436">
        <v>8</v>
      </c>
      <c r="O126" s="436">
        <v>8</v>
      </c>
      <c r="P126" s="436">
        <v>8</v>
      </c>
      <c r="Q126" s="436">
        <v>8</v>
      </c>
      <c r="R126" s="436">
        <v>8</v>
      </c>
      <c r="S126" s="436">
        <v>8</v>
      </c>
      <c r="T126" s="436">
        <v>8</v>
      </c>
      <c r="U126" s="436">
        <v>8</v>
      </c>
      <c r="V126" s="436">
        <v>8</v>
      </c>
      <c r="W126" s="436">
        <v>8</v>
      </c>
      <c r="X126" s="436">
        <v>8</v>
      </c>
      <c r="Y126" s="436">
        <v>8</v>
      </c>
      <c r="Z126" s="11">
        <f>B126-Y125</f>
        <v>0</v>
      </c>
      <c r="AA126" s="11">
        <f t="shared" ref="AA126:AJ130" si="85">C126-B126</f>
        <v>0</v>
      </c>
      <c r="AB126" s="11">
        <f t="shared" si="85"/>
        <v>0</v>
      </c>
      <c r="AC126" s="11">
        <f t="shared" si="85"/>
        <v>0</v>
      </c>
      <c r="AD126" s="11">
        <f t="shared" si="85"/>
        <v>0</v>
      </c>
      <c r="AE126" s="11">
        <f t="shared" si="85"/>
        <v>0</v>
      </c>
      <c r="AF126" s="11">
        <f t="shared" si="85"/>
        <v>-1</v>
      </c>
      <c r="AG126" s="11">
        <f t="shared" si="85"/>
        <v>0</v>
      </c>
      <c r="AH126" s="11">
        <f t="shared" si="85"/>
        <v>1</v>
      </c>
      <c r="AI126" s="11">
        <f t="shared" si="85"/>
        <v>0</v>
      </c>
      <c r="AJ126" s="11">
        <f t="shared" si="85"/>
        <v>0</v>
      </c>
      <c r="AK126" s="11">
        <f t="shared" si="72"/>
        <v>0</v>
      </c>
      <c r="AL126" s="11">
        <f t="shared" si="73"/>
        <v>0</v>
      </c>
      <c r="AM126" s="11">
        <f t="shared" si="74"/>
        <v>0</v>
      </c>
      <c r="AN126" s="11">
        <f t="shared" si="75"/>
        <v>0</v>
      </c>
      <c r="AO126" s="11">
        <f t="shared" si="76"/>
        <v>0</v>
      </c>
      <c r="AP126" s="11">
        <f t="shared" si="77"/>
        <v>0</v>
      </c>
      <c r="AQ126" s="11">
        <f t="shared" si="78"/>
        <v>0</v>
      </c>
      <c r="AR126" s="11">
        <f t="shared" si="79"/>
        <v>0</v>
      </c>
      <c r="AS126" s="11">
        <f t="shared" si="80"/>
        <v>0</v>
      </c>
      <c r="AT126" s="11">
        <f t="shared" si="81"/>
        <v>0</v>
      </c>
      <c r="AU126" s="11">
        <f t="shared" si="82"/>
        <v>0</v>
      </c>
      <c r="AV126" s="11">
        <f t="shared" si="83"/>
        <v>0</v>
      </c>
      <c r="AW126" s="11">
        <f t="shared" si="84"/>
        <v>0</v>
      </c>
      <c r="AX126" s="11">
        <f t="shared" si="59"/>
        <v>1</v>
      </c>
      <c r="AY126" s="11">
        <f t="shared" si="60"/>
        <v>1</v>
      </c>
    </row>
    <row r="127" spans="1:51">
      <c r="A127" s="15">
        <v>45052</v>
      </c>
      <c r="B127" s="436">
        <v>8</v>
      </c>
      <c r="C127" s="436">
        <v>8</v>
      </c>
      <c r="D127" s="436">
        <v>8</v>
      </c>
      <c r="E127" s="436">
        <v>8</v>
      </c>
      <c r="F127" s="436">
        <v>8</v>
      </c>
      <c r="G127" s="436">
        <v>8</v>
      </c>
      <c r="H127" s="436">
        <v>8</v>
      </c>
      <c r="I127" s="436">
        <v>8</v>
      </c>
      <c r="J127" s="436">
        <v>8</v>
      </c>
      <c r="K127" s="436">
        <v>8</v>
      </c>
      <c r="L127" s="436">
        <v>8</v>
      </c>
      <c r="M127" s="436">
        <v>8</v>
      </c>
      <c r="N127" s="436">
        <v>8</v>
      </c>
      <c r="O127" s="436">
        <v>8</v>
      </c>
      <c r="P127" s="436">
        <v>8</v>
      </c>
      <c r="Q127" s="436">
        <v>8</v>
      </c>
      <c r="R127" s="436">
        <v>8</v>
      </c>
      <c r="S127" s="436">
        <v>8</v>
      </c>
      <c r="T127" s="436">
        <v>8</v>
      </c>
      <c r="U127" s="436">
        <v>8</v>
      </c>
      <c r="V127" s="436">
        <v>8</v>
      </c>
      <c r="W127" s="436">
        <v>8</v>
      </c>
      <c r="X127" s="436">
        <v>8</v>
      </c>
      <c r="Y127" s="436">
        <v>8</v>
      </c>
      <c r="Z127" s="11">
        <f>B127-Y126</f>
        <v>0</v>
      </c>
      <c r="AA127" s="11">
        <f t="shared" si="85"/>
        <v>0</v>
      </c>
      <c r="AB127" s="11">
        <f t="shared" si="85"/>
        <v>0</v>
      </c>
      <c r="AC127" s="11">
        <f t="shared" si="85"/>
        <v>0</v>
      </c>
      <c r="AD127" s="11">
        <f t="shared" si="85"/>
        <v>0</v>
      </c>
      <c r="AE127" s="11">
        <f t="shared" si="85"/>
        <v>0</v>
      </c>
      <c r="AF127" s="11">
        <f t="shared" si="85"/>
        <v>0</v>
      </c>
      <c r="AG127" s="11">
        <f t="shared" si="85"/>
        <v>0</v>
      </c>
      <c r="AH127" s="11">
        <f t="shared" si="85"/>
        <v>0</v>
      </c>
      <c r="AI127" s="11">
        <f t="shared" si="85"/>
        <v>0</v>
      </c>
      <c r="AJ127" s="11">
        <f t="shared" si="85"/>
        <v>0</v>
      </c>
      <c r="AK127" s="11">
        <f t="shared" si="72"/>
        <v>0</v>
      </c>
      <c r="AL127" s="11">
        <f t="shared" si="73"/>
        <v>0</v>
      </c>
      <c r="AM127" s="11">
        <f t="shared" si="74"/>
        <v>0</v>
      </c>
      <c r="AN127" s="11">
        <f t="shared" si="75"/>
        <v>0</v>
      </c>
      <c r="AO127" s="11">
        <f t="shared" si="76"/>
        <v>0</v>
      </c>
      <c r="AP127" s="11">
        <f t="shared" si="77"/>
        <v>0</v>
      </c>
      <c r="AQ127" s="11">
        <f t="shared" si="78"/>
        <v>0</v>
      </c>
      <c r="AR127" s="11">
        <f t="shared" si="79"/>
        <v>0</v>
      </c>
      <c r="AS127" s="11">
        <f t="shared" si="80"/>
        <v>0</v>
      </c>
      <c r="AT127" s="11">
        <f t="shared" si="81"/>
        <v>0</v>
      </c>
      <c r="AU127" s="11">
        <f t="shared" si="82"/>
        <v>0</v>
      </c>
      <c r="AV127" s="11">
        <f t="shared" si="83"/>
        <v>0</v>
      </c>
      <c r="AW127" s="11">
        <f t="shared" si="84"/>
        <v>0</v>
      </c>
      <c r="AX127" s="11">
        <f t="shared" si="59"/>
        <v>0</v>
      </c>
      <c r="AY127" s="11">
        <f t="shared" si="60"/>
        <v>0</v>
      </c>
    </row>
    <row r="128" spans="1:51">
      <c r="A128" s="15">
        <v>45053</v>
      </c>
      <c r="B128" s="436">
        <v>8</v>
      </c>
      <c r="C128" s="436">
        <v>8</v>
      </c>
      <c r="D128" s="436">
        <v>8</v>
      </c>
      <c r="E128" s="436">
        <v>8</v>
      </c>
      <c r="F128" s="436">
        <v>8</v>
      </c>
      <c r="G128" s="436">
        <v>8</v>
      </c>
      <c r="H128" s="436">
        <v>8</v>
      </c>
      <c r="I128" s="436">
        <v>7</v>
      </c>
      <c r="J128" s="436">
        <v>7</v>
      </c>
      <c r="K128" s="436">
        <v>8</v>
      </c>
      <c r="L128" s="436">
        <v>8</v>
      </c>
      <c r="M128" s="436">
        <v>8</v>
      </c>
      <c r="N128" s="436">
        <v>8</v>
      </c>
      <c r="O128" s="436">
        <v>8</v>
      </c>
      <c r="P128" s="436">
        <v>8</v>
      </c>
      <c r="Q128" s="436">
        <v>8</v>
      </c>
      <c r="R128" s="436">
        <v>8</v>
      </c>
      <c r="S128" s="436">
        <v>8</v>
      </c>
      <c r="T128" s="436">
        <v>8</v>
      </c>
      <c r="U128" s="436">
        <v>8</v>
      </c>
      <c r="V128" s="436">
        <v>8</v>
      </c>
      <c r="W128" s="436">
        <v>8</v>
      </c>
      <c r="X128" s="436">
        <v>8</v>
      </c>
      <c r="Y128" s="436">
        <v>8</v>
      </c>
      <c r="Z128" s="11">
        <f>B128-Y127</f>
        <v>0</v>
      </c>
      <c r="AA128" s="11">
        <f t="shared" si="85"/>
        <v>0</v>
      </c>
      <c r="AB128" s="11">
        <f t="shared" si="85"/>
        <v>0</v>
      </c>
      <c r="AC128" s="11">
        <f t="shared" si="85"/>
        <v>0</v>
      </c>
      <c r="AD128" s="11">
        <f t="shared" si="85"/>
        <v>0</v>
      </c>
      <c r="AE128" s="11">
        <f t="shared" si="85"/>
        <v>0</v>
      </c>
      <c r="AF128" s="11">
        <f t="shared" si="85"/>
        <v>0</v>
      </c>
      <c r="AG128" s="11">
        <f t="shared" si="85"/>
        <v>-1</v>
      </c>
      <c r="AH128" s="11">
        <f t="shared" si="85"/>
        <v>0</v>
      </c>
      <c r="AI128" s="11">
        <f t="shared" si="85"/>
        <v>1</v>
      </c>
      <c r="AJ128" s="11">
        <f t="shared" si="85"/>
        <v>0</v>
      </c>
      <c r="AK128" s="11">
        <f t="shared" si="72"/>
        <v>0</v>
      </c>
      <c r="AL128" s="11">
        <f t="shared" si="73"/>
        <v>0</v>
      </c>
      <c r="AM128" s="11">
        <f t="shared" si="74"/>
        <v>0</v>
      </c>
      <c r="AN128" s="11">
        <f t="shared" si="75"/>
        <v>0</v>
      </c>
      <c r="AO128" s="11">
        <f t="shared" si="76"/>
        <v>0</v>
      </c>
      <c r="AP128" s="11">
        <f t="shared" si="77"/>
        <v>0</v>
      </c>
      <c r="AQ128" s="11">
        <f t="shared" si="78"/>
        <v>0</v>
      </c>
      <c r="AR128" s="11">
        <f t="shared" si="79"/>
        <v>0</v>
      </c>
      <c r="AS128" s="11">
        <f t="shared" si="80"/>
        <v>0</v>
      </c>
      <c r="AT128" s="11">
        <f t="shared" si="81"/>
        <v>0</v>
      </c>
      <c r="AU128" s="11">
        <f t="shared" si="82"/>
        <v>0</v>
      </c>
      <c r="AV128" s="11">
        <f t="shared" si="83"/>
        <v>0</v>
      </c>
      <c r="AW128" s="11">
        <f t="shared" si="84"/>
        <v>0</v>
      </c>
      <c r="AX128" s="11">
        <f t="shared" si="59"/>
        <v>1</v>
      </c>
      <c r="AY128" s="11">
        <f t="shared" si="60"/>
        <v>1</v>
      </c>
    </row>
    <row r="129" spans="1:51">
      <c r="A129" s="15">
        <v>45054</v>
      </c>
      <c r="B129" s="436">
        <v>8</v>
      </c>
      <c r="C129" s="436">
        <v>7</v>
      </c>
      <c r="D129" s="436">
        <v>7</v>
      </c>
      <c r="E129" s="436">
        <v>8</v>
      </c>
      <c r="F129" s="436">
        <v>8</v>
      </c>
      <c r="G129" s="436">
        <v>8</v>
      </c>
      <c r="H129" s="436">
        <v>7</v>
      </c>
      <c r="I129" s="436">
        <v>7</v>
      </c>
      <c r="J129" s="436">
        <v>7</v>
      </c>
      <c r="K129" s="436">
        <v>7</v>
      </c>
      <c r="L129" s="436">
        <v>7</v>
      </c>
      <c r="M129" s="436">
        <v>7</v>
      </c>
      <c r="N129" s="436">
        <v>7</v>
      </c>
      <c r="O129" s="436">
        <v>7</v>
      </c>
      <c r="P129" s="436">
        <v>7</v>
      </c>
      <c r="Q129" s="436">
        <v>7</v>
      </c>
      <c r="R129" s="436">
        <v>7</v>
      </c>
      <c r="S129" s="436">
        <v>7</v>
      </c>
      <c r="T129" s="436">
        <v>7</v>
      </c>
      <c r="U129" s="436">
        <v>7</v>
      </c>
      <c r="V129" s="436">
        <v>7</v>
      </c>
      <c r="W129" s="436">
        <v>7</v>
      </c>
      <c r="X129" s="436">
        <v>7</v>
      </c>
      <c r="Y129" s="436">
        <v>7</v>
      </c>
      <c r="Z129" s="11">
        <f>B129-Y128</f>
        <v>0</v>
      </c>
      <c r="AA129" s="11">
        <f t="shared" si="85"/>
        <v>-1</v>
      </c>
      <c r="AB129" s="11">
        <f t="shared" si="85"/>
        <v>0</v>
      </c>
      <c r="AC129" s="11">
        <f t="shared" si="85"/>
        <v>1</v>
      </c>
      <c r="AD129" s="11">
        <f t="shared" si="85"/>
        <v>0</v>
      </c>
      <c r="AE129" s="11">
        <f t="shared" si="85"/>
        <v>0</v>
      </c>
      <c r="AF129" s="11">
        <f t="shared" si="85"/>
        <v>-1</v>
      </c>
      <c r="AG129" s="11">
        <f t="shared" si="85"/>
        <v>0</v>
      </c>
      <c r="AH129" s="11">
        <f t="shared" si="85"/>
        <v>0</v>
      </c>
      <c r="AI129" s="11">
        <f t="shared" si="85"/>
        <v>0</v>
      </c>
      <c r="AJ129" s="11">
        <f t="shared" si="85"/>
        <v>0</v>
      </c>
      <c r="AK129" s="11">
        <f t="shared" si="72"/>
        <v>0</v>
      </c>
      <c r="AL129" s="11">
        <f t="shared" si="73"/>
        <v>0</v>
      </c>
      <c r="AM129" s="11">
        <f t="shared" si="74"/>
        <v>0</v>
      </c>
      <c r="AN129" s="11">
        <f t="shared" si="75"/>
        <v>0</v>
      </c>
      <c r="AO129" s="11">
        <f t="shared" si="76"/>
        <v>0</v>
      </c>
      <c r="AP129" s="11">
        <f t="shared" si="77"/>
        <v>0</v>
      </c>
      <c r="AQ129" s="11">
        <f t="shared" si="78"/>
        <v>0</v>
      </c>
      <c r="AR129" s="11">
        <f t="shared" si="79"/>
        <v>0</v>
      </c>
      <c r="AS129" s="11">
        <f t="shared" si="80"/>
        <v>0</v>
      </c>
      <c r="AT129" s="11">
        <f t="shared" si="81"/>
        <v>0</v>
      </c>
      <c r="AU129" s="11">
        <f t="shared" si="82"/>
        <v>0</v>
      </c>
      <c r="AV129" s="11">
        <f t="shared" si="83"/>
        <v>0</v>
      </c>
      <c r="AW129" s="11">
        <f t="shared" si="84"/>
        <v>0</v>
      </c>
      <c r="AX129" s="11">
        <f t="shared" si="59"/>
        <v>1</v>
      </c>
      <c r="AY129" s="11">
        <f t="shared" si="60"/>
        <v>2</v>
      </c>
    </row>
    <row r="130" spans="1:51">
      <c r="A130" s="15">
        <v>45055</v>
      </c>
      <c r="B130" s="436">
        <v>7</v>
      </c>
      <c r="C130" s="436">
        <v>7</v>
      </c>
      <c r="D130" s="436">
        <v>7</v>
      </c>
      <c r="E130" s="436">
        <v>7</v>
      </c>
      <c r="F130" s="436">
        <v>7</v>
      </c>
      <c r="G130" s="436">
        <v>7</v>
      </c>
      <c r="H130" s="436">
        <v>7</v>
      </c>
      <c r="I130" s="436">
        <v>7</v>
      </c>
      <c r="J130" s="436">
        <v>6</v>
      </c>
      <c r="K130" s="436">
        <v>6</v>
      </c>
      <c r="L130" s="436">
        <v>6</v>
      </c>
      <c r="M130" s="436">
        <v>7</v>
      </c>
      <c r="N130" s="436">
        <v>7</v>
      </c>
      <c r="O130" s="436">
        <v>7</v>
      </c>
      <c r="P130" s="436">
        <v>7</v>
      </c>
      <c r="Q130" s="436">
        <v>7</v>
      </c>
      <c r="R130" s="436">
        <v>7</v>
      </c>
      <c r="S130" s="436">
        <v>7</v>
      </c>
      <c r="T130" s="436">
        <v>8</v>
      </c>
      <c r="U130" s="436">
        <v>7</v>
      </c>
      <c r="V130" s="436">
        <v>7</v>
      </c>
      <c r="W130" s="436">
        <v>7</v>
      </c>
      <c r="X130" s="436">
        <v>7</v>
      </c>
      <c r="Y130" s="436">
        <v>7</v>
      </c>
      <c r="Z130" s="11">
        <f>B130-Y129</f>
        <v>0</v>
      </c>
      <c r="AA130" s="11">
        <f t="shared" si="85"/>
        <v>0</v>
      </c>
      <c r="AB130" s="11">
        <f t="shared" si="85"/>
        <v>0</v>
      </c>
      <c r="AC130" s="11">
        <f t="shared" si="85"/>
        <v>0</v>
      </c>
      <c r="AD130" s="11">
        <f t="shared" si="85"/>
        <v>0</v>
      </c>
      <c r="AE130" s="11">
        <f t="shared" si="85"/>
        <v>0</v>
      </c>
      <c r="AF130" s="11">
        <f t="shared" si="85"/>
        <v>0</v>
      </c>
      <c r="AG130" s="11">
        <f t="shared" si="85"/>
        <v>0</v>
      </c>
      <c r="AH130" s="11">
        <f t="shared" si="85"/>
        <v>-1</v>
      </c>
      <c r="AI130" s="11">
        <f t="shared" si="85"/>
        <v>0</v>
      </c>
      <c r="AJ130" s="11">
        <f t="shared" si="85"/>
        <v>0</v>
      </c>
      <c r="AK130" s="11">
        <f t="shared" si="72"/>
        <v>1</v>
      </c>
      <c r="AL130" s="11">
        <f t="shared" si="73"/>
        <v>0</v>
      </c>
      <c r="AM130" s="11">
        <f t="shared" si="74"/>
        <v>0</v>
      </c>
      <c r="AN130" s="11">
        <f t="shared" si="75"/>
        <v>0</v>
      </c>
      <c r="AO130" s="11">
        <f t="shared" si="76"/>
        <v>0</v>
      </c>
      <c r="AP130" s="11">
        <f t="shared" si="77"/>
        <v>0</v>
      </c>
      <c r="AQ130" s="11">
        <f t="shared" si="78"/>
        <v>0</v>
      </c>
      <c r="AR130" s="11">
        <f t="shared" si="79"/>
        <v>1</v>
      </c>
      <c r="AS130" s="11">
        <f t="shared" si="80"/>
        <v>-1</v>
      </c>
      <c r="AT130" s="11">
        <f t="shared" si="81"/>
        <v>0</v>
      </c>
      <c r="AU130" s="11">
        <f t="shared" si="82"/>
        <v>0</v>
      </c>
      <c r="AV130" s="11">
        <f t="shared" si="83"/>
        <v>0</v>
      </c>
      <c r="AW130" s="11">
        <f t="shared" si="84"/>
        <v>0</v>
      </c>
      <c r="AX130" s="11">
        <f t="shared" si="59"/>
        <v>2</v>
      </c>
      <c r="AY130" s="11">
        <f t="shared" si="60"/>
        <v>2</v>
      </c>
    </row>
    <row r="131" spans="1:51">
      <c r="A131" s="15">
        <v>45056</v>
      </c>
      <c r="B131" s="436">
        <v>8</v>
      </c>
      <c r="C131" s="436">
        <v>8</v>
      </c>
      <c r="D131" s="436">
        <v>8</v>
      </c>
      <c r="E131" s="436">
        <v>8</v>
      </c>
      <c r="F131" s="436">
        <v>8</v>
      </c>
      <c r="G131" s="436">
        <v>8</v>
      </c>
      <c r="H131" s="436">
        <v>7</v>
      </c>
      <c r="I131" s="436">
        <v>7</v>
      </c>
      <c r="J131" s="436">
        <v>8</v>
      </c>
      <c r="K131" s="436">
        <v>8</v>
      </c>
      <c r="L131" s="436">
        <v>8</v>
      </c>
      <c r="M131" s="436">
        <v>8</v>
      </c>
      <c r="N131" s="436">
        <v>8</v>
      </c>
      <c r="O131" s="436">
        <v>8</v>
      </c>
      <c r="P131" s="436">
        <v>8</v>
      </c>
      <c r="Q131" s="436">
        <v>8</v>
      </c>
      <c r="R131" s="436">
        <v>8</v>
      </c>
      <c r="S131" s="436">
        <v>8</v>
      </c>
      <c r="T131" s="436">
        <v>8</v>
      </c>
      <c r="U131" s="436">
        <v>8</v>
      </c>
      <c r="V131" s="436">
        <v>8</v>
      </c>
      <c r="W131" s="436">
        <v>8</v>
      </c>
      <c r="X131" s="436">
        <v>8</v>
      </c>
      <c r="Y131" s="436">
        <v>8</v>
      </c>
      <c r="Z131" s="11">
        <f t="shared" si="61"/>
        <v>1</v>
      </c>
      <c r="AA131" s="11">
        <f t="shared" si="62"/>
        <v>0</v>
      </c>
      <c r="AB131" s="11">
        <f t="shared" si="63"/>
        <v>0</v>
      </c>
      <c r="AC131" s="11">
        <f t="shared" si="64"/>
        <v>0</v>
      </c>
      <c r="AD131" s="11">
        <f t="shared" si="65"/>
        <v>0</v>
      </c>
      <c r="AE131" s="11">
        <f t="shared" si="66"/>
        <v>0</v>
      </c>
      <c r="AF131" s="11">
        <f t="shared" si="67"/>
        <v>-1</v>
      </c>
      <c r="AG131" s="11">
        <f t="shared" si="68"/>
        <v>0</v>
      </c>
      <c r="AH131" s="11">
        <f t="shared" si="69"/>
        <v>1</v>
      </c>
      <c r="AI131" s="11">
        <f t="shared" si="70"/>
        <v>0</v>
      </c>
      <c r="AJ131" s="11">
        <f t="shared" si="71"/>
        <v>0</v>
      </c>
      <c r="AK131" s="11">
        <f t="shared" si="72"/>
        <v>0</v>
      </c>
      <c r="AL131" s="11">
        <f t="shared" si="73"/>
        <v>0</v>
      </c>
      <c r="AM131" s="11">
        <f t="shared" si="74"/>
        <v>0</v>
      </c>
      <c r="AN131" s="11">
        <f t="shared" si="75"/>
        <v>0</v>
      </c>
      <c r="AO131" s="11">
        <f t="shared" si="76"/>
        <v>0</v>
      </c>
      <c r="AP131" s="11">
        <f t="shared" si="77"/>
        <v>0</v>
      </c>
      <c r="AQ131" s="11">
        <f t="shared" si="78"/>
        <v>0</v>
      </c>
      <c r="AR131" s="11">
        <f t="shared" si="79"/>
        <v>0</v>
      </c>
      <c r="AS131" s="11">
        <f t="shared" si="80"/>
        <v>0</v>
      </c>
      <c r="AT131" s="11">
        <f t="shared" si="81"/>
        <v>0</v>
      </c>
      <c r="AU131" s="11">
        <f t="shared" si="82"/>
        <v>0</v>
      </c>
      <c r="AV131" s="11">
        <f t="shared" si="83"/>
        <v>0</v>
      </c>
      <c r="AW131" s="11">
        <f t="shared" si="84"/>
        <v>0</v>
      </c>
      <c r="AX131" s="11">
        <f t="shared" si="59"/>
        <v>2</v>
      </c>
      <c r="AY131" s="11">
        <f t="shared" si="60"/>
        <v>1</v>
      </c>
    </row>
    <row r="132" spans="1:51">
      <c r="A132" s="15">
        <v>45057</v>
      </c>
      <c r="B132" s="436">
        <v>8</v>
      </c>
      <c r="C132" s="436">
        <v>7</v>
      </c>
      <c r="D132" s="436">
        <v>7</v>
      </c>
      <c r="E132" s="436">
        <v>8</v>
      </c>
      <c r="F132" s="436">
        <v>8</v>
      </c>
      <c r="G132" s="436">
        <v>8</v>
      </c>
      <c r="H132" s="436">
        <v>7</v>
      </c>
      <c r="I132" s="436">
        <v>7</v>
      </c>
      <c r="J132" s="436">
        <v>8</v>
      </c>
      <c r="K132" s="436">
        <v>8</v>
      </c>
      <c r="L132" s="436">
        <v>8</v>
      </c>
      <c r="M132" s="436">
        <v>8</v>
      </c>
      <c r="N132" s="436">
        <v>8</v>
      </c>
      <c r="O132" s="436">
        <v>8</v>
      </c>
      <c r="P132" s="436">
        <v>8</v>
      </c>
      <c r="Q132" s="436">
        <v>8</v>
      </c>
      <c r="R132" s="436">
        <v>8</v>
      </c>
      <c r="S132" s="436">
        <v>8</v>
      </c>
      <c r="T132" s="436">
        <v>8</v>
      </c>
      <c r="U132" s="436">
        <v>8</v>
      </c>
      <c r="V132" s="436">
        <v>8</v>
      </c>
      <c r="W132" s="436">
        <v>8</v>
      </c>
      <c r="X132" s="436">
        <v>8</v>
      </c>
      <c r="Y132" s="436">
        <v>8</v>
      </c>
      <c r="Z132" s="11">
        <f t="shared" si="61"/>
        <v>0</v>
      </c>
      <c r="AA132" s="11">
        <f t="shared" si="62"/>
        <v>-1</v>
      </c>
      <c r="AB132" s="11">
        <f t="shared" si="63"/>
        <v>0</v>
      </c>
      <c r="AC132" s="11">
        <f t="shared" si="64"/>
        <v>1</v>
      </c>
      <c r="AD132" s="11">
        <f t="shared" si="65"/>
        <v>0</v>
      </c>
      <c r="AE132" s="11">
        <f t="shared" si="66"/>
        <v>0</v>
      </c>
      <c r="AF132" s="11">
        <f t="shared" si="67"/>
        <v>-1</v>
      </c>
      <c r="AG132" s="11">
        <f t="shared" si="68"/>
        <v>0</v>
      </c>
      <c r="AH132" s="11">
        <f t="shared" si="69"/>
        <v>1</v>
      </c>
      <c r="AI132" s="11">
        <f t="shared" si="70"/>
        <v>0</v>
      </c>
      <c r="AJ132" s="11">
        <f t="shared" si="71"/>
        <v>0</v>
      </c>
      <c r="AK132" s="11">
        <f t="shared" si="72"/>
        <v>0</v>
      </c>
      <c r="AL132" s="11">
        <f t="shared" si="73"/>
        <v>0</v>
      </c>
      <c r="AM132" s="11">
        <f t="shared" si="74"/>
        <v>0</v>
      </c>
      <c r="AN132" s="11">
        <f t="shared" si="75"/>
        <v>0</v>
      </c>
      <c r="AO132" s="11">
        <f t="shared" si="76"/>
        <v>0</v>
      </c>
      <c r="AP132" s="11">
        <f t="shared" si="77"/>
        <v>0</v>
      </c>
      <c r="AQ132" s="11">
        <f t="shared" si="78"/>
        <v>0</v>
      </c>
      <c r="AR132" s="11">
        <f t="shared" si="79"/>
        <v>0</v>
      </c>
      <c r="AS132" s="11">
        <f t="shared" si="80"/>
        <v>0</v>
      </c>
      <c r="AT132" s="11">
        <f t="shared" si="81"/>
        <v>0</v>
      </c>
      <c r="AU132" s="11">
        <f t="shared" si="82"/>
        <v>0</v>
      </c>
      <c r="AV132" s="11">
        <f t="shared" si="83"/>
        <v>0</v>
      </c>
      <c r="AW132" s="11">
        <f t="shared" si="84"/>
        <v>0</v>
      </c>
      <c r="AX132" s="11">
        <f t="shared" si="59"/>
        <v>2</v>
      </c>
      <c r="AY132" s="11">
        <f t="shared" si="60"/>
        <v>2</v>
      </c>
    </row>
    <row r="133" spans="1:51">
      <c r="A133" s="15">
        <v>45058</v>
      </c>
      <c r="B133" s="436">
        <v>7</v>
      </c>
      <c r="C133" s="436">
        <v>7</v>
      </c>
      <c r="D133" s="436">
        <v>7</v>
      </c>
      <c r="E133" s="436">
        <v>7</v>
      </c>
      <c r="F133" s="436">
        <v>7</v>
      </c>
      <c r="G133" s="436">
        <v>7</v>
      </c>
      <c r="H133" s="436">
        <v>7</v>
      </c>
      <c r="I133" s="436">
        <v>8</v>
      </c>
      <c r="J133" s="436">
        <v>8</v>
      </c>
      <c r="K133" s="436">
        <v>8</v>
      </c>
      <c r="L133" s="436">
        <v>8</v>
      </c>
      <c r="M133" s="436">
        <v>8</v>
      </c>
      <c r="N133" s="436">
        <v>8</v>
      </c>
      <c r="O133" s="436">
        <v>8</v>
      </c>
      <c r="P133" s="436">
        <v>8</v>
      </c>
      <c r="Q133" s="436">
        <v>8</v>
      </c>
      <c r="R133" s="436">
        <v>8</v>
      </c>
      <c r="S133" s="436">
        <v>8</v>
      </c>
      <c r="T133" s="436">
        <v>8</v>
      </c>
      <c r="U133" s="436">
        <v>8</v>
      </c>
      <c r="V133" s="436">
        <v>8</v>
      </c>
      <c r="W133" s="436">
        <v>8</v>
      </c>
      <c r="X133" s="436">
        <v>8</v>
      </c>
      <c r="Y133" s="436">
        <v>8</v>
      </c>
      <c r="Z133" s="11">
        <f t="shared" si="61"/>
        <v>-1</v>
      </c>
      <c r="AA133" s="11">
        <f t="shared" si="62"/>
        <v>0</v>
      </c>
      <c r="AB133" s="11">
        <f t="shared" si="63"/>
        <v>0</v>
      </c>
      <c r="AC133" s="11">
        <f t="shared" si="64"/>
        <v>0</v>
      </c>
      <c r="AD133" s="11">
        <f t="shared" si="65"/>
        <v>0</v>
      </c>
      <c r="AE133" s="11">
        <f t="shared" si="66"/>
        <v>0</v>
      </c>
      <c r="AF133" s="11">
        <f t="shared" si="67"/>
        <v>0</v>
      </c>
      <c r="AG133" s="11">
        <f t="shared" si="68"/>
        <v>1</v>
      </c>
      <c r="AH133" s="11">
        <f t="shared" si="69"/>
        <v>0</v>
      </c>
      <c r="AI133" s="11">
        <f t="shared" si="70"/>
        <v>0</v>
      </c>
      <c r="AJ133" s="11">
        <f t="shared" si="71"/>
        <v>0</v>
      </c>
      <c r="AK133" s="11">
        <f t="shared" si="72"/>
        <v>0</v>
      </c>
      <c r="AL133" s="11">
        <f t="shared" si="73"/>
        <v>0</v>
      </c>
      <c r="AM133" s="11">
        <f t="shared" si="74"/>
        <v>0</v>
      </c>
      <c r="AN133" s="11">
        <f t="shared" si="75"/>
        <v>0</v>
      </c>
      <c r="AO133" s="11">
        <f t="shared" si="76"/>
        <v>0</v>
      </c>
      <c r="AP133" s="11">
        <f t="shared" si="77"/>
        <v>0</v>
      </c>
      <c r="AQ133" s="11">
        <f t="shared" si="78"/>
        <v>0</v>
      </c>
      <c r="AR133" s="11">
        <f t="shared" si="79"/>
        <v>0</v>
      </c>
      <c r="AS133" s="11">
        <f t="shared" si="80"/>
        <v>0</v>
      </c>
      <c r="AT133" s="11">
        <f t="shared" si="81"/>
        <v>0</v>
      </c>
      <c r="AU133" s="11">
        <f t="shared" si="82"/>
        <v>0</v>
      </c>
      <c r="AV133" s="11">
        <f t="shared" si="83"/>
        <v>0</v>
      </c>
      <c r="AW133" s="11">
        <f t="shared" si="84"/>
        <v>0</v>
      </c>
      <c r="AX133" s="11">
        <f t="shared" si="59"/>
        <v>1</v>
      </c>
      <c r="AY133" s="11">
        <f t="shared" si="60"/>
        <v>1</v>
      </c>
    </row>
    <row r="134" spans="1:51">
      <c r="A134" s="15">
        <v>45059</v>
      </c>
      <c r="B134" s="436">
        <v>8</v>
      </c>
      <c r="C134" s="436">
        <v>8</v>
      </c>
      <c r="D134" s="436">
        <v>8</v>
      </c>
      <c r="E134" s="436">
        <v>8</v>
      </c>
      <c r="F134" s="436">
        <v>8</v>
      </c>
      <c r="G134" s="436">
        <v>8</v>
      </c>
      <c r="H134" s="436">
        <v>8</v>
      </c>
      <c r="I134" s="436">
        <v>8</v>
      </c>
      <c r="J134" s="436">
        <v>8</v>
      </c>
      <c r="K134" s="436">
        <v>8</v>
      </c>
      <c r="L134" s="436">
        <v>8</v>
      </c>
      <c r="M134" s="436">
        <v>8</v>
      </c>
      <c r="N134" s="436">
        <v>8</v>
      </c>
      <c r="O134" s="436">
        <v>8</v>
      </c>
      <c r="P134" s="436">
        <v>8</v>
      </c>
      <c r="Q134" s="436">
        <v>8</v>
      </c>
      <c r="R134" s="436">
        <v>8</v>
      </c>
      <c r="S134" s="436">
        <v>8</v>
      </c>
      <c r="T134" s="436">
        <v>8</v>
      </c>
      <c r="U134" s="436">
        <v>8</v>
      </c>
      <c r="V134" s="436">
        <v>8</v>
      </c>
      <c r="W134" s="436">
        <v>8</v>
      </c>
      <c r="X134" s="436">
        <v>8</v>
      </c>
      <c r="Y134" s="436">
        <v>8</v>
      </c>
      <c r="Z134" s="11">
        <f t="shared" si="61"/>
        <v>0</v>
      </c>
      <c r="AA134" s="11">
        <f t="shared" si="62"/>
        <v>0</v>
      </c>
      <c r="AB134" s="11">
        <f t="shared" si="63"/>
        <v>0</v>
      </c>
      <c r="AC134" s="11">
        <f t="shared" si="64"/>
        <v>0</v>
      </c>
      <c r="AD134" s="11">
        <f t="shared" si="65"/>
        <v>0</v>
      </c>
      <c r="AE134" s="11">
        <f t="shared" si="66"/>
        <v>0</v>
      </c>
      <c r="AF134" s="11">
        <f t="shared" si="67"/>
        <v>0</v>
      </c>
      <c r="AG134" s="11">
        <f t="shared" si="68"/>
        <v>0</v>
      </c>
      <c r="AH134" s="11">
        <f t="shared" si="69"/>
        <v>0</v>
      </c>
      <c r="AI134" s="11">
        <f t="shared" si="70"/>
        <v>0</v>
      </c>
      <c r="AJ134" s="11">
        <f t="shared" si="71"/>
        <v>0</v>
      </c>
      <c r="AK134" s="11">
        <f t="shared" si="72"/>
        <v>0</v>
      </c>
      <c r="AL134" s="11">
        <f t="shared" si="73"/>
        <v>0</v>
      </c>
      <c r="AM134" s="11">
        <f t="shared" si="74"/>
        <v>0</v>
      </c>
      <c r="AN134" s="11">
        <f t="shared" si="75"/>
        <v>0</v>
      </c>
      <c r="AO134" s="11">
        <f t="shared" si="76"/>
        <v>0</v>
      </c>
      <c r="AP134" s="11">
        <f t="shared" si="77"/>
        <v>0</v>
      </c>
      <c r="AQ134" s="11">
        <f t="shared" si="78"/>
        <v>0</v>
      </c>
      <c r="AR134" s="11">
        <f t="shared" si="79"/>
        <v>0</v>
      </c>
      <c r="AS134" s="11">
        <f t="shared" si="80"/>
        <v>0</v>
      </c>
      <c r="AT134" s="11">
        <f t="shared" si="81"/>
        <v>0</v>
      </c>
      <c r="AU134" s="11">
        <f t="shared" si="82"/>
        <v>0</v>
      </c>
      <c r="AV134" s="11">
        <f t="shared" si="83"/>
        <v>0</v>
      </c>
      <c r="AW134" s="11">
        <f t="shared" si="84"/>
        <v>0</v>
      </c>
      <c r="AX134" s="11">
        <f t="shared" si="59"/>
        <v>0</v>
      </c>
      <c r="AY134" s="11">
        <f t="shared" si="60"/>
        <v>0</v>
      </c>
    </row>
    <row r="135" spans="1:51">
      <c r="A135" s="15">
        <v>45060</v>
      </c>
      <c r="B135" s="436">
        <v>7</v>
      </c>
      <c r="C135" s="436">
        <v>7</v>
      </c>
      <c r="D135" s="436">
        <v>7</v>
      </c>
      <c r="E135" s="436">
        <v>7</v>
      </c>
      <c r="F135" s="436">
        <v>7</v>
      </c>
      <c r="G135" s="436">
        <v>7</v>
      </c>
      <c r="H135" s="436">
        <v>7</v>
      </c>
      <c r="I135" s="436">
        <v>7</v>
      </c>
      <c r="J135" s="436">
        <v>7</v>
      </c>
      <c r="K135" s="436">
        <v>7</v>
      </c>
      <c r="L135" s="436">
        <v>7</v>
      </c>
      <c r="M135" s="436">
        <v>7</v>
      </c>
      <c r="N135" s="436">
        <v>7</v>
      </c>
      <c r="O135" s="436">
        <v>7</v>
      </c>
      <c r="P135" s="436">
        <v>7</v>
      </c>
      <c r="Q135" s="436">
        <v>7</v>
      </c>
      <c r="R135" s="436">
        <v>7</v>
      </c>
      <c r="S135" s="436">
        <v>7</v>
      </c>
      <c r="T135" s="436">
        <v>7</v>
      </c>
      <c r="U135" s="436">
        <v>7</v>
      </c>
      <c r="V135" s="436">
        <v>7</v>
      </c>
      <c r="W135" s="436">
        <v>7</v>
      </c>
      <c r="X135" s="436">
        <v>7</v>
      </c>
      <c r="Y135" s="436">
        <v>7</v>
      </c>
      <c r="Z135" s="11">
        <f t="shared" si="61"/>
        <v>-1</v>
      </c>
      <c r="AA135" s="11">
        <f t="shared" si="62"/>
        <v>0</v>
      </c>
      <c r="AB135" s="11">
        <f t="shared" si="63"/>
        <v>0</v>
      </c>
      <c r="AC135" s="11">
        <f t="shared" si="64"/>
        <v>0</v>
      </c>
      <c r="AD135" s="11">
        <f t="shared" si="65"/>
        <v>0</v>
      </c>
      <c r="AE135" s="11">
        <f t="shared" si="66"/>
        <v>0</v>
      </c>
      <c r="AF135" s="11">
        <f t="shared" si="67"/>
        <v>0</v>
      </c>
      <c r="AG135" s="11">
        <f t="shared" si="68"/>
        <v>0</v>
      </c>
      <c r="AH135" s="11">
        <f t="shared" si="69"/>
        <v>0</v>
      </c>
      <c r="AI135" s="11">
        <f t="shared" si="70"/>
        <v>0</v>
      </c>
      <c r="AJ135" s="11">
        <f t="shared" si="71"/>
        <v>0</v>
      </c>
      <c r="AK135" s="11">
        <f t="shared" si="72"/>
        <v>0</v>
      </c>
      <c r="AL135" s="11">
        <f t="shared" si="73"/>
        <v>0</v>
      </c>
      <c r="AM135" s="11">
        <f t="shared" si="74"/>
        <v>0</v>
      </c>
      <c r="AN135" s="11">
        <f t="shared" si="75"/>
        <v>0</v>
      </c>
      <c r="AO135" s="11">
        <f t="shared" si="76"/>
        <v>0</v>
      </c>
      <c r="AP135" s="11">
        <f t="shared" si="77"/>
        <v>0</v>
      </c>
      <c r="AQ135" s="11">
        <f t="shared" si="78"/>
        <v>0</v>
      </c>
      <c r="AR135" s="11">
        <f t="shared" si="79"/>
        <v>0</v>
      </c>
      <c r="AS135" s="11">
        <f t="shared" si="80"/>
        <v>0</v>
      </c>
      <c r="AT135" s="11">
        <f t="shared" si="81"/>
        <v>0</v>
      </c>
      <c r="AU135" s="11">
        <f t="shared" si="82"/>
        <v>0</v>
      </c>
      <c r="AV135" s="11">
        <f t="shared" si="83"/>
        <v>0</v>
      </c>
      <c r="AW135" s="11">
        <f t="shared" si="84"/>
        <v>0</v>
      </c>
      <c r="AX135" s="11">
        <f t="shared" si="59"/>
        <v>0</v>
      </c>
      <c r="AY135" s="11">
        <f t="shared" si="60"/>
        <v>1</v>
      </c>
    </row>
    <row r="136" spans="1:51">
      <c r="A136" s="15">
        <v>45061</v>
      </c>
      <c r="B136" s="436">
        <v>7</v>
      </c>
      <c r="C136" s="436">
        <v>7</v>
      </c>
      <c r="D136" s="436">
        <v>7</v>
      </c>
      <c r="E136" s="436">
        <v>7</v>
      </c>
      <c r="F136" s="436">
        <v>7</v>
      </c>
      <c r="G136" s="436">
        <v>7</v>
      </c>
      <c r="H136" s="436">
        <v>7</v>
      </c>
      <c r="I136" s="436">
        <v>7</v>
      </c>
      <c r="J136" s="436">
        <v>7</v>
      </c>
      <c r="K136" s="436">
        <v>7</v>
      </c>
      <c r="L136" s="436">
        <v>7</v>
      </c>
      <c r="M136" s="436">
        <v>8</v>
      </c>
      <c r="N136" s="436">
        <v>7</v>
      </c>
      <c r="O136" s="436">
        <v>7</v>
      </c>
      <c r="P136" s="436">
        <v>7</v>
      </c>
      <c r="Q136" s="436">
        <v>8</v>
      </c>
      <c r="R136" s="436">
        <v>8</v>
      </c>
      <c r="S136" s="436">
        <v>8</v>
      </c>
      <c r="T136" s="436">
        <v>8</v>
      </c>
      <c r="U136" s="436">
        <v>7</v>
      </c>
      <c r="V136" s="436">
        <v>7</v>
      </c>
      <c r="W136" s="436">
        <v>8</v>
      </c>
      <c r="X136" s="436">
        <v>8</v>
      </c>
      <c r="Y136" s="436">
        <v>7</v>
      </c>
      <c r="Z136" s="11">
        <f t="shared" si="61"/>
        <v>0</v>
      </c>
      <c r="AA136" s="11">
        <f t="shared" si="62"/>
        <v>0</v>
      </c>
      <c r="AB136" s="11">
        <f t="shared" si="63"/>
        <v>0</v>
      </c>
      <c r="AC136" s="11">
        <f t="shared" si="64"/>
        <v>0</v>
      </c>
      <c r="AD136" s="11">
        <f t="shared" si="65"/>
        <v>0</v>
      </c>
      <c r="AE136" s="11">
        <f t="shared" si="66"/>
        <v>0</v>
      </c>
      <c r="AF136" s="11">
        <f t="shared" si="67"/>
        <v>0</v>
      </c>
      <c r="AG136" s="11">
        <f t="shared" si="68"/>
        <v>0</v>
      </c>
      <c r="AH136" s="11">
        <f t="shared" si="69"/>
        <v>0</v>
      </c>
      <c r="AI136" s="11">
        <f t="shared" si="70"/>
        <v>0</v>
      </c>
      <c r="AJ136" s="11">
        <f t="shared" si="71"/>
        <v>0</v>
      </c>
      <c r="AK136" s="11">
        <f t="shared" si="72"/>
        <v>1</v>
      </c>
      <c r="AL136" s="11">
        <f t="shared" si="73"/>
        <v>-1</v>
      </c>
      <c r="AM136" s="11">
        <f t="shared" si="74"/>
        <v>0</v>
      </c>
      <c r="AN136" s="11">
        <f t="shared" si="75"/>
        <v>0</v>
      </c>
      <c r="AO136" s="11">
        <f t="shared" si="76"/>
        <v>1</v>
      </c>
      <c r="AP136" s="11">
        <f t="shared" si="77"/>
        <v>0</v>
      </c>
      <c r="AQ136" s="11">
        <f t="shared" si="78"/>
        <v>0</v>
      </c>
      <c r="AR136" s="11">
        <f t="shared" si="79"/>
        <v>0</v>
      </c>
      <c r="AS136" s="11">
        <f t="shared" si="80"/>
        <v>-1</v>
      </c>
      <c r="AT136" s="11">
        <f t="shared" si="81"/>
        <v>0</v>
      </c>
      <c r="AU136" s="11">
        <f t="shared" si="82"/>
        <v>1</v>
      </c>
      <c r="AV136" s="11">
        <f t="shared" si="83"/>
        <v>0</v>
      </c>
      <c r="AW136" s="11">
        <f t="shared" si="84"/>
        <v>-1</v>
      </c>
      <c r="AX136" s="11">
        <f t="shared" si="59"/>
        <v>3</v>
      </c>
      <c r="AY136" s="11">
        <f t="shared" si="60"/>
        <v>3</v>
      </c>
    </row>
    <row r="137" spans="1:51">
      <c r="A137" s="15">
        <v>45062</v>
      </c>
      <c r="B137" s="436">
        <v>7</v>
      </c>
      <c r="C137" s="436">
        <v>7</v>
      </c>
      <c r="D137" s="436">
        <v>7</v>
      </c>
      <c r="E137" s="436">
        <v>7</v>
      </c>
      <c r="F137" s="436">
        <v>7</v>
      </c>
      <c r="G137" s="436">
        <v>7</v>
      </c>
      <c r="H137" s="436">
        <v>7</v>
      </c>
      <c r="I137" s="436">
        <v>7</v>
      </c>
      <c r="J137" s="436">
        <v>7</v>
      </c>
      <c r="K137" s="436">
        <v>7</v>
      </c>
      <c r="L137" s="436">
        <v>7</v>
      </c>
      <c r="M137" s="436">
        <v>7</v>
      </c>
      <c r="N137" s="436">
        <v>7</v>
      </c>
      <c r="O137" s="436">
        <v>7</v>
      </c>
      <c r="P137" s="436">
        <v>7</v>
      </c>
      <c r="Q137" s="436">
        <v>7</v>
      </c>
      <c r="R137" s="436">
        <v>7</v>
      </c>
      <c r="S137" s="436">
        <v>7</v>
      </c>
      <c r="T137" s="436">
        <v>7</v>
      </c>
      <c r="U137" s="436">
        <v>7</v>
      </c>
      <c r="V137" s="436">
        <v>7</v>
      </c>
      <c r="W137" s="436">
        <v>7</v>
      </c>
      <c r="X137" s="436">
        <v>7</v>
      </c>
      <c r="Y137" s="436">
        <v>7</v>
      </c>
      <c r="Z137" s="11">
        <f t="shared" si="61"/>
        <v>0</v>
      </c>
      <c r="AA137" s="11">
        <f t="shared" si="62"/>
        <v>0</v>
      </c>
      <c r="AB137" s="11">
        <f t="shared" si="63"/>
        <v>0</v>
      </c>
      <c r="AC137" s="11">
        <f t="shared" si="64"/>
        <v>0</v>
      </c>
      <c r="AD137" s="11">
        <f t="shared" si="65"/>
        <v>0</v>
      </c>
      <c r="AE137" s="11">
        <f t="shared" si="66"/>
        <v>0</v>
      </c>
      <c r="AF137" s="11">
        <f t="shared" si="67"/>
        <v>0</v>
      </c>
      <c r="AG137" s="11">
        <f t="shared" si="68"/>
        <v>0</v>
      </c>
      <c r="AH137" s="11">
        <f t="shared" si="69"/>
        <v>0</v>
      </c>
      <c r="AI137" s="11">
        <f t="shared" si="70"/>
        <v>0</v>
      </c>
      <c r="AJ137" s="11">
        <f t="shared" si="71"/>
        <v>0</v>
      </c>
      <c r="AK137" s="11">
        <f t="shared" si="72"/>
        <v>0</v>
      </c>
      <c r="AL137" s="11">
        <f t="shared" si="73"/>
        <v>0</v>
      </c>
      <c r="AM137" s="11">
        <f t="shared" si="74"/>
        <v>0</v>
      </c>
      <c r="AN137" s="11">
        <f t="shared" si="75"/>
        <v>0</v>
      </c>
      <c r="AO137" s="11">
        <f t="shared" si="76"/>
        <v>0</v>
      </c>
      <c r="AP137" s="11">
        <f t="shared" si="77"/>
        <v>0</v>
      </c>
      <c r="AQ137" s="11">
        <f t="shared" si="78"/>
        <v>0</v>
      </c>
      <c r="AR137" s="11">
        <f t="shared" si="79"/>
        <v>0</v>
      </c>
      <c r="AS137" s="11">
        <f t="shared" si="80"/>
        <v>0</v>
      </c>
      <c r="AT137" s="11">
        <f t="shared" si="81"/>
        <v>0</v>
      </c>
      <c r="AU137" s="11">
        <f t="shared" si="82"/>
        <v>0</v>
      </c>
      <c r="AV137" s="11">
        <f t="shared" si="83"/>
        <v>0</v>
      </c>
      <c r="AW137" s="11">
        <f t="shared" si="84"/>
        <v>0</v>
      </c>
      <c r="AX137" s="11">
        <f t="shared" si="59"/>
        <v>0</v>
      </c>
      <c r="AY137" s="11">
        <f t="shared" si="60"/>
        <v>0</v>
      </c>
    </row>
    <row r="138" spans="1:51">
      <c r="A138" s="15">
        <v>45063</v>
      </c>
      <c r="B138" s="436">
        <v>8</v>
      </c>
      <c r="C138" s="436">
        <v>7</v>
      </c>
      <c r="D138" s="436">
        <v>7</v>
      </c>
      <c r="E138" s="436">
        <v>7</v>
      </c>
      <c r="F138" s="436">
        <v>7</v>
      </c>
      <c r="G138" s="436">
        <v>7</v>
      </c>
      <c r="H138" s="436">
        <v>7</v>
      </c>
      <c r="I138" s="436">
        <v>7</v>
      </c>
      <c r="J138" s="436">
        <v>7</v>
      </c>
      <c r="K138" s="436">
        <v>7</v>
      </c>
      <c r="L138" s="436">
        <v>7</v>
      </c>
      <c r="M138" s="436">
        <v>7</v>
      </c>
      <c r="N138" s="436">
        <v>7</v>
      </c>
      <c r="O138" s="436">
        <v>7</v>
      </c>
      <c r="P138" s="436">
        <v>7</v>
      </c>
      <c r="Q138" s="436">
        <v>7</v>
      </c>
      <c r="R138" s="436">
        <v>7</v>
      </c>
      <c r="S138" s="436">
        <v>7</v>
      </c>
      <c r="T138" s="436">
        <v>7</v>
      </c>
      <c r="U138" s="436">
        <v>8</v>
      </c>
      <c r="V138" s="436">
        <v>7</v>
      </c>
      <c r="W138" s="436">
        <v>7</v>
      </c>
      <c r="X138" s="436">
        <v>8</v>
      </c>
      <c r="Y138" s="436">
        <v>8</v>
      </c>
      <c r="Z138" s="11">
        <f t="shared" si="61"/>
        <v>1</v>
      </c>
      <c r="AA138" s="11">
        <f t="shared" si="62"/>
        <v>-1</v>
      </c>
      <c r="AB138" s="11">
        <f t="shared" si="63"/>
        <v>0</v>
      </c>
      <c r="AC138" s="11">
        <f t="shared" si="64"/>
        <v>0</v>
      </c>
      <c r="AD138" s="11">
        <f t="shared" si="65"/>
        <v>0</v>
      </c>
      <c r="AE138" s="11">
        <f t="shared" si="66"/>
        <v>0</v>
      </c>
      <c r="AF138" s="11">
        <f t="shared" si="67"/>
        <v>0</v>
      </c>
      <c r="AG138" s="11">
        <f t="shared" si="68"/>
        <v>0</v>
      </c>
      <c r="AH138" s="11">
        <f t="shared" si="69"/>
        <v>0</v>
      </c>
      <c r="AI138" s="11">
        <f t="shared" si="70"/>
        <v>0</v>
      </c>
      <c r="AJ138" s="11">
        <f t="shared" si="71"/>
        <v>0</v>
      </c>
      <c r="AK138" s="11">
        <f t="shared" si="72"/>
        <v>0</v>
      </c>
      <c r="AL138" s="11">
        <f t="shared" si="73"/>
        <v>0</v>
      </c>
      <c r="AM138" s="11">
        <f t="shared" si="74"/>
        <v>0</v>
      </c>
      <c r="AN138" s="11">
        <f t="shared" si="75"/>
        <v>0</v>
      </c>
      <c r="AO138" s="11">
        <f t="shared" si="76"/>
        <v>0</v>
      </c>
      <c r="AP138" s="11">
        <f t="shared" si="77"/>
        <v>0</v>
      </c>
      <c r="AQ138" s="11">
        <f t="shared" si="78"/>
        <v>0</v>
      </c>
      <c r="AR138" s="11">
        <f t="shared" si="79"/>
        <v>0</v>
      </c>
      <c r="AS138" s="11">
        <f t="shared" si="80"/>
        <v>1</v>
      </c>
      <c r="AT138" s="11">
        <f t="shared" si="81"/>
        <v>-1</v>
      </c>
      <c r="AU138" s="11">
        <f t="shared" si="82"/>
        <v>0</v>
      </c>
      <c r="AV138" s="11">
        <f t="shared" si="83"/>
        <v>1</v>
      </c>
      <c r="AW138" s="11">
        <f t="shared" si="84"/>
        <v>0</v>
      </c>
      <c r="AX138" s="11">
        <f t="shared" si="59"/>
        <v>3</v>
      </c>
      <c r="AY138" s="11">
        <f t="shared" si="60"/>
        <v>2</v>
      </c>
    </row>
    <row r="139" spans="1:51">
      <c r="A139" s="15">
        <v>45064</v>
      </c>
      <c r="B139" s="436">
        <v>8</v>
      </c>
      <c r="C139" s="436">
        <v>6</v>
      </c>
      <c r="D139" s="436">
        <v>7</v>
      </c>
      <c r="E139" s="436">
        <v>7</v>
      </c>
      <c r="F139" s="436">
        <v>7</v>
      </c>
      <c r="G139" s="436">
        <v>7</v>
      </c>
      <c r="H139" s="436">
        <v>7</v>
      </c>
      <c r="I139" s="436">
        <v>7</v>
      </c>
      <c r="J139" s="436">
        <v>7</v>
      </c>
      <c r="K139" s="436">
        <v>7</v>
      </c>
      <c r="L139" s="436">
        <v>7</v>
      </c>
      <c r="M139" s="436">
        <v>7</v>
      </c>
      <c r="N139" s="436">
        <v>7</v>
      </c>
      <c r="O139" s="436">
        <v>7</v>
      </c>
      <c r="P139" s="436">
        <v>7</v>
      </c>
      <c r="Q139" s="436">
        <v>7</v>
      </c>
      <c r="R139" s="436">
        <v>7</v>
      </c>
      <c r="S139" s="436">
        <v>7</v>
      </c>
      <c r="T139" s="436">
        <v>7</v>
      </c>
      <c r="U139" s="436">
        <v>7</v>
      </c>
      <c r="V139" s="436">
        <v>7</v>
      </c>
      <c r="W139" s="436">
        <v>8</v>
      </c>
      <c r="X139" s="436">
        <v>8</v>
      </c>
      <c r="Y139" s="436">
        <v>7</v>
      </c>
      <c r="Z139" s="11">
        <f t="shared" si="61"/>
        <v>0</v>
      </c>
      <c r="AA139" s="11">
        <f t="shared" si="62"/>
        <v>-2</v>
      </c>
      <c r="AB139" s="11">
        <f t="shared" si="63"/>
        <v>1</v>
      </c>
      <c r="AC139" s="11">
        <f t="shared" si="64"/>
        <v>0</v>
      </c>
      <c r="AD139" s="11">
        <f t="shared" si="65"/>
        <v>0</v>
      </c>
      <c r="AE139" s="11">
        <f t="shared" si="66"/>
        <v>0</v>
      </c>
      <c r="AF139" s="11">
        <f t="shared" si="67"/>
        <v>0</v>
      </c>
      <c r="AG139" s="11">
        <f t="shared" si="68"/>
        <v>0</v>
      </c>
      <c r="AH139" s="11">
        <f t="shared" si="69"/>
        <v>0</v>
      </c>
      <c r="AI139" s="11">
        <f t="shared" si="70"/>
        <v>0</v>
      </c>
      <c r="AJ139" s="11">
        <f t="shared" si="71"/>
        <v>0</v>
      </c>
      <c r="AK139" s="11">
        <f t="shared" si="72"/>
        <v>0</v>
      </c>
      <c r="AL139" s="11">
        <f t="shared" si="73"/>
        <v>0</v>
      </c>
      <c r="AM139" s="11">
        <f t="shared" si="74"/>
        <v>0</v>
      </c>
      <c r="AN139" s="11">
        <f t="shared" si="75"/>
        <v>0</v>
      </c>
      <c r="AO139" s="11">
        <f t="shared" si="76"/>
        <v>0</v>
      </c>
      <c r="AP139" s="11">
        <f t="shared" si="77"/>
        <v>0</v>
      </c>
      <c r="AQ139" s="11">
        <f t="shared" si="78"/>
        <v>0</v>
      </c>
      <c r="AR139" s="11">
        <f t="shared" si="79"/>
        <v>0</v>
      </c>
      <c r="AS139" s="11">
        <f t="shared" si="80"/>
        <v>0</v>
      </c>
      <c r="AT139" s="11">
        <f t="shared" si="81"/>
        <v>0</v>
      </c>
      <c r="AU139" s="11">
        <f t="shared" si="82"/>
        <v>1</v>
      </c>
      <c r="AV139" s="11">
        <f t="shared" si="83"/>
        <v>0</v>
      </c>
      <c r="AW139" s="11">
        <f t="shared" si="84"/>
        <v>-1</v>
      </c>
      <c r="AX139" s="11">
        <f t="shared" si="59"/>
        <v>2</v>
      </c>
      <c r="AY139" s="11">
        <f t="shared" si="60"/>
        <v>3</v>
      </c>
    </row>
    <row r="140" spans="1:51">
      <c r="A140" s="15">
        <v>45065</v>
      </c>
      <c r="B140" s="436">
        <v>7</v>
      </c>
      <c r="C140" s="436">
        <v>7</v>
      </c>
      <c r="D140" s="436">
        <v>7</v>
      </c>
      <c r="E140" s="436">
        <v>8</v>
      </c>
      <c r="F140" s="436">
        <v>8</v>
      </c>
      <c r="G140" s="436">
        <v>8</v>
      </c>
      <c r="H140" s="436">
        <v>8</v>
      </c>
      <c r="I140" s="436">
        <v>8</v>
      </c>
      <c r="J140" s="436">
        <v>8</v>
      </c>
      <c r="K140" s="436">
        <v>8</v>
      </c>
      <c r="L140" s="436">
        <v>8</v>
      </c>
      <c r="M140" s="436">
        <v>8</v>
      </c>
      <c r="N140" s="436">
        <v>8</v>
      </c>
      <c r="O140" s="436">
        <v>8</v>
      </c>
      <c r="P140" s="436">
        <v>8</v>
      </c>
      <c r="Q140" s="436">
        <v>8</v>
      </c>
      <c r="R140" s="436">
        <v>8</v>
      </c>
      <c r="S140" s="436">
        <v>8</v>
      </c>
      <c r="T140" s="436">
        <v>8</v>
      </c>
      <c r="U140" s="436">
        <v>8</v>
      </c>
      <c r="V140" s="436">
        <v>8</v>
      </c>
      <c r="W140" s="436">
        <v>8</v>
      </c>
      <c r="X140" s="436">
        <v>8</v>
      </c>
      <c r="Y140" s="436">
        <v>8</v>
      </c>
      <c r="Z140" s="11">
        <f t="shared" si="61"/>
        <v>0</v>
      </c>
      <c r="AA140" s="11">
        <f t="shared" si="62"/>
        <v>0</v>
      </c>
      <c r="AB140" s="11">
        <f t="shared" si="63"/>
        <v>0</v>
      </c>
      <c r="AC140" s="11">
        <f t="shared" si="64"/>
        <v>1</v>
      </c>
      <c r="AD140" s="11">
        <f t="shared" si="65"/>
        <v>0</v>
      </c>
      <c r="AE140" s="11">
        <f t="shared" si="66"/>
        <v>0</v>
      </c>
      <c r="AF140" s="11">
        <f t="shared" si="67"/>
        <v>0</v>
      </c>
      <c r="AG140" s="11">
        <f t="shared" si="68"/>
        <v>0</v>
      </c>
      <c r="AH140" s="11">
        <f t="shared" si="69"/>
        <v>0</v>
      </c>
      <c r="AI140" s="11">
        <f t="shared" si="70"/>
        <v>0</v>
      </c>
      <c r="AJ140" s="11">
        <f t="shared" si="71"/>
        <v>0</v>
      </c>
      <c r="AK140" s="11">
        <f t="shared" si="72"/>
        <v>0</v>
      </c>
      <c r="AL140" s="11">
        <f t="shared" si="73"/>
        <v>0</v>
      </c>
      <c r="AM140" s="11">
        <f t="shared" si="74"/>
        <v>0</v>
      </c>
      <c r="AN140" s="11">
        <f t="shared" si="75"/>
        <v>0</v>
      </c>
      <c r="AO140" s="11">
        <f t="shared" si="76"/>
        <v>0</v>
      </c>
      <c r="AP140" s="11">
        <f t="shared" si="77"/>
        <v>0</v>
      </c>
      <c r="AQ140" s="11">
        <f t="shared" si="78"/>
        <v>0</v>
      </c>
      <c r="AR140" s="11">
        <f t="shared" si="79"/>
        <v>0</v>
      </c>
      <c r="AS140" s="11">
        <f t="shared" si="80"/>
        <v>0</v>
      </c>
      <c r="AT140" s="11">
        <f t="shared" si="81"/>
        <v>0</v>
      </c>
      <c r="AU140" s="11">
        <f t="shared" si="82"/>
        <v>0</v>
      </c>
      <c r="AV140" s="11">
        <f t="shared" si="83"/>
        <v>0</v>
      </c>
      <c r="AW140" s="11">
        <f t="shared" si="84"/>
        <v>0</v>
      </c>
      <c r="AX140" s="11">
        <f t="shared" si="59"/>
        <v>1</v>
      </c>
      <c r="AY140" s="11">
        <f t="shared" si="60"/>
        <v>0</v>
      </c>
    </row>
    <row r="141" spans="1:51">
      <c r="A141" s="15">
        <v>45066</v>
      </c>
      <c r="B141" s="436">
        <v>8</v>
      </c>
      <c r="C141" s="436">
        <v>8</v>
      </c>
      <c r="D141" s="436">
        <v>8</v>
      </c>
      <c r="E141" s="436">
        <v>9</v>
      </c>
      <c r="F141" s="436">
        <v>7</v>
      </c>
      <c r="G141" s="436">
        <v>7</v>
      </c>
      <c r="H141" s="436">
        <v>8</v>
      </c>
      <c r="I141" s="436">
        <v>8</v>
      </c>
      <c r="J141" s="436">
        <v>8</v>
      </c>
      <c r="K141" s="436">
        <v>8</v>
      </c>
      <c r="L141" s="436">
        <v>8</v>
      </c>
      <c r="M141" s="436">
        <v>8</v>
      </c>
      <c r="N141" s="436">
        <v>7</v>
      </c>
      <c r="O141" s="436">
        <v>7</v>
      </c>
      <c r="P141" s="436">
        <v>7</v>
      </c>
      <c r="Q141" s="436">
        <v>8</v>
      </c>
      <c r="R141" s="436">
        <v>8</v>
      </c>
      <c r="S141" s="436">
        <v>8</v>
      </c>
      <c r="T141" s="436">
        <v>8</v>
      </c>
      <c r="U141" s="436">
        <v>8</v>
      </c>
      <c r="V141" s="436">
        <v>8</v>
      </c>
      <c r="W141" s="436">
        <v>8</v>
      </c>
      <c r="X141" s="436">
        <v>8</v>
      </c>
      <c r="Y141" s="436">
        <v>8</v>
      </c>
      <c r="Z141" s="11">
        <f t="shared" si="61"/>
        <v>0</v>
      </c>
      <c r="AA141" s="11">
        <f t="shared" si="62"/>
        <v>0</v>
      </c>
      <c r="AB141" s="11">
        <f t="shared" si="63"/>
        <v>0</v>
      </c>
      <c r="AC141" s="11">
        <f t="shared" si="64"/>
        <v>1</v>
      </c>
      <c r="AD141" s="11">
        <f t="shared" si="65"/>
        <v>-2</v>
      </c>
      <c r="AE141" s="11">
        <f t="shared" si="66"/>
        <v>0</v>
      </c>
      <c r="AF141" s="11">
        <f t="shared" si="67"/>
        <v>1</v>
      </c>
      <c r="AG141" s="11">
        <f t="shared" si="68"/>
        <v>0</v>
      </c>
      <c r="AH141" s="11">
        <f t="shared" si="69"/>
        <v>0</v>
      </c>
      <c r="AI141" s="11">
        <f t="shared" si="70"/>
        <v>0</v>
      </c>
      <c r="AJ141" s="11">
        <f t="shared" si="71"/>
        <v>0</v>
      </c>
      <c r="AK141" s="11">
        <f t="shared" si="72"/>
        <v>0</v>
      </c>
      <c r="AL141" s="11">
        <f t="shared" si="73"/>
        <v>-1</v>
      </c>
      <c r="AM141" s="11">
        <f t="shared" si="74"/>
        <v>0</v>
      </c>
      <c r="AN141" s="11">
        <f t="shared" si="75"/>
        <v>0</v>
      </c>
      <c r="AO141" s="11">
        <f t="shared" si="76"/>
        <v>1</v>
      </c>
      <c r="AP141" s="11">
        <f t="shared" si="77"/>
        <v>0</v>
      </c>
      <c r="AQ141" s="11">
        <f t="shared" si="78"/>
        <v>0</v>
      </c>
      <c r="AR141" s="11">
        <f t="shared" si="79"/>
        <v>0</v>
      </c>
      <c r="AS141" s="11">
        <f t="shared" si="80"/>
        <v>0</v>
      </c>
      <c r="AT141" s="11">
        <f t="shared" si="81"/>
        <v>0</v>
      </c>
      <c r="AU141" s="11">
        <f t="shared" si="82"/>
        <v>0</v>
      </c>
      <c r="AV141" s="11">
        <f t="shared" si="83"/>
        <v>0</v>
      </c>
      <c r="AW141" s="11">
        <f t="shared" si="84"/>
        <v>0</v>
      </c>
      <c r="AX141" s="11">
        <f t="shared" si="59"/>
        <v>3</v>
      </c>
      <c r="AY141" s="11">
        <f t="shared" si="60"/>
        <v>3</v>
      </c>
    </row>
    <row r="142" spans="1:51">
      <c r="A142" s="15">
        <v>45067</v>
      </c>
      <c r="B142" s="436">
        <v>8</v>
      </c>
      <c r="C142" s="436">
        <v>8</v>
      </c>
      <c r="D142" s="436">
        <v>8</v>
      </c>
      <c r="E142" s="436">
        <v>8</v>
      </c>
      <c r="F142" s="436">
        <v>8</v>
      </c>
      <c r="G142" s="436">
        <v>8</v>
      </c>
      <c r="H142" s="436">
        <v>8</v>
      </c>
      <c r="I142" s="436">
        <v>8</v>
      </c>
      <c r="J142" s="436">
        <v>8</v>
      </c>
      <c r="K142" s="436">
        <v>8</v>
      </c>
      <c r="L142" s="436">
        <v>8</v>
      </c>
      <c r="M142" s="436">
        <v>8</v>
      </c>
      <c r="N142" s="436">
        <v>8</v>
      </c>
      <c r="O142" s="436">
        <v>8</v>
      </c>
      <c r="P142" s="436">
        <v>8</v>
      </c>
      <c r="Q142" s="436">
        <v>8</v>
      </c>
      <c r="R142" s="436">
        <v>8</v>
      </c>
      <c r="S142" s="436">
        <v>8</v>
      </c>
      <c r="T142" s="436">
        <v>8</v>
      </c>
      <c r="U142" s="436">
        <v>8</v>
      </c>
      <c r="V142" s="436">
        <v>8</v>
      </c>
      <c r="W142" s="436">
        <v>8</v>
      </c>
      <c r="X142" s="436">
        <v>8</v>
      </c>
      <c r="Y142" s="436">
        <v>8</v>
      </c>
      <c r="Z142" s="11">
        <f t="shared" si="61"/>
        <v>0</v>
      </c>
      <c r="AA142" s="11">
        <f t="shared" si="62"/>
        <v>0</v>
      </c>
      <c r="AB142" s="11">
        <f t="shared" si="63"/>
        <v>0</v>
      </c>
      <c r="AC142" s="11">
        <f t="shared" si="64"/>
        <v>0</v>
      </c>
      <c r="AD142" s="11">
        <f t="shared" si="65"/>
        <v>0</v>
      </c>
      <c r="AE142" s="11">
        <f t="shared" si="66"/>
        <v>0</v>
      </c>
      <c r="AF142" s="11">
        <f t="shared" si="67"/>
        <v>0</v>
      </c>
      <c r="AG142" s="11">
        <f t="shared" si="68"/>
        <v>0</v>
      </c>
      <c r="AH142" s="11">
        <f t="shared" si="69"/>
        <v>0</v>
      </c>
      <c r="AI142" s="11">
        <f t="shared" si="70"/>
        <v>0</v>
      </c>
      <c r="AJ142" s="11">
        <f t="shared" si="71"/>
        <v>0</v>
      </c>
      <c r="AK142" s="11">
        <f t="shared" si="72"/>
        <v>0</v>
      </c>
      <c r="AL142" s="11">
        <f t="shared" si="73"/>
        <v>0</v>
      </c>
      <c r="AM142" s="11">
        <f t="shared" si="74"/>
        <v>0</v>
      </c>
      <c r="AN142" s="11">
        <f t="shared" si="75"/>
        <v>0</v>
      </c>
      <c r="AO142" s="11">
        <f t="shared" si="76"/>
        <v>0</v>
      </c>
      <c r="AP142" s="11">
        <f t="shared" si="77"/>
        <v>0</v>
      </c>
      <c r="AQ142" s="11">
        <f t="shared" si="78"/>
        <v>0</v>
      </c>
      <c r="AR142" s="11">
        <f t="shared" si="79"/>
        <v>0</v>
      </c>
      <c r="AS142" s="11">
        <f t="shared" si="80"/>
        <v>0</v>
      </c>
      <c r="AT142" s="11">
        <f t="shared" si="81"/>
        <v>0</v>
      </c>
      <c r="AU142" s="11">
        <f t="shared" si="82"/>
        <v>0</v>
      </c>
      <c r="AV142" s="11">
        <f t="shared" si="83"/>
        <v>0</v>
      </c>
      <c r="AW142" s="11">
        <f t="shared" si="84"/>
        <v>0</v>
      </c>
      <c r="AX142" s="11">
        <f t="shared" si="59"/>
        <v>0</v>
      </c>
      <c r="AY142" s="11">
        <f t="shared" si="60"/>
        <v>0</v>
      </c>
    </row>
    <row r="143" spans="1:51">
      <c r="A143" s="15">
        <v>45068</v>
      </c>
      <c r="B143" s="436">
        <v>8</v>
      </c>
      <c r="C143" s="436">
        <v>8</v>
      </c>
      <c r="D143" s="436">
        <v>8</v>
      </c>
      <c r="E143" s="436">
        <v>8</v>
      </c>
      <c r="F143" s="436">
        <v>8</v>
      </c>
      <c r="G143" s="436">
        <v>8</v>
      </c>
      <c r="H143" s="436">
        <v>8</v>
      </c>
      <c r="I143" s="436">
        <v>8</v>
      </c>
      <c r="J143" s="436">
        <v>8</v>
      </c>
      <c r="K143" s="436">
        <v>8</v>
      </c>
      <c r="L143" s="436">
        <v>8</v>
      </c>
      <c r="M143" s="436">
        <v>8</v>
      </c>
      <c r="N143" s="436">
        <v>8</v>
      </c>
      <c r="O143" s="436">
        <v>8</v>
      </c>
      <c r="P143" s="436">
        <v>8</v>
      </c>
      <c r="Q143" s="436">
        <v>8</v>
      </c>
      <c r="R143" s="436">
        <v>8</v>
      </c>
      <c r="S143" s="436">
        <v>8</v>
      </c>
      <c r="T143" s="436">
        <v>8</v>
      </c>
      <c r="U143" s="436">
        <v>8</v>
      </c>
      <c r="V143" s="436">
        <v>8</v>
      </c>
      <c r="W143" s="436">
        <v>8</v>
      </c>
      <c r="X143" s="436">
        <v>8</v>
      </c>
      <c r="Y143" s="436">
        <v>8</v>
      </c>
      <c r="Z143" s="11">
        <f t="shared" si="61"/>
        <v>0</v>
      </c>
      <c r="AA143" s="11">
        <f t="shared" si="62"/>
        <v>0</v>
      </c>
      <c r="AB143" s="11">
        <f t="shared" si="63"/>
        <v>0</v>
      </c>
      <c r="AC143" s="11">
        <f t="shared" si="64"/>
        <v>0</v>
      </c>
      <c r="AD143" s="11">
        <f t="shared" si="65"/>
        <v>0</v>
      </c>
      <c r="AE143" s="11">
        <f t="shared" si="66"/>
        <v>0</v>
      </c>
      <c r="AF143" s="11">
        <f t="shared" si="67"/>
        <v>0</v>
      </c>
      <c r="AG143" s="11">
        <f t="shared" si="68"/>
        <v>0</v>
      </c>
      <c r="AH143" s="11">
        <f t="shared" si="69"/>
        <v>0</v>
      </c>
      <c r="AI143" s="11">
        <f t="shared" si="70"/>
        <v>0</v>
      </c>
      <c r="AJ143" s="11">
        <f t="shared" si="71"/>
        <v>0</v>
      </c>
      <c r="AK143" s="11">
        <f t="shared" si="72"/>
        <v>0</v>
      </c>
      <c r="AL143" s="11">
        <f t="shared" si="73"/>
        <v>0</v>
      </c>
      <c r="AM143" s="11">
        <f t="shared" si="74"/>
        <v>0</v>
      </c>
      <c r="AN143" s="11">
        <f t="shared" si="75"/>
        <v>0</v>
      </c>
      <c r="AO143" s="11">
        <f t="shared" si="76"/>
        <v>0</v>
      </c>
      <c r="AP143" s="11">
        <f t="shared" si="77"/>
        <v>0</v>
      </c>
      <c r="AQ143" s="11">
        <f t="shared" si="78"/>
        <v>0</v>
      </c>
      <c r="AR143" s="11">
        <f t="shared" si="79"/>
        <v>0</v>
      </c>
      <c r="AS143" s="11">
        <f t="shared" si="80"/>
        <v>0</v>
      </c>
      <c r="AT143" s="11">
        <f t="shared" si="81"/>
        <v>0</v>
      </c>
      <c r="AU143" s="11">
        <f t="shared" si="82"/>
        <v>0</v>
      </c>
      <c r="AV143" s="11">
        <f t="shared" si="83"/>
        <v>0</v>
      </c>
      <c r="AW143" s="11">
        <f t="shared" si="84"/>
        <v>0</v>
      </c>
      <c r="AX143" s="11">
        <f t="shared" si="59"/>
        <v>0</v>
      </c>
      <c r="AY143" s="11">
        <f t="shared" si="60"/>
        <v>0</v>
      </c>
    </row>
    <row r="144" spans="1:51">
      <c r="A144" s="15">
        <v>45069</v>
      </c>
      <c r="B144" s="436">
        <v>8</v>
      </c>
      <c r="C144" s="436">
        <v>8</v>
      </c>
      <c r="D144" s="436">
        <v>8</v>
      </c>
      <c r="E144" s="436">
        <v>8</v>
      </c>
      <c r="F144" s="436">
        <v>8</v>
      </c>
      <c r="G144" s="436">
        <v>8</v>
      </c>
      <c r="H144" s="436">
        <v>7</v>
      </c>
      <c r="I144" s="436">
        <v>7</v>
      </c>
      <c r="J144" s="436">
        <v>8</v>
      </c>
      <c r="K144" s="436">
        <v>8</v>
      </c>
      <c r="L144" s="436">
        <v>8</v>
      </c>
      <c r="M144" s="436">
        <v>8</v>
      </c>
      <c r="N144" s="436">
        <v>8</v>
      </c>
      <c r="O144" s="436">
        <v>8</v>
      </c>
      <c r="P144" s="436">
        <v>8</v>
      </c>
      <c r="Q144" s="436">
        <v>8</v>
      </c>
      <c r="R144" s="436">
        <v>8</v>
      </c>
      <c r="S144" s="436">
        <v>8</v>
      </c>
      <c r="T144" s="436">
        <v>8</v>
      </c>
      <c r="U144" s="436">
        <v>8</v>
      </c>
      <c r="V144" s="436">
        <v>8</v>
      </c>
      <c r="W144" s="436">
        <v>8</v>
      </c>
      <c r="X144" s="436">
        <v>8</v>
      </c>
      <c r="Y144" s="436">
        <v>8</v>
      </c>
      <c r="Z144" s="11">
        <f t="shared" si="61"/>
        <v>0</v>
      </c>
      <c r="AA144" s="11">
        <f t="shared" si="62"/>
        <v>0</v>
      </c>
      <c r="AB144" s="11">
        <f t="shared" si="63"/>
        <v>0</v>
      </c>
      <c r="AC144" s="11">
        <f t="shared" si="64"/>
        <v>0</v>
      </c>
      <c r="AD144" s="11">
        <f t="shared" si="65"/>
        <v>0</v>
      </c>
      <c r="AE144" s="11">
        <f t="shared" si="66"/>
        <v>0</v>
      </c>
      <c r="AF144" s="11">
        <f t="shared" si="67"/>
        <v>-1</v>
      </c>
      <c r="AG144" s="11">
        <f t="shared" si="68"/>
        <v>0</v>
      </c>
      <c r="AH144" s="11">
        <f t="shared" si="69"/>
        <v>1</v>
      </c>
      <c r="AI144" s="11">
        <f t="shared" si="70"/>
        <v>0</v>
      </c>
      <c r="AJ144" s="11">
        <f t="shared" si="71"/>
        <v>0</v>
      </c>
      <c r="AK144" s="11">
        <f t="shared" si="72"/>
        <v>0</v>
      </c>
      <c r="AL144" s="11">
        <f t="shared" si="73"/>
        <v>0</v>
      </c>
      <c r="AM144" s="11">
        <f t="shared" si="74"/>
        <v>0</v>
      </c>
      <c r="AN144" s="11">
        <f t="shared" si="75"/>
        <v>0</v>
      </c>
      <c r="AO144" s="11">
        <f t="shared" si="76"/>
        <v>0</v>
      </c>
      <c r="AP144" s="11">
        <f t="shared" si="77"/>
        <v>0</v>
      </c>
      <c r="AQ144" s="11">
        <f t="shared" si="78"/>
        <v>0</v>
      </c>
      <c r="AR144" s="11">
        <f t="shared" si="79"/>
        <v>0</v>
      </c>
      <c r="AS144" s="11">
        <f t="shared" si="80"/>
        <v>0</v>
      </c>
      <c r="AT144" s="11">
        <f t="shared" si="81"/>
        <v>0</v>
      </c>
      <c r="AU144" s="11">
        <f t="shared" si="82"/>
        <v>0</v>
      </c>
      <c r="AV144" s="11">
        <f t="shared" si="83"/>
        <v>0</v>
      </c>
      <c r="AW144" s="11">
        <f t="shared" si="84"/>
        <v>0</v>
      </c>
      <c r="AX144" s="11">
        <f t="shared" si="59"/>
        <v>1</v>
      </c>
      <c r="AY144" s="11">
        <f t="shared" si="60"/>
        <v>1</v>
      </c>
    </row>
    <row r="145" spans="1:51">
      <c r="A145" s="15">
        <v>45070</v>
      </c>
      <c r="B145" s="436">
        <v>8</v>
      </c>
      <c r="C145" s="436">
        <v>8</v>
      </c>
      <c r="D145" s="436">
        <v>8</v>
      </c>
      <c r="E145" s="436">
        <v>8</v>
      </c>
      <c r="F145" s="436">
        <v>8</v>
      </c>
      <c r="G145" s="436">
        <v>8</v>
      </c>
      <c r="H145" s="436">
        <v>8</v>
      </c>
      <c r="I145" s="436">
        <v>8</v>
      </c>
      <c r="J145" s="436">
        <v>8</v>
      </c>
      <c r="K145" s="436">
        <v>8</v>
      </c>
      <c r="L145" s="436">
        <v>8</v>
      </c>
      <c r="M145" s="436">
        <v>8</v>
      </c>
      <c r="N145" s="436">
        <v>8</v>
      </c>
      <c r="O145" s="436">
        <v>8</v>
      </c>
      <c r="P145" s="436">
        <v>8</v>
      </c>
      <c r="Q145" s="436">
        <v>8</v>
      </c>
      <c r="R145" s="436">
        <v>8</v>
      </c>
      <c r="S145" s="436">
        <v>8</v>
      </c>
      <c r="T145" s="436">
        <v>8</v>
      </c>
      <c r="U145" s="436">
        <v>8</v>
      </c>
      <c r="V145" s="436">
        <v>8</v>
      </c>
      <c r="W145" s="436">
        <v>8</v>
      </c>
      <c r="X145" s="436">
        <v>8</v>
      </c>
      <c r="Y145" s="436">
        <v>8</v>
      </c>
      <c r="Z145" s="11">
        <f t="shared" si="61"/>
        <v>0</v>
      </c>
      <c r="AA145" s="11">
        <f t="shared" si="62"/>
        <v>0</v>
      </c>
      <c r="AB145" s="11">
        <f t="shared" si="63"/>
        <v>0</v>
      </c>
      <c r="AC145" s="11">
        <f t="shared" si="64"/>
        <v>0</v>
      </c>
      <c r="AD145" s="11">
        <f t="shared" si="65"/>
        <v>0</v>
      </c>
      <c r="AE145" s="11">
        <f t="shared" si="66"/>
        <v>0</v>
      </c>
      <c r="AF145" s="11">
        <f t="shared" si="67"/>
        <v>0</v>
      </c>
      <c r="AG145" s="11">
        <f t="shared" si="68"/>
        <v>0</v>
      </c>
      <c r="AH145" s="11">
        <f t="shared" si="69"/>
        <v>0</v>
      </c>
      <c r="AI145" s="11">
        <f t="shared" si="70"/>
        <v>0</v>
      </c>
      <c r="AJ145" s="11">
        <f t="shared" si="71"/>
        <v>0</v>
      </c>
      <c r="AK145" s="11">
        <f t="shared" si="72"/>
        <v>0</v>
      </c>
      <c r="AL145" s="11">
        <f t="shared" si="73"/>
        <v>0</v>
      </c>
      <c r="AM145" s="11">
        <f t="shared" si="74"/>
        <v>0</v>
      </c>
      <c r="AN145" s="11">
        <f t="shared" si="75"/>
        <v>0</v>
      </c>
      <c r="AO145" s="11">
        <f t="shared" si="76"/>
        <v>0</v>
      </c>
      <c r="AP145" s="11">
        <f t="shared" si="77"/>
        <v>0</v>
      </c>
      <c r="AQ145" s="11">
        <f t="shared" si="78"/>
        <v>0</v>
      </c>
      <c r="AR145" s="11">
        <f t="shared" si="79"/>
        <v>0</v>
      </c>
      <c r="AS145" s="11">
        <f t="shared" si="80"/>
        <v>0</v>
      </c>
      <c r="AT145" s="11">
        <f t="shared" si="81"/>
        <v>0</v>
      </c>
      <c r="AU145" s="11">
        <f t="shared" si="82"/>
        <v>0</v>
      </c>
      <c r="AV145" s="11">
        <f t="shared" si="83"/>
        <v>0</v>
      </c>
      <c r="AW145" s="11">
        <f t="shared" si="84"/>
        <v>0</v>
      </c>
      <c r="AX145" s="11">
        <f t="shared" si="59"/>
        <v>0</v>
      </c>
      <c r="AY145" s="11">
        <f t="shared" si="60"/>
        <v>0</v>
      </c>
    </row>
    <row r="146" spans="1:51">
      <c r="A146" s="15">
        <v>45071</v>
      </c>
      <c r="B146" s="436">
        <v>8</v>
      </c>
      <c r="C146" s="436">
        <v>8</v>
      </c>
      <c r="D146" s="436">
        <v>8</v>
      </c>
      <c r="E146" s="436">
        <v>8</v>
      </c>
      <c r="F146" s="436">
        <v>8</v>
      </c>
      <c r="G146" s="436">
        <v>8</v>
      </c>
      <c r="H146" s="436">
        <v>7</v>
      </c>
      <c r="I146" s="436">
        <v>7</v>
      </c>
      <c r="J146" s="436">
        <v>7</v>
      </c>
      <c r="K146" s="436">
        <v>7</v>
      </c>
      <c r="L146" s="436">
        <v>7</v>
      </c>
      <c r="M146" s="436">
        <v>7</v>
      </c>
      <c r="N146" s="436">
        <v>7</v>
      </c>
      <c r="O146" s="436">
        <v>7</v>
      </c>
      <c r="P146" s="436">
        <v>7</v>
      </c>
      <c r="Q146" s="436">
        <v>7</v>
      </c>
      <c r="R146" s="436">
        <v>7</v>
      </c>
      <c r="S146" s="436">
        <v>7</v>
      </c>
      <c r="T146" s="436">
        <v>7</v>
      </c>
      <c r="U146" s="436">
        <v>7</v>
      </c>
      <c r="V146" s="436">
        <v>7</v>
      </c>
      <c r="W146" s="436">
        <v>7</v>
      </c>
      <c r="X146" s="436">
        <v>7</v>
      </c>
      <c r="Y146" s="436">
        <v>7</v>
      </c>
      <c r="Z146" s="11">
        <f t="shared" si="61"/>
        <v>0</v>
      </c>
      <c r="AA146" s="11">
        <f t="shared" si="62"/>
        <v>0</v>
      </c>
      <c r="AB146" s="11">
        <f t="shared" si="63"/>
        <v>0</v>
      </c>
      <c r="AC146" s="11">
        <f t="shared" si="64"/>
        <v>0</v>
      </c>
      <c r="AD146" s="11">
        <f t="shared" si="65"/>
        <v>0</v>
      </c>
      <c r="AE146" s="11">
        <f t="shared" si="66"/>
        <v>0</v>
      </c>
      <c r="AF146" s="11">
        <f t="shared" si="67"/>
        <v>-1</v>
      </c>
      <c r="AG146" s="11">
        <f t="shared" si="68"/>
        <v>0</v>
      </c>
      <c r="AH146" s="11">
        <f t="shared" si="69"/>
        <v>0</v>
      </c>
      <c r="AI146" s="11">
        <f t="shared" si="70"/>
        <v>0</v>
      </c>
      <c r="AJ146" s="11">
        <f t="shared" si="71"/>
        <v>0</v>
      </c>
      <c r="AK146" s="11">
        <f t="shared" si="72"/>
        <v>0</v>
      </c>
      <c r="AL146" s="11">
        <f t="shared" si="73"/>
        <v>0</v>
      </c>
      <c r="AM146" s="11">
        <f t="shared" si="74"/>
        <v>0</v>
      </c>
      <c r="AN146" s="11">
        <f t="shared" si="75"/>
        <v>0</v>
      </c>
      <c r="AO146" s="11">
        <f t="shared" si="76"/>
        <v>0</v>
      </c>
      <c r="AP146" s="11">
        <f t="shared" si="77"/>
        <v>0</v>
      </c>
      <c r="AQ146" s="11">
        <f t="shared" si="78"/>
        <v>0</v>
      </c>
      <c r="AR146" s="11">
        <f t="shared" si="79"/>
        <v>0</v>
      </c>
      <c r="AS146" s="11">
        <f t="shared" si="80"/>
        <v>0</v>
      </c>
      <c r="AT146" s="11">
        <f t="shared" si="81"/>
        <v>0</v>
      </c>
      <c r="AU146" s="11">
        <f t="shared" si="82"/>
        <v>0</v>
      </c>
      <c r="AV146" s="11">
        <f t="shared" si="83"/>
        <v>0</v>
      </c>
      <c r="AW146" s="11">
        <f t="shared" si="84"/>
        <v>0</v>
      </c>
      <c r="AX146" s="11">
        <f t="shared" si="59"/>
        <v>0</v>
      </c>
      <c r="AY146" s="11">
        <f t="shared" si="60"/>
        <v>1</v>
      </c>
    </row>
    <row r="147" spans="1:51">
      <c r="A147" s="15">
        <v>45072</v>
      </c>
      <c r="B147" s="436">
        <v>7</v>
      </c>
      <c r="C147" s="436">
        <v>7</v>
      </c>
      <c r="D147" s="436">
        <v>7</v>
      </c>
      <c r="E147" s="436">
        <v>7</v>
      </c>
      <c r="F147" s="436">
        <v>7</v>
      </c>
      <c r="G147" s="436">
        <v>7</v>
      </c>
      <c r="H147" s="436">
        <v>6</v>
      </c>
      <c r="I147" s="436">
        <v>7</v>
      </c>
      <c r="J147" s="436">
        <v>7</v>
      </c>
      <c r="K147" s="436">
        <v>7</v>
      </c>
      <c r="L147" s="436">
        <v>7</v>
      </c>
      <c r="M147" s="436">
        <v>7</v>
      </c>
      <c r="N147" s="436">
        <v>7</v>
      </c>
      <c r="O147" s="436">
        <v>7</v>
      </c>
      <c r="P147" s="436">
        <v>7</v>
      </c>
      <c r="Q147" s="436">
        <v>7</v>
      </c>
      <c r="R147" s="436">
        <v>7</v>
      </c>
      <c r="S147" s="436">
        <v>7</v>
      </c>
      <c r="T147" s="436">
        <v>7</v>
      </c>
      <c r="U147" s="436">
        <v>7</v>
      </c>
      <c r="V147" s="436">
        <v>7</v>
      </c>
      <c r="W147" s="436">
        <v>7</v>
      </c>
      <c r="X147" s="436">
        <v>7</v>
      </c>
      <c r="Y147" s="436">
        <v>7</v>
      </c>
      <c r="Z147" s="11">
        <f t="shared" si="61"/>
        <v>0</v>
      </c>
      <c r="AA147" s="11">
        <f t="shared" si="62"/>
        <v>0</v>
      </c>
      <c r="AB147" s="11">
        <f t="shared" si="63"/>
        <v>0</v>
      </c>
      <c r="AC147" s="11">
        <f t="shared" si="64"/>
        <v>0</v>
      </c>
      <c r="AD147" s="11">
        <f t="shared" si="65"/>
        <v>0</v>
      </c>
      <c r="AE147" s="11">
        <f t="shared" si="66"/>
        <v>0</v>
      </c>
      <c r="AF147" s="11">
        <f t="shared" si="67"/>
        <v>-1</v>
      </c>
      <c r="AG147" s="11">
        <f t="shared" si="68"/>
        <v>1</v>
      </c>
      <c r="AH147" s="11">
        <f t="shared" si="69"/>
        <v>0</v>
      </c>
      <c r="AI147" s="11">
        <f t="shared" si="70"/>
        <v>0</v>
      </c>
      <c r="AJ147" s="11">
        <f t="shared" si="71"/>
        <v>0</v>
      </c>
      <c r="AK147" s="11">
        <f t="shared" si="72"/>
        <v>0</v>
      </c>
      <c r="AL147" s="11">
        <f t="shared" si="73"/>
        <v>0</v>
      </c>
      <c r="AM147" s="11">
        <f t="shared" si="74"/>
        <v>0</v>
      </c>
      <c r="AN147" s="11">
        <f t="shared" si="75"/>
        <v>0</v>
      </c>
      <c r="AO147" s="11">
        <f t="shared" si="76"/>
        <v>0</v>
      </c>
      <c r="AP147" s="11">
        <f t="shared" si="77"/>
        <v>0</v>
      </c>
      <c r="AQ147" s="11">
        <f t="shared" si="78"/>
        <v>0</v>
      </c>
      <c r="AR147" s="11">
        <f t="shared" si="79"/>
        <v>0</v>
      </c>
      <c r="AS147" s="11">
        <f t="shared" si="80"/>
        <v>0</v>
      </c>
      <c r="AT147" s="11">
        <f t="shared" si="81"/>
        <v>0</v>
      </c>
      <c r="AU147" s="11">
        <f t="shared" si="82"/>
        <v>0</v>
      </c>
      <c r="AV147" s="11">
        <f t="shared" si="83"/>
        <v>0</v>
      </c>
      <c r="AW147" s="11">
        <f t="shared" si="84"/>
        <v>0</v>
      </c>
      <c r="AX147" s="11">
        <f t="shared" si="59"/>
        <v>1</v>
      </c>
      <c r="AY147" s="11">
        <f t="shared" si="60"/>
        <v>1</v>
      </c>
    </row>
    <row r="148" spans="1:51">
      <c r="A148" s="15">
        <v>45073</v>
      </c>
      <c r="B148" s="436">
        <v>7</v>
      </c>
      <c r="C148" s="436">
        <v>7</v>
      </c>
      <c r="D148" s="436">
        <v>7</v>
      </c>
      <c r="E148" s="436">
        <v>7</v>
      </c>
      <c r="F148" s="436">
        <v>7</v>
      </c>
      <c r="G148" s="436">
        <v>7</v>
      </c>
      <c r="H148" s="436">
        <v>7</v>
      </c>
      <c r="I148" s="436">
        <v>7</v>
      </c>
      <c r="J148" s="436">
        <v>7</v>
      </c>
      <c r="K148" s="436">
        <v>8</v>
      </c>
      <c r="L148" s="436">
        <v>8</v>
      </c>
      <c r="M148" s="436">
        <v>8</v>
      </c>
      <c r="N148" s="436">
        <v>8</v>
      </c>
      <c r="O148" s="436">
        <v>8</v>
      </c>
      <c r="P148" s="436">
        <v>8</v>
      </c>
      <c r="Q148" s="436">
        <v>8</v>
      </c>
      <c r="R148" s="436">
        <v>8</v>
      </c>
      <c r="S148" s="436">
        <v>8</v>
      </c>
      <c r="T148" s="436">
        <v>8</v>
      </c>
      <c r="U148" s="436">
        <v>8</v>
      </c>
      <c r="V148" s="436">
        <v>8</v>
      </c>
      <c r="W148" s="436">
        <v>8</v>
      </c>
      <c r="X148" s="436">
        <v>8</v>
      </c>
      <c r="Y148" s="436">
        <v>8</v>
      </c>
      <c r="Z148" s="11">
        <f t="shared" si="61"/>
        <v>0</v>
      </c>
      <c r="AA148" s="11">
        <f t="shared" si="62"/>
        <v>0</v>
      </c>
      <c r="AB148" s="11">
        <f t="shared" si="63"/>
        <v>0</v>
      </c>
      <c r="AC148" s="11">
        <f t="shared" si="64"/>
        <v>0</v>
      </c>
      <c r="AD148" s="11">
        <f t="shared" si="65"/>
        <v>0</v>
      </c>
      <c r="AE148" s="11">
        <f t="shared" si="66"/>
        <v>0</v>
      </c>
      <c r="AF148" s="11">
        <f t="shared" si="67"/>
        <v>0</v>
      </c>
      <c r="AG148" s="11">
        <f t="shared" si="68"/>
        <v>0</v>
      </c>
      <c r="AH148" s="11">
        <f t="shared" si="69"/>
        <v>0</v>
      </c>
      <c r="AI148" s="11">
        <f t="shared" si="70"/>
        <v>1</v>
      </c>
      <c r="AJ148" s="11">
        <f t="shared" si="71"/>
        <v>0</v>
      </c>
      <c r="AK148" s="11">
        <f t="shared" si="72"/>
        <v>0</v>
      </c>
      <c r="AL148" s="11">
        <f t="shared" si="73"/>
        <v>0</v>
      </c>
      <c r="AM148" s="11">
        <f t="shared" si="74"/>
        <v>0</v>
      </c>
      <c r="AN148" s="11">
        <f t="shared" si="75"/>
        <v>0</v>
      </c>
      <c r="AO148" s="11">
        <f t="shared" si="76"/>
        <v>0</v>
      </c>
      <c r="AP148" s="11">
        <f t="shared" si="77"/>
        <v>0</v>
      </c>
      <c r="AQ148" s="11">
        <f t="shared" si="78"/>
        <v>0</v>
      </c>
      <c r="AR148" s="11">
        <f t="shared" si="79"/>
        <v>0</v>
      </c>
      <c r="AS148" s="11">
        <f t="shared" si="80"/>
        <v>0</v>
      </c>
      <c r="AT148" s="11">
        <f t="shared" si="81"/>
        <v>0</v>
      </c>
      <c r="AU148" s="11">
        <f t="shared" si="82"/>
        <v>0</v>
      </c>
      <c r="AV148" s="11">
        <f t="shared" si="83"/>
        <v>0</v>
      </c>
      <c r="AW148" s="11">
        <f t="shared" si="84"/>
        <v>0</v>
      </c>
      <c r="AX148" s="11">
        <f t="shared" si="59"/>
        <v>1</v>
      </c>
      <c r="AY148" s="11">
        <f t="shared" si="60"/>
        <v>0</v>
      </c>
    </row>
    <row r="149" spans="1:51">
      <c r="A149" s="15">
        <v>45074</v>
      </c>
      <c r="B149" s="436">
        <v>8</v>
      </c>
      <c r="C149" s="436">
        <v>8</v>
      </c>
      <c r="D149" s="436">
        <v>8</v>
      </c>
      <c r="E149" s="436">
        <v>8</v>
      </c>
      <c r="F149" s="436">
        <v>8</v>
      </c>
      <c r="G149" s="436">
        <v>8</v>
      </c>
      <c r="H149" s="436">
        <v>8</v>
      </c>
      <c r="I149" s="436">
        <v>8</v>
      </c>
      <c r="J149" s="436">
        <v>8</v>
      </c>
      <c r="K149" s="436">
        <v>8</v>
      </c>
      <c r="L149" s="436">
        <v>8</v>
      </c>
      <c r="M149" s="436">
        <v>8</v>
      </c>
      <c r="N149" s="436">
        <v>8</v>
      </c>
      <c r="O149" s="436">
        <v>8</v>
      </c>
      <c r="P149" s="436">
        <v>8</v>
      </c>
      <c r="Q149" s="436">
        <v>8</v>
      </c>
      <c r="R149" s="436">
        <v>8</v>
      </c>
      <c r="S149" s="436">
        <v>8</v>
      </c>
      <c r="T149" s="436">
        <v>8</v>
      </c>
      <c r="U149" s="436">
        <v>8</v>
      </c>
      <c r="V149" s="436">
        <v>8</v>
      </c>
      <c r="W149" s="436">
        <v>8</v>
      </c>
      <c r="X149" s="436">
        <v>8</v>
      </c>
      <c r="Y149" s="436">
        <v>8</v>
      </c>
      <c r="Z149" s="11">
        <f t="shared" si="61"/>
        <v>0</v>
      </c>
      <c r="AA149" s="11">
        <f t="shared" si="62"/>
        <v>0</v>
      </c>
      <c r="AB149" s="11">
        <f t="shared" si="63"/>
        <v>0</v>
      </c>
      <c r="AC149" s="11">
        <f t="shared" si="64"/>
        <v>0</v>
      </c>
      <c r="AD149" s="11">
        <f t="shared" si="65"/>
        <v>0</v>
      </c>
      <c r="AE149" s="11">
        <f t="shared" si="66"/>
        <v>0</v>
      </c>
      <c r="AF149" s="11">
        <f t="shared" si="67"/>
        <v>0</v>
      </c>
      <c r="AG149" s="11">
        <f t="shared" si="68"/>
        <v>0</v>
      </c>
      <c r="AH149" s="11">
        <f t="shared" si="69"/>
        <v>0</v>
      </c>
      <c r="AI149" s="11">
        <f t="shared" si="70"/>
        <v>0</v>
      </c>
      <c r="AJ149" s="11">
        <f t="shared" si="71"/>
        <v>0</v>
      </c>
      <c r="AK149" s="11">
        <f t="shared" si="72"/>
        <v>0</v>
      </c>
      <c r="AL149" s="11">
        <f t="shared" si="73"/>
        <v>0</v>
      </c>
      <c r="AM149" s="11">
        <f t="shared" si="74"/>
        <v>0</v>
      </c>
      <c r="AN149" s="11">
        <f t="shared" si="75"/>
        <v>0</v>
      </c>
      <c r="AO149" s="11">
        <f t="shared" si="76"/>
        <v>0</v>
      </c>
      <c r="AP149" s="11">
        <f t="shared" si="77"/>
        <v>0</v>
      </c>
      <c r="AQ149" s="11">
        <f t="shared" si="78"/>
        <v>0</v>
      </c>
      <c r="AR149" s="11">
        <f t="shared" si="79"/>
        <v>0</v>
      </c>
      <c r="AS149" s="11">
        <f t="shared" si="80"/>
        <v>0</v>
      </c>
      <c r="AT149" s="11">
        <f t="shared" si="81"/>
        <v>0</v>
      </c>
      <c r="AU149" s="11">
        <f t="shared" si="82"/>
        <v>0</v>
      </c>
      <c r="AV149" s="11">
        <f t="shared" si="83"/>
        <v>0</v>
      </c>
      <c r="AW149" s="11">
        <f t="shared" si="84"/>
        <v>0</v>
      </c>
      <c r="AX149" s="11">
        <f t="shared" si="59"/>
        <v>0</v>
      </c>
      <c r="AY149" s="11">
        <f t="shared" si="60"/>
        <v>0</v>
      </c>
    </row>
    <row r="150" spans="1:51">
      <c r="A150" s="15">
        <v>45075</v>
      </c>
      <c r="B150" s="436">
        <v>8</v>
      </c>
      <c r="C150" s="436">
        <v>8</v>
      </c>
      <c r="D150" s="436">
        <v>8</v>
      </c>
      <c r="E150" s="436">
        <v>8</v>
      </c>
      <c r="F150" s="436">
        <v>8</v>
      </c>
      <c r="G150" s="436">
        <v>7</v>
      </c>
      <c r="H150" s="436">
        <v>7</v>
      </c>
      <c r="I150" s="436">
        <v>7</v>
      </c>
      <c r="J150" s="436">
        <v>8</v>
      </c>
      <c r="K150" s="436">
        <v>8</v>
      </c>
      <c r="L150" s="436">
        <v>8</v>
      </c>
      <c r="M150" s="436">
        <v>8</v>
      </c>
      <c r="N150" s="436">
        <v>8</v>
      </c>
      <c r="O150" s="436">
        <v>8</v>
      </c>
      <c r="P150" s="436">
        <v>8</v>
      </c>
      <c r="Q150" s="436">
        <v>8</v>
      </c>
      <c r="R150" s="436">
        <v>8</v>
      </c>
      <c r="S150" s="436">
        <v>8</v>
      </c>
      <c r="T150" s="436">
        <v>8</v>
      </c>
      <c r="U150" s="436">
        <v>8</v>
      </c>
      <c r="V150" s="436">
        <v>8</v>
      </c>
      <c r="W150" s="436">
        <v>8</v>
      </c>
      <c r="X150" s="436">
        <v>8</v>
      </c>
      <c r="Y150" s="436">
        <v>8</v>
      </c>
      <c r="Z150" s="11">
        <f t="shared" si="61"/>
        <v>0</v>
      </c>
      <c r="AA150" s="11">
        <f t="shared" si="62"/>
        <v>0</v>
      </c>
      <c r="AB150" s="11">
        <f t="shared" si="63"/>
        <v>0</v>
      </c>
      <c r="AC150" s="11">
        <f t="shared" si="64"/>
        <v>0</v>
      </c>
      <c r="AD150" s="11">
        <f t="shared" si="65"/>
        <v>0</v>
      </c>
      <c r="AE150" s="11">
        <f t="shared" si="66"/>
        <v>-1</v>
      </c>
      <c r="AF150" s="11">
        <f t="shared" si="67"/>
        <v>0</v>
      </c>
      <c r="AG150" s="11">
        <f t="shared" si="68"/>
        <v>0</v>
      </c>
      <c r="AH150" s="11">
        <f t="shared" si="69"/>
        <v>1</v>
      </c>
      <c r="AI150" s="11">
        <f t="shared" si="70"/>
        <v>0</v>
      </c>
      <c r="AJ150" s="11">
        <f t="shared" si="71"/>
        <v>0</v>
      </c>
      <c r="AK150" s="11">
        <f t="shared" si="72"/>
        <v>0</v>
      </c>
      <c r="AL150" s="11">
        <f t="shared" si="73"/>
        <v>0</v>
      </c>
      <c r="AM150" s="11">
        <f t="shared" si="74"/>
        <v>0</v>
      </c>
      <c r="AN150" s="11">
        <f t="shared" si="75"/>
        <v>0</v>
      </c>
      <c r="AO150" s="11">
        <f t="shared" si="76"/>
        <v>0</v>
      </c>
      <c r="AP150" s="11">
        <f t="shared" si="77"/>
        <v>0</v>
      </c>
      <c r="AQ150" s="11">
        <f t="shared" si="78"/>
        <v>0</v>
      </c>
      <c r="AR150" s="11">
        <f t="shared" si="79"/>
        <v>0</v>
      </c>
      <c r="AS150" s="11">
        <f t="shared" si="80"/>
        <v>0</v>
      </c>
      <c r="AT150" s="11">
        <f t="shared" si="81"/>
        <v>0</v>
      </c>
      <c r="AU150" s="11">
        <f t="shared" si="82"/>
        <v>0</v>
      </c>
      <c r="AV150" s="11">
        <f t="shared" si="83"/>
        <v>0</v>
      </c>
      <c r="AW150" s="11">
        <f t="shared" si="84"/>
        <v>0</v>
      </c>
      <c r="AX150" s="11">
        <f t="shared" si="59"/>
        <v>1</v>
      </c>
      <c r="AY150" s="11">
        <f t="shared" si="60"/>
        <v>1</v>
      </c>
    </row>
    <row r="151" spans="1:51">
      <c r="A151" s="15">
        <v>45076</v>
      </c>
      <c r="B151" s="436">
        <v>8</v>
      </c>
      <c r="C151" s="436">
        <v>8</v>
      </c>
      <c r="D151" s="436">
        <v>8</v>
      </c>
      <c r="E151" s="436">
        <v>8</v>
      </c>
      <c r="F151" s="436">
        <v>8</v>
      </c>
      <c r="G151" s="436">
        <v>7</v>
      </c>
      <c r="H151" s="436">
        <v>7</v>
      </c>
      <c r="I151" s="436">
        <v>7</v>
      </c>
      <c r="J151" s="436">
        <v>8</v>
      </c>
      <c r="K151" s="436">
        <v>8</v>
      </c>
      <c r="L151" s="436">
        <v>8</v>
      </c>
      <c r="M151" s="436">
        <v>8</v>
      </c>
      <c r="N151" s="436">
        <v>8</v>
      </c>
      <c r="O151" s="436">
        <v>8</v>
      </c>
      <c r="P151" s="436">
        <v>8</v>
      </c>
      <c r="Q151" s="436">
        <v>8</v>
      </c>
      <c r="R151" s="436">
        <v>8</v>
      </c>
      <c r="S151" s="436">
        <v>8</v>
      </c>
      <c r="T151" s="436">
        <v>8</v>
      </c>
      <c r="U151" s="436">
        <v>8</v>
      </c>
      <c r="V151" s="436">
        <v>8</v>
      </c>
      <c r="W151" s="436">
        <v>8</v>
      </c>
      <c r="X151" s="436">
        <v>8</v>
      </c>
      <c r="Y151" s="436">
        <v>8</v>
      </c>
      <c r="Z151" s="11">
        <f t="shared" si="61"/>
        <v>0</v>
      </c>
      <c r="AA151" s="11">
        <f t="shared" si="62"/>
        <v>0</v>
      </c>
      <c r="AB151" s="11">
        <f t="shared" si="63"/>
        <v>0</v>
      </c>
      <c r="AC151" s="11">
        <f t="shared" si="64"/>
        <v>0</v>
      </c>
      <c r="AD151" s="11">
        <f t="shared" si="65"/>
        <v>0</v>
      </c>
      <c r="AE151" s="11">
        <f t="shared" si="66"/>
        <v>-1</v>
      </c>
      <c r="AF151" s="11">
        <f t="shared" si="67"/>
        <v>0</v>
      </c>
      <c r="AG151" s="11">
        <f t="shared" si="68"/>
        <v>0</v>
      </c>
      <c r="AH151" s="11">
        <f t="shared" si="69"/>
        <v>1</v>
      </c>
      <c r="AI151" s="11">
        <f t="shared" si="70"/>
        <v>0</v>
      </c>
      <c r="AJ151" s="11">
        <f t="shared" si="71"/>
        <v>0</v>
      </c>
      <c r="AK151" s="11">
        <f t="shared" si="72"/>
        <v>0</v>
      </c>
      <c r="AL151" s="11">
        <f t="shared" si="73"/>
        <v>0</v>
      </c>
      <c r="AM151" s="11">
        <f t="shared" si="74"/>
        <v>0</v>
      </c>
      <c r="AN151" s="11">
        <f t="shared" si="75"/>
        <v>0</v>
      </c>
      <c r="AO151" s="11">
        <f t="shared" si="76"/>
        <v>0</v>
      </c>
      <c r="AP151" s="11">
        <f t="shared" si="77"/>
        <v>0</v>
      </c>
      <c r="AQ151" s="11">
        <f t="shared" si="78"/>
        <v>0</v>
      </c>
      <c r="AR151" s="11">
        <f t="shared" si="79"/>
        <v>0</v>
      </c>
      <c r="AS151" s="11">
        <f t="shared" si="80"/>
        <v>0</v>
      </c>
      <c r="AT151" s="11">
        <f t="shared" si="81"/>
        <v>0</v>
      </c>
      <c r="AU151" s="11">
        <f t="shared" si="82"/>
        <v>0</v>
      </c>
      <c r="AV151" s="11">
        <f t="shared" si="83"/>
        <v>0</v>
      </c>
      <c r="AW151" s="11">
        <f t="shared" si="84"/>
        <v>0</v>
      </c>
      <c r="AX151" s="11">
        <f t="shared" si="59"/>
        <v>1</v>
      </c>
      <c r="AY151" s="11">
        <f t="shared" si="60"/>
        <v>1</v>
      </c>
    </row>
    <row r="152" spans="1:51">
      <c r="A152" s="15">
        <v>45077</v>
      </c>
      <c r="B152" s="436">
        <v>8</v>
      </c>
      <c r="C152" s="436">
        <v>8</v>
      </c>
      <c r="D152" s="436">
        <v>8</v>
      </c>
      <c r="E152" s="436">
        <v>8</v>
      </c>
      <c r="F152" s="436">
        <v>8</v>
      </c>
      <c r="G152" s="436">
        <v>7</v>
      </c>
      <c r="H152" s="436">
        <v>7</v>
      </c>
      <c r="I152" s="436">
        <v>7</v>
      </c>
      <c r="J152" s="436">
        <v>7</v>
      </c>
      <c r="K152" s="436">
        <v>8</v>
      </c>
      <c r="L152" s="436">
        <v>8</v>
      </c>
      <c r="M152" s="436">
        <v>8</v>
      </c>
      <c r="N152" s="436">
        <v>8</v>
      </c>
      <c r="O152" s="436">
        <v>8</v>
      </c>
      <c r="P152" s="436">
        <v>8</v>
      </c>
      <c r="Q152" s="436">
        <v>8</v>
      </c>
      <c r="R152" s="436">
        <v>8</v>
      </c>
      <c r="S152" s="436">
        <v>8</v>
      </c>
      <c r="T152" s="436">
        <v>8</v>
      </c>
      <c r="U152" s="436">
        <v>8</v>
      </c>
      <c r="V152" s="436">
        <v>8</v>
      </c>
      <c r="W152" s="436">
        <v>8</v>
      </c>
      <c r="X152" s="436">
        <v>8</v>
      </c>
      <c r="Y152" s="436">
        <v>8</v>
      </c>
      <c r="Z152" s="11">
        <f t="shared" si="61"/>
        <v>0</v>
      </c>
      <c r="AA152" s="11">
        <f t="shared" si="62"/>
        <v>0</v>
      </c>
      <c r="AB152" s="11">
        <f t="shared" si="63"/>
        <v>0</v>
      </c>
      <c r="AC152" s="11">
        <f t="shared" si="64"/>
        <v>0</v>
      </c>
      <c r="AD152" s="11">
        <f t="shared" si="65"/>
        <v>0</v>
      </c>
      <c r="AE152" s="11">
        <f t="shared" si="66"/>
        <v>-1</v>
      </c>
      <c r="AF152" s="11">
        <f t="shared" si="67"/>
        <v>0</v>
      </c>
      <c r="AG152" s="11">
        <f t="shared" si="68"/>
        <v>0</v>
      </c>
      <c r="AH152" s="11">
        <f t="shared" si="69"/>
        <v>0</v>
      </c>
      <c r="AI152" s="11">
        <f t="shared" si="70"/>
        <v>1</v>
      </c>
      <c r="AJ152" s="11">
        <f t="shared" si="71"/>
        <v>0</v>
      </c>
      <c r="AK152" s="11">
        <f t="shared" si="72"/>
        <v>0</v>
      </c>
      <c r="AL152" s="11">
        <f t="shared" si="73"/>
        <v>0</v>
      </c>
      <c r="AM152" s="11">
        <f t="shared" si="74"/>
        <v>0</v>
      </c>
      <c r="AN152" s="11">
        <f t="shared" si="75"/>
        <v>0</v>
      </c>
      <c r="AO152" s="11">
        <f t="shared" si="76"/>
        <v>0</v>
      </c>
      <c r="AP152" s="11">
        <f t="shared" si="77"/>
        <v>0</v>
      </c>
      <c r="AQ152" s="11">
        <f t="shared" si="78"/>
        <v>0</v>
      </c>
      <c r="AR152" s="11">
        <f t="shared" si="79"/>
        <v>0</v>
      </c>
      <c r="AS152" s="11">
        <f t="shared" si="80"/>
        <v>0</v>
      </c>
      <c r="AT152" s="11">
        <f t="shared" si="81"/>
        <v>0</v>
      </c>
      <c r="AU152" s="11">
        <f t="shared" si="82"/>
        <v>0</v>
      </c>
      <c r="AV152" s="11">
        <f t="shared" si="83"/>
        <v>0</v>
      </c>
      <c r="AW152" s="11">
        <f t="shared" si="84"/>
        <v>0</v>
      </c>
      <c r="AX152" s="11">
        <f t="shared" si="59"/>
        <v>1</v>
      </c>
      <c r="AY152" s="11">
        <f t="shared" si="60"/>
        <v>1</v>
      </c>
    </row>
    <row r="153" spans="1:51">
      <c r="A153" s="15">
        <v>45078</v>
      </c>
      <c r="B153" s="436">
        <v>8</v>
      </c>
      <c r="C153" s="436">
        <v>8</v>
      </c>
      <c r="D153" s="436">
        <v>8</v>
      </c>
      <c r="E153" s="436">
        <v>8</v>
      </c>
      <c r="F153" s="436">
        <v>8</v>
      </c>
      <c r="G153" s="436">
        <v>7</v>
      </c>
      <c r="H153" s="436">
        <v>7</v>
      </c>
      <c r="I153" s="436">
        <v>7</v>
      </c>
      <c r="J153" s="436">
        <v>8</v>
      </c>
      <c r="K153" s="436">
        <v>8</v>
      </c>
      <c r="L153" s="436">
        <v>8</v>
      </c>
      <c r="M153" s="436">
        <v>8</v>
      </c>
      <c r="N153" s="436">
        <v>8</v>
      </c>
      <c r="O153" s="436">
        <v>8</v>
      </c>
      <c r="P153" s="436">
        <v>8</v>
      </c>
      <c r="Q153" s="436">
        <v>8</v>
      </c>
      <c r="R153" s="436">
        <v>8</v>
      </c>
      <c r="S153" s="436">
        <v>8</v>
      </c>
      <c r="T153" s="436">
        <v>8</v>
      </c>
      <c r="U153" s="436">
        <v>8</v>
      </c>
      <c r="V153" s="436">
        <v>8</v>
      </c>
      <c r="W153" s="436">
        <v>8</v>
      </c>
      <c r="X153" s="436">
        <v>8</v>
      </c>
      <c r="Y153" s="436">
        <v>8</v>
      </c>
      <c r="Z153" s="11">
        <f t="shared" si="61"/>
        <v>0</v>
      </c>
      <c r="AA153" s="11">
        <f>C153-B153</f>
        <v>0</v>
      </c>
      <c r="AB153" s="11">
        <f t="shared" si="63"/>
        <v>0</v>
      </c>
      <c r="AC153" s="11">
        <f t="shared" si="64"/>
        <v>0</v>
      </c>
      <c r="AD153" s="11">
        <f t="shared" si="65"/>
        <v>0</v>
      </c>
      <c r="AE153" s="11">
        <f t="shared" si="66"/>
        <v>-1</v>
      </c>
      <c r="AF153" s="11">
        <f t="shared" si="67"/>
        <v>0</v>
      </c>
      <c r="AG153" s="11">
        <f t="shared" si="68"/>
        <v>0</v>
      </c>
      <c r="AH153" s="11">
        <f t="shared" si="69"/>
        <v>1</v>
      </c>
      <c r="AI153" s="11">
        <f t="shared" si="70"/>
        <v>0</v>
      </c>
      <c r="AJ153" s="11">
        <f t="shared" si="71"/>
        <v>0</v>
      </c>
      <c r="AK153" s="11">
        <f t="shared" si="72"/>
        <v>0</v>
      </c>
      <c r="AL153" s="11">
        <f t="shared" si="73"/>
        <v>0</v>
      </c>
      <c r="AM153" s="11">
        <f t="shared" si="74"/>
        <v>0</v>
      </c>
      <c r="AN153" s="11">
        <f t="shared" si="75"/>
        <v>0</v>
      </c>
      <c r="AO153" s="11">
        <f t="shared" si="76"/>
        <v>0</v>
      </c>
      <c r="AP153" s="11">
        <f t="shared" si="77"/>
        <v>0</v>
      </c>
      <c r="AQ153" s="11">
        <f t="shared" si="78"/>
        <v>0</v>
      </c>
      <c r="AR153" s="11">
        <f t="shared" si="79"/>
        <v>0</v>
      </c>
      <c r="AS153" s="11">
        <f t="shared" si="80"/>
        <v>0</v>
      </c>
      <c r="AT153" s="11">
        <f t="shared" si="81"/>
        <v>0</v>
      </c>
      <c r="AU153" s="11">
        <f t="shared" si="82"/>
        <v>0</v>
      </c>
      <c r="AV153" s="11">
        <f t="shared" si="83"/>
        <v>0</v>
      </c>
      <c r="AW153" s="11">
        <f t="shared" si="84"/>
        <v>0</v>
      </c>
      <c r="AX153" s="11">
        <f t="shared" si="59"/>
        <v>1</v>
      </c>
      <c r="AY153" s="11">
        <f t="shared" si="60"/>
        <v>1</v>
      </c>
    </row>
    <row r="154" spans="1:51">
      <c r="A154" s="15">
        <v>45079</v>
      </c>
      <c r="B154" s="436">
        <v>8</v>
      </c>
      <c r="C154" s="436">
        <v>8</v>
      </c>
      <c r="D154" s="436">
        <v>8</v>
      </c>
      <c r="E154" s="436">
        <v>8</v>
      </c>
      <c r="F154" s="436">
        <v>8</v>
      </c>
      <c r="G154" s="436">
        <v>7</v>
      </c>
      <c r="H154" s="436">
        <v>7</v>
      </c>
      <c r="I154" s="436">
        <v>7</v>
      </c>
      <c r="J154" s="436">
        <v>7</v>
      </c>
      <c r="K154" s="436">
        <v>8</v>
      </c>
      <c r="L154" s="436">
        <v>8</v>
      </c>
      <c r="M154" s="436">
        <v>8</v>
      </c>
      <c r="N154" s="436">
        <v>8</v>
      </c>
      <c r="O154" s="436">
        <v>8</v>
      </c>
      <c r="P154" s="436">
        <v>8</v>
      </c>
      <c r="Q154" s="436">
        <v>8</v>
      </c>
      <c r="R154" s="436">
        <v>8</v>
      </c>
      <c r="S154" s="436">
        <v>8</v>
      </c>
      <c r="T154" s="436">
        <v>8</v>
      </c>
      <c r="U154" s="436">
        <v>8</v>
      </c>
      <c r="V154" s="436">
        <v>8</v>
      </c>
      <c r="W154" s="436">
        <v>8</v>
      </c>
      <c r="X154" s="436">
        <v>8</v>
      </c>
      <c r="Y154" s="436">
        <v>8</v>
      </c>
      <c r="Z154" s="11">
        <f>B154-Y153</f>
        <v>0</v>
      </c>
      <c r="AA154" s="11">
        <f>C154-B154</f>
        <v>0</v>
      </c>
      <c r="AB154" s="11">
        <f t="shared" ref="AB154:AW154" si="86">D154-C154</f>
        <v>0</v>
      </c>
      <c r="AC154" s="11">
        <f t="shared" si="86"/>
        <v>0</v>
      </c>
      <c r="AD154" s="11">
        <f t="shared" si="86"/>
        <v>0</v>
      </c>
      <c r="AE154" s="11">
        <f t="shared" si="86"/>
        <v>-1</v>
      </c>
      <c r="AF154" s="11">
        <f t="shared" si="86"/>
        <v>0</v>
      </c>
      <c r="AG154" s="11">
        <f t="shared" si="86"/>
        <v>0</v>
      </c>
      <c r="AH154" s="11">
        <f t="shared" si="86"/>
        <v>0</v>
      </c>
      <c r="AI154" s="11">
        <f t="shared" si="86"/>
        <v>1</v>
      </c>
      <c r="AJ154" s="11">
        <f t="shared" si="86"/>
        <v>0</v>
      </c>
      <c r="AK154" s="11">
        <f t="shared" si="86"/>
        <v>0</v>
      </c>
      <c r="AL154" s="11">
        <f t="shared" si="86"/>
        <v>0</v>
      </c>
      <c r="AM154" s="11">
        <f t="shared" si="86"/>
        <v>0</v>
      </c>
      <c r="AN154" s="11">
        <f t="shared" si="86"/>
        <v>0</v>
      </c>
      <c r="AO154" s="11">
        <f t="shared" si="86"/>
        <v>0</v>
      </c>
      <c r="AP154" s="11">
        <f t="shared" si="86"/>
        <v>0</v>
      </c>
      <c r="AQ154" s="11">
        <f t="shared" si="86"/>
        <v>0</v>
      </c>
      <c r="AR154" s="11">
        <f t="shared" si="86"/>
        <v>0</v>
      </c>
      <c r="AS154" s="11">
        <f t="shared" si="86"/>
        <v>0</v>
      </c>
      <c r="AT154" s="11">
        <f t="shared" si="86"/>
        <v>0</v>
      </c>
      <c r="AU154" s="11">
        <f t="shared" si="86"/>
        <v>0</v>
      </c>
      <c r="AV154" s="11">
        <f t="shared" si="86"/>
        <v>0</v>
      </c>
      <c r="AW154" s="11">
        <f t="shared" si="86"/>
        <v>0</v>
      </c>
      <c r="AX154" s="11">
        <f>SUMIF(Z154:AW154,"&gt;0")</f>
        <v>1</v>
      </c>
      <c r="AY154" s="11">
        <f t="shared" si="60"/>
        <v>1</v>
      </c>
    </row>
    <row r="155" spans="1:51">
      <c r="A155" s="15">
        <v>45080</v>
      </c>
      <c r="B155" s="436">
        <v>8</v>
      </c>
      <c r="C155" s="436">
        <v>8</v>
      </c>
      <c r="D155" s="436">
        <v>8</v>
      </c>
      <c r="E155" s="436">
        <v>8</v>
      </c>
      <c r="F155" s="436">
        <v>8</v>
      </c>
      <c r="G155" s="436">
        <v>8</v>
      </c>
      <c r="H155" s="436">
        <v>8</v>
      </c>
      <c r="I155" s="436">
        <v>8</v>
      </c>
      <c r="J155" s="436">
        <v>8</v>
      </c>
      <c r="K155" s="436">
        <v>8</v>
      </c>
      <c r="L155" s="436">
        <v>8</v>
      </c>
      <c r="M155" s="436">
        <v>8</v>
      </c>
      <c r="N155" s="436">
        <v>8</v>
      </c>
      <c r="O155" s="436">
        <v>8</v>
      </c>
      <c r="P155" s="436">
        <v>8</v>
      </c>
      <c r="Q155" s="436">
        <v>8</v>
      </c>
      <c r="R155" s="436">
        <v>8</v>
      </c>
      <c r="S155" s="436">
        <v>8</v>
      </c>
      <c r="T155" s="436">
        <v>8</v>
      </c>
      <c r="U155" s="436">
        <v>8</v>
      </c>
      <c r="V155" s="436">
        <v>8</v>
      </c>
      <c r="W155" s="436">
        <v>8</v>
      </c>
      <c r="X155" s="436">
        <v>8</v>
      </c>
      <c r="Y155" s="436">
        <v>8</v>
      </c>
      <c r="Z155" s="11">
        <f>B155-Y154</f>
        <v>0</v>
      </c>
      <c r="AA155" s="11">
        <f>C155-B155</f>
        <v>0</v>
      </c>
      <c r="AB155" s="11">
        <f t="shared" ref="AB155:AW155" si="87">D155-C155</f>
        <v>0</v>
      </c>
      <c r="AC155" s="11">
        <f t="shared" si="87"/>
        <v>0</v>
      </c>
      <c r="AD155" s="11">
        <f t="shared" si="87"/>
        <v>0</v>
      </c>
      <c r="AE155" s="11">
        <f t="shared" si="87"/>
        <v>0</v>
      </c>
      <c r="AF155" s="11">
        <f t="shared" si="87"/>
        <v>0</v>
      </c>
      <c r="AG155" s="11">
        <f t="shared" si="87"/>
        <v>0</v>
      </c>
      <c r="AH155" s="11">
        <f t="shared" si="87"/>
        <v>0</v>
      </c>
      <c r="AI155" s="11">
        <f t="shared" si="87"/>
        <v>0</v>
      </c>
      <c r="AJ155" s="11">
        <f t="shared" si="87"/>
        <v>0</v>
      </c>
      <c r="AK155" s="11">
        <f t="shared" si="87"/>
        <v>0</v>
      </c>
      <c r="AL155" s="11">
        <f t="shared" si="87"/>
        <v>0</v>
      </c>
      <c r="AM155" s="11">
        <f t="shared" si="87"/>
        <v>0</v>
      </c>
      <c r="AN155" s="11">
        <f t="shared" si="87"/>
        <v>0</v>
      </c>
      <c r="AO155" s="11">
        <f t="shared" si="87"/>
        <v>0</v>
      </c>
      <c r="AP155" s="11">
        <f t="shared" si="87"/>
        <v>0</v>
      </c>
      <c r="AQ155" s="11">
        <f t="shared" si="87"/>
        <v>0</v>
      </c>
      <c r="AR155" s="11">
        <f t="shared" si="87"/>
        <v>0</v>
      </c>
      <c r="AS155" s="11">
        <f t="shared" si="87"/>
        <v>0</v>
      </c>
      <c r="AT155" s="11">
        <f t="shared" si="87"/>
        <v>0</v>
      </c>
      <c r="AU155" s="11">
        <f t="shared" si="87"/>
        <v>0</v>
      </c>
      <c r="AV155" s="11">
        <f t="shared" si="87"/>
        <v>0</v>
      </c>
      <c r="AW155" s="11">
        <f t="shared" si="87"/>
        <v>0</v>
      </c>
      <c r="AX155" s="11">
        <f>SUMIF(Z155:AW155,"&gt;0")</f>
        <v>0</v>
      </c>
      <c r="AY155" s="11">
        <f>SUMIF(Z155:AW155,"&lt;0")*-1</f>
        <v>0</v>
      </c>
    </row>
    <row r="156" spans="1:51">
      <c r="A156" s="15">
        <v>45081</v>
      </c>
      <c r="B156" s="436">
        <v>8</v>
      </c>
      <c r="C156" s="436">
        <v>8</v>
      </c>
      <c r="D156" s="436">
        <v>8</v>
      </c>
      <c r="E156" s="436">
        <v>8</v>
      </c>
      <c r="F156" s="436">
        <v>8</v>
      </c>
      <c r="G156" s="436">
        <v>8</v>
      </c>
      <c r="H156" s="436">
        <v>7</v>
      </c>
      <c r="I156" s="436">
        <v>7</v>
      </c>
      <c r="J156" s="436">
        <v>8</v>
      </c>
      <c r="K156" s="436">
        <v>8</v>
      </c>
      <c r="L156" s="436">
        <v>8</v>
      </c>
      <c r="M156" s="436">
        <v>8</v>
      </c>
      <c r="N156" s="436">
        <v>8</v>
      </c>
      <c r="O156" s="436">
        <v>8</v>
      </c>
      <c r="P156" s="436">
        <v>8</v>
      </c>
      <c r="Q156" s="436">
        <v>8</v>
      </c>
      <c r="R156" s="436">
        <v>8</v>
      </c>
      <c r="S156" s="436">
        <v>8</v>
      </c>
      <c r="T156" s="436">
        <v>8</v>
      </c>
      <c r="U156" s="436">
        <v>8</v>
      </c>
      <c r="V156" s="436">
        <v>8</v>
      </c>
      <c r="W156" s="436">
        <v>8</v>
      </c>
      <c r="X156" s="436">
        <v>8</v>
      </c>
      <c r="Y156" s="436">
        <v>8</v>
      </c>
      <c r="Z156" s="11">
        <f>B156-Y155</f>
        <v>0</v>
      </c>
      <c r="AA156" s="11">
        <f>C156-B156</f>
        <v>0</v>
      </c>
      <c r="AB156" s="11">
        <f t="shared" ref="AB156:AH156" si="88">D156-C156</f>
        <v>0</v>
      </c>
      <c r="AC156" s="11">
        <f t="shared" si="88"/>
        <v>0</v>
      </c>
      <c r="AD156" s="11">
        <f t="shared" si="88"/>
        <v>0</v>
      </c>
      <c r="AE156" s="11">
        <f t="shared" si="88"/>
        <v>0</v>
      </c>
      <c r="AF156" s="11">
        <f t="shared" si="88"/>
        <v>-1</v>
      </c>
      <c r="AG156" s="11">
        <f t="shared" si="88"/>
        <v>0</v>
      </c>
      <c r="AH156" s="11">
        <f t="shared" si="88"/>
        <v>1</v>
      </c>
      <c r="AI156" s="11">
        <f t="shared" ref="AI156:AW156" si="89">K156-J156</f>
        <v>0</v>
      </c>
      <c r="AJ156" s="11">
        <f t="shared" si="89"/>
        <v>0</v>
      </c>
      <c r="AK156" s="11">
        <f t="shared" si="89"/>
        <v>0</v>
      </c>
      <c r="AL156" s="11">
        <f t="shared" si="89"/>
        <v>0</v>
      </c>
      <c r="AM156" s="11">
        <f t="shared" si="89"/>
        <v>0</v>
      </c>
      <c r="AN156" s="11">
        <f t="shared" si="89"/>
        <v>0</v>
      </c>
      <c r="AO156" s="11">
        <f t="shared" si="89"/>
        <v>0</v>
      </c>
      <c r="AP156" s="11">
        <f t="shared" si="89"/>
        <v>0</v>
      </c>
      <c r="AQ156" s="11">
        <f t="shared" si="89"/>
        <v>0</v>
      </c>
      <c r="AR156" s="11">
        <f t="shared" si="89"/>
        <v>0</v>
      </c>
      <c r="AS156" s="11">
        <f t="shared" si="89"/>
        <v>0</v>
      </c>
      <c r="AT156" s="11">
        <f t="shared" si="89"/>
        <v>0</v>
      </c>
      <c r="AU156" s="11">
        <f t="shared" si="89"/>
        <v>0</v>
      </c>
      <c r="AV156" s="11">
        <f t="shared" si="89"/>
        <v>0</v>
      </c>
      <c r="AW156" s="11">
        <f t="shared" si="89"/>
        <v>0</v>
      </c>
      <c r="AX156" s="11">
        <f>SUMIF(Z156:AW156,"&gt;0")</f>
        <v>1</v>
      </c>
      <c r="AY156" s="11">
        <f t="shared" si="60"/>
        <v>1</v>
      </c>
    </row>
    <row r="157" spans="1:51">
      <c r="A157" s="15">
        <v>45082</v>
      </c>
      <c r="B157" s="436">
        <v>8</v>
      </c>
      <c r="C157" s="436">
        <v>8</v>
      </c>
      <c r="D157" s="436">
        <v>8</v>
      </c>
      <c r="E157" s="436">
        <v>8</v>
      </c>
      <c r="F157" s="436">
        <v>8</v>
      </c>
      <c r="G157" s="436">
        <v>7</v>
      </c>
      <c r="H157" s="436">
        <v>7</v>
      </c>
      <c r="I157" s="436">
        <v>7</v>
      </c>
      <c r="J157" s="436">
        <v>8</v>
      </c>
      <c r="K157" s="436">
        <v>8</v>
      </c>
      <c r="L157" s="436">
        <v>8</v>
      </c>
      <c r="M157" s="436">
        <v>8</v>
      </c>
      <c r="N157" s="436">
        <v>8</v>
      </c>
      <c r="O157" s="436">
        <v>8</v>
      </c>
      <c r="P157" s="436">
        <v>8</v>
      </c>
      <c r="Q157" s="436">
        <v>8</v>
      </c>
      <c r="R157" s="436">
        <v>8</v>
      </c>
      <c r="S157" s="436">
        <v>8</v>
      </c>
      <c r="T157" s="436">
        <v>8</v>
      </c>
      <c r="U157" s="436">
        <v>8</v>
      </c>
      <c r="V157" s="436">
        <v>8</v>
      </c>
      <c r="W157" s="436">
        <v>8</v>
      </c>
      <c r="X157" s="436">
        <v>8</v>
      </c>
      <c r="Y157" s="436">
        <v>8</v>
      </c>
      <c r="Z157" s="11">
        <f>B157-Y156</f>
        <v>0</v>
      </c>
      <c r="AA157" s="11">
        <f t="shared" ref="AA157:AA182" si="90">C157-B157</f>
        <v>0</v>
      </c>
      <c r="AB157" s="11">
        <f t="shared" ref="AB157:AB183" si="91">D157-C157</f>
        <v>0</v>
      </c>
      <c r="AC157" s="11">
        <f t="shared" ref="AC157:AC183" si="92">E157-D157</f>
        <v>0</v>
      </c>
      <c r="AD157" s="11">
        <f t="shared" ref="AD157:AD183" si="93">F157-E157</f>
        <v>0</v>
      </c>
      <c r="AE157" s="11">
        <f t="shared" ref="AE157:AE183" si="94">G157-F157</f>
        <v>-1</v>
      </c>
      <c r="AF157" s="11">
        <f t="shared" ref="AF157:AF183" si="95">H157-G157</f>
        <v>0</v>
      </c>
      <c r="AG157" s="11">
        <f t="shared" ref="AG157:AG183" si="96">I157-H157</f>
        <v>0</v>
      </c>
      <c r="AH157" s="11">
        <f t="shared" ref="AH157:AH183" si="97">J157-I157</f>
        <v>1</v>
      </c>
      <c r="AI157" s="11">
        <f t="shared" ref="AI157:AI183" si="98">K157-J157</f>
        <v>0</v>
      </c>
      <c r="AJ157" s="11">
        <f t="shared" ref="AJ157:AJ183" si="99">L157-K157</f>
        <v>0</v>
      </c>
      <c r="AK157" s="11">
        <f t="shared" ref="AK157:AK183" si="100">M157-L157</f>
        <v>0</v>
      </c>
      <c r="AL157" s="11">
        <f t="shared" ref="AL157:AL183" si="101">N157-M157</f>
        <v>0</v>
      </c>
      <c r="AM157" s="11">
        <f t="shared" ref="AM157:AM183" si="102">O157-N157</f>
        <v>0</v>
      </c>
      <c r="AN157" s="11">
        <f t="shared" ref="AN157:AN183" si="103">P157-O157</f>
        <v>0</v>
      </c>
      <c r="AO157" s="11">
        <f t="shared" ref="AO157:AO183" si="104">Q157-P157</f>
        <v>0</v>
      </c>
      <c r="AP157" s="11">
        <f t="shared" ref="AP157:AP183" si="105">R157-Q157</f>
        <v>0</v>
      </c>
      <c r="AQ157" s="11">
        <f t="shared" ref="AQ157:AQ183" si="106">S157-R157</f>
        <v>0</v>
      </c>
      <c r="AR157" s="11">
        <f t="shared" ref="AR157:AR183" si="107">T157-S157</f>
        <v>0</v>
      </c>
      <c r="AS157" s="11">
        <f t="shared" ref="AS157:AS183" si="108">U157-T157</f>
        <v>0</v>
      </c>
      <c r="AT157" s="11">
        <f t="shared" ref="AT157:AT183" si="109">V157-U157</f>
        <v>0</v>
      </c>
      <c r="AU157" s="11">
        <f t="shared" ref="AU157:AU183" si="110">W157-V157</f>
        <v>0</v>
      </c>
      <c r="AV157" s="11">
        <f t="shared" ref="AV157:AV183" si="111">X157-W157</f>
        <v>0</v>
      </c>
      <c r="AW157" s="11">
        <f t="shared" ref="AW157:AW183" si="112">Y157-X157</f>
        <v>0</v>
      </c>
      <c r="AX157" s="11">
        <f t="shared" ref="AX157:AX183" si="113">SUMIF(Z157:AW157,"&gt;0")</f>
        <v>1</v>
      </c>
      <c r="AY157" s="11">
        <f t="shared" si="60"/>
        <v>1</v>
      </c>
    </row>
    <row r="158" spans="1:51">
      <c r="A158" s="15">
        <v>45083</v>
      </c>
      <c r="B158" s="436">
        <v>8</v>
      </c>
      <c r="C158" s="436">
        <v>8</v>
      </c>
      <c r="D158" s="436">
        <v>8</v>
      </c>
      <c r="E158" s="436">
        <v>8</v>
      </c>
      <c r="F158" s="436">
        <v>8</v>
      </c>
      <c r="G158" s="436">
        <v>7</v>
      </c>
      <c r="H158" s="436">
        <v>8</v>
      </c>
      <c r="I158" s="436">
        <v>7</v>
      </c>
      <c r="J158" s="436">
        <v>7</v>
      </c>
      <c r="K158" s="436">
        <v>8</v>
      </c>
      <c r="L158" s="436">
        <v>8</v>
      </c>
      <c r="M158" s="436">
        <v>8</v>
      </c>
      <c r="N158" s="436">
        <v>8</v>
      </c>
      <c r="O158" s="436">
        <v>8</v>
      </c>
      <c r="P158" s="436">
        <v>8</v>
      </c>
      <c r="Q158" s="436">
        <v>8</v>
      </c>
      <c r="R158" s="436">
        <v>8</v>
      </c>
      <c r="S158" s="436">
        <v>8</v>
      </c>
      <c r="T158" s="436">
        <v>8</v>
      </c>
      <c r="U158" s="436">
        <v>8</v>
      </c>
      <c r="V158" s="436">
        <v>8</v>
      </c>
      <c r="W158" s="436">
        <v>8</v>
      </c>
      <c r="X158" s="436">
        <v>8</v>
      </c>
      <c r="Y158" s="436">
        <v>8</v>
      </c>
      <c r="Z158" s="11">
        <f t="shared" ref="Z158:Z183" si="114">B158-Y157</f>
        <v>0</v>
      </c>
      <c r="AA158" s="11">
        <f t="shared" si="90"/>
        <v>0</v>
      </c>
      <c r="AB158" s="11">
        <f t="shared" si="91"/>
        <v>0</v>
      </c>
      <c r="AC158" s="11">
        <f t="shared" si="92"/>
        <v>0</v>
      </c>
      <c r="AD158" s="11">
        <f t="shared" si="93"/>
        <v>0</v>
      </c>
      <c r="AE158" s="11">
        <f t="shared" si="94"/>
        <v>-1</v>
      </c>
      <c r="AF158" s="11">
        <f t="shared" si="95"/>
        <v>1</v>
      </c>
      <c r="AG158" s="11">
        <f t="shared" si="96"/>
        <v>-1</v>
      </c>
      <c r="AH158" s="11">
        <f t="shared" si="97"/>
        <v>0</v>
      </c>
      <c r="AI158" s="11">
        <f t="shared" si="98"/>
        <v>1</v>
      </c>
      <c r="AJ158" s="11">
        <f t="shared" si="99"/>
        <v>0</v>
      </c>
      <c r="AK158" s="11">
        <f t="shared" si="100"/>
        <v>0</v>
      </c>
      <c r="AL158" s="11">
        <f t="shared" si="101"/>
        <v>0</v>
      </c>
      <c r="AM158" s="11">
        <f t="shared" si="102"/>
        <v>0</v>
      </c>
      <c r="AN158" s="11">
        <f t="shared" si="103"/>
        <v>0</v>
      </c>
      <c r="AO158" s="11">
        <f t="shared" si="104"/>
        <v>0</v>
      </c>
      <c r="AP158" s="11">
        <f t="shared" si="105"/>
        <v>0</v>
      </c>
      <c r="AQ158" s="11">
        <f t="shared" si="106"/>
        <v>0</v>
      </c>
      <c r="AR158" s="11">
        <f t="shared" si="107"/>
        <v>0</v>
      </c>
      <c r="AS158" s="11">
        <f t="shared" si="108"/>
        <v>0</v>
      </c>
      <c r="AT158" s="11">
        <f t="shared" si="109"/>
        <v>0</v>
      </c>
      <c r="AU158" s="11">
        <f t="shared" si="110"/>
        <v>0</v>
      </c>
      <c r="AV158" s="11">
        <f t="shared" si="111"/>
        <v>0</v>
      </c>
      <c r="AW158" s="11">
        <f t="shared" si="112"/>
        <v>0</v>
      </c>
      <c r="AX158" s="11">
        <f t="shared" si="113"/>
        <v>2</v>
      </c>
      <c r="AY158" s="11">
        <f t="shared" si="60"/>
        <v>2</v>
      </c>
    </row>
    <row r="159" spans="1:51">
      <c r="A159" s="15">
        <v>45084</v>
      </c>
      <c r="B159" s="436">
        <v>8</v>
      </c>
      <c r="C159" s="436">
        <v>8</v>
      </c>
      <c r="D159" s="436">
        <v>8</v>
      </c>
      <c r="E159" s="436">
        <v>8</v>
      </c>
      <c r="F159" s="436">
        <v>8</v>
      </c>
      <c r="G159" s="436">
        <v>7</v>
      </c>
      <c r="H159" s="436">
        <v>8</v>
      </c>
      <c r="I159" s="436">
        <v>8</v>
      </c>
      <c r="J159" s="436">
        <v>8</v>
      </c>
      <c r="K159" s="436">
        <v>8</v>
      </c>
      <c r="L159" s="436">
        <v>8</v>
      </c>
      <c r="M159" s="436">
        <v>8</v>
      </c>
      <c r="N159" s="436">
        <v>8</v>
      </c>
      <c r="O159" s="436">
        <v>8</v>
      </c>
      <c r="P159" s="436">
        <v>8</v>
      </c>
      <c r="Q159" s="436">
        <v>8</v>
      </c>
      <c r="R159" s="436">
        <v>8</v>
      </c>
      <c r="S159" s="436">
        <v>8</v>
      </c>
      <c r="T159" s="436">
        <v>8</v>
      </c>
      <c r="U159" s="436">
        <v>8</v>
      </c>
      <c r="V159" s="436">
        <v>8</v>
      </c>
      <c r="W159" s="436">
        <v>8</v>
      </c>
      <c r="X159" s="436">
        <v>9</v>
      </c>
      <c r="Y159" s="436">
        <v>8</v>
      </c>
      <c r="Z159" s="11">
        <f t="shared" si="114"/>
        <v>0</v>
      </c>
      <c r="AA159" s="11">
        <f t="shared" si="90"/>
        <v>0</v>
      </c>
      <c r="AB159" s="11">
        <f t="shared" si="91"/>
        <v>0</v>
      </c>
      <c r="AC159" s="11">
        <f t="shared" si="92"/>
        <v>0</v>
      </c>
      <c r="AD159" s="11">
        <f t="shared" si="93"/>
        <v>0</v>
      </c>
      <c r="AE159" s="11">
        <f t="shared" si="94"/>
        <v>-1</v>
      </c>
      <c r="AF159" s="11">
        <f t="shared" si="95"/>
        <v>1</v>
      </c>
      <c r="AG159" s="11">
        <f t="shared" si="96"/>
        <v>0</v>
      </c>
      <c r="AH159" s="11">
        <f t="shared" si="97"/>
        <v>0</v>
      </c>
      <c r="AI159" s="11">
        <f t="shared" si="98"/>
        <v>0</v>
      </c>
      <c r="AJ159" s="11">
        <f t="shared" si="99"/>
        <v>0</v>
      </c>
      <c r="AK159" s="11">
        <f t="shared" si="100"/>
        <v>0</v>
      </c>
      <c r="AL159" s="11">
        <f t="shared" si="101"/>
        <v>0</v>
      </c>
      <c r="AM159" s="11">
        <f t="shared" si="102"/>
        <v>0</v>
      </c>
      <c r="AN159" s="11">
        <f t="shared" si="103"/>
        <v>0</v>
      </c>
      <c r="AO159" s="11">
        <f t="shared" si="104"/>
        <v>0</v>
      </c>
      <c r="AP159" s="11">
        <f t="shared" si="105"/>
        <v>0</v>
      </c>
      <c r="AQ159" s="11">
        <f t="shared" si="106"/>
        <v>0</v>
      </c>
      <c r="AR159" s="11">
        <f t="shared" si="107"/>
        <v>0</v>
      </c>
      <c r="AS159" s="11">
        <f t="shared" si="108"/>
        <v>0</v>
      </c>
      <c r="AT159" s="11">
        <f t="shared" si="109"/>
        <v>0</v>
      </c>
      <c r="AU159" s="11">
        <f t="shared" si="110"/>
        <v>0</v>
      </c>
      <c r="AV159" s="11">
        <f t="shared" si="111"/>
        <v>1</v>
      </c>
      <c r="AW159" s="11">
        <f t="shared" si="112"/>
        <v>-1</v>
      </c>
      <c r="AX159" s="11">
        <f t="shared" si="113"/>
        <v>2</v>
      </c>
      <c r="AY159" s="11">
        <f t="shared" si="60"/>
        <v>2</v>
      </c>
    </row>
    <row r="160" spans="1:51">
      <c r="A160" s="15">
        <v>45085</v>
      </c>
      <c r="B160" s="436">
        <v>8</v>
      </c>
      <c r="C160" s="436">
        <v>8</v>
      </c>
      <c r="D160" s="436">
        <v>8</v>
      </c>
      <c r="E160" s="436">
        <v>8</v>
      </c>
      <c r="F160" s="436">
        <v>8</v>
      </c>
      <c r="G160" s="436">
        <v>8</v>
      </c>
      <c r="H160" s="436">
        <v>7</v>
      </c>
      <c r="I160" s="436">
        <v>7</v>
      </c>
      <c r="J160" s="436">
        <v>7</v>
      </c>
      <c r="K160" s="436">
        <v>7</v>
      </c>
      <c r="L160" s="436">
        <v>8</v>
      </c>
      <c r="M160" s="436">
        <v>8</v>
      </c>
      <c r="N160" s="436">
        <v>8</v>
      </c>
      <c r="O160" s="436">
        <v>8</v>
      </c>
      <c r="P160" s="436">
        <v>8</v>
      </c>
      <c r="Q160" s="436">
        <v>8</v>
      </c>
      <c r="R160" s="436">
        <v>8</v>
      </c>
      <c r="S160" s="436">
        <v>8</v>
      </c>
      <c r="T160" s="436">
        <v>8</v>
      </c>
      <c r="U160" s="436">
        <v>8</v>
      </c>
      <c r="V160" s="436">
        <v>8</v>
      </c>
      <c r="W160" s="436">
        <v>8</v>
      </c>
      <c r="X160" s="436">
        <v>9</v>
      </c>
      <c r="Y160" s="436">
        <v>9</v>
      </c>
      <c r="Z160" s="11">
        <f t="shared" si="114"/>
        <v>0</v>
      </c>
      <c r="AA160" s="11">
        <f t="shared" si="90"/>
        <v>0</v>
      </c>
      <c r="AB160" s="11">
        <f t="shared" si="91"/>
        <v>0</v>
      </c>
      <c r="AC160" s="11">
        <f t="shared" si="92"/>
        <v>0</v>
      </c>
      <c r="AD160" s="11">
        <f t="shared" si="93"/>
        <v>0</v>
      </c>
      <c r="AE160" s="11">
        <f t="shared" si="94"/>
        <v>0</v>
      </c>
      <c r="AF160" s="11">
        <f t="shared" si="95"/>
        <v>-1</v>
      </c>
      <c r="AG160" s="11">
        <f t="shared" si="96"/>
        <v>0</v>
      </c>
      <c r="AH160" s="11">
        <f t="shared" si="97"/>
        <v>0</v>
      </c>
      <c r="AI160" s="11">
        <f t="shared" si="98"/>
        <v>0</v>
      </c>
      <c r="AJ160" s="11">
        <f t="shared" si="99"/>
        <v>1</v>
      </c>
      <c r="AK160" s="11">
        <f t="shared" si="100"/>
        <v>0</v>
      </c>
      <c r="AL160" s="11">
        <f t="shared" si="101"/>
        <v>0</v>
      </c>
      <c r="AM160" s="11">
        <f t="shared" si="102"/>
        <v>0</v>
      </c>
      <c r="AN160" s="11">
        <f t="shared" si="103"/>
        <v>0</v>
      </c>
      <c r="AO160" s="11">
        <f t="shared" si="104"/>
        <v>0</v>
      </c>
      <c r="AP160" s="11">
        <f t="shared" si="105"/>
        <v>0</v>
      </c>
      <c r="AQ160" s="11">
        <f t="shared" si="106"/>
        <v>0</v>
      </c>
      <c r="AR160" s="11">
        <f t="shared" si="107"/>
        <v>0</v>
      </c>
      <c r="AS160" s="11">
        <f t="shared" si="108"/>
        <v>0</v>
      </c>
      <c r="AT160" s="11">
        <f t="shared" si="109"/>
        <v>0</v>
      </c>
      <c r="AU160" s="11">
        <f t="shared" si="110"/>
        <v>0</v>
      </c>
      <c r="AV160" s="11">
        <f t="shared" si="111"/>
        <v>1</v>
      </c>
      <c r="AW160" s="11">
        <f t="shared" si="112"/>
        <v>0</v>
      </c>
      <c r="AX160" s="11">
        <f t="shared" si="113"/>
        <v>2</v>
      </c>
      <c r="AY160" s="11">
        <f t="shared" si="60"/>
        <v>1</v>
      </c>
    </row>
    <row r="161" spans="1:51">
      <c r="A161" s="15">
        <v>45086</v>
      </c>
      <c r="B161" s="436">
        <v>9</v>
      </c>
      <c r="C161" s="436">
        <v>9</v>
      </c>
      <c r="D161" s="436">
        <v>9</v>
      </c>
      <c r="E161" s="436">
        <v>8</v>
      </c>
      <c r="F161" s="436">
        <v>8</v>
      </c>
      <c r="G161" s="436">
        <v>8</v>
      </c>
      <c r="H161" s="436">
        <v>7</v>
      </c>
      <c r="I161" s="436">
        <v>7</v>
      </c>
      <c r="J161" s="436">
        <v>8</v>
      </c>
      <c r="K161" s="436">
        <v>8</v>
      </c>
      <c r="L161" s="436">
        <v>8</v>
      </c>
      <c r="M161" s="436">
        <v>8</v>
      </c>
      <c r="N161" s="436">
        <v>8</v>
      </c>
      <c r="O161" s="436">
        <v>8</v>
      </c>
      <c r="P161" s="436">
        <v>8</v>
      </c>
      <c r="Q161" s="436">
        <v>8</v>
      </c>
      <c r="R161" s="436">
        <v>8</v>
      </c>
      <c r="S161" s="436">
        <v>9</v>
      </c>
      <c r="T161" s="436">
        <v>9</v>
      </c>
      <c r="U161" s="436">
        <v>9</v>
      </c>
      <c r="V161" s="436">
        <v>9</v>
      </c>
      <c r="W161" s="436">
        <v>9</v>
      </c>
      <c r="X161" s="436">
        <v>9</v>
      </c>
      <c r="Y161" s="436">
        <v>9</v>
      </c>
      <c r="Z161" s="11">
        <f t="shared" si="114"/>
        <v>0</v>
      </c>
      <c r="AA161" s="11">
        <f t="shared" si="90"/>
        <v>0</v>
      </c>
      <c r="AB161" s="11">
        <f t="shared" si="91"/>
        <v>0</v>
      </c>
      <c r="AC161" s="11">
        <f t="shared" si="92"/>
        <v>-1</v>
      </c>
      <c r="AD161" s="11">
        <f t="shared" si="93"/>
        <v>0</v>
      </c>
      <c r="AE161" s="11">
        <f t="shared" si="94"/>
        <v>0</v>
      </c>
      <c r="AF161" s="11">
        <f t="shared" si="95"/>
        <v>-1</v>
      </c>
      <c r="AG161" s="11">
        <f t="shared" si="96"/>
        <v>0</v>
      </c>
      <c r="AH161" s="11">
        <f t="shared" si="97"/>
        <v>1</v>
      </c>
      <c r="AI161" s="11">
        <f t="shared" si="98"/>
        <v>0</v>
      </c>
      <c r="AJ161" s="11">
        <f t="shared" si="99"/>
        <v>0</v>
      </c>
      <c r="AK161" s="11">
        <f t="shared" si="100"/>
        <v>0</v>
      </c>
      <c r="AL161" s="11">
        <f t="shared" si="101"/>
        <v>0</v>
      </c>
      <c r="AM161" s="11">
        <f t="shared" si="102"/>
        <v>0</v>
      </c>
      <c r="AN161" s="11">
        <f t="shared" si="103"/>
        <v>0</v>
      </c>
      <c r="AO161" s="11">
        <f t="shared" si="104"/>
        <v>0</v>
      </c>
      <c r="AP161" s="11">
        <f t="shared" si="105"/>
        <v>0</v>
      </c>
      <c r="AQ161" s="11">
        <f t="shared" si="106"/>
        <v>1</v>
      </c>
      <c r="AR161" s="11">
        <f t="shared" si="107"/>
        <v>0</v>
      </c>
      <c r="AS161" s="11">
        <f t="shared" si="108"/>
        <v>0</v>
      </c>
      <c r="AT161" s="11">
        <f t="shared" si="109"/>
        <v>0</v>
      </c>
      <c r="AU161" s="11">
        <f t="shared" si="110"/>
        <v>0</v>
      </c>
      <c r="AV161" s="11">
        <f t="shared" si="111"/>
        <v>0</v>
      </c>
      <c r="AW161" s="11">
        <f t="shared" si="112"/>
        <v>0</v>
      </c>
      <c r="AX161" s="11">
        <f t="shared" si="113"/>
        <v>2</v>
      </c>
      <c r="AY161" s="11">
        <f t="shared" si="60"/>
        <v>2</v>
      </c>
    </row>
    <row r="162" spans="1:51">
      <c r="A162" s="15">
        <v>45087</v>
      </c>
      <c r="B162" s="436">
        <v>8</v>
      </c>
      <c r="C162" s="436">
        <v>8</v>
      </c>
      <c r="D162" s="436">
        <v>8</v>
      </c>
      <c r="E162" s="436">
        <v>8</v>
      </c>
      <c r="F162" s="436">
        <v>8</v>
      </c>
      <c r="G162" s="436">
        <v>8</v>
      </c>
      <c r="H162" s="436">
        <v>8</v>
      </c>
      <c r="I162" s="436">
        <v>8</v>
      </c>
      <c r="J162" s="436">
        <v>8</v>
      </c>
      <c r="K162" s="436">
        <v>8</v>
      </c>
      <c r="L162" s="436">
        <v>8</v>
      </c>
      <c r="M162" s="436">
        <v>8</v>
      </c>
      <c r="N162" s="436">
        <v>8</v>
      </c>
      <c r="O162" s="436">
        <v>8</v>
      </c>
      <c r="P162" s="436">
        <v>8</v>
      </c>
      <c r="Q162" s="436">
        <v>8</v>
      </c>
      <c r="R162" s="436">
        <v>7</v>
      </c>
      <c r="S162" s="436">
        <v>7</v>
      </c>
      <c r="T162" s="436">
        <v>8</v>
      </c>
      <c r="U162" s="436">
        <v>8</v>
      </c>
      <c r="V162" s="436">
        <v>9</v>
      </c>
      <c r="W162" s="436">
        <v>8</v>
      </c>
      <c r="X162" s="436">
        <v>8</v>
      </c>
      <c r="Y162" s="436">
        <v>8</v>
      </c>
      <c r="Z162" s="11">
        <f t="shared" si="114"/>
        <v>-1</v>
      </c>
      <c r="AA162" s="11">
        <f t="shared" si="90"/>
        <v>0</v>
      </c>
      <c r="AB162" s="11">
        <f t="shared" si="91"/>
        <v>0</v>
      </c>
      <c r="AC162" s="11">
        <f t="shared" si="92"/>
        <v>0</v>
      </c>
      <c r="AD162" s="11">
        <f t="shared" si="93"/>
        <v>0</v>
      </c>
      <c r="AE162" s="11">
        <f t="shared" si="94"/>
        <v>0</v>
      </c>
      <c r="AF162" s="11">
        <f t="shared" si="95"/>
        <v>0</v>
      </c>
      <c r="AG162" s="11">
        <f t="shared" si="96"/>
        <v>0</v>
      </c>
      <c r="AH162" s="11">
        <f t="shared" si="97"/>
        <v>0</v>
      </c>
      <c r="AI162" s="11">
        <f t="shared" si="98"/>
        <v>0</v>
      </c>
      <c r="AJ162" s="11">
        <f t="shared" si="99"/>
        <v>0</v>
      </c>
      <c r="AK162" s="11">
        <f t="shared" si="100"/>
        <v>0</v>
      </c>
      <c r="AL162" s="11">
        <f t="shared" si="101"/>
        <v>0</v>
      </c>
      <c r="AM162" s="11">
        <f t="shared" si="102"/>
        <v>0</v>
      </c>
      <c r="AN162" s="11">
        <f t="shared" si="103"/>
        <v>0</v>
      </c>
      <c r="AO162" s="11">
        <f t="shared" si="104"/>
        <v>0</v>
      </c>
      <c r="AP162" s="11">
        <f t="shared" si="105"/>
        <v>-1</v>
      </c>
      <c r="AQ162" s="11">
        <f t="shared" si="106"/>
        <v>0</v>
      </c>
      <c r="AR162" s="11">
        <f t="shared" si="107"/>
        <v>1</v>
      </c>
      <c r="AS162" s="11">
        <f t="shared" si="108"/>
        <v>0</v>
      </c>
      <c r="AT162" s="11">
        <f t="shared" si="109"/>
        <v>1</v>
      </c>
      <c r="AU162" s="11">
        <f t="shared" si="110"/>
        <v>-1</v>
      </c>
      <c r="AV162" s="11">
        <f t="shared" si="111"/>
        <v>0</v>
      </c>
      <c r="AW162" s="11">
        <f t="shared" si="112"/>
        <v>0</v>
      </c>
      <c r="AX162" s="11">
        <f t="shared" si="113"/>
        <v>2</v>
      </c>
      <c r="AY162" s="11">
        <f t="shared" si="60"/>
        <v>3</v>
      </c>
    </row>
    <row r="163" spans="1:51">
      <c r="A163" s="15">
        <v>45088</v>
      </c>
      <c r="B163" s="436">
        <v>8</v>
      </c>
      <c r="C163" s="436">
        <v>8</v>
      </c>
      <c r="D163" s="436">
        <v>8</v>
      </c>
      <c r="E163" s="436">
        <v>8</v>
      </c>
      <c r="F163" s="436">
        <v>8</v>
      </c>
      <c r="G163" s="436">
        <v>8</v>
      </c>
      <c r="H163" s="436">
        <v>8</v>
      </c>
      <c r="I163" s="436">
        <v>7</v>
      </c>
      <c r="J163" s="436">
        <v>7</v>
      </c>
      <c r="K163" s="436">
        <v>8</v>
      </c>
      <c r="L163" s="436">
        <v>8</v>
      </c>
      <c r="M163" s="436">
        <v>8</v>
      </c>
      <c r="N163" s="436">
        <v>8</v>
      </c>
      <c r="O163" s="436">
        <v>8</v>
      </c>
      <c r="P163" s="436">
        <v>8</v>
      </c>
      <c r="Q163" s="436">
        <v>8</v>
      </c>
      <c r="R163" s="436">
        <v>8</v>
      </c>
      <c r="S163" s="436">
        <v>8</v>
      </c>
      <c r="T163" s="436">
        <v>8</v>
      </c>
      <c r="U163" s="436">
        <v>8</v>
      </c>
      <c r="V163" s="436">
        <v>8</v>
      </c>
      <c r="W163" s="436">
        <v>9</v>
      </c>
      <c r="X163" s="436">
        <v>9</v>
      </c>
      <c r="Y163" s="436">
        <v>9</v>
      </c>
      <c r="Z163" s="11">
        <f t="shared" si="114"/>
        <v>0</v>
      </c>
      <c r="AA163" s="11">
        <f t="shared" si="90"/>
        <v>0</v>
      </c>
      <c r="AB163" s="11">
        <f t="shared" si="91"/>
        <v>0</v>
      </c>
      <c r="AC163" s="11">
        <f t="shared" si="92"/>
        <v>0</v>
      </c>
      <c r="AD163" s="11">
        <f t="shared" si="93"/>
        <v>0</v>
      </c>
      <c r="AE163" s="11">
        <f t="shared" si="94"/>
        <v>0</v>
      </c>
      <c r="AF163" s="11">
        <f t="shared" si="95"/>
        <v>0</v>
      </c>
      <c r="AG163" s="11">
        <f t="shared" si="96"/>
        <v>-1</v>
      </c>
      <c r="AH163" s="11">
        <f t="shared" si="97"/>
        <v>0</v>
      </c>
      <c r="AI163" s="11">
        <f t="shared" si="98"/>
        <v>1</v>
      </c>
      <c r="AJ163" s="11">
        <f t="shared" si="99"/>
        <v>0</v>
      </c>
      <c r="AK163" s="11">
        <f t="shared" si="100"/>
        <v>0</v>
      </c>
      <c r="AL163" s="11">
        <f t="shared" si="101"/>
        <v>0</v>
      </c>
      <c r="AM163" s="11">
        <f t="shared" si="102"/>
        <v>0</v>
      </c>
      <c r="AN163" s="11">
        <f t="shared" si="103"/>
        <v>0</v>
      </c>
      <c r="AO163" s="11">
        <f t="shared" si="104"/>
        <v>0</v>
      </c>
      <c r="AP163" s="11">
        <f t="shared" si="105"/>
        <v>0</v>
      </c>
      <c r="AQ163" s="11">
        <f t="shared" si="106"/>
        <v>0</v>
      </c>
      <c r="AR163" s="11">
        <f t="shared" si="107"/>
        <v>0</v>
      </c>
      <c r="AS163" s="11">
        <f t="shared" si="108"/>
        <v>0</v>
      </c>
      <c r="AT163" s="11">
        <f t="shared" si="109"/>
        <v>0</v>
      </c>
      <c r="AU163" s="11">
        <f t="shared" si="110"/>
        <v>1</v>
      </c>
      <c r="AV163" s="11">
        <f t="shared" si="111"/>
        <v>0</v>
      </c>
      <c r="AW163" s="11">
        <f t="shared" si="112"/>
        <v>0</v>
      </c>
      <c r="AX163" s="11">
        <f t="shared" si="113"/>
        <v>2</v>
      </c>
      <c r="AY163" s="11">
        <f t="shared" si="60"/>
        <v>1</v>
      </c>
    </row>
    <row r="164" spans="1:51">
      <c r="A164" s="15">
        <v>45089</v>
      </c>
      <c r="B164" s="436">
        <v>8</v>
      </c>
      <c r="C164" s="436">
        <v>8</v>
      </c>
      <c r="D164" s="436">
        <v>8</v>
      </c>
      <c r="E164" s="436">
        <v>8</v>
      </c>
      <c r="F164" s="436">
        <v>8</v>
      </c>
      <c r="G164" s="436">
        <v>8</v>
      </c>
      <c r="H164" s="436">
        <v>7</v>
      </c>
      <c r="I164" s="436">
        <v>7</v>
      </c>
      <c r="J164" s="436">
        <v>8</v>
      </c>
      <c r="K164" s="436">
        <v>8</v>
      </c>
      <c r="L164" s="436">
        <v>8</v>
      </c>
      <c r="M164" s="436">
        <v>8</v>
      </c>
      <c r="N164" s="436">
        <v>8</v>
      </c>
      <c r="O164" s="436">
        <v>8</v>
      </c>
      <c r="P164" s="436">
        <v>8</v>
      </c>
      <c r="Q164" s="436">
        <v>8</v>
      </c>
      <c r="R164" s="436">
        <v>8</v>
      </c>
      <c r="S164" s="436">
        <v>8</v>
      </c>
      <c r="T164" s="436">
        <v>8</v>
      </c>
      <c r="U164" s="436">
        <v>8</v>
      </c>
      <c r="V164" s="436">
        <v>8</v>
      </c>
      <c r="W164" s="436">
        <v>8</v>
      </c>
      <c r="X164" s="436">
        <v>8</v>
      </c>
      <c r="Y164" s="436">
        <v>8</v>
      </c>
      <c r="Z164" s="11">
        <f t="shared" si="114"/>
        <v>-1</v>
      </c>
      <c r="AA164" s="11">
        <f t="shared" si="90"/>
        <v>0</v>
      </c>
      <c r="AB164" s="11">
        <f t="shared" si="91"/>
        <v>0</v>
      </c>
      <c r="AC164" s="11">
        <f t="shared" si="92"/>
        <v>0</v>
      </c>
      <c r="AD164" s="11">
        <f t="shared" si="93"/>
        <v>0</v>
      </c>
      <c r="AE164" s="11">
        <f t="shared" si="94"/>
        <v>0</v>
      </c>
      <c r="AF164" s="11">
        <f t="shared" si="95"/>
        <v>-1</v>
      </c>
      <c r="AG164" s="11">
        <f t="shared" si="96"/>
        <v>0</v>
      </c>
      <c r="AH164" s="11">
        <f t="shared" si="97"/>
        <v>1</v>
      </c>
      <c r="AI164" s="11">
        <f t="shared" si="98"/>
        <v>0</v>
      </c>
      <c r="AJ164" s="11">
        <f t="shared" si="99"/>
        <v>0</v>
      </c>
      <c r="AK164" s="11">
        <f t="shared" si="100"/>
        <v>0</v>
      </c>
      <c r="AL164" s="11">
        <f t="shared" si="101"/>
        <v>0</v>
      </c>
      <c r="AM164" s="11">
        <f t="shared" si="102"/>
        <v>0</v>
      </c>
      <c r="AN164" s="11">
        <f t="shared" si="103"/>
        <v>0</v>
      </c>
      <c r="AO164" s="11">
        <f t="shared" si="104"/>
        <v>0</v>
      </c>
      <c r="AP164" s="11">
        <f t="shared" si="105"/>
        <v>0</v>
      </c>
      <c r="AQ164" s="11">
        <f t="shared" si="106"/>
        <v>0</v>
      </c>
      <c r="AR164" s="11">
        <f t="shared" si="107"/>
        <v>0</v>
      </c>
      <c r="AS164" s="11">
        <f t="shared" si="108"/>
        <v>0</v>
      </c>
      <c r="AT164" s="11">
        <f t="shared" si="109"/>
        <v>0</v>
      </c>
      <c r="AU164" s="11">
        <f t="shared" si="110"/>
        <v>0</v>
      </c>
      <c r="AV164" s="11">
        <f t="shared" si="111"/>
        <v>0</v>
      </c>
      <c r="AW164" s="11">
        <f t="shared" si="112"/>
        <v>0</v>
      </c>
      <c r="AX164" s="11">
        <f t="shared" si="113"/>
        <v>1</v>
      </c>
      <c r="AY164" s="11">
        <f t="shared" si="60"/>
        <v>2</v>
      </c>
    </row>
    <row r="165" spans="1:51">
      <c r="A165" s="15">
        <v>45090</v>
      </c>
      <c r="B165" s="436">
        <v>8</v>
      </c>
      <c r="C165" s="436">
        <v>8</v>
      </c>
      <c r="D165" s="436">
        <v>8</v>
      </c>
      <c r="E165" s="436">
        <v>8</v>
      </c>
      <c r="F165" s="436">
        <v>8</v>
      </c>
      <c r="G165" s="436">
        <v>7</v>
      </c>
      <c r="H165" s="436">
        <v>7</v>
      </c>
      <c r="I165" s="436">
        <v>7</v>
      </c>
      <c r="J165" s="436">
        <v>8</v>
      </c>
      <c r="K165" s="436">
        <v>8</v>
      </c>
      <c r="L165" s="436">
        <v>8</v>
      </c>
      <c r="M165" s="436">
        <v>8</v>
      </c>
      <c r="N165" s="436">
        <v>8</v>
      </c>
      <c r="O165" s="436">
        <v>8</v>
      </c>
      <c r="P165" s="436">
        <v>8</v>
      </c>
      <c r="Q165" s="436">
        <v>8</v>
      </c>
      <c r="R165" s="436">
        <v>8</v>
      </c>
      <c r="S165" s="436">
        <v>8</v>
      </c>
      <c r="T165" s="436">
        <v>8</v>
      </c>
      <c r="U165" s="436">
        <v>8</v>
      </c>
      <c r="V165" s="436">
        <v>8</v>
      </c>
      <c r="W165" s="436">
        <v>8</v>
      </c>
      <c r="X165" s="436">
        <v>8</v>
      </c>
      <c r="Y165" s="436">
        <v>8</v>
      </c>
      <c r="Z165" s="11">
        <f t="shared" si="114"/>
        <v>0</v>
      </c>
      <c r="AA165" s="11">
        <f t="shared" si="90"/>
        <v>0</v>
      </c>
      <c r="AB165" s="11">
        <f t="shared" si="91"/>
        <v>0</v>
      </c>
      <c r="AC165" s="11">
        <f t="shared" si="92"/>
        <v>0</v>
      </c>
      <c r="AD165" s="11">
        <f t="shared" si="93"/>
        <v>0</v>
      </c>
      <c r="AE165" s="11">
        <f t="shared" si="94"/>
        <v>-1</v>
      </c>
      <c r="AF165" s="11">
        <f t="shared" si="95"/>
        <v>0</v>
      </c>
      <c r="AG165" s="11">
        <f t="shared" si="96"/>
        <v>0</v>
      </c>
      <c r="AH165" s="11">
        <f t="shared" si="97"/>
        <v>1</v>
      </c>
      <c r="AI165" s="11">
        <f t="shared" si="98"/>
        <v>0</v>
      </c>
      <c r="AJ165" s="11">
        <f t="shared" si="99"/>
        <v>0</v>
      </c>
      <c r="AK165" s="11">
        <f t="shared" si="100"/>
        <v>0</v>
      </c>
      <c r="AL165" s="11">
        <f t="shared" si="101"/>
        <v>0</v>
      </c>
      <c r="AM165" s="11">
        <f t="shared" si="102"/>
        <v>0</v>
      </c>
      <c r="AN165" s="11">
        <f t="shared" si="103"/>
        <v>0</v>
      </c>
      <c r="AO165" s="11">
        <f t="shared" si="104"/>
        <v>0</v>
      </c>
      <c r="AP165" s="11">
        <f t="shared" si="105"/>
        <v>0</v>
      </c>
      <c r="AQ165" s="11">
        <f t="shared" si="106"/>
        <v>0</v>
      </c>
      <c r="AR165" s="11">
        <f t="shared" si="107"/>
        <v>0</v>
      </c>
      <c r="AS165" s="11">
        <f t="shared" si="108"/>
        <v>0</v>
      </c>
      <c r="AT165" s="11">
        <f t="shared" si="109"/>
        <v>0</v>
      </c>
      <c r="AU165" s="11">
        <f t="shared" si="110"/>
        <v>0</v>
      </c>
      <c r="AV165" s="11">
        <f t="shared" si="111"/>
        <v>0</v>
      </c>
      <c r="AW165" s="11">
        <f t="shared" si="112"/>
        <v>0</v>
      </c>
      <c r="AX165" s="11">
        <f t="shared" si="113"/>
        <v>1</v>
      </c>
      <c r="AY165" s="11">
        <f t="shared" si="60"/>
        <v>1</v>
      </c>
    </row>
    <row r="166" spans="1:51">
      <c r="A166" s="15">
        <v>45091</v>
      </c>
      <c r="B166" s="436">
        <v>8</v>
      </c>
      <c r="C166" s="436">
        <v>8</v>
      </c>
      <c r="D166" s="436">
        <v>8</v>
      </c>
      <c r="E166" s="436">
        <v>8</v>
      </c>
      <c r="F166" s="436">
        <v>8</v>
      </c>
      <c r="G166" s="436">
        <v>8</v>
      </c>
      <c r="H166" s="436">
        <v>8</v>
      </c>
      <c r="I166" s="436">
        <v>8</v>
      </c>
      <c r="J166" s="436">
        <v>8</v>
      </c>
      <c r="K166" s="436">
        <v>8</v>
      </c>
      <c r="L166" s="436">
        <v>8</v>
      </c>
      <c r="M166" s="436">
        <v>8</v>
      </c>
      <c r="N166" s="436">
        <v>8</v>
      </c>
      <c r="O166" s="436">
        <v>8</v>
      </c>
      <c r="P166" s="436">
        <v>8</v>
      </c>
      <c r="Q166" s="436">
        <v>8</v>
      </c>
      <c r="R166" s="436">
        <v>8</v>
      </c>
      <c r="S166" s="436">
        <v>8</v>
      </c>
      <c r="T166" s="436">
        <v>8</v>
      </c>
      <c r="U166" s="436">
        <v>8</v>
      </c>
      <c r="V166" s="436">
        <v>8</v>
      </c>
      <c r="W166" s="436">
        <v>8</v>
      </c>
      <c r="X166" s="436">
        <v>8</v>
      </c>
      <c r="Y166" s="436">
        <v>8</v>
      </c>
      <c r="Z166" s="11">
        <f t="shared" si="114"/>
        <v>0</v>
      </c>
      <c r="AA166" s="11">
        <f t="shared" si="90"/>
        <v>0</v>
      </c>
      <c r="AB166" s="11">
        <f t="shared" si="91"/>
        <v>0</v>
      </c>
      <c r="AC166" s="11">
        <f t="shared" si="92"/>
        <v>0</v>
      </c>
      <c r="AD166" s="11">
        <f t="shared" si="93"/>
        <v>0</v>
      </c>
      <c r="AE166" s="11">
        <f t="shared" si="94"/>
        <v>0</v>
      </c>
      <c r="AF166" s="11">
        <f t="shared" si="95"/>
        <v>0</v>
      </c>
      <c r="AG166" s="11">
        <f t="shared" si="96"/>
        <v>0</v>
      </c>
      <c r="AH166" s="11">
        <f t="shared" si="97"/>
        <v>0</v>
      </c>
      <c r="AI166" s="11">
        <f t="shared" si="98"/>
        <v>0</v>
      </c>
      <c r="AJ166" s="11">
        <f t="shared" si="99"/>
        <v>0</v>
      </c>
      <c r="AK166" s="11">
        <f t="shared" si="100"/>
        <v>0</v>
      </c>
      <c r="AL166" s="11">
        <f t="shared" si="101"/>
        <v>0</v>
      </c>
      <c r="AM166" s="11">
        <f t="shared" si="102"/>
        <v>0</v>
      </c>
      <c r="AN166" s="11">
        <f t="shared" si="103"/>
        <v>0</v>
      </c>
      <c r="AO166" s="11">
        <f t="shared" si="104"/>
        <v>0</v>
      </c>
      <c r="AP166" s="11">
        <f t="shared" si="105"/>
        <v>0</v>
      </c>
      <c r="AQ166" s="11">
        <f t="shared" si="106"/>
        <v>0</v>
      </c>
      <c r="AR166" s="11">
        <f t="shared" si="107"/>
        <v>0</v>
      </c>
      <c r="AS166" s="11">
        <f t="shared" si="108"/>
        <v>0</v>
      </c>
      <c r="AT166" s="11">
        <f t="shared" si="109"/>
        <v>0</v>
      </c>
      <c r="AU166" s="11">
        <f t="shared" si="110"/>
        <v>0</v>
      </c>
      <c r="AV166" s="11">
        <f t="shared" si="111"/>
        <v>0</v>
      </c>
      <c r="AW166" s="11">
        <f t="shared" si="112"/>
        <v>0</v>
      </c>
      <c r="AX166" s="11">
        <f t="shared" si="113"/>
        <v>0</v>
      </c>
      <c r="AY166" s="11">
        <f t="shared" si="60"/>
        <v>0</v>
      </c>
    </row>
    <row r="167" spans="1:51">
      <c r="A167" s="15">
        <v>45092</v>
      </c>
      <c r="B167" s="436">
        <v>8</v>
      </c>
      <c r="C167" s="436">
        <v>8</v>
      </c>
      <c r="D167" s="436">
        <v>8</v>
      </c>
      <c r="E167" s="436">
        <v>8</v>
      </c>
      <c r="F167" s="436">
        <v>8</v>
      </c>
      <c r="G167" s="436">
        <v>7</v>
      </c>
      <c r="H167" s="436">
        <v>7</v>
      </c>
      <c r="I167" s="436">
        <v>7</v>
      </c>
      <c r="J167" s="436">
        <v>8</v>
      </c>
      <c r="K167" s="436">
        <v>8</v>
      </c>
      <c r="L167" s="436">
        <v>8</v>
      </c>
      <c r="M167" s="436">
        <v>8</v>
      </c>
      <c r="N167" s="436">
        <v>8</v>
      </c>
      <c r="O167" s="436">
        <v>8</v>
      </c>
      <c r="P167" s="436">
        <v>8</v>
      </c>
      <c r="Q167" s="436">
        <v>8</v>
      </c>
      <c r="R167" s="436">
        <v>8</v>
      </c>
      <c r="S167" s="436">
        <v>8</v>
      </c>
      <c r="T167" s="436">
        <v>8</v>
      </c>
      <c r="U167" s="436">
        <v>8</v>
      </c>
      <c r="V167" s="436">
        <v>8</v>
      </c>
      <c r="W167" s="436">
        <v>8</v>
      </c>
      <c r="X167" s="436">
        <v>8</v>
      </c>
      <c r="Y167" s="436">
        <v>8</v>
      </c>
      <c r="Z167" s="11">
        <f t="shared" si="114"/>
        <v>0</v>
      </c>
      <c r="AA167" s="11">
        <f t="shared" si="90"/>
        <v>0</v>
      </c>
      <c r="AB167" s="11">
        <f t="shared" si="91"/>
        <v>0</v>
      </c>
      <c r="AC167" s="11">
        <f t="shared" si="92"/>
        <v>0</v>
      </c>
      <c r="AD167" s="11">
        <f t="shared" si="93"/>
        <v>0</v>
      </c>
      <c r="AE167" s="11">
        <f t="shared" si="94"/>
        <v>-1</v>
      </c>
      <c r="AF167" s="11">
        <f t="shared" si="95"/>
        <v>0</v>
      </c>
      <c r="AG167" s="11">
        <f t="shared" si="96"/>
        <v>0</v>
      </c>
      <c r="AH167" s="11">
        <f t="shared" si="97"/>
        <v>1</v>
      </c>
      <c r="AI167" s="11">
        <f t="shared" si="98"/>
        <v>0</v>
      </c>
      <c r="AJ167" s="11">
        <f t="shared" si="99"/>
        <v>0</v>
      </c>
      <c r="AK167" s="11">
        <f t="shared" si="100"/>
        <v>0</v>
      </c>
      <c r="AL167" s="11">
        <f t="shared" si="101"/>
        <v>0</v>
      </c>
      <c r="AM167" s="11">
        <f t="shared" si="102"/>
        <v>0</v>
      </c>
      <c r="AN167" s="11">
        <f t="shared" si="103"/>
        <v>0</v>
      </c>
      <c r="AO167" s="11">
        <f t="shared" si="104"/>
        <v>0</v>
      </c>
      <c r="AP167" s="11">
        <f t="shared" si="105"/>
        <v>0</v>
      </c>
      <c r="AQ167" s="11">
        <f t="shared" si="106"/>
        <v>0</v>
      </c>
      <c r="AR167" s="11">
        <f t="shared" si="107"/>
        <v>0</v>
      </c>
      <c r="AS167" s="11">
        <f t="shared" si="108"/>
        <v>0</v>
      </c>
      <c r="AT167" s="11">
        <f t="shared" si="109"/>
        <v>0</v>
      </c>
      <c r="AU167" s="11">
        <f t="shared" si="110"/>
        <v>0</v>
      </c>
      <c r="AV167" s="11">
        <f t="shared" si="111"/>
        <v>0</v>
      </c>
      <c r="AW167" s="11">
        <f t="shared" si="112"/>
        <v>0</v>
      </c>
      <c r="AX167" s="11">
        <f t="shared" si="113"/>
        <v>1</v>
      </c>
      <c r="AY167" s="11">
        <f t="shared" si="60"/>
        <v>1</v>
      </c>
    </row>
    <row r="168" spans="1:51">
      <c r="A168" s="15">
        <v>45093</v>
      </c>
      <c r="B168" s="436">
        <v>8</v>
      </c>
      <c r="C168" s="436">
        <v>8</v>
      </c>
      <c r="D168" s="436">
        <v>8</v>
      </c>
      <c r="E168" s="436">
        <v>8</v>
      </c>
      <c r="F168" s="436">
        <v>8</v>
      </c>
      <c r="G168" s="436">
        <v>8</v>
      </c>
      <c r="H168" s="436">
        <v>8</v>
      </c>
      <c r="I168" s="436">
        <v>8</v>
      </c>
      <c r="J168" s="436">
        <v>8</v>
      </c>
      <c r="K168" s="436">
        <v>7</v>
      </c>
      <c r="L168" s="436">
        <v>7</v>
      </c>
      <c r="M168" s="436">
        <v>7</v>
      </c>
      <c r="N168" s="436">
        <v>7</v>
      </c>
      <c r="O168" s="436">
        <v>7</v>
      </c>
      <c r="P168" s="436">
        <v>7</v>
      </c>
      <c r="Q168" s="436">
        <v>7</v>
      </c>
      <c r="R168" s="436">
        <v>7</v>
      </c>
      <c r="S168" s="436">
        <v>7</v>
      </c>
      <c r="T168" s="436">
        <v>7</v>
      </c>
      <c r="U168" s="436">
        <v>7</v>
      </c>
      <c r="V168" s="436">
        <v>7</v>
      </c>
      <c r="W168" s="436">
        <v>7</v>
      </c>
      <c r="X168" s="436">
        <v>7</v>
      </c>
      <c r="Y168" s="436">
        <v>7</v>
      </c>
      <c r="Z168" s="11">
        <f t="shared" si="114"/>
        <v>0</v>
      </c>
      <c r="AA168" s="11">
        <f t="shared" si="90"/>
        <v>0</v>
      </c>
      <c r="AB168" s="11">
        <f t="shared" si="91"/>
        <v>0</v>
      </c>
      <c r="AC168" s="11">
        <f t="shared" si="92"/>
        <v>0</v>
      </c>
      <c r="AD168" s="11">
        <f t="shared" si="93"/>
        <v>0</v>
      </c>
      <c r="AE168" s="11">
        <f t="shared" si="94"/>
        <v>0</v>
      </c>
      <c r="AF168" s="11">
        <f t="shared" si="95"/>
        <v>0</v>
      </c>
      <c r="AG168" s="11">
        <f t="shared" si="96"/>
        <v>0</v>
      </c>
      <c r="AH168" s="11">
        <f t="shared" si="97"/>
        <v>0</v>
      </c>
      <c r="AI168" s="11">
        <f t="shared" si="98"/>
        <v>-1</v>
      </c>
      <c r="AJ168" s="11">
        <f t="shared" si="99"/>
        <v>0</v>
      </c>
      <c r="AK168" s="11">
        <f t="shared" si="100"/>
        <v>0</v>
      </c>
      <c r="AL168" s="11">
        <f t="shared" si="101"/>
        <v>0</v>
      </c>
      <c r="AM168" s="11">
        <f t="shared" si="102"/>
        <v>0</v>
      </c>
      <c r="AN168" s="11">
        <f t="shared" si="103"/>
        <v>0</v>
      </c>
      <c r="AO168" s="11">
        <f t="shared" si="104"/>
        <v>0</v>
      </c>
      <c r="AP168" s="11">
        <f t="shared" si="105"/>
        <v>0</v>
      </c>
      <c r="AQ168" s="11">
        <f t="shared" si="106"/>
        <v>0</v>
      </c>
      <c r="AR168" s="11">
        <f t="shared" si="107"/>
        <v>0</v>
      </c>
      <c r="AS168" s="11">
        <f t="shared" si="108"/>
        <v>0</v>
      </c>
      <c r="AT168" s="11">
        <f t="shared" si="109"/>
        <v>0</v>
      </c>
      <c r="AU168" s="11">
        <f t="shared" si="110"/>
        <v>0</v>
      </c>
      <c r="AV168" s="11">
        <f t="shared" si="111"/>
        <v>0</v>
      </c>
      <c r="AW168" s="11">
        <f t="shared" si="112"/>
        <v>0</v>
      </c>
      <c r="AX168" s="11">
        <f t="shared" si="113"/>
        <v>0</v>
      </c>
      <c r="AY168" s="11">
        <f t="shared" si="60"/>
        <v>1</v>
      </c>
    </row>
    <row r="169" spans="1:51">
      <c r="A169" s="15">
        <v>45094</v>
      </c>
      <c r="B169" s="436">
        <v>8</v>
      </c>
      <c r="C169" s="436">
        <v>8</v>
      </c>
      <c r="D169" s="436">
        <v>8</v>
      </c>
      <c r="E169" s="436">
        <v>8</v>
      </c>
      <c r="F169" s="436">
        <v>8</v>
      </c>
      <c r="G169" s="436">
        <v>8</v>
      </c>
      <c r="H169" s="436">
        <v>8</v>
      </c>
      <c r="I169" s="436">
        <v>8</v>
      </c>
      <c r="J169" s="436">
        <v>8</v>
      </c>
      <c r="K169" s="436">
        <v>8</v>
      </c>
      <c r="L169" s="436">
        <v>8</v>
      </c>
      <c r="M169" s="436">
        <v>8</v>
      </c>
      <c r="N169" s="436">
        <v>8</v>
      </c>
      <c r="O169" s="436">
        <v>8</v>
      </c>
      <c r="P169" s="436">
        <v>8</v>
      </c>
      <c r="Q169" s="436">
        <v>8</v>
      </c>
      <c r="R169" s="436">
        <v>8</v>
      </c>
      <c r="S169" s="436">
        <v>8</v>
      </c>
      <c r="T169" s="436">
        <v>8</v>
      </c>
      <c r="U169" s="436">
        <v>8</v>
      </c>
      <c r="V169" s="436">
        <v>8</v>
      </c>
      <c r="W169" s="436">
        <v>8</v>
      </c>
      <c r="X169" s="436">
        <v>8</v>
      </c>
      <c r="Y169" s="436">
        <v>8</v>
      </c>
      <c r="Z169" s="11">
        <f t="shared" si="114"/>
        <v>1</v>
      </c>
      <c r="AA169" s="11">
        <f t="shared" si="90"/>
        <v>0</v>
      </c>
      <c r="AB169" s="11">
        <f t="shared" si="91"/>
        <v>0</v>
      </c>
      <c r="AC169" s="11">
        <f t="shared" si="92"/>
        <v>0</v>
      </c>
      <c r="AD169" s="11">
        <f t="shared" si="93"/>
        <v>0</v>
      </c>
      <c r="AE169" s="11">
        <f t="shared" si="94"/>
        <v>0</v>
      </c>
      <c r="AF169" s="11">
        <f t="shared" si="95"/>
        <v>0</v>
      </c>
      <c r="AG169" s="11">
        <f t="shared" si="96"/>
        <v>0</v>
      </c>
      <c r="AH169" s="11">
        <f t="shared" si="97"/>
        <v>0</v>
      </c>
      <c r="AI169" s="11">
        <f t="shared" si="98"/>
        <v>0</v>
      </c>
      <c r="AJ169" s="11">
        <f t="shared" si="99"/>
        <v>0</v>
      </c>
      <c r="AK169" s="11">
        <f t="shared" si="100"/>
        <v>0</v>
      </c>
      <c r="AL169" s="11">
        <f t="shared" si="101"/>
        <v>0</v>
      </c>
      <c r="AM169" s="11">
        <f t="shared" si="102"/>
        <v>0</v>
      </c>
      <c r="AN169" s="11">
        <f t="shared" si="103"/>
        <v>0</v>
      </c>
      <c r="AO169" s="11">
        <f t="shared" si="104"/>
        <v>0</v>
      </c>
      <c r="AP169" s="11">
        <f t="shared" si="105"/>
        <v>0</v>
      </c>
      <c r="AQ169" s="11">
        <f t="shared" si="106"/>
        <v>0</v>
      </c>
      <c r="AR169" s="11">
        <f t="shared" si="107"/>
        <v>0</v>
      </c>
      <c r="AS169" s="11">
        <f t="shared" si="108"/>
        <v>0</v>
      </c>
      <c r="AT169" s="11">
        <f t="shared" si="109"/>
        <v>0</v>
      </c>
      <c r="AU169" s="11">
        <f t="shared" si="110"/>
        <v>0</v>
      </c>
      <c r="AV169" s="11">
        <f t="shared" si="111"/>
        <v>0</v>
      </c>
      <c r="AW169" s="11">
        <f t="shared" si="112"/>
        <v>0</v>
      </c>
      <c r="AX169" s="11">
        <f t="shared" si="113"/>
        <v>1</v>
      </c>
      <c r="AY169" s="11">
        <f t="shared" si="60"/>
        <v>0</v>
      </c>
    </row>
    <row r="170" spans="1:51">
      <c r="A170" s="15">
        <v>45095</v>
      </c>
      <c r="B170" s="436">
        <v>7</v>
      </c>
      <c r="C170" s="436">
        <v>7</v>
      </c>
      <c r="D170" s="436">
        <v>8</v>
      </c>
      <c r="E170" s="436">
        <v>8</v>
      </c>
      <c r="F170" s="436">
        <v>8</v>
      </c>
      <c r="G170" s="436">
        <v>8</v>
      </c>
      <c r="H170" s="436">
        <v>8</v>
      </c>
      <c r="I170" s="436">
        <v>8</v>
      </c>
      <c r="J170" s="436">
        <v>8</v>
      </c>
      <c r="K170" s="436">
        <v>8</v>
      </c>
      <c r="L170" s="436">
        <v>8</v>
      </c>
      <c r="M170" s="436">
        <v>8</v>
      </c>
      <c r="N170" s="436">
        <v>8</v>
      </c>
      <c r="O170" s="436">
        <v>8</v>
      </c>
      <c r="P170" s="436">
        <v>8</v>
      </c>
      <c r="Q170" s="436">
        <v>8</v>
      </c>
      <c r="R170" s="436">
        <v>8</v>
      </c>
      <c r="S170" s="436">
        <v>8</v>
      </c>
      <c r="T170" s="436">
        <v>8</v>
      </c>
      <c r="U170" s="436">
        <v>8</v>
      </c>
      <c r="V170" s="436">
        <v>8</v>
      </c>
      <c r="W170" s="436">
        <v>8</v>
      </c>
      <c r="X170" s="436">
        <v>8</v>
      </c>
      <c r="Y170" s="436">
        <v>8</v>
      </c>
      <c r="Z170" s="11">
        <f t="shared" si="114"/>
        <v>-1</v>
      </c>
      <c r="AA170" s="11">
        <f t="shared" si="90"/>
        <v>0</v>
      </c>
      <c r="AB170" s="11">
        <f t="shared" si="91"/>
        <v>1</v>
      </c>
      <c r="AC170" s="11">
        <f t="shared" si="92"/>
        <v>0</v>
      </c>
      <c r="AD170" s="11">
        <f t="shared" si="93"/>
        <v>0</v>
      </c>
      <c r="AE170" s="11">
        <f t="shared" si="94"/>
        <v>0</v>
      </c>
      <c r="AF170" s="11">
        <f t="shared" si="95"/>
        <v>0</v>
      </c>
      <c r="AG170" s="11">
        <f t="shared" si="96"/>
        <v>0</v>
      </c>
      <c r="AH170" s="11">
        <f t="shared" si="97"/>
        <v>0</v>
      </c>
      <c r="AI170" s="11">
        <f t="shared" si="98"/>
        <v>0</v>
      </c>
      <c r="AJ170" s="11">
        <f t="shared" si="99"/>
        <v>0</v>
      </c>
      <c r="AK170" s="11">
        <f t="shared" si="100"/>
        <v>0</v>
      </c>
      <c r="AL170" s="11">
        <f t="shared" si="101"/>
        <v>0</v>
      </c>
      <c r="AM170" s="11">
        <f t="shared" si="102"/>
        <v>0</v>
      </c>
      <c r="AN170" s="11">
        <f t="shared" si="103"/>
        <v>0</v>
      </c>
      <c r="AO170" s="11">
        <f t="shared" si="104"/>
        <v>0</v>
      </c>
      <c r="AP170" s="11">
        <f t="shared" si="105"/>
        <v>0</v>
      </c>
      <c r="AQ170" s="11">
        <f t="shared" si="106"/>
        <v>0</v>
      </c>
      <c r="AR170" s="11">
        <f t="shared" si="107"/>
        <v>0</v>
      </c>
      <c r="AS170" s="11">
        <f t="shared" si="108"/>
        <v>0</v>
      </c>
      <c r="AT170" s="11">
        <f t="shared" si="109"/>
        <v>0</v>
      </c>
      <c r="AU170" s="11">
        <f t="shared" si="110"/>
        <v>0</v>
      </c>
      <c r="AV170" s="11">
        <f t="shared" si="111"/>
        <v>0</v>
      </c>
      <c r="AW170" s="11">
        <f t="shared" si="112"/>
        <v>0</v>
      </c>
      <c r="AX170" s="11">
        <f t="shared" si="113"/>
        <v>1</v>
      </c>
      <c r="AY170" s="11">
        <f t="shared" si="60"/>
        <v>1</v>
      </c>
    </row>
    <row r="171" spans="1:51">
      <c r="A171" s="15">
        <v>45096</v>
      </c>
      <c r="B171" s="436">
        <v>8</v>
      </c>
      <c r="C171" s="436">
        <v>8</v>
      </c>
      <c r="D171" s="436">
        <v>8</v>
      </c>
      <c r="E171" s="436">
        <v>8</v>
      </c>
      <c r="F171" s="436">
        <v>8</v>
      </c>
      <c r="G171" s="436">
        <v>8</v>
      </c>
      <c r="H171" s="436">
        <v>8</v>
      </c>
      <c r="I171" s="436">
        <v>8</v>
      </c>
      <c r="J171" s="436">
        <v>8</v>
      </c>
      <c r="K171" s="436">
        <v>8</v>
      </c>
      <c r="L171" s="436">
        <v>8</v>
      </c>
      <c r="M171" s="436">
        <v>8</v>
      </c>
      <c r="N171" s="436">
        <v>8</v>
      </c>
      <c r="O171" s="436">
        <v>8</v>
      </c>
      <c r="P171" s="436">
        <v>8</v>
      </c>
      <c r="Q171" s="436">
        <v>8</v>
      </c>
      <c r="R171" s="436">
        <v>8</v>
      </c>
      <c r="S171" s="436">
        <v>8</v>
      </c>
      <c r="T171" s="436">
        <v>8</v>
      </c>
      <c r="U171" s="436">
        <v>8</v>
      </c>
      <c r="V171" s="436">
        <v>8</v>
      </c>
      <c r="W171" s="436">
        <v>8</v>
      </c>
      <c r="X171" s="436">
        <v>8</v>
      </c>
      <c r="Y171" s="436">
        <v>8</v>
      </c>
      <c r="Z171" s="11">
        <f t="shared" si="114"/>
        <v>0</v>
      </c>
      <c r="AA171" s="11">
        <f t="shared" si="90"/>
        <v>0</v>
      </c>
      <c r="AB171" s="11">
        <f t="shared" si="91"/>
        <v>0</v>
      </c>
      <c r="AC171" s="11">
        <f t="shared" si="92"/>
        <v>0</v>
      </c>
      <c r="AD171" s="11">
        <f t="shared" si="93"/>
        <v>0</v>
      </c>
      <c r="AE171" s="11">
        <f t="shared" si="94"/>
        <v>0</v>
      </c>
      <c r="AF171" s="11">
        <f t="shared" si="95"/>
        <v>0</v>
      </c>
      <c r="AG171" s="11">
        <f t="shared" si="96"/>
        <v>0</v>
      </c>
      <c r="AH171" s="11">
        <f t="shared" si="97"/>
        <v>0</v>
      </c>
      <c r="AI171" s="11">
        <f t="shared" si="98"/>
        <v>0</v>
      </c>
      <c r="AJ171" s="11">
        <f t="shared" si="99"/>
        <v>0</v>
      </c>
      <c r="AK171" s="11">
        <f t="shared" si="100"/>
        <v>0</v>
      </c>
      <c r="AL171" s="11">
        <f t="shared" si="101"/>
        <v>0</v>
      </c>
      <c r="AM171" s="11">
        <f t="shared" si="102"/>
        <v>0</v>
      </c>
      <c r="AN171" s="11">
        <f t="shared" si="103"/>
        <v>0</v>
      </c>
      <c r="AO171" s="11">
        <f t="shared" si="104"/>
        <v>0</v>
      </c>
      <c r="AP171" s="11">
        <f t="shared" si="105"/>
        <v>0</v>
      </c>
      <c r="AQ171" s="11">
        <f t="shared" si="106"/>
        <v>0</v>
      </c>
      <c r="AR171" s="11">
        <f t="shared" si="107"/>
        <v>0</v>
      </c>
      <c r="AS171" s="11">
        <f t="shared" si="108"/>
        <v>0</v>
      </c>
      <c r="AT171" s="11">
        <f t="shared" si="109"/>
        <v>0</v>
      </c>
      <c r="AU171" s="11">
        <f t="shared" si="110"/>
        <v>0</v>
      </c>
      <c r="AV171" s="11">
        <f t="shared" si="111"/>
        <v>0</v>
      </c>
      <c r="AW171" s="11">
        <f t="shared" si="112"/>
        <v>0</v>
      </c>
      <c r="AX171" s="11">
        <f t="shared" si="113"/>
        <v>0</v>
      </c>
      <c r="AY171" s="11">
        <f t="shared" si="60"/>
        <v>0</v>
      </c>
    </row>
    <row r="172" spans="1:51">
      <c r="A172" s="15">
        <v>45097</v>
      </c>
      <c r="B172" s="436">
        <v>8</v>
      </c>
      <c r="C172" s="436">
        <v>8</v>
      </c>
      <c r="D172" s="436">
        <v>8</v>
      </c>
      <c r="E172" s="436">
        <v>8</v>
      </c>
      <c r="F172" s="436">
        <v>8</v>
      </c>
      <c r="G172" s="436">
        <v>8</v>
      </c>
      <c r="H172" s="436">
        <v>7</v>
      </c>
      <c r="I172" s="436">
        <v>8</v>
      </c>
      <c r="J172" s="436">
        <v>8</v>
      </c>
      <c r="K172" s="436">
        <v>8</v>
      </c>
      <c r="L172" s="436">
        <v>8</v>
      </c>
      <c r="M172" s="436">
        <v>8</v>
      </c>
      <c r="N172" s="436">
        <v>8</v>
      </c>
      <c r="O172" s="436">
        <v>8</v>
      </c>
      <c r="P172" s="436">
        <v>8</v>
      </c>
      <c r="Q172" s="436">
        <v>8</v>
      </c>
      <c r="R172" s="436">
        <v>8</v>
      </c>
      <c r="S172" s="436">
        <v>8</v>
      </c>
      <c r="T172" s="436">
        <v>7</v>
      </c>
      <c r="U172" s="436">
        <v>7</v>
      </c>
      <c r="V172" s="436">
        <v>7</v>
      </c>
      <c r="W172" s="436">
        <v>7</v>
      </c>
      <c r="X172" s="436">
        <v>7</v>
      </c>
      <c r="Y172" s="436">
        <v>7</v>
      </c>
      <c r="Z172" s="11">
        <f>B172-Y171</f>
        <v>0</v>
      </c>
      <c r="AA172" s="11">
        <f>C172-B172</f>
        <v>0</v>
      </c>
      <c r="AB172" s="11">
        <f t="shared" si="91"/>
        <v>0</v>
      </c>
      <c r="AC172" s="11">
        <f t="shared" si="92"/>
        <v>0</v>
      </c>
      <c r="AD172" s="11">
        <f t="shared" si="93"/>
        <v>0</v>
      </c>
      <c r="AE172" s="11">
        <f t="shared" si="94"/>
        <v>0</v>
      </c>
      <c r="AF172" s="11">
        <f t="shared" si="95"/>
        <v>-1</v>
      </c>
      <c r="AG172" s="11">
        <f t="shared" si="96"/>
        <v>1</v>
      </c>
      <c r="AH172" s="11">
        <f t="shared" si="97"/>
        <v>0</v>
      </c>
      <c r="AI172" s="11">
        <f t="shared" si="98"/>
        <v>0</v>
      </c>
      <c r="AJ172" s="11">
        <f t="shared" si="99"/>
        <v>0</v>
      </c>
      <c r="AK172" s="11">
        <f t="shared" si="100"/>
        <v>0</v>
      </c>
      <c r="AL172" s="11">
        <f t="shared" si="101"/>
        <v>0</v>
      </c>
      <c r="AM172" s="11">
        <f t="shared" si="102"/>
        <v>0</v>
      </c>
      <c r="AN172" s="11">
        <f t="shared" si="103"/>
        <v>0</v>
      </c>
      <c r="AO172" s="11">
        <f t="shared" si="104"/>
        <v>0</v>
      </c>
      <c r="AP172" s="11">
        <f t="shared" si="105"/>
        <v>0</v>
      </c>
      <c r="AQ172" s="11">
        <f t="shared" si="106"/>
        <v>0</v>
      </c>
      <c r="AR172" s="11">
        <f t="shared" si="107"/>
        <v>-1</v>
      </c>
      <c r="AS172" s="11">
        <f t="shared" si="108"/>
        <v>0</v>
      </c>
      <c r="AT172" s="11">
        <f t="shared" si="109"/>
        <v>0</v>
      </c>
      <c r="AU172" s="11">
        <f t="shared" si="110"/>
        <v>0</v>
      </c>
      <c r="AV172" s="11">
        <f t="shared" si="111"/>
        <v>0</v>
      </c>
      <c r="AW172" s="11">
        <f t="shared" si="112"/>
        <v>0</v>
      </c>
      <c r="AX172" s="11">
        <f t="shared" si="113"/>
        <v>1</v>
      </c>
      <c r="AY172" s="11">
        <f t="shared" si="60"/>
        <v>2</v>
      </c>
    </row>
    <row r="173" spans="1:51">
      <c r="A173" s="15">
        <v>45098</v>
      </c>
      <c r="B173" s="436">
        <v>7</v>
      </c>
      <c r="C173" s="436">
        <v>8</v>
      </c>
      <c r="D173" s="436">
        <v>8</v>
      </c>
      <c r="E173" s="436">
        <v>8</v>
      </c>
      <c r="F173" s="436">
        <v>8</v>
      </c>
      <c r="G173" s="436">
        <v>8</v>
      </c>
      <c r="H173" s="436">
        <v>8</v>
      </c>
      <c r="I173" s="436">
        <v>8</v>
      </c>
      <c r="J173" s="436">
        <v>8</v>
      </c>
      <c r="K173" s="436">
        <v>8</v>
      </c>
      <c r="L173" s="436">
        <v>8</v>
      </c>
      <c r="M173" s="436">
        <v>8</v>
      </c>
      <c r="N173" s="436">
        <v>8</v>
      </c>
      <c r="O173" s="436">
        <v>8</v>
      </c>
      <c r="P173" s="436">
        <v>8</v>
      </c>
      <c r="Q173" s="436">
        <v>8</v>
      </c>
      <c r="R173" s="436">
        <v>8</v>
      </c>
      <c r="S173" s="436">
        <v>8</v>
      </c>
      <c r="T173" s="436">
        <v>8</v>
      </c>
      <c r="U173" s="436">
        <v>7</v>
      </c>
      <c r="V173" s="436">
        <v>7</v>
      </c>
      <c r="W173" s="436">
        <v>7</v>
      </c>
      <c r="X173" s="436">
        <v>7</v>
      </c>
      <c r="Y173" s="436">
        <v>7</v>
      </c>
      <c r="Z173" s="11">
        <f t="shared" si="114"/>
        <v>0</v>
      </c>
      <c r="AA173" s="11">
        <f t="shared" si="90"/>
        <v>1</v>
      </c>
      <c r="AB173" s="11">
        <f t="shared" si="91"/>
        <v>0</v>
      </c>
      <c r="AC173" s="11">
        <f t="shared" si="92"/>
        <v>0</v>
      </c>
      <c r="AD173" s="11">
        <f t="shared" si="93"/>
        <v>0</v>
      </c>
      <c r="AE173" s="11">
        <f t="shared" si="94"/>
        <v>0</v>
      </c>
      <c r="AF173" s="11">
        <f t="shared" si="95"/>
        <v>0</v>
      </c>
      <c r="AG173" s="11">
        <f t="shared" si="96"/>
        <v>0</v>
      </c>
      <c r="AH173" s="11">
        <f t="shared" si="97"/>
        <v>0</v>
      </c>
      <c r="AI173" s="11">
        <f t="shared" si="98"/>
        <v>0</v>
      </c>
      <c r="AJ173" s="11">
        <f t="shared" si="99"/>
        <v>0</v>
      </c>
      <c r="AK173" s="11">
        <f t="shared" si="100"/>
        <v>0</v>
      </c>
      <c r="AL173" s="11">
        <f t="shared" si="101"/>
        <v>0</v>
      </c>
      <c r="AM173" s="11">
        <f t="shared" si="102"/>
        <v>0</v>
      </c>
      <c r="AN173" s="11">
        <f t="shared" si="103"/>
        <v>0</v>
      </c>
      <c r="AO173" s="11">
        <f t="shared" si="104"/>
        <v>0</v>
      </c>
      <c r="AP173" s="11">
        <f t="shared" si="105"/>
        <v>0</v>
      </c>
      <c r="AQ173" s="11">
        <f t="shared" si="106"/>
        <v>0</v>
      </c>
      <c r="AR173" s="11">
        <f t="shared" si="107"/>
        <v>0</v>
      </c>
      <c r="AS173" s="11">
        <f t="shared" si="108"/>
        <v>-1</v>
      </c>
      <c r="AT173" s="11">
        <f t="shared" si="109"/>
        <v>0</v>
      </c>
      <c r="AU173" s="11">
        <f t="shared" si="110"/>
        <v>0</v>
      </c>
      <c r="AV173" s="11">
        <f t="shared" si="111"/>
        <v>0</v>
      </c>
      <c r="AW173" s="11">
        <f t="shared" si="112"/>
        <v>0</v>
      </c>
      <c r="AX173" s="11">
        <f t="shared" si="113"/>
        <v>1</v>
      </c>
      <c r="AY173" s="11">
        <f t="shared" si="60"/>
        <v>1</v>
      </c>
    </row>
    <row r="174" spans="1:51">
      <c r="A174" s="15">
        <v>45099</v>
      </c>
      <c r="B174" s="436">
        <v>7</v>
      </c>
      <c r="C174" s="436">
        <v>7</v>
      </c>
      <c r="D174" s="436">
        <v>7</v>
      </c>
      <c r="E174" s="436">
        <v>7</v>
      </c>
      <c r="F174" s="436">
        <v>7</v>
      </c>
      <c r="G174" s="436">
        <v>7</v>
      </c>
      <c r="H174" s="436">
        <v>7</v>
      </c>
      <c r="I174" s="436">
        <v>7</v>
      </c>
      <c r="J174" s="436">
        <v>7</v>
      </c>
      <c r="K174" s="436">
        <v>7</v>
      </c>
      <c r="L174" s="436">
        <v>7</v>
      </c>
      <c r="M174" s="436">
        <v>8</v>
      </c>
      <c r="N174" s="436">
        <v>8</v>
      </c>
      <c r="O174" s="436">
        <v>8</v>
      </c>
      <c r="P174" s="436">
        <v>8</v>
      </c>
      <c r="Q174" s="436">
        <v>8</v>
      </c>
      <c r="R174" s="436">
        <v>8</v>
      </c>
      <c r="S174" s="436">
        <v>8</v>
      </c>
      <c r="T174" s="436">
        <v>8</v>
      </c>
      <c r="U174" s="436">
        <v>8</v>
      </c>
      <c r="V174" s="436">
        <v>8</v>
      </c>
      <c r="W174" s="436">
        <v>8</v>
      </c>
      <c r="X174" s="436">
        <v>8</v>
      </c>
      <c r="Y174" s="436">
        <v>8</v>
      </c>
      <c r="Z174" s="11">
        <f t="shared" si="114"/>
        <v>0</v>
      </c>
      <c r="AA174" s="11">
        <f t="shared" si="90"/>
        <v>0</v>
      </c>
      <c r="AB174" s="11">
        <f t="shared" si="91"/>
        <v>0</v>
      </c>
      <c r="AC174" s="11">
        <f t="shared" si="92"/>
        <v>0</v>
      </c>
      <c r="AD174" s="11">
        <f t="shared" si="93"/>
        <v>0</v>
      </c>
      <c r="AE174" s="11">
        <f t="shared" si="94"/>
        <v>0</v>
      </c>
      <c r="AF174" s="11">
        <f t="shared" si="95"/>
        <v>0</v>
      </c>
      <c r="AG174" s="11">
        <f t="shared" si="96"/>
        <v>0</v>
      </c>
      <c r="AH174" s="11">
        <f t="shared" si="97"/>
        <v>0</v>
      </c>
      <c r="AI174" s="11">
        <f t="shared" si="98"/>
        <v>0</v>
      </c>
      <c r="AJ174" s="11">
        <f t="shared" si="99"/>
        <v>0</v>
      </c>
      <c r="AK174" s="11">
        <f t="shared" si="100"/>
        <v>1</v>
      </c>
      <c r="AL174" s="11">
        <f t="shared" si="101"/>
        <v>0</v>
      </c>
      <c r="AM174" s="11">
        <f t="shared" si="102"/>
        <v>0</v>
      </c>
      <c r="AN174" s="11">
        <f t="shared" si="103"/>
        <v>0</v>
      </c>
      <c r="AO174" s="11">
        <f t="shared" si="104"/>
        <v>0</v>
      </c>
      <c r="AP174" s="11">
        <f t="shared" si="105"/>
        <v>0</v>
      </c>
      <c r="AQ174" s="11">
        <f t="shared" si="106"/>
        <v>0</v>
      </c>
      <c r="AR174" s="11">
        <f t="shared" si="107"/>
        <v>0</v>
      </c>
      <c r="AS174" s="11">
        <f t="shared" si="108"/>
        <v>0</v>
      </c>
      <c r="AT174" s="11">
        <f t="shared" si="109"/>
        <v>0</v>
      </c>
      <c r="AU174" s="11">
        <f t="shared" si="110"/>
        <v>0</v>
      </c>
      <c r="AV174" s="11">
        <f t="shared" si="111"/>
        <v>0</v>
      </c>
      <c r="AW174" s="11">
        <f t="shared" si="112"/>
        <v>0</v>
      </c>
      <c r="AX174" s="11">
        <f t="shared" si="113"/>
        <v>1</v>
      </c>
      <c r="AY174" s="11">
        <f t="shared" si="60"/>
        <v>0</v>
      </c>
    </row>
    <row r="175" spans="1:51">
      <c r="A175" s="15">
        <v>45100</v>
      </c>
      <c r="B175" s="436">
        <v>8</v>
      </c>
      <c r="C175" s="436">
        <v>8</v>
      </c>
      <c r="D175" s="436">
        <v>8</v>
      </c>
      <c r="E175" s="436">
        <v>8</v>
      </c>
      <c r="F175" s="436">
        <v>8</v>
      </c>
      <c r="G175" s="436">
        <v>8</v>
      </c>
      <c r="H175" s="436">
        <v>8</v>
      </c>
      <c r="I175" s="436">
        <v>8</v>
      </c>
      <c r="J175" s="436">
        <v>8</v>
      </c>
      <c r="K175" s="436">
        <v>8</v>
      </c>
      <c r="L175" s="436">
        <v>8</v>
      </c>
      <c r="M175" s="436">
        <v>8</v>
      </c>
      <c r="N175" s="436">
        <v>8</v>
      </c>
      <c r="O175" s="436">
        <v>8</v>
      </c>
      <c r="P175" s="436">
        <v>8</v>
      </c>
      <c r="Q175" s="436">
        <v>8</v>
      </c>
      <c r="R175" s="436">
        <v>8</v>
      </c>
      <c r="S175" s="436">
        <v>8</v>
      </c>
      <c r="T175" s="436">
        <v>8</v>
      </c>
      <c r="U175" s="436">
        <v>8</v>
      </c>
      <c r="V175" s="436">
        <v>8</v>
      </c>
      <c r="W175" s="436">
        <v>8</v>
      </c>
      <c r="X175" s="436">
        <v>8</v>
      </c>
      <c r="Y175" s="436">
        <v>8</v>
      </c>
      <c r="Z175" s="11">
        <f t="shared" si="114"/>
        <v>0</v>
      </c>
      <c r="AA175" s="11">
        <f t="shared" si="90"/>
        <v>0</v>
      </c>
      <c r="AB175" s="11">
        <f t="shared" si="91"/>
        <v>0</v>
      </c>
      <c r="AC175" s="11">
        <f t="shared" si="92"/>
        <v>0</v>
      </c>
      <c r="AD175" s="11">
        <f t="shared" si="93"/>
        <v>0</v>
      </c>
      <c r="AE175" s="11">
        <f t="shared" si="94"/>
        <v>0</v>
      </c>
      <c r="AF175" s="11">
        <f t="shared" si="95"/>
        <v>0</v>
      </c>
      <c r="AG175" s="11">
        <f t="shared" si="96"/>
        <v>0</v>
      </c>
      <c r="AH175" s="11">
        <f t="shared" si="97"/>
        <v>0</v>
      </c>
      <c r="AI175" s="11">
        <f t="shared" si="98"/>
        <v>0</v>
      </c>
      <c r="AJ175" s="11">
        <f t="shared" si="99"/>
        <v>0</v>
      </c>
      <c r="AK175" s="11">
        <f t="shared" si="100"/>
        <v>0</v>
      </c>
      <c r="AL175" s="11">
        <f t="shared" si="101"/>
        <v>0</v>
      </c>
      <c r="AM175" s="11">
        <f t="shared" si="102"/>
        <v>0</v>
      </c>
      <c r="AN175" s="11">
        <f t="shared" si="103"/>
        <v>0</v>
      </c>
      <c r="AO175" s="11">
        <f t="shared" si="104"/>
        <v>0</v>
      </c>
      <c r="AP175" s="11">
        <f t="shared" si="105"/>
        <v>0</v>
      </c>
      <c r="AQ175" s="11">
        <f t="shared" si="106"/>
        <v>0</v>
      </c>
      <c r="AR175" s="11">
        <f t="shared" si="107"/>
        <v>0</v>
      </c>
      <c r="AS175" s="11">
        <f t="shared" si="108"/>
        <v>0</v>
      </c>
      <c r="AT175" s="11">
        <f t="shared" si="109"/>
        <v>0</v>
      </c>
      <c r="AU175" s="11">
        <f t="shared" si="110"/>
        <v>0</v>
      </c>
      <c r="AV175" s="11">
        <f t="shared" si="111"/>
        <v>0</v>
      </c>
      <c r="AW175" s="11">
        <f t="shared" si="112"/>
        <v>0</v>
      </c>
      <c r="AX175" s="11">
        <f t="shared" si="113"/>
        <v>0</v>
      </c>
      <c r="AY175" s="11">
        <f t="shared" si="60"/>
        <v>0</v>
      </c>
    </row>
    <row r="176" spans="1:51">
      <c r="A176" s="15">
        <v>45101</v>
      </c>
      <c r="B176" s="436">
        <v>8</v>
      </c>
      <c r="C176" s="436">
        <v>8</v>
      </c>
      <c r="D176" s="436">
        <v>8</v>
      </c>
      <c r="E176" s="436">
        <v>8</v>
      </c>
      <c r="F176" s="436">
        <v>8</v>
      </c>
      <c r="G176" s="436">
        <v>8</v>
      </c>
      <c r="H176" s="436">
        <v>8</v>
      </c>
      <c r="I176" s="436">
        <v>8</v>
      </c>
      <c r="J176" s="436">
        <v>8</v>
      </c>
      <c r="K176" s="436">
        <v>8</v>
      </c>
      <c r="L176" s="436">
        <v>8</v>
      </c>
      <c r="M176" s="436">
        <v>8</v>
      </c>
      <c r="N176" s="436">
        <v>8</v>
      </c>
      <c r="O176" s="436">
        <v>8</v>
      </c>
      <c r="P176" s="436">
        <v>8</v>
      </c>
      <c r="Q176" s="436">
        <v>8</v>
      </c>
      <c r="R176" s="436">
        <v>8</v>
      </c>
      <c r="S176" s="436">
        <v>8</v>
      </c>
      <c r="T176" s="436">
        <v>8</v>
      </c>
      <c r="U176" s="436">
        <v>8</v>
      </c>
      <c r="V176" s="436">
        <v>8</v>
      </c>
      <c r="W176" s="436">
        <v>8</v>
      </c>
      <c r="X176" s="436">
        <v>8</v>
      </c>
      <c r="Y176" s="436">
        <v>8</v>
      </c>
      <c r="Z176" s="11">
        <f t="shared" si="114"/>
        <v>0</v>
      </c>
      <c r="AA176" s="11">
        <f t="shared" si="90"/>
        <v>0</v>
      </c>
      <c r="AB176" s="11">
        <f t="shared" si="91"/>
        <v>0</v>
      </c>
      <c r="AC176" s="11">
        <f t="shared" si="92"/>
        <v>0</v>
      </c>
      <c r="AD176" s="11">
        <f t="shared" si="93"/>
        <v>0</v>
      </c>
      <c r="AE176" s="11">
        <f t="shared" si="94"/>
        <v>0</v>
      </c>
      <c r="AF176" s="11">
        <f t="shared" si="95"/>
        <v>0</v>
      </c>
      <c r="AG176" s="11">
        <f t="shared" si="96"/>
        <v>0</v>
      </c>
      <c r="AH176" s="11">
        <f t="shared" si="97"/>
        <v>0</v>
      </c>
      <c r="AI176" s="11">
        <f t="shared" si="98"/>
        <v>0</v>
      </c>
      <c r="AJ176" s="11">
        <f t="shared" si="99"/>
        <v>0</v>
      </c>
      <c r="AK176" s="11">
        <f t="shared" si="100"/>
        <v>0</v>
      </c>
      <c r="AL176" s="11">
        <f t="shared" si="101"/>
        <v>0</v>
      </c>
      <c r="AM176" s="11">
        <f t="shared" si="102"/>
        <v>0</v>
      </c>
      <c r="AN176" s="11">
        <f t="shared" si="103"/>
        <v>0</v>
      </c>
      <c r="AO176" s="11">
        <f t="shared" si="104"/>
        <v>0</v>
      </c>
      <c r="AP176" s="11">
        <f t="shared" si="105"/>
        <v>0</v>
      </c>
      <c r="AQ176" s="11">
        <f t="shared" si="106"/>
        <v>0</v>
      </c>
      <c r="AR176" s="11">
        <f t="shared" si="107"/>
        <v>0</v>
      </c>
      <c r="AS176" s="11">
        <f t="shared" si="108"/>
        <v>0</v>
      </c>
      <c r="AT176" s="11">
        <f t="shared" si="109"/>
        <v>0</v>
      </c>
      <c r="AU176" s="11">
        <f t="shared" si="110"/>
        <v>0</v>
      </c>
      <c r="AV176" s="11">
        <f t="shared" si="111"/>
        <v>0</v>
      </c>
      <c r="AW176" s="11">
        <f t="shared" si="112"/>
        <v>0</v>
      </c>
      <c r="AX176" s="11">
        <f t="shared" si="113"/>
        <v>0</v>
      </c>
      <c r="AY176" s="11">
        <f t="shared" si="60"/>
        <v>0</v>
      </c>
    </row>
    <row r="177" spans="1:51">
      <c r="A177" s="15">
        <v>45102</v>
      </c>
      <c r="B177" s="436">
        <v>9</v>
      </c>
      <c r="C177" s="436">
        <v>8</v>
      </c>
      <c r="D177" s="436">
        <v>8</v>
      </c>
      <c r="E177" s="436">
        <v>8</v>
      </c>
      <c r="F177" s="436">
        <v>8</v>
      </c>
      <c r="G177" s="436">
        <v>8</v>
      </c>
      <c r="H177" s="436">
        <v>8</v>
      </c>
      <c r="I177" s="436">
        <v>8</v>
      </c>
      <c r="J177" s="436">
        <v>8</v>
      </c>
      <c r="K177" s="436">
        <v>8</v>
      </c>
      <c r="L177" s="436">
        <v>8</v>
      </c>
      <c r="M177" s="436">
        <v>8</v>
      </c>
      <c r="N177" s="436">
        <v>8</v>
      </c>
      <c r="O177" s="436">
        <v>8</v>
      </c>
      <c r="P177" s="436">
        <v>8</v>
      </c>
      <c r="Q177" s="436">
        <v>8</v>
      </c>
      <c r="R177" s="436">
        <v>8</v>
      </c>
      <c r="S177" s="436">
        <v>8</v>
      </c>
      <c r="T177" s="436">
        <v>8</v>
      </c>
      <c r="U177" s="436">
        <v>8</v>
      </c>
      <c r="V177" s="436">
        <v>8</v>
      </c>
      <c r="W177" s="436">
        <v>8</v>
      </c>
      <c r="X177" s="436">
        <v>8</v>
      </c>
      <c r="Y177" s="436">
        <v>8</v>
      </c>
      <c r="Z177" s="11">
        <f t="shared" si="114"/>
        <v>1</v>
      </c>
      <c r="AA177" s="11">
        <f t="shared" si="90"/>
        <v>-1</v>
      </c>
      <c r="AB177" s="11">
        <f t="shared" si="91"/>
        <v>0</v>
      </c>
      <c r="AC177" s="11">
        <f t="shared" si="92"/>
        <v>0</v>
      </c>
      <c r="AD177" s="11">
        <f t="shared" si="93"/>
        <v>0</v>
      </c>
      <c r="AE177" s="11">
        <f t="shared" si="94"/>
        <v>0</v>
      </c>
      <c r="AF177" s="11">
        <f t="shared" si="95"/>
        <v>0</v>
      </c>
      <c r="AG177" s="11">
        <f t="shared" si="96"/>
        <v>0</v>
      </c>
      <c r="AH177" s="11">
        <f t="shared" si="97"/>
        <v>0</v>
      </c>
      <c r="AI177" s="11">
        <f t="shared" si="98"/>
        <v>0</v>
      </c>
      <c r="AJ177" s="11">
        <f t="shared" si="99"/>
        <v>0</v>
      </c>
      <c r="AK177" s="11">
        <f t="shared" si="100"/>
        <v>0</v>
      </c>
      <c r="AL177" s="11">
        <f t="shared" si="101"/>
        <v>0</v>
      </c>
      <c r="AM177" s="11">
        <f t="shared" si="102"/>
        <v>0</v>
      </c>
      <c r="AN177" s="11">
        <f t="shared" si="103"/>
        <v>0</v>
      </c>
      <c r="AO177" s="11">
        <f t="shared" si="104"/>
        <v>0</v>
      </c>
      <c r="AP177" s="11">
        <f t="shared" si="105"/>
        <v>0</v>
      </c>
      <c r="AQ177" s="11">
        <f t="shared" si="106"/>
        <v>0</v>
      </c>
      <c r="AR177" s="11">
        <f t="shared" si="107"/>
        <v>0</v>
      </c>
      <c r="AS177" s="11">
        <f t="shared" si="108"/>
        <v>0</v>
      </c>
      <c r="AT177" s="11">
        <f t="shared" si="109"/>
        <v>0</v>
      </c>
      <c r="AU177" s="11">
        <f t="shared" si="110"/>
        <v>0</v>
      </c>
      <c r="AV177" s="11">
        <f t="shared" si="111"/>
        <v>0</v>
      </c>
      <c r="AW177" s="11">
        <f t="shared" si="112"/>
        <v>0</v>
      </c>
      <c r="AX177" s="11">
        <f t="shared" si="113"/>
        <v>1</v>
      </c>
      <c r="AY177" s="11">
        <f t="shared" si="60"/>
        <v>1</v>
      </c>
    </row>
    <row r="178" spans="1:51">
      <c r="A178" s="15">
        <v>45103</v>
      </c>
      <c r="B178" s="436">
        <v>8</v>
      </c>
      <c r="C178" s="436">
        <v>8</v>
      </c>
      <c r="D178" s="436">
        <v>8</v>
      </c>
      <c r="E178" s="436">
        <v>8</v>
      </c>
      <c r="F178" s="436">
        <v>8</v>
      </c>
      <c r="G178" s="436">
        <v>8</v>
      </c>
      <c r="H178" s="436">
        <v>8</v>
      </c>
      <c r="I178" s="436">
        <v>8</v>
      </c>
      <c r="J178" s="436">
        <v>8</v>
      </c>
      <c r="K178" s="436">
        <v>8</v>
      </c>
      <c r="L178" s="436">
        <v>8</v>
      </c>
      <c r="M178" s="436">
        <v>8</v>
      </c>
      <c r="N178" s="436">
        <v>8</v>
      </c>
      <c r="O178" s="436">
        <v>8</v>
      </c>
      <c r="P178" s="436">
        <v>8</v>
      </c>
      <c r="Q178" s="436">
        <v>8</v>
      </c>
      <c r="R178" s="436">
        <v>8</v>
      </c>
      <c r="S178" s="436">
        <v>8</v>
      </c>
      <c r="T178" s="436">
        <v>8</v>
      </c>
      <c r="U178" s="436">
        <v>8</v>
      </c>
      <c r="V178" s="436">
        <v>8</v>
      </c>
      <c r="W178" s="436">
        <v>8</v>
      </c>
      <c r="X178" s="436">
        <v>8</v>
      </c>
      <c r="Y178" s="436">
        <v>9</v>
      </c>
      <c r="Z178" s="11">
        <f t="shared" si="114"/>
        <v>0</v>
      </c>
      <c r="AA178" s="11">
        <f t="shared" si="90"/>
        <v>0</v>
      </c>
      <c r="AB178" s="11">
        <f t="shared" si="91"/>
        <v>0</v>
      </c>
      <c r="AC178" s="11">
        <f t="shared" si="92"/>
        <v>0</v>
      </c>
      <c r="AD178" s="11">
        <f t="shared" si="93"/>
        <v>0</v>
      </c>
      <c r="AE178" s="11">
        <f t="shared" si="94"/>
        <v>0</v>
      </c>
      <c r="AF178" s="11">
        <f t="shared" si="95"/>
        <v>0</v>
      </c>
      <c r="AG178" s="11">
        <f t="shared" si="96"/>
        <v>0</v>
      </c>
      <c r="AH178" s="11">
        <f t="shared" si="97"/>
        <v>0</v>
      </c>
      <c r="AI178" s="11">
        <f t="shared" si="98"/>
        <v>0</v>
      </c>
      <c r="AJ178" s="11">
        <f t="shared" si="99"/>
        <v>0</v>
      </c>
      <c r="AK178" s="11">
        <f t="shared" si="100"/>
        <v>0</v>
      </c>
      <c r="AL178" s="11">
        <f t="shared" si="101"/>
        <v>0</v>
      </c>
      <c r="AM178" s="11">
        <f t="shared" si="102"/>
        <v>0</v>
      </c>
      <c r="AN178" s="11">
        <f t="shared" si="103"/>
        <v>0</v>
      </c>
      <c r="AO178" s="11">
        <f t="shared" si="104"/>
        <v>0</v>
      </c>
      <c r="AP178" s="11">
        <f t="shared" si="105"/>
        <v>0</v>
      </c>
      <c r="AQ178" s="11">
        <f t="shared" si="106"/>
        <v>0</v>
      </c>
      <c r="AR178" s="11">
        <f t="shared" si="107"/>
        <v>0</v>
      </c>
      <c r="AS178" s="11">
        <f t="shared" si="108"/>
        <v>0</v>
      </c>
      <c r="AT178" s="11">
        <f t="shared" si="109"/>
        <v>0</v>
      </c>
      <c r="AU178" s="11">
        <f t="shared" si="110"/>
        <v>0</v>
      </c>
      <c r="AV178" s="11">
        <f t="shared" si="111"/>
        <v>0</v>
      </c>
      <c r="AW178" s="11">
        <f t="shared" si="112"/>
        <v>1</v>
      </c>
      <c r="AX178" s="11">
        <f t="shared" si="113"/>
        <v>1</v>
      </c>
      <c r="AY178" s="11">
        <f t="shared" si="60"/>
        <v>0</v>
      </c>
    </row>
    <row r="179" spans="1:51">
      <c r="A179" s="15">
        <v>45104</v>
      </c>
      <c r="B179" s="436">
        <v>8</v>
      </c>
      <c r="C179" s="436">
        <v>8</v>
      </c>
      <c r="D179" s="436">
        <v>8</v>
      </c>
      <c r="E179" s="436">
        <v>8</v>
      </c>
      <c r="F179" s="436">
        <v>8</v>
      </c>
      <c r="G179" s="436">
        <v>8</v>
      </c>
      <c r="H179" s="436">
        <v>8</v>
      </c>
      <c r="I179" s="436">
        <v>8</v>
      </c>
      <c r="J179" s="436">
        <v>8</v>
      </c>
      <c r="K179" s="436">
        <v>8</v>
      </c>
      <c r="L179" s="436">
        <v>8</v>
      </c>
      <c r="M179" s="436">
        <v>8</v>
      </c>
      <c r="N179" s="436">
        <v>8</v>
      </c>
      <c r="O179" s="436">
        <v>8</v>
      </c>
      <c r="P179" s="436">
        <v>8</v>
      </c>
      <c r="Q179" s="436">
        <v>8</v>
      </c>
      <c r="R179" s="436">
        <v>8</v>
      </c>
      <c r="S179" s="436">
        <v>8</v>
      </c>
      <c r="T179" s="436">
        <v>8</v>
      </c>
      <c r="U179" s="436">
        <v>8</v>
      </c>
      <c r="V179" s="436">
        <v>8</v>
      </c>
      <c r="W179" s="436">
        <v>8</v>
      </c>
      <c r="X179" s="436">
        <v>8</v>
      </c>
      <c r="Y179" s="436">
        <v>8</v>
      </c>
      <c r="Z179" s="11">
        <f t="shared" si="114"/>
        <v>-1</v>
      </c>
      <c r="AA179" s="11">
        <f t="shared" si="90"/>
        <v>0</v>
      </c>
      <c r="AB179" s="11">
        <f t="shared" si="91"/>
        <v>0</v>
      </c>
      <c r="AC179" s="11">
        <f t="shared" si="92"/>
        <v>0</v>
      </c>
      <c r="AD179" s="11">
        <f t="shared" si="93"/>
        <v>0</v>
      </c>
      <c r="AE179" s="11">
        <f t="shared" si="94"/>
        <v>0</v>
      </c>
      <c r="AF179" s="11">
        <f t="shared" si="95"/>
        <v>0</v>
      </c>
      <c r="AG179" s="11">
        <f t="shared" si="96"/>
        <v>0</v>
      </c>
      <c r="AH179" s="11">
        <f t="shared" si="97"/>
        <v>0</v>
      </c>
      <c r="AI179" s="11">
        <f t="shared" si="98"/>
        <v>0</v>
      </c>
      <c r="AJ179" s="11">
        <f t="shared" si="99"/>
        <v>0</v>
      </c>
      <c r="AK179" s="11">
        <f t="shared" si="100"/>
        <v>0</v>
      </c>
      <c r="AL179" s="11">
        <f t="shared" si="101"/>
        <v>0</v>
      </c>
      <c r="AM179" s="11">
        <f t="shared" si="102"/>
        <v>0</v>
      </c>
      <c r="AN179" s="11">
        <f t="shared" si="103"/>
        <v>0</v>
      </c>
      <c r="AO179" s="11">
        <f t="shared" si="104"/>
        <v>0</v>
      </c>
      <c r="AP179" s="11">
        <f t="shared" si="105"/>
        <v>0</v>
      </c>
      <c r="AQ179" s="11">
        <f t="shared" si="106"/>
        <v>0</v>
      </c>
      <c r="AR179" s="11">
        <f t="shared" si="107"/>
        <v>0</v>
      </c>
      <c r="AS179" s="11">
        <f t="shared" si="108"/>
        <v>0</v>
      </c>
      <c r="AT179" s="11">
        <f t="shared" si="109"/>
        <v>0</v>
      </c>
      <c r="AU179" s="11">
        <f t="shared" si="110"/>
        <v>0</v>
      </c>
      <c r="AV179" s="11">
        <f t="shared" si="111"/>
        <v>0</v>
      </c>
      <c r="AW179" s="11">
        <f t="shared" si="112"/>
        <v>0</v>
      </c>
      <c r="AX179" s="11">
        <f t="shared" si="113"/>
        <v>0</v>
      </c>
      <c r="AY179" s="11">
        <f t="shared" si="60"/>
        <v>1</v>
      </c>
    </row>
    <row r="180" spans="1:51">
      <c r="A180" s="15">
        <v>45105</v>
      </c>
      <c r="B180" s="436">
        <v>8</v>
      </c>
      <c r="C180" s="436">
        <v>8</v>
      </c>
      <c r="D180" s="436">
        <v>8</v>
      </c>
      <c r="E180" s="436">
        <v>8</v>
      </c>
      <c r="F180" s="436">
        <v>8</v>
      </c>
      <c r="G180" s="436">
        <v>8</v>
      </c>
      <c r="H180" s="436">
        <v>8</v>
      </c>
      <c r="I180" s="436">
        <v>8</v>
      </c>
      <c r="J180" s="436">
        <v>8</v>
      </c>
      <c r="K180" s="436">
        <v>8</v>
      </c>
      <c r="L180" s="436">
        <v>8</v>
      </c>
      <c r="M180" s="436">
        <v>8</v>
      </c>
      <c r="N180" s="436">
        <v>8</v>
      </c>
      <c r="O180" s="436">
        <v>8</v>
      </c>
      <c r="P180" s="436">
        <v>7</v>
      </c>
      <c r="Q180" s="436">
        <v>8</v>
      </c>
      <c r="R180" s="436">
        <v>8</v>
      </c>
      <c r="S180" s="436">
        <v>8</v>
      </c>
      <c r="T180" s="436">
        <v>8</v>
      </c>
      <c r="U180" s="436">
        <v>8</v>
      </c>
      <c r="V180" s="436">
        <v>8</v>
      </c>
      <c r="W180" s="436">
        <v>8</v>
      </c>
      <c r="X180" s="436">
        <v>8</v>
      </c>
      <c r="Y180" s="436">
        <v>8</v>
      </c>
      <c r="Z180" s="11">
        <f t="shared" si="114"/>
        <v>0</v>
      </c>
      <c r="AA180" s="11">
        <f t="shared" si="90"/>
        <v>0</v>
      </c>
      <c r="AB180" s="11">
        <f t="shared" si="91"/>
        <v>0</v>
      </c>
      <c r="AC180" s="11">
        <f t="shared" si="92"/>
        <v>0</v>
      </c>
      <c r="AD180" s="11">
        <f t="shared" si="93"/>
        <v>0</v>
      </c>
      <c r="AE180" s="11">
        <f t="shared" si="94"/>
        <v>0</v>
      </c>
      <c r="AF180" s="11">
        <f t="shared" si="95"/>
        <v>0</v>
      </c>
      <c r="AG180" s="11">
        <f t="shared" si="96"/>
        <v>0</v>
      </c>
      <c r="AH180" s="11">
        <f t="shared" si="97"/>
        <v>0</v>
      </c>
      <c r="AI180" s="11">
        <f t="shared" si="98"/>
        <v>0</v>
      </c>
      <c r="AJ180" s="11">
        <f t="shared" si="99"/>
        <v>0</v>
      </c>
      <c r="AK180" s="11">
        <f t="shared" si="100"/>
        <v>0</v>
      </c>
      <c r="AL180" s="11">
        <f t="shared" si="101"/>
        <v>0</v>
      </c>
      <c r="AM180" s="11">
        <f t="shared" si="102"/>
        <v>0</v>
      </c>
      <c r="AN180" s="11">
        <f t="shared" si="103"/>
        <v>-1</v>
      </c>
      <c r="AO180" s="11">
        <f t="shared" si="104"/>
        <v>1</v>
      </c>
      <c r="AP180" s="11">
        <f t="shared" si="105"/>
        <v>0</v>
      </c>
      <c r="AQ180" s="11">
        <f t="shared" si="106"/>
        <v>0</v>
      </c>
      <c r="AR180" s="11">
        <f t="shared" si="107"/>
        <v>0</v>
      </c>
      <c r="AS180" s="11">
        <f t="shared" si="108"/>
        <v>0</v>
      </c>
      <c r="AT180" s="11">
        <f t="shared" si="109"/>
        <v>0</v>
      </c>
      <c r="AU180" s="11">
        <f t="shared" si="110"/>
        <v>0</v>
      </c>
      <c r="AV180" s="11">
        <f t="shared" si="111"/>
        <v>0</v>
      </c>
      <c r="AW180" s="11">
        <f t="shared" si="112"/>
        <v>0</v>
      </c>
      <c r="AX180" s="11">
        <f t="shared" si="113"/>
        <v>1</v>
      </c>
      <c r="AY180" s="11">
        <f t="shared" si="60"/>
        <v>1</v>
      </c>
    </row>
    <row r="181" spans="1:51">
      <c r="A181" s="15">
        <v>45106</v>
      </c>
      <c r="B181" s="436">
        <v>7</v>
      </c>
      <c r="C181" s="436">
        <v>7</v>
      </c>
      <c r="D181" s="436">
        <v>7</v>
      </c>
      <c r="E181" s="436">
        <v>7</v>
      </c>
      <c r="F181" s="436">
        <v>7</v>
      </c>
      <c r="G181" s="436">
        <v>7</v>
      </c>
      <c r="H181" s="436">
        <v>7</v>
      </c>
      <c r="I181" s="436">
        <v>7</v>
      </c>
      <c r="J181" s="436">
        <v>7</v>
      </c>
      <c r="K181" s="436">
        <v>7</v>
      </c>
      <c r="L181" s="436">
        <v>7</v>
      </c>
      <c r="M181" s="436">
        <v>7</v>
      </c>
      <c r="N181" s="436">
        <v>6</v>
      </c>
      <c r="O181" s="436">
        <v>6</v>
      </c>
      <c r="P181" s="436">
        <v>7</v>
      </c>
      <c r="Q181" s="436">
        <v>7</v>
      </c>
      <c r="R181" s="436">
        <v>7</v>
      </c>
      <c r="S181" s="436">
        <v>7</v>
      </c>
      <c r="T181" s="436">
        <v>7</v>
      </c>
      <c r="U181" s="436">
        <v>7</v>
      </c>
      <c r="V181" s="436">
        <v>7</v>
      </c>
      <c r="W181" s="436">
        <v>7</v>
      </c>
      <c r="X181" s="436">
        <v>7</v>
      </c>
      <c r="Y181" s="436">
        <v>7</v>
      </c>
      <c r="Z181" s="11">
        <f t="shared" si="114"/>
        <v>-1</v>
      </c>
      <c r="AA181" s="11">
        <f t="shared" si="90"/>
        <v>0</v>
      </c>
      <c r="AB181" s="11">
        <f t="shared" si="91"/>
        <v>0</v>
      </c>
      <c r="AC181" s="11">
        <f t="shared" si="92"/>
        <v>0</v>
      </c>
      <c r="AD181" s="11">
        <f t="shared" si="93"/>
        <v>0</v>
      </c>
      <c r="AE181" s="11">
        <f t="shared" si="94"/>
        <v>0</v>
      </c>
      <c r="AF181" s="11">
        <f t="shared" si="95"/>
        <v>0</v>
      </c>
      <c r="AG181" s="11">
        <f t="shared" si="96"/>
        <v>0</v>
      </c>
      <c r="AH181" s="11">
        <f t="shared" si="97"/>
        <v>0</v>
      </c>
      <c r="AI181" s="11">
        <f t="shared" si="98"/>
        <v>0</v>
      </c>
      <c r="AJ181" s="11">
        <f t="shared" si="99"/>
        <v>0</v>
      </c>
      <c r="AK181" s="11">
        <f t="shared" si="100"/>
        <v>0</v>
      </c>
      <c r="AL181" s="11">
        <f t="shared" si="101"/>
        <v>-1</v>
      </c>
      <c r="AM181" s="11">
        <f t="shared" si="102"/>
        <v>0</v>
      </c>
      <c r="AN181" s="11">
        <f t="shared" si="103"/>
        <v>1</v>
      </c>
      <c r="AO181" s="11">
        <f t="shared" si="104"/>
        <v>0</v>
      </c>
      <c r="AP181" s="11">
        <f t="shared" si="105"/>
        <v>0</v>
      </c>
      <c r="AQ181" s="11">
        <f t="shared" si="106"/>
        <v>0</v>
      </c>
      <c r="AR181" s="11">
        <f t="shared" si="107"/>
        <v>0</v>
      </c>
      <c r="AS181" s="11">
        <f t="shared" si="108"/>
        <v>0</v>
      </c>
      <c r="AT181" s="11">
        <f t="shared" si="109"/>
        <v>0</v>
      </c>
      <c r="AU181" s="11">
        <f t="shared" si="110"/>
        <v>0</v>
      </c>
      <c r="AV181" s="11">
        <f t="shared" si="111"/>
        <v>0</v>
      </c>
      <c r="AW181" s="11">
        <f t="shared" si="112"/>
        <v>0</v>
      </c>
      <c r="AX181" s="11">
        <f t="shared" si="113"/>
        <v>1</v>
      </c>
      <c r="AY181" s="11">
        <f t="shared" si="60"/>
        <v>2</v>
      </c>
    </row>
    <row r="182" spans="1:51">
      <c r="A182" s="15">
        <v>45107</v>
      </c>
      <c r="B182" s="436">
        <v>7</v>
      </c>
      <c r="C182" s="436">
        <v>7</v>
      </c>
      <c r="D182" s="436">
        <v>7</v>
      </c>
      <c r="E182" s="436">
        <v>7</v>
      </c>
      <c r="F182" s="436">
        <v>7</v>
      </c>
      <c r="G182" s="436">
        <v>7</v>
      </c>
      <c r="H182" s="436">
        <v>7</v>
      </c>
      <c r="I182" s="436">
        <v>7</v>
      </c>
      <c r="J182" s="436">
        <v>7</v>
      </c>
      <c r="K182" s="436">
        <v>7</v>
      </c>
      <c r="L182" s="436">
        <v>7</v>
      </c>
      <c r="M182" s="436">
        <v>7</v>
      </c>
      <c r="N182" s="436">
        <v>7</v>
      </c>
      <c r="O182" s="436">
        <v>7</v>
      </c>
      <c r="P182" s="436">
        <v>7</v>
      </c>
      <c r="Q182" s="436">
        <v>7</v>
      </c>
      <c r="R182" s="436">
        <v>7</v>
      </c>
      <c r="S182" s="436">
        <v>7</v>
      </c>
      <c r="T182" s="436">
        <v>7</v>
      </c>
      <c r="U182" s="436">
        <v>7</v>
      </c>
      <c r="V182" s="436">
        <v>7</v>
      </c>
      <c r="W182" s="436">
        <v>7</v>
      </c>
      <c r="X182" s="436">
        <v>7</v>
      </c>
      <c r="Y182" s="436">
        <v>7</v>
      </c>
      <c r="Z182" s="11">
        <f t="shared" si="114"/>
        <v>0</v>
      </c>
      <c r="AA182" s="11">
        <f t="shared" si="90"/>
        <v>0</v>
      </c>
      <c r="AB182" s="11">
        <f t="shared" si="91"/>
        <v>0</v>
      </c>
      <c r="AC182" s="11">
        <f t="shared" si="92"/>
        <v>0</v>
      </c>
      <c r="AD182" s="11">
        <f t="shared" si="93"/>
        <v>0</v>
      </c>
      <c r="AE182" s="11">
        <f t="shared" si="94"/>
        <v>0</v>
      </c>
      <c r="AF182" s="11">
        <f t="shared" si="95"/>
        <v>0</v>
      </c>
      <c r="AG182" s="11">
        <f t="shared" si="96"/>
        <v>0</v>
      </c>
      <c r="AH182" s="11">
        <f t="shared" si="97"/>
        <v>0</v>
      </c>
      <c r="AI182" s="11">
        <f t="shared" si="98"/>
        <v>0</v>
      </c>
      <c r="AJ182" s="11">
        <f t="shared" si="99"/>
        <v>0</v>
      </c>
      <c r="AK182" s="11">
        <f t="shared" si="100"/>
        <v>0</v>
      </c>
      <c r="AL182" s="11">
        <f t="shared" si="101"/>
        <v>0</v>
      </c>
      <c r="AM182" s="11">
        <f t="shared" si="102"/>
        <v>0</v>
      </c>
      <c r="AN182" s="11">
        <f t="shared" si="103"/>
        <v>0</v>
      </c>
      <c r="AO182" s="11">
        <f t="shared" si="104"/>
        <v>0</v>
      </c>
      <c r="AP182" s="11">
        <f t="shared" si="105"/>
        <v>0</v>
      </c>
      <c r="AQ182" s="11">
        <f t="shared" si="106"/>
        <v>0</v>
      </c>
      <c r="AR182" s="11">
        <f t="shared" si="107"/>
        <v>0</v>
      </c>
      <c r="AS182" s="11">
        <f t="shared" si="108"/>
        <v>0</v>
      </c>
      <c r="AT182" s="11">
        <f t="shared" si="109"/>
        <v>0</v>
      </c>
      <c r="AU182" s="11">
        <f t="shared" si="110"/>
        <v>0</v>
      </c>
      <c r="AV182" s="11">
        <f t="shared" si="111"/>
        <v>0</v>
      </c>
      <c r="AW182" s="11">
        <f t="shared" si="112"/>
        <v>0</v>
      </c>
      <c r="AX182" s="11">
        <f t="shared" si="113"/>
        <v>0</v>
      </c>
      <c r="AY182" s="11">
        <f t="shared" si="60"/>
        <v>0</v>
      </c>
    </row>
    <row r="183" spans="1:51">
      <c r="A183" s="15">
        <v>45108</v>
      </c>
      <c r="B183" s="436">
        <v>8</v>
      </c>
      <c r="C183" s="436">
        <v>8</v>
      </c>
      <c r="D183" s="436">
        <v>8</v>
      </c>
      <c r="E183" s="436">
        <v>8</v>
      </c>
      <c r="F183" s="436">
        <v>8</v>
      </c>
      <c r="G183" s="436">
        <v>8</v>
      </c>
      <c r="H183" s="436">
        <v>8</v>
      </c>
      <c r="I183" s="436">
        <v>8</v>
      </c>
      <c r="J183" s="436">
        <v>8</v>
      </c>
      <c r="K183" s="436">
        <v>8</v>
      </c>
      <c r="L183" s="436">
        <v>8</v>
      </c>
      <c r="M183" s="436">
        <v>8</v>
      </c>
      <c r="N183" s="436">
        <v>8</v>
      </c>
      <c r="O183" s="436">
        <v>8</v>
      </c>
      <c r="P183" s="436">
        <v>8</v>
      </c>
      <c r="Q183" s="436">
        <v>8</v>
      </c>
      <c r="R183" s="436">
        <v>8</v>
      </c>
      <c r="S183" s="436">
        <v>8</v>
      </c>
      <c r="T183" s="436">
        <v>8</v>
      </c>
      <c r="U183" s="436">
        <v>8</v>
      </c>
      <c r="V183" s="436">
        <v>8</v>
      </c>
      <c r="W183" s="436">
        <v>8</v>
      </c>
      <c r="X183" s="436">
        <v>8</v>
      </c>
      <c r="Y183" s="436">
        <v>8</v>
      </c>
      <c r="Z183" s="11">
        <f t="shared" si="114"/>
        <v>1</v>
      </c>
      <c r="AA183" s="11">
        <f>C183-B183</f>
        <v>0</v>
      </c>
      <c r="AB183" s="11">
        <f t="shared" si="91"/>
        <v>0</v>
      </c>
      <c r="AC183" s="11">
        <f t="shared" si="92"/>
        <v>0</v>
      </c>
      <c r="AD183" s="11">
        <f t="shared" si="93"/>
        <v>0</v>
      </c>
      <c r="AE183" s="11">
        <f t="shared" si="94"/>
        <v>0</v>
      </c>
      <c r="AF183" s="11">
        <f t="shared" si="95"/>
        <v>0</v>
      </c>
      <c r="AG183" s="11">
        <f t="shared" si="96"/>
        <v>0</v>
      </c>
      <c r="AH183" s="11">
        <f t="shared" si="97"/>
        <v>0</v>
      </c>
      <c r="AI183" s="11">
        <f t="shared" si="98"/>
        <v>0</v>
      </c>
      <c r="AJ183" s="11">
        <f t="shared" si="99"/>
        <v>0</v>
      </c>
      <c r="AK183" s="11">
        <f t="shared" si="100"/>
        <v>0</v>
      </c>
      <c r="AL183" s="11">
        <f t="shared" si="101"/>
        <v>0</v>
      </c>
      <c r="AM183" s="11">
        <f t="shared" si="102"/>
        <v>0</v>
      </c>
      <c r="AN183" s="11">
        <f t="shared" si="103"/>
        <v>0</v>
      </c>
      <c r="AO183" s="11">
        <f t="shared" si="104"/>
        <v>0</v>
      </c>
      <c r="AP183" s="11">
        <f t="shared" si="105"/>
        <v>0</v>
      </c>
      <c r="AQ183" s="11">
        <f t="shared" si="106"/>
        <v>0</v>
      </c>
      <c r="AR183" s="11">
        <f t="shared" si="107"/>
        <v>0</v>
      </c>
      <c r="AS183" s="11">
        <f t="shared" si="108"/>
        <v>0</v>
      </c>
      <c r="AT183" s="11">
        <f t="shared" si="109"/>
        <v>0</v>
      </c>
      <c r="AU183" s="11">
        <f t="shared" si="110"/>
        <v>0</v>
      </c>
      <c r="AV183" s="11">
        <f t="shared" si="111"/>
        <v>0</v>
      </c>
      <c r="AW183" s="11">
        <f t="shared" si="112"/>
        <v>0</v>
      </c>
      <c r="AX183" s="11">
        <f t="shared" si="113"/>
        <v>1</v>
      </c>
      <c r="AY183" s="11">
        <f t="shared" si="60"/>
        <v>0</v>
      </c>
    </row>
    <row r="184" spans="1:51">
      <c r="A184" s="15">
        <v>45109</v>
      </c>
      <c r="B184" s="436">
        <v>8</v>
      </c>
      <c r="C184" s="436">
        <v>8</v>
      </c>
      <c r="D184" s="436">
        <v>8</v>
      </c>
      <c r="E184" s="436">
        <v>8</v>
      </c>
      <c r="F184" s="436">
        <v>8</v>
      </c>
      <c r="G184" s="436">
        <v>8</v>
      </c>
      <c r="H184" s="436">
        <v>8</v>
      </c>
      <c r="I184" s="436">
        <v>8</v>
      </c>
      <c r="J184" s="436">
        <v>8</v>
      </c>
      <c r="K184" s="436">
        <v>8</v>
      </c>
      <c r="L184" s="436">
        <v>8</v>
      </c>
      <c r="M184" s="436">
        <v>8</v>
      </c>
      <c r="N184" s="436">
        <v>8</v>
      </c>
      <c r="O184" s="436">
        <v>8</v>
      </c>
      <c r="P184" s="436">
        <v>8</v>
      </c>
      <c r="Q184" s="436">
        <v>8</v>
      </c>
      <c r="R184" s="436">
        <v>8</v>
      </c>
      <c r="S184" s="436">
        <v>8</v>
      </c>
      <c r="T184" s="436">
        <v>8</v>
      </c>
      <c r="U184" s="436">
        <v>8</v>
      </c>
      <c r="V184" s="436">
        <v>8</v>
      </c>
      <c r="W184" s="436">
        <v>8</v>
      </c>
      <c r="X184" s="436">
        <v>8</v>
      </c>
      <c r="Y184" s="436">
        <v>8</v>
      </c>
      <c r="Z184" s="11">
        <f t="shared" ref="Z184:Z213" si="115">B184-Y183</f>
        <v>0</v>
      </c>
      <c r="AA184" s="11">
        <f t="shared" ref="AA184:AA214" si="116">C184-B184</f>
        <v>0</v>
      </c>
      <c r="AB184" s="11">
        <f t="shared" ref="AB184:AB214" si="117">D184-C184</f>
        <v>0</v>
      </c>
      <c r="AC184" s="11">
        <f t="shared" ref="AC184:AC214" si="118">E184-D184</f>
        <v>0</v>
      </c>
      <c r="AD184" s="11">
        <f t="shared" ref="AD184:AD214" si="119">F184-E184</f>
        <v>0</v>
      </c>
      <c r="AE184" s="11">
        <f t="shared" ref="AE184:AE214" si="120">G184-F184</f>
        <v>0</v>
      </c>
      <c r="AF184" s="11">
        <f t="shared" ref="AF184:AF214" si="121">H184-G184</f>
        <v>0</v>
      </c>
      <c r="AG184" s="11">
        <f t="shared" ref="AG184:AG214" si="122">I184-H184</f>
        <v>0</v>
      </c>
      <c r="AH184" s="11">
        <f t="shared" ref="AH184:AH214" si="123">J184-I184</f>
        <v>0</v>
      </c>
      <c r="AI184" s="11">
        <f t="shared" ref="AI184:AI214" si="124">K184-J184</f>
        <v>0</v>
      </c>
      <c r="AJ184" s="11">
        <f t="shared" ref="AJ184:AJ214" si="125">L184-K184</f>
        <v>0</v>
      </c>
      <c r="AK184" s="11">
        <f t="shared" ref="AK184:AK214" si="126">M184-L184</f>
        <v>0</v>
      </c>
      <c r="AL184" s="11">
        <f t="shared" ref="AL184:AL214" si="127">N184-M184</f>
        <v>0</v>
      </c>
      <c r="AM184" s="11">
        <f t="shared" ref="AM184:AM214" si="128">O184-N184</f>
        <v>0</v>
      </c>
      <c r="AN184" s="11">
        <f t="shared" ref="AN184:AN214" si="129">P184-O184</f>
        <v>0</v>
      </c>
      <c r="AO184" s="11">
        <f t="shared" ref="AO184:AO214" si="130">Q184-P184</f>
        <v>0</v>
      </c>
      <c r="AP184" s="11">
        <f t="shared" ref="AP184:AP214" si="131">R184-Q184</f>
        <v>0</v>
      </c>
      <c r="AQ184" s="11">
        <f t="shared" ref="AQ184:AQ214" si="132">S184-R184</f>
        <v>0</v>
      </c>
      <c r="AR184" s="11">
        <f t="shared" ref="AR184:AR214" si="133">T184-S184</f>
        <v>0</v>
      </c>
      <c r="AS184" s="11">
        <f t="shared" ref="AS184:AS214" si="134">U184-T184</f>
        <v>0</v>
      </c>
      <c r="AT184" s="11">
        <f t="shared" ref="AT184:AT214" si="135">V184-U184</f>
        <v>0</v>
      </c>
      <c r="AU184" s="11">
        <f t="shared" ref="AU184:AU214" si="136">W184-V184</f>
        <v>0</v>
      </c>
      <c r="AV184" s="11">
        <f t="shared" ref="AV184:AV214" si="137">X184-W184</f>
        <v>0</v>
      </c>
      <c r="AW184" s="11">
        <f t="shared" ref="AW184:AW214" si="138">Y184-X184</f>
        <v>0</v>
      </c>
      <c r="AX184" s="11">
        <f t="shared" ref="AX184:AX214" si="139">SUMIF(Z184:AW184,"&gt;0")</f>
        <v>0</v>
      </c>
      <c r="AY184" s="11">
        <f t="shared" ref="AY184:AY214" si="140">SUMIF(Z184:AW184,"&lt;0")*-1</f>
        <v>0</v>
      </c>
    </row>
    <row r="185" spans="1:51">
      <c r="A185" s="15">
        <v>45110</v>
      </c>
      <c r="B185" s="436">
        <v>8</v>
      </c>
      <c r="C185" s="436">
        <v>8</v>
      </c>
      <c r="D185" s="436">
        <v>8</v>
      </c>
      <c r="E185" s="436">
        <v>8</v>
      </c>
      <c r="F185" s="436">
        <v>8</v>
      </c>
      <c r="G185" s="436">
        <v>8</v>
      </c>
      <c r="H185" s="436">
        <v>8</v>
      </c>
      <c r="I185" s="436">
        <v>8</v>
      </c>
      <c r="J185" s="436">
        <v>8</v>
      </c>
      <c r="K185" s="436">
        <v>8</v>
      </c>
      <c r="L185" s="436">
        <v>8</v>
      </c>
      <c r="M185" s="436">
        <v>8</v>
      </c>
      <c r="N185" s="436">
        <v>8</v>
      </c>
      <c r="O185" s="436">
        <v>8</v>
      </c>
      <c r="P185" s="436">
        <v>8</v>
      </c>
      <c r="Q185" s="436">
        <v>8</v>
      </c>
      <c r="R185" s="436">
        <v>8</v>
      </c>
      <c r="S185" s="436">
        <v>8</v>
      </c>
      <c r="T185" s="436">
        <v>8</v>
      </c>
      <c r="U185" s="436">
        <v>8</v>
      </c>
      <c r="V185" s="436">
        <v>8</v>
      </c>
      <c r="W185" s="436">
        <v>8</v>
      </c>
      <c r="X185" s="436">
        <v>8</v>
      </c>
      <c r="Y185" s="436">
        <v>8</v>
      </c>
      <c r="Z185" s="11">
        <f t="shared" si="115"/>
        <v>0</v>
      </c>
      <c r="AA185" s="11">
        <f t="shared" si="116"/>
        <v>0</v>
      </c>
      <c r="AB185" s="11">
        <f t="shared" si="117"/>
        <v>0</v>
      </c>
      <c r="AC185" s="11">
        <f t="shared" si="118"/>
        <v>0</v>
      </c>
      <c r="AD185" s="11">
        <f t="shared" si="119"/>
        <v>0</v>
      </c>
      <c r="AE185" s="11">
        <f t="shared" si="120"/>
        <v>0</v>
      </c>
      <c r="AF185" s="11">
        <f t="shared" si="121"/>
        <v>0</v>
      </c>
      <c r="AG185" s="11">
        <f t="shared" si="122"/>
        <v>0</v>
      </c>
      <c r="AH185" s="11">
        <f t="shared" si="123"/>
        <v>0</v>
      </c>
      <c r="AI185" s="11">
        <f t="shared" si="124"/>
        <v>0</v>
      </c>
      <c r="AJ185" s="11">
        <f t="shared" si="125"/>
        <v>0</v>
      </c>
      <c r="AK185" s="11">
        <f t="shared" si="126"/>
        <v>0</v>
      </c>
      <c r="AL185" s="11">
        <f t="shared" si="127"/>
        <v>0</v>
      </c>
      <c r="AM185" s="11">
        <f t="shared" si="128"/>
        <v>0</v>
      </c>
      <c r="AN185" s="11">
        <f t="shared" si="129"/>
        <v>0</v>
      </c>
      <c r="AO185" s="11">
        <f t="shared" si="130"/>
        <v>0</v>
      </c>
      <c r="AP185" s="11">
        <f t="shared" si="131"/>
        <v>0</v>
      </c>
      <c r="AQ185" s="11">
        <f t="shared" si="132"/>
        <v>0</v>
      </c>
      <c r="AR185" s="11">
        <f t="shared" si="133"/>
        <v>0</v>
      </c>
      <c r="AS185" s="11">
        <f t="shared" si="134"/>
        <v>0</v>
      </c>
      <c r="AT185" s="11">
        <f t="shared" si="135"/>
        <v>0</v>
      </c>
      <c r="AU185" s="11">
        <f t="shared" si="136"/>
        <v>0</v>
      </c>
      <c r="AV185" s="11">
        <f t="shared" si="137"/>
        <v>0</v>
      </c>
      <c r="AW185" s="11">
        <f t="shared" si="138"/>
        <v>0</v>
      </c>
      <c r="AX185" s="11">
        <f t="shared" si="139"/>
        <v>0</v>
      </c>
      <c r="AY185" s="11">
        <f t="shared" si="140"/>
        <v>0</v>
      </c>
    </row>
    <row r="186" spans="1:51">
      <c r="A186" s="15">
        <v>45111</v>
      </c>
      <c r="B186" s="436">
        <v>8</v>
      </c>
      <c r="C186" s="436">
        <v>8</v>
      </c>
      <c r="D186" s="436">
        <v>8</v>
      </c>
      <c r="E186" s="436">
        <v>8</v>
      </c>
      <c r="F186" s="436">
        <v>8</v>
      </c>
      <c r="G186" s="436">
        <v>8</v>
      </c>
      <c r="H186" s="436">
        <v>8</v>
      </c>
      <c r="I186" s="436">
        <v>8</v>
      </c>
      <c r="J186" s="436">
        <v>8</v>
      </c>
      <c r="K186" s="436">
        <v>8</v>
      </c>
      <c r="L186" s="436">
        <v>8</v>
      </c>
      <c r="M186" s="436">
        <v>8</v>
      </c>
      <c r="N186" s="436">
        <v>8</v>
      </c>
      <c r="O186" s="436">
        <v>8</v>
      </c>
      <c r="P186" s="436">
        <v>8</v>
      </c>
      <c r="Q186" s="436">
        <v>8</v>
      </c>
      <c r="R186" s="436">
        <v>8</v>
      </c>
      <c r="S186" s="436">
        <v>8</v>
      </c>
      <c r="T186" s="436">
        <v>8</v>
      </c>
      <c r="U186" s="436">
        <v>8</v>
      </c>
      <c r="V186" s="436">
        <v>8</v>
      </c>
      <c r="W186" s="436">
        <v>8</v>
      </c>
      <c r="X186" s="436">
        <v>8</v>
      </c>
      <c r="Y186" s="436">
        <v>8</v>
      </c>
      <c r="Z186" s="11">
        <f t="shared" si="115"/>
        <v>0</v>
      </c>
      <c r="AA186" s="11">
        <f t="shared" si="116"/>
        <v>0</v>
      </c>
      <c r="AB186" s="11">
        <f t="shared" si="117"/>
        <v>0</v>
      </c>
      <c r="AC186" s="11">
        <f t="shared" si="118"/>
        <v>0</v>
      </c>
      <c r="AD186" s="11">
        <f t="shared" si="119"/>
        <v>0</v>
      </c>
      <c r="AE186" s="11">
        <f t="shared" si="120"/>
        <v>0</v>
      </c>
      <c r="AF186" s="11">
        <f t="shared" si="121"/>
        <v>0</v>
      </c>
      <c r="AG186" s="11">
        <f t="shared" si="122"/>
        <v>0</v>
      </c>
      <c r="AH186" s="11">
        <f t="shared" si="123"/>
        <v>0</v>
      </c>
      <c r="AI186" s="11">
        <f t="shared" si="124"/>
        <v>0</v>
      </c>
      <c r="AJ186" s="11">
        <f t="shared" si="125"/>
        <v>0</v>
      </c>
      <c r="AK186" s="11">
        <f t="shared" si="126"/>
        <v>0</v>
      </c>
      <c r="AL186" s="11">
        <f t="shared" si="127"/>
        <v>0</v>
      </c>
      <c r="AM186" s="11">
        <f t="shared" si="128"/>
        <v>0</v>
      </c>
      <c r="AN186" s="11">
        <f t="shared" si="129"/>
        <v>0</v>
      </c>
      <c r="AO186" s="11">
        <f t="shared" si="130"/>
        <v>0</v>
      </c>
      <c r="AP186" s="11">
        <f t="shared" si="131"/>
        <v>0</v>
      </c>
      <c r="AQ186" s="11">
        <f t="shared" si="132"/>
        <v>0</v>
      </c>
      <c r="AR186" s="11">
        <f t="shared" si="133"/>
        <v>0</v>
      </c>
      <c r="AS186" s="11">
        <f t="shared" si="134"/>
        <v>0</v>
      </c>
      <c r="AT186" s="11">
        <f t="shared" si="135"/>
        <v>0</v>
      </c>
      <c r="AU186" s="11">
        <f t="shared" si="136"/>
        <v>0</v>
      </c>
      <c r="AV186" s="11">
        <f t="shared" si="137"/>
        <v>0</v>
      </c>
      <c r="AW186" s="11">
        <f t="shared" si="138"/>
        <v>0</v>
      </c>
      <c r="AX186" s="11">
        <f t="shared" si="139"/>
        <v>0</v>
      </c>
      <c r="AY186" s="11">
        <f t="shared" si="140"/>
        <v>0</v>
      </c>
    </row>
    <row r="187" spans="1:51">
      <c r="A187" s="15">
        <v>45112</v>
      </c>
      <c r="B187" s="436">
        <v>8</v>
      </c>
      <c r="C187" s="436">
        <v>8</v>
      </c>
      <c r="D187" s="436">
        <v>8</v>
      </c>
      <c r="E187" s="436">
        <v>8</v>
      </c>
      <c r="F187" s="436">
        <v>8</v>
      </c>
      <c r="G187" s="436">
        <v>8</v>
      </c>
      <c r="H187" s="436">
        <v>8</v>
      </c>
      <c r="I187" s="436">
        <v>8</v>
      </c>
      <c r="J187" s="436">
        <v>8</v>
      </c>
      <c r="K187" s="436">
        <v>8</v>
      </c>
      <c r="L187" s="436">
        <v>8</v>
      </c>
      <c r="M187" s="436">
        <v>8</v>
      </c>
      <c r="N187" s="436">
        <v>8</v>
      </c>
      <c r="O187" s="436">
        <v>8</v>
      </c>
      <c r="P187" s="436">
        <v>8</v>
      </c>
      <c r="Q187" s="436">
        <v>8</v>
      </c>
      <c r="R187" s="436">
        <v>8</v>
      </c>
      <c r="S187" s="436">
        <v>8</v>
      </c>
      <c r="T187" s="436">
        <v>8</v>
      </c>
      <c r="U187" s="436">
        <v>8</v>
      </c>
      <c r="V187" s="436">
        <v>8</v>
      </c>
      <c r="W187" s="436">
        <v>8</v>
      </c>
      <c r="X187" s="436">
        <v>8</v>
      </c>
      <c r="Y187" s="436">
        <v>8</v>
      </c>
      <c r="Z187" s="11">
        <f t="shared" si="115"/>
        <v>0</v>
      </c>
      <c r="AA187" s="11">
        <f t="shared" si="116"/>
        <v>0</v>
      </c>
      <c r="AB187" s="11">
        <f t="shared" si="117"/>
        <v>0</v>
      </c>
      <c r="AC187" s="11">
        <f t="shared" si="118"/>
        <v>0</v>
      </c>
      <c r="AD187" s="11">
        <f t="shared" si="119"/>
        <v>0</v>
      </c>
      <c r="AE187" s="11">
        <f t="shared" si="120"/>
        <v>0</v>
      </c>
      <c r="AF187" s="11">
        <f t="shared" si="121"/>
        <v>0</v>
      </c>
      <c r="AG187" s="11">
        <f t="shared" si="122"/>
        <v>0</v>
      </c>
      <c r="AH187" s="11">
        <f t="shared" si="123"/>
        <v>0</v>
      </c>
      <c r="AI187" s="11">
        <f t="shared" si="124"/>
        <v>0</v>
      </c>
      <c r="AJ187" s="11">
        <f t="shared" si="125"/>
        <v>0</v>
      </c>
      <c r="AK187" s="11">
        <f t="shared" si="126"/>
        <v>0</v>
      </c>
      <c r="AL187" s="11">
        <f t="shared" si="127"/>
        <v>0</v>
      </c>
      <c r="AM187" s="11">
        <f t="shared" si="128"/>
        <v>0</v>
      </c>
      <c r="AN187" s="11">
        <f t="shared" si="129"/>
        <v>0</v>
      </c>
      <c r="AO187" s="11">
        <f t="shared" si="130"/>
        <v>0</v>
      </c>
      <c r="AP187" s="11">
        <f t="shared" si="131"/>
        <v>0</v>
      </c>
      <c r="AQ187" s="11">
        <f t="shared" si="132"/>
        <v>0</v>
      </c>
      <c r="AR187" s="11">
        <f t="shared" si="133"/>
        <v>0</v>
      </c>
      <c r="AS187" s="11">
        <f t="shared" si="134"/>
        <v>0</v>
      </c>
      <c r="AT187" s="11">
        <f t="shared" si="135"/>
        <v>0</v>
      </c>
      <c r="AU187" s="11">
        <f t="shared" si="136"/>
        <v>0</v>
      </c>
      <c r="AV187" s="11">
        <f t="shared" si="137"/>
        <v>0</v>
      </c>
      <c r="AW187" s="11">
        <f t="shared" si="138"/>
        <v>0</v>
      </c>
      <c r="AX187" s="11">
        <f t="shared" si="139"/>
        <v>0</v>
      </c>
      <c r="AY187" s="11">
        <f t="shared" si="140"/>
        <v>0</v>
      </c>
    </row>
    <row r="188" spans="1:51">
      <c r="A188" s="15">
        <v>45113</v>
      </c>
      <c r="B188" s="436">
        <v>8</v>
      </c>
      <c r="C188" s="436">
        <v>8</v>
      </c>
      <c r="D188" s="436">
        <v>8</v>
      </c>
      <c r="E188" s="436">
        <v>8</v>
      </c>
      <c r="F188" s="436">
        <v>8</v>
      </c>
      <c r="G188" s="436">
        <v>8</v>
      </c>
      <c r="H188" s="436">
        <v>8</v>
      </c>
      <c r="I188" s="436">
        <v>8</v>
      </c>
      <c r="J188" s="436">
        <v>8</v>
      </c>
      <c r="K188" s="436">
        <v>8</v>
      </c>
      <c r="L188" s="436">
        <v>8</v>
      </c>
      <c r="M188" s="436">
        <v>8</v>
      </c>
      <c r="N188" s="436">
        <v>8</v>
      </c>
      <c r="O188" s="436">
        <v>8</v>
      </c>
      <c r="P188" s="436">
        <v>8</v>
      </c>
      <c r="Q188" s="436">
        <v>8</v>
      </c>
      <c r="R188" s="436">
        <v>8</v>
      </c>
      <c r="S188" s="436">
        <v>8</v>
      </c>
      <c r="T188" s="436">
        <v>8</v>
      </c>
      <c r="U188" s="436">
        <v>8</v>
      </c>
      <c r="V188" s="436">
        <v>8</v>
      </c>
      <c r="W188" s="436">
        <v>8</v>
      </c>
      <c r="X188" s="436">
        <v>8</v>
      </c>
      <c r="Y188" s="436">
        <v>8</v>
      </c>
      <c r="Z188" s="11">
        <f t="shared" si="115"/>
        <v>0</v>
      </c>
      <c r="AA188" s="11">
        <f t="shared" si="116"/>
        <v>0</v>
      </c>
      <c r="AB188" s="11">
        <f t="shared" si="117"/>
        <v>0</v>
      </c>
      <c r="AC188" s="11">
        <f t="shared" si="118"/>
        <v>0</v>
      </c>
      <c r="AD188" s="11">
        <f t="shared" si="119"/>
        <v>0</v>
      </c>
      <c r="AE188" s="11">
        <f t="shared" si="120"/>
        <v>0</v>
      </c>
      <c r="AF188" s="11">
        <f t="shared" si="121"/>
        <v>0</v>
      </c>
      <c r="AG188" s="11">
        <f t="shared" si="122"/>
        <v>0</v>
      </c>
      <c r="AH188" s="11">
        <f t="shared" si="123"/>
        <v>0</v>
      </c>
      <c r="AI188" s="11">
        <f t="shared" si="124"/>
        <v>0</v>
      </c>
      <c r="AJ188" s="11">
        <f t="shared" si="125"/>
        <v>0</v>
      </c>
      <c r="AK188" s="11">
        <f t="shared" si="126"/>
        <v>0</v>
      </c>
      <c r="AL188" s="11">
        <f t="shared" si="127"/>
        <v>0</v>
      </c>
      <c r="AM188" s="11">
        <f t="shared" si="128"/>
        <v>0</v>
      </c>
      <c r="AN188" s="11">
        <f t="shared" si="129"/>
        <v>0</v>
      </c>
      <c r="AO188" s="11">
        <f t="shared" si="130"/>
        <v>0</v>
      </c>
      <c r="AP188" s="11">
        <f t="shared" si="131"/>
        <v>0</v>
      </c>
      <c r="AQ188" s="11">
        <f t="shared" si="132"/>
        <v>0</v>
      </c>
      <c r="AR188" s="11">
        <f t="shared" si="133"/>
        <v>0</v>
      </c>
      <c r="AS188" s="11">
        <f t="shared" si="134"/>
        <v>0</v>
      </c>
      <c r="AT188" s="11">
        <f t="shared" si="135"/>
        <v>0</v>
      </c>
      <c r="AU188" s="11">
        <f t="shared" si="136"/>
        <v>0</v>
      </c>
      <c r="AV188" s="11">
        <f t="shared" si="137"/>
        <v>0</v>
      </c>
      <c r="AW188" s="11">
        <f t="shared" si="138"/>
        <v>0</v>
      </c>
      <c r="AX188" s="11">
        <f t="shared" si="139"/>
        <v>0</v>
      </c>
      <c r="AY188" s="11">
        <f t="shared" si="140"/>
        <v>0</v>
      </c>
    </row>
    <row r="189" spans="1:51">
      <c r="A189" s="15">
        <v>45114</v>
      </c>
      <c r="B189" s="436">
        <v>8</v>
      </c>
      <c r="C189" s="436">
        <v>8</v>
      </c>
      <c r="D189" s="436">
        <v>8</v>
      </c>
      <c r="E189" s="436">
        <v>8</v>
      </c>
      <c r="F189" s="436">
        <v>8</v>
      </c>
      <c r="G189" s="436">
        <v>8</v>
      </c>
      <c r="H189" s="436">
        <v>8</v>
      </c>
      <c r="I189" s="436">
        <v>8</v>
      </c>
      <c r="J189" s="436">
        <v>8</v>
      </c>
      <c r="K189" s="436">
        <v>8</v>
      </c>
      <c r="L189" s="436">
        <v>8</v>
      </c>
      <c r="M189" s="436">
        <v>8</v>
      </c>
      <c r="N189" s="436">
        <v>8</v>
      </c>
      <c r="O189" s="436">
        <v>8</v>
      </c>
      <c r="P189" s="436">
        <v>8</v>
      </c>
      <c r="Q189" s="436">
        <v>8</v>
      </c>
      <c r="R189" s="436">
        <v>8</v>
      </c>
      <c r="S189" s="436">
        <v>8</v>
      </c>
      <c r="T189" s="436">
        <v>8</v>
      </c>
      <c r="U189" s="436">
        <v>8</v>
      </c>
      <c r="V189" s="436">
        <v>8</v>
      </c>
      <c r="W189" s="436">
        <v>8</v>
      </c>
      <c r="X189" s="436">
        <v>8</v>
      </c>
      <c r="Y189" s="436">
        <v>8</v>
      </c>
      <c r="Z189" s="11">
        <f t="shared" si="115"/>
        <v>0</v>
      </c>
      <c r="AA189" s="11">
        <f t="shared" si="116"/>
        <v>0</v>
      </c>
      <c r="AB189" s="11">
        <f t="shared" si="117"/>
        <v>0</v>
      </c>
      <c r="AC189" s="11">
        <f t="shared" si="118"/>
        <v>0</v>
      </c>
      <c r="AD189" s="11">
        <f t="shared" si="119"/>
        <v>0</v>
      </c>
      <c r="AE189" s="11">
        <f t="shared" si="120"/>
        <v>0</v>
      </c>
      <c r="AF189" s="11">
        <f t="shared" si="121"/>
        <v>0</v>
      </c>
      <c r="AG189" s="11">
        <f t="shared" si="122"/>
        <v>0</v>
      </c>
      <c r="AH189" s="11">
        <f t="shared" si="123"/>
        <v>0</v>
      </c>
      <c r="AI189" s="11">
        <f t="shared" si="124"/>
        <v>0</v>
      </c>
      <c r="AJ189" s="11">
        <f t="shared" si="125"/>
        <v>0</v>
      </c>
      <c r="AK189" s="11">
        <f t="shared" si="126"/>
        <v>0</v>
      </c>
      <c r="AL189" s="11">
        <f t="shared" si="127"/>
        <v>0</v>
      </c>
      <c r="AM189" s="11">
        <f t="shared" si="128"/>
        <v>0</v>
      </c>
      <c r="AN189" s="11">
        <f t="shared" si="129"/>
        <v>0</v>
      </c>
      <c r="AO189" s="11">
        <f t="shared" si="130"/>
        <v>0</v>
      </c>
      <c r="AP189" s="11">
        <f t="shared" si="131"/>
        <v>0</v>
      </c>
      <c r="AQ189" s="11">
        <f t="shared" si="132"/>
        <v>0</v>
      </c>
      <c r="AR189" s="11">
        <f t="shared" si="133"/>
        <v>0</v>
      </c>
      <c r="AS189" s="11">
        <f t="shared" si="134"/>
        <v>0</v>
      </c>
      <c r="AT189" s="11">
        <f t="shared" si="135"/>
        <v>0</v>
      </c>
      <c r="AU189" s="11">
        <f t="shared" si="136"/>
        <v>0</v>
      </c>
      <c r="AV189" s="11">
        <f t="shared" si="137"/>
        <v>0</v>
      </c>
      <c r="AW189" s="11">
        <f t="shared" si="138"/>
        <v>0</v>
      </c>
      <c r="AX189" s="11">
        <f t="shared" si="139"/>
        <v>0</v>
      </c>
      <c r="AY189" s="11">
        <f t="shared" si="140"/>
        <v>0</v>
      </c>
    </row>
    <row r="190" spans="1:51">
      <c r="A190" s="15">
        <v>45115</v>
      </c>
      <c r="B190" s="436">
        <v>8</v>
      </c>
      <c r="C190" s="436">
        <v>8</v>
      </c>
      <c r="D190" s="436">
        <v>8</v>
      </c>
      <c r="E190" s="436">
        <v>8</v>
      </c>
      <c r="F190" s="436">
        <v>8</v>
      </c>
      <c r="G190" s="436">
        <v>8</v>
      </c>
      <c r="H190" s="436">
        <v>8</v>
      </c>
      <c r="I190" s="436">
        <v>8</v>
      </c>
      <c r="J190" s="436">
        <v>8</v>
      </c>
      <c r="K190" s="436">
        <v>8</v>
      </c>
      <c r="L190" s="436">
        <v>8</v>
      </c>
      <c r="M190" s="436">
        <v>8</v>
      </c>
      <c r="N190" s="436">
        <v>8</v>
      </c>
      <c r="O190" s="436">
        <v>8</v>
      </c>
      <c r="P190" s="436">
        <v>8</v>
      </c>
      <c r="Q190" s="436">
        <v>8</v>
      </c>
      <c r="R190" s="436">
        <v>8</v>
      </c>
      <c r="S190" s="436">
        <v>8</v>
      </c>
      <c r="T190" s="436">
        <v>8</v>
      </c>
      <c r="U190" s="436">
        <v>8</v>
      </c>
      <c r="V190" s="436">
        <v>8</v>
      </c>
      <c r="W190" s="436">
        <v>8</v>
      </c>
      <c r="X190" s="436">
        <v>8</v>
      </c>
      <c r="Y190" s="436">
        <v>8</v>
      </c>
      <c r="Z190" s="11">
        <f t="shared" si="115"/>
        <v>0</v>
      </c>
      <c r="AA190" s="11">
        <f t="shared" si="116"/>
        <v>0</v>
      </c>
      <c r="AB190" s="11">
        <f t="shared" si="117"/>
        <v>0</v>
      </c>
      <c r="AC190" s="11">
        <f t="shared" si="118"/>
        <v>0</v>
      </c>
      <c r="AD190" s="11">
        <f t="shared" si="119"/>
        <v>0</v>
      </c>
      <c r="AE190" s="11">
        <f t="shared" si="120"/>
        <v>0</v>
      </c>
      <c r="AF190" s="11">
        <f t="shared" si="121"/>
        <v>0</v>
      </c>
      <c r="AG190" s="11">
        <f t="shared" si="122"/>
        <v>0</v>
      </c>
      <c r="AH190" s="11">
        <f t="shared" si="123"/>
        <v>0</v>
      </c>
      <c r="AI190" s="11">
        <f t="shared" si="124"/>
        <v>0</v>
      </c>
      <c r="AJ190" s="11">
        <f t="shared" si="125"/>
        <v>0</v>
      </c>
      <c r="AK190" s="11">
        <f t="shared" si="126"/>
        <v>0</v>
      </c>
      <c r="AL190" s="11">
        <f t="shared" si="127"/>
        <v>0</v>
      </c>
      <c r="AM190" s="11">
        <f t="shared" si="128"/>
        <v>0</v>
      </c>
      <c r="AN190" s="11">
        <f t="shared" si="129"/>
        <v>0</v>
      </c>
      <c r="AO190" s="11">
        <f t="shared" si="130"/>
        <v>0</v>
      </c>
      <c r="AP190" s="11">
        <f t="shared" si="131"/>
        <v>0</v>
      </c>
      <c r="AQ190" s="11">
        <f t="shared" si="132"/>
        <v>0</v>
      </c>
      <c r="AR190" s="11">
        <f t="shared" si="133"/>
        <v>0</v>
      </c>
      <c r="AS190" s="11">
        <f t="shared" si="134"/>
        <v>0</v>
      </c>
      <c r="AT190" s="11">
        <f t="shared" si="135"/>
        <v>0</v>
      </c>
      <c r="AU190" s="11">
        <f t="shared" si="136"/>
        <v>0</v>
      </c>
      <c r="AV190" s="11">
        <f t="shared" si="137"/>
        <v>0</v>
      </c>
      <c r="AW190" s="11">
        <f t="shared" si="138"/>
        <v>0</v>
      </c>
      <c r="AX190" s="11">
        <f t="shared" si="139"/>
        <v>0</v>
      </c>
      <c r="AY190" s="11">
        <f t="shared" si="140"/>
        <v>0</v>
      </c>
    </row>
    <row r="191" spans="1:51">
      <c r="A191" s="15">
        <v>45116</v>
      </c>
      <c r="B191" s="436">
        <v>8</v>
      </c>
      <c r="C191" s="436">
        <v>8</v>
      </c>
      <c r="D191" s="436">
        <v>8</v>
      </c>
      <c r="E191" s="436">
        <v>8</v>
      </c>
      <c r="F191" s="436">
        <v>8</v>
      </c>
      <c r="G191" s="436">
        <v>8</v>
      </c>
      <c r="H191" s="436">
        <v>8</v>
      </c>
      <c r="I191" s="436">
        <v>8</v>
      </c>
      <c r="J191" s="436">
        <v>8</v>
      </c>
      <c r="K191" s="436">
        <v>8</v>
      </c>
      <c r="L191" s="436">
        <v>8</v>
      </c>
      <c r="M191" s="436">
        <v>8</v>
      </c>
      <c r="N191" s="436">
        <v>8</v>
      </c>
      <c r="O191" s="436">
        <v>8</v>
      </c>
      <c r="P191" s="436">
        <v>8</v>
      </c>
      <c r="Q191" s="436">
        <v>8</v>
      </c>
      <c r="R191" s="436">
        <v>8</v>
      </c>
      <c r="S191" s="436">
        <v>8</v>
      </c>
      <c r="T191" s="436">
        <v>8</v>
      </c>
      <c r="U191" s="436">
        <v>8</v>
      </c>
      <c r="V191" s="436">
        <v>8</v>
      </c>
      <c r="W191" s="436">
        <v>8</v>
      </c>
      <c r="X191" s="436">
        <v>8</v>
      </c>
      <c r="Y191" s="436">
        <v>8</v>
      </c>
      <c r="Z191" s="11">
        <f t="shared" si="115"/>
        <v>0</v>
      </c>
      <c r="AA191" s="11">
        <f t="shared" si="116"/>
        <v>0</v>
      </c>
      <c r="AB191" s="11">
        <f t="shared" si="117"/>
        <v>0</v>
      </c>
      <c r="AC191" s="11">
        <f t="shared" si="118"/>
        <v>0</v>
      </c>
      <c r="AD191" s="11">
        <f t="shared" si="119"/>
        <v>0</v>
      </c>
      <c r="AE191" s="11">
        <f t="shared" si="120"/>
        <v>0</v>
      </c>
      <c r="AF191" s="11">
        <f t="shared" si="121"/>
        <v>0</v>
      </c>
      <c r="AG191" s="11">
        <f t="shared" si="122"/>
        <v>0</v>
      </c>
      <c r="AH191" s="11">
        <f t="shared" si="123"/>
        <v>0</v>
      </c>
      <c r="AI191" s="11">
        <f t="shared" si="124"/>
        <v>0</v>
      </c>
      <c r="AJ191" s="11">
        <f t="shared" si="125"/>
        <v>0</v>
      </c>
      <c r="AK191" s="11">
        <f t="shared" si="126"/>
        <v>0</v>
      </c>
      <c r="AL191" s="11">
        <f t="shared" si="127"/>
        <v>0</v>
      </c>
      <c r="AM191" s="11">
        <f t="shared" si="128"/>
        <v>0</v>
      </c>
      <c r="AN191" s="11">
        <f t="shared" si="129"/>
        <v>0</v>
      </c>
      <c r="AO191" s="11">
        <f t="shared" si="130"/>
        <v>0</v>
      </c>
      <c r="AP191" s="11">
        <f t="shared" si="131"/>
        <v>0</v>
      </c>
      <c r="AQ191" s="11">
        <f t="shared" si="132"/>
        <v>0</v>
      </c>
      <c r="AR191" s="11">
        <f t="shared" si="133"/>
        <v>0</v>
      </c>
      <c r="AS191" s="11">
        <f t="shared" si="134"/>
        <v>0</v>
      </c>
      <c r="AT191" s="11">
        <f t="shared" si="135"/>
        <v>0</v>
      </c>
      <c r="AU191" s="11">
        <f t="shared" si="136"/>
        <v>0</v>
      </c>
      <c r="AV191" s="11">
        <f t="shared" si="137"/>
        <v>0</v>
      </c>
      <c r="AW191" s="11">
        <f t="shared" si="138"/>
        <v>0</v>
      </c>
      <c r="AX191" s="11">
        <f t="shared" si="139"/>
        <v>0</v>
      </c>
      <c r="AY191" s="11">
        <f t="shared" si="140"/>
        <v>0</v>
      </c>
    </row>
    <row r="192" spans="1:51">
      <c r="A192" s="15">
        <v>45117</v>
      </c>
      <c r="B192" s="436">
        <v>8</v>
      </c>
      <c r="C192" s="436">
        <v>8</v>
      </c>
      <c r="D192" s="436">
        <v>8</v>
      </c>
      <c r="E192" s="436">
        <v>8</v>
      </c>
      <c r="F192" s="436">
        <v>8</v>
      </c>
      <c r="G192" s="436">
        <v>8</v>
      </c>
      <c r="H192" s="436">
        <v>8</v>
      </c>
      <c r="I192" s="436">
        <v>8</v>
      </c>
      <c r="J192" s="436">
        <v>8</v>
      </c>
      <c r="K192" s="436">
        <v>8</v>
      </c>
      <c r="L192" s="436">
        <v>8</v>
      </c>
      <c r="M192" s="436">
        <v>8</v>
      </c>
      <c r="N192" s="436">
        <v>8</v>
      </c>
      <c r="O192" s="436">
        <v>8</v>
      </c>
      <c r="P192" s="436">
        <v>8</v>
      </c>
      <c r="Q192" s="436">
        <v>8</v>
      </c>
      <c r="R192" s="436">
        <v>8</v>
      </c>
      <c r="S192" s="436">
        <v>8</v>
      </c>
      <c r="T192" s="436">
        <v>8</v>
      </c>
      <c r="U192" s="436">
        <v>8</v>
      </c>
      <c r="V192" s="436">
        <v>8</v>
      </c>
      <c r="W192" s="436">
        <v>8</v>
      </c>
      <c r="X192" s="436">
        <v>8</v>
      </c>
      <c r="Y192" s="436">
        <v>8</v>
      </c>
      <c r="Z192" s="11">
        <f t="shared" si="115"/>
        <v>0</v>
      </c>
      <c r="AA192" s="11">
        <f t="shared" si="116"/>
        <v>0</v>
      </c>
      <c r="AB192" s="11">
        <f t="shared" si="117"/>
        <v>0</v>
      </c>
      <c r="AC192" s="11">
        <f t="shared" si="118"/>
        <v>0</v>
      </c>
      <c r="AD192" s="11">
        <f t="shared" si="119"/>
        <v>0</v>
      </c>
      <c r="AE192" s="11">
        <f t="shared" si="120"/>
        <v>0</v>
      </c>
      <c r="AF192" s="11">
        <f t="shared" si="121"/>
        <v>0</v>
      </c>
      <c r="AG192" s="11">
        <f t="shared" si="122"/>
        <v>0</v>
      </c>
      <c r="AH192" s="11">
        <f t="shared" si="123"/>
        <v>0</v>
      </c>
      <c r="AI192" s="11">
        <f t="shared" si="124"/>
        <v>0</v>
      </c>
      <c r="AJ192" s="11">
        <f t="shared" si="125"/>
        <v>0</v>
      </c>
      <c r="AK192" s="11">
        <f t="shared" si="126"/>
        <v>0</v>
      </c>
      <c r="AL192" s="11">
        <f t="shared" si="127"/>
        <v>0</v>
      </c>
      <c r="AM192" s="11">
        <f t="shared" si="128"/>
        <v>0</v>
      </c>
      <c r="AN192" s="11">
        <f t="shared" si="129"/>
        <v>0</v>
      </c>
      <c r="AO192" s="11">
        <f t="shared" si="130"/>
        <v>0</v>
      </c>
      <c r="AP192" s="11">
        <f t="shared" si="131"/>
        <v>0</v>
      </c>
      <c r="AQ192" s="11">
        <f t="shared" si="132"/>
        <v>0</v>
      </c>
      <c r="AR192" s="11">
        <f t="shared" si="133"/>
        <v>0</v>
      </c>
      <c r="AS192" s="11">
        <f t="shared" si="134"/>
        <v>0</v>
      </c>
      <c r="AT192" s="11">
        <f t="shared" si="135"/>
        <v>0</v>
      </c>
      <c r="AU192" s="11">
        <f t="shared" si="136"/>
        <v>0</v>
      </c>
      <c r="AV192" s="11">
        <f t="shared" si="137"/>
        <v>0</v>
      </c>
      <c r="AW192" s="11">
        <f t="shared" si="138"/>
        <v>0</v>
      </c>
      <c r="AX192" s="11">
        <f t="shared" si="139"/>
        <v>0</v>
      </c>
      <c r="AY192" s="11">
        <f t="shared" si="140"/>
        <v>0</v>
      </c>
    </row>
    <row r="193" spans="1:51">
      <c r="A193" s="15">
        <v>45118</v>
      </c>
      <c r="B193" s="436">
        <v>8</v>
      </c>
      <c r="C193" s="436">
        <v>8</v>
      </c>
      <c r="D193" s="436">
        <v>8</v>
      </c>
      <c r="E193" s="436">
        <v>8</v>
      </c>
      <c r="F193" s="436">
        <v>8</v>
      </c>
      <c r="G193" s="436">
        <v>8</v>
      </c>
      <c r="H193" s="436">
        <v>8</v>
      </c>
      <c r="I193" s="436">
        <v>8</v>
      </c>
      <c r="J193" s="436">
        <v>8</v>
      </c>
      <c r="K193" s="436">
        <v>8</v>
      </c>
      <c r="L193" s="436">
        <v>8</v>
      </c>
      <c r="M193" s="436">
        <v>7</v>
      </c>
      <c r="N193" s="436">
        <v>7</v>
      </c>
      <c r="O193" s="436">
        <v>7</v>
      </c>
      <c r="P193" s="436">
        <v>7</v>
      </c>
      <c r="Q193" s="436">
        <v>8</v>
      </c>
      <c r="R193" s="436">
        <v>8</v>
      </c>
      <c r="S193" s="436">
        <v>8</v>
      </c>
      <c r="T193" s="436">
        <v>8</v>
      </c>
      <c r="U193" s="436">
        <v>8</v>
      </c>
      <c r="V193" s="436">
        <v>8</v>
      </c>
      <c r="W193" s="436">
        <v>8</v>
      </c>
      <c r="X193" s="436">
        <v>8</v>
      </c>
      <c r="Y193" s="436">
        <v>8</v>
      </c>
      <c r="Z193" s="11">
        <f t="shared" si="115"/>
        <v>0</v>
      </c>
      <c r="AA193" s="11">
        <f t="shared" si="116"/>
        <v>0</v>
      </c>
      <c r="AB193" s="11">
        <f t="shared" si="117"/>
        <v>0</v>
      </c>
      <c r="AC193" s="11">
        <f t="shared" si="118"/>
        <v>0</v>
      </c>
      <c r="AD193" s="11">
        <f t="shared" si="119"/>
        <v>0</v>
      </c>
      <c r="AE193" s="11">
        <f t="shared" si="120"/>
        <v>0</v>
      </c>
      <c r="AF193" s="11">
        <f t="shared" si="121"/>
        <v>0</v>
      </c>
      <c r="AG193" s="11">
        <f t="shared" si="122"/>
        <v>0</v>
      </c>
      <c r="AH193" s="11">
        <f t="shared" si="123"/>
        <v>0</v>
      </c>
      <c r="AI193" s="11">
        <f t="shared" si="124"/>
        <v>0</v>
      </c>
      <c r="AJ193" s="11">
        <f t="shared" si="125"/>
        <v>0</v>
      </c>
      <c r="AK193" s="11">
        <f t="shared" si="126"/>
        <v>-1</v>
      </c>
      <c r="AL193" s="11">
        <f t="shared" si="127"/>
        <v>0</v>
      </c>
      <c r="AM193" s="11">
        <f t="shared" si="128"/>
        <v>0</v>
      </c>
      <c r="AN193" s="11">
        <f t="shared" si="129"/>
        <v>0</v>
      </c>
      <c r="AO193" s="11">
        <f t="shared" si="130"/>
        <v>1</v>
      </c>
      <c r="AP193" s="11">
        <f t="shared" si="131"/>
        <v>0</v>
      </c>
      <c r="AQ193" s="11">
        <f t="shared" si="132"/>
        <v>0</v>
      </c>
      <c r="AR193" s="11">
        <f t="shared" si="133"/>
        <v>0</v>
      </c>
      <c r="AS193" s="11">
        <f t="shared" si="134"/>
        <v>0</v>
      </c>
      <c r="AT193" s="11">
        <f t="shared" si="135"/>
        <v>0</v>
      </c>
      <c r="AU193" s="11">
        <f t="shared" si="136"/>
        <v>0</v>
      </c>
      <c r="AV193" s="11">
        <f t="shared" si="137"/>
        <v>0</v>
      </c>
      <c r="AW193" s="11">
        <f t="shared" si="138"/>
        <v>0</v>
      </c>
      <c r="AX193" s="11">
        <f t="shared" si="139"/>
        <v>1</v>
      </c>
      <c r="AY193" s="11">
        <f t="shared" si="140"/>
        <v>1</v>
      </c>
    </row>
    <row r="194" spans="1:51">
      <c r="A194" s="15">
        <v>45119</v>
      </c>
      <c r="B194" s="436">
        <v>8</v>
      </c>
      <c r="C194" s="436">
        <v>8</v>
      </c>
      <c r="D194" s="436">
        <v>8</v>
      </c>
      <c r="E194" s="436">
        <v>8</v>
      </c>
      <c r="F194" s="436">
        <v>8</v>
      </c>
      <c r="G194" s="436">
        <v>8</v>
      </c>
      <c r="H194" s="436">
        <v>8</v>
      </c>
      <c r="I194" s="436">
        <v>8</v>
      </c>
      <c r="J194" s="436">
        <v>8</v>
      </c>
      <c r="K194" s="436">
        <v>8</v>
      </c>
      <c r="L194" s="436">
        <v>7</v>
      </c>
      <c r="M194" s="436">
        <v>7</v>
      </c>
      <c r="N194" s="436">
        <v>7</v>
      </c>
      <c r="O194" s="436">
        <v>8</v>
      </c>
      <c r="P194" s="436">
        <v>8</v>
      </c>
      <c r="Q194" s="436">
        <v>8</v>
      </c>
      <c r="R194" s="436">
        <v>8</v>
      </c>
      <c r="S194" s="436">
        <v>8</v>
      </c>
      <c r="T194" s="436">
        <v>8</v>
      </c>
      <c r="U194" s="436">
        <v>8</v>
      </c>
      <c r="V194" s="436">
        <v>8</v>
      </c>
      <c r="W194" s="436">
        <v>8</v>
      </c>
      <c r="X194" s="436">
        <v>8</v>
      </c>
      <c r="Y194" s="436">
        <v>8</v>
      </c>
      <c r="Z194" s="11">
        <f t="shared" si="115"/>
        <v>0</v>
      </c>
      <c r="AA194" s="11">
        <f t="shared" si="116"/>
        <v>0</v>
      </c>
      <c r="AB194" s="11">
        <f t="shared" si="117"/>
        <v>0</v>
      </c>
      <c r="AC194" s="11">
        <f t="shared" si="118"/>
        <v>0</v>
      </c>
      <c r="AD194" s="11">
        <f t="shared" si="119"/>
        <v>0</v>
      </c>
      <c r="AE194" s="11">
        <f t="shared" si="120"/>
        <v>0</v>
      </c>
      <c r="AF194" s="11">
        <f t="shared" si="121"/>
        <v>0</v>
      </c>
      <c r="AG194" s="11">
        <f t="shared" si="122"/>
        <v>0</v>
      </c>
      <c r="AH194" s="11">
        <f t="shared" si="123"/>
        <v>0</v>
      </c>
      <c r="AI194" s="11">
        <f t="shared" si="124"/>
        <v>0</v>
      </c>
      <c r="AJ194" s="11">
        <f t="shared" si="125"/>
        <v>-1</v>
      </c>
      <c r="AK194" s="11">
        <f t="shared" si="126"/>
        <v>0</v>
      </c>
      <c r="AL194" s="11">
        <f t="shared" si="127"/>
        <v>0</v>
      </c>
      <c r="AM194" s="11">
        <f t="shared" si="128"/>
        <v>1</v>
      </c>
      <c r="AN194" s="11">
        <f t="shared" si="129"/>
        <v>0</v>
      </c>
      <c r="AO194" s="11">
        <f t="shared" si="130"/>
        <v>0</v>
      </c>
      <c r="AP194" s="11">
        <f t="shared" si="131"/>
        <v>0</v>
      </c>
      <c r="AQ194" s="11">
        <f t="shared" si="132"/>
        <v>0</v>
      </c>
      <c r="AR194" s="11">
        <f t="shared" si="133"/>
        <v>0</v>
      </c>
      <c r="AS194" s="11">
        <f t="shared" si="134"/>
        <v>0</v>
      </c>
      <c r="AT194" s="11">
        <f t="shared" si="135"/>
        <v>0</v>
      </c>
      <c r="AU194" s="11">
        <f t="shared" si="136"/>
        <v>0</v>
      </c>
      <c r="AV194" s="11">
        <f t="shared" si="137"/>
        <v>0</v>
      </c>
      <c r="AW194" s="11">
        <f t="shared" si="138"/>
        <v>0</v>
      </c>
      <c r="AX194" s="11">
        <f t="shared" si="139"/>
        <v>1</v>
      </c>
      <c r="AY194" s="11">
        <f t="shared" si="140"/>
        <v>1</v>
      </c>
    </row>
    <row r="195" spans="1:51">
      <c r="A195" s="15">
        <v>45120</v>
      </c>
      <c r="B195" s="436">
        <v>9</v>
      </c>
      <c r="C195" s="436">
        <v>9</v>
      </c>
      <c r="D195" s="436">
        <v>8</v>
      </c>
      <c r="E195" s="436">
        <v>8</v>
      </c>
      <c r="F195" s="436">
        <v>8</v>
      </c>
      <c r="G195" s="436">
        <v>8</v>
      </c>
      <c r="H195" s="436">
        <v>8</v>
      </c>
      <c r="I195" s="436">
        <v>8</v>
      </c>
      <c r="J195" s="436">
        <v>8</v>
      </c>
      <c r="K195" s="436">
        <v>8</v>
      </c>
      <c r="L195" s="436">
        <v>8</v>
      </c>
      <c r="M195" s="436">
        <v>7</v>
      </c>
      <c r="N195" s="436">
        <v>7</v>
      </c>
      <c r="O195" s="436">
        <v>7</v>
      </c>
      <c r="P195" s="436">
        <v>8</v>
      </c>
      <c r="Q195" s="436">
        <v>9</v>
      </c>
      <c r="R195" s="436">
        <v>8</v>
      </c>
      <c r="S195" s="436">
        <v>8</v>
      </c>
      <c r="T195" s="436">
        <v>9</v>
      </c>
      <c r="U195" s="436">
        <v>9</v>
      </c>
      <c r="V195" s="436">
        <v>9</v>
      </c>
      <c r="W195" s="436">
        <v>9</v>
      </c>
      <c r="X195" s="436">
        <v>9</v>
      </c>
      <c r="Y195" s="436">
        <v>9</v>
      </c>
      <c r="Z195" s="11">
        <f t="shared" si="115"/>
        <v>1</v>
      </c>
      <c r="AA195" s="11">
        <f t="shared" si="116"/>
        <v>0</v>
      </c>
      <c r="AB195" s="11">
        <f t="shared" si="117"/>
        <v>-1</v>
      </c>
      <c r="AC195" s="11">
        <f t="shared" si="118"/>
        <v>0</v>
      </c>
      <c r="AD195" s="11">
        <f t="shared" si="119"/>
        <v>0</v>
      </c>
      <c r="AE195" s="11">
        <f t="shared" si="120"/>
        <v>0</v>
      </c>
      <c r="AF195" s="11">
        <f t="shared" si="121"/>
        <v>0</v>
      </c>
      <c r="AG195" s="11">
        <f t="shared" si="122"/>
        <v>0</v>
      </c>
      <c r="AH195" s="11">
        <f t="shared" si="123"/>
        <v>0</v>
      </c>
      <c r="AI195" s="11">
        <f t="shared" si="124"/>
        <v>0</v>
      </c>
      <c r="AJ195" s="11">
        <f t="shared" si="125"/>
        <v>0</v>
      </c>
      <c r="AK195" s="11">
        <f t="shared" si="126"/>
        <v>-1</v>
      </c>
      <c r="AL195" s="11">
        <f t="shared" si="127"/>
        <v>0</v>
      </c>
      <c r="AM195" s="11">
        <f t="shared" si="128"/>
        <v>0</v>
      </c>
      <c r="AN195" s="11">
        <f t="shared" si="129"/>
        <v>1</v>
      </c>
      <c r="AO195" s="11">
        <f t="shared" si="130"/>
        <v>1</v>
      </c>
      <c r="AP195" s="11">
        <f t="shared" si="131"/>
        <v>-1</v>
      </c>
      <c r="AQ195" s="11">
        <f t="shared" si="132"/>
        <v>0</v>
      </c>
      <c r="AR195" s="11">
        <f t="shared" si="133"/>
        <v>1</v>
      </c>
      <c r="AS195" s="11">
        <f t="shared" si="134"/>
        <v>0</v>
      </c>
      <c r="AT195" s="11">
        <f t="shared" si="135"/>
        <v>0</v>
      </c>
      <c r="AU195" s="11">
        <f t="shared" si="136"/>
        <v>0</v>
      </c>
      <c r="AV195" s="11">
        <f t="shared" si="137"/>
        <v>0</v>
      </c>
      <c r="AW195" s="11">
        <f t="shared" si="138"/>
        <v>0</v>
      </c>
      <c r="AX195" s="11">
        <f t="shared" si="139"/>
        <v>4</v>
      </c>
      <c r="AY195" s="11">
        <f t="shared" si="140"/>
        <v>3</v>
      </c>
    </row>
    <row r="196" spans="1:51">
      <c r="A196" s="15">
        <v>45121</v>
      </c>
      <c r="B196" s="436">
        <v>8</v>
      </c>
      <c r="C196" s="436">
        <v>8</v>
      </c>
      <c r="D196" s="436">
        <v>8</v>
      </c>
      <c r="E196" s="436">
        <v>8</v>
      </c>
      <c r="F196" s="436">
        <v>8</v>
      </c>
      <c r="G196" s="436">
        <v>8</v>
      </c>
      <c r="H196" s="436">
        <v>8</v>
      </c>
      <c r="I196" s="436">
        <v>8</v>
      </c>
      <c r="J196" s="436">
        <v>8</v>
      </c>
      <c r="K196" s="436">
        <v>8</v>
      </c>
      <c r="L196" s="436">
        <v>8</v>
      </c>
      <c r="M196" s="436">
        <v>8</v>
      </c>
      <c r="N196" s="436">
        <v>8</v>
      </c>
      <c r="O196" s="436">
        <v>8</v>
      </c>
      <c r="P196" s="436">
        <v>8</v>
      </c>
      <c r="Q196" s="436">
        <v>8</v>
      </c>
      <c r="R196" s="436">
        <v>8</v>
      </c>
      <c r="S196" s="436">
        <v>8</v>
      </c>
      <c r="T196" s="436">
        <v>8</v>
      </c>
      <c r="U196" s="436">
        <v>8</v>
      </c>
      <c r="V196" s="436">
        <v>8</v>
      </c>
      <c r="W196" s="436">
        <v>8</v>
      </c>
      <c r="X196" s="436">
        <v>8</v>
      </c>
      <c r="Y196" s="436">
        <v>8</v>
      </c>
      <c r="Z196" s="11">
        <f t="shared" si="115"/>
        <v>-1</v>
      </c>
      <c r="AA196" s="11">
        <f t="shared" si="116"/>
        <v>0</v>
      </c>
      <c r="AB196" s="11">
        <f t="shared" si="117"/>
        <v>0</v>
      </c>
      <c r="AC196" s="11">
        <f t="shared" si="118"/>
        <v>0</v>
      </c>
      <c r="AD196" s="11">
        <f t="shared" si="119"/>
        <v>0</v>
      </c>
      <c r="AE196" s="11">
        <f t="shared" si="120"/>
        <v>0</v>
      </c>
      <c r="AF196" s="11">
        <f t="shared" si="121"/>
        <v>0</v>
      </c>
      <c r="AG196" s="11">
        <f t="shared" si="122"/>
        <v>0</v>
      </c>
      <c r="AH196" s="11">
        <f t="shared" si="123"/>
        <v>0</v>
      </c>
      <c r="AI196" s="11">
        <f t="shared" si="124"/>
        <v>0</v>
      </c>
      <c r="AJ196" s="11">
        <f t="shared" si="125"/>
        <v>0</v>
      </c>
      <c r="AK196" s="11">
        <f t="shared" si="126"/>
        <v>0</v>
      </c>
      <c r="AL196" s="11">
        <f t="shared" si="127"/>
        <v>0</v>
      </c>
      <c r="AM196" s="11">
        <f t="shared" si="128"/>
        <v>0</v>
      </c>
      <c r="AN196" s="11">
        <f t="shared" si="129"/>
        <v>0</v>
      </c>
      <c r="AO196" s="11">
        <f t="shared" si="130"/>
        <v>0</v>
      </c>
      <c r="AP196" s="11">
        <f t="shared" si="131"/>
        <v>0</v>
      </c>
      <c r="AQ196" s="11">
        <f t="shared" si="132"/>
        <v>0</v>
      </c>
      <c r="AR196" s="11">
        <f t="shared" si="133"/>
        <v>0</v>
      </c>
      <c r="AS196" s="11">
        <f t="shared" si="134"/>
        <v>0</v>
      </c>
      <c r="AT196" s="11">
        <f t="shared" si="135"/>
        <v>0</v>
      </c>
      <c r="AU196" s="11">
        <f t="shared" si="136"/>
        <v>0</v>
      </c>
      <c r="AV196" s="11">
        <f t="shared" si="137"/>
        <v>0</v>
      </c>
      <c r="AW196" s="11">
        <f t="shared" si="138"/>
        <v>0</v>
      </c>
      <c r="AX196" s="11">
        <f t="shared" si="139"/>
        <v>0</v>
      </c>
      <c r="AY196" s="11">
        <f t="shared" si="140"/>
        <v>1</v>
      </c>
    </row>
    <row r="197" spans="1:51">
      <c r="A197" s="15">
        <v>45122</v>
      </c>
      <c r="B197" s="436">
        <v>7</v>
      </c>
      <c r="C197" s="436">
        <v>7</v>
      </c>
      <c r="D197" s="436">
        <v>7</v>
      </c>
      <c r="E197" s="436">
        <v>7</v>
      </c>
      <c r="F197" s="436">
        <v>7</v>
      </c>
      <c r="G197" s="436">
        <v>7</v>
      </c>
      <c r="H197" s="436">
        <v>7</v>
      </c>
      <c r="I197" s="436">
        <v>7</v>
      </c>
      <c r="J197" s="436">
        <v>7</v>
      </c>
      <c r="K197" s="436">
        <v>7</v>
      </c>
      <c r="L197" s="436">
        <v>7</v>
      </c>
      <c r="M197" s="436">
        <v>7</v>
      </c>
      <c r="N197" s="436">
        <v>6</v>
      </c>
      <c r="O197" s="436">
        <v>7</v>
      </c>
      <c r="P197" s="436">
        <v>7</v>
      </c>
      <c r="Q197" s="436">
        <v>7</v>
      </c>
      <c r="R197" s="436">
        <v>8</v>
      </c>
      <c r="S197" s="436">
        <v>8</v>
      </c>
      <c r="T197" s="436">
        <v>8</v>
      </c>
      <c r="U197" s="436">
        <v>8</v>
      </c>
      <c r="V197" s="436">
        <v>8</v>
      </c>
      <c r="W197" s="436">
        <v>8</v>
      </c>
      <c r="X197" s="436">
        <v>8</v>
      </c>
      <c r="Y197" s="436">
        <v>8</v>
      </c>
      <c r="Z197" s="11">
        <f t="shared" si="115"/>
        <v>-1</v>
      </c>
      <c r="AA197" s="11">
        <f t="shared" si="116"/>
        <v>0</v>
      </c>
      <c r="AB197" s="11">
        <f t="shared" si="117"/>
        <v>0</v>
      </c>
      <c r="AC197" s="11">
        <f t="shared" si="118"/>
        <v>0</v>
      </c>
      <c r="AD197" s="11">
        <f t="shared" si="119"/>
        <v>0</v>
      </c>
      <c r="AE197" s="11">
        <f t="shared" si="120"/>
        <v>0</v>
      </c>
      <c r="AF197" s="11">
        <f t="shared" si="121"/>
        <v>0</v>
      </c>
      <c r="AG197" s="11">
        <f t="shared" si="122"/>
        <v>0</v>
      </c>
      <c r="AH197" s="11">
        <f t="shared" si="123"/>
        <v>0</v>
      </c>
      <c r="AI197" s="11">
        <f t="shared" si="124"/>
        <v>0</v>
      </c>
      <c r="AJ197" s="11">
        <f t="shared" si="125"/>
        <v>0</v>
      </c>
      <c r="AK197" s="11">
        <f t="shared" si="126"/>
        <v>0</v>
      </c>
      <c r="AL197" s="11">
        <f t="shared" si="127"/>
        <v>-1</v>
      </c>
      <c r="AM197" s="11">
        <f t="shared" si="128"/>
        <v>1</v>
      </c>
      <c r="AN197" s="11">
        <f t="shared" si="129"/>
        <v>0</v>
      </c>
      <c r="AO197" s="11">
        <f t="shared" si="130"/>
        <v>0</v>
      </c>
      <c r="AP197" s="11">
        <f t="shared" si="131"/>
        <v>1</v>
      </c>
      <c r="AQ197" s="11">
        <f t="shared" si="132"/>
        <v>0</v>
      </c>
      <c r="AR197" s="11">
        <f t="shared" si="133"/>
        <v>0</v>
      </c>
      <c r="AS197" s="11">
        <f t="shared" si="134"/>
        <v>0</v>
      </c>
      <c r="AT197" s="11">
        <f t="shared" si="135"/>
        <v>0</v>
      </c>
      <c r="AU197" s="11">
        <f t="shared" si="136"/>
        <v>0</v>
      </c>
      <c r="AV197" s="11">
        <f t="shared" si="137"/>
        <v>0</v>
      </c>
      <c r="AW197" s="11">
        <f t="shared" si="138"/>
        <v>0</v>
      </c>
      <c r="AX197" s="11">
        <f t="shared" si="139"/>
        <v>2</v>
      </c>
      <c r="AY197" s="11">
        <f t="shared" si="140"/>
        <v>2</v>
      </c>
    </row>
    <row r="198" spans="1:51">
      <c r="A198" s="15">
        <v>45123</v>
      </c>
      <c r="B198" s="436">
        <v>6</v>
      </c>
      <c r="C198" s="436">
        <v>7</v>
      </c>
      <c r="D198" s="436">
        <v>7</v>
      </c>
      <c r="E198" s="436">
        <v>8</v>
      </c>
      <c r="F198" s="436">
        <v>8</v>
      </c>
      <c r="G198" s="436">
        <v>8</v>
      </c>
      <c r="H198" s="436">
        <v>8</v>
      </c>
      <c r="I198" s="436">
        <v>8</v>
      </c>
      <c r="J198" s="436">
        <v>8</v>
      </c>
      <c r="K198" s="436">
        <v>8</v>
      </c>
      <c r="L198" s="436">
        <v>8</v>
      </c>
      <c r="M198" s="436">
        <v>8</v>
      </c>
      <c r="N198" s="436">
        <v>8</v>
      </c>
      <c r="O198" s="436">
        <v>8</v>
      </c>
      <c r="P198" s="436">
        <v>8</v>
      </c>
      <c r="Q198" s="436">
        <v>8</v>
      </c>
      <c r="R198" s="436">
        <v>8</v>
      </c>
      <c r="S198" s="436">
        <v>8</v>
      </c>
      <c r="T198" s="436">
        <v>8</v>
      </c>
      <c r="U198" s="436">
        <v>8</v>
      </c>
      <c r="V198" s="436">
        <v>8</v>
      </c>
      <c r="W198" s="436">
        <v>8</v>
      </c>
      <c r="X198" s="436">
        <v>8</v>
      </c>
      <c r="Y198" s="436">
        <v>8</v>
      </c>
      <c r="Z198" s="11">
        <f t="shared" si="115"/>
        <v>-2</v>
      </c>
      <c r="AA198" s="11">
        <f t="shared" si="116"/>
        <v>1</v>
      </c>
      <c r="AB198" s="11">
        <f t="shared" si="117"/>
        <v>0</v>
      </c>
      <c r="AC198" s="11">
        <f t="shared" si="118"/>
        <v>1</v>
      </c>
      <c r="AD198" s="11">
        <f t="shared" si="119"/>
        <v>0</v>
      </c>
      <c r="AE198" s="11">
        <f t="shared" si="120"/>
        <v>0</v>
      </c>
      <c r="AF198" s="11">
        <f t="shared" si="121"/>
        <v>0</v>
      </c>
      <c r="AG198" s="11">
        <f t="shared" si="122"/>
        <v>0</v>
      </c>
      <c r="AH198" s="11">
        <f t="shared" si="123"/>
        <v>0</v>
      </c>
      <c r="AI198" s="11">
        <f t="shared" si="124"/>
        <v>0</v>
      </c>
      <c r="AJ198" s="11">
        <f t="shared" si="125"/>
        <v>0</v>
      </c>
      <c r="AK198" s="11">
        <f t="shared" si="126"/>
        <v>0</v>
      </c>
      <c r="AL198" s="11">
        <f t="shared" si="127"/>
        <v>0</v>
      </c>
      <c r="AM198" s="11">
        <f t="shared" si="128"/>
        <v>0</v>
      </c>
      <c r="AN198" s="11">
        <f t="shared" si="129"/>
        <v>0</v>
      </c>
      <c r="AO198" s="11">
        <f t="shared" si="130"/>
        <v>0</v>
      </c>
      <c r="AP198" s="11">
        <f t="shared" si="131"/>
        <v>0</v>
      </c>
      <c r="AQ198" s="11">
        <f t="shared" si="132"/>
        <v>0</v>
      </c>
      <c r="AR198" s="11">
        <f t="shared" si="133"/>
        <v>0</v>
      </c>
      <c r="AS198" s="11">
        <f t="shared" si="134"/>
        <v>0</v>
      </c>
      <c r="AT198" s="11">
        <f t="shared" si="135"/>
        <v>0</v>
      </c>
      <c r="AU198" s="11">
        <f t="shared" si="136"/>
        <v>0</v>
      </c>
      <c r="AV198" s="11">
        <f t="shared" si="137"/>
        <v>0</v>
      </c>
      <c r="AW198" s="11">
        <f t="shared" si="138"/>
        <v>0</v>
      </c>
      <c r="AX198" s="11">
        <f t="shared" si="139"/>
        <v>2</v>
      </c>
      <c r="AY198" s="11">
        <f t="shared" si="140"/>
        <v>2</v>
      </c>
    </row>
    <row r="199" spans="1:51">
      <c r="A199" s="15">
        <v>45124</v>
      </c>
      <c r="B199" s="436">
        <v>8</v>
      </c>
      <c r="C199" s="436">
        <v>8</v>
      </c>
      <c r="D199" s="436">
        <v>8</v>
      </c>
      <c r="E199" s="436">
        <v>8</v>
      </c>
      <c r="F199" s="436">
        <v>8</v>
      </c>
      <c r="G199" s="436">
        <v>8</v>
      </c>
      <c r="H199" s="436">
        <v>8</v>
      </c>
      <c r="I199" s="436">
        <v>8</v>
      </c>
      <c r="J199" s="436">
        <v>8</v>
      </c>
      <c r="K199" s="436">
        <v>8</v>
      </c>
      <c r="L199" s="436">
        <v>8</v>
      </c>
      <c r="M199" s="436">
        <v>8</v>
      </c>
      <c r="N199" s="436">
        <v>8</v>
      </c>
      <c r="O199" s="436">
        <v>8</v>
      </c>
      <c r="P199" s="436">
        <v>8</v>
      </c>
      <c r="Q199" s="436">
        <v>8</v>
      </c>
      <c r="R199" s="436">
        <v>8</v>
      </c>
      <c r="S199" s="436">
        <v>8</v>
      </c>
      <c r="T199" s="436">
        <v>8</v>
      </c>
      <c r="U199" s="436">
        <v>8</v>
      </c>
      <c r="V199" s="436">
        <v>8</v>
      </c>
      <c r="W199" s="436">
        <v>8</v>
      </c>
      <c r="X199" s="436">
        <v>8</v>
      </c>
      <c r="Y199" s="436">
        <v>8</v>
      </c>
      <c r="Z199" s="11">
        <f t="shared" si="115"/>
        <v>0</v>
      </c>
      <c r="AA199" s="11">
        <f t="shared" si="116"/>
        <v>0</v>
      </c>
      <c r="AB199" s="11">
        <f t="shared" si="117"/>
        <v>0</v>
      </c>
      <c r="AC199" s="11">
        <f t="shared" si="118"/>
        <v>0</v>
      </c>
      <c r="AD199" s="11">
        <f t="shared" si="119"/>
        <v>0</v>
      </c>
      <c r="AE199" s="11">
        <f t="shared" si="120"/>
        <v>0</v>
      </c>
      <c r="AF199" s="11">
        <f t="shared" si="121"/>
        <v>0</v>
      </c>
      <c r="AG199" s="11">
        <f t="shared" si="122"/>
        <v>0</v>
      </c>
      <c r="AH199" s="11">
        <f t="shared" si="123"/>
        <v>0</v>
      </c>
      <c r="AI199" s="11">
        <f t="shared" si="124"/>
        <v>0</v>
      </c>
      <c r="AJ199" s="11">
        <f t="shared" si="125"/>
        <v>0</v>
      </c>
      <c r="AK199" s="11">
        <f t="shared" si="126"/>
        <v>0</v>
      </c>
      <c r="AL199" s="11">
        <f t="shared" si="127"/>
        <v>0</v>
      </c>
      <c r="AM199" s="11">
        <f t="shared" si="128"/>
        <v>0</v>
      </c>
      <c r="AN199" s="11">
        <f t="shared" si="129"/>
        <v>0</v>
      </c>
      <c r="AO199" s="11">
        <f t="shared" si="130"/>
        <v>0</v>
      </c>
      <c r="AP199" s="11">
        <f t="shared" si="131"/>
        <v>0</v>
      </c>
      <c r="AQ199" s="11">
        <f t="shared" si="132"/>
        <v>0</v>
      </c>
      <c r="AR199" s="11">
        <f t="shared" si="133"/>
        <v>0</v>
      </c>
      <c r="AS199" s="11">
        <f t="shared" si="134"/>
        <v>0</v>
      </c>
      <c r="AT199" s="11">
        <f t="shared" si="135"/>
        <v>0</v>
      </c>
      <c r="AU199" s="11">
        <f t="shared" si="136"/>
        <v>0</v>
      </c>
      <c r="AV199" s="11">
        <f t="shared" si="137"/>
        <v>0</v>
      </c>
      <c r="AW199" s="11">
        <f t="shared" si="138"/>
        <v>0</v>
      </c>
      <c r="AX199" s="11">
        <f t="shared" si="139"/>
        <v>0</v>
      </c>
      <c r="AY199" s="11">
        <f t="shared" si="140"/>
        <v>0</v>
      </c>
    </row>
    <row r="200" spans="1:51">
      <c r="A200" s="15">
        <v>45125</v>
      </c>
      <c r="B200" s="436">
        <v>8</v>
      </c>
      <c r="C200" s="436">
        <v>8</v>
      </c>
      <c r="D200" s="436">
        <v>8</v>
      </c>
      <c r="E200" s="436">
        <v>8</v>
      </c>
      <c r="F200" s="436">
        <v>8</v>
      </c>
      <c r="G200" s="436">
        <v>8</v>
      </c>
      <c r="H200" s="436">
        <v>8</v>
      </c>
      <c r="I200" s="436">
        <v>8</v>
      </c>
      <c r="J200" s="436">
        <v>8</v>
      </c>
      <c r="K200" s="436">
        <v>8</v>
      </c>
      <c r="L200" s="436">
        <v>8</v>
      </c>
      <c r="M200" s="436">
        <v>8</v>
      </c>
      <c r="N200" s="436">
        <v>8</v>
      </c>
      <c r="O200" s="436">
        <v>8</v>
      </c>
      <c r="P200" s="436">
        <v>8</v>
      </c>
      <c r="Q200" s="436">
        <v>8</v>
      </c>
      <c r="R200" s="436">
        <v>8</v>
      </c>
      <c r="S200" s="436">
        <v>8</v>
      </c>
      <c r="T200" s="436">
        <v>8</v>
      </c>
      <c r="U200" s="436">
        <v>8</v>
      </c>
      <c r="V200" s="436">
        <v>8</v>
      </c>
      <c r="W200" s="436">
        <v>8</v>
      </c>
      <c r="X200" s="436">
        <v>8</v>
      </c>
      <c r="Y200" s="436">
        <v>8</v>
      </c>
      <c r="Z200" s="11">
        <f t="shared" si="115"/>
        <v>0</v>
      </c>
      <c r="AA200" s="11">
        <f t="shared" si="116"/>
        <v>0</v>
      </c>
      <c r="AB200" s="11">
        <f t="shared" si="117"/>
        <v>0</v>
      </c>
      <c r="AC200" s="11">
        <f t="shared" si="118"/>
        <v>0</v>
      </c>
      <c r="AD200" s="11">
        <f t="shared" si="119"/>
        <v>0</v>
      </c>
      <c r="AE200" s="11">
        <f t="shared" si="120"/>
        <v>0</v>
      </c>
      <c r="AF200" s="11">
        <f t="shared" si="121"/>
        <v>0</v>
      </c>
      <c r="AG200" s="11">
        <f t="shared" si="122"/>
        <v>0</v>
      </c>
      <c r="AH200" s="11">
        <f t="shared" si="123"/>
        <v>0</v>
      </c>
      <c r="AI200" s="11">
        <f t="shared" si="124"/>
        <v>0</v>
      </c>
      <c r="AJ200" s="11">
        <f t="shared" si="125"/>
        <v>0</v>
      </c>
      <c r="AK200" s="11">
        <f t="shared" si="126"/>
        <v>0</v>
      </c>
      <c r="AL200" s="11">
        <f t="shared" si="127"/>
        <v>0</v>
      </c>
      <c r="AM200" s="11">
        <f t="shared" si="128"/>
        <v>0</v>
      </c>
      <c r="AN200" s="11">
        <f t="shared" si="129"/>
        <v>0</v>
      </c>
      <c r="AO200" s="11">
        <f t="shared" si="130"/>
        <v>0</v>
      </c>
      <c r="AP200" s="11">
        <f t="shared" si="131"/>
        <v>0</v>
      </c>
      <c r="AQ200" s="11">
        <f t="shared" si="132"/>
        <v>0</v>
      </c>
      <c r="AR200" s="11">
        <f t="shared" si="133"/>
        <v>0</v>
      </c>
      <c r="AS200" s="11">
        <f t="shared" si="134"/>
        <v>0</v>
      </c>
      <c r="AT200" s="11">
        <f t="shared" si="135"/>
        <v>0</v>
      </c>
      <c r="AU200" s="11">
        <f t="shared" si="136"/>
        <v>0</v>
      </c>
      <c r="AV200" s="11">
        <f t="shared" si="137"/>
        <v>0</v>
      </c>
      <c r="AW200" s="11">
        <f t="shared" si="138"/>
        <v>0</v>
      </c>
      <c r="AX200" s="11">
        <f t="shared" si="139"/>
        <v>0</v>
      </c>
      <c r="AY200" s="11">
        <f t="shared" si="140"/>
        <v>0</v>
      </c>
    </row>
    <row r="201" spans="1:51">
      <c r="A201" s="15">
        <v>45126</v>
      </c>
      <c r="B201" s="436">
        <v>8</v>
      </c>
      <c r="C201" s="436">
        <v>8</v>
      </c>
      <c r="D201" s="436">
        <v>8</v>
      </c>
      <c r="E201" s="436">
        <v>8</v>
      </c>
      <c r="F201" s="436">
        <v>8</v>
      </c>
      <c r="G201" s="436">
        <v>8</v>
      </c>
      <c r="H201" s="436">
        <v>8</v>
      </c>
      <c r="I201" s="436">
        <v>8</v>
      </c>
      <c r="J201" s="436">
        <v>8</v>
      </c>
      <c r="K201" s="436">
        <v>7</v>
      </c>
      <c r="L201" s="436">
        <v>7</v>
      </c>
      <c r="M201" s="436">
        <v>7</v>
      </c>
      <c r="N201" s="436">
        <v>8</v>
      </c>
      <c r="O201" s="436">
        <v>8</v>
      </c>
      <c r="P201" s="436">
        <v>8</v>
      </c>
      <c r="Q201" s="436">
        <v>8</v>
      </c>
      <c r="R201" s="436">
        <v>8</v>
      </c>
      <c r="S201" s="436">
        <v>8</v>
      </c>
      <c r="T201" s="436">
        <v>8</v>
      </c>
      <c r="U201" s="436">
        <v>8</v>
      </c>
      <c r="V201" s="436">
        <v>8</v>
      </c>
      <c r="W201" s="436">
        <v>8</v>
      </c>
      <c r="X201" s="436">
        <v>8</v>
      </c>
      <c r="Y201" s="436">
        <v>8</v>
      </c>
      <c r="Z201" s="11">
        <f t="shared" si="115"/>
        <v>0</v>
      </c>
      <c r="AA201" s="11">
        <f t="shared" si="116"/>
        <v>0</v>
      </c>
      <c r="AB201" s="11">
        <f t="shared" si="117"/>
        <v>0</v>
      </c>
      <c r="AC201" s="11">
        <f t="shared" si="118"/>
        <v>0</v>
      </c>
      <c r="AD201" s="11">
        <f t="shared" si="119"/>
        <v>0</v>
      </c>
      <c r="AE201" s="11">
        <f t="shared" si="120"/>
        <v>0</v>
      </c>
      <c r="AF201" s="11">
        <f t="shared" si="121"/>
        <v>0</v>
      </c>
      <c r="AG201" s="11">
        <f t="shared" si="122"/>
        <v>0</v>
      </c>
      <c r="AH201" s="11">
        <f t="shared" si="123"/>
        <v>0</v>
      </c>
      <c r="AI201" s="11">
        <f t="shared" si="124"/>
        <v>-1</v>
      </c>
      <c r="AJ201" s="11">
        <f t="shared" si="125"/>
        <v>0</v>
      </c>
      <c r="AK201" s="11">
        <f t="shared" si="126"/>
        <v>0</v>
      </c>
      <c r="AL201" s="11">
        <f t="shared" si="127"/>
        <v>1</v>
      </c>
      <c r="AM201" s="11">
        <f t="shared" si="128"/>
        <v>0</v>
      </c>
      <c r="AN201" s="11">
        <f t="shared" si="129"/>
        <v>0</v>
      </c>
      <c r="AO201" s="11">
        <f t="shared" si="130"/>
        <v>0</v>
      </c>
      <c r="AP201" s="11">
        <f t="shared" si="131"/>
        <v>0</v>
      </c>
      <c r="AQ201" s="11">
        <f t="shared" si="132"/>
        <v>0</v>
      </c>
      <c r="AR201" s="11">
        <f t="shared" si="133"/>
        <v>0</v>
      </c>
      <c r="AS201" s="11">
        <f t="shared" si="134"/>
        <v>0</v>
      </c>
      <c r="AT201" s="11">
        <f t="shared" si="135"/>
        <v>0</v>
      </c>
      <c r="AU201" s="11">
        <f t="shared" si="136"/>
        <v>0</v>
      </c>
      <c r="AV201" s="11">
        <f t="shared" si="137"/>
        <v>0</v>
      </c>
      <c r="AW201" s="11">
        <f t="shared" si="138"/>
        <v>0</v>
      </c>
      <c r="AX201" s="11">
        <f t="shared" si="139"/>
        <v>1</v>
      </c>
      <c r="AY201" s="11">
        <f t="shared" si="140"/>
        <v>1</v>
      </c>
    </row>
    <row r="202" spans="1:51">
      <c r="A202" s="15">
        <v>45127</v>
      </c>
      <c r="B202" s="436">
        <v>8</v>
      </c>
      <c r="C202" s="436">
        <v>8</v>
      </c>
      <c r="D202" s="436">
        <v>8</v>
      </c>
      <c r="E202" s="436">
        <v>8</v>
      </c>
      <c r="F202" s="436">
        <v>8</v>
      </c>
      <c r="G202" s="436">
        <v>8</v>
      </c>
      <c r="H202" s="436">
        <v>8</v>
      </c>
      <c r="I202" s="436">
        <v>8</v>
      </c>
      <c r="J202" s="436">
        <v>8</v>
      </c>
      <c r="K202" s="436">
        <v>7</v>
      </c>
      <c r="L202" s="436">
        <v>7</v>
      </c>
      <c r="M202" s="436">
        <v>7</v>
      </c>
      <c r="N202" s="436">
        <v>7</v>
      </c>
      <c r="O202" s="436">
        <v>7</v>
      </c>
      <c r="P202" s="436">
        <v>7</v>
      </c>
      <c r="Q202" s="436">
        <v>7</v>
      </c>
      <c r="R202" s="436">
        <v>7</v>
      </c>
      <c r="S202" s="436">
        <v>7</v>
      </c>
      <c r="T202" s="436">
        <v>6</v>
      </c>
      <c r="U202" s="436">
        <v>6</v>
      </c>
      <c r="V202" s="436">
        <v>7</v>
      </c>
      <c r="W202" s="436">
        <v>7</v>
      </c>
      <c r="X202" s="436">
        <v>7</v>
      </c>
      <c r="Y202" s="436">
        <v>8</v>
      </c>
      <c r="Z202" s="11">
        <f t="shared" si="115"/>
        <v>0</v>
      </c>
      <c r="AA202" s="11">
        <f t="shared" si="116"/>
        <v>0</v>
      </c>
      <c r="AB202" s="11">
        <f t="shared" si="117"/>
        <v>0</v>
      </c>
      <c r="AC202" s="11">
        <f t="shared" si="118"/>
        <v>0</v>
      </c>
      <c r="AD202" s="11">
        <f t="shared" si="119"/>
        <v>0</v>
      </c>
      <c r="AE202" s="11">
        <f t="shared" si="120"/>
        <v>0</v>
      </c>
      <c r="AF202" s="11">
        <f t="shared" si="121"/>
        <v>0</v>
      </c>
      <c r="AG202" s="11">
        <f t="shared" si="122"/>
        <v>0</v>
      </c>
      <c r="AH202" s="11">
        <f t="shared" si="123"/>
        <v>0</v>
      </c>
      <c r="AI202" s="11">
        <f t="shared" si="124"/>
        <v>-1</v>
      </c>
      <c r="AJ202" s="11">
        <f t="shared" si="125"/>
        <v>0</v>
      </c>
      <c r="AK202" s="11">
        <f t="shared" si="126"/>
        <v>0</v>
      </c>
      <c r="AL202" s="11">
        <f t="shared" si="127"/>
        <v>0</v>
      </c>
      <c r="AM202" s="11">
        <f t="shared" si="128"/>
        <v>0</v>
      </c>
      <c r="AN202" s="11">
        <f t="shared" si="129"/>
        <v>0</v>
      </c>
      <c r="AO202" s="11">
        <f t="shared" si="130"/>
        <v>0</v>
      </c>
      <c r="AP202" s="11">
        <f t="shared" si="131"/>
        <v>0</v>
      </c>
      <c r="AQ202" s="11">
        <f t="shared" si="132"/>
        <v>0</v>
      </c>
      <c r="AR202" s="11">
        <f t="shared" si="133"/>
        <v>-1</v>
      </c>
      <c r="AS202" s="11">
        <f t="shared" si="134"/>
        <v>0</v>
      </c>
      <c r="AT202" s="11">
        <f t="shared" si="135"/>
        <v>1</v>
      </c>
      <c r="AU202" s="11">
        <f t="shared" si="136"/>
        <v>0</v>
      </c>
      <c r="AV202" s="11">
        <f t="shared" si="137"/>
        <v>0</v>
      </c>
      <c r="AW202" s="11">
        <f t="shared" si="138"/>
        <v>1</v>
      </c>
      <c r="AX202" s="11">
        <f t="shared" si="139"/>
        <v>2</v>
      </c>
      <c r="AY202" s="11">
        <f t="shared" si="140"/>
        <v>2</v>
      </c>
    </row>
    <row r="203" spans="1:51">
      <c r="A203" s="15">
        <v>45128</v>
      </c>
      <c r="B203" s="436">
        <v>7</v>
      </c>
      <c r="C203" s="436">
        <v>7</v>
      </c>
      <c r="D203" s="436">
        <v>7</v>
      </c>
      <c r="E203" s="436">
        <v>7</v>
      </c>
      <c r="F203" s="436">
        <v>7</v>
      </c>
      <c r="G203" s="436">
        <v>7</v>
      </c>
      <c r="H203" s="436">
        <v>7</v>
      </c>
      <c r="I203" s="436">
        <v>7</v>
      </c>
      <c r="J203" s="436">
        <v>7</v>
      </c>
      <c r="K203" s="436">
        <v>7</v>
      </c>
      <c r="L203" s="436">
        <v>7</v>
      </c>
      <c r="M203" s="436">
        <v>7</v>
      </c>
      <c r="N203" s="436">
        <v>7</v>
      </c>
      <c r="O203" s="436">
        <v>7</v>
      </c>
      <c r="P203" s="436">
        <v>7</v>
      </c>
      <c r="Q203" s="436">
        <v>7</v>
      </c>
      <c r="R203" s="436">
        <v>7</v>
      </c>
      <c r="S203" s="436">
        <v>7</v>
      </c>
      <c r="T203" s="436">
        <v>7</v>
      </c>
      <c r="U203" s="436">
        <v>7</v>
      </c>
      <c r="V203" s="436">
        <v>7</v>
      </c>
      <c r="W203" s="436">
        <v>7</v>
      </c>
      <c r="X203" s="436">
        <v>7</v>
      </c>
      <c r="Y203" s="436">
        <v>7</v>
      </c>
      <c r="Z203" s="11">
        <f t="shared" si="115"/>
        <v>-1</v>
      </c>
      <c r="AA203" s="11">
        <f t="shared" si="116"/>
        <v>0</v>
      </c>
      <c r="AB203" s="11">
        <f t="shared" si="117"/>
        <v>0</v>
      </c>
      <c r="AC203" s="11">
        <f t="shared" si="118"/>
        <v>0</v>
      </c>
      <c r="AD203" s="11">
        <f t="shared" si="119"/>
        <v>0</v>
      </c>
      <c r="AE203" s="11">
        <f t="shared" si="120"/>
        <v>0</v>
      </c>
      <c r="AF203" s="11">
        <f t="shared" si="121"/>
        <v>0</v>
      </c>
      <c r="AG203" s="11">
        <f t="shared" si="122"/>
        <v>0</v>
      </c>
      <c r="AH203" s="11">
        <f t="shared" si="123"/>
        <v>0</v>
      </c>
      <c r="AI203" s="11">
        <f t="shared" si="124"/>
        <v>0</v>
      </c>
      <c r="AJ203" s="11">
        <f t="shared" si="125"/>
        <v>0</v>
      </c>
      <c r="AK203" s="11">
        <f t="shared" si="126"/>
        <v>0</v>
      </c>
      <c r="AL203" s="11">
        <f t="shared" si="127"/>
        <v>0</v>
      </c>
      <c r="AM203" s="11">
        <f t="shared" si="128"/>
        <v>0</v>
      </c>
      <c r="AN203" s="11">
        <f t="shared" si="129"/>
        <v>0</v>
      </c>
      <c r="AO203" s="11">
        <f t="shared" si="130"/>
        <v>0</v>
      </c>
      <c r="AP203" s="11">
        <f t="shared" si="131"/>
        <v>0</v>
      </c>
      <c r="AQ203" s="11">
        <f t="shared" si="132"/>
        <v>0</v>
      </c>
      <c r="AR203" s="11">
        <f t="shared" si="133"/>
        <v>0</v>
      </c>
      <c r="AS203" s="11">
        <f t="shared" si="134"/>
        <v>0</v>
      </c>
      <c r="AT203" s="11">
        <f t="shared" si="135"/>
        <v>0</v>
      </c>
      <c r="AU203" s="11">
        <f t="shared" si="136"/>
        <v>0</v>
      </c>
      <c r="AV203" s="11">
        <f t="shared" si="137"/>
        <v>0</v>
      </c>
      <c r="AW203" s="11">
        <f t="shared" si="138"/>
        <v>0</v>
      </c>
      <c r="AX203" s="11">
        <f t="shared" si="139"/>
        <v>0</v>
      </c>
      <c r="AY203" s="11">
        <f t="shared" si="140"/>
        <v>1</v>
      </c>
    </row>
    <row r="204" spans="1:51">
      <c r="A204" s="15">
        <v>45129</v>
      </c>
      <c r="B204" s="436">
        <v>8</v>
      </c>
      <c r="C204" s="436">
        <v>8</v>
      </c>
      <c r="D204" s="436">
        <v>8</v>
      </c>
      <c r="E204" s="436">
        <v>8</v>
      </c>
      <c r="F204" s="436">
        <v>8</v>
      </c>
      <c r="G204" s="436">
        <v>8</v>
      </c>
      <c r="H204" s="436">
        <v>8</v>
      </c>
      <c r="I204" s="436">
        <v>8</v>
      </c>
      <c r="J204" s="436">
        <v>8</v>
      </c>
      <c r="K204" s="436">
        <v>8</v>
      </c>
      <c r="L204" s="436">
        <v>8</v>
      </c>
      <c r="M204" s="436">
        <v>8</v>
      </c>
      <c r="N204" s="436">
        <v>8</v>
      </c>
      <c r="O204" s="436">
        <v>8</v>
      </c>
      <c r="P204" s="436">
        <v>8</v>
      </c>
      <c r="Q204" s="436">
        <v>8</v>
      </c>
      <c r="R204" s="436">
        <v>8</v>
      </c>
      <c r="S204" s="436">
        <v>8</v>
      </c>
      <c r="T204" s="436">
        <v>8</v>
      </c>
      <c r="U204" s="436">
        <v>8</v>
      </c>
      <c r="V204" s="436">
        <v>8</v>
      </c>
      <c r="W204" s="436">
        <v>8</v>
      </c>
      <c r="X204" s="436">
        <v>8</v>
      </c>
      <c r="Y204" s="436">
        <v>8</v>
      </c>
      <c r="Z204" s="11">
        <f t="shared" si="115"/>
        <v>1</v>
      </c>
      <c r="AA204" s="11">
        <f t="shared" si="116"/>
        <v>0</v>
      </c>
      <c r="AB204" s="11">
        <f t="shared" si="117"/>
        <v>0</v>
      </c>
      <c r="AC204" s="11">
        <f t="shared" si="118"/>
        <v>0</v>
      </c>
      <c r="AD204" s="11">
        <f t="shared" si="119"/>
        <v>0</v>
      </c>
      <c r="AE204" s="11">
        <f t="shared" si="120"/>
        <v>0</v>
      </c>
      <c r="AF204" s="11">
        <f t="shared" si="121"/>
        <v>0</v>
      </c>
      <c r="AG204" s="11">
        <f t="shared" si="122"/>
        <v>0</v>
      </c>
      <c r="AH204" s="11">
        <f t="shared" si="123"/>
        <v>0</v>
      </c>
      <c r="AI204" s="11">
        <f t="shared" si="124"/>
        <v>0</v>
      </c>
      <c r="AJ204" s="11">
        <f t="shared" si="125"/>
        <v>0</v>
      </c>
      <c r="AK204" s="11">
        <f t="shared" si="126"/>
        <v>0</v>
      </c>
      <c r="AL204" s="11">
        <f t="shared" si="127"/>
        <v>0</v>
      </c>
      <c r="AM204" s="11">
        <f t="shared" si="128"/>
        <v>0</v>
      </c>
      <c r="AN204" s="11">
        <f t="shared" si="129"/>
        <v>0</v>
      </c>
      <c r="AO204" s="11">
        <f t="shared" si="130"/>
        <v>0</v>
      </c>
      <c r="AP204" s="11">
        <f t="shared" si="131"/>
        <v>0</v>
      </c>
      <c r="AQ204" s="11">
        <f t="shared" si="132"/>
        <v>0</v>
      </c>
      <c r="AR204" s="11">
        <f t="shared" si="133"/>
        <v>0</v>
      </c>
      <c r="AS204" s="11">
        <f t="shared" si="134"/>
        <v>0</v>
      </c>
      <c r="AT204" s="11">
        <f t="shared" si="135"/>
        <v>0</v>
      </c>
      <c r="AU204" s="11">
        <f t="shared" si="136"/>
        <v>0</v>
      </c>
      <c r="AV204" s="11">
        <f t="shared" si="137"/>
        <v>0</v>
      </c>
      <c r="AW204" s="11">
        <f t="shared" si="138"/>
        <v>0</v>
      </c>
      <c r="AX204" s="11">
        <f t="shared" si="139"/>
        <v>1</v>
      </c>
      <c r="AY204" s="11">
        <f t="shared" si="140"/>
        <v>0</v>
      </c>
    </row>
    <row r="205" spans="1:51">
      <c r="A205" s="15">
        <v>45130</v>
      </c>
      <c r="B205" s="436">
        <v>8</v>
      </c>
      <c r="C205" s="436">
        <v>8</v>
      </c>
      <c r="D205" s="436">
        <v>8</v>
      </c>
      <c r="E205" s="436">
        <v>8</v>
      </c>
      <c r="F205" s="436">
        <v>8</v>
      </c>
      <c r="G205" s="436">
        <v>8</v>
      </c>
      <c r="H205" s="436">
        <v>8</v>
      </c>
      <c r="I205" s="436">
        <v>8</v>
      </c>
      <c r="J205" s="436">
        <v>8</v>
      </c>
      <c r="K205" s="436">
        <v>8</v>
      </c>
      <c r="L205" s="436">
        <v>8</v>
      </c>
      <c r="M205" s="436">
        <v>8</v>
      </c>
      <c r="N205" s="436">
        <v>8</v>
      </c>
      <c r="O205" s="436">
        <v>8</v>
      </c>
      <c r="P205" s="436">
        <v>8</v>
      </c>
      <c r="Q205" s="436">
        <v>8</v>
      </c>
      <c r="R205" s="436">
        <v>8</v>
      </c>
      <c r="S205" s="436">
        <v>8</v>
      </c>
      <c r="T205" s="436">
        <v>8</v>
      </c>
      <c r="U205" s="436">
        <v>8</v>
      </c>
      <c r="V205" s="436">
        <v>8</v>
      </c>
      <c r="W205" s="436">
        <v>8</v>
      </c>
      <c r="X205" s="436">
        <v>8</v>
      </c>
      <c r="Y205" s="436">
        <v>8</v>
      </c>
      <c r="Z205" s="11">
        <f t="shared" si="115"/>
        <v>0</v>
      </c>
      <c r="AA205" s="11">
        <f t="shared" si="116"/>
        <v>0</v>
      </c>
      <c r="AB205" s="11">
        <f t="shared" si="117"/>
        <v>0</v>
      </c>
      <c r="AC205" s="11">
        <f t="shared" si="118"/>
        <v>0</v>
      </c>
      <c r="AD205" s="11">
        <f t="shared" si="119"/>
        <v>0</v>
      </c>
      <c r="AE205" s="11">
        <f t="shared" si="120"/>
        <v>0</v>
      </c>
      <c r="AF205" s="11">
        <f t="shared" si="121"/>
        <v>0</v>
      </c>
      <c r="AG205" s="11">
        <f t="shared" si="122"/>
        <v>0</v>
      </c>
      <c r="AH205" s="11">
        <f t="shared" si="123"/>
        <v>0</v>
      </c>
      <c r="AI205" s="11">
        <f t="shared" si="124"/>
        <v>0</v>
      </c>
      <c r="AJ205" s="11">
        <f t="shared" si="125"/>
        <v>0</v>
      </c>
      <c r="AK205" s="11">
        <f t="shared" si="126"/>
        <v>0</v>
      </c>
      <c r="AL205" s="11">
        <f t="shared" si="127"/>
        <v>0</v>
      </c>
      <c r="AM205" s="11">
        <f t="shared" si="128"/>
        <v>0</v>
      </c>
      <c r="AN205" s="11">
        <f t="shared" si="129"/>
        <v>0</v>
      </c>
      <c r="AO205" s="11">
        <f t="shared" si="130"/>
        <v>0</v>
      </c>
      <c r="AP205" s="11">
        <f t="shared" si="131"/>
        <v>0</v>
      </c>
      <c r="AQ205" s="11">
        <f t="shared" si="132"/>
        <v>0</v>
      </c>
      <c r="AR205" s="11">
        <f t="shared" si="133"/>
        <v>0</v>
      </c>
      <c r="AS205" s="11">
        <f t="shared" si="134"/>
        <v>0</v>
      </c>
      <c r="AT205" s="11">
        <f t="shared" si="135"/>
        <v>0</v>
      </c>
      <c r="AU205" s="11">
        <f t="shared" si="136"/>
        <v>0</v>
      </c>
      <c r="AV205" s="11">
        <f t="shared" si="137"/>
        <v>0</v>
      </c>
      <c r="AW205" s="11">
        <f t="shared" si="138"/>
        <v>0</v>
      </c>
      <c r="AX205" s="11">
        <f t="shared" si="139"/>
        <v>0</v>
      </c>
      <c r="AY205" s="11">
        <f t="shared" si="140"/>
        <v>0</v>
      </c>
    </row>
    <row r="206" spans="1:51">
      <c r="A206" s="15">
        <v>45131</v>
      </c>
      <c r="B206" s="436">
        <v>8</v>
      </c>
      <c r="C206" s="436">
        <v>8</v>
      </c>
      <c r="D206" s="436">
        <v>8</v>
      </c>
      <c r="E206" s="436">
        <v>8</v>
      </c>
      <c r="F206" s="436">
        <v>8</v>
      </c>
      <c r="G206" s="436">
        <v>8</v>
      </c>
      <c r="H206" s="436">
        <v>8</v>
      </c>
      <c r="I206" s="436">
        <v>8</v>
      </c>
      <c r="J206" s="436">
        <v>8</v>
      </c>
      <c r="K206" s="436">
        <v>8</v>
      </c>
      <c r="L206" s="436">
        <v>8</v>
      </c>
      <c r="M206" s="436">
        <v>8</v>
      </c>
      <c r="N206" s="436">
        <v>8</v>
      </c>
      <c r="O206" s="436">
        <v>8</v>
      </c>
      <c r="P206" s="436">
        <v>8</v>
      </c>
      <c r="Q206" s="436">
        <v>8</v>
      </c>
      <c r="R206" s="436">
        <v>8</v>
      </c>
      <c r="S206" s="436">
        <v>8</v>
      </c>
      <c r="T206" s="436">
        <v>8</v>
      </c>
      <c r="U206" s="436">
        <v>8</v>
      </c>
      <c r="V206" s="436">
        <v>8</v>
      </c>
      <c r="W206" s="436">
        <v>8</v>
      </c>
      <c r="X206" s="436">
        <v>8</v>
      </c>
      <c r="Y206" s="436">
        <v>8</v>
      </c>
      <c r="Z206" s="11">
        <f t="shared" si="115"/>
        <v>0</v>
      </c>
      <c r="AA206" s="11">
        <f t="shared" si="116"/>
        <v>0</v>
      </c>
      <c r="AB206" s="11">
        <f t="shared" si="117"/>
        <v>0</v>
      </c>
      <c r="AC206" s="11">
        <f t="shared" si="118"/>
        <v>0</v>
      </c>
      <c r="AD206" s="11">
        <f t="shared" si="119"/>
        <v>0</v>
      </c>
      <c r="AE206" s="11">
        <f t="shared" si="120"/>
        <v>0</v>
      </c>
      <c r="AF206" s="11">
        <f t="shared" si="121"/>
        <v>0</v>
      </c>
      <c r="AG206" s="11">
        <f t="shared" si="122"/>
        <v>0</v>
      </c>
      <c r="AH206" s="11">
        <f t="shared" si="123"/>
        <v>0</v>
      </c>
      <c r="AI206" s="11">
        <f t="shared" si="124"/>
        <v>0</v>
      </c>
      <c r="AJ206" s="11">
        <f t="shared" si="125"/>
        <v>0</v>
      </c>
      <c r="AK206" s="11">
        <f t="shared" si="126"/>
        <v>0</v>
      </c>
      <c r="AL206" s="11">
        <f t="shared" si="127"/>
        <v>0</v>
      </c>
      <c r="AM206" s="11">
        <f t="shared" si="128"/>
        <v>0</v>
      </c>
      <c r="AN206" s="11">
        <f t="shared" si="129"/>
        <v>0</v>
      </c>
      <c r="AO206" s="11">
        <f t="shared" si="130"/>
        <v>0</v>
      </c>
      <c r="AP206" s="11">
        <f t="shared" si="131"/>
        <v>0</v>
      </c>
      <c r="AQ206" s="11">
        <f t="shared" si="132"/>
        <v>0</v>
      </c>
      <c r="AR206" s="11">
        <f t="shared" si="133"/>
        <v>0</v>
      </c>
      <c r="AS206" s="11">
        <f t="shared" si="134"/>
        <v>0</v>
      </c>
      <c r="AT206" s="11">
        <f t="shared" si="135"/>
        <v>0</v>
      </c>
      <c r="AU206" s="11">
        <f t="shared" si="136"/>
        <v>0</v>
      </c>
      <c r="AV206" s="11">
        <f t="shared" si="137"/>
        <v>0</v>
      </c>
      <c r="AW206" s="11">
        <f t="shared" si="138"/>
        <v>0</v>
      </c>
      <c r="AX206" s="11">
        <f t="shared" si="139"/>
        <v>0</v>
      </c>
      <c r="AY206" s="11">
        <f t="shared" si="140"/>
        <v>0</v>
      </c>
    </row>
    <row r="207" spans="1:51">
      <c r="A207" s="15">
        <v>45132</v>
      </c>
      <c r="B207" s="436">
        <v>8</v>
      </c>
      <c r="C207" s="436">
        <v>8</v>
      </c>
      <c r="D207" s="436">
        <v>8</v>
      </c>
      <c r="E207" s="436">
        <v>8</v>
      </c>
      <c r="F207" s="436">
        <v>8</v>
      </c>
      <c r="G207" s="436">
        <v>8</v>
      </c>
      <c r="H207" s="436">
        <v>8</v>
      </c>
      <c r="I207" s="436">
        <v>8</v>
      </c>
      <c r="J207" s="436">
        <v>8</v>
      </c>
      <c r="K207" s="436">
        <v>8</v>
      </c>
      <c r="L207" s="436">
        <v>8</v>
      </c>
      <c r="M207" s="436">
        <v>8</v>
      </c>
      <c r="N207" s="436">
        <v>8</v>
      </c>
      <c r="O207" s="436">
        <v>8</v>
      </c>
      <c r="P207" s="436">
        <v>8</v>
      </c>
      <c r="Q207" s="436">
        <v>8</v>
      </c>
      <c r="R207" s="436">
        <v>8</v>
      </c>
      <c r="S207" s="436">
        <v>8</v>
      </c>
      <c r="T207" s="436">
        <v>8</v>
      </c>
      <c r="U207" s="436">
        <v>8</v>
      </c>
      <c r="V207" s="436">
        <v>8</v>
      </c>
      <c r="W207" s="436">
        <v>8</v>
      </c>
      <c r="X207" s="436">
        <v>8</v>
      </c>
      <c r="Y207" s="436">
        <v>8</v>
      </c>
      <c r="Z207" s="11">
        <f t="shared" si="115"/>
        <v>0</v>
      </c>
      <c r="AA207" s="11">
        <f t="shared" si="116"/>
        <v>0</v>
      </c>
      <c r="AB207" s="11">
        <f t="shared" si="117"/>
        <v>0</v>
      </c>
      <c r="AC207" s="11">
        <f t="shared" si="118"/>
        <v>0</v>
      </c>
      <c r="AD207" s="11">
        <f t="shared" si="119"/>
        <v>0</v>
      </c>
      <c r="AE207" s="11">
        <f t="shared" si="120"/>
        <v>0</v>
      </c>
      <c r="AF207" s="11">
        <f t="shared" si="121"/>
        <v>0</v>
      </c>
      <c r="AG207" s="11">
        <f t="shared" si="122"/>
        <v>0</v>
      </c>
      <c r="AH207" s="11">
        <f t="shared" si="123"/>
        <v>0</v>
      </c>
      <c r="AI207" s="11">
        <f t="shared" si="124"/>
        <v>0</v>
      </c>
      <c r="AJ207" s="11">
        <f t="shared" si="125"/>
        <v>0</v>
      </c>
      <c r="AK207" s="11">
        <f t="shared" si="126"/>
        <v>0</v>
      </c>
      <c r="AL207" s="11">
        <f t="shared" si="127"/>
        <v>0</v>
      </c>
      <c r="AM207" s="11">
        <f t="shared" si="128"/>
        <v>0</v>
      </c>
      <c r="AN207" s="11">
        <f t="shared" si="129"/>
        <v>0</v>
      </c>
      <c r="AO207" s="11">
        <f t="shared" si="130"/>
        <v>0</v>
      </c>
      <c r="AP207" s="11">
        <f t="shared" si="131"/>
        <v>0</v>
      </c>
      <c r="AQ207" s="11">
        <f t="shared" si="132"/>
        <v>0</v>
      </c>
      <c r="AR207" s="11">
        <f t="shared" si="133"/>
        <v>0</v>
      </c>
      <c r="AS207" s="11">
        <f t="shared" si="134"/>
        <v>0</v>
      </c>
      <c r="AT207" s="11">
        <f t="shared" si="135"/>
        <v>0</v>
      </c>
      <c r="AU207" s="11">
        <f t="shared" si="136"/>
        <v>0</v>
      </c>
      <c r="AV207" s="11">
        <f t="shared" si="137"/>
        <v>0</v>
      </c>
      <c r="AW207" s="11">
        <f t="shared" si="138"/>
        <v>0</v>
      </c>
      <c r="AX207" s="11">
        <f t="shared" si="139"/>
        <v>0</v>
      </c>
      <c r="AY207" s="11">
        <f t="shared" si="140"/>
        <v>0</v>
      </c>
    </row>
    <row r="208" spans="1:51">
      <c r="A208" s="15">
        <v>45133</v>
      </c>
      <c r="B208" s="436">
        <v>7</v>
      </c>
      <c r="C208" s="436">
        <v>7</v>
      </c>
      <c r="D208" s="436">
        <v>7</v>
      </c>
      <c r="E208" s="436">
        <v>7</v>
      </c>
      <c r="F208" s="436">
        <v>7</v>
      </c>
      <c r="G208" s="436">
        <v>7</v>
      </c>
      <c r="H208" s="436">
        <v>7</v>
      </c>
      <c r="I208" s="436">
        <v>7</v>
      </c>
      <c r="J208" s="436">
        <v>7</v>
      </c>
      <c r="K208" s="436">
        <v>7</v>
      </c>
      <c r="L208" s="436">
        <v>7</v>
      </c>
      <c r="M208" s="436">
        <v>7</v>
      </c>
      <c r="N208" s="436">
        <v>7</v>
      </c>
      <c r="O208" s="436">
        <v>7</v>
      </c>
      <c r="P208" s="436">
        <v>7</v>
      </c>
      <c r="Q208" s="436">
        <v>7</v>
      </c>
      <c r="R208" s="436">
        <v>7</v>
      </c>
      <c r="S208" s="436">
        <v>7</v>
      </c>
      <c r="T208" s="436">
        <v>7</v>
      </c>
      <c r="U208" s="436">
        <v>7</v>
      </c>
      <c r="V208" s="436">
        <v>7</v>
      </c>
      <c r="W208" s="436">
        <v>7</v>
      </c>
      <c r="X208" s="436">
        <v>8</v>
      </c>
      <c r="Y208" s="436">
        <v>7</v>
      </c>
      <c r="Z208" s="11">
        <f t="shared" si="115"/>
        <v>-1</v>
      </c>
      <c r="AA208" s="11">
        <f t="shared" si="116"/>
        <v>0</v>
      </c>
      <c r="AB208" s="11">
        <f t="shared" si="117"/>
        <v>0</v>
      </c>
      <c r="AC208" s="11">
        <f t="shared" si="118"/>
        <v>0</v>
      </c>
      <c r="AD208" s="11">
        <f t="shared" si="119"/>
        <v>0</v>
      </c>
      <c r="AE208" s="11">
        <f t="shared" si="120"/>
        <v>0</v>
      </c>
      <c r="AF208" s="11">
        <f t="shared" si="121"/>
        <v>0</v>
      </c>
      <c r="AG208" s="11">
        <f t="shared" si="122"/>
        <v>0</v>
      </c>
      <c r="AH208" s="11">
        <f t="shared" si="123"/>
        <v>0</v>
      </c>
      <c r="AI208" s="11">
        <f t="shared" si="124"/>
        <v>0</v>
      </c>
      <c r="AJ208" s="11">
        <f t="shared" si="125"/>
        <v>0</v>
      </c>
      <c r="AK208" s="11">
        <f t="shared" si="126"/>
        <v>0</v>
      </c>
      <c r="AL208" s="11">
        <f t="shared" si="127"/>
        <v>0</v>
      </c>
      <c r="AM208" s="11">
        <f t="shared" si="128"/>
        <v>0</v>
      </c>
      <c r="AN208" s="11">
        <f t="shared" si="129"/>
        <v>0</v>
      </c>
      <c r="AO208" s="11">
        <f t="shared" si="130"/>
        <v>0</v>
      </c>
      <c r="AP208" s="11">
        <f t="shared" si="131"/>
        <v>0</v>
      </c>
      <c r="AQ208" s="11">
        <f t="shared" si="132"/>
        <v>0</v>
      </c>
      <c r="AR208" s="11">
        <f t="shared" si="133"/>
        <v>0</v>
      </c>
      <c r="AS208" s="11">
        <f t="shared" si="134"/>
        <v>0</v>
      </c>
      <c r="AT208" s="11">
        <f t="shared" si="135"/>
        <v>0</v>
      </c>
      <c r="AU208" s="11">
        <f t="shared" si="136"/>
        <v>0</v>
      </c>
      <c r="AV208" s="11">
        <f t="shared" si="137"/>
        <v>1</v>
      </c>
      <c r="AW208" s="11">
        <f t="shared" si="138"/>
        <v>-1</v>
      </c>
      <c r="AX208" s="11">
        <f t="shared" si="139"/>
        <v>1</v>
      </c>
      <c r="AY208" s="11">
        <f t="shared" si="140"/>
        <v>2</v>
      </c>
    </row>
    <row r="209" spans="1:51">
      <c r="A209" s="15">
        <v>45134</v>
      </c>
      <c r="B209" s="436">
        <v>7</v>
      </c>
      <c r="C209" s="436">
        <v>8</v>
      </c>
      <c r="D209" s="436">
        <v>7</v>
      </c>
      <c r="E209" s="436">
        <v>8</v>
      </c>
      <c r="F209" s="436">
        <v>8</v>
      </c>
      <c r="G209" s="436">
        <v>8</v>
      </c>
      <c r="H209" s="436">
        <v>8</v>
      </c>
      <c r="I209" s="436">
        <v>8</v>
      </c>
      <c r="J209" s="436">
        <v>8</v>
      </c>
      <c r="K209" s="436">
        <v>8</v>
      </c>
      <c r="L209" s="436">
        <v>8</v>
      </c>
      <c r="M209" s="436">
        <v>8</v>
      </c>
      <c r="N209" s="436">
        <v>8</v>
      </c>
      <c r="O209" s="436">
        <v>8</v>
      </c>
      <c r="P209" s="436">
        <v>8</v>
      </c>
      <c r="Q209" s="436">
        <v>8</v>
      </c>
      <c r="R209" s="436">
        <v>8</v>
      </c>
      <c r="S209" s="436">
        <v>8</v>
      </c>
      <c r="T209" s="436">
        <v>8</v>
      </c>
      <c r="U209" s="436">
        <v>8</v>
      </c>
      <c r="V209" s="436">
        <v>8</v>
      </c>
      <c r="W209" s="436">
        <v>8</v>
      </c>
      <c r="X209" s="436">
        <v>8</v>
      </c>
      <c r="Y209" s="436">
        <v>8</v>
      </c>
      <c r="Z209" s="11">
        <f t="shared" si="115"/>
        <v>0</v>
      </c>
      <c r="AA209" s="11">
        <f t="shared" si="116"/>
        <v>1</v>
      </c>
      <c r="AB209" s="11">
        <f t="shared" si="117"/>
        <v>-1</v>
      </c>
      <c r="AC209" s="11">
        <f t="shared" si="118"/>
        <v>1</v>
      </c>
      <c r="AD209" s="11">
        <f t="shared" si="119"/>
        <v>0</v>
      </c>
      <c r="AE209" s="11">
        <f t="shared" si="120"/>
        <v>0</v>
      </c>
      <c r="AF209" s="11">
        <f t="shared" si="121"/>
        <v>0</v>
      </c>
      <c r="AG209" s="11">
        <f t="shared" si="122"/>
        <v>0</v>
      </c>
      <c r="AH209" s="11">
        <f t="shared" si="123"/>
        <v>0</v>
      </c>
      <c r="AI209" s="11">
        <f t="shared" si="124"/>
        <v>0</v>
      </c>
      <c r="AJ209" s="11">
        <f t="shared" si="125"/>
        <v>0</v>
      </c>
      <c r="AK209" s="11">
        <f t="shared" si="126"/>
        <v>0</v>
      </c>
      <c r="AL209" s="11">
        <f t="shared" si="127"/>
        <v>0</v>
      </c>
      <c r="AM209" s="11">
        <f t="shared" si="128"/>
        <v>0</v>
      </c>
      <c r="AN209" s="11">
        <f t="shared" si="129"/>
        <v>0</v>
      </c>
      <c r="AO209" s="11">
        <f t="shared" si="130"/>
        <v>0</v>
      </c>
      <c r="AP209" s="11">
        <f t="shared" si="131"/>
        <v>0</v>
      </c>
      <c r="AQ209" s="11">
        <f t="shared" si="132"/>
        <v>0</v>
      </c>
      <c r="AR209" s="11">
        <f t="shared" si="133"/>
        <v>0</v>
      </c>
      <c r="AS209" s="11">
        <f t="shared" si="134"/>
        <v>0</v>
      </c>
      <c r="AT209" s="11">
        <f t="shared" si="135"/>
        <v>0</v>
      </c>
      <c r="AU209" s="11">
        <f t="shared" si="136"/>
        <v>0</v>
      </c>
      <c r="AV209" s="11">
        <f t="shared" si="137"/>
        <v>0</v>
      </c>
      <c r="AW209" s="11">
        <f t="shared" si="138"/>
        <v>0</v>
      </c>
      <c r="AX209" s="11">
        <f t="shared" si="139"/>
        <v>2</v>
      </c>
      <c r="AY209" s="11">
        <f t="shared" si="140"/>
        <v>1</v>
      </c>
    </row>
    <row r="210" spans="1:51">
      <c r="A210" s="15">
        <v>45135</v>
      </c>
      <c r="B210" s="436">
        <v>8</v>
      </c>
      <c r="C210" s="436">
        <v>8</v>
      </c>
      <c r="D210" s="436">
        <v>8</v>
      </c>
      <c r="E210" s="436">
        <v>8</v>
      </c>
      <c r="F210" s="436">
        <v>8</v>
      </c>
      <c r="G210" s="436">
        <v>8</v>
      </c>
      <c r="H210" s="436">
        <v>8</v>
      </c>
      <c r="I210" s="436">
        <v>8</v>
      </c>
      <c r="J210" s="436">
        <v>8</v>
      </c>
      <c r="K210" s="436">
        <v>8</v>
      </c>
      <c r="L210" s="436">
        <v>8</v>
      </c>
      <c r="M210" s="436">
        <v>8</v>
      </c>
      <c r="N210" s="436">
        <v>8</v>
      </c>
      <c r="O210" s="436">
        <v>8</v>
      </c>
      <c r="P210" s="436">
        <v>8</v>
      </c>
      <c r="Q210" s="436">
        <v>8</v>
      </c>
      <c r="R210" s="436">
        <v>8</v>
      </c>
      <c r="S210" s="436">
        <v>8</v>
      </c>
      <c r="T210" s="436">
        <v>8</v>
      </c>
      <c r="U210" s="436">
        <v>8</v>
      </c>
      <c r="V210" s="436">
        <v>8</v>
      </c>
      <c r="W210" s="436">
        <v>8</v>
      </c>
      <c r="X210" s="436">
        <v>8</v>
      </c>
      <c r="Y210" s="436">
        <v>8</v>
      </c>
      <c r="Z210" s="11">
        <f t="shared" si="115"/>
        <v>0</v>
      </c>
      <c r="AA210" s="11">
        <f t="shared" si="116"/>
        <v>0</v>
      </c>
      <c r="AB210" s="11">
        <f t="shared" si="117"/>
        <v>0</v>
      </c>
      <c r="AC210" s="11">
        <f t="shared" si="118"/>
        <v>0</v>
      </c>
      <c r="AD210" s="11">
        <f t="shared" si="119"/>
        <v>0</v>
      </c>
      <c r="AE210" s="11">
        <f t="shared" si="120"/>
        <v>0</v>
      </c>
      <c r="AF210" s="11">
        <f t="shared" si="121"/>
        <v>0</v>
      </c>
      <c r="AG210" s="11">
        <f t="shared" si="122"/>
        <v>0</v>
      </c>
      <c r="AH210" s="11">
        <f t="shared" si="123"/>
        <v>0</v>
      </c>
      <c r="AI210" s="11">
        <f t="shared" si="124"/>
        <v>0</v>
      </c>
      <c r="AJ210" s="11">
        <f t="shared" si="125"/>
        <v>0</v>
      </c>
      <c r="AK210" s="11">
        <f t="shared" si="126"/>
        <v>0</v>
      </c>
      <c r="AL210" s="11">
        <f t="shared" si="127"/>
        <v>0</v>
      </c>
      <c r="AM210" s="11">
        <f t="shared" si="128"/>
        <v>0</v>
      </c>
      <c r="AN210" s="11">
        <f t="shared" si="129"/>
        <v>0</v>
      </c>
      <c r="AO210" s="11">
        <f t="shared" si="130"/>
        <v>0</v>
      </c>
      <c r="AP210" s="11">
        <f t="shared" si="131"/>
        <v>0</v>
      </c>
      <c r="AQ210" s="11">
        <f t="shared" si="132"/>
        <v>0</v>
      </c>
      <c r="AR210" s="11">
        <f t="shared" si="133"/>
        <v>0</v>
      </c>
      <c r="AS210" s="11">
        <f t="shared" si="134"/>
        <v>0</v>
      </c>
      <c r="AT210" s="11">
        <f t="shared" si="135"/>
        <v>0</v>
      </c>
      <c r="AU210" s="11">
        <f t="shared" si="136"/>
        <v>0</v>
      </c>
      <c r="AV210" s="11">
        <f t="shared" si="137"/>
        <v>0</v>
      </c>
      <c r="AW210" s="11">
        <f t="shared" si="138"/>
        <v>0</v>
      </c>
      <c r="AX210" s="11">
        <f t="shared" si="139"/>
        <v>0</v>
      </c>
      <c r="AY210" s="11">
        <f t="shared" si="140"/>
        <v>0</v>
      </c>
    </row>
    <row r="211" spans="1:51">
      <c r="A211" s="15">
        <v>45136</v>
      </c>
      <c r="B211" s="436">
        <v>8</v>
      </c>
      <c r="C211" s="436">
        <v>8</v>
      </c>
      <c r="D211" s="436">
        <v>8</v>
      </c>
      <c r="E211" s="436">
        <v>8</v>
      </c>
      <c r="F211" s="436">
        <v>8</v>
      </c>
      <c r="G211" s="436">
        <v>8</v>
      </c>
      <c r="H211" s="436">
        <v>8</v>
      </c>
      <c r="I211" s="436">
        <v>8</v>
      </c>
      <c r="J211" s="436">
        <v>8</v>
      </c>
      <c r="K211" s="436">
        <v>8</v>
      </c>
      <c r="L211" s="436">
        <v>8</v>
      </c>
      <c r="M211" s="436">
        <v>6</v>
      </c>
      <c r="N211" s="436">
        <v>6</v>
      </c>
      <c r="O211" s="436">
        <v>8</v>
      </c>
      <c r="P211" s="436">
        <v>8</v>
      </c>
      <c r="Q211" s="436">
        <v>8</v>
      </c>
      <c r="R211" s="436">
        <v>8</v>
      </c>
      <c r="S211" s="436">
        <v>8</v>
      </c>
      <c r="T211" s="436">
        <v>8</v>
      </c>
      <c r="U211" s="436">
        <v>8</v>
      </c>
      <c r="V211" s="436">
        <v>8</v>
      </c>
      <c r="W211" s="436">
        <v>8</v>
      </c>
      <c r="X211" s="436">
        <v>8</v>
      </c>
      <c r="Y211" s="436">
        <v>8</v>
      </c>
      <c r="Z211" s="11">
        <f t="shared" si="115"/>
        <v>0</v>
      </c>
      <c r="AA211" s="11">
        <f t="shared" si="116"/>
        <v>0</v>
      </c>
      <c r="AB211" s="11">
        <f t="shared" si="117"/>
        <v>0</v>
      </c>
      <c r="AC211" s="11">
        <f t="shared" si="118"/>
        <v>0</v>
      </c>
      <c r="AD211" s="11">
        <f t="shared" si="119"/>
        <v>0</v>
      </c>
      <c r="AE211" s="11">
        <f t="shared" si="120"/>
        <v>0</v>
      </c>
      <c r="AF211" s="11">
        <f t="shared" si="121"/>
        <v>0</v>
      </c>
      <c r="AG211" s="11">
        <f t="shared" si="122"/>
        <v>0</v>
      </c>
      <c r="AH211" s="11">
        <f t="shared" si="123"/>
        <v>0</v>
      </c>
      <c r="AI211" s="11">
        <f t="shared" si="124"/>
        <v>0</v>
      </c>
      <c r="AJ211" s="11">
        <f t="shared" si="125"/>
        <v>0</v>
      </c>
      <c r="AK211" s="11">
        <f t="shared" si="126"/>
        <v>-2</v>
      </c>
      <c r="AL211" s="11">
        <f t="shared" si="127"/>
        <v>0</v>
      </c>
      <c r="AM211" s="11">
        <f t="shared" si="128"/>
        <v>2</v>
      </c>
      <c r="AN211" s="11">
        <f t="shared" si="129"/>
        <v>0</v>
      </c>
      <c r="AO211" s="11">
        <f t="shared" si="130"/>
        <v>0</v>
      </c>
      <c r="AP211" s="11">
        <f t="shared" si="131"/>
        <v>0</v>
      </c>
      <c r="AQ211" s="11">
        <f t="shared" si="132"/>
        <v>0</v>
      </c>
      <c r="AR211" s="11">
        <f t="shared" si="133"/>
        <v>0</v>
      </c>
      <c r="AS211" s="11">
        <f t="shared" si="134"/>
        <v>0</v>
      </c>
      <c r="AT211" s="11">
        <f t="shared" si="135"/>
        <v>0</v>
      </c>
      <c r="AU211" s="11">
        <f t="shared" si="136"/>
        <v>0</v>
      </c>
      <c r="AV211" s="11">
        <f t="shared" si="137"/>
        <v>0</v>
      </c>
      <c r="AW211" s="11">
        <f t="shared" si="138"/>
        <v>0</v>
      </c>
      <c r="AX211" s="11">
        <f t="shared" si="139"/>
        <v>2</v>
      </c>
      <c r="AY211" s="11">
        <f t="shared" si="140"/>
        <v>2</v>
      </c>
    </row>
    <row r="212" spans="1:51">
      <c r="A212" s="15">
        <v>45137</v>
      </c>
      <c r="B212" s="436">
        <v>8</v>
      </c>
      <c r="C212" s="436">
        <v>8</v>
      </c>
      <c r="D212" s="436">
        <v>8</v>
      </c>
      <c r="E212" s="436">
        <v>8</v>
      </c>
      <c r="F212" s="436">
        <v>8</v>
      </c>
      <c r="G212" s="436">
        <v>8</v>
      </c>
      <c r="H212" s="436">
        <v>8</v>
      </c>
      <c r="I212" s="436">
        <v>8</v>
      </c>
      <c r="J212" s="436">
        <v>8</v>
      </c>
      <c r="K212" s="436">
        <v>8</v>
      </c>
      <c r="L212" s="436">
        <v>8</v>
      </c>
      <c r="M212" s="436">
        <v>8</v>
      </c>
      <c r="N212" s="436">
        <v>8</v>
      </c>
      <c r="O212" s="436">
        <v>8</v>
      </c>
      <c r="P212" s="436">
        <v>8</v>
      </c>
      <c r="Q212" s="436">
        <v>8</v>
      </c>
      <c r="R212" s="436">
        <v>8</v>
      </c>
      <c r="S212" s="436">
        <v>8</v>
      </c>
      <c r="T212" s="436">
        <v>8</v>
      </c>
      <c r="U212" s="436">
        <v>8</v>
      </c>
      <c r="V212" s="436">
        <v>8</v>
      </c>
      <c r="W212" s="436">
        <v>8</v>
      </c>
      <c r="X212" s="436">
        <v>8</v>
      </c>
      <c r="Y212" s="436">
        <v>8</v>
      </c>
      <c r="Z212" s="11">
        <f t="shared" si="115"/>
        <v>0</v>
      </c>
      <c r="AA212" s="11">
        <f t="shared" si="116"/>
        <v>0</v>
      </c>
      <c r="AB212" s="11">
        <f t="shared" si="117"/>
        <v>0</v>
      </c>
      <c r="AC212" s="11">
        <f t="shared" si="118"/>
        <v>0</v>
      </c>
      <c r="AD212" s="11">
        <f t="shared" si="119"/>
        <v>0</v>
      </c>
      <c r="AE212" s="11">
        <f t="shared" si="120"/>
        <v>0</v>
      </c>
      <c r="AF212" s="11">
        <f t="shared" si="121"/>
        <v>0</v>
      </c>
      <c r="AG212" s="11">
        <f t="shared" si="122"/>
        <v>0</v>
      </c>
      <c r="AH212" s="11">
        <f t="shared" si="123"/>
        <v>0</v>
      </c>
      <c r="AI212" s="11">
        <f t="shared" si="124"/>
        <v>0</v>
      </c>
      <c r="AJ212" s="11">
        <f t="shared" si="125"/>
        <v>0</v>
      </c>
      <c r="AK212" s="11">
        <f t="shared" si="126"/>
        <v>0</v>
      </c>
      <c r="AL212" s="11">
        <f t="shared" si="127"/>
        <v>0</v>
      </c>
      <c r="AM212" s="11">
        <f t="shared" si="128"/>
        <v>0</v>
      </c>
      <c r="AN212" s="11">
        <f t="shared" si="129"/>
        <v>0</v>
      </c>
      <c r="AO212" s="11">
        <f t="shared" si="130"/>
        <v>0</v>
      </c>
      <c r="AP212" s="11">
        <f t="shared" si="131"/>
        <v>0</v>
      </c>
      <c r="AQ212" s="11">
        <f t="shared" si="132"/>
        <v>0</v>
      </c>
      <c r="AR212" s="11">
        <f t="shared" si="133"/>
        <v>0</v>
      </c>
      <c r="AS212" s="11">
        <f t="shared" si="134"/>
        <v>0</v>
      </c>
      <c r="AT212" s="11">
        <f t="shared" si="135"/>
        <v>0</v>
      </c>
      <c r="AU212" s="11">
        <f t="shared" si="136"/>
        <v>0</v>
      </c>
      <c r="AV212" s="11">
        <f t="shared" si="137"/>
        <v>0</v>
      </c>
      <c r="AW212" s="11">
        <f t="shared" si="138"/>
        <v>0</v>
      </c>
      <c r="AX212" s="11">
        <f t="shared" si="139"/>
        <v>0</v>
      </c>
      <c r="AY212" s="11">
        <f t="shared" si="140"/>
        <v>0</v>
      </c>
    </row>
    <row r="213" spans="1:51">
      <c r="A213" s="15">
        <v>45138</v>
      </c>
      <c r="B213" s="436">
        <v>7</v>
      </c>
      <c r="C213" s="436">
        <v>7</v>
      </c>
      <c r="D213" s="436">
        <v>7</v>
      </c>
      <c r="E213" s="436">
        <v>7</v>
      </c>
      <c r="F213" s="436">
        <v>7</v>
      </c>
      <c r="G213" s="436">
        <v>7</v>
      </c>
      <c r="H213" s="436">
        <v>8</v>
      </c>
      <c r="I213" s="436">
        <v>8</v>
      </c>
      <c r="J213" s="436">
        <v>8</v>
      </c>
      <c r="K213" s="436">
        <v>8</v>
      </c>
      <c r="L213" s="436">
        <v>8</v>
      </c>
      <c r="M213" s="436">
        <v>8</v>
      </c>
      <c r="N213" s="436">
        <v>8</v>
      </c>
      <c r="O213" s="436">
        <v>8</v>
      </c>
      <c r="P213" s="436">
        <v>8</v>
      </c>
      <c r="Q213" s="436">
        <v>8</v>
      </c>
      <c r="R213" s="436">
        <v>8</v>
      </c>
      <c r="S213" s="436">
        <v>8</v>
      </c>
      <c r="T213" s="436">
        <v>8</v>
      </c>
      <c r="U213" s="436">
        <v>8</v>
      </c>
      <c r="V213" s="436">
        <v>8</v>
      </c>
      <c r="W213" s="436">
        <v>8</v>
      </c>
      <c r="X213" s="436">
        <v>8</v>
      </c>
      <c r="Y213" s="436">
        <v>8</v>
      </c>
      <c r="Z213" s="11">
        <f t="shared" si="115"/>
        <v>-1</v>
      </c>
      <c r="AA213" s="11">
        <f t="shared" si="116"/>
        <v>0</v>
      </c>
      <c r="AB213" s="11">
        <f t="shared" si="117"/>
        <v>0</v>
      </c>
      <c r="AC213" s="11">
        <f t="shared" si="118"/>
        <v>0</v>
      </c>
      <c r="AD213" s="11">
        <f t="shared" si="119"/>
        <v>0</v>
      </c>
      <c r="AE213" s="11">
        <f t="shared" si="120"/>
        <v>0</v>
      </c>
      <c r="AF213" s="11">
        <f t="shared" si="121"/>
        <v>1</v>
      </c>
      <c r="AG213" s="11">
        <f t="shared" si="122"/>
        <v>0</v>
      </c>
      <c r="AH213" s="11">
        <f t="shared" si="123"/>
        <v>0</v>
      </c>
      <c r="AI213" s="11">
        <f t="shared" si="124"/>
        <v>0</v>
      </c>
      <c r="AJ213" s="11">
        <f t="shared" si="125"/>
        <v>0</v>
      </c>
      <c r="AK213" s="11">
        <f t="shared" si="126"/>
        <v>0</v>
      </c>
      <c r="AL213" s="11">
        <f t="shared" si="127"/>
        <v>0</v>
      </c>
      <c r="AM213" s="11">
        <f t="shared" si="128"/>
        <v>0</v>
      </c>
      <c r="AN213" s="11">
        <f t="shared" si="129"/>
        <v>0</v>
      </c>
      <c r="AO213" s="11">
        <f t="shared" si="130"/>
        <v>0</v>
      </c>
      <c r="AP213" s="11">
        <f t="shared" si="131"/>
        <v>0</v>
      </c>
      <c r="AQ213" s="11">
        <f t="shared" si="132"/>
        <v>0</v>
      </c>
      <c r="AR213" s="11">
        <f t="shared" si="133"/>
        <v>0</v>
      </c>
      <c r="AS213" s="11">
        <f t="shared" si="134"/>
        <v>0</v>
      </c>
      <c r="AT213" s="11">
        <f t="shared" si="135"/>
        <v>0</v>
      </c>
      <c r="AU213" s="11">
        <f t="shared" si="136"/>
        <v>0</v>
      </c>
      <c r="AV213" s="11">
        <f t="shared" si="137"/>
        <v>0</v>
      </c>
      <c r="AW213" s="11">
        <f t="shared" si="138"/>
        <v>0</v>
      </c>
      <c r="AX213" s="11">
        <f t="shared" si="139"/>
        <v>1</v>
      </c>
      <c r="AY213" s="11">
        <f t="shared" si="140"/>
        <v>1</v>
      </c>
    </row>
    <row r="214" spans="1:51">
      <c r="A214" s="15">
        <v>45139</v>
      </c>
      <c r="B214" s="436">
        <v>8</v>
      </c>
      <c r="C214" s="436">
        <v>8</v>
      </c>
      <c r="D214" s="436">
        <v>8</v>
      </c>
      <c r="E214" s="436">
        <v>8</v>
      </c>
      <c r="F214" s="436">
        <v>8</v>
      </c>
      <c r="G214" s="436">
        <v>8</v>
      </c>
      <c r="H214" s="436">
        <v>8</v>
      </c>
      <c r="I214" s="436">
        <v>8</v>
      </c>
      <c r="J214" s="436">
        <v>8</v>
      </c>
      <c r="K214" s="436">
        <v>8</v>
      </c>
      <c r="L214" s="436">
        <v>8</v>
      </c>
      <c r="M214" s="436">
        <v>8</v>
      </c>
      <c r="N214" s="436">
        <v>8</v>
      </c>
      <c r="O214" s="436">
        <v>8</v>
      </c>
      <c r="P214" s="436">
        <v>8</v>
      </c>
      <c r="Q214" s="436">
        <v>8</v>
      </c>
      <c r="R214" s="436">
        <v>8</v>
      </c>
      <c r="S214" s="436">
        <v>8</v>
      </c>
      <c r="T214" s="436">
        <v>8</v>
      </c>
      <c r="U214" s="436">
        <v>8</v>
      </c>
      <c r="V214" s="436">
        <v>8</v>
      </c>
      <c r="W214" s="436">
        <v>8</v>
      </c>
      <c r="X214" s="436">
        <v>8</v>
      </c>
      <c r="Y214" s="436">
        <v>8</v>
      </c>
      <c r="Z214" s="11">
        <f t="shared" ref="Z214:Z219" si="141">B214-Y213</f>
        <v>0</v>
      </c>
      <c r="AA214" s="11">
        <f t="shared" si="116"/>
        <v>0</v>
      </c>
      <c r="AB214" s="11">
        <f t="shared" si="117"/>
        <v>0</v>
      </c>
      <c r="AC214" s="11">
        <f t="shared" si="118"/>
        <v>0</v>
      </c>
      <c r="AD214" s="11">
        <f t="shared" si="119"/>
        <v>0</v>
      </c>
      <c r="AE214" s="11">
        <f t="shared" si="120"/>
        <v>0</v>
      </c>
      <c r="AF214" s="11">
        <f t="shared" si="121"/>
        <v>0</v>
      </c>
      <c r="AG214" s="11">
        <f t="shared" si="122"/>
        <v>0</v>
      </c>
      <c r="AH214" s="11">
        <f t="shared" si="123"/>
        <v>0</v>
      </c>
      <c r="AI214" s="11">
        <f t="shared" si="124"/>
        <v>0</v>
      </c>
      <c r="AJ214" s="11">
        <f t="shared" si="125"/>
        <v>0</v>
      </c>
      <c r="AK214" s="11">
        <f t="shared" si="126"/>
        <v>0</v>
      </c>
      <c r="AL214" s="11">
        <f t="shared" si="127"/>
        <v>0</v>
      </c>
      <c r="AM214" s="11">
        <f t="shared" si="128"/>
        <v>0</v>
      </c>
      <c r="AN214" s="11">
        <f t="shared" si="129"/>
        <v>0</v>
      </c>
      <c r="AO214" s="11">
        <f t="shared" si="130"/>
        <v>0</v>
      </c>
      <c r="AP214" s="11">
        <f t="shared" si="131"/>
        <v>0</v>
      </c>
      <c r="AQ214" s="11">
        <f t="shared" si="132"/>
        <v>0</v>
      </c>
      <c r="AR214" s="11">
        <f t="shared" si="133"/>
        <v>0</v>
      </c>
      <c r="AS214" s="11">
        <f t="shared" si="134"/>
        <v>0</v>
      </c>
      <c r="AT214" s="11">
        <f t="shared" si="135"/>
        <v>0</v>
      </c>
      <c r="AU214" s="11">
        <f t="shared" si="136"/>
        <v>0</v>
      </c>
      <c r="AV214" s="11">
        <f t="shared" si="137"/>
        <v>0</v>
      </c>
      <c r="AW214" s="11">
        <f t="shared" si="138"/>
        <v>0</v>
      </c>
      <c r="AX214" s="11">
        <f t="shared" si="139"/>
        <v>0</v>
      </c>
      <c r="AY214" s="11">
        <f t="shared" si="140"/>
        <v>0</v>
      </c>
    </row>
    <row r="215" spans="1:51">
      <c r="A215" s="15">
        <v>45140</v>
      </c>
      <c r="B215" s="436">
        <v>8</v>
      </c>
      <c r="C215" s="436">
        <v>8</v>
      </c>
      <c r="D215" s="436">
        <v>8</v>
      </c>
      <c r="E215" s="436">
        <v>8</v>
      </c>
      <c r="F215" s="436">
        <v>8</v>
      </c>
      <c r="G215" s="436">
        <v>8</v>
      </c>
      <c r="H215" s="436">
        <v>8</v>
      </c>
      <c r="I215" s="436">
        <v>8</v>
      </c>
      <c r="J215" s="436">
        <v>8</v>
      </c>
      <c r="K215" s="436">
        <v>8</v>
      </c>
      <c r="L215" s="436">
        <v>8</v>
      </c>
      <c r="M215" s="436">
        <v>8</v>
      </c>
      <c r="N215" s="436">
        <v>8</v>
      </c>
      <c r="O215" s="436">
        <v>8</v>
      </c>
      <c r="P215" s="436">
        <v>8</v>
      </c>
      <c r="Q215" s="436">
        <v>8</v>
      </c>
      <c r="R215" s="436">
        <v>6</v>
      </c>
      <c r="S215" s="436">
        <v>7</v>
      </c>
      <c r="T215" s="436">
        <v>7</v>
      </c>
      <c r="U215" s="436">
        <v>7</v>
      </c>
      <c r="V215" s="436">
        <v>7</v>
      </c>
      <c r="W215" s="436">
        <v>7</v>
      </c>
      <c r="X215" s="436">
        <v>7</v>
      </c>
      <c r="Y215" s="436">
        <v>7</v>
      </c>
      <c r="Z215" s="11">
        <f t="shared" si="141"/>
        <v>0</v>
      </c>
      <c r="AA215" s="11">
        <f t="shared" ref="AA215:AJ219" si="142">C215-B215</f>
        <v>0</v>
      </c>
      <c r="AB215" s="11">
        <f t="shared" si="142"/>
        <v>0</v>
      </c>
      <c r="AC215" s="11">
        <f t="shared" si="142"/>
        <v>0</v>
      </c>
      <c r="AD215" s="11">
        <f t="shared" si="142"/>
        <v>0</v>
      </c>
      <c r="AE215" s="11">
        <f t="shared" si="142"/>
        <v>0</v>
      </c>
      <c r="AF215" s="11">
        <f t="shared" si="142"/>
        <v>0</v>
      </c>
      <c r="AG215" s="11">
        <f t="shared" si="142"/>
        <v>0</v>
      </c>
      <c r="AH215" s="11">
        <f t="shared" si="142"/>
        <v>0</v>
      </c>
      <c r="AI215" s="11">
        <f t="shared" si="142"/>
        <v>0</v>
      </c>
      <c r="AJ215" s="11">
        <f t="shared" si="142"/>
        <v>0</v>
      </c>
      <c r="AK215" s="11">
        <f t="shared" ref="AK215:AT219" si="143">M215-L215</f>
        <v>0</v>
      </c>
      <c r="AL215" s="11">
        <f t="shared" si="143"/>
        <v>0</v>
      </c>
      <c r="AM215" s="11">
        <f t="shared" si="143"/>
        <v>0</v>
      </c>
      <c r="AN215" s="11">
        <f t="shared" si="143"/>
        <v>0</v>
      </c>
      <c r="AO215" s="11">
        <f t="shared" si="143"/>
        <v>0</v>
      </c>
      <c r="AP215" s="11">
        <f t="shared" si="143"/>
        <v>-2</v>
      </c>
      <c r="AQ215" s="11">
        <f t="shared" si="143"/>
        <v>1</v>
      </c>
      <c r="AR215" s="11">
        <f t="shared" si="143"/>
        <v>0</v>
      </c>
      <c r="AS215" s="11">
        <f t="shared" si="143"/>
        <v>0</v>
      </c>
      <c r="AT215" s="11">
        <f t="shared" si="143"/>
        <v>0</v>
      </c>
      <c r="AU215" s="11">
        <f t="shared" ref="AU215:AW219" si="144">W215-V215</f>
        <v>0</v>
      </c>
      <c r="AV215" s="11">
        <f t="shared" si="144"/>
        <v>0</v>
      </c>
      <c r="AW215" s="11">
        <f t="shared" si="144"/>
        <v>0</v>
      </c>
      <c r="AX215" s="11">
        <f>SUMIF(Z215:AW215,"&gt;0")</f>
        <v>1</v>
      </c>
      <c r="AY215" s="11">
        <f>SUMIF(Z215:AW215,"&lt;0")*-1</f>
        <v>2</v>
      </c>
    </row>
    <row r="216" spans="1:51">
      <c r="A216" s="15">
        <v>45141</v>
      </c>
      <c r="B216" s="436">
        <v>7</v>
      </c>
      <c r="C216" s="436">
        <v>7</v>
      </c>
      <c r="D216" s="436">
        <v>7</v>
      </c>
      <c r="E216" s="436">
        <v>7</v>
      </c>
      <c r="F216" s="436">
        <v>7</v>
      </c>
      <c r="G216" s="436">
        <v>7</v>
      </c>
      <c r="H216" s="436">
        <v>7</v>
      </c>
      <c r="I216" s="436">
        <v>7</v>
      </c>
      <c r="J216" s="436">
        <v>7</v>
      </c>
      <c r="K216" s="436">
        <v>7</v>
      </c>
      <c r="L216" s="436">
        <v>7</v>
      </c>
      <c r="M216" s="436">
        <v>8</v>
      </c>
      <c r="N216" s="436">
        <v>8</v>
      </c>
      <c r="O216" s="436">
        <v>8</v>
      </c>
      <c r="P216" s="436">
        <v>8</v>
      </c>
      <c r="Q216" s="436">
        <v>8</v>
      </c>
      <c r="R216" s="436">
        <v>8</v>
      </c>
      <c r="S216" s="436">
        <v>8</v>
      </c>
      <c r="T216" s="436">
        <v>8</v>
      </c>
      <c r="U216" s="436">
        <v>8</v>
      </c>
      <c r="V216" s="436">
        <v>8</v>
      </c>
      <c r="W216" s="436">
        <v>8</v>
      </c>
      <c r="X216" s="436">
        <v>8</v>
      </c>
      <c r="Y216" s="436">
        <v>8</v>
      </c>
      <c r="Z216" s="11">
        <f t="shared" si="141"/>
        <v>0</v>
      </c>
      <c r="AA216" s="11">
        <f t="shared" si="142"/>
        <v>0</v>
      </c>
      <c r="AB216" s="11">
        <f t="shared" si="142"/>
        <v>0</v>
      </c>
      <c r="AC216" s="11">
        <f t="shared" si="142"/>
        <v>0</v>
      </c>
      <c r="AD216" s="11">
        <f t="shared" si="142"/>
        <v>0</v>
      </c>
      <c r="AE216" s="11">
        <f t="shared" si="142"/>
        <v>0</v>
      </c>
      <c r="AF216" s="11">
        <f t="shared" si="142"/>
        <v>0</v>
      </c>
      <c r="AG216" s="11">
        <f t="shared" si="142"/>
        <v>0</v>
      </c>
      <c r="AH216" s="11">
        <f t="shared" si="142"/>
        <v>0</v>
      </c>
      <c r="AI216" s="11">
        <f t="shared" si="142"/>
        <v>0</v>
      </c>
      <c r="AJ216" s="11">
        <f t="shared" si="142"/>
        <v>0</v>
      </c>
      <c r="AK216" s="11">
        <f t="shared" si="143"/>
        <v>1</v>
      </c>
      <c r="AL216" s="11">
        <f t="shared" si="143"/>
        <v>0</v>
      </c>
      <c r="AM216" s="11">
        <f t="shared" si="143"/>
        <v>0</v>
      </c>
      <c r="AN216" s="11">
        <f t="shared" si="143"/>
        <v>0</v>
      </c>
      <c r="AO216" s="11">
        <f t="shared" si="143"/>
        <v>0</v>
      </c>
      <c r="AP216" s="11">
        <f t="shared" si="143"/>
        <v>0</v>
      </c>
      <c r="AQ216" s="11">
        <f t="shared" si="143"/>
        <v>0</v>
      </c>
      <c r="AR216" s="11">
        <f t="shared" si="143"/>
        <v>0</v>
      </c>
      <c r="AS216" s="11">
        <f t="shared" si="143"/>
        <v>0</v>
      </c>
      <c r="AT216" s="11">
        <f t="shared" si="143"/>
        <v>0</v>
      </c>
      <c r="AU216" s="11">
        <f t="shared" si="144"/>
        <v>0</v>
      </c>
      <c r="AV216" s="11">
        <f t="shared" si="144"/>
        <v>0</v>
      </c>
      <c r="AW216" s="11">
        <f t="shared" si="144"/>
        <v>0</v>
      </c>
      <c r="AX216" s="11">
        <f>SUMIF(Z216:AW216,"&gt;0")</f>
        <v>1</v>
      </c>
      <c r="AY216" s="11">
        <f>SUMIF(Z216:AW216,"&lt;0")*-1</f>
        <v>0</v>
      </c>
    </row>
    <row r="217" spans="1:51">
      <c r="A217" s="15">
        <v>45142</v>
      </c>
      <c r="B217" s="436">
        <v>8</v>
      </c>
      <c r="C217" s="436">
        <v>8</v>
      </c>
      <c r="D217" s="436">
        <v>8</v>
      </c>
      <c r="E217" s="436">
        <v>8</v>
      </c>
      <c r="F217" s="436">
        <v>8</v>
      </c>
      <c r="G217" s="436">
        <v>8</v>
      </c>
      <c r="H217" s="436">
        <v>8</v>
      </c>
      <c r="I217" s="436">
        <v>8</v>
      </c>
      <c r="J217" s="436">
        <v>8</v>
      </c>
      <c r="K217" s="436">
        <v>8</v>
      </c>
      <c r="L217" s="436">
        <v>8</v>
      </c>
      <c r="M217" s="436">
        <v>8</v>
      </c>
      <c r="N217" s="436">
        <v>8</v>
      </c>
      <c r="O217" s="436">
        <v>8</v>
      </c>
      <c r="P217" s="436">
        <v>8</v>
      </c>
      <c r="Q217" s="436">
        <v>6</v>
      </c>
      <c r="R217" s="436">
        <v>6</v>
      </c>
      <c r="S217" s="436">
        <v>6</v>
      </c>
      <c r="T217" s="436">
        <v>8</v>
      </c>
      <c r="U217" s="436">
        <v>8</v>
      </c>
      <c r="V217" s="436">
        <v>8</v>
      </c>
      <c r="W217" s="436">
        <v>8</v>
      </c>
      <c r="X217" s="436">
        <v>8</v>
      </c>
      <c r="Y217" s="436">
        <v>8</v>
      </c>
      <c r="Z217" s="11">
        <f t="shared" si="141"/>
        <v>0</v>
      </c>
      <c r="AA217" s="11">
        <f t="shared" si="142"/>
        <v>0</v>
      </c>
      <c r="AB217" s="11">
        <f t="shared" si="142"/>
        <v>0</v>
      </c>
      <c r="AC217" s="11">
        <f t="shared" si="142"/>
        <v>0</v>
      </c>
      <c r="AD217" s="11">
        <f t="shared" si="142"/>
        <v>0</v>
      </c>
      <c r="AE217" s="11">
        <f t="shared" si="142"/>
        <v>0</v>
      </c>
      <c r="AF217" s="11">
        <f t="shared" si="142"/>
        <v>0</v>
      </c>
      <c r="AG217" s="11">
        <f t="shared" si="142"/>
        <v>0</v>
      </c>
      <c r="AH217" s="11">
        <f t="shared" si="142"/>
        <v>0</v>
      </c>
      <c r="AI217" s="11">
        <f t="shared" si="142"/>
        <v>0</v>
      </c>
      <c r="AJ217" s="11">
        <f t="shared" si="142"/>
        <v>0</v>
      </c>
      <c r="AK217" s="11">
        <f t="shared" si="143"/>
        <v>0</v>
      </c>
      <c r="AL217" s="11">
        <f t="shared" si="143"/>
        <v>0</v>
      </c>
      <c r="AM217" s="11">
        <f t="shared" si="143"/>
        <v>0</v>
      </c>
      <c r="AN217" s="11">
        <f t="shared" si="143"/>
        <v>0</v>
      </c>
      <c r="AO217" s="11">
        <f t="shared" si="143"/>
        <v>-2</v>
      </c>
      <c r="AP217" s="11">
        <f t="shared" si="143"/>
        <v>0</v>
      </c>
      <c r="AQ217" s="11">
        <f t="shared" si="143"/>
        <v>0</v>
      </c>
      <c r="AR217" s="11">
        <f t="shared" si="143"/>
        <v>2</v>
      </c>
      <c r="AS217" s="11">
        <f t="shared" si="143"/>
        <v>0</v>
      </c>
      <c r="AT217" s="11">
        <f t="shared" si="143"/>
        <v>0</v>
      </c>
      <c r="AU217" s="11">
        <f t="shared" si="144"/>
        <v>0</v>
      </c>
      <c r="AV217" s="11">
        <f t="shared" si="144"/>
        <v>0</v>
      </c>
      <c r="AW217" s="11">
        <f t="shared" si="144"/>
        <v>0</v>
      </c>
      <c r="AX217" s="11">
        <f>SUMIF(Z217:AW217,"&gt;0")</f>
        <v>2</v>
      </c>
      <c r="AY217" s="11">
        <f>SUMIF(Z217:AW217,"&lt;0")*-1</f>
        <v>2</v>
      </c>
    </row>
    <row r="218" spans="1:51">
      <c r="A218" s="15">
        <v>45143</v>
      </c>
      <c r="B218" s="436">
        <v>8</v>
      </c>
      <c r="C218" s="436">
        <v>8</v>
      </c>
      <c r="D218" s="436">
        <v>8</v>
      </c>
      <c r="E218" s="436">
        <v>8</v>
      </c>
      <c r="F218" s="436">
        <v>8</v>
      </c>
      <c r="G218" s="436">
        <v>8</v>
      </c>
      <c r="H218" s="436">
        <v>8</v>
      </c>
      <c r="I218" s="436">
        <v>8</v>
      </c>
      <c r="J218" s="436">
        <v>8</v>
      </c>
      <c r="K218" s="436">
        <v>8</v>
      </c>
      <c r="L218" s="436">
        <v>8</v>
      </c>
      <c r="M218" s="436">
        <v>8</v>
      </c>
      <c r="N218" s="436">
        <v>8</v>
      </c>
      <c r="O218" s="436">
        <v>8</v>
      </c>
      <c r="P218" s="436">
        <v>6</v>
      </c>
      <c r="Q218" s="436">
        <v>6</v>
      </c>
      <c r="R218" s="436">
        <v>7</v>
      </c>
      <c r="S218" s="436">
        <v>9</v>
      </c>
      <c r="T218" s="436">
        <v>9</v>
      </c>
      <c r="U218" s="436">
        <v>9</v>
      </c>
      <c r="V218" s="436">
        <v>9</v>
      </c>
      <c r="W218" s="436">
        <v>9</v>
      </c>
      <c r="X218" s="436">
        <v>9</v>
      </c>
      <c r="Y218" s="436">
        <v>9</v>
      </c>
      <c r="Z218" s="11">
        <f t="shared" si="141"/>
        <v>0</v>
      </c>
      <c r="AA218" s="11">
        <f t="shared" si="142"/>
        <v>0</v>
      </c>
      <c r="AB218" s="11">
        <f t="shared" si="142"/>
        <v>0</v>
      </c>
      <c r="AC218" s="11">
        <f t="shared" si="142"/>
        <v>0</v>
      </c>
      <c r="AD218" s="11">
        <f t="shared" si="142"/>
        <v>0</v>
      </c>
      <c r="AE218" s="11">
        <f t="shared" si="142"/>
        <v>0</v>
      </c>
      <c r="AF218" s="11">
        <f t="shared" si="142"/>
        <v>0</v>
      </c>
      <c r="AG218" s="11">
        <f t="shared" si="142"/>
        <v>0</v>
      </c>
      <c r="AH218" s="11">
        <f t="shared" si="142"/>
        <v>0</v>
      </c>
      <c r="AI218" s="11">
        <f t="shared" si="142"/>
        <v>0</v>
      </c>
      <c r="AJ218" s="11">
        <f t="shared" si="142"/>
        <v>0</v>
      </c>
      <c r="AK218" s="11">
        <f t="shared" si="143"/>
        <v>0</v>
      </c>
      <c r="AL218" s="11">
        <f t="shared" si="143"/>
        <v>0</v>
      </c>
      <c r="AM218" s="11">
        <f t="shared" si="143"/>
        <v>0</v>
      </c>
      <c r="AN218" s="11">
        <f t="shared" si="143"/>
        <v>-2</v>
      </c>
      <c r="AO218" s="11">
        <f t="shared" si="143"/>
        <v>0</v>
      </c>
      <c r="AP218" s="11">
        <f t="shared" si="143"/>
        <v>1</v>
      </c>
      <c r="AQ218" s="11">
        <f t="shared" si="143"/>
        <v>2</v>
      </c>
      <c r="AR218" s="11">
        <f t="shared" si="143"/>
        <v>0</v>
      </c>
      <c r="AS218" s="11">
        <f t="shared" si="143"/>
        <v>0</v>
      </c>
      <c r="AT218" s="11">
        <f t="shared" si="143"/>
        <v>0</v>
      </c>
      <c r="AU218" s="11">
        <f t="shared" si="144"/>
        <v>0</v>
      </c>
      <c r="AV218" s="11">
        <f t="shared" si="144"/>
        <v>0</v>
      </c>
      <c r="AW218" s="11">
        <f t="shared" si="144"/>
        <v>0</v>
      </c>
      <c r="AX218" s="11">
        <f>SUMIF(Z218:AW218,"&gt;0")</f>
        <v>3</v>
      </c>
      <c r="AY218" s="11">
        <f>SUMIF(Z218:AW218,"&lt;0")*-1</f>
        <v>2</v>
      </c>
    </row>
    <row r="219" spans="1:51">
      <c r="A219" s="15">
        <v>45144</v>
      </c>
      <c r="B219" s="436">
        <v>9</v>
      </c>
      <c r="C219" s="436">
        <v>9</v>
      </c>
      <c r="D219" s="436">
        <v>9</v>
      </c>
      <c r="E219" s="436">
        <v>9</v>
      </c>
      <c r="F219" s="436">
        <v>9</v>
      </c>
      <c r="G219" s="436">
        <v>9</v>
      </c>
      <c r="H219" s="436">
        <v>9</v>
      </c>
      <c r="I219" s="436">
        <v>9</v>
      </c>
      <c r="J219" s="436">
        <v>9</v>
      </c>
      <c r="K219" s="436">
        <v>9</v>
      </c>
      <c r="L219" s="436">
        <v>9</v>
      </c>
      <c r="M219" s="436">
        <v>9</v>
      </c>
      <c r="N219" s="436">
        <v>9</v>
      </c>
      <c r="O219" s="436">
        <v>9</v>
      </c>
      <c r="P219" s="436">
        <v>9</v>
      </c>
      <c r="Q219" s="436">
        <v>9</v>
      </c>
      <c r="R219" s="436">
        <v>9</v>
      </c>
      <c r="S219" s="436">
        <v>7</v>
      </c>
      <c r="T219" s="436">
        <v>7</v>
      </c>
      <c r="U219" s="436">
        <v>7</v>
      </c>
      <c r="V219" s="436">
        <v>9</v>
      </c>
      <c r="W219" s="436">
        <v>9</v>
      </c>
      <c r="X219" s="436">
        <v>9</v>
      </c>
      <c r="Y219" s="436">
        <v>9</v>
      </c>
      <c r="Z219" s="11">
        <f t="shared" si="141"/>
        <v>0</v>
      </c>
      <c r="AA219" s="11">
        <f t="shared" si="142"/>
        <v>0</v>
      </c>
      <c r="AB219" s="11">
        <f t="shared" si="142"/>
        <v>0</v>
      </c>
      <c r="AC219" s="11">
        <f t="shared" si="142"/>
        <v>0</v>
      </c>
      <c r="AD219" s="11">
        <f t="shared" si="142"/>
        <v>0</v>
      </c>
      <c r="AE219" s="11">
        <f t="shared" si="142"/>
        <v>0</v>
      </c>
      <c r="AF219" s="11">
        <f t="shared" si="142"/>
        <v>0</v>
      </c>
      <c r="AG219" s="11">
        <f t="shared" si="142"/>
        <v>0</v>
      </c>
      <c r="AH219" s="11">
        <f t="shared" si="142"/>
        <v>0</v>
      </c>
      <c r="AI219" s="11">
        <f t="shared" si="142"/>
        <v>0</v>
      </c>
      <c r="AJ219" s="11">
        <f t="shared" si="142"/>
        <v>0</v>
      </c>
      <c r="AK219" s="11">
        <f t="shared" si="143"/>
        <v>0</v>
      </c>
      <c r="AL219" s="11">
        <f t="shared" si="143"/>
        <v>0</v>
      </c>
      <c r="AM219" s="11">
        <f t="shared" si="143"/>
        <v>0</v>
      </c>
      <c r="AN219" s="11">
        <f t="shared" si="143"/>
        <v>0</v>
      </c>
      <c r="AO219" s="11">
        <f t="shared" si="143"/>
        <v>0</v>
      </c>
      <c r="AP219" s="11">
        <f t="shared" si="143"/>
        <v>0</v>
      </c>
      <c r="AQ219" s="11">
        <f t="shared" si="143"/>
        <v>-2</v>
      </c>
      <c r="AR219" s="11">
        <f t="shared" si="143"/>
        <v>0</v>
      </c>
      <c r="AS219" s="11">
        <f t="shared" si="143"/>
        <v>0</v>
      </c>
      <c r="AT219" s="11">
        <f t="shared" si="143"/>
        <v>2</v>
      </c>
      <c r="AU219" s="11">
        <f t="shared" si="144"/>
        <v>0</v>
      </c>
      <c r="AV219" s="11">
        <f t="shared" si="144"/>
        <v>0</v>
      </c>
      <c r="AW219" s="11">
        <f t="shared" si="144"/>
        <v>0</v>
      </c>
      <c r="AX219" s="11">
        <f>SUMIF(Z219:AW219,"&gt;0")</f>
        <v>2</v>
      </c>
      <c r="AY219" s="11">
        <f>SUMIF(Z219:AW219,"&lt;0")*-1</f>
        <v>2</v>
      </c>
    </row>
    <row r="220" spans="1:51">
      <c r="A220" s="15">
        <v>45145</v>
      </c>
      <c r="B220" s="436">
        <v>9</v>
      </c>
      <c r="C220" s="436">
        <v>9</v>
      </c>
      <c r="D220" s="436">
        <v>9</v>
      </c>
      <c r="E220" s="436">
        <v>9</v>
      </c>
      <c r="F220" s="436">
        <v>9</v>
      </c>
      <c r="G220" s="436">
        <v>9</v>
      </c>
      <c r="H220" s="436">
        <v>9</v>
      </c>
      <c r="I220" s="436">
        <v>9</v>
      </c>
      <c r="J220" s="436">
        <v>7</v>
      </c>
      <c r="K220" s="436">
        <v>7</v>
      </c>
      <c r="L220" s="436">
        <v>7</v>
      </c>
      <c r="M220" s="436">
        <v>9</v>
      </c>
      <c r="N220" s="436">
        <v>9</v>
      </c>
      <c r="O220" s="436">
        <v>9</v>
      </c>
      <c r="P220" s="436">
        <v>9</v>
      </c>
      <c r="Q220" s="436">
        <v>9</v>
      </c>
      <c r="R220" s="436">
        <v>9</v>
      </c>
      <c r="S220" s="436">
        <v>9</v>
      </c>
      <c r="T220" s="436">
        <v>8</v>
      </c>
      <c r="U220" s="436">
        <v>9</v>
      </c>
      <c r="V220" s="436">
        <v>9</v>
      </c>
      <c r="W220" s="436">
        <v>9</v>
      </c>
      <c r="X220" s="436">
        <v>9</v>
      </c>
      <c r="Y220" s="436">
        <v>9</v>
      </c>
      <c r="Z220" s="11">
        <f t="shared" ref="Z220:Z240" si="145">B220-Y219</f>
        <v>0</v>
      </c>
      <c r="AA220" s="11">
        <f t="shared" ref="AA220:AA245" si="146">C220-B220</f>
        <v>0</v>
      </c>
      <c r="AB220" s="11">
        <f t="shared" ref="AB220:AB245" si="147">D220-C220</f>
        <v>0</v>
      </c>
      <c r="AC220" s="11">
        <f t="shared" ref="AC220:AC245" si="148">E220-D220</f>
        <v>0</v>
      </c>
      <c r="AD220" s="11">
        <f t="shared" ref="AD220:AD245" si="149">F220-E220</f>
        <v>0</v>
      </c>
      <c r="AE220" s="11">
        <f t="shared" ref="AE220:AE245" si="150">G220-F220</f>
        <v>0</v>
      </c>
      <c r="AF220" s="11">
        <f t="shared" ref="AF220:AF245" si="151">H220-G220</f>
        <v>0</v>
      </c>
      <c r="AG220" s="11">
        <f t="shared" ref="AG220:AG245" si="152">I220-H220</f>
        <v>0</v>
      </c>
      <c r="AH220" s="11">
        <f t="shared" ref="AH220:AH245" si="153">J220-I220</f>
        <v>-2</v>
      </c>
      <c r="AI220" s="11">
        <f t="shared" ref="AI220:AI245" si="154">K220-J220</f>
        <v>0</v>
      </c>
      <c r="AJ220" s="11">
        <f t="shared" ref="AJ220:AJ245" si="155">L220-K220</f>
        <v>0</v>
      </c>
      <c r="AK220" s="11">
        <f t="shared" ref="AK220:AK245" si="156">M220-L220</f>
        <v>2</v>
      </c>
      <c r="AL220" s="11">
        <f t="shared" ref="AL220:AL245" si="157">N220-M220</f>
        <v>0</v>
      </c>
      <c r="AM220" s="11">
        <f t="shared" ref="AM220:AM245" si="158">O220-N220</f>
        <v>0</v>
      </c>
      <c r="AN220" s="11">
        <f t="shared" ref="AN220:AN245" si="159">P220-O220</f>
        <v>0</v>
      </c>
      <c r="AO220" s="11">
        <f t="shared" ref="AO220:AO245" si="160">Q220-P220</f>
        <v>0</v>
      </c>
      <c r="AP220" s="11">
        <f t="shared" ref="AP220:AP245" si="161">R220-Q220</f>
        <v>0</v>
      </c>
      <c r="AQ220" s="11">
        <f t="shared" ref="AQ220:AQ245" si="162">S220-R220</f>
        <v>0</v>
      </c>
      <c r="AR220" s="11">
        <f t="shared" ref="AR220:AR245" si="163">T220-S220</f>
        <v>-1</v>
      </c>
      <c r="AS220" s="11">
        <f t="shared" ref="AS220:AS245" si="164">U220-T220</f>
        <v>1</v>
      </c>
      <c r="AT220" s="11">
        <f t="shared" ref="AT220:AT245" si="165">V220-U220</f>
        <v>0</v>
      </c>
      <c r="AU220" s="11">
        <f t="shared" ref="AU220:AU245" si="166">W220-V220</f>
        <v>0</v>
      </c>
      <c r="AV220" s="11">
        <f t="shared" ref="AV220:AV245" si="167">X220-W220</f>
        <v>0</v>
      </c>
      <c r="AW220" s="11">
        <f t="shared" ref="AW220:AW245" si="168">Y220-X220</f>
        <v>0</v>
      </c>
      <c r="AX220" s="11">
        <f t="shared" ref="AX220:AX245" si="169">SUMIF(Z220:AW220,"&gt;0")</f>
        <v>3</v>
      </c>
      <c r="AY220" s="11">
        <f t="shared" ref="AY220:AY245" si="170">SUMIF(Z220:AW220,"&lt;0")*-1</f>
        <v>3</v>
      </c>
    </row>
    <row r="221" spans="1:51">
      <c r="A221" s="15">
        <v>45146</v>
      </c>
      <c r="B221" s="436">
        <v>9</v>
      </c>
      <c r="C221" s="436">
        <v>9</v>
      </c>
      <c r="D221" s="436">
        <v>9</v>
      </c>
      <c r="E221" s="436">
        <v>9</v>
      </c>
      <c r="F221" s="436">
        <v>9</v>
      </c>
      <c r="G221" s="436">
        <v>9</v>
      </c>
      <c r="H221" s="436">
        <v>9</v>
      </c>
      <c r="I221" s="436">
        <v>9</v>
      </c>
      <c r="J221" s="436">
        <v>9</v>
      </c>
      <c r="K221" s="436">
        <v>9</v>
      </c>
      <c r="L221" s="436">
        <v>9</v>
      </c>
      <c r="M221" s="436">
        <v>9</v>
      </c>
      <c r="N221" s="436">
        <v>9</v>
      </c>
      <c r="O221" s="436">
        <v>9</v>
      </c>
      <c r="P221" s="436">
        <v>9</v>
      </c>
      <c r="Q221" s="436">
        <v>9</v>
      </c>
      <c r="R221" s="436">
        <v>9</v>
      </c>
      <c r="S221" s="436">
        <v>7</v>
      </c>
      <c r="T221" s="436">
        <v>7</v>
      </c>
      <c r="U221" s="436">
        <v>7</v>
      </c>
      <c r="V221" s="436">
        <v>9</v>
      </c>
      <c r="W221" s="436">
        <v>9</v>
      </c>
      <c r="X221" s="436">
        <v>9</v>
      </c>
      <c r="Y221" s="436">
        <v>9</v>
      </c>
      <c r="Z221" s="11">
        <f t="shared" si="145"/>
        <v>0</v>
      </c>
      <c r="AA221" s="11">
        <f t="shared" si="146"/>
        <v>0</v>
      </c>
      <c r="AB221" s="11">
        <f t="shared" si="147"/>
        <v>0</v>
      </c>
      <c r="AC221" s="11">
        <f t="shared" si="148"/>
        <v>0</v>
      </c>
      <c r="AD221" s="11">
        <f t="shared" si="149"/>
        <v>0</v>
      </c>
      <c r="AE221" s="11">
        <f t="shared" si="150"/>
        <v>0</v>
      </c>
      <c r="AF221" s="11">
        <f t="shared" si="151"/>
        <v>0</v>
      </c>
      <c r="AG221" s="11">
        <f t="shared" si="152"/>
        <v>0</v>
      </c>
      <c r="AH221" s="11">
        <f t="shared" si="153"/>
        <v>0</v>
      </c>
      <c r="AI221" s="11">
        <f t="shared" si="154"/>
        <v>0</v>
      </c>
      <c r="AJ221" s="11">
        <f t="shared" si="155"/>
        <v>0</v>
      </c>
      <c r="AK221" s="11">
        <f t="shared" si="156"/>
        <v>0</v>
      </c>
      <c r="AL221" s="11">
        <f t="shared" si="157"/>
        <v>0</v>
      </c>
      <c r="AM221" s="11">
        <f t="shared" si="158"/>
        <v>0</v>
      </c>
      <c r="AN221" s="11">
        <f t="shared" si="159"/>
        <v>0</v>
      </c>
      <c r="AO221" s="11">
        <f t="shared" si="160"/>
        <v>0</v>
      </c>
      <c r="AP221" s="11">
        <f t="shared" si="161"/>
        <v>0</v>
      </c>
      <c r="AQ221" s="11">
        <f t="shared" si="162"/>
        <v>-2</v>
      </c>
      <c r="AR221" s="11">
        <f t="shared" si="163"/>
        <v>0</v>
      </c>
      <c r="AS221" s="11">
        <f t="shared" si="164"/>
        <v>0</v>
      </c>
      <c r="AT221" s="11">
        <f t="shared" si="165"/>
        <v>2</v>
      </c>
      <c r="AU221" s="11">
        <f t="shared" si="166"/>
        <v>0</v>
      </c>
      <c r="AV221" s="11">
        <f t="shared" si="167"/>
        <v>0</v>
      </c>
      <c r="AW221" s="11">
        <f t="shared" si="168"/>
        <v>0</v>
      </c>
      <c r="AX221" s="11">
        <f t="shared" si="169"/>
        <v>2</v>
      </c>
      <c r="AY221" s="11">
        <f t="shared" si="170"/>
        <v>2</v>
      </c>
    </row>
    <row r="222" spans="1:51">
      <c r="A222" s="15">
        <v>45147</v>
      </c>
      <c r="B222" s="436">
        <v>9</v>
      </c>
      <c r="C222" s="436">
        <v>9</v>
      </c>
      <c r="D222" s="436">
        <v>9</v>
      </c>
      <c r="E222" s="436">
        <v>9</v>
      </c>
      <c r="F222" s="436">
        <v>9</v>
      </c>
      <c r="G222" s="436">
        <v>9</v>
      </c>
      <c r="H222" s="436">
        <v>9</v>
      </c>
      <c r="I222" s="436">
        <v>9</v>
      </c>
      <c r="J222" s="436">
        <v>9</v>
      </c>
      <c r="K222" s="436">
        <v>9</v>
      </c>
      <c r="L222" s="436">
        <v>9</v>
      </c>
      <c r="M222" s="436">
        <v>9</v>
      </c>
      <c r="N222" s="436">
        <v>9</v>
      </c>
      <c r="O222" s="436">
        <v>9</v>
      </c>
      <c r="P222" s="436">
        <v>9</v>
      </c>
      <c r="Q222" s="436">
        <v>9</v>
      </c>
      <c r="R222" s="436">
        <v>9</v>
      </c>
      <c r="S222" s="436">
        <v>9</v>
      </c>
      <c r="T222" s="436">
        <v>9</v>
      </c>
      <c r="U222" s="436">
        <v>9</v>
      </c>
      <c r="V222" s="436">
        <v>9</v>
      </c>
      <c r="W222" s="436">
        <v>9</v>
      </c>
      <c r="X222" s="436">
        <v>9</v>
      </c>
      <c r="Y222" s="436">
        <v>9</v>
      </c>
      <c r="Z222" s="11">
        <f t="shared" si="145"/>
        <v>0</v>
      </c>
      <c r="AA222" s="11">
        <f t="shared" si="146"/>
        <v>0</v>
      </c>
      <c r="AB222" s="11">
        <f t="shared" si="147"/>
        <v>0</v>
      </c>
      <c r="AC222" s="11">
        <f t="shared" si="148"/>
        <v>0</v>
      </c>
      <c r="AD222" s="11">
        <f t="shared" si="149"/>
        <v>0</v>
      </c>
      <c r="AE222" s="11">
        <f t="shared" si="150"/>
        <v>0</v>
      </c>
      <c r="AF222" s="11">
        <f t="shared" si="151"/>
        <v>0</v>
      </c>
      <c r="AG222" s="11">
        <f t="shared" si="152"/>
        <v>0</v>
      </c>
      <c r="AH222" s="11">
        <f t="shared" si="153"/>
        <v>0</v>
      </c>
      <c r="AI222" s="11">
        <f t="shared" si="154"/>
        <v>0</v>
      </c>
      <c r="AJ222" s="11">
        <f t="shared" si="155"/>
        <v>0</v>
      </c>
      <c r="AK222" s="11">
        <f t="shared" si="156"/>
        <v>0</v>
      </c>
      <c r="AL222" s="11">
        <f t="shared" si="157"/>
        <v>0</v>
      </c>
      <c r="AM222" s="11">
        <f t="shared" si="158"/>
        <v>0</v>
      </c>
      <c r="AN222" s="11">
        <f t="shared" si="159"/>
        <v>0</v>
      </c>
      <c r="AO222" s="11">
        <f t="shared" si="160"/>
        <v>0</v>
      </c>
      <c r="AP222" s="11">
        <f t="shared" si="161"/>
        <v>0</v>
      </c>
      <c r="AQ222" s="11">
        <f t="shared" si="162"/>
        <v>0</v>
      </c>
      <c r="AR222" s="11">
        <f t="shared" si="163"/>
        <v>0</v>
      </c>
      <c r="AS222" s="11">
        <f t="shared" si="164"/>
        <v>0</v>
      </c>
      <c r="AT222" s="11">
        <f t="shared" si="165"/>
        <v>0</v>
      </c>
      <c r="AU222" s="11">
        <f t="shared" si="166"/>
        <v>0</v>
      </c>
      <c r="AV222" s="11">
        <f t="shared" si="167"/>
        <v>0</v>
      </c>
      <c r="AW222" s="11">
        <f t="shared" si="168"/>
        <v>0</v>
      </c>
      <c r="AX222" s="11">
        <f t="shared" si="169"/>
        <v>0</v>
      </c>
      <c r="AY222" s="11">
        <f t="shared" si="170"/>
        <v>0</v>
      </c>
    </row>
    <row r="223" spans="1:51">
      <c r="A223" s="15">
        <v>45148</v>
      </c>
      <c r="B223" s="436">
        <v>8</v>
      </c>
      <c r="C223" s="436">
        <v>8</v>
      </c>
      <c r="D223" s="436">
        <v>8</v>
      </c>
      <c r="E223" s="436">
        <v>8</v>
      </c>
      <c r="F223" s="436">
        <v>8</v>
      </c>
      <c r="G223" s="436">
        <v>8</v>
      </c>
      <c r="H223" s="436">
        <v>8</v>
      </c>
      <c r="I223" s="436">
        <v>8</v>
      </c>
      <c r="J223" s="436">
        <v>8</v>
      </c>
      <c r="K223" s="436">
        <v>8</v>
      </c>
      <c r="L223" s="436">
        <v>8</v>
      </c>
      <c r="M223" s="436">
        <v>8</v>
      </c>
      <c r="N223" s="436">
        <v>8</v>
      </c>
      <c r="O223" s="436">
        <v>8</v>
      </c>
      <c r="P223" s="436">
        <v>8</v>
      </c>
      <c r="Q223" s="436">
        <v>8</v>
      </c>
      <c r="R223" s="436">
        <v>8</v>
      </c>
      <c r="S223" s="436">
        <v>8</v>
      </c>
      <c r="T223" s="436">
        <v>8</v>
      </c>
      <c r="U223" s="436">
        <v>8</v>
      </c>
      <c r="V223" s="436">
        <v>8</v>
      </c>
      <c r="W223" s="436">
        <v>8</v>
      </c>
      <c r="X223" s="436">
        <v>8</v>
      </c>
      <c r="Y223" s="436">
        <v>8</v>
      </c>
      <c r="Z223" s="11">
        <f t="shared" si="145"/>
        <v>-1</v>
      </c>
      <c r="AA223" s="11">
        <f t="shared" si="146"/>
        <v>0</v>
      </c>
      <c r="AB223" s="11">
        <f t="shared" si="147"/>
        <v>0</v>
      </c>
      <c r="AC223" s="11">
        <f t="shared" si="148"/>
        <v>0</v>
      </c>
      <c r="AD223" s="11">
        <f t="shared" si="149"/>
        <v>0</v>
      </c>
      <c r="AE223" s="11">
        <f t="shared" si="150"/>
        <v>0</v>
      </c>
      <c r="AF223" s="11">
        <f t="shared" si="151"/>
        <v>0</v>
      </c>
      <c r="AG223" s="11">
        <f t="shared" si="152"/>
        <v>0</v>
      </c>
      <c r="AH223" s="11">
        <f t="shared" si="153"/>
        <v>0</v>
      </c>
      <c r="AI223" s="11">
        <f t="shared" si="154"/>
        <v>0</v>
      </c>
      <c r="AJ223" s="11">
        <f t="shared" si="155"/>
        <v>0</v>
      </c>
      <c r="AK223" s="11">
        <f t="shared" si="156"/>
        <v>0</v>
      </c>
      <c r="AL223" s="11">
        <f t="shared" si="157"/>
        <v>0</v>
      </c>
      <c r="AM223" s="11">
        <f t="shared" si="158"/>
        <v>0</v>
      </c>
      <c r="AN223" s="11">
        <f t="shared" si="159"/>
        <v>0</v>
      </c>
      <c r="AO223" s="11">
        <f t="shared" si="160"/>
        <v>0</v>
      </c>
      <c r="AP223" s="11">
        <f t="shared" si="161"/>
        <v>0</v>
      </c>
      <c r="AQ223" s="11">
        <f t="shared" si="162"/>
        <v>0</v>
      </c>
      <c r="AR223" s="11">
        <f t="shared" si="163"/>
        <v>0</v>
      </c>
      <c r="AS223" s="11">
        <f t="shared" si="164"/>
        <v>0</v>
      </c>
      <c r="AT223" s="11">
        <f t="shared" si="165"/>
        <v>0</v>
      </c>
      <c r="AU223" s="11">
        <f t="shared" si="166"/>
        <v>0</v>
      </c>
      <c r="AV223" s="11">
        <f t="shared" si="167"/>
        <v>0</v>
      </c>
      <c r="AW223" s="11">
        <f t="shared" si="168"/>
        <v>0</v>
      </c>
      <c r="AX223" s="11">
        <f t="shared" si="169"/>
        <v>0</v>
      </c>
      <c r="AY223" s="11">
        <f t="shared" si="170"/>
        <v>1</v>
      </c>
    </row>
    <row r="224" spans="1:51">
      <c r="A224" s="15">
        <v>45149</v>
      </c>
      <c r="B224" s="436">
        <v>8</v>
      </c>
      <c r="C224" s="436">
        <v>8</v>
      </c>
      <c r="D224" s="436">
        <v>8</v>
      </c>
      <c r="E224" s="436">
        <v>8</v>
      </c>
      <c r="F224" s="436">
        <v>8</v>
      </c>
      <c r="G224" s="436">
        <v>8</v>
      </c>
      <c r="H224" s="436">
        <v>8</v>
      </c>
      <c r="I224" s="436">
        <v>8</v>
      </c>
      <c r="J224" s="436">
        <v>8</v>
      </c>
      <c r="K224" s="436">
        <v>8</v>
      </c>
      <c r="L224" s="436">
        <v>8</v>
      </c>
      <c r="M224" s="436">
        <v>8</v>
      </c>
      <c r="N224" s="436">
        <v>8</v>
      </c>
      <c r="O224" s="436">
        <v>8</v>
      </c>
      <c r="P224" s="436">
        <v>8</v>
      </c>
      <c r="Q224" s="436">
        <v>8</v>
      </c>
      <c r="R224" s="436">
        <v>8</v>
      </c>
      <c r="S224" s="436">
        <v>6</v>
      </c>
      <c r="T224" s="436">
        <v>6</v>
      </c>
      <c r="U224" s="436">
        <v>6</v>
      </c>
      <c r="V224" s="436">
        <v>8</v>
      </c>
      <c r="W224" s="436">
        <v>8</v>
      </c>
      <c r="X224" s="436">
        <v>8</v>
      </c>
      <c r="Y224" s="436">
        <v>8</v>
      </c>
      <c r="Z224" s="11">
        <f t="shared" si="145"/>
        <v>0</v>
      </c>
      <c r="AA224" s="11">
        <f t="shared" si="146"/>
        <v>0</v>
      </c>
      <c r="AB224" s="11">
        <f t="shared" si="147"/>
        <v>0</v>
      </c>
      <c r="AC224" s="11">
        <f t="shared" si="148"/>
        <v>0</v>
      </c>
      <c r="AD224" s="11">
        <f t="shared" si="149"/>
        <v>0</v>
      </c>
      <c r="AE224" s="11">
        <f t="shared" si="150"/>
        <v>0</v>
      </c>
      <c r="AF224" s="11">
        <f t="shared" si="151"/>
        <v>0</v>
      </c>
      <c r="AG224" s="11">
        <f t="shared" si="152"/>
        <v>0</v>
      </c>
      <c r="AH224" s="11">
        <f t="shared" si="153"/>
        <v>0</v>
      </c>
      <c r="AI224" s="11">
        <f t="shared" si="154"/>
        <v>0</v>
      </c>
      <c r="AJ224" s="11">
        <f t="shared" si="155"/>
        <v>0</v>
      </c>
      <c r="AK224" s="11">
        <f t="shared" si="156"/>
        <v>0</v>
      </c>
      <c r="AL224" s="11">
        <f t="shared" si="157"/>
        <v>0</v>
      </c>
      <c r="AM224" s="11">
        <f t="shared" si="158"/>
        <v>0</v>
      </c>
      <c r="AN224" s="11">
        <f t="shared" si="159"/>
        <v>0</v>
      </c>
      <c r="AO224" s="11">
        <f t="shared" si="160"/>
        <v>0</v>
      </c>
      <c r="AP224" s="11">
        <f t="shared" si="161"/>
        <v>0</v>
      </c>
      <c r="AQ224" s="11">
        <f t="shared" si="162"/>
        <v>-2</v>
      </c>
      <c r="AR224" s="11">
        <f t="shared" si="163"/>
        <v>0</v>
      </c>
      <c r="AS224" s="11">
        <f t="shared" si="164"/>
        <v>0</v>
      </c>
      <c r="AT224" s="11">
        <f t="shared" si="165"/>
        <v>2</v>
      </c>
      <c r="AU224" s="11">
        <f t="shared" si="166"/>
        <v>0</v>
      </c>
      <c r="AV224" s="11">
        <f t="shared" si="167"/>
        <v>0</v>
      </c>
      <c r="AW224" s="11">
        <f t="shared" si="168"/>
        <v>0</v>
      </c>
      <c r="AX224" s="11">
        <f t="shared" si="169"/>
        <v>2</v>
      </c>
      <c r="AY224" s="11">
        <f t="shared" si="170"/>
        <v>2</v>
      </c>
    </row>
    <row r="225" spans="1:51">
      <c r="A225" s="15">
        <v>45150</v>
      </c>
      <c r="B225" s="436">
        <v>7</v>
      </c>
      <c r="C225" s="436">
        <v>7</v>
      </c>
      <c r="D225" s="436">
        <v>7</v>
      </c>
      <c r="E225" s="436">
        <v>7</v>
      </c>
      <c r="F225" s="436">
        <v>7</v>
      </c>
      <c r="G225" s="436">
        <v>7</v>
      </c>
      <c r="H225" s="436">
        <v>7</v>
      </c>
      <c r="I225" s="436">
        <v>7</v>
      </c>
      <c r="J225" s="436">
        <v>7</v>
      </c>
      <c r="K225" s="436">
        <v>7</v>
      </c>
      <c r="L225" s="436">
        <v>7</v>
      </c>
      <c r="M225" s="436">
        <v>7</v>
      </c>
      <c r="N225" s="436">
        <v>7</v>
      </c>
      <c r="O225" s="436">
        <v>8</v>
      </c>
      <c r="P225" s="436">
        <v>8</v>
      </c>
      <c r="Q225" s="436">
        <v>8</v>
      </c>
      <c r="R225" s="436">
        <v>8</v>
      </c>
      <c r="S225" s="436">
        <v>7</v>
      </c>
      <c r="T225" s="436">
        <v>7</v>
      </c>
      <c r="U225" s="436">
        <v>7</v>
      </c>
      <c r="V225" s="436">
        <v>7</v>
      </c>
      <c r="W225" s="436">
        <v>7</v>
      </c>
      <c r="X225" s="436">
        <v>7</v>
      </c>
      <c r="Y225" s="436">
        <v>7</v>
      </c>
      <c r="Z225" s="11">
        <f t="shared" si="145"/>
        <v>-1</v>
      </c>
      <c r="AA225" s="11">
        <f t="shared" si="146"/>
        <v>0</v>
      </c>
      <c r="AB225" s="11">
        <f t="shared" si="147"/>
        <v>0</v>
      </c>
      <c r="AC225" s="11">
        <f t="shared" si="148"/>
        <v>0</v>
      </c>
      <c r="AD225" s="11">
        <f t="shared" si="149"/>
        <v>0</v>
      </c>
      <c r="AE225" s="11">
        <f t="shared" si="150"/>
        <v>0</v>
      </c>
      <c r="AF225" s="11">
        <f t="shared" si="151"/>
        <v>0</v>
      </c>
      <c r="AG225" s="11">
        <f t="shared" si="152"/>
        <v>0</v>
      </c>
      <c r="AH225" s="11">
        <f t="shared" si="153"/>
        <v>0</v>
      </c>
      <c r="AI225" s="11">
        <f t="shared" si="154"/>
        <v>0</v>
      </c>
      <c r="AJ225" s="11">
        <f t="shared" si="155"/>
        <v>0</v>
      </c>
      <c r="AK225" s="11">
        <f t="shared" si="156"/>
        <v>0</v>
      </c>
      <c r="AL225" s="11">
        <f t="shared" si="157"/>
        <v>0</v>
      </c>
      <c r="AM225" s="11">
        <f t="shared" si="158"/>
        <v>1</v>
      </c>
      <c r="AN225" s="11">
        <f t="shared" si="159"/>
        <v>0</v>
      </c>
      <c r="AO225" s="11">
        <f t="shared" si="160"/>
        <v>0</v>
      </c>
      <c r="AP225" s="11">
        <f t="shared" si="161"/>
        <v>0</v>
      </c>
      <c r="AQ225" s="11">
        <f t="shared" si="162"/>
        <v>-1</v>
      </c>
      <c r="AR225" s="11">
        <f t="shared" si="163"/>
        <v>0</v>
      </c>
      <c r="AS225" s="11">
        <f t="shared" si="164"/>
        <v>0</v>
      </c>
      <c r="AT225" s="11">
        <f t="shared" si="165"/>
        <v>0</v>
      </c>
      <c r="AU225" s="11">
        <f t="shared" si="166"/>
        <v>0</v>
      </c>
      <c r="AV225" s="11">
        <f t="shared" si="167"/>
        <v>0</v>
      </c>
      <c r="AW225" s="11">
        <f t="shared" si="168"/>
        <v>0</v>
      </c>
      <c r="AX225" s="11">
        <f t="shared" si="169"/>
        <v>1</v>
      </c>
      <c r="AY225" s="11">
        <f t="shared" si="170"/>
        <v>2</v>
      </c>
    </row>
    <row r="226" spans="1:51">
      <c r="A226" s="15">
        <v>45151</v>
      </c>
      <c r="B226" s="436">
        <v>7</v>
      </c>
      <c r="C226" s="436">
        <v>7</v>
      </c>
      <c r="D226" s="436">
        <v>7</v>
      </c>
      <c r="E226" s="436">
        <v>7</v>
      </c>
      <c r="F226" s="436">
        <v>7</v>
      </c>
      <c r="G226" s="436">
        <v>7</v>
      </c>
      <c r="H226" s="436">
        <v>7</v>
      </c>
      <c r="I226" s="436">
        <v>7</v>
      </c>
      <c r="J226" s="436">
        <v>7</v>
      </c>
      <c r="K226" s="436">
        <v>7</v>
      </c>
      <c r="L226" s="436">
        <v>7</v>
      </c>
      <c r="M226" s="436">
        <v>7</v>
      </c>
      <c r="N226" s="436">
        <v>7</v>
      </c>
      <c r="O226" s="436">
        <v>7</v>
      </c>
      <c r="P226" s="436">
        <v>7</v>
      </c>
      <c r="Q226" s="436">
        <v>7</v>
      </c>
      <c r="R226" s="436">
        <v>7</v>
      </c>
      <c r="S226" s="436">
        <v>7</v>
      </c>
      <c r="T226" s="436">
        <v>7</v>
      </c>
      <c r="U226" s="436">
        <v>7</v>
      </c>
      <c r="V226" s="436">
        <v>7</v>
      </c>
      <c r="W226" s="436">
        <v>7</v>
      </c>
      <c r="X226" s="436">
        <v>7</v>
      </c>
      <c r="Y226" s="436">
        <v>7</v>
      </c>
      <c r="Z226" s="11">
        <f t="shared" si="145"/>
        <v>0</v>
      </c>
      <c r="AA226" s="11">
        <f t="shared" si="146"/>
        <v>0</v>
      </c>
      <c r="AB226" s="11">
        <f t="shared" si="147"/>
        <v>0</v>
      </c>
      <c r="AC226" s="11">
        <f t="shared" si="148"/>
        <v>0</v>
      </c>
      <c r="AD226" s="11">
        <f t="shared" si="149"/>
        <v>0</v>
      </c>
      <c r="AE226" s="11">
        <f t="shared" si="150"/>
        <v>0</v>
      </c>
      <c r="AF226" s="11">
        <f t="shared" si="151"/>
        <v>0</v>
      </c>
      <c r="AG226" s="11">
        <f t="shared" si="152"/>
        <v>0</v>
      </c>
      <c r="AH226" s="11">
        <f t="shared" si="153"/>
        <v>0</v>
      </c>
      <c r="AI226" s="11">
        <f t="shared" si="154"/>
        <v>0</v>
      </c>
      <c r="AJ226" s="11">
        <f t="shared" si="155"/>
        <v>0</v>
      </c>
      <c r="AK226" s="11">
        <f t="shared" si="156"/>
        <v>0</v>
      </c>
      <c r="AL226" s="11">
        <f t="shared" si="157"/>
        <v>0</v>
      </c>
      <c r="AM226" s="11">
        <f t="shared" si="158"/>
        <v>0</v>
      </c>
      <c r="AN226" s="11">
        <f t="shared" si="159"/>
        <v>0</v>
      </c>
      <c r="AO226" s="11">
        <f t="shared" si="160"/>
        <v>0</v>
      </c>
      <c r="AP226" s="11">
        <f t="shared" si="161"/>
        <v>0</v>
      </c>
      <c r="AQ226" s="11">
        <f t="shared" si="162"/>
        <v>0</v>
      </c>
      <c r="AR226" s="11">
        <f t="shared" si="163"/>
        <v>0</v>
      </c>
      <c r="AS226" s="11">
        <f t="shared" si="164"/>
        <v>0</v>
      </c>
      <c r="AT226" s="11">
        <f t="shared" si="165"/>
        <v>0</v>
      </c>
      <c r="AU226" s="11">
        <f t="shared" si="166"/>
        <v>0</v>
      </c>
      <c r="AV226" s="11">
        <f t="shared" si="167"/>
        <v>0</v>
      </c>
      <c r="AW226" s="11">
        <f t="shared" si="168"/>
        <v>0</v>
      </c>
      <c r="AX226" s="11">
        <f t="shared" si="169"/>
        <v>0</v>
      </c>
      <c r="AY226" s="11">
        <f t="shared" si="170"/>
        <v>0</v>
      </c>
    </row>
    <row r="227" spans="1:51">
      <c r="A227" s="15">
        <v>45152</v>
      </c>
      <c r="B227" s="436">
        <v>8</v>
      </c>
      <c r="C227" s="436">
        <v>9</v>
      </c>
      <c r="D227" s="436">
        <v>9</v>
      </c>
      <c r="E227" s="436">
        <v>9</v>
      </c>
      <c r="F227" s="436">
        <v>9</v>
      </c>
      <c r="G227" s="436">
        <v>9</v>
      </c>
      <c r="H227" s="436">
        <v>9</v>
      </c>
      <c r="I227" s="436">
        <v>9</v>
      </c>
      <c r="J227" s="436">
        <v>9</v>
      </c>
      <c r="K227" s="436">
        <v>9</v>
      </c>
      <c r="L227" s="436">
        <v>9</v>
      </c>
      <c r="M227" s="436">
        <v>9</v>
      </c>
      <c r="N227" s="436">
        <v>9</v>
      </c>
      <c r="O227" s="436">
        <v>9</v>
      </c>
      <c r="P227" s="436">
        <v>9</v>
      </c>
      <c r="Q227" s="436">
        <v>9</v>
      </c>
      <c r="R227" s="436">
        <v>9</v>
      </c>
      <c r="S227" s="436">
        <v>9</v>
      </c>
      <c r="T227" s="436">
        <v>9</v>
      </c>
      <c r="U227" s="436">
        <v>9</v>
      </c>
      <c r="V227" s="436">
        <v>9</v>
      </c>
      <c r="W227" s="436">
        <v>9</v>
      </c>
      <c r="X227" s="436">
        <v>9</v>
      </c>
      <c r="Y227" s="436">
        <v>9</v>
      </c>
      <c r="Z227" s="11">
        <f t="shared" si="145"/>
        <v>1</v>
      </c>
      <c r="AA227" s="11">
        <f t="shared" si="146"/>
        <v>1</v>
      </c>
      <c r="AB227" s="11">
        <f t="shared" si="147"/>
        <v>0</v>
      </c>
      <c r="AC227" s="11">
        <f t="shared" si="148"/>
        <v>0</v>
      </c>
      <c r="AD227" s="11">
        <f t="shared" si="149"/>
        <v>0</v>
      </c>
      <c r="AE227" s="11">
        <f t="shared" si="150"/>
        <v>0</v>
      </c>
      <c r="AF227" s="11">
        <f t="shared" si="151"/>
        <v>0</v>
      </c>
      <c r="AG227" s="11">
        <f t="shared" si="152"/>
        <v>0</v>
      </c>
      <c r="AH227" s="11">
        <f t="shared" si="153"/>
        <v>0</v>
      </c>
      <c r="AI227" s="11">
        <f t="shared" si="154"/>
        <v>0</v>
      </c>
      <c r="AJ227" s="11">
        <f t="shared" si="155"/>
        <v>0</v>
      </c>
      <c r="AK227" s="11">
        <f t="shared" si="156"/>
        <v>0</v>
      </c>
      <c r="AL227" s="11">
        <f t="shared" si="157"/>
        <v>0</v>
      </c>
      <c r="AM227" s="11">
        <f t="shared" si="158"/>
        <v>0</v>
      </c>
      <c r="AN227" s="11">
        <f t="shared" si="159"/>
        <v>0</v>
      </c>
      <c r="AO227" s="11">
        <f t="shared" si="160"/>
        <v>0</v>
      </c>
      <c r="AP227" s="11">
        <f t="shared" si="161"/>
        <v>0</v>
      </c>
      <c r="AQ227" s="11">
        <f t="shared" si="162"/>
        <v>0</v>
      </c>
      <c r="AR227" s="11">
        <f t="shared" si="163"/>
        <v>0</v>
      </c>
      <c r="AS227" s="11">
        <f t="shared" si="164"/>
        <v>0</v>
      </c>
      <c r="AT227" s="11">
        <f t="shared" si="165"/>
        <v>0</v>
      </c>
      <c r="AU227" s="11">
        <f t="shared" si="166"/>
        <v>0</v>
      </c>
      <c r="AV227" s="11">
        <f t="shared" si="167"/>
        <v>0</v>
      </c>
      <c r="AW227" s="11">
        <f t="shared" si="168"/>
        <v>0</v>
      </c>
      <c r="AX227" s="11">
        <f t="shared" si="169"/>
        <v>2</v>
      </c>
      <c r="AY227" s="11">
        <f t="shared" si="170"/>
        <v>0</v>
      </c>
    </row>
    <row r="228" spans="1:51">
      <c r="A228" s="15">
        <v>45153</v>
      </c>
      <c r="B228" s="436">
        <v>9</v>
      </c>
      <c r="C228" s="436">
        <v>9</v>
      </c>
      <c r="D228" s="436">
        <v>9</v>
      </c>
      <c r="E228" s="436">
        <v>9</v>
      </c>
      <c r="F228" s="436">
        <v>9</v>
      </c>
      <c r="G228" s="436">
        <v>9</v>
      </c>
      <c r="H228" s="436">
        <v>9</v>
      </c>
      <c r="I228" s="436">
        <v>9</v>
      </c>
      <c r="J228" s="436">
        <v>9</v>
      </c>
      <c r="K228" s="436">
        <v>8</v>
      </c>
      <c r="L228" s="436">
        <v>8</v>
      </c>
      <c r="M228" s="436">
        <v>9</v>
      </c>
      <c r="N228" s="436">
        <v>9</v>
      </c>
      <c r="O228" s="436">
        <v>9</v>
      </c>
      <c r="P228" s="436">
        <v>9</v>
      </c>
      <c r="Q228" s="436">
        <v>9</v>
      </c>
      <c r="R228" s="436">
        <v>9</v>
      </c>
      <c r="S228" s="436">
        <v>9</v>
      </c>
      <c r="T228" s="436">
        <v>9</v>
      </c>
      <c r="U228" s="436">
        <v>9</v>
      </c>
      <c r="V228" s="436">
        <v>9</v>
      </c>
      <c r="W228" s="436">
        <v>9</v>
      </c>
      <c r="X228" s="436">
        <v>9</v>
      </c>
      <c r="Y228" s="436">
        <v>9</v>
      </c>
      <c r="Z228" s="11">
        <f t="shared" si="145"/>
        <v>0</v>
      </c>
      <c r="AA228" s="11">
        <f t="shared" si="146"/>
        <v>0</v>
      </c>
      <c r="AB228" s="11">
        <f t="shared" si="147"/>
        <v>0</v>
      </c>
      <c r="AC228" s="11">
        <f t="shared" si="148"/>
        <v>0</v>
      </c>
      <c r="AD228" s="11">
        <f t="shared" si="149"/>
        <v>0</v>
      </c>
      <c r="AE228" s="11">
        <f t="shared" si="150"/>
        <v>0</v>
      </c>
      <c r="AF228" s="11">
        <f t="shared" si="151"/>
        <v>0</v>
      </c>
      <c r="AG228" s="11">
        <f t="shared" si="152"/>
        <v>0</v>
      </c>
      <c r="AH228" s="11">
        <f t="shared" si="153"/>
        <v>0</v>
      </c>
      <c r="AI228" s="11">
        <f t="shared" si="154"/>
        <v>-1</v>
      </c>
      <c r="AJ228" s="11">
        <f t="shared" si="155"/>
        <v>0</v>
      </c>
      <c r="AK228" s="11">
        <f t="shared" si="156"/>
        <v>1</v>
      </c>
      <c r="AL228" s="11">
        <f t="shared" si="157"/>
        <v>0</v>
      </c>
      <c r="AM228" s="11">
        <f t="shared" si="158"/>
        <v>0</v>
      </c>
      <c r="AN228" s="11">
        <f t="shared" si="159"/>
        <v>0</v>
      </c>
      <c r="AO228" s="11">
        <f t="shared" si="160"/>
        <v>0</v>
      </c>
      <c r="AP228" s="11">
        <f t="shared" si="161"/>
        <v>0</v>
      </c>
      <c r="AQ228" s="11">
        <f t="shared" si="162"/>
        <v>0</v>
      </c>
      <c r="AR228" s="11">
        <f t="shared" si="163"/>
        <v>0</v>
      </c>
      <c r="AS228" s="11">
        <f t="shared" si="164"/>
        <v>0</v>
      </c>
      <c r="AT228" s="11">
        <f t="shared" si="165"/>
        <v>0</v>
      </c>
      <c r="AU228" s="11">
        <f t="shared" si="166"/>
        <v>0</v>
      </c>
      <c r="AV228" s="11">
        <f t="shared" si="167"/>
        <v>0</v>
      </c>
      <c r="AW228" s="11">
        <f t="shared" si="168"/>
        <v>0</v>
      </c>
      <c r="AX228" s="11">
        <f t="shared" si="169"/>
        <v>1</v>
      </c>
      <c r="AY228" s="11">
        <f t="shared" si="170"/>
        <v>1</v>
      </c>
    </row>
    <row r="229" spans="1:51">
      <c r="A229" s="15">
        <v>45154</v>
      </c>
      <c r="B229" s="436">
        <v>8</v>
      </c>
      <c r="C229" s="436">
        <v>8</v>
      </c>
      <c r="D229" s="436">
        <v>8</v>
      </c>
      <c r="E229" s="436">
        <v>8</v>
      </c>
      <c r="F229" s="436">
        <v>8</v>
      </c>
      <c r="G229" s="436">
        <v>8</v>
      </c>
      <c r="H229" s="436">
        <v>8</v>
      </c>
      <c r="I229" s="436">
        <v>8</v>
      </c>
      <c r="J229" s="436">
        <v>8</v>
      </c>
      <c r="K229" s="436">
        <v>8</v>
      </c>
      <c r="L229" s="436">
        <v>8</v>
      </c>
      <c r="M229" s="436">
        <v>8</v>
      </c>
      <c r="N229" s="436">
        <v>8</v>
      </c>
      <c r="O229" s="436">
        <v>8</v>
      </c>
      <c r="P229" s="436">
        <v>8</v>
      </c>
      <c r="Q229" s="436">
        <v>8</v>
      </c>
      <c r="R229" s="436">
        <v>8</v>
      </c>
      <c r="S229" s="436">
        <v>8</v>
      </c>
      <c r="T229" s="436">
        <v>8</v>
      </c>
      <c r="U229" s="436">
        <v>8</v>
      </c>
      <c r="V229" s="436">
        <v>8</v>
      </c>
      <c r="W229" s="436">
        <v>8</v>
      </c>
      <c r="X229" s="436">
        <v>8</v>
      </c>
      <c r="Y229" s="436">
        <v>8</v>
      </c>
      <c r="Z229" s="11">
        <f t="shared" si="145"/>
        <v>-1</v>
      </c>
      <c r="AA229" s="11">
        <f t="shared" si="146"/>
        <v>0</v>
      </c>
      <c r="AB229" s="11">
        <f t="shared" si="147"/>
        <v>0</v>
      </c>
      <c r="AC229" s="11">
        <f t="shared" si="148"/>
        <v>0</v>
      </c>
      <c r="AD229" s="11">
        <f t="shared" si="149"/>
        <v>0</v>
      </c>
      <c r="AE229" s="11">
        <f t="shared" si="150"/>
        <v>0</v>
      </c>
      <c r="AF229" s="11">
        <f t="shared" si="151"/>
        <v>0</v>
      </c>
      <c r="AG229" s="11">
        <f t="shared" si="152"/>
        <v>0</v>
      </c>
      <c r="AH229" s="11">
        <f t="shared" si="153"/>
        <v>0</v>
      </c>
      <c r="AI229" s="11">
        <f t="shared" si="154"/>
        <v>0</v>
      </c>
      <c r="AJ229" s="11">
        <f t="shared" si="155"/>
        <v>0</v>
      </c>
      <c r="AK229" s="11">
        <f t="shared" si="156"/>
        <v>0</v>
      </c>
      <c r="AL229" s="11">
        <f t="shared" si="157"/>
        <v>0</v>
      </c>
      <c r="AM229" s="11">
        <f t="shared" si="158"/>
        <v>0</v>
      </c>
      <c r="AN229" s="11">
        <f t="shared" si="159"/>
        <v>0</v>
      </c>
      <c r="AO229" s="11">
        <f t="shared" si="160"/>
        <v>0</v>
      </c>
      <c r="AP229" s="11">
        <f t="shared" si="161"/>
        <v>0</v>
      </c>
      <c r="AQ229" s="11">
        <f t="shared" si="162"/>
        <v>0</v>
      </c>
      <c r="AR229" s="11">
        <f t="shared" si="163"/>
        <v>0</v>
      </c>
      <c r="AS229" s="11">
        <f t="shared" si="164"/>
        <v>0</v>
      </c>
      <c r="AT229" s="11">
        <f t="shared" si="165"/>
        <v>0</v>
      </c>
      <c r="AU229" s="11">
        <f t="shared" si="166"/>
        <v>0</v>
      </c>
      <c r="AV229" s="11">
        <f t="shared" si="167"/>
        <v>0</v>
      </c>
      <c r="AW229" s="11">
        <f t="shared" si="168"/>
        <v>0</v>
      </c>
      <c r="AX229" s="11">
        <f t="shared" si="169"/>
        <v>0</v>
      </c>
      <c r="AY229" s="11">
        <f t="shared" si="170"/>
        <v>1</v>
      </c>
    </row>
    <row r="230" spans="1:51">
      <c r="A230" s="15">
        <v>45155</v>
      </c>
      <c r="B230" s="436">
        <v>8</v>
      </c>
      <c r="C230" s="436">
        <v>8</v>
      </c>
      <c r="D230" s="436">
        <v>8</v>
      </c>
      <c r="E230" s="436">
        <v>8</v>
      </c>
      <c r="F230" s="436">
        <v>8</v>
      </c>
      <c r="G230" s="436">
        <v>8</v>
      </c>
      <c r="H230" s="436">
        <v>8</v>
      </c>
      <c r="I230" s="436">
        <v>8</v>
      </c>
      <c r="J230" s="436">
        <v>8</v>
      </c>
      <c r="K230" s="436">
        <v>8</v>
      </c>
      <c r="L230" s="436">
        <v>8</v>
      </c>
      <c r="M230" s="436">
        <v>8</v>
      </c>
      <c r="N230" s="436">
        <v>8</v>
      </c>
      <c r="O230" s="436">
        <v>8</v>
      </c>
      <c r="P230" s="436">
        <v>8</v>
      </c>
      <c r="Q230" s="436">
        <v>8</v>
      </c>
      <c r="R230" s="436">
        <v>8</v>
      </c>
      <c r="S230" s="436">
        <v>8</v>
      </c>
      <c r="T230" s="436">
        <v>6</v>
      </c>
      <c r="U230" s="436">
        <v>6</v>
      </c>
      <c r="V230" s="436">
        <v>8</v>
      </c>
      <c r="W230" s="436">
        <v>8</v>
      </c>
      <c r="X230" s="436">
        <v>8</v>
      </c>
      <c r="Y230" s="436">
        <v>8</v>
      </c>
      <c r="Z230" s="11">
        <f t="shared" si="145"/>
        <v>0</v>
      </c>
      <c r="AA230" s="11">
        <f t="shared" si="146"/>
        <v>0</v>
      </c>
      <c r="AB230" s="11">
        <f t="shared" si="147"/>
        <v>0</v>
      </c>
      <c r="AC230" s="11">
        <f t="shared" si="148"/>
        <v>0</v>
      </c>
      <c r="AD230" s="11">
        <f t="shared" si="149"/>
        <v>0</v>
      </c>
      <c r="AE230" s="11">
        <f t="shared" si="150"/>
        <v>0</v>
      </c>
      <c r="AF230" s="11">
        <f t="shared" si="151"/>
        <v>0</v>
      </c>
      <c r="AG230" s="11">
        <f t="shared" si="152"/>
        <v>0</v>
      </c>
      <c r="AH230" s="11">
        <f t="shared" si="153"/>
        <v>0</v>
      </c>
      <c r="AI230" s="11">
        <f t="shared" si="154"/>
        <v>0</v>
      </c>
      <c r="AJ230" s="11">
        <f t="shared" si="155"/>
        <v>0</v>
      </c>
      <c r="AK230" s="11">
        <f t="shared" si="156"/>
        <v>0</v>
      </c>
      <c r="AL230" s="11">
        <f t="shared" si="157"/>
        <v>0</v>
      </c>
      <c r="AM230" s="11">
        <f t="shared" si="158"/>
        <v>0</v>
      </c>
      <c r="AN230" s="11">
        <f t="shared" si="159"/>
        <v>0</v>
      </c>
      <c r="AO230" s="11">
        <f t="shared" si="160"/>
        <v>0</v>
      </c>
      <c r="AP230" s="11">
        <f t="shared" si="161"/>
        <v>0</v>
      </c>
      <c r="AQ230" s="11">
        <f t="shared" si="162"/>
        <v>0</v>
      </c>
      <c r="AR230" s="11">
        <f t="shared" si="163"/>
        <v>-2</v>
      </c>
      <c r="AS230" s="11">
        <f t="shared" si="164"/>
        <v>0</v>
      </c>
      <c r="AT230" s="11">
        <f t="shared" si="165"/>
        <v>2</v>
      </c>
      <c r="AU230" s="11">
        <f t="shared" si="166"/>
        <v>0</v>
      </c>
      <c r="AV230" s="11">
        <f t="shared" si="167"/>
        <v>0</v>
      </c>
      <c r="AW230" s="11">
        <f t="shared" si="168"/>
        <v>0</v>
      </c>
      <c r="AX230" s="11">
        <f t="shared" si="169"/>
        <v>2</v>
      </c>
      <c r="AY230" s="11">
        <f t="shared" si="170"/>
        <v>2</v>
      </c>
    </row>
    <row r="231" spans="1:51">
      <c r="A231" s="15">
        <v>45156</v>
      </c>
      <c r="B231" s="436">
        <v>7</v>
      </c>
      <c r="C231" s="436">
        <v>7</v>
      </c>
      <c r="D231" s="436">
        <v>8</v>
      </c>
      <c r="E231" s="436">
        <v>8</v>
      </c>
      <c r="F231" s="436">
        <v>8</v>
      </c>
      <c r="G231" s="436">
        <v>8</v>
      </c>
      <c r="H231" s="436">
        <v>8</v>
      </c>
      <c r="I231" s="436">
        <v>8</v>
      </c>
      <c r="J231" s="436">
        <v>8</v>
      </c>
      <c r="K231" s="436">
        <v>8</v>
      </c>
      <c r="L231" s="436">
        <v>8</v>
      </c>
      <c r="M231" s="436">
        <v>8</v>
      </c>
      <c r="N231" s="436">
        <v>8</v>
      </c>
      <c r="O231" s="436">
        <v>8</v>
      </c>
      <c r="P231" s="436">
        <v>7</v>
      </c>
      <c r="Q231" s="436">
        <v>8</v>
      </c>
      <c r="R231" s="436">
        <v>8</v>
      </c>
      <c r="S231" s="436">
        <v>8</v>
      </c>
      <c r="T231" s="436">
        <v>8</v>
      </c>
      <c r="U231" s="436">
        <v>8</v>
      </c>
      <c r="V231" s="436">
        <v>8</v>
      </c>
      <c r="W231" s="436">
        <v>8</v>
      </c>
      <c r="X231" s="436">
        <v>8</v>
      </c>
      <c r="Y231" s="436">
        <v>8</v>
      </c>
      <c r="Z231" s="11">
        <f t="shared" si="145"/>
        <v>-1</v>
      </c>
      <c r="AA231" s="11">
        <f t="shared" si="146"/>
        <v>0</v>
      </c>
      <c r="AB231" s="11">
        <f t="shared" si="147"/>
        <v>1</v>
      </c>
      <c r="AC231" s="11">
        <f t="shared" si="148"/>
        <v>0</v>
      </c>
      <c r="AD231" s="11">
        <f t="shared" si="149"/>
        <v>0</v>
      </c>
      <c r="AE231" s="11">
        <f t="shared" si="150"/>
        <v>0</v>
      </c>
      <c r="AF231" s="11">
        <f t="shared" si="151"/>
        <v>0</v>
      </c>
      <c r="AG231" s="11">
        <f t="shared" si="152"/>
        <v>0</v>
      </c>
      <c r="AH231" s="11">
        <f t="shared" si="153"/>
        <v>0</v>
      </c>
      <c r="AI231" s="11">
        <f t="shared" si="154"/>
        <v>0</v>
      </c>
      <c r="AJ231" s="11">
        <f t="shared" si="155"/>
        <v>0</v>
      </c>
      <c r="AK231" s="11">
        <f t="shared" si="156"/>
        <v>0</v>
      </c>
      <c r="AL231" s="11">
        <f t="shared" si="157"/>
        <v>0</v>
      </c>
      <c r="AM231" s="11">
        <f t="shared" si="158"/>
        <v>0</v>
      </c>
      <c r="AN231" s="11">
        <f t="shared" si="159"/>
        <v>-1</v>
      </c>
      <c r="AO231" s="11">
        <f t="shared" si="160"/>
        <v>1</v>
      </c>
      <c r="AP231" s="11">
        <f t="shared" si="161"/>
        <v>0</v>
      </c>
      <c r="AQ231" s="11">
        <f t="shared" si="162"/>
        <v>0</v>
      </c>
      <c r="AR231" s="11">
        <f t="shared" si="163"/>
        <v>0</v>
      </c>
      <c r="AS231" s="11">
        <f t="shared" si="164"/>
        <v>0</v>
      </c>
      <c r="AT231" s="11">
        <f t="shared" si="165"/>
        <v>0</v>
      </c>
      <c r="AU231" s="11">
        <f t="shared" si="166"/>
        <v>0</v>
      </c>
      <c r="AV231" s="11">
        <f t="shared" si="167"/>
        <v>0</v>
      </c>
      <c r="AW231" s="11">
        <f t="shared" si="168"/>
        <v>0</v>
      </c>
      <c r="AX231" s="11">
        <f t="shared" si="169"/>
        <v>2</v>
      </c>
      <c r="AY231" s="11">
        <f t="shared" si="170"/>
        <v>2</v>
      </c>
    </row>
    <row r="232" spans="1:51">
      <c r="A232" s="15">
        <v>45157</v>
      </c>
      <c r="B232" s="436">
        <v>8</v>
      </c>
      <c r="C232" s="436">
        <v>8</v>
      </c>
      <c r="D232" s="436">
        <v>8</v>
      </c>
      <c r="E232" s="436">
        <v>8</v>
      </c>
      <c r="F232" s="436">
        <v>8</v>
      </c>
      <c r="G232" s="436">
        <v>8</v>
      </c>
      <c r="H232" s="436">
        <v>8</v>
      </c>
      <c r="I232" s="436">
        <v>8</v>
      </c>
      <c r="J232" s="436">
        <v>8</v>
      </c>
      <c r="K232" s="436">
        <v>8</v>
      </c>
      <c r="L232" s="436">
        <v>8</v>
      </c>
      <c r="M232" s="436">
        <v>8</v>
      </c>
      <c r="N232" s="436">
        <v>8</v>
      </c>
      <c r="O232" s="436">
        <v>8</v>
      </c>
      <c r="P232" s="436">
        <v>8</v>
      </c>
      <c r="Q232" s="436">
        <v>8</v>
      </c>
      <c r="R232" s="436">
        <v>8</v>
      </c>
      <c r="S232" s="436">
        <v>8</v>
      </c>
      <c r="T232" s="436">
        <v>8</v>
      </c>
      <c r="U232" s="436">
        <v>8</v>
      </c>
      <c r="V232" s="436">
        <v>8</v>
      </c>
      <c r="W232" s="436">
        <v>8</v>
      </c>
      <c r="X232" s="436">
        <v>8</v>
      </c>
      <c r="Y232" s="436">
        <v>8</v>
      </c>
      <c r="Z232" s="11">
        <f t="shared" si="145"/>
        <v>0</v>
      </c>
      <c r="AA232" s="11">
        <f t="shared" si="146"/>
        <v>0</v>
      </c>
      <c r="AB232" s="11">
        <f t="shared" si="147"/>
        <v>0</v>
      </c>
      <c r="AC232" s="11">
        <f t="shared" si="148"/>
        <v>0</v>
      </c>
      <c r="AD232" s="11">
        <f t="shared" si="149"/>
        <v>0</v>
      </c>
      <c r="AE232" s="11">
        <f t="shared" si="150"/>
        <v>0</v>
      </c>
      <c r="AF232" s="11">
        <f t="shared" si="151"/>
        <v>0</v>
      </c>
      <c r="AG232" s="11">
        <f t="shared" si="152"/>
        <v>0</v>
      </c>
      <c r="AH232" s="11">
        <f t="shared" si="153"/>
        <v>0</v>
      </c>
      <c r="AI232" s="11">
        <f t="shared" si="154"/>
        <v>0</v>
      </c>
      <c r="AJ232" s="11">
        <f t="shared" si="155"/>
        <v>0</v>
      </c>
      <c r="AK232" s="11">
        <f t="shared" si="156"/>
        <v>0</v>
      </c>
      <c r="AL232" s="11">
        <f t="shared" si="157"/>
        <v>0</v>
      </c>
      <c r="AM232" s="11">
        <f t="shared" si="158"/>
        <v>0</v>
      </c>
      <c r="AN232" s="11">
        <f t="shared" si="159"/>
        <v>0</v>
      </c>
      <c r="AO232" s="11">
        <f t="shared" si="160"/>
        <v>0</v>
      </c>
      <c r="AP232" s="11">
        <f t="shared" si="161"/>
        <v>0</v>
      </c>
      <c r="AQ232" s="11">
        <f t="shared" si="162"/>
        <v>0</v>
      </c>
      <c r="AR232" s="11">
        <f t="shared" si="163"/>
        <v>0</v>
      </c>
      <c r="AS232" s="11">
        <f t="shared" si="164"/>
        <v>0</v>
      </c>
      <c r="AT232" s="11">
        <f t="shared" si="165"/>
        <v>0</v>
      </c>
      <c r="AU232" s="11">
        <f t="shared" si="166"/>
        <v>0</v>
      </c>
      <c r="AV232" s="11">
        <f t="shared" si="167"/>
        <v>0</v>
      </c>
      <c r="AW232" s="11">
        <f t="shared" si="168"/>
        <v>0</v>
      </c>
      <c r="AX232" s="11">
        <f t="shared" si="169"/>
        <v>0</v>
      </c>
      <c r="AY232" s="11">
        <f t="shared" si="170"/>
        <v>0</v>
      </c>
    </row>
    <row r="233" spans="1:51">
      <c r="A233" s="15">
        <v>45158</v>
      </c>
      <c r="B233" s="436">
        <v>8</v>
      </c>
      <c r="C233" s="436">
        <v>8</v>
      </c>
      <c r="D233" s="436">
        <v>8</v>
      </c>
      <c r="E233" s="436">
        <v>8</v>
      </c>
      <c r="F233" s="436">
        <v>9</v>
      </c>
      <c r="G233" s="436">
        <v>9</v>
      </c>
      <c r="H233" s="436">
        <v>9</v>
      </c>
      <c r="I233" s="436">
        <v>9</v>
      </c>
      <c r="J233" s="436">
        <v>8</v>
      </c>
      <c r="K233" s="436">
        <v>8</v>
      </c>
      <c r="L233" s="436">
        <v>9</v>
      </c>
      <c r="M233" s="436">
        <v>9</v>
      </c>
      <c r="N233" s="436">
        <v>9</v>
      </c>
      <c r="O233" s="436">
        <v>9</v>
      </c>
      <c r="P233" s="436">
        <v>7</v>
      </c>
      <c r="Q233" s="436">
        <v>8</v>
      </c>
      <c r="R233" s="436">
        <v>8</v>
      </c>
      <c r="S233" s="436">
        <v>8</v>
      </c>
      <c r="T233" s="436">
        <v>8</v>
      </c>
      <c r="U233" s="436">
        <v>8</v>
      </c>
      <c r="V233" s="436">
        <v>8</v>
      </c>
      <c r="W233" s="436">
        <v>8</v>
      </c>
      <c r="X233" s="436">
        <v>8</v>
      </c>
      <c r="Y233" s="436">
        <v>8</v>
      </c>
      <c r="Z233" s="11">
        <f t="shared" si="145"/>
        <v>0</v>
      </c>
      <c r="AA233" s="11">
        <f t="shared" si="146"/>
        <v>0</v>
      </c>
      <c r="AB233" s="11">
        <f t="shared" si="147"/>
        <v>0</v>
      </c>
      <c r="AC233" s="11">
        <f t="shared" si="148"/>
        <v>0</v>
      </c>
      <c r="AD233" s="11">
        <f t="shared" si="149"/>
        <v>1</v>
      </c>
      <c r="AE233" s="11">
        <f t="shared" si="150"/>
        <v>0</v>
      </c>
      <c r="AF233" s="11">
        <f t="shared" si="151"/>
        <v>0</v>
      </c>
      <c r="AG233" s="11">
        <f t="shared" si="152"/>
        <v>0</v>
      </c>
      <c r="AH233" s="11">
        <f t="shared" si="153"/>
        <v>-1</v>
      </c>
      <c r="AI233" s="11">
        <f t="shared" si="154"/>
        <v>0</v>
      </c>
      <c r="AJ233" s="11">
        <f t="shared" si="155"/>
        <v>1</v>
      </c>
      <c r="AK233" s="11">
        <f t="shared" si="156"/>
        <v>0</v>
      </c>
      <c r="AL233" s="11">
        <f t="shared" si="157"/>
        <v>0</v>
      </c>
      <c r="AM233" s="11">
        <f t="shared" si="158"/>
        <v>0</v>
      </c>
      <c r="AN233" s="11">
        <f t="shared" si="159"/>
        <v>-2</v>
      </c>
      <c r="AO233" s="11">
        <f t="shared" si="160"/>
        <v>1</v>
      </c>
      <c r="AP233" s="11">
        <f t="shared" si="161"/>
        <v>0</v>
      </c>
      <c r="AQ233" s="11">
        <f t="shared" si="162"/>
        <v>0</v>
      </c>
      <c r="AR233" s="11">
        <f t="shared" si="163"/>
        <v>0</v>
      </c>
      <c r="AS233" s="11">
        <f t="shared" si="164"/>
        <v>0</v>
      </c>
      <c r="AT233" s="11">
        <f t="shared" si="165"/>
        <v>0</v>
      </c>
      <c r="AU233" s="11">
        <f t="shared" si="166"/>
        <v>0</v>
      </c>
      <c r="AV233" s="11">
        <f t="shared" si="167"/>
        <v>0</v>
      </c>
      <c r="AW233" s="11">
        <f t="shared" si="168"/>
        <v>0</v>
      </c>
      <c r="AX233" s="11">
        <f t="shared" si="169"/>
        <v>3</v>
      </c>
      <c r="AY233" s="11">
        <f t="shared" si="170"/>
        <v>3</v>
      </c>
    </row>
    <row r="234" spans="1:51">
      <c r="A234" s="15">
        <v>45159</v>
      </c>
      <c r="B234" s="436">
        <v>8</v>
      </c>
      <c r="C234" s="436">
        <v>8</v>
      </c>
      <c r="D234" s="436">
        <v>8</v>
      </c>
      <c r="E234" s="436">
        <v>8</v>
      </c>
      <c r="F234" s="436">
        <v>8</v>
      </c>
      <c r="G234" s="436">
        <v>8</v>
      </c>
      <c r="H234" s="436">
        <v>8</v>
      </c>
      <c r="I234" s="436">
        <v>8</v>
      </c>
      <c r="J234" s="436">
        <v>8</v>
      </c>
      <c r="K234" s="436">
        <v>8</v>
      </c>
      <c r="L234" s="436">
        <v>8</v>
      </c>
      <c r="M234" s="436">
        <v>8</v>
      </c>
      <c r="N234" s="436">
        <v>8</v>
      </c>
      <c r="O234" s="436">
        <v>8</v>
      </c>
      <c r="P234" s="436">
        <v>8</v>
      </c>
      <c r="Q234" s="436">
        <v>8</v>
      </c>
      <c r="R234" s="436">
        <v>8</v>
      </c>
      <c r="S234" s="436">
        <v>8</v>
      </c>
      <c r="T234" s="436">
        <v>8</v>
      </c>
      <c r="U234" s="436">
        <v>8</v>
      </c>
      <c r="V234" s="436">
        <v>8</v>
      </c>
      <c r="W234" s="436">
        <v>8</v>
      </c>
      <c r="X234" s="436">
        <v>8</v>
      </c>
      <c r="Y234" s="436">
        <v>8</v>
      </c>
      <c r="Z234" s="11">
        <f t="shared" si="145"/>
        <v>0</v>
      </c>
      <c r="AA234" s="11">
        <f t="shared" si="146"/>
        <v>0</v>
      </c>
      <c r="AB234" s="11">
        <f t="shared" si="147"/>
        <v>0</v>
      </c>
      <c r="AC234" s="11">
        <f t="shared" si="148"/>
        <v>0</v>
      </c>
      <c r="AD234" s="11">
        <f t="shared" si="149"/>
        <v>0</v>
      </c>
      <c r="AE234" s="11">
        <f t="shared" si="150"/>
        <v>0</v>
      </c>
      <c r="AF234" s="11">
        <f t="shared" si="151"/>
        <v>0</v>
      </c>
      <c r="AG234" s="11">
        <f t="shared" si="152"/>
        <v>0</v>
      </c>
      <c r="AH234" s="11">
        <f t="shared" si="153"/>
        <v>0</v>
      </c>
      <c r="AI234" s="11">
        <f t="shared" si="154"/>
        <v>0</v>
      </c>
      <c r="AJ234" s="11">
        <f t="shared" si="155"/>
        <v>0</v>
      </c>
      <c r="AK234" s="11">
        <f t="shared" si="156"/>
        <v>0</v>
      </c>
      <c r="AL234" s="11">
        <f t="shared" si="157"/>
        <v>0</v>
      </c>
      <c r="AM234" s="11">
        <f t="shared" si="158"/>
        <v>0</v>
      </c>
      <c r="AN234" s="11">
        <f t="shared" si="159"/>
        <v>0</v>
      </c>
      <c r="AO234" s="11">
        <f t="shared" si="160"/>
        <v>0</v>
      </c>
      <c r="AP234" s="11">
        <f t="shared" si="161"/>
        <v>0</v>
      </c>
      <c r="AQ234" s="11">
        <f t="shared" si="162"/>
        <v>0</v>
      </c>
      <c r="AR234" s="11">
        <f t="shared" si="163"/>
        <v>0</v>
      </c>
      <c r="AS234" s="11">
        <f t="shared" si="164"/>
        <v>0</v>
      </c>
      <c r="AT234" s="11">
        <f t="shared" si="165"/>
        <v>0</v>
      </c>
      <c r="AU234" s="11">
        <f t="shared" si="166"/>
        <v>0</v>
      </c>
      <c r="AV234" s="11">
        <f t="shared" si="167"/>
        <v>0</v>
      </c>
      <c r="AW234" s="11">
        <f t="shared" si="168"/>
        <v>0</v>
      </c>
      <c r="AX234" s="11">
        <f t="shared" si="169"/>
        <v>0</v>
      </c>
      <c r="AY234" s="11">
        <f t="shared" si="170"/>
        <v>0</v>
      </c>
    </row>
    <row r="235" spans="1:51">
      <c r="A235" s="15">
        <v>45160</v>
      </c>
      <c r="B235" s="436">
        <v>8</v>
      </c>
      <c r="C235" s="436">
        <v>8</v>
      </c>
      <c r="D235" s="436">
        <v>8</v>
      </c>
      <c r="E235" s="436">
        <v>8</v>
      </c>
      <c r="F235" s="436">
        <v>8</v>
      </c>
      <c r="G235" s="436">
        <v>8</v>
      </c>
      <c r="H235" s="436">
        <v>8</v>
      </c>
      <c r="I235" s="436">
        <v>8</v>
      </c>
      <c r="J235" s="436">
        <v>8</v>
      </c>
      <c r="K235" s="436">
        <v>8</v>
      </c>
      <c r="L235" s="436">
        <v>8</v>
      </c>
      <c r="M235" s="436">
        <v>8</v>
      </c>
      <c r="N235" s="436">
        <v>8</v>
      </c>
      <c r="O235" s="436">
        <v>8</v>
      </c>
      <c r="P235" s="436">
        <v>8</v>
      </c>
      <c r="Q235" s="436">
        <v>8</v>
      </c>
      <c r="R235" s="436">
        <v>8</v>
      </c>
      <c r="S235" s="436">
        <v>8</v>
      </c>
      <c r="T235" s="436">
        <v>8</v>
      </c>
      <c r="U235" s="436">
        <v>8</v>
      </c>
      <c r="V235" s="436">
        <v>8</v>
      </c>
      <c r="W235" s="436">
        <v>8</v>
      </c>
      <c r="X235" s="436">
        <v>8</v>
      </c>
      <c r="Y235" s="436">
        <v>8</v>
      </c>
      <c r="Z235" s="11">
        <f t="shared" si="145"/>
        <v>0</v>
      </c>
      <c r="AA235" s="11">
        <f t="shared" si="146"/>
        <v>0</v>
      </c>
      <c r="AB235" s="11">
        <f t="shared" si="147"/>
        <v>0</v>
      </c>
      <c r="AC235" s="11">
        <f t="shared" si="148"/>
        <v>0</v>
      </c>
      <c r="AD235" s="11">
        <f t="shared" si="149"/>
        <v>0</v>
      </c>
      <c r="AE235" s="11">
        <f t="shared" si="150"/>
        <v>0</v>
      </c>
      <c r="AF235" s="11">
        <f t="shared" si="151"/>
        <v>0</v>
      </c>
      <c r="AG235" s="11">
        <f t="shared" si="152"/>
        <v>0</v>
      </c>
      <c r="AH235" s="11">
        <f t="shared" si="153"/>
        <v>0</v>
      </c>
      <c r="AI235" s="11">
        <f t="shared" si="154"/>
        <v>0</v>
      </c>
      <c r="AJ235" s="11">
        <f t="shared" si="155"/>
        <v>0</v>
      </c>
      <c r="AK235" s="11">
        <f t="shared" si="156"/>
        <v>0</v>
      </c>
      <c r="AL235" s="11">
        <f t="shared" si="157"/>
        <v>0</v>
      </c>
      <c r="AM235" s="11">
        <f t="shared" si="158"/>
        <v>0</v>
      </c>
      <c r="AN235" s="11">
        <f t="shared" si="159"/>
        <v>0</v>
      </c>
      <c r="AO235" s="11">
        <f t="shared" si="160"/>
        <v>0</v>
      </c>
      <c r="AP235" s="11">
        <f t="shared" si="161"/>
        <v>0</v>
      </c>
      <c r="AQ235" s="11">
        <f t="shared" si="162"/>
        <v>0</v>
      </c>
      <c r="AR235" s="11">
        <f t="shared" si="163"/>
        <v>0</v>
      </c>
      <c r="AS235" s="11">
        <f t="shared" si="164"/>
        <v>0</v>
      </c>
      <c r="AT235" s="11">
        <f t="shared" si="165"/>
        <v>0</v>
      </c>
      <c r="AU235" s="11">
        <f t="shared" si="166"/>
        <v>0</v>
      </c>
      <c r="AV235" s="11">
        <f t="shared" si="167"/>
        <v>0</v>
      </c>
      <c r="AW235" s="11">
        <f t="shared" si="168"/>
        <v>0</v>
      </c>
      <c r="AX235" s="11">
        <f t="shared" si="169"/>
        <v>0</v>
      </c>
      <c r="AY235" s="11">
        <f t="shared" si="170"/>
        <v>0</v>
      </c>
    </row>
    <row r="236" spans="1:51">
      <c r="A236" s="15">
        <v>45161</v>
      </c>
      <c r="B236" s="436"/>
      <c r="C236" s="436"/>
      <c r="D236" s="436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11">
        <f t="shared" si="145"/>
        <v>-8</v>
      </c>
      <c r="AA236" s="11">
        <f t="shared" si="146"/>
        <v>0</v>
      </c>
      <c r="AB236" s="11">
        <f t="shared" si="147"/>
        <v>0</v>
      </c>
      <c r="AC236" s="11">
        <f t="shared" si="148"/>
        <v>0</v>
      </c>
      <c r="AD236" s="11">
        <f t="shared" si="149"/>
        <v>0</v>
      </c>
      <c r="AE236" s="11">
        <f t="shared" si="150"/>
        <v>0</v>
      </c>
      <c r="AF236" s="11">
        <f t="shared" si="151"/>
        <v>0</v>
      </c>
      <c r="AG236" s="11">
        <f t="shared" si="152"/>
        <v>0</v>
      </c>
      <c r="AH236" s="11">
        <f t="shared" si="153"/>
        <v>0</v>
      </c>
      <c r="AI236" s="11">
        <f t="shared" si="154"/>
        <v>0</v>
      </c>
      <c r="AJ236" s="11">
        <f t="shared" si="155"/>
        <v>0</v>
      </c>
      <c r="AK236" s="11">
        <f t="shared" si="156"/>
        <v>0</v>
      </c>
      <c r="AL236" s="11">
        <f t="shared" si="157"/>
        <v>0</v>
      </c>
      <c r="AM236" s="11">
        <f t="shared" si="158"/>
        <v>0</v>
      </c>
      <c r="AN236" s="11">
        <f t="shared" si="159"/>
        <v>0</v>
      </c>
      <c r="AO236" s="11">
        <f t="shared" si="160"/>
        <v>0</v>
      </c>
      <c r="AP236" s="11">
        <f t="shared" si="161"/>
        <v>0</v>
      </c>
      <c r="AQ236" s="11">
        <f t="shared" si="162"/>
        <v>0</v>
      </c>
      <c r="AR236" s="11">
        <f t="shared" si="163"/>
        <v>0</v>
      </c>
      <c r="AS236" s="11">
        <f t="shared" si="164"/>
        <v>0</v>
      </c>
      <c r="AT236" s="11">
        <f t="shared" si="165"/>
        <v>0</v>
      </c>
      <c r="AU236" s="11">
        <f t="shared" si="166"/>
        <v>0</v>
      </c>
      <c r="AV236" s="11">
        <f t="shared" si="167"/>
        <v>0</v>
      </c>
      <c r="AW236" s="11">
        <f t="shared" si="168"/>
        <v>0</v>
      </c>
      <c r="AX236" s="11">
        <f t="shared" si="169"/>
        <v>0</v>
      </c>
      <c r="AY236" s="11">
        <f t="shared" si="170"/>
        <v>8</v>
      </c>
    </row>
    <row r="237" spans="1:51">
      <c r="A237" s="15">
        <v>45162</v>
      </c>
      <c r="B237" s="436"/>
      <c r="C237" s="436"/>
      <c r="D237" s="436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11">
        <f t="shared" si="145"/>
        <v>0</v>
      </c>
      <c r="AA237" s="11">
        <f t="shared" si="146"/>
        <v>0</v>
      </c>
      <c r="AB237" s="11">
        <f t="shared" si="147"/>
        <v>0</v>
      </c>
      <c r="AC237" s="11">
        <f t="shared" si="148"/>
        <v>0</v>
      </c>
      <c r="AD237" s="11">
        <f t="shared" si="149"/>
        <v>0</v>
      </c>
      <c r="AE237" s="11">
        <f t="shared" si="150"/>
        <v>0</v>
      </c>
      <c r="AF237" s="11">
        <f t="shared" si="151"/>
        <v>0</v>
      </c>
      <c r="AG237" s="11">
        <f t="shared" si="152"/>
        <v>0</v>
      </c>
      <c r="AH237" s="11">
        <f t="shared" si="153"/>
        <v>0</v>
      </c>
      <c r="AI237" s="11">
        <f t="shared" si="154"/>
        <v>0</v>
      </c>
      <c r="AJ237" s="11">
        <f t="shared" si="155"/>
        <v>0</v>
      </c>
      <c r="AK237" s="11">
        <f t="shared" si="156"/>
        <v>0</v>
      </c>
      <c r="AL237" s="11">
        <f t="shared" si="157"/>
        <v>0</v>
      </c>
      <c r="AM237" s="11">
        <f t="shared" si="158"/>
        <v>0</v>
      </c>
      <c r="AN237" s="11">
        <f t="shared" si="159"/>
        <v>0</v>
      </c>
      <c r="AO237" s="11">
        <f t="shared" si="160"/>
        <v>0</v>
      </c>
      <c r="AP237" s="11">
        <f t="shared" si="161"/>
        <v>0</v>
      </c>
      <c r="AQ237" s="11">
        <f t="shared" si="162"/>
        <v>0</v>
      </c>
      <c r="AR237" s="11">
        <f t="shared" si="163"/>
        <v>0</v>
      </c>
      <c r="AS237" s="11">
        <f t="shared" si="164"/>
        <v>0</v>
      </c>
      <c r="AT237" s="11">
        <f t="shared" si="165"/>
        <v>0</v>
      </c>
      <c r="AU237" s="11">
        <f t="shared" si="166"/>
        <v>0</v>
      </c>
      <c r="AV237" s="11">
        <f t="shared" si="167"/>
        <v>0</v>
      </c>
      <c r="AW237" s="11">
        <f t="shared" si="168"/>
        <v>0</v>
      </c>
      <c r="AX237" s="11">
        <f t="shared" si="169"/>
        <v>0</v>
      </c>
      <c r="AY237" s="11">
        <f t="shared" si="170"/>
        <v>0</v>
      </c>
    </row>
    <row r="238" spans="1:51">
      <c r="A238" s="15">
        <v>45163</v>
      </c>
      <c r="B238" s="436"/>
      <c r="C238" s="436"/>
      <c r="D238" s="436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11">
        <f t="shared" si="145"/>
        <v>0</v>
      </c>
      <c r="AA238" s="11">
        <f t="shared" si="146"/>
        <v>0</v>
      </c>
      <c r="AB238" s="11">
        <f t="shared" si="147"/>
        <v>0</v>
      </c>
      <c r="AC238" s="11">
        <f t="shared" si="148"/>
        <v>0</v>
      </c>
      <c r="AD238" s="11">
        <f t="shared" si="149"/>
        <v>0</v>
      </c>
      <c r="AE238" s="11">
        <f t="shared" si="150"/>
        <v>0</v>
      </c>
      <c r="AF238" s="11">
        <f t="shared" si="151"/>
        <v>0</v>
      </c>
      <c r="AG238" s="11">
        <f t="shared" si="152"/>
        <v>0</v>
      </c>
      <c r="AH238" s="11">
        <f t="shared" si="153"/>
        <v>0</v>
      </c>
      <c r="AI238" s="11">
        <f t="shared" si="154"/>
        <v>0</v>
      </c>
      <c r="AJ238" s="11">
        <f t="shared" si="155"/>
        <v>0</v>
      </c>
      <c r="AK238" s="11">
        <f t="shared" si="156"/>
        <v>0</v>
      </c>
      <c r="AL238" s="11">
        <f t="shared" si="157"/>
        <v>0</v>
      </c>
      <c r="AM238" s="11">
        <f t="shared" si="158"/>
        <v>0</v>
      </c>
      <c r="AN238" s="11">
        <f t="shared" si="159"/>
        <v>0</v>
      </c>
      <c r="AO238" s="11">
        <f t="shared" si="160"/>
        <v>0</v>
      </c>
      <c r="AP238" s="11">
        <f t="shared" si="161"/>
        <v>0</v>
      </c>
      <c r="AQ238" s="11">
        <f t="shared" si="162"/>
        <v>0</v>
      </c>
      <c r="AR238" s="11">
        <f t="shared" si="163"/>
        <v>0</v>
      </c>
      <c r="AS238" s="11">
        <f t="shared" si="164"/>
        <v>0</v>
      </c>
      <c r="AT238" s="11">
        <f t="shared" si="165"/>
        <v>0</v>
      </c>
      <c r="AU238" s="11">
        <f t="shared" si="166"/>
        <v>0</v>
      </c>
      <c r="AV238" s="11">
        <f t="shared" si="167"/>
        <v>0</v>
      </c>
      <c r="AW238" s="11">
        <f t="shared" si="168"/>
        <v>0</v>
      </c>
      <c r="AX238" s="11">
        <f t="shared" si="169"/>
        <v>0</v>
      </c>
      <c r="AY238" s="11">
        <f t="shared" si="170"/>
        <v>0</v>
      </c>
    </row>
    <row r="239" spans="1:51">
      <c r="A239" s="15">
        <v>45164</v>
      </c>
      <c r="B239" s="436"/>
      <c r="C239" s="436"/>
      <c r="D239" s="436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11">
        <f t="shared" si="145"/>
        <v>0</v>
      </c>
      <c r="AA239" s="11">
        <f t="shared" si="146"/>
        <v>0</v>
      </c>
      <c r="AB239" s="11">
        <f t="shared" si="147"/>
        <v>0</v>
      </c>
      <c r="AC239" s="11">
        <f t="shared" si="148"/>
        <v>0</v>
      </c>
      <c r="AD239" s="11">
        <f t="shared" si="149"/>
        <v>0</v>
      </c>
      <c r="AE239" s="11">
        <f t="shared" si="150"/>
        <v>0</v>
      </c>
      <c r="AF239" s="11">
        <f t="shared" si="151"/>
        <v>0</v>
      </c>
      <c r="AG239" s="11">
        <f t="shared" si="152"/>
        <v>0</v>
      </c>
      <c r="AH239" s="11">
        <f t="shared" si="153"/>
        <v>0</v>
      </c>
      <c r="AI239" s="11">
        <f t="shared" si="154"/>
        <v>0</v>
      </c>
      <c r="AJ239" s="11">
        <f t="shared" si="155"/>
        <v>0</v>
      </c>
      <c r="AK239" s="11">
        <f t="shared" si="156"/>
        <v>0</v>
      </c>
      <c r="AL239" s="11">
        <f t="shared" si="157"/>
        <v>0</v>
      </c>
      <c r="AM239" s="11">
        <f t="shared" si="158"/>
        <v>0</v>
      </c>
      <c r="AN239" s="11">
        <f t="shared" si="159"/>
        <v>0</v>
      </c>
      <c r="AO239" s="11">
        <f t="shared" si="160"/>
        <v>0</v>
      </c>
      <c r="AP239" s="11">
        <f t="shared" si="161"/>
        <v>0</v>
      </c>
      <c r="AQ239" s="11">
        <f t="shared" si="162"/>
        <v>0</v>
      </c>
      <c r="AR239" s="11">
        <f t="shared" si="163"/>
        <v>0</v>
      </c>
      <c r="AS239" s="11">
        <f t="shared" si="164"/>
        <v>0</v>
      </c>
      <c r="AT239" s="11">
        <f t="shared" si="165"/>
        <v>0</v>
      </c>
      <c r="AU239" s="11">
        <f t="shared" si="166"/>
        <v>0</v>
      </c>
      <c r="AV239" s="11">
        <f t="shared" si="167"/>
        <v>0</v>
      </c>
      <c r="AW239" s="11">
        <f t="shared" si="168"/>
        <v>0</v>
      </c>
      <c r="AX239" s="11">
        <f t="shared" si="169"/>
        <v>0</v>
      </c>
      <c r="AY239" s="11">
        <f t="shared" si="170"/>
        <v>0</v>
      </c>
    </row>
    <row r="240" spans="1:51">
      <c r="A240" s="15">
        <v>45165</v>
      </c>
      <c r="B240" s="436"/>
      <c r="C240" s="436"/>
      <c r="D240" s="436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11">
        <f t="shared" si="145"/>
        <v>0</v>
      </c>
      <c r="AA240" s="11">
        <f t="shared" si="146"/>
        <v>0</v>
      </c>
      <c r="AB240" s="11">
        <f t="shared" si="147"/>
        <v>0</v>
      </c>
      <c r="AC240" s="11">
        <f t="shared" si="148"/>
        <v>0</v>
      </c>
      <c r="AD240" s="11">
        <f t="shared" si="149"/>
        <v>0</v>
      </c>
      <c r="AE240" s="11">
        <f t="shared" si="150"/>
        <v>0</v>
      </c>
      <c r="AF240" s="11">
        <f t="shared" si="151"/>
        <v>0</v>
      </c>
      <c r="AG240" s="11">
        <f t="shared" si="152"/>
        <v>0</v>
      </c>
      <c r="AH240" s="11">
        <f t="shared" si="153"/>
        <v>0</v>
      </c>
      <c r="AI240" s="11">
        <f t="shared" si="154"/>
        <v>0</v>
      </c>
      <c r="AJ240" s="11">
        <f t="shared" si="155"/>
        <v>0</v>
      </c>
      <c r="AK240" s="11">
        <f t="shared" si="156"/>
        <v>0</v>
      </c>
      <c r="AL240" s="11">
        <f t="shared" si="157"/>
        <v>0</v>
      </c>
      <c r="AM240" s="11">
        <f t="shared" si="158"/>
        <v>0</v>
      </c>
      <c r="AN240" s="11">
        <f t="shared" si="159"/>
        <v>0</v>
      </c>
      <c r="AO240" s="11">
        <f t="shared" si="160"/>
        <v>0</v>
      </c>
      <c r="AP240" s="11">
        <f t="shared" si="161"/>
        <v>0</v>
      </c>
      <c r="AQ240" s="11">
        <f t="shared" si="162"/>
        <v>0</v>
      </c>
      <c r="AR240" s="11">
        <f t="shared" si="163"/>
        <v>0</v>
      </c>
      <c r="AS240" s="11">
        <f t="shared" si="164"/>
        <v>0</v>
      </c>
      <c r="AT240" s="11">
        <f t="shared" si="165"/>
        <v>0</v>
      </c>
      <c r="AU240" s="11">
        <f t="shared" si="166"/>
        <v>0</v>
      </c>
      <c r="AV240" s="11">
        <f t="shared" si="167"/>
        <v>0</v>
      </c>
      <c r="AW240" s="11">
        <f t="shared" si="168"/>
        <v>0</v>
      </c>
      <c r="AX240" s="11">
        <f t="shared" si="169"/>
        <v>0</v>
      </c>
      <c r="AY240" s="11">
        <f t="shared" si="170"/>
        <v>0</v>
      </c>
    </row>
    <row r="241" spans="1:51">
      <c r="A241" s="15">
        <v>45166</v>
      </c>
      <c r="B241" s="436"/>
      <c r="C241" s="436"/>
      <c r="D241" s="436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11">
        <f>B241-Y240</f>
        <v>0</v>
      </c>
      <c r="AA241" s="11">
        <f t="shared" si="146"/>
        <v>0</v>
      </c>
      <c r="AB241" s="11">
        <f t="shared" si="147"/>
        <v>0</v>
      </c>
      <c r="AC241" s="11">
        <f t="shared" si="148"/>
        <v>0</v>
      </c>
      <c r="AD241" s="11">
        <f t="shared" si="149"/>
        <v>0</v>
      </c>
      <c r="AE241" s="11">
        <f t="shared" si="150"/>
        <v>0</v>
      </c>
      <c r="AF241" s="11">
        <f t="shared" si="151"/>
        <v>0</v>
      </c>
      <c r="AG241" s="11">
        <f t="shared" si="152"/>
        <v>0</v>
      </c>
      <c r="AH241" s="11">
        <f t="shared" si="153"/>
        <v>0</v>
      </c>
      <c r="AI241" s="11">
        <f t="shared" si="154"/>
        <v>0</v>
      </c>
      <c r="AJ241" s="11">
        <f t="shared" si="155"/>
        <v>0</v>
      </c>
      <c r="AK241" s="11">
        <f t="shared" si="156"/>
        <v>0</v>
      </c>
      <c r="AL241" s="11">
        <f t="shared" si="157"/>
        <v>0</v>
      </c>
      <c r="AM241" s="11">
        <f t="shared" si="158"/>
        <v>0</v>
      </c>
      <c r="AN241" s="11">
        <f t="shared" si="159"/>
        <v>0</v>
      </c>
      <c r="AO241" s="11">
        <f t="shared" si="160"/>
        <v>0</v>
      </c>
      <c r="AP241" s="11">
        <f t="shared" si="161"/>
        <v>0</v>
      </c>
      <c r="AQ241" s="11">
        <f t="shared" si="162"/>
        <v>0</v>
      </c>
      <c r="AR241" s="11">
        <f t="shared" si="163"/>
        <v>0</v>
      </c>
      <c r="AS241" s="11">
        <f t="shared" si="164"/>
        <v>0</v>
      </c>
      <c r="AT241" s="11">
        <f t="shared" si="165"/>
        <v>0</v>
      </c>
      <c r="AU241" s="11">
        <f t="shared" si="166"/>
        <v>0</v>
      </c>
      <c r="AV241" s="11">
        <f t="shared" si="167"/>
        <v>0</v>
      </c>
      <c r="AW241" s="11">
        <f t="shared" si="168"/>
        <v>0</v>
      </c>
      <c r="AX241" s="11">
        <f t="shared" si="169"/>
        <v>0</v>
      </c>
      <c r="AY241" s="11">
        <f t="shared" si="170"/>
        <v>0</v>
      </c>
    </row>
    <row r="242" spans="1:51">
      <c r="A242" s="15">
        <v>45167</v>
      </c>
      <c r="B242" s="436"/>
      <c r="C242" s="436"/>
      <c r="D242" s="436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11">
        <f>B242-Y241</f>
        <v>0</v>
      </c>
      <c r="AA242" s="11">
        <f t="shared" si="146"/>
        <v>0</v>
      </c>
      <c r="AB242" s="11">
        <f t="shared" si="147"/>
        <v>0</v>
      </c>
      <c r="AC242" s="11">
        <f t="shared" si="148"/>
        <v>0</v>
      </c>
      <c r="AD242" s="11">
        <f t="shared" si="149"/>
        <v>0</v>
      </c>
      <c r="AE242" s="11">
        <f t="shared" si="150"/>
        <v>0</v>
      </c>
      <c r="AF242" s="11">
        <f t="shared" si="151"/>
        <v>0</v>
      </c>
      <c r="AG242" s="11">
        <f t="shared" si="152"/>
        <v>0</v>
      </c>
      <c r="AH242" s="11">
        <f t="shared" si="153"/>
        <v>0</v>
      </c>
      <c r="AI242" s="11">
        <f t="shared" si="154"/>
        <v>0</v>
      </c>
      <c r="AJ242" s="11">
        <f t="shared" si="155"/>
        <v>0</v>
      </c>
      <c r="AK242" s="11">
        <f t="shared" si="156"/>
        <v>0</v>
      </c>
      <c r="AL242" s="11">
        <f t="shared" si="157"/>
        <v>0</v>
      </c>
      <c r="AM242" s="11">
        <f t="shared" si="158"/>
        <v>0</v>
      </c>
      <c r="AN242" s="11">
        <f t="shared" si="159"/>
        <v>0</v>
      </c>
      <c r="AO242" s="11">
        <f t="shared" si="160"/>
        <v>0</v>
      </c>
      <c r="AP242" s="11">
        <f t="shared" si="161"/>
        <v>0</v>
      </c>
      <c r="AQ242" s="11">
        <f t="shared" si="162"/>
        <v>0</v>
      </c>
      <c r="AR242" s="11">
        <f t="shared" si="163"/>
        <v>0</v>
      </c>
      <c r="AS242" s="11">
        <f t="shared" si="164"/>
        <v>0</v>
      </c>
      <c r="AT242" s="11">
        <f t="shared" si="165"/>
        <v>0</v>
      </c>
      <c r="AU242" s="11">
        <f t="shared" si="166"/>
        <v>0</v>
      </c>
      <c r="AV242" s="11">
        <f t="shared" si="167"/>
        <v>0</v>
      </c>
      <c r="AW242" s="11">
        <f t="shared" si="168"/>
        <v>0</v>
      </c>
      <c r="AX242" s="11">
        <f t="shared" si="169"/>
        <v>0</v>
      </c>
      <c r="AY242" s="11">
        <f t="shared" si="170"/>
        <v>0</v>
      </c>
    </row>
    <row r="243" spans="1:51">
      <c r="A243" s="15">
        <v>45168</v>
      </c>
      <c r="B243" s="436"/>
      <c r="C243" s="436"/>
      <c r="D243" s="436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11">
        <f>B243-Y242</f>
        <v>0</v>
      </c>
      <c r="AA243" s="11">
        <f t="shared" si="146"/>
        <v>0</v>
      </c>
      <c r="AB243" s="11">
        <f t="shared" si="147"/>
        <v>0</v>
      </c>
      <c r="AC243" s="11">
        <f t="shared" si="148"/>
        <v>0</v>
      </c>
      <c r="AD243" s="11">
        <f t="shared" si="149"/>
        <v>0</v>
      </c>
      <c r="AE243" s="11">
        <f t="shared" si="150"/>
        <v>0</v>
      </c>
      <c r="AF243" s="11">
        <f t="shared" si="151"/>
        <v>0</v>
      </c>
      <c r="AG243" s="11">
        <f t="shared" si="152"/>
        <v>0</v>
      </c>
      <c r="AH243" s="11">
        <f t="shared" si="153"/>
        <v>0</v>
      </c>
      <c r="AI243" s="11">
        <f t="shared" si="154"/>
        <v>0</v>
      </c>
      <c r="AJ243" s="11">
        <f t="shared" si="155"/>
        <v>0</v>
      </c>
      <c r="AK243" s="11">
        <f t="shared" si="156"/>
        <v>0</v>
      </c>
      <c r="AL243" s="11">
        <f t="shared" si="157"/>
        <v>0</v>
      </c>
      <c r="AM243" s="11">
        <f t="shared" si="158"/>
        <v>0</v>
      </c>
      <c r="AN243" s="11">
        <f t="shared" si="159"/>
        <v>0</v>
      </c>
      <c r="AO243" s="11">
        <f t="shared" si="160"/>
        <v>0</v>
      </c>
      <c r="AP243" s="11">
        <f t="shared" si="161"/>
        <v>0</v>
      </c>
      <c r="AQ243" s="11">
        <f t="shared" si="162"/>
        <v>0</v>
      </c>
      <c r="AR243" s="11">
        <f t="shared" si="163"/>
        <v>0</v>
      </c>
      <c r="AS243" s="11">
        <f t="shared" si="164"/>
        <v>0</v>
      </c>
      <c r="AT243" s="11">
        <f t="shared" si="165"/>
        <v>0</v>
      </c>
      <c r="AU243" s="11">
        <f t="shared" si="166"/>
        <v>0</v>
      </c>
      <c r="AV243" s="11">
        <f t="shared" si="167"/>
        <v>0</v>
      </c>
      <c r="AW243" s="11">
        <f t="shared" si="168"/>
        <v>0</v>
      </c>
      <c r="AX243" s="11">
        <f t="shared" si="169"/>
        <v>0</v>
      </c>
      <c r="AY243" s="11">
        <f t="shared" si="170"/>
        <v>0</v>
      </c>
    </row>
    <row r="244" spans="1:51">
      <c r="A244" s="15">
        <v>45169</v>
      </c>
      <c r="B244" s="436"/>
      <c r="C244" s="436"/>
      <c r="D244" s="436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11">
        <f>B244-Y243</f>
        <v>0</v>
      </c>
      <c r="AA244" s="11">
        <f t="shared" si="146"/>
        <v>0</v>
      </c>
      <c r="AB244" s="11">
        <f t="shared" si="147"/>
        <v>0</v>
      </c>
      <c r="AC244" s="11">
        <f t="shared" si="148"/>
        <v>0</v>
      </c>
      <c r="AD244" s="11">
        <f t="shared" si="149"/>
        <v>0</v>
      </c>
      <c r="AE244" s="11">
        <f t="shared" si="150"/>
        <v>0</v>
      </c>
      <c r="AF244" s="11">
        <f t="shared" si="151"/>
        <v>0</v>
      </c>
      <c r="AG244" s="11">
        <f t="shared" si="152"/>
        <v>0</v>
      </c>
      <c r="AH244" s="11">
        <f t="shared" si="153"/>
        <v>0</v>
      </c>
      <c r="AI244" s="11">
        <f t="shared" si="154"/>
        <v>0</v>
      </c>
      <c r="AJ244" s="11">
        <f t="shared" si="155"/>
        <v>0</v>
      </c>
      <c r="AK244" s="11">
        <f t="shared" si="156"/>
        <v>0</v>
      </c>
      <c r="AL244" s="11">
        <f t="shared" si="157"/>
        <v>0</v>
      </c>
      <c r="AM244" s="11">
        <f t="shared" si="158"/>
        <v>0</v>
      </c>
      <c r="AN244" s="11">
        <f t="shared" si="159"/>
        <v>0</v>
      </c>
      <c r="AO244" s="11">
        <f t="shared" si="160"/>
        <v>0</v>
      </c>
      <c r="AP244" s="11">
        <f t="shared" si="161"/>
        <v>0</v>
      </c>
      <c r="AQ244" s="11">
        <f t="shared" si="162"/>
        <v>0</v>
      </c>
      <c r="AR244" s="11">
        <f t="shared" si="163"/>
        <v>0</v>
      </c>
      <c r="AS244" s="11">
        <f t="shared" si="164"/>
        <v>0</v>
      </c>
      <c r="AT244" s="11">
        <f t="shared" si="165"/>
        <v>0</v>
      </c>
      <c r="AU244" s="11">
        <f t="shared" si="166"/>
        <v>0</v>
      </c>
      <c r="AV244" s="11">
        <f t="shared" si="167"/>
        <v>0</v>
      </c>
      <c r="AW244" s="11">
        <f t="shared" si="168"/>
        <v>0</v>
      </c>
      <c r="AX244" s="11">
        <f t="shared" si="169"/>
        <v>0</v>
      </c>
      <c r="AY244" s="11">
        <f t="shared" si="170"/>
        <v>0</v>
      </c>
    </row>
    <row r="245" spans="1:51">
      <c r="A245" s="15">
        <v>45170</v>
      </c>
      <c r="B245" s="436"/>
      <c r="C245" s="436"/>
      <c r="D245" s="436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11">
        <f>B245-Y244</f>
        <v>0</v>
      </c>
      <c r="AA245" s="11">
        <f t="shared" si="146"/>
        <v>0</v>
      </c>
      <c r="AB245" s="11">
        <f t="shared" si="147"/>
        <v>0</v>
      </c>
      <c r="AC245" s="11">
        <f t="shared" si="148"/>
        <v>0</v>
      </c>
      <c r="AD245" s="11">
        <f t="shared" si="149"/>
        <v>0</v>
      </c>
      <c r="AE245" s="11">
        <f t="shared" si="150"/>
        <v>0</v>
      </c>
      <c r="AF245" s="11">
        <f t="shared" si="151"/>
        <v>0</v>
      </c>
      <c r="AG245" s="11">
        <f t="shared" si="152"/>
        <v>0</v>
      </c>
      <c r="AH245" s="11">
        <f t="shared" si="153"/>
        <v>0</v>
      </c>
      <c r="AI245" s="11">
        <f t="shared" si="154"/>
        <v>0</v>
      </c>
      <c r="AJ245" s="11">
        <f t="shared" si="155"/>
        <v>0</v>
      </c>
      <c r="AK245" s="11">
        <f t="shared" si="156"/>
        <v>0</v>
      </c>
      <c r="AL245" s="11">
        <f t="shared" si="157"/>
        <v>0</v>
      </c>
      <c r="AM245" s="11">
        <f t="shared" si="158"/>
        <v>0</v>
      </c>
      <c r="AN245" s="11">
        <f t="shared" si="159"/>
        <v>0</v>
      </c>
      <c r="AO245" s="11">
        <f t="shared" si="160"/>
        <v>0</v>
      </c>
      <c r="AP245" s="11">
        <f t="shared" si="161"/>
        <v>0</v>
      </c>
      <c r="AQ245" s="11">
        <f t="shared" si="162"/>
        <v>0</v>
      </c>
      <c r="AR245" s="11">
        <f t="shared" si="163"/>
        <v>0</v>
      </c>
      <c r="AS245" s="11">
        <f t="shared" si="164"/>
        <v>0</v>
      </c>
      <c r="AT245" s="11">
        <f t="shared" si="165"/>
        <v>0</v>
      </c>
      <c r="AU245" s="11">
        <f t="shared" si="166"/>
        <v>0</v>
      </c>
      <c r="AV245" s="11">
        <f t="shared" si="167"/>
        <v>0</v>
      </c>
      <c r="AW245" s="11">
        <f t="shared" si="168"/>
        <v>0</v>
      </c>
      <c r="AX245" s="11">
        <f t="shared" si="169"/>
        <v>0</v>
      </c>
      <c r="AY245" s="11">
        <f t="shared" si="170"/>
        <v>0</v>
      </c>
    </row>
    <row r="246" spans="1:51">
      <c r="A246" s="15">
        <v>45171</v>
      </c>
      <c r="B246" s="436"/>
      <c r="C246" s="436"/>
      <c r="D246" s="436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11">
        <f t="shared" ref="Z246:Z274" si="171">B246-Y245</f>
        <v>0</v>
      </c>
      <c r="AA246" s="11">
        <f t="shared" ref="AA246:AA275" si="172">C246-B246</f>
        <v>0</v>
      </c>
      <c r="AB246" s="11">
        <f t="shared" ref="AB246:AB275" si="173">D246-C246</f>
        <v>0</v>
      </c>
      <c r="AC246" s="11">
        <f t="shared" ref="AC246:AC275" si="174">E246-D246</f>
        <v>0</v>
      </c>
      <c r="AD246" s="11">
        <f t="shared" ref="AD246:AD275" si="175">F246-E246</f>
        <v>0</v>
      </c>
      <c r="AE246" s="11">
        <f t="shared" ref="AE246:AE275" si="176">G246-F246</f>
        <v>0</v>
      </c>
      <c r="AF246" s="11">
        <f t="shared" ref="AF246:AF275" si="177">H246-G246</f>
        <v>0</v>
      </c>
      <c r="AG246" s="11">
        <f t="shared" ref="AG246:AG275" si="178">I246-H246</f>
        <v>0</v>
      </c>
      <c r="AH246" s="11">
        <f t="shared" ref="AH246:AH275" si="179">J246-I246</f>
        <v>0</v>
      </c>
      <c r="AI246" s="11">
        <f t="shared" ref="AI246:AI275" si="180">K246-J246</f>
        <v>0</v>
      </c>
      <c r="AJ246" s="11">
        <f t="shared" ref="AJ246:AJ275" si="181">L246-K246</f>
        <v>0</v>
      </c>
      <c r="AK246" s="11">
        <f t="shared" ref="AK246:AK275" si="182">M246-L246</f>
        <v>0</v>
      </c>
      <c r="AL246" s="11">
        <f t="shared" ref="AL246:AL275" si="183">N246-M246</f>
        <v>0</v>
      </c>
      <c r="AM246" s="11">
        <f t="shared" ref="AM246:AM275" si="184">O246-N246</f>
        <v>0</v>
      </c>
      <c r="AN246" s="11">
        <f t="shared" ref="AN246:AN275" si="185">P246-O246</f>
        <v>0</v>
      </c>
      <c r="AO246" s="11">
        <f t="shared" ref="AO246:AO275" si="186">Q246-P246</f>
        <v>0</v>
      </c>
      <c r="AP246" s="11">
        <f t="shared" ref="AP246:AP275" si="187">R246-Q246</f>
        <v>0</v>
      </c>
      <c r="AQ246" s="11">
        <f t="shared" ref="AQ246:AQ275" si="188">S246-R246</f>
        <v>0</v>
      </c>
      <c r="AR246" s="11">
        <f t="shared" ref="AR246:AR275" si="189">T246-S246</f>
        <v>0</v>
      </c>
      <c r="AS246" s="11">
        <f t="shared" ref="AS246:AS275" si="190">U246-T246</f>
        <v>0</v>
      </c>
      <c r="AT246" s="11">
        <f t="shared" ref="AT246:AT275" si="191">V246-U246</f>
        <v>0</v>
      </c>
      <c r="AU246" s="11">
        <f t="shared" ref="AU246:AU275" si="192">W246-V246</f>
        <v>0</v>
      </c>
      <c r="AV246" s="11">
        <f t="shared" ref="AV246:AV275" si="193">X246-W246</f>
        <v>0</v>
      </c>
      <c r="AW246" s="11">
        <f t="shared" ref="AW246:AW275" si="194">Y246-X246</f>
        <v>0</v>
      </c>
      <c r="AX246" s="11">
        <f t="shared" ref="AX246:AX275" si="195">SUMIF(Z246:AW246,"&gt;0")</f>
        <v>0</v>
      </c>
      <c r="AY246" s="11">
        <f t="shared" ref="AY246:AY275" si="196">SUMIF(Z246:AW246,"&lt;0")*-1</f>
        <v>0</v>
      </c>
    </row>
    <row r="247" spans="1:51">
      <c r="A247" s="15">
        <v>45172</v>
      </c>
      <c r="B247" s="436"/>
      <c r="C247" s="436"/>
      <c r="D247" s="436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11">
        <f t="shared" si="171"/>
        <v>0</v>
      </c>
      <c r="AA247" s="11">
        <f t="shared" si="172"/>
        <v>0</v>
      </c>
      <c r="AB247" s="11">
        <f t="shared" si="173"/>
        <v>0</v>
      </c>
      <c r="AC247" s="11">
        <f t="shared" si="174"/>
        <v>0</v>
      </c>
      <c r="AD247" s="11">
        <f t="shared" si="175"/>
        <v>0</v>
      </c>
      <c r="AE247" s="11">
        <f t="shared" si="176"/>
        <v>0</v>
      </c>
      <c r="AF247" s="11">
        <f t="shared" si="177"/>
        <v>0</v>
      </c>
      <c r="AG247" s="11">
        <f t="shared" si="178"/>
        <v>0</v>
      </c>
      <c r="AH247" s="11">
        <f t="shared" si="179"/>
        <v>0</v>
      </c>
      <c r="AI247" s="11">
        <f t="shared" si="180"/>
        <v>0</v>
      </c>
      <c r="AJ247" s="11">
        <f t="shared" si="181"/>
        <v>0</v>
      </c>
      <c r="AK247" s="11">
        <f t="shared" si="182"/>
        <v>0</v>
      </c>
      <c r="AL247" s="11">
        <f t="shared" si="183"/>
        <v>0</v>
      </c>
      <c r="AM247" s="11">
        <f t="shared" si="184"/>
        <v>0</v>
      </c>
      <c r="AN247" s="11">
        <f t="shared" si="185"/>
        <v>0</v>
      </c>
      <c r="AO247" s="11">
        <f t="shared" si="186"/>
        <v>0</v>
      </c>
      <c r="AP247" s="11">
        <f t="shared" si="187"/>
        <v>0</v>
      </c>
      <c r="AQ247" s="11">
        <f t="shared" si="188"/>
        <v>0</v>
      </c>
      <c r="AR247" s="11">
        <f t="shared" si="189"/>
        <v>0</v>
      </c>
      <c r="AS247" s="11">
        <f t="shared" si="190"/>
        <v>0</v>
      </c>
      <c r="AT247" s="11">
        <f t="shared" si="191"/>
        <v>0</v>
      </c>
      <c r="AU247" s="11">
        <f t="shared" si="192"/>
        <v>0</v>
      </c>
      <c r="AV247" s="11">
        <f t="shared" si="193"/>
        <v>0</v>
      </c>
      <c r="AW247" s="11">
        <f t="shared" si="194"/>
        <v>0</v>
      </c>
      <c r="AX247" s="11">
        <f t="shared" si="195"/>
        <v>0</v>
      </c>
      <c r="AY247" s="11">
        <f t="shared" si="196"/>
        <v>0</v>
      </c>
    </row>
    <row r="248" spans="1:51">
      <c r="A248" s="15">
        <v>45173</v>
      </c>
      <c r="B248" s="436"/>
      <c r="C248" s="436"/>
      <c r="D248" s="436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11">
        <f t="shared" si="171"/>
        <v>0</v>
      </c>
      <c r="AA248" s="11">
        <f t="shared" si="172"/>
        <v>0</v>
      </c>
      <c r="AB248" s="11">
        <f t="shared" si="173"/>
        <v>0</v>
      </c>
      <c r="AC248" s="11">
        <f t="shared" si="174"/>
        <v>0</v>
      </c>
      <c r="AD248" s="11">
        <f t="shared" si="175"/>
        <v>0</v>
      </c>
      <c r="AE248" s="11">
        <f t="shared" si="176"/>
        <v>0</v>
      </c>
      <c r="AF248" s="11">
        <f t="shared" si="177"/>
        <v>0</v>
      </c>
      <c r="AG248" s="11">
        <f t="shared" si="178"/>
        <v>0</v>
      </c>
      <c r="AH248" s="11">
        <f t="shared" si="179"/>
        <v>0</v>
      </c>
      <c r="AI248" s="11">
        <f t="shared" si="180"/>
        <v>0</v>
      </c>
      <c r="AJ248" s="11">
        <f t="shared" si="181"/>
        <v>0</v>
      </c>
      <c r="AK248" s="11">
        <f t="shared" si="182"/>
        <v>0</v>
      </c>
      <c r="AL248" s="11">
        <f t="shared" si="183"/>
        <v>0</v>
      </c>
      <c r="AM248" s="11">
        <f t="shared" si="184"/>
        <v>0</v>
      </c>
      <c r="AN248" s="11">
        <f t="shared" si="185"/>
        <v>0</v>
      </c>
      <c r="AO248" s="11">
        <f t="shared" si="186"/>
        <v>0</v>
      </c>
      <c r="AP248" s="11">
        <f t="shared" si="187"/>
        <v>0</v>
      </c>
      <c r="AQ248" s="11">
        <f t="shared" si="188"/>
        <v>0</v>
      </c>
      <c r="AR248" s="11">
        <f t="shared" si="189"/>
        <v>0</v>
      </c>
      <c r="AS248" s="11">
        <f t="shared" si="190"/>
        <v>0</v>
      </c>
      <c r="AT248" s="11">
        <f t="shared" si="191"/>
        <v>0</v>
      </c>
      <c r="AU248" s="11">
        <f t="shared" si="192"/>
        <v>0</v>
      </c>
      <c r="AV248" s="11">
        <f t="shared" si="193"/>
        <v>0</v>
      </c>
      <c r="AW248" s="11">
        <f t="shared" si="194"/>
        <v>0</v>
      </c>
      <c r="AX248" s="11">
        <f t="shared" si="195"/>
        <v>0</v>
      </c>
      <c r="AY248" s="11">
        <f t="shared" si="196"/>
        <v>0</v>
      </c>
    </row>
    <row r="249" spans="1:51">
      <c r="A249" s="15">
        <v>45174</v>
      </c>
      <c r="B249" s="436"/>
      <c r="C249" s="436"/>
      <c r="D249" s="436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11">
        <f t="shared" si="171"/>
        <v>0</v>
      </c>
      <c r="AA249" s="11">
        <f t="shared" si="172"/>
        <v>0</v>
      </c>
      <c r="AB249" s="11">
        <f t="shared" si="173"/>
        <v>0</v>
      </c>
      <c r="AC249" s="11">
        <f t="shared" si="174"/>
        <v>0</v>
      </c>
      <c r="AD249" s="11">
        <f t="shared" si="175"/>
        <v>0</v>
      </c>
      <c r="AE249" s="11">
        <f t="shared" si="176"/>
        <v>0</v>
      </c>
      <c r="AF249" s="11">
        <f t="shared" si="177"/>
        <v>0</v>
      </c>
      <c r="AG249" s="11">
        <f t="shared" si="178"/>
        <v>0</v>
      </c>
      <c r="AH249" s="11">
        <f t="shared" si="179"/>
        <v>0</v>
      </c>
      <c r="AI249" s="11">
        <f t="shared" si="180"/>
        <v>0</v>
      </c>
      <c r="AJ249" s="11">
        <f t="shared" si="181"/>
        <v>0</v>
      </c>
      <c r="AK249" s="11">
        <f t="shared" si="182"/>
        <v>0</v>
      </c>
      <c r="AL249" s="11">
        <f t="shared" si="183"/>
        <v>0</v>
      </c>
      <c r="AM249" s="11">
        <f t="shared" si="184"/>
        <v>0</v>
      </c>
      <c r="AN249" s="11">
        <f t="shared" si="185"/>
        <v>0</v>
      </c>
      <c r="AO249" s="11">
        <f t="shared" si="186"/>
        <v>0</v>
      </c>
      <c r="AP249" s="11">
        <f t="shared" si="187"/>
        <v>0</v>
      </c>
      <c r="AQ249" s="11">
        <f t="shared" si="188"/>
        <v>0</v>
      </c>
      <c r="AR249" s="11">
        <f t="shared" si="189"/>
        <v>0</v>
      </c>
      <c r="AS249" s="11">
        <f t="shared" si="190"/>
        <v>0</v>
      </c>
      <c r="AT249" s="11">
        <f t="shared" si="191"/>
        <v>0</v>
      </c>
      <c r="AU249" s="11">
        <f t="shared" si="192"/>
        <v>0</v>
      </c>
      <c r="AV249" s="11">
        <f t="shared" si="193"/>
        <v>0</v>
      </c>
      <c r="AW249" s="11">
        <f t="shared" si="194"/>
        <v>0</v>
      </c>
      <c r="AX249" s="11">
        <f t="shared" si="195"/>
        <v>0</v>
      </c>
      <c r="AY249" s="11">
        <f t="shared" si="196"/>
        <v>0</v>
      </c>
    </row>
    <row r="250" spans="1:51">
      <c r="A250" s="15">
        <v>45175</v>
      </c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11">
        <f t="shared" si="171"/>
        <v>0</v>
      </c>
      <c r="AA250" s="11">
        <f t="shared" si="172"/>
        <v>0</v>
      </c>
      <c r="AB250" s="11">
        <f t="shared" si="173"/>
        <v>0</v>
      </c>
      <c r="AC250" s="11">
        <f t="shared" si="174"/>
        <v>0</v>
      </c>
      <c r="AD250" s="11">
        <f t="shared" si="175"/>
        <v>0</v>
      </c>
      <c r="AE250" s="11">
        <f t="shared" si="176"/>
        <v>0</v>
      </c>
      <c r="AF250" s="11">
        <f t="shared" si="177"/>
        <v>0</v>
      </c>
      <c r="AG250" s="11">
        <f t="shared" si="178"/>
        <v>0</v>
      </c>
      <c r="AH250" s="11">
        <f t="shared" si="179"/>
        <v>0</v>
      </c>
      <c r="AI250" s="11">
        <f t="shared" si="180"/>
        <v>0</v>
      </c>
      <c r="AJ250" s="11">
        <f t="shared" si="181"/>
        <v>0</v>
      </c>
      <c r="AK250" s="11">
        <f t="shared" si="182"/>
        <v>0</v>
      </c>
      <c r="AL250" s="11">
        <f t="shared" si="183"/>
        <v>0</v>
      </c>
      <c r="AM250" s="11">
        <f t="shared" si="184"/>
        <v>0</v>
      </c>
      <c r="AN250" s="11">
        <f t="shared" si="185"/>
        <v>0</v>
      </c>
      <c r="AO250" s="11">
        <f t="shared" si="186"/>
        <v>0</v>
      </c>
      <c r="AP250" s="11">
        <f t="shared" si="187"/>
        <v>0</v>
      </c>
      <c r="AQ250" s="11">
        <f t="shared" si="188"/>
        <v>0</v>
      </c>
      <c r="AR250" s="11">
        <f t="shared" si="189"/>
        <v>0</v>
      </c>
      <c r="AS250" s="11">
        <f t="shared" si="190"/>
        <v>0</v>
      </c>
      <c r="AT250" s="11">
        <f t="shared" si="191"/>
        <v>0</v>
      </c>
      <c r="AU250" s="11">
        <f t="shared" si="192"/>
        <v>0</v>
      </c>
      <c r="AV250" s="11">
        <f t="shared" si="193"/>
        <v>0</v>
      </c>
      <c r="AW250" s="11">
        <f t="shared" si="194"/>
        <v>0</v>
      </c>
      <c r="AX250" s="11">
        <f t="shared" si="195"/>
        <v>0</v>
      </c>
      <c r="AY250" s="11">
        <f t="shared" si="196"/>
        <v>0</v>
      </c>
    </row>
    <row r="251" spans="1:51">
      <c r="A251" s="15">
        <v>45176</v>
      </c>
      <c r="B251" s="436"/>
      <c r="C251" s="436"/>
      <c r="D251" s="436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11">
        <f t="shared" si="171"/>
        <v>0</v>
      </c>
      <c r="AA251" s="11">
        <f t="shared" si="172"/>
        <v>0</v>
      </c>
      <c r="AB251" s="11">
        <f t="shared" si="173"/>
        <v>0</v>
      </c>
      <c r="AC251" s="11">
        <f t="shared" si="174"/>
        <v>0</v>
      </c>
      <c r="AD251" s="11">
        <f t="shared" si="175"/>
        <v>0</v>
      </c>
      <c r="AE251" s="11">
        <f t="shared" si="176"/>
        <v>0</v>
      </c>
      <c r="AF251" s="11">
        <f t="shared" si="177"/>
        <v>0</v>
      </c>
      <c r="AG251" s="11">
        <f t="shared" si="178"/>
        <v>0</v>
      </c>
      <c r="AH251" s="11">
        <f t="shared" si="179"/>
        <v>0</v>
      </c>
      <c r="AI251" s="11">
        <f t="shared" si="180"/>
        <v>0</v>
      </c>
      <c r="AJ251" s="11">
        <f t="shared" si="181"/>
        <v>0</v>
      </c>
      <c r="AK251" s="11">
        <f t="shared" si="182"/>
        <v>0</v>
      </c>
      <c r="AL251" s="11">
        <f t="shared" si="183"/>
        <v>0</v>
      </c>
      <c r="AM251" s="11">
        <f t="shared" si="184"/>
        <v>0</v>
      </c>
      <c r="AN251" s="11">
        <f t="shared" si="185"/>
        <v>0</v>
      </c>
      <c r="AO251" s="11">
        <f t="shared" si="186"/>
        <v>0</v>
      </c>
      <c r="AP251" s="11">
        <f t="shared" si="187"/>
        <v>0</v>
      </c>
      <c r="AQ251" s="11">
        <f t="shared" si="188"/>
        <v>0</v>
      </c>
      <c r="AR251" s="11">
        <f t="shared" si="189"/>
        <v>0</v>
      </c>
      <c r="AS251" s="11">
        <f t="shared" si="190"/>
        <v>0</v>
      </c>
      <c r="AT251" s="11">
        <f t="shared" si="191"/>
        <v>0</v>
      </c>
      <c r="AU251" s="11">
        <f t="shared" si="192"/>
        <v>0</v>
      </c>
      <c r="AV251" s="11">
        <f t="shared" si="193"/>
        <v>0</v>
      </c>
      <c r="AW251" s="11">
        <f t="shared" si="194"/>
        <v>0</v>
      </c>
      <c r="AX251" s="11">
        <f t="shared" si="195"/>
        <v>0</v>
      </c>
      <c r="AY251" s="11">
        <f t="shared" si="196"/>
        <v>0</v>
      </c>
    </row>
    <row r="252" spans="1:51">
      <c r="A252" s="15">
        <v>45177</v>
      </c>
      <c r="B252" s="436"/>
      <c r="C252" s="436"/>
      <c r="D252" s="436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11">
        <f t="shared" si="171"/>
        <v>0</v>
      </c>
      <c r="AA252" s="11">
        <f t="shared" si="172"/>
        <v>0</v>
      </c>
      <c r="AB252" s="11">
        <f t="shared" si="173"/>
        <v>0</v>
      </c>
      <c r="AC252" s="11">
        <f t="shared" si="174"/>
        <v>0</v>
      </c>
      <c r="AD252" s="11">
        <f t="shared" si="175"/>
        <v>0</v>
      </c>
      <c r="AE252" s="11">
        <f t="shared" si="176"/>
        <v>0</v>
      </c>
      <c r="AF252" s="11">
        <f t="shared" si="177"/>
        <v>0</v>
      </c>
      <c r="AG252" s="11">
        <f t="shared" si="178"/>
        <v>0</v>
      </c>
      <c r="AH252" s="11">
        <f t="shared" si="179"/>
        <v>0</v>
      </c>
      <c r="AI252" s="11">
        <f t="shared" si="180"/>
        <v>0</v>
      </c>
      <c r="AJ252" s="11">
        <f t="shared" si="181"/>
        <v>0</v>
      </c>
      <c r="AK252" s="11">
        <f t="shared" si="182"/>
        <v>0</v>
      </c>
      <c r="AL252" s="11">
        <f t="shared" si="183"/>
        <v>0</v>
      </c>
      <c r="AM252" s="11">
        <f t="shared" si="184"/>
        <v>0</v>
      </c>
      <c r="AN252" s="11">
        <f t="shared" si="185"/>
        <v>0</v>
      </c>
      <c r="AO252" s="11">
        <f t="shared" si="186"/>
        <v>0</v>
      </c>
      <c r="AP252" s="11">
        <f t="shared" si="187"/>
        <v>0</v>
      </c>
      <c r="AQ252" s="11">
        <f t="shared" si="188"/>
        <v>0</v>
      </c>
      <c r="AR252" s="11">
        <f t="shared" si="189"/>
        <v>0</v>
      </c>
      <c r="AS252" s="11">
        <f t="shared" si="190"/>
        <v>0</v>
      </c>
      <c r="AT252" s="11">
        <f t="shared" si="191"/>
        <v>0</v>
      </c>
      <c r="AU252" s="11">
        <f t="shared" si="192"/>
        <v>0</v>
      </c>
      <c r="AV252" s="11">
        <f t="shared" si="193"/>
        <v>0</v>
      </c>
      <c r="AW252" s="11">
        <f t="shared" si="194"/>
        <v>0</v>
      </c>
      <c r="AX252" s="11">
        <f t="shared" si="195"/>
        <v>0</v>
      </c>
      <c r="AY252" s="11">
        <f t="shared" si="196"/>
        <v>0</v>
      </c>
    </row>
    <row r="253" spans="1:51">
      <c r="A253" s="15">
        <v>45178</v>
      </c>
      <c r="B253" s="436"/>
      <c r="C253" s="436"/>
      <c r="D253" s="436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11">
        <f t="shared" si="171"/>
        <v>0</v>
      </c>
      <c r="AA253" s="11">
        <f t="shared" si="172"/>
        <v>0</v>
      </c>
      <c r="AB253" s="11">
        <f t="shared" si="173"/>
        <v>0</v>
      </c>
      <c r="AC253" s="11">
        <f t="shared" si="174"/>
        <v>0</v>
      </c>
      <c r="AD253" s="11">
        <f t="shared" si="175"/>
        <v>0</v>
      </c>
      <c r="AE253" s="11">
        <f t="shared" si="176"/>
        <v>0</v>
      </c>
      <c r="AF253" s="11">
        <f t="shared" si="177"/>
        <v>0</v>
      </c>
      <c r="AG253" s="11">
        <f t="shared" si="178"/>
        <v>0</v>
      </c>
      <c r="AH253" s="11">
        <f t="shared" si="179"/>
        <v>0</v>
      </c>
      <c r="AI253" s="11">
        <f t="shared" si="180"/>
        <v>0</v>
      </c>
      <c r="AJ253" s="11">
        <f t="shared" si="181"/>
        <v>0</v>
      </c>
      <c r="AK253" s="11">
        <f t="shared" si="182"/>
        <v>0</v>
      </c>
      <c r="AL253" s="11">
        <f t="shared" si="183"/>
        <v>0</v>
      </c>
      <c r="AM253" s="11">
        <f t="shared" si="184"/>
        <v>0</v>
      </c>
      <c r="AN253" s="11">
        <f t="shared" si="185"/>
        <v>0</v>
      </c>
      <c r="AO253" s="11">
        <f t="shared" si="186"/>
        <v>0</v>
      </c>
      <c r="AP253" s="11">
        <f t="shared" si="187"/>
        <v>0</v>
      </c>
      <c r="AQ253" s="11">
        <f t="shared" si="188"/>
        <v>0</v>
      </c>
      <c r="AR253" s="11">
        <f t="shared" si="189"/>
        <v>0</v>
      </c>
      <c r="AS253" s="11">
        <f t="shared" si="190"/>
        <v>0</v>
      </c>
      <c r="AT253" s="11">
        <f t="shared" si="191"/>
        <v>0</v>
      </c>
      <c r="AU253" s="11">
        <f t="shared" si="192"/>
        <v>0</v>
      </c>
      <c r="AV253" s="11">
        <f t="shared" si="193"/>
        <v>0</v>
      </c>
      <c r="AW253" s="11">
        <f t="shared" si="194"/>
        <v>0</v>
      </c>
      <c r="AX253" s="11">
        <f t="shared" si="195"/>
        <v>0</v>
      </c>
      <c r="AY253" s="11">
        <f t="shared" si="196"/>
        <v>0</v>
      </c>
    </row>
    <row r="254" spans="1:51">
      <c r="A254" s="15">
        <v>45179</v>
      </c>
      <c r="B254" s="436"/>
      <c r="C254" s="436"/>
      <c r="D254" s="436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11">
        <f t="shared" si="171"/>
        <v>0</v>
      </c>
      <c r="AA254" s="11">
        <f t="shared" si="172"/>
        <v>0</v>
      </c>
      <c r="AB254" s="11">
        <f t="shared" si="173"/>
        <v>0</v>
      </c>
      <c r="AC254" s="11">
        <f t="shared" si="174"/>
        <v>0</v>
      </c>
      <c r="AD254" s="11">
        <f t="shared" si="175"/>
        <v>0</v>
      </c>
      <c r="AE254" s="11">
        <f t="shared" si="176"/>
        <v>0</v>
      </c>
      <c r="AF254" s="11">
        <f t="shared" si="177"/>
        <v>0</v>
      </c>
      <c r="AG254" s="11">
        <f t="shared" si="178"/>
        <v>0</v>
      </c>
      <c r="AH254" s="11">
        <f t="shared" si="179"/>
        <v>0</v>
      </c>
      <c r="AI254" s="11">
        <f t="shared" si="180"/>
        <v>0</v>
      </c>
      <c r="AJ254" s="11">
        <f t="shared" si="181"/>
        <v>0</v>
      </c>
      <c r="AK254" s="11">
        <f t="shared" si="182"/>
        <v>0</v>
      </c>
      <c r="AL254" s="11">
        <f t="shared" si="183"/>
        <v>0</v>
      </c>
      <c r="AM254" s="11">
        <f t="shared" si="184"/>
        <v>0</v>
      </c>
      <c r="AN254" s="11">
        <f t="shared" si="185"/>
        <v>0</v>
      </c>
      <c r="AO254" s="11">
        <f t="shared" si="186"/>
        <v>0</v>
      </c>
      <c r="AP254" s="11">
        <f t="shared" si="187"/>
        <v>0</v>
      </c>
      <c r="AQ254" s="11">
        <f t="shared" si="188"/>
        <v>0</v>
      </c>
      <c r="AR254" s="11">
        <f t="shared" si="189"/>
        <v>0</v>
      </c>
      <c r="AS254" s="11">
        <f t="shared" si="190"/>
        <v>0</v>
      </c>
      <c r="AT254" s="11">
        <f t="shared" si="191"/>
        <v>0</v>
      </c>
      <c r="AU254" s="11">
        <f t="shared" si="192"/>
        <v>0</v>
      </c>
      <c r="AV254" s="11">
        <f t="shared" si="193"/>
        <v>0</v>
      </c>
      <c r="AW254" s="11">
        <f t="shared" si="194"/>
        <v>0</v>
      </c>
      <c r="AX254" s="11">
        <f t="shared" si="195"/>
        <v>0</v>
      </c>
      <c r="AY254" s="11">
        <f t="shared" si="196"/>
        <v>0</v>
      </c>
    </row>
    <row r="255" spans="1:51">
      <c r="A255" s="15">
        <v>45180</v>
      </c>
      <c r="B255" s="436"/>
      <c r="C255" s="436"/>
      <c r="D255" s="436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11">
        <f t="shared" si="171"/>
        <v>0</v>
      </c>
      <c r="AA255" s="11">
        <f t="shared" si="172"/>
        <v>0</v>
      </c>
      <c r="AB255" s="11">
        <f t="shared" si="173"/>
        <v>0</v>
      </c>
      <c r="AC255" s="11">
        <f t="shared" si="174"/>
        <v>0</v>
      </c>
      <c r="AD255" s="11">
        <f t="shared" si="175"/>
        <v>0</v>
      </c>
      <c r="AE255" s="11">
        <f t="shared" si="176"/>
        <v>0</v>
      </c>
      <c r="AF255" s="11">
        <f t="shared" si="177"/>
        <v>0</v>
      </c>
      <c r="AG255" s="11">
        <f t="shared" si="178"/>
        <v>0</v>
      </c>
      <c r="AH255" s="11">
        <f t="shared" si="179"/>
        <v>0</v>
      </c>
      <c r="AI255" s="11">
        <f t="shared" si="180"/>
        <v>0</v>
      </c>
      <c r="AJ255" s="11">
        <f t="shared" si="181"/>
        <v>0</v>
      </c>
      <c r="AK255" s="11">
        <f t="shared" si="182"/>
        <v>0</v>
      </c>
      <c r="AL255" s="11">
        <f t="shared" si="183"/>
        <v>0</v>
      </c>
      <c r="AM255" s="11">
        <f t="shared" si="184"/>
        <v>0</v>
      </c>
      <c r="AN255" s="11">
        <f t="shared" si="185"/>
        <v>0</v>
      </c>
      <c r="AO255" s="11">
        <f t="shared" si="186"/>
        <v>0</v>
      </c>
      <c r="AP255" s="11">
        <f t="shared" si="187"/>
        <v>0</v>
      </c>
      <c r="AQ255" s="11">
        <f t="shared" si="188"/>
        <v>0</v>
      </c>
      <c r="AR255" s="11">
        <f t="shared" si="189"/>
        <v>0</v>
      </c>
      <c r="AS255" s="11">
        <f t="shared" si="190"/>
        <v>0</v>
      </c>
      <c r="AT255" s="11">
        <f t="shared" si="191"/>
        <v>0</v>
      </c>
      <c r="AU255" s="11">
        <f t="shared" si="192"/>
        <v>0</v>
      </c>
      <c r="AV255" s="11">
        <f t="shared" si="193"/>
        <v>0</v>
      </c>
      <c r="AW255" s="11">
        <f t="shared" si="194"/>
        <v>0</v>
      </c>
      <c r="AX255" s="11">
        <f t="shared" si="195"/>
        <v>0</v>
      </c>
      <c r="AY255" s="11">
        <f t="shared" si="196"/>
        <v>0</v>
      </c>
    </row>
    <row r="256" spans="1:51">
      <c r="A256" s="15">
        <v>45181</v>
      </c>
      <c r="B256" s="436"/>
      <c r="C256" s="436"/>
      <c r="D256" s="436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11">
        <f t="shared" si="171"/>
        <v>0</v>
      </c>
      <c r="AA256" s="11">
        <f t="shared" si="172"/>
        <v>0</v>
      </c>
      <c r="AB256" s="11">
        <f t="shared" si="173"/>
        <v>0</v>
      </c>
      <c r="AC256" s="11">
        <f t="shared" si="174"/>
        <v>0</v>
      </c>
      <c r="AD256" s="11">
        <f t="shared" si="175"/>
        <v>0</v>
      </c>
      <c r="AE256" s="11">
        <f t="shared" si="176"/>
        <v>0</v>
      </c>
      <c r="AF256" s="11">
        <f t="shared" si="177"/>
        <v>0</v>
      </c>
      <c r="AG256" s="11">
        <f t="shared" si="178"/>
        <v>0</v>
      </c>
      <c r="AH256" s="11">
        <f t="shared" si="179"/>
        <v>0</v>
      </c>
      <c r="AI256" s="11">
        <f t="shared" si="180"/>
        <v>0</v>
      </c>
      <c r="AJ256" s="11">
        <f t="shared" si="181"/>
        <v>0</v>
      </c>
      <c r="AK256" s="11">
        <f t="shared" si="182"/>
        <v>0</v>
      </c>
      <c r="AL256" s="11">
        <f t="shared" si="183"/>
        <v>0</v>
      </c>
      <c r="AM256" s="11">
        <f t="shared" si="184"/>
        <v>0</v>
      </c>
      <c r="AN256" s="11">
        <f t="shared" si="185"/>
        <v>0</v>
      </c>
      <c r="AO256" s="11">
        <f t="shared" si="186"/>
        <v>0</v>
      </c>
      <c r="AP256" s="11">
        <f t="shared" si="187"/>
        <v>0</v>
      </c>
      <c r="AQ256" s="11">
        <f t="shared" si="188"/>
        <v>0</v>
      </c>
      <c r="AR256" s="11">
        <f t="shared" si="189"/>
        <v>0</v>
      </c>
      <c r="AS256" s="11">
        <f t="shared" si="190"/>
        <v>0</v>
      </c>
      <c r="AT256" s="11">
        <f t="shared" si="191"/>
        <v>0</v>
      </c>
      <c r="AU256" s="11">
        <f t="shared" si="192"/>
        <v>0</v>
      </c>
      <c r="AV256" s="11">
        <f t="shared" si="193"/>
        <v>0</v>
      </c>
      <c r="AW256" s="11">
        <f t="shared" si="194"/>
        <v>0</v>
      </c>
      <c r="AX256" s="11">
        <f t="shared" si="195"/>
        <v>0</v>
      </c>
      <c r="AY256" s="11">
        <f t="shared" si="196"/>
        <v>0</v>
      </c>
    </row>
    <row r="257" spans="1:51">
      <c r="A257" s="15">
        <v>45182</v>
      </c>
      <c r="B257" s="436"/>
      <c r="C257" s="436"/>
      <c r="D257" s="436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11">
        <f t="shared" si="171"/>
        <v>0</v>
      </c>
      <c r="AA257" s="11">
        <f t="shared" si="172"/>
        <v>0</v>
      </c>
      <c r="AB257" s="11">
        <f t="shared" si="173"/>
        <v>0</v>
      </c>
      <c r="AC257" s="11">
        <f t="shared" si="174"/>
        <v>0</v>
      </c>
      <c r="AD257" s="11">
        <f t="shared" si="175"/>
        <v>0</v>
      </c>
      <c r="AE257" s="11">
        <f t="shared" si="176"/>
        <v>0</v>
      </c>
      <c r="AF257" s="11">
        <f t="shared" si="177"/>
        <v>0</v>
      </c>
      <c r="AG257" s="11">
        <f t="shared" si="178"/>
        <v>0</v>
      </c>
      <c r="AH257" s="11">
        <f t="shared" si="179"/>
        <v>0</v>
      </c>
      <c r="AI257" s="11">
        <f t="shared" si="180"/>
        <v>0</v>
      </c>
      <c r="AJ257" s="11">
        <f t="shared" si="181"/>
        <v>0</v>
      </c>
      <c r="AK257" s="11">
        <f t="shared" si="182"/>
        <v>0</v>
      </c>
      <c r="AL257" s="11">
        <f t="shared" si="183"/>
        <v>0</v>
      </c>
      <c r="AM257" s="11">
        <f t="shared" si="184"/>
        <v>0</v>
      </c>
      <c r="AN257" s="11">
        <f t="shared" si="185"/>
        <v>0</v>
      </c>
      <c r="AO257" s="11">
        <f t="shared" si="186"/>
        <v>0</v>
      </c>
      <c r="AP257" s="11">
        <f t="shared" si="187"/>
        <v>0</v>
      </c>
      <c r="AQ257" s="11">
        <f t="shared" si="188"/>
        <v>0</v>
      </c>
      <c r="AR257" s="11">
        <f t="shared" si="189"/>
        <v>0</v>
      </c>
      <c r="AS257" s="11">
        <f t="shared" si="190"/>
        <v>0</v>
      </c>
      <c r="AT257" s="11">
        <f t="shared" si="191"/>
        <v>0</v>
      </c>
      <c r="AU257" s="11">
        <f t="shared" si="192"/>
        <v>0</v>
      </c>
      <c r="AV257" s="11">
        <f t="shared" si="193"/>
        <v>0</v>
      </c>
      <c r="AW257" s="11">
        <f t="shared" si="194"/>
        <v>0</v>
      </c>
      <c r="AX257" s="11">
        <f t="shared" si="195"/>
        <v>0</v>
      </c>
      <c r="AY257" s="11">
        <f t="shared" si="196"/>
        <v>0</v>
      </c>
    </row>
    <row r="258" spans="1:51">
      <c r="A258" s="15">
        <v>45183</v>
      </c>
      <c r="B258" s="436"/>
      <c r="C258" s="436"/>
      <c r="D258" s="436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11">
        <f t="shared" si="171"/>
        <v>0</v>
      </c>
      <c r="AA258" s="11">
        <f t="shared" si="172"/>
        <v>0</v>
      </c>
      <c r="AB258" s="11">
        <f t="shared" si="173"/>
        <v>0</v>
      </c>
      <c r="AC258" s="11">
        <f t="shared" si="174"/>
        <v>0</v>
      </c>
      <c r="AD258" s="11">
        <f t="shared" si="175"/>
        <v>0</v>
      </c>
      <c r="AE258" s="11">
        <f t="shared" si="176"/>
        <v>0</v>
      </c>
      <c r="AF258" s="11">
        <f t="shared" si="177"/>
        <v>0</v>
      </c>
      <c r="AG258" s="11">
        <f t="shared" si="178"/>
        <v>0</v>
      </c>
      <c r="AH258" s="11">
        <f t="shared" si="179"/>
        <v>0</v>
      </c>
      <c r="AI258" s="11">
        <f t="shared" si="180"/>
        <v>0</v>
      </c>
      <c r="AJ258" s="11">
        <f t="shared" si="181"/>
        <v>0</v>
      </c>
      <c r="AK258" s="11">
        <f t="shared" si="182"/>
        <v>0</v>
      </c>
      <c r="AL258" s="11">
        <f t="shared" si="183"/>
        <v>0</v>
      </c>
      <c r="AM258" s="11">
        <f t="shared" si="184"/>
        <v>0</v>
      </c>
      <c r="AN258" s="11">
        <f t="shared" si="185"/>
        <v>0</v>
      </c>
      <c r="AO258" s="11">
        <f t="shared" si="186"/>
        <v>0</v>
      </c>
      <c r="AP258" s="11">
        <f t="shared" si="187"/>
        <v>0</v>
      </c>
      <c r="AQ258" s="11">
        <f t="shared" si="188"/>
        <v>0</v>
      </c>
      <c r="AR258" s="11">
        <f t="shared" si="189"/>
        <v>0</v>
      </c>
      <c r="AS258" s="11">
        <f t="shared" si="190"/>
        <v>0</v>
      </c>
      <c r="AT258" s="11">
        <f t="shared" si="191"/>
        <v>0</v>
      </c>
      <c r="AU258" s="11">
        <f t="shared" si="192"/>
        <v>0</v>
      </c>
      <c r="AV258" s="11">
        <f t="shared" si="193"/>
        <v>0</v>
      </c>
      <c r="AW258" s="11">
        <f t="shared" si="194"/>
        <v>0</v>
      </c>
      <c r="AX258" s="11">
        <f t="shared" si="195"/>
        <v>0</v>
      </c>
      <c r="AY258" s="11">
        <f t="shared" si="196"/>
        <v>0</v>
      </c>
    </row>
    <row r="259" spans="1:51">
      <c r="A259" s="15">
        <v>45184</v>
      </c>
      <c r="B259" s="436"/>
      <c r="C259" s="436"/>
      <c r="D259" s="436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11">
        <f t="shared" si="171"/>
        <v>0</v>
      </c>
      <c r="AA259" s="11">
        <f t="shared" si="172"/>
        <v>0</v>
      </c>
      <c r="AB259" s="11">
        <f t="shared" si="173"/>
        <v>0</v>
      </c>
      <c r="AC259" s="11">
        <f t="shared" si="174"/>
        <v>0</v>
      </c>
      <c r="AD259" s="11">
        <f t="shared" si="175"/>
        <v>0</v>
      </c>
      <c r="AE259" s="11">
        <f t="shared" si="176"/>
        <v>0</v>
      </c>
      <c r="AF259" s="11">
        <f t="shared" si="177"/>
        <v>0</v>
      </c>
      <c r="AG259" s="11">
        <f t="shared" si="178"/>
        <v>0</v>
      </c>
      <c r="AH259" s="11">
        <f t="shared" si="179"/>
        <v>0</v>
      </c>
      <c r="AI259" s="11">
        <f t="shared" si="180"/>
        <v>0</v>
      </c>
      <c r="AJ259" s="11">
        <f t="shared" si="181"/>
        <v>0</v>
      </c>
      <c r="AK259" s="11">
        <f t="shared" si="182"/>
        <v>0</v>
      </c>
      <c r="AL259" s="11">
        <f t="shared" si="183"/>
        <v>0</v>
      </c>
      <c r="AM259" s="11">
        <f t="shared" si="184"/>
        <v>0</v>
      </c>
      <c r="AN259" s="11">
        <f t="shared" si="185"/>
        <v>0</v>
      </c>
      <c r="AO259" s="11">
        <f t="shared" si="186"/>
        <v>0</v>
      </c>
      <c r="AP259" s="11">
        <f t="shared" si="187"/>
        <v>0</v>
      </c>
      <c r="AQ259" s="11">
        <f t="shared" si="188"/>
        <v>0</v>
      </c>
      <c r="AR259" s="11">
        <f t="shared" si="189"/>
        <v>0</v>
      </c>
      <c r="AS259" s="11">
        <f t="shared" si="190"/>
        <v>0</v>
      </c>
      <c r="AT259" s="11">
        <f t="shared" si="191"/>
        <v>0</v>
      </c>
      <c r="AU259" s="11">
        <f t="shared" si="192"/>
        <v>0</v>
      </c>
      <c r="AV259" s="11">
        <f t="shared" si="193"/>
        <v>0</v>
      </c>
      <c r="AW259" s="11">
        <f t="shared" si="194"/>
        <v>0</v>
      </c>
      <c r="AX259" s="11">
        <f t="shared" si="195"/>
        <v>0</v>
      </c>
      <c r="AY259" s="11">
        <f t="shared" si="196"/>
        <v>0</v>
      </c>
    </row>
    <row r="260" spans="1:51">
      <c r="A260" s="15">
        <v>45185</v>
      </c>
      <c r="B260" s="436"/>
      <c r="C260" s="436"/>
      <c r="D260" s="436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11">
        <f t="shared" si="171"/>
        <v>0</v>
      </c>
      <c r="AA260" s="11">
        <f t="shared" si="172"/>
        <v>0</v>
      </c>
      <c r="AB260" s="11">
        <f t="shared" si="173"/>
        <v>0</v>
      </c>
      <c r="AC260" s="11">
        <f t="shared" si="174"/>
        <v>0</v>
      </c>
      <c r="AD260" s="11">
        <f t="shared" si="175"/>
        <v>0</v>
      </c>
      <c r="AE260" s="11">
        <f t="shared" si="176"/>
        <v>0</v>
      </c>
      <c r="AF260" s="11">
        <f t="shared" si="177"/>
        <v>0</v>
      </c>
      <c r="AG260" s="11">
        <f t="shared" si="178"/>
        <v>0</v>
      </c>
      <c r="AH260" s="11">
        <f t="shared" si="179"/>
        <v>0</v>
      </c>
      <c r="AI260" s="11">
        <f t="shared" si="180"/>
        <v>0</v>
      </c>
      <c r="AJ260" s="11">
        <f t="shared" si="181"/>
        <v>0</v>
      </c>
      <c r="AK260" s="11">
        <f t="shared" si="182"/>
        <v>0</v>
      </c>
      <c r="AL260" s="11">
        <f t="shared" si="183"/>
        <v>0</v>
      </c>
      <c r="AM260" s="11">
        <f t="shared" si="184"/>
        <v>0</v>
      </c>
      <c r="AN260" s="11">
        <f t="shared" si="185"/>
        <v>0</v>
      </c>
      <c r="AO260" s="11">
        <f t="shared" si="186"/>
        <v>0</v>
      </c>
      <c r="AP260" s="11">
        <f t="shared" si="187"/>
        <v>0</v>
      </c>
      <c r="AQ260" s="11">
        <f t="shared" si="188"/>
        <v>0</v>
      </c>
      <c r="AR260" s="11">
        <f t="shared" si="189"/>
        <v>0</v>
      </c>
      <c r="AS260" s="11">
        <f t="shared" si="190"/>
        <v>0</v>
      </c>
      <c r="AT260" s="11">
        <f t="shared" si="191"/>
        <v>0</v>
      </c>
      <c r="AU260" s="11">
        <f t="shared" si="192"/>
        <v>0</v>
      </c>
      <c r="AV260" s="11">
        <f t="shared" si="193"/>
        <v>0</v>
      </c>
      <c r="AW260" s="11">
        <f t="shared" si="194"/>
        <v>0</v>
      </c>
      <c r="AX260" s="11">
        <f t="shared" si="195"/>
        <v>0</v>
      </c>
      <c r="AY260" s="11">
        <f t="shared" si="196"/>
        <v>0</v>
      </c>
    </row>
    <row r="261" spans="1:51">
      <c r="A261" s="15">
        <v>45186</v>
      </c>
      <c r="B261" s="436"/>
      <c r="C261" s="436"/>
      <c r="D261" s="436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11">
        <f t="shared" si="171"/>
        <v>0</v>
      </c>
      <c r="AA261" s="11">
        <f t="shared" si="172"/>
        <v>0</v>
      </c>
      <c r="AB261" s="11">
        <f t="shared" si="173"/>
        <v>0</v>
      </c>
      <c r="AC261" s="11">
        <f t="shared" si="174"/>
        <v>0</v>
      </c>
      <c r="AD261" s="11">
        <f t="shared" si="175"/>
        <v>0</v>
      </c>
      <c r="AE261" s="11">
        <f t="shared" si="176"/>
        <v>0</v>
      </c>
      <c r="AF261" s="11">
        <f t="shared" si="177"/>
        <v>0</v>
      </c>
      <c r="AG261" s="11">
        <f t="shared" si="178"/>
        <v>0</v>
      </c>
      <c r="AH261" s="11">
        <f t="shared" si="179"/>
        <v>0</v>
      </c>
      <c r="AI261" s="11">
        <f t="shared" si="180"/>
        <v>0</v>
      </c>
      <c r="AJ261" s="11">
        <f t="shared" si="181"/>
        <v>0</v>
      </c>
      <c r="AK261" s="11">
        <f t="shared" si="182"/>
        <v>0</v>
      </c>
      <c r="AL261" s="11">
        <f t="shared" si="183"/>
        <v>0</v>
      </c>
      <c r="AM261" s="11">
        <f t="shared" si="184"/>
        <v>0</v>
      </c>
      <c r="AN261" s="11">
        <f t="shared" si="185"/>
        <v>0</v>
      </c>
      <c r="AO261" s="11">
        <f t="shared" si="186"/>
        <v>0</v>
      </c>
      <c r="AP261" s="11">
        <f t="shared" si="187"/>
        <v>0</v>
      </c>
      <c r="AQ261" s="11">
        <f t="shared" si="188"/>
        <v>0</v>
      </c>
      <c r="AR261" s="11">
        <f t="shared" si="189"/>
        <v>0</v>
      </c>
      <c r="AS261" s="11">
        <f t="shared" si="190"/>
        <v>0</v>
      </c>
      <c r="AT261" s="11">
        <f t="shared" si="191"/>
        <v>0</v>
      </c>
      <c r="AU261" s="11">
        <f t="shared" si="192"/>
        <v>0</v>
      </c>
      <c r="AV261" s="11">
        <f t="shared" si="193"/>
        <v>0</v>
      </c>
      <c r="AW261" s="11">
        <f t="shared" si="194"/>
        <v>0</v>
      </c>
      <c r="AX261" s="11">
        <f t="shared" si="195"/>
        <v>0</v>
      </c>
      <c r="AY261" s="11">
        <f t="shared" si="196"/>
        <v>0</v>
      </c>
    </row>
    <row r="262" spans="1:51">
      <c r="A262" s="15">
        <v>45187</v>
      </c>
      <c r="B262" s="436"/>
      <c r="C262" s="436"/>
      <c r="D262" s="436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11">
        <f t="shared" si="171"/>
        <v>0</v>
      </c>
      <c r="AA262" s="11">
        <f t="shared" si="172"/>
        <v>0</v>
      </c>
      <c r="AB262" s="11">
        <f t="shared" si="173"/>
        <v>0</v>
      </c>
      <c r="AC262" s="11">
        <f t="shared" si="174"/>
        <v>0</v>
      </c>
      <c r="AD262" s="11">
        <f t="shared" si="175"/>
        <v>0</v>
      </c>
      <c r="AE262" s="11">
        <f t="shared" si="176"/>
        <v>0</v>
      </c>
      <c r="AF262" s="11">
        <f t="shared" si="177"/>
        <v>0</v>
      </c>
      <c r="AG262" s="11">
        <f t="shared" si="178"/>
        <v>0</v>
      </c>
      <c r="AH262" s="11">
        <f t="shared" si="179"/>
        <v>0</v>
      </c>
      <c r="AI262" s="11">
        <f t="shared" si="180"/>
        <v>0</v>
      </c>
      <c r="AJ262" s="11">
        <f t="shared" si="181"/>
        <v>0</v>
      </c>
      <c r="AK262" s="11">
        <f t="shared" si="182"/>
        <v>0</v>
      </c>
      <c r="AL262" s="11">
        <f t="shared" si="183"/>
        <v>0</v>
      </c>
      <c r="AM262" s="11">
        <f t="shared" si="184"/>
        <v>0</v>
      </c>
      <c r="AN262" s="11">
        <f t="shared" si="185"/>
        <v>0</v>
      </c>
      <c r="AO262" s="11">
        <f t="shared" si="186"/>
        <v>0</v>
      </c>
      <c r="AP262" s="11">
        <f t="shared" si="187"/>
        <v>0</v>
      </c>
      <c r="AQ262" s="11">
        <f t="shared" si="188"/>
        <v>0</v>
      </c>
      <c r="AR262" s="11">
        <f t="shared" si="189"/>
        <v>0</v>
      </c>
      <c r="AS262" s="11">
        <f t="shared" si="190"/>
        <v>0</v>
      </c>
      <c r="AT262" s="11">
        <f t="shared" si="191"/>
        <v>0</v>
      </c>
      <c r="AU262" s="11">
        <f t="shared" si="192"/>
        <v>0</v>
      </c>
      <c r="AV262" s="11">
        <f t="shared" si="193"/>
        <v>0</v>
      </c>
      <c r="AW262" s="11">
        <f t="shared" si="194"/>
        <v>0</v>
      </c>
      <c r="AX262" s="11">
        <f t="shared" si="195"/>
        <v>0</v>
      </c>
      <c r="AY262" s="11">
        <f t="shared" si="196"/>
        <v>0</v>
      </c>
    </row>
    <row r="263" spans="1:51">
      <c r="A263" s="15">
        <v>45188</v>
      </c>
      <c r="B263" s="436"/>
      <c r="C263" s="436"/>
      <c r="D263" s="436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11">
        <f t="shared" si="171"/>
        <v>0</v>
      </c>
      <c r="AA263" s="11">
        <f t="shared" si="172"/>
        <v>0</v>
      </c>
      <c r="AB263" s="11">
        <f t="shared" si="173"/>
        <v>0</v>
      </c>
      <c r="AC263" s="11">
        <f t="shared" si="174"/>
        <v>0</v>
      </c>
      <c r="AD263" s="11">
        <f t="shared" si="175"/>
        <v>0</v>
      </c>
      <c r="AE263" s="11">
        <f t="shared" si="176"/>
        <v>0</v>
      </c>
      <c r="AF263" s="11">
        <f t="shared" si="177"/>
        <v>0</v>
      </c>
      <c r="AG263" s="11">
        <f t="shared" si="178"/>
        <v>0</v>
      </c>
      <c r="AH263" s="11">
        <f t="shared" si="179"/>
        <v>0</v>
      </c>
      <c r="AI263" s="11">
        <f t="shared" si="180"/>
        <v>0</v>
      </c>
      <c r="AJ263" s="11">
        <f t="shared" si="181"/>
        <v>0</v>
      </c>
      <c r="AK263" s="11">
        <f t="shared" si="182"/>
        <v>0</v>
      </c>
      <c r="AL263" s="11">
        <f t="shared" si="183"/>
        <v>0</v>
      </c>
      <c r="AM263" s="11">
        <f t="shared" si="184"/>
        <v>0</v>
      </c>
      <c r="AN263" s="11">
        <f t="shared" si="185"/>
        <v>0</v>
      </c>
      <c r="AO263" s="11">
        <f t="shared" si="186"/>
        <v>0</v>
      </c>
      <c r="AP263" s="11">
        <f t="shared" si="187"/>
        <v>0</v>
      </c>
      <c r="AQ263" s="11">
        <f t="shared" si="188"/>
        <v>0</v>
      </c>
      <c r="AR263" s="11">
        <f t="shared" si="189"/>
        <v>0</v>
      </c>
      <c r="AS263" s="11">
        <f t="shared" si="190"/>
        <v>0</v>
      </c>
      <c r="AT263" s="11">
        <f t="shared" si="191"/>
        <v>0</v>
      </c>
      <c r="AU263" s="11">
        <f t="shared" si="192"/>
        <v>0</v>
      </c>
      <c r="AV263" s="11">
        <f t="shared" si="193"/>
        <v>0</v>
      </c>
      <c r="AW263" s="11">
        <f t="shared" si="194"/>
        <v>0</v>
      </c>
      <c r="AX263" s="11">
        <f t="shared" si="195"/>
        <v>0</v>
      </c>
      <c r="AY263" s="11">
        <f t="shared" si="196"/>
        <v>0</v>
      </c>
    </row>
    <row r="264" spans="1:51">
      <c r="A264" s="15">
        <v>45189</v>
      </c>
      <c r="B264" s="436"/>
      <c r="C264" s="436"/>
      <c r="D264" s="436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11">
        <f t="shared" si="171"/>
        <v>0</v>
      </c>
      <c r="AA264" s="11">
        <f t="shared" si="172"/>
        <v>0</v>
      </c>
      <c r="AB264" s="11">
        <f t="shared" si="173"/>
        <v>0</v>
      </c>
      <c r="AC264" s="11">
        <f t="shared" si="174"/>
        <v>0</v>
      </c>
      <c r="AD264" s="11">
        <f t="shared" si="175"/>
        <v>0</v>
      </c>
      <c r="AE264" s="11">
        <f t="shared" si="176"/>
        <v>0</v>
      </c>
      <c r="AF264" s="11">
        <f t="shared" si="177"/>
        <v>0</v>
      </c>
      <c r="AG264" s="11">
        <f t="shared" si="178"/>
        <v>0</v>
      </c>
      <c r="AH264" s="11">
        <f t="shared" si="179"/>
        <v>0</v>
      </c>
      <c r="AI264" s="11">
        <f t="shared" si="180"/>
        <v>0</v>
      </c>
      <c r="AJ264" s="11">
        <f t="shared" si="181"/>
        <v>0</v>
      </c>
      <c r="AK264" s="11">
        <f t="shared" si="182"/>
        <v>0</v>
      </c>
      <c r="AL264" s="11">
        <f t="shared" si="183"/>
        <v>0</v>
      </c>
      <c r="AM264" s="11">
        <f t="shared" si="184"/>
        <v>0</v>
      </c>
      <c r="AN264" s="11">
        <f t="shared" si="185"/>
        <v>0</v>
      </c>
      <c r="AO264" s="11">
        <f t="shared" si="186"/>
        <v>0</v>
      </c>
      <c r="AP264" s="11">
        <f t="shared" si="187"/>
        <v>0</v>
      </c>
      <c r="AQ264" s="11">
        <f t="shared" si="188"/>
        <v>0</v>
      </c>
      <c r="AR264" s="11">
        <f t="shared" si="189"/>
        <v>0</v>
      </c>
      <c r="AS264" s="11">
        <f t="shared" si="190"/>
        <v>0</v>
      </c>
      <c r="AT264" s="11">
        <f t="shared" si="191"/>
        <v>0</v>
      </c>
      <c r="AU264" s="11">
        <f t="shared" si="192"/>
        <v>0</v>
      </c>
      <c r="AV264" s="11">
        <f t="shared" si="193"/>
        <v>0</v>
      </c>
      <c r="AW264" s="11">
        <f t="shared" si="194"/>
        <v>0</v>
      </c>
      <c r="AX264" s="11">
        <f t="shared" si="195"/>
        <v>0</v>
      </c>
      <c r="AY264" s="11">
        <f t="shared" si="196"/>
        <v>0</v>
      </c>
    </row>
    <row r="265" spans="1:51">
      <c r="A265" s="15">
        <v>45190</v>
      </c>
      <c r="B265" s="436"/>
      <c r="C265" s="436"/>
      <c r="D265" s="436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11">
        <f t="shared" si="171"/>
        <v>0</v>
      </c>
      <c r="AA265" s="11">
        <f t="shared" si="172"/>
        <v>0</v>
      </c>
      <c r="AB265" s="11">
        <f t="shared" si="173"/>
        <v>0</v>
      </c>
      <c r="AC265" s="11">
        <f t="shared" si="174"/>
        <v>0</v>
      </c>
      <c r="AD265" s="11">
        <f t="shared" si="175"/>
        <v>0</v>
      </c>
      <c r="AE265" s="11">
        <f t="shared" si="176"/>
        <v>0</v>
      </c>
      <c r="AF265" s="11">
        <f t="shared" si="177"/>
        <v>0</v>
      </c>
      <c r="AG265" s="11">
        <f t="shared" si="178"/>
        <v>0</v>
      </c>
      <c r="AH265" s="11">
        <f t="shared" si="179"/>
        <v>0</v>
      </c>
      <c r="AI265" s="11">
        <f t="shared" si="180"/>
        <v>0</v>
      </c>
      <c r="AJ265" s="11">
        <f t="shared" si="181"/>
        <v>0</v>
      </c>
      <c r="AK265" s="11">
        <f t="shared" si="182"/>
        <v>0</v>
      </c>
      <c r="AL265" s="11">
        <f t="shared" si="183"/>
        <v>0</v>
      </c>
      <c r="AM265" s="11">
        <f t="shared" si="184"/>
        <v>0</v>
      </c>
      <c r="AN265" s="11">
        <f t="shared" si="185"/>
        <v>0</v>
      </c>
      <c r="AO265" s="11">
        <f t="shared" si="186"/>
        <v>0</v>
      </c>
      <c r="AP265" s="11">
        <f t="shared" si="187"/>
        <v>0</v>
      </c>
      <c r="AQ265" s="11">
        <f t="shared" si="188"/>
        <v>0</v>
      </c>
      <c r="AR265" s="11">
        <f t="shared" si="189"/>
        <v>0</v>
      </c>
      <c r="AS265" s="11">
        <f t="shared" si="190"/>
        <v>0</v>
      </c>
      <c r="AT265" s="11">
        <f t="shared" si="191"/>
        <v>0</v>
      </c>
      <c r="AU265" s="11">
        <f t="shared" si="192"/>
        <v>0</v>
      </c>
      <c r="AV265" s="11">
        <f t="shared" si="193"/>
        <v>0</v>
      </c>
      <c r="AW265" s="11">
        <f t="shared" si="194"/>
        <v>0</v>
      </c>
      <c r="AX265" s="11">
        <f t="shared" si="195"/>
        <v>0</v>
      </c>
      <c r="AY265" s="11">
        <f t="shared" si="196"/>
        <v>0</v>
      </c>
    </row>
    <row r="266" spans="1:51">
      <c r="A266" s="15">
        <v>45191</v>
      </c>
      <c r="B266" s="436"/>
      <c r="C266" s="436"/>
      <c r="D266" s="436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11">
        <f t="shared" si="171"/>
        <v>0</v>
      </c>
      <c r="AA266" s="11">
        <f t="shared" si="172"/>
        <v>0</v>
      </c>
      <c r="AB266" s="11">
        <f t="shared" si="173"/>
        <v>0</v>
      </c>
      <c r="AC266" s="11">
        <f t="shared" si="174"/>
        <v>0</v>
      </c>
      <c r="AD266" s="11">
        <f t="shared" si="175"/>
        <v>0</v>
      </c>
      <c r="AE266" s="11">
        <f t="shared" si="176"/>
        <v>0</v>
      </c>
      <c r="AF266" s="11">
        <f t="shared" si="177"/>
        <v>0</v>
      </c>
      <c r="AG266" s="11">
        <f t="shared" si="178"/>
        <v>0</v>
      </c>
      <c r="AH266" s="11">
        <f t="shared" si="179"/>
        <v>0</v>
      </c>
      <c r="AI266" s="11">
        <f t="shared" si="180"/>
        <v>0</v>
      </c>
      <c r="AJ266" s="11">
        <f t="shared" si="181"/>
        <v>0</v>
      </c>
      <c r="AK266" s="11">
        <f t="shared" si="182"/>
        <v>0</v>
      </c>
      <c r="AL266" s="11">
        <f t="shared" si="183"/>
        <v>0</v>
      </c>
      <c r="AM266" s="11">
        <f t="shared" si="184"/>
        <v>0</v>
      </c>
      <c r="AN266" s="11">
        <f t="shared" si="185"/>
        <v>0</v>
      </c>
      <c r="AO266" s="11">
        <f t="shared" si="186"/>
        <v>0</v>
      </c>
      <c r="AP266" s="11">
        <f t="shared" si="187"/>
        <v>0</v>
      </c>
      <c r="AQ266" s="11">
        <f t="shared" si="188"/>
        <v>0</v>
      </c>
      <c r="AR266" s="11">
        <f t="shared" si="189"/>
        <v>0</v>
      </c>
      <c r="AS266" s="11">
        <f t="shared" si="190"/>
        <v>0</v>
      </c>
      <c r="AT266" s="11">
        <f t="shared" si="191"/>
        <v>0</v>
      </c>
      <c r="AU266" s="11">
        <f t="shared" si="192"/>
        <v>0</v>
      </c>
      <c r="AV266" s="11">
        <f t="shared" si="193"/>
        <v>0</v>
      </c>
      <c r="AW266" s="11">
        <f t="shared" si="194"/>
        <v>0</v>
      </c>
      <c r="AX266" s="11">
        <f t="shared" si="195"/>
        <v>0</v>
      </c>
      <c r="AY266" s="11">
        <f t="shared" si="196"/>
        <v>0</v>
      </c>
    </row>
    <row r="267" spans="1:51">
      <c r="A267" s="15">
        <v>45192</v>
      </c>
      <c r="B267" s="436"/>
      <c r="C267" s="436"/>
      <c r="D267" s="436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11">
        <f t="shared" si="171"/>
        <v>0</v>
      </c>
      <c r="AA267" s="11">
        <f t="shared" si="172"/>
        <v>0</v>
      </c>
      <c r="AB267" s="11">
        <f t="shared" si="173"/>
        <v>0</v>
      </c>
      <c r="AC267" s="11">
        <f t="shared" si="174"/>
        <v>0</v>
      </c>
      <c r="AD267" s="11">
        <f t="shared" si="175"/>
        <v>0</v>
      </c>
      <c r="AE267" s="11">
        <f t="shared" si="176"/>
        <v>0</v>
      </c>
      <c r="AF267" s="11">
        <f t="shared" si="177"/>
        <v>0</v>
      </c>
      <c r="AG267" s="11">
        <f t="shared" si="178"/>
        <v>0</v>
      </c>
      <c r="AH267" s="11">
        <f t="shared" si="179"/>
        <v>0</v>
      </c>
      <c r="AI267" s="11">
        <f t="shared" si="180"/>
        <v>0</v>
      </c>
      <c r="AJ267" s="11">
        <f t="shared" si="181"/>
        <v>0</v>
      </c>
      <c r="AK267" s="11">
        <f t="shared" si="182"/>
        <v>0</v>
      </c>
      <c r="AL267" s="11">
        <f t="shared" si="183"/>
        <v>0</v>
      </c>
      <c r="AM267" s="11">
        <f t="shared" si="184"/>
        <v>0</v>
      </c>
      <c r="AN267" s="11">
        <f t="shared" si="185"/>
        <v>0</v>
      </c>
      <c r="AO267" s="11">
        <f t="shared" si="186"/>
        <v>0</v>
      </c>
      <c r="AP267" s="11">
        <f t="shared" si="187"/>
        <v>0</v>
      </c>
      <c r="AQ267" s="11">
        <f t="shared" si="188"/>
        <v>0</v>
      </c>
      <c r="AR267" s="11">
        <f t="shared" si="189"/>
        <v>0</v>
      </c>
      <c r="AS267" s="11">
        <f t="shared" si="190"/>
        <v>0</v>
      </c>
      <c r="AT267" s="11">
        <f t="shared" si="191"/>
        <v>0</v>
      </c>
      <c r="AU267" s="11">
        <f t="shared" si="192"/>
        <v>0</v>
      </c>
      <c r="AV267" s="11">
        <f t="shared" si="193"/>
        <v>0</v>
      </c>
      <c r="AW267" s="11">
        <f t="shared" si="194"/>
        <v>0</v>
      </c>
      <c r="AX267" s="11">
        <f t="shared" si="195"/>
        <v>0</v>
      </c>
      <c r="AY267" s="11">
        <f t="shared" si="196"/>
        <v>0</v>
      </c>
    </row>
    <row r="268" spans="1:51">
      <c r="A268" s="15">
        <v>45193</v>
      </c>
      <c r="B268" s="436"/>
      <c r="C268" s="436"/>
      <c r="D268" s="436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11">
        <f t="shared" si="171"/>
        <v>0</v>
      </c>
      <c r="AA268" s="11">
        <f t="shared" si="172"/>
        <v>0</v>
      </c>
      <c r="AB268" s="11">
        <f t="shared" si="173"/>
        <v>0</v>
      </c>
      <c r="AC268" s="11">
        <f t="shared" si="174"/>
        <v>0</v>
      </c>
      <c r="AD268" s="11">
        <f t="shared" si="175"/>
        <v>0</v>
      </c>
      <c r="AE268" s="11">
        <f t="shared" si="176"/>
        <v>0</v>
      </c>
      <c r="AF268" s="11">
        <f t="shared" si="177"/>
        <v>0</v>
      </c>
      <c r="AG268" s="11">
        <f t="shared" si="178"/>
        <v>0</v>
      </c>
      <c r="AH268" s="11">
        <f t="shared" si="179"/>
        <v>0</v>
      </c>
      <c r="AI268" s="11">
        <f t="shared" si="180"/>
        <v>0</v>
      </c>
      <c r="AJ268" s="11">
        <f t="shared" si="181"/>
        <v>0</v>
      </c>
      <c r="AK268" s="11">
        <f t="shared" si="182"/>
        <v>0</v>
      </c>
      <c r="AL268" s="11">
        <f t="shared" si="183"/>
        <v>0</v>
      </c>
      <c r="AM268" s="11">
        <f t="shared" si="184"/>
        <v>0</v>
      </c>
      <c r="AN268" s="11">
        <f t="shared" si="185"/>
        <v>0</v>
      </c>
      <c r="AO268" s="11">
        <f t="shared" si="186"/>
        <v>0</v>
      </c>
      <c r="AP268" s="11">
        <f t="shared" si="187"/>
        <v>0</v>
      </c>
      <c r="AQ268" s="11">
        <f t="shared" si="188"/>
        <v>0</v>
      </c>
      <c r="AR268" s="11">
        <f t="shared" si="189"/>
        <v>0</v>
      </c>
      <c r="AS268" s="11">
        <f t="shared" si="190"/>
        <v>0</v>
      </c>
      <c r="AT268" s="11">
        <f t="shared" si="191"/>
        <v>0</v>
      </c>
      <c r="AU268" s="11">
        <f t="shared" si="192"/>
        <v>0</v>
      </c>
      <c r="AV268" s="11">
        <f t="shared" si="193"/>
        <v>0</v>
      </c>
      <c r="AW268" s="11">
        <f t="shared" si="194"/>
        <v>0</v>
      </c>
      <c r="AX268" s="11">
        <f t="shared" si="195"/>
        <v>0</v>
      </c>
      <c r="AY268" s="11">
        <f t="shared" si="196"/>
        <v>0</v>
      </c>
    </row>
    <row r="269" spans="1:51">
      <c r="A269" s="15">
        <v>45194</v>
      </c>
      <c r="B269" s="436"/>
      <c r="C269" s="436"/>
      <c r="D269" s="436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11">
        <f t="shared" si="171"/>
        <v>0</v>
      </c>
      <c r="AA269" s="11">
        <f t="shared" si="172"/>
        <v>0</v>
      </c>
      <c r="AB269" s="11">
        <f t="shared" si="173"/>
        <v>0</v>
      </c>
      <c r="AC269" s="11">
        <f t="shared" si="174"/>
        <v>0</v>
      </c>
      <c r="AD269" s="11">
        <f t="shared" si="175"/>
        <v>0</v>
      </c>
      <c r="AE269" s="11">
        <f t="shared" si="176"/>
        <v>0</v>
      </c>
      <c r="AF269" s="11">
        <f t="shared" si="177"/>
        <v>0</v>
      </c>
      <c r="AG269" s="11">
        <f t="shared" si="178"/>
        <v>0</v>
      </c>
      <c r="AH269" s="11">
        <f t="shared" si="179"/>
        <v>0</v>
      </c>
      <c r="AI269" s="11">
        <f t="shared" si="180"/>
        <v>0</v>
      </c>
      <c r="AJ269" s="11">
        <f t="shared" si="181"/>
        <v>0</v>
      </c>
      <c r="AK269" s="11">
        <f t="shared" si="182"/>
        <v>0</v>
      </c>
      <c r="AL269" s="11">
        <f t="shared" si="183"/>
        <v>0</v>
      </c>
      <c r="AM269" s="11">
        <f t="shared" si="184"/>
        <v>0</v>
      </c>
      <c r="AN269" s="11">
        <f t="shared" si="185"/>
        <v>0</v>
      </c>
      <c r="AO269" s="11">
        <f t="shared" si="186"/>
        <v>0</v>
      </c>
      <c r="AP269" s="11">
        <f t="shared" si="187"/>
        <v>0</v>
      </c>
      <c r="AQ269" s="11">
        <f t="shared" si="188"/>
        <v>0</v>
      </c>
      <c r="AR269" s="11">
        <f t="shared" si="189"/>
        <v>0</v>
      </c>
      <c r="AS269" s="11">
        <f t="shared" si="190"/>
        <v>0</v>
      </c>
      <c r="AT269" s="11">
        <f t="shared" si="191"/>
        <v>0</v>
      </c>
      <c r="AU269" s="11">
        <f t="shared" si="192"/>
        <v>0</v>
      </c>
      <c r="AV269" s="11">
        <f t="shared" si="193"/>
        <v>0</v>
      </c>
      <c r="AW269" s="11">
        <f t="shared" si="194"/>
        <v>0</v>
      </c>
      <c r="AX269" s="11">
        <f t="shared" si="195"/>
        <v>0</v>
      </c>
      <c r="AY269" s="11">
        <f t="shared" si="196"/>
        <v>0</v>
      </c>
    </row>
    <row r="270" spans="1:51">
      <c r="A270" s="15">
        <v>45195</v>
      </c>
      <c r="B270" s="436"/>
      <c r="C270" s="436"/>
      <c r="D270" s="436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11">
        <f t="shared" si="171"/>
        <v>0</v>
      </c>
      <c r="AA270" s="11">
        <f t="shared" si="172"/>
        <v>0</v>
      </c>
      <c r="AB270" s="11">
        <f t="shared" si="173"/>
        <v>0</v>
      </c>
      <c r="AC270" s="11">
        <f t="shared" si="174"/>
        <v>0</v>
      </c>
      <c r="AD270" s="11">
        <f t="shared" si="175"/>
        <v>0</v>
      </c>
      <c r="AE270" s="11">
        <f t="shared" si="176"/>
        <v>0</v>
      </c>
      <c r="AF270" s="11">
        <f t="shared" si="177"/>
        <v>0</v>
      </c>
      <c r="AG270" s="11">
        <f t="shared" si="178"/>
        <v>0</v>
      </c>
      <c r="AH270" s="11">
        <f t="shared" si="179"/>
        <v>0</v>
      </c>
      <c r="AI270" s="11">
        <f t="shared" si="180"/>
        <v>0</v>
      </c>
      <c r="AJ270" s="11">
        <f t="shared" si="181"/>
        <v>0</v>
      </c>
      <c r="AK270" s="11">
        <f t="shared" si="182"/>
        <v>0</v>
      </c>
      <c r="AL270" s="11">
        <f t="shared" si="183"/>
        <v>0</v>
      </c>
      <c r="AM270" s="11">
        <f t="shared" si="184"/>
        <v>0</v>
      </c>
      <c r="AN270" s="11">
        <f t="shared" si="185"/>
        <v>0</v>
      </c>
      <c r="AO270" s="11">
        <f t="shared" si="186"/>
        <v>0</v>
      </c>
      <c r="AP270" s="11">
        <f t="shared" si="187"/>
        <v>0</v>
      </c>
      <c r="AQ270" s="11">
        <f t="shared" si="188"/>
        <v>0</v>
      </c>
      <c r="AR270" s="11">
        <f t="shared" si="189"/>
        <v>0</v>
      </c>
      <c r="AS270" s="11">
        <f t="shared" si="190"/>
        <v>0</v>
      </c>
      <c r="AT270" s="11">
        <f t="shared" si="191"/>
        <v>0</v>
      </c>
      <c r="AU270" s="11">
        <f t="shared" si="192"/>
        <v>0</v>
      </c>
      <c r="AV270" s="11">
        <f t="shared" si="193"/>
        <v>0</v>
      </c>
      <c r="AW270" s="11">
        <f t="shared" si="194"/>
        <v>0</v>
      </c>
      <c r="AX270" s="11">
        <f t="shared" si="195"/>
        <v>0</v>
      </c>
      <c r="AY270" s="11">
        <f t="shared" si="196"/>
        <v>0</v>
      </c>
    </row>
    <row r="271" spans="1:51">
      <c r="A271" s="15">
        <v>45196</v>
      </c>
      <c r="B271" s="436"/>
      <c r="C271" s="436"/>
      <c r="D271" s="436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11">
        <f t="shared" si="171"/>
        <v>0</v>
      </c>
      <c r="AA271" s="11">
        <f t="shared" si="172"/>
        <v>0</v>
      </c>
      <c r="AB271" s="11">
        <f t="shared" si="173"/>
        <v>0</v>
      </c>
      <c r="AC271" s="11">
        <f t="shared" si="174"/>
        <v>0</v>
      </c>
      <c r="AD271" s="11">
        <f t="shared" si="175"/>
        <v>0</v>
      </c>
      <c r="AE271" s="11">
        <f t="shared" si="176"/>
        <v>0</v>
      </c>
      <c r="AF271" s="11">
        <f t="shared" si="177"/>
        <v>0</v>
      </c>
      <c r="AG271" s="11">
        <f t="shared" si="178"/>
        <v>0</v>
      </c>
      <c r="AH271" s="11">
        <f t="shared" si="179"/>
        <v>0</v>
      </c>
      <c r="AI271" s="11">
        <f t="shared" si="180"/>
        <v>0</v>
      </c>
      <c r="AJ271" s="11">
        <f t="shared" si="181"/>
        <v>0</v>
      </c>
      <c r="AK271" s="11">
        <f t="shared" si="182"/>
        <v>0</v>
      </c>
      <c r="AL271" s="11">
        <f t="shared" si="183"/>
        <v>0</v>
      </c>
      <c r="AM271" s="11">
        <f t="shared" si="184"/>
        <v>0</v>
      </c>
      <c r="AN271" s="11">
        <f t="shared" si="185"/>
        <v>0</v>
      </c>
      <c r="AO271" s="11">
        <f t="shared" si="186"/>
        <v>0</v>
      </c>
      <c r="AP271" s="11">
        <f t="shared" si="187"/>
        <v>0</v>
      </c>
      <c r="AQ271" s="11">
        <f t="shared" si="188"/>
        <v>0</v>
      </c>
      <c r="AR271" s="11">
        <f t="shared" si="189"/>
        <v>0</v>
      </c>
      <c r="AS271" s="11">
        <f t="shared" si="190"/>
        <v>0</v>
      </c>
      <c r="AT271" s="11">
        <f t="shared" si="191"/>
        <v>0</v>
      </c>
      <c r="AU271" s="11">
        <f t="shared" si="192"/>
        <v>0</v>
      </c>
      <c r="AV271" s="11">
        <f t="shared" si="193"/>
        <v>0</v>
      </c>
      <c r="AW271" s="11">
        <f t="shared" si="194"/>
        <v>0</v>
      </c>
      <c r="AX271" s="11">
        <f t="shared" si="195"/>
        <v>0</v>
      </c>
      <c r="AY271" s="11">
        <f t="shared" si="196"/>
        <v>0</v>
      </c>
    </row>
    <row r="272" spans="1:51">
      <c r="A272" s="15">
        <v>45197</v>
      </c>
      <c r="B272" s="436"/>
      <c r="C272" s="436"/>
      <c r="D272" s="436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11">
        <f t="shared" si="171"/>
        <v>0</v>
      </c>
      <c r="AA272" s="11">
        <f t="shared" si="172"/>
        <v>0</v>
      </c>
      <c r="AB272" s="11">
        <f t="shared" si="173"/>
        <v>0</v>
      </c>
      <c r="AC272" s="11">
        <f t="shared" si="174"/>
        <v>0</v>
      </c>
      <c r="AD272" s="11">
        <f t="shared" si="175"/>
        <v>0</v>
      </c>
      <c r="AE272" s="11">
        <f t="shared" si="176"/>
        <v>0</v>
      </c>
      <c r="AF272" s="11">
        <f t="shared" si="177"/>
        <v>0</v>
      </c>
      <c r="AG272" s="11">
        <f t="shared" si="178"/>
        <v>0</v>
      </c>
      <c r="AH272" s="11">
        <f t="shared" si="179"/>
        <v>0</v>
      </c>
      <c r="AI272" s="11">
        <f t="shared" si="180"/>
        <v>0</v>
      </c>
      <c r="AJ272" s="11">
        <f t="shared" si="181"/>
        <v>0</v>
      </c>
      <c r="AK272" s="11">
        <f t="shared" si="182"/>
        <v>0</v>
      </c>
      <c r="AL272" s="11">
        <f t="shared" si="183"/>
        <v>0</v>
      </c>
      <c r="AM272" s="11">
        <f t="shared" si="184"/>
        <v>0</v>
      </c>
      <c r="AN272" s="11">
        <f t="shared" si="185"/>
        <v>0</v>
      </c>
      <c r="AO272" s="11">
        <f t="shared" si="186"/>
        <v>0</v>
      </c>
      <c r="AP272" s="11">
        <f t="shared" si="187"/>
        <v>0</v>
      </c>
      <c r="AQ272" s="11">
        <f t="shared" si="188"/>
        <v>0</v>
      </c>
      <c r="AR272" s="11">
        <f t="shared" si="189"/>
        <v>0</v>
      </c>
      <c r="AS272" s="11">
        <f t="shared" si="190"/>
        <v>0</v>
      </c>
      <c r="AT272" s="11">
        <f t="shared" si="191"/>
        <v>0</v>
      </c>
      <c r="AU272" s="11">
        <f t="shared" si="192"/>
        <v>0</v>
      </c>
      <c r="AV272" s="11">
        <f t="shared" si="193"/>
        <v>0</v>
      </c>
      <c r="AW272" s="11">
        <f t="shared" si="194"/>
        <v>0</v>
      </c>
      <c r="AX272" s="11">
        <f t="shared" si="195"/>
        <v>0</v>
      </c>
      <c r="AY272" s="11">
        <f t="shared" si="196"/>
        <v>0</v>
      </c>
    </row>
    <row r="273" spans="1:51">
      <c r="A273" s="15">
        <v>45198</v>
      </c>
      <c r="B273" s="436"/>
      <c r="C273" s="436"/>
      <c r="D273" s="436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11">
        <f t="shared" si="171"/>
        <v>0</v>
      </c>
      <c r="AA273" s="11">
        <f t="shared" si="172"/>
        <v>0</v>
      </c>
      <c r="AB273" s="11">
        <f t="shared" si="173"/>
        <v>0</v>
      </c>
      <c r="AC273" s="11">
        <f t="shared" si="174"/>
        <v>0</v>
      </c>
      <c r="AD273" s="11">
        <f t="shared" si="175"/>
        <v>0</v>
      </c>
      <c r="AE273" s="11">
        <f t="shared" si="176"/>
        <v>0</v>
      </c>
      <c r="AF273" s="11">
        <f t="shared" si="177"/>
        <v>0</v>
      </c>
      <c r="AG273" s="11">
        <f t="shared" si="178"/>
        <v>0</v>
      </c>
      <c r="AH273" s="11">
        <f t="shared" si="179"/>
        <v>0</v>
      </c>
      <c r="AI273" s="11">
        <f t="shared" si="180"/>
        <v>0</v>
      </c>
      <c r="AJ273" s="11">
        <f t="shared" si="181"/>
        <v>0</v>
      </c>
      <c r="AK273" s="11">
        <f t="shared" si="182"/>
        <v>0</v>
      </c>
      <c r="AL273" s="11">
        <f t="shared" si="183"/>
        <v>0</v>
      </c>
      <c r="AM273" s="11">
        <f t="shared" si="184"/>
        <v>0</v>
      </c>
      <c r="AN273" s="11">
        <f t="shared" si="185"/>
        <v>0</v>
      </c>
      <c r="AO273" s="11">
        <f t="shared" si="186"/>
        <v>0</v>
      </c>
      <c r="AP273" s="11">
        <f t="shared" si="187"/>
        <v>0</v>
      </c>
      <c r="AQ273" s="11">
        <f t="shared" si="188"/>
        <v>0</v>
      </c>
      <c r="AR273" s="11">
        <f t="shared" si="189"/>
        <v>0</v>
      </c>
      <c r="AS273" s="11">
        <f t="shared" si="190"/>
        <v>0</v>
      </c>
      <c r="AT273" s="11">
        <f t="shared" si="191"/>
        <v>0</v>
      </c>
      <c r="AU273" s="11">
        <f t="shared" si="192"/>
        <v>0</v>
      </c>
      <c r="AV273" s="11">
        <f t="shared" si="193"/>
        <v>0</v>
      </c>
      <c r="AW273" s="11">
        <f t="shared" si="194"/>
        <v>0</v>
      </c>
      <c r="AX273" s="11">
        <f t="shared" si="195"/>
        <v>0</v>
      </c>
      <c r="AY273" s="11">
        <f t="shared" si="196"/>
        <v>0</v>
      </c>
    </row>
    <row r="274" spans="1:51">
      <c r="A274" s="15">
        <v>45199</v>
      </c>
      <c r="B274" s="436"/>
      <c r="C274" s="436"/>
      <c r="D274" s="436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11">
        <f t="shared" si="171"/>
        <v>0</v>
      </c>
      <c r="AA274" s="11">
        <f t="shared" si="172"/>
        <v>0</v>
      </c>
      <c r="AB274" s="11">
        <f t="shared" si="173"/>
        <v>0</v>
      </c>
      <c r="AC274" s="11">
        <f t="shared" si="174"/>
        <v>0</v>
      </c>
      <c r="AD274" s="11">
        <f t="shared" si="175"/>
        <v>0</v>
      </c>
      <c r="AE274" s="11">
        <f t="shared" si="176"/>
        <v>0</v>
      </c>
      <c r="AF274" s="11">
        <f t="shared" si="177"/>
        <v>0</v>
      </c>
      <c r="AG274" s="11">
        <f t="shared" si="178"/>
        <v>0</v>
      </c>
      <c r="AH274" s="11">
        <f t="shared" si="179"/>
        <v>0</v>
      </c>
      <c r="AI274" s="11">
        <f t="shared" si="180"/>
        <v>0</v>
      </c>
      <c r="AJ274" s="11">
        <f t="shared" si="181"/>
        <v>0</v>
      </c>
      <c r="AK274" s="11">
        <f t="shared" si="182"/>
        <v>0</v>
      </c>
      <c r="AL274" s="11">
        <f t="shared" si="183"/>
        <v>0</v>
      </c>
      <c r="AM274" s="11">
        <f t="shared" si="184"/>
        <v>0</v>
      </c>
      <c r="AN274" s="11">
        <f t="shared" si="185"/>
        <v>0</v>
      </c>
      <c r="AO274" s="11">
        <f t="shared" si="186"/>
        <v>0</v>
      </c>
      <c r="AP274" s="11">
        <f t="shared" si="187"/>
        <v>0</v>
      </c>
      <c r="AQ274" s="11">
        <f t="shared" si="188"/>
        <v>0</v>
      </c>
      <c r="AR274" s="11">
        <f t="shared" si="189"/>
        <v>0</v>
      </c>
      <c r="AS274" s="11">
        <f t="shared" si="190"/>
        <v>0</v>
      </c>
      <c r="AT274" s="11">
        <f t="shared" si="191"/>
        <v>0</v>
      </c>
      <c r="AU274" s="11">
        <f t="shared" si="192"/>
        <v>0</v>
      </c>
      <c r="AV274" s="11">
        <f t="shared" si="193"/>
        <v>0</v>
      </c>
      <c r="AW274" s="11">
        <f t="shared" si="194"/>
        <v>0</v>
      </c>
      <c r="AX274" s="11">
        <f t="shared" si="195"/>
        <v>0</v>
      </c>
      <c r="AY274" s="11">
        <f t="shared" si="196"/>
        <v>0</v>
      </c>
    </row>
    <row r="275" spans="1:51">
      <c r="A275" s="15">
        <v>45200</v>
      </c>
      <c r="B275" s="436"/>
      <c r="C275" s="436"/>
      <c r="D275" s="436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11">
        <f>B275-Y274</f>
        <v>0</v>
      </c>
      <c r="AA275" s="11">
        <f t="shared" si="172"/>
        <v>0</v>
      </c>
      <c r="AB275" s="11">
        <f t="shared" si="173"/>
        <v>0</v>
      </c>
      <c r="AC275" s="11">
        <f t="shared" si="174"/>
        <v>0</v>
      </c>
      <c r="AD275" s="11">
        <f t="shared" si="175"/>
        <v>0</v>
      </c>
      <c r="AE275" s="11">
        <f t="shared" si="176"/>
        <v>0</v>
      </c>
      <c r="AF275" s="11">
        <f t="shared" si="177"/>
        <v>0</v>
      </c>
      <c r="AG275" s="11">
        <f t="shared" si="178"/>
        <v>0</v>
      </c>
      <c r="AH275" s="11">
        <f t="shared" si="179"/>
        <v>0</v>
      </c>
      <c r="AI275" s="11">
        <f t="shared" si="180"/>
        <v>0</v>
      </c>
      <c r="AJ275" s="11">
        <f t="shared" si="181"/>
        <v>0</v>
      </c>
      <c r="AK275" s="11">
        <f t="shared" si="182"/>
        <v>0</v>
      </c>
      <c r="AL275" s="11">
        <f t="shared" si="183"/>
        <v>0</v>
      </c>
      <c r="AM275" s="11">
        <f t="shared" si="184"/>
        <v>0</v>
      </c>
      <c r="AN275" s="11">
        <f t="shared" si="185"/>
        <v>0</v>
      </c>
      <c r="AO275" s="11">
        <f t="shared" si="186"/>
        <v>0</v>
      </c>
      <c r="AP275" s="11">
        <f t="shared" si="187"/>
        <v>0</v>
      </c>
      <c r="AQ275" s="11">
        <f t="shared" si="188"/>
        <v>0</v>
      </c>
      <c r="AR275" s="11">
        <f t="shared" si="189"/>
        <v>0</v>
      </c>
      <c r="AS275" s="11">
        <f t="shared" si="190"/>
        <v>0</v>
      </c>
      <c r="AT275" s="11">
        <f t="shared" si="191"/>
        <v>0</v>
      </c>
      <c r="AU275" s="11">
        <f t="shared" si="192"/>
        <v>0</v>
      </c>
      <c r="AV275" s="11">
        <f t="shared" si="193"/>
        <v>0</v>
      </c>
      <c r="AW275" s="11">
        <f t="shared" si="194"/>
        <v>0</v>
      </c>
      <c r="AX275" s="11">
        <f t="shared" si="195"/>
        <v>0</v>
      </c>
      <c r="AY275" s="11">
        <f t="shared" si="196"/>
        <v>0</v>
      </c>
    </row>
    <row r="276" spans="1:51">
      <c r="A276" s="15">
        <v>45201</v>
      </c>
      <c r="B276" s="436"/>
      <c r="C276" s="436"/>
      <c r="D276" s="436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11">
        <f t="shared" ref="Z276:Z306" si="197">B276-Y275</f>
        <v>0</v>
      </c>
      <c r="AA276" s="11">
        <f t="shared" ref="AA276:AA306" si="198">C276-B276</f>
        <v>0</v>
      </c>
      <c r="AB276" s="11">
        <f t="shared" ref="AB276:AB306" si="199">D276-C276</f>
        <v>0</v>
      </c>
      <c r="AC276" s="11">
        <f t="shared" ref="AC276:AC306" si="200">E276-D276</f>
        <v>0</v>
      </c>
      <c r="AD276" s="11">
        <f t="shared" ref="AD276:AD306" si="201">F276-E276</f>
        <v>0</v>
      </c>
      <c r="AE276" s="11">
        <f t="shared" ref="AE276:AE306" si="202">G276-F276</f>
        <v>0</v>
      </c>
      <c r="AF276" s="11">
        <f t="shared" ref="AF276:AF306" si="203">H276-G276</f>
        <v>0</v>
      </c>
      <c r="AG276" s="11">
        <f t="shared" ref="AG276:AG306" si="204">I276-H276</f>
        <v>0</v>
      </c>
      <c r="AH276" s="11">
        <f t="shared" ref="AH276:AH306" si="205">J276-I276</f>
        <v>0</v>
      </c>
      <c r="AI276" s="11">
        <f t="shared" ref="AI276:AI306" si="206">K276-J276</f>
        <v>0</v>
      </c>
      <c r="AJ276" s="11">
        <f t="shared" ref="AJ276:AJ306" si="207">L276-K276</f>
        <v>0</v>
      </c>
      <c r="AK276" s="11">
        <f t="shared" ref="AK276:AK306" si="208">M276-L276</f>
        <v>0</v>
      </c>
      <c r="AL276" s="11">
        <f t="shared" ref="AL276:AL306" si="209">N276-M276</f>
        <v>0</v>
      </c>
      <c r="AM276" s="11">
        <f t="shared" ref="AM276:AM306" si="210">O276-N276</f>
        <v>0</v>
      </c>
      <c r="AN276" s="11">
        <f t="shared" ref="AN276:AN306" si="211">P276-O276</f>
        <v>0</v>
      </c>
      <c r="AO276" s="11">
        <f t="shared" ref="AO276:AO306" si="212">Q276-P276</f>
        <v>0</v>
      </c>
      <c r="AP276" s="11">
        <f t="shared" ref="AP276:AP306" si="213">R276-Q276</f>
        <v>0</v>
      </c>
      <c r="AQ276" s="11">
        <f t="shared" ref="AQ276:AQ306" si="214">S276-R276</f>
        <v>0</v>
      </c>
      <c r="AR276" s="11">
        <f t="shared" ref="AR276:AR306" si="215">T276-S276</f>
        <v>0</v>
      </c>
      <c r="AS276" s="11">
        <f t="shared" ref="AS276:AS306" si="216">U276-T276</f>
        <v>0</v>
      </c>
      <c r="AT276" s="11">
        <f t="shared" ref="AT276:AT306" si="217">V276-U276</f>
        <v>0</v>
      </c>
      <c r="AU276" s="11">
        <f t="shared" ref="AU276:AU306" si="218">W276-V276</f>
        <v>0</v>
      </c>
      <c r="AV276" s="11">
        <f t="shared" ref="AV276:AV306" si="219">X276-W276</f>
        <v>0</v>
      </c>
      <c r="AW276" s="11">
        <f t="shared" ref="AW276:AW306" si="220">Y276-X276</f>
        <v>0</v>
      </c>
      <c r="AX276" s="11">
        <f t="shared" ref="AX276:AX306" si="221">SUMIF(Z276:AW276,"&gt;0")</f>
        <v>0</v>
      </c>
      <c r="AY276" s="11">
        <f t="shared" ref="AY276:AY306" si="222">SUMIF(Z276:AW276,"&lt;0")*-1</f>
        <v>0</v>
      </c>
    </row>
    <row r="277" spans="1:51">
      <c r="A277" s="15">
        <v>45202</v>
      </c>
      <c r="B277" s="436"/>
      <c r="C277" s="436"/>
      <c r="D277" s="436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11">
        <f t="shared" si="197"/>
        <v>0</v>
      </c>
      <c r="AA277" s="11">
        <f t="shared" si="198"/>
        <v>0</v>
      </c>
      <c r="AB277" s="11">
        <f t="shared" si="199"/>
        <v>0</v>
      </c>
      <c r="AC277" s="11">
        <f t="shared" si="200"/>
        <v>0</v>
      </c>
      <c r="AD277" s="11">
        <f t="shared" si="201"/>
        <v>0</v>
      </c>
      <c r="AE277" s="11">
        <f t="shared" si="202"/>
        <v>0</v>
      </c>
      <c r="AF277" s="11">
        <f t="shared" si="203"/>
        <v>0</v>
      </c>
      <c r="AG277" s="11">
        <f t="shared" si="204"/>
        <v>0</v>
      </c>
      <c r="AH277" s="11">
        <f t="shared" si="205"/>
        <v>0</v>
      </c>
      <c r="AI277" s="11">
        <f t="shared" si="206"/>
        <v>0</v>
      </c>
      <c r="AJ277" s="11">
        <f t="shared" si="207"/>
        <v>0</v>
      </c>
      <c r="AK277" s="11">
        <f t="shared" si="208"/>
        <v>0</v>
      </c>
      <c r="AL277" s="11">
        <f t="shared" si="209"/>
        <v>0</v>
      </c>
      <c r="AM277" s="11">
        <f t="shared" si="210"/>
        <v>0</v>
      </c>
      <c r="AN277" s="11">
        <f t="shared" si="211"/>
        <v>0</v>
      </c>
      <c r="AO277" s="11">
        <f t="shared" si="212"/>
        <v>0</v>
      </c>
      <c r="AP277" s="11">
        <f t="shared" si="213"/>
        <v>0</v>
      </c>
      <c r="AQ277" s="11">
        <f t="shared" si="214"/>
        <v>0</v>
      </c>
      <c r="AR277" s="11">
        <f t="shared" si="215"/>
        <v>0</v>
      </c>
      <c r="AS277" s="11">
        <f t="shared" si="216"/>
        <v>0</v>
      </c>
      <c r="AT277" s="11">
        <f t="shared" si="217"/>
        <v>0</v>
      </c>
      <c r="AU277" s="11">
        <f t="shared" si="218"/>
        <v>0</v>
      </c>
      <c r="AV277" s="11">
        <f t="shared" si="219"/>
        <v>0</v>
      </c>
      <c r="AW277" s="11">
        <f t="shared" si="220"/>
        <v>0</v>
      </c>
      <c r="AX277" s="11">
        <f t="shared" si="221"/>
        <v>0</v>
      </c>
      <c r="AY277" s="11">
        <f t="shared" si="222"/>
        <v>0</v>
      </c>
    </row>
    <row r="278" spans="1:51">
      <c r="A278" s="15">
        <v>45203</v>
      </c>
      <c r="B278" s="436"/>
      <c r="C278" s="436"/>
      <c r="D278" s="436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11">
        <f t="shared" si="197"/>
        <v>0</v>
      </c>
      <c r="AA278" s="11">
        <f t="shared" si="198"/>
        <v>0</v>
      </c>
      <c r="AB278" s="11">
        <f t="shared" si="199"/>
        <v>0</v>
      </c>
      <c r="AC278" s="11">
        <f t="shared" si="200"/>
        <v>0</v>
      </c>
      <c r="AD278" s="11">
        <f t="shared" si="201"/>
        <v>0</v>
      </c>
      <c r="AE278" s="11">
        <f t="shared" si="202"/>
        <v>0</v>
      </c>
      <c r="AF278" s="11">
        <f t="shared" si="203"/>
        <v>0</v>
      </c>
      <c r="AG278" s="11">
        <f t="shared" si="204"/>
        <v>0</v>
      </c>
      <c r="AH278" s="11">
        <f t="shared" si="205"/>
        <v>0</v>
      </c>
      <c r="AI278" s="11">
        <f t="shared" si="206"/>
        <v>0</v>
      </c>
      <c r="AJ278" s="11">
        <f t="shared" si="207"/>
        <v>0</v>
      </c>
      <c r="AK278" s="11">
        <f t="shared" si="208"/>
        <v>0</v>
      </c>
      <c r="AL278" s="11">
        <f t="shared" si="209"/>
        <v>0</v>
      </c>
      <c r="AM278" s="11">
        <f t="shared" si="210"/>
        <v>0</v>
      </c>
      <c r="AN278" s="11">
        <f t="shared" si="211"/>
        <v>0</v>
      </c>
      <c r="AO278" s="11">
        <f t="shared" si="212"/>
        <v>0</v>
      </c>
      <c r="AP278" s="11">
        <f t="shared" si="213"/>
        <v>0</v>
      </c>
      <c r="AQ278" s="11">
        <f t="shared" si="214"/>
        <v>0</v>
      </c>
      <c r="AR278" s="11">
        <f t="shared" si="215"/>
        <v>0</v>
      </c>
      <c r="AS278" s="11">
        <f t="shared" si="216"/>
        <v>0</v>
      </c>
      <c r="AT278" s="11">
        <f t="shared" si="217"/>
        <v>0</v>
      </c>
      <c r="AU278" s="11">
        <f t="shared" si="218"/>
        <v>0</v>
      </c>
      <c r="AV278" s="11">
        <f t="shared" si="219"/>
        <v>0</v>
      </c>
      <c r="AW278" s="11">
        <f t="shared" si="220"/>
        <v>0</v>
      </c>
      <c r="AX278" s="11">
        <f t="shared" si="221"/>
        <v>0</v>
      </c>
      <c r="AY278" s="11">
        <f t="shared" si="222"/>
        <v>0</v>
      </c>
    </row>
    <row r="279" spans="1:51">
      <c r="A279" s="15">
        <v>45204</v>
      </c>
      <c r="B279" s="436"/>
      <c r="C279" s="436"/>
      <c r="D279" s="436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11">
        <f t="shared" si="197"/>
        <v>0</v>
      </c>
      <c r="AA279" s="11">
        <f t="shared" si="198"/>
        <v>0</v>
      </c>
      <c r="AB279" s="11">
        <f t="shared" si="199"/>
        <v>0</v>
      </c>
      <c r="AC279" s="11">
        <f t="shared" si="200"/>
        <v>0</v>
      </c>
      <c r="AD279" s="11">
        <f t="shared" si="201"/>
        <v>0</v>
      </c>
      <c r="AE279" s="11">
        <f t="shared" si="202"/>
        <v>0</v>
      </c>
      <c r="AF279" s="11">
        <f t="shared" si="203"/>
        <v>0</v>
      </c>
      <c r="AG279" s="11">
        <f t="shared" si="204"/>
        <v>0</v>
      </c>
      <c r="AH279" s="11">
        <f t="shared" si="205"/>
        <v>0</v>
      </c>
      <c r="AI279" s="11">
        <f t="shared" si="206"/>
        <v>0</v>
      </c>
      <c r="AJ279" s="11">
        <f t="shared" si="207"/>
        <v>0</v>
      </c>
      <c r="AK279" s="11">
        <f t="shared" si="208"/>
        <v>0</v>
      </c>
      <c r="AL279" s="11">
        <f t="shared" si="209"/>
        <v>0</v>
      </c>
      <c r="AM279" s="11">
        <f t="shared" si="210"/>
        <v>0</v>
      </c>
      <c r="AN279" s="11">
        <f t="shared" si="211"/>
        <v>0</v>
      </c>
      <c r="AO279" s="11">
        <f t="shared" si="212"/>
        <v>0</v>
      </c>
      <c r="AP279" s="11">
        <f t="shared" si="213"/>
        <v>0</v>
      </c>
      <c r="AQ279" s="11">
        <f t="shared" si="214"/>
        <v>0</v>
      </c>
      <c r="AR279" s="11">
        <f t="shared" si="215"/>
        <v>0</v>
      </c>
      <c r="AS279" s="11">
        <f t="shared" si="216"/>
        <v>0</v>
      </c>
      <c r="AT279" s="11">
        <f t="shared" si="217"/>
        <v>0</v>
      </c>
      <c r="AU279" s="11">
        <f t="shared" si="218"/>
        <v>0</v>
      </c>
      <c r="AV279" s="11">
        <f t="shared" si="219"/>
        <v>0</v>
      </c>
      <c r="AW279" s="11">
        <f t="shared" si="220"/>
        <v>0</v>
      </c>
      <c r="AX279" s="11">
        <f t="shared" si="221"/>
        <v>0</v>
      </c>
      <c r="AY279" s="11">
        <f t="shared" si="222"/>
        <v>0</v>
      </c>
    </row>
    <row r="280" spans="1:51">
      <c r="A280" s="15">
        <v>45205</v>
      </c>
      <c r="B280" s="436"/>
      <c r="C280" s="436"/>
      <c r="D280" s="436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11">
        <f t="shared" si="197"/>
        <v>0</v>
      </c>
      <c r="AA280" s="11">
        <f t="shared" si="198"/>
        <v>0</v>
      </c>
      <c r="AB280" s="11">
        <f t="shared" si="199"/>
        <v>0</v>
      </c>
      <c r="AC280" s="11">
        <f t="shared" si="200"/>
        <v>0</v>
      </c>
      <c r="AD280" s="11">
        <f t="shared" si="201"/>
        <v>0</v>
      </c>
      <c r="AE280" s="11">
        <f t="shared" si="202"/>
        <v>0</v>
      </c>
      <c r="AF280" s="11">
        <f t="shared" si="203"/>
        <v>0</v>
      </c>
      <c r="AG280" s="11">
        <f t="shared" si="204"/>
        <v>0</v>
      </c>
      <c r="AH280" s="11">
        <f t="shared" si="205"/>
        <v>0</v>
      </c>
      <c r="AI280" s="11">
        <f t="shared" si="206"/>
        <v>0</v>
      </c>
      <c r="AJ280" s="11">
        <f t="shared" si="207"/>
        <v>0</v>
      </c>
      <c r="AK280" s="11">
        <f t="shared" si="208"/>
        <v>0</v>
      </c>
      <c r="AL280" s="11">
        <f t="shared" si="209"/>
        <v>0</v>
      </c>
      <c r="AM280" s="11">
        <f t="shared" si="210"/>
        <v>0</v>
      </c>
      <c r="AN280" s="11">
        <f t="shared" si="211"/>
        <v>0</v>
      </c>
      <c r="AO280" s="11">
        <f t="shared" si="212"/>
        <v>0</v>
      </c>
      <c r="AP280" s="11">
        <f t="shared" si="213"/>
        <v>0</v>
      </c>
      <c r="AQ280" s="11">
        <f t="shared" si="214"/>
        <v>0</v>
      </c>
      <c r="AR280" s="11">
        <f t="shared" si="215"/>
        <v>0</v>
      </c>
      <c r="AS280" s="11">
        <f t="shared" si="216"/>
        <v>0</v>
      </c>
      <c r="AT280" s="11">
        <f t="shared" si="217"/>
        <v>0</v>
      </c>
      <c r="AU280" s="11">
        <f t="shared" si="218"/>
        <v>0</v>
      </c>
      <c r="AV280" s="11">
        <f t="shared" si="219"/>
        <v>0</v>
      </c>
      <c r="AW280" s="11">
        <f t="shared" si="220"/>
        <v>0</v>
      </c>
      <c r="AX280" s="11">
        <f t="shared" si="221"/>
        <v>0</v>
      </c>
      <c r="AY280" s="11">
        <f t="shared" si="222"/>
        <v>0</v>
      </c>
    </row>
    <row r="281" spans="1:51">
      <c r="A281" s="15">
        <v>45206</v>
      </c>
      <c r="B281" s="436"/>
      <c r="C281" s="436"/>
      <c r="D281" s="436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11">
        <f t="shared" si="197"/>
        <v>0</v>
      </c>
      <c r="AA281" s="11">
        <f t="shared" si="198"/>
        <v>0</v>
      </c>
      <c r="AB281" s="11">
        <f t="shared" si="199"/>
        <v>0</v>
      </c>
      <c r="AC281" s="11">
        <f t="shared" si="200"/>
        <v>0</v>
      </c>
      <c r="AD281" s="11">
        <f t="shared" si="201"/>
        <v>0</v>
      </c>
      <c r="AE281" s="11">
        <f t="shared" si="202"/>
        <v>0</v>
      </c>
      <c r="AF281" s="11">
        <f t="shared" si="203"/>
        <v>0</v>
      </c>
      <c r="AG281" s="11">
        <f t="shared" si="204"/>
        <v>0</v>
      </c>
      <c r="AH281" s="11">
        <f t="shared" si="205"/>
        <v>0</v>
      </c>
      <c r="AI281" s="11">
        <f t="shared" si="206"/>
        <v>0</v>
      </c>
      <c r="AJ281" s="11">
        <f t="shared" si="207"/>
        <v>0</v>
      </c>
      <c r="AK281" s="11">
        <f t="shared" si="208"/>
        <v>0</v>
      </c>
      <c r="AL281" s="11">
        <f t="shared" si="209"/>
        <v>0</v>
      </c>
      <c r="AM281" s="11">
        <f t="shared" si="210"/>
        <v>0</v>
      </c>
      <c r="AN281" s="11">
        <f t="shared" si="211"/>
        <v>0</v>
      </c>
      <c r="AO281" s="11">
        <f t="shared" si="212"/>
        <v>0</v>
      </c>
      <c r="AP281" s="11">
        <f t="shared" si="213"/>
        <v>0</v>
      </c>
      <c r="AQ281" s="11">
        <f t="shared" si="214"/>
        <v>0</v>
      </c>
      <c r="AR281" s="11">
        <f t="shared" si="215"/>
        <v>0</v>
      </c>
      <c r="AS281" s="11">
        <f t="shared" si="216"/>
        <v>0</v>
      </c>
      <c r="AT281" s="11">
        <f t="shared" si="217"/>
        <v>0</v>
      </c>
      <c r="AU281" s="11">
        <f t="shared" si="218"/>
        <v>0</v>
      </c>
      <c r="AV281" s="11">
        <f t="shared" si="219"/>
        <v>0</v>
      </c>
      <c r="AW281" s="11">
        <f t="shared" si="220"/>
        <v>0</v>
      </c>
      <c r="AX281" s="11">
        <f t="shared" si="221"/>
        <v>0</v>
      </c>
      <c r="AY281" s="11">
        <f t="shared" si="222"/>
        <v>0</v>
      </c>
    </row>
    <row r="282" spans="1:51">
      <c r="A282" s="15">
        <v>45207</v>
      </c>
      <c r="B282" s="436"/>
      <c r="C282" s="436"/>
      <c r="D282" s="436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11">
        <f t="shared" si="197"/>
        <v>0</v>
      </c>
      <c r="AA282" s="11">
        <f t="shared" si="198"/>
        <v>0</v>
      </c>
      <c r="AB282" s="11">
        <f t="shared" si="199"/>
        <v>0</v>
      </c>
      <c r="AC282" s="11">
        <f t="shared" si="200"/>
        <v>0</v>
      </c>
      <c r="AD282" s="11">
        <f t="shared" si="201"/>
        <v>0</v>
      </c>
      <c r="AE282" s="11">
        <f t="shared" si="202"/>
        <v>0</v>
      </c>
      <c r="AF282" s="11">
        <f t="shared" si="203"/>
        <v>0</v>
      </c>
      <c r="AG282" s="11">
        <f t="shared" si="204"/>
        <v>0</v>
      </c>
      <c r="AH282" s="11">
        <f t="shared" si="205"/>
        <v>0</v>
      </c>
      <c r="AI282" s="11">
        <f t="shared" si="206"/>
        <v>0</v>
      </c>
      <c r="AJ282" s="11">
        <f t="shared" si="207"/>
        <v>0</v>
      </c>
      <c r="AK282" s="11">
        <f t="shared" si="208"/>
        <v>0</v>
      </c>
      <c r="AL282" s="11">
        <f t="shared" si="209"/>
        <v>0</v>
      </c>
      <c r="AM282" s="11">
        <f t="shared" si="210"/>
        <v>0</v>
      </c>
      <c r="AN282" s="11">
        <f t="shared" si="211"/>
        <v>0</v>
      </c>
      <c r="AO282" s="11">
        <f t="shared" si="212"/>
        <v>0</v>
      </c>
      <c r="AP282" s="11">
        <f t="shared" si="213"/>
        <v>0</v>
      </c>
      <c r="AQ282" s="11">
        <f t="shared" si="214"/>
        <v>0</v>
      </c>
      <c r="AR282" s="11">
        <f t="shared" si="215"/>
        <v>0</v>
      </c>
      <c r="AS282" s="11">
        <f t="shared" si="216"/>
        <v>0</v>
      </c>
      <c r="AT282" s="11">
        <f t="shared" si="217"/>
        <v>0</v>
      </c>
      <c r="AU282" s="11">
        <f t="shared" si="218"/>
        <v>0</v>
      </c>
      <c r="AV282" s="11">
        <f t="shared" si="219"/>
        <v>0</v>
      </c>
      <c r="AW282" s="11">
        <f t="shared" si="220"/>
        <v>0</v>
      </c>
      <c r="AX282" s="11">
        <f t="shared" si="221"/>
        <v>0</v>
      </c>
      <c r="AY282" s="11">
        <f t="shared" si="222"/>
        <v>0</v>
      </c>
    </row>
    <row r="283" spans="1:51">
      <c r="A283" s="15">
        <v>45208</v>
      </c>
      <c r="B283" s="436"/>
      <c r="C283" s="436"/>
      <c r="D283" s="436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11">
        <f t="shared" si="197"/>
        <v>0</v>
      </c>
      <c r="AA283" s="11">
        <f t="shared" si="198"/>
        <v>0</v>
      </c>
      <c r="AB283" s="11">
        <f t="shared" si="199"/>
        <v>0</v>
      </c>
      <c r="AC283" s="11">
        <f t="shared" si="200"/>
        <v>0</v>
      </c>
      <c r="AD283" s="11">
        <f t="shared" si="201"/>
        <v>0</v>
      </c>
      <c r="AE283" s="11">
        <f t="shared" si="202"/>
        <v>0</v>
      </c>
      <c r="AF283" s="11">
        <f t="shared" si="203"/>
        <v>0</v>
      </c>
      <c r="AG283" s="11">
        <f t="shared" si="204"/>
        <v>0</v>
      </c>
      <c r="AH283" s="11">
        <f t="shared" si="205"/>
        <v>0</v>
      </c>
      <c r="AI283" s="11">
        <f t="shared" si="206"/>
        <v>0</v>
      </c>
      <c r="AJ283" s="11">
        <f t="shared" si="207"/>
        <v>0</v>
      </c>
      <c r="AK283" s="11">
        <f t="shared" si="208"/>
        <v>0</v>
      </c>
      <c r="AL283" s="11">
        <f t="shared" si="209"/>
        <v>0</v>
      </c>
      <c r="AM283" s="11">
        <f t="shared" si="210"/>
        <v>0</v>
      </c>
      <c r="AN283" s="11">
        <f t="shared" si="211"/>
        <v>0</v>
      </c>
      <c r="AO283" s="11">
        <f t="shared" si="212"/>
        <v>0</v>
      </c>
      <c r="AP283" s="11">
        <f t="shared" si="213"/>
        <v>0</v>
      </c>
      <c r="AQ283" s="11">
        <f t="shared" si="214"/>
        <v>0</v>
      </c>
      <c r="AR283" s="11">
        <f t="shared" si="215"/>
        <v>0</v>
      </c>
      <c r="AS283" s="11">
        <f t="shared" si="216"/>
        <v>0</v>
      </c>
      <c r="AT283" s="11">
        <f t="shared" si="217"/>
        <v>0</v>
      </c>
      <c r="AU283" s="11">
        <f t="shared" si="218"/>
        <v>0</v>
      </c>
      <c r="AV283" s="11">
        <f t="shared" si="219"/>
        <v>0</v>
      </c>
      <c r="AW283" s="11">
        <f t="shared" si="220"/>
        <v>0</v>
      </c>
      <c r="AX283" s="11">
        <f t="shared" si="221"/>
        <v>0</v>
      </c>
      <c r="AY283" s="11">
        <f t="shared" si="222"/>
        <v>0</v>
      </c>
    </row>
    <row r="284" spans="1:51">
      <c r="A284" s="15">
        <v>45209</v>
      </c>
      <c r="B284" s="436"/>
      <c r="C284" s="436"/>
      <c r="D284" s="436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11">
        <f t="shared" si="197"/>
        <v>0</v>
      </c>
      <c r="AA284" s="11">
        <f t="shared" si="198"/>
        <v>0</v>
      </c>
      <c r="AB284" s="11">
        <f t="shared" si="199"/>
        <v>0</v>
      </c>
      <c r="AC284" s="11">
        <f t="shared" si="200"/>
        <v>0</v>
      </c>
      <c r="AD284" s="11">
        <f t="shared" si="201"/>
        <v>0</v>
      </c>
      <c r="AE284" s="11">
        <f t="shared" si="202"/>
        <v>0</v>
      </c>
      <c r="AF284" s="11">
        <f t="shared" si="203"/>
        <v>0</v>
      </c>
      <c r="AG284" s="11">
        <f t="shared" si="204"/>
        <v>0</v>
      </c>
      <c r="AH284" s="11">
        <f t="shared" si="205"/>
        <v>0</v>
      </c>
      <c r="AI284" s="11">
        <f t="shared" si="206"/>
        <v>0</v>
      </c>
      <c r="AJ284" s="11">
        <f t="shared" si="207"/>
        <v>0</v>
      </c>
      <c r="AK284" s="11">
        <f t="shared" si="208"/>
        <v>0</v>
      </c>
      <c r="AL284" s="11">
        <f t="shared" si="209"/>
        <v>0</v>
      </c>
      <c r="AM284" s="11">
        <f t="shared" si="210"/>
        <v>0</v>
      </c>
      <c r="AN284" s="11">
        <f t="shared" si="211"/>
        <v>0</v>
      </c>
      <c r="AO284" s="11">
        <f t="shared" si="212"/>
        <v>0</v>
      </c>
      <c r="AP284" s="11">
        <f t="shared" si="213"/>
        <v>0</v>
      </c>
      <c r="AQ284" s="11">
        <f t="shared" si="214"/>
        <v>0</v>
      </c>
      <c r="AR284" s="11">
        <f t="shared" si="215"/>
        <v>0</v>
      </c>
      <c r="AS284" s="11">
        <f t="shared" si="216"/>
        <v>0</v>
      </c>
      <c r="AT284" s="11">
        <f t="shared" si="217"/>
        <v>0</v>
      </c>
      <c r="AU284" s="11">
        <f t="shared" si="218"/>
        <v>0</v>
      </c>
      <c r="AV284" s="11">
        <f t="shared" si="219"/>
        <v>0</v>
      </c>
      <c r="AW284" s="11">
        <f t="shared" si="220"/>
        <v>0</v>
      </c>
      <c r="AX284" s="11">
        <f t="shared" si="221"/>
        <v>0</v>
      </c>
      <c r="AY284" s="11">
        <f t="shared" si="222"/>
        <v>0</v>
      </c>
    </row>
    <row r="285" spans="1:51">
      <c r="A285" s="15">
        <v>45210</v>
      </c>
      <c r="B285" s="436"/>
      <c r="C285" s="436"/>
      <c r="D285" s="436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11">
        <f t="shared" si="197"/>
        <v>0</v>
      </c>
      <c r="AA285" s="11">
        <f t="shared" si="198"/>
        <v>0</v>
      </c>
      <c r="AB285" s="11">
        <f t="shared" si="199"/>
        <v>0</v>
      </c>
      <c r="AC285" s="11">
        <f t="shared" si="200"/>
        <v>0</v>
      </c>
      <c r="AD285" s="11">
        <f t="shared" si="201"/>
        <v>0</v>
      </c>
      <c r="AE285" s="11">
        <f t="shared" si="202"/>
        <v>0</v>
      </c>
      <c r="AF285" s="11">
        <f t="shared" si="203"/>
        <v>0</v>
      </c>
      <c r="AG285" s="11">
        <f t="shared" si="204"/>
        <v>0</v>
      </c>
      <c r="AH285" s="11">
        <f t="shared" si="205"/>
        <v>0</v>
      </c>
      <c r="AI285" s="11">
        <f t="shared" si="206"/>
        <v>0</v>
      </c>
      <c r="AJ285" s="11">
        <f t="shared" si="207"/>
        <v>0</v>
      </c>
      <c r="AK285" s="11">
        <f t="shared" si="208"/>
        <v>0</v>
      </c>
      <c r="AL285" s="11">
        <f t="shared" si="209"/>
        <v>0</v>
      </c>
      <c r="AM285" s="11">
        <f t="shared" si="210"/>
        <v>0</v>
      </c>
      <c r="AN285" s="11">
        <f t="shared" si="211"/>
        <v>0</v>
      </c>
      <c r="AO285" s="11">
        <f t="shared" si="212"/>
        <v>0</v>
      </c>
      <c r="AP285" s="11">
        <f t="shared" si="213"/>
        <v>0</v>
      </c>
      <c r="AQ285" s="11">
        <f t="shared" si="214"/>
        <v>0</v>
      </c>
      <c r="AR285" s="11">
        <f t="shared" si="215"/>
        <v>0</v>
      </c>
      <c r="AS285" s="11">
        <f t="shared" si="216"/>
        <v>0</v>
      </c>
      <c r="AT285" s="11">
        <f t="shared" si="217"/>
        <v>0</v>
      </c>
      <c r="AU285" s="11">
        <f t="shared" si="218"/>
        <v>0</v>
      </c>
      <c r="AV285" s="11">
        <f t="shared" si="219"/>
        <v>0</v>
      </c>
      <c r="AW285" s="11">
        <f t="shared" si="220"/>
        <v>0</v>
      </c>
      <c r="AX285" s="11">
        <f t="shared" si="221"/>
        <v>0</v>
      </c>
      <c r="AY285" s="11">
        <f t="shared" si="222"/>
        <v>0</v>
      </c>
    </row>
    <row r="286" spans="1:51">
      <c r="A286" s="15">
        <v>45211</v>
      </c>
      <c r="B286" s="436"/>
      <c r="C286" s="436"/>
      <c r="D286" s="436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11">
        <f t="shared" si="197"/>
        <v>0</v>
      </c>
      <c r="AA286" s="11">
        <f t="shared" si="198"/>
        <v>0</v>
      </c>
      <c r="AB286" s="11">
        <f t="shared" si="199"/>
        <v>0</v>
      </c>
      <c r="AC286" s="11">
        <f t="shared" si="200"/>
        <v>0</v>
      </c>
      <c r="AD286" s="11">
        <f t="shared" si="201"/>
        <v>0</v>
      </c>
      <c r="AE286" s="11">
        <f t="shared" si="202"/>
        <v>0</v>
      </c>
      <c r="AF286" s="11">
        <f t="shared" si="203"/>
        <v>0</v>
      </c>
      <c r="AG286" s="11">
        <f t="shared" si="204"/>
        <v>0</v>
      </c>
      <c r="AH286" s="11">
        <f t="shared" si="205"/>
        <v>0</v>
      </c>
      <c r="AI286" s="11">
        <f t="shared" si="206"/>
        <v>0</v>
      </c>
      <c r="AJ286" s="11">
        <f t="shared" si="207"/>
        <v>0</v>
      </c>
      <c r="AK286" s="11">
        <f t="shared" si="208"/>
        <v>0</v>
      </c>
      <c r="AL286" s="11">
        <f t="shared" si="209"/>
        <v>0</v>
      </c>
      <c r="AM286" s="11">
        <f t="shared" si="210"/>
        <v>0</v>
      </c>
      <c r="AN286" s="11">
        <f t="shared" si="211"/>
        <v>0</v>
      </c>
      <c r="AO286" s="11">
        <f t="shared" si="212"/>
        <v>0</v>
      </c>
      <c r="AP286" s="11">
        <f t="shared" si="213"/>
        <v>0</v>
      </c>
      <c r="AQ286" s="11">
        <f t="shared" si="214"/>
        <v>0</v>
      </c>
      <c r="AR286" s="11">
        <f t="shared" si="215"/>
        <v>0</v>
      </c>
      <c r="AS286" s="11">
        <f t="shared" si="216"/>
        <v>0</v>
      </c>
      <c r="AT286" s="11">
        <f t="shared" si="217"/>
        <v>0</v>
      </c>
      <c r="AU286" s="11">
        <f t="shared" si="218"/>
        <v>0</v>
      </c>
      <c r="AV286" s="11">
        <f t="shared" si="219"/>
        <v>0</v>
      </c>
      <c r="AW286" s="11">
        <f t="shared" si="220"/>
        <v>0</v>
      </c>
      <c r="AX286" s="11">
        <f t="shared" si="221"/>
        <v>0</v>
      </c>
      <c r="AY286" s="11">
        <f t="shared" si="222"/>
        <v>0</v>
      </c>
    </row>
    <row r="287" spans="1:51">
      <c r="A287" s="15">
        <v>45212</v>
      </c>
      <c r="B287" s="436"/>
      <c r="C287" s="436"/>
      <c r="D287" s="436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11">
        <f t="shared" si="197"/>
        <v>0</v>
      </c>
      <c r="AA287" s="11">
        <f t="shared" si="198"/>
        <v>0</v>
      </c>
      <c r="AB287" s="11">
        <f t="shared" si="199"/>
        <v>0</v>
      </c>
      <c r="AC287" s="11">
        <f t="shared" si="200"/>
        <v>0</v>
      </c>
      <c r="AD287" s="11">
        <f t="shared" si="201"/>
        <v>0</v>
      </c>
      <c r="AE287" s="11">
        <f t="shared" si="202"/>
        <v>0</v>
      </c>
      <c r="AF287" s="11">
        <f t="shared" si="203"/>
        <v>0</v>
      </c>
      <c r="AG287" s="11">
        <f t="shared" si="204"/>
        <v>0</v>
      </c>
      <c r="AH287" s="11">
        <f t="shared" si="205"/>
        <v>0</v>
      </c>
      <c r="AI287" s="11">
        <f t="shared" si="206"/>
        <v>0</v>
      </c>
      <c r="AJ287" s="11">
        <f t="shared" si="207"/>
        <v>0</v>
      </c>
      <c r="AK287" s="11">
        <f t="shared" si="208"/>
        <v>0</v>
      </c>
      <c r="AL287" s="11">
        <f t="shared" si="209"/>
        <v>0</v>
      </c>
      <c r="AM287" s="11">
        <f t="shared" si="210"/>
        <v>0</v>
      </c>
      <c r="AN287" s="11">
        <f t="shared" si="211"/>
        <v>0</v>
      </c>
      <c r="AO287" s="11">
        <f t="shared" si="212"/>
        <v>0</v>
      </c>
      <c r="AP287" s="11">
        <f t="shared" si="213"/>
        <v>0</v>
      </c>
      <c r="AQ287" s="11">
        <f t="shared" si="214"/>
        <v>0</v>
      </c>
      <c r="AR287" s="11">
        <f t="shared" si="215"/>
        <v>0</v>
      </c>
      <c r="AS287" s="11">
        <f t="shared" si="216"/>
        <v>0</v>
      </c>
      <c r="AT287" s="11">
        <f t="shared" si="217"/>
        <v>0</v>
      </c>
      <c r="AU287" s="11">
        <f t="shared" si="218"/>
        <v>0</v>
      </c>
      <c r="AV287" s="11">
        <f t="shared" si="219"/>
        <v>0</v>
      </c>
      <c r="AW287" s="11">
        <f t="shared" si="220"/>
        <v>0</v>
      </c>
      <c r="AX287" s="11">
        <f t="shared" si="221"/>
        <v>0</v>
      </c>
      <c r="AY287" s="11">
        <f t="shared" si="222"/>
        <v>0</v>
      </c>
    </row>
    <row r="288" spans="1:51">
      <c r="A288" s="15">
        <v>45213</v>
      </c>
      <c r="B288" s="436"/>
      <c r="C288" s="436"/>
      <c r="D288" s="436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11">
        <f t="shared" si="197"/>
        <v>0</v>
      </c>
      <c r="AA288" s="11">
        <f t="shared" si="198"/>
        <v>0</v>
      </c>
      <c r="AB288" s="11">
        <f t="shared" si="199"/>
        <v>0</v>
      </c>
      <c r="AC288" s="11">
        <f t="shared" si="200"/>
        <v>0</v>
      </c>
      <c r="AD288" s="11">
        <f t="shared" si="201"/>
        <v>0</v>
      </c>
      <c r="AE288" s="11">
        <f t="shared" si="202"/>
        <v>0</v>
      </c>
      <c r="AF288" s="11">
        <f t="shared" si="203"/>
        <v>0</v>
      </c>
      <c r="AG288" s="11">
        <f t="shared" si="204"/>
        <v>0</v>
      </c>
      <c r="AH288" s="11">
        <f t="shared" si="205"/>
        <v>0</v>
      </c>
      <c r="AI288" s="11">
        <f t="shared" si="206"/>
        <v>0</v>
      </c>
      <c r="AJ288" s="11">
        <f t="shared" si="207"/>
        <v>0</v>
      </c>
      <c r="AK288" s="11">
        <f t="shared" si="208"/>
        <v>0</v>
      </c>
      <c r="AL288" s="11">
        <f t="shared" si="209"/>
        <v>0</v>
      </c>
      <c r="AM288" s="11">
        <f t="shared" si="210"/>
        <v>0</v>
      </c>
      <c r="AN288" s="11">
        <f t="shared" si="211"/>
        <v>0</v>
      </c>
      <c r="AO288" s="11">
        <f t="shared" si="212"/>
        <v>0</v>
      </c>
      <c r="AP288" s="11">
        <f t="shared" si="213"/>
        <v>0</v>
      </c>
      <c r="AQ288" s="11">
        <f t="shared" si="214"/>
        <v>0</v>
      </c>
      <c r="AR288" s="11">
        <f t="shared" si="215"/>
        <v>0</v>
      </c>
      <c r="AS288" s="11">
        <f t="shared" si="216"/>
        <v>0</v>
      </c>
      <c r="AT288" s="11">
        <f t="shared" si="217"/>
        <v>0</v>
      </c>
      <c r="AU288" s="11">
        <f t="shared" si="218"/>
        <v>0</v>
      </c>
      <c r="AV288" s="11">
        <f t="shared" si="219"/>
        <v>0</v>
      </c>
      <c r="AW288" s="11">
        <f t="shared" si="220"/>
        <v>0</v>
      </c>
      <c r="AX288" s="11">
        <f t="shared" si="221"/>
        <v>0</v>
      </c>
      <c r="AY288" s="11">
        <f t="shared" si="222"/>
        <v>0</v>
      </c>
    </row>
    <row r="289" spans="1:51">
      <c r="A289" s="15">
        <v>45214</v>
      </c>
      <c r="B289" s="436"/>
      <c r="C289" s="436"/>
      <c r="D289" s="436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11">
        <f t="shared" si="197"/>
        <v>0</v>
      </c>
      <c r="AA289" s="11">
        <f t="shared" si="198"/>
        <v>0</v>
      </c>
      <c r="AB289" s="11">
        <f t="shared" si="199"/>
        <v>0</v>
      </c>
      <c r="AC289" s="11">
        <f t="shared" si="200"/>
        <v>0</v>
      </c>
      <c r="AD289" s="11">
        <f t="shared" si="201"/>
        <v>0</v>
      </c>
      <c r="AE289" s="11">
        <f t="shared" si="202"/>
        <v>0</v>
      </c>
      <c r="AF289" s="11">
        <f t="shared" si="203"/>
        <v>0</v>
      </c>
      <c r="AG289" s="11">
        <f t="shared" si="204"/>
        <v>0</v>
      </c>
      <c r="AH289" s="11">
        <f t="shared" si="205"/>
        <v>0</v>
      </c>
      <c r="AI289" s="11">
        <f t="shared" si="206"/>
        <v>0</v>
      </c>
      <c r="AJ289" s="11">
        <f t="shared" si="207"/>
        <v>0</v>
      </c>
      <c r="AK289" s="11">
        <f t="shared" si="208"/>
        <v>0</v>
      </c>
      <c r="AL289" s="11">
        <f t="shared" si="209"/>
        <v>0</v>
      </c>
      <c r="AM289" s="11">
        <f t="shared" si="210"/>
        <v>0</v>
      </c>
      <c r="AN289" s="11">
        <f t="shared" si="211"/>
        <v>0</v>
      </c>
      <c r="AO289" s="11">
        <f t="shared" si="212"/>
        <v>0</v>
      </c>
      <c r="AP289" s="11">
        <f t="shared" si="213"/>
        <v>0</v>
      </c>
      <c r="AQ289" s="11">
        <f t="shared" si="214"/>
        <v>0</v>
      </c>
      <c r="AR289" s="11">
        <f t="shared" si="215"/>
        <v>0</v>
      </c>
      <c r="AS289" s="11">
        <f t="shared" si="216"/>
        <v>0</v>
      </c>
      <c r="AT289" s="11">
        <f t="shared" si="217"/>
        <v>0</v>
      </c>
      <c r="AU289" s="11">
        <f t="shared" si="218"/>
        <v>0</v>
      </c>
      <c r="AV289" s="11">
        <f t="shared" si="219"/>
        <v>0</v>
      </c>
      <c r="AW289" s="11">
        <f t="shared" si="220"/>
        <v>0</v>
      </c>
      <c r="AX289" s="11">
        <f t="shared" si="221"/>
        <v>0</v>
      </c>
      <c r="AY289" s="11">
        <f t="shared" si="222"/>
        <v>0</v>
      </c>
    </row>
    <row r="290" spans="1:51">
      <c r="A290" s="15">
        <v>45215</v>
      </c>
      <c r="B290" s="436"/>
      <c r="C290" s="436"/>
      <c r="D290" s="436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11">
        <f t="shared" si="197"/>
        <v>0</v>
      </c>
      <c r="AA290" s="11">
        <f t="shared" si="198"/>
        <v>0</v>
      </c>
      <c r="AB290" s="11">
        <f t="shared" si="199"/>
        <v>0</v>
      </c>
      <c r="AC290" s="11">
        <f t="shared" si="200"/>
        <v>0</v>
      </c>
      <c r="AD290" s="11">
        <f t="shared" si="201"/>
        <v>0</v>
      </c>
      <c r="AE290" s="11">
        <f t="shared" si="202"/>
        <v>0</v>
      </c>
      <c r="AF290" s="11">
        <f t="shared" si="203"/>
        <v>0</v>
      </c>
      <c r="AG290" s="11">
        <f t="shared" si="204"/>
        <v>0</v>
      </c>
      <c r="AH290" s="11">
        <f t="shared" si="205"/>
        <v>0</v>
      </c>
      <c r="AI290" s="11">
        <f t="shared" si="206"/>
        <v>0</v>
      </c>
      <c r="AJ290" s="11">
        <f t="shared" si="207"/>
        <v>0</v>
      </c>
      <c r="AK290" s="11">
        <f t="shared" si="208"/>
        <v>0</v>
      </c>
      <c r="AL290" s="11">
        <f t="shared" si="209"/>
        <v>0</v>
      </c>
      <c r="AM290" s="11">
        <f t="shared" si="210"/>
        <v>0</v>
      </c>
      <c r="AN290" s="11">
        <f t="shared" si="211"/>
        <v>0</v>
      </c>
      <c r="AO290" s="11">
        <f t="shared" si="212"/>
        <v>0</v>
      </c>
      <c r="AP290" s="11">
        <f t="shared" si="213"/>
        <v>0</v>
      </c>
      <c r="AQ290" s="11">
        <f t="shared" si="214"/>
        <v>0</v>
      </c>
      <c r="AR290" s="11">
        <f t="shared" si="215"/>
        <v>0</v>
      </c>
      <c r="AS290" s="11">
        <f t="shared" si="216"/>
        <v>0</v>
      </c>
      <c r="AT290" s="11">
        <f t="shared" si="217"/>
        <v>0</v>
      </c>
      <c r="AU290" s="11">
        <f t="shared" si="218"/>
        <v>0</v>
      </c>
      <c r="AV290" s="11">
        <f t="shared" si="219"/>
        <v>0</v>
      </c>
      <c r="AW290" s="11">
        <f t="shared" si="220"/>
        <v>0</v>
      </c>
      <c r="AX290" s="11">
        <f t="shared" si="221"/>
        <v>0</v>
      </c>
      <c r="AY290" s="11">
        <f t="shared" si="222"/>
        <v>0</v>
      </c>
    </row>
    <row r="291" spans="1:51">
      <c r="A291" s="15">
        <v>45216</v>
      </c>
      <c r="B291" s="436"/>
      <c r="C291" s="436"/>
      <c r="D291" s="436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11">
        <f t="shared" si="197"/>
        <v>0</v>
      </c>
      <c r="AA291" s="11">
        <f t="shared" si="198"/>
        <v>0</v>
      </c>
      <c r="AB291" s="11">
        <f t="shared" si="199"/>
        <v>0</v>
      </c>
      <c r="AC291" s="11">
        <f t="shared" si="200"/>
        <v>0</v>
      </c>
      <c r="AD291" s="11">
        <f t="shared" si="201"/>
        <v>0</v>
      </c>
      <c r="AE291" s="11">
        <f t="shared" si="202"/>
        <v>0</v>
      </c>
      <c r="AF291" s="11">
        <f t="shared" si="203"/>
        <v>0</v>
      </c>
      <c r="AG291" s="11">
        <f t="shared" si="204"/>
        <v>0</v>
      </c>
      <c r="AH291" s="11">
        <f t="shared" si="205"/>
        <v>0</v>
      </c>
      <c r="AI291" s="11">
        <f t="shared" si="206"/>
        <v>0</v>
      </c>
      <c r="AJ291" s="11">
        <f t="shared" si="207"/>
        <v>0</v>
      </c>
      <c r="AK291" s="11">
        <f t="shared" si="208"/>
        <v>0</v>
      </c>
      <c r="AL291" s="11">
        <f t="shared" si="209"/>
        <v>0</v>
      </c>
      <c r="AM291" s="11">
        <f t="shared" si="210"/>
        <v>0</v>
      </c>
      <c r="AN291" s="11">
        <f t="shared" si="211"/>
        <v>0</v>
      </c>
      <c r="AO291" s="11">
        <f t="shared" si="212"/>
        <v>0</v>
      </c>
      <c r="AP291" s="11">
        <f t="shared" si="213"/>
        <v>0</v>
      </c>
      <c r="AQ291" s="11">
        <f t="shared" si="214"/>
        <v>0</v>
      </c>
      <c r="AR291" s="11">
        <f t="shared" si="215"/>
        <v>0</v>
      </c>
      <c r="AS291" s="11">
        <f t="shared" si="216"/>
        <v>0</v>
      </c>
      <c r="AT291" s="11">
        <f t="shared" si="217"/>
        <v>0</v>
      </c>
      <c r="AU291" s="11">
        <f t="shared" si="218"/>
        <v>0</v>
      </c>
      <c r="AV291" s="11">
        <f t="shared" si="219"/>
        <v>0</v>
      </c>
      <c r="AW291" s="11">
        <f t="shared" si="220"/>
        <v>0</v>
      </c>
      <c r="AX291" s="11">
        <f t="shared" si="221"/>
        <v>0</v>
      </c>
      <c r="AY291" s="11">
        <f t="shared" si="222"/>
        <v>0</v>
      </c>
    </row>
    <row r="292" spans="1:51">
      <c r="A292" s="15">
        <v>45217</v>
      </c>
      <c r="B292" s="436"/>
      <c r="C292" s="436"/>
      <c r="D292" s="436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11">
        <f t="shared" si="197"/>
        <v>0</v>
      </c>
      <c r="AA292" s="11">
        <f t="shared" si="198"/>
        <v>0</v>
      </c>
      <c r="AB292" s="11">
        <f t="shared" si="199"/>
        <v>0</v>
      </c>
      <c r="AC292" s="11">
        <f t="shared" si="200"/>
        <v>0</v>
      </c>
      <c r="AD292" s="11">
        <f t="shared" si="201"/>
        <v>0</v>
      </c>
      <c r="AE292" s="11">
        <f t="shared" si="202"/>
        <v>0</v>
      </c>
      <c r="AF292" s="11">
        <f t="shared" si="203"/>
        <v>0</v>
      </c>
      <c r="AG292" s="11">
        <f t="shared" si="204"/>
        <v>0</v>
      </c>
      <c r="AH292" s="11">
        <f t="shared" si="205"/>
        <v>0</v>
      </c>
      <c r="AI292" s="11">
        <f t="shared" si="206"/>
        <v>0</v>
      </c>
      <c r="AJ292" s="11">
        <f t="shared" si="207"/>
        <v>0</v>
      </c>
      <c r="AK292" s="11">
        <f t="shared" si="208"/>
        <v>0</v>
      </c>
      <c r="AL292" s="11">
        <f t="shared" si="209"/>
        <v>0</v>
      </c>
      <c r="AM292" s="11">
        <f t="shared" si="210"/>
        <v>0</v>
      </c>
      <c r="AN292" s="11">
        <f t="shared" si="211"/>
        <v>0</v>
      </c>
      <c r="AO292" s="11">
        <f t="shared" si="212"/>
        <v>0</v>
      </c>
      <c r="AP292" s="11">
        <f t="shared" si="213"/>
        <v>0</v>
      </c>
      <c r="AQ292" s="11">
        <f t="shared" si="214"/>
        <v>0</v>
      </c>
      <c r="AR292" s="11">
        <f t="shared" si="215"/>
        <v>0</v>
      </c>
      <c r="AS292" s="11">
        <f t="shared" si="216"/>
        <v>0</v>
      </c>
      <c r="AT292" s="11">
        <f t="shared" si="217"/>
        <v>0</v>
      </c>
      <c r="AU292" s="11">
        <f t="shared" si="218"/>
        <v>0</v>
      </c>
      <c r="AV292" s="11">
        <f t="shared" si="219"/>
        <v>0</v>
      </c>
      <c r="AW292" s="11">
        <f t="shared" si="220"/>
        <v>0</v>
      </c>
      <c r="AX292" s="11">
        <f t="shared" si="221"/>
        <v>0</v>
      </c>
      <c r="AY292" s="11">
        <f t="shared" si="222"/>
        <v>0</v>
      </c>
    </row>
    <row r="293" spans="1:51">
      <c r="A293" s="15">
        <v>45218</v>
      </c>
      <c r="B293" s="436"/>
      <c r="C293" s="436"/>
      <c r="D293" s="436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11">
        <f t="shared" si="197"/>
        <v>0</v>
      </c>
      <c r="AA293" s="11">
        <f t="shared" si="198"/>
        <v>0</v>
      </c>
      <c r="AB293" s="11">
        <f t="shared" si="199"/>
        <v>0</v>
      </c>
      <c r="AC293" s="11">
        <f t="shared" si="200"/>
        <v>0</v>
      </c>
      <c r="AD293" s="11">
        <f t="shared" si="201"/>
        <v>0</v>
      </c>
      <c r="AE293" s="11">
        <f t="shared" si="202"/>
        <v>0</v>
      </c>
      <c r="AF293" s="11">
        <f t="shared" si="203"/>
        <v>0</v>
      </c>
      <c r="AG293" s="11">
        <f t="shared" si="204"/>
        <v>0</v>
      </c>
      <c r="AH293" s="11">
        <f t="shared" si="205"/>
        <v>0</v>
      </c>
      <c r="AI293" s="11">
        <f t="shared" si="206"/>
        <v>0</v>
      </c>
      <c r="AJ293" s="11">
        <f t="shared" si="207"/>
        <v>0</v>
      </c>
      <c r="AK293" s="11">
        <f t="shared" si="208"/>
        <v>0</v>
      </c>
      <c r="AL293" s="11">
        <f t="shared" si="209"/>
        <v>0</v>
      </c>
      <c r="AM293" s="11">
        <f t="shared" si="210"/>
        <v>0</v>
      </c>
      <c r="AN293" s="11">
        <f t="shared" si="211"/>
        <v>0</v>
      </c>
      <c r="AO293" s="11">
        <f t="shared" si="212"/>
        <v>0</v>
      </c>
      <c r="AP293" s="11">
        <f t="shared" si="213"/>
        <v>0</v>
      </c>
      <c r="AQ293" s="11">
        <f t="shared" si="214"/>
        <v>0</v>
      </c>
      <c r="AR293" s="11">
        <f t="shared" si="215"/>
        <v>0</v>
      </c>
      <c r="AS293" s="11">
        <f t="shared" si="216"/>
        <v>0</v>
      </c>
      <c r="AT293" s="11">
        <f t="shared" si="217"/>
        <v>0</v>
      </c>
      <c r="AU293" s="11">
        <f t="shared" si="218"/>
        <v>0</v>
      </c>
      <c r="AV293" s="11">
        <f t="shared" si="219"/>
        <v>0</v>
      </c>
      <c r="AW293" s="11">
        <f t="shared" si="220"/>
        <v>0</v>
      </c>
      <c r="AX293" s="11">
        <f t="shared" si="221"/>
        <v>0</v>
      </c>
      <c r="AY293" s="11">
        <f t="shared" si="222"/>
        <v>0</v>
      </c>
    </row>
    <row r="294" spans="1:51">
      <c r="A294" s="15">
        <v>45219</v>
      </c>
      <c r="B294" s="436"/>
      <c r="C294" s="436"/>
      <c r="D294" s="436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11">
        <f t="shared" si="197"/>
        <v>0</v>
      </c>
      <c r="AA294" s="11">
        <f t="shared" si="198"/>
        <v>0</v>
      </c>
      <c r="AB294" s="11">
        <f t="shared" si="199"/>
        <v>0</v>
      </c>
      <c r="AC294" s="11">
        <f t="shared" si="200"/>
        <v>0</v>
      </c>
      <c r="AD294" s="11">
        <f t="shared" si="201"/>
        <v>0</v>
      </c>
      <c r="AE294" s="11">
        <f t="shared" si="202"/>
        <v>0</v>
      </c>
      <c r="AF294" s="11">
        <f t="shared" si="203"/>
        <v>0</v>
      </c>
      <c r="AG294" s="11">
        <f t="shared" si="204"/>
        <v>0</v>
      </c>
      <c r="AH294" s="11">
        <f t="shared" si="205"/>
        <v>0</v>
      </c>
      <c r="AI294" s="11">
        <f t="shared" si="206"/>
        <v>0</v>
      </c>
      <c r="AJ294" s="11">
        <f t="shared" si="207"/>
        <v>0</v>
      </c>
      <c r="AK294" s="11">
        <f t="shared" si="208"/>
        <v>0</v>
      </c>
      <c r="AL294" s="11">
        <f t="shared" si="209"/>
        <v>0</v>
      </c>
      <c r="AM294" s="11">
        <f t="shared" si="210"/>
        <v>0</v>
      </c>
      <c r="AN294" s="11">
        <f t="shared" si="211"/>
        <v>0</v>
      </c>
      <c r="AO294" s="11">
        <f t="shared" si="212"/>
        <v>0</v>
      </c>
      <c r="AP294" s="11">
        <f t="shared" si="213"/>
        <v>0</v>
      </c>
      <c r="AQ294" s="11">
        <f t="shared" si="214"/>
        <v>0</v>
      </c>
      <c r="AR294" s="11">
        <f t="shared" si="215"/>
        <v>0</v>
      </c>
      <c r="AS294" s="11">
        <f t="shared" si="216"/>
        <v>0</v>
      </c>
      <c r="AT294" s="11">
        <f t="shared" si="217"/>
        <v>0</v>
      </c>
      <c r="AU294" s="11">
        <f t="shared" si="218"/>
        <v>0</v>
      </c>
      <c r="AV294" s="11">
        <f t="shared" si="219"/>
        <v>0</v>
      </c>
      <c r="AW294" s="11">
        <f t="shared" si="220"/>
        <v>0</v>
      </c>
      <c r="AX294" s="11">
        <f t="shared" si="221"/>
        <v>0</v>
      </c>
      <c r="AY294" s="11">
        <f t="shared" si="222"/>
        <v>0</v>
      </c>
    </row>
    <row r="295" spans="1:51">
      <c r="A295" s="15">
        <v>45220</v>
      </c>
      <c r="B295" s="436"/>
      <c r="C295" s="436"/>
      <c r="D295" s="436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11">
        <f t="shared" si="197"/>
        <v>0</v>
      </c>
      <c r="AA295" s="11">
        <f t="shared" si="198"/>
        <v>0</v>
      </c>
      <c r="AB295" s="11">
        <f t="shared" si="199"/>
        <v>0</v>
      </c>
      <c r="AC295" s="11">
        <f t="shared" si="200"/>
        <v>0</v>
      </c>
      <c r="AD295" s="11">
        <f t="shared" si="201"/>
        <v>0</v>
      </c>
      <c r="AE295" s="11">
        <f t="shared" si="202"/>
        <v>0</v>
      </c>
      <c r="AF295" s="11">
        <f t="shared" si="203"/>
        <v>0</v>
      </c>
      <c r="AG295" s="11">
        <f t="shared" si="204"/>
        <v>0</v>
      </c>
      <c r="AH295" s="11">
        <f t="shared" si="205"/>
        <v>0</v>
      </c>
      <c r="AI295" s="11">
        <f t="shared" si="206"/>
        <v>0</v>
      </c>
      <c r="AJ295" s="11">
        <f t="shared" si="207"/>
        <v>0</v>
      </c>
      <c r="AK295" s="11">
        <f t="shared" si="208"/>
        <v>0</v>
      </c>
      <c r="AL295" s="11">
        <f t="shared" si="209"/>
        <v>0</v>
      </c>
      <c r="AM295" s="11">
        <f t="shared" si="210"/>
        <v>0</v>
      </c>
      <c r="AN295" s="11">
        <f t="shared" si="211"/>
        <v>0</v>
      </c>
      <c r="AO295" s="11">
        <f t="shared" si="212"/>
        <v>0</v>
      </c>
      <c r="AP295" s="11">
        <f t="shared" si="213"/>
        <v>0</v>
      </c>
      <c r="AQ295" s="11">
        <f t="shared" si="214"/>
        <v>0</v>
      </c>
      <c r="AR295" s="11">
        <f t="shared" si="215"/>
        <v>0</v>
      </c>
      <c r="AS295" s="11">
        <f t="shared" si="216"/>
        <v>0</v>
      </c>
      <c r="AT295" s="11">
        <f t="shared" si="217"/>
        <v>0</v>
      </c>
      <c r="AU295" s="11">
        <f t="shared" si="218"/>
        <v>0</v>
      </c>
      <c r="AV295" s="11">
        <f t="shared" si="219"/>
        <v>0</v>
      </c>
      <c r="AW295" s="11">
        <f t="shared" si="220"/>
        <v>0</v>
      </c>
      <c r="AX295" s="11">
        <f t="shared" si="221"/>
        <v>0</v>
      </c>
      <c r="AY295" s="11">
        <f t="shared" si="222"/>
        <v>0</v>
      </c>
    </row>
    <row r="296" spans="1:51">
      <c r="A296" s="15">
        <v>45221</v>
      </c>
      <c r="B296" s="436"/>
      <c r="C296" s="436"/>
      <c r="D296" s="436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11">
        <f t="shared" si="197"/>
        <v>0</v>
      </c>
      <c r="AA296" s="11">
        <f t="shared" si="198"/>
        <v>0</v>
      </c>
      <c r="AB296" s="11">
        <f t="shared" si="199"/>
        <v>0</v>
      </c>
      <c r="AC296" s="11">
        <f t="shared" si="200"/>
        <v>0</v>
      </c>
      <c r="AD296" s="11">
        <f t="shared" si="201"/>
        <v>0</v>
      </c>
      <c r="AE296" s="11">
        <f t="shared" si="202"/>
        <v>0</v>
      </c>
      <c r="AF296" s="11">
        <f t="shared" si="203"/>
        <v>0</v>
      </c>
      <c r="AG296" s="11">
        <f t="shared" si="204"/>
        <v>0</v>
      </c>
      <c r="AH296" s="11">
        <f t="shared" si="205"/>
        <v>0</v>
      </c>
      <c r="AI296" s="11">
        <f t="shared" si="206"/>
        <v>0</v>
      </c>
      <c r="AJ296" s="11">
        <f t="shared" si="207"/>
        <v>0</v>
      </c>
      <c r="AK296" s="11">
        <f t="shared" si="208"/>
        <v>0</v>
      </c>
      <c r="AL296" s="11">
        <f t="shared" si="209"/>
        <v>0</v>
      </c>
      <c r="AM296" s="11">
        <f t="shared" si="210"/>
        <v>0</v>
      </c>
      <c r="AN296" s="11">
        <f t="shared" si="211"/>
        <v>0</v>
      </c>
      <c r="AO296" s="11">
        <f t="shared" si="212"/>
        <v>0</v>
      </c>
      <c r="AP296" s="11">
        <f t="shared" si="213"/>
        <v>0</v>
      </c>
      <c r="AQ296" s="11">
        <f t="shared" si="214"/>
        <v>0</v>
      </c>
      <c r="AR296" s="11">
        <f t="shared" si="215"/>
        <v>0</v>
      </c>
      <c r="AS296" s="11">
        <f t="shared" si="216"/>
        <v>0</v>
      </c>
      <c r="AT296" s="11">
        <f t="shared" si="217"/>
        <v>0</v>
      </c>
      <c r="AU296" s="11">
        <f t="shared" si="218"/>
        <v>0</v>
      </c>
      <c r="AV296" s="11">
        <f t="shared" si="219"/>
        <v>0</v>
      </c>
      <c r="AW296" s="11">
        <f t="shared" si="220"/>
        <v>0</v>
      </c>
      <c r="AX296" s="11">
        <f t="shared" si="221"/>
        <v>0</v>
      </c>
      <c r="AY296" s="11">
        <f t="shared" si="222"/>
        <v>0</v>
      </c>
    </row>
    <row r="297" spans="1:51">
      <c r="A297" s="15">
        <v>45222</v>
      </c>
      <c r="B297" s="436"/>
      <c r="C297" s="436"/>
      <c r="D297" s="436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11">
        <f t="shared" si="197"/>
        <v>0</v>
      </c>
      <c r="AA297" s="11">
        <f t="shared" si="198"/>
        <v>0</v>
      </c>
      <c r="AB297" s="11">
        <f t="shared" si="199"/>
        <v>0</v>
      </c>
      <c r="AC297" s="11">
        <f t="shared" si="200"/>
        <v>0</v>
      </c>
      <c r="AD297" s="11">
        <f t="shared" si="201"/>
        <v>0</v>
      </c>
      <c r="AE297" s="11">
        <f t="shared" si="202"/>
        <v>0</v>
      </c>
      <c r="AF297" s="11">
        <f t="shared" si="203"/>
        <v>0</v>
      </c>
      <c r="AG297" s="11">
        <f t="shared" si="204"/>
        <v>0</v>
      </c>
      <c r="AH297" s="11">
        <f t="shared" si="205"/>
        <v>0</v>
      </c>
      <c r="AI297" s="11">
        <f t="shared" si="206"/>
        <v>0</v>
      </c>
      <c r="AJ297" s="11">
        <f t="shared" si="207"/>
        <v>0</v>
      </c>
      <c r="AK297" s="11">
        <f t="shared" si="208"/>
        <v>0</v>
      </c>
      <c r="AL297" s="11">
        <f t="shared" si="209"/>
        <v>0</v>
      </c>
      <c r="AM297" s="11">
        <f t="shared" si="210"/>
        <v>0</v>
      </c>
      <c r="AN297" s="11">
        <f t="shared" si="211"/>
        <v>0</v>
      </c>
      <c r="AO297" s="11">
        <f t="shared" si="212"/>
        <v>0</v>
      </c>
      <c r="AP297" s="11">
        <f t="shared" si="213"/>
        <v>0</v>
      </c>
      <c r="AQ297" s="11">
        <f t="shared" si="214"/>
        <v>0</v>
      </c>
      <c r="AR297" s="11">
        <f t="shared" si="215"/>
        <v>0</v>
      </c>
      <c r="AS297" s="11">
        <f t="shared" si="216"/>
        <v>0</v>
      </c>
      <c r="AT297" s="11">
        <f t="shared" si="217"/>
        <v>0</v>
      </c>
      <c r="AU297" s="11">
        <f t="shared" si="218"/>
        <v>0</v>
      </c>
      <c r="AV297" s="11">
        <f t="shared" si="219"/>
        <v>0</v>
      </c>
      <c r="AW297" s="11">
        <f t="shared" si="220"/>
        <v>0</v>
      </c>
      <c r="AX297" s="11">
        <f t="shared" si="221"/>
        <v>0</v>
      </c>
      <c r="AY297" s="11">
        <f t="shared" si="222"/>
        <v>0</v>
      </c>
    </row>
    <row r="298" spans="1:51">
      <c r="A298" s="15">
        <v>45223</v>
      </c>
      <c r="B298" s="436"/>
      <c r="C298" s="436"/>
      <c r="D298" s="436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11">
        <f t="shared" si="197"/>
        <v>0</v>
      </c>
      <c r="AA298" s="11">
        <f t="shared" si="198"/>
        <v>0</v>
      </c>
      <c r="AB298" s="11">
        <f t="shared" si="199"/>
        <v>0</v>
      </c>
      <c r="AC298" s="11">
        <f t="shared" si="200"/>
        <v>0</v>
      </c>
      <c r="AD298" s="11">
        <f t="shared" si="201"/>
        <v>0</v>
      </c>
      <c r="AE298" s="11">
        <f t="shared" si="202"/>
        <v>0</v>
      </c>
      <c r="AF298" s="11">
        <f t="shared" si="203"/>
        <v>0</v>
      </c>
      <c r="AG298" s="11">
        <f t="shared" si="204"/>
        <v>0</v>
      </c>
      <c r="AH298" s="11">
        <f t="shared" si="205"/>
        <v>0</v>
      </c>
      <c r="AI298" s="11">
        <f t="shared" si="206"/>
        <v>0</v>
      </c>
      <c r="AJ298" s="11">
        <f t="shared" si="207"/>
        <v>0</v>
      </c>
      <c r="AK298" s="11">
        <f t="shared" si="208"/>
        <v>0</v>
      </c>
      <c r="AL298" s="11">
        <f t="shared" si="209"/>
        <v>0</v>
      </c>
      <c r="AM298" s="11">
        <f t="shared" si="210"/>
        <v>0</v>
      </c>
      <c r="AN298" s="11">
        <f t="shared" si="211"/>
        <v>0</v>
      </c>
      <c r="AO298" s="11">
        <f t="shared" si="212"/>
        <v>0</v>
      </c>
      <c r="AP298" s="11">
        <f t="shared" si="213"/>
        <v>0</v>
      </c>
      <c r="AQ298" s="11">
        <f t="shared" si="214"/>
        <v>0</v>
      </c>
      <c r="AR298" s="11">
        <f t="shared" si="215"/>
        <v>0</v>
      </c>
      <c r="AS298" s="11">
        <f t="shared" si="216"/>
        <v>0</v>
      </c>
      <c r="AT298" s="11">
        <f t="shared" si="217"/>
        <v>0</v>
      </c>
      <c r="AU298" s="11">
        <f t="shared" si="218"/>
        <v>0</v>
      </c>
      <c r="AV298" s="11">
        <f t="shared" si="219"/>
        <v>0</v>
      </c>
      <c r="AW298" s="11">
        <f t="shared" si="220"/>
        <v>0</v>
      </c>
      <c r="AX298" s="11">
        <f t="shared" si="221"/>
        <v>0</v>
      </c>
      <c r="AY298" s="11">
        <f t="shared" si="222"/>
        <v>0</v>
      </c>
    </row>
    <row r="299" spans="1:51">
      <c r="A299" s="15">
        <v>45224</v>
      </c>
      <c r="B299" s="436"/>
      <c r="C299" s="436"/>
      <c r="D299" s="436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11">
        <f t="shared" si="197"/>
        <v>0</v>
      </c>
      <c r="AA299" s="11">
        <f t="shared" si="198"/>
        <v>0</v>
      </c>
      <c r="AB299" s="11">
        <f t="shared" si="199"/>
        <v>0</v>
      </c>
      <c r="AC299" s="11">
        <f t="shared" si="200"/>
        <v>0</v>
      </c>
      <c r="AD299" s="11">
        <f t="shared" si="201"/>
        <v>0</v>
      </c>
      <c r="AE299" s="11">
        <f t="shared" si="202"/>
        <v>0</v>
      </c>
      <c r="AF299" s="11">
        <f t="shared" si="203"/>
        <v>0</v>
      </c>
      <c r="AG299" s="11">
        <f t="shared" si="204"/>
        <v>0</v>
      </c>
      <c r="AH299" s="11">
        <f t="shared" si="205"/>
        <v>0</v>
      </c>
      <c r="AI299" s="11">
        <f t="shared" si="206"/>
        <v>0</v>
      </c>
      <c r="AJ299" s="11">
        <f t="shared" si="207"/>
        <v>0</v>
      </c>
      <c r="AK299" s="11">
        <f t="shared" si="208"/>
        <v>0</v>
      </c>
      <c r="AL299" s="11">
        <f t="shared" si="209"/>
        <v>0</v>
      </c>
      <c r="AM299" s="11">
        <f t="shared" si="210"/>
        <v>0</v>
      </c>
      <c r="AN299" s="11">
        <f t="shared" si="211"/>
        <v>0</v>
      </c>
      <c r="AO299" s="11">
        <f t="shared" si="212"/>
        <v>0</v>
      </c>
      <c r="AP299" s="11">
        <f t="shared" si="213"/>
        <v>0</v>
      </c>
      <c r="AQ299" s="11">
        <f t="shared" si="214"/>
        <v>0</v>
      </c>
      <c r="AR299" s="11">
        <f t="shared" si="215"/>
        <v>0</v>
      </c>
      <c r="AS299" s="11">
        <f t="shared" si="216"/>
        <v>0</v>
      </c>
      <c r="AT299" s="11">
        <f t="shared" si="217"/>
        <v>0</v>
      </c>
      <c r="AU299" s="11">
        <f t="shared" si="218"/>
        <v>0</v>
      </c>
      <c r="AV299" s="11">
        <f t="shared" si="219"/>
        <v>0</v>
      </c>
      <c r="AW299" s="11">
        <f t="shared" si="220"/>
        <v>0</v>
      </c>
      <c r="AX299" s="11">
        <f t="shared" si="221"/>
        <v>0</v>
      </c>
      <c r="AY299" s="11">
        <f t="shared" si="222"/>
        <v>0</v>
      </c>
    </row>
    <row r="300" spans="1:51">
      <c r="A300" s="15">
        <v>45225</v>
      </c>
      <c r="B300" s="436"/>
      <c r="C300" s="436"/>
      <c r="D300" s="436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11">
        <f t="shared" si="197"/>
        <v>0</v>
      </c>
      <c r="AA300" s="11">
        <f t="shared" si="198"/>
        <v>0</v>
      </c>
      <c r="AB300" s="11">
        <f t="shared" si="199"/>
        <v>0</v>
      </c>
      <c r="AC300" s="11">
        <f t="shared" si="200"/>
        <v>0</v>
      </c>
      <c r="AD300" s="11">
        <f t="shared" si="201"/>
        <v>0</v>
      </c>
      <c r="AE300" s="11">
        <f t="shared" si="202"/>
        <v>0</v>
      </c>
      <c r="AF300" s="11">
        <f t="shared" si="203"/>
        <v>0</v>
      </c>
      <c r="AG300" s="11">
        <f t="shared" si="204"/>
        <v>0</v>
      </c>
      <c r="AH300" s="11">
        <f t="shared" si="205"/>
        <v>0</v>
      </c>
      <c r="AI300" s="11">
        <f t="shared" si="206"/>
        <v>0</v>
      </c>
      <c r="AJ300" s="11">
        <f t="shared" si="207"/>
        <v>0</v>
      </c>
      <c r="AK300" s="11">
        <f t="shared" si="208"/>
        <v>0</v>
      </c>
      <c r="AL300" s="11">
        <f t="shared" si="209"/>
        <v>0</v>
      </c>
      <c r="AM300" s="11">
        <f t="shared" si="210"/>
        <v>0</v>
      </c>
      <c r="AN300" s="11">
        <f t="shared" si="211"/>
        <v>0</v>
      </c>
      <c r="AO300" s="11">
        <f t="shared" si="212"/>
        <v>0</v>
      </c>
      <c r="AP300" s="11">
        <f t="shared" si="213"/>
        <v>0</v>
      </c>
      <c r="AQ300" s="11">
        <f t="shared" si="214"/>
        <v>0</v>
      </c>
      <c r="AR300" s="11">
        <f t="shared" si="215"/>
        <v>0</v>
      </c>
      <c r="AS300" s="11">
        <f t="shared" si="216"/>
        <v>0</v>
      </c>
      <c r="AT300" s="11">
        <f t="shared" si="217"/>
        <v>0</v>
      </c>
      <c r="AU300" s="11">
        <f t="shared" si="218"/>
        <v>0</v>
      </c>
      <c r="AV300" s="11">
        <f t="shared" si="219"/>
        <v>0</v>
      </c>
      <c r="AW300" s="11">
        <f t="shared" si="220"/>
        <v>0</v>
      </c>
      <c r="AX300" s="11">
        <f t="shared" si="221"/>
        <v>0</v>
      </c>
      <c r="AY300" s="11">
        <f t="shared" si="222"/>
        <v>0</v>
      </c>
    </row>
    <row r="301" spans="1:51">
      <c r="A301" s="15">
        <v>45226</v>
      </c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11">
        <f t="shared" si="197"/>
        <v>0</v>
      </c>
      <c r="AA301" s="11">
        <f t="shared" si="198"/>
        <v>0</v>
      </c>
      <c r="AB301" s="11">
        <f t="shared" si="199"/>
        <v>0</v>
      </c>
      <c r="AC301" s="11">
        <f t="shared" si="200"/>
        <v>0</v>
      </c>
      <c r="AD301" s="11">
        <f t="shared" si="201"/>
        <v>0</v>
      </c>
      <c r="AE301" s="11">
        <f t="shared" si="202"/>
        <v>0</v>
      </c>
      <c r="AF301" s="11">
        <f t="shared" si="203"/>
        <v>0</v>
      </c>
      <c r="AG301" s="11">
        <f t="shared" si="204"/>
        <v>0</v>
      </c>
      <c r="AH301" s="11">
        <f t="shared" si="205"/>
        <v>0</v>
      </c>
      <c r="AI301" s="11">
        <f t="shared" si="206"/>
        <v>0</v>
      </c>
      <c r="AJ301" s="11">
        <f t="shared" si="207"/>
        <v>0</v>
      </c>
      <c r="AK301" s="11">
        <f t="shared" si="208"/>
        <v>0</v>
      </c>
      <c r="AL301" s="11">
        <f t="shared" si="209"/>
        <v>0</v>
      </c>
      <c r="AM301" s="11">
        <f t="shared" si="210"/>
        <v>0</v>
      </c>
      <c r="AN301" s="11">
        <f t="shared" si="211"/>
        <v>0</v>
      </c>
      <c r="AO301" s="11">
        <f t="shared" si="212"/>
        <v>0</v>
      </c>
      <c r="AP301" s="11">
        <f t="shared" si="213"/>
        <v>0</v>
      </c>
      <c r="AQ301" s="11">
        <f t="shared" si="214"/>
        <v>0</v>
      </c>
      <c r="AR301" s="11">
        <f t="shared" si="215"/>
        <v>0</v>
      </c>
      <c r="AS301" s="11">
        <f t="shared" si="216"/>
        <v>0</v>
      </c>
      <c r="AT301" s="11">
        <f t="shared" si="217"/>
        <v>0</v>
      </c>
      <c r="AU301" s="11">
        <f t="shared" si="218"/>
        <v>0</v>
      </c>
      <c r="AV301" s="11">
        <f t="shared" si="219"/>
        <v>0</v>
      </c>
      <c r="AW301" s="11">
        <f t="shared" si="220"/>
        <v>0</v>
      </c>
      <c r="AX301" s="11">
        <f t="shared" si="221"/>
        <v>0</v>
      </c>
      <c r="AY301" s="11">
        <f t="shared" si="222"/>
        <v>0</v>
      </c>
    </row>
    <row r="302" spans="1:51">
      <c r="A302" s="15">
        <v>45227</v>
      </c>
      <c r="B302" s="436"/>
      <c r="C302" s="436"/>
      <c r="D302" s="436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11">
        <f t="shared" si="197"/>
        <v>0</v>
      </c>
      <c r="AA302" s="11">
        <f t="shared" si="198"/>
        <v>0</v>
      </c>
      <c r="AB302" s="11">
        <f t="shared" si="199"/>
        <v>0</v>
      </c>
      <c r="AC302" s="11">
        <f t="shared" si="200"/>
        <v>0</v>
      </c>
      <c r="AD302" s="11">
        <f t="shared" si="201"/>
        <v>0</v>
      </c>
      <c r="AE302" s="11">
        <f t="shared" si="202"/>
        <v>0</v>
      </c>
      <c r="AF302" s="11">
        <f t="shared" si="203"/>
        <v>0</v>
      </c>
      <c r="AG302" s="11">
        <f t="shared" si="204"/>
        <v>0</v>
      </c>
      <c r="AH302" s="11">
        <f t="shared" si="205"/>
        <v>0</v>
      </c>
      <c r="AI302" s="11">
        <f t="shared" si="206"/>
        <v>0</v>
      </c>
      <c r="AJ302" s="11">
        <f t="shared" si="207"/>
        <v>0</v>
      </c>
      <c r="AK302" s="11">
        <f t="shared" si="208"/>
        <v>0</v>
      </c>
      <c r="AL302" s="11">
        <f t="shared" si="209"/>
        <v>0</v>
      </c>
      <c r="AM302" s="11">
        <f t="shared" si="210"/>
        <v>0</v>
      </c>
      <c r="AN302" s="11">
        <f t="shared" si="211"/>
        <v>0</v>
      </c>
      <c r="AO302" s="11">
        <f t="shared" si="212"/>
        <v>0</v>
      </c>
      <c r="AP302" s="11">
        <f t="shared" si="213"/>
        <v>0</v>
      </c>
      <c r="AQ302" s="11">
        <f t="shared" si="214"/>
        <v>0</v>
      </c>
      <c r="AR302" s="11">
        <f t="shared" si="215"/>
        <v>0</v>
      </c>
      <c r="AS302" s="11">
        <f t="shared" si="216"/>
        <v>0</v>
      </c>
      <c r="AT302" s="11">
        <f t="shared" si="217"/>
        <v>0</v>
      </c>
      <c r="AU302" s="11">
        <f t="shared" si="218"/>
        <v>0</v>
      </c>
      <c r="AV302" s="11">
        <f t="shared" si="219"/>
        <v>0</v>
      </c>
      <c r="AW302" s="11">
        <f t="shared" si="220"/>
        <v>0</v>
      </c>
      <c r="AX302" s="11">
        <f t="shared" si="221"/>
        <v>0</v>
      </c>
      <c r="AY302" s="11">
        <f t="shared" si="222"/>
        <v>0</v>
      </c>
    </row>
    <row r="303" spans="1:51">
      <c r="A303" s="15">
        <v>45228</v>
      </c>
      <c r="B303" s="436"/>
      <c r="C303" s="436"/>
      <c r="D303" s="436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11">
        <f t="shared" si="197"/>
        <v>0</v>
      </c>
      <c r="AA303" s="11">
        <f t="shared" si="198"/>
        <v>0</v>
      </c>
      <c r="AB303" s="11">
        <f t="shared" si="199"/>
        <v>0</v>
      </c>
      <c r="AC303" s="11">
        <f t="shared" si="200"/>
        <v>0</v>
      </c>
      <c r="AD303" s="11">
        <f t="shared" si="201"/>
        <v>0</v>
      </c>
      <c r="AE303" s="11">
        <f t="shared" si="202"/>
        <v>0</v>
      </c>
      <c r="AF303" s="11">
        <f t="shared" si="203"/>
        <v>0</v>
      </c>
      <c r="AG303" s="11">
        <f t="shared" si="204"/>
        <v>0</v>
      </c>
      <c r="AH303" s="11">
        <f t="shared" si="205"/>
        <v>0</v>
      </c>
      <c r="AI303" s="11">
        <f t="shared" si="206"/>
        <v>0</v>
      </c>
      <c r="AJ303" s="11">
        <f t="shared" si="207"/>
        <v>0</v>
      </c>
      <c r="AK303" s="11">
        <f t="shared" si="208"/>
        <v>0</v>
      </c>
      <c r="AL303" s="11">
        <f t="shared" si="209"/>
        <v>0</v>
      </c>
      <c r="AM303" s="11">
        <f t="shared" si="210"/>
        <v>0</v>
      </c>
      <c r="AN303" s="11">
        <f t="shared" si="211"/>
        <v>0</v>
      </c>
      <c r="AO303" s="11">
        <f t="shared" si="212"/>
        <v>0</v>
      </c>
      <c r="AP303" s="11">
        <f t="shared" si="213"/>
        <v>0</v>
      </c>
      <c r="AQ303" s="11">
        <f t="shared" si="214"/>
        <v>0</v>
      </c>
      <c r="AR303" s="11">
        <f t="shared" si="215"/>
        <v>0</v>
      </c>
      <c r="AS303" s="11">
        <f t="shared" si="216"/>
        <v>0</v>
      </c>
      <c r="AT303" s="11">
        <f t="shared" si="217"/>
        <v>0</v>
      </c>
      <c r="AU303" s="11">
        <f t="shared" si="218"/>
        <v>0</v>
      </c>
      <c r="AV303" s="11">
        <f t="shared" si="219"/>
        <v>0</v>
      </c>
      <c r="AW303" s="11">
        <f t="shared" si="220"/>
        <v>0</v>
      </c>
      <c r="AX303" s="11">
        <f t="shared" si="221"/>
        <v>0</v>
      </c>
      <c r="AY303" s="11">
        <f t="shared" si="222"/>
        <v>0</v>
      </c>
    </row>
    <row r="304" spans="1:51">
      <c r="A304" s="15">
        <v>45229</v>
      </c>
      <c r="B304" s="436"/>
      <c r="C304" s="436"/>
      <c r="D304" s="436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11">
        <f t="shared" si="197"/>
        <v>0</v>
      </c>
      <c r="AA304" s="11">
        <f t="shared" si="198"/>
        <v>0</v>
      </c>
      <c r="AB304" s="11">
        <f t="shared" si="199"/>
        <v>0</v>
      </c>
      <c r="AC304" s="11">
        <f t="shared" si="200"/>
        <v>0</v>
      </c>
      <c r="AD304" s="11">
        <f t="shared" si="201"/>
        <v>0</v>
      </c>
      <c r="AE304" s="11">
        <f t="shared" si="202"/>
        <v>0</v>
      </c>
      <c r="AF304" s="11">
        <f t="shared" si="203"/>
        <v>0</v>
      </c>
      <c r="AG304" s="11">
        <f t="shared" si="204"/>
        <v>0</v>
      </c>
      <c r="AH304" s="11">
        <f t="shared" si="205"/>
        <v>0</v>
      </c>
      <c r="AI304" s="11">
        <f t="shared" si="206"/>
        <v>0</v>
      </c>
      <c r="AJ304" s="11">
        <f t="shared" si="207"/>
        <v>0</v>
      </c>
      <c r="AK304" s="11">
        <f t="shared" si="208"/>
        <v>0</v>
      </c>
      <c r="AL304" s="11">
        <f t="shared" si="209"/>
        <v>0</v>
      </c>
      <c r="AM304" s="11">
        <f t="shared" si="210"/>
        <v>0</v>
      </c>
      <c r="AN304" s="11">
        <f t="shared" si="211"/>
        <v>0</v>
      </c>
      <c r="AO304" s="11">
        <f t="shared" si="212"/>
        <v>0</v>
      </c>
      <c r="AP304" s="11">
        <f t="shared" si="213"/>
        <v>0</v>
      </c>
      <c r="AQ304" s="11">
        <f t="shared" si="214"/>
        <v>0</v>
      </c>
      <c r="AR304" s="11">
        <f t="shared" si="215"/>
        <v>0</v>
      </c>
      <c r="AS304" s="11">
        <f t="shared" si="216"/>
        <v>0</v>
      </c>
      <c r="AT304" s="11">
        <f t="shared" si="217"/>
        <v>0</v>
      </c>
      <c r="AU304" s="11">
        <f t="shared" si="218"/>
        <v>0</v>
      </c>
      <c r="AV304" s="11">
        <f t="shared" si="219"/>
        <v>0</v>
      </c>
      <c r="AW304" s="11">
        <f t="shared" si="220"/>
        <v>0</v>
      </c>
      <c r="AX304" s="11">
        <f t="shared" si="221"/>
        <v>0</v>
      </c>
      <c r="AY304" s="11">
        <f t="shared" si="222"/>
        <v>0</v>
      </c>
    </row>
    <row r="305" spans="1:51">
      <c r="A305" s="15">
        <v>45230</v>
      </c>
      <c r="B305" s="436"/>
      <c r="C305" s="436"/>
      <c r="D305" s="436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11">
        <f t="shared" si="197"/>
        <v>0</v>
      </c>
      <c r="AA305" s="11">
        <f t="shared" si="198"/>
        <v>0</v>
      </c>
      <c r="AB305" s="11">
        <f t="shared" si="199"/>
        <v>0</v>
      </c>
      <c r="AC305" s="11">
        <f t="shared" si="200"/>
        <v>0</v>
      </c>
      <c r="AD305" s="11">
        <f t="shared" si="201"/>
        <v>0</v>
      </c>
      <c r="AE305" s="11">
        <f t="shared" si="202"/>
        <v>0</v>
      </c>
      <c r="AF305" s="11">
        <f t="shared" si="203"/>
        <v>0</v>
      </c>
      <c r="AG305" s="11">
        <f t="shared" si="204"/>
        <v>0</v>
      </c>
      <c r="AH305" s="11">
        <f t="shared" si="205"/>
        <v>0</v>
      </c>
      <c r="AI305" s="11">
        <f t="shared" si="206"/>
        <v>0</v>
      </c>
      <c r="AJ305" s="11">
        <f t="shared" si="207"/>
        <v>0</v>
      </c>
      <c r="AK305" s="11">
        <f t="shared" si="208"/>
        <v>0</v>
      </c>
      <c r="AL305" s="11">
        <f t="shared" si="209"/>
        <v>0</v>
      </c>
      <c r="AM305" s="11">
        <f t="shared" si="210"/>
        <v>0</v>
      </c>
      <c r="AN305" s="11">
        <f t="shared" si="211"/>
        <v>0</v>
      </c>
      <c r="AO305" s="11">
        <f t="shared" si="212"/>
        <v>0</v>
      </c>
      <c r="AP305" s="11">
        <f t="shared" si="213"/>
        <v>0</v>
      </c>
      <c r="AQ305" s="11">
        <f t="shared" si="214"/>
        <v>0</v>
      </c>
      <c r="AR305" s="11">
        <f t="shared" si="215"/>
        <v>0</v>
      </c>
      <c r="AS305" s="11">
        <f t="shared" si="216"/>
        <v>0</v>
      </c>
      <c r="AT305" s="11">
        <f t="shared" si="217"/>
        <v>0</v>
      </c>
      <c r="AU305" s="11">
        <f t="shared" si="218"/>
        <v>0</v>
      </c>
      <c r="AV305" s="11">
        <f t="shared" si="219"/>
        <v>0</v>
      </c>
      <c r="AW305" s="11">
        <f t="shared" si="220"/>
        <v>0</v>
      </c>
      <c r="AX305" s="11">
        <f t="shared" si="221"/>
        <v>0</v>
      </c>
      <c r="AY305" s="11">
        <f t="shared" si="222"/>
        <v>0</v>
      </c>
    </row>
    <row r="306" spans="1:51">
      <c r="A306" s="15">
        <v>45231</v>
      </c>
      <c r="B306" s="436"/>
      <c r="C306" s="436"/>
      <c r="D306" s="436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11">
        <f t="shared" si="197"/>
        <v>0</v>
      </c>
      <c r="AA306" s="11">
        <f t="shared" si="198"/>
        <v>0</v>
      </c>
      <c r="AB306" s="11">
        <f t="shared" si="199"/>
        <v>0</v>
      </c>
      <c r="AC306" s="11">
        <f t="shared" si="200"/>
        <v>0</v>
      </c>
      <c r="AD306" s="11">
        <f t="shared" si="201"/>
        <v>0</v>
      </c>
      <c r="AE306" s="11">
        <f t="shared" si="202"/>
        <v>0</v>
      </c>
      <c r="AF306" s="11">
        <f t="shared" si="203"/>
        <v>0</v>
      </c>
      <c r="AG306" s="11">
        <f t="shared" si="204"/>
        <v>0</v>
      </c>
      <c r="AH306" s="11">
        <f t="shared" si="205"/>
        <v>0</v>
      </c>
      <c r="AI306" s="11">
        <f t="shared" si="206"/>
        <v>0</v>
      </c>
      <c r="AJ306" s="11">
        <f t="shared" si="207"/>
        <v>0</v>
      </c>
      <c r="AK306" s="11">
        <f t="shared" si="208"/>
        <v>0</v>
      </c>
      <c r="AL306" s="11">
        <f t="shared" si="209"/>
        <v>0</v>
      </c>
      <c r="AM306" s="11">
        <f t="shared" si="210"/>
        <v>0</v>
      </c>
      <c r="AN306" s="11">
        <f t="shared" si="211"/>
        <v>0</v>
      </c>
      <c r="AO306" s="11">
        <f t="shared" si="212"/>
        <v>0</v>
      </c>
      <c r="AP306" s="11">
        <f t="shared" si="213"/>
        <v>0</v>
      </c>
      <c r="AQ306" s="11">
        <f t="shared" si="214"/>
        <v>0</v>
      </c>
      <c r="AR306" s="11">
        <f t="shared" si="215"/>
        <v>0</v>
      </c>
      <c r="AS306" s="11">
        <f t="shared" si="216"/>
        <v>0</v>
      </c>
      <c r="AT306" s="11">
        <f t="shared" si="217"/>
        <v>0</v>
      </c>
      <c r="AU306" s="11">
        <f t="shared" si="218"/>
        <v>0</v>
      </c>
      <c r="AV306" s="11">
        <f t="shared" si="219"/>
        <v>0</v>
      </c>
      <c r="AW306" s="11">
        <f t="shared" si="220"/>
        <v>0</v>
      </c>
      <c r="AX306" s="11">
        <f t="shared" si="221"/>
        <v>0</v>
      </c>
      <c r="AY306" s="11">
        <f t="shared" si="222"/>
        <v>0</v>
      </c>
    </row>
    <row r="307" spans="1:51">
      <c r="A307" s="15">
        <v>45232</v>
      </c>
      <c r="B307" s="436"/>
      <c r="C307" s="436"/>
      <c r="D307" s="436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11">
        <f>B307-Y306</f>
        <v>0</v>
      </c>
      <c r="AA307" s="11">
        <f t="shared" ref="AA307:AW307" si="223">C307-B307</f>
        <v>0</v>
      </c>
      <c r="AB307" s="11">
        <f t="shared" si="223"/>
        <v>0</v>
      </c>
      <c r="AC307" s="11">
        <f t="shared" si="223"/>
        <v>0</v>
      </c>
      <c r="AD307" s="11">
        <f t="shared" si="223"/>
        <v>0</v>
      </c>
      <c r="AE307" s="11">
        <f t="shared" si="223"/>
        <v>0</v>
      </c>
      <c r="AF307" s="11">
        <f t="shared" si="223"/>
        <v>0</v>
      </c>
      <c r="AG307" s="11">
        <f t="shared" si="223"/>
        <v>0</v>
      </c>
      <c r="AH307" s="11">
        <f t="shared" si="223"/>
        <v>0</v>
      </c>
      <c r="AI307" s="11">
        <f t="shared" si="223"/>
        <v>0</v>
      </c>
      <c r="AJ307" s="11">
        <f t="shared" si="223"/>
        <v>0</v>
      </c>
      <c r="AK307" s="11">
        <f t="shared" si="223"/>
        <v>0</v>
      </c>
      <c r="AL307" s="11">
        <f t="shared" si="223"/>
        <v>0</v>
      </c>
      <c r="AM307" s="11">
        <f t="shared" si="223"/>
        <v>0</v>
      </c>
      <c r="AN307" s="11">
        <f t="shared" si="223"/>
        <v>0</v>
      </c>
      <c r="AO307" s="11">
        <f t="shared" si="223"/>
        <v>0</v>
      </c>
      <c r="AP307" s="11">
        <f t="shared" si="223"/>
        <v>0</v>
      </c>
      <c r="AQ307" s="11">
        <f t="shared" si="223"/>
        <v>0</v>
      </c>
      <c r="AR307" s="11">
        <f t="shared" si="223"/>
        <v>0</v>
      </c>
      <c r="AS307" s="11">
        <f t="shared" si="223"/>
        <v>0</v>
      </c>
      <c r="AT307" s="11">
        <f t="shared" si="223"/>
        <v>0</v>
      </c>
      <c r="AU307" s="11">
        <f t="shared" si="223"/>
        <v>0</v>
      </c>
      <c r="AV307" s="11">
        <f t="shared" si="223"/>
        <v>0</v>
      </c>
      <c r="AW307" s="11">
        <f t="shared" si="223"/>
        <v>0</v>
      </c>
      <c r="AX307" s="11">
        <f>SUMIF(Z307:AW307,"&gt;0")</f>
        <v>0</v>
      </c>
      <c r="AY307" s="11">
        <f>SUMIF(Z307:AW307,"&lt;0")*-1</f>
        <v>0</v>
      </c>
    </row>
    <row r="308" spans="1:51">
      <c r="A308" s="15">
        <v>45233</v>
      </c>
      <c r="B308" s="436"/>
      <c r="C308" s="436"/>
      <c r="D308" s="436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11">
        <f t="shared" ref="Z308:Z336" si="224">B308-Y307</f>
        <v>0</v>
      </c>
      <c r="AA308" s="11">
        <f t="shared" ref="AA308:AA336" si="225">C308-B308</f>
        <v>0</v>
      </c>
      <c r="AB308" s="11">
        <f t="shared" ref="AB308:AB336" si="226">D308-C308</f>
        <v>0</v>
      </c>
      <c r="AC308" s="11">
        <f t="shared" ref="AC308:AC336" si="227">E308-D308</f>
        <v>0</v>
      </c>
      <c r="AD308" s="11">
        <f t="shared" ref="AD308:AD336" si="228">F308-E308</f>
        <v>0</v>
      </c>
      <c r="AE308" s="11">
        <f t="shared" ref="AE308:AE336" si="229">G308-F308</f>
        <v>0</v>
      </c>
      <c r="AF308" s="11">
        <f t="shared" ref="AF308:AF336" si="230">H308-G308</f>
        <v>0</v>
      </c>
      <c r="AG308" s="11">
        <f t="shared" ref="AG308:AG336" si="231">I308-H308</f>
        <v>0</v>
      </c>
      <c r="AH308" s="11">
        <f t="shared" ref="AH308:AH336" si="232">J308-I308</f>
        <v>0</v>
      </c>
      <c r="AI308" s="11">
        <f t="shared" ref="AI308:AI336" si="233">K308-J308</f>
        <v>0</v>
      </c>
      <c r="AJ308" s="11">
        <f t="shared" ref="AJ308:AJ336" si="234">L308-K308</f>
        <v>0</v>
      </c>
      <c r="AK308" s="11">
        <f t="shared" ref="AK308:AK336" si="235">M308-L308</f>
        <v>0</v>
      </c>
      <c r="AL308" s="11">
        <f t="shared" ref="AL308:AL336" si="236">N308-M308</f>
        <v>0</v>
      </c>
      <c r="AM308" s="11">
        <f t="shared" ref="AM308:AM336" si="237">O308-N308</f>
        <v>0</v>
      </c>
      <c r="AN308" s="11">
        <f t="shared" ref="AN308:AN336" si="238">P308-O308</f>
        <v>0</v>
      </c>
      <c r="AO308" s="11">
        <f t="shared" ref="AO308:AO336" si="239">Q308-P308</f>
        <v>0</v>
      </c>
      <c r="AP308" s="11">
        <f t="shared" ref="AP308:AP336" si="240">R308-Q308</f>
        <v>0</v>
      </c>
      <c r="AQ308" s="11">
        <f t="shared" ref="AQ308:AQ336" si="241">S308-R308</f>
        <v>0</v>
      </c>
      <c r="AR308" s="11">
        <f t="shared" ref="AR308:AR336" si="242">T308-S308</f>
        <v>0</v>
      </c>
      <c r="AS308" s="11">
        <f t="shared" ref="AS308:AS336" si="243">U308-T308</f>
        <v>0</v>
      </c>
      <c r="AT308" s="11">
        <f t="shared" ref="AT308:AT336" si="244">V308-U308</f>
        <v>0</v>
      </c>
      <c r="AU308" s="11">
        <f t="shared" ref="AU308:AU336" si="245">W308-V308</f>
        <v>0</v>
      </c>
      <c r="AV308" s="11">
        <f t="shared" ref="AV308:AV336" si="246">X308-W308</f>
        <v>0</v>
      </c>
      <c r="AW308" s="11">
        <f t="shared" ref="AW308:AW336" si="247">Y308-X308</f>
        <v>0</v>
      </c>
      <c r="AX308" s="11">
        <f t="shared" ref="AX308:AX336" si="248">SUMIF(Z308:AW308,"&gt;0")</f>
        <v>0</v>
      </c>
      <c r="AY308" s="11">
        <f t="shared" ref="AY308:AY336" si="249">SUMIF(Z308:AW308,"&lt;0")*-1</f>
        <v>0</v>
      </c>
    </row>
    <row r="309" spans="1:51">
      <c r="A309" s="15">
        <v>45234</v>
      </c>
      <c r="B309" s="436"/>
      <c r="C309" s="436"/>
      <c r="D309" s="436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11">
        <f t="shared" si="224"/>
        <v>0</v>
      </c>
      <c r="AA309" s="11">
        <f t="shared" si="225"/>
        <v>0</v>
      </c>
      <c r="AB309" s="11">
        <f t="shared" si="226"/>
        <v>0</v>
      </c>
      <c r="AC309" s="11">
        <f t="shared" si="227"/>
        <v>0</v>
      </c>
      <c r="AD309" s="11">
        <f t="shared" si="228"/>
        <v>0</v>
      </c>
      <c r="AE309" s="11">
        <f t="shared" si="229"/>
        <v>0</v>
      </c>
      <c r="AF309" s="11">
        <f t="shared" si="230"/>
        <v>0</v>
      </c>
      <c r="AG309" s="11">
        <f t="shared" si="231"/>
        <v>0</v>
      </c>
      <c r="AH309" s="11">
        <f t="shared" si="232"/>
        <v>0</v>
      </c>
      <c r="AI309" s="11">
        <f t="shared" si="233"/>
        <v>0</v>
      </c>
      <c r="AJ309" s="11">
        <f t="shared" si="234"/>
        <v>0</v>
      </c>
      <c r="AK309" s="11">
        <f t="shared" si="235"/>
        <v>0</v>
      </c>
      <c r="AL309" s="11">
        <f t="shared" si="236"/>
        <v>0</v>
      </c>
      <c r="AM309" s="11">
        <f t="shared" si="237"/>
        <v>0</v>
      </c>
      <c r="AN309" s="11">
        <f t="shared" si="238"/>
        <v>0</v>
      </c>
      <c r="AO309" s="11">
        <f t="shared" si="239"/>
        <v>0</v>
      </c>
      <c r="AP309" s="11">
        <f t="shared" si="240"/>
        <v>0</v>
      </c>
      <c r="AQ309" s="11">
        <f t="shared" si="241"/>
        <v>0</v>
      </c>
      <c r="AR309" s="11">
        <f t="shared" si="242"/>
        <v>0</v>
      </c>
      <c r="AS309" s="11">
        <f t="shared" si="243"/>
        <v>0</v>
      </c>
      <c r="AT309" s="11">
        <f t="shared" si="244"/>
        <v>0</v>
      </c>
      <c r="AU309" s="11">
        <f t="shared" si="245"/>
        <v>0</v>
      </c>
      <c r="AV309" s="11">
        <f t="shared" si="246"/>
        <v>0</v>
      </c>
      <c r="AW309" s="11">
        <f t="shared" si="247"/>
        <v>0</v>
      </c>
      <c r="AX309" s="11">
        <f t="shared" si="248"/>
        <v>0</v>
      </c>
      <c r="AY309" s="11">
        <f t="shared" si="249"/>
        <v>0</v>
      </c>
    </row>
    <row r="310" spans="1:51">
      <c r="A310" s="15">
        <v>45235</v>
      </c>
      <c r="B310" s="436"/>
      <c r="C310" s="436"/>
      <c r="D310" s="436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11">
        <f t="shared" si="224"/>
        <v>0</v>
      </c>
      <c r="AA310" s="11">
        <f t="shared" si="225"/>
        <v>0</v>
      </c>
      <c r="AB310" s="11">
        <f t="shared" si="226"/>
        <v>0</v>
      </c>
      <c r="AC310" s="11">
        <f t="shared" si="227"/>
        <v>0</v>
      </c>
      <c r="AD310" s="11">
        <f t="shared" si="228"/>
        <v>0</v>
      </c>
      <c r="AE310" s="11">
        <f t="shared" si="229"/>
        <v>0</v>
      </c>
      <c r="AF310" s="11">
        <f t="shared" si="230"/>
        <v>0</v>
      </c>
      <c r="AG310" s="11">
        <f t="shared" si="231"/>
        <v>0</v>
      </c>
      <c r="AH310" s="11">
        <f t="shared" si="232"/>
        <v>0</v>
      </c>
      <c r="AI310" s="11">
        <f t="shared" si="233"/>
        <v>0</v>
      </c>
      <c r="AJ310" s="11">
        <f t="shared" si="234"/>
        <v>0</v>
      </c>
      <c r="AK310" s="11">
        <f t="shared" si="235"/>
        <v>0</v>
      </c>
      <c r="AL310" s="11">
        <f t="shared" si="236"/>
        <v>0</v>
      </c>
      <c r="AM310" s="11">
        <f t="shared" si="237"/>
        <v>0</v>
      </c>
      <c r="AN310" s="11">
        <f t="shared" si="238"/>
        <v>0</v>
      </c>
      <c r="AO310" s="11">
        <f t="shared" si="239"/>
        <v>0</v>
      </c>
      <c r="AP310" s="11">
        <f t="shared" si="240"/>
        <v>0</v>
      </c>
      <c r="AQ310" s="11">
        <f t="shared" si="241"/>
        <v>0</v>
      </c>
      <c r="AR310" s="11">
        <f t="shared" si="242"/>
        <v>0</v>
      </c>
      <c r="AS310" s="11">
        <f t="shared" si="243"/>
        <v>0</v>
      </c>
      <c r="AT310" s="11">
        <f t="shared" si="244"/>
        <v>0</v>
      </c>
      <c r="AU310" s="11">
        <f t="shared" si="245"/>
        <v>0</v>
      </c>
      <c r="AV310" s="11">
        <f t="shared" si="246"/>
        <v>0</v>
      </c>
      <c r="AW310" s="11">
        <f t="shared" si="247"/>
        <v>0</v>
      </c>
      <c r="AX310" s="11">
        <f t="shared" si="248"/>
        <v>0</v>
      </c>
      <c r="AY310" s="11">
        <f t="shared" si="249"/>
        <v>0</v>
      </c>
    </row>
    <row r="311" spans="1:51">
      <c r="A311" s="15">
        <v>45236</v>
      </c>
      <c r="B311" s="436"/>
      <c r="C311" s="436"/>
      <c r="D311" s="436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11">
        <f t="shared" si="224"/>
        <v>0</v>
      </c>
      <c r="AA311" s="11">
        <f t="shared" si="225"/>
        <v>0</v>
      </c>
      <c r="AB311" s="11">
        <f t="shared" si="226"/>
        <v>0</v>
      </c>
      <c r="AC311" s="11">
        <f t="shared" si="227"/>
        <v>0</v>
      </c>
      <c r="AD311" s="11">
        <f t="shared" si="228"/>
        <v>0</v>
      </c>
      <c r="AE311" s="11">
        <f t="shared" si="229"/>
        <v>0</v>
      </c>
      <c r="AF311" s="11">
        <f t="shared" si="230"/>
        <v>0</v>
      </c>
      <c r="AG311" s="11">
        <f t="shared" si="231"/>
        <v>0</v>
      </c>
      <c r="AH311" s="11">
        <f t="shared" si="232"/>
        <v>0</v>
      </c>
      <c r="AI311" s="11">
        <f t="shared" si="233"/>
        <v>0</v>
      </c>
      <c r="AJ311" s="11">
        <f t="shared" si="234"/>
        <v>0</v>
      </c>
      <c r="AK311" s="11">
        <f t="shared" si="235"/>
        <v>0</v>
      </c>
      <c r="AL311" s="11">
        <f t="shared" si="236"/>
        <v>0</v>
      </c>
      <c r="AM311" s="11">
        <f t="shared" si="237"/>
        <v>0</v>
      </c>
      <c r="AN311" s="11">
        <f t="shared" si="238"/>
        <v>0</v>
      </c>
      <c r="AO311" s="11">
        <f t="shared" si="239"/>
        <v>0</v>
      </c>
      <c r="AP311" s="11">
        <f t="shared" si="240"/>
        <v>0</v>
      </c>
      <c r="AQ311" s="11">
        <f t="shared" si="241"/>
        <v>0</v>
      </c>
      <c r="AR311" s="11">
        <f t="shared" si="242"/>
        <v>0</v>
      </c>
      <c r="AS311" s="11">
        <f t="shared" si="243"/>
        <v>0</v>
      </c>
      <c r="AT311" s="11">
        <f t="shared" si="244"/>
        <v>0</v>
      </c>
      <c r="AU311" s="11">
        <f t="shared" si="245"/>
        <v>0</v>
      </c>
      <c r="AV311" s="11">
        <f t="shared" si="246"/>
        <v>0</v>
      </c>
      <c r="AW311" s="11">
        <f t="shared" si="247"/>
        <v>0</v>
      </c>
      <c r="AX311" s="11">
        <f t="shared" si="248"/>
        <v>0</v>
      </c>
      <c r="AY311" s="11">
        <f t="shared" si="249"/>
        <v>0</v>
      </c>
    </row>
    <row r="312" spans="1:51">
      <c r="A312" s="15">
        <v>45237</v>
      </c>
      <c r="B312" s="436"/>
      <c r="C312" s="436"/>
      <c r="D312" s="436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11">
        <f t="shared" si="224"/>
        <v>0</v>
      </c>
      <c r="AA312" s="11">
        <f t="shared" si="225"/>
        <v>0</v>
      </c>
      <c r="AB312" s="11">
        <f t="shared" si="226"/>
        <v>0</v>
      </c>
      <c r="AC312" s="11">
        <f t="shared" si="227"/>
        <v>0</v>
      </c>
      <c r="AD312" s="11">
        <f t="shared" si="228"/>
        <v>0</v>
      </c>
      <c r="AE312" s="11">
        <f t="shared" si="229"/>
        <v>0</v>
      </c>
      <c r="AF312" s="11">
        <f t="shared" si="230"/>
        <v>0</v>
      </c>
      <c r="AG312" s="11">
        <f t="shared" si="231"/>
        <v>0</v>
      </c>
      <c r="AH312" s="11">
        <f t="shared" si="232"/>
        <v>0</v>
      </c>
      <c r="AI312" s="11">
        <f t="shared" si="233"/>
        <v>0</v>
      </c>
      <c r="AJ312" s="11">
        <f t="shared" si="234"/>
        <v>0</v>
      </c>
      <c r="AK312" s="11">
        <f t="shared" si="235"/>
        <v>0</v>
      </c>
      <c r="AL312" s="11">
        <f t="shared" si="236"/>
        <v>0</v>
      </c>
      <c r="AM312" s="11">
        <f t="shared" si="237"/>
        <v>0</v>
      </c>
      <c r="AN312" s="11">
        <f t="shared" si="238"/>
        <v>0</v>
      </c>
      <c r="AO312" s="11">
        <f t="shared" si="239"/>
        <v>0</v>
      </c>
      <c r="AP312" s="11">
        <f t="shared" si="240"/>
        <v>0</v>
      </c>
      <c r="AQ312" s="11">
        <f t="shared" si="241"/>
        <v>0</v>
      </c>
      <c r="AR312" s="11">
        <f t="shared" si="242"/>
        <v>0</v>
      </c>
      <c r="AS312" s="11">
        <f t="shared" si="243"/>
        <v>0</v>
      </c>
      <c r="AT312" s="11">
        <f t="shared" si="244"/>
        <v>0</v>
      </c>
      <c r="AU312" s="11">
        <f t="shared" si="245"/>
        <v>0</v>
      </c>
      <c r="AV312" s="11">
        <f t="shared" si="246"/>
        <v>0</v>
      </c>
      <c r="AW312" s="11">
        <f t="shared" si="247"/>
        <v>0</v>
      </c>
      <c r="AX312" s="11">
        <f t="shared" si="248"/>
        <v>0</v>
      </c>
      <c r="AY312" s="11">
        <f t="shared" si="249"/>
        <v>0</v>
      </c>
    </row>
    <row r="313" spans="1:51">
      <c r="A313" s="15">
        <v>45238</v>
      </c>
      <c r="B313" s="436"/>
      <c r="C313" s="436"/>
      <c r="D313" s="436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11">
        <f t="shared" si="224"/>
        <v>0</v>
      </c>
      <c r="AA313" s="11">
        <f t="shared" si="225"/>
        <v>0</v>
      </c>
      <c r="AB313" s="11">
        <f t="shared" si="226"/>
        <v>0</v>
      </c>
      <c r="AC313" s="11">
        <f t="shared" si="227"/>
        <v>0</v>
      </c>
      <c r="AD313" s="11">
        <f t="shared" si="228"/>
        <v>0</v>
      </c>
      <c r="AE313" s="11">
        <f t="shared" si="229"/>
        <v>0</v>
      </c>
      <c r="AF313" s="11">
        <f t="shared" si="230"/>
        <v>0</v>
      </c>
      <c r="AG313" s="11">
        <f t="shared" si="231"/>
        <v>0</v>
      </c>
      <c r="AH313" s="11">
        <f t="shared" si="232"/>
        <v>0</v>
      </c>
      <c r="AI313" s="11">
        <f t="shared" si="233"/>
        <v>0</v>
      </c>
      <c r="AJ313" s="11">
        <f t="shared" si="234"/>
        <v>0</v>
      </c>
      <c r="AK313" s="11">
        <f t="shared" si="235"/>
        <v>0</v>
      </c>
      <c r="AL313" s="11">
        <f t="shared" si="236"/>
        <v>0</v>
      </c>
      <c r="AM313" s="11">
        <f t="shared" si="237"/>
        <v>0</v>
      </c>
      <c r="AN313" s="11">
        <f t="shared" si="238"/>
        <v>0</v>
      </c>
      <c r="AO313" s="11">
        <f t="shared" si="239"/>
        <v>0</v>
      </c>
      <c r="AP313" s="11">
        <f t="shared" si="240"/>
        <v>0</v>
      </c>
      <c r="AQ313" s="11">
        <f t="shared" si="241"/>
        <v>0</v>
      </c>
      <c r="AR313" s="11">
        <f t="shared" si="242"/>
        <v>0</v>
      </c>
      <c r="AS313" s="11">
        <f t="shared" si="243"/>
        <v>0</v>
      </c>
      <c r="AT313" s="11">
        <f t="shared" si="244"/>
        <v>0</v>
      </c>
      <c r="AU313" s="11">
        <f t="shared" si="245"/>
        <v>0</v>
      </c>
      <c r="AV313" s="11">
        <f t="shared" si="246"/>
        <v>0</v>
      </c>
      <c r="AW313" s="11">
        <f t="shared" si="247"/>
        <v>0</v>
      </c>
      <c r="AX313" s="11">
        <f t="shared" si="248"/>
        <v>0</v>
      </c>
      <c r="AY313" s="11">
        <f t="shared" si="249"/>
        <v>0</v>
      </c>
    </row>
    <row r="314" spans="1:51">
      <c r="A314" s="15">
        <v>45239</v>
      </c>
      <c r="B314" s="436"/>
      <c r="C314" s="436"/>
      <c r="D314" s="436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11">
        <f t="shared" si="224"/>
        <v>0</v>
      </c>
      <c r="AA314" s="11">
        <f t="shared" si="225"/>
        <v>0</v>
      </c>
      <c r="AB314" s="11">
        <f t="shared" si="226"/>
        <v>0</v>
      </c>
      <c r="AC314" s="11">
        <f t="shared" si="227"/>
        <v>0</v>
      </c>
      <c r="AD314" s="11">
        <f t="shared" si="228"/>
        <v>0</v>
      </c>
      <c r="AE314" s="11">
        <f t="shared" si="229"/>
        <v>0</v>
      </c>
      <c r="AF314" s="11">
        <f t="shared" si="230"/>
        <v>0</v>
      </c>
      <c r="AG314" s="11">
        <f t="shared" si="231"/>
        <v>0</v>
      </c>
      <c r="AH314" s="11">
        <f t="shared" si="232"/>
        <v>0</v>
      </c>
      <c r="AI314" s="11">
        <f t="shared" si="233"/>
        <v>0</v>
      </c>
      <c r="AJ314" s="11">
        <f t="shared" si="234"/>
        <v>0</v>
      </c>
      <c r="AK314" s="11">
        <f t="shared" si="235"/>
        <v>0</v>
      </c>
      <c r="AL314" s="11">
        <f t="shared" si="236"/>
        <v>0</v>
      </c>
      <c r="AM314" s="11">
        <f t="shared" si="237"/>
        <v>0</v>
      </c>
      <c r="AN314" s="11">
        <f t="shared" si="238"/>
        <v>0</v>
      </c>
      <c r="AO314" s="11">
        <f t="shared" si="239"/>
        <v>0</v>
      </c>
      <c r="AP314" s="11">
        <f t="shared" si="240"/>
        <v>0</v>
      </c>
      <c r="AQ314" s="11">
        <f t="shared" si="241"/>
        <v>0</v>
      </c>
      <c r="AR314" s="11">
        <f t="shared" si="242"/>
        <v>0</v>
      </c>
      <c r="AS314" s="11">
        <f t="shared" si="243"/>
        <v>0</v>
      </c>
      <c r="AT314" s="11">
        <f t="shared" si="244"/>
        <v>0</v>
      </c>
      <c r="AU314" s="11">
        <f t="shared" si="245"/>
        <v>0</v>
      </c>
      <c r="AV314" s="11">
        <f t="shared" si="246"/>
        <v>0</v>
      </c>
      <c r="AW314" s="11">
        <f t="shared" si="247"/>
        <v>0</v>
      </c>
      <c r="AX314" s="11">
        <f t="shared" si="248"/>
        <v>0</v>
      </c>
      <c r="AY314" s="11">
        <f t="shared" si="249"/>
        <v>0</v>
      </c>
    </row>
    <row r="315" spans="1:51">
      <c r="A315" s="15">
        <v>45240</v>
      </c>
      <c r="B315" s="436"/>
      <c r="C315" s="436"/>
      <c r="D315" s="436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11">
        <f t="shared" si="224"/>
        <v>0</v>
      </c>
      <c r="AA315" s="11">
        <f t="shared" si="225"/>
        <v>0</v>
      </c>
      <c r="AB315" s="11">
        <f t="shared" si="226"/>
        <v>0</v>
      </c>
      <c r="AC315" s="11">
        <f t="shared" si="227"/>
        <v>0</v>
      </c>
      <c r="AD315" s="11">
        <f t="shared" si="228"/>
        <v>0</v>
      </c>
      <c r="AE315" s="11">
        <f t="shared" si="229"/>
        <v>0</v>
      </c>
      <c r="AF315" s="11">
        <f t="shared" si="230"/>
        <v>0</v>
      </c>
      <c r="AG315" s="11">
        <f t="shared" si="231"/>
        <v>0</v>
      </c>
      <c r="AH315" s="11">
        <f t="shared" si="232"/>
        <v>0</v>
      </c>
      <c r="AI315" s="11">
        <f t="shared" si="233"/>
        <v>0</v>
      </c>
      <c r="AJ315" s="11">
        <f t="shared" si="234"/>
        <v>0</v>
      </c>
      <c r="AK315" s="11">
        <f t="shared" si="235"/>
        <v>0</v>
      </c>
      <c r="AL315" s="11">
        <f t="shared" si="236"/>
        <v>0</v>
      </c>
      <c r="AM315" s="11">
        <f t="shared" si="237"/>
        <v>0</v>
      </c>
      <c r="AN315" s="11">
        <f t="shared" si="238"/>
        <v>0</v>
      </c>
      <c r="AO315" s="11">
        <f t="shared" si="239"/>
        <v>0</v>
      </c>
      <c r="AP315" s="11">
        <f t="shared" si="240"/>
        <v>0</v>
      </c>
      <c r="AQ315" s="11">
        <f t="shared" si="241"/>
        <v>0</v>
      </c>
      <c r="AR315" s="11">
        <f t="shared" si="242"/>
        <v>0</v>
      </c>
      <c r="AS315" s="11">
        <f t="shared" si="243"/>
        <v>0</v>
      </c>
      <c r="AT315" s="11">
        <f t="shared" si="244"/>
        <v>0</v>
      </c>
      <c r="AU315" s="11">
        <f t="shared" si="245"/>
        <v>0</v>
      </c>
      <c r="AV315" s="11">
        <f t="shared" si="246"/>
        <v>0</v>
      </c>
      <c r="AW315" s="11">
        <f t="shared" si="247"/>
        <v>0</v>
      </c>
      <c r="AX315" s="11">
        <f t="shared" si="248"/>
        <v>0</v>
      </c>
      <c r="AY315" s="11">
        <f t="shared" si="249"/>
        <v>0</v>
      </c>
    </row>
    <row r="316" spans="1:51">
      <c r="A316" s="15">
        <v>45241</v>
      </c>
      <c r="B316" s="436"/>
      <c r="C316" s="436"/>
      <c r="D316" s="436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11">
        <f t="shared" si="224"/>
        <v>0</v>
      </c>
      <c r="AA316" s="11">
        <f t="shared" si="225"/>
        <v>0</v>
      </c>
      <c r="AB316" s="11">
        <f t="shared" si="226"/>
        <v>0</v>
      </c>
      <c r="AC316" s="11">
        <f t="shared" si="227"/>
        <v>0</v>
      </c>
      <c r="AD316" s="11">
        <f t="shared" si="228"/>
        <v>0</v>
      </c>
      <c r="AE316" s="11">
        <f t="shared" si="229"/>
        <v>0</v>
      </c>
      <c r="AF316" s="11">
        <f t="shared" si="230"/>
        <v>0</v>
      </c>
      <c r="AG316" s="11">
        <f t="shared" si="231"/>
        <v>0</v>
      </c>
      <c r="AH316" s="11">
        <f t="shared" si="232"/>
        <v>0</v>
      </c>
      <c r="AI316" s="11">
        <f t="shared" si="233"/>
        <v>0</v>
      </c>
      <c r="AJ316" s="11">
        <f t="shared" si="234"/>
        <v>0</v>
      </c>
      <c r="AK316" s="11">
        <f t="shared" si="235"/>
        <v>0</v>
      </c>
      <c r="AL316" s="11">
        <f t="shared" si="236"/>
        <v>0</v>
      </c>
      <c r="AM316" s="11">
        <f t="shared" si="237"/>
        <v>0</v>
      </c>
      <c r="AN316" s="11">
        <f t="shared" si="238"/>
        <v>0</v>
      </c>
      <c r="AO316" s="11">
        <f t="shared" si="239"/>
        <v>0</v>
      </c>
      <c r="AP316" s="11">
        <f t="shared" si="240"/>
        <v>0</v>
      </c>
      <c r="AQ316" s="11">
        <f t="shared" si="241"/>
        <v>0</v>
      </c>
      <c r="AR316" s="11">
        <f t="shared" si="242"/>
        <v>0</v>
      </c>
      <c r="AS316" s="11">
        <f t="shared" si="243"/>
        <v>0</v>
      </c>
      <c r="AT316" s="11">
        <f t="shared" si="244"/>
        <v>0</v>
      </c>
      <c r="AU316" s="11">
        <f t="shared" si="245"/>
        <v>0</v>
      </c>
      <c r="AV316" s="11">
        <f t="shared" si="246"/>
        <v>0</v>
      </c>
      <c r="AW316" s="11">
        <f t="shared" si="247"/>
        <v>0</v>
      </c>
      <c r="AX316" s="11">
        <f t="shared" si="248"/>
        <v>0</v>
      </c>
      <c r="AY316" s="11">
        <f t="shared" si="249"/>
        <v>0</v>
      </c>
    </row>
    <row r="317" spans="1:51">
      <c r="A317" s="15">
        <v>45242</v>
      </c>
      <c r="B317" s="436"/>
      <c r="C317" s="436"/>
      <c r="D317" s="436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11">
        <f t="shared" si="224"/>
        <v>0</v>
      </c>
      <c r="AA317" s="11">
        <f t="shared" si="225"/>
        <v>0</v>
      </c>
      <c r="AB317" s="11">
        <f t="shared" si="226"/>
        <v>0</v>
      </c>
      <c r="AC317" s="11">
        <f t="shared" si="227"/>
        <v>0</v>
      </c>
      <c r="AD317" s="11">
        <f t="shared" si="228"/>
        <v>0</v>
      </c>
      <c r="AE317" s="11">
        <f t="shared" si="229"/>
        <v>0</v>
      </c>
      <c r="AF317" s="11">
        <f t="shared" si="230"/>
        <v>0</v>
      </c>
      <c r="AG317" s="11">
        <f t="shared" si="231"/>
        <v>0</v>
      </c>
      <c r="AH317" s="11">
        <f t="shared" si="232"/>
        <v>0</v>
      </c>
      <c r="AI317" s="11">
        <f t="shared" si="233"/>
        <v>0</v>
      </c>
      <c r="AJ317" s="11">
        <f t="shared" si="234"/>
        <v>0</v>
      </c>
      <c r="AK317" s="11">
        <f t="shared" si="235"/>
        <v>0</v>
      </c>
      <c r="AL317" s="11">
        <f t="shared" si="236"/>
        <v>0</v>
      </c>
      <c r="AM317" s="11">
        <f t="shared" si="237"/>
        <v>0</v>
      </c>
      <c r="AN317" s="11">
        <f t="shared" si="238"/>
        <v>0</v>
      </c>
      <c r="AO317" s="11">
        <f t="shared" si="239"/>
        <v>0</v>
      </c>
      <c r="AP317" s="11">
        <f t="shared" si="240"/>
        <v>0</v>
      </c>
      <c r="AQ317" s="11">
        <f t="shared" si="241"/>
        <v>0</v>
      </c>
      <c r="AR317" s="11">
        <f t="shared" si="242"/>
        <v>0</v>
      </c>
      <c r="AS317" s="11">
        <f t="shared" si="243"/>
        <v>0</v>
      </c>
      <c r="AT317" s="11">
        <f t="shared" si="244"/>
        <v>0</v>
      </c>
      <c r="AU317" s="11">
        <f t="shared" si="245"/>
        <v>0</v>
      </c>
      <c r="AV317" s="11">
        <f t="shared" si="246"/>
        <v>0</v>
      </c>
      <c r="AW317" s="11">
        <f t="shared" si="247"/>
        <v>0</v>
      </c>
      <c r="AX317" s="11">
        <f t="shared" si="248"/>
        <v>0</v>
      </c>
      <c r="AY317" s="11">
        <f t="shared" si="249"/>
        <v>0</v>
      </c>
    </row>
    <row r="318" spans="1:51">
      <c r="A318" s="15">
        <v>45243</v>
      </c>
      <c r="B318" s="436"/>
      <c r="C318" s="436"/>
      <c r="D318" s="436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11">
        <f t="shared" si="224"/>
        <v>0</v>
      </c>
      <c r="AA318" s="11">
        <f t="shared" si="225"/>
        <v>0</v>
      </c>
      <c r="AB318" s="11">
        <f t="shared" si="226"/>
        <v>0</v>
      </c>
      <c r="AC318" s="11">
        <f t="shared" si="227"/>
        <v>0</v>
      </c>
      <c r="AD318" s="11">
        <f t="shared" si="228"/>
        <v>0</v>
      </c>
      <c r="AE318" s="11">
        <f t="shared" si="229"/>
        <v>0</v>
      </c>
      <c r="AF318" s="11">
        <f t="shared" si="230"/>
        <v>0</v>
      </c>
      <c r="AG318" s="11">
        <f t="shared" si="231"/>
        <v>0</v>
      </c>
      <c r="AH318" s="11">
        <f t="shared" si="232"/>
        <v>0</v>
      </c>
      <c r="AI318" s="11">
        <f t="shared" si="233"/>
        <v>0</v>
      </c>
      <c r="AJ318" s="11">
        <f t="shared" si="234"/>
        <v>0</v>
      </c>
      <c r="AK318" s="11">
        <f t="shared" si="235"/>
        <v>0</v>
      </c>
      <c r="AL318" s="11">
        <f t="shared" si="236"/>
        <v>0</v>
      </c>
      <c r="AM318" s="11">
        <f t="shared" si="237"/>
        <v>0</v>
      </c>
      <c r="AN318" s="11">
        <f t="shared" si="238"/>
        <v>0</v>
      </c>
      <c r="AO318" s="11">
        <f t="shared" si="239"/>
        <v>0</v>
      </c>
      <c r="AP318" s="11">
        <f t="shared" si="240"/>
        <v>0</v>
      </c>
      <c r="AQ318" s="11">
        <f t="shared" si="241"/>
        <v>0</v>
      </c>
      <c r="AR318" s="11">
        <f t="shared" si="242"/>
        <v>0</v>
      </c>
      <c r="AS318" s="11">
        <f t="shared" si="243"/>
        <v>0</v>
      </c>
      <c r="AT318" s="11">
        <f t="shared" si="244"/>
        <v>0</v>
      </c>
      <c r="AU318" s="11">
        <f t="shared" si="245"/>
        <v>0</v>
      </c>
      <c r="AV318" s="11">
        <f t="shared" si="246"/>
        <v>0</v>
      </c>
      <c r="AW318" s="11">
        <f t="shared" si="247"/>
        <v>0</v>
      </c>
      <c r="AX318" s="11">
        <f t="shared" si="248"/>
        <v>0</v>
      </c>
      <c r="AY318" s="11">
        <f t="shared" si="249"/>
        <v>0</v>
      </c>
    </row>
    <row r="319" spans="1:51">
      <c r="A319" s="15">
        <v>45244</v>
      </c>
      <c r="B319" s="436"/>
      <c r="C319" s="436"/>
      <c r="D319" s="436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11">
        <f t="shared" si="224"/>
        <v>0</v>
      </c>
      <c r="AA319" s="11">
        <f t="shared" si="225"/>
        <v>0</v>
      </c>
      <c r="AB319" s="11">
        <f t="shared" si="226"/>
        <v>0</v>
      </c>
      <c r="AC319" s="11">
        <f t="shared" si="227"/>
        <v>0</v>
      </c>
      <c r="AD319" s="11">
        <f t="shared" si="228"/>
        <v>0</v>
      </c>
      <c r="AE319" s="11">
        <f t="shared" si="229"/>
        <v>0</v>
      </c>
      <c r="AF319" s="11">
        <f t="shared" si="230"/>
        <v>0</v>
      </c>
      <c r="AG319" s="11">
        <f t="shared" si="231"/>
        <v>0</v>
      </c>
      <c r="AH319" s="11">
        <f t="shared" si="232"/>
        <v>0</v>
      </c>
      <c r="AI319" s="11">
        <f t="shared" si="233"/>
        <v>0</v>
      </c>
      <c r="AJ319" s="11">
        <f t="shared" si="234"/>
        <v>0</v>
      </c>
      <c r="AK319" s="11">
        <f t="shared" si="235"/>
        <v>0</v>
      </c>
      <c r="AL319" s="11">
        <f t="shared" si="236"/>
        <v>0</v>
      </c>
      <c r="AM319" s="11">
        <f t="shared" si="237"/>
        <v>0</v>
      </c>
      <c r="AN319" s="11">
        <f t="shared" si="238"/>
        <v>0</v>
      </c>
      <c r="AO319" s="11">
        <f t="shared" si="239"/>
        <v>0</v>
      </c>
      <c r="AP319" s="11">
        <f t="shared" si="240"/>
        <v>0</v>
      </c>
      <c r="AQ319" s="11">
        <f t="shared" si="241"/>
        <v>0</v>
      </c>
      <c r="AR319" s="11">
        <f t="shared" si="242"/>
        <v>0</v>
      </c>
      <c r="AS319" s="11">
        <f t="shared" si="243"/>
        <v>0</v>
      </c>
      <c r="AT319" s="11">
        <f t="shared" si="244"/>
        <v>0</v>
      </c>
      <c r="AU319" s="11">
        <f t="shared" si="245"/>
        <v>0</v>
      </c>
      <c r="AV319" s="11">
        <f t="shared" si="246"/>
        <v>0</v>
      </c>
      <c r="AW319" s="11">
        <f t="shared" si="247"/>
        <v>0</v>
      </c>
      <c r="AX319" s="11">
        <f t="shared" si="248"/>
        <v>0</v>
      </c>
      <c r="AY319" s="11">
        <f t="shared" si="249"/>
        <v>0</v>
      </c>
    </row>
    <row r="320" spans="1:51">
      <c r="A320" s="15">
        <v>45245</v>
      </c>
      <c r="B320" s="436"/>
      <c r="C320" s="436"/>
      <c r="D320" s="436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11">
        <f t="shared" si="224"/>
        <v>0</v>
      </c>
      <c r="AA320" s="11">
        <f t="shared" si="225"/>
        <v>0</v>
      </c>
      <c r="AB320" s="11">
        <f t="shared" si="226"/>
        <v>0</v>
      </c>
      <c r="AC320" s="11">
        <f t="shared" si="227"/>
        <v>0</v>
      </c>
      <c r="AD320" s="11">
        <f t="shared" si="228"/>
        <v>0</v>
      </c>
      <c r="AE320" s="11">
        <f t="shared" si="229"/>
        <v>0</v>
      </c>
      <c r="AF320" s="11">
        <f t="shared" si="230"/>
        <v>0</v>
      </c>
      <c r="AG320" s="11">
        <f t="shared" si="231"/>
        <v>0</v>
      </c>
      <c r="AH320" s="11">
        <f t="shared" si="232"/>
        <v>0</v>
      </c>
      <c r="AI320" s="11">
        <f t="shared" si="233"/>
        <v>0</v>
      </c>
      <c r="AJ320" s="11">
        <f t="shared" si="234"/>
        <v>0</v>
      </c>
      <c r="AK320" s="11">
        <f t="shared" si="235"/>
        <v>0</v>
      </c>
      <c r="AL320" s="11">
        <f t="shared" si="236"/>
        <v>0</v>
      </c>
      <c r="AM320" s="11">
        <f t="shared" si="237"/>
        <v>0</v>
      </c>
      <c r="AN320" s="11">
        <f t="shared" si="238"/>
        <v>0</v>
      </c>
      <c r="AO320" s="11">
        <f t="shared" si="239"/>
        <v>0</v>
      </c>
      <c r="AP320" s="11">
        <f t="shared" si="240"/>
        <v>0</v>
      </c>
      <c r="AQ320" s="11">
        <f t="shared" si="241"/>
        <v>0</v>
      </c>
      <c r="AR320" s="11">
        <f t="shared" si="242"/>
        <v>0</v>
      </c>
      <c r="AS320" s="11">
        <f t="shared" si="243"/>
        <v>0</v>
      </c>
      <c r="AT320" s="11">
        <f t="shared" si="244"/>
        <v>0</v>
      </c>
      <c r="AU320" s="11">
        <f t="shared" si="245"/>
        <v>0</v>
      </c>
      <c r="AV320" s="11">
        <f t="shared" si="246"/>
        <v>0</v>
      </c>
      <c r="AW320" s="11">
        <f t="shared" si="247"/>
        <v>0</v>
      </c>
      <c r="AX320" s="11">
        <f t="shared" si="248"/>
        <v>0</v>
      </c>
      <c r="AY320" s="11">
        <f t="shared" si="249"/>
        <v>0</v>
      </c>
    </row>
    <row r="321" spans="1:51">
      <c r="A321" s="15">
        <v>45246</v>
      </c>
      <c r="B321" s="436"/>
      <c r="C321" s="436"/>
      <c r="D321" s="436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11">
        <f t="shared" si="224"/>
        <v>0</v>
      </c>
      <c r="AA321" s="11">
        <f t="shared" si="225"/>
        <v>0</v>
      </c>
      <c r="AB321" s="11">
        <f t="shared" si="226"/>
        <v>0</v>
      </c>
      <c r="AC321" s="11">
        <f t="shared" si="227"/>
        <v>0</v>
      </c>
      <c r="AD321" s="11">
        <f t="shared" si="228"/>
        <v>0</v>
      </c>
      <c r="AE321" s="11">
        <f t="shared" si="229"/>
        <v>0</v>
      </c>
      <c r="AF321" s="11">
        <f t="shared" si="230"/>
        <v>0</v>
      </c>
      <c r="AG321" s="11">
        <f t="shared" si="231"/>
        <v>0</v>
      </c>
      <c r="AH321" s="11">
        <f t="shared" si="232"/>
        <v>0</v>
      </c>
      <c r="AI321" s="11">
        <f t="shared" si="233"/>
        <v>0</v>
      </c>
      <c r="AJ321" s="11">
        <f t="shared" si="234"/>
        <v>0</v>
      </c>
      <c r="AK321" s="11">
        <f t="shared" si="235"/>
        <v>0</v>
      </c>
      <c r="AL321" s="11">
        <f t="shared" si="236"/>
        <v>0</v>
      </c>
      <c r="AM321" s="11">
        <f t="shared" si="237"/>
        <v>0</v>
      </c>
      <c r="AN321" s="11">
        <f t="shared" si="238"/>
        <v>0</v>
      </c>
      <c r="AO321" s="11">
        <f t="shared" si="239"/>
        <v>0</v>
      </c>
      <c r="AP321" s="11">
        <f t="shared" si="240"/>
        <v>0</v>
      </c>
      <c r="AQ321" s="11">
        <f t="shared" si="241"/>
        <v>0</v>
      </c>
      <c r="AR321" s="11">
        <f t="shared" si="242"/>
        <v>0</v>
      </c>
      <c r="AS321" s="11">
        <f t="shared" si="243"/>
        <v>0</v>
      </c>
      <c r="AT321" s="11">
        <f t="shared" si="244"/>
        <v>0</v>
      </c>
      <c r="AU321" s="11">
        <f t="shared" si="245"/>
        <v>0</v>
      </c>
      <c r="AV321" s="11">
        <f t="shared" si="246"/>
        <v>0</v>
      </c>
      <c r="AW321" s="11">
        <f t="shared" si="247"/>
        <v>0</v>
      </c>
      <c r="AX321" s="11">
        <f t="shared" si="248"/>
        <v>0</v>
      </c>
      <c r="AY321" s="11">
        <f t="shared" si="249"/>
        <v>0</v>
      </c>
    </row>
    <row r="322" spans="1:51">
      <c r="A322" s="15">
        <v>45247</v>
      </c>
      <c r="B322" s="436"/>
      <c r="C322" s="436"/>
      <c r="D322" s="436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11">
        <f t="shared" si="224"/>
        <v>0</v>
      </c>
      <c r="AA322" s="11">
        <f t="shared" si="225"/>
        <v>0</v>
      </c>
      <c r="AB322" s="11">
        <f t="shared" si="226"/>
        <v>0</v>
      </c>
      <c r="AC322" s="11">
        <f t="shared" si="227"/>
        <v>0</v>
      </c>
      <c r="AD322" s="11">
        <f t="shared" si="228"/>
        <v>0</v>
      </c>
      <c r="AE322" s="11">
        <f t="shared" si="229"/>
        <v>0</v>
      </c>
      <c r="AF322" s="11">
        <f t="shared" si="230"/>
        <v>0</v>
      </c>
      <c r="AG322" s="11">
        <f t="shared" si="231"/>
        <v>0</v>
      </c>
      <c r="AH322" s="11">
        <f t="shared" si="232"/>
        <v>0</v>
      </c>
      <c r="AI322" s="11">
        <f t="shared" si="233"/>
        <v>0</v>
      </c>
      <c r="AJ322" s="11">
        <f t="shared" si="234"/>
        <v>0</v>
      </c>
      <c r="AK322" s="11">
        <f t="shared" si="235"/>
        <v>0</v>
      </c>
      <c r="AL322" s="11">
        <f t="shared" si="236"/>
        <v>0</v>
      </c>
      <c r="AM322" s="11">
        <f t="shared" si="237"/>
        <v>0</v>
      </c>
      <c r="AN322" s="11">
        <f t="shared" si="238"/>
        <v>0</v>
      </c>
      <c r="AO322" s="11">
        <f t="shared" si="239"/>
        <v>0</v>
      </c>
      <c r="AP322" s="11">
        <f t="shared" si="240"/>
        <v>0</v>
      </c>
      <c r="AQ322" s="11">
        <f t="shared" si="241"/>
        <v>0</v>
      </c>
      <c r="AR322" s="11">
        <f t="shared" si="242"/>
        <v>0</v>
      </c>
      <c r="AS322" s="11">
        <f t="shared" si="243"/>
        <v>0</v>
      </c>
      <c r="AT322" s="11">
        <f t="shared" si="244"/>
        <v>0</v>
      </c>
      <c r="AU322" s="11">
        <f t="shared" si="245"/>
        <v>0</v>
      </c>
      <c r="AV322" s="11">
        <f t="shared" si="246"/>
        <v>0</v>
      </c>
      <c r="AW322" s="11">
        <f t="shared" si="247"/>
        <v>0</v>
      </c>
      <c r="AX322" s="11">
        <f t="shared" si="248"/>
        <v>0</v>
      </c>
      <c r="AY322" s="11">
        <f t="shared" si="249"/>
        <v>0</v>
      </c>
    </row>
    <row r="323" spans="1:51">
      <c r="A323" s="15">
        <v>45248</v>
      </c>
      <c r="B323" s="436"/>
      <c r="C323" s="436"/>
      <c r="D323" s="436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11">
        <f t="shared" si="224"/>
        <v>0</v>
      </c>
      <c r="AA323" s="11">
        <f t="shared" si="225"/>
        <v>0</v>
      </c>
      <c r="AB323" s="11">
        <f t="shared" si="226"/>
        <v>0</v>
      </c>
      <c r="AC323" s="11">
        <f t="shared" si="227"/>
        <v>0</v>
      </c>
      <c r="AD323" s="11">
        <f t="shared" si="228"/>
        <v>0</v>
      </c>
      <c r="AE323" s="11">
        <f t="shared" si="229"/>
        <v>0</v>
      </c>
      <c r="AF323" s="11">
        <f t="shared" si="230"/>
        <v>0</v>
      </c>
      <c r="AG323" s="11">
        <f t="shared" si="231"/>
        <v>0</v>
      </c>
      <c r="AH323" s="11">
        <f t="shared" si="232"/>
        <v>0</v>
      </c>
      <c r="AI323" s="11">
        <f t="shared" si="233"/>
        <v>0</v>
      </c>
      <c r="AJ323" s="11">
        <f t="shared" si="234"/>
        <v>0</v>
      </c>
      <c r="AK323" s="11">
        <f t="shared" si="235"/>
        <v>0</v>
      </c>
      <c r="AL323" s="11">
        <f t="shared" si="236"/>
        <v>0</v>
      </c>
      <c r="AM323" s="11">
        <f t="shared" si="237"/>
        <v>0</v>
      </c>
      <c r="AN323" s="11">
        <f t="shared" si="238"/>
        <v>0</v>
      </c>
      <c r="AO323" s="11">
        <f t="shared" si="239"/>
        <v>0</v>
      </c>
      <c r="AP323" s="11">
        <f t="shared" si="240"/>
        <v>0</v>
      </c>
      <c r="AQ323" s="11">
        <f t="shared" si="241"/>
        <v>0</v>
      </c>
      <c r="AR323" s="11">
        <f t="shared" si="242"/>
        <v>0</v>
      </c>
      <c r="AS323" s="11">
        <f t="shared" si="243"/>
        <v>0</v>
      </c>
      <c r="AT323" s="11">
        <f t="shared" si="244"/>
        <v>0</v>
      </c>
      <c r="AU323" s="11">
        <f t="shared" si="245"/>
        <v>0</v>
      </c>
      <c r="AV323" s="11">
        <f t="shared" si="246"/>
        <v>0</v>
      </c>
      <c r="AW323" s="11">
        <f t="shared" si="247"/>
        <v>0</v>
      </c>
      <c r="AX323" s="11">
        <f t="shared" si="248"/>
        <v>0</v>
      </c>
      <c r="AY323" s="11">
        <f t="shared" si="249"/>
        <v>0</v>
      </c>
    </row>
    <row r="324" spans="1:51">
      <c r="A324" s="15">
        <v>45249</v>
      </c>
      <c r="B324" s="436"/>
      <c r="C324" s="436"/>
      <c r="D324" s="436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11">
        <f t="shared" si="224"/>
        <v>0</v>
      </c>
      <c r="AA324" s="11">
        <f t="shared" si="225"/>
        <v>0</v>
      </c>
      <c r="AB324" s="11">
        <f t="shared" si="226"/>
        <v>0</v>
      </c>
      <c r="AC324" s="11">
        <f t="shared" si="227"/>
        <v>0</v>
      </c>
      <c r="AD324" s="11">
        <f t="shared" si="228"/>
        <v>0</v>
      </c>
      <c r="AE324" s="11">
        <f t="shared" si="229"/>
        <v>0</v>
      </c>
      <c r="AF324" s="11">
        <f t="shared" si="230"/>
        <v>0</v>
      </c>
      <c r="AG324" s="11">
        <f t="shared" si="231"/>
        <v>0</v>
      </c>
      <c r="AH324" s="11">
        <f t="shared" si="232"/>
        <v>0</v>
      </c>
      <c r="AI324" s="11">
        <f t="shared" si="233"/>
        <v>0</v>
      </c>
      <c r="AJ324" s="11">
        <f t="shared" si="234"/>
        <v>0</v>
      </c>
      <c r="AK324" s="11">
        <f t="shared" si="235"/>
        <v>0</v>
      </c>
      <c r="AL324" s="11">
        <f t="shared" si="236"/>
        <v>0</v>
      </c>
      <c r="AM324" s="11">
        <f t="shared" si="237"/>
        <v>0</v>
      </c>
      <c r="AN324" s="11">
        <f t="shared" si="238"/>
        <v>0</v>
      </c>
      <c r="AO324" s="11">
        <f t="shared" si="239"/>
        <v>0</v>
      </c>
      <c r="AP324" s="11">
        <f t="shared" si="240"/>
        <v>0</v>
      </c>
      <c r="AQ324" s="11">
        <f t="shared" si="241"/>
        <v>0</v>
      </c>
      <c r="AR324" s="11">
        <f t="shared" si="242"/>
        <v>0</v>
      </c>
      <c r="AS324" s="11">
        <f t="shared" si="243"/>
        <v>0</v>
      </c>
      <c r="AT324" s="11">
        <f t="shared" si="244"/>
        <v>0</v>
      </c>
      <c r="AU324" s="11">
        <f t="shared" si="245"/>
        <v>0</v>
      </c>
      <c r="AV324" s="11">
        <f t="shared" si="246"/>
        <v>0</v>
      </c>
      <c r="AW324" s="11">
        <f t="shared" si="247"/>
        <v>0</v>
      </c>
      <c r="AX324" s="11">
        <f t="shared" si="248"/>
        <v>0</v>
      </c>
      <c r="AY324" s="11">
        <f t="shared" si="249"/>
        <v>0</v>
      </c>
    </row>
    <row r="325" spans="1:51">
      <c r="A325" s="15">
        <v>45250</v>
      </c>
      <c r="B325" s="436"/>
      <c r="C325" s="436"/>
      <c r="D325" s="436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11">
        <f t="shared" si="224"/>
        <v>0</v>
      </c>
      <c r="AA325" s="11">
        <f t="shared" si="225"/>
        <v>0</v>
      </c>
      <c r="AB325" s="11">
        <f t="shared" si="226"/>
        <v>0</v>
      </c>
      <c r="AC325" s="11">
        <f t="shared" si="227"/>
        <v>0</v>
      </c>
      <c r="AD325" s="11">
        <f t="shared" si="228"/>
        <v>0</v>
      </c>
      <c r="AE325" s="11">
        <f t="shared" si="229"/>
        <v>0</v>
      </c>
      <c r="AF325" s="11">
        <f t="shared" si="230"/>
        <v>0</v>
      </c>
      <c r="AG325" s="11">
        <f t="shared" si="231"/>
        <v>0</v>
      </c>
      <c r="AH325" s="11">
        <f t="shared" si="232"/>
        <v>0</v>
      </c>
      <c r="AI325" s="11">
        <f t="shared" si="233"/>
        <v>0</v>
      </c>
      <c r="AJ325" s="11">
        <f t="shared" si="234"/>
        <v>0</v>
      </c>
      <c r="AK325" s="11">
        <f t="shared" si="235"/>
        <v>0</v>
      </c>
      <c r="AL325" s="11">
        <f t="shared" si="236"/>
        <v>0</v>
      </c>
      <c r="AM325" s="11">
        <f t="shared" si="237"/>
        <v>0</v>
      </c>
      <c r="AN325" s="11">
        <f t="shared" si="238"/>
        <v>0</v>
      </c>
      <c r="AO325" s="11">
        <f t="shared" si="239"/>
        <v>0</v>
      </c>
      <c r="AP325" s="11">
        <f t="shared" si="240"/>
        <v>0</v>
      </c>
      <c r="AQ325" s="11">
        <f t="shared" si="241"/>
        <v>0</v>
      </c>
      <c r="AR325" s="11">
        <f t="shared" si="242"/>
        <v>0</v>
      </c>
      <c r="AS325" s="11">
        <f t="shared" si="243"/>
        <v>0</v>
      </c>
      <c r="AT325" s="11">
        <f t="shared" si="244"/>
        <v>0</v>
      </c>
      <c r="AU325" s="11">
        <f t="shared" si="245"/>
        <v>0</v>
      </c>
      <c r="AV325" s="11">
        <f t="shared" si="246"/>
        <v>0</v>
      </c>
      <c r="AW325" s="11">
        <f t="shared" si="247"/>
        <v>0</v>
      </c>
      <c r="AX325" s="11">
        <f t="shared" si="248"/>
        <v>0</v>
      </c>
      <c r="AY325" s="11">
        <f t="shared" si="249"/>
        <v>0</v>
      </c>
    </row>
    <row r="326" spans="1:51">
      <c r="A326" s="15">
        <v>45251</v>
      </c>
      <c r="B326" s="436"/>
      <c r="C326" s="436"/>
      <c r="D326" s="436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11">
        <f t="shared" si="224"/>
        <v>0</v>
      </c>
      <c r="AA326" s="11">
        <f t="shared" si="225"/>
        <v>0</v>
      </c>
      <c r="AB326" s="11">
        <f t="shared" si="226"/>
        <v>0</v>
      </c>
      <c r="AC326" s="11">
        <f t="shared" si="227"/>
        <v>0</v>
      </c>
      <c r="AD326" s="11">
        <f t="shared" si="228"/>
        <v>0</v>
      </c>
      <c r="AE326" s="11">
        <f t="shared" si="229"/>
        <v>0</v>
      </c>
      <c r="AF326" s="11">
        <f t="shared" si="230"/>
        <v>0</v>
      </c>
      <c r="AG326" s="11">
        <f t="shared" si="231"/>
        <v>0</v>
      </c>
      <c r="AH326" s="11">
        <f t="shared" si="232"/>
        <v>0</v>
      </c>
      <c r="AI326" s="11">
        <f t="shared" si="233"/>
        <v>0</v>
      </c>
      <c r="AJ326" s="11">
        <f t="shared" si="234"/>
        <v>0</v>
      </c>
      <c r="AK326" s="11">
        <f t="shared" si="235"/>
        <v>0</v>
      </c>
      <c r="AL326" s="11">
        <f t="shared" si="236"/>
        <v>0</v>
      </c>
      <c r="AM326" s="11">
        <f t="shared" si="237"/>
        <v>0</v>
      </c>
      <c r="AN326" s="11">
        <f t="shared" si="238"/>
        <v>0</v>
      </c>
      <c r="AO326" s="11">
        <f t="shared" si="239"/>
        <v>0</v>
      </c>
      <c r="AP326" s="11">
        <f t="shared" si="240"/>
        <v>0</v>
      </c>
      <c r="AQ326" s="11">
        <f t="shared" si="241"/>
        <v>0</v>
      </c>
      <c r="AR326" s="11">
        <f t="shared" si="242"/>
        <v>0</v>
      </c>
      <c r="AS326" s="11">
        <f t="shared" si="243"/>
        <v>0</v>
      </c>
      <c r="AT326" s="11">
        <f t="shared" si="244"/>
        <v>0</v>
      </c>
      <c r="AU326" s="11">
        <f t="shared" si="245"/>
        <v>0</v>
      </c>
      <c r="AV326" s="11">
        <f t="shared" si="246"/>
        <v>0</v>
      </c>
      <c r="AW326" s="11">
        <f t="shared" si="247"/>
        <v>0</v>
      </c>
      <c r="AX326" s="11">
        <f t="shared" si="248"/>
        <v>0</v>
      </c>
      <c r="AY326" s="11">
        <f t="shared" si="249"/>
        <v>0</v>
      </c>
    </row>
    <row r="327" spans="1:51">
      <c r="A327" s="15">
        <v>45252</v>
      </c>
      <c r="B327" s="436"/>
      <c r="C327" s="436"/>
      <c r="D327" s="436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11">
        <f t="shared" si="224"/>
        <v>0</v>
      </c>
      <c r="AA327" s="11">
        <f t="shared" si="225"/>
        <v>0</v>
      </c>
      <c r="AB327" s="11">
        <f t="shared" si="226"/>
        <v>0</v>
      </c>
      <c r="AC327" s="11">
        <f t="shared" si="227"/>
        <v>0</v>
      </c>
      <c r="AD327" s="11">
        <f t="shared" si="228"/>
        <v>0</v>
      </c>
      <c r="AE327" s="11">
        <f t="shared" si="229"/>
        <v>0</v>
      </c>
      <c r="AF327" s="11">
        <f t="shared" si="230"/>
        <v>0</v>
      </c>
      <c r="AG327" s="11">
        <f t="shared" si="231"/>
        <v>0</v>
      </c>
      <c r="AH327" s="11">
        <f t="shared" si="232"/>
        <v>0</v>
      </c>
      <c r="AI327" s="11">
        <f t="shared" si="233"/>
        <v>0</v>
      </c>
      <c r="AJ327" s="11">
        <f t="shared" si="234"/>
        <v>0</v>
      </c>
      <c r="AK327" s="11">
        <f t="shared" si="235"/>
        <v>0</v>
      </c>
      <c r="AL327" s="11">
        <f t="shared" si="236"/>
        <v>0</v>
      </c>
      <c r="AM327" s="11">
        <f t="shared" si="237"/>
        <v>0</v>
      </c>
      <c r="AN327" s="11">
        <f t="shared" si="238"/>
        <v>0</v>
      </c>
      <c r="AO327" s="11">
        <f t="shared" si="239"/>
        <v>0</v>
      </c>
      <c r="AP327" s="11">
        <f t="shared" si="240"/>
        <v>0</v>
      </c>
      <c r="AQ327" s="11">
        <f t="shared" si="241"/>
        <v>0</v>
      </c>
      <c r="AR327" s="11">
        <f t="shared" si="242"/>
        <v>0</v>
      </c>
      <c r="AS327" s="11">
        <f t="shared" si="243"/>
        <v>0</v>
      </c>
      <c r="AT327" s="11">
        <f t="shared" si="244"/>
        <v>0</v>
      </c>
      <c r="AU327" s="11">
        <f t="shared" si="245"/>
        <v>0</v>
      </c>
      <c r="AV327" s="11">
        <f t="shared" si="246"/>
        <v>0</v>
      </c>
      <c r="AW327" s="11">
        <f t="shared" si="247"/>
        <v>0</v>
      </c>
      <c r="AX327" s="11">
        <f t="shared" si="248"/>
        <v>0</v>
      </c>
      <c r="AY327" s="11">
        <f t="shared" si="249"/>
        <v>0</v>
      </c>
    </row>
    <row r="328" spans="1:51">
      <c r="A328" s="15">
        <v>45253</v>
      </c>
      <c r="B328" s="436"/>
      <c r="C328" s="436"/>
      <c r="D328" s="436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11">
        <f t="shared" si="224"/>
        <v>0</v>
      </c>
      <c r="AA328" s="11">
        <f t="shared" si="225"/>
        <v>0</v>
      </c>
      <c r="AB328" s="11">
        <f t="shared" si="226"/>
        <v>0</v>
      </c>
      <c r="AC328" s="11">
        <f t="shared" si="227"/>
        <v>0</v>
      </c>
      <c r="AD328" s="11">
        <f t="shared" si="228"/>
        <v>0</v>
      </c>
      <c r="AE328" s="11">
        <f t="shared" si="229"/>
        <v>0</v>
      </c>
      <c r="AF328" s="11">
        <f t="shared" si="230"/>
        <v>0</v>
      </c>
      <c r="AG328" s="11">
        <f t="shared" si="231"/>
        <v>0</v>
      </c>
      <c r="AH328" s="11">
        <f t="shared" si="232"/>
        <v>0</v>
      </c>
      <c r="AI328" s="11">
        <f t="shared" si="233"/>
        <v>0</v>
      </c>
      <c r="AJ328" s="11">
        <f t="shared" si="234"/>
        <v>0</v>
      </c>
      <c r="AK328" s="11">
        <f t="shared" si="235"/>
        <v>0</v>
      </c>
      <c r="AL328" s="11">
        <f t="shared" si="236"/>
        <v>0</v>
      </c>
      <c r="AM328" s="11">
        <f t="shared" si="237"/>
        <v>0</v>
      </c>
      <c r="AN328" s="11">
        <f t="shared" si="238"/>
        <v>0</v>
      </c>
      <c r="AO328" s="11">
        <f t="shared" si="239"/>
        <v>0</v>
      </c>
      <c r="AP328" s="11">
        <f t="shared" si="240"/>
        <v>0</v>
      </c>
      <c r="AQ328" s="11">
        <f t="shared" si="241"/>
        <v>0</v>
      </c>
      <c r="AR328" s="11">
        <f t="shared" si="242"/>
        <v>0</v>
      </c>
      <c r="AS328" s="11">
        <f t="shared" si="243"/>
        <v>0</v>
      </c>
      <c r="AT328" s="11">
        <f t="shared" si="244"/>
        <v>0</v>
      </c>
      <c r="AU328" s="11">
        <f t="shared" si="245"/>
        <v>0</v>
      </c>
      <c r="AV328" s="11">
        <f t="shared" si="246"/>
        <v>0</v>
      </c>
      <c r="AW328" s="11">
        <f t="shared" si="247"/>
        <v>0</v>
      </c>
      <c r="AX328" s="11">
        <f t="shared" si="248"/>
        <v>0</v>
      </c>
      <c r="AY328" s="11">
        <f t="shared" si="249"/>
        <v>0</v>
      </c>
    </row>
    <row r="329" spans="1:51">
      <c r="A329" s="15">
        <v>45254</v>
      </c>
      <c r="B329" s="436"/>
      <c r="C329" s="436"/>
      <c r="D329" s="436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11">
        <f t="shared" si="224"/>
        <v>0</v>
      </c>
      <c r="AA329" s="11">
        <f t="shared" si="225"/>
        <v>0</v>
      </c>
      <c r="AB329" s="11">
        <f t="shared" si="226"/>
        <v>0</v>
      </c>
      <c r="AC329" s="11">
        <f t="shared" si="227"/>
        <v>0</v>
      </c>
      <c r="AD329" s="11">
        <f t="shared" si="228"/>
        <v>0</v>
      </c>
      <c r="AE329" s="11">
        <f t="shared" si="229"/>
        <v>0</v>
      </c>
      <c r="AF329" s="11">
        <f t="shared" si="230"/>
        <v>0</v>
      </c>
      <c r="AG329" s="11">
        <f t="shared" si="231"/>
        <v>0</v>
      </c>
      <c r="AH329" s="11">
        <f t="shared" si="232"/>
        <v>0</v>
      </c>
      <c r="AI329" s="11">
        <f t="shared" si="233"/>
        <v>0</v>
      </c>
      <c r="AJ329" s="11">
        <f t="shared" si="234"/>
        <v>0</v>
      </c>
      <c r="AK329" s="11">
        <f t="shared" si="235"/>
        <v>0</v>
      </c>
      <c r="AL329" s="11">
        <f t="shared" si="236"/>
        <v>0</v>
      </c>
      <c r="AM329" s="11">
        <f t="shared" si="237"/>
        <v>0</v>
      </c>
      <c r="AN329" s="11">
        <f t="shared" si="238"/>
        <v>0</v>
      </c>
      <c r="AO329" s="11">
        <f t="shared" si="239"/>
        <v>0</v>
      </c>
      <c r="AP329" s="11">
        <f t="shared" si="240"/>
        <v>0</v>
      </c>
      <c r="AQ329" s="11">
        <f t="shared" si="241"/>
        <v>0</v>
      </c>
      <c r="AR329" s="11">
        <f t="shared" si="242"/>
        <v>0</v>
      </c>
      <c r="AS329" s="11">
        <f t="shared" si="243"/>
        <v>0</v>
      </c>
      <c r="AT329" s="11">
        <f t="shared" si="244"/>
        <v>0</v>
      </c>
      <c r="AU329" s="11">
        <f t="shared" si="245"/>
        <v>0</v>
      </c>
      <c r="AV329" s="11">
        <f t="shared" si="246"/>
        <v>0</v>
      </c>
      <c r="AW329" s="11">
        <f t="shared" si="247"/>
        <v>0</v>
      </c>
      <c r="AX329" s="11">
        <f t="shared" si="248"/>
        <v>0</v>
      </c>
      <c r="AY329" s="11">
        <f t="shared" si="249"/>
        <v>0</v>
      </c>
    </row>
    <row r="330" spans="1:51">
      <c r="A330" s="15">
        <v>45255</v>
      </c>
      <c r="B330" s="436"/>
      <c r="C330" s="436"/>
      <c r="D330" s="436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11">
        <f t="shared" si="224"/>
        <v>0</v>
      </c>
      <c r="AA330" s="11">
        <f t="shared" si="225"/>
        <v>0</v>
      </c>
      <c r="AB330" s="11">
        <f t="shared" si="226"/>
        <v>0</v>
      </c>
      <c r="AC330" s="11">
        <f t="shared" si="227"/>
        <v>0</v>
      </c>
      <c r="AD330" s="11">
        <f t="shared" si="228"/>
        <v>0</v>
      </c>
      <c r="AE330" s="11">
        <f t="shared" si="229"/>
        <v>0</v>
      </c>
      <c r="AF330" s="11">
        <f t="shared" si="230"/>
        <v>0</v>
      </c>
      <c r="AG330" s="11">
        <f t="shared" si="231"/>
        <v>0</v>
      </c>
      <c r="AH330" s="11">
        <f t="shared" si="232"/>
        <v>0</v>
      </c>
      <c r="AI330" s="11">
        <f t="shared" si="233"/>
        <v>0</v>
      </c>
      <c r="AJ330" s="11">
        <f t="shared" si="234"/>
        <v>0</v>
      </c>
      <c r="AK330" s="11">
        <f t="shared" si="235"/>
        <v>0</v>
      </c>
      <c r="AL330" s="11">
        <f t="shared" si="236"/>
        <v>0</v>
      </c>
      <c r="AM330" s="11">
        <f t="shared" si="237"/>
        <v>0</v>
      </c>
      <c r="AN330" s="11">
        <f t="shared" si="238"/>
        <v>0</v>
      </c>
      <c r="AO330" s="11">
        <f t="shared" si="239"/>
        <v>0</v>
      </c>
      <c r="AP330" s="11">
        <f t="shared" si="240"/>
        <v>0</v>
      </c>
      <c r="AQ330" s="11">
        <f t="shared" si="241"/>
        <v>0</v>
      </c>
      <c r="AR330" s="11">
        <f t="shared" si="242"/>
        <v>0</v>
      </c>
      <c r="AS330" s="11">
        <f t="shared" si="243"/>
        <v>0</v>
      </c>
      <c r="AT330" s="11">
        <f t="shared" si="244"/>
        <v>0</v>
      </c>
      <c r="AU330" s="11">
        <f t="shared" si="245"/>
        <v>0</v>
      </c>
      <c r="AV330" s="11">
        <f t="shared" si="246"/>
        <v>0</v>
      </c>
      <c r="AW330" s="11">
        <f t="shared" si="247"/>
        <v>0</v>
      </c>
      <c r="AX330" s="11">
        <f t="shared" si="248"/>
        <v>0</v>
      </c>
      <c r="AY330" s="11">
        <f t="shared" si="249"/>
        <v>0</v>
      </c>
    </row>
    <row r="331" spans="1:51">
      <c r="A331" s="15">
        <v>45256</v>
      </c>
      <c r="B331" s="436"/>
      <c r="C331" s="436"/>
      <c r="D331" s="436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11">
        <f t="shared" si="224"/>
        <v>0</v>
      </c>
      <c r="AA331" s="11">
        <f t="shared" si="225"/>
        <v>0</v>
      </c>
      <c r="AB331" s="11">
        <f t="shared" si="226"/>
        <v>0</v>
      </c>
      <c r="AC331" s="11">
        <f t="shared" si="227"/>
        <v>0</v>
      </c>
      <c r="AD331" s="11">
        <f t="shared" si="228"/>
        <v>0</v>
      </c>
      <c r="AE331" s="11">
        <f t="shared" si="229"/>
        <v>0</v>
      </c>
      <c r="AF331" s="11">
        <f t="shared" si="230"/>
        <v>0</v>
      </c>
      <c r="AG331" s="11">
        <f t="shared" si="231"/>
        <v>0</v>
      </c>
      <c r="AH331" s="11">
        <f t="shared" si="232"/>
        <v>0</v>
      </c>
      <c r="AI331" s="11">
        <f t="shared" si="233"/>
        <v>0</v>
      </c>
      <c r="AJ331" s="11">
        <f t="shared" si="234"/>
        <v>0</v>
      </c>
      <c r="AK331" s="11">
        <f t="shared" si="235"/>
        <v>0</v>
      </c>
      <c r="AL331" s="11">
        <f t="shared" si="236"/>
        <v>0</v>
      </c>
      <c r="AM331" s="11">
        <f t="shared" si="237"/>
        <v>0</v>
      </c>
      <c r="AN331" s="11">
        <f t="shared" si="238"/>
        <v>0</v>
      </c>
      <c r="AO331" s="11">
        <f t="shared" si="239"/>
        <v>0</v>
      </c>
      <c r="AP331" s="11">
        <f t="shared" si="240"/>
        <v>0</v>
      </c>
      <c r="AQ331" s="11">
        <f t="shared" si="241"/>
        <v>0</v>
      </c>
      <c r="AR331" s="11">
        <f t="shared" si="242"/>
        <v>0</v>
      </c>
      <c r="AS331" s="11">
        <f t="shared" si="243"/>
        <v>0</v>
      </c>
      <c r="AT331" s="11">
        <f t="shared" si="244"/>
        <v>0</v>
      </c>
      <c r="AU331" s="11">
        <f t="shared" si="245"/>
        <v>0</v>
      </c>
      <c r="AV331" s="11">
        <f t="shared" si="246"/>
        <v>0</v>
      </c>
      <c r="AW331" s="11">
        <f t="shared" si="247"/>
        <v>0</v>
      </c>
      <c r="AX331" s="11">
        <f t="shared" si="248"/>
        <v>0</v>
      </c>
      <c r="AY331" s="11">
        <f t="shared" si="249"/>
        <v>0</v>
      </c>
    </row>
    <row r="332" spans="1:51">
      <c r="A332" s="15">
        <v>45257</v>
      </c>
      <c r="B332" s="436"/>
      <c r="C332" s="436"/>
      <c r="D332" s="436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11">
        <f t="shared" si="224"/>
        <v>0</v>
      </c>
      <c r="AA332" s="11">
        <f t="shared" si="225"/>
        <v>0</v>
      </c>
      <c r="AB332" s="11">
        <f t="shared" si="226"/>
        <v>0</v>
      </c>
      <c r="AC332" s="11">
        <f t="shared" si="227"/>
        <v>0</v>
      </c>
      <c r="AD332" s="11">
        <f t="shared" si="228"/>
        <v>0</v>
      </c>
      <c r="AE332" s="11">
        <f t="shared" si="229"/>
        <v>0</v>
      </c>
      <c r="AF332" s="11">
        <f t="shared" si="230"/>
        <v>0</v>
      </c>
      <c r="AG332" s="11">
        <f t="shared" si="231"/>
        <v>0</v>
      </c>
      <c r="AH332" s="11">
        <f t="shared" si="232"/>
        <v>0</v>
      </c>
      <c r="AI332" s="11">
        <f t="shared" si="233"/>
        <v>0</v>
      </c>
      <c r="AJ332" s="11">
        <f t="shared" si="234"/>
        <v>0</v>
      </c>
      <c r="AK332" s="11">
        <f t="shared" si="235"/>
        <v>0</v>
      </c>
      <c r="AL332" s="11">
        <f t="shared" si="236"/>
        <v>0</v>
      </c>
      <c r="AM332" s="11">
        <f t="shared" si="237"/>
        <v>0</v>
      </c>
      <c r="AN332" s="11">
        <f t="shared" si="238"/>
        <v>0</v>
      </c>
      <c r="AO332" s="11">
        <f t="shared" si="239"/>
        <v>0</v>
      </c>
      <c r="AP332" s="11">
        <f t="shared" si="240"/>
        <v>0</v>
      </c>
      <c r="AQ332" s="11">
        <f t="shared" si="241"/>
        <v>0</v>
      </c>
      <c r="AR332" s="11">
        <f t="shared" si="242"/>
        <v>0</v>
      </c>
      <c r="AS332" s="11">
        <f t="shared" si="243"/>
        <v>0</v>
      </c>
      <c r="AT332" s="11">
        <f t="shared" si="244"/>
        <v>0</v>
      </c>
      <c r="AU332" s="11">
        <f t="shared" si="245"/>
        <v>0</v>
      </c>
      <c r="AV332" s="11">
        <f t="shared" si="246"/>
        <v>0</v>
      </c>
      <c r="AW332" s="11">
        <f t="shared" si="247"/>
        <v>0</v>
      </c>
      <c r="AX332" s="11">
        <f t="shared" si="248"/>
        <v>0</v>
      </c>
      <c r="AY332" s="11">
        <f t="shared" si="249"/>
        <v>0</v>
      </c>
    </row>
    <row r="333" spans="1:51">
      <c r="A333" s="15">
        <v>45258</v>
      </c>
      <c r="B333" s="436"/>
      <c r="C333" s="436"/>
      <c r="D333" s="436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11">
        <f t="shared" si="224"/>
        <v>0</v>
      </c>
      <c r="AA333" s="11">
        <f t="shared" si="225"/>
        <v>0</v>
      </c>
      <c r="AB333" s="11">
        <f t="shared" si="226"/>
        <v>0</v>
      </c>
      <c r="AC333" s="11">
        <f t="shared" si="227"/>
        <v>0</v>
      </c>
      <c r="AD333" s="11">
        <f t="shared" si="228"/>
        <v>0</v>
      </c>
      <c r="AE333" s="11">
        <f t="shared" si="229"/>
        <v>0</v>
      </c>
      <c r="AF333" s="11">
        <f t="shared" si="230"/>
        <v>0</v>
      </c>
      <c r="AG333" s="11">
        <f t="shared" si="231"/>
        <v>0</v>
      </c>
      <c r="AH333" s="11">
        <f t="shared" si="232"/>
        <v>0</v>
      </c>
      <c r="AI333" s="11">
        <f t="shared" si="233"/>
        <v>0</v>
      </c>
      <c r="AJ333" s="11">
        <f t="shared" si="234"/>
        <v>0</v>
      </c>
      <c r="AK333" s="11">
        <f t="shared" si="235"/>
        <v>0</v>
      </c>
      <c r="AL333" s="11">
        <f t="shared" si="236"/>
        <v>0</v>
      </c>
      <c r="AM333" s="11">
        <f t="shared" si="237"/>
        <v>0</v>
      </c>
      <c r="AN333" s="11">
        <f t="shared" si="238"/>
        <v>0</v>
      </c>
      <c r="AO333" s="11">
        <f t="shared" si="239"/>
        <v>0</v>
      </c>
      <c r="AP333" s="11">
        <f t="shared" si="240"/>
        <v>0</v>
      </c>
      <c r="AQ333" s="11">
        <f t="shared" si="241"/>
        <v>0</v>
      </c>
      <c r="AR333" s="11">
        <f t="shared" si="242"/>
        <v>0</v>
      </c>
      <c r="AS333" s="11">
        <f t="shared" si="243"/>
        <v>0</v>
      </c>
      <c r="AT333" s="11">
        <f t="shared" si="244"/>
        <v>0</v>
      </c>
      <c r="AU333" s="11">
        <f t="shared" si="245"/>
        <v>0</v>
      </c>
      <c r="AV333" s="11">
        <f t="shared" si="246"/>
        <v>0</v>
      </c>
      <c r="AW333" s="11">
        <f t="shared" si="247"/>
        <v>0</v>
      </c>
      <c r="AX333" s="11">
        <f t="shared" si="248"/>
        <v>0</v>
      </c>
      <c r="AY333" s="11">
        <f t="shared" si="249"/>
        <v>0</v>
      </c>
    </row>
    <row r="334" spans="1:51">
      <c r="A334" s="15">
        <v>45259</v>
      </c>
      <c r="B334" s="436"/>
      <c r="C334" s="436"/>
      <c r="D334" s="436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11">
        <f t="shared" si="224"/>
        <v>0</v>
      </c>
      <c r="AA334" s="11">
        <f t="shared" si="225"/>
        <v>0</v>
      </c>
      <c r="AB334" s="11">
        <f t="shared" si="226"/>
        <v>0</v>
      </c>
      <c r="AC334" s="11">
        <f t="shared" si="227"/>
        <v>0</v>
      </c>
      <c r="AD334" s="11">
        <f t="shared" si="228"/>
        <v>0</v>
      </c>
      <c r="AE334" s="11">
        <f t="shared" si="229"/>
        <v>0</v>
      </c>
      <c r="AF334" s="11">
        <f t="shared" si="230"/>
        <v>0</v>
      </c>
      <c r="AG334" s="11">
        <f t="shared" si="231"/>
        <v>0</v>
      </c>
      <c r="AH334" s="11">
        <f t="shared" si="232"/>
        <v>0</v>
      </c>
      <c r="AI334" s="11">
        <f t="shared" si="233"/>
        <v>0</v>
      </c>
      <c r="AJ334" s="11">
        <f t="shared" si="234"/>
        <v>0</v>
      </c>
      <c r="AK334" s="11">
        <f t="shared" si="235"/>
        <v>0</v>
      </c>
      <c r="AL334" s="11">
        <f t="shared" si="236"/>
        <v>0</v>
      </c>
      <c r="AM334" s="11">
        <f t="shared" si="237"/>
        <v>0</v>
      </c>
      <c r="AN334" s="11">
        <f t="shared" si="238"/>
        <v>0</v>
      </c>
      <c r="AO334" s="11">
        <f t="shared" si="239"/>
        <v>0</v>
      </c>
      <c r="AP334" s="11">
        <f t="shared" si="240"/>
        <v>0</v>
      </c>
      <c r="AQ334" s="11">
        <f t="shared" si="241"/>
        <v>0</v>
      </c>
      <c r="AR334" s="11">
        <f t="shared" si="242"/>
        <v>0</v>
      </c>
      <c r="AS334" s="11">
        <f t="shared" si="243"/>
        <v>0</v>
      </c>
      <c r="AT334" s="11">
        <f t="shared" si="244"/>
        <v>0</v>
      </c>
      <c r="AU334" s="11">
        <f t="shared" si="245"/>
        <v>0</v>
      </c>
      <c r="AV334" s="11">
        <f t="shared" si="246"/>
        <v>0</v>
      </c>
      <c r="AW334" s="11">
        <f t="shared" si="247"/>
        <v>0</v>
      </c>
      <c r="AX334" s="11">
        <f t="shared" si="248"/>
        <v>0</v>
      </c>
      <c r="AY334" s="11">
        <f t="shared" si="249"/>
        <v>0</v>
      </c>
    </row>
    <row r="335" spans="1:51">
      <c r="A335" s="15">
        <v>45260</v>
      </c>
      <c r="B335" s="436"/>
      <c r="C335" s="436"/>
      <c r="D335" s="436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11">
        <f t="shared" si="224"/>
        <v>0</v>
      </c>
      <c r="AA335" s="11">
        <f t="shared" si="225"/>
        <v>0</v>
      </c>
      <c r="AB335" s="11">
        <f t="shared" si="226"/>
        <v>0</v>
      </c>
      <c r="AC335" s="11">
        <f t="shared" si="227"/>
        <v>0</v>
      </c>
      <c r="AD335" s="11">
        <f t="shared" si="228"/>
        <v>0</v>
      </c>
      <c r="AE335" s="11">
        <f t="shared" si="229"/>
        <v>0</v>
      </c>
      <c r="AF335" s="11">
        <f t="shared" si="230"/>
        <v>0</v>
      </c>
      <c r="AG335" s="11">
        <f t="shared" si="231"/>
        <v>0</v>
      </c>
      <c r="AH335" s="11">
        <f t="shared" si="232"/>
        <v>0</v>
      </c>
      <c r="AI335" s="11">
        <f t="shared" si="233"/>
        <v>0</v>
      </c>
      <c r="AJ335" s="11">
        <f t="shared" si="234"/>
        <v>0</v>
      </c>
      <c r="AK335" s="11">
        <f t="shared" si="235"/>
        <v>0</v>
      </c>
      <c r="AL335" s="11">
        <f t="shared" si="236"/>
        <v>0</v>
      </c>
      <c r="AM335" s="11">
        <f t="shared" si="237"/>
        <v>0</v>
      </c>
      <c r="AN335" s="11">
        <f t="shared" si="238"/>
        <v>0</v>
      </c>
      <c r="AO335" s="11">
        <f t="shared" si="239"/>
        <v>0</v>
      </c>
      <c r="AP335" s="11">
        <f t="shared" si="240"/>
        <v>0</v>
      </c>
      <c r="AQ335" s="11">
        <f t="shared" si="241"/>
        <v>0</v>
      </c>
      <c r="AR335" s="11">
        <f t="shared" si="242"/>
        <v>0</v>
      </c>
      <c r="AS335" s="11">
        <f t="shared" si="243"/>
        <v>0</v>
      </c>
      <c r="AT335" s="11">
        <f t="shared" si="244"/>
        <v>0</v>
      </c>
      <c r="AU335" s="11">
        <f t="shared" si="245"/>
        <v>0</v>
      </c>
      <c r="AV335" s="11">
        <f t="shared" si="246"/>
        <v>0</v>
      </c>
      <c r="AW335" s="11">
        <f t="shared" si="247"/>
        <v>0</v>
      </c>
      <c r="AX335" s="11">
        <f t="shared" si="248"/>
        <v>0</v>
      </c>
      <c r="AY335" s="11">
        <f t="shared" si="249"/>
        <v>0</v>
      </c>
    </row>
    <row r="336" spans="1:51">
      <c r="A336" s="15">
        <v>45261</v>
      </c>
      <c r="B336" s="436"/>
      <c r="C336" s="436"/>
      <c r="D336" s="436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11">
        <f t="shared" si="224"/>
        <v>0</v>
      </c>
      <c r="AA336" s="11">
        <f t="shared" si="225"/>
        <v>0</v>
      </c>
      <c r="AB336" s="11">
        <f t="shared" si="226"/>
        <v>0</v>
      </c>
      <c r="AC336" s="11">
        <f t="shared" si="227"/>
        <v>0</v>
      </c>
      <c r="AD336" s="11">
        <f t="shared" si="228"/>
        <v>0</v>
      </c>
      <c r="AE336" s="11">
        <f t="shared" si="229"/>
        <v>0</v>
      </c>
      <c r="AF336" s="11">
        <f t="shared" si="230"/>
        <v>0</v>
      </c>
      <c r="AG336" s="11">
        <f t="shared" si="231"/>
        <v>0</v>
      </c>
      <c r="AH336" s="11">
        <f t="shared" si="232"/>
        <v>0</v>
      </c>
      <c r="AI336" s="11">
        <f t="shared" si="233"/>
        <v>0</v>
      </c>
      <c r="AJ336" s="11">
        <f t="shared" si="234"/>
        <v>0</v>
      </c>
      <c r="AK336" s="11">
        <f t="shared" si="235"/>
        <v>0</v>
      </c>
      <c r="AL336" s="11">
        <f t="shared" si="236"/>
        <v>0</v>
      </c>
      <c r="AM336" s="11">
        <f t="shared" si="237"/>
        <v>0</v>
      </c>
      <c r="AN336" s="11">
        <f t="shared" si="238"/>
        <v>0</v>
      </c>
      <c r="AO336" s="11">
        <f t="shared" si="239"/>
        <v>0</v>
      </c>
      <c r="AP336" s="11">
        <f t="shared" si="240"/>
        <v>0</v>
      </c>
      <c r="AQ336" s="11">
        <f t="shared" si="241"/>
        <v>0</v>
      </c>
      <c r="AR336" s="11">
        <f t="shared" si="242"/>
        <v>0</v>
      </c>
      <c r="AS336" s="11">
        <f t="shared" si="243"/>
        <v>0</v>
      </c>
      <c r="AT336" s="11">
        <f t="shared" si="244"/>
        <v>0</v>
      </c>
      <c r="AU336" s="11">
        <f t="shared" si="245"/>
        <v>0</v>
      </c>
      <c r="AV336" s="11">
        <f t="shared" si="246"/>
        <v>0</v>
      </c>
      <c r="AW336" s="11">
        <f t="shared" si="247"/>
        <v>0</v>
      </c>
      <c r="AX336" s="11">
        <f t="shared" si="248"/>
        <v>0</v>
      </c>
      <c r="AY336" s="11">
        <f t="shared" si="249"/>
        <v>0</v>
      </c>
    </row>
    <row r="337" spans="1:51">
      <c r="A337" s="15">
        <v>45262</v>
      </c>
      <c r="B337" s="436"/>
      <c r="C337" s="436"/>
      <c r="D337" s="436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11">
        <f>B337-Y336</f>
        <v>0</v>
      </c>
      <c r="AA337" s="11">
        <f t="shared" ref="AA337:AW337" si="250">C337-B337</f>
        <v>0</v>
      </c>
      <c r="AB337" s="11">
        <f t="shared" si="250"/>
        <v>0</v>
      </c>
      <c r="AC337" s="11">
        <f t="shared" si="250"/>
        <v>0</v>
      </c>
      <c r="AD337" s="11">
        <f t="shared" si="250"/>
        <v>0</v>
      </c>
      <c r="AE337" s="11">
        <f t="shared" si="250"/>
        <v>0</v>
      </c>
      <c r="AF337" s="11">
        <f t="shared" si="250"/>
        <v>0</v>
      </c>
      <c r="AG337" s="11">
        <f t="shared" si="250"/>
        <v>0</v>
      </c>
      <c r="AH337" s="11">
        <f t="shared" si="250"/>
        <v>0</v>
      </c>
      <c r="AI337" s="11">
        <f t="shared" si="250"/>
        <v>0</v>
      </c>
      <c r="AJ337" s="11">
        <f t="shared" si="250"/>
        <v>0</v>
      </c>
      <c r="AK337" s="11">
        <f t="shared" si="250"/>
        <v>0</v>
      </c>
      <c r="AL337" s="11">
        <f t="shared" si="250"/>
        <v>0</v>
      </c>
      <c r="AM337" s="11">
        <f t="shared" si="250"/>
        <v>0</v>
      </c>
      <c r="AN337" s="11">
        <f t="shared" si="250"/>
        <v>0</v>
      </c>
      <c r="AO337" s="11">
        <f t="shared" si="250"/>
        <v>0</v>
      </c>
      <c r="AP337" s="11">
        <f t="shared" si="250"/>
        <v>0</v>
      </c>
      <c r="AQ337" s="11">
        <f t="shared" si="250"/>
        <v>0</v>
      </c>
      <c r="AR337" s="11">
        <f t="shared" si="250"/>
        <v>0</v>
      </c>
      <c r="AS337" s="11">
        <f t="shared" si="250"/>
        <v>0</v>
      </c>
      <c r="AT337" s="11">
        <f t="shared" si="250"/>
        <v>0</v>
      </c>
      <c r="AU337" s="11">
        <f t="shared" si="250"/>
        <v>0</v>
      </c>
      <c r="AV337" s="11">
        <f t="shared" si="250"/>
        <v>0</v>
      </c>
      <c r="AW337" s="11">
        <f t="shared" si="250"/>
        <v>0</v>
      </c>
      <c r="AX337" s="11">
        <f>SUMIF(Z337:AW337,"&gt;0")</f>
        <v>0</v>
      </c>
      <c r="AY337" s="11">
        <f>SUMIF(Z337:AW337,"&lt;0")*-1</f>
        <v>0</v>
      </c>
    </row>
    <row r="338" spans="1:51">
      <c r="A338" s="15">
        <v>45263</v>
      </c>
      <c r="B338" s="436"/>
      <c r="C338" s="436"/>
      <c r="D338" s="436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11">
        <f t="shared" ref="Z338:Z366" si="251">B338-Y337</f>
        <v>0</v>
      </c>
      <c r="AA338" s="11">
        <f t="shared" ref="AA338:AA366" si="252">C338-B338</f>
        <v>0</v>
      </c>
      <c r="AB338" s="11">
        <f t="shared" ref="AB338:AB366" si="253">D338-C338</f>
        <v>0</v>
      </c>
      <c r="AC338" s="11">
        <f t="shared" ref="AC338:AC366" si="254">E338-D338</f>
        <v>0</v>
      </c>
      <c r="AD338" s="11">
        <f t="shared" ref="AD338:AD366" si="255">F338-E338</f>
        <v>0</v>
      </c>
      <c r="AE338" s="11">
        <f t="shared" ref="AE338:AE366" si="256">G338-F338</f>
        <v>0</v>
      </c>
      <c r="AF338" s="11">
        <f t="shared" ref="AF338:AF366" si="257">H338-G338</f>
        <v>0</v>
      </c>
      <c r="AG338" s="11">
        <f t="shared" ref="AG338:AG366" si="258">I338-H338</f>
        <v>0</v>
      </c>
      <c r="AH338" s="11">
        <f t="shared" ref="AH338:AH366" si="259">J338-I338</f>
        <v>0</v>
      </c>
      <c r="AI338" s="11">
        <f t="shared" ref="AI338:AI366" si="260">K338-J338</f>
        <v>0</v>
      </c>
      <c r="AJ338" s="11">
        <f t="shared" ref="AJ338:AJ366" si="261">L338-K338</f>
        <v>0</v>
      </c>
      <c r="AK338" s="11">
        <f t="shared" ref="AK338:AK366" si="262">M338-L338</f>
        <v>0</v>
      </c>
      <c r="AL338" s="11">
        <f t="shared" ref="AL338:AL366" si="263">N338-M338</f>
        <v>0</v>
      </c>
      <c r="AM338" s="11">
        <f t="shared" ref="AM338:AM366" si="264">O338-N338</f>
        <v>0</v>
      </c>
      <c r="AN338" s="11">
        <f t="shared" ref="AN338:AN366" si="265">P338-O338</f>
        <v>0</v>
      </c>
      <c r="AO338" s="11">
        <f t="shared" ref="AO338:AO366" si="266">Q338-P338</f>
        <v>0</v>
      </c>
      <c r="AP338" s="11">
        <f t="shared" ref="AP338:AP366" si="267">R338-Q338</f>
        <v>0</v>
      </c>
      <c r="AQ338" s="11">
        <f t="shared" ref="AQ338:AQ366" si="268">S338-R338</f>
        <v>0</v>
      </c>
      <c r="AR338" s="11">
        <f t="shared" ref="AR338:AR366" si="269">T338-S338</f>
        <v>0</v>
      </c>
      <c r="AS338" s="11">
        <f t="shared" ref="AS338:AS366" si="270">U338-T338</f>
        <v>0</v>
      </c>
      <c r="AT338" s="11">
        <f t="shared" ref="AT338:AT366" si="271">V338-U338</f>
        <v>0</v>
      </c>
      <c r="AU338" s="11">
        <f t="shared" ref="AU338:AU366" si="272">W338-V338</f>
        <v>0</v>
      </c>
      <c r="AV338" s="11">
        <f t="shared" ref="AV338:AV366" si="273">X338-W338</f>
        <v>0</v>
      </c>
      <c r="AW338" s="11">
        <f t="shared" ref="AW338:AW366" si="274">Y338-X338</f>
        <v>0</v>
      </c>
      <c r="AX338" s="11">
        <f t="shared" ref="AX338:AX366" si="275">SUMIF(Z338:AW338,"&gt;0")</f>
        <v>0</v>
      </c>
      <c r="AY338" s="11">
        <f t="shared" ref="AY338:AY366" si="276">SUMIF(Z338:AW338,"&lt;0")*-1</f>
        <v>0</v>
      </c>
    </row>
    <row r="339" spans="1:51">
      <c r="A339" s="15">
        <v>45264</v>
      </c>
      <c r="B339" s="436"/>
      <c r="C339" s="436"/>
      <c r="D339" s="436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11">
        <f t="shared" si="251"/>
        <v>0</v>
      </c>
      <c r="AA339" s="11">
        <f t="shared" si="252"/>
        <v>0</v>
      </c>
      <c r="AB339" s="11">
        <f t="shared" si="253"/>
        <v>0</v>
      </c>
      <c r="AC339" s="11">
        <f>E339-D339</f>
        <v>0</v>
      </c>
      <c r="AD339" s="11">
        <f>F339-E339</f>
        <v>0</v>
      </c>
      <c r="AE339" s="11">
        <f t="shared" si="256"/>
        <v>0</v>
      </c>
      <c r="AF339" s="11">
        <f t="shared" si="257"/>
        <v>0</v>
      </c>
      <c r="AG339" s="11">
        <f t="shared" si="258"/>
        <v>0</v>
      </c>
      <c r="AH339" s="11">
        <f t="shared" si="259"/>
        <v>0</v>
      </c>
      <c r="AI339" s="11">
        <f t="shared" si="260"/>
        <v>0</v>
      </c>
      <c r="AJ339" s="11">
        <f t="shared" si="261"/>
        <v>0</v>
      </c>
      <c r="AK339" s="11">
        <f t="shared" si="262"/>
        <v>0</v>
      </c>
      <c r="AL339" s="11">
        <f t="shared" si="263"/>
        <v>0</v>
      </c>
      <c r="AM339" s="11">
        <f t="shared" si="264"/>
        <v>0</v>
      </c>
      <c r="AN339" s="11">
        <f t="shared" si="265"/>
        <v>0</v>
      </c>
      <c r="AO339" s="11">
        <f t="shared" si="266"/>
        <v>0</v>
      </c>
      <c r="AP339" s="11">
        <f t="shared" si="267"/>
        <v>0</v>
      </c>
      <c r="AQ339" s="11">
        <f t="shared" si="268"/>
        <v>0</v>
      </c>
      <c r="AR339" s="11">
        <f t="shared" si="269"/>
        <v>0</v>
      </c>
      <c r="AS339" s="11">
        <f t="shared" si="270"/>
        <v>0</v>
      </c>
      <c r="AT339" s="11">
        <f t="shared" si="271"/>
        <v>0</v>
      </c>
      <c r="AU339" s="11">
        <f t="shared" si="272"/>
        <v>0</v>
      </c>
      <c r="AV339" s="11">
        <f t="shared" si="273"/>
        <v>0</v>
      </c>
      <c r="AW339" s="11">
        <f t="shared" si="274"/>
        <v>0</v>
      </c>
      <c r="AX339" s="11">
        <f t="shared" si="275"/>
        <v>0</v>
      </c>
      <c r="AY339" s="11">
        <f t="shared" si="276"/>
        <v>0</v>
      </c>
    </row>
    <row r="340" spans="1:51">
      <c r="A340" s="15">
        <v>45265</v>
      </c>
      <c r="B340" s="436"/>
      <c r="C340" s="436"/>
      <c r="D340" s="436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11">
        <f t="shared" si="251"/>
        <v>0</v>
      </c>
      <c r="AA340" s="11">
        <f t="shared" si="252"/>
        <v>0</v>
      </c>
      <c r="AB340" s="11">
        <f t="shared" si="253"/>
        <v>0</v>
      </c>
      <c r="AC340" s="11">
        <f t="shared" si="254"/>
        <v>0</v>
      </c>
      <c r="AD340" s="11">
        <f t="shared" si="255"/>
        <v>0</v>
      </c>
      <c r="AE340" s="11">
        <f>G340-F340</f>
        <v>0</v>
      </c>
      <c r="AF340" s="11">
        <f>H340-G340</f>
        <v>0</v>
      </c>
      <c r="AG340" s="11">
        <f t="shared" si="258"/>
        <v>0</v>
      </c>
      <c r="AH340" s="11">
        <f t="shared" si="259"/>
        <v>0</v>
      </c>
      <c r="AI340" s="11">
        <f t="shared" si="260"/>
        <v>0</v>
      </c>
      <c r="AJ340" s="11">
        <f t="shared" si="261"/>
        <v>0</v>
      </c>
      <c r="AK340" s="11">
        <f t="shared" si="262"/>
        <v>0</v>
      </c>
      <c r="AL340" s="11">
        <f t="shared" si="263"/>
        <v>0</v>
      </c>
      <c r="AM340" s="11">
        <f t="shared" si="264"/>
        <v>0</v>
      </c>
      <c r="AN340" s="11">
        <f t="shared" si="265"/>
        <v>0</v>
      </c>
      <c r="AO340" s="11">
        <f t="shared" si="266"/>
        <v>0</v>
      </c>
      <c r="AP340" s="11">
        <f t="shared" si="267"/>
        <v>0</v>
      </c>
      <c r="AQ340" s="11">
        <f t="shared" si="268"/>
        <v>0</v>
      </c>
      <c r="AR340" s="11">
        <f t="shared" si="269"/>
        <v>0</v>
      </c>
      <c r="AS340" s="11">
        <f t="shared" si="270"/>
        <v>0</v>
      </c>
      <c r="AT340" s="11">
        <f t="shared" si="271"/>
        <v>0</v>
      </c>
      <c r="AU340" s="11">
        <f t="shared" si="272"/>
        <v>0</v>
      </c>
      <c r="AV340" s="11">
        <f t="shared" si="273"/>
        <v>0</v>
      </c>
      <c r="AW340" s="11">
        <f t="shared" si="274"/>
        <v>0</v>
      </c>
      <c r="AX340" s="11">
        <f t="shared" si="275"/>
        <v>0</v>
      </c>
      <c r="AY340" s="11">
        <f t="shared" si="276"/>
        <v>0</v>
      </c>
    </row>
    <row r="341" spans="1:51">
      <c r="A341" s="15">
        <v>45266</v>
      </c>
      <c r="B341" s="436"/>
      <c r="C341" s="436"/>
      <c r="D341" s="436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11">
        <f t="shared" si="251"/>
        <v>0</v>
      </c>
      <c r="AA341" s="11">
        <f t="shared" si="252"/>
        <v>0</v>
      </c>
      <c r="AB341" s="11">
        <f t="shared" si="253"/>
        <v>0</v>
      </c>
      <c r="AC341" s="11">
        <f t="shared" si="254"/>
        <v>0</v>
      </c>
      <c r="AD341" s="11">
        <f t="shared" si="255"/>
        <v>0</v>
      </c>
      <c r="AE341" s="11">
        <f t="shared" si="256"/>
        <v>0</v>
      </c>
      <c r="AF341" s="11">
        <f t="shared" si="257"/>
        <v>0</v>
      </c>
      <c r="AG341" s="11">
        <f t="shared" si="258"/>
        <v>0</v>
      </c>
      <c r="AH341" s="11">
        <f t="shared" si="259"/>
        <v>0</v>
      </c>
      <c r="AI341" s="11">
        <f t="shared" si="260"/>
        <v>0</v>
      </c>
      <c r="AJ341" s="11">
        <f t="shared" si="261"/>
        <v>0</v>
      </c>
      <c r="AK341" s="11">
        <f t="shared" si="262"/>
        <v>0</v>
      </c>
      <c r="AL341" s="11">
        <f t="shared" si="263"/>
        <v>0</v>
      </c>
      <c r="AM341" s="11">
        <f t="shared" si="264"/>
        <v>0</v>
      </c>
      <c r="AN341" s="11">
        <f t="shared" si="265"/>
        <v>0</v>
      </c>
      <c r="AO341" s="11">
        <f t="shared" si="266"/>
        <v>0</v>
      </c>
      <c r="AP341" s="11">
        <f t="shared" si="267"/>
        <v>0</v>
      </c>
      <c r="AQ341" s="11">
        <f t="shared" si="268"/>
        <v>0</v>
      </c>
      <c r="AR341" s="11">
        <f t="shared" si="269"/>
        <v>0</v>
      </c>
      <c r="AS341" s="11">
        <f t="shared" si="270"/>
        <v>0</v>
      </c>
      <c r="AT341" s="11">
        <f t="shared" si="271"/>
        <v>0</v>
      </c>
      <c r="AU341" s="11">
        <f t="shared" si="272"/>
        <v>0</v>
      </c>
      <c r="AV341" s="11">
        <f t="shared" si="273"/>
        <v>0</v>
      </c>
      <c r="AW341" s="11">
        <f t="shared" si="274"/>
        <v>0</v>
      </c>
      <c r="AX341" s="11">
        <f t="shared" si="275"/>
        <v>0</v>
      </c>
      <c r="AY341" s="11">
        <f t="shared" si="276"/>
        <v>0</v>
      </c>
    </row>
    <row r="342" spans="1:51">
      <c r="A342" s="15">
        <v>45267</v>
      </c>
      <c r="B342" s="436"/>
      <c r="C342" s="436"/>
      <c r="D342" s="436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11">
        <f t="shared" si="251"/>
        <v>0</v>
      </c>
      <c r="AA342" s="11">
        <f t="shared" si="252"/>
        <v>0</v>
      </c>
      <c r="AB342" s="11">
        <f t="shared" si="253"/>
        <v>0</v>
      </c>
      <c r="AC342" s="11">
        <f t="shared" si="254"/>
        <v>0</v>
      </c>
      <c r="AD342" s="11">
        <f t="shared" si="255"/>
        <v>0</v>
      </c>
      <c r="AE342" s="11">
        <f t="shared" si="256"/>
        <v>0</v>
      </c>
      <c r="AF342" s="11">
        <f t="shared" si="257"/>
        <v>0</v>
      </c>
      <c r="AG342" s="11">
        <f t="shared" si="258"/>
        <v>0</v>
      </c>
      <c r="AH342" s="11">
        <f t="shared" si="259"/>
        <v>0</v>
      </c>
      <c r="AI342" s="11">
        <f t="shared" si="260"/>
        <v>0</v>
      </c>
      <c r="AJ342" s="11">
        <f t="shared" si="261"/>
        <v>0</v>
      </c>
      <c r="AK342" s="11">
        <f t="shared" si="262"/>
        <v>0</v>
      </c>
      <c r="AL342" s="11">
        <f t="shared" si="263"/>
        <v>0</v>
      </c>
      <c r="AM342" s="11">
        <f t="shared" si="264"/>
        <v>0</v>
      </c>
      <c r="AN342" s="11">
        <f t="shared" si="265"/>
        <v>0</v>
      </c>
      <c r="AO342" s="11">
        <f t="shared" si="266"/>
        <v>0</v>
      </c>
      <c r="AP342" s="11">
        <f t="shared" si="267"/>
        <v>0</v>
      </c>
      <c r="AQ342" s="11">
        <f t="shared" si="268"/>
        <v>0</v>
      </c>
      <c r="AR342" s="11">
        <f t="shared" si="269"/>
        <v>0</v>
      </c>
      <c r="AS342" s="11">
        <f t="shared" si="270"/>
        <v>0</v>
      </c>
      <c r="AT342" s="11">
        <f t="shared" si="271"/>
        <v>0</v>
      </c>
      <c r="AU342" s="11">
        <f t="shared" si="272"/>
        <v>0</v>
      </c>
      <c r="AV342" s="11">
        <f t="shared" si="273"/>
        <v>0</v>
      </c>
      <c r="AW342" s="11">
        <f t="shared" si="274"/>
        <v>0</v>
      </c>
      <c r="AX342" s="11">
        <f t="shared" si="275"/>
        <v>0</v>
      </c>
      <c r="AY342" s="11">
        <f t="shared" si="276"/>
        <v>0</v>
      </c>
    </row>
    <row r="343" spans="1:51">
      <c r="A343" s="15">
        <v>45268</v>
      </c>
      <c r="B343" s="436"/>
      <c r="C343" s="436"/>
      <c r="D343" s="436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11">
        <f t="shared" si="251"/>
        <v>0</v>
      </c>
      <c r="AA343" s="11">
        <f t="shared" si="252"/>
        <v>0</v>
      </c>
      <c r="AB343" s="11">
        <f t="shared" si="253"/>
        <v>0</v>
      </c>
      <c r="AC343" s="11">
        <f t="shared" si="254"/>
        <v>0</v>
      </c>
      <c r="AD343" s="11">
        <f t="shared" si="255"/>
        <v>0</v>
      </c>
      <c r="AE343" s="11">
        <f t="shared" si="256"/>
        <v>0</v>
      </c>
      <c r="AF343" s="11">
        <f t="shared" si="257"/>
        <v>0</v>
      </c>
      <c r="AG343" s="11">
        <f t="shared" si="258"/>
        <v>0</v>
      </c>
      <c r="AH343" s="11">
        <f t="shared" si="259"/>
        <v>0</v>
      </c>
      <c r="AI343" s="11">
        <f t="shared" si="260"/>
        <v>0</v>
      </c>
      <c r="AJ343" s="11">
        <f t="shared" si="261"/>
        <v>0</v>
      </c>
      <c r="AK343" s="11">
        <f t="shared" si="262"/>
        <v>0</v>
      </c>
      <c r="AL343" s="11">
        <f t="shared" si="263"/>
        <v>0</v>
      </c>
      <c r="AM343" s="11">
        <f t="shared" si="264"/>
        <v>0</v>
      </c>
      <c r="AN343" s="11">
        <f t="shared" si="265"/>
        <v>0</v>
      </c>
      <c r="AO343" s="11">
        <f t="shared" si="266"/>
        <v>0</v>
      </c>
      <c r="AP343" s="11">
        <f t="shared" si="267"/>
        <v>0</v>
      </c>
      <c r="AQ343" s="11">
        <f t="shared" si="268"/>
        <v>0</v>
      </c>
      <c r="AR343" s="11">
        <f t="shared" si="269"/>
        <v>0</v>
      </c>
      <c r="AS343" s="11">
        <f t="shared" si="270"/>
        <v>0</v>
      </c>
      <c r="AT343" s="11">
        <f t="shared" si="271"/>
        <v>0</v>
      </c>
      <c r="AU343" s="11">
        <f t="shared" si="272"/>
        <v>0</v>
      </c>
      <c r="AV343" s="11">
        <f t="shared" si="273"/>
        <v>0</v>
      </c>
      <c r="AW343" s="11">
        <f t="shared" si="274"/>
        <v>0</v>
      </c>
      <c r="AX343" s="11">
        <f t="shared" si="275"/>
        <v>0</v>
      </c>
      <c r="AY343" s="11">
        <f t="shared" si="276"/>
        <v>0</v>
      </c>
    </row>
    <row r="344" spans="1:51">
      <c r="A344" s="15">
        <v>45269</v>
      </c>
      <c r="B344" s="436"/>
      <c r="C344" s="436"/>
      <c r="D344" s="436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11">
        <f t="shared" si="251"/>
        <v>0</v>
      </c>
      <c r="AA344" s="11">
        <f t="shared" si="252"/>
        <v>0</v>
      </c>
      <c r="AB344" s="11">
        <f t="shared" si="253"/>
        <v>0</v>
      </c>
      <c r="AC344" s="11">
        <f t="shared" si="254"/>
        <v>0</v>
      </c>
      <c r="AD344" s="11">
        <f t="shared" si="255"/>
        <v>0</v>
      </c>
      <c r="AE344" s="11">
        <f t="shared" si="256"/>
        <v>0</v>
      </c>
      <c r="AF344" s="11">
        <f t="shared" si="257"/>
        <v>0</v>
      </c>
      <c r="AG344" s="11">
        <f t="shared" si="258"/>
        <v>0</v>
      </c>
      <c r="AH344" s="11">
        <f t="shared" si="259"/>
        <v>0</v>
      </c>
      <c r="AI344" s="11">
        <f t="shared" si="260"/>
        <v>0</v>
      </c>
      <c r="AJ344" s="11">
        <f t="shared" si="261"/>
        <v>0</v>
      </c>
      <c r="AK344" s="11">
        <f t="shared" si="262"/>
        <v>0</v>
      </c>
      <c r="AL344" s="11">
        <f t="shared" si="263"/>
        <v>0</v>
      </c>
      <c r="AM344" s="11">
        <f t="shared" si="264"/>
        <v>0</v>
      </c>
      <c r="AN344" s="11">
        <f t="shared" si="265"/>
        <v>0</v>
      </c>
      <c r="AO344" s="11">
        <f t="shared" si="266"/>
        <v>0</v>
      </c>
      <c r="AP344" s="11">
        <f t="shared" si="267"/>
        <v>0</v>
      </c>
      <c r="AQ344" s="11">
        <f t="shared" si="268"/>
        <v>0</v>
      </c>
      <c r="AR344" s="11">
        <f t="shared" si="269"/>
        <v>0</v>
      </c>
      <c r="AS344" s="11">
        <f t="shared" si="270"/>
        <v>0</v>
      </c>
      <c r="AT344" s="11">
        <f t="shared" si="271"/>
        <v>0</v>
      </c>
      <c r="AU344" s="11">
        <f t="shared" si="272"/>
        <v>0</v>
      </c>
      <c r="AV344" s="11">
        <f t="shared" si="273"/>
        <v>0</v>
      </c>
      <c r="AW344" s="11">
        <f t="shared" si="274"/>
        <v>0</v>
      </c>
      <c r="AX344" s="11">
        <f t="shared" si="275"/>
        <v>0</v>
      </c>
      <c r="AY344" s="11">
        <f t="shared" si="276"/>
        <v>0</v>
      </c>
    </row>
    <row r="345" spans="1:51">
      <c r="A345" s="15">
        <v>45270</v>
      </c>
      <c r="B345" s="436"/>
      <c r="C345" s="436"/>
      <c r="D345" s="436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11">
        <f t="shared" si="251"/>
        <v>0</v>
      </c>
      <c r="AA345" s="11">
        <f t="shared" si="252"/>
        <v>0</v>
      </c>
      <c r="AB345" s="11">
        <f t="shared" si="253"/>
        <v>0</v>
      </c>
      <c r="AC345" s="11">
        <f t="shared" si="254"/>
        <v>0</v>
      </c>
      <c r="AD345" s="11">
        <f t="shared" si="255"/>
        <v>0</v>
      </c>
      <c r="AE345" s="11">
        <f t="shared" si="256"/>
        <v>0</v>
      </c>
      <c r="AF345" s="11">
        <f t="shared" si="257"/>
        <v>0</v>
      </c>
      <c r="AG345" s="11">
        <f t="shared" si="258"/>
        <v>0</v>
      </c>
      <c r="AH345" s="11">
        <f t="shared" si="259"/>
        <v>0</v>
      </c>
      <c r="AI345" s="11">
        <f t="shared" si="260"/>
        <v>0</v>
      </c>
      <c r="AJ345" s="11">
        <f t="shared" si="261"/>
        <v>0</v>
      </c>
      <c r="AK345" s="11">
        <f t="shared" si="262"/>
        <v>0</v>
      </c>
      <c r="AL345" s="11">
        <f t="shared" si="263"/>
        <v>0</v>
      </c>
      <c r="AM345" s="11">
        <f t="shared" si="264"/>
        <v>0</v>
      </c>
      <c r="AN345" s="11">
        <f t="shared" si="265"/>
        <v>0</v>
      </c>
      <c r="AO345" s="11">
        <f t="shared" si="266"/>
        <v>0</v>
      </c>
      <c r="AP345" s="11">
        <f t="shared" si="267"/>
        <v>0</v>
      </c>
      <c r="AQ345" s="11">
        <f t="shared" si="268"/>
        <v>0</v>
      </c>
      <c r="AR345" s="11">
        <f t="shared" si="269"/>
        <v>0</v>
      </c>
      <c r="AS345" s="11">
        <f t="shared" si="270"/>
        <v>0</v>
      </c>
      <c r="AT345" s="11">
        <f t="shared" si="271"/>
        <v>0</v>
      </c>
      <c r="AU345" s="11">
        <f t="shared" si="272"/>
        <v>0</v>
      </c>
      <c r="AV345" s="11">
        <f t="shared" si="273"/>
        <v>0</v>
      </c>
      <c r="AW345" s="11">
        <f t="shared" si="274"/>
        <v>0</v>
      </c>
      <c r="AX345" s="11">
        <f t="shared" si="275"/>
        <v>0</v>
      </c>
      <c r="AY345" s="11">
        <f t="shared" si="276"/>
        <v>0</v>
      </c>
    </row>
    <row r="346" spans="1:51">
      <c r="A346" s="15">
        <v>45271</v>
      </c>
      <c r="B346" s="436"/>
      <c r="C346" s="436"/>
      <c r="D346" s="436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11">
        <f t="shared" si="251"/>
        <v>0</v>
      </c>
      <c r="AA346" s="11">
        <f t="shared" si="252"/>
        <v>0</v>
      </c>
      <c r="AB346" s="11">
        <f t="shared" si="253"/>
        <v>0</v>
      </c>
      <c r="AC346" s="11">
        <f t="shared" si="254"/>
        <v>0</v>
      </c>
      <c r="AD346" s="11">
        <f t="shared" si="255"/>
        <v>0</v>
      </c>
      <c r="AE346" s="11">
        <f t="shared" si="256"/>
        <v>0</v>
      </c>
      <c r="AF346" s="11">
        <f t="shared" si="257"/>
        <v>0</v>
      </c>
      <c r="AG346" s="11">
        <f t="shared" si="258"/>
        <v>0</v>
      </c>
      <c r="AH346" s="11">
        <f t="shared" si="259"/>
        <v>0</v>
      </c>
      <c r="AI346" s="11">
        <f t="shared" si="260"/>
        <v>0</v>
      </c>
      <c r="AJ346" s="11">
        <f t="shared" si="261"/>
        <v>0</v>
      </c>
      <c r="AK346" s="11">
        <f t="shared" si="262"/>
        <v>0</v>
      </c>
      <c r="AL346" s="11">
        <f t="shared" si="263"/>
        <v>0</v>
      </c>
      <c r="AM346" s="11">
        <f t="shared" si="264"/>
        <v>0</v>
      </c>
      <c r="AN346" s="11">
        <f t="shared" si="265"/>
        <v>0</v>
      </c>
      <c r="AO346" s="11">
        <f t="shared" si="266"/>
        <v>0</v>
      </c>
      <c r="AP346" s="11">
        <f t="shared" si="267"/>
        <v>0</v>
      </c>
      <c r="AQ346" s="11">
        <f t="shared" si="268"/>
        <v>0</v>
      </c>
      <c r="AR346" s="11">
        <f t="shared" si="269"/>
        <v>0</v>
      </c>
      <c r="AS346" s="11">
        <f t="shared" si="270"/>
        <v>0</v>
      </c>
      <c r="AT346" s="11">
        <f t="shared" si="271"/>
        <v>0</v>
      </c>
      <c r="AU346" s="11">
        <f t="shared" si="272"/>
        <v>0</v>
      </c>
      <c r="AV346" s="11">
        <f t="shared" si="273"/>
        <v>0</v>
      </c>
      <c r="AW346" s="11">
        <f t="shared" si="274"/>
        <v>0</v>
      </c>
      <c r="AX346" s="11">
        <f t="shared" si="275"/>
        <v>0</v>
      </c>
      <c r="AY346" s="11">
        <f t="shared" si="276"/>
        <v>0</v>
      </c>
    </row>
    <row r="347" spans="1:51">
      <c r="A347" s="15">
        <v>45272</v>
      </c>
      <c r="B347" s="436"/>
      <c r="C347" s="436"/>
      <c r="D347" s="436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11">
        <f t="shared" si="251"/>
        <v>0</v>
      </c>
      <c r="AA347" s="11">
        <f t="shared" si="252"/>
        <v>0</v>
      </c>
      <c r="AB347" s="11">
        <f t="shared" si="253"/>
        <v>0</v>
      </c>
      <c r="AC347" s="11">
        <f t="shared" si="254"/>
        <v>0</v>
      </c>
      <c r="AD347" s="11">
        <f t="shared" si="255"/>
        <v>0</v>
      </c>
      <c r="AE347" s="11">
        <f t="shared" si="256"/>
        <v>0</v>
      </c>
      <c r="AF347" s="11">
        <f t="shared" si="257"/>
        <v>0</v>
      </c>
      <c r="AG347" s="11">
        <f t="shared" si="258"/>
        <v>0</v>
      </c>
      <c r="AH347" s="11">
        <f t="shared" si="259"/>
        <v>0</v>
      </c>
      <c r="AI347" s="11">
        <f t="shared" si="260"/>
        <v>0</v>
      </c>
      <c r="AJ347" s="11">
        <f t="shared" si="261"/>
        <v>0</v>
      </c>
      <c r="AK347" s="11">
        <f t="shared" si="262"/>
        <v>0</v>
      </c>
      <c r="AL347" s="11">
        <f t="shared" si="263"/>
        <v>0</v>
      </c>
      <c r="AM347" s="11">
        <f t="shared" si="264"/>
        <v>0</v>
      </c>
      <c r="AN347" s="11">
        <f t="shared" si="265"/>
        <v>0</v>
      </c>
      <c r="AO347" s="11">
        <f t="shared" si="266"/>
        <v>0</v>
      </c>
      <c r="AP347" s="11">
        <f t="shared" si="267"/>
        <v>0</v>
      </c>
      <c r="AQ347" s="11">
        <f t="shared" si="268"/>
        <v>0</v>
      </c>
      <c r="AR347" s="11">
        <f t="shared" si="269"/>
        <v>0</v>
      </c>
      <c r="AS347" s="11">
        <f t="shared" si="270"/>
        <v>0</v>
      </c>
      <c r="AT347" s="11">
        <f t="shared" si="271"/>
        <v>0</v>
      </c>
      <c r="AU347" s="11">
        <f t="shared" si="272"/>
        <v>0</v>
      </c>
      <c r="AV347" s="11">
        <f t="shared" si="273"/>
        <v>0</v>
      </c>
      <c r="AW347" s="11">
        <f t="shared" si="274"/>
        <v>0</v>
      </c>
      <c r="AX347" s="11">
        <f t="shared" si="275"/>
        <v>0</v>
      </c>
      <c r="AY347" s="11">
        <f t="shared" si="276"/>
        <v>0</v>
      </c>
    </row>
    <row r="348" spans="1:51">
      <c r="A348" s="15">
        <v>45273</v>
      </c>
      <c r="B348" s="436"/>
      <c r="C348" s="436"/>
      <c r="D348" s="436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11">
        <f t="shared" si="251"/>
        <v>0</v>
      </c>
      <c r="AA348" s="11">
        <f t="shared" si="252"/>
        <v>0</v>
      </c>
      <c r="AB348" s="11">
        <f t="shared" si="253"/>
        <v>0</v>
      </c>
      <c r="AC348" s="11">
        <f t="shared" si="254"/>
        <v>0</v>
      </c>
      <c r="AD348" s="11">
        <f t="shared" si="255"/>
        <v>0</v>
      </c>
      <c r="AE348" s="11">
        <f t="shared" si="256"/>
        <v>0</v>
      </c>
      <c r="AF348" s="11">
        <f t="shared" si="257"/>
        <v>0</v>
      </c>
      <c r="AG348" s="11">
        <f t="shared" si="258"/>
        <v>0</v>
      </c>
      <c r="AH348" s="11">
        <f t="shared" si="259"/>
        <v>0</v>
      </c>
      <c r="AI348" s="11">
        <f t="shared" si="260"/>
        <v>0</v>
      </c>
      <c r="AJ348" s="11">
        <f t="shared" si="261"/>
        <v>0</v>
      </c>
      <c r="AK348" s="11">
        <f t="shared" si="262"/>
        <v>0</v>
      </c>
      <c r="AL348" s="11">
        <f t="shared" si="263"/>
        <v>0</v>
      </c>
      <c r="AM348" s="11">
        <f t="shared" si="264"/>
        <v>0</v>
      </c>
      <c r="AN348" s="11">
        <f t="shared" si="265"/>
        <v>0</v>
      </c>
      <c r="AO348" s="11">
        <f t="shared" si="266"/>
        <v>0</v>
      </c>
      <c r="AP348" s="11">
        <f t="shared" si="267"/>
        <v>0</v>
      </c>
      <c r="AQ348" s="11">
        <f t="shared" si="268"/>
        <v>0</v>
      </c>
      <c r="AR348" s="11">
        <f t="shared" si="269"/>
        <v>0</v>
      </c>
      <c r="AS348" s="11">
        <f t="shared" si="270"/>
        <v>0</v>
      </c>
      <c r="AT348" s="11">
        <f t="shared" si="271"/>
        <v>0</v>
      </c>
      <c r="AU348" s="11">
        <f t="shared" si="272"/>
        <v>0</v>
      </c>
      <c r="AV348" s="11">
        <f t="shared" si="273"/>
        <v>0</v>
      </c>
      <c r="AW348" s="11">
        <f t="shared" si="274"/>
        <v>0</v>
      </c>
      <c r="AX348" s="11">
        <f t="shared" si="275"/>
        <v>0</v>
      </c>
      <c r="AY348" s="11">
        <f t="shared" si="276"/>
        <v>0</v>
      </c>
    </row>
    <row r="349" spans="1:51">
      <c r="A349" s="15">
        <v>45274</v>
      </c>
      <c r="B349" s="436"/>
      <c r="C349" s="436"/>
      <c r="D349" s="436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11">
        <f t="shared" si="251"/>
        <v>0</v>
      </c>
      <c r="AA349" s="11">
        <f t="shared" si="252"/>
        <v>0</v>
      </c>
      <c r="AB349" s="11">
        <f t="shared" si="253"/>
        <v>0</v>
      </c>
      <c r="AC349" s="11">
        <f t="shared" si="254"/>
        <v>0</v>
      </c>
      <c r="AD349" s="11">
        <f t="shared" si="255"/>
        <v>0</v>
      </c>
      <c r="AE349" s="11">
        <f t="shared" si="256"/>
        <v>0</v>
      </c>
      <c r="AF349" s="11">
        <f t="shared" si="257"/>
        <v>0</v>
      </c>
      <c r="AG349" s="11">
        <f t="shared" si="258"/>
        <v>0</v>
      </c>
      <c r="AH349" s="11">
        <f t="shared" si="259"/>
        <v>0</v>
      </c>
      <c r="AI349" s="11">
        <f t="shared" si="260"/>
        <v>0</v>
      </c>
      <c r="AJ349" s="11">
        <f t="shared" si="261"/>
        <v>0</v>
      </c>
      <c r="AK349" s="11">
        <f t="shared" si="262"/>
        <v>0</v>
      </c>
      <c r="AL349" s="11">
        <f t="shared" si="263"/>
        <v>0</v>
      </c>
      <c r="AM349" s="11">
        <f t="shared" si="264"/>
        <v>0</v>
      </c>
      <c r="AN349" s="11">
        <f t="shared" si="265"/>
        <v>0</v>
      </c>
      <c r="AO349" s="11">
        <f t="shared" si="266"/>
        <v>0</v>
      </c>
      <c r="AP349" s="11">
        <f t="shared" si="267"/>
        <v>0</v>
      </c>
      <c r="AQ349" s="11">
        <f t="shared" si="268"/>
        <v>0</v>
      </c>
      <c r="AR349" s="11">
        <f t="shared" si="269"/>
        <v>0</v>
      </c>
      <c r="AS349" s="11">
        <f t="shared" si="270"/>
        <v>0</v>
      </c>
      <c r="AT349" s="11">
        <f t="shared" si="271"/>
        <v>0</v>
      </c>
      <c r="AU349" s="11">
        <f t="shared" si="272"/>
        <v>0</v>
      </c>
      <c r="AV349" s="11">
        <f t="shared" si="273"/>
        <v>0</v>
      </c>
      <c r="AW349" s="11">
        <f t="shared" si="274"/>
        <v>0</v>
      </c>
      <c r="AX349" s="11">
        <f t="shared" si="275"/>
        <v>0</v>
      </c>
      <c r="AY349" s="11">
        <f t="shared" si="276"/>
        <v>0</v>
      </c>
    </row>
    <row r="350" spans="1:51">
      <c r="A350" s="15">
        <v>45275</v>
      </c>
      <c r="B350" s="436"/>
      <c r="C350" s="436"/>
      <c r="D350" s="436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11">
        <f t="shared" si="251"/>
        <v>0</v>
      </c>
      <c r="AA350" s="11">
        <f t="shared" si="252"/>
        <v>0</v>
      </c>
      <c r="AB350" s="11">
        <f t="shared" si="253"/>
        <v>0</v>
      </c>
      <c r="AC350" s="11">
        <f t="shared" si="254"/>
        <v>0</v>
      </c>
      <c r="AD350" s="11">
        <f t="shared" si="255"/>
        <v>0</v>
      </c>
      <c r="AE350" s="11">
        <f t="shared" si="256"/>
        <v>0</v>
      </c>
      <c r="AF350" s="11">
        <f t="shared" si="257"/>
        <v>0</v>
      </c>
      <c r="AG350" s="11">
        <f t="shared" si="258"/>
        <v>0</v>
      </c>
      <c r="AH350" s="11">
        <f t="shared" si="259"/>
        <v>0</v>
      </c>
      <c r="AI350" s="11">
        <f t="shared" si="260"/>
        <v>0</v>
      </c>
      <c r="AJ350" s="11">
        <f t="shared" si="261"/>
        <v>0</v>
      </c>
      <c r="AK350" s="11">
        <f t="shared" si="262"/>
        <v>0</v>
      </c>
      <c r="AL350" s="11">
        <f t="shared" si="263"/>
        <v>0</v>
      </c>
      <c r="AM350" s="11">
        <f t="shared" si="264"/>
        <v>0</v>
      </c>
      <c r="AN350" s="11">
        <f t="shared" si="265"/>
        <v>0</v>
      </c>
      <c r="AO350" s="11">
        <f t="shared" si="266"/>
        <v>0</v>
      </c>
      <c r="AP350" s="11">
        <f t="shared" si="267"/>
        <v>0</v>
      </c>
      <c r="AQ350" s="11">
        <f t="shared" si="268"/>
        <v>0</v>
      </c>
      <c r="AR350" s="11">
        <f t="shared" si="269"/>
        <v>0</v>
      </c>
      <c r="AS350" s="11">
        <f t="shared" si="270"/>
        <v>0</v>
      </c>
      <c r="AT350" s="11">
        <f t="shared" si="271"/>
        <v>0</v>
      </c>
      <c r="AU350" s="11">
        <f t="shared" si="272"/>
        <v>0</v>
      </c>
      <c r="AV350" s="11">
        <f t="shared" si="273"/>
        <v>0</v>
      </c>
      <c r="AW350" s="11">
        <f t="shared" si="274"/>
        <v>0</v>
      </c>
      <c r="AX350" s="11">
        <f t="shared" si="275"/>
        <v>0</v>
      </c>
      <c r="AY350" s="11">
        <f t="shared" si="276"/>
        <v>0</v>
      </c>
    </row>
    <row r="351" spans="1:51">
      <c r="A351" s="15">
        <v>45276</v>
      </c>
      <c r="B351" s="436"/>
      <c r="C351" s="436"/>
      <c r="D351" s="436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11">
        <f t="shared" si="251"/>
        <v>0</v>
      </c>
      <c r="AA351" s="11">
        <f t="shared" si="252"/>
        <v>0</v>
      </c>
      <c r="AB351" s="11">
        <f t="shared" si="253"/>
        <v>0</v>
      </c>
      <c r="AC351" s="11">
        <f t="shared" si="254"/>
        <v>0</v>
      </c>
      <c r="AD351" s="11">
        <f t="shared" si="255"/>
        <v>0</v>
      </c>
      <c r="AE351" s="11">
        <f t="shared" si="256"/>
        <v>0</v>
      </c>
      <c r="AF351" s="11">
        <f t="shared" si="257"/>
        <v>0</v>
      </c>
      <c r="AG351" s="11">
        <f t="shared" si="258"/>
        <v>0</v>
      </c>
      <c r="AH351" s="11">
        <f t="shared" si="259"/>
        <v>0</v>
      </c>
      <c r="AI351" s="11">
        <f t="shared" si="260"/>
        <v>0</v>
      </c>
      <c r="AJ351" s="11">
        <f t="shared" si="261"/>
        <v>0</v>
      </c>
      <c r="AK351" s="11">
        <f t="shared" si="262"/>
        <v>0</v>
      </c>
      <c r="AL351" s="11">
        <f t="shared" si="263"/>
        <v>0</v>
      </c>
      <c r="AM351" s="11">
        <f t="shared" si="264"/>
        <v>0</v>
      </c>
      <c r="AN351" s="11">
        <f t="shared" si="265"/>
        <v>0</v>
      </c>
      <c r="AO351" s="11">
        <f t="shared" si="266"/>
        <v>0</v>
      </c>
      <c r="AP351" s="11">
        <f t="shared" si="267"/>
        <v>0</v>
      </c>
      <c r="AQ351" s="11">
        <f t="shared" si="268"/>
        <v>0</v>
      </c>
      <c r="AR351" s="11">
        <f t="shared" si="269"/>
        <v>0</v>
      </c>
      <c r="AS351" s="11">
        <f t="shared" si="270"/>
        <v>0</v>
      </c>
      <c r="AT351" s="11">
        <f t="shared" si="271"/>
        <v>0</v>
      </c>
      <c r="AU351" s="11">
        <f t="shared" si="272"/>
        <v>0</v>
      </c>
      <c r="AV351" s="11">
        <f t="shared" si="273"/>
        <v>0</v>
      </c>
      <c r="AW351" s="11">
        <f t="shared" si="274"/>
        <v>0</v>
      </c>
      <c r="AX351" s="11">
        <f t="shared" si="275"/>
        <v>0</v>
      </c>
      <c r="AY351" s="11">
        <f t="shared" si="276"/>
        <v>0</v>
      </c>
    </row>
    <row r="352" spans="1:51">
      <c r="A352" s="15">
        <v>45277</v>
      </c>
      <c r="B352" s="436"/>
      <c r="C352" s="436"/>
      <c r="D352" s="436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11">
        <f t="shared" si="251"/>
        <v>0</v>
      </c>
      <c r="AA352" s="11">
        <f t="shared" si="252"/>
        <v>0</v>
      </c>
      <c r="AB352" s="11">
        <f t="shared" si="253"/>
        <v>0</v>
      </c>
      <c r="AC352" s="11">
        <f t="shared" si="254"/>
        <v>0</v>
      </c>
      <c r="AD352" s="11">
        <f t="shared" si="255"/>
        <v>0</v>
      </c>
      <c r="AE352" s="11">
        <f t="shared" si="256"/>
        <v>0</v>
      </c>
      <c r="AF352" s="11">
        <f t="shared" si="257"/>
        <v>0</v>
      </c>
      <c r="AG352" s="11">
        <f t="shared" si="258"/>
        <v>0</v>
      </c>
      <c r="AH352" s="11">
        <f t="shared" si="259"/>
        <v>0</v>
      </c>
      <c r="AI352" s="11">
        <f t="shared" si="260"/>
        <v>0</v>
      </c>
      <c r="AJ352" s="11">
        <f t="shared" si="261"/>
        <v>0</v>
      </c>
      <c r="AK352" s="11">
        <f t="shared" si="262"/>
        <v>0</v>
      </c>
      <c r="AL352" s="11">
        <f t="shared" si="263"/>
        <v>0</v>
      </c>
      <c r="AM352" s="11">
        <f t="shared" si="264"/>
        <v>0</v>
      </c>
      <c r="AN352" s="11">
        <f t="shared" si="265"/>
        <v>0</v>
      </c>
      <c r="AO352" s="11">
        <f t="shared" si="266"/>
        <v>0</v>
      </c>
      <c r="AP352" s="11">
        <f t="shared" si="267"/>
        <v>0</v>
      </c>
      <c r="AQ352" s="11">
        <f t="shared" si="268"/>
        <v>0</v>
      </c>
      <c r="AR352" s="11">
        <f t="shared" si="269"/>
        <v>0</v>
      </c>
      <c r="AS352" s="11">
        <f t="shared" si="270"/>
        <v>0</v>
      </c>
      <c r="AT352" s="11">
        <f t="shared" si="271"/>
        <v>0</v>
      </c>
      <c r="AU352" s="11">
        <f t="shared" si="272"/>
        <v>0</v>
      </c>
      <c r="AV352" s="11">
        <f t="shared" si="273"/>
        <v>0</v>
      </c>
      <c r="AW352" s="11">
        <f t="shared" si="274"/>
        <v>0</v>
      </c>
      <c r="AX352" s="11">
        <f t="shared" si="275"/>
        <v>0</v>
      </c>
      <c r="AY352" s="11">
        <f t="shared" si="276"/>
        <v>0</v>
      </c>
    </row>
    <row r="353" spans="1:51">
      <c r="A353" s="15">
        <v>45278</v>
      </c>
      <c r="B353" s="436"/>
      <c r="C353" s="436"/>
      <c r="D353" s="436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11">
        <f t="shared" si="251"/>
        <v>0</v>
      </c>
      <c r="AA353" s="11">
        <f t="shared" si="252"/>
        <v>0</v>
      </c>
      <c r="AB353" s="11">
        <f t="shared" si="253"/>
        <v>0</v>
      </c>
      <c r="AC353" s="11">
        <f t="shared" si="254"/>
        <v>0</v>
      </c>
      <c r="AD353" s="11">
        <f t="shared" si="255"/>
        <v>0</v>
      </c>
      <c r="AE353" s="11">
        <f t="shared" si="256"/>
        <v>0</v>
      </c>
      <c r="AF353" s="11">
        <f t="shared" si="257"/>
        <v>0</v>
      </c>
      <c r="AG353" s="11">
        <f t="shared" si="258"/>
        <v>0</v>
      </c>
      <c r="AH353" s="11">
        <f t="shared" si="259"/>
        <v>0</v>
      </c>
      <c r="AI353" s="11">
        <f t="shared" si="260"/>
        <v>0</v>
      </c>
      <c r="AJ353" s="11">
        <f t="shared" si="261"/>
        <v>0</v>
      </c>
      <c r="AK353" s="11">
        <f t="shared" si="262"/>
        <v>0</v>
      </c>
      <c r="AL353" s="11">
        <f t="shared" si="263"/>
        <v>0</v>
      </c>
      <c r="AM353" s="11">
        <f t="shared" si="264"/>
        <v>0</v>
      </c>
      <c r="AN353" s="11">
        <f t="shared" si="265"/>
        <v>0</v>
      </c>
      <c r="AO353" s="11">
        <f t="shared" si="266"/>
        <v>0</v>
      </c>
      <c r="AP353" s="11">
        <f t="shared" si="267"/>
        <v>0</v>
      </c>
      <c r="AQ353" s="11">
        <f t="shared" si="268"/>
        <v>0</v>
      </c>
      <c r="AR353" s="11">
        <f t="shared" si="269"/>
        <v>0</v>
      </c>
      <c r="AS353" s="11">
        <f t="shared" si="270"/>
        <v>0</v>
      </c>
      <c r="AT353" s="11">
        <f t="shared" si="271"/>
        <v>0</v>
      </c>
      <c r="AU353" s="11">
        <f t="shared" si="272"/>
        <v>0</v>
      </c>
      <c r="AV353" s="11">
        <f t="shared" si="273"/>
        <v>0</v>
      </c>
      <c r="AW353" s="11">
        <f t="shared" si="274"/>
        <v>0</v>
      </c>
      <c r="AX353" s="11">
        <f t="shared" si="275"/>
        <v>0</v>
      </c>
      <c r="AY353" s="11">
        <f t="shared" si="276"/>
        <v>0</v>
      </c>
    </row>
    <row r="354" spans="1:51">
      <c r="A354" s="15">
        <v>45279</v>
      </c>
      <c r="B354" s="436"/>
      <c r="C354" s="436"/>
      <c r="D354" s="436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11">
        <f t="shared" si="251"/>
        <v>0</v>
      </c>
      <c r="AA354" s="11">
        <f t="shared" si="252"/>
        <v>0</v>
      </c>
      <c r="AB354" s="11">
        <f t="shared" si="253"/>
        <v>0</v>
      </c>
      <c r="AC354" s="11">
        <f t="shared" si="254"/>
        <v>0</v>
      </c>
      <c r="AD354" s="11">
        <f t="shared" si="255"/>
        <v>0</v>
      </c>
      <c r="AE354" s="11">
        <f t="shared" si="256"/>
        <v>0</v>
      </c>
      <c r="AF354" s="11">
        <f t="shared" si="257"/>
        <v>0</v>
      </c>
      <c r="AG354" s="11">
        <f t="shared" si="258"/>
        <v>0</v>
      </c>
      <c r="AH354" s="11">
        <f t="shared" si="259"/>
        <v>0</v>
      </c>
      <c r="AI354" s="11">
        <f t="shared" si="260"/>
        <v>0</v>
      </c>
      <c r="AJ354" s="11">
        <f t="shared" si="261"/>
        <v>0</v>
      </c>
      <c r="AK354" s="11">
        <f t="shared" si="262"/>
        <v>0</v>
      </c>
      <c r="AL354" s="11">
        <f t="shared" si="263"/>
        <v>0</v>
      </c>
      <c r="AM354" s="11">
        <f t="shared" si="264"/>
        <v>0</v>
      </c>
      <c r="AN354" s="11">
        <f t="shared" si="265"/>
        <v>0</v>
      </c>
      <c r="AO354" s="11">
        <f t="shared" si="266"/>
        <v>0</v>
      </c>
      <c r="AP354" s="11">
        <f t="shared" si="267"/>
        <v>0</v>
      </c>
      <c r="AQ354" s="11">
        <f t="shared" si="268"/>
        <v>0</v>
      </c>
      <c r="AR354" s="11">
        <f t="shared" si="269"/>
        <v>0</v>
      </c>
      <c r="AS354" s="11">
        <f t="shared" si="270"/>
        <v>0</v>
      </c>
      <c r="AT354" s="11">
        <f t="shared" si="271"/>
        <v>0</v>
      </c>
      <c r="AU354" s="11">
        <f t="shared" si="272"/>
        <v>0</v>
      </c>
      <c r="AV354" s="11">
        <f t="shared" si="273"/>
        <v>0</v>
      </c>
      <c r="AW354" s="11">
        <f t="shared" si="274"/>
        <v>0</v>
      </c>
      <c r="AX354" s="11">
        <f t="shared" si="275"/>
        <v>0</v>
      </c>
      <c r="AY354" s="11">
        <f t="shared" si="276"/>
        <v>0</v>
      </c>
    </row>
    <row r="355" spans="1:51">
      <c r="A355" s="15">
        <v>45280</v>
      </c>
      <c r="B355" s="436"/>
      <c r="C355" s="436"/>
      <c r="D355" s="436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11">
        <f t="shared" si="251"/>
        <v>0</v>
      </c>
      <c r="AA355" s="11">
        <f t="shared" si="252"/>
        <v>0</v>
      </c>
      <c r="AB355" s="11">
        <f t="shared" si="253"/>
        <v>0</v>
      </c>
      <c r="AC355" s="11">
        <f t="shared" si="254"/>
        <v>0</v>
      </c>
      <c r="AD355" s="11">
        <f t="shared" si="255"/>
        <v>0</v>
      </c>
      <c r="AE355" s="11">
        <f t="shared" si="256"/>
        <v>0</v>
      </c>
      <c r="AF355" s="11">
        <f t="shared" si="257"/>
        <v>0</v>
      </c>
      <c r="AG355" s="11">
        <f t="shared" si="258"/>
        <v>0</v>
      </c>
      <c r="AH355" s="11">
        <f t="shared" si="259"/>
        <v>0</v>
      </c>
      <c r="AI355" s="11">
        <f t="shared" si="260"/>
        <v>0</v>
      </c>
      <c r="AJ355" s="11">
        <f t="shared" si="261"/>
        <v>0</v>
      </c>
      <c r="AK355" s="11">
        <f t="shared" si="262"/>
        <v>0</v>
      </c>
      <c r="AL355" s="11">
        <f t="shared" si="263"/>
        <v>0</v>
      </c>
      <c r="AM355" s="11">
        <f t="shared" si="264"/>
        <v>0</v>
      </c>
      <c r="AN355" s="11">
        <f t="shared" si="265"/>
        <v>0</v>
      </c>
      <c r="AO355" s="11">
        <f t="shared" si="266"/>
        <v>0</v>
      </c>
      <c r="AP355" s="11">
        <f t="shared" si="267"/>
        <v>0</v>
      </c>
      <c r="AQ355" s="11">
        <f t="shared" si="268"/>
        <v>0</v>
      </c>
      <c r="AR355" s="11">
        <f t="shared" si="269"/>
        <v>0</v>
      </c>
      <c r="AS355" s="11">
        <f t="shared" si="270"/>
        <v>0</v>
      </c>
      <c r="AT355" s="11">
        <f t="shared" si="271"/>
        <v>0</v>
      </c>
      <c r="AU355" s="11">
        <f t="shared" si="272"/>
        <v>0</v>
      </c>
      <c r="AV355" s="11">
        <f t="shared" si="273"/>
        <v>0</v>
      </c>
      <c r="AW355" s="11">
        <f t="shared" si="274"/>
        <v>0</v>
      </c>
      <c r="AX355" s="11">
        <f t="shared" si="275"/>
        <v>0</v>
      </c>
      <c r="AY355" s="11">
        <f t="shared" si="276"/>
        <v>0</v>
      </c>
    </row>
    <row r="356" spans="1:51">
      <c r="A356" s="15">
        <v>45281</v>
      </c>
      <c r="B356" s="436"/>
      <c r="C356" s="436"/>
      <c r="D356" s="436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11">
        <f t="shared" si="251"/>
        <v>0</v>
      </c>
      <c r="AA356" s="11">
        <f t="shared" si="252"/>
        <v>0</v>
      </c>
      <c r="AB356" s="11">
        <f t="shared" si="253"/>
        <v>0</v>
      </c>
      <c r="AC356" s="11">
        <f t="shared" si="254"/>
        <v>0</v>
      </c>
      <c r="AD356" s="11">
        <f t="shared" si="255"/>
        <v>0</v>
      </c>
      <c r="AE356" s="11">
        <f t="shared" si="256"/>
        <v>0</v>
      </c>
      <c r="AF356" s="11">
        <f t="shared" si="257"/>
        <v>0</v>
      </c>
      <c r="AG356" s="11">
        <f t="shared" si="258"/>
        <v>0</v>
      </c>
      <c r="AH356" s="11">
        <f t="shared" si="259"/>
        <v>0</v>
      </c>
      <c r="AI356" s="11">
        <f t="shared" si="260"/>
        <v>0</v>
      </c>
      <c r="AJ356" s="11">
        <f t="shared" si="261"/>
        <v>0</v>
      </c>
      <c r="AK356" s="11">
        <f t="shared" si="262"/>
        <v>0</v>
      </c>
      <c r="AL356" s="11">
        <f t="shared" si="263"/>
        <v>0</v>
      </c>
      <c r="AM356" s="11">
        <f t="shared" si="264"/>
        <v>0</v>
      </c>
      <c r="AN356" s="11">
        <f t="shared" si="265"/>
        <v>0</v>
      </c>
      <c r="AO356" s="11">
        <f t="shared" si="266"/>
        <v>0</v>
      </c>
      <c r="AP356" s="11">
        <f t="shared" si="267"/>
        <v>0</v>
      </c>
      <c r="AQ356" s="11">
        <f t="shared" si="268"/>
        <v>0</v>
      </c>
      <c r="AR356" s="11">
        <f t="shared" si="269"/>
        <v>0</v>
      </c>
      <c r="AS356" s="11">
        <f t="shared" si="270"/>
        <v>0</v>
      </c>
      <c r="AT356" s="11">
        <f t="shared" si="271"/>
        <v>0</v>
      </c>
      <c r="AU356" s="11">
        <f t="shared" si="272"/>
        <v>0</v>
      </c>
      <c r="AV356" s="11">
        <f t="shared" si="273"/>
        <v>0</v>
      </c>
      <c r="AW356" s="11">
        <f t="shared" si="274"/>
        <v>0</v>
      </c>
      <c r="AX356" s="11">
        <f t="shared" si="275"/>
        <v>0</v>
      </c>
      <c r="AY356" s="11">
        <f t="shared" si="276"/>
        <v>0</v>
      </c>
    </row>
    <row r="357" spans="1:51">
      <c r="A357" s="15">
        <v>45282</v>
      </c>
      <c r="B357" s="436"/>
      <c r="C357" s="436"/>
      <c r="D357" s="436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11">
        <f t="shared" si="251"/>
        <v>0</v>
      </c>
      <c r="AA357" s="11">
        <f t="shared" si="252"/>
        <v>0</v>
      </c>
      <c r="AB357" s="11">
        <f t="shared" si="253"/>
        <v>0</v>
      </c>
      <c r="AC357" s="11">
        <f t="shared" si="254"/>
        <v>0</v>
      </c>
      <c r="AD357" s="11">
        <f t="shared" si="255"/>
        <v>0</v>
      </c>
      <c r="AE357" s="11">
        <f t="shared" si="256"/>
        <v>0</v>
      </c>
      <c r="AF357" s="11">
        <f t="shared" si="257"/>
        <v>0</v>
      </c>
      <c r="AG357" s="11">
        <f t="shared" si="258"/>
        <v>0</v>
      </c>
      <c r="AH357" s="11">
        <f t="shared" si="259"/>
        <v>0</v>
      </c>
      <c r="AI357" s="11">
        <f t="shared" si="260"/>
        <v>0</v>
      </c>
      <c r="AJ357" s="11">
        <f t="shared" si="261"/>
        <v>0</v>
      </c>
      <c r="AK357" s="11">
        <f t="shared" si="262"/>
        <v>0</v>
      </c>
      <c r="AL357" s="11">
        <f t="shared" si="263"/>
        <v>0</v>
      </c>
      <c r="AM357" s="11">
        <f t="shared" si="264"/>
        <v>0</v>
      </c>
      <c r="AN357" s="11">
        <f t="shared" si="265"/>
        <v>0</v>
      </c>
      <c r="AO357" s="11">
        <f t="shared" si="266"/>
        <v>0</v>
      </c>
      <c r="AP357" s="11">
        <f t="shared" si="267"/>
        <v>0</v>
      </c>
      <c r="AQ357" s="11">
        <f t="shared" si="268"/>
        <v>0</v>
      </c>
      <c r="AR357" s="11">
        <f t="shared" si="269"/>
        <v>0</v>
      </c>
      <c r="AS357" s="11">
        <f t="shared" si="270"/>
        <v>0</v>
      </c>
      <c r="AT357" s="11">
        <f t="shared" si="271"/>
        <v>0</v>
      </c>
      <c r="AU357" s="11">
        <f t="shared" si="272"/>
        <v>0</v>
      </c>
      <c r="AV357" s="11">
        <f t="shared" si="273"/>
        <v>0</v>
      </c>
      <c r="AW357" s="11">
        <f t="shared" si="274"/>
        <v>0</v>
      </c>
      <c r="AX357" s="11">
        <f t="shared" si="275"/>
        <v>0</v>
      </c>
      <c r="AY357" s="11">
        <f t="shared" si="276"/>
        <v>0</v>
      </c>
    </row>
    <row r="358" spans="1:51">
      <c r="A358" s="15">
        <v>45283</v>
      </c>
      <c r="B358" s="436"/>
      <c r="C358" s="436"/>
      <c r="D358" s="436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11">
        <f t="shared" si="251"/>
        <v>0</v>
      </c>
      <c r="AA358" s="11">
        <f t="shared" si="252"/>
        <v>0</v>
      </c>
      <c r="AB358" s="11">
        <f t="shared" si="253"/>
        <v>0</v>
      </c>
      <c r="AC358" s="11">
        <f t="shared" si="254"/>
        <v>0</v>
      </c>
      <c r="AD358" s="11">
        <f t="shared" si="255"/>
        <v>0</v>
      </c>
      <c r="AE358" s="11">
        <f t="shared" si="256"/>
        <v>0</v>
      </c>
      <c r="AF358" s="11">
        <f t="shared" si="257"/>
        <v>0</v>
      </c>
      <c r="AG358" s="11">
        <f t="shared" si="258"/>
        <v>0</v>
      </c>
      <c r="AH358" s="11">
        <f t="shared" si="259"/>
        <v>0</v>
      </c>
      <c r="AI358" s="11">
        <f t="shared" si="260"/>
        <v>0</v>
      </c>
      <c r="AJ358" s="11">
        <f t="shared" si="261"/>
        <v>0</v>
      </c>
      <c r="AK358" s="11">
        <f t="shared" si="262"/>
        <v>0</v>
      </c>
      <c r="AL358" s="11">
        <f t="shared" si="263"/>
        <v>0</v>
      </c>
      <c r="AM358" s="11">
        <f t="shared" si="264"/>
        <v>0</v>
      </c>
      <c r="AN358" s="11">
        <f t="shared" si="265"/>
        <v>0</v>
      </c>
      <c r="AO358" s="11">
        <f t="shared" si="266"/>
        <v>0</v>
      </c>
      <c r="AP358" s="11">
        <f t="shared" si="267"/>
        <v>0</v>
      </c>
      <c r="AQ358" s="11">
        <f t="shared" si="268"/>
        <v>0</v>
      </c>
      <c r="AR358" s="11">
        <f t="shared" si="269"/>
        <v>0</v>
      </c>
      <c r="AS358" s="11">
        <f t="shared" si="270"/>
        <v>0</v>
      </c>
      <c r="AT358" s="11">
        <f t="shared" si="271"/>
        <v>0</v>
      </c>
      <c r="AU358" s="11">
        <f t="shared" si="272"/>
        <v>0</v>
      </c>
      <c r="AV358" s="11">
        <f t="shared" si="273"/>
        <v>0</v>
      </c>
      <c r="AW358" s="11">
        <f t="shared" si="274"/>
        <v>0</v>
      </c>
      <c r="AX358" s="11">
        <f t="shared" si="275"/>
        <v>0</v>
      </c>
      <c r="AY358" s="11">
        <f t="shared" si="276"/>
        <v>0</v>
      </c>
    </row>
    <row r="359" spans="1:51">
      <c r="A359" s="15">
        <v>45284</v>
      </c>
      <c r="B359" s="436"/>
      <c r="C359" s="436"/>
      <c r="D359" s="436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11">
        <f t="shared" si="251"/>
        <v>0</v>
      </c>
      <c r="AA359" s="11">
        <f t="shared" si="252"/>
        <v>0</v>
      </c>
      <c r="AB359" s="11">
        <f t="shared" si="253"/>
        <v>0</v>
      </c>
      <c r="AC359" s="11">
        <f t="shared" si="254"/>
        <v>0</v>
      </c>
      <c r="AD359" s="11">
        <f t="shared" si="255"/>
        <v>0</v>
      </c>
      <c r="AE359" s="11">
        <f t="shared" si="256"/>
        <v>0</v>
      </c>
      <c r="AF359" s="11">
        <f t="shared" si="257"/>
        <v>0</v>
      </c>
      <c r="AG359" s="11">
        <f t="shared" si="258"/>
        <v>0</v>
      </c>
      <c r="AH359" s="11">
        <f t="shared" si="259"/>
        <v>0</v>
      </c>
      <c r="AI359" s="11">
        <f t="shared" si="260"/>
        <v>0</v>
      </c>
      <c r="AJ359" s="11">
        <f t="shared" si="261"/>
        <v>0</v>
      </c>
      <c r="AK359" s="11">
        <f t="shared" si="262"/>
        <v>0</v>
      </c>
      <c r="AL359" s="11">
        <f t="shared" si="263"/>
        <v>0</v>
      </c>
      <c r="AM359" s="11">
        <f t="shared" si="264"/>
        <v>0</v>
      </c>
      <c r="AN359" s="11">
        <f t="shared" si="265"/>
        <v>0</v>
      </c>
      <c r="AO359" s="11">
        <f t="shared" si="266"/>
        <v>0</v>
      </c>
      <c r="AP359" s="11">
        <f t="shared" si="267"/>
        <v>0</v>
      </c>
      <c r="AQ359" s="11">
        <f t="shared" si="268"/>
        <v>0</v>
      </c>
      <c r="AR359" s="11">
        <f t="shared" si="269"/>
        <v>0</v>
      </c>
      <c r="AS359" s="11">
        <f t="shared" si="270"/>
        <v>0</v>
      </c>
      <c r="AT359" s="11">
        <f t="shared" si="271"/>
        <v>0</v>
      </c>
      <c r="AU359" s="11">
        <f t="shared" si="272"/>
        <v>0</v>
      </c>
      <c r="AV359" s="11">
        <f t="shared" si="273"/>
        <v>0</v>
      </c>
      <c r="AW359" s="11">
        <f t="shared" si="274"/>
        <v>0</v>
      </c>
      <c r="AX359" s="11">
        <f t="shared" si="275"/>
        <v>0</v>
      </c>
      <c r="AY359" s="11">
        <f t="shared" si="276"/>
        <v>0</v>
      </c>
    </row>
    <row r="360" spans="1:51">
      <c r="A360" s="15">
        <v>45285</v>
      </c>
      <c r="B360" s="436"/>
      <c r="C360" s="436"/>
      <c r="D360" s="436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11">
        <f t="shared" si="251"/>
        <v>0</v>
      </c>
      <c r="AA360" s="11">
        <f t="shared" si="252"/>
        <v>0</v>
      </c>
      <c r="AB360" s="11">
        <f t="shared" si="253"/>
        <v>0</v>
      </c>
      <c r="AC360" s="11">
        <f t="shared" si="254"/>
        <v>0</v>
      </c>
      <c r="AD360" s="11">
        <f t="shared" si="255"/>
        <v>0</v>
      </c>
      <c r="AE360" s="11">
        <f t="shared" si="256"/>
        <v>0</v>
      </c>
      <c r="AF360" s="11">
        <f t="shared" si="257"/>
        <v>0</v>
      </c>
      <c r="AG360" s="11">
        <f t="shared" si="258"/>
        <v>0</v>
      </c>
      <c r="AH360" s="11">
        <f t="shared" si="259"/>
        <v>0</v>
      </c>
      <c r="AI360" s="11">
        <f t="shared" si="260"/>
        <v>0</v>
      </c>
      <c r="AJ360" s="11">
        <f t="shared" si="261"/>
        <v>0</v>
      </c>
      <c r="AK360" s="11">
        <f t="shared" si="262"/>
        <v>0</v>
      </c>
      <c r="AL360" s="11">
        <f t="shared" si="263"/>
        <v>0</v>
      </c>
      <c r="AM360" s="11">
        <f t="shared" si="264"/>
        <v>0</v>
      </c>
      <c r="AN360" s="11">
        <f t="shared" si="265"/>
        <v>0</v>
      </c>
      <c r="AO360" s="11">
        <f t="shared" si="266"/>
        <v>0</v>
      </c>
      <c r="AP360" s="11">
        <f t="shared" si="267"/>
        <v>0</v>
      </c>
      <c r="AQ360" s="11">
        <f t="shared" si="268"/>
        <v>0</v>
      </c>
      <c r="AR360" s="11">
        <f t="shared" si="269"/>
        <v>0</v>
      </c>
      <c r="AS360" s="11">
        <f t="shared" si="270"/>
        <v>0</v>
      </c>
      <c r="AT360" s="11">
        <f t="shared" si="271"/>
        <v>0</v>
      </c>
      <c r="AU360" s="11">
        <f t="shared" si="272"/>
        <v>0</v>
      </c>
      <c r="AV360" s="11">
        <f t="shared" si="273"/>
        <v>0</v>
      </c>
      <c r="AW360" s="11">
        <f t="shared" si="274"/>
        <v>0</v>
      </c>
      <c r="AX360" s="11">
        <f t="shared" si="275"/>
        <v>0</v>
      </c>
      <c r="AY360" s="11">
        <f t="shared" si="276"/>
        <v>0</v>
      </c>
    </row>
    <row r="361" spans="1:51">
      <c r="A361" s="15">
        <v>45286</v>
      </c>
      <c r="B361" s="436"/>
      <c r="C361" s="436"/>
      <c r="D361" s="436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11">
        <f t="shared" si="251"/>
        <v>0</v>
      </c>
      <c r="AA361" s="11">
        <f t="shared" si="252"/>
        <v>0</v>
      </c>
      <c r="AB361" s="11">
        <f t="shared" si="253"/>
        <v>0</v>
      </c>
      <c r="AC361" s="11">
        <f t="shared" si="254"/>
        <v>0</v>
      </c>
      <c r="AD361" s="11">
        <f t="shared" si="255"/>
        <v>0</v>
      </c>
      <c r="AE361" s="11">
        <f t="shared" si="256"/>
        <v>0</v>
      </c>
      <c r="AF361" s="11">
        <f t="shared" si="257"/>
        <v>0</v>
      </c>
      <c r="AG361" s="11">
        <f t="shared" si="258"/>
        <v>0</v>
      </c>
      <c r="AH361" s="11">
        <f t="shared" si="259"/>
        <v>0</v>
      </c>
      <c r="AI361" s="11">
        <f t="shared" si="260"/>
        <v>0</v>
      </c>
      <c r="AJ361" s="11">
        <f t="shared" si="261"/>
        <v>0</v>
      </c>
      <c r="AK361" s="11">
        <f t="shared" si="262"/>
        <v>0</v>
      </c>
      <c r="AL361" s="11">
        <f t="shared" si="263"/>
        <v>0</v>
      </c>
      <c r="AM361" s="11">
        <f t="shared" si="264"/>
        <v>0</v>
      </c>
      <c r="AN361" s="11">
        <f t="shared" si="265"/>
        <v>0</v>
      </c>
      <c r="AO361" s="11">
        <f t="shared" si="266"/>
        <v>0</v>
      </c>
      <c r="AP361" s="11">
        <f t="shared" si="267"/>
        <v>0</v>
      </c>
      <c r="AQ361" s="11">
        <f t="shared" si="268"/>
        <v>0</v>
      </c>
      <c r="AR361" s="11">
        <f t="shared" si="269"/>
        <v>0</v>
      </c>
      <c r="AS361" s="11">
        <f t="shared" si="270"/>
        <v>0</v>
      </c>
      <c r="AT361" s="11">
        <f t="shared" si="271"/>
        <v>0</v>
      </c>
      <c r="AU361" s="11">
        <f t="shared" si="272"/>
        <v>0</v>
      </c>
      <c r="AV361" s="11">
        <f t="shared" si="273"/>
        <v>0</v>
      </c>
      <c r="AW361" s="11">
        <f t="shared" si="274"/>
        <v>0</v>
      </c>
      <c r="AX361" s="11">
        <f t="shared" si="275"/>
        <v>0</v>
      </c>
      <c r="AY361" s="11">
        <f t="shared" si="276"/>
        <v>0</v>
      </c>
    </row>
    <row r="362" spans="1:51">
      <c r="A362" s="15">
        <v>45287</v>
      </c>
      <c r="B362" s="436"/>
      <c r="C362" s="436"/>
      <c r="D362" s="436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11">
        <f t="shared" si="251"/>
        <v>0</v>
      </c>
      <c r="AA362" s="11">
        <f t="shared" si="252"/>
        <v>0</v>
      </c>
      <c r="AB362" s="11">
        <f t="shared" si="253"/>
        <v>0</v>
      </c>
      <c r="AC362" s="11">
        <f t="shared" si="254"/>
        <v>0</v>
      </c>
      <c r="AD362" s="11">
        <f t="shared" si="255"/>
        <v>0</v>
      </c>
      <c r="AE362" s="11">
        <f t="shared" si="256"/>
        <v>0</v>
      </c>
      <c r="AF362" s="11">
        <f t="shared" si="257"/>
        <v>0</v>
      </c>
      <c r="AG362" s="11">
        <f t="shared" si="258"/>
        <v>0</v>
      </c>
      <c r="AH362" s="11">
        <f t="shared" si="259"/>
        <v>0</v>
      </c>
      <c r="AI362" s="11">
        <f t="shared" si="260"/>
        <v>0</v>
      </c>
      <c r="AJ362" s="11">
        <f t="shared" si="261"/>
        <v>0</v>
      </c>
      <c r="AK362" s="11">
        <f t="shared" si="262"/>
        <v>0</v>
      </c>
      <c r="AL362" s="11">
        <f t="shared" si="263"/>
        <v>0</v>
      </c>
      <c r="AM362" s="11">
        <f t="shared" si="264"/>
        <v>0</v>
      </c>
      <c r="AN362" s="11">
        <f t="shared" si="265"/>
        <v>0</v>
      </c>
      <c r="AO362" s="11">
        <f t="shared" si="266"/>
        <v>0</v>
      </c>
      <c r="AP362" s="11">
        <f t="shared" si="267"/>
        <v>0</v>
      </c>
      <c r="AQ362" s="11">
        <f t="shared" si="268"/>
        <v>0</v>
      </c>
      <c r="AR362" s="11">
        <f t="shared" si="269"/>
        <v>0</v>
      </c>
      <c r="AS362" s="11">
        <f t="shared" si="270"/>
        <v>0</v>
      </c>
      <c r="AT362" s="11">
        <f t="shared" si="271"/>
        <v>0</v>
      </c>
      <c r="AU362" s="11">
        <f t="shared" si="272"/>
        <v>0</v>
      </c>
      <c r="AV362" s="11">
        <f t="shared" si="273"/>
        <v>0</v>
      </c>
      <c r="AW362" s="11">
        <f t="shared" si="274"/>
        <v>0</v>
      </c>
      <c r="AX362" s="11">
        <f t="shared" si="275"/>
        <v>0</v>
      </c>
      <c r="AY362" s="11">
        <f t="shared" si="276"/>
        <v>0</v>
      </c>
    </row>
    <row r="363" spans="1:51">
      <c r="A363" s="15">
        <v>45288</v>
      </c>
      <c r="B363" s="436"/>
      <c r="C363" s="436"/>
      <c r="D363" s="436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11">
        <f t="shared" si="251"/>
        <v>0</v>
      </c>
      <c r="AA363" s="11">
        <f t="shared" si="252"/>
        <v>0</v>
      </c>
      <c r="AB363" s="11">
        <f t="shared" si="253"/>
        <v>0</v>
      </c>
      <c r="AC363" s="11">
        <f t="shared" si="254"/>
        <v>0</v>
      </c>
      <c r="AD363" s="11">
        <f t="shared" si="255"/>
        <v>0</v>
      </c>
      <c r="AE363" s="11">
        <f t="shared" si="256"/>
        <v>0</v>
      </c>
      <c r="AF363" s="11">
        <f t="shared" si="257"/>
        <v>0</v>
      </c>
      <c r="AG363" s="11">
        <f t="shared" si="258"/>
        <v>0</v>
      </c>
      <c r="AH363" s="11">
        <f t="shared" si="259"/>
        <v>0</v>
      </c>
      <c r="AI363" s="11">
        <f t="shared" si="260"/>
        <v>0</v>
      </c>
      <c r="AJ363" s="11">
        <f t="shared" si="261"/>
        <v>0</v>
      </c>
      <c r="AK363" s="11">
        <f t="shared" si="262"/>
        <v>0</v>
      </c>
      <c r="AL363" s="11">
        <f t="shared" si="263"/>
        <v>0</v>
      </c>
      <c r="AM363" s="11">
        <f t="shared" si="264"/>
        <v>0</v>
      </c>
      <c r="AN363" s="11">
        <f t="shared" si="265"/>
        <v>0</v>
      </c>
      <c r="AO363" s="11">
        <f t="shared" si="266"/>
        <v>0</v>
      </c>
      <c r="AP363" s="11">
        <f t="shared" si="267"/>
        <v>0</v>
      </c>
      <c r="AQ363" s="11">
        <f t="shared" si="268"/>
        <v>0</v>
      </c>
      <c r="AR363" s="11">
        <f t="shared" si="269"/>
        <v>0</v>
      </c>
      <c r="AS363" s="11">
        <f t="shared" si="270"/>
        <v>0</v>
      </c>
      <c r="AT363" s="11">
        <f t="shared" si="271"/>
        <v>0</v>
      </c>
      <c r="AU363" s="11">
        <f t="shared" si="272"/>
        <v>0</v>
      </c>
      <c r="AV363" s="11">
        <f t="shared" si="273"/>
        <v>0</v>
      </c>
      <c r="AW363" s="11">
        <f t="shared" si="274"/>
        <v>0</v>
      </c>
      <c r="AX363" s="11">
        <f t="shared" si="275"/>
        <v>0</v>
      </c>
      <c r="AY363" s="11">
        <f t="shared" si="276"/>
        <v>0</v>
      </c>
    </row>
    <row r="364" spans="1:51">
      <c r="A364" s="15">
        <v>45289</v>
      </c>
      <c r="B364" s="436"/>
      <c r="C364" s="436"/>
      <c r="D364" s="436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11">
        <f t="shared" si="251"/>
        <v>0</v>
      </c>
      <c r="AA364" s="11">
        <f t="shared" si="252"/>
        <v>0</v>
      </c>
      <c r="AB364" s="11">
        <f t="shared" si="253"/>
        <v>0</v>
      </c>
      <c r="AC364" s="11">
        <f t="shared" si="254"/>
        <v>0</v>
      </c>
      <c r="AD364" s="11">
        <f t="shared" si="255"/>
        <v>0</v>
      </c>
      <c r="AE364" s="11">
        <f t="shared" si="256"/>
        <v>0</v>
      </c>
      <c r="AF364" s="11">
        <f t="shared" si="257"/>
        <v>0</v>
      </c>
      <c r="AG364" s="11">
        <f t="shared" si="258"/>
        <v>0</v>
      </c>
      <c r="AH364" s="11">
        <f t="shared" si="259"/>
        <v>0</v>
      </c>
      <c r="AI364" s="11">
        <f t="shared" si="260"/>
        <v>0</v>
      </c>
      <c r="AJ364" s="11">
        <f t="shared" si="261"/>
        <v>0</v>
      </c>
      <c r="AK364" s="11">
        <f t="shared" si="262"/>
        <v>0</v>
      </c>
      <c r="AL364" s="11">
        <f t="shared" si="263"/>
        <v>0</v>
      </c>
      <c r="AM364" s="11">
        <f t="shared" si="264"/>
        <v>0</v>
      </c>
      <c r="AN364" s="11">
        <f t="shared" si="265"/>
        <v>0</v>
      </c>
      <c r="AO364" s="11">
        <f t="shared" si="266"/>
        <v>0</v>
      </c>
      <c r="AP364" s="11">
        <f t="shared" si="267"/>
        <v>0</v>
      </c>
      <c r="AQ364" s="11">
        <f t="shared" si="268"/>
        <v>0</v>
      </c>
      <c r="AR364" s="11">
        <f t="shared" si="269"/>
        <v>0</v>
      </c>
      <c r="AS364" s="11">
        <f t="shared" si="270"/>
        <v>0</v>
      </c>
      <c r="AT364" s="11">
        <f t="shared" si="271"/>
        <v>0</v>
      </c>
      <c r="AU364" s="11">
        <f t="shared" si="272"/>
        <v>0</v>
      </c>
      <c r="AV364" s="11">
        <f t="shared" si="273"/>
        <v>0</v>
      </c>
      <c r="AW364" s="11">
        <f t="shared" si="274"/>
        <v>0</v>
      </c>
      <c r="AX364" s="11">
        <f t="shared" si="275"/>
        <v>0</v>
      </c>
      <c r="AY364" s="11">
        <f t="shared" si="276"/>
        <v>0</v>
      </c>
    </row>
    <row r="365" spans="1:51">
      <c r="A365" s="15">
        <v>45290</v>
      </c>
      <c r="B365" s="436"/>
      <c r="C365" s="436"/>
      <c r="D365" s="436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11">
        <f t="shared" si="251"/>
        <v>0</v>
      </c>
      <c r="AA365" s="11">
        <f t="shared" si="252"/>
        <v>0</v>
      </c>
      <c r="AB365" s="11">
        <f t="shared" si="253"/>
        <v>0</v>
      </c>
      <c r="AC365" s="11">
        <f t="shared" si="254"/>
        <v>0</v>
      </c>
      <c r="AD365" s="11">
        <f t="shared" si="255"/>
        <v>0</v>
      </c>
      <c r="AE365" s="11">
        <f t="shared" si="256"/>
        <v>0</v>
      </c>
      <c r="AF365" s="11">
        <f t="shared" si="257"/>
        <v>0</v>
      </c>
      <c r="AG365" s="11">
        <f t="shared" si="258"/>
        <v>0</v>
      </c>
      <c r="AH365" s="11">
        <f t="shared" si="259"/>
        <v>0</v>
      </c>
      <c r="AI365" s="11">
        <f t="shared" si="260"/>
        <v>0</v>
      </c>
      <c r="AJ365" s="11">
        <f t="shared" si="261"/>
        <v>0</v>
      </c>
      <c r="AK365" s="11">
        <f t="shared" si="262"/>
        <v>0</v>
      </c>
      <c r="AL365" s="11">
        <f t="shared" si="263"/>
        <v>0</v>
      </c>
      <c r="AM365" s="11">
        <f t="shared" si="264"/>
        <v>0</v>
      </c>
      <c r="AN365" s="11">
        <f t="shared" si="265"/>
        <v>0</v>
      </c>
      <c r="AO365" s="11">
        <f t="shared" si="266"/>
        <v>0</v>
      </c>
      <c r="AP365" s="11">
        <f t="shared" si="267"/>
        <v>0</v>
      </c>
      <c r="AQ365" s="11">
        <f t="shared" si="268"/>
        <v>0</v>
      </c>
      <c r="AR365" s="11">
        <f t="shared" si="269"/>
        <v>0</v>
      </c>
      <c r="AS365" s="11">
        <f t="shared" si="270"/>
        <v>0</v>
      </c>
      <c r="AT365" s="11">
        <f t="shared" si="271"/>
        <v>0</v>
      </c>
      <c r="AU365" s="11">
        <f t="shared" si="272"/>
        <v>0</v>
      </c>
      <c r="AV365" s="11">
        <f t="shared" si="273"/>
        <v>0</v>
      </c>
      <c r="AW365" s="11">
        <f t="shared" si="274"/>
        <v>0</v>
      </c>
      <c r="AX365" s="11">
        <f t="shared" si="275"/>
        <v>0</v>
      </c>
      <c r="AY365" s="11">
        <f t="shared" si="276"/>
        <v>0</v>
      </c>
    </row>
    <row r="366" spans="1:51">
      <c r="A366" s="15">
        <v>45291</v>
      </c>
      <c r="B366" s="436"/>
      <c r="C366" s="436"/>
      <c r="D366" s="436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11">
        <f t="shared" si="251"/>
        <v>0</v>
      </c>
      <c r="AA366" s="11">
        <f t="shared" si="252"/>
        <v>0</v>
      </c>
      <c r="AB366" s="11">
        <f t="shared" si="253"/>
        <v>0</v>
      </c>
      <c r="AC366" s="11">
        <f t="shared" si="254"/>
        <v>0</v>
      </c>
      <c r="AD366" s="11">
        <f t="shared" si="255"/>
        <v>0</v>
      </c>
      <c r="AE366" s="11">
        <f t="shared" si="256"/>
        <v>0</v>
      </c>
      <c r="AF366" s="11">
        <f t="shared" si="257"/>
        <v>0</v>
      </c>
      <c r="AG366" s="11">
        <f t="shared" si="258"/>
        <v>0</v>
      </c>
      <c r="AH366" s="11">
        <f t="shared" si="259"/>
        <v>0</v>
      </c>
      <c r="AI366" s="11">
        <f t="shared" si="260"/>
        <v>0</v>
      </c>
      <c r="AJ366" s="11">
        <f t="shared" si="261"/>
        <v>0</v>
      </c>
      <c r="AK366" s="11">
        <f t="shared" si="262"/>
        <v>0</v>
      </c>
      <c r="AL366" s="11">
        <f t="shared" si="263"/>
        <v>0</v>
      </c>
      <c r="AM366" s="11">
        <f t="shared" si="264"/>
        <v>0</v>
      </c>
      <c r="AN366" s="11">
        <f t="shared" si="265"/>
        <v>0</v>
      </c>
      <c r="AO366" s="11">
        <f t="shared" si="266"/>
        <v>0</v>
      </c>
      <c r="AP366" s="11">
        <f t="shared" si="267"/>
        <v>0</v>
      </c>
      <c r="AQ366" s="11">
        <f t="shared" si="268"/>
        <v>0</v>
      </c>
      <c r="AR366" s="11">
        <f t="shared" si="269"/>
        <v>0</v>
      </c>
      <c r="AS366" s="11">
        <f t="shared" si="270"/>
        <v>0</v>
      </c>
      <c r="AT366" s="11">
        <f t="shared" si="271"/>
        <v>0</v>
      </c>
      <c r="AU366" s="11">
        <f t="shared" si="272"/>
        <v>0</v>
      </c>
      <c r="AV366" s="11">
        <f t="shared" si="273"/>
        <v>0</v>
      </c>
      <c r="AW366" s="11">
        <f t="shared" si="274"/>
        <v>0</v>
      </c>
      <c r="AX366" s="11">
        <f t="shared" si="275"/>
        <v>0</v>
      </c>
      <c r="AY366" s="11">
        <f t="shared" si="276"/>
        <v>0</v>
      </c>
    </row>
  </sheetData>
  <autoFilter ref="A1:AY366" xr:uid="{00000000-0009-0000-0000-000005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theme="4" tint="0.59999389629810485"/>
  </sheetPr>
  <dimension ref="A1:BU366"/>
  <sheetViews>
    <sheetView zoomScale="90" zoomScaleNormal="90" workbookViewId="0">
      <selection activeCell="B2" sqref="B2"/>
    </sheetView>
  </sheetViews>
  <sheetFormatPr defaultColWidth="11.42578125" defaultRowHeight="12.75"/>
  <cols>
    <col min="1" max="1" width="10.7109375" style="3" bestFit="1" customWidth="1"/>
    <col min="2" max="2" width="4.5703125" style="1" customWidth="1"/>
    <col min="3" max="3" width="5.140625" style="1" customWidth="1"/>
    <col min="4" max="24" width="4.42578125" style="1" bestFit="1" customWidth="1"/>
    <col min="25" max="25" width="4.85546875" style="1" customWidth="1"/>
    <col min="26" max="26" width="6.5703125" style="1" customWidth="1"/>
    <col min="27" max="28" width="6.42578125" style="1" bestFit="1" customWidth="1"/>
    <col min="29" max="29" width="6" style="1" customWidth="1"/>
    <col min="30" max="30" width="6.42578125" style="1" customWidth="1"/>
    <col min="31" max="31" width="6.28515625" style="1" customWidth="1"/>
    <col min="32" max="32" width="7.140625" style="1" customWidth="1"/>
    <col min="33" max="33" width="6" style="1" customWidth="1"/>
    <col min="34" max="34" width="5.85546875" style="1" customWidth="1"/>
    <col min="35" max="35" width="6.5703125" style="1" customWidth="1"/>
    <col min="36" max="37" width="6.7109375" style="1" customWidth="1"/>
    <col min="38" max="40" width="6.42578125" style="1" bestFit="1" customWidth="1"/>
    <col min="41" max="41" width="5.85546875" style="1" customWidth="1"/>
    <col min="42" max="42" width="7" style="1" customWidth="1"/>
    <col min="43" max="49" width="6.42578125" style="1" bestFit="1" customWidth="1"/>
    <col min="50" max="50" width="5.5703125" style="1" customWidth="1"/>
    <col min="51" max="55" width="5.42578125" style="1" bestFit="1" customWidth="1"/>
    <col min="56" max="57" width="8.7109375" style="1" bestFit="1" customWidth="1"/>
    <col min="58" max="59" width="5.42578125" style="1" bestFit="1" customWidth="1"/>
    <col min="60" max="61" width="8.7109375" style="1" bestFit="1" customWidth="1"/>
    <col min="62" max="73" width="5.42578125" style="1" bestFit="1" customWidth="1"/>
    <col min="74" max="16384" width="11.42578125" style="1"/>
  </cols>
  <sheetData>
    <row r="1" spans="1:73" s="3" customFormat="1">
      <c r="A1" s="23"/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4" t="s">
        <v>1</v>
      </c>
      <c r="AA1" s="24" t="s">
        <v>2</v>
      </c>
      <c r="AB1" s="24" t="s">
        <v>3</v>
      </c>
      <c r="AC1" s="24" t="s">
        <v>4</v>
      </c>
      <c r="AD1" s="24" t="s">
        <v>5</v>
      </c>
      <c r="AE1" s="24" t="s">
        <v>6</v>
      </c>
      <c r="AF1" s="24" t="s">
        <v>7</v>
      </c>
      <c r="AG1" s="24" t="s">
        <v>8</v>
      </c>
      <c r="AH1" s="24" t="s">
        <v>9</v>
      </c>
      <c r="AI1" s="24" t="s">
        <v>10</v>
      </c>
      <c r="AJ1" s="24" t="s">
        <v>11</v>
      </c>
      <c r="AK1" s="24" t="s">
        <v>12</v>
      </c>
      <c r="AL1" s="24" t="s">
        <v>13</v>
      </c>
      <c r="AM1" s="24" t="s">
        <v>14</v>
      </c>
      <c r="AN1" s="24" t="s">
        <v>15</v>
      </c>
      <c r="AO1" s="24" t="s">
        <v>16</v>
      </c>
      <c r="AP1" s="24" t="s">
        <v>17</v>
      </c>
      <c r="AQ1" s="24" t="s">
        <v>18</v>
      </c>
      <c r="AR1" s="24" t="s">
        <v>19</v>
      </c>
      <c r="AS1" s="24" t="s">
        <v>20</v>
      </c>
      <c r="AT1" s="24" t="s">
        <v>21</v>
      </c>
      <c r="AU1" s="24" t="s">
        <v>22</v>
      </c>
      <c r="AV1" s="24" t="s">
        <v>23</v>
      </c>
      <c r="AW1" s="24" t="s">
        <v>24</v>
      </c>
      <c r="AX1" s="25" t="s">
        <v>1</v>
      </c>
      <c r="AY1" s="25" t="s">
        <v>2</v>
      </c>
      <c r="AZ1" s="25" t="s">
        <v>3</v>
      </c>
      <c r="BA1" s="25" t="s">
        <v>4</v>
      </c>
      <c r="BB1" s="25" t="s">
        <v>5</v>
      </c>
      <c r="BC1" s="25" t="s">
        <v>6</v>
      </c>
      <c r="BD1" s="25" t="s">
        <v>7</v>
      </c>
      <c r="BE1" s="25" t="s">
        <v>8</v>
      </c>
      <c r="BF1" s="25" t="s">
        <v>9</v>
      </c>
      <c r="BG1" s="25" t="s">
        <v>10</v>
      </c>
      <c r="BH1" s="25" t="s">
        <v>11</v>
      </c>
      <c r="BI1" s="25" t="s">
        <v>12</v>
      </c>
      <c r="BJ1" s="25" t="s">
        <v>13</v>
      </c>
      <c r="BK1" s="25" t="s">
        <v>14</v>
      </c>
      <c r="BL1" s="25" t="s">
        <v>15</v>
      </c>
      <c r="BM1" s="25" t="s">
        <v>16</v>
      </c>
      <c r="BN1" s="25" t="s">
        <v>17</v>
      </c>
      <c r="BO1" s="25" t="s">
        <v>18</v>
      </c>
      <c r="BP1" s="25" t="s">
        <v>19</v>
      </c>
      <c r="BQ1" s="25" t="s">
        <v>20</v>
      </c>
      <c r="BR1" s="25" t="s">
        <v>21</v>
      </c>
      <c r="BS1" s="25" t="s">
        <v>22</v>
      </c>
      <c r="BT1" s="25" t="s">
        <v>23</v>
      </c>
      <c r="BU1" s="25" t="s">
        <v>24</v>
      </c>
    </row>
    <row r="2" spans="1:73" s="12" customFormat="1" ht="15">
      <c r="A2" s="15">
        <v>44927</v>
      </c>
      <c r="B2" s="441">
        <v>0</v>
      </c>
      <c r="C2" s="441">
        <v>0</v>
      </c>
      <c r="D2" s="441">
        <v>0</v>
      </c>
      <c r="E2" s="441">
        <v>0</v>
      </c>
      <c r="F2" s="441">
        <v>0</v>
      </c>
      <c r="G2" s="441">
        <v>0</v>
      </c>
      <c r="H2" s="441">
        <v>0</v>
      </c>
      <c r="I2" s="441">
        <v>0</v>
      </c>
      <c r="J2" s="441">
        <v>0</v>
      </c>
      <c r="K2" s="441">
        <v>0</v>
      </c>
      <c r="L2" s="441">
        <v>0</v>
      </c>
      <c r="M2" s="441">
        <v>0</v>
      </c>
      <c r="N2" s="441">
        <v>0</v>
      </c>
      <c r="O2" s="441">
        <v>0</v>
      </c>
      <c r="P2" s="441">
        <v>0.03</v>
      </c>
      <c r="Q2" s="441">
        <v>0.1</v>
      </c>
      <c r="R2" s="441">
        <v>0.27</v>
      </c>
      <c r="S2" s="441">
        <v>0.28000000000000003</v>
      </c>
      <c r="T2" s="441">
        <v>0.28999999999999998</v>
      </c>
      <c r="U2" s="441">
        <v>0.28999999999999998</v>
      </c>
      <c r="V2" s="441">
        <v>0.28000000000000003</v>
      </c>
      <c r="W2" s="441">
        <v>0.28999999999999998</v>
      </c>
      <c r="X2" s="441">
        <v>0.3</v>
      </c>
      <c r="Y2" s="441">
        <v>0.27</v>
      </c>
      <c r="Z2" s="19">
        <f>+CONVERT(B2,"m^3","gal")</f>
        <v>0</v>
      </c>
      <c r="AA2" s="19">
        <f>+CONVERT(C2,"m^3","gal")</f>
        <v>0</v>
      </c>
      <c r="AB2" s="19">
        <f t="shared" ref="AB2:AB65" si="0">+CONVERT(D2,"m^3","gal")</f>
        <v>0</v>
      </c>
      <c r="AC2" s="19">
        <f t="shared" ref="AC2:AC65" si="1">+CONVERT(E2,"m^3","gal")</f>
        <v>0</v>
      </c>
      <c r="AD2" s="19">
        <f t="shared" ref="AD2:AD65" si="2">+CONVERT(F2,"m^3","gal")</f>
        <v>0</v>
      </c>
      <c r="AE2" s="19">
        <f t="shared" ref="AE2:AE65" si="3">+CONVERT(G2,"m^3","gal")</f>
        <v>0</v>
      </c>
      <c r="AF2" s="19">
        <f t="shared" ref="AF2:AF65" si="4">+CONVERT(H2,"m^3","gal")</f>
        <v>0</v>
      </c>
      <c r="AG2" s="19">
        <f t="shared" ref="AG2:AG65" si="5">+CONVERT(I2,"m^3","gal")</f>
        <v>0</v>
      </c>
      <c r="AH2" s="19">
        <f t="shared" ref="AH2:AH65" si="6">+CONVERT(J2,"m^3","gal")</f>
        <v>0</v>
      </c>
      <c r="AI2" s="19">
        <f t="shared" ref="AI2:AI65" si="7">+CONVERT(K2,"m^3","gal")</f>
        <v>0</v>
      </c>
      <c r="AJ2" s="19">
        <f t="shared" ref="AJ2:AJ65" si="8">+CONVERT(L2,"m^3","gal")</f>
        <v>0</v>
      </c>
      <c r="AK2" s="19">
        <f t="shared" ref="AK2:AK65" si="9">+CONVERT(M2,"m^3","gal")</f>
        <v>0</v>
      </c>
      <c r="AL2" s="19">
        <f t="shared" ref="AL2:AL65" si="10">+CONVERT(N2,"m^3","gal")</f>
        <v>0</v>
      </c>
      <c r="AM2" s="19">
        <f t="shared" ref="AM2:AM65" si="11">+CONVERT(O2,"m^3","gal")</f>
        <v>0</v>
      </c>
      <c r="AN2" s="19">
        <f t="shared" ref="AN2:AN65" si="12">+CONVERT(P2,"m^3","gal")</f>
        <v>7.9251615707444527</v>
      </c>
      <c r="AO2" s="19">
        <f t="shared" ref="AO2:AO65" si="13">+CONVERT(Q2,"m^3","gal")</f>
        <v>26.417205235814841</v>
      </c>
      <c r="AP2" s="19">
        <f t="shared" ref="AP2:AP65" si="14">+CONVERT(R2,"m^3","gal")</f>
        <v>71.326454136700079</v>
      </c>
      <c r="AQ2" s="19">
        <f t="shared" ref="AQ2:AQ65" si="15">+CONVERT(S2,"m^3","gal")</f>
        <v>73.968174660281562</v>
      </c>
      <c r="AR2" s="19">
        <f t="shared" ref="AR2:AR65" si="16">+CONVERT(T2,"m^3","gal")</f>
        <v>76.609895183863046</v>
      </c>
      <c r="AS2" s="19">
        <f t="shared" ref="AS2:AS65" si="17">+CONVERT(U2,"m^3","gal")</f>
        <v>76.609895183863046</v>
      </c>
      <c r="AT2" s="19">
        <f t="shared" ref="AT2:AT65" si="18">+CONVERT(V2,"m^3","gal")</f>
        <v>73.968174660281562</v>
      </c>
      <c r="AU2" s="19">
        <f t="shared" ref="AU2:AU65" si="19">+CONVERT(W2,"m^3","gal")</f>
        <v>76.609895183863046</v>
      </c>
      <c r="AV2" s="19">
        <f t="shared" ref="AV2:AV65" si="20">+CONVERT(X2,"m^3","gal")</f>
        <v>79.251615707444529</v>
      </c>
      <c r="AW2" s="19">
        <f t="shared" ref="AW2:AW65" si="21">+CONVERT(Y2,"m^3","gal")</f>
        <v>71.326454136700079</v>
      </c>
      <c r="AX2" s="18">
        <f>IFERROR(Z2/'Ar-Pa'!B2,0)</f>
        <v>0</v>
      </c>
      <c r="AY2" s="18">
        <f>IFERROR(AA2/'Ar-Pa'!C2,0)</f>
        <v>0</v>
      </c>
      <c r="AZ2" s="18">
        <f>IFERROR(AB2/'Ar-Pa'!D2,0)</f>
        <v>0</v>
      </c>
      <c r="BA2" s="18">
        <f>IFERROR(AC2/'Ar-Pa'!E2,0)</f>
        <v>0</v>
      </c>
      <c r="BB2" s="18">
        <f>IFERROR(AD2/'Ar-Pa'!F2,0)</f>
        <v>0</v>
      </c>
      <c r="BC2" s="18">
        <f>IFERROR(AE2/'Ar-Pa'!G2,0)</f>
        <v>0</v>
      </c>
      <c r="BD2" s="18">
        <f>IFERROR(AF2/'Ar-Pa'!H2,0)</f>
        <v>0</v>
      </c>
      <c r="BE2" s="18">
        <f>IFERROR(AG2/'Ar-Pa'!I2,0)</f>
        <v>0</v>
      </c>
      <c r="BF2" s="18">
        <f>IFERROR(AH2/'Ar-Pa'!J2,0)</f>
        <v>0</v>
      </c>
      <c r="BG2" s="18">
        <f>IFERROR(AI2/'Ar-Pa'!K2,0)</f>
        <v>0</v>
      </c>
      <c r="BH2" s="18">
        <f>IFERROR(AJ2/'Ar-Pa'!L2,0)</f>
        <v>0</v>
      </c>
      <c r="BI2" s="18">
        <f>IFERROR(AK2/'Ar-Pa'!M2,0)</f>
        <v>0</v>
      </c>
      <c r="BJ2" s="18">
        <f>IFERROR(AL2/'Ar-Pa'!N2,0)</f>
        <v>0</v>
      </c>
      <c r="BK2" s="18">
        <f>IFERROR(AM2/'Ar-Pa'!O2,0)</f>
        <v>0</v>
      </c>
      <c r="BL2" s="18">
        <f>IFERROR(AN2/'Ar-Pa'!P2,0)</f>
        <v>3.9625807853722264</v>
      </c>
      <c r="BM2" s="18">
        <f>IFERROR(AO2/'Ar-Pa'!Q2,0)</f>
        <v>5.2834410471629685</v>
      </c>
      <c r="BN2" s="18">
        <f>IFERROR(AP2/'Ar-Pa'!R2,0)</f>
        <v>11.88774235611668</v>
      </c>
      <c r="BO2" s="18">
        <f>IFERROR(AQ2/'Ar-Pa'!S2,0)</f>
        <v>9.2460218325351953</v>
      </c>
      <c r="BP2" s="18">
        <f>IFERROR(AR2/'Ar-Pa'!T2,0)</f>
        <v>9.5762368979828807</v>
      </c>
      <c r="BQ2" s="18">
        <f>IFERROR(AS2/'Ar-Pa'!U2,0)</f>
        <v>9.5762368979828807</v>
      </c>
      <c r="BR2" s="18">
        <f>IFERROR(AT2/'Ar-Pa'!V2,0)</f>
        <v>9.2460218325351953</v>
      </c>
      <c r="BS2" s="18">
        <f>IFERROR(AU2/'Ar-Pa'!W2,0)</f>
        <v>9.5762368979828807</v>
      </c>
      <c r="BT2" s="18">
        <f>IFERROR(AV2/'Ar-Pa'!X2,0)</f>
        <v>9.9064519634305661</v>
      </c>
      <c r="BU2" s="18">
        <f>IFERROR(AW2/'Ar-Pa'!Y2,0)</f>
        <v>11.88774235611668</v>
      </c>
    </row>
    <row r="3" spans="1:73" s="12" customFormat="1" ht="15">
      <c r="A3" s="15">
        <v>44928</v>
      </c>
      <c r="B3" s="441">
        <v>0.05</v>
      </c>
      <c r="C3" s="441">
        <v>0</v>
      </c>
      <c r="D3" s="441">
        <v>0</v>
      </c>
      <c r="E3" s="441">
        <v>0</v>
      </c>
      <c r="F3" s="441">
        <v>0</v>
      </c>
      <c r="G3" s="441">
        <v>0</v>
      </c>
      <c r="H3" s="441">
        <v>0.03</v>
      </c>
      <c r="I3" s="441">
        <v>0.11</v>
      </c>
      <c r="J3" s="441">
        <v>0.24</v>
      </c>
      <c r="K3" s="441">
        <v>0.3</v>
      </c>
      <c r="L3" s="441">
        <v>0.28000000000000003</v>
      </c>
      <c r="M3" s="441">
        <v>0.28000000000000003</v>
      </c>
      <c r="N3" s="441">
        <v>0.28999999999999998</v>
      </c>
      <c r="O3" s="441">
        <v>0.28000000000000003</v>
      </c>
      <c r="P3" s="441">
        <v>0.28000000000000003</v>
      </c>
      <c r="Q3" s="441">
        <v>0.28000000000000003</v>
      </c>
      <c r="R3" s="441">
        <v>0.28999999999999998</v>
      </c>
      <c r="S3" s="441">
        <v>0.28999999999999998</v>
      </c>
      <c r="T3" s="441">
        <v>0.28000000000000003</v>
      </c>
      <c r="U3" s="441">
        <v>0.28000000000000003</v>
      </c>
      <c r="V3" s="441">
        <v>0.28999999999999998</v>
      </c>
      <c r="W3" s="441">
        <v>0.28000000000000003</v>
      </c>
      <c r="X3" s="441">
        <v>0.28000000000000003</v>
      </c>
      <c r="Y3" s="441">
        <v>0.28999999999999998</v>
      </c>
      <c r="Z3" s="19">
        <f t="shared" ref="Z3:Z66" si="22">+CONVERT(B3,"m^3","gal")</f>
        <v>13.20860261790742</v>
      </c>
      <c r="AA3" s="19">
        <f t="shared" ref="AA3:AA66" si="23">+CONVERT(C3,"m^3","gal")</f>
        <v>0</v>
      </c>
      <c r="AB3" s="19">
        <f t="shared" si="0"/>
        <v>0</v>
      </c>
      <c r="AC3" s="19">
        <f t="shared" si="1"/>
        <v>0</v>
      </c>
      <c r="AD3" s="19">
        <f t="shared" si="2"/>
        <v>0</v>
      </c>
      <c r="AE3" s="19">
        <f t="shared" si="3"/>
        <v>0</v>
      </c>
      <c r="AF3" s="19">
        <f t="shared" si="4"/>
        <v>7.9251615707444527</v>
      </c>
      <c r="AG3" s="19">
        <f t="shared" si="5"/>
        <v>29.058925759396327</v>
      </c>
      <c r="AH3" s="19">
        <f t="shared" si="6"/>
        <v>63.401292565955622</v>
      </c>
      <c r="AI3" s="19">
        <f t="shared" si="7"/>
        <v>79.251615707444529</v>
      </c>
      <c r="AJ3" s="19">
        <f t="shared" si="8"/>
        <v>73.968174660281562</v>
      </c>
      <c r="AK3" s="19">
        <f t="shared" si="9"/>
        <v>73.968174660281562</v>
      </c>
      <c r="AL3" s="19">
        <f t="shared" si="10"/>
        <v>76.609895183863046</v>
      </c>
      <c r="AM3" s="19">
        <f t="shared" si="11"/>
        <v>73.968174660281562</v>
      </c>
      <c r="AN3" s="19">
        <f t="shared" si="12"/>
        <v>73.968174660281562</v>
      </c>
      <c r="AO3" s="19">
        <f t="shared" si="13"/>
        <v>73.968174660281562</v>
      </c>
      <c r="AP3" s="19">
        <f t="shared" si="14"/>
        <v>76.609895183863046</v>
      </c>
      <c r="AQ3" s="19">
        <f t="shared" si="15"/>
        <v>76.609895183863046</v>
      </c>
      <c r="AR3" s="19">
        <f t="shared" si="16"/>
        <v>73.968174660281562</v>
      </c>
      <c r="AS3" s="19">
        <f t="shared" si="17"/>
        <v>73.968174660281562</v>
      </c>
      <c r="AT3" s="19">
        <f t="shared" si="18"/>
        <v>76.609895183863046</v>
      </c>
      <c r="AU3" s="19">
        <f t="shared" si="19"/>
        <v>73.968174660281562</v>
      </c>
      <c r="AV3" s="19">
        <f t="shared" si="20"/>
        <v>73.968174660281562</v>
      </c>
      <c r="AW3" s="19">
        <f t="shared" si="21"/>
        <v>76.609895183863046</v>
      </c>
      <c r="AX3" s="18">
        <f>IFERROR(Z3/'Ar-Pa'!B3,0)</f>
        <v>6.6043013089537101</v>
      </c>
      <c r="AY3" s="18">
        <f>IFERROR(AA3/'Ar-Pa'!C3,0)</f>
        <v>0</v>
      </c>
      <c r="AZ3" s="18">
        <f>IFERROR(AB3/'Ar-Pa'!D3,0)</f>
        <v>0</v>
      </c>
      <c r="BA3" s="18">
        <f>IFERROR(AC3/'Ar-Pa'!E3,0)</f>
        <v>0</v>
      </c>
      <c r="BB3" s="18">
        <f>IFERROR(AD3/'Ar-Pa'!F3,0)</f>
        <v>0</v>
      </c>
      <c r="BC3" s="18">
        <f>IFERROR(AE3/'Ar-Pa'!G3,0)</f>
        <v>0</v>
      </c>
      <c r="BD3" s="18">
        <f>IFERROR(AF3/'Ar-Pa'!H3,0)</f>
        <v>3.9625807853722264</v>
      </c>
      <c r="BE3" s="18">
        <f>IFERROR(AG3/'Ar-Pa'!I3,0)</f>
        <v>5.8117851518792651</v>
      </c>
      <c r="BF3" s="18">
        <f>IFERROR(AH3/'Ar-Pa'!J3,0)</f>
        <v>10.566882094325937</v>
      </c>
      <c r="BG3" s="18">
        <f>IFERROR(AI3/'Ar-Pa'!K3,0)</f>
        <v>9.9064519634305661</v>
      </c>
      <c r="BH3" s="18">
        <f>IFERROR(AJ3/'Ar-Pa'!L3,0)</f>
        <v>9.2460218325351953</v>
      </c>
      <c r="BI3" s="18">
        <f>IFERROR(AK3/'Ar-Pa'!M3,0)</f>
        <v>9.2460218325351953</v>
      </c>
      <c r="BJ3" s="18">
        <f>IFERROR(AL3/'Ar-Pa'!N3,0)</f>
        <v>9.5762368979828807</v>
      </c>
      <c r="BK3" s="18">
        <f>IFERROR(AM3/'Ar-Pa'!O3,0)</f>
        <v>9.2460218325351953</v>
      </c>
      <c r="BL3" s="18">
        <f>IFERROR(AN3/'Ar-Pa'!P3,0)</f>
        <v>9.2460218325351953</v>
      </c>
      <c r="BM3" s="18">
        <f>IFERROR(AO3/'Ar-Pa'!Q3,0)</f>
        <v>9.2460218325351953</v>
      </c>
      <c r="BN3" s="18">
        <f>IFERROR(AP3/'Ar-Pa'!R3,0)</f>
        <v>9.5762368979828807</v>
      </c>
      <c r="BO3" s="18">
        <f>IFERROR(AQ3/'Ar-Pa'!S3,0)</f>
        <v>9.5762368979828807</v>
      </c>
      <c r="BP3" s="18">
        <f>IFERROR(AR3/'Ar-Pa'!T3,0)</f>
        <v>9.2460218325351953</v>
      </c>
      <c r="BQ3" s="18">
        <f>IFERROR(AS3/'Ar-Pa'!U3,0)</f>
        <v>9.2460218325351953</v>
      </c>
      <c r="BR3" s="18">
        <f>IFERROR(AT3/'Ar-Pa'!V3,0)</f>
        <v>9.5762368979828807</v>
      </c>
      <c r="BS3" s="18">
        <f>IFERROR(AU3/'Ar-Pa'!W3,0)</f>
        <v>9.2460218325351953</v>
      </c>
      <c r="BT3" s="18">
        <f>IFERROR(AV3/'Ar-Pa'!X3,0)</f>
        <v>9.2460218325351953</v>
      </c>
      <c r="BU3" s="18">
        <f>IFERROR(AW3/'Ar-Pa'!Y3,0)</f>
        <v>9.5762368979828807</v>
      </c>
    </row>
    <row r="4" spans="1:73" s="12" customFormat="1" ht="15">
      <c r="A4" s="15">
        <v>44929</v>
      </c>
      <c r="B4" s="441">
        <v>0.24</v>
      </c>
      <c r="C4" s="441">
        <v>0.25</v>
      </c>
      <c r="D4" s="441">
        <v>0.25</v>
      </c>
      <c r="E4" s="441">
        <v>0.24</v>
      </c>
      <c r="F4" s="441">
        <v>0.23</v>
      </c>
      <c r="G4" s="441">
        <v>0.23</v>
      </c>
      <c r="H4" s="441">
        <v>0.23</v>
      </c>
      <c r="I4" s="441">
        <v>0.24</v>
      </c>
      <c r="J4" s="441">
        <v>0.23</v>
      </c>
      <c r="K4" s="441">
        <v>0.24</v>
      </c>
      <c r="L4" s="441">
        <v>0.23</v>
      </c>
      <c r="M4" s="441">
        <v>0.25</v>
      </c>
      <c r="N4" s="441">
        <v>0.25</v>
      </c>
      <c r="O4" s="441">
        <v>0.24</v>
      </c>
      <c r="P4" s="441">
        <v>0.25</v>
      </c>
      <c r="Q4" s="441">
        <v>0.24</v>
      </c>
      <c r="R4" s="441">
        <v>0.25</v>
      </c>
      <c r="S4" s="441">
        <v>0.24</v>
      </c>
      <c r="T4" s="441">
        <v>0.24</v>
      </c>
      <c r="U4" s="441">
        <v>0.25</v>
      </c>
      <c r="V4" s="441">
        <v>0.24</v>
      </c>
      <c r="W4" s="441">
        <v>0.24</v>
      </c>
      <c r="X4" s="441">
        <v>0.25</v>
      </c>
      <c r="Y4" s="441">
        <v>0.25</v>
      </c>
      <c r="Z4" s="19">
        <f t="shared" si="22"/>
        <v>63.401292565955622</v>
      </c>
      <c r="AA4" s="19">
        <f t="shared" si="23"/>
        <v>66.043013089537112</v>
      </c>
      <c r="AB4" s="19">
        <f t="shared" si="0"/>
        <v>66.043013089537112</v>
      </c>
      <c r="AC4" s="19">
        <f t="shared" si="1"/>
        <v>63.401292565955622</v>
      </c>
      <c r="AD4" s="19">
        <f t="shared" si="2"/>
        <v>60.759572042374138</v>
      </c>
      <c r="AE4" s="19">
        <f t="shared" si="3"/>
        <v>60.759572042374138</v>
      </c>
      <c r="AF4" s="19">
        <f t="shared" si="4"/>
        <v>60.759572042374138</v>
      </c>
      <c r="AG4" s="19">
        <f t="shared" si="5"/>
        <v>63.401292565955622</v>
      </c>
      <c r="AH4" s="19">
        <f t="shared" si="6"/>
        <v>60.759572042374138</v>
      </c>
      <c r="AI4" s="19">
        <f t="shared" si="7"/>
        <v>63.401292565955622</v>
      </c>
      <c r="AJ4" s="19">
        <f t="shared" si="8"/>
        <v>60.759572042374138</v>
      </c>
      <c r="AK4" s="19">
        <f t="shared" si="9"/>
        <v>66.043013089537112</v>
      </c>
      <c r="AL4" s="19">
        <f t="shared" si="10"/>
        <v>66.043013089537112</v>
      </c>
      <c r="AM4" s="19">
        <f t="shared" si="11"/>
        <v>63.401292565955622</v>
      </c>
      <c r="AN4" s="19">
        <f t="shared" si="12"/>
        <v>66.043013089537112</v>
      </c>
      <c r="AO4" s="19">
        <f t="shared" si="13"/>
        <v>63.401292565955622</v>
      </c>
      <c r="AP4" s="19">
        <f t="shared" si="14"/>
        <v>66.043013089537112</v>
      </c>
      <c r="AQ4" s="19">
        <f t="shared" si="15"/>
        <v>63.401292565955622</v>
      </c>
      <c r="AR4" s="19">
        <f t="shared" si="16"/>
        <v>63.401292565955622</v>
      </c>
      <c r="AS4" s="19">
        <f t="shared" si="17"/>
        <v>66.043013089537112</v>
      </c>
      <c r="AT4" s="19">
        <f t="shared" si="18"/>
        <v>63.401292565955622</v>
      </c>
      <c r="AU4" s="19">
        <f t="shared" si="19"/>
        <v>63.401292565955622</v>
      </c>
      <c r="AV4" s="19">
        <f t="shared" si="20"/>
        <v>66.043013089537112</v>
      </c>
      <c r="AW4" s="19">
        <f t="shared" si="21"/>
        <v>66.043013089537112</v>
      </c>
      <c r="AX4" s="18">
        <f>IFERROR(Z4/'Ar-Pa'!B4,0)</f>
        <v>7.9251615707444527</v>
      </c>
      <c r="AY4" s="18">
        <f>IFERROR(AA4/'Ar-Pa'!C4,0)</f>
        <v>8.255376636192139</v>
      </c>
      <c r="AZ4" s="18">
        <f>IFERROR(AB4/'Ar-Pa'!D4,0)</f>
        <v>8.255376636192139</v>
      </c>
      <c r="BA4" s="18">
        <f>IFERROR(AC4/'Ar-Pa'!E4,0)</f>
        <v>10.566882094325937</v>
      </c>
      <c r="BB4" s="18">
        <f>IFERROR(AD4/'Ar-Pa'!F4,0)</f>
        <v>10.12659534039569</v>
      </c>
      <c r="BC4" s="18">
        <f>IFERROR(AE4/'Ar-Pa'!G4,0)</f>
        <v>10.12659534039569</v>
      </c>
      <c r="BD4" s="18">
        <f>IFERROR(AF4/'Ar-Pa'!H4,0)</f>
        <v>10.12659534039569</v>
      </c>
      <c r="BE4" s="18">
        <f>IFERROR(AG4/'Ar-Pa'!I4,0)</f>
        <v>10.566882094325937</v>
      </c>
      <c r="BF4" s="18">
        <f>IFERROR(AH4/'Ar-Pa'!J4,0)</f>
        <v>10.12659534039569</v>
      </c>
      <c r="BG4" s="18">
        <f>IFERROR(AI4/'Ar-Pa'!K4,0)</f>
        <v>10.566882094325937</v>
      </c>
      <c r="BH4" s="18">
        <f>IFERROR(AJ4/'Ar-Pa'!L4,0)</f>
        <v>8.6799388631963055</v>
      </c>
      <c r="BI4" s="18">
        <f>IFERROR(AK4/'Ar-Pa'!M4,0)</f>
        <v>9.4347161556481591</v>
      </c>
      <c r="BJ4" s="18">
        <f>IFERROR(AL4/'Ar-Pa'!N4,0)</f>
        <v>8.255376636192139</v>
      </c>
      <c r="BK4" s="18">
        <f>IFERROR(AM4/'Ar-Pa'!O4,0)</f>
        <v>7.9251615707444527</v>
      </c>
      <c r="BL4" s="18">
        <f>IFERROR(AN4/'Ar-Pa'!P4,0)</f>
        <v>8.255376636192139</v>
      </c>
      <c r="BM4" s="18">
        <f>IFERROR(AO4/'Ar-Pa'!Q4,0)</f>
        <v>7.9251615707444527</v>
      </c>
      <c r="BN4" s="18">
        <f>IFERROR(AP4/'Ar-Pa'!R4,0)</f>
        <v>8.255376636192139</v>
      </c>
      <c r="BO4" s="18">
        <f>IFERROR(AQ4/'Ar-Pa'!S4,0)</f>
        <v>7.9251615707444527</v>
      </c>
      <c r="BP4" s="18">
        <f>IFERROR(AR4/'Ar-Pa'!T4,0)</f>
        <v>7.9251615707444527</v>
      </c>
      <c r="BQ4" s="18">
        <f>IFERROR(AS4/'Ar-Pa'!U4,0)</f>
        <v>8.255376636192139</v>
      </c>
      <c r="BR4" s="18">
        <f>IFERROR(AT4/'Ar-Pa'!V4,0)</f>
        <v>7.9251615707444527</v>
      </c>
      <c r="BS4" s="18">
        <f>IFERROR(AU4/'Ar-Pa'!W4,0)</f>
        <v>7.9251615707444527</v>
      </c>
      <c r="BT4" s="18">
        <f>IFERROR(AV4/'Ar-Pa'!X4,0)</f>
        <v>8.255376636192139</v>
      </c>
      <c r="BU4" s="18">
        <f>IFERROR(AW4/'Ar-Pa'!Y4,0)</f>
        <v>8.255376636192139</v>
      </c>
    </row>
    <row r="5" spans="1:73" s="12" customFormat="1" ht="15">
      <c r="A5" s="15">
        <v>44930</v>
      </c>
      <c r="B5" s="441">
        <v>0.24</v>
      </c>
      <c r="C5" s="441">
        <v>0.25</v>
      </c>
      <c r="D5" s="441">
        <v>0.24</v>
      </c>
      <c r="E5" s="441">
        <v>0.25</v>
      </c>
      <c r="F5" s="441">
        <v>0.23</v>
      </c>
      <c r="G5" s="441">
        <v>0.23</v>
      </c>
      <c r="H5" s="441">
        <v>0.23</v>
      </c>
      <c r="I5" s="441">
        <v>0.24</v>
      </c>
      <c r="J5" s="441">
        <v>0.24</v>
      </c>
      <c r="K5" s="441">
        <v>0.25</v>
      </c>
      <c r="L5" s="441">
        <v>0.24</v>
      </c>
      <c r="M5" s="441">
        <v>0.25</v>
      </c>
      <c r="N5" s="441">
        <v>0.25</v>
      </c>
      <c r="O5" s="441">
        <v>0.24</v>
      </c>
      <c r="P5" s="441">
        <v>0.24</v>
      </c>
      <c r="Q5" s="441">
        <v>0.25</v>
      </c>
      <c r="R5" s="441">
        <v>0.24</v>
      </c>
      <c r="S5" s="441">
        <v>0.25</v>
      </c>
      <c r="T5" s="441">
        <v>0.24</v>
      </c>
      <c r="U5" s="441">
        <v>0.24</v>
      </c>
      <c r="V5" s="441">
        <v>0.24</v>
      </c>
      <c r="W5" s="441">
        <v>0.24</v>
      </c>
      <c r="X5" s="441">
        <v>0.24</v>
      </c>
      <c r="Y5" s="441">
        <v>0.24</v>
      </c>
      <c r="Z5" s="19">
        <f t="shared" si="22"/>
        <v>63.401292565955622</v>
      </c>
      <c r="AA5" s="19">
        <f t="shared" si="23"/>
        <v>66.043013089537112</v>
      </c>
      <c r="AB5" s="19">
        <f t="shared" si="0"/>
        <v>63.401292565955622</v>
      </c>
      <c r="AC5" s="19">
        <f t="shared" si="1"/>
        <v>66.043013089537112</v>
      </c>
      <c r="AD5" s="19">
        <f t="shared" si="2"/>
        <v>60.759572042374138</v>
      </c>
      <c r="AE5" s="19">
        <f t="shared" si="3"/>
        <v>60.759572042374138</v>
      </c>
      <c r="AF5" s="19">
        <f t="shared" si="4"/>
        <v>60.759572042374138</v>
      </c>
      <c r="AG5" s="19">
        <f t="shared" si="5"/>
        <v>63.401292565955622</v>
      </c>
      <c r="AH5" s="19">
        <f t="shared" si="6"/>
        <v>63.401292565955622</v>
      </c>
      <c r="AI5" s="19">
        <f t="shared" si="7"/>
        <v>66.043013089537112</v>
      </c>
      <c r="AJ5" s="19">
        <f t="shared" si="8"/>
        <v>63.401292565955622</v>
      </c>
      <c r="AK5" s="19">
        <f t="shared" si="9"/>
        <v>66.043013089537112</v>
      </c>
      <c r="AL5" s="19">
        <f t="shared" si="10"/>
        <v>66.043013089537112</v>
      </c>
      <c r="AM5" s="19">
        <f t="shared" si="11"/>
        <v>63.401292565955622</v>
      </c>
      <c r="AN5" s="19">
        <f t="shared" si="12"/>
        <v>63.401292565955622</v>
      </c>
      <c r="AO5" s="19">
        <f t="shared" si="13"/>
        <v>66.043013089537112</v>
      </c>
      <c r="AP5" s="19">
        <f t="shared" si="14"/>
        <v>63.401292565955622</v>
      </c>
      <c r="AQ5" s="19">
        <f t="shared" si="15"/>
        <v>66.043013089537112</v>
      </c>
      <c r="AR5" s="19">
        <f t="shared" si="16"/>
        <v>63.401292565955622</v>
      </c>
      <c r="AS5" s="19">
        <f t="shared" si="17"/>
        <v>63.401292565955622</v>
      </c>
      <c r="AT5" s="19">
        <f t="shared" si="18"/>
        <v>63.401292565955622</v>
      </c>
      <c r="AU5" s="19">
        <f t="shared" si="19"/>
        <v>63.401292565955622</v>
      </c>
      <c r="AV5" s="19">
        <f t="shared" si="20"/>
        <v>63.401292565955622</v>
      </c>
      <c r="AW5" s="19">
        <f t="shared" si="21"/>
        <v>63.401292565955622</v>
      </c>
      <c r="AX5" s="18">
        <f>IFERROR(Z5/'Ar-Pa'!B5,0)</f>
        <v>7.9251615707444527</v>
      </c>
      <c r="AY5" s="18">
        <f>IFERROR(AA5/'Ar-Pa'!C5,0)</f>
        <v>8.255376636192139</v>
      </c>
      <c r="AZ5" s="18">
        <f>IFERROR(AB5/'Ar-Pa'!D5,0)</f>
        <v>7.9251615707444527</v>
      </c>
      <c r="BA5" s="18">
        <f>IFERROR(AC5/'Ar-Pa'!E5,0)</f>
        <v>8.255376636192139</v>
      </c>
      <c r="BB5" s="18">
        <f>IFERROR(AD5/'Ar-Pa'!F5,0)</f>
        <v>8.6799388631963055</v>
      </c>
      <c r="BC5" s="18">
        <f>IFERROR(AE5/'Ar-Pa'!G5,0)</f>
        <v>8.6799388631963055</v>
      </c>
      <c r="BD5" s="18">
        <f>IFERROR(AF5/'Ar-Pa'!H5,0)</f>
        <v>8.6799388631963055</v>
      </c>
      <c r="BE5" s="18">
        <f>IFERROR(AG5/'Ar-Pa'!I5,0)</f>
        <v>9.0573275094222314</v>
      </c>
      <c r="BF5" s="18">
        <f>IFERROR(AH5/'Ar-Pa'!J5,0)</f>
        <v>9.0573275094222314</v>
      </c>
      <c r="BG5" s="18">
        <f>IFERROR(AI5/'Ar-Pa'!K5,0)</f>
        <v>9.4347161556481591</v>
      </c>
      <c r="BH5" s="18">
        <f>IFERROR(AJ5/'Ar-Pa'!L5,0)</f>
        <v>9.0573275094222314</v>
      </c>
      <c r="BI5" s="18">
        <f>IFERROR(AK5/'Ar-Pa'!M5,0)</f>
        <v>9.4347161556481591</v>
      </c>
      <c r="BJ5" s="18">
        <f>IFERROR(AL5/'Ar-Pa'!N5,0)</f>
        <v>9.4347161556481591</v>
      </c>
      <c r="BK5" s="18">
        <f>IFERROR(AM5/'Ar-Pa'!O5,0)</f>
        <v>9.0573275094222314</v>
      </c>
      <c r="BL5" s="18">
        <f>IFERROR(AN5/'Ar-Pa'!P5,0)</f>
        <v>9.0573275094222314</v>
      </c>
      <c r="BM5" s="18">
        <f>IFERROR(AO5/'Ar-Pa'!Q5,0)</f>
        <v>9.4347161556481591</v>
      </c>
      <c r="BN5" s="18">
        <f>IFERROR(AP5/'Ar-Pa'!R5,0)</f>
        <v>9.0573275094222314</v>
      </c>
      <c r="BO5" s="18">
        <f>IFERROR(AQ5/'Ar-Pa'!S5,0)</f>
        <v>8.255376636192139</v>
      </c>
      <c r="BP5" s="18">
        <f>IFERROR(AR5/'Ar-Pa'!T5,0)</f>
        <v>7.9251615707444527</v>
      </c>
      <c r="BQ5" s="18">
        <f>IFERROR(AS5/'Ar-Pa'!U5,0)</f>
        <v>7.9251615707444527</v>
      </c>
      <c r="BR5" s="18">
        <f>IFERROR(AT5/'Ar-Pa'!V5,0)</f>
        <v>7.9251615707444527</v>
      </c>
      <c r="BS5" s="18">
        <f>IFERROR(AU5/'Ar-Pa'!W5,0)</f>
        <v>7.9251615707444527</v>
      </c>
      <c r="BT5" s="18">
        <f>IFERROR(AV5/'Ar-Pa'!X5,0)</f>
        <v>7.9251615707444527</v>
      </c>
      <c r="BU5" s="18">
        <f>IFERROR(AW5/'Ar-Pa'!Y5,0)</f>
        <v>7.9251615707444527</v>
      </c>
    </row>
    <row r="6" spans="1:73" s="12" customFormat="1" ht="15">
      <c r="A6" s="15">
        <v>44931</v>
      </c>
      <c r="B6" s="441">
        <v>0.28000000000000003</v>
      </c>
      <c r="C6" s="441">
        <v>0.28000000000000003</v>
      </c>
      <c r="D6" s="441">
        <v>0.28000000000000003</v>
      </c>
      <c r="E6" s="441">
        <v>0.27</v>
      </c>
      <c r="F6" s="441">
        <v>0.28000000000000003</v>
      </c>
      <c r="G6" s="441">
        <v>0.27</v>
      </c>
      <c r="H6" s="441">
        <v>0.27</v>
      </c>
      <c r="I6" s="441">
        <v>0.28000000000000003</v>
      </c>
      <c r="J6" s="441">
        <v>0.28000000000000003</v>
      </c>
      <c r="K6" s="441">
        <v>0.28000000000000003</v>
      </c>
      <c r="L6" s="441">
        <v>0.28999999999999998</v>
      </c>
      <c r="M6" s="441">
        <v>0.28000000000000003</v>
      </c>
      <c r="N6" s="441">
        <v>0.28000000000000003</v>
      </c>
      <c r="O6" s="441">
        <v>0.28999999999999998</v>
      </c>
      <c r="P6" s="441">
        <v>0.28000000000000003</v>
      </c>
      <c r="Q6" s="441">
        <v>0.28999999999999998</v>
      </c>
      <c r="R6" s="441">
        <v>0.27</v>
      </c>
      <c r="S6" s="441">
        <v>0.28999999999999998</v>
      </c>
      <c r="T6" s="441">
        <v>0.28999999999999998</v>
      </c>
      <c r="U6" s="441">
        <v>0.28000000000000003</v>
      </c>
      <c r="V6" s="441">
        <v>0.28000000000000003</v>
      </c>
      <c r="W6" s="441">
        <v>0.28000000000000003</v>
      </c>
      <c r="X6" s="441">
        <v>0.28000000000000003</v>
      </c>
      <c r="Y6" s="441">
        <v>0.28999999999999998</v>
      </c>
      <c r="Z6" s="19">
        <f t="shared" si="22"/>
        <v>73.968174660281562</v>
      </c>
      <c r="AA6" s="19">
        <f t="shared" si="23"/>
        <v>73.968174660281562</v>
      </c>
      <c r="AB6" s="19">
        <f t="shared" si="0"/>
        <v>73.968174660281562</v>
      </c>
      <c r="AC6" s="19">
        <f t="shared" si="1"/>
        <v>71.326454136700079</v>
      </c>
      <c r="AD6" s="19">
        <f t="shared" si="2"/>
        <v>73.968174660281562</v>
      </c>
      <c r="AE6" s="19">
        <f t="shared" si="3"/>
        <v>71.326454136700079</v>
      </c>
      <c r="AF6" s="19">
        <f t="shared" si="4"/>
        <v>71.326454136700079</v>
      </c>
      <c r="AG6" s="19">
        <f t="shared" si="5"/>
        <v>73.968174660281562</v>
      </c>
      <c r="AH6" s="19">
        <f t="shared" si="6"/>
        <v>73.968174660281562</v>
      </c>
      <c r="AI6" s="19">
        <f t="shared" si="7"/>
        <v>73.968174660281562</v>
      </c>
      <c r="AJ6" s="19">
        <f t="shared" si="8"/>
        <v>76.609895183863046</v>
      </c>
      <c r="AK6" s="19">
        <f t="shared" si="9"/>
        <v>73.968174660281562</v>
      </c>
      <c r="AL6" s="19">
        <f t="shared" si="10"/>
        <v>73.968174660281562</v>
      </c>
      <c r="AM6" s="19">
        <f t="shared" si="11"/>
        <v>76.609895183863046</v>
      </c>
      <c r="AN6" s="19">
        <f t="shared" si="12"/>
        <v>73.968174660281562</v>
      </c>
      <c r="AO6" s="19">
        <f t="shared" si="13"/>
        <v>76.609895183863046</v>
      </c>
      <c r="AP6" s="19">
        <f t="shared" si="14"/>
        <v>71.326454136700079</v>
      </c>
      <c r="AQ6" s="19">
        <f t="shared" si="15"/>
        <v>76.609895183863046</v>
      </c>
      <c r="AR6" s="19">
        <f t="shared" si="16"/>
        <v>76.609895183863046</v>
      </c>
      <c r="AS6" s="19">
        <f t="shared" si="17"/>
        <v>73.968174660281562</v>
      </c>
      <c r="AT6" s="19">
        <f t="shared" si="18"/>
        <v>73.968174660281562</v>
      </c>
      <c r="AU6" s="19">
        <f t="shared" si="19"/>
        <v>73.968174660281562</v>
      </c>
      <c r="AV6" s="19">
        <f t="shared" si="20"/>
        <v>73.968174660281562</v>
      </c>
      <c r="AW6" s="19">
        <f t="shared" si="21"/>
        <v>76.609895183863046</v>
      </c>
      <c r="AX6" s="18">
        <f>IFERROR(Z6/'Ar-Pa'!B6,0)</f>
        <v>9.2460218325351953</v>
      </c>
      <c r="AY6" s="18">
        <f>IFERROR(AA6/'Ar-Pa'!C6,0)</f>
        <v>9.2460218325351953</v>
      </c>
      <c r="AZ6" s="18">
        <f>IFERROR(AB6/'Ar-Pa'!D6,0)</f>
        <v>9.2460218325351953</v>
      </c>
      <c r="BA6" s="18">
        <f>IFERROR(AC6/'Ar-Pa'!E6,0)</f>
        <v>11.88774235611668</v>
      </c>
      <c r="BB6" s="18">
        <f>IFERROR(AD6/'Ar-Pa'!F6,0)</f>
        <v>12.328029110046927</v>
      </c>
      <c r="BC6" s="18">
        <f>IFERROR(AE6/'Ar-Pa'!G6,0)</f>
        <v>11.88774235611668</v>
      </c>
      <c r="BD6" s="18">
        <f>IFERROR(AF6/'Ar-Pa'!H6,0)</f>
        <v>11.88774235611668</v>
      </c>
      <c r="BE6" s="18">
        <f>IFERROR(AG6/'Ar-Pa'!I6,0)</f>
        <v>12.328029110046927</v>
      </c>
      <c r="BF6" s="18">
        <f>IFERROR(AH6/'Ar-Pa'!J6,0)</f>
        <v>12.328029110046927</v>
      </c>
      <c r="BG6" s="18">
        <f>IFERROR(AI6/'Ar-Pa'!K6,0)</f>
        <v>9.2460218325351953</v>
      </c>
      <c r="BH6" s="18">
        <f>IFERROR(AJ6/'Ar-Pa'!L6,0)</f>
        <v>9.5762368979828807</v>
      </c>
      <c r="BI6" s="18">
        <f>IFERROR(AK6/'Ar-Pa'!M6,0)</f>
        <v>9.2460218325351953</v>
      </c>
      <c r="BJ6" s="18">
        <f>IFERROR(AL6/'Ar-Pa'!N6,0)</f>
        <v>9.2460218325351953</v>
      </c>
      <c r="BK6" s="18">
        <f>IFERROR(AM6/'Ar-Pa'!O6,0)</f>
        <v>9.5762368979828807</v>
      </c>
      <c r="BL6" s="18">
        <f>IFERROR(AN6/'Ar-Pa'!P6,0)</f>
        <v>9.2460218325351953</v>
      </c>
      <c r="BM6" s="18">
        <f>IFERROR(AO6/'Ar-Pa'!Q6,0)</f>
        <v>9.5762368979828807</v>
      </c>
      <c r="BN6" s="18">
        <f>IFERROR(AP6/'Ar-Pa'!R6,0)</f>
        <v>8.9158067670875099</v>
      </c>
      <c r="BO6" s="18">
        <f>IFERROR(AQ6/'Ar-Pa'!S6,0)</f>
        <v>9.5762368979828807</v>
      </c>
      <c r="BP6" s="18">
        <f>IFERROR(AR6/'Ar-Pa'!T6,0)</f>
        <v>9.5762368979828807</v>
      </c>
      <c r="BQ6" s="18">
        <f>IFERROR(AS6/'Ar-Pa'!U6,0)</f>
        <v>9.2460218325351953</v>
      </c>
      <c r="BR6" s="18">
        <f>IFERROR(AT6/'Ar-Pa'!V6,0)</f>
        <v>9.2460218325351953</v>
      </c>
      <c r="BS6" s="18">
        <f>IFERROR(AU6/'Ar-Pa'!W6,0)</f>
        <v>9.2460218325351953</v>
      </c>
      <c r="BT6" s="18">
        <f>IFERROR(AV6/'Ar-Pa'!X6,0)</f>
        <v>9.2460218325351953</v>
      </c>
      <c r="BU6" s="18">
        <f>IFERROR(AW6/'Ar-Pa'!Y6,0)</f>
        <v>9.5762368979828807</v>
      </c>
    </row>
    <row r="7" spans="1:73" s="12" customFormat="1" ht="15">
      <c r="A7" s="15">
        <v>44932</v>
      </c>
      <c r="B7" s="441">
        <v>0.28999999999999998</v>
      </c>
      <c r="C7" s="441">
        <v>0.3</v>
      </c>
      <c r="D7" s="441">
        <v>0.3</v>
      </c>
      <c r="E7" s="441">
        <v>0.28999999999999998</v>
      </c>
      <c r="F7" s="441">
        <v>0.28999999999999998</v>
      </c>
      <c r="G7" s="441">
        <v>0.27</v>
      </c>
      <c r="H7" s="441">
        <v>0.28999999999999998</v>
      </c>
      <c r="I7" s="441">
        <v>0.28000000000000003</v>
      </c>
      <c r="J7" s="441">
        <v>0.28999999999999998</v>
      </c>
      <c r="K7" s="441">
        <v>0.28999999999999998</v>
      </c>
      <c r="L7" s="441">
        <v>0.3</v>
      </c>
      <c r="M7" s="441">
        <v>0.3</v>
      </c>
      <c r="N7" s="441">
        <v>0.3</v>
      </c>
      <c r="O7" s="441">
        <v>0.28999999999999998</v>
      </c>
      <c r="P7" s="441">
        <v>0.31</v>
      </c>
      <c r="Q7" s="441">
        <v>0.28999999999999998</v>
      </c>
      <c r="R7" s="441">
        <v>0.3</v>
      </c>
      <c r="S7" s="441">
        <v>0.3</v>
      </c>
      <c r="T7" s="441">
        <v>0.3</v>
      </c>
      <c r="U7" s="441">
        <v>0.3</v>
      </c>
      <c r="V7" s="441">
        <v>0.3</v>
      </c>
      <c r="W7" s="441">
        <v>0.28999999999999998</v>
      </c>
      <c r="X7" s="441">
        <v>0.3</v>
      </c>
      <c r="Y7" s="441">
        <v>0.3</v>
      </c>
      <c r="Z7" s="19">
        <f>+CONVERT(B7,"m^3","gal")</f>
        <v>76.609895183863046</v>
      </c>
      <c r="AA7" s="19">
        <f t="shared" si="23"/>
        <v>79.251615707444529</v>
      </c>
      <c r="AB7" s="19">
        <f t="shared" si="0"/>
        <v>79.251615707444529</v>
      </c>
      <c r="AC7" s="19">
        <f t="shared" si="1"/>
        <v>76.609895183863046</v>
      </c>
      <c r="AD7" s="19">
        <f t="shared" si="2"/>
        <v>76.609895183863046</v>
      </c>
      <c r="AE7" s="19">
        <f t="shared" si="3"/>
        <v>71.326454136700079</v>
      </c>
      <c r="AF7" s="19">
        <f t="shared" si="4"/>
        <v>76.609895183863046</v>
      </c>
      <c r="AG7" s="19">
        <f t="shared" si="5"/>
        <v>73.968174660281562</v>
      </c>
      <c r="AH7" s="19">
        <f t="shared" si="6"/>
        <v>76.609895183863046</v>
      </c>
      <c r="AI7" s="19">
        <f t="shared" si="7"/>
        <v>76.609895183863046</v>
      </c>
      <c r="AJ7" s="19">
        <f t="shared" si="8"/>
        <v>79.251615707444529</v>
      </c>
      <c r="AK7" s="19">
        <f t="shared" si="9"/>
        <v>79.251615707444529</v>
      </c>
      <c r="AL7" s="19">
        <f t="shared" si="10"/>
        <v>79.251615707444529</v>
      </c>
      <c r="AM7" s="19">
        <f t="shared" si="11"/>
        <v>76.609895183863046</v>
      </c>
      <c r="AN7" s="19">
        <f t="shared" si="12"/>
        <v>81.893336231026012</v>
      </c>
      <c r="AO7" s="19">
        <f t="shared" si="13"/>
        <v>76.609895183863046</v>
      </c>
      <c r="AP7" s="19">
        <f t="shared" si="14"/>
        <v>79.251615707444529</v>
      </c>
      <c r="AQ7" s="19">
        <f t="shared" si="15"/>
        <v>79.251615707444529</v>
      </c>
      <c r="AR7" s="19">
        <f t="shared" si="16"/>
        <v>79.251615707444529</v>
      </c>
      <c r="AS7" s="19">
        <f t="shared" si="17"/>
        <v>79.251615707444529</v>
      </c>
      <c r="AT7" s="19">
        <f t="shared" si="18"/>
        <v>79.251615707444529</v>
      </c>
      <c r="AU7" s="19">
        <f t="shared" si="19"/>
        <v>76.609895183863046</v>
      </c>
      <c r="AV7" s="19">
        <f t="shared" si="20"/>
        <v>79.251615707444529</v>
      </c>
      <c r="AW7" s="19">
        <f t="shared" si="21"/>
        <v>79.251615707444529</v>
      </c>
      <c r="AX7" s="18">
        <f>IFERROR(Z7/'Ar-Pa'!B7,0)</f>
        <v>9.5762368979828807</v>
      </c>
      <c r="AY7" s="18">
        <f>IFERROR(AA7/'Ar-Pa'!C7,0)</f>
        <v>9.9064519634305661</v>
      </c>
      <c r="AZ7" s="18">
        <f>IFERROR(AB7/'Ar-Pa'!D7,0)</f>
        <v>9.9064519634305661</v>
      </c>
      <c r="BA7" s="18">
        <f>IFERROR(AC7/'Ar-Pa'!E7,0)</f>
        <v>9.5762368979828807</v>
      </c>
      <c r="BB7" s="18">
        <f>IFERROR(AD7/'Ar-Pa'!F7,0)</f>
        <v>12.768315863977174</v>
      </c>
      <c r="BC7" s="18">
        <f>IFERROR(AE7/'Ar-Pa'!G7,0)</f>
        <v>11.88774235611668</v>
      </c>
      <c r="BD7" s="18">
        <f>IFERROR(AF7/'Ar-Pa'!H7,0)</f>
        <v>12.768315863977174</v>
      </c>
      <c r="BE7" s="18">
        <f>IFERROR(AG7/'Ar-Pa'!I7,0)</f>
        <v>12.328029110046927</v>
      </c>
      <c r="BF7" s="18">
        <f>IFERROR(AH7/'Ar-Pa'!J7,0)</f>
        <v>12.768315863977174</v>
      </c>
      <c r="BG7" s="18">
        <f>IFERROR(AI7/'Ar-Pa'!K7,0)</f>
        <v>9.5762368979828807</v>
      </c>
      <c r="BH7" s="18">
        <f>IFERROR(AJ7/'Ar-Pa'!L7,0)</f>
        <v>9.9064519634305661</v>
      </c>
      <c r="BI7" s="18">
        <f>IFERROR(AK7/'Ar-Pa'!M7,0)</f>
        <v>9.9064519634305661</v>
      </c>
      <c r="BJ7" s="18">
        <f>IFERROR(AL7/'Ar-Pa'!N7,0)</f>
        <v>9.9064519634305661</v>
      </c>
      <c r="BK7" s="18">
        <f>IFERROR(AM7/'Ar-Pa'!O7,0)</f>
        <v>9.5762368979828807</v>
      </c>
      <c r="BL7" s="18">
        <f>IFERROR(AN7/'Ar-Pa'!P7,0)</f>
        <v>10.236667028878252</v>
      </c>
      <c r="BM7" s="18">
        <f>IFERROR(AO7/'Ar-Pa'!Q7,0)</f>
        <v>9.5762368979828807</v>
      </c>
      <c r="BN7" s="18">
        <f>IFERROR(AP7/'Ar-Pa'!R7,0)</f>
        <v>9.9064519634305661</v>
      </c>
      <c r="BO7" s="18">
        <f>IFERROR(AQ7/'Ar-Pa'!S7,0)</f>
        <v>9.9064519634305661</v>
      </c>
      <c r="BP7" s="18">
        <f>IFERROR(AR7/'Ar-Pa'!T7,0)</f>
        <v>9.9064519634305661</v>
      </c>
      <c r="BQ7" s="18">
        <f>IFERROR(AS7/'Ar-Pa'!U7,0)</f>
        <v>9.9064519634305661</v>
      </c>
      <c r="BR7" s="18">
        <f>IFERROR(AT7/'Ar-Pa'!V7,0)</f>
        <v>9.9064519634305661</v>
      </c>
      <c r="BS7" s="18">
        <f>IFERROR(AU7/'Ar-Pa'!W7,0)</f>
        <v>9.5762368979828807</v>
      </c>
      <c r="BT7" s="18">
        <f>IFERROR(AV7/'Ar-Pa'!X7,0)</f>
        <v>9.9064519634305661</v>
      </c>
      <c r="BU7" s="18">
        <f>IFERROR(AW7/'Ar-Pa'!Y7,0)</f>
        <v>9.9064519634305661</v>
      </c>
    </row>
    <row r="8" spans="1:73" s="12" customFormat="1" ht="15">
      <c r="A8" s="15">
        <v>44933</v>
      </c>
      <c r="B8" s="441">
        <v>0.31</v>
      </c>
      <c r="C8" s="441">
        <v>0.32</v>
      </c>
      <c r="D8" s="441">
        <v>0.32</v>
      </c>
      <c r="E8" s="441">
        <v>0.3</v>
      </c>
      <c r="F8" s="441">
        <v>0.3</v>
      </c>
      <c r="G8" s="441">
        <v>0.12</v>
      </c>
      <c r="H8" s="441">
        <v>0.02</v>
      </c>
      <c r="I8" s="441">
        <v>0.01</v>
      </c>
      <c r="J8" s="441">
        <v>0.09</v>
      </c>
      <c r="K8" s="441">
        <v>0.21</v>
      </c>
      <c r="L8" s="441">
        <v>0.3</v>
      </c>
      <c r="M8" s="441">
        <v>0.3</v>
      </c>
      <c r="N8" s="441">
        <v>0.3</v>
      </c>
      <c r="O8" s="441">
        <v>0.33</v>
      </c>
      <c r="P8" s="441">
        <v>0.32</v>
      </c>
      <c r="Q8" s="441">
        <v>0.31</v>
      </c>
      <c r="R8" s="441">
        <v>0.33</v>
      </c>
      <c r="S8" s="441">
        <v>0.31</v>
      </c>
      <c r="T8" s="441">
        <v>0.32</v>
      </c>
      <c r="U8" s="441">
        <v>0.32</v>
      </c>
      <c r="V8" s="441">
        <v>0.32</v>
      </c>
      <c r="W8" s="441">
        <v>0.31</v>
      </c>
      <c r="X8" s="441">
        <v>0.33</v>
      </c>
      <c r="Y8" s="441">
        <v>0.31</v>
      </c>
      <c r="Z8" s="19">
        <f t="shared" si="22"/>
        <v>81.893336231026012</v>
      </c>
      <c r="AA8" s="19">
        <f t="shared" si="23"/>
        <v>84.535056754607496</v>
      </c>
      <c r="AB8" s="19">
        <f t="shared" si="0"/>
        <v>84.535056754607496</v>
      </c>
      <c r="AC8" s="19">
        <f t="shared" si="1"/>
        <v>79.251615707444529</v>
      </c>
      <c r="AD8" s="19">
        <f t="shared" si="2"/>
        <v>79.251615707444529</v>
      </c>
      <c r="AE8" s="19">
        <f t="shared" si="3"/>
        <v>31.700646282977811</v>
      </c>
      <c r="AF8" s="19">
        <f t="shared" si="4"/>
        <v>5.2834410471629685</v>
      </c>
      <c r="AG8" s="19">
        <f t="shared" si="5"/>
        <v>2.6417205235814842</v>
      </c>
      <c r="AH8" s="19">
        <f t="shared" si="6"/>
        <v>23.775484712233357</v>
      </c>
      <c r="AI8" s="19">
        <f t="shared" si="7"/>
        <v>55.476130995211172</v>
      </c>
      <c r="AJ8" s="19">
        <f t="shared" si="8"/>
        <v>79.251615707444529</v>
      </c>
      <c r="AK8" s="19">
        <f t="shared" si="9"/>
        <v>79.251615707444529</v>
      </c>
      <c r="AL8" s="19">
        <f t="shared" si="10"/>
        <v>79.251615707444529</v>
      </c>
      <c r="AM8" s="19">
        <f t="shared" si="11"/>
        <v>87.176777278188979</v>
      </c>
      <c r="AN8" s="19">
        <f t="shared" si="12"/>
        <v>84.535056754607496</v>
      </c>
      <c r="AO8" s="19">
        <f t="shared" si="13"/>
        <v>81.893336231026012</v>
      </c>
      <c r="AP8" s="19">
        <f t="shared" si="14"/>
        <v>87.176777278188979</v>
      </c>
      <c r="AQ8" s="19">
        <f t="shared" si="15"/>
        <v>81.893336231026012</v>
      </c>
      <c r="AR8" s="19">
        <f t="shared" si="16"/>
        <v>84.535056754607496</v>
      </c>
      <c r="AS8" s="19">
        <f t="shared" si="17"/>
        <v>84.535056754607496</v>
      </c>
      <c r="AT8" s="19">
        <f t="shared" si="18"/>
        <v>84.535056754607496</v>
      </c>
      <c r="AU8" s="19">
        <f t="shared" si="19"/>
        <v>81.893336231026012</v>
      </c>
      <c r="AV8" s="19">
        <f t="shared" si="20"/>
        <v>87.176777278188979</v>
      </c>
      <c r="AW8" s="19">
        <f t="shared" si="21"/>
        <v>81.893336231026012</v>
      </c>
      <c r="AX8" s="18">
        <f>IFERROR(Z8/'Ar-Pa'!B8,0)</f>
        <v>9.0992595812251125</v>
      </c>
      <c r="AY8" s="18">
        <f>IFERROR(AA8/'Ar-Pa'!C8,0)</f>
        <v>9.3927840838452781</v>
      </c>
      <c r="AZ8" s="18">
        <f>IFERROR(AB8/'Ar-Pa'!D8,0)</f>
        <v>9.3927840838452781</v>
      </c>
      <c r="BA8" s="18">
        <f>IFERROR(AC8/'Ar-Pa'!E8,0)</f>
        <v>11.321659386777791</v>
      </c>
      <c r="BB8" s="18">
        <f>IFERROR(AD8/'Ar-Pa'!F8,0)</f>
        <v>11.321659386777791</v>
      </c>
      <c r="BC8" s="18">
        <f>IFERROR(AE8/'Ar-Pa'!G8,0)</f>
        <v>10.566882094325937</v>
      </c>
      <c r="BD8" s="18">
        <f>IFERROR(AF8/'Ar-Pa'!H8,0)</f>
        <v>1.7611470157209894</v>
      </c>
      <c r="BE8" s="18">
        <f>IFERROR(AG8/'Ar-Pa'!I8,0)</f>
        <v>1.3208602617907421</v>
      </c>
      <c r="BF8" s="18">
        <f>IFERROR(AH8/'Ar-Pa'!J8,0)</f>
        <v>11.887742356116679</v>
      </c>
      <c r="BG8" s="18">
        <f>IFERROR(AI8/'Ar-Pa'!K8,0)</f>
        <v>9.2460218325351953</v>
      </c>
      <c r="BH8" s="18">
        <f>IFERROR(AJ8/'Ar-Pa'!L8,0)</f>
        <v>13.208602617907422</v>
      </c>
      <c r="BI8" s="18">
        <f>IFERROR(AK8/'Ar-Pa'!M8,0)</f>
        <v>8.8057350786049469</v>
      </c>
      <c r="BJ8" s="18">
        <f>IFERROR(AL8/'Ar-Pa'!N8,0)</f>
        <v>9.9064519634305661</v>
      </c>
      <c r="BK8" s="18">
        <f>IFERROR(AM8/'Ar-Pa'!O8,0)</f>
        <v>9.6863085864654419</v>
      </c>
      <c r="BL8" s="18">
        <f>IFERROR(AN8/'Ar-Pa'!P8,0)</f>
        <v>9.3927840838452781</v>
      </c>
      <c r="BM8" s="18">
        <f>IFERROR(AO8/'Ar-Pa'!Q8,0)</f>
        <v>9.0992595812251125</v>
      </c>
      <c r="BN8" s="18">
        <f>IFERROR(AP8/'Ar-Pa'!R8,0)</f>
        <v>9.6863085864654419</v>
      </c>
      <c r="BO8" s="18">
        <f>IFERROR(AQ8/'Ar-Pa'!S8,0)</f>
        <v>9.0992595812251125</v>
      </c>
      <c r="BP8" s="18">
        <f>IFERROR(AR8/'Ar-Pa'!T8,0)</f>
        <v>9.3927840838452781</v>
      </c>
      <c r="BQ8" s="18">
        <f>IFERROR(AS8/'Ar-Pa'!U8,0)</f>
        <v>9.3927840838452781</v>
      </c>
      <c r="BR8" s="18">
        <f>IFERROR(AT8/'Ar-Pa'!V8,0)</f>
        <v>9.3927840838452781</v>
      </c>
      <c r="BS8" s="18">
        <f>IFERROR(AU8/'Ar-Pa'!W8,0)</f>
        <v>9.0992595812251125</v>
      </c>
      <c r="BT8" s="18">
        <f>IFERROR(AV8/'Ar-Pa'!X8,0)</f>
        <v>9.6863085864654419</v>
      </c>
      <c r="BU8" s="18">
        <f>IFERROR(AW8/'Ar-Pa'!Y8,0)</f>
        <v>9.0992595812251125</v>
      </c>
    </row>
    <row r="9" spans="1:73" s="12" customFormat="1" ht="15">
      <c r="A9" s="15">
        <v>44934</v>
      </c>
      <c r="B9" s="441">
        <v>0.28000000000000003</v>
      </c>
      <c r="C9" s="441">
        <v>0.28000000000000003</v>
      </c>
      <c r="D9" s="441">
        <v>0.28000000000000003</v>
      </c>
      <c r="E9" s="441">
        <v>0.27</v>
      </c>
      <c r="F9" s="441">
        <v>0.26</v>
      </c>
      <c r="G9" s="441">
        <v>0.27</v>
      </c>
      <c r="H9" s="441">
        <v>0.08</v>
      </c>
      <c r="I9" s="441">
        <v>0.01</v>
      </c>
      <c r="J9" s="441">
        <v>0</v>
      </c>
      <c r="K9" s="441">
        <v>0</v>
      </c>
      <c r="L9" s="441">
        <v>0.03</v>
      </c>
      <c r="M9" s="441">
        <v>0.08</v>
      </c>
      <c r="N9" s="441">
        <v>0.24</v>
      </c>
      <c r="O9" s="441">
        <v>0.27</v>
      </c>
      <c r="P9" s="441">
        <v>0.28000000000000003</v>
      </c>
      <c r="Q9" s="441">
        <v>0.28999999999999998</v>
      </c>
      <c r="R9" s="441">
        <v>0.27</v>
      </c>
      <c r="S9" s="441">
        <v>0.28000000000000003</v>
      </c>
      <c r="T9" s="441">
        <v>0.28000000000000003</v>
      </c>
      <c r="U9" s="441">
        <v>0.28999999999999998</v>
      </c>
      <c r="V9" s="441">
        <v>0.27</v>
      </c>
      <c r="W9" s="441">
        <v>0.28999999999999998</v>
      </c>
      <c r="X9" s="441">
        <v>0.28000000000000003</v>
      </c>
      <c r="Y9" s="441">
        <v>0.28000000000000003</v>
      </c>
      <c r="Z9" s="19">
        <f t="shared" si="22"/>
        <v>73.968174660281562</v>
      </c>
      <c r="AA9" s="19">
        <f t="shared" si="23"/>
        <v>73.968174660281562</v>
      </c>
      <c r="AB9" s="19">
        <f t="shared" si="0"/>
        <v>73.968174660281562</v>
      </c>
      <c r="AC9" s="19">
        <f t="shared" si="1"/>
        <v>71.326454136700079</v>
      </c>
      <c r="AD9" s="19">
        <f t="shared" si="2"/>
        <v>68.684733613118595</v>
      </c>
      <c r="AE9" s="19">
        <f t="shared" si="3"/>
        <v>71.326454136700079</v>
      </c>
      <c r="AF9" s="19">
        <f t="shared" si="4"/>
        <v>21.133764188651874</v>
      </c>
      <c r="AG9" s="19">
        <f t="shared" si="5"/>
        <v>2.6417205235814842</v>
      </c>
      <c r="AH9" s="19">
        <f t="shared" si="6"/>
        <v>0</v>
      </c>
      <c r="AI9" s="19">
        <f t="shared" si="7"/>
        <v>0</v>
      </c>
      <c r="AJ9" s="19">
        <f t="shared" si="8"/>
        <v>7.9251615707444527</v>
      </c>
      <c r="AK9" s="19">
        <f t="shared" si="9"/>
        <v>21.133764188651874</v>
      </c>
      <c r="AL9" s="19">
        <f t="shared" si="10"/>
        <v>63.401292565955622</v>
      </c>
      <c r="AM9" s="19">
        <f t="shared" si="11"/>
        <v>71.326454136700079</v>
      </c>
      <c r="AN9" s="19">
        <f t="shared" si="12"/>
        <v>73.968174660281562</v>
      </c>
      <c r="AO9" s="19">
        <f t="shared" si="13"/>
        <v>76.609895183863046</v>
      </c>
      <c r="AP9" s="19">
        <f t="shared" si="14"/>
        <v>71.326454136700079</v>
      </c>
      <c r="AQ9" s="19">
        <f t="shared" si="15"/>
        <v>73.968174660281562</v>
      </c>
      <c r="AR9" s="19">
        <f t="shared" si="16"/>
        <v>73.968174660281562</v>
      </c>
      <c r="AS9" s="19">
        <f t="shared" si="17"/>
        <v>76.609895183863046</v>
      </c>
      <c r="AT9" s="19">
        <f t="shared" si="18"/>
        <v>71.326454136700079</v>
      </c>
      <c r="AU9" s="19">
        <f t="shared" si="19"/>
        <v>76.609895183863046</v>
      </c>
      <c r="AV9" s="19">
        <f t="shared" si="20"/>
        <v>73.968174660281562</v>
      </c>
      <c r="AW9" s="19">
        <f t="shared" si="21"/>
        <v>73.968174660281562</v>
      </c>
      <c r="AX9" s="18">
        <f>IFERROR(Z9/'Ar-Pa'!B9,0)</f>
        <v>9.2460218325351953</v>
      </c>
      <c r="AY9" s="18">
        <f>IFERROR(AA9/'Ar-Pa'!C9,0)</f>
        <v>9.2460218325351953</v>
      </c>
      <c r="AZ9" s="18">
        <f>IFERROR(AB9/'Ar-Pa'!D9,0)</f>
        <v>9.2460218325351953</v>
      </c>
      <c r="BA9" s="18">
        <f>IFERROR(AC9/'Ar-Pa'!E9,0)</f>
        <v>8.9158067670875099</v>
      </c>
      <c r="BB9" s="18">
        <f>IFERROR(AD9/'Ar-Pa'!F9,0)</f>
        <v>11.447455602186432</v>
      </c>
      <c r="BC9" s="18">
        <f>IFERROR(AE9/'Ar-Pa'!G9,0)</f>
        <v>11.88774235611668</v>
      </c>
      <c r="BD9" s="18">
        <f>IFERROR(AF9/'Ar-Pa'!H9,0)</f>
        <v>3.5222940314419788</v>
      </c>
      <c r="BE9" s="18">
        <f>IFERROR(AG9/'Ar-Pa'!I9,0)</f>
        <v>1.3208602617907421</v>
      </c>
      <c r="BF9" s="18">
        <f>IFERROR(AH9/'Ar-Pa'!J9,0)</f>
        <v>0</v>
      </c>
      <c r="BG9" s="18">
        <f>IFERROR(AI9/'Ar-Pa'!K9,0)</f>
        <v>0</v>
      </c>
      <c r="BH9" s="18">
        <f>IFERROR(AJ9/'Ar-Pa'!L9,0)</f>
        <v>3.9625807853722264</v>
      </c>
      <c r="BI9" s="18">
        <f>IFERROR(AK9/'Ar-Pa'!M9,0)</f>
        <v>10.566882094325937</v>
      </c>
      <c r="BJ9" s="18">
        <f>IFERROR(AL9/'Ar-Pa'!N9,0)</f>
        <v>10.566882094325937</v>
      </c>
      <c r="BK9" s="18">
        <f>IFERROR(AM9/'Ar-Pa'!O9,0)</f>
        <v>8.9158067670875099</v>
      </c>
      <c r="BL9" s="18">
        <f>IFERROR(AN9/'Ar-Pa'!P9,0)</f>
        <v>9.2460218325351953</v>
      </c>
      <c r="BM9" s="18">
        <f>IFERROR(AO9/'Ar-Pa'!Q9,0)</f>
        <v>9.5762368979828807</v>
      </c>
      <c r="BN9" s="18">
        <f>IFERROR(AP9/'Ar-Pa'!R9,0)</f>
        <v>8.9158067670875099</v>
      </c>
      <c r="BO9" s="18">
        <f>IFERROR(AQ9/'Ar-Pa'!S9,0)</f>
        <v>9.2460218325351953</v>
      </c>
      <c r="BP9" s="18">
        <f>IFERROR(AR9/'Ar-Pa'!T9,0)</f>
        <v>9.2460218325351953</v>
      </c>
      <c r="BQ9" s="18">
        <f>IFERROR(AS9/'Ar-Pa'!U9,0)</f>
        <v>9.5762368979828807</v>
      </c>
      <c r="BR9" s="18">
        <f>IFERROR(AT9/'Ar-Pa'!V9,0)</f>
        <v>8.9158067670875099</v>
      </c>
      <c r="BS9" s="18">
        <f>IFERROR(AU9/'Ar-Pa'!W9,0)</f>
        <v>9.5762368979828807</v>
      </c>
      <c r="BT9" s="18">
        <f>IFERROR(AV9/'Ar-Pa'!X9,0)</f>
        <v>9.2460218325351953</v>
      </c>
      <c r="BU9" s="18">
        <f>IFERROR(AW9/'Ar-Pa'!Y9,0)</f>
        <v>9.2460218325351953</v>
      </c>
    </row>
    <row r="10" spans="1:73" s="12" customFormat="1" ht="15">
      <c r="A10" s="15">
        <v>44935</v>
      </c>
      <c r="B10" s="441">
        <v>0.31</v>
      </c>
      <c r="C10" s="441">
        <v>0.33</v>
      </c>
      <c r="D10" s="441">
        <v>0.31</v>
      </c>
      <c r="E10" s="441">
        <v>0.33</v>
      </c>
      <c r="F10" s="441">
        <v>0.32</v>
      </c>
      <c r="G10" s="441">
        <v>0.32</v>
      </c>
      <c r="H10" s="441">
        <v>0.3</v>
      </c>
      <c r="I10" s="441">
        <v>0.13</v>
      </c>
      <c r="J10" s="441">
        <v>0</v>
      </c>
      <c r="K10" s="441">
        <v>0.05</v>
      </c>
      <c r="L10" s="441">
        <v>0.09</v>
      </c>
      <c r="M10" s="441">
        <v>0.21</v>
      </c>
      <c r="N10" s="441">
        <v>0.31</v>
      </c>
      <c r="O10" s="441">
        <v>0.31</v>
      </c>
      <c r="P10" s="441">
        <v>0.33</v>
      </c>
      <c r="Q10" s="441">
        <v>0.31</v>
      </c>
      <c r="R10" s="441">
        <v>0.32</v>
      </c>
      <c r="S10" s="441">
        <v>0.31</v>
      </c>
      <c r="T10" s="441">
        <v>0.33</v>
      </c>
      <c r="U10" s="441">
        <v>0.32</v>
      </c>
      <c r="V10" s="441">
        <v>0.32</v>
      </c>
      <c r="W10" s="441">
        <v>0.32</v>
      </c>
      <c r="X10" s="441">
        <v>0.32</v>
      </c>
      <c r="Y10" s="441">
        <v>0.32</v>
      </c>
      <c r="Z10" s="19">
        <f t="shared" si="22"/>
        <v>81.893336231026012</v>
      </c>
      <c r="AA10" s="19">
        <f t="shared" si="23"/>
        <v>87.176777278188979</v>
      </c>
      <c r="AB10" s="19">
        <f t="shared" si="0"/>
        <v>81.893336231026012</v>
      </c>
      <c r="AC10" s="19">
        <f t="shared" si="1"/>
        <v>87.176777278188979</v>
      </c>
      <c r="AD10" s="19">
        <f t="shared" si="2"/>
        <v>84.535056754607496</v>
      </c>
      <c r="AE10" s="19">
        <f t="shared" si="3"/>
        <v>84.535056754607496</v>
      </c>
      <c r="AF10" s="19">
        <f t="shared" si="4"/>
        <v>79.251615707444529</v>
      </c>
      <c r="AG10" s="19">
        <f t="shared" si="5"/>
        <v>34.342366806559298</v>
      </c>
      <c r="AH10" s="19">
        <f t="shared" si="6"/>
        <v>0</v>
      </c>
      <c r="AI10" s="19">
        <f t="shared" si="7"/>
        <v>13.20860261790742</v>
      </c>
      <c r="AJ10" s="19">
        <f t="shared" si="8"/>
        <v>23.775484712233357</v>
      </c>
      <c r="AK10" s="19">
        <f t="shared" si="9"/>
        <v>55.476130995211172</v>
      </c>
      <c r="AL10" s="19">
        <f t="shared" si="10"/>
        <v>81.893336231026012</v>
      </c>
      <c r="AM10" s="19">
        <f t="shared" si="11"/>
        <v>81.893336231026012</v>
      </c>
      <c r="AN10" s="19">
        <f t="shared" si="12"/>
        <v>87.176777278188979</v>
      </c>
      <c r="AO10" s="19">
        <f t="shared" si="13"/>
        <v>81.893336231026012</v>
      </c>
      <c r="AP10" s="19">
        <f t="shared" si="14"/>
        <v>84.535056754607496</v>
      </c>
      <c r="AQ10" s="19">
        <f t="shared" si="15"/>
        <v>81.893336231026012</v>
      </c>
      <c r="AR10" s="19">
        <f t="shared" si="16"/>
        <v>87.176777278188979</v>
      </c>
      <c r="AS10" s="19">
        <f t="shared" si="17"/>
        <v>84.535056754607496</v>
      </c>
      <c r="AT10" s="19">
        <f t="shared" si="18"/>
        <v>84.535056754607496</v>
      </c>
      <c r="AU10" s="19">
        <f t="shared" si="19"/>
        <v>84.535056754607496</v>
      </c>
      <c r="AV10" s="19">
        <f t="shared" si="20"/>
        <v>84.535056754607496</v>
      </c>
      <c r="AW10" s="19">
        <f t="shared" si="21"/>
        <v>84.535056754607496</v>
      </c>
      <c r="AX10" s="18">
        <f>IFERROR(Z10/'Ar-Pa'!B10,0)</f>
        <v>9.0992595812251125</v>
      </c>
      <c r="AY10" s="18">
        <f>IFERROR(AA10/'Ar-Pa'!C10,0)</f>
        <v>9.6863085864654419</v>
      </c>
      <c r="AZ10" s="18">
        <f>IFERROR(AB10/'Ar-Pa'!D10,0)</f>
        <v>9.0992595812251125</v>
      </c>
      <c r="BA10" s="18">
        <f>IFERROR(AC10/'Ar-Pa'!E10,0)</f>
        <v>9.6863085864654419</v>
      </c>
      <c r="BB10" s="18">
        <f>IFERROR(AD10/'Ar-Pa'!F10,0)</f>
        <v>9.3927840838452781</v>
      </c>
      <c r="BC10" s="18">
        <f>IFERROR(AE10/'Ar-Pa'!G10,0)</f>
        <v>10.566882094325937</v>
      </c>
      <c r="BD10" s="18">
        <f>IFERROR(AF10/'Ar-Pa'!H10,0)</f>
        <v>11.321659386777791</v>
      </c>
      <c r="BE10" s="18">
        <f>IFERROR(AG10/'Ar-Pa'!I10,0)</f>
        <v>4.9060524009370425</v>
      </c>
      <c r="BF10" s="18">
        <f>IFERROR(AH10/'Ar-Pa'!J10,0)</f>
        <v>0</v>
      </c>
      <c r="BG10" s="18">
        <f>IFERROR(AI10/'Ar-Pa'!K10,0)</f>
        <v>6.6043013089537101</v>
      </c>
      <c r="BH10" s="18">
        <f>IFERROR(AJ10/'Ar-Pa'!L10,0)</f>
        <v>11.887742356116679</v>
      </c>
      <c r="BI10" s="18">
        <f>IFERROR(AK10/'Ar-Pa'!M10,0)</f>
        <v>9.2460218325351953</v>
      </c>
      <c r="BJ10" s="18">
        <f>IFERROR(AL10/'Ar-Pa'!N10,0)</f>
        <v>9.0992595812251125</v>
      </c>
      <c r="BK10" s="18">
        <f>IFERROR(AM10/'Ar-Pa'!O10,0)</f>
        <v>9.0992595812251125</v>
      </c>
      <c r="BL10" s="18">
        <f>IFERROR(AN10/'Ar-Pa'!P10,0)</f>
        <v>9.6863085864654419</v>
      </c>
      <c r="BM10" s="18">
        <f>IFERROR(AO10/'Ar-Pa'!Q10,0)</f>
        <v>9.0992595812251125</v>
      </c>
      <c r="BN10" s="18">
        <f>IFERROR(AP10/'Ar-Pa'!R10,0)</f>
        <v>9.3927840838452781</v>
      </c>
      <c r="BO10" s="18">
        <f>IFERROR(AQ10/'Ar-Pa'!S10,0)</f>
        <v>9.0992595812251125</v>
      </c>
      <c r="BP10" s="18">
        <f>IFERROR(AR10/'Ar-Pa'!T10,0)</f>
        <v>9.6863085864654419</v>
      </c>
      <c r="BQ10" s="18">
        <f>IFERROR(AS10/'Ar-Pa'!U10,0)</f>
        <v>9.3927840838452781</v>
      </c>
      <c r="BR10" s="18">
        <f>IFERROR(AT10/'Ar-Pa'!V10,0)</f>
        <v>9.3927840838452781</v>
      </c>
      <c r="BS10" s="18">
        <f>IFERROR(AU10/'Ar-Pa'!W10,0)</f>
        <v>9.3927840838452781</v>
      </c>
      <c r="BT10" s="18">
        <f>IFERROR(AV10/'Ar-Pa'!X10,0)</f>
        <v>9.3927840838452781</v>
      </c>
      <c r="BU10" s="18">
        <f>IFERROR(AW10/'Ar-Pa'!Y10,0)</f>
        <v>9.3927840838452781</v>
      </c>
    </row>
    <row r="11" spans="1:73" s="12" customFormat="1" ht="15">
      <c r="A11" s="15">
        <v>44936</v>
      </c>
      <c r="B11" s="441">
        <v>0.3</v>
      </c>
      <c r="C11" s="441">
        <v>0.31</v>
      </c>
      <c r="D11" s="441">
        <v>0.3</v>
      </c>
      <c r="E11" s="441">
        <v>0.31</v>
      </c>
      <c r="F11" s="441">
        <v>0.3</v>
      </c>
      <c r="G11" s="441">
        <v>0.28999999999999998</v>
      </c>
      <c r="H11" s="441">
        <v>0.28999999999999998</v>
      </c>
      <c r="I11" s="441">
        <v>0.28999999999999998</v>
      </c>
      <c r="J11" s="441">
        <v>0.3</v>
      </c>
      <c r="K11" s="441">
        <v>0.3</v>
      </c>
      <c r="L11" s="441">
        <v>0.31</v>
      </c>
      <c r="M11" s="441">
        <v>0.31</v>
      </c>
      <c r="N11" s="441">
        <v>0.31</v>
      </c>
      <c r="O11" s="441">
        <v>0.31</v>
      </c>
      <c r="P11" s="441">
        <v>0.31</v>
      </c>
      <c r="Q11" s="441">
        <v>0.32</v>
      </c>
      <c r="R11" s="441">
        <v>0.31</v>
      </c>
      <c r="S11" s="441">
        <v>0.31</v>
      </c>
      <c r="T11" s="441">
        <v>0.31</v>
      </c>
      <c r="U11" s="441">
        <v>0.32</v>
      </c>
      <c r="V11" s="441">
        <v>0.3</v>
      </c>
      <c r="W11" s="441">
        <v>0.3</v>
      </c>
      <c r="X11" s="441">
        <v>0.31</v>
      </c>
      <c r="Y11" s="441">
        <v>0.3</v>
      </c>
      <c r="Z11" s="19">
        <f t="shared" si="22"/>
        <v>79.251615707444529</v>
      </c>
      <c r="AA11" s="19">
        <f t="shared" si="23"/>
        <v>81.893336231026012</v>
      </c>
      <c r="AB11" s="19">
        <f t="shared" si="0"/>
        <v>79.251615707444529</v>
      </c>
      <c r="AC11" s="19">
        <f t="shared" si="1"/>
        <v>81.893336231026012</v>
      </c>
      <c r="AD11" s="19">
        <f t="shared" si="2"/>
        <v>79.251615707444529</v>
      </c>
      <c r="AE11" s="19">
        <f t="shared" si="3"/>
        <v>76.609895183863046</v>
      </c>
      <c r="AF11" s="19">
        <f t="shared" si="4"/>
        <v>76.609895183863046</v>
      </c>
      <c r="AG11" s="19">
        <f t="shared" si="5"/>
        <v>76.609895183863046</v>
      </c>
      <c r="AH11" s="19">
        <f t="shared" si="6"/>
        <v>79.251615707444529</v>
      </c>
      <c r="AI11" s="19">
        <f t="shared" si="7"/>
        <v>79.251615707444529</v>
      </c>
      <c r="AJ11" s="19">
        <f t="shared" si="8"/>
        <v>81.893336231026012</v>
      </c>
      <c r="AK11" s="19">
        <f t="shared" si="9"/>
        <v>81.893336231026012</v>
      </c>
      <c r="AL11" s="19">
        <f t="shared" si="10"/>
        <v>81.893336231026012</v>
      </c>
      <c r="AM11" s="19">
        <f t="shared" si="11"/>
        <v>81.893336231026012</v>
      </c>
      <c r="AN11" s="19">
        <f t="shared" si="12"/>
        <v>81.893336231026012</v>
      </c>
      <c r="AO11" s="19">
        <f t="shared" si="13"/>
        <v>84.535056754607496</v>
      </c>
      <c r="AP11" s="19">
        <f t="shared" si="14"/>
        <v>81.893336231026012</v>
      </c>
      <c r="AQ11" s="19">
        <f t="shared" si="15"/>
        <v>81.893336231026012</v>
      </c>
      <c r="AR11" s="19">
        <f t="shared" si="16"/>
        <v>81.893336231026012</v>
      </c>
      <c r="AS11" s="19">
        <f t="shared" si="17"/>
        <v>84.535056754607496</v>
      </c>
      <c r="AT11" s="19">
        <f t="shared" si="18"/>
        <v>79.251615707444529</v>
      </c>
      <c r="AU11" s="19">
        <f t="shared" si="19"/>
        <v>79.251615707444529</v>
      </c>
      <c r="AV11" s="19">
        <f t="shared" si="20"/>
        <v>81.893336231026012</v>
      </c>
      <c r="AW11" s="19">
        <f t="shared" si="21"/>
        <v>79.251615707444529</v>
      </c>
      <c r="AX11" s="18">
        <f>IFERROR(Z11/'Ar-Pa'!B11,0)</f>
        <v>8.8057350786049469</v>
      </c>
      <c r="AY11" s="18">
        <f>IFERROR(AA11/'Ar-Pa'!C11,0)</f>
        <v>9.0992595812251125</v>
      </c>
      <c r="AZ11" s="18">
        <f>IFERROR(AB11/'Ar-Pa'!D11,0)</f>
        <v>8.8057350786049469</v>
      </c>
      <c r="BA11" s="18">
        <f>IFERROR(AC11/'Ar-Pa'!E11,0)</f>
        <v>9.0992595812251125</v>
      </c>
      <c r="BB11" s="18">
        <f>IFERROR(AD11/'Ar-Pa'!F11,0)</f>
        <v>8.8057350786049469</v>
      </c>
      <c r="BC11" s="18">
        <f>IFERROR(AE11/'Ar-Pa'!G11,0)</f>
        <v>10.944270740551863</v>
      </c>
      <c r="BD11" s="18">
        <f>IFERROR(AF11/'Ar-Pa'!H11,0)</f>
        <v>10.944270740551863</v>
      </c>
      <c r="BE11" s="18">
        <f>IFERROR(AG11/'Ar-Pa'!I11,0)</f>
        <v>10.944270740551863</v>
      </c>
      <c r="BF11" s="18">
        <f>IFERROR(AH11/'Ar-Pa'!J11,0)</f>
        <v>11.321659386777791</v>
      </c>
      <c r="BG11" s="18">
        <f>IFERROR(AI11/'Ar-Pa'!K11,0)</f>
        <v>8.8057350786049469</v>
      </c>
      <c r="BH11" s="18">
        <f>IFERROR(AJ11/'Ar-Pa'!L11,0)</f>
        <v>9.0992595812251125</v>
      </c>
      <c r="BI11" s="18">
        <f>IFERROR(AK11/'Ar-Pa'!M11,0)</f>
        <v>9.0992595812251125</v>
      </c>
      <c r="BJ11" s="18">
        <f>IFERROR(AL11/'Ar-Pa'!N11,0)</f>
        <v>9.0992595812251125</v>
      </c>
      <c r="BK11" s="18">
        <f>IFERROR(AM11/'Ar-Pa'!O11,0)</f>
        <v>9.0992595812251125</v>
      </c>
      <c r="BL11" s="18">
        <f>IFERROR(AN11/'Ar-Pa'!P11,0)</f>
        <v>9.0992595812251125</v>
      </c>
      <c r="BM11" s="18">
        <f>IFERROR(AO11/'Ar-Pa'!Q11,0)</f>
        <v>9.3927840838452781</v>
      </c>
      <c r="BN11" s="18">
        <f>IFERROR(AP11/'Ar-Pa'!R11,0)</f>
        <v>9.0992595812251125</v>
      </c>
      <c r="BO11" s="18">
        <f>IFERROR(AQ11/'Ar-Pa'!S11,0)</f>
        <v>9.0992595812251125</v>
      </c>
      <c r="BP11" s="18">
        <f>IFERROR(AR11/'Ar-Pa'!T11,0)</f>
        <v>9.0992595812251125</v>
      </c>
      <c r="BQ11" s="18">
        <f>IFERROR(AS11/'Ar-Pa'!U11,0)</f>
        <v>9.3927840838452781</v>
      </c>
      <c r="BR11" s="18">
        <f>IFERROR(AT11/'Ar-Pa'!V11,0)</f>
        <v>8.8057350786049469</v>
      </c>
      <c r="BS11" s="18">
        <f>IFERROR(AU11/'Ar-Pa'!W11,0)</f>
        <v>8.8057350786049469</v>
      </c>
      <c r="BT11" s="18">
        <f>IFERROR(AV11/'Ar-Pa'!X11,0)</f>
        <v>9.0992595812251125</v>
      </c>
      <c r="BU11" s="18">
        <f>IFERROR(AW11/'Ar-Pa'!Y11,0)</f>
        <v>8.8057350786049469</v>
      </c>
    </row>
    <row r="12" spans="1:73" s="12" customFormat="1" ht="15">
      <c r="A12" s="15">
        <v>44937</v>
      </c>
      <c r="B12" s="441">
        <v>0.3</v>
      </c>
      <c r="C12" s="441">
        <v>0.28999999999999998</v>
      </c>
      <c r="D12" s="441">
        <v>0.28999999999999998</v>
      </c>
      <c r="E12" s="441">
        <v>0.28999999999999998</v>
      </c>
      <c r="F12" s="441">
        <v>0.28000000000000003</v>
      </c>
      <c r="G12" s="441">
        <v>0.28999999999999998</v>
      </c>
      <c r="H12" s="441">
        <v>0.27</v>
      </c>
      <c r="I12" s="441">
        <v>0.28000000000000003</v>
      </c>
      <c r="J12" s="441">
        <v>0.28999999999999998</v>
      </c>
      <c r="K12" s="441">
        <v>0.28999999999999998</v>
      </c>
      <c r="L12" s="441">
        <v>0.3</v>
      </c>
      <c r="M12" s="441">
        <v>0.3</v>
      </c>
      <c r="N12" s="441">
        <v>0.28999999999999998</v>
      </c>
      <c r="O12" s="441">
        <v>0.28999999999999998</v>
      </c>
      <c r="P12" s="441">
        <v>0.28999999999999998</v>
      </c>
      <c r="Q12" s="441">
        <v>0.3</v>
      </c>
      <c r="R12" s="441">
        <v>0.28999999999999998</v>
      </c>
      <c r="S12" s="441">
        <v>0.28999999999999998</v>
      </c>
      <c r="T12" s="441">
        <v>0.3</v>
      </c>
      <c r="U12" s="441">
        <v>0.28999999999999998</v>
      </c>
      <c r="V12" s="441">
        <v>0.28999999999999998</v>
      </c>
      <c r="W12" s="441">
        <v>0.3</v>
      </c>
      <c r="X12" s="441">
        <v>0.28999999999999998</v>
      </c>
      <c r="Y12" s="441">
        <v>0.28999999999999998</v>
      </c>
      <c r="Z12" s="19">
        <f t="shared" si="22"/>
        <v>79.251615707444529</v>
      </c>
      <c r="AA12" s="19">
        <f t="shared" si="23"/>
        <v>76.609895183863046</v>
      </c>
      <c r="AB12" s="19">
        <f t="shared" si="0"/>
        <v>76.609895183863046</v>
      </c>
      <c r="AC12" s="19">
        <f t="shared" si="1"/>
        <v>76.609895183863046</v>
      </c>
      <c r="AD12" s="19">
        <f t="shared" si="2"/>
        <v>73.968174660281562</v>
      </c>
      <c r="AE12" s="19">
        <f t="shared" si="3"/>
        <v>76.609895183863046</v>
      </c>
      <c r="AF12" s="19">
        <f t="shared" si="4"/>
        <v>71.326454136700079</v>
      </c>
      <c r="AG12" s="19">
        <f t="shared" si="5"/>
        <v>73.968174660281562</v>
      </c>
      <c r="AH12" s="19">
        <f t="shared" si="6"/>
        <v>76.609895183863046</v>
      </c>
      <c r="AI12" s="19">
        <f t="shared" si="7"/>
        <v>76.609895183863046</v>
      </c>
      <c r="AJ12" s="19">
        <f t="shared" si="8"/>
        <v>79.251615707444529</v>
      </c>
      <c r="AK12" s="19">
        <f t="shared" si="9"/>
        <v>79.251615707444529</v>
      </c>
      <c r="AL12" s="19">
        <f t="shared" si="10"/>
        <v>76.609895183863046</v>
      </c>
      <c r="AM12" s="19">
        <f t="shared" si="11"/>
        <v>76.609895183863046</v>
      </c>
      <c r="AN12" s="19">
        <f t="shared" si="12"/>
        <v>76.609895183863046</v>
      </c>
      <c r="AO12" s="19">
        <f t="shared" si="13"/>
        <v>79.251615707444529</v>
      </c>
      <c r="AP12" s="19">
        <f t="shared" si="14"/>
        <v>76.609895183863046</v>
      </c>
      <c r="AQ12" s="19">
        <f t="shared" si="15"/>
        <v>76.609895183863046</v>
      </c>
      <c r="AR12" s="19">
        <f t="shared" si="16"/>
        <v>79.251615707444529</v>
      </c>
      <c r="AS12" s="19">
        <f t="shared" si="17"/>
        <v>76.609895183863046</v>
      </c>
      <c r="AT12" s="19">
        <f t="shared" si="18"/>
        <v>76.609895183863046</v>
      </c>
      <c r="AU12" s="19">
        <f t="shared" si="19"/>
        <v>79.251615707444529</v>
      </c>
      <c r="AV12" s="19">
        <f t="shared" si="20"/>
        <v>76.609895183863046</v>
      </c>
      <c r="AW12" s="19">
        <f t="shared" si="21"/>
        <v>76.609895183863046</v>
      </c>
      <c r="AX12" s="18">
        <f>IFERROR(Z12/'Ar-Pa'!B12,0)</f>
        <v>9.9064519634305661</v>
      </c>
      <c r="AY12" s="18">
        <f>IFERROR(AA12/'Ar-Pa'!C12,0)</f>
        <v>9.5762368979828807</v>
      </c>
      <c r="AZ12" s="18">
        <f>IFERROR(AB12/'Ar-Pa'!D12,0)</f>
        <v>9.5762368979828807</v>
      </c>
      <c r="BA12" s="18">
        <f>IFERROR(AC12/'Ar-Pa'!E12,0)</f>
        <v>9.5762368979828807</v>
      </c>
      <c r="BB12" s="18">
        <f>IFERROR(AD12/'Ar-Pa'!F12,0)</f>
        <v>9.2460218325351953</v>
      </c>
      <c r="BC12" s="18">
        <f>IFERROR(AE12/'Ar-Pa'!G12,0)</f>
        <v>12.768315863977174</v>
      </c>
      <c r="BD12" s="18">
        <f>IFERROR(AF12/'Ar-Pa'!H12,0)</f>
        <v>11.88774235611668</v>
      </c>
      <c r="BE12" s="18">
        <f>IFERROR(AG12/'Ar-Pa'!I12,0)</f>
        <v>12.328029110046927</v>
      </c>
      <c r="BF12" s="18">
        <f>IFERROR(AH12/'Ar-Pa'!J12,0)</f>
        <v>12.768315863977174</v>
      </c>
      <c r="BG12" s="18">
        <f>IFERROR(AI12/'Ar-Pa'!K12,0)</f>
        <v>9.5762368979828807</v>
      </c>
      <c r="BH12" s="18">
        <f>IFERROR(AJ12/'Ar-Pa'!L12,0)</f>
        <v>9.9064519634305661</v>
      </c>
      <c r="BI12" s="18">
        <f>IFERROR(AK12/'Ar-Pa'!M12,0)</f>
        <v>9.9064519634305661</v>
      </c>
      <c r="BJ12" s="18">
        <f>IFERROR(AL12/'Ar-Pa'!N12,0)</f>
        <v>9.5762368979828807</v>
      </c>
      <c r="BK12" s="18">
        <f>IFERROR(AM12/'Ar-Pa'!O12,0)</f>
        <v>9.5762368979828807</v>
      </c>
      <c r="BL12" s="18">
        <f>IFERROR(AN12/'Ar-Pa'!P12,0)</f>
        <v>9.5762368979828807</v>
      </c>
      <c r="BM12" s="18">
        <f>IFERROR(AO12/'Ar-Pa'!Q12,0)</f>
        <v>9.9064519634305661</v>
      </c>
      <c r="BN12" s="18">
        <f>IFERROR(AP12/'Ar-Pa'!R12,0)</f>
        <v>9.5762368979828807</v>
      </c>
      <c r="BO12" s="18">
        <f>IFERROR(AQ12/'Ar-Pa'!S12,0)</f>
        <v>9.5762368979828807</v>
      </c>
      <c r="BP12" s="18">
        <f>IFERROR(AR12/'Ar-Pa'!T12,0)</f>
        <v>9.9064519634305661</v>
      </c>
      <c r="BQ12" s="18">
        <f>IFERROR(AS12/'Ar-Pa'!U12,0)</f>
        <v>9.5762368979828807</v>
      </c>
      <c r="BR12" s="18">
        <f>IFERROR(AT12/'Ar-Pa'!V12,0)</f>
        <v>9.5762368979828807</v>
      </c>
      <c r="BS12" s="18">
        <f>IFERROR(AU12/'Ar-Pa'!W12,0)</f>
        <v>9.9064519634305661</v>
      </c>
      <c r="BT12" s="18">
        <f>IFERROR(AV12/'Ar-Pa'!X12,0)</f>
        <v>9.5762368979828807</v>
      </c>
      <c r="BU12" s="18">
        <f>IFERROR(AW12/'Ar-Pa'!Y12,0)</f>
        <v>9.5762368979828807</v>
      </c>
    </row>
    <row r="13" spans="1:73" s="12" customFormat="1" ht="15">
      <c r="A13" s="15">
        <v>44938</v>
      </c>
      <c r="B13" s="441">
        <v>0.24</v>
      </c>
      <c r="C13" s="441">
        <v>0.24</v>
      </c>
      <c r="D13" s="441">
        <v>0.24</v>
      </c>
      <c r="E13" s="441">
        <v>0.25</v>
      </c>
      <c r="F13" s="441">
        <v>0.23</v>
      </c>
      <c r="G13" s="441">
        <v>0.23</v>
      </c>
      <c r="H13" s="441">
        <v>0.23</v>
      </c>
      <c r="I13" s="441">
        <v>0.23</v>
      </c>
      <c r="J13" s="441">
        <v>0.24</v>
      </c>
      <c r="K13" s="441">
        <v>0.24</v>
      </c>
      <c r="L13" s="441">
        <v>0.25</v>
      </c>
      <c r="M13" s="441">
        <v>0.24</v>
      </c>
      <c r="N13" s="441">
        <v>0.25</v>
      </c>
      <c r="O13" s="441">
        <v>0.25</v>
      </c>
      <c r="P13" s="441">
        <v>0.25</v>
      </c>
      <c r="Q13" s="441">
        <v>0.24</v>
      </c>
      <c r="R13" s="441">
        <v>0.25</v>
      </c>
      <c r="S13" s="441">
        <v>0.24</v>
      </c>
      <c r="T13" s="441">
        <v>0.25</v>
      </c>
      <c r="U13" s="441">
        <v>0.24</v>
      </c>
      <c r="V13" s="441">
        <v>0.24</v>
      </c>
      <c r="W13" s="441">
        <v>0.24</v>
      </c>
      <c r="X13" s="441">
        <v>0.24</v>
      </c>
      <c r="Y13" s="441">
        <v>0.24</v>
      </c>
      <c r="Z13" s="19">
        <f t="shared" si="22"/>
        <v>63.401292565955622</v>
      </c>
      <c r="AA13" s="19">
        <f t="shared" si="23"/>
        <v>63.401292565955622</v>
      </c>
      <c r="AB13" s="19">
        <f t="shared" si="0"/>
        <v>63.401292565955622</v>
      </c>
      <c r="AC13" s="19">
        <f t="shared" si="1"/>
        <v>66.043013089537112</v>
      </c>
      <c r="AD13" s="19">
        <f t="shared" si="2"/>
        <v>60.759572042374138</v>
      </c>
      <c r="AE13" s="19">
        <f t="shared" si="3"/>
        <v>60.759572042374138</v>
      </c>
      <c r="AF13" s="19">
        <f t="shared" si="4"/>
        <v>60.759572042374138</v>
      </c>
      <c r="AG13" s="19">
        <f t="shared" si="5"/>
        <v>60.759572042374138</v>
      </c>
      <c r="AH13" s="19">
        <f t="shared" si="6"/>
        <v>63.401292565955622</v>
      </c>
      <c r="AI13" s="19">
        <f t="shared" si="7"/>
        <v>63.401292565955622</v>
      </c>
      <c r="AJ13" s="19">
        <f t="shared" si="8"/>
        <v>66.043013089537112</v>
      </c>
      <c r="AK13" s="19">
        <f t="shared" si="9"/>
        <v>63.401292565955622</v>
      </c>
      <c r="AL13" s="19">
        <f t="shared" si="10"/>
        <v>66.043013089537112</v>
      </c>
      <c r="AM13" s="19">
        <f t="shared" si="11"/>
        <v>66.043013089537112</v>
      </c>
      <c r="AN13" s="19">
        <f t="shared" si="12"/>
        <v>66.043013089537112</v>
      </c>
      <c r="AO13" s="19">
        <f t="shared" si="13"/>
        <v>63.401292565955622</v>
      </c>
      <c r="AP13" s="19">
        <f t="shared" si="14"/>
        <v>66.043013089537112</v>
      </c>
      <c r="AQ13" s="19">
        <f t="shared" si="15"/>
        <v>63.401292565955622</v>
      </c>
      <c r="AR13" s="19">
        <f t="shared" si="16"/>
        <v>66.043013089537112</v>
      </c>
      <c r="AS13" s="19">
        <f t="shared" si="17"/>
        <v>63.401292565955622</v>
      </c>
      <c r="AT13" s="19">
        <f t="shared" si="18"/>
        <v>63.401292565955622</v>
      </c>
      <c r="AU13" s="19">
        <f t="shared" si="19"/>
        <v>63.401292565955622</v>
      </c>
      <c r="AV13" s="19">
        <f t="shared" si="20"/>
        <v>63.401292565955622</v>
      </c>
      <c r="AW13" s="19">
        <f t="shared" si="21"/>
        <v>63.401292565955622</v>
      </c>
      <c r="AX13" s="18">
        <f>IFERROR(Z13/'Ar-Pa'!B13,0)</f>
        <v>7.9251615707444527</v>
      </c>
      <c r="AY13" s="18">
        <f>IFERROR(AA13/'Ar-Pa'!C13,0)</f>
        <v>7.9251615707444527</v>
      </c>
      <c r="AZ13" s="18">
        <f>IFERROR(AB13/'Ar-Pa'!D13,0)</f>
        <v>7.9251615707444527</v>
      </c>
      <c r="BA13" s="18">
        <f>IFERROR(AC13/'Ar-Pa'!E13,0)</f>
        <v>8.255376636192139</v>
      </c>
      <c r="BB13" s="18">
        <f>IFERROR(AD13/'Ar-Pa'!F13,0)</f>
        <v>7.5949465052967673</v>
      </c>
      <c r="BC13" s="18">
        <f>IFERROR(AE13/'Ar-Pa'!G13,0)</f>
        <v>10.12659534039569</v>
      </c>
      <c r="BD13" s="18">
        <f>IFERROR(AF13/'Ar-Pa'!H13,0)</f>
        <v>10.12659534039569</v>
      </c>
      <c r="BE13" s="18">
        <f>IFERROR(AG13/'Ar-Pa'!I13,0)</f>
        <v>10.12659534039569</v>
      </c>
      <c r="BF13" s="18">
        <f>IFERROR(AH13/'Ar-Pa'!J13,0)</f>
        <v>7.9251615707444527</v>
      </c>
      <c r="BG13" s="18">
        <f>IFERROR(AI13/'Ar-Pa'!K13,0)</f>
        <v>7.9251615707444527</v>
      </c>
      <c r="BH13" s="18">
        <f>IFERROR(AJ13/'Ar-Pa'!L13,0)</f>
        <v>8.255376636192139</v>
      </c>
      <c r="BI13" s="18">
        <f>IFERROR(AK13/'Ar-Pa'!M13,0)</f>
        <v>7.9251615707444527</v>
      </c>
      <c r="BJ13" s="18">
        <f>IFERROR(AL13/'Ar-Pa'!N13,0)</f>
        <v>8.255376636192139</v>
      </c>
      <c r="BK13" s="18">
        <f>IFERROR(AM13/'Ar-Pa'!O13,0)</f>
        <v>8.255376636192139</v>
      </c>
      <c r="BL13" s="18">
        <f>IFERROR(AN13/'Ar-Pa'!P13,0)</f>
        <v>8.255376636192139</v>
      </c>
      <c r="BM13" s="18">
        <f>IFERROR(AO13/'Ar-Pa'!Q13,0)</f>
        <v>7.9251615707444527</v>
      </c>
      <c r="BN13" s="18">
        <f>IFERROR(AP13/'Ar-Pa'!R13,0)</f>
        <v>8.255376636192139</v>
      </c>
      <c r="BO13" s="18">
        <f>IFERROR(AQ13/'Ar-Pa'!S13,0)</f>
        <v>7.9251615707444527</v>
      </c>
      <c r="BP13" s="18">
        <f>IFERROR(AR13/'Ar-Pa'!T13,0)</f>
        <v>8.255376636192139</v>
      </c>
      <c r="BQ13" s="18">
        <f>IFERROR(AS13/'Ar-Pa'!U13,0)</f>
        <v>7.9251615707444527</v>
      </c>
      <c r="BR13" s="18">
        <f>IFERROR(AT13/'Ar-Pa'!V13,0)</f>
        <v>7.9251615707444527</v>
      </c>
      <c r="BS13" s="18">
        <f>IFERROR(AU13/'Ar-Pa'!W13,0)</f>
        <v>7.9251615707444527</v>
      </c>
      <c r="BT13" s="18">
        <f>IFERROR(AV13/'Ar-Pa'!X13,0)</f>
        <v>7.9251615707444527</v>
      </c>
      <c r="BU13" s="18">
        <f>IFERROR(AW13/'Ar-Pa'!Y13,0)</f>
        <v>7.9251615707444527</v>
      </c>
    </row>
    <row r="14" spans="1:73" s="12" customFormat="1" ht="15">
      <c r="A14" s="15">
        <v>44939</v>
      </c>
      <c r="B14" s="441">
        <v>0.3</v>
      </c>
      <c r="C14" s="441">
        <v>0.3</v>
      </c>
      <c r="D14" s="441">
        <v>0.3</v>
      </c>
      <c r="E14" s="441">
        <v>0.3</v>
      </c>
      <c r="F14" s="441">
        <v>0.31</v>
      </c>
      <c r="G14" s="441">
        <v>0.28999999999999998</v>
      </c>
      <c r="H14" s="441">
        <v>0.28000000000000003</v>
      </c>
      <c r="I14" s="441">
        <v>0.28999999999999998</v>
      </c>
      <c r="J14" s="441">
        <v>0.28999999999999998</v>
      </c>
      <c r="K14" s="441">
        <v>0.3</v>
      </c>
      <c r="L14" s="441">
        <v>0.31</v>
      </c>
      <c r="M14" s="441">
        <v>0.3</v>
      </c>
      <c r="N14" s="441">
        <v>0.31</v>
      </c>
      <c r="O14" s="441">
        <v>0.3</v>
      </c>
      <c r="P14" s="441">
        <v>0.31</v>
      </c>
      <c r="Q14" s="441">
        <v>0.31</v>
      </c>
      <c r="R14" s="441">
        <v>0.3</v>
      </c>
      <c r="S14" s="441">
        <v>0.31</v>
      </c>
      <c r="T14" s="441">
        <v>0.3</v>
      </c>
      <c r="U14" s="441">
        <v>0.3</v>
      </c>
      <c r="V14" s="441">
        <v>0.31</v>
      </c>
      <c r="W14" s="441">
        <v>0.3</v>
      </c>
      <c r="X14" s="441">
        <v>0.3</v>
      </c>
      <c r="Y14" s="441">
        <v>0.31</v>
      </c>
      <c r="Z14" s="19">
        <f t="shared" si="22"/>
        <v>79.251615707444529</v>
      </c>
      <c r="AA14" s="19">
        <f t="shared" si="23"/>
        <v>79.251615707444529</v>
      </c>
      <c r="AB14" s="19">
        <f t="shared" si="0"/>
        <v>79.251615707444529</v>
      </c>
      <c r="AC14" s="19">
        <f t="shared" si="1"/>
        <v>79.251615707444529</v>
      </c>
      <c r="AD14" s="19">
        <f t="shared" si="2"/>
        <v>81.893336231026012</v>
      </c>
      <c r="AE14" s="19">
        <f t="shared" si="3"/>
        <v>76.609895183863046</v>
      </c>
      <c r="AF14" s="19">
        <f t="shared" si="4"/>
        <v>73.968174660281562</v>
      </c>
      <c r="AG14" s="19">
        <f t="shared" si="5"/>
        <v>76.609895183863046</v>
      </c>
      <c r="AH14" s="19">
        <f t="shared" si="6"/>
        <v>76.609895183863046</v>
      </c>
      <c r="AI14" s="19">
        <f t="shared" si="7"/>
        <v>79.251615707444529</v>
      </c>
      <c r="AJ14" s="19">
        <f t="shared" si="8"/>
        <v>81.893336231026012</v>
      </c>
      <c r="AK14" s="19">
        <f t="shared" si="9"/>
        <v>79.251615707444529</v>
      </c>
      <c r="AL14" s="19">
        <f t="shared" si="10"/>
        <v>81.893336231026012</v>
      </c>
      <c r="AM14" s="19">
        <f t="shared" si="11"/>
        <v>79.251615707444529</v>
      </c>
      <c r="AN14" s="19">
        <f t="shared" si="12"/>
        <v>81.893336231026012</v>
      </c>
      <c r="AO14" s="19">
        <f t="shared" si="13"/>
        <v>81.893336231026012</v>
      </c>
      <c r="AP14" s="19">
        <f t="shared" si="14"/>
        <v>79.251615707444529</v>
      </c>
      <c r="AQ14" s="19">
        <f t="shared" si="15"/>
        <v>81.893336231026012</v>
      </c>
      <c r="AR14" s="19">
        <f t="shared" si="16"/>
        <v>79.251615707444529</v>
      </c>
      <c r="AS14" s="19">
        <f t="shared" si="17"/>
        <v>79.251615707444529</v>
      </c>
      <c r="AT14" s="19">
        <f t="shared" si="18"/>
        <v>81.893336231026012</v>
      </c>
      <c r="AU14" s="19">
        <f t="shared" si="19"/>
        <v>79.251615707444529</v>
      </c>
      <c r="AV14" s="19">
        <f t="shared" si="20"/>
        <v>79.251615707444529</v>
      </c>
      <c r="AW14" s="19">
        <f t="shared" si="21"/>
        <v>81.893336231026012</v>
      </c>
      <c r="AX14" s="18">
        <f>IFERROR(Z14/'Ar-Pa'!B14,0)</f>
        <v>9.9064519634305661</v>
      </c>
      <c r="AY14" s="18">
        <f>IFERROR(AA14/'Ar-Pa'!C14,0)</f>
        <v>9.9064519634305661</v>
      </c>
      <c r="AZ14" s="18">
        <f>IFERROR(AB14/'Ar-Pa'!D14,0)</f>
        <v>9.9064519634305661</v>
      </c>
      <c r="BA14" s="18">
        <f>IFERROR(AC14/'Ar-Pa'!E14,0)</f>
        <v>9.9064519634305661</v>
      </c>
      <c r="BB14" s="18">
        <f>IFERROR(AD14/'Ar-Pa'!F14,0)</f>
        <v>10.236667028878252</v>
      </c>
      <c r="BC14" s="18">
        <f>IFERROR(AE14/'Ar-Pa'!G14,0)</f>
        <v>9.5762368979828807</v>
      </c>
      <c r="BD14" s="18">
        <f>IFERROR(AF14/'Ar-Pa'!H14,0)</f>
        <v>12.328029110046927</v>
      </c>
      <c r="BE14" s="18">
        <f>IFERROR(AG14/'Ar-Pa'!I14,0)</f>
        <v>12.768315863977174</v>
      </c>
      <c r="BF14" s="18">
        <f>IFERROR(AH14/'Ar-Pa'!J14,0)</f>
        <v>12.768315863977174</v>
      </c>
      <c r="BG14" s="18">
        <f>IFERROR(AI14/'Ar-Pa'!K14,0)</f>
        <v>9.9064519634305661</v>
      </c>
      <c r="BH14" s="18">
        <f>IFERROR(AJ14/'Ar-Pa'!L14,0)</f>
        <v>10.236667028878252</v>
      </c>
      <c r="BI14" s="18">
        <f>IFERROR(AK14/'Ar-Pa'!M14,0)</f>
        <v>9.9064519634305661</v>
      </c>
      <c r="BJ14" s="18">
        <f>IFERROR(AL14/'Ar-Pa'!N14,0)</f>
        <v>10.236667028878252</v>
      </c>
      <c r="BK14" s="18">
        <f>IFERROR(AM14/'Ar-Pa'!O14,0)</f>
        <v>9.9064519634305661</v>
      </c>
      <c r="BL14" s="18">
        <f>IFERROR(AN14/'Ar-Pa'!P14,0)</f>
        <v>10.236667028878252</v>
      </c>
      <c r="BM14" s="18">
        <f>IFERROR(AO14/'Ar-Pa'!Q14,0)</f>
        <v>10.236667028878252</v>
      </c>
      <c r="BN14" s="18">
        <f>IFERROR(AP14/'Ar-Pa'!R14,0)</f>
        <v>9.9064519634305661</v>
      </c>
      <c r="BO14" s="18">
        <f>IFERROR(AQ14/'Ar-Pa'!S14,0)</f>
        <v>10.236667028878252</v>
      </c>
      <c r="BP14" s="18">
        <f>IFERROR(AR14/'Ar-Pa'!T14,0)</f>
        <v>9.9064519634305661</v>
      </c>
      <c r="BQ14" s="18">
        <f>IFERROR(AS14/'Ar-Pa'!U14,0)</f>
        <v>9.9064519634305661</v>
      </c>
      <c r="BR14" s="18">
        <f>IFERROR(AT14/'Ar-Pa'!V14,0)</f>
        <v>10.236667028878252</v>
      </c>
      <c r="BS14" s="18">
        <f>IFERROR(AU14/'Ar-Pa'!W14,0)</f>
        <v>9.9064519634305661</v>
      </c>
      <c r="BT14" s="18">
        <f>IFERROR(AV14/'Ar-Pa'!X14,0)</f>
        <v>9.9064519634305661</v>
      </c>
      <c r="BU14" s="18">
        <f>IFERROR(AW14/'Ar-Pa'!Y14,0)</f>
        <v>10.236667028878252</v>
      </c>
    </row>
    <row r="15" spans="1:73" s="12" customFormat="1" ht="15">
      <c r="A15" s="15">
        <v>44940</v>
      </c>
      <c r="B15" s="441">
        <v>0.3</v>
      </c>
      <c r="C15" s="441">
        <v>0.31</v>
      </c>
      <c r="D15" s="441">
        <v>0.3</v>
      </c>
      <c r="E15" s="441">
        <v>0.3</v>
      </c>
      <c r="F15" s="441">
        <v>0.31</v>
      </c>
      <c r="G15" s="441">
        <v>0.3</v>
      </c>
      <c r="H15" s="441">
        <v>0.31</v>
      </c>
      <c r="I15" s="441">
        <v>0.3</v>
      </c>
      <c r="J15" s="441">
        <v>0.3</v>
      </c>
      <c r="K15" s="441">
        <v>0.31</v>
      </c>
      <c r="L15" s="441">
        <v>0.3</v>
      </c>
      <c r="M15" s="441">
        <v>0.3</v>
      </c>
      <c r="N15" s="441">
        <v>0.31</v>
      </c>
      <c r="O15" s="441">
        <v>0.3</v>
      </c>
      <c r="P15" s="441">
        <v>0.31</v>
      </c>
      <c r="Q15" s="441">
        <v>0.3</v>
      </c>
      <c r="R15" s="441">
        <v>0.3</v>
      </c>
      <c r="S15" s="441">
        <v>0.31</v>
      </c>
      <c r="T15" s="441">
        <v>0.3</v>
      </c>
      <c r="U15" s="441">
        <v>0.3</v>
      </c>
      <c r="V15" s="441">
        <v>0.31</v>
      </c>
      <c r="W15" s="441">
        <v>0.3</v>
      </c>
      <c r="X15" s="441">
        <v>0.31</v>
      </c>
      <c r="Y15" s="441">
        <v>0.3</v>
      </c>
      <c r="Z15" s="19">
        <f t="shared" si="22"/>
        <v>79.251615707444529</v>
      </c>
      <c r="AA15" s="19">
        <f t="shared" si="23"/>
        <v>81.893336231026012</v>
      </c>
      <c r="AB15" s="19">
        <f t="shared" si="0"/>
        <v>79.251615707444529</v>
      </c>
      <c r="AC15" s="19">
        <f t="shared" si="1"/>
        <v>79.251615707444529</v>
      </c>
      <c r="AD15" s="19">
        <f t="shared" si="2"/>
        <v>81.893336231026012</v>
      </c>
      <c r="AE15" s="19">
        <f t="shared" si="3"/>
        <v>79.251615707444529</v>
      </c>
      <c r="AF15" s="19">
        <f t="shared" si="4"/>
        <v>81.893336231026012</v>
      </c>
      <c r="AG15" s="19">
        <f t="shared" si="5"/>
        <v>79.251615707444529</v>
      </c>
      <c r="AH15" s="19">
        <f t="shared" si="6"/>
        <v>79.251615707444529</v>
      </c>
      <c r="AI15" s="19">
        <f t="shared" si="7"/>
        <v>81.893336231026012</v>
      </c>
      <c r="AJ15" s="19">
        <f t="shared" si="8"/>
        <v>79.251615707444529</v>
      </c>
      <c r="AK15" s="19">
        <f t="shared" si="9"/>
        <v>79.251615707444529</v>
      </c>
      <c r="AL15" s="19">
        <f t="shared" si="10"/>
        <v>81.893336231026012</v>
      </c>
      <c r="AM15" s="19">
        <f t="shared" si="11"/>
        <v>79.251615707444529</v>
      </c>
      <c r="AN15" s="19">
        <f t="shared" si="12"/>
        <v>81.893336231026012</v>
      </c>
      <c r="AO15" s="19">
        <f t="shared" si="13"/>
        <v>79.251615707444529</v>
      </c>
      <c r="AP15" s="19">
        <f t="shared" si="14"/>
        <v>79.251615707444529</v>
      </c>
      <c r="AQ15" s="19">
        <f t="shared" si="15"/>
        <v>81.893336231026012</v>
      </c>
      <c r="AR15" s="19">
        <f t="shared" si="16"/>
        <v>79.251615707444529</v>
      </c>
      <c r="AS15" s="19">
        <f t="shared" si="17"/>
        <v>79.251615707444529</v>
      </c>
      <c r="AT15" s="19">
        <f t="shared" si="18"/>
        <v>81.893336231026012</v>
      </c>
      <c r="AU15" s="19">
        <f t="shared" si="19"/>
        <v>79.251615707444529</v>
      </c>
      <c r="AV15" s="19">
        <f t="shared" si="20"/>
        <v>81.893336231026012</v>
      </c>
      <c r="AW15" s="19">
        <f t="shared" si="21"/>
        <v>79.251615707444529</v>
      </c>
      <c r="AX15" s="18">
        <f>IFERROR(Z15/'Ar-Pa'!B15,0)</f>
        <v>9.9064519634305661</v>
      </c>
      <c r="AY15" s="18">
        <f>IFERROR(AA15/'Ar-Pa'!C15,0)</f>
        <v>10.236667028878252</v>
      </c>
      <c r="AZ15" s="18">
        <f>IFERROR(AB15/'Ar-Pa'!D15,0)</f>
        <v>9.9064519634305661</v>
      </c>
      <c r="BA15" s="18">
        <f>IFERROR(AC15/'Ar-Pa'!E15,0)</f>
        <v>9.9064519634305661</v>
      </c>
      <c r="BB15" s="18">
        <f>IFERROR(AD15/'Ar-Pa'!F15,0)</f>
        <v>10.236667028878252</v>
      </c>
      <c r="BC15" s="18">
        <f>IFERROR(AE15/'Ar-Pa'!G15,0)</f>
        <v>9.9064519634305661</v>
      </c>
      <c r="BD15" s="18">
        <f>IFERROR(AF15/'Ar-Pa'!H15,0)</f>
        <v>10.236667028878252</v>
      </c>
      <c r="BE15" s="18">
        <f>IFERROR(AG15/'Ar-Pa'!I15,0)</f>
        <v>9.9064519634305661</v>
      </c>
      <c r="BF15" s="18">
        <f>IFERROR(AH15/'Ar-Pa'!J15,0)</f>
        <v>11.321659386777791</v>
      </c>
      <c r="BG15" s="18">
        <f>IFERROR(AI15/'Ar-Pa'!K15,0)</f>
        <v>10.236667028878252</v>
      </c>
      <c r="BH15" s="18">
        <f>IFERROR(AJ15/'Ar-Pa'!L15,0)</f>
        <v>9.9064519634305661</v>
      </c>
      <c r="BI15" s="18">
        <f>IFERROR(AK15/'Ar-Pa'!M15,0)</f>
        <v>9.9064519634305661</v>
      </c>
      <c r="BJ15" s="18">
        <f>IFERROR(AL15/'Ar-Pa'!N15,0)</f>
        <v>10.236667028878252</v>
      </c>
      <c r="BK15" s="18">
        <f>IFERROR(AM15/'Ar-Pa'!O15,0)</f>
        <v>9.9064519634305661</v>
      </c>
      <c r="BL15" s="18">
        <f>IFERROR(AN15/'Ar-Pa'!P15,0)</f>
        <v>10.236667028878252</v>
      </c>
      <c r="BM15" s="18">
        <f>IFERROR(AO15/'Ar-Pa'!Q15,0)</f>
        <v>9.9064519634305661</v>
      </c>
      <c r="BN15" s="18">
        <f>IFERROR(AP15/'Ar-Pa'!R15,0)</f>
        <v>9.9064519634305661</v>
      </c>
      <c r="BO15" s="18">
        <f>IFERROR(AQ15/'Ar-Pa'!S15,0)</f>
        <v>10.236667028878252</v>
      </c>
      <c r="BP15" s="18">
        <f>IFERROR(AR15/'Ar-Pa'!T15,0)</f>
        <v>9.9064519634305661</v>
      </c>
      <c r="BQ15" s="18">
        <f>IFERROR(AS15/'Ar-Pa'!U15,0)</f>
        <v>9.9064519634305661</v>
      </c>
      <c r="BR15" s="18">
        <f>IFERROR(AT15/'Ar-Pa'!V15,0)</f>
        <v>10.236667028878252</v>
      </c>
      <c r="BS15" s="18">
        <f>IFERROR(AU15/'Ar-Pa'!W15,0)</f>
        <v>9.9064519634305661</v>
      </c>
      <c r="BT15" s="18">
        <f>IFERROR(AV15/'Ar-Pa'!X15,0)</f>
        <v>10.236667028878252</v>
      </c>
      <c r="BU15" s="18">
        <f>IFERROR(AW15/'Ar-Pa'!Y15,0)</f>
        <v>9.9064519634305661</v>
      </c>
    </row>
    <row r="16" spans="1:73" s="12" customFormat="1" ht="15">
      <c r="A16" s="15">
        <v>44941</v>
      </c>
      <c r="B16" s="441">
        <v>0.3</v>
      </c>
      <c r="C16" s="441">
        <v>0.28999999999999998</v>
      </c>
      <c r="D16" s="441">
        <v>0.3</v>
      </c>
      <c r="E16" s="441">
        <v>0.28999999999999998</v>
      </c>
      <c r="F16" s="441">
        <v>0.3</v>
      </c>
      <c r="G16" s="441">
        <v>0.3</v>
      </c>
      <c r="H16" s="441">
        <v>0.28000000000000003</v>
      </c>
      <c r="I16" s="441">
        <v>0.28000000000000003</v>
      </c>
      <c r="J16" s="441">
        <v>0.28000000000000003</v>
      </c>
      <c r="K16" s="441">
        <v>0.28000000000000003</v>
      </c>
      <c r="L16" s="441">
        <v>0.28999999999999998</v>
      </c>
      <c r="M16" s="441">
        <v>0.3</v>
      </c>
      <c r="N16" s="441">
        <v>0.28999999999999998</v>
      </c>
      <c r="O16" s="441">
        <v>0.28999999999999998</v>
      </c>
      <c r="P16" s="441">
        <v>0.28999999999999998</v>
      </c>
      <c r="Q16" s="441">
        <v>0.3</v>
      </c>
      <c r="R16" s="441">
        <v>0.28000000000000003</v>
      </c>
      <c r="S16" s="441">
        <v>0.3</v>
      </c>
      <c r="T16" s="441">
        <v>0.28000000000000003</v>
      </c>
      <c r="U16" s="441">
        <v>0.3</v>
      </c>
      <c r="V16" s="441">
        <v>0.3</v>
      </c>
      <c r="W16" s="441">
        <v>0.28000000000000003</v>
      </c>
      <c r="X16" s="441">
        <v>0.31</v>
      </c>
      <c r="Y16" s="441">
        <v>0.28999999999999998</v>
      </c>
      <c r="Z16" s="19">
        <f t="shared" si="22"/>
        <v>79.251615707444529</v>
      </c>
      <c r="AA16" s="19">
        <f t="shared" si="23"/>
        <v>76.609895183863046</v>
      </c>
      <c r="AB16" s="19">
        <f t="shared" si="0"/>
        <v>79.251615707444529</v>
      </c>
      <c r="AC16" s="19">
        <f t="shared" si="1"/>
        <v>76.609895183863046</v>
      </c>
      <c r="AD16" s="19">
        <f t="shared" si="2"/>
        <v>79.251615707444529</v>
      </c>
      <c r="AE16" s="19">
        <f t="shared" si="3"/>
        <v>79.251615707444529</v>
      </c>
      <c r="AF16" s="19">
        <f t="shared" si="4"/>
        <v>73.968174660281562</v>
      </c>
      <c r="AG16" s="19">
        <f t="shared" si="5"/>
        <v>73.968174660281562</v>
      </c>
      <c r="AH16" s="19">
        <f t="shared" si="6"/>
        <v>73.968174660281562</v>
      </c>
      <c r="AI16" s="19">
        <f t="shared" si="7"/>
        <v>73.968174660281562</v>
      </c>
      <c r="AJ16" s="19">
        <f t="shared" si="8"/>
        <v>76.609895183863046</v>
      </c>
      <c r="AK16" s="19">
        <f t="shared" si="9"/>
        <v>79.251615707444529</v>
      </c>
      <c r="AL16" s="19">
        <f t="shared" si="10"/>
        <v>76.609895183863046</v>
      </c>
      <c r="AM16" s="19">
        <f t="shared" si="11"/>
        <v>76.609895183863046</v>
      </c>
      <c r="AN16" s="19">
        <f t="shared" si="12"/>
        <v>76.609895183863046</v>
      </c>
      <c r="AO16" s="19">
        <f t="shared" si="13"/>
        <v>79.251615707444529</v>
      </c>
      <c r="AP16" s="19">
        <f t="shared" si="14"/>
        <v>73.968174660281562</v>
      </c>
      <c r="AQ16" s="19">
        <f t="shared" si="15"/>
        <v>79.251615707444529</v>
      </c>
      <c r="AR16" s="19">
        <f t="shared" si="16"/>
        <v>73.968174660281562</v>
      </c>
      <c r="AS16" s="19">
        <f t="shared" si="17"/>
        <v>79.251615707444529</v>
      </c>
      <c r="AT16" s="19">
        <f t="shared" si="18"/>
        <v>79.251615707444529</v>
      </c>
      <c r="AU16" s="19">
        <f t="shared" si="19"/>
        <v>73.968174660281562</v>
      </c>
      <c r="AV16" s="19">
        <f t="shared" si="20"/>
        <v>81.893336231026012</v>
      </c>
      <c r="AW16" s="19">
        <f t="shared" si="21"/>
        <v>76.609895183863046</v>
      </c>
      <c r="AX16" s="18">
        <f>IFERROR(Z16/'Ar-Pa'!B16,0)</f>
        <v>9.9064519634305661</v>
      </c>
      <c r="AY16" s="18">
        <f>IFERROR(AA16/'Ar-Pa'!C16,0)</f>
        <v>9.5762368979828807</v>
      </c>
      <c r="AZ16" s="18">
        <f>IFERROR(AB16/'Ar-Pa'!D16,0)</f>
        <v>9.9064519634305661</v>
      </c>
      <c r="BA16" s="18">
        <f>IFERROR(AC16/'Ar-Pa'!E16,0)</f>
        <v>9.5762368979828807</v>
      </c>
      <c r="BB16" s="18">
        <f>IFERROR(AD16/'Ar-Pa'!F16,0)</f>
        <v>9.9064519634305661</v>
      </c>
      <c r="BC16" s="18">
        <f>IFERROR(AE16/'Ar-Pa'!G16,0)</f>
        <v>9.9064519634305661</v>
      </c>
      <c r="BD16" s="18">
        <f>IFERROR(AF16/'Ar-Pa'!H16,0)</f>
        <v>12.328029110046927</v>
      </c>
      <c r="BE16" s="18">
        <f>IFERROR(AG16/'Ar-Pa'!I16,0)</f>
        <v>12.328029110046927</v>
      </c>
      <c r="BF16" s="18">
        <f>IFERROR(AH16/'Ar-Pa'!J16,0)</f>
        <v>12.328029110046927</v>
      </c>
      <c r="BG16" s="18">
        <f>IFERROR(AI16/'Ar-Pa'!K16,0)</f>
        <v>12.328029110046927</v>
      </c>
      <c r="BH16" s="18">
        <f>IFERROR(AJ16/'Ar-Pa'!L16,0)</f>
        <v>10.944270740551863</v>
      </c>
      <c r="BI16" s="18">
        <f>IFERROR(AK16/'Ar-Pa'!M16,0)</f>
        <v>9.9064519634305661</v>
      </c>
      <c r="BJ16" s="18">
        <f>IFERROR(AL16/'Ar-Pa'!N16,0)</f>
        <v>9.5762368979828807</v>
      </c>
      <c r="BK16" s="18">
        <f>IFERROR(AM16/'Ar-Pa'!O16,0)</f>
        <v>9.5762368979828807</v>
      </c>
      <c r="BL16" s="18">
        <f>IFERROR(AN16/'Ar-Pa'!P16,0)</f>
        <v>9.5762368979828807</v>
      </c>
      <c r="BM16" s="18">
        <f>IFERROR(AO16/'Ar-Pa'!Q16,0)</f>
        <v>9.9064519634305661</v>
      </c>
      <c r="BN16" s="18">
        <f>IFERROR(AP16/'Ar-Pa'!R16,0)</f>
        <v>9.2460218325351953</v>
      </c>
      <c r="BO16" s="18">
        <f>IFERROR(AQ16/'Ar-Pa'!S16,0)</f>
        <v>9.9064519634305661</v>
      </c>
      <c r="BP16" s="18">
        <f>IFERROR(AR16/'Ar-Pa'!T16,0)</f>
        <v>9.2460218325351953</v>
      </c>
      <c r="BQ16" s="18">
        <f>IFERROR(AS16/'Ar-Pa'!U16,0)</f>
        <v>9.9064519634305661</v>
      </c>
      <c r="BR16" s="18">
        <f>IFERROR(AT16/'Ar-Pa'!V16,0)</f>
        <v>9.9064519634305661</v>
      </c>
      <c r="BS16" s="18">
        <f>IFERROR(AU16/'Ar-Pa'!W16,0)</f>
        <v>9.2460218325351953</v>
      </c>
      <c r="BT16" s="18">
        <f>IFERROR(AV16/'Ar-Pa'!X16,0)</f>
        <v>10.236667028878252</v>
      </c>
      <c r="BU16" s="18">
        <f>IFERROR(AW16/'Ar-Pa'!Y16,0)</f>
        <v>9.5762368979828807</v>
      </c>
    </row>
    <row r="17" spans="1:73" s="12" customFormat="1" ht="15">
      <c r="A17" s="15">
        <v>44942</v>
      </c>
      <c r="B17" s="441">
        <v>0.31</v>
      </c>
      <c r="C17" s="441">
        <v>0.31</v>
      </c>
      <c r="D17" s="441">
        <v>0.31</v>
      </c>
      <c r="E17" s="441">
        <v>0.31</v>
      </c>
      <c r="F17" s="441">
        <v>0.31</v>
      </c>
      <c r="G17" s="441">
        <v>0.31</v>
      </c>
      <c r="H17" s="441">
        <v>0.31</v>
      </c>
      <c r="I17" s="441">
        <v>0.3</v>
      </c>
      <c r="J17" s="441">
        <v>0.3</v>
      </c>
      <c r="K17" s="441">
        <v>0.31</v>
      </c>
      <c r="L17" s="441">
        <v>0.31</v>
      </c>
      <c r="M17" s="441">
        <v>0.3</v>
      </c>
      <c r="N17" s="441">
        <v>0.31</v>
      </c>
      <c r="O17" s="441">
        <v>0.3</v>
      </c>
      <c r="P17" s="441">
        <v>0.3</v>
      </c>
      <c r="Q17" s="441">
        <v>0.31</v>
      </c>
      <c r="R17" s="441">
        <v>0.31</v>
      </c>
      <c r="S17" s="441">
        <v>0.32</v>
      </c>
      <c r="T17" s="441">
        <v>0.31</v>
      </c>
      <c r="U17" s="441">
        <v>0.32</v>
      </c>
      <c r="V17" s="441">
        <v>0.31</v>
      </c>
      <c r="W17" s="441">
        <v>0.31</v>
      </c>
      <c r="X17" s="441">
        <v>0.3</v>
      </c>
      <c r="Y17" s="441">
        <v>0.31</v>
      </c>
      <c r="Z17" s="19">
        <f t="shared" si="22"/>
        <v>81.893336231026012</v>
      </c>
      <c r="AA17" s="19">
        <f t="shared" si="23"/>
        <v>81.893336231026012</v>
      </c>
      <c r="AB17" s="19">
        <f t="shared" si="0"/>
        <v>81.893336231026012</v>
      </c>
      <c r="AC17" s="19">
        <f t="shared" si="1"/>
        <v>81.893336231026012</v>
      </c>
      <c r="AD17" s="19">
        <f t="shared" si="2"/>
        <v>81.893336231026012</v>
      </c>
      <c r="AE17" s="19">
        <f t="shared" si="3"/>
        <v>81.893336231026012</v>
      </c>
      <c r="AF17" s="19">
        <f t="shared" si="4"/>
        <v>81.893336231026012</v>
      </c>
      <c r="AG17" s="19">
        <f t="shared" si="5"/>
        <v>79.251615707444529</v>
      </c>
      <c r="AH17" s="19">
        <f t="shared" si="6"/>
        <v>79.251615707444529</v>
      </c>
      <c r="AI17" s="19">
        <f t="shared" si="7"/>
        <v>81.893336231026012</v>
      </c>
      <c r="AJ17" s="19">
        <f t="shared" si="8"/>
        <v>81.893336231026012</v>
      </c>
      <c r="AK17" s="19">
        <f t="shared" si="9"/>
        <v>79.251615707444529</v>
      </c>
      <c r="AL17" s="19">
        <f t="shared" si="10"/>
        <v>81.893336231026012</v>
      </c>
      <c r="AM17" s="19">
        <f t="shared" si="11"/>
        <v>79.251615707444529</v>
      </c>
      <c r="AN17" s="19">
        <f t="shared" si="12"/>
        <v>79.251615707444529</v>
      </c>
      <c r="AO17" s="19">
        <f t="shared" si="13"/>
        <v>81.893336231026012</v>
      </c>
      <c r="AP17" s="19">
        <f t="shared" si="14"/>
        <v>81.893336231026012</v>
      </c>
      <c r="AQ17" s="19">
        <f t="shared" si="15"/>
        <v>84.535056754607496</v>
      </c>
      <c r="AR17" s="19">
        <f t="shared" si="16"/>
        <v>81.893336231026012</v>
      </c>
      <c r="AS17" s="19">
        <f t="shared" si="17"/>
        <v>84.535056754607496</v>
      </c>
      <c r="AT17" s="19">
        <f t="shared" si="18"/>
        <v>81.893336231026012</v>
      </c>
      <c r="AU17" s="19">
        <f t="shared" si="19"/>
        <v>81.893336231026012</v>
      </c>
      <c r="AV17" s="19">
        <f t="shared" si="20"/>
        <v>79.251615707444529</v>
      </c>
      <c r="AW17" s="19">
        <f t="shared" si="21"/>
        <v>81.893336231026012</v>
      </c>
      <c r="AX17" s="18">
        <f>IFERROR(Z17/'Ar-Pa'!B17,0)</f>
        <v>10.236667028878252</v>
      </c>
      <c r="AY17" s="18">
        <f>IFERROR(AA17/'Ar-Pa'!C17,0)</f>
        <v>10.236667028878252</v>
      </c>
      <c r="AZ17" s="18">
        <f>IFERROR(AB17/'Ar-Pa'!D17,0)</f>
        <v>10.236667028878252</v>
      </c>
      <c r="BA17" s="18">
        <f>IFERROR(AC17/'Ar-Pa'!E17,0)</f>
        <v>11.699048033003717</v>
      </c>
      <c r="BB17" s="18">
        <f>IFERROR(AD17/'Ar-Pa'!F17,0)</f>
        <v>11.699048033003717</v>
      </c>
      <c r="BC17" s="18">
        <f>IFERROR(AE17/'Ar-Pa'!G17,0)</f>
        <v>9.0992595812251125</v>
      </c>
      <c r="BD17" s="18">
        <f>IFERROR(AF17/'Ar-Pa'!H17,0)</f>
        <v>10.236667028878252</v>
      </c>
      <c r="BE17" s="18">
        <f>IFERROR(AG17/'Ar-Pa'!I17,0)</f>
        <v>9.9064519634305661</v>
      </c>
      <c r="BF17" s="18">
        <f>IFERROR(AH17/'Ar-Pa'!J17,0)</f>
        <v>9.9064519634305661</v>
      </c>
      <c r="BG17" s="18">
        <f>IFERROR(AI17/'Ar-Pa'!K17,0)</f>
        <v>10.236667028878252</v>
      </c>
      <c r="BH17" s="18">
        <f>IFERROR(AJ17/'Ar-Pa'!L17,0)</f>
        <v>10.236667028878252</v>
      </c>
      <c r="BI17" s="18">
        <f>IFERROR(AK17/'Ar-Pa'!M17,0)</f>
        <v>9.9064519634305661</v>
      </c>
      <c r="BJ17" s="18">
        <f>IFERROR(AL17/'Ar-Pa'!N17,0)</f>
        <v>10.236667028878252</v>
      </c>
      <c r="BK17" s="18">
        <f>IFERROR(AM17/'Ar-Pa'!O17,0)</f>
        <v>11.321659386777791</v>
      </c>
      <c r="BL17" s="18">
        <f>IFERROR(AN17/'Ar-Pa'!P17,0)</f>
        <v>11.321659386777791</v>
      </c>
      <c r="BM17" s="18">
        <f>IFERROR(AO17/'Ar-Pa'!Q17,0)</f>
        <v>9.0992595812251125</v>
      </c>
      <c r="BN17" s="18">
        <f>IFERROR(AP17/'Ar-Pa'!R17,0)</f>
        <v>9.0992595812251125</v>
      </c>
      <c r="BO17" s="18">
        <f>IFERROR(AQ17/'Ar-Pa'!S17,0)</f>
        <v>9.3927840838452781</v>
      </c>
      <c r="BP17" s="18">
        <f>IFERROR(AR17/'Ar-Pa'!T17,0)</f>
        <v>9.0992595812251125</v>
      </c>
      <c r="BQ17" s="18">
        <f>IFERROR(AS17/'Ar-Pa'!U17,0)</f>
        <v>9.3927840838452781</v>
      </c>
      <c r="BR17" s="18">
        <f>IFERROR(AT17/'Ar-Pa'!V17,0)</f>
        <v>9.0992595812251125</v>
      </c>
      <c r="BS17" s="18">
        <f>IFERROR(AU17/'Ar-Pa'!W17,0)</f>
        <v>9.0992595812251125</v>
      </c>
      <c r="BT17" s="18">
        <f>IFERROR(AV17/'Ar-Pa'!X17,0)</f>
        <v>8.8057350786049469</v>
      </c>
      <c r="BU17" s="18">
        <f>IFERROR(AW17/'Ar-Pa'!Y17,0)</f>
        <v>9.0992595812251125</v>
      </c>
    </row>
    <row r="18" spans="1:73" s="12" customFormat="1" ht="15">
      <c r="A18" s="15">
        <v>44943</v>
      </c>
      <c r="B18" s="441">
        <v>0.31</v>
      </c>
      <c r="C18" s="441">
        <v>0.31</v>
      </c>
      <c r="D18" s="441">
        <v>0.31</v>
      </c>
      <c r="E18" s="441">
        <v>0.31</v>
      </c>
      <c r="F18" s="441">
        <v>0.31</v>
      </c>
      <c r="G18" s="441">
        <v>0.3</v>
      </c>
      <c r="H18" s="441">
        <v>0.31</v>
      </c>
      <c r="I18" s="441">
        <v>0.31</v>
      </c>
      <c r="J18" s="441">
        <v>0.31</v>
      </c>
      <c r="K18" s="441">
        <v>0.31</v>
      </c>
      <c r="L18" s="441">
        <v>0.31</v>
      </c>
      <c r="M18" s="441">
        <v>0.31</v>
      </c>
      <c r="N18" s="441">
        <v>0.3</v>
      </c>
      <c r="O18" s="441">
        <v>0.31</v>
      </c>
      <c r="P18" s="441">
        <v>0.31</v>
      </c>
      <c r="Q18" s="441">
        <v>0.31</v>
      </c>
      <c r="R18" s="441">
        <v>0.31</v>
      </c>
      <c r="S18" s="441">
        <v>0.31</v>
      </c>
      <c r="T18" s="441">
        <v>0.3</v>
      </c>
      <c r="U18" s="441">
        <v>0.31</v>
      </c>
      <c r="V18" s="441">
        <v>0.31</v>
      </c>
      <c r="W18" s="441">
        <v>0.31</v>
      </c>
      <c r="X18" s="441">
        <v>0.31</v>
      </c>
      <c r="Y18" s="441">
        <v>0.3</v>
      </c>
      <c r="Z18" s="19">
        <f t="shared" si="22"/>
        <v>81.893336231026012</v>
      </c>
      <c r="AA18" s="19">
        <f t="shared" si="23"/>
        <v>81.893336231026012</v>
      </c>
      <c r="AB18" s="19">
        <f t="shared" si="0"/>
        <v>81.893336231026012</v>
      </c>
      <c r="AC18" s="19">
        <f t="shared" si="1"/>
        <v>81.893336231026012</v>
      </c>
      <c r="AD18" s="19">
        <f t="shared" si="2"/>
        <v>81.893336231026012</v>
      </c>
      <c r="AE18" s="19">
        <f t="shared" si="3"/>
        <v>79.251615707444529</v>
      </c>
      <c r="AF18" s="19">
        <f t="shared" si="4"/>
        <v>81.893336231026012</v>
      </c>
      <c r="AG18" s="19">
        <f t="shared" si="5"/>
        <v>81.893336231026012</v>
      </c>
      <c r="AH18" s="19">
        <f t="shared" si="6"/>
        <v>81.893336231026012</v>
      </c>
      <c r="AI18" s="19">
        <f t="shared" si="7"/>
        <v>81.893336231026012</v>
      </c>
      <c r="AJ18" s="19">
        <f t="shared" si="8"/>
        <v>81.893336231026012</v>
      </c>
      <c r="AK18" s="19">
        <f t="shared" si="9"/>
        <v>81.893336231026012</v>
      </c>
      <c r="AL18" s="19">
        <f t="shared" si="10"/>
        <v>79.251615707444529</v>
      </c>
      <c r="AM18" s="19">
        <f t="shared" si="11"/>
        <v>81.893336231026012</v>
      </c>
      <c r="AN18" s="19">
        <f t="shared" si="12"/>
        <v>81.893336231026012</v>
      </c>
      <c r="AO18" s="19">
        <f t="shared" si="13"/>
        <v>81.893336231026012</v>
      </c>
      <c r="AP18" s="19">
        <f t="shared" si="14"/>
        <v>81.893336231026012</v>
      </c>
      <c r="AQ18" s="19">
        <f t="shared" si="15"/>
        <v>81.893336231026012</v>
      </c>
      <c r="AR18" s="19">
        <f t="shared" si="16"/>
        <v>79.251615707444529</v>
      </c>
      <c r="AS18" s="19">
        <f t="shared" si="17"/>
        <v>81.893336231026012</v>
      </c>
      <c r="AT18" s="19">
        <f t="shared" si="18"/>
        <v>81.893336231026012</v>
      </c>
      <c r="AU18" s="19">
        <f t="shared" si="19"/>
        <v>81.893336231026012</v>
      </c>
      <c r="AV18" s="19">
        <f t="shared" si="20"/>
        <v>81.893336231026012</v>
      </c>
      <c r="AW18" s="19">
        <f t="shared" si="21"/>
        <v>79.251615707444529</v>
      </c>
      <c r="AX18" s="18">
        <f>IFERROR(Z18/'Ar-Pa'!B18,0)</f>
        <v>9.0992595812251125</v>
      </c>
      <c r="AY18" s="18">
        <f>IFERROR(AA18/'Ar-Pa'!C18,0)</f>
        <v>9.0992595812251125</v>
      </c>
      <c r="AZ18" s="18">
        <f>IFERROR(AB18/'Ar-Pa'!D18,0)</f>
        <v>9.0992595812251125</v>
      </c>
      <c r="BA18" s="18">
        <f>IFERROR(AC18/'Ar-Pa'!E18,0)</f>
        <v>9.0992595812251125</v>
      </c>
      <c r="BB18" s="18">
        <f>IFERROR(AD18/'Ar-Pa'!F18,0)</f>
        <v>9.0992595812251125</v>
      </c>
      <c r="BC18" s="18">
        <f>IFERROR(AE18/'Ar-Pa'!G18,0)</f>
        <v>8.8057350786049469</v>
      </c>
      <c r="BD18" s="18">
        <f>IFERROR(AF18/'Ar-Pa'!H18,0)</f>
        <v>9.0992595812251125</v>
      </c>
      <c r="BE18" s="18">
        <f>IFERROR(AG18/'Ar-Pa'!I18,0)</f>
        <v>9.0992595812251125</v>
      </c>
      <c r="BF18" s="18">
        <f>IFERROR(AH18/'Ar-Pa'!J18,0)</f>
        <v>9.0992595812251125</v>
      </c>
      <c r="BG18" s="18">
        <f>IFERROR(AI18/'Ar-Pa'!K18,0)</f>
        <v>9.0992595812251125</v>
      </c>
      <c r="BH18" s="18">
        <f>IFERROR(AJ18/'Ar-Pa'!L18,0)</f>
        <v>9.0992595812251125</v>
      </c>
      <c r="BI18" s="18">
        <f>IFERROR(AK18/'Ar-Pa'!M18,0)</f>
        <v>9.0992595812251125</v>
      </c>
      <c r="BJ18" s="18">
        <f>IFERROR(AL18/'Ar-Pa'!N18,0)</f>
        <v>8.8057350786049469</v>
      </c>
      <c r="BK18" s="18">
        <f>IFERROR(AM18/'Ar-Pa'!O18,0)</f>
        <v>9.0992595812251125</v>
      </c>
      <c r="BL18" s="18">
        <f>IFERROR(AN18/'Ar-Pa'!P18,0)</f>
        <v>9.0992595812251125</v>
      </c>
      <c r="BM18" s="18">
        <f>IFERROR(AO18/'Ar-Pa'!Q18,0)</f>
        <v>9.0992595812251125</v>
      </c>
      <c r="BN18" s="18">
        <f>IFERROR(AP18/'Ar-Pa'!R18,0)</f>
        <v>9.0992595812251125</v>
      </c>
      <c r="BO18" s="18">
        <f>IFERROR(AQ18/'Ar-Pa'!S18,0)</f>
        <v>9.0992595812251125</v>
      </c>
      <c r="BP18" s="18">
        <f>IFERROR(AR18/'Ar-Pa'!T18,0)</f>
        <v>8.8057350786049469</v>
      </c>
      <c r="BQ18" s="18">
        <f>IFERROR(AS18/'Ar-Pa'!U18,0)</f>
        <v>9.0992595812251125</v>
      </c>
      <c r="BR18" s="18">
        <f>IFERROR(AT18/'Ar-Pa'!V18,0)</f>
        <v>9.0992595812251125</v>
      </c>
      <c r="BS18" s="18">
        <f>IFERROR(AU18/'Ar-Pa'!W18,0)</f>
        <v>9.0992595812251125</v>
      </c>
      <c r="BT18" s="18">
        <f>IFERROR(AV18/'Ar-Pa'!X18,0)</f>
        <v>9.0992595812251125</v>
      </c>
      <c r="BU18" s="18">
        <f>IFERROR(AW18/'Ar-Pa'!Y18,0)</f>
        <v>8.8057350786049469</v>
      </c>
    </row>
    <row r="19" spans="1:73" s="12" customFormat="1" ht="15">
      <c r="A19" s="15">
        <v>44944</v>
      </c>
      <c r="B19" s="441">
        <v>0.28999999999999998</v>
      </c>
      <c r="C19" s="441">
        <v>0.3</v>
      </c>
      <c r="D19" s="441">
        <v>0.28999999999999998</v>
      </c>
      <c r="E19" s="441">
        <v>0.28999999999999998</v>
      </c>
      <c r="F19" s="441">
        <v>0.09</v>
      </c>
      <c r="G19" s="441">
        <v>0</v>
      </c>
      <c r="H19" s="441">
        <v>0.04</v>
      </c>
      <c r="I19" s="441">
        <v>0.1</v>
      </c>
      <c r="J19" s="441">
        <v>0.24</v>
      </c>
      <c r="K19" s="441">
        <v>0.27</v>
      </c>
      <c r="L19" s="441">
        <v>0.28999999999999998</v>
      </c>
      <c r="M19" s="441">
        <v>0.28999999999999998</v>
      </c>
      <c r="N19" s="441">
        <v>0.3</v>
      </c>
      <c r="O19" s="441">
        <v>0.3</v>
      </c>
      <c r="P19" s="441">
        <v>0.28999999999999998</v>
      </c>
      <c r="Q19" s="441">
        <v>0.28999999999999998</v>
      </c>
      <c r="R19" s="441">
        <v>0.28999999999999998</v>
      </c>
      <c r="S19" s="441">
        <v>0.28999999999999998</v>
      </c>
      <c r="T19" s="441">
        <v>0.3</v>
      </c>
      <c r="U19" s="441">
        <v>0.28000000000000003</v>
      </c>
      <c r="V19" s="441">
        <v>0.3</v>
      </c>
      <c r="W19" s="441">
        <v>0.28999999999999998</v>
      </c>
      <c r="X19" s="441">
        <v>0.28999999999999998</v>
      </c>
      <c r="Y19" s="441">
        <v>0.28999999999999998</v>
      </c>
      <c r="Z19" s="19">
        <f t="shared" si="22"/>
        <v>76.609895183863046</v>
      </c>
      <c r="AA19" s="19">
        <f t="shared" si="23"/>
        <v>79.251615707444529</v>
      </c>
      <c r="AB19" s="19">
        <f t="shared" si="0"/>
        <v>76.609895183863046</v>
      </c>
      <c r="AC19" s="19">
        <f t="shared" si="1"/>
        <v>76.609895183863046</v>
      </c>
      <c r="AD19" s="19">
        <f t="shared" si="2"/>
        <v>23.775484712233357</v>
      </c>
      <c r="AE19" s="19">
        <f t="shared" si="3"/>
        <v>0</v>
      </c>
      <c r="AF19" s="19">
        <f t="shared" si="4"/>
        <v>10.566882094325937</v>
      </c>
      <c r="AG19" s="19">
        <f t="shared" si="5"/>
        <v>26.417205235814841</v>
      </c>
      <c r="AH19" s="19">
        <f t="shared" si="6"/>
        <v>63.401292565955622</v>
      </c>
      <c r="AI19" s="19">
        <f t="shared" si="7"/>
        <v>71.326454136700079</v>
      </c>
      <c r="AJ19" s="19">
        <f t="shared" si="8"/>
        <v>76.609895183863046</v>
      </c>
      <c r="AK19" s="19">
        <f t="shared" si="9"/>
        <v>76.609895183863046</v>
      </c>
      <c r="AL19" s="19">
        <f t="shared" si="10"/>
        <v>79.251615707444529</v>
      </c>
      <c r="AM19" s="19">
        <f t="shared" si="11"/>
        <v>79.251615707444529</v>
      </c>
      <c r="AN19" s="19">
        <f t="shared" si="12"/>
        <v>76.609895183863046</v>
      </c>
      <c r="AO19" s="19">
        <f t="shared" si="13"/>
        <v>76.609895183863046</v>
      </c>
      <c r="AP19" s="19">
        <f t="shared" si="14"/>
        <v>76.609895183863046</v>
      </c>
      <c r="AQ19" s="19">
        <f t="shared" si="15"/>
        <v>76.609895183863046</v>
      </c>
      <c r="AR19" s="19">
        <f t="shared" si="16"/>
        <v>79.251615707444529</v>
      </c>
      <c r="AS19" s="19">
        <f t="shared" si="17"/>
        <v>73.968174660281562</v>
      </c>
      <c r="AT19" s="19">
        <f t="shared" si="18"/>
        <v>79.251615707444529</v>
      </c>
      <c r="AU19" s="19">
        <f t="shared" si="19"/>
        <v>76.609895183863046</v>
      </c>
      <c r="AV19" s="19">
        <f t="shared" si="20"/>
        <v>76.609895183863046</v>
      </c>
      <c r="AW19" s="19">
        <f t="shared" si="21"/>
        <v>76.609895183863046</v>
      </c>
      <c r="AX19" s="18">
        <f>IFERROR(Z19/'Ar-Pa'!B19,0)</f>
        <v>9.5762368979828807</v>
      </c>
      <c r="AY19" s="18">
        <f>IFERROR(AA19/'Ar-Pa'!C19,0)</f>
        <v>9.9064519634305661</v>
      </c>
      <c r="AZ19" s="18">
        <f>IFERROR(AB19/'Ar-Pa'!D19,0)</f>
        <v>9.5762368979828807</v>
      </c>
      <c r="BA19" s="18">
        <f>IFERROR(AC19/'Ar-Pa'!E19,0)</f>
        <v>9.5762368979828807</v>
      </c>
      <c r="BB19" s="18">
        <f>IFERROR(AD19/'Ar-Pa'!F19,0)</f>
        <v>11.887742356116679</v>
      </c>
      <c r="BC19" s="18">
        <f>IFERROR(AE19/'Ar-Pa'!G19,0)</f>
        <v>0</v>
      </c>
      <c r="BD19" s="18">
        <f>IFERROR(AF19/'Ar-Pa'!H19,0)</f>
        <v>5.2834410471629685</v>
      </c>
      <c r="BE19" s="18">
        <f>IFERROR(AG19/'Ar-Pa'!I19,0)</f>
        <v>13.20860261790742</v>
      </c>
      <c r="BF19" s="18">
        <f>IFERROR(AH19/'Ar-Pa'!J19,0)</f>
        <v>9.0573275094222314</v>
      </c>
      <c r="BG19" s="18">
        <f>IFERROR(AI19/'Ar-Pa'!K19,0)</f>
        <v>10.189493448100011</v>
      </c>
      <c r="BH19" s="18">
        <f>IFERROR(AJ19/'Ar-Pa'!L19,0)</f>
        <v>9.5762368979828807</v>
      </c>
      <c r="BI19" s="18">
        <f>IFERROR(AK19/'Ar-Pa'!M19,0)</f>
        <v>9.5762368979828807</v>
      </c>
      <c r="BJ19" s="18">
        <f>IFERROR(AL19/'Ar-Pa'!N19,0)</f>
        <v>9.9064519634305661</v>
      </c>
      <c r="BK19" s="18">
        <f>IFERROR(AM19/'Ar-Pa'!O19,0)</f>
        <v>9.9064519634305661</v>
      </c>
      <c r="BL19" s="18">
        <f>IFERROR(AN19/'Ar-Pa'!P19,0)</f>
        <v>9.5762368979828807</v>
      </c>
      <c r="BM19" s="18">
        <f>IFERROR(AO19/'Ar-Pa'!Q19,0)</f>
        <v>9.5762368979828807</v>
      </c>
      <c r="BN19" s="18">
        <f>IFERROR(AP19/'Ar-Pa'!R19,0)</f>
        <v>9.5762368979828807</v>
      </c>
      <c r="BO19" s="18">
        <f>IFERROR(AQ19/'Ar-Pa'!S19,0)</f>
        <v>9.5762368979828807</v>
      </c>
      <c r="BP19" s="18">
        <f>IFERROR(AR19/'Ar-Pa'!T19,0)</f>
        <v>9.9064519634305661</v>
      </c>
      <c r="BQ19" s="18">
        <f>IFERROR(AS19/'Ar-Pa'!U19,0)</f>
        <v>9.2460218325351953</v>
      </c>
      <c r="BR19" s="18">
        <f>IFERROR(AT19/'Ar-Pa'!V19,0)</f>
        <v>9.9064519634305661</v>
      </c>
      <c r="BS19" s="18">
        <f>IFERROR(AU19/'Ar-Pa'!W19,0)</f>
        <v>9.5762368979828807</v>
      </c>
      <c r="BT19" s="18">
        <f>IFERROR(AV19/'Ar-Pa'!X19,0)</f>
        <v>9.5762368979828807</v>
      </c>
      <c r="BU19" s="18">
        <f>IFERROR(AW19/'Ar-Pa'!Y19,0)</f>
        <v>9.5762368979828807</v>
      </c>
    </row>
    <row r="20" spans="1:73" s="12" customFormat="1" ht="15">
      <c r="A20" s="15">
        <v>44945</v>
      </c>
      <c r="B20" s="441">
        <v>0.28999999999999998</v>
      </c>
      <c r="C20" s="441">
        <v>0.28000000000000003</v>
      </c>
      <c r="D20" s="441">
        <v>0.28000000000000003</v>
      </c>
      <c r="E20" s="441">
        <v>0.28000000000000003</v>
      </c>
      <c r="F20" s="441">
        <v>0.09</v>
      </c>
      <c r="G20" s="441">
        <v>0</v>
      </c>
      <c r="H20" s="441">
        <v>0.03</v>
      </c>
      <c r="I20" s="441">
        <v>0.1</v>
      </c>
      <c r="J20" s="441">
        <v>0.21</v>
      </c>
      <c r="K20" s="441">
        <v>0.26</v>
      </c>
      <c r="L20" s="441">
        <v>0.25</v>
      </c>
      <c r="M20" s="441">
        <v>0.25</v>
      </c>
      <c r="N20" s="441">
        <v>0.27</v>
      </c>
      <c r="O20" s="441">
        <v>0.27</v>
      </c>
      <c r="P20" s="441">
        <v>0.28000000000000003</v>
      </c>
      <c r="Q20" s="441">
        <v>0.28000000000000003</v>
      </c>
      <c r="R20" s="441">
        <v>0.28000000000000003</v>
      </c>
      <c r="S20" s="441">
        <v>0.28000000000000003</v>
      </c>
      <c r="T20" s="441">
        <v>0.28000000000000003</v>
      </c>
      <c r="U20" s="441">
        <v>0.28000000000000003</v>
      </c>
      <c r="V20" s="441">
        <v>0.28000000000000003</v>
      </c>
      <c r="W20" s="441">
        <v>0.27</v>
      </c>
      <c r="X20" s="441">
        <v>0.28000000000000003</v>
      </c>
      <c r="Y20" s="441">
        <v>0.28000000000000003</v>
      </c>
      <c r="Z20" s="19">
        <f t="shared" si="22"/>
        <v>76.609895183863046</v>
      </c>
      <c r="AA20" s="19">
        <f t="shared" si="23"/>
        <v>73.968174660281562</v>
      </c>
      <c r="AB20" s="19">
        <f t="shared" si="0"/>
        <v>73.968174660281562</v>
      </c>
      <c r="AC20" s="19">
        <f t="shared" si="1"/>
        <v>73.968174660281562</v>
      </c>
      <c r="AD20" s="19">
        <f t="shared" si="2"/>
        <v>23.775484712233357</v>
      </c>
      <c r="AE20" s="19">
        <f t="shared" si="3"/>
        <v>0</v>
      </c>
      <c r="AF20" s="19">
        <f t="shared" si="4"/>
        <v>7.9251615707444527</v>
      </c>
      <c r="AG20" s="19">
        <f t="shared" si="5"/>
        <v>26.417205235814841</v>
      </c>
      <c r="AH20" s="19">
        <f t="shared" si="6"/>
        <v>55.476130995211172</v>
      </c>
      <c r="AI20" s="19">
        <f t="shared" si="7"/>
        <v>68.684733613118595</v>
      </c>
      <c r="AJ20" s="19">
        <f t="shared" si="8"/>
        <v>66.043013089537112</v>
      </c>
      <c r="AK20" s="19">
        <f t="shared" si="9"/>
        <v>66.043013089537112</v>
      </c>
      <c r="AL20" s="19">
        <f t="shared" si="10"/>
        <v>71.326454136700079</v>
      </c>
      <c r="AM20" s="19">
        <f t="shared" si="11"/>
        <v>71.326454136700079</v>
      </c>
      <c r="AN20" s="19">
        <f t="shared" si="12"/>
        <v>73.968174660281562</v>
      </c>
      <c r="AO20" s="19">
        <f t="shared" si="13"/>
        <v>73.968174660281562</v>
      </c>
      <c r="AP20" s="19">
        <f t="shared" si="14"/>
        <v>73.968174660281562</v>
      </c>
      <c r="AQ20" s="19">
        <f t="shared" si="15"/>
        <v>73.968174660281562</v>
      </c>
      <c r="AR20" s="19">
        <f t="shared" si="16"/>
        <v>73.968174660281562</v>
      </c>
      <c r="AS20" s="19">
        <f t="shared" si="17"/>
        <v>73.968174660281562</v>
      </c>
      <c r="AT20" s="19">
        <f t="shared" si="18"/>
        <v>73.968174660281562</v>
      </c>
      <c r="AU20" s="19">
        <f t="shared" si="19"/>
        <v>71.326454136700079</v>
      </c>
      <c r="AV20" s="19">
        <f t="shared" si="20"/>
        <v>73.968174660281562</v>
      </c>
      <c r="AW20" s="19">
        <f t="shared" si="21"/>
        <v>73.968174660281562</v>
      </c>
      <c r="AX20" s="18">
        <f>IFERROR(Z20/'Ar-Pa'!B20,0)</f>
        <v>9.5762368979828807</v>
      </c>
      <c r="AY20" s="18">
        <f>IFERROR(AA20/'Ar-Pa'!C20,0)</f>
        <v>9.2460218325351953</v>
      </c>
      <c r="AZ20" s="18">
        <f>IFERROR(AB20/'Ar-Pa'!D20,0)</f>
        <v>9.2460218325351953</v>
      </c>
      <c r="BA20" s="18">
        <f>IFERROR(AC20/'Ar-Pa'!E20,0)</f>
        <v>9.2460218325351953</v>
      </c>
      <c r="BB20" s="18">
        <f>IFERROR(AD20/'Ar-Pa'!F20,0)</f>
        <v>11.887742356116679</v>
      </c>
      <c r="BC20" s="18">
        <f>IFERROR(AE20/'Ar-Pa'!G20,0)</f>
        <v>0</v>
      </c>
      <c r="BD20" s="18">
        <f>IFERROR(AF20/'Ar-Pa'!H20,0)</f>
        <v>3.9625807853722264</v>
      </c>
      <c r="BE20" s="18">
        <f>IFERROR(AG20/'Ar-Pa'!I20,0)</f>
        <v>13.20860261790742</v>
      </c>
      <c r="BF20" s="18">
        <f>IFERROR(AH20/'Ar-Pa'!J20,0)</f>
        <v>11.095226199042234</v>
      </c>
      <c r="BG20" s="18">
        <f>IFERROR(AI20/'Ar-Pa'!K20,0)</f>
        <v>17.171183403279649</v>
      </c>
      <c r="BH20" s="18">
        <f>IFERROR(AJ20/'Ar-Pa'!L20,0)</f>
        <v>16.510753272384278</v>
      </c>
      <c r="BI20" s="18">
        <f>IFERROR(AK20/'Ar-Pa'!M20,0)</f>
        <v>16.510753272384278</v>
      </c>
      <c r="BJ20" s="18">
        <f>IFERROR(AL20/'Ar-Pa'!N20,0)</f>
        <v>11.88774235611668</v>
      </c>
      <c r="BK20" s="18">
        <f>IFERROR(AM20/'Ar-Pa'!O20,0)</f>
        <v>11.88774235611668</v>
      </c>
      <c r="BL20" s="18">
        <f>IFERROR(AN20/'Ar-Pa'!P20,0)</f>
        <v>9.2460218325351953</v>
      </c>
      <c r="BM20" s="18">
        <f>IFERROR(AO20/'Ar-Pa'!Q20,0)</f>
        <v>9.2460218325351953</v>
      </c>
      <c r="BN20" s="18">
        <f>IFERROR(AP20/'Ar-Pa'!R20,0)</f>
        <v>9.2460218325351953</v>
      </c>
      <c r="BO20" s="18">
        <f>IFERROR(AQ20/'Ar-Pa'!S20,0)</f>
        <v>9.2460218325351953</v>
      </c>
      <c r="BP20" s="18">
        <f>IFERROR(AR20/'Ar-Pa'!T20,0)</f>
        <v>9.2460218325351953</v>
      </c>
      <c r="BQ20" s="18">
        <f>IFERROR(AS20/'Ar-Pa'!U20,0)</f>
        <v>9.2460218325351953</v>
      </c>
      <c r="BR20" s="18">
        <f>IFERROR(AT20/'Ar-Pa'!V20,0)</f>
        <v>9.2460218325351953</v>
      </c>
      <c r="BS20" s="18">
        <f>IFERROR(AU20/'Ar-Pa'!W20,0)</f>
        <v>8.9158067670875099</v>
      </c>
      <c r="BT20" s="18">
        <f>IFERROR(AV20/'Ar-Pa'!X20,0)</f>
        <v>9.2460218325351953</v>
      </c>
      <c r="BU20" s="18">
        <f>IFERROR(AW20/'Ar-Pa'!Y20,0)</f>
        <v>9.2460218325351953</v>
      </c>
    </row>
    <row r="21" spans="1:73" s="12" customFormat="1" ht="15">
      <c r="A21" s="15">
        <v>44946</v>
      </c>
      <c r="B21" s="441">
        <v>0.28999999999999998</v>
      </c>
      <c r="C21" s="441">
        <v>0.28999999999999998</v>
      </c>
      <c r="D21" s="441">
        <v>0.28999999999999998</v>
      </c>
      <c r="E21" s="441">
        <v>0.3</v>
      </c>
      <c r="F21" s="441">
        <v>0.09</v>
      </c>
      <c r="G21" s="441">
        <v>0</v>
      </c>
      <c r="H21" s="441">
        <v>0.03</v>
      </c>
      <c r="I21" s="441">
        <v>0.1</v>
      </c>
      <c r="J21" s="441">
        <v>0.23</v>
      </c>
      <c r="K21" s="441">
        <v>0.3</v>
      </c>
      <c r="L21" s="441">
        <v>0.3</v>
      </c>
      <c r="M21" s="441">
        <v>0.28999999999999998</v>
      </c>
      <c r="N21" s="441">
        <v>0.3</v>
      </c>
      <c r="O21" s="441">
        <v>0.28999999999999998</v>
      </c>
      <c r="P21" s="441">
        <v>0.3</v>
      </c>
      <c r="Q21" s="441">
        <v>0.3</v>
      </c>
      <c r="R21" s="441">
        <v>0.3</v>
      </c>
      <c r="S21" s="441">
        <v>0.3</v>
      </c>
      <c r="T21" s="441">
        <v>0.28999999999999998</v>
      </c>
      <c r="U21" s="441">
        <v>0.3</v>
      </c>
      <c r="V21" s="441">
        <v>0.28999999999999998</v>
      </c>
      <c r="W21" s="441">
        <v>0.3</v>
      </c>
      <c r="X21" s="441">
        <v>0.3</v>
      </c>
      <c r="Y21" s="441">
        <v>0.28999999999999998</v>
      </c>
      <c r="Z21" s="19">
        <f t="shared" si="22"/>
        <v>76.609895183863046</v>
      </c>
      <c r="AA21" s="19">
        <f t="shared" si="23"/>
        <v>76.609895183863046</v>
      </c>
      <c r="AB21" s="19">
        <f t="shared" si="0"/>
        <v>76.609895183863046</v>
      </c>
      <c r="AC21" s="19">
        <f t="shared" si="1"/>
        <v>79.251615707444529</v>
      </c>
      <c r="AD21" s="19">
        <f t="shared" si="2"/>
        <v>23.775484712233357</v>
      </c>
      <c r="AE21" s="19">
        <f t="shared" si="3"/>
        <v>0</v>
      </c>
      <c r="AF21" s="19">
        <f t="shared" si="4"/>
        <v>7.9251615707444527</v>
      </c>
      <c r="AG21" s="19">
        <f t="shared" si="5"/>
        <v>26.417205235814841</v>
      </c>
      <c r="AH21" s="19">
        <f t="shared" si="6"/>
        <v>60.759572042374138</v>
      </c>
      <c r="AI21" s="19">
        <f t="shared" si="7"/>
        <v>79.251615707444529</v>
      </c>
      <c r="AJ21" s="19">
        <f t="shared" si="8"/>
        <v>79.251615707444529</v>
      </c>
      <c r="AK21" s="19">
        <f t="shared" si="9"/>
        <v>76.609895183863046</v>
      </c>
      <c r="AL21" s="19">
        <f t="shared" si="10"/>
        <v>79.251615707444529</v>
      </c>
      <c r="AM21" s="19">
        <f t="shared" si="11"/>
        <v>76.609895183863046</v>
      </c>
      <c r="AN21" s="19">
        <f t="shared" si="12"/>
        <v>79.251615707444529</v>
      </c>
      <c r="AO21" s="19">
        <f t="shared" si="13"/>
        <v>79.251615707444529</v>
      </c>
      <c r="AP21" s="19">
        <f t="shared" si="14"/>
        <v>79.251615707444529</v>
      </c>
      <c r="AQ21" s="19">
        <f t="shared" si="15"/>
        <v>79.251615707444529</v>
      </c>
      <c r="AR21" s="19">
        <f t="shared" si="16"/>
        <v>76.609895183863046</v>
      </c>
      <c r="AS21" s="19">
        <f t="shared" si="17"/>
        <v>79.251615707444529</v>
      </c>
      <c r="AT21" s="19">
        <f t="shared" si="18"/>
        <v>76.609895183863046</v>
      </c>
      <c r="AU21" s="19">
        <f t="shared" si="19"/>
        <v>79.251615707444529</v>
      </c>
      <c r="AV21" s="19">
        <f t="shared" si="20"/>
        <v>79.251615707444529</v>
      </c>
      <c r="AW21" s="19">
        <f t="shared" si="21"/>
        <v>76.609895183863046</v>
      </c>
      <c r="AX21" s="18">
        <f>IFERROR(Z21/'Ar-Pa'!B21,0)</f>
        <v>9.5762368979828807</v>
      </c>
      <c r="AY21" s="18">
        <f>IFERROR(AA21/'Ar-Pa'!C21,0)</f>
        <v>9.5762368979828807</v>
      </c>
      <c r="AZ21" s="18">
        <f>IFERROR(AB21/'Ar-Pa'!D21,0)</f>
        <v>9.5762368979828807</v>
      </c>
      <c r="BA21" s="18">
        <f>IFERROR(AC21/'Ar-Pa'!E21,0)</f>
        <v>9.9064519634305661</v>
      </c>
      <c r="BB21" s="18">
        <f>IFERROR(AD21/'Ar-Pa'!F21,0)</f>
        <v>11.887742356116679</v>
      </c>
      <c r="BC21" s="18">
        <f>IFERROR(AE21/'Ar-Pa'!G21,0)</f>
        <v>0</v>
      </c>
      <c r="BD21" s="18">
        <f>IFERROR(AF21/'Ar-Pa'!H21,0)</f>
        <v>3.9625807853722264</v>
      </c>
      <c r="BE21" s="18">
        <f>IFERROR(AG21/'Ar-Pa'!I21,0)</f>
        <v>13.20860261790742</v>
      </c>
      <c r="BF21" s="18">
        <f>IFERROR(AH21/'Ar-Pa'!J21,0)</f>
        <v>10.12659534039569</v>
      </c>
      <c r="BG21" s="18">
        <f>IFERROR(AI21/'Ar-Pa'!K21,0)</f>
        <v>9.9064519634305661</v>
      </c>
      <c r="BH21" s="18">
        <f>IFERROR(AJ21/'Ar-Pa'!L21,0)</f>
        <v>9.9064519634305661</v>
      </c>
      <c r="BI21" s="18">
        <f>IFERROR(AK21/'Ar-Pa'!M21,0)</f>
        <v>9.5762368979828807</v>
      </c>
      <c r="BJ21" s="18">
        <f>IFERROR(AL21/'Ar-Pa'!N21,0)</f>
        <v>9.9064519634305661</v>
      </c>
      <c r="BK21" s="18">
        <f>IFERROR(AM21/'Ar-Pa'!O21,0)</f>
        <v>9.5762368979828807</v>
      </c>
      <c r="BL21" s="18">
        <f>IFERROR(AN21/'Ar-Pa'!P21,0)</f>
        <v>9.9064519634305661</v>
      </c>
      <c r="BM21" s="18">
        <f>IFERROR(AO21/'Ar-Pa'!Q21,0)</f>
        <v>11.321659386777791</v>
      </c>
      <c r="BN21" s="18">
        <f>IFERROR(AP21/'Ar-Pa'!R21,0)</f>
        <v>11.321659386777791</v>
      </c>
      <c r="BO21" s="18">
        <f>IFERROR(AQ21/'Ar-Pa'!S21,0)</f>
        <v>9.9064519634305661</v>
      </c>
      <c r="BP21" s="18">
        <f>IFERROR(AR21/'Ar-Pa'!T21,0)</f>
        <v>9.5762368979828807</v>
      </c>
      <c r="BQ21" s="18">
        <f>IFERROR(AS21/'Ar-Pa'!U21,0)</f>
        <v>9.9064519634305661</v>
      </c>
      <c r="BR21" s="18">
        <f>IFERROR(AT21/'Ar-Pa'!V21,0)</f>
        <v>9.5762368979828807</v>
      </c>
      <c r="BS21" s="18">
        <f>IFERROR(AU21/'Ar-Pa'!W21,0)</f>
        <v>9.9064519634305661</v>
      </c>
      <c r="BT21" s="18">
        <f>IFERROR(AV21/'Ar-Pa'!X21,0)</f>
        <v>9.9064519634305661</v>
      </c>
      <c r="BU21" s="18">
        <f>IFERROR(AW21/'Ar-Pa'!Y21,0)</f>
        <v>9.5762368979828807</v>
      </c>
    </row>
    <row r="22" spans="1:73" s="12" customFormat="1" ht="15">
      <c r="A22" s="15">
        <v>44947</v>
      </c>
      <c r="B22" s="441">
        <v>0.3</v>
      </c>
      <c r="C22" s="441">
        <v>0.28999999999999998</v>
      </c>
      <c r="D22" s="441">
        <v>0.28999999999999998</v>
      </c>
      <c r="E22" s="441">
        <v>0.3</v>
      </c>
      <c r="F22" s="441">
        <v>0.28999999999999998</v>
      </c>
      <c r="G22" s="441">
        <v>0.3</v>
      </c>
      <c r="H22" s="441">
        <v>0.28999999999999998</v>
      </c>
      <c r="I22" s="441">
        <v>0.3</v>
      </c>
      <c r="J22" s="441">
        <v>0.28999999999999998</v>
      </c>
      <c r="K22" s="441">
        <v>0.3</v>
      </c>
      <c r="L22" s="441">
        <v>0.28999999999999998</v>
      </c>
      <c r="M22" s="441">
        <v>0.3</v>
      </c>
      <c r="N22" s="441">
        <v>0.28999999999999998</v>
      </c>
      <c r="O22" s="441">
        <v>0.28999999999999998</v>
      </c>
      <c r="P22" s="441">
        <v>0.3</v>
      </c>
      <c r="Q22" s="441">
        <v>0.3</v>
      </c>
      <c r="R22" s="441">
        <v>0.28999999999999998</v>
      </c>
      <c r="S22" s="441">
        <v>0.28999999999999998</v>
      </c>
      <c r="T22" s="441">
        <v>0.28999999999999998</v>
      </c>
      <c r="U22" s="441">
        <v>0.28999999999999998</v>
      </c>
      <c r="V22" s="441">
        <v>0.28999999999999998</v>
      </c>
      <c r="W22" s="441">
        <v>0.3</v>
      </c>
      <c r="X22" s="441">
        <v>0.28999999999999998</v>
      </c>
      <c r="Y22" s="441">
        <v>0.28999999999999998</v>
      </c>
      <c r="Z22" s="19">
        <f t="shared" si="22"/>
        <v>79.251615707444529</v>
      </c>
      <c r="AA22" s="19">
        <f t="shared" si="23"/>
        <v>76.609895183863046</v>
      </c>
      <c r="AB22" s="19">
        <f t="shared" si="0"/>
        <v>76.609895183863046</v>
      </c>
      <c r="AC22" s="19">
        <f t="shared" si="1"/>
        <v>79.251615707444529</v>
      </c>
      <c r="AD22" s="19">
        <f t="shared" si="2"/>
        <v>76.609895183863046</v>
      </c>
      <c r="AE22" s="19">
        <f t="shared" si="3"/>
        <v>79.251615707444529</v>
      </c>
      <c r="AF22" s="19">
        <f t="shared" si="4"/>
        <v>76.609895183863046</v>
      </c>
      <c r="AG22" s="19">
        <f t="shared" si="5"/>
        <v>79.251615707444529</v>
      </c>
      <c r="AH22" s="19">
        <f t="shared" si="6"/>
        <v>76.609895183863046</v>
      </c>
      <c r="AI22" s="19">
        <f t="shared" si="7"/>
        <v>79.251615707444529</v>
      </c>
      <c r="AJ22" s="19">
        <f t="shared" si="8"/>
        <v>76.609895183863046</v>
      </c>
      <c r="AK22" s="19">
        <f t="shared" si="9"/>
        <v>79.251615707444529</v>
      </c>
      <c r="AL22" s="19">
        <f t="shared" si="10"/>
        <v>76.609895183863046</v>
      </c>
      <c r="AM22" s="19">
        <f t="shared" si="11"/>
        <v>76.609895183863046</v>
      </c>
      <c r="AN22" s="19">
        <f t="shared" si="12"/>
        <v>79.251615707444529</v>
      </c>
      <c r="AO22" s="19">
        <f t="shared" si="13"/>
        <v>79.251615707444529</v>
      </c>
      <c r="AP22" s="19">
        <f t="shared" si="14"/>
        <v>76.609895183863046</v>
      </c>
      <c r="AQ22" s="19">
        <f t="shared" si="15"/>
        <v>76.609895183863046</v>
      </c>
      <c r="AR22" s="19">
        <f t="shared" si="16"/>
        <v>76.609895183863046</v>
      </c>
      <c r="AS22" s="19">
        <f t="shared" si="17"/>
        <v>76.609895183863046</v>
      </c>
      <c r="AT22" s="19">
        <f t="shared" si="18"/>
        <v>76.609895183863046</v>
      </c>
      <c r="AU22" s="19">
        <f t="shared" si="19"/>
        <v>79.251615707444529</v>
      </c>
      <c r="AV22" s="19">
        <f t="shared" si="20"/>
        <v>76.609895183863046</v>
      </c>
      <c r="AW22" s="19">
        <f t="shared" si="21"/>
        <v>76.609895183863046</v>
      </c>
      <c r="AX22" s="18">
        <f>IFERROR(Z22/'Ar-Pa'!B22,0)</f>
        <v>9.9064519634305661</v>
      </c>
      <c r="AY22" s="18">
        <f>IFERROR(AA22/'Ar-Pa'!C22,0)</f>
        <v>9.5762368979828807</v>
      </c>
      <c r="AZ22" s="18">
        <f>IFERROR(AB22/'Ar-Pa'!D22,0)</f>
        <v>9.5762368979828807</v>
      </c>
      <c r="BA22" s="18">
        <f>IFERROR(AC22/'Ar-Pa'!E22,0)</f>
        <v>9.9064519634305661</v>
      </c>
      <c r="BB22" s="18">
        <f>IFERROR(AD22/'Ar-Pa'!F22,0)</f>
        <v>9.5762368979828807</v>
      </c>
      <c r="BC22" s="18">
        <f>IFERROR(AE22/'Ar-Pa'!G22,0)</f>
        <v>9.9064519634305661</v>
      </c>
      <c r="BD22" s="18">
        <f>IFERROR(AF22/'Ar-Pa'!H22,0)</f>
        <v>10.944270740551863</v>
      </c>
      <c r="BE22" s="18">
        <f>IFERROR(AG22/'Ar-Pa'!I22,0)</f>
        <v>11.321659386777791</v>
      </c>
      <c r="BF22" s="18">
        <f>IFERROR(AH22/'Ar-Pa'!J22,0)</f>
        <v>10.944270740551863</v>
      </c>
      <c r="BG22" s="18">
        <f>IFERROR(AI22/'Ar-Pa'!K22,0)</f>
        <v>9.9064519634305661</v>
      </c>
      <c r="BH22" s="18">
        <f>IFERROR(AJ22/'Ar-Pa'!L22,0)</f>
        <v>9.5762368979828807</v>
      </c>
      <c r="BI22" s="18">
        <f>IFERROR(AK22/'Ar-Pa'!M22,0)</f>
        <v>9.9064519634305661</v>
      </c>
      <c r="BJ22" s="18">
        <f>IFERROR(AL22/'Ar-Pa'!N22,0)</f>
        <v>9.5762368979828807</v>
      </c>
      <c r="BK22" s="18">
        <f>IFERROR(AM22/'Ar-Pa'!O22,0)</f>
        <v>9.5762368979828807</v>
      </c>
      <c r="BL22" s="18">
        <f>IFERROR(AN22/'Ar-Pa'!P22,0)</f>
        <v>9.9064519634305661</v>
      </c>
      <c r="BM22" s="18">
        <f>IFERROR(AO22/'Ar-Pa'!Q22,0)</f>
        <v>9.9064519634305661</v>
      </c>
      <c r="BN22" s="18">
        <f>IFERROR(AP22/'Ar-Pa'!R22,0)</f>
        <v>9.5762368979828807</v>
      </c>
      <c r="BO22" s="18">
        <f>IFERROR(AQ22/'Ar-Pa'!S22,0)</f>
        <v>9.5762368979828807</v>
      </c>
      <c r="BP22" s="18">
        <f>IFERROR(AR22/'Ar-Pa'!T22,0)</f>
        <v>9.5762368979828807</v>
      </c>
      <c r="BQ22" s="18">
        <f>IFERROR(AS22/'Ar-Pa'!U22,0)</f>
        <v>9.5762368979828807</v>
      </c>
      <c r="BR22" s="18">
        <f>IFERROR(AT22/'Ar-Pa'!V22,0)</f>
        <v>9.5762368979828807</v>
      </c>
      <c r="BS22" s="18">
        <f>IFERROR(AU22/'Ar-Pa'!W22,0)</f>
        <v>9.9064519634305661</v>
      </c>
      <c r="BT22" s="18">
        <f>IFERROR(AV22/'Ar-Pa'!X22,0)</f>
        <v>9.5762368979828807</v>
      </c>
      <c r="BU22" s="18">
        <f>IFERROR(AW22/'Ar-Pa'!Y22,0)</f>
        <v>9.5762368979828807</v>
      </c>
    </row>
    <row r="23" spans="1:73" s="12" customFormat="1" ht="15">
      <c r="A23" s="15">
        <v>44948</v>
      </c>
      <c r="B23" s="441">
        <v>0.28000000000000003</v>
      </c>
      <c r="C23" s="441">
        <v>0.28000000000000003</v>
      </c>
      <c r="D23" s="441">
        <v>0.28000000000000003</v>
      </c>
      <c r="E23" s="441">
        <v>0.27</v>
      </c>
      <c r="F23" s="441">
        <v>0.28000000000000003</v>
      </c>
      <c r="G23" s="441">
        <v>0.28000000000000003</v>
      </c>
      <c r="H23" s="441">
        <v>0.28000000000000003</v>
      </c>
      <c r="I23" s="441">
        <v>0.28000000000000003</v>
      </c>
      <c r="J23" s="441">
        <v>0.28999999999999998</v>
      </c>
      <c r="K23" s="441">
        <v>0.28000000000000003</v>
      </c>
      <c r="L23" s="441">
        <v>0.28000000000000003</v>
      </c>
      <c r="M23" s="441">
        <v>0.28000000000000003</v>
      </c>
      <c r="N23" s="441">
        <v>0.28000000000000003</v>
      </c>
      <c r="O23" s="441">
        <v>0.28999999999999998</v>
      </c>
      <c r="P23" s="441">
        <v>0.28000000000000003</v>
      </c>
      <c r="Q23" s="441">
        <v>0.28999999999999998</v>
      </c>
      <c r="R23" s="441">
        <v>0.28000000000000003</v>
      </c>
      <c r="S23" s="441">
        <v>0.28000000000000003</v>
      </c>
      <c r="T23" s="441">
        <v>0.28999999999999998</v>
      </c>
      <c r="U23" s="441">
        <v>0.28000000000000003</v>
      </c>
      <c r="V23" s="441">
        <v>0.28000000000000003</v>
      </c>
      <c r="W23" s="441">
        <v>0.28999999999999998</v>
      </c>
      <c r="X23" s="441">
        <v>0.28000000000000003</v>
      </c>
      <c r="Y23" s="441">
        <v>0.28000000000000003</v>
      </c>
      <c r="Z23" s="19">
        <f t="shared" si="22"/>
        <v>73.968174660281562</v>
      </c>
      <c r="AA23" s="19">
        <f t="shared" si="23"/>
        <v>73.968174660281562</v>
      </c>
      <c r="AB23" s="19">
        <f t="shared" si="0"/>
        <v>73.968174660281562</v>
      </c>
      <c r="AC23" s="19">
        <f t="shared" si="1"/>
        <v>71.326454136700079</v>
      </c>
      <c r="AD23" s="19">
        <f t="shared" si="2"/>
        <v>73.968174660281562</v>
      </c>
      <c r="AE23" s="19">
        <f t="shared" si="3"/>
        <v>73.968174660281562</v>
      </c>
      <c r="AF23" s="19">
        <f t="shared" si="4"/>
        <v>73.968174660281562</v>
      </c>
      <c r="AG23" s="19">
        <f t="shared" si="5"/>
        <v>73.968174660281562</v>
      </c>
      <c r="AH23" s="19">
        <f t="shared" si="6"/>
        <v>76.609895183863046</v>
      </c>
      <c r="AI23" s="19">
        <f t="shared" si="7"/>
        <v>73.968174660281562</v>
      </c>
      <c r="AJ23" s="19">
        <f t="shared" si="8"/>
        <v>73.968174660281562</v>
      </c>
      <c r="AK23" s="19">
        <f t="shared" si="9"/>
        <v>73.968174660281562</v>
      </c>
      <c r="AL23" s="19">
        <f t="shared" si="10"/>
        <v>73.968174660281562</v>
      </c>
      <c r="AM23" s="19">
        <f t="shared" si="11"/>
        <v>76.609895183863046</v>
      </c>
      <c r="AN23" s="19">
        <f t="shared" si="12"/>
        <v>73.968174660281562</v>
      </c>
      <c r="AO23" s="19">
        <f t="shared" si="13"/>
        <v>76.609895183863046</v>
      </c>
      <c r="AP23" s="19">
        <f t="shared" si="14"/>
        <v>73.968174660281562</v>
      </c>
      <c r="AQ23" s="19">
        <f t="shared" si="15"/>
        <v>73.968174660281562</v>
      </c>
      <c r="AR23" s="19">
        <f t="shared" si="16"/>
        <v>76.609895183863046</v>
      </c>
      <c r="AS23" s="19">
        <f t="shared" si="17"/>
        <v>73.968174660281562</v>
      </c>
      <c r="AT23" s="19">
        <f t="shared" si="18"/>
        <v>73.968174660281562</v>
      </c>
      <c r="AU23" s="19">
        <f t="shared" si="19"/>
        <v>76.609895183863046</v>
      </c>
      <c r="AV23" s="19">
        <f t="shared" si="20"/>
        <v>73.968174660281562</v>
      </c>
      <c r="AW23" s="19">
        <f t="shared" si="21"/>
        <v>73.968174660281562</v>
      </c>
      <c r="AX23" s="18">
        <f>IFERROR(Z23/'Ar-Pa'!B23,0)</f>
        <v>9.2460218325351953</v>
      </c>
      <c r="AY23" s="18">
        <f>IFERROR(AA23/'Ar-Pa'!C23,0)</f>
        <v>9.2460218325351953</v>
      </c>
      <c r="AZ23" s="18">
        <f>IFERROR(AB23/'Ar-Pa'!D23,0)</f>
        <v>9.2460218325351953</v>
      </c>
      <c r="BA23" s="18">
        <f>IFERROR(AC23/'Ar-Pa'!E23,0)</f>
        <v>8.9158067670875099</v>
      </c>
      <c r="BB23" s="18">
        <f>IFERROR(AD23/'Ar-Pa'!F23,0)</f>
        <v>9.2460218325351953</v>
      </c>
      <c r="BC23" s="18">
        <f>IFERROR(AE23/'Ar-Pa'!G23,0)</f>
        <v>9.2460218325351953</v>
      </c>
      <c r="BD23" s="18">
        <f>IFERROR(AF23/'Ar-Pa'!H23,0)</f>
        <v>10.566882094325937</v>
      </c>
      <c r="BE23" s="18">
        <f>IFERROR(AG23/'Ar-Pa'!I23,0)</f>
        <v>10.566882094325937</v>
      </c>
      <c r="BF23" s="18">
        <f>IFERROR(AH23/'Ar-Pa'!J23,0)</f>
        <v>10.944270740551863</v>
      </c>
      <c r="BG23" s="18">
        <f>IFERROR(AI23/'Ar-Pa'!K23,0)</f>
        <v>10.566882094325937</v>
      </c>
      <c r="BH23" s="18">
        <f>IFERROR(AJ23/'Ar-Pa'!L23,0)</f>
        <v>10.566882094325937</v>
      </c>
      <c r="BI23" s="18">
        <f>IFERROR(AK23/'Ar-Pa'!M23,0)</f>
        <v>9.2460218325351953</v>
      </c>
      <c r="BJ23" s="18">
        <f>IFERROR(AL23/'Ar-Pa'!N23,0)</f>
        <v>9.2460218325351953</v>
      </c>
      <c r="BK23" s="18">
        <f>IFERROR(AM23/'Ar-Pa'!O23,0)</f>
        <v>9.5762368979828807</v>
      </c>
      <c r="BL23" s="18">
        <f>IFERROR(AN23/'Ar-Pa'!P23,0)</f>
        <v>9.2460218325351953</v>
      </c>
      <c r="BM23" s="18">
        <f>IFERROR(AO23/'Ar-Pa'!Q23,0)</f>
        <v>9.5762368979828807</v>
      </c>
      <c r="BN23" s="18">
        <f>IFERROR(AP23/'Ar-Pa'!R23,0)</f>
        <v>9.2460218325351953</v>
      </c>
      <c r="BO23" s="18">
        <f>IFERROR(AQ23/'Ar-Pa'!S23,0)</f>
        <v>9.2460218325351953</v>
      </c>
      <c r="BP23" s="18">
        <f>IFERROR(AR23/'Ar-Pa'!T23,0)</f>
        <v>9.5762368979828807</v>
      </c>
      <c r="BQ23" s="18">
        <f>IFERROR(AS23/'Ar-Pa'!U23,0)</f>
        <v>9.2460218325351953</v>
      </c>
      <c r="BR23" s="18">
        <f>IFERROR(AT23/'Ar-Pa'!V23,0)</f>
        <v>9.2460218325351953</v>
      </c>
      <c r="BS23" s="18">
        <f>IFERROR(AU23/'Ar-Pa'!W23,0)</f>
        <v>9.5762368979828807</v>
      </c>
      <c r="BT23" s="18">
        <f>IFERROR(AV23/'Ar-Pa'!X23,0)</f>
        <v>9.2460218325351953</v>
      </c>
      <c r="BU23" s="18">
        <f>IFERROR(AW23/'Ar-Pa'!Y23,0)</f>
        <v>9.2460218325351953</v>
      </c>
    </row>
    <row r="24" spans="1:73" s="12" customFormat="1" ht="15">
      <c r="A24" s="15">
        <v>44949</v>
      </c>
      <c r="B24" s="441">
        <v>0.28000000000000003</v>
      </c>
      <c r="C24" s="441">
        <v>0.28000000000000003</v>
      </c>
      <c r="D24" s="441">
        <v>0.28000000000000003</v>
      </c>
      <c r="E24" s="441">
        <v>0.27</v>
      </c>
      <c r="F24" s="441">
        <v>0.28999999999999998</v>
      </c>
      <c r="G24" s="441">
        <v>0.28000000000000003</v>
      </c>
      <c r="H24" s="441">
        <v>0.27</v>
      </c>
      <c r="I24" s="441">
        <v>0.28000000000000003</v>
      </c>
      <c r="J24" s="441">
        <v>0.28999999999999998</v>
      </c>
      <c r="K24" s="441">
        <v>0.27</v>
      </c>
      <c r="L24" s="441">
        <v>0.28000000000000003</v>
      </c>
      <c r="M24" s="441">
        <v>0.28000000000000003</v>
      </c>
      <c r="N24" s="441">
        <v>0.28999999999999998</v>
      </c>
      <c r="O24" s="441">
        <v>0.28000000000000003</v>
      </c>
      <c r="P24" s="441">
        <v>0.27</v>
      </c>
      <c r="Q24" s="441">
        <v>0.28999999999999998</v>
      </c>
      <c r="R24" s="441">
        <v>0.28000000000000003</v>
      </c>
      <c r="S24" s="441">
        <v>0.28000000000000003</v>
      </c>
      <c r="T24" s="441">
        <v>0.27</v>
      </c>
      <c r="U24" s="441">
        <v>0.28999999999999998</v>
      </c>
      <c r="V24" s="441">
        <v>0.27</v>
      </c>
      <c r="W24" s="441">
        <v>0.28000000000000003</v>
      </c>
      <c r="X24" s="441">
        <v>0.28000000000000003</v>
      </c>
      <c r="Y24" s="441">
        <v>0.28000000000000003</v>
      </c>
      <c r="Z24" s="19">
        <f t="shared" si="22"/>
        <v>73.968174660281562</v>
      </c>
      <c r="AA24" s="19">
        <f t="shared" si="23"/>
        <v>73.968174660281562</v>
      </c>
      <c r="AB24" s="19">
        <f t="shared" si="0"/>
        <v>73.968174660281562</v>
      </c>
      <c r="AC24" s="19">
        <f t="shared" si="1"/>
        <v>71.326454136700079</v>
      </c>
      <c r="AD24" s="19">
        <f t="shared" si="2"/>
        <v>76.609895183863046</v>
      </c>
      <c r="AE24" s="19">
        <f t="shared" si="3"/>
        <v>73.968174660281562</v>
      </c>
      <c r="AF24" s="19">
        <f t="shared" si="4"/>
        <v>71.326454136700079</v>
      </c>
      <c r="AG24" s="19">
        <f t="shared" si="5"/>
        <v>73.968174660281562</v>
      </c>
      <c r="AH24" s="19">
        <f t="shared" si="6"/>
        <v>76.609895183863046</v>
      </c>
      <c r="AI24" s="19">
        <f t="shared" si="7"/>
        <v>71.326454136700079</v>
      </c>
      <c r="AJ24" s="19">
        <f t="shared" si="8"/>
        <v>73.968174660281562</v>
      </c>
      <c r="AK24" s="19">
        <f t="shared" si="9"/>
        <v>73.968174660281562</v>
      </c>
      <c r="AL24" s="19">
        <f t="shared" si="10"/>
        <v>76.609895183863046</v>
      </c>
      <c r="AM24" s="19">
        <f t="shared" si="11"/>
        <v>73.968174660281562</v>
      </c>
      <c r="AN24" s="19">
        <f t="shared" si="12"/>
        <v>71.326454136700079</v>
      </c>
      <c r="AO24" s="19">
        <f t="shared" si="13"/>
        <v>76.609895183863046</v>
      </c>
      <c r="AP24" s="19">
        <f t="shared" si="14"/>
        <v>73.968174660281562</v>
      </c>
      <c r="AQ24" s="19">
        <f t="shared" si="15"/>
        <v>73.968174660281562</v>
      </c>
      <c r="AR24" s="19">
        <f t="shared" si="16"/>
        <v>71.326454136700079</v>
      </c>
      <c r="AS24" s="19">
        <f t="shared" si="17"/>
        <v>76.609895183863046</v>
      </c>
      <c r="AT24" s="19">
        <f t="shared" si="18"/>
        <v>71.326454136700079</v>
      </c>
      <c r="AU24" s="19">
        <f t="shared" si="19"/>
        <v>73.968174660281562</v>
      </c>
      <c r="AV24" s="19">
        <f t="shared" si="20"/>
        <v>73.968174660281562</v>
      </c>
      <c r="AW24" s="19">
        <f t="shared" si="21"/>
        <v>73.968174660281562</v>
      </c>
      <c r="AX24" s="18">
        <f>IFERROR(Z24/'Ar-Pa'!B24,0)</f>
        <v>9.2460218325351953</v>
      </c>
      <c r="AY24" s="18">
        <f>IFERROR(AA24/'Ar-Pa'!C24,0)</f>
        <v>9.2460218325351953</v>
      </c>
      <c r="AZ24" s="18">
        <f>IFERROR(AB24/'Ar-Pa'!D24,0)</f>
        <v>10.566882094325937</v>
      </c>
      <c r="BA24" s="18">
        <f>IFERROR(AC24/'Ar-Pa'!E24,0)</f>
        <v>10.189493448100011</v>
      </c>
      <c r="BB24" s="18">
        <f>IFERROR(AD24/'Ar-Pa'!F24,0)</f>
        <v>10.944270740551863</v>
      </c>
      <c r="BC24" s="18">
        <f>IFERROR(AE24/'Ar-Pa'!G24,0)</f>
        <v>10.566882094325937</v>
      </c>
      <c r="BD24" s="18">
        <f>IFERROR(AF24/'Ar-Pa'!H24,0)</f>
        <v>10.189493448100011</v>
      </c>
      <c r="BE24" s="18">
        <f>IFERROR(AG24/'Ar-Pa'!I24,0)</f>
        <v>10.566882094325937</v>
      </c>
      <c r="BF24" s="18">
        <f>IFERROR(AH24/'Ar-Pa'!J24,0)</f>
        <v>10.944270740551863</v>
      </c>
      <c r="BG24" s="18">
        <f>IFERROR(AI24/'Ar-Pa'!K24,0)</f>
        <v>10.189493448100011</v>
      </c>
      <c r="BH24" s="18">
        <f>IFERROR(AJ24/'Ar-Pa'!L24,0)</f>
        <v>9.2460218325351953</v>
      </c>
      <c r="BI24" s="18">
        <f>IFERROR(AK24/'Ar-Pa'!M24,0)</f>
        <v>9.2460218325351953</v>
      </c>
      <c r="BJ24" s="18">
        <f>IFERROR(AL24/'Ar-Pa'!N24,0)</f>
        <v>9.5762368979828807</v>
      </c>
      <c r="BK24" s="18">
        <f>IFERROR(AM24/'Ar-Pa'!O24,0)</f>
        <v>9.2460218325351953</v>
      </c>
      <c r="BL24" s="18">
        <f>IFERROR(AN24/'Ar-Pa'!P24,0)</f>
        <v>8.9158067670875099</v>
      </c>
      <c r="BM24" s="18">
        <f>IFERROR(AO24/'Ar-Pa'!Q24,0)</f>
        <v>9.5762368979828807</v>
      </c>
      <c r="BN24" s="18">
        <f>IFERROR(AP24/'Ar-Pa'!R24,0)</f>
        <v>9.2460218325351953</v>
      </c>
      <c r="BO24" s="18">
        <f>IFERROR(AQ24/'Ar-Pa'!S24,0)</f>
        <v>9.2460218325351953</v>
      </c>
      <c r="BP24" s="18">
        <f>IFERROR(AR24/'Ar-Pa'!T24,0)</f>
        <v>8.9158067670875099</v>
      </c>
      <c r="BQ24" s="18">
        <f>IFERROR(AS24/'Ar-Pa'!U24,0)</f>
        <v>9.5762368979828807</v>
      </c>
      <c r="BR24" s="18">
        <f>IFERROR(AT24/'Ar-Pa'!V24,0)</f>
        <v>8.9158067670875099</v>
      </c>
      <c r="BS24" s="18">
        <f>IFERROR(AU24/'Ar-Pa'!W24,0)</f>
        <v>9.2460218325351953</v>
      </c>
      <c r="BT24" s="18">
        <f>IFERROR(AV24/'Ar-Pa'!X24,0)</f>
        <v>9.2460218325351953</v>
      </c>
      <c r="BU24" s="18">
        <f>IFERROR(AW24/'Ar-Pa'!Y24,0)</f>
        <v>9.2460218325351953</v>
      </c>
    </row>
    <row r="25" spans="1:73" s="12" customFormat="1" ht="15">
      <c r="A25" s="15">
        <v>44950</v>
      </c>
      <c r="B25" s="441">
        <v>0.28000000000000003</v>
      </c>
      <c r="C25" s="441">
        <v>0.28999999999999998</v>
      </c>
      <c r="D25" s="441">
        <v>0.28000000000000003</v>
      </c>
      <c r="E25" s="441">
        <v>0.28000000000000003</v>
      </c>
      <c r="F25" s="441">
        <v>0.28000000000000003</v>
      </c>
      <c r="G25" s="441">
        <v>0.28999999999999998</v>
      </c>
      <c r="H25" s="441">
        <v>0.28999999999999998</v>
      </c>
      <c r="I25" s="441">
        <v>0.28000000000000003</v>
      </c>
      <c r="J25" s="441">
        <v>0.28999999999999998</v>
      </c>
      <c r="K25" s="441">
        <v>0.28000000000000003</v>
      </c>
      <c r="L25" s="441">
        <v>0.28999999999999998</v>
      </c>
      <c r="M25" s="441">
        <v>0.28999999999999998</v>
      </c>
      <c r="N25" s="441">
        <v>0.3</v>
      </c>
      <c r="O25" s="441">
        <v>0.28999999999999998</v>
      </c>
      <c r="P25" s="441">
        <v>0.28999999999999998</v>
      </c>
      <c r="Q25" s="441">
        <v>0.3</v>
      </c>
      <c r="R25" s="441">
        <v>0.28000000000000003</v>
      </c>
      <c r="S25" s="441">
        <v>0.3</v>
      </c>
      <c r="T25" s="441">
        <v>0.28999999999999998</v>
      </c>
      <c r="U25" s="441">
        <v>0.28999999999999998</v>
      </c>
      <c r="V25" s="441">
        <v>0.28999999999999998</v>
      </c>
      <c r="W25" s="441">
        <v>0.28999999999999998</v>
      </c>
      <c r="X25" s="441">
        <v>0.28999999999999998</v>
      </c>
      <c r="Y25" s="441">
        <v>0.3</v>
      </c>
      <c r="Z25" s="19">
        <f t="shared" si="22"/>
        <v>73.968174660281562</v>
      </c>
      <c r="AA25" s="19">
        <f t="shared" si="23"/>
        <v>76.609895183863046</v>
      </c>
      <c r="AB25" s="19">
        <f t="shared" si="0"/>
        <v>73.968174660281562</v>
      </c>
      <c r="AC25" s="19">
        <f t="shared" si="1"/>
        <v>73.968174660281562</v>
      </c>
      <c r="AD25" s="19">
        <f t="shared" si="2"/>
        <v>73.968174660281562</v>
      </c>
      <c r="AE25" s="19">
        <f t="shared" si="3"/>
        <v>76.609895183863046</v>
      </c>
      <c r="AF25" s="19">
        <f t="shared" si="4"/>
        <v>76.609895183863046</v>
      </c>
      <c r="AG25" s="19">
        <f t="shared" si="5"/>
        <v>73.968174660281562</v>
      </c>
      <c r="AH25" s="19">
        <f t="shared" si="6"/>
        <v>76.609895183863046</v>
      </c>
      <c r="AI25" s="19">
        <f t="shared" si="7"/>
        <v>73.968174660281562</v>
      </c>
      <c r="AJ25" s="19">
        <f t="shared" si="8"/>
        <v>76.609895183863046</v>
      </c>
      <c r="AK25" s="19">
        <f t="shared" si="9"/>
        <v>76.609895183863046</v>
      </c>
      <c r="AL25" s="19">
        <f t="shared" si="10"/>
        <v>79.251615707444529</v>
      </c>
      <c r="AM25" s="19">
        <f t="shared" si="11"/>
        <v>76.609895183863046</v>
      </c>
      <c r="AN25" s="19">
        <f t="shared" si="12"/>
        <v>76.609895183863046</v>
      </c>
      <c r="AO25" s="19">
        <f t="shared" si="13"/>
        <v>79.251615707444529</v>
      </c>
      <c r="AP25" s="19">
        <f t="shared" si="14"/>
        <v>73.968174660281562</v>
      </c>
      <c r="AQ25" s="19">
        <f t="shared" si="15"/>
        <v>79.251615707444529</v>
      </c>
      <c r="AR25" s="19">
        <f t="shared" si="16"/>
        <v>76.609895183863046</v>
      </c>
      <c r="AS25" s="19">
        <f t="shared" si="17"/>
        <v>76.609895183863046</v>
      </c>
      <c r="AT25" s="19">
        <f t="shared" si="18"/>
        <v>76.609895183863046</v>
      </c>
      <c r="AU25" s="19">
        <f t="shared" si="19"/>
        <v>76.609895183863046</v>
      </c>
      <c r="AV25" s="19">
        <f t="shared" si="20"/>
        <v>76.609895183863046</v>
      </c>
      <c r="AW25" s="19">
        <f t="shared" si="21"/>
        <v>79.251615707444529</v>
      </c>
      <c r="AX25" s="18">
        <f>IFERROR(Z25/'Ar-Pa'!B25,0)</f>
        <v>9.2460218325351953</v>
      </c>
      <c r="AY25" s="18">
        <f>IFERROR(AA25/'Ar-Pa'!C25,0)</f>
        <v>9.5762368979828807</v>
      </c>
      <c r="AZ25" s="18">
        <f>IFERROR(AB25/'Ar-Pa'!D25,0)</f>
        <v>9.2460218325351953</v>
      </c>
      <c r="BA25" s="18">
        <f>IFERROR(AC25/'Ar-Pa'!E25,0)</f>
        <v>9.2460218325351953</v>
      </c>
      <c r="BB25" s="18">
        <f>IFERROR(AD25/'Ar-Pa'!F25,0)</f>
        <v>10.566882094325937</v>
      </c>
      <c r="BC25" s="18">
        <f>IFERROR(AE25/'Ar-Pa'!G25,0)</f>
        <v>10.944270740551863</v>
      </c>
      <c r="BD25" s="18">
        <f>IFERROR(AF25/'Ar-Pa'!H25,0)</f>
        <v>10.944270740551863</v>
      </c>
      <c r="BE25" s="18">
        <f>IFERROR(AG25/'Ar-Pa'!I25,0)</f>
        <v>10.566882094325937</v>
      </c>
      <c r="BF25" s="18">
        <f>IFERROR(AH25/'Ar-Pa'!J25,0)</f>
        <v>10.944270740551863</v>
      </c>
      <c r="BG25" s="18">
        <f>IFERROR(AI25/'Ar-Pa'!K25,0)</f>
        <v>10.566882094325937</v>
      </c>
      <c r="BH25" s="18">
        <f>IFERROR(AJ25/'Ar-Pa'!L25,0)</f>
        <v>9.5762368979828807</v>
      </c>
      <c r="BI25" s="18">
        <f>IFERROR(AK25/'Ar-Pa'!M25,0)</f>
        <v>9.5762368979828807</v>
      </c>
      <c r="BJ25" s="18">
        <f>IFERROR(AL25/'Ar-Pa'!N25,0)</f>
        <v>9.9064519634305661</v>
      </c>
      <c r="BK25" s="18">
        <f>IFERROR(AM25/'Ar-Pa'!O25,0)</f>
        <v>9.5762368979828807</v>
      </c>
      <c r="BL25" s="18">
        <f>IFERROR(AN25/'Ar-Pa'!P25,0)</f>
        <v>9.5762368979828807</v>
      </c>
      <c r="BM25" s="18">
        <f>IFERROR(AO25/'Ar-Pa'!Q25,0)</f>
        <v>9.9064519634305661</v>
      </c>
      <c r="BN25" s="18">
        <f>IFERROR(AP25/'Ar-Pa'!R25,0)</f>
        <v>9.2460218325351953</v>
      </c>
      <c r="BO25" s="18">
        <f>IFERROR(AQ25/'Ar-Pa'!S25,0)</f>
        <v>9.9064519634305661</v>
      </c>
      <c r="BP25" s="18">
        <f>IFERROR(AR25/'Ar-Pa'!T25,0)</f>
        <v>9.5762368979828807</v>
      </c>
      <c r="BQ25" s="18">
        <f>IFERROR(AS25/'Ar-Pa'!U25,0)</f>
        <v>9.5762368979828807</v>
      </c>
      <c r="BR25" s="18">
        <f>IFERROR(AT25/'Ar-Pa'!V25,0)</f>
        <v>9.5762368979828807</v>
      </c>
      <c r="BS25" s="18">
        <f>IFERROR(AU25/'Ar-Pa'!W25,0)</f>
        <v>9.5762368979828807</v>
      </c>
      <c r="BT25" s="18">
        <f>IFERROR(AV25/'Ar-Pa'!X25,0)</f>
        <v>9.5762368979828807</v>
      </c>
      <c r="BU25" s="18">
        <f>IFERROR(AW25/'Ar-Pa'!Y25,0)</f>
        <v>9.9064519634305661</v>
      </c>
    </row>
    <row r="26" spans="1:73" s="12" customFormat="1" ht="15">
      <c r="A26" s="15">
        <v>44951</v>
      </c>
      <c r="B26" s="441">
        <v>0.31</v>
      </c>
      <c r="C26" s="441">
        <v>0.32</v>
      </c>
      <c r="D26" s="441">
        <v>0.32</v>
      </c>
      <c r="E26" s="441">
        <v>0.33</v>
      </c>
      <c r="F26" s="441">
        <v>0.31</v>
      </c>
      <c r="G26" s="441">
        <v>0.14000000000000001</v>
      </c>
      <c r="H26" s="441">
        <v>0</v>
      </c>
      <c r="I26" s="441">
        <v>0.11</v>
      </c>
      <c r="J26" s="441">
        <v>0.22</v>
      </c>
      <c r="K26" s="441">
        <v>0.31</v>
      </c>
      <c r="L26" s="441">
        <v>0.32</v>
      </c>
      <c r="M26" s="441">
        <v>0.32</v>
      </c>
      <c r="N26" s="441">
        <v>0.32</v>
      </c>
      <c r="O26" s="441">
        <v>0.32</v>
      </c>
      <c r="P26" s="441">
        <v>0.32</v>
      </c>
      <c r="Q26" s="441">
        <v>0.32</v>
      </c>
      <c r="R26" s="441">
        <v>0.33</v>
      </c>
      <c r="S26" s="441">
        <v>0.31</v>
      </c>
      <c r="T26" s="441">
        <v>0.33</v>
      </c>
      <c r="U26" s="441">
        <v>0.31</v>
      </c>
      <c r="V26" s="441">
        <v>0.31</v>
      </c>
      <c r="W26" s="441">
        <v>0.32</v>
      </c>
      <c r="X26" s="441">
        <v>0.32</v>
      </c>
      <c r="Y26" s="441">
        <v>0.32</v>
      </c>
      <c r="Z26" s="19">
        <f t="shared" si="22"/>
        <v>81.893336231026012</v>
      </c>
      <c r="AA26" s="19">
        <f t="shared" si="23"/>
        <v>84.535056754607496</v>
      </c>
      <c r="AB26" s="19">
        <f t="shared" si="0"/>
        <v>84.535056754607496</v>
      </c>
      <c r="AC26" s="19">
        <f t="shared" si="1"/>
        <v>87.176777278188979</v>
      </c>
      <c r="AD26" s="19">
        <f t="shared" si="2"/>
        <v>81.893336231026012</v>
      </c>
      <c r="AE26" s="19">
        <f t="shared" si="3"/>
        <v>36.984087330140781</v>
      </c>
      <c r="AF26" s="19">
        <f t="shared" si="4"/>
        <v>0</v>
      </c>
      <c r="AG26" s="19">
        <f t="shared" si="5"/>
        <v>29.058925759396327</v>
      </c>
      <c r="AH26" s="19">
        <f t="shared" si="6"/>
        <v>58.117851518792655</v>
      </c>
      <c r="AI26" s="19">
        <f t="shared" si="7"/>
        <v>81.893336231026012</v>
      </c>
      <c r="AJ26" s="19">
        <f t="shared" si="8"/>
        <v>84.535056754607496</v>
      </c>
      <c r="AK26" s="19">
        <f t="shared" si="9"/>
        <v>84.535056754607496</v>
      </c>
      <c r="AL26" s="19">
        <f t="shared" si="10"/>
        <v>84.535056754607496</v>
      </c>
      <c r="AM26" s="19">
        <f t="shared" si="11"/>
        <v>84.535056754607496</v>
      </c>
      <c r="AN26" s="19">
        <f t="shared" si="12"/>
        <v>84.535056754607496</v>
      </c>
      <c r="AO26" s="19">
        <f t="shared" si="13"/>
        <v>84.535056754607496</v>
      </c>
      <c r="AP26" s="19">
        <f t="shared" si="14"/>
        <v>87.176777278188979</v>
      </c>
      <c r="AQ26" s="19">
        <f t="shared" si="15"/>
        <v>81.893336231026012</v>
      </c>
      <c r="AR26" s="19">
        <f t="shared" si="16"/>
        <v>87.176777278188979</v>
      </c>
      <c r="AS26" s="19">
        <f t="shared" si="17"/>
        <v>81.893336231026012</v>
      </c>
      <c r="AT26" s="19">
        <f t="shared" si="18"/>
        <v>81.893336231026012</v>
      </c>
      <c r="AU26" s="19">
        <f t="shared" si="19"/>
        <v>84.535056754607496</v>
      </c>
      <c r="AV26" s="19">
        <f t="shared" si="20"/>
        <v>84.535056754607496</v>
      </c>
      <c r="AW26" s="19">
        <f t="shared" si="21"/>
        <v>84.535056754607496</v>
      </c>
      <c r="AX26" s="18">
        <f>IFERROR(Z26/'Ar-Pa'!B26,0)</f>
        <v>9.0992595812251125</v>
      </c>
      <c r="AY26" s="18">
        <f>IFERROR(AA26/'Ar-Pa'!C26,0)</f>
        <v>9.3927840838452781</v>
      </c>
      <c r="AZ26" s="18">
        <f>IFERROR(AB26/'Ar-Pa'!D26,0)</f>
        <v>9.3927840838452781</v>
      </c>
      <c r="BA26" s="18">
        <f>IFERROR(AC26/'Ar-Pa'!E26,0)</f>
        <v>9.6863085864654419</v>
      </c>
      <c r="BB26" s="18">
        <f>IFERROR(AD26/'Ar-Pa'!F26,0)</f>
        <v>9.0992595812251125</v>
      </c>
      <c r="BC26" s="18">
        <f>IFERROR(AE26/'Ar-Pa'!G26,0)</f>
        <v>7.396817466028156</v>
      </c>
      <c r="BD26" s="18">
        <f>IFERROR(AF26/'Ar-Pa'!H26,0)</f>
        <v>0</v>
      </c>
      <c r="BE26" s="18">
        <f>IFERROR(AG26/'Ar-Pa'!I26,0)</f>
        <v>5.8117851518792651</v>
      </c>
      <c r="BF26" s="18">
        <f>IFERROR(AH26/'Ar-Pa'!J26,0)</f>
        <v>7.2647314398490819</v>
      </c>
      <c r="BG26" s="18">
        <f>IFERROR(AI26/'Ar-Pa'!K26,0)</f>
        <v>9.0992595812251125</v>
      </c>
      <c r="BH26" s="18">
        <f>IFERROR(AJ26/'Ar-Pa'!L26,0)</f>
        <v>9.3927840838452781</v>
      </c>
      <c r="BI26" s="18">
        <f>IFERROR(AK26/'Ar-Pa'!M26,0)</f>
        <v>9.3927840838452781</v>
      </c>
      <c r="BJ26" s="18">
        <f>IFERROR(AL26/'Ar-Pa'!N26,0)</f>
        <v>9.3927840838452781</v>
      </c>
      <c r="BK26" s="18">
        <f>IFERROR(AM26/'Ar-Pa'!O26,0)</f>
        <v>9.3927840838452781</v>
      </c>
      <c r="BL26" s="18">
        <f>IFERROR(AN26/'Ar-Pa'!P26,0)</f>
        <v>9.3927840838452781</v>
      </c>
      <c r="BM26" s="18">
        <f>IFERROR(AO26/'Ar-Pa'!Q26,0)</f>
        <v>9.3927840838452781</v>
      </c>
      <c r="BN26" s="18">
        <f>IFERROR(AP26/'Ar-Pa'!R26,0)</f>
        <v>9.6863085864654419</v>
      </c>
      <c r="BO26" s="18">
        <f>IFERROR(AQ26/'Ar-Pa'!S26,0)</f>
        <v>9.0992595812251125</v>
      </c>
      <c r="BP26" s="18">
        <f>IFERROR(AR26/'Ar-Pa'!T26,0)</f>
        <v>9.6863085864654419</v>
      </c>
      <c r="BQ26" s="18">
        <f>IFERROR(AS26/'Ar-Pa'!U26,0)</f>
        <v>9.0992595812251125</v>
      </c>
      <c r="BR26" s="18">
        <f>IFERROR(AT26/'Ar-Pa'!V26,0)</f>
        <v>10.236667028878252</v>
      </c>
      <c r="BS26" s="18">
        <f>IFERROR(AU26/'Ar-Pa'!W26,0)</f>
        <v>9.3927840838452781</v>
      </c>
      <c r="BT26" s="18">
        <f>IFERROR(AV26/'Ar-Pa'!X26,0)</f>
        <v>9.3927840838452781</v>
      </c>
      <c r="BU26" s="18">
        <f>IFERROR(AW26/'Ar-Pa'!Y26,0)</f>
        <v>9.3927840838452781</v>
      </c>
    </row>
    <row r="27" spans="1:73" s="12" customFormat="1" ht="15">
      <c r="A27" s="15">
        <v>44952</v>
      </c>
      <c r="B27" s="441">
        <v>0.3</v>
      </c>
      <c r="C27" s="441">
        <v>0.3</v>
      </c>
      <c r="D27" s="441">
        <v>0.28999999999999998</v>
      </c>
      <c r="E27" s="441">
        <v>0.28999999999999998</v>
      </c>
      <c r="F27" s="441">
        <v>0.3</v>
      </c>
      <c r="G27" s="441">
        <v>0.28999999999999998</v>
      </c>
      <c r="H27" s="441">
        <v>0.28999999999999998</v>
      </c>
      <c r="I27" s="441">
        <v>0.28999999999999998</v>
      </c>
      <c r="J27" s="441">
        <v>0.3</v>
      </c>
      <c r="K27" s="441">
        <v>0.28999999999999998</v>
      </c>
      <c r="L27" s="441">
        <v>0.3</v>
      </c>
      <c r="M27" s="441">
        <v>0.28999999999999998</v>
      </c>
      <c r="N27" s="441">
        <v>0.28999999999999998</v>
      </c>
      <c r="O27" s="441">
        <v>0.31</v>
      </c>
      <c r="P27" s="441">
        <v>0.3</v>
      </c>
      <c r="Q27" s="441">
        <v>0.3</v>
      </c>
      <c r="R27" s="441">
        <v>0.28999999999999998</v>
      </c>
      <c r="S27" s="441">
        <v>0.3</v>
      </c>
      <c r="T27" s="441">
        <v>0.3</v>
      </c>
      <c r="U27" s="441">
        <v>0.28999999999999998</v>
      </c>
      <c r="V27" s="441">
        <v>0.28999999999999998</v>
      </c>
      <c r="W27" s="441">
        <v>0.31</v>
      </c>
      <c r="X27" s="441">
        <v>0.28999999999999998</v>
      </c>
      <c r="Y27" s="441">
        <v>0.3</v>
      </c>
      <c r="Z27" s="19">
        <f t="shared" si="22"/>
        <v>79.251615707444529</v>
      </c>
      <c r="AA27" s="19">
        <f t="shared" si="23"/>
        <v>79.251615707444529</v>
      </c>
      <c r="AB27" s="19">
        <f t="shared" si="0"/>
        <v>76.609895183863046</v>
      </c>
      <c r="AC27" s="19">
        <f t="shared" si="1"/>
        <v>76.609895183863046</v>
      </c>
      <c r="AD27" s="19">
        <f t="shared" si="2"/>
        <v>79.251615707444529</v>
      </c>
      <c r="AE27" s="19">
        <f t="shared" si="3"/>
        <v>76.609895183863046</v>
      </c>
      <c r="AF27" s="19">
        <f t="shared" si="4"/>
        <v>76.609895183863046</v>
      </c>
      <c r="AG27" s="19">
        <f t="shared" si="5"/>
        <v>76.609895183863046</v>
      </c>
      <c r="AH27" s="19">
        <f t="shared" si="6"/>
        <v>79.251615707444529</v>
      </c>
      <c r="AI27" s="19">
        <f t="shared" si="7"/>
        <v>76.609895183863046</v>
      </c>
      <c r="AJ27" s="19">
        <f t="shared" si="8"/>
        <v>79.251615707444529</v>
      </c>
      <c r="AK27" s="19">
        <f t="shared" si="9"/>
        <v>76.609895183863046</v>
      </c>
      <c r="AL27" s="19">
        <f t="shared" si="10"/>
        <v>76.609895183863046</v>
      </c>
      <c r="AM27" s="19">
        <f t="shared" si="11"/>
        <v>81.893336231026012</v>
      </c>
      <c r="AN27" s="19">
        <f t="shared" si="12"/>
        <v>79.251615707444529</v>
      </c>
      <c r="AO27" s="19">
        <f t="shared" si="13"/>
        <v>79.251615707444529</v>
      </c>
      <c r="AP27" s="19">
        <f t="shared" si="14"/>
        <v>76.609895183863046</v>
      </c>
      <c r="AQ27" s="19">
        <f t="shared" si="15"/>
        <v>79.251615707444529</v>
      </c>
      <c r="AR27" s="19">
        <f t="shared" si="16"/>
        <v>79.251615707444529</v>
      </c>
      <c r="AS27" s="19">
        <f t="shared" si="17"/>
        <v>76.609895183863046</v>
      </c>
      <c r="AT27" s="19">
        <f t="shared" si="18"/>
        <v>76.609895183863046</v>
      </c>
      <c r="AU27" s="19">
        <f t="shared" si="19"/>
        <v>81.893336231026012</v>
      </c>
      <c r="AV27" s="19">
        <f t="shared" si="20"/>
        <v>76.609895183863046</v>
      </c>
      <c r="AW27" s="19">
        <f t="shared" si="21"/>
        <v>79.251615707444529</v>
      </c>
      <c r="AX27" s="18">
        <f>IFERROR(Z27/'Ar-Pa'!B27,0)</f>
        <v>8.8057350786049469</v>
      </c>
      <c r="AY27" s="18">
        <f>IFERROR(AA27/'Ar-Pa'!C27,0)</f>
        <v>8.8057350786049469</v>
      </c>
      <c r="AZ27" s="18">
        <f>IFERROR(AB27/'Ar-Pa'!D27,0)</f>
        <v>8.512210575984783</v>
      </c>
      <c r="BA27" s="18">
        <f>IFERROR(AC27/'Ar-Pa'!E27,0)</f>
        <v>8.512210575984783</v>
      </c>
      <c r="BB27" s="18">
        <f>IFERROR(AD27/'Ar-Pa'!F27,0)</f>
        <v>9.9064519634305661</v>
      </c>
      <c r="BC27" s="18">
        <f>IFERROR(AE27/'Ar-Pa'!G27,0)</f>
        <v>10.944270740551863</v>
      </c>
      <c r="BD27" s="18">
        <f>IFERROR(AF27/'Ar-Pa'!H27,0)</f>
        <v>10.944270740551863</v>
      </c>
      <c r="BE27" s="18">
        <f>IFERROR(AG27/'Ar-Pa'!I27,0)</f>
        <v>10.944270740551863</v>
      </c>
      <c r="BF27" s="18">
        <f>IFERROR(AH27/'Ar-Pa'!J27,0)</f>
        <v>11.321659386777791</v>
      </c>
      <c r="BG27" s="18">
        <f>IFERROR(AI27/'Ar-Pa'!K27,0)</f>
        <v>10.944270740551863</v>
      </c>
      <c r="BH27" s="18">
        <f>IFERROR(AJ27/'Ar-Pa'!L27,0)</f>
        <v>11.321659386777791</v>
      </c>
      <c r="BI27" s="18">
        <f>IFERROR(AK27/'Ar-Pa'!M27,0)</f>
        <v>10.944270740551863</v>
      </c>
      <c r="BJ27" s="18">
        <f>IFERROR(AL27/'Ar-Pa'!N27,0)</f>
        <v>8.512210575984783</v>
      </c>
      <c r="BK27" s="18">
        <f>IFERROR(AM27/'Ar-Pa'!O27,0)</f>
        <v>9.0992595812251125</v>
      </c>
      <c r="BL27" s="18">
        <f>IFERROR(AN27/'Ar-Pa'!P27,0)</f>
        <v>8.8057350786049469</v>
      </c>
      <c r="BM27" s="18">
        <f>IFERROR(AO27/'Ar-Pa'!Q27,0)</f>
        <v>9.9064519634305661</v>
      </c>
      <c r="BN27" s="18">
        <f>IFERROR(AP27/'Ar-Pa'!R27,0)</f>
        <v>9.5762368979828807</v>
      </c>
      <c r="BO27" s="18">
        <f>IFERROR(AQ27/'Ar-Pa'!S27,0)</f>
        <v>8.8057350786049469</v>
      </c>
      <c r="BP27" s="18">
        <f>IFERROR(AR27/'Ar-Pa'!T27,0)</f>
        <v>8.8057350786049469</v>
      </c>
      <c r="BQ27" s="18">
        <f>IFERROR(AS27/'Ar-Pa'!U27,0)</f>
        <v>8.512210575984783</v>
      </c>
      <c r="BR27" s="18">
        <f>IFERROR(AT27/'Ar-Pa'!V27,0)</f>
        <v>8.512210575984783</v>
      </c>
      <c r="BS27" s="18">
        <f>IFERROR(AU27/'Ar-Pa'!W27,0)</f>
        <v>9.0992595812251125</v>
      </c>
      <c r="BT27" s="18">
        <f>IFERROR(AV27/'Ar-Pa'!X27,0)</f>
        <v>8.512210575984783</v>
      </c>
      <c r="BU27" s="18">
        <f>IFERROR(AW27/'Ar-Pa'!Y27,0)</f>
        <v>8.8057350786049469</v>
      </c>
    </row>
    <row r="28" spans="1:73" s="12" customFormat="1" ht="15">
      <c r="A28" s="15">
        <v>44953</v>
      </c>
      <c r="B28" s="441">
        <v>0.31</v>
      </c>
      <c r="C28" s="441">
        <v>0.3</v>
      </c>
      <c r="D28" s="441">
        <v>0.3</v>
      </c>
      <c r="E28" s="441">
        <v>0.3</v>
      </c>
      <c r="F28" s="441">
        <v>0.3</v>
      </c>
      <c r="G28" s="441">
        <v>0.3</v>
      </c>
      <c r="H28" s="441">
        <v>0.3</v>
      </c>
      <c r="I28" s="441">
        <v>0.3</v>
      </c>
      <c r="J28" s="441">
        <v>0.28999999999999998</v>
      </c>
      <c r="K28" s="441">
        <v>0.3</v>
      </c>
      <c r="L28" s="441">
        <v>0.3</v>
      </c>
      <c r="M28" s="441">
        <v>0.28999999999999998</v>
      </c>
      <c r="N28" s="441">
        <v>0.28999999999999998</v>
      </c>
      <c r="O28" s="441">
        <v>0.3</v>
      </c>
      <c r="P28" s="441">
        <v>0.31</v>
      </c>
      <c r="Q28" s="441">
        <v>0.3</v>
      </c>
      <c r="R28" s="441">
        <v>0.3</v>
      </c>
      <c r="S28" s="441">
        <v>0.3</v>
      </c>
      <c r="T28" s="441">
        <v>0.3</v>
      </c>
      <c r="U28" s="441">
        <v>0.3</v>
      </c>
      <c r="V28" s="441">
        <v>0.3</v>
      </c>
      <c r="W28" s="441">
        <v>0.3</v>
      </c>
      <c r="X28" s="441">
        <v>0.31</v>
      </c>
      <c r="Y28" s="441">
        <v>0.3</v>
      </c>
      <c r="Z28" s="19">
        <f t="shared" si="22"/>
        <v>81.893336231026012</v>
      </c>
      <c r="AA28" s="19">
        <f t="shared" si="23"/>
        <v>79.251615707444529</v>
      </c>
      <c r="AB28" s="19">
        <f t="shared" si="0"/>
        <v>79.251615707444529</v>
      </c>
      <c r="AC28" s="19">
        <f t="shared" si="1"/>
        <v>79.251615707444529</v>
      </c>
      <c r="AD28" s="19">
        <f t="shared" si="2"/>
        <v>79.251615707444529</v>
      </c>
      <c r="AE28" s="19">
        <f t="shared" si="3"/>
        <v>79.251615707444529</v>
      </c>
      <c r="AF28" s="19">
        <f t="shared" si="4"/>
        <v>79.251615707444529</v>
      </c>
      <c r="AG28" s="19">
        <f t="shared" si="5"/>
        <v>79.251615707444529</v>
      </c>
      <c r="AH28" s="19">
        <f t="shared" si="6"/>
        <v>76.609895183863046</v>
      </c>
      <c r="AI28" s="19">
        <f t="shared" si="7"/>
        <v>79.251615707444529</v>
      </c>
      <c r="AJ28" s="19">
        <f t="shared" si="8"/>
        <v>79.251615707444529</v>
      </c>
      <c r="AK28" s="19">
        <f t="shared" si="9"/>
        <v>76.609895183863046</v>
      </c>
      <c r="AL28" s="19">
        <f t="shared" si="10"/>
        <v>76.609895183863046</v>
      </c>
      <c r="AM28" s="19">
        <f t="shared" si="11"/>
        <v>79.251615707444529</v>
      </c>
      <c r="AN28" s="19">
        <f t="shared" si="12"/>
        <v>81.893336231026012</v>
      </c>
      <c r="AO28" s="19">
        <f t="shared" si="13"/>
        <v>79.251615707444529</v>
      </c>
      <c r="AP28" s="19">
        <f t="shared" si="14"/>
        <v>79.251615707444529</v>
      </c>
      <c r="AQ28" s="19">
        <f t="shared" si="15"/>
        <v>79.251615707444529</v>
      </c>
      <c r="AR28" s="19">
        <f t="shared" si="16"/>
        <v>79.251615707444529</v>
      </c>
      <c r="AS28" s="19">
        <f t="shared" si="17"/>
        <v>79.251615707444529</v>
      </c>
      <c r="AT28" s="19">
        <f t="shared" si="18"/>
        <v>79.251615707444529</v>
      </c>
      <c r="AU28" s="19">
        <f t="shared" si="19"/>
        <v>79.251615707444529</v>
      </c>
      <c r="AV28" s="19">
        <f t="shared" si="20"/>
        <v>81.893336231026012</v>
      </c>
      <c r="AW28" s="19">
        <f t="shared" si="21"/>
        <v>79.251615707444529</v>
      </c>
      <c r="AX28" s="18">
        <f>IFERROR(Z28/'Ar-Pa'!B28,0)</f>
        <v>9.0992595812251125</v>
      </c>
      <c r="AY28" s="18">
        <f>IFERROR(AA28/'Ar-Pa'!C28,0)</f>
        <v>8.8057350786049469</v>
      </c>
      <c r="AZ28" s="18">
        <f>IFERROR(AB28/'Ar-Pa'!D28,0)</f>
        <v>8.8057350786049469</v>
      </c>
      <c r="BA28" s="18">
        <f>IFERROR(AC28/'Ar-Pa'!E28,0)</f>
        <v>8.8057350786049469</v>
      </c>
      <c r="BB28" s="18">
        <f>IFERROR(AD28/'Ar-Pa'!F28,0)</f>
        <v>8.8057350786049469</v>
      </c>
      <c r="BC28" s="18">
        <f>IFERROR(AE28/'Ar-Pa'!G28,0)</f>
        <v>8.8057350786049469</v>
      </c>
      <c r="BD28" s="18">
        <f>IFERROR(AF28/'Ar-Pa'!H28,0)</f>
        <v>11.321659386777791</v>
      </c>
      <c r="BE28" s="18">
        <f>IFERROR(AG28/'Ar-Pa'!I28,0)</f>
        <v>11.321659386777791</v>
      </c>
      <c r="BF28" s="18">
        <f>IFERROR(AH28/'Ar-Pa'!J28,0)</f>
        <v>10.944270740551863</v>
      </c>
      <c r="BG28" s="18">
        <f>IFERROR(AI28/'Ar-Pa'!K28,0)</f>
        <v>11.321659386777791</v>
      </c>
      <c r="BH28" s="18">
        <f>IFERROR(AJ28/'Ar-Pa'!L28,0)</f>
        <v>11.321659386777791</v>
      </c>
      <c r="BI28" s="18">
        <f>IFERROR(AK28/'Ar-Pa'!M28,0)</f>
        <v>10.944270740551863</v>
      </c>
      <c r="BJ28" s="18">
        <f>IFERROR(AL28/'Ar-Pa'!N28,0)</f>
        <v>10.944270740551863</v>
      </c>
      <c r="BK28" s="18">
        <f>IFERROR(AM28/'Ar-Pa'!O28,0)</f>
        <v>11.321659386777791</v>
      </c>
      <c r="BL28" s="18">
        <f>IFERROR(AN28/'Ar-Pa'!P28,0)</f>
        <v>10.236667028878252</v>
      </c>
      <c r="BM28" s="18">
        <f>IFERROR(AO28/'Ar-Pa'!Q28,0)</f>
        <v>9.9064519634305661</v>
      </c>
      <c r="BN28" s="18">
        <f>IFERROR(AP28/'Ar-Pa'!R28,0)</f>
        <v>11.321659386777791</v>
      </c>
      <c r="BO28" s="18">
        <f>IFERROR(AQ28/'Ar-Pa'!S28,0)</f>
        <v>8.8057350786049469</v>
      </c>
      <c r="BP28" s="18">
        <f>IFERROR(AR28/'Ar-Pa'!T28,0)</f>
        <v>8.8057350786049469</v>
      </c>
      <c r="BQ28" s="18">
        <f>IFERROR(AS28/'Ar-Pa'!U28,0)</f>
        <v>8.8057350786049469</v>
      </c>
      <c r="BR28" s="18">
        <f>IFERROR(AT28/'Ar-Pa'!V28,0)</f>
        <v>8.8057350786049469</v>
      </c>
      <c r="BS28" s="18">
        <f>IFERROR(AU28/'Ar-Pa'!W28,0)</f>
        <v>8.8057350786049469</v>
      </c>
      <c r="BT28" s="18">
        <f>IFERROR(AV28/'Ar-Pa'!X28,0)</f>
        <v>9.0992595812251125</v>
      </c>
      <c r="BU28" s="18">
        <f>IFERROR(AW28/'Ar-Pa'!Y28,0)</f>
        <v>8.8057350786049469</v>
      </c>
    </row>
    <row r="29" spans="1:73" s="12" customFormat="1" ht="15">
      <c r="A29" s="15">
        <v>44954</v>
      </c>
      <c r="B29" s="441">
        <v>0.28999999999999998</v>
      </c>
      <c r="C29" s="441">
        <v>0.28999999999999998</v>
      </c>
      <c r="D29" s="441">
        <v>0.28999999999999998</v>
      </c>
      <c r="E29" s="441">
        <v>0.28999999999999998</v>
      </c>
      <c r="F29" s="441">
        <v>0.28000000000000003</v>
      </c>
      <c r="G29" s="441">
        <v>0.3</v>
      </c>
      <c r="H29" s="441">
        <v>0.28000000000000003</v>
      </c>
      <c r="I29" s="441">
        <v>0.28999999999999998</v>
      </c>
      <c r="J29" s="441">
        <v>0.28000000000000003</v>
      </c>
      <c r="K29" s="441">
        <v>0.3</v>
      </c>
      <c r="L29" s="441">
        <v>0.28000000000000003</v>
      </c>
      <c r="M29" s="441">
        <v>0.28999999999999998</v>
      </c>
      <c r="N29" s="441">
        <v>0.28999999999999998</v>
      </c>
      <c r="O29" s="441">
        <v>0.28999999999999998</v>
      </c>
      <c r="P29" s="441">
        <v>0.28999999999999998</v>
      </c>
      <c r="Q29" s="441">
        <v>0.28000000000000003</v>
      </c>
      <c r="R29" s="441">
        <v>0.28999999999999998</v>
      </c>
      <c r="S29" s="441">
        <v>0.28999999999999998</v>
      </c>
      <c r="T29" s="441">
        <v>0.28999999999999998</v>
      </c>
      <c r="U29" s="441">
        <v>0.28999999999999998</v>
      </c>
      <c r="V29" s="441">
        <v>0.28999999999999998</v>
      </c>
      <c r="W29" s="441">
        <v>0.28000000000000003</v>
      </c>
      <c r="X29" s="441">
        <v>0.28999999999999998</v>
      </c>
      <c r="Y29" s="441">
        <v>0.28999999999999998</v>
      </c>
      <c r="Z29" s="19">
        <f t="shared" si="22"/>
        <v>76.609895183863046</v>
      </c>
      <c r="AA29" s="19">
        <f t="shared" si="23"/>
        <v>76.609895183863046</v>
      </c>
      <c r="AB29" s="19">
        <f t="shared" si="0"/>
        <v>76.609895183863046</v>
      </c>
      <c r="AC29" s="19">
        <f t="shared" si="1"/>
        <v>76.609895183863046</v>
      </c>
      <c r="AD29" s="19">
        <f t="shared" si="2"/>
        <v>73.968174660281562</v>
      </c>
      <c r="AE29" s="19">
        <f t="shared" si="3"/>
        <v>79.251615707444529</v>
      </c>
      <c r="AF29" s="19">
        <f t="shared" si="4"/>
        <v>73.968174660281562</v>
      </c>
      <c r="AG29" s="19">
        <f t="shared" si="5"/>
        <v>76.609895183863046</v>
      </c>
      <c r="AH29" s="19">
        <f t="shared" si="6"/>
        <v>73.968174660281562</v>
      </c>
      <c r="AI29" s="19">
        <f t="shared" si="7"/>
        <v>79.251615707444529</v>
      </c>
      <c r="AJ29" s="19">
        <f t="shared" si="8"/>
        <v>73.968174660281562</v>
      </c>
      <c r="AK29" s="19">
        <f t="shared" si="9"/>
        <v>76.609895183863046</v>
      </c>
      <c r="AL29" s="19">
        <f t="shared" si="10"/>
        <v>76.609895183863046</v>
      </c>
      <c r="AM29" s="19">
        <f t="shared" si="11"/>
        <v>76.609895183863046</v>
      </c>
      <c r="AN29" s="19">
        <f t="shared" si="12"/>
        <v>76.609895183863046</v>
      </c>
      <c r="AO29" s="19">
        <f t="shared" si="13"/>
        <v>73.968174660281562</v>
      </c>
      <c r="AP29" s="19">
        <f t="shared" si="14"/>
        <v>76.609895183863046</v>
      </c>
      <c r="AQ29" s="19">
        <f t="shared" si="15"/>
        <v>76.609895183863046</v>
      </c>
      <c r="AR29" s="19">
        <f t="shared" si="16"/>
        <v>76.609895183863046</v>
      </c>
      <c r="AS29" s="19">
        <f t="shared" si="17"/>
        <v>76.609895183863046</v>
      </c>
      <c r="AT29" s="19">
        <f t="shared" si="18"/>
        <v>76.609895183863046</v>
      </c>
      <c r="AU29" s="19">
        <f t="shared" si="19"/>
        <v>73.968174660281562</v>
      </c>
      <c r="AV29" s="19">
        <f t="shared" si="20"/>
        <v>76.609895183863046</v>
      </c>
      <c r="AW29" s="19">
        <f t="shared" si="21"/>
        <v>76.609895183863046</v>
      </c>
      <c r="AX29" s="18">
        <f>IFERROR(Z29/'Ar-Pa'!B29,0)</f>
        <v>9.5762368979828807</v>
      </c>
      <c r="AY29" s="18">
        <f>IFERROR(AA29/'Ar-Pa'!C29,0)</f>
        <v>9.5762368979828807</v>
      </c>
      <c r="AZ29" s="18">
        <f>IFERROR(AB29/'Ar-Pa'!D29,0)</f>
        <v>9.5762368979828807</v>
      </c>
      <c r="BA29" s="18">
        <f>IFERROR(AC29/'Ar-Pa'!E29,0)</f>
        <v>9.5762368979828807</v>
      </c>
      <c r="BB29" s="18">
        <f>IFERROR(AD29/'Ar-Pa'!F29,0)</f>
        <v>10.566882094325937</v>
      </c>
      <c r="BC29" s="18">
        <f>IFERROR(AE29/'Ar-Pa'!G29,0)</f>
        <v>11.321659386777791</v>
      </c>
      <c r="BD29" s="18">
        <f>IFERROR(AF29/'Ar-Pa'!H29,0)</f>
        <v>10.566882094325937</v>
      </c>
      <c r="BE29" s="18">
        <f>IFERROR(AG29/'Ar-Pa'!I29,0)</f>
        <v>9.5762368979828807</v>
      </c>
      <c r="BF29" s="18">
        <f>IFERROR(AH29/'Ar-Pa'!J29,0)</f>
        <v>10.566882094325937</v>
      </c>
      <c r="BG29" s="18">
        <f>IFERROR(AI29/'Ar-Pa'!K29,0)</f>
        <v>11.321659386777791</v>
      </c>
      <c r="BH29" s="18">
        <f>IFERROR(AJ29/'Ar-Pa'!L29,0)</f>
        <v>9.2460218325351953</v>
      </c>
      <c r="BI29" s="18">
        <f>IFERROR(AK29/'Ar-Pa'!M29,0)</f>
        <v>9.5762368979828807</v>
      </c>
      <c r="BJ29" s="18">
        <f>IFERROR(AL29/'Ar-Pa'!N29,0)</f>
        <v>9.5762368979828807</v>
      </c>
      <c r="BK29" s="18">
        <f>IFERROR(AM29/'Ar-Pa'!O29,0)</f>
        <v>9.5762368979828807</v>
      </c>
      <c r="BL29" s="18">
        <f>IFERROR(AN29/'Ar-Pa'!P29,0)</f>
        <v>9.5762368979828807</v>
      </c>
      <c r="BM29" s="18">
        <f>IFERROR(AO29/'Ar-Pa'!Q29,0)</f>
        <v>9.2460218325351953</v>
      </c>
      <c r="BN29" s="18">
        <f>IFERROR(AP29/'Ar-Pa'!R29,0)</f>
        <v>9.5762368979828807</v>
      </c>
      <c r="BO29" s="18">
        <f>IFERROR(AQ29/'Ar-Pa'!S29,0)</f>
        <v>9.5762368979828807</v>
      </c>
      <c r="BP29" s="18">
        <f>IFERROR(AR29/'Ar-Pa'!T29,0)</f>
        <v>9.5762368979828807</v>
      </c>
      <c r="BQ29" s="18">
        <f>IFERROR(AS29/'Ar-Pa'!U29,0)</f>
        <v>9.5762368979828807</v>
      </c>
      <c r="BR29" s="18">
        <f>IFERROR(AT29/'Ar-Pa'!V29,0)</f>
        <v>9.5762368979828807</v>
      </c>
      <c r="BS29" s="18">
        <f>IFERROR(AU29/'Ar-Pa'!W29,0)</f>
        <v>9.2460218325351953</v>
      </c>
      <c r="BT29" s="18">
        <f>IFERROR(AV29/'Ar-Pa'!X29,0)</f>
        <v>9.5762368979828807</v>
      </c>
      <c r="BU29" s="18">
        <f>IFERROR(AW29/'Ar-Pa'!Y29,0)</f>
        <v>9.5762368979828807</v>
      </c>
    </row>
    <row r="30" spans="1:73" s="12" customFormat="1" ht="15">
      <c r="A30" s="15">
        <v>44955</v>
      </c>
      <c r="B30" s="441">
        <v>0.28999999999999998</v>
      </c>
      <c r="C30" s="441">
        <v>0.27</v>
      </c>
      <c r="D30" s="441">
        <v>0.27</v>
      </c>
      <c r="E30" s="441">
        <v>0.28999999999999998</v>
      </c>
      <c r="F30" s="441">
        <v>0.27</v>
      </c>
      <c r="G30" s="441">
        <v>0.1</v>
      </c>
      <c r="H30" s="441">
        <v>0</v>
      </c>
      <c r="I30" s="441">
        <v>0</v>
      </c>
      <c r="J30" s="441">
        <v>0</v>
      </c>
      <c r="K30" s="441">
        <v>0.02</v>
      </c>
      <c r="L30" s="441">
        <v>0.08</v>
      </c>
      <c r="M30" s="441">
        <v>0.23</v>
      </c>
      <c r="N30" s="441">
        <v>0.28000000000000003</v>
      </c>
      <c r="O30" s="441">
        <v>0.3</v>
      </c>
      <c r="P30" s="441">
        <v>0.35</v>
      </c>
      <c r="Q30" s="441">
        <v>0.28000000000000003</v>
      </c>
      <c r="R30" s="441">
        <v>0.28000000000000003</v>
      </c>
      <c r="S30" s="441">
        <v>0.28000000000000003</v>
      </c>
      <c r="T30" s="441">
        <v>0.28999999999999998</v>
      </c>
      <c r="U30" s="441">
        <v>0.28000000000000003</v>
      </c>
      <c r="V30" s="441">
        <v>0.28000000000000003</v>
      </c>
      <c r="W30" s="441">
        <v>0.28999999999999998</v>
      </c>
      <c r="X30" s="441">
        <v>0.28000000000000003</v>
      </c>
      <c r="Y30" s="441">
        <v>0.28000000000000003</v>
      </c>
      <c r="Z30" s="19">
        <f t="shared" si="22"/>
        <v>76.609895183863046</v>
      </c>
      <c r="AA30" s="19">
        <f t="shared" si="23"/>
        <v>71.326454136700079</v>
      </c>
      <c r="AB30" s="19">
        <f t="shared" si="0"/>
        <v>71.326454136700079</v>
      </c>
      <c r="AC30" s="19">
        <f t="shared" si="1"/>
        <v>76.609895183863046</v>
      </c>
      <c r="AD30" s="19">
        <f t="shared" si="2"/>
        <v>71.326454136700079</v>
      </c>
      <c r="AE30" s="19">
        <f t="shared" si="3"/>
        <v>26.417205235814841</v>
      </c>
      <c r="AF30" s="19">
        <f t="shared" si="4"/>
        <v>0</v>
      </c>
      <c r="AG30" s="19">
        <f t="shared" si="5"/>
        <v>0</v>
      </c>
      <c r="AH30" s="19">
        <f t="shared" si="6"/>
        <v>0</v>
      </c>
      <c r="AI30" s="19">
        <f t="shared" si="7"/>
        <v>5.2834410471629685</v>
      </c>
      <c r="AJ30" s="19">
        <f t="shared" si="8"/>
        <v>21.133764188651874</v>
      </c>
      <c r="AK30" s="19">
        <f t="shared" si="9"/>
        <v>60.759572042374138</v>
      </c>
      <c r="AL30" s="19">
        <f t="shared" si="10"/>
        <v>73.968174660281562</v>
      </c>
      <c r="AM30" s="19">
        <f t="shared" si="11"/>
        <v>79.251615707444529</v>
      </c>
      <c r="AN30" s="19">
        <f t="shared" si="12"/>
        <v>92.460218325351946</v>
      </c>
      <c r="AO30" s="19">
        <f t="shared" si="13"/>
        <v>73.968174660281562</v>
      </c>
      <c r="AP30" s="19">
        <f t="shared" si="14"/>
        <v>73.968174660281562</v>
      </c>
      <c r="AQ30" s="19">
        <f t="shared" si="15"/>
        <v>73.968174660281562</v>
      </c>
      <c r="AR30" s="19">
        <f t="shared" si="16"/>
        <v>76.609895183863046</v>
      </c>
      <c r="AS30" s="19">
        <f t="shared" si="17"/>
        <v>73.968174660281562</v>
      </c>
      <c r="AT30" s="19">
        <f t="shared" si="18"/>
        <v>73.968174660281562</v>
      </c>
      <c r="AU30" s="19">
        <f t="shared" si="19"/>
        <v>76.609895183863046</v>
      </c>
      <c r="AV30" s="19">
        <f t="shared" si="20"/>
        <v>73.968174660281562</v>
      </c>
      <c r="AW30" s="19">
        <f t="shared" si="21"/>
        <v>73.968174660281562</v>
      </c>
      <c r="AX30" s="18">
        <f>IFERROR(Z30/'Ar-Pa'!B30,0)</f>
        <v>9.5762368979828807</v>
      </c>
      <c r="AY30" s="18">
        <f>IFERROR(AA30/'Ar-Pa'!C30,0)</f>
        <v>8.9158067670875099</v>
      </c>
      <c r="AZ30" s="18">
        <f>IFERROR(AB30/'Ar-Pa'!D30,0)</f>
        <v>8.9158067670875099</v>
      </c>
      <c r="BA30" s="18">
        <f>IFERROR(AC30/'Ar-Pa'!E30,0)</f>
        <v>9.5762368979828807</v>
      </c>
      <c r="BB30" s="18">
        <f>IFERROR(AD30/'Ar-Pa'!F30,0)</f>
        <v>8.9158067670875099</v>
      </c>
      <c r="BC30" s="18">
        <f>IFERROR(AE30/'Ar-Pa'!G30,0)</f>
        <v>13.20860261790742</v>
      </c>
      <c r="BD30" s="18">
        <f>IFERROR(AF30/'Ar-Pa'!H30,0)</f>
        <v>0</v>
      </c>
      <c r="BE30" s="18">
        <f>IFERROR(AG30/'Ar-Pa'!I30,0)</f>
        <v>0</v>
      </c>
      <c r="BF30" s="18">
        <f>IFERROR(AH30/'Ar-Pa'!J30,0)</f>
        <v>0</v>
      </c>
      <c r="BG30" s="18">
        <f>IFERROR(AI30/'Ar-Pa'!K30,0)</f>
        <v>2.6417205235814842</v>
      </c>
      <c r="BH30" s="18">
        <f>IFERROR(AJ30/'Ar-Pa'!L30,0)</f>
        <v>10.566882094325937</v>
      </c>
      <c r="BI30" s="18">
        <f>IFERROR(AK30/'Ar-Pa'!M30,0)</f>
        <v>10.12659534039569</v>
      </c>
      <c r="BJ30" s="18">
        <f>IFERROR(AL30/'Ar-Pa'!N30,0)</f>
        <v>9.2460218325351953</v>
      </c>
      <c r="BK30" s="18">
        <f>IFERROR(AM30/'Ar-Pa'!O30,0)</f>
        <v>9.9064519634305661</v>
      </c>
      <c r="BL30" s="18">
        <f>IFERROR(AN30/'Ar-Pa'!P30,0)</f>
        <v>15.410036387558657</v>
      </c>
      <c r="BM30" s="18">
        <f>IFERROR(AO30/'Ar-Pa'!Q30,0)</f>
        <v>9.2460218325351953</v>
      </c>
      <c r="BN30" s="18">
        <f>IFERROR(AP30/'Ar-Pa'!R30,0)</f>
        <v>9.2460218325351953</v>
      </c>
      <c r="BO30" s="18">
        <f>IFERROR(AQ30/'Ar-Pa'!S30,0)</f>
        <v>9.2460218325351953</v>
      </c>
      <c r="BP30" s="18">
        <f>IFERROR(AR30/'Ar-Pa'!T30,0)</f>
        <v>9.5762368979828807</v>
      </c>
      <c r="BQ30" s="18">
        <f>IFERROR(AS30/'Ar-Pa'!U30,0)</f>
        <v>9.2460218325351953</v>
      </c>
      <c r="BR30" s="18">
        <f>IFERROR(AT30/'Ar-Pa'!V30,0)</f>
        <v>9.2460218325351953</v>
      </c>
      <c r="BS30" s="18">
        <f>IFERROR(AU30/'Ar-Pa'!W30,0)</f>
        <v>9.5762368979828807</v>
      </c>
      <c r="BT30" s="18">
        <f>IFERROR(AV30/'Ar-Pa'!X30,0)</f>
        <v>9.2460218325351953</v>
      </c>
      <c r="BU30" s="18">
        <f>IFERROR(AW30/'Ar-Pa'!Y30,0)</f>
        <v>9.2460218325351953</v>
      </c>
    </row>
    <row r="31" spans="1:73" s="12" customFormat="1" ht="15">
      <c r="A31" s="15">
        <v>44956</v>
      </c>
      <c r="B31" s="441">
        <v>0.31</v>
      </c>
      <c r="C31" s="441">
        <v>0.3</v>
      </c>
      <c r="D31" s="441">
        <v>0.3</v>
      </c>
      <c r="E31" s="441">
        <v>0.3</v>
      </c>
      <c r="F31" s="441">
        <v>0.13</v>
      </c>
      <c r="G31" s="441">
        <v>0.01</v>
      </c>
      <c r="H31" s="441">
        <v>0.03</v>
      </c>
      <c r="I31" s="441">
        <v>0.08</v>
      </c>
      <c r="J31" s="441">
        <v>0.21</v>
      </c>
      <c r="K31" s="441">
        <v>0.3</v>
      </c>
      <c r="L31" s="441">
        <v>0.31</v>
      </c>
      <c r="M31" s="441">
        <v>0.31</v>
      </c>
      <c r="N31" s="441">
        <v>0.31</v>
      </c>
      <c r="O31" s="441">
        <v>0.31</v>
      </c>
      <c r="P31" s="441">
        <v>0.3</v>
      </c>
      <c r="Q31" s="441">
        <v>0.3</v>
      </c>
      <c r="R31" s="441">
        <v>0.3</v>
      </c>
      <c r="S31" s="441">
        <v>0.31</v>
      </c>
      <c r="T31" s="441">
        <v>0.3</v>
      </c>
      <c r="U31" s="441">
        <v>0.31</v>
      </c>
      <c r="V31" s="441">
        <v>0.31</v>
      </c>
      <c r="W31" s="441">
        <v>0.28999999999999998</v>
      </c>
      <c r="X31" s="441">
        <v>0.31</v>
      </c>
      <c r="Y31" s="441">
        <v>0.3</v>
      </c>
      <c r="Z31" s="19">
        <f t="shared" si="22"/>
        <v>81.893336231026012</v>
      </c>
      <c r="AA31" s="19">
        <f t="shared" si="23"/>
        <v>79.251615707444529</v>
      </c>
      <c r="AB31" s="19">
        <f t="shared" si="0"/>
        <v>79.251615707444529</v>
      </c>
      <c r="AC31" s="19">
        <f t="shared" si="1"/>
        <v>79.251615707444529</v>
      </c>
      <c r="AD31" s="19">
        <f t="shared" si="2"/>
        <v>34.342366806559298</v>
      </c>
      <c r="AE31" s="19">
        <f t="shared" si="3"/>
        <v>2.6417205235814842</v>
      </c>
      <c r="AF31" s="19">
        <f t="shared" si="4"/>
        <v>7.9251615707444527</v>
      </c>
      <c r="AG31" s="19">
        <f t="shared" si="5"/>
        <v>21.133764188651874</v>
      </c>
      <c r="AH31" s="19">
        <f t="shared" si="6"/>
        <v>55.476130995211172</v>
      </c>
      <c r="AI31" s="19">
        <f t="shared" si="7"/>
        <v>79.251615707444529</v>
      </c>
      <c r="AJ31" s="19">
        <f t="shared" si="8"/>
        <v>81.893336231026012</v>
      </c>
      <c r="AK31" s="19">
        <f t="shared" si="9"/>
        <v>81.893336231026012</v>
      </c>
      <c r="AL31" s="19">
        <f t="shared" si="10"/>
        <v>81.893336231026012</v>
      </c>
      <c r="AM31" s="19">
        <f t="shared" si="11"/>
        <v>81.893336231026012</v>
      </c>
      <c r="AN31" s="19">
        <f t="shared" si="12"/>
        <v>79.251615707444529</v>
      </c>
      <c r="AO31" s="19">
        <f t="shared" si="13"/>
        <v>79.251615707444529</v>
      </c>
      <c r="AP31" s="19">
        <f t="shared" si="14"/>
        <v>79.251615707444529</v>
      </c>
      <c r="AQ31" s="19">
        <f t="shared" si="15"/>
        <v>81.893336231026012</v>
      </c>
      <c r="AR31" s="19">
        <f t="shared" si="16"/>
        <v>79.251615707444529</v>
      </c>
      <c r="AS31" s="19">
        <f t="shared" si="17"/>
        <v>81.893336231026012</v>
      </c>
      <c r="AT31" s="19">
        <f t="shared" si="18"/>
        <v>81.893336231026012</v>
      </c>
      <c r="AU31" s="19">
        <f t="shared" si="19"/>
        <v>76.609895183863046</v>
      </c>
      <c r="AV31" s="19">
        <f t="shared" si="20"/>
        <v>81.893336231026012</v>
      </c>
      <c r="AW31" s="19">
        <f t="shared" si="21"/>
        <v>79.251615707444529</v>
      </c>
      <c r="AX31" s="18">
        <f>IFERROR(Z31/'Ar-Pa'!B31,0)</f>
        <v>9.0992595812251125</v>
      </c>
      <c r="AY31" s="18">
        <f>IFERROR(AA31/'Ar-Pa'!C31,0)</f>
        <v>8.8057350786049469</v>
      </c>
      <c r="AZ31" s="18">
        <f>IFERROR(AB31/'Ar-Pa'!D31,0)</f>
        <v>8.8057350786049469</v>
      </c>
      <c r="BA31" s="18">
        <f>IFERROR(AC31/'Ar-Pa'!E31,0)</f>
        <v>8.8057350786049469</v>
      </c>
      <c r="BB31" s="18">
        <f>IFERROR(AD31/'Ar-Pa'!F31,0)</f>
        <v>8.5855917016398244</v>
      </c>
      <c r="BC31" s="18">
        <f>IFERROR(AE31/'Ar-Pa'!G31,0)</f>
        <v>0.88057350786049471</v>
      </c>
      <c r="BD31" s="18">
        <f>IFERROR(AF31/'Ar-Pa'!H31,0)</f>
        <v>3.9625807853722264</v>
      </c>
      <c r="BE31" s="18">
        <f>IFERROR(AG31/'Ar-Pa'!I31,0)</f>
        <v>10.566882094325937</v>
      </c>
      <c r="BF31" s="18">
        <f>IFERROR(AH31/'Ar-Pa'!J31,0)</f>
        <v>7.9251615707444527</v>
      </c>
      <c r="BG31" s="18">
        <f>IFERROR(AI31/'Ar-Pa'!K31,0)</f>
        <v>9.9064519634305661</v>
      </c>
      <c r="BH31" s="18">
        <f>IFERROR(AJ31/'Ar-Pa'!L31,0)</f>
        <v>9.0992595812251125</v>
      </c>
      <c r="BI31" s="18">
        <f>IFERROR(AK31/'Ar-Pa'!M31,0)</f>
        <v>9.0992595812251125</v>
      </c>
      <c r="BJ31" s="18">
        <f>IFERROR(AL31/'Ar-Pa'!N31,0)</f>
        <v>9.0992595812251125</v>
      </c>
      <c r="BK31" s="18">
        <f>IFERROR(AM31/'Ar-Pa'!O31,0)</f>
        <v>9.0992595812251125</v>
      </c>
      <c r="BL31" s="18">
        <f>IFERROR(AN31/'Ar-Pa'!P31,0)</f>
        <v>8.8057350786049469</v>
      </c>
      <c r="BM31" s="18">
        <f>IFERROR(AO31/'Ar-Pa'!Q31,0)</f>
        <v>8.8057350786049469</v>
      </c>
      <c r="BN31" s="18">
        <f>IFERROR(AP31/'Ar-Pa'!R31,0)</f>
        <v>8.8057350786049469</v>
      </c>
      <c r="BO31" s="18">
        <f>IFERROR(AQ31/'Ar-Pa'!S31,0)</f>
        <v>9.0992595812251125</v>
      </c>
      <c r="BP31" s="18">
        <f>IFERROR(AR31/'Ar-Pa'!T31,0)</f>
        <v>8.8057350786049469</v>
      </c>
      <c r="BQ31" s="18">
        <f>IFERROR(AS31/'Ar-Pa'!U31,0)</f>
        <v>9.0992595812251125</v>
      </c>
      <c r="BR31" s="18">
        <f>IFERROR(AT31/'Ar-Pa'!V31,0)</f>
        <v>9.0992595812251125</v>
      </c>
      <c r="BS31" s="18">
        <f>IFERROR(AU31/'Ar-Pa'!W31,0)</f>
        <v>8.512210575984783</v>
      </c>
      <c r="BT31" s="18">
        <f>IFERROR(AV31/'Ar-Pa'!X31,0)</f>
        <v>9.0992595812251125</v>
      </c>
      <c r="BU31" s="18">
        <f>IFERROR(AW31/'Ar-Pa'!Y31,0)</f>
        <v>8.8057350786049469</v>
      </c>
    </row>
    <row r="32" spans="1:73" s="12" customFormat="1" ht="15">
      <c r="A32" s="15">
        <v>44957</v>
      </c>
      <c r="B32" s="441">
        <v>0.32</v>
      </c>
      <c r="C32" s="441">
        <v>0.31</v>
      </c>
      <c r="D32" s="441">
        <v>0.31</v>
      </c>
      <c r="E32" s="441">
        <v>0.31</v>
      </c>
      <c r="F32" s="441">
        <v>0.31</v>
      </c>
      <c r="G32" s="441">
        <v>0.32</v>
      </c>
      <c r="H32" s="441">
        <v>0.31</v>
      </c>
      <c r="I32" s="441">
        <v>0.31</v>
      </c>
      <c r="J32" s="441">
        <v>0.31</v>
      </c>
      <c r="K32" s="441">
        <v>0.32</v>
      </c>
      <c r="L32" s="441">
        <v>0.32</v>
      </c>
      <c r="M32" s="441">
        <v>0.32</v>
      </c>
      <c r="N32" s="441">
        <v>0.33</v>
      </c>
      <c r="O32" s="441">
        <v>0.33</v>
      </c>
      <c r="P32" s="441">
        <v>0.32</v>
      </c>
      <c r="Q32" s="441">
        <v>0.32</v>
      </c>
      <c r="R32" s="441">
        <v>0.32</v>
      </c>
      <c r="S32" s="441">
        <v>0.32</v>
      </c>
      <c r="T32" s="441">
        <v>0.32</v>
      </c>
      <c r="U32" s="441">
        <v>0.32</v>
      </c>
      <c r="V32" s="441">
        <v>0.33</v>
      </c>
      <c r="W32" s="441">
        <v>0.33</v>
      </c>
      <c r="X32" s="441">
        <v>0.32</v>
      </c>
      <c r="Y32" s="441">
        <v>0.32</v>
      </c>
      <c r="Z32" s="19">
        <f t="shared" si="22"/>
        <v>84.535056754607496</v>
      </c>
      <c r="AA32" s="19">
        <f t="shared" si="23"/>
        <v>81.893336231026012</v>
      </c>
      <c r="AB32" s="19">
        <f t="shared" si="0"/>
        <v>81.893336231026012</v>
      </c>
      <c r="AC32" s="19">
        <f t="shared" si="1"/>
        <v>81.893336231026012</v>
      </c>
      <c r="AD32" s="19">
        <f t="shared" si="2"/>
        <v>81.893336231026012</v>
      </c>
      <c r="AE32" s="19">
        <f t="shared" si="3"/>
        <v>84.535056754607496</v>
      </c>
      <c r="AF32" s="19">
        <f t="shared" si="4"/>
        <v>81.893336231026012</v>
      </c>
      <c r="AG32" s="19">
        <f t="shared" si="5"/>
        <v>81.893336231026012</v>
      </c>
      <c r="AH32" s="19">
        <f t="shared" si="6"/>
        <v>81.893336231026012</v>
      </c>
      <c r="AI32" s="19">
        <f t="shared" si="7"/>
        <v>84.535056754607496</v>
      </c>
      <c r="AJ32" s="19">
        <f t="shared" si="8"/>
        <v>84.535056754607496</v>
      </c>
      <c r="AK32" s="19">
        <f t="shared" si="9"/>
        <v>84.535056754607496</v>
      </c>
      <c r="AL32" s="19">
        <f t="shared" si="10"/>
        <v>87.176777278188979</v>
      </c>
      <c r="AM32" s="19">
        <f t="shared" si="11"/>
        <v>87.176777278188979</v>
      </c>
      <c r="AN32" s="19">
        <f t="shared" si="12"/>
        <v>84.535056754607496</v>
      </c>
      <c r="AO32" s="19">
        <f t="shared" si="13"/>
        <v>84.535056754607496</v>
      </c>
      <c r="AP32" s="19">
        <f t="shared" si="14"/>
        <v>84.535056754607496</v>
      </c>
      <c r="AQ32" s="19">
        <f t="shared" si="15"/>
        <v>84.535056754607496</v>
      </c>
      <c r="AR32" s="19">
        <f t="shared" si="16"/>
        <v>84.535056754607496</v>
      </c>
      <c r="AS32" s="19">
        <f t="shared" si="17"/>
        <v>84.535056754607496</v>
      </c>
      <c r="AT32" s="19">
        <f t="shared" si="18"/>
        <v>87.176777278188979</v>
      </c>
      <c r="AU32" s="19">
        <f t="shared" si="19"/>
        <v>87.176777278188979</v>
      </c>
      <c r="AV32" s="19">
        <f t="shared" si="20"/>
        <v>84.535056754607496</v>
      </c>
      <c r="AW32" s="19">
        <f t="shared" si="21"/>
        <v>84.535056754607496</v>
      </c>
      <c r="AX32" s="18">
        <f>IFERROR(Z32/'Ar-Pa'!B32,0)</f>
        <v>9.3927840838452781</v>
      </c>
      <c r="AY32" s="18">
        <f>IFERROR(AA32/'Ar-Pa'!C32,0)</f>
        <v>9.0992595812251125</v>
      </c>
      <c r="AZ32" s="18">
        <f>IFERROR(AB32/'Ar-Pa'!D32,0)</f>
        <v>9.0992595812251125</v>
      </c>
      <c r="BA32" s="18">
        <f>IFERROR(AC32/'Ar-Pa'!E32,0)</f>
        <v>9.0992595812251125</v>
      </c>
      <c r="BB32" s="18">
        <f>IFERROR(AD32/'Ar-Pa'!F32,0)</f>
        <v>9.0992595812251125</v>
      </c>
      <c r="BC32" s="18">
        <f>IFERROR(AE32/'Ar-Pa'!G32,0)</f>
        <v>9.3927840838452781</v>
      </c>
      <c r="BD32" s="18">
        <f>IFERROR(AF32/'Ar-Pa'!H32,0)</f>
        <v>9.0992595812251125</v>
      </c>
      <c r="BE32" s="18">
        <f>IFERROR(AG32/'Ar-Pa'!I32,0)</f>
        <v>9.0992595812251125</v>
      </c>
      <c r="BF32" s="18">
        <f>IFERROR(AH32/'Ar-Pa'!J32,0)</f>
        <v>13.648889371837669</v>
      </c>
      <c r="BG32" s="18">
        <f>IFERROR(AI32/'Ar-Pa'!K32,0)</f>
        <v>9.3927840838452781</v>
      </c>
      <c r="BH32" s="18">
        <f>IFERROR(AJ32/'Ar-Pa'!L32,0)</f>
        <v>9.3927840838452781</v>
      </c>
      <c r="BI32" s="18">
        <f>IFERROR(AK32/'Ar-Pa'!M32,0)</f>
        <v>9.3927840838452781</v>
      </c>
      <c r="BJ32" s="18">
        <f>IFERROR(AL32/'Ar-Pa'!N32,0)</f>
        <v>9.6863085864654419</v>
      </c>
      <c r="BK32" s="18">
        <f>IFERROR(AM32/'Ar-Pa'!O32,0)</f>
        <v>9.6863085864654419</v>
      </c>
      <c r="BL32" s="18">
        <f>IFERROR(AN32/'Ar-Pa'!P32,0)</f>
        <v>9.3927840838452781</v>
      </c>
      <c r="BM32" s="18">
        <f>IFERROR(AO32/'Ar-Pa'!Q32,0)</f>
        <v>9.3927840838452781</v>
      </c>
      <c r="BN32" s="18">
        <f>IFERROR(AP32/'Ar-Pa'!R32,0)</f>
        <v>9.3927840838452781</v>
      </c>
      <c r="BO32" s="18">
        <f>IFERROR(AQ32/'Ar-Pa'!S32,0)</f>
        <v>9.3927840838452781</v>
      </c>
      <c r="BP32" s="18">
        <f>IFERROR(AR32/'Ar-Pa'!T32,0)</f>
        <v>9.3927840838452781</v>
      </c>
      <c r="BQ32" s="18">
        <f>IFERROR(AS32/'Ar-Pa'!U32,0)</f>
        <v>10.566882094325937</v>
      </c>
      <c r="BR32" s="18">
        <f>IFERROR(AT32/'Ar-Pa'!V32,0)</f>
        <v>9.6863085864654419</v>
      </c>
      <c r="BS32" s="18">
        <f>IFERROR(AU32/'Ar-Pa'!W32,0)</f>
        <v>9.6863085864654419</v>
      </c>
      <c r="BT32" s="18">
        <f>IFERROR(AV32/'Ar-Pa'!X32,0)</f>
        <v>9.3927840838452781</v>
      </c>
      <c r="BU32" s="18">
        <f>IFERROR(AW32/'Ar-Pa'!Y32,0)</f>
        <v>10.566882094325937</v>
      </c>
    </row>
    <row r="33" spans="1:73" s="12" customFormat="1" ht="15">
      <c r="A33" s="15">
        <v>44958</v>
      </c>
      <c r="B33" s="441">
        <v>0.3</v>
      </c>
      <c r="C33" s="441">
        <v>0.28999999999999998</v>
      </c>
      <c r="D33" s="441">
        <v>0.3</v>
      </c>
      <c r="E33" s="441">
        <v>0.3</v>
      </c>
      <c r="F33" s="441">
        <v>0.3</v>
      </c>
      <c r="G33" s="441">
        <v>0.28999999999999998</v>
      </c>
      <c r="H33" s="441">
        <v>0.3</v>
      </c>
      <c r="I33" s="441">
        <v>0.28999999999999998</v>
      </c>
      <c r="J33" s="441">
        <v>0.28000000000000003</v>
      </c>
      <c r="K33" s="441">
        <v>0.3</v>
      </c>
      <c r="L33" s="441">
        <v>0.28999999999999998</v>
      </c>
      <c r="M33" s="441">
        <v>0.3</v>
      </c>
      <c r="N33" s="441">
        <v>0.28999999999999998</v>
      </c>
      <c r="O33" s="441">
        <v>0.27</v>
      </c>
      <c r="P33" s="441">
        <v>0.24</v>
      </c>
      <c r="Q33" s="441">
        <v>0.25</v>
      </c>
      <c r="R33" s="441">
        <v>0.25</v>
      </c>
      <c r="S33" s="441">
        <v>0.25</v>
      </c>
      <c r="T33" s="441">
        <v>0.25</v>
      </c>
      <c r="U33" s="441">
        <v>0.25</v>
      </c>
      <c r="V33" s="441">
        <v>0.26</v>
      </c>
      <c r="W33" s="441">
        <v>0.25</v>
      </c>
      <c r="X33" s="441">
        <v>0.25</v>
      </c>
      <c r="Y33" s="441">
        <v>0.25</v>
      </c>
      <c r="Z33" s="19">
        <f t="shared" si="22"/>
        <v>79.251615707444529</v>
      </c>
      <c r="AA33" s="19">
        <f t="shared" si="23"/>
        <v>76.609895183863046</v>
      </c>
      <c r="AB33" s="19">
        <f t="shared" si="0"/>
        <v>79.251615707444529</v>
      </c>
      <c r="AC33" s="19">
        <f t="shared" si="1"/>
        <v>79.251615707444529</v>
      </c>
      <c r="AD33" s="19">
        <f t="shared" si="2"/>
        <v>79.251615707444529</v>
      </c>
      <c r="AE33" s="19">
        <f t="shared" si="3"/>
        <v>76.609895183863046</v>
      </c>
      <c r="AF33" s="19">
        <f t="shared" si="4"/>
        <v>79.251615707444529</v>
      </c>
      <c r="AG33" s="19">
        <f t="shared" si="5"/>
        <v>76.609895183863046</v>
      </c>
      <c r="AH33" s="19">
        <f t="shared" si="6"/>
        <v>73.968174660281562</v>
      </c>
      <c r="AI33" s="19">
        <f t="shared" si="7"/>
        <v>79.251615707444529</v>
      </c>
      <c r="AJ33" s="19">
        <f t="shared" si="8"/>
        <v>76.609895183863046</v>
      </c>
      <c r="AK33" s="19">
        <f t="shared" si="9"/>
        <v>79.251615707444529</v>
      </c>
      <c r="AL33" s="19">
        <f t="shared" si="10"/>
        <v>76.609895183863046</v>
      </c>
      <c r="AM33" s="19">
        <f t="shared" si="11"/>
        <v>71.326454136700079</v>
      </c>
      <c r="AN33" s="19">
        <f t="shared" si="12"/>
        <v>63.401292565955622</v>
      </c>
      <c r="AO33" s="19">
        <f t="shared" si="13"/>
        <v>66.043013089537112</v>
      </c>
      <c r="AP33" s="19">
        <f t="shared" si="14"/>
        <v>66.043013089537112</v>
      </c>
      <c r="AQ33" s="19">
        <f t="shared" si="15"/>
        <v>66.043013089537112</v>
      </c>
      <c r="AR33" s="19">
        <f t="shared" si="16"/>
        <v>66.043013089537112</v>
      </c>
      <c r="AS33" s="19">
        <f t="shared" si="17"/>
        <v>66.043013089537112</v>
      </c>
      <c r="AT33" s="19">
        <f t="shared" si="18"/>
        <v>68.684733613118595</v>
      </c>
      <c r="AU33" s="19">
        <f t="shared" si="19"/>
        <v>66.043013089537112</v>
      </c>
      <c r="AV33" s="19">
        <f t="shared" si="20"/>
        <v>66.043013089537112</v>
      </c>
      <c r="AW33" s="19">
        <f t="shared" si="21"/>
        <v>66.043013089537112</v>
      </c>
      <c r="AX33" s="18">
        <f>IFERROR(Z33/'Ar-Pa'!B33,0)</f>
        <v>8.8057350786049469</v>
      </c>
      <c r="AY33" s="18">
        <f>IFERROR(AA33/'Ar-Pa'!C33,0)</f>
        <v>8.512210575984783</v>
      </c>
      <c r="AZ33" s="18">
        <f>IFERROR(AB33/'Ar-Pa'!D33,0)</f>
        <v>8.8057350786049469</v>
      </c>
      <c r="BA33" s="18">
        <f>IFERROR(AC33/'Ar-Pa'!E33,0)</f>
        <v>8.8057350786049469</v>
      </c>
      <c r="BB33" s="18">
        <f>IFERROR(AD33/'Ar-Pa'!F33,0)</f>
        <v>8.8057350786049469</v>
      </c>
      <c r="BC33" s="18">
        <f>IFERROR(AE33/'Ar-Pa'!G33,0)</f>
        <v>9.5762368979828807</v>
      </c>
      <c r="BD33" s="18">
        <f>IFERROR(AF33/'Ar-Pa'!H33,0)</f>
        <v>9.9064519634305661</v>
      </c>
      <c r="BE33" s="18">
        <f>IFERROR(AG33/'Ar-Pa'!I33,0)</f>
        <v>9.5762368979828807</v>
      </c>
      <c r="BF33" s="18">
        <f>IFERROR(AH33/'Ar-Pa'!J33,0)</f>
        <v>9.2460218325351953</v>
      </c>
      <c r="BG33" s="18">
        <f>IFERROR(AI33/'Ar-Pa'!K33,0)</f>
        <v>9.9064519634305661</v>
      </c>
      <c r="BH33" s="18">
        <f>IFERROR(AJ33/'Ar-Pa'!L33,0)</f>
        <v>9.5762368979828807</v>
      </c>
      <c r="BI33" s="18">
        <f>IFERROR(AK33/'Ar-Pa'!M33,0)</f>
        <v>9.9064519634305661</v>
      </c>
      <c r="BJ33" s="18">
        <f>IFERROR(AL33/'Ar-Pa'!N33,0)</f>
        <v>9.5762368979828807</v>
      </c>
      <c r="BK33" s="18">
        <f>IFERROR(AM33/'Ar-Pa'!O33,0)</f>
        <v>8.9158067670875099</v>
      </c>
      <c r="BL33" s="18">
        <f>IFERROR(AN33/'Ar-Pa'!P33,0)</f>
        <v>7.9251615707444527</v>
      </c>
      <c r="BM33" s="18">
        <f>IFERROR(AO33/'Ar-Pa'!Q33,0)</f>
        <v>8.255376636192139</v>
      </c>
      <c r="BN33" s="18">
        <f>IFERROR(AP33/'Ar-Pa'!R33,0)</f>
        <v>8.255376636192139</v>
      </c>
      <c r="BO33" s="18">
        <f>IFERROR(AQ33/'Ar-Pa'!S33,0)</f>
        <v>8.255376636192139</v>
      </c>
      <c r="BP33" s="18">
        <f>IFERROR(AR33/'Ar-Pa'!T33,0)</f>
        <v>8.255376636192139</v>
      </c>
      <c r="BQ33" s="18">
        <f>IFERROR(AS33/'Ar-Pa'!U33,0)</f>
        <v>8.255376636192139</v>
      </c>
      <c r="BR33" s="18">
        <f>IFERROR(AT33/'Ar-Pa'!V33,0)</f>
        <v>8.5855917016398244</v>
      </c>
      <c r="BS33" s="18">
        <f>IFERROR(AU33/'Ar-Pa'!W33,0)</f>
        <v>8.255376636192139</v>
      </c>
      <c r="BT33" s="18">
        <f>IFERROR(AV33/'Ar-Pa'!X33,0)</f>
        <v>8.255376636192139</v>
      </c>
      <c r="BU33" s="18">
        <f>IFERROR(AW33/'Ar-Pa'!Y33,0)</f>
        <v>8.255376636192139</v>
      </c>
    </row>
    <row r="34" spans="1:73" s="12" customFormat="1" ht="15">
      <c r="A34" s="15">
        <v>44959</v>
      </c>
      <c r="B34" s="441">
        <v>0.28999999999999998</v>
      </c>
      <c r="C34" s="441">
        <v>0.3</v>
      </c>
      <c r="D34" s="441">
        <v>0.28999999999999998</v>
      </c>
      <c r="E34" s="441">
        <v>0.27</v>
      </c>
      <c r="F34" s="441">
        <v>0.09</v>
      </c>
      <c r="G34" s="441">
        <v>0.01</v>
      </c>
      <c r="H34" s="441">
        <v>0.03</v>
      </c>
      <c r="I34" s="441">
        <v>0.1</v>
      </c>
      <c r="J34" s="441">
        <v>0.24</v>
      </c>
      <c r="K34" s="441">
        <v>0.28999999999999998</v>
      </c>
      <c r="L34" s="441">
        <v>0.28000000000000003</v>
      </c>
      <c r="M34" s="441">
        <v>0.28999999999999998</v>
      </c>
      <c r="N34" s="441">
        <v>0.28000000000000003</v>
      </c>
      <c r="O34" s="441">
        <v>0.28999999999999998</v>
      </c>
      <c r="P34" s="441">
        <v>0.28000000000000003</v>
      </c>
      <c r="Q34" s="441">
        <v>0.28999999999999998</v>
      </c>
      <c r="R34" s="441">
        <v>0.28000000000000003</v>
      </c>
      <c r="S34" s="441">
        <v>0.28999999999999998</v>
      </c>
      <c r="T34" s="441">
        <v>0.28999999999999998</v>
      </c>
      <c r="U34" s="441">
        <v>0.28999999999999998</v>
      </c>
      <c r="V34" s="441">
        <v>0.28999999999999998</v>
      </c>
      <c r="W34" s="441">
        <v>0.28999999999999998</v>
      </c>
      <c r="X34" s="441">
        <v>0.28000000000000003</v>
      </c>
      <c r="Y34" s="441">
        <v>0.3</v>
      </c>
      <c r="Z34" s="19">
        <f t="shared" si="22"/>
        <v>76.609895183863046</v>
      </c>
      <c r="AA34" s="19">
        <f t="shared" si="23"/>
        <v>79.251615707444529</v>
      </c>
      <c r="AB34" s="19">
        <f t="shared" si="0"/>
        <v>76.609895183863046</v>
      </c>
      <c r="AC34" s="19">
        <f t="shared" si="1"/>
        <v>71.326454136700079</v>
      </c>
      <c r="AD34" s="19">
        <f t="shared" si="2"/>
        <v>23.775484712233357</v>
      </c>
      <c r="AE34" s="19">
        <f t="shared" si="3"/>
        <v>2.6417205235814842</v>
      </c>
      <c r="AF34" s="19">
        <f t="shared" si="4"/>
        <v>7.9251615707444527</v>
      </c>
      <c r="AG34" s="19">
        <f t="shared" si="5"/>
        <v>26.417205235814841</v>
      </c>
      <c r="AH34" s="19">
        <f t="shared" si="6"/>
        <v>63.401292565955622</v>
      </c>
      <c r="AI34" s="19">
        <f t="shared" si="7"/>
        <v>76.609895183863046</v>
      </c>
      <c r="AJ34" s="19">
        <f t="shared" si="8"/>
        <v>73.968174660281562</v>
      </c>
      <c r="AK34" s="19">
        <f t="shared" si="9"/>
        <v>76.609895183863046</v>
      </c>
      <c r="AL34" s="19">
        <f t="shared" si="10"/>
        <v>73.968174660281562</v>
      </c>
      <c r="AM34" s="19">
        <f t="shared" si="11"/>
        <v>76.609895183863046</v>
      </c>
      <c r="AN34" s="19">
        <f t="shared" si="12"/>
        <v>73.968174660281562</v>
      </c>
      <c r="AO34" s="19">
        <f t="shared" si="13"/>
        <v>76.609895183863046</v>
      </c>
      <c r="AP34" s="19">
        <f t="shared" si="14"/>
        <v>73.968174660281562</v>
      </c>
      <c r="AQ34" s="19">
        <f t="shared" si="15"/>
        <v>76.609895183863046</v>
      </c>
      <c r="AR34" s="19">
        <f t="shared" si="16"/>
        <v>76.609895183863046</v>
      </c>
      <c r="AS34" s="19">
        <f t="shared" si="17"/>
        <v>76.609895183863046</v>
      </c>
      <c r="AT34" s="19">
        <f t="shared" si="18"/>
        <v>76.609895183863046</v>
      </c>
      <c r="AU34" s="19">
        <f t="shared" si="19"/>
        <v>76.609895183863046</v>
      </c>
      <c r="AV34" s="19">
        <f t="shared" si="20"/>
        <v>73.968174660281562</v>
      </c>
      <c r="AW34" s="19">
        <f t="shared" si="21"/>
        <v>79.251615707444529</v>
      </c>
      <c r="AX34" s="18">
        <f>IFERROR(Z34/'Ar-Pa'!B34,0)</f>
        <v>9.5762368979828807</v>
      </c>
      <c r="AY34" s="18">
        <f>IFERROR(AA34/'Ar-Pa'!C34,0)</f>
        <v>9.9064519634305661</v>
      </c>
      <c r="AZ34" s="18">
        <f>IFERROR(AB34/'Ar-Pa'!D34,0)</f>
        <v>9.5762368979828807</v>
      </c>
      <c r="BA34" s="18">
        <f>IFERROR(AC34/'Ar-Pa'!E34,0)</f>
        <v>10.189493448100011</v>
      </c>
      <c r="BB34" s="18">
        <f>IFERROR(AD34/'Ar-Pa'!F34,0)</f>
        <v>11.887742356116679</v>
      </c>
      <c r="BC34" s="18">
        <f>IFERROR(AE34/'Ar-Pa'!G34,0)</f>
        <v>1.3208602617907421</v>
      </c>
      <c r="BD34" s="18">
        <f>IFERROR(AF34/'Ar-Pa'!H34,0)</f>
        <v>3.9625807853722264</v>
      </c>
      <c r="BE34" s="18">
        <f>IFERROR(AG34/'Ar-Pa'!I34,0)</f>
        <v>5.2834410471629685</v>
      </c>
      <c r="BF34" s="18">
        <f>IFERROR(AH34/'Ar-Pa'!J34,0)</f>
        <v>10.566882094325937</v>
      </c>
      <c r="BG34" s="18">
        <f>IFERROR(AI34/'Ar-Pa'!K34,0)</f>
        <v>9.5762368979828807</v>
      </c>
      <c r="BH34" s="18">
        <f>IFERROR(AJ34/'Ar-Pa'!L34,0)</f>
        <v>10.566882094325937</v>
      </c>
      <c r="BI34" s="18">
        <f>IFERROR(AK34/'Ar-Pa'!M34,0)</f>
        <v>10.944270740551863</v>
      </c>
      <c r="BJ34" s="18">
        <f>IFERROR(AL34/'Ar-Pa'!N34,0)</f>
        <v>9.2460218325351953</v>
      </c>
      <c r="BK34" s="18">
        <f>IFERROR(AM34/'Ar-Pa'!O34,0)</f>
        <v>9.5762368979828807</v>
      </c>
      <c r="BL34" s="18">
        <f>IFERROR(AN34/'Ar-Pa'!P34,0)</f>
        <v>9.2460218325351953</v>
      </c>
      <c r="BM34" s="18">
        <f>IFERROR(AO34/'Ar-Pa'!Q34,0)</f>
        <v>8.512210575984783</v>
      </c>
      <c r="BN34" s="18">
        <f>IFERROR(AP34/'Ar-Pa'!R34,0)</f>
        <v>8.2186860733646174</v>
      </c>
      <c r="BO34" s="18">
        <f>IFERROR(AQ34/'Ar-Pa'!S34,0)</f>
        <v>8.512210575984783</v>
      </c>
      <c r="BP34" s="18">
        <f>IFERROR(AR34/'Ar-Pa'!T34,0)</f>
        <v>8.512210575984783</v>
      </c>
      <c r="BQ34" s="18">
        <f>IFERROR(AS34/'Ar-Pa'!U34,0)</f>
        <v>8.512210575984783</v>
      </c>
      <c r="BR34" s="18">
        <f>IFERROR(AT34/'Ar-Pa'!V34,0)</f>
        <v>8.512210575984783</v>
      </c>
      <c r="BS34" s="18">
        <f>IFERROR(AU34/'Ar-Pa'!W34,0)</f>
        <v>8.512210575984783</v>
      </c>
      <c r="BT34" s="18">
        <f>IFERROR(AV34/'Ar-Pa'!X34,0)</f>
        <v>8.2186860733646174</v>
      </c>
      <c r="BU34" s="18">
        <f>IFERROR(AW34/'Ar-Pa'!Y34,0)</f>
        <v>8.8057350786049469</v>
      </c>
    </row>
    <row r="35" spans="1:73" s="12" customFormat="1" ht="15">
      <c r="A35" s="15">
        <v>44960</v>
      </c>
      <c r="B35" s="441">
        <v>0.32</v>
      </c>
      <c r="C35" s="441">
        <v>0.31</v>
      </c>
      <c r="D35" s="441">
        <v>0.31</v>
      </c>
      <c r="E35" s="441">
        <v>0.32</v>
      </c>
      <c r="F35" s="441">
        <v>0.13</v>
      </c>
      <c r="G35" s="441">
        <v>0.01</v>
      </c>
      <c r="H35" s="441">
        <v>0.04</v>
      </c>
      <c r="I35" s="441">
        <v>0.09</v>
      </c>
      <c r="J35" s="441">
        <v>0.23</v>
      </c>
      <c r="K35" s="441">
        <v>0.3</v>
      </c>
      <c r="L35" s="441">
        <v>0.31</v>
      </c>
      <c r="M35" s="441">
        <v>0.32</v>
      </c>
      <c r="N35" s="441">
        <v>0.31</v>
      </c>
      <c r="O35" s="441">
        <v>0.32</v>
      </c>
      <c r="P35" s="441">
        <v>0.31</v>
      </c>
      <c r="Q35" s="441">
        <v>0.32</v>
      </c>
      <c r="R35" s="441">
        <v>0.31</v>
      </c>
      <c r="S35" s="441">
        <v>0.32</v>
      </c>
      <c r="T35" s="441">
        <v>0.31</v>
      </c>
      <c r="U35" s="441">
        <v>0.32</v>
      </c>
      <c r="V35" s="441">
        <v>0.31</v>
      </c>
      <c r="W35" s="441">
        <v>0.32</v>
      </c>
      <c r="X35" s="441">
        <v>0.31</v>
      </c>
      <c r="Y35" s="441">
        <v>0.32</v>
      </c>
      <c r="Z35" s="19">
        <f t="shared" si="22"/>
        <v>84.535056754607496</v>
      </c>
      <c r="AA35" s="19">
        <f t="shared" si="23"/>
        <v>81.893336231026012</v>
      </c>
      <c r="AB35" s="19">
        <f t="shared" si="0"/>
        <v>81.893336231026012</v>
      </c>
      <c r="AC35" s="19">
        <f t="shared" si="1"/>
        <v>84.535056754607496</v>
      </c>
      <c r="AD35" s="19">
        <f t="shared" si="2"/>
        <v>34.342366806559298</v>
      </c>
      <c r="AE35" s="19">
        <f t="shared" si="3"/>
        <v>2.6417205235814842</v>
      </c>
      <c r="AF35" s="19">
        <f t="shared" si="4"/>
        <v>10.566882094325937</v>
      </c>
      <c r="AG35" s="19">
        <f t="shared" si="5"/>
        <v>23.775484712233357</v>
      </c>
      <c r="AH35" s="19">
        <f t="shared" si="6"/>
        <v>60.759572042374138</v>
      </c>
      <c r="AI35" s="19">
        <f t="shared" si="7"/>
        <v>79.251615707444529</v>
      </c>
      <c r="AJ35" s="19">
        <f t="shared" si="8"/>
        <v>81.893336231026012</v>
      </c>
      <c r="AK35" s="19">
        <f t="shared" si="9"/>
        <v>84.535056754607496</v>
      </c>
      <c r="AL35" s="19">
        <f t="shared" si="10"/>
        <v>81.893336231026012</v>
      </c>
      <c r="AM35" s="19">
        <f t="shared" si="11"/>
        <v>84.535056754607496</v>
      </c>
      <c r="AN35" s="19">
        <f t="shared" si="12"/>
        <v>81.893336231026012</v>
      </c>
      <c r="AO35" s="19">
        <f t="shared" si="13"/>
        <v>84.535056754607496</v>
      </c>
      <c r="AP35" s="19">
        <f t="shared" si="14"/>
        <v>81.893336231026012</v>
      </c>
      <c r="AQ35" s="19">
        <f t="shared" si="15"/>
        <v>84.535056754607496</v>
      </c>
      <c r="AR35" s="19">
        <f t="shared" si="16"/>
        <v>81.893336231026012</v>
      </c>
      <c r="AS35" s="19">
        <f t="shared" si="17"/>
        <v>84.535056754607496</v>
      </c>
      <c r="AT35" s="19">
        <f t="shared" si="18"/>
        <v>81.893336231026012</v>
      </c>
      <c r="AU35" s="19">
        <f t="shared" si="19"/>
        <v>84.535056754607496</v>
      </c>
      <c r="AV35" s="19">
        <f t="shared" si="20"/>
        <v>81.893336231026012</v>
      </c>
      <c r="AW35" s="19">
        <f t="shared" si="21"/>
        <v>84.535056754607496</v>
      </c>
      <c r="AX35" s="18">
        <f>IFERROR(Z35/'Ar-Pa'!B35,0)</f>
        <v>9.3927840838452781</v>
      </c>
      <c r="AY35" s="18">
        <f>IFERROR(AA35/'Ar-Pa'!C35,0)</f>
        <v>9.0992595812251125</v>
      </c>
      <c r="AZ35" s="18">
        <f>IFERROR(AB35/'Ar-Pa'!D35,0)</f>
        <v>9.0992595812251125</v>
      </c>
      <c r="BA35" s="18">
        <f>IFERROR(AC35/'Ar-Pa'!E35,0)</f>
        <v>10.566882094325937</v>
      </c>
      <c r="BB35" s="18">
        <f>IFERROR(AD35/'Ar-Pa'!F35,0)</f>
        <v>11.447455602186432</v>
      </c>
      <c r="BC35" s="18">
        <f>IFERROR(AE35/'Ar-Pa'!G35,0)</f>
        <v>0.88057350786049471</v>
      </c>
      <c r="BD35" s="18">
        <f>IFERROR(AF35/'Ar-Pa'!H35,0)</f>
        <v>5.2834410471629685</v>
      </c>
      <c r="BE35" s="18">
        <f>IFERROR(AG35/'Ar-Pa'!I35,0)</f>
        <v>4.7550969424466718</v>
      </c>
      <c r="BF35" s="18">
        <f>IFERROR(AH35/'Ar-Pa'!J35,0)</f>
        <v>8.6799388631963055</v>
      </c>
      <c r="BG35" s="18">
        <f>IFERROR(AI35/'Ar-Pa'!K35,0)</f>
        <v>8.8057350786049469</v>
      </c>
      <c r="BH35" s="18">
        <f>IFERROR(AJ35/'Ar-Pa'!L35,0)</f>
        <v>9.0992595812251125</v>
      </c>
      <c r="BI35" s="18">
        <f>IFERROR(AK35/'Ar-Pa'!M35,0)</f>
        <v>9.3927840838452781</v>
      </c>
      <c r="BJ35" s="18">
        <f>IFERROR(AL35/'Ar-Pa'!N35,0)</f>
        <v>9.0992595812251125</v>
      </c>
      <c r="BK35" s="18">
        <f>IFERROR(AM35/'Ar-Pa'!O35,0)</f>
        <v>9.3927840838452781</v>
      </c>
      <c r="BL35" s="18">
        <f>IFERROR(AN35/'Ar-Pa'!P35,0)</f>
        <v>9.0992595812251125</v>
      </c>
      <c r="BM35" s="18">
        <f>IFERROR(AO35/'Ar-Pa'!Q35,0)</f>
        <v>9.3927840838452781</v>
      </c>
      <c r="BN35" s="18">
        <f>IFERROR(AP35/'Ar-Pa'!R35,0)</f>
        <v>9.0992595812251125</v>
      </c>
      <c r="BO35" s="18">
        <f>IFERROR(AQ35/'Ar-Pa'!S35,0)</f>
        <v>9.3927840838452781</v>
      </c>
      <c r="BP35" s="18">
        <f>IFERROR(AR35/'Ar-Pa'!T35,0)</f>
        <v>9.0992595812251125</v>
      </c>
      <c r="BQ35" s="18">
        <f>IFERROR(AS35/'Ar-Pa'!U35,0)</f>
        <v>9.3927840838452781</v>
      </c>
      <c r="BR35" s="18">
        <f>IFERROR(AT35/'Ar-Pa'!V35,0)</f>
        <v>9.0992595812251125</v>
      </c>
      <c r="BS35" s="18">
        <f>IFERROR(AU35/'Ar-Pa'!W35,0)</f>
        <v>9.3927840838452781</v>
      </c>
      <c r="BT35" s="18">
        <f>IFERROR(AV35/'Ar-Pa'!X35,0)</f>
        <v>9.0992595812251125</v>
      </c>
      <c r="BU35" s="18">
        <f>IFERROR(AW35/'Ar-Pa'!Y35,0)</f>
        <v>9.3927840838452781</v>
      </c>
    </row>
    <row r="36" spans="1:73" s="12" customFormat="1" ht="15">
      <c r="A36" s="15">
        <v>44961</v>
      </c>
      <c r="B36" s="441">
        <v>0.28999999999999998</v>
      </c>
      <c r="C36" s="441">
        <v>0.28999999999999998</v>
      </c>
      <c r="D36" s="441">
        <v>0.3</v>
      </c>
      <c r="E36" s="441">
        <v>0.27</v>
      </c>
      <c r="F36" s="441">
        <v>0.12</v>
      </c>
      <c r="G36" s="441">
        <v>0.01</v>
      </c>
      <c r="H36" s="441">
        <v>0</v>
      </c>
      <c r="I36" s="441">
        <v>0.03</v>
      </c>
      <c r="J36" s="441">
        <v>7.0000000000000007E-2</v>
      </c>
      <c r="K36" s="441">
        <v>0.21</v>
      </c>
      <c r="L36" s="441">
        <v>0.28000000000000003</v>
      </c>
      <c r="M36" s="441">
        <v>0.28999999999999998</v>
      </c>
      <c r="N36" s="441">
        <v>0.3</v>
      </c>
      <c r="O36" s="441">
        <v>0.28999999999999998</v>
      </c>
      <c r="P36" s="441">
        <v>0.3</v>
      </c>
      <c r="Q36" s="441">
        <v>0.3</v>
      </c>
      <c r="R36" s="441">
        <v>0.28999999999999998</v>
      </c>
      <c r="S36" s="441">
        <v>0.3</v>
      </c>
      <c r="T36" s="441">
        <v>0.28999999999999998</v>
      </c>
      <c r="U36" s="441">
        <v>0.28999999999999998</v>
      </c>
      <c r="V36" s="441">
        <v>0.3</v>
      </c>
      <c r="W36" s="441">
        <v>0.3</v>
      </c>
      <c r="X36" s="441">
        <v>0.28999999999999998</v>
      </c>
      <c r="Y36" s="441">
        <v>0.28999999999999998</v>
      </c>
      <c r="Z36" s="19">
        <f t="shared" si="22"/>
        <v>76.609895183863046</v>
      </c>
      <c r="AA36" s="19">
        <f t="shared" si="23"/>
        <v>76.609895183863046</v>
      </c>
      <c r="AB36" s="19">
        <f t="shared" si="0"/>
        <v>79.251615707444529</v>
      </c>
      <c r="AC36" s="19">
        <f t="shared" si="1"/>
        <v>71.326454136700079</v>
      </c>
      <c r="AD36" s="19">
        <f t="shared" si="2"/>
        <v>31.700646282977811</v>
      </c>
      <c r="AE36" s="19">
        <f t="shared" si="3"/>
        <v>2.6417205235814842</v>
      </c>
      <c r="AF36" s="19">
        <f t="shared" si="4"/>
        <v>0</v>
      </c>
      <c r="AG36" s="19">
        <f t="shared" si="5"/>
        <v>7.9251615707444527</v>
      </c>
      <c r="AH36" s="19">
        <f t="shared" si="6"/>
        <v>18.492043665070391</v>
      </c>
      <c r="AI36" s="19">
        <f t="shared" si="7"/>
        <v>55.476130995211172</v>
      </c>
      <c r="AJ36" s="19">
        <f t="shared" si="8"/>
        <v>73.968174660281562</v>
      </c>
      <c r="AK36" s="19">
        <f t="shared" si="9"/>
        <v>76.609895183863046</v>
      </c>
      <c r="AL36" s="19">
        <f t="shared" si="10"/>
        <v>79.251615707444529</v>
      </c>
      <c r="AM36" s="19">
        <f t="shared" si="11"/>
        <v>76.609895183863046</v>
      </c>
      <c r="AN36" s="19">
        <f t="shared" si="12"/>
        <v>79.251615707444529</v>
      </c>
      <c r="AO36" s="19">
        <f t="shared" si="13"/>
        <v>79.251615707444529</v>
      </c>
      <c r="AP36" s="19">
        <f t="shared" si="14"/>
        <v>76.609895183863046</v>
      </c>
      <c r="AQ36" s="19">
        <f t="shared" si="15"/>
        <v>79.251615707444529</v>
      </c>
      <c r="AR36" s="19">
        <f t="shared" si="16"/>
        <v>76.609895183863046</v>
      </c>
      <c r="AS36" s="19">
        <f t="shared" si="17"/>
        <v>76.609895183863046</v>
      </c>
      <c r="AT36" s="19">
        <f t="shared" si="18"/>
        <v>79.251615707444529</v>
      </c>
      <c r="AU36" s="19">
        <f t="shared" si="19"/>
        <v>79.251615707444529</v>
      </c>
      <c r="AV36" s="19">
        <f t="shared" si="20"/>
        <v>76.609895183863046</v>
      </c>
      <c r="AW36" s="19">
        <f t="shared" si="21"/>
        <v>76.609895183863046</v>
      </c>
      <c r="AX36" s="18">
        <f>IFERROR(Z36/'Ar-Pa'!B36,0)</f>
        <v>8.512210575984783</v>
      </c>
      <c r="AY36" s="18">
        <f>IFERROR(AA36/'Ar-Pa'!C36,0)</f>
        <v>8.512210575984783</v>
      </c>
      <c r="AZ36" s="18">
        <f>IFERROR(AB36/'Ar-Pa'!D36,0)</f>
        <v>8.8057350786049469</v>
      </c>
      <c r="BA36" s="18">
        <f>IFERROR(AC36/'Ar-Pa'!E36,0)</f>
        <v>10.189493448100011</v>
      </c>
      <c r="BB36" s="18">
        <f>IFERROR(AD36/'Ar-Pa'!F36,0)</f>
        <v>5.2834410471629685</v>
      </c>
      <c r="BC36" s="18">
        <f>IFERROR(AE36/'Ar-Pa'!G36,0)</f>
        <v>0.88057350786049471</v>
      </c>
      <c r="BD36" s="18">
        <f>IFERROR(AF36/'Ar-Pa'!H36,0)</f>
        <v>0</v>
      </c>
      <c r="BE36" s="18">
        <f>IFERROR(AG36/'Ar-Pa'!I36,0)</f>
        <v>3.9625807853722264</v>
      </c>
      <c r="BF36" s="18">
        <f>IFERROR(AH36/'Ar-Pa'!J36,0)</f>
        <v>4.6230109162675976</v>
      </c>
      <c r="BG36" s="18">
        <f>IFERROR(AI36/'Ar-Pa'!K36,0)</f>
        <v>9.2460218325351953</v>
      </c>
      <c r="BH36" s="18">
        <f>IFERROR(AJ36/'Ar-Pa'!L36,0)</f>
        <v>9.2460218325351953</v>
      </c>
      <c r="BI36" s="18">
        <f>IFERROR(AK36/'Ar-Pa'!M36,0)</f>
        <v>9.5762368979828807</v>
      </c>
      <c r="BJ36" s="18">
        <f>IFERROR(AL36/'Ar-Pa'!N36,0)</f>
        <v>8.8057350786049469</v>
      </c>
      <c r="BK36" s="18">
        <f>IFERROR(AM36/'Ar-Pa'!O36,0)</f>
        <v>8.512210575984783</v>
      </c>
      <c r="BL36" s="18">
        <f>IFERROR(AN36/'Ar-Pa'!P36,0)</f>
        <v>8.8057350786049469</v>
      </c>
      <c r="BM36" s="18">
        <f>IFERROR(AO36/'Ar-Pa'!Q36,0)</f>
        <v>8.8057350786049469</v>
      </c>
      <c r="BN36" s="18">
        <f>IFERROR(AP36/'Ar-Pa'!R36,0)</f>
        <v>8.512210575984783</v>
      </c>
      <c r="BO36" s="18">
        <f>IFERROR(AQ36/'Ar-Pa'!S36,0)</f>
        <v>8.8057350786049469</v>
      </c>
      <c r="BP36" s="18">
        <f>IFERROR(AR36/'Ar-Pa'!T36,0)</f>
        <v>8.512210575984783</v>
      </c>
      <c r="BQ36" s="18">
        <f>IFERROR(AS36/'Ar-Pa'!U36,0)</f>
        <v>8.512210575984783</v>
      </c>
      <c r="BR36" s="18">
        <f>IFERROR(AT36/'Ar-Pa'!V36,0)</f>
        <v>8.8057350786049469</v>
      </c>
      <c r="BS36" s="18">
        <f>IFERROR(AU36/'Ar-Pa'!W36,0)</f>
        <v>8.8057350786049469</v>
      </c>
      <c r="BT36" s="18">
        <f>IFERROR(AV36/'Ar-Pa'!X36,0)</f>
        <v>8.512210575984783</v>
      </c>
      <c r="BU36" s="18">
        <f>IFERROR(AW36/'Ar-Pa'!Y36,0)</f>
        <v>8.512210575984783</v>
      </c>
    </row>
    <row r="37" spans="1:73" s="12" customFormat="1" ht="15">
      <c r="A37" s="15">
        <v>44962</v>
      </c>
      <c r="B37" s="441">
        <v>0.31</v>
      </c>
      <c r="C37" s="441">
        <v>0.3</v>
      </c>
      <c r="D37" s="441">
        <v>0.3</v>
      </c>
      <c r="E37" s="441">
        <v>0.12</v>
      </c>
      <c r="F37" s="441">
        <v>0.01</v>
      </c>
      <c r="G37" s="441">
        <v>0</v>
      </c>
      <c r="H37" s="441">
        <v>0</v>
      </c>
      <c r="I37" s="441">
        <v>0</v>
      </c>
      <c r="J37" s="441">
        <v>0</v>
      </c>
      <c r="K37" s="441">
        <v>0.02</v>
      </c>
      <c r="L37" s="441">
        <v>0.09</v>
      </c>
      <c r="M37" s="441">
        <v>0.21</v>
      </c>
      <c r="N37" s="441">
        <v>0.28999999999999998</v>
      </c>
      <c r="O37" s="441">
        <v>0.31</v>
      </c>
      <c r="P37" s="441">
        <v>0.31</v>
      </c>
      <c r="Q37" s="441">
        <v>0.32</v>
      </c>
      <c r="R37" s="441">
        <v>0.31</v>
      </c>
      <c r="S37" s="441">
        <v>0.31</v>
      </c>
      <c r="T37" s="441">
        <v>0.31</v>
      </c>
      <c r="U37" s="441">
        <v>0.32</v>
      </c>
      <c r="V37" s="441">
        <v>0.31</v>
      </c>
      <c r="W37" s="441">
        <v>0.31</v>
      </c>
      <c r="X37" s="441">
        <v>0.31</v>
      </c>
      <c r="Y37" s="441">
        <v>0.31</v>
      </c>
      <c r="Z37" s="19">
        <f t="shared" si="22"/>
        <v>81.893336231026012</v>
      </c>
      <c r="AA37" s="19">
        <f t="shared" si="23"/>
        <v>79.251615707444529</v>
      </c>
      <c r="AB37" s="19">
        <f t="shared" si="0"/>
        <v>79.251615707444529</v>
      </c>
      <c r="AC37" s="19">
        <f t="shared" si="1"/>
        <v>31.700646282977811</v>
      </c>
      <c r="AD37" s="19">
        <f t="shared" si="2"/>
        <v>2.6417205235814842</v>
      </c>
      <c r="AE37" s="19">
        <f t="shared" si="3"/>
        <v>0</v>
      </c>
      <c r="AF37" s="19">
        <f t="shared" si="4"/>
        <v>0</v>
      </c>
      <c r="AG37" s="19">
        <f t="shared" si="5"/>
        <v>0</v>
      </c>
      <c r="AH37" s="19">
        <f t="shared" si="6"/>
        <v>0</v>
      </c>
      <c r="AI37" s="19">
        <f t="shared" si="7"/>
        <v>5.2834410471629685</v>
      </c>
      <c r="AJ37" s="19">
        <f t="shared" si="8"/>
        <v>23.775484712233357</v>
      </c>
      <c r="AK37" s="19">
        <f t="shared" si="9"/>
        <v>55.476130995211172</v>
      </c>
      <c r="AL37" s="19">
        <f t="shared" si="10"/>
        <v>76.609895183863046</v>
      </c>
      <c r="AM37" s="19">
        <f t="shared" si="11"/>
        <v>81.893336231026012</v>
      </c>
      <c r="AN37" s="19">
        <f t="shared" si="12"/>
        <v>81.893336231026012</v>
      </c>
      <c r="AO37" s="19">
        <f t="shared" si="13"/>
        <v>84.535056754607496</v>
      </c>
      <c r="AP37" s="19">
        <f t="shared" si="14"/>
        <v>81.893336231026012</v>
      </c>
      <c r="AQ37" s="19">
        <f t="shared" si="15"/>
        <v>81.893336231026012</v>
      </c>
      <c r="AR37" s="19">
        <f t="shared" si="16"/>
        <v>81.893336231026012</v>
      </c>
      <c r="AS37" s="19">
        <f t="shared" si="17"/>
        <v>84.535056754607496</v>
      </c>
      <c r="AT37" s="19">
        <f t="shared" si="18"/>
        <v>81.893336231026012</v>
      </c>
      <c r="AU37" s="19">
        <f t="shared" si="19"/>
        <v>81.893336231026012</v>
      </c>
      <c r="AV37" s="19">
        <f t="shared" si="20"/>
        <v>81.893336231026012</v>
      </c>
      <c r="AW37" s="19">
        <f t="shared" si="21"/>
        <v>81.893336231026012</v>
      </c>
      <c r="AX37" s="18">
        <f>IFERROR(Z37/'Ar-Pa'!B37,0)</f>
        <v>9.0992595812251125</v>
      </c>
      <c r="AY37" s="18">
        <f>IFERROR(AA37/'Ar-Pa'!C37,0)</f>
        <v>8.8057350786049469</v>
      </c>
      <c r="AZ37" s="18">
        <f>IFERROR(AB37/'Ar-Pa'!D37,0)</f>
        <v>11.321659386777791</v>
      </c>
      <c r="BA37" s="18">
        <f>IFERROR(AC37/'Ar-Pa'!E37,0)</f>
        <v>10.566882094325937</v>
      </c>
      <c r="BB37" s="18">
        <f>IFERROR(AD37/'Ar-Pa'!F37,0)</f>
        <v>0</v>
      </c>
      <c r="BC37" s="18">
        <f>IFERROR(AE37/'Ar-Pa'!G37,0)</f>
        <v>0</v>
      </c>
      <c r="BD37" s="18">
        <f>IFERROR(AF37/'Ar-Pa'!H37,0)</f>
        <v>0</v>
      </c>
      <c r="BE37" s="18">
        <f>IFERROR(AG37/'Ar-Pa'!I37,0)</f>
        <v>0</v>
      </c>
      <c r="BF37" s="18">
        <f>IFERROR(AH37/'Ar-Pa'!J37,0)</f>
        <v>0</v>
      </c>
      <c r="BG37" s="18">
        <f>IFERROR(AI37/'Ar-Pa'!K37,0)</f>
        <v>2.6417205235814842</v>
      </c>
      <c r="BH37" s="18">
        <f>IFERROR(AJ37/'Ar-Pa'!L37,0)</f>
        <v>11.887742356116679</v>
      </c>
      <c r="BI37" s="18">
        <f>IFERROR(AK37/'Ar-Pa'!M37,0)</f>
        <v>7.9251615707444527</v>
      </c>
      <c r="BJ37" s="18">
        <f>IFERROR(AL37/'Ar-Pa'!N37,0)</f>
        <v>8.512210575984783</v>
      </c>
      <c r="BK37" s="18">
        <f>IFERROR(AM37/'Ar-Pa'!O37,0)</f>
        <v>9.0992595812251125</v>
      </c>
      <c r="BL37" s="18">
        <f>IFERROR(AN37/'Ar-Pa'!P37,0)</f>
        <v>9.0992595812251125</v>
      </c>
      <c r="BM37" s="18">
        <f>IFERROR(AO37/'Ar-Pa'!Q37,0)</f>
        <v>9.3927840838452781</v>
      </c>
      <c r="BN37" s="18">
        <f>IFERROR(AP37/'Ar-Pa'!R37,0)</f>
        <v>9.0992595812251125</v>
      </c>
      <c r="BO37" s="18">
        <f>IFERROR(AQ37/'Ar-Pa'!S37,0)</f>
        <v>9.0992595812251125</v>
      </c>
      <c r="BP37" s="18">
        <f>IFERROR(AR37/'Ar-Pa'!T37,0)</f>
        <v>9.0992595812251125</v>
      </c>
      <c r="BQ37" s="18">
        <f>IFERROR(AS37/'Ar-Pa'!U37,0)</f>
        <v>9.3927840838452781</v>
      </c>
      <c r="BR37" s="18">
        <f>IFERROR(AT37/'Ar-Pa'!V37,0)</f>
        <v>9.0992595812251125</v>
      </c>
      <c r="BS37" s="18">
        <f>IFERROR(AU37/'Ar-Pa'!W37,0)</f>
        <v>9.0992595812251125</v>
      </c>
      <c r="BT37" s="18">
        <f>IFERROR(AV37/'Ar-Pa'!X37,0)</f>
        <v>9.0992595812251125</v>
      </c>
      <c r="BU37" s="18">
        <f>IFERROR(AW37/'Ar-Pa'!Y37,0)</f>
        <v>9.0992595812251125</v>
      </c>
    </row>
    <row r="38" spans="1:73" s="12" customFormat="1" ht="15">
      <c r="A38" s="15">
        <v>44963</v>
      </c>
      <c r="B38" s="441">
        <v>0.31</v>
      </c>
      <c r="C38" s="441">
        <v>0.32</v>
      </c>
      <c r="D38" s="441">
        <v>0.28999999999999998</v>
      </c>
      <c r="E38" s="441">
        <v>0.12</v>
      </c>
      <c r="F38" s="441">
        <v>0.02</v>
      </c>
      <c r="G38" s="441">
        <v>0</v>
      </c>
      <c r="H38" s="441">
        <v>0.04</v>
      </c>
      <c r="I38" s="441">
        <v>0.08</v>
      </c>
      <c r="J38" s="441">
        <v>0.22</v>
      </c>
      <c r="K38" s="441">
        <v>0.3</v>
      </c>
      <c r="L38" s="441">
        <v>0.31</v>
      </c>
      <c r="M38" s="441">
        <v>0.31</v>
      </c>
      <c r="N38" s="441">
        <v>0.32</v>
      </c>
      <c r="O38" s="441">
        <v>0.31</v>
      </c>
      <c r="P38" s="441">
        <v>0.31</v>
      </c>
      <c r="Q38" s="441">
        <v>0.32</v>
      </c>
      <c r="R38" s="441">
        <v>0.32</v>
      </c>
      <c r="S38" s="441">
        <v>0.32</v>
      </c>
      <c r="T38" s="441">
        <v>0.31</v>
      </c>
      <c r="U38" s="441">
        <v>0.31</v>
      </c>
      <c r="V38" s="441">
        <v>0.32</v>
      </c>
      <c r="W38" s="441">
        <v>0.31</v>
      </c>
      <c r="X38" s="441">
        <v>0.31</v>
      </c>
      <c r="Y38" s="441">
        <v>0.31</v>
      </c>
      <c r="Z38" s="19">
        <f t="shared" si="22"/>
        <v>81.893336231026012</v>
      </c>
      <c r="AA38" s="19">
        <f t="shared" si="23"/>
        <v>84.535056754607496</v>
      </c>
      <c r="AB38" s="19">
        <f t="shared" si="0"/>
        <v>76.609895183863046</v>
      </c>
      <c r="AC38" s="19">
        <f t="shared" si="1"/>
        <v>31.700646282977811</v>
      </c>
      <c r="AD38" s="19">
        <f t="shared" si="2"/>
        <v>5.2834410471629685</v>
      </c>
      <c r="AE38" s="19">
        <f t="shared" si="3"/>
        <v>0</v>
      </c>
      <c r="AF38" s="19">
        <f t="shared" si="4"/>
        <v>10.566882094325937</v>
      </c>
      <c r="AG38" s="19">
        <f t="shared" si="5"/>
        <v>21.133764188651874</v>
      </c>
      <c r="AH38" s="19">
        <f t="shared" si="6"/>
        <v>58.117851518792655</v>
      </c>
      <c r="AI38" s="19">
        <f t="shared" si="7"/>
        <v>79.251615707444529</v>
      </c>
      <c r="AJ38" s="19">
        <f t="shared" si="8"/>
        <v>81.893336231026012</v>
      </c>
      <c r="AK38" s="19">
        <f t="shared" si="9"/>
        <v>81.893336231026012</v>
      </c>
      <c r="AL38" s="19">
        <f t="shared" si="10"/>
        <v>84.535056754607496</v>
      </c>
      <c r="AM38" s="19">
        <f t="shared" si="11"/>
        <v>81.893336231026012</v>
      </c>
      <c r="AN38" s="19">
        <f t="shared" si="12"/>
        <v>81.893336231026012</v>
      </c>
      <c r="AO38" s="19">
        <f t="shared" si="13"/>
        <v>84.535056754607496</v>
      </c>
      <c r="AP38" s="19">
        <f t="shared" si="14"/>
        <v>84.535056754607496</v>
      </c>
      <c r="AQ38" s="19">
        <f t="shared" si="15"/>
        <v>84.535056754607496</v>
      </c>
      <c r="AR38" s="19">
        <f t="shared" si="16"/>
        <v>81.893336231026012</v>
      </c>
      <c r="AS38" s="19">
        <f t="shared" si="17"/>
        <v>81.893336231026012</v>
      </c>
      <c r="AT38" s="19">
        <f t="shared" si="18"/>
        <v>84.535056754607496</v>
      </c>
      <c r="AU38" s="19">
        <f t="shared" si="19"/>
        <v>81.893336231026012</v>
      </c>
      <c r="AV38" s="19">
        <f t="shared" si="20"/>
        <v>81.893336231026012</v>
      </c>
      <c r="AW38" s="19">
        <f t="shared" si="21"/>
        <v>81.893336231026012</v>
      </c>
      <c r="AX38" s="18">
        <f>IFERROR(Z38/'Ar-Pa'!B38,0)</f>
        <v>9.0992595812251125</v>
      </c>
      <c r="AY38" s="18">
        <f>IFERROR(AA38/'Ar-Pa'!C38,0)</f>
        <v>9.3927840838452781</v>
      </c>
      <c r="AZ38" s="18">
        <f>IFERROR(AB38/'Ar-Pa'!D38,0)</f>
        <v>10.944270740551863</v>
      </c>
      <c r="BA38" s="18">
        <f>IFERROR(AC38/'Ar-Pa'!E38,0)</f>
        <v>10.566882094325937</v>
      </c>
      <c r="BB38" s="18">
        <f>IFERROR(AD38/'Ar-Pa'!F38,0)</f>
        <v>1.7611470157209894</v>
      </c>
      <c r="BC38" s="18">
        <f>IFERROR(AE38/'Ar-Pa'!G38,0)</f>
        <v>0</v>
      </c>
      <c r="BD38" s="18">
        <f>IFERROR(AF38/'Ar-Pa'!H38,0)</f>
        <v>5.2834410471629685</v>
      </c>
      <c r="BE38" s="18">
        <f>IFERROR(AG38/'Ar-Pa'!I38,0)</f>
        <v>10.566882094325937</v>
      </c>
      <c r="BF38" s="18">
        <f>IFERROR(AH38/'Ar-Pa'!J38,0)</f>
        <v>8.3025502169703795</v>
      </c>
      <c r="BG38" s="18">
        <f>IFERROR(AI38/'Ar-Pa'!K38,0)</f>
        <v>8.8057350786049469</v>
      </c>
      <c r="BH38" s="18">
        <f>IFERROR(AJ38/'Ar-Pa'!L38,0)</f>
        <v>9.0992595812251125</v>
      </c>
      <c r="BI38" s="18">
        <f>IFERROR(AK38/'Ar-Pa'!M38,0)</f>
        <v>9.0992595812251125</v>
      </c>
      <c r="BJ38" s="18">
        <f>IFERROR(AL38/'Ar-Pa'!N38,0)</f>
        <v>9.3927840838452781</v>
      </c>
      <c r="BK38" s="18">
        <f>IFERROR(AM38/'Ar-Pa'!O38,0)</f>
        <v>9.0992595812251125</v>
      </c>
      <c r="BL38" s="18">
        <f>IFERROR(AN38/'Ar-Pa'!P38,0)</f>
        <v>9.0992595812251125</v>
      </c>
      <c r="BM38" s="18">
        <f>IFERROR(AO38/'Ar-Pa'!Q38,0)</f>
        <v>9.3927840838452781</v>
      </c>
      <c r="BN38" s="18">
        <f>IFERROR(AP38/'Ar-Pa'!R38,0)</f>
        <v>9.3927840838452781</v>
      </c>
      <c r="BO38" s="18">
        <f>IFERROR(AQ38/'Ar-Pa'!S38,0)</f>
        <v>9.3927840838452781</v>
      </c>
      <c r="BP38" s="18">
        <f>IFERROR(AR38/'Ar-Pa'!T38,0)</f>
        <v>9.0992595812251125</v>
      </c>
      <c r="BQ38" s="18">
        <f>IFERROR(AS38/'Ar-Pa'!U38,0)</f>
        <v>9.0992595812251125</v>
      </c>
      <c r="BR38" s="18">
        <f>IFERROR(AT38/'Ar-Pa'!V38,0)</f>
        <v>9.3927840838452781</v>
      </c>
      <c r="BS38" s="18">
        <f>IFERROR(AU38/'Ar-Pa'!W38,0)</f>
        <v>9.0992595812251125</v>
      </c>
      <c r="BT38" s="18">
        <f>IFERROR(AV38/'Ar-Pa'!X38,0)</f>
        <v>9.0992595812251125</v>
      </c>
      <c r="BU38" s="18">
        <f>IFERROR(AW38/'Ar-Pa'!Y38,0)</f>
        <v>9.0992595812251125</v>
      </c>
    </row>
    <row r="39" spans="1:73" s="12" customFormat="1" ht="15">
      <c r="A39" s="15">
        <v>44964</v>
      </c>
      <c r="B39" s="441">
        <v>0.31</v>
      </c>
      <c r="C39" s="441">
        <v>0.31</v>
      </c>
      <c r="D39" s="441">
        <v>0.31</v>
      </c>
      <c r="E39" s="441">
        <v>0.3</v>
      </c>
      <c r="F39" s="441">
        <v>0.32</v>
      </c>
      <c r="G39" s="441">
        <v>0.31</v>
      </c>
      <c r="H39" s="441">
        <v>0.3</v>
      </c>
      <c r="I39" s="441">
        <v>0.31</v>
      </c>
      <c r="J39" s="441">
        <v>0.31</v>
      </c>
      <c r="K39" s="441">
        <v>0.31</v>
      </c>
      <c r="L39" s="441">
        <v>0.31</v>
      </c>
      <c r="M39" s="441">
        <v>0.31</v>
      </c>
      <c r="N39" s="441">
        <v>0.32</v>
      </c>
      <c r="O39" s="441">
        <v>0.32</v>
      </c>
      <c r="P39" s="441">
        <v>0.3</v>
      </c>
      <c r="Q39" s="441">
        <v>0.31</v>
      </c>
      <c r="R39" s="441">
        <v>0.3</v>
      </c>
      <c r="S39" s="441">
        <v>0.3</v>
      </c>
      <c r="T39" s="441">
        <v>0.32</v>
      </c>
      <c r="U39" s="441">
        <v>0.31</v>
      </c>
      <c r="V39" s="441">
        <v>0.3</v>
      </c>
      <c r="W39" s="441">
        <v>0.31</v>
      </c>
      <c r="X39" s="441">
        <v>0.31</v>
      </c>
      <c r="Y39" s="441">
        <v>0.31</v>
      </c>
      <c r="Z39" s="19">
        <f t="shared" si="22"/>
        <v>81.893336231026012</v>
      </c>
      <c r="AA39" s="19">
        <f t="shared" si="23"/>
        <v>81.893336231026012</v>
      </c>
      <c r="AB39" s="19">
        <f t="shared" si="0"/>
        <v>81.893336231026012</v>
      </c>
      <c r="AC39" s="19">
        <f t="shared" si="1"/>
        <v>79.251615707444529</v>
      </c>
      <c r="AD39" s="19">
        <f t="shared" si="2"/>
        <v>84.535056754607496</v>
      </c>
      <c r="AE39" s="19">
        <f t="shared" si="3"/>
        <v>81.893336231026012</v>
      </c>
      <c r="AF39" s="19">
        <f t="shared" si="4"/>
        <v>79.251615707444529</v>
      </c>
      <c r="AG39" s="19">
        <f t="shared" si="5"/>
        <v>81.893336231026012</v>
      </c>
      <c r="AH39" s="19">
        <f t="shared" si="6"/>
        <v>81.893336231026012</v>
      </c>
      <c r="AI39" s="19">
        <f t="shared" si="7"/>
        <v>81.893336231026012</v>
      </c>
      <c r="AJ39" s="19">
        <f t="shared" si="8"/>
        <v>81.893336231026012</v>
      </c>
      <c r="AK39" s="19">
        <f t="shared" si="9"/>
        <v>81.893336231026012</v>
      </c>
      <c r="AL39" s="19">
        <f t="shared" si="10"/>
        <v>84.535056754607496</v>
      </c>
      <c r="AM39" s="19">
        <f t="shared" si="11"/>
        <v>84.535056754607496</v>
      </c>
      <c r="AN39" s="19">
        <f t="shared" si="12"/>
        <v>79.251615707444529</v>
      </c>
      <c r="AO39" s="19">
        <f t="shared" si="13"/>
        <v>81.893336231026012</v>
      </c>
      <c r="AP39" s="19">
        <f t="shared" si="14"/>
        <v>79.251615707444529</v>
      </c>
      <c r="AQ39" s="19">
        <f t="shared" si="15"/>
        <v>79.251615707444529</v>
      </c>
      <c r="AR39" s="19">
        <f t="shared" si="16"/>
        <v>84.535056754607496</v>
      </c>
      <c r="AS39" s="19">
        <f t="shared" si="17"/>
        <v>81.893336231026012</v>
      </c>
      <c r="AT39" s="19">
        <f t="shared" si="18"/>
        <v>79.251615707444529</v>
      </c>
      <c r="AU39" s="19">
        <f t="shared" si="19"/>
        <v>81.893336231026012</v>
      </c>
      <c r="AV39" s="19">
        <f t="shared" si="20"/>
        <v>81.893336231026012</v>
      </c>
      <c r="AW39" s="19">
        <f t="shared" si="21"/>
        <v>81.893336231026012</v>
      </c>
      <c r="AX39" s="18">
        <f>IFERROR(Z39/'Ar-Pa'!B39,0)</f>
        <v>9.0992595812251125</v>
      </c>
      <c r="AY39" s="18">
        <f>IFERROR(AA39/'Ar-Pa'!C39,0)</f>
        <v>9.0992595812251125</v>
      </c>
      <c r="AZ39" s="18">
        <f>IFERROR(AB39/'Ar-Pa'!D39,0)</f>
        <v>9.0992595812251125</v>
      </c>
      <c r="BA39" s="18">
        <f>IFERROR(AC39/'Ar-Pa'!E39,0)</f>
        <v>9.9064519634305661</v>
      </c>
      <c r="BB39" s="18">
        <f>IFERROR(AD39/'Ar-Pa'!F39,0)</f>
        <v>10.566882094325937</v>
      </c>
      <c r="BC39" s="18">
        <f>IFERROR(AE39/'Ar-Pa'!G39,0)</f>
        <v>10.236667028878252</v>
      </c>
      <c r="BD39" s="18">
        <f>IFERROR(AF39/'Ar-Pa'!H39,0)</f>
        <v>9.9064519634305661</v>
      </c>
      <c r="BE39" s="18">
        <f>IFERROR(AG39/'Ar-Pa'!I39,0)</f>
        <v>10.236667028878252</v>
      </c>
      <c r="BF39" s="18">
        <f>IFERROR(AH39/'Ar-Pa'!J39,0)</f>
        <v>10.236667028878252</v>
      </c>
      <c r="BG39" s="18">
        <f>IFERROR(AI39/'Ar-Pa'!K39,0)</f>
        <v>10.236667028878252</v>
      </c>
      <c r="BH39" s="18">
        <f>IFERROR(AJ39/'Ar-Pa'!L39,0)</f>
        <v>9.0992595812251125</v>
      </c>
      <c r="BI39" s="18">
        <f>IFERROR(AK39/'Ar-Pa'!M39,0)</f>
        <v>9.0992595812251125</v>
      </c>
      <c r="BJ39" s="18">
        <f>IFERROR(AL39/'Ar-Pa'!N39,0)</f>
        <v>9.3927840838452781</v>
      </c>
      <c r="BK39" s="18">
        <f>IFERROR(AM39/'Ar-Pa'!O39,0)</f>
        <v>9.3927840838452781</v>
      </c>
      <c r="BL39" s="18">
        <f>IFERROR(AN39/'Ar-Pa'!P39,0)</f>
        <v>8.8057350786049469</v>
      </c>
      <c r="BM39" s="18">
        <f>IFERROR(AO39/'Ar-Pa'!Q39,0)</f>
        <v>9.0992595812251125</v>
      </c>
      <c r="BN39" s="18">
        <f>IFERROR(AP39/'Ar-Pa'!R39,0)</f>
        <v>8.8057350786049469</v>
      </c>
      <c r="BO39" s="18">
        <f>IFERROR(AQ39/'Ar-Pa'!S39,0)</f>
        <v>8.8057350786049469</v>
      </c>
      <c r="BP39" s="18">
        <f>IFERROR(AR39/'Ar-Pa'!T39,0)</f>
        <v>9.3927840838452781</v>
      </c>
      <c r="BQ39" s="18">
        <f>IFERROR(AS39/'Ar-Pa'!U39,0)</f>
        <v>9.0992595812251125</v>
      </c>
      <c r="BR39" s="18">
        <f>IFERROR(AT39/'Ar-Pa'!V39,0)</f>
        <v>8.8057350786049469</v>
      </c>
      <c r="BS39" s="18">
        <f>IFERROR(AU39/'Ar-Pa'!W39,0)</f>
        <v>9.0992595812251125</v>
      </c>
      <c r="BT39" s="18">
        <f>IFERROR(AV39/'Ar-Pa'!X39,0)</f>
        <v>9.0992595812251125</v>
      </c>
      <c r="BU39" s="18">
        <f>IFERROR(AW39/'Ar-Pa'!Y39,0)</f>
        <v>9.0992595812251125</v>
      </c>
    </row>
    <row r="40" spans="1:73" s="12" customFormat="1" ht="15">
      <c r="A40" s="15">
        <v>44965</v>
      </c>
      <c r="B40" s="441">
        <v>0.27</v>
      </c>
      <c r="C40" s="441">
        <v>0.27</v>
      </c>
      <c r="D40" s="441">
        <v>0.28000000000000003</v>
      </c>
      <c r="E40" s="441">
        <v>0.27</v>
      </c>
      <c r="F40" s="441">
        <v>0.28000000000000003</v>
      </c>
      <c r="G40" s="441">
        <v>0.27</v>
      </c>
      <c r="H40" s="441">
        <v>0.28000000000000003</v>
      </c>
      <c r="I40" s="441">
        <v>0.27</v>
      </c>
      <c r="J40" s="441">
        <v>0.27</v>
      </c>
      <c r="K40" s="441">
        <v>0.28000000000000003</v>
      </c>
      <c r="L40" s="441">
        <v>0.27</v>
      </c>
      <c r="M40" s="441">
        <v>0.27</v>
      </c>
      <c r="N40" s="441">
        <v>0.27</v>
      </c>
      <c r="O40" s="441">
        <v>0.27</v>
      </c>
      <c r="P40" s="441">
        <v>0.27</v>
      </c>
      <c r="Q40" s="441">
        <v>0.27</v>
      </c>
      <c r="R40" s="441">
        <v>0.28000000000000003</v>
      </c>
      <c r="S40" s="441">
        <v>0.27</v>
      </c>
      <c r="T40" s="441">
        <v>0.27</v>
      </c>
      <c r="U40" s="441">
        <v>0.28999999999999998</v>
      </c>
      <c r="V40" s="441">
        <v>0.27</v>
      </c>
      <c r="W40" s="441">
        <v>0.27</v>
      </c>
      <c r="X40" s="441">
        <v>0.27</v>
      </c>
      <c r="Y40" s="441">
        <v>0.28000000000000003</v>
      </c>
      <c r="Z40" s="19">
        <f t="shared" si="22"/>
        <v>71.326454136700079</v>
      </c>
      <c r="AA40" s="19">
        <f t="shared" si="23"/>
        <v>71.326454136700079</v>
      </c>
      <c r="AB40" s="19">
        <f t="shared" si="0"/>
        <v>73.968174660281562</v>
      </c>
      <c r="AC40" s="19">
        <f t="shared" si="1"/>
        <v>71.326454136700079</v>
      </c>
      <c r="AD40" s="19">
        <f t="shared" si="2"/>
        <v>73.968174660281562</v>
      </c>
      <c r="AE40" s="19">
        <f t="shared" si="3"/>
        <v>71.326454136700079</v>
      </c>
      <c r="AF40" s="19">
        <f t="shared" si="4"/>
        <v>73.968174660281562</v>
      </c>
      <c r="AG40" s="19">
        <f t="shared" si="5"/>
        <v>71.326454136700079</v>
      </c>
      <c r="AH40" s="19">
        <f t="shared" si="6"/>
        <v>71.326454136700079</v>
      </c>
      <c r="AI40" s="19">
        <f t="shared" si="7"/>
        <v>73.968174660281562</v>
      </c>
      <c r="AJ40" s="19">
        <f t="shared" si="8"/>
        <v>71.326454136700079</v>
      </c>
      <c r="AK40" s="19">
        <f t="shared" si="9"/>
        <v>71.326454136700079</v>
      </c>
      <c r="AL40" s="19">
        <f t="shared" si="10"/>
        <v>71.326454136700079</v>
      </c>
      <c r="AM40" s="19">
        <f t="shared" si="11"/>
        <v>71.326454136700079</v>
      </c>
      <c r="AN40" s="19">
        <f t="shared" si="12"/>
        <v>71.326454136700079</v>
      </c>
      <c r="AO40" s="19">
        <f t="shared" si="13"/>
        <v>71.326454136700079</v>
      </c>
      <c r="AP40" s="19">
        <f t="shared" si="14"/>
        <v>73.968174660281562</v>
      </c>
      <c r="AQ40" s="19">
        <f t="shared" si="15"/>
        <v>71.326454136700079</v>
      </c>
      <c r="AR40" s="19">
        <f t="shared" si="16"/>
        <v>71.326454136700079</v>
      </c>
      <c r="AS40" s="19">
        <f t="shared" si="17"/>
        <v>76.609895183863046</v>
      </c>
      <c r="AT40" s="19">
        <f t="shared" si="18"/>
        <v>71.326454136700079</v>
      </c>
      <c r="AU40" s="19">
        <f t="shared" si="19"/>
        <v>71.326454136700079</v>
      </c>
      <c r="AV40" s="19">
        <f t="shared" si="20"/>
        <v>71.326454136700079</v>
      </c>
      <c r="AW40" s="19">
        <f t="shared" si="21"/>
        <v>73.968174660281562</v>
      </c>
      <c r="AX40" s="18">
        <f>IFERROR(Z40/'Ar-Pa'!B40,0)</f>
        <v>7.9251615707444536</v>
      </c>
      <c r="AY40" s="18">
        <f>IFERROR(AA40/'Ar-Pa'!C40,0)</f>
        <v>7.9251615707444536</v>
      </c>
      <c r="AZ40" s="18">
        <f>IFERROR(AB40/'Ar-Pa'!D40,0)</f>
        <v>8.2186860733646174</v>
      </c>
      <c r="BA40" s="18">
        <f>IFERROR(AC40/'Ar-Pa'!E40,0)</f>
        <v>7.9251615707444536</v>
      </c>
      <c r="BB40" s="18">
        <f>IFERROR(AD40/'Ar-Pa'!F40,0)</f>
        <v>9.2460218325351953</v>
      </c>
      <c r="BC40" s="18">
        <f>IFERROR(AE40/'Ar-Pa'!G40,0)</f>
        <v>7.9251615707444536</v>
      </c>
      <c r="BD40" s="18">
        <f>IFERROR(AF40/'Ar-Pa'!H40,0)</f>
        <v>9.2460218325351953</v>
      </c>
      <c r="BE40" s="18">
        <f>IFERROR(AG40/'Ar-Pa'!I40,0)</f>
        <v>8.9158067670875099</v>
      </c>
      <c r="BF40" s="18">
        <f>IFERROR(AH40/'Ar-Pa'!J40,0)</f>
        <v>8.9158067670875099</v>
      </c>
      <c r="BG40" s="18">
        <f>IFERROR(AI40/'Ar-Pa'!K40,0)</f>
        <v>9.2460218325351953</v>
      </c>
      <c r="BH40" s="18">
        <f>IFERROR(AJ40/'Ar-Pa'!L40,0)</f>
        <v>7.9251615707444536</v>
      </c>
      <c r="BI40" s="18">
        <f>IFERROR(AK40/'Ar-Pa'!M40,0)</f>
        <v>7.9251615707444536</v>
      </c>
      <c r="BJ40" s="18">
        <f>IFERROR(AL40/'Ar-Pa'!N40,0)</f>
        <v>7.9251615707444536</v>
      </c>
      <c r="BK40" s="18">
        <f>IFERROR(AM40/'Ar-Pa'!O40,0)</f>
        <v>7.9251615707444536</v>
      </c>
      <c r="BL40" s="18">
        <f>IFERROR(AN40/'Ar-Pa'!P40,0)</f>
        <v>7.9251615707444536</v>
      </c>
      <c r="BM40" s="18">
        <f>IFERROR(AO40/'Ar-Pa'!Q40,0)</f>
        <v>7.9251615707444536</v>
      </c>
      <c r="BN40" s="18">
        <f>IFERROR(AP40/'Ar-Pa'!R40,0)</f>
        <v>8.2186860733646174</v>
      </c>
      <c r="BO40" s="18">
        <f>IFERROR(AQ40/'Ar-Pa'!S40,0)</f>
        <v>7.9251615707444536</v>
      </c>
      <c r="BP40" s="18">
        <f>IFERROR(AR40/'Ar-Pa'!T40,0)</f>
        <v>7.9251615707444536</v>
      </c>
      <c r="BQ40" s="18">
        <f>IFERROR(AS40/'Ar-Pa'!U40,0)</f>
        <v>8.512210575984783</v>
      </c>
      <c r="BR40" s="18">
        <f>IFERROR(AT40/'Ar-Pa'!V40,0)</f>
        <v>7.9251615707444536</v>
      </c>
      <c r="BS40" s="18">
        <f>IFERROR(AU40/'Ar-Pa'!W40,0)</f>
        <v>7.9251615707444536</v>
      </c>
      <c r="BT40" s="18">
        <f>IFERROR(AV40/'Ar-Pa'!X40,0)</f>
        <v>7.9251615707444536</v>
      </c>
      <c r="BU40" s="18">
        <f>IFERROR(AW40/'Ar-Pa'!Y40,0)</f>
        <v>8.2186860733646174</v>
      </c>
    </row>
    <row r="41" spans="1:73" s="12" customFormat="1" ht="15">
      <c r="A41" s="15">
        <v>44966</v>
      </c>
      <c r="B41" s="441">
        <v>0.31</v>
      </c>
      <c r="C41" s="441">
        <v>0.3</v>
      </c>
      <c r="D41" s="441">
        <v>0.31</v>
      </c>
      <c r="E41" s="441">
        <v>0.31</v>
      </c>
      <c r="F41" s="441">
        <v>0.31</v>
      </c>
      <c r="G41" s="441">
        <v>0.31</v>
      </c>
      <c r="H41" s="441">
        <v>0.31</v>
      </c>
      <c r="I41" s="441">
        <v>0.31</v>
      </c>
      <c r="J41" s="441">
        <v>0.31</v>
      </c>
      <c r="K41" s="441">
        <v>0.32</v>
      </c>
      <c r="L41" s="441">
        <v>0.3</v>
      </c>
      <c r="M41" s="441">
        <v>0.31</v>
      </c>
      <c r="N41" s="441">
        <v>0.31</v>
      </c>
      <c r="O41" s="441">
        <v>0.31</v>
      </c>
      <c r="P41" s="441">
        <v>0.31</v>
      </c>
      <c r="Q41" s="441">
        <v>0.31</v>
      </c>
      <c r="R41" s="441">
        <v>0.31</v>
      </c>
      <c r="S41" s="441">
        <v>0.31</v>
      </c>
      <c r="T41" s="441">
        <v>0.31</v>
      </c>
      <c r="U41" s="441">
        <v>0.3</v>
      </c>
      <c r="V41" s="441">
        <v>0.31</v>
      </c>
      <c r="W41" s="441">
        <v>0.32</v>
      </c>
      <c r="X41" s="441">
        <v>0.3</v>
      </c>
      <c r="Y41" s="441">
        <v>0.31</v>
      </c>
      <c r="Z41" s="19">
        <f t="shared" si="22"/>
        <v>81.893336231026012</v>
      </c>
      <c r="AA41" s="19">
        <f t="shared" si="23"/>
        <v>79.251615707444529</v>
      </c>
      <c r="AB41" s="19">
        <f t="shared" si="0"/>
        <v>81.893336231026012</v>
      </c>
      <c r="AC41" s="19">
        <f t="shared" si="1"/>
        <v>81.893336231026012</v>
      </c>
      <c r="AD41" s="19">
        <f t="shared" si="2"/>
        <v>81.893336231026012</v>
      </c>
      <c r="AE41" s="19">
        <f t="shared" si="3"/>
        <v>81.893336231026012</v>
      </c>
      <c r="AF41" s="19">
        <f t="shared" si="4"/>
        <v>81.893336231026012</v>
      </c>
      <c r="AG41" s="19">
        <f t="shared" si="5"/>
        <v>81.893336231026012</v>
      </c>
      <c r="AH41" s="19">
        <f t="shared" si="6"/>
        <v>81.893336231026012</v>
      </c>
      <c r="AI41" s="19">
        <f t="shared" si="7"/>
        <v>84.535056754607496</v>
      </c>
      <c r="AJ41" s="19">
        <f t="shared" si="8"/>
        <v>79.251615707444529</v>
      </c>
      <c r="AK41" s="19">
        <f t="shared" si="9"/>
        <v>81.893336231026012</v>
      </c>
      <c r="AL41" s="19">
        <f t="shared" si="10"/>
        <v>81.893336231026012</v>
      </c>
      <c r="AM41" s="19">
        <f t="shared" si="11"/>
        <v>81.893336231026012</v>
      </c>
      <c r="AN41" s="19">
        <f t="shared" si="12"/>
        <v>81.893336231026012</v>
      </c>
      <c r="AO41" s="19">
        <f t="shared" si="13"/>
        <v>81.893336231026012</v>
      </c>
      <c r="AP41" s="19">
        <f t="shared" si="14"/>
        <v>81.893336231026012</v>
      </c>
      <c r="AQ41" s="19">
        <f t="shared" si="15"/>
        <v>81.893336231026012</v>
      </c>
      <c r="AR41" s="19">
        <f t="shared" si="16"/>
        <v>81.893336231026012</v>
      </c>
      <c r="AS41" s="19">
        <f t="shared" si="17"/>
        <v>79.251615707444529</v>
      </c>
      <c r="AT41" s="19">
        <f t="shared" si="18"/>
        <v>81.893336231026012</v>
      </c>
      <c r="AU41" s="19">
        <f t="shared" si="19"/>
        <v>84.535056754607496</v>
      </c>
      <c r="AV41" s="19">
        <f t="shared" si="20"/>
        <v>79.251615707444529</v>
      </c>
      <c r="AW41" s="19">
        <f t="shared" si="21"/>
        <v>81.893336231026012</v>
      </c>
      <c r="AX41" s="18">
        <f>IFERROR(Z41/'Ar-Pa'!B41,0)</f>
        <v>9.0992595812251125</v>
      </c>
      <c r="AY41" s="18">
        <f>IFERROR(AA41/'Ar-Pa'!C41,0)</f>
        <v>8.8057350786049469</v>
      </c>
      <c r="AZ41" s="18">
        <f>IFERROR(AB41/'Ar-Pa'!D41,0)</f>
        <v>9.0992595812251125</v>
      </c>
      <c r="BA41" s="18">
        <f>IFERROR(AC41/'Ar-Pa'!E41,0)</f>
        <v>9.0992595812251125</v>
      </c>
      <c r="BB41" s="18">
        <f>IFERROR(AD41/'Ar-Pa'!F41,0)</f>
        <v>9.0992595812251125</v>
      </c>
      <c r="BC41" s="18">
        <f>IFERROR(AE41/'Ar-Pa'!G41,0)</f>
        <v>10.236667028878252</v>
      </c>
      <c r="BD41" s="18">
        <f>IFERROR(AF41/'Ar-Pa'!H41,0)</f>
        <v>10.236667028878252</v>
      </c>
      <c r="BE41" s="18">
        <f>IFERROR(AG41/'Ar-Pa'!I41,0)</f>
        <v>10.236667028878252</v>
      </c>
      <c r="BF41" s="18">
        <f>IFERROR(AH41/'Ar-Pa'!J41,0)</f>
        <v>10.236667028878252</v>
      </c>
      <c r="BG41" s="18">
        <f>IFERROR(AI41/'Ar-Pa'!K41,0)</f>
        <v>9.3927840838452781</v>
      </c>
      <c r="BH41" s="18">
        <f>IFERROR(AJ41/'Ar-Pa'!L41,0)</f>
        <v>8.8057350786049469</v>
      </c>
      <c r="BI41" s="18">
        <f>IFERROR(AK41/'Ar-Pa'!M41,0)</f>
        <v>9.0992595812251125</v>
      </c>
      <c r="BJ41" s="18">
        <f>IFERROR(AL41/'Ar-Pa'!N41,0)</f>
        <v>9.0992595812251125</v>
      </c>
      <c r="BK41" s="18">
        <f>IFERROR(AM41/'Ar-Pa'!O41,0)</f>
        <v>9.0992595812251125</v>
      </c>
      <c r="BL41" s="18">
        <f>IFERROR(AN41/'Ar-Pa'!P41,0)</f>
        <v>9.0992595812251125</v>
      </c>
      <c r="BM41" s="18">
        <f>IFERROR(AO41/'Ar-Pa'!Q41,0)</f>
        <v>9.0992595812251125</v>
      </c>
      <c r="BN41" s="18">
        <f>IFERROR(AP41/'Ar-Pa'!R41,0)</f>
        <v>9.0992595812251125</v>
      </c>
      <c r="BO41" s="18">
        <f>IFERROR(AQ41/'Ar-Pa'!S41,0)</f>
        <v>9.0992595812251125</v>
      </c>
      <c r="BP41" s="18">
        <f>IFERROR(AR41/'Ar-Pa'!T41,0)</f>
        <v>9.0992595812251125</v>
      </c>
      <c r="BQ41" s="18">
        <f>IFERROR(AS41/'Ar-Pa'!U41,0)</f>
        <v>8.8057350786049469</v>
      </c>
      <c r="BR41" s="18">
        <f>IFERROR(AT41/'Ar-Pa'!V41,0)</f>
        <v>9.0992595812251125</v>
      </c>
      <c r="BS41" s="18">
        <f>IFERROR(AU41/'Ar-Pa'!W41,0)</f>
        <v>9.3927840838452781</v>
      </c>
      <c r="BT41" s="18">
        <f>IFERROR(AV41/'Ar-Pa'!X41,0)</f>
        <v>8.8057350786049469</v>
      </c>
      <c r="BU41" s="18">
        <f>IFERROR(AW41/'Ar-Pa'!Y41,0)</f>
        <v>9.0992595812251125</v>
      </c>
    </row>
    <row r="42" spans="1:73" s="12" customFormat="1" ht="15">
      <c r="A42" s="15">
        <v>44967</v>
      </c>
      <c r="B42" s="441">
        <v>0.31</v>
      </c>
      <c r="C42" s="441">
        <v>0.3</v>
      </c>
      <c r="D42" s="441">
        <v>0.3</v>
      </c>
      <c r="E42" s="441">
        <v>0.31</v>
      </c>
      <c r="F42" s="441">
        <v>0.3</v>
      </c>
      <c r="G42" s="441">
        <v>0.3</v>
      </c>
      <c r="H42" s="441">
        <v>0.3</v>
      </c>
      <c r="I42" s="441">
        <v>0.31</v>
      </c>
      <c r="J42" s="441">
        <v>0.3</v>
      </c>
      <c r="K42" s="441">
        <v>0.31</v>
      </c>
      <c r="L42" s="441">
        <v>0.3</v>
      </c>
      <c r="M42" s="441">
        <v>0.3</v>
      </c>
      <c r="N42" s="441">
        <v>0.3</v>
      </c>
      <c r="O42" s="441">
        <v>0.31</v>
      </c>
      <c r="P42" s="441">
        <v>0.31</v>
      </c>
      <c r="Q42" s="441">
        <v>0.3</v>
      </c>
      <c r="R42" s="441">
        <v>0.3</v>
      </c>
      <c r="S42" s="441">
        <v>0.3</v>
      </c>
      <c r="T42" s="441">
        <v>0.31</v>
      </c>
      <c r="U42" s="441">
        <v>0.31</v>
      </c>
      <c r="V42" s="441">
        <v>0.28999999999999998</v>
      </c>
      <c r="W42" s="441">
        <v>0.31</v>
      </c>
      <c r="X42" s="441">
        <v>0.3</v>
      </c>
      <c r="Y42" s="441">
        <v>0.31</v>
      </c>
      <c r="Z42" s="19">
        <f t="shared" si="22"/>
        <v>81.893336231026012</v>
      </c>
      <c r="AA42" s="19">
        <f t="shared" si="23"/>
        <v>79.251615707444529</v>
      </c>
      <c r="AB42" s="19">
        <f t="shared" si="0"/>
        <v>79.251615707444529</v>
      </c>
      <c r="AC42" s="19">
        <f t="shared" si="1"/>
        <v>81.893336231026012</v>
      </c>
      <c r="AD42" s="19">
        <f t="shared" si="2"/>
        <v>79.251615707444529</v>
      </c>
      <c r="AE42" s="19">
        <f t="shared" si="3"/>
        <v>79.251615707444529</v>
      </c>
      <c r="AF42" s="19">
        <f t="shared" si="4"/>
        <v>79.251615707444529</v>
      </c>
      <c r="AG42" s="19">
        <f t="shared" si="5"/>
        <v>81.893336231026012</v>
      </c>
      <c r="AH42" s="19">
        <f t="shared" si="6"/>
        <v>79.251615707444529</v>
      </c>
      <c r="AI42" s="19">
        <f t="shared" si="7"/>
        <v>81.893336231026012</v>
      </c>
      <c r="AJ42" s="19">
        <f t="shared" si="8"/>
        <v>79.251615707444529</v>
      </c>
      <c r="AK42" s="19">
        <f t="shared" si="9"/>
        <v>79.251615707444529</v>
      </c>
      <c r="AL42" s="19">
        <f t="shared" si="10"/>
        <v>79.251615707444529</v>
      </c>
      <c r="AM42" s="19">
        <f t="shared" si="11"/>
        <v>81.893336231026012</v>
      </c>
      <c r="AN42" s="19">
        <f t="shared" si="12"/>
        <v>81.893336231026012</v>
      </c>
      <c r="AO42" s="19">
        <f t="shared" si="13"/>
        <v>79.251615707444529</v>
      </c>
      <c r="AP42" s="19">
        <f t="shared" si="14"/>
        <v>79.251615707444529</v>
      </c>
      <c r="AQ42" s="19">
        <f t="shared" si="15"/>
        <v>79.251615707444529</v>
      </c>
      <c r="AR42" s="19">
        <f t="shared" si="16"/>
        <v>81.893336231026012</v>
      </c>
      <c r="AS42" s="19">
        <f t="shared" si="17"/>
        <v>81.893336231026012</v>
      </c>
      <c r="AT42" s="19">
        <f t="shared" si="18"/>
        <v>76.609895183863046</v>
      </c>
      <c r="AU42" s="19">
        <f t="shared" si="19"/>
        <v>81.893336231026012</v>
      </c>
      <c r="AV42" s="19">
        <f t="shared" si="20"/>
        <v>79.251615707444529</v>
      </c>
      <c r="AW42" s="19">
        <f t="shared" si="21"/>
        <v>81.893336231026012</v>
      </c>
      <c r="AX42" s="18">
        <f>IFERROR(Z42/'Ar-Pa'!B42,0)</f>
        <v>9.0992595812251125</v>
      </c>
      <c r="AY42" s="18">
        <f>IFERROR(AA42/'Ar-Pa'!C42,0)</f>
        <v>8.8057350786049469</v>
      </c>
      <c r="AZ42" s="18">
        <f>IFERROR(AB42/'Ar-Pa'!D42,0)</f>
        <v>8.8057350786049469</v>
      </c>
      <c r="BA42" s="18">
        <f>IFERROR(AC42/'Ar-Pa'!E42,0)</f>
        <v>9.0992595812251125</v>
      </c>
      <c r="BB42" s="18">
        <f>IFERROR(AD42/'Ar-Pa'!F42,0)</f>
        <v>8.8057350786049469</v>
      </c>
      <c r="BC42" s="18">
        <f>IFERROR(AE42/'Ar-Pa'!G42,0)</f>
        <v>9.9064519634305661</v>
      </c>
      <c r="BD42" s="18">
        <f>IFERROR(AF42/'Ar-Pa'!H42,0)</f>
        <v>8.8057350786049469</v>
      </c>
      <c r="BE42" s="18">
        <f>IFERROR(AG42/'Ar-Pa'!I42,0)</f>
        <v>10.236667028878252</v>
      </c>
      <c r="BF42" s="18">
        <f>IFERROR(AH42/'Ar-Pa'!J42,0)</f>
        <v>8.8057350786049469</v>
      </c>
      <c r="BG42" s="18">
        <f>IFERROR(AI42/'Ar-Pa'!K42,0)</f>
        <v>9.0992595812251125</v>
      </c>
      <c r="BH42" s="18">
        <f>IFERROR(AJ42/'Ar-Pa'!L42,0)</f>
        <v>8.8057350786049469</v>
      </c>
      <c r="BI42" s="18">
        <f>IFERROR(AK42/'Ar-Pa'!M42,0)</f>
        <v>8.8057350786049469</v>
      </c>
      <c r="BJ42" s="18">
        <f>IFERROR(AL42/'Ar-Pa'!N42,0)</f>
        <v>8.8057350786049469</v>
      </c>
      <c r="BK42" s="18">
        <f>IFERROR(AM42/'Ar-Pa'!O42,0)</f>
        <v>9.0992595812251125</v>
      </c>
      <c r="BL42" s="18">
        <f>IFERROR(AN42/'Ar-Pa'!P42,0)</f>
        <v>9.0992595812251125</v>
      </c>
      <c r="BM42" s="18">
        <f>IFERROR(AO42/'Ar-Pa'!Q42,0)</f>
        <v>8.8057350786049469</v>
      </c>
      <c r="BN42" s="18">
        <f>IFERROR(AP42/'Ar-Pa'!R42,0)</f>
        <v>8.8057350786049469</v>
      </c>
      <c r="BO42" s="18">
        <f>IFERROR(AQ42/'Ar-Pa'!S42,0)</f>
        <v>8.8057350786049469</v>
      </c>
      <c r="BP42" s="18">
        <f>IFERROR(AR42/'Ar-Pa'!T42,0)</f>
        <v>9.0992595812251125</v>
      </c>
      <c r="BQ42" s="18">
        <f>IFERROR(AS42/'Ar-Pa'!U42,0)</f>
        <v>9.0992595812251125</v>
      </c>
      <c r="BR42" s="18">
        <f>IFERROR(AT42/'Ar-Pa'!V42,0)</f>
        <v>8.512210575984783</v>
      </c>
      <c r="BS42" s="18">
        <f>IFERROR(AU42/'Ar-Pa'!W42,0)</f>
        <v>9.0992595812251125</v>
      </c>
      <c r="BT42" s="18">
        <f>IFERROR(AV42/'Ar-Pa'!X42,0)</f>
        <v>8.8057350786049469</v>
      </c>
      <c r="BU42" s="18">
        <f>IFERROR(AW42/'Ar-Pa'!Y42,0)</f>
        <v>9.0992595812251125</v>
      </c>
    </row>
    <row r="43" spans="1:73" s="12" customFormat="1" ht="15">
      <c r="A43" s="15">
        <v>44968</v>
      </c>
      <c r="B43" s="441">
        <v>0.31</v>
      </c>
      <c r="C43" s="441">
        <v>0.31</v>
      </c>
      <c r="D43" s="441">
        <v>0.32</v>
      </c>
      <c r="E43" s="441">
        <v>0.31</v>
      </c>
      <c r="F43" s="441">
        <v>0.32</v>
      </c>
      <c r="G43" s="441">
        <v>0.31</v>
      </c>
      <c r="H43" s="441">
        <v>0.31</v>
      </c>
      <c r="I43" s="441">
        <v>0.32</v>
      </c>
      <c r="J43" s="441">
        <v>0.3</v>
      </c>
      <c r="K43" s="441">
        <v>0.31</v>
      </c>
      <c r="L43" s="441">
        <v>0.31</v>
      </c>
      <c r="M43" s="441">
        <v>0.31</v>
      </c>
      <c r="N43" s="441">
        <v>0.31</v>
      </c>
      <c r="O43" s="441">
        <v>0.31</v>
      </c>
      <c r="P43" s="441">
        <v>0.31</v>
      </c>
      <c r="Q43" s="441">
        <v>0.31</v>
      </c>
      <c r="R43" s="441">
        <v>0.32</v>
      </c>
      <c r="S43" s="441">
        <v>0.31</v>
      </c>
      <c r="T43" s="441">
        <v>0.31</v>
      </c>
      <c r="U43" s="441">
        <v>0.31</v>
      </c>
      <c r="V43" s="441">
        <v>0.31</v>
      </c>
      <c r="W43" s="441">
        <v>0.31</v>
      </c>
      <c r="X43" s="441">
        <v>0.31</v>
      </c>
      <c r="Y43" s="441">
        <v>0.31</v>
      </c>
      <c r="Z43" s="19">
        <f t="shared" si="22"/>
        <v>81.893336231026012</v>
      </c>
      <c r="AA43" s="19">
        <f t="shared" si="23"/>
        <v>81.893336231026012</v>
      </c>
      <c r="AB43" s="19">
        <f t="shared" si="0"/>
        <v>84.535056754607496</v>
      </c>
      <c r="AC43" s="19">
        <f t="shared" si="1"/>
        <v>81.893336231026012</v>
      </c>
      <c r="AD43" s="19">
        <f t="shared" si="2"/>
        <v>84.535056754607496</v>
      </c>
      <c r="AE43" s="19">
        <f t="shared" si="3"/>
        <v>81.893336231026012</v>
      </c>
      <c r="AF43" s="19">
        <f t="shared" si="4"/>
        <v>81.893336231026012</v>
      </c>
      <c r="AG43" s="19">
        <f t="shared" si="5"/>
        <v>84.535056754607496</v>
      </c>
      <c r="AH43" s="19">
        <f t="shared" si="6"/>
        <v>79.251615707444529</v>
      </c>
      <c r="AI43" s="19">
        <f t="shared" si="7"/>
        <v>81.893336231026012</v>
      </c>
      <c r="AJ43" s="19">
        <f t="shared" si="8"/>
        <v>81.893336231026012</v>
      </c>
      <c r="AK43" s="19">
        <f t="shared" si="9"/>
        <v>81.893336231026012</v>
      </c>
      <c r="AL43" s="19">
        <f t="shared" si="10"/>
        <v>81.893336231026012</v>
      </c>
      <c r="AM43" s="19">
        <f t="shared" si="11"/>
        <v>81.893336231026012</v>
      </c>
      <c r="AN43" s="19">
        <f t="shared" si="12"/>
        <v>81.893336231026012</v>
      </c>
      <c r="AO43" s="19">
        <f t="shared" si="13"/>
        <v>81.893336231026012</v>
      </c>
      <c r="AP43" s="19">
        <f t="shared" si="14"/>
        <v>84.535056754607496</v>
      </c>
      <c r="AQ43" s="19">
        <f t="shared" si="15"/>
        <v>81.893336231026012</v>
      </c>
      <c r="AR43" s="19">
        <f t="shared" si="16"/>
        <v>81.893336231026012</v>
      </c>
      <c r="AS43" s="19">
        <f t="shared" si="17"/>
        <v>81.893336231026012</v>
      </c>
      <c r="AT43" s="19">
        <f t="shared" si="18"/>
        <v>81.893336231026012</v>
      </c>
      <c r="AU43" s="19">
        <f t="shared" si="19"/>
        <v>81.893336231026012</v>
      </c>
      <c r="AV43" s="19">
        <f t="shared" si="20"/>
        <v>81.893336231026012</v>
      </c>
      <c r="AW43" s="19">
        <f t="shared" si="21"/>
        <v>81.893336231026012</v>
      </c>
      <c r="AX43" s="18">
        <f>IFERROR(Z43/'Ar-Pa'!B43,0)</f>
        <v>9.0992595812251125</v>
      </c>
      <c r="AY43" s="18">
        <f>IFERROR(AA43/'Ar-Pa'!C43,0)</f>
        <v>9.0992595812251125</v>
      </c>
      <c r="AZ43" s="18">
        <f>IFERROR(AB43/'Ar-Pa'!D43,0)</f>
        <v>9.3927840838452781</v>
      </c>
      <c r="BA43" s="18">
        <f>IFERROR(AC43/'Ar-Pa'!E43,0)</f>
        <v>9.0992595812251125</v>
      </c>
      <c r="BB43" s="18">
        <f>IFERROR(AD43/'Ar-Pa'!F43,0)</f>
        <v>10.566882094325937</v>
      </c>
      <c r="BC43" s="18">
        <f>IFERROR(AE43/'Ar-Pa'!G43,0)</f>
        <v>10.236667028878252</v>
      </c>
      <c r="BD43" s="18">
        <f>IFERROR(AF43/'Ar-Pa'!H43,0)</f>
        <v>10.236667028878252</v>
      </c>
      <c r="BE43" s="18">
        <f>IFERROR(AG43/'Ar-Pa'!I43,0)</f>
        <v>10.566882094325937</v>
      </c>
      <c r="BF43" s="18">
        <f>IFERROR(AH43/'Ar-Pa'!J43,0)</f>
        <v>9.9064519634305661</v>
      </c>
      <c r="BG43" s="18">
        <f>IFERROR(AI43/'Ar-Pa'!K43,0)</f>
        <v>10.236667028878252</v>
      </c>
      <c r="BH43" s="18">
        <f>IFERROR(AJ43/'Ar-Pa'!L43,0)</f>
        <v>9.0992595812251125</v>
      </c>
      <c r="BI43" s="18">
        <f>IFERROR(AK43/'Ar-Pa'!M43,0)</f>
        <v>9.0992595812251125</v>
      </c>
      <c r="BJ43" s="18">
        <f>IFERROR(AL43/'Ar-Pa'!N43,0)</f>
        <v>9.0992595812251125</v>
      </c>
      <c r="BK43" s="18">
        <f>IFERROR(AM43/'Ar-Pa'!O43,0)</f>
        <v>9.0992595812251125</v>
      </c>
      <c r="BL43" s="18">
        <f>IFERROR(AN43/'Ar-Pa'!P43,0)</f>
        <v>9.0992595812251125</v>
      </c>
      <c r="BM43" s="18">
        <f>IFERROR(AO43/'Ar-Pa'!Q43,0)</f>
        <v>9.0992595812251125</v>
      </c>
      <c r="BN43" s="18">
        <f>IFERROR(AP43/'Ar-Pa'!R43,0)</f>
        <v>9.3927840838452781</v>
      </c>
      <c r="BO43" s="18">
        <f>IFERROR(AQ43/'Ar-Pa'!S43,0)</f>
        <v>9.0992595812251125</v>
      </c>
      <c r="BP43" s="18">
        <f>IFERROR(AR43/'Ar-Pa'!T43,0)</f>
        <v>9.0992595812251125</v>
      </c>
      <c r="BQ43" s="18">
        <f>IFERROR(AS43/'Ar-Pa'!U43,0)</f>
        <v>9.0992595812251125</v>
      </c>
      <c r="BR43" s="18">
        <f>IFERROR(AT43/'Ar-Pa'!V43,0)</f>
        <v>9.0992595812251125</v>
      </c>
      <c r="BS43" s="18">
        <f>IFERROR(AU43/'Ar-Pa'!W43,0)</f>
        <v>9.0992595812251125</v>
      </c>
      <c r="BT43" s="18">
        <f>IFERROR(AV43/'Ar-Pa'!X43,0)</f>
        <v>9.0992595812251125</v>
      </c>
      <c r="BU43" s="18">
        <f>IFERROR(AW43/'Ar-Pa'!Y43,0)</f>
        <v>9.0992595812251125</v>
      </c>
    </row>
    <row r="44" spans="1:73" s="12" customFormat="1" ht="15">
      <c r="A44" s="15">
        <v>44969</v>
      </c>
      <c r="B44" s="441">
        <v>0.31</v>
      </c>
      <c r="C44" s="441">
        <v>0.32</v>
      </c>
      <c r="D44" s="441">
        <v>0.31</v>
      </c>
      <c r="E44" s="441">
        <v>0.32</v>
      </c>
      <c r="F44" s="441">
        <v>0.32</v>
      </c>
      <c r="G44" s="441">
        <v>0.31</v>
      </c>
      <c r="H44" s="441">
        <v>0.32</v>
      </c>
      <c r="I44" s="441">
        <v>0.32</v>
      </c>
      <c r="J44" s="441">
        <v>0.32</v>
      </c>
      <c r="K44" s="441">
        <v>0.32</v>
      </c>
      <c r="L44" s="441">
        <v>0.33</v>
      </c>
      <c r="M44" s="441">
        <v>0.32</v>
      </c>
      <c r="N44" s="441">
        <v>0.32</v>
      </c>
      <c r="O44" s="441">
        <v>0.32</v>
      </c>
      <c r="P44" s="441">
        <v>0.32</v>
      </c>
      <c r="Q44" s="441">
        <v>0.32</v>
      </c>
      <c r="R44" s="441">
        <v>0.32</v>
      </c>
      <c r="S44" s="441">
        <v>0.31</v>
      </c>
      <c r="T44" s="441">
        <v>0.32</v>
      </c>
      <c r="U44" s="441">
        <v>0.32</v>
      </c>
      <c r="V44" s="441">
        <v>0.32</v>
      </c>
      <c r="W44" s="441">
        <v>0.31</v>
      </c>
      <c r="X44" s="441">
        <v>0.32</v>
      </c>
      <c r="Y44" s="441">
        <v>0.32</v>
      </c>
      <c r="Z44" s="19">
        <f t="shared" si="22"/>
        <v>81.893336231026012</v>
      </c>
      <c r="AA44" s="19">
        <f t="shared" si="23"/>
        <v>84.535056754607496</v>
      </c>
      <c r="AB44" s="19">
        <f t="shared" si="0"/>
        <v>81.893336231026012</v>
      </c>
      <c r="AC44" s="19">
        <f t="shared" si="1"/>
        <v>84.535056754607496</v>
      </c>
      <c r="AD44" s="19">
        <f t="shared" si="2"/>
        <v>84.535056754607496</v>
      </c>
      <c r="AE44" s="19">
        <f t="shared" si="3"/>
        <v>81.893336231026012</v>
      </c>
      <c r="AF44" s="19">
        <f t="shared" si="4"/>
        <v>84.535056754607496</v>
      </c>
      <c r="AG44" s="19">
        <f t="shared" si="5"/>
        <v>84.535056754607496</v>
      </c>
      <c r="AH44" s="19">
        <f t="shared" si="6"/>
        <v>84.535056754607496</v>
      </c>
      <c r="AI44" s="19">
        <f t="shared" si="7"/>
        <v>84.535056754607496</v>
      </c>
      <c r="AJ44" s="19">
        <f t="shared" si="8"/>
        <v>87.176777278188979</v>
      </c>
      <c r="AK44" s="19">
        <f t="shared" si="9"/>
        <v>84.535056754607496</v>
      </c>
      <c r="AL44" s="19">
        <f t="shared" si="10"/>
        <v>84.535056754607496</v>
      </c>
      <c r="AM44" s="19">
        <f t="shared" si="11"/>
        <v>84.535056754607496</v>
      </c>
      <c r="AN44" s="19">
        <f t="shared" si="12"/>
        <v>84.535056754607496</v>
      </c>
      <c r="AO44" s="19">
        <f t="shared" si="13"/>
        <v>84.535056754607496</v>
      </c>
      <c r="AP44" s="19">
        <f t="shared" si="14"/>
        <v>84.535056754607496</v>
      </c>
      <c r="AQ44" s="19">
        <f t="shared" si="15"/>
        <v>81.893336231026012</v>
      </c>
      <c r="AR44" s="19">
        <f t="shared" si="16"/>
        <v>84.535056754607496</v>
      </c>
      <c r="AS44" s="19">
        <f t="shared" si="17"/>
        <v>84.535056754607496</v>
      </c>
      <c r="AT44" s="19">
        <f t="shared" si="18"/>
        <v>84.535056754607496</v>
      </c>
      <c r="AU44" s="19">
        <f t="shared" si="19"/>
        <v>81.893336231026012</v>
      </c>
      <c r="AV44" s="19">
        <f t="shared" si="20"/>
        <v>84.535056754607496</v>
      </c>
      <c r="AW44" s="19">
        <f t="shared" si="21"/>
        <v>84.535056754607496</v>
      </c>
      <c r="AX44" s="18">
        <f>IFERROR(Z44/'Ar-Pa'!B44,0)</f>
        <v>9.0992595812251125</v>
      </c>
      <c r="AY44" s="18">
        <f>IFERROR(AA44/'Ar-Pa'!C44,0)</f>
        <v>9.3927840838452781</v>
      </c>
      <c r="AZ44" s="18">
        <f>IFERROR(AB44/'Ar-Pa'!D44,0)</f>
        <v>9.0992595812251125</v>
      </c>
      <c r="BA44" s="18">
        <f>IFERROR(AC44/'Ar-Pa'!E44,0)</f>
        <v>9.3927840838452781</v>
      </c>
      <c r="BB44" s="18">
        <f>IFERROR(AD44/'Ar-Pa'!F44,0)</f>
        <v>9.3927840838452781</v>
      </c>
      <c r="BC44" s="18">
        <f>IFERROR(AE44/'Ar-Pa'!G44,0)</f>
        <v>9.0992595812251125</v>
      </c>
      <c r="BD44" s="18">
        <f>IFERROR(AF44/'Ar-Pa'!H44,0)</f>
        <v>10.566882094325937</v>
      </c>
      <c r="BE44" s="18">
        <f>IFERROR(AG44/'Ar-Pa'!I44,0)</f>
        <v>10.566882094325937</v>
      </c>
      <c r="BF44" s="18">
        <f>IFERROR(AH44/'Ar-Pa'!J44,0)</f>
        <v>10.566882094325937</v>
      </c>
      <c r="BG44" s="18">
        <f>IFERROR(AI44/'Ar-Pa'!K44,0)</f>
        <v>10.566882094325937</v>
      </c>
      <c r="BH44" s="18">
        <f>IFERROR(AJ44/'Ar-Pa'!L44,0)</f>
        <v>9.6863085864654419</v>
      </c>
      <c r="BI44" s="18">
        <f>IFERROR(AK44/'Ar-Pa'!M44,0)</f>
        <v>9.3927840838452781</v>
      </c>
      <c r="BJ44" s="18">
        <f>IFERROR(AL44/'Ar-Pa'!N44,0)</f>
        <v>9.3927840838452781</v>
      </c>
      <c r="BK44" s="18">
        <f>IFERROR(AM44/'Ar-Pa'!O44,0)</f>
        <v>9.3927840838452781</v>
      </c>
      <c r="BL44" s="18">
        <f>IFERROR(AN44/'Ar-Pa'!P44,0)</f>
        <v>9.3927840838452781</v>
      </c>
      <c r="BM44" s="18">
        <f>IFERROR(AO44/'Ar-Pa'!Q44,0)</f>
        <v>9.3927840838452781</v>
      </c>
      <c r="BN44" s="18">
        <f>IFERROR(AP44/'Ar-Pa'!R44,0)</f>
        <v>9.3927840838452781</v>
      </c>
      <c r="BO44" s="18">
        <f>IFERROR(AQ44/'Ar-Pa'!S44,0)</f>
        <v>9.0992595812251125</v>
      </c>
      <c r="BP44" s="18">
        <f>IFERROR(AR44/'Ar-Pa'!T44,0)</f>
        <v>9.3927840838452781</v>
      </c>
      <c r="BQ44" s="18">
        <f>IFERROR(AS44/'Ar-Pa'!U44,0)</f>
        <v>9.3927840838452781</v>
      </c>
      <c r="BR44" s="18">
        <f>IFERROR(AT44/'Ar-Pa'!V44,0)</f>
        <v>9.3927840838452781</v>
      </c>
      <c r="BS44" s="18">
        <f>IFERROR(AU44/'Ar-Pa'!W44,0)</f>
        <v>9.0992595812251125</v>
      </c>
      <c r="BT44" s="18">
        <f>IFERROR(AV44/'Ar-Pa'!X44,0)</f>
        <v>9.3927840838452781</v>
      </c>
      <c r="BU44" s="18">
        <f>IFERROR(AW44/'Ar-Pa'!Y44,0)</f>
        <v>9.3927840838452781</v>
      </c>
    </row>
    <row r="45" spans="1:73" s="12" customFormat="1" ht="15">
      <c r="A45" s="15">
        <v>44970</v>
      </c>
      <c r="B45" s="441">
        <v>0.3</v>
      </c>
      <c r="C45" s="441">
        <v>0.3</v>
      </c>
      <c r="D45" s="441">
        <v>0.31</v>
      </c>
      <c r="E45" s="441">
        <v>0.3</v>
      </c>
      <c r="F45" s="441">
        <v>0.31</v>
      </c>
      <c r="G45" s="441">
        <v>0.3</v>
      </c>
      <c r="H45" s="441">
        <v>0.31</v>
      </c>
      <c r="I45" s="441">
        <v>0.31</v>
      </c>
      <c r="J45" s="441">
        <v>0.31</v>
      </c>
      <c r="K45" s="441">
        <v>0.3</v>
      </c>
      <c r="L45" s="441">
        <v>0.31</v>
      </c>
      <c r="M45" s="441">
        <v>0.31</v>
      </c>
      <c r="N45" s="441">
        <v>0.31</v>
      </c>
      <c r="O45" s="441">
        <v>0.31</v>
      </c>
      <c r="P45" s="441">
        <v>0.31</v>
      </c>
      <c r="Q45" s="441">
        <v>0.3</v>
      </c>
      <c r="R45" s="441">
        <v>0.31</v>
      </c>
      <c r="S45" s="441">
        <v>0.31</v>
      </c>
      <c r="T45" s="441">
        <v>0.3</v>
      </c>
      <c r="U45" s="441">
        <v>0.3</v>
      </c>
      <c r="V45" s="441">
        <v>0.31</v>
      </c>
      <c r="W45" s="441">
        <v>0.31</v>
      </c>
      <c r="X45" s="441">
        <v>0.31</v>
      </c>
      <c r="Y45" s="441">
        <v>0.3</v>
      </c>
      <c r="Z45" s="19">
        <f t="shared" si="22"/>
        <v>79.251615707444529</v>
      </c>
      <c r="AA45" s="19">
        <f t="shared" si="23"/>
        <v>79.251615707444529</v>
      </c>
      <c r="AB45" s="19">
        <f t="shared" si="0"/>
        <v>81.893336231026012</v>
      </c>
      <c r="AC45" s="19">
        <f t="shared" si="1"/>
        <v>79.251615707444529</v>
      </c>
      <c r="AD45" s="19">
        <f t="shared" si="2"/>
        <v>81.893336231026012</v>
      </c>
      <c r="AE45" s="19">
        <f t="shared" si="3"/>
        <v>79.251615707444529</v>
      </c>
      <c r="AF45" s="19">
        <f t="shared" si="4"/>
        <v>81.893336231026012</v>
      </c>
      <c r="AG45" s="19">
        <f t="shared" si="5"/>
        <v>81.893336231026012</v>
      </c>
      <c r="AH45" s="19">
        <f t="shared" si="6"/>
        <v>81.893336231026012</v>
      </c>
      <c r="AI45" s="19">
        <f t="shared" si="7"/>
        <v>79.251615707444529</v>
      </c>
      <c r="AJ45" s="19">
        <f t="shared" si="8"/>
        <v>81.893336231026012</v>
      </c>
      <c r="AK45" s="19">
        <f t="shared" si="9"/>
        <v>81.893336231026012</v>
      </c>
      <c r="AL45" s="19">
        <f t="shared" si="10"/>
        <v>81.893336231026012</v>
      </c>
      <c r="AM45" s="19">
        <f t="shared" si="11"/>
        <v>81.893336231026012</v>
      </c>
      <c r="AN45" s="19">
        <f t="shared" si="12"/>
        <v>81.893336231026012</v>
      </c>
      <c r="AO45" s="19">
        <f t="shared" si="13"/>
        <v>79.251615707444529</v>
      </c>
      <c r="AP45" s="19">
        <f t="shared" si="14"/>
        <v>81.893336231026012</v>
      </c>
      <c r="AQ45" s="19">
        <f t="shared" si="15"/>
        <v>81.893336231026012</v>
      </c>
      <c r="AR45" s="19">
        <f t="shared" si="16"/>
        <v>79.251615707444529</v>
      </c>
      <c r="AS45" s="19">
        <f t="shared" si="17"/>
        <v>79.251615707444529</v>
      </c>
      <c r="AT45" s="19">
        <f t="shared" si="18"/>
        <v>81.893336231026012</v>
      </c>
      <c r="AU45" s="19">
        <f t="shared" si="19"/>
        <v>81.893336231026012</v>
      </c>
      <c r="AV45" s="19">
        <f t="shared" si="20"/>
        <v>81.893336231026012</v>
      </c>
      <c r="AW45" s="19">
        <f t="shared" si="21"/>
        <v>79.251615707444529</v>
      </c>
      <c r="AX45" s="18">
        <f>IFERROR(Z45/'Ar-Pa'!B45,0)</f>
        <v>8.8057350786049469</v>
      </c>
      <c r="AY45" s="18">
        <f>IFERROR(AA45/'Ar-Pa'!C45,0)</f>
        <v>8.8057350786049469</v>
      </c>
      <c r="AZ45" s="18">
        <f>IFERROR(AB45/'Ar-Pa'!D45,0)</f>
        <v>9.0992595812251125</v>
      </c>
      <c r="BA45" s="18">
        <f>IFERROR(AC45/'Ar-Pa'!E45,0)</f>
        <v>8.8057350786049469</v>
      </c>
      <c r="BB45" s="18">
        <f>IFERROR(AD45/'Ar-Pa'!F45,0)</f>
        <v>9.0992595812251125</v>
      </c>
      <c r="BC45" s="18">
        <f>IFERROR(AE45/'Ar-Pa'!G45,0)</f>
        <v>9.9064519634305661</v>
      </c>
      <c r="BD45" s="18">
        <f>IFERROR(AF45/'Ar-Pa'!H45,0)</f>
        <v>10.236667028878252</v>
      </c>
      <c r="BE45" s="18">
        <f>IFERROR(AG45/'Ar-Pa'!I45,0)</f>
        <v>10.236667028878252</v>
      </c>
      <c r="BF45" s="18">
        <f>IFERROR(AH45/'Ar-Pa'!J45,0)</f>
        <v>10.236667028878252</v>
      </c>
      <c r="BG45" s="18">
        <f>IFERROR(AI45/'Ar-Pa'!K45,0)</f>
        <v>8.8057350786049469</v>
      </c>
      <c r="BH45" s="18">
        <f>IFERROR(AJ45/'Ar-Pa'!L45,0)</f>
        <v>9.0992595812251125</v>
      </c>
      <c r="BI45" s="18">
        <f>IFERROR(AK45/'Ar-Pa'!M45,0)</f>
        <v>9.0992595812251125</v>
      </c>
      <c r="BJ45" s="18">
        <f>IFERROR(AL45/'Ar-Pa'!N45,0)</f>
        <v>9.0992595812251125</v>
      </c>
      <c r="BK45" s="18">
        <f>IFERROR(AM45/'Ar-Pa'!O45,0)</f>
        <v>9.0992595812251125</v>
      </c>
      <c r="BL45" s="18">
        <f>IFERROR(AN45/'Ar-Pa'!P45,0)</f>
        <v>9.0992595812251125</v>
      </c>
      <c r="BM45" s="18">
        <f>IFERROR(AO45/'Ar-Pa'!Q45,0)</f>
        <v>8.8057350786049469</v>
      </c>
      <c r="BN45" s="18">
        <f>IFERROR(AP45/'Ar-Pa'!R45,0)</f>
        <v>9.0992595812251125</v>
      </c>
      <c r="BO45" s="18">
        <f>IFERROR(AQ45/'Ar-Pa'!S45,0)</f>
        <v>9.0992595812251125</v>
      </c>
      <c r="BP45" s="18">
        <f>IFERROR(AR45/'Ar-Pa'!T45,0)</f>
        <v>8.8057350786049469</v>
      </c>
      <c r="BQ45" s="18">
        <f>IFERROR(AS45/'Ar-Pa'!U45,0)</f>
        <v>8.8057350786049469</v>
      </c>
      <c r="BR45" s="18">
        <f>IFERROR(AT45/'Ar-Pa'!V45,0)</f>
        <v>9.0992595812251125</v>
      </c>
      <c r="BS45" s="18">
        <f>IFERROR(AU45/'Ar-Pa'!W45,0)</f>
        <v>9.0992595812251125</v>
      </c>
      <c r="BT45" s="18">
        <f>IFERROR(AV45/'Ar-Pa'!X45,0)</f>
        <v>9.0992595812251125</v>
      </c>
      <c r="BU45" s="18">
        <f>IFERROR(AW45/'Ar-Pa'!Y45,0)</f>
        <v>8.8057350786049469</v>
      </c>
    </row>
    <row r="46" spans="1:73" s="12" customFormat="1" ht="15">
      <c r="A46" s="15">
        <v>44971</v>
      </c>
      <c r="B46" s="441">
        <v>0.32</v>
      </c>
      <c r="C46" s="441">
        <v>0.32</v>
      </c>
      <c r="D46" s="441">
        <v>0.31</v>
      </c>
      <c r="E46" s="441">
        <v>0.31</v>
      </c>
      <c r="F46" s="441">
        <v>0.32</v>
      </c>
      <c r="G46" s="441">
        <v>0.3</v>
      </c>
      <c r="H46" s="441">
        <v>0.28999999999999998</v>
      </c>
      <c r="I46" s="441">
        <v>0.3</v>
      </c>
      <c r="J46" s="441">
        <v>0.3</v>
      </c>
      <c r="K46" s="441">
        <v>0.3</v>
      </c>
      <c r="L46" s="441">
        <v>0.31</v>
      </c>
      <c r="M46" s="441">
        <v>0.3</v>
      </c>
      <c r="N46" s="441">
        <v>0.31</v>
      </c>
      <c r="O46" s="441">
        <v>0.32</v>
      </c>
      <c r="P46" s="441">
        <v>0.3</v>
      </c>
      <c r="Q46" s="441">
        <v>0.32</v>
      </c>
      <c r="R46" s="441">
        <v>0.31</v>
      </c>
      <c r="S46" s="441">
        <v>0.31</v>
      </c>
      <c r="T46" s="441">
        <v>0.32</v>
      </c>
      <c r="U46" s="441">
        <v>0.31</v>
      </c>
      <c r="V46" s="441">
        <v>0.31</v>
      </c>
      <c r="W46" s="441">
        <v>0.32</v>
      </c>
      <c r="X46" s="441">
        <v>0.31</v>
      </c>
      <c r="Y46" s="441">
        <v>0.32</v>
      </c>
      <c r="Z46" s="19">
        <f t="shared" si="22"/>
        <v>84.535056754607496</v>
      </c>
      <c r="AA46" s="19">
        <f t="shared" si="23"/>
        <v>84.535056754607496</v>
      </c>
      <c r="AB46" s="19">
        <f t="shared" si="0"/>
        <v>81.893336231026012</v>
      </c>
      <c r="AC46" s="19">
        <f t="shared" si="1"/>
        <v>81.893336231026012</v>
      </c>
      <c r="AD46" s="19">
        <f t="shared" si="2"/>
        <v>84.535056754607496</v>
      </c>
      <c r="AE46" s="19">
        <f t="shared" si="3"/>
        <v>79.251615707444529</v>
      </c>
      <c r="AF46" s="19">
        <f t="shared" si="4"/>
        <v>76.609895183863046</v>
      </c>
      <c r="AG46" s="19">
        <f t="shared" si="5"/>
        <v>79.251615707444529</v>
      </c>
      <c r="AH46" s="19">
        <f t="shared" si="6"/>
        <v>79.251615707444529</v>
      </c>
      <c r="AI46" s="19">
        <f t="shared" si="7"/>
        <v>79.251615707444529</v>
      </c>
      <c r="AJ46" s="19">
        <f t="shared" si="8"/>
        <v>81.893336231026012</v>
      </c>
      <c r="AK46" s="19">
        <f t="shared" si="9"/>
        <v>79.251615707444529</v>
      </c>
      <c r="AL46" s="19">
        <f t="shared" si="10"/>
        <v>81.893336231026012</v>
      </c>
      <c r="AM46" s="19">
        <f t="shared" si="11"/>
        <v>84.535056754607496</v>
      </c>
      <c r="AN46" s="19">
        <f t="shared" si="12"/>
        <v>79.251615707444529</v>
      </c>
      <c r="AO46" s="19">
        <f t="shared" si="13"/>
        <v>84.535056754607496</v>
      </c>
      <c r="AP46" s="19">
        <f t="shared" si="14"/>
        <v>81.893336231026012</v>
      </c>
      <c r="AQ46" s="19">
        <f t="shared" si="15"/>
        <v>81.893336231026012</v>
      </c>
      <c r="AR46" s="19">
        <f t="shared" si="16"/>
        <v>84.535056754607496</v>
      </c>
      <c r="AS46" s="19">
        <f t="shared" si="17"/>
        <v>81.893336231026012</v>
      </c>
      <c r="AT46" s="19">
        <f t="shared" si="18"/>
        <v>81.893336231026012</v>
      </c>
      <c r="AU46" s="19">
        <f t="shared" si="19"/>
        <v>84.535056754607496</v>
      </c>
      <c r="AV46" s="19">
        <f t="shared" si="20"/>
        <v>81.893336231026012</v>
      </c>
      <c r="AW46" s="19">
        <f t="shared" si="21"/>
        <v>84.535056754607496</v>
      </c>
      <c r="AX46" s="18">
        <f>IFERROR(Z46/'Ar-Pa'!B46,0)</f>
        <v>9.3927840838452781</v>
      </c>
      <c r="AY46" s="18">
        <f>IFERROR(AA46/'Ar-Pa'!C46,0)</f>
        <v>9.3927840838452781</v>
      </c>
      <c r="AZ46" s="18">
        <f>IFERROR(AB46/'Ar-Pa'!D46,0)</f>
        <v>9.0992595812251125</v>
      </c>
      <c r="BA46" s="18">
        <f>IFERROR(AC46/'Ar-Pa'!E46,0)</f>
        <v>9.0992595812251125</v>
      </c>
      <c r="BB46" s="18">
        <f>IFERROR(AD46/'Ar-Pa'!F46,0)</f>
        <v>9.3927840838452781</v>
      </c>
      <c r="BC46" s="18">
        <f>IFERROR(AE46/'Ar-Pa'!G46,0)</f>
        <v>11.321659386777791</v>
      </c>
      <c r="BD46" s="18">
        <f>IFERROR(AF46/'Ar-Pa'!H46,0)</f>
        <v>10.944270740551863</v>
      </c>
      <c r="BE46" s="18">
        <f>IFERROR(AG46/'Ar-Pa'!I46,0)</f>
        <v>11.321659386777791</v>
      </c>
      <c r="BF46" s="18">
        <f>IFERROR(AH46/'Ar-Pa'!J46,0)</f>
        <v>11.321659386777791</v>
      </c>
      <c r="BG46" s="18">
        <f>IFERROR(AI46/'Ar-Pa'!K46,0)</f>
        <v>11.321659386777791</v>
      </c>
      <c r="BH46" s="18">
        <f>IFERROR(AJ46/'Ar-Pa'!L46,0)</f>
        <v>9.0992595812251125</v>
      </c>
      <c r="BI46" s="18">
        <f>IFERROR(AK46/'Ar-Pa'!M46,0)</f>
        <v>8.8057350786049469</v>
      </c>
      <c r="BJ46" s="18">
        <f>IFERROR(AL46/'Ar-Pa'!N46,0)</f>
        <v>9.0992595812251125</v>
      </c>
      <c r="BK46" s="18">
        <f>IFERROR(AM46/'Ar-Pa'!O46,0)</f>
        <v>9.3927840838452781</v>
      </c>
      <c r="BL46" s="18">
        <f>IFERROR(AN46/'Ar-Pa'!P46,0)</f>
        <v>8.8057350786049469</v>
      </c>
      <c r="BM46" s="18">
        <f>IFERROR(AO46/'Ar-Pa'!Q46,0)</f>
        <v>9.3927840838452781</v>
      </c>
      <c r="BN46" s="18">
        <f>IFERROR(AP46/'Ar-Pa'!R46,0)</f>
        <v>9.0992595812251125</v>
      </c>
      <c r="BO46" s="18">
        <f>IFERROR(AQ46/'Ar-Pa'!S46,0)</f>
        <v>9.0992595812251125</v>
      </c>
      <c r="BP46" s="18">
        <f>IFERROR(AR46/'Ar-Pa'!T46,0)</f>
        <v>9.3927840838452781</v>
      </c>
      <c r="BQ46" s="18">
        <f>IFERROR(AS46/'Ar-Pa'!U46,0)</f>
        <v>9.0992595812251125</v>
      </c>
      <c r="BR46" s="18">
        <f>IFERROR(AT46/'Ar-Pa'!V46,0)</f>
        <v>9.0992595812251125</v>
      </c>
      <c r="BS46" s="18">
        <f>IFERROR(AU46/'Ar-Pa'!W46,0)</f>
        <v>9.3927840838452781</v>
      </c>
      <c r="BT46" s="18">
        <f>IFERROR(AV46/'Ar-Pa'!X46,0)</f>
        <v>9.0992595812251125</v>
      </c>
      <c r="BU46" s="18">
        <f>IFERROR(AW46/'Ar-Pa'!Y46,0)</f>
        <v>9.3927840838452781</v>
      </c>
    </row>
    <row r="47" spans="1:73" s="12" customFormat="1" ht="15">
      <c r="A47" s="15">
        <v>44972</v>
      </c>
      <c r="B47" s="441">
        <v>0.33</v>
      </c>
      <c r="C47" s="441">
        <v>0.31</v>
      </c>
      <c r="D47" s="441">
        <v>0.32</v>
      </c>
      <c r="E47" s="441">
        <v>0.31</v>
      </c>
      <c r="F47" s="441">
        <v>0.32</v>
      </c>
      <c r="G47" s="441">
        <v>0.3</v>
      </c>
      <c r="H47" s="441">
        <v>0.28999999999999998</v>
      </c>
      <c r="I47" s="441">
        <v>0.3</v>
      </c>
      <c r="J47" s="441">
        <v>0.3</v>
      </c>
      <c r="K47" s="441">
        <v>0.3</v>
      </c>
      <c r="L47" s="441">
        <v>0.33</v>
      </c>
      <c r="M47" s="441">
        <v>0.31</v>
      </c>
      <c r="N47" s="441">
        <v>0.32</v>
      </c>
      <c r="O47" s="441">
        <v>0.31</v>
      </c>
      <c r="P47" s="441">
        <v>0.32</v>
      </c>
      <c r="Q47" s="441">
        <v>0.31</v>
      </c>
      <c r="R47" s="441">
        <v>0.32</v>
      </c>
      <c r="S47" s="441">
        <v>0.32</v>
      </c>
      <c r="T47" s="441">
        <v>0.32</v>
      </c>
      <c r="U47" s="441">
        <v>0.32</v>
      </c>
      <c r="V47" s="441">
        <v>0.31</v>
      </c>
      <c r="W47" s="441">
        <v>0.33</v>
      </c>
      <c r="X47" s="441">
        <v>0.32</v>
      </c>
      <c r="Y47" s="441">
        <v>0.31</v>
      </c>
      <c r="Z47" s="19">
        <f t="shared" si="22"/>
        <v>87.176777278188979</v>
      </c>
      <c r="AA47" s="19">
        <f t="shared" si="23"/>
        <v>81.893336231026012</v>
      </c>
      <c r="AB47" s="19">
        <f t="shared" si="0"/>
        <v>84.535056754607496</v>
      </c>
      <c r="AC47" s="19">
        <f t="shared" si="1"/>
        <v>81.893336231026012</v>
      </c>
      <c r="AD47" s="19">
        <f t="shared" si="2"/>
        <v>84.535056754607496</v>
      </c>
      <c r="AE47" s="19">
        <f t="shared" si="3"/>
        <v>79.251615707444529</v>
      </c>
      <c r="AF47" s="19">
        <f t="shared" si="4"/>
        <v>76.609895183863046</v>
      </c>
      <c r="AG47" s="19">
        <f t="shared" si="5"/>
        <v>79.251615707444529</v>
      </c>
      <c r="AH47" s="19">
        <f t="shared" si="6"/>
        <v>79.251615707444529</v>
      </c>
      <c r="AI47" s="19">
        <f t="shared" si="7"/>
        <v>79.251615707444529</v>
      </c>
      <c r="AJ47" s="19">
        <f t="shared" si="8"/>
        <v>87.176777278188979</v>
      </c>
      <c r="AK47" s="19">
        <f t="shared" si="9"/>
        <v>81.893336231026012</v>
      </c>
      <c r="AL47" s="19">
        <f t="shared" si="10"/>
        <v>84.535056754607496</v>
      </c>
      <c r="AM47" s="19">
        <f t="shared" si="11"/>
        <v>81.893336231026012</v>
      </c>
      <c r="AN47" s="19">
        <f t="shared" si="12"/>
        <v>84.535056754607496</v>
      </c>
      <c r="AO47" s="19">
        <f t="shared" si="13"/>
        <v>81.893336231026012</v>
      </c>
      <c r="AP47" s="19">
        <f t="shared" si="14"/>
        <v>84.535056754607496</v>
      </c>
      <c r="AQ47" s="19">
        <f t="shared" si="15"/>
        <v>84.535056754607496</v>
      </c>
      <c r="AR47" s="19">
        <f t="shared" si="16"/>
        <v>84.535056754607496</v>
      </c>
      <c r="AS47" s="19">
        <f t="shared" si="17"/>
        <v>84.535056754607496</v>
      </c>
      <c r="AT47" s="19">
        <f t="shared" si="18"/>
        <v>81.893336231026012</v>
      </c>
      <c r="AU47" s="19">
        <f t="shared" si="19"/>
        <v>87.176777278188979</v>
      </c>
      <c r="AV47" s="19">
        <f t="shared" si="20"/>
        <v>84.535056754607496</v>
      </c>
      <c r="AW47" s="19">
        <f t="shared" si="21"/>
        <v>81.893336231026012</v>
      </c>
      <c r="AX47" s="18">
        <f>IFERROR(Z47/'Ar-Pa'!B47,0)</f>
        <v>9.6863085864654419</v>
      </c>
      <c r="AY47" s="18">
        <f>IFERROR(AA47/'Ar-Pa'!C47,0)</f>
        <v>9.0992595812251125</v>
      </c>
      <c r="AZ47" s="18">
        <f>IFERROR(AB47/'Ar-Pa'!D47,0)</f>
        <v>9.3927840838452781</v>
      </c>
      <c r="BA47" s="18">
        <f>IFERROR(AC47/'Ar-Pa'!E47,0)</f>
        <v>9.0992595812251125</v>
      </c>
      <c r="BB47" s="18">
        <f>IFERROR(AD47/'Ar-Pa'!F47,0)</f>
        <v>9.3927840838452781</v>
      </c>
      <c r="BC47" s="18">
        <f>IFERROR(AE47/'Ar-Pa'!G47,0)</f>
        <v>11.321659386777791</v>
      </c>
      <c r="BD47" s="18">
        <f>IFERROR(AF47/'Ar-Pa'!H47,0)</f>
        <v>10.944270740551863</v>
      </c>
      <c r="BE47" s="18">
        <f>IFERROR(AG47/'Ar-Pa'!I47,0)</f>
        <v>11.321659386777791</v>
      </c>
      <c r="BF47" s="18">
        <f>IFERROR(AH47/'Ar-Pa'!J47,0)</f>
        <v>11.321659386777791</v>
      </c>
      <c r="BG47" s="18">
        <f>IFERROR(AI47/'Ar-Pa'!K47,0)</f>
        <v>9.9064519634305661</v>
      </c>
      <c r="BH47" s="18">
        <f>IFERROR(AJ47/'Ar-Pa'!L47,0)</f>
        <v>9.6863085864654419</v>
      </c>
      <c r="BI47" s="18">
        <f>IFERROR(AK47/'Ar-Pa'!M47,0)</f>
        <v>9.0992595812251125</v>
      </c>
      <c r="BJ47" s="18">
        <f>IFERROR(AL47/'Ar-Pa'!N47,0)</f>
        <v>9.3927840838452781</v>
      </c>
      <c r="BK47" s="18">
        <f>IFERROR(AM47/'Ar-Pa'!O47,0)</f>
        <v>9.0992595812251125</v>
      </c>
      <c r="BL47" s="18">
        <f>IFERROR(AN47/'Ar-Pa'!P47,0)</f>
        <v>9.3927840838452781</v>
      </c>
      <c r="BM47" s="18">
        <f>IFERROR(AO47/'Ar-Pa'!Q47,0)</f>
        <v>9.0992595812251125</v>
      </c>
      <c r="BN47" s="18">
        <f>IFERROR(AP47/'Ar-Pa'!R47,0)</f>
        <v>9.3927840838452781</v>
      </c>
      <c r="BO47" s="18">
        <f>IFERROR(AQ47/'Ar-Pa'!S47,0)</f>
        <v>9.3927840838452781</v>
      </c>
      <c r="BP47" s="18">
        <f>IFERROR(AR47/'Ar-Pa'!T47,0)</f>
        <v>9.3927840838452781</v>
      </c>
      <c r="BQ47" s="18">
        <f>IFERROR(AS47/'Ar-Pa'!U47,0)</f>
        <v>9.3927840838452781</v>
      </c>
      <c r="BR47" s="18">
        <f>IFERROR(AT47/'Ar-Pa'!V47,0)</f>
        <v>9.0992595812251125</v>
      </c>
      <c r="BS47" s="18">
        <f>IFERROR(AU47/'Ar-Pa'!W47,0)</f>
        <v>9.6863085864654419</v>
      </c>
      <c r="BT47" s="18">
        <f>IFERROR(AV47/'Ar-Pa'!X47,0)</f>
        <v>9.3927840838452781</v>
      </c>
      <c r="BU47" s="18">
        <f>IFERROR(AW47/'Ar-Pa'!Y47,0)</f>
        <v>9.0992595812251125</v>
      </c>
    </row>
    <row r="48" spans="1:73" s="12" customFormat="1" ht="15">
      <c r="A48" s="15">
        <v>44973</v>
      </c>
      <c r="B48" s="441">
        <v>0.28000000000000003</v>
      </c>
      <c r="C48" s="441">
        <v>0.28999999999999998</v>
      </c>
      <c r="D48" s="441">
        <v>0.28999999999999998</v>
      </c>
      <c r="E48" s="441">
        <v>0.28000000000000003</v>
      </c>
      <c r="F48" s="441">
        <v>0.28999999999999998</v>
      </c>
      <c r="G48" s="441">
        <v>0.28999999999999998</v>
      </c>
      <c r="H48" s="441">
        <v>0.28000000000000003</v>
      </c>
      <c r="I48" s="441">
        <v>0.28000000000000003</v>
      </c>
      <c r="J48" s="441">
        <v>0.28999999999999998</v>
      </c>
      <c r="K48" s="441">
        <v>0.28999999999999998</v>
      </c>
      <c r="L48" s="441">
        <v>0.28999999999999998</v>
      </c>
      <c r="M48" s="441">
        <v>0.28999999999999998</v>
      </c>
      <c r="N48" s="441">
        <v>0.28000000000000003</v>
      </c>
      <c r="O48" s="441">
        <v>0.28999999999999998</v>
      </c>
      <c r="P48" s="441">
        <v>0.28999999999999998</v>
      </c>
      <c r="Q48" s="441">
        <v>0.3</v>
      </c>
      <c r="R48" s="441">
        <v>0.28000000000000003</v>
      </c>
      <c r="S48" s="441">
        <v>0.28999999999999998</v>
      </c>
      <c r="T48" s="441">
        <v>0.28999999999999998</v>
      </c>
      <c r="U48" s="441">
        <v>0.28999999999999998</v>
      </c>
      <c r="V48" s="441">
        <v>0.28000000000000003</v>
      </c>
      <c r="W48" s="441">
        <v>0.28999999999999998</v>
      </c>
      <c r="X48" s="441">
        <v>0.28999999999999998</v>
      </c>
      <c r="Y48" s="441">
        <v>0.28000000000000003</v>
      </c>
      <c r="Z48" s="19">
        <f t="shared" si="22"/>
        <v>73.968174660281562</v>
      </c>
      <c r="AA48" s="19">
        <f t="shared" si="23"/>
        <v>76.609895183863046</v>
      </c>
      <c r="AB48" s="19">
        <f t="shared" si="0"/>
        <v>76.609895183863046</v>
      </c>
      <c r="AC48" s="19">
        <f t="shared" si="1"/>
        <v>73.968174660281562</v>
      </c>
      <c r="AD48" s="19">
        <f t="shared" si="2"/>
        <v>76.609895183863046</v>
      </c>
      <c r="AE48" s="19">
        <f t="shared" si="3"/>
        <v>76.609895183863046</v>
      </c>
      <c r="AF48" s="19">
        <f t="shared" si="4"/>
        <v>73.968174660281562</v>
      </c>
      <c r="AG48" s="19">
        <f t="shared" si="5"/>
        <v>73.968174660281562</v>
      </c>
      <c r="AH48" s="19">
        <f t="shared" si="6"/>
        <v>76.609895183863046</v>
      </c>
      <c r="AI48" s="19">
        <f t="shared" si="7"/>
        <v>76.609895183863046</v>
      </c>
      <c r="AJ48" s="19">
        <f t="shared" si="8"/>
        <v>76.609895183863046</v>
      </c>
      <c r="AK48" s="19">
        <f t="shared" si="9"/>
        <v>76.609895183863046</v>
      </c>
      <c r="AL48" s="19">
        <f t="shared" si="10"/>
        <v>73.968174660281562</v>
      </c>
      <c r="AM48" s="19">
        <f t="shared" si="11"/>
        <v>76.609895183863046</v>
      </c>
      <c r="AN48" s="19">
        <f t="shared" si="12"/>
        <v>76.609895183863046</v>
      </c>
      <c r="AO48" s="19">
        <f t="shared" si="13"/>
        <v>79.251615707444529</v>
      </c>
      <c r="AP48" s="19">
        <f t="shared" si="14"/>
        <v>73.968174660281562</v>
      </c>
      <c r="AQ48" s="19">
        <f t="shared" si="15"/>
        <v>76.609895183863046</v>
      </c>
      <c r="AR48" s="19">
        <f t="shared" si="16"/>
        <v>76.609895183863046</v>
      </c>
      <c r="AS48" s="19">
        <f t="shared" si="17"/>
        <v>76.609895183863046</v>
      </c>
      <c r="AT48" s="19">
        <f t="shared" si="18"/>
        <v>73.968174660281562</v>
      </c>
      <c r="AU48" s="19">
        <f t="shared" si="19"/>
        <v>76.609895183863046</v>
      </c>
      <c r="AV48" s="19">
        <f t="shared" si="20"/>
        <v>76.609895183863046</v>
      </c>
      <c r="AW48" s="19">
        <f t="shared" si="21"/>
        <v>73.968174660281562</v>
      </c>
      <c r="AX48" s="18">
        <f>IFERROR(Z48/'Ar-Pa'!B48,0)</f>
        <v>9.2460218325351953</v>
      </c>
      <c r="AY48" s="18">
        <f>IFERROR(AA48/'Ar-Pa'!C48,0)</f>
        <v>9.5762368979828807</v>
      </c>
      <c r="AZ48" s="18">
        <f>IFERROR(AB48/'Ar-Pa'!D48,0)</f>
        <v>9.5762368979828807</v>
      </c>
      <c r="BA48" s="18">
        <f>IFERROR(AC48/'Ar-Pa'!E48,0)</f>
        <v>9.2460218325351953</v>
      </c>
      <c r="BB48" s="18">
        <f>IFERROR(AD48/'Ar-Pa'!F48,0)</f>
        <v>9.5762368979828807</v>
      </c>
      <c r="BC48" s="18">
        <f>IFERROR(AE48/'Ar-Pa'!G48,0)</f>
        <v>9.5762368979828807</v>
      </c>
      <c r="BD48" s="18">
        <f>IFERROR(AF48/'Ar-Pa'!H48,0)</f>
        <v>10.566882094325937</v>
      </c>
      <c r="BE48" s="18">
        <f>IFERROR(AG48/'Ar-Pa'!I48,0)</f>
        <v>10.566882094325937</v>
      </c>
      <c r="BF48" s="18">
        <f>IFERROR(AH48/'Ar-Pa'!J48,0)</f>
        <v>10.944270740551863</v>
      </c>
      <c r="BG48" s="18">
        <f>IFERROR(AI48/'Ar-Pa'!K48,0)</f>
        <v>9.5762368979828807</v>
      </c>
      <c r="BH48" s="18">
        <f>IFERROR(AJ48/'Ar-Pa'!L48,0)</f>
        <v>9.5762368979828807</v>
      </c>
      <c r="BI48" s="18">
        <f>IFERROR(AK48/'Ar-Pa'!M48,0)</f>
        <v>9.5762368979828807</v>
      </c>
      <c r="BJ48" s="18">
        <f>IFERROR(AL48/'Ar-Pa'!N48,0)</f>
        <v>9.2460218325351953</v>
      </c>
      <c r="BK48" s="18">
        <f>IFERROR(AM48/'Ar-Pa'!O48,0)</f>
        <v>9.5762368979828807</v>
      </c>
      <c r="BL48" s="18">
        <f>IFERROR(AN48/'Ar-Pa'!P48,0)</f>
        <v>9.5762368979828807</v>
      </c>
      <c r="BM48" s="18">
        <f>IFERROR(AO48/'Ar-Pa'!Q48,0)</f>
        <v>9.9064519634305661</v>
      </c>
      <c r="BN48" s="18">
        <f>IFERROR(AP48/'Ar-Pa'!R48,0)</f>
        <v>9.2460218325351953</v>
      </c>
      <c r="BO48" s="18">
        <f>IFERROR(AQ48/'Ar-Pa'!S48,0)</f>
        <v>9.5762368979828807</v>
      </c>
      <c r="BP48" s="18">
        <f>IFERROR(AR48/'Ar-Pa'!T48,0)</f>
        <v>9.5762368979828807</v>
      </c>
      <c r="BQ48" s="18">
        <f>IFERROR(AS48/'Ar-Pa'!U48,0)</f>
        <v>9.5762368979828807</v>
      </c>
      <c r="BR48" s="18">
        <f>IFERROR(AT48/'Ar-Pa'!V48,0)</f>
        <v>9.2460218325351953</v>
      </c>
      <c r="BS48" s="18">
        <f>IFERROR(AU48/'Ar-Pa'!W48,0)</f>
        <v>9.5762368979828807</v>
      </c>
      <c r="BT48" s="18">
        <f>IFERROR(AV48/'Ar-Pa'!X48,0)</f>
        <v>9.5762368979828807</v>
      </c>
      <c r="BU48" s="18">
        <f>IFERROR(AW48/'Ar-Pa'!Y48,0)</f>
        <v>9.2460218325351953</v>
      </c>
    </row>
    <row r="49" spans="1:73" s="12" customFormat="1" ht="15">
      <c r="A49" s="15">
        <v>44974</v>
      </c>
      <c r="B49" s="441">
        <v>0.28000000000000003</v>
      </c>
      <c r="C49" s="441">
        <v>0.28000000000000003</v>
      </c>
      <c r="D49" s="441">
        <v>0.28000000000000003</v>
      </c>
      <c r="E49" s="441">
        <v>0.28000000000000003</v>
      </c>
      <c r="F49" s="441">
        <v>0.27</v>
      </c>
      <c r="G49" s="441">
        <v>0.27</v>
      </c>
      <c r="H49" s="441">
        <v>0.28000000000000003</v>
      </c>
      <c r="I49" s="441">
        <v>0.28000000000000003</v>
      </c>
      <c r="J49" s="441">
        <v>0.28000000000000003</v>
      </c>
      <c r="K49" s="441">
        <v>0.28999999999999998</v>
      </c>
      <c r="L49" s="441">
        <v>0.28999999999999998</v>
      </c>
      <c r="M49" s="441">
        <v>0.28999999999999998</v>
      </c>
      <c r="N49" s="441">
        <v>0.28000000000000003</v>
      </c>
      <c r="O49" s="441">
        <v>0.28999999999999998</v>
      </c>
      <c r="P49" s="441">
        <v>0.28999999999999998</v>
      </c>
      <c r="Q49" s="441">
        <v>0.28999999999999998</v>
      </c>
      <c r="R49" s="441">
        <v>0.28999999999999998</v>
      </c>
      <c r="S49" s="441">
        <v>0.28000000000000003</v>
      </c>
      <c r="T49" s="441">
        <v>0.3</v>
      </c>
      <c r="U49" s="441">
        <v>0.28000000000000003</v>
      </c>
      <c r="V49" s="441">
        <v>0.28999999999999998</v>
      </c>
      <c r="W49" s="441">
        <v>0.28999999999999998</v>
      </c>
      <c r="X49" s="441">
        <v>0.28999999999999998</v>
      </c>
      <c r="Y49" s="441">
        <v>0.28000000000000003</v>
      </c>
      <c r="Z49" s="19">
        <f t="shared" si="22"/>
        <v>73.968174660281562</v>
      </c>
      <c r="AA49" s="19">
        <f t="shared" si="23"/>
        <v>73.968174660281562</v>
      </c>
      <c r="AB49" s="19">
        <f t="shared" si="0"/>
        <v>73.968174660281562</v>
      </c>
      <c r="AC49" s="19">
        <f t="shared" si="1"/>
        <v>73.968174660281562</v>
      </c>
      <c r="AD49" s="19">
        <f t="shared" si="2"/>
        <v>71.326454136700079</v>
      </c>
      <c r="AE49" s="19">
        <f t="shared" si="3"/>
        <v>71.326454136700079</v>
      </c>
      <c r="AF49" s="19">
        <f t="shared" si="4"/>
        <v>73.968174660281562</v>
      </c>
      <c r="AG49" s="19">
        <f t="shared" si="5"/>
        <v>73.968174660281562</v>
      </c>
      <c r="AH49" s="19">
        <f t="shared" si="6"/>
        <v>73.968174660281562</v>
      </c>
      <c r="AI49" s="19">
        <f t="shared" si="7"/>
        <v>76.609895183863046</v>
      </c>
      <c r="AJ49" s="19">
        <f t="shared" si="8"/>
        <v>76.609895183863046</v>
      </c>
      <c r="AK49" s="19">
        <f t="shared" si="9"/>
        <v>76.609895183863046</v>
      </c>
      <c r="AL49" s="19">
        <f t="shared" si="10"/>
        <v>73.968174660281562</v>
      </c>
      <c r="AM49" s="19">
        <f t="shared" si="11"/>
        <v>76.609895183863046</v>
      </c>
      <c r="AN49" s="19">
        <f t="shared" si="12"/>
        <v>76.609895183863046</v>
      </c>
      <c r="AO49" s="19">
        <f t="shared" si="13"/>
        <v>76.609895183863046</v>
      </c>
      <c r="AP49" s="19">
        <f t="shared" si="14"/>
        <v>76.609895183863046</v>
      </c>
      <c r="AQ49" s="19">
        <f t="shared" si="15"/>
        <v>73.968174660281562</v>
      </c>
      <c r="AR49" s="19">
        <f t="shared" si="16"/>
        <v>79.251615707444529</v>
      </c>
      <c r="AS49" s="19">
        <f t="shared" si="17"/>
        <v>73.968174660281562</v>
      </c>
      <c r="AT49" s="19">
        <f t="shared" si="18"/>
        <v>76.609895183863046</v>
      </c>
      <c r="AU49" s="19">
        <f t="shared" si="19"/>
        <v>76.609895183863046</v>
      </c>
      <c r="AV49" s="19">
        <f t="shared" si="20"/>
        <v>76.609895183863046</v>
      </c>
      <c r="AW49" s="19">
        <f t="shared" si="21"/>
        <v>73.968174660281562</v>
      </c>
      <c r="AX49" s="18">
        <f>IFERROR(Z49/'Ar-Pa'!B49,0)</f>
        <v>9.2460218325351953</v>
      </c>
      <c r="AY49" s="18">
        <f>IFERROR(AA49/'Ar-Pa'!C49,0)</f>
        <v>9.2460218325351953</v>
      </c>
      <c r="AZ49" s="18">
        <f>IFERROR(AB49/'Ar-Pa'!D49,0)</f>
        <v>9.2460218325351953</v>
      </c>
      <c r="BA49" s="18">
        <f>IFERROR(AC49/'Ar-Pa'!E49,0)</f>
        <v>9.2460218325351953</v>
      </c>
      <c r="BB49" s="18">
        <f>IFERROR(AD49/'Ar-Pa'!F49,0)</f>
        <v>8.9158067670875099</v>
      </c>
      <c r="BC49" s="18">
        <f>IFERROR(AE49/'Ar-Pa'!G49,0)</f>
        <v>8.9158067670875099</v>
      </c>
      <c r="BD49" s="18">
        <f>IFERROR(AF49/'Ar-Pa'!H49,0)</f>
        <v>10.566882094325937</v>
      </c>
      <c r="BE49" s="18">
        <f>IFERROR(AG49/'Ar-Pa'!I49,0)</f>
        <v>10.566882094325937</v>
      </c>
      <c r="BF49" s="18">
        <f>IFERROR(AH49/'Ar-Pa'!J49,0)</f>
        <v>9.2460218325351953</v>
      </c>
      <c r="BG49" s="18">
        <f>IFERROR(AI49/'Ar-Pa'!K49,0)</f>
        <v>9.5762368979828807</v>
      </c>
      <c r="BH49" s="18">
        <f>IFERROR(AJ49/'Ar-Pa'!L49,0)</f>
        <v>9.5762368979828807</v>
      </c>
      <c r="BI49" s="18">
        <f>IFERROR(AK49/'Ar-Pa'!M49,0)</f>
        <v>9.5762368979828807</v>
      </c>
      <c r="BJ49" s="18">
        <f>IFERROR(AL49/'Ar-Pa'!N49,0)</f>
        <v>9.2460218325351953</v>
      </c>
      <c r="BK49" s="18">
        <f>IFERROR(AM49/'Ar-Pa'!O49,0)</f>
        <v>9.5762368979828807</v>
      </c>
      <c r="BL49" s="18">
        <f>IFERROR(AN49/'Ar-Pa'!P49,0)</f>
        <v>9.5762368979828807</v>
      </c>
      <c r="BM49" s="18">
        <f>IFERROR(AO49/'Ar-Pa'!Q49,0)</f>
        <v>9.5762368979828807</v>
      </c>
      <c r="BN49" s="18">
        <f>IFERROR(AP49/'Ar-Pa'!R49,0)</f>
        <v>9.5762368979828807</v>
      </c>
      <c r="BO49" s="18">
        <f>IFERROR(AQ49/'Ar-Pa'!S49,0)</f>
        <v>9.2460218325351953</v>
      </c>
      <c r="BP49" s="18">
        <f>IFERROR(AR49/'Ar-Pa'!T49,0)</f>
        <v>9.9064519634305661</v>
      </c>
      <c r="BQ49" s="18">
        <f>IFERROR(AS49/'Ar-Pa'!U49,0)</f>
        <v>9.2460218325351953</v>
      </c>
      <c r="BR49" s="18">
        <f>IFERROR(AT49/'Ar-Pa'!V49,0)</f>
        <v>9.5762368979828807</v>
      </c>
      <c r="BS49" s="18">
        <f>IFERROR(AU49/'Ar-Pa'!W49,0)</f>
        <v>9.5762368979828807</v>
      </c>
      <c r="BT49" s="18">
        <f>IFERROR(AV49/'Ar-Pa'!X49,0)</f>
        <v>9.5762368979828807</v>
      </c>
      <c r="BU49" s="18">
        <f>IFERROR(AW49/'Ar-Pa'!Y49,0)</f>
        <v>9.2460218325351953</v>
      </c>
    </row>
    <row r="50" spans="1:73" s="12" customFormat="1" ht="15">
      <c r="A50" s="15">
        <v>44975</v>
      </c>
      <c r="B50" s="441">
        <v>0.31</v>
      </c>
      <c r="C50" s="441">
        <v>0.32</v>
      </c>
      <c r="D50" s="441">
        <v>0.31</v>
      </c>
      <c r="E50" s="441">
        <v>0.32</v>
      </c>
      <c r="F50" s="441">
        <v>0.32</v>
      </c>
      <c r="G50" s="441">
        <v>0.31</v>
      </c>
      <c r="H50" s="441">
        <v>0.31</v>
      </c>
      <c r="I50" s="441">
        <v>0.31</v>
      </c>
      <c r="J50" s="441">
        <v>0.28999999999999998</v>
      </c>
      <c r="K50" s="441">
        <v>0.28999999999999998</v>
      </c>
      <c r="L50" s="441">
        <v>0.32</v>
      </c>
      <c r="M50" s="441">
        <v>0.32</v>
      </c>
      <c r="N50" s="441">
        <v>0.31</v>
      </c>
      <c r="O50" s="441">
        <v>0.32</v>
      </c>
      <c r="P50" s="441">
        <v>0.32</v>
      </c>
      <c r="Q50" s="441">
        <v>0.3</v>
      </c>
      <c r="R50" s="441">
        <v>0.32</v>
      </c>
      <c r="S50" s="441">
        <v>0.32</v>
      </c>
      <c r="T50" s="441">
        <v>0.31</v>
      </c>
      <c r="U50" s="441">
        <v>0.32</v>
      </c>
      <c r="V50" s="441">
        <v>0.32</v>
      </c>
      <c r="W50" s="441">
        <v>0.31</v>
      </c>
      <c r="X50" s="441">
        <v>0.32</v>
      </c>
      <c r="Y50" s="441">
        <v>0.31</v>
      </c>
      <c r="Z50" s="19">
        <f t="shared" si="22"/>
        <v>81.893336231026012</v>
      </c>
      <c r="AA50" s="19">
        <f t="shared" si="23"/>
        <v>84.535056754607496</v>
      </c>
      <c r="AB50" s="19">
        <f t="shared" si="0"/>
        <v>81.893336231026012</v>
      </c>
      <c r="AC50" s="19">
        <f t="shared" si="1"/>
        <v>84.535056754607496</v>
      </c>
      <c r="AD50" s="19">
        <f t="shared" si="2"/>
        <v>84.535056754607496</v>
      </c>
      <c r="AE50" s="19">
        <f t="shared" si="3"/>
        <v>81.893336231026012</v>
      </c>
      <c r="AF50" s="19">
        <f t="shared" si="4"/>
        <v>81.893336231026012</v>
      </c>
      <c r="AG50" s="19">
        <f t="shared" si="5"/>
        <v>81.893336231026012</v>
      </c>
      <c r="AH50" s="19">
        <f t="shared" si="6"/>
        <v>76.609895183863046</v>
      </c>
      <c r="AI50" s="19">
        <f t="shared" si="7"/>
        <v>76.609895183863046</v>
      </c>
      <c r="AJ50" s="19">
        <f t="shared" si="8"/>
        <v>84.535056754607496</v>
      </c>
      <c r="AK50" s="19">
        <f t="shared" si="9"/>
        <v>84.535056754607496</v>
      </c>
      <c r="AL50" s="19">
        <f t="shared" si="10"/>
        <v>81.893336231026012</v>
      </c>
      <c r="AM50" s="19">
        <f t="shared" si="11"/>
        <v>84.535056754607496</v>
      </c>
      <c r="AN50" s="19">
        <f t="shared" si="12"/>
        <v>84.535056754607496</v>
      </c>
      <c r="AO50" s="19">
        <f t="shared" si="13"/>
        <v>79.251615707444529</v>
      </c>
      <c r="AP50" s="19">
        <f t="shared" si="14"/>
        <v>84.535056754607496</v>
      </c>
      <c r="AQ50" s="19">
        <f t="shared" si="15"/>
        <v>84.535056754607496</v>
      </c>
      <c r="AR50" s="19">
        <f t="shared" si="16"/>
        <v>81.893336231026012</v>
      </c>
      <c r="AS50" s="19">
        <f t="shared" si="17"/>
        <v>84.535056754607496</v>
      </c>
      <c r="AT50" s="19">
        <f t="shared" si="18"/>
        <v>84.535056754607496</v>
      </c>
      <c r="AU50" s="19">
        <f t="shared" si="19"/>
        <v>81.893336231026012</v>
      </c>
      <c r="AV50" s="19">
        <f t="shared" si="20"/>
        <v>84.535056754607496</v>
      </c>
      <c r="AW50" s="19">
        <f t="shared" si="21"/>
        <v>81.893336231026012</v>
      </c>
      <c r="AX50" s="18">
        <f>IFERROR(Z50/'Ar-Pa'!B50,0)</f>
        <v>9.0992595812251125</v>
      </c>
      <c r="AY50" s="18">
        <f>IFERROR(AA50/'Ar-Pa'!C50,0)</f>
        <v>9.3927840838452781</v>
      </c>
      <c r="AZ50" s="18">
        <f>IFERROR(AB50/'Ar-Pa'!D50,0)</f>
        <v>9.0992595812251125</v>
      </c>
      <c r="BA50" s="18">
        <f>IFERROR(AC50/'Ar-Pa'!E50,0)</f>
        <v>9.3927840838452781</v>
      </c>
      <c r="BB50" s="18">
        <f>IFERROR(AD50/'Ar-Pa'!F50,0)</f>
        <v>9.3927840838452781</v>
      </c>
      <c r="BC50" s="18">
        <f>IFERROR(AE50/'Ar-Pa'!G50,0)</f>
        <v>9.0992595812251125</v>
      </c>
      <c r="BD50" s="18">
        <f>IFERROR(AF50/'Ar-Pa'!H50,0)</f>
        <v>10.236667028878252</v>
      </c>
      <c r="BE50" s="18">
        <f>IFERROR(AG50/'Ar-Pa'!I50,0)</f>
        <v>10.236667028878252</v>
      </c>
      <c r="BF50" s="18">
        <f>IFERROR(AH50/'Ar-Pa'!J50,0)</f>
        <v>10.944270740551863</v>
      </c>
      <c r="BG50" s="18">
        <f>IFERROR(AI50/'Ar-Pa'!K50,0)</f>
        <v>9.5762368979828807</v>
      </c>
      <c r="BH50" s="18">
        <f>IFERROR(AJ50/'Ar-Pa'!L50,0)</f>
        <v>9.3927840838452781</v>
      </c>
      <c r="BI50" s="18">
        <f>IFERROR(AK50/'Ar-Pa'!M50,0)</f>
        <v>9.3927840838452781</v>
      </c>
      <c r="BJ50" s="18">
        <f>IFERROR(AL50/'Ar-Pa'!N50,0)</f>
        <v>9.0992595812251125</v>
      </c>
      <c r="BK50" s="18">
        <f>IFERROR(AM50/'Ar-Pa'!O50,0)</f>
        <v>9.3927840838452781</v>
      </c>
      <c r="BL50" s="18">
        <f>IFERROR(AN50/'Ar-Pa'!P50,0)</f>
        <v>9.3927840838452781</v>
      </c>
      <c r="BM50" s="18">
        <f>IFERROR(AO50/'Ar-Pa'!Q50,0)</f>
        <v>8.8057350786049469</v>
      </c>
      <c r="BN50" s="18">
        <f>IFERROR(AP50/'Ar-Pa'!R50,0)</f>
        <v>9.3927840838452781</v>
      </c>
      <c r="BO50" s="18">
        <f>IFERROR(AQ50/'Ar-Pa'!S50,0)</f>
        <v>9.3927840838452781</v>
      </c>
      <c r="BP50" s="18">
        <f>IFERROR(AR50/'Ar-Pa'!T50,0)</f>
        <v>9.0992595812251125</v>
      </c>
      <c r="BQ50" s="18">
        <f>IFERROR(AS50/'Ar-Pa'!U50,0)</f>
        <v>9.3927840838452781</v>
      </c>
      <c r="BR50" s="18">
        <f>IFERROR(AT50/'Ar-Pa'!V50,0)</f>
        <v>9.3927840838452781</v>
      </c>
      <c r="BS50" s="18">
        <f>IFERROR(AU50/'Ar-Pa'!W50,0)</f>
        <v>9.0992595812251125</v>
      </c>
      <c r="BT50" s="18">
        <f>IFERROR(AV50/'Ar-Pa'!X50,0)</f>
        <v>9.3927840838452781</v>
      </c>
      <c r="BU50" s="18">
        <f>IFERROR(AW50/'Ar-Pa'!Y50,0)</f>
        <v>9.0992595812251125</v>
      </c>
    </row>
    <row r="51" spans="1:73" s="12" customFormat="1" ht="15">
      <c r="A51" s="15">
        <v>44976</v>
      </c>
      <c r="B51" s="441">
        <v>0.32</v>
      </c>
      <c r="C51" s="441">
        <v>0.32</v>
      </c>
      <c r="D51" s="441">
        <v>0.32</v>
      </c>
      <c r="E51" s="441">
        <v>0.32</v>
      </c>
      <c r="F51" s="441">
        <v>0.32</v>
      </c>
      <c r="G51" s="441">
        <v>0.32</v>
      </c>
      <c r="H51" s="441">
        <v>0.32</v>
      </c>
      <c r="I51" s="441">
        <v>0.32</v>
      </c>
      <c r="J51" s="441">
        <v>0.31</v>
      </c>
      <c r="K51" s="441">
        <v>0.3</v>
      </c>
      <c r="L51" s="441">
        <v>0.32</v>
      </c>
      <c r="M51" s="441">
        <v>0.31</v>
      </c>
      <c r="N51" s="441">
        <v>0.32</v>
      </c>
      <c r="O51" s="441">
        <v>0.33</v>
      </c>
      <c r="P51" s="441">
        <v>0.31</v>
      </c>
      <c r="Q51" s="441">
        <v>0.32</v>
      </c>
      <c r="R51" s="441">
        <v>0.32</v>
      </c>
      <c r="S51" s="441">
        <v>0.32</v>
      </c>
      <c r="T51" s="441">
        <v>0.32</v>
      </c>
      <c r="U51" s="441">
        <v>0.32</v>
      </c>
      <c r="V51" s="441">
        <v>0.32</v>
      </c>
      <c r="W51" s="441">
        <v>0.32</v>
      </c>
      <c r="X51" s="441">
        <v>0.31</v>
      </c>
      <c r="Y51" s="441">
        <v>0.32</v>
      </c>
      <c r="Z51" s="19">
        <f t="shared" si="22"/>
        <v>84.535056754607496</v>
      </c>
      <c r="AA51" s="19">
        <f t="shared" si="23"/>
        <v>84.535056754607496</v>
      </c>
      <c r="AB51" s="19">
        <f t="shared" si="0"/>
        <v>84.535056754607496</v>
      </c>
      <c r="AC51" s="19">
        <f t="shared" si="1"/>
        <v>84.535056754607496</v>
      </c>
      <c r="AD51" s="19">
        <f t="shared" si="2"/>
        <v>84.535056754607496</v>
      </c>
      <c r="AE51" s="19">
        <f t="shared" si="3"/>
        <v>84.535056754607496</v>
      </c>
      <c r="AF51" s="19">
        <f t="shared" si="4"/>
        <v>84.535056754607496</v>
      </c>
      <c r="AG51" s="19">
        <f t="shared" si="5"/>
        <v>84.535056754607496</v>
      </c>
      <c r="AH51" s="19">
        <f t="shared" si="6"/>
        <v>81.893336231026012</v>
      </c>
      <c r="AI51" s="19">
        <f t="shared" si="7"/>
        <v>79.251615707444529</v>
      </c>
      <c r="AJ51" s="19">
        <f t="shared" si="8"/>
        <v>84.535056754607496</v>
      </c>
      <c r="AK51" s="19">
        <f t="shared" si="9"/>
        <v>81.893336231026012</v>
      </c>
      <c r="AL51" s="19">
        <f t="shared" si="10"/>
        <v>84.535056754607496</v>
      </c>
      <c r="AM51" s="19">
        <f t="shared" si="11"/>
        <v>87.176777278188979</v>
      </c>
      <c r="AN51" s="19">
        <f t="shared" si="12"/>
        <v>81.893336231026012</v>
      </c>
      <c r="AO51" s="19">
        <f t="shared" si="13"/>
        <v>84.535056754607496</v>
      </c>
      <c r="AP51" s="19">
        <f t="shared" si="14"/>
        <v>84.535056754607496</v>
      </c>
      <c r="AQ51" s="19">
        <f t="shared" si="15"/>
        <v>84.535056754607496</v>
      </c>
      <c r="AR51" s="19">
        <f t="shared" si="16"/>
        <v>84.535056754607496</v>
      </c>
      <c r="AS51" s="19">
        <f t="shared" si="17"/>
        <v>84.535056754607496</v>
      </c>
      <c r="AT51" s="19">
        <f t="shared" si="18"/>
        <v>84.535056754607496</v>
      </c>
      <c r="AU51" s="19">
        <f t="shared" si="19"/>
        <v>84.535056754607496</v>
      </c>
      <c r="AV51" s="19">
        <f t="shared" si="20"/>
        <v>81.893336231026012</v>
      </c>
      <c r="AW51" s="19">
        <f t="shared" si="21"/>
        <v>84.535056754607496</v>
      </c>
      <c r="AX51" s="18">
        <f>IFERROR(Z51/'Ar-Pa'!B51,0)</f>
        <v>9.3927840838452781</v>
      </c>
      <c r="AY51" s="18">
        <f>IFERROR(AA51/'Ar-Pa'!C51,0)</f>
        <v>9.3927840838452781</v>
      </c>
      <c r="AZ51" s="18">
        <f>IFERROR(AB51/'Ar-Pa'!D51,0)</f>
        <v>9.3927840838452781</v>
      </c>
      <c r="BA51" s="18">
        <f>IFERROR(AC51/'Ar-Pa'!E51,0)</f>
        <v>9.3927840838452781</v>
      </c>
      <c r="BB51" s="18">
        <f>IFERROR(AD51/'Ar-Pa'!F51,0)</f>
        <v>9.3927840838452781</v>
      </c>
      <c r="BC51" s="18">
        <f>IFERROR(AE51/'Ar-Pa'!G51,0)</f>
        <v>9.3927840838452781</v>
      </c>
      <c r="BD51" s="18">
        <f>IFERROR(AF51/'Ar-Pa'!H51,0)</f>
        <v>10.566882094325937</v>
      </c>
      <c r="BE51" s="18">
        <f>IFERROR(AG51/'Ar-Pa'!I51,0)</f>
        <v>10.566882094325937</v>
      </c>
      <c r="BF51" s="18">
        <f>IFERROR(AH51/'Ar-Pa'!J51,0)</f>
        <v>10.236667028878252</v>
      </c>
      <c r="BG51" s="18">
        <f>IFERROR(AI51/'Ar-Pa'!K51,0)</f>
        <v>9.9064519634305661</v>
      </c>
      <c r="BH51" s="18">
        <f>IFERROR(AJ51/'Ar-Pa'!L51,0)</f>
        <v>9.3927840838452781</v>
      </c>
      <c r="BI51" s="18">
        <f>IFERROR(AK51/'Ar-Pa'!M51,0)</f>
        <v>9.0992595812251125</v>
      </c>
      <c r="BJ51" s="18">
        <f>IFERROR(AL51/'Ar-Pa'!N51,0)</f>
        <v>9.3927840838452781</v>
      </c>
      <c r="BK51" s="18">
        <f>IFERROR(AM51/'Ar-Pa'!O51,0)</f>
        <v>9.6863085864654419</v>
      </c>
      <c r="BL51" s="18">
        <f>IFERROR(AN51/'Ar-Pa'!P51,0)</f>
        <v>9.0992595812251125</v>
      </c>
      <c r="BM51" s="18">
        <f>IFERROR(AO51/'Ar-Pa'!Q51,0)</f>
        <v>9.3927840838452781</v>
      </c>
      <c r="BN51" s="18">
        <f>IFERROR(AP51/'Ar-Pa'!R51,0)</f>
        <v>9.3927840838452781</v>
      </c>
      <c r="BO51" s="18">
        <f>IFERROR(AQ51/'Ar-Pa'!S51,0)</f>
        <v>9.3927840838452781</v>
      </c>
      <c r="BP51" s="18">
        <f>IFERROR(AR51/'Ar-Pa'!T51,0)</f>
        <v>9.3927840838452781</v>
      </c>
      <c r="BQ51" s="18">
        <f>IFERROR(AS51/'Ar-Pa'!U51,0)</f>
        <v>9.3927840838452781</v>
      </c>
      <c r="BR51" s="18">
        <f>IFERROR(AT51/'Ar-Pa'!V51,0)</f>
        <v>9.3927840838452781</v>
      </c>
      <c r="BS51" s="18">
        <f>IFERROR(AU51/'Ar-Pa'!W51,0)</f>
        <v>9.3927840838452781</v>
      </c>
      <c r="BT51" s="18">
        <f>IFERROR(AV51/'Ar-Pa'!X51,0)</f>
        <v>9.0992595812251125</v>
      </c>
      <c r="BU51" s="18">
        <f>IFERROR(AW51/'Ar-Pa'!Y51,0)</f>
        <v>9.3927840838452781</v>
      </c>
    </row>
    <row r="52" spans="1:73" s="12" customFormat="1" ht="15">
      <c r="A52" s="15">
        <v>44977</v>
      </c>
      <c r="B52" s="441">
        <v>0.27</v>
      </c>
      <c r="C52" s="441">
        <v>0.25</v>
      </c>
      <c r="D52" s="441">
        <v>0.26</v>
      </c>
      <c r="E52" s="441">
        <v>0.26</v>
      </c>
      <c r="F52" s="441">
        <v>0.26</v>
      </c>
      <c r="G52" s="441">
        <v>0.25</v>
      </c>
      <c r="H52" s="441">
        <v>0.25</v>
      </c>
      <c r="I52" s="441">
        <v>0.25</v>
      </c>
      <c r="J52" s="441">
        <v>0.26</v>
      </c>
      <c r="K52" s="441">
        <v>0.26</v>
      </c>
      <c r="L52" s="441">
        <v>0.26</v>
      </c>
      <c r="M52" s="441">
        <v>0.27</v>
      </c>
      <c r="N52" s="441">
        <v>0.26</v>
      </c>
      <c r="O52" s="441">
        <v>0.27</v>
      </c>
      <c r="P52" s="441">
        <v>0.26</v>
      </c>
      <c r="Q52" s="441">
        <v>0.26</v>
      </c>
      <c r="R52" s="441">
        <v>0.25</v>
      </c>
      <c r="S52" s="441">
        <v>0.26</v>
      </c>
      <c r="T52" s="441">
        <v>0.26</v>
      </c>
      <c r="U52" s="441">
        <v>0.27</v>
      </c>
      <c r="V52" s="441">
        <v>0.25</v>
      </c>
      <c r="W52" s="441">
        <v>0.27</v>
      </c>
      <c r="X52" s="441">
        <v>0.25</v>
      </c>
      <c r="Y52" s="441">
        <v>0.26</v>
      </c>
      <c r="Z52" s="19">
        <f t="shared" si="22"/>
        <v>71.326454136700079</v>
      </c>
      <c r="AA52" s="19">
        <f t="shared" si="23"/>
        <v>66.043013089537112</v>
      </c>
      <c r="AB52" s="19">
        <f t="shared" si="0"/>
        <v>68.684733613118595</v>
      </c>
      <c r="AC52" s="19">
        <f t="shared" si="1"/>
        <v>68.684733613118595</v>
      </c>
      <c r="AD52" s="19">
        <f t="shared" si="2"/>
        <v>68.684733613118595</v>
      </c>
      <c r="AE52" s="19">
        <f t="shared" si="3"/>
        <v>66.043013089537112</v>
      </c>
      <c r="AF52" s="19">
        <f t="shared" si="4"/>
        <v>66.043013089537112</v>
      </c>
      <c r="AG52" s="19">
        <f t="shared" si="5"/>
        <v>66.043013089537112</v>
      </c>
      <c r="AH52" s="19">
        <f t="shared" si="6"/>
        <v>68.684733613118595</v>
      </c>
      <c r="AI52" s="19">
        <f t="shared" si="7"/>
        <v>68.684733613118595</v>
      </c>
      <c r="AJ52" s="19">
        <f t="shared" si="8"/>
        <v>68.684733613118595</v>
      </c>
      <c r="AK52" s="19">
        <f t="shared" si="9"/>
        <v>71.326454136700079</v>
      </c>
      <c r="AL52" s="19">
        <f t="shared" si="10"/>
        <v>68.684733613118595</v>
      </c>
      <c r="AM52" s="19">
        <f t="shared" si="11"/>
        <v>71.326454136700079</v>
      </c>
      <c r="AN52" s="19">
        <f t="shared" si="12"/>
        <v>68.684733613118595</v>
      </c>
      <c r="AO52" s="19">
        <f t="shared" si="13"/>
        <v>68.684733613118595</v>
      </c>
      <c r="AP52" s="19">
        <f t="shared" si="14"/>
        <v>66.043013089537112</v>
      </c>
      <c r="AQ52" s="19">
        <f t="shared" si="15"/>
        <v>68.684733613118595</v>
      </c>
      <c r="AR52" s="19">
        <f t="shared" si="16"/>
        <v>68.684733613118595</v>
      </c>
      <c r="AS52" s="19">
        <f t="shared" si="17"/>
        <v>71.326454136700079</v>
      </c>
      <c r="AT52" s="19">
        <f t="shared" si="18"/>
        <v>66.043013089537112</v>
      </c>
      <c r="AU52" s="19">
        <f t="shared" si="19"/>
        <v>71.326454136700079</v>
      </c>
      <c r="AV52" s="19">
        <f t="shared" si="20"/>
        <v>66.043013089537112</v>
      </c>
      <c r="AW52" s="19">
        <f t="shared" si="21"/>
        <v>68.684733613118595</v>
      </c>
      <c r="AX52" s="18">
        <f>IFERROR(Z52/'Ar-Pa'!B52,0)</f>
        <v>8.9158067670875099</v>
      </c>
      <c r="AY52" s="18">
        <f>IFERROR(AA52/'Ar-Pa'!C52,0)</f>
        <v>8.255376636192139</v>
      </c>
      <c r="AZ52" s="18">
        <f>IFERROR(AB52/'Ar-Pa'!D52,0)</f>
        <v>8.5855917016398244</v>
      </c>
      <c r="BA52" s="18">
        <f>IFERROR(AC52/'Ar-Pa'!E52,0)</f>
        <v>8.5855917016398244</v>
      </c>
      <c r="BB52" s="18">
        <f>IFERROR(AD52/'Ar-Pa'!F52,0)</f>
        <v>8.5855917016398244</v>
      </c>
      <c r="BC52" s="18">
        <f>IFERROR(AE52/'Ar-Pa'!G52,0)</f>
        <v>9.4347161556481591</v>
      </c>
      <c r="BD52" s="18">
        <f>IFERROR(AF52/'Ar-Pa'!H52,0)</f>
        <v>9.4347161556481591</v>
      </c>
      <c r="BE52" s="18">
        <f>IFERROR(AG52/'Ar-Pa'!I52,0)</f>
        <v>9.4347161556481591</v>
      </c>
      <c r="BF52" s="18">
        <f>IFERROR(AH52/'Ar-Pa'!J52,0)</f>
        <v>9.8121048018740851</v>
      </c>
      <c r="BG52" s="18">
        <f>IFERROR(AI52/'Ar-Pa'!K52,0)</f>
        <v>8.5855917016398244</v>
      </c>
      <c r="BH52" s="18">
        <f>IFERROR(AJ52/'Ar-Pa'!L52,0)</f>
        <v>8.5855917016398244</v>
      </c>
      <c r="BI52" s="18">
        <f>IFERROR(AK52/'Ar-Pa'!M52,0)</f>
        <v>8.9158067670875099</v>
      </c>
      <c r="BJ52" s="18">
        <f>IFERROR(AL52/'Ar-Pa'!N52,0)</f>
        <v>8.5855917016398244</v>
      </c>
      <c r="BK52" s="18">
        <f>IFERROR(AM52/'Ar-Pa'!O52,0)</f>
        <v>8.9158067670875099</v>
      </c>
      <c r="BL52" s="18">
        <f>IFERROR(AN52/'Ar-Pa'!P52,0)</f>
        <v>8.5855917016398244</v>
      </c>
      <c r="BM52" s="18">
        <f>IFERROR(AO52/'Ar-Pa'!Q52,0)</f>
        <v>8.5855917016398244</v>
      </c>
      <c r="BN52" s="18">
        <f>IFERROR(AP52/'Ar-Pa'!R52,0)</f>
        <v>8.255376636192139</v>
      </c>
      <c r="BO52" s="18">
        <f>IFERROR(AQ52/'Ar-Pa'!S52,0)</f>
        <v>8.5855917016398244</v>
      </c>
      <c r="BP52" s="18">
        <f>IFERROR(AR52/'Ar-Pa'!T52,0)</f>
        <v>8.5855917016398244</v>
      </c>
      <c r="BQ52" s="18">
        <f>IFERROR(AS52/'Ar-Pa'!U52,0)</f>
        <v>8.9158067670875099</v>
      </c>
      <c r="BR52" s="18">
        <f>IFERROR(AT52/'Ar-Pa'!V52,0)</f>
        <v>8.255376636192139</v>
      </c>
      <c r="BS52" s="18">
        <f>IFERROR(AU52/'Ar-Pa'!W52,0)</f>
        <v>8.9158067670875099</v>
      </c>
      <c r="BT52" s="18">
        <f>IFERROR(AV52/'Ar-Pa'!X52,0)</f>
        <v>8.255376636192139</v>
      </c>
      <c r="BU52" s="18">
        <f>IFERROR(AW52/'Ar-Pa'!Y52,0)</f>
        <v>8.5855917016398244</v>
      </c>
    </row>
    <row r="53" spans="1:73" s="12" customFormat="1" ht="15">
      <c r="A53" s="15">
        <v>44978</v>
      </c>
      <c r="B53" s="441">
        <v>0.27</v>
      </c>
      <c r="C53" s="441">
        <v>0.27</v>
      </c>
      <c r="D53" s="441">
        <v>0.26</v>
      </c>
      <c r="E53" s="441">
        <v>0.27</v>
      </c>
      <c r="F53" s="441">
        <v>0.27</v>
      </c>
      <c r="G53" s="441">
        <v>0.27</v>
      </c>
      <c r="H53" s="441">
        <v>0.26</v>
      </c>
      <c r="I53" s="441">
        <v>0.27</v>
      </c>
      <c r="J53" s="441">
        <v>0.27</v>
      </c>
      <c r="K53" s="441">
        <v>0.27</v>
      </c>
      <c r="L53" s="441">
        <v>0.26</v>
      </c>
      <c r="M53" s="441">
        <v>0.27</v>
      </c>
      <c r="N53" s="441">
        <v>0.26</v>
      </c>
      <c r="O53" s="441">
        <v>0.27</v>
      </c>
      <c r="P53" s="441">
        <v>0.28000000000000003</v>
      </c>
      <c r="Q53" s="441">
        <v>0.26</v>
      </c>
      <c r="R53" s="441">
        <v>0.27</v>
      </c>
      <c r="S53" s="441">
        <v>0.27</v>
      </c>
      <c r="T53" s="441">
        <v>0.27</v>
      </c>
      <c r="U53" s="441">
        <v>0.27</v>
      </c>
      <c r="V53" s="441">
        <v>0.26</v>
      </c>
      <c r="W53" s="441">
        <v>0.27</v>
      </c>
      <c r="X53" s="441">
        <v>0.27</v>
      </c>
      <c r="Y53" s="441">
        <v>0.27</v>
      </c>
      <c r="Z53" s="19">
        <f t="shared" si="22"/>
        <v>71.326454136700079</v>
      </c>
      <c r="AA53" s="19">
        <f t="shared" si="23"/>
        <v>71.326454136700079</v>
      </c>
      <c r="AB53" s="19">
        <f t="shared" si="0"/>
        <v>68.684733613118595</v>
      </c>
      <c r="AC53" s="19">
        <f t="shared" si="1"/>
        <v>71.326454136700079</v>
      </c>
      <c r="AD53" s="19">
        <f t="shared" si="2"/>
        <v>71.326454136700079</v>
      </c>
      <c r="AE53" s="19">
        <f t="shared" si="3"/>
        <v>71.326454136700079</v>
      </c>
      <c r="AF53" s="19">
        <f t="shared" si="4"/>
        <v>68.684733613118595</v>
      </c>
      <c r="AG53" s="19">
        <f t="shared" si="5"/>
        <v>71.326454136700079</v>
      </c>
      <c r="AH53" s="19">
        <f t="shared" si="6"/>
        <v>71.326454136700079</v>
      </c>
      <c r="AI53" s="19">
        <f t="shared" si="7"/>
        <v>71.326454136700079</v>
      </c>
      <c r="AJ53" s="19">
        <f t="shared" si="8"/>
        <v>68.684733613118595</v>
      </c>
      <c r="AK53" s="19">
        <f t="shared" si="9"/>
        <v>71.326454136700079</v>
      </c>
      <c r="AL53" s="19">
        <f t="shared" si="10"/>
        <v>68.684733613118595</v>
      </c>
      <c r="AM53" s="19">
        <f t="shared" si="11"/>
        <v>71.326454136700079</v>
      </c>
      <c r="AN53" s="19">
        <f t="shared" si="12"/>
        <v>73.968174660281562</v>
      </c>
      <c r="AO53" s="19">
        <f t="shared" si="13"/>
        <v>68.684733613118595</v>
      </c>
      <c r="AP53" s="19">
        <f t="shared" si="14"/>
        <v>71.326454136700079</v>
      </c>
      <c r="AQ53" s="19">
        <f t="shared" si="15"/>
        <v>71.326454136700079</v>
      </c>
      <c r="AR53" s="19">
        <f t="shared" si="16"/>
        <v>71.326454136700079</v>
      </c>
      <c r="AS53" s="19">
        <f t="shared" si="17"/>
        <v>71.326454136700079</v>
      </c>
      <c r="AT53" s="19">
        <f t="shared" si="18"/>
        <v>68.684733613118595</v>
      </c>
      <c r="AU53" s="19">
        <f t="shared" si="19"/>
        <v>71.326454136700079</v>
      </c>
      <c r="AV53" s="19">
        <f t="shared" si="20"/>
        <v>71.326454136700079</v>
      </c>
      <c r="AW53" s="19">
        <f t="shared" si="21"/>
        <v>71.326454136700079</v>
      </c>
      <c r="AX53" s="18">
        <f>IFERROR(Z53/'Ar-Pa'!B53,0)</f>
        <v>8.9158067670875099</v>
      </c>
      <c r="AY53" s="18">
        <f>IFERROR(AA53/'Ar-Pa'!C53,0)</f>
        <v>8.9158067670875099</v>
      </c>
      <c r="AZ53" s="18">
        <f>IFERROR(AB53/'Ar-Pa'!D53,0)</f>
        <v>8.5855917016398244</v>
      </c>
      <c r="BA53" s="18">
        <f>IFERROR(AC53/'Ar-Pa'!E53,0)</f>
        <v>8.9158067670875099</v>
      </c>
      <c r="BB53" s="18">
        <f>IFERROR(AD53/'Ar-Pa'!F53,0)</f>
        <v>8.9158067670875099</v>
      </c>
      <c r="BC53" s="18">
        <f>IFERROR(AE53/'Ar-Pa'!G53,0)</f>
        <v>10.189493448100011</v>
      </c>
      <c r="BD53" s="18">
        <f>IFERROR(AF53/'Ar-Pa'!H53,0)</f>
        <v>9.8121048018740851</v>
      </c>
      <c r="BE53" s="18">
        <f>IFERROR(AG53/'Ar-Pa'!I53,0)</f>
        <v>10.189493448100011</v>
      </c>
      <c r="BF53" s="18">
        <f>IFERROR(AH53/'Ar-Pa'!J53,0)</f>
        <v>10.189493448100011</v>
      </c>
      <c r="BG53" s="18">
        <f>IFERROR(AI53/'Ar-Pa'!K53,0)</f>
        <v>8.9158067670875099</v>
      </c>
      <c r="BH53" s="18">
        <f>IFERROR(AJ53/'Ar-Pa'!L53,0)</f>
        <v>8.5855917016398244</v>
      </c>
      <c r="BI53" s="18">
        <f>IFERROR(AK53/'Ar-Pa'!M53,0)</f>
        <v>8.9158067670875099</v>
      </c>
      <c r="BJ53" s="18">
        <f>IFERROR(AL53/'Ar-Pa'!N53,0)</f>
        <v>8.5855917016398244</v>
      </c>
      <c r="BK53" s="18">
        <f>IFERROR(AM53/'Ar-Pa'!O53,0)</f>
        <v>8.9158067670875099</v>
      </c>
      <c r="BL53" s="18">
        <f>IFERROR(AN53/'Ar-Pa'!P53,0)</f>
        <v>9.2460218325351953</v>
      </c>
      <c r="BM53" s="18">
        <f>IFERROR(AO53/'Ar-Pa'!Q53,0)</f>
        <v>8.5855917016398244</v>
      </c>
      <c r="BN53" s="18">
        <f>IFERROR(AP53/'Ar-Pa'!R53,0)</f>
        <v>8.9158067670875099</v>
      </c>
      <c r="BO53" s="18">
        <f>IFERROR(AQ53/'Ar-Pa'!S53,0)</f>
        <v>8.9158067670875099</v>
      </c>
      <c r="BP53" s="18">
        <f>IFERROR(AR53/'Ar-Pa'!T53,0)</f>
        <v>8.9158067670875099</v>
      </c>
      <c r="BQ53" s="18">
        <f>IFERROR(AS53/'Ar-Pa'!U53,0)</f>
        <v>8.9158067670875099</v>
      </c>
      <c r="BR53" s="18">
        <f>IFERROR(AT53/'Ar-Pa'!V53,0)</f>
        <v>8.5855917016398244</v>
      </c>
      <c r="BS53" s="18">
        <f>IFERROR(AU53/'Ar-Pa'!W53,0)</f>
        <v>8.9158067670875099</v>
      </c>
      <c r="BT53" s="18">
        <f>IFERROR(AV53/'Ar-Pa'!X53,0)</f>
        <v>8.9158067670875099</v>
      </c>
      <c r="BU53" s="18">
        <f>IFERROR(AW53/'Ar-Pa'!Y53,0)</f>
        <v>8.9158067670875099</v>
      </c>
    </row>
    <row r="54" spans="1:73" s="12" customFormat="1" ht="15">
      <c r="A54" s="15">
        <v>44979</v>
      </c>
      <c r="B54" s="441">
        <v>0.26</v>
      </c>
      <c r="C54" s="441">
        <v>0.25</v>
      </c>
      <c r="D54" s="441">
        <v>0.26</v>
      </c>
      <c r="E54" s="441">
        <v>0.26</v>
      </c>
      <c r="F54" s="441">
        <v>0.26</v>
      </c>
      <c r="G54" s="441">
        <v>0.25</v>
      </c>
      <c r="H54" s="441">
        <v>0.26</v>
      </c>
      <c r="I54" s="441">
        <v>0.25</v>
      </c>
      <c r="J54" s="441">
        <v>0.25</v>
      </c>
      <c r="K54" s="441">
        <v>0.26</v>
      </c>
      <c r="L54" s="441">
        <v>0.25</v>
      </c>
      <c r="M54" s="441">
        <v>0.25</v>
      </c>
      <c r="N54" s="441">
        <v>0.3</v>
      </c>
      <c r="O54" s="441">
        <v>0.3</v>
      </c>
      <c r="P54" s="441">
        <v>0.3</v>
      </c>
      <c r="Q54" s="441">
        <v>0.28999999999999998</v>
      </c>
      <c r="R54" s="441">
        <v>0.3</v>
      </c>
      <c r="S54" s="441">
        <v>0.28999999999999998</v>
      </c>
      <c r="T54" s="441">
        <v>0.3</v>
      </c>
      <c r="U54" s="441">
        <v>0.3</v>
      </c>
      <c r="V54" s="441">
        <v>0.3</v>
      </c>
      <c r="W54" s="441">
        <v>0.3</v>
      </c>
      <c r="X54" s="441">
        <v>0.31</v>
      </c>
      <c r="Y54" s="441">
        <v>0.3</v>
      </c>
      <c r="Z54" s="19">
        <f t="shared" si="22"/>
        <v>68.684733613118595</v>
      </c>
      <c r="AA54" s="19">
        <f t="shared" si="23"/>
        <v>66.043013089537112</v>
      </c>
      <c r="AB54" s="19">
        <f t="shared" si="0"/>
        <v>68.684733613118595</v>
      </c>
      <c r="AC54" s="19">
        <f t="shared" si="1"/>
        <v>68.684733613118595</v>
      </c>
      <c r="AD54" s="19">
        <f t="shared" si="2"/>
        <v>68.684733613118595</v>
      </c>
      <c r="AE54" s="19">
        <f t="shared" si="3"/>
        <v>66.043013089537112</v>
      </c>
      <c r="AF54" s="19">
        <f t="shared" si="4"/>
        <v>68.684733613118595</v>
      </c>
      <c r="AG54" s="19">
        <f t="shared" si="5"/>
        <v>66.043013089537112</v>
      </c>
      <c r="AH54" s="19">
        <f t="shared" si="6"/>
        <v>66.043013089537112</v>
      </c>
      <c r="AI54" s="19">
        <f t="shared" si="7"/>
        <v>68.684733613118595</v>
      </c>
      <c r="AJ54" s="19">
        <f t="shared" si="8"/>
        <v>66.043013089537112</v>
      </c>
      <c r="AK54" s="19">
        <f t="shared" si="9"/>
        <v>66.043013089537112</v>
      </c>
      <c r="AL54" s="19">
        <f t="shared" si="10"/>
        <v>79.251615707444529</v>
      </c>
      <c r="AM54" s="19">
        <f t="shared" si="11"/>
        <v>79.251615707444529</v>
      </c>
      <c r="AN54" s="19">
        <f t="shared" si="12"/>
        <v>79.251615707444529</v>
      </c>
      <c r="AO54" s="19">
        <f t="shared" si="13"/>
        <v>76.609895183863046</v>
      </c>
      <c r="AP54" s="19">
        <f t="shared" si="14"/>
        <v>79.251615707444529</v>
      </c>
      <c r="AQ54" s="19">
        <f t="shared" si="15"/>
        <v>76.609895183863046</v>
      </c>
      <c r="AR54" s="19">
        <f t="shared" si="16"/>
        <v>79.251615707444529</v>
      </c>
      <c r="AS54" s="19">
        <f t="shared" si="17"/>
        <v>79.251615707444529</v>
      </c>
      <c r="AT54" s="19">
        <f t="shared" si="18"/>
        <v>79.251615707444529</v>
      </c>
      <c r="AU54" s="19">
        <f t="shared" si="19"/>
        <v>79.251615707444529</v>
      </c>
      <c r="AV54" s="19">
        <f t="shared" si="20"/>
        <v>81.893336231026012</v>
      </c>
      <c r="AW54" s="19">
        <f t="shared" si="21"/>
        <v>79.251615707444529</v>
      </c>
      <c r="AX54" s="18">
        <f>IFERROR(Z54/'Ar-Pa'!B54,0)</f>
        <v>8.5855917016398244</v>
      </c>
      <c r="AY54" s="18">
        <f>IFERROR(AA54/'Ar-Pa'!C54,0)</f>
        <v>8.255376636192139</v>
      </c>
      <c r="AZ54" s="18">
        <f>IFERROR(AB54/'Ar-Pa'!D54,0)</f>
        <v>8.5855917016398244</v>
      </c>
      <c r="BA54" s="18">
        <f>IFERROR(AC54/'Ar-Pa'!E54,0)</f>
        <v>8.5855917016398244</v>
      </c>
      <c r="BB54" s="18">
        <f>IFERROR(AD54/'Ar-Pa'!F54,0)</f>
        <v>8.5855917016398244</v>
      </c>
      <c r="BC54" s="18">
        <f>IFERROR(AE54/'Ar-Pa'!G54,0)</f>
        <v>8.255376636192139</v>
      </c>
      <c r="BD54" s="18">
        <f>IFERROR(AF54/'Ar-Pa'!H54,0)</f>
        <v>9.8121048018740851</v>
      </c>
      <c r="BE54" s="18">
        <f>IFERROR(AG54/'Ar-Pa'!I54,0)</f>
        <v>8.255376636192139</v>
      </c>
      <c r="BF54" s="18">
        <f>IFERROR(AH54/'Ar-Pa'!J54,0)</f>
        <v>9.4347161556481591</v>
      </c>
      <c r="BG54" s="18">
        <f>IFERROR(AI54/'Ar-Pa'!K54,0)</f>
        <v>8.5855917016398244</v>
      </c>
      <c r="BH54" s="18">
        <f>IFERROR(AJ54/'Ar-Pa'!L54,0)</f>
        <v>8.255376636192139</v>
      </c>
      <c r="BI54" s="18">
        <f>IFERROR(AK54/'Ar-Pa'!M54,0)</f>
        <v>8.255376636192139</v>
      </c>
      <c r="BJ54" s="18">
        <f>IFERROR(AL54/'Ar-Pa'!N54,0)</f>
        <v>8.8057350786049469</v>
      </c>
      <c r="BK54" s="18">
        <f>IFERROR(AM54/'Ar-Pa'!O54,0)</f>
        <v>8.8057350786049469</v>
      </c>
      <c r="BL54" s="18">
        <f>IFERROR(AN54/'Ar-Pa'!P54,0)</f>
        <v>8.8057350786049469</v>
      </c>
      <c r="BM54" s="18">
        <f>IFERROR(AO54/'Ar-Pa'!Q54,0)</f>
        <v>8.512210575984783</v>
      </c>
      <c r="BN54" s="18">
        <f>IFERROR(AP54/'Ar-Pa'!R54,0)</f>
        <v>8.8057350786049469</v>
      </c>
      <c r="BO54" s="18">
        <f>IFERROR(AQ54/'Ar-Pa'!S54,0)</f>
        <v>8.512210575984783</v>
      </c>
      <c r="BP54" s="18">
        <f>IFERROR(AR54/'Ar-Pa'!T54,0)</f>
        <v>8.8057350786049469</v>
      </c>
      <c r="BQ54" s="18">
        <f>IFERROR(AS54/'Ar-Pa'!U54,0)</f>
        <v>8.8057350786049469</v>
      </c>
      <c r="BR54" s="18">
        <f>IFERROR(AT54/'Ar-Pa'!V54,0)</f>
        <v>8.8057350786049469</v>
      </c>
      <c r="BS54" s="18">
        <f>IFERROR(AU54/'Ar-Pa'!W54,0)</f>
        <v>8.8057350786049469</v>
      </c>
      <c r="BT54" s="18">
        <f>IFERROR(AV54/'Ar-Pa'!X54,0)</f>
        <v>9.0992595812251125</v>
      </c>
      <c r="BU54" s="18">
        <f>IFERROR(AW54/'Ar-Pa'!Y54,0)</f>
        <v>8.8057350786049469</v>
      </c>
    </row>
    <row r="55" spans="1:73" s="12" customFormat="1" ht="15">
      <c r="A55" s="15">
        <v>44980</v>
      </c>
      <c r="B55" s="441">
        <v>0.33</v>
      </c>
      <c r="C55" s="441">
        <v>0.33</v>
      </c>
      <c r="D55" s="441">
        <v>0.32</v>
      </c>
      <c r="E55" s="441">
        <v>0.32</v>
      </c>
      <c r="F55" s="441">
        <v>0.33</v>
      </c>
      <c r="G55" s="441">
        <v>0.31</v>
      </c>
      <c r="H55" s="441">
        <v>0.3</v>
      </c>
      <c r="I55" s="441">
        <v>0.31</v>
      </c>
      <c r="J55" s="441">
        <v>0.31</v>
      </c>
      <c r="K55" s="441">
        <v>0.33</v>
      </c>
      <c r="L55" s="441">
        <v>0.32</v>
      </c>
      <c r="M55" s="441">
        <v>0.32</v>
      </c>
      <c r="N55" s="441">
        <v>0.32</v>
      </c>
      <c r="O55" s="441">
        <v>0.33</v>
      </c>
      <c r="P55" s="441">
        <v>0.32</v>
      </c>
      <c r="Q55" s="441">
        <v>0.32</v>
      </c>
      <c r="R55" s="441">
        <v>0.32</v>
      </c>
      <c r="S55" s="441">
        <v>0.32</v>
      </c>
      <c r="T55" s="441">
        <v>0.33</v>
      </c>
      <c r="U55" s="441">
        <v>0.32</v>
      </c>
      <c r="V55" s="441">
        <v>0.32</v>
      </c>
      <c r="W55" s="441">
        <v>0.32</v>
      </c>
      <c r="X55" s="441">
        <v>0.32</v>
      </c>
      <c r="Y55" s="441">
        <v>0.33</v>
      </c>
      <c r="Z55" s="19">
        <f t="shared" si="22"/>
        <v>87.176777278188979</v>
      </c>
      <c r="AA55" s="19">
        <f t="shared" si="23"/>
        <v>87.176777278188979</v>
      </c>
      <c r="AB55" s="19">
        <f t="shared" si="0"/>
        <v>84.535056754607496</v>
      </c>
      <c r="AC55" s="19">
        <f t="shared" si="1"/>
        <v>84.535056754607496</v>
      </c>
      <c r="AD55" s="19">
        <f t="shared" si="2"/>
        <v>87.176777278188979</v>
      </c>
      <c r="AE55" s="19">
        <f t="shared" si="3"/>
        <v>81.893336231026012</v>
      </c>
      <c r="AF55" s="19">
        <f t="shared" si="4"/>
        <v>79.251615707444529</v>
      </c>
      <c r="AG55" s="19">
        <f t="shared" si="5"/>
        <v>81.893336231026012</v>
      </c>
      <c r="AH55" s="19">
        <f t="shared" si="6"/>
        <v>81.893336231026012</v>
      </c>
      <c r="AI55" s="19">
        <f t="shared" si="7"/>
        <v>87.176777278188979</v>
      </c>
      <c r="AJ55" s="19">
        <f t="shared" si="8"/>
        <v>84.535056754607496</v>
      </c>
      <c r="AK55" s="19">
        <f t="shared" si="9"/>
        <v>84.535056754607496</v>
      </c>
      <c r="AL55" s="19">
        <f t="shared" si="10"/>
        <v>84.535056754607496</v>
      </c>
      <c r="AM55" s="19">
        <f t="shared" si="11"/>
        <v>87.176777278188979</v>
      </c>
      <c r="AN55" s="19">
        <f t="shared" si="12"/>
        <v>84.535056754607496</v>
      </c>
      <c r="AO55" s="19">
        <f t="shared" si="13"/>
        <v>84.535056754607496</v>
      </c>
      <c r="AP55" s="19">
        <f t="shared" si="14"/>
        <v>84.535056754607496</v>
      </c>
      <c r="AQ55" s="19">
        <f t="shared" si="15"/>
        <v>84.535056754607496</v>
      </c>
      <c r="AR55" s="19">
        <f t="shared" si="16"/>
        <v>87.176777278188979</v>
      </c>
      <c r="AS55" s="19">
        <f t="shared" si="17"/>
        <v>84.535056754607496</v>
      </c>
      <c r="AT55" s="19">
        <f t="shared" si="18"/>
        <v>84.535056754607496</v>
      </c>
      <c r="AU55" s="19">
        <f t="shared" si="19"/>
        <v>84.535056754607496</v>
      </c>
      <c r="AV55" s="19">
        <f t="shared" si="20"/>
        <v>84.535056754607496</v>
      </c>
      <c r="AW55" s="19">
        <f t="shared" si="21"/>
        <v>87.176777278188979</v>
      </c>
      <c r="AX55" s="18">
        <f>IFERROR(Z55/'Ar-Pa'!B55,0)</f>
        <v>9.6863085864654419</v>
      </c>
      <c r="AY55" s="18">
        <f>IFERROR(AA55/'Ar-Pa'!C55,0)</f>
        <v>9.6863085864654419</v>
      </c>
      <c r="AZ55" s="18">
        <f>IFERROR(AB55/'Ar-Pa'!D55,0)</f>
        <v>9.3927840838452781</v>
      </c>
      <c r="BA55" s="18">
        <f>IFERROR(AC55/'Ar-Pa'!E55,0)</f>
        <v>9.3927840838452781</v>
      </c>
      <c r="BB55" s="18">
        <f>IFERROR(AD55/'Ar-Pa'!F55,0)</f>
        <v>9.6863085864654419</v>
      </c>
      <c r="BC55" s="18">
        <f>IFERROR(AE55/'Ar-Pa'!G55,0)</f>
        <v>11.699048033003717</v>
      </c>
      <c r="BD55" s="18">
        <f>IFERROR(AF55/'Ar-Pa'!H55,0)</f>
        <v>11.321659386777791</v>
      </c>
      <c r="BE55" s="18">
        <f>IFERROR(AG55/'Ar-Pa'!I55,0)</f>
        <v>11.699048033003717</v>
      </c>
      <c r="BF55" s="18">
        <f>IFERROR(AH55/'Ar-Pa'!J55,0)</f>
        <v>10.236667028878252</v>
      </c>
      <c r="BG55" s="18">
        <f>IFERROR(AI55/'Ar-Pa'!K55,0)</f>
        <v>9.6863085864654419</v>
      </c>
      <c r="BH55" s="18">
        <f>IFERROR(AJ55/'Ar-Pa'!L55,0)</f>
        <v>9.3927840838452781</v>
      </c>
      <c r="BI55" s="18">
        <f>IFERROR(AK55/'Ar-Pa'!M55,0)</f>
        <v>9.3927840838452781</v>
      </c>
      <c r="BJ55" s="18">
        <f>IFERROR(AL55/'Ar-Pa'!N55,0)</f>
        <v>9.3927840838452781</v>
      </c>
      <c r="BK55" s="18">
        <f>IFERROR(AM55/'Ar-Pa'!O55,0)</f>
        <v>9.6863085864654419</v>
      </c>
      <c r="BL55" s="18">
        <f>IFERROR(AN55/'Ar-Pa'!P55,0)</f>
        <v>9.3927840838452781</v>
      </c>
      <c r="BM55" s="18">
        <f>IFERROR(AO55/'Ar-Pa'!Q55,0)</f>
        <v>9.3927840838452781</v>
      </c>
      <c r="BN55" s="18">
        <f>IFERROR(AP55/'Ar-Pa'!R55,0)</f>
        <v>9.3927840838452781</v>
      </c>
      <c r="BO55" s="18">
        <f>IFERROR(AQ55/'Ar-Pa'!S55,0)</f>
        <v>9.3927840838452781</v>
      </c>
      <c r="BP55" s="18">
        <f>IFERROR(AR55/'Ar-Pa'!T55,0)</f>
        <v>9.6863085864654419</v>
      </c>
      <c r="BQ55" s="18">
        <f>IFERROR(AS55/'Ar-Pa'!U55,0)</f>
        <v>9.3927840838452781</v>
      </c>
      <c r="BR55" s="18">
        <f>IFERROR(AT55/'Ar-Pa'!V55,0)</f>
        <v>9.3927840838452781</v>
      </c>
      <c r="BS55" s="18">
        <f>IFERROR(AU55/'Ar-Pa'!W55,0)</f>
        <v>9.3927840838452781</v>
      </c>
      <c r="BT55" s="18">
        <f>IFERROR(AV55/'Ar-Pa'!X55,0)</f>
        <v>9.3927840838452781</v>
      </c>
      <c r="BU55" s="18">
        <f>IFERROR(AW55/'Ar-Pa'!Y55,0)</f>
        <v>9.6863085864654419</v>
      </c>
    </row>
    <row r="56" spans="1:73" s="12" customFormat="1" ht="15">
      <c r="A56" s="15">
        <v>44981</v>
      </c>
      <c r="B56" s="441">
        <v>0.31</v>
      </c>
      <c r="C56" s="441">
        <v>0.31</v>
      </c>
      <c r="D56" s="441">
        <v>0.32</v>
      </c>
      <c r="E56" s="441">
        <v>0.31</v>
      </c>
      <c r="F56" s="441">
        <v>0.3</v>
      </c>
      <c r="G56" s="441">
        <v>0.3</v>
      </c>
      <c r="H56" s="441">
        <v>0.31</v>
      </c>
      <c r="I56" s="441">
        <v>0.28999999999999998</v>
      </c>
      <c r="J56" s="441">
        <v>0.28999999999999998</v>
      </c>
      <c r="K56" s="441">
        <v>0.28999999999999998</v>
      </c>
      <c r="L56" s="441">
        <v>0.3</v>
      </c>
      <c r="M56" s="441">
        <v>0.31</v>
      </c>
      <c r="N56" s="441">
        <v>0.33</v>
      </c>
      <c r="O56" s="441">
        <v>0.31</v>
      </c>
      <c r="P56" s="441">
        <v>0.32</v>
      </c>
      <c r="Q56" s="441">
        <v>0.32</v>
      </c>
      <c r="R56" s="441">
        <v>0.31</v>
      </c>
      <c r="S56" s="441">
        <v>0.32</v>
      </c>
      <c r="T56" s="441">
        <v>0.32</v>
      </c>
      <c r="U56" s="441">
        <v>0.32</v>
      </c>
      <c r="V56" s="441">
        <v>0.31</v>
      </c>
      <c r="W56" s="441">
        <v>0.32</v>
      </c>
      <c r="X56" s="441">
        <v>0.32</v>
      </c>
      <c r="Y56" s="441">
        <v>0.32</v>
      </c>
      <c r="Z56" s="19">
        <f t="shared" si="22"/>
        <v>81.893336231026012</v>
      </c>
      <c r="AA56" s="19">
        <f t="shared" si="23"/>
        <v>81.893336231026012</v>
      </c>
      <c r="AB56" s="19">
        <f t="shared" si="0"/>
        <v>84.535056754607496</v>
      </c>
      <c r="AC56" s="19">
        <f t="shared" si="1"/>
        <v>81.893336231026012</v>
      </c>
      <c r="AD56" s="19">
        <f t="shared" si="2"/>
        <v>79.251615707444529</v>
      </c>
      <c r="AE56" s="19">
        <f t="shared" si="3"/>
        <v>79.251615707444529</v>
      </c>
      <c r="AF56" s="19">
        <f t="shared" si="4"/>
        <v>81.893336231026012</v>
      </c>
      <c r="AG56" s="19">
        <f t="shared" si="5"/>
        <v>76.609895183863046</v>
      </c>
      <c r="AH56" s="19">
        <f t="shared" si="6"/>
        <v>76.609895183863046</v>
      </c>
      <c r="AI56" s="19">
        <f t="shared" si="7"/>
        <v>76.609895183863046</v>
      </c>
      <c r="AJ56" s="19">
        <f t="shared" si="8"/>
        <v>79.251615707444529</v>
      </c>
      <c r="AK56" s="19">
        <f t="shared" si="9"/>
        <v>81.893336231026012</v>
      </c>
      <c r="AL56" s="19">
        <f t="shared" si="10"/>
        <v>87.176777278188979</v>
      </c>
      <c r="AM56" s="19">
        <f t="shared" si="11"/>
        <v>81.893336231026012</v>
      </c>
      <c r="AN56" s="19">
        <f t="shared" si="12"/>
        <v>84.535056754607496</v>
      </c>
      <c r="AO56" s="19">
        <f t="shared" si="13"/>
        <v>84.535056754607496</v>
      </c>
      <c r="AP56" s="19">
        <f t="shared" si="14"/>
        <v>81.893336231026012</v>
      </c>
      <c r="AQ56" s="19">
        <f t="shared" si="15"/>
        <v>84.535056754607496</v>
      </c>
      <c r="AR56" s="19">
        <f t="shared" si="16"/>
        <v>84.535056754607496</v>
      </c>
      <c r="AS56" s="19">
        <f t="shared" si="17"/>
        <v>84.535056754607496</v>
      </c>
      <c r="AT56" s="19">
        <f t="shared" si="18"/>
        <v>81.893336231026012</v>
      </c>
      <c r="AU56" s="19">
        <f t="shared" si="19"/>
        <v>84.535056754607496</v>
      </c>
      <c r="AV56" s="19">
        <f t="shared" si="20"/>
        <v>84.535056754607496</v>
      </c>
      <c r="AW56" s="19">
        <f t="shared" si="21"/>
        <v>84.535056754607496</v>
      </c>
      <c r="AX56" s="18">
        <f>IFERROR(Z56/'Ar-Pa'!B56,0)</f>
        <v>9.0992595812251125</v>
      </c>
      <c r="AY56" s="18">
        <f>IFERROR(AA56/'Ar-Pa'!C56,0)</f>
        <v>9.0992595812251125</v>
      </c>
      <c r="AZ56" s="18">
        <f>IFERROR(AB56/'Ar-Pa'!D56,0)</f>
        <v>9.3927840838452781</v>
      </c>
      <c r="BA56" s="18">
        <f>IFERROR(AC56/'Ar-Pa'!E56,0)</f>
        <v>9.0992595812251125</v>
      </c>
      <c r="BB56" s="18">
        <f>IFERROR(AD56/'Ar-Pa'!F56,0)</f>
        <v>8.8057350786049469</v>
      </c>
      <c r="BC56" s="18">
        <f>IFERROR(AE56/'Ar-Pa'!G56,0)</f>
        <v>9.9064519634305661</v>
      </c>
      <c r="BD56" s="18">
        <f>IFERROR(AF56/'Ar-Pa'!H56,0)</f>
        <v>10.236667028878252</v>
      </c>
      <c r="BE56" s="18">
        <f>IFERROR(AG56/'Ar-Pa'!I56,0)</f>
        <v>10.944270740551863</v>
      </c>
      <c r="BF56" s="18">
        <f>IFERROR(AH56/'Ar-Pa'!J56,0)</f>
        <v>10.944270740551863</v>
      </c>
      <c r="BG56" s="18">
        <f>IFERROR(AI56/'Ar-Pa'!K56,0)</f>
        <v>10.944270740551863</v>
      </c>
      <c r="BH56" s="18">
        <f>IFERROR(AJ56/'Ar-Pa'!L56,0)</f>
        <v>11.321659386777791</v>
      </c>
      <c r="BI56" s="18">
        <f>IFERROR(AK56/'Ar-Pa'!M56,0)</f>
        <v>9.0992595812251125</v>
      </c>
      <c r="BJ56" s="18">
        <f>IFERROR(AL56/'Ar-Pa'!N56,0)</f>
        <v>9.6863085864654419</v>
      </c>
      <c r="BK56" s="18">
        <f>IFERROR(AM56/'Ar-Pa'!O56,0)</f>
        <v>9.0992595812251125</v>
      </c>
      <c r="BL56" s="18">
        <f>IFERROR(AN56/'Ar-Pa'!P56,0)</f>
        <v>9.3927840838452781</v>
      </c>
      <c r="BM56" s="18">
        <f>IFERROR(AO56/'Ar-Pa'!Q56,0)</f>
        <v>9.3927840838452781</v>
      </c>
      <c r="BN56" s="18">
        <f>IFERROR(AP56/'Ar-Pa'!R56,0)</f>
        <v>9.0992595812251125</v>
      </c>
      <c r="BO56" s="18">
        <f>IFERROR(AQ56/'Ar-Pa'!S56,0)</f>
        <v>9.3927840838452781</v>
      </c>
      <c r="BP56" s="18">
        <f>IFERROR(AR56/'Ar-Pa'!T56,0)</f>
        <v>9.3927840838452781</v>
      </c>
      <c r="BQ56" s="18">
        <f>IFERROR(AS56/'Ar-Pa'!U56,0)</f>
        <v>9.3927840838452781</v>
      </c>
      <c r="BR56" s="18">
        <f>IFERROR(AT56/'Ar-Pa'!V56,0)</f>
        <v>9.0992595812251125</v>
      </c>
      <c r="BS56" s="18">
        <f>IFERROR(AU56/'Ar-Pa'!W56,0)</f>
        <v>9.3927840838452781</v>
      </c>
      <c r="BT56" s="18">
        <f>IFERROR(AV56/'Ar-Pa'!X56,0)</f>
        <v>9.3927840838452781</v>
      </c>
      <c r="BU56" s="18">
        <f>IFERROR(AW56/'Ar-Pa'!Y56,0)</f>
        <v>9.3927840838452781</v>
      </c>
    </row>
    <row r="57" spans="1:73" s="12" customFormat="1" ht="15">
      <c r="A57" s="15">
        <v>44982</v>
      </c>
      <c r="B57" s="441">
        <v>0.28999999999999998</v>
      </c>
      <c r="C57" s="441">
        <v>0.28999999999999998</v>
      </c>
      <c r="D57" s="441">
        <v>0.28000000000000003</v>
      </c>
      <c r="E57" s="441">
        <v>0.28000000000000003</v>
      </c>
      <c r="F57" s="441">
        <v>0.28999999999999998</v>
      </c>
      <c r="G57" s="441">
        <v>0.26</v>
      </c>
      <c r="H57" s="441">
        <v>0.27</v>
      </c>
      <c r="I57" s="441">
        <v>0.28000000000000003</v>
      </c>
      <c r="J57" s="441">
        <v>0.28999999999999998</v>
      </c>
      <c r="K57" s="441">
        <v>0.28000000000000003</v>
      </c>
      <c r="L57" s="441">
        <v>0.28999999999999998</v>
      </c>
      <c r="M57" s="441">
        <v>0.28000000000000003</v>
      </c>
      <c r="N57" s="441">
        <v>0.28000000000000003</v>
      </c>
      <c r="O57" s="441">
        <v>0.28999999999999998</v>
      </c>
      <c r="P57" s="441">
        <v>0.28000000000000003</v>
      </c>
      <c r="Q57" s="441">
        <v>0.28000000000000003</v>
      </c>
      <c r="R57" s="441">
        <v>0.28999999999999998</v>
      </c>
      <c r="S57" s="441">
        <v>0.28000000000000003</v>
      </c>
      <c r="T57" s="441">
        <v>0.28000000000000003</v>
      </c>
      <c r="U57" s="441">
        <v>0.28000000000000003</v>
      </c>
      <c r="V57" s="441">
        <v>0.28999999999999998</v>
      </c>
      <c r="W57" s="441">
        <v>0.28000000000000003</v>
      </c>
      <c r="X57" s="441">
        <v>0.28000000000000003</v>
      </c>
      <c r="Y57" s="441">
        <v>0.27</v>
      </c>
      <c r="Z57" s="19">
        <f t="shared" si="22"/>
        <v>76.609895183863046</v>
      </c>
      <c r="AA57" s="19">
        <f t="shared" si="23"/>
        <v>76.609895183863046</v>
      </c>
      <c r="AB57" s="19">
        <f t="shared" si="0"/>
        <v>73.968174660281562</v>
      </c>
      <c r="AC57" s="19">
        <f t="shared" si="1"/>
        <v>73.968174660281562</v>
      </c>
      <c r="AD57" s="19">
        <f t="shared" si="2"/>
        <v>76.609895183863046</v>
      </c>
      <c r="AE57" s="19">
        <f t="shared" si="3"/>
        <v>68.684733613118595</v>
      </c>
      <c r="AF57" s="19">
        <f t="shared" si="4"/>
        <v>71.326454136700079</v>
      </c>
      <c r="AG57" s="19">
        <f t="shared" si="5"/>
        <v>73.968174660281562</v>
      </c>
      <c r="AH57" s="19">
        <f t="shared" si="6"/>
        <v>76.609895183863046</v>
      </c>
      <c r="AI57" s="19">
        <f t="shared" si="7"/>
        <v>73.968174660281562</v>
      </c>
      <c r="AJ57" s="19">
        <f t="shared" si="8"/>
        <v>76.609895183863046</v>
      </c>
      <c r="AK57" s="19">
        <f t="shared" si="9"/>
        <v>73.968174660281562</v>
      </c>
      <c r="AL57" s="19">
        <f t="shared" si="10"/>
        <v>73.968174660281562</v>
      </c>
      <c r="AM57" s="19">
        <f t="shared" si="11"/>
        <v>76.609895183863046</v>
      </c>
      <c r="AN57" s="19">
        <f t="shared" si="12"/>
        <v>73.968174660281562</v>
      </c>
      <c r="AO57" s="19">
        <f t="shared" si="13"/>
        <v>73.968174660281562</v>
      </c>
      <c r="AP57" s="19">
        <f t="shared" si="14"/>
        <v>76.609895183863046</v>
      </c>
      <c r="AQ57" s="19">
        <f t="shared" si="15"/>
        <v>73.968174660281562</v>
      </c>
      <c r="AR57" s="19">
        <f t="shared" si="16"/>
        <v>73.968174660281562</v>
      </c>
      <c r="AS57" s="19">
        <f t="shared" si="17"/>
        <v>73.968174660281562</v>
      </c>
      <c r="AT57" s="19">
        <f t="shared" si="18"/>
        <v>76.609895183863046</v>
      </c>
      <c r="AU57" s="19">
        <f t="shared" si="19"/>
        <v>73.968174660281562</v>
      </c>
      <c r="AV57" s="19">
        <f t="shared" si="20"/>
        <v>73.968174660281562</v>
      </c>
      <c r="AW57" s="19">
        <f t="shared" si="21"/>
        <v>71.326454136700079</v>
      </c>
      <c r="AX57" s="18">
        <f>IFERROR(Z57/'Ar-Pa'!B57,0)</f>
        <v>9.5762368979828807</v>
      </c>
      <c r="AY57" s="18">
        <f>IFERROR(AA57/'Ar-Pa'!C57,0)</f>
        <v>9.5762368979828807</v>
      </c>
      <c r="AZ57" s="18">
        <f>IFERROR(AB57/'Ar-Pa'!D57,0)</f>
        <v>9.2460218325351953</v>
      </c>
      <c r="BA57" s="18">
        <f>IFERROR(AC57/'Ar-Pa'!E57,0)</f>
        <v>9.2460218325351953</v>
      </c>
      <c r="BB57" s="18">
        <f>IFERROR(AD57/'Ar-Pa'!F57,0)</f>
        <v>9.5762368979828807</v>
      </c>
      <c r="BC57" s="18">
        <f>IFERROR(AE57/'Ar-Pa'!G57,0)</f>
        <v>8.5855917016398244</v>
      </c>
      <c r="BD57" s="18">
        <f>IFERROR(AF57/'Ar-Pa'!H57,0)</f>
        <v>11.88774235611668</v>
      </c>
      <c r="BE57" s="18">
        <f>IFERROR(AG57/'Ar-Pa'!I57,0)</f>
        <v>10.566882094325937</v>
      </c>
      <c r="BF57" s="18">
        <f>IFERROR(AH57/'Ar-Pa'!J57,0)</f>
        <v>10.944270740551863</v>
      </c>
      <c r="BG57" s="18">
        <f>IFERROR(AI57/'Ar-Pa'!K57,0)</f>
        <v>9.2460218325351953</v>
      </c>
      <c r="BH57" s="18">
        <f>IFERROR(AJ57/'Ar-Pa'!L57,0)</f>
        <v>9.5762368979828807</v>
      </c>
      <c r="BI57" s="18">
        <f>IFERROR(AK57/'Ar-Pa'!M57,0)</f>
        <v>9.2460218325351953</v>
      </c>
      <c r="BJ57" s="18">
        <f>IFERROR(AL57/'Ar-Pa'!N57,0)</f>
        <v>9.2460218325351953</v>
      </c>
      <c r="BK57" s="18">
        <f>IFERROR(AM57/'Ar-Pa'!O57,0)</f>
        <v>9.5762368979828807</v>
      </c>
      <c r="BL57" s="18">
        <f>IFERROR(AN57/'Ar-Pa'!P57,0)</f>
        <v>9.2460218325351953</v>
      </c>
      <c r="BM57" s="18">
        <f>IFERROR(AO57/'Ar-Pa'!Q57,0)</f>
        <v>9.2460218325351953</v>
      </c>
      <c r="BN57" s="18">
        <f>IFERROR(AP57/'Ar-Pa'!R57,0)</f>
        <v>9.5762368979828807</v>
      </c>
      <c r="BO57" s="18">
        <f>IFERROR(AQ57/'Ar-Pa'!S57,0)</f>
        <v>9.2460218325351953</v>
      </c>
      <c r="BP57" s="18">
        <f>IFERROR(AR57/'Ar-Pa'!T57,0)</f>
        <v>9.2460218325351953</v>
      </c>
      <c r="BQ57" s="18">
        <f>IFERROR(AS57/'Ar-Pa'!U57,0)</f>
        <v>9.2460218325351953</v>
      </c>
      <c r="BR57" s="18">
        <f>IFERROR(AT57/'Ar-Pa'!V57,0)</f>
        <v>9.5762368979828807</v>
      </c>
      <c r="BS57" s="18">
        <f>IFERROR(AU57/'Ar-Pa'!W57,0)</f>
        <v>9.2460218325351953</v>
      </c>
      <c r="BT57" s="18">
        <f>IFERROR(AV57/'Ar-Pa'!X57,0)</f>
        <v>9.2460218325351953</v>
      </c>
      <c r="BU57" s="18">
        <f>IFERROR(AW57/'Ar-Pa'!Y57,0)</f>
        <v>8.9158067670875099</v>
      </c>
    </row>
    <row r="58" spans="1:73" s="12" customFormat="1" ht="15">
      <c r="A58" s="15">
        <v>44983</v>
      </c>
      <c r="B58" s="441">
        <v>0.28999999999999998</v>
      </c>
      <c r="C58" s="441">
        <v>0.28000000000000003</v>
      </c>
      <c r="D58" s="441">
        <v>0.28999999999999998</v>
      </c>
      <c r="E58" s="441">
        <v>0.28000000000000003</v>
      </c>
      <c r="F58" s="441">
        <v>0.28000000000000003</v>
      </c>
      <c r="G58" s="441">
        <v>0.28000000000000003</v>
      </c>
      <c r="H58" s="441">
        <v>0.08</v>
      </c>
      <c r="I58" s="441">
        <v>0.04</v>
      </c>
      <c r="J58" s="441">
        <v>0.01</v>
      </c>
      <c r="K58" s="441">
        <v>0.09</v>
      </c>
      <c r="L58" s="441">
        <v>0.22</v>
      </c>
      <c r="M58" s="441">
        <v>0.27</v>
      </c>
      <c r="N58" s="441">
        <v>0.28999999999999998</v>
      </c>
      <c r="O58" s="441">
        <v>0.28999999999999998</v>
      </c>
      <c r="P58" s="441">
        <v>0.28000000000000003</v>
      </c>
      <c r="Q58" s="441">
        <v>0.28999999999999998</v>
      </c>
      <c r="R58" s="441">
        <v>0.28999999999999998</v>
      </c>
      <c r="S58" s="441">
        <v>0.28000000000000003</v>
      </c>
      <c r="T58" s="441">
        <v>0.28000000000000003</v>
      </c>
      <c r="U58" s="441">
        <v>0.28999999999999998</v>
      </c>
      <c r="V58" s="441">
        <v>0.28999999999999998</v>
      </c>
      <c r="W58" s="441">
        <v>0.28000000000000003</v>
      </c>
      <c r="X58" s="441">
        <v>0.28000000000000003</v>
      </c>
      <c r="Y58" s="441">
        <v>0.28999999999999998</v>
      </c>
      <c r="Z58" s="19">
        <f t="shared" si="22"/>
        <v>76.609895183863046</v>
      </c>
      <c r="AA58" s="19">
        <f t="shared" si="23"/>
        <v>73.968174660281562</v>
      </c>
      <c r="AB58" s="19">
        <f t="shared" si="0"/>
        <v>76.609895183863046</v>
      </c>
      <c r="AC58" s="19">
        <f t="shared" si="1"/>
        <v>73.968174660281562</v>
      </c>
      <c r="AD58" s="19">
        <f t="shared" si="2"/>
        <v>73.968174660281562</v>
      </c>
      <c r="AE58" s="19">
        <f t="shared" si="3"/>
        <v>73.968174660281562</v>
      </c>
      <c r="AF58" s="19">
        <f t="shared" si="4"/>
        <v>21.133764188651874</v>
      </c>
      <c r="AG58" s="19">
        <f t="shared" si="5"/>
        <v>10.566882094325937</v>
      </c>
      <c r="AH58" s="19">
        <f t="shared" si="6"/>
        <v>2.6417205235814842</v>
      </c>
      <c r="AI58" s="19">
        <f t="shared" si="7"/>
        <v>23.775484712233357</v>
      </c>
      <c r="AJ58" s="19">
        <f t="shared" si="8"/>
        <v>58.117851518792655</v>
      </c>
      <c r="AK58" s="19">
        <f t="shared" si="9"/>
        <v>71.326454136700079</v>
      </c>
      <c r="AL58" s="19">
        <f t="shared" si="10"/>
        <v>76.609895183863046</v>
      </c>
      <c r="AM58" s="19">
        <f t="shared" si="11"/>
        <v>76.609895183863046</v>
      </c>
      <c r="AN58" s="19">
        <f t="shared" si="12"/>
        <v>73.968174660281562</v>
      </c>
      <c r="AO58" s="19">
        <f t="shared" si="13"/>
        <v>76.609895183863046</v>
      </c>
      <c r="AP58" s="19">
        <f t="shared" si="14"/>
        <v>76.609895183863046</v>
      </c>
      <c r="AQ58" s="19">
        <f t="shared" si="15"/>
        <v>73.968174660281562</v>
      </c>
      <c r="AR58" s="19">
        <f t="shared" si="16"/>
        <v>73.968174660281562</v>
      </c>
      <c r="AS58" s="19">
        <f t="shared" si="17"/>
        <v>76.609895183863046</v>
      </c>
      <c r="AT58" s="19">
        <f t="shared" si="18"/>
        <v>76.609895183863046</v>
      </c>
      <c r="AU58" s="19">
        <f t="shared" si="19"/>
        <v>73.968174660281562</v>
      </c>
      <c r="AV58" s="19">
        <f t="shared" si="20"/>
        <v>73.968174660281562</v>
      </c>
      <c r="AW58" s="19">
        <f t="shared" si="21"/>
        <v>76.609895183863046</v>
      </c>
      <c r="AX58" s="18">
        <f>IFERROR(Z58/'Ar-Pa'!B58,0)</f>
        <v>9.5762368979828807</v>
      </c>
      <c r="AY58" s="18">
        <f>IFERROR(AA58/'Ar-Pa'!C58,0)</f>
        <v>9.2460218325351953</v>
      </c>
      <c r="AZ58" s="18">
        <f>IFERROR(AB58/'Ar-Pa'!D58,0)</f>
        <v>9.5762368979828807</v>
      </c>
      <c r="BA58" s="18">
        <f>IFERROR(AC58/'Ar-Pa'!E58,0)</f>
        <v>9.2460218325351953</v>
      </c>
      <c r="BB58" s="18">
        <f>IFERROR(AD58/'Ar-Pa'!F58,0)</f>
        <v>9.2460218325351953</v>
      </c>
      <c r="BC58" s="18">
        <f>IFERROR(AE58/'Ar-Pa'!G58,0)</f>
        <v>9.2460218325351953</v>
      </c>
      <c r="BD58" s="18">
        <f>IFERROR(AF58/'Ar-Pa'!H58,0)</f>
        <v>10.566882094325937</v>
      </c>
      <c r="BE58" s="18">
        <f>IFERROR(AG58/'Ar-Pa'!I58,0)</f>
        <v>5.2834410471629685</v>
      </c>
      <c r="BF58" s="18">
        <f>IFERROR(AH58/'Ar-Pa'!J58,0)</f>
        <v>1.3208602617907421</v>
      </c>
      <c r="BG58" s="18">
        <f>IFERROR(AI58/'Ar-Pa'!K58,0)</f>
        <v>4.7550969424466718</v>
      </c>
      <c r="BH58" s="18">
        <f>IFERROR(AJ58/'Ar-Pa'!L58,0)</f>
        <v>9.6863085864654419</v>
      </c>
      <c r="BI58" s="18">
        <f>IFERROR(AK58/'Ar-Pa'!M58,0)</f>
        <v>10.189493448100011</v>
      </c>
      <c r="BJ58" s="18">
        <f>IFERROR(AL58/'Ar-Pa'!N58,0)</f>
        <v>9.5762368979828807</v>
      </c>
      <c r="BK58" s="18">
        <f>IFERROR(AM58/'Ar-Pa'!O58,0)</f>
        <v>9.5762368979828807</v>
      </c>
      <c r="BL58" s="18">
        <f>IFERROR(AN58/'Ar-Pa'!P58,0)</f>
        <v>9.2460218325351953</v>
      </c>
      <c r="BM58" s="18">
        <f>IFERROR(AO58/'Ar-Pa'!Q58,0)</f>
        <v>9.5762368979828807</v>
      </c>
      <c r="BN58" s="18">
        <f>IFERROR(AP58/'Ar-Pa'!R58,0)</f>
        <v>9.5762368979828807</v>
      </c>
      <c r="BO58" s="18">
        <f>IFERROR(AQ58/'Ar-Pa'!S58,0)</f>
        <v>9.2460218325351953</v>
      </c>
      <c r="BP58" s="18">
        <f>IFERROR(AR58/'Ar-Pa'!T58,0)</f>
        <v>9.2460218325351953</v>
      </c>
      <c r="BQ58" s="18">
        <f>IFERROR(AS58/'Ar-Pa'!U58,0)</f>
        <v>9.5762368979828807</v>
      </c>
      <c r="BR58" s="18">
        <f>IFERROR(AT58/'Ar-Pa'!V58,0)</f>
        <v>9.5762368979828807</v>
      </c>
      <c r="BS58" s="18">
        <f>IFERROR(AU58/'Ar-Pa'!W58,0)</f>
        <v>9.2460218325351953</v>
      </c>
      <c r="BT58" s="18">
        <f>IFERROR(AV58/'Ar-Pa'!X58,0)</f>
        <v>9.2460218325351953</v>
      </c>
      <c r="BU58" s="18">
        <f>IFERROR(AW58/'Ar-Pa'!Y58,0)</f>
        <v>9.5762368979828807</v>
      </c>
    </row>
    <row r="59" spans="1:73" s="12" customFormat="1" ht="15">
      <c r="A59" s="15">
        <v>44984</v>
      </c>
      <c r="B59" s="441">
        <v>0.27</v>
      </c>
      <c r="C59" s="441">
        <v>0.28999999999999998</v>
      </c>
      <c r="D59" s="441">
        <v>0.27</v>
      </c>
      <c r="E59" s="441">
        <v>0.28000000000000003</v>
      </c>
      <c r="F59" s="441">
        <v>0.27</v>
      </c>
      <c r="G59" s="441">
        <v>0.27</v>
      </c>
      <c r="H59" s="441">
        <v>0.27</v>
      </c>
      <c r="I59" s="441">
        <v>0.28000000000000003</v>
      </c>
      <c r="J59" s="441">
        <v>0.27</v>
      </c>
      <c r="K59" s="441">
        <v>0.28000000000000003</v>
      </c>
      <c r="L59" s="441">
        <v>0.28000000000000003</v>
      </c>
      <c r="M59" s="441">
        <v>0.27</v>
      </c>
      <c r="N59" s="441">
        <v>0.28000000000000003</v>
      </c>
      <c r="O59" s="441">
        <v>0.27</v>
      </c>
      <c r="P59" s="441">
        <v>0.28000000000000003</v>
      </c>
      <c r="Q59" s="441">
        <v>0.28000000000000003</v>
      </c>
      <c r="R59" s="441">
        <v>0.28000000000000003</v>
      </c>
      <c r="S59" s="441">
        <v>0.27</v>
      </c>
      <c r="T59" s="441">
        <v>0.28000000000000003</v>
      </c>
      <c r="U59" s="441">
        <v>0.28000000000000003</v>
      </c>
      <c r="V59" s="441">
        <v>0.27</v>
      </c>
      <c r="W59" s="441">
        <v>0.28000000000000003</v>
      </c>
      <c r="X59" s="441">
        <v>0.27</v>
      </c>
      <c r="Y59" s="441">
        <v>0.28000000000000003</v>
      </c>
      <c r="Z59" s="19">
        <f t="shared" si="22"/>
        <v>71.326454136700079</v>
      </c>
      <c r="AA59" s="19">
        <f t="shared" si="23"/>
        <v>76.609895183863046</v>
      </c>
      <c r="AB59" s="19">
        <f t="shared" si="0"/>
        <v>71.326454136700079</v>
      </c>
      <c r="AC59" s="19">
        <f t="shared" si="1"/>
        <v>73.968174660281562</v>
      </c>
      <c r="AD59" s="19">
        <f t="shared" si="2"/>
        <v>71.326454136700079</v>
      </c>
      <c r="AE59" s="19">
        <f t="shared" si="3"/>
        <v>71.326454136700079</v>
      </c>
      <c r="AF59" s="19">
        <f t="shared" si="4"/>
        <v>71.326454136700079</v>
      </c>
      <c r="AG59" s="19">
        <f t="shared" si="5"/>
        <v>73.968174660281562</v>
      </c>
      <c r="AH59" s="19">
        <f t="shared" si="6"/>
        <v>71.326454136700079</v>
      </c>
      <c r="AI59" s="19">
        <f t="shared" si="7"/>
        <v>73.968174660281562</v>
      </c>
      <c r="AJ59" s="19">
        <f t="shared" si="8"/>
        <v>73.968174660281562</v>
      </c>
      <c r="AK59" s="19">
        <f t="shared" si="9"/>
        <v>71.326454136700079</v>
      </c>
      <c r="AL59" s="19">
        <f t="shared" si="10"/>
        <v>73.968174660281562</v>
      </c>
      <c r="AM59" s="19">
        <f t="shared" si="11"/>
        <v>71.326454136700079</v>
      </c>
      <c r="AN59" s="19">
        <f t="shared" si="12"/>
        <v>73.968174660281562</v>
      </c>
      <c r="AO59" s="19">
        <f t="shared" si="13"/>
        <v>73.968174660281562</v>
      </c>
      <c r="AP59" s="19">
        <f t="shared" si="14"/>
        <v>73.968174660281562</v>
      </c>
      <c r="AQ59" s="19">
        <f t="shared" si="15"/>
        <v>71.326454136700079</v>
      </c>
      <c r="AR59" s="19">
        <f t="shared" si="16"/>
        <v>73.968174660281562</v>
      </c>
      <c r="AS59" s="19">
        <f t="shared" si="17"/>
        <v>73.968174660281562</v>
      </c>
      <c r="AT59" s="19">
        <f t="shared" si="18"/>
        <v>71.326454136700079</v>
      </c>
      <c r="AU59" s="19">
        <f t="shared" si="19"/>
        <v>73.968174660281562</v>
      </c>
      <c r="AV59" s="19">
        <f t="shared" si="20"/>
        <v>71.326454136700079</v>
      </c>
      <c r="AW59" s="19">
        <f t="shared" si="21"/>
        <v>73.968174660281562</v>
      </c>
      <c r="AX59" s="18">
        <f>IFERROR(Z59/'Ar-Pa'!B59,0)</f>
        <v>8.9158067670875099</v>
      </c>
      <c r="AY59" s="18">
        <f>IFERROR(AA59/'Ar-Pa'!C59,0)</f>
        <v>9.5762368979828807</v>
      </c>
      <c r="AZ59" s="18">
        <f>IFERROR(AB59/'Ar-Pa'!D59,0)</f>
        <v>8.9158067670875099</v>
      </c>
      <c r="BA59" s="18">
        <f>IFERROR(AC59/'Ar-Pa'!E59,0)</f>
        <v>9.2460218325351953</v>
      </c>
      <c r="BB59" s="18">
        <f>IFERROR(AD59/'Ar-Pa'!F59,0)</f>
        <v>8.9158067670875099</v>
      </c>
      <c r="BC59" s="18">
        <f>IFERROR(AE59/'Ar-Pa'!G59,0)</f>
        <v>10.189493448100011</v>
      </c>
      <c r="BD59" s="18">
        <f>IFERROR(AF59/'Ar-Pa'!H59,0)</f>
        <v>10.189493448100011</v>
      </c>
      <c r="BE59" s="18">
        <f>IFERROR(AG59/'Ar-Pa'!I59,0)</f>
        <v>10.566882094325937</v>
      </c>
      <c r="BF59" s="18">
        <f>IFERROR(AH59/'Ar-Pa'!J59,0)</f>
        <v>8.9158067670875099</v>
      </c>
      <c r="BG59" s="18">
        <f>IFERROR(AI59/'Ar-Pa'!K59,0)</f>
        <v>9.2460218325351953</v>
      </c>
      <c r="BH59" s="18">
        <f>IFERROR(AJ59/'Ar-Pa'!L59,0)</f>
        <v>9.2460218325351953</v>
      </c>
      <c r="BI59" s="18">
        <f>IFERROR(AK59/'Ar-Pa'!M59,0)</f>
        <v>8.9158067670875099</v>
      </c>
      <c r="BJ59" s="18">
        <f>IFERROR(AL59/'Ar-Pa'!N59,0)</f>
        <v>9.2460218325351953</v>
      </c>
      <c r="BK59" s="18">
        <f>IFERROR(AM59/'Ar-Pa'!O59,0)</f>
        <v>8.9158067670875099</v>
      </c>
      <c r="BL59" s="18">
        <f>IFERROR(AN59/'Ar-Pa'!P59,0)</f>
        <v>9.2460218325351953</v>
      </c>
      <c r="BM59" s="18">
        <f>IFERROR(AO59/'Ar-Pa'!Q59,0)</f>
        <v>9.2460218325351953</v>
      </c>
      <c r="BN59" s="18">
        <f>IFERROR(AP59/'Ar-Pa'!R59,0)</f>
        <v>9.2460218325351953</v>
      </c>
      <c r="BO59" s="18">
        <f>IFERROR(AQ59/'Ar-Pa'!S59,0)</f>
        <v>8.9158067670875099</v>
      </c>
      <c r="BP59" s="18">
        <f>IFERROR(AR59/'Ar-Pa'!T59,0)</f>
        <v>9.2460218325351953</v>
      </c>
      <c r="BQ59" s="18">
        <f>IFERROR(AS59/'Ar-Pa'!U59,0)</f>
        <v>9.2460218325351953</v>
      </c>
      <c r="BR59" s="18">
        <f>IFERROR(AT59/'Ar-Pa'!V59,0)</f>
        <v>8.9158067670875099</v>
      </c>
      <c r="BS59" s="18">
        <f>IFERROR(AU59/'Ar-Pa'!W59,0)</f>
        <v>9.2460218325351953</v>
      </c>
      <c r="BT59" s="18">
        <f>IFERROR(AV59/'Ar-Pa'!X59,0)</f>
        <v>8.9158067670875099</v>
      </c>
      <c r="BU59" s="18">
        <f>IFERROR(AW59/'Ar-Pa'!Y59,0)</f>
        <v>9.2460218325351953</v>
      </c>
    </row>
    <row r="60" spans="1:73" s="12" customFormat="1" ht="15">
      <c r="A60" s="15">
        <v>44985</v>
      </c>
      <c r="B60" s="441">
        <v>0.28000000000000003</v>
      </c>
      <c r="C60" s="441">
        <v>0.28000000000000003</v>
      </c>
      <c r="D60" s="441">
        <v>0.28000000000000003</v>
      </c>
      <c r="E60" s="441">
        <v>0.28000000000000003</v>
      </c>
      <c r="F60" s="441">
        <v>0.28999999999999998</v>
      </c>
      <c r="G60" s="441">
        <v>0.26</v>
      </c>
      <c r="H60" s="441">
        <v>0.28000000000000003</v>
      </c>
      <c r="I60" s="441">
        <v>0.28999999999999998</v>
      </c>
      <c r="J60" s="441">
        <v>0.28000000000000003</v>
      </c>
      <c r="K60" s="441">
        <v>0.28000000000000003</v>
      </c>
      <c r="L60" s="441">
        <v>0.28000000000000003</v>
      </c>
      <c r="M60" s="441">
        <v>0.28000000000000003</v>
      </c>
      <c r="N60" s="441">
        <v>0.28999999999999998</v>
      </c>
      <c r="O60" s="441">
        <v>0.27</v>
      </c>
      <c r="P60" s="441">
        <v>0.28999999999999998</v>
      </c>
      <c r="Q60" s="441">
        <v>0.28000000000000003</v>
      </c>
      <c r="R60" s="441">
        <v>0.28999999999999998</v>
      </c>
      <c r="S60" s="441">
        <v>0.28000000000000003</v>
      </c>
      <c r="T60" s="441">
        <v>0.28000000000000003</v>
      </c>
      <c r="U60" s="441">
        <v>0.28999999999999998</v>
      </c>
      <c r="V60" s="441">
        <v>0.28000000000000003</v>
      </c>
      <c r="W60" s="441">
        <v>0.28000000000000003</v>
      </c>
      <c r="X60" s="441">
        <v>0.28999999999999998</v>
      </c>
      <c r="Y60" s="441">
        <v>0.28000000000000003</v>
      </c>
      <c r="Z60" s="19">
        <f t="shared" si="22"/>
        <v>73.968174660281562</v>
      </c>
      <c r="AA60" s="19">
        <f t="shared" si="23"/>
        <v>73.968174660281562</v>
      </c>
      <c r="AB60" s="19">
        <f t="shared" si="0"/>
        <v>73.968174660281562</v>
      </c>
      <c r="AC60" s="19">
        <f t="shared" si="1"/>
        <v>73.968174660281562</v>
      </c>
      <c r="AD60" s="19">
        <f t="shared" si="2"/>
        <v>76.609895183863046</v>
      </c>
      <c r="AE60" s="19">
        <f t="shared" si="3"/>
        <v>68.684733613118595</v>
      </c>
      <c r="AF60" s="19">
        <f t="shared" si="4"/>
        <v>73.968174660281562</v>
      </c>
      <c r="AG60" s="19">
        <f t="shared" si="5"/>
        <v>76.609895183863046</v>
      </c>
      <c r="AH60" s="19">
        <f t="shared" si="6"/>
        <v>73.968174660281562</v>
      </c>
      <c r="AI60" s="19">
        <f t="shared" si="7"/>
        <v>73.968174660281562</v>
      </c>
      <c r="AJ60" s="19">
        <f t="shared" si="8"/>
        <v>73.968174660281562</v>
      </c>
      <c r="AK60" s="19">
        <f t="shared" si="9"/>
        <v>73.968174660281562</v>
      </c>
      <c r="AL60" s="19">
        <f t="shared" si="10"/>
        <v>76.609895183863046</v>
      </c>
      <c r="AM60" s="19">
        <f t="shared" si="11"/>
        <v>71.326454136700079</v>
      </c>
      <c r="AN60" s="19">
        <f t="shared" si="12"/>
        <v>76.609895183863046</v>
      </c>
      <c r="AO60" s="19">
        <f t="shared" si="13"/>
        <v>73.968174660281562</v>
      </c>
      <c r="AP60" s="19">
        <f t="shared" si="14"/>
        <v>76.609895183863046</v>
      </c>
      <c r="AQ60" s="19">
        <f t="shared" si="15"/>
        <v>73.968174660281562</v>
      </c>
      <c r="AR60" s="19">
        <f t="shared" si="16"/>
        <v>73.968174660281562</v>
      </c>
      <c r="AS60" s="19">
        <f t="shared" si="17"/>
        <v>76.609895183863046</v>
      </c>
      <c r="AT60" s="19">
        <f t="shared" si="18"/>
        <v>73.968174660281562</v>
      </c>
      <c r="AU60" s="19">
        <f t="shared" si="19"/>
        <v>73.968174660281562</v>
      </c>
      <c r="AV60" s="19">
        <f t="shared" si="20"/>
        <v>76.609895183863046</v>
      </c>
      <c r="AW60" s="19">
        <f t="shared" si="21"/>
        <v>73.968174660281562</v>
      </c>
      <c r="AX60" s="18">
        <f>IFERROR(Z60/'Ar-Pa'!B60,0)</f>
        <v>9.2460218325351953</v>
      </c>
      <c r="AY60" s="18">
        <f>IFERROR(AA60/'Ar-Pa'!C60,0)</f>
        <v>9.2460218325351953</v>
      </c>
      <c r="AZ60" s="18">
        <f>IFERROR(AB60/'Ar-Pa'!D60,0)</f>
        <v>9.2460218325351953</v>
      </c>
      <c r="BA60" s="18">
        <f>IFERROR(AC60/'Ar-Pa'!E60,0)</f>
        <v>9.2460218325351953</v>
      </c>
      <c r="BB60" s="18">
        <f>IFERROR(AD60/'Ar-Pa'!F60,0)</f>
        <v>9.5762368979828807</v>
      </c>
      <c r="BC60" s="18">
        <f>IFERROR(AE60/'Ar-Pa'!G60,0)</f>
        <v>8.5855917016398244</v>
      </c>
      <c r="BD60" s="18">
        <f>IFERROR(AF60/'Ar-Pa'!H60,0)</f>
        <v>10.566882094325937</v>
      </c>
      <c r="BE60" s="18">
        <f>IFERROR(AG60/'Ar-Pa'!I60,0)</f>
        <v>10.944270740551863</v>
      </c>
      <c r="BF60" s="18">
        <f>IFERROR(AH60/'Ar-Pa'!J60,0)</f>
        <v>10.566882094325937</v>
      </c>
      <c r="BG60" s="18">
        <f>IFERROR(AI60/'Ar-Pa'!K60,0)</f>
        <v>9.2460218325351953</v>
      </c>
      <c r="BH60" s="18">
        <f>IFERROR(AJ60/'Ar-Pa'!L60,0)</f>
        <v>9.2460218325351953</v>
      </c>
      <c r="BI60" s="18">
        <f>IFERROR(AK60/'Ar-Pa'!M60,0)</f>
        <v>9.2460218325351953</v>
      </c>
      <c r="BJ60" s="18">
        <f>IFERROR(AL60/'Ar-Pa'!N60,0)</f>
        <v>9.5762368979828807</v>
      </c>
      <c r="BK60" s="18">
        <f>IFERROR(AM60/'Ar-Pa'!O60,0)</f>
        <v>8.9158067670875099</v>
      </c>
      <c r="BL60" s="18">
        <f>IFERROR(AN60/'Ar-Pa'!P60,0)</f>
        <v>9.5762368979828807</v>
      </c>
      <c r="BM60" s="18">
        <f>IFERROR(AO60/'Ar-Pa'!Q60,0)</f>
        <v>9.2460218325351953</v>
      </c>
      <c r="BN60" s="18">
        <f>IFERROR(AP60/'Ar-Pa'!R60,0)</f>
        <v>9.5762368979828807</v>
      </c>
      <c r="BO60" s="18">
        <f>IFERROR(AQ60/'Ar-Pa'!S60,0)</f>
        <v>9.2460218325351953</v>
      </c>
      <c r="BP60" s="18">
        <f>IFERROR(AR60/'Ar-Pa'!T60,0)</f>
        <v>9.2460218325351953</v>
      </c>
      <c r="BQ60" s="18">
        <f>IFERROR(AS60/'Ar-Pa'!U60,0)</f>
        <v>9.5762368979828807</v>
      </c>
      <c r="BR60" s="18">
        <f>IFERROR(AT60/'Ar-Pa'!V60,0)</f>
        <v>9.2460218325351953</v>
      </c>
      <c r="BS60" s="18">
        <f>IFERROR(AU60/'Ar-Pa'!W60,0)</f>
        <v>9.2460218325351953</v>
      </c>
      <c r="BT60" s="18">
        <f>IFERROR(AV60/'Ar-Pa'!X60,0)</f>
        <v>9.5762368979828807</v>
      </c>
      <c r="BU60" s="18">
        <f>IFERROR(AW60/'Ar-Pa'!Y60,0)</f>
        <v>9.2460218325351953</v>
      </c>
    </row>
    <row r="61" spans="1:73" s="12" customFormat="1" ht="15">
      <c r="A61" s="15">
        <v>44986</v>
      </c>
      <c r="B61" s="441">
        <v>0.25</v>
      </c>
      <c r="C61" s="441">
        <v>0.26</v>
      </c>
      <c r="D61" s="441">
        <v>0.26</v>
      </c>
      <c r="E61" s="441">
        <v>0.26</v>
      </c>
      <c r="F61" s="441">
        <v>0.26</v>
      </c>
      <c r="G61" s="441">
        <v>0.25</v>
      </c>
      <c r="H61" s="441">
        <v>0.26</v>
      </c>
      <c r="I61" s="441">
        <v>0.26</v>
      </c>
      <c r="J61" s="441">
        <v>0.26</v>
      </c>
      <c r="K61" s="441">
        <v>0.26</v>
      </c>
      <c r="L61" s="441">
        <v>0.27</v>
      </c>
      <c r="M61" s="441">
        <v>0.26</v>
      </c>
      <c r="N61" s="441">
        <v>0.26</v>
      </c>
      <c r="O61" s="441">
        <v>0.27</v>
      </c>
      <c r="P61" s="441">
        <v>0.26</v>
      </c>
      <c r="Q61" s="441">
        <v>0.26</v>
      </c>
      <c r="R61" s="441">
        <v>0.27</v>
      </c>
      <c r="S61" s="441">
        <v>0.25</v>
      </c>
      <c r="T61" s="441">
        <v>0.26</v>
      </c>
      <c r="U61" s="441">
        <v>0.26</v>
      </c>
      <c r="V61" s="441">
        <v>0.27</v>
      </c>
      <c r="W61" s="441">
        <v>0.31</v>
      </c>
      <c r="X61" s="441">
        <v>0.32</v>
      </c>
      <c r="Y61" s="441">
        <v>0.32</v>
      </c>
      <c r="Z61" s="19">
        <f t="shared" si="22"/>
        <v>66.043013089537112</v>
      </c>
      <c r="AA61" s="19">
        <f t="shared" si="23"/>
        <v>68.684733613118595</v>
      </c>
      <c r="AB61" s="19">
        <f t="shared" si="0"/>
        <v>68.684733613118595</v>
      </c>
      <c r="AC61" s="19">
        <f t="shared" si="1"/>
        <v>68.684733613118595</v>
      </c>
      <c r="AD61" s="19">
        <f t="shared" si="2"/>
        <v>68.684733613118595</v>
      </c>
      <c r="AE61" s="19">
        <f t="shared" si="3"/>
        <v>66.043013089537112</v>
      </c>
      <c r="AF61" s="19">
        <f t="shared" si="4"/>
        <v>68.684733613118595</v>
      </c>
      <c r="AG61" s="19">
        <f t="shared" si="5"/>
        <v>68.684733613118595</v>
      </c>
      <c r="AH61" s="19">
        <f t="shared" si="6"/>
        <v>68.684733613118595</v>
      </c>
      <c r="AI61" s="19">
        <f t="shared" si="7"/>
        <v>68.684733613118595</v>
      </c>
      <c r="AJ61" s="19">
        <f t="shared" si="8"/>
        <v>71.326454136700079</v>
      </c>
      <c r="AK61" s="19">
        <f t="shared" si="9"/>
        <v>68.684733613118595</v>
      </c>
      <c r="AL61" s="19">
        <f t="shared" si="10"/>
        <v>68.684733613118595</v>
      </c>
      <c r="AM61" s="19">
        <f t="shared" si="11"/>
        <v>71.326454136700079</v>
      </c>
      <c r="AN61" s="19">
        <f t="shared" si="12"/>
        <v>68.684733613118595</v>
      </c>
      <c r="AO61" s="19">
        <f t="shared" si="13"/>
        <v>68.684733613118595</v>
      </c>
      <c r="AP61" s="19">
        <f t="shared" si="14"/>
        <v>71.326454136700079</v>
      </c>
      <c r="AQ61" s="19">
        <f t="shared" si="15"/>
        <v>66.043013089537112</v>
      </c>
      <c r="AR61" s="19">
        <f t="shared" si="16"/>
        <v>68.684733613118595</v>
      </c>
      <c r="AS61" s="19">
        <f t="shared" si="17"/>
        <v>68.684733613118595</v>
      </c>
      <c r="AT61" s="19">
        <f t="shared" si="18"/>
        <v>71.326454136700079</v>
      </c>
      <c r="AU61" s="19">
        <f t="shared" si="19"/>
        <v>81.893336231026012</v>
      </c>
      <c r="AV61" s="19">
        <f t="shared" si="20"/>
        <v>84.535056754607496</v>
      </c>
      <c r="AW61" s="19">
        <f t="shared" si="21"/>
        <v>84.535056754607496</v>
      </c>
      <c r="AX61" s="18">
        <f>IFERROR(Z61/'Ar-Pa'!B61,0)</f>
        <v>8.255376636192139</v>
      </c>
      <c r="AY61" s="18">
        <f>IFERROR(AA61/'Ar-Pa'!C61,0)</f>
        <v>9.8121048018740851</v>
      </c>
      <c r="AZ61" s="18">
        <f>IFERROR(AB61/'Ar-Pa'!D61,0)</f>
        <v>9.8121048018740851</v>
      </c>
      <c r="BA61" s="18">
        <f>IFERROR(AC61/'Ar-Pa'!E61,0)</f>
        <v>9.8121048018740851</v>
      </c>
      <c r="BB61" s="18">
        <f>IFERROR(AD61/'Ar-Pa'!F61,0)</f>
        <v>9.8121048018740851</v>
      </c>
      <c r="BC61" s="18">
        <f>IFERROR(AE61/'Ar-Pa'!G61,0)</f>
        <v>9.4347161556481591</v>
      </c>
      <c r="BD61" s="18">
        <f>IFERROR(AF61/'Ar-Pa'!H61,0)</f>
        <v>9.8121048018740851</v>
      </c>
      <c r="BE61" s="18">
        <f>IFERROR(AG61/'Ar-Pa'!I61,0)</f>
        <v>9.8121048018740851</v>
      </c>
      <c r="BF61" s="18">
        <f>IFERROR(AH61/'Ar-Pa'!J61,0)</f>
        <v>9.8121048018740851</v>
      </c>
      <c r="BG61" s="18">
        <f>IFERROR(AI61/'Ar-Pa'!K61,0)</f>
        <v>8.5855917016398244</v>
      </c>
      <c r="BH61" s="18">
        <f>IFERROR(AJ61/'Ar-Pa'!L61,0)</f>
        <v>8.9158067670875099</v>
      </c>
      <c r="BI61" s="18">
        <f>IFERROR(AK61/'Ar-Pa'!M61,0)</f>
        <v>8.5855917016398244</v>
      </c>
      <c r="BJ61" s="18">
        <f>IFERROR(AL61/'Ar-Pa'!N61,0)</f>
        <v>8.5855917016398244</v>
      </c>
      <c r="BK61" s="18">
        <f>IFERROR(AM61/'Ar-Pa'!O61,0)</f>
        <v>8.9158067670875099</v>
      </c>
      <c r="BL61" s="18">
        <f>IFERROR(AN61/'Ar-Pa'!P61,0)</f>
        <v>8.5855917016398244</v>
      </c>
      <c r="BM61" s="18">
        <f>IFERROR(AO61/'Ar-Pa'!Q61,0)</f>
        <v>8.5855917016398244</v>
      </c>
      <c r="BN61" s="18">
        <f>IFERROR(AP61/'Ar-Pa'!R61,0)</f>
        <v>8.9158067670875099</v>
      </c>
      <c r="BO61" s="18">
        <f>IFERROR(AQ61/'Ar-Pa'!S61,0)</f>
        <v>8.255376636192139</v>
      </c>
      <c r="BP61" s="18">
        <f>IFERROR(AR61/'Ar-Pa'!T61,0)</f>
        <v>8.5855917016398244</v>
      </c>
      <c r="BQ61" s="18">
        <f>IFERROR(AS61/'Ar-Pa'!U61,0)</f>
        <v>8.5855917016398244</v>
      </c>
      <c r="BR61" s="18">
        <f>IFERROR(AT61/'Ar-Pa'!V61,0)</f>
        <v>8.9158067670875099</v>
      </c>
      <c r="BS61" s="18">
        <f>IFERROR(AU61/'Ar-Pa'!W61,0)</f>
        <v>10.236667028878252</v>
      </c>
      <c r="BT61" s="18">
        <f>IFERROR(AV61/'Ar-Pa'!X61,0)</f>
        <v>10.566882094325937</v>
      </c>
      <c r="BU61" s="18">
        <f>IFERROR(AW61/'Ar-Pa'!Y61,0)</f>
        <v>10.566882094325937</v>
      </c>
    </row>
    <row r="62" spans="1:73" s="12" customFormat="1" ht="15">
      <c r="A62" s="15">
        <v>44987</v>
      </c>
      <c r="B62" s="441">
        <v>0.26</v>
      </c>
      <c r="C62" s="441">
        <v>0.26</v>
      </c>
      <c r="D62" s="441">
        <v>0.27</v>
      </c>
      <c r="E62" s="441">
        <v>0.27</v>
      </c>
      <c r="F62" s="441">
        <v>0.27</v>
      </c>
      <c r="G62" s="441">
        <v>0.26</v>
      </c>
      <c r="H62" s="441">
        <v>0.27</v>
      </c>
      <c r="I62" s="441">
        <v>0.26</v>
      </c>
      <c r="J62" s="441">
        <v>0.26</v>
      </c>
      <c r="K62" s="441">
        <v>0.26</v>
      </c>
      <c r="L62" s="441">
        <v>0.26</v>
      </c>
      <c r="M62" s="441">
        <v>0.26</v>
      </c>
      <c r="N62" s="441">
        <v>0.26</v>
      </c>
      <c r="O62" s="441">
        <v>0.26</v>
      </c>
      <c r="P62" s="441">
        <v>0.26</v>
      </c>
      <c r="Q62" s="441">
        <v>0.26</v>
      </c>
      <c r="R62" s="441">
        <v>0.27</v>
      </c>
      <c r="S62" s="441">
        <v>0.26</v>
      </c>
      <c r="T62" s="441">
        <v>0.27</v>
      </c>
      <c r="U62" s="441">
        <v>0.33</v>
      </c>
      <c r="V62" s="441">
        <v>0.27</v>
      </c>
      <c r="W62" s="441">
        <v>0.28000000000000003</v>
      </c>
      <c r="X62" s="441">
        <v>0.31</v>
      </c>
      <c r="Y62" s="441">
        <v>0.33</v>
      </c>
      <c r="Z62" s="19">
        <f t="shared" si="22"/>
        <v>68.684733613118595</v>
      </c>
      <c r="AA62" s="19">
        <f t="shared" si="23"/>
        <v>68.684733613118595</v>
      </c>
      <c r="AB62" s="19">
        <f t="shared" si="0"/>
        <v>71.326454136700079</v>
      </c>
      <c r="AC62" s="19">
        <f t="shared" si="1"/>
        <v>71.326454136700079</v>
      </c>
      <c r="AD62" s="19">
        <f t="shared" si="2"/>
        <v>71.326454136700079</v>
      </c>
      <c r="AE62" s="19">
        <f t="shared" si="3"/>
        <v>68.684733613118595</v>
      </c>
      <c r="AF62" s="19">
        <f t="shared" si="4"/>
        <v>71.326454136700079</v>
      </c>
      <c r="AG62" s="19">
        <f t="shared" si="5"/>
        <v>68.684733613118595</v>
      </c>
      <c r="AH62" s="19">
        <f t="shared" si="6"/>
        <v>68.684733613118595</v>
      </c>
      <c r="AI62" s="19">
        <f t="shared" si="7"/>
        <v>68.684733613118595</v>
      </c>
      <c r="AJ62" s="19">
        <f t="shared" si="8"/>
        <v>68.684733613118595</v>
      </c>
      <c r="AK62" s="19">
        <f t="shared" si="9"/>
        <v>68.684733613118595</v>
      </c>
      <c r="AL62" s="19">
        <f t="shared" si="10"/>
        <v>68.684733613118595</v>
      </c>
      <c r="AM62" s="19">
        <f t="shared" si="11"/>
        <v>68.684733613118595</v>
      </c>
      <c r="AN62" s="19">
        <f t="shared" si="12"/>
        <v>68.684733613118595</v>
      </c>
      <c r="AO62" s="19">
        <f t="shared" si="13"/>
        <v>68.684733613118595</v>
      </c>
      <c r="AP62" s="19">
        <f t="shared" si="14"/>
        <v>71.326454136700079</v>
      </c>
      <c r="AQ62" s="19">
        <f t="shared" si="15"/>
        <v>68.684733613118595</v>
      </c>
      <c r="AR62" s="19">
        <f t="shared" si="16"/>
        <v>71.326454136700079</v>
      </c>
      <c r="AS62" s="19">
        <f t="shared" si="17"/>
        <v>87.176777278188979</v>
      </c>
      <c r="AT62" s="19">
        <f t="shared" si="18"/>
        <v>71.326454136700079</v>
      </c>
      <c r="AU62" s="19">
        <f t="shared" si="19"/>
        <v>73.968174660281562</v>
      </c>
      <c r="AV62" s="19">
        <f t="shared" si="20"/>
        <v>81.893336231026012</v>
      </c>
      <c r="AW62" s="19">
        <f t="shared" si="21"/>
        <v>87.176777278188979</v>
      </c>
      <c r="AX62" s="18">
        <f>IFERROR(Z62/'Ar-Pa'!B62,0)</f>
        <v>8.5855917016398244</v>
      </c>
      <c r="AY62" s="18">
        <f>IFERROR(AA62/'Ar-Pa'!C62,0)</f>
        <v>8.5855917016398244</v>
      </c>
      <c r="AZ62" s="18">
        <f>IFERROR(AB62/'Ar-Pa'!D62,0)</f>
        <v>8.9158067670875099</v>
      </c>
      <c r="BA62" s="18">
        <f>IFERROR(AC62/'Ar-Pa'!E62,0)</f>
        <v>8.9158067670875099</v>
      </c>
      <c r="BB62" s="18">
        <f>IFERROR(AD62/'Ar-Pa'!F62,0)</f>
        <v>10.189493448100011</v>
      </c>
      <c r="BC62" s="18">
        <f>IFERROR(AE62/'Ar-Pa'!G62,0)</f>
        <v>9.8121048018740851</v>
      </c>
      <c r="BD62" s="18">
        <f>IFERROR(AF62/'Ar-Pa'!H62,0)</f>
        <v>10.189493448100011</v>
      </c>
      <c r="BE62" s="18">
        <f>IFERROR(AG62/'Ar-Pa'!I62,0)</f>
        <v>9.8121048018740851</v>
      </c>
      <c r="BF62" s="18">
        <f>IFERROR(AH62/'Ar-Pa'!J62,0)</f>
        <v>8.5855917016398244</v>
      </c>
      <c r="BG62" s="18">
        <f>IFERROR(AI62/'Ar-Pa'!K62,0)</f>
        <v>9.8121048018740851</v>
      </c>
      <c r="BH62" s="18">
        <f>IFERROR(AJ62/'Ar-Pa'!L62,0)</f>
        <v>8.5855917016398244</v>
      </c>
      <c r="BI62" s="18">
        <f>IFERROR(AK62/'Ar-Pa'!M62,0)</f>
        <v>8.5855917016398244</v>
      </c>
      <c r="BJ62" s="18">
        <f>IFERROR(AL62/'Ar-Pa'!N62,0)</f>
        <v>8.5855917016398244</v>
      </c>
      <c r="BK62" s="18">
        <f>IFERROR(AM62/'Ar-Pa'!O62,0)</f>
        <v>8.5855917016398244</v>
      </c>
      <c r="BL62" s="18">
        <f>IFERROR(AN62/'Ar-Pa'!P62,0)</f>
        <v>8.5855917016398244</v>
      </c>
      <c r="BM62" s="18">
        <f>IFERROR(AO62/'Ar-Pa'!Q62,0)</f>
        <v>8.5855917016398244</v>
      </c>
      <c r="BN62" s="18">
        <f>IFERROR(AP62/'Ar-Pa'!R62,0)</f>
        <v>8.9158067670875099</v>
      </c>
      <c r="BO62" s="18">
        <f>IFERROR(AQ62/'Ar-Pa'!S62,0)</f>
        <v>8.5855917016398244</v>
      </c>
      <c r="BP62" s="18">
        <f>IFERROR(AR62/'Ar-Pa'!T62,0)</f>
        <v>8.9158067670875099</v>
      </c>
      <c r="BQ62" s="18">
        <f>IFERROR(AS62/'Ar-Pa'!U62,0)</f>
        <v>10.897097159773622</v>
      </c>
      <c r="BR62" s="18">
        <f>IFERROR(AT62/'Ar-Pa'!V62,0)</f>
        <v>8.9158067670875099</v>
      </c>
      <c r="BS62" s="18">
        <f>IFERROR(AU62/'Ar-Pa'!W62,0)</f>
        <v>9.2460218325351953</v>
      </c>
      <c r="BT62" s="18">
        <f>IFERROR(AV62/'Ar-Pa'!X62,0)</f>
        <v>10.236667028878252</v>
      </c>
      <c r="BU62" s="18">
        <f>IFERROR(AW62/'Ar-Pa'!Y62,0)</f>
        <v>10.897097159773622</v>
      </c>
    </row>
    <row r="63" spans="1:73" s="12" customFormat="1" ht="15">
      <c r="A63" s="15">
        <v>44988</v>
      </c>
      <c r="B63" s="441">
        <v>0.28999999999999998</v>
      </c>
      <c r="C63" s="441">
        <v>0.27</v>
      </c>
      <c r="D63" s="441">
        <v>0.28000000000000003</v>
      </c>
      <c r="E63" s="441">
        <v>0.28000000000000003</v>
      </c>
      <c r="F63" s="441">
        <v>0.28000000000000003</v>
      </c>
      <c r="G63" s="441">
        <v>0.28000000000000003</v>
      </c>
      <c r="H63" s="441">
        <v>0.28999999999999998</v>
      </c>
      <c r="I63" s="441">
        <v>0.28000000000000003</v>
      </c>
      <c r="J63" s="441">
        <v>0.27</v>
      </c>
      <c r="K63" s="441">
        <v>0.25</v>
      </c>
      <c r="L63" s="441">
        <v>0.28999999999999998</v>
      </c>
      <c r="M63" s="441">
        <v>0.26</v>
      </c>
      <c r="N63" s="441">
        <v>0.28000000000000003</v>
      </c>
      <c r="O63" s="441">
        <v>0.28000000000000003</v>
      </c>
      <c r="P63" s="441">
        <v>0.27</v>
      </c>
      <c r="Q63" s="441">
        <v>0.27</v>
      </c>
      <c r="R63" s="441">
        <v>0.28000000000000003</v>
      </c>
      <c r="S63" s="441">
        <v>0.27</v>
      </c>
      <c r="T63" s="441">
        <v>0.28000000000000003</v>
      </c>
      <c r="U63" s="441">
        <v>0.27</v>
      </c>
      <c r="V63" s="441">
        <v>0.27</v>
      </c>
      <c r="W63" s="441">
        <v>0.28000000000000003</v>
      </c>
      <c r="X63" s="441">
        <v>0.28000000000000003</v>
      </c>
      <c r="Y63" s="441">
        <v>0.28000000000000003</v>
      </c>
      <c r="Z63" s="19">
        <f t="shared" si="22"/>
        <v>76.609895183863046</v>
      </c>
      <c r="AA63" s="19">
        <f t="shared" si="23"/>
        <v>71.326454136700079</v>
      </c>
      <c r="AB63" s="19">
        <f t="shared" si="0"/>
        <v>73.968174660281562</v>
      </c>
      <c r="AC63" s="19">
        <f t="shared" si="1"/>
        <v>73.968174660281562</v>
      </c>
      <c r="AD63" s="19">
        <f t="shared" si="2"/>
        <v>73.968174660281562</v>
      </c>
      <c r="AE63" s="19">
        <f t="shared" si="3"/>
        <v>73.968174660281562</v>
      </c>
      <c r="AF63" s="19">
        <f t="shared" si="4"/>
        <v>76.609895183863046</v>
      </c>
      <c r="AG63" s="19">
        <f t="shared" si="5"/>
        <v>73.968174660281562</v>
      </c>
      <c r="AH63" s="19">
        <f t="shared" si="6"/>
        <v>71.326454136700079</v>
      </c>
      <c r="AI63" s="19">
        <f t="shared" si="7"/>
        <v>66.043013089537112</v>
      </c>
      <c r="AJ63" s="19">
        <f t="shared" si="8"/>
        <v>76.609895183863046</v>
      </c>
      <c r="AK63" s="19">
        <f t="shared" si="9"/>
        <v>68.684733613118595</v>
      </c>
      <c r="AL63" s="19">
        <f t="shared" si="10"/>
        <v>73.968174660281562</v>
      </c>
      <c r="AM63" s="19">
        <f t="shared" si="11"/>
        <v>73.968174660281562</v>
      </c>
      <c r="AN63" s="19">
        <f t="shared" si="12"/>
        <v>71.326454136700079</v>
      </c>
      <c r="AO63" s="19">
        <f t="shared" si="13"/>
        <v>71.326454136700079</v>
      </c>
      <c r="AP63" s="19">
        <f t="shared" si="14"/>
        <v>73.968174660281562</v>
      </c>
      <c r="AQ63" s="19">
        <f t="shared" si="15"/>
        <v>71.326454136700079</v>
      </c>
      <c r="AR63" s="19">
        <f t="shared" si="16"/>
        <v>73.968174660281562</v>
      </c>
      <c r="AS63" s="19">
        <f t="shared" si="17"/>
        <v>71.326454136700079</v>
      </c>
      <c r="AT63" s="19">
        <f t="shared" si="18"/>
        <v>71.326454136700079</v>
      </c>
      <c r="AU63" s="19">
        <f t="shared" si="19"/>
        <v>73.968174660281562</v>
      </c>
      <c r="AV63" s="19">
        <f t="shared" si="20"/>
        <v>73.968174660281562</v>
      </c>
      <c r="AW63" s="19">
        <f t="shared" si="21"/>
        <v>73.968174660281562</v>
      </c>
      <c r="AX63" s="18">
        <f>IFERROR(Z63/'Ar-Pa'!B63,0)</f>
        <v>9.5762368979828807</v>
      </c>
      <c r="AY63" s="18">
        <f>IFERROR(AA63/'Ar-Pa'!C63,0)</f>
        <v>8.9158067670875099</v>
      </c>
      <c r="AZ63" s="18">
        <f>IFERROR(AB63/'Ar-Pa'!D63,0)</f>
        <v>9.2460218325351953</v>
      </c>
      <c r="BA63" s="18">
        <f>IFERROR(AC63/'Ar-Pa'!E63,0)</f>
        <v>9.2460218325351953</v>
      </c>
      <c r="BB63" s="18">
        <f>IFERROR(AD63/'Ar-Pa'!F63,0)</f>
        <v>9.2460218325351953</v>
      </c>
      <c r="BC63" s="18">
        <f>IFERROR(AE63/'Ar-Pa'!G63,0)</f>
        <v>10.566882094325937</v>
      </c>
      <c r="BD63" s="18">
        <f>IFERROR(AF63/'Ar-Pa'!H63,0)</f>
        <v>10.944270740551863</v>
      </c>
      <c r="BE63" s="18">
        <f>IFERROR(AG63/'Ar-Pa'!I63,0)</f>
        <v>10.566882094325937</v>
      </c>
      <c r="BF63" s="18">
        <f>IFERROR(AH63/'Ar-Pa'!J63,0)</f>
        <v>10.189493448100011</v>
      </c>
      <c r="BG63" s="18">
        <f>IFERROR(AI63/'Ar-Pa'!K63,0)</f>
        <v>11.007168848256185</v>
      </c>
      <c r="BH63" s="18">
        <f>IFERROR(AJ63/'Ar-Pa'!L63,0)</f>
        <v>9.5762368979828807</v>
      </c>
      <c r="BI63" s="18">
        <f>IFERROR(AK63/'Ar-Pa'!M63,0)</f>
        <v>8.5855917016398244</v>
      </c>
      <c r="BJ63" s="18">
        <f>IFERROR(AL63/'Ar-Pa'!N63,0)</f>
        <v>9.2460218325351953</v>
      </c>
      <c r="BK63" s="18">
        <f>IFERROR(AM63/'Ar-Pa'!O63,0)</f>
        <v>9.2460218325351953</v>
      </c>
      <c r="BL63" s="18">
        <f>IFERROR(AN63/'Ar-Pa'!P63,0)</f>
        <v>8.9158067670875099</v>
      </c>
      <c r="BM63" s="18">
        <f>IFERROR(AO63/'Ar-Pa'!Q63,0)</f>
        <v>8.9158067670875099</v>
      </c>
      <c r="BN63" s="18">
        <f>IFERROR(AP63/'Ar-Pa'!R63,0)</f>
        <v>9.2460218325351953</v>
      </c>
      <c r="BO63" s="18">
        <f>IFERROR(AQ63/'Ar-Pa'!S63,0)</f>
        <v>8.9158067670875099</v>
      </c>
      <c r="BP63" s="18">
        <f>IFERROR(AR63/'Ar-Pa'!T63,0)</f>
        <v>9.2460218325351953</v>
      </c>
      <c r="BQ63" s="18">
        <f>IFERROR(AS63/'Ar-Pa'!U63,0)</f>
        <v>8.9158067670875099</v>
      </c>
      <c r="BR63" s="18">
        <f>IFERROR(AT63/'Ar-Pa'!V63,0)</f>
        <v>8.9158067670875099</v>
      </c>
      <c r="BS63" s="18">
        <f>IFERROR(AU63/'Ar-Pa'!W63,0)</f>
        <v>9.2460218325351953</v>
      </c>
      <c r="BT63" s="18">
        <f>IFERROR(AV63/'Ar-Pa'!X63,0)</f>
        <v>9.2460218325351953</v>
      </c>
      <c r="BU63" s="18">
        <f>IFERROR(AW63/'Ar-Pa'!Y63,0)</f>
        <v>9.2460218325351953</v>
      </c>
    </row>
    <row r="64" spans="1:73" s="12" customFormat="1" ht="15">
      <c r="A64" s="15">
        <v>44989</v>
      </c>
      <c r="B64" s="441">
        <v>0.28000000000000003</v>
      </c>
      <c r="C64" s="441">
        <v>0.28999999999999998</v>
      </c>
      <c r="D64" s="441">
        <v>0.28000000000000003</v>
      </c>
      <c r="E64" s="441">
        <v>0.28999999999999998</v>
      </c>
      <c r="F64" s="441">
        <v>0.28000000000000003</v>
      </c>
      <c r="G64" s="441">
        <v>0.28000000000000003</v>
      </c>
      <c r="H64" s="441">
        <v>0.28000000000000003</v>
      </c>
      <c r="I64" s="441">
        <v>0.28000000000000003</v>
      </c>
      <c r="J64" s="441">
        <v>0.27</v>
      </c>
      <c r="K64" s="441">
        <v>0.28999999999999998</v>
      </c>
      <c r="L64" s="441">
        <v>0.28000000000000003</v>
      </c>
      <c r="M64" s="441">
        <v>0.27</v>
      </c>
      <c r="N64" s="441">
        <v>0.28000000000000003</v>
      </c>
      <c r="O64" s="441">
        <v>0.27</v>
      </c>
      <c r="P64" s="441">
        <v>0.28000000000000003</v>
      </c>
      <c r="Q64" s="441">
        <v>0.28000000000000003</v>
      </c>
      <c r="R64" s="441">
        <v>0.27</v>
      </c>
      <c r="S64" s="441">
        <v>0.28000000000000003</v>
      </c>
      <c r="T64" s="441">
        <v>0.27</v>
      </c>
      <c r="U64" s="441">
        <v>0.28000000000000003</v>
      </c>
      <c r="V64" s="441">
        <v>0.28000000000000003</v>
      </c>
      <c r="W64" s="441">
        <v>0.28000000000000003</v>
      </c>
      <c r="X64" s="441">
        <v>0.28000000000000003</v>
      </c>
      <c r="Y64" s="441">
        <v>0.28000000000000003</v>
      </c>
      <c r="Z64" s="19">
        <f t="shared" si="22"/>
        <v>73.968174660281562</v>
      </c>
      <c r="AA64" s="19">
        <f t="shared" si="23"/>
        <v>76.609895183863046</v>
      </c>
      <c r="AB64" s="19">
        <f t="shared" si="0"/>
        <v>73.968174660281562</v>
      </c>
      <c r="AC64" s="19">
        <f t="shared" si="1"/>
        <v>76.609895183863046</v>
      </c>
      <c r="AD64" s="19">
        <f t="shared" si="2"/>
        <v>73.968174660281562</v>
      </c>
      <c r="AE64" s="19">
        <f t="shared" si="3"/>
        <v>73.968174660281562</v>
      </c>
      <c r="AF64" s="19">
        <f t="shared" si="4"/>
        <v>73.968174660281562</v>
      </c>
      <c r="AG64" s="19">
        <f t="shared" si="5"/>
        <v>73.968174660281562</v>
      </c>
      <c r="AH64" s="19">
        <f t="shared" si="6"/>
        <v>71.326454136700079</v>
      </c>
      <c r="AI64" s="19">
        <f t="shared" si="7"/>
        <v>76.609895183863046</v>
      </c>
      <c r="AJ64" s="19">
        <f t="shared" si="8"/>
        <v>73.968174660281562</v>
      </c>
      <c r="AK64" s="19">
        <f t="shared" si="9"/>
        <v>71.326454136700079</v>
      </c>
      <c r="AL64" s="19">
        <f t="shared" si="10"/>
        <v>73.968174660281562</v>
      </c>
      <c r="AM64" s="19">
        <f t="shared" si="11"/>
        <v>71.326454136700079</v>
      </c>
      <c r="AN64" s="19">
        <f t="shared" si="12"/>
        <v>73.968174660281562</v>
      </c>
      <c r="AO64" s="19">
        <f t="shared" si="13"/>
        <v>73.968174660281562</v>
      </c>
      <c r="AP64" s="19">
        <f t="shared" si="14"/>
        <v>71.326454136700079</v>
      </c>
      <c r="AQ64" s="19">
        <f t="shared" si="15"/>
        <v>73.968174660281562</v>
      </c>
      <c r="AR64" s="19">
        <f t="shared" si="16"/>
        <v>71.326454136700079</v>
      </c>
      <c r="AS64" s="19">
        <f t="shared" si="17"/>
        <v>73.968174660281562</v>
      </c>
      <c r="AT64" s="19">
        <f t="shared" si="18"/>
        <v>73.968174660281562</v>
      </c>
      <c r="AU64" s="19">
        <f t="shared" si="19"/>
        <v>73.968174660281562</v>
      </c>
      <c r="AV64" s="19">
        <f t="shared" si="20"/>
        <v>73.968174660281562</v>
      </c>
      <c r="AW64" s="19">
        <f t="shared" si="21"/>
        <v>73.968174660281562</v>
      </c>
      <c r="AX64" s="18">
        <f>IFERROR(Z64/'Ar-Pa'!B64,0)</f>
        <v>9.2460218325351953</v>
      </c>
      <c r="AY64" s="18">
        <f>IFERROR(AA64/'Ar-Pa'!C64,0)</f>
        <v>9.5762368979828807</v>
      </c>
      <c r="AZ64" s="18">
        <f>IFERROR(AB64/'Ar-Pa'!D64,0)</f>
        <v>9.2460218325351953</v>
      </c>
      <c r="BA64" s="18">
        <f>IFERROR(AC64/'Ar-Pa'!E64,0)</f>
        <v>9.5762368979828807</v>
      </c>
      <c r="BB64" s="18">
        <f>IFERROR(AD64/'Ar-Pa'!F64,0)</f>
        <v>10.566882094325937</v>
      </c>
      <c r="BC64" s="18">
        <f>IFERROR(AE64/'Ar-Pa'!G64,0)</f>
        <v>9.2460218325351953</v>
      </c>
      <c r="BD64" s="18">
        <f>IFERROR(AF64/'Ar-Pa'!H64,0)</f>
        <v>10.566882094325937</v>
      </c>
      <c r="BE64" s="18">
        <f>IFERROR(AG64/'Ar-Pa'!I64,0)</f>
        <v>10.566882094325937</v>
      </c>
      <c r="BF64" s="18">
        <f>IFERROR(AH64/'Ar-Pa'!J64,0)</f>
        <v>10.189493448100011</v>
      </c>
      <c r="BG64" s="18">
        <f>IFERROR(AI64/'Ar-Pa'!K64,0)</f>
        <v>9.5762368979828807</v>
      </c>
      <c r="BH64" s="18">
        <f>IFERROR(AJ64/'Ar-Pa'!L64,0)</f>
        <v>9.2460218325351953</v>
      </c>
      <c r="BI64" s="18">
        <f>IFERROR(AK64/'Ar-Pa'!M64,0)</f>
        <v>8.9158067670875099</v>
      </c>
      <c r="BJ64" s="18">
        <f>IFERROR(AL64/'Ar-Pa'!N64,0)</f>
        <v>9.2460218325351953</v>
      </c>
      <c r="BK64" s="18">
        <f>IFERROR(AM64/'Ar-Pa'!O64,0)</f>
        <v>8.9158067670875099</v>
      </c>
      <c r="BL64" s="18">
        <f>IFERROR(AN64/'Ar-Pa'!P64,0)</f>
        <v>9.2460218325351953</v>
      </c>
      <c r="BM64" s="18">
        <f>IFERROR(AO64/'Ar-Pa'!Q64,0)</f>
        <v>9.2460218325351953</v>
      </c>
      <c r="BN64" s="18">
        <f>IFERROR(AP64/'Ar-Pa'!R64,0)</f>
        <v>8.9158067670875099</v>
      </c>
      <c r="BO64" s="18">
        <f>IFERROR(AQ64/'Ar-Pa'!S64,0)</f>
        <v>9.2460218325351953</v>
      </c>
      <c r="BP64" s="18">
        <f>IFERROR(AR64/'Ar-Pa'!T64,0)</f>
        <v>8.9158067670875099</v>
      </c>
      <c r="BQ64" s="18">
        <f>IFERROR(AS64/'Ar-Pa'!U64,0)</f>
        <v>9.2460218325351953</v>
      </c>
      <c r="BR64" s="18">
        <f>IFERROR(AT64/'Ar-Pa'!V64,0)</f>
        <v>9.2460218325351953</v>
      </c>
      <c r="BS64" s="18">
        <f>IFERROR(AU64/'Ar-Pa'!W64,0)</f>
        <v>9.2460218325351953</v>
      </c>
      <c r="BT64" s="18">
        <f>IFERROR(AV64/'Ar-Pa'!X64,0)</f>
        <v>9.2460218325351953</v>
      </c>
      <c r="BU64" s="18">
        <f>IFERROR(AW64/'Ar-Pa'!Y64,0)</f>
        <v>9.2460218325351953</v>
      </c>
    </row>
    <row r="65" spans="1:73" s="12" customFormat="1" ht="15">
      <c r="A65" s="15">
        <v>44990</v>
      </c>
      <c r="B65" s="441">
        <v>0.28000000000000003</v>
      </c>
      <c r="C65" s="441">
        <v>0.28000000000000003</v>
      </c>
      <c r="D65" s="441">
        <v>0.28000000000000003</v>
      </c>
      <c r="E65" s="441">
        <v>0.28999999999999998</v>
      </c>
      <c r="F65" s="441">
        <v>0.28000000000000003</v>
      </c>
      <c r="G65" s="441">
        <v>0.27</v>
      </c>
      <c r="H65" s="441">
        <v>0.28000000000000003</v>
      </c>
      <c r="I65" s="441">
        <v>0.28000000000000003</v>
      </c>
      <c r="J65" s="441">
        <v>0.28000000000000003</v>
      </c>
      <c r="K65" s="441">
        <v>0.28000000000000003</v>
      </c>
      <c r="L65" s="441">
        <v>0.28000000000000003</v>
      </c>
      <c r="M65" s="441">
        <v>0.28000000000000003</v>
      </c>
      <c r="N65" s="441">
        <v>0.28000000000000003</v>
      </c>
      <c r="O65" s="441">
        <v>0.28000000000000003</v>
      </c>
      <c r="P65" s="441">
        <v>0.28000000000000003</v>
      </c>
      <c r="Q65" s="441">
        <v>0.28000000000000003</v>
      </c>
      <c r="R65" s="441">
        <v>0.28999999999999998</v>
      </c>
      <c r="S65" s="441">
        <v>0.28000000000000003</v>
      </c>
      <c r="T65" s="441">
        <v>0.28000000000000003</v>
      </c>
      <c r="U65" s="441">
        <v>0.28000000000000003</v>
      </c>
      <c r="V65" s="441">
        <v>0.27</v>
      </c>
      <c r="W65" s="441">
        <v>0.28000000000000003</v>
      </c>
      <c r="X65" s="441">
        <v>0.3</v>
      </c>
      <c r="Y65" s="441">
        <v>0.31</v>
      </c>
      <c r="Z65" s="19">
        <f t="shared" si="22"/>
        <v>73.968174660281562</v>
      </c>
      <c r="AA65" s="19">
        <f t="shared" si="23"/>
        <v>73.968174660281562</v>
      </c>
      <c r="AB65" s="19">
        <f t="shared" si="0"/>
        <v>73.968174660281562</v>
      </c>
      <c r="AC65" s="19">
        <f t="shared" si="1"/>
        <v>76.609895183863046</v>
      </c>
      <c r="AD65" s="19">
        <f t="shared" si="2"/>
        <v>73.968174660281562</v>
      </c>
      <c r="AE65" s="19">
        <f t="shared" si="3"/>
        <v>71.326454136700079</v>
      </c>
      <c r="AF65" s="19">
        <f t="shared" si="4"/>
        <v>73.968174660281562</v>
      </c>
      <c r="AG65" s="19">
        <f t="shared" si="5"/>
        <v>73.968174660281562</v>
      </c>
      <c r="AH65" s="19">
        <f t="shared" si="6"/>
        <v>73.968174660281562</v>
      </c>
      <c r="AI65" s="19">
        <f t="shared" si="7"/>
        <v>73.968174660281562</v>
      </c>
      <c r="AJ65" s="19">
        <f t="shared" si="8"/>
        <v>73.968174660281562</v>
      </c>
      <c r="AK65" s="19">
        <f t="shared" si="9"/>
        <v>73.968174660281562</v>
      </c>
      <c r="AL65" s="19">
        <f t="shared" si="10"/>
        <v>73.968174660281562</v>
      </c>
      <c r="AM65" s="19">
        <f t="shared" si="11"/>
        <v>73.968174660281562</v>
      </c>
      <c r="AN65" s="19">
        <f t="shared" si="12"/>
        <v>73.968174660281562</v>
      </c>
      <c r="AO65" s="19">
        <f t="shared" si="13"/>
        <v>73.968174660281562</v>
      </c>
      <c r="AP65" s="19">
        <f t="shared" si="14"/>
        <v>76.609895183863046</v>
      </c>
      <c r="AQ65" s="19">
        <f t="shared" si="15"/>
        <v>73.968174660281562</v>
      </c>
      <c r="AR65" s="19">
        <f t="shared" si="16"/>
        <v>73.968174660281562</v>
      </c>
      <c r="AS65" s="19">
        <f t="shared" si="17"/>
        <v>73.968174660281562</v>
      </c>
      <c r="AT65" s="19">
        <f t="shared" si="18"/>
        <v>71.326454136700079</v>
      </c>
      <c r="AU65" s="19">
        <f t="shared" si="19"/>
        <v>73.968174660281562</v>
      </c>
      <c r="AV65" s="19">
        <f t="shared" si="20"/>
        <v>79.251615707444529</v>
      </c>
      <c r="AW65" s="19">
        <f t="shared" si="21"/>
        <v>81.893336231026012</v>
      </c>
      <c r="AX65" s="18">
        <f>IFERROR(Z65/'Ar-Pa'!B65,0)</f>
        <v>9.2460218325351953</v>
      </c>
      <c r="AY65" s="18">
        <f>IFERROR(AA65/'Ar-Pa'!C65,0)</f>
        <v>9.2460218325351953</v>
      </c>
      <c r="AZ65" s="18">
        <f>IFERROR(AB65/'Ar-Pa'!D65,0)</f>
        <v>9.2460218325351953</v>
      </c>
      <c r="BA65" s="18">
        <f>IFERROR(AC65/'Ar-Pa'!E65,0)</f>
        <v>9.5762368979828807</v>
      </c>
      <c r="BB65" s="18">
        <f>IFERROR(AD65/'Ar-Pa'!F65,0)</f>
        <v>9.2460218325351953</v>
      </c>
      <c r="BC65" s="18">
        <f>IFERROR(AE65/'Ar-Pa'!G65,0)</f>
        <v>8.9158067670875099</v>
      </c>
      <c r="BD65" s="18">
        <f>IFERROR(AF65/'Ar-Pa'!H65,0)</f>
        <v>10.566882094325937</v>
      </c>
      <c r="BE65" s="18">
        <f>IFERROR(AG65/'Ar-Pa'!I65,0)</f>
        <v>10.566882094325937</v>
      </c>
      <c r="BF65" s="18">
        <f>IFERROR(AH65/'Ar-Pa'!J65,0)</f>
        <v>10.566882094325937</v>
      </c>
      <c r="BG65" s="18">
        <f>IFERROR(AI65/'Ar-Pa'!K65,0)</f>
        <v>10.566882094325937</v>
      </c>
      <c r="BH65" s="18">
        <f>IFERROR(AJ65/'Ar-Pa'!L65,0)</f>
        <v>10.566882094325937</v>
      </c>
      <c r="BI65" s="18">
        <f>IFERROR(AK65/'Ar-Pa'!M65,0)</f>
        <v>9.2460218325351953</v>
      </c>
      <c r="BJ65" s="18">
        <f>IFERROR(AL65/'Ar-Pa'!N65,0)</f>
        <v>9.2460218325351953</v>
      </c>
      <c r="BK65" s="18">
        <f>IFERROR(AM65/'Ar-Pa'!O65,0)</f>
        <v>9.2460218325351953</v>
      </c>
      <c r="BL65" s="18">
        <f>IFERROR(AN65/'Ar-Pa'!P65,0)</f>
        <v>9.2460218325351953</v>
      </c>
      <c r="BM65" s="18">
        <f>IFERROR(AO65/'Ar-Pa'!Q65,0)</f>
        <v>9.2460218325351953</v>
      </c>
      <c r="BN65" s="18">
        <f>IFERROR(AP65/'Ar-Pa'!R65,0)</f>
        <v>9.5762368979828807</v>
      </c>
      <c r="BO65" s="18">
        <f>IFERROR(AQ65/'Ar-Pa'!S65,0)</f>
        <v>9.2460218325351953</v>
      </c>
      <c r="BP65" s="18">
        <f>IFERROR(AR65/'Ar-Pa'!T65,0)</f>
        <v>9.2460218325351953</v>
      </c>
      <c r="BQ65" s="18">
        <f>IFERROR(AS65/'Ar-Pa'!U65,0)</f>
        <v>9.2460218325351953</v>
      </c>
      <c r="BR65" s="18">
        <f>IFERROR(AT65/'Ar-Pa'!V65,0)</f>
        <v>8.9158067670875099</v>
      </c>
      <c r="BS65" s="18">
        <f>IFERROR(AU65/'Ar-Pa'!W65,0)</f>
        <v>9.2460218325351953</v>
      </c>
      <c r="BT65" s="18">
        <f>IFERROR(AV65/'Ar-Pa'!X65,0)</f>
        <v>9.9064519634305661</v>
      </c>
      <c r="BU65" s="18">
        <f>IFERROR(AW65/'Ar-Pa'!Y65,0)</f>
        <v>10.236667028878252</v>
      </c>
    </row>
    <row r="66" spans="1:73" s="12" customFormat="1" ht="15">
      <c r="A66" s="15">
        <v>44991</v>
      </c>
      <c r="B66" s="441">
        <v>0.27</v>
      </c>
      <c r="C66" s="441">
        <v>0.27</v>
      </c>
      <c r="D66" s="441">
        <v>0.27</v>
      </c>
      <c r="E66" s="441">
        <v>0.27</v>
      </c>
      <c r="F66" s="441">
        <v>0.27</v>
      </c>
      <c r="G66" s="441">
        <v>0.27</v>
      </c>
      <c r="H66" s="441">
        <v>0.28000000000000003</v>
      </c>
      <c r="I66" s="441">
        <v>0.27</v>
      </c>
      <c r="J66" s="441">
        <v>0.27</v>
      </c>
      <c r="K66" s="441">
        <v>0.28000000000000003</v>
      </c>
      <c r="L66" s="441">
        <v>0.27</v>
      </c>
      <c r="M66" s="441">
        <v>0.28000000000000003</v>
      </c>
      <c r="N66" s="441">
        <v>0.28000000000000003</v>
      </c>
      <c r="O66" s="441">
        <v>0.28000000000000003</v>
      </c>
      <c r="P66" s="441">
        <v>0.33</v>
      </c>
      <c r="Q66" s="441">
        <v>0.33</v>
      </c>
      <c r="R66" s="441">
        <v>0.27</v>
      </c>
      <c r="S66" s="441">
        <v>0.28000000000000003</v>
      </c>
      <c r="T66" s="441">
        <v>0.27</v>
      </c>
      <c r="U66" s="441">
        <v>0.28000000000000003</v>
      </c>
      <c r="V66" s="441">
        <v>0.27</v>
      </c>
      <c r="W66" s="441">
        <v>0.27</v>
      </c>
      <c r="X66" s="441">
        <v>0.26</v>
      </c>
      <c r="Y66" s="441">
        <v>0.28000000000000003</v>
      </c>
      <c r="Z66" s="19">
        <f t="shared" si="22"/>
        <v>71.326454136700079</v>
      </c>
      <c r="AA66" s="19">
        <f t="shared" si="23"/>
        <v>71.326454136700079</v>
      </c>
      <c r="AB66" s="19">
        <f t="shared" ref="AB66:AB122" si="24">+CONVERT(D66,"m^3","gal")</f>
        <v>71.326454136700079</v>
      </c>
      <c r="AC66" s="19">
        <f t="shared" ref="AC66:AC122" si="25">+CONVERT(E66,"m^3","gal")</f>
        <v>71.326454136700079</v>
      </c>
      <c r="AD66" s="19">
        <f t="shared" ref="AD66:AD122" si="26">+CONVERT(F66,"m^3","gal")</f>
        <v>71.326454136700079</v>
      </c>
      <c r="AE66" s="19">
        <f t="shared" ref="AE66:AE122" si="27">+CONVERT(G66,"m^3","gal")</f>
        <v>71.326454136700079</v>
      </c>
      <c r="AF66" s="19">
        <f t="shared" ref="AF66:AF122" si="28">+CONVERT(H66,"m^3","gal")</f>
        <v>73.968174660281562</v>
      </c>
      <c r="AG66" s="19">
        <f t="shared" ref="AG66:AG122" si="29">+CONVERT(I66,"m^3","gal")</f>
        <v>71.326454136700079</v>
      </c>
      <c r="AH66" s="19">
        <f t="shared" ref="AH66:AH122" si="30">+CONVERT(J66,"m^3","gal")</f>
        <v>71.326454136700079</v>
      </c>
      <c r="AI66" s="19">
        <f t="shared" ref="AI66:AI122" si="31">+CONVERT(K66,"m^3","gal")</f>
        <v>73.968174660281562</v>
      </c>
      <c r="AJ66" s="19">
        <f t="shared" ref="AJ66:AJ122" si="32">+CONVERT(L66,"m^3","gal")</f>
        <v>71.326454136700079</v>
      </c>
      <c r="AK66" s="19">
        <f t="shared" ref="AK66:AK122" si="33">+CONVERT(M66,"m^3","gal")</f>
        <v>73.968174660281562</v>
      </c>
      <c r="AL66" s="19">
        <f t="shared" ref="AL66:AL122" si="34">+CONVERT(N66,"m^3","gal")</f>
        <v>73.968174660281562</v>
      </c>
      <c r="AM66" s="19">
        <f t="shared" ref="AM66:AM122" si="35">+CONVERT(O66,"m^3","gal")</f>
        <v>73.968174660281562</v>
      </c>
      <c r="AN66" s="19">
        <f t="shared" ref="AN66:AN122" si="36">+CONVERT(P66,"m^3","gal")</f>
        <v>87.176777278188979</v>
      </c>
      <c r="AO66" s="19">
        <f t="shared" ref="AO66:AO122" si="37">+CONVERT(Q66,"m^3","gal")</f>
        <v>87.176777278188979</v>
      </c>
      <c r="AP66" s="19">
        <f t="shared" ref="AP66:AP122" si="38">+CONVERT(R66,"m^3","gal")</f>
        <v>71.326454136700079</v>
      </c>
      <c r="AQ66" s="19">
        <f t="shared" ref="AQ66:AQ122" si="39">+CONVERT(S66,"m^3","gal")</f>
        <v>73.968174660281562</v>
      </c>
      <c r="AR66" s="19">
        <f t="shared" ref="AR66:AR122" si="40">+CONVERT(T66,"m^3","gal")</f>
        <v>71.326454136700079</v>
      </c>
      <c r="AS66" s="19">
        <f t="shared" ref="AS66:AS122" si="41">+CONVERT(U66,"m^3","gal")</f>
        <v>73.968174660281562</v>
      </c>
      <c r="AT66" s="19">
        <f t="shared" ref="AT66:AT122" si="42">+CONVERT(V66,"m^3","gal")</f>
        <v>71.326454136700079</v>
      </c>
      <c r="AU66" s="19">
        <f t="shared" ref="AU66:AU122" si="43">+CONVERT(W66,"m^3","gal")</f>
        <v>71.326454136700079</v>
      </c>
      <c r="AV66" s="19">
        <f t="shared" ref="AV66:AV122" si="44">+CONVERT(X66,"m^3","gal")</f>
        <v>68.684733613118595</v>
      </c>
      <c r="AW66" s="19">
        <f t="shared" ref="AW66:AW122" si="45">+CONVERT(Y66,"m^3","gal")</f>
        <v>73.968174660281562</v>
      </c>
      <c r="AX66" s="18">
        <f>IFERROR(Z66/'Ar-Pa'!B66,0)</f>
        <v>8.9158067670875099</v>
      </c>
      <c r="AY66" s="18">
        <f>IFERROR(AA66/'Ar-Pa'!C66,0)</f>
        <v>8.9158067670875099</v>
      </c>
      <c r="AZ66" s="18">
        <f>IFERROR(AB66/'Ar-Pa'!D66,0)</f>
        <v>8.9158067670875099</v>
      </c>
      <c r="BA66" s="18">
        <f>IFERROR(AC66/'Ar-Pa'!E66,0)</f>
        <v>8.9158067670875099</v>
      </c>
      <c r="BB66" s="18">
        <f>IFERROR(AD66/'Ar-Pa'!F66,0)</f>
        <v>8.9158067670875099</v>
      </c>
      <c r="BC66" s="18">
        <f>IFERROR(AE66/'Ar-Pa'!G66,0)</f>
        <v>8.9158067670875099</v>
      </c>
      <c r="BD66" s="18">
        <f>IFERROR(AF66/'Ar-Pa'!H66,0)</f>
        <v>10.566882094325937</v>
      </c>
      <c r="BE66" s="18">
        <f>IFERROR(AG66/'Ar-Pa'!I66,0)</f>
        <v>10.189493448100011</v>
      </c>
      <c r="BF66" s="18">
        <f>IFERROR(AH66/'Ar-Pa'!J66,0)</f>
        <v>10.189493448100011</v>
      </c>
      <c r="BG66" s="18">
        <f>IFERROR(AI66/'Ar-Pa'!K66,0)</f>
        <v>10.566882094325937</v>
      </c>
      <c r="BH66" s="18">
        <f>IFERROR(AJ66/'Ar-Pa'!L66,0)</f>
        <v>8.9158067670875099</v>
      </c>
      <c r="BI66" s="18">
        <f>IFERROR(AK66/'Ar-Pa'!M66,0)</f>
        <v>9.2460218325351953</v>
      </c>
      <c r="BJ66" s="18">
        <f>IFERROR(AL66/'Ar-Pa'!N66,0)</f>
        <v>9.2460218325351953</v>
      </c>
      <c r="BK66" s="18">
        <f>IFERROR(AM66/'Ar-Pa'!O66,0)</f>
        <v>9.2460218325351953</v>
      </c>
      <c r="BL66" s="18">
        <f>IFERROR(AN66/'Ar-Pa'!P66,0)</f>
        <v>10.897097159773622</v>
      </c>
      <c r="BM66" s="18">
        <f>IFERROR(AO66/'Ar-Pa'!Q66,0)</f>
        <v>10.897097159773622</v>
      </c>
      <c r="BN66" s="18">
        <f>IFERROR(AP66/'Ar-Pa'!R66,0)</f>
        <v>8.9158067670875099</v>
      </c>
      <c r="BO66" s="18">
        <f>IFERROR(AQ66/'Ar-Pa'!S66,0)</f>
        <v>9.2460218325351953</v>
      </c>
      <c r="BP66" s="18">
        <f>IFERROR(AR66/'Ar-Pa'!T66,0)</f>
        <v>8.9158067670875099</v>
      </c>
      <c r="BQ66" s="18">
        <f>IFERROR(AS66/'Ar-Pa'!U66,0)</f>
        <v>9.2460218325351953</v>
      </c>
      <c r="BR66" s="18">
        <f>IFERROR(AT66/'Ar-Pa'!V66,0)</f>
        <v>8.9158067670875099</v>
      </c>
      <c r="BS66" s="18">
        <f>IFERROR(AU66/'Ar-Pa'!W66,0)</f>
        <v>8.9158067670875099</v>
      </c>
      <c r="BT66" s="18">
        <f>IFERROR(AV66/'Ar-Pa'!X66,0)</f>
        <v>8.5855917016398244</v>
      </c>
      <c r="BU66" s="18">
        <f>IFERROR(AW66/'Ar-Pa'!Y66,0)</f>
        <v>9.2460218325351953</v>
      </c>
    </row>
    <row r="67" spans="1:73" s="12" customFormat="1" ht="15">
      <c r="A67" s="15">
        <v>44992</v>
      </c>
      <c r="B67" s="441">
        <v>0.27</v>
      </c>
      <c r="C67" s="441">
        <v>0.28000000000000003</v>
      </c>
      <c r="D67" s="441">
        <v>0.27</v>
      </c>
      <c r="E67" s="441">
        <v>0.27</v>
      </c>
      <c r="F67" s="441">
        <v>0.28000000000000003</v>
      </c>
      <c r="G67" s="441">
        <v>0.27</v>
      </c>
      <c r="H67" s="441">
        <v>0.27</v>
      </c>
      <c r="I67" s="441">
        <v>0.27</v>
      </c>
      <c r="J67" s="441">
        <v>0.28000000000000003</v>
      </c>
      <c r="K67" s="441">
        <v>0.27</v>
      </c>
      <c r="L67" s="441">
        <v>0.28000000000000003</v>
      </c>
      <c r="M67" s="441">
        <v>0.27</v>
      </c>
      <c r="N67" s="441">
        <v>0.27</v>
      </c>
      <c r="O67" s="441">
        <v>0.28000000000000003</v>
      </c>
      <c r="P67" s="441">
        <v>0.27</v>
      </c>
      <c r="Q67" s="441">
        <v>0.27</v>
      </c>
      <c r="R67" s="441">
        <v>0.28000000000000003</v>
      </c>
      <c r="S67" s="441">
        <v>0.27</v>
      </c>
      <c r="T67" s="441">
        <v>0.27</v>
      </c>
      <c r="U67" s="441">
        <v>0.28000000000000003</v>
      </c>
      <c r="V67" s="441">
        <v>0.27</v>
      </c>
      <c r="W67" s="441">
        <v>0.28000000000000003</v>
      </c>
      <c r="X67" s="441">
        <v>0.3</v>
      </c>
      <c r="Y67" s="441">
        <v>0.25</v>
      </c>
      <c r="Z67" s="19">
        <f t="shared" ref="Z67:Z121" si="46">+CONVERT(B67,"m^3","gal")</f>
        <v>71.326454136700079</v>
      </c>
      <c r="AA67" s="19">
        <f t="shared" ref="AA67:AA122" si="47">+CONVERT(C67,"m^3","gal")</f>
        <v>73.968174660281562</v>
      </c>
      <c r="AB67" s="19">
        <f t="shared" si="24"/>
        <v>71.326454136700079</v>
      </c>
      <c r="AC67" s="19">
        <f t="shared" si="25"/>
        <v>71.326454136700079</v>
      </c>
      <c r="AD67" s="19">
        <f t="shared" si="26"/>
        <v>73.968174660281562</v>
      </c>
      <c r="AE67" s="19">
        <f t="shared" si="27"/>
        <v>71.326454136700079</v>
      </c>
      <c r="AF67" s="19">
        <f t="shared" si="28"/>
        <v>71.326454136700079</v>
      </c>
      <c r="AG67" s="19">
        <f t="shared" si="29"/>
        <v>71.326454136700079</v>
      </c>
      <c r="AH67" s="19">
        <f t="shared" si="30"/>
        <v>73.968174660281562</v>
      </c>
      <c r="AI67" s="19">
        <f t="shared" si="31"/>
        <v>71.326454136700079</v>
      </c>
      <c r="AJ67" s="19">
        <f t="shared" si="32"/>
        <v>73.968174660281562</v>
      </c>
      <c r="AK67" s="19">
        <f t="shared" si="33"/>
        <v>71.326454136700079</v>
      </c>
      <c r="AL67" s="19">
        <f t="shared" si="34"/>
        <v>71.326454136700079</v>
      </c>
      <c r="AM67" s="19">
        <f t="shared" si="35"/>
        <v>73.968174660281562</v>
      </c>
      <c r="AN67" s="19">
        <f t="shared" si="36"/>
        <v>71.326454136700079</v>
      </c>
      <c r="AO67" s="19">
        <f t="shared" si="37"/>
        <v>71.326454136700079</v>
      </c>
      <c r="AP67" s="19">
        <f t="shared" si="38"/>
        <v>73.968174660281562</v>
      </c>
      <c r="AQ67" s="19">
        <f t="shared" si="39"/>
        <v>71.326454136700079</v>
      </c>
      <c r="AR67" s="19">
        <f t="shared" si="40"/>
        <v>71.326454136700079</v>
      </c>
      <c r="AS67" s="19">
        <f t="shared" si="41"/>
        <v>73.968174660281562</v>
      </c>
      <c r="AT67" s="19">
        <f t="shared" si="42"/>
        <v>71.326454136700079</v>
      </c>
      <c r="AU67" s="19">
        <f t="shared" si="43"/>
        <v>73.968174660281562</v>
      </c>
      <c r="AV67" s="19">
        <f t="shared" si="44"/>
        <v>79.251615707444529</v>
      </c>
      <c r="AW67" s="19">
        <f t="shared" si="45"/>
        <v>66.043013089537112</v>
      </c>
      <c r="AX67" s="18">
        <f>IFERROR(Z67/'Ar-Pa'!B67,0)</f>
        <v>8.9158067670875099</v>
      </c>
      <c r="AY67" s="18">
        <f>IFERROR(AA67/'Ar-Pa'!C67,0)</f>
        <v>9.2460218325351953</v>
      </c>
      <c r="AZ67" s="18">
        <f>IFERROR(AB67/'Ar-Pa'!D67,0)</f>
        <v>8.9158067670875099</v>
      </c>
      <c r="BA67" s="18">
        <f>IFERROR(AC67/'Ar-Pa'!E67,0)</f>
        <v>8.9158067670875099</v>
      </c>
      <c r="BB67" s="18">
        <f>IFERROR(AD67/'Ar-Pa'!F67,0)</f>
        <v>9.2460218325351953</v>
      </c>
      <c r="BC67" s="18">
        <f>IFERROR(AE67/'Ar-Pa'!G67,0)</f>
        <v>8.9158067670875099</v>
      </c>
      <c r="BD67" s="18">
        <f>IFERROR(AF67/'Ar-Pa'!H67,0)</f>
        <v>10.189493448100011</v>
      </c>
      <c r="BE67" s="18">
        <f>IFERROR(AG67/'Ar-Pa'!I67,0)</f>
        <v>8.9158067670875099</v>
      </c>
      <c r="BF67" s="18">
        <f>IFERROR(AH67/'Ar-Pa'!J67,0)</f>
        <v>9.2460218325351953</v>
      </c>
      <c r="BG67" s="18">
        <f>IFERROR(AI67/'Ar-Pa'!K67,0)</f>
        <v>8.9158067670875099</v>
      </c>
      <c r="BH67" s="18">
        <f>IFERROR(AJ67/'Ar-Pa'!L67,0)</f>
        <v>9.2460218325351953</v>
      </c>
      <c r="BI67" s="18">
        <f>IFERROR(AK67/'Ar-Pa'!M67,0)</f>
        <v>8.9158067670875099</v>
      </c>
      <c r="BJ67" s="18">
        <f>IFERROR(AL67/'Ar-Pa'!N67,0)</f>
        <v>8.9158067670875099</v>
      </c>
      <c r="BK67" s="18">
        <f>IFERROR(AM67/'Ar-Pa'!O67,0)</f>
        <v>9.2460218325351953</v>
      </c>
      <c r="BL67" s="18">
        <f>IFERROR(AN67/'Ar-Pa'!P67,0)</f>
        <v>8.9158067670875099</v>
      </c>
      <c r="BM67" s="18">
        <f>IFERROR(AO67/'Ar-Pa'!Q67,0)</f>
        <v>8.9158067670875099</v>
      </c>
      <c r="BN67" s="18">
        <f>IFERROR(AP67/'Ar-Pa'!R67,0)</f>
        <v>9.2460218325351953</v>
      </c>
      <c r="BO67" s="18">
        <f>IFERROR(AQ67/'Ar-Pa'!S67,0)</f>
        <v>8.9158067670875099</v>
      </c>
      <c r="BP67" s="18">
        <f>IFERROR(AR67/'Ar-Pa'!T67,0)</f>
        <v>8.9158067670875099</v>
      </c>
      <c r="BQ67" s="18">
        <f>IFERROR(AS67/'Ar-Pa'!U67,0)</f>
        <v>9.2460218325351953</v>
      </c>
      <c r="BR67" s="18">
        <f>IFERROR(AT67/'Ar-Pa'!V67,0)</f>
        <v>8.9158067670875099</v>
      </c>
      <c r="BS67" s="18">
        <f>IFERROR(AU67/'Ar-Pa'!W67,0)</f>
        <v>9.2460218325351953</v>
      </c>
      <c r="BT67" s="18">
        <f>IFERROR(AV67/'Ar-Pa'!X67,0)</f>
        <v>9.9064519634305661</v>
      </c>
      <c r="BU67" s="18">
        <f>IFERROR(AW67/'Ar-Pa'!Y67,0)</f>
        <v>8.255376636192139</v>
      </c>
    </row>
    <row r="68" spans="1:73" s="12" customFormat="1" ht="15">
      <c r="A68" s="15">
        <v>44993</v>
      </c>
      <c r="B68" s="441">
        <v>0.28000000000000003</v>
      </c>
      <c r="C68" s="441">
        <v>0.28000000000000003</v>
      </c>
      <c r="D68" s="441">
        <v>0.27</v>
      </c>
      <c r="E68" s="441">
        <v>0.28000000000000003</v>
      </c>
      <c r="F68" s="441">
        <v>0.27</v>
      </c>
      <c r="G68" s="441">
        <v>0.27</v>
      </c>
      <c r="H68" s="441">
        <v>0.28999999999999998</v>
      </c>
      <c r="I68" s="441">
        <v>0.28000000000000003</v>
      </c>
      <c r="J68" s="441">
        <v>0.27</v>
      </c>
      <c r="K68" s="441">
        <v>0.28999999999999998</v>
      </c>
      <c r="L68" s="441">
        <v>0.28999999999999998</v>
      </c>
      <c r="M68" s="441">
        <v>0.28000000000000003</v>
      </c>
      <c r="N68" s="441">
        <v>0.28999999999999998</v>
      </c>
      <c r="O68" s="441">
        <v>0.28000000000000003</v>
      </c>
      <c r="P68" s="441">
        <v>0.28999999999999998</v>
      </c>
      <c r="Q68" s="441">
        <v>0.28999999999999998</v>
      </c>
      <c r="R68" s="441">
        <v>0.28000000000000003</v>
      </c>
      <c r="S68" s="441">
        <v>0.28999999999999998</v>
      </c>
      <c r="T68" s="441">
        <v>0.28000000000000003</v>
      </c>
      <c r="U68" s="441">
        <v>0.28999999999999998</v>
      </c>
      <c r="V68" s="441">
        <v>0.33</v>
      </c>
      <c r="W68" s="441">
        <v>0.28000000000000003</v>
      </c>
      <c r="X68" s="441">
        <v>0.28999999999999998</v>
      </c>
      <c r="Y68" s="441">
        <v>0.28000000000000003</v>
      </c>
      <c r="Z68" s="19">
        <f t="shared" si="46"/>
        <v>73.968174660281562</v>
      </c>
      <c r="AA68" s="19">
        <f t="shared" si="47"/>
        <v>73.968174660281562</v>
      </c>
      <c r="AB68" s="19">
        <f t="shared" si="24"/>
        <v>71.326454136700079</v>
      </c>
      <c r="AC68" s="19">
        <f t="shared" si="25"/>
        <v>73.968174660281562</v>
      </c>
      <c r="AD68" s="19">
        <f t="shared" si="26"/>
        <v>71.326454136700079</v>
      </c>
      <c r="AE68" s="19">
        <f t="shared" si="27"/>
        <v>71.326454136700079</v>
      </c>
      <c r="AF68" s="19">
        <f t="shared" si="28"/>
        <v>76.609895183863046</v>
      </c>
      <c r="AG68" s="19">
        <f t="shared" si="29"/>
        <v>73.968174660281562</v>
      </c>
      <c r="AH68" s="19">
        <f t="shared" si="30"/>
        <v>71.326454136700079</v>
      </c>
      <c r="AI68" s="19">
        <f t="shared" si="31"/>
        <v>76.609895183863046</v>
      </c>
      <c r="AJ68" s="19">
        <f t="shared" si="32"/>
        <v>76.609895183863046</v>
      </c>
      <c r="AK68" s="19">
        <f t="shared" si="33"/>
        <v>73.968174660281562</v>
      </c>
      <c r="AL68" s="19">
        <f t="shared" si="34"/>
        <v>76.609895183863046</v>
      </c>
      <c r="AM68" s="19">
        <f t="shared" si="35"/>
        <v>73.968174660281562</v>
      </c>
      <c r="AN68" s="19">
        <f t="shared" si="36"/>
        <v>76.609895183863046</v>
      </c>
      <c r="AO68" s="19">
        <f t="shared" si="37"/>
        <v>76.609895183863046</v>
      </c>
      <c r="AP68" s="19">
        <f t="shared" si="38"/>
        <v>73.968174660281562</v>
      </c>
      <c r="AQ68" s="19">
        <f t="shared" si="39"/>
        <v>76.609895183863046</v>
      </c>
      <c r="AR68" s="19">
        <f t="shared" si="40"/>
        <v>73.968174660281562</v>
      </c>
      <c r="AS68" s="19">
        <f t="shared" si="41"/>
        <v>76.609895183863046</v>
      </c>
      <c r="AT68" s="19">
        <f t="shared" si="42"/>
        <v>87.176777278188979</v>
      </c>
      <c r="AU68" s="19">
        <f t="shared" si="43"/>
        <v>73.968174660281562</v>
      </c>
      <c r="AV68" s="19">
        <f t="shared" si="44"/>
        <v>76.609895183863046</v>
      </c>
      <c r="AW68" s="19">
        <f t="shared" si="45"/>
        <v>73.968174660281562</v>
      </c>
      <c r="AX68" s="18">
        <f>IFERROR(Z68/'Ar-Pa'!B68,0)</f>
        <v>9.2460218325351953</v>
      </c>
      <c r="AY68" s="18">
        <f>IFERROR(AA68/'Ar-Pa'!C68,0)</f>
        <v>9.2460218325351953</v>
      </c>
      <c r="AZ68" s="18">
        <f>IFERROR(AB68/'Ar-Pa'!D68,0)</f>
        <v>8.9158067670875099</v>
      </c>
      <c r="BA68" s="18">
        <f>IFERROR(AC68/'Ar-Pa'!E68,0)</f>
        <v>9.2460218325351953</v>
      </c>
      <c r="BB68" s="18">
        <f>IFERROR(AD68/'Ar-Pa'!F68,0)</f>
        <v>8.9158067670875099</v>
      </c>
      <c r="BC68" s="18">
        <f>IFERROR(AE68/'Ar-Pa'!G68,0)</f>
        <v>8.9158067670875099</v>
      </c>
      <c r="BD68" s="18">
        <f>IFERROR(AF68/'Ar-Pa'!H68,0)</f>
        <v>10.944270740551863</v>
      </c>
      <c r="BE68" s="18">
        <f>IFERROR(AG68/'Ar-Pa'!I68,0)</f>
        <v>10.566882094325937</v>
      </c>
      <c r="BF68" s="18">
        <f>IFERROR(AH68/'Ar-Pa'!J68,0)</f>
        <v>10.189493448100011</v>
      </c>
      <c r="BG68" s="18">
        <f>IFERROR(AI68/'Ar-Pa'!K68,0)</f>
        <v>9.5762368979828807</v>
      </c>
      <c r="BH68" s="18">
        <f>IFERROR(AJ68/'Ar-Pa'!L68,0)</f>
        <v>9.5762368979828807</v>
      </c>
      <c r="BI68" s="18">
        <f>IFERROR(AK68/'Ar-Pa'!M68,0)</f>
        <v>9.2460218325351953</v>
      </c>
      <c r="BJ68" s="18">
        <f>IFERROR(AL68/'Ar-Pa'!N68,0)</f>
        <v>9.5762368979828807</v>
      </c>
      <c r="BK68" s="18">
        <f>IFERROR(AM68/'Ar-Pa'!O68,0)</f>
        <v>9.2460218325351953</v>
      </c>
      <c r="BL68" s="18">
        <f>IFERROR(AN68/'Ar-Pa'!P68,0)</f>
        <v>9.5762368979828807</v>
      </c>
      <c r="BM68" s="18">
        <f>IFERROR(AO68/'Ar-Pa'!Q68,0)</f>
        <v>9.5762368979828807</v>
      </c>
      <c r="BN68" s="18">
        <f>IFERROR(AP68/'Ar-Pa'!R68,0)</f>
        <v>9.2460218325351953</v>
      </c>
      <c r="BO68" s="18">
        <f>IFERROR(AQ68/'Ar-Pa'!S68,0)</f>
        <v>9.5762368979828807</v>
      </c>
      <c r="BP68" s="18">
        <f>IFERROR(AR68/'Ar-Pa'!T68,0)</f>
        <v>9.2460218325351953</v>
      </c>
      <c r="BQ68" s="18">
        <f>IFERROR(AS68/'Ar-Pa'!U68,0)</f>
        <v>9.5762368979828807</v>
      </c>
      <c r="BR68" s="18">
        <f>IFERROR(AT68/'Ar-Pa'!V68,0)</f>
        <v>10.897097159773622</v>
      </c>
      <c r="BS68" s="18">
        <f>IFERROR(AU68/'Ar-Pa'!W68,0)</f>
        <v>9.2460218325351953</v>
      </c>
      <c r="BT68" s="18">
        <f>IFERROR(AV68/'Ar-Pa'!X68,0)</f>
        <v>9.5762368979828807</v>
      </c>
      <c r="BU68" s="18">
        <f>IFERROR(AW68/'Ar-Pa'!Y68,0)</f>
        <v>9.2460218325351953</v>
      </c>
    </row>
    <row r="69" spans="1:73" s="12" customFormat="1" ht="15">
      <c r="A69" s="15">
        <v>44994</v>
      </c>
      <c r="B69" s="441">
        <v>0.28000000000000003</v>
      </c>
      <c r="C69" s="441">
        <v>0.28000000000000003</v>
      </c>
      <c r="D69" s="441">
        <v>0.28000000000000003</v>
      </c>
      <c r="E69" s="441">
        <v>0.28000000000000003</v>
      </c>
      <c r="F69" s="441">
        <v>0.28999999999999998</v>
      </c>
      <c r="G69" s="441">
        <v>0.27</v>
      </c>
      <c r="H69" s="441">
        <v>0.28000000000000003</v>
      </c>
      <c r="I69" s="441">
        <v>0.28999999999999998</v>
      </c>
      <c r="J69" s="441">
        <v>0.28000000000000003</v>
      </c>
      <c r="K69" s="441">
        <v>0.28000000000000003</v>
      </c>
      <c r="L69" s="441">
        <v>0.28000000000000003</v>
      </c>
      <c r="M69" s="441">
        <v>0.28999999999999998</v>
      </c>
      <c r="N69" s="441">
        <v>0.28000000000000003</v>
      </c>
      <c r="O69" s="441">
        <v>0.28000000000000003</v>
      </c>
      <c r="P69" s="441">
        <v>0.28000000000000003</v>
      </c>
      <c r="Q69" s="441">
        <v>0.28999999999999998</v>
      </c>
      <c r="R69" s="441">
        <v>0.27</v>
      </c>
      <c r="S69" s="441">
        <v>0.28999999999999998</v>
      </c>
      <c r="T69" s="441">
        <v>0.28000000000000003</v>
      </c>
      <c r="U69" s="441">
        <v>0.28000000000000003</v>
      </c>
      <c r="V69" s="441">
        <v>0.31</v>
      </c>
      <c r="W69" s="441">
        <v>0.28000000000000003</v>
      </c>
      <c r="X69" s="441">
        <v>0.28000000000000003</v>
      </c>
      <c r="Y69" s="441">
        <v>0.28000000000000003</v>
      </c>
      <c r="Z69" s="19">
        <f t="shared" si="46"/>
        <v>73.968174660281562</v>
      </c>
      <c r="AA69" s="19">
        <f t="shared" si="47"/>
        <v>73.968174660281562</v>
      </c>
      <c r="AB69" s="19">
        <f t="shared" si="24"/>
        <v>73.968174660281562</v>
      </c>
      <c r="AC69" s="19">
        <f t="shared" si="25"/>
        <v>73.968174660281562</v>
      </c>
      <c r="AD69" s="19">
        <f t="shared" si="26"/>
        <v>76.609895183863046</v>
      </c>
      <c r="AE69" s="19">
        <f t="shared" si="27"/>
        <v>71.326454136700079</v>
      </c>
      <c r="AF69" s="19">
        <f t="shared" si="28"/>
        <v>73.968174660281562</v>
      </c>
      <c r="AG69" s="19">
        <f t="shared" si="29"/>
        <v>76.609895183863046</v>
      </c>
      <c r="AH69" s="19">
        <f t="shared" si="30"/>
        <v>73.968174660281562</v>
      </c>
      <c r="AI69" s="19">
        <f t="shared" si="31"/>
        <v>73.968174660281562</v>
      </c>
      <c r="AJ69" s="19">
        <f t="shared" si="32"/>
        <v>73.968174660281562</v>
      </c>
      <c r="AK69" s="19">
        <f t="shared" si="33"/>
        <v>76.609895183863046</v>
      </c>
      <c r="AL69" s="19">
        <f t="shared" si="34"/>
        <v>73.968174660281562</v>
      </c>
      <c r="AM69" s="19">
        <f t="shared" si="35"/>
        <v>73.968174660281562</v>
      </c>
      <c r="AN69" s="19">
        <f t="shared" si="36"/>
        <v>73.968174660281562</v>
      </c>
      <c r="AO69" s="19">
        <f t="shared" si="37"/>
        <v>76.609895183863046</v>
      </c>
      <c r="AP69" s="19">
        <f t="shared" si="38"/>
        <v>71.326454136700079</v>
      </c>
      <c r="AQ69" s="19">
        <f t="shared" si="39"/>
        <v>76.609895183863046</v>
      </c>
      <c r="AR69" s="19">
        <f t="shared" si="40"/>
        <v>73.968174660281562</v>
      </c>
      <c r="AS69" s="19">
        <f t="shared" si="41"/>
        <v>73.968174660281562</v>
      </c>
      <c r="AT69" s="19">
        <f t="shared" si="42"/>
        <v>81.893336231026012</v>
      </c>
      <c r="AU69" s="19">
        <f t="shared" si="43"/>
        <v>73.968174660281562</v>
      </c>
      <c r="AV69" s="19">
        <f t="shared" si="44"/>
        <v>73.968174660281562</v>
      </c>
      <c r="AW69" s="19">
        <f t="shared" si="45"/>
        <v>73.968174660281562</v>
      </c>
      <c r="AX69" s="18">
        <f>IFERROR(Z69/'Ar-Pa'!B69,0)</f>
        <v>9.2460218325351953</v>
      </c>
      <c r="AY69" s="18">
        <f>IFERROR(AA69/'Ar-Pa'!C69,0)</f>
        <v>9.2460218325351953</v>
      </c>
      <c r="AZ69" s="18">
        <f>IFERROR(AB69/'Ar-Pa'!D69,0)</f>
        <v>9.2460218325351953</v>
      </c>
      <c r="BA69" s="18">
        <f>IFERROR(AC69/'Ar-Pa'!E69,0)</f>
        <v>9.2460218325351953</v>
      </c>
      <c r="BB69" s="18">
        <f>IFERROR(AD69/'Ar-Pa'!F69,0)</f>
        <v>9.5762368979828807</v>
      </c>
      <c r="BC69" s="18">
        <f>IFERROR(AE69/'Ar-Pa'!G69,0)</f>
        <v>10.189493448100011</v>
      </c>
      <c r="BD69" s="18">
        <f>IFERROR(AF69/'Ar-Pa'!H69,0)</f>
        <v>9.2460218325351953</v>
      </c>
      <c r="BE69" s="18">
        <f>IFERROR(AG69/'Ar-Pa'!I69,0)</f>
        <v>10.944270740551863</v>
      </c>
      <c r="BF69" s="18">
        <f>IFERROR(AH69/'Ar-Pa'!J69,0)</f>
        <v>10.566882094325937</v>
      </c>
      <c r="BG69" s="18">
        <f>IFERROR(AI69/'Ar-Pa'!K69,0)</f>
        <v>9.2460218325351953</v>
      </c>
      <c r="BH69" s="18">
        <f>IFERROR(AJ69/'Ar-Pa'!L69,0)</f>
        <v>9.2460218325351953</v>
      </c>
      <c r="BI69" s="18">
        <f>IFERROR(AK69/'Ar-Pa'!M69,0)</f>
        <v>9.5762368979828807</v>
      </c>
      <c r="BJ69" s="18">
        <f>IFERROR(AL69/'Ar-Pa'!N69,0)</f>
        <v>9.2460218325351953</v>
      </c>
      <c r="BK69" s="18">
        <f>IFERROR(AM69/'Ar-Pa'!O69,0)</f>
        <v>9.2460218325351953</v>
      </c>
      <c r="BL69" s="18">
        <f>IFERROR(AN69/'Ar-Pa'!P69,0)</f>
        <v>9.2460218325351953</v>
      </c>
      <c r="BM69" s="18">
        <f>IFERROR(AO69/'Ar-Pa'!Q69,0)</f>
        <v>9.5762368979828807</v>
      </c>
      <c r="BN69" s="18">
        <f>IFERROR(AP69/'Ar-Pa'!R69,0)</f>
        <v>8.9158067670875099</v>
      </c>
      <c r="BO69" s="18">
        <f>IFERROR(AQ69/'Ar-Pa'!S69,0)</f>
        <v>9.5762368979828807</v>
      </c>
      <c r="BP69" s="18">
        <f>IFERROR(AR69/'Ar-Pa'!T69,0)</f>
        <v>9.2460218325351953</v>
      </c>
      <c r="BQ69" s="18">
        <f>IFERROR(AS69/'Ar-Pa'!U69,0)</f>
        <v>9.2460218325351953</v>
      </c>
      <c r="BR69" s="18">
        <f>IFERROR(AT69/'Ar-Pa'!V69,0)</f>
        <v>10.236667028878252</v>
      </c>
      <c r="BS69" s="18">
        <f>IFERROR(AU69/'Ar-Pa'!W69,0)</f>
        <v>9.2460218325351953</v>
      </c>
      <c r="BT69" s="18">
        <f>IFERROR(AV69/'Ar-Pa'!X69,0)</f>
        <v>9.2460218325351953</v>
      </c>
      <c r="BU69" s="18">
        <f>IFERROR(AW69/'Ar-Pa'!Y69,0)</f>
        <v>9.2460218325351953</v>
      </c>
    </row>
    <row r="70" spans="1:73" s="12" customFormat="1" ht="15">
      <c r="A70" s="15">
        <v>44995</v>
      </c>
      <c r="B70" s="441">
        <v>0.26</v>
      </c>
      <c r="C70" s="441">
        <v>0.27</v>
      </c>
      <c r="D70" s="441">
        <v>0.27</v>
      </c>
      <c r="E70" s="441">
        <v>0.27</v>
      </c>
      <c r="F70" s="441">
        <v>0.26</v>
      </c>
      <c r="G70" s="441">
        <v>0.27</v>
      </c>
      <c r="H70" s="441">
        <v>0.27</v>
      </c>
      <c r="I70" s="441">
        <v>0.27</v>
      </c>
      <c r="J70" s="441">
        <v>0.27</v>
      </c>
      <c r="K70" s="441">
        <v>0.27</v>
      </c>
      <c r="L70" s="441">
        <v>0.27</v>
      </c>
      <c r="M70" s="441">
        <v>0.28000000000000003</v>
      </c>
      <c r="N70" s="441">
        <v>0.27</v>
      </c>
      <c r="O70" s="441">
        <v>0.27</v>
      </c>
      <c r="P70" s="441">
        <v>0.27</v>
      </c>
      <c r="Q70" s="441">
        <v>0.28000000000000003</v>
      </c>
      <c r="R70" s="441">
        <v>0.26</v>
      </c>
      <c r="S70" s="441">
        <v>0.28000000000000003</v>
      </c>
      <c r="T70" s="441">
        <v>0.28000000000000003</v>
      </c>
      <c r="U70" s="441">
        <v>0.26</v>
      </c>
      <c r="V70" s="441">
        <v>0.28000000000000003</v>
      </c>
      <c r="W70" s="441">
        <v>0.27</v>
      </c>
      <c r="X70" s="441">
        <v>0.27</v>
      </c>
      <c r="Y70" s="441">
        <v>0.27</v>
      </c>
      <c r="Z70" s="19">
        <f t="shared" si="46"/>
        <v>68.684733613118595</v>
      </c>
      <c r="AA70" s="19">
        <f t="shared" si="47"/>
        <v>71.326454136700079</v>
      </c>
      <c r="AB70" s="19">
        <f t="shared" si="24"/>
        <v>71.326454136700079</v>
      </c>
      <c r="AC70" s="19">
        <f t="shared" si="25"/>
        <v>71.326454136700079</v>
      </c>
      <c r="AD70" s="19">
        <f t="shared" si="26"/>
        <v>68.684733613118595</v>
      </c>
      <c r="AE70" s="19">
        <f t="shared" si="27"/>
        <v>71.326454136700079</v>
      </c>
      <c r="AF70" s="19">
        <f t="shared" si="28"/>
        <v>71.326454136700079</v>
      </c>
      <c r="AG70" s="19">
        <f t="shared" si="29"/>
        <v>71.326454136700079</v>
      </c>
      <c r="AH70" s="19">
        <f t="shared" si="30"/>
        <v>71.326454136700079</v>
      </c>
      <c r="AI70" s="19">
        <f t="shared" si="31"/>
        <v>71.326454136700079</v>
      </c>
      <c r="AJ70" s="19">
        <f t="shared" si="32"/>
        <v>71.326454136700079</v>
      </c>
      <c r="AK70" s="19">
        <f t="shared" si="33"/>
        <v>73.968174660281562</v>
      </c>
      <c r="AL70" s="19">
        <f t="shared" si="34"/>
        <v>71.326454136700079</v>
      </c>
      <c r="AM70" s="19">
        <f t="shared" si="35"/>
        <v>71.326454136700079</v>
      </c>
      <c r="AN70" s="19">
        <f t="shared" si="36"/>
        <v>71.326454136700079</v>
      </c>
      <c r="AO70" s="19">
        <f t="shared" si="37"/>
        <v>73.968174660281562</v>
      </c>
      <c r="AP70" s="19">
        <f t="shared" si="38"/>
        <v>68.684733613118595</v>
      </c>
      <c r="AQ70" s="19">
        <f t="shared" si="39"/>
        <v>73.968174660281562</v>
      </c>
      <c r="AR70" s="19">
        <f t="shared" si="40"/>
        <v>73.968174660281562</v>
      </c>
      <c r="AS70" s="19">
        <f t="shared" si="41"/>
        <v>68.684733613118595</v>
      </c>
      <c r="AT70" s="19">
        <f t="shared" si="42"/>
        <v>73.968174660281562</v>
      </c>
      <c r="AU70" s="19">
        <f t="shared" si="43"/>
        <v>71.326454136700079</v>
      </c>
      <c r="AV70" s="19">
        <f t="shared" si="44"/>
        <v>71.326454136700079</v>
      </c>
      <c r="AW70" s="19">
        <f t="shared" si="45"/>
        <v>71.326454136700079</v>
      </c>
      <c r="AX70" s="18">
        <f>IFERROR(Z70/'Ar-Pa'!B70,0)</f>
        <v>8.5855917016398244</v>
      </c>
      <c r="AY70" s="18">
        <f>IFERROR(AA70/'Ar-Pa'!C70,0)</f>
        <v>8.9158067670875099</v>
      </c>
      <c r="AZ70" s="18">
        <f>IFERROR(AB70/'Ar-Pa'!D70,0)</f>
        <v>8.9158067670875099</v>
      </c>
      <c r="BA70" s="18">
        <f>IFERROR(AC70/'Ar-Pa'!E70,0)</f>
        <v>8.9158067670875099</v>
      </c>
      <c r="BB70" s="18">
        <f>IFERROR(AD70/'Ar-Pa'!F70,0)</f>
        <v>8.5855917016398244</v>
      </c>
      <c r="BC70" s="18">
        <f>IFERROR(AE70/'Ar-Pa'!G70,0)</f>
        <v>8.9158067670875099</v>
      </c>
      <c r="BD70" s="18">
        <f>IFERROR(AF70/'Ar-Pa'!H70,0)</f>
        <v>10.189493448100011</v>
      </c>
      <c r="BE70" s="18">
        <f>IFERROR(AG70/'Ar-Pa'!I70,0)</f>
        <v>10.189493448100011</v>
      </c>
      <c r="BF70" s="18">
        <f>IFERROR(AH70/'Ar-Pa'!J70,0)</f>
        <v>10.189493448100011</v>
      </c>
      <c r="BG70" s="18">
        <f>IFERROR(AI70/'Ar-Pa'!K70,0)</f>
        <v>8.9158067670875099</v>
      </c>
      <c r="BH70" s="18">
        <f>IFERROR(AJ70/'Ar-Pa'!L70,0)</f>
        <v>8.9158067670875099</v>
      </c>
      <c r="BI70" s="18">
        <f>IFERROR(AK70/'Ar-Pa'!M70,0)</f>
        <v>9.2460218325351953</v>
      </c>
      <c r="BJ70" s="18">
        <f>IFERROR(AL70/'Ar-Pa'!N70,0)</f>
        <v>8.9158067670875099</v>
      </c>
      <c r="BK70" s="18">
        <f>IFERROR(AM70/'Ar-Pa'!O70,0)</f>
        <v>8.9158067670875099</v>
      </c>
      <c r="BL70" s="18">
        <f>IFERROR(AN70/'Ar-Pa'!P70,0)</f>
        <v>8.9158067670875099</v>
      </c>
      <c r="BM70" s="18">
        <f>IFERROR(AO70/'Ar-Pa'!Q70,0)</f>
        <v>9.2460218325351953</v>
      </c>
      <c r="BN70" s="18">
        <f>IFERROR(AP70/'Ar-Pa'!R70,0)</f>
        <v>8.5855917016398244</v>
      </c>
      <c r="BO70" s="18">
        <f>IFERROR(AQ70/'Ar-Pa'!S70,0)</f>
        <v>9.2460218325351953</v>
      </c>
      <c r="BP70" s="18">
        <f>IFERROR(AR70/'Ar-Pa'!T70,0)</f>
        <v>9.2460218325351953</v>
      </c>
      <c r="BQ70" s="18">
        <f>IFERROR(AS70/'Ar-Pa'!U70,0)</f>
        <v>8.5855917016398244</v>
      </c>
      <c r="BR70" s="18">
        <f>IFERROR(AT70/'Ar-Pa'!V70,0)</f>
        <v>9.2460218325351953</v>
      </c>
      <c r="BS70" s="18">
        <f>IFERROR(AU70/'Ar-Pa'!W70,0)</f>
        <v>8.9158067670875099</v>
      </c>
      <c r="BT70" s="18">
        <f>IFERROR(AV70/'Ar-Pa'!X70,0)</f>
        <v>8.9158067670875099</v>
      </c>
      <c r="BU70" s="18">
        <f>IFERROR(AW70/'Ar-Pa'!Y70,0)</f>
        <v>8.9158067670875099</v>
      </c>
    </row>
    <row r="71" spans="1:73" s="12" customFormat="1" ht="15">
      <c r="A71" s="15">
        <v>44996</v>
      </c>
      <c r="B71" s="441">
        <v>0.26</v>
      </c>
      <c r="C71" s="441">
        <v>0.27</v>
      </c>
      <c r="D71" s="441">
        <v>0.27</v>
      </c>
      <c r="E71" s="441">
        <v>0.26</v>
      </c>
      <c r="F71" s="441">
        <v>0.27</v>
      </c>
      <c r="G71" s="441">
        <v>0.27</v>
      </c>
      <c r="H71" s="441">
        <v>0.26</v>
      </c>
      <c r="I71" s="441">
        <v>0.25</v>
      </c>
      <c r="J71" s="441">
        <v>0.26</v>
      </c>
      <c r="K71" s="441">
        <v>0.25</v>
      </c>
      <c r="L71" s="441">
        <v>0.27</v>
      </c>
      <c r="M71" s="441">
        <v>0.26</v>
      </c>
      <c r="N71" s="441">
        <v>0.26</v>
      </c>
      <c r="O71" s="441">
        <v>0.26</v>
      </c>
      <c r="P71" s="441">
        <v>0.27</v>
      </c>
      <c r="Q71" s="441">
        <v>0.27</v>
      </c>
      <c r="R71" s="441">
        <v>0.25</v>
      </c>
      <c r="S71" s="441">
        <v>0.27</v>
      </c>
      <c r="T71" s="441">
        <v>0.26</v>
      </c>
      <c r="U71" s="441">
        <v>0.27</v>
      </c>
      <c r="V71" s="441">
        <v>0.26</v>
      </c>
      <c r="W71" s="441">
        <v>0.26</v>
      </c>
      <c r="X71" s="441">
        <v>0.27</v>
      </c>
      <c r="Y71" s="441">
        <v>0.26</v>
      </c>
      <c r="Z71" s="19">
        <f t="shared" si="46"/>
        <v>68.684733613118595</v>
      </c>
      <c r="AA71" s="19">
        <f t="shared" si="47"/>
        <v>71.326454136700079</v>
      </c>
      <c r="AB71" s="19">
        <f t="shared" si="24"/>
        <v>71.326454136700079</v>
      </c>
      <c r="AC71" s="19">
        <f t="shared" si="25"/>
        <v>68.684733613118595</v>
      </c>
      <c r="AD71" s="19">
        <f t="shared" si="26"/>
        <v>71.326454136700079</v>
      </c>
      <c r="AE71" s="19">
        <f t="shared" si="27"/>
        <v>71.326454136700079</v>
      </c>
      <c r="AF71" s="19">
        <f t="shared" si="28"/>
        <v>68.684733613118595</v>
      </c>
      <c r="AG71" s="19">
        <f t="shared" si="29"/>
        <v>66.043013089537112</v>
      </c>
      <c r="AH71" s="19">
        <f t="shared" si="30"/>
        <v>68.684733613118595</v>
      </c>
      <c r="AI71" s="19">
        <f t="shared" si="31"/>
        <v>66.043013089537112</v>
      </c>
      <c r="AJ71" s="19">
        <f t="shared" si="32"/>
        <v>71.326454136700079</v>
      </c>
      <c r="AK71" s="19">
        <f t="shared" si="33"/>
        <v>68.684733613118595</v>
      </c>
      <c r="AL71" s="19">
        <f t="shared" si="34"/>
        <v>68.684733613118595</v>
      </c>
      <c r="AM71" s="19">
        <f t="shared" si="35"/>
        <v>68.684733613118595</v>
      </c>
      <c r="AN71" s="19">
        <f t="shared" si="36"/>
        <v>71.326454136700079</v>
      </c>
      <c r="AO71" s="19">
        <f t="shared" si="37"/>
        <v>71.326454136700079</v>
      </c>
      <c r="AP71" s="19">
        <f t="shared" si="38"/>
        <v>66.043013089537112</v>
      </c>
      <c r="AQ71" s="19">
        <f t="shared" si="39"/>
        <v>71.326454136700079</v>
      </c>
      <c r="AR71" s="19">
        <f t="shared" si="40"/>
        <v>68.684733613118595</v>
      </c>
      <c r="AS71" s="19">
        <f t="shared" si="41"/>
        <v>71.326454136700079</v>
      </c>
      <c r="AT71" s="19">
        <f t="shared" si="42"/>
        <v>68.684733613118595</v>
      </c>
      <c r="AU71" s="19">
        <f t="shared" si="43"/>
        <v>68.684733613118595</v>
      </c>
      <c r="AV71" s="19">
        <f t="shared" si="44"/>
        <v>71.326454136700079</v>
      </c>
      <c r="AW71" s="19">
        <f t="shared" si="45"/>
        <v>68.684733613118595</v>
      </c>
      <c r="AX71" s="18">
        <f>IFERROR(Z71/'Ar-Pa'!B71,0)</f>
        <v>9.8121048018740851</v>
      </c>
      <c r="AY71" s="18">
        <f>IFERROR(AA71/'Ar-Pa'!C71,0)</f>
        <v>10.189493448100011</v>
      </c>
      <c r="AZ71" s="18">
        <f>IFERROR(AB71/'Ar-Pa'!D71,0)</f>
        <v>10.189493448100011</v>
      </c>
      <c r="BA71" s="18">
        <f>IFERROR(AC71/'Ar-Pa'!E71,0)</f>
        <v>9.8121048018740851</v>
      </c>
      <c r="BB71" s="18">
        <f>IFERROR(AD71/'Ar-Pa'!F71,0)</f>
        <v>10.189493448100011</v>
      </c>
      <c r="BC71" s="18">
        <f>IFERROR(AE71/'Ar-Pa'!G71,0)</f>
        <v>10.189493448100011</v>
      </c>
      <c r="BD71" s="18">
        <f>IFERROR(AF71/'Ar-Pa'!H71,0)</f>
        <v>9.8121048018740851</v>
      </c>
      <c r="BE71" s="18">
        <f>IFERROR(AG71/'Ar-Pa'!I71,0)</f>
        <v>11.007168848256185</v>
      </c>
      <c r="BF71" s="18">
        <f>IFERROR(AH71/'Ar-Pa'!J71,0)</f>
        <v>11.447455602186432</v>
      </c>
      <c r="BG71" s="18">
        <f>IFERROR(AI71/'Ar-Pa'!K71,0)</f>
        <v>11.007168848256185</v>
      </c>
      <c r="BH71" s="18">
        <f>IFERROR(AJ71/'Ar-Pa'!L71,0)</f>
        <v>10.189493448100011</v>
      </c>
      <c r="BI71" s="18">
        <f>IFERROR(AK71/'Ar-Pa'!M71,0)</f>
        <v>8.5855917016398244</v>
      </c>
      <c r="BJ71" s="18">
        <f>IFERROR(AL71/'Ar-Pa'!N71,0)</f>
        <v>8.5855917016398244</v>
      </c>
      <c r="BK71" s="18">
        <f>IFERROR(AM71/'Ar-Pa'!O71,0)</f>
        <v>8.5855917016398244</v>
      </c>
      <c r="BL71" s="18">
        <f>IFERROR(AN71/'Ar-Pa'!P71,0)</f>
        <v>8.9158067670875099</v>
      </c>
      <c r="BM71" s="18">
        <f>IFERROR(AO71/'Ar-Pa'!Q71,0)</f>
        <v>8.9158067670875099</v>
      </c>
      <c r="BN71" s="18">
        <f>IFERROR(AP71/'Ar-Pa'!R71,0)</f>
        <v>8.255376636192139</v>
      </c>
      <c r="BO71" s="18">
        <f>IFERROR(AQ71/'Ar-Pa'!S71,0)</f>
        <v>8.9158067670875099</v>
      </c>
      <c r="BP71" s="18">
        <f>IFERROR(AR71/'Ar-Pa'!T71,0)</f>
        <v>8.5855917016398244</v>
      </c>
      <c r="BQ71" s="18">
        <f>IFERROR(AS71/'Ar-Pa'!U71,0)</f>
        <v>8.9158067670875099</v>
      </c>
      <c r="BR71" s="18">
        <f>IFERROR(AT71/'Ar-Pa'!V71,0)</f>
        <v>8.5855917016398244</v>
      </c>
      <c r="BS71" s="18">
        <f>IFERROR(AU71/'Ar-Pa'!W71,0)</f>
        <v>8.5855917016398244</v>
      </c>
      <c r="BT71" s="18">
        <f>IFERROR(AV71/'Ar-Pa'!X71,0)</f>
        <v>8.9158067670875099</v>
      </c>
      <c r="BU71" s="18">
        <f>IFERROR(AW71/'Ar-Pa'!Y71,0)</f>
        <v>8.5855917016398244</v>
      </c>
    </row>
    <row r="72" spans="1:73" s="12" customFormat="1" ht="15">
      <c r="A72" s="15">
        <v>44997</v>
      </c>
      <c r="B72" s="441">
        <v>0.27</v>
      </c>
      <c r="C72" s="441">
        <v>0.27</v>
      </c>
      <c r="D72" s="441">
        <v>0.26</v>
      </c>
      <c r="E72" s="441">
        <v>0.27</v>
      </c>
      <c r="F72" s="441">
        <v>0.26</v>
      </c>
      <c r="G72" s="441">
        <v>0.26</v>
      </c>
      <c r="H72" s="441">
        <v>0.26</v>
      </c>
      <c r="I72" s="441">
        <v>0.27</v>
      </c>
      <c r="J72" s="441">
        <v>0.26</v>
      </c>
      <c r="K72" s="441">
        <v>0.26</v>
      </c>
      <c r="L72" s="441">
        <v>0.26</v>
      </c>
      <c r="M72" s="441">
        <v>0.26</v>
      </c>
      <c r="N72" s="441">
        <v>0.26</v>
      </c>
      <c r="O72" s="441">
        <v>0.26</v>
      </c>
      <c r="P72" s="441">
        <v>0.26</v>
      </c>
      <c r="Q72" s="441">
        <v>0.26</v>
      </c>
      <c r="R72" s="441">
        <v>0.26</v>
      </c>
      <c r="S72" s="441">
        <v>0.26</v>
      </c>
      <c r="T72" s="441">
        <v>0.26</v>
      </c>
      <c r="U72" s="441">
        <v>0.25</v>
      </c>
      <c r="V72" s="441">
        <v>0.26</v>
      </c>
      <c r="W72" s="441">
        <v>0.27</v>
      </c>
      <c r="X72" s="441">
        <v>0.27</v>
      </c>
      <c r="Y72" s="441">
        <v>0.27</v>
      </c>
      <c r="Z72" s="19">
        <f t="shared" si="46"/>
        <v>71.326454136700079</v>
      </c>
      <c r="AA72" s="19">
        <f t="shared" si="47"/>
        <v>71.326454136700079</v>
      </c>
      <c r="AB72" s="19">
        <f t="shared" si="24"/>
        <v>68.684733613118595</v>
      </c>
      <c r="AC72" s="19">
        <f t="shared" si="25"/>
        <v>71.326454136700079</v>
      </c>
      <c r="AD72" s="19">
        <f t="shared" si="26"/>
        <v>68.684733613118595</v>
      </c>
      <c r="AE72" s="19">
        <f t="shared" si="27"/>
        <v>68.684733613118595</v>
      </c>
      <c r="AF72" s="19">
        <f t="shared" si="28"/>
        <v>68.684733613118595</v>
      </c>
      <c r="AG72" s="19">
        <f t="shared" si="29"/>
        <v>71.326454136700079</v>
      </c>
      <c r="AH72" s="19">
        <f t="shared" si="30"/>
        <v>68.684733613118595</v>
      </c>
      <c r="AI72" s="19">
        <f t="shared" si="31"/>
        <v>68.684733613118595</v>
      </c>
      <c r="AJ72" s="19">
        <f t="shared" si="32"/>
        <v>68.684733613118595</v>
      </c>
      <c r="AK72" s="19">
        <f t="shared" si="33"/>
        <v>68.684733613118595</v>
      </c>
      <c r="AL72" s="19">
        <f t="shared" si="34"/>
        <v>68.684733613118595</v>
      </c>
      <c r="AM72" s="19">
        <f t="shared" si="35"/>
        <v>68.684733613118595</v>
      </c>
      <c r="AN72" s="19">
        <f t="shared" si="36"/>
        <v>68.684733613118595</v>
      </c>
      <c r="AO72" s="19">
        <f t="shared" si="37"/>
        <v>68.684733613118595</v>
      </c>
      <c r="AP72" s="19">
        <f t="shared" si="38"/>
        <v>68.684733613118595</v>
      </c>
      <c r="AQ72" s="19">
        <f t="shared" si="39"/>
        <v>68.684733613118595</v>
      </c>
      <c r="AR72" s="19">
        <f t="shared" si="40"/>
        <v>68.684733613118595</v>
      </c>
      <c r="AS72" s="19">
        <f t="shared" si="41"/>
        <v>66.043013089537112</v>
      </c>
      <c r="AT72" s="19">
        <f t="shared" si="42"/>
        <v>68.684733613118595</v>
      </c>
      <c r="AU72" s="19">
        <f t="shared" si="43"/>
        <v>71.326454136700079</v>
      </c>
      <c r="AV72" s="19">
        <f t="shared" si="44"/>
        <v>71.326454136700079</v>
      </c>
      <c r="AW72" s="19">
        <f t="shared" si="45"/>
        <v>71.326454136700079</v>
      </c>
      <c r="AX72" s="18">
        <f>IFERROR(Z72/'Ar-Pa'!B72,0)</f>
        <v>8.9158067670875099</v>
      </c>
      <c r="AY72" s="18">
        <f>IFERROR(AA72/'Ar-Pa'!C72,0)</f>
        <v>8.9158067670875099</v>
      </c>
      <c r="AZ72" s="18">
        <f>IFERROR(AB72/'Ar-Pa'!D72,0)</f>
        <v>8.5855917016398244</v>
      </c>
      <c r="BA72" s="18">
        <f>IFERROR(AC72/'Ar-Pa'!E72,0)</f>
        <v>10.189493448100011</v>
      </c>
      <c r="BB72" s="18">
        <f>IFERROR(AD72/'Ar-Pa'!F72,0)</f>
        <v>9.8121048018740851</v>
      </c>
      <c r="BC72" s="18">
        <f>IFERROR(AE72/'Ar-Pa'!G72,0)</f>
        <v>9.8121048018740851</v>
      </c>
      <c r="BD72" s="18">
        <f>IFERROR(AF72/'Ar-Pa'!H72,0)</f>
        <v>9.8121048018740851</v>
      </c>
      <c r="BE72" s="18">
        <f>IFERROR(AG72/'Ar-Pa'!I72,0)</f>
        <v>10.189493448100011</v>
      </c>
      <c r="BF72" s="18">
        <f>IFERROR(AH72/'Ar-Pa'!J72,0)</f>
        <v>9.8121048018740851</v>
      </c>
      <c r="BG72" s="18">
        <f>IFERROR(AI72/'Ar-Pa'!K72,0)</f>
        <v>9.8121048018740851</v>
      </c>
      <c r="BH72" s="18">
        <f>IFERROR(AJ72/'Ar-Pa'!L72,0)</f>
        <v>9.8121048018740851</v>
      </c>
      <c r="BI72" s="18">
        <f>IFERROR(AK72/'Ar-Pa'!M72,0)</f>
        <v>9.8121048018740851</v>
      </c>
      <c r="BJ72" s="18">
        <f>IFERROR(AL72/'Ar-Pa'!N72,0)</f>
        <v>9.8121048018740851</v>
      </c>
      <c r="BK72" s="18">
        <f>IFERROR(AM72/'Ar-Pa'!O72,0)</f>
        <v>9.8121048018740851</v>
      </c>
      <c r="BL72" s="18">
        <f>IFERROR(AN72/'Ar-Pa'!P72,0)</f>
        <v>9.8121048018740851</v>
      </c>
      <c r="BM72" s="18">
        <f>IFERROR(AO72/'Ar-Pa'!Q72,0)</f>
        <v>9.8121048018740851</v>
      </c>
      <c r="BN72" s="18">
        <f>IFERROR(AP72/'Ar-Pa'!R72,0)</f>
        <v>9.8121048018740851</v>
      </c>
      <c r="BO72" s="18">
        <f>IFERROR(AQ72/'Ar-Pa'!S72,0)</f>
        <v>9.8121048018740851</v>
      </c>
      <c r="BP72" s="18">
        <f>IFERROR(AR72/'Ar-Pa'!T72,0)</f>
        <v>9.8121048018740851</v>
      </c>
      <c r="BQ72" s="18">
        <f>IFERROR(AS72/'Ar-Pa'!U72,0)</f>
        <v>9.4347161556481591</v>
      </c>
      <c r="BR72" s="18">
        <f>IFERROR(AT72/'Ar-Pa'!V72,0)</f>
        <v>9.8121048018740851</v>
      </c>
      <c r="BS72" s="18">
        <f>IFERROR(AU72/'Ar-Pa'!W72,0)</f>
        <v>10.189493448100011</v>
      </c>
      <c r="BT72" s="18">
        <f>IFERROR(AV72/'Ar-Pa'!X72,0)</f>
        <v>8.9158067670875099</v>
      </c>
      <c r="BU72" s="18">
        <f>IFERROR(AW72/'Ar-Pa'!Y72,0)</f>
        <v>8.9158067670875099</v>
      </c>
    </row>
    <row r="73" spans="1:73" s="12" customFormat="1" ht="15">
      <c r="A73" s="15">
        <v>44998</v>
      </c>
      <c r="B73" s="441">
        <v>0.27</v>
      </c>
      <c r="C73" s="441">
        <v>0.27</v>
      </c>
      <c r="D73" s="441">
        <v>0.28000000000000003</v>
      </c>
      <c r="E73" s="441">
        <v>0.27</v>
      </c>
      <c r="F73" s="441">
        <v>0.27</v>
      </c>
      <c r="G73" s="441">
        <v>0.26</v>
      </c>
      <c r="H73" s="441">
        <v>0.26</v>
      </c>
      <c r="I73" s="441">
        <v>0.26</v>
      </c>
      <c r="J73" s="441">
        <v>0.28000000000000003</v>
      </c>
      <c r="K73" s="441">
        <v>0.26</v>
      </c>
      <c r="L73" s="441">
        <v>0.27</v>
      </c>
      <c r="M73" s="441">
        <v>0.27</v>
      </c>
      <c r="N73" s="441">
        <v>0.27</v>
      </c>
      <c r="O73" s="441">
        <v>0.27</v>
      </c>
      <c r="P73" s="441">
        <v>0.26</v>
      </c>
      <c r="Q73" s="441">
        <v>0.27</v>
      </c>
      <c r="R73" s="441">
        <v>0.27</v>
      </c>
      <c r="S73" s="441">
        <v>0.27</v>
      </c>
      <c r="T73" s="441">
        <v>0.27</v>
      </c>
      <c r="U73" s="441">
        <v>0.27</v>
      </c>
      <c r="V73" s="441">
        <v>0.26</v>
      </c>
      <c r="W73" s="441">
        <v>0.27</v>
      </c>
      <c r="X73" s="441">
        <v>0.28000000000000003</v>
      </c>
      <c r="Y73" s="441">
        <v>0.27</v>
      </c>
      <c r="Z73" s="19">
        <f t="shared" si="46"/>
        <v>71.326454136700079</v>
      </c>
      <c r="AA73" s="19">
        <f t="shared" si="47"/>
        <v>71.326454136700079</v>
      </c>
      <c r="AB73" s="19">
        <f t="shared" si="24"/>
        <v>73.968174660281562</v>
      </c>
      <c r="AC73" s="19">
        <f t="shared" si="25"/>
        <v>71.326454136700079</v>
      </c>
      <c r="AD73" s="19">
        <f t="shared" si="26"/>
        <v>71.326454136700079</v>
      </c>
      <c r="AE73" s="19">
        <f t="shared" si="27"/>
        <v>68.684733613118595</v>
      </c>
      <c r="AF73" s="19">
        <f t="shared" si="28"/>
        <v>68.684733613118595</v>
      </c>
      <c r="AG73" s="19">
        <f t="shared" si="29"/>
        <v>68.684733613118595</v>
      </c>
      <c r="AH73" s="19">
        <f t="shared" si="30"/>
        <v>73.968174660281562</v>
      </c>
      <c r="AI73" s="19">
        <f t="shared" si="31"/>
        <v>68.684733613118595</v>
      </c>
      <c r="AJ73" s="19">
        <f t="shared" si="32"/>
        <v>71.326454136700079</v>
      </c>
      <c r="AK73" s="19">
        <f t="shared" si="33"/>
        <v>71.326454136700079</v>
      </c>
      <c r="AL73" s="19">
        <f t="shared" si="34"/>
        <v>71.326454136700079</v>
      </c>
      <c r="AM73" s="19">
        <f t="shared" si="35"/>
        <v>71.326454136700079</v>
      </c>
      <c r="AN73" s="19">
        <f t="shared" si="36"/>
        <v>68.684733613118595</v>
      </c>
      <c r="AO73" s="19">
        <f t="shared" si="37"/>
        <v>71.326454136700079</v>
      </c>
      <c r="AP73" s="19">
        <f t="shared" si="38"/>
        <v>71.326454136700079</v>
      </c>
      <c r="AQ73" s="19">
        <f t="shared" si="39"/>
        <v>71.326454136700079</v>
      </c>
      <c r="AR73" s="19">
        <f t="shared" si="40"/>
        <v>71.326454136700079</v>
      </c>
      <c r="AS73" s="19">
        <f t="shared" si="41"/>
        <v>71.326454136700079</v>
      </c>
      <c r="AT73" s="19">
        <f t="shared" si="42"/>
        <v>68.684733613118595</v>
      </c>
      <c r="AU73" s="19">
        <f t="shared" si="43"/>
        <v>71.326454136700079</v>
      </c>
      <c r="AV73" s="19">
        <f t="shared" si="44"/>
        <v>73.968174660281562</v>
      </c>
      <c r="AW73" s="19">
        <f t="shared" si="45"/>
        <v>71.326454136700079</v>
      </c>
      <c r="AX73" s="18">
        <f>IFERROR(Z73/'Ar-Pa'!B73,0)</f>
        <v>8.9158067670875099</v>
      </c>
      <c r="AY73" s="18">
        <f>IFERROR(AA73/'Ar-Pa'!C73,0)</f>
        <v>8.9158067670875099</v>
      </c>
      <c r="AZ73" s="18">
        <f>IFERROR(AB73/'Ar-Pa'!D73,0)</f>
        <v>9.2460218325351953</v>
      </c>
      <c r="BA73" s="18">
        <f>IFERROR(AC73/'Ar-Pa'!E73,0)</f>
        <v>8.9158067670875099</v>
      </c>
      <c r="BB73" s="18">
        <f>IFERROR(AD73/'Ar-Pa'!F73,0)</f>
        <v>8.9158067670875099</v>
      </c>
      <c r="BC73" s="18">
        <f>IFERROR(AE73/'Ar-Pa'!G73,0)</f>
        <v>9.8121048018740851</v>
      </c>
      <c r="BD73" s="18">
        <f>IFERROR(AF73/'Ar-Pa'!H73,0)</f>
        <v>9.8121048018740851</v>
      </c>
      <c r="BE73" s="18">
        <f>IFERROR(AG73/'Ar-Pa'!I73,0)</f>
        <v>9.8121048018740851</v>
      </c>
      <c r="BF73" s="18">
        <f>IFERROR(AH73/'Ar-Pa'!J73,0)</f>
        <v>9.2460218325351953</v>
      </c>
      <c r="BG73" s="18">
        <f>IFERROR(AI73/'Ar-Pa'!K73,0)</f>
        <v>8.5855917016398244</v>
      </c>
      <c r="BH73" s="18">
        <f>IFERROR(AJ73/'Ar-Pa'!L73,0)</f>
        <v>8.9158067670875099</v>
      </c>
      <c r="BI73" s="18">
        <f>IFERROR(AK73/'Ar-Pa'!M73,0)</f>
        <v>8.9158067670875099</v>
      </c>
      <c r="BJ73" s="18">
        <f>IFERROR(AL73/'Ar-Pa'!N73,0)</f>
        <v>8.9158067670875099</v>
      </c>
      <c r="BK73" s="18">
        <f>IFERROR(AM73/'Ar-Pa'!O73,0)</f>
        <v>8.9158067670875099</v>
      </c>
      <c r="BL73" s="18">
        <f>IFERROR(AN73/'Ar-Pa'!P73,0)</f>
        <v>8.5855917016398244</v>
      </c>
      <c r="BM73" s="18">
        <f>IFERROR(AO73/'Ar-Pa'!Q73,0)</f>
        <v>8.9158067670875099</v>
      </c>
      <c r="BN73" s="18">
        <f>IFERROR(AP73/'Ar-Pa'!R73,0)</f>
        <v>8.9158067670875099</v>
      </c>
      <c r="BO73" s="18">
        <f>IFERROR(AQ73/'Ar-Pa'!S73,0)</f>
        <v>8.9158067670875099</v>
      </c>
      <c r="BP73" s="18">
        <f>IFERROR(AR73/'Ar-Pa'!T73,0)</f>
        <v>8.9158067670875099</v>
      </c>
      <c r="BQ73" s="18">
        <f>IFERROR(AS73/'Ar-Pa'!U73,0)</f>
        <v>8.9158067670875099</v>
      </c>
      <c r="BR73" s="18">
        <f>IFERROR(AT73/'Ar-Pa'!V73,0)</f>
        <v>8.5855917016398244</v>
      </c>
      <c r="BS73" s="18">
        <f>IFERROR(AU73/'Ar-Pa'!W73,0)</f>
        <v>8.9158067670875099</v>
      </c>
      <c r="BT73" s="18">
        <f>IFERROR(AV73/'Ar-Pa'!X73,0)</f>
        <v>9.2460218325351953</v>
      </c>
      <c r="BU73" s="18">
        <f>IFERROR(AW73/'Ar-Pa'!Y73,0)</f>
        <v>8.9158067670875099</v>
      </c>
    </row>
    <row r="74" spans="1:73" s="12" customFormat="1" ht="15">
      <c r="A74" s="15">
        <v>44999</v>
      </c>
      <c r="B74" s="441">
        <v>0.28000000000000003</v>
      </c>
      <c r="C74" s="441">
        <v>0.28999999999999998</v>
      </c>
      <c r="D74" s="441">
        <v>0.28000000000000003</v>
      </c>
      <c r="E74" s="441">
        <v>0.28999999999999998</v>
      </c>
      <c r="F74" s="441">
        <v>0.28000000000000003</v>
      </c>
      <c r="G74" s="441">
        <v>0.28000000000000003</v>
      </c>
      <c r="H74" s="441">
        <v>0.27</v>
      </c>
      <c r="I74" s="441">
        <v>0.28000000000000003</v>
      </c>
      <c r="J74" s="441">
        <v>0.27</v>
      </c>
      <c r="K74" s="441">
        <v>0.28000000000000003</v>
      </c>
      <c r="L74" s="441">
        <v>0.28000000000000003</v>
      </c>
      <c r="M74" s="441">
        <v>0.28000000000000003</v>
      </c>
      <c r="N74" s="441">
        <v>0.28000000000000003</v>
      </c>
      <c r="O74" s="441">
        <v>0.28000000000000003</v>
      </c>
      <c r="P74" s="441">
        <v>0.27</v>
      </c>
      <c r="Q74" s="441">
        <v>0.28999999999999998</v>
      </c>
      <c r="R74" s="441">
        <v>0.28000000000000003</v>
      </c>
      <c r="S74" s="441">
        <v>0.27</v>
      </c>
      <c r="T74" s="441">
        <v>0.28000000000000003</v>
      </c>
      <c r="U74" s="441">
        <v>0.28999999999999998</v>
      </c>
      <c r="V74" s="441">
        <v>0.27</v>
      </c>
      <c r="W74" s="441">
        <v>0.28000000000000003</v>
      </c>
      <c r="X74" s="441">
        <v>0.28000000000000003</v>
      </c>
      <c r="Y74" s="441">
        <v>0.28000000000000003</v>
      </c>
      <c r="Z74" s="19">
        <f t="shared" si="46"/>
        <v>73.968174660281562</v>
      </c>
      <c r="AA74" s="19">
        <f t="shared" si="47"/>
        <v>76.609895183863046</v>
      </c>
      <c r="AB74" s="19">
        <f t="shared" si="24"/>
        <v>73.968174660281562</v>
      </c>
      <c r="AC74" s="19">
        <f t="shared" si="25"/>
        <v>76.609895183863046</v>
      </c>
      <c r="AD74" s="19">
        <f t="shared" si="26"/>
        <v>73.968174660281562</v>
      </c>
      <c r="AE74" s="19">
        <f t="shared" si="27"/>
        <v>73.968174660281562</v>
      </c>
      <c r="AF74" s="19">
        <f t="shared" si="28"/>
        <v>71.326454136700079</v>
      </c>
      <c r="AG74" s="19">
        <f t="shared" si="29"/>
        <v>73.968174660281562</v>
      </c>
      <c r="AH74" s="19">
        <f t="shared" si="30"/>
        <v>71.326454136700079</v>
      </c>
      <c r="AI74" s="19">
        <f t="shared" si="31"/>
        <v>73.968174660281562</v>
      </c>
      <c r="AJ74" s="19">
        <f t="shared" si="32"/>
        <v>73.968174660281562</v>
      </c>
      <c r="AK74" s="19">
        <f t="shared" si="33"/>
        <v>73.968174660281562</v>
      </c>
      <c r="AL74" s="19">
        <f t="shared" si="34"/>
        <v>73.968174660281562</v>
      </c>
      <c r="AM74" s="19">
        <f t="shared" si="35"/>
        <v>73.968174660281562</v>
      </c>
      <c r="AN74" s="19">
        <f t="shared" si="36"/>
        <v>71.326454136700079</v>
      </c>
      <c r="AO74" s="19">
        <f t="shared" si="37"/>
        <v>76.609895183863046</v>
      </c>
      <c r="AP74" s="19">
        <f t="shared" si="38"/>
        <v>73.968174660281562</v>
      </c>
      <c r="AQ74" s="19">
        <f t="shared" si="39"/>
        <v>71.326454136700079</v>
      </c>
      <c r="AR74" s="19">
        <f t="shared" si="40"/>
        <v>73.968174660281562</v>
      </c>
      <c r="AS74" s="19">
        <f t="shared" si="41"/>
        <v>76.609895183863046</v>
      </c>
      <c r="AT74" s="19">
        <f t="shared" si="42"/>
        <v>71.326454136700079</v>
      </c>
      <c r="AU74" s="19">
        <f t="shared" si="43"/>
        <v>73.968174660281562</v>
      </c>
      <c r="AV74" s="19">
        <f t="shared" si="44"/>
        <v>73.968174660281562</v>
      </c>
      <c r="AW74" s="19">
        <f t="shared" si="45"/>
        <v>73.968174660281562</v>
      </c>
      <c r="AX74" s="18">
        <f>IFERROR(Z74/'Ar-Pa'!B74,0)</f>
        <v>9.2460218325351953</v>
      </c>
      <c r="AY74" s="18">
        <f>IFERROR(AA74/'Ar-Pa'!C74,0)</f>
        <v>9.5762368979828807</v>
      </c>
      <c r="AZ74" s="18">
        <f>IFERROR(AB74/'Ar-Pa'!D74,0)</f>
        <v>9.2460218325351953</v>
      </c>
      <c r="BA74" s="18">
        <f>IFERROR(AC74/'Ar-Pa'!E74,0)</f>
        <v>9.5762368979828807</v>
      </c>
      <c r="BB74" s="18">
        <f>IFERROR(AD74/'Ar-Pa'!F74,0)</f>
        <v>10.566882094325937</v>
      </c>
      <c r="BC74" s="18">
        <f>IFERROR(AE74/'Ar-Pa'!G74,0)</f>
        <v>10.566882094325937</v>
      </c>
      <c r="BD74" s="18">
        <f>IFERROR(AF74/'Ar-Pa'!H74,0)</f>
        <v>10.189493448100011</v>
      </c>
      <c r="BE74" s="18">
        <f>IFERROR(AG74/'Ar-Pa'!I74,0)</f>
        <v>9.2460218325351953</v>
      </c>
      <c r="BF74" s="18">
        <f>IFERROR(AH74/'Ar-Pa'!J74,0)</f>
        <v>10.189493448100011</v>
      </c>
      <c r="BG74" s="18">
        <f>IFERROR(AI74/'Ar-Pa'!K74,0)</f>
        <v>9.2460218325351953</v>
      </c>
      <c r="BH74" s="18">
        <f>IFERROR(AJ74/'Ar-Pa'!L74,0)</f>
        <v>9.2460218325351953</v>
      </c>
      <c r="BI74" s="18">
        <f>IFERROR(AK74/'Ar-Pa'!M74,0)</f>
        <v>9.2460218325351953</v>
      </c>
      <c r="BJ74" s="18">
        <f>IFERROR(AL74/'Ar-Pa'!N74,0)</f>
        <v>9.2460218325351953</v>
      </c>
      <c r="BK74" s="18">
        <f>IFERROR(AM74/'Ar-Pa'!O74,0)</f>
        <v>9.2460218325351953</v>
      </c>
      <c r="BL74" s="18">
        <f>IFERROR(AN74/'Ar-Pa'!P74,0)</f>
        <v>8.9158067670875099</v>
      </c>
      <c r="BM74" s="18">
        <f>IFERROR(AO74/'Ar-Pa'!Q74,0)</f>
        <v>9.5762368979828807</v>
      </c>
      <c r="BN74" s="18">
        <f>IFERROR(AP74/'Ar-Pa'!R74,0)</f>
        <v>9.2460218325351953</v>
      </c>
      <c r="BO74" s="18">
        <f>IFERROR(AQ74/'Ar-Pa'!S74,0)</f>
        <v>8.9158067670875099</v>
      </c>
      <c r="BP74" s="18">
        <f>IFERROR(AR74/'Ar-Pa'!T74,0)</f>
        <v>9.2460218325351953</v>
      </c>
      <c r="BQ74" s="18">
        <f>IFERROR(AS74/'Ar-Pa'!U74,0)</f>
        <v>9.5762368979828807</v>
      </c>
      <c r="BR74" s="18">
        <f>IFERROR(AT74/'Ar-Pa'!V74,0)</f>
        <v>8.9158067670875099</v>
      </c>
      <c r="BS74" s="18">
        <f>IFERROR(AU74/'Ar-Pa'!W74,0)</f>
        <v>9.2460218325351953</v>
      </c>
      <c r="BT74" s="18">
        <f>IFERROR(AV74/'Ar-Pa'!X74,0)</f>
        <v>9.2460218325351953</v>
      </c>
      <c r="BU74" s="18">
        <f>IFERROR(AW74/'Ar-Pa'!Y74,0)</f>
        <v>9.2460218325351953</v>
      </c>
    </row>
    <row r="75" spans="1:73" s="12" customFormat="1" ht="15">
      <c r="A75" s="15">
        <v>45000</v>
      </c>
      <c r="B75" s="441">
        <v>0.27</v>
      </c>
      <c r="C75" s="441">
        <v>0.27</v>
      </c>
      <c r="D75" s="441">
        <v>0.27</v>
      </c>
      <c r="E75" s="441">
        <v>0.27</v>
      </c>
      <c r="F75" s="441">
        <v>0.26</v>
      </c>
      <c r="G75" s="441">
        <v>0.27</v>
      </c>
      <c r="H75" s="441">
        <v>0.27</v>
      </c>
      <c r="I75" s="441">
        <v>0.27</v>
      </c>
      <c r="J75" s="441">
        <v>0.26</v>
      </c>
      <c r="K75" s="441">
        <v>0.27</v>
      </c>
      <c r="L75" s="441">
        <v>0.26</v>
      </c>
      <c r="M75" s="441">
        <v>0.27</v>
      </c>
      <c r="N75" s="441">
        <v>0.27</v>
      </c>
      <c r="O75" s="441">
        <v>0.26</v>
      </c>
      <c r="P75" s="441">
        <v>0.27</v>
      </c>
      <c r="Q75" s="441">
        <v>0.26</v>
      </c>
      <c r="R75" s="441">
        <v>0.26</v>
      </c>
      <c r="S75" s="441">
        <v>0.27</v>
      </c>
      <c r="T75" s="441">
        <v>0.26</v>
      </c>
      <c r="U75" s="441">
        <v>0.26</v>
      </c>
      <c r="V75" s="441">
        <v>0.28000000000000003</v>
      </c>
      <c r="W75" s="441">
        <v>0.27</v>
      </c>
      <c r="X75" s="441">
        <v>0.27</v>
      </c>
      <c r="Y75" s="441">
        <v>0.27</v>
      </c>
      <c r="Z75" s="19">
        <f t="shared" si="46"/>
        <v>71.326454136700079</v>
      </c>
      <c r="AA75" s="19">
        <f t="shared" si="47"/>
        <v>71.326454136700079</v>
      </c>
      <c r="AB75" s="19">
        <f t="shared" si="24"/>
        <v>71.326454136700079</v>
      </c>
      <c r="AC75" s="19">
        <f t="shared" si="25"/>
        <v>71.326454136700079</v>
      </c>
      <c r="AD75" s="19">
        <f t="shared" si="26"/>
        <v>68.684733613118595</v>
      </c>
      <c r="AE75" s="19">
        <f t="shared" si="27"/>
        <v>71.326454136700079</v>
      </c>
      <c r="AF75" s="19">
        <f t="shared" si="28"/>
        <v>71.326454136700079</v>
      </c>
      <c r="AG75" s="19">
        <f t="shared" si="29"/>
        <v>71.326454136700079</v>
      </c>
      <c r="AH75" s="19">
        <f t="shared" si="30"/>
        <v>68.684733613118595</v>
      </c>
      <c r="AI75" s="19">
        <f t="shared" si="31"/>
        <v>71.326454136700079</v>
      </c>
      <c r="AJ75" s="19">
        <f t="shared" si="32"/>
        <v>68.684733613118595</v>
      </c>
      <c r="AK75" s="19">
        <f t="shared" si="33"/>
        <v>71.326454136700079</v>
      </c>
      <c r="AL75" s="19">
        <f t="shared" si="34"/>
        <v>71.326454136700079</v>
      </c>
      <c r="AM75" s="19">
        <f t="shared" si="35"/>
        <v>68.684733613118595</v>
      </c>
      <c r="AN75" s="19">
        <f t="shared" si="36"/>
        <v>71.326454136700079</v>
      </c>
      <c r="AO75" s="19">
        <f t="shared" si="37"/>
        <v>68.684733613118595</v>
      </c>
      <c r="AP75" s="19">
        <f t="shared" si="38"/>
        <v>68.684733613118595</v>
      </c>
      <c r="AQ75" s="19">
        <f t="shared" si="39"/>
        <v>71.326454136700079</v>
      </c>
      <c r="AR75" s="19">
        <f t="shared" si="40"/>
        <v>68.684733613118595</v>
      </c>
      <c r="AS75" s="19">
        <f t="shared" si="41"/>
        <v>68.684733613118595</v>
      </c>
      <c r="AT75" s="19">
        <f t="shared" si="42"/>
        <v>73.968174660281562</v>
      </c>
      <c r="AU75" s="19">
        <f t="shared" si="43"/>
        <v>71.326454136700079</v>
      </c>
      <c r="AV75" s="19">
        <f t="shared" si="44"/>
        <v>71.326454136700079</v>
      </c>
      <c r="AW75" s="19">
        <f t="shared" si="45"/>
        <v>71.326454136700079</v>
      </c>
      <c r="AX75" s="18">
        <f>IFERROR(Z75/'Ar-Pa'!B75,0)</f>
        <v>8.9158067670875099</v>
      </c>
      <c r="AY75" s="18">
        <f>IFERROR(AA75/'Ar-Pa'!C75,0)</f>
        <v>8.9158067670875099</v>
      </c>
      <c r="AZ75" s="18">
        <f>IFERROR(AB75/'Ar-Pa'!D75,0)</f>
        <v>8.9158067670875099</v>
      </c>
      <c r="BA75" s="18">
        <f>IFERROR(AC75/'Ar-Pa'!E75,0)</f>
        <v>10.189493448100011</v>
      </c>
      <c r="BB75" s="18">
        <f>IFERROR(AD75/'Ar-Pa'!F75,0)</f>
        <v>9.8121048018740851</v>
      </c>
      <c r="BC75" s="18">
        <f>IFERROR(AE75/'Ar-Pa'!G75,0)</f>
        <v>10.189493448100011</v>
      </c>
      <c r="BD75" s="18">
        <f>IFERROR(AF75/'Ar-Pa'!H75,0)</f>
        <v>10.189493448100011</v>
      </c>
      <c r="BE75" s="18">
        <f>IFERROR(AG75/'Ar-Pa'!I75,0)</f>
        <v>10.189493448100011</v>
      </c>
      <c r="BF75" s="18">
        <f>IFERROR(AH75/'Ar-Pa'!J75,0)</f>
        <v>8.5855917016398244</v>
      </c>
      <c r="BG75" s="18">
        <f>IFERROR(AI75/'Ar-Pa'!K75,0)</f>
        <v>8.9158067670875099</v>
      </c>
      <c r="BH75" s="18">
        <f>IFERROR(AJ75/'Ar-Pa'!L75,0)</f>
        <v>8.5855917016398244</v>
      </c>
      <c r="BI75" s="18">
        <f>IFERROR(AK75/'Ar-Pa'!M75,0)</f>
        <v>8.9158067670875099</v>
      </c>
      <c r="BJ75" s="18">
        <f>IFERROR(AL75/'Ar-Pa'!N75,0)</f>
        <v>8.9158067670875099</v>
      </c>
      <c r="BK75" s="18">
        <f>IFERROR(AM75/'Ar-Pa'!O75,0)</f>
        <v>8.5855917016398244</v>
      </c>
      <c r="BL75" s="18">
        <f>IFERROR(AN75/'Ar-Pa'!P75,0)</f>
        <v>8.9158067670875099</v>
      </c>
      <c r="BM75" s="18">
        <f>IFERROR(AO75/'Ar-Pa'!Q75,0)</f>
        <v>8.5855917016398244</v>
      </c>
      <c r="BN75" s="18">
        <f>IFERROR(AP75/'Ar-Pa'!R75,0)</f>
        <v>8.5855917016398244</v>
      </c>
      <c r="BO75" s="18">
        <f>IFERROR(AQ75/'Ar-Pa'!S75,0)</f>
        <v>8.9158067670875099</v>
      </c>
      <c r="BP75" s="18">
        <f>IFERROR(AR75/'Ar-Pa'!T75,0)</f>
        <v>8.5855917016398244</v>
      </c>
      <c r="BQ75" s="18">
        <f>IFERROR(AS75/'Ar-Pa'!U75,0)</f>
        <v>8.5855917016398244</v>
      </c>
      <c r="BR75" s="18">
        <f>IFERROR(AT75/'Ar-Pa'!V75,0)</f>
        <v>9.2460218325351953</v>
      </c>
      <c r="BS75" s="18">
        <f>IFERROR(AU75/'Ar-Pa'!W75,0)</f>
        <v>8.9158067670875099</v>
      </c>
      <c r="BT75" s="18">
        <f>IFERROR(AV75/'Ar-Pa'!X75,0)</f>
        <v>8.9158067670875099</v>
      </c>
      <c r="BU75" s="18">
        <f>IFERROR(AW75/'Ar-Pa'!Y75,0)</f>
        <v>8.9158067670875099</v>
      </c>
    </row>
    <row r="76" spans="1:73" s="12" customFormat="1" ht="15">
      <c r="A76" s="15">
        <v>45001</v>
      </c>
      <c r="B76" s="441">
        <v>0.28000000000000003</v>
      </c>
      <c r="C76" s="441">
        <v>0.28000000000000003</v>
      </c>
      <c r="D76" s="441">
        <v>0.27</v>
      </c>
      <c r="E76" s="441">
        <v>0.28000000000000003</v>
      </c>
      <c r="F76" s="441">
        <v>0.27</v>
      </c>
      <c r="G76" s="441">
        <v>0.09</v>
      </c>
      <c r="H76" s="441">
        <v>0</v>
      </c>
      <c r="I76" s="441">
        <v>0.09</v>
      </c>
      <c r="J76" s="441">
        <v>0.22</v>
      </c>
      <c r="K76" s="441">
        <v>0.27</v>
      </c>
      <c r="L76" s="441">
        <v>0.27</v>
      </c>
      <c r="M76" s="441">
        <v>0.27</v>
      </c>
      <c r="N76" s="441">
        <v>0.26</v>
      </c>
      <c r="O76" s="441">
        <v>0.27</v>
      </c>
      <c r="P76" s="441">
        <v>0.27</v>
      </c>
      <c r="Q76" s="441">
        <v>0.27</v>
      </c>
      <c r="R76" s="441">
        <v>0.26</v>
      </c>
      <c r="S76" s="441">
        <v>0.27</v>
      </c>
      <c r="T76" s="441">
        <v>0.27</v>
      </c>
      <c r="U76" s="441">
        <v>0.26</v>
      </c>
      <c r="V76" s="441">
        <v>0.27</v>
      </c>
      <c r="W76" s="441">
        <v>0.27</v>
      </c>
      <c r="X76" s="441">
        <v>0.27</v>
      </c>
      <c r="Y76" s="441">
        <v>0.27</v>
      </c>
      <c r="Z76" s="19">
        <f t="shared" si="46"/>
        <v>73.968174660281562</v>
      </c>
      <c r="AA76" s="19">
        <f t="shared" si="47"/>
        <v>73.968174660281562</v>
      </c>
      <c r="AB76" s="19">
        <f t="shared" si="24"/>
        <v>71.326454136700079</v>
      </c>
      <c r="AC76" s="19">
        <f t="shared" si="25"/>
        <v>73.968174660281562</v>
      </c>
      <c r="AD76" s="19">
        <f t="shared" si="26"/>
        <v>71.326454136700079</v>
      </c>
      <c r="AE76" s="19">
        <f t="shared" si="27"/>
        <v>23.775484712233357</v>
      </c>
      <c r="AF76" s="19">
        <f t="shared" si="28"/>
        <v>0</v>
      </c>
      <c r="AG76" s="19">
        <f t="shared" si="29"/>
        <v>23.775484712233357</v>
      </c>
      <c r="AH76" s="19">
        <f t="shared" si="30"/>
        <v>58.117851518792655</v>
      </c>
      <c r="AI76" s="19">
        <f t="shared" si="31"/>
        <v>71.326454136700079</v>
      </c>
      <c r="AJ76" s="19">
        <f t="shared" si="32"/>
        <v>71.326454136700079</v>
      </c>
      <c r="AK76" s="19">
        <f t="shared" si="33"/>
        <v>71.326454136700079</v>
      </c>
      <c r="AL76" s="19">
        <f t="shared" si="34"/>
        <v>68.684733613118595</v>
      </c>
      <c r="AM76" s="19">
        <f t="shared" si="35"/>
        <v>71.326454136700079</v>
      </c>
      <c r="AN76" s="19">
        <f t="shared" si="36"/>
        <v>71.326454136700079</v>
      </c>
      <c r="AO76" s="19">
        <f t="shared" si="37"/>
        <v>71.326454136700079</v>
      </c>
      <c r="AP76" s="19">
        <f t="shared" si="38"/>
        <v>68.684733613118595</v>
      </c>
      <c r="AQ76" s="19">
        <f t="shared" si="39"/>
        <v>71.326454136700079</v>
      </c>
      <c r="AR76" s="19">
        <f t="shared" si="40"/>
        <v>71.326454136700079</v>
      </c>
      <c r="AS76" s="19">
        <f t="shared" si="41"/>
        <v>68.684733613118595</v>
      </c>
      <c r="AT76" s="19">
        <f t="shared" si="42"/>
        <v>71.326454136700079</v>
      </c>
      <c r="AU76" s="19">
        <f t="shared" si="43"/>
        <v>71.326454136700079</v>
      </c>
      <c r="AV76" s="19">
        <f t="shared" si="44"/>
        <v>71.326454136700079</v>
      </c>
      <c r="AW76" s="19">
        <f t="shared" si="45"/>
        <v>71.326454136700079</v>
      </c>
      <c r="AX76" s="18">
        <f>IFERROR(Z76/'Ar-Pa'!B76,0)</f>
        <v>9.2460218325351953</v>
      </c>
      <c r="AY76" s="18">
        <f>IFERROR(AA76/'Ar-Pa'!C76,0)</f>
        <v>9.2460218325351953</v>
      </c>
      <c r="AZ76" s="18">
        <f>IFERROR(AB76/'Ar-Pa'!D76,0)</f>
        <v>10.189493448100011</v>
      </c>
      <c r="BA76" s="18">
        <f>IFERROR(AC76/'Ar-Pa'!E76,0)</f>
        <v>10.566882094325937</v>
      </c>
      <c r="BB76" s="18">
        <f>IFERROR(AD76/'Ar-Pa'!F76,0)</f>
        <v>10.189493448100011</v>
      </c>
      <c r="BC76" s="18">
        <f>IFERROR(AE76/'Ar-Pa'!G76,0)</f>
        <v>11.887742356116679</v>
      </c>
      <c r="BD76" s="18">
        <f>IFERROR(AF76/'Ar-Pa'!H76,0)</f>
        <v>0</v>
      </c>
      <c r="BE76" s="18">
        <f>IFERROR(AG76/'Ar-Pa'!I76,0)</f>
        <v>11.887742356116679</v>
      </c>
      <c r="BF76" s="18">
        <f>IFERROR(AH76/'Ar-Pa'!J76,0)</f>
        <v>11.62357030375853</v>
      </c>
      <c r="BG76" s="18">
        <f>IFERROR(AI76/'Ar-Pa'!K76,0)</f>
        <v>10.189493448100011</v>
      </c>
      <c r="BH76" s="18">
        <f>IFERROR(AJ76/'Ar-Pa'!L76,0)</f>
        <v>10.189493448100011</v>
      </c>
      <c r="BI76" s="18">
        <f>IFERROR(AK76/'Ar-Pa'!M76,0)</f>
        <v>8.9158067670875099</v>
      </c>
      <c r="BJ76" s="18">
        <f>IFERROR(AL76/'Ar-Pa'!N76,0)</f>
        <v>8.5855917016398244</v>
      </c>
      <c r="BK76" s="18">
        <f>IFERROR(AM76/'Ar-Pa'!O76,0)</f>
        <v>8.9158067670875099</v>
      </c>
      <c r="BL76" s="18">
        <f>IFERROR(AN76/'Ar-Pa'!P76,0)</f>
        <v>8.9158067670875099</v>
      </c>
      <c r="BM76" s="18">
        <f>IFERROR(AO76/'Ar-Pa'!Q76,0)</f>
        <v>8.9158067670875099</v>
      </c>
      <c r="BN76" s="18">
        <f>IFERROR(AP76/'Ar-Pa'!R76,0)</f>
        <v>8.5855917016398244</v>
      </c>
      <c r="BO76" s="18">
        <f>IFERROR(AQ76/'Ar-Pa'!S76,0)</f>
        <v>8.9158067670875099</v>
      </c>
      <c r="BP76" s="18">
        <f>IFERROR(AR76/'Ar-Pa'!T76,0)</f>
        <v>8.9158067670875099</v>
      </c>
      <c r="BQ76" s="18">
        <f>IFERROR(AS76/'Ar-Pa'!U76,0)</f>
        <v>8.5855917016398244</v>
      </c>
      <c r="BR76" s="18">
        <f>IFERROR(AT76/'Ar-Pa'!V76,0)</f>
        <v>8.9158067670875099</v>
      </c>
      <c r="BS76" s="18">
        <f>IFERROR(AU76/'Ar-Pa'!W76,0)</f>
        <v>8.9158067670875099</v>
      </c>
      <c r="BT76" s="18">
        <f>IFERROR(AV76/'Ar-Pa'!X76,0)</f>
        <v>8.9158067670875099</v>
      </c>
      <c r="BU76" s="18">
        <f>IFERROR(AW76/'Ar-Pa'!Y76,0)</f>
        <v>8.9158067670875099</v>
      </c>
    </row>
    <row r="77" spans="1:73" s="12" customFormat="1" ht="15">
      <c r="A77" s="15">
        <v>45002</v>
      </c>
      <c r="B77" s="441">
        <v>0.28000000000000003</v>
      </c>
      <c r="C77" s="441">
        <v>0.28000000000000003</v>
      </c>
      <c r="D77" s="441">
        <v>0.28000000000000003</v>
      </c>
      <c r="E77" s="441">
        <v>0.28000000000000003</v>
      </c>
      <c r="F77" s="441">
        <v>0.28999999999999998</v>
      </c>
      <c r="G77" s="441">
        <v>0.09</v>
      </c>
      <c r="H77" s="441">
        <v>0</v>
      </c>
      <c r="I77" s="441">
        <v>0.09</v>
      </c>
      <c r="J77" s="441">
        <v>0.22</v>
      </c>
      <c r="K77" s="441">
        <v>0.28000000000000003</v>
      </c>
      <c r="L77" s="441">
        <v>0.28999999999999998</v>
      </c>
      <c r="M77" s="441">
        <v>0.28000000000000003</v>
      </c>
      <c r="N77" s="441">
        <v>0.28000000000000003</v>
      </c>
      <c r="O77" s="441">
        <v>0.28999999999999998</v>
      </c>
      <c r="P77" s="441">
        <v>0.28000000000000003</v>
      </c>
      <c r="Q77" s="441">
        <v>0.35</v>
      </c>
      <c r="R77" s="441">
        <v>0.31</v>
      </c>
      <c r="S77" s="441">
        <v>0.28000000000000003</v>
      </c>
      <c r="T77" s="441">
        <v>0.28999999999999998</v>
      </c>
      <c r="U77" s="441">
        <v>0.28000000000000003</v>
      </c>
      <c r="V77" s="441">
        <v>0.28000000000000003</v>
      </c>
      <c r="W77" s="441">
        <v>0.28000000000000003</v>
      </c>
      <c r="X77" s="441">
        <v>0.28000000000000003</v>
      </c>
      <c r="Y77" s="441">
        <v>0.28000000000000003</v>
      </c>
      <c r="Z77" s="19">
        <f t="shared" si="46"/>
        <v>73.968174660281562</v>
      </c>
      <c r="AA77" s="19">
        <f t="shared" si="47"/>
        <v>73.968174660281562</v>
      </c>
      <c r="AB77" s="19">
        <f t="shared" si="24"/>
        <v>73.968174660281562</v>
      </c>
      <c r="AC77" s="19">
        <f t="shared" si="25"/>
        <v>73.968174660281562</v>
      </c>
      <c r="AD77" s="19">
        <f t="shared" si="26"/>
        <v>76.609895183863046</v>
      </c>
      <c r="AE77" s="19">
        <f t="shared" si="27"/>
        <v>23.775484712233357</v>
      </c>
      <c r="AF77" s="19">
        <f t="shared" si="28"/>
        <v>0</v>
      </c>
      <c r="AG77" s="19">
        <f t="shared" si="29"/>
        <v>23.775484712233357</v>
      </c>
      <c r="AH77" s="19">
        <f t="shared" si="30"/>
        <v>58.117851518792655</v>
      </c>
      <c r="AI77" s="19">
        <f t="shared" si="31"/>
        <v>73.968174660281562</v>
      </c>
      <c r="AJ77" s="19">
        <f t="shared" si="32"/>
        <v>76.609895183863046</v>
      </c>
      <c r="AK77" s="19">
        <f t="shared" si="33"/>
        <v>73.968174660281562</v>
      </c>
      <c r="AL77" s="19">
        <f t="shared" si="34"/>
        <v>73.968174660281562</v>
      </c>
      <c r="AM77" s="19">
        <f t="shared" si="35"/>
        <v>76.609895183863046</v>
      </c>
      <c r="AN77" s="19">
        <f t="shared" si="36"/>
        <v>73.968174660281562</v>
      </c>
      <c r="AO77" s="19">
        <f t="shared" si="37"/>
        <v>92.460218325351946</v>
      </c>
      <c r="AP77" s="19">
        <f t="shared" si="38"/>
        <v>81.893336231026012</v>
      </c>
      <c r="AQ77" s="19">
        <f t="shared" si="39"/>
        <v>73.968174660281562</v>
      </c>
      <c r="AR77" s="19">
        <f t="shared" si="40"/>
        <v>76.609895183863046</v>
      </c>
      <c r="AS77" s="19">
        <f t="shared" si="41"/>
        <v>73.968174660281562</v>
      </c>
      <c r="AT77" s="19">
        <f t="shared" si="42"/>
        <v>73.968174660281562</v>
      </c>
      <c r="AU77" s="19">
        <f t="shared" si="43"/>
        <v>73.968174660281562</v>
      </c>
      <c r="AV77" s="19">
        <f t="shared" si="44"/>
        <v>73.968174660281562</v>
      </c>
      <c r="AW77" s="19">
        <f t="shared" si="45"/>
        <v>73.968174660281562</v>
      </c>
      <c r="AX77" s="18">
        <f>IFERROR(Z77/'Ar-Pa'!B77,0)</f>
        <v>9.2460218325351953</v>
      </c>
      <c r="AY77" s="18">
        <f>IFERROR(AA77/'Ar-Pa'!C77,0)</f>
        <v>9.2460218325351953</v>
      </c>
      <c r="AZ77" s="18">
        <f>IFERROR(AB77/'Ar-Pa'!D77,0)</f>
        <v>9.2460218325351953</v>
      </c>
      <c r="BA77" s="18">
        <f>IFERROR(AC77/'Ar-Pa'!E77,0)</f>
        <v>9.2460218325351953</v>
      </c>
      <c r="BB77" s="18">
        <f>IFERROR(AD77/'Ar-Pa'!F77,0)</f>
        <v>9.5762368979828807</v>
      </c>
      <c r="BC77" s="18">
        <f>IFERROR(AE77/'Ar-Pa'!G77,0)</f>
        <v>11.887742356116679</v>
      </c>
      <c r="BD77" s="18">
        <f>IFERROR(AF77/'Ar-Pa'!H77,0)</f>
        <v>0</v>
      </c>
      <c r="BE77" s="18">
        <f>IFERROR(AG77/'Ar-Pa'!I77,0)</f>
        <v>7.9251615707444527</v>
      </c>
      <c r="BF77" s="18">
        <f>IFERROR(AH77/'Ar-Pa'!J77,0)</f>
        <v>8.3025502169703795</v>
      </c>
      <c r="BG77" s="18">
        <f>IFERROR(AI77/'Ar-Pa'!K77,0)</f>
        <v>10.566882094325937</v>
      </c>
      <c r="BH77" s="18">
        <f>IFERROR(AJ77/'Ar-Pa'!L77,0)</f>
        <v>9.5762368979828807</v>
      </c>
      <c r="BI77" s="18">
        <f>IFERROR(AK77/'Ar-Pa'!M77,0)</f>
        <v>9.2460218325351953</v>
      </c>
      <c r="BJ77" s="18">
        <f>IFERROR(AL77/'Ar-Pa'!N77,0)</f>
        <v>9.2460218325351953</v>
      </c>
      <c r="BK77" s="18">
        <f>IFERROR(AM77/'Ar-Pa'!O77,0)</f>
        <v>9.5762368979828807</v>
      </c>
      <c r="BL77" s="18">
        <f>IFERROR(AN77/'Ar-Pa'!P77,0)</f>
        <v>9.2460218325351953</v>
      </c>
      <c r="BM77" s="18">
        <f>IFERROR(AO77/'Ar-Pa'!Q77,0)</f>
        <v>11.557527290668993</v>
      </c>
      <c r="BN77" s="18">
        <f>IFERROR(AP77/'Ar-Pa'!R77,0)</f>
        <v>10.236667028878252</v>
      </c>
      <c r="BO77" s="18">
        <f>IFERROR(AQ77/'Ar-Pa'!S77,0)</f>
        <v>9.2460218325351953</v>
      </c>
      <c r="BP77" s="18">
        <f>IFERROR(AR77/'Ar-Pa'!T77,0)</f>
        <v>9.5762368979828807</v>
      </c>
      <c r="BQ77" s="18">
        <f>IFERROR(AS77/'Ar-Pa'!U77,0)</f>
        <v>9.2460218325351953</v>
      </c>
      <c r="BR77" s="18">
        <f>IFERROR(AT77/'Ar-Pa'!V77,0)</f>
        <v>9.2460218325351953</v>
      </c>
      <c r="BS77" s="18">
        <f>IFERROR(AU77/'Ar-Pa'!W77,0)</f>
        <v>9.2460218325351953</v>
      </c>
      <c r="BT77" s="18">
        <f>IFERROR(AV77/'Ar-Pa'!X77,0)</f>
        <v>9.2460218325351953</v>
      </c>
      <c r="BU77" s="18">
        <f>IFERROR(AW77/'Ar-Pa'!Y77,0)</f>
        <v>9.2460218325351953</v>
      </c>
    </row>
    <row r="78" spans="1:73" s="12" customFormat="1" ht="15">
      <c r="A78" s="15">
        <v>45003</v>
      </c>
      <c r="B78" s="441">
        <v>0.24</v>
      </c>
      <c r="C78" s="441">
        <v>0.25</v>
      </c>
      <c r="D78" s="441">
        <v>0.24</v>
      </c>
      <c r="E78" s="441">
        <v>0.25</v>
      </c>
      <c r="F78" s="441">
        <v>0.24</v>
      </c>
      <c r="G78" s="441">
        <v>0.24</v>
      </c>
      <c r="H78" s="441">
        <v>0.25</v>
      </c>
      <c r="I78" s="441">
        <v>0.24</v>
      </c>
      <c r="J78" s="441">
        <v>0.24</v>
      </c>
      <c r="K78" s="441">
        <v>0.25</v>
      </c>
      <c r="L78" s="441">
        <v>0.24</v>
      </c>
      <c r="M78" s="441">
        <v>0.24</v>
      </c>
      <c r="N78" s="441">
        <v>0.25</v>
      </c>
      <c r="O78" s="441">
        <v>0.25</v>
      </c>
      <c r="P78" s="441">
        <v>0.24</v>
      </c>
      <c r="Q78" s="441">
        <v>0.24</v>
      </c>
      <c r="R78" s="441">
        <v>0.25</v>
      </c>
      <c r="S78" s="441">
        <v>0.24</v>
      </c>
      <c r="T78" s="441">
        <v>0.25</v>
      </c>
      <c r="U78" s="441">
        <v>0.24</v>
      </c>
      <c r="V78" s="441">
        <v>0.25</v>
      </c>
      <c r="W78" s="441">
        <v>0.24</v>
      </c>
      <c r="X78" s="441">
        <v>0.24</v>
      </c>
      <c r="Y78" s="441">
        <v>0.25</v>
      </c>
      <c r="Z78" s="19">
        <f t="shared" si="46"/>
        <v>63.401292565955622</v>
      </c>
      <c r="AA78" s="19">
        <f t="shared" si="47"/>
        <v>66.043013089537112</v>
      </c>
      <c r="AB78" s="19">
        <f t="shared" si="24"/>
        <v>63.401292565955622</v>
      </c>
      <c r="AC78" s="19">
        <f t="shared" si="25"/>
        <v>66.043013089537112</v>
      </c>
      <c r="AD78" s="19">
        <f t="shared" si="26"/>
        <v>63.401292565955622</v>
      </c>
      <c r="AE78" s="19">
        <f t="shared" si="27"/>
        <v>63.401292565955622</v>
      </c>
      <c r="AF78" s="19">
        <f t="shared" si="28"/>
        <v>66.043013089537112</v>
      </c>
      <c r="AG78" s="19">
        <f t="shared" si="29"/>
        <v>63.401292565955622</v>
      </c>
      <c r="AH78" s="19">
        <f t="shared" si="30"/>
        <v>63.401292565955622</v>
      </c>
      <c r="AI78" s="19">
        <f t="shared" si="31"/>
        <v>66.043013089537112</v>
      </c>
      <c r="AJ78" s="19">
        <f t="shared" si="32"/>
        <v>63.401292565955622</v>
      </c>
      <c r="AK78" s="19">
        <f t="shared" si="33"/>
        <v>63.401292565955622</v>
      </c>
      <c r="AL78" s="19">
        <f t="shared" si="34"/>
        <v>66.043013089537112</v>
      </c>
      <c r="AM78" s="19">
        <f t="shared" si="35"/>
        <v>66.043013089537112</v>
      </c>
      <c r="AN78" s="19">
        <f t="shared" si="36"/>
        <v>63.401292565955622</v>
      </c>
      <c r="AO78" s="19">
        <f t="shared" si="37"/>
        <v>63.401292565955622</v>
      </c>
      <c r="AP78" s="19">
        <f t="shared" si="38"/>
        <v>66.043013089537112</v>
      </c>
      <c r="AQ78" s="19">
        <f t="shared" si="39"/>
        <v>63.401292565955622</v>
      </c>
      <c r="AR78" s="19">
        <f t="shared" si="40"/>
        <v>66.043013089537112</v>
      </c>
      <c r="AS78" s="19">
        <f t="shared" si="41"/>
        <v>63.401292565955622</v>
      </c>
      <c r="AT78" s="19">
        <f t="shared" si="42"/>
        <v>66.043013089537112</v>
      </c>
      <c r="AU78" s="19">
        <f t="shared" si="43"/>
        <v>63.401292565955622</v>
      </c>
      <c r="AV78" s="19">
        <f t="shared" si="44"/>
        <v>63.401292565955622</v>
      </c>
      <c r="AW78" s="19">
        <f t="shared" si="45"/>
        <v>66.043013089537112</v>
      </c>
      <c r="AX78" s="18">
        <f>IFERROR(Z78/'Ar-Pa'!B78,0)</f>
        <v>7.9251615707444527</v>
      </c>
      <c r="AY78" s="18">
        <f>IFERROR(AA78/'Ar-Pa'!C78,0)</f>
        <v>8.255376636192139</v>
      </c>
      <c r="AZ78" s="18">
        <f>IFERROR(AB78/'Ar-Pa'!D78,0)</f>
        <v>7.9251615707444527</v>
      </c>
      <c r="BA78" s="18">
        <f>IFERROR(AC78/'Ar-Pa'!E78,0)</f>
        <v>8.255376636192139</v>
      </c>
      <c r="BB78" s="18">
        <f>IFERROR(AD78/'Ar-Pa'!F78,0)</f>
        <v>7.9251615707444527</v>
      </c>
      <c r="BC78" s="18">
        <f>IFERROR(AE78/'Ar-Pa'!G78,0)</f>
        <v>9.0573275094222314</v>
      </c>
      <c r="BD78" s="18">
        <f>IFERROR(AF78/'Ar-Pa'!H78,0)</f>
        <v>9.4347161556481591</v>
      </c>
      <c r="BE78" s="18">
        <f>IFERROR(AG78/'Ar-Pa'!I78,0)</f>
        <v>9.0573275094222314</v>
      </c>
      <c r="BF78" s="18">
        <f>IFERROR(AH78/'Ar-Pa'!J78,0)</f>
        <v>9.0573275094222314</v>
      </c>
      <c r="BG78" s="18">
        <f>IFERROR(AI78/'Ar-Pa'!K78,0)</f>
        <v>9.4347161556481591</v>
      </c>
      <c r="BH78" s="18">
        <f>IFERROR(AJ78/'Ar-Pa'!L78,0)</f>
        <v>7.9251615707444527</v>
      </c>
      <c r="BI78" s="18">
        <f>IFERROR(AK78/'Ar-Pa'!M78,0)</f>
        <v>7.9251615707444527</v>
      </c>
      <c r="BJ78" s="18">
        <f>IFERROR(AL78/'Ar-Pa'!N78,0)</f>
        <v>8.255376636192139</v>
      </c>
      <c r="BK78" s="18">
        <f>IFERROR(AM78/'Ar-Pa'!O78,0)</f>
        <v>8.255376636192139</v>
      </c>
      <c r="BL78" s="18">
        <f>IFERROR(AN78/'Ar-Pa'!P78,0)</f>
        <v>7.9251615707444527</v>
      </c>
      <c r="BM78" s="18">
        <f>IFERROR(AO78/'Ar-Pa'!Q78,0)</f>
        <v>7.9251615707444527</v>
      </c>
      <c r="BN78" s="18">
        <f>IFERROR(AP78/'Ar-Pa'!R78,0)</f>
        <v>8.255376636192139</v>
      </c>
      <c r="BO78" s="18">
        <f>IFERROR(AQ78/'Ar-Pa'!S78,0)</f>
        <v>7.9251615707444527</v>
      </c>
      <c r="BP78" s="18">
        <f>IFERROR(AR78/'Ar-Pa'!T78,0)</f>
        <v>8.255376636192139</v>
      </c>
      <c r="BQ78" s="18">
        <f>IFERROR(AS78/'Ar-Pa'!U78,0)</f>
        <v>7.9251615707444527</v>
      </c>
      <c r="BR78" s="18">
        <f>IFERROR(AT78/'Ar-Pa'!V78,0)</f>
        <v>8.255376636192139</v>
      </c>
      <c r="BS78" s="18">
        <f>IFERROR(AU78/'Ar-Pa'!W78,0)</f>
        <v>7.9251615707444527</v>
      </c>
      <c r="BT78" s="18">
        <f>IFERROR(AV78/'Ar-Pa'!X78,0)</f>
        <v>7.9251615707444527</v>
      </c>
      <c r="BU78" s="18">
        <f>IFERROR(AW78/'Ar-Pa'!Y78,0)</f>
        <v>8.255376636192139</v>
      </c>
    </row>
    <row r="79" spans="1:73" s="12" customFormat="1" ht="15">
      <c r="A79" s="15">
        <v>45004</v>
      </c>
      <c r="B79" s="441">
        <v>0.26</v>
      </c>
      <c r="C79" s="441">
        <v>0.27</v>
      </c>
      <c r="D79" s="441">
        <v>0.26</v>
      </c>
      <c r="E79" s="441">
        <v>0.27</v>
      </c>
      <c r="F79" s="441">
        <v>0.27</v>
      </c>
      <c r="G79" s="441">
        <v>0.26</v>
      </c>
      <c r="H79" s="441">
        <v>0.26</v>
      </c>
      <c r="I79" s="441">
        <v>0.28000000000000003</v>
      </c>
      <c r="J79" s="441">
        <v>0.26</v>
      </c>
      <c r="K79" s="441">
        <v>0.27</v>
      </c>
      <c r="L79" s="441">
        <v>0.26</v>
      </c>
      <c r="M79" s="441">
        <v>0.28000000000000003</v>
      </c>
      <c r="N79" s="441">
        <v>0.26</v>
      </c>
      <c r="O79" s="441">
        <v>0.26</v>
      </c>
      <c r="P79" s="441">
        <v>0.27</v>
      </c>
      <c r="Q79" s="441">
        <v>0.28000000000000003</v>
      </c>
      <c r="R79" s="441">
        <v>0.26</v>
      </c>
      <c r="S79" s="441">
        <v>0.27</v>
      </c>
      <c r="T79" s="441">
        <v>0.26</v>
      </c>
      <c r="U79" s="441">
        <v>0.27</v>
      </c>
      <c r="V79" s="441">
        <v>0.27</v>
      </c>
      <c r="W79" s="441">
        <v>0.27</v>
      </c>
      <c r="X79" s="441">
        <v>0.26</v>
      </c>
      <c r="Y79" s="441">
        <v>0.27</v>
      </c>
      <c r="Z79" s="19">
        <f t="shared" si="46"/>
        <v>68.684733613118595</v>
      </c>
      <c r="AA79" s="19">
        <f t="shared" si="47"/>
        <v>71.326454136700079</v>
      </c>
      <c r="AB79" s="19">
        <f t="shared" si="24"/>
        <v>68.684733613118595</v>
      </c>
      <c r="AC79" s="19">
        <f t="shared" si="25"/>
        <v>71.326454136700079</v>
      </c>
      <c r="AD79" s="19">
        <f t="shared" si="26"/>
        <v>71.326454136700079</v>
      </c>
      <c r="AE79" s="19">
        <f t="shared" si="27"/>
        <v>68.684733613118595</v>
      </c>
      <c r="AF79" s="19">
        <f t="shared" si="28"/>
        <v>68.684733613118595</v>
      </c>
      <c r="AG79" s="19">
        <f t="shared" si="29"/>
        <v>73.968174660281562</v>
      </c>
      <c r="AH79" s="19">
        <f t="shared" si="30"/>
        <v>68.684733613118595</v>
      </c>
      <c r="AI79" s="19">
        <f t="shared" si="31"/>
        <v>71.326454136700079</v>
      </c>
      <c r="AJ79" s="19">
        <f t="shared" si="32"/>
        <v>68.684733613118595</v>
      </c>
      <c r="AK79" s="19">
        <f t="shared" si="33"/>
        <v>73.968174660281562</v>
      </c>
      <c r="AL79" s="19">
        <f t="shared" si="34"/>
        <v>68.684733613118595</v>
      </c>
      <c r="AM79" s="19">
        <f t="shared" si="35"/>
        <v>68.684733613118595</v>
      </c>
      <c r="AN79" s="19">
        <f t="shared" si="36"/>
        <v>71.326454136700079</v>
      </c>
      <c r="AO79" s="19">
        <f t="shared" si="37"/>
        <v>73.968174660281562</v>
      </c>
      <c r="AP79" s="19">
        <f t="shared" si="38"/>
        <v>68.684733613118595</v>
      </c>
      <c r="AQ79" s="19">
        <f t="shared" si="39"/>
        <v>71.326454136700079</v>
      </c>
      <c r="AR79" s="19">
        <f t="shared" si="40"/>
        <v>68.684733613118595</v>
      </c>
      <c r="AS79" s="19">
        <f t="shared" si="41"/>
        <v>71.326454136700079</v>
      </c>
      <c r="AT79" s="19">
        <f t="shared" si="42"/>
        <v>71.326454136700079</v>
      </c>
      <c r="AU79" s="19">
        <f t="shared" si="43"/>
        <v>71.326454136700079</v>
      </c>
      <c r="AV79" s="19">
        <f t="shared" si="44"/>
        <v>68.684733613118595</v>
      </c>
      <c r="AW79" s="19">
        <f t="shared" si="45"/>
        <v>71.326454136700079</v>
      </c>
      <c r="AX79" s="18">
        <f>IFERROR(Z79/'Ar-Pa'!B79,0)</f>
        <v>9.8121048018740851</v>
      </c>
      <c r="AY79" s="18">
        <f>IFERROR(AA79/'Ar-Pa'!C79,0)</f>
        <v>8.9158067670875099</v>
      </c>
      <c r="AZ79" s="18">
        <f>IFERROR(AB79/'Ar-Pa'!D79,0)</f>
        <v>8.5855917016398244</v>
      </c>
      <c r="BA79" s="18">
        <f>IFERROR(AC79/'Ar-Pa'!E79,0)</f>
        <v>8.9158067670875099</v>
      </c>
      <c r="BB79" s="18">
        <f>IFERROR(AD79/'Ar-Pa'!F79,0)</f>
        <v>8.9158067670875099</v>
      </c>
      <c r="BC79" s="18">
        <f>IFERROR(AE79/'Ar-Pa'!G79,0)</f>
        <v>8.5855917016398244</v>
      </c>
      <c r="BD79" s="18">
        <f>IFERROR(AF79/'Ar-Pa'!H79,0)</f>
        <v>9.8121048018740851</v>
      </c>
      <c r="BE79" s="18">
        <f>IFERROR(AG79/'Ar-Pa'!I79,0)</f>
        <v>10.566882094325937</v>
      </c>
      <c r="BF79" s="18">
        <f>IFERROR(AH79/'Ar-Pa'!J79,0)</f>
        <v>9.8121048018740851</v>
      </c>
      <c r="BG79" s="18">
        <f>IFERROR(AI79/'Ar-Pa'!K79,0)</f>
        <v>10.189493448100011</v>
      </c>
      <c r="BH79" s="18">
        <f>IFERROR(AJ79/'Ar-Pa'!L79,0)</f>
        <v>9.8121048018740851</v>
      </c>
      <c r="BI79" s="18">
        <f>IFERROR(AK79/'Ar-Pa'!M79,0)</f>
        <v>10.566882094325937</v>
      </c>
      <c r="BJ79" s="18">
        <f>IFERROR(AL79/'Ar-Pa'!N79,0)</f>
        <v>8.5855917016398244</v>
      </c>
      <c r="BK79" s="18">
        <f>IFERROR(AM79/'Ar-Pa'!O79,0)</f>
        <v>8.5855917016398244</v>
      </c>
      <c r="BL79" s="18">
        <f>IFERROR(AN79/'Ar-Pa'!P79,0)</f>
        <v>8.9158067670875099</v>
      </c>
      <c r="BM79" s="18">
        <f>IFERROR(AO79/'Ar-Pa'!Q79,0)</f>
        <v>9.2460218325351953</v>
      </c>
      <c r="BN79" s="18">
        <f>IFERROR(AP79/'Ar-Pa'!R79,0)</f>
        <v>8.5855917016398244</v>
      </c>
      <c r="BO79" s="18">
        <f>IFERROR(AQ79/'Ar-Pa'!S79,0)</f>
        <v>8.9158067670875099</v>
      </c>
      <c r="BP79" s="18">
        <f>IFERROR(AR79/'Ar-Pa'!T79,0)</f>
        <v>8.5855917016398244</v>
      </c>
      <c r="BQ79" s="18">
        <f>IFERROR(AS79/'Ar-Pa'!U79,0)</f>
        <v>8.9158067670875099</v>
      </c>
      <c r="BR79" s="18">
        <f>IFERROR(AT79/'Ar-Pa'!V79,0)</f>
        <v>8.9158067670875099</v>
      </c>
      <c r="BS79" s="18">
        <f>IFERROR(AU79/'Ar-Pa'!W79,0)</f>
        <v>8.9158067670875099</v>
      </c>
      <c r="BT79" s="18">
        <f>IFERROR(AV79/'Ar-Pa'!X79,0)</f>
        <v>8.5855917016398244</v>
      </c>
      <c r="BU79" s="18">
        <f>IFERROR(AW79/'Ar-Pa'!Y79,0)</f>
        <v>8.9158067670875099</v>
      </c>
    </row>
    <row r="80" spans="1:73" s="12" customFormat="1" ht="15">
      <c r="A80" s="15">
        <v>45005</v>
      </c>
      <c r="B80" s="441">
        <v>0.28000000000000003</v>
      </c>
      <c r="C80" s="441">
        <v>0.28000000000000003</v>
      </c>
      <c r="D80" s="441">
        <v>0.28999999999999998</v>
      </c>
      <c r="E80" s="441">
        <v>0.28000000000000003</v>
      </c>
      <c r="F80" s="441">
        <v>0.28000000000000003</v>
      </c>
      <c r="G80" s="441">
        <v>0.27</v>
      </c>
      <c r="H80" s="441">
        <v>0.28000000000000003</v>
      </c>
      <c r="I80" s="441">
        <v>0.27</v>
      </c>
      <c r="J80" s="441">
        <v>0.27</v>
      </c>
      <c r="K80" s="441">
        <v>0.28000000000000003</v>
      </c>
      <c r="L80" s="441">
        <v>0.27</v>
      </c>
      <c r="M80" s="441">
        <v>0.28000000000000003</v>
      </c>
      <c r="N80" s="441">
        <v>0.27</v>
      </c>
      <c r="O80" s="441">
        <v>0.28000000000000003</v>
      </c>
      <c r="P80" s="441">
        <v>0.28000000000000003</v>
      </c>
      <c r="Q80" s="441">
        <v>0.27</v>
      </c>
      <c r="R80" s="441">
        <v>0.28000000000000003</v>
      </c>
      <c r="S80" s="441">
        <v>0.27</v>
      </c>
      <c r="T80" s="441">
        <v>0.27</v>
      </c>
      <c r="U80" s="441">
        <v>0.28000000000000003</v>
      </c>
      <c r="V80" s="441">
        <v>0.27</v>
      </c>
      <c r="W80" s="441">
        <v>0.28000000000000003</v>
      </c>
      <c r="X80" s="441">
        <v>0.27</v>
      </c>
      <c r="Y80" s="441">
        <v>0.28000000000000003</v>
      </c>
      <c r="Z80" s="19">
        <f t="shared" si="46"/>
        <v>73.968174660281562</v>
      </c>
      <c r="AA80" s="19">
        <f t="shared" si="47"/>
        <v>73.968174660281562</v>
      </c>
      <c r="AB80" s="19">
        <f t="shared" si="24"/>
        <v>76.609895183863046</v>
      </c>
      <c r="AC80" s="19">
        <f t="shared" si="25"/>
        <v>73.968174660281562</v>
      </c>
      <c r="AD80" s="19">
        <f t="shared" si="26"/>
        <v>73.968174660281562</v>
      </c>
      <c r="AE80" s="19">
        <f t="shared" si="27"/>
        <v>71.326454136700079</v>
      </c>
      <c r="AF80" s="19">
        <f t="shared" si="28"/>
        <v>73.968174660281562</v>
      </c>
      <c r="AG80" s="19">
        <f t="shared" si="29"/>
        <v>71.326454136700079</v>
      </c>
      <c r="AH80" s="19">
        <f t="shared" si="30"/>
        <v>71.326454136700079</v>
      </c>
      <c r="AI80" s="19">
        <f t="shared" si="31"/>
        <v>73.968174660281562</v>
      </c>
      <c r="AJ80" s="19">
        <f t="shared" si="32"/>
        <v>71.326454136700079</v>
      </c>
      <c r="AK80" s="19">
        <f t="shared" si="33"/>
        <v>73.968174660281562</v>
      </c>
      <c r="AL80" s="19">
        <f t="shared" si="34"/>
        <v>71.326454136700079</v>
      </c>
      <c r="AM80" s="19">
        <f t="shared" si="35"/>
        <v>73.968174660281562</v>
      </c>
      <c r="AN80" s="19">
        <f t="shared" si="36"/>
        <v>73.968174660281562</v>
      </c>
      <c r="AO80" s="19">
        <f t="shared" si="37"/>
        <v>71.326454136700079</v>
      </c>
      <c r="AP80" s="19">
        <f t="shared" si="38"/>
        <v>73.968174660281562</v>
      </c>
      <c r="AQ80" s="19">
        <f t="shared" si="39"/>
        <v>71.326454136700079</v>
      </c>
      <c r="AR80" s="19">
        <f t="shared" si="40"/>
        <v>71.326454136700079</v>
      </c>
      <c r="AS80" s="19">
        <f t="shared" si="41"/>
        <v>73.968174660281562</v>
      </c>
      <c r="AT80" s="19">
        <f t="shared" si="42"/>
        <v>71.326454136700079</v>
      </c>
      <c r="AU80" s="19">
        <f t="shared" si="43"/>
        <v>73.968174660281562</v>
      </c>
      <c r="AV80" s="19">
        <f t="shared" si="44"/>
        <v>71.326454136700079</v>
      </c>
      <c r="AW80" s="19">
        <f t="shared" si="45"/>
        <v>73.968174660281562</v>
      </c>
      <c r="AX80" s="18">
        <f>IFERROR(Z80/'Ar-Pa'!B80,0)</f>
        <v>9.2460218325351953</v>
      </c>
      <c r="AY80" s="18">
        <f>IFERROR(AA80/'Ar-Pa'!C80,0)</f>
        <v>9.2460218325351953</v>
      </c>
      <c r="AZ80" s="18">
        <f>IFERROR(AB80/'Ar-Pa'!D80,0)</f>
        <v>9.5762368979828807</v>
      </c>
      <c r="BA80" s="18">
        <f>IFERROR(AC80/'Ar-Pa'!E80,0)</f>
        <v>9.2460218325351953</v>
      </c>
      <c r="BB80" s="18">
        <f>IFERROR(AD80/'Ar-Pa'!F80,0)</f>
        <v>9.2460218325351953</v>
      </c>
      <c r="BC80" s="18">
        <f>IFERROR(AE80/'Ar-Pa'!G80,0)</f>
        <v>10.189493448100011</v>
      </c>
      <c r="BD80" s="18">
        <f>IFERROR(AF80/'Ar-Pa'!H80,0)</f>
        <v>10.566882094325937</v>
      </c>
      <c r="BE80" s="18">
        <f>IFERROR(AG80/'Ar-Pa'!I80,0)</f>
        <v>10.189493448100011</v>
      </c>
      <c r="BF80" s="18">
        <f>IFERROR(AH80/'Ar-Pa'!J80,0)</f>
        <v>10.189493448100011</v>
      </c>
      <c r="BG80" s="18">
        <f>IFERROR(AI80/'Ar-Pa'!K80,0)</f>
        <v>10.566882094325937</v>
      </c>
      <c r="BH80" s="18">
        <f>IFERROR(AJ80/'Ar-Pa'!L80,0)</f>
        <v>10.189493448100011</v>
      </c>
      <c r="BI80" s="18">
        <f>IFERROR(AK80/'Ar-Pa'!M80,0)</f>
        <v>9.2460218325351953</v>
      </c>
      <c r="BJ80" s="18">
        <f>IFERROR(AL80/'Ar-Pa'!N80,0)</f>
        <v>8.9158067670875099</v>
      </c>
      <c r="BK80" s="18">
        <f>IFERROR(AM80/'Ar-Pa'!O80,0)</f>
        <v>9.2460218325351953</v>
      </c>
      <c r="BL80" s="18">
        <f>IFERROR(AN80/'Ar-Pa'!P80,0)</f>
        <v>9.2460218325351953</v>
      </c>
      <c r="BM80" s="18">
        <f>IFERROR(AO80/'Ar-Pa'!Q80,0)</f>
        <v>8.9158067670875099</v>
      </c>
      <c r="BN80" s="18">
        <f>IFERROR(AP80/'Ar-Pa'!R80,0)</f>
        <v>9.2460218325351953</v>
      </c>
      <c r="BO80" s="18">
        <f>IFERROR(AQ80/'Ar-Pa'!S80,0)</f>
        <v>8.9158067670875099</v>
      </c>
      <c r="BP80" s="18">
        <f>IFERROR(AR80/'Ar-Pa'!T80,0)</f>
        <v>8.9158067670875099</v>
      </c>
      <c r="BQ80" s="18">
        <f>IFERROR(AS80/'Ar-Pa'!U80,0)</f>
        <v>9.2460218325351953</v>
      </c>
      <c r="BR80" s="18">
        <f>IFERROR(AT80/'Ar-Pa'!V80,0)</f>
        <v>8.9158067670875099</v>
      </c>
      <c r="BS80" s="18">
        <f>IFERROR(AU80/'Ar-Pa'!W80,0)</f>
        <v>9.2460218325351953</v>
      </c>
      <c r="BT80" s="18">
        <f>IFERROR(AV80/'Ar-Pa'!X80,0)</f>
        <v>8.9158067670875099</v>
      </c>
      <c r="BU80" s="18">
        <f>IFERROR(AW80/'Ar-Pa'!Y80,0)</f>
        <v>9.2460218325351953</v>
      </c>
    </row>
    <row r="81" spans="1:73" s="12" customFormat="1" ht="15">
      <c r="A81" s="15">
        <v>45006</v>
      </c>
      <c r="B81" s="441">
        <v>0.27</v>
      </c>
      <c r="C81" s="441">
        <v>0.28999999999999998</v>
      </c>
      <c r="D81" s="441">
        <v>0.28000000000000003</v>
      </c>
      <c r="E81" s="441">
        <v>0.28000000000000003</v>
      </c>
      <c r="F81" s="441">
        <v>0.28000000000000003</v>
      </c>
      <c r="G81" s="441">
        <v>0.28999999999999998</v>
      </c>
      <c r="H81" s="441">
        <v>0.27</v>
      </c>
      <c r="I81" s="441">
        <v>0.28999999999999998</v>
      </c>
      <c r="J81" s="441">
        <v>0.28000000000000003</v>
      </c>
      <c r="K81" s="441">
        <v>0.28000000000000003</v>
      </c>
      <c r="L81" s="441">
        <v>0.28000000000000003</v>
      </c>
      <c r="M81" s="441">
        <v>0.28000000000000003</v>
      </c>
      <c r="N81" s="441">
        <v>0.28000000000000003</v>
      </c>
      <c r="O81" s="441">
        <v>0.28000000000000003</v>
      </c>
      <c r="P81" s="441">
        <v>0.28000000000000003</v>
      </c>
      <c r="Q81" s="441">
        <v>0.28000000000000003</v>
      </c>
      <c r="R81" s="441">
        <v>0.28000000000000003</v>
      </c>
      <c r="S81" s="441">
        <v>0.27</v>
      </c>
      <c r="T81" s="441">
        <v>0.28999999999999998</v>
      </c>
      <c r="U81" s="441">
        <v>0.28000000000000003</v>
      </c>
      <c r="V81" s="441">
        <v>0.28000000000000003</v>
      </c>
      <c r="W81" s="441">
        <v>0.28000000000000003</v>
      </c>
      <c r="X81" s="441">
        <v>0.28999999999999998</v>
      </c>
      <c r="Y81" s="441">
        <v>0.28000000000000003</v>
      </c>
      <c r="Z81" s="19">
        <f t="shared" si="46"/>
        <v>71.326454136700079</v>
      </c>
      <c r="AA81" s="19">
        <f t="shared" si="47"/>
        <v>76.609895183863046</v>
      </c>
      <c r="AB81" s="19">
        <f t="shared" si="24"/>
        <v>73.968174660281562</v>
      </c>
      <c r="AC81" s="19">
        <f t="shared" si="25"/>
        <v>73.968174660281562</v>
      </c>
      <c r="AD81" s="19">
        <f t="shared" si="26"/>
        <v>73.968174660281562</v>
      </c>
      <c r="AE81" s="19">
        <f t="shared" si="27"/>
        <v>76.609895183863046</v>
      </c>
      <c r="AF81" s="19">
        <f t="shared" si="28"/>
        <v>71.326454136700079</v>
      </c>
      <c r="AG81" s="19">
        <f t="shared" si="29"/>
        <v>76.609895183863046</v>
      </c>
      <c r="AH81" s="19">
        <f t="shared" si="30"/>
        <v>73.968174660281562</v>
      </c>
      <c r="AI81" s="19">
        <f t="shared" si="31"/>
        <v>73.968174660281562</v>
      </c>
      <c r="AJ81" s="19">
        <f t="shared" si="32"/>
        <v>73.968174660281562</v>
      </c>
      <c r="AK81" s="19">
        <f t="shared" si="33"/>
        <v>73.968174660281562</v>
      </c>
      <c r="AL81" s="19">
        <f t="shared" si="34"/>
        <v>73.968174660281562</v>
      </c>
      <c r="AM81" s="19">
        <f t="shared" si="35"/>
        <v>73.968174660281562</v>
      </c>
      <c r="AN81" s="19">
        <f t="shared" si="36"/>
        <v>73.968174660281562</v>
      </c>
      <c r="AO81" s="19">
        <f t="shared" si="37"/>
        <v>73.968174660281562</v>
      </c>
      <c r="AP81" s="19">
        <f t="shared" si="38"/>
        <v>73.968174660281562</v>
      </c>
      <c r="AQ81" s="19">
        <f t="shared" si="39"/>
        <v>71.326454136700079</v>
      </c>
      <c r="AR81" s="19">
        <f t="shared" si="40"/>
        <v>76.609895183863046</v>
      </c>
      <c r="AS81" s="19">
        <f t="shared" si="41"/>
        <v>73.968174660281562</v>
      </c>
      <c r="AT81" s="19">
        <f t="shared" si="42"/>
        <v>73.968174660281562</v>
      </c>
      <c r="AU81" s="19">
        <f t="shared" si="43"/>
        <v>73.968174660281562</v>
      </c>
      <c r="AV81" s="19">
        <f t="shared" si="44"/>
        <v>76.609895183863046</v>
      </c>
      <c r="AW81" s="19">
        <f t="shared" si="45"/>
        <v>73.968174660281562</v>
      </c>
      <c r="AX81" s="18">
        <f>IFERROR(Z81/'Ar-Pa'!B81,0)</f>
        <v>8.9158067670875099</v>
      </c>
      <c r="AY81" s="18">
        <f>IFERROR(AA81/'Ar-Pa'!C81,0)</f>
        <v>9.5762368979828807</v>
      </c>
      <c r="AZ81" s="18">
        <f>IFERROR(AB81/'Ar-Pa'!D81,0)</f>
        <v>9.2460218325351953</v>
      </c>
      <c r="BA81" s="18">
        <f>IFERROR(AC81/'Ar-Pa'!E81,0)</f>
        <v>9.2460218325351953</v>
      </c>
      <c r="BB81" s="18">
        <f>IFERROR(AD81/'Ar-Pa'!F81,0)</f>
        <v>10.566882094325937</v>
      </c>
      <c r="BC81" s="18">
        <f>IFERROR(AE81/'Ar-Pa'!G81,0)</f>
        <v>10.944270740551863</v>
      </c>
      <c r="BD81" s="18">
        <f>IFERROR(AF81/'Ar-Pa'!H81,0)</f>
        <v>10.189493448100011</v>
      </c>
      <c r="BE81" s="18">
        <f>IFERROR(AG81/'Ar-Pa'!I81,0)</f>
        <v>10.944270740551863</v>
      </c>
      <c r="BF81" s="18">
        <f>IFERROR(AH81/'Ar-Pa'!J81,0)</f>
        <v>10.566882094325937</v>
      </c>
      <c r="BG81" s="18">
        <f>IFERROR(AI81/'Ar-Pa'!K81,0)</f>
        <v>9.2460218325351953</v>
      </c>
      <c r="BH81" s="18">
        <f>IFERROR(AJ81/'Ar-Pa'!L81,0)</f>
        <v>9.2460218325351953</v>
      </c>
      <c r="BI81" s="18">
        <f>IFERROR(AK81/'Ar-Pa'!M81,0)</f>
        <v>9.2460218325351953</v>
      </c>
      <c r="BJ81" s="18">
        <f>IFERROR(AL81/'Ar-Pa'!N81,0)</f>
        <v>9.2460218325351953</v>
      </c>
      <c r="BK81" s="18">
        <f>IFERROR(AM81/'Ar-Pa'!O81,0)</f>
        <v>9.2460218325351953</v>
      </c>
      <c r="BL81" s="18">
        <f>IFERROR(AN81/'Ar-Pa'!P81,0)</f>
        <v>9.2460218325351953</v>
      </c>
      <c r="BM81" s="18">
        <f>IFERROR(AO81/'Ar-Pa'!Q81,0)</f>
        <v>9.2460218325351953</v>
      </c>
      <c r="BN81" s="18">
        <f>IFERROR(AP81/'Ar-Pa'!R81,0)</f>
        <v>9.2460218325351953</v>
      </c>
      <c r="BO81" s="18">
        <f>IFERROR(AQ81/'Ar-Pa'!S81,0)</f>
        <v>8.9158067670875099</v>
      </c>
      <c r="BP81" s="18">
        <f>IFERROR(AR81/'Ar-Pa'!T81,0)</f>
        <v>9.5762368979828807</v>
      </c>
      <c r="BQ81" s="18">
        <f>IFERROR(AS81/'Ar-Pa'!U81,0)</f>
        <v>9.2460218325351953</v>
      </c>
      <c r="BR81" s="18">
        <f>IFERROR(AT81/'Ar-Pa'!V81,0)</f>
        <v>9.2460218325351953</v>
      </c>
      <c r="BS81" s="18">
        <f>IFERROR(AU81/'Ar-Pa'!W81,0)</f>
        <v>9.2460218325351953</v>
      </c>
      <c r="BT81" s="18">
        <f>IFERROR(AV81/'Ar-Pa'!X81,0)</f>
        <v>9.5762368979828807</v>
      </c>
      <c r="BU81" s="18">
        <f>IFERROR(AW81/'Ar-Pa'!Y81,0)</f>
        <v>9.2460218325351953</v>
      </c>
    </row>
    <row r="82" spans="1:73" s="12" customFormat="1" ht="15">
      <c r="A82" s="15">
        <v>45007</v>
      </c>
      <c r="B82" s="441">
        <v>0.26</v>
      </c>
      <c r="C82" s="441">
        <v>0.26</v>
      </c>
      <c r="D82" s="441">
        <v>0.27</v>
      </c>
      <c r="E82" s="441">
        <v>0.26</v>
      </c>
      <c r="F82" s="441">
        <v>0.26</v>
      </c>
      <c r="G82" s="441">
        <v>0.26</v>
      </c>
      <c r="H82" s="441">
        <v>0.27</v>
      </c>
      <c r="I82" s="441">
        <v>0.26</v>
      </c>
      <c r="J82" s="441">
        <v>0.25</v>
      </c>
      <c r="K82" s="441">
        <v>0.27</v>
      </c>
      <c r="L82" s="441">
        <v>0.25</v>
      </c>
      <c r="M82" s="441">
        <v>0.27</v>
      </c>
      <c r="N82" s="441">
        <v>0.25</v>
      </c>
      <c r="O82" s="441">
        <v>0.27</v>
      </c>
      <c r="P82" s="441">
        <v>0.25</v>
      </c>
      <c r="Q82" s="441">
        <v>0.26</v>
      </c>
      <c r="R82" s="441">
        <v>0.26</v>
      </c>
      <c r="S82" s="441">
        <v>0.26</v>
      </c>
      <c r="T82" s="441">
        <v>0.25</v>
      </c>
      <c r="U82" s="441">
        <v>0.27</v>
      </c>
      <c r="V82" s="441">
        <v>0.26</v>
      </c>
      <c r="W82" s="441">
        <v>0.27</v>
      </c>
      <c r="X82" s="441">
        <v>0.25</v>
      </c>
      <c r="Y82" s="441">
        <v>0.26</v>
      </c>
      <c r="Z82" s="19">
        <f t="shared" si="46"/>
        <v>68.684733613118595</v>
      </c>
      <c r="AA82" s="19">
        <f t="shared" si="47"/>
        <v>68.684733613118595</v>
      </c>
      <c r="AB82" s="19">
        <f t="shared" si="24"/>
        <v>71.326454136700079</v>
      </c>
      <c r="AC82" s="19">
        <f t="shared" si="25"/>
        <v>68.684733613118595</v>
      </c>
      <c r="AD82" s="19">
        <f t="shared" si="26"/>
        <v>68.684733613118595</v>
      </c>
      <c r="AE82" s="19">
        <f t="shared" si="27"/>
        <v>68.684733613118595</v>
      </c>
      <c r="AF82" s="19">
        <f t="shared" si="28"/>
        <v>71.326454136700079</v>
      </c>
      <c r="AG82" s="19">
        <f t="shared" si="29"/>
        <v>68.684733613118595</v>
      </c>
      <c r="AH82" s="19">
        <f t="shared" si="30"/>
        <v>66.043013089537112</v>
      </c>
      <c r="AI82" s="19">
        <f t="shared" si="31"/>
        <v>71.326454136700079</v>
      </c>
      <c r="AJ82" s="19">
        <f t="shared" si="32"/>
        <v>66.043013089537112</v>
      </c>
      <c r="AK82" s="19">
        <f t="shared" si="33"/>
        <v>71.326454136700079</v>
      </c>
      <c r="AL82" s="19">
        <f t="shared" si="34"/>
        <v>66.043013089537112</v>
      </c>
      <c r="AM82" s="19">
        <f t="shared" si="35"/>
        <v>71.326454136700079</v>
      </c>
      <c r="AN82" s="19">
        <f t="shared" si="36"/>
        <v>66.043013089537112</v>
      </c>
      <c r="AO82" s="19">
        <f t="shared" si="37"/>
        <v>68.684733613118595</v>
      </c>
      <c r="AP82" s="19">
        <f t="shared" si="38"/>
        <v>68.684733613118595</v>
      </c>
      <c r="AQ82" s="19">
        <f t="shared" si="39"/>
        <v>68.684733613118595</v>
      </c>
      <c r="AR82" s="19">
        <f t="shared" si="40"/>
        <v>66.043013089537112</v>
      </c>
      <c r="AS82" s="19">
        <f t="shared" si="41"/>
        <v>71.326454136700079</v>
      </c>
      <c r="AT82" s="19">
        <f t="shared" si="42"/>
        <v>68.684733613118595</v>
      </c>
      <c r="AU82" s="19">
        <f t="shared" si="43"/>
        <v>71.326454136700079</v>
      </c>
      <c r="AV82" s="19">
        <f t="shared" si="44"/>
        <v>66.043013089537112</v>
      </c>
      <c r="AW82" s="19">
        <f t="shared" si="45"/>
        <v>68.684733613118595</v>
      </c>
      <c r="AX82" s="18">
        <f>IFERROR(Z82/'Ar-Pa'!B82,0)</f>
        <v>9.8121048018740851</v>
      </c>
      <c r="AY82" s="18">
        <f>IFERROR(AA82/'Ar-Pa'!C82,0)</f>
        <v>9.8121048018740851</v>
      </c>
      <c r="AZ82" s="18">
        <f>IFERROR(AB82/'Ar-Pa'!D82,0)</f>
        <v>10.189493448100011</v>
      </c>
      <c r="BA82" s="18">
        <f>IFERROR(AC82/'Ar-Pa'!E82,0)</f>
        <v>9.8121048018740851</v>
      </c>
      <c r="BB82" s="18">
        <f>IFERROR(AD82/'Ar-Pa'!F82,0)</f>
        <v>9.8121048018740851</v>
      </c>
      <c r="BC82" s="18">
        <f>IFERROR(AE82/'Ar-Pa'!G82,0)</f>
        <v>9.8121048018740851</v>
      </c>
      <c r="BD82" s="18">
        <f>IFERROR(AF82/'Ar-Pa'!H82,0)</f>
        <v>10.189493448100011</v>
      </c>
      <c r="BE82" s="18">
        <f>IFERROR(AG82/'Ar-Pa'!I82,0)</f>
        <v>9.8121048018740851</v>
      </c>
      <c r="BF82" s="18">
        <f>IFERROR(AH82/'Ar-Pa'!J82,0)</f>
        <v>9.4347161556481591</v>
      </c>
      <c r="BG82" s="18">
        <f>IFERROR(AI82/'Ar-Pa'!K82,0)</f>
        <v>10.189493448100011</v>
      </c>
      <c r="BH82" s="18">
        <f>IFERROR(AJ82/'Ar-Pa'!L82,0)</f>
        <v>9.4347161556481591</v>
      </c>
      <c r="BI82" s="18">
        <f>IFERROR(AK82/'Ar-Pa'!M82,0)</f>
        <v>10.189493448100011</v>
      </c>
      <c r="BJ82" s="18">
        <f>IFERROR(AL82/'Ar-Pa'!N82,0)</f>
        <v>9.4347161556481591</v>
      </c>
      <c r="BK82" s="18">
        <f>IFERROR(AM82/'Ar-Pa'!O82,0)</f>
        <v>10.189493448100011</v>
      </c>
      <c r="BL82" s="18">
        <f>IFERROR(AN82/'Ar-Pa'!P82,0)</f>
        <v>8.255376636192139</v>
      </c>
      <c r="BM82" s="18">
        <f>IFERROR(AO82/'Ar-Pa'!Q82,0)</f>
        <v>9.8121048018740851</v>
      </c>
      <c r="BN82" s="18">
        <f>IFERROR(AP82/'Ar-Pa'!R82,0)</f>
        <v>9.8121048018740851</v>
      </c>
      <c r="BO82" s="18">
        <f>IFERROR(AQ82/'Ar-Pa'!S82,0)</f>
        <v>9.8121048018740851</v>
      </c>
      <c r="BP82" s="18">
        <f>IFERROR(AR82/'Ar-Pa'!T82,0)</f>
        <v>8.255376636192139</v>
      </c>
      <c r="BQ82" s="18">
        <f>IFERROR(AS82/'Ar-Pa'!U82,0)</f>
        <v>8.9158067670875099</v>
      </c>
      <c r="BR82" s="18">
        <f>IFERROR(AT82/'Ar-Pa'!V82,0)</f>
        <v>9.8121048018740851</v>
      </c>
      <c r="BS82" s="18">
        <f>IFERROR(AU82/'Ar-Pa'!W82,0)</f>
        <v>10.189493448100011</v>
      </c>
      <c r="BT82" s="18">
        <f>IFERROR(AV82/'Ar-Pa'!X82,0)</f>
        <v>9.4347161556481591</v>
      </c>
      <c r="BU82" s="18">
        <f>IFERROR(AW82/'Ar-Pa'!Y82,0)</f>
        <v>9.8121048018740851</v>
      </c>
    </row>
    <row r="83" spans="1:73" s="12" customFormat="1" ht="15">
      <c r="A83" s="15">
        <v>45008</v>
      </c>
      <c r="B83" s="441">
        <v>0.25</v>
      </c>
      <c r="C83" s="441">
        <v>0.25</v>
      </c>
      <c r="D83" s="441">
        <v>0.25</v>
      </c>
      <c r="E83" s="441">
        <v>0.26</v>
      </c>
      <c r="F83" s="441">
        <v>0.25</v>
      </c>
      <c r="G83" s="441">
        <v>0.25</v>
      </c>
      <c r="H83" s="441">
        <v>0.25</v>
      </c>
      <c r="I83" s="441">
        <v>0.26</v>
      </c>
      <c r="J83" s="441">
        <v>0.25</v>
      </c>
      <c r="K83" s="441">
        <v>0.25</v>
      </c>
      <c r="L83" s="441">
        <v>0.26</v>
      </c>
      <c r="M83" s="441">
        <v>0.25</v>
      </c>
      <c r="N83" s="441">
        <v>0.25</v>
      </c>
      <c r="O83" s="441">
        <v>0.26</v>
      </c>
      <c r="P83" s="441">
        <v>0.25</v>
      </c>
      <c r="Q83" s="441">
        <v>0.25</v>
      </c>
      <c r="R83" s="441">
        <v>0.26</v>
      </c>
      <c r="S83" s="441">
        <v>0.25</v>
      </c>
      <c r="T83" s="441">
        <v>0.25</v>
      </c>
      <c r="U83" s="441">
        <v>0.25</v>
      </c>
      <c r="V83" s="441">
        <v>0.25</v>
      </c>
      <c r="W83" s="441">
        <v>0.25</v>
      </c>
      <c r="X83" s="441">
        <v>0.26</v>
      </c>
      <c r="Y83" s="441">
        <v>0.25</v>
      </c>
      <c r="Z83" s="19">
        <f t="shared" si="46"/>
        <v>66.043013089537112</v>
      </c>
      <c r="AA83" s="19">
        <f t="shared" si="47"/>
        <v>66.043013089537112</v>
      </c>
      <c r="AB83" s="19">
        <f t="shared" si="24"/>
        <v>66.043013089537112</v>
      </c>
      <c r="AC83" s="19">
        <f t="shared" si="25"/>
        <v>68.684733613118595</v>
      </c>
      <c r="AD83" s="19">
        <f t="shared" si="26"/>
        <v>66.043013089537112</v>
      </c>
      <c r="AE83" s="19">
        <f t="shared" si="27"/>
        <v>66.043013089537112</v>
      </c>
      <c r="AF83" s="19">
        <f t="shared" si="28"/>
        <v>66.043013089537112</v>
      </c>
      <c r="AG83" s="19">
        <f t="shared" si="29"/>
        <v>68.684733613118595</v>
      </c>
      <c r="AH83" s="19">
        <f t="shared" si="30"/>
        <v>66.043013089537112</v>
      </c>
      <c r="AI83" s="19">
        <f t="shared" si="31"/>
        <v>66.043013089537112</v>
      </c>
      <c r="AJ83" s="19">
        <f t="shared" si="32"/>
        <v>68.684733613118595</v>
      </c>
      <c r="AK83" s="19">
        <f t="shared" si="33"/>
        <v>66.043013089537112</v>
      </c>
      <c r="AL83" s="19">
        <f t="shared" si="34"/>
        <v>66.043013089537112</v>
      </c>
      <c r="AM83" s="19">
        <f t="shared" si="35"/>
        <v>68.684733613118595</v>
      </c>
      <c r="AN83" s="19">
        <f t="shared" si="36"/>
        <v>66.043013089537112</v>
      </c>
      <c r="AO83" s="19">
        <f t="shared" si="37"/>
        <v>66.043013089537112</v>
      </c>
      <c r="AP83" s="19">
        <f t="shared" si="38"/>
        <v>68.684733613118595</v>
      </c>
      <c r="AQ83" s="19">
        <f t="shared" si="39"/>
        <v>66.043013089537112</v>
      </c>
      <c r="AR83" s="19">
        <f t="shared" si="40"/>
        <v>66.043013089537112</v>
      </c>
      <c r="AS83" s="19">
        <f t="shared" si="41"/>
        <v>66.043013089537112</v>
      </c>
      <c r="AT83" s="19">
        <f t="shared" si="42"/>
        <v>66.043013089537112</v>
      </c>
      <c r="AU83" s="19">
        <f t="shared" si="43"/>
        <v>66.043013089537112</v>
      </c>
      <c r="AV83" s="19">
        <f t="shared" si="44"/>
        <v>68.684733613118595</v>
      </c>
      <c r="AW83" s="19">
        <f t="shared" si="45"/>
        <v>66.043013089537112</v>
      </c>
      <c r="AX83" s="18">
        <f>IFERROR(Z83/'Ar-Pa'!B83,0)</f>
        <v>9.4347161556481591</v>
      </c>
      <c r="AY83" s="18">
        <f>IFERROR(AA83/'Ar-Pa'!C83,0)</f>
        <v>9.4347161556481591</v>
      </c>
      <c r="AZ83" s="18">
        <f>IFERROR(AB83/'Ar-Pa'!D83,0)</f>
        <v>9.4347161556481591</v>
      </c>
      <c r="BA83" s="18">
        <f>IFERROR(AC83/'Ar-Pa'!E83,0)</f>
        <v>9.8121048018740851</v>
      </c>
      <c r="BB83" s="18">
        <f>IFERROR(AD83/'Ar-Pa'!F83,0)</f>
        <v>9.4347161556481591</v>
      </c>
      <c r="BC83" s="18">
        <f>IFERROR(AE83/'Ar-Pa'!G83,0)</f>
        <v>9.4347161556481591</v>
      </c>
      <c r="BD83" s="18">
        <f>IFERROR(AF83/'Ar-Pa'!H83,0)</f>
        <v>9.4347161556481591</v>
      </c>
      <c r="BE83" s="18">
        <f>IFERROR(AG83/'Ar-Pa'!I83,0)</f>
        <v>9.8121048018740851</v>
      </c>
      <c r="BF83" s="18">
        <f>IFERROR(AH83/'Ar-Pa'!J83,0)</f>
        <v>9.4347161556481591</v>
      </c>
      <c r="BG83" s="18">
        <f>IFERROR(AI83/'Ar-Pa'!K83,0)</f>
        <v>9.4347161556481591</v>
      </c>
      <c r="BH83" s="18">
        <f>IFERROR(AJ83/'Ar-Pa'!L83,0)</f>
        <v>8.5855917016398244</v>
      </c>
      <c r="BI83" s="18">
        <f>IFERROR(AK83/'Ar-Pa'!M83,0)</f>
        <v>8.255376636192139</v>
      </c>
      <c r="BJ83" s="18">
        <f>IFERROR(AL83/'Ar-Pa'!N83,0)</f>
        <v>8.255376636192139</v>
      </c>
      <c r="BK83" s="18">
        <f>IFERROR(AM83/'Ar-Pa'!O83,0)</f>
        <v>8.5855917016398244</v>
      </c>
      <c r="BL83" s="18">
        <f>IFERROR(AN83/'Ar-Pa'!P83,0)</f>
        <v>8.255376636192139</v>
      </c>
      <c r="BM83" s="18">
        <f>IFERROR(AO83/'Ar-Pa'!Q83,0)</f>
        <v>8.255376636192139</v>
      </c>
      <c r="BN83" s="18">
        <f>IFERROR(AP83/'Ar-Pa'!R83,0)</f>
        <v>8.5855917016398244</v>
      </c>
      <c r="BO83" s="18">
        <f>IFERROR(AQ83/'Ar-Pa'!S83,0)</f>
        <v>8.255376636192139</v>
      </c>
      <c r="BP83" s="18">
        <f>IFERROR(AR83/'Ar-Pa'!T83,0)</f>
        <v>8.255376636192139</v>
      </c>
      <c r="BQ83" s="18">
        <f>IFERROR(AS83/'Ar-Pa'!U83,0)</f>
        <v>8.255376636192139</v>
      </c>
      <c r="BR83" s="18">
        <f>IFERROR(AT83/'Ar-Pa'!V83,0)</f>
        <v>8.255376636192139</v>
      </c>
      <c r="BS83" s="18">
        <f>IFERROR(AU83/'Ar-Pa'!W83,0)</f>
        <v>8.255376636192139</v>
      </c>
      <c r="BT83" s="18">
        <f>IFERROR(AV83/'Ar-Pa'!X83,0)</f>
        <v>8.5855917016398244</v>
      </c>
      <c r="BU83" s="18">
        <f>IFERROR(AW83/'Ar-Pa'!Y83,0)</f>
        <v>8.255376636192139</v>
      </c>
    </row>
    <row r="84" spans="1:73" s="12" customFormat="1" ht="15">
      <c r="A84" s="15">
        <v>45009</v>
      </c>
      <c r="B84" s="441">
        <v>0.25</v>
      </c>
      <c r="C84" s="441">
        <v>0.26</v>
      </c>
      <c r="D84" s="441">
        <v>0.25</v>
      </c>
      <c r="E84" s="441">
        <v>0.26</v>
      </c>
      <c r="F84" s="441">
        <v>0.26</v>
      </c>
      <c r="G84" s="441">
        <v>0.25</v>
      </c>
      <c r="H84" s="441">
        <v>0.26</v>
      </c>
      <c r="I84" s="441">
        <v>0.25</v>
      </c>
      <c r="J84" s="441">
        <v>0.26</v>
      </c>
      <c r="K84" s="441">
        <v>0.26</v>
      </c>
      <c r="L84" s="441">
        <v>0.27</v>
      </c>
      <c r="M84" s="441">
        <v>0.26</v>
      </c>
      <c r="N84" s="441">
        <v>0.26</v>
      </c>
      <c r="O84" s="441">
        <v>0.26</v>
      </c>
      <c r="P84" s="441">
        <v>0.26</v>
      </c>
      <c r="Q84" s="441">
        <v>0.26</v>
      </c>
      <c r="R84" s="441">
        <v>0.26</v>
      </c>
      <c r="S84" s="441">
        <v>0.26</v>
      </c>
      <c r="T84" s="441">
        <v>0.26</v>
      </c>
      <c r="U84" s="441">
        <v>0.26</v>
      </c>
      <c r="V84" s="441">
        <v>0.26</v>
      </c>
      <c r="W84" s="441">
        <v>0.31</v>
      </c>
      <c r="X84" s="441">
        <v>0.31</v>
      </c>
      <c r="Y84" s="441">
        <v>0.31</v>
      </c>
      <c r="Z84" s="19">
        <f t="shared" si="46"/>
        <v>66.043013089537112</v>
      </c>
      <c r="AA84" s="19">
        <f t="shared" si="47"/>
        <v>68.684733613118595</v>
      </c>
      <c r="AB84" s="19">
        <f t="shared" si="24"/>
        <v>66.043013089537112</v>
      </c>
      <c r="AC84" s="19">
        <f t="shared" si="25"/>
        <v>68.684733613118595</v>
      </c>
      <c r="AD84" s="19">
        <f t="shared" si="26"/>
        <v>68.684733613118595</v>
      </c>
      <c r="AE84" s="19">
        <f t="shared" si="27"/>
        <v>66.043013089537112</v>
      </c>
      <c r="AF84" s="19">
        <f t="shared" si="28"/>
        <v>68.684733613118595</v>
      </c>
      <c r="AG84" s="19">
        <f t="shared" si="29"/>
        <v>66.043013089537112</v>
      </c>
      <c r="AH84" s="19">
        <f t="shared" si="30"/>
        <v>68.684733613118595</v>
      </c>
      <c r="AI84" s="19">
        <f t="shared" si="31"/>
        <v>68.684733613118595</v>
      </c>
      <c r="AJ84" s="19">
        <f t="shared" si="32"/>
        <v>71.326454136700079</v>
      </c>
      <c r="AK84" s="19">
        <f t="shared" si="33"/>
        <v>68.684733613118595</v>
      </c>
      <c r="AL84" s="19">
        <f t="shared" si="34"/>
        <v>68.684733613118595</v>
      </c>
      <c r="AM84" s="19">
        <f t="shared" si="35"/>
        <v>68.684733613118595</v>
      </c>
      <c r="AN84" s="19">
        <f t="shared" si="36"/>
        <v>68.684733613118595</v>
      </c>
      <c r="AO84" s="19">
        <f t="shared" si="37"/>
        <v>68.684733613118595</v>
      </c>
      <c r="AP84" s="19">
        <f t="shared" si="38"/>
        <v>68.684733613118595</v>
      </c>
      <c r="AQ84" s="19">
        <f t="shared" si="39"/>
        <v>68.684733613118595</v>
      </c>
      <c r="AR84" s="19">
        <f t="shared" si="40"/>
        <v>68.684733613118595</v>
      </c>
      <c r="AS84" s="19">
        <f t="shared" si="41"/>
        <v>68.684733613118595</v>
      </c>
      <c r="AT84" s="19">
        <f t="shared" si="42"/>
        <v>68.684733613118595</v>
      </c>
      <c r="AU84" s="19">
        <f t="shared" si="43"/>
        <v>81.893336231026012</v>
      </c>
      <c r="AV84" s="19">
        <f t="shared" si="44"/>
        <v>81.893336231026012</v>
      </c>
      <c r="AW84" s="19">
        <f t="shared" si="45"/>
        <v>81.893336231026012</v>
      </c>
      <c r="AX84" s="18">
        <f>IFERROR(Z84/'Ar-Pa'!B84,0)</f>
        <v>8.255376636192139</v>
      </c>
      <c r="AY84" s="18">
        <f>IFERROR(AA84/'Ar-Pa'!C84,0)</f>
        <v>9.8121048018740851</v>
      </c>
      <c r="AZ84" s="18">
        <f>IFERROR(AB84/'Ar-Pa'!D84,0)</f>
        <v>9.4347161556481591</v>
      </c>
      <c r="BA84" s="18">
        <f>IFERROR(AC84/'Ar-Pa'!E84,0)</f>
        <v>8.5855917016398244</v>
      </c>
      <c r="BB84" s="18">
        <f>IFERROR(AD84/'Ar-Pa'!F84,0)</f>
        <v>8.5855917016398244</v>
      </c>
      <c r="BC84" s="18">
        <f>IFERROR(AE84/'Ar-Pa'!G84,0)</f>
        <v>8.255376636192139</v>
      </c>
      <c r="BD84" s="18">
        <f>IFERROR(AF84/'Ar-Pa'!H84,0)</f>
        <v>9.8121048018740851</v>
      </c>
      <c r="BE84" s="18">
        <f>IFERROR(AG84/'Ar-Pa'!I84,0)</f>
        <v>9.4347161556481591</v>
      </c>
      <c r="BF84" s="18">
        <f>IFERROR(AH84/'Ar-Pa'!J84,0)</f>
        <v>8.5855917016398244</v>
      </c>
      <c r="BG84" s="18">
        <f>IFERROR(AI84/'Ar-Pa'!K84,0)</f>
        <v>8.5855917016398244</v>
      </c>
      <c r="BH84" s="18">
        <f>IFERROR(AJ84/'Ar-Pa'!L84,0)</f>
        <v>8.9158067670875099</v>
      </c>
      <c r="BI84" s="18">
        <f>IFERROR(AK84/'Ar-Pa'!M84,0)</f>
        <v>8.5855917016398244</v>
      </c>
      <c r="BJ84" s="18">
        <f>IFERROR(AL84/'Ar-Pa'!N84,0)</f>
        <v>8.5855917016398244</v>
      </c>
      <c r="BK84" s="18">
        <f>IFERROR(AM84/'Ar-Pa'!O84,0)</f>
        <v>8.5855917016398244</v>
      </c>
      <c r="BL84" s="18">
        <f>IFERROR(AN84/'Ar-Pa'!P84,0)</f>
        <v>8.5855917016398244</v>
      </c>
      <c r="BM84" s="18">
        <f>IFERROR(AO84/'Ar-Pa'!Q84,0)</f>
        <v>8.5855917016398244</v>
      </c>
      <c r="BN84" s="18">
        <f>IFERROR(AP84/'Ar-Pa'!R84,0)</f>
        <v>8.5855917016398244</v>
      </c>
      <c r="BO84" s="18">
        <f>IFERROR(AQ84/'Ar-Pa'!S84,0)</f>
        <v>8.5855917016398244</v>
      </c>
      <c r="BP84" s="18">
        <f>IFERROR(AR84/'Ar-Pa'!T84,0)</f>
        <v>8.5855917016398244</v>
      </c>
      <c r="BQ84" s="18">
        <f>IFERROR(AS84/'Ar-Pa'!U84,0)</f>
        <v>8.5855917016398244</v>
      </c>
      <c r="BR84" s="18">
        <f>IFERROR(AT84/'Ar-Pa'!V84,0)</f>
        <v>8.5855917016398244</v>
      </c>
      <c r="BS84" s="18">
        <f>IFERROR(AU84/'Ar-Pa'!W84,0)</f>
        <v>10.236667028878252</v>
      </c>
      <c r="BT84" s="18">
        <f>IFERROR(AV84/'Ar-Pa'!X84,0)</f>
        <v>10.236667028878252</v>
      </c>
      <c r="BU84" s="18">
        <f>IFERROR(AW84/'Ar-Pa'!Y84,0)</f>
        <v>10.236667028878252</v>
      </c>
    </row>
    <row r="85" spans="1:73" s="12" customFormat="1" ht="15">
      <c r="A85" s="15">
        <v>45010</v>
      </c>
      <c r="B85" s="441">
        <v>0.25</v>
      </c>
      <c r="C85" s="441">
        <v>0.24</v>
      </c>
      <c r="D85" s="441">
        <v>0.25</v>
      </c>
      <c r="E85" s="441">
        <v>0.24</v>
      </c>
      <c r="F85" s="441">
        <v>0.24</v>
      </c>
      <c r="G85" s="441">
        <v>0.24</v>
      </c>
      <c r="H85" s="441">
        <v>0.24</v>
      </c>
      <c r="I85" s="441">
        <v>0.24</v>
      </c>
      <c r="J85" s="441">
        <v>0.24</v>
      </c>
      <c r="K85" s="441">
        <v>0.25</v>
      </c>
      <c r="L85" s="441">
        <v>0.25</v>
      </c>
      <c r="M85" s="441">
        <v>0.24</v>
      </c>
      <c r="N85" s="441">
        <v>0.25</v>
      </c>
      <c r="O85" s="441">
        <v>0.24</v>
      </c>
      <c r="P85" s="441">
        <v>0.25</v>
      </c>
      <c r="Q85" s="441">
        <v>0.25</v>
      </c>
      <c r="R85" s="441">
        <v>0.24</v>
      </c>
      <c r="S85" s="441">
        <v>0.25</v>
      </c>
      <c r="T85" s="441">
        <v>0.24</v>
      </c>
      <c r="U85" s="441">
        <v>0.25</v>
      </c>
      <c r="V85" s="441">
        <v>0.24</v>
      </c>
      <c r="W85" s="441">
        <v>0.25</v>
      </c>
      <c r="X85" s="441">
        <v>0.24</v>
      </c>
      <c r="Y85" s="441">
        <v>0.25</v>
      </c>
      <c r="Z85" s="19">
        <f t="shared" si="46"/>
        <v>66.043013089537112</v>
      </c>
      <c r="AA85" s="19">
        <f t="shared" si="47"/>
        <v>63.401292565955622</v>
      </c>
      <c r="AB85" s="19">
        <f t="shared" si="24"/>
        <v>66.043013089537112</v>
      </c>
      <c r="AC85" s="19">
        <f t="shared" si="25"/>
        <v>63.401292565955622</v>
      </c>
      <c r="AD85" s="19">
        <f t="shared" si="26"/>
        <v>63.401292565955622</v>
      </c>
      <c r="AE85" s="19">
        <f t="shared" si="27"/>
        <v>63.401292565955622</v>
      </c>
      <c r="AF85" s="19">
        <f t="shared" si="28"/>
        <v>63.401292565955622</v>
      </c>
      <c r="AG85" s="19">
        <f t="shared" si="29"/>
        <v>63.401292565955622</v>
      </c>
      <c r="AH85" s="19">
        <f t="shared" si="30"/>
        <v>63.401292565955622</v>
      </c>
      <c r="AI85" s="19">
        <f t="shared" si="31"/>
        <v>66.043013089537112</v>
      </c>
      <c r="AJ85" s="19">
        <f t="shared" si="32"/>
        <v>66.043013089537112</v>
      </c>
      <c r="AK85" s="19">
        <f t="shared" si="33"/>
        <v>63.401292565955622</v>
      </c>
      <c r="AL85" s="19">
        <f t="shared" si="34"/>
        <v>66.043013089537112</v>
      </c>
      <c r="AM85" s="19">
        <f t="shared" si="35"/>
        <v>63.401292565955622</v>
      </c>
      <c r="AN85" s="19">
        <f t="shared" si="36"/>
        <v>66.043013089537112</v>
      </c>
      <c r="AO85" s="19">
        <f t="shared" si="37"/>
        <v>66.043013089537112</v>
      </c>
      <c r="AP85" s="19">
        <f t="shared" si="38"/>
        <v>63.401292565955622</v>
      </c>
      <c r="AQ85" s="19">
        <f t="shared" si="39"/>
        <v>66.043013089537112</v>
      </c>
      <c r="AR85" s="19">
        <f t="shared" si="40"/>
        <v>63.401292565955622</v>
      </c>
      <c r="AS85" s="19">
        <f t="shared" si="41"/>
        <v>66.043013089537112</v>
      </c>
      <c r="AT85" s="19">
        <f t="shared" si="42"/>
        <v>63.401292565955622</v>
      </c>
      <c r="AU85" s="19">
        <f t="shared" si="43"/>
        <v>66.043013089537112</v>
      </c>
      <c r="AV85" s="19">
        <f t="shared" si="44"/>
        <v>63.401292565955622</v>
      </c>
      <c r="AW85" s="19">
        <f t="shared" si="45"/>
        <v>66.043013089537112</v>
      </c>
      <c r="AX85" s="18">
        <f>IFERROR(Z85/'Ar-Pa'!B85,0)</f>
        <v>8.255376636192139</v>
      </c>
      <c r="AY85" s="18">
        <f>IFERROR(AA85/'Ar-Pa'!C85,0)</f>
        <v>9.0573275094222314</v>
      </c>
      <c r="AZ85" s="18">
        <f>IFERROR(AB85/'Ar-Pa'!D85,0)</f>
        <v>9.4347161556481591</v>
      </c>
      <c r="BA85" s="18">
        <f>IFERROR(AC85/'Ar-Pa'!E85,0)</f>
        <v>7.9251615707444527</v>
      </c>
      <c r="BB85" s="18">
        <f>IFERROR(AD85/'Ar-Pa'!F85,0)</f>
        <v>9.0573275094222314</v>
      </c>
      <c r="BC85" s="18">
        <f>IFERROR(AE85/'Ar-Pa'!G85,0)</f>
        <v>9.0573275094222314</v>
      </c>
      <c r="BD85" s="18">
        <f>IFERROR(AF85/'Ar-Pa'!H85,0)</f>
        <v>9.0573275094222314</v>
      </c>
      <c r="BE85" s="18">
        <f>IFERROR(AG85/'Ar-Pa'!I85,0)</f>
        <v>9.0573275094222314</v>
      </c>
      <c r="BF85" s="18">
        <f>IFERROR(AH85/'Ar-Pa'!J85,0)</f>
        <v>7.9251615707444527</v>
      </c>
      <c r="BG85" s="18">
        <f>IFERROR(AI85/'Ar-Pa'!K85,0)</f>
        <v>8.255376636192139</v>
      </c>
      <c r="BH85" s="18">
        <f>IFERROR(AJ85/'Ar-Pa'!L85,0)</f>
        <v>8.255376636192139</v>
      </c>
      <c r="BI85" s="18">
        <f>IFERROR(AK85/'Ar-Pa'!M85,0)</f>
        <v>7.9251615707444527</v>
      </c>
      <c r="BJ85" s="18">
        <f>IFERROR(AL85/'Ar-Pa'!N85,0)</f>
        <v>8.255376636192139</v>
      </c>
      <c r="BK85" s="18">
        <f>IFERROR(AM85/'Ar-Pa'!O85,0)</f>
        <v>7.9251615707444527</v>
      </c>
      <c r="BL85" s="18">
        <f>IFERROR(AN85/'Ar-Pa'!P85,0)</f>
        <v>8.255376636192139</v>
      </c>
      <c r="BM85" s="18">
        <f>IFERROR(AO85/'Ar-Pa'!Q85,0)</f>
        <v>8.255376636192139</v>
      </c>
      <c r="BN85" s="18">
        <f>IFERROR(AP85/'Ar-Pa'!R85,0)</f>
        <v>7.9251615707444527</v>
      </c>
      <c r="BO85" s="18">
        <f>IFERROR(AQ85/'Ar-Pa'!S85,0)</f>
        <v>8.255376636192139</v>
      </c>
      <c r="BP85" s="18">
        <f>IFERROR(AR85/'Ar-Pa'!T85,0)</f>
        <v>7.9251615707444527</v>
      </c>
      <c r="BQ85" s="18">
        <f>IFERROR(AS85/'Ar-Pa'!U85,0)</f>
        <v>8.255376636192139</v>
      </c>
      <c r="BR85" s="18">
        <f>IFERROR(AT85/'Ar-Pa'!V85,0)</f>
        <v>7.9251615707444527</v>
      </c>
      <c r="BS85" s="18">
        <f>IFERROR(AU85/'Ar-Pa'!W85,0)</f>
        <v>8.255376636192139</v>
      </c>
      <c r="BT85" s="18">
        <f>IFERROR(AV85/'Ar-Pa'!X85,0)</f>
        <v>7.9251615707444527</v>
      </c>
      <c r="BU85" s="18">
        <f>IFERROR(AW85/'Ar-Pa'!Y85,0)</f>
        <v>8.255376636192139</v>
      </c>
    </row>
    <row r="86" spans="1:73" s="12" customFormat="1" ht="15">
      <c r="A86" s="15">
        <v>45011</v>
      </c>
      <c r="B86" s="441">
        <v>0.23</v>
      </c>
      <c r="C86" s="441">
        <v>0.23</v>
      </c>
      <c r="D86" s="441">
        <v>0.23</v>
      </c>
      <c r="E86" s="441">
        <v>0.23</v>
      </c>
      <c r="F86" s="441">
        <v>0.24</v>
      </c>
      <c r="G86" s="441">
        <v>0.23</v>
      </c>
      <c r="H86" s="441">
        <v>0.08</v>
      </c>
      <c r="I86" s="441">
        <v>0</v>
      </c>
      <c r="J86" s="441">
        <v>7.0000000000000007E-2</v>
      </c>
      <c r="K86" s="441">
        <v>0.19</v>
      </c>
      <c r="L86" s="441">
        <v>0.23</v>
      </c>
      <c r="M86" s="441">
        <v>0.23</v>
      </c>
      <c r="N86" s="441">
        <v>0.25</v>
      </c>
      <c r="O86" s="441">
        <v>0.23</v>
      </c>
      <c r="P86" s="441">
        <v>0.24</v>
      </c>
      <c r="Q86" s="441">
        <v>0.24</v>
      </c>
      <c r="R86" s="441">
        <v>0.24</v>
      </c>
      <c r="S86" s="441">
        <v>0.24</v>
      </c>
      <c r="T86" s="441">
        <v>0.24</v>
      </c>
      <c r="U86" s="441">
        <v>0.23</v>
      </c>
      <c r="V86" s="441">
        <v>0.24</v>
      </c>
      <c r="W86" s="441">
        <v>0.23</v>
      </c>
      <c r="X86" s="441">
        <v>0.24</v>
      </c>
      <c r="Y86" s="441">
        <v>0.23</v>
      </c>
      <c r="Z86" s="19">
        <f t="shared" si="46"/>
        <v>60.759572042374138</v>
      </c>
      <c r="AA86" s="19">
        <f t="shared" si="47"/>
        <v>60.759572042374138</v>
      </c>
      <c r="AB86" s="19">
        <f t="shared" si="24"/>
        <v>60.759572042374138</v>
      </c>
      <c r="AC86" s="19">
        <f t="shared" si="25"/>
        <v>60.759572042374138</v>
      </c>
      <c r="AD86" s="19">
        <f t="shared" si="26"/>
        <v>63.401292565955622</v>
      </c>
      <c r="AE86" s="19">
        <f t="shared" si="27"/>
        <v>60.759572042374138</v>
      </c>
      <c r="AF86" s="19">
        <f t="shared" si="28"/>
        <v>21.133764188651874</v>
      </c>
      <c r="AG86" s="19">
        <f t="shared" si="29"/>
        <v>0</v>
      </c>
      <c r="AH86" s="19">
        <f t="shared" si="30"/>
        <v>18.492043665070391</v>
      </c>
      <c r="AI86" s="19">
        <f t="shared" si="31"/>
        <v>50.192689948048198</v>
      </c>
      <c r="AJ86" s="19">
        <f t="shared" si="32"/>
        <v>60.759572042374138</v>
      </c>
      <c r="AK86" s="19">
        <f t="shared" si="33"/>
        <v>60.759572042374138</v>
      </c>
      <c r="AL86" s="19">
        <f t="shared" si="34"/>
        <v>66.043013089537112</v>
      </c>
      <c r="AM86" s="19">
        <f t="shared" si="35"/>
        <v>60.759572042374138</v>
      </c>
      <c r="AN86" s="19">
        <f t="shared" si="36"/>
        <v>63.401292565955622</v>
      </c>
      <c r="AO86" s="19">
        <f t="shared" si="37"/>
        <v>63.401292565955622</v>
      </c>
      <c r="AP86" s="19">
        <f t="shared" si="38"/>
        <v>63.401292565955622</v>
      </c>
      <c r="AQ86" s="19">
        <f t="shared" si="39"/>
        <v>63.401292565955622</v>
      </c>
      <c r="AR86" s="19">
        <f t="shared" si="40"/>
        <v>63.401292565955622</v>
      </c>
      <c r="AS86" s="19">
        <f t="shared" si="41"/>
        <v>60.759572042374138</v>
      </c>
      <c r="AT86" s="19">
        <f t="shared" si="42"/>
        <v>63.401292565955622</v>
      </c>
      <c r="AU86" s="19">
        <f t="shared" si="43"/>
        <v>60.759572042374138</v>
      </c>
      <c r="AV86" s="19">
        <f t="shared" si="44"/>
        <v>63.401292565955622</v>
      </c>
      <c r="AW86" s="19">
        <f t="shared" si="45"/>
        <v>60.759572042374138</v>
      </c>
      <c r="AX86" s="18">
        <f>IFERROR(Z86/'Ar-Pa'!B86,0)</f>
        <v>7.5949465052967673</v>
      </c>
      <c r="AY86" s="18">
        <f>IFERROR(AA86/'Ar-Pa'!C86,0)</f>
        <v>8.6799388631963055</v>
      </c>
      <c r="AZ86" s="18">
        <f>IFERROR(AB86/'Ar-Pa'!D86,0)</f>
        <v>8.6799388631963055</v>
      </c>
      <c r="BA86" s="18">
        <f>IFERROR(AC86/'Ar-Pa'!E86,0)</f>
        <v>7.5949465052967673</v>
      </c>
      <c r="BB86" s="18">
        <f>IFERROR(AD86/'Ar-Pa'!F86,0)</f>
        <v>7.9251615707444527</v>
      </c>
      <c r="BC86" s="18">
        <f>IFERROR(AE86/'Ar-Pa'!G86,0)</f>
        <v>7.5949465052967673</v>
      </c>
      <c r="BD86" s="18">
        <f>IFERROR(AF86/'Ar-Pa'!H86,0)</f>
        <v>7.0445880628839577</v>
      </c>
      <c r="BE86" s="18">
        <f>IFERROR(AG86/'Ar-Pa'!I86,0)</f>
        <v>0</v>
      </c>
      <c r="BF86" s="18">
        <f>IFERROR(AH86/'Ar-Pa'!J86,0)</f>
        <v>6.1640145550234635</v>
      </c>
      <c r="BG86" s="18">
        <f>IFERROR(AI86/'Ar-Pa'!K86,0)</f>
        <v>8.3654483246747002</v>
      </c>
      <c r="BH86" s="18">
        <f>IFERROR(AJ86/'Ar-Pa'!L86,0)</f>
        <v>7.5949465052967673</v>
      </c>
      <c r="BI86" s="18">
        <f>IFERROR(AK86/'Ar-Pa'!M86,0)</f>
        <v>7.5949465052967673</v>
      </c>
      <c r="BJ86" s="18">
        <f>IFERROR(AL86/'Ar-Pa'!N86,0)</f>
        <v>8.255376636192139</v>
      </c>
      <c r="BK86" s="18">
        <f>IFERROR(AM86/'Ar-Pa'!O86,0)</f>
        <v>7.5949465052967673</v>
      </c>
      <c r="BL86" s="18">
        <f>IFERROR(AN86/'Ar-Pa'!P86,0)</f>
        <v>7.9251615707444527</v>
      </c>
      <c r="BM86" s="18">
        <f>IFERROR(AO86/'Ar-Pa'!Q86,0)</f>
        <v>7.9251615707444527</v>
      </c>
      <c r="BN86" s="18">
        <f>IFERROR(AP86/'Ar-Pa'!R86,0)</f>
        <v>7.9251615707444527</v>
      </c>
      <c r="BO86" s="18">
        <f>IFERROR(AQ86/'Ar-Pa'!S86,0)</f>
        <v>7.9251615707444527</v>
      </c>
      <c r="BP86" s="18">
        <f>IFERROR(AR86/'Ar-Pa'!T86,0)</f>
        <v>7.9251615707444527</v>
      </c>
      <c r="BQ86" s="18">
        <f>IFERROR(AS86/'Ar-Pa'!U86,0)</f>
        <v>7.5949465052967673</v>
      </c>
      <c r="BR86" s="18">
        <f>IFERROR(AT86/'Ar-Pa'!V86,0)</f>
        <v>7.9251615707444527</v>
      </c>
      <c r="BS86" s="18">
        <f>IFERROR(AU86/'Ar-Pa'!W86,0)</f>
        <v>8.6799388631963055</v>
      </c>
      <c r="BT86" s="18">
        <f>IFERROR(AV86/'Ar-Pa'!X86,0)</f>
        <v>9.0573275094222314</v>
      </c>
      <c r="BU86" s="18">
        <f>IFERROR(AW86/'Ar-Pa'!Y86,0)</f>
        <v>8.6799388631963055</v>
      </c>
    </row>
    <row r="87" spans="1:73" s="12" customFormat="1" ht="15">
      <c r="A87" s="15">
        <v>45012</v>
      </c>
      <c r="B87" s="441">
        <v>0.22</v>
      </c>
      <c r="C87" s="441">
        <v>0.22</v>
      </c>
      <c r="D87" s="441">
        <v>0.22</v>
      </c>
      <c r="E87" s="441">
        <v>0.23</v>
      </c>
      <c r="F87" s="441">
        <v>0.22</v>
      </c>
      <c r="G87" s="441">
        <v>0.23</v>
      </c>
      <c r="H87" s="441">
        <v>0.22</v>
      </c>
      <c r="I87" s="441">
        <v>0.22</v>
      </c>
      <c r="J87" s="441">
        <v>0.23</v>
      </c>
      <c r="K87" s="441">
        <v>0.22</v>
      </c>
      <c r="L87" s="441">
        <v>0.22</v>
      </c>
      <c r="M87" s="441">
        <v>0.23</v>
      </c>
      <c r="N87" s="441">
        <v>0.22</v>
      </c>
      <c r="O87" s="441">
        <v>0.23</v>
      </c>
      <c r="P87" s="441">
        <v>0.22</v>
      </c>
      <c r="Q87" s="441">
        <v>0.23</v>
      </c>
      <c r="R87" s="441">
        <v>0.22</v>
      </c>
      <c r="S87" s="441">
        <v>0.23</v>
      </c>
      <c r="T87" s="441">
        <v>0.22</v>
      </c>
      <c r="U87" s="441">
        <v>0.23</v>
      </c>
      <c r="V87" s="441">
        <v>0.22</v>
      </c>
      <c r="W87" s="441">
        <v>0.27</v>
      </c>
      <c r="X87" s="441">
        <v>0.28000000000000003</v>
      </c>
      <c r="Y87" s="441">
        <v>0.27</v>
      </c>
      <c r="Z87" s="19">
        <f t="shared" si="46"/>
        <v>58.117851518792655</v>
      </c>
      <c r="AA87" s="19">
        <f t="shared" si="47"/>
        <v>58.117851518792655</v>
      </c>
      <c r="AB87" s="19">
        <f t="shared" si="24"/>
        <v>58.117851518792655</v>
      </c>
      <c r="AC87" s="19">
        <f t="shared" si="25"/>
        <v>60.759572042374138</v>
      </c>
      <c r="AD87" s="19">
        <f t="shared" si="26"/>
        <v>58.117851518792655</v>
      </c>
      <c r="AE87" s="19">
        <f t="shared" si="27"/>
        <v>60.759572042374138</v>
      </c>
      <c r="AF87" s="19">
        <f t="shared" si="28"/>
        <v>58.117851518792655</v>
      </c>
      <c r="AG87" s="19">
        <f t="shared" si="29"/>
        <v>58.117851518792655</v>
      </c>
      <c r="AH87" s="19">
        <f t="shared" si="30"/>
        <v>60.759572042374138</v>
      </c>
      <c r="AI87" s="19">
        <f t="shared" si="31"/>
        <v>58.117851518792655</v>
      </c>
      <c r="AJ87" s="19">
        <f t="shared" si="32"/>
        <v>58.117851518792655</v>
      </c>
      <c r="AK87" s="19">
        <f t="shared" si="33"/>
        <v>60.759572042374138</v>
      </c>
      <c r="AL87" s="19">
        <f t="shared" si="34"/>
        <v>58.117851518792655</v>
      </c>
      <c r="AM87" s="19">
        <f t="shared" si="35"/>
        <v>60.759572042374138</v>
      </c>
      <c r="AN87" s="19">
        <f t="shared" si="36"/>
        <v>58.117851518792655</v>
      </c>
      <c r="AO87" s="19">
        <f t="shared" si="37"/>
        <v>60.759572042374138</v>
      </c>
      <c r="AP87" s="19">
        <f t="shared" si="38"/>
        <v>58.117851518792655</v>
      </c>
      <c r="AQ87" s="19">
        <f t="shared" si="39"/>
        <v>60.759572042374138</v>
      </c>
      <c r="AR87" s="19">
        <f t="shared" si="40"/>
        <v>58.117851518792655</v>
      </c>
      <c r="AS87" s="19">
        <f t="shared" si="41"/>
        <v>60.759572042374138</v>
      </c>
      <c r="AT87" s="19">
        <f t="shared" si="42"/>
        <v>58.117851518792655</v>
      </c>
      <c r="AU87" s="19">
        <f t="shared" si="43"/>
        <v>71.326454136700079</v>
      </c>
      <c r="AV87" s="19">
        <f t="shared" si="44"/>
        <v>73.968174660281562</v>
      </c>
      <c r="AW87" s="19">
        <f t="shared" si="45"/>
        <v>71.326454136700079</v>
      </c>
      <c r="AX87" s="18">
        <f>IFERROR(Z87/'Ar-Pa'!B87,0)</f>
        <v>7.2647314398490819</v>
      </c>
      <c r="AY87" s="18">
        <f>IFERROR(AA87/'Ar-Pa'!C87,0)</f>
        <v>8.3025502169703795</v>
      </c>
      <c r="AZ87" s="18">
        <f>IFERROR(AB87/'Ar-Pa'!D87,0)</f>
        <v>8.3025502169703795</v>
      </c>
      <c r="BA87" s="18">
        <f>IFERROR(AC87/'Ar-Pa'!E87,0)</f>
        <v>8.6799388631963055</v>
      </c>
      <c r="BB87" s="18">
        <f>IFERROR(AD87/'Ar-Pa'!F87,0)</f>
        <v>7.2647314398490819</v>
      </c>
      <c r="BC87" s="18">
        <f>IFERROR(AE87/'Ar-Pa'!G87,0)</f>
        <v>7.5949465052967673</v>
      </c>
      <c r="BD87" s="18">
        <f>IFERROR(AF87/'Ar-Pa'!H87,0)</f>
        <v>8.3025502169703795</v>
      </c>
      <c r="BE87" s="18">
        <f>IFERROR(AG87/'Ar-Pa'!I87,0)</f>
        <v>8.3025502169703795</v>
      </c>
      <c r="BF87" s="18">
        <f>IFERROR(AH87/'Ar-Pa'!J87,0)</f>
        <v>8.6799388631963055</v>
      </c>
      <c r="BG87" s="18">
        <f>IFERROR(AI87/'Ar-Pa'!K87,0)</f>
        <v>8.3025502169703795</v>
      </c>
      <c r="BH87" s="18">
        <f>IFERROR(AJ87/'Ar-Pa'!L87,0)</f>
        <v>7.2647314398490819</v>
      </c>
      <c r="BI87" s="18">
        <f>IFERROR(AK87/'Ar-Pa'!M87,0)</f>
        <v>7.5949465052967673</v>
      </c>
      <c r="BJ87" s="18">
        <f>IFERROR(AL87/'Ar-Pa'!N87,0)</f>
        <v>7.2647314398490819</v>
      </c>
      <c r="BK87" s="18">
        <f>IFERROR(AM87/'Ar-Pa'!O87,0)</f>
        <v>7.5949465052967673</v>
      </c>
      <c r="BL87" s="18">
        <f>IFERROR(AN87/'Ar-Pa'!P87,0)</f>
        <v>7.2647314398490819</v>
      </c>
      <c r="BM87" s="18">
        <f>IFERROR(AO87/'Ar-Pa'!Q87,0)</f>
        <v>7.5949465052967673</v>
      </c>
      <c r="BN87" s="18">
        <f>IFERROR(AP87/'Ar-Pa'!R87,0)</f>
        <v>7.2647314398490819</v>
      </c>
      <c r="BO87" s="18">
        <f>IFERROR(AQ87/'Ar-Pa'!S87,0)</f>
        <v>7.5949465052967673</v>
      </c>
      <c r="BP87" s="18">
        <f>IFERROR(AR87/'Ar-Pa'!T87,0)</f>
        <v>7.2647314398490819</v>
      </c>
      <c r="BQ87" s="18">
        <f>IFERROR(AS87/'Ar-Pa'!U87,0)</f>
        <v>7.5949465052967673</v>
      </c>
      <c r="BR87" s="18">
        <f>IFERROR(AT87/'Ar-Pa'!V87,0)</f>
        <v>7.2647314398490819</v>
      </c>
      <c r="BS87" s="18">
        <f>IFERROR(AU87/'Ar-Pa'!W87,0)</f>
        <v>8.9158067670875099</v>
      </c>
      <c r="BT87" s="18">
        <f>IFERROR(AV87/'Ar-Pa'!X87,0)</f>
        <v>9.2460218325351953</v>
      </c>
      <c r="BU87" s="18">
        <f>IFERROR(AW87/'Ar-Pa'!Y87,0)</f>
        <v>8.9158067670875099</v>
      </c>
    </row>
    <row r="88" spans="1:73" s="12" customFormat="1" ht="15">
      <c r="A88" s="15">
        <v>45013</v>
      </c>
      <c r="B88" s="441">
        <v>0.27</v>
      </c>
      <c r="C88" s="441">
        <v>0.25</v>
      </c>
      <c r="D88" s="441">
        <v>0.26</v>
      </c>
      <c r="E88" s="441">
        <v>0.26</v>
      </c>
      <c r="F88" s="441">
        <v>0.26</v>
      </c>
      <c r="G88" s="441">
        <v>0.26</v>
      </c>
      <c r="H88" s="441">
        <v>0.27</v>
      </c>
      <c r="I88" s="441">
        <v>0.26</v>
      </c>
      <c r="J88" s="441">
        <v>0.26</v>
      </c>
      <c r="K88" s="441">
        <v>0.26</v>
      </c>
      <c r="L88" s="441">
        <v>0.26</v>
      </c>
      <c r="M88" s="441">
        <v>0.26</v>
      </c>
      <c r="N88" s="441">
        <v>0.27</v>
      </c>
      <c r="O88" s="441">
        <v>0.25</v>
      </c>
      <c r="P88" s="441">
        <v>0.26</v>
      </c>
      <c r="Q88" s="441">
        <v>0.26</v>
      </c>
      <c r="R88" s="441">
        <v>0.25</v>
      </c>
      <c r="S88" s="441">
        <v>0.27</v>
      </c>
      <c r="T88" s="441">
        <v>0.26</v>
      </c>
      <c r="U88" s="441">
        <v>0.28000000000000003</v>
      </c>
      <c r="V88" s="441">
        <v>0.33</v>
      </c>
      <c r="W88" s="441">
        <v>0.32</v>
      </c>
      <c r="X88" s="441">
        <v>0.32</v>
      </c>
      <c r="Y88" s="441">
        <v>0.31</v>
      </c>
      <c r="Z88" s="19">
        <f t="shared" si="46"/>
        <v>71.326454136700079</v>
      </c>
      <c r="AA88" s="19">
        <f t="shared" si="47"/>
        <v>66.043013089537112</v>
      </c>
      <c r="AB88" s="19">
        <f t="shared" si="24"/>
        <v>68.684733613118595</v>
      </c>
      <c r="AC88" s="19">
        <f t="shared" si="25"/>
        <v>68.684733613118595</v>
      </c>
      <c r="AD88" s="19">
        <f t="shared" si="26"/>
        <v>68.684733613118595</v>
      </c>
      <c r="AE88" s="19">
        <f t="shared" si="27"/>
        <v>68.684733613118595</v>
      </c>
      <c r="AF88" s="19">
        <f t="shared" si="28"/>
        <v>71.326454136700079</v>
      </c>
      <c r="AG88" s="19">
        <f t="shared" si="29"/>
        <v>68.684733613118595</v>
      </c>
      <c r="AH88" s="19">
        <f t="shared" si="30"/>
        <v>68.684733613118595</v>
      </c>
      <c r="AI88" s="19">
        <f t="shared" si="31"/>
        <v>68.684733613118595</v>
      </c>
      <c r="AJ88" s="19">
        <f t="shared" si="32"/>
        <v>68.684733613118595</v>
      </c>
      <c r="AK88" s="19">
        <f t="shared" si="33"/>
        <v>68.684733613118595</v>
      </c>
      <c r="AL88" s="19">
        <f t="shared" si="34"/>
        <v>71.326454136700079</v>
      </c>
      <c r="AM88" s="19">
        <f t="shared" si="35"/>
        <v>66.043013089537112</v>
      </c>
      <c r="AN88" s="19">
        <f t="shared" si="36"/>
        <v>68.684733613118595</v>
      </c>
      <c r="AO88" s="19">
        <f t="shared" si="37"/>
        <v>68.684733613118595</v>
      </c>
      <c r="AP88" s="19">
        <f t="shared" si="38"/>
        <v>66.043013089537112</v>
      </c>
      <c r="AQ88" s="19">
        <f t="shared" si="39"/>
        <v>71.326454136700079</v>
      </c>
      <c r="AR88" s="19">
        <f t="shared" si="40"/>
        <v>68.684733613118595</v>
      </c>
      <c r="AS88" s="19">
        <f t="shared" si="41"/>
        <v>73.968174660281562</v>
      </c>
      <c r="AT88" s="19">
        <f t="shared" si="42"/>
        <v>87.176777278188979</v>
      </c>
      <c r="AU88" s="19">
        <f t="shared" si="43"/>
        <v>84.535056754607496</v>
      </c>
      <c r="AV88" s="19">
        <f t="shared" si="44"/>
        <v>84.535056754607496</v>
      </c>
      <c r="AW88" s="19">
        <f t="shared" si="45"/>
        <v>81.893336231026012</v>
      </c>
      <c r="AX88" s="18">
        <f>IFERROR(Z88/'Ar-Pa'!B88,0)</f>
        <v>8.9158067670875099</v>
      </c>
      <c r="AY88" s="18">
        <f>IFERROR(AA88/'Ar-Pa'!C88,0)</f>
        <v>8.255376636192139</v>
      </c>
      <c r="AZ88" s="18">
        <f>IFERROR(AB88/'Ar-Pa'!D88,0)</f>
        <v>8.5855917016398244</v>
      </c>
      <c r="BA88" s="18">
        <f>IFERROR(AC88/'Ar-Pa'!E88,0)</f>
        <v>8.5855917016398244</v>
      </c>
      <c r="BB88" s="18">
        <f>IFERROR(AD88/'Ar-Pa'!F88,0)</f>
        <v>8.5855917016398244</v>
      </c>
      <c r="BC88" s="18">
        <f>IFERROR(AE88/'Ar-Pa'!G88,0)</f>
        <v>8.5855917016398244</v>
      </c>
      <c r="BD88" s="18">
        <f>IFERROR(AF88/'Ar-Pa'!H88,0)</f>
        <v>10.189493448100011</v>
      </c>
      <c r="BE88" s="18">
        <f>IFERROR(AG88/'Ar-Pa'!I88,0)</f>
        <v>8.5855917016398244</v>
      </c>
      <c r="BF88" s="18">
        <f>IFERROR(AH88/'Ar-Pa'!J88,0)</f>
        <v>9.8121048018740851</v>
      </c>
      <c r="BG88" s="18">
        <f>IFERROR(AI88/'Ar-Pa'!K88,0)</f>
        <v>9.8121048018740851</v>
      </c>
      <c r="BH88" s="18">
        <f>IFERROR(AJ88/'Ar-Pa'!L88,0)</f>
        <v>9.8121048018740851</v>
      </c>
      <c r="BI88" s="18">
        <f>IFERROR(AK88/'Ar-Pa'!M88,0)</f>
        <v>8.5855917016398244</v>
      </c>
      <c r="BJ88" s="18">
        <f>IFERROR(AL88/'Ar-Pa'!N88,0)</f>
        <v>8.9158067670875099</v>
      </c>
      <c r="BK88" s="18">
        <f>IFERROR(AM88/'Ar-Pa'!O88,0)</f>
        <v>8.255376636192139</v>
      </c>
      <c r="BL88" s="18">
        <f>IFERROR(AN88/'Ar-Pa'!P88,0)</f>
        <v>8.5855917016398244</v>
      </c>
      <c r="BM88" s="18">
        <f>IFERROR(AO88/'Ar-Pa'!Q88,0)</f>
        <v>8.5855917016398244</v>
      </c>
      <c r="BN88" s="18">
        <f>IFERROR(AP88/'Ar-Pa'!R88,0)</f>
        <v>8.255376636192139</v>
      </c>
      <c r="BO88" s="18">
        <f>IFERROR(AQ88/'Ar-Pa'!S88,0)</f>
        <v>8.9158067670875099</v>
      </c>
      <c r="BP88" s="18">
        <f>IFERROR(AR88/'Ar-Pa'!T88,0)</f>
        <v>8.5855917016398244</v>
      </c>
      <c r="BQ88" s="18">
        <f>IFERROR(AS88/'Ar-Pa'!U88,0)</f>
        <v>9.2460218325351953</v>
      </c>
      <c r="BR88" s="18">
        <f>IFERROR(AT88/'Ar-Pa'!V88,0)</f>
        <v>10.897097159773622</v>
      </c>
      <c r="BS88" s="18">
        <f>IFERROR(AU88/'Ar-Pa'!W88,0)</f>
        <v>10.566882094325937</v>
      </c>
      <c r="BT88" s="18">
        <f>IFERROR(AV88/'Ar-Pa'!X88,0)</f>
        <v>10.566882094325937</v>
      </c>
      <c r="BU88" s="18">
        <f>IFERROR(AW88/'Ar-Pa'!Y88,0)</f>
        <v>10.236667028878252</v>
      </c>
    </row>
    <row r="89" spans="1:73" s="12" customFormat="1" ht="15">
      <c r="A89" s="15">
        <v>45014</v>
      </c>
      <c r="B89" s="441">
        <v>0.25</v>
      </c>
      <c r="C89" s="441">
        <v>0.26</v>
      </c>
      <c r="D89" s="441">
        <v>0.25</v>
      </c>
      <c r="E89" s="441">
        <v>0.25</v>
      </c>
      <c r="F89" s="441">
        <v>0.26</v>
      </c>
      <c r="G89" s="441">
        <v>0.25</v>
      </c>
      <c r="H89" s="441">
        <v>0.24</v>
      </c>
      <c r="I89" s="441">
        <v>0.25</v>
      </c>
      <c r="J89" s="441">
        <v>0.25</v>
      </c>
      <c r="K89" s="441">
        <v>0.25</v>
      </c>
      <c r="L89" s="441">
        <v>0.25</v>
      </c>
      <c r="M89" s="441">
        <v>0.25</v>
      </c>
      <c r="N89" s="441">
        <v>0.25</v>
      </c>
      <c r="O89" s="441">
        <v>0.24</v>
      </c>
      <c r="P89" s="441">
        <v>0.25</v>
      </c>
      <c r="Q89" s="441">
        <v>0.25</v>
      </c>
      <c r="R89" s="441">
        <v>0.25</v>
      </c>
      <c r="S89" s="441">
        <v>0.24</v>
      </c>
      <c r="T89" s="441">
        <v>0.25</v>
      </c>
      <c r="U89" s="441">
        <v>0.24</v>
      </c>
      <c r="V89" s="441">
        <v>0.26</v>
      </c>
      <c r="W89" s="441">
        <v>0.32</v>
      </c>
      <c r="X89" s="441">
        <v>0.31</v>
      </c>
      <c r="Y89" s="441">
        <v>0.32</v>
      </c>
      <c r="Z89" s="19">
        <f t="shared" si="46"/>
        <v>66.043013089537112</v>
      </c>
      <c r="AA89" s="19">
        <f t="shared" si="47"/>
        <v>68.684733613118595</v>
      </c>
      <c r="AB89" s="19">
        <f t="shared" si="24"/>
        <v>66.043013089537112</v>
      </c>
      <c r="AC89" s="19">
        <f t="shared" si="25"/>
        <v>66.043013089537112</v>
      </c>
      <c r="AD89" s="19">
        <f t="shared" si="26"/>
        <v>68.684733613118595</v>
      </c>
      <c r="AE89" s="19">
        <f t="shared" si="27"/>
        <v>66.043013089537112</v>
      </c>
      <c r="AF89" s="19">
        <f t="shared" si="28"/>
        <v>63.401292565955622</v>
      </c>
      <c r="AG89" s="19">
        <f t="shared" si="29"/>
        <v>66.043013089537112</v>
      </c>
      <c r="AH89" s="19">
        <f t="shared" si="30"/>
        <v>66.043013089537112</v>
      </c>
      <c r="AI89" s="19">
        <f t="shared" si="31"/>
        <v>66.043013089537112</v>
      </c>
      <c r="AJ89" s="19">
        <f t="shared" si="32"/>
        <v>66.043013089537112</v>
      </c>
      <c r="AK89" s="19">
        <f t="shared" si="33"/>
        <v>66.043013089537112</v>
      </c>
      <c r="AL89" s="19">
        <f t="shared" si="34"/>
        <v>66.043013089537112</v>
      </c>
      <c r="AM89" s="19">
        <f t="shared" si="35"/>
        <v>63.401292565955622</v>
      </c>
      <c r="AN89" s="19">
        <f t="shared" si="36"/>
        <v>66.043013089537112</v>
      </c>
      <c r="AO89" s="19">
        <f t="shared" si="37"/>
        <v>66.043013089537112</v>
      </c>
      <c r="AP89" s="19">
        <f t="shared" si="38"/>
        <v>66.043013089537112</v>
      </c>
      <c r="AQ89" s="19">
        <f t="shared" si="39"/>
        <v>63.401292565955622</v>
      </c>
      <c r="AR89" s="19">
        <f t="shared" si="40"/>
        <v>66.043013089537112</v>
      </c>
      <c r="AS89" s="19">
        <f t="shared" si="41"/>
        <v>63.401292565955622</v>
      </c>
      <c r="AT89" s="19">
        <f t="shared" si="42"/>
        <v>68.684733613118595</v>
      </c>
      <c r="AU89" s="19">
        <f t="shared" si="43"/>
        <v>84.535056754607496</v>
      </c>
      <c r="AV89" s="19">
        <f t="shared" si="44"/>
        <v>81.893336231026012</v>
      </c>
      <c r="AW89" s="19">
        <f t="shared" si="45"/>
        <v>84.535056754607496</v>
      </c>
      <c r="AX89" s="18">
        <f>IFERROR(Z89/'Ar-Pa'!B89,0)</f>
        <v>8.255376636192139</v>
      </c>
      <c r="AY89" s="18">
        <f>IFERROR(AA89/'Ar-Pa'!C89,0)</f>
        <v>8.5855917016398244</v>
      </c>
      <c r="AZ89" s="18">
        <f>IFERROR(AB89/'Ar-Pa'!D89,0)</f>
        <v>8.255376636192139</v>
      </c>
      <c r="BA89" s="18">
        <f>IFERROR(AC89/'Ar-Pa'!E89,0)</f>
        <v>8.255376636192139</v>
      </c>
      <c r="BB89" s="18">
        <f>IFERROR(AD89/'Ar-Pa'!F89,0)</f>
        <v>8.5855917016398244</v>
      </c>
      <c r="BC89" s="18">
        <f>IFERROR(AE89/'Ar-Pa'!G89,0)</f>
        <v>8.255376636192139</v>
      </c>
      <c r="BD89" s="18">
        <f>IFERROR(AF89/'Ar-Pa'!H89,0)</f>
        <v>9.0573275094222314</v>
      </c>
      <c r="BE89" s="18">
        <f>IFERROR(AG89/'Ar-Pa'!I89,0)</f>
        <v>9.4347161556481591</v>
      </c>
      <c r="BF89" s="18">
        <f>IFERROR(AH89/'Ar-Pa'!J89,0)</f>
        <v>9.4347161556481591</v>
      </c>
      <c r="BG89" s="18">
        <f>IFERROR(AI89/'Ar-Pa'!K89,0)</f>
        <v>8.255376636192139</v>
      </c>
      <c r="BH89" s="18">
        <f>IFERROR(AJ89/'Ar-Pa'!L89,0)</f>
        <v>8.255376636192139</v>
      </c>
      <c r="BI89" s="18">
        <f>IFERROR(AK89/'Ar-Pa'!M89,0)</f>
        <v>8.255376636192139</v>
      </c>
      <c r="BJ89" s="18">
        <f>IFERROR(AL89/'Ar-Pa'!N89,0)</f>
        <v>8.255376636192139</v>
      </c>
      <c r="BK89" s="18">
        <f>IFERROR(AM89/'Ar-Pa'!O89,0)</f>
        <v>7.9251615707444527</v>
      </c>
      <c r="BL89" s="18">
        <f>IFERROR(AN89/'Ar-Pa'!P89,0)</f>
        <v>8.255376636192139</v>
      </c>
      <c r="BM89" s="18">
        <f>IFERROR(AO89/'Ar-Pa'!Q89,0)</f>
        <v>8.255376636192139</v>
      </c>
      <c r="BN89" s="18">
        <f>IFERROR(AP89/'Ar-Pa'!R89,0)</f>
        <v>8.255376636192139</v>
      </c>
      <c r="BO89" s="18">
        <f>IFERROR(AQ89/'Ar-Pa'!S89,0)</f>
        <v>7.9251615707444527</v>
      </c>
      <c r="BP89" s="18">
        <f>IFERROR(AR89/'Ar-Pa'!T89,0)</f>
        <v>8.255376636192139</v>
      </c>
      <c r="BQ89" s="18">
        <f>IFERROR(AS89/'Ar-Pa'!U89,0)</f>
        <v>7.9251615707444527</v>
      </c>
      <c r="BR89" s="18">
        <f>IFERROR(AT89/'Ar-Pa'!V89,0)</f>
        <v>8.5855917016398244</v>
      </c>
      <c r="BS89" s="18">
        <f>IFERROR(AU89/'Ar-Pa'!W89,0)</f>
        <v>10.566882094325937</v>
      </c>
      <c r="BT89" s="18">
        <f>IFERROR(AV89/'Ar-Pa'!X89,0)</f>
        <v>10.236667028878252</v>
      </c>
      <c r="BU89" s="18">
        <f>IFERROR(AW89/'Ar-Pa'!Y89,0)</f>
        <v>10.566882094325937</v>
      </c>
    </row>
    <row r="90" spans="1:73" s="12" customFormat="1" ht="15">
      <c r="A90" s="15">
        <v>45015</v>
      </c>
      <c r="B90" s="441">
        <v>0.27</v>
      </c>
      <c r="C90" s="441">
        <v>0.25</v>
      </c>
      <c r="D90" s="441">
        <v>0.25</v>
      </c>
      <c r="E90" s="441">
        <v>0.26</v>
      </c>
      <c r="F90" s="441">
        <v>0.24</v>
      </c>
      <c r="G90" s="441">
        <v>0.25</v>
      </c>
      <c r="H90" s="441">
        <v>0.25</v>
      </c>
      <c r="I90" s="441">
        <v>0.24</v>
      </c>
      <c r="J90" s="441">
        <v>0.24</v>
      </c>
      <c r="K90" s="441">
        <v>0.24</v>
      </c>
      <c r="L90" s="441">
        <v>0.24</v>
      </c>
      <c r="M90" s="441">
        <v>0.25</v>
      </c>
      <c r="N90" s="441">
        <v>0.25</v>
      </c>
      <c r="O90" s="441">
        <v>0.25</v>
      </c>
      <c r="P90" s="441">
        <v>0.25</v>
      </c>
      <c r="Q90" s="441">
        <v>0.25</v>
      </c>
      <c r="R90" s="441">
        <v>0.24</v>
      </c>
      <c r="S90" s="441">
        <v>0.25</v>
      </c>
      <c r="T90" s="441">
        <v>0.25</v>
      </c>
      <c r="U90" s="441">
        <v>0.26</v>
      </c>
      <c r="V90" s="441">
        <v>0.26</v>
      </c>
      <c r="W90" s="441">
        <v>0.33</v>
      </c>
      <c r="X90" s="441">
        <v>0.31</v>
      </c>
      <c r="Y90" s="441">
        <v>0.32</v>
      </c>
      <c r="Z90" s="19">
        <f t="shared" si="46"/>
        <v>71.326454136700079</v>
      </c>
      <c r="AA90" s="19">
        <f t="shared" si="47"/>
        <v>66.043013089537112</v>
      </c>
      <c r="AB90" s="19">
        <f t="shared" si="24"/>
        <v>66.043013089537112</v>
      </c>
      <c r="AC90" s="19">
        <f t="shared" si="25"/>
        <v>68.684733613118595</v>
      </c>
      <c r="AD90" s="19">
        <f t="shared" si="26"/>
        <v>63.401292565955622</v>
      </c>
      <c r="AE90" s="19">
        <f t="shared" si="27"/>
        <v>66.043013089537112</v>
      </c>
      <c r="AF90" s="19">
        <f t="shared" si="28"/>
        <v>66.043013089537112</v>
      </c>
      <c r="AG90" s="19">
        <f t="shared" si="29"/>
        <v>63.401292565955622</v>
      </c>
      <c r="AH90" s="19">
        <f t="shared" si="30"/>
        <v>63.401292565955622</v>
      </c>
      <c r="AI90" s="19">
        <f t="shared" si="31"/>
        <v>63.401292565955622</v>
      </c>
      <c r="AJ90" s="19">
        <f t="shared" si="32"/>
        <v>63.401292565955622</v>
      </c>
      <c r="AK90" s="19">
        <f t="shared" si="33"/>
        <v>66.043013089537112</v>
      </c>
      <c r="AL90" s="19">
        <f t="shared" si="34"/>
        <v>66.043013089537112</v>
      </c>
      <c r="AM90" s="19">
        <f t="shared" si="35"/>
        <v>66.043013089537112</v>
      </c>
      <c r="AN90" s="19">
        <f t="shared" si="36"/>
        <v>66.043013089537112</v>
      </c>
      <c r="AO90" s="19">
        <f t="shared" si="37"/>
        <v>66.043013089537112</v>
      </c>
      <c r="AP90" s="19">
        <f t="shared" si="38"/>
        <v>63.401292565955622</v>
      </c>
      <c r="AQ90" s="19">
        <f t="shared" si="39"/>
        <v>66.043013089537112</v>
      </c>
      <c r="AR90" s="19">
        <f t="shared" si="40"/>
        <v>66.043013089537112</v>
      </c>
      <c r="AS90" s="19">
        <f t="shared" si="41"/>
        <v>68.684733613118595</v>
      </c>
      <c r="AT90" s="19">
        <f t="shared" si="42"/>
        <v>68.684733613118595</v>
      </c>
      <c r="AU90" s="19">
        <f t="shared" si="43"/>
        <v>87.176777278188979</v>
      </c>
      <c r="AV90" s="19">
        <f t="shared" si="44"/>
        <v>81.893336231026012</v>
      </c>
      <c r="AW90" s="19">
        <f t="shared" si="45"/>
        <v>84.535056754607496</v>
      </c>
      <c r="AX90" s="18">
        <f>IFERROR(Z90/'Ar-Pa'!B90,0)</f>
        <v>8.9158067670875099</v>
      </c>
      <c r="AY90" s="18">
        <f>IFERROR(AA90/'Ar-Pa'!C90,0)</f>
        <v>8.255376636192139</v>
      </c>
      <c r="AZ90" s="18">
        <f>IFERROR(AB90/'Ar-Pa'!D90,0)</f>
        <v>8.255376636192139</v>
      </c>
      <c r="BA90" s="18">
        <f>IFERROR(AC90/'Ar-Pa'!E90,0)</f>
        <v>8.5855917016398244</v>
      </c>
      <c r="BB90" s="18">
        <f>IFERROR(AD90/'Ar-Pa'!F90,0)</f>
        <v>7.9251615707444527</v>
      </c>
      <c r="BC90" s="18">
        <f>IFERROR(AE90/'Ar-Pa'!G90,0)</f>
        <v>8.255376636192139</v>
      </c>
      <c r="BD90" s="18">
        <f>IFERROR(AF90/'Ar-Pa'!H90,0)</f>
        <v>9.4347161556481591</v>
      </c>
      <c r="BE90" s="18">
        <f>IFERROR(AG90/'Ar-Pa'!I90,0)</f>
        <v>9.0573275094222314</v>
      </c>
      <c r="BF90" s="18">
        <f>IFERROR(AH90/'Ar-Pa'!J90,0)</f>
        <v>9.0573275094222314</v>
      </c>
      <c r="BG90" s="18">
        <f>IFERROR(AI90/'Ar-Pa'!K90,0)</f>
        <v>7.9251615707444527</v>
      </c>
      <c r="BH90" s="18">
        <f>IFERROR(AJ90/'Ar-Pa'!L90,0)</f>
        <v>7.9251615707444527</v>
      </c>
      <c r="BI90" s="18">
        <f>IFERROR(AK90/'Ar-Pa'!M90,0)</f>
        <v>8.255376636192139</v>
      </c>
      <c r="BJ90" s="18">
        <f>IFERROR(AL90/'Ar-Pa'!N90,0)</f>
        <v>8.255376636192139</v>
      </c>
      <c r="BK90" s="18">
        <f>IFERROR(AM90/'Ar-Pa'!O90,0)</f>
        <v>8.255376636192139</v>
      </c>
      <c r="BL90" s="18">
        <f>IFERROR(AN90/'Ar-Pa'!P90,0)</f>
        <v>8.255376636192139</v>
      </c>
      <c r="BM90" s="18">
        <f>IFERROR(AO90/'Ar-Pa'!Q90,0)</f>
        <v>8.255376636192139</v>
      </c>
      <c r="BN90" s="18">
        <f>IFERROR(AP90/'Ar-Pa'!R90,0)</f>
        <v>7.9251615707444527</v>
      </c>
      <c r="BO90" s="18">
        <f>IFERROR(AQ90/'Ar-Pa'!S90,0)</f>
        <v>8.255376636192139</v>
      </c>
      <c r="BP90" s="18">
        <f>IFERROR(AR90/'Ar-Pa'!T90,0)</f>
        <v>8.255376636192139</v>
      </c>
      <c r="BQ90" s="18">
        <f>IFERROR(AS90/'Ar-Pa'!U90,0)</f>
        <v>8.5855917016398244</v>
      </c>
      <c r="BR90" s="18">
        <f>IFERROR(AT90/'Ar-Pa'!V90,0)</f>
        <v>8.5855917016398244</v>
      </c>
      <c r="BS90" s="18">
        <f>IFERROR(AU90/'Ar-Pa'!W90,0)</f>
        <v>10.897097159773622</v>
      </c>
      <c r="BT90" s="18">
        <f>IFERROR(AV90/'Ar-Pa'!X90,0)</f>
        <v>10.236667028878252</v>
      </c>
      <c r="BU90" s="18">
        <f>IFERROR(AW90/'Ar-Pa'!Y90,0)</f>
        <v>10.566882094325937</v>
      </c>
    </row>
    <row r="91" spans="1:73" s="12" customFormat="1" ht="15">
      <c r="A91" s="15">
        <v>45016</v>
      </c>
      <c r="B91" s="441">
        <v>0.3</v>
      </c>
      <c r="C91" s="441">
        <v>0.26</v>
      </c>
      <c r="D91" s="441">
        <v>0.27</v>
      </c>
      <c r="E91" s="441">
        <v>0.26</v>
      </c>
      <c r="F91" s="441">
        <v>0.27</v>
      </c>
      <c r="G91" s="441">
        <v>0.26</v>
      </c>
      <c r="H91" s="441">
        <v>0.26</v>
      </c>
      <c r="I91" s="441">
        <v>0.26</v>
      </c>
      <c r="J91" s="441">
        <v>0.26</v>
      </c>
      <c r="K91" s="441">
        <v>0.27</v>
      </c>
      <c r="L91" s="441">
        <v>0.26</v>
      </c>
      <c r="M91" s="441">
        <v>0.27</v>
      </c>
      <c r="N91" s="441">
        <v>0.27</v>
      </c>
      <c r="O91" s="441">
        <v>0.27</v>
      </c>
      <c r="P91" s="441">
        <v>0.26</v>
      </c>
      <c r="Q91" s="441">
        <v>0.27</v>
      </c>
      <c r="R91" s="441">
        <v>0.27</v>
      </c>
      <c r="S91" s="441">
        <v>0.26</v>
      </c>
      <c r="T91" s="441">
        <v>0.27</v>
      </c>
      <c r="U91" s="441">
        <v>0.27</v>
      </c>
      <c r="V91" s="441">
        <v>0.26</v>
      </c>
      <c r="W91" s="441">
        <v>0.27</v>
      </c>
      <c r="X91" s="441">
        <v>0.26</v>
      </c>
      <c r="Y91" s="441">
        <v>0.27</v>
      </c>
      <c r="Z91" s="19">
        <f t="shared" si="46"/>
        <v>79.251615707444529</v>
      </c>
      <c r="AA91" s="19">
        <f t="shared" si="47"/>
        <v>68.684733613118595</v>
      </c>
      <c r="AB91" s="19">
        <f t="shared" si="24"/>
        <v>71.326454136700079</v>
      </c>
      <c r="AC91" s="19">
        <f t="shared" si="25"/>
        <v>68.684733613118595</v>
      </c>
      <c r="AD91" s="19">
        <f t="shared" si="26"/>
        <v>71.326454136700079</v>
      </c>
      <c r="AE91" s="19">
        <f t="shared" si="27"/>
        <v>68.684733613118595</v>
      </c>
      <c r="AF91" s="19">
        <f t="shared" si="28"/>
        <v>68.684733613118595</v>
      </c>
      <c r="AG91" s="19">
        <f t="shared" si="29"/>
        <v>68.684733613118595</v>
      </c>
      <c r="AH91" s="19">
        <f t="shared" si="30"/>
        <v>68.684733613118595</v>
      </c>
      <c r="AI91" s="19">
        <f t="shared" si="31"/>
        <v>71.326454136700079</v>
      </c>
      <c r="AJ91" s="19">
        <f t="shared" si="32"/>
        <v>68.684733613118595</v>
      </c>
      <c r="AK91" s="19">
        <f t="shared" si="33"/>
        <v>71.326454136700079</v>
      </c>
      <c r="AL91" s="19">
        <f t="shared" si="34"/>
        <v>71.326454136700079</v>
      </c>
      <c r="AM91" s="19">
        <f t="shared" si="35"/>
        <v>71.326454136700079</v>
      </c>
      <c r="AN91" s="19">
        <f t="shared" si="36"/>
        <v>68.684733613118595</v>
      </c>
      <c r="AO91" s="19">
        <f t="shared" si="37"/>
        <v>71.326454136700079</v>
      </c>
      <c r="AP91" s="19">
        <f t="shared" si="38"/>
        <v>71.326454136700079</v>
      </c>
      <c r="AQ91" s="19">
        <f t="shared" si="39"/>
        <v>68.684733613118595</v>
      </c>
      <c r="AR91" s="19">
        <f t="shared" si="40"/>
        <v>71.326454136700079</v>
      </c>
      <c r="AS91" s="19">
        <f t="shared" si="41"/>
        <v>71.326454136700079</v>
      </c>
      <c r="AT91" s="19">
        <f t="shared" si="42"/>
        <v>68.684733613118595</v>
      </c>
      <c r="AU91" s="19">
        <f t="shared" si="43"/>
        <v>71.326454136700079</v>
      </c>
      <c r="AV91" s="19">
        <f t="shared" si="44"/>
        <v>68.684733613118595</v>
      </c>
      <c r="AW91" s="19">
        <f t="shared" si="45"/>
        <v>71.326454136700079</v>
      </c>
      <c r="AX91" s="18">
        <f>IFERROR(Z91/'Ar-Pa'!B91,0)</f>
        <v>9.9064519634305661</v>
      </c>
      <c r="AY91" s="18">
        <f>IFERROR(AA91/'Ar-Pa'!C91,0)</f>
        <v>8.5855917016398244</v>
      </c>
      <c r="AZ91" s="18">
        <f>IFERROR(AB91/'Ar-Pa'!D91,0)</f>
        <v>8.9158067670875099</v>
      </c>
      <c r="BA91" s="18">
        <f>IFERROR(AC91/'Ar-Pa'!E91,0)</f>
        <v>8.5855917016398244</v>
      </c>
      <c r="BB91" s="18">
        <f>IFERROR(AD91/'Ar-Pa'!F91,0)</f>
        <v>8.9158067670875099</v>
      </c>
      <c r="BC91" s="18">
        <f>IFERROR(AE91/'Ar-Pa'!G91,0)</f>
        <v>9.8121048018740851</v>
      </c>
      <c r="BD91" s="18">
        <f>IFERROR(AF91/'Ar-Pa'!H91,0)</f>
        <v>9.8121048018740851</v>
      </c>
      <c r="BE91" s="18">
        <f>IFERROR(AG91/'Ar-Pa'!I91,0)</f>
        <v>9.8121048018740851</v>
      </c>
      <c r="BF91" s="18">
        <f>IFERROR(AH91/'Ar-Pa'!J91,0)</f>
        <v>9.8121048018740851</v>
      </c>
      <c r="BG91" s="18">
        <f>IFERROR(AI91/'Ar-Pa'!K91,0)</f>
        <v>8.9158067670875099</v>
      </c>
      <c r="BH91" s="18">
        <f>IFERROR(AJ91/'Ar-Pa'!L91,0)</f>
        <v>8.5855917016398244</v>
      </c>
      <c r="BI91" s="18">
        <f>IFERROR(AK91/'Ar-Pa'!M91,0)</f>
        <v>8.9158067670875099</v>
      </c>
      <c r="BJ91" s="18">
        <f>IFERROR(AL91/'Ar-Pa'!N91,0)</f>
        <v>8.9158067670875099</v>
      </c>
      <c r="BK91" s="18">
        <f>IFERROR(AM91/'Ar-Pa'!O91,0)</f>
        <v>8.9158067670875099</v>
      </c>
      <c r="BL91" s="18">
        <f>IFERROR(AN91/'Ar-Pa'!P91,0)</f>
        <v>8.5855917016398244</v>
      </c>
      <c r="BM91" s="18">
        <f>IFERROR(AO91/'Ar-Pa'!Q91,0)</f>
        <v>8.9158067670875099</v>
      </c>
      <c r="BN91" s="18">
        <f>IFERROR(AP91/'Ar-Pa'!R91,0)</f>
        <v>8.9158067670875099</v>
      </c>
      <c r="BO91" s="18">
        <f>IFERROR(AQ91/'Ar-Pa'!S91,0)</f>
        <v>8.5855917016398244</v>
      </c>
      <c r="BP91" s="18">
        <f>IFERROR(AR91/'Ar-Pa'!T91,0)</f>
        <v>8.9158067670875099</v>
      </c>
      <c r="BQ91" s="18">
        <f>IFERROR(AS91/'Ar-Pa'!U91,0)</f>
        <v>8.9158067670875099</v>
      </c>
      <c r="BR91" s="18">
        <f>IFERROR(AT91/'Ar-Pa'!V91,0)</f>
        <v>8.5855917016398244</v>
      </c>
      <c r="BS91" s="18">
        <f>IFERROR(AU91/'Ar-Pa'!W91,0)</f>
        <v>8.9158067670875099</v>
      </c>
      <c r="BT91" s="18">
        <f>IFERROR(AV91/'Ar-Pa'!X91,0)</f>
        <v>8.5855917016398244</v>
      </c>
      <c r="BU91" s="18">
        <f>IFERROR(AW91/'Ar-Pa'!Y91,0)</f>
        <v>8.9158067670875099</v>
      </c>
    </row>
    <row r="92" spans="1:73" s="12" customFormat="1" ht="15">
      <c r="A92" s="15">
        <v>45017</v>
      </c>
      <c r="B92" s="441">
        <v>0.23</v>
      </c>
      <c r="C92" s="441">
        <v>0.25</v>
      </c>
      <c r="D92" s="441">
        <v>0.23</v>
      </c>
      <c r="E92" s="441">
        <v>0.24</v>
      </c>
      <c r="F92" s="441">
        <v>0.24</v>
      </c>
      <c r="G92" s="441">
        <v>0.23</v>
      </c>
      <c r="H92" s="441">
        <v>0.23</v>
      </c>
      <c r="I92" s="441">
        <v>0.23</v>
      </c>
      <c r="J92" s="441">
        <v>0.24</v>
      </c>
      <c r="K92" s="441">
        <v>0.23</v>
      </c>
      <c r="L92" s="441">
        <v>0.24</v>
      </c>
      <c r="M92" s="441">
        <v>0.23</v>
      </c>
      <c r="N92" s="441">
        <v>0.23</v>
      </c>
      <c r="O92" s="441">
        <v>0.23</v>
      </c>
      <c r="P92" s="441">
        <v>0.23</v>
      </c>
      <c r="Q92" s="441">
        <v>0.24</v>
      </c>
      <c r="R92" s="441">
        <v>0.23</v>
      </c>
      <c r="S92" s="441">
        <v>0.23</v>
      </c>
      <c r="T92" s="441">
        <v>0.24</v>
      </c>
      <c r="U92" s="441">
        <v>0.23</v>
      </c>
      <c r="V92" s="441">
        <v>0.23</v>
      </c>
      <c r="W92" s="441">
        <v>0.23</v>
      </c>
      <c r="X92" s="441">
        <v>0.23</v>
      </c>
      <c r="Y92" s="441">
        <v>0.23</v>
      </c>
      <c r="Z92" s="19">
        <f t="shared" si="46"/>
        <v>60.759572042374138</v>
      </c>
      <c r="AA92" s="19">
        <f t="shared" si="47"/>
        <v>66.043013089537112</v>
      </c>
      <c r="AB92" s="19">
        <f t="shared" si="24"/>
        <v>60.759572042374138</v>
      </c>
      <c r="AC92" s="19">
        <f t="shared" si="25"/>
        <v>63.401292565955622</v>
      </c>
      <c r="AD92" s="19">
        <f t="shared" si="26"/>
        <v>63.401292565955622</v>
      </c>
      <c r="AE92" s="19">
        <f t="shared" si="27"/>
        <v>60.759572042374138</v>
      </c>
      <c r="AF92" s="19">
        <f t="shared" si="28"/>
        <v>60.759572042374138</v>
      </c>
      <c r="AG92" s="19">
        <f t="shared" si="29"/>
        <v>60.759572042374138</v>
      </c>
      <c r="AH92" s="19">
        <f t="shared" si="30"/>
        <v>63.401292565955622</v>
      </c>
      <c r="AI92" s="19">
        <f t="shared" si="31"/>
        <v>60.759572042374138</v>
      </c>
      <c r="AJ92" s="19">
        <f t="shared" si="32"/>
        <v>63.401292565955622</v>
      </c>
      <c r="AK92" s="19">
        <f t="shared" si="33"/>
        <v>60.759572042374138</v>
      </c>
      <c r="AL92" s="19">
        <f t="shared" si="34"/>
        <v>60.759572042374138</v>
      </c>
      <c r="AM92" s="19">
        <f t="shared" si="35"/>
        <v>60.759572042374138</v>
      </c>
      <c r="AN92" s="19">
        <f t="shared" si="36"/>
        <v>60.759572042374138</v>
      </c>
      <c r="AO92" s="19">
        <f t="shared" si="37"/>
        <v>63.401292565955622</v>
      </c>
      <c r="AP92" s="19">
        <f t="shared" si="38"/>
        <v>60.759572042374138</v>
      </c>
      <c r="AQ92" s="19">
        <f t="shared" si="39"/>
        <v>60.759572042374138</v>
      </c>
      <c r="AR92" s="19">
        <f t="shared" si="40"/>
        <v>63.401292565955622</v>
      </c>
      <c r="AS92" s="19">
        <f t="shared" si="41"/>
        <v>60.759572042374138</v>
      </c>
      <c r="AT92" s="19">
        <f t="shared" si="42"/>
        <v>60.759572042374138</v>
      </c>
      <c r="AU92" s="19">
        <f t="shared" si="43"/>
        <v>60.759572042374138</v>
      </c>
      <c r="AV92" s="19">
        <f t="shared" si="44"/>
        <v>60.759572042374138</v>
      </c>
      <c r="AW92" s="19">
        <f t="shared" si="45"/>
        <v>60.759572042374138</v>
      </c>
      <c r="AX92" s="18">
        <f>IFERROR(Z92/'Ar-Pa'!B92,0)</f>
        <v>8.6799388631963055</v>
      </c>
      <c r="AY92" s="18">
        <f>IFERROR(AA92/'Ar-Pa'!C92,0)</f>
        <v>9.4347161556481591</v>
      </c>
      <c r="AZ92" s="18">
        <f>IFERROR(AB92/'Ar-Pa'!D92,0)</f>
        <v>8.6799388631963055</v>
      </c>
      <c r="BA92" s="18">
        <f>IFERROR(AC92/'Ar-Pa'!E92,0)</f>
        <v>9.0573275094222314</v>
      </c>
      <c r="BB92" s="18">
        <f>IFERROR(AD92/'Ar-Pa'!F92,0)</f>
        <v>9.0573275094222314</v>
      </c>
      <c r="BC92" s="18">
        <f>IFERROR(AE92/'Ar-Pa'!G92,0)</f>
        <v>8.6799388631963055</v>
      </c>
      <c r="BD92" s="18">
        <f>IFERROR(AF92/'Ar-Pa'!H92,0)</f>
        <v>8.6799388631963055</v>
      </c>
      <c r="BE92" s="18">
        <f>IFERROR(AG92/'Ar-Pa'!I92,0)</f>
        <v>8.6799388631963055</v>
      </c>
      <c r="BF92" s="18">
        <f>IFERROR(AH92/'Ar-Pa'!J92,0)</f>
        <v>9.0573275094222314</v>
      </c>
      <c r="BG92" s="18">
        <f>IFERROR(AI92/'Ar-Pa'!K92,0)</f>
        <v>8.6799388631963055</v>
      </c>
      <c r="BH92" s="18">
        <f>IFERROR(AJ92/'Ar-Pa'!L92,0)</f>
        <v>9.0573275094222314</v>
      </c>
      <c r="BI92" s="18">
        <f>IFERROR(AK92/'Ar-Pa'!M92,0)</f>
        <v>8.6799388631963055</v>
      </c>
      <c r="BJ92" s="18">
        <f>IFERROR(AL92/'Ar-Pa'!N92,0)</f>
        <v>8.6799388631963055</v>
      </c>
      <c r="BK92" s="18">
        <f>IFERROR(AM92/'Ar-Pa'!O92,0)</f>
        <v>8.6799388631963055</v>
      </c>
      <c r="BL92" s="18">
        <f>IFERROR(AN92/'Ar-Pa'!P92,0)</f>
        <v>8.6799388631963055</v>
      </c>
      <c r="BM92" s="18">
        <f>IFERROR(AO92/'Ar-Pa'!Q92,0)</f>
        <v>9.0573275094222314</v>
      </c>
      <c r="BN92" s="18">
        <f>IFERROR(AP92/'Ar-Pa'!R92,0)</f>
        <v>8.6799388631963055</v>
      </c>
      <c r="BO92" s="18">
        <f>IFERROR(AQ92/'Ar-Pa'!S92,0)</f>
        <v>8.6799388631963055</v>
      </c>
      <c r="BP92" s="18">
        <f>IFERROR(AR92/'Ar-Pa'!T92,0)</f>
        <v>9.0573275094222314</v>
      </c>
      <c r="BQ92" s="18">
        <f>IFERROR(AS92/'Ar-Pa'!U92,0)</f>
        <v>8.6799388631963055</v>
      </c>
      <c r="BR92" s="18">
        <f>IFERROR(AT92/'Ar-Pa'!V92,0)</f>
        <v>7.5949465052967673</v>
      </c>
      <c r="BS92" s="18">
        <f>IFERROR(AU92/'Ar-Pa'!W92,0)</f>
        <v>7.5949465052967673</v>
      </c>
      <c r="BT92" s="18">
        <f>IFERROR(AV92/'Ar-Pa'!X92,0)</f>
        <v>7.5949465052967673</v>
      </c>
      <c r="BU92" s="18">
        <f>IFERROR(AW92/'Ar-Pa'!Y92,0)</f>
        <v>7.5949465052967673</v>
      </c>
    </row>
    <row r="93" spans="1:73" s="12" customFormat="1" ht="15">
      <c r="A93" s="15">
        <v>45018</v>
      </c>
      <c r="B93" s="441">
        <v>0.24</v>
      </c>
      <c r="C93" s="441">
        <v>0.23</v>
      </c>
      <c r="D93" s="441">
        <v>0.23</v>
      </c>
      <c r="E93" s="441">
        <v>0.23</v>
      </c>
      <c r="F93" s="441">
        <v>0.23</v>
      </c>
      <c r="G93" s="441">
        <v>0.22</v>
      </c>
      <c r="H93" s="441">
        <v>0.22</v>
      </c>
      <c r="I93" s="441">
        <v>0.22</v>
      </c>
      <c r="J93" s="441">
        <v>0.22</v>
      </c>
      <c r="K93" s="441">
        <v>0.21</v>
      </c>
      <c r="L93" s="441">
        <v>0.24</v>
      </c>
      <c r="M93" s="441">
        <v>0.23</v>
      </c>
      <c r="N93" s="441">
        <v>0.24</v>
      </c>
      <c r="O93" s="441">
        <v>0.23</v>
      </c>
      <c r="P93" s="441">
        <v>0.23</v>
      </c>
      <c r="Q93" s="441">
        <v>0.24</v>
      </c>
      <c r="R93" s="441">
        <v>0.23</v>
      </c>
      <c r="S93" s="441">
        <v>0.23</v>
      </c>
      <c r="T93" s="441">
        <v>0.24</v>
      </c>
      <c r="U93" s="441">
        <v>0.23</v>
      </c>
      <c r="V93" s="441">
        <v>0.23</v>
      </c>
      <c r="W93" s="441">
        <v>0.23</v>
      </c>
      <c r="X93" s="441">
        <v>0.23</v>
      </c>
      <c r="Y93" s="441">
        <v>0.23</v>
      </c>
      <c r="Z93" s="19">
        <f t="shared" si="46"/>
        <v>63.401292565955622</v>
      </c>
      <c r="AA93" s="19">
        <f t="shared" si="47"/>
        <v>60.759572042374138</v>
      </c>
      <c r="AB93" s="19">
        <f t="shared" si="24"/>
        <v>60.759572042374138</v>
      </c>
      <c r="AC93" s="19">
        <f t="shared" si="25"/>
        <v>60.759572042374138</v>
      </c>
      <c r="AD93" s="19">
        <f t="shared" si="26"/>
        <v>60.759572042374138</v>
      </c>
      <c r="AE93" s="19">
        <f t="shared" si="27"/>
        <v>58.117851518792655</v>
      </c>
      <c r="AF93" s="19">
        <f t="shared" si="28"/>
        <v>58.117851518792655</v>
      </c>
      <c r="AG93" s="19">
        <f t="shared" si="29"/>
        <v>58.117851518792655</v>
      </c>
      <c r="AH93" s="19">
        <f t="shared" si="30"/>
        <v>58.117851518792655</v>
      </c>
      <c r="AI93" s="19">
        <f t="shared" si="31"/>
        <v>55.476130995211172</v>
      </c>
      <c r="AJ93" s="19">
        <f t="shared" si="32"/>
        <v>63.401292565955622</v>
      </c>
      <c r="AK93" s="19">
        <f t="shared" si="33"/>
        <v>60.759572042374138</v>
      </c>
      <c r="AL93" s="19">
        <f t="shared" si="34"/>
        <v>63.401292565955622</v>
      </c>
      <c r="AM93" s="19">
        <f t="shared" si="35"/>
        <v>60.759572042374138</v>
      </c>
      <c r="AN93" s="19">
        <f t="shared" si="36"/>
        <v>60.759572042374138</v>
      </c>
      <c r="AO93" s="19">
        <f t="shared" si="37"/>
        <v>63.401292565955622</v>
      </c>
      <c r="AP93" s="19">
        <f t="shared" si="38"/>
        <v>60.759572042374138</v>
      </c>
      <c r="AQ93" s="19">
        <f t="shared" si="39"/>
        <v>60.759572042374138</v>
      </c>
      <c r="AR93" s="19">
        <f t="shared" si="40"/>
        <v>63.401292565955622</v>
      </c>
      <c r="AS93" s="19">
        <f t="shared" si="41"/>
        <v>60.759572042374138</v>
      </c>
      <c r="AT93" s="19">
        <f t="shared" si="42"/>
        <v>60.759572042374138</v>
      </c>
      <c r="AU93" s="19">
        <f t="shared" si="43"/>
        <v>60.759572042374138</v>
      </c>
      <c r="AV93" s="19">
        <f t="shared" si="44"/>
        <v>60.759572042374138</v>
      </c>
      <c r="AW93" s="19">
        <f t="shared" si="45"/>
        <v>60.759572042374138</v>
      </c>
      <c r="AX93" s="18">
        <f>IFERROR(Z93/'Ar-Pa'!B93,0)</f>
        <v>9.0573275094222314</v>
      </c>
      <c r="AY93" s="18">
        <f>IFERROR(AA93/'Ar-Pa'!C93,0)</f>
        <v>8.6799388631963055</v>
      </c>
      <c r="AZ93" s="18">
        <f>IFERROR(AB93/'Ar-Pa'!D93,0)</f>
        <v>8.6799388631963055</v>
      </c>
      <c r="BA93" s="18">
        <f>IFERROR(AC93/'Ar-Pa'!E93,0)</f>
        <v>7.5949465052967673</v>
      </c>
      <c r="BB93" s="18">
        <f>IFERROR(AD93/'Ar-Pa'!F93,0)</f>
        <v>7.5949465052967673</v>
      </c>
      <c r="BC93" s="18">
        <f>IFERROR(AE93/'Ar-Pa'!G93,0)</f>
        <v>7.2647314398490819</v>
      </c>
      <c r="BD93" s="18">
        <f>IFERROR(AF93/'Ar-Pa'!H93,0)</f>
        <v>9.6863085864654419</v>
      </c>
      <c r="BE93" s="18">
        <f>IFERROR(AG93/'Ar-Pa'!I93,0)</f>
        <v>9.6863085864654419</v>
      </c>
      <c r="BF93" s="18">
        <f>IFERROR(AH93/'Ar-Pa'!J93,0)</f>
        <v>9.6863085864654419</v>
      </c>
      <c r="BG93" s="18">
        <f>IFERROR(AI93/'Ar-Pa'!K93,0)</f>
        <v>9.2460218325351953</v>
      </c>
      <c r="BH93" s="18">
        <f>IFERROR(AJ93/'Ar-Pa'!L93,0)</f>
        <v>7.9251615707444527</v>
      </c>
      <c r="BI93" s="18">
        <f>IFERROR(AK93/'Ar-Pa'!M93,0)</f>
        <v>7.5949465052967673</v>
      </c>
      <c r="BJ93" s="18">
        <f>IFERROR(AL93/'Ar-Pa'!N93,0)</f>
        <v>7.9251615707444527</v>
      </c>
      <c r="BK93" s="18">
        <f>IFERROR(AM93/'Ar-Pa'!O93,0)</f>
        <v>7.5949465052967673</v>
      </c>
      <c r="BL93" s="18">
        <f>IFERROR(AN93/'Ar-Pa'!P93,0)</f>
        <v>7.5949465052967673</v>
      </c>
      <c r="BM93" s="18">
        <f>IFERROR(AO93/'Ar-Pa'!Q93,0)</f>
        <v>7.9251615707444527</v>
      </c>
      <c r="BN93" s="18">
        <f>IFERROR(AP93/'Ar-Pa'!R93,0)</f>
        <v>7.5949465052967673</v>
      </c>
      <c r="BO93" s="18">
        <f>IFERROR(AQ93/'Ar-Pa'!S93,0)</f>
        <v>7.5949465052967673</v>
      </c>
      <c r="BP93" s="18">
        <f>IFERROR(AR93/'Ar-Pa'!T93,0)</f>
        <v>7.9251615707444527</v>
      </c>
      <c r="BQ93" s="18">
        <f>IFERROR(AS93/'Ar-Pa'!U93,0)</f>
        <v>7.5949465052967673</v>
      </c>
      <c r="BR93" s="18">
        <f>IFERROR(AT93/'Ar-Pa'!V93,0)</f>
        <v>7.5949465052967673</v>
      </c>
      <c r="BS93" s="18">
        <f>IFERROR(AU93/'Ar-Pa'!W93,0)</f>
        <v>7.5949465052967673</v>
      </c>
      <c r="BT93" s="18">
        <f>IFERROR(AV93/'Ar-Pa'!X93,0)</f>
        <v>7.5949465052967673</v>
      </c>
      <c r="BU93" s="18">
        <f>IFERROR(AW93/'Ar-Pa'!Y93,0)</f>
        <v>7.5949465052967673</v>
      </c>
    </row>
    <row r="94" spans="1:73" s="12" customFormat="1" ht="15">
      <c r="A94" s="15">
        <v>45019</v>
      </c>
      <c r="B94" s="441">
        <v>0.25</v>
      </c>
      <c r="C94" s="441">
        <v>0.25</v>
      </c>
      <c r="D94" s="441">
        <v>0.25</v>
      </c>
      <c r="E94" s="441">
        <v>0.24</v>
      </c>
      <c r="F94" s="441">
        <v>0.24</v>
      </c>
      <c r="G94" s="441">
        <v>0.25</v>
      </c>
      <c r="H94" s="441">
        <v>0.25</v>
      </c>
      <c r="I94" s="441">
        <v>0.25</v>
      </c>
      <c r="J94" s="441">
        <v>0.24</v>
      </c>
      <c r="K94" s="441">
        <v>0.24</v>
      </c>
      <c r="L94" s="441">
        <v>0.25</v>
      </c>
      <c r="M94" s="441">
        <v>0.25</v>
      </c>
      <c r="N94" s="441">
        <v>0.24</v>
      </c>
      <c r="O94" s="441">
        <v>0.24</v>
      </c>
      <c r="P94" s="441">
        <v>0.24</v>
      </c>
      <c r="Q94" s="441">
        <v>0.25</v>
      </c>
      <c r="R94" s="441">
        <v>0.25</v>
      </c>
      <c r="S94" s="441">
        <v>0.24</v>
      </c>
      <c r="T94" s="441">
        <v>0.24</v>
      </c>
      <c r="U94" s="441">
        <v>0.25</v>
      </c>
      <c r="V94" s="441">
        <v>0.28000000000000003</v>
      </c>
      <c r="W94" s="441">
        <v>0.24</v>
      </c>
      <c r="X94" s="441">
        <v>0.27</v>
      </c>
      <c r="Y94" s="441">
        <v>0.3</v>
      </c>
      <c r="Z94" s="19">
        <f t="shared" si="46"/>
        <v>66.043013089537112</v>
      </c>
      <c r="AA94" s="19">
        <f t="shared" si="47"/>
        <v>66.043013089537112</v>
      </c>
      <c r="AB94" s="19">
        <f t="shared" si="24"/>
        <v>66.043013089537112</v>
      </c>
      <c r="AC94" s="19">
        <f t="shared" si="25"/>
        <v>63.401292565955622</v>
      </c>
      <c r="AD94" s="19">
        <f t="shared" si="26"/>
        <v>63.401292565955622</v>
      </c>
      <c r="AE94" s="19">
        <f t="shared" si="27"/>
        <v>66.043013089537112</v>
      </c>
      <c r="AF94" s="19">
        <f t="shared" si="28"/>
        <v>66.043013089537112</v>
      </c>
      <c r="AG94" s="19">
        <f t="shared" si="29"/>
        <v>66.043013089537112</v>
      </c>
      <c r="AH94" s="19">
        <f t="shared" si="30"/>
        <v>63.401292565955622</v>
      </c>
      <c r="AI94" s="19">
        <f t="shared" si="31"/>
        <v>63.401292565955622</v>
      </c>
      <c r="AJ94" s="19">
        <f t="shared" si="32"/>
        <v>66.043013089537112</v>
      </c>
      <c r="AK94" s="19">
        <f t="shared" si="33"/>
        <v>66.043013089537112</v>
      </c>
      <c r="AL94" s="19">
        <f t="shared" si="34"/>
        <v>63.401292565955622</v>
      </c>
      <c r="AM94" s="19">
        <f t="shared" si="35"/>
        <v>63.401292565955622</v>
      </c>
      <c r="AN94" s="19">
        <f t="shared" si="36"/>
        <v>63.401292565955622</v>
      </c>
      <c r="AO94" s="19">
        <f t="shared" si="37"/>
        <v>66.043013089537112</v>
      </c>
      <c r="AP94" s="19">
        <f t="shared" si="38"/>
        <v>66.043013089537112</v>
      </c>
      <c r="AQ94" s="19">
        <f t="shared" si="39"/>
        <v>63.401292565955622</v>
      </c>
      <c r="AR94" s="19">
        <f t="shared" si="40"/>
        <v>63.401292565955622</v>
      </c>
      <c r="AS94" s="19">
        <f t="shared" si="41"/>
        <v>66.043013089537112</v>
      </c>
      <c r="AT94" s="19">
        <f t="shared" si="42"/>
        <v>73.968174660281562</v>
      </c>
      <c r="AU94" s="19">
        <f t="shared" si="43"/>
        <v>63.401292565955622</v>
      </c>
      <c r="AV94" s="19">
        <f t="shared" si="44"/>
        <v>71.326454136700079</v>
      </c>
      <c r="AW94" s="19">
        <f t="shared" si="45"/>
        <v>79.251615707444529</v>
      </c>
      <c r="AX94" s="18">
        <f>IFERROR(Z94/'Ar-Pa'!B94,0)</f>
        <v>9.4347161556481591</v>
      </c>
      <c r="AY94" s="18">
        <f>IFERROR(AA94/'Ar-Pa'!C94,0)</f>
        <v>9.4347161556481591</v>
      </c>
      <c r="AZ94" s="18">
        <f>IFERROR(AB94/'Ar-Pa'!D94,0)</f>
        <v>9.4347161556481591</v>
      </c>
      <c r="BA94" s="18">
        <f>IFERROR(AC94/'Ar-Pa'!E94,0)</f>
        <v>7.9251615707444527</v>
      </c>
      <c r="BB94" s="18">
        <f>IFERROR(AD94/'Ar-Pa'!F94,0)</f>
        <v>7.9251615707444527</v>
      </c>
      <c r="BC94" s="18">
        <f>IFERROR(AE94/'Ar-Pa'!G94,0)</f>
        <v>9.4347161556481591</v>
      </c>
      <c r="BD94" s="18">
        <f>IFERROR(AF94/'Ar-Pa'!H94,0)</f>
        <v>9.4347161556481591</v>
      </c>
      <c r="BE94" s="18">
        <f>IFERROR(AG94/'Ar-Pa'!I94,0)</f>
        <v>9.4347161556481591</v>
      </c>
      <c r="BF94" s="18">
        <f>IFERROR(AH94/'Ar-Pa'!J94,0)</f>
        <v>9.0573275094222314</v>
      </c>
      <c r="BG94" s="18">
        <f>IFERROR(AI94/'Ar-Pa'!K94,0)</f>
        <v>7.9251615707444527</v>
      </c>
      <c r="BH94" s="18">
        <f>IFERROR(AJ94/'Ar-Pa'!L94,0)</f>
        <v>8.255376636192139</v>
      </c>
      <c r="BI94" s="18">
        <f>IFERROR(AK94/'Ar-Pa'!M94,0)</f>
        <v>8.255376636192139</v>
      </c>
      <c r="BJ94" s="18">
        <f>IFERROR(AL94/'Ar-Pa'!N94,0)</f>
        <v>7.9251615707444527</v>
      </c>
      <c r="BK94" s="18">
        <f>IFERROR(AM94/'Ar-Pa'!O94,0)</f>
        <v>7.9251615707444527</v>
      </c>
      <c r="BL94" s="18">
        <f>IFERROR(AN94/'Ar-Pa'!P94,0)</f>
        <v>7.9251615707444527</v>
      </c>
      <c r="BM94" s="18">
        <f>IFERROR(AO94/'Ar-Pa'!Q94,0)</f>
        <v>8.255376636192139</v>
      </c>
      <c r="BN94" s="18">
        <f>IFERROR(AP94/'Ar-Pa'!R94,0)</f>
        <v>8.255376636192139</v>
      </c>
      <c r="BO94" s="18">
        <f>IFERROR(AQ94/'Ar-Pa'!S94,0)</f>
        <v>7.9251615707444527</v>
      </c>
      <c r="BP94" s="18">
        <f>IFERROR(AR94/'Ar-Pa'!T94,0)</f>
        <v>7.9251615707444527</v>
      </c>
      <c r="BQ94" s="18">
        <f>IFERROR(AS94/'Ar-Pa'!U94,0)</f>
        <v>8.255376636192139</v>
      </c>
      <c r="BR94" s="18">
        <f>IFERROR(AT94/'Ar-Pa'!V94,0)</f>
        <v>9.2460218325351953</v>
      </c>
      <c r="BS94" s="18">
        <f>IFERROR(AU94/'Ar-Pa'!W94,0)</f>
        <v>7.9251615707444527</v>
      </c>
      <c r="BT94" s="18">
        <f>IFERROR(AV94/'Ar-Pa'!X94,0)</f>
        <v>8.9158067670875099</v>
      </c>
      <c r="BU94" s="18">
        <f>IFERROR(AW94/'Ar-Pa'!Y94,0)</f>
        <v>9.9064519634305661</v>
      </c>
    </row>
    <row r="95" spans="1:73" s="12" customFormat="1" ht="15">
      <c r="A95" s="15">
        <v>45020</v>
      </c>
      <c r="B95" s="441">
        <v>0.21</v>
      </c>
      <c r="C95" s="441">
        <v>0.2</v>
      </c>
      <c r="D95" s="441">
        <v>0.2</v>
      </c>
      <c r="E95" s="441">
        <v>0.21</v>
      </c>
      <c r="F95" s="441">
        <v>0.21</v>
      </c>
      <c r="G95" s="441">
        <v>0.2</v>
      </c>
      <c r="H95" s="441">
        <v>0.2</v>
      </c>
      <c r="I95" s="441">
        <v>0.21</v>
      </c>
      <c r="J95" s="441">
        <v>0.2</v>
      </c>
      <c r="K95" s="441">
        <v>0.21</v>
      </c>
      <c r="L95" s="441">
        <v>0.2</v>
      </c>
      <c r="M95" s="441">
        <v>0.21</v>
      </c>
      <c r="N95" s="441">
        <v>0.21</v>
      </c>
      <c r="O95" s="441">
        <v>0.21</v>
      </c>
      <c r="P95" s="441">
        <v>0.2</v>
      </c>
      <c r="Q95" s="441">
        <v>0.21</v>
      </c>
      <c r="R95" s="441">
        <v>0.2</v>
      </c>
      <c r="S95" s="441">
        <v>0.21</v>
      </c>
      <c r="T95" s="441">
        <v>0.21</v>
      </c>
      <c r="U95" s="441">
        <v>0.24</v>
      </c>
      <c r="V95" s="441">
        <v>0.26</v>
      </c>
      <c r="W95" s="441">
        <v>0.26</v>
      </c>
      <c r="X95" s="441">
        <v>0.26</v>
      </c>
      <c r="Y95" s="441">
        <v>0.26</v>
      </c>
      <c r="Z95" s="19">
        <f t="shared" si="46"/>
        <v>55.476130995211172</v>
      </c>
      <c r="AA95" s="19">
        <f t="shared" si="47"/>
        <v>52.834410471629681</v>
      </c>
      <c r="AB95" s="19">
        <f t="shared" si="24"/>
        <v>52.834410471629681</v>
      </c>
      <c r="AC95" s="19">
        <f t="shared" si="25"/>
        <v>55.476130995211172</v>
      </c>
      <c r="AD95" s="19">
        <f t="shared" si="26"/>
        <v>55.476130995211172</v>
      </c>
      <c r="AE95" s="19">
        <f t="shared" si="27"/>
        <v>52.834410471629681</v>
      </c>
      <c r="AF95" s="19">
        <f t="shared" si="28"/>
        <v>52.834410471629681</v>
      </c>
      <c r="AG95" s="19">
        <f t="shared" si="29"/>
        <v>55.476130995211172</v>
      </c>
      <c r="AH95" s="19">
        <f t="shared" si="30"/>
        <v>52.834410471629681</v>
      </c>
      <c r="AI95" s="19">
        <f t="shared" si="31"/>
        <v>55.476130995211172</v>
      </c>
      <c r="AJ95" s="19">
        <f t="shared" si="32"/>
        <v>52.834410471629681</v>
      </c>
      <c r="AK95" s="19">
        <f t="shared" si="33"/>
        <v>55.476130995211172</v>
      </c>
      <c r="AL95" s="19">
        <f t="shared" si="34"/>
        <v>55.476130995211172</v>
      </c>
      <c r="AM95" s="19">
        <f t="shared" si="35"/>
        <v>55.476130995211172</v>
      </c>
      <c r="AN95" s="19">
        <f t="shared" si="36"/>
        <v>52.834410471629681</v>
      </c>
      <c r="AO95" s="19">
        <f t="shared" si="37"/>
        <v>55.476130995211172</v>
      </c>
      <c r="AP95" s="19">
        <f t="shared" si="38"/>
        <v>52.834410471629681</v>
      </c>
      <c r="AQ95" s="19">
        <f t="shared" si="39"/>
        <v>55.476130995211172</v>
      </c>
      <c r="AR95" s="19">
        <f t="shared" si="40"/>
        <v>55.476130995211172</v>
      </c>
      <c r="AS95" s="19">
        <f t="shared" si="41"/>
        <v>63.401292565955622</v>
      </c>
      <c r="AT95" s="19">
        <f t="shared" si="42"/>
        <v>68.684733613118595</v>
      </c>
      <c r="AU95" s="19">
        <f t="shared" si="43"/>
        <v>68.684733613118595</v>
      </c>
      <c r="AV95" s="19">
        <f t="shared" si="44"/>
        <v>68.684733613118595</v>
      </c>
      <c r="AW95" s="19">
        <f t="shared" si="45"/>
        <v>68.684733613118595</v>
      </c>
      <c r="AX95" s="18">
        <f>IFERROR(Z95/'Ar-Pa'!B95,0)</f>
        <v>7.9251615707444527</v>
      </c>
      <c r="AY95" s="18">
        <f>IFERROR(AA95/'Ar-Pa'!C95,0)</f>
        <v>7.5477729245185259</v>
      </c>
      <c r="AZ95" s="18">
        <f>IFERROR(AB95/'Ar-Pa'!D95,0)</f>
        <v>7.5477729245185259</v>
      </c>
      <c r="BA95" s="18">
        <f>IFERROR(AC95/'Ar-Pa'!E95,0)</f>
        <v>6.9345163744013965</v>
      </c>
      <c r="BB95" s="18">
        <f>IFERROR(AD95/'Ar-Pa'!F95,0)</f>
        <v>6.9345163744013965</v>
      </c>
      <c r="BC95" s="18">
        <f>IFERROR(AE95/'Ar-Pa'!G95,0)</f>
        <v>7.5477729245185259</v>
      </c>
      <c r="BD95" s="18">
        <f>IFERROR(AF95/'Ar-Pa'!H95,0)</f>
        <v>7.5477729245185259</v>
      </c>
      <c r="BE95" s="18">
        <f>IFERROR(AG95/'Ar-Pa'!I95,0)</f>
        <v>7.9251615707444527</v>
      </c>
      <c r="BF95" s="18">
        <f>IFERROR(AH95/'Ar-Pa'!J95,0)</f>
        <v>7.5477729245185259</v>
      </c>
      <c r="BG95" s="18">
        <f>IFERROR(AI95/'Ar-Pa'!K95,0)</f>
        <v>6.9345163744013965</v>
      </c>
      <c r="BH95" s="18">
        <f>IFERROR(AJ95/'Ar-Pa'!L95,0)</f>
        <v>6.6043013089537101</v>
      </c>
      <c r="BI95" s="18">
        <f>IFERROR(AK95/'Ar-Pa'!M95,0)</f>
        <v>6.9345163744013965</v>
      </c>
      <c r="BJ95" s="18">
        <f>IFERROR(AL95/'Ar-Pa'!N95,0)</f>
        <v>6.9345163744013965</v>
      </c>
      <c r="BK95" s="18">
        <f>IFERROR(AM95/'Ar-Pa'!O95,0)</f>
        <v>6.9345163744013965</v>
      </c>
      <c r="BL95" s="18">
        <f>IFERROR(AN95/'Ar-Pa'!P95,0)</f>
        <v>6.6043013089537101</v>
      </c>
      <c r="BM95" s="18">
        <f>IFERROR(AO95/'Ar-Pa'!Q95,0)</f>
        <v>6.9345163744013965</v>
      </c>
      <c r="BN95" s="18">
        <f>IFERROR(AP95/'Ar-Pa'!R95,0)</f>
        <v>6.6043013089537101</v>
      </c>
      <c r="BO95" s="18">
        <f>IFERROR(AQ95/'Ar-Pa'!S95,0)</f>
        <v>6.9345163744013965</v>
      </c>
      <c r="BP95" s="18">
        <f>IFERROR(AR95/'Ar-Pa'!T95,0)</f>
        <v>7.9251615707444527</v>
      </c>
      <c r="BQ95" s="18">
        <f>IFERROR(AS95/'Ar-Pa'!U95,0)</f>
        <v>9.0573275094222314</v>
      </c>
      <c r="BR95" s="18">
        <f>IFERROR(AT95/'Ar-Pa'!V95,0)</f>
        <v>9.8121048018740851</v>
      </c>
      <c r="BS95" s="18">
        <f>IFERROR(AU95/'Ar-Pa'!W95,0)</f>
        <v>9.8121048018740851</v>
      </c>
      <c r="BT95" s="18">
        <f>IFERROR(AV95/'Ar-Pa'!X95,0)</f>
        <v>9.8121048018740851</v>
      </c>
      <c r="BU95" s="18">
        <f>IFERROR(AW95/'Ar-Pa'!Y95,0)</f>
        <v>9.8121048018740851</v>
      </c>
    </row>
    <row r="96" spans="1:73" s="12" customFormat="1" ht="15">
      <c r="A96" s="15">
        <v>45021</v>
      </c>
      <c r="B96" s="441">
        <v>0.27</v>
      </c>
      <c r="C96" s="441">
        <v>0.21</v>
      </c>
      <c r="D96" s="441">
        <v>0.22</v>
      </c>
      <c r="E96" s="441">
        <v>0.21</v>
      </c>
      <c r="F96" s="441">
        <v>0.22</v>
      </c>
      <c r="G96" s="441">
        <v>0.21</v>
      </c>
      <c r="H96" s="441">
        <v>0.22</v>
      </c>
      <c r="I96" s="441">
        <v>0.21</v>
      </c>
      <c r="J96" s="441">
        <v>0.22</v>
      </c>
      <c r="K96" s="441">
        <v>0.21</v>
      </c>
      <c r="L96" s="441">
        <v>0.22</v>
      </c>
      <c r="M96" s="441">
        <v>0.22</v>
      </c>
      <c r="N96" s="441">
        <v>0.22</v>
      </c>
      <c r="O96" s="441">
        <v>0.27</v>
      </c>
      <c r="P96" s="441">
        <v>0.28000000000000003</v>
      </c>
      <c r="Q96" s="441">
        <v>0.27</v>
      </c>
      <c r="R96" s="441">
        <v>0.27</v>
      </c>
      <c r="S96" s="441">
        <v>0.21</v>
      </c>
      <c r="T96" s="441">
        <v>0.27</v>
      </c>
      <c r="U96" s="441">
        <v>0.27</v>
      </c>
      <c r="V96" s="441">
        <v>0.26</v>
      </c>
      <c r="W96" s="441">
        <v>0.24</v>
      </c>
      <c r="X96" s="441">
        <v>0.27</v>
      </c>
      <c r="Y96" s="441">
        <v>0.26</v>
      </c>
      <c r="Z96" s="19">
        <f t="shared" si="46"/>
        <v>71.326454136700079</v>
      </c>
      <c r="AA96" s="19">
        <f t="shared" si="47"/>
        <v>55.476130995211172</v>
      </c>
      <c r="AB96" s="19">
        <f t="shared" si="24"/>
        <v>58.117851518792655</v>
      </c>
      <c r="AC96" s="19">
        <f t="shared" si="25"/>
        <v>55.476130995211172</v>
      </c>
      <c r="AD96" s="19">
        <f t="shared" si="26"/>
        <v>58.117851518792655</v>
      </c>
      <c r="AE96" s="19">
        <f t="shared" si="27"/>
        <v>55.476130995211172</v>
      </c>
      <c r="AF96" s="19">
        <f t="shared" si="28"/>
        <v>58.117851518792655</v>
      </c>
      <c r="AG96" s="19">
        <f t="shared" si="29"/>
        <v>55.476130995211172</v>
      </c>
      <c r="AH96" s="19">
        <f t="shared" si="30"/>
        <v>58.117851518792655</v>
      </c>
      <c r="AI96" s="19">
        <f t="shared" si="31"/>
        <v>55.476130995211172</v>
      </c>
      <c r="AJ96" s="19">
        <f t="shared" si="32"/>
        <v>58.117851518792655</v>
      </c>
      <c r="AK96" s="19">
        <f t="shared" si="33"/>
        <v>58.117851518792655</v>
      </c>
      <c r="AL96" s="19">
        <f t="shared" si="34"/>
        <v>58.117851518792655</v>
      </c>
      <c r="AM96" s="19">
        <f t="shared" si="35"/>
        <v>71.326454136700079</v>
      </c>
      <c r="AN96" s="19">
        <f t="shared" si="36"/>
        <v>73.968174660281562</v>
      </c>
      <c r="AO96" s="19">
        <f t="shared" si="37"/>
        <v>71.326454136700079</v>
      </c>
      <c r="AP96" s="19">
        <f t="shared" si="38"/>
        <v>71.326454136700079</v>
      </c>
      <c r="AQ96" s="19">
        <f t="shared" si="39"/>
        <v>55.476130995211172</v>
      </c>
      <c r="AR96" s="19">
        <f t="shared" si="40"/>
        <v>71.326454136700079</v>
      </c>
      <c r="AS96" s="19">
        <f t="shared" si="41"/>
        <v>71.326454136700079</v>
      </c>
      <c r="AT96" s="19">
        <f t="shared" si="42"/>
        <v>68.684733613118595</v>
      </c>
      <c r="AU96" s="19">
        <f t="shared" si="43"/>
        <v>63.401292565955622</v>
      </c>
      <c r="AV96" s="19">
        <f t="shared" si="44"/>
        <v>71.326454136700079</v>
      </c>
      <c r="AW96" s="19">
        <f t="shared" si="45"/>
        <v>68.684733613118595</v>
      </c>
      <c r="AX96" s="18">
        <f>IFERROR(Z96/'Ar-Pa'!B96,0)</f>
        <v>10.189493448100011</v>
      </c>
      <c r="AY96" s="18">
        <f>IFERROR(AA96/'Ar-Pa'!C96,0)</f>
        <v>7.9251615707444527</v>
      </c>
      <c r="AZ96" s="18">
        <f>IFERROR(AB96/'Ar-Pa'!D96,0)</f>
        <v>8.3025502169703795</v>
      </c>
      <c r="BA96" s="18">
        <f>IFERROR(AC96/'Ar-Pa'!E96,0)</f>
        <v>7.9251615707444527</v>
      </c>
      <c r="BB96" s="18">
        <f>IFERROR(AD96/'Ar-Pa'!F96,0)</f>
        <v>8.3025502169703795</v>
      </c>
      <c r="BC96" s="18">
        <f>IFERROR(AE96/'Ar-Pa'!G96,0)</f>
        <v>7.9251615707444527</v>
      </c>
      <c r="BD96" s="18">
        <f>IFERROR(AF96/'Ar-Pa'!H96,0)</f>
        <v>9.6863085864654419</v>
      </c>
      <c r="BE96" s="18">
        <f>IFERROR(AG96/'Ar-Pa'!I96,0)</f>
        <v>9.2460218325351953</v>
      </c>
      <c r="BF96" s="18">
        <f>IFERROR(AH96/'Ar-Pa'!J96,0)</f>
        <v>7.2647314398490819</v>
      </c>
      <c r="BG96" s="18">
        <f>IFERROR(AI96/'Ar-Pa'!K96,0)</f>
        <v>6.9345163744013965</v>
      </c>
      <c r="BH96" s="18">
        <f>IFERROR(AJ96/'Ar-Pa'!L96,0)</f>
        <v>7.2647314398490819</v>
      </c>
      <c r="BI96" s="18">
        <f>IFERROR(AK96/'Ar-Pa'!M96,0)</f>
        <v>7.2647314398490819</v>
      </c>
      <c r="BJ96" s="18">
        <f>IFERROR(AL96/'Ar-Pa'!N96,0)</f>
        <v>7.2647314398490819</v>
      </c>
      <c r="BK96" s="18">
        <f>IFERROR(AM96/'Ar-Pa'!O96,0)</f>
        <v>8.9158067670875099</v>
      </c>
      <c r="BL96" s="18">
        <f>IFERROR(AN96/'Ar-Pa'!P96,0)</f>
        <v>9.2460218325351953</v>
      </c>
      <c r="BM96" s="18">
        <f>IFERROR(AO96/'Ar-Pa'!Q96,0)</f>
        <v>8.9158067670875099</v>
      </c>
      <c r="BN96" s="18">
        <f>IFERROR(AP96/'Ar-Pa'!R96,0)</f>
        <v>8.9158067670875099</v>
      </c>
      <c r="BO96" s="18">
        <f>IFERROR(AQ96/'Ar-Pa'!S96,0)</f>
        <v>6.9345163744013965</v>
      </c>
      <c r="BP96" s="18">
        <f>IFERROR(AR96/'Ar-Pa'!T96,0)</f>
        <v>8.9158067670875099</v>
      </c>
      <c r="BQ96" s="18">
        <f>IFERROR(AS96/'Ar-Pa'!U96,0)</f>
        <v>8.9158067670875099</v>
      </c>
      <c r="BR96" s="18">
        <f>IFERROR(AT96/'Ar-Pa'!V96,0)</f>
        <v>8.5855917016398244</v>
      </c>
      <c r="BS96" s="18">
        <f>IFERROR(AU96/'Ar-Pa'!W96,0)</f>
        <v>7.9251615707444527</v>
      </c>
      <c r="BT96" s="18">
        <f>IFERROR(AV96/'Ar-Pa'!X96,0)</f>
        <v>8.9158067670875099</v>
      </c>
      <c r="BU96" s="18">
        <f>IFERROR(AW96/'Ar-Pa'!Y96,0)</f>
        <v>8.5855917016398244</v>
      </c>
    </row>
    <row r="97" spans="1:73" s="12" customFormat="1" ht="15">
      <c r="A97" s="15">
        <v>45022</v>
      </c>
      <c r="B97" s="441">
        <v>0.23</v>
      </c>
      <c r="C97" s="441">
        <v>0.23</v>
      </c>
      <c r="D97" s="441">
        <v>0.22</v>
      </c>
      <c r="E97" s="441">
        <v>0.23</v>
      </c>
      <c r="F97" s="441">
        <v>0.23</v>
      </c>
      <c r="G97" s="441">
        <v>0.22</v>
      </c>
      <c r="H97" s="441">
        <v>0.23</v>
      </c>
      <c r="I97" s="441">
        <v>0.23</v>
      </c>
      <c r="J97" s="441">
        <v>0.23</v>
      </c>
      <c r="K97" s="441">
        <v>0.22</v>
      </c>
      <c r="L97" s="441">
        <v>0.23</v>
      </c>
      <c r="M97" s="441">
        <v>0.23</v>
      </c>
      <c r="N97" s="441">
        <v>0.24</v>
      </c>
      <c r="O97" s="441">
        <v>0.22</v>
      </c>
      <c r="P97" s="441">
        <v>0.23</v>
      </c>
      <c r="Q97" s="441">
        <v>0.23</v>
      </c>
      <c r="R97" s="441">
        <v>0.22</v>
      </c>
      <c r="S97" s="441">
        <v>0.23</v>
      </c>
      <c r="T97" s="441">
        <v>0.23</v>
      </c>
      <c r="U97" s="441">
        <v>0.23</v>
      </c>
      <c r="V97" s="441">
        <v>0.28000000000000003</v>
      </c>
      <c r="W97" s="441">
        <v>0.22</v>
      </c>
      <c r="X97" s="441">
        <v>0.23</v>
      </c>
      <c r="Y97" s="441">
        <v>0.23</v>
      </c>
      <c r="Z97" s="19">
        <f t="shared" si="46"/>
        <v>60.759572042374138</v>
      </c>
      <c r="AA97" s="19">
        <f t="shared" si="47"/>
        <v>60.759572042374138</v>
      </c>
      <c r="AB97" s="19">
        <f t="shared" si="24"/>
        <v>58.117851518792655</v>
      </c>
      <c r="AC97" s="19">
        <f t="shared" si="25"/>
        <v>60.759572042374138</v>
      </c>
      <c r="AD97" s="19">
        <f t="shared" si="26"/>
        <v>60.759572042374138</v>
      </c>
      <c r="AE97" s="19">
        <f t="shared" si="27"/>
        <v>58.117851518792655</v>
      </c>
      <c r="AF97" s="19">
        <f t="shared" si="28"/>
        <v>60.759572042374138</v>
      </c>
      <c r="AG97" s="19">
        <f t="shared" si="29"/>
        <v>60.759572042374138</v>
      </c>
      <c r="AH97" s="19">
        <f t="shared" si="30"/>
        <v>60.759572042374138</v>
      </c>
      <c r="AI97" s="19">
        <f t="shared" si="31"/>
        <v>58.117851518792655</v>
      </c>
      <c r="AJ97" s="19">
        <f t="shared" si="32"/>
        <v>60.759572042374138</v>
      </c>
      <c r="AK97" s="19">
        <f t="shared" si="33"/>
        <v>60.759572042374138</v>
      </c>
      <c r="AL97" s="19">
        <f t="shared" si="34"/>
        <v>63.401292565955622</v>
      </c>
      <c r="AM97" s="19">
        <f t="shared" si="35"/>
        <v>58.117851518792655</v>
      </c>
      <c r="AN97" s="19">
        <f t="shared" si="36"/>
        <v>60.759572042374138</v>
      </c>
      <c r="AO97" s="19">
        <f t="shared" si="37"/>
        <v>60.759572042374138</v>
      </c>
      <c r="AP97" s="19">
        <f t="shared" si="38"/>
        <v>58.117851518792655</v>
      </c>
      <c r="AQ97" s="19">
        <f t="shared" si="39"/>
        <v>60.759572042374138</v>
      </c>
      <c r="AR97" s="19">
        <f t="shared" si="40"/>
        <v>60.759572042374138</v>
      </c>
      <c r="AS97" s="19">
        <f t="shared" si="41"/>
        <v>60.759572042374138</v>
      </c>
      <c r="AT97" s="19">
        <f t="shared" si="42"/>
        <v>73.968174660281562</v>
      </c>
      <c r="AU97" s="19">
        <f t="shared" si="43"/>
        <v>58.117851518792655</v>
      </c>
      <c r="AV97" s="19">
        <f t="shared" si="44"/>
        <v>60.759572042374138</v>
      </c>
      <c r="AW97" s="19">
        <f t="shared" si="45"/>
        <v>60.759572042374138</v>
      </c>
      <c r="AX97" s="18">
        <f>IFERROR(Z97/'Ar-Pa'!B97,0)</f>
        <v>8.6799388631963055</v>
      </c>
      <c r="AY97" s="18">
        <f>IFERROR(AA97/'Ar-Pa'!C97,0)</f>
        <v>8.6799388631963055</v>
      </c>
      <c r="AZ97" s="18">
        <f>IFERROR(AB97/'Ar-Pa'!D97,0)</f>
        <v>8.3025502169703795</v>
      </c>
      <c r="BA97" s="18">
        <f>IFERROR(AC97/'Ar-Pa'!E97,0)</f>
        <v>7.5949465052967673</v>
      </c>
      <c r="BB97" s="18">
        <f>IFERROR(AD97/'Ar-Pa'!F97,0)</f>
        <v>7.5949465052967673</v>
      </c>
      <c r="BC97" s="18">
        <f>IFERROR(AE97/'Ar-Pa'!G97,0)</f>
        <v>7.2647314398490819</v>
      </c>
      <c r="BD97" s="18">
        <f>IFERROR(AF97/'Ar-Pa'!H97,0)</f>
        <v>7.5949465052967673</v>
      </c>
      <c r="BE97" s="18">
        <f>IFERROR(AG97/'Ar-Pa'!I97,0)</f>
        <v>7.5949465052967673</v>
      </c>
      <c r="BF97" s="18">
        <f>IFERROR(AH97/'Ar-Pa'!J97,0)</f>
        <v>7.5949465052967673</v>
      </c>
      <c r="BG97" s="18">
        <f>IFERROR(AI97/'Ar-Pa'!K97,0)</f>
        <v>7.2647314398490819</v>
      </c>
      <c r="BH97" s="18">
        <f>IFERROR(AJ97/'Ar-Pa'!L97,0)</f>
        <v>7.5949465052967673</v>
      </c>
      <c r="BI97" s="18">
        <f>IFERROR(AK97/'Ar-Pa'!M97,0)</f>
        <v>7.5949465052967673</v>
      </c>
      <c r="BJ97" s="18">
        <f>IFERROR(AL97/'Ar-Pa'!N97,0)</f>
        <v>7.9251615707444527</v>
      </c>
      <c r="BK97" s="18">
        <f>IFERROR(AM97/'Ar-Pa'!O97,0)</f>
        <v>7.2647314398490819</v>
      </c>
      <c r="BL97" s="18">
        <f>IFERROR(AN97/'Ar-Pa'!P97,0)</f>
        <v>7.5949465052967673</v>
      </c>
      <c r="BM97" s="18">
        <f>IFERROR(AO97/'Ar-Pa'!Q97,0)</f>
        <v>7.5949465052967673</v>
      </c>
      <c r="BN97" s="18">
        <f>IFERROR(AP97/'Ar-Pa'!R97,0)</f>
        <v>7.2647314398490819</v>
      </c>
      <c r="BO97" s="18">
        <f>IFERROR(AQ97/'Ar-Pa'!S97,0)</f>
        <v>7.5949465052967673</v>
      </c>
      <c r="BP97" s="18">
        <f>IFERROR(AR97/'Ar-Pa'!T97,0)</f>
        <v>7.5949465052967673</v>
      </c>
      <c r="BQ97" s="18">
        <f>IFERROR(AS97/'Ar-Pa'!U97,0)</f>
        <v>7.5949465052967673</v>
      </c>
      <c r="BR97" s="18">
        <f>IFERROR(AT97/'Ar-Pa'!V97,0)</f>
        <v>9.2460218325351953</v>
      </c>
      <c r="BS97" s="18">
        <f>IFERROR(AU97/'Ar-Pa'!W97,0)</f>
        <v>7.2647314398490819</v>
      </c>
      <c r="BT97" s="18">
        <f>IFERROR(AV97/'Ar-Pa'!X97,0)</f>
        <v>7.5949465052967673</v>
      </c>
      <c r="BU97" s="18">
        <f>IFERROR(AW97/'Ar-Pa'!Y97,0)</f>
        <v>7.5949465052967673</v>
      </c>
    </row>
    <row r="98" spans="1:73" s="12" customFormat="1" ht="15">
      <c r="A98" s="15">
        <v>45023</v>
      </c>
      <c r="B98" s="441">
        <v>0.23</v>
      </c>
      <c r="C98" s="441">
        <v>0.24</v>
      </c>
      <c r="D98" s="441">
        <v>0.23</v>
      </c>
      <c r="E98" s="441">
        <v>0.23</v>
      </c>
      <c r="F98" s="441">
        <v>0.24</v>
      </c>
      <c r="G98" s="441">
        <v>0.23</v>
      </c>
      <c r="H98" s="441">
        <v>0.23</v>
      </c>
      <c r="I98" s="441">
        <v>0.23</v>
      </c>
      <c r="J98" s="441">
        <v>0.24</v>
      </c>
      <c r="K98" s="441">
        <v>0.23</v>
      </c>
      <c r="L98" s="441">
        <v>0.23</v>
      </c>
      <c r="M98" s="441">
        <v>0.23</v>
      </c>
      <c r="N98" s="441">
        <v>0.23</v>
      </c>
      <c r="O98" s="441">
        <v>0.23</v>
      </c>
      <c r="P98" s="441">
        <v>0.22</v>
      </c>
      <c r="Q98" s="441">
        <v>0.24</v>
      </c>
      <c r="R98" s="441">
        <v>0.24</v>
      </c>
      <c r="S98" s="441">
        <v>0.24</v>
      </c>
      <c r="T98" s="441">
        <v>0.23</v>
      </c>
      <c r="U98" s="441">
        <v>0.23</v>
      </c>
      <c r="V98" s="441">
        <v>0.28999999999999998</v>
      </c>
      <c r="W98" s="441">
        <v>0.24</v>
      </c>
      <c r="X98" s="441">
        <v>0.24</v>
      </c>
      <c r="Y98" s="441">
        <v>0.23</v>
      </c>
      <c r="Z98" s="19">
        <f t="shared" si="46"/>
        <v>60.759572042374138</v>
      </c>
      <c r="AA98" s="19">
        <f t="shared" si="47"/>
        <v>63.401292565955622</v>
      </c>
      <c r="AB98" s="19">
        <f t="shared" si="24"/>
        <v>60.759572042374138</v>
      </c>
      <c r="AC98" s="19">
        <f t="shared" si="25"/>
        <v>60.759572042374138</v>
      </c>
      <c r="AD98" s="19">
        <f t="shared" si="26"/>
        <v>63.401292565955622</v>
      </c>
      <c r="AE98" s="19">
        <f t="shared" si="27"/>
        <v>60.759572042374138</v>
      </c>
      <c r="AF98" s="19">
        <f t="shared" si="28"/>
        <v>60.759572042374138</v>
      </c>
      <c r="AG98" s="19">
        <f t="shared" si="29"/>
        <v>60.759572042374138</v>
      </c>
      <c r="AH98" s="19">
        <f t="shared" si="30"/>
        <v>63.401292565955622</v>
      </c>
      <c r="AI98" s="19">
        <f t="shared" si="31"/>
        <v>60.759572042374138</v>
      </c>
      <c r="AJ98" s="19">
        <f t="shared" si="32"/>
        <v>60.759572042374138</v>
      </c>
      <c r="AK98" s="19">
        <f t="shared" si="33"/>
        <v>60.759572042374138</v>
      </c>
      <c r="AL98" s="19">
        <f t="shared" si="34"/>
        <v>60.759572042374138</v>
      </c>
      <c r="AM98" s="19">
        <f t="shared" si="35"/>
        <v>60.759572042374138</v>
      </c>
      <c r="AN98" s="19">
        <f t="shared" si="36"/>
        <v>58.117851518792655</v>
      </c>
      <c r="AO98" s="19">
        <f t="shared" si="37"/>
        <v>63.401292565955622</v>
      </c>
      <c r="AP98" s="19">
        <f t="shared" si="38"/>
        <v>63.401292565955622</v>
      </c>
      <c r="AQ98" s="19">
        <f t="shared" si="39"/>
        <v>63.401292565955622</v>
      </c>
      <c r="AR98" s="19">
        <f t="shared" si="40"/>
        <v>60.759572042374138</v>
      </c>
      <c r="AS98" s="19">
        <f t="shared" si="41"/>
        <v>60.759572042374138</v>
      </c>
      <c r="AT98" s="19">
        <f t="shared" si="42"/>
        <v>76.609895183863046</v>
      </c>
      <c r="AU98" s="19">
        <f t="shared" si="43"/>
        <v>63.401292565955622</v>
      </c>
      <c r="AV98" s="19">
        <f t="shared" si="44"/>
        <v>63.401292565955622</v>
      </c>
      <c r="AW98" s="19">
        <f t="shared" si="45"/>
        <v>60.759572042374138</v>
      </c>
      <c r="AX98" s="18">
        <f>IFERROR(Z98/'Ar-Pa'!B98,0)</f>
        <v>7.5949465052967673</v>
      </c>
      <c r="AY98" s="18">
        <f>IFERROR(AA98/'Ar-Pa'!C98,0)</f>
        <v>7.9251615707444527</v>
      </c>
      <c r="AZ98" s="18">
        <f>IFERROR(AB98/'Ar-Pa'!D98,0)</f>
        <v>7.5949465052967673</v>
      </c>
      <c r="BA98" s="18">
        <f>IFERROR(AC98/'Ar-Pa'!E98,0)</f>
        <v>7.5949465052967673</v>
      </c>
      <c r="BB98" s="18">
        <f>IFERROR(AD98/'Ar-Pa'!F98,0)</f>
        <v>7.9251615707444527</v>
      </c>
      <c r="BC98" s="18">
        <f>IFERROR(AE98/'Ar-Pa'!G98,0)</f>
        <v>7.5949465052967673</v>
      </c>
      <c r="BD98" s="18">
        <f>IFERROR(AF98/'Ar-Pa'!H98,0)</f>
        <v>8.6799388631963055</v>
      </c>
      <c r="BE98" s="18">
        <f>IFERROR(AG98/'Ar-Pa'!I98,0)</f>
        <v>8.6799388631963055</v>
      </c>
      <c r="BF98" s="18">
        <f>IFERROR(AH98/'Ar-Pa'!J98,0)</f>
        <v>9.0573275094222314</v>
      </c>
      <c r="BG98" s="18">
        <f>IFERROR(AI98/'Ar-Pa'!K98,0)</f>
        <v>8.6799388631963055</v>
      </c>
      <c r="BH98" s="18">
        <f>IFERROR(AJ98/'Ar-Pa'!L98,0)</f>
        <v>7.5949465052967673</v>
      </c>
      <c r="BI98" s="18">
        <f>IFERROR(AK98/'Ar-Pa'!M98,0)</f>
        <v>7.5949465052967673</v>
      </c>
      <c r="BJ98" s="18">
        <f>IFERROR(AL98/'Ar-Pa'!N98,0)</f>
        <v>7.5949465052967673</v>
      </c>
      <c r="BK98" s="18">
        <f>IFERROR(AM98/'Ar-Pa'!O98,0)</f>
        <v>7.5949465052967673</v>
      </c>
      <c r="BL98" s="18">
        <f>IFERROR(AN98/'Ar-Pa'!P98,0)</f>
        <v>7.2647314398490819</v>
      </c>
      <c r="BM98" s="18">
        <f>IFERROR(AO98/'Ar-Pa'!Q98,0)</f>
        <v>7.9251615707444527</v>
      </c>
      <c r="BN98" s="18">
        <f>IFERROR(AP98/'Ar-Pa'!R98,0)</f>
        <v>7.9251615707444527</v>
      </c>
      <c r="BO98" s="18">
        <f>IFERROR(AQ98/'Ar-Pa'!S98,0)</f>
        <v>7.9251615707444527</v>
      </c>
      <c r="BP98" s="18">
        <f>IFERROR(AR98/'Ar-Pa'!T98,0)</f>
        <v>7.5949465052967673</v>
      </c>
      <c r="BQ98" s="18">
        <f>IFERROR(AS98/'Ar-Pa'!U98,0)</f>
        <v>7.5949465052967673</v>
      </c>
      <c r="BR98" s="18">
        <f>IFERROR(AT98/'Ar-Pa'!V98,0)</f>
        <v>9.5762368979828807</v>
      </c>
      <c r="BS98" s="18">
        <f>IFERROR(AU98/'Ar-Pa'!W98,0)</f>
        <v>7.9251615707444527</v>
      </c>
      <c r="BT98" s="18">
        <f>IFERROR(AV98/'Ar-Pa'!X98,0)</f>
        <v>7.9251615707444527</v>
      </c>
      <c r="BU98" s="18">
        <f>IFERROR(AW98/'Ar-Pa'!Y98,0)</f>
        <v>7.5949465052967673</v>
      </c>
    </row>
    <row r="99" spans="1:73" s="12" customFormat="1" ht="15">
      <c r="A99" s="15">
        <v>45024</v>
      </c>
      <c r="B99" s="441">
        <v>0.23</v>
      </c>
      <c r="C99" s="441">
        <v>0.24</v>
      </c>
      <c r="D99" s="441">
        <v>0.23</v>
      </c>
      <c r="E99" s="441">
        <v>0.23</v>
      </c>
      <c r="F99" s="441">
        <v>0.24</v>
      </c>
      <c r="G99" s="441">
        <v>0.23</v>
      </c>
      <c r="H99" s="441">
        <v>0.23</v>
      </c>
      <c r="I99" s="441">
        <v>0.22</v>
      </c>
      <c r="J99" s="441">
        <v>0.24</v>
      </c>
      <c r="K99" s="441">
        <v>0.23</v>
      </c>
      <c r="L99" s="441">
        <v>0.24</v>
      </c>
      <c r="M99" s="441">
        <v>0.23</v>
      </c>
      <c r="N99" s="441">
        <v>0.23</v>
      </c>
      <c r="O99" s="441">
        <v>0.23</v>
      </c>
      <c r="P99" s="441">
        <v>0.23</v>
      </c>
      <c r="Q99" s="441">
        <v>0.24</v>
      </c>
      <c r="R99" s="441">
        <v>0.22</v>
      </c>
      <c r="S99" s="441">
        <v>0.24</v>
      </c>
      <c r="T99" s="441">
        <v>0.23</v>
      </c>
      <c r="U99" s="441">
        <v>0.24</v>
      </c>
      <c r="V99" s="441">
        <v>0.26</v>
      </c>
      <c r="W99" s="441">
        <v>0.23</v>
      </c>
      <c r="X99" s="441">
        <v>0.23</v>
      </c>
      <c r="Y99" s="441">
        <v>0.23</v>
      </c>
      <c r="Z99" s="19">
        <f t="shared" si="46"/>
        <v>60.759572042374138</v>
      </c>
      <c r="AA99" s="19">
        <f t="shared" si="47"/>
        <v>63.401292565955622</v>
      </c>
      <c r="AB99" s="19">
        <f t="shared" si="24"/>
        <v>60.759572042374138</v>
      </c>
      <c r="AC99" s="19">
        <f t="shared" si="25"/>
        <v>60.759572042374138</v>
      </c>
      <c r="AD99" s="19">
        <f t="shared" si="26"/>
        <v>63.401292565955622</v>
      </c>
      <c r="AE99" s="19">
        <f t="shared" si="27"/>
        <v>60.759572042374138</v>
      </c>
      <c r="AF99" s="19">
        <f t="shared" si="28"/>
        <v>60.759572042374138</v>
      </c>
      <c r="AG99" s="19">
        <f t="shared" si="29"/>
        <v>58.117851518792655</v>
      </c>
      <c r="AH99" s="19">
        <f t="shared" si="30"/>
        <v>63.401292565955622</v>
      </c>
      <c r="AI99" s="19">
        <f t="shared" si="31"/>
        <v>60.759572042374138</v>
      </c>
      <c r="AJ99" s="19">
        <f t="shared" si="32"/>
        <v>63.401292565955622</v>
      </c>
      <c r="AK99" s="19">
        <f t="shared" si="33"/>
        <v>60.759572042374138</v>
      </c>
      <c r="AL99" s="19">
        <f t="shared" si="34"/>
        <v>60.759572042374138</v>
      </c>
      <c r="AM99" s="19">
        <f t="shared" si="35"/>
        <v>60.759572042374138</v>
      </c>
      <c r="AN99" s="19">
        <f t="shared" si="36"/>
        <v>60.759572042374138</v>
      </c>
      <c r="AO99" s="19">
        <f t="shared" si="37"/>
        <v>63.401292565955622</v>
      </c>
      <c r="AP99" s="19">
        <f t="shared" si="38"/>
        <v>58.117851518792655</v>
      </c>
      <c r="AQ99" s="19">
        <f t="shared" si="39"/>
        <v>63.401292565955622</v>
      </c>
      <c r="AR99" s="19">
        <f t="shared" si="40"/>
        <v>60.759572042374138</v>
      </c>
      <c r="AS99" s="19">
        <f t="shared" si="41"/>
        <v>63.401292565955622</v>
      </c>
      <c r="AT99" s="19">
        <f t="shared" si="42"/>
        <v>68.684733613118595</v>
      </c>
      <c r="AU99" s="19">
        <f t="shared" si="43"/>
        <v>60.759572042374138</v>
      </c>
      <c r="AV99" s="19">
        <f t="shared" si="44"/>
        <v>60.759572042374138</v>
      </c>
      <c r="AW99" s="19">
        <f t="shared" si="45"/>
        <v>60.759572042374138</v>
      </c>
      <c r="AX99" s="18">
        <f>IFERROR(Z99/'Ar-Pa'!B99,0)</f>
        <v>7.5949465052967673</v>
      </c>
      <c r="AY99" s="18">
        <f>IFERROR(AA99/'Ar-Pa'!C99,0)</f>
        <v>7.9251615707444527</v>
      </c>
      <c r="AZ99" s="18">
        <f>IFERROR(AB99/'Ar-Pa'!D99,0)</f>
        <v>7.5949465052967673</v>
      </c>
      <c r="BA99" s="18">
        <f>IFERROR(AC99/'Ar-Pa'!E99,0)</f>
        <v>7.5949465052967673</v>
      </c>
      <c r="BB99" s="18">
        <f>IFERROR(AD99/'Ar-Pa'!F99,0)</f>
        <v>7.9251615707444527</v>
      </c>
      <c r="BC99" s="18">
        <f>IFERROR(AE99/'Ar-Pa'!G99,0)</f>
        <v>7.5949465052967673</v>
      </c>
      <c r="BD99" s="18">
        <f>IFERROR(AF99/'Ar-Pa'!H99,0)</f>
        <v>8.6799388631963055</v>
      </c>
      <c r="BE99" s="18">
        <f>IFERROR(AG99/'Ar-Pa'!I99,0)</f>
        <v>7.2647314398490819</v>
      </c>
      <c r="BF99" s="18">
        <f>IFERROR(AH99/'Ar-Pa'!J99,0)</f>
        <v>9.0573275094222314</v>
      </c>
      <c r="BG99" s="18">
        <f>IFERROR(AI99/'Ar-Pa'!K99,0)</f>
        <v>7.5949465052967673</v>
      </c>
      <c r="BH99" s="18">
        <f>IFERROR(AJ99/'Ar-Pa'!L99,0)</f>
        <v>7.9251615707444527</v>
      </c>
      <c r="BI99" s="18">
        <f>IFERROR(AK99/'Ar-Pa'!M99,0)</f>
        <v>7.5949465052967673</v>
      </c>
      <c r="BJ99" s="18">
        <f>IFERROR(AL99/'Ar-Pa'!N99,0)</f>
        <v>7.5949465052967673</v>
      </c>
      <c r="BK99" s="18">
        <f>IFERROR(AM99/'Ar-Pa'!O99,0)</f>
        <v>7.5949465052967673</v>
      </c>
      <c r="BL99" s="18">
        <f>IFERROR(AN99/'Ar-Pa'!P99,0)</f>
        <v>7.5949465052967673</v>
      </c>
      <c r="BM99" s="18">
        <f>IFERROR(AO99/'Ar-Pa'!Q99,0)</f>
        <v>7.9251615707444527</v>
      </c>
      <c r="BN99" s="18">
        <f>IFERROR(AP99/'Ar-Pa'!R99,0)</f>
        <v>7.2647314398490819</v>
      </c>
      <c r="BO99" s="18">
        <f>IFERROR(AQ99/'Ar-Pa'!S99,0)</f>
        <v>7.9251615707444527</v>
      </c>
      <c r="BP99" s="18">
        <f>IFERROR(AR99/'Ar-Pa'!T99,0)</f>
        <v>7.5949465052967673</v>
      </c>
      <c r="BQ99" s="18">
        <f>IFERROR(AS99/'Ar-Pa'!U99,0)</f>
        <v>7.9251615707444527</v>
      </c>
      <c r="BR99" s="18">
        <f>IFERROR(AT99/'Ar-Pa'!V99,0)</f>
        <v>8.5855917016398244</v>
      </c>
      <c r="BS99" s="18">
        <f>IFERROR(AU99/'Ar-Pa'!W99,0)</f>
        <v>8.6799388631963055</v>
      </c>
      <c r="BT99" s="18">
        <f>IFERROR(AV99/'Ar-Pa'!X99,0)</f>
        <v>7.5949465052967673</v>
      </c>
      <c r="BU99" s="18">
        <f>IFERROR(AW99/'Ar-Pa'!Y99,0)</f>
        <v>7.5949465052967673</v>
      </c>
    </row>
    <row r="100" spans="1:73" s="12" customFormat="1" ht="15">
      <c r="A100" s="15">
        <v>45025</v>
      </c>
      <c r="B100" s="441">
        <v>0.25</v>
      </c>
      <c r="C100" s="441">
        <v>0.25</v>
      </c>
      <c r="D100" s="441">
        <v>0.26</v>
      </c>
      <c r="E100" s="441">
        <v>0.25</v>
      </c>
      <c r="F100" s="441">
        <v>0.26</v>
      </c>
      <c r="G100" s="441">
        <v>0.25</v>
      </c>
      <c r="H100" s="441">
        <v>0.25</v>
      </c>
      <c r="I100" s="441">
        <v>0.25</v>
      </c>
      <c r="J100" s="441">
        <v>0.25</v>
      </c>
      <c r="K100" s="441">
        <v>0.25</v>
      </c>
      <c r="L100" s="441">
        <v>0.24</v>
      </c>
      <c r="M100" s="441">
        <v>0.25</v>
      </c>
      <c r="N100" s="441">
        <v>0.26</v>
      </c>
      <c r="O100" s="441">
        <v>0.24</v>
      </c>
      <c r="P100" s="441">
        <v>0.25</v>
      </c>
      <c r="Q100" s="441">
        <v>0.26</v>
      </c>
      <c r="R100" s="441">
        <v>0.24</v>
      </c>
      <c r="S100" s="441">
        <v>0.25</v>
      </c>
      <c r="T100" s="441">
        <v>0.26</v>
      </c>
      <c r="U100" s="441">
        <v>0.24</v>
      </c>
      <c r="V100" s="441">
        <v>0.31</v>
      </c>
      <c r="W100" s="441">
        <v>0.32</v>
      </c>
      <c r="X100" s="441">
        <v>0.31</v>
      </c>
      <c r="Y100" s="441">
        <v>0.3</v>
      </c>
      <c r="Z100" s="19">
        <f t="shared" si="46"/>
        <v>66.043013089537112</v>
      </c>
      <c r="AA100" s="19">
        <f t="shared" si="47"/>
        <v>66.043013089537112</v>
      </c>
      <c r="AB100" s="19">
        <f t="shared" si="24"/>
        <v>68.684733613118595</v>
      </c>
      <c r="AC100" s="19">
        <f t="shared" si="25"/>
        <v>66.043013089537112</v>
      </c>
      <c r="AD100" s="19">
        <f t="shared" si="26"/>
        <v>68.684733613118595</v>
      </c>
      <c r="AE100" s="19">
        <f t="shared" si="27"/>
        <v>66.043013089537112</v>
      </c>
      <c r="AF100" s="19">
        <f t="shared" si="28"/>
        <v>66.043013089537112</v>
      </c>
      <c r="AG100" s="19">
        <f t="shared" si="29"/>
        <v>66.043013089537112</v>
      </c>
      <c r="AH100" s="19">
        <f t="shared" si="30"/>
        <v>66.043013089537112</v>
      </c>
      <c r="AI100" s="19">
        <f t="shared" si="31"/>
        <v>66.043013089537112</v>
      </c>
      <c r="AJ100" s="19">
        <f t="shared" si="32"/>
        <v>63.401292565955622</v>
      </c>
      <c r="AK100" s="19">
        <f t="shared" si="33"/>
        <v>66.043013089537112</v>
      </c>
      <c r="AL100" s="19">
        <f t="shared" si="34"/>
        <v>68.684733613118595</v>
      </c>
      <c r="AM100" s="19">
        <f t="shared" si="35"/>
        <v>63.401292565955622</v>
      </c>
      <c r="AN100" s="19">
        <f t="shared" si="36"/>
        <v>66.043013089537112</v>
      </c>
      <c r="AO100" s="19">
        <f t="shared" si="37"/>
        <v>68.684733613118595</v>
      </c>
      <c r="AP100" s="19">
        <f t="shared" si="38"/>
        <v>63.401292565955622</v>
      </c>
      <c r="AQ100" s="19">
        <f t="shared" si="39"/>
        <v>66.043013089537112</v>
      </c>
      <c r="AR100" s="19">
        <f t="shared" si="40"/>
        <v>68.684733613118595</v>
      </c>
      <c r="AS100" s="19">
        <f t="shared" si="41"/>
        <v>63.401292565955622</v>
      </c>
      <c r="AT100" s="19">
        <f t="shared" si="42"/>
        <v>81.893336231026012</v>
      </c>
      <c r="AU100" s="19">
        <f t="shared" si="43"/>
        <v>84.535056754607496</v>
      </c>
      <c r="AV100" s="19">
        <f t="shared" si="44"/>
        <v>81.893336231026012</v>
      </c>
      <c r="AW100" s="19">
        <f t="shared" si="45"/>
        <v>79.251615707444529</v>
      </c>
      <c r="AX100" s="18">
        <f>IFERROR(Z100/'Ar-Pa'!B100,0)</f>
        <v>8.255376636192139</v>
      </c>
      <c r="AY100" s="18">
        <f>IFERROR(AA100/'Ar-Pa'!C100,0)</f>
        <v>8.255376636192139</v>
      </c>
      <c r="AZ100" s="18">
        <f>IFERROR(AB100/'Ar-Pa'!D100,0)</f>
        <v>8.5855917016398244</v>
      </c>
      <c r="BA100" s="18">
        <f>IFERROR(AC100/'Ar-Pa'!E100,0)</f>
        <v>8.255376636192139</v>
      </c>
      <c r="BB100" s="18">
        <f>IFERROR(AD100/'Ar-Pa'!F100,0)</f>
        <v>8.5855917016398244</v>
      </c>
      <c r="BC100" s="18">
        <f>IFERROR(AE100/'Ar-Pa'!G100,0)</f>
        <v>8.255376636192139</v>
      </c>
      <c r="BD100" s="18">
        <f>IFERROR(AF100/'Ar-Pa'!H100,0)</f>
        <v>11.007168848256185</v>
      </c>
      <c r="BE100" s="18">
        <f>IFERROR(AG100/'Ar-Pa'!I100,0)</f>
        <v>9.4347161556481591</v>
      </c>
      <c r="BF100" s="18">
        <f>IFERROR(AH100/'Ar-Pa'!J100,0)</f>
        <v>8.255376636192139</v>
      </c>
      <c r="BG100" s="18">
        <f>IFERROR(AI100/'Ar-Pa'!K100,0)</f>
        <v>8.255376636192139</v>
      </c>
      <c r="BH100" s="18">
        <f>IFERROR(AJ100/'Ar-Pa'!L100,0)</f>
        <v>7.9251615707444527</v>
      </c>
      <c r="BI100" s="18">
        <f>IFERROR(AK100/'Ar-Pa'!M100,0)</f>
        <v>8.255376636192139</v>
      </c>
      <c r="BJ100" s="18">
        <f>IFERROR(AL100/'Ar-Pa'!N100,0)</f>
        <v>8.5855917016398244</v>
      </c>
      <c r="BK100" s="18">
        <f>IFERROR(AM100/'Ar-Pa'!O100,0)</f>
        <v>7.9251615707444527</v>
      </c>
      <c r="BL100" s="18">
        <f>IFERROR(AN100/'Ar-Pa'!P100,0)</f>
        <v>8.255376636192139</v>
      </c>
      <c r="BM100" s="18">
        <f>IFERROR(AO100/'Ar-Pa'!Q100,0)</f>
        <v>8.5855917016398244</v>
      </c>
      <c r="BN100" s="18">
        <f>IFERROR(AP100/'Ar-Pa'!R100,0)</f>
        <v>7.9251615707444527</v>
      </c>
      <c r="BO100" s="18">
        <f>IFERROR(AQ100/'Ar-Pa'!S100,0)</f>
        <v>8.255376636192139</v>
      </c>
      <c r="BP100" s="18">
        <f>IFERROR(AR100/'Ar-Pa'!T100,0)</f>
        <v>8.5855917016398244</v>
      </c>
      <c r="BQ100" s="18">
        <f>IFERROR(AS100/'Ar-Pa'!U100,0)</f>
        <v>7.9251615707444527</v>
      </c>
      <c r="BR100" s="18">
        <f>IFERROR(AT100/'Ar-Pa'!V100,0)</f>
        <v>10.236667028878252</v>
      </c>
      <c r="BS100" s="18">
        <f>IFERROR(AU100/'Ar-Pa'!W100,0)</f>
        <v>10.566882094325937</v>
      </c>
      <c r="BT100" s="18">
        <f>IFERROR(AV100/'Ar-Pa'!X100,0)</f>
        <v>10.236667028878252</v>
      </c>
      <c r="BU100" s="18">
        <f>IFERROR(AW100/'Ar-Pa'!Y100,0)</f>
        <v>9.9064519634305661</v>
      </c>
    </row>
    <row r="101" spans="1:73" s="12" customFormat="1" ht="15">
      <c r="A101" s="15">
        <v>45026</v>
      </c>
      <c r="B101" s="441">
        <v>0.24</v>
      </c>
      <c r="C101" s="441">
        <v>0.24</v>
      </c>
      <c r="D101" s="441">
        <v>0.24</v>
      </c>
      <c r="E101" s="441">
        <v>0.25</v>
      </c>
      <c r="F101" s="441">
        <v>0.25</v>
      </c>
      <c r="G101" s="441">
        <v>0.24</v>
      </c>
      <c r="H101" s="441">
        <v>0.24</v>
      </c>
      <c r="I101" s="441">
        <v>0.24</v>
      </c>
      <c r="J101" s="441">
        <v>0.24</v>
      </c>
      <c r="K101" s="441">
        <v>0.24</v>
      </c>
      <c r="L101" s="441">
        <v>0.25</v>
      </c>
      <c r="M101" s="441">
        <v>0.24</v>
      </c>
      <c r="N101" s="441">
        <v>0.24</v>
      </c>
      <c r="O101" s="441">
        <v>0.25</v>
      </c>
      <c r="P101" s="441">
        <v>0.24</v>
      </c>
      <c r="Q101" s="441">
        <v>0.25</v>
      </c>
      <c r="R101" s="441">
        <v>0.24</v>
      </c>
      <c r="S101" s="441">
        <v>0.24</v>
      </c>
      <c r="T101" s="441">
        <v>0.24</v>
      </c>
      <c r="U101" s="441">
        <v>0.25</v>
      </c>
      <c r="V101" s="441">
        <v>0.3</v>
      </c>
      <c r="W101" s="441">
        <v>0.3</v>
      </c>
      <c r="X101" s="441">
        <v>0.3</v>
      </c>
      <c r="Y101" s="441">
        <v>0.24</v>
      </c>
      <c r="Z101" s="19">
        <f t="shared" si="46"/>
        <v>63.401292565955622</v>
      </c>
      <c r="AA101" s="19">
        <f t="shared" si="47"/>
        <v>63.401292565955622</v>
      </c>
      <c r="AB101" s="19">
        <f t="shared" si="24"/>
        <v>63.401292565955622</v>
      </c>
      <c r="AC101" s="19">
        <f t="shared" si="25"/>
        <v>66.043013089537112</v>
      </c>
      <c r="AD101" s="19">
        <f t="shared" si="26"/>
        <v>66.043013089537112</v>
      </c>
      <c r="AE101" s="19">
        <f t="shared" si="27"/>
        <v>63.401292565955622</v>
      </c>
      <c r="AF101" s="19">
        <f t="shared" si="28"/>
        <v>63.401292565955622</v>
      </c>
      <c r="AG101" s="19">
        <f t="shared" si="29"/>
        <v>63.401292565955622</v>
      </c>
      <c r="AH101" s="19">
        <f t="shared" si="30"/>
        <v>63.401292565955622</v>
      </c>
      <c r="AI101" s="19">
        <f t="shared" si="31"/>
        <v>63.401292565955622</v>
      </c>
      <c r="AJ101" s="19">
        <f t="shared" si="32"/>
        <v>66.043013089537112</v>
      </c>
      <c r="AK101" s="19">
        <f t="shared" si="33"/>
        <v>63.401292565955622</v>
      </c>
      <c r="AL101" s="19">
        <f t="shared" si="34"/>
        <v>63.401292565955622</v>
      </c>
      <c r="AM101" s="19">
        <f t="shared" si="35"/>
        <v>66.043013089537112</v>
      </c>
      <c r="AN101" s="19">
        <f t="shared" si="36"/>
        <v>63.401292565955622</v>
      </c>
      <c r="AO101" s="19">
        <f t="shared" si="37"/>
        <v>66.043013089537112</v>
      </c>
      <c r="AP101" s="19">
        <f t="shared" si="38"/>
        <v>63.401292565955622</v>
      </c>
      <c r="AQ101" s="19">
        <f t="shared" si="39"/>
        <v>63.401292565955622</v>
      </c>
      <c r="AR101" s="19">
        <f t="shared" si="40"/>
        <v>63.401292565955622</v>
      </c>
      <c r="AS101" s="19">
        <f t="shared" si="41"/>
        <v>66.043013089537112</v>
      </c>
      <c r="AT101" s="19">
        <f t="shared" si="42"/>
        <v>79.251615707444529</v>
      </c>
      <c r="AU101" s="19">
        <f t="shared" si="43"/>
        <v>79.251615707444529</v>
      </c>
      <c r="AV101" s="19">
        <f t="shared" si="44"/>
        <v>79.251615707444529</v>
      </c>
      <c r="AW101" s="19">
        <f t="shared" si="45"/>
        <v>63.401292565955622</v>
      </c>
      <c r="AX101" s="18">
        <f>IFERROR(Z101/'Ar-Pa'!B101,0)</f>
        <v>7.9251615707444527</v>
      </c>
      <c r="AY101" s="18">
        <f>IFERROR(AA101/'Ar-Pa'!C101,0)</f>
        <v>7.9251615707444527</v>
      </c>
      <c r="AZ101" s="18">
        <f>IFERROR(AB101/'Ar-Pa'!D101,0)</f>
        <v>7.9251615707444527</v>
      </c>
      <c r="BA101" s="18">
        <f>IFERROR(AC101/'Ar-Pa'!E101,0)</f>
        <v>8.255376636192139</v>
      </c>
      <c r="BB101" s="18">
        <f>IFERROR(AD101/'Ar-Pa'!F101,0)</f>
        <v>8.255376636192139</v>
      </c>
      <c r="BC101" s="18">
        <f>IFERROR(AE101/'Ar-Pa'!G101,0)</f>
        <v>7.9251615707444527</v>
      </c>
      <c r="BD101" s="18">
        <f>IFERROR(AF101/'Ar-Pa'!H101,0)</f>
        <v>9.0573275094222314</v>
      </c>
      <c r="BE101" s="18">
        <f>IFERROR(AG101/'Ar-Pa'!I101,0)</f>
        <v>7.9251615707444527</v>
      </c>
      <c r="BF101" s="18">
        <f>IFERROR(AH101/'Ar-Pa'!J101,0)</f>
        <v>7.9251615707444527</v>
      </c>
      <c r="BG101" s="18">
        <f>IFERROR(AI101/'Ar-Pa'!K101,0)</f>
        <v>7.9251615707444527</v>
      </c>
      <c r="BH101" s="18">
        <f>IFERROR(AJ101/'Ar-Pa'!L101,0)</f>
        <v>9.4347161556481591</v>
      </c>
      <c r="BI101" s="18">
        <f>IFERROR(AK101/'Ar-Pa'!M101,0)</f>
        <v>9.0573275094222314</v>
      </c>
      <c r="BJ101" s="18">
        <f>IFERROR(AL101/'Ar-Pa'!N101,0)</f>
        <v>7.9251615707444527</v>
      </c>
      <c r="BK101" s="18">
        <f>IFERROR(AM101/'Ar-Pa'!O101,0)</f>
        <v>8.255376636192139</v>
      </c>
      <c r="BL101" s="18">
        <f>IFERROR(AN101/'Ar-Pa'!P101,0)</f>
        <v>7.9251615707444527</v>
      </c>
      <c r="BM101" s="18">
        <f>IFERROR(AO101/'Ar-Pa'!Q101,0)</f>
        <v>8.255376636192139</v>
      </c>
      <c r="BN101" s="18">
        <f>IFERROR(AP101/'Ar-Pa'!R101,0)</f>
        <v>7.9251615707444527</v>
      </c>
      <c r="BO101" s="18">
        <f>IFERROR(AQ101/'Ar-Pa'!S101,0)</f>
        <v>7.9251615707444527</v>
      </c>
      <c r="BP101" s="18">
        <f>IFERROR(AR101/'Ar-Pa'!T101,0)</f>
        <v>7.9251615707444527</v>
      </c>
      <c r="BQ101" s="18">
        <f>IFERROR(AS101/'Ar-Pa'!U101,0)</f>
        <v>8.255376636192139</v>
      </c>
      <c r="BR101" s="18">
        <f>IFERROR(AT101/'Ar-Pa'!V101,0)</f>
        <v>9.9064519634305661</v>
      </c>
      <c r="BS101" s="18">
        <f>IFERROR(AU101/'Ar-Pa'!W101,0)</f>
        <v>9.9064519634305661</v>
      </c>
      <c r="BT101" s="18">
        <f>IFERROR(AV101/'Ar-Pa'!X101,0)</f>
        <v>9.9064519634305661</v>
      </c>
      <c r="BU101" s="18">
        <f>IFERROR(AW101/'Ar-Pa'!Y101,0)</f>
        <v>7.9251615707444527</v>
      </c>
    </row>
    <row r="102" spans="1:73" s="12" customFormat="1" ht="15">
      <c r="A102" s="15">
        <v>45027</v>
      </c>
      <c r="B102" s="441">
        <v>0.25</v>
      </c>
      <c r="C102" s="441">
        <v>0.25</v>
      </c>
      <c r="D102" s="441">
        <v>0.25</v>
      </c>
      <c r="E102" s="441">
        <v>0.25</v>
      </c>
      <c r="F102" s="441">
        <v>0.25</v>
      </c>
      <c r="G102" s="441">
        <v>0.24</v>
      </c>
      <c r="H102" s="441">
        <v>0.24</v>
      </c>
      <c r="I102" s="441">
        <v>0.25</v>
      </c>
      <c r="J102" s="441">
        <v>0.24</v>
      </c>
      <c r="K102" s="441">
        <v>0.25</v>
      </c>
      <c r="L102" s="441">
        <v>0.25</v>
      </c>
      <c r="M102" s="441">
        <v>0.25</v>
      </c>
      <c r="N102" s="441">
        <v>0.25</v>
      </c>
      <c r="O102" s="441">
        <v>0.25</v>
      </c>
      <c r="P102" s="441">
        <v>0.25</v>
      </c>
      <c r="Q102" s="441">
        <v>0.24</v>
      </c>
      <c r="R102" s="441">
        <v>0.25</v>
      </c>
      <c r="S102" s="441">
        <v>0.25</v>
      </c>
      <c r="T102" s="441">
        <v>0.25</v>
      </c>
      <c r="U102" s="441">
        <v>0.24</v>
      </c>
      <c r="V102" s="441">
        <v>0.31</v>
      </c>
      <c r="W102" s="441">
        <v>0.25</v>
      </c>
      <c r="X102" s="441">
        <v>0.25</v>
      </c>
      <c r="Y102" s="441">
        <v>0.24</v>
      </c>
      <c r="Z102" s="19">
        <f t="shared" si="46"/>
        <v>66.043013089537112</v>
      </c>
      <c r="AA102" s="19">
        <f t="shared" si="47"/>
        <v>66.043013089537112</v>
      </c>
      <c r="AB102" s="19">
        <f t="shared" si="24"/>
        <v>66.043013089537112</v>
      </c>
      <c r="AC102" s="19">
        <f t="shared" si="25"/>
        <v>66.043013089537112</v>
      </c>
      <c r="AD102" s="19">
        <f t="shared" si="26"/>
        <v>66.043013089537112</v>
      </c>
      <c r="AE102" s="19">
        <f t="shared" si="27"/>
        <v>63.401292565955622</v>
      </c>
      <c r="AF102" s="19">
        <f t="shared" si="28"/>
        <v>63.401292565955622</v>
      </c>
      <c r="AG102" s="19">
        <f t="shared" si="29"/>
        <v>66.043013089537112</v>
      </c>
      <c r="AH102" s="19">
        <f t="shared" si="30"/>
        <v>63.401292565955622</v>
      </c>
      <c r="AI102" s="19">
        <f t="shared" si="31"/>
        <v>66.043013089537112</v>
      </c>
      <c r="AJ102" s="19">
        <f t="shared" si="32"/>
        <v>66.043013089537112</v>
      </c>
      <c r="AK102" s="19">
        <f t="shared" si="33"/>
        <v>66.043013089537112</v>
      </c>
      <c r="AL102" s="19">
        <f t="shared" si="34"/>
        <v>66.043013089537112</v>
      </c>
      <c r="AM102" s="19">
        <f t="shared" si="35"/>
        <v>66.043013089537112</v>
      </c>
      <c r="AN102" s="19">
        <f t="shared" si="36"/>
        <v>66.043013089537112</v>
      </c>
      <c r="AO102" s="19">
        <f t="shared" si="37"/>
        <v>63.401292565955622</v>
      </c>
      <c r="AP102" s="19">
        <f t="shared" si="38"/>
        <v>66.043013089537112</v>
      </c>
      <c r="AQ102" s="19">
        <f t="shared" si="39"/>
        <v>66.043013089537112</v>
      </c>
      <c r="AR102" s="19">
        <f t="shared" si="40"/>
        <v>66.043013089537112</v>
      </c>
      <c r="AS102" s="19">
        <f t="shared" si="41"/>
        <v>63.401292565955622</v>
      </c>
      <c r="AT102" s="19">
        <f t="shared" si="42"/>
        <v>81.893336231026012</v>
      </c>
      <c r="AU102" s="19">
        <f t="shared" si="43"/>
        <v>66.043013089537112</v>
      </c>
      <c r="AV102" s="19">
        <f t="shared" si="44"/>
        <v>66.043013089537112</v>
      </c>
      <c r="AW102" s="19">
        <f t="shared" si="45"/>
        <v>63.401292565955622</v>
      </c>
      <c r="AX102" s="18">
        <f>IFERROR(Z102/'Ar-Pa'!B102,0)</f>
        <v>8.255376636192139</v>
      </c>
      <c r="AY102" s="18">
        <f>IFERROR(AA102/'Ar-Pa'!C102,0)</f>
        <v>8.255376636192139</v>
      </c>
      <c r="AZ102" s="18">
        <f>IFERROR(AB102/'Ar-Pa'!D102,0)</f>
        <v>8.255376636192139</v>
      </c>
      <c r="BA102" s="18">
        <f>IFERROR(AC102/'Ar-Pa'!E102,0)</f>
        <v>8.255376636192139</v>
      </c>
      <c r="BB102" s="18">
        <f>IFERROR(AD102/'Ar-Pa'!F102,0)</f>
        <v>8.255376636192139</v>
      </c>
      <c r="BC102" s="18">
        <f>IFERROR(AE102/'Ar-Pa'!G102,0)</f>
        <v>7.9251615707444527</v>
      </c>
      <c r="BD102" s="18">
        <f>IFERROR(AF102/'Ar-Pa'!H102,0)</f>
        <v>9.0573275094222314</v>
      </c>
      <c r="BE102" s="18">
        <f>IFERROR(AG102/'Ar-Pa'!I102,0)</f>
        <v>8.255376636192139</v>
      </c>
      <c r="BF102" s="18">
        <f>IFERROR(AH102/'Ar-Pa'!J102,0)</f>
        <v>7.9251615707444527</v>
      </c>
      <c r="BG102" s="18">
        <f>IFERROR(AI102/'Ar-Pa'!K102,0)</f>
        <v>9.4347161556481591</v>
      </c>
      <c r="BH102" s="18">
        <f>IFERROR(AJ102/'Ar-Pa'!L102,0)</f>
        <v>9.4347161556481591</v>
      </c>
      <c r="BI102" s="18">
        <f>IFERROR(AK102/'Ar-Pa'!M102,0)</f>
        <v>8.255376636192139</v>
      </c>
      <c r="BJ102" s="18">
        <f>IFERROR(AL102/'Ar-Pa'!N102,0)</f>
        <v>8.255376636192139</v>
      </c>
      <c r="BK102" s="18">
        <f>IFERROR(AM102/'Ar-Pa'!O102,0)</f>
        <v>8.255376636192139</v>
      </c>
      <c r="BL102" s="18">
        <f>IFERROR(AN102/'Ar-Pa'!P102,0)</f>
        <v>8.255376636192139</v>
      </c>
      <c r="BM102" s="18">
        <f>IFERROR(AO102/'Ar-Pa'!Q102,0)</f>
        <v>7.9251615707444527</v>
      </c>
      <c r="BN102" s="18">
        <f>IFERROR(AP102/'Ar-Pa'!R102,0)</f>
        <v>8.255376636192139</v>
      </c>
      <c r="BO102" s="18">
        <f>IFERROR(AQ102/'Ar-Pa'!S102,0)</f>
        <v>8.255376636192139</v>
      </c>
      <c r="BP102" s="18">
        <f>IFERROR(AR102/'Ar-Pa'!T102,0)</f>
        <v>8.255376636192139</v>
      </c>
      <c r="BQ102" s="18">
        <f>IFERROR(AS102/'Ar-Pa'!U102,0)</f>
        <v>7.9251615707444527</v>
      </c>
      <c r="BR102" s="18">
        <f>IFERROR(AT102/'Ar-Pa'!V102,0)</f>
        <v>10.236667028878252</v>
      </c>
      <c r="BS102" s="18">
        <f>IFERROR(AU102/'Ar-Pa'!W102,0)</f>
        <v>8.255376636192139</v>
      </c>
      <c r="BT102" s="18">
        <f>IFERROR(AV102/'Ar-Pa'!X102,0)</f>
        <v>8.255376636192139</v>
      </c>
      <c r="BU102" s="18">
        <f>IFERROR(AW102/'Ar-Pa'!Y102,0)</f>
        <v>7.9251615707444527</v>
      </c>
    </row>
    <row r="103" spans="1:73" s="12" customFormat="1" ht="15">
      <c r="A103" s="15">
        <v>45028</v>
      </c>
      <c r="B103" s="441">
        <v>0.2</v>
      </c>
      <c r="C103" s="441">
        <v>0.22</v>
      </c>
      <c r="D103" s="441">
        <v>0.2</v>
      </c>
      <c r="E103" s="441">
        <v>0.21</v>
      </c>
      <c r="F103" s="441">
        <v>0.2</v>
      </c>
      <c r="G103" s="441">
        <v>0.21</v>
      </c>
      <c r="H103" s="441">
        <v>0.2</v>
      </c>
      <c r="I103" s="441">
        <v>0.2</v>
      </c>
      <c r="J103" s="441">
        <v>0.21</v>
      </c>
      <c r="K103" s="441">
        <v>0.2</v>
      </c>
      <c r="L103" s="441">
        <v>0.2</v>
      </c>
      <c r="M103" s="441">
        <v>0.2</v>
      </c>
      <c r="N103" s="441">
        <v>0.2</v>
      </c>
      <c r="O103" s="441">
        <v>0.2</v>
      </c>
      <c r="P103" s="441">
        <v>0.2</v>
      </c>
      <c r="Q103" s="441">
        <v>0.19</v>
      </c>
      <c r="R103" s="441">
        <v>0.2</v>
      </c>
      <c r="S103" s="441">
        <v>0.19</v>
      </c>
      <c r="T103" s="441">
        <v>0.21</v>
      </c>
      <c r="U103" s="441">
        <v>0.22</v>
      </c>
      <c r="V103" s="441">
        <v>0.24</v>
      </c>
      <c r="W103" s="441">
        <v>0.24</v>
      </c>
      <c r="X103" s="441">
        <v>0.26</v>
      </c>
      <c r="Y103" s="441">
        <v>0.2</v>
      </c>
      <c r="Z103" s="19">
        <f t="shared" si="46"/>
        <v>52.834410471629681</v>
      </c>
      <c r="AA103" s="19">
        <f t="shared" si="47"/>
        <v>58.117851518792655</v>
      </c>
      <c r="AB103" s="19">
        <f t="shared" si="24"/>
        <v>52.834410471629681</v>
      </c>
      <c r="AC103" s="19">
        <f t="shared" si="25"/>
        <v>55.476130995211172</v>
      </c>
      <c r="AD103" s="19">
        <f t="shared" si="26"/>
        <v>52.834410471629681</v>
      </c>
      <c r="AE103" s="19">
        <f t="shared" si="27"/>
        <v>55.476130995211172</v>
      </c>
      <c r="AF103" s="19">
        <f t="shared" si="28"/>
        <v>52.834410471629681</v>
      </c>
      <c r="AG103" s="19">
        <f t="shared" si="29"/>
        <v>52.834410471629681</v>
      </c>
      <c r="AH103" s="19">
        <f t="shared" si="30"/>
        <v>55.476130995211172</v>
      </c>
      <c r="AI103" s="19">
        <f t="shared" si="31"/>
        <v>52.834410471629681</v>
      </c>
      <c r="AJ103" s="19">
        <f t="shared" si="32"/>
        <v>52.834410471629681</v>
      </c>
      <c r="AK103" s="19">
        <f t="shared" si="33"/>
        <v>52.834410471629681</v>
      </c>
      <c r="AL103" s="19">
        <f t="shared" si="34"/>
        <v>52.834410471629681</v>
      </c>
      <c r="AM103" s="19">
        <f t="shared" si="35"/>
        <v>52.834410471629681</v>
      </c>
      <c r="AN103" s="19">
        <f t="shared" si="36"/>
        <v>52.834410471629681</v>
      </c>
      <c r="AO103" s="19">
        <f t="shared" si="37"/>
        <v>50.192689948048198</v>
      </c>
      <c r="AP103" s="19">
        <f t="shared" si="38"/>
        <v>52.834410471629681</v>
      </c>
      <c r="AQ103" s="19">
        <f t="shared" si="39"/>
        <v>50.192689948048198</v>
      </c>
      <c r="AR103" s="19">
        <f t="shared" si="40"/>
        <v>55.476130995211172</v>
      </c>
      <c r="AS103" s="19">
        <f t="shared" si="41"/>
        <v>58.117851518792655</v>
      </c>
      <c r="AT103" s="19">
        <f t="shared" si="42"/>
        <v>63.401292565955622</v>
      </c>
      <c r="AU103" s="19">
        <f t="shared" si="43"/>
        <v>63.401292565955622</v>
      </c>
      <c r="AV103" s="19">
        <f t="shared" si="44"/>
        <v>68.684733613118595</v>
      </c>
      <c r="AW103" s="19">
        <f t="shared" si="45"/>
        <v>52.834410471629681</v>
      </c>
      <c r="AX103" s="18">
        <f>IFERROR(Z103/'Ar-Pa'!B103,0)</f>
        <v>8.8057350786049469</v>
      </c>
      <c r="AY103" s="18">
        <f>IFERROR(AA103/'Ar-Pa'!C103,0)</f>
        <v>9.6863085864654419</v>
      </c>
      <c r="AZ103" s="18">
        <f>IFERROR(AB103/'Ar-Pa'!D103,0)</f>
        <v>8.8057350786049469</v>
      </c>
      <c r="BA103" s="18">
        <f>IFERROR(AC103/'Ar-Pa'!E103,0)</f>
        <v>9.2460218325351953</v>
      </c>
      <c r="BB103" s="18">
        <f>IFERROR(AD103/'Ar-Pa'!F103,0)</f>
        <v>8.8057350786049469</v>
      </c>
      <c r="BC103" s="18">
        <f>IFERROR(AE103/'Ar-Pa'!G103,0)</f>
        <v>9.2460218325351953</v>
      </c>
      <c r="BD103" s="18">
        <f>IFERROR(AF103/'Ar-Pa'!H103,0)</f>
        <v>8.8057350786049469</v>
      </c>
      <c r="BE103" s="18">
        <f>IFERROR(AG103/'Ar-Pa'!I103,0)</f>
        <v>8.8057350786049469</v>
      </c>
      <c r="BF103" s="18">
        <f>IFERROR(AH103/'Ar-Pa'!J103,0)</f>
        <v>9.2460218325351953</v>
      </c>
      <c r="BG103" s="18">
        <f>IFERROR(AI103/'Ar-Pa'!K103,0)</f>
        <v>0</v>
      </c>
      <c r="BH103" s="18">
        <f>IFERROR(AJ103/'Ar-Pa'!L103,0)</f>
        <v>0</v>
      </c>
      <c r="BI103" s="18">
        <f>IFERROR(AK103/'Ar-Pa'!M103,0)</f>
        <v>0</v>
      </c>
      <c r="BJ103" s="18">
        <f>IFERROR(AL103/'Ar-Pa'!N103,0)</f>
        <v>0</v>
      </c>
      <c r="BK103" s="18">
        <f>IFERROR(AM103/'Ar-Pa'!O103,0)</f>
        <v>10.566882094325937</v>
      </c>
      <c r="BL103" s="18">
        <f>IFERROR(AN103/'Ar-Pa'!P103,0)</f>
        <v>10.566882094325937</v>
      </c>
      <c r="BM103" s="18">
        <f>IFERROR(AO103/'Ar-Pa'!Q103,0)</f>
        <v>12.548172487012049</v>
      </c>
      <c r="BN103" s="18">
        <f>IFERROR(AP103/'Ar-Pa'!R103,0)</f>
        <v>10.566882094325937</v>
      </c>
      <c r="BO103" s="18">
        <f>IFERROR(AQ103/'Ar-Pa'!S103,0)</f>
        <v>10.03853798960964</v>
      </c>
      <c r="BP103" s="18">
        <f>IFERROR(AR103/'Ar-Pa'!T103,0)</f>
        <v>11.095226199042234</v>
      </c>
      <c r="BQ103" s="18">
        <f>IFERROR(AS103/'Ar-Pa'!U103,0)</f>
        <v>11.62357030375853</v>
      </c>
      <c r="BR103" s="18">
        <f>IFERROR(AT103/'Ar-Pa'!V103,0)</f>
        <v>10.566882094325937</v>
      </c>
      <c r="BS103" s="18">
        <f>IFERROR(AU103/'Ar-Pa'!W103,0)</f>
        <v>10.566882094325937</v>
      </c>
      <c r="BT103" s="18">
        <f>IFERROR(AV103/'Ar-Pa'!X103,0)</f>
        <v>11.447455602186432</v>
      </c>
      <c r="BU103" s="18">
        <f>IFERROR(AW103/'Ar-Pa'!Y103,0)</f>
        <v>8.8057350786049469</v>
      </c>
    </row>
    <row r="104" spans="1:73" s="12" customFormat="1" ht="15">
      <c r="A104" s="15">
        <v>45029</v>
      </c>
      <c r="B104" s="441">
        <v>0.23</v>
      </c>
      <c r="C104" s="441">
        <v>0.22</v>
      </c>
      <c r="D104" s="441">
        <v>0.22</v>
      </c>
      <c r="E104" s="441">
        <v>0.23</v>
      </c>
      <c r="F104" s="441">
        <v>0.23</v>
      </c>
      <c r="G104" s="441">
        <v>0.23</v>
      </c>
      <c r="H104" s="441">
        <v>0.23</v>
      </c>
      <c r="I104" s="441">
        <v>0.23</v>
      </c>
      <c r="J104" s="441">
        <v>0.23</v>
      </c>
      <c r="K104" s="441">
        <v>0.23</v>
      </c>
      <c r="L104" s="441">
        <v>0.22</v>
      </c>
      <c r="M104" s="441">
        <v>0.22</v>
      </c>
      <c r="N104" s="441">
        <v>0.23</v>
      </c>
      <c r="O104" s="441">
        <v>0.23</v>
      </c>
      <c r="P104" s="441">
        <v>0.23</v>
      </c>
      <c r="Q104" s="441">
        <v>0.23</v>
      </c>
      <c r="R104" s="441">
        <v>0.23</v>
      </c>
      <c r="S104" s="441">
        <v>0.22</v>
      </c>
      <c r="T104" s="441">
        <v>0.23</v>
      </c>
      <c r="U104" s="441">
        <v>0.23</v>
      </c>
      <c r="V104" s="441">
        <v>0.28999999999999998</v>
      </c>
      <c r="W104" s="441">
        <v>0.28000000000000003</v>
      </c>
      <c r="X104" s="441">
        <v>0.28999999999999998</v>
      </c>
      <c r="Y104" s="441">
        <v>0.23</v>
      </c>
      <c r="Z104" s="19">
        <f t="shared" si="46"/>
        <v>60.759572042374138</v>
      </c>
      <c r="AA104" s="19">
        <f t="shared" si="47"/>
        <v>58.117851518792655</v>
      </c>
      <c r="AB104" s="19">
        <f t="shared" si="24"/>
        <v>58.117851518792655</v>
      </c>
      <c r="AC104" s="19">
        <f t="shared" si="25"/>
        <v>60.759572042374138</v>
      </c>
      <c r="AD104" s="19">
        <f t="shared" si="26"/>
        <v>60.759572042374138</v>
      </c>
      <c r="AE104" s="19">
        <f t="shared" si="27"/>
        <v>60.759572042374138</v>
      </c>
      <c r="AF104" s="19">
        <f t="shared" si="28"/>
        <v>60.759572042374138</v>
      </c>
      <c r="AG104" s="19">
        <f t="shared" si="29"/>
        <v>60.759572042374138</v>
      </c>
      <c r="AH104" s="19">
        <f t="shared" si="30"/>
        <v>60.759572042374138</v>
      </c>
      <c r="AI104" s="19">
        <f t="shared" si="31"/>
        <v>60.759572042374138</v>
      </c>
      <c r="AJ104" s="19">
        <f t="shared" si="32"/>
        <v>58.117851518792655</v>
      </c>
      <c r="AK104" s="19">
        <f t="shared" si="33"/>
        <v>58.117851518792655</v>
      </c>
      <c r="AL104" s="19">
        <f t="shared" si="34"/>
        <v>60.759572042374138</v>
      </c>
      <c r="AM104" s="19">
        <f t="shared" si="35"/>
        <v>60.759572042374138</v>
      </c>
      <c r="AN104" s="19">
        <f t="shared" si="36"/>
        <v>60.759572042374138</v>
      </c>
      <c r="AO104" s="19">
        <f t="shared" si="37"/>
        <v>60.759572042374138</v>
      </c>
      <c r="AP104" s="19">
        <f t="shared" si="38"/>
        <v>60.759572042374138</v>
      </c>
      <c r="AQ104" s="19">
        <f t="shared" si="39"/>
        <v>58.117851518792655</v>
      </c>
      <c r="AR104" s="19">
        <f t="shared" si="40"/>
        <v>60.759572042374138</v>
      </c>
      <c r="AS104" s="19">
        <f t="shared" si="41"/>
        <v>60.759572042374138</v>
      </c>
      <c r="AT104" s="19">
        <f t="shared" si="42"/>
        <v>76.609895183863046</v>
      </c>
      <c r="AU104" s="19">
        <f t="shared" si="43"/>
        <v>73.968174660281562</v>
      </c>
      <c r="AV104" s="19">
        <f t="shared" si="44"/>
        <v>76.609895183863046</v>
      </c>
      <c r="AW104" s="19">
        <f t="shared" si="45"/>
        <v>60.759572042374138</v>
      </c>
      <c r="AX104" s="18">
        <f>IFERROR(Z104/'Ar-Pa'!B104,0)</f>
        <v>8.6799388631963055</v>
      </c>
      <c r="AY104" s="18">
        <f>IFERROR(AA104/'Ar-Pa'!C104,0)</f>
        <v>8.3025502169703795</v>
      </c>
      <c r="AZ104" s="18">
        <f>IFERROR(AB104/'Ar-Pa'!D104,0)</f>
        <v>7.2647314398490819</v>
      </c>
      <c r="BA104" s="18">
        <f>IFERROR(AC104/'Ar-Pa'!E104,0)</f>
        <v>7.5949465052967673</v>
      </c>
      <c r="BB104" s="18">
        <f>IFERROR(AD104/'Ar-Pa'!F104,0)</f>
        <v>7.5949465052967673</v>
      </c>
      <c r="BC104" s="18">
        <f>IFERROR(AE104/'Ar-Pa'!G104,0)</f>
        <v>7.5949465052967673</v>
      </c>
      <c r="BD104" s="18">
        <f>IFERROR(AF104/'Ar-Pa'!H104,0)</f>
        <v>8.6799388631963055</v>
      </c>
      <c r="BE104" s="18">
        <f>IFERROR(AG104/'Ar-Pa'!I104,0)</f>
        <v>7.5949465052967673</v>
      </c>
      <c r="BF104" s="18">
        <f>IFERROR(AH104/'Ar-Pa'!J104,0)</f>
        <v>7.5949465052967673</v>
      </c>
      <c r="BG104" s="18">
        <f>IFERROR(AI104/'Ar-Pa'!K104,0)</f>
        <v>7.5949465052967673</v>
      </c>
      <c r="BH104" s="18">
        <f>IFERROR(AJ104/'Ar-Pa'!L104,0)</f>
        <v>7.2647314398490819</v>
      </c>
      <c r="BI104" s="18">
        <f>IFERROR(AK104/'Ar-Pa'!M104,0)</f>
        <v>7.2647314398490819</v>
      </c>
      <c r="BJ104" s="18">
        <f>IFERROR(AL104/'Ar-Pa'!N104,0)</f>
        <v>7.5949465052967673</v>
      </c>
      <c r="BK104" s="18">
        <f>IFERROR(AM104/'Ar-Pa'!O104,0)</f>
        <v>7.5949465052967673</v>
      </c>
      <c r="BL104" s="18">
        <f>IFERROR(AN104/'Ar-Pa'!P104,0)</f>
        <v>7.5949465052967673</v>
      </c>
      <c r="BM104" s="18">
        <f>IFERROR(AO104/'Ar-Pa'!Q104,0)</f>
        <v>7.5949465052967673</v>
      </c>
      <c r="BN104" s="18">
        <f>IFERROR(AP104/'Ar-Pa'!R104,0)</f>
        <v>7.5949465052967673</v>
      </c>
      <c r="BO104" s="18">
        <f>IFERROR(AQ104/'Ar-Pa'!S104,0)</f>
        <v>7.2647314398490819</v>
      </c>
      <c r="BP104" s="18">
        <f>IFERROR(AR104/'Ar-Pa'!T104,0)</f>
        <v>7.5949465052967673</v>
      </c>
      <c r="BQ104" s="18">
        <f>IFERROR(AS104/'Ar-Pa'!U104,0)</f>
        <v>7.5949465052967673</v>
      </c>
      <c r="BR104" s="18">
        <f>IFERROR(AT104/'Ar-Pa'!V104,0)</f>
        <v>9.5762368979828807</v>
      </c>
      <c r="BS104" s="18">
        <f>IFERROR(AU104/'Ar-Pa'!W104,0)</f>
        <v>9.2460218325351953</v>
      </c>
      <c r="BT104" s="18">
        <f>IFERROR(AV104/'Ar-Pa'!X104,0)</f>
        <v>9.5762368979828807</v>
      </c>
      <c r="BU104" s="18">
        <f>IFERROR(AW104/'Ar-Pa'!Y104,0)</f>
        <v>7.5949465052967673</v>
      </c>
    </row>
    <row r="105" spans="1:73" s="12" customFormat="1" ht="15">
      <c r="A105" s="15">
        <v>45030</v>
      </c>
      <c r="B105" s="441">
        <v>0.23</v>
      </c>
      <c r="C105" s="441">
        <v>0.22</v>
      </c>
      <c r="D105" s="441">
        <v>0.24</v>
      </c>
      <c r="E105" s="441">
        <v>0.22</v>
      </c>
      <c r="F105" s="441">
        <v>0.24</v>
      </c>
      <c r="G105" s="441">
        <v>0.23</v>
      </c>
      <c r="H105" s="441">
        <v>0.22</v>
      </c>
      <c r="I105" s="441">
        <v>0.23</v>
      </c>
      <c r="J105" s="441">
        <v>0.23</v>
      </c>
      <c r="K105" s="441">
        <v>0.23</v>
      </c>
      <c r="L105" s="441">
        <v>0.22</v>
      </c>
      <c r="M105" s="441">
        <v>0.23</v>
      </c>
      <c r="N105" s="441">
        <v>0.23</v>
      </c>
      <c r="O105" s="441">
        <v>0.23</v>
      </c>
      <c r="P105" s="441">
        <v>0.23</v>
      </c>
      <c r="Q105" s="441">
        <v>0.23</v>
      </c>
      <c r="R105" s="441">
        <v>0.23</v>
      </c>
      <c r="S105" s="441">
        <v>0.23</v>
      </c>
      <c r="T105" s="441">
        <v>0.23</v>
      </c>
      <c r="U105" s="441">
        <v>0.23</v>
      </c>
      <c r="V105" s="441">
        <v>0.28000000000000003</v>
      </c>
      <c r="W105" s="441">
        <v>0.28999999999999998</v>
      </c>
      <c r="X105" s="441">
        <v>0.28999999999999998</v>
      </c>
      <c r="Y105" s="441">
        <v>0.26</v>
      </c>
      <c r="Z105" s="19">
        <f t="shared" si="46"/>
        <v>60.759572042374138</v>
      </c>
      <c r="AA105" s="19">
        <f t="shared" si="47"/>
        <v>58.117851518792655</v>
      </c>
      <c r="AB105" s="19">
        <f t="shared" si="24"/>
        <v>63.401292565955622</v>
      </c>
      <c r="AC105" s="19">
        <f t="shared" si="25"/>
        <v>58.117851518792655</v>
      </c>
      <c r="AD105" s="19">
        <f t="shared" si="26"/>
        <v>63.401292565955622</v>
      </c>
      <c r="AE105" s="19">
        <f t="shared" si="27"/>
        <v>60.759572042374138</v>
      </c>
      <c r="AF105" s="19">
        <f t="shared" si="28"/>
        <v>58.117851518792655</v>
      </c>
      <c r="AG105" s="19">
        <f t="shared" si="29"/>
        <v>60.759572042374138</v>
      </c>
      <c r="AH105" s="19">
        <f t="shared" si="30"/>
        <v>60.759572042374138</v>
      </c>
      <c r="AI105" s="19">
        <f t="shared" si="31"/>
        <v>60.759572042374138</v>
      </c>
      <c r="AJ105" s="19">
        <f t="shared" si="32"/>
        <v>58.117851518792655</v>
      </c>
      <c r="AK105" s="19">
        <f t="shared" si="33"/>
        <v>60.759572042374138</v>
      </c>
      <c r="AL105" s="19">
        <f t="shared" si="34"/>
        <v>60.759572042374138</v>
      </c>
      <c r="AM105" s="19">
        <f t="shared" si="35"/>
        <v>60.759572042374138</v>
      </c>
      <c r="AN105" s="19">
        <f t="shared" si="36"/>
        <v>60.759572042374138</v>
      </c>
      <c r="AO105" s="19">
        <f t="shared" si="37"/>
        <v>60.759572042374138</v>
      </c>
      <c r="AP105" s="19">
        <f t="shared" si="38"/>
        <v>60.759572042374138</v>
      </c>
      <c r="AQ105" s="19">
        <f t="shared" si="39"/>
        <v>60.759572042374138</v>
      </c>
      <c r="AR105" s="19">
        <f t="shared" si="40"/>
        <v>60.759572042374138</v>
      </c>
      <c r="AS105" s="19">
        <f t="shared" si="41"/>
        <v>60.759572042374138</v>
      </c>
      <c r="AT105" s="19">
        <f t="shared" si="42"/>
        <v>73.968174660281562</v>
      </c>
      <c r="AU105" s="19">
        <f t="shared" si="43"/>
        <v>76.609895183863046</v>
      </c>
      <c r="AV105" s="19">
        <f t="shared" si="44"/>
        <v>76.609895183863046</v>
      </c>
      <c r="AW105" s="19">
        <f t="shared" si="45"/>
        <v>68.684733613118595</v>
      </c>
      <c r="AX105" s="18">
        <f>IFERROR(Z105/'Ar-Pa'!B105,0)</f>
        <v>7.5949465052967673</v>
      </c>
      <c r="AY105" s="18">
        <f>IFERROR(AA105/'Ar-Pa'!C105,0)</f>
        <v>7.2647314398490819</v>
      </c>
      <c r="AZ105" s="18">
        <f>IFERROR(AB105/'Ar-Pa'!D105,0)</f>
        <v>7.9251615707444527</v>
      </c>
      <c r="BA105" s="18">
        <f>IFERROR(AC105/'Ar-Pa'!E105,0)</f>
        <v>7.2647314398490819</v>
      </c>
      <c r="BB105" s="18">
        <f>IFERROR(AD105/'Ar-Pa'!F105,0)</f>
        <v>7.9251615707444527</v>
      </c>
      <c r="BC105" s="18">
        <f>IFERROR(AE105/'Ar-Pa'!G105,0)</f>
        <v>8.6799388631963055</v>
      </c>
      <c r="BD105" s="18">
        <f>IFERROR(AF105/'Ar-Pa'!H105,0)</f>
        <v>8.3025502169703795</v>
      </c>
      <c r="BE105" s="18">
        <f>IFERROR(AG105/'Ar-Pa'!I105,0)</f>
        <v>8.6799388631963055</v>
      </c>
      <c r="BF105" s="18">
        <f>IFERROR(AH105/'Ar-Pa'!J105,0)</f>
        <v>8.6799388631963055</v>
      </c>
      <c r="BG105" s="18">
        <f>IFERROR(AI105/'Ar-Pa'!K105,0)</f>
        <v>8.6799388631963055</v>
      </c>
      <c r="BH105" s="18">
        <f>IFERROR(AJ105/'Ar-Pa'!L105,0)</f>
        <v>8.3025502169703795</v>
      </c>
      <c r="BI105" s="18">
        <f>IFERROR(AK105/'Ar-Pa'!M105,0)</f>
        <v>7.5949465052967673</v>
      </c>
      <c r="BJ105" s="18">
        <f>IFERROR(AL105/'Ar-Pa'!N105,0)</f>
        <v>8.6799388631963055</v>
      </c>
      <c r="BK105" s="18">
        <f>IFERROR(AM105/'Ar-Pa'!O105,0)</f>
        <v>8.6799388631963055</v>
      </c>
      <c r="BL105" s="18">
        <f>IFERROR(AN105/'Ar-Pa'!P105,0)</f>
        <v>7.5949465052967673</v>
      </c>
      <c r="BM105" s="18">
        <f>IFERROR(AO105/'Ar-Pa'!Q105,0)</f>
        <v>7.5949465052967673</v>
      </c>
      <c r="BN105" s="18">
        <f>IFERROR(AP105/'Ar-Pa'!R105,0)</f>
        <v>7.5949465052967673</v>
      </c>
      <c r="BO105" s="18">
        <f>IFERROR(AQ105/'Ar-Pa'!S105,0)</f>
        <v>8.6799388631963055</v>
      </c>
      <c r="BP105" s="18">
        <f>IFERROR(AR105/'Ar-Pa'!T105,0)</f>
        <v>8.6799388631963055</v>
      </c>
      <c r="BQ105" s="18">
        <f>IFERROR(AS105/'Ar-Pa'!U105,0)</f>
        <v>8.6799388631963055</v>
      </c>
      <c r="BR105" s="18">
        <f>IFERROR(AT105/'Ar-Pa'!V105,0)</f>
        <v>10.566882094325937</v>
      </c>
      <c r="BS105" s="18">
        <f>IFERROR(AU105/'Ar-Pa'!W105,0)</f>
        <v>10.944270740551863</v>
      </c>
      <c r="BT105" s="18">
        <f>IFERROR(AV105/'Ar-Pa'!X105,0)</f>
        <v>10.944270740551863</v>
      </c>
      <c r="BU105" s="18">
        <f>IFERROR(AW105/'Ar-Pa'!Y105,0)</f>
        <v>9.8121048018740851</v>
      </c>
    </row>
    <row r="106" spans="1:73" s="12" customFormat="1" ht="15">
      <c r="A106" s="15">
        <v>45031</v>
      </c>
      <c r="B106" s="441">
        <v>0.23</v>
      </c>
      <c r="C106" s="441">
        <v>0.24</v>
      </c>
      <c r="D106" s="441">
        <v>0.23</v>
      </c>
      <c r="E106" s="441">
        <v>0.24</v>
      </c>
      <c r="F106" s="441">
        <v>0.22</v>
      </c>
      <c r="G106" s="441">
        <v>0.24</v>
      </c>
      <c r="H106" s="441">
        <v>0.24</v>
      </c>
      <c r="I106" s="441">
        <v>0.23</v>
      </c>
      <c r="J106" s="441">
        <v>0.24</v>
      </c>
      <c r="K106" s="441">
        <v>0.23</v>
      </c>
      <c r="L106" s="441">
        <v>0.23</v>
      </c>
      <c r="M106" s="441">
        <v>0.24</v>
      </c>
      <c r="N106" s="441">
        <v>0.23</v>
      </c>
      <c r="O106" s="441">
        <v>0.24</v>
      </c>
      <c r="P106" s="441">
        <v>0.23</v>
      </c>
      <c r="Q106" s="441">
        <v>0.24</v>
      </c>
      <c r="R106" s="441">
        <v>0.23</v>
      </c>
      <c r="S106" s="441">
        <v>0.23</v>
      </c>
      <c r="T106" s="441">
        <v>0.24</v>
      </c>
      <c r="U106" s="441">
        <v>0.24</v>
      </c>
      <c r="V106" s="441">
        <v>0.25</v>
      </c>
      <c r="W106" s="441">
        <v>0.24</v>
      </c>
      <c r="X106" s="441">
        <v>0.23</v>
      </c>
      <c r="Y106" s="441">
        <v>0.24</v>
      </c>
      <c r="Z106" s="19">
        <f t="shared" si="46"/>
        <v>60.759572042374138</v>
      </c>
      <c r="AA106" s="19">
        <f t="shared" si="47"/>
        <v>63.401292565955622</v>
      </c>
      <c r="AB106" s="19">
        <f t="shared" si="24"/>
        <v>60.759572042374138</v>
      </c>
      <c r="AC106" s="19">
        <f t="shared" si="25"/>
        <v>63.401292565955622</v>
      </c>
      <c r="AD106" s="19">
        <f t="shared" si="26"/>
        <v>58.117851518792655</v>
      </c>
      <c r="AE106" s="19">
        <f t="shared" si="27"/>
        <v>63.401292565955622</v>
      </c>
      <c r="AF106" s="19">
        <f t="shared" si="28"/>
        <v>63.401292565955622</v>
      </c>
      <c r="AG106" s="19">
        <f t="shared" si="29"/>
        <v>60.759572042374138</v>
      </c>
      <c r="AH106" s="19">
        <f t="shared" si="30"/>
        <v>63.401292565955622</v>
      </c>
      <c r="AI106" s="19">
        <f t="shared" si="31"/>
        <v>60.759572042374138</v>
      </c>
      <c r="AJ106" s="19">
        <f t="shared" si="32"/>
        <v>60.759572042374138</v>
      </c>
      <c r="AK106" s="19">
        <f t="shared" si="33"/>
        <v>63.401292565955622</v>
      </c>
      <c r="AL106" s="19">
        <f t="shared" si="34"/>
        <v>60.759572042374138</v>
      </c>
      <c r="AM106" s="19">
        <f t="shared" si="35"/>
        <v>63.401292565955622</v>
      </c>
      <c r="AN106" s="19">
        <f t="shared" si="36"/>
        <v>60.759572042374138</v>
      </c>
      <c r="AO106" s="19">
        <f t="shared" si="37"/>
        <v>63.401292565955622</v>
      </c>
      <c r="AP106" s="19">
        <f t="shared" si="38"/>
        <v>60.759572042374138</v>
      </c>
      <c r="AQ106" s="19">
        <f t="shared" si="39"/>
        <v>60.759572042374138</v>
      </c>
      <c r="AR106" s="19">
        <f t="shared" si="40"/>
        <v>63.401292565955622</v>
      </c>
      <c r="AS106" s="19">
        <f t="shared" si="41"/>
        <v>63.401292565955622</v>
      </c>
      <c r="AT106" s="19">
        <f t="shared" si="42"/>
        <v>66.043013089537112</v>
      </c>
      <c r="AU106" s="19">
        <f t="shared" si="43"/>
        <v>63.401292565955622</v>
      </c>
      <c r="AV106" s="19">
        <f t="shared" si="44"/>
        <v>60.759572042374138</v>
      </c>
      <c r="AW106" s="19">
        <f t="shared" si="45"/>
        <v>63.401292565955622</v>
      </c>
      <c r="AX106" s="18">
        <f>IFERROR(Z106/'Ar-Pa'!B106,0)</f>
        <v>8.6799388631963055</v>
      </c>
      <c r="AY106" s="18">
        <f>IFERROR(AA106/'Ar-Pa'!C106,0)</f>
        <v>9.0573275094222314</v>
      </c>
      <c r="AZ106" s="18">
        <f>IFERROR(AB106/'Ar-Pa'!D106,0)</f>
        <v>8.6799388631963055</v>
      </c>
      <c r="BA106" s="18">
        <f>IFERROR(AC106/'Ar-Pa'!E106,0)</f>
        <v>9.0573275094222314</v>
      </c>
      <c r="BB106" s="18">
        <f>IFERROR(AD106/'Ar-Pa'!F106,0)</f>
        <v>8.3025502169703795</v>
      </c>
      <c r="BC106" s="18">
        <f>IFERROR(AE106/'Ar-Pa'!G106,0)</f>
        <v>9.0573275094222314</v>
      </c>
      <c r="BD106" s="18">
        <f>IFERROR(AF106/'Ar-Pa'!H106,0)</f>
        <v>9.0573275094222314</v>
      </c>
      <c r="BE106" s="18">
        <f>IFERROR(AG106/'Ar-Pa'!I106,0)</f>
        <v>8.6799388631963055</v>
      </c>
      <c r="BF106" s="18">
        <f>IFERROR(AH106/'Ar-Pa'!J106,0)</f>
        <v>9.0573275094222314</v>
      </c>
      <c r="BG106" s="18">
        <f>IFERROR(AI106/'Ar-Pa'!K106,0)</f>
        <v>8.6799388631963055</v>
      </c>
      <c r="BH106" s="18">
        <f>IFERROR(AJ106/'Ar-Pa'!L106,0)</f>
        <v>8.6799388631963055</v>
      </c>
      <c r="BI106" s="18">
        <f>IFERROR(AK106/'Ar-Pa'!M106,0)</f>
        <v>9.0573275094222314</v>
      </c>
      <c r="BJ106" s="18">
        <f>IFERROR(AL106/'Ar-Pa'!N106,0)</f>
        <v>8.6799388631963055</v>
      </c>
      <c r="BK106" s="18">
        <f>IFERROR(AM106/'Ar-Pa'!O106,0)</f>
        <v>15.850323141488905</v>
      </c>
      <c r="BL106" s="18">
        <f>IFERROR(AN106/'Ar-Pa'!P106,0)</f>
        <v>8.6799388631963055</v>
      </c>
      <c r="BM106" s="18">
        <f>IFERROR(AO106/'Ar-Pa'!Q106,0)</f>
        <v>9.0573275094222314</v>
      </c>
      <c r="BN106" s="18">
        <f>IFERROR(AP106/'Ar-Pa'!R106,0)</f>
        <v>8.6799388631963055</v>
      </c>
      <c r="BO106" s="18">
        <f>IFERROR(AQ106/'Ar-Pa'!S106,0)</f>
        <v>8.6799388631963055</v>
      </c>
      <c r="BP106" s="18">
        <f>IFERROR(AR106/'Ar-Pa'!T106,0)</f>
        <v>9.0573275094222314</v>
      </c>
      <c r="BQ106" s="18">
        <f>IFERROR(AS106/'Ar-Pa'!U106,0)</f>
        <v>9.0573275094222314</v>
      </c>
      <c r="BR106" s="18">
        <f>IFERROR(AT106/'Ar-Pa'!V106,0)</f>
        <v>9.4347161556481591</v>
      </c>
      <c r="BS106" s="18">
        <f>IFERROR(AU106/'Ar-Pa'!W106,0)</f>
        <v>9.0573275094222314</v>
      </c>
      <c r="BT106" s="18">
        <f>IFERROR(AV106/'Ar-Pa'!X106,0)</f>
        <v>8.6799388631963055</v>
      </c>
      <c r="BU106" s="18">
        <f>IFERROR(AW106/'Ar-Pa'!Y106,0)</f>
        <v>9.0573275094222314</v>
      </c>
    </row>
    <row r="107" spans="1:73" s="12" customFormat="1" ht="15">
      <c r="A107" s="15">
        <v>45032</v>
      </c>
      <c r="B107" s="441">
        <v>0.23</v>
      </c>
      <c r="C107" s="441">
        <v>0.23</v>
      </c>
      <c r="D107" s="441">
        <v>0.24</v>
      </c>
      <c r="E107" s="441">
        <v>0.23</v>
      </c>
      <c r="F107" s="441">
        <v>0.23</v>
      </c>
      <c r="G107" s="441">
        <v>0.24</v>
      </c>
      <c r="H107" s="441">
        <v>0.23</v>
      </c>
      <c r="I107" s="441">
        <v>0.23</v>
      </c>
      <c r="J107" s="441">
        <v>0.23</v>
      </c>
      <c r="K107" s="441">
        <v>0.23</v>
      </c>
      <c r="L107" s="441">
        <v>0.23</v>
      </c>
      <c r="M107" s="441">
        <v>0.22</v>
      </c>
      <c r="N107" s="441">
        <v>0.23</v>
      </c>
      <c r="O107" s="441">
        <v>0.23</v>
      </c>
      <c r="P107" s="441">
        <v>0.23</v>
      </c>
      <c r="Q107" s="441">
        <v>0.23</v>
      </c>
      <c r="R107" s="441">
        <v>0.23</v>
      </c>
      <c r="S107" s="441">
        <v>0.23</v>
      </c>
      <c r="T107" s="441">
        <v>0.22</v>
      </c>
      <c r="U107" s="441">
        <v>0.23</v>
      </c>
      <c r="V107" s="441">
        <v>0.27</v>
      </c>
      <c r="W107" s="441">
        <v>0.23</v>
      </c>
      <c r="X107" s="441">
        <v>0.23</v>
      </c>
      <c r="Y107" s="441">
        <v>0.23</v>
      </c>
      <c r="Z107" s="19">
        <f t="shared" si="46"/>
        <v>60.759572042374138</v>
      </c>
      <c r="AA107" s="19">
        <f t="shared" si="47"/>
        <v>60.759572042374138</v>
      </c>
      <c r="AB107" s="19">
        <f t="shared" si="24"/>
        <v>63.401292565955622</v>
      </c>
      <c r="AC107" s="19">
        <f t="shared" si="25"/>
        <v>60.759572042374138</v>
      </c>
      <c r="AD107" s="19">
        <f t="shared" si="26"/>
        <v>60.759572042374138</v>
      </c>
      <c r="AE107" s="19">
        <f t="shared" si="27"/>
        <v>63.401292565955622</v>
      </c>
      <c r="AF107" s="19">
        <f t="shared" si="28"/>
        <v>60.759572042374138</v>
      </c>
      <c r="AG107" s="19">
        <f t="shared" si="29"/>
        <v>60.759572042374138</v>
      </c>
      <c r="AH107" s="19">
        <f t="shared" si="30"/>
        <v>60.759572042374138</v>
      </c>
      <c r="AI107" s="19">
        <f t="shared" si="31"/>
        <v>60.759572042374138</v>
      </c>
      <c r="AJ107" s="19">
        <f t="shared" si="32"/>
        <v>60.759572042374138</v>
      </c>
      <c r="AK107" s="19">
        <f t="shared" si="33"/>
        <v>58.117851518792655</v>
      </c>
      <c r="AL107" s="19">
        <f t="shared" si="34"/>
        <v>60.759572042374138</v>
      </c>
      <c r="AM107" s="19">
        <f t="shared" si="35"/>
        <v>60.759572042374138</v>
      </c>
      <c r="AN107" s="19">
        <f t="shared" si="36"/>
        <v>60.759572042374138</v>
      </c>
      <c r="AO107" s="19">
        <f t="shared" si="37"/>
        <v>60.759572042374138</v>
      </c>
      <c r="AP107" s="19">
        <f t="shared" si="38"/>
        <v>60.759572042374138</v>
      </c>
      <c r="AQ107" s="19">
        <f t="shared" si="39"/>
        <v>60.759572042374138</v>
      </c>
      <c r="AR107" s="19">
        <f t="shared" si="40"/>
        <v>58.117851518792655</v>
      </c>
      <c r="AS107" s="19">
        <f t="shared" si="41"/>
        <v>60.759572042374138</v>
      </c>
      <c r="AT107" s="19">
        <f t="shared" si="42"/>
        <v>71.326454136700079</v>
      </c>
      <c r="AU107" s="19">
        <f t="shared" si="43"/>
        <v>60.759572042374138</v>
      </c>
      <c r="AV107" s="19">
        <f t="shared" si="44"/>
        <v>60.759572042374138</v>
      </c>
      <c r="AW107" s="19">
        <f t="shared" si="45"/>
        <v>60.759572042374138</v>
      </c>
      <c r="AX107" s="18">
        <f>IFERROR(Z107/'Ar-Pa'!B107,0)</f>
        <v>8.6799388631963055</v>
      </c>
      <c r="AY107" s="18">
        <f>IFERROR(AA107/'Ar-Pa'!C107,0)</f>
        <v>8.6799388631963055</v>
      </c>
      <c r="AZ107" s="18">
        <f>IFERROR(AB107/'Ar-Pa'!D107,0)</f>
        <v>9.0573275094222314</v>
      </c>
      <c r="BA107" s="18">
        <f>IFERROR(AC107/'Ar-Pa'!E107,0)</f>
        <v>8.6799388631963055</v>
      </c>
      <c r="BB107" s="18">
        <f>IFERROR(AD107/'Ar-Pa'!F107,0)</f>
        <v>8.6799388631963055</v>
      </c>
      <c r="BC107" s="18">
        <f>IFERROR(AE107/'Ar-Pa'!G107,0)</f>
        <v>9.0573275094222314</v>
      </c>
      <c r="BD107" s="18">
        <f>IFERROR(AF107/'Ar-Pa'!H107,0)</f>
        <v>8.6799388631963055</v>
      </c>
      <c r="BE107" s="18">
        <f>IFERROR(AG107/'Ar-Pa'!I107,0)</f>
        <v>8.6799388631963055</v>
      </c>
      <c r="BF107" s="18">
        <f>IFERROR(AH107/'Ar-Pa'!J107,0)</f>
        <v>8.6799388631963055</v>
      </c>
      <c r="BG107" s="18">
        <f>IFERROR(AI107/'Ar-Pa'!K107,0)</f>
        <v>8.6799388631963055</v>
      </c>
      <c r="BH107" s="18">
        <f>IFERROR(AJ107/'Ar-Pa'!L107,0)</f>
        <v>8.6799388631963055</v>
      </c>
      <c r="BI107" s="18">
        <f>IFERROR(AK107/'Ar-Pa'!M107,0)</f>
        <v>8.3025502169703795</v>
      </c>
      <c r="BJ107" s="18">
        <f>IFERROR(AL107/'Ar-Pa'!N107,0)</f>
        <v>8.6799388631963055</v>
      </c>
      <c r="BK107" s="18">
        <f>IFERROR(AM107/'Ar-Pa'!O107,0)</f>
        <v>8.6799388631963055</v>
      </c>
      <c r="BL107" s="18">
        <f>IFERROR(AN107/'Ar-Pa'!P107,0)</f>
        <v>8.6799388631963055</v>
      </c>
      <c r="BM107" s="18">
        <f>IFERROR(AO107/'Ar-Pa'!Q107,0)</f>
        <v>8.6799388631963055</v>
      </c>
      <c r="BN107" s="18">
        <f>IFERROR(AP107/'Ar-Pa'!R107,0)</f>
        <v>8.6799388631963055</v>
      </c>
      <c r="BO107" s="18">
        <f>IFERROR(AQ107/'Ar-Pa'!S107,0)</f>
        <v>8.6799388631963055</v>
      </c>
      <c r="BP107" s="18">
        <f>IFERROR(AR107/'Ar-Pa'!T107,0)</f>
        <v>8.3025502169703795</v>
      </c>
      <c r="BQ107" s="18">
        <f>IFERROR(AS107/'Ar-Pa'!U107,0)</f>
        <v>8.6799388631963055</v>
      </c>
      <c r="BR107" s="18">
        <f>IFERROR(AT107/'Ar-Pa'!V107,0)</f>
        <v>10.189493448100011</v>
      </c>
      <c r="BS107" s="18">
        <f>IFERROR(AU107/'Ar-Pa'!W107,0)</f>
        <v>8.6799388631963055</v>
      </c>
      <c r="BT107" s="18">
        <f>IFERROR(AV107/'Ar-Pa'!X107,0)</f>
        <v>8.6799388631963055</v>
      </c>
      <c r="BU107" s="18">
        <f>IFERROR(AW107/'Ar-Pa'!Y107,0)</f>
        <v>8.6799388631963055</v>
      </c>
    </row>
    <row r="108" spans="1:73" s="12" customFormat="1" ht="15">
      <c r="A108" s="15">
        <v>45033</v>
      </c>
      <c r="B108" s="441">
        <v>0.25</v>
      </c>
      <c r="C108" s="441">
        <v>0.25</v>
      </c>
      <c r="D108" s="441">
        <v>0.25</v>
      </c>
      <c r="E108" s="441">
        <v>0.26</v>
      </c>
      <c r="F108" s="441">
        <v>0.25</v>
      </c>
      <c r="G108" s="441">
        <v>0.25</v>
      </c>
      <c r="H108" s="441">
        <v>0.25</v>
      </c>
      <c r="I108" s="441">
        <v>0.26</v>
      </c>
      <c r="J108" s="441">
        <v>0.24</v>
      </c>
      <c r="K108" s="441">
        <v>0.25</v>
      </c>
      <c r="L108" s="441">
        <v>0.25</v>
      </c>
      <c r="M108" s="441">
        <v>0.24</v>
      </c>
      <c r="N108" s="441">
        <v>0.25</v>
      </c>
      <c r="O108" s="441">
        <v>0.25</v>
      </c>
      <c r="P108" s="441">
        <v>0.24</v>
      </c>
      <c r="Q108" s="441">
        <v>0.25</v>
      </c>
      <c r="R108" s="441">
        <v>0.24</v>
      </c>
      <c r="S108" s="441">
        <v>0.25</v>
      </c>
      <c r="T108" s="441">
        <v>0.24</v>
      </c>
      <c r="U108" s="441">
        <v>0.3</v>
      </c>
      <c r="V108" s="441">
        <v>0.31</v>
      </c>
      <c r="W108" s="441">
        <v>0.25</v>
      </c>
      <c r="X108" s="441">
        <v>0.25</v>
      </c>
      <c r="Y108" s="441">
        <v>0.26</v>
      </c>
      <c r="Z108" s="19">
        <f t="shared" si="46"/>
        <v>66.043013089537112</v>
      </c>
      <c r="AA108" s="19">
        <f t="shared" si="47"/>
        <v>66.043013089537112</v>
      </c>
      <c r="AB108" s="19">
        <f t="shared" si="24"/>
        <v>66.043013089537112</v>
      </c>
      <c r="AC108" s="19">
        <f t="shared" si="25"/>
        <v>68.684733613118595</v>
      </c>
      <c r="AD108" s="19">
        <f t="shared" si="26"/>
        <v>66.043013089537112</v>
      </c>
      <c r="AE108" s="19">
        <f t="shared" si="27"/>
        <v>66.043013089537112</v>
      </c>
      <c r="AF108" s="19">
        <f t="shared" si="28"/>
        <v>66.043013089537112</v>
      </c>
      <c r="AG108" s="19">
        <f t="shared" si="29"/>
        <v>68.684733613118595</v>
      </c>
      <c r="AH108" s="19">
        <f t="shared" si="30"/>
        <v>63.401292565955622</v>
      </c>
      <c r="AI108" s="19">
        <f t="shared" si="31"/>
        <v>66.043013089537112</v>
      </c>
      <c r="AJ108" s="19">
        <f t="shared" si="32"/>
        <v>66.043013089537112</v>
      </c>
      <c r="AK108" s="19">
        <f t="shared" si="33"/>
        <v>63.401292565955622</v>
      </c>
      <c r="AL108" s="19">
        <f t="shared" si="34"/>
        <v>66.043013089537112</v>
      </c>
      <c r="AM108" s="19">
        <f t="shared" si="35"/>
        <v>66.043013089537112</v>
      </c>
      <c r="AN108" s="19">
        <f t="shared" si="36"/>
        <v>63.401292565955622</v>
      </c>
      <c r="AO108" s="19">
        <f t="shared" si="37"/>
        <v>66.043013089537112</v>
      </c>
      <c r="AP108" s="19">
        <f t="shared" si="38"/>
        <v>63.401292565955622</v>
      </c>
      <c r="AQ108" s="19">
        <f t="shared" si="39"/>
        <v>66.043013089537112</v>
      </c>
      <c r="AR108" s="19">
        <f t="shared" si="40"/>
        <v>63.401292565955622</v>
      </c>
      <c r="AS108" s="19">
        <f t="shared" si="41"/>
        <v>79.251615707444529</v>
      </c>
      <c r="AT108" s="19">
        <f t="shared" si="42"/>
        <v>81.893336231026012</v>
      </c>
      <c r="AU108" s="19">
        <f t="shared" si="43"/>
        <v>66.043013089537112</v>
      </c>
      <c r="AV108" s="19">
        <f t="shared" si="44"/>
        <v>66.043013089537112</v>
      </c>
      <c r="AW108" s="19">
        <f t="shared" si="45"/>
        <v>68.684733613118595</v>
      </c>
      <c r="AX108" s="18">
        <f>IFERROR(Z108/'Ar-Pa'!B108,0)</f>
        <v>9.4347161556481591</v>
      </c>
      <c r="AY108" s="18">
        <f>IFERROR(AA108/'Ar-Pa'!C108,0)</f>
        <v>9.4347161556481591</v>
      </c>
      <c r="AZ108" s="18">
        <f>IFERROR(AB108/'Ar-Pa'!D108,0)</f>
        <v>9.4347161556481591</v>
      </c>
      <c r="BA108" s="18">
        <f>IFERROR(AC108/'Ar-Pa'!E108,0)</f>
        <v>8.5855917016398244</v>
      </c>
      <c r="BB108" s="18">
        <f>IFERROR(AD108/'Ar-Pa'!F108,0)</f>
        <v>8.255376636192139</v>
      </c>
      <c r="BC108" s="18">
        <f>IFERROR(AE108/'Ar-Pa'!G108,0)</f>
        <v>8.255376636192139</v>
      </c>
      <c r="BD108" s="18">
        <f>IFERROR(AF108/'Ar-Pa'!H108,0)</f>
        <v>8.255376636192139</v>
      </c>
      <c r="BE108" s="18">
        <f>IFERROR(AG108/'Ar-Pa'!I108,0)</f>
        <v>8.5855917016398244</v>
      </c>
      <c r="BF108" s="18">
        <f>IFERROR(AH108/'Ar-Pa'!J108,0)</f>
        <v>7.9251615707444527</v>
      </c>
      <c r="BG108" s="18">
        <f>IFERROR(AI108/'Ar-Pa'!K108,0)</f>
        <v>8.255376636192139</v>
      </c>
      <c r="BH108" s="18">
        <f>IFERROR(AJ108/'Ar-Pa'!L108,0)</f>
        <v>8.255376636192139</v>
      </c>
      <c r="BI108" s="18">
        <f>IFERROR(AK108/'Ar-Pa'!M108,0)</f>
        <v>7.9251615707444527</v>
      </c>
      <c r="BJ108" s="18">
        <f>IFERROR(AL108/'Ar-Pa'!N108,0)</f>
        <v>8.255376636192139</v>
      </c>
      <c r="BK108" s="18">
        <f>IFERROR(AM108/'Ar-Pa'!O108,0)</f>
        <v>8.255376636192139</v>
      </c>
      <c r="BL108" s="18">
        <f>IFERROR(AN108/'Ar-Pa'!P108,0)</f>
        <v>7.9251615707444527</v>
      </c>
      <c r="BM108" s="18">
        <f>IFERROR(AO108/'Ar-Pa'!Q108,0)</f>
        <v>9.4347161556481591</v>
      </c>
      <c r="BN108" s="18">
        <f>IFERROR(AP108/'Ar-Pa'!R108,0)</f>
        <v>7.9251615707444527</v>
      </c>
      <c r="BO108" s="18">
        <f>IFERROR(AQ108/'Ar-Pa'!S108,0)</f>
        <v>8.255376636192139</v>
      </c>
      <c r="BP108" s="18">
        <f>IFERROR(AR108/'Ar-Pa'!T108,0)</f>
        <v>7.9251615707444527</v>
      </c>
      <c r="BQ108" s="18">
        <f>IFERROR(AS108/'Ar-Pa'!U108,0)</f>
        <v>9.9064519634305661</v>
      </c>
      <c r="BR108" s="18">
        <f>IFERROR(AT108/'Ar-Pa'!V108,0)</f>
        <v>10.236667028878252</v>
      </c>
      <c r="BS108" s="18">
        <f>IFERROR(AU108/'Ar-Pa'!W108,0)</f>
        <v>8.255376636192139</v>
      </c>
      <c r="BT108" s="18">
        <f>IFERROR(AV108/'Ar-Pa'!X108,0)</f>
        <v>8.255376636192139</v>
      </c>
      <c r="BU108" s="18">
        <f>IFERROR(AW108/'Ar-Pa'!Y108,0)</f>
        <v>8.5855917016398244</v>
      </c>
    </row>
    <row r="109" spans="1:73" s="12" customFormat="1" ht="15">
      <c r="A109" s="15">
        <v>45034</v>
      </c>
      <c r="B109" s="441">
        <v>0.24</v>
      </c>
      <c r="C109" s="441">
        <v>0.24</v>
      </c>
      <c r="D109" s="441">
        <v>0.24</v>
      </c>
      <c r="E109" s="441">
        <v>0.24</v>
      </c>
      <c r="F109" s="441">
        <v>0.24</v>
      </c>
      <c r="G109" s="441">
        <v>0.24</v>
      </c>
      <c r="H109" s="441">
        <v>0.24</v>
      </c>
      <c r="I109" s="441">
        <v>0.24</v>
      </c>
      <c r="J109" s="441">
        <v>0.24</v>
      </c>
      <c r="K109" s="441">
        <v>0.24</v>
      </c>
      <c r="L109" s="441">
        <v>0.24</v>
      </c>
      <c r="M109" s="441">
        <v>0.23</v>
      </c>
      <c r="N109" s="441">
        <v>0.24</v>
      </c>
      <c r="O109" s="441">
        <v>0.24</v>
      </c>
      <c r="P109" s="441">
        <v>0.24</v>
      </c>
      <c r="Q109" s="441">
        <v>0.24</v>
      </c>
      <c r="R109" s="441">
        <v>0.24</v>
      </c>
      <c r="S109" s="441">
        <v>0.24</v>
      </c>
      <c r="T109" s="441">
        <v>0.24</v>
      </c>
      <c r="U109" s="441">
        <v>0.24</v>
      </c>
      <c r="V109" s="441">
        <v>0.3</v>
      </c>
      <c r="W109" s="441">
        <v>0.27</v>
      </c>
      <c r="X109" s="441">
        <v>0.28999999999999998</v>
      </c>
      <c r="Y109" s="441">
        <v>0.25</v>
      </c>
      <c r="Z109" s="19">
        <f t="shared" si="46"/>
        <v>63.401292565955622</v>
      </c>
      <c r="AA109" s="19">
        <f t="shared" si="47"/>
        <v>63.401292565955622</v>
      </c>
      <c r="AB109" s="19">
        <f t="shared" si="24"/>
        <v>63.401292565955622</v>
      </c>
      <c r="AC109" s="19">
        <f t="shared" si="25"/>
        <v>63.401292565955622</v>
      </c>
      <c r="AD109" s="19">
        <f t="shared" si="26"/>
        <v>63.401292565955622</v>
      </c>
      <c r="AE109" s="19">
        <f t="shared" si="27"/>
        <v>63.401292565955622</v>
      </c>
      <c r="AF109" s="19">
        <f t="shared" si="28"/>
        <v>63.401292565955622</v>
      </c>
      <c r="AG109" s="19">
        <f t="shared" si="29"/>
        <v>63.401292565955622</v>
      </c>
      <c r="AH109" s="19">
        <f t="shared" si="30"/>
        <v>63.401292565955622</v>
      </c>
      <c r="AI109" s="19">
        <f t="shared" si="31"/>
        <v>63.401292565955622</v>
      </c>
      <c r="AJ109" s="19">
        <f t="shared" si="32"/>
        <v>63.401292565955622</v>
      </c>
      <c r="AK109" s="19">
        <f t="shared" si="33"/>
        <v>60.759572042374138</v>
      </c>
      <c r="AL109" s="19">
        <f t="shared" si="34"/>
        <v>63.401292565955622</v>
      </c>
      <c r="AM109" s="19">
        <f t="shared" si="35"/>
        <v>63.401292565955622</v>
      </c>
      <c r="AN109" s="19">
        <f t="shared" si="36"/>
        <v>63.401292565955622</v>
      </c>
      <c r="AO109" s="19">
        <f t="shared" si="37"/>
        <v>63.401292565955622</v>
      </c>
      <c r="AP109" s="19">
        <f t="shared" si="38"/>
        <v>63.401292565955622</v>
      </c>
      <c r="AQ109" s="19">
        <f t="shared" si="39"/>
        <v>63.401292565955622</v>
      </c>
      <c r="AR109" s="19">
        <f t="shared" si="40"/>
        <v>63.401292565955622</v>
      </c>
      <c r="AS109" s="19">
        <f t="shared" si="41"/>
        <v>63.401292565955622</v>
      </c>
      <c r="AT109" s="19">
        <f t="shared" si="42"/>
        <v>79.251615707444529</v>
      </c>
      <c r="AU109" s="19">
        <f t="shared" si="43"/>
        <v>71.326454136700079</v>
      </c>
      <c r="AV109" s="19">
        <f t="shared" si="44"/>
        <v>76.609895183863046</v>
      </c>
      <c r="AW109" s="19">
        <f t="shared" si="45"/>
        <v>66.043013089537112</v>
      </c>
      <c r="AX109" s="18">
        <f>IFERROR(Z109/'Ar-Pa'!B109,0)</f>
        <v>7.9251615707444527</v>
      </c>
      <c r="AY109" s="18">
        <f>IFERROR(AA109/'Ar-Pa'!C109,0)</f>
        <v>7.9251615707444527</v>
      </c>
      <c r="AZ109" s="18">
        <f>IFERROR(AB109/'Ar-Pa'!D109,0)</f>
        <v>7.9251615707444527</v>
      </c>
      <c r="BA109" s="18">
        <f>IFERROR(AC109/'Ar-Pa'!E109,0)</f>
        <v>7.9251615707444527</v>
      </c>
      <c r="BB109" s="18">
        <f>IFERROR(AD109/'Ar-Pa'!F109,0)</f>
        <v>7.9251615707444527</v>
      </c>
      <c r="BC109" s="18">
        <f>IFERROR(AE109/'Ar-Pa'!G109,0)</f>
        <v>7.9251615707444527</v>
      </c>
      <c r="BD109" s="18">
        <f>IFERROR(AF109/'Ar-Pa'!H109,0)</f>
        <v>9.0573275094222314</v>
      </c>
      <c r="BE109" s="18">
        <f>IFERROR(AG109/'Ar-Pa'!I109,0)</f>
        <v>9.0573275094222314</v>
      </c>
      <c r="BF109" s="18">
        <f>IFERROR(AH109/'Ar-Pa'!J109,0)</f>
        <v>7.9251615707444527</v>
      </c>
      <c r="BG109" s="18">
        <f>IFERROR(AI109/'Ar-Pa'!K109,0)</f>
        <v>7.9251615707444527</v>
      </c>
      <c r="BH109" s="18">
        <f>IFERROR(AJ109/'Ar-Pa'!L109,0)</f>
        <v>7.9251615707444527</v>
      </c>
      <c r="BI109" s="18">
        <f>IFERROR(AK109/'Ar-Pa'!M109,0)</f>
        <v>7.5949465052967673</v>
      </c>
      <c r="BJ109" s="18">
        <f>IFERROR(AL109/'Ar-Pa'!N109,0)</f>
        <v>7.9251615707444527</v>
      </c>
      <c r="BK109" s="18">
        <f>IFERROR(AM109/'Ar-Pa'!O109,0)</f>
        <v>7.9251615707444527</v>
      </c>
      <c r="BL109" s="18">
        <f>IFERROR(AN109/'Ar-Pa'!P109,0)</f>
        <v>7.9251615707444527</v>
      </c>
      <c r="BM109" s="18">
        <f>IFERROR(AO109/'Ar-Pa'!Q109,0)</f>
        <v>7.9251615707444527</v>
      </c>
      <c r="BN109" s="18">
        <f>IFERROR(AP109/'Ar-Pa'!R109,0)</f>
        <v>7.9251615707444527</v>
      </c>
      <c r="BO109" s="18">
        <f>IFERROR(AQ109/'Ar-Pa'!S109,0)</f>
        <v>7.9251615707444527</v>
      </c>
      <c r="BP109" s="18">
        <f>IFERROR(AR109/'Ar-Pa'!T109,0)</f>
        <v>7.9251615707444527</v>
      </c>
      <c r="BQ109" s="18">
        <f>IFERROR(AS109/'Ar-Pa'!U109,0)</f>
        <v>7.9251615707444527</v>
      </c>
      <c r="BR109" s="18">
        <f>IFERROR(AT109/'Ar-Pa'!V109,0)</f>
        <v>9.9064519634305661</v>
      </c>
      <c r="BS109" s="18">
        <f>IFERROR(AU109/'Ar-Pa'!W109,0)</f>
        <v>8.9158067670875099</v>
      </c>
      <c r="BT109" s="18">
        <f>IFERROR(AV109/'Ar-Pa'!X109,0)</f>
        <v>9.5762368979828807</v>
      </c>
      <c r="BU109" s="18">
        <f>IFERROR(AW109/'Ar-Pa'!Y109,0)</f>
        <v>8.255376636192139</v>
      </c>
    </row>
    <row r="110" spans="1:73" s="12" customFormat="1" ht="15">
      <c r="A110" s="15">
        <v>45035</v>
      </c>
      <c r="B110" s="441">
        <v>0.28000000000000003</v>
      </c>
      <c r="C110" s="441">
        <v>0.27</v>
      </c>
      <c r="D110" s="441">
        <v>0.28000000000000003</v>
      </c>
      <c r="E110" s="441">
        <v>0.27</v>
      </c>
      <c r="F110" s="441">
        <v>0.28000000000000003</v>
      </c>
      <c r="G110" s="441">
        <v>0.27</v>
      </c>
      <c r="H110" s="441">
        <v>0.28000000000000003</v>
      </c>
      <c r="I110" s="441">
        <v>0.28000000000000003</v>
      </c>
      <c r="J110" s="441">
        <v>0.27</v>
      </c>
      <c r="K110" s="441">
        <v>0.27</v>
      </c>
      <c r="L110" s="441">
        <v>0.27</v>
      </c>
      <c r="M110" s="441">
        <v>0.28000000000000003</v>
      </c>
      <c r="N110" s="441">
        <v>0.27</v>
      </c>
      <c r="O110" s="441">
        <v>0.27</v>
      </c>
      <c r="P110" s="441">
        <v>0.28000000000000003</v>
      </c>
      <c r="Q110" s="441">
        <v>0.27</v>
      </c>
      <c r="R110" s="441">
        <v>0.27</v>
      </c>
      <c r="S110" s="441">
        <v>0.27</v>
      </c>
      <c r="T110" s="441">
        <v>0.27</v>
      </c>
      <c r="U110" s="441">
        <v>0.28000000000000003</v>
      </c>
      <c r="V110" s="441">
        <v>0.34</v>
      </c>
      <c r="W110" s="441">
        <v>0.27</v>
      </c>
      <c r="X110" s="441">
        <v>0.28000000000000003</v>
      </c>
      <c r="Y110" s="441">
        <v>0.27</v>
      </c>
      <c r="Z110" s="19">
        <f t="shared" si="46"/>
        <v>73.968174660281562</v>
      </c>
      <c r="AA110" s="19">
        <f t="shared" si="47"/>
        <v>71.326454136700079</v>
      </c>
      <c r="AB110" s="19">
        <f t="shared" si="24"/>
        <v>73.968174660281562</v>
      </c>
      <c r="AC110" s="19">
        <f t="shared" si="25"/>
        <v>71.326454136700079</v>
      </c>
      <c r="AD110" s="19">
        <f t="shared" si="26"/>
        <v>73.968174660281562</v>
      </c>
      <c r="AE110" s="19">
        <f t="shared" si="27"/>
        <v>71.326454136700079</v>
      </c>
      <c r="AF110" s="19">
        <f t="shared" si="28"/>
        <v>73.968174660281562</v>
      </c>
      <c r="AG110" s="19">
        <f t="shared" si="29"/>
        <v>73.968174660281562</v>
      </c>
      <c r="AH110" s="19">
        <f t="shared" si="30"/>
        <v>71.326454136700079</v>
      </c>
      <c r="AI110" s="19">
        <f t="shared" si="31"/>
        <v>71.326454136700079</v>
      </c>
      <c r="AJ110" s="19">
        <f t="shared" si="32"/>
        <v>71.326454136700079</v>
      </c>
      <c r="AK110" s="19">
        <f t="shared" si="33"/>
        <v>73.968174660281562</v>
      </c>
      <c r="AL110" s="19">
        <f t="shared" si="34"/>
        <v>71.326454136700079</v>
      </c>
      <c r="AM110" s="19">
        <f t="shared" si="35"/>
        <v>71.326454136700079</v>
      </c>
      <c r="AN110" s="19">
        <f t="shared" si="36"/>
        <v>73.968174660281562</v>
      </c>
      <c r="AO110" s="19">
        <f t="shared" si="37"/>
        <v>71.326454136700079</v>
      </c>
      <c r="AP110" s="19">
        <f t="shared" si="38"/>
        <v>71.326454136700079</v>
      </c>
      <c r="AQ110" s="19">
        <f t="shared" si="39"/>
        <v>71.326454136700079</v>
      </c>
      <c r="AR110" s="19">
        <f t="shared" si="40"/>
        <v>71.326454136700079</v>
      </c>
      <c r="AS110" s="19">
        <f t="shared" si="41"/>
        <v>73.968174660281562</v>
      </c>
      <c r="AT110" s="19">
        <f t="shared" si="42"/>
        <v>89.818497801770462</v>
      </c>
      <c r="AU110" s="19">
        <f t="shared" si="43"/>
        <v>71.326454136700079</v>
      </c>
      <c r="AV110" s="19">
        <f t="shared" si="44"/>
        <v>73.968174660281562</v>
      </c>
      <c r="AW110" s="19">
        <f t="shared" si="45"/>
        <v>71.326454136700079</v>
      </c>
      <c r="AX110" s="18">
        <f>IFERROR(Z110/'Ar-Pa'!B110,0)</f>
        <v>9.2460218325351953</v>
      </c>
      <c r="AY110" s="18">
        <f>IFERROR(AA110/'Ar-Pa'!C110,0)</f>
        <v>8.9158067670875099</v>
      </c>
      <c r="AZ110" s="18">
        <f>IFERROR(AB110/'Ar-Pa'!D110,0)</f>
        <v>9.2460218325351953</v>
      </c>
      <c r="BA110" s="18">
        <f>IFERROR(AC110/'Ar-Pa'!E110,0)</f>
        <v>8.9158067670875099</v>
      </c>
      <c r="BB110" s="18">
        <f>IFERROR(AD110/'Ar-Pa'!F110,0)</f>
        <v>9.2460218325351953</v>
      </c>
      <c r="BC110" s="18">
        <f>IFERROR(AE110/'Ar-Pa'!G110,0)</f>
        <v>8.9158067670875099</v>
      </c>
      <c r="BD110" s="18">
        <f>IFERROR(AF110/'Ar-Pa'!H110,0)</f>
        <v>10.566882094325937</v>
      </c>
      <c r="BE110" s="18">
        <f>IFERROR(AG110/'Ar-Pa'!I110,0)</f>
        <v>10.566882094325937</v>
      </c>
      <c r="BF110" s="18">
        <f>IFERROR(AH110/'Ar-Pa'!J110,0)</f>
        <v>8.9158067670875099</v>
      </c>
      <c r="BG110" s="18">
        <f>IFERROR(AI110/'Ar-Pa'!K110,0)</f>
        <v>8.9158067670875099</v>
      </c>
      <c r="BH110" s="18">
        <f>IFERROR(AJ110/'Ar-Pa'!L110,0)</f>
        <v>8.9158067670875099</v>
      </c>
      <c r="BI110" s="18">
        <f>IFERROR(AK110/'Ar-Pa'!M110,0)</f>
        <v>9.2460218325351953</v>
      </c>
      <c r="BJ110" s="18">
        <f>IFERROR(AL110/'Ar-Pa'!N110,0)</f>
        <v>8.9158067670875099</v>
      </c>
      <c r="BK110" s="18">
        <f>IFERROR(AM110/'Ar-Pa'!O110,0)</f>
        <v>8.9158067670875099</v>
      </c>
      <c r="BL110" s="18">
        <f>IFERROR(AN110/'Ar-Pa'!P110,0)</f>
        <v>9.2460218325351953</v>
      </c>
      <c r="BM110" s="18">
        <f>IFERROR(AO110/'Ar-Pa'!Q110,0)</f>
        <v>8.9158067670875099</v>
      </c>
      <c r="BN110" s="18">
        <f>IFERROR(AP110/'Ar-Pa'!R110,0)</f>
        <v>8.9158067670875099</v>
      </c>
      <c r="BO110" s="18">
        <f>IFERROR(AQ110/'Ar-Pa'!S110,0)</f>
        <v>8.9158067670875099</v>
      </c>
      <c r="BP110" s="18">
        <f>IFERROR(AR110/'Ar-Pa'!T110,0)</f>
        <v>10.189493448100011</v>
      </c>
      <c r="BQ110" s="18">
        <f>IFERROR(AS110/'Ar-Pa'!U110,0)</f>
        <v>10.566882094325937</v>
      </c>
      <c r="BR110" s="18">
        <f>IFERROR(AT110/'Ar-Pa'!V110,0)</f>
        <v>12.831213971681494</v>
      </c>
      <c r="BS110" s="18">
        <f>IFERROR(AU110/'Ar-Pa'!W110,0)</f>
        <v>10.189493448100011</v>
      </c>
      <c r="BT110" s="18">
        <f>IFERROR(AV110/'Ar-Pa'!X110,0)</f>
        <v>10.566882094325937</v>
      </c>
      <c r="BU110" s="18">
        <f>IFERROR(AW110/'Ar-Pa'!Y110,0)</f>
        <v>10.189493448100011</v>
      </c>
    </row>
    <row r="111" spans="1:73" s="12" customFormat="1" ht="15">
      <c r="A111" s="15">
        <v>45036</v>
      </c>
      <c r="B111" s="441">
        <v>0.23</v>
      </c>
      <c r="C111" s="441">
        <v>0.24</v>
      </c>
      <c r="D111" s="441">
        <v>0.24</v>
      </c>
      <c r="E111" s="441">
        <v>0.24</v>
      </c>
      <c r="F111" s="441">
        <v>0.24</v>
      </c>
      <c r="G111" s="441">
        <v>0.23</v>
      </c>
      <c r="H111" s="441">
        <v>0.24</v>
      </c>
      <c r="I111" s="441">
        <v>0.24</v>
      </c>
      <c r="J111" s="441">
        <v>0.24</v>
      </c>
      <c r="K111" s="441">
        <v>0.24</v>
      </c>
      <c r="L111" s="441">
        <v>0.23</v>
      </c>
      <c r="M111" s="441">
        <v>0.24</v>
      </c>
      <c r="N111" s="441">
        <v>0.24</v>
      </c>
      <c r="O111" s="441">
        <v>0.24</v>
      </c>
      <c r="P111" s="441">
        <v>0.24</v>
      </c>
      <c r="Q111" s="441">
        <v>0.24</v>
      </c>
      <c r="R111" s="441">
        <v>0.25</v>
      </c>
      <c r="S111" s="441">
        <v>0.24</v>
      </c>
      <c r="T111" s="441">
        <v>0.24</v>
      </c>
      <c r="U111" s="441">
        <v>0.24</v>
      </c>
      <c r="V111" s="441">
        <v>0.28999999999999998</v>
      </c>
      <c r="W111" s="441">
        <v>0.24</v>
      </c>
      <c r="X111" s="441">
        <v>0.26</v>
      </c>
      <c r="Y111" s="441">
        <v>0.3</v>
      </c>
      <c r="Z111" s="19">
        <f t="shared" si="46"/>
        <v>60.759572042374138</v>
      </c>
      <c r="AA111" s="19">
        <f t="shared" si="47"/>
        <v>63.401292565955622</v>
      </c>
      <c r="AB111" s="19">
        <f t="shared" si="24"/>
        <v>63.401292565955622</v>
      </c>
      <c r="AC111" s="19">
        <f t="shared" si="25"/>
        <v>63.401292565955622</v>
      </c>
      <c r="AD111" s="19">
        <f t="shared" si="26"/>
        <v>63.401292565955622</v>
      </c>
      <c r="AE111" s="19">
        <f t="shared" si="27"/>
        <v>60.759572042374138</v>
      </c>
      <c r="AF111" s="19">
        <f t="shared" si="28"/>
        <v>63.401292565955622</v>
      </c>
      <c r="AG111" s="19">
        <f t="shared" si="29"/>
        <v>63.401292565955622</v>
      </c>
      <c r="AH111" s="19">
        <f t="shared" si="30"/>
        <v>63.401292565955622</v>
      </c>
      <c r="AI111" s="19">
        <f t="shared" si="31"/>
        <v>63.401292565955622</v>
      </c>
      <c r="AJ111" s="19">
        <f t="shared" si="32"/>
        <v>60.759572042374138</v>
      </c>
      <c r="AK111" s="19">
        <f t="shared" si="33"/>
        <v>63.401292565955622</v>
      </c>
      <c r="AL111" s="19">
        <f t="shared" si="34"/>
        <v>63.401292565955622</v>
      </c>
      <c r="AM111" s="19">
        <f t="shared" si="35"/>
        <v>63.401292565955622</v>
      </c>
      <c r="AN111" s="19">
        <f t="shared" si="36"/>
        <v>63.401292565955622</v>
      </c>
      <c r="AO111" s="19">
        <f t="shared" si="37"/>
        <v>63.401292565955622</v>
      </c>
      <c r="AP111" s="19">
        <f t="shared" si="38"/>
        <v>66.043013089537112</v>
      </c>
      <c r="AQ111" s="19">
        <f t="shared" si="39"/>
        <v>63.401292565955622</v>
      </c>
      <c r="AR111" s="19">
        <f t="shared" si="40"/>
        <v>63.401292565955622</v>
      </c>
      <c r="AS111" s="19">
        <f t="shared" si="41"/>
        <v>63.401292565955622</v>
      </c>
      <c r="AT111" s="19">
        <f t="shared" si="42"/>
        <v>76.609895183863046</v>
      </c>
      <c r="AU111" s="19">
        <f t="shared" si="43"/>
        <v>63.401292565955622</v>
      </c>
      <c r="AV111" s="19">
        <f t="shared" si="44"/>
        <v>68.684733613118595</v>
      </c>
      <c r="AW111" s="19">
        <f t="shared" si="45"/>
        <v>79.251615707444529</v>
      </c>
      <c r="AX111" s="18">
        <f>IFERROR(Z111/'Ar-Pa'!B111,0)</f>
        <v>8.6799388631963055</v>
      </c>
      <c r="AY111" s="18">
        <f>IFERROR(AA111/'Ar-Pa'!C111,0)</f>
        <v>9.0573275094222314</v>
      </c>
      <c r="AZ111" s="18">
        <f>IFERROR(AB111/'Ar-Pa'!D111,0)</f>
        <v>9.0573275094222314</v>
      </c>
      <c r="BA111" s="18">
        <f>IFERROR(AC111/'Ar-Pa'!E111,0)</f>
        <v>9.0573275094222314</v>
      </c>
      <c r="BB111" s="18">
        <f>IFERROR(AD111/'Ar-Pa'!F111,0)</f>
        <v>9.0573275094222314</v>
      </c>
      <c r="BC111" s="18">
        <f>IFERROR(AE111/'Ar-Pa'!G111,0)</f>
        <v>10.12659534039569</v>
      </c>
      <c r="BD111" s="18">
        <f>IFERROR(AF111/'Ar-Pa'!H111,0)</f>
        <v>10.566882094325937</v>
      </c>
      <c r="BE111" s="18">
        <f>IFERROR(AG111/'Ar-Pa'!I111,0)</f>
        <v>9.0573275094222314</v>
      </c>
      <c r="BF111" s="18">
        <f>IFERROR(AH111/'Ar-Pa'!J111,0)</f>
        <v>9.0573275094222314</v>
      </c>
      <c r="BG111" s="18">
        <f>IFERROR(AI111/'Ar-Pa'!K111,0)</f>
        <v>9.0573275094222314</v>
      </c>
      <c r="BH111" s="18">
        <f>IFERROR(AJ111/'Ar-Pa'!L111,0)</f>
        <v>8.6799388631963055</v>
      </c>
      <c r="BI111" s="18">
        <f>IFERROR(AK111/'Ar-Pa'!M111,0)</f>
        <v>9.0573275094222314</v>
      </c>
      <c r="BJ111" s="18">
        <f>IFERROR(AL111/'Ar-Pa'!N111,0)</f>
        <v>9.0573275094222314</v>
      </c>
      <c r="BK111" s="18">
        <f>IFERROR(AM111/'Ar-Pa'!O111,0)</f>
        <v>9.0573275094222314</v>
      </c>
      <c r="BL111" s="18">
        <f>IFERROR(AN111/'Ar-Pa'!P111,0)</f>
        <v>9.0573275094222314</v>
      </c>
      <c r="BM111" s="18">
        <f>IFERROR(AO111/'Ar-Pa'!Q111,0)</f>
        <v>9.0573275094222314</v>
      </c>
      <c r="BN111" s="18">
        <f>IFERROR(AP111/'Ar-Pa'!R111,0)</f>
        <v>9.4347161556481591</v>
      </c>
      <c r="BO111" s="18">
        <f>IFERROR(AQ111/'Ar-Pa'!S111,0)</f>
        <v>9.0573275094222314</v>
      </c>
      <c r="BP111" s="18">
        <f>IFERROR(AR111/'Ar-Pa'!T111,0)</f>
        <v>9.0573275094222314</v>
      </c>
      <c r="BQ111" s="18">
        <f>IFERROR(AS111/'Ar-Pa'!U111,0)</f>
        <v>9.0573275094222314</v>
      </c>
      <c r="BR111" s="18">
        <f>IFERROR(AT111/'Ar-Pa'!V111,0)</f>
        <v>10.944270740551863</v>
      </c>
      <c r="BS111" s="18">
        <f>IFERROR(AU111/'Ar-Pa'!W111,0)</f>
        <v>9.0573275094222314</v>
      </c>
      <c r="BT111" s="18">
        <f>IFERROR(AV111/'Ar-Pa'!X111,0)</f>
        <v>9.8121048018740851</v>
      </c>
      <c r="BU111" s="18">
        <f>IFERROR(AW111/'Ar-Pa'!Y111,0)</f>
        <v>11.321659386777791</v>
      </c>
    </row>
    <row r="112" spans="1:73" s="12" customFormat="1" ht="15">
      <c r="A112" s="15">
        <v>45037</v>
      </c>
      <c r="B112" s="441">
        <v>0.24</v>
      </c>
      <c r="C112" s="441">
        <v>0.24</v>
      </c>
      <c r="D112" s="441">
        <v>0.25</v>
      </c>
      <c r="E112" s="441">
        <v>0.24</v>
      </c>
      <c r="F112" s="441">
        <v>0.24</v>
      </c>
      <c r="G112" s="441">
        <v>0.24</v>
      </c>
      <c r="H112" s="441">
        <v>0.24</v>
      </c>
      <c r="I112" s="441">
        <v>0.25</v>
      </c>
      <c r="J112" s="441">
        <v>0.25</v>
      </c>
      <c r="K112" s="441">
        <v>0.25</v>
      </c>
      <c r="L112" s="441">
        <v>0.25</v>
      </c>
      <c r="M112" s="441">
        <v>0.25</v>
      </c>
      <c r="N112" s="441">
        <v>0.25</v>
      </c>
      <c r="O112" s="441">
        <v>0.26</v>
      </c>
      <c r="P112" s="441">
        <v>0.25</v>
      </c>
      <c r="Q112" s="441">
        <v>0.25</v>
      </c>
      <c r="R112" s="441">
        <v>0.25</v>
      </c>
      <c r="S112" s="441">
        <v>0.26</v>
      </c>
      <c r="T112" s="441">
        <v>0.24</v>
      </c>
      <c r="U112" s="441">
        <v>0.25</v>
      </c>
      <c r="V112" s="441">
        <v>0.31</v>
      </c>
      <c r="W112" s="441">
        <v>0.25</v>
      </c>
      <c r="X112" s="441">
        <v>0.25</v>
      </c>
      <c r="Y112" s="441">
        <v>0.24</v>
      </c>
      <c r="Z112" s="19">
        <f t="shared" si="46"/>
        <v>63.401292565955622</v>
      </c>
      <c r="AA112" s="19">
        <f t="shared" si="47"/>
        <v>63.401292565955622</v>
      </c>
      <c r="AB112" s="19">
        <f t="shared" si="24"/>
        <v>66.043013089537112</v>
      </c>
      <c r="AC112" s="19">
        <f t="shared" si="25"/>
        <v>63.401292565955622</v>
      </c>
      <c r="AD112" s="19">
        <f t="shared" si="26"/>
        <v>63.401292565955622</v>
      </c>
      <c r="AE112" s="19">
        <f t="shared" si="27"/>
        <v>63.401292565955622</v>
      </c>
      <c r="AF112" s="19">
        <f t="shared" si="28"/>
        <v>63.401292565955622</v>
      </c>
      <c r="AG112" s="19">
        <f t="shared" si="29"/>
        <v>66.043013089537112</v>
      </c>
      <c r="AH112" s="19">
        <f t="shared" si="30"/>
        <v>66.043013089537112</v>
      </c>
      <c r="AI112" s="19">
        <f t="shared" si="31"/>
        <v>66.043013089537112</v>
      </c>
      <c r="AJ112" s="19">
        <f t="shared" si="32"/>
        <v>66.043013089537112</v>
      </c>
      <c r="AK112" s="19">
        <f t="shared" si="33"/>
        <v>66.043013089537112</v>
      </c>
      <c r="AL112" s="19">
        <f t="shared" si="34"/>
        <v>66.043013089537112</v>
      </c>
      <c r="AM112" s="19">
        <f t="shared" si="35"/>
        <v>68.684733613118595</v>
      </c>
      <c r="AN112" s="19">
        <f t="shared" si="36"/>
        <v>66.043013089537112</v>
      </c>
      <c r="AO112" s="19">
        <f t="shared" si="37"/>
        <v>66.043013089537112</v>
      </c>
      <c r="AP112" s="19">
        <f t="shared" si="38"/>
        <v>66.043013089537112</v>
      </c>
      <c r="AQ112" s="19">
        <f t="shared" si="39"/>
        <v>68.684733613118595</v>
      </c>
      <c r="AR112" s="19">
        <f t="shared" si="40"/>
        <v>63.401292565955622</v>
      </c>
      <c r="AS112" s="19">
        <f t="shared" si="41"/>
        <v>66.043013089537112</v>
      </c>
      <c r="AT112" s="19">
        <f t="shared" si="42"/>
        <v>81.893336231026012</v>
      </c>
      <c r="AU112" s="19">
        <f t="shared" si="43"/>
        <v>66.043013089537112</v>
      </c>
      <c r="AV112" s="19">
        <f t="shared" si="44"/>
        <v>66.043013089537112</v>
      </c>
      <c r="AW112" s="19">
        <f t="shared" si="45"/>
        <v>63.401292565955622</v>
      </c>
      <c r="AX112" s="18">
        <f>IFERROR(Z112/'Ar-Pa'!B112,0)</f>
        <v>9.0573275094222314</v>
      </c>
      <c r="AY112" s="18">
        <f>IFERROR(AA112/'Ar-Pa'!C112,0)</f>
        <v>9.0573275094222314</v>
      </c>
      <c r="AZ112" s="18">
        <f>IFERROR(AB112/'Ar-Pa'!D112,0)</f>
        <v>9.4347161556481591</v>
      </c>
      <c r="BA112" s="18">
        <f>IFERROR(AC112/'Ar-Pa'!E112,0)</f>
        <v>9.0573275094222314</v>
      </c>
      <c r="BB112" s="18">
        <f>IFERROR(AD112/'Ar-Pa'!F112,0)</f>
        <v>9.0573275094222314</v>
      </c>
      <c r="BC112" s="18">
        <f>IFERROR(AE112/'Ar-Pa'!G112,0)</f>
        <v>9.0573275094222314</v>
      </c>
      <c r="BD112" s="18">
        <f>IFERROR(AF112/'Ar-Pa'!H112,0)</f>
        <v>9.0573275094222314</v>
      </c>
      <c r="BE112" s="18">
        <f>IFERROR(AG112/'Ar-Pa'!I112,0)</f>
        <v>9.4347161556481591</v>
      </c>
      <c r="BF112" s="18">
        <f>IFERROR(AH112/'Ar-Pa'!J112,0)</f>
        <v>9.4347161556481591</v>
      </c>
      <c r="BG112" s="18">
        <f>IFERROR(AI112/'Ar-Pa'!K112,0)</f>
        <v>9.4347161556481591</v>
      </c>
      <c r="BH112" s="18">
        <f>IFERROR(AJ112/'Ar-Pa'!L112,0)</f>
        <v>9.4347161556481591</v>
      </c>
      <c r="BI112" s="18">
        <f>IFERROR(AK112/'Ar-Pa'!M112,0)</f>
        <v>9.4347161556481591</v>
      </c>
      <c r="BJ112" s="18">
        <f>IFERROR(AL112/'Ar-Pa'!N112,0)</f>
        <v>9.4347161556481591</v>
      </c>
      <c r="BK112" s="18">
        <f>IFERROR(AM112/'Ar-Pa'!O112,0)</f>
        <v>9.8121048018740851</v>
      </c>
      <c r="BL112" s="18">
        <f>IFERROR(AN112/'Ar-Pa'!P112,0)</f>
        <v>9.4347161556481591</v>
      </c>
      <c r="BM112" s="18">
        <f>IFERROR(AO112/'Ar-Pa'!Q112,0)</f>
        <v>9.4347161556481591</v>
      </c>
      <c r="BN112" s="18">
        <f>IFERROR(AP112/'Ar-Pa'!R112,0)</f>
        <v>9.4347161556481591</v>
      </c>
      <c r="BO112" s="18">
        <f>IFERROR(AQ112/'Ar-Pa'!S112,0)</f>
        <v>9.8121048018740851</v>
      </c>
      <c r="BP112" s="18">
        <f>IFERROR(AR112/'Ar-Pa'!T112,0)</f>
        <v>9.0573275094222314</v>
      </c>
      <c r="BQ112" s="18">
        <f>IFERROR(AS112/'Ar-Pa'!U112,0)</f>
        <v>9.4347161556481591</v>
      </c>
      <c r="BR112" s="18">
        <f>IFERROR(AT112/'Ar-Pa'!V112,0)</f>
        <v>11.699048033003717</v>
      </c>
      <c r="BS112" s="18">
        <f>IFERROR(AU112/'Ar-Pa'!W112,0)</f>
        <v>9.4347161556481591</v>
      </c>
      <c r="BT112" s="18">
        <f>IFERROR(AV112/'Ar-Pa'!X112,0)</f>
        <v>9.4347161556481591</v>
      </c>
      <c r="BU112" s="18">
        <f>IFERROR(AW112/'Ar-Pa'!Y112,0)</f>
        <v>9.0573275094222314</v>
      </c>
    </row>
    <row r="113" spans="1:73" s="12" customFormat="1" ht="15">
      <c r="A113" s="15">
        <v>45038</v>
      </c>
      <c r="B113" s="441">
        <v>0.25</v>
      </c>
      <c r="C113" s="441">
        <v>0.23</v>
      </c>
      <c r="D113" s="441">
        <v>0.25</v>
      </c>
      <c r="E113" s="441">
        <v>0.24</v>
      </c>
      <c r="F113" s="441">
        <v>0.24</v>
      </c>
      <c r="G113" s="441">
        <v>0.25</v>
      </c>
      <c r="H113" s="441">
        <v>0.23</v>
      </c>
      <c r="I113" s="441">
        <v>0.25</v>
      </c>
      <c r="J113" s="441">
        <v>0.24</v>
      </c>
      <c r="K113" s="441">
        <v>0.25</v>
      </c>
      <c r="L113" s="441">
        <v>0.24</v>
      </c>
      <c r="M113" s="441">
        <v>0.25</v>
      </c>
      <c r="N113" s="441">
        <v>0.25</v>
      </c>
      <c r="O113" s="441">
        <v>0.24</v>
      </c>
      <c r="P113" s="441">
        <v>0.25</v>
      </c>
      <c r="Q113" s="441">
        <v>0.24</v>
      </c>
      <c r="R113" s="441">
        <v>0.24</v>
      </c>
      <c r="S113" s="441">
        <v>0.24</v>
      </c>
      <c r="T113" s="441">
        <v>0.24</v>
      </c>
      <c r="U113" s="441">
        <v>0.28999999999999998</v>
      </c>
      <c r="V113" s="441">
        <v>0.3</v>
      </c>
      <c r="W113" s="441">
        <v>0.25</v>
      </c>
      <c r="X113" s="441">
        <v>0.24</v>
      </c>
      <c r="Y113" s="441">
        <v>0.25</v>
      </c>
      <c r="Z113" s="19">
        <f t="shared" si="46"/>
        <v>66.043013089537112</v>
      </c>
      <c r="AA113" s="19">
        <f t="shared" si="47"/>
        <v>60.759572042374138</v>
      </c>
      <c r="AB113" s="19">
        <f t="shared" si="24"/>
        <v>66.043013089537112</v>
      </c>
      <c r="AC113" s="19">
        <f t="shared" si="25"/>
        <v>63.401292565955622</v>
      </c>
      <c r="AD113" s="19">
        <f t="shared" si="26"/>
        <v>63.401292565955622</v>
      </c>
      <c r="AE113" s="19">
        <f t="shared" si="27"/>
        <v>66.043013089537112</v>
      </c>
      <c r="AF113" s="19">
        <f t="shared" si="28"/>
        <v>60.759572042374138</v>
      </c>
      <c r="AG113" s="19">
        <f t="shared" si="29"/>
        <v>66.043013089537112</v>
      </c>
      <c r="AH113" s="19">
        <f t="shared" si="30"/>
        <v>63.401292565955622</v>
      </c>
      <c r="AI113" s="19">
        <f t="shared" si="31"/>
        <v>66.043013089537112</v>
      </c>
      <c r="AJ113" s="19">
        <f t="shared" si="32"/>
        <v>63.401292565955622</v>
      </c>
      <c r="AK113" s="19">
        <f t="shared" si="33"/>
        <v>66.043013089537112</v>
      </c>
      <c r="AL113" s="19">
        <f t="shared" si="34"/>
        <v>66.043013089537112</v>
      </c>
      <c r="AM113" s="19">
        <f t="shared" si="35"/>
        <v>63.401292565955622</v>
      </c>
      <c r="AN113" s="19">
        <f t="shared" si="36"/>
        <v>66.043013089537112</v>
      </c>
      <c r="AO113" s="19">
        <f t="shared" si="37"/>
        <v>63.401292565955622</v>
      </c>
      <c r="AP113" s="19">
        <f t="shared" si="38"/>
        <v>63.401292565955622</v>
      </c>
      <c r="AQ113" s="19">
        <f t="shared" si="39"/>
        <v>63.401292565955622</v>
      </c>
      <c r="AR113" s="19">
        <f t="shared" si="40"/>
        <v>63.401292565955622</v>
      </c>
      <c r="AS113" s="19">
        <f t="shared" si="41"/>
        <v>76.609895183863046</v>
      </c>
      <c r="AT113" s="19">
        <f t="shared" si="42"/>
        <v>79.251615707444529</v>
      </c>
      <c r="AU113" s="19">
        <f t="shared" si="43"/>
        <v>66.043013089537112</v>
      </c>
      <c r="AV113" s="19">
        <f t="shared" si="44"/>
        <v>63.401292565955622</v>
      </c>
      <c r="AW113" s="19">
        <f t="shared" si="45"/>
        <v>66.043013089537112</v>
      </c>
      <c r="AX113" s="18">
        <f>IFERROR(Z113/'Ar-Pa'!B113,0)</f>
        <v>8.255376636192139</v>
      </c>
      <c r="AY113" s="18">
        <f>IFERROR(AA113/'Ar-Pa'!C113,0)</f>
        <v>7.5949465052967673</v>
      </c>
      <c r="AZ113" s="18">
        <f>IFERROR(AB113/'Ar-Pa'!D113,0)</f>
        <v>8.255376636192139</v>
      </c>
      <c r="BA113" s="18">
        <f>IFERROR(AC113/'Ar-Pa'!E113,0)</f>
        <v>7.9251615707444527</v>
      </c>
      <c r="BB113" s="18">
        <f>IFERROR(AD113/'Ar-Pa'!F113,0)</f>
        <v>7.9251615707444527</v>
      </c>
      <c r="BC113" s="18">
        <f>IFERROR(AE113/'Ar-Pa'!G113,0)</f>
        <v>8.255376636192139</v>
      </c>
      <c r="BD113" s="18">
        <f>IFERROR(AF113/'Ar-Pa'!H113,0)</f>
        <v>8.6799388631963055</v>
      </c>
      <c r="BE113" s="18">
        <f>IFERROR(AG113/'Ar-Pa'!I113,0)</f>
        <v>9.4347161556481591</v>
      </c>
      <c r="BF113" s="18">
        <f>IFERROR(AH113/'Ar-Pa'!J113,0)</f>
        <v>7.9251615707444527</v>
      </c>
      <c r="BG113" s="18">
        <f>IFERROR(AI113/'Ar-Pa'!K113,0)</f>
        <v>8.255376636192139</v>
      </c>
      <c r="BH113" s="18">
        <f>IFERROR(AJ113/'Ar-Pa'!L113,0)</f>
        <v>7.9251615707444527</v>
      </c>
      <c r="BI113" s="18">
        <f>IFERROR(AK113/'Ar-Pa'!M113,0)</f>
        <v>8.255376636192139</v>
      </c>
      <c r="BJ113" s="18">
        <f>IFERROR(AL113/'Ar-Pa'!N113,0)</f>
        <v>8.255376636192139</v>
      </c>
      <c r="BK113" s="18">
        <f>IFERROR(AM113/'Ar-Pa'!O113,0)</f>
        <v>7.9251615707444527</v>
      </c>
      <c r="BL113" s="18">
        <f>IFERROR(AN113/'Ar-Pa'!P113,0)</f>
        <v>8.255376636192139</v>
      </c>
      <c r="BM113" s="18">
        <f>IFERROR(AO113/'Ar-Pa'!Q113,0)</f>
        <v>7.9251615707444527</v>
      </c>
      <c r="BN113" s="18">
        <f>IFERROR(AP113/'Ar-Pa'!R113,0)</f>
        <v>7.9251615707444527</v>
      </c>
      <c r="BO113" s="18">
        <f>IFERROR(AQ113/'Ar-Pa'!S113,0)</f>
        <v>7.9251615707444527</v>
      </c>
      <c r="BP113" s="18">
        <f>IFERROR(AR113/'Ar-Pa'!T113,0)</f>
        <v>7.9251615707444527</v>
      </c>
      <c r="BQ113" s="18">
        <f>IFERROR(AS113/'Ar-Pa'!U113,0)</f>
        <v>9.5762368979828807</v>
      </c>
      <c r="BR113" s="18">
        <f>IFERROR(AT113/'Ar-Pa'!V113,0)</f>
        <v>9.9064519634305661</v>
      </c>
      <c r="BS113" s="18">
        <f>IFERROR(AU113/'Ar-Pa'!W113,0)</f>
        <v>8.255376636192139</v>
      </c>
      <c r="BT113" s="18">
        <f>IFERROR(AV113/'Ar-Pa'!X113,0)</f>
        <v>7.9251615707444527</v>
      </c>
      <c r="BU113" s="18">
        <f>IFERROR(AW113/'Ar-Pa'!Y113,0)</f>
        <v>8.255376636192139</v>
      </c>
    </row>
    <row r="114" spans="1:73" s="12" customFormat="1" ht="15">
      <c r="A114" s="15">
        <v>45039</v>
      </c>
      <c r="B114" s="441">
        <v>0.23</v>
      </c>
      <c r="C114" s="441">
        <v>0.22</v>
      </c>
      <c r="D114" s="441">
        <v>0.23</v>
      </c>
      <c r="E114" s="441">
        <v>0.22</v>
      </c>
      <c r="F114" s="441">
        <v>0.22</v>
      </c>
      <c r="G114" s="441">
        <v>0.22</v>
      </c>
      <c r="H114" s="441">
        <v>0.22</v>
      </c>
      <c r="I114" s="441">
        <v>0.22</v>
      </c>
      <c r="J114" s="441">
        <v>0.21</v>
      </c>
      <c r="K114" s="441">
        <v>0.23</v>
      </c>
      <c r="L114" s="441">
        <v>0.21</v>
      </c>
      <c r="M114" s="441">
        <v>0.23</v>
      </c>
      <c r="N114" s="441">
        <v>0.21</v>
      </c>
      <c r="O114" s="441">
        <v>0.23</v>
      </c>
      <c r="P114" s="441">
        <v>0.21</v>
      </c>
      <c r="Q114" s="441">
        <v>0.23</v>
      </c>
      <c r="R114" s="441">
        <v>0.22</v>
      </c>
      <c r="S114" s="441">
        <v>0.22</v>
      </c>
      <c r="T114" s="441">
        <v>0.22</v>
      </c>
      <c r="U114" s="441">
        <v>0.23</v>
      </c>
      <c r="V114" s="441">
        <v>0.28000000000000003</v>
      </c>
      <c r="W114" s="441">
        <v>0.23</v>
      </c>
      <c r="X114" s="441">
        <v>0.22</v>
      </c>
      <c r="Y114" s="441">
        <v>0.23</v>
      </c>
      <c r="Z114" s="19">
        <f t="shared" si="46"/>
        <v>60.759572042374138</v>
      </c>
      <c r="AA114" s="19">
        <f t="shared" si="47"/>
        <v>58.117851518792655</v>
      </c>
      <c r="AB114" s="19">
        <f t="shared" si="24"/>
        <v>60.759572042374138</v>
      </c>
      <c r="AC114" s="19">
        <f t="shared" si="25"/>
        <v>58.117851518792655</v>
      </c>
      <c r="AD114" s="19">
        <f t="shared" si="26"/>
        <v>58.117851518792655</v>
      </c>
      <c r="AE114" s="19">
        <f t="shared" si="27"/>
        <v>58.117851518792655</v>
      </c>
      <c r="AF114" s="19">
        <f t="shared" si="28"/>
        <v>58.117851518792655</v>
      </c>
      <c r="AG114" s="19">
        <f t="shared" si="29"/>
        <v>58.117851518792655</v>
      </c>
      <c r="AH114" s="19">
        <f t="shared" si="30"/>
        <v>55.476130995211172</v>
      </c>
      <c r="AI114" s="19">
        <f t="shared" si="31"/>
        <v>60.759572042374138</v>
      </c>
      <c r="AJ114" s="19">
        <f t="shared" si="32"/>
        <v>55.476130995211172</v>
      </c>
      <c r="AK114" s="19">
        <f t="shared" si="33"/>
        <v>60.759572042374138</v>
      </c>
      <c r="AL114" s="19">
        <f t="shared" si="34"/>
        <v>55.476130995211172</v>
      </c>
      <c r="AM114" s="19">
        <f t="shared" si="35"/>
        <v>60.759572042374138</v>
      </c>
      <c r="AN114" s="19">
        <f t="shared" si="36"/>
        <v>55.476130995211172</v>
      </c>
      <c r="AO114" s="19">
        <f t="shared" si="37"/>
        <v>60.759572042374138</v>
      </c>
      <c r="AP114" s="19">
        <f t="shared" si="38"/>
        <v>58.117851518792655</v>
      </c>
      <c r="AQ114" s="19">
        <f t="shared" si="39"/>
        <v>58.117851518792655</v>
      </c>
      <c r="AR114" s="19">
        <f t="shared" si="40"/>
        <v>58.117851518792655</v>
      </c>
      <c r="AS114" s="19">
        <f t="shared" si="41"/>
        <v>60.759572042374138</v>
      </c>
      <c r="AT114" s="19">
        <f t="shared" si="42"/>
        <v>73.968174660281562</v>
      </c>
      <c r="AU114" s="19">
        <f t="shared" si="43"/>
        <v>60.759572042374138</v>
      </c>
      <c r="AV114" s="19">
        <f t="shared" si="44"/>
        <v>58.117851518792655</v>
      </c>
      <c r="AW114" s="19">
        <f t="shared" si="45"/>
        <v>60.759572042374138</v>
      </c>
      <c r="AX114" s="18">
        <f>IFERROR(Z114/'Ar-Pa'!B114,0)</f>
        <v>7.5949465052967673</v>
      </c>
      <c r="AY114" s="18">
        <f>IFERROR(AA114/'Ar-Pa'!C114,0)</f>
        <v>7.2647314398490819</v>
      </c>
      <c r="AZ114" s="18">
        <f>IFERROR(AB114/'Ar-Pa'!D114,0)</f>
        <v>7.5949465052967673</v>
      </c>
      <c r="BA114" s="18">
        <f>IFERROR(AC114/'Ar-Pa'!E114,0)</f>
        <v>7.2647314398490819</v>
      </c>
      <c r="BB114" s="18">
        <f>IFERROR(AD114/'Ar-Pa'!F114,0)</f>
        <v>7.2647314398490819</v>
      </c>
      <c r="BC114" s="18">
        <f>IFERROR(AE114/'Ar-Pa'!G114,0)</f>
        <v>7.2647314398490819</v>
      </c>
      <c r="BD114" s="18">
        <f>IFERROR(AF114/'Ar-Pa'!H114,0)</f>
        <v>8.3025502169703795</v>
      </c>
      <c r="BE114" s="18">
        <f>IFERROR(AG114/'Ar-Pa'!I114,0)</f>
        <v>8.3025502169703795</v>
      </c>
      <c r="BF114" s="18">
        <f>IFERROR(AH114/'Ar-Pa'!J114,0)</f>
        <v>6.9345163744013965</v>
      </c>
      <c r="BG114" s="18">
        <f>IFERROR(AI114/'Ar-Pa'!K114,0)</f>
        <v>7.5949465052967673</v>
      </c>
      <c r="BH114" s="18">
        <f>IFERROR(AJ114/'Ar-Pa'!L114,0)</f>
        <v>6.9345163744013965</v>
      </c>
      <c r="BI114" s="18">
        <f>IFERROR(AK114/'Ar-Pa'!M114,0)</f>
        <v>7.5949465052967673</v>
      </c>
      <c r="BJ114" s="18">
        <f>IFERROR(AL114/'Ar-Pa'!N114,0)</f>
        <v>6.9345163744013965</v>
      </c>
      <c r="BK114" s="18">
        <f>IFERROR(AM114/'Ar-Pa'!O114,0)</f>
        <v>7.5949465052967673</v>
      </c>
      <c r="BL114" s="18">
        <f>IFERROR(AN114/'Ar-Pa'!P114,0)</f>
        <v>6.9345163744013965</v>
      </c>
      <c r="BM114" s="18">
        <f>IFERROR(AO114/'Ar-Pa'!Q114,0)</f>
        <v>7.5949465052967673</v>
      </c>
      <c r="BN114" s="18">
        <f>IFERROR(AP114/'Ar-Pa'!R114,0)</f>
        <v>7.2647314398490819</v>
      </c>
      <c r="BO114" s="18">
        <f>IFERROR(AQ114/'Ar-Pa'!S114,0)</f>
        <v>7.2647314398490819</v>
      </c>
      <c r="BP114" s="18">
        <f>IFERROR(AR114/'Ar-Pa'!T114,0)</f>
        <v>7.2647314398490819</v>
      </c>
      <c r="BQ114" s="18">
        <f>IFERROR(AS114/'Ar-Pa'!U114,0)</f>
        <v>7.5949465052967673</v>
      </c>
      <c r="BR114" s="18">
        <f>IFERROR(AT114/'Ar-Pa'!V114,0)</f>
        <v>9.2460218325351953</v>
      </c>
      <c r="BS114" s="18">
        <f>IFERROR(AU114/'Ar-Pa'!W114,0)</f>
        <v>7.5949465052967673</v>
      </c>
      <c r="BT114" s="18">
        <f>IFERROR(AV114/'Ar-Pa'!X114,0)</f>
        <v>7.2647314398490819</v>
      </c>
      <c r="BU114" s="18">
        <f>IFERROR(AW114/'Ar-Pa'!Y114,0)</f>
        <v>7.5949465052967673</v>
      </c>
    </row>
    <row r="115" spans="1:73" s="12" customFormat="1" ht="15">
      <c r="A115" s="15">
        <v>45040</v>
      </c>
      <c r="B115" s="441">
        <v>0.14000000000000001</v>
      </c>
      <c r="C115" s="441">
        <v>0.14000000000000001</v>
      </c>
      <c r="D115" s="441">
        <v>0.14000000000000001</v>
      </c>
      <c r="E115" s="441">
        <v>0.14000000000000001</v>
      </c>
      <c r="F115" s="441">
        <v>0.14000000000000001</v>
      </c>
      <c r="G115" s="441">
        <v>0.13</v>
      </c>
      <c r="H115" s="441">
        <v>0.14000000000000001</v>
      </c>
      <c r="I115" s="441">
        <v>0.14000000000000001</v>
      </c>
      <c r="J115" s="441">
        <v>0.13</v>
      </c>
      <c r="K115" s="441">
        <v>0.14000000000000001</v>
      </c>
      <c r="L115" s="441">
        <v>0.13</v>
      </c>
      <c r="M115" s="441">
        <v>0.14000000000000001</v>
      </c>
      <c r="N115" s="441">
        <v>0.14000000000000001</v>
      </c>
      <c r="O115" s="441">
        <v>0.18</v>
      </c>
      <c r="P115" s="441">
        <v>0.19</v>
      </c>
      <c r="Q115" s="441">
        <v>0.19</v>
      </c>
      <c r="R115" s="441">
        <v>0.18</v>
      </c>
      <c r="S115" s="441">
        <v>0.14000000000000001</v>
      </c>
      <c r="T115" s="441">
        <v>0.19</v>
      </c>
      <c r="U115" s="441">
        <v>0.19</v>
      </c>
      <c r="V115" s="441">
        <v>0.19</v>
      </c>
      <c r="W115" s="441">
        <v>0.19</v>
      </c>
      <c r="X115" s="441">
        <v>0.18</v>
      </c>
      <c r="Y115" s="441">
        <v>0.17</v>
      </c>
      <c r="Z115" s="19">
        <f t="shared" si="46"/>
        <v>36.984087330140781</v>
      </c>
      <c r="AA115" s="19">
        <f t="shared" si="47"/>
        <v>36.984087330140781</v>
      </c>
      <c r="AB115" s="19">
        <f t="shared" si="24"/>
        <v>36.984087330140781</v>
      </c>
      <c r="AC115" s="19">
        <f t="shared" si="25"/>
        <v>36.984087330140781</v>
      </c>
      <c r="AD115" s="19">
        <f t="shared" si="26"/>
        <v>36.984087330140781</v>
      </c>
      <c r="AE115" s="19">
        <f t="shared" si="27"/>
        <v>34.342366806559298</v>
      </c>
      <c r="AF115" s="19">
        <f t="shared" si="28"/>
        <v>36.984087330140781</v>
      </c>
      <c r="AG115" s="19">
        <f t="shared" si="29"/>
        <v>36.984087330140781</v>
      </c>
      <c r="AH115" s="19">
        <f t="shared" si="30"/>
        <v>34.342366806559298</v>
      </c>
      <c r="AI115" s="19">
        <f t="shared" si="31"/>
        <v>36.984087330140781</v>
      </c>
      <c r="AJ115" s="19">
        <f t="shared" si="32"/>
        <v>34.342366806559298</v>
      </c>
      <c r="AK115" s="19">
        <f t="shared" si="33"/>
        <v>36.984087330140781</v>
      </c>
      <c r="AL115" s="19">
        <f t="shared" si="34"/>
        <v>36.984087330140781</v>
      </c>
      <c r="AM115" s="19">
        <f t="shared" si="35"/>
        <v>47.550969424466714</v>
      </c>
      <c r="AN115" s="19">
        <f t="shared" si="36"/>
        <v>50.192689948048198</v>
      </c>
      <c r="AO115" s="19">
        <f t="shared" si="37"/>
        <v>50.192689948048198</v>
      </c>
      <c r="AP115" s="19">
        <f t="shared" si="38"/>
        <v>47.550969424466714</v>
      </c>
      <c r="AQ115" s="19">
        <f t="shared" si="39"/>
        <v>36.984087330140781</v>
      </c>
      <c r="AR115" s="19">
        <f t="shared" si="40"/>
        <v>50.192689948048198</v>
      </c>
      <c r="AS115" s="19">
        <f t="shared" si="41"/>
        <v>50.192689948048198</v>
      </c>
      <c r="AT115" s="19">
        <f t="shared" si="42"/>
        <v>50.192689948048198</v>
      </c>
      <c r="AU115" s="19">
        <f t="shared" si="43"/>
        <v>50.192689948048198</v>
      </c>
      <c r="AV115" s="19">
        <f t="shared" si="44"/>
        <v>47.550969424466714</v>
      </c>
      <c r="AW115" s="19">
        <f t="shared" si="45"/>
        <v>44.909248900885231</v>
      </c>
      <c r="AX115" s="18">
        <f>IFERROR(Z115/'Ar-Pa'!B115,0)</f>
        <v>5.2834410471629685</v>
      </c>
      <c r="AY115" s="18">
        <f>IFERROR(AA115/'Ar-Pa'!C115,0)</f>
        <v>6.1640145550234635</v>
      </c>
      <c r="AZ115" s="18">
        <f>IFERROR(AB115/'Ar-Pa'!D115,0)</f>
        <v>6.1640145550234635</v>
      </c>
      <c r="BA115" s="18">
        <f>IFERROR(AC115/'Ar-Pa'!E115,0)</f>
        <v>6.1640145550234635</v>
      </c>
      <c r="BB115" s="18">
        <f>IFERROR(AD115/'Ar-Pa'!F115,0)</f>
        <v>6.1640145550234635</v>
      </c>
      <c r="BC115" s="18">
        <f>IFERROR(AE115/'Ar-Pa'!G115,0)</f>
        <v>5.723727801093216</v>
      </c>
      <c r="BD115" s="18">
        <f>IFERROR(AF115/'Ar-Pa'!H115,0)</f>
        <v>6.1640145550234635</v>
      </c>
      <c r="BE115" s="18">
        <f>IFERROR(AG115/'Ar-Pa'!I115,0)</f>
        <v>6.1640145550234635</v>
      </c>
      <c r="BF115" s="18">
        <f>IFERROR(AH115/'Ar-Pa'!J115,0)</f>
        <v>5.723727801093216</v>
      </c>
      <c r="BG115" s="18">
        <f>IFERROR(AI115/'Ar-Pa'!K115,0)</f>
        <v>6.1640145550234635</v>
      </c>
      <c r="BH115" s="18">
        <f>IFERROR(AJ115/'Ar-Pa'!L115,0)</f>
        <v>5.723727801093216</v>
      </c>
      <c r="BI115" s="18">
        <f>IFERROR(AK115/'Ar-Pa'!M115,0)</f>
        <v>6.1640145550234635</v>
      </c>
      <c r="BJ115" s="18">
        <f>IFERROR(AL115/'Ar-Pa'!N115,0)</f>
        <v>6.1640145550234635</v>
      </c>
      <c r="BK115" s="18">
        <f>IFERROR(AM115/'Ar-Pa'!O115,0)</f>
        <v>6.7929956320666731</v>
      </c>
      <c r="BL115" s="18">
        <f>IFERROR(AN115/'Ar-Pa'!P115,0)</f>
        <v>7.1703842782925999</v>
      </c>
      <c r="BM115" s="18">
        <f>IFERROR(AO115/'Ar-Pa'!Q115,0)</f>
        <v>7.1703842782925999</v>
      </c>
      <c r="BN115" s="18">
        <f>IFERROR(AP115/'Ar-Pa'!R115,0)</f>
        <v>6.7929956320666731</v>
      </c>
      <c r="BO115" s="18">
        <f>IFERROR(AQ115/'Ar-Pa'!S115,0)</f>
        <v>5.2834410471629685</v>
      </c>
      <c r="BP115" s="18">
        <f>IFERROR(AR115/'Ar-Pa'!T115,0)</f>
        <v>7.1703842782925999</v>
      </c>
      <c r="BQ115" s="18">
        <f>IFERROR(AS115/'Ar-Pa'!U115,0)</f>
        <v>7.1703842782925999</v>
      </c>
      <c r="BR115" s="18">
        <f>IFERROR(AT115/'Ar-Pa'!V115,0)</f>
        <v>7.1703842782925999</v>
      </c>
      <c r="BS115" s="18">
        <f>IFERROR(AU115/'Ar-Pa'!W115,0)</f>
        <v>7.1703842782925999</v>
      </c>
      <c r="BT115" s="18">
        <f>IFERROR(AV115/'Ar-Pa'!X115,0)</f>
        <v>6.7929956320666731</v>
      </c>
      <c r="BU115" s="18">
        <f>IFERROR(AW115/'Ar-Pa'!Y115,0)</f>
        <v>6.4156069858407472</v>
      </c>
    </row>
    <row r="116" spans="1:73" s="12" customFormat="1" ht="15">
      <c r="A116" s="15">
        <v>45041</v>
      </c>
      <c r="B116" s="441">
        <v>0.21</v>
      </c>
      <c r="C116" s="441">
        <v>0.21</v>
      </c>
      <c r="D116" s="441">
        <v>0.21</v>
      </c>
      <c r="E116" s="441">
        <v>0.22</v>
      </c>
      <c r="F116" s="441">
        <v>0.21</v>
      </c>
      <c r="G116" s="441">
        <v>0.2</v>
      </c>
      <c r="H116" s="441">
        <v>0.22</v>
      </c>
      <c r="I116" s="441">
        <v>0.21</v>
      </c>
      <c r="J116" s="441">
        <v>0.21</v>
      </c>
      <c r="K116" s="441">
        <v>0.21</v>
      </c>
      <c r="L116" s="441">
        <v>0.21</v>
      </c>
      <c r="M116" s="441">
        <v>0.21</v>
      </c>
      <c r="N116" s="441">
        <v>0.21</v>
      </c>
      <c r="O116" s="441">
        <v>0.21</v>
      </c>
      <c r="P116" s="441">
        <v>0.21</v>
      </c>
      <c r="Q116" s="441">
        <v>0.22</v>
      </c>
      <c r="R116" s="441">
        <v>0.21</v>
      </c>
      <c r="S116" s="441">
        <v>0.23</v>
      </c>
      <c r="T116" s="441">
        <v>0.23</v>
      </c>
      <c r="U116" s="441">
        <v>0.28000000000000003</v>
      </c>
      <c r="V116" s="441">
        <v>0.28000000000000003</v>
      </c>
      <c r="W116" s="441">
        <v>0.28999999999999998</v>
      </c>
      <c r="X116" s="441">
        <v>0.28999999999999998</v>
      </c>
      <c r="Y116" s="441">
        <v>0.28000000000000003</v>
      </c>
      <c r="Z116" s="19">
        <f t="shared" si="46"/>
        <v>55.476130995211172</v>
      </c>
      <c r="AA116" s="19">
        <f t="shared" si="47"/>
        <v>55.476130995211172</v>
      </c>
      <c r="AB116" s="19">
        <f t="shared" si="24"/>
        <v>55.476130995211172</v>
      </c>
      <c r="AC116" s="19">
        <f t="shared" si="25"/>
        <v>58.117851518792655</v>
      </c>
      <c r="AD116" s="19">
        <f t="shared" si="26"/>
        <v>55.476130995211172</v>
      </c>
      <c r="AE116" s="19">
        <f t="shared" si="27"/>
        <v>52.834410471629681</v>
      </c>
      <c r="AF116" s="19">
        <f t="shared" si="28"/>
        <v>58.117851518792655</v>
      </c>
      <c r="AG116" s="19">
        <f t="shared" si="29"/>
        <v>55.476130995211172</v>
      </c>
      <c r="AH116" s="19">
        <f t="shared" si="30"/>
        <v>55.476130995211172</v>
      </c>
      <c r="AI116" s="19">
        <f t="shared" si="31"/>
        <v>55.476130995211172</v>
      </c>
      <c r="AJ116" s="19">
        <f t="shared" si="32"/>
        <v>55.476130995211172</v>
      </c>
      <c r="AK116" s="19">
        <f t="shared" si="33"/>
        <v>55.476130995211172</v>
      </c>
      <c r="AL116" s="19">
        <f t="shared" si="34"/>
        <v>55.476130995211172</v>
      </c>
      <c r="AM116" s="19">
        <f t="shared" si="35"/>
        <v>55.476130995211172</v>
      </c>
      <c r="AN116" s="19">
        <f t="shared" si="36"/>
        <v>55.476130995211172</v>
      </c>
      <c r="AO116" s="19">
        <f t="shared" si="37"/>
        <v>58.117851518792655</v>
      </c>
      <c r="AP116" s="19">
        <f t="shared" si="38"/>
        <v>55.476130995211172</v>
      </c>
      <c r="AQ116" s="19">
        <f t="shared" si="39"/>
        <v>60.759572042374138</v>
      </c>
      <c r="AR116" s="19">
        <f t="shared" si="40"/>
        <v>60.759572042374138</v>
      </c>
      <c r="AS116" s="19">
        <f t="shared" si="41"/>
        <v>73.968174660281562</v>
      </c>
      <c r="AT116" s="19">
        <f t="shared" si="42"/>
        <v>73.968174660281562</v>
      </c>
      <c r="AU116" s="19">
        <f t="shared" si="43"/>
        <v>76.609895183863046</v>
      </c>
      <c r="AV116" s="19">
        <f t="shared" si="44"/>
        <v>76.609895183863046</v>
      </c>
      <c r="AW116" s="19">
        <f t="shared" si="45"/>
        <v>73.968174660281562</v>
      </c>
      <c r="AX116" s="18">
        <f>IFERROR(Z116/'Ar-Pa'!B116,0)</f>
        <v>9.2460218325351953</v>
      </c>
      <c r="AY116" s="18">
        <f>IFERROR(AA116/'Ar-Pa'!C116,0)</f>
        <v>9.2460218325351953</v>
      </c>
      <c r="AZ116" s="18">
        <f>IFERROR(AB116/'Ar-Pa'!D116,0)</f>
        <v>9.2460218325351953</v>
      </c>
      <c r="BA116" s="18">
        <f>IFERROR(AC116/'Ar-Pa'!E116,0)</f>
        <v>8.3025502169703795</v>
      </c>
      <c r="BB116" s="18">
        <f>IFERROR(AD116/'Ar-Pa'!F116,0)</f>
        <v>7.9251615707444527</v>
      </c>
      <c r="BC116" s="18">
        <f>IFERROR(AE116/'Ar-Pa'!G116,0)</f>
        <v>7.5477729245185259</v>
      </c>
      <c r="BD116" s="18">
        <f>IFERROR(AF116/'Ar-Pa'!H116,0)</f>
        <v>8.3025502169703795</v>
      </c>
      <c r="BE116" s="18">
        <f>IFERROR(AG116/'Ar-Pa'!I116,0)</f>
        <v>7.9251615707444527</v>
      </c>
      <c r="BF116" s="18">
        <f>IFERROR(AH116/'Ar-Pa'!J116,0)</f>
        <v>7.9251615707444527</v>
      </c>
      <c r="BG116" s="18">
        <f>IFERROR(AI116/'Ar-Pa'!K116,0)</f>
        <v>6.9345163744013965</v>
      </c>
      <c r="BH116" s="18">
        <f>IFERROR(AJ116/'Ar-Pa'!L116,0)</f>
        <v>6.9345163744013965</v>
      </c>
      <c r="BI116" s="18">
        <f>IFERROR(AK116/'Ar-Pa'!M116,0)</f>
        <v>6.9345163744013965</v>
      </c>
      <c r="BJ116" s="18">
        <f>IFERROR(AL116/'Ar-Pa'!N116,0)</f>
        <v>6.9345163744013965</v>
      </c>
      <c r="BK116" s="18">
        <f>IFERROR(AM116/'Ar-Pa'!O116,0)</f>
        <v>6.9345163744013965</v>
      </c>
      <c r="BL116" s="18">
        <f>IFERROR(AN116/'Ar-Pa'!P116,0)</f>
        <v>6.9345163744013965</v>
      </c>
      <c r="BM116" s="18">
        <f>IFERROR(AO116/'Ar-Pa'!Q116,0)</f>
        <v>7.2647314398490819</v>
      </c>
      <c r="BN116" s="18">
        <f>IFERROR(AP116/'Ar-Pa'!R116,0)</f>
        <v>6.9345163744013965</v>
      </c>
      <c r="BO116" s="18">
        <f>IFERROR(AQ116/'Ar-Pa'!S116,0)</f>
        <v>7.5949465052967673</v>
      </c>
      <c r="BP116" s="18">
        <f>IFERROR(AR116/'Ar-Pa'!T116,0)</f>
        <v>7.5949465052967673</v>
      </c>
      <c r="BQ116" s="18">
        <f>IFERROR(AS116/'Ar-Pa'!U116,0)</f>
        <v>9.2460218325351953</v>
      </c>
      <c r="BR116" s="18">
        <f>IFERROR(AT116/'Ar-Pa'!V116,0)</f>
        <v>9.2460218325351953</v>
      </c>
      <c r="BS116" s="18">
        <f>IFERROR(AU116/'Ar-Pa'!W116,0)</f>
        <v>9.5762368979828807</v>
      </c>
      <c r="BT116" s="18">
        <f>IFERROR(AV116/'Ar-Pa'!X116,0)</f>
        <v>9.5762368979828807</v>
      </c>
      <c r="BU116" s="18">
        <f>IFERROR(AW116/'Ar-Pa'!Y116,0)</f>
        <v>9.2460218325351953</v>
      </c>
    </row>
    <row r="117" spans="1:73" s="12" customFormat="1" ht="15">
      <c r="A117" s="15">
        <v>45042</v>
      </c>
      <c r="B117" s="441">
        <v>0.26</v>
      </c>
      <c r="C117" s="441">
        <v>0.26</v>
      </c>
      <c r="D117" s="441">
        <v>0.26</v>
      </c>
      <c r="E117" s="441">
        <v>0.26</v>
      </c>
      <c r="F117" s="441">
        <v>0.26</v>
      </c>
      <c r="G117" s="441">
        <v>0.26</v>
      </c>
      <c r="H117" s="441">
        <v>0.25</v>
      </c>
      <c r="I117" s="441">
        <v>0.25</v>
      </c>
      <c r="J117" s="441">
        <v>0.25</v>
      </c>
      <c r="K117" s="441">
        <v>0.25</v>
      </c>
      <c r="L117" s="441">
        <v>0.25</v>
      </c>
      <c r="M117" s="441">
        <v>0.26</v>
      </c>
      <c r="N117" s="441">
        <v>0.26</v>
      </c>
      <c r="O117" s="441">
        <v>0.26</v>
      </c>
      <c r="P117" s="441">
        <v>0.26</v>
      </c>
      <c r="Q117" s="441">
        <v>0.26</v>
      </c>
      <c r="R117" s="441">
        <v>0.26</v>
      </c>
      <c r="S117" s="441">
        <v>0.27</v>
      </c>
      <c r="T117" s="441">
        <v>0.27</v>
      </c>
      <c r="U117" s="441">
        <v>0.31</v>
      </c>
      <c r="V117" s="441">
        <v>0.32</v>
      </c>
      <c r="W117" s="441">
        <v>0.32</v>
      </c>
      <c r="X117" s="441">
        <v>0.32</v>
      </c>
      <c r="Y117" s="441">
        <v>0.32</v>
      </c>
      <c r="Z117" s="19">
        <f t="shared" si="46"/>
        <v>68.684733613118595</v>
      </c>
      <c r="AA117" s="19">
        <f t="shared" si="47"/>
        <v>68.684733613118595</v>
      </c>
      <c r="AB117" s="19">
        <f t="shared" si="24"/>
        <v>68.684733613118595</v>
      </c>
      <c r="AC117" s="19">
        <f t="shared" si="25"/>
        <v>68.684733613118595</v>
      </c>
      <c r="AD117" s="19">
        <f t="shared" si="26"/>
        <v>68.684733613118595</v>
      </c>
      <c r="AE117" s="19">
        <f t="shared" si="27"/>
        <v>68.684733613118595</v>
      </c>
      <c r="AF117" s="19">
        <f t="shared" si="28"/>
        <v>66.043013089537112</v>
      </c>
      <c r="AG117" s="19">
        <f t="shared" si="29"/>
        <v>66.043013089537112</v>
      </c>
      <c r="AH117" s="19">
        <f t="shared" si="30"/>
        <v>66.043013089537112</v>
      </c>
      <c r="AI117" s="19">
        <f t="shared" si="31"/>
        <v>66.043013089537112</v>
      </c>
      <c r="AJ117" s="19">
        <f t="shared" si="32"/>
        <v>66.043013089537112</v>
      </c>
      <c r="AK117" s="19">
        <f t="shared" si="33"/>
        <v>68.684733613118595</v>
      </c>
      <c r="AL117" s="19">
        <f t="shared" si="34"/>
        <v>68.684733613118595</v>
      </c>
      <c r="AM117" s="19">
        <f t="shared" si="35"/>
        <v>68.684733613118595</v>
      </c>
      <c r="AN117" s="19">
        <f t="shared" si="36"/>
        <v>68.684733613118595</v>
      </c>
      <c r="AO117" s="19">
        <f t="shared" si="37"/>
        <v>68.684733613118595</v>
      </c>
      <c r="AP117" s="19">
        <f t="shared" si="38"/>
        <v>68.684733613118595</v>
      </c>
      <c r="AQ117" s="19">
        <f t="shared" si="39"/>
        <v>71.326454136700079</v>
      </c>
      <c r="AR117" s="19">
        <f t="shared" si="40"/>
        <v>71.326454136700079</v>
      </c>
      <c r="AS117" s="19">
        <f t="shared" si="41"/>
        <v>81.893336231026012</v>
      </c>
      <c r="AT117" s="19">
        <f t="shared" si="42"/>
        <v>84.535056754607496</v>
      </c>
      <c r="AU117" s="19">
        <f t="shared" si="43"/>
        <v>84.535056754607496</v>
      </c>
      <c r="AV117" s="19">
        <f t="shared" si="44"/>
        <v>84.535056754607496</v>
      </c>
      <c r="AW117" s="19">
        <f t="shared" si="45"/>
        <v>84.535056754607496</v>
      </c>
      <c r="AX117" s="18">
        <f>IFERROR(Z117/'Ar-Pa'!B117,0)</f>
        <v>8.5855917016398244</v>
      </c>
      <c r="AY117" s="18">
        <f>IFERROR(AA117/'Ar-Pa'!C117,0)</f>
        <v>8.5855917016398244</v>
      </c>
      <c r="AZ117" s="18">
        <f>IFERROR(AB117/'Ar-Pa'!D117,0)</f>
        <v>8.5855917016398244</v>
      </c>
      <c r="BA117" s="18">
        <f>IFERROR(AC117/'Ar-Pa'!E117,0)</f>
        <v>8.5855917016398244</v>
      </c>
      <c r="BB117" s="18">
        <f>IFERROR(AD117/'Ar-Pa'!F117,0)</f>
        <v>8.5855917016398244</v>
      </c>
      <c r="BC117" s="18">
        <f>IFERROR(AE117/'Ar-Pa'!G117,0)</f>
        <v>9.8121048018740851</v>
      </c>
      <c r="BD117" s="18">
        <f>IFERROR(AF117/'Ar-Pa'!H117,0)</f>
        <v>9.4347161556481591</v>
      </c>
      <c r="BE117" s="18">
        <f>IFERROR(AG117/'Ar-Pa'!I117,0)</f>
        <v>9.4347161556481591</v>
      </c>
      <c r="BF117" s="18">
        <f>IFERROR(AH117/'Ar-Pa'!J117,0)</f>
        <v>8.255376636192139</v>
      </c>
      <c r="BG117" s="18">
        <f>IFERROR(AI117/'Ar-Pa'!K117,0)</f>
        <v>8.255376636192139</v>
      </c>
      <c r="BH117" s="18">
        <f>IFERROR(AJ117/'Ar-Pa'!L117,0)</f>
        <v>8.255376636192139</v>
      </c>
      <c r="BI117" s="18">
        <f>IFERROR(AK117/'Ar-Pa'!M117,0)</f>
        <v>8.5855917016398244</v>
      </c>
      <c r="BJ117" s="18">
        <f>IFERROR(AL117/'Ar-Pa'!N117,0)</f>
        <v>8.5855917016398244</v>
      </c>
      <c r="BK117" s="18">
        <f>IFERROR(AM117/'Ar-Pa'!O117,0)</f>
        <v>8.5855917016398244</v>
      </c>
      <c r="BL117" s="18">
        <f>IFERROR(AN117/'Ar-Pa'!P117,0)</f>
        <v>8.5855917016398244</v>
      </c>
      <c r="BM117" s="18">
        <f>IFERROR(AO117/'Ar-Pa'!Q117,0)</f>
        <v>8.5855917016398244</v>
      </c>
      <c r="BN117" s="18">
        <f>IFERROR(AP117/'Ar-Pa'!R117,0)</f>
        <v>8.5855917016398244</v>
      </c>
      <c r="BO117" s="18">
        <f>IFERROR(AQ117/'Ar-Pa'!S117,0)</f>
        <v>8.9158067670875099</v>
      </c>
      <c r="BP117" s="18">
        <f>IFERROR(AR117/'Ar-Pa'!T117,0)</f>
        <v>8.9158067670875099</v>
      </c>
      <c r="BQ117" s="18">
        <f>IFERROR(AS117/'Ar-Pa'!U117,0)</f>
        <v>10.236667028878252</v>
      </c>
      <c r="BR117" s="18">
        <f>IFERROR(AT117/'Ar-Pa'!V117,0)</f>
        <v>10.566882094325937</v>
      </c>
      <c r="BS117" s="18">
        <f>IFERROR(AU117/'Ar-Pa'!W117,0)</f>
        <v>10.566882094325937</v>
      </c>
      <c r="BT117" s="18">
        <f>IFERROR(AV117/'Ar-Pa'!X117,0)</f>
        <v>10.566882094325937</v>
      </c>
      <c r="BU117" s="18">
        <f>IFERROR(AW117/'Ar-Pa'!Y117,0)</f>
        <v>10.566882094325937</v>
      </c>
    </row>
    <row r="118" spans="1:73" s="12" customFormat="1" ht="15">
      <c r="A118" s="15">
        <v>45043</v>
      </c>
      <c r="B118" s="441">
        <v>0.26</v>
      </c>
      <c r="C118" s="441">
        <v>0.21</v>
      </c>
      <c r="D118" s="441">
        <v>0.21</v>
      </c>
      <c r="E118" s="441">
        <v>0.21</v>
      </c>
      <c r="F118" s="441">
        <v>0.21</v>
      </c>
      <c r="G118" s="441">
        <v>0.21</v>
      </c>
      <c r="H118" s="441">
        <v>0.2</v>
      </c>
      <c r="I118" s="441">
        <v>0.21</v>
      </c>
      <c r="J118" s="441">
        <v>0.21</v>
      </c>
      <c r="K118" s="441">
        <v>0.21</v>
      </c>
      <c r="L118" s="441">
        <v>0.21</v>
      </c>
      <c r="M118" s="441">
        <v>0.21</v>
      </c>
      <c r="N118" s="441">
        <v>0.21</v>
      </c>
      <c r="O118" s="441">
        <v>0.22</v>
      </c>
      <c r="P118" s="441">
        <v>0.22</v>
      </c>
      <c r="Q118" s="441">
        <v>0.2</v>
      </c>
      <c r="R118" s="441">
        <v>0.22</v>
      </c>
      <c r="S118" s="441">
        <v>0.26</v>
      </c>
      <c r="T118" s="441">
        <v>0.21</v>
      </c>
      <c r="U118" s="441">
        <v>0.27</v>
      </c>
      <c r="V118" s="441">
        <v>0.27</v>
      </c>
      <c r="W118" s="441">
        <v>0.27</v>
      </c>
      <c r="X118" s="441">
        <v>0.27</v>
      </c>
      <c r="Y118" s="441">
        <v>0.27</v>
      </c>
      <c r="Z118" s="19">
        <f t="shared" si="46"/>
        <v>68.684733613118595</v>
      </c>
      <c r="AA118" s="19">
        <f t="shared" si="47"/>
        <v>55.476130995211172</v>
      </c>
      <c r="AB118" s="19">
        <f t="shared" si="24"/>
        <v>55.476130995211172</v>
      </c>
      <c r="AC118" s="19">
        <f t="shared" si="25"/>
        <v>55.476130995211172</v>
      </c>
      <c r="AD118" s="19">
        <f t="shared" si="26"/>
        <v>55.476130995211172</v>
      </c>
      <c r="AE118" s="19">
        <f t="shared" si="27"/>
        <v>55.476130995211172</v>
      </c>
      <c r="AF118" s="19">
        <f t="shared" si="28"/>
        <v>52.834410471629681</v>
      </c>
      <c r="AG118" s="19">
        <f t="shared" si="29"/>
        <v>55.476130995211172</v>
      </c>
      <c r="AH118" s="19">
        <f t="shared" si="30"/>
        <v>55.476130995211172</v>
      </c>
      <c r="AI118" s="19">
        <f t="shared" si="31"/>
        <v>55.476130995211172</v>
      </c>
      <c r="AJ118" s="19">
        <f t="shared" si="32"/>
        <v>55.476130995211172</v>
      </c>
      <c r="AK118" s="19">
        <f t="shared" si="33"/>
        <v>55.476130995211172</v>
      </c>
      <c r="AL118" s="19">
        <f t="shared" si="34"/>
        <v>55.476130995211172</v>
      </c>
      <c r="AM118" s="19">
        <f t="shared" si="35"/>
        <v>58.117851518792655</v>
      </c>
      <c r="AN118" s="19">
        <f t="shared" si="36"/>
        <v>58.117851518792655</v>
      </c>
      <c r="AO118" s="19">
        <f t="shared" si="37"/>
        <v>52.834410471629681</v>
      </c>
      <c r="AP118" s="19">
        <f t="shared" si="38"/>
        <v>58.117851518792655</v>
      </c>
      <c r="AQ118" s="19">
        <f t="shared" si="39"/>
        <v>68.684733613118595</v>
      </c>
      <c r="AR118" s="19">
        <f t="shared" si="40"/>
        <v>55.476130995211172</v>
      </c>
      <c r="AS118" s="19">
        <f t="shared" si="41"/>
        <v>71.326454136700079</v>
      </c>
      <c r="AT118" s="19">
        <f t="shared" si="42"/>
        <v>71.326454136700079</v>
      </c>
      <c r="AU118" s="19">
        <f t="shared" si="43"/>
        <v>71.326454136700079</v>
      </c>
      <c r="AV118" s="19">
        <f t="shared" si="44"/>
        <v>71.326454136700079</v>
      </c>
      <c r="AW118" s="19">
        <f t="shared" si="45"/>
        <v>71.326454136700079</v>
      </c>
      <c r="AX118" s="18">
        <f>IFERROR(Z118/'Ar-Pa'!B118,0)</f>
        <v>9.8121048018740851</v>
      </c>
      <c r="AY118" s="18">
        <f>IFERROR(AA118/'Ar-Pa'!C118,0)</f>
        <v>7.9251615707444527</v>
      </c>
      <c r="AZ118" s="18">
        <f>IFERROR(AB118/'Ar-Pa'!D118,0)</f>
        <v>7.9251615707444527</v>
      </c>
      <c r="BA118" s="18">
        <f>IFERROR(AC118/'Ar-Pa'!E118,0)</f>
        <v>7.9251615707444527</v>
      </c>
      <c r="BB118" s="18">
        <f>IFERROR(AD118/'Ar-Pa'!F118,0)</f>
        <v>7.9251615707444527</v>
      </c>
      <c r="BC118" s="18">
        <f>IFERROR(AE118/'Ar-Pa'!G118,0)</f>
        <v>9.2460218325351953</v>
      </c>
      <c r="BD118" s="18">
        <f>IFERROR(AF118/'Ar-Pa'!H118,0)</f>
        <v>8.8057350786049469</v>
      </c>
      <c r="BE118" s="18">
        <f>IFERROR(AG118/'Ar-Pa'!I118,0)</f>
        <v>9.2460218325351953</v>
      </c>
      <c r="BF118" s="18">
        <f>IFERROR(AH118/'Ar-Pa'!J118,0)</f>
        <v>7.9251615707444527</v>
      </c>
      <c r="BG118" s="18">
        <f>IFERROR(AI118/'Ar-Pa'!K118,0)</f>
        <v>7.9251615707444527</v>
      </c>
      <c r="BH118" s="18">
        <f>IFERROR(AJ118/'Ar-Pa'!L118,0)</f>
        <v>7.9251615707444527</v>
      </c>
      <c r="BI118" s="18">
        <f>IFERROR(AK118/'Ar-Pa'!M118,0)</f>
        <v>7.9251615707444527</v>
      </c>
      <c r="BJ118" s="18">
        <f>IFERROR(AL118/'Ar-Pa'!N118,0)</f>
        <v>7.9251615707444527</v>
      </c>
      <c r="BK118" s="18">
        <f>IFERROR(AM118/'Ar-Pa'!O118,0)</f>
        <v>8.3025502169703795</v>
      </c>
      <c r="BL118" s="18">
        <f>IFERROR(AN118/'Ar-Pa'!P118,0)</f>
        <v>8.3025502169703795</v>
      </c>
      <c r="BM118" s="18">
        <f>IFERROR(AO118/'Ar-Pa'!Q118,0)</f>
        <v>7.5477729245185259</v>
      </c>
      <c r="BN118" s="18">
        <f>IFERROR(AP118/'Ar-Pa'!R118,0)</f>
        <v>8.3025502169703795</v>
      </c>
      <c r="BO118" s="18">
        <f>IFERROR(AQ118/'Ar-Pa'!S118,0)</f>
        <v>9.8121048018740851</v>
      </c>
      <c r="BP118" s="18">
        <f>IFERROR(AR118/'Ar-Pa'!T118,0)</f>
        <v>7.9251615707444527</v>
      </c>
      <c r="BQ118" s="18">
        <f>IFERROR(AS118/'Ar-Pa'!U118,0)</f>
        <v>10.189493448100011</v>
      </c>
      <c r="BR118" s="18">
        <f>IFERROR(AT118/'Ar-Pa'!V118,0)</f>
        <v>10.189493448100011</v>
      </c>
      <c r="BS118" s="18">
        <f>IFERROR(AU118/'Ar-Pa'!W118,0)</f>
        <v>10.189493448100011</v>
      </c>
      <c r="BT118" s="18">
        <f>IFERROR(AV118/'Ar-Pa'!X118,0)</f>
        <v>10.189493448100011</v>
      </c>
      <c r="BU118" s="18">
        <f>IFERROR(AW118/'Ar-Pa'!Y118,0)</f>
        <v>10.189493448100011</v>
      </c>
    </row>
    <row r="119" spans="1:73" s="12" customFormat="1" ht="15">
      <c r="A119" s="15">
        <v>45044</v>
      </c>
      <c r="B119" s="441">
        <v>0.26</v>
      </c>
      <c r="C119" s="441">
        <v>0.23</v>
      </c>
      <c r="D119" s="441">
        <v>0.24</v>
      </c>
      <c r="E119" s="441">
        <v>0.24</v>
      </c>
      <c r="F119" s="441">
        <v>0.24</v>
      </c>
      <c r="G119" s="441">
        <v>0.24</v>
      </c>
      <c r="H119" s="441">
        <v>0.24</v>
      </c>
      <c r="I119" s="441">
        <v>0.24</v>
      </c>
      <c r="J119" s="441">
        <v>0.24</v>
      </c>
      <c r="K119" s="441">
        <v>0.23</v>
      </c>
      <c r="L119" s="441">
        <v>0.24</v>
      </c>
      <c r="M119" s="441">
        <v>0.24</v>
      </c>
      <c r="N119" s="441">
        <v>0.25</v>
      </c>
      <c r="O119" s="441">
        <v>0.24</v>
      </c>
      <c r="P119" s="441">
        <v>0.24</v>
      </c>
      <c r="Q119" s="441">
        <v>0.25</v>
      </c>
      <c r="R119" s="441">
        <v>0.23</v>
      </c>
      <c r="S119" s="441">
        <v>0.24</v>
      </c>
      <c r="T119" s="441">
        <v>0.24</v>
      </c>
      <c r="U119" s="441">
        <v>0.24</v>
      </c>
      <c r="V119" s="441">
        <v>0.3</v>
      </c>
      <c r="W119" s="441">
        <v>0.28999999999999998</v>
      </c>
      <c r="X119" s="441">
        <v>0.31</v>
      </c>
      <c r="Y119" s="441">
        <v>0.28999999999999998</v>
      </c>
      <c r="Z119" s="19">
        <f t="shared" si="46"/>
        <v>68.684733613118595</v>
      </c>
      <c r="AA119" s="19">
        <f t="shared" si="47"/>
        <v>60.759572042374138</v>
      </c>
      <c r="AB119" s="19">
        <f t="shared" si="24"/>
        <v>63.401292565955622</v>
      </c>
      <c r="AC119" s="19">
        <f t="shared" si="25"/>
        <v>63.401292565955622</v>
      </c>
      <c r="AD119" s="19">
        <f t="shared" si="26"/>
        <v>63.401292565955622</v>
      </c>
      <c r="AE119" s="19">
        <f t="shared" si="27"/>
        <v>63.401292565955622</v>
      </c>
      <c r="AF119" s="19">
        <f t="shared" si="28"/>
        <v>63.401292565955622</v>
      </c>
      <c r="AG119" s="19">
        <f t="shared" si="29"/>
        <v>63.401292565955622</v>
      </c>
      <c r="AH119" s="19">
        <f t="shared" si="30"/>
        <v>63.401292565955622</v>
      </c>
      <c r="AI119" s="19">
        <f t="shared" si="31"/>
        <v>60.759572042374138</v>
      </c>
      <c r="AJ119" s="19">
        <f t="shared" si="32"/>
        <v>63.401292565955622</v>
      </c>
      <c r="AK119" s="19">
        <f t="shared" si="33"/>
        <v>63.401292565955622</v>
      </c>
      <c r="AL119" s="19">
        <f t="shared" si="34"/>
        <v>66.043013089537112</v>
      </c>
      <c r="AM119" s="19">
        <f t="shared" si="35"/>
        <v>63.401292565955622</v>
      </c>
      <c r="AN119" s="19">
        <f t="shared" si="36"/>
        <v>63.401292565955622</v>
      </c>
      <c r="AO119" s="19">
        <f t="shared" si="37"/>
        <v>66.043013089537112</v>
      </c>
      <c r="AP119" s="19">
        <f t="shared" si="38"/>
        <v>60.759572042374138</v>
      </c>
      <c r="AQ119" s="19">
        <f t="shared" si="39"/>
        <v>63.401292565955622</v>
      </c>
      <c r="AR119" s="19">
        <f t="shared" si="40"/>
        <v>63.401292565955622</v>
      </c>
      <c r="AS119" s="19">
        <f t="shared" si="41"/>
        <v>63.401292565955622</v>
      </c>
      <c r="AT119" s="19">
        <f t="shared" si="42"/>
        <v>79.251615707444529</v>
      </c>
      <c r="AU119" s="19">
        <f t="shared" si="43"/>
        <v>76.609895183863046</v>
      </c>
      <c r="AV119" s="19">
        <f t="shared" si="44"/>
        <v>81.893336231026012</v>
      </c>
      <c r="AW119" s="19">
        <f t="shared" si="45"/>
        <v>76.609895183863046</v>
      </c>
      <c r="AX119" s="18">
        <f>IFERROR(Z119/'Ar-Pa'!B119,0)</f>
        <v>9.8121048018740851</v>
      </c>
      <c r="AY119" s="18">
        <f>IFERROR(AA119/'Ar-Pa'!C119,0)</f>
        <v>8.6799388631963055</v>
      </c>
      <c r="AZ119" s="18">
        <f>IFERROR(AB119/'Ar-Pa'!D119,0)</f>
        <v>9.0573275094222314</v>
      </c>
      <c r="BA119" s="18">
        <f>IFERROR(AC119/'Ar-Pa'!E119,0)</f>
        <v>7.9251615707444527</v>
      </c>
      <c r="BB119" s="18">
        <f>IFERROR(AD119/'Ar-Pa'!F119,0)</f>
        <v>7.9251615707444527</v>
      </c>
      <c r="BC119" s="18">
        <f>IFERROR(AE119/'Ar-Pa'!G119,0)</f>
        <v>10.566882094325937</v>
      </c>
      <c r="BD119" s="18">
        <f>IFERROR(AF119/'Ar-Pa'!H119,0)</f>
        <v>10.566882094325937</v>
      </c>
      <c r="BE119" s="18">
        <f>IFERROR(AG119/'Ar-Pa'!I119,0)</f>
        <v>10.566882094325937</v>
      </c>
      <c r="BF119" s="18">
        <f>IFERROR(AH119/'Ar-Pa'!J119,0)</f>
        <v>9.0573275094222314</v>
      </c>
      <c r="BG119" s="18">
        <f>IFERROR(AI119/'Ar-Pa'!K119,0)</f>
        <v>8.6799388631963055</v>
      </c>
      <c r="BH119" s="18">
        <f>IFERROR(AJ119/'Ar-Pa'!L119,0)</f>
        <v>9.0573275094222314</v>
      </c>
      <c r="BI119" s="18">
        <f>IFERROR(AK119/'Ar-Pa'!M119,0)</f>
        <v>9.0573275094222314</v>
      </c>
      <c r="BJ119" s="18">
        <f>IFERROR(AL119/'Ar-Pa'!N119,0)</f>
        <v>9.4347161556481591</v>
      </c>
      <c r="BK119" s="18">
        <f>IFERROR(AM119/'Ar-Pa'!O119,0)</f>
        <v>9.0573275094222314</v>
      </c>
      <c r="BL119" s="18">
        <f>IFERROR(AN119/'Ar-Pa'!P119,0)</f>
        <v>9.0573275094222314</v>
      </c>
      <c r="BM119" s="18">
        <f>IFERROR(AO119/'Ar-Pa'!Q119,0)</f>
        <v>9.4347161556481591</v>
      </c>
      <c r="BN119" s="18">
        <f>IFERROR(AP119/'Ar-Pa'!R119,0)</f>
        <v>8.6799388631963055</v>
      </c>
      <c r="BO119" s="18">
        <f>IFERROR(AQ119/'Ar-Pa'!S119,0)</f>
        <v>9.0573275094222314</v>
      </c>
      <c r="BP119" s="18">
        <f>IFERROR(AR119/'Ar-Pa'!T119,0)</f>
        <v>9.0573275094222314</v>
      </c>
      <c r="BQ119" s="18">
        <f>IFERROR(AS119/'Ar-Pa'!U119,0)</f>
        <v>9.0573275094222314</v>
      </c>
      <c r="BR119" s="18">
        <f>IFERROR(AT119/'Ar-Pa'!V119,0)</f>
        <v>11.321659386777791</v>
      </c>
      <c r="BS119" s="18">
        <f>IFERROR(AU119/'Ar-Pa'!W119,0)</f>
        <v>10.944270740551863</v>
      </c>
      <c r="BT119" s="18">
        <f>IFERROR(AV119/'Ar-Pa'!X119,0)</f>
        <v>11.699048033003717</v>
      </c>
      <c r="BU119" s="18">
        <f>IFERROR(AW119/'Ar-Pa'!Y119,0)</f>
        <v>10.944270740551863</v>
      </c>
    </row>
    <row r="120" spans="1:73" s="12" customFormat="1" ht="15">
      <c r="A120" s="15">
        <v>45045</v>
      </c>
      <c r="B120" s="441">
        <v>0.3</v>
      </c>
      <c r="C120" s="441">
        <v>0.28000000000000003</v>
      </c>
      <c r="D120" s="441">
        <v>0.28000000000000003</v>
      </c>
      <c r="E120" s="441">
        <v>0.28999999999999998</v>
      </c>
      <c r="F120" s="441">
        <v>0.28000000000000003</v>
      </c>
      <c r="G120" s="441">
        <v>0.28000000000000003</v>
      </c>
      <c r="H120" s="441">
        <v>0.27</v>
      </c>
      <c r="I120" s="441">
        <v>0.28999999999999998</v>
      </c>
      <c r="J120" s="441">
        <v>0.28000000000000003</v>
      </c>
      <c r="K120" s="441">
        <v>0.28000000000000003</v>
      </c>
      <c r="L120" s="441">
        <v>0.27</v>
      </c>
      <c r="M120" s="441">
        <v>0.28999999999999998</v>
      </c>
      <c r="N120" s="441">
        <v>0.27</v>
      </c>
      <c r="O120" s="441">
        <v>0.28999999999999998</v>
      </c>
      <c r="P120" s="441">
        <v>0.27</v>
      </c>
      <c r="Q120" s="441">
        <v>0.28999999999999998</v>
      </c>
      <c r="R120" s="441">
        <v>0.27</v>
      </c>
      <c r="S120" s="441">
        <v>0.28000000000000003</v>
      </c>
      <c r="T120" s="441">
        <v>0.28999999999999998</v>
      </c>
      <c r="U120" s="441">
        <v>0.28000000000000003</v>
      </c>
      <c r="V120" s="441">
        <v>0.28000000000000003</v>
      </c>
      <c r="W120" s="441">
        <v>0.35</v>
      </c>
      <c r="X120" s="441">
        <v>0.27</v>
      </c>
      <c r="Y120" s="441">
        <v>0.27</v>
      </c>
      <c r="Z120" s="19">
        <f t="shared" si="46"/>
        <v>79.251615707444529</v>
      </c>
      <c r="AA120" s="19">
        <f t="shared" si="47"/>
        <v>73.968174660281562</v>
      </c>
      <c r="AB120" s="19">
        <f t="shared" si="24"/>
        <v>73.968174660281562</v>
      </c>
      <c r="AC120" s="19">
        <f t="shared" si="25"/>
        <v>76.609895183863046</v>
      </c>
      <c r="AD120" s="19">
        <f t="shared" si="26"/>
        <v>73.968174660281562</v>
      </c>
      <c r="AE120" s="19">
        <f t="shared" si="27"/>
        <v>73.968174660281562</v>
      </c>
      <c r="AF120" s="19">
        <f t="shared" si="28"/>
        <v>71.326454136700079</v>
      </c>
      <c r="AG120" s="19">
        <f t="shared" si="29"/>
        <v>76.609895183863046</v>
      </c>
      <c r="AH120" s="19">
        <f t="shared" si="30"/>
        <v>73.968174660281562</v>
      </c>
      <c r="AI120" s="19">
        <f t="shared" si="31"/>
        <v>73.968174660281562</v>
      </c>
      <c r="AJ120" s="19">
        <f t="shared" si="32"/>
        <v>71.326454136700079</v>
      </c>
      <c r="AK120" s="19">
        <f t="shared" si="33"/>
        <v>76.609895183863046</v>
      </c>
      <c r="AL120" s="19">
        <f t="shared" si="34"/>
        <v>71.326454136700079</v>
      </c>
      <c r="AM120" s="19">
        <f t="shared" si="35"/>
        <v>76.609895183863046</v>
      </c>
      <c r="AN120" s="19">
        <f t="shared" si="36"/>
        <v>71.326454136700079</v>
      </c>
      <c r="AO120" s="19">
        <f t="shared" si="37"/>
        <v>76.609895183863046</v>
      </c>
      <c r="AP120" s="19">
        <f t="shared" si="38"/>
        <v>71.326454136700079</v>
      </c>
      <c r="AQ120" s="19">
        <f t="shared" si="39"/>
        <v>73.968174660281562</v>
      </c>
      <c r="AR120" s="19">
        <f t="shared" si="40"/>
        <v>76.609895183863046</v>
      </c>
      <c r="AS120" s="19">
        <f t="shared" si="41"/>
        <v>73.968174660281562</v>
      </c>
      <c r="AT120" s="19">
        <f t="shared" si="42"/>
        <v>73.968174660281562</v>
      </c>
      <c r="AU120" s="19">
        <f t="shared" si="43"/>
        <v>92.460218325351946</v>
      </c>
      <c r="AV120" s="19">
        <f t="shared" si="44"/>
        <v>71.326454136700079</v>
      </c>
      <c r="AW120" s="19">
        <f t="shared" si="45"/>
        <v>71.326454136700079</v>
      </c>
      <c r="AX120" s="18">
        <f>IFERROR(Z120/'Ar-Pa'!B120,0)</f>
        <v>11.321659386777791</v>
      </c>
      <c r="AY120" s="18">
        <f>IFERROR(AA120/'Ar-Pa'!C120,0)</f>
        <v>10.566882094325937</v>
      </c>
      <c r="AZ120" s="18">
        <f>IFERROR(AB120/'Ar-Pa'!D120,0)</f>
        <v>10.566882094325937</v>
      </c>
      <c r="BA120" s="18">
        <f>IFERROR(AC120/'Ar-Pa'!E120,0)</f>
        <v>10.944270740551863</v>
      </c>
      <c r="BB120" s="18">
        <f>IFERROR(AD120/'Ar-Pa'!F120,0)</f>
        <v>10.566882094325937</v>
      </c>
      <c r="BC120" s="18">
        <f>IFERROR(AE120/'Ar-Pa'!G120,0)</f>
        <v>10.566882094325937</v>
      </c>
      <c r="BD120" s="18">
        <f>IFERROR(AF120/'Ar-Pa'!H120,0)</f>
        <v>11.88774235611668</v>
      </c>
      <c r="BE120" s="18">
        <f>IFERROR(AG120/'Ar-Pa'!I120,0)</f>
        <v>12.768315863977174</v>
      </c>
      <c r="BF120" s="18">
        <f>IFERROR(AH120/'Ar-Pa'!J120,0)</f>
        <v>10.566882094325937</v>
      </c>
      <c r="BG120" s="18">
        <f>IFERROR(AI120/'Ar-Pa'!K120,0)</f>
        <v>10.566882094325937</v>
      </c>
      <c r="BH120" s="18">
        <f>IFERROR(AJ120/'Ar-Pa'!L120,0)</f>
        <v>10.189493448100011</v>
      </c>
      <c r="BI120" s="18">
        <f>IFERROR(AK120/'Ar-Pa'!M120,0)</f>
        <v>10.944270740551863</v>
      </c>
      <c r="BJ120" s="18">
        <f>IFERROR(AL120/'Ar-Pa'!N120,0)</f>
        <v>10.189493448100011</v>
      </c>
      <c r="BK120" s="18">
        <f>IFERROR(AM120/'Ar-Pa'!O120,0)</f>
        <v>10.944270740551863</v>
      </c>
      <c r="BL120" s="18">
        <f>IFERROR(AN120/'Ar-Pa'!P120,0)</f>
        <v>10.189493448100011</v>
      </c>
      <c r="BM120" s="18">
        <f>IFERROR(AO120/'Ar-Pa'!Q120,0)</f>
        <v>10.944270740551863</v>
      </c>
      <c r="BN120" s="18">
        <f>IFERROR(AP120/'Ar-Pa'!R120,0)</f>
        <v>10.189493448100011</v>
      </c>
      <c r="BO120" s="18">
        <f>IFERROR(AQ120/'Ar-Pa'!S120,0)</f>
        <v>10.566882094325937</v>
      </c>
      <c r="BP120" s="18">
        <f>IFERROR(AR120/'Ar-Pa'!T120,0)</f>
        <v>10.944270740551863</v>
      </c>
      <c r="BQ120" s="18">
        <f>IFERROR(AS120/'Ar-Pa'!U120,0)</f>
        <v>10.566882094325937</v>
      </c>
      <c r="BR120" s="18">
        <f>IFERROR(AT120/'Ar-Pa'!V120,0)</f>
        <v>10.566882094325937</v>
      </c>
      <c r="BS120" s="18">
        <f>IFERROR(AU120/'Ar-Pa'!W120,0)</f>
        <v>13.20860261790742</v>
      </c>
      <c r="BT120" s="18">
        <f>IFERROR(AV120/'Ar-Pa'!X120,0)</f>
        <v>10.189493448100011</v>
      </c>
      <c r="BU120" s="18">
        <f>IFERROR(AW120/'Ar-Pa'!Y120,0)</f>
        <v>10.189493448100011</v>
      </c>
    </row>
    <row r="121" spans="1:73" s="12" customFormat="1" ht="15">
      <c r="A121" s="15">
        <v>45046</v>
      </c>
      <c r="B121" s="441">
        <v>0.28999999999999998</v>
      </c>
      <c r="C121" s="441">
        <v>0.28000000000000003</v>
      </c>
      <c r="D121" s="441">
        <v>0.3</v>
      </c>
      <c r="E121" s="441">
        <v>0.28999999999999998</v>
      </c>
      <c r="F121" s="441">
        <v>0.3</v>
      </c>
      <c r="G121" s="441">
        <v>0.28000000000000003</v>
      </c>
      <c r="H121" s="441">
        <v>0.28999999999999998</v>
      </c>
      <c r="I121" s="441">
        <v>0.3</v>
      </c>
      <c r="J121" s="441">
        <v>0.28999999999999998</v>
      </c>
      <c r="K121" s="441">
        <v>0.28999999999999998</v>
      </c>
      <c r="L121" s="441">
        <v>0.28999999999999998</v>
      </c>
      <c r="M121" s="441">
        <v>0.28999999999999998</v>
      </c>
      <c r="N121" s="441">
        <v>0.28999999999999998</v>
      </c>
      <c r="O121" s="441">
        <v>0.3</v>
      </c>
      <c r="P121" s="441">
        <v>0.28999999999999998</v>
      </c>
      <c r="Q121" s="441">
        <v>0.28999999999999998</v>
      </c>
      <c r="R121" s="441">
        <v>0.3</v>
      </c>
      <c r="S121" s="441">
        <v>0.28000000000000003</v>
      </c>
      <c r="T121" s="441">
        <v>0.3</v>
      </c>
      <c r="U121" s="441">
        <v>0.3</v>
      </c>
      <c r="V121" s="441">
        <v>0.28999999999999998</v>
      </c>
      <c r="W121" s="441">
        <v>0.28999999999999998</v>
      </c>
      <c r="X121" s="441">
        <v>0.28999999999999998</v>
      </c>
      <c r="Y121" s="441">
        <v>0.28999999999999998</v>
      </c>
      <c r="Z121" s="19">
        <f t="shared" si="46"/>
        <v>76.609895183863046</v>
      </c>
      <c r="AA121" s="19">
        <f t="shared" si="47"/>
        <v>73.968174660281562</v>
      </c>
      <c r="AB121" s="19">
        <f t="shared" si="24"/>
        <v>79.251615707444529</v>
      </c>
      <c r="AC121" s="19">
        <f t="shared" si="25"/>
        <v>76.609895183863046</v>
      </c>
      <c r="AD121" s="19">
        <f t="shared" si="26"/>
        <v>79.251615707444529</v>
      </c>
      <c r="AE121" s="19">
        <f t="shared" si="27"/>
        <v>73.968174660281562</v>
      </c>
      <c r="AF121" s="19">
        <f t="shared" si="28"/>
        <v>76.609895183863046</v>
      </c>
      <c r="AG121" s="19">
        <f t="shared" si="29"/>
        <v>79.251615707444529</v>
      </c>
      <c r="AH121" s="19">
        <f t="shared" si="30"/>
        <v>76.609895183863046</v>
      </c>
      <c r="AI121" s="19">
        <f t="shared" si="31"/>
        <v>76.609895183863046</v>
      </c>
      <c r="AJ121" s="19">
        <f t="shared" si="32"/>
        <v>76.609895183863046</v>
      </c>
      <c r="AK121" s="19">
        <f t="shared" si="33"/>
        <v>76.609895183863046</v>
      </c>
      <c r="AL121" s="19">
        <f t="shared" si="34"/>
        <v>76.609895183863046</v>
      </c>
      <c r="AM121" s="19">
        <f t="shared" si="35"/>
        <v>79.251615707444529</v>
      </c>
      <c r="AN121" s="19">
        <f t="shared" si="36"/>
        <v>76.609895183863046</v>
      </c>
      <c r="AO121" s="19">
        <f t="shared" si="37"/>
        <v>76.609895183863046</v>
      </c>
      <c r="AP121" s="19">
        <f t="shared" si="38"/>
        <v>79.251615707444529</v>
      </c>
      <c r="AQ121" s="19">
        <f t="shared" si="39"/>
        <v>73.968174660281562</v>
      </c>
      <c r="AR121" s="19">
        <f t="shared" si="40"/>
        <v>79.251615707444529</v>
      </c>
      <c r="AS121" s="19">
        <f t="shared" si="41"/>
        <v>79.251615707444529</v>
      </c>
      <c r="AT121" s="19">
        <f t="shared" si="42"/>
        <v>76.609895183863046</v>
      </c>
      <c r="AU121" s="19">
        <f t="shared" si="43"/>
        <v>76.609895183863046</v>
      </c>
      <c r="AV121" s="19">
        <f t="shared" si="44"/>
        <v>76.609895183863046</v>
      </c>
      <c r="AW121" s="19">
        <f t="shared" si="45"/>
        <v>76.609895183863046</v>
      </c>
      <c r="AX121" s="18">
        <f>IFERROR(Z121/'Ar-Pa'!B121,0)</f>
        <v>10.944270740551863</v>
      </c>
      <c r="AY121" s="18">
        <f>IFERROR(AA121/'Ar-Pa'!C121,0)</f>
        <v>10.566882094325937</v>
      </c>
      <c r="AZ121" s="18">
        <f>IFERROR(AB121/'Ar-Pa'!D121,0)</f>
        <v>11.321659386777791</v>
      </c>
      <c r="BA121" s="18">
        <f>IFERROR(AC121/'Ar-Pa'!E121,0)</f>
        <v>10.944270740551863</v>
      </c>
      <c r="BB121" s="18">
        <f>IFERROR(AD121/'Ar-Pa'!F121,0)</f>
        <v>11.321659386777791</v>
      </c>
      <c r="BC121" s="18">
        <f>IFERROR(AE121/'Ar-Pa'!G121,0)</f>
        <v>10.566882094325937</v>
      </c>
      <c r="BD121" s="18">
        <f>IFERROR(AF121/'Ar-Pa'!H121,0)</f>
        <v>12.768315863977174</v>
      </c>
      <c r="BE121" s="18">
        <f>IFERROR(AG121/'Ar-Pa'!I121,0)</f>
        <v>13.208602617907422</v>
      </c>
      <c r="BF121" s="18">
        <f>IFERROR(AH121/'Ar-Pa'!J121,0)</f>
        <v>10.944270740551863</v>
      </c>
      <c r="BG121" s="18">
        <f>IFERROR(AI121/'Ar-Pa'!K121,0)</f>
        <v>10.944270740551863</v>
      </c>
      <c r="BH121" s="18">
        <f>IFERROR(AJ121/'Ar-Pa'!L121,0)</f>
        <v>10.944270740551863</v>
      </c>
      <c r="BI121" s="18">
        <f>IFERROR(AK121/'Ar-Pa'!M121,0)</f>
        <v>10.944270740551863</v>
      </c>
      <c r="BJ121" s="18">
        <f>IFERROR(AL121/'Ar-Pa'!N121,0)</f>
        <v>10.944270740551863</v>
      </c>
      <c r="BK121" s="18">
        <f>IFERROR(AM121/'Ar-Pa'!O121,0)</f>
        <v>11.321659386777791</v>
      </c>
      <c r="BL121" s="18">
        <f>IFERROR(AN121/'Ar-Pa'!P121,0)</f>
        <v>10.944270740551863</v>
      </c>
      <c r="BM121" s="18">
        <f>IFERROR(AO121/'Ar-Pa'!Q121,0)</f>
        <v>10.944270740551863</v>
      </c>
      <c r="BN121" s="18">
        <f>IFERROR(AP121/'Ar-Pa'!R121,0)</f>
        <v>11.321659386777791</v>
      </c>
      <c r="BO121" s="18">
        <f>IFERROR(AQ121/'Ar-Pa'!S121,0)</f>
        <v>10.566882094325937</v>
      </c>
      <c r="BP121" s="18">
        <f>IFERROR(AR121/'Ar-Pa'!T121,0)</f>
        <v>11.321659386777791</v>
      </c>
      <c r="BQ121" s="18">
        <f>IFERROR(AS121/'Ar-Pa'!U121,0)</f>
        <v>11.321659386777791</v>
      </c>
      <c r="BR121" s="18">
        <f>IFERROR(AT121/'Ar-Pa'!V121,0)</f>
        <v>10.944270740551863</v>
      </c>
      <c r="BS121" s="18">
        <f>IFERROR(AU121/'Ar-Pa'!W121,0)</f>
        <v>10.944270740551863</v>
      </c>
      <c r="BT121" s="18">
        <f>IFERROR(AV121/'Ar-Pa'!X121,0)</f>
        <v>10.944270740551863</v>
      </c>
      <c r="BU121" s="18">
        <f>IFERROR(AW121/'Ar-Pa'!Y121,0)</f>
        <v>10.944270740551863</v>
      </c>
    </row>
    <row r="122" spans="1:73" s="12" customFormat="1" ht="15">
      <c r="A122" s="15">
        <v>45047</v>
      </c>
      <c r="B122" s="441">
        <v>0.3</v>
      </c>
      <c r="C122" s="441">
        <v>0.3</v>
      </c>
      <c r="D122" s="441">
        <v>0.3</v>
      </c>
      <c r="E122" s="441">
        <v>0.3</v>
      </c>
      <c r="F122" s="441">
        <v>0.3</v>
      </c>
      <c r="G122" s="441">
        <v>0.3</v>
      </c>
      <c r="H122" s="441">
        <v>0.3</v>
      </c>
      <c r="I122" s="441">
        <v>0.3</v>
      </c>
      <c r="J122" s="441">
        <v>0.3</v>
      </c>
      <c r="K122" s="441">
        <v>0.28999999999999998</v>
      </c>
      <c r="L122" s="441">
        <v>0.31</v>
      </c>
      <c r="M122" s="441">
        <v>0.3</v>
      </c>
      <c r="N122" s="441">
        <v>0.28999999999999998</v>
      </c>
      <c r="O122" s="441">
        <v>0.3</v>
      </c>
      <c r="P122" s="441">
        <v>0.3</v>
      </c>
      <c r="Q122" s="441">
        <v>0.3</v>
      </c>
      <c r="R122" s="441">
        <v>0.28999999999999998</v>
      </c>
      <c r="S122" s="441">
        <v>0.3</v>
      </c>
      <c r="T122" s="441">
        <v>0.31</v>
      </c>
      <c r="U122" s="441">
        <v>0.28999999999999998</v>
      </c>
      <c r="V122" s="441">
        <v>0.3</v>
      </c>
      <c r="W122" s="441">
        <v>0.3</v>
      </c>
      <c r="X122" s="441">
        <v>0.28999999999999998</v>
      </c>
      <c r="Y122" s="441">
        <v>0.33</v>
      </c>
      <c r="Z122" s="19">
        <f>+CONVERT(B122,"m^3","gal")</f>
        <v>79.251615707444529</v>
      </c>
      <c r="AA122" s="19">
        <f t="shared" si="47"/>
        <v>79.251615707444529</v>
      </c>
      <c r="AB122" s="19">
        <f t="shared" si="24"/>
        <v>79.251615707444529</v>
      </c>
      <c r="AC122" s="19">
        <f t="shared" si="25"/>
        <v>79.251615707444529</v>
      </c>
      <c r="AD122" s="19">
        <f t="shared" si="26"/>
        <v>79.251615707444529</v>
      </c>
      <c r="AE122" s="19">
        <f t="shared" si="27"/>
        <v>79.251615707444529</v>
      </c>
      <c r="AF122" s="19">
        <f t="shared" si="28"/>
        <v>79.251615707444529</v>
      </c>
      <c r="AG122" s="19">
        <f t="shared" si="29"/>
        <v>79.251615707444529</v>
      </c>
      <c r="AH122" s="19">
        <f t="shared" si="30"/>
        <v>79.251615707444529</v>
      </c>
      <c r="AI122" s="19">
        <f t="shared" si="31"/>
        <v>76.609895183863046</v>
      </c>
      <c r="AJ122" s="19">
        <f t="shared" si="32"/>
        <v>81.893336231026012</v>
      </c>
      <c r="AK122" s="19">
        <f t="shared" si="33"/>
        <v>79.251615707444529</v>
      </c>
      <c r="AL122" s="19">
        <f t="shared" si="34"/>
        <v>76.609895183863046</v>
      </c>
      <c r="AM122" s="19">
        <f t="shared" si="35"/>
        <v>79.251615707444529</v>
      </c>
      <c r="AN122" s="19">
        <f t="shared" si="36"/>
        <v>79.251615707444529</v>
      </c>
      <c r="AO122" s="19">
        <f t="shared" si="37"/>
        <v>79.251615707444529</v>
      </c>
      <c r="AP122" s="19">
        <f t="shared" si="38"/>
        <v>76.609895183863046</v>
      </c>
      <c r="AQ122" s="19">
        <f t="shared" si="39"/>
        <v>79.251615707444529</v>
      </c>
      <c r="AR122" s="19">
        <f t="shared" si="40"/>
        <v>81.893336231026012</v>
      </c>
      <c r="AS122" s="19">
        <f t="shared" si="41"/>
        <v>76.609895183863046</v>
      </c>
      <c r="AT122" s="19">
        <f t="shared" si="42"/>
        <v>79.251615707444529</v>
      </c>
      <c r="AU122" s="19">
        <f t="shared" si="43"/>
        <v>79.251615707444529</v>
      </c>
      <c r="AV122" s="19">
        <f t="shared" si="44"/>
        <v>76.609895183863046</v>
      </c>
      <c r="AW122" s="19">
        <f t="shared" si="45"/>
        <v>87.176777278188979</v>
      </c>
      <c r="AX122" s="18">
        <f>IFERROR(Z122/'Ar-Pa'!B122,0)</f>
        <v>9.9064519634305661</v>
      </c>
      <c r="AY122" s="18">
        <f>IFERROR(AA122/'Ar-Pa'!C122,0)</f>
        <v>9.9064519634305661</v>
      </c>
      <c r="AZ122" s="18">
        <f>IFERROR(AB122/'Ar-Pa'!D122,0)</f>
        <v>9.9064519634305661</v>
      </c>
      <c r="BA122" s="18">
        <f>IFERROR(AC122/'Ar-Pa'!E122,0)</f>
        <v>9.9064519634305661</v>
      </c>
      <c r="BB122" s="18">
        <f>IFERROR(AD122/'Ar-Pa'!F122,0)</f>
        <v>9.9064519634305661</v>
      </c>
      <c r="BC122" s="18">
        <f>IFERROR(AE122/'Ar-Pa'!G122,0)</f>
        <v>9.9064519634305661</v>
      </c>
      <c r="BD122" s="18">
        <f>IFERROR(AF122/'Ar-Pa'!H122,0)</f>
        <v>9.9064519634305661</v>
      </c>
      <c r="BE122" s="18">
        <f>IFERROR(AG122/'Ar-Pa'!I122,0)</f>
        <v>9.9064519634305661</v>
      </c>
      <c r="BF122" s="18">
        <f>IFERROR(AH122/'Ar-Pa'!J122,0)</f>
        <v>9.9064519634305661</v>
      </c>
      <c r="BG122" s="18">
        <f>IFERROR(AI122/'Ar-Pa'!K122,0)</f>
        <v>9.5762368979828807</v>
      </c>
      <c r="BH122" s="18">
        <f>IFERROR(AJ122/'Ar-Pa'!L122,0)</f>
        <v>10.236667028878252</v>
      </c>
      <c r="BI122" s="18">
        <f>IFERROR(AK122/'Ar-Pa'!M122,0)</f>
        <v>9.9064519634305661</v>
      </c>
      <c r="BJ122" s="18">
        <f>IFERROR(AL122/'Ar-Pa'!N122,0)</f>
        <v>9.5762368979828807</v>
      </c>
      <c r="BK122" s="18">
        <f>IFERROR(AM122/'Ar-Pa'!O122,0)</f>
        <v>9.9064519634305661</v>
      </c>
      <c r="BL122" s="18">
        <f>IFERROR(AN122/'Ar-Pa'!P122,0)</f>
        <v>9.9064519634305661</v>
      </c>
      <c r="BM122" s="18">
        <f>IFERROR(AO122/'Ar-Pa'!Q122,0)</f>
        <v>9.9064519634305661</v>
      </c>
      <c r="BN122" s="18">
        <f>IFERROR(AP122/'Ar-Pa'!R122,0)</f>
        <v>9.5762368979828807</v>
      </c>
      <c r="BO122" s="18">
        <f>IFERROR(AQ122/'Ar-Pa'!S122,0)</f>
        <v>9.9064519634305661</v>
      </c>
      <c r="BP122" s="18">
        <f>IFERROR(AR122/'Ar-Pa'!T122,0)</f>
        <v>10.236667028878252</v>
      </c>
      <c r="BQ122" s="18">
        <f>IFERROR(AS122/'Ar-Pa'!U122,0)</f>
        <v>9.5762368979828807</v>
      </c>
      <c r="BR122" s="18">
        <f>IFERROR(AT122/'Ar-Pa'!V122,0)</f>
        <v>9.9064519634305661</v>
      </c>
      <c r="BS122" s="18">
        <f>IFERROR(AU122/'Ar-Pa'!W122,0)</f>
        <v>9.9064519634305661</v>
      </c>
      <c r="BT122" s="18">
        <f>IFERROR(AV122/'Ar-Pa'!X122,0)</f>
        <v>9.5762368979828807</v>
      </c>
      <c r="BU122" s="18">
        <f>IFERROR(AW122/'Ar-Pa'!Y122,0)</f>
        <v>10.897097159773622</v>
      </c>
    </row>
    <row r="123" spans="1:73">
      <c r="A123" s="15">
        <v>45048</v>
      </c>
      <c r="B123" s="441">
        <v>0.26</v>
      </c>
      <c r="C123" s="441">
        <v>0.26</v>
      </c>
      <c r="D123" s="441">
        <v>0.26</v>
      </c>
      <c r="E123" s="441">
        <v>0.26</v>
      </c>
      <c r="F123" s="441">
        <v>0.26</v>
      </c>
      <c r="G123" s="441">
        <v>0.26</v>
      </c>
      <c r="H123" s="441">
        <v>0.26</v>
      </c>
      <c r="I123" s="441">
        <v>0.26</v>
      </c>
      <c r="J123" s="441">
        <v>0.27</v>
      </c>
      <c r="K123" s="441">
        <v>0.26</v>
      </c>
      <c r="L123" s="441">
        <v>0.26</v>
      </c>
      <c r="M123" s="441">
        <v>0.26</v>
      </c>
      <c r="N123" s="441">
        <v>0.26</v>
      </c>
      <c r="O123" s="441">
        <v>0.27</v>
      </c>
      <c r="P123" s="441">
        <v>0.26</v>
      </c>
      <c r="Q123" s="441">
        <v>0.26</v>
      </c>
      <c r="R123" s="441">
        <v>0.26</v>
      </c>
      <c r="S123" s="441">
        <v>0.26</v>
      </c>
      <c r="T123" s="441">
        <v>0.28000000000000003</v>
      </c>
      <c r="U123" s="441">
        <v>0.34</v>
      </c>
      <c r="V123" s="441">
        <v>0.33</v>
      </c>
      <c r="W123" s="441">
        <v>0.33</v>
      </c>
      <c r="X123" s="441">
        <v>0.33</v>
      </c>
      <c r="Y123" s="441">
        <v>0.33</v>
      </c>
      <c r="Z123" s="19">
        <f>+CONVERT(B123,"m^3","gal")</f>
        <v>68.684733613118595</v>
      </c>
      <c r="AA123" s="19">
        <f>+CONVERT(C123,"m^3","gal")</f>
        <v>68.684733613118595</v>
      </c>
      <c r="AB123" s="19">
        <f t="shared" ref="AB123:AW123" si="48">+CONVERT(D123,"m^3","gal")</f>
        <v>68.684733613118595</v>
      </c>
      <c r="AC123" s="19">
        <f t="shared" si="48"/>
        <v>68.684733613118595</v>
      </c>
      <c r="AD123" s="19">
        <f t="shared" si="48"/>
        <v>68.684733613118595</v>
      </c>
      <c r="AE123" s="19">
        <f t="shared" si="48"/>
        <v>68.684733613118595</v>
      </c>
      <c r="AF123" s="19">
        <f t="shared" si="48"/>
        <v>68.684733613118595</v>
      </c>
      <c r="AG123" s="19">
        <f t="shared" si="48"/>
        <v>68.684733613118595</v>
      </c>
      <c r="AH123" s="19">
        <f t="shared" si="48"/>
        <v>71.326454136700079</v>
      </c>
      <c r="AI123" s="19">
        <f t="shared" si="48"/>
        <v>68.684733613118595</v>
      </c>
      <c r="AJ123" s="19">
        <f t="shared" si="48"/>
        <v>68.684733613118595</v>
      </c>
      <c r="AK123" s="19">
        <f t="shared" si="48"/>
        <v>68.684733613118595</v>
      </c>
      <c r="AL123" s="19">
        <f t="shared" si="48"/>
        <v>68.684733613118595</v>
      </c>
      <c r="AM123" s="19">
        <f t="shared" si="48"/>
        <v>71.326454136700079</v>
      </c>
      <c r="AN123" s="19">
        <f t="shared" si="48"/>
        <v>68.684733613118595</v>
      </c>
      <c r="AO123" s="19">
        <f t="shared" si="48"/>
        <v>68.684733613118595</v>
      </c>
      <c r="AP123" s="19">
        <f t="shared" si="48"/>
        <v>68.684733613118595</v>
      </c>
      <c r="AQ123" s="19">
        <f t="shared" si="48"/>
        <v>68.684733613118595</v>
      </c>
      <c r="AR123" s="19">
        <f t="shared" si="48"/>
        <v>73.968174660281562</v>
      </c>
      <c r="AS123" s="19">
        <f t="shared" si="48"/>
        <v>89.818497801770462</v>
      </c>
      <c r="AT123" s="19">
        <f t="shared" si="48"/>
        <v>87.176777278188979</v>
      </c>
      <c r="AU123" s="19">
        <f t="shared" si="48"/>
        <v>87.176777278188979</v>
      </c>
      <c r="AV123" s="19">
        <f t="shared" si="48"/>
        <v>87.176777278188979</v>
      </c>
      <c r="AW123" s="19">
        <f t="shared" si="48"/>
        <v>87.176777278188979</v>
      </c>
      <c r="AX123" s="18">
        <f>IFERROR(Z123/'Ar-Pa'!B123,0)</f>
        <v>8.5855917016398244</v>
      </c>
      <c r="AY123" s="18">
        <f>IFERROR(AA123/'Ar-Pa'!C123,0)</f>
        <v>8.5855917016398244</v>
      </c>
      <c r="AZ123" s="18">
        <f>IFERROR(AB123/'Ar-Pa'!D123,0)</f>
        <v>8.5855917016398244</v>
      </c>
      <c r="BA123" s="18">
        <f>IFERROR(AC123/'Ar-Pa'!E123,0)</f>
        <v>8.5855917016398244</v>
      </c>
      <c r="BB123" s="18">
        <f>IFERROR(AD123/'Ar-Pa'!F123,0)</f>
        <v>8.5855917016398244</v>
      </c>
      <c r="BC123" s="18">
        <f>IFERROR(AE123/'Ar-Pa'!G123,0)</f>
        <v>8.5855917016398244</v>
      </c>
      <c r="BD123" s="18">
        <f>IFERROR(AF123/'Ar-Pa'!H123,0)</f>
        <v>8.5855917016398244</v>
      </c>
      <c r="BE123" s="18">
        <f>IFERROR(AG123/'Ar-Pa'!I123,0)</f>
        <v>8.5855917016398244</v>
      </c>
      <c r="BF123" s="18">
        <f>IFERROR(AH123/'Ar-Pa'!J123,0)</f>
        <v>8.9158067670875099</v>
      </c>
      <c r="BG123" s="18">
        <f>IFERROR(AI123/'Ar-Pa'!K123,0)</f>
        <v>8.5855917016398244</v>
      </c>
      <c r="BH123" s="18">
        <f>IFERROR(AJ123/'Ar-Pa'!L123,0)</f>
        <v>8.5855917016398244</v>
      </c>
      <c r="BI123" s="18">
        <f>IFERROR(AK123/'Ar-Pa'!M123,0)</f>
        <v>8.5855917016398244</v>
      </c>
      <c r="BJ123" s="18">
        <f>IFERROR(AL123/'Ar-Pa'!N123,0)</f>
        <v>8.5855917016398244</v>
      </c>
      <c r="BK123" s="18">
        <f>IFERROR(AM123/'Ar-Pa'!O123,0)</f>
        <v>8.9158067670875099</v>
      </c>
      <c r="BL123" s="18">
        <f>IFERROR(AN123/'Ar-Pa'!P123,0)</f>
        <v>8.5855917016398244</v>
      </c>
      <c r="BM123" s="18">
        <f>IFERROR(AO123/'Ar-Pa'!Q123,0)</f>
        <v>8.5855917016398244</v>
      </c>
      <c r="BN123" s="18">
        <f>IFERROR(AP123/'Ar-Pa'!R123,0)</f>
        <v>8.5855917016398244</v>
      </c>
      <c r="BO123" s="18">
        <f>IFERROR(AQ123/'Ar-Pa'!S123,0)</f>
        <v>8.5855917016398244</v>
      </c>
      <c r="BP123" s="18">
        <f>IFERROR(AR123/'Ar-Pa'!T123,0)</f>
        <v>9.2460218325351953</v>
      </c>
      <c r="BQ123" s="18">
        <f>IFERROR(AS123/'Ar-Pa'!U123,0)</f>
        <v>11.227312225221308</v>
      </c>
      <c r="BR123" s="18">
        <f>IFERROR(AT123/'Ar-Pa'!V123,0)</f>
        <v>10.897097159773622</v>
      </c>
      <c r="BS123" s="18">
        <f>IFERROR(AU123/'Ar-Pa'!W123,0)</f>
        <v>10.897097159773622</v>
      </c>
      <c r="BT123" s="18">
        <f>IFERROR(AV123/'Ar-Pa'!X123,0)</f>
        <v>10.897097159773622</v>
      </c>
      <c r="BU123" s="18">
        <f>IFERROR(AW123/'Ar-Pa'!Y123,0)</f>
        <v>10.897097159773622</v>
      </c>
    </row>
    <row r="124" spans="1:73">
      <c r="A124" s="15">
        <v>45049</v>
      </c>
      <c r="B124" s="441">
        <v>0.32</v>
      </c>
      <c r="C124" s="441">
        <v>0.26</v>
      </c>
      <c r="D124" s="441">
        <v>0.26</v>
      </c>
      <c r="E124" s="441">
        <v>0.26</v>
      </c>
      <c r="F124" s="441">
        <v>0.26</v>
      </c>
      <c r="G124" s="441">
        <v>0.26</v>
      </c>
      <c r="H124" s="441">
        <v>0.26</v>
      </c>
      <c r="I124" s="441">
        <v>0.25</v>
      </c>
      <c r="J124" s="441">
        <v>0.26</v>
      </c>
      <c r="K124" s="441">
        <v>0.26</v>
      </c>
      <c r="L124" s="441">
        <v>0.25</v>
      </c>
      <c r="M124" s="441">
        <v>0.26</v>
      </c>
      <c r="N124" s="441">
        <v>0.26</v>
      </c>
      <c r="O124" s="441">
        <v>0.25</v>
      </c>
      <c r="P124" s="441">
        <v>0.31</v>
      </c>
      <c r="Q124" s="441">
        <v>0.32</v>
      </c>
      <c r="R124" s="441">
        <v>0.25</v>
      </c>
      <c r="S124" s="441">
        <v>0.26</v>
      </c>
      <c r="T124" s="441">
        <v>0.32</v>
      </c>
      <c r="U124" s="441">
        <v>0.33</v>
      </c>
      <c r="V124" s="441">
        <v>0.32</v>
      </c>
      <c r="W124" s="441">
        <v>0.33</v>
      </c>
      <c r="X124" s="441">
        <v>0.32</v>
      </c>
      <c r="Y124" s="441">
        <v>0.32</v>
      </c>
      <c r="Z124" s="19">
        <f t="shared" ref="Z124:Z153" si="49">+CONVERT(B124,"m^3","gal")</f>
        <v>84.535056754607496</v>
      </c>
      <c r="AA124" s="19">
        <f t="shared" ref="AA124:AA153" si="50">+CONVERT(C124,"m^3","gal")</f>
        <v>68.684733613118595</v>
      </c>
      <c r="AB124" s="19">
        <f t="shared" ref="AB124:AB153" si="51">+CONVERT(D124,"m^3","gal")</f>
        <v>68.684733613118595</v>
      </c>
      <c r="AC124" s="19">
        <f t="shared" ref="AC124:AC153" si="52">+CONVERT(E124,"m^3","gal")</f>
        <v>68.684733613118595</v>
      </c>
      <c r="AD124" s="19">
        <f t="shared" ref="AD124:AD153" si="53">+CONVERT(F124,"m^3","gal")</f>
        <v>68.684733613118595</v>
      </c>
      <c r="AE124" s="19">
        <f t="shared" ref="AE124:AE153" si="54">+CONVERT(G124,"m^3","gal")</f>
        <v>68.684733613118595</v>
      </c>
      <c r="AF124" s="19">
        <f t="shared" ref="AF124:AF153" si="55">+CONVERT(H124,"m^3","gal")</f>
        <v>68.684733613118595</v>
      </c>
      <c r="AG124" s="19">
        <f t="shared" ref="AG124:AG153" si="56">+CONVERT(I124,"m^3","gal")</f>
        <v>66.043013089537112</v>
      </c>
      <c r="AH124" s="19">
        <f t="shared" ref="AH124:AH153" si="57">+CONVERT(J124,"m^3","gal")</f>
        <v>68.684733613118595</v>
      </c>
      <c r="AI124" s="19">
        <f t="shared" ref="AI124:AI153" si="58">+CONVERT(K124,"m^3","gal")</f>
        <v>68.684733613118595</v>
      </c>
      <c r="AJ124" s="19">
        <f t="shared" ref="AJ124:AJ153" si="59">+CONVERT(L124,"m^3","gal")</f>
        <v>66.043013089537112</v>
      </c>
      <c r="AK124" s="19">
        <f t="shared" ref="AK124:AK153" si="60">+CONVERT(M124,"m^3","gal")</f>
        <v>68.684733613118595</v>
      </c>
      <c r="AL124" s="19">
        <f t="shared" ref="AL124:AL153" si="61">+CONVERT(N124,"m^3","gal")</f>
        <v>68.684733613118595</v>
      </c>
      <c r="AM124" s="19">
        <f t="shared" ref="AM124:AM153" si="62">+CONVERT(O124,"m^3","gal")</f>
        <v>66.043013089537112</v>
      </c>
      <c r="AN124" s="19">
        <f t="shared" ref="AN124:AN153" si="63">+CONVERT(P124,"m^3","gal")</f>
        <v>81.893336231026012</v>
      </c>
      <c r="AO124" s="19">
        <f t="shared" ref="AO124:AO153" si="64">+CONVERT(Q124,"m^3","gal")</f>
        <v>84.535056754607496</v>
      </c>
      <c r="AP124" s="19">
        <f t="shared" ref="AP124:AP153" si="65">+CONVERT(R124,"m^3","gal")</f>
        <v>66.043013089537112</v>
      </c>
      <c r="AQ124" s="19">
        <f t="shared" ref="AQ124:AQ153" si="66">+CONVERT(S124,"m^3","gal")</f>
        <v>68.684733613118595</v>
      </c>
      <c r="AR124" s="19">
        <f t="shared" ref="AR124:AR153" si="67">+CONVERT(T124,"m^3","gal")</f>
        <v>84.535056754607496</v>
      </c>
      <c r="AS124" s="19">
        <f t="shared" ref="AS124:AS153" si="68">+CONVERT(U124,"m^3","gal")</f>
        <v>87.176777278188979</v>
      </c>
      <c r="AT124" s="19">
        <f t="shared" ref="AT124:AT153" si="69">+CONVERT(V124,"m^3","gal")</f>
        <v>84.535056754607496</v>
      </c>
      <c r="AU124" s="19">
        <f t="shared" ref="AU124:AU153" si="70">+CONVERT(W124,"m^3","gal")</f>
        <v>87.176777278188979</v>
      </c>
      <c r="AV124" s="19">
        <f t="shared" ref="AV124:AV153" si="71">+CONVERT(X124,"m^3","gal")</f>
        <v>84.535056754607496</v>
      </c>
      <c r="AW124" s="19">
        <f t="shared" ref="AW124:AW153" si="72">+CONVERT(Y124,"m^3","gal")</f>
        <v>84.535056754607496</v>
      </c>
      <c r="AX124" s="18">
        <f>IFERROR(Z124/'Ar-Pa'!B124,0)</f>
        <v>10.566882094325937</v>
      </c>
      <c r="AY124" s="18">
        <f>IFERROR(AA124/'Ar-Pa'!C124,0)</f>
        <v>8.5855917016398244</v>
      </c>
      <c r="AZ124" s="18">
        <f>IFERROR(AB124/'Ar-Pa'!D124,0)</f>
        <v>8.5855917016398244</v>
      </c>
      <c r="BA124" s="18">
        <f>IFERROR(AC124/'Ar-Pa'!E124,0)</f>
        <v>8.5855917016398244</v>
      </c>
      <c r="BB124" s="18">
        <f>IFERROR(AD124/'Ar-Pa'!F124,0)</f>
        <v>8.5855917016398244</v>
      </c>
      <c r="BC124" s="18">
        <f>IFERROR(AE124/'Ar-Pa'!G124,0)</f>
        <v>8.5855917016398244</v>
      </c>
      <c r="BD124" s="18">
        <f>IFERROR(AF124/'Ar-Pa'!H124,0)</f>
        <v>8.5855917016398244</v>
      </c>
      <c r="BE124" s="18">
        <f>IFERROR(AG124/'Ar-Pa'!I124,0)</f>
        <v>8.255376636192139</v>
      </c>
      <c r="BF124" s="18">
        <f>IFERROR(AH124/'Ar-Pa'!J124,0)</f>
        <v>8.5855917016398244</v>
      </c>
      <c r="BG124" s="18">
        <f>IFERROR(AI124/'Ar-Pa'!K124,0)</f>
        <v>8.5855917016398244</v>
      </c>
      <c r="BH124" s="18">
        <f>IFERROR(AJ124/'Ar-Pa'!L124,0)</f>
        <v>8.255376636192139</v>
      </c>
      <c r="BI124" s="18">
        <f>IFERROR(AK124/'Ar-Pa'!M124,0)</f>
        <v>8.5855917016398244</v>
      </c>
      <c r="BJ124" s="18">
        <f>IFERROR(AL124/'Ar-Pa'!N124,0)</f>
        <v>8.5855917016398244</v>
      </c>
      <c r="BK124" s="18">
        <f>IFERROR(AM124/'Ar-Pa'!O124,0)</f>
        <v>8.255376636192139</v>
      </c>
      <c r="BL124" s="18">
        <f>IFERROR(AN124/'Ar-Pa'!P124,0)</f>
        <v>10.236667028878252</v>
      </c>
      <c r="BM124" s="18">
        <f>IFERROR(AO124/'Ar-Pa'!Q124,0)</f>
        <v>10.566882094325937</v>
      </c>
      <c r="BN124" s="18">
        <f>IFERROR(AP124/'Ar-Pa'!R124,0)</f>
        <v>8.255376636192139</v>
      </c>
      <c r="BO124" s="18">
        <f>IFERROR(AQ124/'Ar-Pa'!S124,0)</f>
        <v>8.5855917016398244</v>
      </c>
      <c r="BP124" s="18">
        <f>IFERROR(AR124/'Ar-Pa'!T124,0)</f>
        <v>10.566882094325937</v>
      </c>
      <c r="BQ124" s="18">
        <f>IFERROR(AS124/'Ar-Pa'!U124,0)</f>
        <v>10.897097159773622</v>
      </c>
      <c r="BR124" s="18">
        <f>IFERROR(AT124/'Ar-Pa'!V124,0)</f>
        <v>10.566882094325937</v>
      </c>
      <c r="BS124" s="18">
        <f>IFERROR(AU124/'Ar-Pa'!W124,0)</f>
        <v>10.897097159773622</v>
      </c>
      <c r="BT124" s="18">
        <f>IFERROR(AV124/'Ar-Pa'!X124,0)</f>
        <v>10.566882094325937</v>
      </c>
      <c r="BU124" s="18">
        <f>IFERROR(AW124/'Ar-Pa'!Y124,0)</f>
        <v>10.566882094325937</v>
      </c>
    </row>
    <row r="125" spans="1:73">
      <c r="A125" s="15">
        <v>45050</v>
      </c>
      <c r="B125" s="441">
        <v>0.2</v>
      </c>
      <c r="C125" s="441">
        <v>0.28999999999999998</v>
      </c>
      <c r="D125" s="441">
        <v>0.28000000000000003</v>
      </c>
      <c r="E125" s="441">
        <v>0.28999999999999998</v>
      </c>
      <c r="F125" s="441">
        <v>0.28000000000000003</v>
      </c>
      <c r="G125" s="441">
        <v>0.28000000000000003</v>
      </c>
      <c r="H125" s="441">
        <v>0.28000000000000003</v>
      </c>
      <c r="I125" s="441">
        <v>0.28000000000000003</v>
      </c>
      <c r="J125" s="441">
        <v>0.27</v>
      </c>
      <c r="K125" s="441">
        <v>0.28000000000000003</v>
      </c>
      <c r="L125" s="441">
        <v>0.27</v>
      </c>
      <c r="M125" s="441">
        <v>0.28000000000000003</v>
      </c>
      <c r="N125" s="441">
        <v>0.27</v>
      </c>
      <c r="O125" s="441">
        <v>0.3</v>
      </c>
      <c r="P125" s="441">
        <v>0.35</v>
      </c>
      <c r="Q125" s="441">
        <v>0.35</v>
      </c>
      <c r="R125" s="441">
        <v>0.34</v>
      </c>
      <c r="S125" s="441">
        <v>0.28000000000000003</v>
      </c>
      <c r="T125" s="441">
        <v>0.32</v>
      </c>
      <c r="U125" s="441">
        <v>0.35</v>
      </c>
      <c r="V125" s="441">
        <v>0.35</v>
      </c>
      <c r="W125" s="441">
        <v>0.35</v>
      </c>
      <c r="X125" s="441">
        <v>0.35</v>
      </c>
      <c r="Y125" s="441">
        <v>0.35</v>
      </c>
      <c r="Z125" s="19">
        <f>+CONVERT(B125,"m^3","gal")</f>
        <v>52.834410471629681</v>
      </c>
      <c r="AA125" s="19">
        <f t="shared" si="50"/>
        <v>76.609895183863046</v>
      </c>
      <c r="AB125" s="19">
        <f t="shared" si="51"/>
        <v>73.968174660281562</v>
      </c>
      <c r="AC125" s="19">
        <f t="shared" si="52"/>
        <v>76.609895183863046</v>
      </c>
      <c r="AD125" s="19">
        <f t="shared" si="53"/>
        <v>73.968174660281562</v>
      </c>
      <c r="AE125" s="19">
        <f t="shared" si="54"/>
        <v>73.968174660281562</v>
      </c>
      <c r="AF125" s="19">
        <f t="shared" si="55"/>
        <v>73.968174660281562</v>
      </c>
      <c r="AG125" s="19">
        <f t="shared" si="56"/>
        <v>73.968174660281562</v>
      </c>
      <c r="AH125" s="19">
        <f t="shared" si="57"/>
        <v>71.326454136700079</v>
      </c>
      <c r="AI125" s="19">
        <f t="shared" si="58"/>
        <v>73.968174660281562</v>
      </c>
      <c r="AJ125" s="19">
        <f t="shared" si="59"/>
        <v>71.326454136700079</v>
      </c>
      <c r="AK125" s="19">
        <f t="shared" si="60"/>
        <v>73.968174660281562</v>
      </c>
      <c r="AL125" s="19">
        <f t="shared" si="61"/>
        <v>71.326454136700079</v>
      </c>
      <c r="AM125" s="19">
        <f t="shared" si="62"/>
        <v>79.251615707444529</v>
      </c>
      <c r="AN125" s="19">
        <f t="shared" si="63"/>
        <v>92.460218325351946</v>
      </c>
      <c r="AO125" s="19">
        <f t="shared" si="64"/>
        <v>92.460218325351946</v>
      </c>
      <c r="AP125" s="19">
        <f t="shared" si="65"/>
        <v>89.818497801770462</v>
      </c>
      <c r="AQ125" s="19">
        <f t="shared" si="66"/>
        <v>73.968174660281562</v>
      </c>
      <c r="AR125" s="19">
        <f t="shared" si="67"/>
        <v>84.535056754607496</v>
      </c>
      <c r="AS125" s="19">
        <f t="shared" si="68"/>
        <v>92.460218325351946</v>
      </c>
      <c r="AT125" s="19">
        <f t="shared" si="69"/>
        <v>92.460218325351946</v>
      </c>
      <c r="AU125" s="19">
        <f t="shared" si="70"/>
        <v>92.460218325351946</v>
      </c>
      <c r="AV125" s="19">
        <f t="shared" si="71"/>
        <v>92.460218325351946</v>
      </c>
      <c r="AW125" s="19">
        <f t="shared" si="72"/>
        <v>92.460218325351946</v>
      </c>
      <c r="AX125" s="18">
        <f>IFERROR(Z125/'Ar-Pa'!B125,0)</f>
        <v>6.6043013089537101</v>
      </c>
      <c r="AY125" s="18">
        <f>IFERROR(AA125/'Ar-Pa'!C125,0)</f>
        <v>9.5762368979828807</v>
      </c>
      <c r="AZ125" s="18">
        <f>IFERROR(AB125/'Ar-Pa'!D125,0)</f>
        <v>9.2460218325351953</v>
      </c>
      <c r="BA125" s="18">
        <f>IFERROR(AC125/'Ar-Pa'!E125,0)</f>
        <v>9.5762368979828807</v>
      </c>
      <c r="BB125" s="18">
        <f>IFERROR(AD125/'Ar-Pa'!F125,0)</f>
        <v>9.2460218325351953</v>
      </c>
      <c r="BC125" s="18">
        <f>IFERROR(AE125/'Ar-Pa'!G125,0)</f>
        <v>9.2460218325351953</v>
      </c>
      <c r="BD125" s="18">
        <f>IFERROR(AF125/'Ar-Pa'!H125,0)</f>
        <v>9.2460218325351953</v>
      </c>
      <c r="BE125" s="18">
        <f>IFERROR(AG125/'Ar-Pa'!I125,0)</f>
        <v>9.2460218325351953</v>
      </c>
      <c r="BF125" s="18">
        <f>IFERROR(AH125/'Ar-Pa'!J125,0)</f>
        <v>8.9158067670875099</v>
      </c>
      <c r="BG125" s="18">
        <f>IFERROR(AI125/'Ar-Pa'!K125,0)</f>
        <v>9.2460218325351953</v>
      </c>
      <c r="BH125" s="18">
        <f>IFERROR(AJ125/'Ar-Pa'!L125,0)</f>
        <v>8.9158067670875099</v>
      </c>
      <c r="BI125" s="18">
        <f>IFERROR(AK125/'Ar-Pa'!M125,0)</f>
        <v>9.2460218325351953</v>
      </c>
      <c r="BJ125" s="18">
        <f>IFERROR(AL125/'Ar-Pa'!N125,0)</f>
        <v>8.9158067670875099</v>
      </c>
      <c r="BK125" s="18">
        <f>IFERROR(AM125/'Ar-Pa'!O125,0)</f>
        <v>9.9064519634305661</v>
      </c>
      <c r="BL125" s="18">
        <f>IFERROR(AN125/'Ar-Pa'!P125,0)</f>
        <v>11.557527290668993</v>
      </c>
      <c r="BM125" s="18">
        <f>IFERROR(AO125/'Ar-Pa'!Q125,0)</f>
        <v>11.557527290668993</v>
      </c>
      <c r="BN125" s="18">
        <f>IFERROR(AP125/'Ar-Pa'!R125,0)</f>
        <v>11.227312225221308</v>
      </c>
      <c r="BO125" s="18">
        <f>IFERROR(AQ125/'Ar-Pa'!S125,0)</f>
        <v>9.2460218325351953</v>
      </c>
      <c r="BP125" s="18">
        <f>IFERROR(AR125/'Ar-Pa'!T125,0)</f>
        <v>10.566882094325937</v>
      </c>
      <c r="BQ125" s="18">
        <f>IFERROR(AS125/'Ar-Pa'!U125,0)</f>
        <v>11.557527290668993</v>
      </c>
      <c r="BR125" s="18">
        <f>IFERROR(AT125/'Ar-Pa'!V125,0)</f>
        <v>11.557527290668993</v>
      </c>
      <c r="BS125" s="18">
        <f>IFERROR(AU125/'Ar-Pa'!W125,0)</f>
        <v>11.557527290668993</v>
      </c>
      <c r="BT125" s="18">
        <f>IFERROR(AV125/'Ar-Pa'!X125,0)</f>
        <v>11.557527290668993</v>
      </c>
      <c r="BU125" s="18">
        <f>IFERROR(AW125/'Ar-Pa'!Y125,0)</f>
        <v>11.557527290668993</v>
      </c>
    </row>
    <row r="126" spans="1:73">
      <c r="A126" s="15">
        <v>45051</v>
      </c>
      <c r="B126" s="441">
        <v>0.35</v>
      </c>
      <c r="C126" s="441">
        <v>0.28999999999999998</v>
      </c>
      <c r="D126" s="441">
        <v>0.28000000000000003</v>
      </c>
      <c r="E126" s="441">
        <v>0.28000000000000003</v>
      </c>
      <c r="F126" s="441">
        <v>0.28000000000000003</v>
      </c>
      <c r="G126" s="441">
        <v>0.28000000000000003</v>
      </c>
      <c r="H126" s="441">
        <v>0.27</v>
      </c>
      <c r="I126" s="441">
        <v>0.28000000000000003</v>
      </c>
      <c r="J126" s="441">
        <v>0.26</v>
      </c>
      <c r="K126" s="441">
        <v>0.28000000000000003</v>
      </c>
      <c r="L126" s="441">
        <v>0.27</v>
      </c>
      <c r="M126" s="441">
        <v>0.27</v>
      </c>
      <c r="N126" s="441">
        <v>0.27</v>
      </c>
      <c r="O126" s="441">
        <v>0.28999999999999998</v>
      </c>
      <c r="P126" s="441">
        <v>0.35</v>
      </c>
      <c r="Q126" s="441">
        <v>0.34</v>
      </c>
      <c r="R126" s="441">
        <v>0.34</v>
      </c>
      <c r="S126" s="441">
        <v>0.28000000000000003</v>
      </c>
      <c r="T126" s="441">
        <v>0.31</v>
      </c>
      <c r="U126" s="441">
        <v>0.35</v>
      </c>
      <c r="V126" s="441">
        <v>0.34</v>
      </c>
      <c r="W126" s="441">
        <v>0.35</v>
      </c>
      <c r="X126" s="441">
        <v>0.34</v>
      </c>
      <c r="Y126" s="441">
        <v>0.35</v>
      </c>
      <c r="Z126" s="19">
        <f t="shared" si="49"/>
        <v>92.460218325351946</v>
      </c>
      <c r="AA126" s="19">
        <f t="shared" si="50"/>
        <v>76.609895183863046</v>
      </c>
      <c r="AB126" s="19">
        <f t="shared" si="51"/>
        <v>73.968174660281562</v>
      </c>
      <c r="AC126" s="19">
        <f t="shared" si="52"/>
        <v>73.968174660281562</v>
      </c>
      <c r="AD126" s="19">
        <f t="shared" si="53"/>
        <v>73.968174660281562</v>
      </c>
      <c r="AE126" s="19">
        <f t="shared" si="54"/>
        <v>73.968174660281562</v>
      </c>
      <c r="AF126" s="19">
        <f t="shared" si="55"/>
        <v>71.326454136700079</v>
      </c>
      <c r="AG126" s="19">
        <f t="shared" si="56"/>
        <v>73.968174660281562</v>
      </c>
      <c r="AH126" s="19">
        <f t="shared" si="57"/>
        <v>68.684733613118595</v>
      </c>
      <c r="AI126" s="19">
        <f t="shared" si="58"/>
        <v>73.968174660281562</v>
      </c>
      <c r="AJ126" s="19">
        <f t="shared" si="59"/>
        <v>71.326454136700079</v>
      </c>
      <c r="AK126" s="19">
        <f t="shared" si="60"/>
        <v>71.326454136700079</v>
      </c>
      <c r="AL126" s="19">
        <f t="shared" si="61"/>
        <v>71.326454136700079</v>
      </c>
      <c r="AM126" s="19">
        <f t="shared" si="62"/>
        <v>76.609895183863046</v>
      </c>
      <c r="AN126" s="19">
        <f t="shared" si="63"/>
        <v>92.460218325351946</v>
      </c>
      <c r="AO126" s="19">
        <f t="shared" si="64"/>
        <v>89.818497801770462</v>
      </c>
      <c r="AP126" s="19">
        <f t="shared" si="65"/>
        <v>89.818497801770462</v>
      </c>
      <c r="AQ126" s="19">
        <f t="shared" si="66"/>
        <v>73.968174660281562</v>
      </c>
      <c r="AR126" s="19">
        <f t="shared" si="67"/>
        <v>81.893336231026012</v>
      </c>
      <c r="AS126" s="19">
        <f t="shared" si="68"/>
        <v>92.460218325351946</v>
      </c>
      <c r="AT126" s="19">
        <f t="shared" si="69"/>
        <v>89.818497801770462</v>
      </c>
      <c r="AU126" s="19">
        <f t="shared" si="70"/>
        <v>92.460218325351946</v>
      </c>
      <c r="AV126" s="19">
        <f t="shared" si="71"/>
        <v>89.818497801770462</v>
      </c>
      <c r="AW126" s="19">
        <f t="shared" si="72"/>
        <v>92.460218325351946</v>
      </c>
      <c r="AX126" s="18">
        <f>IFERROR(Z126/'Ar-Pa'!B126,0)</f>
        <v>11.557527290668993</v>
      </c>
      <c r="AY126" s="18">
        <f>IFERROR(AA126/'Ar-Pa'!C126,0)</f>
        <v>9.5762368979828807</v>
      </c>
      <c r="AZ126" s="18">
        <f>IFERROR(AB126/'Ar-Pa'!D126,0)</f>
        <v>9.2460218325351953</v>
      </c>
      <c r="BA126" s="18">
        <f>IFERROR(AC126/'Ar-Pa'!E126,0)</f>
        <v>9.2460218325351953</v>
      </c>
      <c r="BB126" s="18">
        <f>IFERROR(AD126/'Ar-Pa'!F126,0)</f>
        <v>9.2460218325351953</v>
      </c>
      <c r="BC126" s="18">
        <f>IFERROR(AE126/'Ar-Pa'!G126,0)</f>
        <v>9.2460218325351953</v>
      </c>
      <c r="BD126" s="18">
        <f>IFERROR(AF126/'Ar-Pa'!H126,0)</f>
        <v>10.189493448100011</v>
      </c>
      <c r="BE126" s="18">
        <f>IFERROR(AG126/'Ar-Pa'!I126,0)</f>
        <v>10.566882094325937</v>
      </c>
      <c r="BF126" s="18">
        <f>IFERROR(AH126/'Ar-Pa'!J126,0)</f>
        <v>8.5855917016398244</v>
      </c>
      <c r="BG126" s="18">
        <f>IFERROR(AI126/'Ar-Pa'!K126,0)</f>
        <v>9.2460218325351953</v>
      </c>
      <c r="BH126" s="18">
        <f>IFERROR(AJ126/'Ar-Pa'!L126,0)</f>
        <v>8.9158067670875099</v>
      </c>
      <c r="BI126" s="18">
        <f>IFERROR(AK126/'Ar-Pa'!M126,0)</f>
        <v>8.9158067670875099</v>
      </c>
      <c r="BJ126" s="18">
        <f>IFERROR(AL126/'Ar-Pa'!N126,0)</f>
        <v>8.9158067670875099</v>
      </c>
      <c r="BK126" s="18">
        <f>IFERROR(AM126/'Ar-Pa'!O126,0)</f>
        <v>9.5762368979828807</v>
      </c>
      <c r="BL126" s="18">
        <f>IFERROR(AN126/'Ar-Pa'!P126,0)</f>
        <v>11.557527290668993</v>
      </c>
      <c r="BM126" s="18">
        <f>IFERROR(AO126/'Ar-Pa'!Q126,0)</f>
        <v>11.227312225221308</v>
      </c>
      <c r="BN126" s="18">
        <f>IFERROR(AP126/'Ar-Pa'!R126,0)</f>
        <v>11.227312225221308</v>
      </c>
      <c r="BO126" s="18">
        <f>IFERROR(AQ126/'Ar-Pa'!S126,0)</f>
        <v>9.2460218325351953</v>
      </c>
      <c r="BP126" s="18">
        <f>IFERROR(AR126/'Ar-Pa'!T126,0)</f>
        <v>10.236667028878252</v>
      </c>
      <c r="BQ126" s="18">
        <f>IFERROR(AS126/'Ar-Pa'!U126,0)</f>
        <v>11.557527290668993</v>
      </c>
      <c r="BR126" s="18">
        <f>IFERROR(AT126/'Ar-Pa'!V126,0)</f>
        <v>11.227312225221308</v>
      </c>
      <c r="BS126" s="18">
        <f>IFERROR(AU126/'Ar-Pa'!W126,0)</f>
        <v>11.557527290668993</v>
      </c>
      <c r="BT126" s="18">
        <f>IFERROR(AV126/'Ar-Pa'!X126,0)</f>
        <v>11.227312225221308</v>
      </c>
      <c r="BU126" s="18">
        <f>IFERROR(AW126/'Ar-Pa'!Y126,0)</f>
        <v>11.557527290668993</v>
      </c>
    </row>
    <row r="127" spans="1:73">
      <c r="A127" s="15">
        <v>45052</v>
      </c>
      <c r="B127" s="441">
        <v>0.37</v>
      </c>
      <c r="C127" s="441">
        <v>0.28999999999999998</v>
      </c>
      <c r="D127" s="441">
        <v>0.28999999999999998</v>
      </c>
      <c r="E127" s="441">
        <v>0.3</v>
      </c>
      <c r="F127" s="441">
        <v>0.28999999999999998</v>
      </c>
      <c r="G127" s="441">
        <v>0.28999999999999998</v>
      </c>
      <c r="H127" s="441">
        <v>0.28000000000000003</v>
      </c>
      <c r="I127" s="441">
        <v>0.3</v>
      </c>
      <c r="J127" s="441">
        <v>0.27</v>
      </c>
      <c r="K127" s="441">
        <v>0.28999999999999998</v>
      </c>
      <c r="L127" s="441">
        <v>0.28000000000000003</v>
      </c>
      <c r="M127" s="441">
        <v>0.28000000000000003</v>
      </c>
      <c r="N127" s="441">
        <v>0.28000000000000003</v>
      </c>
      <c r="O127" s="441">
        <v>0.3</v>
      </c>
      <c r="P127" s="441">
        <v>0.37</v>
      </c>
      <c r="Q127" s="441">
        <v>0.35</v>
      </c>
      <c r="R127" s="441">
        <v>0.36</v>
      </c>
      <c r="S127" s="441">
        <v>0.28999999999999998</v>
      </c>
      <c r="T127" s="441">
        <v>0.32</v>
      </c>
      <c r="U127" s="441">
        <v>0.36</v>
      </c>
      <c r="V127" s="441">
        <v>0.36</v>
      </c>
      <c r="W127" s="441">
        <v>0.36</v>
      </c>
      <c r="X127" s="441">
        <v>0.36</v>
      </c>
      <c r="Y127" s="441">
        <v>0.36</v>
      </c>
      <c r="Z127" s="19">
        <f t="shared" si="49"/>
        <v>97.743659372514912</v>
      </c>
      <c r="AA127" s="19">
        <f t="shared" si="50"/>
        <v>76.609895183863046</v>
      </c>
      <c r="AB127" s="19">
        <f t="shared" si="51"/>
        <v>76.609895183863046</v>
      </c>
      <c r="AC127" s="19">
        <f t="shared" si="52"/>
        <v>79.251615707444529</v>
      </c>
      <c r="AD127" s="19">
        <f t="shared" si="53"/>
        <v>76.609895183863046</v>
      </c>
      <c r="AE127" s="19">
        <f t="shared" si="54"/>
        <v>76.609895183863046</v>
      </c>
      <c r="AF127" s="19">
        <f t="shared" si="55"/>
        <v>73.968174660281562</v>
      </c>
      <c r="AG127" s="19">
        <f t="shared" si="56"/>
        <v>79.251615707444529</v>
      </c>
      <c r="AH127" s="19">
        <f t="shared" si="57"/>
        <v>71.326454136700079</v>
      </c>
      <c r="AI127" s="19">
        <f t="shared" si="58"/>
        <v>76.609895183863046</v>
      </c>
      <c r="AJ127" s="19">
        <f t="shared" si="59"/>
        <v>73.968174660281562</v>
      </c>
      <c r="AK127" s="19">
        <f t="shared" si="60"/>
        <v>73.968174660281562</v>
      </c>
      <c r="AL127" s="19">
        <f t="shared" si="61"/>
        <v>73.968174660281562</v>
      </c>
      <c r="AM127" s="19">
        <f t="shared" si="62"/>
        <v>79.251615707444529</v>
      </c>
      <c r="AN127" s="19">
        <f t="shared" si="63"/>
        <v>97.743659372514912</v>
      </c>
      <c r="AO127" s="19">
        <f t="shared" si="64"/>
        <v>92.460218325351946</v>
      </c>
      <c r="AP127" s="19">
        <f t="shared" si="65"/>
        <v>95.101938848933429</v>
      </c>
      <c r="AQ127" s="19">
        <f t="shared" si="66"/>
        <v>76.609895183863046</v>
      </c>
      <c r="AR127" s="19">
        <f t="shared" si="67"/>
        <v>84.535056754607496</v>
      </c>
      <c r="AS127" s="19">
        <f t="shared" si="68"/>
        <v>95.101938848933429</v>
      </c>
      <c r="AT127" s="19">
        <f t="shared" si="69"/>
        <v>95.101938848933429</v>
      </c>
      <c r="AU127" s="19">
        <f t="shared" si="70"/>
        <v>95.101938848933429</v>
      </c>
      <c r="AV127" s="19">
        <f t="shared" si="71"/>
        <v>95.101938848933429</v>
      </c>
      <c r="AW127" s="19">
        <f t="shared" si="72"/>
        <v>95.101938848933429</v>
      </c>
      <c r="AX127" s="18">
        <f>IFERROR(Z127/'Ar-Pa'!B127,0)</f>
        <v>12.217957421564364</v>
      </c>
      <c r="AY127" s="18">
        <f>IFERROR(AA127/'Ar-Pa'!C127,0)</f>
        <v>9.5762368979828807</v>
      </c>
      <c r="AZ127" s="18">
        <f>IFERROR(AB127/'Ar-Pa'!D127,0)</f>
        <v>9.5762368979828807</v>
      </c>
      <c r="BA127" s="18">
        <f>IFERROR(AC127/'Ar-Pa'!E127,0)</f>
        <v>9.9064519634305661</v>
      </c>
      <c r="BB127" s="18">
        <f>IFERROR(AD127/'Ar-Pa'!F127,0)</f>
        <v>9.5762368979828807</v>
      </c>
      <c r="BC127" s="18">
        <f>IFERROR(AE127/'Ar-Pa'!G127,0)</f>
        <v>9.5762368979828807</v>
      </c>
      <c r="BD127" s="18">
        <f>IFERROR(AF127/'Ar-Pa'!H127,0)</f>
        <v>9.2460218325351953</v>
      </c>
      <c r="BE127" s="18">
        <f>IFERROR(AG127/'Ar-Pa'!I127,0)</f>
        <v>9.9064519634305661</v>
      </c>
      <c r="BF127" s="18">
        <f>IFERROR(AH127/'Ar-Pa'!J127,0)</f>
        <v>8.9158067670875099</v>
      </c>
      <c r="BG127" s="18">
        <f>IFERROR(AI127/'Ar-Pa'!K127,0)</f>
        <v>9.5762368979828807</v>
      </c>
      <c r="BH127" s="18">
        <f>IFERROR(AJ127/'Ar-Pa'!L127,0)</f>
        <v>9.2460218325351953</v>
      </c>
      <c r="BI127" s="18">
        <f>IFERROR(AK127/'Ar-Pa'!M127,0)</f>
        <v>9.2460218325351953</v>
      </c>
      <c r="BJ127" s="18">
        <f>IFERROR(AL127/'Ar-Pa'!N127,0)</f>
        <v>9.2460218325351953</v>
      </c>
      <c r="BK127" s="18">
        <f>IFERROR(AM127/'Ar-Pa'!O127,0)</f>
        <v>9.9064519634305661</v>
      </c>
      <c r="BL127" s="18">
        <f>IFERROR(AN127/'Ar-Pa'!P127,0)</f>
        <v>12.217957421564364</v>
      </c>
      <c r="BM127" s="18">
        <f>IFERROR(AO127/'Ar-Pa'!Q127,0)</f>
        <v>11.557527290668993</v>
      </c>
      <c r="BN127" s="18">
        <f>IFERROR(AP127/'Ar-Pa'!R127,0)</f>
        <v>11.887742356116679</v>
      </c>
      <c r="BO127" s="18">
        <f>IFERROR(AQ127/'Ar-Pa'!S127,0)</f>
        <v>9.5762368979828807</v>
      </c>
      <c r="BP127" s="18">
        <f>IFERROR(AR127/'Ar-Pa'!T127,0)</f>
        <v>10.566882094325937</v>
      </c>
      <c r="BQ127" s="18">
        <f>IFERROR(AS127/'Ar-Pa'!U127,0)</f>
        <v>11.887742356116679</v>
      </c>
      <c r="BR127" s="18">
        <f>IFERROR(AT127/'Ar-Pa'!V127,0)</f>
        <v>11.887742356116679</v>
      </c>
      <c r="BS127" s="18">
        <f>IFERROR(AU127/'Ar-Pa'!W127,0)</f>
        <v>11.887742356116679</v>
      </c>
      <c r="BT127" s="18">
        <f>IFERROR(AV127/'Ar-Pa'!X127,0)</f>
        <v>11.887742356116679</v>
      </c>
      <c r="BU127" s="18">
        <f>IFERROR(AW127/'Ar-Pa'!Y127,0)</f>
        <v>11.887742356116679</v>
      </c>
    </row>
    <row r="128" spans="1:73">
      <c r="A128" s="15">
        <v>45053</v>
      </c>
      <c r="B128" s="441">
        <v>0.44</v>
      </c>
      <c r="C128" s="441">
        <v>0.39</v>
      </c>
      <c r="D128" s="441">
        <v>0.35</v>
      </c>
      <c r="E128" s="441">
        <v>0.33</v>
      </c>
      <c r="F128" s="441">
        <v>0.34</v>
      </c>
      <c r="G128" s="441">
        <v>0.35</v>
      </c>
      <c r="H128" s="441">
        <v>0.33</v>
      </c>
      <c r="I128" s="441">
        <v>0.34</v>
      </c>
      <c r="J128" s="441">
        <v>0.34</v>
      </c>
      <c r="K128" s="441">
        <v>0.34</v>
      </c>
      <c r="L128" s="441">
        <v>0.33</v>
      </c>
      <c r="M128" s="441">
        <v>0.34</v>
      </c>
      <c r="N128" s="441">
        <v>0.34</v>
      </c>
      <c r="O128" s="441">
        <v>0.34</v>
      </c>
      <c r="P128" s="441">
        <v>0.34</v>
      </c>
      <c r="Q128" s="441">
        <v>0.34</v>
      </c>
      <c r="R128" s="441">
        <v>0.34</v>
      </c>
      <c r="S128" s="441">
        <v>0.34</v>
      </c>
      <c r="T128" s="441">
        <v>0.37</v>
      </c>
      <c r="U128" s="441">
        <v>0.42</v>
      </c>
      <c r="V128" s="441">
        <v>0.42</v>
      </c>
      <c r="W128" s="441">
        <v>0.42</v>
      </c>
      <c r="X128" s="441">
        <v>0.41</v>
      </c>
      <c r="Y128" s="441">
        <v>0.42</v>
      </c>
      <c r="Z128" s="19">
        <f t="shared" si="49"/>
        <v>116.23570303758531</v>
      </c>
      <c r="AA128" s="19">
        <f t="shared" si="50"/>
        <v>103.02710041967788</v>
      </c>
      <c r="AB128" s="19">
        <f t="shared" si="51"/>
        <v>92.460218325351946</v>
      </c>
      <c r="AC128" s="19">
        <f t="shared" si="52"/>
        <v>87.176777278188979</v>
      </c>
      <c r="AD128" s="19">
        <f t="shared" si="53"/>
        <v>89.818497801770462</v>
      </c>
      <c r="AE128" s="19">
        <f t="shared" si="54"/>
        <v>92.460218325351946</v>
      </c>
      <c r="AF128" s="19">
        <f t="shared" si="55"/>
        <v>87.176777278188979</v>
      </c>
      <c r="AG128" s="19">
        <f t="shared" si="56"/>
        <v>89.818497801770462</v>
      </c>
      <c r="AH128" s="19">
        <f t="shared" si="57"/>
        <v>89.818497801770462</v>
      </c>
      <c r="AI128" s="19">
        <f t="shared" si="58"/>
        <v>89.818497801770462</v>
      </c>
      <c r="AJ128" s="19">
        <f t="shared" si="59"/>
        <v>87.176777278188979</v>
      </c>
      <c r="AK128" s="19">
        <f t="shared" si="60"/>
        <v>89.818497801770462</v>
      </c>
      <c r="AL128" s="19">
        <f t="shared" si="61"/>
        <v>89.818497801770462</v>
      </c>
      <c r="AM128" s="19">
        <f t="shared" si="62"/>
        <v>89.818497801770462</v>
      </c>
      <c r="AN128" s="19">
        <f t="shared" si="63"/>
        <v>89.818497801770462</v>
      </c>
      <c r="AO128" s="19">
        <f t="shared" si="64"/>
        <v>89.818497801770462</v>
      </c>
      <c r="AP128" s="19">
        <f t="shared" si="65"/>
        <v>89.818497801770462</v>
      </c>
      <c r="AQ128" s="19">
        <f t="shared" si="66"/>
        <v>89.818497801770462</v>
      </c>
      <c r="AR128" s="19">
        <f t="shared" si="67"/>
        <v>97.743659372514912</v>
      </c>
      <c r="AS128" s="19">
        <f t="shared" si="68"/>
        <v>110.95226199042234</v>
      </c>
      <c r="AT128" s="19">
        <f t="shared" si="69"/>
        <v>110.95226199042234</v>
      </c>
      <c r="AU128" s="19">
        <f t="shared" si="70"/>
        <v>110.95226199042234</v>
      </c>
      <c r="AV128" s="19">
        <f t="shared" si="71"/>
        <v>108.31054146684086</v>
      </c>
      <c r="AW128" s="19">
        <f t="shared" si="72"/>
        <v>110.95226199042234</v>
      </c>
      <c r="AX128" s="18">
        <f>IFERROR(Z128/'Ar-Pa'!B128,0)</f>
        <v>14.529462879698164</v>
      </c>
      <c r="AY128" s="18">
        <f>IFERROR(AA128/'Ar-Pa'!C128,0)</f>
        <v>12.878387552459735</v>
      </c>
      <c r="AZ128" s="18">
        <f>IFERROR(AB128/'Ar-Pa'!D128,0)</f>
        <v>11.557527290668993</v>
      </c>
      <c r="BA128" s="18">
        <f>IFERROR(AC128/'Ar-Pa'!E128,0)</f>
        <v>10.897097159773622</v>
      </c>
      <c r="BB128" s="18">
        <f>IFERROR(AD128/'Ar-Pa'!F128,0)</f>
        <v>11.227312225221308</v>
      </c>
      <c r="BC128" s="18">
        <f>IFERROR(AE128/'Ar-Pa'!G128,0)</f>
        <v>11.557527290668993</v>
      </c>
      <c r="BD128" s="18">
        <f>IFERROR(AF128/'Ar-Pa'!H128,0)</f>
        <v>10.897097159773622</v>
      </c>
      <c r="BE128" s="18">
        <f>IFERROR(AG128/'Ar-Pa'!I128,0)</f>
        <v>12.831213971681494</v>
      </c>
      <c r="BF128" s="18">
        <f>IFERROR(AH128/'Ar-Pa'!J128,0)</f>
        <v>12.831213971681494</v>
      </c>
      <c r="BG128" s="18">
        <f>IFERROR(AI128/'Ar-Pa'!K128,0)</f>
        <v>11.227312225221308</v>
      </c>
      <c r="BH128" s="18">
        <f>IFERROR(AJ128/'Ar-Pa'!L128,0)</f>
        <v>10.897097159773622</v>
      </c>
      <c r="BI128" s="18">
        <f>IFERROR(AK128/'Ar-Pa'!M128,0)</f>
        <v>11.227312225221308</v>
      </c>
      <c r="BJ128" s="18">
        <f>IFERROR(AL128/'Ar-Pa'!N128,0)</f>
        <v>11.227312225221308</v>
      </c>
      <c r="BK128" s="18">
        <f>IFERROR(AM128/'Ar-Pa'!O128,0)</f>
        <v>11.227312225221308</v>
      </c>
      <c r="BL128" s="18">
        <f>IFERROR(AN128/'Ar-Pa'!P128,0)</f>
        <v>11.227312225221308</v>
      </c>
      <c r="BM128" s="18">
        <f>IFERROR(AO128/'Ar-Pa'!Q128,0)</f>
        <v>11.227312225221308</v>
      </c>
      <c r="BN128" s="18">
        <f>IFERROR(AP128/'Ar-Pa'!R128,0)</f>
        <v>11.227312225221308</v>
      </c>
      <c r="BO128" s="18">
        <f>IFERROR(AQ128/'Ar-Pa'!S128,0)</f>
        <v>11.227312225221308</v>
      </c>
      <c r="BP128" s="18">
        <f>IFERROR(AR128/'Ar-Pa'!T128,0)</f>
        <v>12.217957421564364</v>
      </c>
      <c r="BQ128" s="18">
        <f>IFERROR(AS128/'Ar-Pa'!U128,0)</f>
        <v>13.869032748802793</v>
      </c>
      <c r="BR128" s="18">
        <f>IFERROR(AT128/'Ar-Pa'!V128,0)</f>
        <v>13.869032748802793</v>
      </c>
      <c r="BS128" s="18">
        <f>IFERROR(AU128/'Ar-Pa'!W128,0)</f>
        <v>13.869032748802793</v>
      </c>
      <c r="BT128" s="18">
        <f>IFERROR(AV128/'Ar-Pa'!X128,0)</f>
        <v>13.538817683355107</v>
      </c>
      <c r="BU128" s="18">
        <f>IFERROR(AW128/'Ar-Pa'!Y128,0)</f>
        <v>13.869032748802793</v>
      </c>
    </row>
    <row r="129" spans="1:73">
      <c r="A129" s="15">
        <v>45054</v>
      </c>
      <c r="B129" s="441">
        <v>0.26</v>
      </c>
      <c r="C129" s="441">
        <v>0.22</v>
      </c>
      <c r="D129" s="441">
        <v>0.22</v>
      </c>
      <c r="E129" s="441">
        <v>0.21</v>
      </c>
      <c r="F129" s="441">
        <v>0.21</v>
      </c>
      <c r="G129" s="441">
        <v>0.21</v>
      </c>
      <c r="H129" s="441">
        <v>0.22</v>
      </c>
      <c r="I129" s="441">
        <v>0.22</v>
      </c>
      <c r="J129" s="441">
        <v>0.21</v>
      </c>
      <c r="K129" s="441">
        <v>0.22</v>
      </c>
      <c r="L129" s="441">
        <v>0.21</v>
      </c>
      <c r="M129" s="441">
        <v>0.21</v>
      </c>
      <c r="N129" s="441">
        <v>0.23</v>
      </c>
      <c r="O129" s="441">
        <v>0.27</v>
      </c>
      <c r="P129" s="441">
        <v>0.27</v>
      </c>
      <c r="Q129" s="441">
        <v>0.27</v>
      </c>
      <c r="R129" s="441">
        <v>0.27</v>
      </c>
      <c r="S129" s="441">
        <v>0.27</v>
      </c>
      <c r="T129" s="441">
        <v>0.27</v>
      </c>
      <c r="U129" s="441">
        <v>0.27</v>
      </c>
      <c r="V129" s="441">
        <v>0.28000000000000003</v>
      </c>
      <c r="W129" s="441">
        <v>0.27</v>
      </c>
      <c r="X129" s="441">
        <v>0.27</v>
      </c>
      <c r="Y129" s="441">
        <v>0.27</v>
      </c>
      <c r="Z129" s="19">
        <f t="shared" si="49"/>
        <v>68.684733613118595</v>
      </c>
      <c r="AA129" s="19">
        <f t="shared" si="50"/>
        <v>58.117851518792655</v>
      </c>
      <c r="AB129" s="19">
        <f t="shared" si="51"/>
        <v>58.117851518792655</v>
      </c>
      <c r="AC129" s="19">
        <f t="shared" si="52"/>
        <v>55.476130995211172</v>
      </c>
      <c r="AD129" s="19">
        <f t="shared" si="53"/>
        <v>55.476130995211172</v>
      </c>
      <c r="AE129" s="19">
        <f t="shared" si="54"/>
        <v>55.476130995211172</v>
      </c>
      <c r="AF129" s="19">
        <f t="shared" si="55"/>
        <v>58.117851518792655</v>
      </c>
      <c r="AG129" s="19">
        <f t="shared" si="56"/>
        <v>58.117851518792655</v>
      </c>
      <c r="AH129" s="19">
        <f t="shared" si="57"/>
        <v>55.476130995211172</v>
      </c>
      <c r="AI129" s="19">
        <f t="shared" si="58"/>
        <v>58.117851518792655</v>
      </c>
      <c r="AJ129" s="19">
        <f t="shared" si="59"/>
        <v>55.476130995211172</v>
      </c>
      <c r="AK129" s="19">
        <f t="shared" si="60"/>
        <v>55.476130995211172</v>
      </c>
      <c r="AL129" s="19">
        <f t="shared" si="61"/>
        <v>60.759572042374138</v>
      </c>
      <c r="AM129" s="19">
        <f t="shared" si="62"/>
        <v>71.326454136700079</v>
      </c>
      <c r="AN129" s="19">
        <f t="shared" si="63"/>
        <v>71.326454136700079</v>
      </c>
      <c r="AO129" s="19">
        <f t="shared" si="64"/>
        <v>71.326454136700079</v>
      </c>
      <c r="AP129" s="19">
        <f t="shared" si="65"/>
        <v>71.326454136700079</v>
      </c>
      <c r="AQ129" s="19">
        <f t="shared" si="66"/>
        <v>71.326454136700079</v>
      </c>
      <c r="AR129" s="19">
        <f t="shared" si="67"/>
        <v>71.326454136700079</v>
      </c>
      <c r="AS129" s="19">
        <f t="shared" si="68"/>
        <v>71.326454136700079</v>
      </c>
      <c r="AT129" s="19">
        <f t="shared" si="69"/>
        <v>73.968174660281562</v>
      </c>
      <c r="AU129" s="19">
        <f t="shared" si="70"/>
        <v>71.326454136700079</v>
      </c>
      <c r="AV129" s="19">
        <f t="shared" si="71"/>
        <v>71.326454136700079</v>
      </c>
      <c r="AW129" s="19">
        <f t="shared" si="72"/>
        <v>71.326454136700079</v>
      </c>
      <c r="AX129" s="18">
        <f>IFERROR(Z129/'Ar-Pa'!B129,0)</f>
        <v>8.5855917016398244</v>
      </c>
      <c r="AY129" s="18">
        <f>IFERROR(AA129/'Ar-Pa'!C129,0)</f>
        <v>8.3025502169703795</v>
      </c>
      <c r="AZ129" s="18">
        <f>IFERROR(AB129/'Ar-Pa'!D129,0)</f>
        <v>8.3025502169703795</v>
      </c>
      <c r="BA129" s="18">
        <f>IFERROR(AC129/'Ar-Pa'!E129,0)</f>
        <v>6.9345163744013965</v>
      </c>
      <c r="BB129" s="18">
        <f>IFERROR(AD129/'Ar-Pa'!F129,0)</f>
        <v>6.9345163744013965</v>
      </c>
      <c r="BC129" s="18">
        <f>IFERROR(AE129/'Ar-Pa'!G129,0)</f>
        <v>6.9345163744013965</v>
      </c>
      <c r="BD129" s="18">
        <f>IFERROR(AF129/'Ar-Pa'!H129,0)</f>
        <v>8.3025502169703795</v>
      </c>
      <c r="BE129" s="18">
        <f>IFERROR(AG129/'Ar-Pa'!I129,0)</f>
        <v>8.3025502169703795</v>
      </c>
      <c r="BF129" s="18">
        <f>IFERROR(AH129/'Ar-Pa'!J129,0)</f>
        <v>7.9251615707444527</v>
      </c>
      <c r="BG129" s="18">
        <f>IFERROR(AI129/'Ar-Pa'!K129,0)</f>
        <v>8.3025502169703795</v>
      </c>
      <c r="BH129" s="18">
        <f>IFERROR(AJ129/'Ar-Pa'!L129,0)</f>
        <v>7.9251615707444527</v>
      </c>
      <c r="BI129" s="18">
        <f>IFERROR(AK129/'Ar-Pa'!M129,0)</f>
        <v>7.9251615707444527</v>
      </c>
      <c r="BJ129" s="18">
        <f>IFERROR(AL129/'Ar-Pa'!N129,0)</f>
        <v>8.6799388631963055</v>
      </c>
      <c r="BK129" s="18">
        <f>IFERROR(AM129/'Ar-Pa'!O129,0)</f>
        <v>10.189493448100011</v>
      </c>
      <c r="BL129" s="18">
        <f>IFERROR(AN129/'Ar-Pa'!P129,0)</f>
        <v>10.189493448100011</v>
      </c>
      <c r="BM129" s="18">
        <f>IFERROR(AO129/'Ar-Pa'!Q129,0)</f>
        <v>10.189493448100011</v>
      </c>
      <c r="BN129" s="18">
        <f>IFERROR(AP129/'Ar-Pa'!R129,0)</f>
        <v>10.189493448100011</v>
      </c>
      <c r="BO129" s="18">
        <f>IFERROR(AQ129/'Ar-Pa'!S129,0)</f>
        <v>10.189493448100011</v>
      </c>
      <c r="BP129" s="18">
        <f>IFERROR(AR129/'Ar-Pa'!T129,0)</f>
        <v>10.189493448100011</v>
      </c>
      <c r="BQ129" s="18">
        <f>IFERROR(AS129/'Ar-Pa'!U129,0)</f>
        <v>10.189493448100011</v>
      </c>
      <c r="BR129" s="18">
        <f>IFERROR(AT129/'Ar-Pa'!V129,0)</f>
        <v>10.566882094325937</v>
      </c>
      <c r="BS129" s="18">
        <f>IFERROR(AU129/'Ar-Pa'!W129,0)</f>
        <v>10.189493448100011</v>
      </c>
      <c r="BT129" s="18">
        <f>IFERROR(AV129/'Ar-Pa'!X129,0)</f>
        <v>10.189493448100011</v>
      </c>
      <c r="BU129" s="18">
        <f>IFERROR(AW129/'Ar-Pa'!Y129,0)</f>
        <v>10.189493448100011</v>
      </c>
    </row>
    <row r="130" spans="1:73">
      <c r="A130" s="15">
        <v>45055</v>
      </c>
      <c r="B130" s="441">
        <v>0.27</v>
      </c>
      <c r="C130" s="441">
        <v>0.28000000000000003</v>
      </c>
      <c r="D130" s="441">
        <v>0.25</v>
      </c>
      <c r="E130" s="441">
        <v>0.27</v>
      </c>
      <c r="F130" s="441">
        <v>0.28000000000000003</v>
      </c>
      <c r="G130" s="441">
        <v>0.24</v>
      </c>
      <c r="H130" s="441">
        <v>0.23</v>
      </c>
      <c r="I130" s="441">
        <v>0.23</v>
      </c>
      <c r="J130" s="441">
        <v>0.22</v>
      </c>
      <c r="K130" s="441">
        <v>0.22</v>
      </c>
      <c r="L130" s="441">
        <v>0.23</v>
      </c>
      <c r="M130" s="441">
        <v>0.27</v>
      </c>
      <c r="N130" s="441">
        <v>0.28000000000000003</v>
      </c>
      <c r="O130" s="441">
        <v>0.28999999999999998</v>
      </c>
      <c r="P130" s="441">
        <v>0.28999999999999998</v>
      </c>
      <c r="Q130" s="441">
        <v>0.28000000000000003</v>
      </c>
      <c r="R130" s="441">
        <v>0.28000000000000003</v>
      </c>
      <c r="S130" s="441">
        <v>0.28999999999999998</v>
      </c>
      <c r="T130" s="441">
        <v>0.28999999999999998</v>
      </c>
      <c r="U130" s="441">
        <v>0.28999999999999998</v>
      </c>
      <c r="V130" s="441">
        <v>0.28999999999999998</v>
      </c>
      <c r="W130" s="441">
        <v>0.28999999999999998</v>
      </c>
      <c r="X130" s="441">
        <v>0.28999999999999998</v>
      </c>
      <c r="Y130" s="441">
        <v>0.28999999999999998</v>
      </c>
      <c r="Z130" s="19">
        <f t="shared" si="49"/>
        <v>71.326454136700079</v>
      </c>
      <c r="AA130" s="19">
        <f t="shared" si="50"/>
        <v>73.968174660281562</v>
      </c>
      <c r="AB130" s="19">
        <f t="shared" si="51"/>
        <v>66.043013089537112</v>
      </c>
      <c r="AC130" s="19">
        <f t="shared" si="52"/>
        <v>71.326454136700079</v>
      </c>
      <c r="AD130" s="19">
        <f t="shared" si="53"/>
        <v>73.968174660281562</v>
      </c>
      <c r="AE130" s="19">
        <f t="shared" si="54"/>
        <v>63.401292565955622</v>
      </c>
      <c r="AF130" s="19">
        <f t="shared" si="55"/>
        <v>60.759572042374138</v>
      </c>
      <c r="AG130" s="19">
        <f t="shared" si="56"/>
        <v>60.759572042374138</v>
      </c>
      <c r="AH130" s="19">
        <f t="shared" si="57"/>
        <v>58.117851518792655</v>
      </c>
      <c r="AI130" s="19">
        <f t="shared" si="58"/>
        <v>58.117851518792655</v>
      </c>
      <c r="AJ130" s="19">
        <f t="shared" si="59"/>
        <v>60.759572042374138</v>
      </c>
      <c r="AK130" s="19">
        <f t="shared" si="60"/>
        <v>71.326454136700079</v>
      </c>
      <c r="AL130" s="19">
        <f t="shared" si="61"/>
        <v>73.968174660281562</v>
      </c>
      <c r="AM130" s="19">
        <f t="shared" si="62"/>
        <v>76.609895183863046</v>
      </c>
      <c r="AN130" s="19">
        <f t="shared" si="63"/>
        <v>76.609895183863046</v>
      </c>
      <c r="AO130" s="19">
        <f t="shared" si="64"/>
        <v>73.968174660281562</v>
      </c>
      <c r="AP130" s="19">
        <f t="shared" si="65"/>
        <v>73.968174660281562</v>
      </c>
      <c r="AQ130" s="19">
        <f t="shared" si="66"/>
        <v>76.609895183863046</v>
      </c>
      <c r="AR130" s="19">
        <f t="shared" si="67"/>
        <v>76.609895183863046</v>
      </c>
      <c r="AS130" s="19">
        <f t="shared" si="68"/>
        <v>76.609895183863046</v>
      </c>
      <c r="AT130" s="19">
        <f t="shared" si="69"/>
        <v>76.609895183863046</v>
      </c>
      <c r="AU130" s="19">
        <f t="shared" si="70"/>
        <v>76.609895183863046</v>
      </c>
      <c r="AV130" s="19">
        <f t="shared" si="71"/>
        <v>76.609895183863046</v>
      </c>
      <c r="AW130" s="19">
        <f t="shared" si="72"/>
        <v>76.609895183863046</v>
      </c>
      <c r="AX130" s="18">
        <f>IFERROR(Z130/'Ar-Pa'!B130,0)</f>
        <v>10.189493448100011</v>
      </c>
      <c r="AY130" s="18">
        <f>IFERROR(AA130/'Ar-Pa'!C130,0)</f>
        <v>10.566882094325937</v>
      </c>
      <c r="AZ130" s="18">
        <f>IFERROR(AB130/'Ar-Pa'!D130,0)</f>
        <v>9.4347161556481591</v>
      </c>
      <c r="BA130" s="18">
        <f>IFERROR(AC130/'Ar-Pa'!E130,0)</f>
        <v>10.189493448100011</v>
      </c>
      <c r="BB130" s="18">
        <f>IFERROR(AD130/'Ar-Pa'!F130,0)</f>
        <v>10.566882094325937</v>
      </c>
      <c r="BC130" s="18">
        <f>IFERROR(AE130/'Ar-Pa'!G130,0)</f>
        <v>9.0573275094222314</v>
      </c>
      <c r="BD130" s="18">
        <f>IFERROR(AF130/'Ar-Pa'!H130,0)</f>
        <v>8.6799388631963055</v>
      </c>
      <c r="BE130" s="18">
        <f>IFERROR(AG130/'Ar-Pa'!I130,0)</f>
        <v>8.6799388631963055</v>
      </c>
      <c r="BF130" s="18">
        <f>IFERROR(AH130/'Ar-Pa'!J130,0)</f>
        <v>9.6863085864654419</v>
      </c>
      <c r="BG130" s="18">
        <f>IFERROR(AI130/'Ar-Pa'!K130,0)</f>
        <v>9.6863085864654419</v>
      </c>
      <c r="BH130" s="18">
        <f>IFERROR(AJ130/'Ar-Pa'!L130,0)</f>
        <v>10.12659534039569</v>
      </c>
      <c r="BI130" s="18">
        <f>IFERROR(AK130/'Ar-Pa'!M130,0)</f>
        <v>10.189493448100011</v>
      </c>
      <c r="BJ130" s="18">
        <f>IFERROR(AL130/'Ar-Pa'!N130,0)</f>
        <v>10.566882094325937</v>
      </c>
      <c r="BK130" s="18">
        <f>IFERROR(AM130/'Ar-Pa'!O130,0)</f>
        <v>10.944270740551863</v>
      </c>
      <c r="BL130" s="18">
        <f>IFERROR(AN130/'Ar-Pa'!P130,0)</f>
        <v>10.944270740551863</v>
      </c>
      <c r="BM130" s="18">
        <f>IFERROR(AO130/'Ar-Pa'!Q130,0)</f>
        <v>10.566882094325937</v>
      </c>
      <c r="BN130" s="18">
        <f>IFERROR(AP130/'Ar-Pa'!R130,0)</f>
        <v>10.566882094325937</v>
      </c>
      <c r="BO130" s="18">
        <f>IFERROR(AQ130/'Ar-Pa'!S130,0)</f>
        <v>10.944270740551863</v>
      </c>
      <c r="BP130" s="18">
        <f>IFERROR(AR130/'Ar-Pa'!T130,0)</f>
        <v>9.5762368979828807</v>
      </c>
      <c r="BQ130" s="18">
        <f>IFERROR(AS130/'Ar-Pa'!U130,0)</f>
        <v>10.944270740551863</v>
      </c>
      <c r="BR130" s="18">
        <f>IFERROR(AT130/'Ar-Pa'!V130,0)</f>
        <v>10.944270740551863</v>
      </c>
      <c r="BS130" s="18">
        <f>IFERROR(AU130/'Ar-Pa'!W130,0)</f>
        <v>10.944270740551863</v>
      </c>
      <c r="BT130" s="18">
        <f>IFERROR(AV130/'Ar-Pa'!X130,0)</f>
        <v>10.944270740551863</v>
      </c>
      <c r="BU130" s="18">
        <f>IFERROR(AW130/'Ar-Pa'!Y130,0)</f>
        <v>10.944270740551863</v>
      </c>
    </row>
    <row r="131" spans="1:73">
      <c r="A131" s="15">
        <v>45056</v>
      </c>
      <c r="B131" s="441">
        <v>0.37</v>
      </c>
      <c r="C131" s="441">
        <v>0.37</v>
      </c>
      <c r="D131" s="441">
        <v>0.37</v>
      </c>
      <c r="E131" s="441">
        <v>0.28999999999999998</v>
      </c>
      <c r="F131" s="441">
        <v>0.28999999999999998</v>
      </c>
      <c r="G131" s="441">
        <v>0.28999999999999998</v>
      </c>
      <c r="H131" s="441">
        <v>0.3</v>
      </c>
      <c r="I131" s="441">
        <v>0.28999999999999998</v>
      </c>
      <c r="J131" s="441">
        <v>0.28999999999999998</v>
      </c>
      <c r="K131" s="441">
        <v>0.3</v>
      </c>
      <c r="L131" s="441">
        <v>0.28000000000000003</v>
      </c>
      <c r="M131" s="441">
        <v>0.3</v>
      </c>
      <c r="N131" s="441">
        <v>0.28000000000000003</v>
      </c>
      <c r="O131" s="441">
        <v>0.37</v>
      </c>
      <c r="P131" s="441">
        <v>0.37</v>
      </c>
      <c r="Q131" s="441">
        <v>0.36</v>
      </c>
      <c r="R131" s="441">
        <v>0.37</v>
      </c>
      <c r="S131" s="441">
        <v>0.37</v>
      </c>
      <c r="T131" s="441">
        <v>0.37</v>
      </c>
      <c r="U131" s="441">
        <v>0.36</v>
      </c>
      <c r="V131" s="441">
        <v>0.37</v>
      </c>
      <c r="W131" s="441">
        <v>0.38</v>
      </c>
      <c r="X131" s="441">
        <v>0.37</v>
      </c>
      <c r="Y131" s="441">
        <v>0.38</v>
      </c>
      <c r="Z131" s="19">
        <f t="shared" si="49"/>
        <v>97.743659372514912</v>
      </c>
      <c r="AA131" s="19">
        <f t="shared" si="50"/>
        <v>97.743659372514912</v>
      </c>
      <c r="AB131" s="19">
        <f t="shared" si="51"/>
        <v>97.743659372514912</v>
      </c>
      <c r="AC131" s="19">
        <f t="shared" si="52"/>
        <v>76.609895183863046</v>
      </c>
      <c r="AD131" s="19">
        <f t="shared" si="53"/>
        <v>76.609895183863046</v>
      </c>
      <c r="AE131" s="19">
        <f t="shared" si="54"/>
        <v>76.609895183863046</v>
      </c>
      <c r="AF131" s="19">
        <f t="shared" si="55"/>
        <v>79.251615707444529</v>
      </c>
      <c r="AG131" s="19">
        <f t="shared" si="56"/>
        <v>76.609895183863046</v>
      </c>
      <c r="AH131" s="19">
        <f t="shared" si="57"/>
        <v>76.609895183863046</v>
      </c>
      <c r="AI131" s="19">
        <f t="shared" si="58"/>
        <v>79.251615707444529</v>
      </c>
      <c r="AJ131" s="19">
        <f t="shared" si="59"/>
        <v>73.968174660281562</v>
      </c>
      <c r="AK131" s="19">
        <f t="shared" si="60"/>
        <v>79.251615707444529</v>
      </c>
      <c r="AL131" s="19">
        <f t="shared" si="61"/>
        <v>73.968174660281562</v>
      </c>
      <c r="AM131" s="19">
        <f t="shared" si="62"/>
        <v>97.743659372514912</v>
      </c>
      <c r="AN131" s="19">
        <f t="shared" si="63"/>
        <v>97.743659372514912</v>
      </c>
      <c r="AO131" s="19">
        <f t="shared" si="64"/>
        <v>95.101938848933429</v>
      </c>
      <c r="AP131" s="19">
        <f t="shared" si="65"/>
        <v>97.743659372514912</v>
      </c>
      <c r="AQ131" s="19">
        <f t="shared" si="66"/>
        <v>97.743659372514912</v>
      </c>
      <c r="AR131" s="19">
        <f t="shared" si="67"/>
        <v>97.743659372514912</v>
      </c>
      <c r="AS131" s="19">
        <f t="shared" si="68"/>
        <v>95.101938848933429</v>
      </c>
      <c r="AT131" s="19">
        <f t="shared" si="69"/>
        <v>97.743659372514912</v>
      </c>
      <c r="AU131" s="19">
        <f t="shared" si="70"/>
        <v>100.3853798960964</v>
      </c>
      <c r="AV131" s="19">
        <f t="shared" si="71"/>
        <v>97.743659372514912</v>
      </c>
      <c r="AW131" s="19">
        <f t="shared" si="72"/>
        <v>100.3853798960964</v>
      </c>
      <c r="AX131" s="18">
        <f>IFERROR(Z131/'Ar-Pa'!B131,0)</f>
        <v>12.217957421564364</v>
      </c>
      <c r="AY131" s="18">
        <f>IFERROR(AA131/'Ar-Pa'!C131,0)</f>
        <v>12.217957421564364</v>
      </c>
      <c r="AZ131" s="18">
        <f>IFERROR(AB131/'Ar-Pa'!D131,0)</f>
        <v>12.217957421564364</v>
      </c>
      <c r="BA131" s="18">
        <f>IFERROR(AC131/'Ar-Pa'!E131,0)</f>
        <v>9.5762368979828807</v>
      </c>
      <c r="BB131" s="18">
        <f>IFERROR(AD131/'Ar-Pa'!F131,0)</f>
        <v>9.5762368979828807</v>
      </c>
      <c r="BC131" s="18">
        <f>IFERROR(AE131/'Ar-Pa'!G131,0)</f>
        <v>9.5762368979828807</v>
      </c>
      <c r="BD131" s="18">
        <f>IFERROR(AF131/'Ar-Pa'!H131,0)</f>
        <v>11.321659386777791</v>
      </c>
      <c r="BE131" s="18">
        <f>IFERROR(AG131/'Ar-Pa'!I131,0)</f>
        <v>10.944270740551863</v>
      </c>
      <c r="BF131" s="18">
        <f>IFERROR(AH131/'Ar-Pa'!J131,0)</f>
        <v>9.5762368979828807</v>
      </c>
      <c r="BG131" s="18">
        <f>IFERROR(AI131/'Ar-Pa'!K131,0)</f>
        <v>9.9064519634305661</v>
      </c>
      <c r="BH131" s="18">
        <f>IFERROR(AJ131/'Ar-Pa'!L131,0)</f>
        <v>9.2460218325351953</v>
      </c>
      <c r="BI131" s="18">
        <f>IFERROR(AK131/'Ar-Pa'!M131,0)</f>
        <v>9.9064519634305661</v>
      </c>
      <c r="BJ131" s="18">
        <f>IFERROR(AL131/'Ar-Pa'!N131,0)</f>
        <v>9.2460218325351953</v>
      </c>
      <c r="BK131" s="18">
        <f>IFERROR(AM131/'Ar-Pa'!O131,0)</f>
        <v>12.217957421564364</v>
      </c>
      <c r="BL131" s="18">
        <f>IFERROR(AN131/'Ar-Pa'!P131,0)</f>
        <v>12.217957421564364</v>
      </c>
      <c r="BM131" s="18">
        <f>IFERROR(AO131/'Ar-Pa'!Q131,0)</f>
        <v>11.887742356116679</v>
      </c>
      <c r="BN131" s="18">
        <f>IFERROR(AP131/'Ar-Pa'!R131,0)</f>
        <v>12.217957421564364</v>
      </c>
      <c r="BO131" s="18">
        <f>IFERROR(AQ131/'Ar-Pa'!S131,0)</f>
        <v>12.217957421564364</v>
      </c>
      <c r="BP131" s="18">
        <f>IFERROR(AR131/'Ar-Pa'!T131,0)</f>
        <v>12.217957421564364</v>
      </c>
      <c r="BQ131" s="18">
        <f>IFERROR(AS131/'Ar-Pa'!U131,0)</f>
        <v>11.887742356116679</v>
      </c>
      <c r="BR131" s="18">
        <f>IFERROR(AT131/'Ar-Pa'!V131,0)</f>
        <v>12.217957421564364</v>
      </c>
      <c r="BS131" s="18">
        <f>IFERROR(AU131/'Ar-Pa'!W131,0)</f>
        <v>12.548172487012049</v>
      </c>
      <c r="BT131" s="18">
        <f>IFERROR(AV131/'Ar-Pa'!X131,0)</f>
        <v>12.217957421564364</v>
      </c>
      <c r="BU131" s="18">
        <f>IFERROR(AW131/'Ar-Pa'!Y131,0)</f>
        <v>12.548172487012049</v>
      </c>
    </row>
    <row r="132" spans="1:73">
      <c r="A132" s="15">
        <v>45057</v>
      </c>
      <c r="B132" s="441">
        <v>0.34</v>
      </c>
      <c r="C132" s="441">
        <v>0.34</v>
      </c>
      <c r="D132" s="441">
        <v>0.34</v>
      </c>
      <c r="E132" s="441">
        <v>0.35</v>
      </c>
      <c r="F132" s="441">
        <v>0.27</v>
      </c>
      <c r="G132" s="441">
        <v>0.27</v>
      </c>
      <c r="H132" s="441">
        <v>0.27</v>
      </c>
      <c r="I132" s="441">
        <v>0.27</v>
      </c>
      <c r="J132" s="441">
        <v>0.27</v>
      </c>
      <c r="K132" s="441">
        <v>0.26</v>
      </c>
      <c r="L132" s="441">
        <v>0.26</v>
      </c>
      <c r="M132" s="441">
        <v>0.35</v>
      </c>
      <c r="N132" s="441">
        <v>0.34</v>
      </c>
      <c r="O132" s="441">
        <v>0.35</v>
      </c>
      <c r="P132" s="441">
        <v>0.34</v>
      </c>
      <c r="Q132" s="441">
        <v>0.34</v>
      </c>
      <c r="R132" s="441">
        <v>0.35</v>
      </c>
      <c r="S132" s="441">
        <v>0.34</v>
      </c>
      <c r="T132" s="441">
        <v>0.34</v>
      </c>
      <c r="U132" s="441">
        <v>0.34</v>
      </c>
      <c r="V132" s="441">
        <v>0.32</v>
      </c>
      <c r="W132" s="441">
        <v>0.31</v>
      </c>
      <c r="X132" s="441">
        <v>0.34</v>
      </c>
      <c r="Y132" s="441">
        <v>0.33</v>
      </c>
      <c r="Z132" s="19">
        <f t="shared" si="49"/>
        <v>89.818497801770462</v>
      </c>
      <c r="AA132" s="19">
        <f t="shared" si="50"/>
        <v>89.818497801770462</v>
      </c>
      <c r="AB132" s="19">
        <f t="shared" si="51"/>
        <v>89.818497801770462</v>
      </c>
      <c r="AC132" s="19">
        <f t="shared" si="52"/>
        <v>92.460218325351946</v>
      </c>
      <c r="AD132" s="19">
        <f t="shared" si="53"/>
        <v>71.326454136700079</v>
      </c>
      <c r="AE132" s="19">
        <f t="shared" si="54"/>
        <v>71.326454136700079</v>
      </c>
      <c r="AF132" s="19">
        <f t="shared" si="55"/>
        <v>71.326454136700079</v>
      </c>
      <c r="AG132" s="19">
        <f t="shared" si="56"/>
        <v>71.326454136700079</v>
      </c>
      <c r="AH132" s="19">
        <f t="shared" si="57"/>
        <v>71.326454136700079</v>
      </c>
      <c r="AI132" s="19">
        <f t="shared" si="58"/>
        <v>68.684733613118595</v>
      </c>
      <c r="AJ132" s="19">
        <f t="shared" si="59"/>
        <v>68.684733613118595</v>
      </c>
      <c r="AK132" s="19">
        <f t="shared" si="60"/>
        <v>92.460218325351946</v>
      </c>
      <c r="AL132" s="19">
        <f t="shared" si="61"/>
        <v>89.818497801770462</v>
      </c>
      <c r="AM132" s="19">
        <f t="shared" si="62"/>
        <v>92.460218325351946</v>
      </c>
      <c r="AN132" s="19">
        <f t="shared" si="63"/>
        <v>89.818497801770462</v>
      </c>
      <c r="AO132" s="19">
        <f t="shared" si="64"/>
        <v>89.818497801770462</v>
      </c>
      <c r="AP132" s="19">
        <f t="shared" si="65"/>
        <v>92.460218325351946</v>
      </c>
      <c r="AQ132" s="19">
        <f t="shared" si="66"/>
        <v>89.818497801770462</v>
      </c>
      <c r="AR132" s="19">
        <f t="shared" si="67"/>
        <v>89.818497801770462</v>
      </c>
      <c r="AS132" s="19">
        <f t="shared" si="68"/>
        <v>89.818497801770462</v>
      </c>
      <c r="AT132" s="19">
        <f t="shared" si="69"/>
        <v>84.535056754607496</v>
      </c>
      <c r="AU132" s="19">
        <f t="shared" si="70"/>
        <v>81.893336231026012</v>
      </c>
      <c r="AV132" s="19">
        <f t="shared" si="71"/>
        <v>89.818497801770462</v>
      </c>
      <c r="AW132" s="19">
        <f t="shared" si="72"/>
        <v>87.176777278188979</v>
      </c>
      <c r="AX132" s="18">
        <f>IFERROR(Z132/'Ar-Pa'!B132,0)</f>
        <v>11.227312225221308</v>
      </c>
      <c r="AY132" s="18">
        <f>IFERROR(AA132/'Ar-Pa'!C132,0)</f>
        <v>12.831213971681494</v>
      </c>
      <c r="AZ132" s="18">
        <f>IFERROR(AB132/'Ar-Pa'!D132,0)</f>
        <v>12.831213971681494</v>
      </c>
      <c r="BA132" s="18">
        <f>IFERROR(AC132/'Ar-Pa'!E132,0)</f>
        <v>11.557527290668993</v>
      </c>
      <c r="BB132" s="18">
        <f>IFERROR(AD132/'Ar-Pa'!F132,0)</f>
        <v>8.9158067670875099</v>
      </c>
      <c r="BC132" s="18">
        <f>IFERROR(AE132/'Ar-Pa'!G132,0)</f>
        <v>8.9158067670875099</v>
      </c>
      <c r="BD132" s="18">
        <f>IFERROR(AF132/'Ar-Pa'!H132,0)</f>
        <v>10.189493448100011</v>
      </c>
      <c r="BE132" s="18">
        <f>IFERROR(AG132/'Ar-Pa'!I132,0)</f>
        <v>10.189493448100011</v>
      </c>
      <c r="BF132" s="18">
        <f>IFERROR(AH132/'Ar-Pa'!J132,0)</f>
        <v>8.9158067670875099</v>
      </c>
      <c r="BG132" s="18">
        <f>IFERROR(AI132/'Ar-Pa'!K132,0)</f>
        <v>8.5855917016398244</v>
      </c>
      <c r="BH132" s="18">
        <f>IFERROR(AJ132/'Ar-Pa'!L132,0)</f>
        <v>8.5855917016398244</v>
      </c>
      <c r="BI132" s="18">
        <f>IFERROR(AK132/'Ar-Pa'!M132,0)</f>
        <v>11.557527290668993</v>
      </c>
      <c r="BJ132" s="18">
        <f>IFERROR(AL132/'Ar-Pa'!N132,0)</f>
        <v>11.227312225221308</v>
      </c>
      <c r="BK132" s="18">
        <f>IFERROR(AM132/'Ar-Pa'!O132,0)</f>
        <v>11.557527290668993</v>
      </c>
      <c r="BL132" s="18">
        <f>IFERROR(AN132/'Ar-Pa'!P132,0)</f>
        <v>11.227312225221308</v>
      </c>
      <c r="BM132" s="18">
        <f>IFERROR(AO132/'Ar-Pa'!Q132,0)</f>
        <v>11.227312225221308</v>
      </c>
      <c r="BN132" s="18">
        <f>IFERROR(AP132/'Ar-Pa'!R132,0)</f>
        <v>11.557527290668993</v>
      </c>
      <c r="BO132" s="18">
        <f>IFERROR(AQ132/'Ar-Pa'!S132,0)</f>
        <v>11.227312225221308</v>
      </c>
      <c r="BP132" s="18">
        <f>IFERROR(AR132/'Ar-Pa'!T132,0)</f>
        <v>11.227312225221308</v>
      </c>
      <c r="BQ132" s="18">
        <f>IFERROR(AS132/'Ar-Pa'!U132,0)</f>
        <v>11.227312225221308</v>
      </c>
      <c r="BR132" s="18">
        <f>IFERROR(AT132/'Ar-Pa'!V132,0)</f>
        <v>10.566882094325937</v>
      </c>
      <c r="BS132" s="18">
        <f>IFERROR(AU132/'Ar-Pa'!W132,0)</f>
        <v>10.236667028878252</v>
      </c>
      <c r="BT132" s="18">
        <f>IFERROR(AV132/'Ar-Pa'!X132,0)</f>
        <v>11.227312225221308</v>
      </c>
      <c r="BU132" s="18">
        <f>IFERROR(AW132/'Ar-Pa'!Y132,0)</f>
        <v>10.897097159773622</v>
      </c>
    </row>
    <row r="133" spans="1:73">
      <c r="A133" s="15">
        <v>45058</v>
      </c>
      <c r="B133" s="441">
        <v>0.34</v>
      </c>
      <c r="C133" s="441">
        <v>0.33</v>
      </c>
      <c r="D133" s="441">
        <v>0.34</v>
      </c>
      <c r="E133" s="441">
        <v>0.32</v>
      </c>
      <c r="F133" s="441">
        <v>0.26</v>
      </c>
      <c r="G133" s="441">
        <v>0.27</v>
      </c>
      <c r="H133" s="441">
        <v>0.26</v>
      </c>
      <c r="I133" s="441">
        <v>0.25</v>
      </c>
      <c r="J133" s="441">
        <v>0.26</v>
      </c>
      <c r="K133" s="441">
        <v>0.28000000000000003</v>
      </c>
      <c r="L133" s="441">
        <v>0.33</v>
      </c>
      <c r="M133" s="441">
        <v>0.33</v>
      </c>
      <c r="N133" s="441">
        <v>0.33</v>
      </c>
      <c r="O133" s="441">
        <v>0.34</v>
      </c>
      <c r="P133" s="441">
        <v>0.33</v>
      </c>
      <c r="Q133" s="441">
        <v>0.34</v>
      </c>
      <c r="R133" s="441">
        <v>0.33</v>
      </c>
      <c r="S133" s="441">
        <v>0.33</v>
      </c>
      <c r="T133" s="441">
        <v>0.33</v>
      </c>
      <c r="U133" s="441">
        <v>0.34</v>
      </c>
      <c r="V133" s="441">
        <v>0.33</v>
      </c>
      <c r="W133" s="441">
        <v>0.33</v>
      </c>
      <c r="X133" s="441">
        <v>0.32</v>
      </c>
      <c r="Y133" s="441">
        <v>0.33</v>
      </c>
      <c r="Z133" s="19">
        <f t="shared" si="49"/>
        <v>89.818497801770462</v>
      </c>
      <c r="AA133" s="19">
        <f t="shared" si="50"/>
        <v>87.176777278188979</v>
      </c>
      <c r="AB133" s="19">
        <f t="shared" si="51"/>
        <v>89.818497801770462</v>
      </c>
      <c r="AC133" s="19">
        <f t="shared" si="52"/>
        <v>84.535056754607496</v>
      </c>
      <c r="AD133" s="19">
        <f t="shared" si="53"/>
        <v>68.684733613118595</v>
      </c>
      <c r="AE133" s="19">
        <f t="shared" si="54"/>
        <v>71.326454136700079</v>
      </c>
      <c r="AF133" s="19">
        <f t="shared" si="55"/>
        <v>68.684733613118595</v>
      </c>
      <c r="AG133" s="19">
        <f t="shared" si="56"/>
        <v>66.043013089537112</v>
      </c>
      <c r="AH133" s="19">
        <f t="shared" si="57"/>
        <v>68.684733613118595</v>
      </c>
      <c r="AI133" s="19">
        <f t="shared" si="58"/>
        <v>73.968174660281562</v>
      </c>
      <c r="AJ133" s="19">
        <f t="shared" si="59"/>
        <v>87.176777278188979</v>
      </c>
      <c r="AK133" s="19">
        <f t="shared" si="60"/>
        <v>87.176777278188979</v>
      </c>
      <c r="AL133" s="19">
        <f t="shared" si="61"/>
        <v>87.176777278188979</v>
      </c>
      <c r="AM133" s="19">
        <f t="shared" si="62"/>
        <v>89.818497801770462</v>
      </c>
      <c r="AN133" s="19">
        <f t="shared" si="63"/>
        <v>87.176777278188979</v>
      </c>
      <c r="AO133" s="19">
        <f t="shared" si="64"/>
        <v>89.818497801770462</v>
      </c>
      <c r="AP133" s="19">
        <f t="shared" si="65"/>
        <v>87.176777278188979</v>
      </c>
      <c r="AQ133" s="19">
        <f t="shared" si="66"/>
        <v>87.176777278188979</v>
      </c>
      <c r="AR133" s="19">
        <f t="shared" si="67"/>
        <v>87.176777278188979</v>
      </c>
      <c r="AS133" s="19">
        <f t="shared" si="68"/>
        <v>89.818497801770462</v>
      </c>
      <c r="AT133" s="19">
        <f t="shared" si="69"/>
        <v>87.176777278188979</v>
      </c>
      <c r="AU133" s="19">
        <f t="shared" si="70"/>
        <v>87.176777278188979</v>
      </c>
      <c r="AV133" s="19">
        <f t="shared" si="71"/>
        <v>84.535056754607496</v>
      </c>
      <c r="AW133" s="19">
        <f t="shared" si="72"/>
        <v>87.176777278188979</v>
      </c>
      <c r="AX133" s="18">
        <f>IFERROR(Z133/'Ar-Pa'!B133,0)</f>
        <v>12.831213971681494</v>
      </c>
      <c r="AY133" s="18">
        <f>IFERROR(AA133/'Ar-Pa'!C133,0)</f>
        <v>12.453825325455568</v>
      </c>
      <c r="AZ133" s="18">
        <f>IFERROR(AB133/'Ar-Pa'!D133,0)</f>
        <v>12.831213971681494</v>
      </c>
      <c r="BA133" s="18">
        <f>IFERROR(AC133/'Ar-Pa'!E133,0)</f>
        <v>12.076436679229642</v>
      </c>
      <c r="BB133" s="18">
        <f>IFERROR(AD133/'Ar-Pa'!F133,0)</f>
        <v>9.8121048018740851</v>
      </c>
      <c r="BC133" s="18">
        <f>IFERROR(AE133/'Ar-Pa'!G133,0)</f>
        <v>10.189493448100011</v>
      </c>
      <c r="BD133" s="18">
        <f>IFERROR(AF133/'Ar-Pa'!H133,0)</f>
        <v>9.8121048018740851</v>
      </c>
      <c r="BE133" s="18">
        <f>IFERROR(AG133/'Ar-Pa'!I133,0)</f>
        <v>8.255376636192139</v>
      </c>
      <c r="BF133" s="18">
        <f>IFERROR(AH133/'Ar-Pa'!J133,0)</f>
        <v>8.5855917016398244</v>
      </c>
      <c r="BG133" s="18">
        <f>IFERROR(AI133/'Ar-Pa'!K133,0)</f>
        <v>9.2460218325351953</v>
      </c>
      <c r="BH133" s="18">
        <f>IFERROR(AJ133/'Ar-Pa'!L133,0)</f>
        <v>10.897097159773622</v>
      </c>
      <c r="BI133" s="18">
        <f>IFERROR(AK133/'Ar-Pa'!M133,0)</f>
        <v>10.897097159773622</v>
      </c>
      <c r="BJ133" s="18">
        <f>IFERROR(AL133/'Ar-Pa'!N133,0)</f>
        <v>10.897097159773622</v>
      </c>
      <c r="BK133" s="18">
        <f>IFERROR(AM133/'Ar-Pa'!O133,0)</f>
        <v>11.227312225221308</v>
      </c>
      <c r="BL133" s="18">
        <f>IFERROR(AN133/'Ar-Pa'!P133,0)</f>
        <v>10.897097159773622</v>
      </c>
      <c r="BM133" s="18">
        <f>IFERROR(AO133/'Ar-Pa'!Q133,0)</f>
        <v>11.227312225221308</v>
      </c>
      <c r="BN133" s="18">
        <f>IFERROR(AP133/'Ar-Pa'!R133,0)</f>
        <v>10.897097159773622</v>
      </c>
      <c r="BO133" s="18">
        <f>IFERROR(AQ133/'Ar-Pa'!S133,0)</f>
        <v>10.897097159773622</v>
      </c>
      <c r="BP133" s="18">
        <f>IFERROR(AR133/'Ar-Pa'!T133,0)</f>
        <v>10.897097159773622</v>
      </c>
      <c r="BQ133" s="18">
        <f>IFERROR(AS133/'Ar-Pa'!U133,0)</f>
        <v>11.227312225221308</v>
      </c>
      <c r="BR133" s="18">
        <f>IFERROR(AT133/'Ar-Pa'!V133,0)</f>
        <v>10.897097159773622</v>
      </c>
      <c r="BS133" s="18">
        <f>IFERROR(AU133/'Ar-Pa'!W133,0)</f>
        <v>10.897097159773622</v>
      </c>
      <c r="BT133" s="18">
        <f>IFERROR(AV133/'Ar-Pa'!X133,0)</f>
        <v>10.566882094325937</v>
      </c>
      <c r="BU133" s="18">
        <f>IFERROR(AW133/'Ar-Pa'!Y133,0)</f>
        <v>10.897097159773622</v>
      </c>
    </row>
    <row r="134" spans="1:73">
      <c r="A134" s="15">
        <v>45059</v>
      </c>
      <c r="B134" s="441">
        <v>0.36</v>
      </c>
      <c r="C134" s="441">
        <v>0.38</v>
      </c>
      <c r="D134" s="441">
        <v>0.37</v>
      </c>
      <c r="E134" s="441">
        <v>0.37</v>
      </c>
      <c r="F134" s="441">
        <v>0.35</v>
      </c>
      <c r="G134" s="441">
        <v>0.37</v>
      </c>
      <c r="H134" s="441">
        <v>0.35</v>
      </c>
      <c r="I134" s="441">
        <v>0.3</v>
      </c>
      <c r="J134" s="441">
        <v>0.3</v>
      </c>
      <c r="K134" s="441">
        <v>0.28999999999999998</v>
      </c>
      <c r="L134" s="441">
        <v>0.3</v>
      </c>
      <c r="M134" s="441">
        <v>0.11</v>
      </c>
      <c r="N134" s="441">
        <v>0.03</v>
      </c>
      <c r="O134" s="441">
        <v>0.28000000000000003</v>
      </c>
      <c r="P134" s="441">
        <v>0.3</v>
      </c>
      <c r="Q134" s="441">
        <v>0.3</v>
      </c>
      <c r="R134" s="441">
        <v>0.28999999999999998</v>
      </c>
      <c r="S134" s="441">
        <v>0.3</v>
      </c>
      <c r="T134" s="441">
        <v>0.37</v>
      </c>
      <c r="U134" s="441">
        <v>0.38</v>
      </c>
      <c r="V134" s="441">
        <v>0.38</v>
      </c>
      <c r="W134" s="441">
        <v>0.38</v>
      </c>
      <c r="X134" s="441">
        <v>0.36</v>
      </c>
      <c r="Y134" s="441">
        <v>0.36</v>
      </c>
      <c r="Z134" s="19">
        <f t="shared" si="49"/>
        <v>95.101938848933429</v>
      </c>
      <c r="AA134" s="19">
        <f t="shared" si="50"/>
        <v>100.3853798960964</v>
      </c>
      <c r="AB134" s="19">
        <f t="shared" si="51"/>
        <v>97.743659372514912</v>
      </c>
      <c r="AC134" s="19">
        <f>+CONVERT(E134,"m^3","gal")</f>
        <v>97.743659372514912</v>
      </c>
      <c r="AD134" s="19">
        <f t="shared" si="53"/>
        <v>92.460218325351946</v>
      </c>
      <c r="AE134" s="19">
        <f>+CONVERT(G134,"m^3","gal")</f>
        <v>97.743659372514912</v>
      </c>
      <c r="AF134" s="19">
        <f t="shared" si="55"/>
        <v>92.460218325351946</v>
      </c>
      <c r="AG134" s="19">
        <f t="shared" si="56"/>
        <v>79.251615707444529</v>
      </c>
      <c r="AH134" s="19">
        <f t="shared" si="57"/>
        <v>79.251615707444529</v>
      </c>
      <c r="AI134" s="19">
        <f t="shared" si="58"/>
        <v>76.609895183863046</v>
      </c>
      <c r="AJ134" s="19">
        <f t="shared" si="59"/>
        <v>79.251615707444529</v>
      </c>
      <c r="AK134" s="19">
        <f t="shared" si="60"/>
        <v>29.058925759396327</v>
      </c>
      <c r="AL134" s="19">
        <f t="shared" si="61"/>
        <v>7.9251615707444527</v>
      </c>
      <c r="AM134" s="19">
        <f t="shared" si="62"/>
        <v>73.968174660281562</v>
      </c>
      <c r="AN134" s="19">
        <f t="shared" si="63"/>
        <v>79.251615707444529</v>
      </c>
      <c r="AO134" s="19">
        <f t="shared" si="64"/>
        <v>79.251615707444529</v>
      </c>
      <c r="AP134" s="19">
        <f t="shared" si="65"/>
        <v>76.609895183863046</v>
      </c>
      <c r="AQ134" s="19">
        <f t="shared" si="66"/>
        <v>79.251615707444529</v>
      </c>
      <c r="AR134" s="19">
        <f t="shared" si="67"/>
        <v>97.743659372514912</v>
      </c>
      <c r="AS134" s="19">
        <f t="shared" si="68"/>
        <v>100.3853798960964</v>
      </c>
      <c r="AT134" s="19">
        <f t="shared" si="69"/>
        <v>100.3853798960964</v>
      </c>
      <c r="AU134" s="19">
        <f t="shared" si="70"/>
        <v>100.3853798960964</v>
      </c>
      <c r="AV134" s="19">
        <f t="shared" si="71"/>
        <v>95.101938848933429</v>
      </c>
      <c r="AW134" s="19">
        <f t="shared" si="72"/>
        <v>95.101938848933429</v>
      </c>
      <c r="AX134" s="18">
        <f>IFERROR(Z134/'Ar-Pa'!B134,0)</f>
        <v>11.887742356116679</v>
      </c>
      <c r="AY134" s="18">
        <f>IFERROR(AA134/'Ar-Pa'!C134,0)</f>
        <v>12.548172487012049</v>
      </c>
      <c r="AZ134" s="18">
        <f>IFERROR(AB134/'Ar-Pa'!D134,0)</f>
        <v>12.217957421564364</v>
      </c>
      <c r="BA134" s="18">
        <f>IFERROR(AC134/'Ar-Pa'!E134,0)</f>
        <v>12.217957421564364</v>
      </c>
      <c r="BB134" s="18">
        <f>IFERROR(AD134/'Ar-Pa'!F134,0)</f>
        <v>11.557527290668993</v>
      </c>
      <c r="BC134" s="18">
        <f>IFERROR(AE134/'Ar-Pa'!G134,0)</f>
        <v>12.217957421564364</v>
      </c>
      <c r="BD134" s="18">
        <f>IFERROR(AF134/'Ar-Pa'!H134,0)</f>
        <v>11.557527290668993</v>
      </c>
      <c r="BE134" s="18">
        <f>IFERROR(AG134/'Ar-Pa'!I134,0)</f>
        <v>9.9064519634305661</v>
      </c>
      <c r="BF134" s="18">
        <f>IFERROR(AH134/'Ar-Pa'!J134,0)</f>
        <v>9.9064519634305661</v>
      </c>
      <c r="BG134" s="18">
        <f>IFERROR(AI134/'Ar-Pa'!K134,0)</f>
        <v>9.5762368979828807</v>
      </c>
      <c r="BH134" s="18">
        <f>IFERROR(AJ134/'Ar-Pa'!L134,0)</f>
        <v>9.9064519634305661</v>
      </c>
      <c r="BI134" s="18">
        <f>IFERROR(AK134/'Ar-Pa'!M134,0)</f>
        <v>3.6323657199245409</v>
      </c>
      <c r="BJ134" s="18">
        <f>IFERROR(AL134/'Ar-Pa'!N134,0)</f>
        <v>0.99064519634305659</v>
      </c>
      <c r="BK134" s="18">
        <f>IFERROR(AM134/'Ar-Pa'!O134,0)</f>
        <v>9.2460218325351953</v>
      </c>
      <c r="BL134" s="18">
        <f>IFERROR(AN134/'Ar-Pa'!P134,0)</f>
        <v>9.9064519634305661</v>
      </c>
      <c r="BM134" s="18">
        <f>IFERROR(AO134/'Ar-Pa'!Q134,0)</f>
        <v>9.9064519634305661</v>
      </c>
      <c r="BN134" s="18">
        <f>IFERROR(AP134/'Ar-Pa'!R134,0)</f>
        <v>9.5762368979828807</v>
      </c>
      <c r="BO134" s="18">
        <f>IFERROR(AQ134/'Ar-Pa'!S134,0)</f>
        <v>9.9064519634305661</v>
      </c>
      <c r="BP134" s="18">
        <f>IFERROR(AR134/'Ar-Pa'!T134,0)</f>
        <v>12.217957421564364</v>
      </c>
      <c r="BQ134" s="18">
        <f>IFERROR(AS134/'Ar-Pa'!U134,0)</f>
        <v>12.548172487012049</v>
      </c>
      <c r="BR134" s="18">
        <f>IFERROR(AT134/'Ar-Pa'!V134,0)</f>
        <v>12.548172487012049</v>
      </c>
      <c r="BS134" s="18">
        <f>IFERROR(AU134/'Ar-Pa'!W134,0)</f>
        <v>12.548172487012049</v>
      </c>
      <c r="BT134" s="18">
        <f>IFERROR(AV134/'Ar-Pa'!X134,0)</f>
        <v>11.887742356116679</v>
      </c>
      <c r="BU134" s="18">
        <f>IFERROR(AW134/'Ar-Pa'!Y134,0)</f>
        <v>11.887742356116679</v>
      </c>
    </row>
    <row r="135" spans="1:73">
      <c r="A135" s="15">
        <v>45060</v>
      </c>
      <c r="B135" s="441">
        <v>0.39</v>
      </c>
      <c r="C135" s="441">
        <v>0.36</v>
      </c>
      <c r="D135" s="441">
        <v>0.32</v>
      </c>
      <c r="E135" s="441">
        <v>0.31</v>
      </c>
      <c r="F135" s="441">
        <v>0.32</v>
      </c>
      <c r="G135" s="441">
        <v>0.32</v>
      </c>
      <c r="H135" s="441">
        <v>0.32</v>
      </c>
      <c r="I135" s="441">
        <v>0.32</v>
      </c>
      <c r="J135" s="441">
        <v>0.33</v>
      </c>
      <c r="K135" s="441">
        <v>0.31</v>
      </c>
      <c r="L135" s="441">
        <v>0.31</v>
      </c>
      <c r="M135" s="441">
        <v>0.32</v>
      </c>
      <c r="N135" s="441">
        <v>0.31</v>
      </c>
      <c r="O135" s="441">
        <v>0.32</v>
      </c>
      <c r="P135" s="441">
        <v>0.32</v>
      </c>
      <c r="Q135" s="441">
        <v>0.32</v>
      </c>
      <c r="R135" s="441">
        <v>0.31</v>
      </c>
      <c r="S135" s="441">
        <v>0.32</v>
      </c>
      <c r="T135" s="441">
        <v>0.32</v>
      </c>
      <c r="U135" s="441">
        <v>0.41</v>
      </c>
      <c r="V135" s="441">
        <v>0.41</v>
      </c>
      <c r="W135" s="441">
        <v>0.4</v>
      </c>
      <c r="X135" s="441">
        <v>0.41</v>
      </c>
      <c r="Y135" s="441">
        <v>0.37</v>
      </c>
      <c r="Z135" s="19">
        <f t="shared" si="49"/>
        <v>103.02710041967788</v>
      </c>
      <c r="AA135" s="19">
        <f t="shared" si="50"/>
        <v>95.101938848933429</v>
      </c>
      <c r="AB135" s="19">
        <f t="shared" si="51"/>
        <v>84.535056754607496</v>
      </c>
      <c r="AC135" s="19">
        <f t="shared" si="52"/>
        <v>81.893336231026012</v>
      </c>
      <c r="AD135" s="19">
        <f t="shared" si="53"/>
        <v>84.535056754607496</v>
      </c>
      <c r="AE135" s="19">
        <f t="shared" si="54"/>
        <v>84.535056754607496</v>
      </c>
      <c r="AF135" s="19">
        <f t="shared" si="55"/>
        <v>84.535056754607496</v>
      </c>
      <c r="AG135" s="19">
        <f t="shared" si="56"/>
        <v>84.535056754607496</v>
      </c>
      <c r="AH135" s="19">
        <f t="shared" si="57"/>
        <v>87.176777278188979</v>
      </c>
      <c r="AI135" s="19">
        <f t="shared" si="58"/>
        <v>81.893336231026012</v>
      </c>
      <c r="AJ135" s="19">
        <f t="shared" si="59"/>
        <v>81.893336231026012</v>
      </c>
      <c r="AK135" s="19">
        <f t="shared" si="60"/>
        <v>84.535056754607496</v>
      </c>
      <c r="AL135" s="19">
        <f t="shared" si="61"/>
        <v>81.893336231026012</v>
      </c>
      <c r="AM135" s="19">
        <f t="shared" si="62"/>
        <v>84.535056754607496</v>
      </c>
      <c r="AN135" s="19">
        <f t="shared" si="63"/>
        <v>84.535056754607496</v>
      </c>
      <c r="AO135" s="19">
        <f t="shared" si="64"/>
        <v>84.535056754607496</v>
      </c>
      <c r="AP135" s="19">
        <f t="shared" si="65"/>
        <v>81.893336231026012</v>
      </c>
      <c r="AQ135" s="19">
        <f t="shared" si="66"/>
        <v>84.535056754607496</v>
      </c>
      <c r="AR135" s="19">
        <f t="shared" si="67"/>
        <v>84.535056754607496</v>
      </c>
      <c r="AS135" s="19">
        <f t="shared" si="68"/>
        <v>108.31054146684086</v>
      </c>
      <c r="AT135" s="19">
        <f t="shared" si="69"/>
        <v>108.31054146684086</v>
      </c>
      <c r="AU135" s="19">
        <f t="shared" si="70"/>
        <v>105.66882094325936</v>
      </c>
      <c r="AV135" s="19">
        <f t="shared" si="71"/>
        <v>108.31054146684086</v>
      </c>
      <c r="AW135" s="19">
        <f t="shared" si="72"/>
        <v>97.743659372514912</v>
      </c>
      <c r="AX135" s="18">
        <f>IFERROR(Z135/'Ar-Pa'!B135,0)</f>
        <v>14.718157202811126</v>
      </c>
      <c r="AY135" s="18">
        <f>IFERROR(AA135/'Ar-Pa'!C135,0)</f>
        <v>13.585991264133346</v>
      </c>
      <c r="AZ135" s="18">
        <f>IFERROR(AB135/'Ar-Pa'!D135,0)</f>
        <v>12.076436679229642</v>
      </c>
      <c r="BA135" s="18">
        <f>IFERROR(AC135/'Ar-Pa'!E135,0)</f>
        <v>11.699048033003717</v>
      </c>
      <c r="BB135" s="18">
        <f>IFERROR(AD135/'Ar-Pa'!F135,0)</f>
        <v>12.076436679229642</v>
      </c>
      <c r="BC135" s="18">
        <f>IFERROR(AE135/'Ar-Pa'!G135,0)</f>
        <v>12.076436679229642</v>
      </c>
      <c r="BD135" s="18">
        <f>IFERROR(AF135/'Ar-Pa'!H135,0)</f>
        <v>12.076436679229642</v>
      </c>
      <c r="BE135" s="18">
        <f>IFERROR(AG135/'Ar-Pa'!I135,0)</f>
        <v>12.076436679229642</v>
      </c>
      <c r="BF135" s="18">
        <f>IFERROR(AH135/'Ar-Pa'!J135,0)</f>
        <v>12.453825325455568</v>
      </c>
      <c r="BG135" s="18">
        <f>IFERROR(AI135/'Ar-Pa'!K135,0)</f>
        <v>11.699048033003717</v>
      </c>
      <c r="BH135" s="18">
        <f>IFERROR(AJ135/'Ar-Pa'!L135,0)</f>
        <v>11.699048033003717</v>
      </c>
      <c r="BI135" s="18">
        <f>IFERROR(AK135/'Ar-Pa'!M135,0)</f>
        <v>12.076436679229642</v>
      </c>
      <c r="BJ135" s="18">
        <f>IFERROR(AL135/'Ar-Pa'!N135,0)</f>
        <v>11.699048033003717</v>
      </c>
      <c r="BK135" s="18">
        <f>IFERROR(AM135/'Ar-Pa'!O135,0)</f>
        <v>12.076436679229642</v>
      </c>
      <c r="BL135" s="18">
        <f>IFERROR(AN135/'Ar-Pa'!P135,0)</f>
        <v>12.076436679229642</v>
      </c>
      <c r="BM135" s="18">
        <f>IFERROR(AO135/'Ar-Pa'!Q135,0)</f>
        <v>12.076436679229642</v>
      </c>
      <c r="BN135" s="18">
        <f>IFERROR(AP135/'Ar-Pa'!R135,0)</f>
        <v>11.699048033003717</v>
      </c>
      <c r="BO135" s="18">
        <f>IFERROR(AQ135/'Ar-Pa'!S135,0)</f>
        <v>12.076436679229642</v>
      </c>
      <c r="BP135" s="18">
        <f>IFERROR(AR135/'Ar-Pa'!T135,0)</f>
        <v>12.076436679229642</v>
      </c>
      <c r="BQ135" s="18">
        <f>IFERROR(AS135/'Ar-Pa'!U135,0)</f>
        <v>15.472934495262979</v>
      </c>
      <c r="BR135" s="18">
        <f>IFERROR(AT135/'Ar-Pa'!V135,0)</f>
        <v>15.472934495262979</v>
      </c>
      <c r="BS135" s="18">
        <f>IFERROR(AU135/'Ar-Pa'!W135,0)</f>
        <v>15.095545849037052</v>
      </c>
      <c r="BT135" s="18">
        <f>IFERROR(AV135/'Ar-Pa'!X135,0)</f>
        <v>15.472934495262979</v>
      </c>
      <c r="BU135" s="18">
        <f>IFERROR(AW135/'Ar-Pa'!Y135,0)</f>
        <v>13.963379910359274</v>
      </c>
    </row>
    <row r="136" spans="1:73">
      <c r="A136" s="15">
        <v>45061</v>
      </c>
      <c r="B136" s="441">
        <v>0.46</v>
      </c>
      <c r="C136" s="441">
        <v>0.42</v>
      </c>
      <c r="D136" s="441">
        <v>0.37</v>
      </c>
      <c r="E136" s="441">
        <v>0.36</v>
      </c>
      <c r="F136" s="441">
        <v>0.38</v>
      </c>
      <c r="G136" s="441">
        <v>0.38</v>
      </c>
      <c r="H136" s="441">
        <v>0.37</v>
      </c>
      <c r="I136" s="441">
        <v>0.38</v>
      </c>
      <c r="J136" s="441">
        <v>0.38</v>
      </c>
      <c r="K136" s="441">
        <v>0.36</v>
      </c>
      <c r="L136" s="441">
        <v>0.37</v>
      </c>
      <c r="M136" s="441">
        <v>0.37</v>
      </c>
      <c r="N136" s="441">
        <v>0.37</v>
      </c>
      <c r="O136" s="441">
        <v>0.38</v>
      </c>
      <c r="P136" s="441">
        <v>0.36</v>
      </c>
      <c r="Q136" s="441">
        <v>0.38</v>
      </c>
      <c r="R136" s="441">
        <v>0.37</v>
      </c>
      <c r="S136" s="441">
        <v>0.38</v>
      </c>
      <c r="T136" s="441">
        <v>0.37</v>
      </c>
      <c r="U136" s="441">
        <v>0.47</v>
      </c>
      <c r="V136" s="441">
        <v>0.48</v>
      </c>
      <c r="W136" s="441">
        <v>0.47</v>
      </c>
      <c r="X136" s="441">
        <v>0.48</v>
      </c>
      <c r="Y136" s="441">
        <v>0.44</v>
      </c>
      <c r="Z136" s="19">
        <f t="shared" si="49"/>
        <v>121.51914408474828</v>
      </c>
      <c r="AA136" s="19">
        <f t="shared" si="50"/>
        <v>110.95226199042234</v>
      </c>
      <c r="AB136" s="19">
        <f t="shared" si="51"/>
        <v>97.743659372514912</v>
      </c>
      <c r="AC136" s="19">
        <f t="shared" si="52"/>
        <v>95.101938848933429</v>
      </c>
      <c r="AD136" s="19">
        <f t="shared" si="53"/>
        <v>100.3853798960964</v>
      </c>
      <c r="AE136" s="19">
        <f t="shared" si="54"/>
        <v>100.3853798960964</v>
      </c>
      <c r="AF136" s="19">
        <f t="shared" si="55"/>
        <v>97.743659372514912</v>
      </c>
      <c r="AG136" s="19">
        <f t="shared" si="56"/>
        <v>100.3853798960964</v>
      </c>
      <c r="AH136" s="19">
        <f t="shared" si="57"/>
        <v>100.3853798960964</v>
      </c>
      <c r="AI136" s="19">
        <f t="shared" si="58"/>
        <v>95.101938848933429</v>
      </c>
      <c r="AJ136" s="19">
        <f t="shared" si="59"/>
        <v>97.743659372514912</v>
      </c>
      <c r="AK136" s="19">
        <f t="shared" si="60"/>
        <v>97.743659372514912</v>
      </c>
      <c r="AL136" s="19">
        <f t="shared" si="61"/>
        <v>97.743659372514912</v>
      </c>
      <c r="AM136" s="19">
        <f t="shared" si="62"/>
        <v>100.3853798960964</v>
      </c>
      <c r="AN136" s="19">
        <f t="shared" si="63"/>
        <v>95.101938848933429</v>
      </c>
      <c r="AO136" s="19">
        <f t="shared" si="64"/>
        <v>100.3853798960964</v>
      </c>
      <c r="AP136" s="19">
        <f t="shared" si="65"/>
        <v>97.743659372514912</v>
      </c>
      <c r="AQ136" s="19">
        <f t="shared" si="66"/>
        <v>100.3853798960964</v>
      </c>
      <c r="AR136" s="19">
        <f t="shared" si="67"/>
        <v>97.743659372514912</v>
      </c>
      <c r="AS136" s="19">
        <f t="shared" si="68"/>
        <v>124.16086460832976</v>
      </c>
      <c r="AT136" s="19">
        <f t="shared" si="69"/>
        <v>126.80258513191124</v>
      </c>
      <c r="AU136" s="19">
        <f t="shared" si="70"/>
        <v>124.16086460832976</v>
      </c>
      <c r="AV136" s="19">
        <f t="shared" si="71"/>
        <v>126.80258513191124</v>
      </c>
      <c r="AW136" s="19">
        <f t="shared" si="72"/>
        <v>116.23570303758531</v>
      </c>
      <c r="AX136" s="18">
        <f>IFERROR(Z136/'Ar-Pa'!B136,0)</f>
        <v>17.359877726392611</v>
      </c>
      <c r="AY136" s="18">
        <f>IFERROR(AA136/'Ar-Pa'!C136,0)</f>
        <v>15.850323141488905</v>
      </c>
      <c r="AZ136" s="18">
        <f>IFERROR(AB136/'Ar-Pa'!D136,0)</f>
        <v>13.963379910359274</v>
      </c>
      <c r="BA136" s="18">
        <f>IFERROR(AC136/'Ar-Pa'!E136,0)</f>
        <v>13.585991264133346</v>
      </c>
      <c r="BB136" s="18">
        <f>IFERROR(AD136/'Ar-Pa'!F136,0)</f>
        <v>14.3407685565852</v>
      </c>
      <c r="BC136" s="18">
        <f>IFERROR(AE136/'Ar-Pa'!G136,0)</f>
        <v>14.3407685565852</v>
      </c>
      <c r="BD136" s="18">
        <f>IFERROR(AF136/'Ar-Pa'!H136,0)</f>
        <v>13.963379910359274</v>
      </c>
      <c r="BE136" s="18">
        <f>IFERROR(AG136/'Ar-Pa'!I136,0)</f>
        <v>14.3407685565852</v>
      </c>
      <c r="BF136" s="18">
        <f>IFERROR(AH136/'Ar-Pa'!J136,0)</f>
        <v>14.3407685565852</v>
      </c>
      <c r="BG136" s="18">
        <f>IFERROR(AI136/'Ar-Pa'!K136,0)</f>
        <v>13.585991264133346</v>
      </c>
      <c r="BH136" s="18">
        <f>IFERROR(AJ136/'Ar-Pa'!L136,0)</f>
        <v>13.963379910359274</v>
      </c>
      <c r="BI136" s="18">
        <f>IFERROR(AK136/'Ar-Pa'!M136,0)</f>
        <v>12.217957421564364</v>
      </c>
      <c r="BJ136" s="18">
        <f>IFERROR(AL136/'Ar-Pa'!N136,0)</f>
        <v>13.963379910359274</v>
      </c>
      <c r="BK136" s="18">
        <f>IFERROR(AM136/'Ar-Pa'!O136,0)</f>
        <v>14.3407685565852</v>
      </c>
      <c r="BL136" s="18">
        <f>IFERROR(AN136/'Ar-Pa'!P136,0)</f>
        <v>13.585991264133346</v>
      </c>
      <c r="BM136" s="18">
        <f>IFERROR(AO136/'Ar-Pa'!Q136,0)</f>
        <v>12.548172487012049</v>
      </c>
      <c r="BN136" s="18">
        <f>IFERROR(AP136/'Ar-Pa'!R136,0)</f>
        <v>12.217957421564364</v>
      </c>
      <c r="BO136" s="18">
        <f>IFERROR(AQ136/'Ar-Pa'!S136,0)</f>
        <v>12.548172487012049</v>
      </c>
      <c r="BP136" s="18">
        <f>IFERROR(AR136/'Ar-Pa'!T136,0)</f>
        <v>12.217957421564364</v>
      </c>
      <c r="BQ136" s="18">
        <f>IFERROR(AS136/'Ar-Pa'!U136,0)</f>
        <v>17.737266372618539</v>
      </c>
      <c r="BR136" s="18">
        <f>IFERROR(AT136/'Ar-Pa'!V136,0)</f>
        <v>18.114655018844463</v>
      </c>
      <c r="BS136" s="18">
        <f>IFERROR(AU136/'Ar-Pa'!W136,0)</f>
        <v>15.52010807604122</v>
      </c>
      <c r="BT136" s="18">
        <f>IFERROR(AV136/'Ar-Pa'!X136,0)</f>
        <v>15.850323141488905</v>
      </c>
      <c r="BU136" s="18">
        <f>IFERROR(AW136/'Ar-Pa'!Y136,0)</f>
        <v>16.605100433940759</v>
      </c>
    </row>
    <row r="137" spans="1:73">
      <c r="A137" s="15">
        <v>45062</v>
      </c>
      <c r="B137" s="441">
        <v>0.42</v>
      </c>
      <c r="C137" s="441">
        <v>0.35</v>
      </c>
      <c r="D137" s="441">
        <v>0.33</v>
      </c>
      <c r="E137" s="441">
        <v>0.34</v>
      </c>
      <c r="F137" s="441">
        <v>0.34</v>
      </c>
      <c r="G137" s="441">
        <v>0.32</v>
      </c>
      <c r="H137" s="441">
        <v>0.34</v>
      </c>
      <c r="I137" s="441">
        <v>0.33</v>
      </c>
      <c r="J137" s="441">
        <v>0.39</v>
      </c>
      <c r="K137" s="441">
        <v>0.43</v>
      </c>
      <c r="L137" s="441">
        <v>0.42</v>
      </c>
      <c r="M137" s="441">
        <v>0.42</v>
      </c>
      <c r="N137" s="441">
        <v>0.43</v>
      </c>
      <c r="O137" s="441">
        <v>0.43</v>
      </c>
      <c r="P137" s="441">
        <v>0.42</v>
      </c>
      <c r="Q137" s="441">
        <v>0.43</v>
      </c>
      <c r="R137" s="441">
        <v>0.43</v>
      </c>
      <c r="S137" s="441">
        <v>0.42</v>
      </c>
      <c r="T137" s="441">
        <v>0.42</v>
      </c>
      <c r="U137" s="441">
        <v>0.43</v>
      </c>
      <c r="V137" s="441">
        <v>0.43</v>
      </c>
      <c r="W137" s="441">
        <v>0.43</v>
      </c>
      <c r="X137" s="441">
        <v>0.42</v>
      </c>
      <c r="Y137" s="441">
        <v>0.42</v>
      </c>
      <c r="Z137" s="19">
        <f t="shared" si="49"/>
        <v>110.95226199042234</v>
      </c>
      <c r="AA137" s="19">
        <f t="shared" si="50"/>
        <v>92.460218325351946</v>
      </c>
      <c r="AB137" s="19">
        <f t="shared" si="51"/>
        <v>87.176777278188979</v>
      </c>
      <c r="AC137" s="19">
        <f t="shared" si="52"/>
        <v>89.818497801770462</v>
      </c>
      <c r="AD137" s="19">
        <f t="shared" si="53"/>
        <v>89.818497801770462</v>
      </c>
      <c r="AE137" s="19">
        <f t="shared" si="54"/>
        <v>84.535056754607496</v>
      </c>
      <c r="AF137" s="19">
        <f t="shared" si="55"/>
        <v>89.818497801770462</v>
      </c>
      <c r="AG137" s="19">
        <f t="shared" si="56"/>
        <v>87.176777278188979</v>
      </c>
      <c r="AH137" s="19">
        <f t="shared" si="57"/>
        <v>103.02710041967788</v>
      </c>
      <c r="AI137" s="19">
        <f t="shared" si="58"/>
        <v>113.59398251400383</v>
      </c>
      <c r="AJ137" s="19">
        <f t="shared" si="59"/>
        <v>110.95226199042234</v>
      </c>
      <c r="AK137" s="19">
        <f t="shared" si="60"/>
        <v>110.95226199042234</v>
      </c>
      <c r="AL137" s="19">
        <f t="shared" si="61"/>
        <v>113.59398251400383</v>
      </c>
      <c r="AM137" s="19">
        <f t="shared" si="62"/>
        <v>113.59398251400383</v>
      </c>
      <c r="AN137" s="19">
        <f t="shared" si="63"/>
        <v>110.95226199042234</v>
      </c>
      <c r="AO137" s="19">
        <f t="shared" si="64"/>
        <v>113.59398251400383</v>
      </c>
      <c r="AP137" s="19">
        <f t="shared" si="65"/>
        <v>113.59398251400383</v>
      </c>
      <c r="AQ137" s="19">
        <f t="shared" si="66"/>
        <v>110.95226199042234</v>
      </c>
      <c r="AR137" s="19">
        <f t="shared" si="67"/>
        <v>110.95226199042234</v>
      </c>
      <c r="AS137" s="19">
        <f t="shared" si="68"/>
        <v>113.59398251400383</v>
      </c>
      <c r="AT137" s="19">
        <f t="shared" si="69"/>
        <v>113.59398251400383</v>
      </c>
      <c r="AU137" s="19">
        <f t="shared" si="70"/>
        <v>113.59398251400383</v>
      </c>
      <c r="AV137" s="19">
        <f t="shared" si="71"/>
        <v>110.95226199042234</v>
      </c>
      <c r="AW137" s="19">
        <f t="shared" si="72"/>
        <v>110.95226199042234</v>
      </c>
      <c r="AX137" s="18">
        <f>IFERROR(Z137/'Ar-Pa'!B137,0)</f>
        <v>15.850323141488905</v>
      </c>
      <c r="AY137" s="18">
        <f>IFERROR(AA137/'Ar-Pa'!C137,0)</f>
        <v>13.20860261790742</v>
      </c>
      <c r="AZ137" s="18">
        <f>IFERROR(AB137/'Ar-Pa'!D137,0)</f>
        <v>12.453825325455568</v>
      </c>
      <c r="BA137" s="18">
        <f>IFERROR(AC137/'Ar-Pa'!E137,0)</f>
        <v>12.831213971681494</v>
      </c>
      <c r="BB137" s="18">
        <f>IFERROR(AD137/'Ar-Pa'!F137,0)</f>
        <v>12.831213971681494</v>
      </c>
      <c r="BC137" s="18">
        <f>IFERROR(AE137/'Ar-Pa'!G137,0)</f>
        <v>12.076436679229642</v>
      </c>
      <c r="BD137" s="18">
        <f>IFERROR(AF137/'Ar-Pa'!H137,0)</f>
        <v>12.831213971681494</v>
      </c>
      <c r="BE137" s="18">
        <f>IFERROR(AG137/'Ar-Pa'!I137,0)</f>
        <v>12.453825325455568</v>
      </c>
      <c r="BF137" s="18">
        <f>IFERROR(AH137/'Ar-Pa'!J137,0)</f>
        <v>14.718157202811126</v>
      </c>
      <c r="BG137" s="18">
        <f>IFERROR(AI137/'Ar-Pa'!K137,0)</f>
        <v>16.227711787714831</v>
      </c>
      <c r="BH137" s="18">
        <f>IFERROR(AJ137/'Ar-Pa'!L137,0)</f>
        <v>15.850323141488905</v>
      </c>
      <c r="BI137" s="18">
        <f>IFERROR(AK137/'Ar-Pa'!M137,0)</f>
        <v>15.850323141488905</v>
      </c>
      <c r="BJ137" s="18">
        <f>IFERROR(AL137/'Ar-Pa'!N137,0)</f>
        <v>16.227711787714831</v>
      </c>
      <c r="BK137" s="18">
        <f>IFERROR(AM137/'Ar-Pa'!O137,0)</f>
        <v>16.227711787714831</v>
      </c>
      <c r="BL137" s="18">
        <f>IFERROR(AN137/'Ar-Pa'!P137,0)</f>
        <v>15.850323141488905</v>
      </c>
      <c r="BM137" s="18">
        <f>IFERROR(AO137/'Ar-Pa'!Q137,0)</f>
        <v>16.227711787714831</v>
      </c>
      <c r="BN137" s="18">
        <f>IFERROR(AP137/'Ar-Pa'!R137,0)</f>
        <v>16.227711787714831</v>
      </c>
      <c r="BO137" s="18">
        <f>IFERROR(AQ137/'Ar-Pa'!S137,0)</f>
        <v>15.850323141488905</v>
      </c>
      <c r="BP137" s="18">
        <f>IFERROR(AR137/'Ar-Pa'!T137,0)</f>
        <v>15.850323141488905</v>
      </c>
      <c r="BQ137" s="18">
        <f>IFERROR(AS137/'Ar-Pa'!U137,0)</f>
        <v>16.227711787714831</v>
      </c>
      <c r="BR137" s="18">
        <f>IFERROR(AT137/'Ar-Pa'!V137,0)</f>
        <v>16.227711787714831</v>
      </c>
      <c r="BS137" s="18">
        <f>IFERROR(AU137/'Ar-Pa'!W137,0)</f>
        <v>16.227711787714831</v>
      </c>
      <c r="BT137" s="18">
        <f>IFERROR(AV137/'Ar-Pa'!X137,0)</f>
        <v>15.850323141488905</v>
      </c>
      <c r="BU137" s="18">
        <f>IFERROR(AW137/'Ar-Pa'!Y137,0)</f>
        <v>15.850323141488905</v>
      </c>
    </row>
    <row r="138" spans="1:73">
      <c r="A138" s="15">
        <v>45063</v>
      </c>
      <c r="B138" s="441">
        <v>0.37</v>
      </c>
      <c r="C138" s="441">
        <v>0.37</v>
      </c>
      <c r="D138" s="441">
        <v>0.35</v>
      </c>
      <c r="E138" s="441">
        <v>0.41</v>
      </c>
      <c r="F138" s="441">
        <v>0.4</v>
      </c>
      <c r="G138" s="441">
        <v>0.31</v>
      </c>
      <c r="H138" s="441">
        <v>0.34</v>
      </c>
      <c r="I138" s="441">
        <v>0.32</v>
      </c>
      <c r="J138" s="441">
        <v>0.33</v>
      </c>
      <c r="K138" s="441">
        <v>0.4</v>
      </c>
      <c r="L138" s="441">
        <v>0.41</v>
      </c>
      <c r="M138" s="441">
        <v>0.43</v>
      </c>
      <c r="N138" s="441">
        <v>0.41</v>
      </c>
      <c r="O138" s="441">
        <v>0.42</v>
      </c>
      <c r="P138" s="441">
        <v>0.41</v>
      </c>
      <c r="Q138" s="441">
        <v>0.42</v>
      </c>
      <c r="R138" s="441">
        <v>0.41</v>
      </c>
      <c r="S138" s="441">
        <v>0.42</v>
      </c>
      <c r="T138" s="441">
        <v>0.41</v>
      </c>
      <c r="U138" s="441">
        <v>0.38</v>
      </c>
      <c r="V138" s="441">
        <v>0.36</v>
      </c>
      <c r="W138" s="441">
        <v>0.36</v>
      </c>
      <c r="X138" s="441">
        <v>0.4</v>
      </c>
      <c r="Y138" s="441">
        <v>0.32</v>
      </c>
      <c r="Z138" s="19">
        <f t="shared" si="49"/>
        <v>97.743659372514912</v>
      </c>
      <c r="AA138" s="19">
        <f t="shared" si="50"/>
        <v>97.743659372514912</v>
      </c>
      <c r="AB138" s="19">
        <f t="shared" si="51"/>
        <v>92.460218325351946</v>
      </c>
      <c r="AC138" s="19">
        <f t="shared" si="52"/>
        <v>108.31054146684086</v>
      </c>
      <c r="AD138" s="19">
        <f t="shared" si="53"/>
        <v>105.66882094325936</v>
      </c>
      <c r="AE138" s="19">
        <f t="shared" si="54"/>
        <v>81.893336231026012</v>
      </c>
      <c r="AF138" s="19">
        <f t="shared" si="55"/>
        <v>89.818497801770462</v>
      </c>
      <c r="AG138" s="19">
        <f t="shared" si="56"/>
        <v>84.535056754607496</v>
      </c>
      <c r="AH138" s="19">
        <f t="shared" si="57"/>
        <v>87.176777278188979</v>
      </c>
      <c r="AI138" s="19">
        <f t="shared" si="58"/>
        <v>105.66882094325936</v>
      </c>
      <c r="AJ138" s="19">
        <f t="shared" si="59"/>
        <v>108.31054146684086</v>
      </c>
      <c r="AK138" s="19">
        <f t="shared" si="60"/>
        <v>113.59398251400383</v>
      </c>
      <c r="AL138" s="19">
        <f t="shared" si="61"/>
        <v>108.31054146684086</v>
      </c>
      <c r="AM138" s="19">
        <f t="shared" si="62"/>
        <v>110.95226199042234</v>
      </c>
      <c r="AN138" s="19">
        <f t="shared" si="63"/>
        <v>108.31054146684086</v>
      </c>
      <c r="AO138" s="19">
        <f t="shared" si="64"/>
        <v>110.95226199042234</v>
      </c>
      <c r="AP138" s="19">
        <f t="shared" si="65"/>
        <v>108.31054146684086</v>
      </c>
      <c r="AQ138" s="19">
        <f t="shared" si="66"/>
        <v>110.95226199042234</v>
      </c>
      <c r="AR138" s="19">
        <f t="shared" si="67"/>
        <v>108.31054146684086</v>
      </c>
      <c r="AS138" s="19">
        <f t="shared" si="68"/>
        <v>100.3853798960964</v>
      </c>
      <c r="AT138" s="19">
        <f t="shared" si="69"/>
        <v>95.101938848933429</v>
      </c>
      <c r="AU138" s="19">
        <f t="shared" si="70"/>
        <v>95.101938848933429</v>
      </c>
      <c r="AV138" s="19">
        <f t="shared" si="71"/>
        <v>105.66882094325936</v>
      </c>
      <c r="AW138" s="19">
        <f t="shared" si="72"/>
        <v>84.535056754607496</v>
      </c>
      <c r="AX138" s="18">
        <f>IFERROR(Z138/'Ar-Pa'!B138,0)</f>
        <v>12.217957421564364</v>
      </c>
      <c r="AY138" s="18">
        <f>IFERROR(AA138/'Ar-Pa'!C138,0)</f>
        <v>13.963379910359274</v>
      </c>
      <c r="AZ138" s="18">
        <f>IFERROR(AB138/'Ar-Pa'!D138,0)</f>
        <v>13.20860261790742</v>
      </c>
      <c r="BA138" s="18">
        <f>IFERROR(AC138/'Ar-Pa'!E138,0)</f>
        <v>15.472934495262979</v>
      </c>
      <c r="BB138" s="18">
        <f>IFERROR(AD138/'Ar-Pa'!F138,0)</f>
        <v>15.095545849037052</v>
      </c>
      <c r="BC138" s="18">
        <f>IFERROR(AE138/'Ar-Pa'!G138,0)</f>
        <v>11.699048033003717</v>
      </c>
      <c r="BD138" s="18">
        <f>IFERROR(AF138/'Ar-Pa'!H138,0)</f>
        <v>12.831213971681494</v>
      </c>
      <c r="BE138" s="18">
        <f>IFERROR(AG138/'Ar-Pa'!I138,0)</f>
        <v>12.076436679229642</v>
      </c>
      <c r="BF138" s="18">
        <f>IFERROR(AH138/'Ar-Pa'!J138,0)</f>
        <v>12.453825325455568</v>
      </c>
      <c r="BG138" s="18">
        <f>IFERROR(AI138/'Ar-Pa'!K138,0)</f>
        <v>15.095545849037052</v>
      </c>
      <c r="BH138" s="18">
        <f>IFERROR(AJ138/'Ar-Pa'!L138,0)</f>
        <v>15.472934495262979</v>
      </c>
      <c r="BI138" s="18">
        <f>IFERROR(AK138/'Ar-Pa'!M138,0)</f>
        <v>16.227711787714831</v>
      </c>
      <c r="BJ138" s="18">
        <f>IFERROR(AL138/'Ar-Pa'!N138,0)</f>
        <v>15.472934495262979</v>
      </c>
      <c r="BK138" s="18">
        <f>IFERROR(AM138/'Ar-Pa'!O138,0)</f>
        <v>15.850323141488905</v>
      </c>
      <c r="BL138" s="18">
        <f>IFERROR(AN138/'Ar-Pa'!P138,0)</f>
        <v>15.472934495262979</v>
      </c>
      <c r="BM138" s="18">
        <f>IFERROR(AO138/'Ar-Pa'!Q138,0)</f>
        <v>15.850323141488905</v>
      </c>
      <c r="BN138" s="18">
        <f>IFERROR(AP138/'Ar-Pa'!R138,0)</f>
        <v>15.472934495262979</v>
      </c>
      <c r="BO138" s="18">
        <f>IFERROR(AQ138/'Ar-Pa'!S138,0)</f>
        <v>15.850323141488905</v>
      </c>
      <c r="BP138" s="18">
        <f>IFERROR(AR138/'Ar-Pa'!T138,0)</f>
        <v>15.472934495262979</v>
      </c>
      <c r="BQ138" s="18">
        <f>IFERROR(AS138/'Ar-Pa'!U138,0)</f>
        <v>12.548172487012049</v>
      </c>
      <c r="BR138" s="18">
        <f>IFERROR(AT138/'Ar-Pa'!V138,0)</f>
        <v>13.585991264133346</v>
      </c>
      <c r="BS138" s="18">
        <f>IFERROR(AU138/'Ar-Pa'!W138,0)</f>
        <v>13.585991264133346</v>
      </c>
      <c r="BT138" s="18">
        <f>IFERROR(AV138/'Ar-Pa'!X138,0)</f>
        <v>13.20860261790742</v>
      </c>
      <c r="BU138" s="18">
        <f>IFERROR(AW138/'Ar-Pa'!Y138,0)</f>
        <v>10.566882094325937</v>
      </c>
    </row>
    <row r="139" spans="1:73">
      <c r="A139" s="15">
        <v>45064</v>
      </c>
      <c r="B139" s="441">
        <v>0.36</v>
      </c>
      <c r="C139" s="441">
        <v>0.33</v>
      </c>
      <c r="D139" s="441">
        <v>0.35</v>
      </c>
      <c r="E139" s="441">
        <v>0.36</v>
      </c>
      <c r="F139" s="441">
        <v>0.36</v>
      </c>
      <c r="G139" s="441">
        <v>0.35</v>
      </c>
      <c r="H139" s="441">
        <v>0.35</v>
      </c>
      <c r="I139" s="441">
        <v>0.37</v>
      </c>
      <c r="J139" s="441">
        <v>0.35</v>
      </c>
      <c r="K139" s="441">
        <v>0.35</v>
      </c>
      <c r="L139" s="441">
        <v>0.35</v>
      </c>
      <c r="M139" s="441">
        <v>0.35</v>
      </c>
      <c r="N139" s="441">
        <v>0.35</v>
      </c>
      <c r="O139" s="441">
        <v>0.35</v>
      </c>
      <c r="P139" s="441">
        <v>0.46</v>
      </c>
      <c r="Q139" s="441">
        <v>0.41</v>
      </c>
      <c r="R139" s="441">
        <v>0.45</v>
      </c>
      <c r="S139" s="441">
        <v>0.36</v>
      </c>
      <c r="T139" s="441">
        <v>0.45</v>
      </c>
      <c r="U139" s="441">
        <v>0.4</v>
      </c>
      <c r="V139" s="441">
        <v>0.4</v>
      </c>
      <c r="W139" s="441">
        <v>0.43</v>
      </c>
      <c r="X139" s="441">
        <v>0.43</v>
      </c>
      <c r="Y139" s="441">
        <v>0.44</v>
      </c>
      <c r="Z139" s="19">
        <f t="shared" si="49"/>
        <v>95.101938848933429</v>
      </c>
      <c r="AA139" s="19">
        <f t="shared" si="50"/>
        <v>87.176777278188979</v>
      </c>
      <c r="AB139" s="19">
        <f t="shared" si="51"/>
        <v>92.460218325351946</v>
      </c>
      <c r="AC139" s="19">
        <f t="shared" si="52"/>
        <v>95.101938848933429</v>
      </c>
      <c r="AD139" s="19">
        <f t="shared" si="53"/>
        <v>95.101938848933429</v>
      </c>
      <c r="AE139" s="19">
        <f t="shared" si="54"/>
        <v>92.460218325351946</v>
      </c>
      <c r="AF139" s="19">
        <f t="shared" si="55"/>
        <v>92.460218325351946</v>
      </c>
      <c r="AG139" s="19">
        <f t="shared" si="56"/>
        <v>97.743659372514912</v>
      </c>
      <c r="AH139" s="19">
        <f t="shared" si="57"/>
        <v>92.460218325351946</v>
      </c>
      <c r="AI139" s="19">
        <f t="shared" si="58"/>
        <v>92.460218325351946</v>
      </c>
      <c r="AJ139" s="19">
        <f t="shared" si="59"/>
        <v>92.460218325351946</v>
      </c>
      <c r="AK139" s="19">
        <f t="shared" si="60"/>
        <v>92.460218325351946</v>
      </c>
      <c r="AL139" s="19">
        <f t="shared" si="61"/>
        <v>92.460218325351946</v>
      </c>
      <c r="AM139" s="19">
        <f t="shared" si="62"/>
        <v>92.460218325351946</v>
      </c>
      <c r="AN139" s="19">
        <f t="shared" si="63"/>
        <v>121.51914408474828</v>
      </c>
      <c r="AO139" s="19">
        <f t="shared" si="64"/>
        <v>108.31054146684086</v>
      </c>
      <c r="AP139" s="19">
        <f t="shared" si="65"/>
        <v>118.87742356116679</v>
      </c>
      <c r="AQ139" s="19">
        <f t="shared" si="66"/>
        <v>95.101938848933429</v>
      </c>
      <c r="AR139" s="19">
        <f t="shared" si="67"/>
        <v>118.87742356116679</v>
      </c>
      <c r="AS139" s="19">
        <f t="shared" si="68"/>
        <v>105.66882094325936</v>
      </c>
      <c r="AT139" s="19">
        <f t="shared" si="69"/>
        <v>105.66882094325936</v>
      </c>
      <c r="AU139" s="19">
        <f t="shared" si="70"/>
        <v>113.59398251400383</v>
      </c>
      <c r="AV139" s="19">
        <f t="shared" si="71"/>
        <v>113.59398251400383</v>
      </c>
      <c r="AW139" s="19">
        <f t="shared" si="72"/>
        <v>116.23570303758531</v>
      </c>
      <c r="AX139" s="18">
        <f>IFERROR(Z139/'Ar-Pa'!B139,0)</f>
        <v>11.887742356116679</v>
      </c>
      <c r="AY139" s="18">
        <f>IFERROR(AA139/'Ar-Pa'!C139,0)</f>
        <v>14.529462879698164</v>
      </c>
      <c r="AZ139" s="18">
        <f>IFERROR(AB139/'Ar-Pa'!D139,0)</f>
        <v>13.20860261790742</v>
      </c>
      <c r="BA139" s="18">
        <f>IFERROR(AC139/'Ar-Pa'!E139,0)</f>
        <v>13.585991264133346</v>
      </c>
      <c r="BB139" s="18">
        <f>IFERROR(AD139/'Ar-Pa'!F139,0)</f>
        <v>13.585991264133346</v>
      </c>
      <c r="BC139" s="18">
        <f>IFERROR(AE139/'Ar-Pa'!G139,0)</f>
        <v>13.20860261790742</v>
      </c>
      <c r="BD139" s="18">
        <f>IFERROR(AF139/'Ar-Pa'!H139,0)</f>
        <v>13.20860261790742</v>
      </c>
      <c r="BE139" s="18">
        <f>IFERROR(AG139/'Ar-Pa'!I139,0)</f>
        <v>13.963379910359274</v>
      </c>
      <c r="BF139" s="18">
        <f>IFERROR(AH139/'Ar-Pa'!J139,0)</f>
        <v>13.20860261790742</v>
      </c>
      <c r="BG139" s="18">
        <f>IFERROR(AI139/'Ar-Pa'!K139,0)</f>
        <v>13.20860261790742</v>
      </c>
      <c r="BH139" s="18">
        <f>IFERROR(AJ139/'Ar-Pa'!L139,0)</f>
        <v>13.20860261790742</v>
      </c>
      <c r="BI139" s="18">
        <f>IFERROR(AK139/'Ar-Pa'!M139,0)</f>
        <v>13.20860261790742</v>
      </c>
      <c r="BJ139" s="18">
        <f>IFERROR(AL139/'Ar-Pa'!N139,0)</f>
        <v>13.20860261790742</v>
      </c>
      <c r="BK139" s="18">
        <f>IFERROR(AM139/'Ar-Pa'!O139,0)</f>
        <v>13.20860261790742</v>
      </c>
      <c r="BL139" s="18">
        <f>IFERROR(AN139/'Ar-Pa'!P139,0)</f>
        <v>17.359877726392611</v>
      </c>
      <c r="BM139" s="18">
        <f>IFERROR(AO139/'Ar-Pa'!Q139,0)</f>
        <v>15.472934495262979</v>
      </c>
      <c r="BN139" s="18">
        <f>IFERROR(AP139/'Ar-Pa'!R139,0)</f>
        <v>16.982489080166683</v>
      </c>
      <c r="BO139" s="18">
        <f>IFERROR(AQ139/'Ar-Pa'!S139,0)</f>
        <v>13.585991264133346</v>
      </c>
      <c r="BP139" s="18">
        <f>IFERROR(AR139/'Ar-Pa'!T139,0)</f>
        <v>16.982489080166683</v>
      </c>
      <c r="BQ139" s="18">
        <f>IFERROR(AS139/'Ar-Pa'!U139,0)</f>
        <v>15.095545849037052</v>
      </c>
      <c r="BR139" s="18">
        <f>IFERROR(AT139/'Ar-Pa'!V139,0)</f>
        <v>15.095545849037052</v>
      </c>
      <c r="BS139" s="18">
        <f>IFERROR(AU139/'Ar-Pa'!W139,0)</f>
        <v>14.199247814250478</v>
      </c>
      <c r="BT139" s="18">
        <f>IFERROR(AV139/'Ar-Pa'!X139,0)</f>
        <v>14.199247814250478</v>
      </c>
      <c r="BU139" s="18">
        <f>IFERROR(AW139/'Ar-Pa'!Y139,0)</f>
        <v>16.605100433940759</v>
      </c>
    </row>
    <row r="140" spans="1:73">
      <c r="A140" s="15">
        <v>45065</v>
      </c>
      <c r="B140" s="441">
        <v>0.27</v>
      </c>
      <c r="C140" s="441">
        <v>0.27</v>
      </c>
      <c r="D140" s="441">
        <v>0.27</v>
      </c>
      <c r="E140" s="441">
        <v>0.26</v>
      </c>
      <c r="F140" s="441">
        <v>0.28000000000000003</v>
      </c>
      <c r="G140" s="441">
        <v>0.26</v>
      </c>
      <c r="H140" s="441">
        <v>0.26</v>
      </c>
      <c r="I140" s="441">
        <v>0.27</v>
      </c>
      <c r="J140" s="441">
        <v>0.26</v>
      </c>
      <c r="K140" s="441">
        <v>0.27</v>
      </c>
      <c r="L140" s="441">
        <v>0.26</v>
      </c>
      <c r="M140" s="441">
        <v>0.27</v>
      </c>
      <c r="N140" s="441">
        <v>0.27</v>
      </c>
      <c r="O140" s="441">
        <v>0.26</v>
      </c>
      <c r="P140" s="441">
        <v>0.27</v>
      </c>
      <c r="Q140" s="441">
        <v>0.26</v>
      </c>
      <c r="R140" s="441">
        <v>0.26</v>
      </c>
      <c r="S140" s="441">
        <v>0.27</v>
      </c>
      <c r="T140" s="441">
        <v>0.27</v>
      </c>
      <c r="U140" s="441">
        <v>0.31</v>
      </c>
      <c r="V140" s="441">
        <v>0.32</v>
      </c>
      <c r="W140" s="441">
        <v>0.28000000000000003</v>
      </c>
      <c r="X140" s="441">
        <v>0.34</v>
      </c>
      <c r="Y140" s="441">
        <v>0.33</v>
      </c>
      <c r="Z140" s="19">
        <f t="shared" si="49"/>
        <v>71.326454136700079</v>
      </c>
      <c r="AA140" s="19">
        <f t="shared" si="50"/>
        <v>71.326454136700079</v>
      </c>
      <c r="AB140" s="19">
        <f t="shared" si="51"/>
        <v>71.326454136700079</v>
      </c>
      <c r="AC140" s="19">
        <f t="shared" si="52"/>
        <v>68.684733613118595</v>
      </c>
      <c r="AD140" s="19">
        <f t="shared" si="53"/>
        <v>73.968174660281562</v>
      </c>
      <c r="AE140" s="19">
        <f t="shared" si="54"/>
        <v>68.684733613118595</v>
      </c>
      <c r="AF140" s="19">
        <f t="shared" si="55"/>
        <v>68.684733613118595</v>
      </c>
      <c r="AG140" s="19">
        <f t="shared" si="56"/>
        <v>71.326454136700079</v>
      </c>
      <c r="AH140" s="19">
        <f t="shared" si="57"/>
        <v>68.684733613118595</v>
      </c>
      <c r="AI140" s="19">
        <f t="shared" si="58"/>
        <v>71.326454136700079</v>
      </c>
      <c r="AJ140" s="19">
        <f t="shared" si="59"/>
        <v>68.684733613118595</v>
      </c>
      <c r="AK140" s="19">
        <f t="shared" si="60"/>
        <v>71.326454136700079</v>
      </c>
      <c r="AL140" s="19">
        <f t="shared" si="61"/>
        <v>71.326454136700079</v>
      </c>
      <c r="AM140" s="19">
        <f t="shared" si="62"/>
        <v>68.684733613118595</v>
      </c>
      <c r="AN140" s="19">
        <f t="shared" si="63"/>
        <v>71.326454136700079</v>
      </c>
      <c r="AO140" s="19">
        <f t="shared" si="64"/>
        <v>68.684733613118595</v>
      </c>
      <c r="AP140" s="19">
        <f t="shared" si="65"/>
        <v>68.684733613118595</v>
      </c>
      <c r="AQ140" s="19">
        <f t="shared" si="66"/>
        <v>71.326454136700079</v>
      </c>
      <c r="AR140" s="19">
        <f t="shared" si="67"/>
        <v>71.326454136700079</v>
      </c>
      <c r="AS140" s="19">
        <f t="shared" si="68"/>
        <v>81.893336231026012</v>
      </c>
      <c r="AT140" s="19">
        <f t="shared" si="69"/>
        <v>84.535056754607496</v>
      </c>
      <c r="AU140" s="19">
        <f t="shared" si="70"/>
        <v>73.968174660281562</v>
      </c>
      <c r="AV140" s="19">
        <f t="shared" si="71"/>
        <v>89.818497801770462</v>
      </c>
      <c r="AW140" s="19">
        <f t="shared" si="72"/>
        <v>87.176777278188979</v>
      </c>
      <c r="AX140" s="18">
        <f>IFERROR(Z140/'Ar-Pa'!B140,0)</f>
        <v>10.189493448100011</v>
      </c>
      <c r="AY140" s="18">
        <f>IFERROR(AA140/'Ar-Pa'!C140,0)</f>
        <v>10.189493448100011</v>
      </c>
      <c r="AZ140" s="18">
        <f>IFERROR(AB140/'Ar-Pa'!D140,0)</f>
        <v>10.189493448100011</v>
      </c>
      <c r="BA140" s="18">
        <f>IFERROR(AC140/'Ar-Pa'!E140,0)</f>
        <v>8.5855917016398244</v>
      </c>
      <c r="BB140" s="18">
        <f>IFERROR(AD140/'Ar-Pa'!F140,0)</f>
        <v>9.2460218325351953</v>
      </c>
      <c r="BC140" s="18">
        <f>IFERROR(AE140/'Ar-Pa'!G140,0)</f>
        <v>8.5855917016398244</v>
      </c>
      <c r="BD140" s="18">
        <f>IFERROR(AF140/'Ar-Pa'!H140,0)</f>
        <v>8.5855917016398244</v>
      </c>
      <c r="BE140" s="18">
        <f>IFERROR(AG140/'Ar-Pa'!I140,0)</f>
        <v>8.9158067670875099</v>
      </c>
      <c r="BF140" s="18">
        <f>IFERROR(AH140/'Ar-Pa'!J140,0)</f>
        <v>8.5855917016398244</v>
      </c>
      <c r="BG140" s="18">
        <f>IFERROR(AI140/'Ar-Pa'!K140,0)</f>
        <v>8.9158067670875099</v>
      </c>
      <c r="BH140" s="18">
        <f>IFERROR(AJ140/'Ar-Pa'!L140,0)</f>
        <v>8.5855917016398244</v>
      </c>
      <c r="BI140" s="18">
        <f>IFERROR(AK140/'Ar-Pa'!M140,0)</f>
        <v>8.9158067670875099</v>
      </c>
      <c r="BJ140" s="18">
        <f>IFERROR(AL140/'Ar-Pa'!N140,0)</f>
        <v>8.9158067670875099</v>
      </c>
      <c r="BK140" s="18">
        <f>IFERROR(AM140/'Ar-Pa'!O140,0)</f>
        <v>8.5855917016398244</v>
      </c>
      <c r="BL140" s="18">
        <f>IFERROR(AN140/'Ar-Pa'!P140,0)</f>
        <v>8.9158067670875099</v>
      </c>
      <c r="BM140" s="18">
        <f>IFERROR(AO140/'Ar-Pa'!Q140,0)</f>
        <v>8.5855917016398244</v>
      </c>
      <c r="BN140" s="18">
        <f>IFERROR(AP140/'Ar-Pa'!R140,0)</f>
        <v>8.5855917016398244</v>
      </c>
      <c r="BO140" s="18">
        <f>IFERROR(AQ140/'Ar-Pa'!S140,0)</f>
        <v>8.9158067670875099</v>
      </c>
      <c r="BP140" s="18">
        <f>IFERROR(AR140/'Ar-Pa'!T140,0)</f>
        <v>8.9158067670875099</v>
      </c>
      <c r="BQ140" s="18">
        <f>IFERROR(AS140/'Ar-Pa'!U140,0)</f>
        <v>10.236667028878252</v>
      </c>
      <c r="BR140" s="18">
        <f>IFERROR(AT140/'Ar-Pa'!V140,0)</f>
        <v>10.566882094325937</v>
      </c>
      <c r="BS140" s="18">
        <f>IFERROR(AU140/'Ar-Pa'!W140,0)</f>
        <v>9.2460218325351953</v>
      </c>
      <c r="BT140" s="18">
        <f>IFERROR(AV140/'Ar-Pa'!X140,0)</f>
        <v>11.227312225221308</v>
      </c>
      <c r="BU140" s="18">
        <f>IFERROR(AW140/'Ar-Pa'!Y140,0)</f>
        <v>10.897097159773622</v>
      </c>
    </row>
    <row r="141" spans="1:73">
      <c r="A141" s="15">
        <v>45066</v>
      </c>
      <c r="B141" s="441">
        <v>0.24</v>
      </c>
      <c r="C141" s="441">
        <v>0.24</v>
      </c>
      <c r="D141" s="441">
        <v>0.25</v>
      </c>
      <c r="E141" s="441">
        <v>0.24</v>
      </c>
      <c r="F141" s="441">
        <v>0.23</v>
      </c>
      <c r="G141" s="441">
        <v>0.24</v>
      </c>
      <c r="H141" s="441">
        <v>0.24</v>
      </c>
      <c r="I141" s="441">
        <v>0.24</v>
      </c>
      <c r="J141" s="441">
        <v>0.24</v>
      </c>
      <c r="K141" s="441">
        <v>-0.63</v>
      </c>
      <c r="L141" s="441">
        <v>1.1100000000000001</v>
      </c>
      <c r="M141" s="441">
        <v>0.24</v>
      </c>
      <c r="N141" s="441">
        <v>0.24</v>
      </c>
      <c r="O141" s="441">
        <v>0.24</v>
      </c>
      <c r="P141" s="441">
        <v>0.23</v>
      </c>
      <c r="Q141" s="441">
        <v>0.24</v>
      </c>
      <c r="R141" s="441">
        <v>0.31</v>
      </c>
      <c r="S141" s="441">
        <v>0.31</v>
      </c>
      <c r="T141" s="441">
        <v>0.3</v>
      </c>
      <c r="U141" s="441">
        <v>0.31</v>
      </c>
      <c r="V141" s="441">
        <v>0.31</v>
      </c>
      <c r="W141" s="441">
        <v>0.3</v>
      </c>
      <c r="X141" s="441">
        <v>0.31</v>
      </c>
      <c r="Y141" s="441">
        <v>0.31</v>
      </c>
      <c r="Z141" s="19">
        <f t="shared" si="49"/>
        <v>63.401292565955622</v>
      </c>
      <c r="AA141" s="19">
        <f t="shared" si="50"/>
        <v>63.401292565955622</v>
      </c>
      <c r="AB141" s="19">
        <f t="shared" si="51"/>
        <v>66.043013089537112</v>
      </c>
      <c r="AC141" s="19">
        <f t="shared" si="52"/>
        <v>63.401292565955622</v>
      </c>
      <c r="AD141" s="19">
        <f t="shared" si="53"/>
        <v>60.759572042374138</v>
      </c>
      <c r="AE141" s="19">
        <f t="shared" si="54"/>
        <v>63.401292565955622</v>
      </c>
      <c r="AF141" s="19">
        <f t="shared" si="55"/>
        <v>63.401292565955622</v>
      </c>
      <c r="AG141" s="19">
        <f t="shared" si="56"/>
        <v>63.401292565955622</v>
      </c>
      <c r="AH141" s="19">
        <f t="shared" si="57"/>
        <v>63.401292565955622</v>
      </c>
      <c r="AI141" s="19">
        <f t="shared" si="58"/>
        <v>-166.42839298563351</v>
      </c>
      <c r="AJ141" s="19">
        <f t="shared" si="59"/>
        <v>293.23097811754474</v>
      </c>
      <c r="AK141" s="19">
        <f t="shared" si="60"/>
        <v>63.401292565955622</v>
      </c>
      <c r="AL141" s="19">
        <f t="shared" si="61"/>
        <v>63.401292565955622</v>
      </c>
      <c r="AM141" s="19">
        <f t="shared" si="62"/>
        <v>63.401292565955622</v>
      </c>
      <c r="AN141" s="19">
        <f t="shared" si="63"/>
        <v>60.759572042374138</v>
      </c>
      <c r="AO141" s="19">
        <f t="shared" si="64"/>
        <v>63.401292565955622</v>
      </c>
      <c r="AP141" s="19">
        <f t="shared" si="65"/>
        <v>81.893336231026012</v>
      </c>
      <c r="AQ141" s="19">
        <f t="shared" si="66"/>
        <v>81.893336231026012</v>
      </c>
      <c r="AR141" s="19">
        <f t="shared" si="67"/>
        <v>79.251615707444529</v>
      </c>
      <c r="AS141" s="19">
        <f t="shared" si="68"/>
        <v>81.893336231026012</v>
      </c>
      <c r="AT141" s="19">
        <f t="shared" si="69"/>
        <v>81.893336231026012</v>
      </c>
      <c r="AU141" s="19">
        <f t="shared" si="70"/>
        <v>79.251615707444529</v>
      </c>
      <c r="AV141" s="19">
        <f t="shared" si="71"/>
        <v>81.893336231026012</v>
      </c>
      <c r="AW141" s="19">
        <f t="shared" si="72"/>
        <v>81.893336231026012</v>
      </c>
      <c r="AX141" s="18">
        <f>IFERROR(Z141/'Ar-Pa'!B141,0)</f>
        <v>7.9251615707444527</v>
      </c>
      <c r="AY141" s="18">
        <f>IFERROR(AA141/'Ar-Pa'!C141,0)</f>
        <v>7.9251615707444527</v>
      </c>
      <c r="AZ141" s="18">
        <f>IFERROR(AB141/'Ar-Pa'!D141,0)</f>
        <v>8.255376636192139</v>
      </c>
      <c r="BA141" s="18">
        <f>IFERROR(AC141/'Ar-Pa'!E141,0)</f>
        <v>7.0445880628839577</v>
      </c>
      <c r="BB141" s="18">
        <f>IFERROR(AD141/'Ar-Pa'!F141,0)</f>
        <v>8.6799388631963055</v>
      </c>
      <c r="BC141" s="18">
        <f>IFERROR(AE141/'Ar-Pa'!G141,0)</f>
        <v>9.0573275094222314</v>
      </c>
      <c r="BD141" s="18">
        <f>IFERROR(AF141/'Ar-Pa'!H141,0)</f>
        <v>7.9251615707444527</v>
      </c>
      <c r="BE141" s="18">
        <f>IFERROR(AG141/'Ar-Pa'!I141,0)</f>
        <v>7.9251615707444527</v>
      </c>
      <c r="BF141" s="18">
        <f>IFERROR(AH141/'Ar-Pa'!J141,0)</f>
        <v>7.9251615707444527</v>
      </c>
      <c r="BG141" s="18">
        <f>IFERROR(AI141/'Ar-Pa'!K141,0)</f>
        <v>-20.803549123204188</v>
      </c>
      <c r="BH141" s="18">
        <f>IFERROR(AJ141/'Ar-Pa'!L141,0)</f>
        <v>36.653872264693092</v>
      </c>
      <c r="BI141" s="18">
        <f>IFERROR(AK141/'Ar-Pa'!M141,0)</f>
        <v>7.9251615707444527</v>
      </c>
      <c r="BJ141" s="18">
        <f>IFERROR(AL141/'Ar-Pa'!N141,0)</f>
        <v>9.0573275094222314</v>
      </c>
      <c r="BK141" s="18">
        <f>IFERROR(AM141/'Ar-Pa'!O141,0)</f>
        <v>9.0573275094222314</v>
      </c>
      <c r="BL141" s="18">
        <f>IFERROR(AN141/'Ar-Pa'!P141,0)</f>
        <v>8.6799388631963055</v>
      </c>
      <c r="BM141" s="18">
        <f>IFERROR(AO141/'Ar-Pa'!Q141,0)</f>
        <v>7.9251615707444527</v>
      </c>
      <c r="BN141" s="18">
        <f>IFERROR(AP141/'Ar-Pa'!R141,0)</f>
        <v>10.236667028878252</v>
      </c>
      <c r="BO141" s="18">
        <f>IFERROR(AQ141/'Ar-Pa'!S141,0)</f>
        <v>10.236667028878252</v>
      </c>
      <c r="BP141" s="18">
        <f>IFERROR(AR141/'Ar-Pa'!T141,0)</f>
        <v>9.9064519634305661</v>
      </c>
      <c r="BQ141" s="18">
        <f>IFERROR(AS141/'Ar-Pa'!U141,0)</f>
        <v>10.236667028878252</v>
      </c>
      <c r="BR141" s="18">
        <f>IFERROR(AT141/'Ar-Pa'!V141,0)</f>
        <v>10.236667028878252</v>
      </c>
      <c r="BS141" s="18">
        <f>IFERROR(AU141/'Ar-Pa'!W141,0)</f>
        <v>9.9064519634305661</v>
      </c>
      <c r="BT141" s="18">
        <f>IFERROR(AV141/'Ar-Pa'!X141,0)</f>
        <v>10.236667028878252</v>
      </c>
      <c r="BU141" s="18">
        <f>IFERROR(AW141/'Ar-Pa'!Y141,0)</f>
        <v>10.236667028878252</v>
      </c>
    </row>
    <row r="142" spans="1:73">
      <c r="A142" s="15">
        <v>45067</v>
      </c>
      <c r="B142" s="441">
        <v>0.35</v>
      </c>
      <c r="C142" s="441">
        <v>0.28000000000000003</v>
      </c>
      <c r="D142" s="441">
        <v>0.26</v>
      </c>
      <c r="E142" s="441">
        <v>0.28000000000000003</v>
      </c>
      <c r="F142" s="441">
        <v>0.28000000000000003</v>
      </c>
      <c r="G142" s="441">
        <v>0.27</v>
      </c>
      <c r="H142" s="441">
        <v>0.28000000000000003</v>
      </c>
      <c r="I142" s="441">
        <v>0.27</v>
      </c>
      <c r="J142" s="441">
        <v>0.28000000000000003</v>
      </c>
      <c r="K142" s="441">
        <v>0.27</v>
      </c>
      <c r="L142" s="441">
        <v>0.28000000000000003</v>
      </c>
      <c r="M142" s="441">
        <v>0.27</v>
      </c>
      <c r="N142" s="441">
        <v>0.28000000000000003</v>
      </c>
      <c r="O142" s="441">
        <v>0.27</v>
      </c>
      <c r="P142" s="441">
        <v>0.28000000000000003</v>
      </c>
      <c r="Q142" s="441">
        <v>0.27</v>
      </c>
      <c r="R142" s="441">
        <v>0.28000000000000003</v>
      </c>
      <c r="S142" s="441">
        <v>0.27</v>
      </c>
      <c r="T142" s="441">
        <v>0.35</v>
      </c>
      <c r="U142" s="441">
        <v>0.35</v>
      </c>
      <c r="V142" s="441">
        <v>0.34</v>
      </c>
      <c r="W142" s="441">
        <v>0.28999999999999998</v>
      </c>
      <c r="X142" s="441">
        <v>0.28000000000000003</v>
      </c>
      <c r="Y142" s="441">
        <v>0.27</v>
      </c>
      <c r="Z142" s="19">
        <f t="shared" si="49"/>
        <v>92.460218325351946</v>
      </c>
      <c r="AA142" s="19">
        <f t="shared" si="50"/>
        <v>73.968174660281562</v>
      </c>
      <c r="AB142" s="19">
        <f t="shared" si="51"/>
        <v>68.684733613118595</v>
      </c>
      <c r="AC142" s="19">
        <f t="shared" si="52"/>
        <v>73.968174660281562</v>
      </c>
      <c r="AD142" s="19">
        <f t="shared" si="53"/>
        <v>73.968174660281562</v>
      </c>
      <c r="AE142" s="19">
        <f t="shared" si="54"/>
        <v>71.326454136700079</v>
      </c>
      <c r="AF142" s="19">
        <f t="shared" si="55"/>
        <v>73.968174660281562</v>
      </c>
      <c r="AG142" s="19">
        <f t="shared" si="56"/>
        <v>71.326454136700079</v>
      </c>
      <c r="AH142" s="19">
        <f t="shared" si="57"/>
        <v>73.968174660281562</v>
      </c>
      <c r="AI142" s="19">
        <f t="shared" si="58"/>
        <v>71.326454136700079</v>
      </c>
      <c r="AJ142" s="19">
        <f t="shared" si="59"/>
        <v>73.968174660281562</v>
      </c>
      <c r="AK142" s="19">
        <f t="shared" si="60"/>
        <v>71.326454136700079</v>
      </c>
      <c r="AL142" s="19">
        <f t="shared" si="61"/>
        <v>73.968174660281562</v>
      </c>
      <c r="AM142" s="19">
        <f t="shared" si="62"/>
        <v>71.326454136700079</v>
      </c>
      <c r="AN142" s="19">
        <f t="shared" si="63"/>
        <v>73.968174660281562</v>
      </c>
      <c r="AO142" s="19">
        <f t="shared" si="64"/>
        <v>71.326454136700079</v>
      </c>
      <c r="AP142" s="19">
        <f t="shared" si="65"/>
        <v>73.968174660281562</v>
      </c>
      <c r="AQ142" s="19">
        <f t="shared" si="66"/>
        <v>71.326454136700079</v>
      </c>
      <c r="AR142" s="19">
        <f t="shared" si="67"/>
        <v>92.460218325351946</v>
      </c>
      <c r="AS142" s="19">
        <f t="shared" si="68"/>
        <v>92.460218325351946</v>
      </c>
      <c r="AT142" s="19">
        <f t="shared" si="69"/>
        <v>89.818497801770462</v>
      </c>
      <c r="AU142" s="19">
        <f t="shared" si="70"/>
        <v>76.609895183863046</v>
      </c>
      <c r="AV142" s="19">
        <f t="shared" si="71"/>
        <v>73.968174660281562</v>
      </c>
      <c r="AW142" s="19">
        <f t="shared" si="72"/>
        <v>71.326454136700079</v>
      </c>
      <c r="AX142" s="18">
        <f>IFERROR(Z142/'Ar-Pa'!B142,0)</f>
        <v>11.557527290668993</v>
      </c>
      <c r="AY142" s="18">
        <f>IFERROR(AA142/'Ar-Pa'!C142,0)</f>
        <v>9.2460218325351953</v>
      </c>
      <c r="AZ142" s="18">
        <f>IFERROR(AB142/'Ar-Pa'!D142,0)</f>
        <v>8.5855917016398244</v>
      </c>
      <c r="BA142" s="18">
        <f>IFERROR(AC142/'Ar-Pa'!E142,0)</f>
        <v>9.2460218325351953</v>
      </c>
      <c r="BB142" s="18">
        <f>IFERROR(AD142/'Ar-Pa'!F142,0)</f>
        <v>9.2460218325351953</v>
      </c>
      <c r="BC142" s="18">
        <f>IFERROR(AE142/'Ar-Pa'!G142,0)</f>
        <v>8.9158067670875099</v>
      </c>
      <c r="BD142" s="18">
        <f>IFERROR(AF142/'Ar-Pa'!H142,0)</f>
        <v>9.2460218325351953</v>
      </c>
      <c r="BE142" s="18">
        <f>IFERROR(AG142/'Ar-Pa'!I142,0)</f>
        <v>8.9158067670875099</v>
      </c>
      <c r="BF142" s="18">
        <f>IFERROR(AH142/'Ar-Pa'!J142,0)</f>
        <v>9.2460218325351953</v>
      </c>
      <c r="BG142" s="18">
        <f>IFERROR(AI142/'Ar-Pa'!K142,0)</f>
        <v>8.9158067670875099</v>
      </c>
      <c r="BH142" s="18">
        <f>IFERROR(AJ142/'Ar-Pa'!L142,0)</f>
        <v>9.2460218325351953</v>
      </c>
      <c r="BI142" s="18">
        <f>IFERROR(AK142/'Ar-Pa'!M142,0)</f>
        <v>8.9158067670875099</v>
      </c>
      <c r="BJ142" s="18">
        <f>IFERROR(AL142/'Ar-Pa'!N142,0)</f>
        <v>9.2460218325351953</v>
      </c>
      <c r="BK142" s="18">
        <f>IFERROR(AM142/'Ar-Pa'!O142,0)</f>
        <v>8.9158067670875099</v>
      </c>
      <c r="BL142" s="18">
        <f>IFERROR(AN142/'Ar-Pa'!P142,0)</f>
        <v>9.2460218325351953</v>
      </c>
      <c r="BM142" s="18">
        <f>IFERROR(AO142/'Ar-Pa'!Q142,0)</f>
        <v>8.9158067670875099</v>
      </c>
      <c r="BN142" s="18">
        <f>IFERROR(AP142/'Ar-Pa'!R142,0)</f>
        <v>9.2460218325351953</v>
      </c>
      <c r="BO142" s="18">
        <f>IFERROR(AQ142/'Ar-Pa'!S142,0)</f>
        <v>8.9158067670875099</v>
      </c>
      <c r="BP142" s="18">
        <f>IFERROR(AR142/'Ar-Pa'!T142,0)</f>
        <v>11.557527290668993</v>
      </c>
      <c r="BQ142" s="18">
        <f>IFERROR(AS142/'Ar-Pa'!U142,0)</f>
        <v>11.557527290668993</v>
      </c>
      <c r="BR142" s="18">
        <f>IFERROR(AT142/'Ar-Pa'!V142,0)</f>
        <v>11.227312225221308</v>
      </c>
      <c r="BS142" s="18">
        <f>IFERROR(AU142/'Ar-Pa'!W142,0)</f>
        <v>9.5762368979828807</v>
      </c>
      <c r="BT142" s="18">
        <f>IFERROR(AV142/'Ar-Pa'!X142,0)</f>
        <v>9.2460218325351953</v>
      </c>
      <c r="BU142" s="18">
        <f>IFERROR(AW142/'Ar-Pa'!Y142,0)</f>
        <v>8.9158067670875099</v>
      </c>
    </row>
    <row r="143" spans="1:73">
      <c r="A143" s="15">
        <v>45068</v>
      </c>
      <c r="B143" s="441">
        <v>0.25</v>
      </c>
      <c r="C143" s="441">
        <v>0.25</v>
      </c>
      <c r="D143" s="441">
        <v>0.25</v>
      </c>
      <c r="E143" s="441">
        <v>0.25</v>
      </c>
      <c r="F143" s="441">
        <v>0.25</v>
      </c>
      <c r="G143" s="441">
        <v>0.25</v>
      </c>
      <c r="H143" s="441">
        <v>0.25</v>
      </c>
      <c r="I143" s="441">
        <v>0.25</v>
      </c>
      <c r="J143" s="441">
        <v>0.24</v>
      </c>
      <c r="K143" s="441">
        <v>0.25</v>
      </c>
      <c r="L143" s="441">
        <v>0.25</v>
      </c>
      <c r="M143" s="441">
        <v>0.24</v>
      </c>
      <c r="N143" s="441">
        <v>0.25</v>
      </c>
      <c r="O143" s="441">
        <v>0.24</v>
      </c>
      <c r="P143" s="441">
        <v>0.25</v>
      </c>
      <c r="Q143" s="441">
        <v>0.25</v>
      </c>
      <c r="R143" s="441">
        <v>0.25</v>
      </c>
      <c r="S143" s="441">
        <v>0.25</v>
      </c>
      <c r="T143" s="441">
        <v>0.25</v>
      </c>
      <c r="U143" s="441">
        <v>0.24</v>
      </c>
      <c r="V143" s="441">
        <v>0.32</v>
      </c>
      <c r="W143" s="441">
        <v>0.32</v>
      </c>
      <c r="X143" s="441">
        <v>0.32</v>
      </c>
      <c r="Y143" s="441">
        <v>0.31</v>
      </c>
      <c r="Z143" s="19">
        <f t="shared" si="49"/>
        <v>66.043013089537112</v>
      </c>
      <c r="AA143" s="19">
        <f t="shared" si="50"/>
        <v>66.043013089537112</v>
      </c>
      <c r="AB143" s="19">
        <f t="shared" si="51"/>
        <v>66.043013089537112</v>
      </c>
      <c r="AC143" s="19">
        <f t="shared" si="52"/>
        <v>66.043013089537112</v>
      </c>
      <c r="AD143" s="19">
        <f t="shared" si="53"/>
        <v>66.043013089537112</v>
      </c>
      <c r="AE143" s="19">
        <f t="shared" si="54"/>
        <v>66.043013089537112</v>
      </c>
      <c r="AF143" s="19">
        <f t="shared" si="55"/>
        <v>66.043013089537112</v>
      </c>
      <c r="AG143" s="19">
        <f t="shared" si="56"/>
        <v>66.043013089537112</v>
      </c>
      <c r="AH143" s="19">
        <f t="shared" si="57"/>
        <v>63.401292565955622</v>
      </c>
      <c r="AI143" s="19">
        <f t="shared" si="58"/>
        <v>66.043013089537112</v>
      </c>
      <c r="AJ143" s="19">
        <f t="shared" si="59"/>
        <v>66.043013089537112</v>
      </c>
      <c r="AK143" s="19">
        <f t="shared" si="60"/>
        <v>63.401292565955622</v>
      </c>
      <c r="AL143" s="19">
        <f t="shared" si="61"/>
        <v>66.043013089537112</v>
      </c>
      <c r="AM143" s="19">
        <f t="shared" si="62"/>
        <v>63.401292565955622</v>
      </c>
      <c r="AN143" s="19">
        <f t="shared" si="63"/>
        <v>66.043013089537112</v>
      </c>
      <c r="AO143" s="19">
        <f t="shared" si="64"/>
        <v>66.043013089537112</v>
      </c>
      <c r="AP143" s="19">
        <f t="shared" si="65"/>
        <v>66.043013089537112</v>
      </c>
      <c r="AQ143" s="19">
        <f t="shared" si="66"/>
        <v>66.043013089537112</v>
      </c>
      <c r="AR143" s="19">
        <f t="shared" si="67"/>
        <v>66.043013089537112</v>
      </c>
      <c r="AS143" s="19">
        <f t="shared" si="68"/>
        <v>63.401292565955622</v>
      </c>
      <c r="AT143" s="19">
        <f t="shared" si="69"/>
        <v>84.535056754607496</v>
      </c>
      <c r="AU143" s="19">
        <f t="shared" si="70"/>
        <v>84.535056754607496</v>
      </c>
      <c r="AV143" s="19">
        <f t="shared" si="71"/>
        <v>84.535056754607496</v>
      </c>
      <c r="AW143" s="19">
        <f t="shared" si="72"/>
        <v>81.893336231026012</v>
      </c>
      <c r="AX143" s="18">
        <f>IFERROR(Z143/'Ar-Pa'!B143,0)</f>
        <v>8.255376636192139</v>
      </c>
      <c r="AY143" s="18">
        <f>IFERROR(AA143/'Ar-Pa'!C143,0)</f>
        <v>8.255376636192139</v>
      </c>
      <c r="AZ143" s="18">
        <f>IFERROR(AB143/'Ar-Pa'!D143,0)</f>
        <v>8.255376636192139</v>
      </c>
      <c r="BA143" s="18">
        <f>IFERROR(AC143/'Ar-Pa'!E143,0)</f>
        <v>8.255376636192139</v>
      </c>
      <c r="BB143" s="18">
        <f>IFERROR(AD143/'Ar-Pa'!F143,0)</f>
        <v>8.255376636192139</v>
      </c>
      <c r="BC143" s="18">
        <f>IFERROR(AE143/'Ar-Pa'!G143,0)</f>
        <v>8.255376636192139</v>
      </c>
      <c r="BD143" s="18">
        <f>IFERROR(AF143/'Ar-Pa'!H143,0)</f>
        <v>8.255376636192139</v>
      </c>
      <c r="BE143" s="18">
        <f>IFERROR(AG143/'Ar-Pa'!I143,0)</f>
        <v>8.255376636192139</v>
      </c>
      <c r="BF143" s="18">
        <f>IFERROR(AH143/'Ar-Pa'!J143,0)</f>
        <v>7.9251615707444527</v>
      </c>
      <c r="BG143" s="18">
        <f>IFERROR(AI143/'Ar-Pa'!K143,0)</f>
        <v>8.255376636192139</v>
      </c>
      <c r="BH143" s="18">
        <f>IFERROR(AJ143/'Ar-Pa'!L143,0)</f>
        <v>8.255376636192139</v>
      </c>
      <c r="BI143" s="18">
        <f>IFERROR(AK143/'Ar-Pa'!M143,0)</f>
        <v>7.9251615707444527</v>
      </c>
      <c r="BJ143" s="18">
        <f>IFERROR(AL143/'Ar-Pa'!N143,0)</f>
        <v>8.255376636192139</v>
      </c>
      <c r="BK143" s="18">
        <f>IFERROR(AM143/'Ar-Pa'!O143,0)</f>
        <v>7.9251615707444527</v>
      </c>
      <c r="BL143" s="18">
        <f>IFERROR(AN143/'Ar-Pa'!P143,0)</f>
        <v>8.255376636192139</v>
      </c>
      <c r="BM143" s="18">
        <f>IFERROR(AO143/'Ar-Pa'!Q143,0)</f>
        <v>8.255376636192139</v>
      </c>
      <c r="BN143" s="18">
        <f>IFERROR(AP143/'Ar-Pa'!R143,0)</f>
        <v>8.255376636192139</v>
      </c>
      <c r="BO143" s="18">
        <f>IFERROR(AQ143/'Ar-Pa'!S143,0)</f>
        <v>8.255376636192139</v>
      </c>
      <c r="BP143" s="18">
        <f>IFERROR(AR143/'Ar-Pa'!T143,0)</f>
        <v>8.255376636192139</v>
      </c>
      <c r="BQ143" s="18">
        <f>IFERROR(AS143/'Ar-Pa'!U143,0)</f>
        <v>7.9251615707444527</v>
      </c>
      <c r="BR143" s="18">
        <f>IFERROR(AT143/'Ar-Pa'!V143,0)</f>
        <v>10.566882094325937</v>
      </c>
      <c r="BS143" s="18">
        <f>IFERROR(AU143/'Ar-Pa'!W143,0)</f>
        <v>10.566882094325937</v>
      </c>
      <c r="BT143" s="18">
        <f>IFERROR(AV143/'Ar-Pa'!X143,0)</f>
        <v>10.566882094325937</v>
      </c>
      <c r="BU143" s="18">
        <f>IFERROR(AW143/'Ar-Pa'!Y143,0)</f>
        <v>10.236667028878252</v>
      </c>
    </row>
    <row r="144" spans="1:73">
      <c r="A144" s="15">
        <v>45069</v>
      </c>
      <c r="B144" s="441">
        <v>0.24</v>
      </c>
      <c r="C144" s="441">
        <v>0.25</v>
      </c>
      <c r="D144" s="441">
        <v>0.24</v>
      </c>
      <c r="E144" s="441">
        <v>0.25</v>
      </c>
      <c r="F144" s="441">
        <v>0.25</v>
      </c>
      <c r="G144" s="441">
        <v>0.24</v>
      </c>
      <c r="H144" s="441">
        <v>0.24</v>
      </c>
      <c r="I144" s="441">
        <v>0.24</v>
      </c>
      <c r="J144" s="441">
        <v>0.24</v>
      </c>
      <c r="K144" s="441">
        <v>0.24</v>
      </c>
      <c r="L144" s="441">
        <v>0.24</v>
      </c>
      <c r="M144" s="441">
        <v>0.24</v>
      </c>
      <c r="N144" s="441">
        <v>0.24</v>
      </c>
      <c r="O144" s="441">
        <v>0.25</v>
      </c>
      <c r="P144" s="441">
        <v>0.24</v>
      </c>
      <c r="Q144" s="441">
        <v>0.27</v>
      </c>
      <c r="R144" s="441">
        <v>0.31</v>
      </c>
      <c r="S144" s="441">
        <v>0.31</v>
      </c>
      <c r="T144" s="441">
        <v>0.31</v>
      </c>
      <c r="U144" s="441">
        <v>0.31</v>
      </c>
      <c r="V144" s="441">
        <v>0.31</v>
      </c>
      <c r="W144" s="441">
        <v>0.31</v>
      </c>
      <c r="X144" s="441">
        <v>0.3</v>
      </c>
      <c r="Y144" s="441">
        <v>0.3</v>
      </c>
      <c r="Z144" s="19">
        <f t="shared" si="49"/>
        <v>63.401292565955622</v>
      </c>
      <c r="AA144" s="19">
        <f t="shared" si="50"/>
        <v>66.043013089537112</v>
      </c>
      <c r="AB144" s="19">
        <f t="shared" si="51"/>
        <v>63.401292565955622</v>
      </c>
      <c r="AC144" s="19">
        <f t="shared" si="52"/>
        <v>66.043013089537112</v>
      </c>
      <c r="AD144" s="19">
        <f t="shared" si="53"/>
        <v>66.043013089537112</v>
      </c>
      <c r="AE144" s="19">
        <f t="shared" si="54"/>
        <v>63.401292565955622</v>
      </c>
      <c r="AF144" s="19">
        <f t="shared" si="55"/>
        <v>63.401292565955622</v>
      </c>
      <c r="AG144" s="19">
        <f t="shared" si="56"/>
        <v>63.401292565955622</v>
      </c>
      <c r="AH144" s="19">
        <f t="shared" si="57"/>
        <v>63.401292565955622</v>
      </c>
      <c r="AI144" s="19">
        <f t="shared" si="58"/>
        <v>63.401292565955622</v>
      </c>
      <c r="AJ144" s="19">
        <f t="shared" si="59"/>
        <v>63.401292565955622</v>
      </c>
      <c r="AK144" s="19">
        <f t="shared" si="60"/>
        <v>63.401292565955622</v>
      </c>
      <c r="AL144" s="19">
        <f t="shared" si="61"/>
        <v>63.401292565955622</v>
      </c>
      <c r="AM144" s="19">
        <f t="shared" si="62"/>
        <v>66.043013089537112</v>
      </c>
      <c r="AN144" s="19">
        <f t="shared" si="63"/>
        <v>63.401292565955622</v>
      </c>
      <c r="AO144" s="19">
        <f t="shared" si="64"/>
        <v>71.326454136700079</v>
      </c>
      <c r="AP144" s="19">
        <f t="shared" si="65"/>
        <v>81.893336231026012</v>
      </c>
      <c r="AQ144" s="19">
        <f t="shared" si="66"/>
        <v>81.893336231026012</v>
      </c>
      <c r="AR144" s="19">
        <f t="shared" si="67"/>
        <v>81.893336231026012</v>
      </c>
      <c r="AS144" s="19">
        <f t="shared" si="68"/>
        <v>81.893336231026012</v>
      </c>
      <c r="AT144" s="19">
        <f t="shared" si="69"/>
        <v>81.893336231026012</v>
      </c>
      <c r="AU144" s="19">
        <f t="shared" si="70"/>
        <v>81.893336231026012</v>
      </c>
      <c r="AV144" s="19">
        <f t="shared" si="71"/>
        <v>79.251615707444529</v>
      </c>
      <c r="AW144" s="19">
        <f t="shared" si="72"/>
        <v>79.251615707444529</v>
      </c>
      <c r="AX144" s="18">
        <f>IFERROR(Z144/'Ar-Pa'!B144,0)</f>
        <v>7.9251615707444527</v>
      </c>
      <c r="AY144" s="18">
        <f>IFERROR(AA144/'Ar-Pa'!C144,0)</f>
        <v>8.255376636192139</v>
      </c>
      <c r="AZ144" s="18">
        <f>IFERROR(AB144/'Ar-Pa'!D144,0)</f>
        <v>7.9251615707444527</v>
      </c>
      <c r="BA144" s="18">
        <f>IFERROR(AC144/'Ar-Pa'!E144,0)</f>
        <v>8.255376636192139</v>
      </c>
      <c r="BB144" s="18">
        <f>IFERROR(AD144/'Ar-Pa'!F144,0)</f>
        <v>8.255376636192139</v>
      </c>
      <c r="BC144" s="18">
        <f>IFERROR(AE144/'Ar-Pa'!G144,0)</f>
        <v>7.9251615707444527</v>
      </c>
      <c r="BD144" s="18">
        <f>IFERROR(AF144/'Ar-Pa'!H144,0)</f>
        <v>9.0573275094222314</v>
      </c>
      <c r="BE144" s="18">
        <f>IFERROR(AG144/'Ar-Pa'!I144,0)</f>
        <v>9.0573275094222314</v>
      </c>
      <c r="BF144" s="18">
        <f>IFERROR(AH144/'Ar-Pa'!J144,0)</f>
        <v>7.9251615707444527</v>
      </c>
      <c r="BG144" s="18">
        <f>IFERROR(AI144/'Ar-Pa'!K144,0)</f>
        <v>7.9251615707444527</v>
      </c>
      <c r="BH144" s="18">
        <f>IFERROR(AJ144/'Ar-Pa'!L144,0)</f>
        <v>7.9251615707444527</v>
      </c>
      <c r="BI144" s="18">
        <f>IFERROR(AK144/'Ar-Pa'!M144,0)</f>
        <v>7.9251615707444527</v>
      </c>
      <c r="BJ144" s="18">
        <f>IFERROR(AL144/'Ar-Pa'!N144,0)</f>
        <v>7.9251615707444527</v>
      </c>
      <c r="BK144" s="18">
        <f>IFERROR(AM144/'Ar-Pa'!O144,0)</f>
        <v>8.255376636192139</v>
      </c>
      <c r="BL144" s="18">
        <f>IFERROR(AN144/'Ar-Pa'!P144,0)</f>
        <v>7.9251615707444527</v>
      </c>
      <c r="BM144" s="18">
        <f>IFERROR(AO144/'Ar-Pa'!Q144,0)</f>
        <v>8.9158067670875099</v>
      </c>
      <c r="BN144" s="18">
        <f>IFERROR(AP144/'Ar-Pa'!R144,0)</f>
        <v>10.236667028878252</v>
      </c>
      <c r="BO144" s="18">
        <f>IFERROR(AQ144/'Ar-Pa'!S144,0)</f>
        <v>10.236667028878252</v>
      </c>
      <c r="BP144" s="18">
        <f>IFERROR(AR144/'Ar-Pa'!T144,0)</f>
        <v>10.236667028878252</v>
      </c>
      <c r="BQ144" s="18">
        <f>IFERROR(AS144/'Ar-Pa'!U144,0)</f>
        <v>10.236667028878252</v>
      </c>
      <c r="BR144" s="18">
        <f>IFERROR(AT144/'Ar-Pa'!V144,0)</f>
        <v>10.236667028878252</v>
      </c>
      <c r="BS144" s="18">
        <f>IFERROR(AU144/'Ar-Pa'!W144,0)</f>
        <v>10.236667028878252</v>
      </c>
      <c r="BT144" s="18">
        <f>IFERROR(AV144/'Ar-Pa'!X144,0)</f>
        <v>9.9064519634305661</v>
      </c>
      <c r="BU144" s="18">
        <f>IFERROR(AW144/'Ar-Pa'!Y144,0)</f>
        <v>9.9064519634305661</v>
      </c>
    </row>
    <row r="145" spans="1:73">
      <c r="A145" s="15">
        <v>45070</v>
      </c>
      <c r="B145" s="441">
        <v>0.28999999999999998</v>
      </c>
      <c r="C145" s="441">
        <v>0.26</v>
      </c>
      <c r="D145" s="441">
        <v>0.27</v>
      </c>
      <c r="E145" s="441">
        <v>0.27</v>
      </c>
      <c r="F145" s="441">
        <v>0.26</v>
      </c>
      <c r="G145" s="441">
        <v>0.26</v>
      </c>
      <c r="H145" s="441">
        <v>0.26</v>
      </c>
      <c r="I145" s="441">
        <v>0.26</v>
      </c>
      <c r="J145" s="441">
        <v>0.26</v>
      </c>
      <c r="K145" s="441">
        <v>0.26</v>
      </c>
      <c r="L145" s="441">
        <v>0.26</v>
      </c>
      <c r="M145" s="441">
        <v>0.26</v>
      </c>
      <c r="N145" s="441">
        <v>0.26</v>
      </c>
      <c r="O145" s="441">
        <v>0.26</v>
      </c>
      <c r="P145" s="441">
        <v>0.26</v>
      </c>
      <c r="Q145" s="441">
        <v>0.26</v>
      </c>
      <c r="R145" s="441">
        <v>0.26</v>
      </c>
      <c r="S145" s="441">
        <v>0.26</v>
      </c>
      <c r="T145" s="441">
        <v>0.26</v>
      </c>
      <c r="U145" s="441">
        <v>0.32</v>
      </c>
      <c r="V145" s="441">
        <v>0.32</v>
      </c>
      <c r="W145" s="441">
        <v>0.28999999999999998</v>
      </c>
      <c r="X145" s="441">
        <v>0.26</v>
      </c>
      <c r="Y145" s="441">
        <v>0.27</v>
      </c>
      <c r="Z145" s="19">
        <f t="shared" si="49"/>
        <v>76.609895183863046</v>
      </c>
      <c r="AA145" s="19">
        <f t="shared" si="50"/>
        <v>68.684733613118595</v>
      </c>
      <c r="AB145" s="19">
        <f t="shared" si="51"/>
        <v>71.326454136700079</v>
      </c>
      <c r="AC145" s="19">
        <f t="shared" si="52"/>
        <v>71.326454136700079</v>
      </c>
      <c r="AD145" s="19">
        <f t="shared" si="53"/>
        <v>68.684733613118595</v>
      </c>
      <c r="AE145" s="19">
        <f t="shared" si="54"/>
        <v>68.684733613118595</v>
      </c>
      <c r="AF145" s="19">
        <f t="shared" si="55"/>
        <v>68.684733613118595</v>
      </c>
      <c r="AG145" s="19">
        <f t="shared" si="56"/>
        <v>68.684733613118595</v>
      </c>
      <c r="AH145" s="19">
        <f t="shared" si="57"/>
        <v>68.684733613118595</v>
      </c>
      <c r="AI145" s="19">
        <f t="shared" si="58"/>
        <v>68.684733613118595</v>
      </c>
      <c r="AJ145" s="19">
        <f t="shared" si="59"/>
        <v>68.684733613118595</v>
      </c>
      <c r="AK145" s="19">
        <f t="shared" si="60"/>
        <v>68.684733613118595</v>
      </c>
      <c r="AL145" s="19">
        <f t="shared" si="61"/>
        <v>68.684733613118595</v>
      </c>
      <c r="AM145" s="19">
        <f t="shared" si="62"/>
        <v>68.684733613118595</v>
      </c>
      <c r="AN145" s="19">
        <f t="shared" si="63"/>
        <v>68.684733613118595</v>
      </c>
      <c r="AO145" s="19">
        <f t="shared" si="64"/>
        <v>68.684733613118595</v>
      </c>
      <c r="AP145" s="19">
        <f t="shared" si="65"/>
        <v>68.684733613118595</v>
      </c>
      <c r="AQ145" s="19">
        <f t="shared" si="66"/>
        <v>68.684733613118595</v>
      </c>
      <c r="AR145" s="19">
        <f t="shared" si="67"/>
        <v>68.684733613118595</v>
      </c>
      <c r="AS145" s="19">
        <f t="shared" si="68"/>
        <v>84.535056754607496</v>
      </c>
      <c r="AT145" s="19">
        <f t="shared" si="69"/>
        <v>84.535056754607496</v>
      </c>
      <c r="AU145" s="19">
        <f t="shared" si="70"/>
        <v>76.609895183863046</v>
      </c>
      <c r="AV145" s="19">
        <f t="shared" si="71"/>
        <v>68.684733613118595</v>
      </c>
      <c r="AW145" s="19">
        <f t="shared" si="72"/>
        <v>71.326454136700079</v>
      </c>
      <c r="AX145" s="18">
        <f>IFERROR(Z145/'Ar-Pa'!B145,0)</f>
        <v>9.5762368979828807</v>
      </c>
      <c r="AY145" s="18">
        <f>IFERROR(AA145/'Ar-Pa'!C145,0)</f>
        <v>8.5855917016398244</v>
      </c>
      <c r="AZ145" s="18">
        <f>IFERROR(AB145/'Ar-Pa'!D145,0)</f>
        <v>8.9158067670875099</v>
      </c>
      <c r="BA145" s="18">
        <f>IFERROR(AC145/'Ar-Pa'!E145,0)</f>
        <v>8.9158067670875099</v>
      </c>
      <c r="BB145" s="18">
        <f>IFERROR(AD145/'Ar-Pa'!F145,0)</f>
        <v>8.5855917016398244</v>
      </c>
      <c r="BC145" s="18">
        <f>IFERROR(AE145/'Ar-Pa'!G145,0)</f>
        <v>8.5855917016398244</v>
      </c>
      <c r="BD145" s="18">
        <f>IFERROR(AF145/'Ar-Pa'!H145,0)</f>
        <v>8.5855917016398244</v>
      </c>
      <c r="BE145" s="18">
        <f>IFERROR(AG145/'Ar-Pa'!I145,0)</f>
        <v>8.5855917016398244</v>
      </c>
      <c r="BF145" s="18">
        <f>IFERROR(AH145/'Ar-Pa'!J145,0)</f>
        <v>8.5855917016398244</v>
      </c>
      <c r="BG145" s="18">
        <f>IFERROR(AI145/'Ar-Pa'!K145,0)</f>
        <v>8.5855917016398244</v>
      </c>
      <c r="BH145" s="18">
        <f>IFERROR(AJ145/'Ar-Pa'!L145,0)</f>
        <v>8.5855917016398244</v>
      </c>
      <c r="BI145" s="18">
        <f>IFERROR(AK145/'Ar-Pa'!M145,0)</f>
        <v>8.5855917016398244</v>
      </c>
      <c r="BJ145" s="18">
        <f>IFERROR(AL145/'Ar-Pa'!N145,0)</f>
        <v>8.5855917016398244</v>
      </c>
      <c r="BK145" s="18">
        <f>IFERROR(AM145/'Ar-Pa'!O145,0)</f>
        <v>8.5855917016398244</v>
      </c>
      <c r="BL145" s="18">
        <f>IFERROR(AN145/'Ar-Pa'!P145,0)</f>
        <v>8.5855917016398244</v>
      </c>
      <c r="BM145" s="18">
        <f>IFERROR(AO145/'Ar-Pa'!Q145,0)</f>
        <v>8.5855917016398244</v>
      </c>
      <c r="BN145" s="18">
        <f>IFERROR(AP145/'Ar-Pa'!R145,0)</f>
        <v>8.5855917016398244</v>
      </c>
      <c r="BO145" s="18">
        <f>IFERROR(AQ145/'Ar-Pa'!S145,0)</f>
        <v>8.5855917016398244</v>
      </c>
      <c r="BP145" s="18">
        <f>IFERROR(AR145/'Ar-Pa'!T145,0)</f>
        <v>8.5855917016398244</v>
      </c>
      <c r="BQ145" s="18">
        <f>IFERROR(AS145/'Ar-Pa'!U145,0)</f>
        <v>10.566882094325937</v>
      </c>
      <c r="BR145" s="18">
        <f>IFERROR(AT145/'Ar-Pa'!V145,0)</f>
        <v>10.566882094325937</v>
      </c>
      <c r="BS145" s="18">
        <f>IFERROR(AU145/'Ar-Pa'!W145,0)</f>
        <v>9.5762368979828807</v>
      </c>
      <c r="BT145" s="18">
        <f>IFERROR(AV145/'Ar-Pa'!X145,0)</f>
        <v>8.5855917016398244</v>
      </c>
      <c r="BU145" s="18">
        <f>IFERROR(AW145/'Ar-Pa'!Y145,0)</f>
        <v>8.9158067670875099</v>
      </c>
    </row>
    <row r="146" spans="1:73">
      <c r="A146" s="15">
        <v>45071</v>
      </c>
      <c r="B146" s="441">
        <v>0.24</v>
      </c>
      <c r="C146" s="441">
        <v>0.24</v>
      </c>
      <c r="D146" s="441">
        <v>0.25</v>
      </c>
      <c r="E146" s="441">
        <v>0.25</v>
      </c>
      <c r="F146" s="441">
        <v>0.24</v>
      </c>
      <c r="G146" s="441">
        <v>0.25</v>
      </c>
      <c r="H146" s="441">
        <v>0.24</v>
      </c>
      <c r="I146" s="441">
        <v>0.25</v>
      </c>
      <c r="J146" s="441">
        <v>0.24</v>
      </c>
      <c r="K146" s="441">
        <v>0.25</v>
      </c>
      <c r="L146" s="441">
        <v>0.26</v>
      </c>
      <c r="M146" s="441">
        <v>0.25</v>
      </c>
      <c r="N146" s="441">
        <v>0.26</v>
      </c>
      <c r="O146" s="441">
        <v>0.24</v>
      </c>
      <c r="P146" s="441">
        <v>0.32</v>
      </c>
      <c r="Q146" s="441">
        <v>0.32</v>
      </c>
      <c r="R146" s="441">
        <v>0.26</v>
      </c>
      <c r="S146" s="441">
        <v>0.24</v>
      </c>
      <c r="T146" s="441">
        <v>0.32</v>
      </c>
      <c r="U146" s="441">
        <v>0.33</v>
      </c>
      <c r="V146" s="441">
        <v>0.31</v>
      </c>
      <c r="W146" s="441">
        <v>0.32</v>
      </c>
      <c r="X146" s="441">
        <v>0.32</v>
      </c>
      <c r="Y146" s="441">
        <v>0.25</v>
      </c>
      <c r="Z146" s="19">
        <f t="shared" si="49"/>
        <v>63.401292565955622</v>
      </c>
      <c r="AA146" s="19">
        <f t="shared" si="50"/>
        <v>63.401292565955622</v>
      </c>
      <c r="AB146" s="19">
        <f t="shared" si="51"/>
        <v>66.043013089537112</v>
      </c>
      <c r="AC146" s="19">
        <f t="shared" si="52"/>
        <v>66.043013089537112</v>
      </c>
      <c r="AD146" s="19">
        <f t="shared" si="53"/>
        <v>63.401292565955622</v>
      </c>
      <c r="AE146" s="19">
        <f t="shared" si="54"/>
        <v>66.043013089537112</v>
      </c>
      <c r="AF146" s="19">
        <f t="shared" si="55"/>
        <v>63.401292565955622</v>
      </c>
      <c r="AG146" s="19">
        <f t="shared" si="56"/>
        <v>66.043013089537112</v>
      </c>
      <c r="AH146" s="19">
        <f t="shared" si="57"/>
        <v>63.401292565955622</v>
      </c>
      <c r="AI146" s="19">
        <f t="shared" si="58"/>
        <v>66.043013089537112</v>
      </c>
      <c r="AJ146" s="19">
        <f t="shared" si="59"/>
        <v>68.684733613118595</v>
      </c>
      <c r="AK146" s="19">
        <f t="shared" si="60"/>
        <v>66.043013089537112</v>
      </c>
      <c r="AL146" s="19">
        <f t="shared" si="61"/>
        <v>68.684733613118595</v>
      </c>
      <c r="AM146" s="19">
        <f t="shared" si="62"/>
        <v>63.401292565955622</v>
      </c>
      <c r="AN146" s="19">
        <f t="shared" si="63"/>
        <v>84.535056754607496</v>
      </c>
      <c r="AO146" s="19">
        <f t="shared" si="64"/>
        <v>84.535056754607496</v>
      </c>
      <c r="AP146" s="19">
        <f t="shared" si="65"/>
        <v>68.684733613118595</v>
      </c>
      <c r="AQ146" s="19">
        <f t="shared" si="66"/>
        <v>63.401292565955622</v>
      </c>
      <c r="AR146" s="19">
        <f t="shared" si="67"/>
        <v>84.535056754607496</v>
      </c>
      <c r="AS146" s="19">
        <f t="shared" si="68"/>
        <v>87.176777278188979</v>
      </c>
      <c r="AT146" s="19">
        <f t="shared" si="69"/>
        <v>81.893336231026012</v>
      </c>
      <c r="AU146" s="19">
        <f t="shared" si="70"/>
        <v>84.535056754607496</v>
      </c>
      <c r="AV146" s="19">
        <f t="shared" si="71"/>
        <v>84.535056754607496</v>
      </c>
      <c r="AW146" s="19">
        <f t="shared" si="72"/>
        <v>66.043013089537112</v>
      </c>
      <c r="AX146" s="18">
        <f>IFERROR(Z146/'Ar-Pa'!B146,0)</f>
        <v>7.9251615707444527</v>
      </c>
      <c r="AY146" s="18">
        <f>IFERROR(AA146/'Ar-Pa'!C146,0)</f>
        <v>7.9251615707444527</v>
      </c>
      <c r="AZ146" s="18">
        <f>IFERROR(AB146/'Ar-Pa'!D146,0)</f>
        <v>8.255376636192139</v>
      </c>
      <c r="BA146" s="18">
        <f>IFERROR(AC146/'Ar-Pa'!E146,0)</f>
        <v>8.255376636192139</v>
      </c>
      <c r="BB146" s="18">
        <f>IFERROR(AD146/'Ar-Pa'!F146,0)</f>
        <v>7.9251615707444527</v>
      </c>
      <c r="BC146" s="18">
        <f>IFERROR(AE146/'Ar-Pa'!G146,0)</f>
        <v>8.255376636192139</v>
      </c>
      <c r="BD146" s="18">
        <f>IFERROR(AF146/'Ar-Pa'!H146,0)</f>
        <v>9.0573275094222314</v>
      </c>
      <c r="BE146" s="18">
        <f>IFERROR(AG146/'Ar-Pa'!I146,0)</f>
        <v>9.4347161556481591</v>
      </c>
      <c r="BF146" s="18">
        <f>IFERROR(AH146/'Ar-Pa'!J146,0)</f>
        <v>9.0573275094222314</v>
      </c>
      <c r="BG146" s="18">
        <f>IFERROR(AI146/'Ar-Pa'!K146,0)</f>
        <v>9.4347161556481591</v>
      </c>
      <c r="BH146" s="18">
        <f>IFERROR(AJ146/'Ar-Pa'!L146,0)</f>
        <v>9.8121048018740851</v>
      </c>
      <c r="BI146" s="18">
        <f>IFERROR(AK146/'Ar-Pa'!M146,0)</f>
        <v>9.4347161556481591</v>
      </c>
      <c r="BJ146" s="18">
        <f>IFERROR(AL146/'Ar-Pa'!N146,0)</f>
        <v>9.8121048018740851</v>
      </c>
      <c r="BK146" s="18">
        <f>IFERROR(AM146/'Ar-Pa'!O146,0)</f>
        <v>9.0573275094222314</v>
      </c>
      <c r="BL146" s="18">
        <f>IFERROR(AN146/'Ar-Pa'!P146,0)</f>
        <v>12.076436679229642</v>
      </c>
      <c r="BM146" s="18">
        <f>IFERROR(AO146/'Ar-Pa'!Q146,0)</f>
        <v>12.076436679229642</v>
      </c>
      <c r="BN146" s="18">
        <f>IFERROR(AP146/'Ar-Pa'!R146,0)</f>
        <v>9.8121048018740851</v>
      </c>
      <c r="BO146" s="18">
        <f>IFERROR(AQ146/'Ar-Pa'!S146,0)</f>
        <v>9.0573275094222314</v>
      </c>
      <c r="BP146" s="18">
        <f>IFERROR(AR146/'Ar-Pa'!T146,0)</f>
        <v>12.076436679229642</v>
      </c>
      <c r="BQ146" s="18">
        <f>IFERROR(AS146/'Ar-Pa'!U146,0)</f>
        <v>12.453825325455568</v>
      </c>
      <c r="BR146" s="18">
        <f>IFERROR(AT146/'Ar-Pa'!V146,0)</f>
        <v>11.699048033003717</v>
      </c>
      <c r="BS146" s="18">
        <f>IFERROR(AU146/'Ar-Pa'!W146,0)</f>
        <v>12.076436679229642</v>
      </c>
      <c r="BT146" s="18">
        <f>IFERROR(AV146/'Ar-Pa'!X146,0)</f>
        <v>12.076436679229642</v>
      </c>
      <c r="BU146" s="18">
        <f>IFERROR(AW146/'Ar-Pa'!Y146,0)</f>
        <v>9.4347161556481591</v>
      </c>
    </row>
    <row r="147" spans="1:73">
      <c r="A147" s="15">
        <v>45072</v>
      </c>
      <c r="B147" s="441">
        <v>0.28000000000000003</v>
      </c>
      <c r="C147" s="441">
        <v>0.28999999999999998</v>
      </c>
      <c r="D147" s="441">
        <v>0.27</v>
      </c>
      <c r="E147" s="441">
        <v>0.28000000000000003</v>
      </c>
      <c r="F147" s="441">
        <v>0.28000000000000003</v>
      </c>
      <c r="G147" s="441">
        <v>0.28000000000000003</v>
      </c>
      <c r="H147" s="441">
        <v>0.3</v>
      </c>
      <c r="I147" s="441">
        <v>0.28999999999999998</v>
      </c>
      <c r="J147" s="441">
        <v>0.28999999999999998</v>
      </c>
      <c r="K147" s="441">
        <v>0.28000000000000003</v>
      </c>
      <c r="L147" s="441">
        <v>0.28999999999999998</v>
      </c>
      <c r="M147" s="441">
        <v>0.28999999999999998</v>
      </c>
      <c r="N147" s="441">
        <v>0.28999999999999998</v>
      </c>
      <c r="O147" s="441">
        <v>0.28000000000000003</v>
      </c>
      <c r="P147" s="441">
        <v>0.28999999999999998</v>
      </c>
      <c r="Q147" s="441">
        <v>0.28999999999999998</v>
      </c>
      <c r="R147" s="441">
        <v>0.3</v>
      </c>
      <c r="S147" s="441">
        <v>0.28999999999999998</v>
      </c>
      <c r="T147" s="441">
        <v>0.36</v>
      </c>
      <c r="U147" s="441">
        <v>0.37</v>
      </c>
      <c r="V147" s="441">
        <v>0.37</v>
      </c>
      <c r="W147" s="441">
        <v>0.3</v>
      </c>
      <c r="X147" s="441">
        <v>0.28999999999999998</v>
      </c>
      <c r="Y147" s="441">
        <v>0.28000000000000003</v>
      </c>
      <c r="Z147" s="19">
        <f t="shared" si="49"/>
        <v>73.968174660281562</v>
      </c>
      <c r="AA147" s="19">
        <f t="shared" si="50"/>
        <v>76.609895183863046</v>
      </c>
      <c r="AB147" s="19">
        <f t="shared" si="51"/>
        <v>71.326454136700079</v>
      </c>
      <c r="AC147" s="19">
        <f t="shared" si="52"/>
        <v>73.968174660281562</v>
      </c>
      <c r="AD147" s="19">
        <f t="shared" si="53"/>
        <v>73.968174660281562</v>
      </c>
      <c r="AE147" s="19">
        <f t="shared" si="54"/>
        <v>73.968174660281562</v>
      </c>
      <c r="AF147" s="19">
        <f t="shared" si="55"/>
        <v>79.251615707444529</v>
      </c>
      <c r="AG147" s="19">
        <f t="shared" si="56"/>
        <v>76.609895183863046</v>
      </c>
      <c r="AH147" s="19">
        <f t="shared" si="57"/>
        <v>76.609895183863046</v>
      </c>
      <c r="AI147" s="19">
        <f t="shared" si="58"/>
        <v>73.968174660281562</v>
      </c>
      <c r="AJ147" s="19">
        <f t="shared" si="59"/>
        <v>76.609895183863046</v>
      </c>
      <c r="AK147" s="19">
        <f t="shared" si="60"/>
        <v>76.609895183863046</v>
      </c>
      <c r="AL147" s="19">
        <f t="shared" si="61"/>
        <v>76.609895183863046</v>
      </c>
      <c r="AM147" s="19">
        <f t="shared" si="62"/>
        <v>73.968174660281562</v>
      </c>
      <c r="AN147" s="19">
        <f t="shared" si="63"/>
        <v>76.609895183863046</v>
      </c>
      <c r="AO147" s="19">
        <f t="shared" si="64"/>
        <v>76.609895183863046</v>
      </c>
      <c r="AP147" s="19">
        <f t="shared" si="65"/>
        <v>79.251615707444529</v>
      </c>
      <c r="AQ147" s="19">
        <f t="shared" si="66"/>
        <v>76.609895183863046</v>
      </c>
      <c r="AR147" s="19">
        <f t="shared" si="67"/>
        <v>95.101938848933429</v>
      </c>
      <c r="AS147" s="19">
        <f t="shared" si="68"/>
        <v>97.743659372514912</v>
      </c>
      <c r="AT147" s="19">
        <f t="shared" si="69"/>
        <v>97.743659372514912</v>
      </c>
      <c r="AU147" s="19">
        <f t="shared" si="70"/>
        <v>79.251615707444529</v>
      </c>
      <c r="AV147" s="19">
        <f t="shared" si="71"/>
        <v>76.609895183863046</v>
      </c>
      <c r="AW147" s="19">
        <f t="shared" si="72"/>
        <v>73.968174660281562</v>
      </c>
      <c r="AX147" s="18">
        <f>IFERROR(Z147/'Ar-Pa'!B147,0)</f>
        <v>10.566882094325937</v>
      </c>
      <c r="AY147" s="18">
        <f>IFERROR(AA147/'Ar-Pa'!C147,0)</f>
        <v>10.944270740551863</v>
      </c>
      <c r="AZ147" s="18">
        <f>IFERROR(AB147/'Ar-Pa'!D147,0)</f>
        <v>10.189493448100011</v>
      </c>
      <c r="BA147" s="18">
        <f>IFERROR(AC147/'Ar-Pa'!E147,0)</f>
        <v>10.566882094325937</v>
      </c>
      <c r="BB147" s="18">
        <f>IFERROR(AD147/'Ar-Pa'!F147,0)</f>
        <v>10.566882094325937</v>
      </c>
      <c r="BC147" s="18">
        <f>IFERROR(AE147/'Ar-Pa'!G147,0)</f>
        <v>10.566882094325937</v>
      </c>
      <c r="BD147" s="18">
        <f>IFERROR(AF147/'Ar-Pa'!H147,0)</f>
        <v>13.208602617907422</v>
      </c>
      <c r="BE147" s="18">
        <f>IFERROR(AG147/'Ar-Pa'!I147,0)</f>
        <v>10.944270740551863</v>
      </c>
      <c r="BF147" s="18">
        <f>IFERROR(AH147/'Ar-Pa'!J147,0)</f>
        <v>10.944270740551863</v>
      </c>
      <c r="BG147" s="18">
        <f>IFERROR(AI147/'Ar-Pa'!K147,0)</f>
        <v>10.566882094325937</v>
      </c>
      <c r="BH147" s="18">
        <f>IFERROR(AJ147/'Ar-Pa'!L147,0)</f>
        <v>10.944270740551863</v>
      </c>
      <c r="BI147" s="18">
        <f>IFERROR(AK147/'Ar-Pa'!M147,0)</f>
        <v>10.944270740551863</v>
      </c>
      <c r="BJ147" s="18">
        <f>IFERROR(AL147/'Ar-Pa'!N147,0)</f>
        <v>10.944270740551863</v>
      </c>
      <c r="BK147" s="18">
        <f>IFERROR(AM147/'Ar-Pa'!O147,0)</f>
        <v>10.566882094325937</v>
      </c>
      <c r="BL147" s="18">
        <f>IFERROR(AN147/'Ar-Pa'!P147,0)</f>
        <v>10.944270740551863</v>
      </c>
      <c r="BM147" s="18">
        <f>IFERROR(AO147/'Ar-Pa'!Q147,0)</f>
        <v>10.944270740551863</v>
      </c>
      <c r="BN147" s="18">
        <f>IFERROR(AP147/'Ar-Pa'!R147,0)</f>
        <v>11.321659386777791</v>
      </c>
      <c r="BO147" s="18">
        <f>IFERROR(AQ147/'Ar-Pa'!S147,0)</f>
        <v>10.944270740551863</v>
      </c>
      <c r="BP147" s="18">
        <f>IFERROR(AR147/'Ar-Pa'!T147,0)</f>
        <v>13.585991264133346</v>
      </c>
      <c r="BQ147" s="18">
        <f>IFERROR(AS147/'Ar-Pa'!U147,0)</f>
        <v>13.963379910359274</v>
      </c>
      <c r="BR147" s="18">
        <f>IFERROR(AT147/'Ar-Pa'!V147,0)</f>
        <v>13.963379910359274</v>
      </c>
      <c r="BS147" s="18">
        <f>IFERROR(AU147/'Ar-Pa'!W147,0)</f>
        <v>11.321659386777791</v>
      </c>
      <c r="BT147" s="18">
        <f>IFERROR(AV147/'Ar-Pa'!X147,0)</f>
        <v>10.944270740551863</v>
      </c>
      <c r="BU147" s="18">
        <f>IFERROR(AW147/'Ar-Pa'!Y147,0)</f>
        <v>10.566882094325937</v>
      </c>
    </row>
    <row r="148" spans="1:73">
      <c r="A148" s="15">
        <v>45073</v>
      </c>
      <c r="B148" s="441">
        <v>0.25</v>
      </c>
      <c r="C148" s="441">
        <v>0.25</v>
      </c>
      <c r="D148" s="441">
        <v>0.25</v>
      </c>
      <c r="E148" s="441">
        <v>0.24</v>
      </c>
      <c r="F148" s="441">
        <v>0.25</v>
      </c>
      <c r="G148" s="441">
        <v>0.25</v>
      </c>
      <c r="H148" s="441">
        <v>0.25</v>
      </c>
      <c r="I148" s="441">
        <v>0.25</v>
      </c>
      <c r="J148" s="441">
        <v>0.24</v>
      </c>
      <c r="K148" s="441">
        <v>0.25</v>
      </c>
      <c r="L148" s="441">
        <v>0.25</v>
      </c>
      <c r="M148" s="441">
        <v>0.25</v>
      </c>
      <c r="N148" s="441">
        <v>0.24</v>
      </c>
      <c r="O148" s="441">
        <v>0.25</v>
      </c>
      <c r="P148" s="441">
        <v>0.25</v>
      </c>
      <c r="Q148" s="441">
        <v>0.25</v>
      </c>
      <c r="R148" s="441">
        <v>0.24</v>
      </c>
      <c r="S148" s="441">
        <v>0.25</v>
      </c>
      <c r="T148" s="441">
        <v>0.25</v>
      </c>
      <c r="U148" s="441">
        <v>0.31</v>
      </c>
      <c r="V148" s="441">
        <v>0.31</v>
      </c>
      <c r="W148" s="441">
        <v>0.26</v>
      </c>
      <c r="X148" s="441">
        <v>0.25</v>
      </c>
      <c r="Y148" s="441">
        <v>0.25</v>
      </c>
      <c r="Z148" s="19">
        <f t="shared" si="49"/>
        <v>66.043013089537112</v>
      </c>
      <c r="AA148" s="19">
        <f t="shared" si="50"/>
        <v>66.043013089537112</v>
      </c>
      <c r="AB148" s="19">
        <f t="shared" si="51"/>
        <v>66.043013089537112</v>
      </c>
      <c r="AC148" s="19">
        <f t="shared" si="52"/>
        <v>63.401292565955622</v>
      </c>
      <c r="AD148" s="19">
        <f t="shared" si="53"/>
        <v>66.043013089537112</v>
      </c>
      <c r="AE148" s="19">
        <f t="shared" si="54"/>
        <v>66.043013089537112</v>
      </c>
      <c r="AF148" s="19">
        <f t="shared" si="55"/>
        <v>66.043013089537112</v>
      </c>
      <c r="AG148" s="19">
        <f t="shared" si="56"/>
        <v>66.043013089537112</v>
      </c>
      <c r="AH148" s="19">
        <f t="shared" si="57"/>
        <v>63.401292565955622</v>
      </c>
      <c r="AI148" s="19">
        <f t="shared" si="58"/>
        <v>66.043013089537112</v>
      </c>
      <c r="AJ148" s="19">
        <f t="shared" si="59"/>
        <v>66.043013089537112</v>
      </c>
      <c r="AK148" s="19">
        <f t="shared" si="60"/>
        <v>66.043013089537112</v>
      </c>
      <c r="AL148" s="19">
        <f t="shared" si="61"/>
        <v>63.401292565955622</v>
      </c>
      <c r="AM148" s="19">
        <f t="shared" si="62"/>
        <v>66.043013089537112</v>
      </c>
      <c r="AN148" s="19">
        <f t="shared" si="63"/>
        <v>66.043013089537112</v>
      </c>
      <c r="AO148" s="19">
        <f t="shared" si="64"/>
        <v>66.043013089537112</v>
      </c>
      <c r="AP148" s="19">
        <f t="shared" si="65"/>
        <v>63.401292565955622</v>
      </c>
      <c r="AQ148" s="19">
        <f t="shared" si="66"/>
        <v>66.043013089537112</v>
      </c>
      <c r="AR148" s="19">
        <f t="shared" si="67"/>
        <v>66.043013089537112</v>
      </c>
      <c r="AS148" s="19">
        <f t="shared" si="68"/>
        <v>81.893336231026012</v>
      </c>
      <c r="AT148" s="19">
        <f t="shared" si="69"/>
        <v>81.893336231026012</v>
      </c>
      <c r="AU148" s="19">
        <f t="shared" si="70"/>
        <v>68.684733613118595</v>
      </c>
      <c r="AV148" s="19">
        <f t="shared" si="71"/>
        <v>66.043013089537112</v>
      </c>
      <c r="AW148" s="19">
        <f t="shared" si="72"/>
        <v>66.043013089537112</v>
      </c>
      <c r="AX148" s="18">
        <f>IFERROR(Z148/'Ar-Pa'!B148,0)</f>
        <v>9.4347161556481591</v>
      </c>
      <c r="AY148" s="18">
        <f>IFERROR(AA148/'Ar-Pa'!C148,0)</f>
        <v>9.4347161556481591</v>
      </c>
      <c r="AZ148" s="18">
        <f>IFERROR(AB148/'Ar-Pa'!D148,0)</f>
        <v>9.4347161556481591</v>
      </c>
      <c r="BA148" s="18">
        <f>IFERROR(AC148/'Ar-Pa'!E148,0)</f>
        <v>9.0573275094222314</v>
      </c>
      <c r="BB148" s="18">
        <f>IFERROR(AD148/'Ar-Pa'!F148,0)</f>
        <v>9.4347161556481591</v>
      </c>
      <c r="BC148" s="18">
        <f>IFERROR(AE148/'Ar-Pa'!G148,0)</f>
        <v>9.4347161556481591</v>
      </c>
      <c r="BD148" s="18">
        <f>IFERROR(AF148/'Ar-Pa'!H148,0)</f>
        <v>9.4347161556481591</v>
      </c>
      <c r="BE148" s="18">
        <f>IFERROR(AG148/'Ar-Pa'!I148,0)</f>
        <v>9.4347161556481591</v>
      </c>
      <c r="BF148" s="18">
        <f>IFERROR(AH148/'Ar-Pa'!J148,0)</f>
        <v>9.0573275094222314</v>
      </c>
      <c r="BG148" s="18">
        <f>IFERROR(AI148/'Ar-Pa'!K148,0)</f>
        <v>8.255376636192139</v>
      </c>
      <c r="BH148" s="18">
        <f>IFERROR(AJ148/'Ar-Pa'!L148,0)</f>
        <v>8.255376636192139</v>
      </c>
      <c r="BI148" s="18">
        <f>IFERROR(AK148/'Ar-Pa'!M148,0)</f>
        <v>8.255376636192139</v>
      </c>
      <c r="BJ148" s="18">
        <f>IFERROR(AL148/'Ar-Pa'!N148,0)</f>
        <v>7.9251615707444527</v>
      </c>
      <c r="BK148" s="18">
        <f>IFERROR(AM148/'Ar-Pa'!O148,0)</f>
        <v>8.255376636192139</v>
      </c>
      <c r="BL148" s="18">
        <f>IFERROR(AN148/'Ar-Pa'!P148,0)</f>
        <v>8.255376636192139</v>
      </c>
      <c r="BM148" s="18">
        <f>IFERROR(AO148/'Ar-Pa'!Q148,0)</f>
        <v>8.255376636192139</v>
      </c>
      <c r="BN148" s="18">
        <f>IFERROR(AP148/'Ar-Pa'!R148,0)</f>
        <v>7.9251615707444527</v>
      </c>
      <c r="BO148" s="18">
        <f>IFERROR(AQ148/'Ar-Pa'!S148,0)</f>
        <v>8.255376636192139</v>
      </c>
      <c r="BP148" s="18">
        <f>IFERROR(AR148/'Ar-Pa'!T148,0)</f>
        <v>8.255376636192139</v>
      </c>
      <c r="BQ148" s="18">
        <f>IFERROR(AS148/'Ar-Pa'!U148,0)</f>
        <v>10.236667028878252</v>
      </c>
      <c r="BR148" s="18">
        <f>IFERROR(AT148/'Ar-Pa'!V148,0)</f>
        <v>10.236667028878252</v>
      </c>
      <c r="BS148" s="18">
        <f>IFERROR(AU148/'Ar-Pa'!W148,0)</f>
        <v>8.5855917016398244</v>
      </c>
      <c r="BT148" s="18">
        <f>IFERROR(AV148/'Ar-Pa'!X148,0)</f>
        <v>8.255376636192139</v>
      </c>
      <c r="BU148" s="18">
        <f>IFERROR(AW148/'Ar-Pa'!Y148,0)</f>
        <v>8.255376636192139</v>
      </c>
    </row>
    <row r="149" spans="1:73">
      <c r="A149" s="15">
        <v>45074</v>
      </c>
      <c r="B149" s="441">
        <v>0.28999999999999998</v>
      </c>
      <c r="C149" s="441">
        <v>0.28999999999999998</v>
      </c>
      <c r="D149" s="441">
        <v>0.28999999999999998</v>
      </c>
      <c r="E149" s="441">
        <v>0.28999999999999998</v>
      </c>
      <c r="F149" s="441">
        <v>0.28999999999999998</v>
      </c>
      <c r="G149" s="441">
        <v>0.28999999999999998</v>
      </c>
      <c r="H149" s="441">
        <v>0.28000000000000003</v>
      </c>
      <c r="I149" s="441">
        <v>0.28000000000000003</v>
      </c>
      <c r="J149" s="441">
        <v>0.28999999999999998</v>
      </c>
      <c r="K149" s="441">
        <v>0.28000000000000003</v>
      </c>
      <c r="L149" s="441">
        <v>0.28000000000000003</v>
      </c>
      <c r="M149" s="441">
        <v>0.28999999999999998</v>
      </c>
      <c r="N149" s="441">
        <v>0.28000000000000003</v>
      </c>
      <c r="O149" s="441">
        <v>0.28000000000000003</v>
      </c>
      <c r="P149" s="441">
        <v>0.28999999999999998</v>
      </c>
      <c r="Q149" s="441">
        <v>0.28000000000000003</v>
      </c>
      <c r="R149" s="441">
        <v>0.28000000000000003</v>
      </c>
      <c r="S149" s="441">
        <v>0.3</v>
      </c>
      <c r="T149" s="441">
        <v>0.28000000000000003</v>
      </c>
      <c r="U149" s="441">
        <v>0.28999999999999998</v>
      </c>
      <c r="V149" s="441">
        <v>0.35</v>
      </c>
      <c r="W149" s="441">
        <v>0.28999999999999998</v>
      </c>
      <c r="X149" s="441">
        <v>0.28999999999999998</v>
      </c>
      <c r="Y149" s="441">
        <v>0.28000000000000003</v>
      </c>
      <c r="Z149" s="19">
        <f t="shared" si="49"/>
        <v>76.609895183863046</v>
      </c>
      <c r="AA149" s="19">
        <f t="shared" si="50"/>
        <v>76.609895183863046</v>
      </c>
      <c r="AB149" s="19">
        <f t="shared" si="51"/>
        <v>76.609895183863046</v>
      </c>
      <c r="AC149" s="19">
        <f t="shared" si="52"/>
        <v>76.609895183863046</v>
      </c>
      <c r="AD149" s="19">
        <f t="shared" si="53"/>
        <v>76.609895183863046</v>
      </c>
      <c r="AE149" s="19">
        <f t="shared" si="54"/>
        <v>76.609895183863046</v>
      </c>
      <c r="AF149" s="19">
        <f t="shared" si="55"/>
        <v>73.968174660281562</v>
      </c>
      <c r="AG149" s="19">
        <f t="shared" si="56"/>
        <v>73.968174660281562</v>
      </c>
      <c r="AH149" s="19">
        <f t="shared" si="57"/>
        <v>76.609895183863046</v>
      </c>
      <c r="AI149" s="19">
        <f t="shared" si="58"/>
        <v>73.968174660281562</v>
      </c>
      <c r="AJ149" s="19">
        <f t="shared" si="59"/>
        <v>73.968174660281562</v>
      </c>
      <c r="AK149" s="19">
        <f t="shared" si="60"/>
        <v>76.609895183863046</v>
      </c>
      <c r="AL149" s="19">
        <f t="shared" si="61"/>
        <v>73.968174660281562</v>
      </c>
      <c r="AM149" s="19">
        <f t="shared" si="62"/>
        <v>73.968174660281562</v>
      </c>
      <c r="AN149" s="19">
        <f t="shared" si="63"/>
        <v>76.609895183863046</v>
      </c>
      <c r="AO149" s="19">
        <f t="shared" si="64"/>
        <v>73.968174660281562</v>
      </c>
      <c r="AP149" s="19">
        <f t="shared" si="65"/>
        <v>73.968174660281562</v>
      </c>
      <c r="AQ149" s="19">
        <f t="shared" si="66"/>
        <v>79.251615707444529</v>
      </c>
      <c r="AR149" s="19">
        <f t="shared" si="67"/>
        <v>73.968174660281562</v>
      </c>
      <c r="AS149" s="19">
        <f t="shared" si="68"/>
        <v>76.609895183863046</v>
      </c>
      <c r="AT149" s="19">
        <f t="shared" si="69"/>
        <v>92.460218325351946</v>
      </c>
      <c r="AU149" s="19">
        <f t="shared" si="70"/>
        <v>76.609895183863046</v>
      </c>
      <c r="AV149" s="19">
        <f t="shared" si="71"/>
        <v>76.609895183863046</v>
      </c>
      <c r="AW149" s="19">
        <f t="shared" si="72"/>
        <v>73.968174660281562</v>
      </c>
      <c r="AX149" s="18">
        <f>IFERROR(Z149/'Ar-Pa'!B149,0)</f>
        <v>9.5762368979828807</v>
      </c>
      <c r="AY149" s="18">
        <f>IFERROR(AA149/'Ar-Pa'!C149,0)</f>
        <v>9.5762368979828807</v>
      </c>
      <c r="AZ149" s="18">
        <f>IFERROR(AB149/'Ar-Pa'!D149,0)</f>
        <v>9.5762368979828807</v>
      </c>
      <c r="BA149" s="18">
        <f>IFERROR(AC149/'Ar-Pa'!E149,0)</f>
        <v>9.5762368979828807</v>
      </c>
      <c r="BB149" s="18">
        <f>IFERROR(AD149/'Ar-Pa'!F149,0)</f>
        <v>9.5762368979828807</v>
      </c>
      <c r="BC149" s="18">
        <f>IFERROR(AE149/'Ar-Pa'!G149,0)</f>
        <v>9.5762368979828807</v>
      </c>
      <c r="BD149" s="18">
        <f>IFERROR(AF149/'Ar-Pa'!H149,0)</f>
        <v>9.2460218325351953</v>
      </c>
      <c r="BE149" s="18">
        <f>IFERROR(AG149/'Ar-Pa'!I149,0)</f>
        <v>9.2460218325351953</v>
      </c>
      <c r="BF149" s="18">
        <f>IFERROR(AH149/'Ar-Pa'!J149,0)</f>
        <v>9.5762368979828807</v>
      </c>
      <c r="BG149" s="18">
        <f>IFERROR(AI149/'Ar-Pa'!K149,0)</f>
        <v>9.2460218325351953</v>
      </c>
      <c r="BH149" s="18">
        <f>IFERROR(AJ149/'Ar-Pa'!L149,0)</f>
        <v>9.2460218325351953</v>
      </c>
      <c r="BI149" s="18">
        <f>IFERROR(AK149/'Ar-Pa'!M149,0)</f>
        <v>9.5762368979828807</v>
      </c>
      <c r="BJ149" s="18">
        <f>IFERROR(AL149/'Ar-Pa'!N149,0)</f>
        <v>9.2460218325351953</v>
      </c>
      <c r="BK149" s="18">
        <f>IFERROR(AM149/'Ar-Pa'!O149,0)</f>
        <v>9.2460218325351953</v>
      </c>
      <c r="BL149" s="18">
        <f>IFERROR(AN149/'Ar-Pa'!P149,0)</f>
        <v>9.5762368979828807</v>
      </c>
      <c r="BM149" s="18">
        <f>IFERROR(AO149/'Ar-Pa'!Q149,0)</f>
        <v>9.2460218325351953</v>
      </c>
      <c r="BN149" s="18">
        <f>IFERROR(AP149/'Ar-Pa'!R149,0)</f>
        <v>9.2460218325351953</v>
      </c>
      <c r="BO149" s="18">
        <f>IFERROR(AQ149/'Ar-Pa'!S149,0)</f>
        <v>9.9064519634305661</v>
      </c>
      <c r="BP149" s="18">
        <f>IFERROR(AR149/'Ar-Pa'!T149,0)</f>
        <v>9.2460218325351953</v>
      </c>
      <c r="BQ149" s="18">
        <f>IFERROR(AS149/'Ar-Pa'!U149,0)</f>
        <v>9.5762368979828807</v>
      </c>
      <c r="BR149" s="18">
        <f>IFERROR(AT149/'Ar-Pa'!V149,0)</f>
        <v>11.557527290668993</v>
      </c>
      <c r="BS149" s="18">
        <f>IFERROR(AU149/'Ar-Pa'!W149,0)</f>
        <v>9.5762368979828807</v>
      </c>
      <c r="BT149" s="18">
        <f>IFERROR(AV149/'Ar-Pa'!X149,0)</f>
        <v>9.5762368979828807</v>
      </c>
      <c r="BU149" s="18">
        <f>IFERROR(AW149/'Ar-Pa'!Y149,0)</f>
        <v>9.2460218325351953</v>
      </c>
    </row>
    <row r="150" spans="1:73">
      <c r="A150" s="15">
        <v>45075</v>
      </c>
      <c r="B150" s="441">
        <v>0.32</v>
      </c>
      <c r="C150" s="441">
        <v>0.33</v>
      </c>
      <c r="D150" s="441">
        <v>0.32</v>
      </c>
      <c r="E150" s="441">
        <v>0.33</v>
      </c>
      <c r="F150" s="441">
        <v>0.33</v>
      </c>
      <c r="G150" s="441">
        <v>0.32</v>
      </c>
      <c r="H150" s="441">
        <v>0.32</v>
      </c>
      <c r="I150" s="441">
        <v>0.32</v>
      </c>
      <c r="J150" s="441">
        <v>0.32</v>
      </c>
      <c r="K150" s="441">
        <v>0.33</v>
      </c>
      <c r="L150" s="441">
        <v>0.33</v>
      </c>
      <c r="M150" s="441">
        <v>0.32</v>
      </c>
      <c r="N150" s="441">
        <v>0.33</v>
      </c>
      <c r="O150" s="441">
        <v>0.33</v>
      </c>
      <c r="P150" s="441">
        <v>0.33</v>
      </c>
      <c r="Q150" s="441">
        <v>0.32</v>
      </c>
      <c r="R150" s="441">
        <v>0.32</v>
      </c>
      <c r="S150" s="441">
        <v>0.32</v>
      </c>
      <c r="T150" s="441">
        <v>0.33</v>
      </c>
      <c r="U150" s="441">
        <v>0.41</v>
      </c>
      <c r="V150" s="441">
        <v>0.41</v>
      </c>
      <c r="W150" s="441">
        <v>0.32</v>
      </c>
      <c r="X150" s="441">
        <v>0.32</v>
      </c>
      <c r="Y150" s="441">
        <v>0.32</v>
      </c>
      <c r="Z150" s="19">
        <f t="shared" ref="Z150:AI151" si="73">+CONVERT(B150,"m^3","gal")</f>
        <v>84.535056754607496</v>
      </c>
      <c r="AA150" s="19">
        <f t="shared" si="73"/>
        <v>87.176777278188979</v>
      </c>
      <c r="AB150" s="19">
        <f t="shared" si="73"/>
        <v>84.535056754607496</v>
      </c>
      <c r="AC150" s="19">
        <f t="shared" si="73"/>
        <v>87.176777278188979</v>
      </c>
      <c r="AD150" s="19">
        <f t="shared" si="73"/>
        <v>87.176777278188979</v>
      </c>
      <c r="AE150" s="19">
        <f t="shared" si="73"/>
        <v>84.535056754607496</v>
      </c>
      <c r="AF150" s="19">
        <f t="shared" si="73"/>
        <v>84.535056754607496</v>
      </c>
      <c r="AG150" s="19">
        <f t="shared" si="73"/>
        <v>84.535056754607496</v>
      </c>
      <c r="AH150" s="19">
        <f t="shared" si="73"/>
        <v>84.535056754607496</v>
      </c>
      <c r="AI150" s="19">
        <f t="shared" si="73"/>
        <v>87.176777278188979</v>
      </c>
      <c r="AJ150" s="19">
        <f t="shared" si="59"/>
        <v>87.176777278188979</v>
      </c>
      <c r="AK150" s="19">
        <f t="shared" si="60"/>
        <v>84.535056754607496</v>
      </c>
      <c r="AL150" s="19">
        <f t="shared" si="61"/>
        <v>87.176777278188979</v>
      </c>
      <c r="AM150" s="19">
        <f t="shared" si="62"/>
        <v>87.176777278188979</v>
      </c>
      <c r="AN150" s="19">
        <f t="shared" si="63"/>
        <v>87.176777278188979</v>
      </c>
      <c r="AO150" s="19">
        <f t="shared" si="64"/>
        <v>84.535056754607496</v>
      </c>
      <c r="AP150" s="19">
        <f t="shared" si="65"/>
        <v>84.535056754607496</v>
      </c>
      <c r="AQ150" s="19">
        <f t="shared" si="66"/>
        <v>84.535056754607496</v>
      </c>
      <c r="AR150" s="19">
        <f t="shared" si="67"/>
        <v>87.176777278188979</v>
      </c>
      <c r="AS150" s="19">
        <f t="shared" si="68"/>
        <v>108.31054146684086</v>
      </c>
      <c r="AT150" s="19">
        <f t="shared" si="69"/>
        <v>108.31054146684086</v>
      </c>
      <c r="AU150" s="19">
        <f t="shared" si="70"/>
        <v>84.535056754607496</v>
      </c>
      <c r="AV150" s="19">
        <f t="shared" si="71"/>
        <v>84.535056754607496</v>
      </c>
      <c r="AW150" s="19">
        <f t="shared" si="72"/>
        <v>84.535056754607496</v>
      </c>
      <c r="AX150" s="18">
        <f>IFERROR(Z150/'Ar-Pa'!B150,0)</f>
        <v>10.566882094325937</v>
      </c>
      <c r="AY150" s="18">
        <f>IFERROR(AA150/'Ar-Pa'!C150,0)</f>
        <v>10.897097159773622</v>
      </c>
      <c r="AZ150" s="18">
        <f>IFERROR(AB150/'Ar-Pa'!D150,0)</f>
        <v>10.566882094325937</v>
      </c>
      <c r="BA150" s="18">
        <f>IFERROR(AC150/'Ar-Pa'!E150,0)</f>
        <v>10.897097159773622</v>
      </c>
      <c r="BB150" s="18">
        <f>IFERROR(AD150/'Ar-Pa'!F150,0)</f>
        <v>10.897097159773622</v>
      </c>
      <c r="BC150" s="18">
        <f>IFERROR(AE150/'Ar-Pa'!G150,0)</f>
        <v>12.076436679229642</v>
      </c>
      <c r="BD150" s="18">
        <f>IFERROR(AF150/'Ar-Pa'!H150,0)</f>
        <v>12.076436679229642</v>
      </c>
      <c r="BE150" s="18">
        <f>IFERROR(AG150/'Ar-Pa'!I150,0)</f>
        <v>12.076436679229642</v>
      </c>
      <c r="BF150" s="18">
        <f>IFERROR(AH150/'Ar-Pa'!J150,0)</f>
        <v>10.566882094325937</v>
      </c>
      <c r="BG150" s="18">
        <f>IFERROR(AI150/'Ar-Pa'!K150,0)</f>
        <v>10.897097159773622</v>
      </c>
      <c r="BH150" s="18">
        <f>IFERROR(AJ150/'Ar-Pa'!L150,0)</f>
        <v>10.897097159773622</v>
      </c>
      <c r="BI150" s="18">
        <f>IFERROR(AK150/'Ar-Pa'!M150,0)</f>
        <v>10.566882094325937</v>
      </c>
      <c r="BJ150" s="18">
        <f>IFERROR(AL150/'Ar-Pa'!N150,0)</f>
        <v>10.897097159773622</v>
      </c>
      <c r="BK150" s="18">
        <f>IFERROR(AM150/'Ar-Pa'!O150,0)</f>
        <v>10.897097159773622</v>
      </c>
      <c r="BL150" s="18">
        <f>IFERROR(AN150/'Ar-Pa'!P150,0)</f>
        <v>10.897097159773622</v>
      </c>
      <c r="BM150" s="18">
        <f>IFERROR(AO150/'Ar-Pa'!Q150,0)</f>
        <v>10.566882094325937</v>
      </c>
      <c r="BN150" s="18">
        <f>IFERROR(AP150/'Ar-Pa'!R150,0)</f>
        <v>10.566882094325937</v>
      </c>
      <c r="BO150" s="18">
        <f>IFERROR(AQ150/'Ar-Pa'!S150,0)</f>
        <v>10.566882094325937</v>
      </c>
      <c r="BP150" s="18">
        <f>IFERROR(AR150/'Ar-Pa'!T150,0)</f>
        <v>10.897097159773622</v>
      </c>
      <c r="BQ150" s="18">
        <f>IFERROR(AS150/'Ar-Pa'!U150,0)</f>
        <v>13.538817683355107</v>
      </c>
      <c r="BR150" s="18">
        <f>IFERROR(AT150/'Ar-Pa'!V150,0)</f>
        <v>13.538817683355107</v>
      </c>
      <c r="BS150" s="18">
        <f>IFERROR(AU150/'Ar-Pa'!W150,0)</f>
        <v>10.566882094325937</v>
      </c>
      <c r="BT150" s="18">
        <f>IFERROR(AV150/'Ar-Pa'!X150,0)</f>
        <v>10.566882094325937</v>
      </c>
      <c r="BU150" s="18">
        <f>IFERROR(AW150/'Ar-Pa'!Y150,0)</f>
        <v>10.566882094325937</v>
      </c>
    </row>
    <row r="151" spans="1:73">
      <c r="A151" s="15">
        <v>45076</v>
      </c>
      <c r="B151" s="441">
        <v>0.28999999999999998</v>
      </c>
      <c r="C151" s="441">
        <v>0.27</v>
      </c>
      <c r="D151" s="441">
        <v>0.28999999999999998</v>
      </c>
      <c r="E151" s="441">
        <v>0.28000000000000003</v>
      </c>
      <c r="F151" s="441">
        <v>0.28000000000000003</v>
      </c>
      <c r="G151" s="441">
        <v>0.28000000000000003</v>
      </c>
      <c r="H151" s="441">
        <v>0.28000000000000003</v>
      </c>
      <c r="I151" s="441">
        <v>0.28000000000000003</v>
      </c>
      <c r="J151" s="441">
        <v>0.28000000000000003</v>
      </c>
      <c r="K151" s="441">
        <v>0.28999999999999998</v>
      </c>
      <c r="L151" s="441">
        <v>0.28000000000000003</v>
      </c>
      <c r="M151" s="441">
        <v>0.28000000000000003</v>
      </c>
      <c r="N151" s="441">
        <v>0.28000000000000003</v>
      </c>
      <c r="O151" s="441">
        <v>0.28999999999999998</v>
      </c>
      <c r="P151" s="441">
        <v>0.28000000000000003</v>
      </c>
      <c r="Q151" s="441">
        <v>0.28000000000000003</v>
      </c>
      <c r="R151" s="441">
        <v>0.28000000000000003</v>
      </c>
      <c r="S151" s="441">
        <v>0.28000000000000003</v>
      </c>
      <c r="T151" s="441">
        <v>0.28000000000000003</v>
      </c>
      <c r="U151" s="441">
        <v>0.36</v>
      </c>
      <c r="V151" s="441">
        <v>0.34</v>
      </c>
      <c r="W151" s="441">
        <v>0.28999999999999998</v>
      </c>
      <c r="X151" s="441">
        <v>0.28000000000000003</v>
      </c>
      <c r="Y151" s="441">
        <v>0.28000000000000003</v>
      </c>
      <c r="Z151" s="19">
        <f t="shared" si="73"/>
        <v>76.609895183863046</v>
      </c>
      <c r="AA151" s="19">
        <f t="shared" si="73"/>
        <v>71.326454136700079</v>
      </c>
      <c r="AB151" s="19">
        <f t="shared" si="73"/>
        <v>76.609895183863046</v>
      </c>
      <c r="AC151" s="19">
        <f t="shared" si="73"/>
        <v>73.968174660281562</v>
      </c>
      <c r="AD151" s="19">
        <f t="shared" si="73"/>
        <v>73.968174660281562</v>
      </c>
      <c r="AE151" s="19">
        <f t="shared" si="73"/>
        <v>73.968174660281562</v>
      </c>
      <c r="AF151" s="19">
        <f t="shared" si="73"/>
        <v>73.968174660281562</v>
      </c>
      <c r="AG151" s="19">
        <f t="shared" si="73"/>
        <v>73.968174660281562</v>
      </c>
      <c r="AH151" s="19">
        <f t="shared" si="73"/>
        <v>73.968174660281562</v>
      </c>
      <c r="AI151" s="19">
        <f t="shared" si="73"/>
        <v>76.609895183863046</v>
      </c>
      <c r="AJ151" s="19">
        <f t="shared" si="59"/>
        <v>73.968174660281562</v>
      </c>
      <c r="AK151" s="19">
        <f t="shared" si="60"/>
        <v>73.968174660281562</v>
      </c>
      <c r="AL151" s="19">
        <f t="shared" si="61"/>
        <v>73.968174660281562</v>
      </c>
      <c r="AM151" s="19">
        <f t="shared" si="62"/>
        <v>76.609895183863046</v>
      </c>
      <c r="AN151" s="19">
        <f t="shared" si="63"/>
        <v>73.968174660281562</v>
      </c>
      <c r="AO151" s="19">
        <f t="shared" si="64"/>
        <v>73.968174660281562</v>
      </c>
      <c r="AP151" s="19">
        <f t="shared" si="65"/>
        <v>73.968174660281562</v>
      </c>
      <c r="AQ151" s="19">
        <f t="shared" si="66"/>
        <v>73.968174660281562</v>
      </c>
      <c r="AR151" s="19">
        <f t="shared" si="67"/>
        <v>73.968174660281562</v>
      </c>
      <c r="AS151" s="19">
        <f t="shared" si="68"/>
        <v>95.101938848933429</v>
      </c>
      <c r="AT151" s="19">
        <f t="shared" si="69"/>
        <v>89.818497801770462</v>
      </c>
      <c r="AU151" s="19">
        <f t="shared" si="70"/>
        <v>76.609895183863046</v>
      </c>
      <c r="AV151" s="19">
        <f t="shared" si="71"/>
        <v>73.968174660281562</v>
      </c>
      <c r="AW151" s="19">
        <f t="shared" si="72"/>
        <v>73.968174660281562</v>
      </c>
      <c r="AX151" s="18">
        <f>IFERROR(Z151/'Ar-Pa'!B151,0)</f>
        <v>9.5762368979828807</v>
      </c>
      <c r="AY151" s="18">
        <f>IFERROR(AA151/'Ar-Pa'!C151,0)</f>
        <v>8.9158067670875099</v>
      </c>
      <c r="AZ151" s="18">
        <f>IFERROR(AB151/'Ar-Pa'!D151,0)</f>
        <v>9.5762368979828807</v>
      </c>
      <c r="BA151" s="18">
        <f>IFERROR(AC151/'Ar-Pa'!E151,0)</f>
        <v>9.2460218325351953</v>
      </c>
      <c r="BB151" s="18">
        <f>IFERROR(AD151/'Ar-Pa'!F151,0)</f>
        <v>9.2460218325351953</v>
      </c>
      <c r="BC151" s="18">
        <f>IFERROR(AE151/'Ar-Pa'!G151,0)</f>
        <v>10.566882094325937</v>
      </c>
      <c r="BD151" s="18">
        <f>IFERROR(AF151/'Ar-Pa'!H151,0)</f>
        <v>10.566882094325937</v>
      </c>
      <c r="BE151" s="18">
        <f>IFERROR(AG151/'Ar-Pa'!I151,0)</f>
        <v>10.566882094325937</v>
      </c>
      <c r="BF151" s="18">
        <f>IFERROR(AH151/'Ar-Pa'!J151,0)</f>
        <v>9.2460218325351953</v>
      </c>
      <c r="BG151" s="18">
        <f>IFERROR(AI151/'Ar-Pa'!K151,0)</f>
        <v>9.5762368979828807</v>
      </c>
      <c r="BH151" s="18">
        <f>IFERROR(AJ151/'Ar-Pa'!L151,0)</f>
        <v>9.2460218325351953</v>
      </c>
      <c r="BI151" s="18">
        <f>IFERROR(AK151/'Ar-Pa'!M151,0)</f>
        <v>9.2460218325351953</v>
      </c>
      <c r="BJ151" s="18">
        <f>IFERROR(AL151/'Ar-Pa'!N151,0)</f>
        <v>9.2460218325351953</v>
      </c>
      <c r="BK151" s="18">
        <f>IFERROR(AM151/'Ar-Pa'!O151,0)</f>
        <v>9.5762368979828807</v>
      </c>
      <c r="BL151" s="18">
        <f>IFERROR(AN151/'Ar-Pa'!P151,0)</f>
        <v>9.2460218325351953</v>
      </c>
      <c r="BM151" s="18">
        <f>IFERROR(AO151/'Ar-Pa'!Q151,0)</f>
        <v>9.2460218325351953</v>
      </c>
      <c r="BN151" s="18">
        <f>IFERROR(AP151/'Ar-Pa'!R151,0)</f>
        <v>9.2460218325351953</v>
      </c>
      <c r="BO151" s="18">
        <f>IFERROR(AQ151/'Ar-Pa'!S151,0)</f>
        <v>9.2460218325351953</v>
      </c>
      <c r="BP151" s="18">
        <f>IFERROR(AR151/'Ar-Pa'!T151,0)</f>
        <v>9.2460218325351953</v>
      </c>
      <c r="BQ151" s="18">
        <f>IFERROR(AS151/'Ar-Pa'!U151,0)</f>
        <v>11.887742356116679</v>
      </c>
      <c r="BR151" s="18">
        <f>IFERROR(AT151/'Ar-Pa'!V151,0)</f>
        <v>11.227312225221308</v>
      </c>
      <c r="BS151" s="18">
        <f>IFERROR(AU151/'Ar-Pa'!W151,0)</f>
        <v>9.5762368979828807</v>
      </c>
      <c r="BT151" s="18">
        <f>IFERROR(AV151/'Ar-Pa'!X151,0)</f>
        <v>9.2460218325351953</v>
      </c>
      <c r="BU151" s="18">
        <f>IFERROR(AW151/'Ar-Pa'!Y151,0)</f>
        <v>9.2460218325351953</v>
      </c>
    </row>
    <row r="152" spans="1:73">
      <c r="A152" s="15">
        <v>45077</v>
      </c>
      <c r="B152" s="441">
        <v>0.3</v>
      </c>
      <c r="C152" s="441">
        <v>0.28999999999999998</v>
      </c>
      <c r="D152" s="441">
        <v>0.3</v>
      </c>
      <c r="E152" s="441">
        <v>0.28999999999999998</v>
      </c>
      <c r="F152" s="441">
        <v>0.28999999999999998</v>
      </c>
      <c r="G152" s="441">
        <v>0.28999999999999998</v>
      </c>
      <c r="H152" s="441">
        <v>0.31</v>
      </c>
      <c r="I152" s="441">
        <v>0.28999999999999998</v>
      </c>
      <c r="J152" s="441">
        <v>0.28999999999999998</v>
      </c>
      <c r="K152" s="441">
        <v>0.28999999999999998</v>
      </c>
      <c r="L152" s="441">
        <v>0.28999999999999998</v>
      </c>
      <c r="M152" s="441">
        <v>0.28999999999999998</v>
      </c>
      <c r="N152" s="441">
        <v>0.28999999999999998</v>
      </c>
      <c r="O152" s="441">
        <v>0.28999999999999998</v>
      </c>
      <c r="P152" s="441">
        <v>0.28999999999999998</v>
      </c>
      <c r="Q152" s="441">
        <v>0.28999999999999998</v>
      </c>
      <c r="R152" s="441">
        <v>0.3</v>
      </c>
      <c r="S152" s="441">
        <v>0.28999999999999998</v>
      </c>
      <c r="T152" s="441">
        <v>0.28999999999999998</v>
      </c>
      <c r="U152" s="441">
        <v>0.36</v>
      </c>
      <c r="V152" s="441">
        <v>0.37</v>
      </c>
      <c r="W152" s="441">
        <v>0.3</v>
      </c>
      <c r="X152" s="441">
        <v>0.28999999999999998</v>
      </c>
      <c r="Y152" s="441">
        <v>0.28999999999999998</v>
      </c>
      <c r="Z152" s="19">
        <f t="shared" si="49"/>
        <v>79.251615707444529</v>
      </c>
      <c r="AA152" s="19">
        <f t="shared" si="50"/>
        <v>76.609895183863046</v>
      </c>
      <c r="AB152" s="19">
        <f t="shared" si="51"/>
        <v>79.251615707444529</v>
      </c>
      <c r="AC152" s="19">
        <f t="shared" si="52"/>
        <v>76.609895183863046</v>
      </c>
      <c r="AD152" s="19">
        <f t="shared" si="53"/>
        <v>76.609895183863046</v>
      </c>
      <c r="AE152" s="19">
        <f t="shared" si="54"/>
        <v>76.609895183863046</v>
      </c>
      <c r="AF152" s="19">
        <f t="shared" si="55"/>
        <v>81.893336231026012</v>
      </c>
      <c r="AG152" s="19">
        <f t="shared" si="56"/>
        <v>76.609895183863046</v>
      </c>
      <c r="AH152" s="19">
        <f t="shared" si="57"/>
        <v>76.609895183863046</v>
      </c>
      <c r="AI152" s="19">
        <f t="shared" si="58"/>
        <v>76.609895183863046</v>
      </c>
      <c r="AJ152" s="19">
        <f t="shared" si="59"/>
        <v>76.609895183863046</v>
      </c>
      <c r="AK152" s="19">
        <f t="shared" si="60"/>
        <v>76.609895183863046</v>
      </c>
      <c r="AL152" s="19">
        <f t="shared" si="61"/>
        <v>76.609895183863046</v>
      </c>
      <c r="AM152" s="19">
        <f t="shared" si="62"/>
        <v>76.609895183863046</v>
      </c>
      <c r="AN152" s="19">
        <f t="shared" si="63"/>
        <v>76.609895183863046</v>
      </c>
      <c r="AO152" s="19">
        <f t="shared" si="64"/>
        <v>76.609895183863046</v>
      </c>
      <c r="AP152" s="19">
        <f t="shared" si="65"/>
        <v>79.251615707444529</v>
      </c>
      <c r="AQ152" s="19">
        <f t="shared" si="66"/>
        <v>76.609895183863046</v>
      </c>
      <c r="AR152" s="19">
        <f t="shared" si="67"/>
        <v>76.609895183863046</v>
      </c>
      <c r="AS152" s="19">
        <f t="shared" si="68"/>
        <v>95.101938848933429</v>
      </c>
      <c r="AT152" s="19">
        <f t="shared" si="69"/>
        <v>97.743659372514912</v>
      </c>
      <c r="AU152" s="19">
        <f t="shared" si="70"/>
        <v>79.251615707444529</v>
      </c>
      <c r="AV152" s="19">
        <f t="shared" si="71"/>
        <v>76.609895183863046</v>
      </c>
      <c r="AW152" s="19">
        <f t="shared" si="72"/>
        <v>76.609895183863046</v>
      </c>
      <c r="AX152" s="18">
        <f>IFERROR(Z152/'Ar-Pa'!B152,0)</f>
        <v>9.9064519634305661</v>
      </c>
      <c r="AY152" s="18">
        <f>IFERROR(AA152/'Ar-Pa'!C152,0)</f>
        <v>9.5762368979828807</v>
      </c>
      <c r="AZ152" s="18">
        <f>IFERROR(AB152/'Ar-Pa'!D152,0)</f>
        <v>9.9064519634305661</v>
      </c>
      <c r="BA152" s="18">
        <f>IFERROR(AC152/'Ar-Pa'!E152,0)</f>
        <v>9.5762368979828807</v>
      </c>
      <c r="BB152" s="18">
        <f>IFERROR(AD152/'Ar-Pa'!F152,0)</f>
        <v>9.5762368979828807</v>
      </c>
      <c r="BC152" s="18">
        <f>IFERROR(AE152/'Ar-Pa'!G152,0)</f>
        <v>10.944270740551863</v>
      </c>
      <c r="BD152" s="18">
        <f>IFERROR(AF152/'Ar-Pa'!H152,0)</f>
        <v>11.699048033003717</v>
      </c>
      <c r="BE152" s="18">
        <f>IFERROR(AG152/'Ar-Pa'!I152,0)</f>
        <v>10.944270740551863</v>
      </c>
      <c r="BF152" s="18">
        <f>IFERROR(AH152/'Ar-Pa'!J152,0)</f>
        <v>10.944270740551863</v>
      </c>
      <c r="BG152" s="18">
        <f>IFERROR(AI152/'Ar-Pa'!K152,0)</f>
        <v>9.5762368979828807</v>
      </c>
      <c r="BH152" s="18">
        <f>IFERROR(AJ152/'Ar-Pa'!L152,0)</f>
        <v>9.5762368979828807</v>
      </c>
      <c r="BI152" s="18">
        <f>IFERROR(AK152/'Ar-Pa'!M152,0)</f>
        <v>9.5762368979828807</v>
      </c>
      <c r="BJ152" s="18">
        <f>IFERROR(AL152/'Ar-Pa'!N152,0)</f>
        <v>9.5762368979828807</v>
      </c>
      <c r="BK152" s="18">
        <f>IFERROR(AM152/'Ar-Pa'!O152,0)</f>
        <v>9.5762368979828807</v>
      </c>
      <c r="BL152" s="18">
        <f>IFERROR(AN152/'Ar-Pa'!P152,0)</f>
        <v>9.5762368979828807</v>
      </c>
      <c r="BM152" s="18">
        <f>IFERROR(AO152/'Ar-Pa'!Q152,0)</f>
        <v>9.5762368979828807</v>
      </c>
      <c r="BN152" s="18">
        <f>IFERROR(AP152/'Ar-Pa'!R152,0)</f>
        <v>9.9064519634305661</v>
      </c>
      <c r="BO152" s="18">
        <f>IFERROR(AQ152/'Ar-Pa'!S152,0)</f>
        <v>9.5762368979828807</v>
      </c>
      <c r="BP152" s="18">
        <f>IFERROR(AR152/'Ar-Pa'!T152,0)</f>
        <v>9.5762368979828807</v>
      </c>
      <c r="BQ152" s="18">
        <f>IFERROR(AS152/'Ar-Pa'!U152,0)</f>
        <v>11.887742356116679</v>
      </c>
      <c r="BR152" s="18">
        <f>IFERROR(AT152/'Ar-Pa'!V152,0)</f>
        <v>12.217957421564364</v>
      </c>
      <c r="BS152" s="18">
        <f>IFERROR(AU152/'Ar-Pa'!W152,0)</f>
        <v>9.9064519634305661</v>
      </c>
      <c r="BT152" s="18">
        <f>IFERROR(AV152/'Ar-Pa'!X152,0)</f>
        <v>9.5762368979828807</v>
      </c>
      <c r="BU152" s="18">
        <f>IFERROR(AW152/'Ar-Pa'!Y152,0)</f>
        <v>9.5762368979828807</v>
      </c>
    </row>
    <row r="153" spans="1:73">
      <c r="A153" s="15">
        <v>45078</v>
      </c>
      <c r="B153" s="441">
        <v>0.26</v>
      </c>
      <c r="C153" s="441">
        <v>0.25</v>
      </c>
      <c r="D153" s="441">
        <v>0.25</v>
      </c>
      <c r="E153" s="441">
        <v>0.26</v>
      </c>
      <c r="F153" s="441">
        <v>0.25</v>
      </c>
      <c r="G153" s="441">
        <v>0.25</v>
      </c>
      <c r="H153" s="441">
        <v>0.25</v>
      </c>
      <c r="I153" s="441">
        <v>0.25</v>
      </c>
      <c r="J153" s="441">
        <v>0.26</v>
      </c>
      <c r="K153" s="441">
        <v>0.25</v>
      </c>
      <c r="L153" s="441">
        <v>0.25</v>
      </c>
      <c r="M153" s="441">
        <v>0.26</v>
      </c>
      <c r="N153" s="441">
        <v>0.25</v>
      </c>
      <c r="O153" s="441">
        <v>0.25</v>
      </c>
      <c r="P153" s="441">
        <v>0.26</v>
      </c>
      <c r="Q153" s="441">
        <v>0.25</v>
      </c>
      <c r="R153" s="441">
        <v>0.26</v>
      </c>
      <c r="S153" s="441">
        <v>0.25</v>
      </c>
      <c r="T153" s="441">
        <v>0.32</v>
      </c>
      <c r="U153" s="441">
        <v>0.32</v>
      </c>
      <c r="V153" s="441">
        <v>0.32</v>
      </c>
      <c r="W153" s="441">
        <v>0.28000000000000003</v>
      </c>
      <c r="X153" s="441">
        <v>0.25</v>
      </c>
      <c r="Y153" s="441">
        <v>0.26</v>
      </c>
      <c r="Z153" s="19">
        <f t="shared" si="49"/>
        <v>68.684733613118595</v>
      </c>
      <c r="AA153" s="19">
        <f t="shared" si="50"/>
        <v>66.043013089537112</v>
      </c>
      <c r="AB153" s="19">
        <f t="shared" si="51"/>
        <v>66.043013089537112</v>
      </c>
      <c r="AC153" s="19">
        <f t="shared" si="52"/>
        <v>68.684733613118595</v>
      </c>
      <c r="AD153" s="19">
        <f t="shared" si="53"/>
        <v>66.043013089537112</v>
      </c>
      <c r="AE153" s="19">
        <f t="shared" si="54"/>
        <v>66.043013089537112</v>
      </c>
      <c r="AF153" s="19">
        <f t="shared" si="55"/>
        <v>66.043013089537112</v>
      </c>
      <c r="AG153" s="19">
        <f t="shared" si="56"/>
        <v>66.043013089537112</v>
      </c>
      <c r="AH153" s="19">
        <f t="shared" si="57"/>
        <v>68.684733613118595</v>
      </c>
      <c r="AI153" s="19">
        <f t="shared" si="58"/>
        <v>66.043013089537112</v>
      </c>
      <c r="AJ153" s="19">
        <f t="shared" si="59"/>
        <v>66.043013089537112</v>
      </c>
      <c r="AK153" s="19">
        <f t="shared" si="60"/>
        <v>68.684733613118595</v>
      </c>
      <c r="AL153" s="19">
        <f t="shared" si="61"/>
        <v>66.043013089537112</v>
      </c>
      <c r="AM153" s="19">
        <f t="shared" si="62"/>
        <v>66.043013089537112</v>
      </c>
      <c r="AN153" s="19">
        <f t="shared" si="63"/>
        <v>68.684733613118595</v>
      </c>
      <c r="AO153" s="19">
        <f t="shared" si="64"/>
        <v>66.043013089537112</v>
      </c>
      <c r="AP153" s="19">
        <f t="shared" si="65"/>
        <v>68.684733613118595</v>
      </c>
      <c r="AQ153" s="19">
        <f t="shared" si="66"/>
        <v>66.043013089537112</v>
      </c>
      <c r="AR153" s="19">
        <f t="shared" si="67"/>
        <v>84.535056754607496</v>
      </c>
      <c r="AS153" s="19">
        <f t="shared" si="68"/>
        <v>84.535056754607496</v>
      </c>
      <c r="AT153" s="19">
        <f t="shared" si="69"/>
        <v>84.535056754607496</v>
      </c>
      <c r="AU153" s="19">
        <f t="shared" si="70"/>
        <v>73.968174660281562</v>
      </c>
      <c r="AV153" s="19">
        <f t="shared" si="71"/>
        <v>66.043013089537112</v>
      </c>
      <c r="AW153" s="19">
        <f t="shared" si="72"/>
        <v>68.684733613118595</v>
      </c>
      <c r="AX153" s="18">
        <f>IFERROR(Z153/'Ar-Pa'!B153,0)</f>
        <v>8.5855917016398244</v>
      </c>
      <c r="AY153" s="18">
        <f>IFERROR(AA153/'Ar-Pa'!C153,0)</f>
        <v>8.255376636192139</v>
      </c>
      <c r="AZ153" s="18">
        <f>IFERROR(AB153/'Ar-Pa'!D153,0)</f>
        <v>8.255376636192139</v>
      </c>
      <c r="BA153" s="18">
        <f>IFERROR(AC153/'Ar-Pa'!E153,0)</f>
        <v>8.5855917016398244</v>
      </c>
      <c r="BB153" s="18">
        <f>IFERROR(AD153/'Ar-Pa'!F153,0)</f>
        <v>8.255376636192139</v>
      </c>
      <c r="BC153" s="18">
        <f>IFERROR(AE153/'Ar-Pa'!G153,0)</f>
        <v>9.4347161556481591</v>
      </c>
      <c r="BD153" s="18">
        <f>IFERROR(AF153/'Ar-Pa'!H153,0)</f>
        <v>9.4347161556481591</v>
      </c>
      <c r="BE153" s="18">
        <f>IFERROR(AG153/'Ar-Pa'!I153,0)</f>
        <v>9.4347161556481591</v>
      </c>
      <c r="BF153" s="18">
        <f>IFERROR(AH153/'Ar-Pa'!J153,0)</f>
        <v>8.5855917016398244</v>
      </c>
      <c r="BG153" s="18">
        <f>IFERROR(AI153/'Ar-Pa'!K153,0)</f>
        <v>8.255376636192139</v>
      </c>
      <c r="BH153" s="18">
        <f>IFERROR(AJ153/'Ar-Pa'!L153,0)</f>
        <v>8.255376636192139</v>
      </c>
      <c r="BI153" s="18">
        <f>IFERROR(AK153/'Ar-Pa'!M153,0)</f>
        <v>8.5855917016398244</v>
      </c>
      <c r="BJ153" s="18">
        <f>IFERROR(AL153/'Ar-Pa'!N153,0)</f>
        <v>8.255376636192139</v>
      </c>
      <c r="BK153" s="18">
        <f>IFERROR(AM153/'Ar-Pa'!O153,0)</f>
        <v>8.255376636192139</v>
      </c>
      <c r="BL153" s="18">
        <f>IFERROR(AN153/'Ar-Pa'!P153,0)</f>
        <v>8.5855917016398244</v>
      </c>
      <c r="BM153" s="18">
        <f>IFERROR(AO153/'Ar-Pa'!Q153,0)</f>
        <v>8.255376636192139</v>
      </c>
      <c r="BN153" s="18">
        <f>IFERROR(AP153/'Ar-Pa'!R153,0)</f>
        <v>8.5855917016398244</v>
      </c>
      <c r="BO153" s="18">
        <f>IFERROR(AQ153/'Ar-Pa'!S153,0)</f>
        <v>8.255376636192139</v>
      </c>
      <c r="BP153" s="18">
        <f>IFERROR(AR153/'Ar-Pa'!T153,0)</f>
        <v>10.566882094325937</v>
      </c>
      <c r="BQ153" s="18">
        <f>IFERROR(AS153/'Ar-Pa'!U153,0)</f>
        <v>10.566882094325937</v>
      </c>
      <c r="BR153" s="18">
        <f>IFERROR(AT153/'Ar-Pa'!V153,0)</f>
        <v>10.566882094325937</v>
      </c>
      <c r="BS153" s="18">
        <f>IFERROR(AU153/'Ar-Pa'!W153,0)</f>
        <v>9.2460218325351953</v>
      </c>
      <c r="BT153" s="18">
        <f>IFERROR(AV153/'Ar-Pa'!X153,0)</f>
        <v>8.255376636192139</v>
      </c>
      <c r="BU153" s="18">
        <f>IFERROR(AW153/'Ar-Pa'!Y153,0)</f>
        <v>8.5855917016398244</v>
      </c>
    </row>
    <row r="154" spans="1:73">
      <c r="A154" s="15">
        <v>45079</v>
      </c>
      <c r="B154" s="441">
        <v>0.28999999999999998</v>
      </c>
      <c r="C154" s="441">
        <v>0.28999999999999998</v>
      </c>
      <c r="D154" s="441">
        <v>0.3</v>
      </c>
      <c r="E154" s="441">
        <v>0.28999999999999998</v>
      </c>
      <c r="F154" s="441">
        <v>0.3</v>
      </c>
      <c r="G154" s="441">
        <v>0.28000000000000003</v>
      </c>
      <c r="H154" s="441">
        <v>0.3</v>
      </c>
      <c r="I154" s="441">
        <v>0.28999999999999998</v>
      </c>
      <c r="J154" s="441">
        <v>0.28999999999999998</v>
      </c>
      <c r="K154" s="441">
        <v>0.28999999999999998</v>
      </c>
      <c r="L154" s="441">
        <v>0.28999999999999998</v>
      </c>
      <c r="M154" s="441">
        <v>0.28999999999999998</v>
      </c>
      <c r="N154" s="441">
        <v>0.28999999999999998</v>
      </c>
      <c r="O154" s="441">
        <v>0.28000000000000003</v>
      </c>
      <c r="P154" s="441">
        <v>0.28999999999999998</v>
      </c>
      <c r="Q154" s="441">
        <v>0.3</v>
      </c>
      <c r="R154" s="441">
        <v>0.28999999999999998</v>
      </c>
      <c r="S154" s="441">
        <v>0.28000000000000003</v>
      </c>
      <c r="T154" s="441">
        <v>0.28999999999999998</v>
      </c>
      <c r="U154" s="441">
        <v>0.38</v>
      </c>
      <c r="V154" s="441">
        <v>0.37</v>
      </c>
      <c r="W154" s="441">
        <v>0.3</v>
      </c>
      <c r="X154" s="441">
        <v>0.28999999999999998</v>
      </c>
      <c r="Y154" s="441">
        <v>0.28999999999999998</v>
      </c>
      <c r="Z154" s="19">
        <f t="shared" ref="Z154:AW154" si="74">+CONVERT(B154,"m^3","gal")</f>
        <v>76.609895183863046</v>
      </c>
      <c r="AA154" s="19">
        <f t="shared" si="74"/>
        <v>76.609895183863046</v>
      </c>
      <c r="AB154" s="19">
        <f t="shared" si="74"/>
        <v>79.251615707444529</v>
      </c>
      <c r="AC154" s="19">
        <f t="shared" si="74"/>
        <v>76.609895183863046</v>
      </c>
      <c r="AD154" s="19">
        <f t="shared" si="74"/>
        <v>79.251615707444529</v>
      </c>
      <c r="AE154" s="19">
        <f t="shared" si="74"/>
        <v>73.968174660281562</v>
      </c>
      <c r="AF154" s="19">
        <f t="shared" si="74"/>
        <v>79.251615707444529</v>
      </c>
      <c r="AG154" s="19">
        <f t="shared" si="74"/>
        <v>76.609895183863046</v>
      </c>
      <c r="AH154" s="19">
        <f t="shared" si="74"/>
        <v>76.609895183863046</v>
      </c>
      <c r="AI154" s="19">
        <f t="shared" si="74"/>
        <v>76.609895183863046</v>
      </c>
      <c r="AJ154" s="19">
        <f t="shared" si="74"/>
        <v>76.609895183863046</v>
      </c>
      <c r="AK154" s="19">
        <f t="shared" si="74"/>
        <v>76.609895183863046</v>
      </c>
      <c r="AL154" s="19">
        <f t="shared" si="74"/>
        <v>76.609895183863046</v>
      </c>
      <c r="AM154" s="19">
        <f t="shared" si="74"/>
        <v>73.968174660281562</v>
      </c>
      <c r="AN154" s="19">
        <f t="shared" si="74"/>
        <v>76.609895183863046</v>
      </c>
      <c r="AO154" s="19">
        <f t="shared" si="74"/>
        <v>79.251615707444529</v>
      </c>
      <c r="AP154" s="19">
        <f t="shared" si="74"/>
        <v>76.609895183863046</v>
      </c>
      <c r="AQ154" s="19">
        <f t="shared" si="74"/>
        <v>73.968174660281562</v>
      </c>
      <c r="AR154" s="19">
        <f t="shared" si="74"/>
        <v>76.609895183863046</v>
      </c>
      <c r="AS154" s="19">
        <f t="shared" si="74"/>
        <v>100.3853798960964</v>
      </c>
      <c r="AT154" s="19">
        <f t="shared" si="74"/>
        <v>97.743659372514912</v>
      </c>
      <c r="AU154" s="19">
        <f t="shared" si="74"/>
        <v>79.251615707444529</v>
      </c>
      <c r="AV154" s="19">
        <f t="shared" si="74"/>
        <v>76.609895183863046</v>
      </c>
      <c r="AW154" s="19">
        <f t="shared" si="74"/>
        <v>76.609895183863046</v>
      </c>
      <c r="AX154" s="18">
        <f>IFERROR(Z154/'Ar-Pa'!B154,0)</f>
        <v>9.5762368979828807</v>
      </c>
      <c r="AY154" s="18">
        <f>IFERROR(AA154/'Ar-Pa'!C154,0)</f>
        <v>9.5762368979828807</v>
      </c>
      <c r="AZ154" s="18">
        <f>IFERROR(AB154/'Ar-Pa'!D154,0)</f>
        <v>9.9064519634305661</v>
      </c>
      <c r="BA154" s="18">
        <f>IFERROR(AC154/'Ar-Pa'!E154,0)</f>
        <v>9.5762368979828807</v>
      </c>
      <c r="BB154" s="18">
        <f>IFERROR(AD154/'Ar-Pa'!F154,0)</f>
        <v>9.9064519634305661</v>
      </c>
      <c r="BC154" s="18">
        <f>IFERROR(AE154/'Ar-Pa'!G154,0)</f>
        <v>10.566882094325937</v>
      </c>
      <c r="BD154" s="18">
        <f>IFERROR(AF154/'Ar-Pa'!H154,0)</f>
        <v>11.321659386777791</v>
      </c>
      <c r="BE154" s="18">
        <f>IFERROR(AG154/'Ar-Pa'!I154,0)</f>
        <v>10.944270740551863</v>
      </c>
      <c r="BF154" s="18">
        <f>IFERROR(AH154/'Ar-Pa'!J154,0)</f>
        <v>10.944270740551863</v>
      </c>
      <c r="BG154" s="18">
        <f>IFERROR(AI154/'Ar-Pa'!K154,0)</f>
        <v>9.5762368979828807</v>
      </c>
      <c r="BH154" s="18">
        <f>IFERROR(AJ154/'Ar-Pa'!L154,0)</f>
        <v>9.5762368979828807</v>
      </c>
      <c r="BI154" s="18">
        <f>IFERROR(AK154/'Ar-Pa'!M154,0)</f>
        <v>9.5762368979828807</v>
      </c>
      <c r="BJ154" s="18">
        <f>IFERROR(AL154/'Ar-Pa'!N154,0)</f>
        <v>9.5762368979828807</v>
      </c>
      <c r="BK154" s="18">
        <f>IFERROR(AM154/'Ar-Pa'!O154,0)</f>
        <v>9.2460218325351953</v>
      </c>
      <c r="BL154" s="18">
        <f>IFERROR(AN154/'Ar-Pa'!P154,0)</f>
        <v>9.5762368979828807</v>
      </c>
      <c r="BM154" s="18">
        <f>IFERROR(AO154/'Ar-Pa'!Q154,0)</f>
        <v>9.9064519634305661</v>
      </c>
      <c r="BN154" s="18">
        <f>IFERROR(AP154/'Ar-Pa'!R154,0)</f>
        <v>9.5762368979828807</v>
      </c>
      <c r="BO154" s="18">
        <f>IFERROR(AQ154/'Ar-Pa'!S154,0)</f>
        <v>9.2460218325351953</v>
      </c>
      <c r="BP154" s="18">
        <f>IFERROR(AR154/'Ar-Pa'!T154,0)</f>
        <v>9.5762368979828807</v>
      </c>
      <c r="BQ154" s="18">
        <f>IFERROR(AS154/'Ar-Pa'!U154,0)</f>
        <v>12.548172487012049</v>
      </c>
      <c r="BR154" s="18">
        <f>IFERROR(AT154/'Ar-Pa'!V154,0)</f>
        <v>12.217957421564364</v>
      </c>
      <c r="BS154" s="18">
        <f>IFERROR(AU154/'Ar-Pa'!W154,0)</f>
        <v>9.9064519634305661</v>
      </c>
      <c r="BT154" s="18">
        <f>IFERROR(AV154/'Ar-Pa'!X154,0)</f>
        <v>9.5762368979828807</v>
      </c>
      <c r="BU154" s="18">
        <f>IFERROR(AW154/'Ar-Pa'!Y154,0)</f>
        <v>9.5762368979828807</v>
      </c>
    </row>
    <row r="155" spans="1:73">
      <c r="A155" s="15">
        <v>45080</v>
      </c>
      <c r="B155" s="441">
        <v>0.25</v>
      </c>
      <c r="C155" s="441">
        <v>0.25</v>
      </c>
      <c r="D155" s="441">
        <v>0.25</v>
      </c>
      <c r="E155" s="441">
        <v>0.26</v>
      </c>
      <c r="F155" s="441">
        <v>0.25</v>
      </c>
      <c r="G155" s="441">
        <v>0.25</v>
      </c>
      <c r="H155" s="441">
        <v>0.24</v>
      </c>
      <c r="I155" s="441">
        <v>0.25</v>
      </c>
      <c r="J155" s="441">
        <v>0.25</v>
      </c>
      <c r="K155" s="441">
        <v>0.25</v>
      </c>
      <c r="L155" s="441">
        <v>0.25</v>
      </c>
      <c r="M155" s="441">
        <v>0.25</v>
      </c>
      <c r="N155" s="441">
        <v>0.25</v>
      </c>
      <c r="O155" s="441">
        <v>0.25</v>
      </c>
      <c r="P155" s="441">
        <v>0.25</v>
      </c>
      <c r="Q155" s="441">
        <v>0.27</v>
      </c>
      <c r="R155" s="441">
        <v>0.31</v>
      </c>
      <c r="S155" s="441">
        <v>0.32</v>
      </c>
      <c r="T155" s="441">
        <v>0.32</v>
      </c>
      <c r="U155" s="441">
        <v>0.31</v>
      </c>
      <c r="V155" s="441">
        <v>0.31</v>
      </c>
      <c r="W155" s="441">
        <v>0.32</v>
      </c>
      <c r="X155" s="441">
        <v>0.31</v>
      </c>
      <c r="Y155" s="441">
        <v>0.31</v>
      </c>
      <c r="Z155" s="19">
        <f>+CONVERT(B155,"m^3","gal")</f>
        <v>66.043013089537112</v>
      </c>
      <c r="AA155" s="19">
        <f t="shared" ref="AA155:AA183" si="75">+CONVERT(C155,"m^3","gal")</f>
        <v>66.043013089537112</v>
      </c>
      <c r="AB155" s="19">
        <f t="shared" ref="AB155:AB183" si="76">+CONVERT(D155,"m^3","gal")</f>
        <v>66.043013089537112</v>
      </c>
      <c r="AC155" s="19">
        <f t="shared" ref="AC155:AC183" si="77">+CONVERT(E155,"m^3","gal")</f>
        <v>68.684733613118595</v>
      </c>
      <c r="AD155" s="19">
        <f t="shared" ref="AD155:AD183" si="78">+CONVERT(F155,"m^3","gal")</f>
        <v>66.043013089537112</v>
      </c>
      <c r="AE155" s="19">
        <f t="shared" ref="AE155:AE183" si="79">+CONVERT(G155,"m^3","gal")</f>
        <v>66.043013089537112</v>
      </c>
      <c r="AF155" s="19">
        <f t="shared" ref="AF155:AF183" si="80">+CONVERT(H155,"m^3","gal")</f>
        <v>63.401292565955622</v>
      </c>
      <c r="AG155" s="19">
        <f t="shared" ref="AG155:AG183" si="81">+CONVERT(I155,"m^3","gal")</f>
        <v>66.043013089537112</v>
      </c>
      <c r="AH155" s="19">
        <f t="shared" ref="AH155:AH183" si="82">+CONVERT(J155,"m^3","gal")</f>
        <v>66.043013089537112</v>
      </c>
      <c r="AI155" s="19">
        <f t="shared" ref="AI155:AI183" si="83">+CONVERT(K155,"m^3","gal")</f>
        <v>66.043013089537112</v>
      </c>
      <c r="AJ155" s="19">
        <f t="shared" ref="AJ155:AJ183" si="84">+CONVERT(L155,"m^3","gal")</f>
        <v>66.043013089537112</v>
      </c>
      <c r="AK155" s="19">
        <f t="shared" ref="AK155:AK183" si="85">+CONVERT(M155,"m^3","gal")</f>
        <v>66.043013089537112</v>
      </c>
      <c r="AL155" s="19">
        <f t="shared" ref="AL155:AL183" si="86">+CONVERT(N155,"m^3","gal")</f>
        <v>66.043013089537112</v>
      </c>
      <c r="AM155" s="19">
        <f t="shared" ref="AM155:AM183" si="87">+CONVERT(O155,"m^3","gal")</f>
        <v>66.043013089537112</v>
      </c>
      <c r="AN155" s="19">
        <f t="shared" ref="AN155:AN183" si="88">+CONVERT(P155,"m^3","gal")</f>
        <v>66.043013089537112</v>
      </c>
      <c r="AO155" s="19">
        <f t="shared" ref="AO155:AO183" si="89">+CONVERT(Q155,"m^3","gal")</f>
        <v>71.326454136700079</v>
      </c>
      <c r="AP155" s="19">
        <f t="shared" ref="AP155:AP183" si="90">+CONVERT(R155,"m^3","gal")</f>
        <v>81.893336231026012</v>
      </c>
      <c r="AQ155" s="19">
        <f t="shared" ref="AQ155:AQ183" si="91">+CONVERT(S155,"m^3","gal")</f>
        <v>84.535056754607496</v>
      </c>
      <c r="AR155" s="19">
        <f t="shared" ref="AR155:AR183" si="92">+CONVERT(T155,"m^3","gal")</f>
        <v>84.535056754607496</v>
      </c>
      <c r="AS155" s="19">
        <f t="shared" ref="AS155:AS183" si="93">+CONVERT(U155,"m^3","gal")</f>
        <v>81.893336231026012</v>
      </c>
      <c r="AT155" s="19">
        <f t="shared" ref="AT155:AT183" si="94">+CONVERT(V155,"m^3","gal")</f>
        <v>81.893336231026012</v>
      </c>
      <c r="AU155" s="19">
        <f t="shared" ref="AU155:AU183" si="95">+CONVERT(W155,"m^3","gal")</f>
        <v>84.535056754607496</v>
      </c>
      <c r="AV155" s="19">
        <f t="shared" ref="AV155:AV183" si="96">+CONVERT(X155,"m^3","gal")</f>
        <v>81.893336231026012</v>
      </c>
      <c r="AW155" s="19">
        <f t="shared" ref="AW155:AW183" si="97">+CONVERT(Y155,"m^3","gal")</f>
        <v>81.893336231026012</v>
      </c>
      <c r="AX155" s="18">
        <f>IFERROR(Z155/'Ar-Pa'!B155,0)</f>
        <v>8.255376636192139</v>
      </c>
      <c r="AY155" s="18">
        <f>IFERROR(AA155/'Ar-Pa'!C155,0)</f>
        <v>8.255376636192139</v>
      </c>
      <c r="AZ155" s="18">
        <f>IFERROR(AB155/'Ar-Pa'!D155,0)</f>
        <v>8.255376636192139</v>
      </c>
      <c r="BA155" s="18">
        <f>IFERROR(AC155/'Ar-Pa'!E155,0)</f>
        <v>8.5855917016398244</v>
      </c>
      <c r="BB155" s="18">
        <f>IFERROR(AD155/'Ar-Pa'!F155,0)</f>
        <v>8.255376636192139</v>
      </c>
      <c r="BC155" s="18">
        <f>IFERROR(AE155/'Ar-Pa'!G155,0)</f>
        <v>8.255376636192139</v>
      </c>
      <c r="BD155" s="18">
        <f>IFERROR(AF155/'Ar-Pa'!H155,0)</f>
        <v>7.9251615707444527</v>
      </c>
      <c r="BE155" s="18">
        <f>IFERROR(AG155/'Ar-Pa'!I155,0)</f>
        <v>8.255376636192139</v>
      </c>
      <c r="BF155" s="18">
        <f>IFERROR(AH155/'Ar-Pa'!J155,0)</f>
        <v>8.255376636192139</v>
      </c>
      <c r="BG155" s="18">
        <f>IFERROR(AI155/'Ar-Pa'!K155,0)</f>
        <v>8.255376636192139</v>
      </c>
      <c r="BH155" s="18">
        <f>IFERROR(AJ155/'Ar-Pa'!L155,0)</f>
        <v>8.255376636192139</v>
      </c>
      <c r="BI155" s="18">
        <f>IFERROR(AK155/'Ar-Pa'!M155,0)</f>
        <v>8.255376636192139</v>
      </c>
      <c r="BJ155" s="18">
        <f>IFERROR(AL155/'Ar-Pa'!N155,0)</f>
        <v>8.255376636192139</v>
      </c>
      <c r="BK155" s="18">
        <f>IFERROR(AM155/'Ar-Pa'!O155,0)</f>
        <v>8.255376636192139</v>
      </c>
      <c r="BL155" s="18">
        <f>IFERROR(AN155/'Ar-Pa'!P155,0)</f>
        <v>8.255376636192139</v>
      </c>
      <c r="BM155" s="18">
        <f>IFERROR(AO155/'Ar-Pa'!Q155,0)</f>
        <v>8.9158067670875099</v>
      </c>
      <c r="BN155" s="18">
        <f>IFERROR(AP155/'Ar-Pa'!R155,0)</f>
        <v>10.236667028878252</v>
      </c>
      <c r="BO155" s="18">
        <f>IFERROR(AQ155/'Ar-Pa'!S155,0)</f>
        <v>10.566882094325937</v>
      </c>
      <c r="BP155" s="18">
        <f>IFERROR(AR155/'Ar-Pa'!T155,0)</f>
        <v>10.566882094325937</v>
      </c>
      <c r="BQ155" s="18">
        <f>IFERROR(AS155/'Ar-Pa'!U155,0)</f>
        <v>10.236667028878252</v>
      </c>
      <c r="BR155" s="18">
        <f>IFERROR(AT155/'Ar-Pa'!V155,0)</f>
        <v>10.236667028878252</v>
      </c>
      <c r="BS155" s="18">
        <f>IFERROR(AU155/'Ar-Pa'!W155,0)</f>
        <v>10.566882094325937</v>
      </c>
      <c r="BT155" s="18">
        <f>IFERROR(AV155/'Ar-Pa'!X155,0)</f>
        <v>10.236667028878252</v>
      </c>
      <c r="BU155" s="18">
        <f>IFERROR(AW155/'Ar-Pa'!Y155,0)</f>
        <v>10.236667028878252</v>
      </c>
    </row>
    <row r="156" spans="1:73">
      <c r="A156" s="15">
        <v>45081</v>
      </c>
      <c r="B156" s="441">
        <v>0.38</v>
      </c>
      <c r="C156" s="441">
        <v>0.31</v>
      </c>
      <c r="D156" s="441">
        <v>0.31</v>
      </c>
      <c r="E156" s="441">
        <v>0.31</v>
      </c>
      <c r="F156" s="441">
        <v>0.3</v>
      </c>
      <c r="G156" s="441">
        <v>0.31</v>
      </c>
      <c r="H156" s="441">
        <v>0.3</v>
      </c>
      <c r="I156" s="441">
        <v>0.32</v>
      </c>
      <c r="J156" s="441">
        <v>0.3</v>
      </c>
      <c r="K156" s="441">
        <v>0.32</v>
      </c>
      <c r="L156" s="441">
        <v>0.31</v>
      </c>
      <c r="M156" s="441">
        <v>0.32</v>
      </c>
      <c r="N156" s="441">
        <v>0.3</v>
      </c>
      <c r="O156" s="441">
        <v>0.32</v>
      </c>
      <c r="P156" s="441">
        <v>0.32</v>
      </c>
      <c r="Q156" s="441">
        <v>0.3</v>
      </c>
      <c r="R156" s="441">
        <v>0.32</v>
      </c>
      <c r="S156" s="441">
        <v>0.31</v>
      </c>
      <c r="T156" s="441">
        <v>0.32</v>
      </c>
      <c r="U156" s="441">
        <v>0.35</v>
      </c>
      <c r="V156" s="441">
        <v>0.39</v>
      </c>
      <c r="W156" s="441">
        <v>0.31</v>
      </c>
      <c r="X156" s="441">
        <v>0.31</v>
      </c>
      <c r="Y156" s="441">
        <v>0.3</v>
      </c>
      <c r="Z156" s="19">
        <f t="shared" ref="Z156:Z182" si="98">+CONVERT(B156,"m^3","gal")</f>
        <v>100.3853798960964</v>
      </c>
      <c r="AA156" s="19">
        <f t="shared" si="75"/>
        <v>81.893336231026012</v>
      </c>
      <c r="AB156" s="19">
        <f t="shared" si="76"/>
        <v>81.893336231026012</v>
      </c>
      <c r="AC156" s="19">
        <f t="shared" si="77"/>
        <v>81.893336231026012</v>
      </c>
      <c r="AD156" s="19">
        <f t="shared" si="78"/>
        <v>79.251615707444529</v>
      </c>
      <c r="AE156" s="19">
        <f t="shared" si="79"/>
        <v>81.893336231026012</v>
      </c>
      <c r="AF156" s="19">
        <f t="shared" si="80"/>
        <v>79.251615707444529</v>
      </c>
      <c r="AG156" s="19">
        <f t="shared" si="81"/>
        <v>84.535056754607496</v>
      </c>
      <c r="AH156" s="19">
        <f t="shared" si="82"/>
        <v>79.251615707444529</v>
      </c>
      <c r="AI156" s="19">
        <f t="shared" si="83"/>
        <v>84.535056754607496</v>
      </c>
      <c r="AJ156" s="19">
        <f t="shared" si="84"/>
        <v>81.893336231026012</v>
      </c>
      <c r="AK156" s="19">
        <f t="shared" si="85"/>
        <v>84.535056754607496</v>
      </c>
      <c r="AL156" s="19">
        <f t="shared" si="86"/>
        <v>79.251615707444529</v>
      </c>
      <c r="AM156" s="19">
        <f t="shared" si="87"/>
        <v>84.535056754607496</v>
      </c>
      <c r="AN156" s="19">
        <f t="shared" si="88"/>
        <v>84.535056754607496</v>
      </c>
      <c r="AO156" s="19">
        <f t="shared" si="89"/>
        <v>79.251615707444529</v>
      </c>
      <c r="AP156" s="19">
        <f t="shared" si="90"/>
        <v>84.535056754607496</v>
      </c>
      <c r="AQ156" s="19">
        <f t="shared" si="91"/>
        <v>81.893336231026012</v>
      </c>
      <c r="AR156" s="19">
        <f t="shared" si="92"/>
        <v>84.535056754607496</v>
      </c>
      <c r="AS156" s="19">
        <f t="shared" si="93"/>
        <v>92.460218325351946</v>
      </c>
      <c r="AT156" s="19">
        <f t="shared" si="94"/>
        <v>103.02710041967788</v>
      </c>
      <c r="AU156" s="19">
        <f t="shared" si="95"/>
        <v>81.893336231026012</v>
      </c>
      <c r="AV156" s="19">
        <f t="shared" si="96"/>
        <v>81.893336231026012</v>
      </c>
      <c r="AW156" s="19">
        <f t="shared" si="97"/>
        <v>79.251615707444529</v>
      </c>
      <c r="AX156" s="18">
        <f>IFERROR(Z156/'Ar-Pa'!B156,0)</f>
        <v>12.548172487012049</v>
      </c>
      <c r="AY156" s="18">
        <f>IFERROR(AA156/'Ar-Pa'!C156,0)</f>
        <v>10.236667028878252</v>
      </c>
      <c r="AZ156" s="18">
        <f>IFERROR(AB156/'Ar-Pa'!D156,0)</f>
        <v>10.236667028878252</v>
      </c>
      <c r="BA156" s="18">
        <f>IFERROR(AC156/'Ar-Pa'!E156,0)</f>
        <v>10.236667028878252</v>
      </c>
      <c r="BB156" s="18">
        <f>IFERROR(AD156/'Ar-Pa'!F156,0)</f>
        <v>9.9064519634305661</v>
      </c>
      <c r="BC156" s="18">
        <f>IFERROR(AE156/'Ar-Pa'!G156,0)</f>
        <v>10.236667028878252</v>
      </c>
      <c r="BD156" s="18">
        <f>IFERROR(AF156/'Ar-Pa'!H156,0)</f>
        <v>11.321659386777791</v>
      </c>
      <c r="BE156" s="18">
        <f>IFERROR(AG156/'Ar-Pa'!I156,0)</f>
        <v>12.076436679229642</v>
      </c>
      <c r="BF156" s="18">
        <f>IFERROR(AH156/'Ar-Pa'!J156,0)</f>
        <v>9.9064519634305661</v>
      </c>
      <c r="BG156" s="18">
        <f>IFERROR(AI156/'Ar-Pa'!K156,0)</f>
        <v>10.566882094325937</v>
      </c>
      <c r="BH156" s="18">
        <f>IFERROR(AJ156/'Ar-Pa'!L156,0)</f>
        <v>10.236667028878252</v>
      </c>
      <c r="BI156" s="18">
        <f>IFERROR(AK156/'Ar-Pa'!M156,0)</f>
        <v>10.566882094325937</v>
      </c>
      <c r="BJ156" s="18">
        <f>IFERROR(AL156/'Ar-Pa'!N156,0)</f>
        <v>9.9064519634305661</v>
      </c>
      <c r="BK156" s="18">
        <f>IFERROR(AM156/'Ar-Pa'!O156,0)</f>
        <v>10.566882094325937</v>
      </c>
      <c r="BL156" s="18">
        <f>IFERROR(AN156/'Ar-Pa'!P156,0)</f>
        <v>10.566882094325937</v>
      </c>
      <c r="BM156" s="18">
        <f>IFERROR(AO156/'Ar-Pa'!Q156,0)</f>
        <v>9.9064519634305661</v>
      </c>
      <c r="BN156" s="18">
        <f>IFERROR(AP156/'Ar-Pa'!R156,0)</f>
        <v>10.566882094325937</v>
      </c>
      <c r="BO156" s="18">
        <f>IFERROR(AQ156/'Ar-Pa'!S156,0)</f>
        <v>10.236667028878252</v>
      </c>
      <c r="BP156" s="18">
        <f>IFERROR(AR156/'Ar-Pa'!T156,0)</f>
        <v>10.566882094325937</v>
      </c>
      <c r="BQ156" s="18">
        <f>IFERROR(AS156/'Ar-Pa'!U156,0)</f>
        <v>11.557527290668993</v>
      </c>
      <c r="BR156" s="18">
        <f>IFERROR(AT156/'Ar-Pa'!V156,0)</f>
        <v>12.878387552459735</v>
      </c>
      <c r="BS156" s="18">
        <f>IFERROR(AU156/'Ar-Pa'!W156,0)</f>
        <v>10.236667028878252</v>
      </c>
      <c r="BT156" s="18">
        <f>IFERROR(AV156/'Ar-Pa'!X156,0)</f>
        <v>10.236667028878252</v>
      </c>
      <c r="BU156" s="18">
        <f>IFERROR(AW156/'Ar-Pa'!Y156,0)</f>
        <v>9.9064519634305661</v>
      </c>
    </row>
    <row r="157" spans="1:73">
      <c r="A157" s="15">
        <v>45082</v>
      </c>
      <c r="B157" s="441">
        <v>0.26</v>
      </c>
      <c r="C157" s="441">
        <v>0.27</v>
      </c>
      <c r="D157" s="441">
        <v>0.28000000000000003</v>
      </c>
      <c r="E157" s="441">
        <v>0.27</v>
      </c>
      <c r="F157" s="441">
        <v>0.27</v>
      </c>
      <c r="G157" s="441">
        <v>0.27</v>
      </c>
      <c r="H157" s="441">
        <v>0.27</v>
      </c>
      <c r="I157" s="441">
        <v>0.26</v>
      </c>
      <c r="J157" s="441">
        <v>0.28000000000000003</v>
      </c>
      <c r="K157" s="441">
        <v>0.27</v>
      </c>
      <c r="L157" s="441">
        <v>0.27</v>
      </c>
      <c r="M157" s="441">
        <v>0.27</v>
      </c>
      <c r="N157" s="441">
        <v>0.27</v>
      </c>
      <c r="O157" s="441">
        <v>0.27</v>
      </c>
      <c r="P157" s="441">
        <v>0.28000000000000003</v>
      </c>
      <c r="Q157" s="441">
        <v>0.27</v>
      </c>
      <c r="R157" s="441">
        <v>0.27</v>
      </c>
      <c r="S157" s="441">
        <v>0.27</v>
      </c>
      <c r="T157" s="441">
        <v>0.31</v>
      </c>
      <c r="U157" s="441">
        <v>0.33</v>
      </c>
      <c r="V157" s="441">
        <v>0.34</v>
      </c>
      <c r="W157" s="441">
        <v>0.27</v>
      </c>
      <c r="X157" s="441">
        <v>0.28000000000000003</v>
      </c>
      <c r="Y157" s="441">
        <v>0.26</v>
      </c>
      <c r="Z157" s="19">
        <f t="shared" si="98"/>
        <v>68.684733613118595</v>
      </c>
      <c r="AA157" s="19">
        <f t="shared" si="75"/>
        <v>71.326454136700079</v>
      </c>
      <c r="AB157" s="19">
        <f t="shared" si="76"/>
        <v>73.968174660281562</v>
      </c>
      <c r="AC157" s="19">
        <f t="shared" si="77"/>
        <v>71.326454136700079</v>
      </c>
      <c r="AD157" s="19">
        <f t="shared" si="78"/>
        <v>71.326454136700079</v>
      </c>
      <c r="AE157" s="19">
        <f t="shared" si="79"/>
        <v>71.326454136700079</v>
      </c>
      <c r="AF157" s="19">
        <f t="shared" si="80"/>
        <v>71.326454136700079</v>
      </c>
      <c r="AG157" s="19">
        <f t="shared" si="81"/>
        <v>68.684733613118595</v>
      </c>
      <c r="AH157" s="19">
        <f t="shared" si="82"/>
        <v>73.968174660281562</v>
      </c>
      <c r="AI157" s="19">
        <f t="shared" si="83"/>
        <v>71.326454136700079</v>
      </c>
      <c r="AJ157" s="19">
        <f t="shared" si="84"/>
        <v>71.326454136700079</v>
      </c>
      <c r="AK157" s="19">
        <f t="shared" si="85"/>
        <v>71.326454136700079</v>
      </c>
      <c r="AL157" s="19">
        <f t="shared" si="86"/>
        <v>71.326454136700079</v>
      </c>
      <c r="AM157" s="19">
        <f t="shared" si="87"/>
        <v>71.326454136700079</v>
      </c>
      <c r="AN157" s="19">
        <f t="shared" si="88"/>
        <v>73.968174660281562</v>
      </c>
      <c r="AO157" s="19">
        <f t="shared" si="89"/>
        <v>71.326454136700079</v>
      </c>
      <c r="AP157" s="19">
        <f t="shared" si="90"/>
        <v>71.326454136700079</v>
      </c>
      <c r="AQ157" s="19">
        <f t="shared" si="91"/>
        <v>71.326454136700079</v>
      </c>
      <c r="AR157" s="19">
        <f t="shared" si="92"/>
        <v>81.893336231026012</v>
      </c>
      <c r="AS157" s="19">
        <f t="shared" si="93"/>
        <v>87.176777278188979</v>
      </c>
      <c r="AT157" s="19">
        <f t="shared" si="94"/>
        <v>89.818497801770462</v>
      </c>
      <c r="AU157" s="19">
        <f t="shared" si="95"/>
        <v>71.326454136700079</v>
      </c>
      <c r="AV157" s="19">
        <f t="shared" si="96"/>
        <v>73.968174660281562</v>
      </c>
      <c r="AW157" s="19">
        <f t="shared" si="97"/>
        <v>68.684733613118595</v>
      </c>
      <c r="AX157" s="18">
        <f>IFERROR(Z157/'Ar-Pa'!B157,0)</f>
        <v>8.5855917016398244</v>
      </c>
      <c r="AY157" s="18">
        <f>IFERROR(AA157/'Ar-Pa'!C157,0)</f>
        <v>8.9158067670875099</v>
      </c>
      <c r="AZ157" s="18">
        <f>IFERROR(AB157/'Ar-Pa'!D157,0)</f>
        <v>9.2460218325351953</v>
      </c>
      <c r="BA157" s="18">
        <f>IFERROR(AC157/'Ar-Pa'!E157,0)</f>
        <v>8.9158067670875099</v>
      </c>
      <c r="BB157" s="18">
        <f>IFERROR(AD157/'Ar-Pa'!F157,0)</f>
        <v>8.9158067670875099</v>
      </c>
      <c r="BC157" s="18">
        <f>IFERROR(AE157/'Ar-Pa'!G157,0)</f>
        <v>10.189493448100011</v>
      </c>
      <c r="BD157" s="18">
        <f>IFERROR(AF157/'Ar-Pa'!H157,0)</f>
        <v>10.189493448100011</v>
      </c>
      <c r="BE157" s="18">
        <f>IFERROR(AG157/'Ar-Pa'!I157,0)</f>
        <v>9.8121048018740851</v>
      </c>
      <c r="BF157" s="18">
        <f>IFERROR(AH157/'Ar-Pa'!J157,0)</f>
        <v>9.2460218325351953</v>
      </c>
      <c r="BG157" s="18">
        <f>IFERROR(AI157/'Ar-Pa'!K157,0)</f>
        <v>8.9158067670875099</v>
      </c>
      <c r="BH157" s="18">
        <f>IFERROR(AJ157/'Ar-Pa'!L157,0)</f>
        <v>8.9158067670875099</v>
      </c>
      <c r="BI157" s="18">
        <f>IFERROR(AK157/'Ar-Pa'!M157,0)</f>
        <v>8.9158067670875099</v>
      </c>
      <c r="BJ157" s="18">
        <f>IFERROR(AL157/'Ar-Pa'!N157,0)</f>
        <v>8.9158067670875099</v>
      </c>
      <c r="BK157" s="18">
        <f>IFERROR(AM157/'Ar-Pa'!O157,0)</f>
        <v>8.9158067670875099</v>
      </c>
      <c r="BL157" s="18">
        <f>IFERROR(AN157/'Ar-Pa'!P157,0)</f>
        <v>9.2460218325351953</v>
      </c>
      <c r="BM157" s="18">
        <f>IFERROR(AO157/'Ar-Pa'!Q157,0)</f>
        <v>8.9158067670875099</v>
      </c>
      <c r="BN157" s="18">
        <f>IFERROR(AP157/'Ar-Pa'!R157,0)</f>
        <v>8.9158067670875099</v>
      </c>
      <c r="BO157" s="18">
        <f>IFERROR(AQ157/'Ar-Pa'!S157,0)</f>
        <v>8.9158067670875099</v>
      </c>
      <c r="BP157" s="18">
        <f>IFERROR(AR157/'Ar-Pa'!T157,0)</f>
        <v>10.236667028878252</v>
      </c>
      <c r="BQ157" s="18">
        <f>IFERROR(AS157/'Ar-Pa'!U157,0)</f>
        <v>10.897097159773622</v>
      </c>
      <c r="BR157" s="18">
        <f>IFERROR(AT157/'Ar-Pa'!V157,0)</f>
        <v>11.227312225221308</v>
      </c>
      <c r="BS157" s="18">
        <f>IFERROR(AU157/'Ar-Pa'!W157,0)</f>
        <v>8.9158067670875099</v>
      </c>
      <c r="BT157" s="18">
        <f>IFERROR(AV157/'Ar-Pa'!X157,0)</f>
        <v>9.2460218325351953</v>
      </c>
      <c r="BU157" s="18">
        <f>IFERROR(AW157/'Ar-Pa'!Y157,0)</f>
        <v>8.5855917016398244</v>
      </c>
    </row>
    <row r="158" spans="1:73">
      <c r="A158" s="15">
        <v>45083</v>
      </c>
      <c r="B158" s="441">
        <v>0.28000000000000003</v>
      </c>
      <c r="C158" s="441">
        <v>0.28000000000000003</v>
      </c>
      <c r="D158" s="441">
        <v>0.28000000000000003</v>
      </c>
      <c r="E158" s="441">
        <v>0.28000000000000003</v>
      </c>
      <c r="F158" s="441">
        <v>0.27</v>
      </c>
      <c r="G158" s="441">
        <v>0.27</v>
      </c>
      <c r="H158" s="441">
        <v>0.28000000000000003</v>
      </c>
      <c r="I158" s="441">
        <v>0.28000000000000003</v>
      </c>
      <c r="J158" s="441">
        <v>0.27</v>
      </c>
      <c r="K158" s="441">
        <v>0.28000000000000003</v>
      </c>
      <c r="L158" s="441">
        <v>0.28000000000000003</v>
      </c>
      <c r="M158" s="441">
        <v>0.28000000000000003</v>
      </c>
      <c r="N158" s="441">
        <v>0.28000000000000003</v>
      </c>
      <c r="O158" s="441">
        <v>0.28999999999999998</v>
      </c>
      <c r="P158" s="441">
        <v>0.27</v>
      </c>
      <c r="Q158" s="441">
        <v>0.28999999999999998</v>
      </c>
      <c r="R158" s="441">
        <v>0.27</v>
      </c>
      <c r="S158" s="441">
        <v>0.27</v>
      </c>
      <c r="T158" s="441">
        <v>0.28999999999999998</v>
      </c>
      <c r="U158" s="441">
        <v>0.31</v>
      </c>
      <c r="V158" s="441">
        <v>0.36</v>
      </c>
      <c r="W158" s="441">
        <v>0.28000000000000003</v>
      </c>
      <c r="X158" s="441">
        <v>0.27</v>
      </c>
      <c r="Y158" s="441">
        <v>0.27</v>
      </c>
      <c r="Z158" s="19">
        <f t="shared" si="98"/>
        <v>73.968174660281562</v>
      </c>
      <c r="AA158" s="19">
        <f t="shared" si="75"/>
        <v>73.968174660281562</v>
      </c>
      <c r="AB158" s="19">
        <f t="shared" si="76"/>
        <v>73.968174660281562</v>
      </c>
      <c r="AC158" s="19">
        <f t="shared" si="77"/>
        <v>73.968174660281562</v>
      </c>
      <c r="AD158" s="19">
        <f t="shared" si="78"/>
        <v>71.326454136700079</v>
      </c>
      <c r="AE158" s="19">
        <f t="shared" si="79"/>
        <v>71.326454136700079</v>
      </c>
      <c r="AF158" s="19">
        <f t="shared" si="80"/>
        <v>73.968174660281562</v>
      </c>
      <c r="AG158" s="19">
        <f t="shared" si="81"/>
        <v>73.968174660281562</v>
      </c>
      <c r="AH158" s="19">
        <f t="shared" si="82"/>
        <v>71.326454136700079</v>
      </c>
      <c r="AI158" s="19">
        <f t="shared" si="83"/>
        <v>73.968174660281562</v>
      </c>
      <c r="AJ158" s="19">
        <f t="shared" si="84"/>
        <v>73.968174660281562</v>
      </c>
      <c r="AK158" s="19">
        <f t="shared" si="85"/>
        <v>73.968174660281562</v>
      </c>
      <c r="AL158" s="19">
        <f t="shared" si="86"/>
        <v>73.968174660281562</v>
      </c>
      <c r="AM158" s="19">
        <f t="shared" si="87"/>
        <v>76.609895183863046</v>
      </c>
      <c r="AN158" s="19">
        <f t="shared" si="88"/>
        <v>71.326454136700079</v>
      </c>
      <c r="AO158" s="19">
        <f t="shared" si="89"/>
        <v>76.609895183863046</v>
      </c>
      <c r="AP158" s="19">
        <f t="shared" si="90"/>
        <v>71.326454136700079</v>
      </c>
      <c r="AQ158" s="19">
        <f t="shared" si="91"/>
        <v>71.326454136700079</v>
      </c>
      <c r="AR158" s="19">
        <f t="shared" si="92"/>
        <v>76.609895183863046</v>
      </c>
      <c r="AS158" s="19">
        <f t="shared" si="93"/>
        <v>81.893336231026012</v>
      </c>
      <c r="AT158" s="19">
        <f t="shared" si="94"/>
        <v>95.101938848933429</v>
      </c>
      <c r="AU158" s="19">
        <f t="shared" si="95"/>
        <v>73.968174660281562</v>
      </c>
      <c r="AV158" s="19">
        <f t="shared" si="96"/>
        <v>71.326454136700079</v>
      </c>
      <c r="AW158" s="19">
        <f t="shared" si="97"/>
        <v>71.326454136700079</v>
      </c>
      <c r="AX158" s="18">
        <f>IFERROR(Z158/'Ar-Pa'!B158,0)</f>
        <v>9.2460218325351953</v>
      </c>
      <c r="AY158" s="18">
        <f>IFERROR(AA158/'Ar-Pa'!C158,0)</f>
        <v>9.2460218325351953</v>
      </c>
      <c r="AZ158" s="18">
        <f>IFERROR(AB158/'Ar-Pa'!D158,0)</f>
        <v>9.2460218325351953</v>
      </c>
      <c r="BA158" s="18">
        <f>IFERROR(AC158/'Ar-Pa'!E158,0)</f>
        <v>9.2460218325351953</v>
      </c>
      <c r="BB158" s="18">
        <f>IFERROR(AD158/'Ar-Pa'!F158,0)</f>
        <v>8.9158067670875099</v>
      </c>
      <c r="BC158" s="18">
        <f>IFERROR(AE158/'Ar-Pa'!G158,0)</f>
        <v>10.189493448100011</v>
      </c>
      <c r="BD158" s="18">
        <f>IFERROR(AF158/'Ar-Pa'!H158,0)</f>
        <v>9.2460218325351953</v>
      </c>
      <c r="BE158" s="18">
        <f>IFERROR(AG158/'Ar-Pa'!I158,0)</f>
        <v>10.566882094325937</v>
      </c>
      <c r="BF158" s="18">
        <f>IFERROR(AH158/'Ar-Pa'!J158,0)</f>
        <v>10.189493448100011</v>
      </c>
      <c r="BG158" s="18">
        <f>IFERROR(AI158/'Ar-Pa'!K158,0)</f>
        <v>9.2460218325351953</v>
      </c>
      <c r="BH158" s="18">
        <f>IFERROR(AJ158/'Ar-Pa'!L158,0)</f>
        <v>9.2460218325351953</v>
      </c>
      <c r="BI158" s="18">
        <f>IFERROR(AK158/'Ar-Pa'!M158,0)</f>
        <v>9.2460218325351953</v>
      </c>
      <c r="BJ158" s="18">
        <f>IFERROR(AL158/'Ar-Pa'!N158,0)</f>
        <v>9.2460218325351953</v>
      </c>
      <c r="BK158" s="18">
        <f>IFERROR(AM158/'Ar-Pa'!O158,0)</f>
        <v>9.5762368979828807</v>
      </c>
      <c r="BL158" s="18">
        <f>IFERROR(AN158/'Ar-Pa'!P158,0)</f>
        <v>8.9158067670875099</v>
      </c>
      <c r="BM158" s="18">
        <f>IFERROR(AO158/'Ar-Pa'!Q158,0)</f>
        <v>9.5762368979828807</v>
      </c>
      <c r="BN158" s="18">
        <f>IFERROR(AP158/'Ar-Pa'!R158,0)</f>
        <v>8.9158067670875099</v>
      </c>
      <c r="BO158" s="18">
        <f>IFERROR(AQ158/'Ar-Pa'!S158,0)</f>
        <v>8.9158067670875099</v>
      </c>
      <c r="BP158" s="18">
        <f>IFERROR(AR158/'Ar-Pa'!T158,0)</f>
        <v>9.5762368979828807</v>
      </c>
      <c r="BQ158" s="18">
        <f>IFERROR(AS158/'Ar-Pa'!U158,0)</f>
        <v>10.236667028878252</v>
      </c>
      <c r="BR158" s="18">
        <f>IFERROR(AT158/'Ar-Pa'!V158,0)</f>
        <v>11.887742356116679</v>
      </c>
      <c r="BS158" s="18">
        <f>IFERROR(AU158/'Ar-Pa'!W158,0)</f>
        <v>9.2460218325351953</v>
      </c>
      <c r="BT158" s="18">
        <f>IFERROR(AV158/'Ar-Pa'!X158,0)</f>
        <v>8.9158067670875099</v>
      </c>
      <c r="BU158" s="18">
        <f>IFERROR(AW158/'Ar-Pa'!Y158,0)</f>
        <v>8.9158067670875099</v>
      </c>
    </row>
    <row r="159" spans="1:73">
      <c r="A159" s="15">
        <v>45084</v>
      </c>
      <c r="B159" s="441">
        <v>0.26</v>
      </c>
      <c r="C159" s="441">
        <v>0.27</v>
      </c>
      <c r="D159" s="441">
        <v>0.26</v>
      </c>
      <c r="E159" s="441">
        <v>0.27</v>
      </c>
      <c r="F159" s="441">
        <v>0.26</v>
      </c>
      <c r="G159" s="441">
        <v>0.26</v>
      </c>
      <c r="H159" s="441">
        <v>0.27</v>
      </c>
      <c r="I159" s="441">
        <v>0.26</v>
      </c>
      <c r="J159" s="441">
        <v>0.27</v>
      </c>
      <c r="K159" s="441">
        <v>0.26</v>
      </c>
      <c r="L159" s="441">
        <v>0.27</v>
      </c>
      <c r="M159" s="441">
        <v>0.27</v>
      </c>
      <c r="N159" s="441">
        <v>0.34</v>
      </c>
      <c r="O159" s="441">
        <v>0.33</v>
      </c>
      <c r="P159" s="441">
        <v>0.34</v>
      </c>
      <c r="Q159" s="441">
        <v>0.34</v>
      </c>
      <c r="R159" s="441">
        <v>0.27</v>
      </c>
      <c r="S159" s="441">
        <v>0.26</v>
      </c>
      <c r="T159" s="441">
        <v>0.27</v>
      </c>
      <c r="U159" s="441">
        <v>0.28000000000000003</v>
      </c>
      <c r="V159" s="441">
        <v>0.33</v>
      </c>
      <c r="W159" s="441">
        <v>0.26</v>
      </c>
      <c r="X159" s="441">
        <v>0.27</v>
      </c>
      <c r="Y159" s="441">
        <v>0.26</v>
      </c>
      <c r="Z159" s="19">
        <f t="shared" si="98"/>
        <v>68.684733613118595</v>
      </c>
      <c r="AA159" s="19">
        <f t="shared" si="75"/>
        <v>71.326454136700079</v>
      </c>
      <c r="AB159" s="19">
        <f t="shared" si="76"/>
        <v>68.684733613118595</v>
      </c>
      <c r="AC159" s="19">
        <f t="shared" si="77"/>
        <v>71.326454136700079</v>
      </c>
      <c r="AD159" s="19">
        <f t="shared" si="78"/>
        <v>68.684733613118595</v>
      </c>
      <c r="AE159" s="19">
        <f t="shared" si="79"/>
        <v>68.684733613118595</v>
      </c>
      <c r="AF159" s="19">
        <f t="shared" si="80"/>
        <v>71.326454136700079</v>
      </c>
      <c r="AG159" s="19">
        <f t="shared" si="81"/>
        <v>68.684733613118595</v>
      </c>
      <c r="AH159" s="19">
        <f t="shared" si="82"/>
        <v>71.326454136700079</v>
      </c>
      <c r="AI159" s="19">
        <f t="shared" si="83"/>
        <v>68.684733613118595</v>
      </c>
      <c r="AJ159" s="19">
        <f t="shared" si="84"/>
        <v>71.326454136700079</v>
      </c>
      <c r="AK159" s="19">
        <f t="shared" si="85"/>
        <v>71.326454136700079</v>
      </c>
      <c r="AL159" s="19">
        <f t="shared" si="86"/>
        <v>89.818497801770462</v>
      </c>
      <c r="AM159" s="19">
        <f t="shared" si="87"/>
        <v>87.176777278188979</v>
      </c>
      <c r="AN159" s="19">
        <f t="shared" si="88"/>
        <v>89.818497801770462</v>
      </c>
      <c r="AO159" s="19">
        <f t="shared" si="89"/>
        <v>89.818497801770462</v>
      </c>
      <c r="AP159" s="19">
        <f t="shared" si="90"/>
        <v>71.326454136700079</v>
      </c>
      <c r="AQ159" s="19">
        <f t="shared" si="91"/>
        <v>68.684733613118595</v>
      </c>
      <c r="AR159" s="19">
        <f t="shared" si="92"/>
        <v>71.326454136700079</v>
      </c>
      <c r="AS159" s="19">
        <f t="shared" si="93"/>
        <v>73.968174660281562</v>
      </c>
      <c r="AT159" s="19">
        <f t="shared" si="94"/>
        <v>87.176777278188979</v>
      </c>
      <c r="AU159" s="19">
        <f t="shared" si="95"/>
        <v>68.684733613118595</v>
      </c>
      <c r="AV159" s="19">
        <f t="shared" si="96"/>
        <v>71.326454136700079</v>
      </c>
      <c r="AW159" s="19">
        <f t="shared" si="97"/>
        <v>68.684733613118595</v>
      </c>
      <c r="AX159" s="18">
        <f>IFERROR(Z159/'Ar-Pa'!B159,0)</f>
        <v>8.5855917016398244</v>
      </c>
      <c r="AY159" s="18">
        <f>IFERROR(AA159/'Ar-Pa'!C159,0)</f>
        <v>8.9158067670875099</v>
      </c>
      <c r="AZ159" s="18">
        <f>IFERROR(AB159/'Ar-Pa'!D159,0)</f>
        <v>8.5855917016398244</v>
      </c>
      <c r="BA159" s="18">
        <f>IFERROR(AC159/'Ar-Pa'!E159,0)</f>
        <v>8.9158067670875099</v>
      </c>
      <c r="BB159" s="18">
        <f>IFERROR(AD159/'Ar-Pa'!F159,0)</f>
        <v>8.5855917016398244</v>
      </c>
      <c r="BC159" s="18">
        <f>IFERROR(AE159/'Ar-Pa'!G159,0)</f>
        <v>9.8121048018740851</v>
      </c>
      <c r="BD159" s="18">
        <f>IFERROR(AF159/'Ar-Pa'!H159,0)</f>
        <v>8.9158067670875099</v>
      </c>
      <c r="BE159" s="18">
        <f>IFERROR(AG159/'Ar-Pa'!I159,0)</f>
        <v>8.5855917016398244</v>
      </c>
      <c r="BF159" s="18">
        <f>IFERROR(AH159/'Ar-Pa'!J159,0)</f>
        <v>8.9158067670875099</v>
      </c>
      <c r="BG159" s="18">
        <f>IFERROR(AI159/'Ar-Pa'!K159,0)</f>
        <v>8.5855917016398244</v>
      </c>
      <c r="BH159" s="18">
        <f>IFERROR(AJ159/'Ar-Pa'!L159,0)</f>
        <v>8.9158067670875099</v>
      </c>
      <c r="BI159" s="18">
        <f>IFERROR(AK159/'Ar-Pa'!M159,0)</f>
        <v>8.9158067670875099</v>
      </c>
      <c r="BJ159" s="18">
        <f>IFERROR(AL159/'Ar-Pa'!N159,0)</f>
        <v>11.227312225221308</v>
      </c>
      <c r="BK159" s="18">
        <f>IFERROR(AM159/'Ar-Pa'!O159,0)</f>
        <v>10.897097159773622</v>
      </c>
      <c r="BL159" s="18">
        <f>IFERROR(AN159/'Ar-Pa'!P159,0)</f>
        <v>11.227312225221308</v>
      </c>
      <c r="BM159" s="18">
        <f>IFERROR(AO159/'Ar-Pa'!Q159,0)</f>
        <v>11.227312225221308</v>
      </c>
      <c r="BN159" s="18">
        <f>IFERROR(AP159/'Ar-Pa'!R159,0)</f>
        <v>8.9158067670875099</v>
      </c>
      <c r="BO159" s="18">
        <f>IFERROR(AQ159/'Ar-Pa'!S159,0)</f>
        <v>8.5855917016398244</v>
      </c>
      <c r="BP159" s="18">
        <f>IFERROR(AR159/'Ar-Pa'!T159,0)</f>
        <v>8.9158067670875099</v>
      </c>
      <c r="BQ159" s="18">
        <f>IFERROR(AS159/'Ar-Pa'!U159,0)</f>
        <v>9.2460218325351953</v>
      </c>
      <c r="BR159" s="18">
        <f>IFERROR(AT159/'Ar-Pa'!V159,0)</f>
        <v>10.897097159773622</v>
      </c>
      <c r="BS159" s="18">
        <f>IFERROR(AU159/'Ar-Pa'!W159,0)</f>
        <v>8.5855917016398244</v>
      </c>
      <c r="BT159" s="18">
        <f>IFERROR(AV159/'Ar-Pa'!X159,0)</f>
        <v>7.9251615707444536</v>
      </c>
      <c r="BU159" s="18">
        <f>IFERROR(AW159/'Ar-Pa'!Y159,0)</f>
        <v>8.5855917016398244</v>
      </c>
    </row>
    <row r="160" spans="1:73">
      <c r="A160" s="15">
        <v>45085</v>
      </c>
      <c r="B160" s="441">
        <v>0.31</v>
      </c>
      <c r="C160" s="441">
        <v>0.31</v>
      </c>
      <c r="D160" s="441">
        <v>0.32</v>
      </c>
      <c r="E160" s="441">
        <v>0.31</v>
      </c>
      <c r="F160" s="441">
        <v>0.32</v>
      </c>
      <c r="G160" s="441">
        <v>0.31</v>
      </c>
      <c r="H160" s="441">
        <v>0.32</v>
      </c>
      <c r="I160" s="441">
        <v>0.3</v>
      </c>
      <c r="J160" s="441">
        <v>0.32</v>
      </c>
      <c r="K160" s="441">
        <v>0.31</v>
      </c>
      <c r="L160" s="441">
        <v>0.31</v>
      </c>
      <c r="M160" s="441">
        <v>0.31</v>
      </c>
      <c r="N160" s="441">
        <v>0.32</v>
      </c>
      <c r="O160" s="441">
        <v>0.31</v>
      </c>
      <c r="P160" s="441">
        <v>0.31</v>
      </c>
      <c r="Q160" s="441">
        <v>0.32</v>
      </c>
      <c r="R160" s="441">
        <v>0.31</v>
      </c>
      <c r="S160" s="441">
        <v>0.31</v>
      </c>
      <c r="T160" s="441">
        <v>0.31</v>
      </c>
      <c r="U160" s="441">
        <v>0.31</v>
      </c>
      <c r="V160" s="441">
        <v>0.32</v>
      </c>
      <c r="W160" s="441">
        <v>0.31</v>
      </c>
      <c r="X160" s="441">
        <v>0.32</v>
      </c>
      <c r="Y160" s="441">
        <v>0.32</v>
      </c>
      <c r="Z160" s="19">
        <f t="shared" si="98"/>
        <v>81.893336231026012</v>
      </c>
      <c r="AA160" s="19">
        <f t="shared" si="75"/>
        <v>81.893336231026012</v>
      </c>
      <c r="AB160" s="19">
        <f t="shared" si="76"/>
        <v>84.535056754607496</v>
      </c>
      <c r="AC160" s="19">
        <f t="shared" si="77"/>
        <v>81.893336231026012</v>
      </c>
      <c r="AD160" s="19">
        <f t="shared" si="78"/>
        <v>84.535056754607496</v>
      </c>
      <c r="AE160" s="19">
        <f t="shared" si="79"/>
        <v>81.893336231026012</v>
      </c>
      <c r="AF160" s="19">
        <f t="shared" si="80"/>
        <v>84.535056754607496</v>
      </c>
      <c r="AG160" s="19">
        <f t="shared" si="81"/>
        <v>79.251615707444529</v>
      </c>
      <c r="AH160" s="19">
        <f t="shared" si="82"/>
        <v>84.535056754607496</v>
      </c>
      <c r="AI160" s="19">
        <f t="shared" si="83"/>
        <v>81.893336231026012</v>
      </c>
      <c r="AJ160" s="19">
        <f t="shared" si="84"/>
        <v>81.893336231026012</v>
      </c>
      <c r="AK160" s="19">
        <f t="shared" si="85"/>
        <v>81.893336231026012</v>
      </c>
      <c r="AL160" s="19">
        <f t="shared" si="86"/>
        <v>84.535056754607496</v>
      </c>
      <c r="AM160" s="19">
        <f t="shared" si="87"/>
        <v>81.893336231026012</v>
      </c>
      <c r="AN160" s="19">
        <f t="shared" si="88"/>
        <v>81.893336231026012</v>
      </c>
      <c r="AO160" s="19">
        <f t="shared" si="89"/>
        <v>84.535056754607496</v>
      </c>
      <c r="AP160" s="19">
        <f t="shared" si="90"/>
        <v>81.893336231026012</v>
      </c>
      <c r="AQ160" s="19">
        <f t="shared" si="91"/>
        <v>81.893336231026012</v>
      </c>
      <c r="AR160" s="19">
        <f t="shared" si="92"/>
        <v>81.893336231026012</v>
      </c>
      <c r="AS160" s="19">
        <f t="shared" si="93"/>
        <v>81.893336231026012</v>
      </c>
      <c r="AT160" s="19">
        <f t="shared" si="94"/>
        <v>84.535056754607496</v>
      </c>
      <c r="AU160" s="19">
        <f t="shared" si="95"/>
        <v>81.893336231026012</v>
      </c>
      <c r="AV160" s="19">
        <f t="shared" si="96"/>
        <v>84.535056754607496</v>
      </c>
      <c r="AW160" s="19">
        <f t="shared" si="97"/>
        <v>84.535056754607496</v>
      </c>
      <c r="AX160" s="18">
        <f>IFERROR(Z160/'Ar-Pa'!B160,0)</f>
        <v>10.236667028878252</v>
      </c>
      <c r="AY160" s="18">
        <f>IFERROR(AA160/'Ar-Pa'!C160,0)</f>
        <v>10.236667028878252</v>
      </c>
      <c r="AZ160" s="18">
        <f>IFERROR(AB160/'Ar-Pa'!D160,0)</f>
        <v>10.566882094325937</v>
      </c>
      <c r="BA160" s="18">
        <f>IFERROR(AC160/'Ar-Pa'!E160,0)</f>
        <v>10.236667028878252</v>
      </c>
      <c r="BB160" s="18">
        <f>IFERROR(AD160/'Ar-Pa'!F160,0)</f>
        <v>10.566882094325937</v>
      </c>
      <c r="BC160" s="18">
        <f>IFERROR(AE160/'Ar-Pa'!G160,0)</f>
        <v>10.236667028878252</v>
      </c>
      <c r="BD160" s="18">
        <f>IFERROR(AF160/'Ar-Pa'!H160,0)</f>
        <v>12.076436679229642</v>
      </c>
      <c r="BE160" s="18">
        <f>IFERROR(AG160/'Ar-Pa'!I160,0)</f>
        <v>11.321659386777791</v>
      </c>
      <c r="BF160" s="18">
        <f>IFERROR(AH160/'Ar-Pa'!J160,0)</f>
        <v>12.076436679229642</v>
      </c>
      <c r="BG160" s="18">
        <f>IFERROR(AI160/'Ar-Pa'!K160,0)</f>
        <v>11.699048033003717</v>
      </c>
      <c r="BH160" s="18">
        <f>IFERROR(AJ160/'Ar-Pa'!L160,0)</f>
        <v>10.236667028878252</v>
      </c>
      <c r="BI160" s="18">
        <f>IFERROR(AK160/'Ar-Pa'!M160,0)</f>
        <v>10.236667028878252</v>
      </c>
      <c r="BJ160" s="18">
        <f>IFERROR(AL160/'Ar-Pa'!N160,0)</f>
        <v>10.566882094325937</v>
      </c>
      <c r="BK160" s="18">
        <f>IFERROR(AM160/'Ar-Pa'!O160,0)</f>
        <v>10.236667028878252</v>
      </c>
      <c r="BL160" s="18">
        <f>IFERROR(AN160/'Ar-Pa'!P160,0)</f>
        <v>10.236667028878252</v>
      </c>
      <c r="BM160" s="18">
        <f>IFERROR(AO160/'Ar-Pa'!Q160,0)</f>
        <v>10.566882094325937</v>
      </c>
      <c r="BN160" s="18">
        <f>IFERROR(AP160/'Ar-Pa'!R160,0)</f>
        <v>10.236667028878252</v>
      </c>
      <c r="BO160" s="18">
        <f>IFERROR(AQ160/'Ar-Pa'!S160,0)</f>
        <v>10.236667028878252</v>
      </c>
      <c r="BP160" s="18">
        <f>IFERROR(AR160/'Ar-Pa'!T160,0)</f>
        <v>10.236667028878252</v>
      </c>
      <c r="BQ160" s="18">
        <f>IFERROR(AS160/'Ar-Pa'!U160,0)</f>
        <v>10.236667028878252</v>
      </c>
      <c r="BR160" s="18">
        <f>IFERROR(AT160/'Ar-Pa'!V160,0)</f>
        <v>10.566882094325937</v>
      </c>
      <c r="BS160" s="18">
        <f>IFERROR(AU160/'Ar-Pa'!W160,0)</f>
        <v>10.236667028878252</v>
      </c>
      <c r="BT160" s="18">
        <f>IFERROR(AV160/'Ar-Pa'!X160,0)</f>
        <v>9.3927840838452781</v>
      </c>
      <c r="BU160" s="18">
        <f>IFERROR(AW160/'Ar-Pa'!Y160,0)</f>
        <v>9.3927840838452781</v>
      </c>
    </row>
    <row r="161" spans="1:73">
      <c r="A161" s="15">
        <v>45086</v>
      </c>
      <c r="B161" s="441">
        <v>0.27</v>
      </c>
      <c r="C161" s="441">
        <v>0.26</v>
      </c>
      <c r="D161" s="441">
        <v>0.26</v>
      </c>
      <c r="E161" s="441">
        <v>0.27</v>
      </c>
      <c r="F161" s="441">
        <v>0.27</v>
      </c>
      <c r="G161" s="441">
        <v>0.26</v>
      </c>
      <c r="H161" s="441">
        <v>0.27</v>
      </c>
      <c r="I161" s="441">
        <v>0.25</v>
      </c>
      <c r="J161" s="441">
        <v>0.27</v>
      </c>
      <c r="K161" s="441">
        <v>0.26</v>
      </c>
      <c r="L161" s="441">
        <v>0.25</v>
      </c>
      <c r="M161" s="441">
        <v>0.26</v>
      </c>
      <c r="N161" s="441">
        <v>0.26</v>
      </c>
      <c r="O161" s="441">
        <v>0.26</v>
      </c>
      <c r="P161" s="441">
        <v>0.26</v>
      </c>
      <c r="Q161" s="441">
        <v>0.26</v>
      </c>
      <c r="R161" s="441">
        <v>0.27</v>
      </c>
      <c r="S161" s="441">
        <v>0.26</v>
      </c>
      <c r="T161" s="441">
        <v>0.33</v>
      </c>
      <c r="U161" s="441">
        <v>0.36</v>
      </c>
      <c r="V161" s="441">
        <v>0.35</v>
      </c>
      <c r="W161" s="441">
        <v>0.26</v>
      </c>
      <c r="X161" s="441">
        <v>0.26</v>
      </c>
      <c r="Y161" s="441">
        <v>0.27</v>
      </c>
      <c r="Z161" s="19">
        <f t="shared" si="98"/>
        <v>71.326454136700079</v>
      </c>
      <c r="AA161" s="19">
        <f t="shared" si="75"/>
        <v>68.684733613118595</v>
      </c>
      <c r="AB161" s="19">
        <f t="shared" si="76"/>
        <v>68.684733613118595</v>
      </c>
      <c r="AC161" s="19">
        <f t="shared" si="77"/>
        <v>71.326454136700079</v>
      </c>
      <c r="AD161" s="19">
        <f t="shared" si="78"/>
        <v>71.326454136700079</v>
      </c>
      <c r="AE161" s="19">
        <f t="shared" si="79"/>
        <v>68.684733613118595</v>
      </c>
      <c r="AF161" s="19">
        <f t="shared" si="80"/>
        <v>71.326454136700079</v>
      </c>
      <c r="AG161" s="19">
        <f t="shared" si="81"/>
        <v>66.043013089537112</v>
      </c>
      <c r="AH161" s="19">
        <f t="shared" si="82"/>
        <v>71.326454136700079</v>
      </c>
      <c r="AI161" s="19">
        <f t="shared" si="83"/>
        <v>68.684733613118595</v>
      </c>
      <c r="AJ161" s="19">
        <f t="shared" si="84"/>
        <v>66.043013089537112</v>
      </c>
      <c r="AK161" s="19">
        <f t="shared" si="85"/>
        <v>68.684733613118595</v>
      </c>
      <c r="AL161" s="19">
        <f t="shared" si="86"/>
        <v>68.684733613118595</v>
      </c>
      <c r="AM161" s="19">
        <f t="shared" si="87"/>
        <v>68.684733613118595</v>
      </c>
      <c r="AN161" s="19">
        <f t="shared" si="88"/>
        <v>68.684733613118595</v>
      </c>
      <c r="AO161" s="19">
        <f t="shared" si="89"/>
        <v>68.684733613118595</v>
      </c>
      <c r="AP161" s="19">
        <f t="shared" si="90"/>
        <v>71.326454136700079</v>
      </c>
      <c r="AQ161" s="19">
        <f t="shared" si="91"/>
        <v>68.684733613118595</v>
      </c>
      <c r="AR161" s="19">
        <f t="shared" si="92"/>
        <v>87.176777278188979</v>
      </c>
      <c r="AS161" s="19">
        <f t="shared" si="93"/>
        <v>95.101938848933429</v>
      </c>
      <c r="AT161" s="19">
        <f t="shared" si="94"/>
        <v>92.460218325351946</v>
      </c>
      <c r="AU161" s="19">
        <f t="shared" si="95"/>
        <v>68.684733613118595</v>
      </c>
      <c r="AV161" s="19">
        <f t="shared" si="96"/>
        <v>68.684733613118595</v>
      </c>
      <c r="AW161" s="19">
        <f t="shared" si="97"/>
        <v>71.326454136700079</v>
      </c>
      <c r="AX161" s="18">
        <f>IFERROR(Z161/'Ar-Pa'!B161,0)</f>
        <v>7.9251615707444536</v>
      </c>
      <c r="AY161" s="18">
        <f>IFERROR(AA161/'Ar-Pa'!C161,0)</f>
        <v>7.631637068124288</v>
      </c>
      <c r="AZ161" s="18">
        <f>IFERROR(AB161/'Ar-Pa'!D161,0)</f>
        <v>7.631637068124288</v>
      </c>
      <c r="BA161" s="18">
        <f>IFERROR(AC161/'Ar-Pa'!E161,0)</f>
        <v>8.9158067670875099</v>
      </c>
      <c r="BB161" s="18">
        <f>IFERROR(AD161/'Ar-Pa'!F161,0)</f>
        <v>8.9158067670875099</v>
      </c>
      <c r="BC161" s="18">
        <f>IFERROR(AE161/'Ar-Pa'!G161,0)</f>
        <v>8.5855917016398244</v>
      </c>
      <c r="BD161" s="18">
        <f>IFERROR(AF161/'Ar-Pa'!H161,0)</f>
        <v>10.189493448100011</v>
      </c>
      <c r="BE161" s="18">
        <f>IFERROR(AG161/'Ar-Pa'!I161,0)</f>
        <v>9.4347161556481591</v>
      </c>
      <c r="BF161" s="18">
        <f>IFERROR(AH161/'Ar-Pa'!J161,0)</f>
        <v>8.9158067670875099</v>
      </c>
      <c r="BG161" s="18">
        <f>IFERROR(AI161/'Ar-Pa'!K161,0)</f>
        <v>8.5855917016398244</v>
      </c>
      <c r="BH161" s="18">
        <f>IFERROR(AJ161/'Ar-Pa'!L161,0)</f>
        <v>8.255376636192139</v>
      </c>
      <c r="BI161" s="18">
        <f>IFERROR(AK161/'Ar-Pa'!M161,0)</f>
        <v>8.5855917016398244</v>
      </c>
      <c r="BJ161" s="18">
        <f>IFERROR(AL161/'Ar-Pa'!N161,0)</f>
        <v>8.5855917016398244</v>
      </c>
      <c r="BK161" s="18">
        <f>IFERROR(AM161/'Ar-Pa'!O161,0)</f>
        <v>8.5855917016398244</v>
      </c>
      <c r="BL161" s="18">
        <f>IFERROR(AN161/'Ar-Pa'!P161,0)</f>
        <v>8.5855917016398244</v>
      </c>
      <c r="BM161" s="18">
        <f>IFERROR(AO161/'Ar-Pa'!Q161,0)</f>
        <v>8.5855917016398244</v>
      </c>
      <c r="BN161" s="18">
        <f>IFERROR(AP161/'Ar-Pa'!R161,0)</f>
        <v>8.9158067670875099</v>
      </c>
      <c r="BO161" s="18">
        <f>IFERROR(AQ161/'Ar-Pa'!S161,0)</f>
        <v>7.631637068124288</v>
      </c>
      <c r="BP161" s="18">
        <f>IFERROR(AR161/'Ar-Pa'!T161,0)</f>
        <v>9.6863085864654419</v>
      </c>
      <c r="BQ161" s="18">
        <f>IFERROR(AS161/'Ar-Pa'!U161,0)</f>
        <v>10.566882094325937</v>
      </c>
      <c r="BR161" s="18">
        <f>IFERROR(AT161/'Ar-Pa'!V161,0)</f>
        <v>10.273357591705771</v>
      </c>
      <c r="BS161" s="18">
        <f>IFERROR(AU161/'Ar-Pa'!W161,0)</f>
        <v>7.631637068124288</v>
      </c>
      <c r="BT161" s="18">
        <f>IFERROR(AV161/'Ar-Pa'!X161,0)</f>
        <v>7.631637068124288</v>
      </c>
      <c r="BU161" s="18">
        <f>IFERROR(AW161/'Ar-Pa'!Y161,0)</f>
        <v>7.9251615707444536</v>
      </c>
    </row>
    <row r="162" spans="1:73">
      <c r="A162" s="15">
        <v>45087</v>
      </c>
      <c r="B162" s="441">
        <v>0.3</v>
      </c>
      <c r="C162" s="441">
        <v>0.28999999999999998</v>
      </c>
      <c r="D162" s="441">
        <v>0.3</v>
      </c>
      <c r="E162" s="441">
        <v>0.28999999999999998</v>
      </c>
      <c r="F162" s="441">
        <v>0.3</v>
      </c>
      <c r="G162" s="441">
        <v>0.3</v>
      </c>
      <c r="H162" s="441">
        <v>0.28999999999999998</v>
      </c>
      <c r="I162" s="441">
        <v>0.28999999999999998</v>
      </c>
      <c r="J162" s="441">
        <v>0.3</v>
      </c>
      <c r="K162" s="441">
        <v>0.28999999999999998</v>
      </c>
      <c r="L162" s="441">
        <v>0.28999999999999998</v>
      </c>
      <c r="M162" s="441">
        <v>0.3</v>
      </c>
      <c r="N162" s="441">
        <v>0.28999999999999998</v>
      </c>
      <c r="O162" s="441">
        <v>0.28999999999999998</v>
      </c>
      <c r="P162" s="441">
        <v>0.28999999999999998</v>
      </c>
      <c r="Q162" s="441">
        <v>0.28999999999999998</v>
      </c>
      <c r="R162" s="441">
        <v>0.28999999999999998</v>
      </c>
      <c r="S162" s="441">
        <v>0.28999999999999998</v>
      </c>
      <c r="T162" s="441">
        <v>0.33</v>
      </c>
      <c r="U162" s="441">
        <v>0.28999999999999998</v>
      </c>
      <c r="V162" s="441">
        <v>0.28999999999999998</v>
      </c>
      <c r="W162" s="441">
        <v>0.3</v>
      </c>
      <c r="X162" s="441">
        <v>0.3</v>
      </c>
      <c r="Y162" s="441">
        <v>0.28999999999999998</v>
      </c>
      <c r="Z162" s="19">
        <f t="shared" si="98"/>
        <v>79.251615707444529</v>
      </c>
      <c r="AA162" s="19">
        <f t="shared" si="75"/>
        <v>76.609895183863046</v>
      </c>
      <c r="AB162" s="19">
        <f t="shared" si="76"/>
        <v>79.251615707444529</v>
      </c>
      <c r="AC162" s="19">
        <f t="shared" si="77"/>
        <v>76.609895183863046</v>
      </c>
      <c r="AD162" s="19">
        <f t="shared" si="78"/>
        <v>79.251615707444529</v>
      </c>
      <c r="AE162" s="19">
        <f t="shared" si="79"/>
        <v>79.251615707444529</v>
      </c>
      <c r="AF162" s="19">
        <f t="shared" si="80"/>
        <v>76.609895183863046</v>
      </c>
      <c r="AG162" s="19">
        <f t="shared" si="81"/>
        <v>76.609895183863046</v>
      </c>
      <c r="AH162" s="19">
        <f t="shared" si="82"/>
        <v>79.251615707444529</v>
      </c>
      <c r="AI162" s="19">
        <f t="shared" si="83"/>
        <v>76.609895183863046</v>
      </c>
      <c r="AJ162" s="19">
        <f t="shared" si="84"/>
        <v>76.609895183863046</v>
      </c>
      <c r="AK162" s="19">
        <f t="shared" si="85"/>
        <v>79.251615707444529</v>
      </c>
      <c r="AL162" s="19">
        <f t="shared" si="86"/>
        <v>76.609895183863046</v>
      </c>
      <c r="AM162" s="19">
        <f t="shared" si="87"/>
        <v>76.609895183863046</v>
      </c>
      <c r="AN162" s="19">
        <f t="shared" si="88"/>
        <v>76.609895183863046</v>
      </c>
      <c r="AO162" s="19">
        <f t="shared" si="89"/>
        <v>76.609895183863046</v>
      </c>
      <c r="AP162" s="19">
        <f t="shared" si="90"/>
        <v>76.609895183863046</v>
      </c>
      <c r="AQ162" s="19">
        <f t="shared" si="91"/>
        <v>76.609895183863046</v>
      </c>
      <c r="AR162" s="19">
        <f t="shared" si="92"/>
        <v>87.176777278188979</v>
      </c>
      <c r="AS162" s="19">
        <f t="shared" si="93"/>
        <v>76.609895183863046</v>
      </c>
      <c r="AT162" s="19">
        <f t="shared" si="94"/>
        <v>76.609895183863046</v>
      </c>
      <c r="AU162" s="19">
        <f t="shared" si="95"/>
        <v>79.251615707444529</v>
      </c>
      <c r="AV162" s="19">
        <f t="shared" si="96"/>
        <v>79.251615707444529</v>
      </c>
      <c r="AW162" s="19">
        <f t="shared" si="97"/>
        <v>76.609895183863046</v>
      </c>
      <c r="AX162" s="18">
        <f>IFERROR(Z162/'Ar-Pa'!B162,0)</f>
        <v>9.9064519634305661</v>
      </c>
      <c r="AY162" s="18">
        <f>IFERROR(AA162/'Ar-Pa'!C162,0)</f>
        <v>9.5762368979828807</v>
      </c>
      <c r="AZ162" s="18">
        <f>IFERROR(AB162/'Ar-Pa'!D162,0)</f>
        <v>9.9064519634305661</v>
      </c>
      <c r="BA162" s="18">
        <f>IFERROR(AC162/'Ar-Pa'!E162,0)</f>
        <v>9.5762368979828807</v>
      </c>
      <c r="BB162" s="18">
        <f>IFERROR(AD162/'Ar-Pa'!F162,0)</f>
        <v>9.9064519634305661</v>
      </c>
      <c r="BC162" s="18">
        <f>IFERROR(AE162/'Ar-Pa'!G162,0)</f>
        <v>9.9064519634305661</v>
      </c>
      <c r="BD162" s="18">
        <f>IFERROR(AF162/'Ar-Pa'!H162,0)</f>
        <v>9.5762368979828807</v>
      </c>
      <c r="BE162" s="18">
        <f>IFERROR(AG162/'Ar-Pa'!I162,0)</f>
        <v>9.5762368979828807</v>
      </c>
      <c r="BF162" s="18">
        <f>IFERROR(AH162/'Ar-Pa'!J162,0)</f>
        <v>9.9064519634305661</v>
      </c>
      <c r="BG162" s="18">
        <f>IFERROR(AI162/'Ar-Pa'!K162,0)</f>
        <v>9.5762368979828807</v>
      </c>
      <c r="BH162" s="18">
        <f>IFERROR(AJ162/'Ar-Pa'!L162,0)</f>
        <v>9.5762368979828807</v>
      </c>
      <c r="BI162" s="18">
        <f>IFERROR(AK162/'Ar-Pa'!M162,0)</f>
        <v>9.9064519634305661</v>
      </c>
      <c r="BJ162" s="18">
        <f>IFERROR(AL162/'Ar-Pa'!N162,0)</f>
        <v>9.5762368979828807</v>
      </c>
      <c r="BK162" s="18">
        <f>IFERROR(AM162/'Ar-Pa'!O162,0)</f>
        <v>9.5762368979828807</v>
      </c>
      <c r="BL162" s="18">
        <f>IFERROR(AN162/'Ar-Pa'!P162,0)</f>
        <v>9.5762368979828807</v>
      </c>
      <c r="BM162" s="18">
        <f>IFERROR(AO162/'Ar-Pa'!Q162,0)</f>
        <v>9.5762368979828807</v>
      </c>
      <c r="BN162" s="18">
        <f>IFERROR(AP162/'Ar-Pa'!R162,0)</f>
        <v>10.944270740551863</v>
      </c>
      <c r="BO162" s="18">
        <f>IFERROR(AQ162/'Ar-Pa'!S162,0)</f>
        <v>10.944270740551863</v>
      </c>
      <c r="BP162" s="18">
        <f>IFERROR(AR162/'Ar-Pa'!T162,0)</f>
        <v>10.897097159773622</v>
      </c>
      <c r="BQ162" s="18">
        <f>IFERROR(AS162/'Ar-Pa'!U162,0)</f>
        <v>9.5762368979828807</v>
      </c>
      <c r="BR162" s="18">
        <f>IFERROR(AT162/'Ar-Pa'!V162,0)</f>
        <v>8.512210575984783</v>
      </c>
      <c r="BS162" s="18">
        <f>IFERROR(AU162/'Ar-Pa'!W162,0)</f>
        <v>9.9064519634305661</v>
      </c>
      <c r="BT162" s="18">
        <f>IFERROR(AV162/'Ar-Pa'!X162,0)</f>
        <v>9.9064519634305661</v>
      </c>
      <c r="BU162" s="18">
        <f>IFERROR(AW162/'Ar-Pa'!Y162,0)</f>
        <v>9.5762368979828807</v>
      </c>
    </row>
    <row r="163" spans="1:73">
      <c r="A163" s="15">
        <v>45088</v>
      </c>
      <c r="B163" s="441">
        <v>0.27</v>
      </c>
      <c r="C163" s="441">
        <v>0.27</v>
      </c>
      <c r="D163" s="441">
        <v>0.27</v>
      </c>
      <c r="E163" s="441">
        <v>0.27</v>
      </c>
      <c r="F163" s="441">
        <v>0.27</v>
      </c>
      <c r="G163" s="441">
        <v>0.27</v>
      </c>
      <c r="H163" s="441">
        <v>0.26</v>
      </c>
      <c r="I163" s="441">
        <v>0.27</v>
      </c>
      <c r="J163" s="441">
        <v>0.26</v>
      </c>
      <c r="K163" s="441">
        <v>0.27</v>
      </c>
      <c r="L163" s="441">
        <v>0.27</v>
      </c>
      <c r="M163" s="441">
        <v>0.27</v>
      </c>
      <c r="N163" s="441">
        <v>0.26</v>
      </c>
      <c r="O163" s="441">
        <v>0.27</v>
      </c>
      <c r="P163" s="441">
        <v>0.28000000000000003</v>
      </c>
      <c r="Q163" s="441">
        <v>0.26</v>
      </c>
      <c r="R163" s="441">
        <v>0.27</v>
      </c>
      <c r="S163" s="441">
        <v>0.27</v>
      </c>
      <c r="T163" s="441">
        <v>0.27</v>
      </c>
      <c r="U163" s="441">
        <v>0.27</v>
      </c>
      <c r="V163" s="441">
        <v>0.27</v>
      </c>
      <c r="W163" s="441">
        <v>0.27</v>
      </c>
      <c r="X163" s="441">
        <v>0.27</v>
      </c>
      <c r="Y163" s="441">
        <v>0.27</v>
      </c>
      <c r="Z163" s="19">
        <f t="shared" si="98"/>
        <v>71.326454136700079</v>
      </c>
      <c r="AA163" s="19">
        <f t="shared" si="75"/>
        <v>71.326454136700079</v>
      </c>
      <c r="AB163" s="19">
        <f t="shared" si="76"/>
        <v>71.326454136700079</v>
      </c>
      <c r="AC163" s="19">
        <f t="shared" si="77"/>
        <v>71.326454136700079</v>
      </c>
      <c r="AD163" s="19">
        <f t="shared" si="78"/>
        <v>71.326454136700079</v>
      </c>
      <c r="AE163" s="19">
        <f t="shared" si="79"/>
        <v>71.326454136700079</v>
      </c>
      <c r="AF163" s="19">
        <f t="shared" si="80"/>
        <v>68.684733613118595</v>
      </c>
      <c r="AG163" s="19">
        <f t="shared" si="81"/>
        <v>71.326454136700079</v>
      </c>
      <c r="AH163" s="19">
        <f t="shared" si="82"/>
        <v>68.684733613118595</v>
      </c>
      <c r="AI163" s="19">
        <f t="shared" si="83"/>
        <v>71.326454136700079</v>
      </c>
      <c r="AJ163" s="19">
        <f t="shared" si="84"/>
        <v>71.326454136700079</v>
      </c>
      <c r="AK163" s="19">
        <f t="shared" si="85"/>
        <v>71.326454136700079</v>
      </c>
      <c r="AL163" s="19">
        <f t="shared" si="86"/>
        <v>68.684733613118595</v>
      </c>
      <c r="AM163" s="19">
        <f t="shared" si="87"/>
        <v>71.326454136700079</v>
      </c>
      <c r="AN163" s="19">
        <f t="shared" si="88"/>
        <v>73.968174660281562</v>
      </c>
      <c r="AO163" s="19">
        <f t="shared" si="89"/>
        <v>68.684733613118595</v>
      </c>
      <c r="AP163" s="19">
        <f t="shared" si="90"/>
        <v>71.326454136700079</v>
      </c>
      <c r="AQ163" s="19">
        <f t="shared" si="91"/>
        <v>71.326454136700079</v>
      </c>
      <c r="AR163" s="19">
        <f t="shared" si="92"/>
        <v>71.326454136700079</v>
      </c>
      <c r="AS163" s="19">
        <f t="shared" si="93"/>
        <v>71.326454136700079</v>
      </c>
      <c r="AT163" s="19">
        <f t="shared" si="94"/>
        <v>71.326454136700079</v>
      </c>
      <c r="AU163" s="19">
        <f t="shared" si="95"/>
        <v>71.326454136700079</v>
      </c>
      <c r="AV163" s="19">
        <f t="shared" si="96"/>
        <v>71.326454136700079</v>
      </c>
      <c r="AW163" s="19">
        <f t="shared" si="97"/>
        <v>71.326454136700079</v>
      </c>
      <c r="AX163" s="18">
        <f>IFERROR(Z163/'Ar-Pa'!B163,0)</f>
        <v>8.9158067670875099</v>
      </c>
      <c r="AY163" s="18">
        <f>IFERROR(AA163/'Ar-Pa'!C163,0)</f>
        <v>8.9158067670875099</v>
      </c>
      <c r="AZ163" s="18">
        <f>IFERROR(AB163/'Ar-Pa'!D163,0)</f>
        <v>8.9158067670875099</v>
      </c>
      <c r="BA163" s="18">
        <f>IFERROR(AC163/'Ar-Pa'!E163,0)</f>
        <v>8.9158067670875099</v>
      </c>
      <c r="BB163" s="18">
        <f>IFERROR(AD163/'Ar-Pa'!F163,0)</f>
        <v>8.9158067670875099</v>
      </c>
      <c r="BC163" s="18">
        <f>IFERROR(AE163/'Ar-Pa'!G163,0)</f>
        <v>8.9158067670875099</v>
      </c>
      <c r="BD163" s="18">
        <f>IFERROR(AF163/'Ar-Pa'!H163,0)</f>
        <v>8.5855917016398244</v>
      </c>
      <c r="BE163" s="18">
        <f>IFERROR(AG163/'Ar-Pa'!I163,0)</f>
        <v>10.189493448100011</v>
      </c>
      <c r="BF163" s="18">
        <f>IFERROR(AH163/'Ar-Pa'!J163,0)</f>
        <v>9.8121048018740851</v>
      </c>
      <c r="BG163" s="18">
        <f>IFERROR(AI163/'Ar-Pa'!K163,0)</f>
        <v>8.9158067670875099</v>
      </c>
      <c r="BH163" s="18">
        <f>IFERROR(AJ163/'Ar-Pa'!L163,0)</f>
        <v>8.9158067670875099</v>
      </c>
      <c r="BI163" s="18">
        <f>IFERROR(AK163/'Ar-Pa'!M163,0)</f>
        <v>8.9158067670875099</v>
      </c>
      <c r="BJ163" s="18">
        <f>IFERROR(AL163/'Ar-Pa'!N163,0)</f>
        <v>8.5855917016398244</v>
      </c>
      <c r="BK163" s="18">
        <f>IFERROR(AM163/'Ar-Pa'!O163,0)</f>
        <v>8.9158067670875099</v>
      </c>
      <c r="BL163" s="18">
        <f>IFERROR(AN163/'Ar-Pa'!P163,0)</f>
        <v>9.2460218325351953</v>
      </c>
      <c r="BM163" s="18">
        <f>IFERROR(AO163/'Ar-Pa'!Q163,0)</f>
        <v>8.5855917016398244</v>
      </c>
      <c r="BN163" s="18">
        <f>IFERROR(AP163/'Ar-Pa'!R163,0)</f>
        <v>8.9158067670875099</v>
      </c>
      <c r="BO163" s="18">
        <f>IFERROR(AQ163/'Ar-Pa'!S163,0)</f>
        <v>8.9158067670875099</v>
      </c>
      <c r="BP163" s="18">
        <f>IFERROR(AR163/'Ar-Pa'!T163,0)</f>
        <v>8.9158067670875099</v>
      </c>
      <c r="BQ163" s="18">
        <f>IFERROR(AS163/'Ar-Pa'!U163,0)</f>
        <v>8.9158067670875099</v>
      </c>
      <c r="BR163" s="18">
        <f>IFERROR(AT163/'Ar-Pa'!V163,0)</f>
        <v>8.9158067670875099</v>
      </c>
      <c r="BS163" s="18">
        <f>IFERROR(AU163/'Ar-Pa'!W163,0)</f>
        <v>7.9251615707444536</v>
      </c>
      <c r="BT163" s="18">
        <f>IFERROR(AV163/'Ar-Pa'!X163,0)</f>
        <v>7.9251615707444536</v>
      </c>
      <c r="BU163" s="18">
        <f>IFERROR(AW163/'Ar-Pa'!Y163,0)</f>
        <v>7.9251615707444536</v>
      </c>
    </row>
    <row r="164" spans="1:73">
      <c r="A164" s="15">
        <v>45089</v>
      </c>
      <c r="B164" s="441">
        <v>0.27</v>
      </c>
      <c r="C164" s="441">
        <v>0.27</v>
      </c>
      <c r="D164" s="441">
        <v>0.26</v>
      </c>
      <c r="E164" s="441">
        <v>0.27</v>
      </c>
      <c r="F164" s="441">
        <v>0.26</v>
      </c>
      <c r="G164" s="441">
        <v>0.27</v>
      </c>
      <c r="H164" s="441">
        <v>0.26</v>
      </c>
      <c r="I164" s="441">
        <v>0.26</v>
      </c>
      <c r="J164" s="441">
        <v>0.27</v>
      </c>
      <c r="K164" s="441">
        <v>0.26</v>
      </c>
      <c r="L164" s="441">
        <v>0.27</v>
      </c>
      <c r="M164" s="441">
        <v>0.27</v>
      </c>
      <c r="N164" s="441">
        <v>0.27</v>
      </c>
      <c r="O164" s="441">
        <v>0.26</v>
      </c>
      <c r="P164" s="441">
        <v>0.28000000000000003</v>
      </c>
      <c r="Q164" s="441">
        <v>0.26</v>
      </c>
      <c r="R164" s="441">
        <v>0.27</v>
      </c>
      <c r="S164" s="441">
        <v>0.27</v>
      </c>
      <c r="T164" s="441">
        <v>0.26</v>
      </c>
      <c r="U164" s="441">
        <v>0.34</v>
      </c>
      <c r="V164" s="441">
        <v>0.33</v>
      </c>
      <c r="W164" s="441">
        <v>0.33</v>
      </c>
      <c r="X164" s="441">
        <v>0.33</v>
      </c>
      <c r="Y164" s="441">
        <v>0.33</v>
      </c>
      <c r="Z164" s="19">
        <f t="shared" si="98"/>
        <v>71.326454136700079</v>
      </c>
      <c r="AA164" s="19">
        <f t="shared" si="75"/>
        <v>71.326454136700079</v>
      </c>
      <c r="AB164" s="19">
        <f t="shared" si="76"/>
        <v>68.684733613118595</v>
      </c>
      <c r="AC164" s="19">
        <f t="shared" si="77"/>
        <v>71.326454136700079</v>
      </c>
      <c r="AD164" s="19">
        <f t="shared" si="78"/>
        <v>68.684733613118595</v>
      </c>
      <c r="AE164" s="19">
        <f t="shared" si="79"/>
        <v>71.326454136700079</v>
      </c>
      <c r="AF164" s="19">
        <f t="shared" si="80"/>
        <v>68.684733613118595</v>
      </c>
      <c r="AG164" s="19">
        <f t="shared" si="81"/>
        <v>68.684733613118595</v>
      </c>
      <c r="AH164" s="19">
        <f t="shared" si="82"/>
        <v>71.326454136700079</v>
      </c>
      <c r="AI164" s="19">
        <f t="shared" si="83"/>
        <v>68.684733613118595</v>
      </c>
      <c r="AJ164" s="19">
        <f t="shared" si="84"/>
        <v>71.326454136700079</v>
      </c>
      <c r="AK164" s="19">
        <f t="shared" si="85"/>
        <v>71.326454136700079</v>
      </c>
      <c r="AL164" s="19">
        <f t="shared" si="86"/>
        <v>71.326454136700079</v>
      </c>
      <c r="AM164" s="19">
        <f t="shared" si="87"/>
        <v>68.684733613118595</v>
      </c>
      <c r="AN164" s="19">
        <f t="shared" si="88"/>
        <v>73.968174660281562</v>
      </c>
      <c r="AO164" s="19">
        <f t="shared" si="89"/>
        <v>68.684733613118595</v>
      </c>
      <c r="AP164" s="19">
        <f t="shared" si="90"/>
        <v>71.326454136700079</v>
      </c>
      <c r="AQ164" s="19">
        <f t="shared" si="91"/>
        <v>71.326454136700079</v>
      </c>
      <c r="AR164" s="19">
        <f t="shared" si="92"/>
        <v>68.684733613118595</v>
      </c>
      <c r="AS164" s="19">
        <f t="shared" si="93"/>
        <v>89.818497801770462</v>
      </c>
      <c r="AT164" s="19">
        <f t="shared" si="94"/>
        <v>87.176777278188979</v>
      </c>
      <c r="AU164" s="19">
        <f t="shared" si="95"/>
        <v>87.176777278188979</v>
      </c>
      <c r="AV164" s="19">
        <f t="shared" si="96"/>
        <v>87.176777278188979</v>
      </c>
      <c r="AW164" s="19">
        <f t="shared" si="97"/>
        <v>87.176777278188979</v>
      </c>
      <c r="AX164" s="18">
        <f>IFERROR(Z164/'Ar-Pa'!B164,0)</f>
        <v>8.9158067670875099</v>
      </c>
      <c r="AY164" s="18">
        <f>IFERROR(AA164/'Ar-Pa'!C164,0)</f>
        <v>8.9158067670875099</v>
      </c>
      <c r="AZ164" s="18">
        <f>IFERROR(AB164/'Ar-Pa'!D164,0)</f>
        <v>8.5855917016398244</v>
      </c>
      <c r="BA164" s="18">
        <f>IFERROR(AC164/'Ar-Pa'!E164,0)</f>
        <v>8.9158067670875099</v>
      </c>
      <c r="BB164" s="18">
        <f>IFERROR(AD164/'Ar-Pa'!F164,0)</f>
        <v>8.5855917016398244</v>
      </c>
      <c r="BC164" s="18">
        <f>IFERROR(AE164/'Ar-Pa'!G164,0)</f>
        <v>8.9158067670875099</v>
      </c>
      <c r="BD164" s="18">
        <f>IFERROR(AF164/'Ar-Pa'!H164,0)</f>
        <v>9.8121048018740851</v>
      </c>
      <c r="BE164" s="18">
        <f>IFERROR(AG164/'Ar-Pa'!I164,0)</f>
        <v>9.8121048018740851</v>
      </c>
      <c r="BF164" s="18">
        <f>IFERROR(AH164/'Ar-Pa'!J164,0)</f>
        <v>8.9158067670875099</v>
      </c>
      <c r="BG164" s="18">
        <f>IFERROR(AI164/'Ar-Pa'!K164,0)</f>
        <v>8.5855917016398244</v>
      </c>
      <c r="BH164" s="18">
        <f>IFERROR(AJ164/'Ar-Pa'!L164,0)</f>
        <v>8.9158067670875099</v>
      </c>
      <c r="BI164" s="18">
        <f>IFERROR(AK164/'Ar-Pa'!M164,0)</f>
        <v>8.9158067670875099</v>
      </c>
      <c r="BJ164" s="18">
        <f>IFERROR(AL164/'Ar-Pa'!N164,0)</f>
        <v>8.9158067670875099</v>
      </c>
      <c r="BK164" s="18">
        <f>IFERROR(AM164/'Ar-Pa'!O164,0)</f>
        <v>8.5855917016398244</v>
      </c>
      <c r="BL164" s="18">
        <f>IFERROR(AN164/'Ar-Pa'!P164,0)</f>
        <v>9.2460218325351953</v>
      </c>
      <c r="BM164" s="18">
        <f>IFERROR(AO164/'Ar-Pa'!Q164,0)</f>
        <v>8.5855917016398244</v>
      </c>
      <c r="BN164" s="18">
        <f>IFERROR(AP164/'Ar-Pa'!R164,0)</f>
        <v>8.9158067670875099</v>
      </c>
      <c r="BO164" s="18">
        <f>IFERROR(AQ164/'Ar-Pa'!S164,0)</f>
        <v>8.9158067670875099</v>
      </c>
      <c r="BP164" s="18">
        <f>IFERROR(AR164/'Ar-Pa'!T164,0)</f>
        <v>8.5855917016398244</v>
      </c>
      <c r="BQ164" s="18">
        <f>IFERROR(AS164/'Ar-Pa'!U164,0)</f>
        <v>11.227312225221308</v>
      </c>
      <c r="BR164" s="18">
        <f>IFERROR(AT164/'Ar-Pa'!V164,0)</f>
        <v>10.897097159773622</v>
      </c>
      <c r="BS164" s="18">
        <f>IFERROR(AU164/'Ar-Pa'!W164,0)</f>
        <v>10.897097159773622</v>
      </c>
      <c r="BT164" s="18">
        <f>IFERROR(AV164/'Ar-Pa'!X164,0)</f>
        <v>10.897097159773622</v>
      </c>
      <c r="BU164" s="18">
        <f>IFERROR(AW164/'Ar-Pa'!Y164,0)</f>
        <v>10.897097159773622</v>
      </c>
    </row>
    <row r="165" spans="1:73">
      <c r="A165" s="15">
        <v>45090</v>
      </c>
      <c r="B165" s="441">
        <v>0.28999999999999998</v>
      </c>
      <c r="C165" s="441">
        <v>0.25</v>
      </c>
      <c r="D165" s="441">
        <v>0.25</v>
      </c>
      <c r="E165" s="441">
        <v>0.25</v>
      </c>
      <c r="F165" s="441">
        <v>0.26</v>
      </c>
      <c r="G165" s="441">
        <v>0.25</v>
      </c>
      <c r="H165" s="441">
        <v>0.25</v>
      </c>
      <c r="I165" s="441">
        <v>0.26</v>
      </c>
      <c r="J165" s="441">
        <v>0.26</v>
      </c>
      <c r="K165" s="441">
        <v>0.26</v>
      </c>
      <c r="L165" s="441">
        <v>0.26</v>
      </c>
      <c r="M165" s="441">
        <v>0.26</v>
      </c>
      <c r="N165" s="441">
        <v>0.26</v>
      </c>
      <c r="O165" s="441">
        <v>0.26</v>
      </c>
      <c r="P165" s="441">
        <v>0.26</v>
      </c>
      <c r="Q165" s="441">
        <v>0.3</v>
      </c>
      <c r="R165" s="441">
        <v>0.33</v>
      </c>
      <c r="S165" s="441">
        <v>0.32</v>
      </c>
      <c r="T165" s="441">
        <v>0.33</v>
      </c>
      <c r="U165" s="441">
        <v>0.32</v>
      </c>
      <c r="V165" s="441">
        <v>0.33</v>
      </c>
      <c r="W165" s="441">
        <v>0.32</v>
      </c>
      <c r="X165" s="441">
        <v>0.33</v>
      </c>
      <c r="Y165" s="441">
        <v>0.31</v>
      </c>
      <c r="Z165" s="19">
        <f t="shared" si="98"/>
        <v>76.609895183863046</v>
      </c>
      <c r="AA165" s="19">
        <f t="shared" si="75"/>
        <v>66.043013089537112</v>
      </c>
      <c r="AB165" s="19">
        <f t="shared" si="76"/>
        <v>66.043013089537112</v>
      </c>
      <c r="AC165" s="19">
        <f t="shared" si="77"/>
        <v>66.043013089537112</v>
      </c>
      <c r="AD165" s="19">
        <f t="shared" si="78"/>
        <v>68.684733613118595</v>
      </c>
      <c r="AE165" s="19">
        <f t="shared" si="79"/>
        <v>66.043013089537112</v>
      </c>
      <c r="AF165" s="19">
        <f t="shared" si="80"/>
        <v>66.043013089537112</v>
      </c>
      <c r="AG165" s="19">
        <f t="shared" si="81"/>
        <v>68.684733613118595</v>
      </c>
      <c r="AH165" s="19">
        <f t="shared" si="82"/>
        <v>68.684733613118595</v>
      </c>
      <c r="AI165" s="19">
        <f t="shared" si="83"/>
        <v>68.684733613118595</v>
      </c>
      <c r="AJ165" s="19">
        <f t="shared" si="84"/>
        <v>68.684733613118595</v>
      </c>
      <c r="AK165" s="19">
        <f t="shared" si="85"/>
        <v>68.684733613118595</v>
      </c>
      <c r="AL165" s="19">
        <f t="shared" si="86"/>
        <v>68.684733613118595</v>
      </c>
      <c r="AM165" s="19">
        <f t="shared" si="87"/>
        <v>68.684733613118595</v>
      </c>
      <c r="AN165" s="19">
        <f t="shared" si="88"/>
        <v>68.684733613118595</v>
      </c>
      <c r="AO165" s="19">
        <f t="shared" si="89"/>
        <v>79.251615707444529</v>
      </c>
      <c r="AP165" s="19">
        <f t="shared" si="90"/>
        <v>87.176777278188979</v>
      </c>
      <c r="AQ165" s="19">
        <f t="shared" si="91"/>
        <v>84.535056754607496</v>
      </c>
      <c r="AR165" s="19">
        <f t="shared" si="92"/>
        <v>87.176777278188979</v>
      </c>
      <c r="AS165" s="19">
        <f t="shared" si="93"/>
        <v>84.535056754607496</v>
      </c>
      <c r="AT165" s="19">
        <f t="shared" si="94"/>
        <v>87.176777278188979</v>
      </c>
      <c r="AU165" s="19">
        <f t="shared" si="95"/>
        <v>84.535056754607496</v>
      </c>
      <c r="AV165" s="19">
        <f t="shared" si="96"/>
        <v>87.176777278188979</v>
      </c>
      <c r="AW165" s="19">
        <f t="shared" si="97"/>
        <v>81.893336231026012</v>
      </c>
      <c r="AX165" s="18">
        <f>IFERROR(Z165/'Ar-Pa'!B165,0)</f>
        <v>9.5762368979828807</v>
      </c>
      <c r="AY165" s="18">
        <f>IFERROR(AA165/'Ar-Pa'!C165,0)</f>
        <v>8.255376636192139</v>
      </c>
      <c r="AZ165" s="18">
        <f>IFERROR(AB165/'Ar-Pa'!D165,0)</f>
        <v>8.255376636192139</v>
      </c>
      <c r="BA165" s="18">
        <f>IFERROR(AC165/'Ar-Pa'!E165,0)</f>
        <v>8.255376636192139</v>
      </c>
      <c r="BB165" s="18">
        <f>IFERROR(AD165/'Ar-Pa'!F165,0)</f>
        <v>8.5855917016398244</v>
      </c>
      <c r="BC165" s="18">
        <f>IFERROR(AE165/'Ar-Pa'!G165,0)</f>
        <v>9.4347161556481591</v>
      </c>
      <c r="BD165" s="18">
        <f>IFERROR(AF165/'Ar-Pa'!H165,0)</f>
        <v>9.4347161556481591</v>
      </c>
      <c r="BE165" s="18">
        <f>IFERROR(AG165/'Ar-Pa'!I165,0)</f>
        <v>9.8121048018740851</v>
      </c>
      <c r="BF165" s="18">
        <f>IFERROR(AH165/'Ar-Pa'!J165,0)</f>
        <v>8.5855917016398244</v>
      </c>
      <c r="BG165" s="18">
        <f>IFERROR(AI165/'Ar-Pa'!K165,0)</f>
        <v>8.5855917016398244</v>
      </c>
      <c r="BH165" s="18">
        <f>IFERROR(AJ165/'Ar-Pa'!L165,0)</f>
        <v>8.5855917016398244</v>
      </c>
      <c r="BI165" s="18">
        <f>IFERROR(AK165/'Ar-Pa'!M165,0)</f>
        <v>8.5855917016398244</v>
      </c>
      <c r="BJ165" s="18">
        <f>IFERROR(AL165/'Ar-Pa'!N165,0)</f>
        <v>8.5855917016398244</v>
      </c>
      <c r="BK165" s="18">
        <f>IFERROR(AM165/'Ar-Pa'!O165,0)</f>
        <v>8.5855917016398244</v>
      </c>
      <c r="BL165" s="18">
        <f>IFERROR(AN165/'Ar-Pa'!P165,0)</f>
        <v>8.5855917016398244</v>
      </c>
      <c r="BM165" s="18">
        <f>IFERROR(AO165/'Ar-Pa'!Q165,0)</f>
        <v>9.9064519634305661</v>
      </c>
      <c r="BN165" s="18">
        <f>IFERROR(AP165/'Ar-Pa'!R165,0)</f>
        <v>10.897097159773622</v>
      </c>
      <c r="BO165" s="18">
        <f>IFERROR(AQ165/'Ar-Pa'!S165,0)</f>
        <v>10.566882094325937</v>
      </c>
      <c r="BP165" s="18">
        <f>IFERROR(AR165/'Ar-Pa'!T165,0)</f>
        <v>10.897097159773622</v>
      </c>
      <c r="BQ165" s="18">
        <f>IFERROR(AS165/'Ar-Pa'!U165,0)</f>
        <v>10.566882094325937</v>
      </c>
      <c r="BR165" s="18">
        <f>IFERROR(AT165/'Ar-Pa'!V165,0)</f>
        <v>10.897097159773622</v>
      </c>
      <c r="BS165" s="18">
        <f>IFERROR(AU165/'Ar-Pa'!W165,0)</f>
        <v>10.566882094325937</v>
      </c>
      <c r="BT165" s="18">
        <f>IFERROR(AV165/'Ar-Pa'!X165,0)</f>
        <v>10.897097159773622</v>
      </c>
      <c r="BU165" s="18">
        <f>IFERROR(AW165/'Ar-Pa'!Y165,0)</f>
        <v>10.236667028878252</v>
      </c>
    </row>
    <row r="166" spans="1:73">
      <c r="A166" s="15">
        <v>45091</v>
      </c>
      <c r="B166" s="441">
        <v>0.27</v>
      </c>
      <c r="C166" s="441">
        <v>0.26</v>
      </c>
      <c r="D166" s="441">
        <v>0.27</v>
      </c>
      <c r="E166" s="441">
        <v>0.26</v>
      </c>
      <c r="F166" s="441">
        <v>0.27</v>
      </c>
      <c r="G166" s="441">
        <v>0.26</v>
      </c>
      <c r="H166" s="441">
        <v>0.27</v>
      </c>
      <c r="I166" s="441">
        <v>0.26</v>
      </c>
      <c r="J166" s="441">
        <v>0.27</v>
      </c>
      <c r="K166" s="441">
        <v>0.27</v>
      </c>
      <c r="L166" s="441">
        <v>0.27</v>
      </c>
      <c r="M166" s="441">
        <v>0.26</v>
      </c>
      <c r="N166" s="441">
        <v>0.26</v>
      </c>
      <c r="O166" s="441">
        <v>0.27</v>
      </c>
      <c r="P166" s="441">
        <v>0.28000000000000003</v>
      </c>
      <c r="Q166" s="441">
        <v>0.33</v>
      </c>
      <c r="R166" s="441">
        <v>0.34</v>
      </c>
      <c r="S166" s="441">
        <v>0.34</v>
      </c>
      <c r="T166" s="441">
        <v>0.34</v>
      </c>
      <c r="U166" s="441">
        <v>0.33</v>
      </c>
      <c r="V166" s="441">
        <v>0.33</v>
      </c>
      <c r="W166" s="441">
        <v>0.33</v>
      </c>
      <c r="X166" s="441">
        <v>0.34</v>
      </c>
      <c r="Y166" s="441">
        <v>0.33</v>
      </c>
      <c r="Z166" s="19">
        <f t="shared" si="98"/>
        <v>71.326454136700079</v>
      </c>
      <c r="AA166" s="19">
        <f t="shared" si="75"/>
        <v>68.684733613118595</v>
      </c>
      <c r="AB166" s="19">
        <f t="shared" si="76"/>
        <v>71.326454136700079</v>
      </c>
      <c r="AC166" s="19">
        <f t="shared" si="77"/>
        <v>68.684733613118595</v>
      </c>
      <c r="AD166" s="19">
        <f t="shared" si="78"/>
        <v>71.326454136700079</v>
      </c>
      <c r="AE166" s="19">
        <f t="shared" si="79"/>
        <v>68.684733613118595</v>
      </c>
      <c r="AF166" s="19">
        <f t="shared" si="80"/>
        <v>71.326454136700079</v>
      </c>
      <c r="AG166" s="19">
        <f t="shared" si="81"/>
        <v>68.684733613118595</v>
      </c>
      <c r="AH166" s="19">
        <f t="shared" si="82"/>
        <v>71.326454136700079</v>
      </c>
      <c r="AI166" s="19">
        <f t="shared" si="83"/>
        <v>71.326454136700079</v>
      </c>
      <c r="AJ166" s="19">
        <f t="shared" si="84"/>
        <v>71.326454136700079</v>
      </c>
      <c r="AK166" s="19">
        <f t="shared" si="85"/>
        <v>68.684733613118595</v>
      </c>
      <c r="AL166" s="19">
        <f t="shared" si="86"/>
        <v>68.684733613118595</v>
      </c>
      <c r="AM166" s="19">
        <f t="shared" si="87"/>
        <v>71.326454136700079</v>
      </c>
      <c r="AN166" s="19">
        <f t="shared" si="88"/>
        <v>73.968174660281562</v>
      </c>
      <c r="AO166" s="19">
        <f t="shared" si="89"/>
        <v>87.176777278188979</v>
      </c>
      <c r="AP166" s="19">
        <f t="shared" si="90"/>
        <v>89.818497801770462</v>
      </c>
      <c r="AQ166" s="19">
        <f t="shared" si="91"/>
        <v>89.818497801770462</v>
      </c>
      <c r="AR166" s="19">
        <f t="shared" si="92"/>
        <v>89.818497801770462</v>
      </c>
      <c r="AS166" s="19">
        <f t="shared" si="93"/>
        <v>87.176777278188979</v>
      </c>
      <c r="AT166" s="19">
        <f t="shared" si="94"/>
        <v>87.176777278188979</v>
      </c>
      <c r="AU166" s="19">
        <f t="shared" si="95"/>
        <v>87.176777278188979</v>
      </c>
      <c r="AV166" s="19">
        <f t="shared" si="96"/>
        <v>89.818497801770462</v>
      </c>
      <c r="AW166" s="19">
        <f t="shared" si="97"/>
        <v>87.176777278188979</v>
      </c>
      <c r="AX166" s="18">
        <f>IFERROR(Z166/'Ar-Pa'!B166,0)</f>
        <v>8.9158067670875099</v>
      </c>
      <c r="AY166" s="18">
        <f>IFERROR(AA166/'Ar-Pa'!C166,0)</f>
        <v>8.5855917016398244</v>
      </c>
      <c r="AZ166" s="18">
        <f>IFERROR(AB166/'Ar-Pa'!D166,0)</f>
        <v>8.9158067670875099</v>
      </c>
      <c r="BA166" s="18">
        <f>IFERROR(AC166/'Ar-Pa'!E166,0)</f>
        <v>8.5855917016398244</v>
      </c>
      <c r="BB166" s="18">
        <f>IFERROR(AD166/'Ar-Pa'!F166,0)</f>
        <v>8.9158067670875099</v>
      </c>
      <c r="BC166" s="18">
        <f>IFERROR(AE166/'Ar-Pa'!G166,0)</f>
        <v>8.5855917016398244</v>
      </c>
      <c r="BD166" s="18">
        <f>IFERROR(AF166/'Ar-Pa'!H166,0)</f>
        <v>8.9158067670875099</v>
      </c>
      <c r="BE166" s="18">
        <f>IFERROR(AG166/'Ar-Pa'!I166,0)</f>
        <v>8.5855917016398244</v>
      </c>
      <c r="BF166" s="18">
        <f>IFERROR(AH166/'Ar-Pa'!J166,0)</f>
        <v>8.9158067670875099</v>
      </c>
      <c r="BG166" s="18">
        <f>IFERROR(AI166/'Ar-Pa'!K166,0)</f>
        <v>8.9158067670875099</v>
      </c>
      <c r="BH166" s="18">
        <f>IFERROR(AJ166/'Ar-Pa'!L166,0)</f>
        <v>8.9158067670875099</v>
      </c>
      <c r="BI166" s="18">
        <f>IFERROR(AK166/'Ar-Pa'!M166,0)</f>
        <v>8.5855917016398244</v>
      </c>
      <c r="BJ166" s="18">
        <f>IFERROR(AL166/'Ar-Pa'!N166,0)</f>
        <v>8.5855917016398244</v>
      </c>
      <c r="BK166" s="18">
        <f>IFERROR(AM166/'Ar-Pa'!O166,0)</f>
        <v>8.9158067670875099</v>
      </c>
      <c r="BL166" s="18">
        <f>IFERROR(AN166/'Ar-Pa'!P166,0)</f>
        <v>9.2460218325351953</v>
      </c>
      <c r="BM166" s="18">
        <f>IFERROR(AO166/'Ar-Pa'!Q166,0)</f>
        <v>10.897097159773622</v>
      </c>
      <c r="BN166" s="18">
        <f>IFERROR(AP166/'Ar-Pa'!R166,0)</f>
        <v>11.227312225221308</v>
      </c>
      <c r="BO166" s="18">
        <f>IFERROR(AQ166/'Ar-Pa'!S166,0)</f>
        <v>11.227312225221308</v>
      </c>
      <c r="BP166" s="18">
        <f>IFERROR(AR166/'Ar-Pa'!T166,0)</f>
        <v>11.227312225221308</v>
      </c>
      <c r="BQ166" s="18">
        <f>IFERROR(AS166/'Ar-Pa'!U166,0)</f>
        <v>10.897097159773622</v>
      </c>
      <c r="BR166" s="18">
        <f>IFERROR(AT166/'Ar-Pa'!V166,0)</f>
        <v>10.897097159773622</v>
      </c>
      <c r="BS166" s="18">
        <f>IFERROR(AU166/'Ar-Pa'!W166,0)</f>
        <v>10.897097159773622</v>
      </c>
      <c r="BT166" s="18">
        <f>IFERROR(AV166/'Ar-Pa'!X166,0)</f>
        <v>11.227312225221308</v>
      </c>
      <c r="BU166" s="18">
        <f>IFERROR(AW166/'Ar-Pa'!Y166,0)</f>
        <v>10.897097159773622</v>
      </c>
    </row>
    <row r="167" spans="1:73">
      <c r="A167" s="15">
        <v>45092</v>
      </c>
      <c r="B167" s="441">
        <v>0.4</v>
      </c>
      <c r="C167" s="441">
        <v>0.39</v>
      </c>
      <c r="D167" s="441">
        <v>0.39</v>
      </c>
      <c r="E167" s="441">
        <v>0.41</v>
      </c>
      <c r="F167" s="441">
        <v>0.39</v>
      </c>
      <c r="G167" s="441">
        <v>0.41</v>
      </c>
      <c r="H167" s="441">
        <v>0.39</v>
      </c>
      <c r="I167" s="441">
        <v>0.39</v>
      </c>
      <c r="J167" s="441">
        <v>0.42</v>
      </c>
      <c r="K167" s="441">
        <v>0.41</v>
      </c>
      <c r="L167" s="441">
        <v>0.39</v>
      </c>
      <c r="M167" s="441">
        <v>0.41</v>
      </c>
      <c r="N167" s="441">
        <v>0.41</v>
      </c>
      <c r="O167" s="441">
        <v>0.42</v>
      </c>
      <c r="P167" s="441">
        <v>0.51</v>
      </c>
      <c r="Q167" s="441">
        <v>0.5</v>
      </c>
      <c r="R167" s="441">
        <v>0.5</v>
      </c>
      <c r="S167" s="441">
        <v>0.4</v>
      </c>
      <c r="T167" s="441">
        <v>0.47</v>
      </c>
      <c r="U167" s="441">
        <v>0.51</v>
      </c>
      <c r="V167" s="441">
        <v>0.5</v>
      </c>
      <c r="W167" s="441">
        <v>0.49</v>
      </c>
      <c r="X167" s="441">
        <v>0.51</v>
      </c>
      <c r="Y167" s="441">
        <v>0.51</v>
      </c>
      <c r="Z167" s="19">
        <f t="shared" si="98"/>
        <v>105.66882094325936</v>
      </c>
      <c r="AA167" s="19">
        <f t="shared" si="75"/>
        <v>103.02710041967788</v>
      </c>
      <c r="AB167" s="19">
        <f t="shared" si="76"/>
        <v>103.02710041967788</v>
      </c>
      <c r="AC167" s="19">
        <f t="shared" si="77"/>
        <v>108.31054146684086</v>
      </c>
      <c r="AD167" s="19">
        <f t="shared" si="78"/>
        <v>103.02710041967788</v>
      </c>
      <c r="AE167" s="19">
        <f t="shared" si="79"/>
        <v>108.31054146684086</v>
      </c>
      <c r="AF167" s="19">
        <f t="shared" si="80"/>
        <v>103.02710041967788</v>
      </c>
      <c r="AG167" s="19">
        <f t="shared" si="81"/>
        <v>103.02710041967788</v>
      </c>
      <c r="AH167" s="19">
        <f t="shared" si="82"/>
        <v>110.95226199042234</v>
      </c>
      <c r="AI167" s="19">
        <f t="shared" si="83"/>
        <v>108.31054146684086</v>
      </c>
      <c r="AJ167" s="19">
        <f t="shared" si="84"/>
        <v>103.02710041967788</v>
      </c>
      <c r="AK167" s="19">
        <f t="shared" si="85"/>
        <v>108.31054146684086</v>
      </c>
      <c r="AL167" s="19">
        <f t="shared" si="86"/>
        <v>108.31054146684086</v>
      </c>
      <c r="AM167" s="19">
        <f t="shared" si="87"/>
        <v>110.95226199042234</v>
      </c>
      <c r="AN167" s="19">
        <f t="shared" si="88"/>
        <v>134.72774670265571</v>
      </c>
      <c r="AO167" s="19">
        <f t="shared" si="89"/>
        <v>132.08602617907422</v>
      </c>
      <c r="AP167" s="19">
        <f t="shared" si="90"/>
        <v>132.08602617907422</v>
      </c>
      <c r="AQ167" s="19">
        <f t="shared" si="91"/>
        <v>105.66882094325936</v>
      </c>
      <c r="AR167" s="19">
        <f t="shared" si="92"/>
        <v>124.16086460832976</v>
      </c>
      <c r="AS167" s="19">
        <f t="shared" si="93"/>
        <v>134.72774670265571</v>
      </c>
      <c r="AT167" s="19">
        <f t="shared" si="94"/>
        <v>132.08602617907422</v>
      </c>
      <c r="AU167" s="19">
        <f t="shared" si="95"/>
        <v>129.44430565549274</v>
      </c>
      <c r="AV167" s="19">
        <f t="shared" si="96"/>
        <v>134.72774670265571</v>
      </c>
      <c r="AW167" s="19">
        <f t="shared" si="97"/>
        <v>134.72774670265571</v>
      </c>
      <c r="AX167" s="18">
        <f>IFERROR(Z167/'Ar-Pa'!B167,0)</f>
        <v>13.20860261790742</v>
      </c>
      <c r="AY167" s="18">
        <f>IFERROR(AA167/'Ar-Pa'!C167,0)</f>
        <v>12.878387552459735</v>
      </c>
      <c r="AZ167" s="18">
        <f>IFERROR(AB167/'Ar-Pa'!D167,0)</f>
        <v>12.878387552459735</v>
      </c>
      <c r="BA167" s="18">
        <f>IFERROR(AC167/'Ar-Pa'!E167,0)</f>
        <v>13.538817683355107</v>
      </c>
      <c r="BB167" s="18">
        <f>IFERROR(AD167/'Ar-Pa'!F167,0)</f>
        <v>12.878387552459735</v>
      </c>
      <c r="BC167" s="18">
        <f>IFERROR(AE167/'Ar-Pa'!G167,0)</f>
        <v>15.472934495262979</v>
      </c>
      <c r="BD167" s="18">
        <f>IFERROR(AF167/'Ar-Pa'!H167,0)</f>
        <v>14.718157202811126</v>
      </c>
      <c r="BE167" s="18">
        <f>IFERROR(AG167/'Ar-Pa'!I167,0)</f>
        <v>14.718157202811126</v>
      </c>
      <c r="BF167" s="18">
        <f>IFERROR(AH167/'Ar-Pa'!J167,0)</f>
        <v>13.869032748802793</v>
      </c>
      <c r="BG167" s="18">
        <f>IFERROR(AI167/'Ar-Pa'!K167,0)</f>
        <v>13.538817683355107</v>
      </c>
      <c r="BH167" s="18">
        <f>IFERROR(AJ167/'Ar-Pa'!L167,0)</f>
        <v>12.878387552459735</v>
      </c>
      <c r="BI167" s="18">
        <f>IFERROR(AK167/'Ar-Pa'!M167,0)</f>
        <v>13.538817683355107</v>
      </c>
      <c r="BJ167" s="18">
        <f>IFERROR(AL167/'Ar-Pa'!N167,0)</f>
        <v>13.538817683355107</v>
      </c>
      <c r="BK167" s="18">
        <f>IFERROR(AM167/'Ar-Pa'!O167,0)</f>
        <v>13.869032748802793</v>
      </c>
      <c r="BL167" s="18">
        <f>IFERROR(AN167/'Ar-Pa'!P167,0)</f>
        <v>16.840968337831963</v>
      </c>
      <c r="BM167" s="18">
        <f>IFERROR(AO167/'Ar-Pa'!Q167,0)</f>
        <v>16.510753272384278</v>
      </c>
      <c r="BN167" s="18">
        <f>IFERROR(AP167/'Ar-Pa'!R167,0)</f>
        <v>16.510753272384278</v>
      </c>
      <c r="BO167" s="18">
        <f>IFERROR(AQ167/'Ar-Pa'!S167,0)</f>
        <v>13.20860261790742</v>
      </c>
      <c r="BP167" s="18">
        <f>IFERROR(AR167/'Ar-Pa'!T167,0)</f>
        <v>15.52010807604122</v>
      </c>
      <c r="BQ167" s="18">
        <f>IFERROR(AS167/'Ar-Pa'!U167,0)</f>
        <v>16.840968337831963</v>
      </c>
      <c r="BR167" s="18">
        <f>IFERROR(AT167/'Ar-Pa'!V167,0)</f>
        <v>16.510753272384278</v>
      </c>
      <c r="BS167" s="18">
        <f>IFERROR(AU167/'Ar-Pa'!W167,0)</f>
        <v>16.180538206936593</v>
      </c>
      <c r="BT167" s="18">
        <f>IFERROR(AV167/'Ar-Pa'!X167,0)</f>
        <v>16.840968337831963</v>
      </c>
      <c r="BU167" s="18">
        <f>IFERROR(AW167/'Ar-Pa'!Y167,0)</f>
        <v>16.840968337831963</v>
      </c>
    </row>
    <row r="168" spans="1:73">
      <c r="A168" s="15">
        <v>45093</v>
      </c>
      <c r="B168" s="441">
        <v>0.28999999999999998</v>
      </c>
      <c r="C168" s="441">
        <v>0.24</v>
      </c>
      <c r="D168" s="441">
        <v>0.24</v>
      </c>
      <c r="E168" s="441">
        <v>0.25</v>
      </c>
      <c r="F168" s="441">
        <v>0.24</v>
      </c>
      <c r="G168" s="441">
        <v>0.25</v>
      </c>
      <c r="H168" s="441">
        <v>0.24</v>
      </c>
      <c r="I168" s="441">
        <v>0.24</v>
      </c>
      <c r="J168" s="441">
        <v>0.24</v>
      </c>
      <c r="K168" s="441">
        <v>0.24</v>
      </c>
      <c r="L168" s="441">
        <v>0.24</v>
      </c>
      <c r="M168" s="441">
        <v>0.24</v>
      </c>
      <c r="N168" s="441">
        <v>0.2</v>
      </c>
      <c r="O168" s="441">
        <v>0.2</v>
      </c>
      <c r="P168" s="441">
        <v>0.26</v>
      </c>
      <c r="Q168" s="441">
        <v>0.27</v>
      </c>
      <c r="R168" s="441">
        <v>0.28000000000000003</v>
      </c>
      <c r="S168" s="441">
        <v>0.27</v>
      </c>
      <c r="T168" s="441">
        <v>0.28000000000000003</v>
      </c>
      <c r="U168" s="441">
        <v>0.27</v>
      </c>
      <c r="V168" s="441">
        <v>0.27</v>
      </c>
      <c r="W168" s="441">
        <v>0.27</v>
      </c>
      <c r="X168" s="441">
        <v>0.27</v>
      </c>
      <c r="Y168" s="441">
        <v>0.26</v>
      </c>
      <c r="Z168" s="19">
        <f t="shared" si="98"/>
        <v>76.609895183863046</v>
      </c>
      <c r="AA168" s="19">
        <f t="shared" si="75"/>
        <v>63.401292565955622</v>
      </c>
      <c r="AB168" s="19">
        <f t="shared" si="76"/>
        <v>63.401292565955622</v>
      </c>
      <c r="AC168" s="19">
        <f t="shared" si="77"/>
        <v>66.043013089537112</v>
      </c>
      <c r="AD168" s="19">
        <f t="shared" si="78"/>
        <v>63.401292565955622</v>
      </c>
      <c r="AE168" s="19">
        <f t="shared" si="79"/>
        <v>66.043013089537112</v>
      </c>
      <c r="AF168" s="19">
        <f t="shared" si="80"/>
        <v>63.401292565955622</v>
      </c>
      <c r="AG168" s="19">
        <f t="shared" si="81"/>
        <v>63.401292565955622</v>
      </c>
      <c r="AH168" s="19">
        <f t="shared" si="82"/>
        <v>63.401292565955622</v>
      </c>
      <c r="AI168" s="19">
        <f t="shared" si="83"/>
        <v>63.401292565955622</v>
      </c>
      <c r="AJ168" s="19">
        <f t="shared" si="84"/>
        <v>63.401292565955622</v>
      </c>
      <c r="AK168" s="19">
        <f t="shared" si="85"/>
        <v>63.401292565955622</v>
      </c>
      <c r="AL168" s="19">
        <f t="shared" si="86"/>
        <v>52.834410471629681</v>
      </c>
      <c r="AM168" s="19">
        <f t="shared" si="87"/>
        <v>52.834410471629681</v>
      </c>
      <c r="AN168" s="19">
        <f t="shared" si="88"/>
        <v>68.684733613118595</v>
      </c>
      <c r="AO168" s="19">
        <f t="shared" si="89"/>
        <v>71.326454136700079</v>
      </c>
      <c r="AP168" s="19">
        <f t="shared" si="90"/>
        <v>73.968174660281562</v>
      </c>
      <c r="AQ168" s="19">
        <f t="shared" si="91"/>
        <v>71.326454136700079</v>
      </c>
      <c r="AR168" s="19">
        <f t="shared" si="92"/>
        <v>73.968174660281562</v>
      </c>
      <c r="AS168" s="19">
        <f t="shared" si="93"/>
        <v>71.326454136700079</v>
      </c>
      <c r="AT168" s="19">
        <f t="shared" si="94"/>
        <v>71.326454136700079</v>
      </c>
      <c r="AU168" s="19">
        <f t="shared" si="95"/>
        <v>71.326454136700079</v>
      </c>
      <c r="AV168" s="19">
        <f t="shared" si="96"/>
        <v>71.326454136700079</v>
      </c>
      <c r="AW168" s="19">
        <f t="shared" si="97"/>
        <v>68.684733613118595</v>
      </c>
      <c r="AX168" s="18">
        <f>IFERROR(Z168/'Ar-Pa'!B168,0)</f>
        <v>9.5762368979828807</v>
      </c>
      <c r="AY168" s="18">
        <f>IFERROR(AA168/'Ar-Pa'!C168,0)</f>
        <v>7.9251615707444527</v>
      </c>
      <c r="AZ168" s="18">
        <f>IFERROR(AB168/'Ar-Pa'!D168,0)</f>
        <v>7.9251615707444527</v>
      </c>
      <c r="BA168" s="18">
        <f>IFERROR(AC168/'Ar-Pa'!E168,0)</f>
        <v>8.255376636192139</v>
      </c>
      <c r="BB168" s="18">
        <f>IFERROR(AD168/'Ar-Pa'!F168,0)</f>
        <v>7.9251615707444527</v>
      </c>
      <c r="BC168" s="18">
        <f>IFERROR(AE168/'Ar-Pa'!G168,0)</f>
        <v>8.255376636192139</v>
      </c>
      <c r="BD168" s="18">
        <f>IFERROR(AF168/'Ar-Pa'!H168,0)</f>
        <v>7.9251615707444527</v>
      </c>
      <c r="BE168" s="18">
        <f>IFERROR(AG168/'Ar-Pa'!I168,0)</f>
        <v>7.9251615707444527</v>
      </c>
      <c r="BF168" s="18">
        <f>IFERROR(AH168/'Ar-Pa'!J168,0)</f>
        <v>7.9251615707444527</v>
      </c>
      <c r="BG168" s="18">
        <f>IFERROR(AI168/'Ar-Pa'!K168,0)</f>
        <v>9.0573275094222314</v>
      </c>
      <c r="BH168" s="18">
        <f>IFERROR(AJ168/'Ar-Pa'!L168,0)</f>
        <v>9.0573275094222314</v>
      </c>
      <c r="BI168" s="18">
        <f>IFERROR(AK168/'Ar-Pa'!M168,0)</f>
        <v>9.0573275094222314</v>
      </c>
      <c r="BJ168" s="18">
        <f>IFERROR(AL168/'Ar-Pa'!N168,0)</f>
        <v>7.5477729245185259</v>
      </c>
      <c r="BK168" s="18">
        <f>IFERROR(AM168/'Ar-Pa'!O168,0)</f>
        <v>7.5477729245185259</v>
      </c>
      <c r="BL168" s="18">
        <f>IFERROR(AN168/'Ar-Pa'!P168,0)</f>
        <v>9.8121048018740851</v>
      </c>
      <c r="BM168" s="18">
        <f>IFERROR(AO168/'Ar-Pa'!Q168,0)</f>
        <v>10.189493448100011</v>
      </c>
      <c r="BN168" s="18">
        <f>IFERROR(AP168/'Ar-Pa'!R168,0)</f>
        <v>10.566882094325937</v>
      </c>
      <c r="BO168" s="18">
        <f>IFERROR(AQ168/'Ar-Pa'!S168,0)</f>
        <v>10.189493448100011</v>
      </c>
      <c r="BP168" s="18">
        <f>IFERROR(AR168/'Ar-Pa'!T168,0)</f>
        <v>10.566882094325937</v>
      </c>
      <c r="BQ168" s="18">
        <f>IFERROR(AS168/'Ar-Pa'!U168,0)</f>
        <v>10.189493448100011</v>
      </c>
      <c r="BR168" s="18">
        <f>IFERROR(AT168/'Ar-Pa'!V168,0)</f>
        <v>10.189493448100011</v>
      </c>
      <c r="BS168" s="18">
        <f>IFERROR(AU168/'Ar-Pa'!W168,0)</f>
        <v>10.189493448100011</v>
      </c>
      <c r="BT168" s="18">
        <f>IFERROR(AV168/'Ar-Pa'!X168,0)</f>
        <v>10.189493448100011</v>
      </c>
      <c r="BU168" s="18">
        <f>IFERROR(AW168/'Ar-Pa'!Y168,0)</f>
        <v>9.8121048018740851</v>
      </c>
    </row>
    <row r="169" spans="1:73">
      <c r="A169" s="15">
        <v>45094</v>
      </c>
      <c r="B169" s="441">
        <v>0.35</v>
      </c>
      <c r="C169" s="441">
        <v>0.28000000000000003</v>
      </c>
      <c r="D169" s="441">
        <v>0.28999999999999998</v>
      </c>
      <c r="E169" s="441">
        <v>0.28000000000000003</v>
      </c>
      <c r="F169" s="441">
        <v>0.28000000000000003</v>
      </c>
      <c r="G169" s="441">
        <v>0.28000000000000003</v>
      </c>
      <c r="H169" s="441">
        <v>0.28999999999999998</v>
      </c>
      <c r="I169" s="441">
        <v>0.28000000000000003</v>
      </c>
      <c r="J169" s="441">
        <v>0.28000000000000003</v>
      </c>
      <c r="K169" s="441">
        <v>0.28000000000000003</v>
      </c>
      <c r="L169" s="441">
        <v>0.28000000000000003</v>
      </c>
      <c r="M169" s="441">
        <v>0.28999999999999998</v>
      </c>
      <c r="N169" s="441">
        <v>0.28000000000000003</v>
      </c>
      <c r="O169" s="441">
        <v>0.28000000000000003</v>
      </c>
      <c r="P169" s="441">
        <v>0.27</v>
      </c>
      <c r="Q169" s="441">
        <v>0.28999999999999998</v>
      </c>
      <c r="R169" s="441">
        <v>0.28000000000000003</v>
      </c>
      <c r="S169" s="441">
        <v>0.28000000000000003</v>
      </c>
      <c r="T169" s="441">
        <v>0.28000000000000003</v>
      </c>
      <c r="U169" s="441">
        <v>0.35</v>
      </c>
      <c r="V169" s="441">
        <v>0.35</v>
      </c>
      <c r="W169" s="441">
        <v>0.36</v>
      </c>
      <c r="X169" s="441">
        <v>0.3</v>
      </c>
      <c r="Y169" s="441">
        <v>0.28000000000000003</v>
      </c>
      <c r="Z169" s="19">
        <f t="shared" si="98"/>
        <v>92.460218325351946</v>
      </c>
      <c r="AA169" s="19">
        <f t="shared" si="75"/>
        <v>73.968174660281562</v>
      </c>
      <c r="AB169" s="19">
        <f t="shared" si="76"/>
        <v>76.609895183863046</v>
      </c>
      <c r="AC169" s="19">
        <f t="shared" si="77"/>
        <v>73.968174660281562</v>
      </c>
      <c r="AD169" s="19">
        <f t="shared" si="78"/>
        <v>73.968174660281562</v>
      </c>
      <c r="AE169" s="19">
        <f t="shared" si="79"/>
        <v>73.968174660281562</v>
      </c>
      <c r="AF169" s="19">
        <f t="shared" si="80"/>
        <v>76.609895183863046</v>
      </c>
      <c r="AG169" s="19">
        <f t="shared" si="81"/>
        <v>73.968174660281562</v>
      </c>
      <c r="AH169" s="19">
        <f t="shared" si="82"/>
        <v>73.968174660281562</v>
      </c>
      <c r="AI169" s="19">
        <f t="shared" si="83"/>
        <v>73.968174660281562</v>
      </c>
      <c r="AJ169" s="19">
        <f t="shared" si="84"/>
        <v>73.968174660281562</v>
      </c>
      <c r="AK169" s="19">
        <f t="shared" si="85"/>
        <v>76.609895183863046</v>
      </c>
      <c r="AL169" s="19">
        <f t="shared" si="86"/>
        <v>73.968174660281562</v>
      </c>
      <c r="AM169" s="19">
        <f t="shared" si="87"/>
        <v>73.968174660281562</v>
      </c>
      <c r="AN169" s="19">
        <f t="shared" si="88"/>
        <v>71.326454136700079</v>
      </c>
      <c r="AO169" s="19">
        <f t="shared" si="89"/>
        <v>76.609895183863046</v>
      </c>
      <c r="AP169" s="19">
        <f t="shared" si="90"/>
        <v>73.968174660281562</v>
      </c>
      <c r="AQ169" s="19">
        <f t="shared" si="91"/>
        <v>73.968174660281562</v>
      </c>
      <c r="AR169" s="19">
        <f t="shared" si="92"/>
        <v>73.968174660281562</v>
      </c>
      <c r="AS169" s="19">
        <f t="shared" si="93"/>
        <v>92.460218325351946</v>
      </c>
      <c r="AT169" s="19">
        <f t="shared" si="94"/>
        <v>92.460218325351946</v>
      </c>
      <c r="AU169" s="19">
        <f t="shared" si="95"/>
        <v>95.101938848933429</v>
      </c>
      <c r="AV169" s="19">
        <f t="shared" si="96"/>
        <v>79.251615707444529</v>
      </c>
      <c r="AW169" s="19">
        <f t="shared" si="97"/>
        <v>73.968174660281562</v>
      </c>
      <c r="AX169" s="18">
        <f>IFERROR(Z169/'Ar-Pa'!B169,0)</f>
        <v>11.557527290668993</v>
      </c>
      <c r="AY169" s="18">
        <f>IFERROR(AA169/'Ar-Pa'!C169,0)</f>
        <v>9.2460218325351953</v>
      </c>
      <c r="AZ169" s="18">
        <f>IFERROR(AB169/'Ar-Pa'!D169,0)</f>
        <v>9.5762368979828807</v>
      </c>
      <c r="BA169" s="18">
        <f>IFERROR(AC169/'Ar-Pa'!E169,0)</f>
        <v>9.2460218325351953</v>
      </c>
      <c r="BB169" s="18">
        <f>IFERROR(AD169/'Ar-Pa'!F169,0)</f>
        <v>9.2460218325351953</v>
      </c>
      <c r="BC169" s="18">
        <f>IFERROR(AE169/'Ar-Pa'!G169,0)</f>
        <v>9.2460218325351953</v>
      </c>
      <c r="BD169" s="18">
        <f>IFERROR(AF169/'Ar-Pa'!H169,0)</f>
        <v>9.5762368979828807</v>
      </c>
      <c r="BE169" s="18">
        <f>IFERROR(AG169/'Ar-Pa'!I169,0)</f>
        <v>9.2460218325351953</v>
      </c>
      <c r="BF169" s="18">
        <f>IFERROR(AH169/'Ar-Pa'!J169,0)</f>
        <v>9.2460218325351953</v>
      </c>
      <c r="BG169" s="18">
        <f>IFERROR(AI169/'Ar-Pa'!K169,0)</f>
        <v>9.2460218325351953</v>
      </c>
      <c r="BH169" s="18">
        <f>IFERROR(AJ169/'Ar-Pa'!L169,0)</f>
        <v>9.2460218325351953</v>
      </c>
      <c r="BI169" s="18">
        <f>IFERROR(AK169/'Ar-Pa'!M169,0)</f>
        <v>9.5762368979828807</v>
      </c>
      <c r="BJ169" s="18">
        <f>IFERROR(AL169/'Ar-Pa'!N169,0)</f>
        <v>9.2460218325351953</v>
      </c>
      <c r="BK169" s="18">
        <f>IFERROR(AM169/'Ar-Pa'!O169,0)</f>
        <v>9.2460218325351953</v>
      </c>
      <c r="BL169" s="18">
        <f>IFERROR(AN169/'Ar-Pa'!P169,0)</f>
        <v>8.9158067670875099</v>
      </c>
      <c r="BM169" s="18">
        <f>IFERROR(AO169/'Ar-Pa'!Q169,0)</f>
        <v>9.5762368979828807</v>
      </c>
      <c r="BN169" s="18">
        <f>IFERROR(AP169/'Ar-Pa'!R169,0)</f>
        <v>9.2460218325351953</v>
      </c>
      <c r="BO169" s="18">
        <f>IFERROR(AQ169/'Ar-Pa'!S169,0)</f>
        <v>9.2460218325351953</v>
      </c>
      <c r="BP169" s="18">
        <f>IFERROR(AR169/'Ar-Pa'!T169,0)</f>
        <v>9.2460218325351953</v>
      </c>
      <c r="BQ169" s="18">
        <f>IFERROR(AS169/'Ar-Pa'!U169,0)</f>
        <v>11.557527290668993</v>
      </c>
      <c r="BR169" s="18">
        <f>IFERROR(AT169/'Ar-Pa'!V169,0)</f>
        <v>11.557527290668993</v>
      </c>
      <c r="BS169" s="18">
        <f>IFERROR(AU169/'Ar-Pa'!W169,0)</f>
        <v>11.887742356116679</v>
      </c>
      <c r="BT169" s="18">
        <f>IFERROR(AV169/'Ar-Pa'!X169,0)</f>
        <v>9.9064519634305661</v>
      </c>
      <c r="BU169" s="18">
        <f>IFERROR(AW169/'Ar-Pa'!Y169,0)</f>
        <v>9.2460218325351953</v>
      </c>
    </row>
    <row r="170" spans="1:73">
      <c r="A170" s="15">
        <v>45095</v>
      </c>
      <c r="B170" s="441">
        <v>0.27</v>
      </c>
      <c r="C170" s="441">
        <v>0.27</v>
      </c>
      <c r="D170" s="441">
        <v>0.27</v>
      </c>
      <c r="E170" s="441">
        <v>0.26</v>
      </c>
      <c r="F170" s="441">
        <v>0.28000000000000003</v>
      </c>
      <c r="G170" s="441">
        <v>0.27</v>
      </c>
      <c r="H170" s="441">
        <v>0.27</v>
      </c>
      <c r="I170" s="441">
        <v>0.26</v>
      </c>
      <c r="J170" s="441">
        <v>0.28000000000000003</v>
      </c>
      <c r="K170" s="441">
        <v>0.26</v>
      </c>
      <c r="L170" s="441">
        <v>0.27</v>
      </c>
      <c r="M170" s="441">
        <v>0.28000000000000003</v>
      </c>
      <c r="N170" s="441">
        <v>0.27</v>
      </c>
      <c r="O170" s="441">
        <v>0.27</v>
      </c>
      <c r="P170" s="441">
        <v>0.27</v>
      </c>
      <c r="Q170" s="441">
        <v>0.27</v>
      </c>
      <c r="R170" s="441">
        <v>0.26</v>
      </c>
      <c r="S170" s="441">
        <v>0.27</v>
      </c>
      <c r="T170" s="441">
        <v>0.3</v>
      </c>
      <c r="U170" s="441">
        <v>0.34</v>
      </c>
      <c r="V170" s="441">
        <v>0.34</v>
      </c>
      <c r="W170" s="441">
        <v>0.34</v>
      </c>
      <c r="X170" s="441">
        <v>0.34</v>
      </c>
      <c r="Y170" s="441">
        <v>0.33</v>
      </c>
      <c r="Z170" s="19">
        <f t="shared" si="98"/>
        <v>71.326454136700079</v>
      </c>
      <c r="AA170" s="19">
        <f t="shared" si="75"/>
        <v>71.326454136700079</v>
      </c>
      <c r="AB170" s="19">
        <f t="shared" si="76"/>
        <v>71.326454136700079</v>
      </c>
      <c r="AC170" s="19">
        <f t="shared" si="77"/>
        <v>68.684733613118595</v>
      </c>
      <c r="AD170" s="19">
        <f t="shared" si="78"/>
        <v>73.968174660281562</v>
      </c>
      <c r="AE170" s="19">
        <f t="shared" si="79"/>
        <v>71.326454136700079</v>
      </c>
      <c r="AF170" s="19">
        <f t="shared" si="80"/>
        <v>71.326454136700079</v>
      </c>
      <c r="AG170" s="19">
        <f t="shared" si="81"/>
        <v>68.684733613118595</v>
      </c>
      <c r="AH170" s="19">
        <f t="shared" si="82"/>
        <v>73.968174660281562</v>
      </c>
      <c r="AI170" s="19">
        <f t="shared" si="83"/>
        <v>68.684733613118595</v>
      </c>
      <c r="AJ170" s="19">
        <f t="shared" si="84"/>
        <v>71.326454136700079</v>
      </c>
      <c r="AK170" s="19">
        <f t="shared" si="85"/>
        <v>73.968174660281562</v>
      </c>
      <c r="AL170" s="19">
        <f t="shared" si="86"/>
        <v>71.326454136700079</v>
      </c>
      <c r="AM170" s="19">
        <f t="shared" si="87"/>
        <v>71.326454136700079</v>
      </c>
      <c r="AN170" s="19">
        <f t="shared" si="88"/>
        <v>71.326454136700079</v>
      </c>
      <c r="AO170" s="19">
        <f t="shared" si="89"/>
        <v>71.326454136700079</v>
      </c>
      <c r="AP170" s="19">
        <f t="shared" si="90"/>
        <v>68.684733613118595</v>
      </c>
      <c r="AQ170" s="19">
        <f t="shared" si="91"/>
        <v>71.326454136700079</v>
      </c>
      <c r="AR170" s="19">
        <f t="shared" si="92"/>
        <v>79.251615707444529</v>
      </c>
      <c r="AS170" s="19">
        <f t="shared" si="93"/>
        <v>89.818497801770462</v>
      </c>
      <c r="AT170" s="19">
        <f t="shared" si="94"/>
        <v>89.818497801770462</v>
      </c>
      <c r="AU170" s="19">
        <f t="shared" si="95"/>
        <v>89.818497801770462</v>
      </c>
      <c r="AV170" s="19">
        <f t="shared" si="96"/>
        <v>89.818497801770462</v>
      </c>
      <c r="AW170" s="19">
        <f t="shared" si="97"/>
        <v>87.176777278188979</v>
      </c>
      <c r="AX170" s="18">
        <f>IFERROR(Z170/'Ar-Pa'!B170,0)</f>
        <v>10.189493448100011</v>
      </c>
      <c r="AY170" s="18">
        <f>IFERROR(AA170/'Ar-Pa'!C170,0)</f>
        <v>10.189493448100011</v>
      </c>
      <c r="AZ170" s="18">
        <f>IFERROR(AB170/'Ar-Pa'!D170,0)</f>
        <v>8.9158067670875099</v>
      </c>
      <c r="BA170" s="18">
        <f>IFERROR(AC170/'Ar-Pa'!E170,0)</f>
        <v>8.5855917016398244</v>
      </c>
      <c r="BB170" s="18">
        <f>IFERROR(AD170/'Ar-Pa'!F170,0)</f>
        <v>9.2460218325351953</v>
      </c>
      <c r="BC170" s="18">
        <f>IFERROR(AE170/'Ar-Pa'!G170,0)</f>
        <v>8.9158067670875099</v>
      </c>
      <c r="BD170" s="18">
        <f>IFERROR(AF170/'Ar-Pa'!H170,0)</f>
        <v>8.9158067670875099</v>
      </c>
      <c r="BE170" s="18">
        <f>IFERROR(AG170/'Ar-Pa'!I170,0)</f>
        <v>8.5855917016398244</v>
      </c>
      <c r="BF170" s="18">
        <f>IFERROR(AH170/'Ar-Pa'!J170,0)</f>
        <v>9.2460218325351953</v>
      </c>
      <c r="BG170" s="18">
        <f>IFERROR(AI170/'Ar-Pa'!K170,0)</f>
        <v>8.5855917016398244</v>
      </c>
      <c r="BH170" s="18">
        <f>IFERROR(AJ170/'Ar-Pa'!L170,0)</f>
        <v>8.9158067670875099</v>
      </c>
      <c r="BI170" s="18">
        <f>IFERROR(AK170/'Ar-Pa'!M170,0)</f>
        <v>9.2460218325351953</v>
      </c>
      <c r="BJ170" s="18">
        <f>IFERROR(AL170/'Ar-Pa'!N170,0)</f>
        <v>8.9158067670875099</v>
      </c>
      <c r="BK170" s="18">
        <f>IFERROR(AM170/'Ar-Pa'!O170,0)</f>
        <v>8.9158067670875099</v>
      </c>
      <c r="BL170" s="18">
        <f>IFERROR(AN170/'Ar-Pa'!P170,0)</f>
        <v>8.9158067670875099</v>
      </c>
      <c r="BM170" s="18">
        <f>IFERROR(AO170/'Ar-Pa'!Q170,0)</f>
        <v>8.9158067670875099</v>
      </c>
      <c r="BN170" s="18">
        <f>IFERROR(AP170/'Ar-Pa'!R170,0)</f>
        <v>8.5855917016398244</v>
      </c>
      <c r="BO170" s="18">
        <f>IFERROR(AQ170/'Ar-Pa'!S170,0)</f>
        <v>8.9158067670875099</v>
      </c>
      <c r="BP170" s="18">
        <f>IFERROR(AR170/'Ar-Pa'!T170,0)</f>
        <v>9.9064519634305661</v>
      </c>
      <c r="BQ170" s="18">
        <f>IFERROR(AS170/'Ar-Pa'!U170,0)</f>
        <v>11.227312225221308</v>
      </c>
      <c r="BR170" s="18">
        <f>IFERROR(AT170/'Ar-Pa'!V170,0)</f>
        <v>11.227312225221308</v>
      </c>
      <c r="BS170" s="18">
        <f>IFERROR(AU170/'Ar-Pa'!W170,0)</f>
        <v>11.227312225221308</v>
      </c>
      <c r="BT170" s="18">
        <f>IFERROR(AV170/'Ar-Pa'!X170,0)</f>
        <v>11.227312225221308</v>
      </c>
      <c r="BU170" s="18">
        <f>IFERROR(AW170/'Ar-Pa'!Y170,0)</f>
        <v>10.897097159773622</v>
      </c>
    </row>
    <row r="171" spans="1:73">
      <c r="A171" s="15">
        <v>45096</v>
      </c>
      <c r="B171" s="441">
        <v>0.34</v>
      </c>
      <c r="C171" s="441">
        <v>0.28000000000000003</v>
      </c>
      <c r="D171" s="441">
        <v>0.26</v>
      </c>
      <c r="E171" s="441">
        <v>0.27</v>
      </c>
      <c r="F171" s="441">
        <v>0.28000000000000003</v>
      </c>
      <c r="G171" s="441">
        <v>0.27</v>
      </c>
      <c r="H171" s="441">
        <v>0.27</v>
      </c>
      <c r="I171" s="441">
        <v>0.27</v>
      </c>
      <c r="J171" s="441">
        <v>0.26</v>
      </c>
      <c r="K171" s="441">
        <v>0.27</v>
      </c>
      <c r="L171" s="441">
        <v>0.27</v>
      </c>
      <c r="M171" s="441">
        <v>0.27</v>
      </c>
      <c r="N171" s="441">
        <v>0.26</v>
      </c>
      <c r="O171" s="441">
        <v>0.27</v>
      </c>
      <c r="P171" s="441">
        <v>0.27</v>
      </c>
      <c r="Q171" s="441">
        <v>0.27</v>
      </c>
      <c r="R171" s="441">
        <v>0.27</v>
      </c>
      <c r="S171" s="441">
        <v>0.27</v>
      </c>
      <c r="T171" s="441">
        <v>0.3</v>
      </c>
      <c r="U171" s="441">
        <v>0.34</v>
      </c>
      <c r="V171" s="441">
        <v>0.35</v>
      </c>
      <c r="W171" s="441">
        <v>0.34</v>
      </c>
      <c r="X171" s="441">
        <v>0.35</v>
      </c>
      <c r="Y171" s="441">
        <v>0.27</v>
      </c>
      <c r="Z171" s="19">
        <f t="shared" si="98"/>
        <v>89.818497801770462</v>
      </c>
      <c r="AA171" s="19">
        <f t="shared" si="75"/>
        <v>73.968174660281562</v>
      </c>
      <c r="AB171" s="19">
        <f t="shared" si="76"/>
        <v>68.684733613118595</v>
      </c>
      <c r="AC171" s="19">
        <f t="shared" si="77"/>
        <v>71.326454136700079</v>
      </c>
      <c r="AD171" s="19">
        <f t="shared" si="78"/>
        <v>73.968174660281562</v>
      </c>
      <c r="AE171" s="19">
        <f t="shared" si="79"/>
        <v>71.326454136700079</v>
      </c>
      <c r="AF171" s="19">
        <f t="shared" si="80"/>
        <v>71.326454136700079</v>
      </c>
      <c r="AG171" s="19">
        <f t="shared" si="81"/>
        <v>71.326454136700079</v>
      </c>
      <c r="AH171" s="19">
        <f t="shared" si="82"/>
        <v>68.684733613118595</v>
      </c>
      <c r="AI171" s="19">
        <f t="shared" si="83"/>
        <v>71.326454136700079</v>
      </c>
      <c r="AJ171" s="19">
        <f t="shared" si="84"/>
        <v>71.326454136700079</v>
      </c>
      <c r="AK171" s="19">
        <f t="shared" si="85"/>
        <v>71.326454136700079</v>
      </c>
      <c r="AL171" s="19">
        <f t="shared" si="86"/>
        <v>68.684733613118595</v>
      </c>
      <c r="AM171" s="19">
        <f t="shared" si="87"/>
        <v>71.326454136700079</v>
      </c>
      <c r="AN171" s="19">
        <f t="shared" si="88"/>
        <v>71.326454136700079</v>
      </c>
      <c r="AO171" s="19">
        <f t="shared" si="89"/>
        <v>71.326454136700079</v>
      </c>
      <c r="AP171" s="19">
        <f t="shared" si="90"/>
        <v>71.326454136700079</v>
      </c>
      <c r="AQ171" s="19">
        <f t="shared" si="91"/>
        <v>71.326454136700079</v>
      </c>
      <c r="AR171" s="19">
        <f t="shared" si="92"/>
        <v>79.251615707444529</v>
      </c>
      <c r="AS171" s="19">
        <f t="shared" si="93"/>
        <v>89.818497801770462</v>
      </c>
      <c r="AT171" s="19">
        <f t="shared" si="94"/>
        <v>92.460218325351946</v>
      </c>
      <c r="AU171" s="19">
        <f t="shared" si="95"/>
        <v>89.818497801770462</v>
      </c>
      <c r="AV171" s="19">
        <f t="shared" si="96"/>
        <v>92.460218325351946</v>
      </c>
      <c r="AW171" s="19">
        <f t="shared" si="97"/>
        <v>71.326454136700079</v>
      </c>
      <c r="AX171" s="18">
        <f>IFERROR(Z171/'Ar-Pa'!B171,0)</f>
        <v>11.227312225221308</v>
      </c>
      <c r="AY171" s="18">
        <f>IFERROR(AA171/'Ar-Pa'!C171,0)</f>
        <v>9.2460218325351953</v>
      </c>
      <c r="AZ171" s="18">
        <f>IFERROR(AB171/'Ar-Pa'!D171,0)</f>
        <v>8.5855917016398244</v>
      </c>
      <c r="BA171" s="18">
        <f>IFERROR(AC171/'Ar-Pa'!E171,0)</f>
        <v>8.9158067670875099</v>
      </c>
      <c r="BB171" s="18">
        <f>IFERROR(AD171/'Ar-Pa'!F171,0)</f>
        <v>9.2460218325351953</v>
      </c>
      <c r="BC171" s="18">
        <f>IFERROR(AE171/'Ar-Pa'!G171,0)</f>
        <v>8.9158067670875099</v>
      </c>
      <c r="BD171" s="18">
        <f>IFERROR(AF171/'Ar-Pa'!H171,0)</f>
        <v>8.9158067670875099</v>
      </c>
      <c r="BE171" s="18">
        <f>IFERROR(AG171/'Ar-Pa'!I171,0)</f>
        <v>8.9158067670875099</v>
      </c>
      <c r="BF171" s="18">
        <f>IFERROR(AH171/'Ar-Pa'!J171,0)</f>
        <v>8.5855917016398244</v>
      </c>
      <c r="BG171" s="18">
        <f>IFERROR(AI171/'Ar-Pa'!K171,0)</f>
        <v>8.9158067670875099</v>
      </c>
      <c r="BH171" s="18">
        <f>IFERROR(AJ171/'Ar-Pa'!L171,0)</f>
        <v>8.9158067670875099</v>
      </c>
      <c r="BI171" s="18">
        <f>IFERROR(AK171/'Ar-Pa'!M171,0)</f>
        <v>8.9158067670875099</v>
      </c>
      <c r="BJ171" s="18">
        <f>IFERROR(AL171/'Ar-Pa'!N171,0)</f>
        <v>8.5855917016398244</v>
      </c>
      <c r="BK171" s="18">
        <f>IFERROR(AM171/'Ar-Pa'!O171,0)</f>
        <v>8.9158067670875099</v>
      </c>
      <c r="BL171" s="18">
        <f>IFERROR(AN171/'Ar-Pa'!P171,0)</f>
        <v>8.9158067670875099</v>
      </c>
      <c r="BM171" s="18">
        <f>IFERROR(AO171/'Ar-Pa'!Q171,0)</f>
        <v>8.9158067670875099</v>
      </c>
      <c r="BN171" s="18">
        <f>IFERROR(AP171/'Ar-Pa'!R171,0)</f>
        <v>8.9158067670875099</v>
      </c>
      <c r="BO171" s="18">
        <f>IFERROR(AQ171/'Ar-Pa'!S171,0)</f>
        <v>8.9158067670875099</v>
      </c>
      <c r="BP171" s="18">
        <f>IFERROR(AR171/'Ar-Pa'!T171,0)</f>
        <v>9.9064519634305661</v>
      </c>
      <c r="BQ171" s="18">
        <f>IFERROR(AS171/'Ar-Pa'!U171,0)</f>
        <v>11.227312225221308</v>
      </c>
      <c r="BR171" s="18">
        <f>IFERROR(AT171/'Ar-Pa'!V171,0)</f>
        <v>11.557527290668993</v>
      </c>
      <c r="BS171" s="18">
        <f>IFERROR(AU171/'Ar-Pa'!W171,0)</f>
        <v>11.227312225221308</v>
      </c>
      <c r="BT171" s="18">
        <f>IFERROR(AV171/'Ar-Pa'!X171,0)</f>
        <v>11.557527290668993</v>
      </c>
      <c r="BU171" s="18">
        <f>IFERROR(AW171/'Ar-Pa'!Y171,0)</f>
        <v>8.9158067670875099</v>
      </c>
    </row>
    <row r="172" spans="1:73">
      <c r="A172" s="15">
        <v>45097</v>
      </c>
      <c r="B172" s="441">
        <v>0.3</v>
      </c>
      <c r="C172" s="441">
        <v>0.31</v>
      </c>
      <c r="D172" s="441">
        <v>0.28999999999999998</v>
      </c>
      <c r="E172" s="441">
        <v>0.25</v>
      </c>
      <c r="F172" s="441">
        <v>0.25</v>
      </c>
      <c r="G172" s="441">
        <v>0.25</v>
      </c>
      <c r="H172" s="441">
        <v>0.24</v>
      </c>
      <c r="I172" s="441">
        <v>0.25</v>
      </c>
      <c r="J172" s="441">
        <v>0.24</v>
      </c>
      <c r="K172" s="441">
        <v>0.25</v>
      </c>
      <c r="L172" s="441">
        <v>0.25</v>
      </c>
      <c r="M172" s="441">
        <v>0.25</v>
      </c>
      <c r="N172" s="441">
        <v>0.24</v>
      </c>
      <c r="O172" s="441">
        <v>0.28000000000000003</v>
      </c>
      <c r="P172" s="441">
        <v>0.31</v>
      </c>
      <c r="Q172" s="441">
        <v>0.3</v>
      </c>
      <c r="R172" s="441">
        <v>0.28000000000000003</v>
      </c>
      <c r="S172" s="441">
        <v>0.26</v>
      </c>
      <c r="T172" s="441">
        <v>0.27</v>
      </c>
      <c r="U172" s="441">
        <v>0.28000000000000003</v>
      </c>
      <c r="V172" s="441">
        <v>0.28000000000000003</v>
      </c>
      <c r="W172" s="441">
        <v>0.27</v>
      </c>
      <c r="X172" s="441">
        <v>0.28000000000000003</v>
      </c>
      <c r="Y172" s="441">
        <v>0.27</v>
      </c>
      <c r="Z172" s="19">
        <f t="shared" si="98"/>
        <v>79.251615707444529</v>
      </c>
      <c r="AA172" s="19">
        <f t="shared" si="75"/>
        <v>81.893336231026012</v>
      </c>
      <c r="AB172" s="19">
        <f t="shared" si="76"/>
        <v>76.609895183863046</v>
      </c>
      <c r="AC172" s="19">
        <f t="shared" si="77"/>
        <v>66.043013089537112</v>
      </c>
      <c r="AD172" s="19">
        <f t="shared" si="78"/>
        <v>66.043013089537112</v>
      </c>
      <c r="AE172" s="19">
        <f t="shared" si="79"/>
        <v>66.043013089537112</v>
      </c>
      <c r="AF172" s="19">
        <f t="shared" si="80"/>
        <v>63.401292565955622</v>
      </c>
      <c r="AG172" s="19">
        <f t="shared" si="81"/>
        <v>66.043013089537112</v>
      </c>
      <c r="AH172" s="19">
        <f t="shared" si="82"/>
        <v>63.401292565955622</v>
      </c>
      <c r="AI172" s="19">
        <f t="shared" si="83"/>
        <v>66.043013089537112</v>
      </c>
      <c r="AJ172" s="19">
        <f t="shared" si="84"/>
        <v>66.043013089537112</v>
      </c>
      <c r="AK172" s="19">
        <f t="shared" si="85"/>
        <v>66.043013089537112</v>
      </c>
      <c r="AL172" s="19">
        <f t="shared" si="86"/>
        <v>63.401292565955622</v>
      </c>
      <c r="AM172" s="19">
        <f t="shared" si="87"/>
        <v>73.968174660281562</v>
      </c>
      <c r="AN172" s="19">
        <f t="shared" si="88"/>
        <v>81.893336231026012</v>
      </c>
      <c r="AO172" s="19">
        <f t="shared" si="89"/>
        <v>79.251615707444529</v>
      </c>
      <c r="AP172" s="19">
        <f t="shared" si="90"/>
        <v>73.968174660281562</v>
      </c>
      <c r="AQ172" s="19">
        <f t="shared" si="91"/>
        <v>68.684733613118595</v>
      </c>
      <c r="AR172" s="19">
        <f t="shared" si="92"/>
        <v>71.326454136700079</v>
      </c>
      <c r="AS172" s="19">
        <f t="shared" si="93"/>
        <v>73.968174660281562</v>
      </c>
      <c r="AT172" s="19">
        <f t="shared" si="94"/>
        <v>73.968174660281562</v>
      </c>
      <c r="AU172" s="19">
        <f t="shared" si="95"/>
        <v>71.326454136700079</v>
      </c>
      <c r="AV172" s="19">
        <f t="shared" si="96"/>
        <v>73.968174660281562</v>
      </c>
      <c r="AW172" s="19">
        <f t="shared" si="97"/>
        <v>71.326454136700079</v>
      </c>
      <c r="AX172" s="18">
        <f>IFERROR(Z172/'Ar-Pa'!B172,0)</f>
        <v>9.9064519634305661</v>
      </c>
      <c r="AY172" s="18">
        <f>IFERROR(AA172/'Ar-Pa'!C172,0)</f>
        <v>10.236667028878252</v>
      </c>
      <c r="AZ172" s="18">
        <f>IFERROR(AB172/'Ar-Pa'!D172,0)</f>
        <v>9.5762368979828807</v>
      </c>
      <c r="BA172" s="18">
        <f>IFERROR(AC172/'Ar-Pa'!E172,0)</f>
        <v>8.255376636192139</v>
      </c>
      <c r="BB172" s="18">
        <f>IFERROR(AD172/'Ar-Pa'!F172,0)</f>
        <v>8.255376636192139</v>
      </c>
      <c r="BC172" s="18">
        <f>IFERROR(AE172/'Ar-Pa'!G172,0)</f>
        <v>8.255376636192139</v>
      </c>
      <c r="BD172" s="18">
        <f>IFERROR(AF172/'Ar-Pa'!H172,0)</f>
        <v>9.0573275094222314</v>
      </c>
      <c r="BE172" s="18">
        <f>IFERROR(AG172/'Ar-Pa'!I172,0)</f>
        <v>8.255376636192139</v>
      </c>
      <c r="BF172" s="18">
        <f>IFERROR(AH172/'Ar-Pa'!J172,0)</f>
        <v>7.9251615707444527</v>
      </c>
      <c r="BG172" s="18">
        <f>IFERROR(AI172/'Ar-Pa'!K172,0)</f>
        <v>8.255376636192139</v>
      </c>
      <c r="BH172" s="18">
        <f>IFERROR(AJ172/'Ar-Pa'!L172,0)</f>
        <v>8.255376636192139</v>
      </c>
      <c r="BI172" s="18">
        <f>IFERROR(AK172/'Ar-Pa'!M172,0)</f>
        <v>8.255376636192139</v>
      </c>
      <c r="BJ172" s="18">
        <f>IFERROR(AL172/'Ar-Pa'!N172,0)</f>
        <v>7.9251615707444527</v>
      </c>
      <c r="BK172" s="18">
        <f>IFERROR(AM172/'Ar-Pa'!O172,0)</f>
        <v>9.2460218325351953</v>
      </c>
      <c r="BL172" s="18">
        <f>IFERROR(AN172/'Ar-Pa'!P172,0)</f>
        <v>10.236667028878252</v>
      </c>
      <c r="BM172" s="18">
        <f>IFERROR(AO172/'Ar-Pa'!Q172,0)</f>
        <v>9.9064519634305661</v>
      </c>
      <c r="BN172" s="18">
        <f>IFERROR(AP172/'Ar-Pa'!R172,0)</f>
        <v>9.2460218325351953</v>
      </c>
      <c r="BO172" s="18">
        <f>IFERROR(AQ172/'Ar-Pa'!S172,0)</f>
        <v>8.5855917016398244</v>
      </c>
      <c r="BP172" s="18">
        <f>IFERROR(AR172/'Ar-Pa'!T172,0)</f>
        <v>10.189493448100011</v>
      </c>
      <c r="BQ172" s="18">
        <f>IFERROR(AS172/'Ar-Pa'!U172,0)</f>
        <v>10.566882094325937</v>
      </c>
      <c r="BR172" s="18">
        <f>IFERROR(AT172/'Ar-Pa'!V172,0)</f>
        <v>10.566882094325937</v>
      </c>
      <c r="BS172" s="18">
        <f>IFERROR(AU172/'Ar-Pa'!W172,0)</f>
        <v>10.189493448100011</v>
      </c>
      <c r="BT172" s="18">
        <f>IFERROR(AV172/'Ar-Pa'!X172,0)</f>
        <v>10.566882094325937</v>
      </c>
      <c r="BU172" s="18">
        <f>IFERROR(AW172/'Ar-Pa'!Y172,0)</f>
        <v>10.189493448100011</v>
      </c>
    </row>
    <row r="173" spans="1:73">
      <c r="A173" s="15">
        <v>45098</v>
      </c>
      <c r="B173" s="441">
        <v>0.28999999999999998</v>
      </c>
      <c r="C173" s="441">
        <v>0.28000000000000003</v>
      </c>
      <c r="D173" s="441">
        <v>0.27</v>
      </c>
      <c r="E173" s="441">
        <v>0.25</v>
      </c>
      <c r="F173" s="441">
        <v>0.27</v>
      </c>
      <c r="G173" s="441">
        <v>0.25</v>
      </c>
      <c r="H173" s="441">
        <v>0.26</v>
      </c>
      <c r="I173" s="441">
        <v>0.27</v>
      </c>
      <c r="J173" s="441">
        <v>0.25</v>
      </c>
      <c r="K173" s="441">
        <v>0.27</v>
      </c>
      <c r="L173" s="441">
        <v>0.26</v>
      </c>
      <c r="M173" s="441">
        <v>0.26</v>
      </c>
      <c r="N173" s="441">
        <v>0.26</v>
      </c>
      <c r="O173" s="441">
        <v>0.26</v>
      </c>
      <c r="P173" s="441">
        <v>0.32</v>
      </c>
      <c r="Q173" s="441">
        <v>0.33</v>
      </c>
      <c r="R173" s="441">
        <v>0.26</v>
      </c>
      <c r="S173" s="441">
        <v>0.32</v>
      </c>
      <c r="T173" s="441">
        <v>0.3</v>
      </c>
      <c r="U173" s="441">
        <v>0.28000000000000003</v>
      </c>
      <c r="V173" s="441">
        <v>0.28999999999999998</v>
      </c>
      <c r="W173" s="441">
        <v>0.28000000000000003</v>
      </c>
      <c r="X173" s="441">
        <v>0.28999999999999998</v>
      </c>
      <c r="Y173" s="441">
        <v>0.28000000000000003</v>
      </c>
      <c r="Z173" s="19">
        <f t="shared" si="98"/>
        <v>76.609895183863046</v>
      </c>
      <c r="AA173" s="19">
        <f t="shared" si="75"/>
        <v>73.968174660281562</v>
      </c>
      <c r="AB173" s="19">
        <f t="shared" si="76"/>
        <v>71.326454136700079</v>
      </c>
      <c r="AC173" s="19">
        <f t="shared" si="77"/>
        <v>66.043013089537112</v>
      </c>
      <c r="AD173" s="19">
        <f t="shared" si="78"/>
        <v>71.326454136700079</v>
      </c>
      <c r="AE173" s="19">
        <f t="shared" si="79"/>
        <v>66.043013089537112</v>
      </c>
      <c r="AF173" s="19">
        <f t="shared" si="80"/>
        <v>68.684733613118595</v>
      </c>
      <c r="AG173" s="19">
        <f t="shared" si="81"/>
        <v>71.326454136700079</v>
      </c>
      <c r="AH173" s="19">
        <f t="shared" si="82"/>
        <v>66.043013089537112</v>
      </c>
      <c r="AI173" s="19">
        <f t="shared" si="83"/>
        <v>71.326454136700079</v>
      </c>
      <c r="AJ173" s="19">
        <f t="shared" si="84"/>
        <v>68.684733613118595</v>
      </c>
      <c r="AK173" s="19">
        <f t="shared" si="85"/>
        <v>68.684733613118595</v>
      </c>
      <c r="AL173" s="19">
        <f t="shared" si="86"/>
        <v>68.684733613118595</v>
      </c>
      <c r="AM173" s="19">
        <f t="shared" si="87"/>
        <v>68.684733613118595</v>
      </c>
      <c r="AN173" s="19">
        <f t="shared" si="88"/>
        <v>84.535056754607496</v>
      </c>
      <c r="AO173" s="19">
        <f t="shared" si="89"/>
        <v>87.176777278188979</v>
      </c>
      <c r="AP173" s="19">
        <f t="shared" si="90"/>
        <v>68.684733613118595</v>
      </c>
      <c r="AQ173" s="19">
        <f t="shared" si="91"/>
        <v>84.535056754607496</v>
      </c>
      <c r="AR173" s="19">
        <f t="shared" si="92"/>
        <v>79.251615707444529</v>
      </c>
      <c r="AS173" s="19">
        <f t="shared" si="93"/>
        <v>73.968174660281562</v>
      </c>
      <c r="AT173" s="19">
        <f t="shared" si="94"/>
        <v>76.609895183863046</v>
      </c>
      <c r="AU173" s="19">
        <f t="shared" si="95"/>
        <v>73.968174660281562</v>
      </c>
      <c r="AV173" s="19">
        <f t="shared" si="96"/>
        <v>76.609895183863046</v>
      </c>
      <c r="AW173" s="19">
        <f t="shared" si="97"/>
        <v>73.968174660281562</v>
      </c>
      <c r="AX173" s="18">
        <f>IFERROR(Z173/'Ar-Pa'!B173,0)</f>
        <v>10.944270740551863</v>
      </c>
      <c r="AY173" s="18">
        <f>IFERROR(AA173/'Ar-Pa'!C173,0)</f>
        <v>9.2460218325351953</v>
      </c>
      <c r="AZ173" s="18">
        <f>IFERROR(AB173/'Ar-Pa'!D173,0)</f>
        <v>8.9158067670875099</v>
      </c>
      <c r="BA173" s="18">
        <f>IFERROR(AC173/'Ar-Pa'!E173,0)</f>
        <v>8.255376636192139</v>
      </c>
      <c r="BB173" s="18">
        <f>IFERROR(AD173/'Ar-Pa'!F173,0)</f>
        <v>8.9158067670875099</v>
      </c>
      <c r="BC173" s="18">
        <f>IFERROR(AE173/'Ar-Pa'!G173,0)</f>
        <v>8.255376636192139</v>
      </c>
      <c r="BD173" s="18">
        <f>IFERROR(AF173/'Ar-Pa'!H173,0)</f>
        <v>8.5855917016398244</v>
      </c>
      <c r="BE173" s="18">
        <f>IFERROR(AG173/'Ar-Pa'!I173,0)</f>
        <v>8.9158067670875099</v>
      </c>
      <c r="BF173" s="18">
        <f>IFERROR(AH173/'Ar-Pa'!J173,0)</f>
        <v>8.255376636192139</v>
      </c>
      <c r="BG173" s="18">
        <f>IFERROR(AI173/'Ar-Pa'!K173,0)</f>
        <v>8.9158067670875099</v>
      </c>
      <c r="BH173" s="18">
        <f>IFERROR(AJ173/'Ar-Pa'!L173,0)</f>
        <v>8.5855917016398244</v>
      </c>
      <c r="BI173" s="18">
        <f>IFERROR(AK173/'Ar-Pa'!M173,0)</f>
        <v>8.5855917016398244</v>
      </c>
      <c r="BJ173" s="18">
        <f>IFERROR(AL173/'Ar-Pa'!N173,0)</f>
        <v>8.5855917016398244</v>
      </c>
      <c r="BK173" s="18">
        <f>IFERROR(AM173/'Ar-Pa'!O173,0)</f>
        <v>8.5855917016398244</v>
      </c>
      <c r="BL173" s="18">
        <f>IFERROR(AN173/'Ar-Pa'!P173,0)</f>
        <v>10.566882094325937</v>
      </c>
      <c r="BM173" s="18">
        <f>IFERROR(AO173/'Ar-Pa'!Q173,0)</f>
        <v>10.897097159773622</v>
      </c>
      <c r="BN173" s="18">
        <f>IFERROR(AP173/'Ar-Pa'!R173,0)</f>
        <v>8.5855917016398244</v>
      </c>
      <c r="BO173" s="18">
        <f>IFERROR(AQ173/'Ar-Pa'!S173,0)</f>
        <v>10.566882094325937</v>
      </c>
      <c r="BP173" s="18">
        <f>IFERROR(AR173/'Ar-Pa'!T173,0)</f>
        <v>9.9064519634305661</v>
      </c>
      <c r="BQ173" s="18">
        <f>IFERROR(AS173/'Ar-Pa'!U173,0)</f>
        <v>10.566882094325937</v>
      </c>
      <c r="BR173" s="18">
        <f>IFERROR(AT173/'Ar-Pa'!V173,0)</f>
        <v>10.944270740551863</v>
      </c>
      <c r="BS173" s="18">
        <f>IFERROR(AU173/'Ar-Pa'!W173,0)</f>
        <v>10.566882094325937</v>
      </c>
      <c r="BT173" s="18">
        <f>IFERROR(AV173/'Ar-Pa'!X173,0)</f>
        <v>10.944270740551863</v>
      </c>
      <c r="BU173" s="18">
        <f>IFERROR(AW173/'Ar-Pa'!Y173,0)</f>
        <v>10.566882094325937</v>
      </c>
    </row>
    <row r="174" spans="1:73">
      <c r="A174" s="15">
        <v>45099</v>
      </c>
      <c r="B174" s="441">
        <v>0.27</v>
      </c>
      <c r="C174" s="441">
        <v>0.27</v>
      </c>
      <c r="D174" s="441">
        <v>0.19</v>
      </c>
      <c r="E174" s="441">
        <v>0.2</v>
      </c>
      <c r="F174" s="441">
        <v>0.2</v>
      </c>
      <c r="G174" s="441">
        <v>0.2</v>
      </c>
      <c r="H174" s="441">
        <v>0.2</v>
      </c>
      <c r="I174" s="441">
        <v>0.2</v>
      </c>
      <c r="J174" s="441">
        <v>0.21</v>
      </c>
      <c r="K174" s="441">
        <v>0.2</v>
      </c>
      <c r="L174" s="441">
        <v>0.2</v>
      </c>
      <c r="M174" s="441">
        <v>0.24</v>
      </c>
      <c r="N174" s="441">
        <v>0.24</v>
      </c>
      <c r="O174" s="441">
        <v>0.25</v>
      </c>
      <c r="P174" s="441">
        <v>0.31</v>
      </c>
      <c r="Q174" s="441">
        <v>0.31</v>
      </c>
      <c r="R174" s="441">
        <v>0.28999999999999998</v>
      </c>
      <c r="S174" s="441">
        <v>0.3</v>
      </c>
      <c r="T174" s="441">
        <v>0.3</v>
      </c>
      <c r="U174" s="441">
        <v>0.31</v>
      </c>
      <c r="V174" s="441">
        <v>0.3</v>
      </c>
      <c r="W174" s="441">
        <v>0.3</v>
      </c>
      <c r="X174" s="441">
        <v>0.31</v>
      </c>
      <c r="Y174" s="441">
        <v>0.3</v>
      </c>
      <c r="Z174" s="19">
        <f t="shared" si="98"/>
        <v>71.326454136700079</v>
      </c>
      <c r="AA174" s="19">
        <f t="shared" si="75"/>
        <v>71.326454136700079</v>
      </c>
      <c r="AB174" s="19">
        <f t="shared" si="76"/>
        <v>50.192689948048198</v>
      </c>
      <c r="AC174" s="19">
        <f t="shared" si="77"/>
        <v>52.834410471629681</v>
      </c>
      <c r="AD174" s="19">
        <f t="shared" si="78"/>
        <v>52.834410471629681</v>
      </c>
      <c r="AE174" s="19">
        <f t="shared" si="79"/>
        <v>52.834410471629681</v>
      </c>
      <c r="AF174" s="19">
        <f t="shared" si="80"/>
        <v>52.834410471629681</v>
      </c>
      <c r="AG174" s="19">
        <f t="shared" si="81"/>
        <v>52.834410471629681</v>
      </c>
      <c r="AH174" s="19">
        <f t="shared" si="82"/>
        <v>55.476130995211172</v>
      </c>
      <c r="AI174" s="19">
        <f t="shared" si="83"/>
        <v>52.834410471629681</v>
      </c>
      <c r="AJ174" s="19">
        <f t="shared" si="84"/>
        <v>52.834410471629681</v>
      </c>
      <c r="AK174" s="19">
        <f t="shared" si="85"/>
        <v>63.401292565955622</v>
      </c>
      <c r="AL174" s="19">
        <f t="shared" si="86"/>
        <v>63.401292565955622</v>
      </c>
      <c r="AM174" s="19">
        <f t="shared" si="87"/>
        <v>66.043013089537112</v>
      </c>
      <c r="AN174" s="19">
        <f t="shared" si="88"/>
        <v>81.893336231026012</v>
      </c>
      <c r="AO174" s="19">
        <f t="shared" si="89"/>
        <v>81.893336231026012</v>
      </c>
      <c r="AP174" s="19">
        <f t="shared" si="90"/>
        <v>76.609895183863046</v>
      </c>
      <c r="AQ174" s="19">
        <f t="shared" si="91"/>
        <v>79.251615707444529</v>
      </c>
      <c r="AR174" s="19">
        <f t="shared" si="92"/>
        <v>79.251615707444529</v>
      </c>
      <c r="AS174" s="19">
        <f t="shared" si="93"/>
        <v>81.893336231026012</v>
      </c>
      <c r="AT174" s="19">
        <f t="shared" si="94"/>
        <v>79.251615707444529</v>
      </c>
      <c r="AU174" s="19">
        <f t="shared" si="95"/>
        <v>79.251615707444529</v>
      </c>
      <c r="AV174" s="19">
        <f t="shared" si="96"/>
        <v>81.893336231026012</v>
      </c>
      <c r="AW174" s="19">
        <f t="shared" si="97"/>
        <v>79.251615707444529</v>
      </c>
      <c r="AX174" s="18">
        <f>IFERROR(Z174/'Ar-Pa'!B174,0)</f>
        <v>10.189493448100011</v>
      </c>
      <c r="AY174" s="18">
        <f>IFERROR(AA174/'Ar-Pa'!C174,0)</f>
        <v>10.189493448100011</v>
      </c>
      <c r="AZ174" s="18">
        <f>IFERROR(AB174/'Ar-Pa'!D174,0)</f>
        <v>7.1703842782925999</v>
      </c>
      <c r="BA174" s="18">
        <f>IFERROR(AC174/'Ar-Pa'!E174,0)</f>
        <v>7.5477729245185259</v>
      </c>
      <c r="BB174" s="18">
        <f>IFERROR(AD174/'Ar-Pa'!F174,0)</f>
        <v>7.5477729245185259</v>
      </c>
      <c r="BC174" s="18">
        <f>IFERROR(AE174/'Ar-Pa'!G174,0)</f>
        <v>7.5477729245185259</v>
      </c>
      <c r="BD174" s="18">
        <f>IFERROR(AF174/'Ar-Pa'!H174,0)</f>
        <v>7.5477729245185259</v>
      </c>
      <c r="BE174" s="18">
        <f>IFERROR(AG174/'Ar-Pa'!I174,0)</f>
        <v>7.5477729245185259</v>
      </c>
      <c r="BF174" s="18">
        <f>IFERROR(AH174/'Ar-Pa'!J174,0)</f>
        <v>7.9251615707444527</v>
      </c>
      <c r="BG174" s="18">
        <f>IFERROR(AI174/'Ar-Pa'!K174,0)</f>
        <v>7.5477729245185259</v>
      </c>
      <c r="BH174" s="18">
        <f>IFERROR(AJ174/'Ar-Pa'!L174,0)</f>
        <v>7.5477729245185259</v>
      </c>
      <c r="BI174" s="18">
        <f>IFERROR(AK174/'Ar-Pa'!M174,0)</f>
        <v>7.9251615707444527</v>
      </c>
      <c r="BJ174" s="18">
        <f>IFERROR(AL174/'Ar-Pa'!N174,0)</f>
        <v>7.9251615707444527</v>
      </c>
      <c r="BK174" s="18">
        <f>IFERROR(AM174/'Ar-Pa'!O174,0)</f>
        <v>8.255376636192139</v>
      </c>
      <c r="BL174" s="18">
        <f>IFERROR(AN174/'Ar-Pa'!P174,0)</f>
        <v>10.236667028878252</v>
      </c>
      <c r="BM174" s="18">
        <f>IFERROR(AO174/'Ar-Pa'!Q174,0)</f>
        <v>10.236667028878252</v>
      </c>
      <c r="BN174" s="18">
        <f>IFERROR(AP174/'Ar-Pa'!R174,0)</f>
        <v>9.5762368979828807</v>
      </c>
      <c r="BO174" s="18">
        <f>IFERROR(AQ174/'Ar-Pa'!S174,0)</f>
        <v>9.9064519634305661</v>
      </c>
      <c r="BP174" s="18">
        <f>IFERROR(AR174/'Ar-Pa'!T174,0)</f>
        <v>9.9064519634305661</v>
      </c>
      <c r="BQ174" s="18">
        <f>IFERROR(AS174/'Ar-Pa'!U174,0)</f>
        <v>10.236667028878252</v>
      </c>
      <c r="BR174" s="18">
        <f>IFERROR(AT174/'Ar-Pa'!V174,0)</f>
        <v>9.9064519634305661</v>
      </c>
      <c r="BS174" s="18">
        <f>IFERROR(AU174/'Ar-Pa'!W174,0)</f>
        <v>9.9064519634305661</v>
      </c>
      <c r="BT174" s="18">
        <f>IFERROR(AV174/'Ar-Pa'!X174,0)</f>
        <v>10.236667028878252</v>
      </c>
      <c r="BU174" s="18">
        <f>IFERROR(AW174/'Ar-Pa'!Y174,0)</f>
        <v>9.9064519634305661</v>
      </c>
    </row>
    <row r="175" spans="1:73">
      <c r="A175" s="15">
        <v>45100</v>
      </c>
      <c r="B175" s="441">
        <v>0.26</v>
      </c>
      <c r="C175" s="441">
        <v>0.26</v>
      </c>
      <c r="D175" s="441">
        <v>0.25</v>
      </c>
      <c r="E175" s="441">
        <v>0.25</v>
      </c>
      <c r="F175" s="441">
        <v>0.26</v>
      </c>
      <c r="G175" s="441">
        <v>0.25</v>
      </c>
      <c r="H175" s="441">
        <v>0.26</v>
      </c>
      <c r="I175" s="441">
        <v>0.25</v>
      </c>
      <c r="J175" s="441">
        <v>0.25</v>
      </c>
      <c r="K175" s="441">
        <v>0.26</v>
      </c>
      <c r="L175" s="441">
        <v>0.26</v>
      </c>
      <c r="M175" s="441">
        <v>0.25</v>
      </c>
      <c r="N175" s="441">
        <v>0.25</v>
      </c>
      <c r="O175" s="441">
        <v>0.27</v>
      </c>
      <c r="P175" s="441">
        <v>0.33</v>
      </c>
      <c r="Q175" s="441">
        <v>0.32</v>
      </c>
      <c r="R175" s="441">
        <v>0.34</v>
      </c>
      <c r="S175" s="441">
        <v>0.33</v>
      </c>
      <c r="T175" s="441">
        <v>0.33</v>
      </c>
      <c r="U175" s="441">
        <v>0.34</v>
      </c>
      <c r="V175" s="441">
        <v>0.34</v>
      </c>
      <c r="W175" s="441">
        <v>0.34</v>
      </c>
      <c r="X175" s="441">
        <v>0.34</v>
      </c>
      <c r="Y175" s="441">
        <v>0.34</v>
      </c>
      <c r="Z175" s="19">
        <f t="shared" si="98"/>
        <v>68.684733613118595</v>
      </c>
      <c r="AA175" s="19">
        <f t="shared" si="75"/>
        <v>68.684733613118595</v>
      </c>
      <c r="AB175" s="19">
        <f t="shared" si="76"/>
        <v>66.043013089537112</v>
      </c>
      <c r="AC175" s="19">
        <f t="shared" si="77"/>
        <v>66.043013089537112</v>
      </c>
      <c r="AD175" s="19">
        <f t="shared" si="78"/>
        <v>68.684733613118595</v>
      </c>
      <c r="AE175" s="19">
        <f t="shared" si="79"/>
        <v>66.043013089537112</v>
      </c>
      <c r="AF175" s="19">
        <f t="shared" si="80"/>
        <v>68.684733613118595</v>
      </c>
      <c r="AG175" s="19">
        <f t="shared" si="81"/>
        <v>66.043013089537112</v>
      </c>
      <c r="AH175" s="19">
        <f t="shared" si="82"/>
        <v>66.043013089537112</v>
      </c>
      <c r="AI175" s="19">
        <f t="shared" si="83"/>
        <v>68.684733613118595</v>
      </c>
      <c r="AJ175" s="19">
        <f t="shared" si="84"/>
        <v>68.684733613118595</v>
      </c>
      <c r="AK175" s="19">
        <f t="shared" si="85"/>
        <v>66.043013089537112</v>
      </c>
      <c r="AL175" s="19">
        <f t="shared" si="86"/>
        <v>66.043013089537112</v>
      </c>
      <c r="AM175" s="19">
        <f t="shared" si="87"/>
        <v>71.326454136700079</v>
      </c>
      <c r="AN175" s="19">
        <f t="shared" si="88"/>
        <v>87.176777278188979</v>
      </c>
      <c r="AO175" s="19">
        <f t="shared" si="89"/>
        <v>84.535056754607496</v>
      </c>
      <c r="AP175" s="19">
        <f t="shared" si="90"/>
        <v>89.818497801770462</v>
      </c>
      <c r="AQ175" s="19">
        <f t="shared" si="91"/>
        <v>87.176777278188979</v>
      </c>
      <c r="AR175" s="19">
        <f t="shared" si="92"/>
        <v>87.176777278188979</v>
      </c>
      <c r="AS175" s="19">
        <f t="shared" si="93"/>
        <v>89.818497801770462</v>
      </c>
      <c r="AT175" s="19">
        <f t="shared" si="94"/>
        <v>89.818497801770462</v>
      </c>
      <c r="AU175" s="19">
        <f t="shared" si="95"/>
        <v>89.818497801770462</v>
      </c>
      <c r="AV175" s="19">
        <f t="shared" si="96"/>
        <v>89.818497801770462</v>
      </c>
      <c r="AW175" s="19">
        <f t="shared" si="97"/>
        <v>89.818497801770462</v>
      </c>
      <c r="AX175" s="18">
        <f>IFERROR(Z175/'Ar-Pa'!B175,0)</f>
        <v>8.5855917016398244</v>
      </c>
      <c r="AY175" s="18">
        <f>IFERROR(AA175/'Ar-Pa'!C175,0)</f>
        <v>8.5855917016398244</v>
      </c>
      <c r="AZ175" s="18">
        <f>IFERROR(AB175/'Ar-Pa'!D175,0)</f>
        <v>8.255376636192139</v>
      </c>
      <c r="BA175" s="18">
        <f>IFERROR(AC175/'Ar-Pa'!E175,0)</f>
        <v>8.255376636192139</v>
      </c>
      <c r="BB175" s="18">
        <f>IFERROR(AD175/'Ar-Pa'!F175,0)</f>
        <v>8.5855917016398244</v>
      </c>
      <c r="BC175" s="18">
        <f>IFERROR(AE175/'Ar-Pa'!G175,0)</f>
        <v>8.255376636192139</v>
      </c>
      <c r="BD175" s="18">
        <f>IFERROR(AF175/'Ar-Pa'!H175,0)</f>
        <v>8.5855917016398244</v>
      </c>
      <c r="BE175" s="18">
        <f>IFERROR(AG175/'Ar-Pa'!I175,0)</f>
        <v>8.255376636192139</v>
      </c>
      <c r="BF175" s="18">
        <f>IFERROR(AH175/'Ar-Pa'!J175,0)</f>
        <v>8.255376636192139</v>
      </c>
      <c r="BG175" s="18">
        <f>IFERROR(AI175/'Ar-Pa'!K175,0)</f>
        <v>8.5855917016398244</v>
      </c>
      <c r="BH175" s="18">
        <f>IFERROR(AJ175/'Ar-Pa'!L175,0)</f>
        <v>8.5855917016398244</v>
      </c>
      <c r="BI175" s="18">
        <f>IFERROR(AK175/'Ar-Pa'!M175,0)</f>
        <v>8.255376636192139</v>
      </c>
      <c r="BJ175" s="18">
        <f>IFERROR(AL175/'Ar-Pa'!N175,0)</f>
        <v>8.255376636192139</v>
      </c>
      <c r="BK175" s="18">
        <f>IFERROR(AM175/'Ar-Pa'!O175,0)</f>
        <v>8.9158067670875099</v>
      </c>
      <c r="BL175" s="18">
        <f>IFERROR(AN175/'Ar-Pa'!P175,0)</f>
        <v>10.897097159773622</v>
      </c>
      <c r="BM175" s="18">
        <f>IFERROR(AO175/'Ar-Pa'!Q175,0)</f>
        <v>10.566882094325937</v>
      </c>
      <c r="BN175" s="18">
        <f>IFERROR(AP175/'Ar-Pa'!R175,0)</f>
        <v>11.227312225221308</v>
      </c>
      <c r="BO175" s="18">
        <f>IFERROR(AQ175/'Ar-Pa'!S175,0)</f>
        <v>10.897097159773622</v>
      </c>
      <c r="BP175" s="18">
        <f>IFERROR(AR175/'Ar-Pa'!T175,0)</f>
        <v>10.897097159773622</v>
      </c>
      <c r="BQ175" s="18">
        <f>IFERROR(AS175/'Ar-Pa'!U175,0)</f>
        <v>11.227312225221308</v>
      </c>
      <c r="BR175" s="18">
        <f>IFERROR(AT175/'Ar-Pa'!V175,0)</f>
        <v>11.227312225221308</v>
      </c>
      <c r="BS175" s="18">
        <f>IFERROR(AU175/'Ar-Pa'!W175,0)</f>
        <v>11.227312225221308</v>
      </c>
      <c r="BT175" s="18">
        <f>IFERROR(AV175/'Ar-Pa'!X175,0)</f>
        <v>11.227312225221308</v>
      </c>
      <c r="BU175" s="18">
        <f>IFERROR(AW175/'Ar-Pa'!Y175,0)</f>
        <v>11.227312225221308</v>
      </c>
    </row>
    <row r="176" spans="1:73">
      <c r="A176" s="15">
        <v>45101</v>
      </c>
      <c r="B176" s="441">
        <v>0.28999999999999998</v>
      </c>
      <c r="C176" s="441">
        <v>0.28999999999999998</v>
      </c>
      <c r="D176" s="441">
        <v>0.28000000000000003</v>
      </c>
      <c r="E176" s="441">
        <v>0.28999999999999998</v>
      </c>
      <c r="F176" s="441">
        <v>0.27</v>
      </c>
      <c r="G176" s="441">
        <v>0.22</v>
      </c>
      <c r="H176" s="441">
        <v>0.22</v>
      </c>
      <c r="I176" s="441">
        <v>0.22</v>
      </c>
      <c r="J176" s="441">
        <v>0.22</v>
      </c>
      <c r="K176" s="441">
        <v>0.27</v>
      </c>
      <c r="L176" s="441">
        <v>0.28000000000000003</v>
      </c>
      <c r="M176" s="441">
        <v>0.28999999999999998</v>
      </c>
      <c r="N176" s="441">
        <v>0.28000000000000003</v>
      </c>
      <c r="O176" s="441">
        <v>0.28999999999999998</v>
      </c>
      <c r="P176" s="441">
        <v>0.28999999999999998</v>
      </c>
      <c r="Q176" s="441">
        <v>0.28000000000000003</v>
      </c>
      <c r="R176" s="441">
        <v>0.28999999999999998</v>
      </c>
      <c r="S176" s="441">
        <v>0.28000000000000003</v>
      </c>
      <c r="T176" s="441">
        <v>0.28999999999999998</v>
      </c>
      <c r="U176" s="441">
        <v>0.28000000000000003</v>
      </c>
      <c r="V176" s="441">
        <v>0.28999999999999998</v>
      </c>
      <c r="W176" s="441">
        <v>0.28000000000000003</v>
      </c>
      <c r="X176" s="441">
        <v>0.28000000000000003</v>
      </c>
      <c r="Y176" s="441">
        <v>0.28000000000000003</v>
      </c>
      <c r="Z176" s="19">
        <f t="shared" si="98"/>
        <v>76.609895183863046</v>
      </c>
      <c r="AA176" s="19">
        <f t="shared" si="75"/>
        <v>76.609895183863046</v>
      </c>
      <c r="AB176" s="19">
        <f t="shared" si="76"/>
        <v>73.968174660281562</v>
      </c>
      <c r="AC176" s="19">
        <f t="shared" si="77"/>
        <v>76.609895183863046</v>
      </c>
      <c r="AD176" s="19">
        <f t="shared" si="78"/>
        <v>71.326454136700079</v>
      </c>
      <c r="AE176" s="19">
        <f t="shared" si="79"/>
        <v>58.117851518792655</v>
      </c>
      <c r="AF176" s="19">
        <f t="shared" si="80"/>
        <v>58.117851518792655</v>
      </c>
      <c r="AG176" s="19">
        <f t="shared" si="81"/>
        <v>58.117851518792655</v>
      </c>
      <c r="AH176" s="19">
        <f t="shared" si="82"/>
        <v>58.117851518792655</v>
      </c>
      <c r="AI176" s="19">
        <f t="shared" si="83"/>
        <v>71.326454136700079</v>
      </c>
      <c r="AJ176" s="19">
        <f t="shared" si="84"/>
        <v>73.968174660281562</v>
      </c>
      <c r="AK176" s="19">
        <f t="shared" si="85"/>
        <v>76.609895183863046</v>
      </c>
      <c r="AL176" s="19">
        <f t="shared" si="86"/>
        <v>73.968174660281562</v>
      </c>
      <c r="AM176" s="19">
        <f t="shared" si="87"/>
        <v>76.609895183863046</v>
      </c>
      <c r="AN176" s="19">
        <f t="shared" si="88"/>
        <v>76.609895183863046</v>
      </c>
      <c r="AO176" s="19">
        <f t="shared" si="89"/>
        <v>73.968174660281562</v>
      </c>
      <c r="AP176" s="19">
        <f t="shared" si="90"/>
        <v>76.609895183863046</v>
      </c>
      <c r="AQ176" s="19">
        <f t="shared" si="91"/>
        <v>73.968174660281562</v>
      </c>
      <c r="AR176" s="19">
        <f t="shared" si="92"/>
        <v>76.609895183863046</v>
      </c>
      <c r="AS176" s="19">
        <f t="shared" si="93"/>
        <v>73.968174660281562</v>
      </c>
      <c r="AT176" s="19">
        <f t="shared" si="94"/>
        <v>76.609895183863046</v>
      </c>
      <c r="AU176" s="19">
        <f t="shared" si="95"/>
        <v>73.968174660281562</v>
      </c>
      <c r="AV176" s="19">
        <f t="shared" si="96"/>
        <v>73.968174660281562</v>
      </c>
      <c r="AW176" s="19">
        <f t="shared" si="97"/>
        <v>73.968174660281562</v>
      </c>
      <c r="AX176" s="18">
        <f>IFERROR(Z176/'Ar-Pa'!B176,0)</f>
        <v>9.5762368979828807</v>
      </c>
      <c r="AY176" s="18">
        <f>IFERROR(AA176/'Ar-Pa'!C176,0)</f>
        <v>9.5762368979828807</v>
      </c>
      <c r="AZ176" s="18">
        <f>IFERROR(AB176/'Ar-Pa'!D176,0)</f>
        <v>9.2460218325351953</v>
      </c>
      <c r="BA176" s="18">
        <f>IFERROR(AC176/'Ar-Pa'!E176,0)</f>
        <v>9.5762368979828807</v>
      </c>
      <c r="BB176" s="18">
        <f>IFERROR(AD176/'Ar-Pa'!F176,0)</f>
        <v>8.9158067670875099</v>
      </c>
      <c r="BC176" s="18">
        <f>IFERROR(AE176/'Ar-Pa'!G176,0)</f>
        <v>7.2647314398490819</v>
      </c>
      <c r="BD176" s="18">
        <f>IFERROR(AF176/'Ar-Pa'!H176,0)</f>
        <v>7.2647314398490819</v>
      </c>
      <c r="BE176" s="18">
        <f>IFERROR(AG176/'Ar-Pa'!I176,0)</f>
        <v>7.2647314398490819</v>
      </c>
      <c r="BF176" s="18">
        <f>IFERROR(AH176/'Ar-Pa'!J176,0)</f>
        <v>7.2647314398490819</v>
      </c>
      <c r="BG176" s="18">
        <f>IFERROR(AI176/'Ar-Pa'!K176,0)</f>
        <v>8.9158067670875099</v>
      </c>
      <c r="BH176" s="18">
        <f>IFERROR(AJ176/'Ar-Pa'!L176,0)</f>
        <v>9.2460218325351953</v>
      </c>
      <c r="BI176" s="18">
        <f>IFERROR(AK176/'Ar-Pa'!M176,0)</f>
        <v>9.5762368979828807</v>
      </c>
      <c r="BJ176" s="18">
        <f>IFERROR(AL176/'Ar-Pa'!N176,0)</f>
        <v>9.2460218325351953</v>
      </c>
      <c r="BK176" s="18">
        <f>IFERROR(AM176/'Ar-Pa'!O176,0)</f>
        <v>9.5762368979828807</v>
      </c>
      <c r="BL176" s="18">
        <f>IFERROR(AN176/'Ar-Pa'!P176,0)</f>
        <v>9.5762368979828807</v>
      </c>
      <c r="BM176" s="18">
        <f>IFERROR(AO176/'Ar-Pa'!Q176,0)</f>
        <v>9.2460218325351953</v>
      </c>
      <c r="BN176" s="18">
        <f>IFERROR(AP176/'Ar-Pa'!R176,0)</f>
        <v>9.5762368979828807</v>
      </c>
      <c r="BO176" s="18">
        <f>IFERROR(AQ176/'Ar-Pa'!S176,0)</f>
        <v>9.2460218325351953</v>
      </c>
      <c r="BP176" s="18">
        <f>IFERROR(AR176/'Ar-Pa'!T176,0)</f>
        <v>9.5762368979828807</v>
      </c>
      <c r="BQ176" s="18">
        <f>IFERROR(AS176/'Ar-Pa'!U176,0)</f>
        <v>9.2460218325351953</v>
      </c>
      <c r="BR176" s="18">
        <f>IFERROR(AT176/'Ar-Pa'!V176,0)</f>
        <v>9.5762368979828807</v>
      </c>
      <c r="BS176" s="18">
        <f>IFERROR(AU176/'Ar-Pa'!W176,0)</f>
        <v>9.2460218325351953</v>
      </c>
      <c r="BT176" s="18">
        <f>IFERROR(AV176/'Ar-Pa'!X176,0)</f>
        <v>9.2460218325351953</v>
      </c>
      <c r="BU176" s="18">
        <f>IFERROR(AW176/'Ar-Pa'!Y176,0)</f>
        <v>9.2460218325351953</v>
      </c>
    </row>
    <row r="177" spans="1:73">
      <c r="A177" s="15">
        <v>45102</v>
      </c>
      <c r="B177" s="441">
        <v>0.27</v>
      </c>
      <c r="C177" s="441">
        <v>0.31</v>
      </c>
      <c r="D177" s="441">
        <v>0.31</v>
      </c>
      <c r="E177" s="441">
        <v>0.31</v>
      </c>
      <c r="F177" s="441">
        <v>0.28999999999999998</v>
      </c>
      <c r="G177" s="441">
        <v>0.25</v>
      </c>
      <c r="H177" s="441">
        <v>0.25</v>
      </c>
      <c r="I177" s="441">
        <v>0.25</v>
      </c>
      <c r="J177" s="441">
        <v>0.24</v>
      </c>
      <c r="K177" s="441">
        <v>0.26</v>
      </c>
      <c r="L177" s="441">
        <v>0.25</v>
      </c>
      <c r="M177" s="441">
        <v>0.31</v>
      </c>
      <c r="N177" s="441">
        <v>0.31</v>
      </c>
      <c r="O177" s="441">
        <v>0.31</v>
      </c>
      <c r="P177" s="441">
        <v>0.32</v>
      </c>
      <c r="Q177" s="441">
        <v>0.31</v>
      </c>
      <c r="R177" s="441">
        <v>0.32</v>
      </c>
      <c r="S177" s="441">
        <v>0.31</v>
      </c>
      <c r="T177" s="441">
        <v>0.31</v>
      </c>
      <c r="U177" s="441">
        <v>0.32</v>
      </c>
      <c r="V177" s="441">
        <v>0.31</v>
      </c>
      <c r="W177" s="441">
        <v>0.31</v>
      </c>
      <c r="X177" s="441">
        <v>0.31</v>
      </c>
      <c r="Y177" s="441">
        <v>0.31</v>
      </c>
      <c r="Z177" s="19">
        <f t="shared" si="98"/>
        <v>71.326454136700079</v>
      </c>
      <c r="AA177" s="19">
        <f t="shared" si="75"/>
        <v>81.893336231026012</v>
      </c>
      <c r="AB177" s="19">
        <f t="shared" si="76"/>
        <v>81.893336231026012</v>
      </c>
      <c r="AC177" s="19">
        <f t="shared" si="77"/>
        <v>81.893336231026012</v>
      </c>
      <c r="AD177" s="19">
        <f t="shared" si="78"/>
        <v>76.609895183863046</v>
      </c>
      <c r="AE177" s="19">
        <f t="shared" si="79"/>
        <v>66.043013089537112</v>
      </c>
      <c r="AF177" s="19">
        <f t="shared" si="80"/>
        <v>66.043013089537112</v>
      </c>
      <c r="AG177" s="19">
        <f t="shared" si="81"/>
        <v>66.043013089537112</v>
      </c>
      <c r="AH177" s="19">
        <f t="shared" si="82"/>
        <v>63.401292565955622</v>
      </c>
      <c r="AI177" s="19">
        <f t="shared" si="83"/>
        <v>68.684733613118595</v>
      </c>
      <c r="AJ177" s="19">
        <f t="shared" si="84"/>
        <v>66.043013089537112</v>
      </c>
      <c r="AK177" s="19">
        <f t="shared" si="85"/>
        <v>81.893336231026012</v>
      </c>
      <c r="AL177" s="19">
        <f t="shared" si="86"/>
        <v>81.893336231026012</v>
      </c>
      <c r="AM177" s="19">
        <f t="shared" si="87"/>
        <v>81.893336231026012</v>
      </c>
      <c r="AN177" s="19">
        <f t="shared" si="88"/>
        <v>84.535056754607496</v>
      </c>
      <c r="AO177" s="19">
        <f t="shared" si="89"/>
        <v>81.893336231026012</v>
      </c>
      <c r="AP177" s="19">
        <f t="shared" si="90"/>
        <v>84.535056754607496</v>
      </c>
      <c r="AQ177" s="19">
        <f t="shared" si="91"/>
        <v>81.893336231026012</v>
      </c>
      <c r="AR177" s="19">
        <f t="shared" si="92"/>
        <v>81.893336231026012</v>
      </c>
      <c r="AS177" s="19">
        <f t="shared" si="93"/>
        <v>84.535056754607496</v>
      </c>
      <c r="AT177" s="19">
        <f t="shared" si="94"/>
        <v>81.893336231026012</v>
      </c>
      <c r="AU177" s="19">
        <f t="shared" si="95"/>
        <v>81.893336231026012</v>
      </c>
      <c r="AV177" s="19">
        <f t="shared" si="96"/>
        <v>81.893336231026012</v>
      </c>
      <c r="AW177" s="19">
        <f t="shared" si="97"/>
        <v>81.893336231026012</v>
      </c>
      <c r="AX177" s="18">
        <f>IFERROR(Z177/'Ar-Pa'!B177,0)</f>
        <v>7.9251615707444536</v>
      </c>
      <c r="AY177" s="18">
        <f>IFERROR(AA177/'Ar-Pa'!C177,0)</f>
        <v>10.236667028878252</v>
      </c>
      <c r="AZ177" s="18">
        <f>IFERROR(AB177/'Ar-Pa'!D177,0)</f>
        <v>10.236667028878252</v>
      </c>
      <c r="BA177" s="18">
        <f>IFERROR(AC177/'Ar-Pa'!E177,0)</f>
        <v>10.236667028878252</v>
      </c>
      <c r="BB177" s="18">
        <f>IFERROR(AD177/'Ar-Pa'!F177,0)</f>
        <v>9.5762368979828807</v>
      </c>
      <c r="BC177" s="18">
        <f>IFERROR(AE177/'Ar-Pa'!G177,0)</f>
        <v>8.255376636192139</v>
      </c>
      <c r="BD177" s="18">
        <f>IFERROR(AF177/'Ar-Pa'!H177,0)</f>
        <v>8.255376636192139</v>
      </c>
      <c r="BE177" s="18">
        <f>IFERROR(AG177/'Ar-Pa'!I177,0)</f>
        <v>8.255376636192139</v>
      </c>
      <c r="BF177" s="18">
        <f>IFERROR(AH177/'Ar-Pa'!J177,0)</f>
        <v>7.9251615707444527</v>
      </c>
      <c r="BG177" s="18">
        <f>IFERROR(AI177/'Ar-Pa'!K177,0)</f>
        <v>8.5855917016398244</v>
      </c>
      <c r="BH177" s="18">
        <f>IFERROR(AJ177/'Ar-Pa'!L177,0)</f>
        <v>8.255376636192139</v>
      </c>
      <c r="BI177" s="18">
        <f>IFERROR(AK177/'Ar-Pa'!M177,0)</f>
        <v>10.236667028878252</v>
      </c>
      <c r="BJ177" s="18">
        <f>IFERROR(AL177/'Ar-Pa'!N177,0)</f>
        <v>10.236667028878252</v>
      </c>
      <c r="BK177" s="18">
        <f>IFERROR(AM177/'Ar-Pa'!O177,0)</f>
        <v>10.236667028878252</v>
      </c>
      <c r="BL177" s="18">
        <f>IFERROR(AN177/'Ar-Pa'!P177,0)</f>
        <v>10.566882094325937</v>
      </c>
      <c r="BM177" s="18">
        <f>IFERROR(AO177/'Ar-Pa'!Q177,0)</f>
        <v>10.236667028878252</v>
      </c>
      <c r="BN177" s="18">
        <f>IFERROR(AP177/'Ar-Pa'!R177,0)</f>
        <v>10.566882094325937</v>
      </c>
      <c r="BO177" s="18">
        <f>IFERROR(AQ177/'Ar-Pa'!S177,0)</f>
        <v>10.236667028878252</v>
      </c>
      <c r="BP177" s="18">
        <f>IFERROR(AR177/'Ar-Pa'!T177,0)</f>
        <v>10.236667028878252</v>
      </c>
      <c r="BQ177" s="18">
        <f>IFERROR(AS177/'Ar-Pa'!U177,0)</f>
        <v>10.566882094325937</v>
      </c>
      <c r="BR177" s="18">
        <f>IFERROR(AT177/'Ar-Pa'!V177,0)</f>
        <v>10.236667028878252</v>
      </c>
      <c r="BS177" s="18">
        <f>IFERROR(AU177/'Ar-Pa'!W177,0)</f>
        <v>10.236667028878252</v>
      </c>
      <c r="BT177" s="18">
        <f>IFERROR(AV177/'Ar-Pa'!X177,0)</f>
        <v>10.236667028878252</v>
      </c>
      <c r="BU177" s="18">
        <f>IFERROR(AW177/'Ar-Pa'!Y177,0)</f>
        <v>10.236667028878252</v>
      </c>
    </row>
    <row r="178" spans="1:73">
      <c r="A178" s="15">
        <v>45103</v>
      </c>
      <c r="B178" s="441">
        <v>0.31</v>
      </c>
      <c r="C178" s="441">
        <v>0.3</v>
      </c>
      <c r="D178" s="441">
        <v>0.31</v>
      </c>
      <c r="E178" s="441">
        <v>0.32</v>
      </c>
      <c r="F178" s="441">
        <v>0.31</v>
      </c>
      <c r="G178" s="441">
        <v>0.3</v>
      </c>
      <c r="H178" s="441">
        <v>0.23</v>
      </c>
      <c r="I178" s="441">
        <v>0.24</v>
      </c>
      <c r="J178" s="441">
        <v>0.31</v>
      </c>
      <c r="K178" s="441">
        <v>0.31</v>
      </c>
      <c r="L178" s="441">
        <v>0.32</v>
      </c>
      <c r="M178" s="441">
        <v>0.3</v>
      </c>
      <c r="N178" s="441">
        <v>0.31</v>
      </c>
      <c r="O178" s="441">
        <v>0.31</v>
      </c>
      <c r="P178" s="441">
        <v>0.31</v>
      </c>
      <c r="Q178" s="441">
        <v>0.31</v>
      </c>
      <c r="R178" s="441">
        <v>0.31</v>
      </c>
      <c r="S178" s="441">
        <v>0.31</v>
      </c>
      <c r="T178" s="441">
        <v>0.31</v>
      </c>
      <c r="U178" s="441">
        <v>0.31</v>
      </c>
      <c r="V178" s="441">
        <v>0.31</v>
      </c>
      <c r="W178" s="441">
        <v>0.31</v>
      </c>
      <c r="X178" s="441">
        <v>0.3</v>
      </c>
      <c r="Y178" s="441">
        <v>0.31</v>
      </c>
      <c r="Z178" s="19">
        <f t="shared" si="98"/>
        <v>81.893336231026012</v>
      </c>
      <c r="AA178" s="19">
        <f t="shared" si="75"/>
        <v>79.251615707444529</v>
      </c>
      <c r="AB178" s="19">
        <f t="shared" si="76"/>
        <v>81.893336231026012</v>
      </c>
      <c r="AC178" s="19">
        <f t="shared" si="77"/>
        <v>84.535056754607496</v>
      </c>
      <c r="AD178" s="19">
        <f t="shared" si="78"/>
        <v>81.893336231026012</v>
      </c>
      <c r="AE178" s="19">
        <f t="shared" si="79"/>
        <v>79.251615707444529</v>
      </c>
      <c r="AF178" s="19">
        <f t="shared" si="80"/>
        <v>60.759572042374138</v>
      </c>
      <c r="AG178" s="19">
        <f t="shared" si="81"/>
        <v>63.401292565955622</v>
      </c>
      <c r="AH178" s="19">
        <f t="shared" si="82"/>
        <v>81.893336231026012</v>
      </c>
      <c r="AI178" s="19">
        <f t="shared" si="83"/>
        <v>81.893336231026012</v>
      </c>
      <c r="AJ178" s="19">
        <f t="shared" si="84"/>
        <v>84.535056754607496</v>
      </c>
      <c r="AK178" s="19">
        <f t="shared" si="85"/>
        <v>79.251615707444529</v>
      </c>
      <c r="AL178" s="19">
        <f t="shared" si="86"/>
        <v>81.893336231026012</v>
      </c>
      <c r="AM178" s="19">
        <f t="shared" si="87"/>
        <v>81.893336231026012</v>
      </c>
      <c r="AN178" s="19">
        <f t="shared" si="88"/>
        <v>81.893336231026012</v>
      </c>
      <c r="AO178" s="19">
        <f t="shared" si="89"/>
        <v>81.893336231026012</v>
      </c>
      <c r="AP178" s="19">
        <f t="shared" si="90"/>
        <v>81.893336231026012</v>
      </c>
      <c r="AQ178" s="19">
        <f t="shared" si="91"/>
        <v>81.893336231026012</v>
      </c>
      <c r="AR178" s="19">
        <f t="shared" si="92"/>
        <v>81.893336231026012</v>
      </c>
      <c r="AS178" s="19">
        <f t="shared" si="93"/>
        <v>81.893336231026012</v>
      </c>
      <c r="AT178" s="19">
        <f t="shared" si="94"/>
        <v>81.893336231026012</v>
      </c>
      <c r="AU178" s="19">
        <f t="shared" si="95"/>
        <v>81.893336231026012</v>
      </c>
      <c r="AV178" s="19">
        <f t="shared" si="96"/>
        <v>79.251615707444529</v>
      </c>
      <c r="AW178" s="19">
        <f t="shared" si="97"/>
        <v>81.893336231026012</v>
      </c>
      <c r="AX178" s="18">
        <f>IFERROR(Z178/'Ar-Pa'!B178,0)</f>
        <v>10.236667028878252</v>
      </c>
      <c r="AY178" s="18">
        <f>IFERROR(AA178/'Ar-Pa'!C178,0)</f>
        <v>9.9064519634305661</v>
      </c>
      <c r="AZ178" s="18">
        <f>IFERROR(AB178/'Ar-Pa'!D178,0)</f>
        <v>10.236667028878252</v>
      </c>
      <c r="BA178" s="18">
        <f>IFERROR(AC178/'Ar-Pa'!E178,0)</f>
        <v>10.566882094325937</v>
      </c>
      <c r="BB178" s="18">
        <f>IFERROR(AD178/'Ar-Pa'!F178,0)</f>
        <v>10.236667028878252</v>
      </c>
      <c r="BC178" s="18">
        <f>IFERROR(AE178/'Ar-Pa'!G178,0)</f>
        <v>9.9064519634305661</v>
      </c>
      <c r="BD178" s="18">
        <f>IFERROR(AF178/'Ar-Pa'!H178,0)</f>
        <v>7.5949465052967673</v>
      </c>
      <c r="BE178" s="18">
        <f>IFERROR(AG178/'Ar-Pa'!I178,0)</f>
        <v>7.9251615707444527</v>
      </c>
      <c r="BF178" s="18">
        <f>IFERROR(AH178/'Ar-Pa'!J178,0)</f>
        <v>10.236667028878252</v>
      </c>
      <c r="BG178" s="18">
        <f>IFERROR(AI178/'Ar-Pa'!K178,0)</f>
        <v>10.236667028878252</v>
      </c>
      <c r="BH178" s="18">
        <f>IFERROR(AJ178/'Ar-Pa'!L178,0)</f>
        <v>10.566882094325937</v>
      </c>
      <c r="BI178" s="18">
        <f>IFERROR(AK178/'Ar-Pa'!M178,0)</f>
        <v>9.9064519634305661</v>
      </c>
      <c r="BJ178" s="18">
        <f>IFERROR(AL178/'Ar-Pa'!N178,0)</f>
        <v>10.236667028878252</v>
      </c>
      <c r="BK178" s="18">
        <f>IFERROR(AM178/'Ar-Pa'!O178,0)</f>
        <v>10.236667028878252</v>
      </c>
      <c r="BL178" s="18">
        <f>IFERROR(AN178/'Ar-Pa'!P178,0)</f>
        <v>10.236667028878252</v>
      </c>
      <c r="BM178" s="18">
        <f>IFERROR(AO178/'Ar-Pa'!Q178,0)</f>
        <v>10.236667028878252</v>
      </c>
      <c r="BN178" s="18">
        <f>IFERROR(AP178/'Ar-Pa'!R178,0)</f>
        <v>10.236667028878252</v>
      </c>
      <c r="BO178" s="18">
        <f>IFERROR(AQ178/'Ar-Pa'!S178,0)</f>
        <v>10.236667028878252</v>
      </c>
      <c r="BP178" s="18">
        <f>IFERROR(AR178/'Ar-Pa'!T178,0)</f>
        <v>10.236667028878252</v>
      </c>
      <c r="BQ178" s="18">
        <f>IFERROR(AS178/'Ar-Pa'!U178,0)</f>
        <v>10.236667028878252</v>
      </c>
      <c r="BR178" s="18">
        <f>IFERROR(AT178/'Ar-Pa'!V178,0)</f>
        <v>10.236667028878252</v>
      </c>
      <c r="BS178" s="18">
        <f>IFERROR(AU178/'Ar-Pa'!W178,0)</f>
        <v>10.236667028878252</v>
      </c>
      <c r="BT178" s="18">
        <f>IFERROR(AV178/'Ar-Pa'!X178,0)</f>
        <v>9.9064519634305661</v>
      </c>
      <c r="BU178" s="18">
        <f>IFERROR(AW178/'Ar-Pa'!Y178,0)</f>
        <v>9.0992595812251125</v>
      </c>
    </row>
    <row r="179" spans="1:73">
      <c r="A179" s="15">
        <v>45104</v>
      </c>
      <c r="B179" s="441">
        <v>0.26</v>
      </c>
      <c r="C179" s="441">
        <v>0.28000000000000003</v>
      </c>
      <c r="D179" s="441">
        <v>0.28000000000000003</v>
      </c>
      <c r="E179" s="441">
        <v>0.28000000000000003</v>
      </c>
      <c r="F179" s="441">
        <v>0.28000000000000003</v>
      </c>
      <c r="G179" s="441">
        <v>0.26</v>
      </c>
      <c r="H179" s="441">
        <v>0.21</v>
      </c>
      <c r="I179" s="441">
        <v>0.21</v>
      </c>
      <c r="J179" s="441">
        <v>0.28000000000000003</v>
      </c>
      <c r="K179" s="441">
        <v>0.28000000000000003</v>
      </c>
      <c r="L179" s="441">
        <v>0.28000000000000003</v>
      </c>
      <c r="M179" s="441">
        <v>0.28000000000000003</v>
      </c>
      <c r="N179" s="441">
        <v>0.28000000000000003</v>
      </c>
      <c r="O179" s="441">
        <v>0.28999999999999998</v>
      </c>
      <c r="P179" s="441">
        <v>0.27</v>
      </c>
      <c r="Q179" s="441">
        <v>0.28000000000000003</v>
      </c>
      <c r="R179" s="441">
        <v>0.28999999999999998</v>
      </c>
      <c r="S179" s="441">
        <v>0.28000000000000003</v>
      </c>
      <c r="T179" s="441">
        <v>0.28000000000000003</v>
      </c>
      <c r="U179" s="441">
        <v>0.28000000000000003</v>
      </c>
      <c r="V179" s="441">
        <v>0.28000000000000003</v>
      </c>
      <c r="W179" s="441">
        <v>0.28000000000000003</v>
      </c>
      <c r="X179" s="441">
        <v>0.28000000000000003</v>
      </c>
      <c r="Y179" s="441">
        <v>0.28000000000000003</v>
      </c>
      <c r="Z179" s="19">
        <f t="shared" si="98"/>
        <v>68.684733613118595</v>
      </c>
      <c r="AA179" s="19">
        <f t="shared" si="75"/>
        <v>73.968174660281562</v>
      </c>
      <c r="AB179" s="19">
        <f t="shared" si="76"/>
        <v>73.968174660281562</v>
      </c>
      <c r="AC179" s="19">
        <f t="shared" si="77"/>
        <v>73.968174660281562</v>
      </c>
      <c r="AD179" s="19">
        <f t="shared" si="78"/>
        <v>73.968174660281562</v>
      </c>
      <c r="AE179" s="19">
        <f t="shared" si="79"/>
        <v>68.684733613118595</v>
      </c>
      <c r="AF179" s="19">
        <f t="shared" si="80"/>
        <v>55.476130995211172</v>
      </c>
      <c r="AG179" s="19">
        <f t="shared" si="81"/>
        <v>55.476130995211172</v>
      </c>
      <c r="AH179" s="19">
        <f t="shared" si="82"/>
        <v>73.968174660281562</v>
      </c>
      <c r="AI179" s="19">
        <f t="shared" si="83"/>
        <v>73.968174660281562</v>
      </c>
      <c r="AJ179" s="19">
        <f t="shared" si="84"/>
        <v>73.968174660281562</v>
      </c>
      <c r="AK179" s="19">
        <f t="shared" si="85"/>
        <v>73.968174660281562</v>
      </c>
      <c r="AL179" s="19">
        <f t="shared" si="86"/>
        <v>73.968174660281562</v>
      </c>
      <c r="AM179" s="19">
        <f t="shared" si="87"/>
        <v>76.609895183863046</v>
      </c>
      <c r="AN179" s="19">
        <f t="shared" si="88"/>
        <v>71.326454136700079</v>
      </c>
      <c r="AO179" s="19">
        <f t="shared" si="89"/>
        <v>73.968174660281562</v>
      </c>
      <c r="AP179" s="19">
        <f t="shared" si="90"/>
        <v>76.609895183863046</v>
      </c>
      <c r="AQ179" s="19">
        <f t="shared" si="91"/>
        <v>73.968174660281562</v>
      </c>
      <c r="AR179" s="19">
        <f t="shared" si="92"/>
        <v>73.968174660281562</v>
      </c>
      <c r="AS179" s="19">
        <f t="shared" si="93"/>
        <v>73.968174660281562</v>
      </c>
      <c r="AT179" s="19">
        <f t="shared" si="94"/>
        <v>73.968174660281562</v>
      </c>
      <c r="AU179" s="19">
        <f t="shared" si="95"/>
        <v>73.968174660281562</v>
      </c>
      <c r="AV179" s="19">
        <f t="shared" si="96"/>
        <v>73.968174660281562</v>
      </c>
      <c r="AW179" s="19">
        <f t="shared" si="97"/>
        <v>73.968174660281562</v>
      </c>
      <c r="AX179" s="18">
        <f>IFERROR(Z179/'Ar-Pa'!B179,0)</f>
        <v>8.5855917016398244</v>
      </c>
      <c r="AY179" s="18">
        <f>IFERROR(AA179/'Ar-Pa'!C179,0)</f>
        <v>9.2460218325351953</v>
      </c>
      <c r="AZ179" s="18">
        <f>IFERROR(AB179/'Ar-Pa'!D179,0)</f>
        <v>9.2460218325351953</v>
      </c>
      <c r="BA179" s="18">
        <f>IFERROR(AC179/'Ar-Pa'!E179,0)</f>
        <v>9.2460218325351953</v>
      </c>
      <c r="BB179" s="18">
        <f>IFERROR(AD179/'Ar-Pa'!F179,0)</f>
        <v>9.2460218325351953</v>
      </c>
      <c r="BC179" s="18">
        <f>IFERROR(AE179/'Ar-Pa'!G179,0)</f>
        <v>8.5855917016398244</v>
      </c>
      <c r="BD179" s="18">
        <f>IFERROR(AF179/'Ar-Pa'!H179,0)</f>
        <v>6.9345163744013965</v>
      </c>
      <c r="BE179" s="18">
        <f>IFERROR(AG179/'Ar-Pa'!I179,0)</f>
        <v>6.9345163744013965</v>
      </c>
      <c r="BF179" s="18">
        <f>IFERROR(AH179/'Ar-Pa'!J179,0)</f>
        <v>9.2460218325351953</v>
      </c>
      <c r="BG179" s="18">
        <f>IFERROR(AI179/'Ar-Pa'!K179,0)</f>
        <v>9.2460218325351953</v>
      </c>
      <c r="BH179" s="18">
        <f>IFERROR(AJ179/'Ar-Pa'!L179,0)</f>
        <v>9.2460218325351953</v>
      </c>
      <c r="BI179" s="18">
        <f>IFERROR(AK179/'Ar-Pa'!M179,0)</f>
        <v>9.2460218325351953</v>
      </c>
      <c r="BJ179" s="18">
        <f>IFERROR(AL179/'Ar-Pa'!N179,0)</f>
        <v>9.2460218325351953</v>
      </c>
      <c r="BK179" s="18">
        <f>IFERROR(AM179/'Ar-Pa'!O179,0)</f>
        <v>9.5762368979828807</v>
      </c>
      <c r="BL179" s="18">
        <f>IFERROR(AN179/'Ar-Pa'!P179,0)</f>
        <v>8.9158067670875099</v>
      </c>
      <c r="BM179" s="18">
        <f>IFERROR(AO179/'Ar-Pa'!Q179,0)</f>
        <v>9.2460218325351953</v>
      </c>
      <c r="BN179" s="18">
        <f>IFERROR(AP179/'Ar-Pa'!R179,0)</f>
        <v>9.5762368979828807</v>
      </c>
      <c r="BO179" s="18">
        <f>IFERROR(AQ179/'Ar-Pa'!S179,0)</f>
        <v>9.2460218325351953</v>
      </c>
      <c r="BP179" s="18">
        <f>IFERROR(AR179/'Ar-Pa'!T179,0)</f>
        <v>9.2460218325351953</v>
      </c>
      <c r="BQ179" s="18">
        <f>IFERROR(AS179/'Ar-Pa'!U179,0)</f>
        <v>9.2460218325351953</v>
      </c>
      <c r="BR179" s="18">
        <f>IFERROR(AT179/'Ar-Pa'!V179,0)</f>
        <v>9.2460218325351953</v>
      </c>
      <c r="BS179" s="18">
        <f>IFERROR(AU179/'Ar-Pa'!W179,0)</f>
        <v>9.2460218325351953</v>
      </c>
      <c r="BT179" s="18">
        <f>IFERROR(AV179/'Ar-Pa'!X179,0)</f>
        <v>9.2460218325351953</v>
      </c>
      <c r="BU179" s="18">
        <f>IFERROR(AW179/'Ar-Pa'!Y179,0)</f>
        <v>9.2460218325351953</v>
      </c>
    </row>
    <row r="180" spans="1:73">
      <c r="A180" s="15">
        <v>45105</v>
      </c>
      <c r="B180" s="441">
        <v>0.26</v>
      </c>
      <c r="C180" s="441">
        <v>0.26</v>
      </c>
      <c r="D180" s="441">
        <v>0.26</v>
      </c>
      <c r="E180" s="441">
        <v>0.26</v>
      </c>
      <c r="F180" s="441">
        <v>0.27</v>
      </c>
      <c r="G180" s="441">
        <v>0.26</v>
      </c>
      <c r="H180" s="441">
        <v>0.26</v>
      </c>
      <c r="I180" s="441">
        <v>0.26</v>
      </c>
      <c r="J180" s="441">
        <v>0.26</v>
      </c>
      <c r="K180" s="441">
        <v>0.27</v>
      </c>
      <c r="L180" s="441">
        <v>0.27</v>
      </c>
      <c r="M180" s="441">
        <v>0.27</v>
      </c>
      <c r="N180" s="441">
        <v>0.27</v>
      </c>
      <c r="O180" s="441">
        <v>0.27</v>
      </c>
      <c r="P180" s="441">
        <v>0.28999999999999998</v>
      </c>
      <c r="Q180" s="441">
        <v>0.22</v>
      </c>
      <c r="R180" s="441">
        <v>0.27</v>
      </c>
      <c r="S180" s="441">
        <v>0.35</v>
      </c>
      <c r="T180" s="441">
        <v>0.28000000000000003</v>
      </c>
      <c r="U180" s="441">
        <v>0.27</v>
      </c>
      <c r="V180" s="441">
        <v>0.27</v>
      </c>
      <c r="W180" s="441">
        <v>0.28000000000000003</v>
      </c>
      <c r="X180" s="441">
        <v>0.26</v>
      </c>
      <c r="Y180" s="441">
        <v>0.28000000000000003</v>
      </c>
      <c r="Z180" s="19">
        <f t="shared" si="98"/>
        <v>68.684733613118595</v>
      </c>
      <c r="AA180" s="19">
        <f t="shared" si="75"/>
        <v>68.684733613118595</v>
      </c>
      <c r="AB180" s="19">
        <f t="shared" si="76"/>
        <v>68.684733613118595</v>
      </c>
      <c r="AC180" s="19">
        <f t="shared" si="77"/>
        <v>68.684733613118595</v>
      </c>
      <c r="AD180" s="19">
        <f t="shared" si="78"/>
        <v>71.326454136700079</v>
      </c>
      <c r="AE180" s="19">
        <f t="shared" si="79"/>
        <v>68.684733613118595</v>
      </c>
      <c r="AF180" s="19">
        <f t="shared" si="80"/>
        <v>68.684733613118595</v>
      </c>
      <c r="AG180" s="19">
        <f t="shared" si="81"/>
        <v>68.684733613118595</v>
      </c>
      <c r="AH180" s="19">
        <f t="shared" si="82"/>
        <v>68.684733613118595</v>
      </c>
      <c r="AI180" s="19">
        <f t="shared" si="83"/>
        <v>71.326454136700079</v>
      </c>
      <c r="AJ180" s="19">
        <f t="shared" si="84"/>
        <v>71.326454136700079</v>
      </c>
      <c r="AK180" s="19">
        <f t="shared" si="85"/>
        <v>71.326454136700079</v>
      </c>
      <c r="AL180" s="19">
        <f t="shared" si="86"/>
        <v>71.326454136700079</v>
      </c>
      <c r="AM180" s="19">
        <f t="shared" si="87"/>
        <v>71.326454136700079</v>
      </c>
      <c r="AN180" s="19">
        <f t="shared" si="88"/>
        <v>76.609895183863046</v>
      </c>
      <c r="AO180" s="19">
        <f t="shared" si="89"/>
        <v>58.117851518792655</v>
      </c>
      <c r="AP180" s="19">
        <f t="shared" si="90"/>
        <v>71.326454136700079</v>
      </c>
      <c r="AQ180" s="19">
        <f t="shared" si="91"/>
        <v>92.460218325351946</v>
      </c>
      <c r="AR180" s="19">
        <f t="shared" si="92"/>
        <v>73.968174660281562</v>
      </c>
      <c r="AS180" s="19">
        <f t="shared" si="93"/>
        <v>71.326454136700079</v>
      </c>
      <c r="AT180" s="19">
        <f t="shared" si="94"/>
        <v>71.326454136700079</v>
      </c>
      <c r="AU180" s="19">
        <f t="shared" si="95"/>
        <v>73.968174660281562</v>
      </c>
      <c r="AV180" s="19">
        <f t="shared" si="96"/>
        <v>68.684733613118595</v>
      </c>
      <c r="AW180" s="19">
        <f t="shared" si="97"/>
        <v>73.968174660281562</v>
      </c>
      <c r="AX180" s="18">
        <f>IFERROR(Z180/'Ar-Pa'!B180,0)</f>
        <v>8.5855917016398244</v>
      </c>
      <c r="AY180" s="18">
        <f>IFERROR(AA180/'Ar-Pa'!C180,0)</f>
        <v>8.5855917016398244</v>
      </c>
      <c r="AZ180" s="18">
        <f>IFERROR(AB180/'Ar-Pa'!D180,0)</f>
        <v>8.5855917016398244</v>
      </c>
      <c r="BA180" s="18">
        <f>IFERROR(AC180/'Ar-Pa'!E180,0)</f>
        <v>8.5855917016398244</v>
      </c>
      <c r="BB180" s="18">
        <f>IFERROR(AD180/'Ar-Pa'!F180,0)</f>
        <v>8.9158067670875099</v>
      </c>
      <c r="BC180" s="18">
        <f>IFERROR(AE180/'Ar-Pa'!G180,0)</f>
        <v>8.5855917016398244</v>
      </c>
      <c r="BD180" s="18">
        <f>IFERROR(AF180/'Ar-Pa'!H180,0)</f>
        <v>8.5855917016398244</v>
      </c>
      <c r="BE180" s="18">
        <f>IFERROR(AG180/'Ar-Pa'!I180,0)</f>
        <v>8.5855917016398244</v>
      </c>
      <c r="BF180" s="18">
        <f>IFERROR(AH180/'Ar-Pa'!J180,0)</f>
        <v>8.5855917016398244</v>
      </c>
      <c r="BG180" s="18">
        <f>IFERROR(AI180/'Ar-Pa'!K180,0)</f>
        <v>8.9158067670875099</v>
      </c>
      <c r="BH180" s="18">
        <f>IFERROR(AJ180/'Ar-Pa'!L180,0)</f>
        <v>8.9158067670875099</v>
      </c>
      <c r="BI180" s="18">
        <f>IFERROR(AK180/'Ar-Pa'!M180,0)</f>
        <v>8.9158067670875099</v>
      </c>
      <c r="BJ180" s="18">
        <f>IFERROR(AL180/'Ar-Pa'!N180,0)</f>
        <v>8.9158067670875099</v>
      </c>
      <c r="BK180" s="18">
        <f>IFERROR(AM180/'Ar-Pa'!O180,0)</f>
        <v>8.9158067670875099</v>
      </c>
      <c r="BL180" s="18">
        <f>IFERROR(AN180/'Ar-Pa'!P180,0)</f>
        <v>10.944270740551863</v>
      </c>
      <c r="BM180" s="18">
        <f>IFERROR(AO180/'Ar-Pa'!Q180,0)</f>
        <v>7.2647314398490819</v>
      </c>
      <c r="BN180" s="18">
        <f>IFERROR(AP180/'Ar-Pa'!R180,0)</f>
        <v>8.9158067670875099</v>
      </c>
      <c r="BO180" s="18">
        <f>IFERROR(AQ180/'Ar-Pa'!S180,0)</f>
        <v>11.557527290668993</v>
      </c>
      <c r="BP180" s="18">
        <f>IFERROR(AR180/'Ar-Pa'!T180,0)</f>
        <v>9.2460218325351953</v>
      </c>
      <c r="BQ180" s="18">
        <f>IFERROR(AS180/'Ar-Pa'!U180,0)</f>
        <v>8.9158067670875099</v>
      </c>
      <c r="BR180" s="18">
        <f>IFERROR(AT180/'Ar-Pa'!V180,0)</f>
        <v>8.9158067670875099</v>
      </c>
      <c r="BS180" s="18">
        <f>IFERROR(AU180/'Ar-Pa'!W180,0)</f>
        <v>9.2460218325351953</v>
      </c>
      <c r="BT180" s="18">
        <f>IFERROR(AV180/'Ar-Pa'!X180,0)</f>
        <v>8.5855917016398244</v>
      </c>
      <c r="BU180" s="18">
        <f>IFERROR(AW180/'Ar-Pa'!Y180,0)</f>
        <v>9.2460218325351953</v>
      </c>
    </row>
    <row r="181" spans="1:73">
      <c r="A181" s="15">
        <v>45106</v>
      </c>
      <c r="B181" s="441">
        <v>0.25</v>
      </c>
      <c r="C181" s="441">
        <v>0.24</v>
      </c>
      <c r="D181" s="441">
        <v>0.25</v>
      </c>
      <c r="E181" s="441">
        <v>0.24</v>
      </c>
      <c r="F181" s="441">
        <v>0.25</v>
      </c>
      <c r="G181" s="441">
        <v>0.25</v>
      </c>
      <c r="H181" s="441">
        <v>0.24</v>
      </c>
      <c r="I181" s="441">
        <v>0.25</v>
      </c>
      <c r="J181" s="441">
        <v>0.25</v>
      </c>
      <c r="K181" s="441">
        <v>0.25</v>
      </c>
      <c r="L181" s="441">
        <v>0.24</v>
      </c>
      <c r="M181" s="441">
        <v>0.26</v>
      </c>
      <c r="N181" s="441">
        <v>0.24</v>
      </c>
      <c r="O181" s="441">
        <v>0.24</v>
      </c>
      <c r="P181" s="441">
        <v>0.25</v>
      </c>
      <c r="Q181" s="441">
        <v>0.24</v>
      </c>
      <c r="R181" s="441">
        <v>0.25</v>
      </c>
      <c r="S181" s="441">
        <v>0.24</v>
      </c>
      <c r="T181" s="441">
        <v>0.24</v>
      </c>
      <c r="U181" s="441">
        <v>0.25</v>
      </c>
      <c r="V181" s="441">
        <v>0.24</v>
      </c>
      <c r="W181" s="441">
        <v>0.27</v>
      </c>
      <c r="X181" s="441">
        <v>0.32</v>
      </c>
      <c r="Y181" s="441">
        <v>0.33</v>
      </c>
      <c r="Z181" s="19">
        <f t="shared" si="98"/>
        <v>66.043013089537112</v>
      </c>
      <c r="AA181" s="19">
        <f t="shared" si="75"/>
        <v>63.401292565955622</v>
      </c>
      <c r="AB181" s="19">
        <f t="shared" si="76"/>
        <v>66.043013089537112</v>
      </c>
      <c r="AC181" s="19">
        <f t="shared" si="77"/>
        <v>63.401292565955622</v>
      </c>
      <c r="AD181" s="19">
        <f t="shared" si="78"/>
        <v>66.043013089537112</v>
      </c>
      <c r="AE181" s="19">
        <f t="shared" si="79"/>
        <v>66.043013089537112</v>
      </c>
      <c r="AF181" s="19">
        <f t="shared" si="80"/>
        <v>63.401292565955622</v>
      </c>
      <c r="AG181" s="19">
        <f t="shared" si="81"/>
        <v>66.043013089537112</v>
      </c>
      <c r="AH181" s="19">
        <f t="shared" si="82"/>
        <v>66.043013089537112</v>
      </c>
      <c r="AI181" s="19">
        <f t="shared" si="83"/>
        <v>66.043013089537112</v>
      </c>
      <c r="AJ181" s="19">
        <f t="shared" si="84"/>
        <v>63.401292565955622</v>
      </c>
      <c r="AK181" s="19">
        <f t="shared" si="85"/>
        <v>68.684733613118595</v>
      </c>
      <c r="AL181" s="19">
        <f t="shared" si="86"/>
        <v>63.401292565955622</v>
      </c>
      <c r="AM181" s="19">
        <f t="shared" si="87"/>
        <v>63.401292565955622</v>
      </c>
      <c r="AN181" s="19">
        <f t="shared" si="88"/>
        <v>66.043013089537112</v>
      </c>
      <c r="AO181" s="19">
        <f t="shared" si="89"/>
        <v>63.401292565955622</v>
      </c>
      <c r="AP181" s="19">
        <f t="shared" si="90"/>
        <v>66.043013089537112</v>
      </c>
      <c r="AQ181" s="19">
        <f t="shared" si="91"/>
        <v>63.401292565955622</v>
      </c>
      <c r="AR181" s="19">
        <f t="shared" si="92"/>
        <v>63.401292565955622</v>
      </c>
      <c r="AS181" s="19">
        <f t="shared" si="93"/>
        <v>66.043013089537112</v>
      </c>
      <c r="AT181" s="19">
        <f t="shared" si="94"/>
        <v>63.401292565955622</v>
      </c>
      <c r="AU181" s="19">
        <f t="shared" si="95"/>
        <v>71.326454136700079</v>
      </c>
      <c r="AV181" s="19">
        <f t="shared" si="96"/>
        <v>84.535056754607496</v>
      </c>
      <c r="AW181" s="19">
        <f t="shared" si="97"/>
        <v>87.176777278188979</v>
      </c>
      <c r="AX181" s="18">
        <f>IFERROR(Z181/'Ar-Pa'!B181,0)</f>
        <v>9.4347161556481591</v>
      </c>
      <c r="AY181" s="18">
        <f>IFERROR(AA181/'Ar-Pa'!C181,0)</f>
        <v>9.0573275094222314</v>
      </c>
      <c r="AZ181" s="18">
        <f>IFERROR(AB181/'Ar-Pa'!D181,0)</f>
        <v>9.4347161556481591</v>
      </c>
      <c r="BA181" s="18">
        <f>IFERROR(AC181/'Ar-Pa'!E181,0)</f>
        <v>9.0573275094222314</v>
      </c>
      <c r="BB181" s="18">
        <f>IFERROR(AD181/'Ar-Pa'!F181,0)</f>
        <v>9.4347161556481591</v>
      </c>
      <c r="BC181" s="18">
        <f>IFERROR(AE181/'Ar-Pa'!G181,0)</f>
        <v>9.4347161556481591</v>
      </c>
      <c r="BD181" s="18">
        <f>IFERROR(AF181/'Ar-Pa'!H181,0)</f>
        <v>9.0573275094222314</v>
      </c>
      <c r="BE181" s="18">
        <f>IFERROR(AG181/'Ar-Pa'!I181,0)</f>
        <v>9.4347161556481591</v>
      </c>
      <c r="BF181" s="18">
        <f>IFERROR(AH181/'Ar-Pa'!J181,0)</f>
        <v>9.4347161556481591</v>
      </c>
      <c r="BG181" s="18">
        <f>IFERROR(AI181/'Ar-Pa'!K181,0)</f>
        <v>9.4347161556481591</v>
      </c>
      <c r="BH181" s="18">
        <f>IFERROR(AJ181/'Ar-Pa'!L181,0)</f>
        <v>9.0573275094222314</v>
      </c>
      <c r="BI181" s="18">
        <f>IFERROR(AK181/'Ar-Pa'!M181,0)</f>
        <v>9.8121048018740851</v>
      </c>
      <c r="BJ181" s="18">
        <f>IFERROR(AL181/'Ar-Pa'!N181,0)</f>
        <v>10.566882094325937</v>
      </c>
      <c r="BK181" s="18">
        <f>IFERROR(AM181/'Ar-Pa'!O181,0)</f>
        <v>10.566882094325937</v>
      </c>
      <c r="BL181" s="18">
        <f>IFERROR(AN181/'Ar-Pa'!P181,0)</f>
        <v>9.4347161556481591</v>
      </c>
      <c r="BM181" s="18">
        <f>IFERROR(AO181/'Ar-Pa'!Q181,0)</f>
        <v>9.0573275094222314</v>
      </c>
      <c r="BN181" s="18">
        <f>IFERROR(AP181/'Ar-Pa'!R181,0)</f>
        <v>9.4347161556481591</v>
      </c>
      <c r="BO181" s="18">
        <f>IFERROR(AQ181/'Ar-Pa'!S181,0)</f>
        <v>9.0573275094222314</v>
      </c>
      <c r="BP181" s="18">
        <f>IFERROR(AR181/'Ar-Pa'!T181,0)</f>
        <v>9.0573275094222314</v>
      </c>
      <c r="BQ181" s="18">
        <f>IFERROR(AS181/'Ar-Pa'!U181,0)</f>
        <v>9.4347161556481591</v>
      </c>
      <c r="BR181" s="18">
        <f>IFERROR(AT181/'Ar-Pa'!V181,0)</f>
        <v>9.0573275094222314</v>
      </c>
      <c r="BS181" s="18">
        <f>IFERROR(AU181/'Ar-Pa'!W181,0)</f>
        <v>10.189493448100011</v>
      </c>
      <c r="BT181" s="18">
        <f>IFERROR(AV181/'Ar-Pa'!X181,0)</f>
        <v>12.076436679229642</v>
      </c>
      <c r="BU181" s="18">
        <f>IFERROR(AW181/'Ar-Pa'!Y181,0)</f>
        <v>12.453825325455568</v>
      </c>
    </row>
    <row r="182" spans="1:73">
      <c r="A182" s="15">
        <v>45107</v>
      </c>
      <c r="B182" s="441">
        <v>0.45</v>
      </c>
      <c r="C182" s="441">
        <v>0.45</v>
      </c>
      <c r="D182" s="441">
        <v>0.43</v>
      </c>
      <c r="E182" s="441">
        <v>0.45</v>
      </c>
      <c r="F182" s="441">
        <v>0.45</v>
      </c>
      <c r="G182" s="441">
        <v>0.44</v>
      </c>
      <c r="H182" s="441">
        <v>0.44</v>
      </c>
      <c r="I182" s="441">
        <v>0.45</v>
      </c>
      <c r="J182" s="441">
        <v>0.45</v>
      </c>
      <c r="K182" s="441">
        <v>0.44</v>
      </c>
      <c r="L182" s="441">
        <v>0.45</v>
      </c>
      <c r="M182" s="441">
        <v>0.44</v>
      </c>
      <c r="N182" s="441">
        <v>0.45</v>
      </c>
      <c r="O182" s="441">
        <v>0.43</v>
      </c>
      <c r="P182" s="441">
        <v>0.43</v>
      </c>
      <c r="Q182" s="441">
        <v>0.43</v>
      </c>
      <c r="R182" s="441">
        <v>0.44</v>
      </c>
      <c r="S182" s="441">
        <v>0.43</v>
      </c>
      <c r="T182" s="441">
        <v>0.43</v>
      </c>
      <c r="U182" s="441">
        <v>0.44</v>
      </c>
      <c r="V182" s="441">
        <v>0.43</v>
      </c>
      <c r="W182" s="441">
        <v>0.46</v>
      </c>
      <c r="X182" s="441">
        <v>0.57999999999999996</v>
      </c>
      <c r="Y182" s="441">
        <v>0.6</v>
      </c>
      <c r="Z182" s="19">
        <f t="shared" si="98"/>
        <v>118.87742356116679</v>
      </c>
      <c r="AA182" s="19">
        <f t="shared" si="75"/>
        <v>118.87742356116679</v>
      </c>
      <c r="AB182" s="19">
        <f t="shared" si="76"/>
        <v>113.59398251400383</v>
      </c>
      <c r="AC182" s="19">
        <f t="shared" si="77"/>
        <v>118.87742356116679</v>
      </c>
      <c r="AD182" s="19">
        <f t="shared" si="78"/>
        <v>118.87742356116679</v>
      </c>
      <c r="AE182" s="19">
        <f t="shared" si="79"/>
        <v>116.23570303758531</v>
      </c>
      <c r="AF182" s="19">
        <f t="shared" si="80"/>
        <v>116.23570303758531</v>
      </c>
      <c r="AG182" s="19">
        <f t="shared" si="81"/>
        <v>118.87742356116679</v>
      </c>
      <c r="AH182" s="19">
        <f t="shared" si="82"/>
        <v>118.87742356116679</v>
      </c>
      <c r="AI182" s="19">
        <f t="shared" si="83"/>
        <v>116.23570303758531</v>
      </c>
      <c r="AJ182" s="19">
        <f t="shared" si="84"/>
        <v>118.87742356116679</v>
      </c>
      <c r="AK182" s="19">
        <f t="shared" si="85"/>
        <v>116.23570303758531</v>
      </c>
      <c r="AL182" s="19">
        <f t="shared" si="86"/>
        <v>118.87742356116679</v>
      </c>
      <c r="AM182" s="19">
        <f t="shared" si="87"/>
        <v>113.59398251400383</v>
      </c>
      <c r="AN182" s="19">
        <f t="shared" si="88"/>
        <v>113.59398251400383</v>
      </c>
      <c r="AO182" s="19">
        <f t="shared" si="89"/>
        <v>113.59398251400383</v>
      </c>
      <c r="AP182" s="19">
        <f t="shared" si="90"/>
        <v>116.23570303758531</v>
      </c>
      <c r="AQ182" s="19">
        <f t="shared" si="91"/>
        <v>113.59398251400383</v>
      </c>
      <c r="AR182" s="19">
        <f t="shared" si="92"/>
        <v>113.59398251400383</v>
      </c>
      <c r="AS182" s="19">
        <f t="shared" si="93"/>
        <v>116.23570303758531</v>
      </c>
      <c r="AT182" s="19">
        <f t="shared" si="94"/>
        <v>113.59398251400383</v>
      </c>
      <c r="AU182" s="19">
        <f t="shared" si="95"/>
        <v>121.51914408474828</v>
      </c>
      <c r="AV182" s="19">
        <f t="shared" si="96"/>
        <v>153.21979036772609</v>
      </c>
      <c r="AW182" s="19">
        <f t="shared" si="97"/>
        <v>158.50323141488906</v>
      </c>
      <c r="AX182" s="18">
        <f>IFERROR(Z182/'Ar-Pa'!B182,0)</f>
        <v>16.982489080166683</v>
      </c>
      <c r="AY182" s="18">
        <f>IFERROR(AA182/'Ar-Pa'!C182,0)</f>
        <v>16.982489080166683</v>
      </c>
      <c r="AZ182" s="18">
        <f>IFERROR(AB182/'Ar-Pa'!D182,0)</f>
        <v>16.227711787714831</v>
      </c>
      <c r="BA182" s="18">
        <f>IFERROR(AC182/'Ar-Pa'!E182,0)</f>
        <v>16.982489080166683</v>
      </c>
      <c r="BB182" s="18">
        <f>IFERROR(AD182/'Ar-Pa'!F182,0)</f>
        <v>16.982489080166683</v>
      </c>
      <c r="BC182" s="18">
        <f>IFERROR(AE182/'Ar-Pa'!G182,0)</f>
        <v>16.605100433940759</v>
      </c>
      <c r="BD182" s="18">
        <f>IFERROR(AF182/'Ar-Pa'!H182,0)</f>
        <v>16.605100433940759</v>
      </c>
      <c r="BE182" s="18">
        <f>IFERROR(AG182/'Ar-Pa'!I182,0)</f>
        <v>16.982489080166683</v>
      </c>
      <c r="BF182" s="18">
        <f>IFERROR(AH182/'Ar-Pa'!J182,0)</f>
        <v>16.982489080166683</v>
      </c>
      <c r="BG182" s="18">
        <f>IFERROR(AI182/'Ar-Pa'!K182,0)</f>
        <v>16.605100433940759</v>
      </c>
      <c r="BH182" s="18">
        <f>IFERROR(AJ182/'Ar-Pa'!L182,0)</f>
        <v>16.982489080166683</v>
      </c>
      <c r="BI182" s="18">
        <f>IFERROR(AK182/'Ar-Pa'!M182,0)</f>
        <v>16.605100433940759</v>
      </c>
      <c r="BJ182" s="18">
        <f>IFERROR(AL182/'Ar-Pa'!N182,0)</f>
        <v>16.982489080166683</v>
      </c>
      <c r="BK182" s="18">
        <f>IFERROR(AM182/'Ar-Pa'!O182,0)</f>
        <v>16.227711787714831</v>
      </c>
      <c r="BL182" s="18">
        <f>IFERROR(AN182/'Ar-Pa'!P182,0)</f>
        <v>16.227711787714831</v>
      </c>
      <c r="BM182" s="18">
        <f>IFERROR(AO182/'Ar-Pa'!Q182,0)</f>
        <v>16.227711787714831</v>
      </c>
      <c r="BN182" s="18">
        <f>IFERROR(AP182/'Ar-Pa'!R182,0)</f>
        <v>16.605100433940759</v>
      </c>
      <c r="BO182" s="18">
        <f>IFERROR(AQ182/'Ar-Pa'!S182,0)</f>
        <v>16.227711787714831</v>
      </c>
      <c r="BP182" s="18">
        <f>IFERROR(AR182/'Ar-Pa'!T182,0)</f>
        <v>16.227711787714831</v>
      </c>
      <c r="BQ182" s="18">
        <f>IFERROR(AS182/'Ar-Pa'!U182,0)</f>
        <v>16.605100433940759</v>
      </c>
      <c r="BR182" s="18">
        <f>IFERROR(AT182/'Ar-Pa'!V182,0)</f>
        <v>16.227711787714831</v>
      </c>
      <c r="BS182" s="18">
        <f>IFERROR(AU182/'Ar-Pa'!W182,0)</f>
        <v>17.359877726392611</v>
      </c>
      <c r="BT182" s="18">
        <f>IFERROR(AV182/'Ar-Pa'!X182,0)</f>
        <v>21.888541481103726</v>
      </c>
      <c r="BU182" s="18">
        <f>IFERROR(AW182/'Ar-Pa'!Y182,0)</f>
        <v>22.643318773555581</v>
      </c>
    </row>
    <row r="183" spans="1:73">
      <c r="A183" s="15">
        <v>45108</v>
      </c>
      <c r="B183" s="441">
        <v>0.3</v>
      </c>
      <c r="C183" s="441">
        <v>0.31</v>
      </c>
      <c r="D183" s="441">
        <v>0.3</v>
      </c>
      <c r="E183" s="441">
        <v>0.3</v>
      </c>
      <c r="F183" s="441">
        <v>0.31</v>
      </c>
      <c r="G183" s="441">
        <v>0.31</v>
      </c>
      <c r="H183" s="441">
        <v>0.3</v>
      </c>
      <c r="I183" s="441">
        <v>0.3</v>
      </c>
      <c r="J183" s="441">
        <v>0.3</v>
      </c>
      <c r="K183" s="441">
        <v>0.31</v>
      </c>
      <c r="L183" s="441">
        <v>0.28999999999999998</v>
      </c>
      <c r="M183" s="441">
        <v>0.3</v>
      </c>
      <c r="N183" s="441">
        <v>0.3</v>
      </c>
      <c r="O183" s="441">
        <v>0.3</v>
      </c>
      <c r="P183" s="441">
        <v>0.3</v>
      </c>
      <c r="Q183" s="441">
        <v>0.3</v>
      </c>
      <c r="R183" s="441">
        <v>0.3</v>
      </c>
      <c r="S183" s="441">
        <v>0.3</v>
      </c>
      <c r="T183" s="441">
        <v>0.3</v>
      </c>
      <c r="U183" s="441">
        <v>0.3</v>
      </c>
      <c r="V183" s="441">
        <v>0.3</v>
      </c>
      <c r="W183" s="441">
        <v>0.31</v>
      </c>
      <c r="X183" s="441">
        <v>0.3</v>
      </c>
      <c r="Y183" s="441">
        <v>0.3</v>
      </c>
      <c r="Z183" s="19">
        <f>+CONVERT(B183,"m^3","gal")</f>
        <v>79.251615707444529</v>
      </c>
      <c r="AA183" s="19">
        <f t="shared" si="75"/>
        <v>81.893336231026012</v>
      </c>
      <c r="AB183" s="19">
        <f t="shared" si="76"/>
        <v>79.251615707444529</v>
      </c>
      <c r="AC183" s="19">
        <f t="shared" si="77"/>
        <v>79.251615707444529</v>
      </c>
      <c r="AD183" s="19">
        <f t="shared" si="78"/>
        <v>81.893336231026012</v>
      </c>
      <c r="AE183" s="19">
        <f t="shared" si="79"/>
        <v>81.893336231026012</v>
      </c>
      <c r="AF183" s="19">
        <f t="shared" si="80"/>
        <v>79.251615707444529</v>
      </c>
      <c r="AG183" s="19">
        <f t="shared" si="81"/>
        <v>79.251615707444529</v>
      </c>
      <c r="AH183" s="19">
        <f t="shared" si="82"/>
        <v>79.251615707444529</v>
      </c>
      <c r="AI183" s="19">
        <f t="shared" si="83"/>
        <v>81.893336231026012</v>
      </c>
      <c r="AJ183" s="19">
        <f t="shared" si="84"/>
        <v>76.609895183863046</v>
      </c>
      <c r="AK183" s="19">
        <f t="shared" si="85"/>
        <v>79.251615707444529</v>
      </c>
      <c r="AL183" s="19">
        <f t="shared" si="86"/>
        <v>79.251615707444529</v>
      </c>
      <c r="AM183" s="19">
        <f t="shared" si="87"/>
        <v>79.251615707444529</v>
      </c>
      <c r="AN183" s="19">
        <f t="shared" si="88"/>
        <v>79.251615707444529</v>
      </c>
      <c r="AO183" s="19">
        <f t="shared" si="89"/>
        <v>79.251615707444529</v>
      </c>
      <c r="AP183" s="19">
        <f t="shared" si="90"/>
        <v>79.251615707444529</v>
      </c>
      <c r="AQ183" s="19">
        <f t="shared" si="91"/>
        <v>79.251615707444529</v>
      </c>
      <c r="AR183" s="19">
        <f t="shared" si="92"/>
        <v>79.251615707444529</v>
      </c>
      <c r="AS183" s="19">
        <f t="shared" si="93"/>
        <v>79.251615707444529</v>
      </c>
      <c r="AT183" s="19">
        <f t="shared" si="94"/>
        <v>79.251615707444529</v>
      </c>
      <c r="AU183" s="19">
        <f t="shared" si="95"/>
        <v>81.893336231026012</v>
      </c>
      <c r="AV183" s="19">
        <f t="shared" si="96"/>
        <v>79.251615707444529</v>
      </c>
      <c r="AW183" s="19">
        <f t="shared" si="97"/>
        <v>79.251615707444529</v>
      </c>
      <c r="AX183" s="18">
        <f>IFERROR(Z183/'Ar-Pa'!B183,0)</f>
        <v>9.9064519634305661</v>
      </c>
      <c r="AY183" s="18">
        <f>IFERROR(AA183/'Ar-Pa'!C183,0)</f>
        <v>10.236667028878252</v>
      </c>
      <c r="AZ183" s="18">
        <f>IFERROR(AB183/'Ar-Pa'!D183,0)</f>
        <v>9.9064519634305661</v>
      </c>
      <c r="BA183" s="18">
        <f>IFERROR(AC183/'Ar-Pa'!E183,0)</f>
        <v>9.9064519634305661</v>
      </c>
      <c r="BB183" s="18">
        <f>IFERROR(AD183/'Ar-Pa'!F183,0)</f>
        <v>10.236667028878252</v>
      </c>
      <c r="BC183" s="18">
        <f>IFERROR(AE183/'Ar-Pa'!G183,0)</f>
        <v>10.236667028878252</v>
      </c>
      <c r="BD183" s="18">
        <f>IFERROR(AF183/'Ar-Pa'!H183,0)</f>
        <v>9.9064519634305661</v>
      </c>
      <c r="BE183" s="18">
        <f>IFERROR(AG183/'Ar-Pa'!I183,0)</f>
        <v>9.9064519634305661</v>
      </c>
      <c r="BF183" s="18">
        <f>IFERROR(AH183/'Ar-Pa'!J183,0)</f>
        <v>9.9064519634305661</v>
      </c>
      <c r="BG183" s="18">
        <f>IFERROR(AI183/'Ar-Pa'!K183,0)</f>
        <v>10.236667028878252</v>
      </c>
      <c r="BH183" s="18">
        <f>IFERROR(AJ183/'Ar-Pa'!L183,0)</f>
        <v>9.5762368979828807</v>
      </c>
      <c r="BI183" s="18">
        <f>IFERROR(AK183/'Ar-Pa'!M183,0)</f>
        <v>9.9064519634305661</v>
      </c>
      <c r="BJ183" s="18">
        <f>IFERROR(AL183/'Ar-Pa'!N183,0)</f>
        <v>9.9064519634305661</v>
      </c>
      <c r="BK183" s="18">
        <f>IFERROR(AM183/'Ar-Pa'!O183,0)</f>
        <v>9.9064519634305661</v>
      </c>
      <c r="BL183" s="18">
        <f>IFERROR(AN183/'Ar-Pa'!P183,0)</f>
        <v>9.9064519634305661</v>
      </c>
      <c r="BM183" s="18">
        <f>IFERROR(AO183/'Ar-Pa'!Q183,0)</f>
        <v>9.9064519634305661</v>
      </c>
      <c r="BN183" s="18">
        <f>IFERROR(AP183/'Ar-Pa'!R183,0)</f>
        <v>9.9064519634305661</v>
      </c>
      <c r="BO183" s="18">
        <f>IFERROR(AQ183/'Ar-Pa'!S183,0)</f>
        <v>9.9064519634305661</v>
      </c>
      <c r="BP183" s="18">
        <f>IFERROR(AR183/'Ar-Pa'!T183,0)</f>
        <v>9.9064519634305661</v>
      </c>
      <c r="BQ183" s="18">
        <f>IFERROR(AS183/'Ar-Pa'!U183,0)</f>
        <v>9.9064519634305661</v>
      </c>
      <c r="BR183" s="18">
        <f>IFERROR(AT183/'Ar-Pa'!V183,0)</f>
        <v>9.9064519634305661</v>
      </c>
      <c r="BS183" s="18">
        <f>IFERROR(AU183/'Ar-Pa'!W183,0)</f>
        <v>10.236667028878252</v>
      </c>
      <c r="BT183" s="18">
        <f>IFERROR(AV183/'Ar-Pa'!X183,0)</f>
        <v>9.9064519634305661</v>
      </c>
      <c r="BU183" s="18">
        <f>IFERROR(AW183/'Ar-Pa'!Y183,0)</f>
        <v>9.9064519634305661</v>
      </c>
    </row>
    <row r="184" spans="1:73">
      <c r="A184" s="15">
        <v>45109</v>
      </c>
      <c r="B184" s="441">
        <v>0.34</v>
      </c>
      <c r="C184" s="441">
        <v>0.34</v>
      </c>
      <c r="D184" s="441">
        <v>0.34</v>
      </c>
      <c r="E184" s="441">
        <v>0.35</v>
      </c>
      <c r="F184" s="441">
        <v>0.34</v>
      </c>
      <c r="G184" s="441">
        <v>0.34</v>
      </c>
      <c r="H184" s="441">
        <v>0.34</v>
      </c>
      <c r="I184" s="441">
        <v>0.35</v>
      </c>
      <c r="J184" s="441">
        <v>0.34</v>
      </c>
      <c r="K184" s="441">
        <v>0.34</v>
      </c>
      <c r="L184" s="441">
        <v>0.36</v>
      </c>
      <c r="M184" s="441">
        <v>0.34</v>
      </c>
      <c r="N184" s="441">
        <v>0.35</v>
      </c>
      <c r="O184" s="441">
        <v>0.34</v>
      </c>
      <c r="P184" s="441">
        <v>0.34</v>
      </c>
      <c r="Q184" s="441">
        <v>0.34</v>
      </c>
      <c r="R184" s="441">
        <v>0.35</v>
      </c>
      <c r="S184" s="441">
        <v>0.34</v>
      </c>
      <c r="T184" s="441">
        <v>0.34</v>
      </c>
      <c r="U184" s="441">
        <v>0.34</v>
      </c>
      <c r="V184" s="441">
        <v>0.35</v>
      </c>
      <c r="W184" s="441">
        <v>0.34</v>
      </c>
      <c r="X184" s="441">
        <v>0.34</v>
      </c>
      <c r="Y184" s="441">
        <v>0.34</v>
      </c>
      <c r="Z184" s="19">
        <f t="shared" ref="Z184:Z226" si="99">+CONVERT(B184,"m^3","gal")</f>
        <v>89.818497801770462</v>
      </c>
      <c r="AA184" s="19">
        <f t="shared" ref="AA184:AA226" si="100">+CONVERT(C184,"m^3","gal")</f>
        <v>89.818497801770462</v>
      </c>
      <c r="AB184" s="19">
        <f t="shared" ref="AB184:AB226" si="101">+CONVERT(D184,"m^3","gal")</f>
        <v>89.818497801770462</v>
      </c>
      <c r="AC184" s="19">
        <f t="shared" ref="AC184:AC226" si="102">+CONVERT(E184,"m^3","gal")</f>
        <v>92.460218325351946</v>
      </c>
      <c r="AD184" s="19">
        <f t="shared" ref="AD184:AD228" si="103">+CONVERT(F184,"m^3","gal")</f>
        <v>89.818497801770462</v>
      </c>
      <c r="AE184" s="19">
        <f t="shared" ref="AE184:AE214" si="104">+CONVERT(G184,"m^3","gal")</f>
        <v>89.818497801770462</v>
      </c>
      <c r="AF184" s="19">
        <f t="shared" ref="AF184:AF214" si="105">+CONVERT(H184,"m^3","gal")</f>
        <v>89.818497801770462</v>
      </c>
      <c r="AG184" s="19">
        <f t="shared" ref="AG184:AG214" si="106">+CONVERT(I184,"m^3","gal")</f>
        <v>92.460218325351946</v>
      </c>
      <c r="AH184" s="19">
        <f t="shared" ref="AH184:AH214" si="107">+CONVERT(J184,"m^3","gal")</f>
        <v>89.818497801770462</v>
      </c>
      <c r="AI184" s="19">
        <f t="shared" ref="AI184:AI214" si="108">+CONVERT(K184,"m^3","gal")</f>
        <v>89.818497801770462</v>
      </c>
      <c r="AJ184" s="19">
        <f t="shared" ref="AJ184:AJ214" si="109">+CONVERT(L184,"m^3","gal")</f>
        <v>95.101938848933429</v>
      </c>
      <c r="AK184" s="19">
        <f t="shared" ref="AK184:AK214" si="110">+CONVERT(M184,"m^3","gal")</f>
        <v>89.818497801770462</v>
      </c>
      <c r="AL184" s="19">
        <f t="shared" ref="AL184:AL214" si="111">+CONVERT(N184,"m^3","gal")</f>
        <v>92.460218325351946</v>
      </c>
      <c r="AM184" s="19">
        <f t="shared" ref="AM184:AM214" si="112">+CONVERT(O184,"m^3","gal")</f>
        <v>89.818497801770462</v>
      </c>
      <c r="AN184" s="19">
        <f t="shared" ref="AN184:AN214" si="113">+CONVERT(P184,"m^3","gal")</f>
        <v>89.818497801770462</v>
      </c>
      <c r="AO184" s="19">
        <f t="shared" ref="AO184:AO214" si="114">+CONVERT(Q184,"m^3","gal")</f>
        <v>89.818497801770462</v>
      </c>
      <c r="AP184" s="19">
        <f t="shared" ref="AP184:AP214" si="115">+CONVERT(R184,"m^3","gal")</f>
        <v>92.460218325351946</v>
      </c>
      <c r="AQ184" s="19">
        <f t="shared" ref="AQ184:AQ214" si="116">+CONVERT(S184,"m^3","gal")</f>
        <v>89.818497801770462</v>
      </c>
      <c r="AR184" s="19">
        <f t="shared" ref="AR184:AR214" si="117">+CONVERT(T184,"m^3","gal")</f>
        <v>89.818497801770462</v>
      </c>
      <c r="AS184" s="19">
        <f t="shared" ref="AS184:AS214" si="118">+CONVERT(U184,"m^3","gal")</f>
        <v>89.818497801770462</v>
      </c>
      <c r="AT184" s="19">
        <f t="shared" ref="AT184:AT214" si="119">+CONVERT(V184,"m^3","gal")</f>
        <v>92.460218325351946</v>
      </c>
      <c r="AU184" s="19">
        <f t="shared" ref="AU184:AU214" si="120">+CONVERT(W184,"m^3","gal")</f>
        <v>89.818497801770462</v>
      </c>
      <c r="AV184" s="19">
        <f t="shared" ref="AV184:AV214" si="121">+CONVERT(X184,"m^3","gal")</f>
        <v>89.818497801770462</v>
      </c>
      <c r="AW184" s="19">
        <f t="shared" ref="AW184:AW214" si="122">+CONVERT(Y184,"m^3","gal")</f>
        <v>89.818497801770462</v>
      </c>
      <c r="AX184" s="18">
        <f>IFERROR(Z184/'Ar-Pa'!B184,0)</f>
        <v>11.227312225221308</v>
      </c>
      <c r="AY184" s="18">
        <f>IFERROR(AA184/'Ar-Pa'!C184,0)</f>
        <v>11.227312225221308</v>
      </c>
      <c r="AZ184" s="18">
        <f>IFERROR(AB184/'Ar-Pa'!D184,0)</f>
        <v>11.227312225221308</v>
      </c>
      <c r="BA184" s="18">
        <f>IFERROR(AC184/'Ar-Pa'!E184,0)</f>
        <v>11.557527290668993</v>
      </c>
      <c r="BB184" s="18">
        <f>IFERROR(AD184/'Ar-Pa'!F184,0)</f>
        <v>11.227312225221308</v>
      </c>
      <c r="BC184" s="18">
        <f>IFERROR(AE184/'Ar-Pa'!G184,0)</f>
        <v>11.227312225221308</v>
      </c>
      <c r="BD184" s="18">
        <f>IFERROR(AF184/'Ar-Pa'!H184,0)</f>
        <v>11.227312225221308</v>
      </c>
      <c r="BE184" s="18">
        <f>IFERROR(AG184/'Ar-Pa'!I184,0)</f>
        <v>11.557527290668993</v>
      </c>
      <c r="BF184" s="18">
        <f>IFERROR(AH184/'Ar-Pa'!J184,0)</f>
        <v>11.227312225221308</v>
      </c>
      <c r="BG184" s="18">
        <f>IFERROR(AI184/'Ar-Pa'!K184,0)</f>
        <v>11.227312225221308</v>
      </c>
      <c r="BH184" s="18">
        <f>IFERROR(AJ184/'Ar-Pa'!L184,0)</f>
        <v>11.887742356116679</v>
      </c>
      <c r="BI184" s="18">
        <f>IFERROR(AK184/'Ar-Pa'!M184,0)</f>
        <v>11.227312225221308</v>
      </c>
      <c r="BJ184" s="18">
        <f>IFERROR(AL184/'Ar-Pa'!N184,0)</f>
        <v>11.557527290668993</v>
      </c>
      <c r="BK184" s="18">
        <f>IFERROR(AM184/'Ar-Pa'!O184,0)</f>
        <v>11.227312225221308</v>
      </c>
      <c r="BL184" s="18">
        <f>IFERROR(AN184/'Ar-Pa'!P184,0)</f>
        <v>11.227312225221308</v>
      </c>
      <c r="BM184" s="18">
        <f>IFERROR(AO184/'Ar-Pa'!Q184,0)</f>
        <v>11.227312225221308</v>
      </c>
      <c r="BN184" s="18">
        <f>IFERROR(AP184/'Ar-Pa'!R184,0)</f>
        <v>11.557527290668993</v>
      </c>
      <c r="BO184" s="18">
        <f>IFERROR(AQ184/'Ar-Pa'!S184,0)</f>
        <v>11.227312225221308</v>
      </c>
      <c r="BP184" s="18">
        <f>IFERROR(AR184/'Ar-Pa'!T184,0)</f>
        <v>11.227312225221308</v>
      </c>
      <c r="BQ184" s="18">
        <f>IFERROR(AS184/'Ar-Pa'!U184,0)</f>
        <v>11.227312225221308</v>
      </c>
      <c r="BR184" s="18">
        <f>IFERROR(AT184/'Ar-Pa'!V184,0)</f>
        <v>11.557527290668993</v>
      </c>
      <c r="BS184" s="18">
        <f>IFERROR(AU184/'Ar-Pa'!W184,0)</f>
        <v>11.227312225221308</v>
      </c>
      <c r="BT184" s="18">
        <f>IFERROR(AV184/'Ar-Pa'!X184,0)</f>
        <v>11.227312225221308</v>
      </c>
      <c r="BU184" s="18">
        <f>IFERROR(AW184/'Ar-Pa'!Y184,0)</f>
        <v>11.227312225221308</v>
      </c>
    </row>
    <row r="185" spans="1:73">
      <c r="A185" s="15">
        <v>45110</v>
      </c>
      <c r="B185" s="441">
        <v>0.28000000000000003</v>
      </c>
      <c r="C185" s="441">
        <v>0.27</v>
      </c>
      <c r="D185" s="441">
        <v>0.28000000000000003</v>
      </c>
      <c r="E185" s="441">
        <v>0.27</v>
      </c>
      <c r="F185" s="441">
        <v>0.28000000000000003</v>
      </c>
      <c r="G185" s="441">
        <v>0.27</v>
      </c>
      <c r="H185" s="441">
        <v>0.28000000000000003</v>
      </c>
      <c r="I185" s="441">
        <v>0.27</v>
      </c>
      <c r="J185" s="441">
        <v>0.28000000000000003</v>
      </c>
      <c r="K185" s="441">
        <v>0.27</v>
      </c>
      <c r="L185" s="441">
        <v>0.27</v>
      </c>
      <c r="M185" s="441">
        <v>0.28000000000000003</v>
      </c>
      <c r="N185" s="441">
        <v>0.27</v>
      </c>
      <c r="O185" s="441">
        <v>0.28000000000000003</v>
      </c>
      <c r="P185" s="441">
        <v>0.27</v>
      </c>
      <c r="Q185" s="441">
        <v>0.27</v>
      </c>
      <c r="R185" s="441">
        <v>0.27</v>
      </c>
      <c r="S185" s="441">
        <v>0.27</v>
      </c>
      <c r="T185" s="441">
        <v>0.28000000000000003</v>
      </c>
      <c r="U185" s="441">
        <v>0.27</v>
      </c>
      <c r="V185" s="441">
        <v>0.27</v>
      </c>
      <c r="W185" s="441">
        <v>0.27</v>
      </c>
      <c r="X185" s="441">
        <v>0.27</v>
      </c>
      <c r="Y185" s="441">
        <v>0.28000000000000003</v>
      </c>
      <c r="Z185" s="19">
        <f t="shared" si="99"/>
        <v>73.968174660281562</v>
      </c>
      <c r="AA185" s="19">
        <f t="shared" si="100"/>
        <v>71.326454136700079</v>
      </c>
      <c r="AB185" s="19">
        <f t="shared" si="101"/>
        <v>73.968174660281562</v>
      </c>
      <c r="AC185" s="19">
        <f t="shared" si="102"/>
        <v>71.326454136700079</v>
      </c>
      <c r="AD185" s="19">
        <f t="shared" si="103"/>
        <v>73.968174660281562</v>
      </c>
      <c r="AE185" s="19">
        <f t="shared" si="104"/>
        <v>71.326454136700079</v>
      </c>
      <c r="AF185" s="19">
        <f t="shared" si="105"/>
        <v>73.968174660281562</v>
      </c>
      <c r="AG185" s="19">
        <f t="shared" si="106"/>
        <v>71.326454136700079</v>
      </c>
      <c r="AH185" s="19">
        <f t="shared" si="107"/>
        <v>73.968174660281562</v>
      </c>
      <c r="AI185" s="19">
        <f t="shared" si="108"/>
        <v>71.326454136700079</v>
      </c>
      <c r="AJ185" s="19">
        <f t="shared" si="109"/>
        <v>71.326454136700079</v>
      </c>
      <c r="AK185" s="19">
        <f t="shared" si="110"/>
        <v>73.968174660281562</v>
      </c>
      <c r="AL185" s="19">
        <f t="shared" si="111"/>
        <v>71.326454136700079</v>
      </c>
      <c r="AM185" s="19">
        <f t="shared" si="112"/>
        <v>73.968174660281562</v>
      </c>
      <c r="AN185" s="19">
        <f t="shared" si="113"/>
        <v>71.326454136700079</v>
      </c>
      <c r="AO185" s="19">
        <f t="shared" si="114"/>
        <v>71.326454136700079</v>
      </c>
      <c r="AP185" s="19">
        <f t="shared" si="115"/>
        <v>71.326454136700079</v>
      </c>
      <c r="AQ185" s="19">
        <f t="shared" si="116"/>
        <v>71.326454136700079</v>
      </c>
      <c r="AR185" s="19">
        <f t="shared" si="117"/>
        <v>73.968174660281562</v>
      </c>
      <c r="AS185" s="19">
        <f t="shared" si="118"/>
        <v>71.326454136700079</v>
      </c>
      <c r="AT185" s="19">
        <f t="shared" si="119"/>
        <v>71.326454136700079</v>
      </c>
      <c r="AU185" s="19">
        <f t="shared" si="120"/>
        <v>71.326454136700079</v>
      </c>
      <c r="AV185" s="19">
        <f t="shared" si="121"/>
        <v>71.326454136700079</v>
      </c>
      <c r="AW185" s="19">
        <f t="shared" si="122"/>
        <v>73.968174660281562</v>
      </c>
      <c r="AX185" s="18">
        <f>IFERROR(Z185/'Ar-Pa'!B185,0)</f>
        <v>9.2460218325351953</v>
      </c>
      <c r="AY185" s="18">
        <f>IFERROR(AA185/'Ar-Pa'!C185,0)</f>
        <v>8.9158067670875099</v>
      </c>
      <c r="AZ185" s="18">
        <f>IFERROR(AB185/'Ar-Pa'!D185,0)</f>
        <v>9.2460218325351953</v>
      </c>
      <c r="BA185" s="18">
        <f>IFERROR(AC185/'Ar-Pa'!E185,0)</f>
        <v>8.9158067670875099</v>
      </c>
      <c r="BB185" s="18">
        <f>IFERROR(AD185/'Ar-Pa'!F185,0)</f>
        <v>9.2460218325351953</v>
      </c>
      <c r="BC185" s="18">
        <f>IFERROR(AE185/'Ar-Pa'!G185,0)</f>
        <v>8.9158067670875099</v>
      </c>
      <c r="BD185" s="18">
        <f>IFERROR(AF185/'Ar-Pa'!H185,0)</f>
        <v>9.2460218325351953</v>
      </c>
      <c r="BE185" s="18">
        <f>IFERROR(AG185/'Ar-Pa'!I185,0)</f>
        <v>8.9158067670875099</v>
      </c>
      <c r="BF185" s="18">
        <f>IFERROR(AH185/'Ar-Pa'!J185,0)</f>
        <v>9.2460218325351953</v>
      </c>
      <c r="BG185" s="18">
        <f>IFERROR(AI185/'Ar-Pa'!K185,0)</f>
        <v>8.9158067670875099</v>
      </c>
      <c r="BH185" s="18">
        <f>IFERROR(AJ185/'Ar-Pa'!L185,0)</f>
        <v>8.9158067670875099</v>
      </c>
      <c r="BI185" s="18">
        <f>IFERROR(AK185/'Ar-Pa'!M185,0)</f>
        <v>9.2460218325351953</v>
      </c>
      <c r="BJ185" s="18">
        <f>IFERROR(AL185/'Ar-Pa'!N185,0)</f>
        <v>8.9158067670875099</v>
      </c>
      <c r="BK185" s="18">
        <f>IFERROR(AM185/'Ar-Pa'!O185,0)</f>
        <v>9.2460218325351953</v>
      </c>
      <c r="BL185" s="18">
        <f>IFERROR(AN185/'Ar-Pa'!P185,0)</f>
        <v>8.9158067670875099</v>
      </c>
      <c r="BM185" s="18">
        <f>IFERROR(AO185/'Ar-Pa'!Q185,0)</f>
        <v>8.9158067670875099</v>
      </c>
      <c r="BN185" s="18">
        <f>IFERROR(AP185/'Ar-Pa'!R185,0)</f>
        <v>8.9158067670875099</v>
      </c>
      <c r="BO185" s="18">
        <f>IFERROR(AQ185/'Ar-Pa'!S185,0)</f>
        <v>8.9158067670875099</v>
      </c>
      <c r="BP185" s="18">
        <f>IFERROR(AR185/'Ar-Pa'!T185,0)</f>
        <v>9.2460218325351953</v>
      </c>
      <c r="BQ185" s="18">
        <f>IFERROR(AS185/'Ar-Pa'!U185,0)</f>
        <v>8.9158067670875099</v>
      </c>
      <c r="BR185" s="18">
        <f>IFERROR(AT185/'Ar-Pa'!V185,0)</f>
        <v>8.9158067670875099</v>
      </c>
      <c r="BS185" s="18">
        <f>IFERROR(AU185/'Ar-Pa'!W185,0)</f>
        <v>8.9158067670875099</v>
      </c>
      <c r="BT185" s="18">
        <f>IFERROR(AV185/'Ar-Pa'!X185,0)</f>
        <v>8.9158067670875099</v>
      </c>
      <c r="BU185" s="18">
        <f>IFERROR(AW185/'Ar-Pa'!Y185,0)</f>
        <v>9.2460218325351953</v>
      </c>
    </row>
    <row r="186" spans="1:73">
      <c r="A186" s="15">
        <v>45111</v>
      </c>
      <c r="B186" s="441">
        <v>0.28000000000000003</v>
      </c>
      <c r="C186" s="441">
        <v>0.28000000000000003</v>
      </c>
      <c r="D186" s="441">
        <v>0.28999999999999998</v>
      </c>
      <c r="E186" s="441">
        <v>0.28000000000000003</v>
      </c>
      <c r="F186" s="441">
        <v>0.28999999999999998</v>
      </c>
      <c r="G186" s="441">
        <v>0.28000000000000003</v>
      </c>
      <c r="H186" s="441">
        <v>0.28999999999999998</v>
      </c>
      <c r="I186" s="441">
        <v>0.28999999999999998</v>
      </c>
      <c r="J186" s="441">
        <v>0.28000000000000003</v>
      </c>
      <c r="K186" s="441">
        <v>0.28000000000000003</v>
      </c>
      <c r="L186" s="441">
        <v>0.28000000000000003</v>
      </c>
      <c r="M186" s="441">
        <v>0.28999999999999998</v>
      </c>
      <c r="N186" s="441">
        <v>0.28999999999999998</v>
      </c>
      <c r="O186" s="441">
        <v>0.28000000000000003</v>
      </c>
      <c r="P186" s="441">
        <v>0.28999999999999998</v>
      </c>
      <c r="Q186" s="441">
        <v>0.28000000000000003</v>
      </c>
      <c r="R186" s="441">
        <v>0.28000000000000003</v>
      </c>
      <c r="S186" s="441">
        <v>0.28000000000000003</v>
      </c>
      <c r="T186" s="441">
        <v>0.28999999999999998</v>
      </c>
      <c r="U186" s="441">
        <v>0.28999999999999998</v>
      </c>
      <c r="V186" s="441">
        <v>0.28000000000000003</v>
      </c>
      <c r="W186" s="441">
        <v>0.28999999999999998</v>
      </c>
      <c r="X186" s="441">
        <v>0.28000000000000003</v>
      </c>
      <c r="Y186" s="441">
        <v>0.28000000000000003</v>
      </c>
      <c r="Z186" s="19">
        <f t="shared" si="99"/>
        <v>73.968174660281562</v>
      </c>
      <c r="AA186" s="19">
        <f t="shared" si="100"/>
        <v>73.968174660281562</v>
      </c>
      <c r="AB186" s="19">
        <f t="shared" si="101"/>
        <v>76.609895183863046</v>
      </c>
      <c r="AC186" s="19">
        <f t="shared" si="102"/>
        <v>73.968174660281562</v>
      </c>
      <c r="AD186" s="19">
        <f t="shared" si="103"/>
        <v>76.609895183863046</v>
      </c>
      <c r="AE186" s="19">
        <f t="shared" si="104"/>
        <v>73.968174660281562</v>
      </c>
      <c r="AF186" s="19">
        <f t="shared" si="105"/>
        <v>76.609895183863046</v>
      </c>
      <c r="AG186" s="19">
        <f t="shared" si="106"/>
        <v>76.609895183863046</v>
      </c>
      <c r="AH186" s="19">
        <f t="shared" si="107"/>
        <v>73.968174660281562</v>
      </c>
      <c r="AI186" s="19">
        <f t="shared" si="108"/>
        <v>73.968174660281562</v>
      </c>
      <c r="AJ186" s="19">
        <f t="shared" si="109"/>
        <v>73.968174660281562</v>
      </c>
      <c r="AK186" s="19">
        <f t="shared" si="110"/>
        <v>76.609895183863046</v>
      </c>
      <c r="AL186" s="19">
        <f t="shared" si="111"/>
        <v>76.609895183863046</v>
      </c>
      <c r="AM186" s="19">
        <f t="shared" si="112"/>
        <v>73.968174660281562</v>
      </c>
      <c r="AN186" s="19">
        <f t="shared" si="113"/>
        <v>76.609895183863046</v>
      </c>
      <c r="AO186" s="19">
        <f t="shared" si="114"/>
        <v>73.968174660281562</v>
      </c>
      <c r="AP186" s="19">
        <f t="shared" si="115"/>
        <v>73.968174660281562</v>
      </c>
      <c r="AQ186" s="19">
        <f t="shared" si="116"/>
        <v>73.968174660281562</v>
      </c>
      <c r="AR186" s="19">
        <f t="shared" si="117"/>
        <v>76.609895183863046</v>
      </c>
      <c r="AS186" s="19">
        <f t="shared" si="118"/>
        <v>76.609895183863046</v>
      </c>
      <c r="AT186" s="19">
        <f t="shared" si="119"/>
        <v>73.968174660281562</v>
      </c>
      <c r="AU186" s="19">
        <f t="shared" si="120"/>
        <v>76.609895183863046</v>
      </c>
      <c r="AV186" s="19">
        <f t="shared" si="121"/>
        <v>73.968174660281562</v>
      </c>
      <c r="AW186" s="19">
        <f t="shared" si="122"/>
        <v>73.968174660281562</v>
      </c>
      <c r="AX186" s="18">
        <f>IFERROR(Z186/'Ar-Pa'!B186,0)</f>
        <v>9.2460218325351953</v>
      </c>
      <c r="AY186" s="18">
        <f>IFERROR(AA186/'Ar-Pa'!C186,0)</f>
        <v>9.2460218325351953</v>
      </c>
      <c r="AZ186" s="18">
        <f>IFERROR(AB186/'Ar-Pa'!D186,0)</f>
        <v>9.5762368979828807</v>
      </c>
      <c r="BA186" s="18">
        <f>IFERROR(AC186/'Ar-Pa'!E186,0)</f>
        <v>9.2460218325351953</v>
      </c>
      <c r="BB186" s="18">
        <f>IFERROR(AD186/'Ar-Pa'!F186,0)</f>
        <v>9.5762368979828807</v>
      </c>
      <c r="BC186" s="18">
        <f>IFERROR(AE186/'Ar-Pa'!G186,0)</f>
        <v>9.2460218325351953</v>
      </c>
      <c r="BD186" s="18">
        <f>IFERROR(AF186/'Ar-Pa'!H186,0)</f>
        <v>9.5762368979828807</v>
      </c>
      <c r="BE186" s="18">
        <f>IFERROR(AG186/'Ar-Pa'!I186,0)</f>
        <v>9.5762368979828807</v>
      </c>
      <c r="BF186" s="18">
        <f>IFERROR(AH186/'Ar-Pa'!J186,0)</f>
        <v>9.2460218325351953</v>
      </c>
      <c r="BG186" s="18">
        <f>IFERROR(AI186/'Ar-Pa'!K186,0)</f>
        <v>9.2460218325351953</v>
      </c>
      <c r="BH186" s="18">
        <f>IFERROR(AJ186/'Ar-Pa'!L186,0)</f>
        <v>9.2460218325351953</v>
      </c>
      <c r="BI186" s="18">
        <f>IFERROR(AK186/'Ar-Pa'!M186,0)</f>
        <v>9.5762368979828807</v>
      </c>
      <c r="BJ186" s="18">
        <f>IFERROR(AL186/'Ar-Pa'!N186,0)</f>
        <v>9.5762368979828807</v>
      </c>
      <c r="BK186" s="18">
        <f>IFERROR(AM186/'Ar-Pa'!O186,0)</f>
        <v>9.2460218325351953</v>
      </c>
      <c r="BL186" s="18">
        <f>IFERROR(AN186/'Ar-Pa'!P186,0)</f>
        <v>9.5762368979828807</v>
      </c>
      <c r="BM186" s="18">
        <f>IFERROR(AO186/'Ar-Pa'!Q186,0)</f>
        <v>9.2460218325351953</v>
      </c>
      <c r="BN186" s="18">
        <f>IFERROR(AP186/'Ar-Pa'!R186,0)</f>
        <v>9.2460218325351953</v>
      </c>
      <c r="BO186" s="18">
        <f>IFERROR(AQ186/'Ar-Pa'!S186,0)</f>
        <v>9.2460218325351953</v>
      </c>
      <c r="BP186" s="18">
        <f>IFERROR(AR186/'Ar-Pa'!T186,0)</f>
        <v>9.5762368979828807</v>
      </c>
      <c r="BQ186" s="18">
        <f>IFERROR(AS186/'Ar-Pa'!U186,0)</f>
        <v>9.5762368979828807</v>
      </c>
      <c r="BR186" s="18">
        <f>IFERROR(AT186/'Ar-Pa'!V186,0)</f>
        <v>9.2460218325351953</v>
      </c>
      <c r="BS186" s="18">
        <f>IFERROR(AU186/'Ar-Pa'!W186,0)</f>
        <v>9.5762368979828807</v>
      </c>
      <c r="BT186" s="18">
        <f>IFERROR(AV186/'Ar-Pa'!X186,0)</f>
        <v>9.2460218325351953</v>
      </c>
      <c r="BU186" s="18">
        <f>IFERROR(AW186/'Ar-Pa'!Y186,0)</f>
        <v>9.2460218325351953</v>
      </c>
    </row>
    <row r="187" spans="1:73">
      <c r="A187" s="15">
        <v>45112</v>
      </c>
      <c r="B187" s="441">
        <v>0.28000000000000003</v>
      </c>
      <c r="C187" s="441">
        <v>0.28999999999999998</v>
      </c>
      <c r="D187" s="441">
        <v>0.28999999999999998</v>
      </c>
      <c r="E187" s="441">
        <v>0.28000000000000003</v>
      </c>
      <c r="F187" s="441">
        <v>0.28999999999999998</v>
      </c>
      <c r="G187" s="441">
        <v>0.28000000000000003</v>
      </c>
      <c r="H187" s="441">
        <v>0.28000000000000003</v>
      </c>
      <c r="I187" s="441">
        <v>0.28000000000000003</v>
      </c>
      <c r="J187" s="441">
        <v>0.28999999999999998</v>
      </c>
      <c r="K187" s="441">
        <v>0.28999999999999998</v>
      </c>
      <c r="L187" s="441">
        <v>0.28000000000000003</v>
      </c>
      <c r="M187" s="441">
        <v>0.28999999999999998</v>
      </c>
      <c r="N187" s="441">
        <v>0.28000000000000003</v>
      </c>
      <c r="O187" s="441">
        <v>0.28999999999999998</v>
      </c>
      <c r="P187" s="441">
        <v>0.27</v>
      </c>
      <c r="Q187" s="441">
        <v>0.28999999999999998</v>
      </c>
      <c r="R187" s="441">
        <v>0.28000000000000003</v>
      </c>
      <c r="S187" s="441">
        <v>0.28000000000000003</v>
      </c>
      <c r="T187" s="441">
        <v>0.28000000000000003</v>
      </c>
      <c r="U187" s="441">
        <v>0.28999999999999998</v>
      </c>
      <c r="V187" s="441">
        <v>0.28000000000000003</v>
      </c>
      <c r="W187" s="441">
        <v>0.28000000000000003</v>
      </c>
      <c r="X187" s="441">
        <v>0.28000000000000003</v>
      </c>
      <c r="Y187" s="441">
        <v>0.28000000000000003</v>
      </c>
      <c r="Z187" s="19">
        <f t="shared" si="99"/>
        <v>73.968174660281562</v>
      </c>
      <c r="AA187" s="19">
        <f t="shared" si="100"/>
        <v>76.609895183863046</v>
      </c>
      <c r="AB187" s="19">
        <f t="shared" si="101"/>
        <v>76.609895183863046</v>
      </c>
      <c r="AC187" s="19">
        <f t="shared" si="102"/>
        <v>73.968174660281562</v>
      </c>
      <c r="AD187" s="19">
        <f t="shared" si="103"/>
        <v>76.609895183863046</v>
      </c>
      <c r="AE187" s="19">
        <f t="shared" si="104"/>
        <v>73.968174660281562</v>
      </c>
      <c r="AF187" s="19">
        <f t="shared" si="105"/>
        <v>73.968174660281562</v>
      </c>
      <c r="AG187" s="19">
        <f t="shared" si="106"/>
        <v>73.968174660281562</v>
      </c>
      <c r="AH187" s="19">
        <f t="shared" si="107"/>
        <v>76.609895183863046</v>
      </c>
      <c r="AI187" s="19">
        <f t="shared" si="108"/>
        <v>76.609895183863046</v>
      </c>
      <c r="AJ187" s="19">
        <f t="shared" si="109"/>
        <v>73.968174660281562</v>
      </c>
      <c r="AK187" s="19">
        <f t="shared" si="110"/>
        <v>76.609895183863046</v>
      </c>
      <c r="AL187" s="19">
        <f t="shared" si="111"/>
        <v>73.968174660281562</v>
      </c>
      <c r="AM187" s="19">
        <f t="shared" si="112"/>
        <v>76.609895183863046</v>
      </c>
      <c r="AN187" s="19">
        <f t="shared" si="113"/>
        <v>71.326454136700079</v>
      </c>
      <c r="AO187" s="19">
        <f t="shared" si="114"/>
        <v>76.609895183863046</v>
      </c>
      <c r="AP187" s="19">
        <f t="shared" si="115"/>
        <v>73.968174660281562</v>
      </c>
      <c r="AQ187" s="19">
        <f t="shared" si="116"/>
        <v>73.968174660281562</v>
      </c>
      <c r="AR187" s="19">
        <f t="shared" si="117"/>
        <v>73.968174660281562</v>
      </c>
      <c r="AS187" s="19">
        <f t="shared" si="118"/>
        <v>76.609895183863046</v>
      </c>
      <c r="AT187" s="19">
        <f t="shared" si="119"/>
        <v>73.968174660281562</v>
      </c>
      <c r="AU187" s="19">
        <f t="shared" si="120"/>
        <v>73.968174660281562</v>
      </c>
      <c r="AV187" s="19">
        <f t="shared" si="121"/>
        <v>73.968174660281562</v>
      </c>
      <c r="AW187" s="19">
        <f t="shared" si="122"/>
        <v>73.968174660281562</v>
      </c>
      <c r="AX187" s="18">
        <f>IFERROR(Z187/'Ar-Pa'!B187,0)</f>
        <v>9.2460218325351953</v>
      </c>
      <c r="AY187" s="18">
        <f>IFERROR(AA187/'Ar-Pa'!C187,0)</f>
        <v>9.5762368979828807</v>
      </c>
      <c r="AZ187" s="18">
        <f>IFERROR(AB187/'Ar-Pa'!D187,0)</f>
        <v>9.5762368979828807</v>
      </c>
      <c r="BA187" s="18">
        <f>IFERROR(AC187/'Ar-Pa'!E187,0)</f>
        <v>9.2460218325351953</v>
      </c>
      <c r="BB187" s="18">
        <f>IFERROR(AD187/'Ar-Pa'!F187,0)</f>
        <v>9.5762368979828807</v>
      </c>
      <c r="BC187" s="18">
        <f>IFERROR(AE187/'Ar-Pa'!G187,0)</f>
        <v>9.2460218325351953</v>
      </c>
      <c r="BD187" s="18">
        <f>IFERROR(AF187/'Ar-Pa'!H187,0)</f>
        <v>9.2460218325351953</v>
      </c>
      <c r="BE187" s="18">
        <f>IFERROR(AG187/'Ar-Pa'!I187,0)</f>
        <v>9.2460218325351953</v>
      </c>
      <c r="BF187" s="18">
        <f>IFERROR(AH187/'Ar-Pa'!J187,0)</f>
        <v>9.5762368979828807</v>
      </c>
      <c r="BG187" s="18">
        <f>IFERROR(AI187/'Ar-Pa'!K187,0)</f>
        <v>9.5762368979828807</v>
      </c>
      <c r="BH187" s="18">
        <f>IFERROR(AJ187/'Ar-Pa'!L187,0)</f>
        <v>9.2460218325351953</v>
      </c>
      <c r="BI187" s="18">
        <f>IFERROR(AK187/'Ar-Pa'!M187,0)</f>
        <v>9.5762368979828807</v>
      </c>
      <c r="BJ187" s="18">
        <f>IFERROR(AL187/'Ar-Pa'!N187,0)</f>
        <v>9.2460218325351953</v>
      </c>
      <c r="BK187" s="18">
        <f>IFERROR(AM187/'Ar-Pa'!O187,0)</f>
        <v>9.5762368979828807</v>
      </c>
      <c r="BL187" s="18">
        <f>IFERROR(AN187/'Ar-Pa'!P187,0)</f>
        <v>8.9158067670875099</v>
      </c>
      <c r="BM187" s="18">
        <f>IFERROR(AO187/'Ar-Pa'!Q187,0)</f>
        <v>9.5762368979828807</v>
      </c>
      <c r="BN187" s="18">
        <f>IFERROR(AP187/'Ar-Pa'!R187,0)</f>
        <v>9.2460218325351953</v>
      </c>
      <c r="BO187" s="18">
        <f>IFERROR(AQ187/'Ar-Pa'!S187,0)</f>
        <v>9.2460218325351953</v>
      </c>
      <c r="BP187" s="18">
        <f>IFERROR(AR187/'Ar-Pa'!T187,0)</f>
        <v>9.2460218325351953</v>
      </c>
      <c r="BQ187" s="18">
        <f>IFERROR(AS187/'Ar-Pa'!U187,0)</f>
        <v>9.5762368979828807</v>
      </c>
      <c r="BR187" s="18">
        <f>IFERROR(AT187/'Ar-Pa'!V187,0)</f>
        <v>9.2460218325351953</v>
      </c>
      <c r="BS187" s="18">
        <f>IFERROR(AU187/'Ar-Pa'!W187,0)</f>
        <v>9.2460218325351953</v>
      </c>
      <c r="BT187" s="18">
        <f>IFERROR(AV187/'Ar-Pa'!X187,0)</f>
        <v>9.2460218325351953</v>
      </c>
      <c r="BU187" s="18">
        <f>IFERROR(AW187/'Ar-Pa'!Y187,0)</f>
        <v>9.2460218325351953</v>
      </c>
    </row>
    <row r="188" spans="1:73">
      <c r="A188" s="15">
        <v>45113</v>
      </c>
      <c r="B188" s="441">
        <v>0.3</v>
      </c>
      <c r="C188" s="441">
        <v>0.3</v>
      </c>
      <c r="D188" s="441">
        <v>0.3</v>
      </c>
      <c r="E188" s="441">
        <v>0.28999999999999998</v>
      </c>
      <c r="F188" s="441">
        <v>0.3</v>
      </c>
      <c r="G188" s="441">
        <v>0.3</v>
      </c>
      <c r="H188" s="441">
        <v>0.3</v>
      </c>
      <c r="I188" s="441">
        <v>0.3</v>
      </c>
      <c r="J188" s="441">
        <v>0.28999999999999998</v>
      </c>
      <c r="K188" s="441">
        <v>0.3</v>
      </c>
      <c r="L188" s="441">
        <v>0.3</v>
      </c>
      <c r="M188" s="441">
        <v>0.3</v>
      </c>
      <c r="N188" s="441">
        <v>0.3</v>
      </c>
      <c r="O188" s="441">
        <v>0.3</v>
      </c>
      <c r="P188" s="441">
        <v>0.31</v>
      </c>
      <c r="Q188" s="441">
        <v>0.3</v>
      </c>
      <c r="R188" s="441">
        <v>0.3</v>
      </c>
      <c r="S188" s="441">
        <v>0.3</v>
      </c>
      <c r="T188" s="441">
        <v>0.3</v>
      </c>
      <c r="U188" s="441">
        <v>0.3</v>
      </c>
      <c r="V188" s="441">
        <v>0.3</v>
      </c>
      <c r="W188" s="441">
        <v>0.3</v>
      </c>
      <c r="X188" s="441">
        <v>0.3</v>
      </c>
      <c r="Y188" s="441">
        <v>0.3</v>
      </c>
      <c r="Z188" s="19">
        <f t="shared" si="99"/>
        <v>79.251615707444529</v>
      </c>
      <c r="AA188" s="19">
        <f t="shared" si="100"/>
        <v>79.251615707444529</v>
      </c>
      <c r="AB188" s="19">
        <f t="shared" si="101"/>
        <v>79.251615707444529</v>
      </c>
      <c r="AC188" s="19">
        <f t="shared" si="102"/>
        <v>76.609895183863046</v>
      </c>
      <c r="AD188" s="19">
        <f t="shared" si="103"/>
        <v>79.251615707444529</v>
      </c>
      <c r="AE188" s="19">
        <f t="shared" si="104"/>
        <v>79.251615707444529</v>
      </c>
      <c r="AF188" s="19">
        <f t="shared" si="105"/>
        <v>79.251615707444529</v>
      </c>
      <c r="AG188" s="19">
        <f t="shared" si="106"/>
        <v>79.251615707444529</v>
      </c>
      <c r="AH188" s="19">
        <f t="shared" si="107"/>
        <v>76.609895183863046</v>
      </c>
      <c r="AI188" s="19">
        <f t="shared" si="108"/>
        <v>79.251615707444529</v>
      </c>
      <c r="AJ188" s="19">
        <f t="shared" si="109"/>
        <v>79.251615707444529</v>
      </c>
      <c r="AK188" s="19">
        <f t="shared" si="110"/>
        <v>79.251615707444529</v>
      </c>
      <c r="AL188" s="19">
        <f t="shared" si="111"/>
        <v>79.251615707444529</v>
      </c>
      <c r="AM188" s="19">
        <f t="shared" si="112"/>
        <v>79.251615707444529</v>
      </c>
      <c r="AN188" s="19">
        <f t="shared" si="113"/>
        <v>81.893336231026012</v>
      </c>
      <c r="AO188" s="19">
        <f t="shared" si="114"/>
        <v>79.251615707444529</v>
      </c>
      <c r="AP188" s="19">
        <f t="shared" si="115"/>
        <v>79.251615707444529</v>
      </c>
      <c r="AQ188" s="19">
        <f t="shared" si="116"/>
        <v>79.251615707444529</v>
      </c>
      <c r="AR188" s="19">
        <f t="shared" si="117"/>
        <v>79.251615707444529</v>
      </c>
      <c r="AS188" s="19">
        <f t="shared" si="118"/>
        <v>79.251615707444529</v>
      </c>
      <c r="AT188" s="19">
        <f t="shared" si="119"/>
        <v>79.251615707444529</v>
      </c>
      <c r="AU188" s="19">
        <f t="shared" si="120"/>
        <v>79.251615707444529</v>
      </c>
      <c r="AV188" s="19">
        <f t="shared" si="121"/>
        <v>79.251615707444529</v>
      </c>
      <c r="AW188" s="19">
        <f t="shared" si="122"/>
        <v>79.251615707444529</v>
      </c>
      <c r="AX188" s="18">
        <f>IFERROR(Z188/'Ar-Pa'!B188,0)</f>
        <v>9.9064519634305661</v>
      </c>
      <c r="AY188" s="18">
        <f>IFERROR(AA188/'Ar-Pa'!C188,0)</f>
        <v>9.9064519634305661</v>
      </c>
      <c r="AZ188" s="18">
        <f>IFERROR(AB188/'Ar-Pa'!D188,0)</f>
        <v>9.9064519634305661</v>
      </c>
      <c r="BA188" s="18">
        <f>IFERROR(AC188/'Ar-Pa'!E188,0)</f>
        <v>9.5762368979828807</v>
      </c>
      <c r="BB188" s="18">
        <f>IFERROR(AD188/'Ar-Pa'!F188,0)</f>
        <v>9.9064519634305661</v>
      </c>
      <c r="BC188" s="18">
        <f>IFERROR(AE188/'Ar-Pa'!G188,0)</f>
        <v>9.9064519634305661</v>
      </c>
      <c r="BD188" s="18">
        <f>IFERROR(AF188/'Ar-Pa'!H188,0)</f>
        <v>9.9064519634305661</v>
      </c>
      <c r="BE188" s="18">
        <f>IFERROR(AG188/'Ar-Pa'!I188,0)</f>
        <v>9.9064519634305661</v>
      </c>
      <c r="BF188" s="18">
        <f>IFERROR(AH188/'Ar-Pa'!J188,0)</f>
        <v>9.5762368979828807</v>
      </c>
      <c r="BG188" s="18">
        <f>IFERROR(AI188/'Ar-Pa'!K188,0)</f>
        <v>9.9064519634305661</v>
      </c>
      <c r="BH188" s="18">
        <f>IFERROR(AJ188/'Ar-Pa'!L188,0)</f>
        <v>9.9064519634305661</v>
      </c>
      <c r="BI188" s="18">
        <f>IFERROR(AK188/'Ar-Pa'!M188,0)</f>
        <v>9.9064519634305661</v>
      </c>
      <c r="BJ188" s="18">
        <f>IFERROR(AL188/'Ar-Pa'!N188,0)</f>
        <v>9.9064519634305661</v>
      </c>
      <c r="BK188" s="18">
        <f>IFERROR(AM188/'Ar-Pa'!O188,0)</f>
        <v>9.9064519634305661</v>
      </c>
      <c r="BL188" s="18">
        <f>IFERROR(AN188/'Ar-Pa'!P188,0)</f>
        <v>10.236667028878252</v>
      </c>
      <c r="BM188" s="18">
        <f>IFERROR(AO188/'Ar-Pa'!Q188,0)</f>
        <v>9.9064519634305661</v>
      </c>
      <c r="BN188" s="18">
        <f>IFERROR(AP188/'Ar-Pa'!R188,0)</f>
        <v>9.9064519634305661</v>
      </c>
      <c r="BO188" s="18">
        <f>IFERROR(AQ188/'Ar-Pa'!S188,0)</f>
        <v>9.9064519634305661</v>
      </c>
      <c r="BP188" s="18">
        <f>IFERROR(AR188/'Ar-Pa'!T188,0)</f>
        <v>9.9064519634305661</v>
      </c>
      <c r="BQ188" s="18">
        <f>IFERROR(AS188/'Ar-Pa'!U188,0)</f>
        <v>9.9064519634305661</v>
      </c>
      <c r="BR188" s="18">
        <f>IFERROR(AT188/'Ar-Pa'!V188,0)</f>
        <v>9.9064519634305661</v>
      </c>
      <c r="BS188" s="18">
        <f>IFERROR(AU188/'Ar-Pa'!W188,0)</f>
        <v>9.9064519634305661</v>
      </c>
      <c r="BT188" s="18">
        <f>IFERROR(AV188/'Ar-Pa'!X188,0)</f>
        <v>9.9064519634305661</v>
      </c>
      <c r="BU188" s="18">
        <f>IFERROR(AW188/'Ar-Pa'!Y188,0)</f>
        <v>9.9064519634305661</v>
      </c>
    </row>
    <row r="189" spans="1:73">
      <c r="A189" s="15">
        <v>45114</v>
      </c>
      <c r="B189" s="441">
        <v>0.3</v>
      </c>
      <c r="C189" s="441">
        <v>0.3</v>
      </c>
      <c r="D189" s="441">
        <v>0.31</v>
      </c>
      <c r="E189" s="441">
        <v>0.3</v>
      </c>
      <c r="F189" s="441">
        <v>0.31</v>
      </c>
      <c r="G189" s="441">
        <v>0.3</v>
      </c>
      <c r="H189" s="441">
        <v>0.3</v>
      </c>
      <c r="I189" s="441">
        <v>0.3</v>
      </c>
      <c r="J189" s="441">
        <v>0.31</v>
      </c>
      <c r="K189" s="441">
        <v>0.3</v>
      </c>
      <c r="L189" s="441">
        <v>0.3</v>
      </c>
      <c r="M189" s="441">
        <v>0.31</v>
      </c>
      <c r="N189" s="441">
        <v>0.3</v>
      </c>
      <c r="O189" s="441">
        <v>0.3</v>
      </c>
      <c r="P189" s="441">
        <v>0.31</v>
      </c>
      <c r="Q189" s="441">
        <v>0.3</v>
      </c>
      <c r="R189" s="441">
        <v>0.3</v>
      </c>
      <c r="S189" s="441">
        <v>0.3</v>
      </c>
      <c r="T189" s="441">
        <v>0.31</v>
      </c>
      <c r="U189" s="441">
        <v>0.3</v>
      </c>
      <c r="V189" s="441">
        <v>0.31</v>
      </c>
      <c r="W189" s="441">
        <v>0.3</v>
      </c>
      <c r="X189" s="441">
        <v>0.3</v>
      </c>
      <c r="Y189" s="441">
        <v>0.3</v>
      </c>
      <c r="Z189" s="19">
        <f t="shared" si="99"/>
        <v>79.251615707444529</v>
      </c>
      <c r="AA189" s="19">
        <f t="shared" si="100"/>
        <v>79.251615707444529</v>
      </c>
      <c r="AB189" s="19">
        <f t="shared" si="101"/>
        <v>81.893336231026012</v>
      </c>
      <c r="AC189" s="19">
        <f t="shared" si="102"/>
        <v>79.251615707444529</v>
      </c>
      <c r="AD189" s="19">
        <f t="shared" si="103"/>
        <v>81.893336231026012</v>
      </c>
      <c r="AE189" s="19">
        <f t="shared" si="104"/>
        <v>79.251615707444529</v>
      </c>
      <c r="AF189" s="19">
        <f t="shared" si="105"/>
        <v>79.251615707444529</v>
      </c>
      <c r="AG189" s="19">
        <f t="shared" si="106"/>
        <v>79.251615707444529</v>
      </c>
      <c r="AH189" s="19">
        <f t="shared" si="107"/>
        <v>81.893336231026012</v>
      </c>
      <c r="AI189" s="19">
        <f t="shared" si="108"/>
        <v>79.251615707444529</v>
      </c>
      <c r="AJ189" s="19">
        <f t="shared" si="109"/>
        <v>79.251615707444529</v>
      </c>
      <c r="AK189" s="19">
        <f t="shared" si="110"/>
        <v>81.893336231026012</v>
      </c>
      <c r="AL189" s="19">
        <f t="shared" si="111"/>
        <v>79.251615707444529</v>
      </c>
      <c r="AM189" s="19">
        <f t="shared" si="112"/>
        <v>79.251615707444529</v>
      </c>
      <c r="AN189" s="19">
        <f t="shared" si="113"/>
        <v>81.893336231026012</v>
      </c>
      <c r="AO189" s="19">
        <f t="shared" si="114"/>
        <v>79.251615707444529</v>
      </c>
      <c r="AP189" s="19">
        <f t="shared" si="115"/>
        <v>79.251615707444529</v>
      </c>
      <c r="AQ189" s="19">
        <f t="shared" si="116"/>
        <v>79.251615707444529</v>
      </c>
      <c r="AR189" s="19">
        <f t="shared" si="117"/>
        <v>81.893336231026012</v>
      </c>
      <c r="AS189" s="19">
        <f t="shared" si="118"/>
        <v>79.251615707444529</v>
      </c>
      <c r="AT189" s="19">
        <f t="shared" si="119"/>
        <v>81.893336231026012</v>
      </c>
      <c r="AU189" s="19">
        <f t="shared" si="120"/>
        <v>79.251615707444529</v>
      </c>
      <c r="AV189" s="19">
        <f t="shared" si="121"/>
        <v>79.251615707444529</v>
      </c>
      <c r="AW189" s="19">
        <f t="shared" si="122"/>
        <v>79.251615707444529</v>
      </c>
      <c r="AX189" s="18">
        <f>IFERROR(Z189/'Ar-Pa'!B189,0)</f>
        <v>9.9064519634305661</v>
      </c>
      <c r="AY189" s="18">
        <f>IFERROR(AA189/'Ar-Pa'!C189,0)</f>
        <v>9.9064519634305661</v>
      </c>
      <c r="AZ189" s="18">
        <f>IFERROR(AB189/'Ar-Pa'!D189,0)</f>
        <v>10.236667028878252</v>
      </c>
      <c r="BA189" s="18">
        <f>IFERROR(AC189/'Ar-Pa'!E189,0)</f>
        <v>9.9064519634305661</v>
      </c>
      <c r="BB189" s="18">
        <f>IFERROR(AD189/'Ar-Pa'!F189,0)</f>
        <v>10.236667028878252</v>
      </c>
      <c r="BC189" s="18">
        <f>IFERROR(AE189/'Ar-Pa'!G189,0)</f>
        <v>9.9064519634305661</v>
      </c>
      <c r="BD189" s="18">
        <f>IFERROR(AF189/'Ar-Pa'!H189,0)</f>
        <v>9.9064519634305661</v>
      </c>
      <c r="BE189" s="18">
        <f>IFERROR(AG189/'Ar-Pa'!I189,0)</f>
        <v>9.9064519634305661</v>
      </c>
      <c r="BF189" s="18">
        <f>IFERROR(AH189/'Ar-Pa'!J189,0)</f>
        <v>10.236667028878252</v>
      </c>
      <c r="BG189" s="18">
        <f>IFERROR(AI189/'Ar-Pa'!K189,0)</f>
        <v>9.9064519634305661</v>
      </c>
      <c r="BH189" s="18">
        <f>IFERROR(AJ189/'Ar-Pa'!L189,0)</f>
        <v>9.9064519634305661</v>
      </c>
      <c r="BI189" s="18">
        <f>IFERROR(AK189/'Ar-Pa'!M189,0)</f>
        <v>10.236667028878252</v>
      </c>
      <c r="BJ189" s="18">
        <f>IFERROR(AL189/'Ar-Pa'!N189,0)</f>
        <v>9.9064519634305661</v>
      </c>
      <c r="BK189" s="18">
        <f>IFERROR(AM189/'Ar-Pa'!O189,0)</f>
        <v>9.9064519634305661</v>
      </c>
      <c r="BL189" s="18">
        <f>IFERROR(AN189/'Ar-Pa'!P189,0)</f>
        <v>10.236667028878252</v>
      </c>
      <c r="BM189" s="18">
        <f>IFERROR(AO189/'Ar-Pa'!Q189,0)</f>
        <v>9.9064519634305661</v>
      </c>
      <c r="BN189" s="18">
        <f>IFERROR(AP189/'Ar-Pa'!R189,0)</f>
        <v>9.9064519634305661</v>
      </c>
      <c r="BO189" s="18">
        <f>IFERROR(AQ189/'Ar-Pa'!S189,0)</f>
        <v>9.9064519634305661</v>
      </c>
      <c r="BP189" s="18">
        <f>IFERROR(AR189/'Ar-Pa'!T189,0)</f>
        <v>10.236667028878252</v>
      </c>
      <c r="BQ189" s="18">
        <f>IFERROR(AS189/'Ar-Pa'!U189,0)</f>
        <v>9.9064519634305661</v>
      </c>
      <c r="BR189" s="18">
        <f>IFERROR(AT189/'Ar-Pa'!V189,0)</f>
        <v>10.236667028878252</v>
      </c>
      <c r="BS189" s="18">
        <f>IFERROR(AU189/'Ar-Pa'!W189,0)</f>
        <v>9.9064519634305661</v>
      </c>
      <c r="BT189" s="18">
        <f>IFERROR(AV189/'Ar-Pa'!X189,0)</f>
        <v>9.9064519634305661</v>
      </c>
      <c r="BU189" s="18">
        <f>IFERROR(AW189/'Ar-Pa'!Y189,0)</f>
        <v>9.9064519634305661</v>
      </c>
    </row>
    <row r="190" spans="1:73">
      <c r="A190" s="15">
        <v>45115</v>
      </c>
      <c r="B190" s="441">
        <v>0.31</v>
      </c>
      <c r="C190" s="441">
        <v>0.3</v>
      </c>
      <c r="D190" s="441">
        <v>0.31</v>
      </c>
      <c r="E190" s="441">
        <v>0.3</v>
      </c>
      <c r="F190" s="441">
        <v>0.32</v>
      </c>
      <c r="G190" s="441">
        <v>0.3</v>
      </c>
      <c r="H190" s="441">
        <v>0.31</v>
      </c>
      <c r="I190" s="441">
        <v>0.3</v>
      </c>
      <c r="J190" s="441">
        <v>0.31</v>
      </c>
      <c r="K190" s="441">
        <v>0.31</v>
      </c>
      <c r="L190" s="441">
        <v>0.3</v>
      </c>
      <c r="M190" s="441">
        <v>0.31</v>
      </c>
      <c r="N190" s="441">
        <v>0.31</v>
      </c>
      <c r="O190" s="441">
        <v>0.3</v>
      </c>
      <c r="P190" s="441">
        <v>0.31</v>
      </c>
      <c r="Q190" s="441">
        <v>0.3</v>
      </c>
      <c r="R190" s="441">
        <v>0.31</v>
      </c>
      <c r="S190" s="441">
        <v>0.31</v>
      </c>
      <c r="T190" s="441">
        <v>0.3</v>
      </c>
      <c r="U190" s="441">
        <v>0.31</v>
      </c>
      <c r="V190" s="441">
        <v>0.31</v>
      </c>
      <c r="W190" s="441">
        <v>0.3</v>
      </c>
      <c r="X190" s="441">
        <v>0.31</v>
      </c>
      <c r="Y190" s="441">
        <v>0.31</v>
      </c>
      <c r="Z190" s="19">
        <f t="shared" si="99"/>
        <v>81.893336231026012</v>
      </c>
      <c r="AA190" s="19">
        <f t="shared" si="100"/>
        <v>79.251615707444529</v>
      </c>
      <c r="AB190" s="19">
        <f t="shared" si="101"/>
        <v>81.893336231026012</v>
      </c>
      <c r="AC190" s="19">
        <f t="shared" si="102"/>
        <v>79.251615707444529</v>
      </c>
      <c r="AD190" s="19">
        <f t="shared" si="103"/>
        <v>84.535056754607496</v>
      </c>
      <c r="AE190" s="19">
        <f t="shared" si="104"/>
        <v>79.251615707444529</v>
      </c>
      <c r="AF190" s="19">
        <f t="shared" si="105"/>
        <v>81.893336231026012</v>
      </c>
      <c r="AG190" s="19">
        <f t="shared" si="106"/>
        <v>79.251615707444529</v>
      </c>
      <c r="AH190" s="19">
        <f t="shared" si="107"/>
        <v>81.893336231026012</v>
      </c>
      <c r="AI190" s="19">
        <f t="shared" si="108"/>
        <v>81.893336231026012</v>
      </c>
      <c r="AJ190" s="19">
        <f t="shared" si="109"/>
        <v>79.251615707444529</v>
      </c>
      <c r="AK190" s="19">
        <f t="shared" si="110"/>
        <v>81.893336231026012</v>
      </c>
      <c r="AL190" s="19">
        <f t="shared" si="111"/>
        <v>81.893336231026012</v>
      </c>
      <c r="AM190" s="19">
        <f t="shared" si="112"/>
        <v>79.251615707444529</v>
      </c>
      <c r="AN190" s="19">
        <f t="shared" si="113"/>
        <v>81.893336231026012</v>
      </c>
      <c r="AO190" s="19">
        <f t="shared" si="114"/>
        <v>79.251615707444529</v>
      </c>
      <c r="AP190" s="19">
        <f t="shared" si="115"/>
        <v>81.893336231026012</v>
      </c>
      <c r="AQ190" s="19">
        <f t="shared" si="116"/>
        <v>81.893336231026012</v>
      </c>
      <c r="AR190" s="19">
        <f t="shared" si="117"/>
        <v>79.251615707444529</v>
      </c>
      <c r="AS190" s="19">
        <f t="shared" si="118"/>
        <v>81.893336231026012</v>
      </c>
      <c r="AT190" s="19">
        <f t="shared" si="119"/>
        <v>81.893336231026012</v>
      </c>
      <c r="AU190" s="19">
        <f t="shared" si="120"/>
        <v>79.251615707444529</v>
      </c>
      <c r="AV190" s="19">
        <f t="shared" si="121"/>
        <v>81.893336231026012</v>
      </c>
      <c r="AW190" s="19">
        <f t="shared" si="122"/>
        <v>81.893336231026012</v>
      </c>
      <c r="AX190" s="18">
        <f>IFERROR(Z190/'Ar-Pa'!B190,0)</f>
        <v>10.236667028878252</v>
      </c>
      <c r="AY190" s="18">
        <f>IFERROR(AA190/'Ar-Pa'!C190,0)</f>
        <v>9.9064519634305661</v>
      </c>
      <c r="AZ190" s="18">
        <f>IFERROR(AB190/'Ar-Pa'!D190,0)</f>
        <v>10.236667028878252</v>
      </c>
      <c r="BA190" s="18">
        <f>IFERROR(AC190/'Ar-Pa'!E190,0)</f>
        <v>9.9064519634305661</v>
      </c>
      <c r="BB190" s="18">
        <f>IFERROR(AD190/'Ar-Pa'!F190,0)</f>
        <v>10.566882094325937</v>
      </c>
      <c r="BC190" s="18">
        <f>IFERROR(AE190/'Ar-Pa'!G190,0)</f>
        <v>9.9064519634305661</v>
      </c>
      <c r="BD190" s="18">
        <f>IFERROR(AF190/'Ar-Pa'!H190,0)</f>
        <v>10.236667028878252</v>
      </c>
      <c r="BE190" s="18">
        <f>IFERROR(AG190/'Ar-Pa'!I190,0)</f>
        <v>9.9064519634305661</v>
      </c>
      <c r="BF190" s="18">
        <f>IFERROR(AH190/'Ar-Pa'!J190,0)</f>
        <v>10.236667028878252</v>
      </c>
      <c r="BG190" s="18">
        <f>IFERROR(AI190/'Ar-Pa'!K190,0)</f>
        <v>10.236667028878252</v>
      </c>
      <c r="BH190" s="18">
        <f>IFERROR(AJ190/'Ar-Pa'!L190,0)</f>
        <v>9.9064519634305661</v>
      </c>
      <c r="BI190" s="18">
        <f>IFERROR(AK190/'Ar-Pa'!M190,0)</f>
        <v>10.236667028878252</v>
      </c>
      <c r="BJ190" s="18">
        <f>IFERROR(AL190/'Ar-Pa'!N190,0)</f>
        <v>10.236667028878252</v>
      </c>
      <c r="BK190" s="18">
        <f>IFERROR(AM190/'Ar-Pa'!O190,0)</f>
        <v>9.9064519634305661</v>
      </c>
      <c r="BL190" s="18">
        <f>IFERROR(AN190/'Ar-Pa'!P190,0)</f>
        <v>10.236667028878252</v>
      </c>
      <c r="BM190" s="18">
        <f>IFERROR(AO190/'Ar-Pa'!Q190,0)</f>
        <v>9.9064519634305661</v>
      </c>
      <c r="BN190" s="18">
        <f>IFERROR(AP190/'Ar-Pa'!R190,0)</f>
        <v>10.236667028878252</v>
      </c>
      <c r="BO190" s="18">
        <f>IFERROR(AQ190/'Ar-Pa'!S190,0)</f>
        <v>10.236667028878252</v>
      </c>
      <c r="BP190" s="18">
        <f>IFERROR(AR190/'Ar-Pa'!T190,0)</f>
        <v>9.9064519634305661</v>
      </c>
      <c r="BQ190" s="18">
        <f>IFERROR(AS190/'Ar-Pa'!U190,0)</f>
        <v>10.236667028878252</v>
      </c>
      <c r="BR190" s="18">
        <f>IFERROR(AT190/'Ar-Pa'!V190,0)</f>
        <v>10.236667028878252</v>
      </c>
      <c r="BS190" s="18">
        <f>IFERROR(AU190/'Ar-Pa'!W190,0)</f>
        <v>9.9064519634305661</v>
      </c>
      <c r="BT190" s="18">
        <f>IFERROR(AV190/'Ar-Pa'!X190,0)</f>
        <v>10.236667028878252</v>
      </c>
      <c r="BU190" s="18">
        <f>IFERROR(AW190/'Ar-Pa'!Y190,0)</f>
        <v>10.236667028878252</v>
      </c>
    </row>
    <row r="191" spans="1:73">
      <c r="A191" s="15">
        <v>45116</v>
      </c>
      <c r="B191" s="441">
        <v>0.28000000000000003</v>
      </c>
      <c r="C191" s="441">
        <v>0.27</v>
      </c>
      <c r="D191" s="441">
        <v>0.28000000000000003</v>
      </c>
      <c r="E191" s="441">
        <v>0.28000000000000003</v>
      </c>
      <c r="F191" s="441">
        <v>0.28000000000000003</v>
      </c>
      <c r="G191" s="441">
        <v>0.27</v>
      </c>
      <c r="H191" s="441">
        <v>0.28000000000000003</v>
      </c>
      <c r="I191" s="441">
        <v>0.28000000000000003</v>
      </c>
      <c r="J191" s="441">
        <v>0.27</v>
      </c>
      <c r="K191" s="441">
        <v>0.28000000000000003</v>
      </c>
      <c r="L191" s="441">
        <v>0.28999999999999998</v>
      </c>
      <c r="M191" s="441">
        <v>0.27</v>
      </c>
      <c r="N191" s="441">
        <v>0.28000000000000003</v>
      </c>
      <c r="O191" s="441">
        <v>0.28999999999999998</v>
      </c>
      <c r="P191" s="441">
        <v>0.28000000000000003</v>
      </c>
      <c r="Q191" s="441">
        <v>0.28000000000000003</v>
      </c>
      <c r="R191" s="441">
        <v>0.28000000000000003</v>
      </c>
      <c r="S191" s="441">
        <v>0.28999999999999998</v>
      </c>
      <c r="T191" s="441">
        <v>0.28000000000000003</v>
      </c>
      <c r="U191" s="441">
        <v>0.28000000000000003</v>
      </c>
      <c r="V191" s="441">
        <v>0.28000000000000003</v>
      </c>
      <c r="W191" s="441">
        <v>0.28000000000000003</v>
      </c>
      <c r="X191" s="441">
        <v>0.28000000000000003</v>
      </c>
      <c r="Y191" s="441">
        <v>0.28000000000000003</v>
      </c>
      <c r="Z191" s="19">
        <f t="shared" si="99"/>
        <v>73.968174660281562</v>
      </c>
      <c r="AA191" s="19">
        <f t="shared" si="100"/>
        <v>71.326454136700079</v>
      </c>
      <c r="AB191" s="19">
        <f t="shared" si="101"/>
        <v>73.968174660281562</v>
      </c>
      <c r="AC191" s="19">
        <f t="shared" si="102"/>
        <v>73.968174660281562</v>
      </c>
      <c r="AD191" s="19">
        <f t="shared" si="103"/>
        <v>73.968174660281562</v>
      </c>
      <c r="AE191" s="19">
        <f t="shared" si="104"/>
        <v>71.326454136700079</v>
      </c>
      <c r="AF191" s="19">
        <f t="shared" si="105"/>
        <v>73.968174660281562</v>
      </c>
      <c r="AG191" s="19">
        <f t="shared" si="106"/>
        <v>73.968174660281562</v>
      </c>
      <c r="AH191" s="19">
        <f t="shared" si="107"/>
        <v>71.326454136700079</v>
      </c>
      <c r="AI191" s="19">
        <f t="shared" si="108"/>
        <v>73.968174660281562</v>
      </c>
      <c r="AJ191" s="19">
        <f t="shared" si="109"/>
        <v>76.609895183863046</v>
      </c>
      <c r="AK191" s="19">
        <f t="shared" si="110"/>
        <v>71.326454136700079</v>
      </c>
      <c r="AL191" s="19">
        <f t="shared" si="111"/>
        <v>73.968174660281562</v>
      </c>
      <c r="AM191" s="19">
        <f t="shared" si="112"/>
        <v>76.609895183863046</v>
      </c>
      <c r="AN191" s="19">
        <f t="shared" si="113"/>
        <v>73.968174660281562</v>
      </c>
      <c r="AO191" s="19">
        <f t="shared" si="114"/>
        <v>73.968174660281562</v>
      </c>
      <c r="AP191" s="19">
        <f t="shared" si="115"/>
        <v>73.968174660281562</v>
      </c>
      <c r="AQ191" s="19">
        <f t="shared" si="116"/>
        <v>76.609895183863046</v>
      </c>
      <c r="AR191" s="19">
        <f t="shared" si="117"/>
        <v>73.968174660281562</v>
      </c>
      <c r="AS191" s="19">
        <f t="shared" si="118"/>
        <v>73.968174660281562</v>
      </c>
      <c r="AT191" s="19">
        <f t="shared" si="119"/>
        <v>73.968174660281562</v>
      </c>
      <c r="AU191" s="19">
        <f t="shared" si="120"/>
        <v>73.968174660281562</v>
      </c>
      <c r="AV191" s="19">
        <f t="shared" si="121"/>
        <v>73.968174660281562</v>
      </c>
      <c r="AW191" s="19">
        <f t="shared" si="122"/>
        <v>73.968174660281562</v>
      </c>
      <c r="AX191" s="18">
        <f>IFERROR(Z191/'Ar-Pa'!B191,0)</f>
        <v>9.2460218325351953</v>
      </c>
      <c r="AY191" s="18">
        <f>IFERROR(AA191/'Ar-Pa'!C191,0)</f>
        <v>8.9158067670875099</v>
      </c>
      <c r="AZ191" s="18">
        <f>IFERROR(AB191/'Ar-Pa'!D191,0)</f>
        <v>9.2460218325351953</v>
      </c>
      <c r="BA191" s="18">
        <f>IFERROR(AC191/'Ar-Pa'!E191,0)</f>
        <v>9.2460218325351953</v>
      </c>
      <c r="BB191" s="18">
        <f>IFERROR(AD191/'Ar-Pa'!F191,0)</f>
        <v>9.2460218325351953</v>
      </c>
      <c r="BC191" s="18">
        <f>IFERROR(AE191/'Ar-Pa'!G191,0)</f>
        <v>8.9158067670875099</v>
      </c>
      <c r="BD191" s="18">
        <f>IFERROR(AF191/'Ar-Pa'!H191,0)</f>
        <v>9.2460218325351953</v>
      </c>
      <c r="BE191" s="18">
        <f>IFERROR(AG191/'Ar-Pa'!I191,0)</f>
        <v>9.2460218325351953</v>
      </c>
      <c r="BF191" s="18">
        <f>IFERROR(AH191/'Ar-Pa'!J191,0)</f>
        <v>8.9158067670875099</v>
      </c>
      <c r="BG191" s="18">
        <f>IFERROR(AI191/'Ar-Pa'!K191,0)</f>
        <v>9.2460218325351953</v>
      </c>
      <c r="BH191" s="18">
        <f>IFERROR(AJ191/'Ar-Pa'!L191,0)</f>
        <v>9.5762368979828807</v>
      </c>
      <c r="BI191" s="18">
        <f>IFERROR(AK191/'Ar-Pa'!M191,0)</f>
        <v>8.9158067670875099</v>
      </c>
      <c r="BJ191" s="18">
        <f>IFERROR(AL191/'Ar-Pa'!N191,0)</f>
        <v>9.2460218325351953</v>
      </c>
      <c r="BK191" s="18">
        <f>IFERROR(AM191/'Ar-Pa'!O191,0)</f>
        <v>9.5762368979828807</v>
      </c>
      <c r="BL191" s="18">
        <f>IFERROR(AN191/'Ar-Pa'!P191,0)</f>
        <v>9.2460218325351953</v>
      </c>
      <c r="BM191" s="18">
        <f>IFERROR(AO191/'Ar-Pa'!Q191,0)</f>
        <v>9.2460218325351953</v>
      </c>
      <c r="BN191" s="18">
        <f>IFERROR(AP191/'Ar-Pa'!R191,0)</f>
        <v>9.2460218325351953</v>
      </c>
      <c r="BO191" s="18">
        <f>IFERROR(AQ191/'Ar-Pa'!S191,0)</f>
        <v>9.5762368979828807</v>
      </c>
      <c r="BP191" s="18">
        <f>IFERROR(AR191/'Ar-Pa'!T191,0)</f>
        <v>9.2460218325351953</v>
      </c>
      <c r="BQ191" s="18">
        <f>IFERROR(AS191/'Ar-Pa'!U191,0)</f>
        <v>9.2460218325351953</v>
      </c>
      <c r="BR191" s="18">
        <f>IFERROR(AT191/'Ar-Pa'!V191,0)</f>
        <v>9.2460218325351953</v>
      </c>
      <c r="BS191" s="18">
        <f>IFERROR(AU191/'Ar-Pa'!W191,0)</f>
        <v>9.2460218325351953</v>
      </c>
      <c r="BT191" s="18">
        <f>IFERROR(AV191/'Ar-Pa'!X191,0)</f>
        <v>9.2460218325351953</v>
      </c>
      <c r="BU191" s="18">
        <f>IFERROR(AW191/'Ar-Pa'!Y191,0)</f>
        <v>9.2460218325351953</v>
      </c>
    </row>
    <row r="192" spans="1:73">
      <c r="A192" s="15">
        <v>45117</v>
      </c>
      <c r="B192" s="441">
        <v>0.28999999999999998</v>
      </c>
      <c r="C192" s="441">
        <v>0.28999999999999998</v>
      </c>
      <c r="D192" s="441">
        <v>0.3</v>
      </c>
      <c r="E192" s="441">
        <v>0.28999999999999998</v>
      </c>
      <c r="F192" s="441">
        <v>0.28999999999999998</v>
      </c>
      <c r="G192" s="441">
        <v>0.28999999999999998</v>
      </c>
      <c r="H192" s="441">
        <v>0.28999999999999998</v>
      </c>
      <c r="I192" s="441">
        <v>0.3</v>
      </c>
      <c r="J192" s="441">
        <v>0.28999999999999998</v>
      </c>
      <c r="K192" s="441">
        <v>0.28999999999999998</v>
      </c>
      <c r="L192" s="441">
        <v>0.28999999999999998</v>
      </c>
      <c r="M192" s="441">
        <v>0.28999999999999998</v>
      </c>
      <c r="N192" s="441">
        <v>0.3</v>
      </c>
      <c r="O192" s="441">
        <v>0.3</v>
      </c>
      <c r="P192" s="441">
        <v>0.28999999999999998</v>
      </c>
      <c r="Q192" s="441">
        <v>0.3</v>
      </c>
      <c r="R192" s="441">
        <v>0.28999999999999998</v>
      </c>
      <c r="S192" s="441">
        <v>0.28999999999999998</v>
      </c>
      <c r="T192" s="441">
        <v>0.28999999999999998</v>
      </c>
      <c r="U192" s="441">
        <v>0.3</v>
      </c>
      <c r="V192" s="441">
        <v>0.28000000000000003</v>
      </c>
      <c r="W192" s="441">
        <v>0.3</v>
      </c>
      <c r="X192" s="441">
        <v>0.28999999999999998</v>
      </c>
      <c r="Y192" s="441">
        <v>0.28000000000000003</v>
      </c>
      <c r="Z192" s="19">
        <f t="shared" si="99"/>
        <v>76.609895183863046</v>
      </c>
      <c r="AA192" s="19">
        <f t="shared" si="100"/>
        <v>76.609895183863046</v>
      </c>
      <c r="AB192" s="19">
        <f t="shared" si="101"/>
        <v>79.251615707444529</v>
      </c>
      <c r="AC192" s="19">
        <f t="shared" si="102"/>
        <v>76.609895183863046</v>
      </c>
      <c r="AD192" s="19">
        <f t="shared" si="103"/>
        <v>76.609895183863046</v>
      </c>
      <c r="AE192" s="19">
        <f t="shared" si="104"/>
        <v>76.609895183863046</v>
      </c>
      <c r="AF192" s="19">
        <f t="shared" si="105"/>
        <v>76.609895183863046</v>
      </c>
      <c r="AG192" s="19">
        <f t="shared" si="106"/>
        <v>79.251615707444529</v>
      </c>
      <c r="AH192" s="19">
        <f t="shared" si="107"/>
        <v>76.609895183863046</v>
      </c>
      <c r="AI192" s="19">
        <f t="shared" si="108"/>
        <v>76.609895183863046</v>
      </c>
      <c r="AJ192" s="19">
        <f t="shared" si="109"/>
        <v>76.609895183863046</v>
      </c>
      <c r="AK192" s="19">
        <f t="shared" si="110"/>
        <v>76.609895183863046</v>
      </c>
      <c r="AL192" s="19">
        <f t="shared" si="111"/>
        <v>79.251615707444529</v>
      </c>
      <c r="AM192" s="19">
        <f t="shared" si="112"/>
        <v>79.251615707444529</v>
      </c>
      <c r="AN192" s="19">
        <f t="shared" si="113"/>
        <v>76.609895183863046</v>
      </c>
      <c r="AO192" s="19">
        <f t="shared" si="114"/>
        <v>79.251615707444529</v>
      </c>
      <c r="AP192" s="19">
        <f t="shared" si="115"/>
        <v>76.609895183863046</v>
      </c>
      <c r="AQ192" s="19">
        <f t="shared" si="116"/>
        <v>76.609895183863046</v>
      </c>
      <c r="AR192" s="19">
        <f t="shared" si="117"/>
        <v>76.609895183863046</v>
      </c>
      <c r="AS192" s="19">
        <f t="shared" si="118"/>
        <v>79.251615707444529</v>
      </c>
      <c r="AT192" s="19">
        <f t="shared" si="119"/>
        <v>73.968174660281562</v>
      </c>
      <c r="AU192" s="19">
        <f t="shared" si="120"/>
        <v>79.251615707444529</v>
      </c>
      <c r="AV192" s="19">
        <f t="shared" si="121"/>
        <v>76.609895183863046</v>
      </c>
      <c r="AW192" s="19">
        <f t="shared" si="122"/>
        <v>73.968174660281562</v>
      </c>
      <c r="AX192" s="18">
        <f>IFERROR(Z192/'Ar-Pa'!B192,0)</f>
        <v>9.5762368979828807</v>
      </c>
      <c r="AY192" s="18">
        <f>IFERROR(AA192/'Ar-Pa'!C192,0)</f>
        <v>9.5762368979828807</v>
      </c>
      <c r="AZ192" s="18">
        <f>IFERROR(AB192/'Ar-Pa'!D192,0)</f>
        <v>9.9064519634305661</v>
      </c>
      <c r="BA192" s="18">
        <f>IFERROR(AC192/'Ar-Pa'!E192,0)</f>
        <v>9.5762368979828807</v>
      </c>
      <c r="BB192" s="18">
        <f>IFERROR(AD192/'Ar-Pa'!F192,0)</f>
        <v>9.5762368979828807</v>
      </c>
      <c r="BC192" s="18">
        <f>IFERROR(AE192/'Ar-Pa'!G192,0)</f>
        <v>9.5762368979828807</v>
      </c>
      <c r="BD192" s="18">
        <f>IFERROR(AF192/'Ar-Pa'!H192,0)</f>
        <v>9.5762368979828807</v>
      </c>
      <c r="BE192" s="18">
        <f>IFERROR(AG192/'Ar-Pa'!I192,0)</f>
        <v>9.9064519634305661</v>
      </c>
      <c r="BF192" s="18">
        <f>IFERROR(AH192/'Ar-Pa'!J192,0)</f>
        <v>9.5762368979828807</v>
      </c>
      <c r="BG192" s="18">
        <f>IFERROR(AI192/'Ar-Pa'!K192,0)</f>
        <v>9.5762368979828807</v>
      </c>
      <c r="BH192" s="18">
        <f>IFERROR(AJ192/'Ar-Pa'!L192,0)</f>
        <v>9.5762368979828807</v>
      </c>
      <c r="BI192" s="18">
        <f>IFERROR(AK192/'Ar-Pa'!M192,0)</f>
        <v>9.5762368979828807</v>
      </c>
      <c r="BJ192" s="18">
        <f>IFERROR(AL192/'Ar-Pa'!N192,0)</f>
        <v>9.9064519634305661</v>
      </c>
      <c r="BK192" s="18">
        <f>IFERROR(AM192/'Ar-Pa'!O192,0)</f>
        <v>9.9064519634305661</v>
      </c>
      <c r="BL192" s="18">
        <f>IFERROR(AN192/'Ar-Pa'!P192,0)</f>
        <v>9.5762368979828807</v>
      </c>
      <c r="BM192" s="18">
        <f>IFERROR(AO192/'Ar-Pa'!Q192,0)</f>
        <v>9.9064519634305661</v>
      </c>
      <c r="BN192" s="18">
        <f>IFERROR(AP192/'Ar-Pa'!R192,0)</f>
        <v>9.5762368979828807</v>
      </c>
      <c r="BO192" s="18">
        <f>IFERROR(AQ192/'Ar-Pa'!S192,0)</f>
        <v>9.5762368979828807</v>
      </c>
      <c r="BP192" s="18">
        <f>IFERROR(AR192/'Ar-Pa'!T192,0)</f>
        <v>9.5762368979828807</v>
      </c>
      <c r="BQ192" s="18">
        <f>IFERROR(AS192/'Ar-Pa'!U192,0)</f>
        <v>9.9064519634305661</v>
      </c>
      <c r="BR192" s="18">
        <f>IFERROR(AT192/'Ar-Pa'!V192,0)</f>
        <v>9.2460218325351953</v>
      </c>
      <c r="BS192" s="18">
        <f>IFERROR(AU192/'Ar-Pa'!W192,0)</f>
        <v>9.9064519634305661</v>
      </c>
      <c r="BT192" s="18">
        <f>IFERROR(AV192/'Ar-Pa'!X192,0)</f>
        <v>9.5762368979828807</v>
      </c>
      <c r="BU192" s="18">
        <f>IFERROR(AW192/'Ar-Pa'!Y192,0)</f>
        <v>9.2460218325351953</v>
      </c>
    </row>
    <row r="193" spans="1:73">
      <c r="A193" s="15">
        <v>45118</v>
      </c>
      <c r="B193" s="441">
        <v>0.28999999999999998</v>
      </c>
      <c r="C193" s="441">
        <v>0.28000000000000003</v>
      </c>
      <c r="D193" s="441">
        <v>0.28000000000000003</v>
      </c>
      <c r="E193" s="441">
        <v>0.28999999999999998</v>
      </c>
      <c r="F193" s="441">
        <v>0.28000000000000003</v>
      </c>
      <c r="G193" s="441">
        <v>0.28999999999999998</v>
      </c>
      <c r="H193" s="441">
        <v>0.28000000000000003</v>
      </c>
      <c r="I193" s="441">
        <v>0.28000000000000003</v>
      </c>
      <c r="J193" s="441">
        <v>0.28999999999999998</v>
      </c>
      <c r="K193" s="441">
        <v>0.28000000000000003</v>
      </c>
      <c r="L193" s="441">
        <v>0.28999999999999998</v>
      </c>
      <c r="M193" s="441">
        <v>0.28000000000000003</v>
      </c>
      <c r="N193" s="441">
        <v>0.28000000000000003</v>
      </c>
      <c r="O193" s="441">
        <v>0.28999999999999998</v>
      </c>
      <c r="P193" s="441">
        <v>0.28999999999999998</v>
      </c>
      <c r="Q193" s="441">
        <v>0.27</v>
      </c>
      <c r="R193" s="441">
        <v>0.28999999999999998</v>
      </c>
      <c r="S193" s="441">
        <v>0.28999999999999998</v>
      </c>
      <c r="T193" s="441">
        <v>0.28000000000000003</v>
      </c>
      <c r="U193" s="441">
        <v>0.28000000000000003</v>
      </c>
      <c r="V193" s="441">
        <v>0.28999999999999998</v>
      </c>
      <c r="W193" s="441">
        <v>0.28000000000000003</v>
      </c>
      <c r="X193" s="441">
        <v>0.28000000000000003</v>
      </c>
      <c r="Y193" s="441">
        <v>0.28999999999999998</v>
      </c>
      <c r="Z193" s="19">
        <f t="shared" si="99"/>
        <v>76.609895183863046</v>
      </c>
      <c r="AA193" s="19">
        <f t="shared" si="100"/>
        <v>73.968174660281562</v>
      </c>
      <c r="AB193" s="19">
        <f t="shared" si="101"/>
        <v>73.968174660281562</v>
      </c>
      <c r="AC193" s="19">
        <f t="shared" si="102"/>
        <v>76.609895183863046</v>
      </c>
      <c r="AD193" s="19">
        <f t="shared" si="103"/>
        <v>73.968174660281562</v>
      </c>
      <c r="AE193" s="19">
        <f t="shared" si="104"/>
        <v>76.609895183863046</v>
      </c>
      <c r="AF193" s="19">
        <f t="shared" si="105"/>
        <v>73.968174660281562</v>
      </c>
      <c r="AG193" s="19">
        <f t="shared" si="106"/>
        <v>73.968174660281562</v>
      </c>
      <c r="AH193" s="19">
        <f t="shared" si="107"/>
        <v>76.609895183863046</v>
      </c>
      <c r="AI193" s="19">
        <f t="shared" si="108"/>
        <v>73.968174660281562</v>
      </c>
      <c r="AJ193" s="19">
        <f t="shared" si="109"/>
        <v>76.609895183863046</v>
      </c>
      <c r="AK193" s="19">
        <f t="shared" si="110"/>
        <v>73.968174660281562</v>
      </c>
      <c r="AL193" s="19">
        <f t="shared" si="111"/>
        <v>73.968174660281562</v>
      </c>
      <c r="AM193" s="19">
        <f t="shared" si="112"/>
        <v>76.609895183863046</v>
      </c>
      <c r="AN193" s="19">
        <f t="shared" si="113"/>
        <v>76.609895183863046</v>
      </c>
      <c r="AO193" s="19">
        <f t="shared" si="114"/>
        <v>71.326454136700079</v>
      </c>
      <c r="AP193" s="19">
        <f t="shared" si="115"/>
        <v>76.609895183863046</v>
      </c>
      <c r="AQ193" s="19">
        <f t="shared" si="116"/>
        <v>76.609895183863046</v>
      </c>
      <c r="AR193" s="19">
        <f t="shared" si="117"/>
        <v>73.968174660281562</v>
      </c>
      <c r="AS193" s="19">
        <f t="shared" si="118"/>
        <v>73.968174660281562</v>
      </c>
      <c r="AT193" s="19">
        <f t="shared" si="119"/>
        <v>76.609895183863046</v>
      </c>
      <c r="AU193" s="19">
        <f t="shared" si="120"/>
        <v>73.968174660281562</v>
      </c>
      <c r="AV193" s="19">
        <f t="shared" si="121"/>
        <v>73.968174660281562</v>
      </c>
      <c r="AW193" s="19">
        <f t="shared" si="122"/>
        <v>76.609895183863046</v>
      </c>
      <c r="AX193" s="18">
        <f>IFERROR(Z193/'Ar-Pa'!B193,0)</f>
        <v>9.5762368979828807</v>
      </c>
      <c r="AY193" s="18">
        <f>IFERROR(AA193/'Ar-Pa'!C193,0)</f>
        <v>9.2460218325351953</v>
      </c>
      <c r="AZ193" s="18">
        <f>IFERROR(AB193/'Ar-Pa'!D193,0)</f>
        <v>9.2460218325351953</v>
      </c>
      <c r="BA193" s="18">
        <f>IFERROR(AC193/'Ar-Pa'!E193,0)</f>
        <v>9.5762368979828807</v>
      </c>
      <c r="BB193" s="18">
        <f>IFERROR(AD193/'Ar-Pa'!F193,0)</f>
        <v>9.2460218325351953</v>
      </c>
      <c r="BC193" s="18">
        <f>IFERROR(AE193/'Ar-Pa'!G193,0)</f>
        <v>9.5762368979828807</v>
      </c>
      <c r="BD193" s="18">
        <f>IFERROR(AF193/'Ar-Pa'!H193,0)</f>
        <v>9.2460218325351953</v>
      </c>
      <c r="BE193" s="18">
        <f>IFERROR(AG193/'Ar-Pa'!I193,0)</f>
        <v>9.2460218325351953</v>
      </c>
      <c r="BF193" s="18">
        <f>IFERROR(AH193/'Ar-Pa'!J193,0)</f>
        <v>9.5762368979828807</v>
      </c>
      <c r="BG193" s="18">
        <f>IFERROR(AI193/'Ar-Pa'!K193,0)</f>
        <v>9.2460218325351953</v>
      </c>
      <c r="BH193" s="18">
        <f>IFERROR(AJ193/'Ar-Pa'!L193,0)</f>
        <v>9.5762368979828807</v>
      </c>
      <c r="BI193" s="18">
        <f>IFERROR(AK193/'Ar-Pa'!M193,0)</f>
        <v>10.566882094325937</v>
      </c>
      <c r="BJ193" s="18">
        <f>IFERROR(AL193/'Ar-Pa'!N193,0)</f>
        <v>10.566882094325937</v>
      </c>
      <c r="BK193" s="18">
        <f>IFERROR(AM193/'Ar-Pa'!O193,0)</f>
        <v>10.944270740551863</v>
      </c>
      <c r="BL193" s="18">
        <f>IFERROR(AN193/'Ar-Pa'!P193,0)</f>
        <v>10.944270740551863</v>
      </c>
      <c r="BM193" s="18">
        <f>IFERROR(AO193/'Ar-Pa'!Q193,0)</f>
        <v>8.9158067670875099</v>
      </c>
      <c r="BN193" s="18">
        <f>IFERROR(AP193/'Ar-Pa'!R193,0)</f>
        <v>9.5762368979828807</v>
      </c>
      <c r="BO193" s="18">
        <f>IFERROR(AQ193/'Ar-Pa'!S193,0)</f>
        <v>9.5762368979828807</v>
      </c>
      <c r="BP193" s="18">
        <f>IFERROR(AR193/'Ar-Pa'!T193,0)</f>
        <v>9.2460218325351953</v>
      </c>
      <c r="BQ193" s="18">
        <f>IFERROR(AS193/'Ar-Pa'!U193,0)</f>
        <v>9.2460218325351953</v>
      </c>
      <c r="BR193" s="18">
        <f>IFERROR(AT193/'Ar-Pa'!V193,0)</f>
        <v>9.5762368979828807</v>
      </c>
      <c r="BS193" s="18">
        <f>IFERROR(AU193/'Ar-Pa'!W193,0)</f>
        <v>9.2460218325351953</v>
      </c>
      <c r="BT193" s="18">
        <f>IFERROR(AV193/'Ar-Pa'!X193,0)</f>
        <v>9.2460218325351953</v>
      </c>
      <c r="BU193" s="18">
        <f>IFERROR(AW193/'Ar-Pa'!Y193,0)</f>
        <v>9.5762368979828807</v>
      </c>
    </row>
    <row r="194" spans="1:73">
      <c r="A194" s="15">
        <v>45119</v>
      </c>
      <c r="B194" s="441">
        <v>0.28999999999999998</v>
      </c>
      <c r="C194" s="441">
        <v>0.3</v>
      </c>
      <c r="D194" s="441">
        <v>0.3</v>
      </c>
      <c r="E194" s="441">
        <v>0.3</v>
      </c>
      <c r="F194" s="441">
        <v>0.28999999999999998</v>
      </c>
      <c r="G194" s="441">
        <v>0.28999999999999998</v>
      </c>
      <c r="H194" s="441">
        <v>0.3</v>
      </c>
      <c r="I194" s="441">
        <v>0.3</v>
      </c>
      <c r="J194" s="441">
        <v>0.28999999999999998</v>
      </c>
      <c r="K194" s="441">
        <v>0.3</v>
      </c>
      <c r="L194" s="441">
        <v>0.31</v>
      </c>
      <c r="M194" s="441">
        <v>0.28999999999999998</v>
      </c>
      <c r="N194" s="441">
        <v>0.3</v>
      </c>
      <c r="O194" s="441">
        <v>0.3</v>
      </c>
      <c r="P194" s="441">
        <v>0.28999999999999998</v>
      </c>
      <c r="Q194" s="441">
        <v>0.31</v>
      </c>
      <c r="R194" s="441">
        <v>0.28999999999999998</v>
      </c>
      <c r="S194" s="441">
        <v>0.28999999999999998</v>
      </c>
      <c r="T194" s="441">
        <v>0.3</v>
      </c>
      <c r="U194" s="441">
        <v>0.3</v>
      </c>
      <c r="V194" s="441">
        <v>0.3</v>
      </c>
      <c r="W194" s="441">
        <v>0.3</v>
      </c>
      <c r="X194" s="441">
        <v>0.3</v>
      </c>
      <c r="Y194" s="441">
        <v>0.3</v>
      </c>
      <c r="Z194" s="19">
        <f t="shared" si="99"/>
        <v>76.609895183863046</v>
      </c>
      <c r="AA194" s="19">
        <f t="shared" si="100"/>
        <v>79.251615707444529</v>
      </c>
      <c r="AB194" s="19">
        <f t="shared" si="101"/>
        <v>79.251615707444529</v>
      </c>
      <c r="AC194" s="19">
        <f t="shared" si="102"/>
        <v>79.251615707444529</v>
      </c>
      <c r="AD194" s="19">
        <f t="shared" si="103"/>
        <v>76.609895183863046</v>
      </c>
      <c r="AE194" s="19">
        <f t="shared" si="104"/>
        <v>76.609895183863046</v>
      </c>
      <c r="AF194" s="19">
        <f t="shared" si="105"/>
        <v>79.251615707444529</v>
      </c>
      <c r="AG194" s="19">
        <f t="shared" si="106"/>
        <v>79.251615707444529</v>
      </c>
      <c r="AH194" s="19">
        <f t="shared" si="107"/>
        <v>76.609895183863046</v>
      </c>
      <c r="AI194" s="19">
        <f t="shared" si="108"/>
        <v>79.251615707444529</v>
      </c>
      <c r="AJ194" s="19">
        <f t="shared" si="109"/>
        <v>81.893336231026012</v>
      </c>
      <c r="AK194" s="19">
        <f t="shared" si="110"/>
        <v>76.609895183863046</v>
      </c>
      <c r="AL194" s="19">
        <f t="shared" si="111"/>
        <v>79.251615707444529</v>
      </c>
      <c r="AM194" s="19">
        <f t="shared" si="112"/>
        <v>79.251615707444529</v>
      </c>
      <c r="AN194" s="19">
        <f t="shared" si="113"/>
        <v>76.609895183863046</v>
      </c>
      <c r="AO194" s="19">
        <f t="shared" si="114"/>
        <v>81.893336231026012</v>
      </c>
      <c r="AP194" s="19">
        <f t="shared" si="115"/>
        <v>76.609895183863046</v>
      </c>
      <c r="AQ194" s="19">
        <f t="shared" si="116"/>
        <v>76.609895183863046</v>
      </c>
      <c r="AR194" s="19">
        <f t="shared" si="117"/>
        <v>79.251615707444529</v>
      </c>
      <c r="AS194" s="19">
        <f t="shared" si="118"/>
        <v>79.251615707444529</v>
      </c>
      <c r="AT194" s="19">
        <f t="shared" si="119"/>
        <v>79.251615707444529</v>
      </c>
      <c r="AU194" s="19">
        <f t="shared" si="120"/>
        <v>79.251615707444529</v>
      </c>
      <c r="AV194" s="19">
        <f t="shared" si="121"/>
        <v>79.251615707444529</v>
      </c>
      <c r="AW194" s="19">
        <f t="shared" si="122"/>
        <v>79.251615707444529</v>
      </c>
      <c r="AX194" s="18">
        <f>IFERROR(Z194/'Ar-Pa'!B194,0)</f>
        <v>9.5762368979828807</v>
      </c>
      <c r="AY194" s="18">
        <f>IFERROR(AA194/'Ar-Pa'!C194,0)</f>
        <v>9.9064519634305661</v>
      </c>
      <c r="AZ194" s="18">
        <f>IFERROR(AB194/'Ar-Pa'!D194,0)</f>
        <v>9.9064519634305661</v>
      </c>
      <c r="BA194" s="18">
        <f>IFERROR(AC194/'Ar-Pa'!E194,0)</f>
        <v>9.9064519634305661</v>
      </c>
      <c r="BB194" s="18">
        <f>IFERROR(AD194/'Ar-Pa'!F194,0)</f>
        <v>9.5762368979828807</v>
      </c>
      <c r="BC194" s="18">
        <f>IFERROR(AE194/'Ar-Pa'!G194,0)</f>
        <v>9.5762368979828807</v>
      </c>
      <c r="BD194" s="18">
        <f>IFERROR(AF194/'Ar-Pa'!H194,0)</f>
        <v>9.9064519634305661</v>
      </c>
      <c r="BE194" s="18">
        <f>IFERROR(AG194/'Ar-Pa'!I194,0)</f>
        <v>9.9064519634305661</v>
      </c>
      <c r="BF194" s="18">
        <f>IFERROR(AH194/'Ar-Pa'!J194,0)</f>
        <v>9.5762368979828807</v>
      </c>
      <c r="BG194" s="18">
        <f>IFERROR(AI194/'Ar-Pa'!K194,0)</f>
        <v>9.9064519634305661</v>
      </c>
      <c r="BH194" s="18">
        <f>IFERROR(AJ194/'Ar-Pa'!L194,0)</f>
        <v>11.699048033003717</v>
      </c>
      <c r="BI194" s="18">
        <f>IFERROR(AK194/'Ar-Pa'!M194,0)</f>
        <v>10.944270740551863</v>
      </c>
      <c r="BJ194" s="18">
        <f>IFERROR(AL194/'Ar-Pa'!N194,0)</f>
        <v>11.321659386777791</v>
      </c>
      <c r="BK194" s="18">
        <f>IFERROR(AM194/'Ar-Pa'!O194,0)</f>
        <v>9.9064519634305661</v>
      </c>
      <c r="BL194" s="18">
        <f>IFERROR(AN194/'Ar-Pa'!P194,0)</f>
        <v>9.5762368979828807</v>
      </c>
      <c r="BM194" s="18">
        <f>IFERROR(AO194/'Ar-Pa'!Q194,0)</f>
        <v>10.236667028878252</v>
      </c>
      <c r="BN194" s="18">
        <f>IFERROR(AP194/'Ar-Pa'!R194,0)</f>
        <v>9.5762368979828807</v>
      </c>
      <c r="BO194" s="18">
        <f>IFERROR(AQ194/'Ar-Pa'!S194,0)</f>
        <v>9.5762368979828807</v>
      </c>
      <c r="BP194" s="18">
        <f>IFERROR(AR194/'Ar-Pa'!T194,0)</f>
        <v>9.9064519634305661</v>
      </c>
      <c r="BQ194" s="18">
        <f>IFERROR(AS194/'Ar-Pa'!U194,0)</f>
        <v>9.9064519634305661</v>
      </c>
      <c r="BR194" s="18">
        <f>IFERROR(AT194/'Ar-Pa'!V194,0)</f>
        <v>9.9064519634305661</v>
      </c>
      <c r="BS194" s="18">
        <f>IFERROR(AU194/'Ar-Pa'!W194,0)</f>
        <v>9.9064519634305661</v>
      </c>
      <c r="BT194" s="18">
        <f>IFERROR(AV194/'Ar-Pa'!X194,0)</f>
        <v>9.9064519634305661</v>
      </c>
      <c r="BU194" s="18">
        <f>IFERROR(AW194/'Ar-Pa'!Y194,0)</f>
        <v>9.9064519634305661</v>
      </c>
    </row>
    <row r="195" spans="1:73">
      <c r="A195" s="15">
        <v>45120</v>
      </c>
      <c r="B195" s="441">
        <v>0.31</v>
      </c>
      <c r="C195" s="441">
        <v>0.31</v>
      </c>
      <c r="D195" s="441">
        <v>0.3</v>
      </c>
      <c r="E195" s="441">
        <v>0.32</v>
      </c>
      <c r="F195" s="441">
        <v>0.31</v>
      </c>
      <c r="G195" s="441">
        <v>0.31</v>
      </c>
      <c r="H195" s="441">
        <v>0.31</v>
      </c>
      <c r="I195" s="441">
        <v>0.31</v>
      </c>
      <c r="J195" s="441">
        <v>0.31</v>
      </c>
      <c r="K195" s="441">
        <v>0.32</v>
      </c>
      <c r="L195" s="441">
        <v>0.3</v>
      </c>
      <c r="M195" s="441">
        <v>0.32</v>
      </c>
      <c r="N195" s="441">
        <v>0.3</v>
      </c>
      <c r="O195" s="441">
        <v>0.31</v>
      </c>
      <c r="P195" s="441">
        <v>0.3</v>
      </c>
      <c r="Q195" s="441">
        <v>0.31</v>
      </c>
      <c r="R195" s="441">
        <v>0.31</v>
      </c>
      <c r="S195" s="441">
        <v>0.31</v>
      </c>
      <c r="T195" s="441">
        <v>0.3</v>
      </c>
      <c r="U195" s="441">
        <v>0.32</v>
      </c>
      <c r="V195" s="441">
        <v>0.31</v>
      </c>
      <c r="W195" s="441">
        <v>0.31</v>
      </c>
      <c r="X195" s="441">
        <v>0.31</v>
      </c>
      <c r="Y195" s="441">
        <v>0.31</v>
      </c>
      <c r="Z195" s="19">
        <f t="shared" si="99"/>
        <v>81.893336231026012</v>
      </c>
      <c r="AA195" s="19">
        <f t="shared" si="100"/>
        <v>81.893336231026012</v>
      </c>
      <c r="AB195" s="19">
        <f t="shared" si="101"/>
        <v>79.251615707444529</v>
      </c>
      <c r="AC195" s="19">
        <f t="shared" si="102"/>
        <v>84.535056754607496</v>
      </c>
      <c r="AD195" s="19">
        <f t="shared" si="103"/>
        <v>81.893336231026012</v>
      </c>
      <c r="AE195" s="19">
        <f t="shared" si="104"/>
        <v>81.893336231026012</v>
      </c>
      <c r="AF195" s="19">
        <f t="shared" si="105"/>
        <v>81.893336231026012</v>
      </c>
      <c r="AG195" s="19">
        <f t="shared" si="106"/>
        <v>81.893336231026012</v>
      </c>
      <c r="AH195" s="19">
        <f t="shared" si="107"/>
        <v>81.893336231026012</v>
      </c>
      <c r="AI195" s="19">
        <f t="shared" si="108"/>
        <v>84.535056754607496</v>
      </c>
      <c r="AJ195" s="19">
        <f t="shared" si="109"/>
        <v>79.251615707444529</v>
      </c>
      <c r="AK195" s="19">
        <f t="shared" si="110"/>
        <v>84.535056754607496</v>
      </c>
      <c r="AL195" s="19">
        <f t="shared" si="111"/>
        <v>79.251615707444529</v>
      </c>
      <c r="AM195" s="19">
        <f t="shared" si="112"/>
        <v>81.893336231026012</v>
      </c>
      <c r="AN195" s="19">
        <f t="shared" si="113"/>
        <v>79.251615707444529</v>
      </c>
      <c r="AO195" s="19">
        <f t="shared" si="114"/>
        <v>81.893336231026012</v>
      </c>
      <c r="AP195" s="19">
        <f t="shared" si="115"/>
        <v>81.893336231026012</v>
      </c>
      <c r="AQ195" s="19">
        <f t="shared" si="116"/>
        <v>81.893336231026012</v>
      </c>
      <c r="AR195" s="19">
        <f t="shared" si="117"/>
        <v>79.251615707444529</v>
      </c>
      <c r="AS195" s="19">
        <f t="shared" si="118"/>
        <v>84.535056754607496</v>
      </c>
      <c r="AT195" s="19">
        <f t="shared" si="119"/>
        <v>81.893336231026012</v>
      </c>
      <c r="AU195" s="19">
        <f t="shared" si="120"/>
        <v>81.893336231026012</v>
      </c>
      <c r="AV195" s="19">
        <f t="shared" si="121"/>
        <v>81.893336231026012</v>
      </c>
      <c r="AW195" s="19">
        <f t="shared" si="122"/>
        <v>81.893336231026012</v>
      </c>
      <c r="AX195" s="18">
        <f>IFERROR(Z195/'Ar-Pa'!B195,0)</f>
        <v>9.0992595812251125</v>
      </c>
      <c r="AY195" s="18">
        <f>IFERROR(AA195/'Ar-Pa'!C195,0)</f>
        <v>9.0992595812251125</v>
      </c>
      <c r="AZ195" s="18">
        <f>IFERROR(AB195/'Ar-Pa'!D195,0)</f>
        <v>9.9064519634305661</v>
      </c>
      <c r="BA195" s="18">
        <f>IFERROR(AC195/'Ar-Pa'!E195,0)</f>
        <v>10.566882094325937</v>
      </c>
      <c r="BB195" s="18">
        <f>IFERROR(AD195/'Ar-Pa'!F195,0)</f>
        <v>10.236667028878252</v>
      </c>
      <c r="BC195" s="18">
        <f>IFERROR(AE195/'Ar-Pa'!G195,0)</f>
        <v>10.236667028878252</v>
      </c>
      <c r="BD195" s="18">
        <f>IFERROR(AF195/'Ar-Pa'!H195,0)</f>
        <v>10.236667028878252</v>
      </c>
      <c r="BE195" s="18">
        <f>IFERROR(AG195/'Ar-Pa'!I195,0)</f>
        <v>10.236667028878252</v>
      </c>
      <c r="BF195" s="18">
        <f>IFERROR(AH195/'Ar-Pa'!J195,0)</f>
        <v>10.236667028878252</v>
      </c>
      <c r="BG195" s="18">
        <f>IFERROR(AI195/'Ar-Pa'!K195,0)</f>
        <v>10.566882094325937</v>
      </c>
      <c r="BH195" s="18">
        <f>IFERROR(AJ195/'Ar-Pa'!L195,0)</f>
        <v>9.9064519634305661</v>
      </c>
      <c r="BI195" s="18">
        <f>IFERROR(AK195/'Ar-Pa'!M195,0)</f>
        <v>12.076436679229642</v>
      </c>
      <c r="BJ195" s="18">
        <f>IFERROR(AL195/'Ar-Pa'!N195,0)</f>
        <v>11.321659386777791</v>
      </c>
      <c r="BK195" s="18">
        <f>IFERROR(AM195/'Ar-Pa'!O195,0)</f>
        <v>11.699048033003717</v>
      </c>
      <c r="BL195" s="18">
        <f>IFERROR(AN195/'Ar-Pa'!P195,0)</f>
        <v>9.9064519634305661</v>
      </c>
      <c r="BM195" s="18">
        <f>IFERROR(AO195/'Ar-Pa'!Q195,0)</f>
        <v>9.0992595812251125</v>
      </c>
      <c r="BN195" s="18">
        <f>IFERROR(AP195/'Ar-Pa'!R195,0)</f>
        <v>10.236667028878252</v>
      </c>
      <c r="BO195" s="18">
        <f>IFERROR(AQ195/'Ar-Pa'!S195,0)</f>
        <v>10.236667028878252</v>
      </c>
      <c r="BP195" s="18">
        <f>IFERROR(AR195/'Ar-Pa'!T195,0)</f>
        <v>8.8057350786049469</v>
      </c>
      <c r="BQ195" s="18">
        <f>IFERROR(AS195/'Ar-Pa'!U195,0)</f>
        <v>9.3927840838452781</v>
      </c>
      <c r="BR195" s="18">
        <f>IFERROR(AT195/'Ar-Pa'!V195,0)</f>
        <v>9.0992595812251125</v>
      </c>
      <c r="BS195" s="18">
        <f>IFERROR(AU195/'Ar-Pa'!W195,0)</f>
        <v>9.0992595812251125</v>
      </c>
      <c r="BT195" s="18">
        <f>IFERROR(AV195/'Ar-Pa'!X195,0)</f>
        <v>9.0992595812251125</v>
      </c>
      <c r="BU195" s="18">
        <f>IFERROR(AW195/'Ar-Pa'!Y195,0)</f>
        <v>9.0992595812251125</v>
      </c>
    </row>
    <row r="196" spans="1:73">
      <c r="A196" s="15">
        <v>45121</v>
      </c>
      <c r="B196" s="441">
        <v>0.25</v>
      </c>
      <c r="C196" s="441">
        <v>0.25</v>
      </c>
      <c r="D196" s="441">
        <v>0.25</v>
      </c>
      <c r="E196" s="441">
        <v>0.25</v>
      </c>
      <c r="F196" s="441">
        <v>0.25</v>
      </c>
      <c r="G196" s="441">
        <v>0.25</v>
      </c>
      <c r="H196" s="441">
        <v>0.25</v>
      </c>
      <c r="I196" s="441">
        <v>0.25</v>
      </c>
      <c r="J196" s="441">
        <v>0.25</v>
      </c>
      <c r="K196" s="441">
        <v>0.25</v>
      </c>
      <c r="L196" s="441">
        <v>0.25</v>
      </c>
      <c r="M196" s="441">
        <v>0.25</v>
      </c>
      <c r="N196" s="441">
        <v>0.25</v>
      </c>
      <c r="O196" s="441">
        <v>0.25</v>
      </c>
      <c r="P196" s="441">
        <v>0.25</v>
      </c>
      <c r="Q196" s="441">
        <v>0.25</v>
      </c>
      <c r="R196" s="441">
        <v>0.25</v>
      </c>
      <c r="S196" s="441">
        <v>0.26</v>
      </c>
      <c r="T196" s="441">
        <v>0.24</v>
      </c>
      <c r="U196" s="441">
        <v>0.26</v>
      </c>
      <c r="V196" s="441">
        <v>0.25</v>
      </c>
      <c r="W196" s="441">
        <v>0.25</v>
      </c>
      <c r="X196" s="441">
        <v>0.25</v>
      </c>
      <c r="Y196" s="441">
        <v>0.25</v>
      </c>
      <c r="Z196" s="19">
        <f t="shared" si="99"/>
        <v>66.043013089537112</v>
      </c>
      <c r="AA196" s="19">
        <f t="shared" si="100"/>
        <v>66.043013089537112</v>
      </c>
      <c r="AB196" s="19">
        <f t="shared" si="101"/>
        <v>66.043013089537112</v>
      </c>
      <c r="AC196" s="19">
        <f t="shared" si="102"/>
        <v>66.043013089537112</v>
      </c>
      <c r="AD196" s="19">
        <f t="shared" si="103"/>
        <v>66.043013089537112</v>
      </c>
      <c r="AE196" s="19">
        <f t="shared" si="104"/>
        <v>66.043013089537112</v>
      </c>
      <c r="AF196" s="19">
        <f t="shared" si="105"/>
        <v>66.043013089537112</v>
      </c>
      <c r="AG196" s="19">
        <f t="shared" si="106"/>
        <v>66.043013089537112</v>
      </c>
      <c r="AH196" s="19">
        <f t="shared" si="107"/>
        <v>66.043013089537112</v>
      </c>
      <c r="AI196" s="19">
        <f t="shared" si="108"/>
        <v>66.043013089537112</v>
      </c>
      <c r="AJ196" s="19">
        <f t="shared" si="109"/>
        <v>66.043013089537112</v>
      </c>
      <c r="AK196" s="19">
        <f t="shared" si="110"/>
        <v>66.043013089537112</v>
      </c>
      <c r="AL196" s="19">
        <f t="shared" si="111"/>
        <v>66.043013089537112</v>
      </c>
      <c r="AM196" s="19">
        <f t="shared" si="112"/>
        <v>66.043013089537112</v>
      </c>
      <c r="AN196" s="19">
        <f t="shared" si="113"/>
        <v>66.043013089537112</v>
      </c>
      <c r="AO196" s="19">
        <f t="shared" si="114"/>
        <v>66.043013089537112</v>
      </c>
      <c r="AP196" s="19">
        <f t="shared" si="115"/>
        <v>66.043013089537112</v>
      </c>
      <c r="AQ196" s="19">
        <f t="shared" si="116"/>
        <v>68.684733613118595</v>
      </c>
      <c r="AR196" s="19">
        <f t="shared" si="117"/>
        <v>63.401292565955622</v>
      </c>
      <c r="AS196" s="19">
        <f t="shared" si="118"/>
        <v>68.684733613118595</v>
      </c>
      <c r="AT196" s="19">
        <f t="shared" si="119"/>
        <v>66.043013089537112</v>
      </c>
      <c r="AU196" s="19">
        <f t="shared" si="120"/>
        <v>66.043013089537112</v>
      </c>
      <c r="AV196" s="19">
        <f t="shared" si="121"/>
        <v>66.043013089537112</v>
      </c>
      <c r="AW196" s="19">
        <f t="shared" si="122"/>
        <v>66.043013089537112</v>
      </c>
      <c r="AX196" s="18">
        <f>IFERROR(Z196/'Ar-Pa'!B196,0)</f>
        <v>8.255376636192139</v>
      </c>
      <c r="AY196" s="18">
        <f>IFERROR(AA196/'Ar-Pa'!C196,0)</f>
        <v>8.255376636192139</v>
      </c>
      <c r="AZ196" s="18">
        <f>IFERROR(AB196/'Ar-Pa'!D196,0)</f>
        <v>8.255376636192139</v>
      </c>
      <c r="BA196" s="18">
        <f>IFERROR(AC196/'Ar-Pa'!E196,0)</f>
        <v>8.255376636192139</v>
      </c>
      <c r="BB196" s="18">
        <f>IFERROR(AD196/'Ar-Pa'!F196,0)</f>
        <v>8.255376636192139</v>
      </c>
      <c r="BC196" s="18">
        <f>IFERROR(AE196/'Ar-Pa'!G196,0)</f>
        <v>8.255376636192139</v>
      </c>
      <c r="BD196" s="18">
        <f>IFERROR(AF196/'Ar-Pa'!H196,0)</f>
        <v>8.255376636192139</v>
      </c>
      <c r="BE196" s="18">
        <f>IFERROR(AG196/'Ar-Pa'!I196,0)</f>
        <v>8.255376636192139</v>
      </c>
      <c r="BF196" s="18">
        <f>IFERROR(AH196/'Ar-Pa'!J196,0)</f>
        <v>8.255376636192139</v>
      </c>
      <c r="BG196" s="18">
        <f>IFERROR(AI196/'Ar-Pa'!K196,0)</f>
        <v>8.255376636192139</v>
      </c>
      <c r="BH196" s="18">
        <f>IFERROR(AJ196/'Ar-Pa'!L196,0)</f>
        <v>8.255376636192139</v>
      </c>
      <c r="BI196" s="18">
        <f>IFERROR(AK196/'Ar-Pa'!M196,0)</f>
        <v>8.255376636192139</v>
      </c>
      <c r="BJ196" s="18">
        <f>IFERROR(AL196/'Ar-Pa'!N196,0)</f>
        <v>8.255376636192139</v>
      </c>
      <c r="BK196" s="18">
        <f>IFERROR(AM196/'Ar-Pa'!O196,0)</f>
        <v>8.255376636192139</v>
      </c>
      <c r="BL196" s="18">
        <f>IFERROR(AN196/'Ar-Pa'!P196,0)</f>
        <v>8.255376636192139</v>
      </c>
      <c r="BM196" s="18">
        <f>IFERROR(AO196/'Ar-Pa'!Q196,0)</f>
        <v>8.255376636192139</v>
      </c>
      <c r="BN196" s="18">
        <f>IFERROR(AP196/'Ar-Pa'!R196,0)</f>
        <v>8.255376636192139</v>
      </c>
      <c r="BO196" s="18">
        <f>IFERROR(AQ196/'Ar-Pa'!S196,0)</f>
        <v>8.5855917016398244</v>
      </c>
      <c r="BP196" s="18">
        <f>IFERROR(AR196/'Ar-Pa'!T196,0)</f>
        <v>7.9251615707444527</v>
      </c>
      <c r="BQ196" s="18">
        <f>IFERROR(AS196/'Ar-Pa'!U196,0)</f>
        <v>8.5855917016398244</v>
      </c>
      <c r="BR196" s="18">
        <f>IFERROR(AT196/'Ar-Pa'!V196,0)</f>
        <v>8.255376636192139</v>
      </c>
      <c r="BS196" s="18">
        <f>IFERROR(AU196/'Ar-Pa'!W196,0)</f>
        <v>8.255376636192139</v>
      </c>
      <c r="BT196" s="18">
        <f>IFERROR(AV196/'Ar-Pa'!X196,0)</f>
        <v>8.255376636192139</v>
      </c>
      <c r="BU196" s="18">
        <f>IFERROR(AW196/'Ar-Pa'!Y196,0)</f>
        <v>8.255376636192139</v>
      </c>
    </row>
    <row r="197" spans="1:73">
      <c r="A197" s="15">
        <v>45122</v>
      </c>
      <c r="B197" s="441">
        <v>0.25</v>
      </c>
      <c r="C197" s="441">
        <v>0.25</v>
      </c>
      <c r="D197" s="441">
        <v>0.25</v>
      </c>
      <c r="E197" s="441">
        <v>0.26</v>
      </c>
      <c r="F197" s="441">
        <v>0.26</v>
      </c>
      <c r="G197" s="441">
        <v>0.26</v>
      </c>
      <c r="H197" s="441">
        <v>0.26</v>
      </c>
      <c r="I197" s="441">
        <v>0.26</v>
      </c>
      <c r="J197" s="441">
        <v>0.25</v>
      </c>
      <c r="K197" s="441">
        <v>0.26</v>
      </c>
      <c r="L197" s="441">
        <v>0.26</v>
      </c>
      <c r="M197" s="441">
        <v>0.25</v>
      </c>
      <c r="N197" s="441">
        <v>0.24</v>
      </c>
      <c r="O197" s="441">
        <v>0.25</v>
      </c>
      <c r="P197" s="441">
        <v>0.25</v>
      </c>
      <c r="Q197" s="441">
        <v>0.25</v>
      </c>
      <c r="R197" s="441">
        <v>0.25</v>
      </c>
      <c r="S197" s="441">
        <v>0.26</v>
      </c>
      <c r="T197" s="441">
        <v>0.26</v>
      </c>
      <c r="U197" s="441">
        <v>0.25</v>
      </c>
      <c r="V197" s="441">
        <v>0.25</v>
      </c>
      <c r="W197" s="441">
        <v>0.26</v>
      </c>
      <c r="X197" s="441">
        <v>0.26</v>
      </c>
      <c r="Y197" s="441">
        <v>0.26</v>
      </c>
      <c r="Z197" s="19">
        <f t="shared" si="99"/>
        <v>66.043013089537112</v>
      </c>
      <c r="AA197" s="19">
        <f t="shared" si="100"/>
        <v>66.043013089537112</v>
      </c>
      <c r="AB197" s="19">
        <f t="shared" si="101"/>
        <v>66.043013089537112</v>
      </c>
      <c r="AC197" s="19">
        <f t="shared" si="102"/>
        <v>68.684733613118595</v>
      </c>
      <c r="AD197" s="19">
        <f t="shared" si="103"/>
        <v>68.684733613118595</v>
      </c>
      <c r="AE197" s="19">
        <f t="shared" si="104"/>
        <v>68.684733613118595</v>
      </c>
      <c r="AF197" s="19">
        <f t="shared" si="105"/>
        <v>68.684733613118595</v>
      </c>
      <c r="AG197" s="19">
        <f t="shared" si="106"/>
        <v>68.684733613118595</v>
      </c>
      <c r="AH197" s="19">
        <f t="shared" si="107"/>
        <v>66.043013089537112</v>
      </c>
      <c r="AI197" s="19">
        <f t="shared" si="108"/>
        <v>68.684733613118595</v>
      </c>
      <c r="AJ197" s="19">
        <f t="shared" si="109"/>
        <v>68.684733613118595</v>
      </c>
      <c r="AK197" s="19">
        <f t="shared" si="110"/>
        <v>66.043013089537112</v>
      </c>
      <c r="AL197" s="19">
        <f t="shared" si="111"/>
        <v>63.401292565955622</v>
      </c>
      <c r="AM197" s="19">
        <f t="shared" si="112"/>
        <v>66.043013089537112</v>
      </c>
      <c r="AN197" s="19">
        <f t="shared" si="113"/>
        <v>66.043013089537112</v>
      </c>
      <c r="AO197" s="19">
        <f t="shared" si="114"/>
        <v>66.043013089537112</v>
      </c>
      <c r="AP197" s="19">
        <f t="shared" si="115"/>
        <v>66.043013089537112</v>
      </c>
      <c r="AQ197" s="19">
        <f t="shared" si="116"/>
        <v>68.684733613118595</v>
      </c>
      <c r="AR197" s="19">
        <f t="shared" si="117"/>
        <v>68.684733613118595</v>
      </c>
      <c r="AS197" s="19">
        <f t="shared" si="118"/>
        <v>66.043013089537112</v>
      </c>
      <c r="AT197" s="19">
        <f t="shared" si="119"/>
        <v>66.043013089537112</v>
      </c>
      <c r="AU197" s="19">
        <f t="shared" si="120"/>
        <v>68.684733613118595</v>
      </c>
      <c r="AV197" s="19">
        <f t="shared" si="121"/>
        <v>68.684733613118595</v>
      </c>
      <c r="AW197" s="19">
        <f t="shared" si="122"/>
        <v>68.684733613118595</v>
      </c>
      <c r="AX197" s="18">
        <f>IFERROR(Z197/'Ar-Pa'!B197,0)</f>
        <v>9.4347161556481591</v>
      </c>
      <c r="AY197" s="18">
        <f>IFERROR(AA197/'Ar-Pa'!C197,0)</f>
        <v>9.4347161556481591</v>
      </c>
      <c r="AZ197" s="18">
        <f>IFERROR(AB197/'Ar-Pa'!D197,0)</f>
        <v>9.4347161556481591</v>
      </c>
      <c r="BA197" s="18">
        <f>IFERROR(AC197/'Ar-Pa'!E197,0)</f>
        <v>9.8121048018740851</v>
      </c>
      <c r="BB197" s="18">
        <f>IFERROR(AD197/'Ar-Pa'!F197,0)</f>
        <v>9.8121048018740851</v>
      </c>
      <c r="BC197" s="18">
        <f>IFERROR(AE197/'Ar-Pa'!G197,0)</f>
        <v>9.8121048018740851</v>
      </c>
      <c r="BD197" s="18">
        <f>IFERROR(AF197/'Ar-Pa'!H197,0)</f>
        <v>9.8121048018740851</v>
      </c>
      <c r="BE197" s="18">
        <f>IFERROR(AG197/'Ar-Pa'!I197,0)</f>
        <v>9.8121048018740851</v>
      </c>
      <c r="BF197" s="18">
        <f>IFERROR(AH197/'Ar-Pa'!J197,0)</f>
        <v>9.4347161556481591</v>
      </c>
      <c r="BG197" s="18">
        <f>IFERROR(AI197/'Ar-Pa'!K197,0)</f>
        <v>9.8121048018740851</v>
      </c>
      <c r="BH197" s="18">
        <f>IFERROR(AJ197/'Ar-Pa'!L197,0)</f>
        <v>9.8121048018740851</v>
      </c>
      <c r="BI197" s="18">
        <f>IFERROR(AK197/'Ar-Pa'!M197,0)</f>
        <v>9.4347161556481591</v>
      </c>
      <c r="BJ197" s="18">
        <f>IFERROR(AL197/'Ar-Pa'!N197,0)</f>
        <v>10.566882094325937</v>
      </c>
      <c r="BK197" s="18">
        <f>IFERROR(AM197/'Ar-Pa'!O197,0)</f>
        <v>9.4347161556481591</v>
      </c>
      <c r="BL197" s="18">
        <f>IFERROR(AN197/'Ar-Pa'!P197,0)</f>
        <v>9.4347161556481591</v>
      </c>
      <c r="BM197" s="18">
        <f>IFERROR(AO197/'Ar-Pa'!Q197,0)</f>
        <v>9.4347161556481591</v>
      </c>
      <c r="BN197" s="18">
        <f>IFERROR(AP197/'Ar-Pa'!R197,0)</f>
        <v>8.255376636192139</v>
      </c>
      <c r="BO197" s="18">
        <f>IFERROR(AQ197/'Ar-Pa'!S197,0)</f>
        <v>8.5855917016398244</v>
      </c>
      <c r="BP197" s="18">
        <f>IFERROR(AR197/'Ar-Pa'!T197,0)</f>
        <v>8.5855917016398244</v>
      </c>
      <c r="BQ197" s="18">
        <f>IFERROR(AS197/'Ar-Pa'!U197,0)</f>
        <v>8.255376636192139</v>
      </c>
      <c r="BR197" s="18">
        <f>IFERROR(AT197/'Ar-Pa'!V197,0)</f>
        <v>8.255376636192139</v>
      </c>
      <c r="BS197" s="18">
        <f>IFERROR(AU197/'Ar-Pa'!W197,0)</f>
        <v>8.5855917016398244</v>
      </c>
      <c r="BT197" s="18">
        <f>IFERROR(AV197/'Ar-Pa'!X197,0)</f>
        <v>8.5855917016398244</v>
      </c>
      <c r="BU197" s="18">
        <f>IFERROR(AW197/'Ar-Pa'!Y197,0)</f>
        <v>8.5855917016398244</v>
      </c>
    </row>
    <row r="198" spans="1:73">
      <c r="A198" s="15">
        <v>45123</v>
      </c>
      <c r="B198" s="441">
        <v>0.26</v>
      </c>
      <c r="C198" s="441">
        <v>0.25</v>
      </c>
      <c r="D198" s="441">
        <v>0.28000000000000003</v>
      </c>
      <c r="E198" s="441">
        <v>0.28000000000000003</v>
      </c>
      <c r="F198" s="441">
        <v>0.28000000000000003</v>
      </c>
      <c r="G198" s="441">
        <v>0.28000000000000003</v>
      </c>
      <c r="H198" s="441">
        <v>0.28000000000000003</v>
      </c>
      <c r="I198" s="441">
        <v>0.28000000000000003</v>
      </c>
      <c r="J198" s="441">
        <v>0.28000000000000003</v>
      </c>
      <c r="K198" s="441">
        <v>0.28000000000000003</v>
      </c>
      <c r="L198" s="441">
        <v>0.28000000000000003</v>
      </c>
      <c r="M198" s="441">
        <v>0.28000000000000003</v>
      </c>
      <c r="N198" s="441">
        <v>0.28000000000000003</v>
      </c>
      <c r="O198" s="441">
        <v>0.28000000000000003</v>
      </c>
      <c r="P198" s="441">
        <v>0.28000000000000003</v>
      </c>
      <c r="Q198" s="441">
        <v>0.28000000000000003</v>
      </c>
      <c r="R198" s="441">
        <v>0.28000000000000003</v>
      </c>
      <c r="S198" s="441">
        <v>0.28000000000000003</v>
      </c>
      <c r="T198" s="441">
        <v>0.32</v>
      </c>
      <c r="U198" s="441">
        <v>0.28000000000000003</v>
      </c>
      <c r="V198" s="441">
        <v>0.27</v>
      </c>
      <c r="W198" s="441">
        <v>0.28000000000000003</v>
      </c>
      <c r="X198" s="441">
        <v>0.28000000000000003</v>
      </c>
      <c r="Y198" s="441">
        <v>0.28000000000000003</v>
      </c>
      <c r="Z198" s="19">
        <f t="shared" si="99"/>
        <v>68.684733613118595</v>
      </c>
      <c r="AA198" s="19">
        <f t="shared" si="100"/>
        <v>66.043013089537112</v>
      </c>
      <c r="AB198" s="19">
        <f t="shared" si="101"/>
        <v>73.968174660281562</v>
      </c>
      <c r="AC198" s="19">
        <f t="shared" si="102"/>
        <v>73.968174660281562</v>
      </c>
      <c r="AD198" s="19">
        <f t="shared" si="103"/>
        <v>73.968174660281562</v>
      </c>
      <c r="AE198" s="19">
        <f t="shared" si="104"/>
        <v>73.968174660281562</v>
      </c>
      <c r="AF198" s="19">
        <f t="shared" si="105"/>
        <v>73.968174660281562</v>
      </c>
      <c r="AG198" s="19">
        <f t="shared" si="106"/>
        <v>73.968174660281562</v>
      </c>
      <c r="AH198" s="19">
        <f t="shared" si="107"/>
        <v>73.968174660281562</v>
      </c>
      <c r="AI198" s="19">
        <f t="shared" si="108"/>
        <v>73.968174660281562</v>
      </c>
      <c r="AJ198" s="19">
        <f t="shared" si="109"/>
        <v>73.968174660281562</v>
      </c>
      <c r="AK198" s="19">
        <f t="shared" si="110"/>
        <v>73.968174660281562</v>
      </c>
      <c r="AL198" s="19">
        <f t="shared" si="111"/>
        <v>73.968174660281562</v>
      </c>
      <c r="AM198" s="19">
        <f t="shared" si="112"/>
        <v>73.968174660281562</v>
      </c>
      <c r="AN198" s="19">
        <f t="shared" si="113"/>
        <v>73.968174660281562</v>
      </c>
      <c r="AO198" s="19">
        <f t="shared" si="114"/>
        <v>73.968174660281562</v>
      </c>
      <c r="AP198" s="19">
        <f t="shared" si="115"/>
        <v>73.968174660281562</v>
      </c>
      <c r="AQ198" s="19">
        <f t="shared" si="116"/>
        <v>73.968174660281562</v>
      </c>
      <c r="AR198" s="19">
        <f t="shared" si="117"/>
        <v>84.535056754607496</v>
      </c>
      <c r="AS198" s="19">
        <f t="shared" si="118"/>
        <v>73.968174660281562</v>
      </c>
      <c r="AT198" s="19">
        <f t="shared" si="119"/>
        <v>71.326454136700079</v>
      </c>
      <c r="AU198" s="19">
        <f t="shared" si="120"/>
        <v>73.968174660281562</v>
      </c>
      <c r="AV198" s="19">
        <f t="shared" si="121"/>
        <v>73.968174660281562</v>
      </c>
      <c r="AW198" s="19">
        <f t="shared" si="122"/>
        <v>73.968174660281562</v>
      </c>
      <c r="AX198" s="18">
        <f>IFERROR(Z198/'Ar-Pa'!B198,0)</f>
        <v>11.447455602186432</v>
      </c>
      <c r="AY198" s="18">
        <f>IFERROR(AA198/'Ar-Pa'!C198,0)</f>
        <v>9.4347161556481591</v>
      </c>
      <c r="AZ198" s="18">
        <f>IFERROR(AB198/'Ar-Pa'!D198,0)</f>
        <v>10.566882094325937</v>
      </c>
      <c r="BA198" s="18">
        <f>IFERROR(AC198/'Ar-Pa'!E198,0)</f>
        <v>9.2460218325351953</v>
      </c>
      <c r="BB198" s="18">
        <f>IFERROR(AD198/'Ar-Pa'!F198,0)</f>
        <v>9.2460218325351953</v>
      </c>
      <c r="BC198" s="18">
        <f>IFERROR(AE198/'Ar-Pa'!G198,0)</f>
        <v>9.2460218325351953</v>
      </c>
      <c r="BD198" s="18">
        <f>IFERROR(AF198/'Ar-Pa'!H198,0)</f>
        <v>9.2460218325351953</v>
      </c>
      <c r="BE198" s="18">
        <f>IFERROR(AG198/'Ar-Pa'!I198,0)</f>
        <v>9.2460218325351953</v>
      </c>
      <c r="BF198" s="18">
        <f>IFERROR(AH198/'Ar-Pa'!J198,0)</f>
        <v>9.2460218325351953</v>
      </c>
      <c r="BG198" s="18">
        <f>IFERROR(AI198/'Ar-Pa'!K198,0)</f>
        <v>9.2460218325351953</v>
      </c>
      <c r="BH198" s="18">
        <f>IFERROR(AJ198/'Ar-Pa'!L198,0)</f>
        <v>9.2460218325351953</v>
      </c>
      <c r="BI198" s="18">
        <f>IFERROR(AK198/'Ar-Pa'!M198,0)</f>
        <v>9.2460218325351953</v>
      </c>
      <c r="BJ198" s="18">
        <f>IFERROR(AL198/'Ar-Pa'!N198,0)</f>
        <v>9.2460218325351953</v>
      </c>
      <c r="BK198" s="18">
        <f>IFERROR(AM198/'Ar-Pa'!O198,0)</f>
        <v>9.2460218325351953</v>
      </c>
      <c r="BL198" s="18">
        <f>IFERROR(AN198/'Ar-Pa'!P198,0)</f>
        <v>9.2460218325351953</v>
      </c>
      <c r="BM198" s="18">
        <f>IFERROR(AO198/'Ar-Pa'!Q198,0)</f>
        <v>9.2460218325351953</v>
      </c>
      <c r="BN198" s="18">
        <f>IFERROR(AP198/'Ar-Pa'!R198,0)</f>
        <v>9.2460218325351953</v>
      </c>
      <c r="BO198" s="18">
        <f>IFERROR(AQ198/'Ar-Pa'!S198,0)</f>
        <v>9.2460218325351953</v>
      </c>
      <c r="BP198" s="18">
        <f>IFERROR(AR198/'Ar-Pa'!T198,0)</f>
        <v>10.566882094325937</v>
      </c>
      <c r="BQ198" s="18">
        <f>IFERROR(AS198/'Ar-Pa'!U198,0)</f>
        <v>9.2460218325351953</v>
      </c>
      <c r="BR198" s="18">
        <f>IFERROR(AT198/'Ar-Pa'!V198,0)</f>
        <v>8.9158067670875099</v>
      </c>
      <c r="BS198" s="18">
        <f>IFERROR(AU198/'Ar-Pa'!W198,0)</f>
        <v>9.2460218325351953</v>
      </c>
      <c r="BT198" s="18">
        <f>IFERROR(AV198/'Ar-Pa'!X198,0)</f>
        <v>9.2460218325351953</v>
      </c>
      <c r="BU198" s="18">
        <f>IFERROR(AW198/'Ar-Pa'!Y198,0)</f>
        <v>9.2460218325351953</v>
      </c>
    </row>
    <row r="199" spans="1:73">
      <c r="A199" s="15">
        <v>45124</v>
      </c>
      <c r="B199" s="441">
        <v>0.28999999999999998</v>
      </c>
      <c r="C199" s="441">
        <v>0.27</v>
      </c>
      <c r="D199" s="441">
        <v>0.28999999999999998</v>
      </c>
      <c r="E199" s="441">
        <v>0.28000000000000003</v>
      </c>
      <c r="F199" s="441">
        <v>0.28000000000000003</v>
      </c>
      <c r="G199" s="441">
        <v>0.28000000000000003</v>
      </c>
      <c r="H199" s="441">
        <v>0.28999999999999998</v>
      </c>
      <c r="I199" s="441">
        <v>0.28000000000000003</v>
      </c>
      <c r="J199" s="441">
        <v>0.28000000000000003</v>
      </c>
      <c r="K199" s="441">
        <v>0.28999999999999998</v>
      </c>
      <c r="L199" s="441">
        <v>0.28000000000000003</v>
      </c>
      <c r="M199" s="441">
        <v>0.28999999999999998</v>
      </c>
      <c r="N199" s="441">
        <v>0.28999999999999998</v>
      </c>
      <c r="O199" s="441">
        <v>0.27</v>
      </c>
      <c r="P199" s="441">
        <v>0.28999999999999998</v>
      </c>
      <c r="Q199" s="441">
        <v>0.28999999999999998</v>
      </c>
      <c r="R199" s="441">
        <v>0.28000000000000003</v>
      </c>
      <c r="S199" s="441">
        <v>0.28999999999999998</v>
      </c>
      <c r="T199" s="441">
        <v>0.28000000000000003</v>
      </c>
      <c r="U199" s="441">
        <v>0.28999999999999998</v>
      </c>
      <c r="V199" s="441">
        <v>0.28000000000000003</v>
      </c>
      <c r="W199" s="441">
        <v>0.28000000000000003</v>
      </c>
      <c r="X199" s="441">
        <v>0.27</v>
      </c>
      <c r="Y199" s="441">
        <v>0.28999999999999998</v>
      </c>
      <c r="Z199" s="19">
        <f t="shared" si="99"/>
        <v>76.609895183863046</v>
      </c>
      <c r="AA199" s="19">
        <f t="shared" si="100"/>
        <v>71.326454136700079</v>
      </c>
      <c r="AB199" s="19">
        <f t="shared" si="101"/>
        <v>76.609895183863046</v>
      </c>
      <c r="AC199" s="19">
        <f t="shared" si="102"/>
        <v>73.968174660281562</v>
      </c>
      <c r="AD199" s="19">
        <f t="shared" si="103"/>
        <v>73.968174660281562</v>
      </c>
      <c r="AE199" s="19">
        <f t="shared" si="104"/>
        <v>73.968174660281562</v>
      </c>
      <c r="AF199" s="19">
        <f t="shared" si="105"/>
        <v>76.609895183863046</v>
      </c>
      <c r="AG199" s="19">
        <f t="shared" si="106"/>
        <v>73.968174660281562</v>
      </c>
      <c r="AH199" s="19">
        <f t="shared" si="107"/>
        <v>73.968174660281562</v>
      </c>
      <c r="AI199" s="19">
        <f t="shared" si="108"/>
        <v>76.609895183863046</v>
      </c>
      <c r="AJ199" s="19">
        <f t="shared" si="109"/>
        <v>73.968174660281562</v>
      </c>
      <c r="AK199" s="19">
        <f t="shared" si="110"/>
        <v>76.609895183863046</v>
      </c>
      <c r="AL199" s="19">
        <f t="shared" si="111"/>
        <v>76.609895183863046</v>
      </c>
      <c r="AM199" s="19">
        <f t="shared" si="112"/>
        <v>71.326454136700079</v>
      </c>
      <c r="AN199" s="19">
        <f t="shared" si="113"/>
        <v>76.609895183863046</v>
      </c>
      <c r="AO199" s="19">
        <f t="shared" si="114"/>
        <v>76.609895183863046</v>
      </c>
      <c r="AP199" s="19">
        <f t="shared" si="115"/>
        <v>73.968174660281562</v>
      </c>
      <c r="AQ199" s="19">
        <f t="shared" si="116"/>
        <v>76.609895183863046</v>
      </c>
      <c r="AR199" s="19">
        <f t="shared" si="117"/>
        <v>73.968174660281562</v>
      </c>
      <c r="AS199" s="19">
        <f t="shared" si="118"/>
        <v>76.609895183863046</v>
      </c>
      <c r="AT199" s="19">
        <f t="shared" si="119"/>
        <v>73.968174660281562</v>
      </c>
      <c r="AU199" s="19">
        <f t="shared" si="120"/>
        <v>73.968174660281562</v>
      </c>
      <c r="AV199" s="19">
        <f t="shared" si="121"/>
        <v>71.326454136700079</v>
      </c>
      <c r="AW199" s="19">
        <f t="shared" si="122"/>
        <v>76.609895183863046</v>
      </c>
      <c r="AX199" s="18">
        <f>IFERROR(Z199/'Ar-Pa'!B199,0)</f>
        <v>9.5762368979828807</v>
      </c>
      <c r="AY199" s="18">
        <f>IFERROR(AA199/'Ar-Pa'!C199,0)</f>
        <v>8.9158067670875099</v>
      </c>
      <c r="AZ199" s="18">
        <f>IFERROR(AB199/'Ar-Pa'!D199,0)</f>
        <v>9.5762368979828807</v>
      </c>
      <c r="BA199" s="18">
        <f>IFERROR(AC199/'Ar-Pa'!E199,0)</f>
        <v>9.2460218325351953</v>
      </c>
      <c r="BB199" s="18">
        <f>IFERROR(AD199/'Ar-Pa'!F199,0)</f>
        <v>9.2460218325351953</v>
      </c>
      <c r="BC199" s="18">
        <f>IFERROR(AE199/'Ar-Pa'!G199,0)</f>
        <v>9.2460218325351953</v>
      </c>
      <c r="BD199" s="18">
        <f>IFERROR(AF199/'Ar-Pa'!H199,0)</f>
        <v>9.5762368979828807</v>
      </c>
      <c r="BE199" s="18">
        <f>IFERROR(AG199/'Ar-Pa'!I199,0)</f>
        <v>9.2460218325351953</v>
      </c>
      <c r="BF199" s="18">
        <f>IFERROR(AH199/'Ar-Pa'!J199,0)</f>
        <v>9.2460218325351953</v>
      </c>
      <c r="BG199" s="18">
        <f>IFERROR(AI199/'Ar-Pa'!K199,0)</f>
        <v>9.5762368979828807</v>
      </c>
      <c r="BH199" s="18">
        <f>IFERROR(AJ199/'Ar-Pa'!L199,0)</f>
        <v>9.2460218325351953</v>
      </c>
      <c r="BI199" s="18">
        <f>IFERROR(AK199/'Ar-Pa'!M199,0)</f>
        <v>9.5762368979828807</v>
      </c>
      <c r="BJ199" s="18">
        <f>IFERROR(AL199/'Ar-Pa'!N199,0)</f>
        <v>9.5762368979828807</v>
      </c>
      <c r="BK199" s="18">
        <f>IFERROR(AM199/'Ar-Pa'!O199,0)</f>
        <v>8.9158067670875099</v>
      </c>
      <c r="BL199" s="18">
        <f>IFERROR(AN199/'Ar-Pa'!P199,0)</f>
        <v>9.5762368979828807</v>
      </c>
      <c r="BM199" s="18">
        <f>IFERROR(AO199/'Ar-Pa'!Q199,0)</f>
        <v>9.5762368979828807</v>
      </c>
      <c r="BN199" s="18">
        <f>IFERROR(AP199/'Ar-Pa'!R199,0)</f>
        <v>9.2460218325351953</v>
      </c>
      <c r="BO199" s="18">
        <f>IFERROR(AQ199/'Ar-Pa'!S199,0)</f>
        <v>9.5762368979828807</v>
      </c>
      <c r="BP199" s="18">
        <f>IFERROR(AR199/'Ar-Pa'!T199,0)</f>
        <v>9.2460218325351953</v>
      </c>
      <c r="BQ199" s="18">
        <f>IFERROR(AS199/'Ar-Pa'!U199,0)</f>
        <v>9.5762368979828807</v>
      </c>
      <c r="BR199" s="18">
        <f>IFERROR(AT199/'Ar-Pa'!V199,0)</f>
        <v>9.2460218325351953</v>
      </c>
      <c r="BS199" s="18">
        <f>IFERROR(AU199/'Ar-Pa'!W199,0)</f>
        <v>9.2460218325351953</v>
      </c>
      <c r="BT199" s="18">
        <f>IFERROR(AV199/'Ar-Pa'!X199,0)</f>
        <v>8.9158067670875099</v>
      </c>
      <c r="BU199" s="18">
        <f>IFERROR(AW199/'Ar-Pa'!Y199,0)</f>
        <v>9.5762368979828807</v>
      </c>
    </row>
    <row r="200" spans="1:73">
      <c r="A200" s="15">
        <v>45125</v>
      </c>
      <c r="B200" s="441">
        <v>0.27</v>
      </c>
      <c r="C200" s="441">
        <v>0.27</v>
      </c>
      <c r="D200" s="441">
        <v>0.27</v>
      </c>
      <c r="E200" s="441">
        <v>0.28000000000000003</v>
      </c>
      <c r="F200" s="441">
        <v>0.27</v>
      </c>
      <c r="G200" s="441">
        <v>0.27</v>
      </c>
      <c r="H200" s="441">
        <v>0.28000000000000003</v>
      </c>
      <c r="I200" s="441">
        <v>0.27</v>
      </c>
      <c r="J200" s="441">
        <v>0.28000000000000003</v>
      </c>
      <c r="K200" s="441">
        <v>0.27</v>
      </c>
      <c r="L200" s="441">
        <v>0.27</v>
      </c>
      <c r="M200" s="441">
        <v>0.28000000000000003</v>
      </c>
      <c r="N200" s="441">
        <v>0.27</v>
      </c>
      <c r="O200" s="441">
        <v>0.27</v>
      </c>
      <c r="P200" s="441">
        <v>0.27</v>
      </c>
      <c r="Q200" s="441">
        <v>0.28000000000000003</v>
      </c>
      <c r="R200" s="441">
        <v>0.27</v>
      </c>
      <c r="S200" s="441">
        <v>0.28000000000000003</v>
      </c>
      <c r="T200" s="441">
        <v>0.26</v>
      </c>
      <c r="U200" s="441">
        <v>0.26</v>
      </c>
      <c r="V200" s="441">
        <v>0.28000000000000003</v>
      </c>
      <c r="W200" s="441">
        <v>0.26</v>
      </c>
      <c r="X200" s="441">
        <v>0.27</v>
      </c>
      <c r="Y200" s="441">
        <v>0.27</v>
      </c>
      <c r="Z200" s="19">
        <f t="shared" si="99"/>
        <v>71.326454136700079</v>
      </c>
      <c r="AA200" s="19">
        <f t="shared" si="100"/>
        <v>71.326454136700079</v>
      </c>
      <c r="AB200" s="19">
        <f t="shared" si="101"/>
        <v>71.326454136700079</v>
      </c>
      <c r="AC200" s="19">
        <f t="shared" si="102"/>
        <v>73.968174660281562</v>
      </c>
      <c r="AD200" s="19">
        <f t="shared" si="103"/>
        <v>71.326454136700079</v>
      </c>
      <c r="AE200" s="19">
        <f t="shared" si="104"/>
        <v>71.326454136700079</v>
      </c>
      <c r="AF200" s="19">
        <f t="shared" si="105"/>
        <v>73.968174660281562</v>
      </c>
      <c r="AG200" s="19">
        <f t="shared" si="106"/>
        <v>71.326454136700079</v>
      </c>
      <c r="AH200" s="19">
        <f t="shared" si="107"/>
        <v>73.968174660281562</v>
      </c>
      <c r="AI200" s="19">
        <f t="shared" si="108"/>
        <v>71.326454136700079</v>
      </c>
      <c r="AJ200" s="19">
        <f t="shared" si="109"/>
        <v>71.326454136700079</v>
      </c>
      <c r="AK200" s="19">
        <f t="shared" si="110"/>
        <v>73.968174660281562</v>
      </c>
      <c r="AL200" s="19">
        <f t="shared" si="111"/>
        <v>71.326454136700079</v>
      </c>
      <c r="AM200" s="19">
        <f t="shared" si="112"/>
        <v>71.326454136700079</v>
      </c>
      <c r="AN200" s="19">
        <f t="shared" si="113"/>
        <v>71.326454136700079</v>
      </c>
      <c r="AO200" s="19">
        <f t="shared" si="114"/>
        <v>73.968174660281562</v>
      </c>
      <c r="AP200" s="19">
        <f t="shared" si="115"/>
        <v>71.326454136700079</v>
      </c>
      <c r="AQ200" s="19">
        <f t="shared" si="116"/>
        <v>73.968174660281562</v>
      </c>
      <c r="AR200" s="19">
        <f t="shared" si="117"/>
        <v>68.684733613118595</v>
      </c>
      <c r="AS200" s="19">
        <f t="shared" si="118"/>
        <v>68.684733613118595</v>
      </c>
      <c r="AT200" s="19">
        <f t="shared" si="119"/>
        <v>73.968174660281562</v>
      </c>
      <c r="AU200" s="19">
        <f t="shared" si="120"/>
        <v>68.684733613118595</v>
      </c>
      <c r="AV200" s="19">
        <f t="shared" si="121"/>
        <v>71.326454136700079</v>
      </c>
      <c r="AW200" s="19">
        <f t="shared" si="122"/>
        <v>71.326454136700079</v>
      </c>
      <c r="AX200" s="18">
        <f>IFERROR(Z200/'Ar-Pa'!B200,0)</f>
        <v>8.9158067670875099</v>
      </c>
      <c r="AY200" s="18">
        <f>IFERROR(AA200/'Ar-Pa'!C200,0)</f>
        <v>8.9158067670875099</v>
      </c>
      <c r="AZ200" s="18">
        <f>IFERROR(AB200/'Ar-Pa'!D200,0)</f>
        <v>8.9158067670875099</v>
      </c>
      <c r="BA200" s="18">
        <f>IFERROR(AC200/'Ar-Pa'!E200,0)</f>
        <v>9.2460218325351953</v>
      </c>
      <c r="BB200" s="18">
        <f>IFERROR(AD200/'Ar-Pa'!F200,0)</f>
        <v>8.9158067670875099</v>
      </c>
      <c r="BC200" s="18">
        <f>IFERROR(AE200/'Ar-Pa'!G200,0)</f>
        <v>8.9158067670875099</v>
      </c>
      <c r="BD200" s="18">
        <f>IFERROR(AF200/'Ar-Pa'!H200,0)</f>
        <v>9.2460218325351953</v>
      </c>
      <c r="BE200" s="18">
        <f>IFERROR(AG200/'Ar-Pa'!I200,0)</f>
        <v>8.9158067670875099</v>
      </c>
      <c r="BF200" s="18">
        <f>IFERROR(AH200/'Ar-Pa'!J200,0)</f>
        <v>9.2460218325351953</v>
      </c>
      <c r="BG200" s="18">
        <f>IFERROR(AI200/'Ar-Pa'!K200,0)</f>
        <v>8.9158067670875099</v>
      </c>
      <c r="BH200" s="18">
        <f>IFERROR(AJ200/'Ar-Pa'!L200,0)</f>
        <v>8.9158067670875099</v>
      </c>
      <c r="BI200" s="18">
        <f>IFERROR(AK200/'Ar-Pa'!M200,0)</f>
        <v>9.2460218325351953</v>
      </c>
      <c r="BJ200" s="18">
        <f>IFERROR(AL200/'Ar-Pa'!N200,0)</f>
        <v>8.9158067670875099</v>
      </c>
      <c r="BK200" s="18">
        <f>IFERROR(AM200/'Ar-Pa'!O200,0)</f>
        <v>8.9158067670875099</v>
      </c>
      <c r="BL200" s="18">
        <f>IFERROR(AN200/'Ar-Pa'!P200,0)</f>
        <v>8.9158067670875099</v>
      </c>
      <c r="BM200" s="18">
        <f>IFERROR(AO200/'Ar-Pa'!Q200,0)</f>
        <v>9.2460218325351953</v>
      </c>
      <c r="BN200" s="18">
        <f>IFERROR(AP200/'Ar-Pa'!R200,0)</f>
        <v>8.9158067670875099</v>
      </c>
      <c r="BO200" s="18">
        <f>IFERROR(AQ200/'Ar-Pa'!S200,0)</f>
        <v>9.2460218325351953</v>
      </c>
      <c r="BP200" s="18">
        <f>IFERROR(AR200/'Ar-Pa'!T200,0)</f>
        <v>8.5855917016398244</v>
      </c>
      <c r="BQ200" s="18">
        <f>IFERROR(AS200/'Ar-Pa'!U200,0)</f>
        <v>8.5855917016398244</v>
      </c>
      <c r="BR200" s="18">
        <f>IFERROR(AT200/'Ar-Pa'!V200,0)</f>
        <v>9.2460218325351953</v>
      </c>
      <c r="BS200" s="18">
        <f>IFERROR(AU200/'Ar-Pa'!W200,0)</f>
        <v>8.5855917016398244</v>
      </c>
      <c r="BT200" s="18">
        <f>IFERROR(AV200/'Ar-Pa'!X200,0)</f>
        <v>8.9158067670875099</v>
      </c>
      <c r="BU200" s="18">
        <f>IFERROR(AW200/'Ar-Pa'!Y200,0)</f>
        <v>8.9158067670875099</v>
      </c>
    </row>
    <row r="201" spans="1:73">
      <c r="A201" s="15">
        <v>45126</v>
      </c>
      <c r="B201" s="441">
        <v>0.28999999999999998</v>
      </c>
      <c r="C201" s="441">
        <v>0.28000000000000003</v>
      </c>
      <c r="D201" s="441">
        <v>0.28999999999999998</v>
      </c>
      <c r="E201" s="441">
        <v>0.28000000000000003</v>
      </c>
      <c r="F201" s="441">
        <v>0.28999999999999998</v>
      </c>
      <c r="G201" s="441">
        <v>0.28000000000000003</v>
      </c>
      <c r="H201" s="441">
        <v>0.28000000000000003</v>
      </c>
      <c r="I201" s="441">
        <v>0.28999999999999998</v>
      </c>
      <c r="J201" s="441">
        <v>0.28000000000000003</v>
      </c>
      <c r="K201" s="441">
        <v>0.28000000000000003</v>
      </c>
      <c r="L201" s="441">
        <v>0.28000000000000003</v>
      </c>
      <c r="M201" s="441">
        <v>0.27</v>
      </c>
      <c r="N201" s="441">
        <v>0.28999999999999998</v>
      </c>
      <c r="O201" s="441">
        <v>0.28000000000000003</v>
      </c>
      <c r="P201" s="441">
        <v>0.28000000000000003</v>
      </c>
      <c r="Q201" s="441">
        <v>0.27</v>
      </c>
      <c r="R201" s="441">
        <v>0.28000000000000003</v>
      </c>
      <c r="S201" s="441">
        <v>0.28000000000000003</v>
      </c>
      <c r="T201" s="441">
        <v>0.27</v>
      </c>
      <c r="U201" s="441">
        <v>0.28999999999999998</v>
      </c>
      <c r="V201" s="441">
        <v>0.28000000000000003</v>
      </c>
      <c r="W201" s="441">
        <v>0.28999999999999998</v>
      </c>
      <c r="X201" s="441">
        <v>0.28000000000000003</v>
      </c>
      <c r="Y201" s="441">
        <v>0.28000000000000003</v>
      </c>
      <c r="Z201" s="19">
        <f t="shared" si="99"/>
        <v>76.609895183863046</v>
      </c>
      <c r="AA201" s="19">
        <f t="shared" si="100"/>
        <v>73.968174660281562</v>
      </c>
      <c r="AB201" s="19">
        <f t="shared" si="101"/>
        <v>76.609895183863046</v>
      </c>
      <c r="AC201" s="19">
        <f t="shared" si="102"/>
        <v>73.968174660281562</v>
      </c>
      <c r="AD201" s="19">
        <f t="shared" si="103"/>
        <v>76.609895183863046</v>
      </c>
      <c r="AE201" s="19">
        <f t="shared" si="104"/>
        <v>73.968174660281562</v>
      </c>
      <c r="AF201" s="19">
        <f t="shared" si="105"/>
        <v>73.968174660281562</v>
      </c>
      <c r="AG201" s="19">
        <f t="shared" si="106"/>
        <v>76.609895183863046</v>
      </c>
      <c r="AH201" s="19">
        <f t="shared" si="107"/>
        <v>73.968174660281562</v>
      </c>
      <c r="AI201" s="19">
        <f t="shared" si="108"/>
        <v>73.968174660281562</v>
      </c>
      <c r="AJ201" s="19">
        <f t="shared" si="109"/>
        <v>73.968174660281562</v>
      </c>
      <c r="AK201" s="19">
        <f t="shared" si="110"/>
        <v>71.326454136700079</v>
      </c>
      <c r="AL201" s="19">
        <f t="shared" si="111"/>
        <v>76.609895183863046</v>
      </c>
      <c r="AM201" s="19">
        <f t="shared" si="112"/>
        <v>73.968174660281562</v>
      </c>
      <c r="AN201" s="19">
        <f t="shared" si="113"/>
        <v>73.968174660281562</v>
      </c>
      <c r="AO201" s="19">
        <f t="shared" si="114"/>
        <v>71.326454136700079</v>
      </c>
      <c r="AP201" s="19">
        <f t="shared" si="115"/>
        <v>73.968174660281562</v>
      </c>
      <c r="AQ201" s="19">
        <f t="shared" si="116"/>
        <v>73.968174660281562</v>
      </c>
      <c r="AR201" s="19">
        <f t="shared" si="117"/>
        <v>71.326454136700079</v>
      </c>
      <c r="AS201" s="19">
        <f t="shared" si="118"/>
        <v>76.609895183863046</v>
      </c>
      <c r="AT201" s="19">
        <f t="shared" si="119"/>
        <v>73.968174660281562</v>
      </c>
      <c r="AU201" s="19">
        <f t="shared" si="120"/>
        <v>76.609895183863046</v>
      </c>
      <c r="AV201" s="19">
        <f t="shared" si="121"/>
        <v>73.968174660281562</v>
      </c>
      <c r="AW201" s="19">
        <f t="shared" si="122"/>
        <v>73.968174660281562</v>
      </c>
      <c r="AX201" s="18">
        <f>IFERROR(Z201/'Ar-Pa'!B201,0)</f>
        <v>9.5762368979828807</v>
      </c>
      <c r="AY201" s="18">
        <f>IFERROR(AA201/'Ar-Pa'!C201,0)</f>
        <v>9.2460218325351953</v>
      </c>
      <c r="AZ201" s="18">
        <f>IFERROR(AB201/'Ar-Pa'!D201,0)</f>
        <v>9.5762368979828807</v>
      </c>
      <c r="BA201" s="18">
        <f>IFERROR(AC201/'Ar-Pa'!E201,0)</f>
        <v>9.2460218325351953</v>
      </c>
      <c r="BB201" s="18">
        <f>IFERROR(AD201/'Ar-Pa'!F201,0)</f>
        <v>9.5762368979828807</v>
      </c>
      <c r="BC201" s="18">
        <f>IFERROR(AE201/'Ar-Pa'!G201,0)</f>
        <v>9.2460218325351953</v>
      </c>
      <c r="BD201" s="18">
        <f>IFERROR(AF201/'Ar-Pa'!H201,0)</f>
        <v>9.2460218325351953</v>
      </c>
      <c r="BE201" s="18">
        <f>IFERROR(AG201/'Ar-Pa'!I201,0)</f>
        <v>9.5762368979828807</v>
      </c>
      <c r="BF201" s="18">
        <f>IFERROR(AH201/'Ar-Pa'!J201,0)</f>
        <v>9.2460218325351953</v>
      </c>
      <c r="BG201" s="18">
        <f>IFERROR(AI201/'Ar-Pa'!K201,0)</f>
        <v>10.566882094325937</v>
      </c>
      <c r="BH201" s="18">
        <f>IFERROR(AJ201/'Ar-Pa'!L201,0)</f>
        <v>10.566882094325937</v>
      </c>
      <c r="BI201" s="18">
        <f>IFERROR(AK201/'Ar-Pa'!M201,0)</f>
        <v>10.189493448100011</v>
      </c>
      <c r="BJ201" s="18">
        <f>IFERROR(AL201/'Ar-Pa'!N201,0)</f>
        <v>9.5762368979828807</v>
      </c>
      <c r="BK201" s="18">
        <f>IFERROR(AM201/'Ar-Pa'!O201,0)</f>
        <v>9.2460218325351953</v>
      </c>
      <c r="BL201" s="18">
        <f>IFERROR(AN201/'Ar-Pa'!P201,0)</f>
        <v>9.2460218325351953</v>
      </c>
      <c r="BM201" s="18">
        <f>IFERROR(AO201/'Ar-Pa'!Q201,0)</f>
        <v>8.9158067670875099</v>
      </c>
      <c r="BN201" s="18">
        <f>IFERROR(AP201/'Ar-Pa'!R201,0)</f>
        <v>9.2460218325351953</v>
      </c>
      <c r="BO201" s="18">
        <f>IFERROR(AQ201/'Ar-Pa'!S201,0)</f>
        <v>9.2460218325351953</v>
      </c>
      <c r="BP201" s="18">
        <f>IFERROR(AR201/'Ar-Pa'!T201,0)</f>
        <v>8.9158067670875099</v>
      </c>
      <c r="BQ201" s="18">
        <f>IFERROR(AS201/'Ar-Pa'!U201,0)</f>
        <v>9.5762368979828807</v>
      </c>
      <c r="BR201" s="18">
        <f>IFERROR(AT201/'Ar-Pa'!V201,0)</f>
        <v>9.2460218325351953</v>
      </c>
      <c r="BS201" s="18">
        <f>IFERROR(AU201/'Ar-Pa'!W201,0)</f>
        <v>9.5762368979828807</v>
      </c>
      <c r="BT201" s="18">
        <f>IFERROR(AV201/'Ar-Pa'!X201,0)</f>
        <v>9.2460218325351953</v>
      </c>
      <c r="BU201" s="18">
        <f>IFERROR(AW201/'Ar-Pa'!Y201,0)</f>
        <v>9.2460218325351953</v>
      </c>
    </row>
    <row r="202" spans="1:73">
      <c r="A202" s="15">
        <v>45127</v>
      </c>
      <c r="B202" s="441">
        <v>0.26</v>
      </c>
      <c r="C202" s="441">
        <v>0.26</v>
      </c>
      <c r="D202" s="441">
        <v>0.26</v>
      </c>
      <c r="E202" s="441">
        <v>0.26</v>
      </c>
      <c r="F202" s="441">
        <v>0.26</v>
      </c>
      <c r="G202" s="441">
        <v>0.26</v>
      </c>
      <c r="H202" s="441">
        <v>0.26</v>
      </c>
      <c r="I202" s="441">
        <v>0.26</v>
      </c>
      <c r="J202" s="441">
        <v>0.26</v>
      </c>
      <c r="K202" s="441">
        <v>0.26</v>
      </c>
      <c r="L202" s="441">
        <v>0.26</v>
      </c>
      <c r="M202" s="441">
        <v>0.26</v>
      </c>
      <c r="N202" s="441">
        <v>0.26</v>
      </c>
      <c r="O202" s="441">
        <v>0.26</v>
      </c>
      <c r="P202" s="441">
        <v>0.26</v>
      </c>
      <c r="Q202" s="441">
        <v>0.26</v>
      </c>
      <c r="R202" s="441">
        <v>0.26</v>
      </c>
      <c r="S202" s="441">
        <v>0.25</v>
      </c>
      <c r="T202" s="441">
        <v>0.26</v>
      </c>
      <c r="U202" s="441">
        <v>0.26</v>
      </c>
      <c r="V202" s="441">
        <v>0.26</v>
      </c>
      <c r="W202" s="441">
        <v>0.25</v>
      </c>
      <c r="X202" s="441">
        <v>0.25</v>
      </c>
      <c r="Y202" s="441">
        <v>0.26</v>
      </c>
      <c r="Z202" s="19">
        <f t="shared" si="99"/>
        <v>68.684733613118595</v>
      </c>
      <c r="AA202" s="19">
        <f t="shared" si="100"/>
        <v>68.684733613118595</v>
      </c>
      <c r="AB202" s="19">
        <f t="shared" si="101"/>
        <v>68.684733613118595</v>
      </c>
      <c r="AC202" s="19">
        <f t="shared" si="102"/>
        <v>68.684733613118595</v>
      </c>
      <c r="AD202" s="19">
        <f t="shared" si="103"/>
        <v>68.684733613118595</v>
      </c>
      <c r="AE202" s="19">
        <f t="shared" si="104"/>
        <v>68.684733613118595</v>
      </c>
      <c r="AF202" s="19">
        <f t="shared" si="105"/>
        <v>68.684733613118595</v>
      </c>
      <c r="AG202" s="19">
        <f t="shared" si="106"/>
        <v>68.684733613118595</v>
      </c>
      <c r="AH202" s="19">
        <f t="shared" si="107"/>
        <v>68.684733613118595</v>
      </c>
      <c r="AI202" s="19">
        <f t="shared" si="108"/>
        <v>68.684733613118595</v>
      </c>
      <c r="AJ202" s="19">
        <f t="shared" si="109"/>
        <v>68.684733613118595</v>
      </c>
      <c r="AK202" s="19">
        <f t="shared" si="110"/>
        <v>68.684733613118595</v>
      </c>
      <c r="AL202" s="19">
        <f t="shared" si="111"/>
        <v>68.684733613118595</v>
      </c>
      <c r="AM202" s="19">
        <f t="shared" si="112"/>
        <v>68.684733613118595</v>
      </c>
      <c r="AN202" s="19">
        <f t="shared" si="113"/>
        <v>68.684733613118595</v>
      </c>
      <c r="AO202" s="19">
        <f t="shared" si="114"/>
        <v>68.684733613118595</v>
      </c>
      <c r="AP202" s="19">
        <f t="shared" si="115"/>
        <v>68.684733613118595</v>
      </c>
      <c r="AQ202" s="19">
        <f t="shared" si="116"/>
        <v>66.043013089537112</v>
      </c>
      <c r="AR202" s="19">
        <f t="shared" si="117"/>
        <v>68.684733613118595</v>
      </c>
      <c r="AS202" s="19">
        <f t="shared" si="118"/>
        <v>68.684733613118595</v>
      </c>
      <c r="AT202" s="19">
        <f t="shared" si="119"/>
        <v>68.684733613118595</v>
      </c>
      <c r="AU202" s="19">
        <f t="shared" si="120"/>
        <v>66.043013089537112</v>
      </c>
      <c r="AV202" s="19">
        <f t="shared" si="121"/>
        <v>66.043013089537112</v>
      </c>
      <c r="AW202" s="19">
        <f t="shared" si="122"/>
        <v>68.684733613118595</v>
      </c>
      <c r="AX202" s="18">
        <f>IFERROR(Z202/'Ar-Pa'!B202,0)</f>
        <v>8.5855917016398244</v>
      </c>
      <c r="AY202" s="18">
        <f>IFERROR(AA202/'Ar-Pa'!C202,0)</f>
        <v>8.5855917016398244</v>
      </c>
      <c r="AZ202" s="18">
        <f>IFERROR(AB202/'Ar-Pa'!D202,0)</f>
        <v>8.5855917016398244</v>
      </c>
      <c r="BA202" s="18">
        <f>IFERROR(AC202/'Ar-Pa'!E202,0)</f>
        <v>8.5855917016398244</v>
      </c>
      <c r="BB202" s="18">
        <f>IFERROR(AD202/'Ar-Pa'!F202,0)</f>
        <v>8.5855917016398244</v>
      </c>
      <c r="BC202" s="18">
        <f>IFERROR(AE202/'Ar-Pa'!G202,0)</f>
        <v>8.5855917016398244</v>
      </c>
      <c r="BD202" s="18">
        <f>IFERROR(AF202/'Ar-Pa'!H202,0)</f>
        <v>8.5855917016398244</v>
      </c>
      <c r="BE202" s="18">
        <f>IFERROR(AG202/'Ar-Pa'!I202,0)</f>
        <v>8.5855917016398244</v>
      </c>
      <c r="BF202" s="18">
        <f>IFERROR(AH202/'Ar-Pa'!J202,0)</f>
        <v>8.5855917016398244</v>
      </c>
      <c r="BG202" s="18">
        <f>IFERROR(AI202/'Ar-Pa'!K202,0)</f>
        <v>9.8121048018740851</v>
      </c>
      <c r="BH202" s="18">
        <f>IFERROR(AJ202/'Ar-Pa'!L202,0)</f>
        <v>9.8121048018740851</v>
      </c>
      <c r="BI202" s="18">
        <f>IFERROR(AK202/'Ar-Pa'!M202,0)</f>
        <v>9.8121048018740851</v>
      </c>
      <c r="BJ202" s="18">
        <f>IFERROR(AL202/'Ar-Pa'!N202,0)</f>
        <v>9.8121048018740851</v>
      </c>
      <c r="BK202" s="18">
        <f>IFERROR(AM202/'Ar-Pa'!O202,0)</f>
        <v>9.8121048018740851</v>
      </c>
      <c r="BL202" s="18">
        <f>IFERROR(AN202/'Ar-Pa'!P202,0)</f>
        <v>9.8121048018740851</v>
      </c>
      <c r="BM202" s="18">
        <f>IFERROR(AO202/'Ar-Pa'!Q202,0)</f>
        <v>9.8121048018740851</v>
      </c>
      <c r="BN202" s="18">
        <f>IFERROR(AP202/'Ar-Pa'!R202,0)</f>
        <v>9.8121048018740851</v>
      </c>
      <c r="BO202" s="18">
        <f>IFERROR(AQ202/'Ar-Pa'!S202,0)</f>
        <v>9.4347161556481591</v>
      </c>
      <c r="BP202" s="18">
        <f>IFERROR(AR202/'Ar-Pa'!T202,0)</f>
        <v>11.447455602186432</v>
      </c>
      <c r="BQ202" s="18">
        <f>IFERROR(AS202/'Ar-Pa'!U202,0)</f>
        <v>11.447455602186432</v>
      </c>
      <c r="BR202" s="18">
        <f>IFERROR(AT202/'Ar-Pa'!V202,0)</f>
        <v>9.8121048018740851</v>
      </c>
      <c r="BS202" s="18">
        <f>IFERROR(AU202/'Ar-Pa'!W202,0)</f>
        <v>9.4347161556481591</v>
      </c>
      <c r="BT202" s="18">
        <f>IFERROR(AV202/'Ar-Pa'!X202,0)</f>
        <v>9.4347161556481591</v>
      </c>
      <c r="BU202" s="18">
        <f>IFERROR(AW202/'Ar-Pa'!Y202,0)</f>
        <v>8.5855917016398244</v>
      </c>
    </row>
    <row r="203" spans="1:73">
      <c r="A203" s="15">
        <v>45128</v>
      </c>
      <c r="B203" s="441">
        <v>0.26</v>
      </c>
      <c r="C203" s="441">
        <v>0.27</v>
      </c>
      <c r="D203" s="441">
        <v>0.27</v>
      </c>
      <c r="E203" s="441">
        <v>0.26</v>
      </c>
      <c r="F203" s="441">
        <v>0.25</v>
      </c>
      <c r="G203" s="441">
        <v>0.26</v>
      </c>
      <c r="H203" s="441">
        <v>0.27</v>
      </c>
      <c r="I203" s="441">
        <v>0.26</v>
      </c>
      <c r="J203" s="441">
        <v>0.26</v>
      </c>
      <c r="K203" s="441">
        <v>0.25</v>
      </c>
      <c r="L203" s="441">
        <v>0.27</v>
      </c>
      <c r="M203" s="441">
        <v>0.27</v>
      </c>
      <c r="N203" s="441">
        <v>0.25</v>
      </c>
      <c r="O203" s="441">
        <v>0.26</v>
      </c>
      <c r="P203" s="441">
        <v>0.26</v>
      </c>
      <c r="Q203" s="441">
        <v>0.26</v>
      </c>
      <c r="R203" s="441">
        <v>0.27</v>
      </c>
      <c r="S203" s="441">
        <v>0.26</v>
      </c>
      <c r="T203" s="441">
        <v>0.27</v>
      </c>
      <c r="U203" s="441">
        <v>0.26</v>
      </c>
      <c r="V203" s="441">
        <v>0.26</v>
      </c>
      <c r="W203" s="441">
        <v>0.26</v>
      </c>
      <c r="X203" s="441">
        <v>0.27</v>
      </c>
      <c r="Y203" s="441">
        <v>0.25</v>
      </c>
      <c r="Z203" s="19">
        <f t="shared" si="99"/>
        <v>68.684733613118595</v>
      </c>
      <c r="AA203" s="19">
        <f t="shared" si="100"/>
        <v>71.326454136700079</v>
      </c>
      <c r="AB203" s="19">
        <f t="shared" si="101"/>
        <v>71.326454136700079</v>
      </c>
      <c r="AC203" s="19">
        <f t="shared" si="102"/>
        <v>68.684733613118595</v>
      </c>
      <c r="AD203" s="19">
        <f t="shared" si="103"/>
        <v>66.043013089537112</v>
      </c>
      <c r="AE203" s="19">
        <f t="shared" si="104"/>
        <v>68.684733613118595</v>
      </c>
      <c r="AF203" s="19">
        <f t="shared" si="105"/>
        <v>71.326454136700079</v>
      </c>
      <c r="AG203" s="19">
        <f t="shared" si="106"/>
        <v>68.684733613118595</v>
      </c>
      <c r="AH203" s="19">
        <f t="shared" si="107"/>
        <v>68.684733613118595</v>
      </c>
      <c r="AI203" s="19">
        <f t="shared" si="108"/>
        <v>66.043013089537112</v>
      </c>
      <c r="AJ203" s="19">
        <f t="shared" si="109"/>
        <v>71.326454136700079</v>
      </c>
      <c r="AK203" s="19">
        <f t="shared" si="110"/>
        <v>71.326454136700079</v>
      </c>
      <c r="AL203" s="19">
        <f t="shared" si="111"/>
        <v>66.043013089537112</v>
      </c>
      <c r="AM203" s="19">
        <f t="shared" si="112"/>
        <v>68.684733613118595</v>
      </c>
      <c r="AN203" s="19">
        <f t="shared" si="113"/>
        <v>68.684733613118595</v>
      </c>
      <c r="AO203" s="19">
        <f t="shared" si="114"/>
        <v>68.684733613118595</v>
      </c>
      <c r="AP203" s="19">
        <f t="shared" si="115"/>
        <v>71.326454136700079</v>
      </c>
      <c r="AQ203" s="19">
        <f t="shared" si="116"/>
        <v>68.684733613118595</v>
      </c>
      <c r="AR203" s="19">
        <f t="shared" si="117"/>
        <v>71.326454136700079</v>
      </c>
      <c r="AS203" s="19">
        <f t="shared" si="118"/>
        <v>68.684733613118595</v>
      </c>
      <c r="AT203" s="19">
        <f t="shared" si="119"/>
        <v>68.684733613118595</v>
      </c>
      <c r="AU203" s="19">
        <f t="shared" si="120"/>
        <v>68.684733613118595</v>
      </c>
      <c r="AV203" s="19">
        <f t="shared" si="121"/>
        <v>71.326454136700079</v>
      </c>
      <c r="AW203" s="19">
        <f t="shared" si="122"/>
        <v>66.043013089537112</v>
      </c>
      <c r="AX203" s="18">
        <f>IFERROR(Z203/'Ar-Pa'!B203,0)</f>
        <v>9.8121048018740851</v>
      </c>
      <c r="AY203" s="18">
        <f>IFERROR(AA203/'Ar-Pa'!C203,0)</f>
        <v>10.189493448100011</v>
      </c>
      <c r="AZ203" s="18">
        <f>IFERROR(AB203/'Ar-Pa'!D203,0)</f>
        <v>10.189493448100011</v>
      </c>
      <c r="BA203" s="18">
        <f>IFERROR(AC203/'Ar-Pa'!E203,0)</f>
        <v>9.8121048018740851</v>
      </c>
      <c r="BB203" s="18">
        <f>IFERROR(AD203/'Ar-Pa'!F203,0)</f>
        <v>9.4347161556481591</v>
      </c>
      <c r="BC203" s="18">
        <f>IFERROR(AE203/'Ar-Pa'!G203,0)</f>
        <v>9.8121048018740851</v>
      </c>
      <c r="BD203" s="18">
        <f>IFERROR(AF203/'Ar-Pa'!H203,0)</f>
        <v>10.189493448100011</v>
      </c>
      <c r="BE203" s="18">
        <f>IFERROR(AG203/'Ar-Pa'!I203,0)</f>
        <v>9.8121048018740851</v>
      </c>
      <c r="BF203" s="18">
        <f>IFERROR(AH203/'Ar-Pa'!J203,0)</f>
        <v>9.8121048018740851</v>
      </c>
      <c r="BG203" s="18">
        <f>IFERROR(AI203/'Ar-Pa'!K203,0)</f>
        <v>9.4347161556481591</v>
      </c>
      <c r="BH203" s="18">
        <f>IFERROR(AJ203/'Ar-Pa'!L203,0)</f>
        <v>10.189493448100011</v>
      </c>
      <c r="BI203" s="18">
        <f>IFERROR(AK203/'Ar-Pa'!M203,0)</f>
        <v>10.189493448100011</v>
      </c>
      <c r="BJ203" s="18">
        <f>IFERROR(AL203/'Ar-Pa'!N203,0)</f>
        <v>9.4347161556481591</v>
      </c>
      <c r="BK203" s="18">
        <f>IFERROR(AM203/'Ar-Pa'!O203,0)</f>
        <v>9.8121048018740851</v>
      </c>
      <c r="BL203" s="18">
        <f>IFERROR(AN203/'Ar-Pa'!P203,0)</f>
        <v>9.8121048018740851</v>
      </c>
      <c r="BM203" s="18">
        <f>IFERROR(AO203/'Ar-Pa'!Q203,0)</f>
        <v>9.8121048018740851</v>
      </c>
      <c r="BN203" s="18">
        <f>IFERROR(AP203/'Ar-Pa'!R203,0)</f>
        <v>10.189493448100011</v>
      </c>
      <c r="BO203" s="18">
        <f>IFERROR(AQ203/'Ar-Pa'!S203,0)</f>
        <v>9.8121048018740851</v>
      </c>
      <c r="BP203" s="18">
        <f>IFERROR(AR203/'Ar-Pa'!T203,0)</f>
        <v>10.189493448100011</v>
      </c>
      <c r="BQ203" s="18">
        <f>IFERROR(AS203/'Ar-Pa'!U203,0)</f>
        <v>9.8121048018740851</v>
      </c>
      <c r="BR203" s="18">
        <f>IFERROR(AT203/'Ar-Pa'!V203,0)</f>
        <v>9.8121048018740851</v>
      </c>
      <c r="BS203" s="18">
        <f>IFERROR(AU203/'Ar-Pa'!W203,0)</f>
        <v>9.8121048018740851</v>
      </c>
      <c r="BT203" s="18">
        <f>IFERROR(AV203/'Ar-Pa'!X203,0)</f>
        <v>10.189493448100011</v>
      </c>
      <c r="BU203" s="18">
        <f>IFERROR(AW203/'Ar-Pa'!Y203,0)</f>
        <v>9.4347161556481591</v>
      </c>
    </row>
    <row r="204" spans="1:73">
      <c r="A204" s="15">
        <v>45129</v>
      </c>
      <c r="B204" s="441">
        <v>0.25</v>
      </c>
      <c r="C204" s="441">
        <v>0.28999999999999998</v>
      </c>
      <c r="D204" s="441">
        <v>0.28999999999999998</v>
      </c>
      <c r="E204" s="441">
        <v>0.3</v>
      </c>
      <c r="F204" s="441">
        <v>0.3</v>
      </c>
      <c r="G204" s="441">
        <v>0.3</v>
      </c>
      <c r="H204" s="441">
        <v>0.28999999999999998</v>
      </c>
      <c r="I204" s="441">
        <v>0.3</v>
      </c>
      <c r="J204" s="441">
        <v>0.3</v>
      </c>
      <c r="K204" s="441">
        <v>0.28999999999999998</v>
      </c>
      <c r="L204" s="441">
        <v>0.3</v>
      </c>
      <c r="M204" s="441">
        <v>0.3</v>
      </c>
      <c r="N204" s="441">
        <v>0.28999999999999998</v>
      </c>
      <c r="O204" s="441">
        <v>0.3</v>
      </c>
      <c r="P204" s="441">
        <v>0.3</v>
      </c>
      <c r="Q204" s="441">
        <v>0.28999999999999998</v>
      </c>
      <c r="R204" s="441">
        <v>0.3</v>
      </c>
      <c r="S204" s="441">
        <v>0.28999999999999998</v>
      </c>
      <c r="T204" s="441">
        <v>0.3</v>
      </c>
      <c r="U204" s="441">
        <v>0.3</v>
      </c>
      <c r="V204" s="441">
        <v>0.28999999999999998</v>
      </c>
      <c r="W204" s="441">
        <v>0.3</v>
      </c>
      <c r="X204" s="441">
        <v>0.28999999999999998</v>
      </c>
      <c r="Y204" s="441">
        <v>0.3</v>
      </c>
      <c r="Z204" s="19">
        <f t="shared" si="99"/>
        <v>66.043013089537112</v>
      </c>
      <c r="AA204" s="19">
        <f t="shared" si="100"/>
        <v>76.609895183863046</v>
      </c>
      <c r="AB204" s="19">
        <f t="shared" si="101"/>
        <v>76.609895183863046</v>
      </c>
      <c r="AC204" s="19">
        <f t="shared" si="102"/>
        <v>79.251615707444529</v>
      </c>
      <c r="AD204" s="19">
        <f t="shared" si="103"/>
        <v>79.251615707444529</v>
      </c>
      <c r="AE204" s="19">
        <f t="shared" si="104"/>
        <v>79.251615707444529</v>
      </c>
      <c r="AF204" s="19">
        <f t="shared" si="105"/>
        <v>76.609895183863046</v>
      </c>
      <c r="AG204" s="19">
        <f t="shared" si="106"/>
        <v>79.251615707444529</v>
      </c>
      <c r="AH204" s="19">
        <f t="shared" si="107"/>
        <v>79.251615707444529</v>
      </c>
      <c r="AI204" s="19">
        <f t="shared" si="108"/>
        <v>76.609895183863046</v>
      </c>
      <c r="AJ204" s="19">
        <f t="shared" si="109"/>
        <v>79.251615707444529</v>
      </c>
      <c r="AK204" s="19">
        <f t="shared" si="110"/>
        <v>79.251615707444529</v>
      </c>
      <c r="AL204" s="19">
        <f t="shared" si="111"/>
        <v>76.609895183863046</v>
      </c>
      <c r="AM204" s="19">
        <f t="shared" si="112"/>
        <v>79.251615707444529</v>
      </c>
      <c r="AN204" s="19">
        <f t="shared" si="113"/>
        <v>79.251615707444529</v>
      </c>
      <c r="AO204" s="19">
        <f t="shared" si="114"/>
        <v>76.609895183863046</v>
      </c>
      <c r="AP204" s="19">
        <f t="shared" si="115"/>
        <v>79.251615707444529</v>
      </c>
      <c r="AQ204" s="19">
        <f t="shared" si="116"/>
        <v>76.609895183863046</v>
      </c>
      <c r="AR204" s="19">
        <f t="shared" si="117"/>
        <v>79.251615707444529</v>
      </c>
      <c r="AS204" s="19">
        <f t="shared" si="118"/>
        <v>79.251615707444529</v>
      </c>
      <c r="AT204" s="19">
        <f t="shared" si="119"/>
        <v>76.609895183863046</v>
      </c>
      <c r="AU204" s="19">
        <f t="shared" si="120"/>
        <v>79.251615707444529</v>
      </c>
      <c r="AV204" s="19">
        <f t="shared" si="121"/>
        <v>76.609895183863046</v>
      </c>
      <c r="AW204" s="19">
        <f t="shared" si="122"/>
        <v>79.251615707444529</v>
      </c>
      <c r="AX204" s="18">
        <f>IFERROR(Z204/'Ar-Pa'!B204,0)</f>
        <v>8.255376636192139</v>
      </c>
      <c r="AY204" s="18">
        <f>IFERROR(AA204/'Ar-Pa'!C204,0)</f>
        <v>9.5762368979828807</v>
      </c>
      <c r="AZ204" s="18">
        <f>IFERROR(AB204/'Ar-Pa'!D204,0)</f>
        <v>9.5762368979828807</v>
      </c>
      <c r="BA204" s="18">
        <f>IFERROR(AC204/'Ar-Pa'!E204,0)</f>
        <v>9.9064519634305661</v>
      </c>
      <c r="BB204" s="18">
        <f>IFERROR(AD204/'Ar-Pa'!F204,0)</f>
        <v>9.9064519634305661</v>
      </c>
      <c r="BC204" s="18">
        <f>IFERROR(AE204/'Ar-Pa'!G204,0)</f>
        <v>9.9064519634305661</v>
      </c>
      <c r="BD204" s="18">
        <f>IFERROR(AF204/'Ar-Pa'!H204,0)</f>
        <v>9.5762368979828807</v>
      </c>
      <c r="BE204" s="18">
        <f>IFERROR(AG204/'Ar-Pa'!I204,0)</f>
        <v>9.9064519634305661</v>
      </c>
      <c r="BF204" s="18">
        <f>IFERROR(AH204/'Ar-Pa'!J204,0)</f>
        <v>9.9064519634305661</v>
      </c>
      <c r="BG204" s="18">
        <f>IFERROR(AI204/'Ar-Pa'!K204,0)</f>
        <v>9.5762368979828807</v>
      </c>
      <c r="BH204" s="18">
        <f>IFERROR(AJ204/'Ar-Pa'!L204,0)</f>
        <v>9.9064519634305661</v>
      </c>
      <c r="BI204" s="18">
        <f>IFERROR(AK204/'Ar-Pa'!M204,0)</f>
        <v>9.9064519634305661</v>
      </c>
      <c r="BJ204" s="18">
        <f>IFERROR(AL204/'Ar-Pa'!N204,0)</f>
        <v>9.5762368979828807</v>
      </c>
      <c r="BK204" s="18">
        <f>IFERROR(AM204/'Ar-Pa'!O204,0)</f>
        <v>9.9064519634305661</v>
      </c>
      <c r="BL204" s="18">
        <f>IFERROR(AN204/'Ar-Pa'!P204,0)</f>
        <v>9.9064519634305661</v>
      </c>
      <c r="BM204" s="18">
        <f>IFERROR(AO204/'Ar-Pa'!Q204,0)</f>
        <v>9.5762368979828807</v>
      </c>
      <c r="BN204" s="18">
        <f>IFERROR(AP204/'Ar-Pa'!R204,0)</f>
        <v>9.9064519634305661</v>
      </c>
      <c r="BO204" s="18">
        <f>IFERROR(AQ204/'Ar-Pa'!S204,0)</f>
        <v>9.5762368979828807</v>
      </c>
      <c r="BP204" s="18">
        <f>IFERROR(AR204/'Ar-Pa'!T204,0)</f>
        <v>9.9064519634305661</v>
      </c>
      <c r="BQ204" s="18">
        <f>IFERROR(AS204/'Ar-Pa'!U204,0)</f>
        <v>9.9064519634305661</v>
      </c>
      <c r="BR204" s="18">
        <f>IFERROR(AT204/'Ar-Pa'!V204,0)</f>
        <v>9.5762368979828807</v>
      </c>
      <c r="BS204" s="18">
        <f>IFERROR(AU204/'Ar-Pa'!W204,0)</f>
        <v>9.9064519634305661</v>
      </c>
      <c r="BT204" s="18">
        <f>IFERROR(AV204/'Ar-Pa'!X204,0)</f>
        <v>9.5762368979828807</v>
      </c>
      <c r="BU204" s="18">
        <f>IFERROR(AW204/'Ar-Pa'!Y204,0)</f>
        <v>9.9064519634305661</v>
      </c>
    </row>
    <row r="205" spans="1:73">
      <c r="A205" s="15">
        <v>45130</v>
      </c>
      <c r="B205" s="441">
        <v>0.28000000000000003</v>
      </c>
      <c r="C205" s="441">
        <v>0.28000000000000003</v>
      </c>
      <c r="D205" s="441">
        <v>0.28000000000000003</v>
      </c>
      <c r="E205" s="441">
        <v>0.28000000000000003</v>
      </c>
      <c r="F205" s="441">
        <v>0.28000000000000003</v>
      </c>
      <c r="G205" s="441">
        <v>0.28000000000000003</v>
      </c>
      <c r="H205" s="441">
        <v>0.28999999999999998</v>
      </c>
      <c r="I205" s="441">
        <v>0.28000000000000003</v>
      </c>
      <c r="J205" s="441">
        <v>0.28000000000000003</v>
      </c>
      <c r="K205" s="441">
        <v>0.28000000000000003</v>
      </c>
      <c r="L205" s="441">
        <v>0.28999999999999998</v>
      </c>
      <c r="M205" s="441">
        <v>0.27</v>
      </c>
      <c r="N205" s="441">
        <v>0.28000000000000003</v>
      </c>
      <c r="O205" s="441">
        <v>0.28999999999999998</v>
      </c>
      <c r="P205" s="441">
        <v>0.28000000000000003</v>
      </c>
      <c r="Q205" s="441">
        <v>0.27</v>
      </c>
      <c r="R205" s="441">
        <v>0.28999999999999998</v>
      </c>
      <c r="S205" s="441">
        <v>0.28000000000000003</v>
      </c>
      <c r="T205" s="441">
        <v>0.28000000000000003</v>
      </c>
      <c r="U205" s="441">
        <v>0.28000000000000003</v>
      </c>
      <c r="V205" s="441">
        <v>0.27</v>
      </c>
      <c r="W205" s="441">
        <v>0.28000000000000003</v>
      </c>
      <c r="X205" s="441">
        <v>0.28000000000000003</v>
      </c>
      <c r="Y205" s="441">
        <v>0.28000000000000003</v>
      </c>
      <c r="Z205" s="19">
        <f t="shared" si="99"/>
        <v>73.968174660281562</v>
      </c>
      <c r="AA205" s="19">
        <f t="shared" si="100"/>
        <v>73.968174660281562</v>
      </c>
      <c r="AB205" s="19">
        <f t="shared" si="101"/>
        <v>73.968174660281562</v>
      </c>
      <c r="AC205" s="19">
        <f t="shared" si="102"/>
        <v>73.968174660281562</v>
      </c>
      <c r="AD205" s="19">
        <f t="shared" si="103"/>
        <v>73.968174660281562</v>
      </c>
      <c r="AE205" s="19">
        <f t="shared" si="104"/>
        <v>73.968174660281562</v>
      </c>
      <c r="AF205" s="19">
        <f t="shared" si="105"/>
        <v>76.609895183863046</v>
      </c>
      <c r="AG205" s="19">
        <f t="shared" si="106"/>
        <v>73.968174660281562</v>
      </c>
      <c r="AH205" s="19">
        <f t="shared" si="107"/>
        <v>73.968174660281562</v>
      </c>
      <c r="AI205" s="19">
        <f t="shared" si="108"/>
        <v>73.968174660281562</v>
      </c>
      <c r="AJ205" s="19">
        <f t="shared" si="109"/>
        <v>76.609895183863046</v>
      </c>
      <c r="AK205" s="19">
        <f t="shared" si="110"/>
        <v>71.326454136700079</v>
      </c>
      <c r="AL205" s="19">
        <f t="shared" si="111"/>
        <v>73.968174660281562</v>
      </c>
      <c r="AM205" s="19">
        <f t="shared" si="112"/>
        <v>76.609895183863046</v>
      </c>
      <c r="AN205" s="19">
        <f t="shared" si="113"/>
        <v>73.968174660281562</v>
      </c>
      <c r="AO205" s="19">
        <f t="shared" si="114"/>
        <v>71.326454136700079</v>
      </c>
      <c r="AP205" s="19">
        <f t="shared" si="115"/>
        <v>76.609895183863046</v>
      </c>
      <c r="AQ205" s="19">
        <f t="shared" si="116"/>
        <v>73.968174660281562</v>
      </c>
      <c r="AR205" s="19">
        <f t="shared" si="117"/>
        <v>73.968174660281562</v>
      </c>
      <c r="AS205" s="19">
        <f t="shared" si="118"/>
        <v>73.968174660281562</v>
      </c>
      <c r="AT205" s="19">
        <f t="shared" si="119"/>
        <v>71.326454136700079</v>
      </c>
      <c r="AU205" s="19">
        <f t="shared" si="120"/>
        <v>73.968174660281562</v>
      </c>
      <c r="AV205" s="19">
        <f t="shared" si="121"/>
        <v>73.968174660281562</v>
      </c>
      <c r="AW205" s="19">
        <f t="shared" si="122"/>
        <v>73.968174660281562</v>
      </c>
      <c r="AX205" s="18">
        <f>IFERROR(Z205/'Ar-Pa'!B205,0)</f>
        <v>9.2460218325351953</v>
      </c>
      <c r="AY205" s="18">
        <f>IFERROR(AA205/'Ar-Pa'!C205,0)</f>
        <v>9.2460218325351953</v>
      </c>
      <c r="AZ205" s="18">
        <f>IFERROR(AB205/'Ar-Pa'!D205,0)</f>
        <v>9.2460218325351953</v>
      </c>
      <c r="BA205" s="18">
        <f>IFERROR(AC205/'Ar-Pa'!E205,0)</f>
        <v>9.2460218325351953</v>
      </c>
      <c r="BB205" s="18">
        <f>IFERROR(AD205/'Ar-Pa'!F205,0)</f>
        <v>9.2460218325351953</v>
      </c>
      <c r="BC205" s="18">
        <f>IFERROR(AE205/'Ar-Pa'!G205,0)</f>
        <v>9.2460218325351953</v>
      </c>
      <c r="BD205" s="18">
        <f>IFERROR(AF205/'Ar-Pa'!H205,0)</f>
        <v>9.5762368979828807</v>
      </c>
      <c r="BE205" s="18">
        <f>IFERROR(AG205/'Ar-Pa'!I205,0)</f>
        <v>9.2460218325351953</v>
      </c>
      <c r="BF205" s="18">
        <f>IFERROR(AH205/'Ar-Pa'!J205,0)</f>
        <v>9.2460218325351953</v>
      </c>
      <c r="BG205" s="18">
        <f>IFERROR(AI205/'Ar-Pa'!K205,0)</f>
        <v>9.2460218325351953</v>
      </c>
      <c r="BH205" s="18">
        <f>IFERROR(AJ205/'Ar-Pa'!L205,0)</f>
        <v>9.5762368979828807</v>
      </c>
      <c r="BI205" s="18">
        <f>IFERROR(AK205/'Ar-Pa'!M205,0)</f>
        <v>8.9158067670875099</v>
      </c>
      <c r="BJ205" s="18">
        <f>IFERROR(AL205/'Ar-Pa'!N205,0)</f>
        <v>9.2460218325351953</v>
      </c>
      <c r="BK205" s="18">
        <f>IFERROR(AM205/'Ar-Pa'!O205,0)</f>
        <v>9.5762368979828807</v>
      </c>
      <c r="BL205" s="18">
        <f>IFERROR(AN205/'Ar-Pa'!P205,0)</f>
        <v>9.2460218325351953</v>
      </c>
      <c r="BM205" s="18">
        <f>IFERROR(AO205/'Ar-Pa'!Q205,0)</f>
        <v>8.9158067670875099</v>
      </c>
      <c r="BN205" s="18">
        <f>IFERROR(AP205/'Ar-Pa'!R205,0)</f>
        <v>9.5762368979828807</v>
      </c>
      <c r="BO205" s="18">
        <f>IFERROR(AQ205/'Ar-Pa'!S205,0)</f>
        <v>9.2460218325351953</v>
      </c>
      <c r="BP205" s="18">
        <f>IFERROR(AR205/'Ar-Pa'!T205,0)</f>
        <v>9.2460218325351953</v>
      </c>
      <c r="BQ205" s="18">
        <f>IFERROR(AS205/'Ar-Pa'!U205,0)</f>
        <v>9.2460218325351953</v>
      </c>
      <c r="BR205" s="18">
        <f>IFERROR(AT205/'Ar-Pa'!V205,0)</f>
        <v>8.9158067670875099</v>
      </c>
      <c r="BS205" s="18">
        <f>IFERROR(AU205/'Ar-Pa'!W205,0)</f>
        <v>9.2460218325351953</v>
      </c>
      <c r="BT205" s="18">
        <f>IFERROR(AV205/'Ar-Pa'!X205,0)</f>
        <v>9.2460218325351953</v>
      </c>
      <c r="BU205" s="18">
        <f>IFERROR(AW205/'Ar-Pa'!Y205,0)</f>
        <v>9.2460218325351953</v>
      </c>
    </row>
    <row r="206" spans="1:73">
      <c r="A206" s="15">
        <v>45131</v>
      </c>
      <c r="B206" s="441">
        <v>0.27</v>
      </c>
      <c r="C206" s="441">
        <v>0.27</v>
      </c>
      <c r="D206" s="441">
        <v>0.27</v>
      </c>
      <c r="E206" s="441">
        <v>0.27</v>
      </c>
      <c r="F206" s="441">
        <v>0.28000000000000003</v>
      </c>
      <c r="G206" s="441">
        <v>0.27</v>
      </c>
      <c r="H206" s="441">
        <v>0.27</v>
      </c>
      <c r="I206" s="441">
        <v>0.27</v>
      </c>
      <c r="J206" s="441">
        <v>0.28000000000000003</v>
      </c>
      <c r="K206" s="441">
        <v>0.27</v>
      </c>
      <c r="L206" s="441">
        <v>0.26</v>
      </c>
      <c r="M206" s="441">
        <v>0.27</v>
      </c>
      <c r="N206" s="441">
        <v>0.26</v>
      </c>
      <c r="O206" s="441">
        <v>0.25</v>
      </c>
      <c r="P206" s="441">
        <v>0.27</v>
      </c>
      <c r="Q206" s="441">
        <v>0.27</v>
      </c>
      <c r="R206" s="441">
        <v>0.27</v>
      </c>
      <c r="S206" s="441">
        <v>0.27</v>
      </c>
      <c r="T206" s="441">
        <v>0.27</v>
      </c>
      <c r="U206" s="441">
        <v>0.26</v>
      </c>
      <c r="V206" s="441">
        <v>0.27</v>
      </c>
      <c r="W206" s="441">
        <v>0.27</v>
      </c>
      <c r="X206" s="441">
        <v>0.27</v>
      </c>
      <c r="Y206" s="441">
        <v>0.27</v>
      </c>
      <c r="Z206" s="19">
        <f t="shared" si="99"/>
        <v>71.326454136700079</v>
      </c>
      <c r="AA206" s="19">
        <f t="shared" si="100"/>
        <v>71.326454136700079</v>
      </c>
      <c r="AB206" s="19">
        <f t="shared" si="101"/>
        <v>71.326454136700079</v>
      </c>
      <c r="AC206" s="19">
        <f t="shared" si="102"/>
        <v>71.326454136700079</v>
      </c>
      <c r="AD206" s="19">
        <f t="shared" si="103"/>
        <v>73.968174660281562</v>
      </c>
      <c r="AE206" s="19">
        <f t="shared" si="104"/>
        <v>71.326454136700079</v>
      </c>
      <c r="AF206" s="19">
        <f t="shared" si="105"/>
        <v>71.326454136700079</v>
      </c>
      <c r="AG206" s="19">
        <f t="shared" si="106"/>
        <v>71.326454136700079</v>
      </c>
      <c r="AH206" s="19">
        <f t="shared" si="107"/>
        <v>73.968174660281562</v>
      </c>
      <c r="AI206" s="19">
        <f t="shared" si="108"/>
        <v>71.326454136700079</v>
      </c>
      <c r="AJ206" s="19">
        <f t="shared" si="109"/>
        <v>68.684733613118595</v>
      </c>
      <c r="AK206" s="19">
        <f t="shared" si="110"/>
        <v>71.326454136700079</v>
      </c>
      <c r="AL206" s="19">
        <f t="shared" si="111"/>
        <v>68.684733613118595</v>
      </c>
      <c r="AM206" s="19">
        <f t="shared" si="112"/>
        <v>66.043013089537112</v>
      </c>
      <c r="AN206" s="19">
        <f t="shared" si="113"/>
        <v>71.326454136700079</v>
      </c>
      <c r="AO206" s="19">
        <f t="shared" si="114"/>
        <v>71.326454136700079</v>
      </c>
      <c r="AP206" s="19">
        <f t="shared" si="115"/>
        <v>71.326454136700079</v>
      </c>
      <c r="AQ206" s="19">
        <f t="shared" si="116"/>
        <v>71.326454136700079</v>
      </c>
      <c r="AR206" s="19">
        <f t="shared" si="117"/>
        <v>71.326454136700079</v>
      </c>
      <c r="AS206" s="19">
        <f t="shared" si="118"/>
        <v>68.684733613118595</v>
      </c>
      <c r="AT206" s="19">
        <f t="shared" si="119"/>
        <v>71.326454136700079</v>
      </c>
      <c r="AU206" s="19">
        <f t="shared" si="120"/>
        <v>71.326454136700079</v>
      </c>
      <c r="AV206" s="19">
        <f t="shared" si="121"/>
        <v>71.326454136700079</v>
      </c>
      <c r="AW206" s="19">
        <f t="shared" si="122"/>
        <v>71.326454136700079</v>
      </c>
      <c r="AX206" s="18">
        <f>IFERROR(Z206/'Ar-Pa'!B206,0)</f>
        <v>8.9158067670875099</v>
      </c>
      <c r="AY206" s="18">
        <f>IFERROR(AA206/'Ar-Pa'!C206,0)</f>
        <v>8.9158067670875099</v>
      </c>
      <c r="AZ206" s="18">
        <f>IFERROR(AB206/'Ar-Pa'!D206,0)</f>
        <v>8.9158067670875099</v>
      </c>
      <c r="BA206" s="18">
        <f>IFERROR(AC206/'Ar-Pa'!E206,0)</f>
        <v>8.9158067670875099</v>
      </c>
      <c r="BB206" s="18">
        <f>IFERROR(AD206/'Ar-Pa'!F206,0)</f>
        <v>9.2460218325351953</v>
      </c>
      <c r="BC206" s="18">
        <f>IFERROR(AE206/'Ar-Pa'!G206,0)</f>
        <v>8.9158067670875099</v>
      </c>
      <c r="BD206" s="18">
        <f>IFERROR(AF206/'Ar-Pa'!H206,0)</f>
        <v>8.9158067670875099</v>
      </c>
      <c r="BE206" s="18">
        <f>IFERROR(AG206/'Ar-Pa'!I206,0)</f>
        <v>8.9158067670875099</v>
      </c>
      <c r="BF206" s="18">
        <f>IFERROR(AH206/'Ar-Pa'!J206,0)</f>
        <v>9.2460218325351953</v>
      </c>
      <c r="BG206" s="18">
        <f>IFERROR(AI206/'Ar-Pa'!K206,0)</f>
        <v>8.9158067670875099</v>
      </c>
      <c r="BH206" s="18">
        <f>IFERROR(AJ206/'Ar-Pa'!L206,0)</f>
        <v>8.5855917016398244</v>
      </c>
      <c r="BI206" s="18">
        <f>IFERROR(AK206/'Ar-Pa'!M206,0)</f>
        <v>8.9158067670875099</v>
      </c>
      <c r="BJ206" s="18">
        <f>IFERROR(AL206/'Ar-Pa'!N206,0)</f>
        <v>8.5855917016398244</v>
      </c>
      <c r="BK206" s="18">
        <f>IFERROR(AM206/'Ar-Pa'!O206,0)</f>
        <v>8.255376636192139</v>
      </c>
      <c r="BL206" s="18">
        <f>IFERROR(AN206/'Ar-Pa'!P206,0)</f>
        <v>8.9158067670875099</v>
      </c>
      <c r="BM206" s="18">
        <f>IFERROR(AO206/'Ar-Pa'!Q206,0)</f>
        <v>8.9158067670875099</v>
      </c>
      <c r="BN206" s="18">
        <f>IFERROR(AP206/'Ar-Pa'!R206,0)</f>
        <v>8.9158067670875099</v>
      </c>
      <c r="BO206" s="18">
        <f>IFERROR(AQ206/'Ar-Pa'!S206,0)</f>
        <v>8.9158067670875099</v>
      </c>
      <c r="BP206" s="18">
        <f>IFERROR(AR206/'Ar-Pa'!T206,0)</f>
        <v>8.9158067670875099</v>
      </c>
      <c r="BQ206" s="18">
        <f>IFERROR(AS206/'Ar-Pa'!U206,0)</f>
        <v>8.5855917016398244</v>
      </c>
      <c r="BR206" s="18">
        <f>IFERROR(AT206/'Ar-Pa'!V206,0)</f>
        <v>8.9158067670875099</v>
      </c>
      <c r="BS206" s="18">
        <f>IFERROR(AU206/'Ar-Pa'!W206,0)</f>
        <v>8.9158067670875099</v>
      </c>
      <c r="BT206" s="18">
        <f>IFERROR(AV206/'Ar-Pa'!X206,0)</f>
        <v>8.9158067670875099</v>
      </c>
      <c r="BU206" s="18">
        <f>IFERROR(AW206/'Ar-Pa'!Y206,0)</f>
        <v>8.9158067670875099</v>
      </c>
    </row>
    <row r="207" spans="1:73">
      <c r="A207" s="15">
        <v>45132</v>
      </c>
      <c r="B207" s="441">
        <v>0.28999999999999998</v>
      </c>
      <c r="C207" s="441">
        <v>0.28999999999999998</v>
      </c>
      <c r="D207" s="441">
        <v>0.28999999999999998</v>
      </c>
      <c r="E207" s="441">
        <v>0.28000000000000003</v>
      </c>
      <c r="F207" s="441">
        <v>0.28999999999999998</v>
      </c>
      <c r="G207" s="441">
        <v>0.28000000000000003</v>
      </c>
      <c r="H207" s="441">
        <v>0.3</v>
      </c>
      <c r="I207" s="441">
        <v>0.28999999999999998</v>
      </c>
      <c r="J207" s="441">
        <v>0.28000000000000003</v>
      </c>
      <c r="K207" s="441">
        <v>0.28999999999999998</v>
      </c>
      <c r="L207" s="441">
        <v>0.27</v>
      </c>
      <c r="M207" s="441">
        <v>0.28000000000000003</v>
      </c>
      <c r="N207" s="441">
        <v>0.28000000000000003</v>
      </c>
      <c r="O207" s="441">
        <v>0.28000000000000003</v>
      </c>
      <c r="P207" s="441">
        <v>0.28000000000000003</v>
      </c>
      <c r="Q207" s="441">
        <v>0.28000000000000003</v>
      </c>
      <c r="R207" s="441">
        <v>0.28000000000000003</v>
      </c>
      <c r="S207" s="441">
        <v>0.27</v>
      </c>
      <c r="T207" s="441">
        <v>0.28000000000000003</v>
      </c>
      <c r="U207" s="441">
        <v>0.28999999999999998</v>
      </c>
      <c r="V207" s="441">
        <v>0.28000000000000003</v>
      </c>
      <c r="W207" s="441">
        <v>0.28999999999999998</v>
      </c>
      <c r="X207" s="441">
        <v>0.28999999999999998</v>
      </c>
      <c r="Y207" s="441">
        <v>0.28999999999999998</v>
      </c>
      <c r="Z207" s="19">
        <f t="shared" si="99"/>
        <v>76.609895183863046</v>
      </c>
      <c r="AA207" s="19">
        <f t="shared" si="100"/>
        <v>76.609895183863046</v>
      </c>
      <c r="AB207" s="19">
        <f t="shared" si="101"/>
        <v>76.609895183863046</v>
      </c>
      <c r="AC207" s="19">
        <f t="shared" si="102"/>
        <v>73.968174660281562</v>
      </c>
      <c r="AD207" s="19">
        <f t="shared" si="103"/>
        <v>76.609895183863046</v>
      </c>
      <c r="AE207" s="19">
        <f t="shared" si="104"/>
        <v>73.968174660281562</v>
      </c>
      <c r="AF207" s="19">
        <f t="shared" si="105"/>
        <v>79.251615707444529</v>
      </c>
      <c r="AG207" s="19">
        <f t="shared" si="106"/>
        <v>76.609895183863046</v>
      </c>
      <c r="AH207" s="19">
        <f t="shared" si="107"/>
        <v>73.968174660281562</v>
      </c>
      <c r="AI207" s="19">
        <f t="shared" si="108"/>
        <v>76.609895183863046</v>
      </c>
      <c r="AJ207" s="19">
        <f t="shared" si="109"/>
        <v>71.326454136700079</v>
      </c>
      <c r="AK207" s="19">
        <f t="shared" si="110"/>
        <v>73.968174660281562</v>
      </c>
      <c r="AL207" s="19">
        <f t="shared" si="111"/>
        <v>73.968174660281562</v>
      </c>
      <c r="AM207" s="19">
        <f t="shared" si="112"/>
        <v>73.968174660281562</v>
      </c>
      <c r="AN207" s="19">
        <f t="shared" si="113"/>
        <v>73.968174660281562</v>
      </c>
      <c r="AO207" s="19">
        <f t="shared" si="114"/>
        <v>73.968174660281562</v>
      </c>
      <c r="AP207" s="19">
        <f t="shared" si="115"/>
        <v>73.968174660281562</v>
      </c>
      <c r="AQ207" s="19">
        <f t="shared" si="116"/>
        <v>71.326454136700079</v>
      </c>
      <c r="AR207" s="19">
        <f t="shared" si="117"/>
        <v>73.968174660281562</v>
      </c>
      <c r="AS207" s="19">
        <f t="shared" si="118"/>
        <v>76.609895183863046</v>
      </c>
      <c r="AT207" s="19">
        <f t="shared" si="119"/>
        <v>73.968174660281562</v>
      </c>
      <c r="AU207" s="19">
        <f t="shared" si="120"/>
        <v>76.609895183863046</v>
      </c>
      <c r="AV207" s="19">
        <f t="shared" si="121"/>
        <v>76.609895183863046</v>
      </c>
      <c r="AW207" s="19">
        <f t="shared" si="122"/>
        <v>76.609895183863046</v>
      </c>
      <c r="AX207" s="18">
        <f>IFERROR(Z207/'Ar-Pa'!B207,0)</f>
        <v>9.5762368979828807</v>
      </c>
      <c r="AY207" s="18">
        <f>IFERROR(AA207/'Ar-Pa'!C207,0)</f>
        <v>9.5762368979828807</v>
      </c>
      <c r="AZ207" s="18">
        <f>IFERROR(AB207/'Ar-Pa'!D207,0)</f>
        <v>9.5762368979828807</v>
      </c>
      <c r="BA207" s="18">
        <f>IFERROR(AC207/'Ar-Pa'!E207,0)</f>
        <v>9.2460218325351953</v>
      </c>
      <c r="BB207" s="18">
        <f>IFERROR(AD207/'Ar-Pa'!F207,0)</f>
        <v>9.5762368979828807</v>
      </c>
      <c r="BC207" s="18">
        <f>IFERROR(AE207/'Ar-Pa'!G207,0)</f>
        <v>9.2460218325351953</v>
      </c>
      <c r="BD207" s="18">
        <f>IFERROR(AF207/'Ar-Pa'!H207,0)</f>
        <v>9.9064519634305661</v>
      </c>
      <c r="BE207" s="18">
        <f>IFERROR(AG207/'Ar-Pa'!I207,0)</f>
        <v>9.5762368979828807</v>
      </c>
      <c r="BF207" s="18">
        <f>IFERROR(AH207/'Ar-Pa'!J207,0)</f>
        <v>9.2460218325351953</v>
      </c>
      <c r="BG207" s="18">
        <f>IFERROR(AI207/'Ar-Pa'!K207,0)</f>
        <v>9.5762368979828807</v>
      </c>
      <c r="BH207" s="18">
        <f>IFERROR(AJ207/'Ar-Pa'!L207,0)</f>
        <v>8.9158067670875099</v>
      </c>
      <c r="BI207" s="18">
        <f>IFERROR(AK207/'Ar-Pa'!M207,0)</f>
        <v>9.2460218325351953</v>
      </c>
      <c r="BJ207" s="18">
        <f>IFERROR(AL207/'Ar-Pa'!N207,0)</f>
        <v>9.2460218325351953</v>
      </c>
      <c r="BK207" s="18">
        <f>IFERROR(AM207/'Ar-Pa'!O207,0)</f>
        <v>9.2460218325351953</v>
      </c>
      <c r="BL207" s="18">
        <f>IFERROR(AN207/'Ar-Pa'!P207,0)</f>
        <v>9.2460218325351953</v>
      </c>
      <c r="BM207" s="18">
        <f>IFERROR(AO207/'Ar-Pa'!Q207,0)</f>
        <v>9.2460218325351953</v>
      </c>
      <c r="BN207" s="18">
        <f>IFERROR(AP207/'Ar-Pa'!R207,0)</f>
        <v>9.2460218325351953</v>
      </c>
      <c r="BO207" s="18">
        <f>IFERROR(AQ207/'Ar-Pa'!S207,0)</f>
        <v>8.9158067670875099</v>
      </c>
      <c r="BP207" s="18">
        <f>IFERROR(AR207/'Ar-Pa'!T207,0)</f>
        <v>9.2460218325351953</v>
      </c>
      <c r="BQ207" s="18">
        <f>IFERROR(AS207/'Ar-Pa'!U207,0)</f>
        <v>9.5762368979828807</v>
      </c>
      <c r="BR207" s="18">
        <f>IFERROR(AT207/'Ar-Pa'!V207,0)</f>
        <v>9.2460218325351953</v>
      </c>
      <c r="BS207" s="18">
        <f>IFERROR(AU207/'Ar-Pa'!W207,0)</f>
        <v>9.5762368979828807</v>
      </c>
      <c r="BT207" s="18">
        <f>IFERROR(AV207/'Ar-Pa'!X207,0)</f>
        <v>9.5762368979828807</v>
      </c>
      <c r="BU207" s="18">
        <f>IFERROR(AW207/'Ar-Pa'!Y207,0)</f>
        <v>9.5762368979828807</v>
      </c>
    </row>
    <row r="208" spans="1:73">
      <c r="A208" s="15">
        <v>45133</v>
      </c>
      <c r="B208" s="441">
        <v>0.23</v>
      </c>
      <c r="C208" s="441">
        <v>0.22</v>
      </c>
      <c r="D208" s="441">
        <v>0.22</v>
      </c>
      <c r="E208" s="441">
        <v>0.23</v>
      </c>
      <c r="F208" s="441">
        <v>0.22</v>
      </c>
      <c r="G208" s="441">
        <v>0.23</v>
      </c>
      <c r="H208" s="441">
        <v>0.23</v>
      </c>
      <c r="I208" s="441">
        <v>0.22</v>
      </c>
      <c r="J208" s="441">
        <v>0.23</v>
      </c>
      <c r="K208" s="441">
        <v>0.22</v>
      </c>
      <c r="L208" s="441">
        <v>0.22</v>
      </c>
      <c r="M208" s="441">
        <v>0.22</v>
      </c>
      <c r="N208" s="441">
        <v>0.23</v>
      </c>
      <c r="O208" s="441">
        <v>0.23</v>
      </c>
      <c r="P208" s="441">
        <v>0.22</v>
      </c>
      <c r="Q208" s="441">
        <v>0.22</v>
      </c>
      <c r="R208" s="441">
        <v>0.22</v>
      </c>
      <c r="S208" s="441">
        <v>0.23</v>
      </c>
      <c r="T208" s="441">
        <v>0.22</v>
      </c>
      <c r="U208" s="441">
        <v>0.23</v>
      </c>
      <c r="V208" s="441">
        <v>0.22</v>
      </c>
      <c r="W208" s="441">
        <v>0.22</v>
      </c>
      <c r="X208" s="441">
        <v>0.23</v>
      </c>
      <c r="Y208" s="441">
        <v>0.22</v>
      </c>
      <c r="Z208" s="19">
        <f t="shared" si="99"/>
        <v>60.759572042374138</v>
      </c>
      <c r="AA208" s="19">
        <f t="shared" si="100"/>
        <v>58.117851518792655</v>
      </c>
      <c r="AB208" s="19">
        <f t="shared" si="101"/>
        <v>58.117851518792655</v>
      </c>
      <c r="AC208" s="19">
        <f t="shared" si="102"/>
        <v>60.759572042374138</v>
      </c>
      <c r="AD208" s="19">
        <f t="shared" si="103"/>
        <v>58.117851518792655</v>
      </c>
      <c r="AE208" s="19">
        <f t="shared" si="104"/>
        <v>60.759572042374138</v>
      </c>
      <c r="AF208" s="19">
        <f t="shared" si="105"/>
        <v>60.759572042374138</v>
      </c>
      <c r="AG208" s="19">
        <f t="shared" si="106"/>
        <v>58.117851518792655</v>
      </c>
      <c r="AH208" s="19">
        <f t="shared" si="107"/>
        <v>60.759572042374138</v>
      </c>
      <c r="AI208" s="19">
        <f t="shared" si="108"/>
        <v>58.117851518792655</v>
      </c>
      <c r="AJ208" s="19">
        <f t="shared" si="109"/>
        <v>58.117851518792655</v>
      </c>
      <c r="AK208" s="19">
        <f t="shared" si="110"/>
        <v>58.117851518792655</v>
      </c>
      <c r="AL208" s="19">
        <f t="shared" si="111"/>
        <v>60.759572042374138</v>
      </c>
      <c r="AM208" s="19">
        <f t="shared" si="112"/>
        <v>60.759572042374138</v>
      </c>
      <c r="AN208" s="19">
        <f t="shared" si="113"/>
        <v>58.117851518792655</v>
      </c>
      <c r="AO208" s="19">
        <f t="shared" si="114"/>
        <v>58.117851518792655</v>
      </c>
      <c r="AP208" s="19">
        <f t="shared" si="115"/>
        <v>58.117851518792655</v>
      </c>
      <c r="AQ208" s="19">
        <f t="shared" si="116"/>
        <v>60.759572042374138</v>
      </c>
      <c r="AR208" s="19">
        <f t="shared" si="117"/>
        <v>58.117851518792655</v>
      </c>
      <c r="AS208" s="19">
        <f t="shared" si="118"/>
        <v>60.759572042374138</v>
      </c>
      <c r="AT208" s="19">
        <f t="shared" si="119"/>
        <v>58.117851518792655</v>
      </c>
      <c r="AU208" s="19">
        <f t="shared" si="120"/>
        <v>58.117851518792655</v>
      </c>
      <c r="AV208" s="19">
        <f t="shared" si="121"/>
        <v>60.759572042374138</v>
      </c>
      <c r="AW208" s="19">
        <f t="shared" si="122"/>
        <v>58.117851518792655</v>
      </c>
      <c r="AX208" s="18">
        <f>IFERROR(Z208/'Ar-Pa'!B208,0)</f>
        <v>8.6799388631963055</v>
      </c>
      <c r="AY208" s="18">
        <f>IFERROR(AA208/'Ar-Pa'!C208,0)</f>
        <v>8.3025502169703795</v>
      </c>
      <c r="AZ208" s="18">
        <f>IFERROR(AB208/'Ar-Pa'!D208,0)</f>
        <v>8.3025502169703795</v>
      </c>
      <c r="BA208" s="18">
        <f>IFERROR(AC208/'Ar-Pa'!E208,0)</f>
        <v>8.6799388631963055</v>
      </c>
      <c r="BB208" s="18">
        <f>IFERROR(AD208/'Ar-Pa'!F208,0)</f>
        <v>8.3025502169703795</v>
      </c>
      <c r="BC208" s="18">
        <f>IFERROR(AE208/'Ar-Pa'!G208,0)</f>
        <v>8.6799388631963055</v>
      </c>
      <c r="BD208" s="18">
        <f>IFERROR(AF208/'Ar-Pa'!H208,0)</f>
        <v>8.6799388631963055</v>
      </c>
      <c r="BE208" s="18">
        <f>IFERROR(AG208/'Ar-Pa'!I208,0)</f>
        <v>8.3025502169703795</v>
      </c>
      <c r="BF208" s="18">
        <f>IFERROR(AH208/'Ar-Pa'!J208,0)</f>
        <v>8.6799388631963055</v>
      </c>
      <c r="BG208" s="18">
        <f>IFERROR(AI208/'Ar-Pa'!K208,0)</f>
        <v>8.3025502169703795</v>
      </c>
      <c r="BH208" s="18">
        <f>IFERROR(AJ208/'Ar-Pa'!L208,0)</f>
        <v>8.3025502169703795</v>
      </c>
      <c r="BI208" s="18">
        <f>IFERROR(AK208/'Ar-Pa'!M208,0)</f>
        <v>8.3025502169703795</v>
      </c>
      <c r="BJ208" s="18">
        <f>IFERROR(AL208/'Ar-Pa'!N208,0)</f>
        <v>8.6799388631963055</v>
      </c>
      <c r="BK208" s="18">
        <f>IFERROR(AM208/'Ar-Pa'!O208,0)</f>
        <v>8.6799388631963055</v>
      </c>
      <c r="BL208" s="18">
        <f>IFERROR(AN208/'Ar-Pa'!P208,0)</f>
        <v>8.3025502169703795</v>
      </c>
      <c r="BM208" s="18">
        <f>IFERROR(AO208/'Ar-Pa'!Q208,0)</f>
        <v>8.3025502169703795</v>
      </c>
      <c r="BN208" s="18">
        <f>IFERROR(AP208/'Ar-Pa'!R208,0)</f>
        <v>8.3025502169703795</v>
      </c>
      <c r="BO208" s="18">
        <f>IFERROR(AQ208/'Ar-Pa'!S208,0)</f>
        <v>8.6799388631963055</v>
      </c>
      <c r="BP208" s="18">
        <f>IFERROR(AR208/'Ar-Pa'!T208,0)</f>
        <v>8.3025502169703795</v>
      </c>
      <c r="BQ208" s="18">
        <f>IFERROR(AS208/'Ar-Pa'!U208,0)</f>
        <v>8.6799388631963055</v>
      </c>
      <c r="BR208" s="18">
        <f>IFERROR(AT208/'Ar-Pa'!V208,0)</f>
        <v>8.3025502169703795</v>
      </c>
      <c r="BS208" s="18">
        <f>IFERROR(AU208/'Ar-Pa'!W208,0)</f>
        <v>8.3025502169703795</v>
      </c>
      <c r="BT208" s="18">
        <f>IFERROR(AV208/'Ar-Pa'!X208,0)</f>
        <v>7.5949465052967673</v>
      </c>
      <c r="BU208" s="18">
        <f>IFERROR(AW208/'Ar-Pa'!Y208,0)</f>
        <v>8.3025502169703795</v>
      </c>
    </row>
    <row r="209" spans="1:73">
      <c r="A209" s="15">
        <v>45134</v>
      </c>
      <c r="B209" s="441">
        <v>0.28999999999999998</v>
      </c>
      <c r="C209" s="441">
        <v>0.3</v>
      </c>
      <c r="D209" s="441">
        <v>0.3</v>
      </c>
      <c r="E209" s="441">
        <v>0.3</v>
      </c>
      <c r="F209" s="441">
        <v>0.3</v>
      </c>
      <c r="G209" s="441">
        <v>0.3</v>
      </c>
      <c r="H209" s="441">
        <v>0.3</v>
      </c>
      <c r="I209" s="441">
        <v>0.3</v>
      </c>
      <c r="J209" s="441">
        <v>0.3</v>
      </c>
      <c r="K209" s="441">
        <v>0.31</v>
      </c>
      <c r="L209" s="441">
        <v>0.28999999999999998</v>
      </c>
      <c r="M209" s="441">
        <v>0.31</v>
      </c>
      <c r="N209" s="441">
        <v>0.28999999999999998</v>
      </c>
      <c r="O209" s="441">
        <v>0.31</v>
      </c>
      <c r="P209" s="441">
        <v>0.3</v>
      </c>
      <c r="Q209" s="441">
        <v>0.3</v>
      </c>
      <c r="R209" s="441">
        <v>0.28999999999999998</v>
      </c>
      <c r="S209" s="441">
        <v>0.31</v>
      </c>
      <c r="T209" s="441">
        <v>0.3</v>
      </c>
      <c r="U209" s="441">
        <v>0.28999999999999998</v>
      </c>
      <c r="V209" s="441">
        <v>0.31</v>
      </c>
      <c r="W209" s="441">
        <v>0.28999999999999998</v>
      </c>
      <c r="X209" s="441">
        <v>0.31</v>
      </c>
      <c r="Y209" s="441">
        <v>0.28999999999999998</v>
      </c>
      <c r="Z209" s="19">
        <f t="shared" si="99"/>
        <v>76.609895183863046</v>
      </c>
      <c r="AA209" s="19">
        <f t="shared" si="100"/>
        <v>79.251615707444529</v>
      </c>
      <c r="AB209" s="19">
        <f t="shared" si="101"/>
        <v>79.251615707444529</v>
      </c>
      <c r="AC209" s="19">
        <f t="shared" si="102"/>
        <v>79.251615707444529</v>
      </c>
      <c r="AD209" s="19">
        <f t="shared" si="103"/>
        <v>79.251615707444529</v>
      </c>
      <c r="AE209" s="19">
        <f t="shared" si="104"/>
        <v>79.251615707444529</v>
      </c>
      <c r="AF209" s="19">
        <f t="shared" si="105"/>
        <v>79.251615707444529</v>
      </c>
      <c r="AG209" s="19">
        <f t="shared" si="106"/>
        <v>79.251615707444529</v>
      </c>
      <c r="AH209" s="19">
        <f t="shared" si="107"/>
        <v>79.251615707444529</v>
      </c>
      <c r="AI209" s="19">
        <f t="shared" si="108"/>
        <v>81.893336231026012</v>
      </c>
      <c r="AJ209" s="19">
        <f t="shared" si="109"/>
        <v>76.609895183863046</v>
      </c>
      <c r="AK209" s="19">
        <f t="shared" si="110"/>
        <v>81.893336231026012</v>
      </c>
      <c r="AL209" s="19">
        <f t="shared" si="111"/>
        <v>76.609895183863046</v>
      </c>
      <c r="AM209" s="19">
        <f t="shared" si="112"/>
        <v>81.893336231026012</v>
      </c>
      <c r="AN209" s="19">
        <f t="shared" si="113"/>
        <v>79.251615707444529</v>
      </c>
      <c r="AO209" s="19">
        <f t="shared" si="114"/>
        <v>79.251615707444529</v>
      </c>
      <c r="AP209" s="19">
        <f t="shared" si="115"/>
        <v>76.609895183863046</v>
      </c>
      <c r="AQ209" s="19">
        <f t="shared" si="116"/>
        <v>81.893336231026012</v>
      </c>
      <c r="AR209" s="19">
        <f t="shared" si="117"/>
        <v>79.251615707444529</v>
      </c>
      <c r="AS209" s="19">
        <f t="shared" si="118"/>
        <v>76.609895183863046</v>
      </c>
      <c r="AT209" s="19">
        <f t="shared" si="119"/>
        <v>81.893336231026012</v>
      </c>
      <c r="AU209" s="19">
        <f t="shared" si="120"/>
        <v>76.609895183863046</v>
      </c>
      <c r="AV209" s="19">
        <f t="shared" si="121"/>
        <v>81.893336231026012</v>
      </c>
      <c r="AW209" s="19">
        <f t="shared" si="122"/>
        <v>76.609895183863046</v>
      </c>
      <c r="AX209" s="18">
        <f>IFERROR(Z209/'Ar-Pa'!B209,0)</f>
        <v>10.944270740551863</v>
      </c>
      <c r="AY209" s="18">
        <f>IFERROR(AA209/'Ar-Pa'!C209,0)</f>
        <v>9.9064519634305661</v>
      </c>
      <c r="AZ209" s="18">
        <f>IFERROR(AB209/'Ar-Pa'!D209,0)</f>
        <v>11.321659386777791</v>
      </c>
      <c r="BA209" s="18">
        <f>IFERROR(AC209/'Ar-Pa'!E209,0)</f>
        <v>9.9064519634305661</v>
      </c>
      <c r="BB209" s="18">
        <f>IFERROR(AD209/'Ar-Pa'!F209,0)</f>
        <v>9.9064519634305661</v>
      </c>
      <c r="BC209" s="18">
        <f>IFERROR(AE209/'Ar-Pa'!G209,0)</f>
        <v>9.9064519634305661</v>
      </c>
      <c r="BD209" s="18">
        <f>IFERROR(AF209/'Ar-Pa'!H209,0)</f>
        <v>9.9064519634305661</v>
      </c>
      <c r="BE209" s="18">
        <f>IFERROR(AG209/'Ar-Pa'!I209,0)</f>
        <v>9.9064519634305661</v>
      </c>
      <c r="BF209" s="18">
        <f>IFERROR(AH209/'Ar-Pa'!J209,0)</f>
        <v>9.9064519634305661</v>
      </c>
      <c r="BG209" s="18">
        <f>IFERROR(AI209/'Ar-Pa'!K209,0)</f>
        <v>10.236667028878252</v>
      </c>
      <c r="BH209" s="18">
        <f>IFERROR(AJ209/'Ar-Pa'!L209,0)</f>
        <v>9.5762368979828807</v>
      </c>
      <c r="BI209" s="18">
        <f>IFERROR(AK209/'Ar-Pa'!M209,0)</f>
        <v>10.236667028878252</v>
      </c>
      <c r="BJ209" s="18">
        <f>IFERROR(AL209/'Ar-Pa'!N209,0)</f>
        <v>9.5762368979828807</v>
      </c>
      <c r="BK209" s="18">
        <f>IFERROR(AM209/'Ar-Pa'!O209,0)</f>
        <v>10.236667028878252</v>
      </c>
      <c r="BL209" s="18">
        <f>IFERROR(AN209/'Ar-Pa'!P209,0)</f>
        <v>9.9064519634305661</v>
      </c>
      <c r="BM209" s="18">
        <f>IFERROR(AO209/'Ar-Pa'!Q209,0)</f>
        <v>9.9064519634305661</v>
      </c>
      <c r="BN209" s="18">
        <f>IFERROR(AP209/'Ar-Pa'!R209,0)</f>
        <v>9.5762368979828807</v>
      </c>
      <c r="BO209" s="18">
        <f>IFERROR(AQ209/'Ar-Pa'!S209,0)</f>
        <v>10.236667028878252</v>
      </c>
      <c r="BP209" s="18">
        <f>IFERROR(AR209/'Ar-Pa'!T209,0)</f>
        <v>9.9064519634305661</v>
      </c>
      <c r="BQ209" s="18">
        <f>IFERROR(AS209/'Ar-Pa'!U209,0)</f>
        <v>9.5762368979828807</v>
      </c>
      <c r="BR209" s="18">
        <f>IFERROR(AT209/'Ar-Pa'!V209,0)</f>
        <v>10.236667028878252</v>
      </c>
      <c r="BS209" s="18">
        <f>IFERROR(AU209/'Ar-Pa'!W209,0)</f>
        <v>9.5762368979828807</v>
      </c>
      <c r="BT209" s="18">
        <f>IFERROR(AV209/'Ar-Pa'!X209,0)</f>
        <v>10.236667028878252</v>
      </c>
      <c r="BU209" s="18">
        <f>IFERROR(AW209/'Ar-Pa'!Y209,0)</f>
        <v>9.5762368979828807</v>
      </c>
    </row>
    <row r="210" spans="1:73">
      <c r="A210" s="15">
        <v>45135</v>
      </c>
      <c r="B210" s="441">
        <v>0.26</v>
      </c>
      <c r="C210" s="441">
        <v>0.26</v>
      </c>
      <c r="D210" s="441">
        <v>0.25</v>
      </c>
      <c r="E210" s="441">
        <v>0.27</v>
      </c>
      <c r="F210" s="441">
        <v>0.26</v>
      </c>
      <c r="G210" s="441">
        <v>0.25</v>
      </c>
      <c r="H210" s="441">
        <v>0.26</v>
      </c>
      <c r="I210" s="441">
        <v>0.26</v>
      </c>
      <c r="J210" s="441">
        <v>0.26</v>
      </c>
      <c r="K210" s="441">
        <v>0.26</v>
      </c>
      <c r="L210" s="441">
        <v>0.26</v>
      </c>
      <c r="M210" s="441">
        <v>0.26</v>
      </c>
      <c r="N210" s="441">
        <v>0.26</v>
      </c>
      <c r="O210" s="441">
        <v>0.26</v>
      </c>
      <c r="P210" s="441">
        <v>0.26</v>
      </c>
      <c r="Q210" s="441">
        <v>0.26</v>
      </c>
      <c r="R210" s="441">
        <v>0.27</v>
      </c>
      <c r="S210" s="441">
        <v>0.26</v>
      </c>
      <c r="T210" s="441">
        <v>0.26</v>
      </c>
      <c r="U210" s="441">
        <v>0.27</v>
      </c>
      <c r="V210" s="441">
        <v>0.26</v>
      </c>
      <c r="W210" s="441">
        <v>0.26</v>
      </c>
      <c r="X210" s="441">
        <v>0.26</v>
      </c>
      <c r="Y210" s="441">
        <v>0.26</v>
      </c>
      <c r="Z210" s="19">
        <f t="shared" si="99"/>
        <v>68.684733613118595</v>
      </c>
      <c r="AA210" s="19">
        <f t="shared" si="100"/>
        <v>68.684733613118595</v>
      </c>
      <c r="AB210" s="19">
        <f t="shared" si="101"/>
        <v>66.043013089537112</v>
      </c>
      <c r="AC210" s="19">
        <f t="shared" si="102"/>
        <v>71.326454136700079</v>
      </c>
      <c r="AD210" s="19">
        <f t="shared" si="103"/>
        <v>68.684733613118595</v>
      </c>
      <c r="AE210" s="19">
        <f t="shared" si="104"/>
        <v>66.043013089537112</v>
      </c>
      <c r="AF210" s="19">
        <f t="shared" si="105"/>
        <v>68.684733613118595</v>
      </c>
      <c r="AG210" s="19">
        <f t="shared" si="106"/>
        <v>68.684733613118595</v>
      </c>
      <c r="AH210" s="19">
        <f t="shared" si="107"/>
        <v>68.684733613118595</v>
      </c>
      <c r="AI210" s="19">
        <f t="shared" si="108"/>
        <v>68.684733613118595</v>
      </c>
      <c r="AJ210" s="19">
        <f t="shared" si="109"/>
        <v>68.684733613118595</v>
      </c>
      <c r="AK210" s="19">
        <f t="shared" si="110"/>
        <v>68.684733613118595</v>
      </c>
      <c r="AL210" s="19">
        <f t="shared" si="111"/>
        <v>68.684733613118595</v>
      </c>
      <c r="AM210" s="19">
        <f t="shared" si="112"/>
        <v>68.684733613118595</v>
      </c>
      <c r="AN210" s="19">
        <f t="shared" si="113"/>
        <v>68.684733613118595</v>
      </c>
      <c r="AO210" s="19">
        <f t="shared" si="114"/>
        <v>68.684733613118595</v>
      </c>
      <c r="AP210" s="19">
        <f t="shared" si="115"/>
        <v>71.326454136700079</v>
      </c>
      <c r="AQ210" s="19">
        <f t="shared" si="116"/>
        <v>68.684733613118595</v>
      </c>
      <c r="AR210" s="19">
        <f t="shared" si="117"/>
        <v>68.684733613118595</v>
      </c>
      <c r="AS210" s="19">
        <f t="shared" si="118"/>
        <v>71.326454136700079</v>
      </c>
      <c r="AT210" s="19">
        <f t="shared" si="119"/>
        <v>68.684733613118595</v>
      </c>
      <c r="AU210" s="19">
        <f t="shared" si="120"/>
        <v>68.684733613118595</v>
      </c>
      <c r="AV210" s="19">
        <f t="shared" si="121"/>
        <v>68.684733613118595</v>
      </c>
      <c r="AW210" s="19">
        <f t="shared" si="122"/>
        <v>68.684733613118595</v>
      </c>
      <c r="AX210" s="18">
        <f>IFERROR(Z210/'Ar-Pa'!B210,0)</f>
        <v>8.5855917016398244</v>
      </c>
      <c r="AY210" s="18">
        <f>IFERROR(AA210/'Ar-Pa'!C210,0)</f>
        <v>8.5855917016398244</v>
      </c>
      <c r="AZ210" s="18">
        <f>IFERROR(AB210/'Ar-Pa'!D210,0)</f>
        <v>8.255376636192139</v>
      </c>
      <c r="BA210" s="18">
        <f>IFERROR(AC210/'Ar-Pa'!E210,0)</f>
        <v>8.9158067670875099</v>
      </c>
      <c r="BB210" s="18">
        <f>IFERROR(AD210/'Ar-Pa'!F210,0)</f>
        <v>8.5855917016398244</v>
      </c>
      <c r="BC210" s="18">
        <f>IFERROR(AE210/'Ar-Pa'!G210,0)</f>
        <v>8.255376636192139</v>
      </c>
      <c r="BD210" s="18">
        <f>IFERROR(AF210/'Ar-Pa'!H210,0)</f>
        <v>8.5855917016398244</v>
      </c>
      <c r="BE210" s="18">
        <f>IFERROR(AG210/'Ar-Pa'!I210,0)</f>
        <v>8.5855917016398244</v>
      </c>
      <c r="BF210" s="18">
        <f>IFERROR(AH210/'Ar-Pa'!J210,0)</f>
        <v>8.5855917016398244</v>
      </c>
      <c r="BG210" s="18">
        <f>IFERROR(AI210/'Ar-Pa'!K210,0)</f>
        <v>8.5855917016398244</v>
      </c>
      <c r="BH210" s="18">
        <f>IFERROR(AJ210/'Ar-Pa'!L210,0)</f>
        <v>8.5855917016398244</v>
      </c>
      <c r="BI210" s="18">
        <f>IFERROR(AK210/'Ar-Pa'!M210,0)</f>
        <v>8.5855917016398244</v>
      </c>
      <c r="BJ210" s="18">
        <f>IFERROR(AL210/'Ar-Pa'!N210,0)</f>
        <v>8.5855917016398244</v>
      </c>
      <c r="BK210" s="18">
        <f>IFERROR(AM210/'Ar-Pa'!O210,0)</f>
        <v>8.5855917016398244</v>
      </c>
      <c r="BL210" s="18">
        <f>IFERROR(AN210/'Ar-Pa'!P210,0)</f>
        <v>8.5855917016398244</v>
      </c>
      <c r="BM210" s="18">
        <f>IFERROR(AO210/'Ar-Pa'!Q210,0)</f>
        <v>8.5855917016398244</v>
      </c>
      <c r="BN210" s="18">
        <f>IFERROR(AP210/'Ar-Pa'!R210,0)</f>
        <v>8.9158067670875099</v>
      </c>
      <c r="BO210" s="18">
        <f>IFERROR(AQ210/'Ar-Pa'!S210,0)</f>
        <v>8.5855917016398244</v>
      </c>
      <c r="BP210" s="18">
        <f>IFERROR(AR210/'Ar-Pa'!T210,0)</f>
        <v>8.5855917016398244</v>
      </c>
      <c r="BQ210" s="18">
        <f>IFERROR(AS210/'Ar-Pa'!U210,0)</f>
        <v>8.9158067670875099</v>
      </c>
      <c r="BR210" s="18">
        <f>IFERROR(AT210/'Ar-Pa'!V210,0)</f>
        <v>8.5855917016398244</v>
      </c>
      <c r="BS210" s="18">
        <f>IFERROR(AU210/'Ar-Pa'!W210,0)</f>
        <v>8.5855917016398244</v>
      </c>
      <c r="BT210" s="18">
        <f>IFERROR(AV210/'Ar-Pa'!X210,0)</f>
        <v>8.5855917016398244</v>
      </c>
      <c r="BU210" s="18">
        <f>IFERROR(AW210/'Ar-Pa'!Y210,0)</f>
        <v>8.5855917016398244</v>
      </c>
    </row>
    <row r="211" spans="1:73">
      <c r="A211" s="15">
        <v>45136</v>
      </c>
      <c r="B211" s="441">
        <v>0.28999999999999998</v>
      </c>
      <c r="C211" s="441">
        <v>0.28000000000000003</v>
      </c>
      <c r="D211" s="441">
        <v>0.28000000000000003</v>
      </c>
      <c r="E211" s="441">
        <v>0.28999999999999998</v>
      </c>
      <c r="F211" s="441">
        <v>0.28999999999999998</v>
      </c>
      <c r="G211" s="441">
        <v>0.28000000000000003</v>
      </c>
      <c r="H211" s="441">
        <v>0.28000000000000003</v>
      </c>
      <c r="I211" s="441">
        <v>0.28000000000000003</v>
      </c>
      <c r="J211" s="441">
        <v>0.28000000000000003</v>
      </c>
      <c r="K211" s="441">
        <v>0.28000000000000003</v>
      </c>
      <c r="L211" s="441">
        <v>0.28999999999999998</v>
      </c>
      <c r="M211" s="441">
        <v>0.28000000000000003</v>
      </c>
      <c r="N211" s="441">
        <v>0.28999999999999998</v>
      </c>
      <c r="O211" s="441">
        <v>0.27</v>
      </c>
      <c r="P211" s="441">
        <v>0.28999999999999998</v>
      </c>
      <c r="Q211" s="441">
        <v>0.28000000000000003</v>
      </c>
      <c r="R211" s="441">
        <v>0.28999999999999998</v>
      </c>
      <c r="S211" s="441">
        <v>0.28999999999999998</v>
      </c>
      <c r="T211" s="441">
        <v>0.28000000000000003</v>
      </c>
      <c r="U211" s="441">
        <v>0.28000000000000003</v>
      </c>
      <c r="V211" s="441">
        <v>0.28999999999999998</v>
      </c>
      <c r="W211" s="441">
        <v>0.28000000000000003</v>
      </c>
      <c r="X211" s="441">
        <v>0.28999999999999998</v>
      </c>
      <c r="Y211" s="441">
        <v>0.28000000000000003</v>
      </c>
      <c r="Z211" s="19">
        <f t="shared" si="99"/>
        <v>76.609895183863046</v>
      </c>
      <c r="AA211" s="19">
        <f t="shared" si="100"/>
        <v>73.968174660281562</v>
      </c>
      <c r="AB211" s="19">
        <f t="shared" si="101"/>
        <v>73.968174660281562</v>
      </c>
      <c r="AC211" s="19">
        <f t="shared" si="102"/>
        <v>76.609895183863046</v>
      </c>
      <c r="AD211" s="19">
        <f t="shared" si="103"/>
        <v>76.609895183863046</v>
      </c>
      <c r="AE211" s="19">
        <f t="shared" si="104"/>
        <v>73.968174660281562</v>
      </c>
      <c r="AF211" s="19">
        <f t="shared" si="105"/>
        <v>73.968174660281562</v>
      </c>
      <c r="AG211" s="19">
        <f t="shared" si="106"/>
        <v>73.968174660281562</v>
      </c>
      <c r="AH211" s="19">
        <f t="shared" si="107"/>
        <v>73.968174660281562</v>
      </c>
      <c r="AI211" s="19">
        <f t="shared" si="108"/>
        <v>73.968174660281562</v>
      </c>
      <c r="AJ211" s="19">
        <f t="shared" si="109"/>
        <v>76.609895183863046</v>
      </c>
      <c r="AK211" s="19">
        <f t="shared" si="110"/>
        <v>73.968174660281562</v>
      </c>
      <c r="AL211" s="19">
        <f t="shared" si="111"/>
        <v>76.609895183863046</v>
      </c>
      <c r="AM211" s="19">
        <f t="shared" si="112"/>
        <v>71.326454136700079</v>
      </c>
      <c r="AN211" s="19">
        <f t="shared" si="113"/>
        <v>76.609895183863046</v>
      </c>
      <c r="AO211" s="19">
        <f t="shared" si="114"/>
        <v>73.968174660281562</v>
      </c>
      <c r="AP211" s="19">
        <f t="shared" si="115"/>
        <v>76.609895183863046</v>
      </c>
      <c r="AQ211" s="19">
        <f t="shared" si="116"/>
        <v>76.609895183863046</v>
      </c>
      <c r="AR211" s="19">
        <f t="shared" si="117"/>
        <v>73.968174660281562</v>
      </c>
      <c r="AS211" s="19">
        <f t="shared" si="118"/>
        <v>73.968174660281562</v>
      </c>
      <c r="AT211" s="19">
        <f t="shared" si="119"/>
        <v>76.609895183863046</v>
      </c>
      <c r="AU211" s="19">
        <f t="shared" si="120"/>
        <v>73.968174660281562</v>
      </c>
      <c r="AV211" s="19">
        <f t="shared" si="121"/>
        <v>76.609895183863046</v>
      </c>
      <c r="AW211" s="19">
        <f t="shared" si="122"/>
        <v>73.968174660281562</v>
      </c>
      <c r="AX211" s="18">
        <f>IFERROR(Z211/'Ar-Pa'!B211,0)</f>
        <v>9.5762368979828807</v>
      </c>
      <c r="AY211" s="18">
        <f>IFERROR(AA211/'Ar-Pa'!C211,0)</f>
        <v>9.2460218325351953</v>
      </c>
      <c r="AZ211" s="18">
        <f>IFERROR(AB211/'Ar-Pa'!D211,0)</f>
        <v>9.2460218325351953</v>
      </c>
      <c r="BA211" s="18">
        <f>IFERROR(AC211/'Ar-Pa'!E211,0)</f>
        <v>9.5762368979828807</v>
      </c>
      <c r="BB211" s="18">
        <f>IFERROR(AD211/'Ar-Pa'!F211,0)</f>
        <v>9.5762368979828807</v>
      </c>
      <c r="BC211" s="18">
        <f>IFERROR(AE211/'Ar-Pa'!G211,0)</f>
        <v>9.2460218325351953</v>
      </c>
      <c r="BD211" s="18">
        <f>IFERROR(AF211/'Ar-Pa'!H211,0)</f>
        <v>9.2460218325351953</v>
      </c>
      <c r="BE211" s="18">
        <f>IFERROR(AG211/'Ar-Pa'!I211,0)</f>
        <v>9.2460218325351953</v>
      </c>
      <c r="BF211" s="18">
        <f>IFERROR(AH211/'Ar-Pa'!J211,0)</f>
        <v>9.2460218325351953</v>
      </c>
      <c r="BG211" s="18">
        <f>IFERROR(AI211/'Ar-Pa'!K211,0)</f>
        <v>9.2460218325351953</v>
      </c>
      <c r="BH211" s="18">
        <f>IFERROR(AJ211/'Ar-Pa'!L211,0)</f>
        <v>9.5762368979828807</v>
      </c>
      <c r="BI211" s="18">
        <f>IFERROR(AK211/'Ar-Pa'!M211,0)</f>
        <v>12.328029110046927</v>
      </c>
      <c r="BJ211" s="18">
        <f>IFERROR(AL211/'Ar-Pa'!N211,0)</f>
        <v>12.768315863977174</v>
      </c>
      <c r="BK211" s="18">
        <f>IFERROR(AM211/'Ar-Pa'!O211,0)</f>
        <v>8.9158067670875099</v>
      </c>
      <c r="BL211" s="18">
        <f>IFERROR(AN211/'Ar-Pa'!P211,0)</f>
        <v>9.5762368979828807</v>
      </c>
      <c r="BM211" s="18">
        <f>IFERROR(AO211/'Ar-Pa'!Q211,0)</f>
        <v>9.2460218325351953</v>
      </c>
      <c r="BN211" s="18">
        <f>IFERROR(AP211/'Ar-Pa'!R211,0)</f>
        <v>9.5762368979828807</v>
      </c>
      <c r="BO211" s="18">
        <f>IFERROR(AQ211/'Ar-Pa'!S211,0)</f>
        <v>9.5762368979828807</v>
      </c>
      <c r="BP211" s="18">
        <f>IFERROR(AR211/'Ar-Pa'!T211,0)</f>
        <v>9.2460218325351953</v>
      </c>
      <c r="BQ211" s="18">
        <f>IFERROR(AS211/'Ar-Pa'!U211,0)</f>
        <v>9.2460218325351953</v>
      </c>
      <c r="BR211" s="18">
        <f>IFERROR(AT211/'Ar-Pa'!V211,0)</f>
        <v>9.5762368979828807</v>
      </c>
      <c r="BS211" s="18">
        <f>IFERROR(AU211/'Ar-Pa'!W211,0)</f>
        <v>9.2460218325351953</v>
      </c>
      <c r="BT211" s="18">
        <f>IFERROR(AV211/'Ar-Pa'!X211,0)</f>
        <v>9.5762368979828807</v>
      </c>
      <c r="BU211" s="18">
        <f>IFERROR(AW211/'Ar-Pa'!Y211,0)</f>
        <v>9.2460218325351953</v>
      </c>
    </row>
    <row r="212" spans="1:73">
      <c r="A212" s="15">
        <v>45137</v>
      </c>
      <c r="B212" s="441">
        <v>0.28000000000000003</v>
      </c>
      <c r="C212" s="441">
        <v>0.28999999999999998</v>
      </c>
      <c r="D212" s="441">
        <v>0.28999999999999998</v>
      </c>
      <c r="E212" s="441">
        <v>0.28999999999999998</v>
      </c>
      <c r="F212" s="441">
        <v>0.28000000000000003</v>
      </c>
      <c r="G212" s="441">
        <v>0.28999999999999998</v>
      </c>
      <c r="H212" s="441">
        <v>0.28999999999999998</v>
      </c>
      <c r="I212" s="441">
        <v>0.28000000000000003</v>
      </c>
      <c r="J212" s="441">
        <v>0.3</v>
      </c>
      <c r="K212" s="441">
        <v>0.28000000000000003</v>
      </c>
      <c r="L212" s="441">
        <v>0.28999999999999998</v>
      </c>
      <c r="M212" s="441">
        <v>0.28999999999999998</v>
      </c>
      <c r="N212" s="441">
        <v>0.28999999999999998</v>
      </c>
      <c r="O212" s="441">
        <v>0.28000000000000003</v>
      </c>
      <c r="P212" s="441">
        <v>0.28999999999999998</v>
      </c>
      <c r="Q212" s="441">
        <v>0.27</v>
      </c>
      <c r="R212" s="441">
        <v>0.28999999999999998</v>
      </c>
      <c r="S212" s="441">
        <v>0.28999999999999998</v>
      </c>
      <c r="T212" s="441">
        <v>0.28999999999999998</v>
      </c>
      <c r="U212" s="441">
        <v>0.28999999999999998</v>
      </c>
      <c r="V212" s="441">
        <v>0.28999999999999998</v>
      </c>
      <c r="W212" s="441">
        <v>0.28999999999999998</v>
      </c>
      <c r="X212" s="441">
        <v>0.28999999999999998</v>
      </c>
      <c r="Y212" s="441">
        <v>0.28000000000000003</v>
      </c>
      <c r="Z212" s="19">
        <f t="shared" si="99"/>
        <v>73.968174660281562</v>
      </c>
      <c r="AA212" s="19">
        <f t="shared" si="100"/>
        <v>76.609895183863046</v>
      </c>
      <c r="AB212" s="19">
        <f t="shared" si="101"/>
        <v>76.609895183863046</v>
      </c>
      <c r="AC212" s="19">
        <f t="shared" si="102"/>
        <v>76.609895183863046</v>
      </c>
      <c r="AD212" s="19">
        <f t="shared" si="103"/>
        <v>73.968174660281562</v>
      </c>
      <c r="AE212" s="19">
        <f t="shared" si="104"/>
        <v>76.609895183863046</v>
      </c>
      <c r="AF212" s="19">
        <f t="shared" si="105"/>
        <v>76.609895183863046</v>
      </c>
      <c r="AG212" s="19">
        <f t="shared" si="106"/>
        <v>73.968174660281562</v>
      </c>
      <c r="AH212" s="19">
        <f t="shared" si="107"/>
        <v>79.251615707444529</v>
      </c>
      <c r="AI212" s="19">
        <f t="shared" si="108"/>
        <v>73.968174660281562</v>
      </c>
      <c r="AJ212" s="19">
        <f t="shared" si="109"/>
        <v>76.609895183863046</v>
      </c>
      <c r="AK212" s="19">
        <f t="shared" si="110"/>
        <v>76.609895183863046</v>
      </c>
      <c r="AL212" s="19">
        <f t="shared" si="111"/>
        <v>76.609895183863046</v>
      </c>
      <c r="AM212" s="19">
        <f t="shared" si="112"/>
        <v>73.968174660281562</v>
      </c>
      <c r="AN212" s="19">
        <f t="shared" si="113"/>
        <v>76.609895183863046</v>
      </c>
      <c r="AO212" s="19">
        <f t="shared" si="114"/>
        <v>71.326454136700079</v>
      </c>
      <c r="AP212" s="19">
        <f t="shared" si="115"/>
        <v>76.609895183863046</v>
      </c>
      <c r="AQ212" s="19">
        <f t="shared" si="116"/>
        <v>76.609895183863046</v>
      </c>
      <c r="AR212" s="19">
        <f t="shared" si="117"/>
        <v>76.609895183863046</v>
      </c>
      <c r="AS212" s="19">
        <f t="shared" si="118"/>
        <v>76.609895183863046</v>
      </c>
      <c r="AT212" s="19">
        <f t="shared" si="119"/>
        <v>76.609895183863046</v>
      </c>
      <c r="AU212" s="19">
        <f t="shared" si="120"/>
        <v>76.609895183863046</v>
      </c>
      <c r="AV212" s="19">
        <f t="shared" si="121"/>
        <v>76.609895183863046</v>
      </c>
      <c r="AW212" s="19">
        <f t="shared" si="122"/>
        <v>73.968174660281562</v>
      </c>
      <c r="AX212" s="18">
        <f>IFERROR(Z212/'Ar-Pa'!B212,0)</f>
        <v>9.2460218325351953</v>
      </c>
      <c r="AY212" s="18">
        <f>IFERROR(AA212/'Ar-Pa'!C212,0)</f>
        <v>9.5762368979828807</v>
      </c>
      <c r="AZ212" s="18">
        <f>IFERROR(AB212/'Ar-Pa'!D212,0)</f>
        <v>9.5762368979828807</v>
      </c>
      <c r="BA212" s="18">
        <f>IFERROR(AC212/'Ar-Pa'!E212,0)</f>
        <v>9.5762368979828807</v>
      </c>
      <c r="BB212" s="18">
        <f>IFERROR(AD212/'Ar-Pa'!F212,0)</f>
        <v>9.2460218325351953</v>
      </c>
      <c r="BC212" s="18">
        <f>IFERROR(AE212/'Ar-Pa'!G212,0)</f>
        <v>9.5762368979828807</v>
      </c>
      <c r="BD212" s="18">
        <f>IFERROR(AF212/'Ar-Pa'!H212,0)</f>
        <v>9.5762368979828807</v>
      </c>
      <c r="BE212" s="18">
        <f>IFERROR(AG212/'Ar-Pa'!I212,0)</f>
        <v>9.2460218325351953</v>
      </c>
      <c r="BF212" s="18">
        <f>IFERROR(AH212/'Ar-Pa'!J212,0)</f>
        <v>9.9064519634305661</v>
      </c>
      <c r="BG212" s="18">
        <f>IFERROR(AI212/'Ar-Pa'!K212,0)</f>
        <v>9.2460218325351953</v>
      </c>
      <c r="BH212" s="18">
        <f>IFERROR(AJ212/'Ar-Pa'!L212,0)</f>
        <v>9.5762368979828807</v>
      </c>
      <c r="BI212" s="18">
        <f>IFERROR(AK212/'Ar-Pa'!M212,0)</f>
        <v>9.5762368979828807</v>
      </c>
      <c r="BJ212" s="18">
        <f>IFERROR(AL212/'Ar-Pa'!N212,0)</f>
        <v>9.5762368979828807</v>
      </c>
      <c r="BK212" s="18">
        <f>IFERROR(AM212/'Ar-Pa'!O212,0)</f>
        <v>9.2460218325351953</v>
      </c>
      <c r="BL212" s="18">
        <f>IFERROR(AN212/'Ar-Pa'!P212,0)</f>
        <v>9.5762368979828807</v>
      </c>
      <c r="BM212" s="18">
        <f>IFERROR(AO212/'Ar-Pa'!Q212,0)</f>
        <v>8.9158067670875099</v>
      </c>
      <c r="BN212" s="18">
        <f>IFERROR(AP212/'Ar-Pa'!R212,0)</f>
        <v>9.5762368979828807</v>
      </c>
      <c r="BO212" s="18">
        <f>IFERROR(AQ212/'Ar-Pa'!S212,0)</f>
        <v>9.5762368979828807</v>
      </c>
      <c r="BP212" s="18">
        <f>IFERROR(AR212/'Ar-Pa'!T212,0)</f>
        <v>9.5762368979828807</v>
      </c>
      <c r="BQ212" s="18">
        <f>IFERROR(AS212/'Ar-Pa'!U212,0)</f>
        <v>9.5762368979828807</v>
      </c>
      <c r="BR212" s="18">
        <f>IFERROR(AT212/'Ar-Pa'!V212,0)</f>
        <v>9.5762368979828807</v>
      </c>
      <c r="BS212" s="18">
        <f>IFERROR(AU212/'Ar-Pa'!W212,0)</f>
        <v>9.5762368979828807</v>
      </c>
      <c r="BT212" s="18">
        <f>IFERROR(AV212/'Ar-Pa'!X212,0)</f>
        <v>9.5762368979828807</v>
      </c>
      <c r="BU212" s="18">
        <f>IFERROR(AW212/'Ar-Pa'!Y212,0)</f>
        <v>9.2460218325351953</v>
      </c>
    </row>
    <row r="213" spans="1:73">
      <c r="A213" s="15">
        <v>45138</v>
      </c>
      <c r="B213" s="441">
        <v>0.25</v>
      </c>
      <c r="C213" s="441">
        <v>0.23</v>
      </c>
      <c r="D213" s="441">
        <v>0.24</v>
      </c>
      <c r="E213" s="441">
        <v>0.24</v>
      </c>
      <c r="F213" s="441">
        <v>0.24</v>
      </c>
      <c r="G213" s="441">
        <v>0.24</v>
      </c>
      <c r="H213" s="441">
        <v>0.28999999999999998</v>
      </c>
      <c r="I213" s="441">
        <v>0.3</v>
      </c>
      <c r="J213" s="441">
        <v>0.28999999999999998</v>
      </c>
      <c r="K213" s="441">
        <v>0.3</v>
      </c>
      <c r="L213" s="441">
        <v>0.28999999999999998</v>
      </c>
      <c r="M213" s="441">
        <v>0.3</v>
      </c>
      <c r="N213" s="441">
        <v>0.3</v>
      </c>
      <c r="O213" s="441">
        <v>0.28999999999999998</v>
      </c>
      <c r="P213" s="441">
        <v>0.28999999999999998</v>
      </c>
      <c r="Q213" s="441">
        <v>0.28999999999999998</v>
      </c>
      <c r="R213" s="441">
        <v>0.3</v>
      </c>
      <c r="S213" s="441">
        <v>0.3</v>
      </c>
      <c r="T213" s="441">
        <v>0.28999999999999998</v>
      </c>
      <c r="U213" s="441">
        <v>0.3</v>
      </c>
      <c r="V213" s="441">
        <v>0.28999999999999998</v>
      </c>
      <c r="W213" s="441">
        <v>0.28999999999999998</v>
      </c>
      <c r="X213" s="441">
        <v>0.3</v>
      </c>
      <c r="Y213" s="441">
        <v>0.28999999999999998</v>
      </c>
      <c r="Z213" s="19">
        <f t="shared" si="99"/>
        <v>66.043013089537112</v>
      </c>
      <c r="AA213" s="19">
        <f t="shared" si="100"/>
        <v>60.759572042374138</v>
      </c>
      <c r="AB213" s="19">
        <f t="shared" si="101"/>
        <v>63.401292565955622</v>
      </c>
      <c r="AC213" s="19">
        <f t="shared" si="102"/>
        <v>63.401292565955622</v>
      </c>
      <c r="AD213" s="19">
        <f t="shared" si="103"/>
        <v>63.401292565955622</v>
      </c>
      <c r="AE213" s="19">
        <f t="shared" si="104"/>
        <v>63.401292565955622</v>
      </c>
      <c r="AF213" s="19">
        <f t="shared" si="105"/>
        <v>76.609895183863046</v>
      </c>
      <c r="AG213" s="19">
        <f t="shared" si="106"/>
        <v>79.251615707444529</v>
      </c>
      <c r="AH213" s="19">
        <f t="shared" si="107"/>
        <v>76.609895183863046</v>
      </c>
      <c r="AI213" s="19">
        <f t="shared" si="108"/>
        <v>79.251615707444529</v>
      </c>
      <c r="AJ213" s="19">
        <f t="shared" si="109"/>
        <v>76.609895183863046</v>
      </c>
      <c r="AK213" s="19">
        <f t="shared" si="110"/>
        <v>79.251615707444529</v>
      </c>
      <c r="AL213" s="19">
        <f t="shared" si="111"/>
        <v>79.251615707444529</v>
      </c>
      <c r="AM213" s="19">
        <f t="shared" si="112"/>
        <v>76.609895183863046</v>
      </c>
      <c r="AN213" s="19">
        <f t="shared" si="113"/>
        <v>76.609895183863046</v>
      </c>
      <c r="AO213" s="19">
        <f t="shared" si="114"/>
        <v>76.609895183863046</v>
      </c>
      <c r="AP213" s="19">
        <f t="shared" si="115"/>
        <v>79.251615707444529</v>
      </c>
      <c r="AQ213" s="19">
        <f t="shared" si="116"/>
        <v>79.251615707444529</v>
      </c>
      <c r="AR213" s="19">
        <f t="shared" si="117"/>
        <v>76.609895183863046</v>
      </c>
      <c r="AS213" s="19">
        <f t="shared" si="118"/>
        <v>79.251615707444529</v>
      </c>
      <c r="AT213" s="19">
        <f t="shared" si="119"/>
        <v>76.609895183863046</v>
      </c>
      <c r="AU213" s="19">
        <f t="shared" si="120"/>
        <v>76.609895183863046</v>
      </c>
      <c r="AV213" s="19">
        <f t="shared" si="121"/>
        <v>79.251615707444529</v>
      </c>
      <c r="AW213" s="19">
        <f t="shared" si="122"/>
        <v>76.609895183863046</v>
      </c>
      <c r="AX213" s="18">
        <f>IFERROR(Z213/'Ar-Pa'!B213,0)</f>
        <v>9.4347161556481591</v>
      </c>
      <c r="AY213" s="18">
        <f>IFERROR(AA213/'Ar-Pa'!C213,0)</f>
        <v>8.6799388631963055</v>
      </c>
      <c r="AZ213" s="18">
        <f>IFERROR(AB213/'Ar-Pa'!D213,0)</f>
        <v>9.0573275094222314</v>
      </c>
      <c r="BA213" s="18">
        <f>IFERROR(AC213/'Ar-Pa'!E213,0)</f>
        <v>9.0573275094222314</v>
      </c>
      <c r="BB213" s="18">
        <f>IFERROR(AD213/'Ar-Pa'!F213,0)</f>
        <v>9.0573275094222314</v>
      </c>
      <c r="BC213" s="18">
        <f>IFERROR(AE213/'Ar-Pa'!G213,0)</f>
        <v>9.0573275094222314</v>
      </c>
      <c r="BD213" s="18">
        <f>IFERROR(AF213/'Ar-Pa'!H213,0)</f>
        <v>9.5762368979828807</v>
      </c>
      <c r="BE213" s="18">
        <f>IFERROR(AG213/'Ar-Pa'!I213,0)</f>
        <v>9.9064519634305661</v>
      </c>
      <c r="BF213" s="18">
        <f>IFERROR(AH213/'Ar-Pa'!J213,0)</f>
        <v>9.5762368979828807</v>
      </c>
      <c r="BG213" s="18">
        <f>IFERROR(AI213/'Ar-Pa'!K213,0)</f>
        <v>9.9064519634305661</v>
      </c>
      <c r="BH213" s="18">
        <f>IFERROR(AJ213/'Ar-Pa'!L213,0)</f>
        <v>9.5762368979828807</v>
      </c>
      <c r="BI213" s="18">
        <f>IFERROR(AK213/'Ar-Pa'!M213,0)</f>
        <v>9.9064519634305661</v>
      </c>
      <c r="BJ213" s="18">
        <f>IFERROR(AL213/'Ar-Pa'!N213,0)</f>
        <v>9.9064519634305661</v>
      </c>
      <c r="BK213" s="18">
        <f>IFERROR(AM213/'Ar-Pa'!O213,0)</f>
        <v>9.5762368979828807</v>
      </c>
      <c r="BL213" s="18">
        <f>IFERROR(AN213/'Ar-Pa'!P213,0)</f>
        <v>9.5762368979828807</v>
      </c>
      <c r="BM213" s="18">
        <f>IFERROR(AO213/'Ar-Pa'!Q213,0)</f>
        <v>9.5762368979828807</v>
      </c>
      <c r="BN213" s="18">
        <f>IFERROR(AP213/'Ar-Pa'!R213,0)</f>
        <v>9.9064519634305661</v>
      </c>
      <c r="BO213" s="18">
        <f>IFERROR(AQ213/'Ar-Pa'!S213,0)</f>
        <v>9.9064519634305661</v>
      </c>
      <c r="BP213" s="18">
        <f>IFERROR(AR213/'Ar-Pa'!T213,0)</f>
        <v>9.5762368979828807</v>
      </c>
      <c r="BQ213" s="18">
        <f>IFERROR(AS213/'Ar-Pa'!U213,0)</f>
        <v>9.9064519634305661</v>
      </c>
      <c r="BR213" s="18">
        <f>IFERROR(AT213/'Ar-Pa'!V213,0)</f>
        <v>9.5762368979828807</v>
      </c>
      <c r="BS213" s="18">
        <f>IFERROR(AU213/'Ar-Pa'!W213,0)</f>
        <v>9.5762368979828807</v>
      </c>
      <c r="BT213" s="18">
        <f>IFERROR(AV213/'Ar-Pa'!X213,0)</f>
        <v>9.9064519634305661</v>
      </c>
      <c r="BU213" s="18">
        <f>IFERROR(AW213/'Ar-Pa'!Y213,0)</f>
        <v>9.5762368979828807</v>
      </c>
    </row>
    <row r="214" spans="1:73">
      <c r="A214" s="15">
        <v>45139</v>
      </c>
      <c r="B214" s="441">
        <v>0.27</v>
      </c>
      <c r="C214" s="441">
        <v>0.26</v>
      </c>
      <c r="D214" s="441">
        <v>0.26</v>
      </c>
      <c r="E214" s="441">
        <v>0.26</v>
      </c>
      <c r="F214" s="441">
        <v>0.26</v>
      </c>
      <c r="G214" s="441">
        <v>0.26</v>
      </c>
      <c r="H214" s="441">
        <v>0.26</v>
      </c>
      <c r="I214" s="441">
        <v>0.27</v>
      </c>
      <c r="J214" s="441">
        <v>0.26</v>
      </c>
      <c r="K214" s="441">
        <v>0.26</v>
      </c>
      <c r="L214" s="441">
        <v>0.26</v>
      </c>
      <c r="M214" s="441">
        <v>0.26</v>
      </c>
      <c r="N214" s="441">
        <v>0.26</v>
      </c>
      <c r="O214" s="441">
        <v>0.26</v>
      </c>
      <c r="P214" s="441">
        <v>0.26</v>
      </c>
      <c r="Q214" s="441">
        <v>0.26</v>
      </c>
      <c r="R214" s="441">
        <v>0.25</v>
      </c>
      <c r="S214" s="441">
        <v>0.26</v>
      </c>
      <c r="T214" s="441">
        <v>0.26</v>
      </c>
      <c r="U214" s="441">
        <v>0.26</v>
      </c>
      <c r="V214" s="441">
        <v>0.26</v>
      </c>
      <c r="W214" s="441">
        <v>0.32</v>
      </c>
      <c r="X214" s="441">
        <v>0.33</v>
      </c>
      <c r="Y214" s="441">
        <v>0.28000000000000003</v>
      </c>
      <c r="Z214" s="19">
        <f t="shared" si="99"/>
        <v>71.326454136700079</v>
      </c>
      <c r="AA214" s="19">
        <f t="shared" si="100"/>
        <v>68.684733613118595</v>
      </c>
      <c r="AB214" s="19">
        <f t="shared" si="101"/>
        <v>68.684733613118595</v>
      </c>
      <c r="AC214" s="19">
        <f t="shared" si="102"/>
        <v>68.684733613118595</v>
      </c>
      <c r="AD214" s="19">
        <f t="shared" si="103"/>
        <v>68.684733613118595</v>
      </c>
      <c r="AE214" s="19">
        <f t="shared" si="104"/>
        <v>68.684733613118595</v>
      </c>
      <c r="AF214" s="19">
        <f t="shared" si="105"/>
        <v>68.684733613118595</v>
      </c>
      <c r="AG214" s="19">
        <f t="shared" si="106"/>
        <v>71.326454136700079</v>
      </c>
      <c r="AH214" s="19">
        <f t="shared" si="107"/>
        <v>68.684733613118595</v>
      </c>
      <c r="AI214" s="19">
        <f t="shared" si="108"/>
        <v>68.684733613118595</v>
      </c>
      <c r="AJ214" s="19">
        <f t="shared" si="109"/>
        <v>68.684733613118595</v>
      </c>
      <c r="AK214" s="19">
        <f t="shared" si="110"/>
        <v>68.684733613118595</v>
      </c>
      <c r="AL214" s="19">
        <f t="shared" si="111"/>
        <v>68.684733613118595</v>
      </c>
      <c r="AM214" s="19">
        <f t="shared" si="112"/>
        <v>68.684733613118595</v>
      </c>
      <c r="AN214" s="19">
        <f t="shared" si="113"/>
        <v>68.684733613118595</v>
      </c>
      <c r="AO214" s="19">
        <f t="shared" si="114"/>
        <v>68.684733613118595</v>
      </c>
      <c r="AP214" s="19">
        <f t="shared" si="115"/>
        <v>66.043013089537112</v>
      </c>
      <c r="AQ214" s="19">
        <f t="shared" si="116"/>
        <v>68.684733613118595</v>
      </c>
      <c r="AR214" s="19">
        <f t="shared" si="117"/>
        <v>68.684733613118595</v>
      </c>
      <c r="AS214" s="19">
        <f t="shared" si="118"/>
        <v>68.684733613118595</v>
      </c>
      <c r="AT214" s="19">
        <f t="shared" si="119"/>
        <v>68.684733613118595</v>
      </c>
      <c r="AU214" s="19">
        <f t="shared" si="120"/>
        <v>84.535056754607496</v>
      </c>
      <c r="AV214" s="19">
        <f t="shared" si="121"/>
        <v>87.176777278188979</v>
      </c>
      <c r="AW214" s="19">
        <f t="shared" si="122"/>
        <v>73.968174660281562</v>
      </c>
      <c r="AX214" s="18">
        <f>IFERROR(Z214/'Ar-Pa'!B214,0)</f>
        <v>8.9158067670875099</v>
      </c>
      <c r="AY214" s="18">
        <f>IFERROR(AA214/'Ar-Pa'!C214,0)</f>
        <v>8.5855917016398244</v>
      </c>
      <c r="AZ214" s="18">
        <f>IFERROR(AB214/'Ar-Pa'!D214,0)</f>
        <v>8.5855917016398244</v>
      </c>
      <c r="BA214" s="18">
        <f>IFERROR(AC214/'Ar-Pa'!E214,0)</f>
        <v>8.5855917016398244</v>
      </c>
      <c r="BB214" s="18">
        <f>IFERROR(AD214/'Ar-Pa'!F214,0)</f>
        <v>8.5855917016398244</v>
      </c>
      <c r="BC214" s="18">
        <f>IFERROR(AE214/'Ar-Pa'!G214,0)</f>
        <v>8.5855917016398244</v>
      </c>
      <c r="BD214" s="18">
        <f>IFERROR(AF214/'Ar-Pa'!H214,0)</f>
        <v>8.5855917016398244</v>
      </c>
      <c r="BE214" s="18">
        <f>IFERROR(AG214/'Ar-Pa'!I214,0)</f>
        <v>8.9158067670875099</v>
      </c>
      <c r="BF214" s="18">
        <f>IFERROR(AH214/'Ar-Pa'!J214,0)</f>
        <v>8.5855917016398244</v>
      </c>
      <c r="BG214" s="18">
        <f>IFERROR(AI214/'Ar-Pa'!K214,0)</f>
        <v>8.5855917016398244</v>
      </c>
      <c r="BH214" s="18">
        <f>IFERROR(AJ214/'Ar-Pa'!L214,0)</f>
        <v>8.5855917016398244</v>
      </c>
      <c r="BI214" s="18">
        <f>IFERROR(AK214/'Ar-Pa'!M214,0)</f>
        <v>8.5855917016398244</v>
      </c>
      <c r="BJ214" s="18">
        <f>IFERROR(AL214/'Ar-Pa'!N214,0)</f>
        <v>8.5855917016398244</v>
      </c>
      <c r="BK214" s="18">
        <f>IFERROR(AM214/'Ar-Pa'!O214,0)</f>
        <v>8.5855917016398244</v>
      </c>
      <c r="BL214" s="18">
        <f>IFERROR(AN214/'Ar-Pa'!P214,0)</f>
        <v>8.5855917016398244</v>
      </c>
      <c r="BM214" s="18">
        <f>IFERROR(AO214/'Ar-Pa'!Q214,0)</f>
        <v>8.5855917016398244</v>
      </c>
      <c r="BN214" s="18">
        <f>IFERROR(AP214/'Ar-Pa'!R214,0)</f>
        <v>8.255376636192139</v>
      </c>
      <c r="BO214" s="18">
        <f>IFERROR(AQ214/'Ar-Pa'!S214,0)</f>
        <v>8.5855917016398244</v>
      </c>
      <c r="BP214" s="18">
        <f>IFERROR(AR214/'Ar-Pa'!T214,0)</f>
        <v>8.5855917016398244</v>
      </c>
      <c r="BQ214" s="18">
        <f>IFERROR(AS214/'Ar-Pa'!U214,0)</f>
        <v>8.5855917016398244</v>
      </c>
      <c r="BR214" s="18">
        <f>IFERROR(AT214/'Ar-Pa'!V214,0)</f>
        <v>8.5855917016398244</v>
      </c>
      <c r="BS214" s="18">
        <f>IFERROR(AU214/'Ar-Pa'!W214,0)</f>
        <v>10.566882094325937</v>
      </c>
      <c r="BT214" s="18">
        <f>IFERROR(AV214/'Ar-Pa'!X214,0)</f>
        <v>10.897097159773622</v>
      </c>
      <c r="BU214" s="18">
        <f>IFERROR(AW214/'Ar-Pa'!Y214,0)</f>
        <v>9.2460218325351953</v>
      </c>
    </row>
    <row r="215" spans="1:73">
      <c r="A215" s="15">
        <v>45140</v>
      </c>
      <c r="B215" s="441">
        <v>0.27</v>
      </c>
      <c r="C215" s="441">
        <v>0.27</v>
      </c>
      <c r="D215" s="441">
        <v>0.27</v>
      </c>
      <c r="E215" s="441">
        <v>0.27</v>
      </c>
      <c r="F215" s="441">
        <v>0.27</v>
      </c>
      <c r="G215" s="441">
        <v>0.27</v>
      </c>
      <c r="H215" s="441">
        <v>0.28000000000000003</v>
      </c>
      <c r="I215" s="441">
        <v>0.26</v>
      </c>
      <c r="J215" s="441">
        <v>0.28000000000000003</v>
      </c>
      <c r="K215" s="441">
        <v>0.27</v>
      </c>
      <c r="L215" s="441">
        <v>0.27</v>
      </c>
      <c r="M215" s="441">
        <v>0.27</v>
      </c>
      <c r="N215" s="441">
        <v>0.27</v>
      </c>
      <c r="O215" s="441">
        <v>0.28000000000000003</v>
      </c>
      <c r="P215" s="441">
        <v>0.28000000000000003</v>
      </c>
      <c r="Q215" s="441">
        <v>0.33</v>
      </c>
      <c r="R215" s="441">
        <v>0.3</v>
      </c>
      <c r="S215" s="441">
        <v>0.27</v>
      </c>
      <c r="T215" s="441">
        <v>0.26</v>
      </c>
      <c r="U215" s="441">
        <v>0.28999999999999998</v>
      </c>
      <c r="V215" s="441">
        <v>0.28000000000000003</v>
      </c>
      <c r="W215" s="441">
        <v>0.3</v>
      </c>
      <c r="X215" s="441">
        <v>0.27</v>
      </c>
      <c r="Y215" s="441">
        <v>0.26</v>
      </c>
      <c r="Z215" s="19">
        <f t="shared" si="99"/>
        <v>71.326454136700079</v>
      </c>
      <c r="AA215" s="19">
        <f t="shared" si="100"/>
        <v>71.326454136700079</v>
      </c>
      <c r="AB215" s="19">
        <f t="shared" si="101"/>
        <v>71.326454136700079</v>
      </c>
      <c r="AC215" s="19">
        <f t="shared" si="102"/>
        <v>71.326454136700079</v>
      </c>
      <c r="AD215" s="19">
        <f t="shared" si="103"/>
        <v>71.326454136700079</v>
      </c>
      <c r="AE215" s="19">
        <f t="shared" ref="AE215:AI216" si="123">+CONVERT(G215,"m^3","gal")</f>
        <v>71.326454136700079</v>
      </c>
      <c r="AF215" s="19">
        <f t="shared" si="123"/>
        <v>73.968174660281562</v>
      </c>
      <c r="AG215" s="19">
        <f t="shared" si="123"/>
        <v>68.684733613118595</v>
      </c>
      <c r="AH215" s="19">
        <f t="shared" si="123"/>
        <v>73.968174660281562</v>
      </c>
      <c r="AI215" s="19">
        <f t="shared" si="123"/>
        <v>71.326454136700079</v>
      </c>
      <c r="AJ215" s="19">
        <f t="shared" ref="AJ215:AS216" si="124">+CONVERT(L215,"m^3","gal")</f>
        <v>71.326454136700079</v>
      </c>
      <c r="AK215" s="19">
        <f t="shared" si="124"/>
        <v>71.326454136700079</v>
      </c>
      <c r="AL215" s="19">
        <f t="shared" si="124"/>
        <v>71.326454136700079</v>
      </c>
      <c r="AM215" s="19">
        <f t="shared" si="124"/>
        <v>73.968174660281562</v>
      </c>
      <c r="AN215" s="19">
        <f t="shared" si="124"/>
        <v>73.968174660281562</v>
      </c>
      <c r="AO215" s="19">
        <f t="shared" si="124"/>
        <v>87.176777278188979</v>
      </c>
      <c r="AP215" s="19">
        <f t="shared" si="124"/>
        <v>79.251615707444529</v>
      </c>
      <c r="AQ215" s="19">
        <f t="shared" si="124"/>
        <v>71.326454136700079</v>
      </c>
      <c r="AR215" s="19">
        <f t="shared" si="124"/>
        <v>68.684733613118595</v>
      </c>
      <c r="AS215" s="19">
        <f t="shared" si="124"/>
        <v>76.609895183863046</v>
      </c>
      <c r="AT215" s="19">
        <f t="shared" ref="AT215:AW216" si="125">+CONVERT(V215,"m^3","gal")</f>
        <v>73.968174660281562</v>
      </c>
      <c r="AU215" s="19">
        <f t="shared" si="125"/>
        <v>79.251615707444529</v>
      </c>
      <c r="AV215" s="19">
        <f t="shared" si="125"/>
        <v>71.326454136700079</v>
      </c>
      <c r="AW215" s="19">
        <f t="shared" si="125"/>
        <v>68.684733613118595</v>
      </c>
      <c r="AX215" s="18">
        <f>IFERROR(Z215/'Ar-Pa'!B215,0)</f>
        <v>8.9158067670875099</v>
      </c>
      <c r="AY215" s="18">
        <f>IFERROR(AA215/'Ar-Pa'!C215,0)</f>
        <v>8.9158067670875099</v>
      </c>
      <c r="AZ215" s="18">
        <f>IFERROR(AB215/'Ar-Pa'!D215,0)</f>
        <v>8.9158067670875099</v>
      </c>
      <c r="BA215" s="18">
        <f>IFERROR(AC215/'Ar-Pa'!E215,0)</f>
        <v>8.9158067670875099</v>
      </c>
      <c r="BB215" s="18">
        <f>IFERROR(AD215/'Ar-Pa'!F215,0)</f>
        <v>8.9158067670875099</v>
      </c>
      <c r="BC215" s="18">
        <f>IFERROR(AE215/'Ar-Pa'!G215,0)</f>
        <v>8.9158067670875099</v>
      </c>
      <c r="BD215" s="18">
        <f>IFERROR(AF215/'Ar-Pa'!H215,0)</f>
        <v>9.2460218325351953</v>
      </c>
      <c r="BE215" s="18">
        <f>IFERROR(AG215/'Ar-Pa'!I215,0)</f>
        <v>8.5855917016398244</v>
      </c>
      <c r="BF215" s="18">
        <f>IFERROR(AH215/'Ar-Pa'!J215,0)</f>
        <v>9.2460218325351953</v>
      </c>
      <c r="BG215" s="18">
        <f>IFERROR(AI215/'Ar-Pa'!K215,0)</f>
        <v>8.9158067670875099</v>
      </c>
      <c r="BH215" s="18">
        <f>IFERROR(AJ215/'Ar-Pa'!L215,0)</f>
        <v>8.9158067670875099</v>
      </c>
      <c r="BI215" s="18">
        <f>IFERROR(AK215/'Ar-Pa'!M215,0)</f>
        <v>8.9158067670875099</v>
      </c>
      <c r="BJ215" s="18">
        <f>IFERROR(AL215/'Ar-Pa'!N215,0)</f>
        <v>8.9158067670875099</v>
      </c>
      <c r="BK215" s="18">
        <f>IFERROR(AM215/'Ar-Pa'!O215,0)</f>
        <v>9.2460218325351953</v>
      </c>
      <c r="BL215" s="18">
        <f>IFERROR(AN215/'Ar-Pa'!P215,0)</f>
        <v>9.2460218325351953</v>
      </c>
      <c r="BM215" s="18">
        <f>IFERROR(AO215/'Ar-Pa'!Q215,0)</f>
        <v>10.897097159773622</v>
      </c>
      <c r="BN215" s="18">
        <f>IFERROR(AP215/'Ar-Pa'!R215,0)</f>
        <v>13.208602617907422</v>
      </c>
      <c r="BO215" s="18">
        <f>IFERROR(AQ215/'Ar-Pa'!S215,0)</f>
        <v>10.189493448100011</v>
      </c>
      <c r="BP215" s="18">
        <f>IFERROR(AR215/'Ar-Pa'!T215,0)</f>
        <v>9.8121048018740851</v>
      </c>
      <c r="BQ215" s="18">
        <f>IFERROR(AS215/'Ar-Pa'!U215,0)</f>
        <v>10.944270740551863</v>
      </c>
      <c r="BR215" s="18">
        <f>IFERROR(AT215/'Ar-Pa'!V215,0)</f>
        <v>10.566882094325937</v>
      </c>
      <c r="BS215" s="18">
        <f>IFERROR(AU215/'Ar-Pa'!W215,0)</f>
        <v>11.321659386777791</v>
      </c>
      <c r="BT215" s="18">
        <f>IFERROR(AV215/'Ar-Pa'!X215,0)</f>
        <v>10.189493448100011</v>
      </c>
      <c r="BU215" s="18">
        <f>IFERROR(AW215/'Ar-Pa'!Y215,0)</f>
        <v>9.8121048018740851</v>
      </c>
    </row>
    <row r="216" spans="1:73">
      <c r="A216" s="15">
        <v>45141</v>
      </c>
      <c r="B216" s="441">
        <v>0.25</v>
      </c>
      <c r="C216" s="441">
        <v>0.24</v>
      </c>
      <c r="D216" s="441">
        <v>0.25</v>
      </c>
      <c r="E216" s="441">
        <v>0.24</v>
      </c>
      <c r="F216" s="441">
        <v>0.24</v>
      </c>
      <c r="G216" s="441">
        <v>0.25</v>
      </c>
      <c r="H216" s="441">
        <v>0.25</v>
      </c>
      <c r="I216" s="441">
        <v>0.24</v>
      </c>
      <c r="J216" s="441">
        <v>0.25</v>
      </c>
      <c r="K216" s="441">
        <v>0.24</v>
      </c>
      <c r="L216" s="441">
        <v>0.25</v>
      </c>
      <c r="M216" s="441">
        <v>0.25</v>
      </c>
      <c r="N216" s="441">
        <v>0.25</v>
      </c>
      <c r="O216" s="441">
        <v>0.25</v>
      </c>
      <c r="P216" s="441">
        <v>0.28999999999999998</v>
      </c>
      <c r="Q216" s="441">
        <v>0.3</v>
      </c>
      <c r="R216" s="441">
        <v>0.31</v>
      </c>
      <c r="S216" s="441">
        <v>0.3</v>
      </c>
      <c r="T216" s="441">
        <v>0.25</v>
      </c>
      <c r="U216" s="441">
        <v>0.3</v>
      </c>
      <c r="V216" s="441">
        <v>0.31</v>
      </c>
      <c r="W216" s="441">
        <v>0.3</v>
      </c>
      <c r="X216" s="441">
        <v>0.25</v>
      </c>
      <c r="Y216" s="441">
        <v>0.24</v>
      </c>
      <c r="Z216" s="19">
        <f t="shared" si="99"/>
        <v>66.043013089537112</v>
      </c>
      <c r="AA216" s="19">
        <f t="shared" si="100"/>
        <v>63.401292565955622</v>
      </c>
      <c r="AB216" s="19">
        <f t="shared" si="101"/>
        <v>66.043013089537112</v>
      </c>
      <c r="AC216" s="19">
        <f t="shared" si="102"/>
        <v>63.401292565955622</v>
      </c>
      <c r="AD216" s="19">
        <f t="shared" si="103"/>
        <v>63.401292565955622</v>
      </c>
      <c r="AE216" s="19">
        <f t="shared" si="123"/>
        <v>66.043013089537112</v>
      </c>
      <c r="AF216" s="19">
        <f t="shared" si="123"/>
        <v>66.043013089537112</v>
      </c>
      <c r="AG216" s="19">
        <f t="shared" si="123"/>
        <v>63.401292565955622</v>
      </c>
      <c r="AH216" s="19">
        <f t="shared" si="123"/>
        <v>66.043013089537112</v>
      </c>
      <c r="AI216" s="19">
        <f t="shared" si="123"/>
        <v>63.401292565955622</v>
      </c>
      <c r="AJ216" s="19">
        <f t="shared" si="124"/>
        <v>66.043013089537112</v>
      </c>
      <c r="AK216" s="19">
        <f t="shared" si="124"/>
        <v>66.043013089537112</v>
      </c>
      <c r="AL216" s="19">
        <f t="shared" si="124"/>
        <v>66.043013089537112</v>
      </c>
      <c r="AM216" s="19">
        <f t="shared" si="124"/>
        <v>66.043013089537112</v>
      </c>
      <c r="AN216" s="19">
        <f t="shared" si="124"/>
        <v>76.609895183863046</v>
      </c>
      <c r="AO216" s="19">
        <f t="shared" si="124"/>
        <v>79.251615707444529</v>
      </c>
      <c r="AP216" s="19">
        <f t="shared" si="124"/>
        <v>81.893336231026012</v>
      </c>
      <c r="AQ216" s="19">
        <f t="shared" si="124"/>
        <v>79.251615707444529</v>
      </c>
      <c r="AR216" s="19">
        <f t="shared" si="124"/>
        <v>66.043013089537112</v>
      </c>
      <c r="AS216" s="19">
        <f t="shared" si="124"/>
        <v>79.251615707444529</v>
      </c>
      <c r="AT216" s="19">
        <f t="shared" si="125"/>
        <v>81.893336231026012</v>
      </c>
      <c r="AU216" s="19">
        <f t="shared" si="125"/>
        <v>79.251615707444529</v>
      </c>
      <c r="AV216" s="19">
        <f t="shared" si="125"/>
        <v>66.043013089537112</v>
      </c>
      <c r="AW216" s="19">
        <f t="shared" si="125"/>
        <v>63.401292565955622</v>
      </c>
      <c r="AX216" s="18">
        <f>IFERROR(Z216/'Ar-Pa'!B216,0)</f>
        <v>9.4347161556481591</v>
      </c>
      <c r="AY216" s="18">
        <f>IFERROR(AA216/'Ar-Pa'!C216,0)</f>
        <v>9.0573275094222314</v>
      </c>
      <c r="AZ216" s="18">
        <f>IFERROR(AB216/'Ar-Pa'!D216,0)</f>
        <v>9.4347161556481591</v>
      </c>
      <c r="BA216" s="18">
        <f>IFERROR(AC216/'Ar-Pa'!E216,0)</f>
        <v>9.0573275094222314</v>
      </c>
      <c r="BB216" s="18">
        <f>IFERROR(AD216/'Ar-Pa'!F216,0)</f>
        <v>9.0573275094222314</v>
      </c>
      <c r="BC216" s="18">
        <f>IFERROR(AE216/'Ar-Pa'!G216,0)</f>
        <v>9.4347161556481591</v>
      </c>
      <c r="BD216" s="18">
        <f>IFERROR(AF216/'Ar-Pa'!H216,0)</f>
        <v>9.4347161556481591</v>
      </c>
      <c r="BE216" s="18">
        <f>IFERROR(AG216/'Ar-Pa'!I216,0)</f>
        <v>9.0573275094222314</v>
      </c>
      <c r="BF216" s="18">
        <f>IFERROR(AH216/'Ar-Pa'!J216,0)</f>
        <v>9.4347161556481591</v>
      </c>
      <c r="BG216" s="18">
        <f>IFERROR(AI216/'Ar-Pa'!K216,0)</f>
        <v>9.0573275094222314</v>
      </c>
      <c r="BH216" s="18">
        <f>IFERROR(AJ216/'Ar-Pa'!L216,0)</f>
        <v>9.4347161556481591</v>
      </c>
      <c r="BI216" s="18">
        <f>IFERROR(AK216/'Ar-Pa'!M216,0)</f>
        <v>8.255376636192139</v>
      </c>
      <c r="BJ216" s="18">
        <f>IFERROR(AL216/'Ar-Pa'!N216,0)</f>
        <v>8.255376636192139</v>
      </c>
      <c r="BK216" s="18">
        <f>IFERROR(AM216/'Ar-Pa'!O216,0)</f>
        <v>8.255376636192139</v>
      </c>
      <c r="BL216" s="18">
        <f>IFERROR(AN216/'Ar-Pa'!P216,0)</f>
        <v>9.5762368979828807</v>
      </c>
      <c r="BM216" s="18">
        <f>IFERROR(AO216/'Ar-Pa'!Q216,0)</f>
        <v>9.9064519634305661</v>
      </c>
      <c r="BN216" s="18">
        <f>IFERROR(AP216/'Ar-Pa'!R216,0)</f>
        <v>10.236667028878252</v>
      </c>
      <c r="BO216" s="18">
        <f>IFERROR(AQ216/'Ar-Pa'!S216,0)</f>
        <v>9.9064519634305661</v>
      </c>
      <c r="BP216" s="18">
        <f>IFERROR(AR216/'Ar-Pa'!T216,0)</f>
        <v>8.255376636192139</v>
      </c>
      <c r="BQ216" s="18">
        <f>IFERROR(AS216/'Ar-Pa'!U216,0)</f>
        <v>9.9064519634305661</v>
      </c>
      <c r="BR216" s="18">
        <f>IFERROR(AT216/'Ar-Pa'!V216,0)</f>
        <v>10.236667028878252</v>
      </c>
      <c r="BS216" s="18">
        <f>IFERROR(AU216/'Ar-Pa'!W216,0)</f>
        <v>9.9064519634305661</v>
      </c>
      <c r="BT216" s="18">
        <f>IFERROR(AV216/'Ar-Pa'!X216,0)</f>
        <v>8.255376636192139</v>
      </c>
      <c r="BU216" s="18">
        <f>IFERROR(AW216/'Ar-Pa'!Y216,0)</f>
        <v>7.9251615707444527</v>
      </c>
    </row>
    <row r="217" spans="1:73">
      <c r="A217" s="15">
        <v>45142</v>
      </c>
      <c r="B217" s="441">
        <v>0.26</v>
      </c>
      <c r="C217" s="441">
        <v>0.25</v>
      </c>
      <c r="D217" s="441">
        <v>0.25</v>
      </c>
      <c r="E217" s="441">
        <v>0.25</v>
      </c>
      <c r="F217" s="441">
        <v>0.26</v>
      </c>
      <c r="G217" s="441">
        <v>0.25</v>
      </c>
      <c r="H217" s="441">
        <v>0.25</v>
      </c>
      <c r="I217" s="441">
        <v>0.26</v>
      </c>
      <c r="J217" s="441">
        <v>0.25</v>
      </c>
      <c r="K217" s="441">
        <v>0.26</v>
      </c>
      <c r="L217" s="441">
        <v>0.24</v>
      </c>
      <c r="M217" s="441">
        <v>0.26</v>
      </c>
      <c r="N217" s="441">
        <v>0.25</v>
      </c>
      <c r="O217" s="441">
        <v>0.26</v>
      </c>
      <c r="P217" s="441">
        <v>0.28000000000000003</v>
      </c>
      <c r="Q217" s="441">
        <v>0.33</v>
      </c>
      <c r="R217" s="441">
        <v>0.32</v>
      </c>
      <c r="S217" s="441">
        <v>0.32</v>
      </c>
      <c r="T217" s="441">
        <v>0.34</v>
      </c>
      <c r="U217" s="441">
        <v>0.26</v>
      </c>
      <c r="V217" s="441">
        <v>0.27</v>
      </c>
      <c r="W217" s="441">
        <v>0.34</v>
      </c>
      <c r="X217" s="441">
        <v>0.33</v>
      </c>
      <c r="Y217" s="441">
        <v>0.26</v>
      </c>
      <c r="Z217" s="19">
        <f t="shared" si="99"/>
        <v>68.684733613118595</v>
      </c>
      <c r="AA217" s="19">
        <f t="shared" si="100"/>
        <v>66.043013089537112</v>
      </c>
      <c r="AB217" s="19">
        <f t="shared" si="101"/>
        <v>66.043013089537112</v>
      </c>
      <c r="AC217" s="19">
        <f t="shared" si="102"/>
        <v>66.043013089537112</v>
      </c>
      <c r="AD217" s="19">
        <f t="shared" si="103"/>
        <v>68.684733613118595</v>
      </c>
      <c r="AE217" s="19">
        <f t="shared" ref="AE217:AE245" si="126">+CONVERT(G217,"m^3","gal")</f>
        <v>66.043013089537112</v>
      </c>
      <c r="AF217" s="19">
        <f t="shared" ref="AF217:AF245" si="127">+CONVERT(H217,"m^3","gal")</f>
        <v>66.043013089537112</v>
      </c>
      <c r="AG217" s="19">
        <f t="shared" ref="AG217:AG245" si="128">+CONVERT(I217,"m^3","gal")</f>
        <v>68.684733613118595</v>
      </c>
      <c r="AH217" s="19">
        <f t="shared" ref="AH217:AH245" si="129">+CONVERT(J217,"m^3","gal")</f>
        <v>66.043013089537112</v>
      </c>
      <c r="AI217" s="19">
        <f t="shared" ref="AI217:AI245" si="130">+CONVERT(K217,"m^3","gal")</f>
        <v>68.684733613118595</v>
      </c>
      <c r="AJ217" s="19">
        <f t="shared" ref="AJ217:AJ245" si="131">+CONVERT(L217,"m^3","gal")</f>
        <v>63.401292565955622</v>
      </c>
      <c r="AK217" s="19">
        <f t="shared" ref="AK217:AK245" si="132">+CONVERT(M217,"m^3","gal")</f>
        <v>68.684733613118595</v>
      </c>
      <c r="AL217" s="19">
        <f t="shared" ref="AL217:AL245" si="133">+CONVERT(N217,"m^3","gal")</f>
        <v>66.043013089537112</v>
      </c>
      <c r="AM217" s="19">
        <f t="shared" ref="AM217:AM245" si="134">+CONVERT(O217,"m^3","gal")</f>
        <v>68.684733613118595</v>
      </c>
      <c r="AN217" s="19">
        <f t="shared" ref="AN217:AN245" si="135">+CONVERT(P217,"m^3","gal")</f>
        <v>73.968174660281562</v>
      </c>
      <c r="AO217" s="19">
        <f t="shared" ref="AO217:AO245" si="136">+CONVERT(Q217,"m^3","gal")</f>
        <v>87.176777278188979</v>
      </c>
      <c r="AP217" s="19">
        <f t="shared" ref="AP217:AP245" si="137">+CONVERT(R217,"m^3","gal")</f>
        <v>84.535056754607496</v>
      </c>
      <c r="AQ217" s="19">
        <f t="shared" ref="AQ217:AQ245" si="138">+CONVERT(S217,"m^3","gal")</f>
        <v>84.535056754607496</v>
      </c>
      <c r="AR217" s="19">
        <f t="shared" ref="AR217:AR245" si="139">+CONVERT(T217,"m^3","gal")</f>
        <v>89.818497801770462</v>
      </c>
      <c r="AS217" s="19">
        <f t="shared" ref="AS217:AS245" si="140">+CONVERT(U217,"m^3","gal")</f>
        <v>68.684733613118595</v>
      </c>
      <c r="AT217" s="19">
        <f t="shared" ref="AT217:AT245" si="141">+CONVERT(V217,"m^3","gal")</f>
        <v>71.326454136700079</v>
      </c>
      <c r="AU217" s="19">
        <f t="shared" ref="AU217:AU245" si="142">+CONVERT(W217,"m^3","gal")</f>
        <v>89.818497801770462</v>
      </c>
      <c r="AV217" s="19">
        <f t="shared" ref="AV217:AV245" si="143">+CONVERT(X217,"m^3","gal")</f>
        <v>87.176777278188979</v>
      </c>
      <c r="AW217" s="19">
        <f t="shared" ref="AW217:AW245" si="144">+CONVERT(Y217,"m^3","gal")</f>
        <v>68.684733613118595</v>
      </c>
      <c r="AX217" s="18">
        <f>IFERROR(Z217/'Ar-Pa'!B217,0)</f>
        <v>8.5855917016398244</v>
      </c>
      <c r="AY217" s="18">
        <f>IFERROR(AA217/'Ar-Pa'!C217,0)</f>
        <v>8.255376636192139</v>
      </c>
      <c r="AZ217" s="18">
        <f>IFERROR(AB217/'Ar-Pa'!D217,0)</f>
        <v>8.255376636192139</v>
      </c>
      <c r="BA217" s="18">
        <f>IFERROR(AC217/'Ar-Pa'!E217,0)</f>
        <v>8.255376636192139</v>
      </c>
      <c r="BB217" s="18">
        <f>IFERROR(AD217/'Ar-Pa'!F217,0)</f>
        <v>8.5855917016398244</v>
      </c>
      <c r="BC217" s="18">
        <f>IFERROR(AE217/'Ar-Pa'!G217,0)</f>
        <v>8.255376636192139</v>
      </c>
      <c r="BD217" s="18">
        <f>IFERROR(AF217/'Ar-Pa'!H217,0)</f>
        <v>8.255376636192139</v>
      </c>
      <c r="BE217" s="18">
        <f>IFERROR(AG217/'Ar-Pa'!I217,0)</f>
        <v>8.5855917016398244</v>
      </c>
      <c r="BF217" s="18">
        <f>IFERROR(AH217/'Ar-Pa'!J217,0)</f>
        <v>8.255376636192139</v>
      </c>
      <c r="BG217" s="18">
        <f>IFERROR(AI217/'Ar-Pa'!K217,0)</f>
        <v>8.5855917016398244</v>
      </c>
      <c r="BH217" s="18">
        <f>IFERROR(AJ217/'Ar-Pa'!L217,0)</f>
        <v>7.9251615707444527</v>
      </c>
      <c r="BI217" s="18">
        <f>IFERROR(AK217/'Ar-Pa'!M217,0)</f>
        <v>8.5855917016398244</v>
      </c>
      <c r="BJ217" s="18">
        <f>IFERROR(AL217/'Ar-Pa'!N217,0)</f>
        <v>8.255376636192139</v>
      </c>
      <c r="BK217" s="18">
        <f>IFERROR(AM217/'Ar-Pa'!O217,0)</f>
        <v>8.5855917016398244</v>
      </c>
      <c r="BL217" s="18">
        <f>IFERROR(AN217/'Ar-Pa'!P217,0)</f>
        <v>9.2460218325351953</v>
      </c>
      <c r="BM217" s="18">
        <f>IFERROR(AO217/'Ar-Pa'!Q217,0)</f>
        <v>14.529462879698164</v>
      </c>
      <c r="BN217" s="18">
        <f>IFERROR(AP217/'Ar-Pa'!R217,0)</f>
        <v>14.089176125767915</v>
      </c>
      <c r="BO217" s="18">
        <f>IFERROR(AQ217/'Ar-Pa'!S217,0)</f>
        <v>14.089176125767915</v>
      </c>
      <c r="BP217" s="18">
        <f>IFERROR(AR217/'Ar-Pa'!T217,0)</f>
        <v>11.227312225221308</v>
      </c>
      <c r="BQ217" s="18">
        <f>IFERROR(AS217/'Ar-Pa'!U217,0)</f>
        <v>8.5855917016398244</v>
      </c>
      <c r="BR217" s="18">
        <f>IFERROR(AT217/'Ar-Pa'!V217,0)</f>
        <v>8.9158067670875099</v>
      </c>
      <c r="BS217" s="18">
        <f>IFERROR(AU217/'Ar-Pa'!W217,0)</f>
        <v>11.227312225221308</v>
      </c>
      <c r="BT217" s="18">
        <f>IFERROR(AV217/'Ar-Pa'!X217,0)</f>
        <v>10.897097159773622</v>
      </c>
      <c r="BU217" s="18">
        <f>IFERROR(AW217/'Ar-Pa'!Y217,0)</f>
        <v>8.5855917016398244</v>
      </c>
    </row>
    <row r="218" spans="1:73">
      <c r="A218" s="15">
        <v>45143</v>
      </c>
      <c r="B218" s="441">
        <v>0.28000000000000003</v>
      </c>
      <c r="C218" s="441">
        <v>0.27</v>
      </c>
      <c r="D218" s="441">
        <v>0.27</v>
      </c>
      <c r="E218" s="441">
        <v>0.27</v>
      </c>
      <c r="F218" s="441">
        <v>0.28000000000000003</v>
      </c>
      <c r="G218" s="441">
        <v>0.27</v>
      </c>
      <c r="H218" s="441">
        <v>0.27</v>
      </c>
      <c r="I218" s="441">
        <v>0.27</v>
      </c>
      <c r="J218" s="441">
        <v>0.27</v>
      </c>
      <c r="K218" s="441">
        <v>0.28000000000000003</v>
      </c>
      <c r="L218" s="441">
        <v>0.27</v>
      </c>
      <c r="M218" s="441">
        <v>0.27</v>
      </c>
      <c r="N218" s="441">
        <v>0.26</v>
      </c>
      <c r="O218" s="441">
        <v>0.27</v>
      </c>
      <c r="P218" s="441">
        <v>0.27</v>
      </c>
      <c r="Q218" s="441">
        <v>0.28000000000000003</v>
      </c>
      <c r="R218" s="441">
        <v>0.27</v>
      </c>
      <c r="S218" s="441">
        <v>0.27</v>
      </c>
      <c r="T218" s="441">
        <v>0.35</v>
      </c>
      <c r="U218" s="441">
        <v>0.28000000000000003</v>
      </c>
      <c r="V218" s="441">
        <v>0.28000000000000003</v>
      </c>
      <c r="W218" s="441">
        <v>0.27</v>
      </c>
      <c r="X218" s="441">
        <v>0.27</v>
      </c>
      <c r="Y218" s="441">
        <v>0.27</v>
      </c>
      <c r="Z218" s="19">
        <f t="shared" si="99"/>
        <v>73.968174660281562</v>
      </c>
      <c r="AA218" s="19">
        <f t="shared" si="100"/>
        <v>71.326454136700079</v>
      </c>
      <c r="AB218" s="19">
        <f t="shared" si="101"/>
        <v>71.326454136700079</v>
      </c>
      <c r="AC218" s="19">
        <f t="shared" si="102"/>
        <v>71.326454136700079</v>
      </c>
      <c r="AD218" s="19">
        <f t="shared" si="103"/>
        <v>73.968174660281562</v>
      </c>
      <c r="AE218" s="19">
        <f t="shared" si="126"/>
        <v>71.326454136700079</v>
      </c>
      <c r="AF218" s="19">
        <f t="shared" si="127"/>
        <v>71.326454136700079</v>
      </c>
      <c r="AG218" s="19">
        <f t="shared" si="128"/>
        <v>71.326454136700079</v>
      </c>
      <c r="AH218" s="19">
        <f t="shared" si="129"/>
        <v>71.326454136700079</v>
      </c>
      <c r="AI218" s="19">
        <f t="shared" si="130"/>
        <v>73.968174660281562</v>
      </c>
      <c r="AJ218" s="19">
        <f t="shared" si="131"/>
        <v>71.326454136700079</v>
      </c>
      <c r="AK218" s="19">
        <f t="shared" si="132"/>
        <v>71.326454136700079</v>
      </c>
      <c r="AL218" s="19">
        <f t="shared" si="133"/>
        <v>68.684733613118595</v>
      </c>
      <c r="AM218" s="19">
        <f t="shared" si="134"/>
        <v>71.326454136700079</v>
      </c>
      <c r="AN218" s="19">
        <f t="shared" si="135"/>
        <v>71.326454136700079</v>
      </c>
      <c r="AO218" s="19">
        <f t="shared" si="136"/>
        <v>73.968174660281562</v>
      </c>
      <c r="AP218" s="19">
        <f t="shared" si="137"/>
        <v>71.326454136700079</v>
      </c>
      <c r="AQ218" s="19">
        <f t="shared" si="138"/>
        <v>71.326454136700079</v>
      </c>
      <c r="AR218" s="19">
        <f t="shared" si="139"/>
        <v>92.460218325351946</v>
      </c>
      <c r="AS218" s="19">
        <f t="shared" si="140"/>
        <v>73.968174660281562</v>
      </c>
      <c r="AT218" s="19">
        <f t="shared" si="141"/>
        <v>73.968174660281562</v>
      </c>
      <c r="AU218" s="19">
        <f t="shared" si="142"/>
        <v>71.326454136700079</v>
      </c>
      <c r="AV218" s="19">
        <f t="shared" si="143"/>
        <v>71.326454136700079</v>
      </c>
      <c r="AW218" s="19">
        <f t="shared" si="144"/>
        <v>71.326454136700079</v>
      </c>
      <c r="AX218" s="18">
        <f>IFERROR(Z218/'Ar-Pa'!B218,0)</f>
        <v>9.2460218325351953</v>
      </c>
      <c r="AY218" s="18">
        <f>IFERROR(AA218/'Ar-Pa'!C218,0)</f>
        <v>8.9158067670875099</v>
      </c>
      <c r="AZ218" s="18">
        <f>IFERROR(AB218/'Ar-Pa'!D218,0)</f>
        <v>8.9158067670875099</v>
      </c>
      <c r="BA218" s="18">
        <f>IFERROR(AC218/'Ar-Pa'!E218,0)</f>
        <v>8.9158067670875099</v>
      </c>
      <c r="BB218" s="18">
        <f>IFERROR(AD218/'Ar-Pa'!F218,0)</f>
        <v>9.2460218325351953</v>
      </c>
      <c r="BC218" s="18">
        <f>IFERROR(AE218/'Ar-Pa'!G218,0)</f>
        <v>8.9158067670875099</v>
      </c>
      <c r="BD218" s="18">
        <f>IFERROR(AF218/'Ar-Pa'!H218,0)</f>
        <v>8.9158067670875099</v>
      </c>
      <c r="BE218" s="18">
        <f>IFERROR(AG218/'Ar-Pa'!I218,0)</f>
        <v>8.9158067670875099</v>
      </c>
      <c r="BF218" s="18">
        <f>IFERROR(AH218/'Ar-Pa'!J218,0)</f>
        <v>8.9158067670875099</v>
      </c>
      <c r="BG218" s="18">
        <f>IFERROR(AI218/'Ar-Pa'!K218,0)</f>
        <v>9.2460218325351953</v>
      </c>
      <c r="BH218" s="18">
        <f>IFERROR(AJ218/'Ar-Pa'!L218,0)</f>
        <v>8.9158067670875099</v>
      </c>
      <c r="BI218" s="18">
        <f>IFERROR(AK218/'Ar-Pa'!M218,0)</f>
        <v>8.9158067670875099</v>
      </c>
      <c r="BJ218" s="18">
        <f>IFERROR(AL218/'Ar-Pa'!N218,0)</f>
        <v>8.5855917016398244</v>
      </c>
      <c r="BK218" s="18">
        <f>IFERROR(AM218/'Ar-Pa'!O218,0)</f>
        <v>8.9158067670875099</v>
      </c>
      <c r="BL218" s="18">
        <f>IFERROR(AN218/'Ar-Pa'!P218,0)</f>
        <v>11.88774235611668</v>
      </c>
      <c r="BM218" s="18">
        <f>IFERROR(AO218/'Ar-Pa'!Q218,0)</f>
        <v>12.328029110046927</v>
      </c>
      <c r="BN218" s="18">
        <f>IFERROR(AP218/'Ar-Pa'!R218,0)</f>
        <v>10.189493448100011</v>
      </c>
      <c r="BO218" s="18">
        <f>IFERROR(AQ218/'Ar-Pa'!S218,0)</f>
        <v>7.9251615707444536</v>
      </c>
      <c r="BP218" s="18">
        <f>IFERROR(AR218/'Ar-Pa'!T218,0)</f>
        <v>10.273357591705771</v>
      </c>
      <c r="BQ218" s="18">
        <f>IFERROR(AS218/'Ar-Pa'!U218,0)</f>
        <v>8.2186860733646174</v>
      </c>
      <c r="BR218" s="18">
        <f>IFERROR(AT218/'Ar-Pa'!V218,0)</f>
        <v>8.2186860733646174</v>
      </c>
      <c r="BS218" s="18">
        <f>IFERROR(AU218/'Ar-Pa'!W218,0)</f>
        <v>7.9251615707444536</v>
      </c>
      <c r="BT218" s="18">
        <f>IFERROR(AV218/'Ar-Pa'!X218,0)</f>
        <v>7.9251615707444536</v>
      </c>
      <c r="BU218" s="18">
        <f>IFERROR(AW218/'Ar-Pa'!Y218,0)</f>
        <v>7.9251615707444536</v>
      </c>
    </row>
    <row r="219" spans="1:73">
      <c r="A219" s="15">
        <v>45144</v>
      </c>
      <c r="B219" s="441">
        <v>0.27</v>
      </c>
      <c r="C219" s="441">
        <v>0.28000000000000003</v>
      </c>
      <c r="D219" s="441">
        <v>0.27</v>
      </c>
      <c r="E219" s="441">
        <v>0.27</v>
      </c>
      <c r="F219" s="441">
        <v>0.27</v>
      </c>
      <c r="G219" s="441">
        <v>0.33</v>
      </c>
      <c r="H219" s="441">
        <v>0.34</v>
      </c>
      <c r="I219" s="441">
        <v>0.34</v>
      </c>
      <c r="J219" s="441">
        <v>0.34</v>
      </c>
      <c r="K219" s="441">
        <v>0.33</v>
      </c>
      <c r="L219" s="441">
        <v>0.34</v>
      </c>
      <c r="M219" s="441">
        <v>0.34</v>
      </c>
      <c r="N219" s="441">
        <v>0.34</v>
      </c>
      <c r="O219" s="441">
        <v>0.33</v>
      </c>
      <c r="P219" s="441">
        <v>0.34</v>
      </c>
      <c r="Q219" s="441">
        <v>0.34</v>
      </c>
      <c r="R219" s="441">
        <v>0.33</v>
      </c>
      <c r="S219" s="441">
        <v>0.28000000000000003</v>
      </c>
      <c r="T219" s="441">
        <v>0.28000000000000003</v>
      </c>
      <c r="U219" s="441">
        <v>0.27</v>
      </c>
      <c r="V219" s="441">
        <v>0.28000000000000003</v>
      </c>
      <c r="W219" s="441">
        <v>0.28000000000000003</v>
      </c>
      <c r="X219" s="441">
        <v>0.27</v>
      </c>
      <c r="Y219" s="441">
        <v>0.28000000000000003</v>
      </c>
      <c r="Z219" s="19">
        <f t="shared" si="99"/>
        <v>71.326454136700079</v>
      </c>
      <c r="AA219" s="19">
        <f t="shared" si="100"/>
        <v>73.968174660281562</v>
      </c>
      <c r="AB219" s="19">
        <f t="shared" si="101"/>
        <v>71.326454136700079</v>
      </c>
      <c r="AC219" s="19">
        <f t="shared" si="102"/>
        <v>71.326454136700079</v>
      </c>
      <c r="AD219" s="19">
        <f t="shared" si="103"/>
        <v>71.326454136700079</v>
      </c>
      <c r="AE219" s="19">
        <f t="shared" si="126"/>
        <v>87.176777278188979</v>
      </c>
      <c r="AF219" s="19">
        <f t="shared" si="127"/>
        <v>89.818497801770462</v>
      </c>
      <c r="AG219" s="19">
        <f t="shared" si="128"/>
        <v>89.818497801770462</v>
      </c>
      <c r="AH219" s="19">
        <f t="shared" si="129"/>
        <v>89.818497801770462</v>
      </c>
      <c r="AI219" s="19">
        <f t="shared" si="130"/>
        <v>87.176777278188979</v>
      </c>
      <c r="AJ219" s="19">
        <f t="shared" si="131"/>
        <v>89.818497801770462</v>
      </c>
      <c r="AK219" s="19">
        <f t="shared" si="132"/>
        <v>89.818497801770462</v>
      </c>
      <c r="AL219" s="19">
        <f t="shared" si="133"/>
        <v>89.818497801770462</v>
      </c>
      <c r="AM219" s="19">
        <f t="shared" si="134"/>
        <v>87.176777278188979</v>
      </c>
      <c r="AN219" s="19">
        <f t="shared" si="135"/>
        <v>89.818497801770462</v>
      </c>
      <c r="AO219" s="19">
        <f t="shared" si="136"/>
        <v>89.818497801770462</v>
      </c>
      <c r="AP219" s="19">
        <f t="shared" si="137"/>
        <v>87.176777278188979</v>
      </c>
      <c r="AQ219" s="19">
        <f t="shared" si="138"/>
        <v>73.968174660281562</v>
      </c>
      <c r="AR219" s="19">
        <f t="shared" si="139"/>
        <v>73.968174660281562</v>
      </c>
      <c r="AS219" s="19">
        <f t="shared" si="140"/>
        <v>71.326454136700079</v>
      </c>
      <c r="AT219" s="19">
        <f t="shared" si="141"/>
        <v>73.968174660281562</v>
      </c>
      <c r="AU219" s="19">
        <f t="shared" si="142"/>
        <v>73.968174660281562</v>
      </c>
      <c r="AV219" s="19">
        <f t="shared" si="143"/>
        <v>71.326454136700079</v>
      </c>
      <c r="AW219" s="19">
        <f t="shared" si="144"/>
        <v>73.968174660281562</v>
      </c>
      <c r="AX219" s="18">
        <f>IFERROR(Z219/'Ar-Pa'!B219,0)</f>
        <v>7.9251615707444536</v>
      </c>
      <c r="AY219" s="18">
        <f>IFERROR(AA219/'Ar-Pa'!C219,0)</f>
        <v>8.2186860733646174</v>
      </c>
      <c r="AZ219" s="18">
        <f>IFERROR(AB219/'Ar-Pa'!D219,0)</f>
        <v>7.9251615707444536</v>
      </c>
      <c r="BA219" s="18">
        <f>IFERROR(AC219/'Ar-Pa'!E219,0)</f>
        <v>7.9251615707444536</v>
      </c>
      <c r="BB219" s="18">
        <f>IFERROR(AD219/'Ar-Pa'!F219,0)</f>
        <v>7.9251615707444536</v>
      </c>
      <c r="BC219" s="18">
        <f>IFERROR(AE219/'Ar-Pa'!G219,0)</f>
        <v>9.6863085864654419</v>
      </c>
      <c r="BD219" s="18">
        <f>IFERROR(AF219/'Ar-Pa'!H219,0)</f>
        <v>9.9798330890856075</v>
      </c>
      <c r="BE219" s="18">
        <f>IFERROR(AG219/'Ar-Pa'!I219,0)</f>
        <v>9.9798330890856075</v>
      </c>
      <c r="BF219" s="18">
        <f>IFERROR(AH219/'Ar-Pa'!J219,0)</f>
        <v>9.9798330890856075</v>
      </c>
      <c r="BG219" s="18">
        <f>IFERROR(AI219/'Ar-Pa'!K219,0)</f>
        <v>9.6863085864654419</v>
      </c>
      <c r="BH219" s="18">
        <f>IFERROR(AJ219/'Ar-Pa'!L219,0)</f>
        <v>9.9798330890856075</v>
      </c>
      <c r="BI219" s="18">
        <f>IFERROR(AK219/'Ar-Pa'!M219,0)</f>
        <v>9.9798330890856075</v>
      </c>
      <c r="BJ219" s="18">
        <f>IFERROR(AL219/'Ar-Pa'!N219,0)</f>
        <v>9.9798330890856075</v>
      </c>
      <c r="BK219" s="18">
        <f>IFERROR(AM219/'Ar-Pa'!O219,0)</f>
        <v>9.6863085864654419</v>
      </c>
      <c r="BL219" s="18">
        <f>IFERROR(AN219/'Ar-Pa'!P219,0)</f>
        <v>9.9798330890856075</v>
      </c>
      <c r="BM219" s="18">
        <f>IFERROR(AO219/'Ar-Pa'!Q219,0)</f>
        <v>9.9798330890856075</v>
      </c>
      <c r="BN219" s="18">
        <f>IFERROR(AP219/'Ar-Pa'!R219,0)</f>
        <v>9.6863085864654419</v>
      </c>
      <c r="BO219" s="18">
        <f>IFERROR(AQ219/'Ar-Pa'!S219,0)</f>
        <v>10.566882094325937</v>
      </c>
      <c r="BP219" s="18">
        <f>IFERROR(AR219/'Ar-Pa'!T219,0)</f>
        <v>10.566882094325937</v>
      </c>
      <c r="BQ219" s="18">
        <f>IFERROR(AS219/'Ar-Pa'!U219,0)</f>
        <v>10.189493448100011</v>
      </c>
      <c r="BR219" s="18">
        <f>IFERROR(AT219/'Ar-Pa'!V219,0)</f>
        <v>8.2186860733646174</v>
      </c>
      <c r="BS219" s="18">
        <f>IFERROR(AU219/'Ar-Pa'!W219,0)</f>
        <v>8.2186860733646174</v>
      </c>
      <c r="BT219" s="18">
        <f>IFERROR(AV219/'Ar-Pa'!X219,0)</f>
        <v>7.9251615707444536</v>
      </c>
      <c r="BU219" s="18">
        <f>IFERROR(AW219/'Ar-Pa'!Y219,0)</f>
        <v>8.2186860733646174</v>
      </c>
    </row>
    <row r="220" spans="1:73">
      <c r="A220" s="15">
        <v>45145</v>
      </c>
      <c r="B220" s="441">
        <v>0.3</v>
      </c>
      <c r="C220" s="441">
        <v>0.32</v>
      </c>
      <c r="D220" s="441">
        <v>0.3</v>
      </c>
      <c r="E220" s="441">
        <v>0.31</v>
      </c>
      <c r="F220" s="441">
        <v>0.31</v>
      </c>
      <c r="G220" s="441">
        <v>0.31</v>
      </c>
      <c r="H220" s="441">
        <v>0.31</v>
      </c>
      <c r="I220" s="441">
        <v>0.3</v>
      </c>
      <c r="J220" s="441">
        <v>0.32</v>
      </c>
      <c r="K220" s="441">
        <v>0.31</v>
      </c>
      <c r="L220" s="441">
        <v>0.31</v>
      </c>
      <c r="M220" s="441">
        <v>0.3</v>
      </c>
      <c r="N220" s="441">
        <v>0.31</v>
      </c>
      <c r="O220" s="441">
        <v>0.31</v>
      </c>
      <c r="P220" s="441">
        <v>0.31</v>
      </c>
      <c r="Q220" s="441">
        <v>0.31</v>
      </c>
      <c r="R220" s="441">
        <v>0.31</v>
      </c>
      <c r="S220" s="441">
        <v>0.31</v>
      </c>
      <c r="T220" s="441">
        <v>0.3</v>
      </c>
      <c r="U220" s="441">
        <v>0.31</v>
      </c>
      <c r="V220" s="441">
        <v>0.31</v>
      </c>
      <c r="W220" s="441">
        <v>0.31</v>
      </c>
      <c r="X220" s="441">
        <v>0.31</v>
      </c>
      <c r="Y220" s="441">
        <v>0.3</v>
      </c>
      <c r="Z220" s="19">
        <f t="shared" si="99"/>
        <v>79.251615707444529</v>
      </c>
      <c r="AA220" s="19">
        <f t="shared" si="100"/>
        <v>84.535056754607496</v>
      </c>
      <c r="AB220" s="19">
        <f t="shared" si="101"/>
        <v>79.251615707444529</v>
      </c>
      <c r="AC220" s="19">
        <f t="shared" si="102"/>
        <v>81.893336231026012</v>
      </c>
      <c r="AD220" s="19">
        <f t="shared" si="103"/>
        <v>81.893336231026012</v>
      </c>
      <c r="AE220" s="19">
        <f t="shared" si="126"/>
        <v>81.893336231026012</v>
      </c>
      <c r="AF220" s="19">
        <f t="shared" si="127"/>
        <v>81.893336231026012</v>
      </c>
      <c r="AG220" s="19">
        <f t="shared" si="128"/>
        <v>79.251615707444529</v>
      </c>
      <c r="AH220" s="19">
        <f t="shared" si="129"/>
        <v>84.535056754607496</v>
      </c>
      <c r="AI220" s="19">
        <f t="shared" si="130"/>
        <v>81.893336231026012</v>
      </c>
      <c r="AJ220" s="19">
        <f t="shared" si="131"/>
        <v>81.893336231026012</v>
      </c>
      <c r="AK220" s="19">
        <f t="shared" si="132"/>
        <v>79.251615707444529</v>
      </c>
      <c r="AL220" s="19">
        <f t="shared" si="133"/>
        <v>81.893336231026012</v>
      </c>
      <c r="AM220" s="19">
        <f t="shared" si="134"/>
        <v>81.893336231026012</v>
      </c>
      <c r="AN220" s="19">
        <f t="shared" si="135"/>
        <v>81.893336231026012</v>
      </c>
      <c r="AO220" s="19">
        <f t="shared" si="136"/>
        <v>81.893336231026012</v>
      </c>
      <c r="AP220" s="19">
        <f t="shared" si="137"/>
        <v>81.893336231026012</v>
      </c>
      <c r="AQ220" s="19">
        <f t="shared" si="138"/>
        <v>81.893336231026012</v>
      </c>
      <c r="AR220" s="19">
        <f t="shared" si="139"/>
        <v>79.251615707444529</v>
      </c>
      <c r="AS220" s="19">
        <f t="shared" si="140"/>
        <v>81.893336231026012</v>
      </c>
      <c r="AT220" s="19">
        <f t="shared" si="141"/>
        <v>81.893336231026012</v>
      </c>
      <c r="AU220" s="19">
        <f t="shared" si="142"/>
        <v>81.893336231026012</v>
      </c>
      <c r="AV220" s="19">
        <f t="shared" si="143"/>
        <v>81.893336231026012</v>
      </c>
      <c r="AW220" s="19">
        <f t="shared" si="144"/>
        <v>79.251615707444529</v>
      </c>
      <c r="AX220" s="18">
        <f>IFERROR(Z220/'Ar-Pa'!B220,0)</f>
        <v>8.8057350786049469</v>
      </c>
      <c r="AY220" s="18">
        <f>IFERROR(AA220/'Ar-Pa'!C220,0)</f>
        <v>9.3927840838452781</v>
      </c>
      <c r="AZ220" s="18">
        <f>IFERROR(AB220/'Ar-Pa'!D220,0)</f>
        <v>8.8057350786049469</v>
      </c>
      <c r="BA220" s="18">
        <f>IFERROR(AC220/'Ar-Pa'!E220,0)</f>
        <v>9.0992595812251125</v>
      </c>
      <c r="BB220" s="18">
        <f>IFERROR(AD220/'Ar-Pa'!F220,0)</f>
        <v>9.0992595812251125</v>
      </c>
      <c r="BC220" s="18">
        <f>IFERROR(AE220/'Ar-Pa'!G220,0)</f>
        <v>9.0992595812251125</v>
      </c>
      <c r="BD220" s="18">
        <f>IFERROR(AF220/'Ar-Pa'!H220,0)</f>
        <v>9.0992595812251125</v>
      </c>
      <c r="BE220" s="18">
        <f>IFERROR(AG220/'Ar-Pa'!I220,0)</f>
        <v>8.8057350786049469</v>
      </c>
      <c r="BF220" s="18">
        <f>IFERROR(AH220/'Ar-Pa'!J220,0)</f>
        <v>12.076436679229642</v>
      </c>
      <c r="BG220" s="18">
        <f>IFERROR(AI220/'Ar-Pa'!K220,0)</f>
        <v>11.699048033003717</v>
      </c>
      <c r="BH220" s="18">
        <f>IFERROR(AJ220/'Ar-Pa'!L220,0)</f>
        <v>11.699048033003717</v>
      </c>
      <c r="BI220" s="18">
        <f>IFERROR(AK220/'Ar-Pa'!M220,0)</f>
        <v>8.8057350786049469</v>
      </c>
      <c r="BJ220" s="18">
        <f>IFERROR(AL220/'Ar-Pa'!N220,0)</f>
        <v>9.0992595812251125</v>
      </c>
      <c r="BK220" s="18">
        <f>IFERROR(AM220/'Ar-Pa'!O220,0)</f>
        <v>9.0992595812251125</v>
      </c>
      <c r="BL220" s="18">
        <f>IFERROR(AN220/'Ar-Pa'!P220,0)</f>
        <v>9.0992595812251125</v>
      </c>
      <c r="BM220" s="18">
        <f>IFERROR(AO220/'Ar-Pa'!Q220,0)</f>
        <v>9.0992595812251125</v>
      </c>
      <c r="BN220" s="18">
        <f>IFERROR(AP220/'Ar-Pa'!R220,0)</f>
        <v>9.0992595812251125</v>
      </c>
      <c r="BO220" s="18">
        <f>IFERROR(AQ220/'Ar-Pa'!S220,0)</f>
        <v>9.0992595812251125</v>
      </c>
      <c r="BP220" s="18">
        <f>IFERROR(AR220/'Ar-Pa'!T220,0)</f>
        <v>9.9064519634305661</v>
      </c>
      <c r="BQ220" s="18">
        <f>IFERROR(AS220/'Ar-Pa'!U220,0)</f>
        <v>9.0992595812251125</v>
      </c>
      <c r="BR220" s="18">
        <f>IFERROR(AT220/'Ar-Pa'!V220,0)</f>
        <v>9.0992595812251125</v>
      </c>
      <c r="BS220" s="18">
        <f>IFERROR(AU220/'Ar-Pa'!W220,0)</f>
        <v>9.0992595812251125</v>
      </c>
      <c r="BT220" s="18">
        <f>IFERROR(AV220/'Ar-Pa'!X220,0)</f>
        <v>9.0992595812251125</v>
      </c>
      <c r="BU220" s="18">
        <f>IFERROR(AW220/'Ar-Pa'!Y220,0)</f>
        <v>8.8057350786049469</v>
      </c>
    </row>
    <row r="221" spans="1:73">
      <c r="A221" s="15">
        <v>45146</v>
      </c>
      <c r="B221" s="441">
        <v>0.31</v>
      </c>
      <c r="C221" s="441">
        <v>0.32</v>
      </c>
      <c r="D221" s="441">
        <v>0.32</v>
      </c>
      <c r="E221" s="441">
        <v>0.31</v>
      </c>
      <c r="F221" s="441">
        <v>0.32</v>
      </c>
      <c r="G221" s="441">
        <v>0.32</v>
      </c>
      <c r="H221" s="441">
        <v>0.31</v>
      </c>
      <c r="I221" s="441">
        <v>0.32</v>
      </c>
      <c r="J221" s="441">
        <v>0.32</v>
      </c>
      <c r="K221" s="441">
        <v>0.32</v>
      </c>
      <c r="L221" s="441">
        <v>0.32</v>
      </c>
      <c r="M221" s="441">
        <v>0.32</v>
      </c>
      <c r="N221" s="441">
        <v>0.33</v>
      </c>
      <c r="O221" s="441">
        <v>0.32</v>
      </c>
      <c r="P221" s="441">
        <v>0.32</v>
      </c>
      <c r="Q221" s="441">
        <v>0.32</v>
      </c>
      <c r="R221" s="441">
        <v>0.32</v>
      </c>
      <c r="S221" s="441">
        <v>0.32</v>
      </c>
      <c r="T221" s="441">
        <v>0.32</v>
      </c>
      <c r="U221" s="441">
        <v>0.32</v>
      </c>
      <c r="V221" s="441">
        <v>0.32</v>
      </c>
      <c r="W221" s="441">
        <v>0.32</v>
      </c>
      <c r="X221" s="441">
        <v>0.31</v>
      </c>
      <c r="Y221" s="441">
        <v>0.32</v>
      </c>
      <c r="Z221" s="19">
        <f t="shared" si="99"/>
        <v>81.893336231026012</v>
      </c>
      <c r="AA221" s="19">
        <f t="shared" si="100"/>
        <v>84.535056754607496</v>
      </c>
      <c r="AB221" s="19">
        <f t="shared" si="101"/>
        <v>84.535056754607496</v>
      </c>
      <c r="AC221" s="19">
        <f t="shared" si="102"/>
        <v>81.893336231026012</v>
      </c>
      <c r="AD221" s="19">
        <f t="shared" si="103"/>
        <v>84.535056754607496</v>
      </c>
      <c r="AE221" s="19">
        <f t="shared" si="126"/>
        <v>84.535056754607496</v>
      </c>
      <c r="AF221" s="19">
        <f t="shared" si="127"/>
        <v>81.893336231026012</v>
      </c>
      <c r="AG221" s="19">
        <f t="shared" si="128"/>
        <v>84.535056754607496</v>
      </c>
      <c r="AH221" s="19">
        <f t="shared" si="129"/>
        <v>84.535056754607496</v>
      </c>
      <c r="AI221" s="19">
        <f t="shared" si="130"/>
        <v>84.535056754607496</v>
      </c>
      <c r="AJ221" s="19">
        <f t="shared" si="131"/>
        <v>84.535056754607496</v>
      </c>
      <c r="AK221" s="19">
        <f t="shared" si="132"/>
        <v>84.535056754607496</v>
      </c>
      <c r="AL221" s="19">
        <f t="shared" si="133"/>
        <v>87.176777278188979</v>
      </c>
      <c r="AM221" s="19">
        <f t="shared" si="134"/>
        <v>84.535056754607496</v>
      </c>
      <c r="AN221" s="19">
        <f t="shared" si="135"/>
        <v>84.535056754607496</v>
      </c>
      <c r="AO221" s="19">
        <f t="shared" si="136"/>
        <v>84.535056754607496</v>
      </c>
      <c r="AP221" s="19">
        <f t="shared" si="137"/>
        <v>84.535056754607496</v>
      </c>
      <c r="AQ221" s="19">
        <f t="shared" si="138"/>
        <v>84.535056754607496</v>
      </c>
      <c r="AR221" s="19">
        <f t="shared" si="139"/>
        <v>84.535056754607496</v>
      </c>
      <c r="AS221" s="19">
        <f t="shared" si="140"/>
        <v>84.535056754607496</v>
      </c>
      <c r="AT221" s="19">
        <f t="shared" si="141"/>
        <v>84.535056754607496</v>
      </c>
      <c r="AU221" s="19">
        <f t="shared" si="142"/>
        <v>84.535056754607496</v>
      </c>
      <c r="AV221" s="19">
        <f t="shared" si="143"/>
        <v>81.893336231026012</v>
      </c>
      <c r="AW221" s="19">
        <f t="shared" si="144"/>
        <v>84.535056754607496</v>
      </c>
      <c r="AX221" s="18">
        <f>IFERROR(Z221/'Ar-Pa'!B221,0)</f>
        <v>9.0992595812251125</v>
      </c>
      <c r="AY221" s="18">
        <f>IFERROR(AA221/'Ar-Pa'!C221,0)</f>
        <v>9.3927840838452781</v>
      </c>
      <c r="AZ221" s="18">
        <f>IFERROR(AB221/'Ar-Pa'!D221,0)</f>
        <v>9.3927840838452781</v>
      </c>
      <c r="BA221" s="18">
        <f>IFERROR(AC221/'Ar-Pa'!E221,0)</f>
        <v>9.0992595812251125</v>
      </c>
      <c r="BB221" s="18">
        <f>IFERROR(AD221/'Ar-Pa'!F221,0)</f>
        <v>9.3927840838452781</v>
      </c>
      <c r="BC221" s="18">
        <f>IFERROR(AE221/'Ar-Pa'!G221,0)</f>
        <v>9.3927840838452781</v>
      </c>
      <c r="BD221" s="18">
        <f>IFERROR(AF221/'Ar-Pa'!H221,0)</f>
        <v>9.0992595812251125</v>
      </c>
      <c r="BE221" s="18">
        <f>IFERROR(AG221/'Ar-Pa'!I221,0)</f>
        <v>9.3927840838452781</v>
      </c>
      <c r="BF221" s="18">
        <f>IFERROR(AH221/'Ar-Pa'!J221,0)</f>
        <v>9.3927840838452781</v>
      </c>
      <c r="BG221" s="18">
        <f>IFERROR(AI221/'Ar-Pa'!K221,0)</f>
        <v>9.3927840838452781</v>
      </c>
      <c r="BH221" s="18">
        <f>IFERROR(AJ221/'Ar-Pa'!L221,0)</f>
        <v>9.3927840838452781</v>
      </c>
      <c r="BI221" s="18">
        <f>IFERROR(AK221/'Ar-Pa'!M221,0)</f>
        <v>9.3927840838452781</v>
      </c>
      <c r="BJ221" s="18">
        <f>IFERROR(AL221/'Ar-Pa'!N221,0)</f>
        <v>9.6863085864654419</v>
      </c>
      <c r="BK221" s="18">
        <f>IFERROR(AM221/'Ar-Pa'!O221,0)</f>
        <v>9.3927840838452781</v>
      </c>
      <c r="BL221" s="18">
        <f>IFERROR(AN221/'Ar-Pa'!P221,0)</f>
        <v>9.3927840838452781</v>
      </c>
      <c r="BM221" s="18">
        <f>IFERROR(AO221/'Ar-Pa'!Q221,0)</f>
        <v>9.3927840838452781</v>
      </c>
      <c r="BN221" s="18">
        <f>IFERROR(AP221/'Ar-Pa'!R221,0)</f>
        <v>9.3927840838452781</v>
      </c>
      <c r="BO221" s="18">
        <f>IFERROR(AQ221/'Ar-Pa'!S221,0)</f>
        <v>12.076436679229642</v>
      </c>
      <c r="BP221" s="18">
        <f>IFERROR(AR221/'Ar-Pa'!T221,0)</f>
        <v>12.076436679229642</v>
      </c>
      <c r="BQ221" s="18">
        <f>IFERROR(AS221/'Ar-Pa'!U221,0)</f>
        <v>12.076436679229642</v>
      </c>
      <c r="BR221" s="18">
        <f>IFERROR(AT221/'Ar-Pa'!V221,0)</f>
        <v>9.3927840838452781</v>
      </c>
      <c r="BS221" s="18">
        <f>IFERROR(AU221/'Ar-Pa'!W221,0)</f>
        <v>9.3927840838452781</v>
      </c>
      <c r="BT221" s="18">
        <f>IFERROR(AV221/'Ar-Pa'!X221,0)</f>
        <v>9.0992595812251125</v>
      </c>
      <c r="BU221" s="18">
        <f>IFERROR(AW221/'Ar-Pa'!Y221,0)</f>
        <v>9.3927840838452781</v>
      </c>
    </row>
    <row r="222" spans="1:73">
      <c r="A222" s="15">
        <v>45147</v>
      </c>
      <c r="B222" s="441">
        <v>0.3</v>
      </c>
      <c r="C222" s="441">
        <v>0.3</v>
      </c>
      <c r="D222" s="441">
        <v>0.3</v>
      </c>
      <c r="E222" s="441">
        <v>0.3</v>
      </c>
      <c r="F222" s="441">
        <v>0.3</v>
      </c>
      <c r="G222" s="441">
        <v>0.31</v>
      </c>
      <c r="H222" s="441">
        <v>0.28999999999999998</v>
      </c>
      <c r="I222" s="441">
        <v>0.3</v>
      </c>
      <c r="J222" s="441">
        <v>0.31</v>
      </c>
      <c r="K222" s="441">
        <v>0.31</v>
      </c>
      <c r="L222" s="441">
        <v>0.3</v>
      </c>
      <c r="M222" s="441">
        <v>0.31</v>
      </c>
      <c r="N222" s="441">
        <v>0.31</v>
      </c>
      <c r="O222" s="441">
        <v>0.35</v>
      </c>
      <c r="P222" s="441">
        <v>0.37</v>
      </c>
      <c r="Q222" s="441">
        <v>0.39</v>
      </c>
      <c r="R222" s="441">
        <v>0.38</v>
      </c>
      <c r="S222" s="441">
        <v>0.37</v>
      </c>
      <c r="T222" s="441">
        <v>0.31</v>
      </c>
      <c r="U222" s="441">
        <v>0.3</v>
      </c>
      <c r="V222" s="441">
        <v>0.3</v>
      </c>
      <c r="W222" s="441">
        <v>0.36</v>
      </c>
      <c r="X222" s="441">
        <v>0.38</v>
      </c>
      <c r="Y222" s="441">
        <v>0.37</v>
      </c>
      <c r="Z222" s="19">
        <f t="shared" si="99"/>
        <v>79.251615707444529</v>
      </c>
      <c r="AA222" s="19">
        <f t="shared" si="100"/>
        <v>79.251615707444529</v>
      </c>
      <c r="AB222" s="19">
        <f t="shared" si="101"/>
        <v>79.251615707444529</v>
      </c>
      <c r="AC222" s="19">
        <f t="shared" si="102"/>
        <v>79.251615707444529</v>
      </c>
      <c r="AD222" s="19">
        <f t="shared" si="103"/>
        <v>79.251615707444529</v>
      </c>
      <c r="AE222" s="19">
        <f t="shared" si="126"/>
        <v>81.893336231026012</v>
      </c>
      <c r="AF222" s="19">
        <f t="shared" si="127"/>
        <v>76.609895183863046</v>
      </c>
      <c r="AG222" s="19">
        <f t="shared" si="128"/>
        <v>79.251615707444529</v>
      </c>
      <c r="AH222" s="19">
        <f t="shared" si="129"/>
        <v>81.893336231026012</v>
      </c>
      <c r="AI222" s="19">
        <f t="shared" si="130"/>
        <v>81.893336231026012</v>
      </c>
      <c r="AJ222" s="19">
        <f t="shared" si="131"/>
        <v>79.251615707444529</v>
      </c>
      <c r="AK222" s="19">
        <f t="shared" si="132"/>
        <v>81.893336231026012</v>
      </c>
      <c r="AL222" s="19">
        <f t="shared" si="133"/>
        <v>81.893336231026012</v>
      </c>
      <c r="AM222" s="19">
        <f t="shared" si="134"/>
        <v>92.460218325351946</v>
      </c>
      <c r="AN222" s="19">
        <f t="shared" si="135"/>
        <v>97.743659372514912</v>
      </c>
      <c r="AO222" s="19">
        <f t="shared" si="136"/>
        <v>103.02710041967788</v>
      </c>
      <c r="AP222" s="19">
        <f t="shared" si="137"/>
        <v>100.3853798960964</v>
      </c>
      <c r="AQ222" s="19">
        <f t="shared" si="138"/>
        <v>97.743659372514912</v>
      </c>
      <c r="AR222" s="19">
        <f t="shared" si="139"/>
        <v>81.893336231026012</v>
      </c>
      <c r="AS222" s="19">
        <f t="shared" si="140"/>
        <v>79.251615707444529</v>
      </c>
      <c r="AT222" s="19">
        <f t="shared" si="141"/>
        <v>79.251615707444529</v>
      </c>
      <c r="AU222" s="19">
        <f t="shared" si="142"/>
        <v>95.101938848933429</v>
      </c>
      <c r="AV222" s="19">
        <f t="shared" si="143"/>
        <v>100.3853798960964</v>
      </c>
      <c r="AW222" s="19">
        <f t="shared" si="144"/>
        <v>97.743659372514912</v>
      </c>
      <c r="AX222" s="18">
        <f>IFERROR(Z222/'Ar-Pa'!B222,0)</f>
        <v>8.8057350786049469</v>
      </c>
      <c r="AY222" s="18">
        <f>IFERROR(AA222/'Ar-Pa'!C222,0)</f>
        <v>8.8057350786049469</v>
      </c>
      <c r="AZ222" s="18">
        <f>IFERROR(AB222/'Ar-Pa'!D222,0)</f>
        <v>8.8057350786049469</v>
      </c>
      <c r="BA222" s="18">
        <f>IFERROR(AC222/'Ar-Pa'!E222,0)</f>
        <v>8.8057350786049469</v>
      </c>
      <c r="BB222" s="18">
        <f>IFERROR(AD222/'Ar-Pa'!F222,0)</f>
        <v>8.8057350786049469</v>
      </c>
      <c r="BC222" s="18">
        <f>IFERROR(AE222/'Ar-Pa'!G222,0)</f>
        <v>9.0992595812251125</v>
      </c>
      <c r="BD222" s="18">
        <f>IFERROR(AF222/'Ar-Pa'!H222,0)</f>
        <v>8.512210575984783</v>
      </c>
      <c r="BE222" s="18">
        <f>IFERROR(AG222/'Ar-Pa'!I222,0)</f>
        <v>8.8057350786049469</v>
      </c>
      <c r="BF222" s="18">
        <f>IFERROR(AH222/'Ar-Pa'!J222,0)</f>
        <v>9.0992595812251125</v>
      </c>
      <c r="BG222" s="18">
        <f>IFERROR(AI222/'Ar-Pa'!K222,0)</f>
        <v>9.0992595812251125</v>
      </c>
      <c r="BH222" s="18">
        <f>IFERROR(AJ222/'Ar-Pa'!L222,0)</f>
        <v>8.8057350786049469</v>
      </c>
      <c r="BI222" s="18">
        <f>IFERROR(AK222/'Ar-Pa'!M222,0)</f>
        <v>9.0992595812251125</v>
      </c>
      <c r="BJ222" s="18">
        <f>IFERROR(AL222/'Ar-Pa'!N222,0)</f>
        <v>9.0992595812251125</v>
      </c>
      <c r="BK222" s="18">
        <f>IFERROR(AM222/'Ar-Pa'!O222,0)</f>
        <v>10.273357591705771</v>
      </c>
      <c r="BL222" s="18">
        <f>IFERROR(AN222/'Ar-Pa'!P222,0)</f>
        <v>10.860406596946101</v>
      </c>
      <c r="BM222" s="18">
        <f>IFERROR(AO222/'Ar-Pa'!Q222,0)</f>
        <v>11.44745560218643</v>
      </c>
      <c r="BN222" s="18">
        <f>IFERROR(AP222/'Ar-Pa'!R222,0)</f>
        <v>11.153931099566266</v>
      </c>
      <c r="BO222" s="18">
        <f>IFERROR(AQ222/'Ar-Pa'!S222,0)</f>
        <v>10.860406596946101</v>
      </c>
      <c r="BP222" s="18">
        <f>IFERROR(AR222/'Ar-Pa'!T222,0)</f>
        <v>9.0992595812251125</v>
      </c>
      <c r="BQ222" s="18">
        <f>IFERROR(AS222/'Ar-Pa'!U222,0)</f>
        <v>8.8057350786049469</v>
      </c>
      <c r="BR222" s="18">
        <f>IFERROR(AT222/'Ar-Pa'!V222,0)</f>
        <v>8.8057350786049469</v>
      </c>
      <c r="BS222" s="18">
        <f>IFERROR(AU222/'Ar-Pa'!W222,0)</f>
        <v>10.566882094325937</v>
      </c>
      <c r="BT222" s="18">
        <f>IFERROR(AV222/'Ar-Pa'!X222,0)</f>
        <v>11.153931099566266</v>
      </c>
      <c r="BU222" s="18">
        <f>IFERROR(AW222/'Ar-Pa'!Y222,0)</f>
        <v>10.860406596946101</v>
      </c>
    </row>
    <row r="223" spans="1:73">
      <c r="A223" s="15">
        <v>45148</v>
      </c>
      <c r="B223" s="441">
        <v>0.24</v>
      </c>
      <c r="C223" s="441">
        <v>0.24</v>
      </c>
      <c r="D223" s="441">
        <v>0.23</v>
      </c>
      <c r="E223" s="441">
        <v>0.24</v>
      </c>
      <c r="F223" s="441">
        <v>0.23</v>
      </c>
      <c r="G223" s="441">
        <v>0.24</v>
      </c>
      <c r="H223" s="441">
        <v>0.23</v>
      </c>
      <c r="I223" s="441">
        <v>0.24</v>
      </c>
      <c r="J223" s="441">
        <v>0.24</v>
      </c>
      <c r="K223" s="441">
        <v>0.23</v>
      </c>
      <c r="L223" s="441">
        <v>0.24</v>
      </c>
      <c r="M223" s="441">
        <v>0.24</v>
      </c>
      <c r="N223" s="441">
        <v>0.24</v>
      </c>
      <c r="O223" s="441">
        <v>0.23</v>
      </c>
      <c r="P223" s="441">
        <v>0.24</v>
      </c>
      <c r="Q223" s="441">
        <v>0.24</v>
      </c>
      <c r="R223" s="441">
        <v>0.24</v>
      </c>
      <c r="S223" s="441">
        <v>0.24</v>
      </c>
      <c r="T223" s="441">
        <v>0.24</v>
      </c>
      <c r="U223" s="441">
        <v>0.31</v>
      </c>
      <c r="V223" s="441">
        <v>0.32</v>
      </c>
      <c r="W223" s="441">
        <v>0.28000000000000003</v>
      </c>
      <c r="X223" s="441">
        <v>0.31</v>
      </c>
      <c r="Y223" s="441">
        <v>0.31</v>
      </c>
      <c r="Z223" s="19">
        <f t="shared" si="99"/>
        <v>63.401292565955622</v>
      </c>
      <c r="AA223" s="19">
        <f t="shared" si="100"/>
        <v>63.401292565955622</v>
      </c>
      <c r="AB223" s="19">
        <f t="shared" si="101"/>
        <v>60.759572042374138</v>
      </c>
      <c r="AC223" s="19">
        <f t="shared" si="102"/>
        <v>63.401292565955622</v>
      </c>
      <c r="AD223" s="19">
        <f t="shared" si="103"/>
        <v>60.759572042374138</v>
      </c>
      <c r="AE223" s="19">
        <f t="shared" si="126"/>
        <v>63.401292565955622</v>
      </c>
      <c r="AF223" s="19">
        <f t="shared" si="127"/>
        <v>60.759572042374138</v>
      </c>
      <c r="AG223" s="19">
        <f t="shared" si="128"/>
        <v>63.401292565955622</v>
      </c>
      <c r="AH223" s="19">
        <f t="shared" si="129"/>
        <v>63.401292565955622</v>
      </c>
      <c r="AI223" s="19">
        <f t="shared" si="130"/>
        <v>60.759572042374138</v>
      </c>
      <c r="AJ223" s="19">
        <f t="shared" si="131"/>
        <v>63.401292565955622</v>
      </c>
      <c r="AK223" s="19">
        <f t="shared" si="132"/>
        <v>63.401292565955622</v>
      </c>
      <c r="AL223" s="19">
        <f t="shared" si="133"/>
        <v>63.401292565955622</v>
      </c>
      <c r="AM223" s="19">
        <f t="shared" si="134"/>
        <v>60.759572042374138</v>
      </c>
      <c r="AN223" s="19">
        <f t="shared" si="135"/>
        <v>63.401292565955622</v>
      </c>
      <c r="AO223" s="19">
        <f t="shared" si="136"/>
        <v>63.401292565955622</v>
      </c>
      <c r="AP223" s="19">
        <f t="shared" si="137"/>
        <v>63.401292565955622</v>
      </c>
      <c r="AQ223" s="19">
        <f t="shared" si="138"/>
        <v>63.401292565955622</v>
      </c>
      <c r="AR223" s="19">
        <f t="shared" si="139"/>
        <v>63.401292565955622</v>
      </c>
      <c r="AS223" s="19">
        <f t="shared" si="140"/>
        <v>81.893336231026012</v>
      </c>
      <c r="AT223" s="19">
        <f t="shared" si="141"/>
        <v>84.535056754607496</v>
      </c>
      <c r="AU223" s="19">
        <f t="shared" si="142"/>
        <v>73.968174660281562</v>
      </c>
      <c r="AV223" s="19">
        <f t="shared" si="143"/>
        <v>81.893336231026012</v>
      </c>
      <c r="AW223" s="19">
        <f t="shared" si="144"/>
        <v>81.893336231026012</v>
      </c>
      <c r="AX223" s="18">
        <f>IFERROR(Z223/'Ar-Pa'!B223,0)</f>
        <v>7.9251615707444527</v>
      </c>
      <c r="AY223" s="18">
        <f>IFERROR(AA223/'Ar-Pa'!C223,0)</f>
        <v>7.9251615707444527</v>
      </c>
      <c r="AZ223" s="18">
        <f>IFERROR(AB223/'Ar-Pa'!D223,0)</f>
        <v>7.5949465052967673</v>
      </c>
      <c r="BA223" s="18">
        <f>IFERROR(AC223/'Ar-Pa'!E223,0)</f>
        <v>7.9251615707444527</v>
      </c>
      <c r="BB223" s="18">
        <f>IFERROR(AD223/'Ar-Pa'!F223,0)</f>
        <v>7.5949465052967673</v>
      </c>
      <c r="BC223" s="18">
        <f>IFERROR(AE223/'Ar-Pa'!G223,0)</f>
        <v>7.9251615707444527</v>
      </c>
      <c r="BD223" s="18">
        <f>IFERROR(AF223/'Ar-Pa'!H223,0)</f>
        <v>7.5949465052967673</v>
      </c>
      <c r="BE223" s="18">
        <f>IFERROR(AG223/'Ar-Pa'!I223,0)</f>
        <v>7.9251615707444527</v>
      </c>
      <c r="BF223" s="18">
        <f>IFERROR(AH223/'Ar-Pa'!J223,0)</f>
        <v>7.9251615707444527</v>
      </c>
      <c r="BG223" s="18">
        <f>IFERROR(AI223/'Ar-Pa'!K223,0)</f>
        <v>7.5949465052967673</v>
      </c>
      <c r="BH223" s="18">
        <f>IFERROR(AJ223/'Ar-Pa'!L223,0)</f>
        <v>7.9251615707444527</v>
      </c>
      <c r="BI223" s="18">
        <f>IFERROR(AK223/'Ar-Pa'!M223,0)</f>
        <v>7.9251615707444527</v>
      </c>
      <c r="BJ223" s="18">
        <f>IFERROR(AL223/'Ar-Pa'!N223,0)</f>
        <v>7.9251615707444527</v>
      </c>
      <c r="BK223" s="18">
        <f>IFERROR(AM223/'Ar-Pa'!O223,0)</f>
        <v>7.5949465052967673</v>
      </c>
      <c r="BL223" s="18">
        <f>IFERROR(AN223/'Ar-Pa'!P223,0)</f>
        <v>7.9251615707444527</v>
      </c>
      <c r="BM223" s="18">
        <f>IFERROR(AO223/'Ar-Pa'!Q223,0)</f>
        <v>7.9251615707444527</v>
      </c>
      <c r="BN223" s="18">
        <f>IFERROR(AP223/'Ar-Pa'!R223,0)</f>
        <v>7.9251615707444527</v>
      </c>
      <c r="BO223" s="18">
        <f>IFERROR(AQ223/'Ar-Pa'!S223,0)</f>
        <v>7.9251615707444527</v>
      </c>
      <c r="BP223" s="18">
        <f>IFERROR(AR223/'Ar-Pa'!T223,0)</f>
        <v>7.9251615707444527</v>
      </c>
      <c r="BQ223" s="18">
        <f>IFERROR(AS223/'Ar-Pa'!U223,0)</f>
        <v>10.236667028878252</v>
      </c>
      <c r="BR223" s="18">
        <f>IFERROR(AT223/'Ar-Pa'!V223,0)</f>
        <v>10.566882094325937</v>
      </c>
      <c r="BS223" s="18">
        <f>IFERROR(AU223/'Ar-Pa'!W223,0)</f>
        <v>9.2460218325351953</v>
      </c>
      <c r="BT223" s="18">
        <f>IFERROR(AV223/'Ar-Pa'!X223,0)</f>
        <v>10.236667028878252</v>
      </c>
      <c r="BU223" s="18">
        <f>IFERROR(AW223/'Ar-Pa'!Y223,0)</f>
        <v>10.236667028878252</v>
      </c>
    </row>
    <row r="224" spans="1:73">
      <c r="A224" s="15">
        <v>45149</v>
      </c>
      <c r="B224" s="441">
        <v>0.33</v>
      </c>
      <c r="C224" s="441">
        <v>0.33</v>
      </c>
      <c r="D224" s="441">
        <v>0.33</v>
      </c>
      <c r="E224" s="441">
        <v>0.25</v>
      </c>
      <c r="F224" s="441">
        <v>0.25</v>
      </c>
      <c r="G224" s="441">
        <v>0.25</v>
      </c>
      <c r="H224" s="441">
        <v>0.25</v>
      </c>
      <c r="I224" s="441">
        <v>0.24</v>
      </c>
      <c r="J224" s="441">
        <v>0.26</v>
      </c>
      <c r="K224" s="441">
        <v>0.25</v>
      </c>
      <c r="L224" s="441">
        <v>0.25</v>
      </c>
      <c r="M224" s="441">
        <v>0.26</v>
      </c>
      <c r="N224" s="441">
        <v>0.25</v>
      </c>
      <c r="O224" s="441">
        <v>0.25</v>
      </c>
      <c r="P224" s="441">
        <v>0.31</v>
      </c>
      <c r="Q224" s="441">
        <v>0.31</v>
      </c>
      <c r="R224" s="441">
        <v>0.26</v>
      </c>
      <c r="S224" s="441">
        <v>0.26</v>
      </c>
      <c r="T224" s="441">
        <v>0.26</v>
      </c>
      <c r="U224" s="441">
        <v>0.27</v>
      </c>
      <c r="V224" s="441">
        <v>0.31</v>
      </c>
      <c r="W224" s="441">
        <v>0.26</v>
      </c>
      <c r="X224" s="441">
        <v>0.27</v>
      </c>
      <c r="Y224" s="441">
        <v>0.26</v>
      </c>
      <c r="Z224" s="19">
        <f t="shared" si="99"/>
        <v>87.176777278188979</v>
      </c>
      <c r="AA224" s="19">
        <f t="shared" si="100"/>
        <v>87.176777278188979</v>
      </c>
      <c r="AB224" s="19">
        <f t="shared" si="101"/>
        <v>87.176777278188979</v>
      </c>
      <c r="AC224" s="19">
        <f t="shared" si="102"/>
        <v>66.043013089537112</v>
      </c>
      <c r="AD224" s="19">
        <f t="shared" si="103"/>
        <v>66.043013089537112</v>
      </c>
      <c r="AE224" s="19">
        <f t="shared" si="126"/>
        <v>66.043013089537112</v>
      </c>
      <c r="AF224" s="19">
        <f t="shared" si="127"/>
        <v>66.043013089537112</v>
      </c>
      <c r="AG224" s="19">
        <f t="shared" si="128"/>
        <v>63.401292565955622</v>
      </c>
      <c r="AH224" s="19">
        <f t="shared" si="129"/>
        <v>68.684733613118595</v>
      </c>
      <c r="AI224" s="19">
        <f t="shared" si="130"/>
        <v>66.043013089537112</v>
      </c>
      <c r="AJ224" s="19">
        <f t="shared" si="131"/>
        <v>66.043013089537112</v>
      </c>
      <c r="AK224" s="19">
        <f t="shared" si="132"/>
        <v>68.684733613118595</v>
      </c>
      <c r="AL224" s="19">
        <f t="shared" si="133"/>
        <v>66.043013089537112</v>
      </c>
      <c r="AM224" s="19">
        <f t="shared" si="134"/>
        <v>66.043013089537112</v>
      </c>
      <c r="AN224" s="19">
        <f t="shared" si="135"/>
        <v>81.893336231026012</v>
      </c>
      <c r="AO224" s="19">
        <f t="shared" si="136"/>
        <v>81.893336231026012</v>
      </c>
      <c r="AP224" s="19">
        <f t="shared" si="137"/>
        <v>68.684733613118595</v>
      </c>
      <c r="AQ224" s="19">
        <f t="shared" si="138"/>
        <v>68.684733613118595</v>
      </c>
      <c r="AR224" s="19">
        <f t="shared" si="139"/>
        <v>68.684733613118595</v>
      </c>
      <c r="AS224" s="19">
        <f t="shared" si="140"/>
        <v>71.326454136700079</v>
      </c>
      <c r="AT224" s="19">
        <f t="shared" si="141"/>
        <v>81.893336231026012</v>
      </c>
      <c r="AU224" s="19">
        <f t="shared" si="142"/>
        <v>68.684733613118595</v>
      </c>
      <c r="AV224" s="19">
        <f t="shared" si="143"/>
        <v>71.326454136700079</v>
      </c>
      <c r="AW224" s="19">
        <f t="shared" si="144"/>
        <v>68.684733613118595</v>
      </c>
      <c r="AX224" s="18">
        <f>IFERROR(Z224/'Ar-Pa'!B224,0)</f>
        <v>10.897097159773622</v>
      </c>
      <c r="AY224" s="18">
        <f>IFERROR(AA224/'Ar-Pa'!C224,0)</f>
        <v>10.897097159773622</v>
      </c>
      <c r="AZ224" s="18">
        <f>IFERROR(AB224/'Ar-Pa'!D224,0)</f>
        <v>10.897097159773622</v>
      </c>
      <c r="BA224" s="18">
        <f>IFERROR(AC224/'Ar-Pa'!E224,0)</f>
        <v>8.255376636192139</v>
      </c>
      <c r="BB224" s="18">
        <f>IFERROR(AD224/'Ar-Pa'!F224,0)</f>
        <v>8.255376636192139</v>
      </c>
      <c r="BC224" s="18">
        <f>IFERROR(AE224/'Ar-Pa'!G224,0)</f>
        <v>8.255376636192139</v>
      </c>
      <c r="BD224" s="18">
        <f>IFERROR(AF224/'Ar-Pa'!H224,0)</f>
        <v>8.255376636192139</v>
      </c>
      <c r="BE224" s="18">
        <f>IFERROR(AG224/'Ar-Pa'!I224,0)</f>
        <v>7.9251615707444527</v>
      </c>
      <c r="BF224" s="18">
        <f>IFERROR(AH224/'Ar-Pa'!J224,0)</f>
        <v>8.5855917016398244</v>
      </c>
      <c r="BG224" s="18">
        <f>IFERROR(AI224/'Ar-Pa'!K224,0)</f>
        <v>8.255376636192139</v>
      </c>
      <c r="BH224" s="18">
        <f>IFERROR(AJ224/'Ar-Pa'!L224,0)</f>
        <v>8.255376636192139</v>
      </c>
      <c r="BI224" s="18">
        <f>IFERROR(AK224/'Ar-Pa'!M224,0)</f>
        <v>8.5855917016398244</v>
      </c>
      <c r="BJ224" s="18">
        <f>IFERROR(AL224/'Ar-Pa'!N224,0)</f>
        <v>8.255376636192139</v>
      </c>
      <c r="BK224" s="18">
        <f>IFERROR(AM224/'Ar-Pa'!O224,0)</f>
        <v>8.255376636192139</v>
      </c>
      <c r="BL224" s="18">
        <f>IFERROR(AN224/'Ar-Pa'!P224,0)</f>
        <v>10.236667028878252</v>
      </c>
      <c r="BM224" s="18">
        <f>IFERROR(AO224/'Ar-Pa'!Q224,0)</f>
        <v>10.236667028878252</v>
      </c>
      <c r="BN224" s="18">
        <f>IFERROR(AP224/'Ar-Pa'!R224,0)</f>
        <v>8.5855917016398244</v>
      </c>
      <c r="BO224" s="18">
        <f>IFERROR(AQ224/'Ar-Pa'!S224,0)</f>
        <v>11.447455602186432</v>
      </c>
      <c r="BP224" s="18">
        <f>IFERROR(AR224/'Ar-Pa'!T224,0)</f>
        <v>11.447455602186432</v>
      </c>
      <c r="BQ224" s="18">
        <f>IFERROR(AS224/'Ar-Pa'!U224,0)</f>
        <v>11.88774235611668</v>
      </c>
      <c r="BR224" s="18">
        <f>IFERROR(AT224/'Ar-Pa'!V224,0)</f>
        <v>10.236667028878252</v>
      </c>
      <c r="BS224" s="18">
        <f>IFERROR(AU224/'Ar-Pa'!W224,0)</f>
        <v>8.5855917016398244</v>
      </c>
      <c r="BT224" s="18">
        <f>IFERROR(AV224/'Ar-Pa'!X224,0)</f>
        <v>8.9158067670875099</v>
      </c>
      <c r="BU224" s="18">
        <f>IFERROR(AW224/'Ar-Pa'!Y224,0)</f>
        <v>8.5855917016398244</v>
      </c>
    </row>
    <row r="225" spans="1:73">
      <c r="A225" s="15">
        <v>45150</v>
      </c>
      <c r="B225" s="441">
        <v>0.28999999999999998</v>
      </c>
      <c r="C225" s="441">
        <v>0.3</v>
      </c>
      <c r="D225" s="441">
        <v>0.28999999999999998</v>
      </c>
      <c r="E225" s="441">
        <v>0.23</v>
      </c>
      <c r="F225" s="441">
        <v>0.22</v>
      </c>
      <c r="G225" s="441">
        <v>0.22</v>
      </c>
      <c r="H225" s="441">
        <v>0.22</v>
      </c>
      <c r="I225" s="441">
        <v>0.22</v>
      </c>
      <c r="J225" s="441">
        <v>0.22</v>
      </c>
      <c r="K225" s="441">
        <v>0.23</v>
      </c>
      <c r="L225" s="441">
        <v>0.22</v>
      </c>
      <c r="M225" s="441">
        <v>0.23</v>
      </c>
      <c r="N225" s="441">
        <v>0.23</v>
      </c>
      <c r="O225" s="441">
        <v>0.22</v>
      </c>
      <c r="P225" s="441">
        <v>0.27</v>
      </c>
      <c r="Q225" s="441">
        <v>0.28000000000000003</v>
      </c>
      <c r="R225" s="441">
        <v>0.23</v>
      </c>
      <c r="S225" s="441">
        <v>0.23</v>
      </c>
      <c r="T225" s="441">
        <v>0.23</v>
      </c>
      <c r="U225" s="441">
        <v>0.24</v>
      </c>
      <c r="V225" s="441">
        <v>0.28000000000000003</v>
      </c>
      <c r="W225" s="441">
        <v>0.23</v>
      </c>
      <c r="X225" s="441">
        <v>0.24</v>
      </c>
      <c r="Y225" s="441">
        <v>0.23</v>
      </c>
      <c r="Z225" s="19">
        <f t="shared" si="99"/>
        <v>76.609895183863046</v>
      </c>
      <c r="AA225" s="19">
        <f t="shared" si="100"/>
        <v>79.251615707444529</v>
      </c>
      <c r="AB225" s="19">
        <f t="shared" si="101"/>
        <v>76.609895183863046</v>
      </c>
      <c r="AC225" s="19">
        <f t="shared" si="102"/>
        <v>60.759572042374138</v>
      </c>
      <c r="AD225" s="19">
        <f t="shared" si="103"/>
        <v>58.117851518792655</v>
      </c>
      <c r="AE225" s="19">
        <f t="shared" si="126"/>
        <v>58.117851518792655</v>
      </c>
      <c r="AF225" s="19">
        <f t="shared" si="127"/>
        <v>58.117851518792655</v>
      </c>
      <c r="AG225" s="19">
        <f t="shared" si="128"/>
        <v>58.117851518792655</v>
      </c>
      <c r="AH225" s="19">
        <f t="shared" si="129"/>
        <v>58.117851518792655</v>
      </c>
      <c r="AI225" s="19">
        <f t="shared" si="130"/>
        <v>60.759572042374138</v>
      </c>
      <c r="AJ225" s="19">
        <f t="shared" si="131"/>
        <v>58.117851518792655</v>
      </c>
      <c r="AK225" s="19">
        <f t="shared" si="132"/>
        <v>60.759572042374138</v>
      </c>
      <c r="AL225" s="19">
        <f t="shared" si="133"/>
        <v>60.759572042374138</v>
      </c>
      <c r="AM225" s="19">
        <f t="shared" si="134"/>
        <v>58.117851518792655</v>
      </c>
      <c r="AN225" s="19">
        <f t="shared" si="135"/>
        <v>71.326454136700079</v>
      </c>
      <c r="AO225" s="19">
        <f t="shared" si="136"/>
        <v>73.968174660281562</v>
      </c>
      <c r="AP225" s="19">
        <f t="shared" si="137"/>
        <v>60.759572042374138</v>
      </c>
      <c r="AQ225" s="19">
        <f t="shared" si="138"/>
        <v>60.759572042374138</v>
      </c>
      <c r="AR225" s="19">
        <f t="shared" si="139"/>
        <v>60.759572042374138</v>
      </c>
      <c r="AS225" s="19">
        <f t="shared" si="140"/>
        <v>63.401292565955622</v>
      </c>
      <c r="AT225" s="19">
        <f t="shared" si="141"/>
        <v>73.968174660281562</v>
      </c>
      <c r="AU225" s="19">
        <f t="shared" si="142"/>
        <v>60.759572042374138</v>
      </c>
      <c r="AV225" s="19">
        <f t="shared" si="143"/>
        <v>63.401292565955622</v>
      </c>
      <c r="AW225" s="19">
        <f t="shared" si="144"/>
        <v>60.759572042374138</v>
      </c>
      <c r="AX225" s="18">
        <f>IFERROR(Z225/'Ar-Pa'!B225,0)</f>
        <v>10.944270740551863</v>
      </c>
      <c r="AY225" s="18">
        <f>IFERROR(AA225/'Ar-Pa'!C225,0)</f>
        <v>11.321659386777791</v>
      </c>
      <c r="AZ225" s="18">
        <f>IFERROR(AB225/'Ar-Pa'!D225,0)</f>
        <v>10.944270740551863</v>
      </c>
      <c r="BA225" s="18">
        <f>IFERROR(AC225/'Ar-Pa'!E225,0)</f>
        <v>8.6799388631963055</v>
      </c>
      <c r="BB225" s="18">
        <f>IFERROR(AD225/'Ar-Pa'!F225,0)</f>
        <v>8.3025502169703795</v>
      </c>
      <c r="BC225" s="18">
        <f>IFERROR(AE225/'Ar-Pa'!G225,0)</f>
        <v>8.3025502169703795</v>
      </c>
      <c r="BD225" s="18">
        <f>IFERROR(AF225/'Ar-Pa'!H225,0)</f>
        <v>8.3025502169703795</v>
      </c>
      <c r="BE225" s="18">
        <f>IFERROR(AG225/'Ar-Pa'!I225,0)</f>
        <v>8.3025502169703795</v>
      </c>
      <c r="BF225" s="18">
        <f>IFERROR(AH225/'Ar-Pa'!J225,0)</f>
        <v>8.3025502169703795</v>
      </c>
      <c r="BG225" s="18">
        <f>IFERROR(AI225/'Ar-Pa'!K225,0)</f>
        <v>8.6799388631963055</v>
      </c>
      <c r="BH225" s="18">
        <f>IFERROR(AJ225/'Ar-Pa'!L225,0)</f>
        <v>8.3025502169703795</v>
      </c>
      <c r="BI225" s="18">
        <f>IFERROR(AK225/'Ar-Pa'!M225,0)</f>
        <v>8.6799388631963055</v>
      </c>
      <c r="BJ225" s="18">
        <f>IFERROR(AL225/'Ar-Pa'!N225,0)</f>
        <v>8.6799388631963055</v>
      </c>
      <c r="BK225" s="18">
        <f>IFERROR(AM225/'Ar-Pa'!O225,0)</f>
        <v>7.2647314398490819</v>
      </c>
      <c r="BL225" s="18">
        <f>IFERROR(AN225/'Ar-Pa'!P225,0)</f>
        <v>8.9158067670875099</v>
      </c>
      <c r="BM225" s="18">
        <f>IFERROR(AO225/'Ar-Pa'!Q225,0)</f>
        <v>9.2460218325351953</v>
      </c>
      <c r="BN225" s="18">
        <f>IFERROR(AP225/'Ar-Pa'!R225,0)</f>
        <v>7.5949465052967673</v>
      </c>
      <c r="BO225" s="18">
        <f>IFERROR(AQ225/'Ar-Pa'!S225,0)</f>
        <v>8.6799388631963055</v>
      </c>
      <c r="BP225" s="18">
        <f>IFERROR(AR225/'Ar-Pa'!T225,0)</f>
        <v>8.6799388631963055</v>
      </c>
      <c r="BQ225" s="18">
        <f>IFERROR(AS225/'Ar-Pa'!U225,0)</f>
        <v>9.0573275094222314</v>
      </c>
      <c r="BR225" s="18">
        <f>IFERROR(AT225/'Ar-Pa'!V225,0)</f>
        <v>10.566882094325937</v>
      </c>
      <c r="BS225" s="18">
        <f>IFERROR(AU225/'Ar-Pa'!W225,0)</f>
        <v>8.6799388631963055</v>
      </c>
      <c r="BT225" s="18">
        <f>IFERROR(AV225/'Ar-Pa'!X225,0)</f>
        <v>9.0573275094222314</v>
      </c>
      <c r="BU225" s="18">
        <f>IFERROR(AW225/'Ar-Pa'!Y225,0)</f>
        <v>8.6799388631963055</v>
      </c>
    </row>
    <row r="226" spans="1:73">
      <c r="A226" s="15">
        <v>45151</v>
      </c>
      <c r="B226" s="441">
        <v>0.23</v>
      </c>
      <c r="C226" s="441">
        <v>0.23</v>
      </c>
      <c r="D226" s="441">
        <v>0.24</v>
      </c>
      <c r="E226" s="441">
        <v>0.23</v>
      </c>
      <c r="F226" s="441">
        <v>0.24</v>
      </c>
      <c r="G226" s="441">
        <v>0.23</v>
      </c>
      <c r="H226" s="441">
        <v>0.23</v>
      </c>
      <c r="I226" s="441">
        <v>0.24</v>
      </c>
      <c r="J226" s="441">
        <v>0.23</v>
      </c>
      <c r="K226" s="441">
        <v>0.23</v>
      </c>
      <c r="L226" s="441">
        <v>0.24</v>
      </c>
      <c r="M226" s="441">
        <v>0.23</v>
      </c>
      <c r="N226" s="441">
        <v>0.24</v>
      </c>
      <c r="O226" s="441">
        <v>0.23</v>
      </c>
      <c r="P226" s="441">
        <v>0.23</v>
      </c>
      <c r="Q226" s="441">
        <v>0.24</v>
      </c>
      <c r="R226" s="441">
        <v>0.23</v>
      </c>
      <c r="S226" s="441">
        <v>0.23</v>
      </c>
      <c r="T226" s="441">
        <v>0.23</v>
      </c>
      <c r="U226" s="441">
        <v>0.23</v>
      </c>
      <c r="V226" s="441">
        <v>0.24</v>
      </c>
      <c r="W226" s="441">
        <v>0.23</v>
      </c>
      <c r="X226" s="441">
        <v>0.23</v>
      </c>
      <c r="Y226" s="441">
        <v>0.24</v>
      </c>
      <c r="Z226" s="19">
        <f t="shared" si="99"/>
        <v>60.759572042374138</v>
      </c>
      <c r="AA226" s="19">
        <f t="shared" si="100"/>
        <v>60.759572042374138</v>
      </c>
      <c r="AB226" s="19">
        <f t="shared" si="101"/>
        <v>63.401292565955622</v>
      </c>
      <c r="AC226" s="19">
        <f t="shared" si="102"/>
        <v>60.759572042374138</v>
      </c>
      <c r="AD226" s="19">
        <f t="shared" si="103"/>
        <v>63.401292565955622</v>
      </c>
      <c r="AE226" s="19">
        <f t="shared" si="126"/>
        <v>60.759572042374138</v>
      </c>
      <c r="AF226" s="19">
        <f t="shared" si="127"/>
        <v>60.759572042374138</v>
      </c>
      <c r="AG226" s="19">
        <f t="shared" si="128"/>
        <v>63.401292565955622</v>
      </c>
      <c r="AH226" s="19">
        <f t="shared" si="129"/>
        <v>60.759572042374138</v>
      </c>
      <c r="AI226" s="19">
        <f t="shared" si="130"/>
        <v>60.759572042374138</v>
      </c>
      <c r="AJ226" s="19">
        <f t="shared" si="131"/>
        <v>63.401292565955622</v>
      </c>
      <c r="AK226" s="19">
        <f t="shared" si="132"/>
        <v>60.759572042374138</v>
      </c>
      <c r="AL226" s="19">
        <f t="shared" si="133"/>
        <v>63.401292565955622</v>
      </c>
      <c r="AM226" s="19">
        <f t="shared" si="134"/>
        <v>60.759572042374138</v>
      </c>
      <c r="AN226" s="19">
        <f t="shared" si="135"/>
        <v>60.759572042374138</v>
      </c>
      <c r="AO226" s="19">
        <f t="shared" si="136"/>
        <v>63.401292565955622</v>
      </c>
      <c r="AP226" s="19">
        <f t="shared" si="137"/>
        <v>60.759572042374138</v>
      </c>
      <c r="AQ226" s="19">
        <f t="shared" si="138"/>
        <v>60.759572042374138</v>
      </c>
      <c r="AR226" s="19">
        <f t="shared" si="139"/>
        <v>60.759572042374138</v>
      </c>
      <c r="AS226" s="19">
        <f t="shared" si="140"/>
        <v>60.759572042374138</v>
      </c>
      <c r="AT226" s="19">
        <f t="shared" si="141"/>
        <v>63.401292565955622</v>
      </c>
      <c r="AU226" s="19">
        <f t="shared" si="142"/>
        <v>60.759572042374138</v>
      </c>
      <c r="AV226" s="19">
        <f t="shared" si="143"/>
        <v>60.759572042374138</v>
      </c>
      <c r="AW226" s="19">
        <f t="shared" si="144"/>
        <v>63.401292565955622</v>
      </c>
      <c r="AX226" s="18">
        <f>IFERROR(Z226/'Ar-Pa'!B226,0)</f>
        <v>8.6799388631963055</v>
      </c>
      <c r="AY226" s="18">
        <f>IFERROR(AA226/'Ar-Pa'!C226,0)</f>
        <v>8.6799388631963055</v>
      </c>
      <c r="AZ226" s="18">
        <f>IFERROR(AB226/'Ar-Pa'!D226,0)</f>
        <v>9.0573275094222314</v>
      </c>
      <c r="BA226" s="18">
        <f>IFERROR(AC226/'Ar-Pa'!E226,0)</f>
        <v>8.6799388631963055</v>
      </c>
      <c r="BB226" s="18">
        <f>IFERROR(AD226/'Ar-Pa'!F226,0)</f>
        <v>9.0573275094222314</v>
      </c>
      <c r="BC226" s="18">
        <f>IFERROR(AE226/'Ar-Pa'!G226,0)</f>
        <v>8.6799388631963055</v>
      </c>
      <c r="BD226" s="18">
        <f>IFERROR(AF226/'Ar-Pa'!H226,0)</f>
        <v>8.6799388631963055</v>
      </c>
      <c r="BE226" s="18">
        <f>IFERROR(AG226/'Ar-Pa'!I226,0)</f>
        <v>9.0573275094222314</v>
      </c>
      <c r="BF226" s="18">
        <f>IFERROR(AH226/'Ar-Pa'!J226,0)</f>
        <v>8.6799388631963055</v>
      </c>
      <c r="BG226" s="18">
        <f>IFERROR(AI226/'Ar-Pa'!K226,0)</f>
        <v>8.6799388631963055</v>
      </c>
      <c r="BH226" s="18">
        <f>IFERROR(AJ226/'Ar-Pa'!L226,0)</f>
        <v>9.0573275094222314</v>
      </c>
      <c r="BI226" s="18">
        <f>IFERROR(AK226/'Ar-Pa'!M226,0)</f>
        <v>8.6799388631963055</v>
      </c>
      <c r="BJ226" s="18">
        <f>IFERROR(AL226/'Ar-Pa'!N226,0)</f>
        <v>9.0573275094222314</v>
      </c>
      <c r="BK226" s="18">
        <f>IFERROR(AM226/'Ar-Pa'!O226,0)</f>
        <v>8.6799388631963055</v>
      </c>
      <c r="BL226" s="18">
        <f>IFERROR(AN226/'Ar-Pa'!P226,0)</f>
        <v>8.6799388631963055</v>
      </c>
      <c r="BM226" s="18">
        <f>IFERROR(AO226/'Ar-Pa'!Q226,0)</f>
        <v>9.0573275094222314</v>
      </c>
      <c r="BN226" s="18">
        <f>IFERROR(AP226/'Ar-Pa'!R226,0)</f>
        <v>8.6799388631963055</v>
      </c>
      <c r="BO226" s="18">
        <f>IFERROR(AQ226/'Ar-Pa'!S226,0)</f>
        <v>8.6799388631963055</v>
      </c>
      <c r="BP226" s="18">
        <f>IFERROR(AR226/'Ar-Pa'!T226,0)</f>
        <v>8.6799388631963055</v>
      </c>
      <c r="BQ226" s="18">
        <f>IFERROR(AS226/'Ar-Pa'!U226,0)</f>
        <v>8.6799388631963055</v>
      </c>
      <c r="BR226" s="18">
        <f>IFERROR(AT226/'Ar-Pa'!V226,0)</f>
        <v>9.0573275094222314</v>
      </c>
      <c r="BS226" s="18">
        <f>IFERROR(AU226/'Ar-Pa'!W226,0)</f>
        <v>8.6799388631963055</v>
      </c>
      <c r="BT226" s="18">
        <f>IFERROR(AV226/'Ar-Pa'!X226,0)</f>
        <v>8.6799388631963055</v>
      </c>
      <c r="BU226" s="18">
        <f>IFERROR(AW226/'Ar-Pa'!Y226,0)</f>
        <v>9.0573275094222314</v>
      </c>
    </row>
    <row r="227" spans="1:73">
      <c r="A227" s="15">
        <v>45152</v>
      </c>
      <c r="B227" s="441">
        <v>0.27</v>
      </c>
      <c r="C227" s="441">
        <v>0.26</v>
      </c>
      <c r="D227" s="441">
        <v>0.27</v>
      </c>
      <c r="E227" s="441">
        <v>0.27</v>
      </c>
      <c r="F227" s="441">
        <v>0.27</v>
      </c>
      <c r="G227" s="441">
        <v>0.27</v>
      </c>
      <c r="H227" s="441">
        <v>0.27</v>
      </c>
      <c r="I227" s="441">
        <v>0.27</v>
      </c>
      <c r="J227" s="441">
        <v>0.28000000000000003</v>
      </c>
      <c r="K227" s="441">
        <v>0.27</v>
      </c>
      <c r="L227" s="441">
        <v>0.27</v>
      </c>
      <c r="M227" s="441">
        <v>0.27</v>
      </c>
      <c r="N227" s="441">
        <v>0.27</v>
      </c>
      <c r="O227" s="441">
        <v>0.28000000000000003</v>
      </c>
      <c r="P227" s="441">
        <v>0.27</v>
      </c>
      <c r="Q227" s="441">
        <v>0.27</v>
      </c>
      <c r="R227" s="441">
        <v>0.27</v>
      </c>
      <c r="S227" s="441">
        <v>0.28000000000000003</v>
      </c>
      <c r="T227" s="441">
        <v>0.26</v>
      </c>
      <c r="U227" s="441">
        <v>0.32</v>
      </c>
      <c r="V227" s="441">
        <v>0.33</v>
      </c>
      <c r="W227" s="441">
        <v>0.33</v>
      </c>
      <c r="X227" s="441">
        <v>0.33</v>
      </c>
      <c r="Y227" s="441">
        <v>0.33</v>
      </c>
      <c r="Z227" s="19">
        <f t="shared" ref="Z227:Z245" si="145">+CONVERT(B227,"m^3","gal")</f>
        <v>71.326454136700079</v>
      </c>
      <c r="AA227" s="19">
        <f t="shared" ref="AA227:AA245" si="146">+CONVERT(C227,"m^3","gal")</f>
        <v>68.684733613118595</v>
      </c>
      <c r="AB227" s="19">
        <f t="shared" ref="AB227:AB245" si="147">+CONVERT(D227,"m^3","gal")</f>
        <v>71.326454136700079</v>
      </c>
      <c r="AC227" s="19">
        <f t="shared" ref="AC227:AC245" si="148">+CONVERT(E227,"m^3","gal")</f>
        <v>71.326454136700079</v>
      </c>
      <c r="AD227" s="19">
        <f t="shared" si="103"/>
        <v>71.326454136700079</v>
      </c>
      <c r="AE227" s="19">
        <f t="shared" si="126"/>
        <v>71.326454136700079</v>
      </c>
      <c r="AF227" s="19">
        <f t="shared" si="127"/>
        <v>71.326454136700079</v>
      </c>
      <c r="AG227" s="19">
        <f t="shared" si="128"/>
        <v>71.326454136700079</v>
      </c>
      <c r="AH227" s="19">
        <f t="shared" si="129"/>
        <v>73.968174660281562</v>
      </c>
      <c r="AI227" s="19">
        <f t="shared" si="130"/>
        <v>71.326454136700079</v>
      </c>
      <c r="AJ227" s="19">
        <f t="shared" si="131"/>
        <v>71.326454136700079</v>
      </c>
      <c r="AK227" s="19">
        <f t="shared" si="132"/>
        <v>71.326454136700079</v>
      </c>
      <c r="AL227" s="19">
        <f t="shared" si="133"/>
        <v>71.326454136700079</v>
      </c>
      <c r="AM227" s="19">
        <f t="shared" si="134"/>
        <v>73.968174660281562</v>
      </c>
      <c r="AN227" s="19">
        <f t="shared" si="135"/>
        <v>71.326454136700079</v>
      </c>
      <c r="AO227" s="19">
        <f t="shared" si="136"/>
        <v>71.326454136700079</v>
      </c>
      <c r="AP227" s="19">
        <f t="shared" si="137"/>
        <v>71.326454136700079</v>
      </c>
      <c r="AQ227" s="19">
        <f t="shared" si="138"/>
        <v>73.968174660281562</v>
      </c>
      <c r="AR227" s="19">
        <f t="shared" si="139"/>
        <v>68.684733613118595</v>
      </c>
      <c r="AS227" s="19">
        <f t="shared" si="140"/>
        <v>84.535056754607496</v>
      </c>
      <c r="AT227" s="19">
        <f t="shared" si="141"/>
        <v>87.176777278188979</v>
      </c>
      <c r="AU227" s="19">
        <f t="shared" si="142"/>
        <v>87.176777278188979</v>
      </c>
      <c r="AV227" s="19">
        <f t="shared" si="143"/>
        <v>87.176777278188979</v>
      </c>
      <c r="AW227" s="19">
        <f t="shared" si="144"/>
        <v>87.176777278188979</v>
      </c>
      <c r="AX227" s="18">
        <f>IFERROR(Z227/'Ar-Pa'!B227,0)</f>
        <v>8.9158067670875099</v>
      </c>
      <c r="AY227" s="18">
        <f>IFERROR(AA227/'Ar-Pa'!C227,0)</f>
        <v>7.631637068124288</v>
      </c>
      <c r="AZ227" s="18">
        <f>IFERROR(AB227/'Ar-Pa'!D227,0)</f>
        <v>7.9251615707444536</v>
      </c>
      <c r="BA227" s="18">
        <f>IFERROR(AC227/'Ar-Pa'!E227,0)</f>
        <v>7.9251615707444536</v>
      </c>
      <c r="BB227" s="18">
        <f>IFERROR(AD227/'Ar-Pa'!F227,0)</f>
        <v>7.9251615707444536</v>
      </c>
      <c r="BC227" s="18">
        <f>IFERROR(AE227/'Ar-Pa'!G227,0)</f>
        <v>7.9251615707444536</v>
      </c>
      <c r="BD227" s="18">
        <f>IFERROR(AF227/'Ar-Pa'!H227,0)</f>
        <v>7.9251615707444536</v>
      </c>
      <c r="BE227" s="18">
        <f>IFERROR(AG227/'Ar-Pa'!I227,0)</f>
        <v>7.9251615707444536</v>
      </c>
      <c r="BF227" s="18">
        <f>IFERROR(AH227/'Ar-Pa'!J227,0)</f>
        <v>8.2186860733646174</v>
      </c>
      <c r="BG227" s="18">
        <f>IFERROR(AI227/'Ar-Pa'!K227,0)</f>
        <v>7.9251615707444536</v>
      </c>
      <c r="BH227" s="18">
        <f>IFERROR(AJ227/'Ar-Pa'!L227,0)</f>
        <v>7.9251615707444536</v>
      </c>
      <c r="BI227" s="18">
        <f>IFERROR(AK227/'Ar-Pa'!M227,0)</f>
        <v>7.9251615707444536</v>
      </c>
      <c r="BJ227" s="18">
        <f>IFERROR(AL227/'Ar-Pa'!N227,0)</f>
        <v>7.9251615707444536</v>
      </c>
      <c r="BK227" s="18">
        <f>IFERROR(AM227/'Ar-Pa'!O227,0)</f>
        <v>8.2186860733646174</v>
      </c>
      <c r="BL227" s="18">
        <f>IFERROR(AN227/'Ar-Pa'!P227,0)</f>
        <v>7.9251615707444536</v>
      </c>
      <c r="BM227" s="18">
        <f>IFERROR(AO227/'Ar-Pa'!Q227,0)</f>
        <v>7.9251615707444536</v>
      </c>
      <c r="BN227" s="18">
        <f>IFERROR(AP227/'Ar-Pa'!R227,0)</f>
        <v>7.9251615707444536</v>
      </c>
      <c r="BO227" s="18">
        <f>IFERROR(AQ227/'Ar-Pa'!S227,0)</f>
        <v>8.2186860733646174</v>
      </c>
      <c r="BP227" s="18">
        <f>IFERROR(AR227/'Ar-Pa'!T227,0)</f>
        <v>7.631637068124288</v>
      </c>
      <c r="BQ227" s="18">
        <f>IFERROR(AS227/'Ar-Pa'!U227,0)</f>
        <v>9.3927840838452781</v>
      </c>
      <c r="BR227" s="18">
        <f>IFERROR(AT227/'Ar-Pa'!V227,0)</f>
        <v>9.6863085864654419</v>
      </c>
      <c r="BS227" s="18">
        <f>IFERROR(AU227/'Ar-Pa'!W227,0)</f>
        <v>9.6863085864654419</v>
      </c>
      <c r="BT227" s="18">
        <f>IFERROR(AV227/'Ar-Pa'!X227,0)</f>
        <v>9.6863085864654419</v>
      </c>
      <c r="BU227" s="18">
        <f>IFERROR(AW227/'Ar-Pa'!Y227,0)</f>
        <v>9.6863085864654419</v>
      </c>
    </row>
    <row r="228" spans="1:73">
      <c r="A228" s="15">
        <v>45153</v>
      </c>
      <c r="B228" s="441">
        <v>0.26</v>
      </c>
      <c r="C228" s="441">
        <v>0.25</v>
      </c>
      <c r="D228" s="441">
        <v>0.25</v>
      </c>
      <c r="E228" s="441">
        <v>0.25</v>
      </c>
      <c r="F228" s="441">
        <v>0.25</v>
      </c>
      <c r="G228" s="441">
        <v>0.26</v>
      </c>
      <c r="H228" s="441">
        <v>0.25</v>
      </c>
      <c r="I228" s="441">
        <v>0.25</v>
      </c>
      <c r="J228" s="441">
        <v>0.27</v>
      </c>
      <c r="K228" s="441">
        <v>0.24</v>
      </c>
      <c r="L228" s="441">
        <v>0.26</v>
      </c>
      <c r="M228" s="441">
        <v>0.25</v>
      </c>
      <c r="N228" s="441">
        <v>0.25</v>
      </c>
      <c r="O228" s="441">
        <v>0.28000000000000003</v>
      </c>
      <c r="P228" s="441">
        <v>0.32</v>
      </c>
      <c r="Q228" s="441">
        <v>0.28000000000000003</v>
      </c>
      <c r="R228" s="441">
        <v>0.26</v>
      </c>
      <c r="S228" s="441">
        <v>0.27</v>
      </c>
      <c r="T228" s="441">
        <v>0.26</v>
      </c>
      <c r="U228" s="441">
        <v>0.27</v>
      </c>
      <c r="V228" s="441">
        <v>0.26</v>
      </c>
      <c r="W228" s="441">
        <v>0.26</v>
      </c>
      <c r="X228" s="441">
        <v>0.26</v>
      </c>
      <c r="Y228" s="441">
        <v>0.26</v>
      </c>
      <c r="Z228" s="19">
        <f t="shared" si="145"/>
        <v>68.684733613118595</v>
      </c>
      <c r="AA228" s="19">
        <f t="shared" si="146"/>
        <v>66.043013089537112</v>
      </c>
      <c r="AB228" s="19">
        <f t="shared" si="147"/>
        <v>66.043013089537112</v>
      </c>
      <c r="AC228" s="19">
        <f t="shared" si="148"/>
        <v>66.043013089537112</v>
      </c>
      <c r="AD228" s="19">
        <f t="shared" si="103"/>
        <v>66.043013089537112</v>
      </c>
      <c r="AE228" s="19">
        <f t="shared" si="126"/>
        <v>68.684733613118595</v>
      </c>
      <c r="AF228" s="19">
        <f t="shared" si="127"/>
        <v>66.043013089537112</v>
      </c>
      <c r="AG228" s="19">
        <f t="shared" si="128"/>
        <v>66.043013089537112</v>
      </c>
      <c r="AH228" s="19">
        <f t="shared" si="129"/>
        <v>71.326454136700079</v>
      </c>
      <c r="AI228" s="19">
        <f t="shared" si="130"/>
        <v>63.401292565955622</v>
      </c>
      <c r="AJ228" s="19">
        <f t="shared" si="131"/>
        <v>68.684733613118595</v>
      </c>
      <c r="AK228" s="19">
        <f t="shared" si="132"/>
        <v>66.043013089537112</v>
      </c>
      <c r="AL228" s="19">
        <f t="shared" si="133"/>
        <v>66.043013089537112</v>
      </c>
      <c r="AM228" s="19">
        <f t="shared" si="134"/>
        <v>73.968174660281562</v>
      </c>
      <c r="AN228" s="19">
        <f t="shared" si="135"/>
        <v>84.535056754607496</v>
      </c>
      <c r="AO228" s="19">
        <f t="shared" si="136"/>
        <v>73.968174660281562</v>
      </c>
      <c r="AP228" s="19">
        <f t="shared" si="137"/>
        <v>68.684733613118595</v>
      </c>
      <c r="AQ228" s="19">
        <f t="shared" si="138"/>
        <v>71.326454136700079</v>
      </c>
      <c r="AR228" s="19">
        <f t="shared" si="139"/>
        <v>68.684733613118595</v>
      </c>
      <c r="AS228" s="19">
        <f t="shared" si="140"/>
        <v>71.326454136700079</v>
      </c>
      <c r="AT228" s="19">
        <f t="shared" si="141"/>
        <v>68.684733613118595</v>
      </c>
      <c r="AU228" s="19">
        <f t="shared" si="142"/>
        <v>68.684733613118595</v>
      </c>
      <c r="AV228" s="19">
        <f t="shared" si="143"/>
        <v>68.684733613118595</v>
      </c>
      <c r="AW228" s="19">
        <f t="shared" si="144"/>
        <v>68.684733613118595</v>
      </c>
      <c r="AX228" s="18">
        <f>IFERROR(Z228/'Ar-Pa'!B228,0)</f>
        <v>7.631637068124288</v>
      </c>
      <c r="AY228" s="18">
        <f>IFERROR(AA228/'Ar-Pa'!C228,0)</f>
        <v>7.3381125655041233</v>
      </c>
      <c r="AZ228" s="18">
        <f>IFERROR(AB228/'Ar-Pa'!D228,0)</f>
        <v>7.3381125655041233</v>
      </c>
      <c r="BA228" s="18">
        <f>IFERROR(AC228/'Ar-Pa'!E228,0)</f>
        <v>7.3381125655041233</v>
      </c>
      <c r="BB228" s="18">
        <f>IFERROR(AD228/'Ar-Pa'!F228,0)</f>
        <v>7.3381125655041233</v>
      </c>
      <c r="BC228" s="18">
        <f>IFERROR(AE228/'Ar-Pa'!G228,0)</f>
        <v>7.631637068124288</v>
      </c>
      <c r="BD228" s="18">
        <f>IFERROR(AF228/'Ar-Pa'!H228,0)</f>
        <v>7.3381125655041233</v>
      </c>
      <c r="BE228" s="18">
        <f>IFERROR(AG228/'Ar-Pa'!I228,0)</f>
        <v>7.3381125655041233</v>
      </c>
      <c r="BF228" s="18">
        <f>IFERROR(AH228/'Ar-Pa'!J228,0)</f>
        <v>7.9251615707444536</v>
      </c>
      <c r="BG228" s="18">
        <f>IFERROR(AI228/'Ar-Pa'!K228,0)</f>
        <v>7.9251615707444527</v>
      </c>
      <c r="BH228" s="18">
        <f>IFERROR(AJ228/'Ar-Pa'!L228,0)</f>
        <v>8.5855917016398244</v>
      </c>
      <c r="BI228" s="18">
        <f>IFERROR(AK228/'Ar-Pa'!M228,0)</f>
        <v>7.3381125655041233</v>
      </c>
      <c r="BJ228" s="18">
        <f>IFERROR(AL228/'Ar-Pa'!N228,0)</f>
        <v>7.3381125655041233</v>
      </c>
      <c r="BK228" s="18">
        <f>IFERROR(AM228/'Ar-Pa'!O228,0)</f>
        <v>8.2186860733646174</v>
      </c>
      <c r="BL228" s="18">
        <f>IFERROR(AN228/'Ar-Pa'!P228,0)</f>
        <v>9.3927840838452781</v>
      </c>
      <c r="BM228" s="18">
        <f>IFERROR(AO228/'Ar-Pa'!Q228,0)</f>
        <v>8.2186860733646174</v>
      </c>
      <c r="BN228" s="18">
        <f>IFERROR(AP228/'Ar-Pa'!R228,0)</f>
        <v>7.631637068124288</v>
      </c>
      <c r="BO228" s="18">
        <f>IFERROR(AQ228/'Ar-Pa'!S228,0)</f>
        <v>7.9251615707444536</v>
      </c>
      <c r="BP228" s="18">
        <f>IFERROR(AR228/'Ar-Pa'!T228,0)</f>
        <v>7.631637068124288</v>
      </c>
      <c r="BQ228" s="18">
        <f>IFERROR(AS228/'Ar-Pa'!U228,0)</f>
        <v>7.9251615707444536</v>
      </c>
      <c r="BR228" s="18">
        <f>IFERROR(AT228/'Ar-Pa'!V228,0)</f>
        <v>7.631637068124288</v>
      </c>
      <c r="BS228" s="18">
        <f>IFERROR(AU228/'Ar-Pa'!W228,0)</f>
        <v>7.631637068124288</v>
      </c>
      <c r="BT228" s="18">
        <f>IFERROR(AV228/'Ar-Pa'!X228,0)</f>
        <v>7.631637068124288</v>
      </c>
      <c r="BU228" s="18">
        <f>IFERROR(AW228/'Ar-Pa'!Y228,0)</f>
        <v>7.631637068124288</v>
      </c>
    </row>
    <row r="229" spans="1:73">
      <c r="A229" s="15">
        <v>45154</v>
      </c>
      <c r="B229" s="441">
        <v>0.25</v>
      </c>
      <c r="C229" s="441">
        <v>0.24</v>
      </c>
      <c r="D229" s="441">
        <v>0.24</v>
      </c>
      <c r="E229" s="441">
        <v>0.24</v>
      </c>
      <c r="F229" s="441">
        <v>0.25</v>
      </c>
      <c r="G229" s="441">
        <v>0.24</v>
      </c>
      <c r="H229" s="441">
        <v>0.24</v>
      </c>
      <c r="I229" s="441">
        <v>0.24</v>
      </c>
      <c r="J229" s="441">
        <v>0.25</v>
      </c>
      <c r="K229" s="441">
        <v>0.24</v>
      </c>
      <c r="L229" s="441">
        <v>0.24</v>
      </c>
      <c r="M229" s="441">
        <v>0.25</v>
      </c>
      <c r="N229" s="441">
        <v>0.24</v>
      </c>
      <c r="O229" s="441">
        <v>0.24</v>
      </c>
      <c r="P229" s="441">
        <v>0.25</v>
      </c>
      <c r="Q229" s="441">
        <v>0.24</v>
      </c>
      <c r="R229" s="441">
        <v>0.24</v>
      </c>
      <c r="S229" s="441">
        <v>0.25</v>
      </c>
      <c r="T229" s="441">
        <v>0.25</v>
      </c>
      <c r="U229" s="441">
        <v>0.24</v>
      </c>
      <c r="V229" s="441">
        <v>0.24</v>
      </c>
      <c r="W229" s="441">
        <v>0.25</v>
      </c>
      <c r="X229" s="441">
        <v>0.24</v>
      </c>
      <c r="Y229" s="441">
        <v>0.25</v>
      </c>
      <c r="Z229" s="19">
        <f t="shared" si="145"/>
        <v>66.043013089537112</v>
      </c>
      <c r="AA229" s="19">
        <f t="shared" si="146"/>
        <v>63.401292565955622</v>
      </c>
      <c r="AB229" s="19">
        <f t="shared" si="147"/>
        <v>63.401292565955622</v>
      </c>
      <c r="AC229" s="19">
        <f t="shared" si="148"/>
        <v>63.401292565955622</v>
      </c>
      <c r="AD229" s="19">
        <f t="shared" ref="AD229:AD245" si="149">+CONVERT(F229,"m^3","gal")</f>
        <v>66.043013089537112</v>
      </c>
      <c r="AE229" s="19">
        <f t="shared" si="126"/>
        <v>63.401292565955622</v>
      </c>
      <c r="AF229" s="19">
        <f t="shared" si="127"/>
        <v>63.401292565955622</v>
      </c>
      <c r="AG229" s="19">
        <f t="shared" si="128"/>
        <v>63.401292565955622</v>
      </c>
      <c r="AH229" s="19">
        <f t="shared" si="129"/>
        <v>66.043013089537112</v>
      </c>
      <c r="AI229" s="19">
        <f t="shared" si="130"/>
        <v>63.401292565955622</v>
      </c>
      <c r="AJ229" s="19">
        <f t="shared" si="131"/>
        <v>63.401292565955622</v>
      </c>
      <c r="AK229" s="19">
        <f t="shared" si="132"/>
        <v>66.043013089537112</v>
      </c>
      <c r="AL229" s="19">
        <f t="shared" si="133"/>
        <v>63.401292565955622</v>
      </c>
      <c r="AM229" s="19">
        <f t="shared" si="134"/>
        <v>63.401292565955622</v>
      </c>
      <c r="AN229" s="19">
        <f t="shared" si="135"/>
        <v>66.043013089537112</v>
      </c>
      <c r="AO229" s="19">
        <f t="shared" si="136"/>
        <v>63.401292565955622</v>
      </c>
      <c r="AP229" s="19">
        <f t="shared" si="137"/>
        <v>63.401292565955622</v>
      </c>
      <c r="AQ229" s="19">
        <f t="shared" si="138"/>
        <v>66.043013089537112</v>
      </c>
      <c r="AR229" s="19">
        <f t="shared" si="139"/>
        <v>66.043013089537112</v>
      </c>
      <c r="AS229" s="19">
        <f t="shared" si="140"/>
        <v>63.401292565955622</v>
      </c>
      <c r="AT229" s="19">
        <f t="shared" si="141"/>
        <v>63.401292565955622</v>
      </c>
      <c r="AU229" s="19">
        <f t="shared" si="142"/>
        <v>66.043013089537112</v>
      </c>
      <c r="AV229" s="19">
        <f t="shared" si="143"/>
        <v>63.401292565955622</v>
      </c>
      <c r="AW229" s="19">
        <f t="shared" si="144"/>
        <v>66.043013089537112</v>
      </c>
      <c r="AX229" s="18">
        <f>IFERROR(Z229/'Ar-Pa'!B229,0)</f>
        <v>8.255376636192139</v>
      </c>
      <c r="AY229" s="18">
        <f>IFERROR(AA229/'Ar-Pa'!C229,0)</f>
        <v>7.9251615707444527</v>
      </c>
      <c r="AZ229" s="18">
        <f>IFERROR(AB229/'Ar-Pa'!D229,0)</f>
        <v>7.9251615707444527</v>
      </c>
      <c r="BA229" s="18">
        <f>IFERROR(AC229/'Ar-Pa'!E229,0)</f>
        <v>7.9251615707444527</v>
      </c>
      <c r="BB229" s="18">
        <f>IFERROR(AD229/'Ar-Pa'!F229,0)</f>
        <v>8.255376636192139</v>
      </c>
      <c r="BC229" s="18">
        <f>IFERROR(AE229/'Ar-Pa'!G229,0)</f>
        <v>7.9251615707444527</v>
      </c>
      <c r="BD229" s="18">
        <f>IFERROR(AF229/'Ar-Pa'!H229,0)</f>
        <v>7.9251615707444527</v>
      </c>
      <c r="BE229" s="18">
        <f>IFERROR(AG229/'Ar-Pa'!I229,0)</f>
        <v>7.9251615707444527</v>
      </c>
      <c r="BF229" s="18">
        <f>IFERROR(AH229/'Ar-Pa'!J229,0)</f>
        <v>8.255376636192139</v>
      </c>
      <c r="BG229" s="18">
        <f>IFERROR(AI229/'Ar-Pa'!K229,0)</f>
        <v>7.9251615707444527</v>
      </c>
      <c r="BH229" s="18">
        <f>IFERROR(AJ229/'Ar-Pa'!L229,0)</f>
        <v>7.9251615707444527</v>
      </c>
      <c r="BI229" s="18">
        <f>IFERROR(AK229/'Ar-Pa'!M229,0)</f>
        <v>8.255376636192139</v>
      </c>
      <c r="BJ229" s="18">
        <f>IFERROR(AL229/'Ar-Pa'!N229,0)</f>
        <v>7.9251615707444527</v>
      </c>
      <c r="BK229" s="18">
        <f>IFERROR(AM229/'Ar-Pa'!O229,0)</f>
        <v>7.9251615707444527</v>
      </c>
      <c r="BL229" s="18">
        <f>IFERROR(AN229/'Ar-Pa'!P229,0)</f>
        <v>8.255376636192139</v>
      </c>
      <c r="BM229" s="18">
        <f>IFERROR(AO229/'Ar-Pa'!Q229,0)</f>
        <v>7.9251615707444527</v>
      </c>
      <c r="BN229" s="18">
        <f>IFERROR(AP229/'Ar-Pa'!R229,0)</f>
        <v>7.9251615707444527</v>
      </c>
      <c r="BO229" s="18">
        <f>IFERROR(AQ229/'Ar-Pa'!S229,0)</f>
        <v>8.255376636192139</v>
      </c>
      <c r="BP229" s="18">
        <f>IFERROR(AR229/'Ar-Pa'!T229,0)</f>
        <v>8.255376636192139</v>
      </c>
      <c r="BQ229" s="18">
        <f>IFERROR(AS229/'Ar-Pa'!U229,0)</f>
        <v>7.9251615707444527</v>
      </c>
      <c r="BR229" s="18">
        <f>IFERROR(AT229/'Ar-Pa'!V229,0)</f>
        <v>7.9251615707444527</v>
      </c>
      <c r="BS229" s="18">
        <f>IFERROR(AU229/'Ar-Pa'!W229,0)</f>
        <v>8.255376636192139</v>
      </c>
      <c r="BT229" s="18">
        <f>IFERROR(AV229/'Ar-Pa'!X229,0)</f>
        <v>7.9251615707444527</v>
      </c>
      <c r="BU229" s="18">
        <f>IFERROR(AW229/'Ar-Pa'!Y229,0)</f>
        <v>8.255376636192139</v>
      </c>
    </row>
    <row r="230" spans="1:73">
      <c r="A230" s="15">
        <v>45155</v>
      </c>
      <c r="B230" s="441">
        <v>0.23</v>
      </c>
      <c r="C230" s="441">
        <v>0.23</v>
      </c>
      <c r="D230" s="441">
        <v>0.24</v>
      </c>
      <c r="E230" s="441">
        <v>0.23</v>
      </c>
      <c r="F230" s="441">
        <v>0.23</v>
      </c>
      <c r="G230" s="441">
        <v>0.24</v>
      </c>
      <c r="H230" s="441">
        <v>0.24</v>
      </c>
      <c r="I230" s="441">
        <v>0.23</v>
      </c>
      <c r="J230" s="441">
        <v>0.24</v>
      </c>
      <c r="K230" s="441">
        <v>0.24</v>
      </c>
      <c r="L230" s="441">
        <v>0.23</v>
      </c>
      <c r="M230" s="441">
        <v>0.23</v>
      </c>
      <c r="N230" s="441">
        <v>0.24</v>
      </c>
      <c r="O230" s="441">
        <v>0.24</v>
      </c>
      <c r="P230" s="441">
        <v>0.23</v>
      </c>
      <c r="Q230" s="441">
        <v>0.24</v>
      </c>
      <c r="R230" s="441">
        <v>0.24</v>
      </c>
      <c r="S230" s="441">
        <v>0.24</v>
      </c>
      <c r="T230" s="441">
        <v>0.23</v>
      </c>
      <c r="U230" s="441">
        <v>0.24</v>
      </c>
      <c r="V230" s="441">
        <v>0.28999999999999998</v>
      </c>
      <c r="W230" s="441">
        <v>0.23</v>
      </c>
      <c r="X230" s="441">
        <v>0.24</v>
      </c>
      <c r="Y230" s="441">
        <v>0.24</v>
      </c>
      <c r="Z230" s="19">
        <f t="shared" si="145"/>
        <v>60.759572042374138</v>
      </c>
      <c r="AA230" s="19">
        <f t="shared" si="146"/>
        <v>60.759572042374138</v>
      </c>
      <c r="AB230" s="19">
        <f t="shared" si="147"/>
        <v>63.401292565955622</v>
      </c>
      <c r="AC230" s="19">
        <f t="shared" si="148"/>
        <v>60.759572042374138</v>
      </c>
      <c r="AD230" s="19">
        <f t="shared" si="149"/>
        <v>60.759572042374138</v>
      </c>
      <c r="AE230" s="19">
        <f t="shared" si="126"/>
        <v>63.401292565955622</v>
      </c>
      <c r="AF230" s="19">
        <f t="shared" si="127"/>
        <v>63.401292565955622</v>
      </c>
      <c r="AG230" s="19">
        <f t="shared" si="128"/>
        <v>60.759572042374138</v>
      </c>
      <c r="AH230" s="19">
        <f t="shared" si="129"/>
        <v>63.401292565955622</v>
      </c>
      <c r="AI230" s="19">
        <f t="shared" si="130"/>
        <v>63.401292565955622</v>
      </c>
      <c r="AJ230" s="19">
        <f t="shared" si="131"/>
        <v>60.759572042374138</v>
      </c>
      <c r="AK230" s="19">
        <f t="shared" si="132"/>
        <v>60.759572042374138</v>
      </c>
      <c r="AL230" s="19">
        <f t="shared" si="133"/>
        <v>63.401292565955622</v>
      </c>
      <c r="AM230" s="19">
        <f t="shared" si="134"/>
        <v>63.401292565955622</v>
      </c>
      <c r="AN230" s="19">
        <f t="shared" si="135"/>
        <v>60.759572042374138</v>
      </c>
      <c r="AO230" s="19">
        <f t="shared" si="136"/>
        <v>63.401292565955622</v>
      </c>
      <c r="AP230" s="19">
        <f t="shared" si="137"/>
        <v>63.401292565955622</v>
      </c>
      <c r="AQ230" s="19">
        <f t="shared" si="138"/>
        <v>63.401292565955622</v>
      </c>
      <c r="AR230" s="19">
        <f t="shared" si="139"/>
        <v>60.759572042374138</v>
      </c>
      <c r="AS230" s="19">
        <f t="shared" si="140"/>
        <v>63.401292565955622</v>
      </c>
      <c r="AT230" s="19">
        <f t="shared" si="141"/>
        <v>76.609895183863046</v>
      </c>
      <c r="AU230" s="19">
        <f t="shared" si="142"/>
        <v>60.759572042374138</v>
      </c>
      <c r="AV230" s="19">
        <f t="shared" si="143"/>
        <v>63.401292565955622</v>
      </c>
      <c r="AW230" s="19">
        <f t="shared" si="144"/>
        <v>63.401292565955622</v>
      </c>
      <c r="AX230" s="18">
        <f>IFERROR(Z230/'Ar-Pa'!B230,0)</f>
        <v>7.5949465052967673</v>
      </c>
      <c r="AY230" s="18">
        <f>IFERROR(AA230/'Ar-Pa'!C230,0)</f>
        <v>7.5949465052967673</v>
      </c>
      <c r="AZ230" s="18">
        <f>IFERROR(AB230/'Ar-Pa'!D230,0)</f>
        <v>7.9251615707444527</v>
      </c>
      <c r="BA230" s="18">
        <f>IFERROR(AC230/'Ar-Pa'!E230,0)</f>
        <v>7.5949465052967673</v>
      </c>
      <c r="BB230" s="18">
        <f>IFERROR(AD230/'Ar-Pa'!F230,0)</f>
        <v>7.5949465052967673</v>
      </c>
      <c r="BC230" s="18">
        <f>IFERROR(AE230/'Ar-Pa'!G230,0)</f>
        <v>7.9251615707444527</v>
      </c>
      <c r="BD230" s="18">
        <f>IFERROR(AF230/'Ar-Pa'!H230,0)</f>
        <v>7.9251615707444527</v>
      </c>
      <c r="BE230" s="18">
        <f>IFERROR(AG230/'Ar-Pa'!I230,0)</f>
        <v>7.5949465052967673</v>
      </c>
      <c r="BF230" s="18">
        <f>IFERROR(AH230/'Ar-Pa'!J230,0)</f>
        <v>7.9251615707444527</v>
      </c>
      <c r="BG230" s="18">
        <f>IFERROR(AI230/'Ar-Pa'!K230,0)</f>
        <v>7.9251615707444527</v>
      </c>
      <c r="BH230" s="18">
        <f>IFERROR(AJ230/'Ar-Pa'!L230,0)</f>
        <v>7.5949465052967673</v>
      </c>
      <c r="BI230" s="18">
        <f>IFERROR(AK230/'Ar-Pa'!M230,0)</f>
        <v>7.5949465052967673</v>
      </c>
      <c r="BJ230" s="18">
        <f>IFERROR(AL230/'Ar-Pa'!N230,0)</f>
        <v>7.9251615707444527</v>
      </c>
      <c r="BK230" s="18">
        <f>IFERROR(AM230/'Ar-Pa'!O230,0)</f>
        <v>7.9251615707444527</v>
      </c>
      <c r="BL230" s="18">
        <f>IFERROR(AN230/'Ar-Pa'!P230,0)</f>
        <v>7.5949465052967673</v>
      </c>
      <c r="BM230" s="18">
        <f>IFERROR(AO230/'Ar-Pa'!Q230,0)</f>
        <v>7.9251615707444527</v>
      </c>
      <c r="BN230" s="18">
        <f>IFERROR(AP230/'Ar-Pa'!R230,0)</f>
        <v>7.9251615707444527</v>
      </c>
      <c r="BO230" s="18">
        <f>IFERROR(AQ230/'Ar-Pa'!S230,0)</f>
        <v>7.9251615707444527</v>
      </c>
      <c r="BP230" s="18">
        <f>IFERROR(AR230/'Ar-Pa'!T230,0)</f>
        <v>10.12659534039569</v>
      </c>
      <c r="BQ230" s="18">
        <f>IFERROR(AS230/'Ar-Pa'!U230,0)</f>
        <v>10.566882094325937</v>
      </c>
      <c r="BR230" s="18">
        <f>IFERROR(AT230/'Ar-Pa'!V230,0)</f>
        <v>9.5762368979828807</v>
      </c>
      <c r="BS230" s="18">
        <f>IFERROR(AU230/'Ar-Pa'!W230,0)</f>
        <v>7.5949465052967673</v>
      </c>
      <c r="BT230" s="18">
        <f>IFERROR(AV230/'Ar-Pa'!X230,0)</f>
        <v>7.9251615707444527</v>
      </c>
      <c r="BU230" s="18">
        <f>IFERROR(AW230/'Ar-Pa'!Y230,0)</f>
        <v>7.9251615707444527</v>
      </c>
    </row>
    <row r="231" spans="1:73">
      <c r="A231" s="15">
        <v>45156</v>
      </c>
      <c r="B231" s="441">
        <v>0.22</v>
      </c>
      <c r="C231" s="441">
        <v>0.22</v>
      </c>
      <c r="D231" s="441">
        <v>0.23</v>
      </c>
      <c r="E231" s="441">
        <v>0.22</v>
      </c>
      <c r="F231" s="441">
        <v>0.22</v>
      </c>
      <c r="G231" s="441">
        <v>0.23</v>
      </c>
      <c r="H231" s="441">
        <v>0.22</v>
      </c>
      <c r="I231" s="441">
        <v>0.23</v>
      </c>
      <c r="J231" s="441">
        <v>0.22</v>
      </c>
      <c r="K231" s="441">
        <v>0.22</v>
      </c>
      <c r="L231" s="441">
        <v>0.23</v>
      </c>
      <c r="M231" s="441">
        <v>0.22</v>
      </c>
      <c r="N231" s="441">
        <v>0.23</v>
      </c>
      <c r="O231" s="441">
        <v>0.22</v>
      </c>
      <c r="P231" s="441">
        <v>0.22</v>
      </c>
      <c r="Q231" s="441">
        <v>0.22</v>
      </c>
      <c r="R231" s="441">
        <v>0.23</v>
      </c>
      <c r="S231" s="441">
        <v>0.22</v>
      </c>
      <c r="T231" s="441">
        <v>0.22</v>
      </c>
      <c r="U231" s="441">
        <v>0.23</v>
      </c>
      <c r="V231" s="441">
        <v>0.23</v>
      </c>
      <c r="W231" s="441">
        <v>0.22</v>
      </c>
      <c r="X231" s="441">
        <v>0.23</v>
      </c>
      <c r="Y231" s="441">
        <v>0.23</v>
      </c>
      <c r="Z231" s="19">
        <f t="shared" si="145"/>
        <v>58.117851518792655</v>
      </c>
      <c r="AA231" s="19">
        <f t="shared" si="146"/>
        <v>58.117851518792655</v>
      </c>
      <c r="AB231" s="19">
        <f t="shared" si="147"/>
        <v>60.759572042374138</v>
      </c>
      <c r="AC231" s="19">
        <f t="shared" si="148"/>
        <v>58.117851518792655</v>
      </c>
      <c r="AD231" s="19">
        <f t="shared" si="149"/>
        <v>58.117851518792655</v>
      </c>
      <c r="AE231" s="19">
        <f t="shared" si="126"/>
        <v>60.759572042374138</v>
      </c>
      <c r="AF231" s="19">
        <f t="shared" si="127"/>
        <v>58.117851518792655</v>
      </c>
      <c r="AG231" s="19">
        <f t="shared" si="128"/>
        <v>60.759572042374138</v>
      </c>
      <c r="AH231" s="19">
        <f t="shared" si="129"/>
        <v>58.117851518792655</v>
      </c>
      <c r="AI231" s="19">
        <f t="shared" si="130"/>
        <v>58.117851518792655</v>
      </c>
      <c r="AJ231" s="19">
        <f t="shared" si="131"/>
        <v>60.759572042374138</v>
      </c>
      <c r="AK231" s="19">
        <f t="shared" si="132"/>
        <v>58.117851518792655</v>
      </c>
      <c r="AL231" s="19">
        <f t="shared" si="133"/>
        <v>60.759572042374138</v>
      </c>
      <c r="AM231" s="19">
        <f t="shared" si="134"/>
        <v>58.117851518792655</v>
      </c>
      <c r="AN231" s="19">
        <f t="shared" si="135"/>
        <v>58.117851518792655</v>
      </c>
      <c r="AO231" s="19">
        <f t="shared" si="136"/>
        <v>58.117851518792655</v>
      </c>
      <c r="AP231" s="19">
        <f t="shared" si="137"/>
        <v>60.759572042374138</v>
      </c>
      <c r="AQ231" s="19">
        <f t="shared" si="138"/>
        <v>58.117851518792655</v>
      </c>
      <c r="AR231" s="19">
        <f t="shared" si="139"/>
        <v>58.117851518792655</v>
      </c>
      <c r="AS231" s="19">
        <f t="shared" si="140"/>
        <v>60.759572042374138</v>
      </c>
      <c r="AT231" s="19">
        <f t="shared" si="141"/>
        <v>60.759572042374138</v>
      </c>
      <c r="AU231" s="19">
        <f t="shared" si="142"/>
        <v>58.117851518792655</v>
      </c>
      <c r="AV231" s="19">
        <f t="shared" si="143"/>
        <v>60.759572042374138</v>
      </c>
      <c r="AW231" s="19">
        <f t="shared" si="144"/>
        <v>60.759572042374138</v>
      </c>
      <c r="AX231" s="18">
        <f>IFERROR(Z231/'Ar-Pa'!B231,0)</f>
        <v>8.3025502169703795</v>
      </c>
      <c r="AY231" s="18">
        <f>IFERROR(AA231/'Ar-Pa'!C231,0)</f>
        <v>8.3025502169703795</v>
      </c>
      <c r="AZ231" s="18">
        <f>IFERROR(AB231/'Ar-Pa'!D231,0)</f>
        <v>7.5949465052967673</v>
      </c>
      <c r="BA231" s="18">
        <f>IFERROR(AC231/'Ar-Pa'!E231,0)</f>
        <v>7.2647314398490819</v>
      </c>
      <c r="BB231" s="18">
        <f>IFERROR(AD231/'Ar-Pa'!F231,0)</f>
        <v>7.2647314398490819</v>
      </c>
      <c r="BC231" s="18">
        <f>IFERROR(AE231/'Ar-Pa'!G231,0)</f>
        <v>7.5949465052967673</v>
      </c>
      <c r="BD231" s="18">
        <f>IFERROR(AF231/'Ar-Pa'!H231,0)</f>
        <v>7.2647314398490819</v>
      </c>
      <c r="BE231" s="18">
        <f>IFERROR(AG231/'Ar-Pa'!I231,0)</f>
        <v>7.5949465052967673</v>
      </c>
      <c r="BF231" s="18">
        <f>IFERROR(AH231/'Ar-Pa'!J231,0)</f>
        <v>7.2647314398490819</v>
      </c>
      <c r="BG231" s="18">
        <f>IFERROR(AI231/'Ar-Pa'!K231,0)</f>
        <v>7.2647314398490819</v>
      </c>
      <c r="BH231" s="18">
        <f>IFERROR(AJ231/'Ar-Pa'!L231,0)</f>
        <v>7.5949465052967673</v>
      </c>
      <c r="BI231" s="18">
        <f>IFERROR(AK231/'Ar-Pa'!M231,0)</f>
        <v>7.2647314398490819</v>
      </c>
      <c r="BJ231" s="18">
        <f>IFERROR(AL231/'Ar-Pa'!N231,0)</f>
        <v>7.5949465052967673</v>
      </c>
      <c r="BK231" s="18">
        <f>IFERROR(AM231/'Ar-Pa'!O231,0)</f>
        <v>7.2647314398490819</v>
      </c>
      <c r="BL231" s="18">
        <f>IFERROR(AN231/'Ar-Pa'!P231,0)</f>
        <v>8.3025502169703795</v>
      </c>
      <c r="BM231" s="18">
        <f>IFERROR(AO231/'Ar-Pa'!Q231,0)</f>
        <v>7.2647314398490819</v>
      </c>
      <c r="BN231" s="18">
        <f>IFERROR(AP231/'Ar-Pa'!R231,0)</f>
        <v>7.5949465052967673</v>
      </c>
      <c r="BO231" s="18">
        <f>IFERROR(AQ231/'Ar-Pa'!S231,0)</f>
        <v>7.2647314398490819</v>
      </c>
      <c r="BP231" s="18">
        <f>IFERROR(AR231/'Ar-Pa'!T231,0)</f>
        <v>7.2647314398490819</v>
      </c>
      <c r="BQ231" s="18">
        <f>IFERROR(AS231/'Ar-Pa'!U231,0)</f>
        <v>7.5949465052967673</v>
      </c>
      <c r="BR231" s="18">
        <f>IFERROR(AT231/'Ar-Pa'!V231,0)</f>
        <v>7.5949465052967673</v>
      </c>
      <c r="BS231" s="18">
        <f>IFERROR(AU231/'Ar-Pa'!W231,0)</f>
        <v>7.2647314398490819</v>
      </c>
      <c r="BT231" s="18">
        <f>IFERROR(AV231/'Ar-Pa'!X231,0)</f>
        <v>7.5949465052967673</v>
      </c>
      <c r="BU231" s="18">
        <f>IFERROR(AW231/'Ar-Pa'!Y231,0)</f>
        <v>7.5949465052967673</v>
      </c>
    </row>
    <row r="232" spans="1:73">
      <c r="A232" s="15">
        <v>45157</v>
      </c>
      <c r="B232" s="441">
        <v>0.28000000000000003</v>
      </c>
      <c r="C232" s="441">
        <v>0.28000000000000003</v>
      </c>
      <c r="D232" s="441">
        <v>0.27</v>
      </c>
      <c r="E232" s="441">
        <v>0.28000000000000003</v>
      </c>
      <c r="F232" s="441">
        <v>0.28000000000000003</v>
      </c>
      <c r="G232" s="441">
        <v>0.28000000000000003</v>
      </c>
      <c r="H232" s="441">
        <v>0.28000000000000003</v>
      </c>
      <c r="I232" s="441">
        <v>0.28000000000000003</v>
      </c>
      <c r="J232" s="441">
        <v>0.27</v>
      </c>
      <c r="K232" s="441">
        <v>0.28999999999999998</v>
      </c>
      <c r="L232" s="441">
        <v>0.27</v>
      </c>
      <c r="M232" s="441">
        <v>0.27</v>
      </c>
      <c r="N232" s="441">
        <v>0.28000000000000003</v>
      </c>
      <c r="O232" s="441">
        <v>0.28000000000000003</v>
      </c>
      <c r="P232" s="441">
        <v>0.27</v>
      </c>
      <c r="Q232" s="441">
        <v>0.28000000000000003</v>
      </c>
      <c r="R232" s="441">
        <v>0.26</v>
      </c>
      <c r="S232" s="441">
        <v>0.28000000000000003</v>
      </c>
      <c r="T232" s="441">
        <v>0.27</v>
      </c>
      <c r="U232" s="441">
        <v>0.27</v>
      </c>
      <c r="V232" s="441">
        <v>0.28000000000000003</v>
      </c>
      <c r="W232" s="441">
        <v>0.28000000000000003</v>
      </c>
      <c r="X232" s="441">
        <v>0.27</v>
      </c>
      <c r="Y232" s="441">
        <v>0.28000000000000003</v>
      </c>
      <c r="Z232" s="19">
        <f t="shared" si="145"/>
        <v>73.968174660281562</v>
      </c>
      <c r="AA232" s="19">
        <f t="shared" si="146"/>
        <v>73.968174660281562</v>
      </c>
      <c r="AB232" s="19">
        <f t="shared" si="147"/>
        <v>71.326454136700079</v>
      </c>
      <c r="AC232" s="19">
        <f t="shared" si="148"/>
        <v>73.968174660281562</v>
      </c>
      <c r="AD232" s="19">
        <f t="shared" si="149"/>
        <v>73.968174660281562</v>
      </c>
      <c r="AE232" s="19">
        <f t="shared" si="126"/>
        <v>73.968174660281562</v>
      </c>
      <c r="AF232" s="19">
        <f t="shared" si="127"/>
        <v>73.968174660281562</v>
      </c>
      <c r="AG232" s="19">
        <f t="shared" si="128"/>
        <v>73.968174660281562</v>
      </c>
      <c r="AH232" s="19">
        <f t="shared" si="129"/>
        <v>71.326454136700079</v>
      </c>
      <c r="AI232" s="19">
        <f t="shared" si="130"/>
        <v>76.609895183863046</v>
      </c>
      <c r="AJ232" s="19">
        <f t="shared" si="131"/>
        <v>71.326454136700079</v>
      </c>
      <c r="AK232" s="19">
        <f t="shared" si="132"/>
        <v>71.326454136700079</v>
      </c>
      <c r="AL232" s="19">
        <f t="shared" si="133"/>
        <v>73.968174660281562</v>
      </c>
      <c r="AM232" s="19">
        <f t="shared" si="134"/>
        <v>73.968174660281562</v>
      </c>
      <c r="AN232" s="19">
        <f t="shared" si="135"/>
        <v>71.326454136700079</v>
      </c>
      <c r="AO232" s="19">
        <f t="shared" si="136"/>
        <v>73.968174660281562</v>
      </c>
      <c r="AP232" s="19">
        <f t="shared" si="137"/>
        <v>68.684733613118595</v>
      </c>
      <c r="AQ232" s="19">
        <f t="shared" si="138"/>
        <v>73.968174660281562</v>
      </c>
      <c r="AR232" s="19">
        <f t="shared" si="139"/>
        <v>71.326454136700079</v>
      </c>
      <c r="AS232" s="19">
        <f t="shared" si="140"/>
        <v>71.326454136700079</v>
      </c>
      <c r="AT232" s="19">
        <f t="shared" si="141"/>
        <v>73.968174660281562</v>
      </c>
      <c r="AU232" s="19">
        <f t="shared" si="142"/>
        <v>73.968174660281562</v>
      </c>
      <c r="AV232" s="19">
        <f t="shared" si="143"/>
        <v>71.326454136700079</v>
      </c>
      <c r="AW232" s="19">
        <f t="shared" si="144"/>
        <v>73.968174660281562</v>
      </c>
      <c r="AX232" s="18">
        <f>IFERROR(Z232/'Ar-Pa'!B232,0)</f>
        <v>9.2460218325351953</v>
      </c>
      <c r="AY232" s="18">
        <f>IFERROR(AA232/'Ar-Pa'!C232,0)</f>
        <v>9.2460218325351953</v>
      </c>
      <c r="AZ232" s="18">
        <f>IFERROR(AB232/'Ar-Pa'!D232,0)</f>
        <v>8.9158067670875099</v>
      </c>
      <c r="BA232" s="18">
        <f>IFERROR(AC232/'Ar-Pa'!E232,0)</f>
        <v>9.2460218325351953</v>
      </c>
      <c r="BB232" s="18">
        <f>IFERROR(AD232/'Ar-Pa'!F232,0)</f>
        <v>9.2460218325351953</v>
      </c>
      <c r="BC232" s="18">
        <f>IFERROR(AE232/'Ar-Pa'!G232,0)</f>
        <v>9.2460218325351953</v>
      </c>
      <c r="BD232" s="18">
        <f>IFERROR(AF232/'Ar-Pa'!H232,0)</f>
        <v>9.2460218325351953</v>
      </c>
      <c r="BE232" s="18">
        <f>IFERROR(AG232/'Ar-Pa'!I232,0)</f>
        <v>9.2460218325351953</v>
      </c>
      <c r="BF232" s="18">
        <f>IFERROR(AH232/'Ar-Pa'!J232,0)</f>
        <v>8.9158067670875099</v>
      </c>
      <c r="BG232" s="18">
        <f>IFERROR(AI232/'Ar-Pa'!K232,0)</f>
        <v>9.5762368979828807</v>
      </c>
      <c r="BH232" s="18">
        <f>IFERROR(AJ232/'Ar-Pa'!L232,0)</f>
        <v>8.9158067670875099</v>
      </c>
      <c r="BI232" s="18">
        <f>IFERROR(AK232/'Ar-Pa'!M232,0)</f>
        <v>8.9158067670875099</v>
      </c>
      <c r="BJ232" s="18">
        <f>IFERROR(AL232/'Ar-Pa'!N232,0)</f>
        <v>9.2460218325351953</v>
      </c>
      <c r="BK232" s="18">
        <f>IFERROR(AM232/'Ar-Pa'!O232,0)</f>
        <v>9.2460218325351953</v>
      </c>
      <c r="BL232" s="18">
        <f>IFERROR(AN232/'Ar-Pa'!P232,0)</f>
        <v>8.9158067670875099</v>
      </c>
      <c r="BM232" s="18">
        <f>IFERROR(AO232/'Ar-Pa'!Q232,0)</f>
        <v>9.2460218325351953</v>
      </c>
      <c r="BN232" s="18">
        <f>IFERROR(AP232/'Ar-Pa'!R232,0)</f>
        <v>8.5855917016398244</v>
      </c>
      <c r="BO232" s="18">
        <f>IFERROR(AQ232/'Ar-Pa'!S232,0)</f>
        <v>9.2460218325351953</v>
      </c>
      <c r="BP232" s="18">
        <f>IFERROR(AR232/'Ar-Pa'!T232,0)</f>
        <v>8.9158067670875099</v>
      </c>
      <c r="BQ232" s="18">
        <f>IFERROR(AS232/'Ar-Pa'!U232,0)</f>
        <v>8.9158067670875099</v>
      </c>
      <c r="BR232" s="18">
        <f>IFERROR(AT232/'Ar-Pa'!V232,0)</f>
        <v>9.2460218325351953</v>
      </c>
      <c r="BS232" s="18">
        <f>IFERROR(AU232/'Ar-Pa'!W232,0)</f>
        <v>9.2460218325351953</v>
      </c>
      <c r="BT232" s="18">
        <f>IFERROR(AV232/'Ar-Pa'!X232,0)</f>
        <v>8.9158067670875099</v>
      </c>
      <c r="BU232" s="18">
        <f>IFERROR(AW232/'Ar-Pa'!Y232,0)</f>
        <v>9.2460218325351953</v>
      </c>
    </row>
    <row r="233" spans="1:73">
      <c r="A233" s="15">
        <v>45158</v>
      </c>
      <c r="B233" s="441">
        <v>0.28000000000000003</v>
      </c>
      <c r="C233" s="441">
        <v>0.27</v>
      </c>
      <c r="D233" s="441">
        <v>0.26</v>
      </c>
      <c r="E233" s="441">
        <v>0.28000000000000003</v>
      </c>
      <c r="F233" s="441">
        <v>0.35</v>
      </c>
      <c r="G233" s="441">
        <v>0.34</v>
      </c>
      <c r="H233" s="441">
        <v>0.37</v>
      </c>
      <c r="I233" s="441">
        <v>0.34</v>
      </c>
      <c r="J233" s="441">
        <v>0.28000000000000003</v>
      </c>
      <c r="K233" s="441">
        <v>0.27</v>
      </c>
      <c r="L233" s="441">
        <v>0.27</v>
      </c>
      <c r="M233" s="441">
        <v>0.28000000000000003</v>
      </c>
      <c r="N233" s="441">
        <v>0.26</v>
      </c>
      <c r="O233" s="441">
        <v>0.27</v>
      </c>
      <c r="P233" s="441">
        <v>0.27</v>
      </c>
      <c r="Q233" s="441">
        <v>0.27</v>
      </c>
      <c r="R233" s="441">
        <v>0.28000000000000003</v>
      </c>
      <c r="S233" s="441">
        <v>0.28000000000000003</v>
      </c>
      <c r="T233" s="441">
        <v>0.27</v>
      </c>
      <c r="U233" s="441">
        <v>0.27</v>
      </c>
      <c r="V233" s="441">
        <v>0.28000000000000003</v>
      </c>
      <c r="W233" s="441">
        <v>0.26</v>
      </c>
      <c r="X233" s="441">
        <v>0.28000000000000003</v>
      </c>
      <c r="Y233" s="441">
        <v>0.27</v>
      </c>
      <c r="Z233" s="19">
        <f t="shared" si="145"/>
        <v>73.968174660281562</v>
      </c>
      <c r="AA233" s="19">
        <f t="shared" si="146"/>
        <v>71.326454136700079</v>
      </c>
      <c r="AB233" s="19">
        <f t="shared" si="147"/>
        <v>68.684733613118595</v>
      </c>
      <c r="AC233" s="19">
        <f t="shared" si="148"/>
        <v>73.968174660281562</v>
      </c>
      <c r="AD233" s="19">
        <f t="shared" si="149"/>
        <v>92.460218325351946</v>
      </c>
      <c r="AE233" s="19">
        <f t="shared" si="126"/>
        <v>89.818497801770462</v>
      </c>
      <c r="AF233" s="19">
        <f t="shared" si="127"/>
        <v>97.743659372514912</v>
      </c>
      <c r="AG233" s="19">
        <f t="shared" si="128"/>
        <v>89.818497801770462</v>
      </c>
      <c r="AH233" s="19">
        <f t="shared" si="129"/>
        <v>73.968174660281562</v>
      </c>
      <c r="AI233" s="19">
        <f t="shared" si="130"/>
        <v>71.326454136700079</v>
      </c>
      <c r="AJ233" s="19">
        <f t="shared" si="131"/>
        <v>71.326454136700079</v>
      </c>
      <c r="AK233" s="19">
        <f t="shared" si="132"/>
        <v>73.968174660281562</v>
      </c>
      <c r="AL233" s="19">
        <f t="shared" si="133"/>
        <v>68.684733613118595</v>
      </c>
      <c r="AM233" s="19">
        <f t="shared" si="134"/>
        <v>71.326454136700079</v>
      </c>
      <c r="AN233" s="19">
        <f t="shared" si="135"/>
        <v>71.326454136700079</v>
      </c>
      <c r="AO233" s="19">
        <f t="shared" si="136"/>
        <v>71.326454136700079</v>
      </c>
      <c r="AP233" s="19">
        <f t="shared" si="137"/>
        <v>73.968174660281562</v>
      </c>
      <c r="AQ233" s="19">
        <f t="shared" si="138"/>
        <v>73.968174660281562</v>
      </c>
      <c r="AR233" s="19">
        <f t="shared" si="139"/>
        <v>71.326454136700079</v>
      </c>
      <c r="AS233" s="19">
        <f t="shared" si="140"/>
        <v>71.326454136700079</v>
      </c>
      <c r="AT233" s="19">
        <f t="shared" si="141"/>
        <v>73.968174660281562</v>
      </c>
      <c r="AU233" s="19">
        <f t="shared" si="142"/>
        <v>68.684733613118595</v>
      </c>
      <c r="AV233" s="19">
        <f t="shared" si="143"/>
        <v>73.968174660281562</v>
      </c>
      <c r="AW233" s="19">
        <f t="shared" si="144"/>
        <v>71.326454136700079</v>
      </c>
      <c r="AX233" s="18">
        <f>IFERROR(Z233/'Ar-Pa'!B233,0)</f>
        <v>9.2460218325351953</v>
      </c>
      <c r="AY233" s="18">
        <f>IFERROR(AA233/'Ar-Pa'!C233,0)</f>
        <v>8.9158067670875099</v>
      </c>
      <c r="AZ233" s="18">
        <f>IFERROR(AB233/'Ar-Pa'!D233,0)</f>
        <v>8.5855917016398244</v>
      </c>
      <c r="BA233" s="18">
        <f>IFERROR(AC233/'Ar-Pa'!E233,0)</f>
        <v>9.2460218325351953</v>
      </c>
      <c r="BB233" s="18">
        <f>IFERROR(AD233/'Ar-Pa'!F233,0)</f>
        <v>10.273357591705771</v>
      </c>
      <c r="BC233" s="18">
        <f>IFERROR(AE233/'Ar-Pa'!G233,0)</f>
        <v>9.9798330890856075</v>
      </c>
      <c r="BD233" s="18">
        <f>IFERROR(AF233/'Ar-Pa'!H233,0)</f>
        <v>10.860406596946101</v>
      </c>
      <c r="BE233" s="18">
        <f>IFERROR(AG233/'Ar-Pa'!I233,0)</f>
        <v>9.9798330890856075</v>
      </c>
      <c r="BF233" s="18">
        <f>IFERROR(AH233/'Ar-Pa'!J233,0)</f>
        <v>9.2460218325351953</v>
      </c>
      <c r="BG233" s="18">
        <f>IFERROR(AI233/'Ar-Pa'!K233,0)</f>
        <v>8.9158067670875099</v>
      </c>
      <c r="BH233" s="18">
        <f>IFERROR(AJ233/'Ar-Pa'!L233,0)</f>
        <v>7.9251615707444536</v>
      </c>
      <c r="BI233" s="18">
        <f>IFERROR(AK233/'Ar-Pa'!M233,0)</f>
        <v>8.2186860733646174</v>
      </c>
      <c r="BJ233" s="18">
        <f>IFERROR(AL233/'Ar-Pa'!N233,0)</f>
        <v>7.631637068124288</v>
      </c>
      <c r="BK233" s="18">
        <f>IFERROR(AM233/'Ar-Pa'!O233,0)</f>
        <v>7.9251615707444536</v>
      </c>
      <c r="BL233" s="18">
        <f>IFERROR(AN233/'Ar-Pa'!P233,0)</f>
        <v>10.189493448100011</v>
      </c>
      <c r="BM233" s="18">
        <f>IFERROR(AO233/'Ar-Pa'!Q233,0)</f>
        <v>8.9158067670875099</v>
      </c>
      <c r="BN233" s="18">
        <f>IFERROR(AP233/'Ar-Pa'!R233,0)</f>
        <v>9.2460218325351953</v>
      </c>
      <c r="BO233" s="18">
        <f>IFERROR(AQ233/'Ar-Pa'!S233,0)</f>
        <v>9.2460218325351953</v>
      </c>
      <c r="BP233" s="18">
        <f>IFERROR(AR233/'Ar-Pa'!T233,0)</f>
        <v>8.9158067670875099</v>
      </c>
      <c r="BQ233" s="18">
        <f>IFERROR(AS233/'Ar-Pa'!U233,0)</f>
        <v>8.9158067670875099</v>
      </c>
      <c r="BR233" s="18">
        <f>IFERROR(AT233/'Ar-Pa'!V233,0)</f>
        <v>9.2460218325351953</v>
      </c>
      <c r="BS233" s="18">
        <f>IFERROR(AU233/'Ar-Pa'!W233,0)</f>
        <v>8.5855917016398244</v>
      </c>
      <c r="BT233" s="18">
        <f>IFERROR(AV233/'Ar-Pa'!X233,0)</f>
        <v>9.2460218325351953</v>
      </c>
      <c r="BU233" s="18">
        <f>IFERROR(AW233/'Ar-Pa'!Y233,0)</f>
        <v>8.9158067670875099</v>
      </c>
    </row>
    <row r="234" spans="1:73">
      <c r="A234" s="15">
        <v>45159</v>
      </c>
      <c r="B234" s="441">
        <v>0.23</v>
      </c>
      <c r="C234" s="441">
        <v>0.24</v>
      </c>
      <c r="D234" s="441">
        <v>0.24</v>
      </c>
      <c r="E234" s="441">
        <v>0.24</v>
      </c>
      <c r="F234" s="441">
        <v>0.24</v>
      </c>
      <c r="G234" s="441">
        <v>0.23</v>
      </c>
      <c r="H234" s="441">
        <v>0.24</v>
      </c>
      <c r="I234" s="441">
        <v>0.23</v>
      </c>
      <c r="J234" s="441">
        <v>0.24</v>
      </c>
      <c r="K234" s="441">
        <v>0.24</v>
      </c>
      <c r="L234" s="441">
        <v>0.24</v>
      </c>
      <c r="M234" s="441">
        <v>0.23</v>
      </c>
      <c r="N234" s="441">
        <v>0.24</v>
      </c>
      <c r="O234" s="441">
        <v>0.24</v>
      </c>
      <c r="P234" s="441">
        <v>0.23</v>
      </c>
      <c r="Q234" s="441">
        <v>0.24</v>
      </c>
      <c r="R234" s="441">
        <v>0.23</v>
      </c>
      <c r="S234" s="441">
        <v>0.24</v>
      </c>
      <c r="T234" s="441">
        <v>0.31</v>
      </c>
      <c r="U234" s="441">
        <v>0.3</v>
      </c>
      <c r="V234" s="441">
        <v>0.28999999999999998</v>
      </c>
      <c r="W234" s="441">
        <v>0.31</v>
      </c>
      <c r="X234" s="441">
        <v>0.31</v>
      </c>
      <c r="Y234" s="441">
        <v>0.31</v>
      </c>
      <c r="Z234" s="19">
        <f t="shared" si="145"/>
        <v>60.759572042374138</v>
      </c>
      <c r="AA234" s="19">
        <f t="shared" si="146"/>
        <v>63.401292565955622</v>
      </c>
      <c r="AB234" s="19">
        <f t="shared" si="147"/>
        <v>63.401292565955622</v>
      </c>
      <c r="AC234" s="19">
        <f t="shared" si="148"/>
        <v>63.401292565955622</v>
      </c>
      <c r="AD234" s="19">
        <f t="shared" si="149"/>
        <v>63.401292565955622</v>
      </c>
      <c r="AE234" s="19">
        <f t="shared" si="126"/>
        <v>60.759572042374138</v>
      </c>
      <c r="AF234" s="19">
        <f t="shared" si="127"/>
        <v>63.401292565955622</v>
      </c>
      <c r="AG234" s="19">
        <f t="shared" si="128"/>
        <v>60.759572042374138</v>
      </c>
      <c r="AH234" s="19">
        <f t="shared" si="129"/>
        <v>63.401292565955622</v>
      </c>
      <c r="AI234" s="19">
        <f t="shared" si="130"/>
        <v>63.401292565955622</v>
      </c>
      <c r="AJ234" s="19">
        <f t="shared" si="131"/>
        <v>63.401292565955622</v>
      </c>
      <c r="AK234" s="19">
        <f t="shared" si="132"/>
        <v>60.759572042374138</v>
      </c>
      <c r="AL234" s="19">
        <f t="shared" si="133"/>
        <v>63.401292565955622</v>
      </c>
      <c r="AM234" s="19">
        <f t="shared" si="134"/>
        <v>63.401292565955622</v>
      </c>
      <c r="AN234" s="19">
        <f t="shared" si="135"/>
        <v>60.759572042374138</v>
      </c>
      <c r="AO234" s="19">
        <f t="shared" si="136"/>
        <v>63.401292565955622</v>
      </c>
      <c r="AP234" s="19">
        <f t="shared" si="137"/>
        <v>60.759572042374138</v>
      </c>
      <c r="AQ234" s="19">
        <f t="shared" si="138"/>
        <v>63.401292565955622</v>
      </c>
      <c r="AR234" s="19">
        <f t="shared" si="139"/>
        <v>81.893336231026012</v>
      </c>
      <c r="AS234" s="19">
        <f t="shared" si="140"/>
        <v>79.251615707444529</v>
      </c>
      <c r="AT234" s="19">
        <f t="shared" si="141"/>
        <v>76.609895183863046</v>
      </c>
      <c r="AU234" s="19">
        <f t="shared" si="142"/>
        <v>81.893336231026012</v>
      </c>
      <c r="AV234" s="19">
        <f t="shared" si="143"/>
        <v>81.893336231026012</v>
      </c>
      <c r="AW234" s="19">
        <f t="shared" si="144"/>
        <v>81.893336231026012</v>
      </c>
      <c r="AX234" s="18">
        <f>IFERROR(Z234/'Ar-Pa'!B234,0)</f>
        <v>7.5949465052967673</v>
      </c>
      <c r="AY234" s="18">
        <f>IFERROR(AA234/'Ar-Pa'!C234,0)</f>
        <v>7.9251615707444527</v>
      </c>
      <c r="AZ234" s="18">
        <f>IFERROR(AB234/'Ar-Pa'!D234,0)</f>
        <v>7.9251615707444527</v>
      </c>
      <c r="BA234" s="18">
        <f>IFERROR(AC234/'Ar-Pa'!E234,0)</f>
        <v>7.9251615707444527</v>
      </c>
      <c r="BB234" s="18">
        <f>IFERROR(AD234/'Ar-Pa'!F234,0)</f>
        <v>7.9251615707444527</v>
      </c>
      <c r="BC234" s="18">
        <f>IFERROR(AE234/'Ar-Pa'!G234,0)</f>
        <v>7.5949465052967673</v>
      </c>
      <c r="BD234" s="18">
        <f>IFERROR(AF234/'Ar-Pa'!H234,0)</f>
        <v>7.9251615707444527</v>
      </c>
      <c r="BE234" s="18">
        <f>IFERROR(AG234/'Ar-Pa'!I234,0)</f>
        <v>7.5949465052967673</v>
      </c>
      <c r="BF234" s="18">
        <f>IFERROR(AH234/'Ar-Pa'!J234,0)</f>
        <v>7.9251615707444527</v>
      </c>
      <c r="BG234" s="18">
        <f>IFERROR(AI234/'Ar-Pa'!K234,0)</f>
        <v>7.9251615707444527</v>
      </c>
      <c r="BH234" s="18">
        <f>IFERROR(AJ234/'Ar-Pa'!L234,0)</f>
        <v>7.9251615707444527</v>
      </c>
      <c r="BI234" s="18">
        <f>IFERROR(AK234/'Ar-Pa'!M234,0)</f>
        <v>7.5949465052967673</v>
      </c>
      <c r="BJ234" s="18">
        <f>IFERROR(AL234/'Ar-Pa'!N234,0)</f>
        <v>7.9251615707444527</v>
      </c>
      <c r="BK234" s="18">
        <f>IFERROR(AM234/'Ar-Pa'!O234,0)</f>
        <v>7.9251615707444527</v>
      </c>
      <c r="BL234" s="18">
        <f>IFERROR(AN234/'Ar-Pa'!P234,0)</f>
        <v>7.5949465052967673</v>
      </c>
      <c r="BM234" s="18">
        <f>IFERROR(AO234/'Ar-Pa'!Q234,0)</f>
        <v>7.9251615707444527</v>
      </c>
      <c r="BN234" s="18">
        <f>IFERROR(AP234/'Ar-Pa'!R234,0)</f>
        <v>7.5949465052967673</v>
      </c>
      <c r="BO234" s="18">
        <f>IFERROR(AQ234/'Ar-Pa'!S234,0)</f>
        <v>7.9251615707444527</v>
      </c>
      <c r="BP234" s="18">
        <f>IFERROR(AR234/'Ar-Pa'!T234,0)</f>
        <v>10.236667028878252</v>
      </c>
      <c r="BQ234" s="18">
        <f>IFERROR(AS234/'Ar-Pa'!U234,0)</f>
        <v>9.9064519634305661</v>
      </c>
      <c r="BR234" s="18">
        <f>IFERROR(AT234/'Ar-Pa'!V234,0)</f>
        <v>9.5762368979828807</v>
      </c>
      <c r="BS234" s="18">
        <f>IFERROR(AU234/'Ar-Pa'!W234,0)</f>
        <v>10.236667028878252</v>
      </c>
      <c r="BT234" s="18">
        <f>IFERROR(AV234/'Ar-Pa'!X234,0)</f>
        <v>10.236667028878252</v>
      </c>
      <c r="BU234" s="18">
        <f>IFERROR(AW234/'Ar-Pa'!Y234,0)</f>
        <v>10.236667028878252</v>
      </c>
    </row>
    <row r="235" spans="1:73">
      <c r="A235" s="15">
        <v>45160</v>
      </c>
      <c r="B235" s="441">
        <v>0.34</v>
      </c>
      <c r="C235" s="441">
        <v>0.28000000000000003</v>
      </c>
      <c r="D235" s="441">
        <v>0.26</v>
      </c>
      <c r="E235" s="441">
        <v>0.27</v>
      </c>
      <c r="F235" s="441">
        <v>0.27</v>
      </c>
      <c r="G235" s="441">
        <v>0.27</v>
      </c>
      <c r="H235" s="441">
        <v>0.27</v>
      </c>
      <c r="I235" s="441">
        <v>0.27</v>
      </c>
      <c r="J235" s="441">
        <v>0.27</v>
      </c>
      <c r="K235" s="441">
        <v>0.26</v>
      </c>
      <c r="L235" s="441">
        <v>0.27</v>
      </c>
      <c r="M235" s="441">
        <v>0.27</v>
      </c>
      <c r="N235" s="441">
        <v>0.27</v>
      </c>
      <c r="O235" s="441">
        <v>0.27</v>
      </c>
      <c r="P235" s="441">
        <v>0.27</v>
      </c>
      <c r="Q235" s="441">
        <v>0.26</v>
      </c>
      <c r="R235" s="441">
        <v>0.28000000000000003</v>
      </c>
      <c r="S235" s="441">
        <v>0.26</v>
      </c>
      <c r="T235" s="441">
        <v>0.26</v>
      </c>
      <c r="U235" s="441">
        <v>0.26</v>
      </c>
      <c r="V235" s="441">
        <v>0.27</v>
      </c>
      <c r="W235" s="441">
        <v>0.27</v>
      </c>
      <c r="X235" s="441">
        <v>0.27</v>
      </c>
      <c r="Y235" s="441">
        <v>0.26</v>
      </c>
      <c r="Z235" s="19">
        <f t="shared" si="145"/>
        <v>89.818497801770462</v>
      </c>
      <c r="AA235" s="19">
        <f t="shared" si="146"/>
        <v>73.968174660281562</v>
      </c>
      <c r="AB235" s="19">
        <f t="shared" si="147"/>
        <v>68.684733613118595</v>
      </c>
      <c r="AC235" s="19">
        <f t="shared" si="148"/>
        <v>71.326454136700079</v>
      </c>
      <c r="AD235" s="19">
        <f t="shared" si="149"/>
        <v>71.326454136700079</v>
      </c>
      <c r="AE235" s="19">
        <f t="shared" si="126"/>
        <v>71.326454136700079</v>
      </c>
      <c r="AF235" s="19">
        <f t="shared" si="127"/>
        <v>71.326454136700079</v>
      </c>
      <c r="AG235" s="19">
        <f t="shared" si="128"/>
        <v>71.326454136700079</v>
      </c>
      <c r="AH235" s="19">
        <f t="shared" si="129"/>
        <v>71.326454136700079</v>
      </c>
      <c r="AI235" s="19">
        <f t="shared" si="130"/>
        <v>68.684733613118595</v>
      </c>
      <c r="AJ235" s="19">
        <f t="shared" si="131"/>
        <v>71.326454136700079</v>
      </c>
      <c r="AK235" s="19">
        <f t="shared" si="132"/>
        <v>71.326454136700079</v>
      </c>
      <c r="AL235" s="19">
        <f t="shared" si="133"/>
        <v>71.326454136700079</v>
      </c>
      <c r="AM235" s="19">
        <f t="shared" si="134"/>
        <v>71.326454136700079</v>
      </c>
      <c r="AN235" s="19">
        <f t="shared" si="135"/>
        <v>71.326454136700079</v>
      </c>
      <c r="AO235" s="19">
        <f t="shared" si="136"/>
        <v>68.684733613118595</v>
      </c>
      <c r="AP235" s="19">
        <f t="shared" si="137"/>
        <v>73.968174660281562</v>
      </c>
      <c r="AQ235" s="19">
        <f t="shared" si="138"/>
        <v>68.684733613118595</v>
      </c>
      <c r="AR235" s="19">
        <f t="shared" si="139"/>
        <v>68.684733613118595</v>
      </c>
      <c r="AS235" s="19">
        <f t="shared" si="140"/>
        <v>68.684733613118595</v>
      </c>
      <c r="AT235" s="19">
        <f t="shared" si="141"/>
        <v>71.326454136700079</v>
      </c>
      <c r="AU235" s="19">
        <f t="shared" si="142"/>
        <v>71.326454136700079</v>
      </c>
      <c r="AV235" s="19">
        <f t="shared" si="143"/>
        <v>71.326454136700079</v>
      </c>
      <c r="AW235" s="19">
        <f t="shared" si="144"/>
        <v>68.684733613118595</v>
      </c>
      <c r="AX235" s="18">
        <f>IFERROR(Z235/'Ar-Pa'!B235,0)</f>
        <v>11.227312225221308</v>
      </c>
      <c r="AY235" s="18">
        <f>IFERROR(AA235/'Ar-Pa'!C235,0)</f>
        <v>9.2460218325351953</v>
      </c>
      <c r="AZ235" s="18">
        <f>IFERROR(AB235/'Ar-Pa'!D235,0)</f>
        <v>8.5855917016398244</v>
      </c>
      <c r="BA235" s="18">
        <f>IFERROR(AC235/'Ar-Pa'!E235,0)</f>
        <v>8.9158067670875099</v>
      </c>
      <c r="BB235" s="18">
        <f>IFERROR(AD235/'Ar-Pa'!F235,0)</f>
        <v>8.9158067670875099</v>
      </c>
      <c r="BC235" s="18">
        <f>IFERROR(AE235/'Ar-Pa'!G235,0)</f>
        <v>8.9158067670875099</v>
      </c>
      <c r="BD235" s="18">
        <f>IFERROR(AF235/'Ar-Pa'!H235,0)</f>
        <v>8.9158067670875099</v>
      </c>
      <c r="BE235" s="18">
        <f>IFERROR(AG235/'Ar-Pa'!I235,0)</f>
        <v>8.9158067670875099</v>
      </c>
      <c r="BF235" s="18">
        <f>IFERROR(AH235/'Ar-Pa'!J235,0)</f>
        <v>8.9158067670875099</v>
      </c>
      <c r="BG235" s="18">
        <f>IFERROR(AI235/'Ar-Pa'!K235,0)</f>
        <v>8.5855917016398244</v>
      </c>
      <c r="BH235" s="18">
        <f>IFERROR(AJ235/'Ar-Pa'!L235,0)</f>
        <v>8.9158067670875099</v>
      </c>
      <c r="BI235" s="18">
        <f>IFERROR(AK235/'Ar-Pa'!M235,0)</f>
        <v>8.9158067670875099</v>
      </c>
      <c r="BJ235" s="18">
        <f>IFERROR(AL235/'Ar-Pa'!N235,0)</f>
        <v>8.9158067670875099</v>
      </c>
      <c r="BK235" s="18">
        <f>IFERROR(AM235/'Ar-Pa'!O235,0)</f>
        <v>8.9158067670875099</v>
      </c>
      <c r="BL235" s="18">
        <f>IFERROR(AN235/'Ar-Pa'!P235,0)</f>
        <v>8.9158067670875099</v>
      </c>
      <c r="BM235" s="18">
        <f>IFERROR(AO235/'Ar-Pa'!Q235,0)</f>
        <v>8.5855917016398244</v>
      </c>
      <c r="BN235" s="18">
        <f>IFERROR(AP235/'Ar-Pa'!R235,0)</f>
        <v>9.2460218325351953</v>
      </c>
      <c r="BO235" s="18">
        <f>IFERROR(AQ235/'Ar-Pa'!S235,0)</f>
        <v>8.5855917016398244</v>
      </c>
      <c r="BP235" s="18">
        <f>IFERROR(AR235/'Ar-Pa'!T235,0)</f>
        <v>8.5855917016398244</v>
      </c>
      <c r="BQ235" s="18">
        <f>IFERROR(AS235/'Ar-Pa'!U235,0)</f>
        <v>8.5855917016398244</v>
      </c>
      <c r="BR235" s="18">
        <f>IFERROR(AT235/'Ar-Pa'!V235,0)</f>
        <v>8.9158067670875099</v>
      </c>
      <c r="BS235" s="18">
        <f>IFERROR(AU235/'Ar-Pa'!W235,0)</f>
        <v>8.9158067670875099</v>
      </c>
      <c r="BT235" s="18">
        <f>IFERROR(AV235/'Ar-Pa'!X235,0)</f>
        <v>8.9158067670875099</v>
      </c>
      <c r="BU235" s="18">
        <f>IFERROR(AW235/'Ar-Pa'!Y235,0)</f>
        <v>8.5855917016398244</v>
      </c>
    </row>
    <row r="236" spans="1:73">
      <c r="A236" s="15">
        <v>45161</v>
      </c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9">
        <f t="shared" si="145"/>
        <v>0</v>
      </c>
      <c r="AA236" s="19">
        <f t="shared" si="146"/>
        <v>0</v>
      </c>
      <c r="AB236" s="19">
        <f t="shared" si="147"/>
        <v>0</v>
      </c>
      <c r="AC236" s="19">
        <f t="shared" si="148"/>
        <v>0</v>
      </c>
      <c r="AD236" s="19">
        <f t="shared" si="149"/>
        <v>0</v>
      </c>
      <c r="AE236" s="19">
        <f t="shared" si="126"/>
        <v>0</v>
      </c>
      <c r="AF236" s="19">
        <f t="shared" si="127"/>
        <v>0</v>
      </c>
      <c r="AG236" s="19">
        <f t="shared" si="128"/>
        <v>0</v>
      </c>
      <c r="AH236" s="19">
        <f t="shared" si="129"/>
        <v>0</v>
      </c>
      <c r="AI236" s="19">
        <f t="shared" si="130"/>
        <v>0</v>
      </c>
      <c r="AJ236" s="19">
        <f t="shared" si="131"/>
        <v>0</v>
      </c>
      <c r="AK236" s="19">
        <f t="shared" si="132"/>
        <v>0</v>
      </c>
      <c r="AL236" s="19">
        <f t="shared" si="133"/>
        <v>0</v>
      </c>
      <c r="AM236" s="19">
        <f t="shared" si="134"/>
        <v>0</v>
      </c>
      <c r="AN236" s="19">
        <f t="shared" si="135"/>
        <v>0</v>
      </c>
      <c r="AO236" s="19">
        <f t="shared" si="136"/>
        <v>0</v>
      </c>
      <c r="AP236" s="19">
        <f t="shared" si="137"/>
        <v>0</v>
      </c>
      <c r="AQ236" s="19">
        <f t="shared" si="138"/>
        <v>0</v>
      </c>
      <c r="AR236" s="19">
        <f t="shared" si="139"/>
        <v>0</v>
      </c>
      <c r="AS236" s="19">
        <f t="shared" si="140"/>
        <v>0</v>
      </c>
      <c r="AT236" s="19">
        <f t="shared" si="141"/>
        <v>0</v>
      </c>
      <c r="AU236" s="19">
        <f t="shared" si="142"/>
        <v>0</v>
      </c>
      <c r="AV236" s="19">
        <f t="shared" si="143"/>
        <v>0</v>
      </c>
      <c r="AW236" s="19">
        <f t="shared" si="144"/>
        <v>0</v>
      </c>
      <c r="AX236" s="18">
        <f>IFERROR(Z236/'Ar-Pa'!B236,0)</f>
        <v>0</v>
      </c>
      <c r="AY236" s="18">
        <f>IFERROR(AA236/'Ar-Pa'!C236,0)</f>
        <v>0</v>
      </c>
      <c r="AZ236" s="18">
        <f>IFERROR(AB236/'Ar-Pa'!D236,0)</f>
        <v>0</v>
      </c>
      <c r="BA236" s="18">
        <f>IFERROR(AC236/'Ar-Pa'!E236,0)</f>
        <v>0</v>
      </c>
      <c r="BB236" s="18">
        <f>IFERROR(AD236/'Ar-Pa'!F236,0)</f>
        <v>0</v>
      </c>
      <c r="BC236" s="18">
        <f>IFERROR(AE236/'Ar-Pa'!G236,0)</f>
        <v>0</v>
      </c>
      <c r="BD236" s="18">
        <f>IFERROR(AF236/'Ar-Pa'!H236,0)</f>
        <v>0</v>
      </c>
      <c r="BE236" s="18">
        <f>IFERROR(AG236/'Ar-Pa'!I236,0)</f>
        <v>0</v>
      </c>
      <c r="BF236" s="18">
        <f>IFERROR(AH236/'Ar-Pa'!J236,0)</f>
        <v>0</v>
      </c>
      <c r="BG236" s="18">
        <f>IFERROR(AI236/'Ar-Pa'!K236,0)</f>
        <v>0</v>
      </c>
      <c r="BH236" s="18">
        <f>IFERROR(AJ236/'Ar-Pa'!L236,0)</f>
        <v>0</v>
      </c>
      <c r="BI236" s="18">
        <f>IFERROR(AK236/'Ar-Pa'!M236,0)</f>
        <v>0</v>
      </c>
      <c r="BJ236" s="18">
        <f>IFERROR(AL236/'Ar-Pa'!N236,0)</f>
        <v>0</v>
      </c>
      <c r="BK236" s="18">
        <f>IFERROR(AM236/'Ar-Pa'!O236,0)</f>
        <v>0</v>
      </c>
      <c r="BL236" s="18">
        <f>IFERROR(AN236/'Ar-Pa'!P236,0)</f>
        <v>0</v>
      </c>
      <c r="BM236" s="18">
        <f>IFERROR(AO236/'Ar-Pa'!Q236,0)</f>
        <v>0</v>
      </c>
      <c r="BN236" s="18">
        <f>IFERROR(AP236/'Ar-Pa'!R236,0)</f>
        <v>0</v>
      </c>
      <c r="BO236" s="18">
        <f>IFERROR(AQ236/'Ar-Pa'!S236,0)</f>
        <v>0</v>
      </c>
      <c r="BP236" s="18">
        <f>IFERROR(AR236/'Ar-Pa'!T236,0)</f>
        <v>0</v>
      </c>
      <c r="BQ236" s="18">
        <f>IFERROR(AS236/'Ar-Pa'!U236,0)</f>
        <v>0</v>
      </c>
      <c r="BR236" s="18">
        <f>IFERROR(AT236/'Ar-Pa'!V236,0)</f>
        <v>0</v>
      </c>
      <c r="BS236" s="18">
        <f>IFERROR(AU236/'Ar-Pa'!W236,0)</f>
        <v>0</v>
      </c>
      <c r="BT236" s="18">
        <f>IFERROR(AV236/'Ar-Pa'!X236,0)</f>
        <v>0</v>
      </c>
      <c r="BU236" s="18">
        <f>IFERROR(AW236/'Ar-Pa'!Y236,0)</f>
        <v>0</v>
      </c>
    </row>
    <row r="237" spans="1:73">
      <c r="A237" s="15">
        <v>45162</v>
      </c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9">
        <f t="shared" si="145"/>
        <v>0</v>
      </c>
      <c r="AA237" s="19">
        <f t="shared" si="146"/>
        <v>0</v>
      </c>
      <c r="AB237" s="19">
        <f t="shared" si="147"/>
        <v>0</v>
      </c>
      <c r="AC237" s="19">
        <f t="shared" si="148"/>
        <v>0</v>
      </c>
      <c r="AD237" s="19">
        <f t="shared" si="149"/>
        <v>0</v>
      </c>
      <c r="AE237" s="19">
        <f t="shared" si="126"/>
        <v>0</v>
      </c>
      <c r="AF237" s="19">
        <f t="shared" si="127"/>
        <v>0</v>
      </c>
      <c r="AG237" s="19">
        <f t="shared" si="128"/>
        <v>0</v>
      </c>
      <c r="AH237" s="19">
        <f t="shared" si="129"/>
        <v>0</v>
      </c>
      <c r="AI237" s="19">
        <f t="shared" si="130"/>
        <v>0</v>
      </c>
      <c r="AJ237" s="19">
        <f t="shared" si="131"/>
        <v>0</v>
      </c>
      <c r="AK237" s="19">
        <f t="shared" si="132"/>
        <v>0</v>
      </c>
      <c r="AL237" s="19">
        <f t="shared" si="133"/>
        <v>0</v>
      </c>
      <c r="AM237" s="19">
        <f t="shared" si="134"/>
        <v>0</v>
      </c>
      <c r="AN237" s="19">
        <f t="shared" si="135"/>
        <v>0</v>
      </c>
      <c r="AO237" s="19">
        <f t="shared" si="136"/>
        <v>0</v>
      </c>
      <c r="AP237" s="19">
        <f t="shared" si="137"/>
        <v>0</v>
      </c>
      <c r="AQ237" s="19">
        <f t="shared" si="138"/>
        <v>0</v>
      </c>
      <c r="AR237" s="19">
        <f t="shared" si="139"/>
        <v>0</v>
      </c>
      <c r="AS237" s="19">
        <f t="shared" si="140"/>
        <v>0</v>
      </c>
      <c r="AT237" s="19">
        <f t="shared" si="141"/>
        <v>0</v>
      </c>
      <c r="AU237" s="19">
        <f t="shared" si="142"/>
        <v>0</v>
      </c>
      <c r="AV237" s="19">
        <f t="shared" si="143"/>
        <v>0</v>
      </c>
      <c r="AW237" s="19">
        <f t="shared" si="144"/>
        <v>0</v>
      </c>
      <c r="AX237" s="18">
        <f>IFERROR(Z237/'Ar-Pa'!B237,0)</f>
        <v>0</v>
      </c>
      <c r="AY237" s="18">
        <f>IFERROR(AA237/'Ar-Pa'!C237,0)</f>
        <v>0</v>
      </c>
      <c r="AZ237" s="18">
        <f>IFERROR(AB237/'Ar-Pa'!D237,0)</f>
        <v>0</v>
      </c>
      <c r="BA237" s="18">
        <f>IFERROR(AC237/'Ar-Pa'!E237,0)</f>
        <v>0</v>
      </c>
      <c r="BB237" s="18">
        <f>IFERROR(AD237/'Ar-Pa'!F237,0)</f>
        <v>0</v>
      </c>
      <c r="BC237" s="18">
        <f>IFERROR(AE237/'Ar-Pa'!G237,0)</f>
        <v>0</v>
      </c>
      <c r="BD237" s="18">
        <f>IFERROR(AF237/'Ar-Pa'!H237,0)</f>
        <v>0</v>
      </c>
      <c r="BE237" s="18">
        <f>IFERROR(AG237/'Ar-Pa'!I237,0)</f>
        <v>0</v>
      </c>
      <c r="BF237" s="18">
        <f>IFERROR(AH237/'Ar-Pa'!J237,0)</f>
        <v>0</v>
      </c>
      <c r="BG237" s="18">
        <f>IFERROR(AI237/'Ar-Pa'!K237,0)</f>
        <v>0</v>
      </c>
      <c r="BH237" s="18">
        <f>IFERROR(AJ237/'Ar-Pa'!L237,0)</f>
        <v>0</v>
      </c>
      <c r="BI237" s="18">
        <f>IFERROR(AK237/'Ar-Pa'!M237,0)</f>
        <v>0</v>
      </c>
      <c r="BJ237" s="18">
        <f>IFERROR(AL237/'Ar-Pa'!N237,0)</f>
        <v>0</v>
      </c>
      <c r="BK237" s="18">
        <f>IFERROR(AM237/'Ar-Pa'!O237,0)</f>
        <v>0</v>
      </c>
      <c r="BL237" s="18">
        <f>IFERROR(AN237/'Ar-Pa'!P237,0)</f>
        <v>0</v>
      </c>
      <c r="BM237" s="18">
        <f>IFERROR(AO237/'Ar-Pa'!Q237,0)</f>
        <v>0</v>
      </c>
      <c r="BN237" s="18">
        <f>IFERROR(AP237/'Ar-Pa'!R237,0)</f>
        <v>0</v>
      </c>
      <c r="BO237" s="18">
        <f>IFERROR(AQ237/'Ar-Pa'!S237,0)</f>
        <v>0</v>
      </c>
      <c r="BP237" s="18">
        <f>IFERROR(AR237/'Ar-Pa'!T237,0)</f>
        <v>0</v>
      </c>
      <c r="BQ237" s="18">
        <f>IFERROR(AS237/'Ar-Pa'!U237,0)</f>
        <v>0</v>
      </c>
      <c r="BR237" s="18">
        <f>IFERROR(AT237/'Ar-Pa'!V237,0)</f>
        <v>0</v>
      </c>
      <c r="BS237" s="18">
        <f>IFERROR(AU237/'Ar-Pa'!W237,0)</f>
        <v>0</v>
      </c>
      <c r="BT237" s="18">
        <f>IFERROR(AV237/'Ar-Pa'!X237,0)</f>
        <v>0</v>
      </c>
      <c r="BU237" s="18">
        <f>IFERROR(AW237/'Ar-Pa'!Y237,0)</f>
        <v>0</v>
      </c>
    </row>
    <row r="238" spans="1:73">
      <c r="A238" s="15">
        <v>45163</v>
      </c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9">
        <f t="shared" si="145"/>
        <v>0</v>
      </c>
      <c r="AA238" s="19">
        <f t="shared" si="146"/>
        <v>0</v>
      </c>
      <c r="AB238" s="19">
        <f t="shared" si="147"/>
        <v>0</v>
      </c>
      <c r="AC238" s="19">
        <f t="shared" si="148"/>
        <v>0</v>
      </c>
      <c r="AD238" s="19">
        <f t="shared" si="149"/>
        <v>0</v>
      </c>
      <c r="AE238" s="19">
        <f t="shared" si="126"/>
        <v>0</v>
      </c>
      <c r="AF238" s="19">
        <f t="shared" si="127"/>
        <v>0</v>
      </c>
      <c r="AG238" s="19">
        <f t="shared" si="128"/>
        <v>0</v>
      </c>
      <c r="AH238" s="19">
        <f t="shared" si="129"/>
        <v>0</v>
      </c>
      <c r="AI238" s="19">
        <f t="shared" si="130"/>
        <v>0</v>
      </c>
      <c r="AJ238" s="19">
        <f t="shared" si="131"/>
        <v>0</v>
      </c>
      <c r="AK238" s="19">
        <f t="shared" si="132"/>
        <v>0</v>
      </c>
      <c r="AL238" s="19">
        <f t="shared" si="133"/>
        <v>0</v>
      </c>
      <c r="AM238" s="19">
        <f t="shared" si="134"/>
        <v>0</v>
      </c>
      <c r="AN238" s="19">
        <f t="shared" si="135"/>
        <v>0</v>
      </c>
      <c r="AO238" s="19">
        <f t="shared" si="136"/>
        <v>0</v>
      </c>
      <c r="AP238" s="19">
        <f t="shared" si="137"/>
        <v>0</v>
      </c>
      <c r="AQ238" s="19">
        <f t="shared" si="138"/>
        <v>0</v>
      </c>
      <c r="AR238" s="19">
        <f t="shared" si="139"/>
        <v>0</v>
      </c>
      <c r="AS238" s="19">
        <f t="shared" si="140"/>
        <v>0</v>
      </c>
      <c r="AT238" s="19">
        <f t="shared" si="141"/>
        <v>0</v>
      </c>
      <c r="AU238" s="19">
        <f t="shared" si="142"/>
        <v>0</v>
      </c>
      <c r="AV238" s="19">
        <f t="shared" si="143"/>
        <v>0</v>
      </c>
      <c r="AW238" s="19">
        <f t="shared" si="144"/>
        <v>0</v>
      </c>
      <c r="AX238" s="18">
        <f>IFERROR(Z238/'Ar-Pa'!B238,0)</f>
        <v>0</v>
      </c>
      <c r="AY238" s="18">
        <f>IFERROR(AA238/'Ar-Pa'!C238,0)</f>
        <v>0</v>
      </c>
      <c r="AZ238" s="18">
        <f>IFERROR(AB238/'Ar-Pa'!D238,0)</f>
        <v>0</v>
      </c>
      <c r="BA238" s="18">
        <f>IFERROR(AC238/'Ar-Pa'!E238,0)</f>
        <v>0</v>
      </c>
      <c r="BB238" s="18">
        <f>IFERROR(AD238/'Ar-Pa'!F238,0)</f>
        <v>0</v>
      </c>
      <c r="BC238" s="18">
        <f>IFERROR(AE238/'Ar-Pa'!G238,0)</f>
        <v>0</v>
      </c>
      <c r="BD238" s="18">
        <f>IFERROR(AF238/'Ar-Pa'!H238,0)</f>
        <v>0</v>
      </c>
      <c r="BE238" s="18">
        <f>IFERROR(AG238/'Ar-Pa'!I238,0)</f>
        <v>0</v>
      </c>
      <c r="BF238" s="18">
        <f>IFERROR(AH238/'Ar-Pa'!J238,0)</f>
        <v>0</v>
      </c>
      <c r="BG238" s="18">
        <f>IFERROR(AI238/'Ar-Pa'!K238,0)</f>
        <v>0</v>
      </c>
      <c r="BH238" s="18">
        <f>IFERROR(AJ238/'Ar-Pa'!L238,0)</f>
        <v>0</v>
      </c>
      <c r="BI238" s="18">
        <f>IFERROR(AK238/'Ar-Pa'!M238,0)</f>
        <v>0</v>
      </c>
      <c r="BJ238" s="18">
        <f>IFERROR(AL238/'Ar-Pa'!N238,0)</f>
        <v>0</v>
      </c>
      <c r="BK238" s="18">
        <f>IFERROR(AM238/'Ar-Pa'!O238,0)</f>
        <v>0</v>
      </c>
      <c r="BL238" s="18">
        <f>IFERROR(AN238/'Ar-Pa'!P238,0)</f>
        <v>0</v>
      </c>
      <c r="BM238" s="18">
        <f>IFERROR(AO238/'Ar-Pa'!Q238,0)</f>
        <v>0</v>
      </c>
      <c r="BN238" s="18">
        <f>IFERROR(AP238/'Ar-Pa'!R238,0)</f>
        <v>0</v>
      </c>
      <c r="BO238" s="18">
        <f>IFERROR(AQ238/'Ar-Pa'!S238,0)</f>
        <v>0</v>
      </c>
      <c r="BP238" s="18">
        <f>IFERROR(AR238/'Ar-Pa'!T238,0)</f>
        <v>0</v>
      </c>
      <c r="BQ238" s="18">
        <f>IFERROR(AS238/'Ar-Pa'!U238,0)</f>
        <v>0</v>
      </c>
      <c r="BR238" s="18">
        <f>IFERROR(AT238/'Ar-Pa'!V238,0)</f>
        <v>0</v>
      </c>
      <c r="BS238" s="18">
        <f>IFERROR(AU238/'Ar-Pa'!W238,0)</f>
        <v>0</v>
      </c>
      <c r="BT238" s="18">
        <f>IFERROR(AV238/'Ar-Pa'!X238,0)</f>
        <v>0</v>
      </c>
      <c r="BU238" s="18">
        <f>IFERROR(AW238/'Ar-Pa'!Y238,0)</f>
        <v>0</v>
      </c>
    </row>
    <row r="239" spans="1:73">
      <c r="A239" s="15">
        <v>45164</v>
      </c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9">
        <f t="shared" si="145"/>
        <v>0</v>
      </c>
      <c r="AA239" s="19">
        <f t="shared" si="146"/>
        <v>0</v>
      </c>
      <c r="AB239" s="19">
        <f t="shared" si="147"/>
        <v>0</v>
      </c>
      <c r="AC239" s="19">
        <f t="shared" si="148"/>
        <v>0</v>
      </c>
      <c r="AD239" s="19">
        <f t="shared" si="149"/>
        <v>0</v>
      </c>
      <c r="AE239" s="19">
        <f t="shared" si="126"/>
        <v>0</v>
      </c>
      <c r="AF239" s="19">
        <f t="shared" si="127"/>
        <v>0</v>
      </c>
      <c r="AG239" s="19">
        <f t="shared" si="128"/>
        <v>0</v>
      </c>
      <c r="AH239" s="19">
        <f t="shared" si="129"/>
        <v>0</v>
      </c>
      <c r="AI239" s="19">
        <f t="shared" si="130"/>
        <v>0</v>
      </c>
      <c r="AJ239" s="19">
        <f t="shared" si="131"/>
        <v>0</v>
      </c>
      <c r="AK239" s="19">
        <f t="shared" si="132"/>
        <v>0</v>
      </c>
      <c r="AL239" s="19">
        <f t="shared" si="133"/>
        <v>0</v>
      </c>
      <c r="AM239" s="19">
        <f t="shared" si="134"/>
        <v>0</v>
      </c>
      <c r="AN239" s="19">
        <f t="shared" si="135"/>
        <v>0</v>
      </c>
      <c r="AO239" s="19">
        <f t="shared" si="136"/>
        <v>0</v>
      </c>
      <c r="AP239" s="19">
        <f t="shared" si="137"/>
        <v>0</v>
      </c>
      <c r="AQ239" s="19">
        <f t="shared" si="138"/>
        <v>0</v>
      </c>
      <c r="AR239" s="19">
        <f t="shared" si="139"/>
        <v>0</v>
      </c>
      <c r="AS239" s="19">
        <f t="shared" si="140"/>
        <v>0</v>
      </c>
      <c r="AT239" s="19">
        <f t="shared" si="141"/>
        <v>0</v>
      </c>
      <c r="AU239" s="19">
        <f t="shared" si="142"/>
        <v>0</v>
      </c>
      <c r="AV239" s="19">
        <f t="shared" si="143"/>
        <v>0</v>
      </c>
      <c r="AW239" s="19">
        <f t="shared" si="144"/>
        <v>0</v>
      </c>
      <c r="AX239" s="18">
        <f>IFERROR(Z239/'Ar-Pa'!B239,0)</f>
        <v>0</v>
      </c>
      <c r="AY239" s="18">
        <f>IFERROR(AA239/'Ar-Pa'!C239,0)</f>
        <v>0</v>
      </c>
      <c r="AZ239" s="18">
        <f>IFERROR(AB239/'Ar-Pa'!D239,0)</f>
        <v>0</v>
      </c>
      <c r="BA239" s="18">
        <f>IFERROR(AC239/'Ar-Pa'!E239,0)</f>
        <v>0</v>
      </c>
      <c r="BB239" s="18">
        <f>IFERROR(AD239/'Ar-Pa'!F239,0)</f>
        <v>0</v>
      </c>
      <c r="BC239" s="18">
        <f>IFERROR(AE239/'Ar-Pa'!G239,0)</f>
        <v>0</v>
      </c>
      <c r="BD239" s="18">
        <f>IFERROR(AF239/'Ar-Pa'!H239,0)</f>
        <v>0</v>
      </c>
      <c r="BE239" s="18">
        <f>IFERROR(AG239/'Ar-Pa'!I239,0)</f>
        <v>0</v>
      </c>
      <c r="BF239" s="18">
        <f>IFERROR(AH239/'Ar-Pa'!J239,0)</f>
        <v>0</v>
      </c>
      <c r="BG239" s="18">
        <f>IFERROR(AI239/'Ar-Pa'!K239,0)</f>
        <v>0</v>
      </c>
      <c r="BH239" s="18">
        <f>IFERROR(AJ239/'Ar-Pa'!L239,0)</f>
        <v>0</v>
      </c>
      <c r="BI239" s="18">
        <f>IFERROR(AK239/'Ar-Pa'!M239,0)</f>
        <v>0</v>
      </c>
      <c r="BJ239" s="18">
        <f>IFERROR(AL239/'Ar-Pa'!N239,0)</f>
        <v>0</v>
      </c>
      <c r="BK239" s="18">
        <f>IFERROR(AM239/'Ar-Pa'!O239,0)</f>
        <v>0</v>
      </c>
      <c r="BL239" s="18">
        <f>IFERROR(AN239/'Ar-Pa'!P239,0)</f>
        <v>0</v>
      </c>
      <c r="BM239" s="18">
        <f>IFERROR(AO239/'Ar-Pa'!Q239,0)</f>
        <v>0</v>
      </c>
      <c r="BN239" s="18">
        <f>IFERROR(AP239/'Ar-Pa'!R239,0)</f>
        <v>0</v>
      </c>
      <c r="BO239" s="18">
        <f>IFERROR(AQ239/'Ar-Pa'!S239,0)</f>
        <v>0</v>
      </c>
      <c r="BP239" s="18">
        <f>IFERROR(AR239/'Ar-Pa'!T239,0)</f>
        <v>0</v>
      </c>
      <c r="BQ239" s="18">
        <f>IFERROR(AS239/'Ar-Pa'!U239,0)</f>
        <v>0</v>
      </c>
      <c r="BR239" s="18">
        <f>IFERROR(AT239/'Ar-Pa'!V239,0)</f>
        <v>0</v>
      </c>
      <c r="BS239" s="18">
        <f>IFERROR(AU239/'Ar-Pa'!W239,0)</f>
        <v>0</v>
      </c>
      <c r="BT239" s="18">
        <f>IFERROR(AV239/'Ar-Pa'!X239,0)</f>
        <v>0</v>
      </c>
      <c r="BU239" s="18">
        <f>IFERROR(AW239/'Ar-Pa'!Y239,0)</f>
        <v>0</v>
      </c>
    </row>
    <row r="240" spans="1:73">
      <c r="A240" s="15">
        <v>45165</v>
      </c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9">
        <f t="shared" si="145"/>
        <v>0</v>
      </c>
      <c r="AA240" s="19">
        <f t="shared" si="146"/>
        <v>0</v>
      </c>
      <c r="AB240" s="19">
        <f t="shared" si="147"/>
        <v>0</v>
      </c>
      <c r="AC240" s="19">
        <f t="shared" si="148"/>
        <v>0</v>
      </c>
      <c r="AD240" s="19">
        <f t="shared" si="149"/>
        <v>0</v>
      </c>
      <c r="AE240" s="19">
        <f t="shared" si="126"/>
        <v>0</v>
      </c>
      <c r="AF240" s="19">
        <f t="shared" si="127"/>
        <v>0</v>
      </c>
      <c r="AG240" s="19">
        <f t="shared" si="128"/>
        <v>0</v>
      </c>
      <c r="AH240" s="19">
        <f t="shared" si="129"/>
        <v>0</v>
      </c>
      <c r="AI240" s="19">
        <f t="shared" si="130"/>
        <v>0</v>
      </c>
      <c r="AJ240" s="19">
        <f t="shared" si="131"/>
        <v>0</v>
      </c>
      <c r="AK240" s="19">
        <f t="shared" si="132"/>
        <v>0</v>
      </c>
      <c r="AL240" s="19">
        <f t="shared" si="133"/>
        <v>0</v>
      </c>
      <c r="AM240" s="19">
        <f t="shared" si="134"/>
        <v>0</v>
      </c>
      <c r="AN240" s="19">
        <f t="shared" si="135"/>
        <v>0</v>
      </c>
      <c r="AO240" s="19">
        <f t="shared" si="136"/>
        <v>0</v>
      </c>
      <c r="AP240" s="19">
        <f t="shared" si="137"/>
        <v>0</v>
      </c>
      <c r="AQ240" s="19">
        <f t="shared" si="138"/>
        <v>0</v>
      </c>
      <c r="AR240" s="19">
        <f t="shared" si="139"/>
        <v>0</v>
      </c>
      <c r="AS240" s="19">
        <f t="shared" si="140"/>
        <v>0</v>
      </c>
      <c r="AT240" s="19">
        <f t="shared" si="141"/>
        <v>0</v>
      </c>
      <c r="AU240" s="19">
        <f t="shared" si="142"/>
        <v>0</v>
      </c>
      <c r="AV240" s="19">
        <f t="shared" si="143"/>
        <v>0</v>
      </c>
      <c r="AW240" s="19">
        <f t="shared" si="144"/>
        <v>0</v>
      </c>
      <c r="AX240" s="18">
        <f>IFERROR(Z240/'Ar-Pa'!B240,0)</f>
        <v>0</v>
      </c>
      <c r="AY240" s="18">
        <f>IFERROR(AA240/'Ar-Pa'!C240,0)</f>
        <v>0</v>
      </c>
      <c r="AZ240" s="18">
        <f>IFERROR(AB240/'Ar-Pa'!D240,0)</f>
        <v>0</v>
      </c>
      <c r="BA240" s="18">
        <f>IFERROR(AC240/'Ar-Pa'!E240,0)</f>
        <v>0</v>
      </c>
      <c r="BB240" s="18">
        <f>IFERROR(AD240/'Ar-Pa'!F240,0)</f>
        <v>0</v>
      </c>
      <c r="BC240" s="18">
        <f>IFERROR(AE240/'Ar-Pa'!G240,0)</f>
        <v>0</v>
      </c>
      <c r="BD240" s="18">
        <f>IFERROR(AF240/'Ar-Pa'!H240,0)</f>
        <v>0</v>
      </c>
      <c r="BE240" s="18">
        <f>IFERROR(AG240/'Ar-Pa'!I240,0)</f>
        <v>0</v>
      </c>
      <c r="BF240" s="18">
        <f>IFERROR(AH240/'Ar-Pa'!J240,0)</f>
        <v>0</v>
      </c>
      <c r="BG240" s="18">
        <f>IFERROR(AI240/'Ar-Pa'!K240,0)</f>
        <v>0</v>
      </c>
      <c r="BH240" s="18">
        <f>IFERROR(AJ240/'Ar-Pa'!L240,0)</f>
        <v>0</v>
      </c>
      <c r="BI240" s="18">
        <f>IFERROR(AK240/'Ar-Pa'!M240,0)</f>
        <v>0</v>
      </c>
      <c r="BJ240" s="18">
        <f>IFERROR(AL240/'Ar-Pa'!N240,0)</f>
        <v>0</v>
      </c>
      <c r="BK240" s="18">
        <f>IFERROR(AM240/'Ar-Pa'!O240,0)</f>
        <v>0</v>
      </c>
      <c r="BL240" s="18">
        <f>IFERROR(AN240/'Ar-Pa'!P240,0)</f>
        <v>0</v>
      </c>
      <c r="BM240" s="18">
        <f>IFERROR(AO240/'Ar-Pa'!Q240,0)</f>
        <v>0</v>
      </c>
      <c r="BN240" s="18">
        <f>IFERROR(AP240/'Ar-Pa'!R240,0)</f>
        <v>0</v>
      </c>
      <c r="BO240" s="18">
        <f>IFERROR(AQ240/'Ar-Pa'!S240,0)</f>
        <v>0</v>
      </c>
      <c r="BP240" s="18">
        <f>IFERROR(AR240/'Ar-Pa'!T240,0)</f>
        <v>0</v>
      </c>
      <c r="BQ240" s="18">
        <f>IFERROR(AS240/'Ar-Pa'!U240,0)</f>
        <v>0</v>
      </c>
      <c r="BR240" s="18">
        <f>IFERROR(AT240/'Ar-Pa'!V240,0)</f>
        <v>0</v>
      </c>
      <c r="BS240" s="18">
        <f>IFERROR(AU240/'Ar-Pa'!W240,0)</f>
        <v>0</v>
      </c>
      <c r="BT240" s="18">
        <f>IFERROR(AV240/'Ar-Pa'!X240,0)</f>
        <v>0</v>
      </c>
      <c r="BU240" s="18">
        <f>IFERROR(AW240/'Ar-Pa'!Y240,0)</f>
        <v>0</v>
      </c>
    </row>
    <row r="241" spans="1:73">
      <c r="A241" s="15">
        <v>45166</v>
      </c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9">
        <f t="shared" si="145"/>
        <v>0</v>
      </c>
      <c r="AA241" s="19">
        <f t="shared" si="146"/>
        <v>0</v>
      </c>
      <c r="AB241" s="19">
        <f t="shared" si="147"/>
        <v>0</v>
      </c>
      <c r="AC241" s="19">
        <f t="shared" si="148"/>
        <v>0</v>
      </c>
      <c r="AD241" s="19">
        <f t="shared" si="149"/>
        <v>0</v>
      </c>
      <c r="AE241" s="19">
        <f t="shared" si="126"/>
        <v>0</v>
      </c>
      <c r="AF241" s="19">
        <f t="shared" si="127"/>
        <v>0</v>
      </c>
      <c r="AG241" s="19">
        <f t="shared" si="128"/>
        <v>0</v>
      </c>
      <c r="AH241" s="19">
        <f t="shared" si="129"/>
        <v>0</v>
      </c>
      <c r="AI241" s="19">
        <f t="shared" si="130"/>
        <v>0</v>
      </c>
      <c r="AJ241" s="19">
        <f t="shared" si="131"/>
        <v>0</v>
      </c>
      <c r="AK241" s="19">
        <f t="shared" si="132"/>
        <v>0</v>
      </c>
      <c r="AL241" s="19">
        <f t="shared" si="133"/>
        <v>0</v>
      </c>
      <c r="AM241" s="19">
        <f t="shared" si="134"/>
        <v>0</v>
      </c>
      <c r="AN241" s="19">
        <f t="shared" si="135"/>
        <v>0</v>
      </c>
      <c r="AO241" s="19">
        <f t="shared" si="136"/>
        <v>0</v>
      </c>
      <c r="AP241" s="19">
        <f t="shared" si="137"/>
        <v>0</v>
      </c>
      <c r="AQ241" s="19">
        <f t="shared" si="138"/>
        <v>0</v>
      </c>
      <c r="AR241" s="19">
        <f t="shared" si="139"/>
        <v>0</v>
      </c>
      <c r="AS241" s="19">
        <f t="shared" si="140"/>
        <v>0</v>
      </c>
      <c r="AT241" s="19">
        <f t="shared" si="141"/>
        <v>0</v>
      </c>
      <c r="AU241" s="19">
        <f t="shared" si="142"/>
        <v>0</v>
      </c>
      <c r="AV241" s="19">
        <f t="shared" si="143"/>
        <v>0</v>
      </c>
      <c r="AW241" s="19">
        <f t="shared" si="144"/>
        <v>0</v>
      </c>
      <c r="AX241" s="18">
        <f>IFERROR(Z241/'Ar-Pa'!B241,0)</f>
        <v>0</v>
      </c>
      <c r="AY241" s="18">
        <f>IFERROR(AA241/'Ar-Pa'!C241,0)</f>
        <v>0</v>
      </c>
      <c r="AZ241" s="18">
        <f>IFERROR(AB241/'Ar-Pa'!D241,0)</f>
        <v>0</v>
      </c>
      <c r="BA241" s="18">
        <f>IFERROR(AC241/'Ar-Pa'!E241,0)</f>
        <v>0</v>
      </c>
      <c r="BB241" s="18">
        <f>IFERROR(AD241/'Ar-Pa'!F241,0)</f>
        <v>0</v>
      </c>
      <c r="BC241" s="18">
        <f>IFERROR(AE241/'Ar-Pa'!G241,0)</f>
        <v>0</v>
      </c>
      <c r="BD241" s="18">
        <f>IFERROR(AF241/'Ar-Pa'!H241,0)</f>
        <v>0</v>
      </c>
      <c r="BE241" s="18">
        <f>IFERROR(AG241/'Ar-Pa'!I241,0)</f>
        <v>0</v>
      </c>
      <c r="BF241" s="18">
        <f>IFERROR(AH241/'Ar-Pa'!J241,0)</f>
        <v>0</v>
      </c>
      <c r="BG241" s="18">
        <f>IFERROR(AI241/'Ar-Pa'!K241,0)</f>
        <v>0</v>
      </c>
      <c r="BH241" s="18">
        <f>IFERROR(AJ241/'Ar-Pa'!L241,0)</f>
        <v>0</v>
      </c>
      <c r="BI241" s="18">
        <f>IFERROR(AK241/'Ar-Pa'!M241,0)</f>
        <v>0</v>
      </c>
      <c r="BJ241" s="18">
        <f>IFERROR(AL241/'Ar-Pa'!N241,0)</f>
        <v>0</v>
      </c>
      <c r="BK241" s="18">
        <f>IFERROR(AM241/'Ar-Pa'!O241,0)</f>
        <v>0</v>
      </c>
      <c r="BL241" s="18">
        <f>IFERROR(AN241/'Ar-Pa'!P241,0)</f>
        <v>0</v>
      </c>
      <c r="BM241" s="18">
        <f>IFERROR(AO241/'Ar-Pa'!Q241,0)</f>
        <v>0</v>
      </c>
      <c r="BN241" s="18">
        <f>IFERROR(AP241/'Ar-Pa'!R241,0)</f>
        <v>0</v>
      </c>
      <c r="BO241" s="18">
        <f>IFERROR(AQ241/'Ar-Pa'!S241,0)</f>
        <v>0</v>
      </c>
      <c r="BP241" s="18">
        <f>IFERROR(AR241/'Ar-Pa'!T241,0)</f>
        <v>0</v>
      </c>
      <c r="BQ241" s="18">
        <f>IFERROR(AS241/'Ar-Pa'!U241,0)</f>
        <v>0</v>
      </c>
      <c r="BR241" s="18">
        <f>IFERROR(AT241/'Ar-Pa'!V241,0)</f>
        <v>0</v>
      </c>
      <c r="BS241" s="18">
        <f>IFERROR(AU241/'Ar-Pa'!W241,0)</f>
        <v>0</v>
      </c>
      <c r="BT241" s="18">
        <f>IFERROR(AV241/'Ar-Pa'!X241,0)</f>
        <v>0</v>
      </c>
      <c r="BU241" s="18">
        <f>IFERROR(AW241/'Ar-Pa'!Y241,0)</f>
        <v>0</v>
      </c>
    </row>
    <row r="242" spans="1:73">
      <c r="A242" s="15">
        <v>45167</v>
      </c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9">
        <f t="shared" si="145"/>
        <v>0</v>
      </c>
      <c r="AA242" s="19">
        <f t="shared" si="146"/>
        <v>0</v>
      </c>
      <c r="AB242" s="19">
        <f t="shared" si="147"/>
        <v>0</v>
      </c>
      <c r="AC242" s="19">
        <f t="shared" si="148"/>
        <v>0</v>
      </c>
      <c r="AD242" s="19">
        <f t="shared" si="149"/>
        <v>0</v>
      </c>
      <c r="AE242" s="19">
        <f t="shared" si="126"/>
        <v>0</v>
      </c>
      <c r="AF242" s="19">
        <f t="shared" si="127"/>
        <v>0</v>
      </c>
      <c r="AG242" s="19">
        <f t="shared" si="128"/>
        <v>0</v>
      </c>
      <c r="AH242" s="19">
        <f t="shared" si="129"/>
        <v>0</v>
      </c>
      <c r="AI242" s="19">
        <f t="shared" si="130"/>
        <v>0</v>
      </c>
      <c r="AJ242" s="19">
        <f t="shared" si="131"/>
        <v>0</v>
      </c>
      <c r="AK242" s="19">
        <f t="shared" si="132"/>
        <v>0</v>
      </c>
      <c r="AL242" s="19">
        <f t="shared" si="133"/>
        <v>0</v>
      </c>
      <c r="AM242" s="19">
        <f t="shared" si="134"/>
        <v>0</v>
      </c>
      <c r="AN242" s="19">
        <f t="shared" si="135"/>
        <v>0</v>
      </c>
      <c r="AO242" s="19">
        <f t="shared" si="136"/>
        <v>0</v>
      </c>
      <c r="AP242" s="19">
        <f t="shared" si="137"/>
        <v>0</v>
      </c>
      <c r="AQ242" s="19">
        <f t="shared" si="138"/>
        <v>0</v>
      </c>
      <c r="AR242" s="19">
        <f t="shared" si="139"/>
        <v>0</v>
      </c>
      <c r="AS242" s="19">
        <f t="shared" si="140"/>
        <v>0</v>
      </c>
      <c r="AT242" s="19">
        <f t="shared" si="141"/>
        <v>0</v>
      </c>
      <c r="AU242" s="19">
        <f t="shared" si="142"/>
        <v>0</v>
      </c>
      <c r="AV242" s="19">
        <f t="shared" si="143"/>
        <v>0</v>
      </c>
      <c r="AW242" s="19">
        <f t="shared" si="144"/>
        <v>0</v>
      </c>
      <c r="AX242" s="18">
        <f>IFERROR(Z242/'Ar-Pa'!B242,0)</f>
        <v>0</v>
      </c>
      <c r="AY242" s="18">
        <f>IFERROR(AA242/'Ar-Pa'!C242,0)</f>
        <v>0</v>
      </c>
      <c r="AZ242" s="18">
        <f>IFERROR(AB242/'Ar-Pa'!D242,0)</f>
        <v>0</v>
      </c>
      <c r="BA242" s="18">
        <f>IFERROR(AC242/'Ar-Pa'!E242,0)</f>
        <v>0</v>
      </c>
      <c r="BB242" s="18">
        <f>IFERROR(AD242/'Ar-Pa'!F242,0)</f>
        <v>0</v>
      </c>
      <c r="BC242" s="18">
        <f>IFERROR(AE242/'Ar-Pa'!G242,0)</f>
        <v>0</v>
      </c>
      <c r="BD242" s="18">
        <f>IFERROR(AF242/'Ar-Pa'!H242,0)</f>
        <v>0</v>
      </c>
      <c r="BE242" s="18">
        <f>IFERROR(AG242/'Ar-Pa'!I242,0)</f>
        <v>0</v>
      </c>
      <c r="BF242" s="18">
        <f>IFERROR(AH242/'Ar-Pa'!J242,0)</f>
        <v>0</v>
      </c>
      <c r="BG242" s="18">
        <f>IFERROR(AI242/'Ar-Pa'!K242,0)</f>
        <v>0</v>
      </c>
      <c r="BH242" s="18">
        <f>IFERROR(AJ242/'Ar-Pa'!L242,0)</f>
        <v>0</v>
      </c>
      <c r="BI242" s="18">
        <f>IFERROR(AK242/'Ar-Pa'!M242,0)</f>
        <v>0</v>
      </c>
      <c r="BJ242" s="18">
        <f>IFERROR(AL242/'Ar-Pa'!N242,0)</f>
        <v>0</v>
      </c>
      <c r="BK242" s="18">
        <f>IFERROR(AM242/'Ar-Pa'!O242,0)</f>
        <v>0</v>
      </c>
      <c r="BL242" s="18">
        <f>IFERROR(AN242/'Ar-Pa'!P242,0)</f>
        <v>0</v>
      </c>
      <c r="BM242" s="18">
        <f>IFERROR(AO242/'Ar-Pa'!Q242,0)</f>
        <v>0</v>
      </c>
      <c r="BN242" s="18">
        <f>IFERROR(AP242/'Ar-Pa'!R242,0)</f>
        <v>0</v>
      </c>
      <c r="BO242" s="18">
        <f>IFERROR(AQ242/'Ar-Pa'!S242,0)</f>
        <v>0</v>
      </c>
      <c r="BP242" s="18">
        <f>IFERROR(AR242/'Ar-Pa'!T242,0)</f>
        <v>0</v>
      </c>
      <c r="BQ242" s="18">
        <f>IFERROR(AS242/'Ar-Pa'!U242,0)</f>
        <v>0</v>
      </c>
      <c r="BR242" s="18">
        <f>IFERROR(AT242/'Ar-Pa'!V242,0)</f>
        <v>0</v>
      </c>
      <c r="BS242" s="18">
        <f>IFERROR(AU242/'Ar-Pa'!W242,0)</f>
        <v>0</v>
      </c>
      <c r="BT242" s="18">
        <f>IFERROR(AV242/'Ar-Pa'!X242,0)</f>
        <v>0</v>
      </c>
      <c r="BU242" s="18">
        <f>IFERROR(AW242/'Ar-Pa'!Y242,0)</f>
        <v>0</v>
      </c>
    </row>
    <row r="243" spans="1:73">
      <c r="A243" s="15">
        <v>45168</v>
      </c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9">
        <f t="shared" si="145"/>
        <v>0</v>
      </c>
      <c r="AA243" s="19">
        <f t="shared" si="146"/>
        <v>0</v>
      </c>
      <c r="AB243" s="19">
        <f t="shared" si="147"/>
        <v>0</v>
      </c>
      <c r="AC243" s="19">
        <f t="shared" si="148"/>
        <v>0</v>
      </c>
      <c r="AD243" s="19">
        <f t="shared" si="149"/>
        <v>0</v>
      </c>
      <c r="AE243" s="19">
        <f t="shared" si="126"/>
        <v>0</v>
      </c>
      <c r="AF243" s="19">
        <f t="shared" si="127"/>
        <v>0</v>
      </c>
      <c r="AG243" s="19">
        <f t="shared" si="128"/>
        <v>0</v>
      </c>
      <c r="AH243" s="19">
        <f t="shared" si="129"/>
        <v>0</v>
      </c>
      <c r="AI243" s="19">
        <f t="shared" si="130"/>
        <v>0</v>
      </c>
      <c r="AJ243" s="19">
        <f t="shared" si="131"/>
        <v>0</v>
      </c>
      <c r="AK243" s="19">
        <f t="shared" si="132"/>
        <v>0</v>
      </c>
      <c r="AL243" s="19">
        <f t="shared" si="133"/>
        <v>0</v>
      </c>
      <c r="AM243" s="19">
        <f t="shared" si="134"/>
        <v>0</v>
      </c>
      <c r="AN243" s="19">
        <f t="shared" si="135"/>
        <v>0</v>
      </c>
      <c r="AO243" s="19">
        <f t="shared" si="136"/>
        <v>0</v>
      </c>
      <c r="AP243" s="19">
        <f t="shared" si="137"/>
        <v>0</v>
      </c>
      <c r="AQ243" s="19">
        <f t="shared" si="138"/>
        <v>0</v>
      </c>
      <c r="AR243" s="19">
        <f t="shared" si="139"/>
        <v>0</v>
      </c>
      <c r="AS243" s="19">
        <f t="shared" si="140"/>
        <v>0</v>
      </c>
      <c r="AT243" s="19">
        <f t="shared" si="141"/>
        <v>0</v>
      </c>
      <c r="AU243" s="19">
        <f t="shared" si="142"/>
        <v>0</v>
      </c>
      <c r="AV243" s="19">
        <f t="shared" si="143"/>
        <v>0</v>
      </c>
      <c r="AW243" s="19">
        <f t="shared" si="144"/>
        <v>0</v>
      </c>
      <c r="AX243" s="18">
        <f>IFERROR(Z243/'Ar-Pa'!B243,0)</f>
        <v>0</v>
      </c>
      <c r="AY243" s="18">
        <f>IFERROR(AA243/'Ar-Pa'!C243,0)</f>
        <v>0</v>
      </c>
      <c r="AZ243" s="18">
        <f>IFERROR(AB243/'Ar-Pa'!D243,0)</f>
        <v>0</v>
      </c>
      <c r="BA243" s="18">
        <f>IFERROR(AC243/'Ar-Pa'!E243,0)</f>
        <v>0</v>
      </c>
      <c r="BB243" s="18">
        <f>IFERROR(AD243/'Ar-Pa'!F243,0)</f>
        <v>0</v>
      </c>
      <c r="BC243" s="18">
        <f>IFERROR(AE243/'Ar-Pa'!G243,0)</f>
        <v>0</v>
      </c>
      <c r="BD243" s="18">
        <f>IFERROR(AF243/'Ar-Pa'!H243,0)</f>
        <v>0</v>
      </c>
      <c r="BE243" s="18">
        <f>IFERROR(AG243/'Ar-Pa'!I243,0)</f>
        <v>0</v>
      </c>
      <c r="BF243" s="18">
        <f>IFERROR(AH243/'Ar-Pa'!J243,0)</f>
        <v>0</v>
      </c>
      <c r="BG243" s="18">
        <f>IFERROR(AI243/'Ar-Pa'!K243,0)</f>
        <v>0</v>
      </c>
      <c r="BH243" s="18">
        <f>IFERROR(AJ243/'Ar-Pa'!L243,0)</f>
        <v>0</v>
      </c>
      <c r="BI243" s="18">
        <f>IFERROR(AK243/'Ar-Pa'!M243,0)</f>
        <v>0</v>
      </c>
      <c r="BJ243" s="18">
        <f>IFERROR(AL243/'Ar-Pa'!N243,0)</f>
        <v>0</v>
      </c>
      <c r="BK243" s="18">
        <f>IFERROR(AM243/'Ar-Pa'!O243,0)</f>
        <v>0</v>
      </c>
      <c r="BL243" s="18">
        <f>IFERROR(AN243/'Ar-Pa'!P243,0)</f>
        <v>0</v>
      </c>
      <c r="BM243" s="18">
        <f>IFERROR(AO243/'Ar-Pa'!Q243,0)</f>
        <v>0</v>
      </c>
      <c r="BN243" s="18">
        <f>IFERROR(AP243/'Ar-Pa'!R243,0)</f>
        <v>0</v>
      </c>
      <c r="BO243" s="18">
        <f>IFERROR(AQ243/'Ar-Pa'!S243,0)</f>
        <v>0</v>
      </c>
      <c r="BP243" s="18">
        <f>IFERROR(AR243/'Ar-Pa'!T243,0)</f>
        <v>0</v>
      </c>
      <c r="BQ243" s="18">
        <f>IFERROR(AS243/'Ar-Pa'!U243,0)</f>
        <v>0</v>
      </c>
      <c r="BR243" s="18">
        <f>IFERROR(AT243/'Ar-Pa'!V243,0)</f>
        <v>0</v>
      </c>
      <c r="BS243" s="18">
        <f>IFERROR(AU243/'Ar-Pa'!W243,0)</f>
        <v>0</v>
      </c>
      <c r="BT243" s="18">
        <f>IFERROR(AV243/'Ar-Pa'!X243,0)</f>
        <v>0</v>
      </c>
      <c r="BU243" s="18">
        <f>IFERROR(AW243/'Ar-Pa'!Y243,0)</f>
        <v>0</v>
      </c>
    </row>
    <row r="244" spans="1:73">
      <c r="A244" s="15">
        <v>45169</v>
      </c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9">
        <f t="shared" si="145"/>
        <v>0</v>
      </c>
      <c r="AA244" s="19">
        <f t="shared" si="146"/>
        <v>0</v>
      </c>
      <c r="AB244" s="19">
        <f t="shared" si="147"/>
        <v>0</v>
      </c>
      <c r="AC244" s="19">
        <f t="shared" si="148"/>
        <v>0</v>
      </c>
      <c r="AD244" s="19">
        <f t="shared" si="149"/>
        <v>0</v>
      </c>
      <c r="AE244" s="19">
        <f t="shared" si="126"/>
        <v>0</v>
      </c>
      <c r="AF244" s="19">
        <f t="shared" si="127"/>
        <v>0</v>
      </c>
      <c r="AG244" s="19">
        <f t="shared" si="128"/>
        <v>0</v>
      </c>
      <c r="AH244" s="19">
        <f t="shared" si="129"/>
        <v>0</v>
      </c>
      <c r="AI244" s="19">
        <f t="shared" si="130"/>
        <v>0</v>
      </c>
      <c r="AJ244" s="19">
        <f t="shared" si="131"/>
        <v>0</v>
      </c>
      <c r="AK244" s="19">
        <f t="shared" si="132"/>
        <v>0</v>
      </c>
      <c r="AL244" s="19">
        <f t="shared" si="133"/>
        <v>0</v>
      </c>
      <c r="AM244" s="19">
        <f t="shared" si="134"/>
        <v>0</v>
      </c>
      <c r="AN244" s="19">
        <f t="shared" si="135"/>
        <v>0</v>
      </c>
      <c r="AO244" s="19">
        <f t="shared" si="136"/>
        <v>0</v>
      </c>
      <c r="AP244" s="19">
        <f t="shared" si="137"/>
        <v>0</v>
      </c>
      <c r="AQ244" s="19">
        <f t="shared" si="138"/>
        <v>0</v>
      </c>
      <c r="AR244" s="19">
        <f t="shared" si="139"/>
        <v>0</v>
      </c>
      <c r="AS244" s="19">
        <f t="shared" si="140"/>
        <v>0</v>
      </c>
      <c r="AT244" s="19">
        <f t="shared" si="141"/>
        <v>0</v>
      </c>
      <c r="AU244" s="19">
        <f t="shared" si="142"/>
        <v>0</v>
      </c>
      <c r="AV244" s="19">
        <f t="shared" si="143"/>
        <v>0</v>
      </c>
      <c r="AW244" s="19">
        <f t="shared" si="144"/>
        <v>0</v>
      </c>
      <c r="AX244" s="18">
        <f>IFERROR(Z244/'Ar-Pa'!B244,0)</f>
        <v>0</v>
      </c>
      <c r="AY244" s="18">
        <f>IFERROR(AA244/'Ar-Pa'!C244,0)</f>
        <v>0</v>
      </c>
      <c r="AZ244" s="18">
        <f>IFERROR(AB244/'Ar-Pa'!D244,0)</f>
        <v>0</v>
      </c>
      <c r="BA244" s="18">
        <f>IFERROR(AC244/'Ar-Pa'!E244,0)</f>
        <v>0</v>
      </c>
      <c r="BB244" s="18">
        <f>IFERROR(AD244/'Ar-Pa'!F244,0)</f>
        <v>0</v>
      </c>
      <c r="BC244" s="18">
        <f>IFERROR(AE244/'Ar-Pa'!G244,0)</f>
        <v>0</v>
      </c>
      <c r="BD244" s="18">
        <f>IFERROR(AF244/'Ar-Pa'!H244,0)</f>
        <v>0</v>
      </c>
      <c r="BE244" s="18">
        <f>IFERROR(AG244/'Ar-Pa'!I244,0)</f>
        <v>0</v>
      </c>
      <c r="BF244" s="18">
        <f>IFERROR(AH244/'Ar-Pa'!J244,0)</f>
        <v>0</v>
      </c>
      <c r="BG244" s="18">
        <f>IFERROR(AI244/'Ar-Pa'!K244,0)</f>
        <v>0</v>
      </c>
      <c r="BH244" s="18">
        <f>IFERROR(AJ244/'Ar-Pa'!L244,0)</f>
        <v>0</v>
      </c>
      <c r="BI244" s="18">
        <f>IFERROR(AK244/'Ar-Pa'!M244,0)</f>
        <v>0</v>
      </c>
      <c r="BJ244" s="18">
        <f>IFERROR(AL244/'Ar-Pa'!N244,0)</f>
        <v>0</v>
      </c>
      <c r="BK244" s="18">
        <f>IFERROR(AM244/'Ar-Pa'!O244,0)</f>
        <v>0</v>
      </c>
      <c r="BL244" s="18">
        <f>IFERROR(AN244/'Ar-Pa'!P244,0)</f>
        <v>0</v>
      </c>
      <c r="BM244" s="18">
        <f>IFERROR(AO244/'Ar-Pa'!Q244,0)</f>
        <v>0</v>
      </c>
      <c r="BN244" s="18">
        <f>IFERROR(AP244/'Ar-Pa'!R244,0)</f>
        <v>0</v>
      </c>
      <c r="BO244" s="18">
        <f>IFERROR(AQ244/'Ar-Pa'!S244,0)</f>
        <v>0</v>
      </c>
      <c r="BP244" s="18">
        <f>IFERROR(AR244/'Ar-Pa'!T244,0)</f>
        <v>0</v>
      </c>
      <c r="BQ244" s="18">
        <f>IFERROR(AS244/'Ar-Pa'!U244,0)</f>
        <v>0</v>
      </c>
      <c r="BR244" s="18">
        <f>IFERROR(AT244/'Ar-Pa'!V244,0)</f>
        <v>0</v>
      </c>
      <c r="BS244" s="18">
        <f>IFERROR(AU244/'Ar-Pa'!W244,0)</f>
        <v>0</v>
      </c>
      <c r="BT244" s="18">
        <f>IFERROR(AV244/'Ar-Pa'!X244,0)</f>
        <v>0</v>
      </c>
      <c r="BU244" s="18">
        <f>IFERROR(AW244/'Ar-Pa'!Y244,0)</f>
        <v>0</v>
      </c>
    </row>
    <row r="245" spans="1:73">
      <c r="A245" s="15">
        <v>45170</v>
      </c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9">
        <f t="shared" si="145"/>
        <v>0</v>
      </c>
      <c r="AA245" s="19">
        <f t="shared" si="146"/>
        <v>0</v>
      </c>
      <c r="AB245" s="19">
        <f t="shared" si="147"/>
        <v>0</v>
      </c>
      <c r="AC245" s="19">
        <f t="shared" si="148"/>
        <v>0</v>
      </c>
      <c r="AD245" s="19">
        <f t="shared" si="149"/>
        <v>0</v>
      </c>
      <c r="AE245" s="19">
        <f t="shared" si="126"/>
        <v>0</v>
      </c>
      <c r="AF245" s="19">
        <f t="shared" si="127"/>
        <v>0</v>
      </c>
      <c r="AG245" s="19">
        <f t="shared" si="128"/>
        <v>0</v>
      </c>
      <c r="AH245" s="19">
        <f t="shared" si="129"/>
        <v>0</v>
      </c>
      <c r="AI245" s="19">
        <f t="shared" si="130"/>
        <v>0</v>
      </c>
      <c r="AJ245" s="19">
        <f t="shared" si="131"/>
        <v>0</v>
      </c>
      <c r="AK245" s="19">
        <f t="shared" si="132"/>
        <v>0</v>
      </c>
      <c r="AL245" s="19">
        <f t="shared" si="133"/>
        <v>0</v>
      </c>
      <c r="AM245" s="19">
        <f t="shared" si="134"/>
        <v>0</v>
      </c>
      <c r="AN245" s="19">
        <f t="shared" si="135"/>
        <v>0</v>
      </c>
      <c r="AO245" s="19">
        <f t="shared" si="136"/>
        <v>0</v>
      </c>
      <c r="AP245" s="19">
        <f t="shared" si="137"/>
        <v>0</v>
      </c>
      <c r="AQ245" s="19">
        <f t="shared" si="138"/>
        <v>0</v>
      </c>
      <c r="AR245" s="19">
        <f t="shared" si="139"/>
        <v>0</v>
      </c>
      <c r="AS245" s="19">
        <f t="shared" si="140"/>
        <v>0</v>
      </c>
      <c r="AT245" s="19">
        <f t="shared" si="141"/>
        <v>0</v>
      </c>
      <c r="AU245" s="19">
        <f t="shared" si="142"/>
        <v>0</v>
      </c>
      <c r="AV245" s="19">
        <f t="shared" si="143"/>
        <v>0</v>
      </c>
      <c r="AW245" s="19">
        <f t="shared" si="144"/>
        <v>0</v>
      </c>
      <c r="AX245" s="18">
        <f>IFERROR(Z245/'Ar-Pa'!B245,0)</f>
        <v>0</v>
      </c>
      <c r="AY245" s="18">
        <f>IFERROR(AA245/'Ar-Pa'!C245,0)</f>
        <v>0</v>
      </c>
      <c r="AZ245" s="18">
        <f>IFERROR(AB245/'Ar-Pa'!D245,0)</f>
        <v>0</v>
      </c>
      <c r="BA245" s="18">
        <f>IFERROR(AC245/'Ar-Pa'!E245,0)</f>
        <v>0</v>
      </c>
      <c r="BB245" s="18">
        <f>IFERROR(AD245/'Ar-Pa'!F245,0)</f>
        <v>0</v>
      </c>
      <c r="BC245" s="18">
        <f>IFERROR(AE245/'Ar-Pa'!G245,0)</f>
        <v>0</v>
      </c>
      <c r="BD245" s="18">
        <f>IFERROR(AF245/'Ar-Pa'!H245,0)</f>
        <v>0</v>
      </c>
      <c r="BE245" s="18">
        <f>IFERROR(AG245/'Ar-Pa'!I245,0)</f>
        <v>0</v>
      </c>
      <c r="BF245" s="18">
        <f>IFERROR(AH245/'Ar-Pa'!J245,0)</f>
        <v>0</v>
      </c>
      <c r="BG245" s="18">
        <f>IFERROR(AI245/'Ar-Pa'!K245,0)</f>
        <v>0</v>
      </c>
      <c r="BH245" s="18">
        <f>IFERROR(AJ245/'Ar-Pa'!L245,0)</f>
        <v>0</v>
      </c>
      <c r="BI245" s="18">
        <f>IFERROR(AK245/'Ar-Pa'!M245,0)</f>
        <v>0</v>
      </c>
      <c r="BJ245" s="18">
        <f>IFERROR(AL245/'Ar-Pa'!N245,0)</f>
        <v>0</v>
      </c>
      <c r="BK245" s="18">
        <f>IFERROR(AM245/'Ar-Pa'!O245,0)</f>
        <v>0</v>
      </c>
      <c r="BL245" s="18">
        <f>IFERROR(AN245/'Ar-Pa'!P245,0)</f>
        <v>0</v>
      </c>
      <c r="BM245" s="18">
        <f>IFERROR(AO245/'Ar-Pa'!Q245,0)</f>
        <v>0</v>
      </c>
      <c r="BN245" s="18">
        <f>IFERROR(AP245/'Ar-Pa'!R245,0)</f>
        <v>0</v>
      </c>
      <c r="BO245" s="18">
        <f>IFERROR(AQ245/'Ar-Pa'!S245,0)</f>
        <v>0</v>
      </c>
      <c r="BP245" s="18">
        <f>IFERROR(AR245/'Ar-Pa'!T245,0)</f>
        <v>0</v>
      </c>
      <c r="BQ245" s="18">
        <f>IFERROR(AS245/'Ar-Pa'!U245,0)</f>
        <v>0</v>
      </c>
      <c r="BR245" s="18">
        <f>IFERROR(AT245/'Ar-Pa'!V245,0)</f>
        <v>0</v>
      </c>
      <c r="BS245" s="18">
        <f>IFERROR(AU245/'Ar-Pa'!W245,0)</f>
        <v>0</v>
      </c>
      <c r="BT245" s="18">
        <f>IFERROR(AV245/'Ar-Pa'!X245,0)</f>
        <v>0</v>
      </c>
      <c r="BU245" s="18">
        <f>IFERROR(AW245/'Ar-Pa'!Y245,0)</f>
        <v>0</v>
      </c>
    </row>
    <row r="246" spans="1:73">
      <c r="A246" s="15">
        <v>45171</v>
      </c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9">
        <f t="shared" ref="Z246:AW246" si="150">+CONVERT(B246,"m^3","gal")</f>
        <v>0</v>
      </c>
      <c r="AA246" s="19">
        <f t="shared" si="150"/>
        <v>0</v>
      </c>
      <c r="AB246" s="19">
        <f t="shared" si="150"/>
        <v>0</v>
      </c>
      <c r="AC246" s="19">
        <f t="shared" si="150"/>
        <v>0</v>
      </c>
      <c r="AD246" s="19">
        <f t="shared" si="150"/>
        <v>0</v>
      </c>
      <c r="AE246" s="19">
        <f t="shared" si="150"/>
        <v>0</v>
      </c>
      <c r="AF246" s="19">
        <f t="shared" si="150"/>
        <v>0</v>
      </c>
      <c r="AG246" s="19">
        <f t="shared" si="150"/>
        <v>0</v>
      </c>
      <c r="AH246" s="19">
        <f t="shared" si="150"/>
        <v>0</v>
      </c>
      <c r="AI246" s="19">
        <f t="shared" si="150"/>
        <v>0</v>
      </c>
      <c r="AJ246" s="19">
        <f t="shared" si="150"/>
        <v>0</v>
      </c>
      <c r="AK246" s="19">
        <f t="shared" si="150"/>
        <v>0</v>
      </c>
      <c r="AL246" s="19">
        <f t="shared" si="150"/>
        <v>0</v>
      </c>
      <c r="AM246" s="19">
        <f t="shared" si="150"/>
        <v>0</v>
      </c>
      <c r="AN246" s="19">
        <f t="shared" si="150"/>
        <v>0</v>
      </c>
      <c r="AO246" s="19">
        <f t="shared" si="150"/>
        <v>0</v>
      </c>
      <c r="AP246" s="19">
        <f t="shared" si="150"/>
        <v>0</v>
      </c>
      <c r="AQ246" s="19">
        <f t="shared" si="150"/>
        <v>0</v>
      </c>
      <c r="AR246" s="19">
        <f t="shared" si="150"/>
        <v>0</v>
      </c>
      <c r="AS246" s="19">
        <f t="shared" si="150"/>
        <v>0</v>
      </c>
      <c r="AT246" s="19">
        <f t="shared" si="150"/>
        <v>0</v>
      </c>
      <c r="AU246" s="19">
        <f t="shared" si="150"/>
        <v>0</v>
      </c>
      <c r="AV246" s="19">
        <f t="shared" si="150"/>
        <v>0</v>
      </c>
      <c r="AW246" s="19">
        <f t="shared" si="150"/>
        <v>0</v>
      </c>
      <c r="AX246" s="18">
        <f>IFERROR(Z246/'Ar-Pa'!B246,0)</f>
        <v>0</v>
      </c>
      <c r="AY246" s="18">
        <f>IFERROR(AA246/'Ar-Pa'!C246,0)</f>
        <v>0</v>
      </c>
      <c r="AZ246" s="18">
        <f>IFERROR(AB246/'Ar-Pa'!D246,0)</f>
        <v>0</v>
      </c>
      <c r="BA246" s="18">
        <f>IFERROR(AC246/'Ar-Pa'!E246,0)</f>
        <v>0</v>
      </c>
      <c r="BB246" s="18">
        <f>IFERROR(AD246/'Ar-Pa'!F246,0)</f>
        <v>0</v>
      </c>
      <c r="BC246" s="18">
        <f>IFERROR(AE246/'Ar-Pa'!G246,0)</f>
        <v>0</v>
      </c>
      <c r="BD246" s="18">
        <f>IFERROR(AF246/'Ar-Pa'!H246,0)</f>
        <v>0</v>
      </c>
      <c r="BE246" s="18">
        <f>IFERROR(AG246/'Ar-Pa'!I246,0)</f>
        <v>0</v>
      </c>
      <c r="BF246" s="18">
        <f>IFERROR(AH246/'Ar-Pa'!J246,0)</f>
        <v>0</v>
      </c>
      <c r="BG246" s="18">
        <f>IFERROR(AI246/'Ar-Pa'!K246,0)</f>
        <v>0</v>
      </c>
      <c r="BH246" s="18">
        <f>IFERROR(AJ246/'Ar-Pa'!L246,0)</f>
        <v>0</v>
      </c>
      <c r="BI246" s="18">
        <f>IFERROR(AK246/'Ar-Pa'!M246,0)</f>
        <v>0</v>
      </c>
      <c r="BJ246" s="18">
        <f>IFERROR(AL246/'Ar-Pa'!N246,0)</f>
        <v>0</v>
      </c>
      <c r="BK246" s="18">
        <f>IFERROR(AM246/'Ar-Pa'!O246,0)</f>
        <v>0</v>
      </c>
      <c r="BL246" s="18">
        <f>IFERROR(AN246/'Ar-Pa'!P246,0)</f>
        <v>0</v>
      </c>
      <c r="BM246" s="18">
        <f>IFERROR(AO246/'Ar-Pa'!Q246,0)</f>
        <v>0</v>
      </c>
      <c r="BN246" s="18">
        <f>IFERROR(AP246/'Ar-Pa'!R246,0)</f>
        <v>0</v>
      </c>
      <c r="BO246" s="18">
        <f>IFERROR(AQ246/'Ar-Pa'!S246,0)</f>
        <v>0</v>
      </c>
      <c r="BP246" s="18">
        <f>IFERROR(AR246/'Ar-Pa'!T246,0)</f>
        <v>0</v>
      </c>
      <c r="BQ246" s="18">
        <f>IFERROR(AS246/'Ar-Pa'!U246,0)</f>
        <v>0</v>
      </c>
      <c r="BR246" s="18">
        <f>IFERROR(AT246/'Ar-Pa'!V246,0)</f>
        <v>0</v>
      </c>
      <c r="BS246" s="18">
        <f>IFERROR(AU246/'Ar-Pa'!W246,0)</f>
        <v>0</v>
      </c>
      <c r="BT246" s="18">
        <f>IFERROR(AV246/'Ar-Pa'!X246,0)</f>
        <v>0</v>
      </c>
      <c r="BU246" s="18">
        <f>IFERROR(AW246/'Ar-Pa'!Y246,0)</f>
        <v>0</v>
      </c>
    </row>
    <row r="247" spans="1:73">
      <c r="A247" s="15">
        <v>45172</v>
      </c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9">
        <f t="shared" ref="Z247:Z275" si="151">+CONVERT(B247,"m^3","gal")</f>
        <v>0</v>
      </c>
      <c r="AA247" s="19">
        <f t="shared" ref="AA247:AA275" si="152">+CONVERT(C247,"m^3","gal")</f>
        <v>0</v>
      </c>
      <c r="AB247" s="19">
        <f t="shared" ref="AB247:AB275" si="153">+CONVERT(D247,"m^3","gal")</f>
        <v>0</v>
      </c>
      <c r="AC247" s="19">
        <f t="shared" ref="AC247:AC275" si="154">+CONVERT(E247,"m^3","gal")</f>
        <v>0</v>
      </c>
      <c r="AD247" s="19">
        <f t="shared" ref="AD247:AD275" si="155">+CONVERT(F247,"m^3","gal")</f>
        <v>0</v>
      </c>
      <c r="AE247" s="19">
        <f t="shared" ref="AE247:AE275" si="156">+CONVERT(G247,"m^3","gal")</f>
        <v>0</v>
      </c>
      <c r="AF247" s="19">
        <f t="shared" ref="AF247:AF275" si="157">+CONVERT(H247,"m^3","gal")</f>
        <v>0</v>
      </c>
      <c r="AG247" s="19">
        <f t="shared" ref="AG247:AG275" si="158">+CONVERT(I247,"m^3","gal")</f>
        <v>0</v>
      </c>
      <c r="AH247" s="19">
        <f t="shared" ref="AH247:AH275" si="159">+CONVERT(J247,"m^3","gal")</f>
        <v>0</v>
      </c>
      <c r="AI247" s="19">
        <f t="shared" ref="AI247:AI275" si="160">+CONVERT(K247,"m^3","gal")</f>
        <v>0</v>
      </c>
      <c r="AJ247" s="19">
        <f t="shared" ref="AJ247:AJ275" si="161">+CONVERT(L247,"m^3","gal")</f>
        <v>0</v>
      </c>
      <c r="AK247" s="19">
        <f t="shared" ref="AK247:AK275" si="162">+CONVERT(M247,"m^3","gal")</f>
        <v>0</v>
      </c>
      <c r="AL247" s="19">
        <f t="shared" ref="AL247:AL275" si="163">+CONVERT(N247,"m^3","gal")</f>
        <v>0</v>
      </c>
      <c r="AM247" s="19">
        <f t="shared" ref="AM247:AM275" si="164">+CONVERT(O247,"m^3","gal")</f>
        <v>0</v>
      </c>
      <c r="AN247" s="19">
        <f t="shared" ref="AN247:AN275" si="165">+CONVERT(P247,"m^3","gal")</f>
        <v>0</v>
      </c>
      <c r="AO247" s="19">
        <f t="shared" ref="AO247:AO275" si="166">+CONVERT(Q247,"m^3","gal")</f>
        <v>0</v>
      </c>
      <c r="AP247" s="19">
        <f t="shared" ref="AP247:AP275" si="167">+CONVERT(R247,"m^3","gal")</f>
        <v>0</v>
      </c>
      <c r="AQ247" s="19">
        <f t="shared" ref="AQ247:AQ275" si="168">+CONVERT(S247,"m^3","gal")</f>
        <v>0</v>
      </c>
      <c r="AR247" s="19">
        <f t="shared" ref="AR247:AR275" si="169">+CONVERT(T247,"m^3","gal")</f>
        <v>0</v>
      </c>
      <c r="AS247" s="19">
        <f t="shared" ref="AS247:AS275" si="170">+CONVERT(U247,"m^3","gal")</f>
        <v>0</v>
      </c>
      <c r="AT247" s="19">
        <f t="shared" ref="AT247:AT275" si="171">+CONVERT(V247,"m^3","gal")</f>
        <v>0</v>
      </c>
      <c r="AU247" s="19">
        <f t="shared" ref="AU247:AU275" si="172">+CONVERT(W247,"m^3","gal")</f>
        <v>0</v>
      </c>
      <c r="AV247" s="19">
        <f t="shared" ref="AV247:AV275" si="173">+CONVERT(X247,"m^3","gal")</f>
        <v>0</v>
      </c>
      <c r="AW247" s="19">
        <f t="shared" ref="AW247:AW275" si="174">+CONVERT(Y247,"m^3","gal")</f>
        <v>0</v>
      </c>
      <c r="AX247" s="18">
        <f>IFERROR(Z247/'Ar-Pa'!B247,0)</f>
        <v>0</v>
      </c>
      <c r="AY247" s="18">
        <f>IFERROR(AA247/'Ar-Pa'!C247,0)</f>
        <v>0</v>
      </c>
      <c r="AZ247" s="18">
        <f>IFERROR(AB247/'Ar-Pa'!D247,0)</f>
        <v>0</v>
      </c>
      <c r="BA247" s="18">
        <f>IFERROR(AC247/'Ar-Pa'!E247,0)</f>
        <v>0</v>
      </c>
      <c r="BB247" s="18">
        <f>IFERROR(AD247/'Ar-Pa'!F247,0)</f>
        <v>0</v>
      </c>
      <c r="BC247" s="18">
        <f>IFERROR(AE247/'Ar-Pa'!G247,0)</f>
        <v>0</v>
      </c>
      <c r="BD247" s="18">
        <f>IFERROR(AF247/'Ar-Pa'!H247,0)</f>
        <v>0</v>
      </c>
      <c r="BE247" s="18">
        <f>IFERROR(AG247/'Ar-Pa'!I247,0)</f>
        <v>0</v>
      </c>
      <c r="BF247" s="18">
        <f>IFERROR(AH247/'Ar-Pa'!J247,0)</f>
        <v>0</v>
      </c>
      <c r="BG247" s="18">
        <f>IFERROR(AI247/'Ar-Pa'!K247,0)</f>
        <v>0</v>
      </c>
      <c r="BH247" s="18">
        <f>IFERROR(AJ247/'Ar-Pa'!L247,0)</f>
        <v>0</v>
      </c>
      <c r="BI247" s="18">
        <f>IFERROR(AK247/'Ar-Pa'!M247,0)</f>
        <v>0</v>
      </c>
      <c r="BJ247" s="18">
        <f>IFERROR(AL247/'Ar-Pa'!N247,0)</f>
        <v>0</v>
      </c>
      <c r="BK247" s="18">
        <f>IFERROR(AM247/'Ar-Pa'!O247,0)</f>
        <v>0</v>
      </c>
      <c r="BL247" s="18">
        <f>IFERROR(AN247/'Ar-Pa'!P247,0)</f>
        <v>0</v>
      </c>
      <c r="BM247" s="18">
        <f>IFERROR(AO247/'Ar-Pa'!Q247,0)</f>
        <v>0</v>
      </c>
      <c r="BN247" s="18">
        <f>IFERROR(AP247/'Ar-Pa'!R247,0)</f>
        <v>0</v>
      </c>
      <c r="BO247" s="18">
        <f>IFERROR(AQ247/'Ar-Pa'!S247,0)</f>
        <v>0</v>
      </c>
      <c r="BP247" s="18">
        <f>IFERROR(AR247/'Ar-Pa'!T247,0)</f>
        <v>0</v>
      </c>
      <c r="BQ247" s="18">
        <f>IFERROR(AS247/'Ar-Pa'!U247,0)</f>
        <v>0</v>
      </c>
      <c r="BR247" s="18">
        <f>IFERROR(AT247/'Ar-Pa'!V247,0)</f>
        <v>0</v>
      </c>
      <c r="BS247" s="18">
        <f>IFERROR(AU247/'Ar-Pa'!W247,0)</f>
        <v>0</v>
      </c>
      <c r="BT247" s="18">
        <f>IFERROR(AV247/'Ar-Pa'!X247,0)</f>
        <v>0</v>
      </c>
      <c r="BU247" s="18">
        <f>IFERROR(AW247/'Ar-Pa'!Y247,0)</f>
        <v>0</v>
      </c>
    </row>
    <row r="248" spans="1:73">
      <c r="A248" s="15">
        <v>45173</v>
      </c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9">
        <f t="shared" si="151"/>
        <v>0</v>
      </c>
      <c r="AA248" s="19">
        <f t="shared" si="152"/>
        <v>0</v>
      </c>
      <c r="AB248" s="19">
        <f t="shared" si="153"/>
        <v>0</v>
      </c>
      <c r="AC248" s="19">
        <f t="shared" si="154"/>
        <v>0</v>
      </c>
      <c r="AD248" s="19">
        <f t="shared" si="155"/>
        <v>0</v>
      </c>
      <c r="AE248" s="19">
        <f t="shared" si="156"/>
        <v>0</v>
      </c>
      <c r="AF248" s="19">
        <f t="shared" si="157"/>
        <v>0</v>
      </c>
      <c r="AG248" s="19">
        <f t="shared" si="158"/>
        <v>0</v>
      </c>
      <c r="AH248" s="19">
        <f t="shared" si="159"/>
        <v>0</v>
      </c>
      <c r="AI248" s="19">
        <f t="shared" si="160"/>
        <v>0</v>
      </c>
      <c r="AJ248" s="19">
        <f t="shared" si="161"/>
        <v>0</v>
      </c>
      <c r="AK248" s="19">
        <f t="shared" si="162"/>
        <v>0</v>
      </c>
      <c r="AL248" s="19">
        <f t="shared" si="163"/>
        <v>0</v>
      </c>
      <c r="AM248" s="19">
        <f t="shared" si="164"/>
        <v>0</v>
      </c>
      <c r="AN248" s="19">
        <f t="shared" si="165"/>
        <v>0</v>
      </c>
      <c r="AO248" s="19">
        <f t="shared" si="166"/>
        <v>0</v>
      </c>
      <c r="AP248" s="19">
        <f t="shared" si="167"/>
        <v>0</v>
      </c>
      <c r="AQ248" s="19">
        <f t="shared" si="168"/>
        <v>0</v>
      </c>
      <c r="AR248" s="19">
        <f t="shared" si="169"/>
        <v>0</v>
      </c>
      <c r="AS248" s="19">
        <f t="shared" si="170"/>
        <v>0</v>
      </c>
      <c r="AT248" s="19">
        <f t="shared" si="171"/>
        <v>0</v>
      </c>
      <c r="AU248" s="19">
        <f t="shared" si="172"/>
        <v>0</v>
      </c>
      <c r="AV248" s="19">
        <f t="shared" si="173"/>
        <v>0</v>
      </c>
      <c r="AW248" s="19">
        <f t="shared" si="174"/>
        <v>0</v>
      </c>
      <c r="AX248" s="18">
        <f>IFERROR(Z248/'Ar-Pa'!B248,0)</f>
        <v>0</v>
      </c>
      <c r="AY248" s="18">
        <f>IFERROR(AA248/'Ar-Pa'!C248,0)</f>
        <v>0</v>
      </c>
      <c r="AZ248" s="18">
        <f>IFERROR(AB248/'Ar-Pa'!D248,0)</f>
        <v>0</v>
      </c>
      <c r="BA248" s="18">
        <f>IFERROR(AC248/'Ar-Pa'!E248,0)</f>
        <v>0</v>
      </c>
      <c r="BB248" s="18">
        <f>IFERROR(AD248/'Ar-Pa'!F248,0)</f>
        <v>0</v>
      </c>
      <c r="BC248" s="18">
        <f>IFERROR(AE248/'Ar-Pa'!G248,0)</f>
        <v>0</v>
      </c>
      <c r="BD248" s="18">
        <f>IFERROR(AF248/'Ar-Pa'!H248,0)</f>
        <v>0</v>
      </c>
      <c r="BE248" s="18">
        <f>IFERROR(AG248/'Ar-Pa'!I248,0)</f>
        <v>0</v>
      </c>
      <c r="BF248" s="18">
        <f>IFERROR(AH248/'Ar-Pa'!J248,0)</f>
        <v>0</v>
      </c>
      <c r="BG248" s="18">
        <f>IFERROR(AI248/'Ar-Pa'!K248,0)</f>
        <v>0</v>
      </c>
      <c r="BH248" s="18">
        <f>IFERROR(AJ248/'Ar-Pa'!L248,0)</f>
        <v>0</v>
      </c>
      <c r="BI248" s="18">
        <f>IFERROR(AK248/'Ar-Pa'!M248,0)</f>
        <v>0</v>
      </c>
      <c r="BJ248" s="18">
        <f>IFERROR(AL248/'Ar-Pa'!N248,0)</f>
        <v>0</v>
      </c>
      <c r="BK248" s="18">
        <f>IFERROR(AM248/'Ar-Pa'!O248,0)</f>
        <v>0</v>
      </c>
      <c r="BL248" s="18">
        <f>IFERROR(AN248/'Ar-Pa'!P248,0)</f>
        <v>0</v>
      </c>
      <c r="BM248" s="18">
        <f>IFERROR(AO248/'Ar-Pa'!Q248,0)</f>
        <v>0</v>
      </c>
      <c r="BN248" s="18">
        <f>IFERROR(AP248/'Ar-Pa'!R248,0)</f>
        <v>0</v>
      </c>
      <c r="BO248" s="18">
        <f>IFERROR(AQ248/'Ar-Pa'!S248,0)</f>
        <v>0</v>
      </c>
      <c r="BP248" s="18">
        <f>IFERROR(AR248/'Ar-Pa'!T248,0)</f>
        <v>0</v>
      </c>
      <c r="BQ248" s="18">
        <f>IFERROR(AS248/'Ar-Pa'!U248,0)</f>
        <v>0</v>
      </c>
      <c r="BR248" s="18">
        <f>IFERROR(AT248/'Ar-Pa'!V248,0)</f>
        <v>0</v>
      </c>
      <c r="BS248" s="18">
        <f>IFERROR(AU248/'Ar-Pa'!W248,0)</f>
        <v>0</v>
      </c>
      <c r="BT248" s="18">
        <f>IFERROR(AV248/'Ar-Pa'!X248,0)</f>
        <v>0</v>
      </c>
      <c r="BU248" s="18">
        <f>IFERROR(AW248/'Ar-Pa'!Y248,0)</f>
        <v>0</v>
      </c>
    </row>
    <row r="249" spans="1:73">
      <c r="A249" s="15">
        <v>45174</v>
      </c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9">
        <f t="shared" si="151"/>
        <v>0</v>
      </c>
      <c r="AA249" s="19">
        <f t="shared" si="152"/>
        <v>0</v>
      </c>
      <c r="AB249" s="19">
        <f t="shared" si="153"/>
        <v>0</v>
      </c>
      <c r="AC249" s="19">
        <f t="shared" si="154"/>
        <v>0</v>
      </c>
      <c r="AD249" s="19">
        <f t="shared" si="155"/>
        <v>0</v>
      </c>
      <c r="AE249" s="19">
        <f t="shared" si="156"/>
        <v>0</v>
      </c>
      <c r="AF249" s="19">
        <f t="shared" si="157"/>
        <v>0</v>
      </c>
      <c r="AG249" s="19">
        <f t="shared" si="158"/>
        <v>0</v>
      </c>
      <c r="AH249" s="19">
        <f t="shared" si="159"/>
        <v>0</v>
      </c>
      <c r="AI249" s="19">
        <f t="shared" si="160"/>
        <v>0</v>
      </c>
      <c r="AJ249" s="19">
        <f t="shared" si="161"/>
        <v>0</v>
      </c>
      <c r="AK249" s="19">
        <f t="shared" si="162"/>
        <v>0</v>
      </c>
      <c r="AL249" s="19">
        <f t="shared" si="163"/>
        <v>0</v>
      </c>
      <c r="AM249" s="19">
        <f t="shared" si="164"/>
        <v>0</v>
      </c>
      <c r="AN249" s="19">
        <f t="shared" si="165"/>
        <v>0</v>
      </c>
      <c r="AO249" s="19">
        <f t="shared" si="166"/>
        <v>0</v>
      </c>
      <c r="AP249" s="19">
        <f t="shared" si="167"/>
        <v>0</v>
      </c>
      <c r="AQ249" s="19">
        <f t="shared" si="168"/>
        <v>0</v>
      </c>
      <c r="AR249" s="19">
        <f t="shared" si="169"/>
        <v>0</v>
      </c>
      <c r="AS249" s="19">
        <f t="shared" si="170"/>
        <v>0</v>
      </c>
      <c r="AT249" s="19">
        <f t="shared" si="171"/>
        <v>0</v>
      </c>
      <c r="AU249" s="19">
        <f t="shared" si="172"/>
        <v>0</v>
      </c>
      <c r="AV249" s="19">
        <f t="shared" si="173"/>
        <v>0</v>
      </c>
      <c r="AW249" s="19">
        <f t="shared" si="174"/>
        <v>0</v>
      </c>
      <c r="AX249" s="18">
        <f>IFERROR(Z249/'Ar-Pa'!B249,0)</f>
        <v>0</v>
      </c>
      <c r="AY249" s="18">
        <f>IFERROR(AA249/'Ar-Pa'!C249,0)</f>
        <v>0</v>
      </c>
      <c r="AZ249" s="18">
        <f>IFERROR(AB249/'Ar-Pa'!D249,0)</f>
        <v>0</v>
      </c>
      <c r="BA249" s="18">
        <f>IFERROR(AC249/'Ar-Pa'!E249,0)</f>
        <v>0</v>
      </c>
      <c r="BB249" s="18">
        <f>IFERROR(AD249/'Ar-Pa'!F249,0)</f>
        <v>0</v>
      </c>
      <c r="BC249" s="18">
        <f>IFERROR(AE249/'Ar-Pa'!G249,0)</f>
        <v>0</v>
      </c>
      <c r="BD249" s="18">
        <f>IFERROR(AF249/'Ar-Pa'!H249,0)</f>
        <v>0</v>
      </c>
      <c r="BE249" s="18">
        <f>IFERROR(AG249/'Ar-Pa'!I249,0)</f>
        <v>0</v>
      </c>
      <c r="BF249" s="18">
        <f>IFERROR(AH249/'Ar-Pa'!J249,0)</f>
        <v>0</v>
      </c>
      <c r="BG249" s="18">
        <f>IFERROR(AI249/'Ar-Pa'!K249,0)</f>
        <v>0</v>
      </c>
      <c r="BH249" s="18">
        <f>IFERROR(AJ249/'Ar-Pa'!L249,0)</f>
        <v>0</v>
      </c>
      <c r="BI249" s="18">
        <f>IFERROR(AK249/'Ar-Pa'!M249,0)</f>
        <v>0</v>
      </c>
      <c r="BJ249" s="18">
        <f>IFERROR(AL249/'Ar-Pa'!N249,0)</f>
        <v>0</v>
      </c>
      <c r="BK249" s="18">
        <f>IFERROR(AM249/'Ar-Pa'!O249,0)</f>
        <v>0</v>
      </c>
      <c r="BL249" s="18">
        <f>IFERROR(AN249/'Ar-Pa'!P249,0)</f>
        <v>0</v>
      </c>
      <c r="BM249" s="18">
        <f>IFERROR(AO249/'Ar-Pa'!Q249,0)</f>
        <v>0</v>
      </c>
      <c r="BN249" s="18">
        <f>IFERROR(AP249/'Ar-Pa'!R249,0)</f>
        <v>0</v>
      </c>
      <c r="BO249" s="18">
        <f>IFERROR(AQ249/'Ar-Pa'!S249,0)</f>
        <v>0</v>
      </c>
      <c r="BP249" s="18">
        <f>IFERROR(AR249/'Ar-Pa'!T249,0)</f>
        <v>0</v>
      </c>
      <c r="BQ249" s="18">
        <f>IFERROR(AS249/'Ar-Pa'!U249,0)</f>
        <v>0</v>
      </c>
      <c r="BR249" s="18">
        <f>IFERROR(AT249/'Ar-Pa'!V249,0)</f>
        <v>0</v>
      </c>
      <c r="BS249" s="18">
        <f>IFERROR(AU249/'Ar-Pa'!W249,0)</f>
        <v>0</v>
      </c>
      <c r="BT249" s="18">
        <f>IFERROR(AV249/'Ar-Pa'!X249,0)</f>
        <v>0</v>
      </c>
      <c r="BU249" s="18">
        <f>IFERROR(AW249/'Ar-Pa'!Y249,0)</f>
        <v>0</v>
      </c>
    </row>
    <row r="250" spans="1:73">
      <c r="A250" s="15">
        <v>45175</v>
      </c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9">
        <f t="shared" si="151"/>
        <v>0</v>
      </c>
      <c r="AA250" s="19">
        <f t="shared" si="152"/>
        <v>0</v>
      </c>
      <c r="AB250" s="19">
        <f t="shared" si="153"/>
        <v>0</v>
      </c>
      <c r="AC250" s="19">
        <f t="shared" si="154"/>
        <v>0</v>
      </c>
      <c r="AD250" s="19">
        <f t="shared" si="155"/>
        <v>0</v>
      </c>
      <c r="AE250" s="19">
        <f t="shared" si="156"/>
        <v>0</v>
      </c>
      <c r="AF250" s="19">
        <f t="shared" si="157"/>
        <v>0</v>
      </c>
      <c r="AG250" s="19">
        <f t="shared" si="158"/>
        <v>0</v>
      </c>
      <c r="AH250" s="19">
        <f t="shared" si="159"/>
        <v>0</v>
      </c>
      <c r="AI250" s="19">
        <f t="shared" si="160"/>
        <v>0</v>
      </c>
      <c r="AJ250" s="19">
        <f t="shared" si="161"/>
        <v>0</v>
      </c>
      <c r="AK250" s="19">
        <f t="shared" si="162"/>
        <v>0</v>
      </c>
      <c r="AL250" s="19">
        <f t="shared" si="163"/>
        <v>0</v>
      </c>
      <c r="AM250" s="19">
        <f t="shared" si="164"/>
        <v>0</v>
      </c>
      <c r="AN250" s="19">
        <f t="shared" si="165"/>
        <v>0</v>
      </c>
      <c r="AO250" s="19">
        <f t="shared" si="166"/>
        <v>0</v>
      </c>
      <c r="AP250" s="19">
        <f t="shared" si="167"/>
        <v>0</v>
      </c>
      <c r="AQ250" s="19">
        <f t="shared" si="168"/>
        <v>0</v>
      </c>
      <c r="AR250" s="19">
        <f t="shared" si="169"/>
        <v>0</v>
      </c>
      <c r="AS250" s="19">
        <f t="shared" si="170"/>
        <v>0</v>
      </c>
      <c r="AT250" s="19">
        <f t="shared" si="171"/>
        <v>0</v>
      </c>
      <c r="AU250" s="19">
        <f t="shared" si="172"/>
        <v>0</v>
      </c>
      <c r="AV250" s="19">
        <f t="shared" si="173"/>
        <v>0</v>
      </c>
      <c r="AW250" s="19">
        <f t="shared" si="174"/>
        <v>0</v>
      </c>
      <c r="AX250" s="18">
        <f>IFERROR(Z250/'Ar-Pa'!B250,0)</f>
        <v>0</v>
      </c>
      <c r="AY250" s="18">
        <f>IFERROR(AA250/'Ar-Pa'!C250,0)</f>
        <v>0</v>
      </c>
      <c r="AZ250" s="18">
        <f>IFERROR(AB250/'Ar-Pa'!D250,0)</f>
        <v>0</v>
      </c>
      <c r="BA250" s="18">
        <f>IFERROR(AC250/'Ar-Pa'!E250,0)</f>
        <v>0</v>
      </c>
      <c r="BB250" s="18">
        <f>IFERROR(AD250/'Ar-Pa'!F250,0)</f>
        <v>0</v>
      </c>
      <c r="BC250" s="18">
        <f>IFERROR(AE250/'Ar-Pa'!G250,0)</f>
        <v>0</v>
      </c>
      <c r="BD250" s="18">
        <f>IFERROR(AF250/'Ar-Pa'!H250,0)</f>
        <v>0</v>
      </c>
      <c r="BE250" s="18">
        <f>IFERROR(AG250/'Ar-Pa'!I250,0)</f>
        <v>0</v>
      </c>
      <c r="BF250" s="18">
        <f>IFERROR(AH250/'Ar-Pa'!J250,0)</f>
        <v>0</v>
      </c>
      <c r="BG250" s="18">
        <f>IFERROR(AI250/'Ar-Pa'!K250,0)</f>
        <v>0</v>
      </c>
      <c r="BH250" s="18">
        <f>IFERROR(AJ250/'Ar-Pa'!L250,0)</f>
        <v>0</v>
      </c>
      <c r="BI250" s="18">
        <f>IFERROR(AK250/'Ar-Pa'!M250,0)</f>
        <v>0</v>
      </c>
      <c r="BJ250" s="18">
        <f>IFERROR(AL250/'Ar-Pa'!N250,0)</f>
        <v>0</v>
      </c>
      <c r="BK250" s="18">
        <f>IFERROR(AM250/'Ar-Pa'!O250,0)</f>
        <v>0</v>
      </c>
      <c r="BL250" s="18">
        <f>IFERROR(AN250/'Ar-Pa'!P250,0)</f>
        <v>0</v>
      </c>
      <c r="BM250" s="18">
        <f>IFERROR(AO250/'Ar-Pa'!Q250,0)</f>
        <v>0</v>
      </c>
      <c r="BN250" s="18">
        <f>IFERROR(AP250/'Ar-Pa'!R250,0)</f>
        <v>0</v>
      </c>
      <c r="BO250" s="18">
        <f>IFERROR(AQ250/'Ar-Pa'!S250,0)</f>
        <v>0</v>
      </c>
      <c r="BP250" s="18">
        <f>IFERROR(AR250/'Ar-Pa'!T250,0)</f>
        <v>0</v>
      </c>
      <c r="BQ250" s="18">
        <f>IFERROR(AS250/'Ar-Pa'!U250,0)</f>
        <v>0</v>
      </c>
      <c r="BR250" s="18">
        <f>IFERROR(AT250/'Ar-Pa'!V250,0)</f>
        <v>0</v>
      </c>
      <c r="BS250" s="18">
        <f>IFERROR(AU250/'Ar-Pa'!W250,0)</f>
        <v>0</v>
      </c>
      <c r="BT250" s="18">
        <f>IFERROR(AV250/'Ar-Pa'!X250,0)</f>
        <v>0</v>
      </c>
      <c r="BU250" s="18">
        <f>IFERROR(AW250/'Ar-Pa'!Y250,0)</f>
        <v>0</v>
      </c>
    </row>
    <row r="251" spans="1:73">
      <c r="A251" s="15">
        <v>45176</v>
      </c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9">
        <f t="shared" si="151"/>
        <v>0</v>
      </c>
      <c r="AA251" s="19">
        <f t="shared" si="152"/>
        <v>0</v>
      </c>
      <c r="AB251" s="19">
        <f t="shared" si="153"/>
        <v>0</v>
      </c>
      <c r="AC251" s="19">
        <f t="shared" si="154"/>
        <v>0</v>
      </c>
      <c r="AD251" s="19">
        <f t="shared" si="155"/>
        <v>0</v>
      </c>
      <c r="AE251" s="19">
        <f t="shared" si="156"/>
        <v>0</v>
      </c>
      <c r="AF251" s="19">
        <f t="shared" si="157"/>
        <v>0</v>
      </c>
      <c r="AG251" s="19">
        <f t="shared" si="158"/>
        <v>0</v>
      </c>
      <c r="AH251" s="19">
        <f t="shared" si="159"/>
        <v>0</v>
      </c>
      <c r="AI251" s="19">
        <f t="shared" si="160"/>
        <v>0</v>
      </c>
      <c r="AJ251" s="19">
        <f t="shared" si="161"/>
        <v>0</v>
      </c>
      <c r="AK251" s="19">
        <f t="shared" si="162"/>
        <v>0</v>
      </c>
      <c r="AL251" s="19">
        <f t="shared" si="163"/>
        <v>0</v>
      </c>
      <c r="AM251" s="19">
        <f t="shared" si="164"/>
        <v>0</v>
      </c>
      <c r="AN251" s="19">
        <f t="shared" si="165"/>
        <v>0</v>
      </c>
      <c r="AO251" s="19">
        <f t="shared" si="166"/>
        <v>0</v>
      </c>
      <c r="AP251" s="19">
        <f t="shared" si="167"/>
        <v>0</v>
      </c>
      <c r="AQ251" s="19">
        <f t="shared" si="168"/>
        <v>0</v>
      </c>
      <c r="AR251" s="19">
        <f t="shared" si="169"/>
        <v>0</v>
      </c>
      <c r="AS251" s="19">
        <f t="shared" si="170"/>
        <v>0</v>
      </c>
      <c r="AT251" s="19">
        <f t="shared" si="171"/>
        <v>0</v>
      </c>
      <c r="AU251" s="19">
        <f t="shared" si="172"/>
        <v>0</v>
      </c>
      <c r="AV251" s="19">
        <f t="shared" si="173"/>
        <v>0</v>
      </c>
      <c r="AW251" s="19">
        <f t="shared" si="174"/>
        <v>0</v>
      </c>
      <c r="AX251" s="18">
        <f>IFERROR(Z251/'Ar-Pa'!B251,0)</f>
        <v>0</v>
      </c>
      <c r="AY251" s="18">
        <f>IFERROR(AA251/'Ar-Pa'!C251,0)</f>
        <v>0</v>
      </c>
      <c r="AZ251" s="18">
        <f>IFERROR(AB251/'Ar-Pa'!D251,0)</f>
        <v>0</v>
      </c>
      <c r="BA251" s="18">
        <f>IFERROR(AC251/'Ar-Pa'!E251,0)</f>
        <v>0</v>
      </c>
      <c r="BB251" s="18">
        <f>IFERROR(AD251/'Ar-Pa'!F251,0)</f>
        <v>0</v>
      </c>
      <c r="BC251" s="18">
        <f>IFERROR(AE251/'Ar-Pa'!G251,0)</f>
        <v>0</v>
      </c>
      <c r="BD251" s="18">
        <f>IFERROR(AF251/'Ar-Pa'!H251,0)</f>
        <v>0</v>
      </c>
      <c r="BE251" s="18">
        <f>IFERROR(AG251/'Ar-Pa'!I251,0)</f>
        <v>0</v>
      </c>
      <c r="BF251" s="18">
        <f>IFERROR(AH251/'Ar-Pa'!J251,0)</f>
        <v>0</v>
      </c>
      <c r="BG251" s="18">
        <f>IFERROR(AI251/'Ar-Pa'!K251,0)</f>
        <v>0</v>
      </c>
      <c r="BH251" s="18">
        <f>IFERROR(AJ251/'Ar-Pa'!L251,0)</f>
        <v>0</v>
      </c>
      <c r="BI251" s="18">
        <f>IFERROR(AK251/'Ar-Pa'!M251,0)</f>
        <v>0</v>
      </c>
      <c r="BJ251" s="18">
        <f>IFERROR(AL251/'Ar-Pa'!N251,0)</f>
        <v>0</v>
      </c>
      <c r="BK251" s="18">
        <f>IFERROR(AM251/'Ar-Pa'!O251,0)</f>
        <v>0</v>
      </c>
      <c r="BL251" s="18">
        <f>IFERROR(AN251/'Ar-Pa'!P251,0)</f>
        <v>0</v>
      </c>
      <c r="BM251" s="18">
        <f>IFERROR(AO251/'Ar-Pa'!Q251,0)</f>
        <v>0</v>
      </c>
      <c r="BN251" s="18">
        <f>IFERROR(AP251/'Ar-Pa'!R251,0)</f>
        <v>0</v>
      </c>
      <c r="BO251" s="18">
        <f>IFERROR(AQ251/'Ar-Pa'!S251,0)</f>
        <v>0</v>
      </c>
      <c r="BP251" s="18">
        <f>IFERROR(AR251/'Ar-Pa'!T251,0)</f>
        <v>0</v>
      </c>
      <c r="BQ251" s="18">
        <f>IFERROR(AS251/'Ar-Pa'!U251,0)</f>
        <v>0</v>
      </c>
      <c r="BR251" s="18">
        <f>IFERROR(AT251/'Ar-Pa'!V251,0)</f>
        <v>0</v>
      </c>
      <c r="BS251" s="18">
        <f>IFERROR(AU251/'Ar-Pa'!W251,0)</f>
        <v>0</v>
      </c>
      <c r="BT251" s="18">
        <f>IFERROR(AV251/'Ar-Pa'!X251,0)</f>
        <v>0</v>
      </c>
      <c r="BU251" s="18">
        <f>IFERROR(AW251/'Ar-Pa'!Y251,0)</f>
        <v>0</v>
      </c>
    </row>
    <row r="252" spans="1:73">
      <c r="A252" s="15">
        <v>45177</v>
      </c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9">
        <f t="shared" si="151"/>
        <v>0</v>
      </c>
      <c r="AA252" s="19">
        <f t="shared" si="152"/>
        <v>0</v>
      </c>
      <c r="AB252" s="19">
        <f t="shared" si="153"/>
        <v>0</v>
      </c>
      <c r="AC252" s="19">
        <f t="shared" si="154"/>
        <v>0</v>
      </c>
      <c r="AD252" s="19">
        <f t="shared" si="155"/>
        <v>0</v>
      </c>
      <c r="AE252" s="19">
        <f t="shared" si="156"/>
        <v>0</v>
      </c>
      <c r="AF252" s="19">
        <f t="shared" si="157"/>
        <v>0</v>
      </c>
      <c r="AG252" s="19">
        <f t="shared" si="158"/>
        <v>0</v>
      </c>
      <c r="AH252" s="19">
        <f t="shared" si="159"/>
        <v>0</v>
      </c>
      <c r="AI252" s="19">
        <f t="shared" si="160"/>
        <v>0</v>
      </c>
      <c r="AJ252" s="19">
        <f t="shared" si="161"/>
        <v>0</v>
      </c>
      <c r="AK252" s="19">
        <f t="shared" si="162"/>
        <v>0</v>
      </c>
      <c r="AL252" s="19">
        <f t="shared" si="163"/>
        <v>0</v>
      </c>
      <c r="AM252" s="19">
        <f t="shared" si="164"/>
        <v>0</v>
      </c>
      <c r="AN252" s="19">
        <f t="shared" si="165"/>
        <v>0</v>
      </c>
      <c r="AO252" s="19">
        <f t="shared" si="166"/>
        <v>0</v>
      </c>
      <c r="AP252" s="19">
        <f t="shared" si="167"/>
        <v>0</v>
      </c>
      <c r="AQ252" s="19">
        <f t="shared" si="168"/>
        <v>0</v>
      </c>
      <c r="AR252" s="19">
        <f t="shared" si="169"/>
        <v>0</v>
      </c>
      <c r="AS252" s="19">
        <f t="shared" si="170"/>
        <v>0</v>
      </c>
      <c r="AT252" s="19">
        <f t="shared" si="171"/>
        <v>0</v>
      </c>
      <c r="AU252" s="19">
        <f t="shared" si="172"/>
        <v>0</v>
      </c>
      <c r="AV252" s="19">
        <f t="shared" si="173"/>
        <v>0</v>
      </c>
      <c r="AW252" s="19">
        <f t="shared" si="174"/>
        <v>0</v>
      </c>
      <c r="AX252" s="18">
        <f>IFERROR(Z252/'Ar-Pa'!B252,0)</f>
        <v>0</v>
      </c>
      <c r="AY252" s="18">
        <f>IFERROR(AA252/'Ar-Pa'!C252,0)</f>
        <v>0</v>
      </c>
      <c r="AZ252" s="18">
        <f>IFERROR(AB252/'Ar-Pa'!D252,0)</f>
        <v>0</v>
      </c>
      <c r="BA252" s="18">
        <f>IFERROR(AC252/'Ar-Pa'!E252,0)</f>
        <v>0</v>
      </c>
      <c r="BB252" s="18">
        <f>IFERROR(AD252/'Ar-Pa'!F252,0)</f>
        <v>0</v>
      </c>
      <c r="BC252" s="18">
        <f>IFERROR(AE252/'Ar-Pa'!G252,0)</f>
        <v>0</v>
      </c>
      <c r="BD252" s="18">
        <f>IFERROR(AF252/'Ar-Pa'!H252,0)</f>
        <v>0</v>
      </c>
      <c r="BE252" s="18">
        <f>IFERROR(AG252/'Ar-Pa'!I252,0)</f>
        <v>0</v>
      </c>
      <c r="BF252" s="18">
        <f>IFERROR(AH252/'Ar-Pa'!J252,0)</f>
        <v>0</v>
      </c>
      <c r="BG252" s="18">
        <f>IFERROR(AI252/'Ar-Pa'!K252,0)</f>
        <v>0</v>
      </c>
      <c r="BH252" s="18">
        <f>IFERROR(AJ252/'Ar-Pa'!L252,0)</f>
        <v>0</v>
      </c>
      <c r="BI252" s="18">
        <f>IFERROR(AK252/'Ar-Pa'!M252,0)</f>
        <v>0</v>
      </c>
      <c r="BJ252" s="18">
        <f>IFERROR(AL252/'Ar-Pa'!N252,0)</f>
        <v>0</v>
      </c>
      <c r="BK252" s="18">
        <f>IFERROR(AM252/'Ar-Pa'!O252,0)</f>
        <v>0</v>
      </c>
      <c r="BL252" s="18">
        <f>IFERROR(AN252/'Ar-Pa'!P252,0)</f>
        <v>0</v>
      </c>
      <c r="BM252" s="18">
        <f>IFERROR(AO252/'Ar-Pa'!Q252,0)</f>
        <v>0</v>
      </c>
      <c r="BN252" s="18">
        <f>IFERROR(AP252/'Ar-Pa'!R252,0)</f>
        <v>0</v>
      </c>
      <c r="BO252" s="18">
        <f>IFERROR(AQ252/'Ar-Pa'!S252,0)</f>
        <v>0</v>
      </c>
      <c r="BP252" s="18">
        <f>IFERROR(AR252/'Ar-Pa'!T252,0)</f>
        <v>0</v>
      </c>
      <c r="BQ252" s="18">
        <f>IFERROR(AS252/'Ar-Pa'!U252,0)</f>
        <v>0</v>
      </c>
      <c r="BR252" s="18">
        <f>IFERROR(AT252/'Ar-Pa'!V252,0)</f>
        <v>0</v>
      </c>
      <c r="BS252" s="18">
        <f>IFERROR(AU252/'Ar-Pa'!W252,0)</f>
        <v>0</v>
      </c>
      <c r="BT252" s="18">
        <f>IFERROR(AV252/'Ar-Pa'!X252,0)</f>
        <v>0</v>
      </c>
      <c r="BU252" s="18">
        <f>IFERROR(AW252/'Ar-Pa'!Y252,0)</f>
        <v>0</v>
      </c>
    </row>
    <row r="253" spans="1:73">
      <c r="A253" s="15">
        <v>45178</v>
      </c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9">
        <f t="shared" si="151"/>
        <v>0</v>
      </c>
      <c r="AA253" s="19">
        <f t="shared" si="152"/>
        <v>0</v>
      </c>
      <c r="AB253" s="19">
        <f t="shared" si="153"/>
        <v>0</v>
      </c>
      <c r="AC253" s="19">
        <f t="shared" si="154"/>
        <v>0</v>
      </c>
      <c r="AD253" s="19">
        <f t="shared" si="155"/>
        <v>0</v>
      </c>
      <c r="AE253" s="19">
        <f t="shared" si="156"/>
        <v>0</v>
      </c>
      <c r="AF253" s="19">
        <f t="shared" si="157"/>
        <v>0</v>
      </c>
      <c r="AG253" s="19">
        <f t="shared" si="158"/>
        <v>0</v>
      </c>
      <c r="AH253" s="19">
        <f t="shared" si="159"/>
        <v>0</v>
      </c>
      <c r="AI253" s="19">
        <f t="shared" si="160"/>
        <v>0</v>
      </c>
      <c r="AJ253" s="19">
        <f t="shared" si="161"/>
        <v>0</v>
      </c>
      <c r="AK253" s="19">
        <f t="shared" si="162"/>
        <v>0</v>
      </c>
      <c r="AL253" s="19">
        <f t="shared" si="163"/>
        <v>0</v>
      </c>
      <c r="AM253" s="19">
        <f t="shared" si="164"/>
        <v>0</v>
      </c>
      <c r="AN253" s="19">
        <f t="shared" si="165"/>
        <v>0</v>
      </c>
      <c r="AO253" s="19">
        <f t="shared" si="166"/>
        <v>0</v>
      </c>
      <c r="AP253" s="19">
        <f t="shared" si="167"/>
        <v>0</v>
      </c>
      <c r="AQ253" s="19">
        <f t="shared" si="168"/>
        <v>0</v>
      </c>
      <c r="AR253" s="19">
        <f t="shared" si="169"/>
        <v>0</v>
      </c>
      <c r="AS253" s="19">
        <f t="shared" si="170"/>
        <v>0</v>
      </c>
      <c r="AT253" s="19">
        <f t="shared" si="171"/>
        <v>0</v>
      </c>
      <c r="AU253" s="19">
        <f t="shared" si="172"/>
        <v>0</v>
      </c>
      <c r="AV253" s="19">
        <f t="shared" si="173"/>
        <v>0</v>
      </c>
      <c r="AW253" s="19">
        <f t="shared" si="174"/>
        <v>0</v>
      </c>
      <c r="AX253" s="18">
        <f>IFERROR(Z253/'Ar-Pa'!B253,0)</f>
        <v>0</v>
      </c>
      <c r="AY253" s="18">
        <f>IFERROR(AA253/'Ar-Pa'!C253,0)</f>
        <v>0</v>
      </c>
      <c r="AZ253" s="18">
        <f>IFERROR(AB253/'Ar-Pa'!D253,0)</f>
        <v>0</v>
      </c>
      <c r="BA253" s="18">
        <f>IFERROR(AC253/'Ar-Pa'!E253,0)</f>
        <v>0</v>
      </c>
      <c r="BB253" s="18">
        <f>IFERROR(AD253/'Ar-Pa'!F253,0)</f>
        <v>0</v>
      </c>
      <c r="BC253" s="18">
        <f>IFERROR(AE253/'Ar-Pa'!G253,0)</f>
        <v>0</v>
      </c>
      <c r="BD253" s="18">
        <f>IFERROR(AF253/'Ar-Pa'!H253,0)</f>
        <v>0</v>
      </c>
      <c r="BE253" s="18">
        <f>IFERROR(AG253/'Ar-Pa'!I253,0)</f>
        <v>0</v>
      </c>
      <c r="BF253" s="18">
        <f>IFERROR(AH253/'Ar-Pa'!J253,0)</f>
        <v>0</v>
      </c>
      <c r="BG253" s="18">
        <f>IFERROR(AI253/'Ar-Pa'!K253,0)</f>
        <v>0</v>
      </c>
      <c r="BH253" s="18">
        <f>IFERROR(AJ253/'Ar-Pa'!L253,0)</f>
        <v>0</v>
      </c>
      <c r="BI253" s="18">
        <f>IFERROR(AK253/'Ar-Pa'!M253,0)</f>
        <v>0</v>
      </c>
      <c r="BJ253" s="18">
        <f>IFERROR(AL253/'Ar-Pa'!N253,0)</f>
        <v>0</v>
      </c>
      <c r="BK253" s="18">
        <f>IFERROR(AM253/'Ar-Pa'!O253,0)</f>
        <v>0</v>
      </c>
      <c r="BL253" s="18">
        <f>IFERROR(AN253/'Ar-Pa'!P253,0)</f>
        <v>0</v>
      </c>
      <c r="BM253" s="18">
        <f>IFERROR(AO253/'Ar-Pa'!Q253,0)</f>
        <v>0</v>
      </c>
      <c r="BN253" s="18">
        <f>IFERROR(AP253/'Ar-Pa'!R253,0)</f>
        <v>0</v>
      </c>
      <c r="BO253" s="18">
        <f>IFERROR(AQ253/'Ar-Pa'!S253,0)</f>
        <v>0</v>
      </c>
      <c r="BP253" s="18">
        <f>IFERROR(AR253/'Ar-Pa'!T253,0)</f>
        <v>0</v>
      </c>
      <c r="BQ253" s="18">
        <f>IFERROR(AS253/'Ar-Pa'!U253,0)</f>
        <v>0</v>
      </c>
      <c r="BR253" s="18">
        <f>IFERROR(AT253/'Ar-Pa'!V253,0)</f>
        <v>0</v>
      </c>
      <c r="BS253" s="18">
        <f>IFERROR(AU253/'Ar-Pa'!W253,0)</f>
        <v>0</v>
      </c>
      <c r="BT253" s="18">
        <f>IFERROR(AV253/'Ar-Pa'!X253,0)</f>
        <v>0</v>
      </c>
      <c r="BU253" s="18">
        <f>IFERROR(AW253/'Ar-Pa'!Y253,0)</f>
        <v>0</v>
      </c>
    </row>
    <row r="254" spans="1:73">
      <c r="A254" s="15">
        <v>45179</v>
      </c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9">
        <f t="shared" si="151"/>
        <v>0</v>
      </c>
      <c r="AA254" s="19">
        <f t="shared" si="152"/>
        <v>0</v>
      </c>
      <c r="AB254" s="19">
        <f t="shared" si="153"/>
        <v>0</v>
      </c>
      <c r="AC254" s="19">
        <f t="shared" si="154"/>
        <v>0</v>
      </c>
      <c r="AD254" s="19">
        <f t="shared" si="155"/>
        <v>0</v>
      </c>
      <c r="AE254" s="19">
        <f t="shared" si="156"/>
        <v>0</v>
      </c>
      <c r="AF254" s="19">
        <f t="shared" si="157"/>
        <v>0</v>
      </c>
      <c r="AG254" s="19">
        <f t="shared" si="158"/>
        <v>0</v>
      </c>
      <c r="AH254" s="19">
        <f t="shared" si="159"/>
        <v>0</v>
      </c>
      <c r="AI254" s="19">
        <f t="shared" si="160"/>
        <v>0</v>
      </c>
      <c r="AJ254" s="19">
        <f t="shared" si="161"/>
        <v>0</v>
      </c>
      <c r="AK254" s="19">
        <f t="shared" si="162"/>
        <v>0</v>
      </c>
      <c r="AL254" s="19">
        <f t="shared" si="163"/>
        <v>0</v>
      </c>
      <c r="AM254" s="19">
        <f t="shared" si="164"/>
        <v>0</v>
      </c>
      <c r="AN254" s="19">
        <f t="shared" si="165"/>
        <v>0</v>
      </c>
      <c r="AO254" s="19">
        <f t="shared" si="166"/>
        <v>0</v>
      </c>
      <c r="AP254" s="19">
        <f t="shared" si="167"/>
        <v>0</v>
      </c>
      <c r="AQ254" s="19">
        <f t="shared" si="168"/>
        <v>0</v>
      </c>
      <c r="AR254" s="19">
        <f t="shared" si="169"/>
        <v>0</v>
      </c>
      <c r="AS254" s="19">
        <f t="shared" si="170"/>
        <v>0</v>
      </c>
      <c r="AT254" s="19">
        <f t="shared" si="171"/>
        <v>0</v>
      </c>
      <c r="AU254" s="19">
        <f t="shared" si="172"/>
        <v>0</v>
      </c>
      <c r="AV254" s="19">
        <f t="shared" si="173"/>
        <v>0</v>
      </c>
      <c r="AW254" s="19">
        <f t="shared" si="174"/>
        <v>0</v>
      </c>
      <c r="AX254" s="18">
        <f>IFERROR(Z254/'Ar-Pa'!B254,0)</f>
        <v>0</v>
      </c>
      <c r="AY254" s="18">
        <f>IFERROR(AA254/'Ar-Pa'!C254,0)</f>
        <v>0</v>
      </c>
      <c r="AZ254" s="18">
        <f>IFERROR(AB254/'Ar-Pa'!D254,0)</f>
        <v>0</v>
      </c>
      <c r="BA254" s="18">
        <f>IFERROR(AC254/'Ar-Pa'!E254,0)</f>
        <v>0</v>
      </c>
      <c r="BB254" s="18">
        <f>IFERROR(AD254/'Ar-Pa'!F254,0)</f>
        <v>0</v>
      </c>
      <c r="BC254" s="18">
        <f>IFERROR(AE254/'Ar-Pa'!G254,0)</f>
        <v>0</v>
      </c>
      <c r="BD254" s="18">
        <f>IFERROR(AF254/'Ar-Pa'!H254,0)</f>
        <v>0</v>
      </c>
      <c r="BE254" s="18">
        <f>IFERROR(AG254/'Ar-Pa'!I254,0)</f>
        <v>0</v>
      </c>
      <c r="BF254" s="18">
        <f>IFERROR(AH254/'Ar-Pa'!J254,0)</f>
        <v>0</v>
      </c>
      <c r="BG254" s="18">
        <f>IFERROR(AI254/'Ar-Pa'!K254,0)</f>
        <v>0</v>
      </c>
      <c r="BH254" s="18">
        <f>IFERROR(AJ254/'Ar-Pa'!L254,0)</f>
        <v>0</v>
      </c>
      <c r="BI254" s="18">
        <f>IFERROR(AK254/'Ar-Pa'!M254,0)</f>
        <v>0</v>
      </c>
      <c r="BJ254" s="18">
        <f>IFERROR(AL254/'Ar-Pa'!N254,0)</f>
        <v>0</v>
      </c>
      <c r="BK254" s="18">
        <f>IFERROR(AM254/'Ar-Pa'!O254,0)</f>
        <v>0</v>
      </c>
      <c r="BL254" s="18">
        <f>IFERROR(AN254/'Ar-Pa'!P254,0)</f>
        <v>0</v>
      </c>
      <c r="BM254" s="18">
        <f>IFERROR(AO254/'Ar-Pa'!Q254,0)</f>
        <v>0</v>
      </c>
      <c r="BN254" s="18">
        <f>IFERROR(AP254/'Ar-Pa'!R254,0)</f>
        <v>0</v>
      </c>
      <c r="BO254" s="18">
        <f>IFERROR(AQ254/'Ar-Pa'!S254,0)</f>
        <v>0</v>
      </c>
      <c r="BP254" s="18">
        <f>IFERROR(AR254/'Ar-Pa'!T254,0)</f>
        <v>0</v>
      </c>
      <c r="BQ254" s="18">
        <f>IFERROR(AS254/'Ar-Pa'!U254,0)</f>
        <v>0</v>
      </c>
      <c r="BR254" s="18">
        <f>IFERROR(AT254/'Ar-Pa'!V254,0)</f>
        <v>0</v>
      </c>
      <c r="BS254" s="18">
        <f>IFERROR(AU254/'Ar-Pa'!W254,0)</f>
        <v>0</v>
      </c>
      <c r="BT254" s="18">
        <f>IFERROR(AV254/'Ar-Pa'!X254,0)</f>
        <v>0</v>
      </c>
      <c r="BU254" s="18">
        <f>IFERROR(AW254/'Ar-Pa'!Y254,0)</f>
        <v>0</v>
      </c>
    </row>
    <row r="255" spans="1:73">
      <c r="A255" s="15">
        <v>45180</v>
      </c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9">
        <f t="shared" si="151"/>
        <v>0</v>
      </c>
      <c r="AA255" s="19">
        <f t="shared" si="152"/>
        <v>0</v>
      </c>
      <c r="AB255" s="19">
        <f t="shared" si="153"/>
        <v>0</v>
      </c>
      <c r="AC255" s="19">
        <f t="shared" si="154"/>
        <v>0</v>
      </c>
      <c r="AD255" s="19">
        <f t="shared" si="155"/>
        <v>0</v>
      </c>
      <c r="AE255" s="19">
        <f t="shared" si="156"/>
        <v>0</v>
      </c>
      <c r="AF255" s="19">
        <f t="shared" si="157"/>
        <v>0</v>
      </c>
      <c r="AG255" s="19">
        <f t="shared" si="158"/>
        <v>0</v>
      </c>
      <c r="AH255" s="19">
        <f t="shared" si="159"/>
        <v>0</v>
      </c>
      <c r="AI255" s="19">
        <f t="shared" si="160"/>
        <v>0</v>
      </c>
      <c r="AJ255" s="19">
        <f t="shared" si="161"/>
        <v>0</v>
      </c>
      <c r="AK255" s="19">
        <f t="shared" si="162"/>
        <v>0</v>
      </c>
      <c r="AL255" s="19">
        <f t="shared" si="163"/>
        <v>0</v>
      </c>
      <c r="AM255" s="19">
        <f t="shared" si="164"/>
        <v>0</v>
      </c>
      <c r="AN255" s="19">
        <f t="shared" si="165"/>
        <v>0</v>
      </c>
      <c r="AO255" s="19">
        <f t="shared" si="166"/>
        <v>0</v>
      </c>
      <c r="AP255" s="19">
        <f t="shared" si="167"/>
        <v>0</v>
      </c>
      <c r="AQ255" s="19">
        <f t="shared" si="168"/>
        <v>0</v>
      </c>
      <c r="AR255" s="19">
        <f t="shared" si="169"/>
        <v>0</v>
      </c>
      <c r="AS255" s="19">
        <f t="shared" si="170"/>
        <v>0</v>
      </c>
      <c r="AT255" s="19">
        <f t="shared" si="171"/>
        <v>0</v>
      </c>
      <c r="AU255" s="19">
        <f t="shared" si="172"/>
        <v>0</v>
      </c>
      <c r="AV255" s="19">
        <f t="shared" si="173"/>
        <v>0</v>
      </c>
      <c r="AW255" s="19">
        <f t="shared" si="174"/>
        <v>0</v>
      </c>
      <c r="AX255" s="18">
        <f>IFERROR(Z255/'Ar-Pa'!B255,0)</f>
        <v>0</v>
      </c>
      <c r="AY255" s="18">
        <f>IFERROR(AA255/'Ar-Pa'!C255,0)</f>
        <v>0</v>
      </c>
      <c r="AZ255" s="18">
        <f>IFERROR(AB255/'Ar-Pa'!D255,0)</f>
        <v>0</v>
      </c>
      <c r="BA255" s="18">
        <f>IFERROR(AC255/'Ar-Pa'!E255,0)</f>
        <v>0</v>
      </c>
      <c r="BB255" s="18">
        <f>IFERROR(AD255/'Ar-Pa'!F255,0)</f>
        <v>0</v>
      </c>
      <c r="BC255" s="18">
        <f>IFERROR(AE255/'Ar-Pa'!G255,0)</f>
        <v>0</v>
      </c>
      <c r="BD255" s="18">
        <f>IFERROR(AF255/'Ar-Pa'!H255,0)</f>
        <v>0</v>
      </c>
      <c r="BE255" s="18">
        <f>IFERROR(AG255/'Ar-Pa'!I255,0)</f>
        <v>0</v>
      </c>
      <c r="BF255" s="18">
        <f>IFERROR(AH255/'Ar-Pa'!J255,0)</f>
        <v>0</v>
      </c>
      <c r="BG255" s="18">
        <f>IFERROR(AI255/'Ar-Pa'!K255,0)</f>
        <v>0</v>
      </c>
      <c r="BH255" s="18">
        <f>IFERROR(AJ255/'Ar-Pa'!L255,0)</f>
        <v>0</v>
      </c>
      <c r="BI255" s="18">
        <f>IFERROR(AK255/'Ar-Pa'!M255,0)</f>
        <v>0</v>
      </c>
      <c r="BJ255" s="18">
        <f>IFERROR(AL255/'Ar-Pa'!N255,0)</f>
        <v>0</v>
      </c>
      <c r="BK255" s="18">
        <f>IFERROR(AM255/'Ar-Pa'!O255,0)</f>
        <v>0</v>
      </c>
      <c r="BL255" s="18">
        <f>IFERROR(AN255/'Ar-Pa'!P255,0)</f>
        <v>0</v>
      </c>
      <c r="BM255" s="18">
        <f>IFERROR(AO255/'Ar-Pa'!Q255,0)</f>
        <v>0</v>
      </c>
      <c r="BN255" s="18">
        <f>IFERROR(AP255/'Ar-Pa'!R255,0)</f>
        <v>0</v>
      </c>
      <c r="BO255" s="18">
        <f>IFERROR(AQ255/'Ar-Pa'!S255,0)</f>
        <v>0</v>
      </c>
      <c r="BP255" s="18">
        <f>IFERROR(AR255/'Ar-Pa'!T255,0)</f>
        <v>0</v>
      </c>
      <c r="BQ255" s="18">
        <f>IFERROR(AS255/'Ar-Pa'!U255,0)</f>
        <v>0</v>
      </c>
      <c r="BR255" s="18">
        <f>IFERROR(AT255/'Ar-Pa'!V255,0)</f>
        <v>0</v>
      </c>
      <c r="BS255" s="18">
        <f>IFERROR(AU255/'Ar-Pa'!W255,0)</f>
        <v>0</v>
      </c>
      <c r="BT255" s="18">
        <f>IFERROR(AV255/'Ar-Pa'!X255,0)</f>
        <v>0</v>
      </c>
      <c r="BU255" s="18">
        <f>IFERROR(AW255/'Ar-Pa'!Y255,0)</f>
        <v>0</v>
      </c>
    </row>
    <row r="256" spans="1:73">
      <c r="A256" s="15">
        <v>45181</v>
      </c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9">
        <f t="shared" si="151"/>
        <v>0</v>
      </c>
      <c r="AA256" s="19">
        <f t="shared" si="152"/>
        <v>0</v>
      </c>
      <c r="AB256" s="19">
        <f t="shared" si="153"/>
        <v>0</v>
      </c>
      <c r="AC256" s="19">
        <f t="shared" si="154"/>
        <v>0</v>
      </c>
      <c r="AD256" s="19">
        <f t="shared" si="155"/>
        <v>0</v>
      </c>
      <c r="AE256" s="19">
        <f t="shared" si="156"/>
        <v>0</v>
      </c>
      <c r="AF256" s="19">
        <f t="shared" si="157"/>
        <v>0</v>
      </c>
      <c r="AG256" s="19">
        <f t="shared" si="158"/>
        <v>0</v>
      </c>
      <c r="AH256" s="19">
        <f t="shared" si="159"/>
        <v>0</v>
      </c>
      <c r="AI256" s="19">
        <f t="shared" si="160"/>
        <v>0</v>
      </c>
      <c r="AJ256" s="19">
        <f t="shared" si="161"/>
        <v>0</v>
      </c>
      <c r="AK256" s="19">
        <f t="shared" si="162"/>
        <v>0</v>
      </c>
      <c r="AL256" s="19">
        <f t="shared" si="163"/>
        <v>0</v>
      </c>
      <c r="AM256" s="19">
        <f t="shared" si="164"/>
        <v>0</v>
      </c>
      <c r="AN256" s="19">
        <f t="shared" si="165"/>
        <v>0</v>
      </c>
      <c r="AO256" s="19">
        <f t="shared" si="166"/>
        <v>0</v>
      </c>
      <c r="AP256" s="19">
        <f t="shared" si="167"/>
        <v>0</v>
      </c>
      <c r="AQ256" s="19">
        <f t="shared" si="168"/>
        <v>0</v>
      </c>
      <c r="AR256" s="19">
        <f t="shared" si="169"/>
        <v>0</v>
      </c>
      <c r="AS256" s="19">
        <f t="shared" si="170"/>
        <v>0</v>
      </c>
      <c r="AT256" s="19">
        <f t="shared" si="171"/>
        <v>0</v>
      </c>
      <c r="AU256" s="19">
        <f t="shared" si="172"/>
        <v>0</v>
      </c>
      <c r="AV256" s="19">
        <f t="shared" si="173"/>
        <v>0</v>
      </c>
      <c r="AW256" s="19">
        <f t="shared" si="174"/>
        <v>0</v>
      </c>
      <c r="AX256" s="18">
        <f>IFERROR(Z256/'Ar-Pa'!B256,0)</f>
        <v>0</v>
      </c>
      <c r="AY256" s="18">
        <f>IFERROR(AA256/'Ar-Pa'!C256,0)</f>
        <v>0</v>
      </c>
      <c r="AZ256" s="18">
        <f>IFERROR(AB256/'Ar-Pa'!D256,0)</f>
        <v>0</v>
      </c>
      <c r="BA256" s="18">
        <f>IFERROR(AC256/'Ar-Pa'!E256,0)</f>
        <v>0</v>
      </c>
      <c r="BB256" s="18">
        <f>IFERROR(AD256/'Ar-Pa'!F256,0)</f>
        <v>0</v>
      </c>
      <c r="BC256" s="18">
        <f>IFERROR(AE256/'Ar-Pa'!G256,0)</f>
        <v>0</v>
      </c>
      <c r="BD256" s="18">
        <f>IFERROR(AF256/'Ar-Pa'!H256,0)</f>
        <v>0</v>
      </c>
      <c r="BE256" s="18">
        <f>IFERROR(AG256/'Ar-Pa'!I256,0)</f>
        <v>0</v>
      </c>
      <c r="BF256" s="18">
        <f>IFERROR(AH256/'Ar-Pa'!J256,0)</f>
        <v>0</v>
      </c>
      <c r="BG256" s="18">
        <f>IFERROR(AI256/'Ar-Pa'!K256,0)</f>
        <v>0</v>
      </c>
      <c r="BH256" s="18">
        <f>IFERROR(AJ256/'Ar-Pa'!L256,0)</f>
        <v>0</v>
      </c>
      <c r="BI256" s="18">
        <f>IFERROR(AK256/'Ar-Pa'!M256,0)</f>
        <v>0</v>
      </c>
      <c r="BJ256" s="18">
        <f>IFERROR(AL256/'Ar-Pa'!N256,0)</f>
        <v>0</v>
      </c>
      <c r="BK256" s="18">
        <f>IFERROR(AM256/'Ar-Pa'!O256,0)</f>
        <v>0</v>
      </c>
      <c r="BL256" s="18">
        <f>IFERROR(AN256/'Ar-Pa'!P256,0)</f>
        <v>0</v>
      </c>
      <c r="BM256" s="18">
        <f>IFERROR(AO256/'Ar-Pa'!Q256,0)</f>
        <v>0</v>
      </c>
      <c r="BN256" s="18">
        <f>IFERROR(AP256/'Ar-Pa'!R256,0)</f>
        <v>0</v>
      </c>
      <c r="BO256" s="18">
        <f>IFERROR(AQ256/'Ar-Pa'!S256,0)</f>
        <v>0</v>
      </c>
      <c r="BP256" s="18">
        <f>IFERROR(AR256/'Ar-Pa'!T256,0)</f>
        <v>0</v>
      </c>
      <c r="BQ256" s="18">
        <f>IFERROR(AS256/'Ar-Pa'!U256,0)</f>
        <v>0</v>
      </c>
      <c r="BR256" s="18">
        <f>IFERROR(AT256/'Ar-Pa'!V256,0)</f>
        <v>0</v>
      </c>
      <c r="BS256" s="18">
        <f>IFERROR(AU256/'Ar-Pa'!W256,0)</f>
        <v>0</v>
      </c>
      <c r="BT256" s="18">
        <f>IFERROR(AV256/'Ar-Pa'!X256,0)</f>
        <v>0</v>
      </c>
      <c r="BU256" s="18">
        <f>IFERROR(AW256/'Ar-Pa'!Y256,0)</f>
        <v>0</v>
      </c>
    </row>
    <row r="257" spans="1:73">
      <c r="A257" s="15">
        <v>45182</v>
      </c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9">
        <f t="shared" si="151"/>
        <v>0</v>
      </c>
      <c r="AA257" s="19">
        <f t="shared" si="152"/>
        <v>0</v>
      </c>
      <c r="AB257" s="19">
        <f t="shared" si="153"/>
        <v>0</v>
      </c>
      <c r="AC257" s="19">
        <f t="shared" si="154"/>
        <v>0</v>
      </c>
      <c r="AD257" s="19">
        <f t="shared" si="155"/>
        <v>0</v>
      </c>
      <c r="AE257" s="19">
        <f t="shared" si="156"/>
        <v>0</v>
      </c>
      <c r="AF257" s="19">
        <f t="shared" si="157"/>
        <v>0</v>
      </c>
      <c r="AG257" s="19">
        <f t="shared" si="158"/>
        <v>0</v>
      </c>
      <c r="AH257" s="19">
        <f t="shared" si="159"/>
        <v>0</v>
      </c>
      <c r="AI257" s="19">
        <f t="shared" si="160"/>
        <v>0</v>
      </c>
      <c r="AJ257" s="19">
        <f t="shared" si="161"/>
        <v>0</v>
      </c>
      <c r="AK257" s="19">
        <f t="shared" si="162"/>
        <v>0</v>
      </c>
      <c r="AL257" s="19">
        <f t="shared" si="163"/>
        <v>0</v>
      </c>
      <c r="AM257" s="19">
        <f t="shared" si="164"/>
        <v>0</v>
      </c>
      <c r="AN257" s="19">
        <f t="shared" si="165"/>
        <v>0</v>
      </c>
      <c r="AO257" s="19">
        <f t="shared" si="166"/>
        <v>0</v>
      </c>
      <c r="AP257" s="19">
        <f t="shared" si="167"/>
        <v>0</v>
      </c>
      <c r="AQ257" s="19">
        <f t="shared" si="168"/>
        <v>0</v>
      </c>
      <c r="AR257" s="19">
        <f t="shared" si="169"/>
        <v>0</v>
      </c>
      <c r="AS257" s="19">
        <f t="shared" si="170"/>
        <v>0</v>
      </c>
      <c r="AT257" s="19">
        <f t="shared" si="171"/>
        <v>0</v>
      </c>
      <c r="AU257" s="19">
        <f t="shared" si="172"/>
        <v>0</v>
      </c>
      <c r="AV257" s="19">
        <f t="shared" si="173"/>
        <v>0</v>
      </c>
      <c r="AW257" s="19">
        <f t="shared" si="174"/>
        <v>0</v>
      </c>
      <c r="AX257" s="18">
        <f>IFERROR(Z257/'Ar-Pa'!B257,0)</f>
        <v>0</v>
      </c>
      <c r="AY257" s="18">
        <f>IFERROR(AA257/'Ar-Pa'!C257,0)</f>
        <v>0</v>
      </c>
      <c r="AZ257" s="18">
        <f>IFERROR(AB257/'Ar-Pa'!D257,0)</f>
        <v>0</v>
      </c>
      <c r="BA257" s="18">
        <f>IFERROR(AC257/'Ar-Pa'!E257,0)</f>
        <v>0</v>
      </c>
      <c r="BB257" s="18">
        <f>IFERROR(AD257/'Ar-Pa'!F257,0)</f>
        <v>0</v>
      </c>
      <c r="BC257" s="18">
        <f>IFERROR(AE257/'Ar-Pa'!G257,0)</f>
        <v>0</v>
      </c>
      <c r="BD257" s="18">
        <f>IFERROR(AF257/'Ar-Pa'!H257,0)</f>
        <v>0</v>
      </c>
      <c r="BE257" s="18">
        <f>IFERROR(AG257/'Ar-Pa'!I257,0)</f>
        <v>0</v>
      </c>
      <c r="BF257" s="18">
        <f>IFERROR(AH257/'Ar-Pa'!J257,0)</f>
        <v>0</v>
      </c>
      <c r="BG257" s="18">
        <f>IFERROR(AI257/'Ar-Pa'!K257,0)</f>
        <v>0</v>
      </c>
      <c r="BH257" s="18">
        <f>IFERROR(AJ257/'Ar-Pa'!L257,0)</f>
        <v>0</v>
      </c>
      <c r="BI257" s="18">
        <f>IFERROR(AK257/'Ar-Pa'!M257,0)</f>
        <v>0</v>
      </c>
      <c r="BJ257" s="18">
        <f>IFERROR(AL257/'Ar-Pa'!N257,0)</f>
        <v>0</v>
      </c>
      <c r="BK257" s="18">
        <f>IFERROR(AM257/'Ar-Pa'!O257,0)</f>
        <v>0</v>
      </c>
      <c r="BL257" s="18">
        <f>IFERROR(AN257/'Ar-Pa'!P257,0)</f>
        <v>0</v>
      </c>
      <c r="BM257" s="18">
        <f>IFERROR(AO257/'Ar-Pa'!Q257,0)</f>
        <v>0</v>
      </c>
      <c r="BN257" s="18">
        <f>IFERROR(AP257/'Ar-Pa'!R257,0)</f>
        <v>0</v>
      </c>
      <c r="BO257" s="18">
        <f>IFERROR(AQ257/'Ar-Pa'!S257,0)</f>
        <v>0</v>
      </c>
      <c r="BP257" s="18">
        <f>IFERROR(AR257/'Ar-Pa'!T257,0)</f>
        <v>0</v>
      </c>
      <c r="BQ257" s="18">
        <f>IFERROR(AS257/'Ar-Pa'!U257,0)</f>
        <v>0</v>
      </c>
      <c r="BR257" s="18">
        <f>IFERROR(AT257/'Ar-Pa'!V257,0)</f>
        <v>0</v>
      </c>
      <c r="BS257" s="18">
        <f>IFERROR(AU257/'Ar-Pa'!W257,0)</f>
        <v>0</v>
      </c>
      <c r="BT257" s="18">
        <f>IFERROR(AV257/'Ar-Pa'!X257,0)</f>
        <v>0</v>
      </c>
      <c r="BU257" s="18">
        <f>IFERROR(AW257/'Ar-Pa'!Y257,0)</f>
        <v>0</v>
      </c>
    </row>
    <row r="258" spans="1:73">
      <c r="A258" s="15">
        <v>45183</v>
      </c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9">
        <f t="shared" si="151"/>
        <v>0</v>
      </c>
      <c r="AA258" s="19">
        <f t="shared" si="152"/>
        <v>0</v>
      </c>
      <c r="AB258" s="19">
        <f t="shared" si="153"/>
        <v>0</v>
      </c>
      <c r="AC258" s="19">
        <f t="shared" si="154"/>
        <v>0</v>
      </c>
      <c r="AD258" s="19">
        <f t="shared" si="155"/>
        <v>0</v>
      </c>
      <c r="AE258" s="19">
        <f t="shared" si="156"/>
        <v>0</v>
      </c>
      <c r="AF258" s="19">
        <f t="shared" si="157"/>
        <v>0</v>
      </c>
      <c r="AG258" s="19">
        <f t="shared" si="158"/>
        <v>0</v>
      </c>
      <c r="AH258" s="19">
        <f t="shared" si="159"/>
        <v>0</v>
      </c>
      <c r="AI258" s="19">
        <f t="shared" si="160"/>
        <v>0</v>
      </c>
      <c r="AJ258" s="19">
        <f t="shared" si="161"/>
        <v>0</v>
      </c>
      <c r="AK258" s="19">
        <f t="shared" si="162"/>
        <v>0</v>
      </c>
      <c r="AL258" s="19">
        <f t="shared" si="163"/>
        <v>0</v>
      </c>
      <c r="AM258" s="19">
        <f t="shared" si="164"/>
        <v>0</v>
      </c>
      <c r="AN258" s="19">
        <f t="shared" si="165"/>
        <v>0</v>
      </c>
      <c r="AO258" s="19">
        <f t="shared" si="166"/>
        <v>0</v>
      </c>
      <c r="AP258" s="19">
        <f t="shared" si="167"/>
        <v>0</v>
      </c>
      <c r="AQ258" s="19">
        <f t="shared" si="168"/>
        <v>0</v>
      </c>
      <c r="AR258" s="19">
        <f t="shared" si="169"/>
        <v>0</v>
      </c>
      <c r="AS258" s="19">
        <f t="shared" si="170"/>
        <v>0</v>
      </c>
      <c r="AT258" s="19">
        <f t="shared" si="171"/>
        <v>0</v>
      </c>
      <c r="AU258" s="19">
        <f t="shared" si="172"/>
        <v>0</v>
      </c>
      <c r="AV258" s="19">
        <f t="shared" si="173"/>
        <v>0</v>
      </c>
      <c r="AW258" s="19">
        <f t="shared" si="174"/>
        <v>0</v>
      </c>
      <c r="AX258" s="18">
        <f>IFERROR(Z258/'Ar-Pa'!B258,0)</f>
        <v>0</v>
      </c>
      <c r="AY258" s="18">
        <f>IFERROR(AA258/'Ar-Pa'!C258,0)</f>
        <v>0</v>
      </c>
      <c r="AZ258" s="18">
        <f>IFERROR(AB258/'Ar-Pa'!D258,0)</f>
        <v>0</v>
      </c>
      <c r="BA258" s="18">
        <f>IFERROR(AC258/'Ar-Pa'!E258,0)</f>
        <v>0</v>
      </c>
      <c r="BB258" s="18">
        <f>IFERROR(AD258/'Ar-Pa'!F258,0)</f>
        <v>0</v>
      </c>
      <c r="BC258" s="18">
        <f>IFERROR(AE258/'Ar-Pa'!G258,0)</f>
        <v>0</v>
      </c>
      <c r="BD258" s="18">
        <f>IFERROR(AF258/'Ar-Pa'!H258,0)</f>
        <v>0</v>
      </c>
      <c r="BE258" s="18">
        <f>IFERROR(AG258/'Ar-Pa'!I258,0)</f>
        <v>0</v>
      </c>
      <c r="BF258" s="18">
        <f>IFERROR(AH258/'Ar-Pa'!J258,0)</f>
        <v>0</v>
      </c>
      <c r="BG258" s="18">
        <f>IFERROR(AI258/'Ar-Pa'!K258,0)</f>
        <v>0</v>
      </c>
      <c r="BH258" s="18">
        <f>IFERROR(AJ258/'Ar-Pa'!L258,0)</f>
        <v>0</v>
      </c>
      <c r="BI258" s="18">
        <f>IFERROR(AK258/'Ar-Pa'!M258,0)</f>
        <v>0</v>
      </c>
      <c r="BJ258" s="18">
        <f>IFERROR(AL258/'Ar-Pa'!N258,0)</f>
        <v>0</v>
      </c>
      <c r="BK258" s="18">
        <f>IFERROR(AM258/'Ar-Pa'!O258,0)</f>
        <v>0</v>
      </c>
      <c r="BL258" s="18">
        <f>IFERROR(AN258/'Ar-Pa'!P258,0)</f>
        <v>0</v>
      </c>
      <c r="BM258" s="18">
        <f>IFERROR(AO258/'Ar-Pa'!Q258,0)</f>
        <v>0</v>
      </c>
      <c r="BN258" s="18">
        <f>IFERROR(AP258/'Ar-Pa'!R258,0)</f>
        <v>0</v>
      </c>
      <c r="BO258" s="18">
        <f>IFERROR(AQ258/'Ar-Pa'!S258,0)</f>
        <v>0</v>
      </c>
      <c r="BP258" s="18">
        <f>IFERROR(AR258/'Ar-Pa'!T258,0)</f>
        <v>0</v>
      </c>
      <c r="BQ258" s="18">
        <f>IFERROR(AS258/'Ar-Pa'!U258,0)</f>
        <v>0</v>
      </c>
      <c r="BR258" s="18">
        <f>IFERROR(AT258/'Ar-Pa'!V258,0)</f>
        <v>0</v>
      </c>
      <c r="BS258" s="18">
        <f>IFERROR(AU258/'Ar-Pa'!W258,0)</f>
        <v>0</v>
      </c>
      <c r="BT258" s="18">
        <f>IFERROR(AV258/'Ar-Pa'!X258,0)</f>
        <v>0</v>
      </c>
      <c r="BU258" s="18">
        <f>IFERROR(AW258/'Ar-Pa'!Y258,0)</f>
        <v>0</v>
      </c>
    </row>
    <row r="259" spans="1:73">
      <c r="A259" s="15">
        <v>45184</v>
      </c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9">
        <f t="shared" si="151"/>
        <v>0</v>
      </c>
      <c r="AA259" s="19">
        <f t="shared" si="152"/>
        <v>0</v>
      </c>
      <c r="AB259" s="19">
        <f t="shared" si="153"/>
        <v>0</v>
      </c>
      <c r="AC259" s="19">
        <f t="shared" si="154"/>
        <v>0</v>
      </c>
      <c r="AD259" s="19">
        <f t="shared" si="155"/>
        <v>0</v>
      </c>
      <c r="AE259" s="19">
        <f t="shared" si="156"/>
        <v>0</v>
      </c>
      <c r="AF259" s="19">
        <f t="shared" si="157"/>
        <v>0</v>
      </c>
      <c r="AG259" s="19">
        <f t="shared" si="158"/>
        <v>0</v>
      </c>
      <c r="AH259" s="19">
        <f t="shared" si="159"/>
        <v>0</v>
      </c>
      <c r="AI259" s="19">
        <f t="shared" si="160"/>
        <v>0</v>
      </c>
      <c r="AJ259" s="19">
        <f t="shared" si="161"/>
        <v>0</v>
      </c>
      <c r="AK259" s="19">
        <f t="shared" si="162"/>
        <v>0</v>
      </c>
      <c r="AL259" s="19">
        <f t="shared" si="163"/>
        <v>0</v>
      </c>
      <c r="AM259" s="19">
        <f t="shared" si="164"/>
        <v>0</v>
      </c>
      <c r="AN259" s="19">
        <f t="shared" si="165"/>
        <v>0</v>
      </c>
      <c r="AO259" s="19">
        <f t="shared" si="166"/>
        <v>0</v>
      </c>
      <c r="AP259" s="19">
        <f t="shared" si="167"/>
        <v>0</v>
      </c>
      <c r="AQ259" s="19">
        <f t="shared" si="168"/>
        <v>0</v>
      </c>
      <c r="AR259" s="19">
        <f t="shared" si="169"/>
        <v>0</v>
      </c>
      <c r="AS259" s="19">
        <f t="shared" si="170"/>
        <v>0</v>
      </c>
      <c r="AT259" s="19">
        <f t="shared" si="171"/>
        <v>0</v>
      </c>
      <c r="AU259" s="19">
        <f t="shared" si="172"/>
        <v>0</v>
      </c>
      <c r="AV259" s="19">
        <f t="shared" si="173"/>
        <v>0</v>
      </c>
      <c r="AW259" s="19">
        <f t="shared" si="174"/>
        <v>0</v>
      </c>
      <c r="AX259" s="18">
        <f>IFERROR(Z259/'Ar-Pa'!B259,0)</f>
        <v>0</v>
      </c>
      <c r="AY259" s="18">
        <f>IFERROR(AA259/'Ar-Pa'!C259,0)</f>
        <v>0</v>
      </c>
      <c r="AZ259" s="18">
        <f>IFERROR(AB259/'Ar-Pa'!D259,0)</f>
        <v>0</v>
      </c>
      <c r="BA259" s="18">
        <f>IFERROR(AC259/'Ar-Pa'!E259,0)</f>
        <v>0</v>
      </c>
      <c r="BB259" s="18">
        <f>IFERROR(AD259/'Ar-Pa'!F259,0)</f>
        <v>0</v>
      </c>
      <c r="BC259" s="18">
        <f>IFERROR(AE259/'Ar-Pa'!G259,0)</f>
        <v>0</v>
      </c>
      <c r="BD259" s="18">
        <f>IFERROR(AF259/'Ar-Pa'!H259,0)</f>
        <v>0</v>
      </c>
      <c r="BE259" s="18">
        <f>IFERROR(AG259/'Ar-Pa'!I259,0)</f>
        <v>0</v>
      </c>
      <c r="BF259" s="18">
        <f>IFERROR(AH259/'Ar-Pa'!J259,0)</f>
        <v>0</v>
      </c>
      <c r="BG259" s="18">
        <f>IFERROR(AI259/'Ar-Pa'!K259,0)</f>
        <v>0</v>
      </c>
      <c r="BH259" s="18">
        <f>IFERROR(AJ259/'Ar-Pa'!L259,0)</f>
        <v>0</v>
      </c>
      <c r="BI259" s="18">
        <f>IFERROR(AK259/'Ar-Pa'!M259,0)</f>
        <v>0</v>
      </c>
      <c r="BJ259" s="18">
        <f>IFERROR(AL259/'Ar-Pa'!N259,0)</f>
        <v>0</v>
      </c>
      <c r="BK259" s="18">
        <f>IFERROR(AM259/'Ar-Pa'!O259,0)</f>
        <v>0</v>
      </c>
      <c r="BL259" s="18">
        <f>IFERROR(AN259/'Ar-Pa'!P259,0)</f>
        <v>0</v>
      </c>
      <c r="BM259" s="18">
        <f>IFERROR(AO259/'Ar-Pa'!Q259,0)</f>
        <v>0</v>
      </c>
      <c r="BN259" s="18">
        <f>IFERROR(AP259/'Ar-Pa'!R259,0)</f>
        <v>0</v>
      </c>
      <c r="BO259" s="18">
        <f>IFERROR(AQ259/'Ar-Pa'!S259,0)</f>
        <v>0</v>
      </c>
      <c r="BP259" s="18">
        <f>IFERROR(AR259/'Ar-Pa'!T259,0)</f>
        <v>0</v>
      </c>
      <c r="BQ259" s="18">
        <f>IFERROR(AS259/'Ar-Pa'!U259,0)</f>
        <v>0</v>
      </c>
      <c r="BR259" s="18">
        <f>IFERROR(AT259/'Ar-Pa'!V259,0)</f>
        <v>0</v>
      </c>
      <c r="BS259" s="18">
        <f>IFERROR(AU259/'Ar-Pa'!W259,0)</f>
        <v>0</v>
      </c>
      <c r="BT259" s="18">
        <f>IFERROR(AV259/'Ar-Pa'!X259,0)</f>
        <v>0</v>
      </c>
      <c r="BU259" s="18">
        <f>IFERROR(AW259/'Ar-Pa'!Y259,0)</f>
        <v>0</v>
      </c>
    </row>
    <row r="260" spans="1:73">
      <c r="A260" s="15">
        <v>45185</v>
      </c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9">
        <f t="shared" si="151"/>
        <v>0</v>
      </c>
      <c r="AA260" s="19">
        <f t="shared" si="152"/>
        <v>0</v>
      </c>
      <c r="AB260" s="19">
        <f t="shared" si="153"/>
        <v>0</v>
      </c>
      <c r="AC260" s="19">
        <f t="shared" si="154"/>
        <v>0</v>
      </c>
      <c r="AD260" s="19">
        <f t="shared" si="155"/>
        <v>0</v>
      </c>
      <c r="AE260" s="19">
        <f t="shared" si="156"/>
        <v>0</v>
      </c>
      <c r="AF260" s="19">
        <f t="shared" si="157"/>
        <v>0</v>
      </c>
      <c r="AG260" s="19">
        <f t="shared" si="158"/>
        <v>0</v>
      </c>
      <c r="AH260" s="19">
        <f t="shared" si="159"/>
        <v>0</v>
      </c>
      <c r="AI260" s="19">
        <f t="shared" si="160"/>
        <v>0</v>
      </c>
      <c r="AJ260" s="19">
        <f t="shared" si="161"/>
        <v>0</v>
      </c>
      <c r="AK260" s="19">
        <f t="shared" si="162"/>
        <v>0</v>
      </c>
      <c r="AL260" s="19">
        <f t="shared" si="163"/>
        <v>0</v>
      </c>
      <c r="AM260" s="19">
        <f t="shared" si="164"/>
        <v>0</v>
      </c>
      <c r="AN260" s="19">
        <f t="shared" si="165"/>
        <v>0</v>
      </c>
      <c r="AO260" s="19">
        <f t="shared" si="166"/>
        <v>0</v>
      </c>
      <c r="AP260" s="19">
        <f t="shared" si="167"/>
        <v>0</v>
      </c>
      <c r="AQ260" s="19">
        <f t="shared" si="168"/>
        <v>0</v>
      </c>
      <c r="AR260" s="19">
        <f t="shared" si="169"/>
        <v>0</v>
      </c>
      <c r="AS260" s="19">
        <f t="shared" si="170"/>
        <v>0</v>
      </c>
      <c r="AT260" s="19">
        <f t="shared" si="171"/>
        <v>0</v>
      </c>
      <c r="AU260" s="19">
        <f t="shared" si="172"/>
        <v>0</v>
      </c>
      <c r="AV260" s="19">
        <f t="shared" si="173"/>
        <v>0</v>
      </c>
      <c r="AW260" s="19">
        <f t="shared" si="174"/>
        <v>0</v>
      </c>
      <c r="AX260" s="18">
        <f>IFERROR(Z260/'Ar-Pa'!B260,0)</f>
        <v>0</v>
      </c>
      <c r="AY260" s="18">
        <f>IFERROR(AA260/'Ar-Pa'!C260,0)</f>
        <v>0</v>
      </c>
      <c r="AZ260" s="18">
        <f>IFERROR(AB260/'Ar-Pa'!D260,0)</f>
        <v>0</v>
      </c>
      <c r="BA260" s="18">
        <f>IFERROR(AC260/'Ar-Pa'!E260,0)</f>
        <v>0</v>
      </c>
      <c r="BB260" s="18">
        <f>IFERROR(AD260/'Ar-Pa'!F260,0)</f>
        <v>0</v>
      </c>
      <c r="BC260" s="18">
        <f>IFERROR(AE260/'Ar-Pa'!G260,0)</f>
        <v>0</v>
      </c>
      <c r="BD260" s="18">
        <f>IFERROR(AF260/'Ar-Pa'!H260,0)</f>
        <v>0</v>
      </c>
      <c r="BE260" s="18">
        <f>IFERROR(AG260/'Ar-Pa'!I260,0)</f>
        <v>0</v>
      </c>
      <c r="BF260" s="18">
        <f>IFERROR(AH260/'Ar-Pa'!J260,0)</f>
        <v>0</v>
      </c>
      <c r="BG260" s="18">
        <f>IFERROR(AI260/'Ar-Pa'!K260,0)</f>
        <v>0</v>
      </c>
      <c r="BH260" s="18">
        <f>IFERROR(AJ260/'Ar-Pa'!L260,0)</f>
        <v>0</v>
      </c>
      <c r="BI260" s="18">
        <f>IFERROR(AK260/'Ar-Pa'!M260,0)</f>
        <v>0</v>
      </c>
      <c r="BJ260" s="18">
        <f>IFERROR(AL260/'Ar-Pa'!N260,0)</f>
        <v>0</v>
      </c>
      <c r="BK260" s="18">
        <f>IFERROR(AM260/'Ar-Pa'!O260,0)</f>
        <v>0</v>
      </c>
      <c r="BL260" s="18">
        <f>IFERROR(AN260/'Ar-Pa'!P260,0)</f>
        <v>0</v>
      </c>
      <c r="BM260" s="18">
        <f>IFERROR(AO260/'Ar-Pa'!Q260,0)</f>
        <v>0</v>
      </c>
      <c r="BN260" s="18">
        <f>IFERROR(AP260/'Ar-Pa'!R260,0)</f>
        <v>0</v>
      </c>
      <c r="BO260" s="18">
        <f>IFERROR(AQ260/'Ar-Pa'!S260,0)</f>
        <v>0</v>
      </c>
      <c r="BP260" s="18">
        <f>IFERROR(AR260/'Ar-Pa'!T260,0)</f>
        <v>0</v>
      </c>
      <c r="BQ260" s="18">
        <f>IFERROR(AS260/'Ar-Pa'!U260,0)</f>
        <v>0</v>
      </c>
      <c r="BR260" s="18">
        <f>IFERROR(AT260/'Ar-Pa'!V260,0)</f>
        <v>0</v>
      </c>
      <c r="BS260" s="18">
        <f>IFERROR(AU260/'Ar-Pa'!W260,0)</f>
        <v>0</v>
      </c>
      <c r="BT260" s="18">
        <f>IFERROR(AV260/'Ar-Pa'!X260,0)</f>
        <v>0</v>
      </c>
      <c r="BU260" s="18">
        <f>IFERROR(AW260/'Ar-Pa'!Y260,0)</f>
        <v>0</v>
      </c>
    </row>
    <row r="261" spans="1:73">
      <c r="A261" s="15">
        <v>45186</v>
      </c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9">
        <f t="shared" si="151"/>
        <v>0</v>
      </c>
      <c r="AA261" s="19">
        <f t="shared" si="152"/>
        <v>0</v>
      </c>
      <c r="AB261" s="19">
        <f t="shared" si="153"/>
        <v>0</v>
      </c>
      <c r="AC261" s="19">
        <f t="shared" si="154"/>
        <v>0</v>
      </c>
      <c r="AD261" s="19">
        <f t="shared" si="155"/>
        <v>0</v>
      </c>
      <c r="AE261" s="19">
        <f t="shared" si="156"/>
        <v>0</v>
      </c>
      <c r="AF261" s="19">
        <f t="shared" si="157"/>
        <v>0</v>
      </c>
      <c r="AG261" s="19">
        <f t="shared" si="158"/>
        <v>0</v>
      </c>
      <c r="AH261" s="19">
        <f t="shared" si="159"/>
        <v>0</v>
      </c>
      <c r="AI261" s="19">
        <f t="shared" si="160"/>
        <v>0</v>
      </c>
      <c r="AJ261" s="19">
        <f t="shared" si="161"/>
        <v>0</v>
      </c>
      <c r="AK261" s="19">
        <f t="shared" si="162"/>
        <v>0</v>
      </c>
      <c r="AL261" s="19">
        <f t="shared" si="163"/>
        <v>0</v>
      </c>
      <c r="AM261" s="19">
        <f t="shared" si="164"/>
        <v>0</v>
      </c>
      <c r="AN261" s="19">
        <f t="shared" si="165"/>
        <v>0</v>
      </c>
      <c r="AO261" s="19">
        <f t="shared" si="166"/>
        <v>0</v>
      </c>
      <c r="AP261" s="19">
        <f t="shared" si="167"/>
        <v>0</v>
      </c>
      <c r="AQ261" s="19">
        <f t="shared" si="168"/>
        <v>0</v>
      </c>
      <c r="AR261" s="19">
        <f t="shared" si="169"/>
        <v>0</v>
      </c>
      <c r="AS261" s="19">
        <f t="shared" si="170"/>
        <v>0</v>
      </c>
      <c r="AT261" s="19">
        <f t="shared" si="171"/>
        <v>0</v>
      </c>
      <c r="AU261" s="19">
        <f t="shared" si="172"/>
        <v>0</v>
      </c>
      <c r="AV261" s="19">
        <f t="shared" si="173"/>
        <v>0</v>
      </c>
      <c r="AW261" s="19">
        <f t="shared" si="174"/>
        <v>0</v>
      </c>
      <c r="AX261" s="18">
        <f>IFERROR(Z261/'Ar-Pa'!B261,0)</f>
        <v>0</v>
      </c>
      <c r="AY261" s="18">
        <f>IFERROR(AA261/'Ar-Pa'!C261,0)</f>
        <v>0</v>
      </c>
      <c r="AZ261" s="18">
        <f>IFERROR(AB261/'Ar-Pa'!D261,0)</f>
        <v>0</v>
      </c>
      <c r="BA261" s="18">
        <f>IFERROR(AC261/'Ar-Pa'!E261,0)</f>
        <v>0</v>
      </c>
      <c r="BB261" s="18">
        <f>IFERROR(AD261/'Ar-Pa'!F261,0)</f>
        <v>0</v>
      </c>
      <c r="BC261" s="18">
        <f>IFERROR(AE261/'Ar-Pa'!G261,0)</f>
        <v>0</v>
      </c>
      <c r="BD261" s="18">
        <f>IFERROR(AF261/'Ar-Pa'!H261,0)</f>
        <v>0</v>
      </c>
      <c r="BE261" s="18">
        <f>IFERROR(AG261/'Ar-Pa'!I261,0)</f>
        <v>0</v>
      </c>
      <c r="BF261" s="18">
        <f>IFERROR(AH261/'Ar-Pa'!J261,0)</f>
        <v>0</v>
      </c>
      <c r="BG261" s="18">
        <f>IFERROR(AI261/'Ar-Pa'!K261,0)</f>
        <v>0</v>
      </c>
      <c r="BH261" s="18">
        <f>IFERROR(AJ261/'Ar-Pa'!L261,0)</f>
        <v>0</v>
      </c>
      <c r="BI261" s="18">
        <f>IFERROR(AK261/'Ar-Pa'!M261,0)</f>
        <v>0</v>
      </c>
      <c r="BJ261" s="18">
        <f>IFERROR(AL261/'Ar-Pa'!N261,0)</f>
        <v>0</v>
      </c>
      <c r="BK261" s="18">
        <f>IFERROR(AM261/'Ar-Pa'!O261,0)</f>
        <v>0</v>
      </c>
      <c r="BL261" s="18">
        <f>IFERROR(AN261/'Ar-Pa'!P261,0)</f>
        <v>0</v>
      </c>
      <c r="BM261" s="18">
        <f>IFERROR(AO261/'Ar-Pa'!Q261,0)</f>
        <v>0</v>
      </c>
      <c r="BN261" s="18">
        <f>IFERROR(AP261/'Ar-Pa'!R261,0)</f>
        <v>0</v>
      </c>
      <c r="BO261" s="18">
        <f>IFERROR(AQ261/'Ar-Pa'!S261,0)</f>
        <v>0</v>
      </c>
      <c r="BP261" s="18">
        <f>IFERROR(AR261/'Ar-Pa'!T261,0)</f>
        <v>0</v>
      </c>
      <c r="BQ261" s="18">
        <f>IFERROR(AS261/'Ar-Pa'!U261,0)</f>
        <v>0</v>
      </c>
      <c r="BR261" s="18">
        <f>IFERROR(AT261/'Ar-Pa'!V261,0)</f>
        <v>0</v>
      </c>
      <c r="BS261" s="18">
        <f>IFERROR(AU261/'Ar-Pa'!W261,0)</f>
        <v>0</v>
      </c>
      <c r="BT261" s="18">
        <f>IFERROR(AV261/'Ar-Pa'!X261,0)</f>
        <v>0</v>
      </c>
      <c r="BU261" s="18">
        <f>IFERROR(AW261/'Ar-Pa'!Y261,0)</f>
        <v>0</v>
      </c>
    </row>
    <row r="262" spans="1:73">
      <c r="A262" s="15">
        <v>45187</v>
      </c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9">
        <f t="shared" si="151"/>
        <v>0</v>
      </c>
      <c r="AA262" s="19">
        <f t="shared" si="152"/>
        <v>0</v>
      </c>
      <c r="AB262" s="19">
        <f t="shared" si="153"/>
        <v>0</v>
      </c>
      <c r="AC262" s="19">
        <f t="shared" si="154"/>
        <v>0</v>
      </c>
      <c r="AD262" s="19">
        <f t="shared" si="155"/>
        <v>0</v>
      </c>
      <c r="AE262" s="19">
        <f t="shared" si="156"/>
        <v>0</v>
      </c>
      <c r="AF262" s="19">
        <f t="shared" si="157"/>
        <v>0</v>
      </c>
      <c r="AG262" s="19">
        <f t="shared" si="158"/>
        <v>0</v>
      </c>
      <c r="AH262" s="19">
        <f t="shared" si="159"/>
        <v>0</v>
      </c>
      <c r="AI262" s="19">
        <f t="shared" si="160"/>
        <v>0</v>
      </c>
      <c r="AJ262" s="19">
        <f t="shared" si="161"/>
        <v>0</v>
      </c>
      <c r="AK262" s="19">
        <f t="shared" si="162"/>
        <v>0</v>
      </c>
      <c r="AL262" s="19">
        <f t="shared" si="163"/>
        <v>0</v>
      </c>
      <c r="AM262" s="19">
        <f t="shared" si="164"/>
        <v>0</v>
      </c>
      <c r="AN262" s="19">
        <f t="shared" si="165"/>
        <v>0</v>
      </c>
      <c r="AO262" s="19">
        <f t="shared" si="166"/>
        <v>0</v>
      </c>
      <c r="AP262" s="19">
        <f t="shared" si="167"/>
        <v>0</v>
      </c>
      <c r="AQ262" s="19">
        <f t="shared" si="168"/>
        <v>0</v>
      </c>
      <c r="AR262" s="19">
        <f t="shared" si="169"/>
        <v>0</v>
      </c>
      <c r="AS262" s="19">
        <f t="shared" si="170"/>
        <v>0</v>
      </c>
      <c r="AT262" s="19">
        <f t="shared" si="171"/>
        <v>0</v>
      </c>
      <c r="AU262" s="19">
        <f t="shared" si="172"/>
        <v>0</v>
      </c>
      <c r="AV262" s="19">
        <f t="shared" si="173"/>
        <v>0</v>
      </c>
      <c r="AW262" s="19">
        <f t="shared" si="174"/>
        <v>0</v>
      </c>
      <c r="AX262" s="18">
        <f>IFERROR(Z262/'Ar-Pa'!B262,0)</f>
        <v>0</v>
      </c>
      <c r="AY262" s="18">
        <f>IFERROR(AA262/'Ar-Pa'!C262,0)</f>
        <v>0</v>
      </c>
      <c r="AZ262" s="18">
        <f>IFERROR(AB262/'Ar-Pa'!D262,0)</f>
        <v>0</v>
      </c>
      <c r="BA262" s="18">
        <f>IFERROR(AC262/'Ar-Pa'!E262,0)</f>
        <v>0</v>
      </c>
      <c r="BB262" s="18">
        <f>IFERROR(AD262/'Ar-Pa'!F262,0)</f>
        <v>0</v>
      </c>
      <c r="BC262" s="18">
        <f>IFERROR(AE262/'Ar-Pa'!G262,0)</f>
        <v>0</v>
      </c>
      <c r="BD262" s="18">
        <f>IFERROR(AF262/'Ar-Pa'!H262,0)</f>
        <v>0</v>
      </c>
      <c r="BE262" s="18">
        <f>IFERROR(AG262/'Ar-Pa'!I262,0)</f>
        <v>0</v>
      </c>
      <c r="BF262" s="18">
        <f>IFERROR(AH262/'Ar-Pa'!J262,0)</f>
        <v>0</v>
      </c>
      <c r="BG262" s="18">
        <f>IFERROR(AI262/'Ar-Pa'!K262,0)</f>
        <v>0</v>
      </c>
      <c r="BH262" s="18">
        <f>IFERROR(AJ262/'Ar-Pa'!L262,0)</f>
        <v>0</v>
      </c>
      <c r="BI262" s="18">
        <f>IFERROR(AK262/'Ar-Pa'!M262,0)</f>
        <v>0</v>
      </c>
      <c r="BJ262" s="18">
        <f>IFERROR(AL262/'Ar-Pa'!N262,0)</f>
        <v>0</v>
      </c>
      <c r="BK262" s="18">
        <f>IFERROR(AM262/'Ar-Pa'!O262,0)</f>
        <v>0</v>
      </c>
      <c r="BL262" s="18">
        <f>IFERROR(AN262/'Ar-Pa'!P262,0)</f>
        <v>0</v>
      </c>
      <c r="BM262" s="18">
        <f>IFERROR(AO262/'Ar-Pa'!Q262,0)</f>
        <v>0</v>
      </c>
      <c r="BN262" s="18">
        <f>IFERROR(AP262/'Ar-Pa'!R262,0)</f>
        <v>0</v>
      </c>
      <c r="BO262" s="18">
        <f>IFERROR(AQ262/'Ar-Pa'!S262,0)</f>
        <v>0</v>
      </c>
      <c r="BP262" s="18">
        <f>IFERROR(AR262/'Ar-Pa'!T262,0)</f>
        <v>0</v>
      </c>
      <c r="BQ262" s="18">
        <f>IFERROR(AS262/'Ar-Pa'!U262,0)</f>
        <v>0</v>
      </c>
      <c r="BR262" s="18">
        <f>IFERROR(AT262/'Ar-Pa'!V262,0)</f>
        <v>0</v>
      </c>
      <c r="BS262" s="18">
        <f>IFERROR(AU262/'Ar-Pa'!W262,0)</f>
        <v>0</v>
      </c>
      <c r="BT262" s="18">
        <f>IFERROR(AV262/'Ar-Pa'!X262,0)</f>
        <v>0</v>
      </c>
      <c r="BU262" s="18">
        <f>IFERROR(AW262/'Ar-Pa'!Y262,0)</f>
        <v>0</v>
      </c>
    </row>
    <row r="263" spans="1:73">
      <c r="A263" s="15">
        <v>45188</v>
      </c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9">
        <f t="shared" si="151"/>
        <v>0</v>
      </c>
      <c r="AA263" s="19">
        <f t="shared" si="152"/>
        <v>0</v>
      </c>
      <c r="AB263" s="19">
        <f t="shared" si="153"/>
        <v>0</v>
      </c>
      <c r="AC263" s="19">
        <f t="shared" si="154"/>
        <v>0</v>
      </c>
      <c r="AD263" s="19">
        <f t="shared" si="155"/>
        <v>0</v>
      </c>
      <c r="AE263" s="19">
        <f t="shared" si="156"/>
        <v>0</v>
      </c>
      <c r="AF263" s="19">
        <f t="shared" si="157"/>
        <v>0</v>
      </c>
      <c r="AG263" s="19">
        <f t="shared" si="158"/>
        <v>0</v>
      </c>
      <c r="AH263" s="19">
        <f t="shared" si="159"/>
        <v>0</v>
      </c>
      <c r="AI263" s="19">
        <f t="shared" si="160"/>
        <v>0</v>
      </c>
      <c r="AJ263" s="19">
        <f t="shared" si="161"/>
        <v>0</v>
      </c>
      <c r="AK263" s="19">
        <f t="shared" si="162"/>
        <v>0</v>
      </c>
      <c r="AL263" s="19">
        <f t="shared" si="163"/>
        <v>0</v>
      </c>
      <c r="AM263" s="19">
        <f t="shared" si="164"/>
        <v>0</v>
      </c>
      <c r="AN263" s="19">
        <f t="shared" si="165"/>
        <v>0</v>
      </c>
      <c r="AO263" s="19">
        <f t="shared" si="166"/>
        <v>0</v>
      </c>
      <c r="AP263" s="19">
        <f t="shared" si="167"/>
        <v>0</v>
      </c>
      <c r="AQ263" s="19">
        <f t="shared" si="168"/>
        <v>0</v>
      </c>
      <c r="AR263" s="19">
        <f t="shared" si="169"/>
        <v>0</v>
      </c>
      <c r="AS263" s="19">
        <f t="shared" si="170"/>
        <v>0</v>
      </c>
      <c r="AT263" s="19">
        <f t="shared" si="171"/>
        <v>0</v>
      </c>
      <c r="AU263" s="19">
        <f t="shared" si="172"/>
        <v>0</v>
      </c>
      <c r="AV263" s="19">
        <f t="shared" si="173"/>
        <v>0</v>
      </c>
      <c r="AW263" s="19">
        <f t="shared" si="174"/>
        <v>0</v>
      </c>
      <c r="AX263" s="18">
        <f>IFERROR(Z263/'Ar-Pa'!B263,0)</f>
        <v>0</v>
      </c>
      <c r="AY263" s="18">
        <f>IFERROR(AA263/'Ar-Pa'!C263,0)</f>
        <v>0</v>
      </c>
      <c r="AZ263" s="18">
        <f>IFERROR(AB263/'Ar-Pa'!D263,0)</f>
        <v>0</v>
      </c>
      <c r="BA263" s="18">
        <f>IFERROR(AC263/'Ar-Pa'!E263,0)</f>
        <v>0</v>
      </c>
      <c r="BB263" s="18">
        <f>IFERROR(AD263/'Ar-Pa'!F263,0)</f>
        <v>0</v>
      </c>
      <c r="BC263" s="18">
        <f>IFERROR(AE263/'Ar-Pa'!G263,0)</f>
        <v>0</v>
      </c>
      <c r="BD263" s="18">
        <f>IFERROR(AF263/'Ar-Pa'!H263,0)</f>
        <v>0</v>
      </c>
      <c r="BE263" s="18">
        <f>IFERROR(AG263/'Ar-Pa'!I263,0)</f>
        <v>0</v>
      </c>
      <c r="BF263" s="18">
        <f>IFERROR(AH263/'Ar-Pa'!J263,0)</f>
        <v>0</v>
      </c>
      <c r="BG263" s="18">
        <f>IFERROR(AI263/'Ar-Pa'!K263,0)</f>
        <v>0</v>
      </c>
      <c r="BH263" s="18">
        <f>IFERROR(AJ263/'Ar-Pa'!L263,0)</f>
        <v>0</v>
      </c>
      <c r="BI263" s="18">
        <f>IFERROR(AK263/'Ar-Pa'!M263,0)</f>
        <v>0</v>
      </c>
      <c r="BJ263" s="18">
        <f>IFERROR(AL263/'Ar-Pa'!N263,0)</f>
        <v>0</v>
      </c>
      <c r="BK263" s="18">
        <f>IFERROR(AM263/'Ar-Pa'!O263,0)</f>
        <v>0</v>
      </c>
      <c r="BL263" s="18">
        <f>IFERROR(AN263/'Ar-Pa'!P263,0)</f>
        <v>0</v>
      </c>
      <c r="BM263" s="18">
        <f>IFERROR(AO263/'Ar-Pa'!Q263,0)</f>
        <v>0</v>
      </c>
      <c r="BN263" s="18">
        <f>IFERROR(AP263/'Ar-Pa'!R263,0)</f>
        <v>0</v>
      </c>
      <c r="BO263" s="18">
        <f>IFERROR(AQ263/'Ar-Pa'!S263,0)</f>
        <v>0</v>
      </c>
      <c r="BP263" s="18">
        <f>IFERROR(AR263/'Ar-Pa'!T263,0)</f>
        <v>0</v>
      </c>
      <c r="BQ263" s="18">
        <f>IFERROR(AS263/'Ar-Pa'!U263,0)</f>
        <v>0</v>
      </c>
      <c r="BR263" s="18">
        <f>IFERROR(AT263/'Ar-Pa'!V263,0)</f>
        <v>0</v>
      </c>
      <c r="BS263" s="18">
        <f>IFERROR(AU263/'Ar-Pa'!W263,0)</f>
        <v>0</v>
      </c>
      <c r="BT263" s="18">
        <f>IFERROR(AV263/'Ar-Pa'!X263,0)</f>
        <v>0</v>
      </c>
      <c r="BU263" s="18">
        <f>IFERROR(AW263/'Ar-Pa'!Y263,0)</f>
        <v>0</v>
      </c>
    </row>
    <row r="264" spans="1:73">
      <c r="A264" s="15">
        <v>45189</v>
      </c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9">
        <f t="shared" si="151"/>
        <v>0</v>
      </c>
      <c r="AA264" s="19">
        <f t="shared" si="152"/>
        <v>0</v>
      </c>
      <c r="AB264" s="19">
        <f t="shared" si="153"/>
        <v>0</v>
      </c>
      <c r="AC264" s="19">
        <f t="shared" si="154"/>
        <v>0</v>
      </c>
      <c r="AD264" s="19">
        <f t="shared" si="155"/>
        <v>0</v>
      </c>
      <c r="AE264" s="19">
        <f t="shared" si="156"/>
        <v>0</v>
      </c>
      <c r="AF264" s="19">
        <f t="shared" si="157"/>
        <v>0</v>
      </c>
      <c r="AG264" s="19">
        <f t="shared" si="158"/>
        <v>0</v>
      </c>
      <c r="AH264" s="19">
        <f t="shared" si="159"/>
        <v>0</v>
      </c>
      <c r="AI264" s="19">
        <f t="shared" si="160"/>
        <v>0</v>
      </c>
      <c r="AJ264" s="19">
        <f t="shared" si="161"/>
        <v>0</v>
      </c>
      <c r="AK264" s="19">
        <f t="shared" si="162"/>
        <v>0</v>
      </c>
      <c r="AL264" s="19">
        <f t="shared" si="163"/>
        <v>0</v>
      </c>
      <c r="AM264" s="19">
        <f t="shared" si="164"/>
        <v>0</v>
      </c>
      <c r="AN264" s="19">
        <f t="shared" si="165"/>
        <v>0</v>
      </c>
      <c r="AO264" s="19">
        <f t="shared" si="166"/>
        <v>0</v>
      </c>
      <c r="AP264" s="19">
        <f t="shared" si="167"/>
        <v>0</v>
      </c>
      <c r="AQ264" s="19">
        <f t="shared" si="168"/>
        <v>0</v>
      </c>
      <c r="AR264" s="19">
        <f t="shared" si="169"/>
        <v>0</v>
      </c>
      <c r="AS264" s="19">
        <f t="shared" si="170"/>
        <v>0</v>
      </c>
      <c r="AT264" s="19">
        <f t="shared" si="171"/>
        <v>0</v>
      </c>
      <c r="AU264" s="19">
        <f t="shared" si="172"/>
        <v>0</v>
      </c>
      <c r="AV264" s="19">
        <f t="shared" si="173"/>
        <v>0</v>
      </c>
      <c r="AW264" s="19">
        <f t="shared" si="174"/>
        <v>0</v>
      </c>
      <c r="AX264" s="18">
        <f>IFERROR(Z264/'Ar-Pa'!B264,0)</f>
        <v>0</v>
      </c>
      <c r="AY264" s="18">
        <f>IFERROR(AA264/'Ar-Pa'!C264,0)</f>
        <v>0</v>
      </c>
      <c r="AZ264" s="18">
        <f>IFERROR(AB264/'Ar-Pa'!D264,0)</f>
        <v>0</v>
      </c>
      <c r="BA264" s="18">
        <f>IFERROR(AC264/'Ar-Pa'!E264,0)</f>
        <v>0</v>
      </c>
      <c r="BB264" s="18">
        <f>IFERROR(AD264/'Ar-Pa'!F264,0)</f>
        <v>0</v>
      </c>
      <c r="BC264" s="18">
        <f>IFERROR(AE264/'Ar-Pa'!G264,0)</f>
        <v>0</v>
      </c>
      <c r="BD264" s="18">
        <f>IFERROR(AF264/'Ar-Pa'!H264,0)</f>
        <v>0</v>
      </c>
      <c r="BE264" s="18">
        <f>IFERROR(AG264/'Ar-Pa'!I264,0)</f>
        <v>0</v>
      </c>
      <c r="BF264" s="18">
        <f>IFERROR(AH264/'Ar-Pa'!J264,0)</f>
        <v>0</v>
      </c>
      <c r="BG264" s="18">
        <f>IFERROR(AI264/'Ar-Pa'!K264,0)</f>
        <v>0</v>
      </c>
      <c r="BH264" s="18">
        <f>IFERROR(AJ264/'Ar-Pa'!L264,0)</f>
        <v>0</v>
      </c>
      <c r="BI264" s="18">
        <f>IFERROR(AK264/'Ar-Pa'!M264,0)</f>
        <v>0</v>
      </c>
      <c r="BJ264" s="18">
        <f>IFERROR(AL264/'Ar-Pa'!N264,0)</f>
        <v>0</v>
      </c>
      <c r="BK264" s="18">
        <f>IFERROR(AM264/'Ar-Pa'!O264,0)</f>
        <v>0</v>
      </c>
      <c r="BL264" s="18">
        <f>IFERROR(AN264/'Ar-Pa'!P264,0)</f>
        <v>0</v>
      </c>
      <c r="BM264" s="18">
        <f>IFERROR(AO264/'Ar-Pa'!Q264,0)</f>
        <v>0</v>
      </c>
      <c r="BN264" s="18">
        <f>IFERROR(AP264/'Ar-Pa'!R264,0)</f>
        <v>0</v>
      </c>
      <c r="BO264" s="18">
        <f>IFERROR(AQ264/'Ar-Pa'!S264,0)</f>
        <v>0</v>
      </c>
      <c r="BP264" s="18">
        <f>IFERROR(AR264/'Ar-Pa'!T264,0)</f>
        <v>0</v>
      </c>
      <c r="BQ264" s="18">
        <f>IFERROR(AS264/'Ar-Pa'!U264,0)</f>
        <v>0</v>
      </c>
      <c r="BR264" s="18">
        <f>IFERROR(AT264/'Ar-Pa'!V264,0)</f>
        <v>0</v>
      </c>
      <c r="BS264" s="18">
        <f>IFERROR(AU264/'Ar-Pa'!W264,0)</f>
        <v>0</v>
      </c>
      <c r="BT264" s="18">
        <f>IFERROR(AV264/'Ar-Pa'!X264,0)</f>
        <v>0</v>
      </c>
      <c r="BU264" s="18">
        <f>IFERROR(AW264/'Ar-Pa'!Y264,0)</f>
        <v>0</v>
      </c>
    </row>
    <row r="265" spans="1:73">
      <c r="A265" s="15">
        <v>45190</v>
      </c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9">
        <f t="shared" si="151"/>
        <v>0</v>
      </c>
      <c r="AA265" s="19">
        <f t="shared" si="152"/>
        <v>0</v>
      </c>
      <c r="AB265" s="19">
        <f t="shared" si="153"/>
        <v>0</v>
      </c>
      <c r="AC265" s="19">
        <f t="shared" si="154"/>
        <v>0</v>
      </c>
      <c r="AD265" s="19">
        <f t="shared" si="155"/>
        <v>0</v>
      </c>
      <c r="AE265" s="19">
        <f t="shared" si="156"/>
        <v>0</v>
      </c>
      <c r="AF265" s="19">
        <f t="shared" si="157"/>
        <v>0</v>
      </c>
      <c r="AG265" s="19">
        <f t="shared" si="158"/>
        <v>0</v>
      </c>
      <c r="AH265" s="19">
        <f t="shared" si="159"/>
        <v>0</v>
      </c>
      <c r="AI265" s="19">
        <f t="shared" si="160"/>
        <v>0</v>
      </c>
      <c r="AJ265" s="19">
        <f t="shared" si="161"/>
        <v>0</v>
      </c>
      <c r="AK265" s="19">
        <f t="shared" si="162"/>
        <v>0</v>
      </c>
      <c r="AL265" s="19">
        <f t="shared" si="163"/>
        <v>0</v>
      </c>
      <c r="AM265" s="19">
        <f t="shared" si="164"/>
        <v>0</v>
      </c>
      <c r="AN265" s="19">
        <f t="shared" si="165"/>
        <v>0</v>
      </c>
      <c r="AO265" s="19">
        <f t="shared" si="166"/>
        <v>0</v>
      </c>
      <c r="AP265" s="19">
        <f t="shared" si="167"/>
        <v>0</v>
      </c>
      <c r="AQ265" s="19">
        <f t="shared" si="168"/>
        <v>0</v>
      </c>
      <c r="AR265" s="19">
        <f t="shared" si="169"/>
        <v>0</v>
      </c>
      <c r="AS265" s="19">
        <f t="shared" si="170"/>
        <v>0</v>
      </c>
      <c r="AT265" s="19">
        <f t="shared" si="171"/>
        <v>0</v>
      </c>
      <c r="AU265" s="19">
        <f t="shared" si="172"/>
        <v>0</v>
      </c>
      <c r="AV265" s="19">
        <f t="shared" si="173"/>
        <v>0</v>
      </c>
      <c r="AW265" s="19">
        <f t="shared" si="174"/>
        <v>0</v>
      </c>
      <c r="AX265" s="18">
        <f>IFERROR(Z265/'Ar-Pa'!B265,0)</f>
        <v>0</v>
      </c>
      <c r="AY265" s="18">
        <f>IFERROR(AA265/'Ar-Pa'!C265,0)</f>
        <v>0</v>
      </c>
      <c r="AZ265" s="18">
        <f>IFERROR(AB265/'Ar-Pa'!D265,0)</f>
        <v>0</v>
      </c>
      <c r="BA265" s="18">
        <f>IFERROR(AC265/'Ar-Pa'!E265,0)</f>
        <v>0</v>
      </c>
      <c r="BB265" s="18">
        <f>IFERROR(AD265/'Ar-Pa'!F265,0)</f>
        <v>0</v>
      </c>
      <c r="BC265" s="18">
        <f>IFERROR(AE265/'Ar-Pa'!G265,0)</f>
        <v>0</v>
      </c>
      <c r="BD265" s="18">
        <f>IFERROR(AF265/'Ar-Pa'!H265,0)</f>
        <v>0</v>
      </c>
      <c r="BE265" s="18">
        <f>IFERROR(AG265/'Ar-Pa'!I265,0)</f>
        <v>0</v>
      </c>
      <c r="BF265" s="18">
        <f>IFERROR(AH265/'Ar-Pa'!J265,0)</f>
        <v>0</v>
      </c>
      <c r="BG265" s="18">
        <f>IFERROR(AI265/'Ar-Pa'!K265,0)</f>
        <v>0</v>
      </c>
      <c r="BH265" s="18">
        <f>IFERROR(AJ265/'Ar-Pa'!L265,0)</f>
        <v>0</v>
      </c>
      <c r="BI265" s="18">
        <f>IFERROR(AK265/'Ar-Pa'!M265,0)</f>
        <v>0</v>
      </c>
      <c r="BJ265" s="18">
        <f>IFERROR(AL265/'Ar-Pa'!N265,0)</f>
        <v>0</v>
      </c>
      <c r="BK265" s="18">
        <f>IFERROR(AM265/'Ar-Pa'!O265,0)</f>
        <v>0</v>
      </c>
      <c r="BL265" s="18">
        <f>IFERROR(AN265/'Ar-Pa'!P265,0)</f>
        <v>0</v>
      </c>
      <c r="BM265" s="18">
        <f>IFERROR(AO265/'Ar-Pa'!Q265,0)</f>
        <v>0</v>
      </c>
      <c r="BN265" s="18">
        <f>IFERROR(AP265/'Ar-Pa'!R265,0)</f>
        <v>0</v>
      </c>
      <c r="BO265" s="18">
        <f>IFERROR(AQ265/'Ar-Pa'!S265,0)</f>
        <v>0</v>
      </c>
      <c r="BP265" s="18">
        <f>IFERROR(AR265/'Ar-Pa'!T265,0)</f>
        <v>0</v>
      </c>
      <c r="BQ265" s="18">
        <f>IFERROR(AS265/'Ar-Pa'!U265,0)</f>
        <v>0</v>
      </c>
      <c r="BR265" s="18">
        <f>IFERROR(AT265/'Ar-Pa'!V265,0)</f>
        <v>0</v>
      </c>
      <c r="BS265" s="18">
        <f>IFERROR(AU265/'Ar-Pa'!W265,0)</f>
        <v>0</v>
      </c>
      <c r="BT265" s="18">
        <f>IFERROR(AV265/'Ar-Pa'!X265,0)</f>
        <v>0</v>
      </c>
      <c r="BU265" s="18">
        <f>IFERROR(AW265/'Ar-Pa'!Y265,0)</f>
        <v>0</v>
      </c>
    </row>
    <row r="266" spans="1:73">
      <c r="A266" s="15">
        <v>45191</v>
      </c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9">
        <f t="shared" si="151"/>
        <v>0</v>
      </c>
      <c r="AA266" s="19">
        <f t="shared" si="152"/>
        <v>0</v>
      </c>
      <c r="AB266" s="19">
        <f t="shared" si="153"/>
        <v>0</v>
      </c>
      <c r="AC266" s="19">
        <f t="shared" si="154"/>
        <v>0</v>
      </c>
      <c r="AD266" s="19">
        <f t="shared" si="155"/>
        <v>0</v>
      </c>
      <c r="AE266" s="19">
        <f t="shared" si="156"/>
        <v>0</v>
      </c>
      <c r="AF266" s="19">
        <f t="shared" si="157"/>
        <v>0</v>
      </c>
      <c r="AG266" s="19">
        <f t="shared" si="158"/>
        <v>0</v>
      </c>
      <c r="AH266" s="19">
        <f t="shared" si="159"/>
        <v>0</v>
      </c>
      <c r="AI266" s="19">
        <f t="shared" si="160"/>
        <v>0</v>
      </c>
      <c r="AJ266" s="19">
        <f t="shared" si="161"/>
        <v>0</v>
      </c>
      <c r="AK266" s="19">
        <f t="shared" si="162"/>
        <v>0</v>
      </c>
      <c r="AL266" s="19">
        <f t="shared" si="163"/>
        <v>0</v>
      </c>
      <c r="AM266" s="19">
        <f t="shared" si="164"/>
        <v>0</v>
      </c>
      <c r="AN266" s="19">
        <f t="shared" si="165"/>
        <v>0</v>
      </c>
      <c r="AO266" s="19">
        <f t="shared" si="166"/>
        <v>0</v>
      </c>
      <c r="AP266" s="19">
        <f t="shared" si="167"/>
        <v>0</v>
      </c>
      <c r="AQ266" s="19">
        <f t="shared" si="168"/>
        <v>0</v>
      </c>
      <c r="AR266" s="19">
        <f t="shared" si="169"/>
        <v>0</v>
      </c>
      <c r="AS266" s="19">
        <f t="shared" si="170"/>
        <v>0</v>
      </c>
      <c r="AT266" s="19">
        <f t="shared" si="171"/>
        <v>0</v>
      </c>
      <c r="AU266" s="19">
        <f t="shared" si="172"/>
        <v>0</v>
      </c>
      <c r="AV266" s="19">
        <f t="shared" si="173"/>
        <v>0</v>
      </c>
      <c r="AW266" s="19">
        <f t="shared" si="174"/>
        <v>0</v>
      </c>
      <c r="AX266" s="18">
        <f>IFERROR(Z266/'Ar-Pa'!B266,0)</f>
        <v>0</v>
      </c>
      <c r="AY266" s="18">
        <f>IFERROR(AA266/'Ar-Pa'!C266,0)</f>
        <v>0</v>
      </c>
      <c r="AZ266" s="18">
        <f>IFERROR(AB266/'Ar-Pa'!D266,0)</f>
        <v>0</v>
      </c>
      <c r="BA266" s="18">
        <f>IFERROR(AC266/'Ar-Pa'!E266,0)</f>
        <v>0</v>
      </c>
      <c r="BB266" s="18">
        <f>IFERROR(AD266/'Ar-Pa'!F266,0)</f>
        <v>0</v>
      </c>
      <c r="BC266" s="18">
        <f>IFERROR(AE266/'Ar-Pa'!G266,0)</f>
        <v>0</v>
      </c>
      <c r="BD266" s="18">
        <f>IFERROR(AF266/'Ar-Pa'!H266,0)</f>
        <v>0</v>
      </c>
      <c r="BE266" s="18">
        <f>IFERROR(AG266/'Ar-Pa'!I266,0)</f>
        <v>0</v>
      </c>
      <c r="BF266" s="18">
        <f>IFERROR(AH266/'Ar-Pa'!J266,0)</f>
        <v>0</v>
      </c>
      <c r="BG266" s="18">
        <f>IFERROR(AI266/'Ar-Pa'!K266,0)</f>
        <v>0</v>
      </c>
      <c r="BH266" s="18">
        <f>IFERROR(AJ266/'Ar-Pa'!L266,0)</f>
        <v>0</v>
      </c>
      <c r="BI266" s="18">
        <f>IFERROR(AK266/'Ar-Pa'!M266,0)</f>
        <v>0</v>
      </c>
      <c r="BJ266" s="18">
        <f>IFERROR(AL266/'Ar-Pa'!N266,0)</f>
        <v>0</v>
      </c>
      <c r="BK266" s="18">
        <f>IFERROR(AM266/'Ar-Pa'!O266,0)</f>
        <v>0</v>
      </c>
      <c r="BL266" s="18">
        <f>IFERROR(AN266/'Ar-Pa'!P266,0)</f>
        <v>0</v>
      </c>
      <c r="BM266" s="18">
        <f>IFERROR(AO266/'Ar-Pa'!Q266,0)</f>
        <v>0</v>
      </c>
      <c r="BN266" s="18">
        <f>IFERROR(AP266/'Ar-Pa'!R266,0)</f>
        <v>0</v>
      </c>
      <c r="BO266" s="18">
        <f>IFERROR(AQ266/'Ar-Pa'!S266,0)</f>
        <v>0</v>
      </c>
      <c r="BP266" s="18">
        <f>IFERROR(AR266/'Ar-Pa'!T266,0)</f>
        <v>0</v>
      </c>
      <c r="BQ266" s="18">
        <f>IFERROR(AS266/'Ar-Pa'!U266,0)</f>
        <v>0</v>
      </c>
      <c r="BR266" s="18">
        <f>IFERROR(AT266/'Ar-Pa'!V266,0)</f>
        <v>0</v>
      </c>
      <c r="BS266" s="18">
        <f>IFERROR(AU266/'Ar-Pa'!W266,0)</f>
        <v>0</v>
      </c>
      <c r="BT266" s="18">
        <f>IFERROR(AV266/'Ar-Pa'!X266,0)</f>
        <v>0</v>
      </c>
      <c r="BU266" s="18">
        <f>IFERROR(AW266/'Ar-Pa'!Y266,0)</f>
        <v>0</v>
      </c>
    </row>
    <row r="267" spans="1:73">
      <c r="A267" s="15">
        <v>45192</v>
      </c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9">
        <f t="shared" si="151"/>
        <v>0</v>
      </c>
      <c r="AA267" s="19">
        <f t="shared" si="152"/>
        <v>0</v>
      </c>
      <c r="AB267" s="19">
        <f t="shared" si="153"/>
        <v>0</v>
      </c>
      <c r="AC267" s="19">
        <f t="shared" si="154"/>
        <v>0</v>
      </c>
      <c r="AD267" s="19">
        <f t="shared" si="155"/>
        <v>0</v>
      </c>
      <c r="AE267" s="19">
        <f t="shared" si="156"/>
        <v>0</v>
      </c>
      <c r="AF267" s="19">
        <f t="shared" si="157"/>
        <v>0</v>
      </c>
      <c r="AG267" s="19">
        <f t="shared" si="158"/>
        <v>0</v>
      </c>
      <c r="AH267" s="19">
        <f t="shared" si="159"/>
        <v>0</v>
      </c>
      <c r="AI267" s="19">
        <f t="shared" si="160"/>
        <v>0</v>
      </c>
      <c r="AJ267" s="19">
        <f t="shared" si="161"/>
        <v>0</v>
      </c>
      <c r="AK267" s="19">
        <f t="shared" si="162"/>
        <v>0</v>
      </c>
      <c r="AL267" s="19">
        <f t="shared" si="163"/>
        <v>0</v>
      </c>
      <c r="AM267" s="19">
        <f t="shared" si="164"/>
        <v>0</v>
      </c>
      <c r="AN267" s="19">
        <f t="shared" si="165"/>
        <v>0</v>
      </c>
      <c r="AO267" s="19">
        <f t="shared" si="166"/>
        <v>0</v>
      </c>
      <c r="AP267" s="19">
        <f t="shared" si="167"/>
        <v>0</v>
      </c>
      <c r="AQ267" s="19">
        <f t="shared" si="168"/>
        <v>0</v>
      </c>
      <c r="AR267" s="19">
        <f t="shared" si="169"/>
        <v>0</v>
      </c>
      <c r="AS267" s="19">
        <f t="shared" si="170"/>
        <v>0</v>
      </c>
      <c r="AT267" s="19">
        <f t="shared" si="171"/>
        <v>0</v>
      </c>
      <c r="AU267" s="19">
        <f t="shared" si="172"/>
        <v>0</v>
      </c>
      <c r="AV267" s="19">
        <f t="shared" si="173"/>
        <v>0</v>
      </c>
      <c r="AW267" s="19">
        <f t="shared" si="174"/>
        <v>0</v>
      </c>
      <c r="AX267" s="18">
        <f>IFERROR(Z267/'Ar-Pa'!B267,0)</f>
        <v>0</v>
      </c>
      <c r="AY267" s="18">
        <f>IFERROR(AA267/'Ar-Pa'!C267,0)</f>
        <v>0</v>
      </c>
      <c r="AZ267" s="18">
        <f>IFERROR(AB267/'Ar-Pa'!D267,0)</f>
        <v>0</v>
      </c>
      <c r="BA267" s="18">
        <f>IFERROR(AC267/'Ar-Pa'!E267,0)</f>
        <v>0</v>
      </c>
      <c r="BB267" s="18">
        <f>IFERROR(AD267/'Ar-Pa'!F267,0)</f>
        <v>0</v>
      </c>
      <c r="BC267" s="18">
        <f>IFERROR(AE267/'Ar-Pa'!G267,0)</f>
        <v>0</v>
      </c>
      <c r="BD267" s="18">
        <f>IFERROR(AF267/'Ar-Pa'!H267,0)</f>
        <v>0</v>
      </c>
      <c r="BE267" s="18">
        <f>IFERROR(AG267/'Ar-Pa'!I267,0)</f>
        <v>0</v>
      </c>
      <c r="BF267" s="18">
        <f>IFERROR(AH267/'Ar-Pa'!J267,0)</f>
        <v>0</v>
      </c>
      <c r="BG267" s="18">
        <f>IFERROR(AI267/'Ar-Pa'!K267,0)</f>
        <v>0</v>
      </c>
      <c r="BH267" s="18">
        <f>IFERROR(AJ267/'Ar-Pa'!L267,0)</f>
        <v>0</v>
      </c>
      <c r="BI267" s="18">
        <f>IFERROR(AK267/'Ar-Pa'!M267,0)</f>
        <v>0</v>
      </c>
      <c r="BJ267" s="18">
        <f>IFERROR(AL267/'Ar-Pa'!N267,0)</f>
        <v>0</v>
      </c>
      <c r="BK267" s="18">
        <f>IFERROR(AM267/'Ar-Pa'!O267,0)</f>
        <v>0</v>
      </c>
      <c r="BL267" s="18">
        <f>IFERROR(AN267/'Ar-Pa'!P267,0)</f>
        <v>0</v>
      </c>
      <c r="BM267" s="18">
        <f>IFERROR(AO267/'Ar-Pa'!Q267,0)</f>
        <v>0</v>
      </c>
      <c r="BN267" s="18">
        <f>IFERROR(AP267/'Ar-Pa'!R267,0)</f>
        <v>0</v>
      </c>
      <c r="BO267" s="18">
        <f>IFERROR(AQ267/'Ar-Pa'!S267,0)</f>
        <v>0</v>
      </c>
      <c r="BP267" s="18">
        <f>IFERROR(AR267/'Ar-Pa'!T267,0)</f>
        <v>0</v>
      </c>
      <c r="BQ267" s="18">
        <f>IFERROR(AS267/'Ar-Pa'!U267,0)</f>
        <v>0</v>
      </c>
      <c r="BR267" s="18">
        <f>IFERROR(AT267/'Ar-Pa'!V267,0)</f>
        <v>0</v>
      </c>
      <c r="BS267" s="18">
        <f>IFERROR(AU267/'Ar-Pa'!W267,0)</f>
        <v>0</v>
      </c>
      <c r="BT267" s="18">
        <f>IFERROR(AV267/'Ar-Pa'!X267,0)</f>
        <v>0</v>
      </c>
      <c r="BU267" s="18">
        <f>IFERROR(AW267/'Ar-Pa'!Y267,0)</f>
        <v>0</v>
      </c>
    </row>
    <row r="268" spans="1:73">
      <c r="A268" s="15">
        <v>45193</v>
      </c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9">
        <f t="shared" si="151"/>
        <v>0</v>
      </c>
      <c r="AA268" s="19">
        <f t="shared" si="152"/>
        <v>0</v>
      </c>
      <c r="AB268" s="19">
        <f t="shared" si="153"/>
        <v>0</v>
      </c>
      <c r="AC268" s="19">
        <f t="shared" si="154"/>
        <v>0</v>
      </c>
      <c r="AD268" s="19">
        <f t="shared" si="155"/>
        <v>0</v>
      </c>
      <c r="AE268" s="19">
        <f t="shared" si="156"/>
        <v>0</v>
      </c>
      <c r="AF268" s="19">
        <f t="shared" si="157"/>
        <v>0</v>
      </c>
      <c r="AG268" s="19">
        <f t="shared" si="158"/>
        <v>0</v>
      </c>
      <c r="AH268" s="19">
        <f t="shared" si="159"/>
        <v>0</v>
      </c>
      <c r="AI268" s="19">
        <f t="shared" si="160"/>
        <v>0</v>
      </c>
      <c r="AJ268" s="19">
        <f t="shared" si="161"/>
        <v>0</v>
      </c>
      <c r="AK268" s="19">
        <f t="shared" si="162"/>
        <v>0</v>
      </c>
      <c r="AL268" s="19">
        <f t="shared" si="163"/>
        <v>0</v>
      </c>
      <c r="AM268" s="19">
        <f t="shared" si="164"/>
        <v>0</v>
      </c>
      <c r="AN268" s="19">
        <f t="shared" si="165"/>
        <v>0</v>
      </c>
      <c r="AO268" s="19">
        <f t="shared" si="166"/>
        <v>0</v>
      </c>
      <c r="AP268" s="19">
        <f t="shared" si="167"/>
        <v>0</v>
      </c>
      <c r="AQ268" s="19">
        <f t="shared" si="168"/>
        <v>0</v>
      </c>
      <c r="AR268" s="19">
        <f t="shared" si="169"/>
        <v>0</v>
      </c>
      <c r="AS268" s="19">
        <f t="shared" si="170"/>
        <v>0</v>
      </c>
      <c r="AT268" s="19">
        <f t="shared" si="171"/>
        <v>0</v>
      </c>
      <c r="AU268" s="19">
        <f t="shared" si="172"/>
        <v>0</v>
      </c>
      <c r="AV268" s="19">
        <f t="shared" si="173"/>
        <v>0</v>
      </c>
      <c r="AW268" s="19">
        <f t="shared" si="174"/>
        <v>0</v>
      </c>
      <c r="AX268" s="18">
        <f>IFERROR(Z268/'Ar-Pa'!B268,0)</f>
        <v>0</v>
      </c>
      <c r="AY268" s="18">
        <f>IFERROR(AA268/'Ar-Pa'!C268,0)</f>
        <v>0</v>
      </c>
      <c r="AZ268" s="18">
        <f>IFERROR(AB268/'Ar-Pa'!D268,0)</f>
        <v>0</v>
      </c>
      <c r="BA268" s="18">
        <f>IFERROR(AC268/'Ar-Pa'!E268,0)</f>
        <v>0</v>
      </c>
      <c r="BB268" s="18">
        <f>IFERROR(AD268/'Ar-Pa'!F268,0)</f>
        <v>0</v>
      </c>
      <c r="BC268" s="18">
        <f>IFERROR(AE268/'Ar-Pa'!G268,0)</f>
        <v>0</v>
      </c>
      <c r="BD268" s="18">
        <f>IFERROR(AF268/'Ar-Pa'!H268,0)</f>
        <v>0</v>
      </c>
      <c r="BE268" s="18">
        <f>IFERROR(AG268/'Ar-Pa'!I268,0)</f>
        <v>0</v>
      </c>
      <c r="BF268" s="18">
        <f>IFERROR(AH268/'Ar-Pa'!J268,0)</f>
        <v>0</v>
      </c>
      <c r="BG268" s="18">
        <f>IFERROR(AI268/'Ar-Pa'!K268,0)</f>
        <v>0</v>
      </c>
      <c r="BH268" s="18">
        <f>IFERROR(AJ268/'Ar-Pa'!L268,0)</f>
        <v>0</v>
      </c>
      <c r="BI268" s="18">
        <f>IFERROR(AK268/'Ar-Pa'!M268,0)</f>
        <v>0</v>
      </c>
      <c r="BJ268" s="18">
        <f>IFERROR(AL268/'Ar-Pa'!N268,0)</f>
        <v>0</v>
      </c>
      <c r="BK268" s="18">
        <f>IFERROR(AM268/'Ar-Pa'!O268,0)</f>
        <v>0</v>
      </c>
      <c r="BL268" s="18">
        <f>IFERROR(AN268/'Ar-Pa'!P268,0)</f>
        <v>0</v>
      </c>
      <c r="BM268" s="18">
        <f>IFERROR(AO268/'Ar-Pa'!Q268,0)</f>
        <v>0</v>
      </c>
      <c r="BN268" s="18">
        <f>IFERROR(AP268/'Ar-Pa'!R268,0)</f>
        <v>0</v>
      </c>
      <c r="BO268" s="18">
        <f>IFERROR(AQ268/'Ar-Pa'!S268,0)</f>
        <v>0</v>
      </c>
      <c r="BP268" s="18">
        <f>IFERROR(AR268/'Ar-Pa'!T268,0)</f>
        <v>0</v>
      </c>
      <c r="BQ268" s="18">
        <f>IFERROR(AS268/'Ar-Pa'!U268,0)</f>
        <v>0</v>
      </c>
      <c r="BR268" s="18">
        <f>IFERROR(AT268/'Ar-Pa'!V268,0)</f>
        <v>0</v>
      </c>
      <c r="BS268" s="18">
        <f>IFERROR(AU268/'Ar-Pa'!W268,0)</f>
        <v>0</v>
      </c>
      <c r="BT268" s="18">
        <f>IFERROR(AV268/'Ar-Pa'!X268,0)</f>
        <v>0</v>
      </c>
      <c r="BU268" s="18">
        <f>IFERROR(AW268/'Ar-Pa'!Y268,0)</f>
        <v>0</v>
      </c>
    </row>
    <row r="269" spans="1:73">
      <c r="A269" s="15">
        <v>45194</v>
      </c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9">
        <f t="shared" si="151"/>
        <v>0</v>
      </c>
      <c r="AA269" s="19">
        <f t="shared" si="152"/>
        <v>0</v>
      </c>
      <c r="AB269" s="19">
        <f t="shared" si="153"/>
        <v>0</v>
      </c>
      <c r="AC269" s="19">
        <f t="shared" si="154"/>
        <v>0</v>
      </c>
      <c r="AD269" s="19">
        <f t="shared" si="155"/>
        <v>0</v>
      </c>
      <c r="AE269" s="19">
        <f t="shared" si="156"/>
        <v>0</v>
      </c>
      <c r="AF269" s="19">
        <f t="shared" si="157"/>
        <v>0</v>
      </c>
      <c r="AG269" s="19">
        <f t="shared" si="158"/>
        <v>0</v>
      </c>
      <c r="AH269" s="19">
        <f t="shared" si="159"/>
        <v>0</v>
      </c>
      <c r="AI269" s="19">
        <f t="shared" si="160"/>
        <v>0</v>
      </c>
      <c r="AJ269" s="19">
        <f t="shared" si="161"/>
        <v>0</v>
      </c>
      <c r="AK269" s="19">
        <f t="shared" si="162"/>
        <v>0</v>
      </c>
      <c r="AL269" s="19">
        <f t="shared" si="163"/>
        <v>0</v>
      </c>
      <c r="AM269" s="19">
        <f t="shared" si="164"/>
        <v>0</v>
      </c>
      <c r="AN269" s="19">
        <f t="shared" si="165"/>
        <v>0</v>
      </c>
      <c r="AO269" s="19">
        <f t="shared" si="166"/>
        <v>0</v>
      </c>
      <c r="AP269" s="19">
        <f t="shared" si="167"/>
        <v>0</v>
      </c>
      <c r="AQ269" s="19">
        <f t="shared" si="168"/>
        <v>0</v>
      </c>
      <c r="AR269" s="19">
        <f t="shared" si="169"/>
        <v>0</v>
      </c>
      <c r="AS269" s="19">
        <f t="shared" si="170"/>
        <v>0</v>
      </c>
      <c r="AT269" s="19">
        <f t="shared" si="171"/>
        <v>0</v>
      </c>
      <c r="AU269" s="19">
        <f t="shared" si="172"/>
        <v>0</v>
      </c>
      <c r="AV269" s="19">
        <f t="shared" si="173"/>
        <v>0</v>
      </c>
      <c r="AW269" s="19">
        <f t="shared" si="174"/>
        <v>0</v>
      </c>
      <c r="AX269" s="18">
        <f>IFERROR(Z269/'Ar-Pa'!B269,0)</f>
        <v>0</v>
      </c>
      <c r="AY269" s="18">
        <f>IFERROR(AA269/'Ar-Pa'!C269,0)</f>
        <v>0</v>
      </c>
      <c r="AZ269" s="18">
        <f>IFERROR(AB269/'Ar-Pa'!D269,0)</f>
        <v>0</v>
      </c>
      <c r="BA269" s="18">
        <f>IFERROR(AC269/'Ar-Pa'!E269,0)</f>
        <v>0</v>
      </c>
      <c r="BB269" s="18">
        <f>IFERROR(AD269/'Ar-Pa'!F269,0)</f>
        <v>0</v>
      </c>
      <c r="BC269" s="18">
        <f>IFERROR(AE269/'Ar-Pa'!G269,0)</f>
        <v>0</v>
      </c>
      <c r="BD269" s="18">
        <f>IFERROR(AF269/'Ar-Pa'!H269,0)</f>
        <v>0</v>
      </c>
      <c r="BE269" s="18">
        <f>IFERROR(AG269/'Ar-Pa'!I269,0)</f>
        <v>0</v>
      </c>
      <c r="BF269" s="18">
        <f>IFERROR(AH269/'Ar-Pa'!J269,0)</f>
        <v>0</v>
      </c>
      <c r="BG269" s="18">
        <f>IFERROR(AI269/'Ar-Pa'!K269,0)</f>
        <v>0</v>
      </c>
      <c r="BH269" s="18">
        <f>IFERROR(AJ269/'Ar-Pa'!L269,0)</f>
        <v>0</v>
      </c>
      <c r="BI269" s="18">
        <f>IFERROR(AK269/'Ar-Pa'!M269,0)</f>
        <v>0</v>
      </c>
      <c r="BJ269" s="18">
        <f>IFERROR(AL269/'Ar-Pa'!N269,0)</f>
        <v>0</v>
      </c>
      <c r="BK269" s="18">
        <f>IFERROR(AM269/'Ar-Pa'!O269,0)</f>
        <v>0</v>
      </c>
      <c r="BL269" s="18">
        <f>IFERROR(AN269/'Ar-Pa'!P269,0)</f>
        <v>0</v>
      </c>
      <c r="BM269" s="18">
        <f>IFERROR(AO269/'Ar-Pa'!Q269,0)</f>
        <v>0</v>
      </c>
      <c r="BN269" s="18">
        <f>IFERROR(AP269/'Ar-Pa'!R269,0)</f>
        <v>0</v>
      </c>
      <c r="BO269" s="18">
        <f>IFERROR(AQ269/'Ar-Pa'!S269,0)</f>
        <v>0</v>
      </c>
      <c r="BP269" s="18">
        <f>IFERROR(AR269/'Ar-Pa'!T269,0)</f>
        <v>0</v>
      </c>
      <c r="BQ269" s="18">
        <f>IFERROR(AS269/'Ar-Pa'!U269,0)</f>
        <v>0</v>
      </c>
      <c r="BR269" s="18">
        <f>IFERROR(AT269/'Ar-Pa'!V269,0)</f>
        <v>0</v>
      </c>
      <c r="BS269" s="18">
        <f>IFERROR(AU269/'Ar-Pa'!W269,0)</f>
        <v>0</v>
      </c>
      <c r="BT269" s="18">
        <f>IFERROR(AV269/'Ar-Pa'!X269,0)</f>
        <v>0</v>
      </c>
      <c r="BU269" s="18">
        <f>IFERROR(AW269/'Ar-Pa'!Y269,0)</f>
        <v>0</v>
      </c>
    </row>
    <row r="270" spans="1:73">
      <c r="A270" s="15">
        <v>45195</v>
      </c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9">
        <f t="shared" si="151"/>
        <v>0</v>
      </c>
      <c r="AA270" s="19">
        <f t="shared" si="152"/>
        <v>0</v>
      </c>
      <c r="AB270" s="19">
        <f t="shared" si="153"/>
        <v>0</v>
      </c>
      <c r="AC270" s="19">
        <f t="shared" si="154"/>
        <v>0</v>
      </c>
      <c r="AD270" s="19">
        <f t="shared" si="155"/>
        <v>0</v>
      </c>
      <c r="AE270" s="19">
        <f t="shared" si="156"/>
        <v>0</v>
      </c>
      <c r="AF270" s="19">
        <f t="shared" si="157"/>
        <v>0</v>
      </c>
      <c r="AG270" s="19">
        <f t="shared" si="158"/>
        <v>0</v>
      </c>
      <c r="AH270" s="19">
        <f t="shared" si="159"/>
        <v>0</v>
      </c>
      <c r="AI270" s="19">
        <f t="shared" si="160"/>
        <v>0</v>
      </c>
      <c r="AJ270" s="19">
        <f t="shared" si="161"/>
        <v>0</v>
      </c>
      <c r="AK270" s="19">
        <f t="shared" si="162"/>
        <v>0</v>
      </c>
      <c r="AL270" s="19">
        <f t="shared" si="163"/>
        <v>0</v>
      </c>
      <c r="AM270" s="19">
        <f t="shared" si="164"/>
        <v>0</v>
      </c>
      <c r="AN270" s="19">
        <f t="shared" si="165"/>
        <v>0</v>
      </c>
      <c r="AO270" s="19">
        <f t="shared" si="166"/>
        <v>0</v>
      </c>
      <c r="AP270" s="19">
        <f t="shared" si="167"/>
        <v>0</v>
      </c>
      <c r="AQ270" s="19">
        <f t="shared" si="168"/>
        <v>0</v>
      </c>
      <c r="AR270" s="19">
        <f t="shared" si="169"/>
        <v>0</v>
      </c>
      <c r="AS270" s="19">
        <f t="shared" si="170"/>
        <v>0</v>
      </c>
      <c r="AT270" s="19">
        <f t="shared" si="171"/>
        <v>0</v>
      </c>
      <c r="AU270" s="19">
        <f t="shared" si="172"/>
        <v>0</v>
      </c>
      <c r="AV270" s="19">
        <f t="shared" si="173"/>
        <v>0</v>
      </c>
      <c r="AW270" s="19">
        <f t="shared" si="174"/>
        <v>0</v>
      </c>
      <c r="AX270" s="18">
        <f>IFERROR(Z270/'Ar-Pa'!B270,0)</f>
        <v>0</v>
      </c>
      <c r="AY270" s="18">
        <f>IFERROR(AA270/'Ar-Pa'!C270,0)</f>
        <v>0</v>
      </c>
      <c r="AZ270" s="18">
        <f>IFERROR(AB270/'Ar-Pa'!D270,0)</f>
        <v>0</v>
      </c>
      <c r="BA270" s="18">
        <f>IFERROR(AC270/'Ar-Pa'!E270,0)</f>
        <v>0</v>
      </c>
      <c r="BB270" s="18">
        <f>IFERROR(AD270/'Ar-Pa'!F270,0)</f>
        <v>0</v>
      </c>
      <c r="BC270" s="18">
        <f>IFERROR(AE270/'Ar-Pa'!G270,0)</f>
        <v>0</v>
      </c>
      <c r="BD270" s="18">
        <f>IFERROR(AF270/'Ar-Pa'!H270,0)</f>
        <v>0</v>
      </c>
      <c r="BE270" s="18">
        <f>IFERROR(AG270/'Ar-Pa'!I270,0)</f>
        <v>0</v>
      </c>
      <c r="BF270" s="18">
        <f>IFERROR(AH270/'Ar-Pa'!J270,0)</f>
        <v>0</v>
      </c>
      <c r="BG270" s="18">
        <f>IFERROR(AI270/'Ar-Pa'!K270,0)</f>
        <v>0</v>
      </c>
      <c r="BH270" s="18">
        <f>IFERROR(AJ270/'Ar-Pa'!L270,0)</f>
        <v>0</v>
      </c>
      <c r="BI270" s="18">
        <f>IFERROR(AK270/'Ar-Pa'!M270,0)</f>
        <v>0</v>
      </c>
      <c r="BJ270" s="18">
        <f>IFERROR(AL270/'Ar-Pa'!N270,0)</f>
        <v>0</v>
      </c>
      <c r="BK270" s="18">
        <f>IFERROR(AM270/'Ar-Pa'!O270,0)</f>
        <v>0</v>
      </c>
      <c r="BL270" s="18">
        <f>IFERROR(AN270/'Ar-Pa'!P270,0)</f>
        <v>0</v>
      </c>
      <c r="BM270" s="18">
        <f>IFERROR(AO270/'Ar-Pa'!Q270,0)</f>
        <v>0</v>
      </c>
      <c r="BN270" s="18">
        <f>IFERROR(AP270/'Ar-Pa'!R270,0)</f>
        <v>0</v>
      </c>
      <c r="BO270" s="18">
        <f>IFERROR(AQ270/'Ar-Pa'!S270,0)</f>
        <v>0</v>
      </c>
      <c r="BP270" s="18">
        <f>IFERROR(AR270/'Ar-Pa'!T270,0)</f>
        <v>0</v>
      </c>
      <c r="BQ270" s="18">
        <f>IFERROR(AS270/'Ar-Pa'!U270,0)</f>
        <v>0</v>
      </c>
      <c r="BR270" s="18">
        <f>IFERROR(AT270/'Ar-Pa'!V270,0)</f>
        <v>0</v>
      </c>
      <c r="BS270" s="18">
        <f>IFERROR(AU270/'Ar-Pa'!W270,0)</f>
        <v>0</v>
      </c>
      <c r="BT270" s="18">
        <f>IFERROR(AV270/'Ar-Pa'!X270,0)</f>
        <v>0</v>
      </c>
      <c r="BU270" s="18">
        <f>IFERROR(AW270/'Ar-Pa'!Y270,0)</f>
        <v>0</v>
      </c>
    </row>
    <row r="271" spans="1:73">
      <c r="A271" s="15">
        <v>45196</v>
      </c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9">
        <f t="shared" si="151"/>
        <v>0</v>
      </c>
      <c r="AA271" s="19">
        <f t="shared" si="152"/>
        <v>0</v>
      </c>
      <c r="AB271" s="19">
        <f t="shared" si="153"/>
        <v>0</v>
      </c>
      <c r="AC271" s="19">
        <f t="shared" si="154"/>
        <v>0</v>
      </c>
      <c r="AD271" s="19">
        <f t="shared" si="155"/>
        <v>0</v>
      </c>
      <c r="AE271" s="19">
        <f t="shared" si="156"/>
        <v>0</v>
      </c>
      <c r="AF271" s="19">
        <f t="shared" si="157"/>
        <v>0</v>
      </c>
      <c r="AG271" s="19">
        <f t="shared" si="158"/>
        <v>0</v>
      </c>
      <c r="AH271" s="19">
        <f t="shared" si="159"/>
        <v>0</v>
      </c>
      <c r="AI271" s="19">
        <f t="shared" si="160"/>
        <v>0</v>
      </c>
      <c r="AJ271" s="19">
        <f t="shared" si="161"/>
        <v>0</v>
      </c>
      <c r="AK271" s="19">
        <f t="shared" si="162"/>
        <v>0</v>
      </c>
      <c r="AL271" s="19">
        <f t="shared" si="163"/>
        <v>0</v>
      </c>
      <c r="AM271" s="19">
        <f t="shared" si="164"/>
        <v>0</v>
      </c>
      <c r="AN271" s="19">
        <f t="shared" si="165"/>
        <v>0</v>
      </c>
      <c r="AO271" s="19">
        <f t="shared" si="166"/>
        <v>0</v>
      </c>
      <c r="AP271" s="19">
        <f t="shared" si="167"/>
        <v>0</v>
      </c>
      <c r="AQ271" s="19">
        <f t="shared" si="168"/>
        <v>0</v>
      </c>
      <c r="AR271" s="19">
        <f t="shared" si="169"/>
        <v>0</v>
      </c>
      <c r="AS271" s="19">
        <f t="shared" si="170"/>
        <v>0</v>
      </c>
      <c r="AT271" s="19">
        <f t="shared" si="171"/>
        <v>0</v>
      </c>
      <c r="AU271" s="19">
        <f t="shared" si="172"/>
        <v>0</v>
      </c>
      <c r="AV271" s="19">
        <f t="shared" si="173"/>
        <v>0</v>
      </c>
      <c r="AW271" s="19">
        <f t="shared" si="174"/>
        <v>0</v>
      </c>
      <c r="AX271" s="18">
        <f>IFERROR(Z271/'Ar-Pa'!B271,0)</f>
        <v>0</v>
      </c>
      <c r="AY271" s="18">
        <f>IFERROR(AA271/'Ar-Pa'!C271,0)</f>
        <v>0</v>
      </c>
      <c r="AZ271" s="18">
        <f>IFERROR(AB271/'Ar-Pa'!D271,0)</f>
        <v>0</v>
      </c>
      <c r="BA271" s="18">
        <f>IFERROR(AC271/'Ar-Pa'!E271,0)</f>
        <v>0</v>
      </c>
      <c r="BB271" s="18">
        <f>IFERROR(AD271/'Ar-Pa'!F271,0)</f>
        <v>0</v>
      </c>
      <c r="BC271" s="18">
        <f>IFERROR(AE271/'Ar-Pa'!G271,0)</f>
        <v>0</v>
      </c>
      <c r="BD271" s="18">
        <f>IFERROR(AF271/'Ar-Pa'!H271,0)</f>
        <v>0</v>
      </c>
      <c r="BE271" s="18">
        <f>IFERROR(AG271/'Ar-Pa'!I271,0)</f>
        <v>0</v>
      </c>
      <c r="BF271" s="18">
        <f>IFERROR(AH271/'Ar-Pa'!J271,0)</f>
        <v>0</v>
      </c>
      <c r="BG271" s="18">
        <f>IFERROR(AI271/'Ar-Pa'!K271,0)</f>
        <v>0</v>
      </c>
      <c r="BH271" s="18">
        <f>IFERROR(AJ271/'Ar-Pa'!L271,0)</f>
        <v>0</v>
      </c>
      <c r="BI271" s="18">
        <f>IFERROR(AK271/'Ar-Pa'!M271,0)</f>
        <v>0</v>
      </c>
      <c r="BJ271" s="18">
        <f>IFERROR(AL271/'Ar-Pa'!N271,0)</f>
        <v>0</v>
      </c>
      <c r="BK271" s="18">
        <f>IFERROR(AM271/'Ar-Pa'!O271,0)</f>
        <v>0</v>
      </c>
      <c r="BL271" s="18">
        <f>IFERROR(AN271/'Ar-Pa'!P271,0)</f>
        <v>0</v>
      </c>
      <c r="BM271" s="18">
        <f>IFERROR(AO271/'Ar-Pa'!Q271,0)</f>
        <v>0</v>
      </c>
      <c r="BN271" s="18">
        <f>IFERROR(AP271/'Ar-Pa'!R271,0)</f>
        <v>0</v>
      </c>
      <c r="BO271" s="18">
        <f>IFERROR(AQ271/'Ar-Pa'!S271,0)</f>
        <v>0</v>
      </c>
      <c r="BP271" s="18">
        <f>IFERROR(AR271/'Ar-Pa'!T271,0)</f>
        <v>0</v>
      </c>
      <c r="BQ271" s="18">
        <f>IFERROR(AS271/'Ar-Pa'!U271,0)</f>
        <v>0</v>
      </c>
      <c r="BR271" s="18">
        <f>IFERROR(AT271/'Ar-Pa'!V271,0)</f>
        <v>0</v>
      </c>
      <c r="BS271" s="18">
        <f>IFERROR(AU271/'Ar-Pa'!W271,0)</f>
        <v>0</v>
      </c>
      <c r="BT271" s="18">
        <f>IFERROR(AV271/'Ar-Pa'!X271,0)</f>
        <v>0</v>
      </c>
      <c r="BU271" s="18">
        <f>IFERROR(AW271/'Ar-Pa'!Y271,0)</f>
        <v>0</v>
      </c>
    </row>
    <row r="272" spans="1:73">
      <c r="A272" s="15">
        <v>45197</v>
      </c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9">
        <f t="shared" si="151"/>
        <v>0</v>
      </c>
      <c r="AA272" s="19">
        <f t="shared" si="152"/>
        <v>0</v>
      </c>
      <c r="AB272" s="19">
        <f t="shared" si="153"/>
        <v>0</v>
      </c>
      <c r="AC272" s="19">
        <f t="shared" si="154"/>
        <v>0</v>
      </c>
      <c r="AD272" s="19">
        <f t="shared" si="155"/>
        <v>0</v>
      </c>
      <c r="AE272" s="19">
        <f t="shared" si="156"/>
        <v>0</v>
      </c>
      <c r="AF272" s="19">
        <f t="shared" si="157"/>
        <v>0</v>
      </c>
      <c r="AG272" s="19">
        <f t="shared" si="158"/>
        <v>0</v>
      </c>
      <c r="AH272" s="19">
        <f t="shared" si="159"/>
        <v>0</v>
      </c>
      <c r="AI272" s="19">
        <f t="shared" si="160"/>
        <v>0</v>
      </c>
      <c r="AJ272" s="19">
        <f t="shared" si="161"/>
        <v>0</v>
      </c>
      <c r="AK272" s="19">
        <f t="shared" si="162"/>
        <v>0</v>
      </c>
      <c r="AL272" s="19">
        <f t="shared" si="163"/>
        <v>0</v>
      </c>
      <c r="AM272" s="19">
        <f t="shared" si="164"/>
        <v>0</v>
      </c>
      <c r="AN272" s="19">
        <f t="shared" si="165"/>
        <v>0</v>
      </c>
      <c r="AO272" s="19">
        <f t="shared" si="166"/>
        <v>0</v>
      </c>
      <c r="AP272" s="19">
        <f t="shared" si="167"/>
        <v>0</v>
      </c>
      <c r="AQ272" s="19">
        <f t="shared" si="168"/>
        <v>0</v>
      </c>
      <c r="AR272" s="19">
        <f t="shared" si="169"/>
        <v>0</v>
      </c>
      <c r="AS272" s="19">
        <f t="shared" si="170"/>
        <v>0</v>
      </c>
      <c r="AT272" s="19">
        <f t="shared" si="171"/>
        <v>0</v>
      </c>
      <c r="AU272" s="19">
        <f t="shared" si="172"/>
        <v>0</v>
      </c>
      <c r="AV272" s="19">
        <f t="shared" si="173"/>
        <v>0</v>
      </c>
      <c r="AW272" s="19">
        <f t="shared" si="174"/>
        <v>0</v>
      </c>
      <c r="AX272" s="18">
        <f>IFERROR(Z272/'Ar-Pa'!B272,0)</f>
        <v>0</v>
      </c>
      <c r="AY272" s="18">
        <f>IFERROR(AA272/'Ar-Pa'!C272,0)</f>
        <v>0</v>
      </c>
      <c r="AZ272" s="18">
        <f>IFERROR(AB272/'Ar-Pa'!D272,0)</f>
        <v>0</v>
      </c>
      <c r="BA272" s="18">
        <f>IFERROR(AC272/'Ar-Pa'!E272,0)</f>
        <v>0</v>
      </c>
      <c r="BB272" s="18">
        <f>IFERROR(AD272/'Ar-Pa'!F272,0)</f>
        <v>0</v>
      </c>
      <c r="BC272" s="18">
        <f>IFERROR(AE272/'Ar-Pa'!G272,0)</f>
        <v>0</v>
      </c>
      <c r="BD272" s="18">
        <f>IFERROR(AF272/'Ar-Pa'!H272,0)</f>
        <v>0</v>
      </c>
      <c r="BE272" s="18">
        <f>IFERROR(AG272/'Ar-Pa'!I272,0)</f>
        <v>0</v>
      </c>
      <c r="BF272" s="18">
        <f>IFERROR(AH272/'Ar-Pa'!J272,0)</f>
        <v>0</v>
      </c>
      <c r="BG272" s="18">
        <f>IFERROR(AI272/'Ar-Pa'!K272,0)</f>
        <v>0</v>
      </c>
      <c r="BH272" s="18">
        <f>IFERROR(AJ272/'Ar-Pa'!L272,0)</f>
        <v>0</v>
      </c>
      <c r="BI272" s="18">
        <f>IFERROR(AK272/'Ar-Pa'!M272,0)</f>
        <v>0</v>
      </c>
      <c r="BJ272" s="18">
        <f>IFERROR(AL272/'Ar-Pa'!N272,0)</f>
        <v>0</v>
      </c>
      <c r="BK272" s="18">
        <f>IFERROR(AM272/'Ar-Pa'!O272,0)</f>
        <v>0</v>
      </c>
      <c r="BL272" s="18">
        <f>IFERROR(AN272/'Ar-Pa'!P272,0)</f>
        <v>0</v>
      </c>
      <c r="BM272" s="18">
        <f>IFERROR(AO272/'Ar-Pa'!Q272,0)</f>
        <v>0</v>
      </c>
      <c r="BN272" s="18">
        <f>IFERROR(AP272/'Ar-Pa'!R272,0)</f>
        <v>0</v>
      </c>
      <c r="BO272" s="18">
        <f>IFERROR(AQ272/'Ar-Pa'!S272,0)</f>
        <v>0</v>
      </c>
      <c r="BP272" s="18">
        <f>IFERROR(AR272/'Ar-Pa'!T272,0)</f>
        <v>0</v>
      </c>
      <c r="BQ272" s="18">
        <f>IFERROR(AS272/'Ar-Pa'!U272,0)</f>
        <v>0</v>
      </c>
      <c r="BR272" s="18">
        <f>IFERROR(AT272/'Ar-Pa'!V272,0)</f>
        <v>0</v>
      </c>
      <c r="BS272" s="18">
        <f>IFERROR(AU272/'Ar-Pa'!W272,0)</f>
        <v>0</v>
      </c>
      <c r="BT272" s="18">
        <f>IFERROR(AV272/'Ar-Pa'!X272,0)</f>
        <v>0</v>
      </c>
      <c r="BU272" s="18">
        <f>IFERROR(AW272/'Ar-Pa'!Y272,0)</f>
        <v>0</v>
      </c>
    </row>
    <row r="273" spans="1:73">
      <c r="A273" s="15">
        <v>45198</v>
      </c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9">
        <f t="shared" si="151"/>
        <v>0</v>
      </c>
      <c r="AA273" s="19">
        <f t="shared" si="152"/>
        <v>0</v>
      </c>
      <c r="AB273" s="19">
        <f t="shared" si="153"/>
        <v>0</v>
      </c>
      <c r="AC273" s="19">
        <f t="shared" si="154"/>
        <v>0</v>
      </c>
      <c r="AD273" s="19">
        <f t="shared" si="155"/>
        <v>0</v>
      </c>
      <c r="AE273" s="19">
        <f t="shared" si="156"/>
        <v>0</v>
      </c>
      <c r="AF273" s="19">
        <f t="shared" si="157"/>
        <v>0</v>
      </c>
      <c r="AG273" s="19">
        <f t="shared" si="158"/>
        <v>0</v>
      </c>
      <c r="AH273" s="19">
        <f t="shared" si="159"/>
        <v>0</v>
      </c>
      <c r="AI273" s="19">
        <f t="shared" si="160"/>
        <v>0</v>
      </c>
      <c r="AJ273" s="19">
        <f t="shared" si="161"/>
        <v>0</v>
      </c>
      <c r="AK273" s="19">
        <f t="shared" si="162"/>
        <v>0</v>
      </c>
      <c r="AL273" s="19">
        <f t="shared" si="163"/>
        <v>0</v>
      </c>
      <c r="AM273" s="19">
        <f t="shared" si="164"/>
        <v>0</v>
      </c>
      <c r="AN273" s="19">
        <f t="shared" si="165"/>
        <v>0</v>
      </c>
      <c r="AO273" s="19">
        <f t="shared" si="166"/>
        <v>0</v>
      </c>
      <c r="AP273" s="19">
        <f t="shared" si="167"/>
        <v>0</v>
      </c>
      <c r="AQ273" s="19">
        <f t="shared" si="168"/>
        <v>0</v>
      </c>
      <c r="AR273" s="19">
        <f t="shared" si="169"/>
        <v>0</v>
      </c>
      <c r="AS273" s="19">
        <f t="shared" si="170"/>
        <v>0</v>
      </c>
      <c r="AT273" s="19">
        <f t="shared" si="171"/>
        <v>0</v>
      </c>
      <c r="AU273" s="19">
        <f t="shared" si="172"/>
        <v>0</v>
      </c>
      <c r="AV273" s="19">
        <f t="shared" si="173"/>
        <v>0</v>
      </c>
      <c r="AW273" s="19">
        <f t="shared" si="174"/>
        <v>0</v>
      </c>
      <c r="AX273" s="18">
        <f>IFERROR(Z273/'Ar-Pa'!B273,0)</f>
        <v>0</v>
      </c>
      <c r="AY273" s="18">
        <f>IFERROR(AA273/'Ar-Pa'!C273,0)</f>
        <v>0</v>
      </c>
      <c r="AZ273" s="18">
        <f>IFERROR(AB273/'Ar-Pa'!D273,0)</f>
        <v>0</v>
      </c>
      <c r="BA273" s="18">
        <f>IFERROR(AC273/'Ar-Pa'!E273,0)</f>
        <v>0</v>
      </c>
      <c r="BB273" s="18">
        <f>IFERROR(AD273/'Ar-Pa'!F273,0)</f>
        <v>0</v>
      </c>
      <c r="BC273" s="18">
        <f>IFERROR(AE273/'Ar-Pa'!G273,0)</f>
        <v>0</v>
      </c>
      <c r="BD273" s="18">
        <f>IFERROR(AF273/'Ar-Pa'!H273,0)</f>
        <v>0</v>
      </c>
      <c r="BE273" s="18">
        <f>IFERROR(AG273/'Ar-Pa'!I273,0)</f>
        <v>0</v>
      </c>
      <c r="BF273" s="18">
        <f>IFERROR(AH273/'Ar-Pa'!J273,0)</f>
        <v>0</v>
      </c>
      <c r="BG273" s="18">
        <f>IFERROR(AI273/'Ar-Pa'!K273,0)</f>
        <v>0</v>
      </c>
      <c r="BH273" s="18">
        <f>IFERROR(AJ273/'Ar-Pa'!L273,0)</f>
        <v>0</v>
      </c>
      <c r="BI273" s="18">
        <f>IFERROR(AK273/'Ar-Pa'!M273,0)</f>
        <v>0</v>
      </c>
      <c r="BJ273" s="18">
        <f>IFERROR(AL273/'Ar-Pa'!N273,0)</f>
        <v>0</v>
      </c>
      <c r="BK273" s="18">
        <f>IFERROR(AM273/'Ar-Pa'!O273,0)</f>
        <v>0</v>
      </c>
      <c r="BL273" s="18">
        <f>IFERROR(AN273/'Ar-Pa'!P273,0)</f>
        <v>0</v>
      </c>
      <c r="BM273" s="18">
        <f>IFERROR(AO273/'Ar-Pa'!Q273,0)</f>
        <v>0</v>
      </c>
      <c r="BN273" s="18">
        <f>IFERROR(AP273/'Ar-Pa'!R273,0)</f>
        <v>0</v>
      </c>
      <c r="BO273" s="18">
        <f>IFERROR(AQ273/'Ar-Pa'!S273,0)</f>
        <v>0</v>
      </c>
      <c r="BP273" s="18">
        <f>IFERROR(AR273/'Ar-Pa'!T273,0)</f>
        <v>0</v>
      </c>
      <c r="BQ273" s="18">
        <f>IFERROR(AS273/'Ar-Pa'!U273,0)</f>
        <v>0</v>
      </c>
      <c r="BR273" s="18">
        <f>IFERROR(AT273/'Ar-Pa'!V273,0)</f>
        <v>0</v>
      </c>
      <c r="BS273" s="18">
        <f>IFERROR(AU273/'Ar-Pa'!W273,0)</f>
        <v>0</v>
      </c>
      <c r="BT273" s="18">
        <f>IFERROR(AV273/'Ar-Pa'!X273,0)</f>
        <v>0</v>
      </c>
      <c r="BU273" s="18">
        <f>IFERROR(AW273/'Ar-Pa'!Y273,0)</f>
        <v>0</v>
      </c>
    </row>
    <row r="274" spans="1:73">
      <c r="A274" s="15">
        <v>45199</v>
      </c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9">
        <f t="shared" si="151"/>
        <v>0</v>
      </c>
      <c r="AA274" s="19">
        <f t="shared" si="152"/>
        <v>0</v>
      </c>
      <c r="AB274" s="19">
        <f t="shared" si="153"/>
        <v>0</v>
      </c>
      <c r="AC274" s="19">
        <f t="shared" si="154"/>
        <v>0</v>
      </c>
      <c r="AD274" s="19">
        <f t="shared" si="155"/>
        <v>0</v>
      </c>
      <c r="AE274" s="19">
        <f t="shared" si="156"/>
        <v>0</v>
      </c>
      <c r="AF274" s="19">
        <f t="shared" si="157"/>
        <v>0</v>
      </c>
      <c r="AG274" s="19">
        <f t="shared" si="158"/>
        <v>0</v>
      </c>
      <c r="AH274" s="19">
        <f t="shared" si="159"/>
        <v>0</v>
      </c>
      <c r="AI274" s="19">
        <f t="shared" si="160"/>
        <v>0</v>
      </c>
      <c r="AJ274" s="19">
        <f t="shared" si="161"/>
        <v>0</v>
      </c>
      <c r="AK274" s="19">
        <f t="shared" si="162"/>
        <v>0</v>
      </c>
      <c r="AL274" s="19">
        <f t="shared" si="163"/>
        <v>0</v>
      </c>
      <c r="AM274" s="19">
        <f t="shared" si="164"/>
        <v>0</v>
      </c>
      <c r="AN274" s="19">
        <f t="shared" si="165"/>
        <v>0</v>
      </c>
      <c r="AO274" s="19">
        <f t="shared" si="166"/>
        <v>0</v>
      </c>
      <c r="AP274" s="19">
        <f t="shared" si="167"/>
        <v>0</v>
      </c>
      <c r="AQ274" s="19">
        <f t="shared" si="168"/>
        <v>0</v>
      </c>
      <c r="AR274" s="19">
        <f t="shared" si="169"/>
        <v>0</v>
      </c>
      <c r="AS274" s="19">
        <f t="shared" si="170"/>
        <v>0</v>
      </c>
      <c r="AT274" s="19">
        <f t="shared" si="171"/>
        <v>0</v>
      </c>
      <c r="AU274" s="19">
        <f t="shared" si="172"/>
        <v>0</v>
      </c>
      <c r="AV274" s="19">
        <f t="shared" si="173"/>
        <v>0</v>
      </c>
      <c r="AW274" s="19">
        <f t="shared" si="174"/>
        <v>0</v>
      </c>
      <c r="AX274" s="18">
        <f>IFERROR(Z274/'Ar-Pa'!B274,0)</f>
        <v>0</v>
      </c>
      <c r="AY274" s="18">
        <f>IFERROR(AA274/'Ar-Pa'!C274,0)</f>
        <v>0</v>
      </c>
      <c r="AZ274" s="18">
        <f>IFERROR(AB274/'Ar-Pa'!D274,0)</f>
        <v>0</v>
      </c>
      <c r="BA274" s="18">
        <f>IFERROR(AC274/'Ar-Pa'!E274,0)</f>
        <v>0</v>
      </c>
      <c r="BB274" s="18">
        <f>IFERROR(AD274/'Ar-Pa'!F274,0)</f>
        <v>0</v>
      </c>
      <c r="BC274" s="18">
        <f>IFERROR(AE274/'Ar-Pa'!G274,0)</f>
        <v>0</v>
      </c>
      <c r="BD274" s="18">
        <f>IFERROR(AF274/'Ar-Pa'!H274,0)</f>
        <v>0</v>
      </c>
      <c r="BE274" s="18">
        <f>IFERROR(AG274/'Ar-Pa'!I274,0)</f>
        <v>0</v>
      </c>
      <c r="BF274" s="18">
        <f>IFERROR(AH274/'Ar-Pa'!J274,0)</f>
        <v>0</v>
      </c>
      <c r="BG274" s="18">
        <f>IFERROR(AI274/'Ar-Pa'!K274,0)</f>
        <v>0</v>
      </c>
      <c r="BH274" s="18">
        <f>IFERROR(AJ274/'Ar-Pa'!L274,0)</f>
        <v>0</v>
      </c>
      <c r="BI274" s="18">
        <f>IFERROR(AK274/'Ar-Pa'!M274,0)</f>
        <v>0</v>
      </c>
      <c r="BJ274" s="18">
        <f>IFERROR(AL274/'Ar-Pa'!N274,0)</f>
        <v>0</v>
      </c>
      <c r="BK274" s="18">
        <f>IFERROR(AM274/'Ar-Pa'!O274,0)</f>
        <v>0</v>
      </c>
      <c r="BL274" s="18">
        <f>IFERROR(AN274/'Ar-Pa'!P274,0)</f>
        <v>0</v>
      </c>
      <c r="BM274" s="18">
        <f>IFERROR(AO274/'Ar-Pa'!Q274,0)</f>
        <v>0</v>
      </c>
      <c r="BN274" s="18">
        <f>IFERROR(AP274/'Ar-Pa'!R274,0)</f>
        <v>0</v>
      </c>
      <c r="BO274" s="18">
        <f>IFERROR(AQ274/'Ar-Pa'!S274,0)</f>
        <v>0</v>
      </c>
      <c r="BP274" s="18">
        <f>IFERROR(AR274/'Ar-Pa'!T274,0)</f>
        <v>0</v>
      </c>
      <c r="BQ274" s="18">
        <f>IFERROR(AS274/'Ar-Pa'!U274,0)</f>
        <v>0</v>
      </c>
      <c r="BR274" s="18">
        <f>IFERROR(AT274/'Ar-Pa'!V274,0)</f>
        <v>0</v>
      </c>
      <c r="BS274" s="18">
        <f>IFERROR(AU274/'Ar-Pa'!W274,0)</f>
        <v>0</v>
      </c>
      <c r="BT274" s="18">
        <f>IFERROR(AV274/'Ar-Pa'!X274,0)</f>
        <v>0</v>
      </c>
      <c r="BU274" s="18">
        <f>IFERROR(AW274/'Ar-Pa'!Y274,0)</f>
        <v>0</v>
      </c>
    </row>
    <row r="275" spans="1:73">
      <c r="A275" s="15">
        <v>45200</v>
      </c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9">
        <f t="shared" si="151"/>
        <v>0</v>
      </c>
      <c r="AA275" s="19">
        <f t="shared" si="152"/>
        <v>0</v>
      </c>
      <c r="AB275" s="19">
        <f t="shared" si="153"/>
        <v>0</v>
      </c>
      <c r="AC275" s="19">
        <f t="shared" si="154"/>
        <v>0</v>
      </c>
      <c r="AD275" s="19">
        <f t="shared" si="155"/>
        <v>0</v>
      </c>
      <c r="AE275" s="19">
        <f t="shared" si="156"/>
        <v>0</v>
      </c>
      <c r="AF275" s="19">
        <f t="shared" si="157"/>
        <v>0</v>
      </c>
      <c r="AG275" s="19">
        <f t="shared" si="158"/>
        <v>0</v>
      </c>
      <c r="AH275" s="19">
        <f t="shared" si="159"/>
        <v>0</v>
      </c>
      <c r="AI275" s="19">
        <f t="shared" si="160"/>
        <v>0</v>
      </c>
      <c r="AJ275" s="19">
        <f t="shared" si="161"/>
        <v>0</v>
      </c>
      <c r="AK275" s="19">
        <f t="shared" si="162"/>
        <v>0</v>
      </c>
      <c r="AL275" s="19">
        <f t="shared" si="163"/>
        <v>0</v>
      </c>
      <c r="AM275" s="19">
        <f t="shared" si="164"/>
        <v>0</v>
      </c>
      <c r="AN275" s="19">
        <f t="shared" si="165"/>
        <v>0</v>
      </c>
      <c r="AO275" s="19">
        <f t="shared" si="166"/>
        <v>0</v>
      </c>
      <c r="AP275" s="19">
        <f t="shared" si="167"/>
        <v>0</v>
      </c>
      <c r="AQ275" s="19">
        <f t="shared" si="168"/>
        <v>0</v>
      </c>
      <c r="AR275" s="19">
        <f t="shared" si="169"/>
        <v>0</v>
      </c>
      <c r="AS275" s="19">
        <f t="shared" si="170"/>
        <v>0</v>
      </c>
      <c r="AT275" s="19">
        <f t="shared" si="171"/>
        <v>0</v>
      </c>
      <c r="AU275" s="19">
        <f t="shared" si="172"/>
        <v>0</v>
      </c>
      <c r="AV275" s="19">
        <f t="shared" si="173"/>
        <v>0</v>
      </c>
      <c r="AW275" s="19">
        <f t="shared" si="174"/>
        <v>0</v>
      </c>
      <c r="AX275" s="18">
        <f>IFERROR(Z275/'Ar-Pa'!B275,0)</f>
        <v>0</v>
      </c>
      <c r="AY275" s="18">
        <f>IFERROR(AA275/'Ar-Pa'!C275,0)</f>
        <v>0</v>
      </c>
      <c r="AZ275" s="18">
        <f>IFERROR(AB275/'Ar-Pa'!D275,0)</f>
        <v>0</v>
      </c>
      <c r="BA275" s="18">
        <f>IFERROR(AC275/'Ar-Pa'!E275,0)</f>
        <v>0</v>
      </c>
      <c r="BB275" s="18">
        <f>IFERROR(AD275/'Ar-Pa'!F275,0)</f>
        <v>0</v>
      </c>
      <c r="BC275" s="18">
        <f>IFERROR(AE275/'Ar-Pa'!G275,0)</f>
        <v>0</v>
      </c>
      <c r="BD275" s="18">
        <f>IFERROR(AF275/'Ar-Pa'!H275,0)</f>
        <v>0</v>
      </c>
      <c r="BE275" s="18">
        <f>IFERROR(AG275/'Ar-Pa'!I275,0)</f>
        <v>0</v>
      </c>
      <c r="BF275" s="18">
        <f>IFERROR(AH275/'Ar-Pa'!J275,0)</f>
        <v>0</v>
      </c>
      <c r="BG275" s="18">
        <f>IFERROR(AI275/'Ar-Pa'!K275,0)</f>
        <v>0</v>
      </c>
      <c r="BH275" s="18">
        <f>IFERROR(AJ275/'Ar-Pa'!L275,0)</f>
        <v>0</v>
      </c>
      <c r="BI275" s="18">
        <f>IFERROR(AK275/'Ar-Pa'!M275,0)</f>
        <v>0</v>
      </c>
      <c r="BJ275" s="18">
        <f>IFERROR(AL275/'Ar-Pa'!N275,0)</f>
        <v>0</v>
      </c>
      <c r="BK275" s="18">
        <f>IFERROR(AM275/'Ar-Pa'!O275,0)</f>
        <v>0</v>
      </c>
      <c r="BL275" s="18">
        <f>IFERROR(AN275/'Ar-Pa'!P275,0)</f>
        <v>0</v>
      </c>
      <c r="BM275" s="18">
        <f>IFERROR(AO275/'Ar-Pa'!Q275,0)</f>
        <v>0</v>
      </c>
      <c r="BN275" s="18">
        <f>IFERROR(AP275/'Ar-Pa'!R275,0)</f>
        <v>0</v>
      </c>
      <c r="BO275" s="18">
        <f>IFERROR(AQ275/'Ar-Pa'!S275,0)</f>
        <v>0</v>
      </c>
      <c r="BP275" s="18">
        <f>IFERROR(AR275/'Ar-Pa'!T275,0)</f>
        <v>0</v>
      </c>
      <c r="BQ275" s="18">
        <f>IFERROR(AS275/'Ar-Pa'!U275,0)</f>
        <v>0</v>
      </c>
      <c r="BR275" s="18">
        <f>IFERROR(AT275/'Ar-Pa'!V275,0)</f>
        <v>0</v>
      </c>
      <c r="BS275" s="18">
        <f>IFERROR(AU275/'Ar-Pa'!W275,0)</f>
        <v>0</v>
      </c>
      <c r="BT275" s="18">
        <f>IFERROR(AV275/'Ar-Pa'!X275,0)</f>
        <v>0</v>
      </c>
      <c r="BU275" s="18">
        <f>IFERROR(AW275/'Ar-Pa'!Y275,0)</f>
        <v>0</v>
      </c>
    </row>
    <row r="276" spans="1:73">
      <c r="A276" s="15">
        <v>45201</v>
      </c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9">
        <f t="shared" ref="Z276:Z306" si="175">+CONVERT(B276,"m^3","gal")</f>
        <v>0</v>
      </c>
      <c r="AA276" s="19">
        <f t="shared" ref="AA276:AA306" si="176">+CONVERT(C276,"m^3","gal")</f>
        <v>0</v>
      </c>
      <c r="AB276" s="19">
        <f t="shared" ref="AB276:AB306" si="177">+CONVERT(D276,"m^3","gal")</f>
        <v>0</v>
      </c>
      <c r="AC276" s="19">
        <f t="shared" ref="AC276:AC306" si="178">+CONVERT(E276,"m^3","gal")</f>
        <v>0</v>
      </c>
      <c r="AD276" s="19">
        <f t="shared" ref="AD276:AD306" si="179">+CONVERT(F276,"m^3","gal")</f>
        <v>0</v>
      </c>
      <c r="AE276" s="19">
        <f t="shared" ref="AE276:AE306" si="180">+CONVERT(G276,"m^3","gal")</f>
        <v>0</v>
      </c>
      <c r="AF276" s="19">
        <f t="shared" ref="AF276:AF306" si="181">+CONVERT(H276,"m^3","gal")</f>
        <v>0</v>
      </c>
      <c r="AG276" s="19">
        <f t="shared" ref="AG276:AG306" si="182">+CONVERT(I276,"m^3","gal")</f>
        <v>0</v>
      </c>
      <c r="AH276" s="19">
        <f t="shared" ref="AH276:AH306" si="183">+CONVERT(J276,"m^3","gal")</f>
        <v>0</v>
      </c>
      <c r="AI276" s="19">
        <f t="shared" ref="AI276:AI306" si="184">+CONVERT(K276,"m^3","gal")</f>
        <v>0</v>
      </c>
      <c r="AJ276" s="19">
        <f t="shared" ref="AJ276:AJ306" si="185">+CONVERT(L276,"m^3","gal")</f>
        <v>0</v>
      </c>
      <c r="AK276" s="19">
        <f t="shared" ref="AK276:AK306" si="186">+CONVERT(M276,"m^3","gal")</f>
        <v>0</v>
      </c>
      <c r="AL276" s="19">
        <f t="shared" ref="AL276:AL306" si="187">+CONVERT(N276,"m^3","gal")</f>
        <v>0</v>
      </c>
      <c r="AM276" s="19">
        <f t="shared" ref="AM276:AM306" si="188">+CONVERT(O276,"m^3","gal")</f>
        <v>0</v>
      </c>
      <c r="AN276" s="19">
        <f t="shared" ref="AN276:AN306" si="189">+CONVERT(P276,"m^3","gal")</f>
        <v>0</v>
      </c>
      <c r="AO276" s="19">
        <f t="shared" ref="AO276:AO306" si="190">+CONVERT(Q276,"m^3","gal")</f>
        <v>0</v>
      </c>
      <c r="AP276" s="19">
        <f t="shared" ref="AP276:AP306" si="191">+CONVERT(R276,"m^3","gal")</f>
        <v>0</v>
      </c>
      <c r="AQ276" s="19">
        <f t="shared" ref="AQ276:AQ306" si="192">+CONVERT(S276,"m^3","gal")</f>
        <v>0</v>
      </c>
      <c r="AR276" s="19">
        <f t="shared" ref="AR276:AR306" si="193">+CONVERT(T276,"m^3","gal")</f>
        <v>0</v>
      </c>
      <c r="AS276" s="19">
        <f t="shared" ref="AS276:AS306" si="194">+CONVERT(U276,"m^3","gal")</f>
        <v>0</v>
      </c>
      <c r="AT276" s="19">
        <f t="shared" ref="AT276:AT306" si="195">+CONVERT(V276,"m^3","gal")</f>
        <v>0</v>
      </c>
      <c r="AU276" s="19">
        <f t="shared" ref="AU276:AU306" si="196">+CONVERT(W276,"m^3","gal")</f>
        <v>0</v>
      </c>
      <c r="AV276" s="19">
        <f t="shared" ref="AV276:AV306" si="197">+CONVERT(X276,"m^3","gal")</f>
        <v>0</v>
      </c>
      <c r="AW276" s="19">
        <f t="shared" ref="AW276:AW306" si="198">+CONVERT(Y276,"m^3","gal")</f>
        <v>0</v>
      </c>
      <c r="AX276" s="18">
        <f>IFERROR(Z276/'Ar-Pa'!B276,0)</f>
        <v>0</v>
      </c>
      <c r="AY276" s="18">
        <f>IFERROR(AA276/'Ar-Pa'!C276,0)</f>
        <v>0</v>
      </c>
      <c r="AZ276" s="18">
        <f>IFERROR(AB276/'Ar-Pa'!D276,0)</f>
        <v>0</v>
      </c>
      <c r="BA276" s="18">
        <f>IFERROR(AC276/'Ar-Pa'!E276,0)</f>
        <v>0</v>
      </c>
      <c r="BB276" s="18">
        <f>IFERROR(AD276/'Ar-Pa'!F276,0)</f>
        <v>0</v>
      </c>
      <c r="BC276" s="18">
        <f>IFERROR(AE276/'Ar-Pa'!G276,0)</f>
        <v>0</v>
      </c>
      <c r="BD276" s="18">
        <f>IFERROR(AF276/'Ar-Pa'!H276,0)</f>
        <v>0</v>
      </c>
      <c r="BE276" s="18">
        <f>IFERROR(AG276/'Ar-Pa'!I276,0)</f>
        <v>0</v>
      </c>
      <c r="BF276" s="18">
        <f>IFERROR(AH276/'Ar-Pa'!J276,0)</f>
        <v>0</v>
      </c>
      <c r="BG276" s="18">
        <f>IFERROR(AI276/'Ar-Pa'!K276,0)</f>
        <v>0</v>
      </c>
      <c r="BH276" s="18">
        <f>IFERROR(AJ276/'Ar-Pa'!L276,0)</f>
        <v>0</v>
      </c>
      <c r="BI276" s="18">
        <f>IFERROR(AK276/'Ar-Pa'!M276,0)</f>
        <v>0</v>
      </c>
      <c r="BJ276" s="18">
        <f>IFERROR(AL276/'Ar-Pa'!N276,0)</f>
        <v>0</v>
      </c>
      <c r="BK276" s="18">
        <f>IFERROR(AM276/'Ar-Pa'!O276,0)</f>
        <v>0</v>
      </c>
      <c r="BL276" s="18">
        <f>IFERROR(AN276/'Ar-Pa'!P276,0)</f>
        <v>0</v>
      </c>
      <c r="BM276" s="18">
        <f>IFERROR(AO276/'Ar-Pa'!Q276,0)</f>
        <v>0</v>
      </c>
      <c r="BN276" s="18">
        <f>IFERROR(AP276/'Ar-Pa'!R276,0)</f>
        <v>0</v>
      </c>
      <c r="BO276" s="18">
        <f>IFERROR(AQ276/'Ar-Pa'!S276,0)</f>
        <v>0</v>
      </c>
      <c r="BP276" s="18">
        <f>IFERROR(AR276/'Ar-Pa'!T276,0)</f>
        <v>0</v>
      </c>
      <c r="BQ276" s="18">
        <f>IFERROR(AS276/'Ar-Pa'!U276,0)</f>
        <v>0</v>
      </c>
      <c r="BR276" s="18">
        <f>IFERROR(AT276/'Ar-Pa'!V276,0)</f>
        <v>0</v>
      </c>
      <c r="BS276" s="18">
        <f>IFERROR(AU276/'Ar-Pa'!W276,0)</f>
        <v>0</v>
      </c>
      <c r="BT276" s="18">
        <f>IFERROR(AV276/'Ar-Pa'!X276,0)</f>
        <v>0</v>
      </c>
      <c r="BU276" s="18">
        <f>IFERROR(AW276/'Ar-Pa'!Y276,0)</f>
        <v>0</v>
      </c>
    </row>
    <row r="277" spans="1:73">
      <c r="A277" s="15">
        <v>45202</v>
      </c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9">
        <f t="shared" si="175"/>
        <v>0</v>
      </c>
      <c r="AA277" s="19">
        <f t="shared" si="176"/>
        <v>0</v>
      </c>
      <c r="AB277" s="19">
        <f t="shared" si="177"/>
        <v>0</v>
      </c>
      <c r="AC277" s="19">
        <f t="shared" si="178"/>
        <v>0</v>
      </c>
      <c r="AD277" s="19">
        <f t="shared" si="179"/>
        <v>0</v>
      </c>
      <c r="AE277" s="19">
        <f t="shared" si="180"/>
        <v>0</v>
      </c>
      <c r="AF277" s="19">
        <f t="shared" si="181"/>
        <v>0</v>
      </c>
      <c r="AG277" s="19">
        <f t="shared" si="182"/>
        <v>0</v>
      </c>
      <c r="AH277" s="19">
        <f t="shared" si="183"/>
        <v>0</v>
      </c>
      <c r="AI277" s="19">
        <f t="shared" si="184"/>
        <v>0</v>
      </c>
      <c r="AJ277" s="19">
        <f t="shared" si="185"/>
        <v>0</v>
      </c>
      <c r="AK277" s="19">
        <f t="shared" si="186"/>
        <v>0</v>
      </c>
      <c r="AL277" s="19">
        <f t="shared" si="187"/>
        <v>0</v>
      </c>
      <c r="AM277" s="19">
        <f t="shared" si="188"/>
        <v>0</v>
      </c>
      <c r="AN277" s="19">
        <f t="shared" si="189"/>
        <v>0</v>
      </c>
      <c r="AO277" s="19">
        <f t="shared" si="190"/>
        <v>0</v>
      </c>
      <c r="AP277" s="19">
        <f t="shared" si="191"/>
        <v>0</v>
      </c>
      <c r="AQ277" s="19">
        <f t="shared" si="192"/>
        <v>0</v>
      </c>
      <c r="AR277" s="19">
        <f t="shared" si="193"/>
        <v>0</v>
      </c>
      <c r="AS277" s="19">
        <f t="shared" si="194"/>
        <v>0</v>
      </c>
      <c r="AT277" s="19">
        <f t="shared" si="195"/>
        <v>0</v>
      </c>
      <c r="AU277" s="19">
        <f t="shared" si="196"/>
        <v>0</v>
      </c>
      <c r="AV277" s="19">
        <f t="shared" si="197"/>
        <v>0</v>
      </c>
      <c r="AW277" s="19">
        <f t="shared" si="198"/>
        <v>0</v>
      </c>
      <c r="AX277" s="18">
        <f>IFERROR(Z277/'Ar-Pa'!B277,0)</f>
        <v>0</v>
      </c>
      <c r="AY277" s="18">
        <f>IFERROR(AA277/'Ar-Pa'!C277,0)</f>
        <v>0</v>
      </c>
      <c r="AZ277" s="18">
        <f>IFERROR(AB277/'Ar-Pa'!D277,0)</f>
        <v>0</v>
      </c>
      <c r="BA277" s="18">
        <f>IFERROR(AC277/'Ar-Pa'!E277,0)</f>
        <v>0</v>
      </c>
      <c r="BB277" s="18">
        <f>IFERROR(AD277/'Ar-Pa'!F277,0)</f>
        <v>0</v>
      </c>
      <c r="BC277" s="18">
        <f>IFERROR(AE277/'Ar-Pa'!G277,0)</f>
        <v>0</v>
      </c>
      <c r="BD277" s="18">
        <f>IFERROR(AF277/'Ar-Pa'!H277,0)</f>
        <v>0</v>
      </c>
      <c r="BE277" s="18">
        <f>IFERROR(AG277/'Ar-Pa'!I277,0)</f>
        <v>0</v>
      </c>
      <c r="BF277" s="18">
        <f>IFERROR(AH277/'Ar-Pa'!J277,0)</f>
        <v>0</v>
      </c>
      <c r="BG277" s="18">
        <f>IFERROR(AI277/'Ar-Pa'!K277,0)</f>
        <v>0</v>
      </c>
      <c r="BH277" s="18">
        <f>IFERROR(AJ277/'Ar-Pa'!L277,0)</f>
        <v>0</v>
      </c>
      <c r="BI277" s="18">
        <f>IFERROR(AK277/'Ar-Pa'!M277,0)</f>
        <v>0</v>
      </c>
      <c r="BJ277" s="18">
        <f>IFERROR(AL277/'Ar-Pa'!N277,0)</f>
        <v>0</v>
      </c>
      <c r="BK277" s="18">
        <f>IFERROR(AM277/'Ar-Pa'!O277,0)</f>
        <v>0</v>
      </c>
      <c r="BL277" s="18">
        <f>IFERROR(AN277/'Ar-Pa'!P277,0)</f>
        <v>0</v>
      </c>
      <c r="BM277" s="18">
        <f>IFERROR(AO277/'Ar-Pa'!Q277,0)</f>
        <v>0</v>
      </c>
      <c r="BN277" s="18">
        <f>IFERROR(AP277/'Ar-Pa'!R277,0)</f>
        <v>0</v>
      </c>
      <c r="BO277" s="18">
        <f>IFERROR(AQ277/'Ar-Pa'!S277,0)</f>
        <v>0</v>
      </c>
      <c r="BP277" s="18">
        <f>IFERROR(AR277/'Ar-Pa'!T277,0)</f>
        <v>0</v>
      </c>
      <c r="BQ277" s="18">
        <f>IFERROR(AS277/'Ar-Pa'!U277,0)</f>
        <v>0</v>
      </c>
      <c r="BR277" s="18">
        <f>IFERROR(AT277/'Ar-Pa'!V277,0)</f>
        <v>0</v>
      </c>
      <c r="BS277" s="18">
        <f>IFERROR(AU277/'Ar-Pa'!W277,0)</f>
        <v>0</v>
      </c>
      <c r="BT277" s="18">
        <f>IFERROR(AV277/'Ar-Pa'!X277,0)</f>
        <v>0</v>
      </c>
      <c r="BU277" s="18">
        <f>IFERROR(AW277/'Ar-Pa'!Y277,0)</f>
        <v>0</v>
      </c>
    </row>
    <row r="278" spans="1:73">
      <c r="A278" s="15">
        <v>45203</v>
      </c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9">
        <f t="shared" si="175"/>
        <v>0</v>
      </c>
      <c r="AA278" s="19">
        <f t="shared" si="176"/>
        <v>0</v>
      </c>
      <c r="AB278" s="19">
        <f t="shared" si="177"/>
        <v>0</v>
      </c>
      <c r="AC278" s="19">
        <f t="shared" si="178"/>
        <v>0</v>
      </c>
      <c r="AD278" s="19">
        <f t="shared" si="179"/>
        <v>0</v>
      </c>
      <c r="AE278" s="19">
        <f t="shared" si="180"/>
        <v>0</v>
      </c>
      <c r="AF278" s="19">
        <f t="shared" si="181"/>
        <v>0</v>
      </c>
      <c r="AG278" s="19">
        <f t="shared" si="182"/>
        <v>0</v>
      </c>
      <c r="AH278" s="19">
        <f t="shared" si="183"/>
        <v>0</v>
      </c>
      <c r="AI278" s="19">
        <f t="shared" si="184"/>
        <v>0</v>
      </c>
      <c r="AJ278" s="19">
        <f t="shared" si="185"/>
        <v>0</v>
      </c>
      <c r="AK278" s="19">
        <f t="shared" si="186"/>
        <v>0</v>
      </c>
      <c r="AL278" s="19">
        <f t="shared" si="187"/>
        <v>0</v>
      </c>
      <c r="AM278" s="19">
        <f t="shared" si="188"/>
        <v>0</v>
      </c>
      <c r="AN278" s="19">
        <f t="shared" si="189"/>
        <v>0</v>
      </c>
      <c r="AO278" s="19">
        <f t="shared" si="190"/>
        <v>0</v>
      </c>
      <c r="AP278" s="19">
        <f t="shared" si="191"/>
        <v>0</v>
      </c>
      <c r="AQ278" s="19">
        <f t="shared" si="192"/>
        <v>0</v>
      </c>
      <c r="AR278" s="19">
        <f t="shared" si="193"/>
        <v>0</v>
      </c>
      <c r="AS278" s="19">
        <f t="shared" si="194"/>
        <v>0</v>
      </c>
      <c r="AT278" s="19">
        <f t="shared" si="195"/>
        <v>0</v>
      </c>
      <c r="AU278" s="19">
        <f t="shared" si="196"/>
        <v>0</v>
      </c>
      <c r="AV278" s="19">
        <f t="shared" si="197"/>
        <v>0</v>
      </c>
      <c r="AW278" s="19">
        <f t="shared" si="198"/>
        <v>0</v>
      </c>
      <c r="AX278" s="18">
        <f>IFERROR(Z278/'Ar-Pa'!B278,0)</f>
        <v>0</v>
      </c>
      <c r="AY278" s="18">
        <f>IFERROR(AA278/'Ar-Pa'!C278,0)</f>
        <v>0</v>
      </c>
      <c r="AZ278" s="18">
        <f>IFERROR(AB278/'Ar-Pa'!D278,0)</f>
        <v>0</v>
      </c>
      <c r="BA278" s="18">
        <f>IFERROR(AC278/'Ar-Pa'!E278,0)</f>
        <v>0</v>
      </c>
      <c r="BB278" s="18">
        <f>IFERROR(AD278/'Ar-Pa'!F278,0)</f>
        <v>0</v>
      </c>
      <c r="BC278" s="18">
        <f>IFERROR(AE278/'Ar-Pa'!G278,0)</f>
        <v>0</v>
      </c>
      <c r="BD278" s="18">
        <f>IFERROR(AF278/'Ar-Pa'!H278,0)</f>
        <v>0</v>
      </c>
      <c r="BE278" s="18">
        <f>IFERROR(AG278/'Ar-Pa'!I278,0)</f>
        <v>0</v>
      </c>
      <c r="BF278" s="18">
        <f>IFERROR(AH278/'Ar-Pa'!J278,0)</f>
        <v>0</v>
      </c>
      <c r="BG278" s="18">
        <f>IFERROR(AI278/'Ar-Pa'!K278,0)</f>
        <v>0</v>
      </c>
      <c r="BH278" s="18">
        <f>IFERROR(AJ278/'Ar-Pa'!L278,0)</f>
        <v>0</v>
      </c>
      <c r="BI278" s="18">
        <f>IFERROR(AK278/'Ar-Pa'!M278,0)</f>
        <v>0</v>
      </c>
      <c r="BJ278" s="18">
        <f>IFERROR(AL278/'Ar-Pa'!N278,0)</f>
        <v>0</v>
      </c>
      <c r="BK278" s="18">
        <f>IFERROR(AM278/'Ar-Pa'!O278,0)</f>
        <v>0</v>
      </c>
      <c r="BL278" s="18">
        <f>IFERROR(AN278/'Ar-Pa'!P278,0)</f>
        <v>0</v>
      </c>
      <c r="BM278" s="18">
        <f>IFERROR(AO278/'Ar-Pa'!Q278,0)</f>
        <v>0</v>
      </c>
      <c r="BN278" s="18">
        <f>IFERROR(AP278/'Ar-Pa'!R278,0)</f>
        <v>0</v>
      </c>
      <c r="BO278" s="18">
        <f>IFERROR(AQ278/'Ar-Pa'!S278,0)</f>
        <v>0</v>
      </c>
      <c r="BP278" s="18">
        <f>IFERROR(AR278/'Ar-Pa'!T278,0)</f>
        <v>0</v>
      </c>
      <c r="BQ278" s="18">
        <f>IFERROR(AS278/'Ar-Pa'!U278,0)</f>
        <v>0</v>
      </c>
      <c r="BR278" s="18">
        <f>IFERROR(AT278/'Ar-Pa'!V278,0)</f>
        <v>0</v>
      </c>
      <c r="BS278" s="18">
        <f>IFERROR(AU278/'Ar-Pa'!W278,0)</f>
        <v>0</v>
      </c>
      <c r="BT278" s="18">
        <f>IFERROR(AV278/'Ar-Pa'!X278,0)</f>
        <v>0</v>
      </c>
      <c r="BU278" s="18">
        <f>IFERROR(AW278/'Ar-Pa'!Y278,0)</f>
        <v>0</v>
      </c>
    </row>
    <row r="279" spans="1:73">
      <c r="A279" s="15">
        <v>45204</v>
      </c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9">
        <f t="shared" si="175"/>
        <v>0</v>
      </c>
      <c r="AA279" s="19">
        <f t="shared" si="176"/>
        <v>0</v>
      </c>
      <c r="AB279" s="19">
        <f t="shared" si="177"/>
        <v>0</v>
      </c>
      <c r="AC279" s="19">
        <f t="shared" si="178"/>
        <v>0</v>
      </c>
      <c r="AD279" s="19">
        <f t="shared" si="179"/>
        <v>0</v>
      </c>
      <c r="AE279" s="19">
        <f t="shared" si="180"/>
        <v>0</v>
      </c>
      <c r="AF279" s="19">
        <f t="shared" si="181"/>
        <v>0</v>
      </c>
      <c r="AG279" s="19">
        <f t="shared" si="182"/>
        <v>0</v>
      </c>
      <c r="AH279" s="19">
        <f t="shared" si="183"/>
        <v>0</v>
      </c>
      <c r="AI279" s="19">
        <f t="shared" si="184"/>
        <v>0</v>
      </c>
      <c r="AJ279" s="19">
        <f t="shared" si="185"/>
        <v>0</v>
      </c>
      <c r="AK279" s="19">
        <f t="shared" si="186"/>
        <v>0</v>
      </c>
      <c r="AL279" s="19">
        <f t="shared" si="187"/>
        <v>0</v>
      </c>
      <c r="AM279" s="19">
        <f t="shared" si="188"/>
        <v>0</v>
      </c>
      <c r="AN279" s="19">
        <f t="shared" si="189"/>
        <v>0</v>
      </c>
      <c r="AO279" s="19">
        <f t="shared" si="190"/>
        <v>0</v>
      </c>
      <c r="AP279" s="19">
        <f t="shared" si="191"/>
        <v>0</v>
      </c>
      <c r="AQ279" s="19">
        <f t="shared" si="192"/>
        <v>0</v>
      </c>
      <c r="AR279" s="19">
        <f t="shared" si="193"/>
        <v>0</v>
      </c>
      <c r="AS279" s="19">
        <f t="shared" si="194"/>
        <v>0</v>
      </c>
      <c r="AT279" s="19">
        <f t="shared" si="195"/>
        <v>0</v>
      </c>
      <c r="AU279" s="19">
        <f t="shared" si="196"/>
        <v>0</v>
      </c>
      <c r="AV279" s="19">
        <f t="shared" si="197"/>
        <v>0</v>
      </c>
      <c r="AW279" s="19">
        <f t="shared" si="198"/>
        <v>0</v>
      </c>
      <c r="AX279" s="18">
        <f>IFERROR(Z279/'Ar-Pa'!B279,0)</f>
        <v>0</v>
      </c>
      <c r="AY279" s="18">
        <f>IFERROR(AA279/'Ar-Pa'!C279,0)</f>
        <v>0</v>
      </c>
      <c r="AZ279" s="18">
        <f>IFERROR(AB279/'Ar-Pa'!D279,0)</f>
        <v>0</v>
      </c>
      <c r="BA279" s="18">
        <f>IFERROR(AC279/'Ar-Pa'!E279,0)</f>
        <v>0</v>
      </c>
      <c r="BB279" s="18">
        <f>IFERROR(AD279/'Ar-Pa'!F279,0)</f>
        <v>0</v>
      </c>
      <c r="BC279" s="18">
        <f>IFERROR(AE279/'Ar-Pa'!G279,0)</f>
        <v>0</v>
      </c>
      <c r="BD279" s="18">
        <f>IFERROR(AF279/'Ar-Pa'!H279,0)</f>
        <v>0</v>
      </c>
      <c r="BE279" s="18">
        <f>IFERROR(AG279/'Ar-Pa'!I279,0)</f>
        <v>0</v>
      </c>
      <c r="BF279" s="18">
        <f>IFERROR(AH279/'Ar-Pa'!J279,0)</f>
        <v>0</v>
      </c>
      <c r="BG279" s="18">
        <f>IFERROR(AI279/'Ar-Pa'!K279,0)</f>
        <v>0</v>
      </c>
      <c r="BH279" s="18">
        <f>IFERROR(AJ279/'Ar-Pa'!L279,0)</f>
        <v>0</v>
      </c>
      <c r="BI279" s="18">
        <f>IFERROR(AK279/'Ar-Pa'!M279,0)</f>
        <v>0</v>
      </c>
      <c r="BJ279" s="18">
        <f>IFERROR(AL279/'Ar-Pa'!N279,0)</f>
        <v>0</v>
      </c>
      <c r="BK279" s="18">
        <f>IFERROR(AM279/'Ar-Pa'!O279,0)</f>
        <v>0</v>
      </c>
      <c r="BL279" s="18">
        <f>IFERROR(AN279/'Ar-Pa'!P279,0)</f>
        <v>0</v>
      </c>
      <c r="BM279" s="18">
        <f>IFERROR(AO279/'Ar-Pa'!Q279,0)</f>
        <v>0</v>
      </c>
      <c r="BN279" s="18">
        <f>IFERROR(AP279/'Ar-Pa'!R279,0)</f>
        <v>0</v>
      </c>
      <c r="BO279" s="18">
        <f>IFERROR(AQ279/'Ar-Pa'!S279,0)</f>
        <v>0</v>
      </c>
      <c r="BP279" s="18">
        <f>IFERROR(AR279/'Ar-Pa'!T279,0)</f>
        <v>0</v>
      </c>
      <c r="BQ279" s="18">
        <f>IFERROR(AS279/'Ar-Pa'!U279,0)</f>
        <v>0</v>
      </c>
      <c r="BR279" s="18">
        <f>IFERROR(AT279/'Ar-Pa'!V279,0)</f>
        <v>0</v>
      </c>
      <c r="BS279" s="18">
        <f>IFERROR(AU279/'Ar-Pa'!W279,0)</f>
        <v>0</v>
      </c>
      <c r="BT279" s="18">
        <f>IFERROR(AV279/'Ar-Pa'!X279,0)</f>
        <v>0</v>
      </c>
      <c r="BU279" s="18">
        <f>IFERROR(AW279/'Ar-Pa'!Y279,0)</f>
        <v>0</v>
      </c>
    </row>
    <row r="280" spans="1:73">
      <c r="A280" s="15">
        <v>45205</v>
      </c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9">
        <f t="shared" si="175"/>
        <v>0</v>
      </c>
      <c r="AA280" s="19">
        <f t="shared" si="176"/>
        <v>0</v>
      </c>
      <c r="AB280" s="19">
        <f t="shared" si="177"/>
        <v>0</v>
      </c>
      <c r="AC280" s="19">
        <f t="shared" si="178"/>
        <v>0</v>
      </c>
      <c r="AD280" s="19">
        <f t="shared" si="179"/>
        <v>0</v>
      </c>
      <c r="AE280" s="19">
        <f t="shared" si="180"/>
        <v>0</v>
      </c>
      <c r="AF280" s="19">
        <f t="shared" si="181"/>
        <v>0</v>
      </c>
      <c r="AG280" s="19">
        <f t="shared" si="182"/>
        <v>0</v>
      </c>
      <c r="AH280" s="19">
        <f t="shared" si="183"/>
        <v>0</v>
      </c>
      <c r="AI280" s="19">
        <f t="shared" si="184"/>
        <v>0</v>
      </c>
      <c r="AJ280" s="19">
        <f t="shared" si="185"/>
        <v>0</v>
      </c>
      <c r="AK280" s="19">
        <f t="shared" si="186"/>
        <v>0</v>
      </c>
      <c r="AL280" s="19">
        <f t="shared" si="187"/>
        <v>0</v>
      </c>
      <c r="AM280" s="19">
        <f t="shared" si="188"/>
        <v>0</v>
      </c>
      <c r="AN280" s="19">
        <f t="shared" si="189"/>
        <v>0</v>
      </c>
      <c r="AO280" s="19">
        <f t="shared" si="190"/>
        <v>0</v>
      </c>
      <c r="AP280" s="19">
        <f t="shared" si="191"/>
        <v>0</v>
      </c>
      <c r="AQ280" s="19">
        <f t="shared" si="192"/>
        <v>0</v>
      </c>
      <c r="AR280" s="19">
        <f t="shared" si="193"/>
        <v>0</v>
      </c>
      <c r="AS280" s="19">
        <f t="shared" si="194"/>
        <v>0</v>
      </c>
      <c r="AT280" s="19">
        <f t="shared" si="195"/>
        <v>0</v>
      </c>
      <c r="AU280" s="19">
        <f t="shared" si="196"/>
        <v>0</v>
      </c>
      <c r="AV280" s="19">
        <f t="shared" si="197"/>
        <v>0</v>
      </c>
      <c r="AW280" s="19">
        <f t="shared" si="198"/>
        <v>0</v>
      </c>
      <c r="AX280" s="18">
        <f>IFERROR(Z280/'Ar-Pa'!B280,0)</f>
        <v>0</v>
      </c>
      <c r="AY280" s="18">
        <f>IFERROR(AA280/'Ar-Pa'!C280,0)</f>
        <v>0</v>
      </c>
      <c r="AZ280" s="18">
        <f>IFERROR(AB280/'Ar-Pa'!D280,0)</f>
        <v>0</v>
      </c>
      <c r="BA280" s="18">
        <f>IFERROR(AC280/'Ar-Pa'!E280,0)</f>
        <v>0</v>
      </c>
      <c r="BB280" s="18">
        <f>IFERROR(AD280/'Ar-Pa'!F280,0)</f>
        <v>0</v>
      </c>
      <c r="BC280" s="18">
        <f>IFERROR(AE280/'Ar-Pa'!G280,0)</f>
        <v>0</v>
      </c>
      <c r="BD280" s="18">
        <f>IFERROR(AF280/'Ar-Pa'!H280,0)</f>
        <v>0</v>
      </c>
      <c r="BE280" s="18">
        <f>IFERROR(AG280/'Ar-Pa'!I280,0)</f>
        <v>0</v>
      </c>
      <c r="BF280" s="18">
        <f>IFERROR(AH280/'Ar-Pa'!J280,0)</f>
        <v>0</v>
      </c>
      <c r="BG280" s="18">
        <f>IFERROR(AI280/'Ar-Pa'!K280,0)</f>
        <v>0</v>
      </c>
      <c r="BH280" s="18">
        <f>IFERROR(AJ280/'Ar-Pa'!L280,0)</f>
        <v>0</v>
      </c>
      <c r="BI280" s="18">
        <f>IFERROR(AK280/'Ar-Pa'!M280,0)</f>
        <v>0</v>
      </c>
      <c r="BJ280" s="18">
        <f>IFERROR(AL280/'Ar-Pa'!N280,0)</f>
        <v>0</v>
      </c>
      <c r="BK280" s="18">
        <f>IFERROR(AM280/'Ar-Pa'!O280,0)</f>
        <v>0</v>
      </c>
      <c r="BL280" s="18">
        <f>IFERROR(AN280/'Ar-Pa'!P280,0)</f>
        <v>0</v>
      </c>
      <c r="BM280" s="18">
        <f>IFERROR(AO280/'Ar-Pa'!Q280,0)</f>
        <v>0</v>
      </c>
      <c r="BN280" s="18">
        <f>IFERROR(AP280/'Ar-Pa'!R280,0)</f>
        <v>0</v>
      </c>
      <c r="BO280" s="18">
        <f>IFERROR(AQ280/'Ar-Pa'!S280,0)</f>
        <v>0</v>
      </c>
      <c r="BP280" s="18">
        <f>IFERROR(AR280/'Ar-Pa'!T280,0)</f>
        <v>0</v>
      </c>
      <c r="BQ280" s="18">
        <f>IFERROR(AS280/'Ar-Pa'!U280,0)</f>
        <v>0</v>
      </c>
      <c r="BR280" s="18">
        <f>IFERROR(AT280/'Ar-Pa'!V280,0)</f>
        <v>0</v>
      </c>
      <c r="BS280" s="18">
        <f>IFERROR(AU280/'Ar-Pa'!W280,0)</f>
        <v>0</v>
      </c>
      <c r="BT280" s="18">
        <f>IFERROR(AV280/'Ar-Pa'!X280,0)</f>
        <v>0</v>
      </c>
      <c r="BU280" s="18">
        <f>IFERROR(AW280/'Ar-Pa'!Y280,0)</f>
        <v>0</v>
      </c>
    </row>
    <row r="281" spans="1:73">
      <c r="A281" s="15">
        <v>45206</v>
      </c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9">
        <f t="shared" si="175"/>
        <v>0</v>
      </c>
      <c r="AA281" s="19">
        <f t="shared" si="176"/>
        <v>0</v>
      </c>
      <c r="AB281" s="19">
        <f t="shared" si="177"/>
        <v>0</v>
      </c>
      <c r="AC281" s="19">
        <f t="shared" si="178"/>
        <v>0</v>
      </c>
      <c r="AD281" s="19">
        <f t="shared" si="179"/>
        <v>0</v>
      </c>
      <c r="AE281" s="19">
        <f t="shared" si="180"/>
        <v>0</v>
      </c>
      <c r="AF281" s="19">
        <f t="shared" si="181"/>
        <v>0</v>
      </c>
      <c r="AG281" s="19">
        <f t="shared" si="182"/>
        <v>0</v>
      </c>
      <c r="AH281" s="19">
        <f t="shared" si="183"/>
        <v>0</v>
      </c>
      <c r="AI281" s="19">
        <f t="shared" si="184"/>
        <v>0</v>
      </c>
      <c r="AJ281" s="19">
        <f t="shared" si="185"/>
        <v>0</v>
      </c>
      <c r="AK281" s="19">
        <f t="shared" si="186"/>
        <v>0</v>
      </c>
      <c r="AL281" s="19">
        <f t="shared" si="187"/>
        <v>0</v>
      </c>
      <c r="AM281" s="19">
        <f t="shared" si="188"/>
        <v>0</v>
      </c>
      <c r="AN281" s="19">
        <f t="shared" si="189"/>
        <v>0</v>
      </c>
      <c r="AO281" s="19">
        <f t="shared" si="190"/>
        <v>0</v>
      </c>
      <c r="AP281" s="19">
        <f t="shared" si="191"/>
        <v>0</v>
      </c>
      <c r="AQ281" s="19">
        <f t="shared" si="192"/>
        <v>0</v>
      </c>
      <c r="AR281" s="19">
        <f t="shared" si="193"/>
        <v>0</v>
      </c>
      <c r="AS281" s="19">
        <f t="shared" si="194"/>
        <v>0</v>
      </c>
      <c r="AT281" s="19">
        <f t="shared" si="195"/>
        <v>0</v>
      </c>
      <c r="AU281" s="19">
        <f t="shared" si="196"/>
        <v>0</v>
      </c>
      <c r="AV281" s="19">
        <f t="shared" si="197"/>
        <v>0</v>
      </c>
      <c r="AW281" s="19">
        <f t="shared" si="198"/>
        <v>0</v>
      </c>
      <c r="AX281" s="18">
        <f>IFERROR(Z281/'Ar-Pa'!B281,0)</f>
        <v>0</v>
      </c>
      <c r="AY281" s="18">
        <f>IFERROR(AA281/'Ar-Pa'!C281,0)</f>
        <v>0</v>
      </c>
      <c r="AZ281" s="18">
        <f>IFERROR(AB281/'Ar-Pa'!D281,0)</f>
        <v>0</v>
      </c>
      <c r="BA281" s="18">
        <f>IFERROR(AC281/'Ar-Pa'!E281,0)</f>
        <v>0</v>
      </c>
      <c r="BB281" s="18">
        <f>IFERROR(AD281/'Ar-Pa'!F281,0)</f>
        <v>0</v>
      </c>
      <c r="BC281" s="18">
        <f>IFERROR(AE281/'Ar-Pa'!G281,0)</f>
        <v>0</v>
      </c>
      <c r="BD281" s="18">
        <f>IFERROR(AF281/'Ar-Pa'!H281,0)</f>
        <v>0</v>
      </c>
      <c r="BE281" s="18">
        <f>IFERROR(AG281/'Ar-Pa'!I281,0)</f>
        <v>0</v>
      </c>
      <c r="BF281" s="18">
        <f>IFERROR(AH281/'Ar-Pa'!J281,0)</f>
        <v>0</v>
      </c>
      <c r="BG281" s="18">
        <f>IFERROR(AI281/'Ar-Pa'!K281,0)</f>
        <v>0</v>
      </c>
      <c r="BH281" s="18">
        <f>IFERROR(AJ281/'Ar-Pa'!L281,0)</f>
        <v>0</v>
      </c>
      <c r="BI281" s="18">
        <f>IFERROR(AK281/'Ar-Pa'!M281,0)</f>
        <v>0</v>
      </c>
      <c r="BJ281" s="18">
        <f>IFERROR(AL281/'Ar-Pa'!N281,0)</f>
        <v>0</v>
      </c>
      <c r="BK281" s="18">
        <f>IFERROR(AM281/'Ar-Pa'!O281,0)</f>
        <v>0</v>
      </c>
      <c r="BL281" s="18">
        <f>IFERROR(AN281/'Ar-Pa'!P281,0)</f>
        <v>0</v>
      </c>
      <c r="BM281" s="18">
        <f>IFERROR(AO281/'Ar-Pa'!Q281,0)</f>
        <v>0</v>
      </c>
      <c r="BN281" s="18">
        <f>IFERROR(AP281/'Ar-Pa'!R281,0)</f>
        <v>0</v>
      </c>
      <c r="BO281" s="18">
        <f>IFERROR(AQ281/'Ar-Pa'!S281,0)</f>
        <v>0</v>
      </c>
      <c r="BP281" s="18">
        <f>IFERROR(AR281/'Ar-Pa'!T281,0)</f>
        <v>0</v>
      </c>
      <c r="BQ281" s="18">
        <f>IFERROR(AS281/'Ar-Pa'!U281,0)</f>
        <v>0</v>
      </c>
      <c r="BR281" s="18">
        <f>IFERROR(AT281/'Ar-Pa'!V281,0)</f>
        <v>0</v>
      </c>
      <c r="BS281" s="18">
        <f>IFERROR(AU281/'Ar-Pa'!W281,0)</f>
        <v>0</v>
      </c>
      <c r="BT281" s="18">
        <f>IFERROR(AV281/'Ar-Pa'!X281,0)</f>
        <v>0</v>
      </c>
      <c r="BU281" s="18">
        <f>IFERROR(AW281/'Ar-Pa'!Y281,0)</f>
        <v>0</v>
      </c>
    </row>
    <row r="282" spans="1:73">
      <c r="A282" s="15">
        <v>45207</v>
      </c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9">
        <f t="shared" si="175"/>
        <v>0</v>
      </c>
      <c r="AA282" s="19">
        <f t="shared" si="176"/>
        <v>0</v>
      </c>
      <c r="AB282" s="19">
        <f t="shared" si="177"/>
        <v>0</v>
      </c>
      <c r="AC282" s="19">
        <f t="shared" si="178"/>
        <v>0</v>
      </c>
      <c r="AD282" s="19">
        <f t="shared" si="179"/>
        <v>0</v>
      </c>
      <c r="AE282" s="19">
        <f t="shared" si="180"/>
        <v>0</v>
      </c>
      <c r="AF282" s="19">
        <f t="shared" si="181"/>
        <v>0</v>
      </c>
      <c r="AG282" s="19">
        <f t="shared" si="182"/>
        <v>0</v>
      </c>
      <c r="AH282" s="19">
        <f t="shared" si="183"/>
        <v>0</v>
      </c>
      <c r="AI282" s="19">
        <f t="shared" si="184"/>
        <v>0</v>
      </c>
      <c r="AJ282" s="19">
        <f t="shared" si="185"/>
        <v>0</v>
      </c>
      <c r="AK282" s="19">
        <f t="shared" si="186"/>
        <v>0</v>
      </c>
      <c r="AL282" s="19">
        <f t="shared" si="187"/>
        <v>0</v>
      </c>
      <c r="AM282" s="19">
        <f t="shared" si="188"/>
        <v>0</v>
      </c>
      <c r="AN282" s="19">
        <f t="shared" si="189"/>
        <v>0</v>
      </c>
      <c r="AO282" s="19">
        <f t="shared" si="190"/>
        <v>0</v>
      </c>
      <c r="AP282" s="19">
        <f t="shared" si="191"/>
        <v>0</v>
      </c>
      <c r="AQ282" s="19">
        <f t="shared" si="192"/>
        <v>0</v>
      </c>
      <c r="AR282" s="19">
        <f t="shared" si="193"/>
        <v>0</v>
      </c>
      <c r="AS282" s="19">
        <f t="shared" si="194"/>
        <v>0</v>
      </c>
      <c r="AT282" s="19">
        <f t="shared" si="195"/>
        <v>0</v>
      </c>
      <c r="AU282" s="19">
        <f t="shared" si="196"/>
        <v>0</v>
      </c>
      <c r="AV282" s="19">
        <f t="shared" si="197"/>
        <v>0</v>
      </c>
      <c r="AW282" s="19">
        <f t="shared" si="198"/>
        <v>0</v>
      </c>
      <c r="AX282" s="18">
        <f>IFERROR(Z282/'Ar-Pa'!B282,0)</f>
        <v>0</v>
      </c>
      <c r="AY282" s="18">
        <f>IFERROR(AA282/'Ar-Pa'!C282,0)</f>
        <v>0</v>
      </c>
      <c r="AZ282" s="18">
        <f>IFERROR(AB282/'Ar-Pa'!D282,0)</f>
        <v>0</v>
      </c>
      <c r="BA282" s="18">
        <f>IFERROR(AC282/'Ar-Pa'!E282,0)</f>
        <v>0</v>
      </c>
      <c r="BB282" s="18">
        <f>IFERROR(AD282/'Ar-Pa'!F282,0)</f>
        <v>0</v>
      </c>
      <c r="BC282" s="18">
        <f>IFERROR(AE282/'Ar-Pa'!G282,0)</f>
        <v>0</v>
      </c>
      <c r="BD282" s="18">
        <f>IFERROR(AF282/'Ar-Pa'!H282,0)</f>
        <v>0</v>
      </c>
      <c r="BE282" s="18">
        <f>IFERROR(AG282/'Ar-Pa'!I282,0)</f>
        <v>0</v>
      </c>
      <c r="BF282" s="18">
        <f>IFERROR(AH282/'Ar-Pa'!J282,0)</f>
        <v>0</v>
      </c>
      <c r="BG282" s="18">
        <f>IFERROR(AI282/'Ar-Pa'!K282,0)</f>
        <v>0</v>
      </c>
      <c r="BH282" s="18">
        <f>IFERROR(AJ282/'Ar-Pa'!L282,0)</f>
        <v>0</v>
      </c>
      <c r="BI282" s="18">
        <f>IFERROR(AK282/'Ar-Pa'!M282,0)</f>
        <v>0</v>
      </c>
      <c r="BJ282" s="18">
        <f>IFERROR(AL282/'Ar-Pa'!N282,0)</f>
        <v>0</v>
      </c>
      <c r="BK282" s="18">
        <f>IFERROR(AM282/'Ar-Pa'!O282,0)</f>
        <v>0</v>
      </c>
      <c r="BL282" s="18">
        <f>IFERROR(AN282/'Ar-Pa'!P282,0)</f>
        <v>0</v>
      </c>
      <c r="BM282" s="18">
        <f>IFERROR(AO282/'Ar-Pa'!Q282,0)</f>
        <v>0</v>
      </c>
      <c r="BN282" s="18">
        <f>IFERROR(AP282/'Ar-Pa'!R282,0)</f>
        <v>0</v>
      </c>
      <c r="BO282" s="18">
        <f>IFERROR(AQ282/'Ar-Pa'!S282,0)</f>
        <v>0</v>
      </c>
      <c r="BP282" s="18">
        <f>IFERROR(AR282/'Ar-Pa'!T282,0)</f>
        <v>0</v>
      </c>
      <c r="BQ282" s="18">
        <f>IFERROR(AS282/'Ar-Pa'!U282,0)</f>
        <v>0</v>
      </c>
      <c r="BR282" s="18">
        <f>IFERROR(AT282/'Ar-Pa'!V282,0)</f>
        <v>0</v>
      </c>
      <c r="BS282" s="18">
        <f>IFERROR(AU282/'Ar-Pa'!W282,0)</f>
        <v>0</v>
      </c>
      <c r="BT282" s="18">
        <f>IFERROR(AV282/'Ar-Pa'!X282,0)</f>
        <v>0</v>
      </c>
      <c r="BU282" s="18">
        <f>IFERROR(AW282/'Ar-Pa'!Y282,0)</f>
        <v>0</v>
      </c>
    </row>
    <row r="283" spans="1:73">
      <c r="A283" s="15">
        <v>45208</v>
      </c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9">
        <f t="shared" si="175"/>
        <v>0</v>
      </c>
      <c r="AA283" s="19">
        <f t="shared" si="176"/>
        <v>0</v>
      </c>
      <c r="AB283" s="19">
        <f t="shared" si="177"/>
        <v>0</v>
      </c>
      <c r="AC283" s="19">
        <f t="shared" si="178"/>
        <v>0</v>
      </c>
      <c r="AD283" s="19">
        <f t="shared" si="179"/>
        <v>0</v>
      </c>
      <c r="AE283" s="19">
        <f t="shared" si="180"/>
        <v>0</v>
      </c>
      <c r="AF283" s="19">
        <f t="shared" si="181"/>
        <v>0</v>
      </c>
      <c r="AG283" s="19">
        <f t="shared" si="182"/>
        <v>0</v>
      </c>
      <c r="AH283" s="19">
        <f t="shared" si="183"/>
        <v>0</v>
      </c>
      <c r="AI283" s="19">
        <f t="shared" si="184"/>
        <v>0</v>
      </c>
      <c r="AJ283" s="19">
        <f t="shared" si="185"/>
        <v>0</v>
      </c>
      <c r="AK283" s="19">
        <f t="shared" si="186"/>
        <v>0</v>
      </c>
      <c r="AL283" s="19">
        <f t="shared" si="187"/>
        <v>0</v>
      </c>
      <c r="AM283" s="19">
        <f t="shared" si="188"/>
        <v>0</v>
      </c>
      <c r="AN283" s="19">
        <f t="shared" si="189"/>
        <v>0</v>
      </c>
      <c r="AO283" s="19">
        <f t="shared" si="190"/>
        <v>0</v>
      </c>
      <c r="AP283" s="19">
        <f t="shared" si="191"/>
        <v>0</v>
      </c>
      <c r="AQ283" s="19">
        <f t="shared" si="192"/>
        <v>0</v>
      </c>
      <c r="AR283" s="19">
        <f t="shared" si="193"/>
        <v>0</v>
      </c>
      <c r="AS283" s="19">
        <f t="shared" si="194"/>
        <v>0</v>
      </c>
      <c r="AT283" s="19">
        <f t="shared" si="195"/>
        <v>0</v>
      </c>
      <c r="AU283" s="19">
        <f t="shared" si="196"/>
        <v>0</v>
      </c>
      <c r="AV283" s="19">
        <f t="shared" si="197"/>
        <v>0</v>
      </c>
      <c r="AW283" s="19">
        <f t="shared" si="198"/>
        <v>0</v>
      </c>
      <c r="AX283" s="18">
        <f>IFERROR(Z283/'Ar-Pa'!B283,0)</f>
        <v>0</v>
      </c>
      <c r="AY283" s="18">
        <f>IFERROR(AA283/'Ar-Pa'!C283,0)</f>
        <v>0</v>
      </c>
      <c r="AZ283" s="18">
        <f>IFERROR(AB283/'Ar-Pa'!D283,0)</f>
        <v>0</v>
      </c>
      <c r="BA283" s="18">
        <f>IFERROR(AC283/'Ar-Pa'!E283,0)</f>
        <v>0</v>
      </c>
      <c r="BB283" s="18">
        <f>IFERROR(AD283/'Ar-Pa'!F283,0)</f>
        <v>0</v>
      </c>
      <c r="BC283" s="18">
        <f>IFERROR(AE283/'Ar-Pa'!G283,0)</f>
        <v>0</v>
      </c>
      <c r="BD283" s="18">
        <f>IFERROR(AF283/'Ar-Pa'!H283,0)</f>
        <v>0</v>
      </c>
      <c r="BE283" s="18">
        <f>IFERROR(AG283/'Ar-Pa'!I283,0)</f>
        <v>0</v>
      </c>
      <c r="BF283" s="18">
        <f>IFERROR(AH283/'Ar-Pa'!J283,0)</f>
        <v>0</v>
      </c>
      <c r="BG283" s="18">
        <f>IFERROR(AI283/'Ar-Pa'!K283,0)</f>
        <v>0</v>
      </c>
      <c r="BH283" s="18">
        <f>IFERROR(AJ283/'Ar-Pa'!L283,0)</f>
        <v>0</v>
      </c>
      <c r="BI283" s="18">
        <f>IFERROR(AK283/'Ar-Pa'!M283,0)</f>
        <v>0</v>
      </c>
      <c r="BJ283" s="18">
        <f>IFERROR(AL283/'Ar-Pa'!N283,0)</f>
        <v>0</v>
      </c>
      <c r="BK283" s="18">
        <f>IFERROR(AM283/'Ar-Pa'!O283,0)</f>
        <v>0</v>
      </c>
      <c r="BL283" s="18">
        <f>IFERROR(AN283/'Ar-Pa'!P283,0)</f>
        <v>0</v>
      </c>
      <c r="BM283" s="18">
        <f>IFERROR(AO283/'Ar-Pa'!Q283,0)</f>
        <v>0</v>
      </c>
      <c r="BN283" s="18">
        <f>IFERROR(AP283/'Ar-Pa'!R283,0)</f>
        <v>0</v>
      </c>
      <c r="BO283" s="18">
        <f>IFERROR(AQ283/'Ar-Pa'!S283,0)</f>
        <v>0</v>
      </c>
      <c r="BP283" s="18">
        <f>IFERROR(AR283/'Ar-Pa'!T283,0)</f>
        <v>0</v>
      </c>
      <c r="BQ283" s="18">
        <f>IFERROR(AS283/'Ar-Pa'!U283,0)</f>
        <v>0</v>
      </c>
      <c r="BR283" s="18">
        <f>IFERROR(AT283/'Ar-Pa'!V283,0)</f>
        <v>0</v>
      </c>
      <c r="BS283" s="18">
        <f>IFERROR(AU283/'Ar-Pa'!W283,0)</f>
        <v>0</v>
      </c>
      <c r="BT283" s="18">
        <f>IFERROR(AV283/'Ar-Pa'!X283,0)</f>
        <v>0</v>
      </c>
      <c r="BU283" s="18">
        <f>IFERROR(AW283/'Ar-Pa'!Y283,0)</f>
        <v>0</v>
      </c>
    </row>
    <row r="284" spans="1:73">
      <c r="A284" s="15">
        <v>45209</v>
      </c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9">
        <f t="shared" si="175"/>
        <v>0</v>
      </c>
      <c r="AA284" s="19">
        <f t="shared" si="176"/>
        <v>0</v>
      </c>
      <c r="AB284" s="19">
        <f t="shared" si="177"/>
        <v>0</v>
      </c>
      <c r="AC284" s="19">
        <f t="shared" si="178"/>
        <v>0</v>
      </c>
      <c r="AD284" s="19">
        <f t="shared" si="179"/>
        <v>0</v>
      </c>
      <c r="AE284" s="19">
        <f t="shared" si="180"/>
        <v>0</v>
      </c>
      <c r="AF284" s="19">
        <f t="shared" si="181"/>
        <v>0</v>
      </c>
      <c r="AG284" s="19">
        <f t="shared" si="182"/>
        <v>0</v>
      </c>
      <c r="AH284" s="19">
        <f t="shared" si="183"/>
        <v>0</v>
      </c>
      <c r="AI284" s="19">
        <f t="shared" si="184"/>
        <v>0</v>
      </c>
      <c r="AJ284" s="19">
        <f t="shared" si="185"/>
        <v>0</v>
      </c>
      <c r="AK284" s="19">
        <f t="shared" si="186"/>
        <v>0</v>
      </c>
      <c r="AL284" s="19">
        <f t="shared" si="187"/>
        <v>0</v>
      </c>
      <c r="AM284" s="19">
        <f t="shared" si="188"/>
        <v>0</v>
      </c>
      <c r="AN284" s="19">
        <f t="shared" si="189"/>
        <v>0</v>
      </c>
      <c r="AO284" s="19">
        <f t="shared" si="190"/>
        <v>0</v>
      </c>
      <c r="AP284" s="19">
        <f t="shared" si="191"/>
        <v>0</v>
      </c>
      <c r="AQ284" s="19">
        <f t="shared" si="192"/>
        <v>0</v>
      </c>
      <c r="AR284" s="19">
        <f t="shared" si="193"/>
        <v>0</v>
      </c>
      <c r="AS284" s="19">
        <f t="shared" si="194"/>
        <v>0</v>
      </c>
      <c r="AT284" s="19">
        <f t="shared" si="195"/>
        <v>0</v>
      </c>
      <c r="AU284" s="19">
        <f t="shared" si="196"/>
        <v>0</v>
      </c>
      <c r="AV284" s="19">
        <f t="shared" si="197"/>
        <v>0</v>
      </c>
      <c r="AW284" s="19">
        <f t="shared" si="198"/>
        <v>0</v>
      </c>
      <c r="AX284" s="18">
        <f>IFERROR(Z284/'Ar-Pa'!B284,0)</f>
        <v>0</v>
      </c>
      <c r="AY284" s="18">
        <f>IFERROR(AA284/'Ar-Pa'!C284,0)</f>
        <v>0</v>
      </c>
      <c r="AZ284" s="18">
        <f>IFERROR(AB284/'Ar-Pa'!D284,0)</f>
        <v>0</v>
      </c>
      <c r="BA284" s="18">
        <f>IFERROR(AC284/'Ar-Pa'!E284,0)</f>
        <v>0</v>
      </c>
      <c r="BB284" s="18">
        <f>IFERROR(AD284/'Ar-Pa'!F284,0)</f>
        <v>0</v>
      </c>
      <c r="BC284" s="18">
        <f>IFERROR(AE284/'Ar-Pa'!G284,0)</f>
        <v>0</v>
      </c>
      <c r="BD284" s="18">
        <f>IFERROR(AF284/'Ar-Pa'!H284,0)</f>
        <v>0</v>
      </c>
      <c r="BE284" s="18">
        <f>IFERROR(AG284/'Ar-Pa'!I284,0)</f>
        <v>0</v>
      </c>
      <c r="BF284" s="18">
        <f>IFERROR(AH284/'Ar-Pa'!J284,0)</f>
        <v>0</v>
      </c>
      <c r="BG284" s="18">
        <f>IFERROR(AI284/'Ar-Pa'!K284,0)</f>
        <v>0</v>
      </c>
      <c r="BH284" s="18">
        <f>IFERROR(AJ284/'Ar-Pa'!L284,0)</f>
        <v>0</v>
      </c>
      <c r="BI284" s="18">
        <f>IFERROR(AK284/'Ar-Pa'!M284,0)</f>
        <v>0</v>
      </c>
      <c r="BJ284" s="18">
        <f>IFERROR(AL284/'Ar-Pa'!N284,0)</f>
        <v>0</v>
      </c>
      <c r="BK284" s="18">
        <f>IFERROR(AM284/'Ar-Pa'!O284,0)</f>
        <v>0</v>
      </c>
      <c r="BL284" s="18">
        <f>IFERROR(AN284/'Ar-Pa'!P284,0)</f>
        <v>0</v>
      </c>
      <c r="BM284" s="18">
        <f>IFERROR(AO284/'Ar-Pa'!Q284,0)</f>
        <v>0</v>
      </c>
      <c r="BN284" s="18">
        <f>IFERROR(AP284/'Ar-Pa'!R284,0)</f>
        <v>0</v>
      </c>
      <c r="BO284" s="18">
        <f>IFERROR(AQ284/'Ar-Pa'!S284,0)</f>
        <v>0</v>
      </c>
      <c r="BP284" s="18">
        <f>IFERROR(AR284/'Ar-Pa'!T284,0)</f>
        <v>0</v>
      </c>
      <c r="BQ284" s="18">
        <f>IFERROR(AS284/'Ar-Pa'!U284,0)</f>
        <v>0</v>
      </c>
      <c r="BR284" s="18">
        <f>IFERROR(AT284/'Ar-Pa'!V284,0)</f>
        <v>0</v>
      </c>
      <c r="BS284" s="18">
        <f>IFERROR(AU284/'Ar-Pa'!W284,0)</f>
        <v>0</v>
      </c>
      <c r="BT284" s="18">
        <f>IFERROR(AV284/'Ar-Pa'!X284,0)</f>
        <v>0</v>
      </c>
      <c r="BU284" s="18">
        <f>IFERROR(AW284/'Ar-Pa'!Y284,0)</f>
        <v>0</v>
      </c>
    </row>
    <row r="285" spans="1:73">
      <c r="A285" s="15">
        <v>45210</v>
      </c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9">
        <f t="shared" si="175"/>
        <v>0</v>
      </c>
      <c r="AA285" s="19">
        <f t="shared" si="176"/>
        <v>0</v>
      </c>
      <c r="AB285" s="19">
        <f t="shared" si="177"/>
        <v>0</v>
      </c>
      <c r="AC285" s="19">
        <f t="shared" si="178"/>
        <v>0</v>
      </c>
      <c r="AD285" s="19">
        <f t="shared" si="179"/>
        <v>0</v>
      </c>
      <c r="AE285" s="19">
        <f t="shared" si="180"/>
        <v>0</v>
      </c>
      <c r="AF285" s="19">
        <f t="shared" si="181"/>
        <v>0</v>
      </c>
      <c r="AG285" s="19">
        <f t="shared" si="182"/>
        <v>0</v>
      </c>
      <c r="AH285" s="19">
        <f t="shared" si="183"/>
        <v>0</v>
      </c>
      <c r="AI285" s="19">
        <f t="shared" si="184"/>
        <v>0</v>
      </c>
      <c r="AJ285" s="19">
        <f t="shared" si="185"/>
        <v>0</v>
      </c>
      <c r="AK285" s="19">
        <f t="shared" si="186"/>
        <v>0</v>
      </c>
      <c r="AL285" s="19">
        <f t="shared" si="187"/>
        <v>0</v>
      </c>
      <c r="AM285" s="19">
        <f t="shared" si="188"/>
        <v>0</v>
      </c>
      <c r="AN285" s="19">
        <f t="shared" si="189"/>
        <v>0</v>
      </c>
      <c r="AO285" s="19">
        <f t="shared" si="190"/>
        <v>0</v>
      </c>
      <c r="AP285" s="19">
        <f t="shared" si="191"/>
        <v>0</v>
      </c>
      <c r="AQ285" s="19">
        <f t="shared" si="192"/>
        <v>0</v>
      </c>
      <c r="AR285" s="19">
        <f t="shared" si="193"/>
        <v>0</v>
      </c>
      <c r="AS285" s="19">
        <f t="shared" si="194"/>
        <v>0</v>
      </c>
      <c r="AT285" s="19">
        <f t="shared" si="195"/>
        <v>0</v>
      </c>
      <c r="AU285" s="19">
        <f t="shared" si="196"/>
        <v>0</v>
      </c>
      <c r="AV285" s="19">
        <f t="shared" si="197"/>
        <v>0</v>
      </c>
      <c r="AW285" s="19">
        <f t="shared" si="198"/>
        <v>0</v>
      </c>
      <c r="AX285" s="18">
        <f>IFERROR(Z285/'Ar-Pa'!B285,0)</f>
        <v>0</v>
      </c>
      <c r="AY285" s="18">
        <f>IFERROR(AA285/'Ar-Pa'!C285,0)</f>
        <v>0</v>
      </c>
      <c r="AZ285" s="18">
        <f>IFERROR(AB285/'Ar-Pa'!D285,0)</f>
        <v>0</v>
      </c>
      <c r="BA285" s="18">
        <f>IFERROR(AC285/'Ar-Pa'!E285,0)</f>
        <v>0</v>
      </c>
      <c r="BB285" s="18">
        <f>IFERROR(AD285/'Ar-Pa'!F285,0)</f>
        <v>0</v>
      </c>
      <c r="BC285" s="18">
        <f>IFERROR(AE285/'Ar-Pa'!G285,0)</f>
        <v>0</v>
      </c>
      <c r="BD285" s="18">
        <f>IFERROR(AF285/'Ar-Pa'!H285,0)</f>
        <v>0</v>
      </c>
      <c r="BE285" s="18">
        <f>IFERROR(AG285/'Ar-Pa'!I285,0)</f>
        <v>0</v>
      </c>
      <c r="BF285" s="18">
        <f>IFERROR(AH285/'Ar-Pa'!J285,0)</f>
        <v>0</v>
      </c>
      <c r="BG285" s="18">
        <f>IFERROR(AI285/'Ar-Pa'!K285,0)</f>
        <v>0</v>
      </c>
      <c r="BH285" s="18">
        <f>IFERROR(AJ285/'Ar-Pa'!L285,0)</f>
        <v>0</v>
      </c>
      <c r="BI285" s="18">
        <f>IFERROR(AK285/'Ar-Pa'!M285,0)</f>
        <v>0</v>
      </c>
      <c r="BJ285" s="18">
        <f>IFERROR(AL285/'Ar-Pa'!N285,0)</f>
        <v>0</v>
      </c>
      <c r="BK285" s="18">
        <f>IFERROR(AM285/'Ar-Pa'!O285,0)</f>
        <v>0</v>
      </c>
      <c r="BL285" s="18">
        <f>IFERROR(AN285/'Ar-Pa'!P285,0)</f>
        <v>0</v>
      </c>
      <c r="BM285" s="18">
        <f>IFERROR(AO285/'Ar-Pa'!Q285,0)</f>
        <v>0</v>
      </c>
      <c r="BN285" s="18">
        <f>IFERROR(AP285/'Ar-Pa'!R285,0)</f>
        <v>0</v>
      </c>
      <c r="BO285" s="18">
        <f>IFERROR(AQ285/'Ar-Pa'!S285,0)</f>
        <v>0</v>
      </c>
      <c r="BP285" s="18">
        <f>IFERROR(AR285/'Ar-Pa'!T285,0)</f>
        <v>0</v>
      </c>
      <c r="BQ285" s="18">
        <f>IFERROR(AS285/'Ar-Pa'!U285,0)</f>
        <v>0</v>
      </c>
      <c r="BR285" s="18">
        <f>IFERROR(AT285/'Ar-Pa'!V285,0)</f>
        <v>0</v>
      </c>
      <c r="BS285" s="18">
        <f>IFERROR(AU285/'Ar-Pa'!W285,0)</f>
        <v>0</v>
      </c>
      <c r="BT285" s="18">
        <f>IFERROR(AV285/'Ar-Pa'!X285,0)</f>
        <v>0</v>
      </c>
      <c r="BU285" s="18">
        <f>IFERROR(AW285/'Ar-Pa'!Y285,0)</f>
        <v>0</v>
      </c>
    </row>
    <row r="286" spans="1:73">
      <c r="A286" s="15">
        <v>45211</v>
      </c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9">
        <f t="shared" si="175"/>
        <v>0</v>
      </c>
      <c r="AA286" s="19">
        <f t="shared" si="176"/>
        <v>0</v>
      </c>
      <c r="AB286" s="19">
        <f t="shared" si="177"/>
        <v>0</v>
      </c>
      <c r="AC286" s="19">
        <f t="shared" si="178"/>
        <v>0</v>
      </c>
      <c r="AD286" s="19">
        <f t="shared" si="179"/>
        <v>0</v>
      </c>
      <c r="AE286" s="19">
        <f t="shared" si="180"/>
        <v>0</v>
      </c>
      <c r="AF286" s="19">
        <f t="shared" si="181"/>
        <v>0</v>
      </c>
      <c r="AG286" s="19">
        <f t="shared" si="182"/>
        <v>0</v>
      </c>
      <c r="AH286" s="19">
        <f t="shared" si="183"/>
        <v>0</v>
      </c>
      <c r="AI286" s="19">
        <f t="shared" si="184"/>
        <v>0</v>
      </c>
      <c r="AJ286" s="19">
        <f t="shared" si="185"/>
        <v>0</v>
      </c>
      <c r="AK286" s="19">
        <f t="shared" si="186"/>
        <v>0</v>
      </c>
      <c r="AL286" s="19">
        <f t="shared" si="187"/>
        <v>0</v>
      </c>
      <c r="AM286" s="19">
        <f t="shared" si="188"/>
        <v>0</v>
      </c>
      <c r="AN286" s="19">
        <f t="shared" si="189"/>
        <v>0</v>
      </c>
      <c r="AO286" s="19">
        <f t="shared" si="190"/>
        <v>0</v>
      </c>
      <c r="AP286" s="19">
        <f t="shared" si="191"/>
        <v>0</v>
      </c>
      <c r="AQ286" s="19">
        <f t="shared" si="192"/>
        <v>0</v>
      </c>
      <c r="AR286" s="19">
        <f t="shared" si="193"/>
        <v>0</v>
      </c>
      <c r="AS286" s="19">
        <f t="shared" si="194"/>
        <v>0</v>
      </c>
      <c r="AT286" s="19">
        <f t="shared" si="195"/>
        <v>0</v>
      </c>
      <c r="AU286" s="19">
        <f t="shared" si="196"/>
        <v>0</v>
      </c>
      <c r="AV286" s="19">
        <f t="shared" si="197"/>
        <v>0</v>
      </c>
      <c r="AW286" s="19">
        <f t="shared" si="198"/>
        <v>0</v>
      </c>
      <c r="AX286" s="18">
        <f>IFERROR(Z286/'Ar-Pa'!B286,0)</f>
        <v>0</v>
      </c>
      <c r="AY286" s="18">
        <f>IFERROR(AA286/'Ar-Pa'!C286,0)</f>
        <v>0</v>
      </c>
      <c r="AZ286" s="18">
        <f>IFERROR(AB286/'Ar-Pa'!D286,0)</f>
        <v>0</v>
      </c>
      <c r="BA286" s="18">
        <f>IFERROR(AC286/'Ar-Pa'!E286,0)</f>
        <v>0</v>
      </c>
      <c r="BB286" s="18">
        <f>IFERROR(AD286/'Ar-Pa'!F286,0)</f>
        <v>0</v>
      </c>
      <c r="BC286" s="18">
        <f>IFERROR(AE286/'Ar-Pa'!G286,0)</f>
        <v>0</v>
      </c>
      <c r="BD286" s="18">
        <f>IFERROR(AF286/'Ar-Pa'!H286,0)</f>
        <v>0</v>
      </c>
      <c r="BE286" s="18">
        <f>IFERROR(AG286/'Ar-Pa'!I286,0)</f>
        <v>0</v>
      </c>
      <c r="BF286" s="18">
        <f>IFERROR(AH286/'Ar-Pa'!J286,0)</f>
        <v>0</v>
      </c>
      <c r="BG286" s="18">
        <f>IFERROR(AI286/'Ar-Pa'!K286,0)</f>
        <v>0</v>
      </c>
      <c r="BH286" s="18">
        <f>IFERROR(AJ286/'Ar-Pa'!L286,0)</f>
        <v>0</v>
      </c>
      <c r="BI286" s="18">
        <f>IFERROR(AK286/'Ar-Pa'!M286,0)</f>
        <v>0</v>
      </c>
      <c r="BJ286" s="18">
        <f>IFERROR(AL286/'Ar-Pa'!N286,0)</f>
        <v>0</v>
      </c>
      <c r="BK286" s="18">
        <f>IFERROR(AM286/'Ar-Pa'!O286,0)</f>
        <v>0</v>
      </c>
      <c r="BL286" s="18">
        <f>IFERROR(AN286/'Ar-Pa'!P286,0)</f>
        <v>0</v>
      </c>
      <c r="BM286" s="18">
        <f>IFERROR(AO286/'Ar-Pa'!Q286,0)</f>
        <v>0</v>
      </c>
      <c r="BN286" s="18">
        <f>IFERROR(AP286/'Ar-Pa'!R286,0)</f>
        <v>0</v>
      </c>
      <c r="BO286" s="18">
        <f>IFERROR(AQ286/'Ar-Pa'!S286,0)</f>
        <v>0</v>
      </c>
      <c r="BP286" s="18">
        <f>IFERROR(AR286/'Ar-Pa'!T286,0)</f>
        <v>0</v>
      </c>
      <c r="BQ286" s="18">
        <f>IFERROR(AS286/'Ar-Pa'!U286,0)</f>
        <v>0</v>
      </c>
      <c r="BR286" s="18">
        <f>IFERROR(AT286/'Ar-Pa'!V286,0)</f>
        <v>0</v>
      </c>
      <c r="BS286" s="18">
        <f>IFERROR(AU286/'Ar-Pa'!W286,0)</f>
        <v>0</v>
      </c>
      <c r="BT286" s="18">
        <f>IFERROR(AV286/'Ar-Pa'!X286,0)</f>
        <v>0</v>
      </c>
      <c r="BU286" s="18">
        <f>IFERROR(AW286/'Ar-Pa'!Y286,0)</f>
        <v>0</v>
      </c>
    </row>
    <row r="287" spans="1:73">
      <c r="A287" s="15">
        <v>45212</v>
      </c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9">
        <f t="shared" si="175"/>
        <v>0</v>
      </c>
      <c r="AA287" s="19">
        <f t="shared" si="176"/>
        <v>0</v>
      </c>
      <c r="AB287" s="19">
        <f t="shared" si="177"/>
        <v>0</v>
      </c>
      <c r="AC287" s="19">
        <f t="shared" si="178"/>
        <v>0</v>
      </c>
      <c r="AD287" s="19">
        <f t="shared" si="179"/>
        <v>0</v>
      </c>
      <c r="AE287" s="19">
        <f t="shared" si="180"/>
        <v>0</v>
      </c>
      <c r="AF287" s="19">
        <f t="shared" si="181"/>
        <v>0</v>
      </c>
      <c r="AG287" s="19">
        <f t="shared" si="182"/>
        <v>0</v>
      </c>
      <c r="AH287" s="19">
        <f t="shared" si="183"/>
        <v>0</v>
      </c>
      <c r="AI287" s="19">
        <f t="shared" si="184"/>
        <v>0</v>
      </c>
      <c r="AJ287" s="19">
        <f t="shared" si="185"/>
        <v>0</v>
      </c>
      <c r="AK287" s="19">
        <f t="shared" si="186"/>
        <v>0</v>
      </c>
      <c r="AL287" s="19">
        <f t="shared" si="187"/>
        <v>0</v>
      </c>
      <c r="AM287" s="19">
        <f t="shared" si="188"/>
        <v>0</v>
      </c>
      <c r="AN287" s="19">
        <f t="shared" si="189"/>
        <v>0</v>
      </c>
      <c r="AO287" s="19">
        <f t="shared" si="190"/>
        <v>0</v>
      </c>
      <c r="AP287" s="19">
        <f t="shared" si="191"/>
        <v>0</v>
      </c>
      <c r="AQ287" s="19">
        <f t="shared" si="192"/>
        <v>0</v>
      </c>
      <c r="AR287" s="19">
        <f t="shared" si="193"/>
        <v>0</v>
      </c>
      <c r="AS287" s="19">
        <f t="shared" si="194"/>
        <v>0</v>
      </c>
      <c r="AT287" s="19">
        <f t="shared" si="195"/>
        <v>0</v>
      </c>
      <c r="AU287" s="19">
        <f t="shared" si="196"/>
        <v>0</v>
      </c>
      <c r="AV287" s="19">
        <f t="shared" si="197"/>
        <v>0</v>
      </c>
      <c r="AW287" s="19">
        <f t="shared" si="198"/>
        <v>0</v>
      </c>
      <c r="AX287" s="18">
        <f>IFERROR(Z287/'Ar-Pa'!B287,0)</f>
        <v>0</v>
      </c>
      <c r="AY287" s="18">
        <f>IFERROR(AA287/'Ar-Pa'!C287,0)</f>
        <v>0</v>
      </c>
      <c r="AZ287" s="18">
        <f>IFERROR(AB287/'Ar-Pa'!D287,0)</f>
        <v>0</v>
      </c>
      <c r="BA287" s="18">
        <f>IFERROR(AC287/'Ar-Pa'!E287,0)</f>
        <v>0</v>
      </c>
      <c r="BB287" s="18">
        <f>IFERROR(AD287/'Ar-Pa'!F287,0)</f>
        <v>0</v>
      </c>
      <c r="BC287" s="18">
        <f>IFERROR(AE287/'Ar-Pa'!G287,0)</f>
        <v>0</v>
      </c>
      <c r="BD287" s="18">
        <f>IFERROR(AF287/'Ar-Pa'!H287,0)</f>
        <v>0</v>
      </c>
      <c r="BE287" s="18">
        <f>IFERROR(AG287/'Ar-Pa'!I287,0)</f>
        <v>0</v>
      </c>
      <c r="BF287" s="18">
        <f>IFERROR(AH287/'Ar-Pa'!J287,0)</f>
        <v>0</v>
      </c>
      <c r="BG287" s="18">
        <f>IFERROR(AI287/'Ar-Pa'!K287,0)</f>
        <v>0</v>
      </c>
      <c r="BH287" s="18">
        <f>IFERROR(AJ287/'Ar-Pa'!L287,0)</f>
        <v>0</v>
      </c>
      <c r="BI287" s="18">
        <f>IFERROR(AK287/'Ar-Pa'!M287,0)</f>
        <v>0</v>
      </c>
      <c r="BJ287" s="18">
        <f>IFERROR(AL287/'Ar-Pa'!N287,0)</f>
        <v>0</v>
      </c>
      <c r="BK287" s="18">
        <f>IFERROR(AM287/'Ar-Pa'!O287,0)</f>
        <v>0</v>
      </c>
      <c r="BL287" s="18">
        <f>IFERROR(AN287/'Ar-Pa'!P287,0)</f>
        <v>0</v>
      </c>
      <c r="BM287" s="18">
        <f>IFERROR(AO287/'Ar-Pa'!Q287,0)</f>
        <v>0</v>
      </c>
      <c r="BN287" s="18">
        <f>IFERROR(AP287/'Ar-Pa'!R287,0)</f>
        <v>0</v>
      </c>
      <c r="BO287" s="18">
        <f>IFERROR(AQ287/'Ar-Pa'!S287,0)</f>
        <v>0</v>
      </c>
      <c r="BP287" s="18">
        <f>IFERROR(AR287/'Ar-Pa'!T287,0)</f>
        <v>0</v>
      </c>
      <c r="BQ287" s="18">
        <f>IFERROR(AS287/'Ar-Pa'!U287,0)</f>
        <v>0</v>
      </c>
      <c r="BR287" s="18">
        <f>IFERROR(AT287/'Ar-Pa'!V287,0)</f>
        <v>0</v>
      </c>
      <c r="BS287" s="18">
        <f>IFERROR(AU287/'Ar-Pa'!W287,0)</f>
        <v>0</v>
      </c>
      <c r="BT287" s="18">
        <f>IFERROR(AV287/'Ar-Pa'!X287,0)</f>
        <v>0</v>
      </c>
      <c r="BU287" s="18">
        <f>IFERROR(AW287/'Ar-Pa'!Y287,0)</f>
        <v>0</v>
      </c>
    </row>
    <row r="288" spans="1:73">
      <c r="A288" s="15">
        <v>45213</v>
      </c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9">
        <f t="shared" si="175"/>
        <v>0</v>
      </c>
      <c r="AA288" s="19">
        <f t="shared" si="176"/>
        <v>0</v>
      </c>
      <c r="AB288" s="19">
        <f t="shared" si="177"/>
        <v>0</v>
      </c>
      <c r="AC288" s="19">
        <f t="shared" si="178"/>
        <v>0</v>
      </c>
      <c r="AD288" s="19">
        <f t="shared" si="179"/>
        <v>0</v>
      </c>
      <c r="AE288" s="19">
        <f t="shared" si="180"/>
        <v>0</v>
      </c>
      <c r="AF288" s="19">
        <f t="shared" si="181"/>
        <v>0</v>
      </c>
      <c r="AG288" s="19">
        <f t="shared" si="182"/>
        <v>0</v>
      </c>
      <c r="AH288" s="19">
        <f t="shared" si="183"/>
        <v>0</v>
      </c>
      <c r="AI288" s="19">
        <f t="shared" si="184"/>
        <v>0</v>
      </c>
      <c r="AJ288" s="19">
        <f t="shared" si="185"/>
        <v>0</v>
      </c>
      <c r="AK288" s="19">
        <f t="shared" si="186"/>
        <v>0</v>
      </c>
      <c r="AL288" s="19">
        <f t="shared" si="187"/>
        <v>0</v>
      </c>
      <c r="AM288" s="19">
        <f t="shared" si="188"/>
        <v>0</v>
      </c>
      <c r="AN288" s="19">
        <f t="shared" si="189"/>
        <v>0</v>
      </c>
      <c r="AO288" s="19">
        <f t="shared" si="190"/>
        <v>0</v>
      </c>
      <c r="AP288" s="19">
        <f t="shared" si="191"/>
        <v>0</v>
      </c>
      <c r="AQ288" s="19">
        <f t="shared" si="192"/>
        <v>0</v>
      </c>
      <c r="AR288" s="19">
        <f t="shared" si="193"/>
        <v>0</v>
      </c>
      <c r="AS288" s="19">
        <f t="shared" si="194"/>
        <v>0</v>
      </c>
      <c r="AT288" s="19">
        <f t="shared" si="195"/>
        <v>0</v>
      </c>
      <c r="AU288" s="19">
        <f t="shared" si="196"/>
        <v>0</v>
      </c>
      <c r="AV288" s="19">
        <f t="shared" si="197"/>
        <v>0</v>
      </c>
      <c r="AW288" s="19">
        <f t="shared" si="198"/>
        <v>0</v>
      </c>
      <c r="AX288" s="18">
        <f>IFERROR(Z288/'Ar-Pa'!B288,0)</f>
        <v>0</v>
      </c>
      <c r="AY288" s="18">
        <f>IFERROR(AA288/'Ar-Pa'!C288,0)</f>
        <v>0</v>
      </c>
      <c r="AZ288" s="18">
        <f>IFERROR(AB288/'Ar-Pa'!D288,0)</f>
        <v>0</v>
      </c>
      <c r="BA288" s="18">
        <f>IFERROR(AC288/'Ar-Pa'!E288,0)</f>
        <v>0</v>
      </c>
      <c r="BB288" s="18">
        <f>IFERROR(AD288/'Ar-Pa'!F288,0)</f>
        <v>0</v>
      </c>
      <c r="BC288" s="18">
        <f>IFERROR(AE288/'Ar-Pa'!G288,0)</f>
        <v>0</v>
      </c>
      <c r="BD288" s="18">
        <f>IFERROR(AF288/'Ar-Pa'!H288,0)</f>
        <v>0</v>
      </c>
      <c r="BE288" s="18">
        <f>IFERROR(AG288/'Ar-Pa'!I288,0)</f>
        <v>0</v>
      </c>
      <c r="BF288" s="18">
        <f>IFERROR(AH288/'Ar-Pa'!J288,0)</f>
        <v>0</v>
      </c>
      <c r="BG288" s="18">
        <f>IFERROR(AI288/'Ar-Pa'!K288,0)</f>
        <v>0</v>
      </c>
      <c r="BH288" s="18">
        <f>IFERROR(AJ288/'Ar-Pa'!L288,0)</f>
        <v>0</v>
      </c>
      <c r="BI288" s="18">
        <f>IFERROR(AK288/'Ar-Pa'!M288,0)</f>
        <v>0</v>
      </c>
      <c r="BJ288" s="18">
        <f>IFERROR(AL288/'Ar-Pa'!N288,0)</f>
        <v>0</v>
      </c>
      <c r="BK288" s="18">
        <f>IFERROR(AM288/'Ar-Pa'!O288,0)</f>
        <v>0</v>
      </c>
      <c r="BL288" s="18">
        <f>IFERROR(AN288/'Ar-Pa'!P288,0)</f>
        <v>0</v>
      </c>
      <c r="BM288" s="18">
        <f>IFERROR(AO288/'Ar-Pa'!Q288,0)</f>
        <v>0</v>
      </c>
      <c r="BN288" s="18">
        <f>IFERROR(AP288/'Ar-Pa'!R288,0)</f>
        <v>0</v>
      </c>
      <c r="BO288" s="18">
        <f>IFERROR(AQ288/'Ar-Pa'!S288,0)</f>
        <v>0</v>
      </c>
      <c r="BP288" s="18">
        <f>IFERROR(AR288/'Ar-Pa'!T288,0)</f>
        <v>0</v>
      </c>
      <c r="BQ288" s="18">
        <f>IFERROR(AS288/'Ar-Pa'!U288,0)</f>
        <v>0</v>
      </c>
      <c r="BR288" s="18">
        <f>IFERROR(AT288/'Ar-Pa'!V288,0)</f>
        <v>0</v>
      </c>
      <c r="BS288" s="18">
        <f>IFERROR(AU288/'Ar-Pa'!W288,0)</f>
        <v>0</v>
      </c>
      <c r="BT288" s="18">
        <f>IFERROR(AV288/'Ar-Pa'!X288,0)</f>
        <v>0</v>
      </c>
      <c r="BU288" s="18">
        <f>IFERROR(AW288/'Ar-Pa'!Y288,0)</f>
        <v>0</v>
      </c>
    </row>
    <row r="289" spans="1:73">
      <c r="A289" s="15">
        <v>45214</v>
      </c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9">
        <f t="shared" si="175"/>
        <v>0</v>
      </c>
      <c r="AA289" s="19">
        <f t="shared" si="176"/>
        <v>0</v>
      </c>
      <c r="AB289" s="19">
        <f t="shared" si="177"/>
        <v>0</v>
      </c>
      <c r="AC289" s="19">
        <f t="shared" si="178"/>
        <v>0</v>
      </c>
      <c r="AD289" s="19">
        <f t="shared" si="179"/>
        <v>0</v>
      </c>
      <c r="AE289" s="19">
        <f t="shared" si="180"/>
        <v>0</v>
      </c>
      <c r="AF289" s="19">
        <f t="shared" si="181"/>
        <v>0</v>
      </c>
      <c r="AG289" s="19">
        <f t="shared" si="182"/>
        <v>0</v>
      </c>
      <c r="AH289" s="19">
        <f t="shared" si="183"/>
        <v>0</v>
      </c>
      <c r="AI289" s="19">
        <f t="shared" si="184"/>
        <v>0</v>
      </c>
      <c r="AJ289" s="19">
        <f t="shared" si="185"/>
        <v>0</v>
      </c>
      <c r="AK289" s="19">
        <f t="shared" si="186"/>
        <v>0</v>
      </c>
      <c r="AL289" s="19">
        <f t="shared" si="187"/>
        <v>0</v>
      </c>
      <c r="AM289" s="19">
        <f t="shared" si="188"/>
        <v>0</v>
      </c>
      <c r="AN289" s="19">
        <f t="shared" si="189"/>
        <v>0</v>
      </c>
      <c r="AO289" s="19">
        <f t="shared" si="190"/>
        <v>0</v>
      </c>
      <c r="AP289" s="19">
        <f t="shared" si="191"/>
        <v>0</v>
      </c>
      <c r="AQ289" s="19">
        <f t="shared" si="192"/>
        <v>0</v>
      </c>
      <c r="AR289" s="19">
        <f t="shared" si="193"/>
        <v>0</v>
      </c>
      <c r="AS289" s="19">
        <f t="shared" si="194"/>
        <v>0</v>
      </c>
      <c r="AT289" s="19">
        <f t="shared" si="195"/>
        <v>0</v>
      </c>
      <c r="AU289" s="19">
        <f t="shared" si="196"/>
        <v>0</v>
      </c>
      <c r="AV289" s="19">
        <f t="shared" si="197"/>
        <v>0</v>
      </c>
      <c r="AW289" s="19">
        <f t="shared" si="198"/>
        <v>0</v>
      </c>
      <c r="AX289" s="18">
        <f>IFERROR(Z289/'Ar-Pa'!B289,0)</f>
        <v>0</v>
      </c>
      <c r="AY289" s="18">
        <f>IFERROR(AA289/'Ar-Pa'!C289,0)</f>
        <v>0</v>
      </c>
      <c r="AZ289" s="18">
        <f>IFERROR(AB289/'Ar-Pa'!D289,0)</f>
        <v>0</v>
      </c>
      <c r="BA289" s="18">
        <f>IFERROR(AC289/'Ar-Pa'!E289,0)</f>
        <v>0</v>
      </c>
      <c r="BB289" s="18">
        <f>IFERROR(AD289/'Ar-Pa'!F289,0)</f>
        <v>0</v>
      </c>
      <c r="BC289" s="18">
        <f>IFERROR(AE289/'Ar-Pa'!G289,0)</f>
        <v>0</v>
      </c>
      <c r="BD289" s="18">
        <f>IFERROR(AF289/'Ar-Pa'!H289,0)</f>
        <v>0</v>
      </c>
      <c r="BE289" s="18">
        <f>IFERROR(AG289/'Ar-Pa'!I289,0)</f>
        <v>0</v>
      </c>
      <c r="BF289" s="18">
        <f>IFERROR(AH289/'Ar-Pa'!J289,0)</f>
        <v>0</v>
      </c>
      <c r="BG289" s="18">
        <f>IFERROR(AI289/'Ar-Pa'!K289,0)</f>
        <v>0</v>
      </c>
      <c r="BH289" s="18">
        <f>IFERROR(AJ289/'Ar-Pa'!L289,0)</f>
        <v>0</v>
      </c>
      <c r="BI289" s="18">
        <f>IFERROR(AK289/'Ar-Pa'!M289,0)</f>
        <v>0</v>
      </c>
      <c r="BJ289" s="18">
        <f>IFERROR(AL289/'Ar-Pa'!N289,0)</f>
        <v>0</v>
      </c>
      <c r="BK289" s="18">
        <f>IFERROR(AM289/'Ar-Pa'!O289,0)</f>
        <v>0</v>
      </c>
      <c r="BL289" s="18">
        <f>IFERROR(AN289/'Ar-Pa'!P289,0)</f>
        <v>0</v>
      </c>
      <c r="BM289" s="18">
        <f>IFERROR(AO289/'Ar-Pa'!Q289,0)</f>
        <v>0</v>
      </c>
      <c r="BN289" s="18">
        <f>IFERROR(AP289/'Ar-Pa'!R289,0)</f>
        <v>0</v>
      </c>
      <c r="BO289" s="18">
        <f>IFERROR(AQ289/'Ar-Pa'!S289,0)</f>
        <v>0</v>
      </c>
      <c r="BP289" s="18">
        <f>IFERROR(AR289/'Ar-Pa'!T289,0)</f>
        <v>0</v>
      </c>
      <c r="BQ289" s="18">
        <f>IFERROR(AS289/'Ar-Pa'!U289,0)</f>
        <v>0</v>
      </c>
      <c r="BR289" s="18">
        <f>IFERROR(AT289/'Ar-Pa'!V289,0)</f>
        <v>0</v>
      </c>
      <c r="BS289" s="18">
        <f>IFERROR(AU289/'Ar-Pa'!W289,0)</f>
        <v>0</v>
      </c>
      <c r="BT289" s="18">
        <f>IFERROR(AV289/'Ar-Pa'!X289,0)</f>
        <v>0</v>
      </c>
      <c r="BU289" s="18">
        <f>IFERROR(AW289/'Ar-Pa'!Y289,0)</f>
        <v>0</v>
      </c>
    </row>
    <row r="290" spans="1:73">
      <c r="A290" s="15">
        <v>45215</v>
      </c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9">
        <f t="shared" si="175"/>
        <v>0</v>
      </c>
      <c r="AA290" s="19">
        <f t="shared" si="176"/>
        <v>0</v>
      </c>
      <c r="AB290" s="19">
        <f t="shared" si="177"/>
        <v>0</v>
      </c>
      <c r="AC290" s="19">
        <f t="shared" si="178"/>
        <v>0</v>
      </c>
      <c r="AD290" s="19">
        <f t="shared" si="179"/>
        <v>0</v>
      </c>
      <c r="AE290" s="19">
        <f t="shared" si="180"/>
        <v>0</v>
      </c>
      <c r="AF290" s="19">
        <f t="shared" si="181"/>
        <v>0</v>
      </c>
      <c r="AG290" s="19">
        <f t="shared" si="182"/>
        <v>0</v>
      </c>
      <c r="AH290" s="19">
        <f t="shared" si="183"/>
        <v>0</v>
      </c>
      <c r="AI290" s="19">
        <f t="shared" si="184"/>
        <v>0</v>
      </c>
      <c r="AJ290" s="19">
        <f t="shared" si="185"/>
        <v>0</v>
      </c>
      <c r="AK290" s="19">
        <f t="shared" si="186"/>
        <v>0</v>
      </c>
      <c r="AL290" s="19">
        <f t="shared" si="187"/>
        <v>0</v>
      </c>
      <c r="AM290" s="19">
        <f t="shared" si="188"/>
        <v>0</v>
      </c>
      <c r="AN290" s="19">
        <f t="shared" si="189"/>
        <v>0</v>
      </c>
      <c r="AO290" s="19">
        <f t="shared" si="190"/>
        <v>0</v>
      </c>
      <c r="AP290" s="19">
        <f t="shared" si="191"/>
        <v>0</v>
      </c>
      <c r="AQ290" s="19">
        <f t="shared" si="192"/>
        <v>0</v>
      </c>
      <c r="AR290" s="19">
        <f t="shared" si="193"/>
        <v>0</v>
      </c>
      <c r="AS290" s="19">
        <f t="shared" si="194"/>
        <v>0</v>
      </c>
      <c r="AT290" s="19">
        <f t="shared" si="195"/>
        <v>0</v>
      </c>
      <c r="AU290" s="19">
        <f t="shared" si="196"/>
        <v>0</v>
      </c>
      <c r="AV290" s="19">
        <f t="shared" si="197"/>
        <v>0</v>
      </c>
      <c r="AW290" s="19">
        <f t="shared" si="198"/>
        <v>0</v>
      </c>
      <c r="AX290" s="18">
        <f>IFERROR(Z290/'Ar-Pa'!B290,0)</f>
        <v>0</v>
      </c>
      <c r="AY290" s="18">
        <f>IFERROR(AA290/'Ar-Pa'!C290,0)</f>
        <v>0</v>
      </c>
      <c r="AZ290" s="18">
        <f>IFERROR(AB290/'Ar-Pa'!D290,0)</f>
        <v>0</v>
      </c>
      <c r="BA290" s="18">
        <f>IFERROR(AC290/'Ar-Pa'!E290,0)</f>
        <v>0</v>
      </c>
      <c r="BB290" s="18">
        <f>IFERROR(AD290/'Ar-Pa'!F290,0)</f>
        <v>0</v>
      </c>
      <c r="BC290" s="18">
        <f>IFERROR(AE290/'Ar-Pa'!G290,0)</f>
        <v>0</v>
      </c>
      <c r="BD290" s="18">
        <f>IFERROR(AF290/'Ar-Pa'!H290,0)</f>
        <v>0</v>
      </c>
      <c r="BE290" s="18">
        <f>IFERROR(AG290/'Ar-Pa'!I290,0)</f>
        <v>0</v>
      </c>
      <c r="BF290" s="18">
        <f>IFERROR(AH290/'Ar-Pa'!J290,0)</f>
        <v>0</v>
      </c>
      <c r="BG290" s="18">
        <f>IFERROR(AI290/'Ar-Pa'!K290,0)</f>
        <v>0</v>
      </c>
      <c r="BH290" s="18">
        <f>IFERROR(AJ290/'Ar-Pa'!L290,0)</f>
        <v>0</v>
      </c>
      <c r="BI290" s="18">
        <f>IFERROR(AK290/'Ar-Pa'!M290,0)</f>
        <v>0</v>
      </c>
      <c r="BJ290" s="18">
        <f>IFERROR(AL290/'Ar-Pa'!N290,0)</f>
        <v>0</v>
      </c>
      <c r="BK290" s="18">
        <f>IFERROR(AM290/'Ar-Pa'!O290,0)</f>
        <v>0</v>
      </c>
      <c r="BL290" s="18">
        <f>IFERROR(AN290/'Ar-Pa'!P290,0)</f>
        <v>0</v>
      </c>
      <c r="BM290" s="18">
        <f>IFERROR(AO290/'Ar-Pa'!Q290,0)</f>
        <v>0</v>
      </c>
      <c r="BN290" s="18">
        <f>IFERROR(AP290/'Ar-Pa'!R290,0)</f>
        <v>0</v>
      </c>
      <c r="BO290" s="18">
        <f>IFERROR(AQ290/'Ar-Pa'!S290,0)</f>
        <v>0</v>
      </c>
      <c r="BP290" s="18">
        <f>IFERROR(AR290/'Ar-Pa'!T290,0)</f>
        <v>0</v>
      </c>
      <c r="BQ290" s="18">
        <f>IFERROR(AS290/'Ar-Pa'!U290,0)</f>
        <v>0</v>
      </c>
      <c r="BR290" s="18">
        <f>IFERROR(AT290/'Ar-Pa'!V290,0)</f>
        <v>0</v>
      </c>
      <c r="BS290" s="18">
        <f>IFERROR(AU290/'Ar-Pa'!W290,0)</f>
        <v>0</v>
      </c>
      <c r="BT290" s="18">
        <f>IFERROR(AV290/'Ar-Pa'!X290,0)</f>
        <v>0</v>
      </c>
      <c r="BU290" s="18">
        <f>IFERROR(AW290/'Ar-Pa'!Y290,0)</f>
        <v>0</v>
      </c>
    </row>
    <row r="291" spans="1:73">
      <c r="A291" s="15">
        <v>45216</v>
      </c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9">
        <f t="shared" si="175"/>
        <v>0</v>
      </c>
      <c r="AA291" s="19">
        <f t="shared" si="176"/>
        <v>0</v>
      </c>
      <c r="AB291" s="19">
        <f t="shared" si="177"/>
        <v>0</v>
      </c>
      <c r="AC291" s="19">
        <f t="shared" si="178"/>
        <v>0</v>
      </c>
      <c r="AD291" s="19">
        <f t="shared" si="179"/>
        <v>0</v>
      </c>
      <c r="AE291" s="19">
        <f t="shared" si="180"/>
        <v>0</v>
      </c>
      <c r="AF291" s="19">
        <f t="shared" si="181"/>
        <v>0</v>
      </c>
      <c r="AG291" s="19">
        <f t="shared" si="182"/>
        <v>0</v>
      </c>
      <c r="AH291" s="19">
        <f t="shared" si="183"/>
        <v>0</v>
      </c>
      <c r="AI291" s="19">
        <f t="shared" si="184"/>
        <v>0</v>
      </c>
      <c r="AJ291" s="19">
        <f t="shared" si="185"/>
        <v>0</v>
      </c>
      <c r="AK291" s="19">
        <f t="shared" si="186"/>
        <v>0</v>
      </c>
      <c r="AL291" s="19">
        <f t="shared" si="187"/>
        <v>0</v>
      </c>
      <c r="AM291" s="19">
        <f t="shared" si="188"/>
        <v>0</v>
      </c>
      <c r="AN291" s="19">
        <f t="shared" si="189"/>
        <v>0</v>
      </c>
      <c r="AO291" s="19">
        <f t="shared" si="190"/>
        <v>0</v>
      </c>
      <c r="AP291" s="19">
        <f t="shared" si="191"/>
        <v>0</v>
      </c>
      <c r="AQ291" s="19">
        <f t="shared" si="192"/>
        <v>0</v>
      </c>
      <c r="AR291" s="19">
        <f t="shared" si="193"/>
        <v>0</v>
      </c>
      <c r="AS291" s="19">
        <f t="shared" si="194"/>
        <v>0</v>
      </c>
      <c r="AT291" s="19">
        <f t="shared" si="195"/>
        <v>0</v>
      </c>
      <c r="AU291" s="19">
        <f t="shared" si="196"/>
        <v>0</v>
      </c>
      <c r="AV291" s="19">
        <f t="shared" si="197"/>
        <v>0</v>
      </c>
      <c r="AW291" s="19">
        <f t="shared" si="198"/>
        <v>0</v>
      </c>
      <c r="AX291" s="18">
        <f>IFERROR(Z291/'Ar-Pa'!B291,0)</f>
        <v>0</v>
      </c>
      <c r="AY291" s="18">
        <f>IFERROR(AA291/'Ar-Pa'!C291,0)</f>
        <v>0</v>
      </c>
      <c r="AZ291" s="18">
        <f>IFERROR(AB291/'Ar-Pa'!D291,0)</f>
        <v>0</v>
      </c>
      <c r="BA291" s="18">
        <f>IFERROR(AC291/'Ar-Pa'!E291,0)</f>
        <v>0</v>
      </c>
      <c r="BB291" s="18">
        <f>IFERROR(AD291/'Ar-Pa'!F291,0)</f>
        <v>0</v>
      </c>
      <c r="BC291" s="18">
        <f>IFERROR(AE291/'Ar-Pa'!G291,0)</f>
        <v>0</v>
      </c>
      <c r="BD291" s="18">
        <f>IFERROR(AF291/'Ar-Pa'!H291,0)</f>
        <v>0</v>
      </c>
      <c r="BE291" s="18">
        <f>IFERROR(AG291/'Ar-Pa'!I291,0)</f>
        <v>0</v>
      </c>
      <c r="BF291" s="18">
        <f>IFERROR(AH291/'Ar-Pa'!J291,0)</f>
        <v>0</v>
      </c>
      <c r="BG291" s="18">
        <f>IFERROR(AI291/'Ar-Pa'!K291,0)</f>
        <v>0</v>
      </c>
      <c r="BH291" s="18">
        <f>IFERROR(AJ291/'Ar-Pa'!L291,0)</f>
        <v>0</v>
      </c>
      <c r="BI291" s="18">
        <f>IFERROR(AK291/'Ar-Pa'!M291,0)</f>
        <v>0</v>
      </c>
      <c r="BJ291" s="18">
        <f>IFERROR(AL291/'Ar-Pa'!N291,0)</f>
        <v>0</v>
      </c>
      <c r="BK291" s="18">
        <f>IFERROR(AM291/'Ar-Pa'!O291,0)</f>
        <v>0</v>
      </c>
      <c r="BL291" s="18">
        <f>IFERROR(AN291/'Ar-Pa'!P291,0)</f>
        <v>0</v>
      </c>
      <c r="BM291" s="18">
        <f>IFERROR(AO291/'Ar-Pa'!Q291,0)</f>
        <v>0</v>
      </c>
      <c r="BN291" s="18">
        <f>IFERROR(AP291/'Ar-Pa'!R291,0)</f>
        <v>0</v>
      </c>
      <c r="BO291" s="18">
        <f>IFERROR(AQ291/'Ar-Pa'!S291,0)</f>
        <v>0</v>
      </c>
      <c r="BP291" s="18">
        <f>IFERROR(AR291/'Ar-Pa'!T291,0)</f>
        <v>0</v>
      </c>
      <c r="BQ291" s="18">
        <f>IFERROR(AS291/'Ar-Pa'!U291,0)</f>
        <v>0</v>
      </c>
      <c r="BR291" s="18">
        <f>IFERROR(AT291/'Ar-Pa'!V291,0)</f>
        <v>0</v>
      </c>
      <c r="BS291" s="18">
        <f>IFERROR(AU291/'Ar-Pa'!W291,0)</f>
        <v>0</v>
      </c>
      <c r="BT291" s="18">
        <f>IFERROR(AV291/'Ar-Pa'!X291,0)</f>
        <v>0</v>
      </c>
      <c r="BU291" s="18">
        <f>IFERROR(AW291/'Ar-Pa'!Y291,0)</f>
        <v>0</v>
      </c>
    </row>
    <row r="292" spans="1:73">
      <c r="A292" s="15">
        <v>45217</v>
      </c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9">
        <f t="shared" si="175"/>
        <v>0</v>
      </c>
      <c r="AA292" s="19">
        <f t="shared" si="176"/>
        <v>0</v>
      </c>
      <c r="AB292" s="19">
        <f t="shared" si="177"/>
        <v>0</v>
      </c>
      <c r="AC292" s="19">
        <f t="shared" si="178"/>
        <v>0</v>
      </c>
      <c r="AD292" s="19">
        <f t="shared" si="179"/>
        <v>0</v>
      </c>
      <c r="AE292" s="19">
        <f t="shared" si="180"/>
        <v>0</v>
      </c>
      <c r="AF292" s="19">
        <f t="shared" si="181"/>
        <v>0</v>
      </c>
      <c r="AG292" s="19">
        <f t="shared" si="182"/>
        <v>0</v>
      </c>
      <c r="AH292" s="19">
        <f t="shared" si="183"/>
        <v>0</v>
      </c>
      <c r="AI292" s="19">
        <f t="shared" si="184"/>
        <v>0</v>
      </c>
      <c r="AJ292" s="19">
        <f t="shared" si="185"/>
        <v>0</v>
      </c>
      <c r="AK292" s="19">
        <f t="shared" si="186"/>
        <v>0</v>
      </c>
      <c r="AL292" s="19">
        <f t="shared" si="187"/>
        <v>0</v>
      </c>
      <c r="AM292" s="19">
        <f t="shared" si="188"/>
        <v>0</v>
      </c>
      <c r="AN292" s="19">
        <f t="shared" si="189"/>
        <v>0</v>
      </c>
      <c r="AO292" s="19">
        <f t="shared" si="190"/>
        <v>0</v>
      </c>
      <c r="AP292" s="19">
        <f t="shared" si="191"/>
        <v>0</v>
      </c>
      <c r="AQ292" s="19">
        <f t="shared" si="192"/>
        <v>0</v>
      </c>
      <c r="AR292" s="19">
        <f t="shared" si="193"/>
        <v>0</v>
      </c>
      <c r="AS292" s="19">
        <f t="shared" si="194"/>
        <v>0</v>
      </c>
      <c r="AT292" s="19">
        <f t="shared" si="195"/>
        <v>0</v>
      </c>
      <c r="AU292" s="19">
        <f t="shared" si="196"/>
        <v>0</v>
      </c>
      <c r="AV292" s="19">
        <f t="shared" si="197"/>
        <v>0</v>
      </c>
      <c r="AW292" s="19">
        <f t="shared" si="198"/>
        <v>0</v>
      </c>
      <c r="AX292" s="18">
        <f>IFERROR(Z292/'Ar-Pa'!B292,0)</f>
        <v>0</v>
      </c>
      <c r="AY292" s="18">
        <f>IFERROR(AA292/'Ar-Pa'!C292,0)</f>
        <v>0</v>
      </c>
      <c r="AZ292" s="18">
        <f>IFERROR(AB292/'Ar-Pa'!D292,0)</f>
        <v>0</v>
      </c>
      <c r="BA292" s="18">
        <f>IFERROR(AC292/'Ar-Pa'!E292,0)</f>
        <v>0</v>
      </c>
      <c r="BB292" s="18">
        <f>IFERROR(AD292/'Ar-Pa'!F292,0)</f>
        <v>0</v>
      </c>
      <c r="BC292" s="18">
        <f>IFERROR(AE292/'Ar-Pa'!G292,0)</f>
        <v>0</v>
      </c>
      <c r="BD292" s="18">
        <f>IFERROR(AF292/'Ar-Pa'!H292,0)</f>
        <v>0</v>
      </c>
      <c r="BE292" s="18">
        <f>IFERROR(AG292/'Ar-Pa'!I292,0)</f>
        <v>0</v>
      </c>
      <c r="BF292" s="18">
        <f>IFERROR(AH292/'Ar-Pa'!J292,0)</f>
        <v>0</v>
      </c>
      <c r="BG292" s="18">
        <f>IFERROR(AI292/'Ar-Pa'!K292,0)</f>
        <v>0</v>
      </c>
      <c r="BH292" s="18">
        <f>IFERROR(AJ292/'Ar-Pa'!L292,0)</f>
        <v>0</v>
      </c>
      <c r="BI292" s="18">
        <f>IFERROR(AK292/'Ar-Pa'!M292,0)</f>
        <v>0</v>
      </c>
      <c r="BJ292" s="18">
        <f>IFERROR(AL292/'Ar-Pa'!N292,0)</f>
        <v>0</v>
      </c>
      <c r="BK292" s="18">
        <f>IFERROR(AM292/'Ar-Pa'!O292,0)</f>
        <v>0</v>
      </c>
      <c r="BL292" s="18">
        <f>IFERROR(AN292/'Ar-Pa'!P292,0)</f>
        <v>0</v>
      </c>
      <c r="BM292" s="18">
        <f>IFERROR(AO292/'Ar-Pa'!Q292,0)</f>
        <v>0</v>
      </c>
      <c r="BN292" s="18">
        <f>IFERROR(AP292/'Ar-Pa'!R292,0)</f>
        <v>0</v>
      </c>
      <c r="BO292" s="18">
        <f>IFERROR(AQ292/'Ar-Pa'!S292,0)</f>
        <v>0</v>
      </c>
      <c r="BP292" s="18">
        <f>IFERROR(AR292/'Ar-Pa'!T292,0)</f>
        <v>0</v>
      </c>
      <c r="BQ292" s="18">
        <f>IFERROR(AS292/'Ar-Pa'!U292,0)</f>
        <v>0</v>
      </c>
      <c r="BR292" s="18">
        <f>IFERROR(AT292/'Ar-Pa'!V292,0)</f>
        <v>0</v>
      </c>
      <c r="BS292" s="18">
        <f>IFERROR(AU292/'Ar-Pa'!W292,0)</f>
        <v>0</v>
      </c>
      <c r="BT292" s="18">
        <f>IFERROR(AV292/'Ar-Pa'!X292,0)</f>
        <v>0</v>
      </c>
      <c r="BU292" s="18">
        <f>IFERROR(AW292/'Ar-Pa'!Y292,0)</f>
        <v>0</v>
      </c>
    </row>
    <row r="293" spans="1:73">
      <c r="A293" s="15">
        <v>45218</v>
      </c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9">
        <f t="shared" si="175"/>
        <v>0</v>
      </c>
      <c r="AA293" s="19">
        <f t="shared" si="176"/>
        <v>0</v>
      </c>
      <c r="AB293" s="19">
        <f t="shared" si="177"/>
        <v>0</v>
      </c>
      <c r="AC293" s="19">
        <f t="shared" si="178"/>
        <v>0</v>
      </c>
      <c r="AD293" s="19">
        <f t="shared" si="179"/>
        <v>0</v>
      </c>
      <c r="AE293" s="19">
        <f t="shared" si="180"/>
        <v>0</v>
      </c>
      <c r="AF293" s="19">
        <f t="shared" si="181"/>
        <v>0</v>
      </c>
      <c r="AG293" s="19">
        <f t="shared" si="182"/>
        <v>0</v>
      </c>
      <c r="AH293" s="19">
        <f t="shared" si="183"/>
        <v>0</v>
      </c>
      <c r="AI293" s="19">
        <f t="shared" si="184"/>
        <v>0</v>
      </c>
      <c r="AJ293" s="19">
        <f t="shared" si="185"/>
        <v>0</v>
      </c>
      <c r="AK293" s="19">
        <f t="shared" si="186"/>
        <v>0</v>
      </c>
      <c r="AL293" s="19">
        <f t="shared" si="187"/>
        <v>0</v>
      </c>
      <c r="AM293" s="19">
        <f t="shared" si="188"/>
        <v>0</v>
      </c>
      <c r="AN293" s="19">
        <f t="shared" si="189"/>
        <v>0</v>
      </c>
      <c r="AO293" s="19">
        <f t="shared" si="190"/>
        <v>0</v>
      </c>
      <c r="AP293" s="19">
        <f t="shared" si="191"/>
        <v>0</v>
      </c>
      <c r="AQ293" s="19">
        <f t="shared" si="192"/>
        <v>0</v>
      </c>
      <c r="AR293" s="19">
        <f t="shared" si="193"/>
        <v>0</v>
      </c>
      <c r="AS293" s="19">
        <f t="shared" si="194"/>
        <v>0</v>
      </c>
      <c r="AT293" s="19">
        <f t="shared" si="195"/>
        <v>0</v>
      </c>
      <c r="AU293" s="19">
        <f t="shared" si="196"/>
        <v>0</v>
      </c>
      <c r="AV293" s="19">
        <f t="shared" si="197"/>
        <v>0</v>
      </c>
      <c r="AW293" s="19">
        <f t="shared" si="198"/>
        <v>0</v>
      </c>
      <c r="AX293" s="18">
        <f>IFERROR(Z293/'Ar-Pa'!B293,0)</f>
        <v>0</v>
      </c>
      <c r="AY293" s="18">
        <f>IFERROR(AA293/'Ar-Pa'!C293,0)</f>
        <v>0</v>
      </c>
      <c r="AZ293" s="18">
        <f>IFERROR(AB293/'Ar-Pa'!D293,0)</f>
        <v>0</v>
      </c>
      <c r="BA293" s="18">
        <f>IFERROR(AC293/'Ar-Pa'!E293,0)</f>
        <v>0</v>
      </c>
      <c r="BB293" s="18">
        <f>IFERROR(AD293/'Ar-Pa'!F293,0)</f>
        <v>0</v>
      </c>
      <c r="BC293" s="18">
        <f>IFERROR(AE293/'Ar-Pa'!G293,0)</f>
        <v>0</v>
      </c>
      <c r="BD293" s="18">
        <f>IFERROR(AF293/'Ar-Pa'!H293,0)</f>
        <v>0</v>
      </c>
      <c r="BE293" s="18">
        <f>IFERROR(AG293/'Ar-Pa'!I293,0)</f>
        <v>0</v>
      </c>
      <c r="BF293" s="18">
        <f>IFERROR(AH293/'Ar-Pa'!J293,0)</f>
        <v>0</v>
      </c>
      <c r="BG293" s="18">
        <f>IFERROR(AI293/'Ar-Pa'!K293,0)</f>
        <v>0</v>
      </c>
      <c r="BH293" s="18">
        <f>IFERROR(AJ293/'Ar-Pa'!L293,0)</f>
        <v>0</v>
      </c>
      <c r="BI293" s="18">
        <f>IFERROR(AK293/'Ar-Pa'!M293,0)</f>
        <v>0</v>
      </c>
      <c r="BJ293" s="18">
        <f>IFERROR(AL293/'Ar-Pa'!N293,0)</f>
        <v>0</v>
      </c>
      <c r="BK293" s="18">
        <f>IFERROR(AM293/'Ar-Pa'!O293,0)</f>
        <v>0</v>
      </c>
      <c r="BL293" s="18">
        <f>IFERROR(AN293/'Ar-Pa'!P293,0)</f>
        <v>0</v>
      </c>
      <c r="BM293" s="18">
        <f>IFERROR(AO293/'Ar-Pa'!Q293,0)</f>
        <v>0</v>
      </c>
      <c r="BN293" s="18">
        <f>IFERROR(AP293/'Ar-Pa'!R293,0)</f>
        <v>0</v>
      </c>
      <c r="BO293" s="18">
        <f>IFERROR(AQ293/'Ar-Pa'!S293,0)</f>
        <v>0</v>
      </c>
      <c r="BP293" s="18">
        <f>IFERROR(AR293/'Ar-Pa'!T293,0)</f>
        <v>0</v>
      </c>
      <c r="BQ293" s="18">
        <f>IFERROR(AS293/'Ar-Pa'!U293,0)</f>
        <v>0</v>
      </c>
      <c r="BR293" s="18">
        <f>IFERROR(AT293/'Ar-Pa'!V293,0)</f>
        <v>0</v>
      </c>
      <c r="BS293" s="18">
        <f>IFERROR(AU293/'Ar-Pa'!W293,0)</f>
        <v>0</v>
      </c>
      <c r="BT293" s="18">
        <f>IFERROR(AV293/'Ar-Pa'!X293,0)</f>
        <v>0</v>
      </c>
      <c r="BU293" s="18">
        <f>IFERROR(AW293/'Ar-Pa'!Y293,0)</f>
        <v>0</v>
      </c>
    </row>
    <row r="294" spans="1:73">
      <c r="A294" s="15">
        <v>45219</v>
      </c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9">
        <f t="shared" si="175"/>
        <v>0</v>
      </c>
      <c r="AA294" s="19">
        <f t="shared" si="176"/>
        <v>0</v>
      </c>
      <c r="AB294" s="19">
        <f t="shared" si="177"/>
        <v>0</v>
      </c>
      <c r="AC294" s="19">
        <f t="shared" si="178"/>
        <v>0</v>
      </c>
      <c r="AD294" s="19">
        <f t="shared" si="179"/>
        <v>0</v>
      </c>
      <c r="AE294" s="19">
        <f t="shared" si="180"/>
        <v>0</v>
      </c>
      <c r="AF294" s="19">
        <f t="shared" si="181"/>
        <v>0</v>
      </c>
      <c r="AG294" s="19">
        <f t="shared" si="182"/>
        <v>0</v>
      </c>
      <c r="AH294" s="19">
        <f t="shared" si="183"/>
        <v>0</v>
      </c>
      <c r="AI294" s="19">
        <f t="shared" si="184"/>
        <v>0</v>
      </c>
      <c r="AJ294" s="19">
        <f t="shared" si="185"/>
        <v>0</v>
      </c>
      <c r="AK294" s="19">
        <f t="shared" si="186"/>
        <v>0</v>
      </c>
      <c r="AL294" s="19">
        <f t="shared" si="187"/>
        <v>0</v>
      </c>
      <c r="AM294" s="19">
        <f t="shared" si="188"/>
        <v>0</v>
      </c>
      <c r="AN294" s="19">
        <f t="shared" si="189"/>
        <v>0</v>
      </c>
      <c r="AO294" s="19">
        <f t="shared" si="190"/>
        <v>0</v>
      </c>
      <c r="AP294" s="19">
        <f t="shared" si="191"/>
        <v>0</v>
      </c>
      <c r="AQ294" s="19">
        <f t="shared" si="192"/>
        <v>0</v>
      </c>
      <c r="AR294" s="19">
        <f t="shared" si="193"/>
        <v>0</v>
      </c>
      <c r="AS294" s="19">
        <f t="shared" si="194"/>
        <v>0</v>
      </c>
      <c r="AT294" s="19">
        <f t="shared" si="195"/>
        <v>0</v>
      </c>
      <c r="AU294" s="19">
        <f t="shared" si="196"/>
        <v>0</v>
      </c>
      <c r="AV294" s="19">
        <f t="shared" si="197"/>
        <v>0</v>
      </c>
      <c r="AW294" s="19">
        <f t="shared" si="198"/>
        <v>0</v>
      </c>
      <c r="AX294" s="18">
        <f>IFERROR(Z294/'Ar-Pa'!B294,0)</f>
        <v>0</v>
      </c>
      <c r="AY294" s="18">
        <f>IFERROR(AA294/'Ar-Pa'!C294,0)</f>
        <v>0</v>
      </c>
      <c r="AZ294" s="18">
        <f>IFERROR(AB294/'Ar-Pa'!D294,0)</f>
        <v>0</v>
      </c>
      <c r="BA294" s="18">
        <f>IFERROR(AC294/'Ar-Pa'!E294,0)</f>
        <v>0</v>
      </c>
      <c r="BB294" s="18">
        <f>IFERROR(AD294/'Ar-Pa'!F294,0)</f>
        <v>0</v>
      </c>
      <c r="BC294" s="18">
        <f>IFERROR(AE294/'Ar-Pa'!G294,0)</f>
        <v>0</v>
      </c>
      <c r="BD294" s="18">
        <f>IFERROR(AF294/'Ar-Pa'!H294,0)</f>
        <v>0</v>
      </c>
      <c r="BE294" s="18">
        <f>IFERROR(AG294/'Ar-Pa'!I294,0)</f>
        <v>0</v>
      </c>
      <c r="BF294" s="18">
        <f>IFERROR(AH294/'Ar-Pa'!J294,0)</f>
        <v>0</v>
      </c>
      <c r="BG294" s="18">
        <f>IFERROR(AI294/'Ar-Pa'!K294,0)</f>
        <v>0</v>
      </c>
      <c r="BH294" s="18">
        <f>IFERROR(AJ294/'Ar-Pa'!L294,0)</f>
        <v>0</v>
      </c>
      <c r="BI294" s="18">
        <f>IFERROR(AK294/'Ar-Pa'!M294,0)</f>
        <v>0</v>
      </c>
      <c r="BJ294" s="18">
        <f>IFERROR(AL294/'Ar-Pa'!N294,0)</f>
        <v>0</v>
      </c>
      <c r="BK294" s="18">
        <f>IFERROR(AM294/'Ar-Pa'!O294,0)</f>
        <v>0</v>
      </c>
      <c r="BL294" s="18">
        <f>IFERROR(AN294/'Ar-Pa'!P294,0)</f>
        <v>0</v>
      </c>
      <c r="BM294" s="18">
        <f>IFERROR(AO294/'Ar-Pa'!Q294,0)</f>
        <v>0</v>
      </c>
      <c r="BN294" s="18">
        <f>IFERROR(AP294/'Ar-Pa'!R294,0)</f>
        <v>0</v>
      </c>
      <c r="BO294" s="18">
        <f>IFERROR(AQ294/'Ar-Pa'!S294,0)</f>
        <v>0</v>
      </c>
      <c r="BP294" s="18">
        <f>IFERROR(AR294/'Ar-Pa'!T294,0)</f>
        <v>0</v>
      </c>
      <c r="BQ294" s="18">
        <f>IFERROR(AS294/'Ar-Pa'!U294,0)</f>
        <v>0</v>
      </c>
      <c r="BR294" s="18">
        <f>IFERROR(AT294/'Ar-Pa'!V294,0)</f>
        <v>0</v>
      </c>
      <c r="BS294" s="18">
        <f>IFERROR(AU294/'Ar-Pa'!W294,0)</f>
        <v>0</v>
      </c>
      <c r="BT294" s="18">
        <f>IFERROR(AV294/'Ar-Pa'!X294,0)</f>
        <v>0</v>
      </c>
      <c r="BU294" s="18">
        <f>IFERROR(AW294/'Ar-Pa'!Y294,0)</f>
        <v>0</v>
      </c>
    </row>
    <row r="295" spans="1:73">
      <c r="A295" s="15">
        <v>45220</v>
      </c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9">
        <f t="shared" si="175"/>
        <v>0</v>
      </c>
      <c r="AA295" s="19">
        <f t="shared" si="176"/>
        <v>0</v>
      </c>
      <c r="AB295" s="19">
        <f t="shared" si="177"/>
        <v>0</v>
      </c>
      <c r="AC295" s="19">
        <f t="shared" si="178"/>
        <v>0</v>
      </c>
      <c r="AD295" s="19">
        <f t="shared" si="179"/>
        <v>0</v>
      </c>
      <c r="AE295" s="19">
        <f t="shared" si="180"/>
        <v>0</v>
      </c>
      <c r="AF295" s="19">
        <f t="shared" si="181"/>
        <v>0</v>
      </c>
      <c r="AG295" s="19">
        <f t="shared" si="182"/>
        <v>0</v>
      </c>
      <c r="AH295" s="19">
        <f t="shared" si="183"/>
        <v>0</v>
      </c>
      <c r="AI295" s="19">
        <f t="shared" si="184"/>
        <v>0</v>
      </c>
      <c r="AJ295" s="19">
        <f t="shared" si="185"/>
        <v>0</v>
      </c>
      <c r="AK295" s="19">
        <f t="shared" si="186"/>
        <v>0</v>
      </c>
      <c r="AL295" s="19">
        <f t="shared" si="187"/>
        <v>0</v>
      </c>
      <c r="AM295" s="19">
        <f t="shared" si="188"/>
        <v>0</v>
      </c>
      <c r="AN295" s="19">
        <f t="shared" si="189"/>
        <v>0</v>
      </c>
      <c r="AO295" s="19">
        <f t="shared" si="190"/>
        <v>0</v>
      </c>
      <c r="AP295" s="19">
        <f t="shared" si="191"/>
        <v>0</v>
      </c>
      <c r="AQ295" s="19">
        <f t="shared" si="192"/>
        <v>0</v>
      </c>
      <c r="AR295" s="19">
        <f t="shared" si="193"/>
        <v>0</v>
      </c>
      <c r="AS295" s="19">
        <f t="shared" si="194"/>
        <v>0</v>
      </c>
      <c r="AT295" s="19">
        <f t="shared" si="195"/>
        <v>0</v>
      </c>
      <c r="AU295" s="19">
        <f t="shared" si="196"/>
        <v>0</v>
      </c>
      <c r="AV295" s="19">
        <f t="shared" si="197"/>
        <v>0</v>
      </c>
      <c r="AW295" s="19">
        <f t="shared" si="198"/>
        <v>0</v>
      </c>
      <c r="AX295" s="18">
        <f>IFERROR(Z295/'Ar-Pa'!B295,0)</f>
        <v>0</v>
      </c>
      <c r="AY295" s="18">
        <f>IFERROR(AA295/'Ar-Pa'!C295,0)</f>
        <v>0</v>
      </c>
      <c r="AZ295" s="18">
        <f>IFERROR(AB295/'Ar-Pa'!D295,0)</f>
        <v>0</v>
      </c>
      <c r="BA295" s="18">
        <f>IFERROR(AC295/'Ar-Pa'!E295,0)</f>
        <v>0</v>
      </c>
      <c r="BB295" s="18">
        <f>IFERROR(AD295/'Ar-Pa'!F295,0)</f>
        <v>0</v>
      </c>
      <c r="BC295" s="18">
        <f>IFERROR(AE295/'Ar-Pa'!G295,0)</f>
        <v>0</v>
      </c>
      <c r="BD295" s="18">
        <f>IFERROR(AF295/'Ar-Pa'!H295,0)</f>
        <v>0</v>
      </c>
      <c r="BE295" s="18">
        <f>IFERROR(AG295/'Ar-Pa'!I295,0)</f>
        <v>0</v>
      </c>
      <c r="BF295" s="18">
        <f>IFERROR(AH295/'Ar-Pa'!J295,0)</f>
        <v>0</v>
      </c>
      <c r="BG295" s="18">
        <f>IFERROR(AI295/'Ar-Pa'!K295,0)</f>
        <v>0</v>
      </c>
      <c r="BH295" s="18">
        <f>IFERROR(AJ295/'Ar-Pa'!L295,0)</f>
        <v>0</v>
      </c>
      <c r="BI295" s="18">
        <f>IFERROR(AK295/'Ar-Pa'!M295,0)</f>
        <v>0</v>
      </c>
      <c r="BJ295" s="18">
        <f>IFERROR(AL295/'Ar-Pa'!N295,0)</f>
        <v>0</v>
      </c>
      <c r="BK295" s="18">
        <f>IFERROR(AM295/'Ar-Pa'!O295,0)</f>
        <v>0</v>
      </c>
      <c r="BL295" s="18">
        <f>IFERROR(AN295/'Ar-Pa'!P295,0)</f>
        <v>0</v>
      </c>
      <c r="BM295" s="18">
        <f>IFERROR(AO295/'Ar-Pa'!Q295,0)</f>
        <v>0</v>
      </c>
      <c r="BN295" s="18">
        <f>IFERROR(AP295/'Ar-Pa'!R295,0)</f>
        <v>0</v>
      </c>
      <c r="BO295" s="18">
        <f>IFERROR(AQ295/'Ar-Pa'!S295,0)</f>
        <v>0</v>
      </c>
      <c r="BP295" s="18">
        <f>IFERROR(AR295/'Ar-Pa'!T295,0)</f>
        <v>0</v>
      </c>
      <c r="BQ295" s="18">
        <f>IFERROR(AS295/'Ar-Pa'!U295,0)</f>
        <v>0</v>
      </c>
      <c r="BR295" s="18">
        <f>IFERROR(AT295/'Ar-Pa'!V295,0)</f>
        <v>0</v>
      </c>
      <c r="BS295" s="18">
        <f>IFERROR(AU295/'Ar-Pa'!W295,0)</f>
        <v>0</v>
      </c>
      <c r="BT295" s="18">
        <f>IFERROR(AV295/'Ar-Pa'!X295,0)</f>
        <v>0</v>
      </c>
      <c r="BU295" s="18">
        <f>IFERROR(AW295/'Ar-Pa'!Y295,0)</f>
        <v>0</v>
      </c>
    </row>
    <row r="296" spans="1:73">
      <c r="A296" s="15">
        <v>45221</v>
      </c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9">
        <f t="shared" si="175"/>
        <v>0</v>
      </c>
      <c r="AA296" s="19">
        <f t="shared" si="176"/>
        <v>0</v>
      </c>
      <c r="AB296" s="19">
        <f t="shared" si="177"/>
        <v>0</v>
      </c>
      <c r="AC296" s="19">
        <f t="shared" si="178"/>
        <v>0</v>
      </c>
      <c r="AD296" s="19">
        <f t="shared" si="179"/>
        <v>0</v>
      </c>
      <c r="AE296" s="19">
        <f t="shared" si="180"/>
        <v>0</v>
      </c>
      <c r="AF296" s="19">
        <f t="shared" si="181"/>
        <v>0</v>
      </c>
      <c r="AG296" s="19">
        <f t="shared" si="182"/>
        <v>0</v>
      </c>
      <c r="AH296" s="19">
        <f t="shared" si="183"/>
        <v>0</v>
      </c>
      <c r="AI296" s="19">
        <f t="shared" si="184"/>
        <v>0</v>
      </c>
      <c r="AJ296" s="19">
        <f t="shared" si="185"/>
        <v>0</v>
      </c>
      <c r="AK296" s="19">
        <f t="shared" si="186"/>
        <v>0</v>
      </c>
      <c r="AL296" s="19">
        <f t="shared" si="187"/>
        <v>0</v>
      </c>
      <c r="AM296" s="19">
        <f t="shared" si="188"/>
        <v>0</v>
      </c>
      <c r="AN296" s="19">
        <f t="shared" si="189"/>
        <v>0</v>
      </c>
      <c r="AO296" s="19">
        <f t="shared" si="190"/>
        <v>0</v>
      </c>
      <c r="AP296" s="19">
        <f t="shared" si="191"/>
        <v>0</v>
      </c>
      <c r="AQ296" s="19">
        <f t="shared" si="192"/>
        <v>0</v>
      </c>
      <c r="AR296" s="19">
        <f t="shared" si="193"/>
        <v>0</v>
      </c>
      <c r="AS296" s="19">
        <f t="shared" si="194"/>
        <v>0</v>
      </c>
      <c r="AT296" s="19">
        <f t="shared" si="195"/>
        <v>0</v>
      </c>
      <c r="AU296" s="19">
        <f t="shared" si="196"/>
        <v>0</v>
      </c>
      <c r="AV296" s="19">
        <f t="shared" si="197"/>
        <v>0</v>
      </c>
      <c r="AW296" s="19">
        <f t="shared" si="198"/>
        <v>0</v>
      </c>
      <c r="AX296" s="18">
        <f>IFERROR(Z296/'Ar-Pa'!B296,0)</f>
        <v>0</v>
      </c>
      <c r="AY296" s="18">
        <f>IFERROR(AA296/'Ar-Pa'!C296,0)</f>
        <v>0</v>
      </c>
      <c r="AZ296" s="18">
        <f>IFERROR(AB296/'Ar-Pa'!D296,0)</f>
        <v>0</v>
      </c>
      <c r="BA296" s="18">
        <f>IFERROR(AC296/'Ar-Pa'!E296,0)</f>
        <v>0</v>
      </c>
      <c r="BB296" s="18">
        <f>IFERROR(AD296/'Ar-Pa'!F296,0)</f>
        <v>0</v>
      </c>
      <c r="BC296" s="18">
        <f>IFERROR(AE296/'Ar-Pa'!G296,0)</f>
        <v>0</v>
      </c>
      <c r="BD296" s="18">
        <f>IFERROR(AF296/'Ar-Pa'!H296,0)</f>
        <v>0</v>
      </c>
      <c r="BE296" s="18">
        <f>IFERROR(AG296/'Ar-Pa'!I296,0)</f>
        <v>0</v>
      </c>
      <c r="BF296" s="18">
        <f>IFERROR(AH296/'Ar-Pa'!J296,0)</f>
        <v>0</v>
      </c>
      <c r="BG296" s="18">
        <f>IFERROR(AI296/'Ar-Pa'!K296,0)</f>
        <v>0</v>
      </c>
      <c r="BH296" s="18">
        <f>IFERROR(AJ296/'Ar-Pa'!L296,0)</f>
        <v>0</v>
      </c>
      <c r="BI296" s="18">
        <f>IFERROR(AK296/'Ar-Pa'!M296,0)</f>
        <v>0</v>
      </c>
      <c r="BJ296" s="18">
        <f>IFERROR(AL296/'Ar-Pa'!N296,0)</f>
        <v>0</v>
      </c>
      <c r="BK296" s="18">
        <f>IFERROR(AM296/'Ar-Pa'!O296,0)</f>
        <v>0</v>
      </c>
      <c r="BL296" s="18">
        <f>IFERROR(AN296/'Ar-Pa'!P296,0)</f>
        <v>0</v>
      </c>
      <c r="BM296" s="18">
        <f>IFERROR(AO296/'Ar-Pa'!Q296,0)</f>
        <v>0</v>
      </c>
      <c r="BN296" s="18">
        <f>IFERROR(AP296/'Ar-Pa'!R296,0)</f>
        <v>0</v>
      </c>
      <c r="BO296" s="18">
        <f>IFERROR(AQ296/'Ar-Pa'!S296,0)</f>
        <v>0</v>
      </c>
      <c r="BP296" s="18">
        <f>IFERROR(AR296/'Ar-Pa'!T296,0)</f>
        <v>0</v>
      </c>
      <c r="BQ296" s="18">
        <f>IFERROR(AS296/'Ar-Pa'!U296,0)</f>
        <v>0</v>
      </c>
      <c r="BR296" s="18">
        <f>IFERROR(AT296/'Ar-Pa'!V296,0)</f>
        <v>0</v>
      </c>
      <c r="BS296" s="18">
        <f>IFERROR(AU296/'Ar-Pa'!W296,0)</f>
        <v>0</v>
      </c>
      <c r="BT296" s="18">
        <f>IFERROR(AV296/'Ar-Pa'!X296,0)</f>
        <v>0</v>
      </c>
      <c r="BU296" s="18">
        <f>IFERROR(AW296/'Ar-Pa'!Y296,0)</f>
        <v>0</v>
      </c>
    </row>
    <row r="297" spans="1:73">
      <c r="A297" s="15">
        <v>45222</v>
      </c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9">
        <f t="shared" si="175"/>
        <v>0</v>
      </c>
      <c r="AA297" s="19">
        <f t="shared" si="176"/>
        <v>0</v>
      </c>
      <c r="AB297" s="19">
        <f t="shared" si="177"/>
        <v>0</v>
      </c>
      <c r="AC297" s="19">
        <f t="shared" si="178"/>
        <v>0</v>
      </c>
      <c r="AD297" s="19">
        <f t="shared" si="179"/>
        <v>0</v>
      </c>
      <c r="AE297" s="19">
        <f t="shared" si="180"/>
        <v>0</v>
      </c>
      <c r="AF297" s="19">
        <f t="shared" si="181"/>
        <v>0</v>
      </c>
      <c r="AG297" s="19">
        <f t="shared" si="182"/>
        <v>0</v>
      </c>
      <c r="AH297" s="19">
        <f t="shared" si="183"/>
        <v>0</v>
      </c>
      <c r="AI297" s="19">
        <f t="shared" si="184"/>
        <v>0</v>
      </c>
      <c r="AJ297" s="19">
        <f t="shared" si="185"/>
        <v>0</v>
      </c>
      <c r="AK297" s="19">
        <f t="shared" si="186"/>
        <v>0</v>
      </c>
      <c r="AL297" s="19">
        <f t="shared" si="187"/>
        <v>0</v>
      </c>
      <c r="AM297" s="19">
        <f t="shared" si="188"/>
        <v>0</v>
      </c>
      <c r="AN297" s="19">
        <f t="shared" si="189"/>
        <v>0</v>
      </c>
      <c r="AO297" s="19">
        <f t="shared" si="190"/>
        <v>0</v>
      </c>
      <c r="AP297" s="19">
        <f t="shared" si="191"/>
        <v>0</v>
      </c>
      <c r="AQ297" s="19">
        <f t="shared" si="192"/>
        <v>0</v>
      </c>
      <c r="AR297" s="19">
        <f t="shared" si="193"/>
        <v>0</v>
      </c>
      <c r="AS297" s="19">
        <f t="shared" si="194"/>
        <v>0</v>
      </c>
      <c r="AT297" s="19">
        <f t="shared" si="195"/>
        <v>0</v>
      </c>
      <c r="AU297" s="19">
        <f t="shared" si="196"/>
        <v>0</v>
      </c>
      <c r="AV297" s="19">
        <f t="shared" si="197"/>
        <v>0</v>
      </c>
      <c r="AW297" s="19">
        <f t="shared" si="198"/>
        <v>0</v>
      </c>
      <c r="AX297" s="18">
        <f>IFERROR(Z297/'Ar-Pa'!B297,0)</f>
        <v>0</v>
      </c>
      <c r="AY297" s="18">
        <f>IFERROR(AA297/'Ar-Pa'!C297,0)</f>
        <v>0</v>
      </c>
      <c r="AZ297" s="18">
        <f>IFERROR(AB297/'Ar-Pa'!D297,0)</f>
        <v>0</v>
      </c>
      <c r="BA297" s="18">
        <f>IFERROR(AC297/'Ar-Pa'!E297,0)</f>
        <v>0</v>
      </c>
      <c r="BB297" s="18">
        <f>IFERROR(AD297/'Ar-Pa'!F297,0)</f>
        <v>0</v>
      </c>
      <c r="BC297" s="18">
        <f>IFERROR(AE297/'Ar-Pa'!G297,0)</f>
        <v>0</v>
      </c>
      <c r="BD297" s="18">
        <f>IFERROR(AF297/'Ar-Pa'!H297,0)</f>
        <v>0</v>
      </c>
      <c r="BE297" s="18">
        <f>IFERROR(AG297/'Ar-Pa'!I297,0)</f>
        <v>0</v>
      </c>
      <c r="BF297" s="18">
        <f>IFERROR(AH297/'Ar-Pa'!J297,0)</f>
        <v>0</v>
      </c>
      <c r="BG297" s="18">
        <f>IFERROR(AI297/'Ar-Pa'!K297,0)</f>
        <v>0</v>
      </c>
      <c r="BH297" s="18">
        <f>IFERROR(AJ297/'Ar-Pa'!L297,0)</f>
        <v>0</v>
      </c>
      <c r="BI297" s="18">
        <f>IFERROR(AK297/'Ar-Pa'!M297,0)</f>
        <v>0</v>
      </c>
      <c r="BJ297" s="18">
        <f>IFERROR(AL297/'Ar-Pa'!N297,0)</f>
        <v>0</v>
      </c>
      <c r="BK297" s="18">
        <f>IFERROR(AM297/'Ar-Pa'!O297,0)</f>
        <v>0</v>
      </c>
      <c r="BL297" s="18">
        <f>IFERROR(AN297/'Ar-Pa'!P297,0)</f>
        <v>0</v>
      </c>
      <c r="BM297" s="18">
        <f>IFERROR(AO297/'Ar-Pa'!Q297,0)</f>
        <v>0</v>
      </c>
      <c r="BN297" s="18">
        <f>IFERROR(AP297/'Ar-Pa'!R297,0)</f>
        <v>0</v>
      </c>
      <c r="BO297" s="18">
        <f>IFERROR(AQ297/'Ar-Pa'!S297,0)</f>
        <v>0</v>
      </c>
      <c r="BP297" s="18">
        <f>IFERROR(AR297/'Ar-Pa'!T297,0)</f>
        <v>0</v>
      </c>
      <c r="BQ297" s="18">
        <f>IFERROR(AS297/'Ar-Pa'!U297,0)</f>
        <v>0</v>
      </c>
      <c r="BR297" s="18">
        <f>IFERROR(AT297/'Ar-Pa'!V297,0)</f>
        <v>0</v>
      </c>
      <c r="BS297" s="18">
        <f>IFERROR(AU297/'Ar-Pa'!W297,0)</f>
        <v>0</v>
      </c>
      <c r="BT297" s="18">
        <f>IFERROR(AV297/'Ar-Pa'!X297,0)</f>
        <v>0</v>
      </c>
      <c r="BU297" s="18">
        <f>IFERROR(AW297/'Ar-Pa'!Y297,0)</f>
        <v>0</v>
      </c>
    </row>
    <row r="298" spans="1:73">
      <c r="A298" s="15">
        <v>45223</v>
      </c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9">
        <f t="shared" si="175"/>
        <v>0</v>
      </c>
      <c r="AA298" s="19">
        <f t="shared" si="176"/>
        <v>0</v>
      </c>
      <c r="AB298" s="19">
        <f t="shared" si="177"/>
        <v>0</v>
      </c>
      <c r="AC298" s="19">
        <f t="shared" si="178"/>
        <v>0</v>
      </c>
      <c r="AD298" s="19">
        <f t="shared" si="179"/>
        <v>0</v>
      </c>
      <c r="AE298" s="19">
        <f t="shared" si="180"/>
        <v>0</v>
      </c>
      <c r="AF298" s="19">
        <f t="shared" si="181"/>
        <v>0</v>
      </c>
      <c r="AG298" s="19">
        <f t="shared" si="182"/>
        <v>0</v>
      </c>
      <c r="AH298" s="19">
        <f t="shared" si="183"/>
        <v>0</v>
      </c>
      <c r="AI298" s="19">
        <f t="shared" si="184"/>
        <v>0</v>
      </c>
      <c r="AJ298" s="19">
        <f t="shared" si="185"/>
        <v>0</v>
      </c>
      <c r="AK298" s="19">
        <f t="shared" si="186"/>
        <v>0</v>
      </c>
      <c r="AL298" s="19">
        <f t="shared" si="187"/>
        <v>0</v>
      </c>
      <c r="AM298" s="19">
        <f t="shared" si="188"/>
        <v>0</v>
      </c>
      <c r="AN298" s="19">
        <f t="shared" si="189"/>
        <v>0</v>
      </c>
      <c r="AO298" s="19">
        <f t="shared" si="190"/>
        <v>0</v>
      </c>
      <c r="AP298" s="19">
        <f t="shared" si="191"/>
        <v>0</v>
      </c>
      <c r="AQ298" s="19">
        <f t="shared" si="192"/>
        <v>0</v>
      </c>
      <c r="AR298" s="19">
        <f t="shared" si="193"/>
        <v>0</v>
      </c>
      <c r="AS298" s="19">
        <f t="shared" si="194"/>
        <v>0</v>
      </c>
      <c r="AT298" s="19">
        <f t="shared" si="195"/>
        <v>0</v>
      </c>
      <c r="AU298" s="19">
        <f t="shared" si="196"/>
        <v>0</v>
      </c>
      <c r="AV298" s="19">
        <f t="shared" si="197"/>
        <v>0</v>
      </c>
      <c r="AW298" s="19">
        <f t="shared" si="198"/>
        <v>0</v>
      </c>
      <c r="AX298" s="18">
        <f>IFERROR(Z298/'Ar-Pa'!B298,0)</f>
        <v>0</v>
      </c>
      <c r="AY298" s="18">
        <f>IFERROR(AA298/'Ar-Pa'!C298,0)</f>
        <v>0</v>
      </c>
      <c r="AZ298" s="18">
        <f>IFERROR(AB298/'Ar-Pa'!D298,0)</f>
        <v>0</v>
      </c>
      <c r="BA298" s="18">
        <f>IFERROR(AC298/'Ar-Pa'!E298,0)</f>
        <v>0</v>
      </c>
      <c r="BB298" s="18">
        <f>IFERROR(AD298/'Ar-Pa'!F298,0)</f>
        <v>0</v>
      </c>
      <c r="BC298" s="18">
        <f>IFERROR(AE298/'Ar-Pa'!G298,0)</f>
        <v>0</v>
      </c>
      <c r="BD298" s="18">
        <f>IFERROR(AF298/'Ar-Pa'!H298,0)</f>
        <v>0</v>
      </c>
      <c r="BE298" s="18">
        <f>IFERROR(AG298/'Ar-Pa'!I298,0)</f>
        <v>0</v>
      </c>
      <c r="BF298" s="18">
        <f>IFERROR(AH298/'Ar-Pa'!J298,0)</f>
        <v>0</v>
      </c>
      <c r="BG298" s="18">
        <f>IFERROR(AI298/'Ar-Pa'!K298,0)</f>
        <v>0</v>
      </c>
      <c r="BH298" s="18">
        <f>IFERROR(AJ298/'Ar-Pa'!L298,0)</f>
        <v>0</v>
      </c>
      <c r="BI298" s="18">
        <f>IFERROR(AK298/'Ar-Pa'!M298,0)</f>
        <v>0</v>
      </c>
      <c r="BJ298" s="18">
        <f>IFERROR(AL298/'Ar-Pa'!N298,0)</f>
        <v>0</v>
      </c>
      <c r="BK298" s="18">
        <f>IFERROR(AM298/'Ar-Pa'!O298,0)</f>
        <v>0</v>
      </c>
      <c r="BL298" s="18">
        <f>IFERROR(AN298/'Ar-Pa'!P298,0)</f>
        <v>0</v>
      </c>
      <c r="BM298" s="18">
        <f>IFERROR(AO298/'Ar-Pa'!Q298,0)</f>
        <v>0</v>
      </c>
      <c r="BN298" s="18">
        <f>IFERROR(AP298/'Ar-Pa'!R298,0)</f>
        <v>0</v>
      </c>
      <c r="BO298" s="18">
        <f>IFERROR(AQ298/'Ar-Pa'!S298,0)</f>
        <v>0</v>
      </c>
      <c r="BP298" s="18">
        <f>IFERROR(AR298/'Ar-Pa'!T298,0)</f>
        <v>0</v>
      </c>
      <c r="BQ298" s="18">
        <f>IFERROR(AS298/'Ar-Pa'!U298,0)</f>
        <v>0</v>
      </c>
      <c r="BR298" s="18">
        <f>IFERROR(AT298/'Ar-Pa'!V298,0)</f>
        <v>0</v>
      </c>
      <c r="BS298" s="18">
        <f>IFERROR(AU298/'Ar-Pa'!W298,0)</f>
        <v>0</v>
      </c>
      <c r="BT298" s="18">
        <f>IFERROR(AV298/'Ar-Pa'!X298,0)</f>
        <v>0</v>
      </c>
      <c r="BU298" s="18">
        <f>IFERROR(AW298/'Ar-Pa'!Y298,0)</f>
        <v>0</v>
      </c>
    </row>
    <row r="299" spans="1:73">
      <c r="A299" s="15">
        <v>45224</v>
      </c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9">
        <f t="shared" si="175"/>
        <v>0</v>
      </c>
      <c r="AA299" s="19">
        <f t="shared" si="176"/>
        <v>0</v>
      </c>
      <c r="AB299" s="19">
        <f t="shared" si="177"/>
        <v>0</v>
      </c>
      <c r="AC299" s="19">
        <f t="shared" si="178"/>
        <v>0</v>
      </c>
      <c r="AD299" s="19">
        <f t="shared" si="179"/>
        <v>0</v>
      </c>
      <c r="AE299" s="19">
        <f t="shared" si="180"/>
        <v>0</v>
      </c>
      <c r="AF299" s="19">
        <f t="shared" si="181"/>
        <v>0</v>
      </c>
      <c r="AG299" s="19">
        <f t="shared" si="182"/>
        <v>0</v>
      </c>
      <c r="AH299" s="19">
        <f t="shared" si="183"/>
        <v>0</v>
      </c>
      <c r="AI299" s="19">
        <f t="shared" si="184"/>
        <v>0</v>
      </c>
      <c r="AJ299" s="19">
        <f t="shared" si="185"/>
        <v>0</v>
      </c>
      <c r="AK299" s="19">
        <f t="shared" si="186"/>
        <v>0</v>
      </c>
      <c r="AL299" s="19">
        <f t="shared" si="187"/>
        <v>0</v>
      </c>
      <c r="AM299" s="19">
        <f t="shared" si="188"/>
        <v>0</v>
      </c>
      <c r="AN299" s="19">
        <f t="shared" si="189"/>
        <v>0</v>
      </c>
      <c r="AO299" s="19">
        <f t="shared" si="190"/>
        <v>0</v>
      </c>
      <c r="AP299" s="19">
        <f t="shared" si="191"/>
        <v>0</v>
      </c>
      <c r="AQ299" s="19">
        <f t="shared" si="192"/>
        <v>0</v>
      </c>
      <c r="AR299" s="19">
        <f t="shared" si="193"/>
        <v>0</v>
      </c>
      <c r="AS299" s="19">
        <f t="shared" si="194"/>
        <v>0</v>
      </c>
      <c r="AT299" s="19">
        <f t="shared" si="195"/>
        <v>0</v>
      </c>
      <c r="AU299" s="19">
        <f t="shared" si="196"/>
        <v>0</v>
      </c>
      <c r="AV299" s="19">
        <f t="shared" si="197"/>
        <v>0</v>
      </c>
      <c r="AW299" s="19">
        <f t="shared" si="198"/>
        <v>0</v>
      </c>
      <c r="AX299" s="18">
        <f>IFERROR(Z299/'Ar-Pa'!B299,0)</f>
        <v>0</v>
      </c>
      <c r="AY299" s="18">
        <f>IFERROR(AA299/'Ar-Pa'!C299,0)</f>
        <v>0</v>
      </c>
      <c r="AZ299" s="18">
        <f>IFERROR(AB299/'Ar-Pa'!D299,0)</f>
        <v>0</v>
      </c>
      <c r="BA299" s="18">
        <f>IFERROR(AC299/'Ar-Pa'!E299,0)</f>
        <v>0</v>
      </c>
      <c r="BB299" s="18">
        <f>IFERROR(AD299/'Ar-Pa'!F299,0)</f>
        <v>0</v>
      </c>
      <c r="BC299" s="18">
        <f>IFERROR(AE299/'Ar-Pa'!G299,0)</f>
        <v>0</v>
      </c>
      <c r="BD299" s="18">
        <f>IFERROR(AF299/'Ar-Pa'!H299,0)</f>
        <v>0</v>
      </c>
      <c r="BE299" s="18">
        <f>IFERROR(AG299/'Ar-Pa'!I299,0)</f>
        <v>0</v>
      </c>
      <c r="BF299" s="18">
        <f>IFERROR(AH299/'Ar-Pa'!J299,0)</f>
        <v>0</v>
      </c>
      <c r="BG299" s="18">
        <f>IFERROR(AI299/'Ar-Pa'!K299,0)</f>
        <v>0</v>
      </c>
      <c r="BH299" s="18">
        <f>IFERROR(AJ299/'Ar-Pa'!L299,0)</f>
        <v>0</v>
      </c>
      <c r="BI299" s="18">
        <f>IFERROR(AK299/'Ar-Pa'!M299,0)</f>
        <v>0</v>
      </c>
      <c r="BJ299" s="18">
        <f>IFERROR(AL299/'Ar-Pa'!N299,0)</f>
        <v>0</v>
      </c>
      <c r="BK299" s="18">
        <f>IFERROR(AM299/'Ar-Pa'!O299,0)</f>
        <v>0</v>
      </c>
      <c r="BL299" s="18">
        <f>IFERROR(AN299/'Ar-Pa'!P299,0)</f>
        <v>0</v>
      </c>
      <c r="BM299" s="18">
        <f>IFERROR(AO299/'Ar-Pa'!Q299,0)</f>
        <v>0</v>
      </c>
      <c r="BN299" s="18">
        <f>IFERROR(AP299/'Ar-Pa'!R299,0)</f>
        <v>0</v>
      </c>
      <c r="BO299" s="18">
        <f>IFERROR(AQ299/'Ar-Pa'!S299,0)</f>
        <v>0</v>
      </c>
      <c r="BP299" s="18">
        <f>IFERROR(AR299/'Ar-Pa'!T299,0)</f>
        <v>0</v>
      </c>
      <c r="BQ299" s="18">
        <f>IFERROR(AS299/'Ar-Pa'!U299,0)</f>
        <v>0</v>
      </c>
      <c r="BR299" s="18">
        <f>IFERROR(AT299/'Ar-Pa'!V299,0)</f>
        <v>0</v>
      </c>
      <c r="BS299" s="18">
        <f>IFERROR(AU299/'Ar-Pa'!W299,0)</f>
        <v>0</v>
      </c>
      <c r="BT299" s="18">
        <f>IFERROR(AV299/'Ar-Pa'!X299,0)</f>
        <v>0</v>
      </c>
      <c r="BU299" s="18">
        <f>IFERROR(AW299/'Ar-Pa'!Y299,0)</f>
        <v>0</v>
      </c>
    </row>
    <row r="300" spans="1:73">
      <c r="A300" s="15">
        <v>45225</v>
      </c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9">
        <f t="shared" si="175"/>
        <v>0</v>
      </c>
      <c r="AA300" s="19">
        <f t="shared" si="176"/>
        <v>0</v>
      </c>
      <c r="AB300" s="19">
        <f t="shared" si="177"/>
        <v>0</v>
      </c>
      <c r="AC300" s="19">
        <f t="shared" si="178"/>
        <v>0</v>
      </c>
      <c r="AD300" s="19">
        <f t="shared" si="179"/>
        <v>0</v>
      </c>
      <c r="AE300" s="19">
        <f t="shared" si="180"/>
        <v>0</v>
      </c>
      <c r="AF300" s="19">
        <f t="shared" si="181"/>
        <v>0</v>
      </c>
      <c r="AG300" s="19">
        <f t="shared" si="182"/>
        <v>0</v>
      </c>
      <c r="AH300" s="19">
        <f t="shared" si="183"/>
        <v>0</v>
      </c>
      <c r="AI300" s="19">
        <f t="shared" si="184"/>
        <v>0</v>
      </c>
      <c r="AJ300" s="19">
        <f t="shared" si="185"/>
        <v>0</v>
      </c>
      <c r="AK300" s="19">
        <f t="shared" si="186"/>
        <v>0</v>
      </c>
      <c r="AL300" s="19">
        <f t="shared" si="187"/>
        <v>0</v>
      </c>
      <c r="AM300" s="19">
        <f t="shared" si="188"/>
        <v>0</v>
      </c>
      <c r="AN300" s="19">
        <f t="shared" si="189"/>
        <v>0</v>
      </c>
      <c r="AO300" s="19">
        <f t="shared" si="190"/>
        <v>0</v>
      </c>
      <c r="AP300" s="19">
        <f t="shared" si="191"/>
        <v>0</v>
      </c>
      <c r="AQ300" s="19">
        <f t="shared" si="192"/>
        <v>0</v>
      </c>
      <c r="AR300" s="19">
        <f t="shared" si="193"/>
        <v>0</v>
      </c>
      <c r="AS300" s="19">
        <f t="shared" si="194"/>
        <v>0</v>
      </c>
      <c r="AT300" s="19">
        <f t="shared" si="195"/>
        <v>0</v>
      </c>
      <c r="AU300" s="19">
        <f t="shared" si="196"/>
        <v>0</v>
      </c>
      <c r="AV300" s="19">
        <f t="shared" si="197"/>
        <v>0</v>
      </c>
      <c r="AW300" s="19">
        <f t="shared" si="198"/>
        <v>0</v>
      </c>
      <c r="AX300" s="18">
        <f>IFERROR(Z300/'Ar-Pa'!B300,0)</f>
        <v>0</v>
      </c>
      <c r="AY300" s="18">
        <f>IFERROR(AA300/'Ar-Pa'!C300,0)</f>
        <v>0</v>
      </c>
      <c r="AZ300" s="18">
        <f>IFERROR(AB300/'Ar-Pa'!D300,0)</f>
        <v>0</v>
      </c>
      <c r="BA300" s="18">
        <f>IFERROR(AC300/'Ar-Pa'!E300,0)</f>
        <v>0</v>
      </c>
      <c r="BB300" s="18">
        <f>IFERROR(AD300/'Ar-Pa'!F300,0)</f>
        <v>0</v>
      </c>
      <c r="BC300" s="18">
        <f>IFERROR(AE300/'Ar-Pa'!G300,0)</f>
        <v>0</v>
      </c>
      <c r="BD300" s="18">
        <f>IFERROR(AF300/'Ar-Pa'!H300,0)</f>
        <v>0</v>
      </c>
      <c r="BE300" s="18">
        <f>IFERROR(AG300/'Ar-Pa'!I300,0)</f>
        <v>0</v>
      </c>
      <c r="BF300" s="18">
        <f>IFERROR(AH300/'Ar-Pa'!J300,0)</f>
        <v>0</v>
      </c>
      <c r="BG300" s="18">
        <f>IFERROR(AI300/'Ar-Pa'!K300,0)</f>
        <v>0</v>
      </c>
      <c r="BH300" s="18">
        <f>IFERROR(AJ300/'Ar-Pa'!L300,0)</f>
        <v>0</v>
      </c>
      <c r="BI300" s="18">
        <f>IFERROR(AK300/'Ar-Pa'!M300,0)</f>
        <v>0</v>
      </c>
      <c r="BJ300" s="18">
        <f>IFERROR(AL300/'Ar-Pa'!N300,0)</f>
        <v>0</v>
      </c>
      <c r="BK300" s="18">
        <f>IFERROR(AM300/'Ar-Pa'!O300,0)</f>
        <v>0</v>
      </c>
      <c r="BL300" s="18">
        <f>IFERROR(AN300/'Ar-Pa'!P300,0)</f>
        <v>0</v>
      </c>
      <c r="BM300" s="18">
        <f>IFERROR(AO300/'Ar-Pa'!Q300,0)</f>
        <v>0</v>
      </c>
      <c r="BN300" s="18">
        <f>IFERROR(AP300/'Ar-Pa'!R300,0)</f>
        <v>0</v>
      </c>
      <c r="BO300" s="18">
        <f>IFERROR(AQ300/'Ar-Pa'!S300,0)</f>
        <v>0</v>
      </c>
      <c r="BP300" s="18">
        <f>IFERROR(AR300/'Ar-Pa'!T300,0)</f>
        <v>0</v>
      </c>
      <c r="BQ300" s="18">
        <f>IFERROR(AS300/'Ar-Pa'!U300,0)</f>
        <v>0</v>
      </c>
      <c r="BR300" s="18">
        <f>IFERROR(AT300/'Ar-Pa'!V300,0)</f>
        <v>0</v>
      </c>
      <c r="BS300" s="18">
        <f>IFERROR(AU300/'Ar-Pa'!W300,0)</f>
        <v>0</v>
      </c>
      <c r="BT300" s="18">
        <f>IFERROR(AV300/'Ar-Pa'!X300,0)</f>
        <v>0</v>
      </c>
      <c r="BU300" s="18">
        <f>IFERROR(AW300/'Ar-Pa'!Y300,0)</f>
        <v>0</v>
      </c>
    </row>
    <row r="301" spans="1:73">
      <c r="A301" s="15">
        <v>45226</v>
      </c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9">
        <f t="shared" si="175"/>
        <v>0</v>
      </c>
      <c r="AA301" s="19">
        <f t="shared" si="176"/>
        <v>0</v>
      </c>
      <c r="AB301" s="19">
        <f t="shared" si="177"/>
        <v>0</v>
      </c>
      <c r="AC301" s="19">
        <f t="shared" si="178"/>
        <v>0</v>
      </c>
      <c r="AD301" s="19">
        <f t="shared" si="179"/>
        <v>0</v>
      </c>
      <c r="AE301" s="19">
        <f t="shared" si="180"/>
        <v>0</v>
      </c>
      <c r="AF301" s="19">
        <f t="shared" si="181"/>
        <v>0</v>
      </c>
      <c r="AG301" s="19">
        <f t="shared" si="182"/>
        <v>0</v>
      </c>
      <c r="AH301" s="19">
        <f t="shared" si="183"/>
        <v>0</v>
      </c>
      <c r="AI301" s="19">
        <f t="shared" si="184"/>
        <v>0</v>
      </c>
      <c r="AJ301" s="19">
        <f t="shared" si="185"/>
        <v>0</v>
      </c>
      <c r="AK301" s="19">
        <f t="shared" si="186"/>
        <v>0</v>
      </c>
      <c r="AL301" s="19">
        <f t="shared" si="187"/>
        <v>0</v>
      </c>
      <c r="AM301" s="19">
        <f t="shared" si="188"/>
        <v>0</v>
      </c>
      <c r="AN301" s="19">
        <f t="shared" si="189"/>
        <v>0</v>
      </c>
      <c r="AO301" s="19">
        <f t="shared" si="190"/>
        <v>0</v>
      </c>
      <c r="AP301" s="19">
        <f t="shared" si="191"/>
        <v>0</v>
      </c>
      <c r="AQ301" s="19">
        <f t="shared" si="192"/>
        <v>0</v>
      </c>
      <c r="AR301" s="19">
        <f t="shared" si="193"/>
        <v>0</v>
      </c>
      <c r="AS301" s="19">
        <f t="shared" si="194"/>
        <v>0</v>
      </c>
      <c r="AT301" s="19">
        <f t="shared" si="195"/>
        <v>0</v>
      </c>
      <c r="AU301" s="19">
        <f t="shared" si="196"/>
        <v>0</v>
      </c>
      <c r="AV301" s="19">
        <f t="shared" si="197"/>
        <v>0</v>
      </c>
      <c r="AW301" s="19">
        <f t="shared" si="198"/>
        <v>0</v>
      </c>
      <c r="AX301" s="18">
        <f>IFERROR(Z301/'Ar-Pa'!B301,0)</f>
        <v>0</v>
      </c>
      <c r="AY301" s="18">
        <f>IFERROR(AA301/'Ar-Pa'!C301,0)</f>
        <v>0</v>
      </c>
      <c r="AZ301" s="18">
        <f>IFERROR(AB301/'Ar-Pa'!D301,0)</f>
        <v>0</v>
      </c>
      <c r="BA301" s="18">
        <f>IFERROR(AC301/'Ar-Pa'!E301,0)</f>
        <v>0</v>
      </c>
      <c r="BB301" s="18">
        <f>IFERROR(AD301/'Ar-Pa'!F301,0)</f>
        <v>0</v>
      </c>
      <c r="BC301" s="18">
        <f>IFERROR(AE301/'Ar-Pa'!G301,0)</f>
        <v>0</v>
      </c>
      <c r="BD301" s="18">
        <f>IFERROR(AF301/'Ar-Pa'!H301,0)</f>
        <v>0</v>
      </c>
      <c r="BE301" s="18">
        <f>IFERROR(AG301/'Ar-Pa'!I301,0)</f>
        <v>0</v>
      </c>
      <c r="BF301" s="18">
        <f>IFERROR(AH301/'Ar-Pa'!J301,0)</f>
        <v>0</v>
      </c>
      <c r="BG301" s="18">
        <f>IFERROR(AI301/'Ar-Pa'!K301,0)</f>
        <v>0</v>
      </c>
      <c r="BH301" s="18">
        <f>IFERROR(AJ301/'Ar-Pa'!L301,0)</f>
        <v>0</v>
      </c>
      <c r="BI301" s="18">
        <f>IFERROR(AK301/'Ar-Pa'!M301,0)</f>
        <v>0</v>
      </c>
      <c r="BJ301" s="18">
        <f>IFERROR(AL301/'Ar-Pa'!N301,0)</f>
        <v>0</v>
      </c>
      <c r="BK301" s="18">
        <f>IFERROR(AM301/'Ar-Pa'!O301,0)</f>
        <v>0</v>
      </c>
      <c r="BL301" s="18">
        <f>IFERROR(AN301/'Ar-Pa'!P301,0)</f>
        <v>0</v>
      </c>
      <c r="BM301" s="18">
        <f>IFERROR(AO301/'Ar-Pa'!Q301,0)</f>
        <v>0</v>
      </c>
      <c r="BN301" s="18">
        <f>IFERROR(AP301/'Ar-Pa'!R301,0)</f>
        <v>0</v>
      </c>
      <c r="BO301" s="18">
        <f>IFERROR(AQ301/'Ar-Pa'!S301,0)</f>
        <v>0</v>
      </c>
      <c r="BP301" s="18">
        <f>IFERROR(AR301/'Ar-Pa'!T301,0)</f>
        <v>0</v>
      </c>
      <c r="BQ301" s="18">
        <f>IFERROR(AS301/'Ar-Pa'!U301,0)</f>
        <v>0</v>
      </c>
      <c r="BR301" s="18">
        <f>IFERROR(AT301/'Ar-Pa'!V301,0)</f>
        <v>0</v>
      </c>
      <c r="BS301" s="18">
        <f>IFERROR(AU301/'Ar-Pa'!W301,0)</f>
        <v>0</v>
      </c>
      <c r="BT301" s="18">
        <f>IFERROR(AV301/'Ar-Pa'!X301,0)</f>
        <v>0</v>
      </c>
      <c r="BU301" s="18">
        <f>IFERROR(AW301/'Ar-Pa'!Y301,0)</f>
        <v>0</v>
      </c>
    </row>
    <row r="302" spans="1:73">
      <c r="A302" s="15">
        <v>45227</v>
      </c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9">
        <f t="shared" si="175"/>
        <v>0</v>
      </c>
      <c r="AA302" s="19">
        <f t="shared" si="176"/>
        <v>0</v>
      </c>
      <c r="AB302" s="19">
        <f t="shared" si="177"/>
        <v>0</v>
      </c>
      <c r="AC302" s="19">
        <f t="shared" si="178"/>
        <v>0</v>
      </c>
      <c r="AD302" s="19">
        <f t="shared" si="179"/>
        <v>0</v>
      </c>
      <c r="AE302" s="19">
        <f t="shared" si="180"/>
        <v>0</v>
      </c>
      <c r="AF302" s="19">
        <f t="shared" si="181"/>
        <v>0</v>
      </c>
      <c r="AG302" s="19">
        <f t="shared" si="182"/>
        <v>0</v>
      </c>
      <c r="AH302" s="19">
        <f t="shared" si="183"/>
        <v>0</v>
      </c>
      <c r="AI302" s="19">
        <f t="shared" si="184"/>
        <v>0</v>
      </c>
      <c r="AJ302" s="19">
        <f t="shared" si="185"/>
        <v>0</v>
      </c>
      <c r="AK302" s="19">
        <f t="shared" si="186"/>
        <v>0</v>
      </c>
      <c r="AL302" s="19">
        <f t="shared" si="187"/>
        <v>0</v>
      </c>
      <c r="AM302" s="19">
        <f t="shared" si="188"/>
        <v>0</v>
      </c>
      <c r="AN302" s="19">
        <f t="shared" si="189"/>
        <v>0</v>
      </c>
      <c r="AO302" s="19">
        <f t="shared" si="190"/>
        <v>0</v>
      </c>
      <c r="AP302" s="19">
        <f t="shared" si="191"/>
        <v>0</v>
      </c>
      <c r="AQ302" s="19">
        <f t="shared" si="192"/>
        <v>0</v>
      </c>
      <c r="AR302" s="19">
        <f t="shared" si="193"/>
        <v>0</v>
      </c>
      <c r="AS302" s="19">
        <f t="shared" si="194"/>
        <v>0</v>
      </c>
      <c r="AT302" s="19">
        <f t="shared" si="195"/>
        <v>0</v>
      </c>
      <c r="AU302" s="19">
        <f t="shared" si="196"/>
        <v>0</v>
      </c>
      <c r="AV302" s="19">
        <f t="shared" si="197"/>
        <v>0</v>
      </c>
      <c r="AW302" s="19">
        <f t="shared" si="198"/>
        <v>0</v>
      </c>
      <c r="AX302" s="18">
        <f>IFERROR(Z302/'Ar-Pa'!B302,0)</f>
        <v>0</v>
      </c>
      <c r="AY302" s="18">
        <f>IFERROR(AA302/'Ar-Pa'!C302,0)</f>
        <v>0</v>
      </c>
      <c r="AZ302" s="18">
        <f>IFERROR(AB302/'Ar-Pa'!D302,0)</f>
        <v>0</v>
      </c>
      <c r="BA302" s="18">
        <f>IFERROR(AC302/'Ar-Pa'!E302,0)</f>
        <v>0</v>
      </c>
      <c r="BB302" s="18">
        <f>IFERROR(AD302/'Ar-Pa'!F302,0)</f>
        <v>0</v>
      </c>
      <c r="BC302" s="18">
        <f>IFERROR(AE302/'Ar-Pa'!G302,0)</f>
        <v>0</v>
      </c>
      <c r="BD302" s="18">
        <f>IFERROR(AF302/'Ar-Pa'!H302,0)</f>
        <v>0</v>
      </c>
      <c r="BE302" s="18">
        <f>IFERROR(AG302/'Ar-Pa'!I302,0)</f>
        <v>0</v>
      </c>
      <c r="BF302" s="18">
        <f>IFERROR(AH302/'Ar-Pa'!J302,0)</f>
        <v>0</v>
      </c>
      <c r="BG302" s="18">
        <f>IFERROR(AI302/'Ar-Pa'!K302,0)</f>
        <v>0</v>
      </c>
      <c r="BH302" s="18">
        <f>IFERROR(AJ302/'Ar-Pa'!L302,0)</f>
        <v>0</v>
      </c>
      <c r="BI302" s="18">
        <f>IFERROR(AK302/'Ar-Pa'!M302,0)</f>
        <v>0</v>
      </c>
      <c r="BJ302" s="18">
        <f>IFERROR(AL302/'Ar-Pa'!N302,0)</f>
        <v>0</v>
      </c>
      <c r="BK302" s="18">
        <f>IFERROR(AM302/'Ar-Pa'!O302,0)</f>
        <v>0</v>
      </c>
      <c r="BL302" s="18">
        <f>IFERROR(AN302/'Ar-Pa'!P302,0)</f>
        <v>0</v>
      </c>
      <c r="BM302" s="18">
        <f>IFERROR(AO302/'Ar-Pa'!Q302,0)</f>
        <v>0</v>
      </c>
      <c r="BN302" s="18">
        <f>IFERROR(AP302/'Ar-Pa'!R302,0)</f>
        <v>0</v>
      </c>
      <c r="BO302" s="18">
        <f>IFERROR(AQ302/'Ar-Pa'!S302,0)</f>
        <v>0</v>
      </c>
      <c r="BP302" s="18">
        <f>IFERROR(AR302/'Ar-Pa'!T302,0)</f>
        <v>0</v>
      </c>
      <c r="BQ302" s="18">
        <f>IFERROR(AS302/'Ar-Pa'!U302,0)</f>
        <v>0</v>
      </c>
      <c r="BR302" s="18">
        <f>IFERROR(AT302/'Ar-Pa'!V302,0)</f>
        <v>0</v>
      </c>
      <c r="BS302" s="18">
        <f>IFERROR(AU302/'Ar-Pa'!W302,0)</f>
        <v>0</v>
      </c>
      <c r="BT302" s="18">
        <f>IFERROR(AV302/'Ar-Pa'!X302,0)</f>
        <v>0</v>
      </c>
      <c r="BU302" s="18">
        <f>IFERROR(AW302/'Ar-Pa'!Y302,0)</f>
        <v>0</v>
      </c>
    </row>
    <row r="303" spans="1:73">
      <c r="A303" s="15">
        <v>45228</v>
      </c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9">
        <f t="shared" si="175"/>
        <v>0</v>
      </c>
      <c r="AA303" s="19">
        <f t="shared" si="176"/>
        <v>0</v>
      </c>
      <c r="AB303" s="19">
        <f t="shared" si="177"/>
        <v>0</v>
      </c>
      <c r="AC303" s="19">
        <f t="shared" si="178"/>
        <v>0</v>
      </c>
      <c r="AD303" s="19">
        <f t="shared" si="179"/>
        <v>0</v>
      </c>
      <c r="AE303" s="19">
        <f t="shared" si="180"/>
        <v>0</v>
      </c>
      <c r="AF303" s="19">
        <f t="shared" si="181"/>
        <v>0</v>
      </c>
      <c r="AG303" s="19">
        <f t="shared" si="182"/>
        <v>0</v>
      </c>
      <c r="AH303" s="19">
        <f t="shared" si="183"/>
        <v>0</v>
      </c>
      <c r="AI303" s="19">
        <f t="shared" si="184"/>
        <v>0</v>
      </c>
      <c r="AJ303" s="19">
        <f t="shared" si="185"/>
        <v>0</v>
      </c>
      <c r="AK303" s="19">
        <f t="shared" si="186"/>
        <v>0</v>
      </c>
      <c r="AL303" s="19">
        <f t="shared" si="187"/>
        <v>0</v>
      </c>
      <c r="AM303" s="19">
        <f t="shared" si="188"/>
        <v>0</v>
      </c>
      <c r="AN303" s="19">
        <f t="shared" si="189"/>
        <v>0</v>
      </c>
      <c r="AO303" s="19">
        <f t="shared" si="190"/>
        <v>0</v>
      </c>
      <c r="AP303" s="19">
        <f t="shared" si="191"/>
        <v>0</v>
      </c>
      <c r="AQ303" s="19">
        <f t="shared" si="192"/>
        <v>0</v>
      </c>
      <c r="AR303" s="19">
        <f t="shared" si="193"/>
        <v>0</v>
      </c>
      <c r="AS303" s="19">
        <f t="shared" si="194"/>
        <v>0</v>
      </c>
      <c r="AT303" s="19">
        <f t="shared" si="195"/>
        <v>0</v>
      </c>
      <c r="AU303" s="19">
        <f t="shared" si="196"/>
        <v>0</v>
      </c>
      <c r="AV303" s="19">
        <f t="shared" si="197"/>
        <v>0</v>
      </c>
      <c r="AW303" s="19">
        <f t="shared" si="198"/>
        <v>0</v>
      </c>
      <c r="AX303" s="18">
        <f>IFERROR(Z303/'Ar-Pa'!B303,0)</f>
        <v>0</v>
      </c>
      <c r="AY303" s="18">
        <f>IFERROR(AA303/'Ar-Pa'!C303,0)</f>
        <v>0</v>
      </c>
      <c r="AZ303" s="18">
        <f>IFERROR(AB303/'Ar-Pa'!D303,0)</f>
        <v>0</v>
      </c>
      <c r="BA303" s="18">
        <f>IFERROR(AC303/'Ar-Pa'!E303,0)</f>
        <v>0</v>
      </c>
      <c r="BB303" s="18">
        <f>IFERROR(AD303/'Ar-Pa'!F303,0)</f>
        <v>0</v>
      </c>
      <c r="BC303" s="18">
        <f>IFERROR(AE303/'Ar-Pa'!G303,0)</f>
        <v>0</v>
      </c>
      <c r="BD303" s="18">
        <f>IFERROR(AF303/'Ar-Pa'!H303,0)</f>
        <v>0</v>
      </c>
      <c r="BE303" s="18">
        <f>IFERROR(AG303/'Ar-Pa'!I303,0)</f>
        <v>0</v>
      </c>
      <c r="BF303" s="18">
        <f>IFERROR(AH303/'Ar-Pa'!J303,0)</f>
        <v>0</v>
      </c>
      <c r="BG303" s="18">
        <f>IFERROR(AI303/'Ar-Pa'!K303,0)</f>
        <v>0</v>
      </c>
      <c r="BH303" s="18">
        <f>IFERROR(AJ303/'Ar-Pa'!L303,0)</f>
        <v>0</v>
      </c>
      <c r="BI303" s="18">
        <f>IFERROR(AK303/'Ar-Pa'!M303,0)</f>
        <v>0</v>
      </c>
      <c r="BJ303" s="18">
        <f>IFERROR(AL303/'Ar-Pa'!N303,0)</f>
        <v>0</v>
      </c>
      <c r="BK303" s="18">
        <f>IFERROR(AM303/'Ar-Pa'!O303,0)</f>
        <v>0</v>
      </c>
      <c r="BL303" s="18">
        <f>IFERROR(AN303/'Ar-Pa'!P303,0)</f>
        <v>0</v>
      </c>
      <c r="BM303" s="18">
        <f>IFERROR(AO303/'Ar-Pa'!Q303,0)</f>
        <v>0</v>
      </c>
      <c r="BN303" s="18">
        <f>IFERROR(AP303/'Ar-Pa'!R303,0)</f>
        <v>0</v>
      </c>
      <c r="BO303" s="18">
        <f>IFERROR(AQ303/'Ar-Pa'!S303,0)</f>
        <v>0</v>
      </c>
      <c r="BP303" s="18">
        <f>IFERROR(AR303/'Ar-Pa'!T303,0)</f>
        <v>0</v>
      </c>
      <c r="BQ303" s="18">
        <f>IFERROR(AS303/'Ar-Pa'!U303,0)</f>
        <v>0</v>
      </c>
      <c r="BR303" s="18">
        <f>IFERROR(AT303/'Ar-Pa'!V303,0)</f>
        <v>0</v>
      </c>
      <c r="BS303" s="18">
        <f>IFERROR(AU303/'Ar-Pa'!W303,0)</f>
        <v>0</v>
      </c>
      <c r="BT303" s="18">
        <f>IFERROR(AV303/'Ar-Pa'!X303,0)</f>
        <v>0</v>
      </c>
      <c r="BU303" s="18">
        <f>IFERROR(AW303/'Ar-Pa'!Y303,0)</f>
        <v>0</v>
      </c>
    </row>
    <row r="304" spans="1:73">
      <c r="A304" s="15">
        <v>45229</v>
      </c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9">
        <f t="shared" si="175"/>
        <v>0</v>
      </c>
      <c r="AA304" s="19">
        <f t="shared" si="176"/>
        <v>0</v>
      </c>
      <c r="AB304" s="19">
        <f t="shared" si="177"/>
        <v>0</v>
      </c>
      <c r="AC304" s="19">
        <f t="shared" si="178"/>
        <v>0</v>
      </c>
      <c r="AD304" s="19">
        <f t="shared" si="179"/>
        <v>0</v>
      </c>
      <c r="AE304" s="19">
        <f t="shared" si="180"/>
        <v>0</v>
      </c>
      <c r="AF304" s="19">
        <f t="shared" si="181"/>
        <v>0</v>
      </c>
      <c r="AG304" s="19">
        <f t="shared" si="182"/>
        <v>0</v>
      </c>
      <c r="AH304" s="19">
        <f t="shared" si="183"/>
        <v>0</v>
      </c>
      <c r="AI304" s="19">
        <f t="shared" si="184"/>
        <v>0</v>
      </c>
      <c r="AJ304" s="19">
        <f t="shared" si="185"/>
        <v>0</v>
      </c>
      <c r="AK304" s="19">
        <f t="shared" si="186"/>
        <v>0</v>
      </c>
      <c r="AL304" s="19">
        <f t="shared" si="187"/>
        <v>0</v>
      </c>
      <c r="AM304" s="19">
        <f t="shared" si="188"/>
        <v>0</v>
      </c>
      <c r="AN304" s="19">
        <f t="shared" si="189"/>
        <v>0</v>
      </c>
      <c r="AO304" s="19">
        <f t="shared" si="190"/>
        <v>0</v>
      </c>
      <c r="AP304" s="19">
        <f t="shared" si="191"/>
        <v>0</v>
      </c>
      <c r="AQ304" s="19">
        <f t="shared" si="192"/>
        <v>0</v>
      </c>
      <c r="AR304" s="19">
        <f t="shared" si="193"/>
        <v>0</v>
      </c>
      <c r="AS304" s="19">
        <f t="shared" si="194"/>
        <v>0</v>
      </c>
      <c r="AT304" s="19">
        <f t="shared" si="195"/>
        <v>0</v>
      </c>
      <c r="AU304" s="19">
        <f t="shared" si="196"/>
        <v>0</v>
      </c>
      <c r="AV304" s="19">
        <f t="shared" si="197"/>
        <v>0</v>
      </c>
      <c r="AW304" s="19">
        <f t="shared" si="198"/>
        <v>0</v>
      </c>
      <c r="AX304" s="18">
        <f>IFERROR(Z304/'Ar-Pa'!B304,0)</f>
        <v>0</v>
      </c>
      <c r="AY304" s="18">
        <f>IFERROR(AA304/'Ar-Pa'!C304,0)</f>
        <v>0</v>
      </c>
      <c r="AZ304" s="18">
        <f>IFERROR(AB304/'Ar-Pa'!D304,0)</f>
        <v>0</v>
      </c>
      <c r="BA304" s="18">
        <f>IFERROR(AC304/'Ar-Pa'!E304,0)</f>
        <v>0</v>
      </c>
      <c r="BB304" s="18">
        <f>IFERROR(AD304/'Ar-Pa'!F304,0)</f>
        <v>0</v>
      </c>
      <c r="BC304" s="18">
        <f>IFERROR(AE304/'Ar-Pa'!G304,0)</f>
        <v>0</v>
      </c>
      <c r="BD304" s="18">
        <f>IFERROR(AF304/'Ar-Pa'!H304,0)</f>
        <v>0</v>
      </c>
      <c r="BE304" s="18">
        <f>IFERROR(AG304/'Ar-Pa'!I304,0)</f>
        <v>0</v>
      </c>
      <c r="BF304" s="18">
        <f>IFERROR(AH304/'Ar-Pa'!J304,0)</f>
        <v>0</v>
      </c>
      <c r="BG304" s="18">
        <f>IFERROR(AI304/'Ar-Pa'!K304,0)</f>
        <v>0</v>
      </c>
      <c r="BH304" s="18">
        <f>IFERROR(AJ304/'Ar-Pa'!L304,0)</f>
        <v>0</v>
      </c>
      <c r="BI304" s="18">
        <f>IFERROR(AK304/'Ar-Pa'!M304,0)</f>
        <v>0</v>
      </c>
      <c r="BJ304" s="18">
        <f>IFERROR(AL304/'Ar-Pa'!N304,0)</f>
        <v>0</v>
      </c>
      <c r="BK304" s="18">
        <f>IFERROR(AM304/'Ar-Pa'!O304,0)</f>
        <v>0</v>
      </c>
      <c r="BL304" s="18">
        <f>IFERROR(AN304/'Ar-Pa'!P304,0)</f>
        <v>0</v>
      </c>
      <c r="BM304" s="18">
        <f>IFERROR(AO304/'Ar-Pa'!Q304,0)</f>
        <v>0</v>
      </c>
      <c r="BN304" s="18">
        <f>IFERROR(AP304/'Ar-Pa'!R304,0)</f>
        <v>0</v>
      </c>
      <c r="BO304" s="18">
        <f>IFERROR(AQ304/'Ar-Pa'!S304,0)</f>
        <v>0</v>
      </c>
      <c r="BP304" s="18">
        <f>IFERROR(AR304/'Ar-Pa'!T304,0)</f>
        <v>0</v>
      </c>
      <c r="BQ304" s="18">
        <f>IFERROR(AS304/'Ar-Pa'!U304,0)</f>
        <v>0</v>
      </c>
      <c r="BR304" s="18">
        <f>IFERROR(AT304/'Ar-Pa'!V304,0)</f>
        <v>0</v>
      </c>
      <c r="BS304" s="18">
        <f>IFERROR(AU304/'Ar-Pa'!W304,0)</f>
        <v>0</v>
      </c>
      <c r="BT304" s="18">
        <f>IFERROR(AV304/'Ar-Pa'!X304,0)</f>
        <v>0</v>
      </c>
      <c r="BU304" s="18">
        <f>IFERROR(AW304/'Ar-Pa'!Y304,0)</f>
        <v>0</v>
      </c>
    </row>
    <row r="305" spans="1:73">
      <c r="A305" s="15">
        <v>45230</v>
      </c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9">
        <f t="shared" si="175"/>
        <v>0</v>
      </c>
      <c r="AA305" s="19">
        <f t="shared" si="176"/>
        <v>0</v>
      </c>
      <c r="AB305" s="19">
        <f t="shared" si="177"/>
        <v>0</v>
      </c>
      <c r="AC305" s="19">
        <f t="shared" si="178"/>
        <v>0</v>
      </c>
      <c r="AD305" s="19">
        <f t="shared" si="179"/>
        <v>0</v>
      </c>
      <c r="AE305" s="19">
        <f t="shared" si="180"/>
        <v>0</v>
      </c>
      <c r="AF305" s="19">
        <f t="shared" si="181"/>
        <v>0</v>
      </c>
      <c r="AG305" s="19">
        <f t="shared" si="182"/>
        <v>0</v>
      </c>
      <c r="AH305" s="19">
        <f t="shared" si="183"/>
        <v>0</v>
      </c>
      <c r="AI305" s="19">
        <f t="shared" si="184"/>
        <v>0</v>
      </c>
      <c r="AJ305" s="19">
        <f t="shared" si="185"/>
        <v>0</v>
      </c>
      <c r="AK305" s="19">
        <f t="shared" si="186"/>
        <v>0</v>
      </c>
      <c r="AL305" s="19">
        <f t="shared" si="187"/>
        <v>0</v>
      </c>
      <c r="AM305" s="19">
        <f t="shared" si="188"/>
        <v>0</v>
      </c>
      <c r="AN305" s="19">
        <f t="shared" si="189"/>
        <v>0</v>
      </c>
      <c r="AO305" s="19">
        <f t="shared" si="190"/>
        <v>0</v>
      </c>
      <c r="AP305" s="19">
        <f t="shared" si="191"/>
        <v>0</v>
      </c>
      <c r="AQ305" s="19">
        <f t="shared" si="192"/>
        <v>0</v>
      </c>
      <c r="AR305" s="19">
        <f t="shared" si="193"/>
        <v>0</v>
      </c>
      <c r="AS305" s="19">
        <f t="shared" si="194"/>
        <v>0</v>
      </c>
      <c r="AT305" s="19">
        <f t="shared" si="195"/>
        <v>0</v>
      </c>
      <c r="AU305" s="19">
        <f t="shared" si="196"/>
        <v>0</v>
      </c>
      <c r="AV305" s="19">
        <f t="shared" si="197"/>
        <v>0</v>
      </c>
      <c r="AW305" s="19">
        <f t="shared" si="198"/>
        <v>0</v>
      </c>
      <c r="AX305" s="18">
        <f>IFERROR(Z305/'Ar-Pa'!B305,0)</f>
        <v>0</v>
      </c>
      <c r="AY305" s="18">
        <f>IFERROR(AA305/'Ar-Pa'!C305,0)</f>
        <v>0</v>
      </c>
      <c r="AZ305" s="18">
        <f>IFERROR(AB305/'Ar-Pa'!D305,0)</f>
        <v>0</v>
      </c>
      <c r="BA305" s="18">
        <f>IFERROR(AC305/'Ar-Pa'!E305,0)</f>
        <v>0</v>
      </c>
      <c r="BB305" s="18">
        <f>IFERROR(AD305/'Ar-Pa'!F305,0)</f>
        <v>0</v>
      </c>
      <c r="BC305" s="18">
        <f>IFERROR(AE305/'Ar-Pa'!G305,0)</f>
        <v>0</v>
      </c>
      <c r="BD305" s="18">
        <f>IFERROR(AF305/'Ar-Pa'!H305,0)</f>
        <v>0</v>
      </c>
      <c r="BE305" s="18">
        <f>IFERROR(AG305/'Ar-Pa'!I305,0)</f>
        <v>0</v>
      </c>
      <c r="BF305" s="18">
        <f>IFERROR(AH305/'Ar-Pa'!J305,0)</f>
        <v>0</v>
      </c>
      <c r="BG305" s="18">
        <f>IFERROR(AI305/'Ar-Pa'!K305,0)</f>
        <v>0</v>
      </c>
      <c r="BH305" s="18">
        <f>IFERROR(AJ305/'Ar-Pa'!L305,0)</f>
        <v>0</v>
      </c>
      <c r="BI305" s="18">
        <f>IFERROR(AK305/'Ar-Pa'!M305,0)</f>
        <v>0</v>
      </c>
      <c r="BJ305" s="18">
        <f>IFERROR(AL305/'Ar-Pa'!N305,0)</f>
        <v>0</v>
      </c>
      <c r="BK305" s="18">
        <f>IFERROR(AM305/'Ar-Pa'!O305,0)</f>
        <v>0</v>
      </c>
      <c r="BL305" s="18">
        <f>IFERROR(AN305/'Ar-Pa'!P305,0)</f>
        <v>0</v>
      </c>
      <c r="BM305" s="18">
        <f>IFERROR(AO305/'Ar-Pa'!Q305,0)</f>
        <v>0</v>
      </c>
      <c r="BN305" s="18">
        <f>IFERROR(AP305/'Ar-Pa'!R305,0)</f>
        <v>0</v>
      </c>
      <c r="BO305" s="18">
        <f>IFERROR(AQ305/'Ar-Pa'!S305,0)</f>
        <v>0</v>
      </c>
      <c r="BP305" s="18">
        <f>IFERROR(AR305/'Ar-Pa'!T305,0)</f>
        <v>0</v>
      </c>
      <c r="BQ305" s="18">
        <f>IFERROR(AS305/'Ar-Pa'!U305,0)</f>
        <v>0</v>
      </c>
      <c r="BR305" s="18">
        <f>IFERROR(AT305/'Ar-Pa'!V305,0)</f>
        <v>0</v>
      </c>
      <c r="BS305" s="18">
        <f>IFERROR(AU305/'Ar-Pa'!W305,0)</f>
        <v>0</v>
      </c>
      <c r="BT305" s="18">
        <f>IFERROR(AV305/'Ar-Pa'!X305,0)</f>
        <v>0</v>
      </c>
      <c r="BU305" s="18">
        <f>IFERROR(AW305/'Ar-Pa'!Y305,0)</f>
        <v>0</v>
      </c>
    </row>
    <row r="306" spans="1:73">
      <c r="A306" s="15">
        <v>45231</v>
      </c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9">
        <f t="shared" si="175"/>
        <v>0</v>
      </c>
      <c r="AA306" s="19">
        <f t="shared" si="176"/>
        <v>0</v>
      </c>
      <c r="AB306" s="19">
        <f t="shared" si="177"/>
        <v>0</v>
      </c>
      <c r="AC306" s="19">
        <f t="shared" si="178"/>
        <v>0</v>
      </c>
      <c r="AD306" s="19">
        <f t="shared" si="179"/>
        <v>0</v>
      </c>
      <c r="AE306" s="19">
        <f t="shared" si="180"/>
        <v>0</v>
      </c>
      <c r="AF306" s="19">
        <f t="shared" si="181"/>
        <v>0</v>
      </c>
      <c r="AG306" s="19">
        <f t="shared" si="182"/>
        <v>0</v>
      </c>
      <c r="AH306" s="19">
        <f t="shared" si="183"/>
        <v>0</v>
      </c>
      <c r="AI306" s="19">
        <f t="shared" si="184"/>
        <v>0</v>
      </c>
      <c r="AJ306" s="19">
        <f t="shared" si="185"/>
        <v>0</v>
      </c>
      <c r="AK306" s="19">
        <f t="shared" si="186"/>
        <v>0</v>
      </c>
      <c r="AL306" s="19">
        <f t="shared" si="187"/>
        <v>0</v>
      </c>
      <c r="AM306" s="19">
        <f t="shared" si="188"/>
        <v>0</v>
      </c>
      <c r="AN306" s="19">
        <f t="shared" si="189"/>
        <v>0</v>
      </c>
      <c r="AO306" s="19">
        <f t="shared" si="190"/>
        <v>0</v>
      </c>
      <c r="AP306" s="19">
        <f t="shared" si="191"/>
        <v>0</v>
      </c>
      <c r="AQ306" s="19">
        <f t="shared" si="192"/>
        <v>0</v>
      </c>
      <c r="AR306" s="19">
        <f t="shared" si="193"/>
        <v>0</v>
      </c>
      <c r="AS306" s="19">
        <f t="shared" si="194"/>
        <v>0</v>
      </c>
      <c r="AT306" s="19">
        <f t="shared" si="195"/>
        <v>0</v>
      </c>
      <c r="AU306" s="19">
        <f t="shared" si="196"/>
        <v>0</v>
      </c>
      <c r="AV306" s="19">
        <f t="shared" si="197"/>
        <v>0</v>
      </c>
      <c r="AW306" s="19">
        <f t="shared" si="198"/>
        <v>0</v>
      </c>
      <c r="AX306" s="18">
        <f>IFERROR(Z306/'Ar-Pa'!B306,0)</f>
        <v>0</v>
      </c>
      <c r="AY306" s="18">
        <f>IFERROR(AA306/'Ar-Pa'!C306,0)</f>
        <v>0</v>
      </c>
      <c r="AZ306" s="18">
        <f>IFERROR(AB306/'Ar-Pa'!D306,0)</f>
        <v>0</v>
      </c>
      <c r="BA306" s="18">
        <f>IFERROR(AC306/'Ar-Pa'!E306,0)</f>
        <v>0</v>
      </c>
      <c r="BB306" s="18">
        <f>IFERROR(AD306/'Ar-Pa'!F306,0)</f>
        <v>0</v>
      </c>
      <c r="BC306" s="18">
        <f>IFERROR(AE306/'Ar-Pa'!G306,0)</f>
        <v>0</v>
      </c>
      <c r="BD306" s="18">
        <f>IFERROR(AF306/'Ar-Pa'!H306,0)</f>
        <v>0</v>
      </c>
      <c r="BE306" s="18">
        <f>IFERROR(AG306/'Ar-Pa'!I306,0)</f>
        <v>0</v>
      </c>
      <c r="BF306" s="18">
        <f>IFERROR(AH306/'Ar-Pa'!J306,0)</f>
        <v>0</v>
      </c>
      <c r="BG306" s="18">
        <f>IFERROR(AI306/'Ar-Pa'!K306,0)</f>
        <v>0</v>
      </c>
      <c r="BH306" s="18">
        <f>IFERROR(AJ306/'Ar-Pa'!L306,0)</f>
        <v>0</v>
      </c>
      <c r="BI306" s="18">
        <f>IFERROR(AK306/'Ar-Pa'!M306,0)</f>
        <v>0</v>
      </c>
      <c r="BJ306" s="18">
        <f>IFERROR(AL306/'Ar-Pa'!N306,0)</f>
        <v>0</v>
      </c>
      <c r="BK306" s="18">
        <f>IFERROR(AM306/'Ar-Pa'!O306,0)</f>
        <v>0</v>
      </c>
      <c r="BL306" s="18">
        <f>IFERROR(AN306/'Ar-Pa'!P306,0)</f>
        <v>0</v>
      </c>
      <c r="BM306" s="18">
        <f>IFERROR(AO306/'Ar-Pa'!Q306,0)</f>
        <v>0</v>
      </c>
      <c r="BN306" s="18">
        <f>IFERROR(AP306/'Ar-Pa'!R306,0)</f>
        <v>0</v>
      </c>
      <c r="BO306" s="18">
        <f>IFERROR(AQ306/'Ar-Pa'!S306,0)</f>
        <v>0</v>
      </c>
      <c r="BP306" s="18">
        <f>IFERROR(AR306/'Ar-Pa'!T306,0)</f>
        <v>0</v>
      </c>
      <c r="BQ306" s="18">
        <f>IFERROR(AS306/'Ar-Pa'!U306,0)</f>
        <v>0</v>
      </c>
      <c r="BR306" s="18">
        <f>IFERROR(AT306/'Ar-Pa'!V306,0)</f>
        <v>0</v>
      </c>
      <c r="BS306" s="18">
        <f>IFERROR(AU306/'Ar-Pa'!W306,0)</f>
        <v>0</v>
      </c>
      <c r="BT306" s="18">
        <f>IFERROR(AV306/'Ar-Pa'!X306,0)</f>
        <v>0</v>
      </c>
      <c r="BU306" s="18">
        <f>IFERROR(AW306/'Ar-Pa'!Y306,0)</f>
        <v>0</v>
      </c>
    </row>
    <row r="307" spans="1:73">
      <c r="A307" s="15">
        <v>45232</v>
      </c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9">
        <f t="shared" ref="Z307:AW307" si="199">+CONVERT(B307,"m^3","gal")</f>
        <v>0</v>
      </c>
      <c r="AA307" s="19">
        <f t="shared" si="199"/>
        <v>0</v>
      </c>
      <c r="AB307" s="19">
        <f t="shared" si="199"/>
        <v>0</v>
      </c>
      <c r="AC307" s="19">
        <f t="shared" si="199"/>
        <v>0</v>
      </c>
      <c r="AD307" s="19">
        <f t="shared" si="199"/>
        <v>0</v>
      </c>
      <c r="AE307" s="19">
        <f t="shared" si="199"/>
        <v>0</v>
      </c>
      <c r="AF307" s="19">
        <f t="shared" si="199"/>
        <v>0</v>
      </c>
      <c r="AG307" s="19">
        <f t="shared" si="199"/>
        <v>0</v>
      </c>
      <c r="AH307" s="19">
        <f t="shared" si="199"/>
        <v>0</v>
      </c>
      <c r="AI307" s="19">
        <f t="shared" si="199"/>
        <v>0</v>
      </c>
      <c r="AJ307" s="19">
        <f t="shared" si="199"/>
        <v>0</v>
      </c>
      <c r="AK307" s="19">
        <f t="shared" si="199"/>
        <v>0</v>
      </c>
      <c r="AL307" s="19">
        <f t="shared" si="199"/>
        <v>0</v>
      </c>
      <c r="AM307" s="19">
        <f t="shared" si="199"/>
        <v>0</v>
      </c>
      <c r="AN307" s="19">
        <f t="shared" si="199"/>
        <v>0</v>
      </c>
      <c r="AO307" s="19">
        <f t="shared" si="199"/>
        <v>0</v>
      </c>
      <c r="AP307" s="19">
        <f t="shared" si="199"/>
        <v>0</v>
      </c>
      <c r="AQ307" s="19">
        <f t="shared" si="199"/>
        <v>0</v>
      </c>
      <c r="AR307" s="19">
        <f t="shared" si="199"/>
        <v>0</v>
      </c>
      <c r="AS307" s="19">
        <f t="shared" si="199"/>
        <v>0</v>
      </c>
      <c r="AT307" s="19">
        <f t="shared" si="199"/>
        <v>0</v>
      </c>
      <c r="AU307" s="19">
        <f t="shared" si="199"/>
        <v>0</v>
      </c>
      <c r="AV307" s="19">
        <f t="shared" si="199"/>
        <v>0</v>
      </c>
      <c r="AW307" s="19">
        <f t="shared" si="199"/>
        <v>0</v>
      </c>
      <c r="AX307" s="18">
        <f>IFERROR(Z307/'Ar-Pa'!B307,0)</f>
        <v>0</v>
      </c>
      <c r="AY307" s="18">
        <f>IFERROR(AA307/'Ar-Pa'!C307,0)</f>
        <v>0</v>
      </c>
      <c r="AZ307" s="18">
        <f>IFERROR(AB307/'Ar-Pa'!D307,0)</f>
        <v>0</v>
      </c>
      <c r="BA307" s="18">
        <f>IFERROR(AC307/'Ar-Pa'!E307,0)</f>
        <v>0</v>
      </c>
      <c r="BB307" s="18">
        <f>IFERROR(AD307/'Ar-Pa'!F307,0)</f>
        <v>0</v>
      </c>
      <c r="BC307" s="18">
        <f>IFERROR(AE307/'Ar-Pa'!G307,0)</f>
        <v>0</v>
      </c>
      <c r="BD307" s="18">
        <f>IFERROR(AF307/'Ar-Pa'!H307,0)</f>
        <v>0</v>
      </c>
      <c r="BE307" s="18">
        <f>IFERROR(AG307/'Ar-Pa'!I307,0)</f>
        <v>0</v>
      </c>
      <c r="BF307" s="18">
        <f>IFERROR(AH307/'Ar-Pa'!J307,0)</f>
        <v>0</v>
      </c>
      <c r="BG307" s="18">
        <f>IFERROR(AI307/'Ar-Pa'!K307,0)</f>
        <v>0</v>
      </c>
      <c r="BH307" s="18">
        <f>IFERROR(AJ307/'Ar-Pa'!L307,0)</f>
        <v>0</v>
      </c>
      <c r="BI307" s="18">
        <f>IFERROR(AK307/'Ar-Pa'!M307,0)</f>
        <v>0</v>
      </c>
      <c r="BJ307" s="18">
        <f>IFERROR(AL307/'Ar-Pa'!N307,0)</f>
        <v>0</v>
      </c>
      <c r="BK307" s="18">
        <f>IFERROR(AM307/'Ar-Pa'!O307,0)</f>
        <v>0</v>
      </c>
      <c r="BL307" s="18">
        <f>IFERROR(AN307/'Ar-Pa'!P307,0)</f>
        <v>0</v>
      </c>
      <c r="BM307" s="18">
        <f>IFERROR(AO307/'Ar-Pa'!Q307,0)</f>
        <v>0</v>
      </c>
      <c r="BN307" s="18">
        <f>IFERROR(AP307/'Ar-Pa'!R307,0)</f>
        <v>0</v>
      </c>
      <c r="BO307" s="18">
        <f>IFERROR(AQ307/'Ar-Pa'!S307,0)</f>
        <v>0</v>
      </c>
      <c r="BP307" s="18">
        <f>IFERROR(AR307/'Ar-Pa'!T307,0)</f>
        <v>0</v>
      </c>
      <c r="BQ307" s="18">
        <f>IFERROR(AS307/'Ar-Pa'!U307,0)</f>
        <v>0</v>
      </c>
      <c r="BR307" s="18">
        <f>IFERROR(AT307/'Ar-Pa'!V307,0)</f>
        <v>0</v>
      </c>
      <c r="BS307" s="18">
        <f>IFERROR(AU307/'Ar-Pa'!W307,0)</f>
        <v>0</v>
      </c>
      <c r="BT307" s="18">
        <f>IFERROR(AV307/'Ar-Pa'!X307,0)</f>
        <v>0</v>
      </c>
      <c r="BU307" s="18">
        <f>IFERROR(AW307/'Ar-Pa'!Y307,0)</f>
        <v>0</v>
      </c>
    </row>
    <row r="308" spans="1:73">
      <c r="A308" s="15">
        <v>45233</v>
      </c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9">
        <f t="shared" ref="Z308:Z336" si="200">+CONVERT(B308,"m^3","gal")</f>
        <v>0</v>
      </c>
      <c r="AA308" s="19">
        <f t="shared" ref="AA308:AA336" si="201">+CONVERT(C308,"m^3","gal")</f>
        <v>0</v>
      </c>
      <c r="AB308" s="19">
        <f t="shared" ref="AB308:AB336" si="202">+CONVERT(D308,"m^3","gal")</f>
        <v>0</v>
      </c>
      <c r="AC308" s="19">
        <f t="shared" ref="AC308:AC336" si="203">+CONVERT(E308,"m^3","gal")</f>
        <v>0</v>
      </c>
      <c r="AD308" s="19">
        <f t="shared" ref="AD308:AD336" si="204">+CONVERT(F308,"m^3","gal")</f>
        <v>0</v>
      </c>
      <c r="AE308" s="19">
        <f t="shared" ref="AE308:AE336" si="205">+CONVERT(G308,"m^3","gal")</f>
        <v>0</v>
      </c>
      <c r="AF308" s="19">
        <f t="shared" ref="AF308:AF336" si="206">+CONVERT(H308,"m^3","gal")</f>
        <v>0</v>
      </c>
      <c r="AG308" s="19">
        <f t="shared" ref="AG308:AG336" si="207">+CONVERT(I308,"m^3","gal")</f>
        <v>0</v>
      </c>
      <c r="AH308" s="19">
        <f t="shared" ref="AH308:AH336" si="208">+CONVERT(J308,"m^3","gal")</f>
        <v>0</v>
      </c>
      <c r="AI308" s="19">
        <f t="shared" ref="AI308:AI336" si="209">+CONVERT(K308,"m^3","gal")</f>
        <v>0</v>
      </c>
      <c r="AJ308" s="19">
        <f t="shared" ref="AJ308:AJ336" si="210">+CONVERT(L308,"m^3","gal")</f>
        <v>0</v>
      </c>
      <c r="AK308" s="19">
        <f t="shared" ref="AK308:AK336" si="211">+CONVERT(M308,"m^3","gal")</f>
        <v>0</v>
      </c>
      <c r="AL308" s="19">
        <f t="shared" ref="AL308:AL336" si="212">+CONVERT(N308,"m^3","gal")</f>
        <v>0</v>
      </c>
      <c r="AM308" s="19">
        <f t="shared" ref="AM308:AM336" si="213">+CONVERT(O308,"m^3","gal")</f>
        <v>0</v>
      </c>
      <c r="AN308" s="19">
        <f t="shared" ref="AN308:AN336" si="214">+CONVERT(P308,"m^3","gal")</f>
        <v>0</v>
      </c>
      <c r="AO308" s="19">
        <f t="shared" ref="AO308:AO336" si="215">+CONVERT(Q308,"m^3","gal")</f>
        <v>0</v>
      </c>
      <c r="AP308" s="19">
        <f t="shared" ref="AP308:AP336" si="216">+CONVERT(R308,"m^3","gal")</f>
        <v>0</v>
      </c>
      <c r="AQ308" s="19">
        <f t="shared" ref="AQ308:AQ336" si="217">+CONVERT(S308,"m^3","gal")</f>
        <v>0</v>
      </c>
      <c r="AR308" s="19">
        <f t="shared" ref="AR308:AR336" si="218">+CONVERT(T308,"m^3","gal")</f>
        <v>0</v>
      </c>
      <c r="AS308" s="19">
        <f t="shared" ref="AS308:AS336" si="219">+CONVERT(U308,"m^3","gal")</f>
        <v>0</v>
      </c>
      <c r="AT308" s="19">
        <f t="shared" ref="AT308:AT336" si="220">+CONVERT(V308,"m^3","gal")</f>
        <v>0</v>
      </c>
      <c r="AU308" s="19">
        <f t="shared" ref="AU308:AU336" si="221">+CONVERT(W308,"m^3","gal")</f>
        <v>0</v>
      </c>
      <c r="AV308" s="19">
        <f t="shared" ref="AV308:AV336" si="222">+CONVERT(X308,"m^3","gal")</f>
        <v>0</v>
      </c>
      <c r="AW308" s="19">
        <f t="shared" ref="AW308:AW336" si="223">+CONVERT(Y308,"m^3","gal")</f>
        <v>0</v>
      </c>
      <c r="AX308" s="18">
        <f>IFERROR(Z308/'Ar-Pa'!B308,0)</f>
        <v>0</v>
      </c>
      <c r="AY308" s="18">
        <f>IFERROR(AA308/'Ar-Pa'!C308,0)</f>
        <v>0</v>
      </c>
      <c r="AZ308" s="18">
        <f>IFERROR(AB308/'Ar-Pa'!D308,0)</f>
        <v>0</v>
      </c>
      <c r="BA308" s="18">
        <f>IFERROR(AC308/'Ar-Pa'!E308,0)</f>
        <v>0</v>
      </c>
      <c r="BB308" s="18">
        <f>IFERROR(AD308/'Ar-Pa'!F308,0)</f>
        <v>0</v>
      </c>
      <c r="BC308" s="18">
        <f>IFERROR(AE308/'Ar-Pa'!G308,0)</f>
        <v>0</v>
      </c>
      <c r="BD308" s="18">
        <f>IFERROR(AF308/'Ar-Pa'!H308,0)</f>
        <v>0</v>
      </c>
      <c r="BE308" s="18">
        <f>IFERROR(AG308/'Ar-Pa'!I308,0)</f>
        <v>0</v>
      </c>
      <c r="BF308" s="18">
        <f>IFERROR(AH308/'Ar-Pa'!J308,0)</f>
        <v>0</v>
      </c>
      <c r="BG308" s="18">
        <f>IFERROR(AI308/'Ar-Pa'!K308,0)</f>
        <v>0</v>
      </c>
      <c r="BH308" s="18">
        <f>IFERROR(AJ308/'Ar-Pa'!L308,0)</f>
        <v>0</v>
      </c>
      <c r="BI308" s="18">
        <f>IFERROR(AK308/'Ar-Pa'!M308,0)</f>
        <v>0</v>
      </c>
      <c r="BJ308" s="18">
        <f>IFERROR(AL308/'Ar-Pa'!N308,0)</f>
        <v>0</v>
      </c>
      <c r="BK308" s="18">
        <f>IFERROR(AM308/'Ar-Pa'!O308,0)</f>
        <v>0</v>
      </c>
      <c r="BL308" s="18">
        <f>IFERROR(AN308/'Ar-Pa'!P308,0)</f>
        <v>0</v>
      </c>
      <c r="BM308" s="18">
        <f>IFERROR(AO308/'Ar-Pa'!Q308,0)</f>
        <v>0</v>
      </c>
      <c r="BN308" s="18">
        <f>IFERROR(AP308/'Ar-Pa'!R308,0)</f>
        <v>0</v>
      </c>
      <c r="BO308" s="18">
        <f>IFERROR(AQ308/'Ar-Pa'!S308,0)</f>
        <v>0</v>
      </c>
      <c r="BP308" s="18">
        <f>IFERROR(AR308/'Ar-Pa'!T308,0)</f>
        <v>0</v>
      </c>
      <c r="BQ308" s="18">
        <f>IFERROR(AS308/'Ar-Pa'!U308,0)</f>
        <v>0</v>
      </c>
      <c r="BR308" s="18">
        <f>IFERROR(AT308/'Ar-Pa'!V308,0)</f>
        <v>0</v>
      </c>
      <c r="BS308" s="18">
        <f>IFERROR(AU308/'Ar-Pa'!W308,0)</f>
        <v>0</v>
      </c>
      <c r="BT308" s="18">
        <f>IFERROR(AV308/'Ar-Pa'!X308,0)</f>
        <v>0</v>
      </c>
      <c r="BU308" s="18">
        <f>IFERROR(AW308/'Ar-Pa'!Y308,0)</f>
        <v>0</v>
      </c>
    </row>
    <row r="309" spans="1:73">
      <c r="A309" s="15">
        <v>45234</v>
      </c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9">
        <f t="shared" si="200"/>
        <v>0</v>
      </c>
      <c r="AA309" s="19">
        <f t="shared" si="201"/>
        <v>0</v>
      </c>
      <c r="AB309" s="19">
        <f t="shared" si="202"/>
        <v>0</v>
      </c>
      <c r="AC309" s="19">
        <f t="shared" si="203"/>
        <v>0</v>
      </c>
      <c r="AD309" s="19">
        <f t="shared" si="204"/>
        <v>0</v>
      </c>
      <c r="AE309" s="19">
        <f t="shared" si="205"/>
        <v>0</v>
      </c>
      <c r="AF309" s="19">
        <f t="shared" si="206"/>
        <v>0</v>
      </c>
      <c r="AG309" s="19">
        <f t="shared" si="207"/>
        <v>0</v>
      </c>
      <c r="AH309" s="19">
        <f t="shared" si="208"/>
        <v>0</v>
      </c>
      <c r="AI309" s="19">
        <f t="shared" si="209"/>
        <v>0</v>
      </c>
      <c r="AJ309" s="19">
        <f t="shared" si="210"/>
        <v>0</v>
      </c>
      <c r="AK309" s="19">
        <f t="shared" si="211"/>
        <v>0</v>
      </c>
      <c r="AL309" s="19">
        <f t="shared" si="212"/>
        <v>0</v>
      </c>
      <c r="AM309" s="19">
        <f t="shared" si="213"/>
        <v>0</v>
      </c>
      <c r="AN309" s="19">
        <f t="shared" si="214"/>
        <v>0</v>
      </c>
      <c r="AO309" s="19">
        <f t="shared" si="215"/>
        <v>0</v>
      </c>
      <c r="AP309" s="19">
        <f t="shared" si="216"/>
        <v>0</v>
      </c>
      <c r="AQ309" s="19">
        <f t="shared" si="217"/>
        <v>0</v>
      </c>
      <c r="AR309" s="19">
        <f t="shared" si="218"/>
        <v>0</v>
      </c>
      <c r="AS309" s="19">
        <f t="shared" si="219"/>
        <v>0</v>
      </c>
      <c r="AT309" s="19">
        <f t="shared" si="220"/>
        <v>0</v>
      </c>
      <c r="AU309" s="19">
        <f t="shared" si="221"/>
        <v>0</v>
      </c>
      <c r="AV309" s="19">
        <f t="shared" si="222"/>
        <v>0</v>
      </c>
      <c r="AW309" s="19">
        <f t="shared" si="223"/>
        <v>0</v>
      </c>
      <c r="AX309" s="18">
        <f>IFERROR(Z309/'Ar-Pa'!B309,0)</f>
        <v>0</v>
      </c>
      <c r="AY309" s="18">
        <f>IFERROR(AA309/'Ar-Pa'!C309,0)</f>
        <v>0</v>
      </c>
      <c r="AZ309" s="18">
        <f>IFERROR(AB309/'Ar-Pa'!D309,0)</f>
        <v>0</v>
      </c>
      <c r="BA309" s="18">
        <f>IFERROR(AC309/'Ar-Pa'!E309,0)</f>
        <v>0</v>
      </c>
      <c r="BB309" s="18">
        <f>IFERROR(AD309/'Ar-Pa'!F309,0)</f>
        <v>0</v>
      </c>
      <c r="BC309" s="18">
        <f>IFERROR(AE309/'Ar-Pa'!G309,0)</f>
        <v>0</v>
      </c>
      <c r="BD309" s="18">
        <f>IFERROR(AF309/'Ar-Pa'!H309,0)</f>
        <v>0</v>
      </c>
      <c r="BE309" s="18">
        <f>IFERROR(AG309/'Ar-Pa'!I309,0)</f>
        <v>0</v>
      </c>
      <c r="BF309" s="18">
        <f>IFERROR(AH309/'Ar-Pa'!J309,0)</f>
        <v>0</v>
      </c>
      <c r="BG309" s="18">
        <f>IFERROR(AI309/'Ar-Pa'!K309,0)</f>
        <v>0</v>
      </c>
      <c r="BH309" s="18">
        <f>IFERROR(AJ309/'Ar-Pa'!L309,0)</f>
        <v>0</v>
      </c>
      <c r="BI309" s="18">
        <f>IFERROR(AK309/'Ar-Pa'!M309,0)</f>
        <v>0</v>
      </c>
      <c r="BJ309" s="18">
        <f>IFERROR(AL309/'Ar-Pa'!N309,0)</f>
        <v>0</v>
      </c>
      <c r="BK309" s="18">
        <f>IFERROR(AM309/'Ar-Pa'!O309,0)</f>
        <v>0</v>
      </c>
      <c r="BL309" s="18">
        <f>IFERROR(AN309/'Ar-Pa'!P309,0)</f>
        <v>0</v>
      </c>
      <c r="BM309" s="18">
        <f>IFERROR(AO309/'Ar-Pa'!Q309,0)</f>
        <v>0</v>
      </c>
      <c r="BN309" s="18">
        <f>IFERROR(AP309/'Ar-Pa'!R309,0)</f>
        <v>0</v>
      </c>
      <c r="BO309" s="18">
        <f>IFERROR(AQ309/'Ar-Pa'!S309,0)</f>
        <v>0</v>
      </c>
      <c r="BP309" s="18">
        <f>IFERROR(AR309/'Ar-Pa'!T309,0)</f>
        <v>0</v>
      </c>
      <c r="BQ309" s="18">
        <f>IFERROR(AS309/'Ar-Pa'!U309,0)</f>
        <v>0</v>
      </c>
      <c r="BR309" s="18">
        <f>IFERROR(AT309/'Ar-Pa'!V309,0)</f>
        <v>0</v>
      </c>
      <c r="BS309" s="18">
        <f>IFERROR(AU309/'Ar-Pa'!W309,0)</f>
        <v>0</v>
      </c>
      <c r="BT309" s="18">
        <f>IFERROR(AV309/'Ar-Pa'!X309,0)</f>
        <v>0</v>
      </c>
      <c r="BU309" s="18">
        <f>IFERROR(AW309/'Ar-Pa'!Y309,0)</f>
        <v>0</v>
      </c>
    </row>
    <row r="310" spans="1:73">
      <c r="A310" s="15">
        <v>45235</v>
      </c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9">
        <f t="shared" si="200"/>
        <v>0</v>
      </c>
      <c r="AA310" s="19">
        <f t="shared" si="201"/>
        <v>0</v>
      </c>
      <c r="AB310" s="19">
        <f t="shared" si="202"/>
        <v>0</v>
      </c>
      <c r="AC310" s="19">
        <f t="shared" si="203"/>
        <v>0</v>
      </c>
      <c r="AD310" s="19">
        <f t="shared" si="204"/>
        <v>0</v>
      </c>
      <c r="AE310" s="19">
        <f t="shared" si="205"/>
        <v>0</v>
      </c>
      <c r="AF310" s="19">
        <f t="shared" si="206"/>
        <v>0</v>
      </c>
      <c r="AG310" s="19">
        <f t="shared" si="207"/>
        <v>0</v>
      </c>
      <c r="AH310" s="19">
        <f t="shared" si="208"/>
        <v>0</v>
      </c>
      <c r="AI310" s="19">
        <f t="shared" si="209"/>
        <v>0</v>
      </c>
      <c r="AJ310" s="19">
        <f t="shared" si="210"/>
        <v>0</v>
      </c>
      <c r="AK310" s="19">
        <f t="shared" si="211"/>
        <v>0</v>
      </c>
      <c r="AL310" s="19">
        <f t="shared" si="212"/>
        <v>0</v>
      </c>
      <c r="AM310" s="19">
        <f t="shared" si="213"/>
        <v>0</v>
      </c>
      <c r="AN310" s="19">
        <f t="shared" si="214"/>
        <v>0</v>
      </c>
      <c r="AO310" s="19">
        <f t="shared" si="215"/>
        <v>0</v>
      </c>
      <c r="AP310" s="19">
        <f t="shared" si="216"/>
        <v>0</v>
      </c>
      <c r="AQ310" s="19">
        <f t="shared" si="217"/>
        <v>0</v>
      </c>
      <c r="AR310" s="19">
        <f t="shared" si="218"/>
        <v>0</v>
      </c>
      <c r="AS310" s="19">
        <f t="shared" si="219"/>
        <v>0</v>
      </c>
      <c r="AT310" s="19">
        <f t="shared" si="220"/>
        <v>0</v>
      </c>
      <c r="AU310" s="19">
        <f t="shared" si="221"/>
        <v>0</v>
      </c>
      <c r="AV310" s="19">
        <f t="shared" si="222"/>
        <v>0</v>
      </c>
      <c r="AW310" s="19">
        <f t="shared" si="223"/>
        <v>0</v>
      </c>
      <c r="AX310" s="18">
        <f>IFERROR(Z310/'Ar-Pa'!B310,0)</f>
        <v>0</v>
      </c>
      <c r="AY310" s="18">
        <f>IFERROR(AA310/'Ar-Pa'!C310,0)</f>
        <v>0</v>
      </c>
      <c r="AZ310" s="18">
        <f>IFERROR(AB310/'Ar-Pa'!D310,0)</f>
        <v>0</v>
      </c>
      <c r="BA310" s="18">
        <f>IFERROR(AC310/'Ar-Pa'!E310,0)</f>
        <v>0</v>
      </c>
      <c r="BB310" s="18">
        <f>IFERROR(AD310/'Ar-Pa'!F310,0)</f>
        <v>0</v>
      </c>
      <c r="BC310" s="18">
        <f>IFERROR(AE310/'Ar-Pa'!G310,0)</f>
        <v>0</v>
      </c>
      <c r="BD310" s="18">
        <f>IFERROR(AF310/'Ar-Pa'!H310,0)</f>
        <v>0</v>
      </c>
      <c r="BE310" s="18">
        <f>IFERROR(AG310/'Ar-Pa'!I310,0)</f>
        <v>0</v>
      </c>
      <c r="BF310" s="18">
        <f>IFERROR(AH310/'Ar-Pa'!J310,0)</f>
        <v>0</v>
      </c>
      <c r="BG310" s="18">
        <f>IFERROR(AI310/'Ar-Pa'!K310,0)</f>
        <v>0</v>
      </c>
      <c r="BH310" s="18">
        <f>IFERROR(AJ310/'Ar-Pa'!L310,0)</f>
        <v>0</v>
      </c>
      <c r="BI310" s="18">
        <f>IFERROR(AK310/'Ar-Pa'!M310,0)</f>
        <v>0</v>
      </c>
      <c r="BJ310" s="18">
        <f>IFERROR(AL310/'Ar-Pa'!N310,0)</f>
        <v>0</v>
      </c>
      <c r="BK310" s="18">
        <f>IFERROR(AM310/'Ar-Pa'!O310,0)</f>
        <v>0</v>
      </c>
      <c r="BL310" s="18">
        <f>IFERROR(AN310/'Ar-Pa'!P310,0)</f>
        <v>0</v>
      </c>
      <c r="BM310" s="18">
        <f>IFERROR(AO310/'Ar-Pa'!Q310,0)</f>
        <v>0</v>
      </c>
      <c r="BN310" s="18">
        <f>IFERROR(AP310/'Ar-Pa'!R310,0)</f>
        <v>0</v>
      </c>
      <c r="BO310" s="18">
        <f>IFERROR(AQ310/'Ar-Pa'!S310,0)</f>
        <v>0</v>
      </c>
      <c r="BP310" s="18">
        <f>IFERROR(AR310/'Ar-Pa'!T310,0)</f>
        <v>0</v>
      </c>
      <c r="BQ310" s="18">
        <f>IFERROR(AS310/'Ar-Pa'!U310,0)</f>
        <v>0</v>
      </c>
      <c r="BR310" s="18">
        <f>IFERROR(AT310/'Ar-Pa'!V310,0)</f>
        <v>0</v>
      </c>
      <c r="BS310" s="18">
        <f>IFERROR(AU310/'Ar-Pa'!W310,0)</f>
        <v>0</v>
      </c>
      <c r="BT310" s="18">
        <f>IFERROR(AV310/'Ar-Pa'!X310,0)</f>
        <v>0</v>
      </c>
      <c r="BU310" s="18">
        <f>IFERROR(AW310/'Ar-Pa'!Y310,0)</f>
        <v>0</v>
      </c>
    </row>
    <row r="311" spans="1:73">
      <c r="A311" s="15">
        <v>45236</v>
      </c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9">
        <f t="shared" si="200"/>
        <v>0</v>
      </c>
      <c r="AA311" s="19">
        <f t="shared" si="201"/>
        <v>0</v>
      </c>
      <c r="AB311" s="19">
        <f t="shared" si="202"/>
        <v>0</v>
      </c>
      <c r="AC311" s="19">
        <f t="shared" si="203"/>
        <v>0</v>
      </c>
      <c r="AD311" s="19">
        <f t="shared" si="204"/>
        <v>0</v>
      </c>
      <c r="AE311" s="19">
        <f t="shared" si="205"/>
        <v>0</v>
      </c>
      <c r="AF311" s="19">
        <f t="shared" si="206"/>
        <v>0</v>
      </c>
      <c r="AG311" s="19">
        <f t="shared" si="207"/>
        <v>0</v>
      </c>
      <c r="AH311" s="19">
        <f t="shared" si="208"/>
        <v>0</v>
      </c>
      <c r="AI311" s="19">
        <f t="shared" si="209"/>
        <v>0</v>
      </c>
      <c r="AJ311" s="19">
        <f t="shared" si="210"/>
        <v>0</v>
      </c>
      <c r="AK311" s="19">
        <f t="shared" si="211"/>
        <v>0</v>
      </c>
      <c r="AL311" s="19">
        <f t="shared" si="212"/>
        <v>0</v>
      </c>
      <c r="AM311" s="19">
        <f t="shared" si="213"/>
        <v>0</v>
      </c>
      <c r="AN311" s="19">
        <f t="shared" si="214"/>
        <v>0</v>
      </c>
      <c r="AO311" s="19">
        <f t="shared" si="215"/>
        <v>0</v>
      </c>
      <c r="AP311" s="19">
        <f t="shared" si="216"/>
        <v>0</v>
      </c>
      <c r="AQ311" s="19">
        <f t="shared" si="217"/>
        <v>0</v>
      </c>
      <c r="AR311" s="19">
        <f t="shared" si="218"/>
        <v>0</v>
      </c>
      <c r="AS311" s="19">
        <f t="shared" si="219"/>
        <v>0</v>
      </c>
      <c r="AT311" s="19">
        <f t="shared" si="220"/>
        <v>0</v>
      </c>
      <c r="AU311" s="19">
        <f t="shared" si="221"/>
        <v>0</v>
      </c>
      <c r="AV311" s="19">
        <f t="shared" si="222"/>
        <v>0</v>
      </c>
      <c r="AW311" s="19">
        <f t="shared" si="223"/>
        <v>0</v>
      </c>
      <c r="AX311" s="18">
        <f>IFERROR(Z311/'Ar-Pa'!B311,0)</f>
        <v>0</v>
      </c>
      <c r="AY311" s="18">
        <f>IFERROR(AA311/'Ar-Pa'!C311,0)</f>
        <v>0</v>
      </c>
      <c r="AZ311" s="18">
        <f>IFERROR(AB311/'Ar-Pa'!D311,0)</f>
        <v>0</v>
      </c>
      <c r="BA311" s="18">
        <f>IFERROR(AC311/'Ar-Pa'!E311,0)</f>
        <v>0</v>
      </c>
      <c r="BB311" s="18">
        <f>IFERROR(AD311/'Ar-Pa'!F311,0)</f>
        <v>0</v>
      </c>
      <c r="BC311" s="18">
        <f>IFERROR(AE311/'Ar-Pa'!G311,0)</f>
        <v>0</v>
      </c>
      <c r="BD311" s="18">
        <f>IFERROR(AF311/'Ar-Pa'!H311,0)</f>
        <v>0</v>
      </c>
      <c r="BE311" s="18">
        <f>IFERROR(AG311/'Ar-Pa'!I311,0)</f>
        <v>0</v>
      </c>
      <c r="BF311" s="18">
        <f>IFERROR(AH311/'Ar-Pa'!J311,0)</f>
        <v>0</v>
      </c>
      <c r="BG311" s="18">
        <f>IFERROR(AI311/'Ar-Pa'!K311,0)</f>
        <v>0</v>
      </c>
      <c r="BH311" s="18">
        <f>IFERROR(AJ311/'Ar-Pa'!L311,0)</f>
        <v>0</v>
      </c>
      <c r="BI311" s="18">
        <f>IFERROR(AK311/'Ar-Pa'!M311,0)</f>
        <v>0</v>
      </c>
      <c r="BJ311" s="18">
        <f>IFERROR(AL311/'Ar-Pa'!N311,0)</f>
        <v>0</v>
      </c>
      <c r="BK311" s="18">
        <f>IFERROR(AM311/'Ar-Pa'!O311,0)</f>
        <v>0</v>
      </c>
      <c r="BL311" s="18">
        <f>IFERROR(AN311/'Ar-Pa'!P311,0)</f>
        <v>0</v>
      </c>
      <c r="BM311" s="18">
        <f>IFERROR(AO311/'Ar-Pa'!Q311,0)</f>
        <v>0</v>
      </c>
      <c r="BN311" s="18">
        <f>IFERROR(AP311/'Ar-Pa'!R311,0)</f>
        <v>0</v>
      </c>
      <c r="BO311" s="18">
        <f>IFERROR(AQ311/'Ar-Pa'!S311,0)</f>
        <v>0</v>
      </c>
      <c r="BP311" s="18">
        <f>IFERROR(AR311/'Ar-Pa'!T311,0)</f>
        <v>0</v>
      </c>
      <c r="BQ311" s="18">
        <f>IFERROR(AS311/'Ar-Pa'!U311,0)</f>
        <v>0</v>
      </c>
      <c r="BR311" s="18">
        <f>IFERROR(AT311/'Ar-Pa'!V311,0)</f>
        <v>0</v>
      </c>
      <c r="BS311" s="18">
        <f>IFERROR(AU311/'Ar-Pa'!W311,0)</f>
        <v>0</v>
      </c>
      <c r="BT311" s="18">
        <f>IFERROR(AV311/'Ar-Pa'!X311,0)</f>
        <v>0</v>
      </c>
      <c r="BU311" s="18">
        <f>IFERROR(AW311/'Ar-Pa'!Y311,0)</f>
        <v>0</v>
      </c>
    </row>
    <row r="312" spans="1:73">
      <c r="A312" s="15">
        <v>45237</v>
      </c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9">
        <f t="shared" si="200"/>
        <v>0</v>
      </c>
      <c r="AA312" s="19">
        <f t="shared" si="201"/>
        <v>0</v>
      </c>
      <c r="AB312" s="19">
        <f t="shared" si="202"/>
        <v>0</v>
      </c>
      <c r="AC312" s="19">
        <f t="shared" si="203"/>
        <v>0</v>
      </c>
      <c r="AD312" s="19">
        <f t="shared" si="204"/>
        <v>0</v>
      </c>
      <c r="AE312" s="19">
        <f t="shared" si="205"/>
        <v>0</v>
      </c>
      <c r="AF312" s="19">
        <f t="shared" si="206"/>
        <v>0</v>
      </c>
      <c r="AG312" s="19">
        <f t="shared" si="207"/>
        <v>0</v>
      </c>
      <c r="AH312" s="19">
        <f t="shared" si="208"/>
        <v>0</v>
      </c>
      <c r="AI312" s="19">
        <f t="shared" si="209"/>
        <v>0</v>
      </c>
      <c r="AJ312" s="19">
        <f t="shared" si="210"/>
        <v>0</v>
      </c>
      <c r="AK312" s="19">
        <f t="shared" si="211"/>
        <v>0</v>
      </c>
      <c r="AL312" s="19">
        <f t="shared" si="212"/>
        <v>0</v>
      </c>
      <c r="AM312" s="19">
        <f t="shared" si="213"/>
        <v>0</v>
      </c>
      <c r="AN312" s="19">
        <f t="shared" si="214"/>
        <v>0</v>
      </c>
      <c r="AO312" s="19">
        <f t="shared" si="215"/>
        <v>0</v>
      </c>
      <c r="AP312" s="19">
        <f t="shared" si="216"/>
        <v>0</v>
      </c>
      <c r="AQ312" s="19">
        <f t="shared" si="217"/>
        <v>0</v>
      </c>
      <c r="AR312" s="19">
        <f t="shared" si="218"/>
        <v>0</v>
      </c>
      <c r="AS312" s="19">
        <f t="shared" si="219"/>
        <v>0</v>
      </c>
      <c r="AT312" s="19">
        <f t="shared" si="220"/>
        <v>0</v>
      </c>
      <c r="AU312" s="19">
        <f t="shared" si="221"/>
        <v>0</v>
      </c>
      <c r="AV312" s="19">
        <f t="shared" si="222"/>
        <v>0</v>
      </c>
      <c r="AW312" s="19">
        <f t="shared" si="223"/>
        <v>0</v>
      </c>
      <c r="AX312" s="18">
        <f>IFERROR(Z312/'Ar-Pa'!B312,0)</f>
        <v>0</v>
      </c>
      <c r="AY312" s="18">
        <f>IFERROR(AA312/'Ar-Pa'!C312,0)</f>
        <v>0</v>
      </c>
      <c r="AZ312" s="18">
        <f>IFERROR(AB312/'Ar-Pa'!D312,0)</f>
        <v>0</v>
      </c>
      <c r="BA312" s="18">
        <f>IFERROR(AC312/'Ar-Pa'!E312,0)</f>
        <v>0</v>
      </c>
      <c r="BB312" s="18">
        <f>IFERROR(AD312/'Ar-Pa'!F312,0)</f>
        <v>0</v>
      </c>
      <c r="BC312" s="18">
        <f>IFERROR(AE312/'Ar-Pa'!G312,0)</f>
        <v>0</v>
      </c>
      <c r="BD312" s="18">
        <f>IFERROR(AF312/'Ar-Pa'!H312,0)</f>
        <v>0</v>
      </c>
      <c r="BE312" s="18">
        <f>IFERROR(AG312/'Ar-Pa'!I312,0)</f>
        <v>0</v>
      </c>
      <c r="BF312" s="18">
        <f>IFERROR(AH312/'Ar-Pa'!J312,0)</f>
        <v>0</v>
      </c>
      <c r="BG312" s="18">
        <f>IFERROR(AI312/'Ar-Pa'!K312,0)</f>
        <v>0</v>
      </c>
      <c r="BH312" s="18">
        <f>IFERROR(AJ312/'Ar-Pa'!L312,0)</f>
        <v>0</v>
      </c>
      <c r="BI312" s="18">
        <f>IFERROR(AK312/'Ar-Pa'!M312,0)</f>
        <v>0</v>
      </c>
      <c r="BJ312" s="18">
        <f>IFERROR(AL312/'Ar-Pa'!N312,0)</f>
        <v>0</v>
      </c>
      <c r="BK312" s="18">
        <f>IFERROR(AM312/'Ar-Pa'!O312,0)</f>
        <v>0</v>
      </c>
      <c r="BL312" s="18">
        <f>IFERROR(AN312/'Ar-Pa'!P312,0)</f>
        <v>0</v>
      </c>
      <c r="BM312" s="18">
        <f>IFERROR(AO312/'Ar-Pa'!Q312,0)</f>
        <v>0</v>
      </c>
      <c r="BN312" s="18">
        <f>IFERROR(AP312/'Ar-Pa'!R312,0)</f>
        <v>0</v>
      </c>
      <c r="BO312" s="18">
        <f>IFERROR(AQ312/'Ar-Pa'!S312,0)</f>
        <v>0</v>
      </c>
      <c r="BP312" s="18">
        <f>IFERROR(AR312/'Ar-Pa'!T312,0)</f>
        <v>0</v>
      </c>
      <c r="BQ312" s="18">
        <f>IFERROR(AS312/'Ar-Pa'!U312,0)</f>
        <v>0</v>
      </c>
      <c r="BR312" s="18">
        <f>IFERROR(AT312/'Ar-Pa'!V312,0)</f>
        <v>0</v>
      </c>
      <c r="BS312" s="18">
        <f>IFERROR(AU312/'Ar-Pa'!W312,0)</f>
        <v>0</v>
      </c>
      <c r="BT312" s="18">
        <f>IFERROR(AV312/'Ar-Pa'!X312,0)</f>
        <v>0</v>
      </c>
      <c r="BU312" s="18">
        <f>IFERROR(AW312/'Ar-Pa'!Y312,0)</f>
        <v>0</v>
      </c>
    </row>
    <row r="313" spans="1:73">
      <c r="A313" s="15">
        <v>45238</v>
      </c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9">
        <f t="shared" si="200"/>
        <v>0</v>
      </c>
      <c r="AA313" s="19">
        <f t="shared" si="201"/>
        <v>0</v>
      </c>
      <c r="AB313" s="19">
        <f t="shared" si="202"/>
        <v>0</v>
      </c>
      <c r="AC313" s="19">
        <f t="shared" si="203"/>
        <v>0</v>
      </c>
      <c r="AD313" s="19">
        <f t="shared" si="204"/>
        <v>0</v>
      </c>
      <c r="AE313" s="19">
        <f t="shared" si="205"/>
        <v>0</v>
      </c>
      <c r="AF313" s="19">
        <f t="shared" si="206"/>
        <v>0</v>
      </c>
      <c r="AG313" s="19">
        <f t="shared" si="207"/>
        <v>0</v>
      </c>
      <c r="AH313" s="19">
        <f t="shared" si="208"/>
        <v>0</v>
      </c>
      <c r="AI313" s="19">
        <f t="shared" si="209"/>
        <v>0</v>
      </c>
      <c r="AJ313" s="19">
        <f t="shared" si="210"/>
        <v>0</v>
      </c>
      <c r="AK313" s="19">
        <f t="shared" si="211"/>
        <v>0</v>
      </c>
      <c r="AL313" s="19">
        <f t="shared" si="212"/>
        <v>0</v>
      </c>
      <c r="AM313" s="19">
        <f t="shared" si="213"/>
        <v>0</v>
      </c>
      <c r="AN313" s="19">
        <f t="shared" si="214"/>
        <v>0</v>
      </c>
      <c r="AO313" s="19">
        <f t="shared" si="215"/>
        <v>0</v>
      </c>
      <c r="AP313" s="19">
        <f t="shared" si="216"/>
        <v>0</v>
      </c>
      <c r="AQ313" s="19">
        <f t="shared" si="217"/>
        <v>0</v>
      </c>
      <c r="AR313" s="19">
        <f t="shared" si="218"/>
        <v>0</v>
      </c>
      <c r="AS313" s="19">
        <f t="shared" si="219"/>
        <v>0</v>
      </c>
      <c r="AT313" s="19">
        <f t="shared" si="220"/>
        <v>0</v>
      </c>
      <c r="AU313" s="19">
        <f t="shared" si="221"/>
        <v>0</v>
      </c>
      <c r="AV313" s="19">
        <f t="shared" si="222"/>
        <v>0</v>
      </c>
      <c r="AW313" s="19">
        <f t="shared" si="223"/>
        <v>0</v>
      </c>
      <c r="AX313" s="18">
        <f>IFERROR(Z313/'Ar-Pa'!B313,0)</f>
        <v>0</v>
      </c>
      <c r="AY313" s="18">
        <f>IFERROR(AA313/'Ar-Pa'!C313,0)</f>
        <v>0</v>
      </c>
      <c r="AZ313" s="18">
        <f>IFERROR(AB313/'Ar-Pa'!D313,0)</f>
        <v>0</v>
      </c>
      <c r="BA313" s="18">
        <f>IFERROR(AC313/'Ar-Pa'!E313,0)</f>
        <v>0</v>
      </c>
      <c r="BB313" s="18">
        <f>IFERROR(AD313/'Ar-Pa'!F313,0)</f>
        <v>0</v>
      </c>
      <c r="BC313" s="18">
        <f>IFERROR(AE313/'Ar-Pa'!G313,0)</f>
        <v>0</v>
      </c>
      <c r="BD313" s="18">
        <f>IFERROR(AF313/'Ar-Pa'!H313,0)</f>
        <v>0</v>
      </c>
      <c r="BE313" s="18">
        <f>IFERROR(AG313/'Ar-Pa'!I313,0)</f>
        <v>0</v>
      </c>
      <c r="BF313" s="18">
        <f>IFERROR(AH313/'Ar-Pa'!J313,0)</f>
        <v>0</v>
      </c>
      <c r="BG313" s="18">
        <f>IFERROR(AI313/'Ar-Pa'!K313,0)</f>
        <v>0</v>
      </c>
      <c r="BH313" s="18">
        <f>IFERROR(AJ313/'Ar-Pa'!L313,0)</f>
        <v>0</v>
      </c>
      <c r="BI313" s="18">
        <f>IFERROR(AK313/'Ar-Pa'!M313,0)</f>
        <v>0</v>
      </c>
      <c r="BJ313" s="18">
        <f>IFERROR(AL313/'Ar-Pa'!N313,0)</f>
        <v>0</v>
      </c>
      <c r="BK313" s="18">
        <f>IFERROR(AM313/'Ar-Pa'!O313,0)</f>
        <v>0</v>
      </c>
      <c r="BL313" s="18">
        <f>IFERROR(AN313/'Ar-Pa'!P313,0)</f>
        <v>0</v>
      </c>
      <c r="BM313" s="18">
        <f>IFERROR(AO313/'Ar-Pa'!Q313,0)</f>
        <v>0</v>
      </c>
      <c r="BN313" s="18">
        <f>IFERROR(AP313/'Ar-Pa'!R313,0)</f>
        <v>0</v>
      </c>
      <c r="BO313" s="18">
        <f>IFERROR(AQ313/'Ar-Pa'!S313,0)</f>
        <v>0</v>
      </c>
      <c r="BP313" s="18">
        <f>IFERROR(AR313/'Ar-Pa'!T313,0)</f>
        <v>0</v>
      </c>
      <c r="BQ313" s="18">
        <f>IFERROR(AS313/'Ar-Pa'!U313,0)</f>
        <v>0</v>
      </c>
      <c r="BR313" s="18">
        <f>IFERROR(AT313/'Ar-Pa'!V313,0)</f>
        <v>0</v>
      </c>
      <c r="BS313" s="18">
        <f>IFERROR(AU313/'Ar-Pa'!W313,0)</f>
        <v>0</v>
      </c>
      <c r="BT313" s="18">
        <f>IFERROR(AV313/'Ar-Pa'!X313,0)</f>
        <v>0</v>
      </c>
      <c r="BU313" s="18">
        <f>IFERROR(AW313/'Ar-Pa'!Y313,0)</f>
        <v>0</v>
      </c>
    </row>
    <row r="314" spans="1:73">
      <c r="A314" s="15">
        <v>45239</v>
      </c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9">
        <f t="shared" si="200"/>
        <v>0</v>
      </c>
      <c r="AA314" s="19">
        <f t="shared" si="201"/>
        <v>0</v>
      </c>
      <c r="AB314" s="19">
        <f t="shared" si="202"/>
        <v>0</v>
      </c>
      <c r="AC314" s="19">
        <f t="shared" si="203"/>
        <v>0</v>
      </c>
      <c r="AD314" s="19">
        <f t="shared" si="204"/>
        <v>0</v>
      </c>
      <c r="AE314" s="19">
        <f t="shared" si="205"/>
        <v>0</v>
      </c>
      <c r="AF314" s="19">
        <f t="shared" si="206"/>
        <v>0</v>
      </c>
      <c r="AG314" s="19">
        <f t="shared" si="207"/>
        <v>0</v>
      </c>
      <c r="AH314" s="19">
        <f t="shared" si="208"/>
        <v>0</v>
      </c>
      <c r="AI314" s="19">
        <f t="shared" si="209"/>
        <v>0</v>
      </c>
      <c r="AJ314" s="19">
        <f t="shared" si="210"/>
        <v>0</v>
      </c>
      <c r="AK314" s="19">
        <f t="shared" si="211"/>
        <v>0</v>
      </c>
      <c r="AL314" s="19">
        <f t="shared" si="212"/>
        <v>0</v>
      </c>
      <c r="AM314" s="19">
        <f t="shared" si="213"/>
        <v>0</v>
      </c>
      <c r="AN314" s="19">
        <f t="shared" si="214"/>
        <v>0</v>
      </c>
      <c r="AO314" s="19">
        <f t="shared" si="215"/>
        <v>0</v>
      </c>
      <c r="AP314" s="19">
        <f t="shared" si="216"/>
        <v>0</v>
      </c>
      <c r="AQ314" s="19">
        <f t="shared" si="217"/>
        <v>0</v>
      </c>
      <c r="AR314" s="19">
        <f t="shared" si="218"/>
        <v>0</v>
      </c>
      <c r="AS314" s="19">
        <f t="shared" si="219"/>
        <v>0</v>
      </c>
      <c r="AT314" s="19">
        <f t="shared" si="220"/>
        <v>0</v>
      </c>
      <c r="AU314" s="19">
        <f t="shared" si="221"/>
        <v>0</v>
      </c>
      <c r="AV314" s="19">
        <f t="shared" si="222"/>
        <v>0</v>
      </c>
      <c r="AW314" s="19">
        <f t="shared" si="223"/>
        <v>0</v>
      </c>
      <c r="AX314" s="18">
        <f>IFERROR(Z314/'Ar-Pa'!B314,0)</f>
        <v>0</v>
      </c>
      <c r="AY314" s="18">
        <f>IFERROR(AA314/'Ar-Pa'!C314,0)</f>
        <v>0</v>
      </c>
      <c r="AZ314" s="18">
        <f>IFERROR(AB314/'Ar-Pa'!D314,0)</f>
        <v>0</v>
      </c>
      <c r="BA314" s="18">
        <f>IFERROR(AC314/'Ar-Pa'!E314,0)</f>
        <v>0</v>
      </c>
      <c r="BB314" s="18">
        <f>IFERROR(AD314/'Ar-Pa'!F314,0)</f>
        <v>0</v>
      </c>
      <c r="BC314" s="18">
        <f>IFERROR(AE314/'Ar-Pa'!G314,0)</f>
        <v>0</v>
      </c>
      <c r="BD314" s="18">
        <f>IFERROR(AF314/'Ar-Pa'!H314,0)</f>
        <v>0</v>
      </c>
      <c r="BE314" s="18">
        <f>IFERROR(AG314/'Ar-Pa'!I314,0)</f>
        <v>0</v>
      </c>
      <c r="BF314" s="18">
        <f>IFERROR(AH314/'Ar-Pa'!J314,0)</f>
        <v>0</v>
      </c>
      <c r="BG314" s="18">
        <f>IFERROR(AI314/'Ar-Pa'!K314,0)</f>
        <v>0</v>
      </c>
      <c r="BH314" s="18">
        <f>IFERROR(AJ314/'Ar-Pa'!L314,0)</f>
        <v>0</v>
      </c>
      <c r="BI314" s="18">
        <f>IFERROR(AK314/'Ar-Pa'!M314,0)</f>
        <v>0</v>
      </c>
      <c r="BJ314" s="18">
        <f>IFERROR(AL314/'Ar-Pa'!N314,0)</f>
        <v>0</v>
      </c>
      <c r="BK314" s="18">
        <f>IFERROR(AM314/'Ar-Pa'!O314,0)</f>
        <v>0</v>
      </c>
      <c r="BL314" s="18">
        <f>IFERROR(AN314/'Ar-Pa'!P314,0)</f>
        <v>0</v>
      </c>
      <c r="BM314" s="18">
        <f>IFERROR(AO314/'Ar-Pa'!Q314,0)</f>
        <v>0</v>
      </c>
      <c r="BN314" s="18">
        <f>IFERROR(AP314/'Ar-Pa'!R314,0)</f>
        <v>0</v>
      </c>
      <c r="BO314" s="18">
        <f>IFERROR(AQ314/'Ar-Pa'!S314,0)</f>
        <v>0</v>
      </c>
      <c r="BP314" s="18">
        <f>IFERROR(AR314/'Ar-Pa'!T314,0)</f>
        <v>0</v>
      </c>
      <c r="BQ314" s="18">
        <f>IFERROR(AS314/'Ar-Pa'!U314,0)</f>
        <v>0</v>
      </c>
      <c r="BR314" s="18">
        <f>IFERROR(AT314/'Ar-Pa'!V314,0)</f>
        <v>0</v>
      </c>
      <c r="BS314" s="18">
        <f>IFERROR(AU314/'Ar-Pa'!W314,0)</f>
        <v>0</v>
      </c>
      <c r="BT314" s="18">
        <f>IFERROR(AV314/'Ar-Pa'!X314,0)</f>
        <v>0</v>
      </c>
      <c r="BU314" s="18">
        <f>IFERROR(AW314/'Ar-Pa'!Y314,0)</f>
        <v>0</v>
      </c>
    </row>
    <row r="315" spans="1:73">
      <c r="A315" s="15">
        <v>45240</v>
      </c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9">
        <f t="shared" si="200"/>
        <v>0</v>
      </c>
      <c r="AA315" s="19">
        <f t="shared" si="201"/>
        <v>0</v>
      </c>
      <c r="AB315" s="19">
        <f t="shared" si="202"/>
        <v>0</v>
      </c>
      <c r="AC315" s="19">
        <f t="shared" si="203"/>
        <v>0</v>
      </c>
      <c r="AD315" s="19">
        <f t="shared" si="204"/>
        <v>0</v>
      </c>
      <c r="AE315" s="19">
        <f t="shared" si="205"/>
        <v>0</v>
      </c>
      <c r="AF315" s="19">
        <f t="shared" si="206"/>
        <v>0</v>
      </c>
      <c r="AG315" s="19">
        <f t="shared" si="207"/>
        <v>0</v>
      </c>
      <c r="AH315" s="19">
        <f t="shared" si="208"/>
        <v>0</v>
      </c>
      <c r="AI315" s="19">
        <f t="shared" si="209"/>
        <v>0</v>
      </c>
      <c r="AJ315" s="19">
        <f t="shared" si="210"/>
        <v>0</v>
      </c>
      <c r="AK315" s="19">
        <f t="shared" si="211"/>
        <v>0</v>
      </c>
      <c r="AL315" s="19">
        <f t="shared" si="212"/>
        <v>0</v>
      </c>
      <c r="AM315" s="19">
        <f t="shared" si="213"/>
        <v>0</v>
      </c>
      <c r="AN315" s="19">
        <f t="shared" si="214"/>
        <v>0</v>
      </c>
      <c r="AO315" s="19">
        <f t="shared" si="215"/>
        <v>0</v>
      </c>
      <c r="AP315" s="19">
        <f t="shared" si="216"/>
        <v>0</v>
      </c>
      <c r="AQ315" s="19">
        <f t="shared" si="217"/>
        <v>0</v>
      </c>
      <c r="AR315" s="19">
        <f t="shared" si="218"/>
        <v>0</v>
      </c>
      <c r="AS315" s="19">
        <f t="shared" si="219"/>
        <v>0</v>
      </c>
      <c r="AT315" s="19">
        <f t="shared" si="220"/>
        <v>0</v>
      </c>
      <c r="AU315" s="19">
        <f t="shared" si="221"/>
        <v>0</v>
      </c>
      <c r="AV315" s="19">
        <f t="shared" si="222"/>
        <v>0</v>
      </c>
      <c r="AW315" s="19">
        <f t="shared" si="223"/>
        <v>0</v>
      </c>
      <c r="AX315" s="18">
        <f>IFERROR(Z315/'Ar-Pa'!B315,0)</f>
        <v>0</v>
      </c>
      <c r="AY315" s="18">
        <f>IFERROR(AA315/'Ar-Pa'!C315,0)</f>
        <v>0</v>
      </c>
      <c r="AZ315" s="18">
        <f>IFERROR(AB315/'Ar-Pa'!D315,0)</f>
        <v>0</v>
      </c>
      <c r="BA315" s="18">
        <f>IFERROR(AC315/'Ar-Pa'!E315,0)</f>
        <v>0</v>
      </c>
      <c r="BB315" s="18">
        <f>IFERROR(AD315/'Ar-Pa'!F315,0)</f>
        <v>0</v>
      </c>
      <c r="BC315" s="18">
        <f>IFERROR(AE315/'Ar-Pa'!G315,0)</f>
        <v>0</v>
      </c>
      <c r="BD315" s="18">
        <f>IFERROR(AF315/'Ar-Pa'!H315,0)</f>
        <v>0</v>
      </c>
      <c r="BE315" s="18">
        <f>IFERROR(AG315/'Ar-Pa'!I315,0)</f>
        <v>0</v>
      </c>
      <c r="BF315" s="18">
        <f>IFERROR(AH315/'Ar-Pa'!J315,0)</f>
        <v>0</v>
      </c>
      <c r="BG315" s="18">
        <f>IFERROR(AI315/'Ar-Pa'!K315,0)</f>
        <v>0</v>
      </c>
      <c r="BH315" s="18">
        <f>IFERROR(AJ315/'Ar-Pa'!L315,0)</f>
        <v>0</v>
      </c>
      <c r="BI315" s="18">
        <f>IFERROR(AK315/'Ar-Pa'!M315,0)</f>
        <v>0</v>
      </c>
      <c r="BJ315" s="18">
        <f>IFERROR(AL315/'Ar-Pa'!N315,0)</f>
        <v>0</v>
      </c>
      <c r="BK315" s="18">
        <f>IFERROR(AM315/'Ar-Pa'!O315,0)</f>
        <v>0</v>
      </c>
      <c r="BL315" s="18">
        <f>IFERROR(AN315/'Ar-Pa'!P315,0)</f>
        <v>0</v>
      </c>
      <c r="BM315" s="18">
        <f>IFERROR(AO315/'Ar-Pa'!Q315,0)</f>
        <v>0</v>
      </c>
      <c r="BN315" s="18">
        <f>IFERROR(AP315/'Ar-Pa'!R315,0)</f>
        <v>0</v>
      </c>
      <c r="BO315" s="18">
        <f>IFERROR(AQ315/'Ar-Pa'!S315,0)</f>
        <v>0</v>
      </c>
      <c r="BP315" s="18">
        <f>IFERROR(AR315/'Ar-Pa'!T315,0)</f>
        <v>0</v>
      </c>
      <c r="BQ315" s="18">
        <f>IFERROR(AS315/'Ar-Pa'!U315,0)</f>
        <v>0</v>
      </c>
      <c r="BR315" s="18">
        <f>IFERROR(AT315/'Ar-Pa'!V315,0)</f>
        <v>0</v>
      </c>
      <c r="BS315" s="18">
        <f>IFERROR(AU315/'Ar-Pa'!W315,0)</f>
        <v>0</v>
      </c>
      <c r="BT315" s="18">
        <f>IFERROR(AV315/'Ar-Pa'!X315,0)</f>
        <v>0</v>
      </c>
      <c r="BU315" s="18">
        <f>IFERROR(AW315/'Ar-Pa'!Y315,0)</f>
        <v>0</v>
      </c>
    </row>
    <row r="316" spans="1:73">
      <c r="A316" s="15">
        <v>45241</v>
      </c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9">
        <f t="shared" si="200"/>
        <v>0</v>
      </c>
      <c r="AA316" s="19">
        <f t="shared" si="201"/>
        <v>0</v>
      </c>
      <c r="AB316" s="19">
        <f t="shared" si="202"/>
        <v>0</v>
      </c>
      <c r="AC316" s="19">
        <f t="shared" si="203"/>
        <v>0</v>
      </c>
      <c r="AD316" s="19">
        <f t="shared" si="204"/>
        <v>0</v>
      </c>
      <c r="AE316" s="19">
        <f t="shared" si="205"/>
        <v>0</v>
      </c>
      <c r="AF316" s="19">
        <f t="shared" si="206"/>
        <v>0</v>
      </c>
      <c r="AG316" s="19">
        <f t="shared" si="207"/>
        <v>0</v>
      </c>
      <c r="AH316" s="19">
        <f t="shared" si="208"/>
        <v>0</v>
      </c>
      <c r="AI316" s="19">
        <f t="shared" si="209"/>
        <v>0</v>
      </c>
      <c r="AJ316" s="19">
        <f t="shared" si="210"/>
        <v>0</v>
      </c>
      <c r="AK316" s="19">
        <f t="shared" si="211"/>
        <v>0</v>
      </c>
      <c r="AL316" s="19">
        <f t="shared" si="212"/>
        <v>0</v>
      </c>
      <c r="AM316" s="19">
        <f t="shared" si="213"/>
        <v>0</v>
      </c>
      <c r="AN316" s="19">
        <f t="shared" si="214"/>
        <v>0</v>
      </c>
      <c r="AO316" s="19">
        <f t="shared" si="215"/>
        <v>0</v>
      </c>
      <c r="AP316" s="19">
        <f t="shared" si="216"/>
        <v>0</v>
      </c>
      <c r="AQ316" s="19">
        <f t="shared" si="217"/>
        <v>0</v>
      </c>
      <c r="AR316" s="19">
        <f t="shared" si="218"/>
        <v>0</v>
      </c>
      <c r="AS316" s="19">
        <f t="shared" si="219"/>
        <v>0</v>
      </c>
      <c r="AT316" s="19">
        <f t="shared" si="220"/>
        <v>0</v>
      </c>
      <c r="AU316" s="19">
        <f t="shared" si="221"/>
        <v>0</v>
      </c>
      <c r="AV316" s="19">
        <f t="shared" si="222"/>
        <v>0</v>
      </c>
      <c r="AW316" s="19">
        <f t="shared" si="223"/>
        <v>0</v>
      </c>
      <c r="AX316" s="18">
        <f>IFERROR(Z316/'Ar-Pa'!B316,0)</f>
        <v>0</v>
      </c>
      <c r="AY316" s="18">
        <f>IFERROR(AA316/'Ar-Pa'!C316,0)</f>
        <v>0</v>
      </c>
      <c r="AZ316" s="18">
        <f>IFERROR(AB316/'Ar-Pa'!D316,0)</f>
        <v>0</v>
      </c>
      <c r="BA316" s="18">
        <f>IFERROR(AC316/'Ar-Pa'!E316,0)</f>
        <v>0</v>
      </c>
      <c r="BB316" s="18">
        <f>IFERROR(AD316/'Ar-Pa'!F316,0)</f>
        <v>0</v>
      </c>
      <c r="BC316" s="18">
        <f>IFERROR(AE316/'Ar-Pa'!G316,0)</f>
        <v>0</v>
      </c>
      <c r="BD316" s="18">
        <f>IFERROR(AF316/'Ar-Pa'!H316,0)</f>
        <v>0</v>
      </c>
      <c r="BE316" s="18">
        <f>IFERROR(AG316/'Ar-Pa'!I316,0)</f>
        <v>0</v>
      </c>
      <c r="BF316" s="18">
        <f>IFERROR(AH316/'Ar-Pa'!J316,0)</f>
        <v>0</v>
      </c>
      <c r="BG316" s="18">
        <f>IFERROR(AI316/'Ar-Pa'!K316,0)</f>
        <v>0</v>
      </c>
      <c r="BH316" s="18">
        <f>IFERROR(AJ316/'Ar-Pa'!L316,0)</f>
        <v>0</v>
      </c>
      <c r="BI316" s="18">
        <f>IFERROR(AK316/'Ar-Pa'!M316,0)</f>
        <v>0</v>
      </c>
      <c r="BJ316" s="18">
        <f>IFERROR(AL316/'Ar-Pa'!N316,0)</f>
        <v>0</v>
      </c>
      <c r="BK316" s="18">
        <f>IFERROR(AM316/'Ar-Pa'!O316,0)</f>
        <v>0</v>
      </c>
      <c r="BL316" s="18">
        <f>IFERROR(AN316/'Ar-Pa'!P316,0)</f>
        <v>0</v>
      </c>
      <c r="BM316" s="18">
        <f>IFERROR(AO316/'Ar-Pa'!Q316,0)</f>
        <v>0</v>
      </c>
      <c r="BN316" s="18">
        <f>IFERROR(AP316/'Ar-Pa'!R316,0)</f>
        <v>0</v>
      </c>
      <c r="BO316" s="18">
        <f>IFERROR(AQ316/'Ar-Pa'!S316,0)</f>
        <v>0</v>
      </c>
      <c r="BP316" s="18">
        <f>IFERROR(AR316/'Ar-Pa'!T316,0)</f>
        <v>0</v>
      </c>
      <c r="BQ316" s="18">
        <f>IFERROR(AS316/'Ar-Pa'!U316,0)</f>
        <v>0</v>
      </c>
      <c r="BR316" s="18">
        <f>IFERROR(AT316/'Ar-Pa'!V316,0)</f>
        <v>0</v>
      </c>
      <c r="BS316" s="18">
        <f>IFERROR(AU316/'Ar-Pa'!W316,0)</f>
        <v>0</v>
      </c>
      <c r="BT316" s="18">
        <f>IFERROR(AV316/'Ar-Pa'!X316,0)</f>
        <v>0</v>
      </c>
      <c r="BU316" s="18">
        <f>IFERROR(AW316/'Ar-Pa'!Y316,0)</f>
        <v>0</v>
      </c>
    </row>
    <row r="317" spans="1:73">
      <c r="A317" s="15">
        <v>45242</v>
      </c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9">
        <f t="shared" si="200"/>
        <v>0</v>
      </c>
      <c r="AA317" s="19">
        <f t="shared" si="201"/>
        <v>0</v>
      </c>
      <c r="AB317" s="19">
        <f t="shared" si="202"/>
        <v>0</v>
      </c>
      <c r="AC317" s="19">
        <f t="shared" si="203"/>
        <v>0</v>
      </c>
      <c r="AD317" s="19">
        <f t="shared" si="204"/>
        <v>0</v>
      </c>
      <c r="AE317" s="19">
        <f t="shared" si="205"/>
        <v>0</v>
      </c>
      <c r="AF317" s="19">
        <f t="shared" si="206"/>
        <v>0</v>
      </c>
      <c r="AG317" s="19">
        <f t="shared" si="207"/>
        <v>0</v>
      </c>
      <c r="AH317" s="19">
        <f t="shared" si="208"/>
        <v>0</v>
      </c>
      <c r="AI317" s="19">
        <f t="shared" si="209"/>
        <v>0</v>
      </c>
      <c r="AJ317" s="19">
        <f t="shared" si="210"/>
        <v>0</v>
      </c>
      <c r="AK317" s="19">
        <f t="shared" si="211"/>
        <v>0</v>
      </c>
      <c r="AL317" s="19">
        <f t="shared" si="212"/>
        <v>0</v>
      </c>
      <c r="AM317" s="19">
        <f t="shared" si="213"/>
        <v>0</v>
      </c>
      <c r="AN317" s="19">
        <f t="shared" si="214"/>
        <v>0</v>
      </c>
      <c r="AO317" s="19">
        <f t="shared" si="215"/>
        <v>0</v>
      </c>
      <c r="AP317" s="19">
        <f t="shared" si="216"/>
        <v>0</v>
      </c>
      <c r="AQ317" s="19">
        <f t="shared" si="217"/>
        <v>0</v>
      </c>
      <c r="AR317" s="19">
        <f t="shared" si="218"/>
        <v>0</v>
      </c>
      <c r="AS317" s="19">
        <f t="shared" si="219"/>
        <v>0</v>
      </c>
      <c r="AT317" s="19">
        <f t="shared" si="220"/>
        <v>0</v>
      </c>
      <c r="AU317" s="19">
        <f t="shared" si="221"/>
        <v>0</v>
      </c>
      <c r="AV317" s="19">
        <f t="shared" si="222"/>
        <v>0</v>
      </c>
      <c r="AW317" s="19">
        <f t="shared" si="223"/>
        <v>0</v>
      </c>
      <c r="AX317" s="18">
        <f>IFERROR(Z317/'Ar-Pa'!B317,0)</f>
        <v>0</v>
      </c>
      <c r="AY317" s="18">
        <f>IFERROR(AA317/'Ar-Pa'!C317,0)</f>
        <v>0</v>
      </c>
      <c r="AZ317" s="18">
        <f>IFERROR(AB317/'Ar-Pa'!D317,0)</f>
        <v>0</v>
      </c>
      <c r="BA317" s="18">
        <f>IFERROR(AC317/'Ar-Pa'!E317,0)</f>
        <v>0</v>
      </c>
      <c r="BB317" s="18">
        <f>IFERROR(AD317/'Ar-Pa'!F317,0)</f>
        <v>0</v>
      </c>
      <c r="BC317" s="18">
        <f>IFERROR(AE317/'Ar-Pa'!G317,0)</f>
        <v>0</v>
      </c>
      <c r="BD317" s="18">
        <f>IFERROR(AF317/'Ar-Pa'!H317,0)</f>
        <v>0</v>
      </c>
      <c r="BE317" s="18">
        <f>IFERROR(AG317/'Ar-Pa'!I317,0)</f>
        <v>0</v>
      </c>
      <c r="BF317" s="18">
        <f>IFERROR(AH317/'Ar-Pa'!J317,0)</f>
        <v>0</v>
      </c>
      <c r="BG317" s="18">
        <f>IFERROR(AI317/'Ar-Pa'!K317,0)</f>
        <v>0</v>
      </c>
      <c r="BH317" s="18">
        <f>IFERROR(AJ317/'Ar-Pa'!L317,0)</f>
        <v>0</v>
      </c>
      <c r="BI317" s="18">
        <f>IFERROR(AK317/'Ar-Pa'!M317,0)</f>
        <v>0</v>
      </c>
      <c r="BJ317" s="18">
        <f>IFERROR(AL317/'Ar-Pa'!N317,0)</f>
        <v>0</v>
      </c>
      <c r="BK317" s="18">
        <f>IFERROR(AM317/'Ar-Pa'!O317,0)</f>
        <v>0</v>
      </c>
      <c r="BL317" s="18">
        <f>IFERROR(AN317/'Ar-Pa'!P317,0)</f>
        <v>0</v>
      </c>
      <c r="BM317" s="18">
        <f>IFERROR(AO317/'Ar-Pa'!Q317,0)</f>
        <v>0</v>
      </c>
      <c r="BN317" s="18">
        <f>IFERROR(AP317/'Ar-Pa'!R317,0)</f>
        <v>0</v>
      </c>
      <c r="BO317" s="18">
        <f>IFERROR(AQ317/'Ar-Pa'!S317,0)</f>
        <v>0</v>
      </c>
      <c r="BP317" s="18">
        <f>IFERROR(AR317/'Ar-Pa'!T317,0)</f>
        <v>0</v>
      </c>
      <c r="BQ317" s="18">
        <f>IFERROR(AS317/'Ar-Pa'!U317,0)</f>
        <v>0</v>
      </c>
      <c r="BR317" s="18">
        <f>IFERROR(AT317/'Ar-Pa'!V317,0)</f>
        <v>0</v>
      </c>
      <c r="BS317" s="18">
        <f>IFERROR(AU317/'Ar-Pa'!W317,0)</f>
        <v>0</v>
      </c>
      <c r="BT317" s="18">
        <f>IFERROR(AV317/'Ar-Pa'!X317,0)</f>
        <v>0</v>
      </c>
      <c r="BU317" s="18">
        <f>IFERROR(AW317/'Ar-Pa'!Y317,0)</f>
        <v>0</v>
      </c>
    </row>
    <row r="318" spans="1:73">
      <c r="A318" s="15">
        <v>45243</v>
      </c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9">
        <f t="shared" si="200"/>
        <v>0</v>
      </c>
      <c r="AA318" s="19">
        <f t="shared" si="201"/>
        <v>0</v>
      </c>
      <c r="AB318" s="19">
        <f t="shared" si="202"/>
        <v>0</v>
      </c>
      <c r="AC318" s="19">
        <f t="shared" si="203"/>
        <v>0</v>
      </c>
      <c r="AD318" s="19">
        <f t="shared" si="204"/>
        <v>0</v>
      </c>
      <c r="AE318" s="19">
        <f t="shared" si="205"/>
        <v>0</v>
      </c>
      <c r="AF318" s="19">
        <f t="shared" si="206"/>
        <v>0</v>
      </c>
      <c r="AG318" s="19">
        <f t="shared" si="207"/>
        <v>0</v>
      </c>
      <c r="AH318" s="19">
        <f t="shared" si="208"/>
        <v>0</v>
      </c>
      <c r="AI318" s="19">
        <f t="shared" si="209"/>
        <v>0</v>
      </c>
      <c r="AJ318" s="19">
        <f t="shared" si="210"/>
        <v>0</v>
      </c>
      <c r="AK318" s="19">
        <f t="shared" si="211"/>
        <v>0</v>
      </c>
      <c r="AL318" s="19">
        <f t="shared" si="212"/>
        <v>0</v>
      </c>
      <c r="AM318" s="19">
        <f t="shared" si="213"/>
        <v>0</v>
      </c>
      <c r="AN318" s="19">
        <f t="shared" si="214"/>
        <v>0</v>
      </c>
      <c r="AO318" s="19">
        <f t="shared" si="215"/>
        <v>0</v>
      </c>
      <c r="AP318" s="19">
        <f t="shared" si="216"/>
        <v>0</v>
      </c>
      <c r="AQ318" s="19">
        <f t="shared" si="217"/>
        <v>0</v>
      </c>
      <c r="AR318" s="19">
        <f t="shared" si="218"/>
        <v>0</v>
      </c>
      <c r="AS318" s="19">
        <f t="shared" si="219"/>
        <v>0</v>
      </c>
      <c r="AT318" s="19">
        <f t="shared" si="220"/>
        <v>0</v>
      </c>
      <c r="AU318" s="19">
        <f t="shared" si="221"/>
        <v>0</v>
      </c>
      <c r="AV318" s="19">
        <f t="shared" si="222"/>
        <v>0</v>
      </c>
      <c r="AW318" s="19">
        <f t="shared" si="223"/>
        <v>0</v>
      </c>
      <c r="AX318" s="18">
        <f>IFERROR(Z318/'Ar-Pa'!B318,0)</f>
        <v>0</v>
      </c>
      <c r="AY318" s="18">
        <f>IFERROR(AA318/'Ar-Pa'!C318,0)</f>
        <v>0</v>
      </c>
      <c r="AZ318" s="18">
        <f>IFERROR(AB318/'Ar-Pa'!D318,0)</f>
        <v>0</v>
      </c>
      <c r="BA318" s="18">
        <f>IFERROR(AC318/'Ar-Pa'!E318,0)</f>
        <v>0</v>
      </c>
      <c r="BB318" s="18">
        <f>IFERROR(AD318/'Ar-Pa'!F318,0)</f>
        <v>0</v>
      </c>
      <c r="BC318" s="18">
        <f>IFERROR(AE318/'Ar-Pa'!G318,0)</f>
        <v>0</v>
      </c>
      <c r="BD318" s="18">
        <f>IFERROR(AF318/'Ar-Pa'!H318,0)</f>
        <v>0</v>
      </c>
      <c r="BE318" s="18">
        <f>IFERROR(AG318/'Ar-Pa'!I318,0)</f>
        <v>0</v>
      </c>
      <c r="BF318" s="18">
        <f>IFERROR(AH318/'Ar-Pa'!J318,0)</f>
        <v>0</v>
      </c>
      <c r="BG318" s="18">
        <f>IFERROR(AI318/'Ar-Pa'!K318,0)</f>
        <v>0</v>
      </c>
      <c r="BH318" s="18">
        <f>IFERROR(AJ318/'Ar-Pa'!L318,0)</f>
        <v>0</v>
      </c>
      <c r="BI318" s="18">
        <f>IFERROR(AK318/'Ar-Pa'!M318,0)</f>
        <v>0</v>
      </c>
      <c r="BJ318" s="18">
        <f>IFERROR(AL318/'Ar-Pa'!N318,0)</f>
        <v>0</v>
      </c>
      <c r="BK318" s="18">
        <f>IFERROR(AM318/'Ar-Pa'!O318,0)</f>
        <v>0</v>
      </c>
      <c r="BL318" s="18">
        <f>IFERROR(AN318/'Ar-Pa'!P318,0)</f>
        <v>0</v>
      </c>
      <c r="BM318" s="18">
        <f>IFERROR(AO318/'Ar-Pa'!Q318,0)</f>
        <v>0</v>
      </c>
      <c r="BN318" s="18">
        <f>IFERROR(AP318/'Ar-Pa'!R318,0)</f>
        <v>0</v>
      </c>
      <c r="BO318" s="18">
        <f>IFERROR(AQ318/'Ar-Pa'!S318,0)</f>
        <v>0</v>
      </c>
      <c r="BP318" s="18">
        <f>IFERROR(AR318/'Ar-Pa'!T318,0)</f>
        <v>0</v>
      </c>
      <c r="BQ318" s="18">
        <f>IFERROR(AS318/'Ar-Pa'!U318,0)</f>
        <v>0</v>
      </c>
      <c r="BR318" s="18">
        <f>IFERROR(AT318/'Ar-Pa'!V318,0)</f>
        <v>0</v>
      </c>
      <c r="BS318" s="18">
        <f>IFERROR(AU318/'Ar-Pa'!W318,0)</f>
        <v>0</v>
      </c>
      <c r="BT318" s="18">
        <f>IFERROR(AV318/'Ar-Pa'!X318,0)</f>
        <v>0</v>
      </c>
      <c r="BU318" s="18">
        <f>IFERROR(AW318/'Ar-Pa'!Y318,0)</f>
        <v>0</v>
      </c>
    </row>
    <row r="319" spans="1:73">
      <c r="A319" s="15">
        <v>45244</v>
      </c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9">
        <f t="shared" si="200"/>
        <v>0</v>
      </c>
      <c r="AA319" s="19">
        <f t="shared" si="201"/>
        <v>0</v>
      </c>
      <c r="AB319" s="19">
        <f t="shared" si="202"/>
        <v>0</v>
      </c>
      <c r="AC319" s="19">
        <f t="shared" si="203"/>
        <v>0</v>
      </c>
      <c r="AD319" s="19">
        <f t="shared" si="204"/>
        <v>0</v>
      </c>
      <c r="AE319" s="19">
        <f t="shared" si="205"/>
        <v>0</v>
      </c>
      <c r="AF319" s="19">
        <f t="shared" si="206"/>
        <v>0</v>
      </c>
      <c r="AG319" s="19">
        <f t="shared" si="207"/>
        <v>0</v>
      </c>
      <c r="AH319" s="19">
        <f t="shared" si="208"/>
        <v>0</v>
      </c>
      <c r="AI319" s="19">
        <f t="shared" si="209"/>
        <v>0</v>
      </c>
      <c r="AJ319" s="19">
        <f t="shared" si="210"/>
        <v>0</v>
      </c>
      <c r="AK319" s="19">
        <f t="shared" si="211"/>
        <v>0</v>
      </c>
      <c r="AL319" s="19">
        <f t="shared" si="212"/>
        <v>0</v>
      </c>
      <c r="AM319" s="19">
        <f t="shared" si="213"/>
        <v>0</v>
      </c>
      <c r="AN319" s="19">
        <f t="shared" si="214"/>
        <v>0</v>
      </c>
      <c r="AO319" s="19">
        <f t="shared" si="215"/>
        <v>0</v>
      </c>
      <c r="AP319" s="19">
        <f t="shared" si="216"/>
        <v>0</v>
      </c>
      <c r="AQ319" s="19">
        <f t="shared" si="217"/>
        <v>0</v>
      </c>
      <c r="AR319" s="19">
        <f t="shared" si="218"/>
        <v>0</v>
      </c>
      <c r="AS319" s="19">
        <f t="shared" si="219"/>
        <v>0</v>
      </c>
      <c r="AT319" s="19">
        <f t="shared" si="220"/>
        <v>0</v>
      </c>
      <c r="AU319" s="19">
        <f t="shared" si="221"/>
        <v>0</v>
      </c>
      <c r="AV319" s="19">
        <f t="shared" si="222"/>
        <v>0</v>
      </c>
      <c r="AW319" s="19">
        <f t="shared" si="223"/>
        <v>0</v>
      </c>
      <c r="AX319" s="18">
        <f>IFERROR(Z319/'Ar-Pa'!B319,0)</f>
        <v>0</v>
      </c>
      <c r="AY319" s="18">
        <f>IFERROR(AA319/'Ar-Pa'!C319,0)</f>
        <v>0</v>
      </c>
      <c r="AZ319" s="18">
        <f>IFERROR(AB319/'Ar-Pa'!D319,0)</f>
        <v>0</v>
      </c>
      <c r="BA319" s="18">
        <f>IFERROR(AC319/'Ar-Pa'!E319,0)</f>
        <v>0</v>
      </c>
      <c r="BB319" s="18">
        <f>IFERROR(AD319/'Ar-Pa'!F319,0)</f>
        <v>0</v>
      </c>
      <c r="BC319" s="18">
        <f>IFERROR(AE319/'Ar-Pa'!G319,0)</f>
        <v>0</v>
      </c>
      <c r="BD319" s="18">
        <f>IFERROR(AF319/'Ar-Pa'!H319,0)</f>
        <v>0</v>
      </c>
      <c r="BE319" s="18">
        <f>IFERROR(AG319/'Ar-Pa'!I319,0)</f>
        <v>0</v>
      </c>
      <c r="BF319" s="18">
        <f>IFERROR(AH319/'Ar-Pa'!J319,0)</f>
        <v>0</v>
      </c>
      <c r="BG319" s="18">
        <f>IFERROR(AI319/'Ar-Pa'!K319,0)</f>
        <v>0</v>
      </c>
      <c r="BH319" s="18">
        <f>IFERROR(AJ319/'Ar-Pa'!L319,0)</f>
        <v>0</v>
      </c>
      <c r="BI319" s="18">
        <f>IFERROR(AK319/'Ar-Pa'!M319,0)</f>
        <v>0</v>
      </c>
      <c r="BJ319" s="18">
        <f>IFERROR(AL319/'Ar-Pa'!N319,0)</f>
        <v>0</v>
      </c>
      <c r="BK319" s="18">
        <f>IFERROR(AM319/'Ar-Pa'!O319,0)</f>
        <v>0</v>
      </c>
      <c r="BL319" s="18">
        <f>IFERROR(AN319/'Ar-Pa'!P319,0)</f>
        <v>0</v>
      </c>
      <c r="BM319" s="18">
        <f>IFERROR(AO319/'Ar-Pa'!Q319,0)</f>
        <v>0</v>
      </c>
      <c r="BN319" s="18">
        <f>IFERROR(AP319/'Ar-Pa'!R319,0)</f>
        <v>0</v>
      </c>
      <c r="BO319" s="18">
        <f>IFERROR(AQ319/'Ar-Pa'!S319,0)</f>
        <v>0</v>
      </c>
      <c r="BP319" s="18">
        <f>IFERROR(AR319/'Ar-Pa'!T319,0)</f>
        <v>0</v>
      </c>
      <c r="BQ319" s="18">
        <f>IFERROR(AS319/'Ar-Pa'!U319,0)</f>
        <v>0</v>
      </c>
      <c r="BR319" s="18">
        <f>IFERROR(AT319/'Ar-Pa'!V319,0)</f>
        <v>0</v>
      </c>
      <c r="BS319" s="18">
        <f>IFERROR(AU319/'Ar-Pa'!W319,0)</f>
        <v>0</v>
      </c>
      <c r="BT319" s="18">
        <f>IFERROR(AV319/'Ar-Pa'!X319,0)</f>
        <v>0</v>
      </c>
      <c r="BU319" s="18">
        <f>IFERROR(AW319/'Ar-Pa'!Y319,0)</f>
        <v>0</v>
      </c>
    </row>
    <row r="320" spans="1:73">
      <c r="A320" s="15">
        <v>45245</v>
      </c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9">
        <f t="shared" si="200"/>
        <v>0</v>
      </c>
      <c r="AA320" s="19">
        <f t="shared" si="201"/>
        <v>0</v>
      </c>
      <c r="AB320" s="19">
        <f t="shared" si="202"/>
        <v>0</v>
      </c>
      <c r="AC320" s="19">
        <f t="shared" si="203"/>
        <v>0</v>
      </c>
      <c r="AD320" s="19">
        <f t="shared" si="204"/>
        <v>0</v>
      </c>
      <c r="AE320" s="19">
        <f t="shared" si="205"/>
        <v>0</v>
      </c>
      <c r="AF320" s="19">
        <f t="shared" si="206"/>
        <v>0</v>
      </c>
      <c r="AG320" s="19">
        <f t="shared" si="207"/>
        <v>0</v>
      </c>
      <c r="AH320" s="19">
        <f t="shared" si="208"/>
        <v>0</v>
      </c>
      <c r="AI320" s="19">
        <f t="shared" si="209"/>
        <v>0</v>
      </c>
      <c r="AJ320" s="19">
        <f t="shared" si="210"/>
        <v>0</v>
      </c>
      <c r="AK320" s="19">
        <f t="shared" si="211"/>
        <v>0</v>
      </c>
      <c r="AL320" s="19">
        <f t="shared" si="212"/>
        <v>0</v>
      </c>
      <c r="AM320" s="19">
        <f t="shared" si="213"/>
        <v>0</v>
      </c>
      <c r="AN320" s="19">
        <f t="shared" si="214"/>
        <v>0</v>
      </c>
      <c r="AO320" s="19">
        <f t="shared" si="215"/>
        <v>0</v>
      </c>
      <c r="AP320" s="19">
        <f t="shared" si="216"/>
        <v>0</v>
      </c>
      <c r="AQ320" s="19">
        <f t="shared" si="217"/>
        <v>0</v>
      </c>
      <c r="AR320" s="19">
        <f t="shared" si="218"/>
        <v>0</v>
      </c>
      <c r="AS320" s="19">
        <f t="shared" si="219"/>
        <v>0</v>
      </c>
      <c r="AT320" s="19">
        <f t="shared" si="220"/>
        <v>0</v>
      </c>
      <c r="AU320" s="19">
        <f t="shared" si="221"/>
        <v>0</v>
      </c>
      <c r="AV320" s="19">
        <f t="shared" si="222"/>
        <v>0</v>
      </c>
      <c r="AW320" s="19">
        <f t="shared" si="223"/>
        <v>0</v>
      </c>
      <c r="AX320" s="18">
        <f>IFERROR(Z320/'Ar-Pa'!B320,0)</f>
        <v>0</v>
      </c>
      <c r="AY320" s="18">
        <f>IFERROR(AA320/'Ar-Pa'!C320,0)</f>
        <v>0</v>
      </c>
      <c r="AZ320" s="18">
        <f>IFERROR(AB320/'Ar-Pa'!D320,0)</f>
        <v>0</v>
      </c>
      <c r="BA320" s="18">
        <f>IFERROR(AC320/'Ar-Pa'!E320,0)</f>
        <v>0</v>
      </c>
      <c r="BB320" s="18">
        <f>IFERROR(AD320/'Ar-Pa'!F320,0)</f>
        <v>0</v>
      </c>
      <c r="BC320" s="18">
        <f>IFERROR(AE320/'Ar-Pa'!G320,0)</f>
        <v>0</v>
      </c>
      <c r="BD320" s="18">
        <f>IFERROR(AF320/'Ar-Pa'!H320,0)</f>
        <v>0</v>
      </c>
      <c r="BE320" s="18">
        <f>IFERROR(AG320/'Ar-Pa'!I320,0)</f>
        <v>0</v>
      </c>
      <c r="BF320" s="18">
        <f>IFERROR(AH320/'Ar-Pa'!J320,0)</f>
        <v>0</v>
      </c>
      <c r="BG320" s="18">
        <f>IFERROR(AI320/'Ar-Pa'!K320,0)</f>
        <v>0</v>
      </c>
      <c r="BH320" s="18">
        <f>IFERROR(AJ320/'Ar-Pa'!L320,0)</f>
        <v>0</v>
      </c>
      <c r="BI320" s="18">
        <f>IFERROR(AK320/'Ar-Pa'!M320,0)</f>
        <v>0</v>
      </c>
      <c r="BJ320" s="18">
        <f>IFERROR(AL320/'Ar-Pa'!N320,0)</f>
        <v>0</v>
      </c>
      <c r="BK320" s="18">
        <f>IFERROR(AM320/'Ar-Pa'!O320,0)</f>
        <v>0</v>
      </c>
      <c r="BL320" s="18">
        <f>IFERROR(AN320/'Ar-Pa'!P320,0)</f>
        <v>0</v>
      </c>
      <c r="BM320" s="18">
        <f>IFERROR(AO320/'Ar-Pa'!Q320,0)</f>
        <v>0</v>
      </c>
      <c r="BN320" s="18">
        <f>IFERROR(AP320/'Ar-Pa'!R320,0)</f>
        <v>0</v>
      </c>
      <c r="BO320" s="18">
        <f>IFERROR(AQ320/'Ar-Pa'!S320,0)</f>
        <v>0</v>
      </c>
      <c r="BP320" s="18">
        <f>IFERROR(AR320/'Ar-Pa'!T320,0)</f>
        <v>0</v>
      </c>
      <c r="BQ320" s="18">
        <f>IFERROR(AS320/'Ar-Pa'!U320,0)</f>
        <v>0</v>
      </c>
      <c r="BR320" s="18">
        <f>IFERROR(AT320/'Ar-Pa'!V320,0)</f>
        <v>0</v>
      </c>
      <c r="BS320" s="18">
        <f>IFERROR(AU320/'Ar-Pa'!W320,0)</f>
        <v>0</v>
      </c>
      <c r="BT320" s="18">
        <f>IFERROR(AV320/'Ar-Pa'!X320,0)</f>
        <v>0</v>
      </c>
      <c r="BU320" s="18">
        <f>IFERROR(AW320/'Ar-Pa'!Y320,0)</f>
        <v>0</v>
      </c>
    </row>
    <row r="321" spans="1:73">
      <c r="A321" s="15">
        <v>45246</v>
      </c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9">
        <f t="shared" si="200"/>
        <v>0</v>
      </c>
      <c r="AA321" s="19">
        <f t="shared" si="201"/>
        <v>0</v>
      </c>
      <c r="AB321" s="19">
        <f t="shared" si="202"/>
        <v>0</v>
      </c>
      <c r="AC321" s="19">
        <f t="shared" si="203"/>
        <v>0</v>
      </c>
      <c r="AD321" s="19">
        <f t="shared" si="204"/>
        <v>0</v>
      </c>
      <c r="AE321" s="19">
        <f t="shared" si="205"/>
        <v>0</v>
      </c>
      <c r="AF321" s="19">
        <f t="shared" si="206"/>
        <v>0</v>
      </c>
      <c r="AG321" s="19">
        <f t="shared" si="207"/>
        <v>0</v>
      </c>
      <c r="AH321" s="19">
        <f t="shared" si="208"/>
        <v>0</v>
      </c>
      <c r="AI321" s="19">
        <f t="shared" si="209"/>
        <v>0</v>
      </c>
      <c r="AJ321" s="19">
        <f t="shared" si="210"/>
        <v>0</v>
      </c>
      <c r="AK321" s="19">
        <f t="shared" si="211"/>
        <v>0</v>
      </c>
      <c r="AL321" s="19">
        <f t="shared" si="212"/>
        <v>0</v>
      </c>
      <c r="AM321" s="19">
        <f t="shared" si="213"/>
        <v>0</v>
      </c>
      <c r="AN321" s="19">
        <f t="shared" si="214"/>
        <v>0</v>
      </c>
      <c r="AO321" s="19">
        <f t="shared" si="215"/>
        <v>0</v>
      </c>
      <c r="AP321" s="19">
        <f t="shared" si="216"/>
        <v>0</v>
      </c>
      <c r="AQ321" s="19">
        <f t="shared" si="217"/>
        <v>0</v>
      </c>
      <c r="AR321" s="19">
        <f t="shared" si="218"/>
        <v>0</v>
      </c>
      <c r="AS321" s="19">
        <f t="shared" si="219"/>
        <v>0</v>
      </c>
      <c r="AT321" s="19">
        <f t="shared" si="220"/>
        <v>0</v>
      </c>
      <c r="AU321" s="19">
        <f t="shared" si="221"/>
        <v>0</v>
      </c>
      <c r="AV321" s="19">
        <f t="shared" si="222"/>
        <v>0</v>
      </c>
      <c r="AW321" s="19">
        <f t="shared" si="223"/>
        <v>0</v>
      </c>
      <c r="AX321" s="18">
        <f>IFERROR(Z321/'Ar-Pa'!B321,0)</f>
        <v>0</v>
      </c>
      <c r="AY321" s="18">
        <f>IFERROR(AA321/'Ar-Pa'!C321,0)</f>
        <v>0</v>
      </c>
      <c r="AZ321" s="18">
        <f>IFERROR(AB321/'Ar-Pa'!D321,0)</f>
        <v>0</v>
      </c>
      <c r="BA321" s="18">
        <f>IFERROR(AC321/'Ar-Pa'!E321,0)</f>
        <v>0</v>
      </c>
      <c r="BB321" s="18">
        <f>IFERROR(AD321/'Ar-Pa'!F321,0)</f>
        <v>0</v>
      </c>
      <c r="BC321" s="18">
        <f>IFERROR(AE321/'Ar-Pa'!G321,0)</f>
        <v>0</v>
      </c>
      <c r="BD321" s="18">
        <f>IFERROR(AF321/'Ar-Pa'!H321,0)</f>
        <v>0</v>
      </c>
      <c r="BE321" s="18">
        <f>IFERROR(AG321/'Ar-Pa'!I321,0)</f>
        <v>0</v>
      </c>
      <c r="BF321" s="18">
        <f>IFERROR(AH321/'Ar-Pa'!J321,0)</f>
        <v>0</v>
      </c>
      <c r="BG321" s="18">
        <f>IFERROR(AI321/'Ar-Pa'!K321,0)</f>
        <v>0</v>
      </c>
      <c r="BH321" s="18">
        <f>IFERROR(AJ321/'Ar-Pa'!L321,0)</f>
        <v>0</v>
      </c>
      <c r="BI321" s="18">
        <f>IFERROR(AK321/'Ar-Pa'!M321,0)</f>
        <v>0</v>
      </c>
      <c r="BJ321" s="18">
        <f>IFERROR(AL321/'Ar-Pa'!N321,0)</f>
        <v>0</v>
      </c>
      <c r="BK321" s="18">
        <f>IFERROR(AM321/'Ar-Pa'!O321,0)</f>
        <v>0</v>
      </c>
      <c r="BL321" s="18">
        <f>IFERROR(AN321/'Ar-Pa'!P321,0)</f>
        <v>0</v>
      </c>
      <c r="BM321" s="18">
        <f>IFERROR(AO321/'Ar-Pa'!Q321,0)</f>
        <v>0</v>
      </c>
      <c r="BN321" s="18">
        <f>IFERROR(AP321/'Ar-Pa'!R321,0)</f>
        <v>0</v>
      </c>
      <c r="BO321" s="18">
        <f>IFERROR(AQ321/'Ar-Pa'!S321,0)</f>
        <v>0</v>
      </c>
      <c r="BP321" s="18">
        <f>IFERROR(AR321/'Ar-Pa'!T321,0)</f>
        <v>0</v>
      </c>
      <c r="BQ321" s="18">
        <f>IFERROR(AS321/'Ar-Pa'!U321,0)</f>
        <v>0</v>
      </c>
      <c r="BR321" s="18">
        <f>IFERROR(AT321/'Ar-Pa'!V321,0)</f>
        <v>0</v>
      </c>
      <c r="BS321" s="18">
        <f>IFERROR(AU321/'Ar-Pa'!W321,0)</f>
        <v>0</v>
      </c>
      <c r="BT321" s="18">
        <f>IFERROR(AV321/'Ar-Pa'!X321,0)</f>
        <v>0</v>
      </c>
      <c r="BU321" s="18">
        <f>IFERROR(AW321/'Ar-Pa'!Y321,0)</f>
        <v>0</v>
      </c>
    </row>
    <row r="322" spans="1:73">
      <c r="A322" s="15">
        <v>45247</v>
      </c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9">
        <f t="shared" si="200"/>
        <v>0</v>
      </c>
      <c r="AA322" s="19">
        <f t="shared" si="201"/>
        <v>0</v>
      </c>
      <c r="AB322" s="19">
        <f t="shared" si="202"/>
        <v>0</v>
      </c>
      <c r="AC322" s="19">
        <f t="shared" si="203"/>
        <v>0</v>
      </c>
      <c r="AD322" s="19">
        <f t="shared" si="204"/>
        <v>0</v>
      </c>
      <c r="AE322" s="19">
        <f t="shared" si="205"/>
        <v>0</v>
      </c>
      <c r="AF322" s="19">
        <f t="shared" si="206"/>
        <v>0</v>
      </c>
      <c r="AG322" s="19">
        <f t="shared" si="207"/>
        <v>0</v>
      </c>
      <c r="AH322" s="19">
        <f t="shared" si="208"/>
        <v>0</v>
      </c>
      <c r="AI322" s="19">
        <f t="shared" si="209"/>
        <v>0</v>
      </c>
      <c r="AJ322" s="19">
        <f t="shared" si="210"/>
        <v>0</v>
      </c>
      <c r="AK322" s="19">
        <f t="shared" si="211"/>
        <v>0</v>
      </c>
      <c r="AL322" s="19">
        <f t="shared" si="212"/>
        <v>0</v>
      </c>
      <c r="AM322" s="19">
        <f t="shared" si="213"/>
        <v>0</v>
      </c>
      <c r="AN322" s="19">
        <f t="shared" si="214"/>
        <v>0</v>
      </c>
      <c r="AO322" s="19">
        <f t="shared" si="215"/>
        <v>0</v>
      </c>
      <c r="AP322" s="19">
        <f t="shared" si="216"/>
        <v>0</v>
      </c>
      <c r="AQ322" s="19">
        <f t="shared" si="217"/>
        <v>0</v>
      </c>
      <c r="AR322" s="19">
        <f t="shared" si="218"/>
        <v>0</v>
      </c>
      <c r="AS322" s="19">
        <f t="shared" si="219"/>
        <v>0</v>
      </c>
      <c r="AT322" s="19">
        <f t="shared" si="220"/>
        <v>0</v>
      </c>
      <c r="AU322" s="19">
        <f t="shared" si="221"/>
        <v>0</v>
      </c>
      <c r="AV322" s="19">
        <f t="shared" si="222"/>
        <v>0</v>
      </c>
      <c r="AW322" s="19">
        <f t="shared" si="223"/>
        <v>0</v>
      </c>
      <c r="AX322" s="18">
        <f>IFERROR(Z322/'Ar-Pa'!B322,0)</f>
        <v>0</v>
      </c>
      <c r="AY322" s="18">
        <f>IFERROR(AA322/'Ar-Pa'!C322,0)</f>
        <v>0</v>
      </c>
      <c r="AZ322" s="18">
        <f>IFERROR(AB322/'Ar-Pa'!D322,0)</f>
        <v>0</v>
      </c>
      <c r="BA322" s="18">
        <f>IFERROR(AC322/'Ar-Pa'!E322,0)</f>
        <v>0</v>
      </c>
      <c r="BB322" s="18">
        <f>IFERROR(AD322/'Ar-Pa'!F322,0)</f>
        <v>0</v>
      </c>
      <c r="BC322" s="18">
        <f>IFERROR(AE322/'Ar-Pa'!G322,0)</f>
        <v>0</v>
      </c>
      <c r="BD322" s="18">
        <f>IFERROR(AF322/'Ar-Pa'!H322,0)</f>
        <v>0</v>
      </c>
      <c r="BE322" s="18">
        <f>IFERROR(AG322/'Ar-Pa'!I322,0)</f>
        <v>0</v>
      </c>
      <c r="BF322" s="18">
        <f>IFERROR(AH322/'Ar-Pa'!J322,0)</f>
        <v>0</v>
      </c>
      <c r="BG322" s="18">
        <f>IFERROR(AI322/'Ar-Pa'!K322,0)</f>
        <v>0</v>
      </c>
      <c r="BH322" s="18">
        <f>IFERROR(AJ322/'Ar-Pa'!L322,0)</f>
        <v>0</v>
      </c>
      <c r="BI322" s="18">
        <f>IFERROR(AK322/'Ar-Pa'!M322,0)</f>
        <v>0</v>
      </c>
      <c r="BJ322" s="18">
        <f>IFERROR(AL322/'Ar-Pa'!N322,0)</f>
        <v>0</v>
      </c>
      <c r="BK322" s="18">
        <f>IFERROR(AM322/'Ar-Pa'!O322,0)</f>
        <v>0</v>
      </c>
      <c r="BL322" s="18">
        <f>IFERROR(AN322/'Ar-Pa'!P322,0)</f>
        <v>0</v>
      </c>
      <c r="BM322" s="18">
        <f>IFERROR(AO322/'Ar-Pa'!Q322,0)</f>
        <v>0</v>
      </c>
      <c r="BN322" s="18">
        <f>IFERROR(AP322/'Ar-Pa'!R322,0)</f>
        <v>0</v>
      </c>
      <c r="BO322" s="18">
        <f>IFERROR(AQ322/'Ar-Pa'!S322,0)</f>
        <v>0</v>
      </c>
      <c r="BP322" s="18">
        <f>IFERROR(AR322/'Ar-Pa'!T322,0)</f>
        <v>0</v>
      </c>
      <c r="BQ322" s="18">
        <f>IFERROR(AS322/'Ar-Pa'!U322,0)</f>
        <v>0</v>
      </c>
      <c r="BR322" s="18">
        <f>IFERROR(AT322/'Ar-Pa'!V322,0)</f>
        <v>0</v>
      </c>
      <c r="BS322" s="18">
        <f>IFERROR(AU322/'Ar-Pa'!W322,0)</f>
        <v>0</v>
      </c>
      <c r="BT322" s="18">
        <f>IFERROR(AV322/'Ar-Pa'!X322,0)</f>
        <v>0</v>
      </c>
      <c r="BU322" s="18">
        <f>IFERROR(AW322/'Ar-Pa'!Y322,0)</f>
        <v>0</v>
      </c>
    </row>
    <row r="323" spans="1:73">
      <c r="A323" s="15">
        <v>45248</v>
      </c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9">
        <f t="shared" si="200"/>
        <v>0</v>
      </c>
      <c r="AA323" s="19">
        <f t="shared" si="201"/>
        <v>0</v>
      </c>
      <c r="AB323" s="19">
        <f t="shared" si="202"/>
        <v>0</v>
      </c>
      <c r="AC323" s="19">
        <f t="shared" si="203"/>
        <v>0</v>
      </c>
      <c r="AD323" s="19">
        <f t="shared" si="204"/>
        <v>0</v>
      </c>
      <c r="AE323" s="19">
        <f t="shared" si="205"/>
        <v>0</v>
      </c>
      <c r="AF323" s="19">
        <f t="shared" si="206"/>
        <v>0</v>
      </c>
      <c r="AG323" s="19">
        <f t="shared" si="207"/>
        <v>0</v>
      </c>
      <c r="AH323" s="19">
        <f t="shared" si="208"/>
        <v>0</v>
      </c>
      <c r="AI323" s="19">
        <f t="shared" si="209"/>
        <v>0</v>
      </c>
      <c r="AJ323" s="19">
        <f t="shared" si="210"/>
        <v>0</v>
      </c>
      <c r="AK323" s="19">
        <f t="shared" si="211"/>
        <v>0</v>
      </c>
      <c r="AL323" s="19">
        <f t="shared" si="212"/>
        <v>0</v>
      </c>
      <c r="AM323" s="19">
        <f t="shared" si="213"/>
        <v>0</v>
      </c>
      <c r="AN323" s="19">
        <f t="shared" si="214"/>
        <v>0</v>
      </c>
      <c r="AO323" s="19">
        <f t="shared" si="215"/>
        <v>0</v>
      </c>
      <c r="AP323" s="19">
        <f t="shared" si="216"/>
        <v>0</v>
      </c>
      <c r="AQ323" s="19">
        <f t="shared" si="217"/>
        <v>0</v>
      </c>
      <c r="AR323" s="19">
        <f t="shared" si="218"/>
        <v>0</v>
      </c>
      <c r="AS323" s="19">
        <f t="shared" si="219"/>
        <v>0</v>
      </c>
      <c r="AT323" s="19">
        <f t="shared" si="220"/>
        <v>0</v>
      </c>
      <c r="AU323" s="19">
        <f t="shared" si="221"/>
        <v>0</v>
      </c>
      <c r="AV323" s="19">
        <f t="shared" si="222"/>
        <v>0</v>
      </c>
      <c r="AW323" s="19">
        <f t="shared" si="223"/>
        <v>0</v>
      </c>
      <c r="AX323" s="18">
        <f>IFERROR(Z323/'Ar-Pa'!B323,0)</f>
        <v>0</v>
      </c>
      <c r="AY323" s="18">
        <f>IFERROR(AA323/'Ar-Pa'!C323,0)</f>
        <v>0</v>
      </c>
      <c r="AZ323" s="18">
        <f>IFERROR(AB323/'Ar-Pa'!D323,0)</f>
        <v>0</v>
      </c>
      <c r="BA323" s="18">
        <f>IFERROR(AC323/'Ar-Pa'!E323,0)</f>
        <v>0</v>
      </c>
      <c r="BB323" s="18">
        <f>IFERROR(AD323/'Ar-Pa'!F323,0)</f>
        <v>0</v>
      </c>
      <c r="BC323" s="18">
        <f>IFERROR(AE323/'Ar-Pa'!G323,0)</f>
        <v>0</v>
      </c>
      <c r="BD323" s="18">
        <f>IFERROR(AF323/'Ar-Pa'!H323,0)</f>
        <v>0</v>
      </c>
      <c r="BE323" s="18">
        <f>IFERROR(AG323/'Ar-Pa'!I323,0)</f>
        <v>0</v>
      </c>
      <c r="BF323" s="18">
        <f>IFERROR(AH323/'Ar-Pa'!J323,0)</f>
        <v>0</v>
      </c>
      <c r="BG323" s="18">
        <f>IFERROR(AI323/'Ar-Pa'!K323,0)</f>
        <v>0</v>
      </c>
      <c r="BH323" s="18">
        <f>IFERROR(AJ323/'Ar-Pa'!L323,0)</f>
        <v>0</v>
      </c>
      <c r="BI323" s="18">
        <f>IFERROR(AK323/'Ar-Pa'!M323,0)</f>
        <v>0</v>
      </c>
      <c r="BJ323" s="18">
        <f>IFERROR(AL323/'Ar-Pa'!N323,0)</f>
        <v>0</v>
      </c>
      <c r="BK323" s="18">
        <f>IFERROR(AM323/'Ar-Pa'!O323,0)</f>
        <v>0</v>
      </c>
      <c r="BL323" s="18">
        <f>IFERROR(AN323/'Ar-Pa'!P323,0)</f>
        <v>0</v>
      </c>
      <c r="BM323" s="18">
        <f>IFERROR(AO323/'Ar-Pa'!Q323,0)</f>
        <v>0</v>
      </c>
      <c r="BN323" s="18">
        <f>IFERROR(AP323/'Ar-Pa'!R323,0)</f>
        <v>0</v>
      </c>
      <c r="BO323" s="18">
        <f>IFERROR(AQ323/'Ar-Pa'!S323,0)</f>
        <v>0</v>
      </c>
      <c r="BP323" s="18">
        <f>IFERROR(AR323/'Ar-Pa'!T323,0)</f>
        <v>0</v>
      </c>
      <c r="BQ323" s="18">
        <f>IFERROR(AS323/'Ar-Pa'!U323,0)</f>
        <v>0</v>
      </c>
      <c r="BR323" s="18">
        <f>IFERROR(AT323/'Ar-Pa'!V323,0)</f>
        <v>0</v>
      </c>
      <c r="BS323" s="18">
        <f>IFERROR(AU323/'Ar-Pa'!W323,0)</f>
        <v>0</v>
      </c>
      <c r="BT323" s="18">
        <f>IFERROR(AV323/'Ar-Pa'!X323,0)</f>
        <v>0</v>
      </c>
      <c r="BU323" s="18">
        <f>IFERROR(AW323/'Ar-Pa'!Y323,0)</f>
        <v>0</v>
      </c>
    </row>
    <row r="324" spans="1:73">
      <c r="A324" s="15">
        <v>45249</v>
      </c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9">
        <f t="shared" si="200"/>
        <v>0</v>
      </c>
      <c r="AA324" s="19">
        <f t="shared" si="201"/>
        <v>0</v>
      </c>
      <c r="AB324" s="19">
        <f t="shared" si="202"/>
        <v>0</v>
      </c>
      <c r="AC324" s="19">
        <f t="shared" si="203"/>
        <v>0</v>
      </c>
      <c r="AD324" s="19">
        <f t="shared" si="204"/>
        <v>0</v>
      </c>
      <c r="AE324" s="19">
        <f t="shared" si="205"/>
        <v>0</v>
      </c>
      <c r="AF324" s="19">
        <f t="shared" si="206"/>
        <v>0</v>
      </c>
      <c r="AG324" s="19">
        <f t="shared" si="207"/>
        <v>0</v>
      </c>
      <c r="AH324" s="19">
        <f t="shared" si="208"/>
        <v>0</v>
      </c>
      <c r="AI324" s="19">
        <f t="shared" si="209"/>
        <v>0</v>
      </c>
      <c r="AJ324" s="19">
        <f t="shared" si="210"/>
        <v>0</v>
      </c>
      <c r="AK324" s="19">
        <f t="shared" si="211"/>
        <v>0</v>
      </c>
      <c r="AL324" s="19">
        <f t="shared" si="212"/>
        <v>0</v>
      </c>
      <c r="AM324" s="19">
        <f t="shared" si="213"/>
        <v>0</v>
      </c>
      <c r="AN324" s="19">
        <f t="shared" si="214"/>
        <v>0</v>
      </c>
      <c r="AO324" s="19">
        <f t="shared" si="215"/>
        <v>0</v>
      </c>
      <c r="AP324" s="19">
        <f t="shared" si="216"/>
        <v>0</v>
      </c>
      <c r="AQ324" s="19">
        <f t="shared" si="217"/>
        <v>0</v>
      </c>
      <c r="AR324" s="19">
        <f t="shared" si="218"/>
        <v>0</v>
      </c>
      <c r="AS324" s="19">
        <f t="shared" si="219"/>
        <v>0</v>
      </c>
      <c r="AT324" s="19">
        <f t="shared" si="220"/>
        <v>0</v>
      </c>
      <c r="AU324" s="19">
        <f t="shared" si="221"/>
        <v>0</v>
      </c>
      <c r="AV324" s="19">
        <f t="shared" si="222"/>
        <v>0</v>
      </c>
      <c r="AW324" s="19">
        <f t="shared" si="223"/>
        <v>0</v>
      </c>
      <c r="AX324" s="18">
        <f>IFERROR(Z324/'Ar-Pa'!B324,0)</f>
        <v>0</v>
      </c>
      <c r="AY324" s="18">
        <f>IFERROR(AA324/'Ar-Pa'!C324,0)</f>
        <v>0</v>
      </c>
      <c r="AZ324" s="18">
        <f>IFERROR(AB324/'Ar-Pa'!D324,0)</f>
        <v>0</v>
      </c>
      <c r="BA324" s="18">
        <f>IFERROR(AC324/'Ar-Pa'!E324,0)</f>
        <v>0</v>
      </c>
      <c r="BB324" s="18">
        <f>IFERROR(AD324/'Ar-Pa'!F324,0)</f>
        <v>0</v>
      </c>
      <c r="BC324" s="18">
        <f>IFERROR(AE324/'Ar-Pa'!G324,0)</f>
        <v>0</v>
      </c>
      <c r="BD324" s="18">
        <f>IFERROR(AF324/'Ar-Pa'!H324,0)</f>
        <v>0</v>
      </c>
      <c r="BE324" s="18">
        <f>IFERROR(AG324/'Ar-Pa'!I324,0)</f>
        <v>0</v>
      </c>
      <c r="BF324" s="18">
        <f>IFERROR(AH324/'Ar-Pa'!J324,0)</f>
        <v>0</v>
      </c>
      <c r="BG324" s="18">
        <f>IFERROR(AI324/'Ar-Pa'!K324,0)</f>
        <v>0</v>
      </c>
      <c r="BH324" s="18">
        <f>IFERROR(AJ324/'Ar-Pa'!L324,0)</f>
        <v>0</v>
      </c>
      <c r="BI324" s="18">
        <f>IFERROR(AK324/'Ar-Pa'!M324,0)</f>
        <v>0</v>
      </c>
      <c r="BJ324" s="18">
        <f>IFERROR(AL324/'Ar-Pa'!N324,0)</f>
        <v>0</v>
      </c>
      <c r="BK324" s="18">
        <f>IFERROR(AM324/'Ar-Pa'!O324,0)</f>
        <v>0</v>
      </c>
      <c r="BL324" s="18">
        <f>IFERROR(AN324/'Ar-Pa'!P324,0)</f>
        <v>0</v>
      </c>
      <c r="BM324" s="18">
        <f>IFERROR(AO324/'Ar-Pa'!Q324,0)</f>
        <v>0</v>
      </c>
      <c r="BN324" s="18">
        <f>IFERROR(AP324/'Ar-Pa'!R324,0)</f>
        <v>0</v>
      </c>
      <c r="BO324" s="18">
        <f>IFERROR(AQ324/'Ar-Pa'!S324,0)</f>
        <v>0</v>
      </c>
      <c r="BP324" s="18">
        <f>IFERROR(AR324/'Ar-Pa'!T324,0)</f>
        <v>0</v>
      </c>
      <c r="BQ324" s="18">
        <f>IFERROR(AS324/'Ar-Pa'!U324,0)</f>
        <v>0</v>
      </c>
      <c r="BR324" s="18">
        <f>IFERROR(AT324/'Ar-Pa'!V324,0)</f>
        <v>0</v>
      </c>
      <c r="BS324" s="18">
        <f>IFERROR(AU324/'Ar-Pa'!W324,0)</f>
        <v>0</v>
      </c>
      <c r="BT324" s="18">
        <f>IFERROR(AV324/'Ar-Pa'!X324,0)</f>
        <v>0</v>
      </c>
      <c r="BU324" s="18">
        <f>IFERROR(AW324/'Ar-Pa'!Y324,0)</f>
        <v>0</v>
      </c>
    </row>
    <row r="325" spans="1:73">
      <c r="A325" s="15">
        <v>45250</v>
      </c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9">
        <f t="shared" si="200"/>
        <v>0</v>
      </c>
      <c r="AA325" s="19">
        <f t="shared" si="201"/>
        <v>0</v>
      </c>
      <c r="AB325" s="19">
        <f t="shared" si="202"/>
        <v>0</v>
      </c>
      <c r="AC325" s="19">
        <f t="shared" si="203"/>
        <v>0</v>
      </c>
      <c r="AD325" s="19">
        <f t="shared" si="204"/>
        <v>0</v>
      </c>
      <c r="AE325" s="19">
        <f t="shared" si="205"/>
        <v>0</v>
      </c>
      <c r="AF325" s="19">
        <f t="shared" si="206"/>
        <v>0</v>
      </c>
      <c r="AG325" s="19">
        <f t="shared" si="207"/>
        <v>0</v>
      </c>
      <c r="AH325" s="19">
        <f t="shared" si="208"/>
        <v>0</v>
      </c>
      <c r="AI325" s="19">
        <f t="shared" si="209"/>
        <v>0</v>
      </c>
      <c r="AJ325" s="19">
        <f t="shared" si="210"/>
        <v>0</v>
      </c>
      <c r="AK325" s="19">
        <f t="shared" si="211"/>
        <v>0</v>
      </c>
      <c r="AL325" s="19">
        <f t="shared" si="212"/>
        <v>0</v>
      </c>
      <c r="AM325" s="19">
        <f t="shared" si="213"/>
        <v>0</v>
      </c>
      <c r="AN325" s="19">
        <f t="shared" si="214"/>
        <v>0</v>
      </c>
      <c r="AO325" s="19">
        <f t="shared" si="215"/>
        <v>0</v>
      </c>
      <c r="AP325" s="19">
        <f t="shared" si="216"/>
        <v>0</v>
      </c>
      <c r="AQ325" s="19">
        <f t="shared" si="217"/>
        <v>0</v>
      </c>
      <c r="AR325" s="19">
        <f t="shared" si="218"/>
        <v>0</v>
      </c>
      <c r="AS325" s="19">
        <f t="shared" si="219"/>
        <v>0</v>
      </c>
      <c r="AT325" s="19">
        <f t="shared" si="220"/>
        <v>0</v>
      </c>
      <c r="AU325" s="19">
        <f t="shared" si="221"/>
        <v>0</v>
      </c>
      <c r="AV325" s="19">
        <f t="shared" si="222"/>
        <v>0</v>
      </c>
      <c r="AW325" s="19">
        <f t="shared" si="223"/>
        <v>0</v>
      </c>
      <c r="AX325" s="18">
        <f>IFERROR(Z325/'Ar-Pa'!B325,0)</f>
        <v>0</v>
      </c>
      <c r="AY325" s="18">
        <f>IFERROR(AA325/'Ar-Pa'!C325,0)</f>
        <v>0</v>
      </c>
      <c r="AZ325" s="18">
        <f>IFERROR(AB325/'Ar-Pa'!D325,0)</f>
        <v>0</v>
      </c>
      <c r="BA325" s="18">
        <f>IFERROR(AC325/'Ar-Pa'!E325,0)</f>
        <v>0</v>
      </c>
      <c r="BB325" s="18">
        <f>IFERROR(AD325/'Ar-Pa'!F325,0)</f>
        <v>0</v>
      </c>
      <c r="BC325" s="18">
        <f>IFERROR(AE325/'Ar-Pa'!G325,0)</f>
        <v>0</v>
      </c>
      <c r="BD325" s="18">
        <f>IFERROR(AF325/'Ar-Pa'!H325,0)</f>
        <v>0</v>
      </c>
      <c r="BE325" s="18">
        <f>IFERROR(AG325/'Ar-Pa'!I325,0)</f>
        <v>0</v>
      </c>
      <c r="BF325" s="18">
        <f>IFERROR(AH325/'Ar-Pa'!J325,0)</f>
        <v>0</v>
      </c>
      <c r="BG325" s="18">
        <f>IFERROR(AI325/'Ar-Pa'!K325,0)</f>
        <v>0</v>
      </c>
      <c r="BH325" s="18">
        <f>IFERROR(AJ325/'Ar-Pa'!L325,0)</f>
        <v>0</v>
      </c>
      <c r="BI325" s="18">
        <f>IFERROR(AK325/'Ar-Pa'!M325,0)</f>
        <v>0</v>
      </c>
      <c r="BJ325" s="18">
        <f>IFERROR(AL325/'Ar-Pa'!N325,0)</f>
        <v>0</v>
      </c>
      <c r="BK325" s="18">
        <f>IFERROR(AM325/'Ar-Pa'!O325,0)</f>
        <v>0</v>
      </c>
      <c r="BL325" s="18">
        <f>IFERROR(AN325/'Ar-Pa'!P325,0)</f>
        <v>0</v>
      </c>
      <c r="BM325" s="18">
        <f>IFERROR(AO325/'Ar-Pa'!Q325,0)</f>
        <v>0</v>
      </c>
      <c r="BN325" s="18">
        <f>IFERROR(AP325/'Ar-Pa'!R325,0)</f>
        <v>0</v>
      </c>
      <c r="BO325" s="18">
        <f>IFERROR(AQ325/'Ar-Pa'!S325,0)</f>
        <v>0</v>
      </c>
      <c r="BP325" s="18">
        <f>IFERROR(AR325/'Ar-Pa'!T325,0)</f>
        <v>0</v>
      </c>
      <c r="BQ325" s="18">
        <f>IFERROR(AS325/'Ar-Pa'!U325,0)</f>
        <v>0</v>
      </c>
      <c r="BR325" s="18">
        <f>IFERROR(AT325/'Ar-Pa'!V325,0)</f>
        <v>0</v>
      </c>
      <c r="BS325" s="18">
        <f>IFERROR(AU325/'Ar-Pa'!W325,0)</f>
        <v>0</v>
      </c>
      <c r="BT325" s="18">
        <f>IFERROR(AV325/'Ar-Pa'!X325,0)</f>
        <v>0</v>
      </c>
      <c r="BU325" s="18">
        <f>IFERROR(AW325/'Ar-Pa'!Y325,0)</f>
        <v>0</v>
      </c>
    </row>
    <row r="326" spans="1:73">
      <c r="A326" s="15">
        <v>45251</v>
      </c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9">
        <f t="shared" si="200"/>
        <v>0</v>
      </c>
      <c r="AA326" s="19">
        <f t="shared" si="201"/>
        <v>0</v>
      </c>
      <c r="AB326" s="19">
        <f t="shared" si="202"/>
        <v>0</v>
      </c>
      <c r="AC326" s="19">
        <f t="shared" si="203"/>
        <v>0</v>
      </c>
      <c r="AD326" s="19">
        <f t="shared" si="204"/>
        <v>0</v>
      </c>
      <c r="AE326" s="19">
        <f t="shared" si="205"/>
        <v>0</v>
      </c>
      <c r="AF326" s="19">
        <f t="shared" si="206"/>
        <v>0</v>
      </c>
      <c r="AG326" s="19">
        <f t="shared" si="207"/>
        <v>0</v>
      </c>
      <c r="AH326" s="19">
        <f t="shared" si="208"/>
        <v>0</v>
      </c>
      <c r="AI326" s="19">
        <f t="shared" si="209"/>
        <v>0</v>
      </c>
      <c r="AJ326" s="19">
        <f t="shared" si="210"/>
        <v>0</v>
      </c>
      <c r="AK326" s="19">
        <f t="shared" si="211"/>
        <v>0</v>
      </c>
      <c r="AL326" s="19">
        <f t="shared" si="212"/>
        <v>0</v>
      </c>
      <c r="AM326" s="19">
        <f t="shared" si="213"/>
        <v>0</v>
      </c>
      <c r="AN326" s="19">
        <f t="shared" si="214"/>
        <v>0</v>
      </c>
      <c r="AO326" s="19">
        <f t="shared" si="215"/>
        <v>0</v>
      </c>
      <c r="AP326" s="19">
        <f t="shared" si="216"/>
        <v>0</v>
      </c>
      <c r="AQ326" s="19">
        <f t="shared" si="217"/>
        <v>0</v>
      </c>
      <c r="AR326" s="19">
        <f t="shared" si="218"/>
        <v>0</v>
      </c>
      <c r="AS326" s="19">
        <f t="shared" si="219"/>
        <v>0</v>
      </c>
      <c r="AT326" s="19">
        <f t="shared" si="220"/>
        <v>0</v>
      </c>
      <c r="AU326" s="19">
        <f t="shared" si="221"/>
        <v>0</v>
      </c>
      <c r="AV326" s="19">
        <f t="shared" si="222"/>
        <v>0</v>
      </c>
      <c r="AW326" s="19">
        <f t="shared" si="223"/>
        <v>0</v>
      </c>
      <c r="AX326" s="18">
        <f>IFERROR(Z326/'Ar-Pa'!B326,0)</f>
        <v>0</v>
      </c>
      <c r="AY326" s="18">
        <f>IFERROR(AA326/'Ar-Pa'!C326,0)</f>
        <v>0</v>
      </c>
      <c r="AZ326" s="18">
        <f>IFERROR(AB326/'Ar-Pa'!D326,0)</f>
        <v>0</v>
      </c>
      <c r="BA326" s="18">
        <f>IFERROR(AC326/'Ar-Pa'!E326,0)</f>
        <v>0</v>
      </c>
      <c r="BB326" s="18">
        <f>IFERROR(AD326/'Ar-Pa'!F326,0)</f>
        <v>0</v>
      </c>
      <c r="BC326" s="18">
        <f>IFERROR(AE326/'Ar-Pa'!G326,0)</f>
        <v>0</v>
      </c>
      <c r="BD326" s="18">
        <f>IFERROR(AF326/'Ar-Pa'!H326,0)</f>
        <v>0</v>
      </c>
      <c r="BE326" s="18">
        <f>IFERROR(AG326/'Ar-Pa'!I326,0)</f>
        <v>0</v>
      </c>
      <c r="BF326" s="18">
        <f>IFERROR(AH326/'Ar-Pa'!J326,0)</f>
        <v>0</v>
      </c>
      <c r="BG326" s="18">
        <f>IFERROR(AI326/'Ar-Pa'!K326,0)</f>
        <v>0</v>
      </c>
      <c r="BH326" s="18">
        <f>IFERROR(AJ326/'Ar-Pa'!L326,0)</f>
        <v>0</v>
      </c>
      <c r="BI326" s="18">
        <f>IFERROR(AK326/'Ar-Pa'!M326,0)</f>
        <v>0</v>
      </c>
      <c r="BJ326" s="18">
        <f>IFERROR(AL326/'Ar-Pa'!N326,0)</f>
        <v>0</v>
      </c>
      <c r="BK326" s="18">
        <f>IFERROR(AM326/'Ar-Pa'!O326,0)</f>
        <v>0</v>
      </c>
      <c r="BL326" s="18">
        <f>IFERROR(AN326/'Ar-Pa'!P326,0)</f>
        <v>0</v>
      </c>
      <c r="BM326" s="18">
        <f>IFERROR(AO326/'Ar-Pa'!Q326,0)</f>
        <v>0</v>
      </c>
      <c r="BN326" s="18">
        <f>IFERROR(AP326/'Ar-Pa'!R326,0)</f>
        <v>0</v>
      </c>
      <c r="BO326" s="18">
        <f>IFERROR(AQ326/'Ar-Pa'!S326,0)</f>
        <v>0</v>
      </c>
      <c r="BP326" s="18">
        <f>IFERROR(AR326/'Ar-Pa'!T326,0)</f>
        <v>0</v>
      </c>
      <c r="BQ326" s="18">
        <f>IFERROR(AS326/'Ar-Pa'!U326,0)</f>
        <v>0</v>
      </c>
      <c r="BR326" s="18">
        <f>IFERROR(AT326/'Ar-Pa'!V326,0)</f>
        <v>0</v>
      </c>
      <c r="BS326" s="18">
        <f>IFERROR(AU326/'Ar-Pa'!W326,0)</f>
        <v>0</v>
      </c>
      <c r="BT326" s="18">
        <f>IFERROR(AV326/'Ar-Pa'!X326,0)</f>
        <v>0</v>
      </c>
      <c r="BU326" s="18">
        <f>IFERROR(AW326/'Ar-Pa'!Y326,0)</f>
        <v>0</v>
      </c>
    </row>
    <row r="327" spans="1:73">
      <c r="A327" s="15">
        <v>45252</v>
      </c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9">
        <f t="shared" si="200"/>
        <v>0</v>
      </c>
      <c r="AA327" s="19">
        <f t="shared" si="201"/>
        <v>0</v>
      </c>
      <c r="AB327" s="19">
        <f t="shared" si="202"/>
        <v>0</v>
      </c>
      <c r="AC327" s="19">
        <f t="shared" si="203"/>
        <v>0</v>
      </c>
      <c r="AD327" s="19">
        <f t="shared" si="204"/>
        <v>0</v>
      </c>
      <c r="AE327" s="19">
        <f t="shared" si="205"/>
        <v>0</v>
      </c>
      <c r="AF327" s="19">
        <f t="shared" si="206"/>
        <v>0</v>
      </c>
      <c r="AG327" s="19">
        <f t="shared" si="207"/>
        <v>0</v>
      </c>
      <c r="AH327" s="19">
        <f t="shared" si="208"/>
        <v>0</v>
      </c>
      <c r="AI327" s="19">
        <f t="shared" si="209"/>
        <v>0</v>
      </c>
      <c r="AJ327" s="19">
        <f t="shared" si="210"/>
        <v>0</v>
      </c>
      <c r="AK327" s="19">
        <f t="shared" si="211"/>
        <v>0</v>
      </c>
      <c r="AL327" s="19">
        <f t="shared" si="212"/>
        <v>0</v>
      </c>
      <c r="AM327" s="19">
        <f t="shared" si="213"/>
        <v>0</v>
      </c>
      <c r="AN327" s="19">
        <f t="shared" si="214"/>
        <v>0</v>
      </c>
      <c r="AO327" s="19">
        <f t="shared" si="215"/>
        <v>0</v>
      </c>
      <c r="AP327" s="19">
        <f t="shared" si="216"/>
        <v>0</v>
      </c>
      <c r="AQ327" s="19">
        <f t="shared" si="217"/>
        <v>0</v>
      </c>
      <c r="AR327" s="19">
        <f t="shared" si="218"/>
        <v>0</v>
      </c>
      <c r="AS327" s="19">
        <f t="shared" si="219"/>
        <v>0</v>
      </c>
      <c r="AT327" s="19">
        <f t="shared" si="220"/>
        <v>0</v>
      </c>
      <c r="AU327" s="19">
        <f t="shared" si="221"/>
        <v>0</v>
      </c>
      <c r="AV327" s="19">
        <f t="shared" si="222"/>
        <v>0</v>
      </c>
      <c r="AW327" s="19">
        <f t="shared" si="223"/>
        <v>0</v>
      </c>
      <c r="AX327" s="18">
        <f>IFERROR(Z327/'Ar-Pa'!B327,0)</f>
        <v>0</v>
      </c>
      <c r="AY327" s="18">
        <f>IFERROR(AA327/'Ar-Pa'!C327,0)</f>
        <v>0</v>
      </c>
      <c r="AZ327" s="18">
        <f>IFERROR(AB327/'Ar-Pa'!D327,0)</f>
        <v>0</v>
      </c>
      <c r="BA327" s="18">
        <f>IFERROR(AC327/'Ar-Pa'!E327,0)</f>
        <v>0</v>
      </c>
      <c r="BB327" s="18">
        <f>IFERROR(AD327/'Ar-Pa'!F327,0)</f>
        <v>0</v>
      </c>
      <c r="BC327" s="18">
        <f>IFERROR(AE327/'Ar-Pa'!G327,0)</f>
        <v>0</v>
      </c>
      <c r="BD327" s="18">
        <f>IFERROR(AF327/'Ar-Pa'!H327,0)</f>
        <v>0</v>
      </c>
      <c r="BE327" s="18">
        <f>IFERROR(AG327/'Ar-Pa'!I327,0)</f>
        <v>0</v>
      </c>
      <c r="BF327" s="18">
        <f>IFERROR(AH327/'Ar-Pa'!J327,0)</f>
        <v>0</v>
      </c>
      <c r="BG327" s="18">
        <f>IFERROR(AI327/'Ar-Pa'!K327,0)</f>
        <v>0</v>
      </c>
      <c r="BH327" s="18">
        <f>IFERROR(AJ327/'Ar-Pa'!L327,0)</f>
        <v>0</v>
      </c>
      <c r="BI327" s="18">
        <f>IFERROR(AK327/'Ar-Pa'!M327,0)</f>
        <v>0</v>
      </c>
      <c r="BJ327" s="18">
        <f>IFERROR(AL327/'Ar-Pa'!N327,0)</f>
        <v>0</v>
      </c>
      <c r="BK327" s="18">
        <f>IFERROR(AM327/'Ar-Pa'!O327,0)</f>
        <v>0</v>
      </c>
      <c r="BL327" s="18">
        <f>IFERROR(AN327/'Ar-Pa'!P327,0)</f>
        <v>0</v>
      </c>
      <c r="BM327" s="18">
        <f>IFERROR(AO327/'Ar-Pa'!Q327,0)</f>
        <v>0</v>
      </c>
      <c r="BN327" s="18">
        <f>IFERROR(AP327/'Ar-Pa'!R327,0)</f>
        <v>0</v>
      </c>
      <c r="BO327" s="18">
        <f>IFERROR(AQ327/'Ar-Pa'!S327,0)</f>
        <v>0</v>
      </c>
      <c r="BP327" s="18">
        <f>IFERROR(AR327/'Ar-Pa'!T327,0)</f>
        <v>0</v>
      </c>
      <c r="BQ327" s="18">
        <f>IFERROR(AS327/'Ar-Pa'!U327,0)</f>
        <v>0</v>
      </c>
      <c r="BR327" s="18">
        <f>IFERROR(AT327/'Ar-Pa'!V327,0)</f>
        <v>0</v>
      </c>
      <c r="BS327" s="18">
        <f>IFERROR(AU327/'Ar-Pa'!W327,0)</f>
        <v>0</v>
      </c>
      <c r="BT327" s="18">
        <f>IFERROR(AV327/'Ar-Pa'!X327,0)</f>
        <v>0</v>
      </c>
      <c r="BU327" s="18">
        <f>IFERROR(AW327/'Ar-Pa'!Y327,0)</f>
        <v>0</v>
      </c>
    </row>
    <row r="328" spans="1:73">
      <c r="A328" s="15">
        <v>45253</v>
      </c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9">
        <f t="shared" si="200"/>
        <v>0</v>
      </c>
      <c r="AA328" s="19">
        <f t="shared" si="201"/>
        <v>0</v>
      </c>
      <c r="AB328" s="19">
        <f t="shared" si="202"/>
        <v>0</v>
      </c>
      <c r="AC328" s="19">
        <f t="shared" si="203"/>
        <v>0</v>
      </c>
      <c r="AD328" s="19">
        <f t="shared" si="204"/>
        <v>0</v>
      </c>
      <c r="AE328" s="19">
        <f t="shared" si="205"/>
        <v>0</v>
      </c>
      <c r="AF328" s="19">
        <f t="shared" si="206"/>
        <v>0</v>
      </c>
      <c r="AG328" s="19">
        <f t="shared" si="207"/>
        <v>0</v>
      </c>
      <c r="AH328" s="19">
        <f t="shared" si="208"/>
        <v>0</v>
      </c>
      <c r="AI328" s="19">
        <f t="shared" si="209"/>
        <v>0</v>
      </c>
      <c r="AJ328" s="19">
        <f t="shared" si="210"/>
        <v>0</v>
      </c>
      <c r="AK328" s="19">
        <f t="shared" si="211"/>
        <v>0</v>
      </c>
      <c r="AL328" s="19">
        <f t="shared" si="212"/>
        <v>0</v>
      </c>
      <c r="AM328" s="19">
        <f t="shared" si="213"/>
        <v>0</v>
      </c>
      <c r="AN328" s="19">
        <f t="shared" si="214"/>
        <v>0</v>
      </c>
      <c r="AO328" s="19">
        <f t="shared" si="215"/>
        <v>0</v>
      </c>
      <c r="AP328" s="19">
        <f t="shared" si="216"/>
        <v>0</v>
      </c>
      <c r="AQ328" s="19">
        <f t="shared" si="217"/>
        <v>0</v>
      </c>
      <c r="AR328" s="19">
        <f t="shared" si="218"/>
        <v>0</v>
      </c>
      <c r="AS328" s="19">
        <f t="shared" si="219"/>
        <v>0</v>
      </c>
      <c r="AT328" s="19">
        <f t="shared" si="220"/>
        <v>0</v>
      </c>
      <c r="AU328" s="19">
        <f t="shared" si="221"/>
        <v>0</v>
      </c>
      <c r="AV328" s="19">
        <f t="shared" si="222"/>
        <v>0</v>
      </c>
      <c r="AW328" s="19">
        <f t="shared" si="223"/>
        <v>0</v>
      </c>
      <c r="AX328" s="18">
        <f>IFERROR(Z328/'Ar-Pa'!B328,0)</f>
        <v>0</v>
      </c>
      <c r="AY328" s="18">
        <f>IFERROR(AA328/'Ar-Pa'!C328,0)</f>
        <v>0</v>
      </c>
      <c r="AZ328" s="18">
        <f>IFERROR(AB328/'Ar-Pa'!D328,0)</f>
        <v>0</v>
      </c>
      <c r="BA328" s="18">
        <f>IFERROR(AC328/'Ar-Pa'!E328,0)</f>
        <v>0</v>
      </c>
      <c r="BB328" s="18">
        <f>IFERROR(AD328/'Ar-Pa'!F328,0)</f>
        <v>0</v>
      </c>
      <c r="BC328" s="18">
        <f>IFERROR(AE328/'Ar-Pa'!G328,0)</f>
        <v>0</v>
      </c>
      <c r="BD328" s="18">
        <f>IFERROR(AF328/'Ar-Pa'!H328,0)</f>
        <v>0</v>
      </c>
      <c r="BE328" s="18">
        <f>IFERROR(AG328/'Ar-Pa'!I328,0)</f>
        <v>0</v>
      </c>
      <c r="BF328" s="18">
        <f>IFERROR(AH328/'Ar-Pa'!J328,0)</f>
        <v>0</v>
      </c>
      <c r="BG328" s="18">
        <f>IFERROR(AI328/'Ar-Pa'!K328,0)</f>
        <v>0</v>
      </c>
      <c r="BH328" s="18">
        <f>IFERROR(AJ328/'Ar-Pa'!L328,0)</f>
        <v>0</v>
      </c>
      <c r="BI328" s="18">
        <f>IFERROR(AK328/'Ar-Pa'!M328,0)</f>
        <v>0</v>
      </c>
      <c r="BJ328" s="18">
        <f>IFERROR(AL328/'Ar-Pa'!N328,0)</f>
        <v>0</v>
      </c>
      <c r="BK328" s="18">
        <f>IFERROR(AM328/'Ar-Pa'!O328,0)</f>
        <v>0</v>
      </c>
      <c r="BL328" s="18">
        <f>IFERROR(AN328/'Ar-Pa'!P328,0)</f>
        <v>0</v>
      </c>
      <c r="BM328" s="18">
        <f>IFERROR(AO328/'Ar-Pa'!Q328,0)</f>
        <v>0</v>
      </c>
      <c r="BN328" s="18">
        <f>IFERROR(AP328/'Ar-Pa'!R328,0)</f>
        <v>0</v>
      </c>
      <c r="BO328" s="18">
        <f>IFERROR(AQ328/'Ar-Pa'!S328,0)</f>
        <v>0</v>
      </c>
      <c r="BP328" s="18">
        <f>IFERROR(AR328/'Ar-Pa'!T328,0)</f>
        <v>0</v>
      </c>
      <c r="BQ328" s="18">
        <f>IFERROR(AS328/'Ar-Pa'!U328,0)</f>
        <v>0</v>
      </c>
      <c r="BR328" s="18">
        <f>IFERROR(AT328/'Ar-Pa'!V328,0)</f>
        <v>0</v>
      </c>
      <c r="BS328" s="18">
        <f>IFERROR(AU328/'Ar-Pa'!W328,0)</f>
        <v>0</v>
      </c>
      <c r="BT328" s="18">
        <f>IFERROR(AV328/'Ar-Pa'!X328,0)</f>
        <v>0</v>
      </c>
      <c r="BU328" s="18">
        <f>IFERROR(AW328/'Ar-Pa'!Y328,0)</f>
        <v>0</v>
      </c>
    </row>
    <row r="329" spans="1:73">
      <c r="A329" s="15">
        <v>45254</v>
      </c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9">
        <f t="shared" si="200"/>
        <v>0</v>
      </c>
      <c r="AA329" s="19">
        <f t="shared" si="201"/>
        <v>0</v>
      </c>
      <c r="AB329" s="19">
        <f t="shared" si="202"/>
        <v>0</v>
      </c>
      <c r="AC329" s="19">
        <f t="shared" si="203"/>
        <v>0</v>
      </c>
      <c r="AD329" s="19">
        <f t="shared" si="204"/>
        <v>0</v>
      </c>
      <c r="AE329" s="19">
        <f t="shared" si="205"/>
        <v>0</v>
      </c>
      <c r="AF329" s="19">
        <f t="shared" si="206"/>
        <v>0</v>
      </c>
      <c r="AG329" s="19">
        <f t="shared" si="207"/>
        <v>0</v>
      </c>
      <c r="AH329" s="19">
        <f t="shared" si="208"/>
        <v>0</v>
      </c>
      <c r="AI329" s="19">
        <f t="shared" si="209"/>
        <v>0</v>
      </c>
      <c r="AJ329" s="19">
        <f t="shared" si="210"/>
        <v>0</v>
      </c>
      <c r="AK329" s="19">
        <f t="shared" si="211"/>
        <v>0</v>
      </c>
      <c r="AL329" s="19">
        <f t="shared" si="212"/>
        <v>0</v>
      </c>
      <c r="AM329" s="19">
        <f t="shared" si="213"/>
        <v>0</v>
      </c>
      <c r="AN329" s="19">
        <f t="shared" si="214"/>
        <v>0</v>
      </c>
      <c r="AO329" s="19">
        <f t="shared" si="215"/>
        <v>0</v>
      </c>
      <c r="AP329" s="19">
        <f t="shared" si="216"/>
        <v>0</v>
      </c>
      <c r="AQ329" s="19">
        <f t="shared" si="217"/>
        <v>0</v>
      </c>
      <c r="AR329" s="19">
        <f t="shared" si="218"/>
        <v>0</v>
      </c>
      <c r="AS329" s="19">
        <f t="shared" si="219"/>
        <v>0</v>
      </c>
      <c r="AT329" s="19">
        <f t="shared" si="220"/>
        <v>0</v>
      </c>
      <c r="AU329" s="19">
        <f t="shared" si="221"/>
        <v>0</v>
      </c>
      <c r="AV329" s="19">
        <f t="shared" si="222"/>
        <v>0</v>
      </c>
      <c r="AW329" s="19">
        <f t="shared" si="223"/>
        <v>0</v>
      </c>
      <c r="AX329" s="18">
        <f>IFERROR(Z329/'Ar-Pa'!B329,0)</f>
        <v>0</v>
      </c>
      <c r="AY329" s="18">
        <f>IFERROR(AA329/'Ar-Pa'!C329,0)</f>
        <v>0</v>
      </c>
      <c r="AZ329" s="18">
        <f>IFERROR(AB329/'Ar-Pa'!D329,0)</f>
        <v>0</v>
      </c>
      <c r="BA329" s="18">
        <f>IFERROR(AC329/'Ar-Pa'!E329,0)</f>
        <v>0</v>
      </c>
      <c r="BB329" s="18">
        <f>IFERROR(AD329/'Ar-Pa'!F329,0)</f>
        <v>0</v>
      </c>
      <c r="BC329" s="18">
        <f>IFERROR(AE329/'Ar-Pa'!G329,0)</f>
        <v>0</v>
      </c>
      <c r="BD329" s="18">
        <f>IFERROR(AF329/'Ar-Pa'!H329,0)</f>
        <v>0</v>
      </c>
      <c r="BE329" s="18">
        <f>IFERROR(AG329/'Ar-Pa'!I329,0)</f>
        <v>0</v>
      </c>
      <c r="BF329" s="18">
        <f>IFERROR(AH329/'Ar-Pa'!J329,0)</f>
        <v>0</v>
      </c>
      <c r="BG329" s="18">
        <f>IFERROR(AI329/'Ar-Pa'!K329,0)</f>
        <v>0</v>
      </c>
      <c r="BH329" s="18">
        <f>IFERROR(AJ329/'Ar-Pa'!L329,0)</f>
        <v>0</v>
      </c>
      <c r="BI329" s="18">
        <f>IFERROR(AK329/'Ar-Pa'!M329,0)</f>
        <v>0</v>
      </c>
      <c r="BJ329" s="18">
        <f>IFERROR(AL329/'Ar-Pa'!N329,0)</f>
        <v>0</v>
      </c>
      <c r="BK329" s="18">
        <f>IFERROR(AM329/'Ar-Pa'!O329,0)</f>
        <v>0</v>
      </c>
      <c r="BL329" s="18">
        <f>IFERROR(AN329/'Ar-Pa'!P329,0)</f>
        <v>0</v>
      </c>
      <c r="BM329" s="18">
        <f>IFERROR(AO329/'Ar-Pa'!Q329,0)</f>
        <v>0</v>
      </c>
      <c r="BN329" s="18">
        <f>IFERROR(AP329/'Ar-Pa'!R329,0)</f>
        <v>0</v>
      </c>
      <c r="BO329" s="18">
        <f>IFERROR(AQ329/'Ar-Pa'!S329,0)</f>
        <v>0</v>
      </c>
      <c r="BP329" s="18">
        <f>IFERROR(AR329/'Ar-Pa'!T329,0)</f>
        <v>0</v>
      </c>
      <c r="BQ329" s="18">
        <f>IFERROR(AS329/'Ar-Pa'!U329,0)</f>
        <v>0</v>
      </c>
      <c r="BR329" s="18">
        <f>IFERROR(AT329/'Ar-Pa'!V329,0)</f>
        <v>0</v>
      </c>
      <c r="BS329" s="18">
        <f>IFERROR(AU329/'Ar-Pa'!W329,0)</f>
        <v>0</v>
      </c>
      <c r="BT329" s="18">
        <f>IFERROR(AV329/'Ar-Pa'!X329,0)</f>
        <v>0</v>
      </c>
      <c r="BU329" s="18">
        <f>IFERROR(AW329/'Ar-Pa'!Y329,0)</f>
        <v>0</v>
      </c>
    </row>
    <row r="330" spans="1:73">
      <c r="A330" s="15">
        <v>45255</v>
      </c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9">
        <f t="shared" si="200"/>
        <v>0</v>
      </c>
      <c r="AA330" s="19">
        <f t="shared" si="201"/>
        <v>0</v>
      </c>
      <c r="AB330" s="19">
        <f t="shared" si="202"/>
        <v>0</v>
      </c>
      <c r="AC330" s="19">
        <f t="shared" si="203"/>
        <v>0</v>
      </c>
      <c r="AD330" s="19">
        <f t="shared" si="204"/>
        <v>0</v>
      </c>
      <c r="AE330" s="19">
        <f t="shared" si="205"/>
        <v>0</v>
      </c>
      <c r="AF330" s="19">
        <f t="shared" si="206"/>
        <v>0</v>
      </c>
      <c r="AG330" s="19">
        <f t="shared" si="207"/>
        <v>0</v>
      </c>
      <c r="AH330" s="19">
        <f t="shared" si="208"/>
        <v>0</v>
      </c>
      <c r="AI330" s="19">
        <f t="shared" si="209"/>
        <v>0</v>
      </c>
      <c r="AJ330" s="19">
        <f t="shared" si="210"/>
        <v>0</v>
      </c>
      <c r="AK330" s="19">
        <f t="shared" si="211"/>
        <v>0</v>
      </c>
      <c r="AL330" s="19">
        <f t="shared" si="212"/>
        <v>0</v>
      </c>
      <c r="AM330" s="19">
        <f t="shared" si="213"/>
        <v>0</v>
      </c>
      <c r="AN330" s="19">
        <f t="shared" si="214"/>
        <v>0</v>
      </c>
      <c r="AO330" s="19">
        <f t="shared" si="215"/>
        <v>0</v>
      </c>
      <c r="AP330" s="19">
        <f t="shared" si="216"/>
        <v>0</v>
      </c>
      <c r="AQ330" s="19">
        <f t="shared" si="217"/>
        <v>0</v>
      </c>
      <c r="AR330" s="19">
        <f t="shared" si="218"/>
        <v>0</v>
      </c>
      <c r="AS330" s="19">
        <f t="shared" si="219"/>
        <v>0</v>
      </c>
      <c r="AT330" s="19">
        <f t="shared" si="220"/>
        <v>0</v>
      </c>
      <c r="AU330" s="19">
        <f t="shared" si="221"/>
        <v>0</v>
      </c>
      <c r="AV330" s="19">
        <f t="shared" si="222"/>
        <v>0</v>
      </c>
      <c r="AW330" s="19">
        <f t="shared" si="223"/>
        <v>0</v>
      </c>
      <c r="AX330" s="18">
        <f>IFERROR(Z330/'Ar-Pa'!B330,0)</f>
        <v>0</v>
      </c>
      <c r="AY330" s="18">
        <f>IFERROR(AA330/'Ar-Pa'!C330,0)</f>
        <v>0</v>
      </c>
      <c r="AZ330" s="18">
        <f>IFERROR(AB330/'Ar-Pa'!D330,0)</f>
        <v>0</v>
      </c>
      <c r="BA330" s="18">
        <f>IFERROR(AC330/'Ar-Pa'!E330,0)</f>
        <v>0</v>
      </c>
      <c r="BB330" s="18">
        <f>IFERROR(AD330/'Ar-Pa'!F330,0)</f>
        <v>0</v>
      </c>
      <c r="BC330" s="18">
        <f>IFERROR(AE330/'Ar-Pa'!G330,0)</f>
        <v>0</v>
      </c>
      <c r="BD330" s="18">
        <f>IFERROR(AF330/'Ar-Pa'!H330,0)</f>
        <v>0</v>
      </c>
      <c r="BE330" s="18">
        <f>IFERROR(AG330/'Ar-Pa'!I330,0)</f>
        <v>0</v>
      </c>
      <c r="BF330" s="18">
        <f>IFERROR(AH330/'Ar-Pa'!J330,0)</f>
        <v>0</v>
      </c>
      <c r="BG330" s="18">
        <f>IFERROR(AI330/'Ar-Pa'!K330,0)</f>
        <v>0</v>
      </c>
      <c r="BH330" s="18">
        <f>IFERROR(AJ330/'Ar-Pa'!L330,0)</f>
        <v>0</v>
      </c>
      <c r="BI330" s="18">
        <f>IFERROR(AK330/'Ar-Pa'!M330,0)</f>
        <v>0</v>
      </c>
      <c r="BJ330" s="18">
        <f>IFERROR(AL330/'Ar-Pa'!N330,0)</f>
        <v>0</v>
      </c>
      <c r="BK330" s="18">
        <f>IFERROR(AM330/'Ar-Pa'!O330,0)</f>
        <v>0</v>
      </c>
      <c r="BL330" s="18">
        <f>IFERROR(AN330/'Ar-Pa'!P330,0)</f>
        <v>0</v>
      </c>
      <c r="BM330" s="18">
        <f>IFERROR(AO330/'Ar-Pa'!Q330,0)</f>
        <v>0</v>
      </c>
      <c r="BN330" s="18">
        <f>IFERROR(AP330/'Ar-Pa'!R330,0)</f>
        <v>0</v>
      </c>
      <c r="BO330" s="18">
        <f>IFERROR(AQ330/'Ar-Pa'!S330,0)</f>
        <v>0</v>
      </c>
      <c r="BP330" s="18">
        <f>IFERROR(AR330/'Ar-Pa'!T330,0)</f>
        <v>0</v>
      </c>
      <c r="BQ330" s="18">
        <f>IFERROR(AS330/'Ar-Pa'!U330,0)</f>
        <v>0</v>
      </c>
      <c r="BR330" s="18">
        <f>IFERROR(AT330/'Ar-Pa'!V330,0)</f>
        <v>0</v>
      </c>
      <c r="BS330" s="18">
        <f>IFERROR(AU330/'Ar-Pa'!W330,0)</f>
        <v>0</v>
      </c>
      <c r="BT330" s="18">
        <f>IFERROR(AV330/'Ar-Pa'!X330,0)</f>
        <v>0</v>
      </c>
      <c r="BU330" s="18">
        <f>IFERROR(AW330/'Ar-Pa'!Y330,0)</f>
        <v>0</v>
      </c>
    </row>
    <row r="331" spans="1:73">
      <c r="A331" s="15">
        <v>45256</v>
      </c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9">
        <f t="shared" si="200"/>
        <v>0</v>
      </c>
      <c r="AA331" s="19">
        <f t="shared" si="201"/>
        <v>0</v>
      </c>
      <c r="AB331" s="19">
        <f t="shared" si="202"/>
        <v>0</v>
      </c>
      <c r="AC331" s="19">
        <f t="shared" si="203"/>
        <v>0</v>
      </c>
      <c r="AD331" s="19">
        <f t="shared" si="204"/>
        <v>0</v>
      </c>
      <c r="AE331" s="19">
        <f t="shared" si="205"/>
        <v>0</v>
      </c>
      <c r="AF331" s="19">
        <f t="shared" si="206"/>
        <v>0</v>
      </c>
      <c r="AG331" s="19">
        <f t="shared" si="207"/>
        <v>0</v>
      </c>
      <c r="AH331" s="19">
        <f t="shared" si="208"/>
        <v>0</v>
      </c>
      <c r="AI331" s="19">
        <f t="shared" si="209"/>
        <v>0</v>
      </c>
      <c r="AJ331" s="19">
        <f t="shared" si="210"/>
        <v>0</v>
      </c>
      <c r="AK331" s="19">
        <f t="shared" si="211"/>
        <v>0</v>
      </c>
      <c r="AL331" s="19">
        <f t="shared" si="212"/>
        <v>0</v>
      </c>
      <c r="AM331" s="19">
        <f t="shared" si="213"/>
        <v>0</v>
      </c>
      <c r="AN331" s="19">
        <f t="shared" si="214"/>
        <v>0</v>
      </c>
      <c r="AO331" s="19">
        <f t="shared" si="215"/>
        <v>0</v>
      </c>
      <c r="AP331" s="19">
        <f t="shared" si="216"/>
        <v>0</v>
      </c>
      <c r="AQ331" s="19">
        <f t="shared" si="217"/>
        <v>0</v>
      </c>
      <c r="AR331" s="19">
        <f t="shared" si="218"/>
        <v>0</v>
      </c>
      <c r="AS331" s="19">
        <f t="shared" si="219"/>
        <v>0</v>
      </c>
      <c r="AT331" s="19">
        <f t="shared" si="220"/>
        <v>0</v>
      </c>
      <c r="AU331" s="19">
        <f t="shared" si="221"/>
        <v>0</v>
      </c>
      <c r="AV331" s="19">
        <f t="shared" si="222"/>
        <v>0</v>
      </c>
      <c r="AW331" s="19">
        <f t="shared" si="223"/>
        <v>0</v>
      </c>
      <c r="AX331" s="18">
        <f>IFERROR(Z331/'Ar-Pa'!B331,0)</f>
        <v>0</v>
      </c>
      <c r="AY331" s="18">
        <f>IFERROR(AA331/'Ar-Pa'!C331,0)</f>
        <v>0</v>
      </c>
      <c r="AZ331" s="18">
        <f>IFERROR(AB331/'Ar-Pa'!D331,0)</f>
        <v>0</v>
      </c>
      <c r="BA331" s="18">
        <f>IFERROR(AC331/'Ar-Pa'!E331,0)</f>
        <v>0</v>
      </c>
      <c r="BB331" s="18">
        <f>IFERROR(AD331/'Ar-Pa'!F331,0)</f>
        <v>0</v>
      </c>
      <c r="BC331" s="18">
        <f>IFERROR(AE331/'Ar-Pa'!G331,0)</f>
        <v>0</v>
      </c>
      <c r="BD331" s="18">
        <f>IFERROR(AF331/'Ar-Pa'!H331,0)</f>
        <v>0</v>
      </c>
      <c r="BE331" s="18">
        <f>IFERROR(AG331/'Ar-Pa'!I331,0)</f>
        <v>0</v>
      </c>
      <c r="BF331" s="18">
        <f>IFERROR(AH331/'Ar-Pa'!J331,0)</f>
        <v>0</v>
      </c>
      <c r="BG331" s="18">
        <f>IFERROR(AI331/'Ar-Pa'!K331,0)</f>
        <v>0</v>
      </c>
      <c r="BH331" s="18">
        <f>IFERROR(AJ331/'Ar-Pa'!L331,0)</f>
        <v>0</v>
      </c>
      <c r="BI331" s="18">
        <f>IFERROR(AK331/'Ar-Pa'!M331,0)</f>
        <v>0</v>
      </c>
      <c r="BJ331" s="18">
        <f>IFERROR(AL331/'Ar-Pa'!N331,0)</f>
        <v>0</v>
      </c>
      <c r="BK331" s="18">
        <f>IFERROR(AM331/'Ar-Pa'!O331,0)</f>
        <v>0</v>
      </c>
      <c r="BL331" s="18">
        <f>IFERROR(AN331/'Ar-Pa'!P331,0)</f>
        <v>0</v>
      </c>
      <c r="BM331" s="18">
        <f>IFERROR(AO331/'Ar-Pa'!Q331,0)</f>
        <v>0</v>
      </c>
      <c r="BN331" s="18">
        <f>IFERROR(AP331/'Ar-Pa'!R331,0)</f>
        <v>0</v>
      </c>
      <c r="BO331" s="18">
        <f>IFERROR(AQ331/'Ar-Pa'!S331,0)</f>
        <v>0</v>
      </c>
      <c r="BP331" s="18">
        <f>IFERROR(AR331/'Ar-Pa'!T331,0)</f>
        <v>0</v>
      </c>
      <c r="BQ331" s="18">
        <f>IFERROR(AS331/'Ar-Pa'!U331,0)</f>
        <v>0</v>
      </c>
      <c r="BR331" s="18">
        <f>IFERROR(AT331/'Ar-Pa'!V331,0)</f>
        <v>0</v>
      </c>
      <c r="BS331" s="18">
        <f>IFERROR(AU331/'Ar-Pa'!W331,0)</f>
        <v>0</v>
      </c>
      <c r="BT331" s="18">
        <f>IFERROR(AV331/'Ar-Pa'!X331,0)</f>
        <v>0</v>
      </c>
      <c r="BU331" s="18">
        <f>IFERROR(AW331/'Ar-Pa'!Y331,0)</f>
        <v>0</v>
      </c>
    </row>
    <row r="332" spans="1:73">
      <c r="A332" s="15">
        <v>45257</v>
      </c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9">
        <f t="shared" si="200"/>
        <v>0</v>
      </c>
      <c r="AA332" s="19">
        <f t="shared" si="201"/>
        <v>0</v>
      </c>
      <c r="AB332" s="19">
        <f t="shared" si="202"/>
        <v>0</v>
      </c>
      <c r="AC332" s="19">
        <f t="shared" si="203"/>
        <v>0</v>
      </c>
      <c r="AD332" s="19">
        <f t="shared" si="204"/>
        <v>0</v>
      </c>
      <c r="AE332" s="19">
        <f t="shared" si="205"/>
        <v>0</v>
      </c>
      <c r="AF332" s="19">
        <f t="shared" si="206"/>
        <v>0</v>
      </c>
      <c r="AG332" s="19">
        <f t="shared" si="207"/>
        <v>0</v>
      </c>
      <c r="AH332" s="19">
        <f t="shared" si="208"/>
        <v>0</v>
      </c>
      <c r="AI332" s="19">
        <f t="shared" si="209"/>
        <v>0</v>
      </c>
      <c r="AJ332" s="19">
        <f t="shared" si="210"/>
        <v>0</v>
      </c>
      <c r="AK332" s="19">
        <f t="shared" si="211"/>
        <v>0</v>
      </c>
      <c r="AL332" s="19">
        <f t="shared" si="212"/>
        <v>0</v>
      </c>
      <c r="AM332" s="19">
        <f t="shared" si="213"/>
        <v>0</v>
      </c>
      <c r="AN332" s="19">
        <f t="shared" si="214"/>
        <v>0</v>
      </c>
      <c r="AO332" s="19">
        <f t="shared" si="215"/>
        <v>0</v>
      </c>
      <c r="AP332" s="19">
        <f t="shared" si="216"/>
        <v>0</v>
      </c>
      <c r="AQ332" s="19">
        <f t="shared" si="217"/>
        <v>0</v>
      </c>
      <c r="AR332" s="19">
        <f t="shared" si="218"/>
        <v>0</v>
      </c>
      <c r="AS332" s="19">
        <f t="shared" si="219"/>
        <v>0</v>
      </c>
      <c r="AT332" s="19">
        <f t="shared" si="220"/>
        <v>0</v>
      </c>
      <c r="AU332" s="19">
        <f t="shared" si="221"/>
        <v>0</v>
      </c>
      <c r="AV332" s="19">
        <f t="shared" si="222"/>
        <v>0</v>
      </c>
      <c r="AW332" s="19">
        <f t="shared" si="223"/>
        <v>0</v>
      </c>
      <c r="AX332" s="18">
        <f>IFERROR(Z332/'Ar-Pa'!B332,0)</f>
        <v>0</v>
      </c>
      <c r="AY332" s="18">
        <f>IFERROR(AA332/'Ar-Pa'!C332,0)</f>
        <v>0</v>
      </c>
      <c r="AZ332" s="18">
        <f>IFERROR(AB332/'Ar-Pa'!D332,0)</f>
        <v>0</v>
      </c>
      <c r="BA332" s="18">
        <f>IFERROR(AC332/'Ar-Pa'!E332,0)</f>
        <v>0</v>
      </c>
      <c r="BB332" s="18">
        <f>IFERROR(AD332/'Ar-Pa'!F332,0)</f>
        <v>0</v>
      </c>
      <c r="BC332" s="18">
        <f>IFERROR(AE332/'Ar-Pa'!G332,0)</f>
        <v>0</v>
      </c>
      <c r="BD332" s="18">
        <f>IFERROR(AF332/'Ar-Pa'!H332,0)</f>
        <v>0</v>
      </c>
      <c r="BE332" s="18">
        <f>IFERROR(AG332/'Ar-Pa'!I332,0)</f>
        <v>0</v>
      </c>
      <c r="BF332" s="18">
        <f>IFERROR(AH332/'Ar-Pa'!J332,0)</f>
        <v>0</v>
      </c>
      <c r="BG332" s="18">
        <f>IFERROR(AI332/'Ar-Pa'!K332,0)</f>
        <v>0</v>
      </c>
      <c r="BH332" s="18">
        <f>IFERROR(AJ332/'Ar-Pa'!L332,0)</f>
        <v>0</v>
      </c>
      <c r="BI332" s="18">
        <f>IFERROR(AK332/'Ar-Pa'!M332,0)</f>
        <v>0</v>
      </c>
      <c r="BJ332" s="18">
        <f>IFERROR(AL332/'Ar-Pa'!N332,0)</f>
        <v>0</v>
      </c>
      <c r="BK332" s="18">
        <f>IFERROR(AM332/'Ar-Pa'!O332,0)</f>
        <v>0</v>
      </c>
      <c r="BL332" s="18">
        <f>IFERROR(AN332/'Ar-Pa'!P332,0)</f>
        <v>0</v>
      </c>
      <c r="BM332" s="18">
        <f>IFERROR(AO332/'Ar-Pa'!Q332,0)</f>
        <v>0</v>
      </c>
      <c r="BN332" s="18">
        <f>IFERROR(AP332/'Ar-Pa'!R332,0)</f>
        <v>0</v>
      </c>
      <c r="BO332" s="18">
        <f>IFERROR(AQ332/'Ar-Pa'!S332,0)</f>
        <v>0</v>
      </c>
      <c r="BP332" s="18">
        <f>IFERROR(AR332/'Ar-Pa'!T332,0)</f>
        <v>0</v>
      </c>
      <c r="BQ332" s="18">
        <f>IFERROR(AS332/'Ar-Pa'!U332,0)</f>
        <v>0</v>
      </c>
      <c r="BR332" s="18">
        <f>IFERROR(AT332/'Ar-Pa'!V332,0)</f>
        <v>0</v>
      </c>
      <c r="BS332" s="18">
        <f>IFERROR(AU332/'Ar-Pa'!W332,0)</f>
        <v>0</v>
      </c>
      <c r="BT332" s="18">
        <f>IFERROR(AV332/'Ar-Pa'!X332,0)</f>
        <v>0</v>
      </c>
      <c r="BU332" s="18">
        <f>IFERROR(AW332/'Ar-Pa'!Y332,0)</f>
        <v>0</v>
      </c>
    </row>
    <row r="333" spans="1:73">
      <c r="A333" s="15">
        <v>45258</v>
      </c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9">
        <f t="shared" si="200"/>
        <v>0</v>
      </c>
      <c r="AA333" s="19">
        <f t="shared" si="201"/>
        <v>0</v>
      </c>
      <c r="AB333" s="19">
        <f t="shared" si="202"/>
        <v>0</v>
      </c>
      <c r="AC333" s="19">
        <f t="shared" si="203"/>
        <v>0</v>
      </c>
      <c r="AD333" s="19">
        <f t="shared" si="204"/>
        <v>0</v>
      </c>
      <c r="AE333" s="19">
        <f t="shared" si="205"/>
        <v>0</v>
      </c>
      <c r="AF333" s="19">
        <f t="shared" si="206"/>
        <v>0</v>
      </c>
      <c r="AG333" s="19">
        <f t="shared" si="207"/>
        <v>0</v>
      </c>
      <c r="AH333" s="19">
        <f t="shared" si="208"/>
        <v>0</v>
      </c>
      <c r="AI333" s="19">
        <f t="shared" si="209"/>
        <v>0</v>
      </c>
      <c r="AJ333" s="19">
        <f t="shared" si="210"/>
        <v>0</v>
      </c>
      <c r="AK333" s="19">
        <f t="shared" si="211"/>
        <v>0</v>
      </c>
      <c r="AL333" s="19">
        <f t="shared" si="212"/>
        <v>0</v>
      </c>
      <c r="AM333" s="19">
        <f t="shared" si="213"/>
        <v>0</v>
      </c>
      <c r="AN333" s="19">
        <f t="shared" si="214"/>
        <v>0</v>
      </c>
      <c r="AO333" s="19">
        <f t="shared" si="215"/>
        <v>0</v>
      </c>
      <c r="AP333" s="19">
        <f t="shared" si="216"/>
        <v>0</v>
      </c>
      <c r="AQ333" s="19">
        <f t="shared" si="217"/>
        <v>0</v>
      </c>
      <c r="AR333" s="19">
        <f t="shared" si="218"/>
        <v>0</v>
      </c>
      <c r="AS333" s="19">
        <f t="shared" si="219"/>
        <v>0</v>
      </c>
      <c r="AT333" s="19">
        <f t="shared" si="220"/>
        <v>0</v>
      </c>
      <c r="AU333" s="19">
        <f t="shared" si="221"/>
        <v>0</v>
      </c>
      <c r="AV333" s="19">
        <f t="shared" si="222"/>
        <v>0</v>
      </c>
      <c r="AW333" s="19">
        <f t="shared" si="223"/>
        <v>0</v>
      </c>
      <c r="AX333" s="18">
        <f>IFERROR(Z333/'Ar-Pa'!B333,0)</f>
        <v>0</v>
      </c>
      <c r="AY333" s="18">
        <f>IFERROR(AA333/'Ar-Pa'!C333,0)</f>
        <v>0</v>
      </c>
      <c r="AZ333" s="18">
        <f>IFERROR(AB333/'Ar-Pa'!D333,0)</f>
        <v>0</v>
      </c>
      <c r="BA333" s="18">
        <f>IFERROR(AC333/'Ar-Pa'!E333,0)</f>
        <v>0</v>
      </c>
      <c r="BB333" s="18">
        <f>IFERROR(AD333/'Ar-Pa'!F333,0)</f>
        <v>0</v>
      </c>
      <c r="BC333" s="18">
        <f>IFERROR(AE333/'Ar-Pa'!G333,0)</f>
        <v>0</v>
      </c>
      <c r="BD333" s="18">
        <f>IFERROR(AF333/'Ar-Pa'!H333,0)</f>
        <v>0</v>
      </c>
      <c r="BE333" s="18">
        <f>IFERROR(AG333/'Ar-Pa'!I333,0)</f>
        <v>0</v>
      </c>
      <c r="BF333" s="18">
        <f>IFERROR(AH333/'Ar-Pa'!J333,0)</f>
        <v>0</v>
      </c>
      <c r="BG333" s="18">
        <f>IFERROR(AI333/'Ar-Pa'!K333,0)</f>
        <v>0</v>
      </c>
      <c r="BH333" s="18">
        <f>IFERROR(AJ333/'Ar-Pa'!L333,0)</f>
        <v>0</v>
      </c>
      <c r="BI333" s="18">
        <f>IFERROR(AK333/'Ar-Pa'!M333,0)</f>
        <v>0</v>
      </c>
      <c r="BJ333" s="18">
        <f>IFERROR(AL333/'Ar-Pa'!N333,0)</f>
        <v>0</v>
      </c>
      <c r="BK333" s="18">
        <f>IFERROR(AM333/'Ar-Pa'!O333,0)</f>
        <v>0</v>
      </c>
      <c r="BL333" s="18">
        <f>IFERROR(AN333/'Ar-Pa'!P333,0)</f>
        <v>0</v>
      </c>
      <c r="BM333" s="18">
        <f>IFERROR(AO333/'Ar-Pa'!Q333,0)</f>
        <v>0</v>
      </c>
      <c r="BN333" s="18">
        <f>IFERROR(AP333/'Ar-Pa'!R333,0)</f>
        <v>0</v>
      </c>
      <c r="BO333" s="18">
        <f>IFERROR(AQ333/'Ar-Pa'!S333,0)</f>
        <v>0</v>
      </c>
      <c r="BP333" s="18">
        <f>IFERROR(AR333/'Ar-Pa'!T333,0)</f>
        <v>0</v>
      </c>
      <c r="BQ333" s="18">
        <f>IFERROR(AS333/'Ar-Pa'!U333,0)</f>
        <v>0</v>
      </c>
      <c r="BR333" s="18">
        <f>IFERROR(AT333/'Ar-Pa'!V333,0)</f>
        <v>0</v>
      </c>
      <c r="BS333" s="18">
        <f>IFERROR(AU333/'Ar-Pa'!W333,0)</f>
        <v>0</v>
      </c>
      <c r="BT333" s="18">
        <f>IFERROR(AV333/'Ar-Pa'!X333,0)</f>
        <v>0</v>
      </c>
      <c r="BU333" s="18">
        <f>IFERROR(AW333/'Ar-Pa'!Y333,0)</f>
        <v>0</v>
      </c>
    </row>
    <row r="334" spans="1:73">
      <c r="A334" s="15">
        <v>45259</v>
      </c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9">
        <f t="shared" si="200"/>
        <v>0</v>
      </c>
      <c r="AA334" s="19">
        <f t="shared" si="201"/>
        <v>0</v>
      </c>
      <c r="AB334" s="19">
        <f t="shared" si="202"/>
        <v>0</v>
      </c>
      <c r="AC334" s="19">
        <f t="shared" si="203"/>
        <v>0</v>
      </c>
      <c r="AD334" s="19">
        <f t="shared" si="204"/>
        <v>0</v>
      </c>
      <c r="AE334" s="19">
        <f t="shared" si="205"/>
        <v>0</v>
      </c>
      <c r="AF334" s="19">
        <f t="shared" si="206"/>
        <v>0</v>
      </c>
      <c r="AG334" s="19">
        <f t="shared" si="207"/>
        <v>0</v>
      </c>
      <c r="AH334" s="19">
        <f t="shared" si="208"/>
        <v>0</v>
      </c>
      <c r="AI334" s="19">
        <f t="shared" si="209"/>
        <v>0</v>
      </c>
      <c r="AJ334" s="19">
        <f t="shared" si="210"/>
        <v>0</v>
      </c>
      <c r="AK334" s="19">
        <f t="shared" si="211"/>
        <v>0</v>
      </c>
      <c r="AL334" s="19">
        <f t="shared" si="212"/>
        <v>0</v>
      </c>
      <c r="AM334" s="19">
        <f t="shared" si="213"/>
        <v>0</v>
      </c>
      <c r="AN334" s="19">
        <f t="shared" si="214"/>
        <v>0</v>
      </c>
      <c r="AO334" s="19">
        <f t="shared" si="215"/>
        <v>0</v>
      </c>
      <c r="AP334" s="19">
        <f t="shared" si="216"/>
        <v>0</v>
      </c>
      <c r="AQ334" s="19">
        <f t="shared" si="217"/>
        <v>0</v>
      </c>
      <c r="AR334" s="19">
        <f t="shared" si="218"/>
        <v>0</v>
      </c>
      <c r="AS334" s="19">
        <f t="shared" si="219"/>
        <v>0</v>
      </c>
      <c r="AT334" s="19">
        <f t="shared" si="220"/>
        <v>0</v>
      </c>
      <c r="AU334" s="19">
        <f t="shared" si="221"/>
        <v>0</v>
      </c>
      <c r="AV334" s="19">
        <f t="shared" si="222"/>
        <v>0</v>
      </c>
      <c r="AW334" s="19">
        <f t="shared" si="223"/>
        <v>0</v>
      </c>
      <c r="AX334" s="18">
        <f>IFERROR(Z334/'Ar-Pa'!B334,0)</f>
        <v>0</v>
      </c>
      <c r="AY334" s="18">
        <f>IFERROR(AA334/'Ar-Pa'!C334,0)</f>
        <v>0</v>
      </c>
      <c r="AZ334" s="18">
        <f>IFERROR(AB334/'Ar-Pa'!D334,0)</f>
        <v>0</v>
      </c>
      <c r="BA334" s="18">
        <f>IFERROR(AC334/'Ar-Pa'!E334,0)</f>
        <v>0</v>
      </c>
      <c r="BB334" s="18">
        <f>IFERROR(AD334/'Ar-Pa'!F334,0)</f>
        <v>0</v>
      </c>
      <c r="BC334" s="18">
        <f>IFERROR(AE334/'Ar-Pa'!G334,0)</f>
        <v>0</v>
      </c>
      <c r="BD334" s="18">
        <f>IFERROR(AF334/'Ar-Pa'!H334,0)</f>
        <v>0</v>
      </c>
      <c r="BE334" s="18">
        <f>IFERROR(AG334/'Ar-Pa'!I334,0)</f>
        <v>0</v>
      </c>
      <c r="BF334" s="18">
        <f>IFERROR(AH334/'Ar-Pa'!J334,0)</f>
        <v>0</v>
      </c>
      <c r="BG334" s="18">
        <f>IFERROR(AI334/'Ar-Pa'!K334,0)</f>
        <v>0</v>
      </c>
      <c r="BH334" s="18">
        <f>IFERROR(AJ334/'Ar-Pa'!L334,0)</f>
        <v>0</v>
      </c>
      <c r="BI334" s="18">
        <f>IFERROR(AK334/'Ar-Pa'!M334,0)</f>
        <v>0</v>
      </c>
      <c r="BJ334" s="18">
        <f>IFERROR(AL334/'Ar-Pa'!N334,0)</f>
        <v>0</v>
      </c>
      <c r="BK334" s="18">
        <f>IFERROR(AM334/'Ar-Pa'!O334,0)</f>
        <v>0</v>
      </c>
      <c r="BL334" s="18">
        <f>IFERROR(AN334/'Ar-Pa'!P334,0)</f>
        <v>0</v>
      </c>
      <c r="BM334" s="18">
        <f>IFERROR(AO334/'Ar-Pa'!Q334,0)</f>
        <v>0</v>
      </c>
      <c r="BN334" s="18">
        <f>IFERROR(AP334/'Ar-Pa'!R334,0)</f>
        <v>0</v>
      </c>
      <c r="BO334" s="18">
        <f>IFERROR(AQ334/'Ar-Pa'!S334,0)</f>
        <v>0</v>
      </c>
      <c r="BP334" s="18">
        <f>IFERROR(AR334/'Ar-Pa'!T334,0)</f>
        <v>0</v>
      </c>
      <c r="BQ334" s="18">
        <f>IFERROR(AS334/'Ar-Pa'!U334,0)</f>
        <v>0</v>
      </c>
      <c r="BR334" s="18">
        <f>IFERROR(AT334/'Ar-Pa'!V334,0)</f>
        <v>0</v>
      </c>
      <c r="BS334" s="18">
        <f>IFERROR(AU334/'Ar-Pa'!W334,0)</f>
        <v>0</v>
      </c>
      <c r="BT334" s="18">
        <f>IFERROR(AV334/'Ar-Pa'!X334,0)</f>
        <v>0</v>
      </c>
      <c r="BU334" s="18">
        <f>IFERROR(AW334/'Ar-Pa'!Y334,0)</f>
        <v>0</v>
      </c>
    </row>
    <row r="335" spans="1:73">
      <c r="A335" s="15">
        <v>45260</v>
      </c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9">
        <f t="shared" si="200"/>
        <v>0</v>
      </c>
      <c r="AA335" s="19">
        <f t="shared" si="201"/>
        <v>0</v>
      </c>
      <c r="AB335" s="19">
        <f t="shared" si="202"/>
        <v>0</v>
      </c>
      <c r="AC335" s="19">
        <f t="shared" si="203"/>
        <v>0</v>
      </c>
      <c r="AD335" s="19">
        <f t="shared" si="204"/>
        <v>0</v>
      </c>
      <c r="AE335" s="19">
        <f t="shared" si="205"/>
        <v>0</v>
      </c>
      <c r="AF335" s="19">
        <f t="shared" si="206"/>
        <v>0</v>
      </c>
      <c r="AG335" s="19">
        <f t="shared" si="207"/>
        <v>0</v>
      </c>
      <c r="AH335" s="19">
        <f t="shared" si="208"/>
        <v>0</v>
      </c>
      <c r="AI335" s="19">
        <f t="shared" si="209"/>
        <v>0</v>
      </c>
      <c r="AJ335" s="19">
        <f t="shared" si="210"/>
        <v>0</v>
      </c>
      <c r="AK335" s="19">
        <f t="shared" si="211"/>
        <v>0</v>
      </c>
      <c r="AL335" s="19">
        <f t="shared" si="212"/>
        <v>0</v>
      </c>
      <c r="AM335" s="19">
        <f t="shared" si="213"/>
        <v>0</v>
      </c>
      <c r="AN335" s="19">
        <f t="shared" si="214"/>
        <v>0</v>
      </c>
      <c r="AO335" s="19">
        <f t="shared" si="215"/>
        <v>0</v>
      </c>
      <c r="AP335" s="19">
        <f t="shared" si="216"/>
        <v>0</v>
      </c>
      <c r="AQ335" s="19">
        <f t="shared" si="217"/>
        <v>0</v>
      </c>
      <c r="AR335" s="19">
        <f t="shared" si="218"/>
        <v>0</v>
      </c>
      <c r="AS335" s="19">
        <f t="shared" si="219"/>
        <v>0</v>
      </c>
      <c r="AT335" s="19">
        <f t="shared" si="220"/>
        <v>0</v>
      </c>
      <c r="AU335" s="19">
        <f t="shared" si="221"/>
        <v>0</v>
      </c>
      <c r="AV335" s="19">
        <f t="shared" si="222"/>
        <v>0</v>
      </c>
      <c r="AW335" s="19">
        <f t="shared" si="223"/>
        <v>0</v>
      </c>
      <c r="AX335" s="18">
        <f>IFERROR(Z335/'Ar-Pa'!B335,0)</f>
        <v>0</v>
      </c>
      <c r="AY335" s="18">
        <f>IFERROR(AA335/'Ar-Pa'!C335,0)</f>
        <v>0</v>
      </c>
      <c r="AZ335" s="18">
        <f>IFERROR(AB335/'Ar-Pa'!D335,0)</f>
        <v>0</v>
      </c>
      <c r="BA335" s="18">
        <f>IFERROR(AC335/'Ar-Pa'!E335,0)</f>
        <v>0</v>
      </c>
      <c r="BB335" s="18">
        <f>IFERROR(AD335/'Ar-Pa'!F335,0)</f>
        <v>0</v>
      </c>
      <c r="BC335" s="18">
        <f>IFERROR(AE335/'Ar-Pa'!G335,0)</f>
        <v>0</v>
      </c>
      <c r="BD335" s="18">
        <f>IFERROR(AF335/'Ar-Pa'!H335,0)</f>
        <v>0</v>
      </c>
      <c r="BE335" s="18">
        <f>IFERROR(AG335/'Ar-Pa'!I335,0)</f>
        <v>0</v>
      </c>
      <c r="BF335" s="18">
        <f>IFERROR(AH335/'Ar-Pa'!J335,0)</f>
        <v>0</v>
      </c>
      <c r="BG335" s="18">
        <f>IFERROR(AI335/'Ar-Pa'!K335,0)</f>
        <v>0</v>
      </c>
      <c r="BH335" s="18">
        <f>IFERROR(AJ335/'Ar-Pa'!L335,0)</f>
        <v>0</v>
      </c>
      <c r="BI335" s="18">
        <f>IFERROR(AK335/'Ar-Pa'!M335,0)</f>
        <v>0</v>
      </c>
      <c r="BJ335" s="18">
        <f>IFERROR(AL335/'Ar-Pa'!N335,0)</f>
        <v>0</v>
      </c>
      <c r="BK335" s="18">
        <f>IFERROR(AM335/'Ar-Pa'!O335,0)</f>
        <v>0</v>
      </c>
      <c r="BL335" s="18">
        <f>IFERROR(AN335/'Ar-Pa'!P335,0)</f>
        <v>0</v>
      </c>
      <c r="BM335" s="18">
        <f>IFERROR(AO335/'Ar-Pa'!Q335,0)</f>
        <v>0</v>
      </c>
      <c r="BN335" s="18">
        <f>IFERROR(AP335/'Ar-Pa'!R335,0)</f>
        <v>0</v>
      </c>
      <c r="BO335" s="18">
        <f>IFERROR(AQ335/'Ar-Pa'!S335,0)</f>
        <v>0</v>
      </c>
      <c r="BP335" s="18">
        <f>IFERROR(AR335/'Ar-Pa'!T335,0)</f>
        <v>0</v>
      </c>
      <c r="BQ335" s="18">
        <f>IFERROR(AS335/'Ar-Pa'!U335,0)</f>
        <v>0</v>
      </c>
      <c r="BR335" s="18">
        <f>IFERROR(AT335/'Ar-Pa'!V335,0)</f>
        <v>0</v>
      </c>
      <c r="BS335" s="18">
        <f>IFERROR(AU335/'Ar-Pa'!W335,0)</f>
        <v>0</v>
      </c>
      <c r="BT335" s="18">
        <f>IFERROR(AV335/'Ar-Pa'!X335,0)</f>
        <v>0</v>
      </c>
      <c r="BU335" s="18">
        <f>IFERROR(AW335/'Ar-Pa'!Y335,0)</f>
        <v>0</v>
      </c>
    </row>
    <row r="336" spans="1:73">
      <c r="A336" s="15">
        <v>45261</v>
      </c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9">
        <f t="shared" si="200"/>
        <v>0</v>
      </c>
      <c r="AA336" s="19">
        <f t="shared" si="201"/>
        <v>0</v>
      </c>
      <c r="AB336" s="19">
        <f t="shared" si="202"/>
        <v>0</v>
      </c>
      <c r="AC336" s="19">
        <f t="shared" si="203"/>
        <v>0</v>
      </c>
      <c r="AD336" s="19">
        <f t="shared" si="204"/>
        <v>0</v>
      </c>
      <c r="AE336" s="19">
        <f t="shared" si="205"/>
        <v>0</v>
      </c>
      <c r="AF336" s="19">
        <f t="shared" si="206"/>
        <v>0</v>
      </c>
      <c r="AG336" s="19">
        <f t="shared" si="207"/>
        <v>0</v>
      </c>
      <c r="AH336" s="19">
        <f t="shared" si="208"/>
        <v>0</v>
      </c>
      <c r="AI336" s="19">
        <f t="shared" si="209"/>
        <v>0</v>
      </c>
      <c r="AJ336" s="19">
        <f t="shared" si="210"/>
        <v>0</v>
      </c>
      <c r="AK336" s="19">
        <f t="shared" si="211"/>
        <v>0</v>
      </c>
      <c r="AL336" s="19">
        <f t="shared" si="212"/>
        <v>0</v>
      </c>
      <c r="AM336" s="19">
        <f t="shared" si="213"/>
        <v>0</v>
      </c>
      <c r="AN336" s="19">
        <f t="shared" si="214"/>
        <v>0</v>
      </c>
      <c r="AO336" s="19">
        <f t="shared" si="215"/>
        <v>0</v>
      </c>
      <c r="AP336" s="19">
        <f t="shared" si="216"/>
        <v>0</v>
      </c>
      <c r="AQ336" s="19">
        <f t="shared" si="217"/>
        <v>0</v>
      </c>
      <c r="AR336" s="19">
        <f t="shared" si="218"/>
        <v>0</v>
      </c>
      <c r="AS336" s="19">
        <f t="shared" si="219"/>
        <v>0</v>
      </c>
      <c r="AT336" s="19">
        <f t="shared" si="220"/>
        <v>0</v>
      </c>
      <c r="AU336" s="19">
        <f t="shared" si="221"/>
        <v>0</v>
      </c>
      <c r="AV336" s="19">
        <f t="shared" si="222"/>
        <v>0</v>
      </c>
      <c r="AW336" s="19">
        <f t="shared" si="223"/>
        <v>0</v>
      </c>
      <c r="AX336" s="18">
        <f>IFERROR(Z336/'Ar-Pa'!B336,0)</f>
        <v>0</v>
      </c>
      <c r="AY336" s="18">
        <f>IFERROR(AA336/'Ar-Pa'!C336,0)</f>
        <v>0</v>
      </c>
      <c r="AZ336" s="18">
        <f>IFERROR(AB336/'Ar-Pa'!D336,0)</f>
        <v>0</v>
      </c>
      <c r="BA336" s="18">
        <f>IFERROR(AC336/'Ar-Pa'!E336,0)</f>
        <v>0</v>
      </c>
      <c r="BB336" s="18">
        <f>IFERROR(AD336/'Ar-Pa'!F336,0)</f>
        <v>0</v>
      </c>
      <c r="BC336" s="18">
        <f>IFERROR(AE336/'Ar-Pa'!G336,0)</f>
        <v>0</v>
      </c>
      <c r="BD336" s="18">
        <f>IFERROR(AF336/'Ar-Pa'!H336,0)</f>
        <v>0</v>
      </c>
      <c r="BE336" s="18">
        <f>IFERROR(AG336/'Ar-Pa'!I336,0)</f>
        <v>0</v>
      </c>
      <c r="BF336" s="18">
        <f>IFERROR(AH336/'Ar-Pa'!J336,0)</f>
        <v>0</v>
      </c>
      <c r="BG336" s="18">
        <f>IFERROR(AI336/'Ar-Pa'!K336,0)</f>
        <v>0</v>
      </c>
      <c r="BH336" s="18">
        <f>IFERROR(AJ336/'Ar-Pa'!L336,0)</f>
        <v>0</v>
      </c>
      <c r="BI336" s="18">
        <f>IFERROR(AK336/'Ar-Pa'!M336,0)</f>
        <v>0</v>
      </c>
      <c r="BJ336" s="18">
        <f>IFERROR(AL336/'Ar-Pa'!N336,0)</f>
        <v>0</v>
      </c>
      <c r="BK336" s="18">
        <f>IFERROR(AM336/'Ar-Pa'!O336,0)</f>
        <v>0</v>
      </c>
      <c r="BL336" s="18">
        <f>IFERROR(AN336/'Ar-Pa'!P336,0)</f>
        <v>0</v>
      </c>
      <c r="BM336" s="18">
        <f>IFERROR(AO336/'Ar-Pa'!Q336,0)</f>
        <v>0</v>
      </c>
      <c r="BN336" s="18">
        <f>IFERROR(AP336/'Ar-Pa'!R336,0)</f>
        <v>0</v>
      </c>
      <c r="BO336" s="18">
        <f>IFERROR(AQ336/'Ar-Pa'!S336,0)</f>
        <v>0</v>
      </c>
      <c r="BP336" s="18">
        <f>IFERROR(AR336/'Ar-Pa'!T336,0)</f>
        <v>0</v>
      </c>
      <c r="BQ336" s="18">
        <f>IFERROR(AS336/'Ar-Pa'!U336,0)</f>
        <v>0</v>
      </c>
      <c r="BR336" s="18">
        <f>IFERROR(AT336/'Ar-Pa'!V336,0)</f>
        <v>0</v>
      </c>
      <c r="BS336" s="18">
        <f>IFERROR(AU336/'Ar-Pa'!W336,0)</f>
        <v>0</v>
      </c>
      <c r="BT336" s="18">
        <f>IFERROR(AV336/'Ar-Pa'!X336,0)</f>
        <v>0</v>
      </c>
      <c r="BU336" s="18">
        <f>IFERROR(AW336/'Ar-Pa'!Y336,0)</f>
        <v>0</v>
      </c>
    </row>
    <row r="337" spans="1:73">
      <c r="A337" s="15">
        <v>45262</v>
      </c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9">
        <f t="shared" ref="Z337:AW337" si="224">+CONVERT(B337,"m^3","gal")</f>
        <v>0</v>
      </c>
      <c r="AA337" s="19">
        <f t="shared" si="224"/>
        <v>0</v>
      </c>
      <c r="AB337" s="19">
        <f t="shared" si="224"/>
        <v>0</v>
      </c>
      <c r="AC337" s="19">
        <f t="shared" si="224"/>
        <v>0</v>
      </c>
      <c r="AD337" s="19">
        <f t="shared" si="224"/>
        <v>0</v>
      </c>
      <c r="AE337" s="19">
        <f t="shared" si="224"/>
        <v>0</v>
      </c>
      <c r="AF337" s="19">
        <f t="shared" si="224"/>
        <v>0</v>
      </c>
      <c r="AG337" s="19">
        <f t="shared" si="224"/>
        <v>0</v>
      </c>
      <c r="AH337" s="19">
        <f t="shared" si="224"/>
        <v>0</v>
      </c>
      <c r="AI337" s="19">
        <f t="shared" si="224"/>
        <v>0</v>
      </c>
      <c r="AJ337" s="19">
        <f t="shared" si="224"/>
        <v>0</v>
      </c>
      <c r="AK337" s="19">
        <f t="shared" si="224"/>
        <v>0</v>
      </c>
      <c r="AL337" s="19">
        <f t="shared" si="224"/>
        <v>0</v>
      </c>
      <c r="AM337" s="19">
        <f t="shared" si="224"/>
        <v>0</v>
      </c>
      <c r="AN337" s="19">
        <f t="shared" si="224"/>
        <v>0</v>
      </c>
      <c r="AO337" s="19">
        <f t="shared" si="224"/>
        <v>0</v>
      </c>
      <c r="AP337" s="19">
        <f t="shared" si="224"/>
        <v>0</v>
      </c>
      <c r="AQ337" s="19">
        <f t="shared" si="224"/>
        <v>0</v>
      </c>
      <c r="AR337" s="19">
        <f t="shared" si="224"/>
        <v>0</v>
      </c>
      <c r="AS337" s="19">
        <f t="shared" si="224"/>
        <v>0</v>
      </c>
      <c r="AT337" s="19">
        <f t="shared" si="224"/>
        <v>0</v>
      </c>
      <c r="AU337" s="19">
        <f t="shared" si="224"/>
        <v>0</v>
      </c>
      <c r="AV337" s="19">
        <f t="shared" si="224"/>
        <v>0</v>
      </c>
      <c r="AW337" s="19">
        <f t="shared" si="224"/>
        <v>0</v>
      </c>
      <c r="AX337" s="18">
        <f>IFERROR(Z337/'Ar-Pa'!B337,0)</f>
        <v>0</v>
      </c>
      <c r="AY337" s="18">
        <f>IFERROR(AA337/'Ar-Pa'!C337,0)</f>
        <v>0</v>
      </c>
      <c r="AZ337" s="18">
        <f>IFERROR(AB337/'Ar-Pa'!D337,0)</f>
        <v>0</v>
      </c>
      <c r="BA337" s="18">
        <f>IFERROR(AC337/'Ar-Pa'!E337,0)</f>
        <v>0</v>
      </c>
      <c r="BB337" s="18">
        <f>IFERROR(AD337/'Ar-Pa'!F337,0)</f>
        <v>0</v>
      </c>
      <c r="BC337" s="18">
        <f>IFERROR(AE337/'Ar-Pa'!G337,0)</f>
        <v>0</v>
      </c>
      <c r="BD337" s="18">
        <f>IFERROR(AF337/'Ar-Pa'!H337,0)</f>
        <v>0</v>
      </c>
      <c r="BE337" s="18">
        <f>IFERROR(AG337/'Ar-Pa'!I337,0)</f>
        <v>0</v>
      </c>
      <c r="BF337" s="18">
        <f>IFERROR(AH337/'Ar-Pa'!J337,0)</f>
        <v>0</v>
      </c>
      <c r="BG337" s="18">
        <f>IFERROR(AI337/'Ar-Pa'!K337,0)</f>
        <v>0</v>
      </c>
      <c r="BH337" s="18">
        <f>IFERROR(AJ337/'Ar-Pa'!L337,0)</f>
        <v>0</v>
      </c>
      <c r="BI337" s="18">
        <f>IFERROR(AK337/'Ar-Pa'!M337,0)</f>
        <v>0</v>
      </c>
      <c r="BJ337" s="18">
        <f>IFERROR(AL337/'Ar-Pa'!N337,0)</f>
        <v>0</v>
      </c>
      <c r="BK337" s="18">
        <f>IFERROR(AM337/'Ar-Pa'!O337,0)</f>
        <v>0</v>
      </c>
      <c r="BL337" s="18">
        <f>IFERROR(AN337/'Ar-Pa'!P337,0)</f>
        <v>0</v>
      </c>
      <c r="BM337" s="18">
        <f>IFERROR(AO337/'Ar-Pa'!Q337,0)</f>
        <v>0</v>
      </c>
      <c r="BN337" s="18">
        <f>IFERROR(AP337/'Ar-Pa'!R337,0)</f>
        <v>0</v>
      </c>
      <c r="BO337" s="18">
        <f>IFERROR(AQ337/'Ar-Pa'!S337,0)</f>
        <v>0</v>
      </c>
      <c r="BP337" s="18">
        <f>IFERROR(AR337/'Ar-Pa'!T337,0)</f>
        <v>0</v>
      </c>
      <c r="BQ337" s="18">
        <f>IFERROR(AS337/'Ar-Pa'!U337,0)</f>
        <v>0</v>
      </c>
      <c r="BR337" s="18">
        <f>IFERROR(AT337/'Ar-Pa'!V337,0)</f>
        <v>0</v>
      </c>
      <c r="BS337" s="18">
        <f>IFERROR(AU337/'Ar-Pa'!W337,0)</f>
        <v>0</v>
      </c>
      <c r="BT337" s="18">
        <f>IFERROR(AV337/'Ar-Pa'!X337,0)</f>
        <v>0</v>
      </c>
      <c r="BU337" s="18">
        <f>IFERROR(AW337/'Ar-Pa'!Y337,0)</f>
        <v>0</v>
      </c>
    </row>
    <row r="338" spans="1:73">
      <c r="A338" s="15">
        <v>45263</v>
      </c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9">
        <f t="shared" ref="Z338:Z366" si="225">+CONVERT(B338,"m^3","gal")</f>
        <v>0</v>
      </c>
      <c r="AA338" s="19">
        <f t="shared" ref="AA338:AA366" si="226">+CONVERT(C338,"m^3","gal")</f>
        <v>0</v>
      </c>
      <c r="AB338" s="19">
        <f t="shared" ref="AB338:AB366" si="227">+CONVERT(D338,"m^3","gal")</f>
        <v>0</v>
      </c>
      <c r="AC338" s="19">
        <f t="shared" ref="AC338:AC366" si="228">+CONVERT(E338,"m^3","gal")</f>
        <v>0</v>
      </c>
      <c r="AD338" s="19">
        <f t="shared" ref="AD338:AD366" si="229">+CONVERT(F338,"m^3","gal")</f>
        <v>0</v>
      </c>
      <c r="AE338" s="19">
        <f t="shared" ref="AE338:AE366" si="230">+CONVERT(G338,"m^3","gal")</f>
        <v>0</v>
      </c>
      <c r="AF338" s="19">
        <f t="shared" ref="AF338:AF366" si="231">+CONVERT(H338,"m^3","gal")</f>
        <v>0</v>
      </c>
      <c r="AG338" s="19">
        <f t="shared" ref="AG338:AG366" si="232">+CONVERT(I338,"m^3","gal")</f>
        <v>0</v>
      </c>
      <c r="AH338" s="19">
        <f t="shared" ref="AH338:AH366" si="233">+CONVERT(J338,"m^3","gal")</f>
        <v>0</v>
      </c>
      <c r="AI338" s="19">
        <f t="shared" ref="AI338:AI366" si="234">+CONVERT(K338,"m^3","gal")</f>
        <v>0</v>
      </c>
      <c r="AJ338" s="19">
        <f t="shared" ref="AJ338:AJ366" si="235">+CONVERT(L338,"m^3","gal")</f>
        <v>0</v>
      </c>
      <c r="AK338" s="19">
        <f t="shared" ref="AK338:AK366" si="236">+CONVERT(M338,"m^3","gal")</f>
        <v>0</v>
      </c>
      <c r="AL338" s="19">
        <f t="shared" ref="AL338:AL366" si="237">+CONVERT(N338,"m^3","gal")</f>
        <v>0</v>
      </c>
      <c r="AM338" s="19">
        <f t="shared" ref="AM338:AM366" si="238">+CONVERT(O338,"m^3","gal")</f>
        <v>0</v>
      </c>
      <c r="AN338" s="19">
        <f t="shared" ref="AN338:AN366" si="239">+CONVERT(P338,"m^3","gal")</f>
        <v>0</v>
      </c>
      <c r="AO338" s="19">
        <f t="shared" ref="AO338:AO366" si="240">+CONVERT(Q338,"m^3","gal")</f>
        <v>0</v>
      </c>
      <c r="AP338" s="19">
        <f t="shared" ref="AP338:AP366" si="241">+CONVERT(R338,"m^3","gal")</f>
        <v>0</v>
      </c>
      <c r="AQ338" s="19">
        <f t="shared" ref="AQ338:AQ366" si="242">+CONVERT(S338,"m^3","gal")</f>
        <v>0</v>
      </c>
      <c r="AR338" s="19">
        <f t="shared" ref="AR338:AR366" si="243">+CONVERT(T338,"m^3","gal")</f>
        <v>0</v>
      </c>
      <c r="AS338" s="19">
        <f t="shared" ref="AS338:AS366" si="244">+CONVERT(U338,"m^3","gal")</f>
        <v>0</v>
      </c>
      <c r="AT338" s="19">
        <f t="shared" ref="AT338:AT366" si="245">+CONVERT(V338,"m^3","gal")</f>
        <v>0</v>
      </c>
      <c r="AU338" s="19">
        <f t="shared" ref="AU338:AU366" si="246">+CONVERT(W338,"m^3","gal")</f>
        <v>0</v>
      </c>
      <c r="AV338" s="19">
        <f t="shared" ref="AV338:AV366" si="247">+CONVERT(X338,"m^3","gal")</f>
        <v>0</v>
      </c>
      <c r="AW338" s="19">
        <f t="shared" ref="AW338:AW366" si="248">+CONVERT(Y338,"m^3","gal")</f>
        <v>0</v>
      </c>
      <c r="AX338" s="18">
        <f>IFERROR(Z338/'Ar-Pa'!B338,0)</f>
        <v>0</v>
      </c>
      <c r="AY338" s="18">
        <f>IFERROR(AA338/'Ar-Pa'!C338,0)</f>
        <v>0</v>
      </c>
      <c r="AZ338" s="18">
        <f>IFERROR(AB338/'Ar-Pa'!D338,0)</f>
        <v>0</v>
      </c>
      <c r="BA338" s="18">
        <f>IFERROR(AC338/'Ar-Pa'!E338,0)</f>
        <v>0</v>
      </c>
      <c r="BB338" s="18">
        <f>IFERROR(AD338/'Ar-Pa'!F338,0)</f>
        <v>0</v>
      </c>
      <c r="BC338" s="18">
        <f>IFERROR(AE338/'Ar-Pa'!G338,0)</f>
        <v>0</v>
      </c>
      <c r="BD338" s="18">
        <f>IFERROR(AF338/'Ar-Pa'!H338,0)</f>
        <v>0</v>
      </c>
      <c r="BE338" s="18">
        <f>IFERROR(AG338/'Ar-Pa'!I338,0)</f>
        <v>0</v>
      </c>
      <c r="BF338" s="18">
        <f>IFERROR(AH338/'Ar-Pa'!J338,0)</f>
        <v>0</v>
      </c>
      <c r="BG338" s="18">
        <f>IFERROR(AI338/'Ar-Pa'!K338,0)</f>
        <v>0</v>
      </c>
      <c r="BH338" s="18">
        <f>IFERROR(AJ338/'Ar-Pa'!L338,0)</f>
        <v>0</v>
      </c>
      <c r="BI338" s="18">
        <f>IFERROR(AK338/'Ar-Pa'!M338,0)</f>
        <v>0</v>
      </c>
      <c r="BJ338" s="18">
        <f>IFERROR(AL338/'Ar-Pa'!N338,0)</f>
        <v>0</v>
      </c>
      <c r="BK338" s="18">
        <f>IFERROR(AM338/'Ar-Pa'!O338,0)</f>
        <v>0</v>
      </c>
      <c r="BL338" s="18">
        <f>IFERROR(AN338/'Ar-Pa'!P338,0)</f>
        <v>0</v>
      </c>
      <c r="BM338" s="18">
        <f>IFERROR(AO338/'Ar-Pa'!Q338,0)</f>
        <v>0</v>
      </c>
      <c r="BN338" s="18">
        <f>IFERROR(AP338/'Ar-Pa'!R338,0)</f>
        <v>0</v>
      </c>
      <c r="BO338" s="18">
        <f>IFERROR(AQ338/'Ar-Pa'!S338,0)</f>
        <v>0</v>
      </c>
      <c r="BP338" s="18">
        <f>IFERROR(AR338/'Ar-Pa'!T338,0)</f>
        <v>0</v>
      </c>
      <c r="BQ338" s="18">
        <f>IFERROR(AS338/'Ar-Pa'!U338,0)</f>
        <v>0</v>
      </c>
      <c r="BR338" s="18">
        <f>IFERROR(AT338/'Ar-Pa'!V338,0)</f>
        <v>0</v>
      </c>
      <c r="BS338" s="18">
        <f>IFERROR(AU338/'Ar-Pa'!W338,0)</f>
        <v>0</v>
      </c>
      <c r="BT338" s="18">
        <f>IFERROR(AV338/'Ar-Pa'!X338,0)</f>
        <v>0</v>
      </c>
      <c r="BU338" s="18">
        <f>IFERROR(AW338/'Ar-Pa'!Y338,0)</f>
        <v>0</v>
      </c>
    </row>
    <row r="339" spans="1:73">
      <c r="A339" s="15">
        <v>45264</v>
      </c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9">
        <f t="shared" si="225"/>
        <v>0</v>
      </c>
      <c r="AA339" s="19">
        <f t="shared" si="226"/>
        <v>0</v>
      </c>
      <c r="AB339" s="19">
        <f t="shared" si="227"/>
        <v>0</v>
      </c>
      <c r="AC339" s="19">
        <f t="shared" si="228"/>
        <v>0</v>
      </c>
      <c r="AD339" s="19">
        <f t="shared" si="229"/>
        <v>0</v>
      </c>
      <c r="AE339" s="19">
        <f t="shared" si="230"/>
        <v>0</v>
      </c>
      <c r="AF339" s="19">
        <f t="shared" si="231"/>
        <v>0</v>
      </c>
      <c r="AG339" s="19">
        <f t="shared" si="232"/>
        <v>0</v>
      </c>
      <c r="AH339" s="19">
        <f t="shared" si="233"/>
        <v>0</v>
      </c>
      <c r="AI339" s="19">
        <f t="shared" si="234"/>
        <v>0</v>
      </c>
      <c r="AJ339" s="19">
        <f t="shared" si="235"/>
        <v>0</v>
      </c>
      <c r="AK339" s="19">
        <f t="shared" si="236"/>
        <v>0</v>
      </c>
      <c r="AL339" s="19">
        <f t="shared" si="237"/>
        <v>0</v>
      </c>
      <c r="AM339" s="19">
        <f t="shared" si="238"/>
        <v>0</v>
      </c>
      <c r="AN339" s="19">
        <f t="shared" si="239"/>
        <v>0</v>
      </c>
      <c r="AO339" s="19">
        <f t="shared" si="240"/>
        <v>0</v>
      </c>
      <c r="AP339" s="19">
        <f t="shared" si="241"/>
        <v>0</v>
      </c>
      <c r="AQ339" s="19">
        <f t="shared" si="242"/>
        <v>0</v>
      </c>
      <c r="AR339" s="19">
        <f t="shared" si="243"/>
        <v>0</v>
      </c>
      <c r="AS339" s="19">
        <f t="shared" si="244"/>
        <v>0</v>
      </c>
      <c r="AT339" s="19">
        <f t="shared" si="245"/>
        <v>0</v>
      </c>
      <c r="AU339" s="19">
        <f t="shared" si="246"/>
        <v>0</v>
      </c>
      <c r="AV339" s="19">
        <f t="shared" si="247"/>
        <v>0</v>
      </c>
      <c r="AW339" s="19">
        <f t="shared" si="248"/>
        <v>0</v>
      </c>
      <c r="AX339" s="18">
        <f>IFERROR(Z339/'Ar-Pa'!B339,0)</f>
        <v>0</v>
      </c>
      <c r="AY339" s="18">
        <f>IFERROR(AA339/'Ar-Pa'!C339,0)</f>
        <v>0</v>
      </c>
      <c r="AZ339" s="18">
        <f>IFERROR(AB339/'Ar-Pa'!D339,0)</f>
        <v>0</v>
      </c>
      <c r="BA339" s="18">
        <f>IFERROR(AC339/'Ar-Pa'!E339,0)</f>
        <v>0</v>
      </c>
      <c r="BB339" s="18">
        <f>IFERROR(AD339/'Ar-Pa'!F339,0)</f>
        <v>0</v>
      </c>
      <c r="BC339" s="18">
        <f>IFERROR(AE339/'Ar-Pa'!G339,0)</f>
        <v>0</v>
      </c>
      <c r="BD339" s="18">
        <f>IFERROR(AF339/'Ar-Pa'!H339,0)</f>
        <v>0</v>
      </c>
      <c r="BE339" s="18">
        <f>IFERROR(AG339/'Ar-Pa'!I339,0)</f>
        <v>0</v>
      </c>
      <c r="BF339" s="18">
        <f>IFERROR(AH339/'Ar-Pa'!J339,0)</f>
        <v>0</v>
      </c>
      <c r="BG339" s="18">
        <f>IFERROR(AI339/'Ar-Pa'!K339,0)</f>
        <v>0</v>
      </c>
      <c r="BH339" s="18">
        <f>IFERROR(AJ339/'Ar-Pa'!L339,0)</f>
        <v>0</v>
      </c>
      <c r="BI339" s="18">
        <f>IFERROR(AK339/'Ar-Pa'!M339,0)</f>
        <v>0</v>
      </c>
      <c r="BJ339" s="18">
        <f>IFERROR(AL339/'Ar-Pa'!N339,0)</f>
        <v>0</v>
      </c>
      <c r="BK339" s="18">
        <f>IFERROR(AM339/'Ar-Pa'!O339,0)</f>
        <v>0</v>
      </c>
      <c r="BL339" s="18">
        <f>IFERROR(AN339/'Ar-Pa'!P339,0)</f>
        <v>0</v>
      </c>
      <c r="BM339" s="18">
        <f>IFERROR(AO339/'Ar-Pa'!Q339,0)</f>
        <v>0</v>
      </c>
      <c r="BN339" s="18">
        <f>IFERROR(AP339/'Ar-Pa'!R339,0)</f>
        <v>0</v>
      </c>
      <c r="BO339" s="18">
        <f>IFERROR(AQ339/'Ar-Pa'!S339,0)</f>
        <v>0</v>
      </c>
      <c r="BP339" s="18">
        <f>IFERROR(AR339/'Ar-Pa'!T339,0)</f>
        <v>0</v>
      </c>
      <c r="BQ339" s="18">
        <f>IFERROR(AS339/'Ar-Pa'!U339,0)</f>
        <v>0</v>
      </c>
      <c r="BR339" s="18">
        <f>IFERROR(AT339/'Ar-Pa'!V339,0)</f>
        <v>0</v>
      </c>
      <c r="BS339" s="18">
        <f>IFERROR(AU339/'Ar-Pa'!W339,0)</f>
        <v>0</v>
      </c>
      <c r="BT339" s="18">
        <f>IFERROR(AV339/'Ar-Pa'!X339,0)</f>
        <v>0</v>
      </c>
      <c r="BU339" s="18">
        <f>IFERROR(AW339/'Ar-Pa'!Y339,0)</f>
        <v>0</v>
      </c>
    </row>
    <row r="340" spans="1:73">
      <c r="A340" s="15">
        <v>45265</v>
      </c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9">
        <f t="shared" si="225"/>
        <v>0</v>
      </c>
      <c r="AA340" s="19">
        <f t="shared" si="226"/>
        <v>0</v>
      </c>
      <c r="AB340" s="19">
        <f t="shared" si="227"/>
        <v>0</v>
      </c>
      <c r="AC340" s="19">
        <f t="shared" si="228"/>
        <v>0</v>
      </c>
      <c r="AD340" s="19">
        <f t="shared" si="229"/>
        <v>0</v>
      </c>
      <c r="AE340" s="19">
        <f t="shared" si="230"/>
        <v>0</v>
      </c>
      <c r="AF340" s="19">
        <f t="shared" si="231"/>
        <v>0</v>
      </c>
      <c r="AG340" s="19">
        <f t="shared" si="232"/>
        <v>0</v>
      </c>
      <c r="AH340" s="19">
        <f t="shared" si="233"/>
        <v>0</v>
      </c>
      <c r="AI340" s="19">
        <f t="shared" si="234"/>
        <v>0</v>
      </c>
      <c r="AJ340" s="19">
        <f t="shared" si="235"/>
        <v>0</v>
      </c>
      <c r="AK340" s="19">
        <f t="shared" si="236"/>
        <v>0</v>
      </c>
      <c r="AL340" s="19">
        <f t="shared" si="237"/>
        <v>0</v>
      </c>
      <c r="AM340" s="19">
        <f t="shared" si="238"/>
        <v>0</v>
      </c>
      <c r="AN340" s="19">
        <f t="shared" si="239"/>
        <v>0</v>
      </c>
      <c r="AO340" s="19">
        <f t="shared" si="240"/>
        <v>0</v>
      </c>
      <c r="AP340" s="19">
        <f t="shared" si="241"/>
        <v>0</v>
      </c>
      <c r="AQ340" s="19">
        <f t="shared" si="242"/>
        <v>0</v>
      </c>
      <c r="AR340" s="19">
        <f t="shared" si="243"/>
        <v>0</v>
      </c>
      <c r="AS340" s="19">
        <f t="shared" si="244"/>
        <v>0</v>
      </c>
      <c r="AT340" s="19">
        <f t="shared" si="245"/>
        <v>0</v>
      </c>
      <c r="AU340" s="19">
        <f t="shared" si="246"/>
        <v>0</v>
      </c>
      <c r="AV340" s="19">
        <f t="shared" si="247"/>
        <v>0</v>
      </c>
      <c r="AW340" s="19">
        <f t="shared" si="248"/>
        <v>0</v>
      </c>
      <c r="AX340" s="18">
        <f>IFERROR(Z340/'Ar-Pa'!B340,0)</f>
        <v>0</v>
      </c>
      <c r="AY340" s="18">
        <f>IFERROR(AA340/'Ar-Pa'!C340,0)</f>
        <v>0</v>
      </c>
      <c r="AZ340" s="18">
        <f>IFERROR(AB340/'Ar-Pa'!D340,0)</f>
        <v>0</v>
      </c>
      <c r="BA340" s="18">
        <f>IFERROR(AC340/'Ar-Pa'!E340,0)</f>
        <v>0</v>
      </c>
      <c r="BB340" s="18">
        <f>IFERROR(AD340/'Ar-Pa'!F340,0)</f>
        <v>0</v>
      </c>
      <c r="BC340" s="18">
        <f>IFERROR(AE340/'Ar-Pa'!G340,0)</f>
        <v>0</v>
      </c>
      <c r="BD340" s="18">
        <f>IFERROR(AF340/'Ar-Pa'!H340,0)</f>
        <v>0</v>
      </c>
      <c r="BE340" s="18">
        <f>IFERROR(AG340/'Ar-Pa'!I340,0)</f>
        <v>0</v>
      </c>
      <c r="BF340" s="18">
        <f>IFERROR(AH340/'Ar-Pa'!J340,0)</f>
        <v>0</v>
      </c>
      <c r="BG340" s="18">
        <f>IFERROR(AI340/'Ar-Pa'!K340,0)</f>
        <v>0</v>
      </c>
      <c r="BH340" s="18">
        <f>IFERROR(AJ340/'Ar-Pa'!L340,0)</f>
        <v>0</v>
      </c>
      <c r="BI340" s="18">
        <f>IFERROR(AK340/'Ar-Pa'!M340,0)</f>
        <v>0</v>
      </c>
      <c r="BJ340" s="18">
        <f>IFERROR(AL340/'Ar-Pa'!N340,0)</f>
        <v>0</v>
      </c>
      <c r="BK340" s="18">
        <f>IFERROR(AM340/'Ar-Pa'!O340,0)</f>
        <v>0</v>
      </c>
      <c r="BL340" s="18">
        <f>IFERROR(AN340/'Ar-Pa'!P340,0)</f>
        <v>0</v>
      </c>
      <c r="BM340" s="18">
        <f>IFERROR(AO340/'Ar-Pa'!Q340,0)</f>
        <v>0</v>
      </c>
      <c r="BN340" s="18">
        <f>IFERROR(AP340/'Ar-Pa'!R340,0)</f>
        <v>0</v>
      </c>
      <c r="BO340" s="18">
        <f>IFERROR(AQ340/'Ar-Pa'!S340,0)</f>
        <v>0</v>
      </c>
      <c r="BP340" s="18">
        <f>IFERROR(AR340/'Ar-Pa'!T340,0)</f>
        <v>0</v>
      </c>
      <c r="BQ340" s="18">
        <f>IFERROR(AS340/'Ar-Pa'!U340,0)</f>
        <v>0</v>
      </c>
      <c r="BR340" s="18">
        <f>IFERROR(AT340/'Ar-Pa'!V340,0)</f>
        <v>0</v>
      </c>
      <c r="BS340" s="18">
        <f>IFERROR(AU340/'Ar-Pa'!W340,0)</f>
        <v>0</v>
      </c>
      <c r="BT340" s="18">
        <f>IFERROR(AV340/'Ar-Pa'!X340,0)</f>
        <v>0</v>
      </c>
      <c r="BU340" s="18">
        <f>IFERROR(AW340/'Ar-Pa'!Y340,0)</f>
        <v>0</v>
      </c>
    </row>
    <row r="341" spans="1:73">
      <c r="A341" s="15">
        <v>45266</v>
      </c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9">
        <f t="shared" si="225"/>
        <v>0</v>
      </c>
      <c r="AA341" s="19">
        <f t="shared" si="226"/>
        <v>0</v>
      </c>
      <c r="AB341" s="19">
        <f t="shared" si="227"/>
        <v>0</v>
      </c>
      <c r="AC341" s="19">
        <f t="shared" si="228"/>
        <v>0</v>
      </c>
      <c r="AD341" s="19">
        <f t="shared" si="229"/>
        <v>0</v>
      </c>
      <c r="AE341" s="19">
        <f t="shared" si="230"/>
        <v>0</v>
      </c>
      <c r="AF341" s="19">
        <f t="shared" si="231"/>
        <v>0</v>
      </c>
      <c r="AG341" s="19">
        <f t="shared" si="232"/>
        <v>0</v>
      </c>
      <c r="AH341" s="19">
        <f t="shared" si="233"/>
        <v>0</v>
      </c>
      <c r="AI341" s="19">
        <f t="shared" si="234"/>
        <v>0</v>
      </c>
      <c r="AJ341" s="19">
        <f t="shared" si="235"/>
        <v>0</v>
      </c>
      <c r="AK341" s="19">
        <f t="shared" si="236"/>
        <v>0</v>
      </c>
      <c r="AL341" s="19">
        <f t="shared" si="237"/>
        <v>0</v>
      </c>
      <c r="AM341" s="19">
        <f t="shared" si="238"/>
        <v>0</v>
      </c>
      <c r="AN341" s="19">
        <f t="shared" si="239"/>
        <v>0</v>
      </c>
      <c r="AO341" s="19">
        <f t="shared" si="240"/>
        <v>0</v>
      </c>
      <c r="AP341" s="19">
        <f t="shared" si="241"/>
        <v>0</v>
      </c>
      <c r="AQ341" s="19">
        <f t="shared" si="242"/>
        <v>0</v>
      </c>
      <c r="AR341" s="19">
        <f t="shared" si="243"/>
        <v>0</v>
      </c>
      <c r="AS341" s="19">
        <f t="shared" si="244"/>
        <v>0</v>
      </c>
      <c r="AT341" s="19">
        <f t="shared" si="245"/>
        <v>0</v>
      </c>
      <c r="AU341" s="19">
        <f t="shared" si="246"/>
        <v>0</v>
      </c>
      <c r="AV341" s="19">
        <f t="shared" si="247"/>
        <v>0</v>
      </c>
      <c r="AW341" s="19">
        <f t="shared" si="248"/>
        <v>0</v>
      </c>
      <c r="AX341" s="18">
        <f>IFERROR(Z341/'Ar-Pa'!B341,0)</f>
        <v>0</v>
      </c>
      <c r="AY341" s="18">
        <f>IFERROR(AA341/'Ar-Pa'!C341,0)</f>
        <v>0</v>
      </c>
      <c r="AZ341" s="18">
        <f>IFERROR(AB341/'Ar-Pa'!D341,0)</f>
        <v>0</v>
      </c>
      <c r="BA341" s="18">
        <f>IFERROR(AC341/'Ar-Pa'!E341,0)</f>
        <v>0</v>
      </c>
      <c r="BB341" s="18">
        <f>IFERROR(AD341/'Ar-Pa'!F341,0)</f>
        <v>0</v>
      </c>
      <c r="BC341" s="18">
        <f>IFERROR(AE341/'Ar-Pa'!G341,0)</f>
        <v>0</v>
      </c>
      <c r="BD341" s="18">
        <f>IFERROR(AF341/'Ar-Pa'!H341,0)</f>
        <v>0</v>
      </c>
      <c r="BE341" s="18">
        <f>IFERROR(AG341/'Ar-Pa'!I341,0)</f>
        <v>0</v>
      </c>
      <c r="BF341" s="18">
        <f>IFERROR(AH341/'Ar-Pa'!J341,0)</f>
        <v>0</v>
      </c>
      <c r="BG341" s="18">
        <f>IFERROR(AI341/'Ar-Pa'!K341,0)</f>
        <v>0</v>
      </c>
      <c r="BH341" s="18">
        <f>IFERROR(AJ341/'Ar-Pa'!L341,0)</f>
        <v>0</v>
      </c>
      <c r="BI341" s="18">
        <f>IFERROR(AK341/'Ar-Pa'!M341,0)</f>
        <v>0</v>
      </c>
      <c r="BJ341" s="18">
        <f>IFERROR(AL341/'Ar-Pa'!N341,0)</f>
        <v>0</v>
      </c>
      <c r="BK341" s="18">
        <f>IFERROR(AM341/'Ar-Pa'!O341,0)</f>
        <v>0</v>
      </c>
      <c r="BL341" s="18">
        <f>IFERROR(AN341/'Ar-Pa'!P341,0)</f>
        <v>0</v>
      </c>
      <c r="BM341" s="18">
        <f>IFERROR(AO341/'Ar-Pa'!Q341,0)</f>
        <v>0</v>
      </c>
      <c r="BN341" s="18">
        <f>IFERROR(AP341/'Ar-Pa'!R341,0)</f>
        <v>0</v>
      </c>
      <c r="BO341" s="18">
        <f>IFERROR(AQ341/'Ar-Pa'!S341,0)</f>
        <v>0</v>
      </c>
      <c r="BP341" s="18">
        <f>IFERROR(AR341/'Ar-Pa'!T341,0)</f>
        <v>0</v>
      </c>
      <c r="BQ341" s="18">
        <f>IFERROR(AS341/'Ar-Pa'!U341,0)</f>
        <v>0</v>
      </c>
      <c r="BR341" s="18">
        <f>IFERROR(AT341/'Ar-Pa'!V341,0)</f>
        <v>0</v>
      </c>
      <c r="BS341" s="18">
        <f>IFERROR(AU341/'Ar-Pa'!W341,0)</f>
        <v>0</v>
      </c>
      <c r="BT341" s="18">
        <f>IFERROR(AV341/'Ar-Pa'!X341,0)</f>
        <v>0</v>
      </c>
      <c r="BU341" s="18">
        <f>IFERROR(AW341/'Ar-Pa'!Y341,0)</f>
        <v>0</v>
      </c>
    </row>
    <row r="342" spans="1:73">
      <c r="A342" s="15">
        <v>45267</v>
      </c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9">
        <f t="shared" si="225"/>
        <v>0</v>
      </c>
      <c r="AA342" s="19">
        <f t="shared" si="226"/>
        <v>0</v>
      </c>
      <c r="AB342" s="19">
        <f t="shared" si="227"/>
        <v>0</v>
      </c>
      <c r="AC342" s="19">
        <f t="shared" si="228"/>
        <v>0</v>
      </c>
      <c r="AD342" s="19">
        <f t="shared" si="229"/>
        <v>0</v>
      </c>
      <c r="AE342" s="19">
        <f t="shared" si="230"/>
        <v>0</v>
      </c>
      <c r="AF342" s="19">
        <f t="shared" si="231"/>
        <v>0</v>
      </c>
      <c r="AG342" s="19">
        <f t="shared" si="232"/>
        <v>0</v>
      </c>
      <c r="AH342" s="19">
        <f t="shared" si="233"/>
        <v>0</v>
      </c>
      <c r="AI342" s="19">
        <f t="shared" si="234"/>
        <v>0</v>
      </c>
      <c r="AJ342" s="19">
        <f t="shared" si="235"/>
        <v>0</v>
      </c>
      <c r="AK342" s="19">
        <f t="shared" si="236"/>
        <v>0</v>
      </c>
      <c r="AL342" s="19">
        <f t="shared" si="237"/>
        <v>0</v>
      </c>
      <c r="AM342" s="19">
        <f t="shared" si="238"/>
        <v>0</v>
      </c>
      <c r="AN342" s="19">
        <f t="shared" si="239"/>
        <v>0</v>
      </c>
      <c r="AO342" s="19">
        <f t="shared" si="240"/>
        <v>0</v>
      </c>
      <c r="AP342" s="19">
        <f t="shared" si="241"/>
        <v>0</v>
      </c>
      <c r="AQ342" s="19">
        <f t="shared" si="242"/>
        <v>0</v>
      </c>
      <c r="AR342" s="19">
        <f t="shared" si="243"/>
        <v>0</v>
      </c>
      <c r="AS342" s="19">
        <f t="shared" si="244"/>
        <v>0</v>
      </c>
      <c r="AT342" s="19">
        <f t="shared" si="245"/>
        <v>0</v>
      </c>
      <c r="AU342" s="19">
        <f t="shared" si="246"/>
        <v>0</v>
      </c>
      <c r="AV342" s="19">
        <f t="shared" si="247"/>
        <v>0</v>
      </c>
      <c r="AW342" s="19">
        <f t="shared" si="248"/>
        <v>0</v>
      </c>
      <c r="AX342" s="18">
        <f>IFERROR(Z342/'Ar-Pa'!B342,0)</f>
        <v>0</v>
      </c>
      <c r="AY342" s="18">
        <f>IFERROR(AA342/'Ar-Pa'!C342,0)</f>
        <v>0</v>
      </c>
      <c r="AZ342" s="18">
        <f>IFERROR(AB342/'Ar-Pa'!D342,0)</f>
        <v>0</v>
      </c>
      <c r="BA342" s="18">
        <f>IFERROR(AC342/'Ar-Pa'!E342,0)</f>
        <v>0</v>
      </c>
      <c r="BB342" s="18">
        <f>IFERROR(AD342/'Ar-Pa'!F342,0)</f>
        <v>0</v>
      </c>
      <c r="BC342" s="18">
        <f>IFERROR(AE342/'Ar-Pa'!G342,0)</f>
        <v>0</v>
      </c>
      <c r="BD342" s="18">
        <f>IFERROR(AF342/'Ar-Pa'!H342,0)</f>
        <v>0</v>
      </c>
      <c r="BE342" s="18">
        <f>IFERROR(AG342/'Ar-Pa'!I342,0)</f>
        <v>0</v>
      </c>
      <c r="BF342" s="18">
        <f>IFERROR(AH342/'Ar-Pa'!J342,0)</f>
        <v>0</v>
      </c>
      <c r="BG342" s="18">
        <f>IFERROR(AI342/'Ar-Pa'!K342,0)</f>
        <v>0</v>
      </c>
      <c r="BH342" s="18">
        <f>IFERROR(AJ342/'Ar-Pa'!L342,0)</f>
        <v>0</v>
      </c>
      <c r="BI342" s="18">
        <f>IFERROR(AK342/'Ar-Pa'!M342,0)</f>
        <v>0</v>
      </c>
      <c r="BJ342" s="18">
        <f>IFERROR(AL342/'Ar-Pa'!N342,0)</f>
        <v>0</v>
      </c>
      <c r="BK342" s="18">
        <f>IFERROR(AM342/'Ar-Pa'!O342,0)</f>
        <v>0</v>
      </c>
      <c r="BL342" s="18">
        <f>IFERROR(AN342/'Ar-Pa'!P342,0)</f>
        <v>0</v>
      </c>
      <c r="BM342" s="18">
        <f>IFERROR(AO342/'Ar-Pa'!Q342,0)</f>
        <v>0</v>
      </c>
      <c r="BN342" s="18">
        <f>IFERROR(AP342/'Ar-Pa'!R342,0)</f>
        <v>0</v>
      </c>
      <c r="BO342" s="18">
        <f>IFERROR(AQ342/'Ar-Pa'!S342,0)</f>
        <v>0</v>
      </c>
      <c r="BP342" s="18">
        <f>IFERROR(AR342/'Ar-Pa'!T342,0)</f>
        <v>0</v>
      </c>
      <c r="BQ342" s="18">
        <f>IFERROR(AS342/'Ar-Pa'!U342,0)</f>
        <v>0</v>
      </c>
      <c r="BR342" s="18">
        <f>IFERROR(AT342/'Ar-Pa'!V342,0)</f>
        <v>0</v>
      </c>
      <c r="BS342" s="18">
        <f>IFERROR(AU342/'Ar-Pa'!W342,0)</f>
        <v>0</v>
      </c>
      <c r="BT342" s="18">
        <f>IFERROR(AV342/'Ar-Pa'!X342,0)</f>
        <v>0</v>
      </c>
      <c r="BU342" s="18">
        <f>IFERROR(AW342/'Ar-Pa'!Y342,0)</f>
        <v>0</v>
      </c>
    </row>
    <row r="343" spans="1:73">
      <c r="A343" s="15">
        <v>45268</v>
      </c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9">
        <f t="shared" si="225"/>
        <v>0</v>
      </c>
      <c r="AA343" s="19">
        <f t="shared" si="226"/>
        <v>0</v>
      </c>
      <c r="AB343" s="19">
        <f t="shared" si="227"/>
        <v>0</v>
      </c>
      <c r="AC343" s="19">
        <f t="shared" si="228"/>
        <v>0</v>
      </c>
      <c r="AD343" s="19">
        <f t="shared" si="229"/>
        <v>0</v>
      </c>
      <c r="AE343" s="19">
        <f t="shared" si="230"/>
        <v>0</v>
      </c>
      <c r="AF343" s="19">
        <f t="shared" si="231"/>
        <v>0</v>
      </c>
      <c r="AG343" s="19">
        <f t="shared" si="232"/>
        <v>0</v>
      </c>
      <c r="AH343" s="19">
        <f t="shared" si="233"/>
        <v>0</v>
      </c>
      <c r="AI343" s="19">
        <f t="shared" si="234"/>
        <v>0</v>
      </c>
      <c r="AJ343" s="19">
        <f t="shared" si="235"/>
        <v>0</v>
      </c>
      <c r="AK343" s="19">
        <f t="shared" si="236"/>
        <v>0</v>
      </c>
      <c r="AL343" s="19">
        <f t="shared" si="237"/>
        <v>0</v>
      </c>
      <c r="AM343" s="19">
        <f t="shared" si="238"/>
        <v>0</v>
      </c>
      <c r="AN343" s="19">
        <f t="shared" si="239"/>
        <v>0</v>
      </c>
      <c r="AO343" s="19">
        <f t="shared" si="240"/>
        <v>0</v>
      </c>
      <c r="AP343" s="19">
        <f t="shared" si="241"/>
        <v>0</v>
      </c>
      <c r="AQ343" s="19">
        <f t="shared" si="242"/>
        <v>0</v>
      </c>
      <c r="AR343" s="19">
        <f t="shared" si="243"/>
        <v>0</v>
      </c>
      <c r="AS343" s="19">
        <f t="shared" si="244"/>
        <v>0</v>
      </c>
      <c r="AT343" s="19">
        <f t="shared" si="245"/>
        <v>0</v>
      </c>
      <c r="AU343" s="19">
        <f t="shared" si="246"/>
        <v>0</v>
      </c>
      <c r="AV343" s="19">
        <f t="shared" si="247"/>
        <v>0</v>
      </c>
      <c r="AW343" s="19">
        <f t="shared" si="248"/>
        <v>0</v>
      </c>
      <c r="AX343" s="18">
        <f>IFERROR(Z343/'Ar-Pa'!B343,0)</f>
        <v>0</v>
      </c>
      <c r="AY343" s="18">
        <f>IFERROR(AA343/'Ar-Pa'!C343,0)</f>
        <v>0</v>
      </c>
      <c r="AZ343" s="18">
        <f>IFERROR(AB343/'Ar-Pa'!D343,0)</f>
        <v>0</v>
      </c>
      <c r="BA343" s="18">
        <f>IFERROR(AC343/'Ar-Pa'!E343,0)</f>
        <v>0</v>
      </c>
      <c r="BB343" s="18">
        <f>IFERROR(AD343/'Ar-Pa'!F343,0)</f>
        <v>0</v>
      </c>
      <c r="BC343" s="18">
        <f>IFERROR(AE343/'Ar-Pa'!G343,0)</f>
        <v>0</v>
      </c>
      <c r="BD343" s="18">
        <f>IFERROR(AF343/'Ar-Pa'!H343,0)</f>
        <v>0</v>
      </c>
      <c r="BE343" s="18">
        <f>IFERROR(AG343/'Ar-Pa'!I343,0)</f>
        <v>0</v>
      </c>
      <c r="BF343" s="18">
        <f>IFERROR(AH343/'Ar-Pa'!J343,0)</f>
        <v>0</v>
      </c>
      <c r="BG343" s="18">
        <f>IFERROR(AI343/'Ar-Pa'!K343,0)</f>
        <v>0</v>
      </c>
      <c r="BH343" s="18">
        <f>IFERROR(AJ343/'Ar-Pa'!L343,0)</f>
        <v>0</v>
      </c>
      <c r="BI343" s="18">
        <f>IFERROR(AK343/'Ar-Pa'!M343,0)</f>
        <v>0</v>
      </c>
      <c r="BJ343" s="18">
        <f>IFERROR(AL343/'Ar-Pa'!N343,0)</f>
        <v>0</v>
      </c>
      <c r="BK343" s="18">
        <f>IFERROR(AM343/'Ar-Pa'!O343,0)</f>
        <v>0</v>
      </c>
      <c r="BL343" s="18">
        <f>IFERROR(AN343/'Ar-Pa'!P343,0)</f>
        <v>0</v>
      </c>
      <c r="BM343" s="18">
        <f>IFERROR(AO343/'Ar-Pa'!Q343,0)</f>
        <v>0</v>
      </c>
      <c r="BN343" s="18">
        <f>IFERROR(AP343/'Ar-Pa'!R343,0)</f>
        <v>0</v>
      </c>
      <c r="BO343" s="18">
        <f>IFERROR(AQ343/'Ar-Pa'!S343,0)</f>
        <v>0</v>
      </c>
      <c r="BP343" s="18">
        <f>IFERROR(AR343/'Ar-Pa'!T343,0)</f>
        <v>0</v>
      </c>
      <c r="BQ343" s="18">
        <f>IFERROR(AS343/'Ar-Pa'!U343,0)</f>
        <v>0</v>
      </c>
      <c r="BR343" s="18">
        <f>IFERROR(AT343/'Ar-Pa'!V343,0)</f>
        <v>0</v>
      </c>
      <c r="BS343" s="18">
        <f>IFERROR(AU343/'Ar-Pa'!W343,0)</f>
        <v>0</v>
      </c>
      <c r="BT343" s="18">
        <f>IFERROR(AV343/'Ar-Pa'!X343,0)</f>
        <v>0</v>
      </c>
      <c r="BU343" s="18">
        <f>IFERROR(AW343/'Ar-Pa'!Y343,0)</f>
        <v>0</v>
      </c>
    </row>
    <row r="344" spans="1:73">
      <c r="A344" s="15">
        <v>45269</v>
      </c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9">
        <f t="shared" si="225"/>
        <v>0</v>
      </c>
      <c r="AA344" s="19">
        <f t="shared" si="226"/>
        <v>0</v>
      </c>
      <c r="AB344" s="19">
        <f t="shared" si="227"/>
        <v>0</v>
      </c>
      <c r="AC344" s="19">
        <f t="shared" si="228"/>
        <v>0</v>
      </c>
      <c r="AD344" s="19">
        <f t="shared" si="229"/>
        <v>0</v>
      </c>
      <c r="AE344" s="19">
        <f t="shared" si="230"/>
        <v>0</v>
      </c>
      <c r="AF344" s="19">
        <f t="shared" si="231"/>
        <v>0</v>
      </c>
      <c r="AG344" s="19">
        <f t="shared" si="232"/>
        <v>0</v>
      </c>
      <c r="AH344" s="19">
        <f t="shared" si="233"/>
        <v>0</v>
      </c>
      <c r="AI344" s="19">
        <f t="shared" si="234"/>
        <v>0</v>
      </c>
      <c r="AJ344" s="19">
        <f t="shared" si="235"/>
        <v>0</v>
      </c>
      <c r="AK344" s="19">
        <f t="shared" si="236"/>
        <v>0</v>
      </c>
      <c r="AL344" s="19">
        <f t="shared" si="237"/>
        <v>0</v>
      </c>
      <c r="AM344" s="19">
        <f t="shared" si="238"/>
        <v>0</v>
      </c>
      <c r="AN344" s="19">
        <f t="shared" si="239"/>
        <v>0</v>
      </c>
      <c r="AO344" s="19">
        <f t="shared" si="240"/>
        <v>0</v>
      </c>
      <c r="AP344" s="19">
        <f t="shared" si="241"/>
        <v>0</v>
      </c>
      <c r="AQ344" s="19">
        <f t="shared" si="242"/>
        <v>0</v>
      </c>
      <c r="AR344" s="19">
        <f t="shared" si="243"/>
        <v>0</v>
      </c>
      <c r="AS344" s="19">
        <f t="shared" si="244"/>
        <v>0</v>
      </c>
      <c r="AT344" s="19">
        <f t="shared" si="245"/>
        <v>0</v>
      </c>
      <c r="AU344" s="19">
        <f t="shared" si="246"/>
        <v>0</v>
      </c>
      <c r="AV344" s="19">
        <f t="shared" si="247"/>
        <v>0</v>
      </c>
      <c r="AW344" s="19">
        <f t="shared" si="248"/>
        <v>0</v>
      </c>
      <c r="AX344" s="18">
        <f>IFERROR(Z344/'Ar-Pa'!B344,0)</f>
        <v>0</v>
      </c>
      <c r="AY344" s="18">
        <f>IFERROR(AA344/'Ar-Pa'!C344,0)</f>
        <v>0</v>
      </c>
      <c r="AZ344" s="18">
        <f>IFERROR(AB344/'Ar-Pa'!D344,0)</f>
        <v>0</v>
      </c>
      <c r="BA344" s="18">
        <f>IFERROR(AC344/'Ar-Pa'!E344,0)</f>
        <v>0</v>
      </c>
      <c r="BB344" s="18">
        <f>IFERROR(AD344/'Ar-Pa'!F344,0)</f>
        <v>0</v>
      </c>
      <c r="BC344" s="18">
        <f>IFERROR(AE344/'Ar-Pa'!G344,0)</f>
        <v>0</v>
      </c>
      <c r="BD344" s="18">
        <f>IFERROR(AF344/'Ar-Pa'!H344,0)</f>
        <v>0</v>
      </c>
      <c r="BE344" s="18">
        <f>IFERROR(AG344/'Ar-Pa'!I344,0)</f>
        <v>0</v>
      </c>
      <c r="BF344" s="18">
        <f>IFERROR(AH344/'Ar-Pa'!J344,0)</f>
        <v>0</v>
      </c>
      <c r="BG344" s="18">
        <f>IFERROR(AI344/'Ar-Pa'!K344,0)</f>
        <v>0</v>
      </c>
      <c r="BH344" s="18">
        <f>IFERROR(AJ344/'Ar-Pa'!L344,0)</f>
        <v>0</v>
      </c>
      <c r="BI344" s="18">
        <f>IFERROR(AK344/'Ar-Pa'!M344,0)</f>
        <v>0</v>
      </c>
      <c r="BJ344" s="18">
        <f>IFERROR(AL344/'Ar-Pa'!N344,0)</f>
        <v>0</v>
      </c>
      <c r="BK344" s="18">
        <f>IFERROR(AM344/'Ar-Pa'!O344,0)</f>
        <v>0</v>
      </c>
      <c r="BL344" s="18">
        <f>IFERROR(AN344/'Ar-Pa'!P344,0)</f>
        <v>0</v>
      </c>
      <c r="BM344" s="18">
        <f>IFERROR(AO344/'Ar-Pa'!Q344,0)</f>
        <v>0</v>
      </c>
      <c r="BN344" s="18">
        <f>IFERROR(AP344/'Ar-Pa'!R344,0)</f>
        <v>0</v>
      </c>
      <c r="BO344" s="18">
        <f>IFERROR(AQ344/'Ar-Pa'!S344,0)</f>
        <v>0</v>
      </c>
      <c r="BP344" s="18">
        <f>IFERROR(AR344/'Ar-Pa'!T344,0)</f>
        <v>0</v>
      </c>
      <c r="BQ344" s="18">
        <f>IFERROR(AS344/'Ar-Pa'!U344,0)</f>
        <v>0</v>
      </c>
      <c r="BR344" s="18">
        <f>IFERROR(AT344/'Ar-Pa'!V344,0)</f>
        <v>0</v>
      </c>
      <c r="BS344" s="18">
        <f>IFERROR(AU344/'Ar-Pa'!W344,0)</f>
        <v>0</v>
      </c>
      <c r="BT344" s="18">
        <f>IFERROR(AV344/'Ar-Pa'!X344,0)</f>
        <v>0</v>
      </c>
      <c r="BU344" s="18">
        <f>IFERROR(AW344/'Ar-Pa'!Y344,0)</f>
        <v>0</v>
      </c>
    </row>
    <row r="345" spans="1:73">
      <c r="A345" s="15">
        <v>45270</v>
      </c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9">
        <f t="shared" si="225"/>
        <v>0</v>
      </c>
      <c r="AA345" s="19">
        <f t="shared" si="226"/>
        <v>0</v>
      </c>
      <c r="AB345" s="19">
        <f t="shared" si="227"/>
        <v>0</v>
      </c>
      <c r="AC345" s="19">
        <f t="shared" si="228"/>
        <v>0</v>
      </c>
      <c r="AD345" s="19">
        <f t="shared" si="229"/>
        <v>0</v>
      </c>
      <c r="AE345" s="19">
        <f t="shared" si="230"/>
        <v>0</v>
      </c>
      <c r="AF345" s="19">
        <f t="shared" si="231"/>
        <v>0</v>
      </c>
      <c r="AG345" s="19">
        <f t="shared" si="232"/>
        <v>0</v>
      </c>
      <c r="AH345" s="19">
        <f t="shared" si="233"/>
        <v>0</v>
      </c>
      <c r="AI345" s="19">
        <f t="shared" si="234"/>
        <v>0</v>
      </c>
      <c r="AJ345" s="19">
        <f t="shared" si="235"/>
        <v>0</v>
      </c>
      <c r="AK345" s="19">
        <f t="shared" si="236"/>
        <v>0</v>
      </c>
      <c r="AL345" s="19">
        <f t="shared" si="237"/>
        <v>0</v>
      </c>
      <c r="AM345" s="19">
        <f t="shared" si="238"/>
        <v>0</v>
      </c>
      <c r="AN345" s="19">
        <f t="shared" si="239"/>
        <v>0</v>
      </c>
      <c r="AO345" s="19">
        <f t="shared" si="240"/>
        <v>0</v>
      </c>
      <c r="AP345" s="19">
        <f t="shared" si="241"/>
        <v>0</v>
      </c>
      <c r="AQ345" s="19">
        <f t="shared" si="242"/>
        <v>0</v>
      </c>
      <c r="AR345" s="19">
        <f t="shared" si="243"/>
        <v>0</v>
      </c>
      <c r="AS345" s="19">
        <f t="shared" si="244"/>
        <v>0</v>
      </c>
      <c r="AT345" s="19">
        <f t="shared" si="245"/>
        <v>0</v>
      </c>
      <c r="AU345" s="19">
        <f t="shared" si="246"/>
        <v>0</v>
      </c>
      <c r="AV345" s="19">
        <f t="shared" si="247"/>
        <v>0</v>
      </c>
      <c r="AW345" s="19">
        <f t="shared" si="248"/>
        <v>0</v>
      </c>
      <c r="AX345" s="18">
        <f>IFERROR(Z345/'Ar-Pa'!B345,0)</f>
        <v>0</v>
      </c>
      <c r="AY345" s="18">
        <f>IFERROR(AA345/'Ar-Pa'!C345,0)</f>
        <v>0</v>
      </c>
      <c r="AZ345" s="18">
        <f>IFERROR(AB345/'Ar-Pa'!D345,0)</f>
        <v>0</v>
      </c>
      <c r="BA345" s="18">
        <f>IFERROR(AC345/'Ar-Pa'!E345,0)</f>
        <v>0</v>
      </c>
      <c r="BB345" s="18">
        <f>IFERROR(AD345/'Ar-Pa'!F345,0)</f>
        <v>0</v>
      </c>
      <c r="BC345" s="18">
        <f>IFERROR(AE345/'Ar-Pa'!G345,0)</f>
        <v>0</v>
      </c>
      <c r="BD345" s="18">
        <f>IFERROR(AF345/'Ar-Pa'!H345,0)</f>
        <v>0</v>
      </c>
      <c r="BE345" s="18">
        <f>IFERROR(AG345/'Ar-Pa'!I345,0)</f>
        <v>0</v>
      </c>
      <c r="BF345" s="18">
        <f>IFERROR(AH345/'Ar-Pa'!J345,0)</f>
        <v>0</v>
      </c>
      <c r="BG345" s="18">
        <f>IFERROR(AI345/'Ar-Pa'!K345,0)</f>
        <v>0</v>
      </c>
      <c r="BH345" s="18">
        <f>IFERROR(AJ345/'Ar-Pa'!L345,0)</f>
        <v>0</v>
      </c>
      <c r="BI345" s="18">
        <f>IFERROR(AK345/'Ar-Pa'!M345,0)</f>
        <v>0</v>
      </c>
      <c r="BJ345" s="18">
        <f>IFERROR(AL345/'Ar-Pa'!N345,0)</f>
        <v>0</v>
      </c>
      <c r="BK345" s="18">
        <f>IFERROR(AM345/'Ar-Pa'!O345,0)</f>
        <v>0</v>
      </c>
      <c r="BL345" s="18">
        <f>IFERROR(AN345/'Ar-Pa'!P345,0)</f>
        <v>0</v>
      </c>
      <c r="BM345" s="18">
        <f>IFERROR(AO345/'Ar-Pa'!Q345,0)</f>
        <v>0</v>
      </c>
      <c r="BN345" s="18">
        <f>IFERROR(AP345/'Ar-Pa'!R345,0)</f>
        <v>0</v>
      </c>
      <c r="BO345" s="18">
        <f>IFERROR(AQ345/'Ar-Pa'!S345,0)</f>
        <v>0</v>
      </c>
      <c r="BP345" s="18">
        <f>IFERROR(AR345/'Ar-Pa'!T345,0)</f>
        <v>0</v>
      </c>
      <c r="BQ345" s="18">
        <f>IFERROR(AS345/'Ar-Pa'!U345,0)</f>
        <v>0</v>
      </c>
      <c r="BR345" s="18">
        <f>IFERROR(AT345/'Ar-Pa'!V345,0)</f>
        <v>0</v>
      </c>
      <c r="BS345" s="18">
        <f>IFERROR(AU345/'Ar-Pa'!W345,0)</f>
        <v>0</v>
      </c>
      <c r="BT345" s="18">
        <f>IFERROR(AV345/'Ar-Pa'!X345,0)</f>
        <v>0</v>
      </c>
      <c r="BU345" s="18">
        <f>IFERROR(AW345/'Ar-Pa'!Y345,0)</f>
        <v>0</v>
      </c>
    </row>
    <row r="346" spans="1:73">
      <c r="A346" s="15">
        <v>45271</v>
      </c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9">
        <f t="shared" si="225"/>
        <v>0</v>
      </c>
      <c r="AA346" s="19">
        <f t="shared" si="226"/>
        <v>0</v>
      </c>
      <c r="AB346" s="19">
        <f t="shared" si="227"/>
        <v>0</v>
      </c>
      <c r="AC346" s="19">
        <f t="shared" si="228"/>
        <v>0</v>
      </c>
      <c r="AD346" s="19">
        <f t="shared" si="229"/>
        <v>0</v>
      </c>
      <c r="AE346" s="19">
        <f t="shared" si="230"/>
        <v>0</v>
      </c>
      <c r="AF346" s="19">
        <f t="shared" si="231"/>
        <v>0</v>
      </c>
      <c r="AG346" s="19">
        <f t="shared" si="232"/>
        <v>0</v>
      </c>
      <c r="AH346" s="19">
        <f t="shared" si="233"/>
        <v>0</v>
      </c>
      <c r="AI346" s="19">
        <f t="shared" si="234"/>
        <v>0</v>
      </c>
      <c r="AJ346" s="19">
        <f t="shared" si="235"/>
        <v>0</v>
      </c>
      <c r="AK346" s="19">
        <f t="shared" si="236"/>
        <v>0</v>
      </c>
      <c r="AL346" s="19">
        <f t="shared" si="237"/>
        <v>0</v>
      </c>
      <c r="AM346" s="19">
        <f t="shared" si="238"/>
        <v>0</v>
      </c>
      <c r="AN346" s="19">
        <f t="shared" si="239"/>
        <v>0</v>
      </c>
      <c r="AO346" s="19">
        <f t="shared" si="240"/>
        <v>0</v>
      </c>
      <c r="AP346" s="19">
        <f t="shared" si="241"/>
        <v>0</v>
      </c>
      <c r="AQ346" s="19">
        <f t="shared" si="242"/>
        <v>0</v>
      </c>
      <c r="AR346" s="19">
        <f t="shared" si="243"/>
        <v>0</v>
      </c>
      <c r="AS346" s="19">
        <f t="shared" si="244"/>
        <v>0</v>
      </c>
      <c r="AT346" s="19">
        <f t="shared" si="245"/>
        <v>0</v>
      </c>
      <c r="AU346" s="19">
        <f t="shared" si="246"/>
        <v>0</v>
      </c>
      <c r="AV346" s="19">
        <f t="shared" si="247"/>
        <v>0</v>
      </c>
      <c r="AW346" s="19">
        <f t="shared" si="248"/>
        <v>0</v>
      </c>
      <c r="AX346" s="18">
        <f>IFERROR(Z346/'Ar-Pa'!B346,0)</f>
        <v>0</v>
      </c>
      <c r="AY346" s="18">
        <f>IFERROR(AA346/'Ar-Pa'!C346,0)</f>
        <v>0</v>
      </c>
      <c r="AZ346" s="18">
        <f>IFERROR(AB346/'Ar-Pa'!D346,0)</f>
        <v>0</v>
      </c>
      <c r="BA346" s="18">
        <f>IFERROR(AC346/'Ar-Pa'!E346,0)</f>
        <v>0</v>
      </c>
      <c r="BB346" s="18">
        <f>IFERROR(AD346/'Ar-Pa'!F346,0)</f>
        <v>0</v>
      </c>
      <c r="BC346" s="18">
        <f>IFERROR(AE346/'Ar-Pa'!G346,0)</f>
        <v>0</v>
      </c>
      <c r="BD346" s="18">
        <f>IFERROR(AF346/'Ar-Pa'!H346,0)</f>
        <v>0</v>
      </c>
      <c r="BE346" s="18">
        <f>IFERROR(AG346/'Ar-Pa'!I346,0)</f>
        <v>0</v>
      </c>
      <c r="BF346" s="18">
        <f>IFERROR(AH346/'Ar-Pa'!J346,0)</f>
        <v>0</v>
      </c>
      <c r="BG346" s="18">
        <f>IFERROR(AI346/'Ar-Pa'!K346,0)</f>
        <v>0</v>
      </c>
      <c r="BH346" s="18">
        <f>IFERROR(AJ346/'Ar-Pa'!L346,0)</f>
        <v>0</v>
      </c>
      <c r="BI346" s="18">
        <f>IFERROR(AK346/'Ar-Pa'!M346,0)</f>
        <v>0</v>
      </c>
      <c r="BJ346" s="18">
        <f>IFERROR(AL346/'Ar-Pa'!N346,0)</f>
        <v>0</v>
      </c>
      <c r="BK346" s="18">
        <f>IFERROR(AM346/'Ar-Pa'!O346,0)</f>
        <v>0</v>
      </c>
      <c r="BL346" s="18">
        <f>IFERROR(AN346/'Ar-Pa'!P346,0)</f>
        <v>0</v>
      </c>
      <c r="BM346" s="18">
        <f>IFERROR(AO346/'Ar-Pa'!Q346,0)</f>
        <v>0</v>
      </c>
      <c r="BN346" s="18">
        <f>IFERROR(AP346/'Ar-Pa'!R346,0)</f>
        <v>0</v>
      </c>
      <c r="BO346" s="18">
        <f>IFERROR(AQ346/'Ar-Pa'!S346,0)</f>
        <v>0</v>
      </c>
      <c r="BP346" s="18">
        <f>IFERROR(AR346/'Ar-Pa'!T346,0)</f>
        <v>0</v>
      </c>
      <c r="BQ346" s="18">
        <f>IFERROR(AS346/'Ar-Pa'!U346,0)</f>
        <v>0</v>
      </c>
      <c r="BR346" s="18">
        <f>IFERROR(AT346/'Ar-Pa'!V346,0)</f>
        <v>0</v>
      </c>
      <c r="BS346" s="18">
        <f>IFERROR(AU346/'Ar-Pa'!W346,0)</f>
        <v>0</v>
      </c>
      <c r="BT346" s="18">
        <f>IFERROR(AV346/'Ar-Pa'!X346,0)</f>
        <v>0</v>
      </c>
      <c r="BU346" s="18">
        <f>IFERROR(AW346/'Ar-Pa'!Y346,0)</f>
        <v>0</v>
      </c>
    </row>
    <row r="347" spans="1:73">
      <c r="A347" s="15">
        <v>45272</v>
      </c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9">
        <f t="shared" si="225"/>
        <v>0</v>
      </c>
      <c r="AA347" s="19">
        <f t="shared" si="226"/>
        <v>0</v>
      </c>
      <c r="AB347" s="19">
        <f t="shared" si="227"/>
        <v>0</v>
      </c>
      <c r="AC347" s="19">
        <f t="shared" si="228"/>
        <v>0</v>
      </c>
      <c r="AD347" s="19">
        <f t="shared" si="229"/>
        <v>0</v>
      </c>
      <c r="AE347" s="19">
        <f t="shared" si="230"/>
        <v>0</v>
      </c>
      <c r="AF347" s="19">
        <f t="shared" si="231"/>
        <v>0</v>
      </c>
      <c r="AG347" s="19">
        <f t="shared" si="232"/>
        <v>0</v>
      </c>
      <c r="AH347" s="19">
        <f t="shared" si="233"/>
        <v>0</v>
      </c>
      <c r="AI347" s="19">
        <f t="shared" si="234"/>
        <v>0</v>
      </c>
      <c r="AJ347" s="19">
        <f t="shared" si="235"/>
        <v>0</v>
      </c>
      <c r="AK347" s="19">
        <f t="shared" si="236"/>
        <v>0</v>
      </c>
      <c r="AL347" s="19">
        <f t="shared" si="237"/>
        <v>0</v>
      </c>
      <c r="AM347" s="19">
        <f t="shared" si="238"/>
        <v>0</v>
      </c>
      <c r="AN347" s="19">
        <f t="shared" si="239"/>
        <v>0</v>
      </c>
      <c r="AO347" s="19">
        <f t="shared" si="240"/>
        <v>0</v>
      </c>
      <c r="AP347" s="19">
        <f t="shared" si="241"/>
        <v>0</v>
      </c>
      <c r="AQ347" s="19">
        <f t="shared" si="242"/>
        <v>0</v>
      </c>
      <c r="AR347" s="19">
        <f t="shared" si="243"/>
        <v>0</v>
      </c>
      <c r="AS347" s="19">
        <f t="shared" si="244"/>
        <v>0</v>
      </c>
      <c r="AT347" s="19">
        <f t="shared" si="245"/>
        <v>0</v>
      </c>
      <c r="AU347" s="19">
        <f t="shared" si="246"/>
        <v>0</v>
      </c>
      <c r="AV347" s="19">
        <f t="shared" si="247"/>
        <v>0</v>
      </c>
      <c r="AW347" s="19">
        <f t="shared" si="248"/>
        <v>0</v>
      </c>
      <c r="AX347" s="18">
        <f>IFERROR(Z347/'Ar-Pa'!B347,0)</f>
        <v>0</v>
      </c>
      <c r="AY347" s="18">
        <f>IFERROR(AA347/'Ar-Pa'!C347,0)</f>
        <v>0</v>
      </c>
      <c r="AZ347" s="18">
        <f>IFERROR(AB347/'Ar-Pa'!D347,0)</f>
        <v>0</v>
      </c>
      <c r="BA347" s="18">
        <f>IFERROR(AC347/'Ar-Pa'!E347,0)</f>
        <v>0</v>
      </c>
      <c r="BB347" s="18">
        <f>IFERROR(AD347/'Ar-Pa'!F347,0)</f>
        <v>0</v>
      </c>
      <c r="BC347" s="18">
        <f>IFERROR(AE347/'Ar-Pa'!G347,0)</f>
        <v>0</v>
      </c>
      <c r="BD347" s="18">
        <f>IFERROR(AF347/'Ar-Pa'!H347,0)</f>
        <v>0</v>
      </c>
      <c r="BE347" s="18">
        <f>IFERROR(AG347/'Ar-Pa'!I347,0)</f>
        <v>0</v>
      </c>
      <c r="BF347" s="18">
        <f>IFERROR(AH347/'Ar-Pa'!J347,0)</f>
        <v>0</v>
      </c>
      <c r="BG347" s="18">
        <f>IFERROR(AI347/'Ar-Pa'!K347,0)</f>
        <v>0</v>
      </c>
      <c r="BH347" s="18">
        <f>IFERROR(AJ347/'Ar-Pa'!L347,0)</f>
        <v>0</v>
      </c>
      <c r="BI347" s="18">
        <f>IFERROR(AK347/'Ar-Pa'!M347,0)</f>
        <v>0</v>
      </c>
      <c r="BJ347" s="18">
        <f>IFERROR(AL347/'Ar-Pa'!N347,0)</f>
        <v>0</v>
      </c>
      <c r="BK347" s="18">
        <f>IFERROR(AM347/'Ar-Pa'!O347,0)</f>
        <v>0</v>
      </c>
      <c r="BL347" s="18">
        <f>IFERROR(AN347/'Ar-Pa'!P347,0)</f>
        <v>0</v>
      </c>
      <c r="BM347" s="18">
        <f>IFERROR(AO347/'Ar-Pa'!Q347,0)</f>
        <v>0</v>
      </c>
      <c r="BN347" s="18">
        <f>IFERROR(AP347/'Ar-Pa'!R347,0)</f>
        <v>0</v>
      </c>
      <c r="BO347" s="18">
        <f>IFERROR(AQ347/'Ar-Pa'!S347,0)</f>
        <v>0</v>
      </c>
      <c r="BP347" s="18">
        <f>IFERROR(AR347/'Ar-Pa'!T347,0)</f>
        <v>0</v>
      </c>
      <c r="BQ347" s="18">
        <f>IFERROR(AS347/'Ar-Pa'!U347,0)</f>
        <v>0</v>
      </c>
      <c r="BR347" s="18">
        <f>IFERROR(AT347/'Ar-Pa'!V347,0)</f>
        <v>0</v>
      </c>
      <c r="BS347" s="18">
        <f>IFERROR(AU347/'Ar-Pa'!W347,0)</f>
        <v>0</v>
      </c>
      <c r="BT347" s="18">
        <f>IFERROR(AV347/'Ar-Pa'!X347,0)</f>
        <v>0</v>
      </c>
      <c r="BU347" s="18">
        <f>IFERROR(AW347/'Ar-Pa'!Y347,0)</f>
        <v>0</v>
      </c>
    </row>
    <row r="348" spans="1:73">
      <c r="A348" s="15">
        <v>45273</v>
      </c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9">
        <f t="shared" si="225"/>
        <v>0</v>
      </c>
      <c r="AA348" s="19">
        <f t="shared" si="226"/>
        <v>0</v>
      </c>
      <c r="AB348" s="19">
        <f t="shared" si="227"/>
        <v>0</v>
      </c>
      <c r="AC348" s="19">
        <f t="shared" si="228"/>
        <v>0</v>
      </c>
      <c r="AD348" s="19">
        <f t="shared" si="229"/>
        <v>0</v>
      </c>
      <c r="AE348" s="19">
        <f t="shared" si="230"/>
        <v>0</v>
      </c>
      <c r="AF348" s="19">
        <f t="shared" si="231"/>
        <v>0</v>
      </c>
      <c r="AG348" s="19">
        <f t="shared" si="232"/>
        <v>0</v>
      </c>
      <c r="AH348" s="19">
        <f t="shared" si="233"/>
        <v>0</v>
      </c>
      <c r="AI348" s="19">
        <f t="shared" si="234"/>
        <v>0</v>
      </c>
      <c r="AJ348" s="19">
        <f t="shared" si="235"/>
        <v>0</v>
      </c>
      <c r="AK348" s="19">
        <f t="shared" si="236"/>
        <v>0</v>
      </c>
      <c r="AL348" s="19">
        <f t="shared" si="237"/>
        <v>0</v>
      </c>
      <c r="AM348" s="19">
        <f t="shared" si="238"/>
        <v>0</v>
      </c>
      <c r="AN348" s="19">
        <f t="shared" si="239"/>
        <v>0</v>
      </c>
      <c r="AO348" s="19">
        <f t="shared" si="240"/>
        <v>0</v>
      </c>
      <c r="AP348" s="19">
        <f t="shared" si="241"/>
        <v>0</v>
      </c>
      <c r="AQ348" s="19">
        <f t="shared" si="242"/>
        <v>0</v>
      </c>
      <c r="AR348" s="19">
        <f t="shared" si="243"/>
        <v>0</v>
      </c>
      <c r="AS348" s="19">
        <f t="shared" si="244"/>
        <v>0</v>
      </c>
      <c r="AT348" s="19">
        <f t="shared" si="245"/>
        <v>0</v>
      </c>
      <c r="AU348" s="19">
        <f t="shared" si="246"/>
        <v>0</v>
      </c>
      <c r="AV348" s="19">
        <f t="shared" si="247"/>
        <v>0</v>
      </c>
      <c r="AW348" s="19">
        <f t="shared" si="248"/>
        <v>0</v>
      </c>
      <c r="AX348" s="18">
        <f>IFERROR(Z348/'Ar-Pa'!B348,0)</f>
        <v>0</v>
      </c>
      <c r="AY348" s="18">
        <f>IFERROR(AA348/'Ar-Pa'!C348,0)</f>
        <v>0</v>
      </c>
      <c r="AZ348" s="18">
        <f>IFERROR(AB348/'Ar-Pa'!D348,0)</f>
        <v>0</v>
      </c>
      <c r="BA348" s="18">
        <f>IFERROR(AC348/'Ar-Pa'!E348,0)</f>
        <v>0</v>
      </c>
      <c r="BB348" s="18">
        <f>IFERROR(AD348/'Ar-Pa'!F348,0)</f>
        <v>0</v>
      </c>
      <c r="BC348" s="18">
        <f>IFERROR(AE348/'Ar-Pa'!G348,0)</f>
        <v>0</v>
      </c>
      <c r="BD348" s="18">
        <f>IFERROR(AF348/'Ar-Pa'!H348,0)</f>
        <v>0</v>
      </c>
      <c r="BE348" s="18">
        <f>IFERROR(AG348/'Ar-Pa'!I348,0)</f>
        <v>0</v>
      </c>
      <c r="BF348" s="18">
        <f>IFERROR(AH348/'Ar-Pa'!J348,0)</f>
        <v>0</v>
      </c>
      <c r="BG348" s="18">
        <f>IFERROR(AI348/'Ar-Pa'!K348,0)</f>
        <v>0</v>
      </c>
      <c r="BH348" s="18">
        <f>IFERROR(AJ348/'Ar-Pa'!L348,0)</f>
        <v>0</v>
      </c>
      <c r="BI348" s="18">
        <f>IFERROR(AK348/'Ar-Pa'!M348,0)</f>
        <v>0</v>
      </c>
      <c r="BJ348" s="18">
        <f>IFERROR(AL348/'Ar-Pa'!N348,0)</f>
        <v>0</v>
      </c>
      <c r="BK348" s="18">
        <f>IFERROR(AM348/'Ar-Pa'!O348,0)</f>
        <v>0</v>
      </c>
      <c r="BL348" s="18">
        <f>IFERROR(AN348/'Ar-Pa'!P348,0)</f>
        <v>0</v>
      </c>
      <c r="BM348" s="18">
        <f>IFERROR(AO348/'Ar-Pa'!Q348,0)</f>
        <v>0</v>
      </c>
      <c r="BN348" s="18">
        <f>IFERROR(AP348/'Ar-Pa'!R348,0)</f>
        <v>0</v>
      </c>
      <c r="BO348" s="18">
        <f>IFERROR(AQ348/'Ar-Pa'!S348,0)</f>
        <v>0</v>
      </c>
      <c r="BP348" s="18">
        <f>IFERROR(AR348/'Ar-Pa'!T348,0)</f>
        <v>0</v>
      </c>
      <c r="BQ348" s="18">
        <f>IFERROR(AS348/'Ar-Pa'!U348,0)</f>
        <v>0</v>
      </c>
      <c r="BR348" s="18">
        <f>IFERROR(AT348/'Ar-Pa'!V348,0)</f>
        <v>0</v>
      </c>
      <c r="BS348" s="18">
        <f>IFERROR(AU348/'Ar-Pa'!W348,0)</f>
        <v>0</v>
      </c>
      <c r="BT348" s="18">
        <f>IFERROR(AV348/'Ar-Pa'!X348,0)</f>
        <v>0</v>
      </c>
      <c r="BU348" s="18">
        <f>IFERROR(AW348/'Ar-Pa'!Y348,0)</f>
        <v>0</v>
      </c>
    </row>
    <row r="349" spans="1:73">
      <c r="A349" s="15">
        <v>45274</v>
      </c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9">
        <f t="shared" si="225"/>
        <v>0</v>
      </c>
      <c r="AA349" s="19">
        <f t="shared" si="226"/>
        <v>0</v>
      </c>
      <c r="AB349" s="19">
        <f t="shared" si="227"/>
        <v>0</v>
      </c>
      <c r="AC349" s="19">
        <f t="shared" si="228"/>
        <v>0</v>
      </c>
      <c r="AD349" s="19">
        <f t="shared" si="229"/>
        <v>0</v>
      </c>
      <c r="AE349" s="19">
        <f t="shared" si="230"/>
        <v>0</v>
      </c>
      <c r="AF349" s="19">
        <f t="shared" si="231"/>
        <v>0</v>
      </c>
      <c r="AG349" s="19">
        <f t="shared" si="232"/>
        <v>0</v>
      </c>
      <c r="AH349" s="19">
        <f t="shared" si="233"/>
        <v>0</v>
      </c>
      <c r="AI349" s="19">
        <f t="shared" si="234"/>
        <v>0</v>
      </c>
      <c r="AJ349" s="19">
        <f t="shared" si="235"/>
        <v>0</v>
      </c>
      <c r="AK349" s="19">
        <f t="shared" si="236"/>
        <v>0</v>
      </c>
      <c r="AL349" s="19">
        <f t="shared" si="237"/>
        <v>0</v>
      </c>
      <c r="AM349" s="19">
        <f t="shared" si="238"/>
        <v>0</v>
      </c>
      <c r="AN349" s="19">
        <f t="shared" si="239"/>
        <v>0</v>
      </c>
      <c r="AO349" s="19">
        <f t="shared" si="240"/>
        <v>0</v>
      </c>
      <c r="AP349" s="19">
        <f t="shared" si="241"/>
        <v>0</v>
      </c>
      <c r="AQ349" s="19">
        <f t="shared" si="242"/>
        <v>0</v>
      </c>
      <c r="AR349" s="19">
        <f t="shared" si="243"/>
        <v>0</v>
      </c>
      <c r="AS349" s="19">
        <f t="shared" si="244"/>
        <v>0</v>
      </c>
      <c r="AT349" s="19">
        <f t="shared" si="245"/>
        <v>0</v>
      </c>
      <c r="AU349" s="19">
        <f t="shared" si="246"/>
        <v>0</v>
      </c>
      <c r="AV349" s="19">
        <f t="shared" si="247"/>
        <v>0</v>
      </c>
      <c r="AW349" s="19">
        <f t="shared" si="248"/>
        <v>0</v>
      </c>
      <c r="AX349" s="18">
        <f>IFERROR(Z349/'Ar-Pa'!B349,0)</f>
        <v>0</v>
      </c>
      <c r="AY349" s="18">
        <f>IFERROR(AA349/'Ar-Pa'!C349,0)</f>
        <v>0</v>
      </c>
      <c r="AZ349" s="18">
        <f>IFERROR(AB349/'Ar-Pa'!D349,0)</f>
        <v>0</v>
      </c>
      <c r="BA349" s="18">
        <f>IFERROR(AC349/'Ar-Pa'!E349,0)</f>
        <v>0</v>
      </c>
      <c r="BB349" s="18">
        <f>IFERROR(AD349/'Ar-Pa'!F349,0)</f>
        <v>0</v>
      </c>
      <c r="BC349" s="18">
        <f>IFERROR(AE349/'Ar-Pa'!G349,0)</f>
        <v>0</v>
      </c>
      <c r="BD349" s="18">
        <f>IFERROR(AF349/'Ar-Pa'!H349,0)</f>
        <v>0</v>
      </c>
      <c r="BE349" s="18">
        <f>IFERROR(AG349/'Ar-Pa'!I349,0)</f>
        <v>0</v>
      </c>
      <c r="BF349" s="18">
        <f>IFERROR(AH349/'Ar-Pa'!J349,0)</f>
        <v>0</v>
      </c>
      <c r="BG349" s="18">
        <f>IFERROR(AI349/'Ar-Pa'!K349,0)</f>
        <v>0</v>
      </c>
      <c r="BH349" s="18">
        <f>IFERROR(AJ349/'Ar-Pa'!L349,0)</f>
        <v>0</v>
      </c>
      <c r="BI349" s="18">
        <f>IFERROR(AK349/'Ar-Pa'!M349,0)</f>
        <v>0</v>
      </c>
      <c r="BJ349" s="18">
        <f>IFERROR(AL349/'Ar-Pa'!N349,0)</f>
        <v>0</v>
      </c>
      <c r="BK349" s="18">
        <f>IFERROR(AM349/'Ar-Pa'!O349,0)</f>
        <v>0</v>
      </c>
      <c r="BL349" s="18">
        <f>IFERROR(AN349/'Ar-Pa'!P349,0)</f>
        <v>0</v>
      </c>
      <c r="BM349" s="18">
        <f>IFERROR(AO349/'Ar-Pa'!Q349,0)</f>
        <v>0</v>
      </c>
      <c r="BN349" s="18">
        <f>IFERROR(AP349/'Ar-Pa'!R349,0)</f>
        <v>0</v>
      </c>
      <c r="BO349" s="18">
        <f>IFERROR(AQ349/'Ar-Pa'!S349,0)</f>
        <v>0</v>
      </c>
      <c r="BP349" s="18">
        <f>IFERROR(AR349/'Ar-Pa'!T349,0)</f>
        <v>0</v>
      </c>
      <c r="BQ349" s="18">
        <f>IFERROR(AS349/'Ar-Pa'!U349,0)</f>
        <v>0</v>
      </c>
      <c r="BR349" s="18">
        <f>IFERROR(AT349/'Ar-Pa'!V349,0)</f>
        <v>0</v>
      </c>
      <c r="BS349" s="18">
        <f>IFERROR(AU349/'Ar-Pa'!W349,0)</f>
        <v>0</v>
      </c>
      <c r="BT349" s="18">
        <f>IFERROR(AV349/'Ar-Pa'!X349,0)</f>
        <v>0</v>
      </c>
      <c r="BU349" s="18">
        <f>IFERROR(AW349/'Ar-Pa'!Y349,0)</f>
        <v>0</v>
      </c>
    </row>
    <row r="350" spans="1:73">
      <c r="A350" s="15">
        <v>45275</v>
      </c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9">
        <f t="shared" si="225"/>
        <v>0</v>
      </c>
      <c r="AA350" s="19">
        <f t="shared" si="226"/>
        <v>0</v>
      </c>
      <c r="AB350" s="19">
        <f t="shared" si="227"/>
        <v>0</v>
      </c>
      <c r="AC350" s="19">
        <f t="shared" si="228"/>
        <v>0</v>
      </c>
      <c r="AD350" s="19">
        <f t="shared" si="229"/>
        <v>0</v>
      </c>
      <c r="AE350" s="19">
        <f t="shared" si="230"/>
        <v>0</v>
      </c>
      <c r="AF350" s="19">
        <f t="shared" si="231"/>
        <v>0</v>
      </c>
      <c r="AG350" s="19">
        <f t="shared" si="232"/>
        <v>0</v>
      </c>
      <c r="AH350" s="19">
        <f t="shared" si="233"/>
        <v>0</v>
      </c>
      <c r="AI350" s="19">
        <f t="shared" si="234"/>
        <v>0</v>
      </c>
      <c r="AJ350" s="19">
        <f t="shared" si="235"/>
        <v>0</v>
      </c>
      <c r="AK350" s="19">
        <f t="shared" si="236"/>
        <v>0</v>
      </c>
      <c r="AL350" s="19">
        <f t="shared" si="237"/>
        <v>0</v>
      </c>
      <c r="AM350" s="19">
        <f t="shared" si="238"/>
        <v>0</v>
      </c>
      <c r="AN350" s="19">
        <f t="shared" si="239"/>
        <v>0</v>
      </c>
      <c r="AO350" s="19">
        <f t="shared" si="240"/>
        <v>0</v>
      </c>
      <c r="AP350" s="19">
        <f t="shared" si="241"/>
        <v>0</v>
      </c>
      <c r="AQ350" s="19">
        <f t="shared" si="242"/>
        <v>0</v>
      </c>
      <c r="AR350" s="19">
        <f t="shared" si="243"/>
        <v>0</v>
      </c>
      <c r="AS350" s="19">
        <f t="shared" si="244"/>
        <v>0</v>
      </c>
      <c r="AT350" s="19">
        <f t="shared" si="245"/>
        <v>0</v>
      </c>
      <c r="AU350" s="19">
        <f t="shared" si="246"/>
        <v>0</v>
      </c>
      <c r="AV350" s="19">
        <f t="shared" si="247"/>
        <v>0</v>
      </c>
      <c r="AW350" s="19">
        <f t="shared" si="248"/>
        <v>0</v>
      </c>
      <c r="AX350" s="18">
        <f>IFERROR(Z350/'Ar-Pa'!B350,0)</f>
        <v>0</v>
      </c>
      <c r="AY350" s="18">
        <f>IFERROR(AA350/'Ar-Pa'!C350,0)</f>
        <v>0</v>
      </c>
      <c r="AZ350" s="18">
        <f>IFERROR(AB350/'Ar-Pa'!D350,0)</f>
        <v>0</v>
      </c>
      <c r="BA350" s="18">
        <f>IFERROR(AC350/'Ar-Pa'!E350,0)</f>
        <v>0</v>
      </c>
      <c r="BB350" s="18">
        <f>IFERROR(AD350/'Ar-Pa'!F350,0)</f>
        <v>0</v>
      </c>
      <c r="BC350" s="18">
        <f>IFERROR(AE350/'Ar-Pa'!G350,0)</f>
        <v>0</v>
      </c>
      <c r="BD350" s="18">
        <f>IFERROR(AF350/'Ar-Pa'!H350,0)</f>
        <v>0</v>
      </c>
      <c r="BE350" s="18">
        <f>IFERROR(AG350/'Ar-Pa'!I350,0)</f>
        <v>0</v>
      </c>
      <c r="BF350" s="18">
        <f>IFERROR(AH350/'Ar-Pa'!J350,0)</f>
        <v>0</v>
      </c>
      <c r="BG350" s="18">
        <f>IFERROR(AI350/'Ar-Pa'!K350,0)</f>
        <v>0</v>
      </c>
      <c r="BH350" s="18">
        <f>IFERROR(AJ350/'Ar-Pa'!L350,0)</f>
        <v>0</v>
      </c>
      <c r="BI350" s="18">
        <f>IFERROR(AK350/'Ar-Pa'!M350,0)</f>
        <v>0</v>
      </c>
      <c r="BJ350" s="18">
        <f>IFERROR(AL350/'Ar-Pa'!N350,0)</f>
        <v>0</v>
      </c>
      <c r="BK350" s="18">
        <f>IFERROR(AM350/'Ar-Pa'!O350,0)</f>
        <v>0</v>
      </c>
      <c r="BL350" s="18">
        <f>IFERROR(AN350/'Ar-Pa'!P350,0)</f>
        <v>0</v>
      </c>
      <c r="BM350" s="18">
        <f>IFERROR(AO350/'Ar-Pa'!Q350,0)</f>
        <v>0</v>
      </c>
      <c r="BN350" s="18">
        <f>IFERROR(AP350/'Ar-Pa'!R350,0)</f>
        <v>0</v>
      </c>
      <c r="BO350" s="18">
        <f>IFERROR(AQ350/'Ar-Pa'!S350,0)</f>
        <v>0</v>
      </c>
      <c r="BP350" s="18">
        <f>IFERROR(AR350/'Ar-Pa'!T350,0)</f>
        <v>0</v>
      </c>
      <c r="BQ350" s="18">
        <f>IFERROR(AS350/'Ar-Pa'!U350,0)</f>
        <v>0</v>
      </c>
      <c r="BR350" s="18">
        <f>IFERROR(AT350/'Ar-Pa'!V350,0)</f>
        <v>0</v>
      </c>
      <c r="BS350" s="18">
        <f>IFERROR(AU350/'Ar-Pa'!W350,0)</f>
        <v>0</v>
      </c>
      <c r="BT350" s="18">
        <f>IFERROR(AV350/'Ar-Pa'!X350,0)</f>
        <v>0</v>
      </c>
      <c r="BU350" s="18">
        <f>IFERROR(AW350/'Ar-Pa'!Y350,0)</f>
        <v>0</v>
      </c>
    </row>
    <row r="351" spans="1:73">
      <c r="A351" s="15">
        <v>45276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9">
        <f t="shared" si="225"/>
        <v>0</v>
      </c>
      <c r="AA351" s="19">
        <f t="shared" si="226"/>
        <v>0</v>
      </c>
      <c r="AB351" s="19">
        <f t="shared" si="227"/>
        <v>0</v>
      </c>
      <c r="AC351" s="19">
        <f t="shared" si="228"/>
        <v>0</v>
      </c>
      <c r="AD351" s="19">
        <f t="shared" si="229"/>
        <v>0</v>
      </c>
      <c r="AE351" s="19">
        <f t="shared" si="230"/>
        <v>0</v>
      </c>
      <c r="AF351" s="19">
        <f t="shared" si="231"/>
        <v>0</v>
      </c>
      <c r="AG351" s="19">
        <f t="shared" si="232"/>
        <v>0</v>
      </c>
      <c r="AH351" s="19">
        <f t="shared" si="233"/>
        <v>0</v>
      </c>
      <c r="AI351" s="19">
        <f t="shared" si="234"/>
        <v>0</v>
      </c>
      <c r="AJ351" s="19">
        <f t="shared" si="235"/>
        <v>0</v>
      </c>
      <c r="AK351" s="19">
        <f t="shared" si="236"/>
        <v>0</v>
      </c>
      <c r="AL351" s="19">
        <f t="shared" si="237"/>
        <v>0</v>
      </c>
      <c r="AM351" s="19">
        <f t="shared" si="238"/>
        <v>0</v>
      </c>
      <c r="AN351" s="19">
        <f t="shared" si="239"/>
        <v>0</v>
      </c>
      <c r="AO351" s="19">
        <f t="shared" si="240"/>
        <v>0</v>
      </c>
      <c r="AP351" s="19">
        <f t="shared" si="241"/>
        <v>0</v>
      </c>
      <c r="AQ351" s="19">
        <f t="shared" si="242"/>
        <v>0</v>
      </c>
      <c r="AR351" s="19">
        <f t="shared" si="243"/>
        <v>0</v>
      </c>
      <c r="AS351" s="19">
        <f t="shared" si="244"/>
        <v>0</v>
      </c>
      <c r="AT351" s="19">
        <f t="shared" si="245"/>
        <v>0</v>
      </c>
      <c r="AU351" s="19">
        <f t="shared" si="246"/>
        <v>0</v>
      </c>
      <c r="AV351" s="19">
        <f t="shared" si="247"/>
        <v>0</v>
      </c>
      <c r="AW351" s="19">
        <f t="shared" si="248"/>
        <v>0</v>
      </c>
      <c r="AX351" s="18">
        <f>IFERROR(Z351/'Ar-Pa'!B351,0)</f>
        <v>0</v>
      </c>
      <c r="AY351" s="18">
        <f>IFERROR(AA351/'Ar-Pa'!C351,0)</f>
        <v>0</v>
      </c>
      <c r="AZ351" s="18">
        <f>IFERROR(AB351/'Ar-Pa'!D351,0)</f>
        <v>0</v>
      </c>
      <c r="BA351" s="18">
        <f>IFERROR(AC351/'Ar-Pa'!E351,0)</f>
        <v>0</v>
      </c>
      <c r="BB351" s="18">
        <f>IFERROR(AD351/'Ar-Pa'!F351,0)</f>
        <v>0</v>
      </c>
      <c r="BC351" s="18">
        <f>IFERROR(AE351/'Ar-Pa'!G351,0)</f>
        <v>0</v>
      </c>
      <c r="BD351" s="18">
        <f>IFERROR(AF351/'Ar-Pa'!H351,0)</f>
        <v>0</v>
      </c>
      <c r="BE351" s="18">
        <f>IFERROR(AG351/'Ar-Pa'!I351,0)</f>
        <v>0</v>
      </c>
      <c r="BF351" s="18">
        <f>IFERROR(AH351/'Ar-Pa'!J351,0)</f>
        <v>0</v>
      </c>
      <c r="BG351" s="18">
        <f>IFERROR(AI351/'Ar-Pa'!K351,0)</f>
        <v>0</v>
      </c>
      <c r="BH351" s="18">
        <f>IFERROR(AJ351/'Ar-Pa'!L351,0)</f>
        <v>0</v>
      </c>
      <c r="BI351" s="18">
        <f>IFERROR(AK351/'Ar-Pa'!M351,0)</f>
        <v>0</v>
      </c>
      <c r="BJ351" s="18">
        <f>IFERROR(AL351/'Ar-Pa'!N351,0)</f>
        <v>0</v>
      </c>
      <c r="BK351" s="18">
        <f>IFERROR(AM351/'Ar-Pa'!O351,0)</f>
        <v>0</v>
      </c>
      <c r="BL351" s="18">
        <f>IFERROR(AN351/'Ar-Pa'!P351,0)</f>
        <v>0</v>
      </c>
      <c r="BM351" s="18">
        <f>IFERROR(AO351/'Ar-Pa'!Q351,0)</f>
        <v>0</v>
      </c>
      <c r="BN351" s="18">
        <f>IFERROR(AP351/'Ar-Pa'!R351,0)</f>
        <v>0</v>
      </c>
      <c r="BO351" s="18">
        <f>IFERROR(AQ351/'Ar-Pa'!S351,0)</f>
        <v>0</v>
      </c>
      <c r="BP351" s="18">
        <f>IFERROR(AR351/'Ar-Pa'!T351,0)</f>
        <v>0</v>
      </c>
      <c r="BQ351" s="18">
        <f>IFERROR(AS351/'Ar-Pa'!U351,0)</f>
        <v>0</v>
      </c>
      <c r="BR351" s="18">
        <f>IFERROR(AT351/'Ar-Pa'!V351,0)</f>
        <v>0</v>
      </c>
      <c r="BS351" s="18">
        <f>IFERROR(AU351/'Ar-Pa'!W351,0)</f>
        <v>0</v>
      </c>
      <c r="BT351" s="18">
        <f>IFERROR(AV351/'Ar-Pa'!X351,0)</f>
        <v>0</v>
      </c>
      <c r="BU351" s="18">
        <f>IFERROR(AW351/'Ar-Pa'!Y351,0)</f>
        <v>0</v>
      </c>
    </row>
    <row r="352" spans="1:73">
      <c r="A352" s="15">
        <v>45277</v>
      </c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9">
        <f t="shared" si="225"/>
        <v>0</v>
      </c>
      <c r="AA352" s="19">
        <f t="shared" si="226"/>
        <v>0</v>
      </c>
      <c r="AB352" s="19">
        <f t="shared" si="227"/>
        <v>0</v>
      </c>
      <c r="AC352" s="19">
        <f t="shared" si="228"/>
        <v>0</v>
      </c>
      <c r="AD352" s="19">
        <f t="shared" si="229"/>
        <v>0</v>
      </c>
      <c r="AE352" s="19">
        <f t="shared" si="230"/>
        <v>0</v>
      </c>
      <c r="AF352" s="19">
        <f t="shared" si="231"/>
        <v>0</v>
      </c>
      <c r="AG352" s="19">
        <f t="shared" si="232"/>
        <v>0</v>
      </c>
      <c r="AH352" s="19">
        <f t="shared" si="233"/>
        <v>0</v>
      </c>
      <c r="AI352" s="19">
        <f t="shared" si="234"/>
        <v>0</v>
      </c>
      <c r="AJ352" s="19">
        <f t="shared" si="235"/>
        <v>0</v>
      </c>
      <c r="AK352" s="19">
        <f t="shared" si="236"/>
        <v>0</v>
      </c>
      <c r="AL352" s="19">
        <f t="shared" si="237"/>
        <v>0</v>
      </c>
      <c r="AM352" s="19">
        <f t="shared" si="238"/>
        <v>0</v>
      </c>
      <c r="AN352" s="19">
        <f t="shared" si="239"/>
        <v>0</v>
      </c>
      <c r="AO352" s="19">
        <f t="shared" si="240"/>
        <v>0</v>
      </c>
      <c r="AP352" s="19">
        <f t="shared" si="241"/>
        <v>0</v>
      </c>
      <c r="AQ352" s="19">
        <f t="shared" si="242"/>
        <v>0</v>
      </c>
      <c r="AR352" s="19">
        <f t="shared" si="243"/>
        <v>0</v>
      </c>
      <c r="AS352" s="19">
        <f t="shared" si="244"/>
        <v>0</v>
      </c>
      <c r="AT352" s="19">
        <f t="shared" si="245"/>
        <v>0</v>
      </c>
      <c r="AU352" s="19">
        <f t="shared" si="246"/>
        <v>0</v>
      </c>
      <c r="AV352" s="19">
        <f t="shared" si="247"/>
        <v>0</v>
      </c>
      <c r="AW352" s="19">
        <f t="shared" si="248"/>
        <v>0</v>
      </c>
      <c r="AX352" s="18">
        <f>IFERROR(Z352/'Ar-Pa'!B352,0)</f>
        <v>0</v>
      </c>
      <c r="AY352" s="18">
        <f>IFERROR(AA352/'Ar-Pa'!C352,0)</f>
        <v>0</v>
      </c>
      <c r="AZ352" s="18">
        <f>IFERROR(AB352/'Ar-Pa'!D352,0)</f>
        <v>0</v>
      </c>
      <c r="BA352" s="18">
        <f>IFERROR(AC352/'Ar-Pa'!E352,0)</f>
        <v>0</v>
      </c>
      <c r="BB352" s="18">
        <f>IFERROR(AD352/'Ar-Pa'!F352,0)</f>
        <v>0</v>
      </c>
      <c r="BC352" s="18">
        <f>IFERROR(AE352/'Ar-Pa'!G352,0)</f>
        <v>0</v>
      </c>
      <c r="BD352" s="18">
        <f>IFERROR(AF352/'Ar-Pa'!H352,0)</f>
        <v>0</v>
      </c>
      <c r="BE352" s="18">
        <f>IFERROR(AG352/'Ar-Pa'!I352,0)</f>
        <v>0</v>
      </c>
      <c r="BF352" s="18">
        <f>IFERROR(AH352/'Ar-Pa'!J352,0)</f>
        <v>0</v>
      </c>
      <c r="BG352" s="18">
        <f>IFERROR(AI352/'Ar-Pa'!K352,0)</f>
        <v>0</v>
      </c>
      <c r="BH352" s="18">
        <f>IFERROR(AJ352/'Ar-Pa'!L352,0)</f>
        <v>0</v>
      </c>
      <c r="BI352" s="18">
        <f>IFERROR(AK352/'Ar-Pa'!M352,0)</f>
        <v>0</v>
      </c>
      <c r="BJ352" s="18">
        <f>IFERROR(AL352/'Ar-Pa'!N352,0)</f>
        <v>0</v>
      </c>
      <c r="BK352" s="18">
        <f>IFERROR(AM352/'Ar-Pa'!O352,0)</f>
        <v>0</v>
      </c>
      <c r="BL352" s="18">
        <f>IFERROR(AN352/'Ar-Pa'!P352,0)</f>
        <v>0</v>
      </c>
      <c r="BM352" s="18">
        <f>IFERROR(AO352/'Ar-Pa'!Q352,0)</f>
        <v>0</v>
      </c>
      <c r="BN352" s="18">
        <f>IFERROR(AP352/'Ar-Pa'!R352,0)</f>
        <v>0</v>
      </c>
      <c r="BO352" s="18">
        <f>IFERROR(AQ352/'Ar-Pa'!S352,0)</f>
        <v>0</v>
      </c>
      <c r="BP352" s="18">
        <f>IFERROR(AR352/'Ar-Pa'!T352,0)</f>
        <v>0</v>
      </c>
      <c r="BQ352" s="18">
        <f>IFERROR(AS352/'Ar-Pa'!U352,0)</f>
        <v>0</v>
      </c>
      <c r="BR352" s="18">
        <f>IFERROR(AT352/'Ar-Pa'!V352,0)</f>
        <v>0</v>
      </c>
      <c r="BS352" s="18">
        <f>IFERROR(AU352/'Ar-Pa'!W352,0)</f>
        <v>0</v>
      </c>
      <c r="BT352" s="18">
        <f>IFERROR(AV352/'Ar-Pa'!X352,0)</f>
        <v>0</v>
      </c>
      <c r="BU352" s="18">
        <f>IFERROR(AW352/'Ar-Pa'!Y352,0)</f>
        <v>0</v>
      </c>
    </row>
    <row r="353" spans="1:73">
      <c r="A353" s="15">
        <v>45278</v>
      </c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9">
        <f t="shared" si="225"/>
        <v>0</v>
      </c>
      <c r="AA353" s="19">
        <f t="shared" si="226"/>
        <v>0</v>
      </c>
      <c r="AB353" s="19">
        <f t="shared" si="227"/>
        <v>0</v>
      </c>
      <c r="AC353" s="19">
        <f t="shared" si="228"/>
        <v>0</v>
      </c>
      <c r="AD353" s="19">
        <f t="shared" si="229"/>
        <v>0</v>
      </c>
      <c r="AE353" s="19">
        <f t="shared" si="230"/>
        <v>0</v>
      </c>
      <c r="AF353" s="19">
        <f t="shared" si="231"/>
        <v>0</v>
      </c>
      <c r="AG353" s="19">
        <f t="shared" si="232"/>
        <v>0</v>
      </c>
      <c r="AH353" s="19">
        <f t="shared" si="233"/>
        <v>0</v>
      </c>
      <c r="AI353" s="19">
        <f t="shared" si="234"/>
        <v>0</v>
      </c>
      <c r="AJ353" s="19">
        <f t="shared" si="235"/>
        <v>0</v>
      </c>
      <c r="AK353" s="19">
        <f t="shared" si="236"/>
        <v>0</v>
      </c>
      <c r="AL353" s="19">
        <f t="shared" si="237"/>
        <v>0</v>
      </c>
      <c r="AM353" s="19">
        <f t="shared" si="238"/>
        <v>0</v>
      </c>
      <c r="AN353" s="19">
        <f t="shared" si="239"/>
        <v>0</v>
      </c>
      <c r="AO353" s="19">
        <f t="shared" si="240"/>
        <v>0</v>
      </c>
      <c r="AP353" s="19">
        <f t="shared" si="241"/>
        <v>0</v>
      </c>
      <c r="AQ353" s="19">
        <f t="shared" si="242"/>
        <v>0</v>
      </c>
      <c r="AR353" s="19">
        <f t="shared" si="243"/>
        <v>0</v>
      </c>
      <c r="AS353" s="19">
        <f t="shared" si="244"/>
        <v>0</v>
      </c>
      <c r="AT353" s="19">
        <f t="shared" si="245"/>
        <v>0</v>
      </c>
      <c r="AU353" s="19">
        <f t="shared" si="246"/>
        <v>0</v>
      </c>
      <c r="AV353" s="19">
        <f t="shared" si="247"/>
        <v>0</v>
      </c>
      <c r="AW353" s="19">
        <f t="shared" si="248"/>
        <v>0</v>
      </c>
      <c r="AX353" s="18">
        <f>IFERROR(Z353/'Ar-Pa'!B353,0)</f>
        <v>0</v>
      </c>
      <c r="AY353" s="18">
        <f>IFERROR(AA353/'Ar-Pa'!C353,0)</f>
        <v>0</v>
      </c>
      <c r="AZ353" s="18">
        <f>IFERROR(AB353/'Ar-Pa'!D353,0)</f>
        <v>0</v>
      </c>
      <c r="BA353" s="18">
        <f>IFERROR(AC353/'Ar-Pa'!E353,0)</f>
        <v>0</v>
      </c>
      <c r="BB353" s="18">
        <f>IFERROR(AD353/'Ar-Pa'!F353,0)</f>
        <v>0</v>
      </c>
      <c r="BC353" s="18">
        <f>IFERROR(AE353/'Ar-Pa'!G353,0)</f>
        <v>0</v>
      </c>
      <c r="BD353" s="18">
        <f>IFERROR(AF353/'Ar-Pa'!H353,0)</f>
        <v>0</v>
      </c>
      <c r="BE353" s="18">
        <f>IFERROR(AG353/'Ar-Pa'!I353,0)</f>
        <v>0</v>
      </c>
      <c r="BF353" s="18">
        <f>IFERROR(AH353/'Ar-Pa'!J353,0)</f>
        <v>0</v>
      </c>
      <c r="BG353" s="18">
        <f>IFERROR(AI353/'Ar-Pa'!K353,0)</f>
        <v>0</v>
      </c>
      <c r="BH353" s="18">
        <f>IFERROR(AJ353/'Ar-Pa'!L353,0)</f>
        <v>0</v>
      </c>
      <c r="BI353" s="18">
        <f>IFERROR(AK353/'Ar-Pa'!M353,0)</f>
        <v>0</v>
      </c>
      <c r="BJ353" s="18">
        <f>IFERROR(AL353/'Ar-Pa'!N353,0)</f>
        <v>0</v>
      </c>
      <c r="BK353" s="18">
        <f>IFERROR(AM353/'Ar-Pa'!O353,0)</f>
        <v>0</v>
      </c>
      <c r="BL353" s="18">
        <f>IFERROR(AN353/'Ar-Pa'!P353,0)</f>
        <v>0</v>
      </c>
      <c r="BM353" s="18">
        <f>IFERROR(AO353/'Ar-Pa'!Q353,0)</f>
        <v>0</v>
      </c>
      <c r="BN353" s="18">
        <f>IFERROR(AP353/'Ar-Pa'!R353,0)</f>
        <v>0</v>
      </c>
      <c r="BO353" s="18">
        <f>IFERROR(AQ353/'Ar-Pa'!S353,0)</f>
        <v>0</v>
      </c>
      <c r="BP353" s="18">
        <f>IFERROR(AR353/'Ar-Pa'!T353,0)</f>
        <v>0</v>
      </c>
      <c r="BQ353" s="18">
        <f>IFERROR(AS353/'Ar-Pa'!U353,0)</f>
        <v>0</v>
      </c>
      <c r="BR353" s="18">
        <f>IFERROR(AT353/'Ar-Pa'!V353,0)</f>
        <v>0</v>
      </c>
      <c r="BS353" s="18">
        <f>IFERROR(AU353/'Ar-Pa'!W353,0)</f>
        <v>0</v>
      </c>
      <c r="BT353" s="18">
        <f>IFERROR(AV353/'Ar-Pa'!X353,0)</f>
        <v>0</v>
      </c>
      <c r="BU353" s="18">
        <f>IFERROR(AW353/'Ar-Pa'!Y353,0)</f>
        <v>0</v>
      </c>
    </row>
    <row r="354" spans="1:73">
      <c r="A354" s="15">
        <v>45279</v>
      </c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9">
        <f t="shared" si="225"/>
        <v>0</v>
      </c>
      <c r="AA354" s="19">
        <f t="shared" si="226"/>
        <v>0</v>
      </c>
      <c r="AB354" s="19">
        <f t="shared" si="227"/>
        <v>0</v>
      </c>
      <c r="AC354" s="19">
        <f t="shared" si="228"/>
        <v>0</v>
      </c>
      <c r="AD354" s="19">
        <f t="shared" si="229"/>
        <v>0</v>
      </c>
      <c r="AE354" s="19">
        <f t="shared" si="230"/>
        <v>0</v>
      </c>
      <c r="AF354" s="19">
        <f t="shared" si="231"/>
        <v>0</v>
      </c>
      <c r="AG354" s="19">
        <f t="shared" si="232"/>
        <v>0</v>
      </c>
      <c r="AH354" s="19">
        <f t="shared" si="233"/>
        <v>0</v>
      </c>
      <c r="AI354" s="19">
        <f t="shared" si="234"/>
        <v>0</v>
      </c>
      <c r="AJ354" s="19">
        <f t="shared" si="235"/>
        <v>0</v>
      </c>
      <c r="AK354" s="19">
        <f t="shared" si="236"/>
        <v>0</v>
      </c>
      <c r="AL354" s="19">
        <f t="shared" si="237"/>
        <v>0</v>
      </c>
      <c r="AM354" s="19">
        <f t="shared" si="238"/>
        <v>0</v>
      </c>
      <c r="AN354" s="19">
        <f t="shared" si="239"/>
        <v>0</v>
      </c>
      <c r="AO354" s="19">
        <f t="shared" si="240"/>
        <v>0</v>
      </c>
      <c r="AP354" s="19">
        <f t="shared" si="241"/>
        <v>0</v>
      </c>
      <c r="AQ354" s="19">
        <f t="shared" si="242"/>
        <v>0</v>
      </c>
      <c r="AR354" s="19">
        <f t="shared" si="243"/>
        <v>0</v>
      </c>
      <c r="AS354" s="19">
        <f t="shared" si="244"/>
        <v>0</v>
      </c>
      <c r="AT354" s="19">
        <f t="shared" si="245"/>
        <v>0</v>
      </c>
      <c r="AU354" s="19">
        <f t="shared" si="246"/>
        <v>0</v>
      </c>
      <c r="AV354" s="19">
        <f t="shared" si="247"/>
        <v>0</v>
      </c>
      <c r="AW354" s="19">
        <f t="shared" si="248"/>
        <v>0</v>
      </c>
      <c r="AX354" s="18">
        <f>IFERROR(Z354/'Ar-Pa'!B354,0)</f>
        <v>0</v>
      </c>
      <c r="AY354" s="18">
        <f>IFERROR(AA354/'Ar-Pa'!C354,0)</f>
        <v>0</v>
      </c>
      <c r="AZ354" s="18">
        <f>IFERROR(AB354/'Ar-Pa'!D354,0)</f>
        <v>0</v>
      </c>
      <c r="BA354" s="18">
        <f>IFERROR(AC354/'Ar-Pa'!E354,0)</f>
        <v>0</v>
      </c>
      <c r="BB354" s="18">
        <f>IFERROR(AD354/'Ar-Pa'!F354,0)</f>
        <v>0</v>
      </c>
      <c r="BC354" s="18">
        <f>IFERROR(AE354/'Ar-Pa'!G354,0)</f>
        <v>0</v>
      </c>
      <c r="BD354" s="18">
        <f>IFERROR(AF354/'Ar-Pa'!H354,0)</f>
        <v>0</v>
      </c>
      <c r="BE354" s="18">
        <f>IFERROR(AG354/'Ar-Pa'!I354,0)</f>
        <v>0</v>
      </c>
      <c r="BF354" s="18">
        <f>IFERROR(AH354/'Ar-Pa'!J354,0)</f>
        <v>0</v>
      </c>
      <c r="BG354" s="18">
        <f>IFERROR(AI354/'Ar-Pa'!K354,0)</f>
        <v>0</v>
      </c>
      <c r="BH354" s="18">
        <f>IFERROR(AJ354/'Ar-Pa'!L354,0)</f>
        <v>0</v>
      </c>
      <c r="BI354" s="18">
        <f>IFERROR(AK354/'Ar-Pa'!M354,0)</f>
        <v>0</v>
      </c>
      <c r="BJ354" s="18">
        <f>IFERROR(AL354/'Ar-Pa'!N354,0)</f>
        <v>0</v>
      </c>
      <c r="BK354" s="18">
        <f>IFERROR(AM354/'Ar-Pa'!O354,0)</f>
        <v>0</v>
      </c>
      <c r="BL354" s="18">
        <f>IFERROR(AN354/'Ar-Pa'!P354,0)</f>
        <v>0</v>
      </c>
      <c r="BM354" s="18">
        <f>IFERROR(AO354/'Ar-Pa'!Q354,0)</f>
        <v>0</v>
      </c>
      <c r="BN354" s="18">
        <f>IFERROR(AP354/'Ar-Pa'!R354,0)</f>
        <v>0</v>
      </c>
      <c r="BO354" s="18">
        <f>IFERROR(AQ354/'Ar-Pa'!S354,0)</f>
        <v>0</v>
      </c>
      <c r="BP354" s="18">
        <f>IFERROR(AR354/'Ar-Pa'!T354,0)</f>
        <v>0</v>
      </c>
      <c r="BQ354" s="18">
        <f>IFERROR(AS354/'Ar-Pa'!U354,0)</f>
        <v>0</v>
      </c>
      <c r="BR354" s="18">
        <f>IFERROR(AT354/'Ar-Pa'!V354,0)</f>
        <v>0</v>
      </c>
      <c r="BS354" s="18">
        <f>IFERROR(AU354/'Ar-Pa'!W354,0)</f>
        <v>0</v>
      </c>
      <c r="BT354" s="18">
        <f>IFERROR(AV354/'Ar-Pa'!X354,0)</f>
        <v>0</v>
      </c>
      <c r="BU354" s="18">
        <f>IFERROR(AW354/'Ar-Pa'!Y354,0)</f>
        <v>0</v>
      </c>
    </row>
    <row r="355" spans="1:73">
      <c r="A355" s="15">
        <v>45280</v>
      </c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9">
        <f t="shared" si="225"/>
        <v>0</v>
      </c>
      <c r="AA355" s="19">
        <f t="shared" si="226"/>
        <v>0</v>
      </c>
      <c r="AB355" s="19">
        <f t="shared" si="227"/>
        <v>0</v>
      </c>
      <c r="AC355" s="19">
        <f t="shared" si="228"/>
        <v>0</v>
      </c>
      <c r="AD355" s="19">
        <f t="shared" si="229"/>
        <v>0</v>
      </c>
      <c r="AE355" s="19">
        <f t="shared" si="230"/>
        <v>0</v>
      </c>
      <c r="AF355" s="19">
        <f t="shared" si="231"/>
        <v>0</v>
      </c>
      <c r="AG355" s="19">
        <f t="shared" si="232"/>
        <v>0</v>
      </c>
      <c r="AH355" s="19">
        <f t="shared" si="233"/>
        <v>0</v>
      </c>
      <c r="AI355" s="19">
        <f t="shared" si="234"/>
        <v>0</v>
      </c>
      <c r="AJ355" s="19">
        <f t="shared" si="235"/>
        <v>0</v>
      </c>
      <c r="AK355" s="19">
        <f t="shared" si="236"/>
        <v>0</v>
      </c>
      <c r="AL355" s="19">
        <f t="shared" si="237"/>
        <v>0</v>
      </c>
      <c r="AM355" s="19">
        <f t="shared" si="238"/>
        <v>0</v>
      </c>
      <c r="AN355" s="19">
        <f t="shared" si="239"/>
        <v>0</v>
      </c>
      <c r="AO355" s="19">
        <f t="shared" si="240"/>
        <v>0</v>
      </c>
      <c r="AP355" s="19">
        <f t="shared" si="241"/>
        <v>0</v>
      </c>
      <c r="AQ355" s="19">
        <f t="shared" si="242"/>
        <v>0</v>
      </c>
      <c r="AR355" s="19">
        <f t="shared" si="243"/>
        <v>0</v>
      </c>
      <c r="AS355" s="19">
        <f t="shared" si="244"/>
        <v>0</v>
      </c>
      <c r="AT355" s="19">
        <f t="shared" si="245"/>
        <v>0</v>
      </c>
      <c r="AU355" s="19">
        <f t="shared" si="246"/>
        <v>0</v>
      </c>
      <c r="AV355" s="19">
        <f t="shared" si="247"/>
        <v>0</v>
      </c>
      <c r="AW355" s="19">
        <f t="shared" si="248"/>
        <v>0</v>
      </c>
      <c r="AX355" s="18">
        <f>IFERROR(Z355/'Ar-Pa'!B355,0)</f>
        <v>0</v>
      </c>
      <c r="AY355" s="18">
        <f>IFERROR(AA355/'Ar-Pa'!C355,0)</f>
        <v>0</v>
      </c>
      <c r="AZ355" s="18">
        <f>IFERROR(AB355/'Ar-Pa'!D355,0)</f>
        <v>0</v>
      </c>
      <c r="BA355" s="18">
        <f>IFERROR(AC355/'Ar-Pa'!E355,0)</f>
        <v>0</v>
      </c>
      <c r="BB355" s="18">
        <f>IFERROR(AD355/'Ar-Pa'!F355,0)</f>
        <v>0</v>
      </c>
      <c r="BC355" s="18">
        <f>IFERROR(AE355/'Ar-Pa'!G355,0)</f>
        <v>0</v>
      </c>
      <c r="BD355" s="18">
        <f>IFERROR(AF355/'Ar-Pa'!H355,0)</f>
        <v>0</v>
      </c>
      <c r="BE355" s="18">
        <f>IFERROR(AG355/'Ar-Pa'!I355,0)</f>
        <v>0</v>
      </c>
      <c r="BF355" s="18">
        <f>IFERROR(AH355/'Ar-Pa'!J355,0)</f>
        <v>0</v>
      </c>
      <c r="BG355" s="18">
        <f>IFERROR(AI355/'Ar-Pa'!K355,0)</f>
        <v>0</v>
      </c>
      <c r="BH355" s="18">
        <f>IFERROR(AJ355/'Ar-Pa'!L355,0)</f>
        <v>0</v>
      </c>
      <c r="BI355" s="18">
        <f>IFERROR(AK355/'Ar-Pa'!M355,0)</f>
        <v>0</v>
      </c>
      <c r="BJ355" s="18">
        <f>IFERROR(AL355/'Ar-Pa'!N355,0)</f>
        <v>0</v>
      </c>
      <c r="BK355" s="18">
        <f>IFERROR(AM355/'Ar-Pa'!O355,0)</f>
        <v>0</v>
      </c>
      <c r="BL355" s="18">
        <f>IFERROR(AN355/'Ar-Pa'!P355,0)</f>
        <v>0</v>
      </c>
      <c r="BM355" s="18">
        <f>IFERROR(AO355/'Ar-Pa'!Q355,0)</f>
        <v>0</v>
      </c>
      <c r="BN355" s="18">
        <f>IFERROR(AP355/'Ar-Pa'!R355,0)</f>
        <v>0</v>
      </c>
      <c r="BO355" s="18">
        <f>IFERROR(AQ355/'Ar-Pa'!S355,0)</f>
        <v>0</v>
      </c>
      <c r="BP355" s="18">
        <f>IFERROR(AR355/'Ar-Pa'!T355,0)</f>
        <v>0</v>
      </c>
      <c r="BQ355" s="18">
        <f>IFERROR(AS355/'Ar-Pa'!U355,0)</f>
        <v>0</v>
      </c>
      <c r="BR355" s="18">
        <f>IFERROR(AT355/'Ar-Pa'!V355,0)</f>
        <v>0</v>
      </c>
      <c r="BS355" s="18">
        <f>IFERROR(AU355/'Ar-Pa'!W355,0)</f>
        <v>0</v>
      </c>
      <c r="BT355" s="18">
        <f>IFERROR(AV355/'Ar-Pa'!X355,0)</f>
        <v>0</v>
      </c>
      <c r="BU355" s="18">
        <f>IFERROR(AW355/'Ar-Pa'!Y355,0)</f>
        <v>0</v>
      </c>
    </row>
    <row r="356" spans="1:73">
      <c r="A356" s="15">
        <v>45281</v>
      </c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9">
        <f t="shared" si="225"/>
        <v>0</v>
      </c>
      <c r="AA356" s="19">
        <f t="shared" si="226"/>
        <v>0</v>
      </c>
      <c r="AB356" s="19">
        <f t="shared" si="227"/>
        <v>0</v>
      </c>
      <c r="AC356" s="19">
        <f t="shared" si="228"/>
        <v>0</v>
      </c>
      <c r="AD356" s="19">
        <f t="shared" si="229"/>
        <v>0</v>
      </c>
      <c r="AE356" s="19">
        <f t="shared" si="230"/>
        <v>0</v>
      </c>
      <c r="AF356" s="19">
        <f t="shared" si="231"/>
        <v>0</v>
      </c>
      <c r="AG356" s="19">
        <f t="shared" si="232"/>
        <v>0</v>
      </c>
      <c r="AH356" s="19">
        <f t="shared" si="233"/>
        <v>0</v>
      </c>
      <c r="AI356" s="19">
        <f t="shared" si="234"/>
        <v>0</v>
      </c>
      <c r="AJ356" s="19">
        <f t="shared" si="235"/>
        <v>0</v>
      </c>
      <c r="AK356" s="19">
        <f t="shared" si="236"/>
        <v>0</v>
      </c>
      <c r="AL356" s="19">
        <f t="shared" si="237"/>
        <v>0</v>
      </c>
      <c r="AM356" s="19">
        <f t="shared" si="238"/>
        <v>0</v>
      </c>
      <c r="AN356" s="19">
        <f t="shared" si="239"/>
        <v>0</v>
      </c>
      <c r="AO356" s="19">
        <f t="shared" si="240"/>
        <v>0</v>
      </c>
      <c r="AP356" s="19">
        <f t="shared" si="241"/>
        <v>0</v>
      </c>
      <c r="AQ356" s="19">
        <f t="shared" si="242"/>
        <v>0</v>
      </c>
      <c r="AR356" s="19">
        <f t="shared" si="243"/>
        <v>0</v>
      </c>
      <c r="AS356" s="19">
        <f t="shared" si="244"/>
        <v>0</v>
      </c>
      <c r="AT356" s="19">
        <f t="shared" si="245"/>
        <v>0</v>
      </c>
      <c r="AU356" s="19">
        <f t="shared" si="246"/>
        <v>0</v>
      </c>
      <c r="AV356" s="19">
        <f t="shared" si="247"/>
        <v>0</v>
      </c>
      <c r="AW356" s="19">
        <f t="shared" si="248"/>
        <v>0</v>
      </c>
      <c r="AX356" s="18">
        <f>IFERROR(Z356/'Ar-Pa'!B356,0)</f>
        <v>0</v>
      </c>
      <c r="AY356" s="18">
        <f>IFERROR(AA356/'Ar-Pa'!C356,0)</f>
        <v>0</v>
      </c>
      <c r="AZ356" s="18">
        <f>IFERROR(AB356/'Ar-Pa'!D356,0)</f>
        <v>0</v>
      </c>
      <c r="BA356" s="18">
        <f>IFERROR(AC356/'Ar-Pa'!E356,0)</f>
        <v>0</v>
      </c>
      <c r="BB356" s="18">
        <f>IFERROR(AD356/'Ar-Pa'!F356,0)</f>
        <v>0</v>
      </c>
      <c r="BC356" s="18">
        <f>IFERROR(AE356/'Ar-Pa'!G356,0)</f>
        <v>0</v>
      </c>
      <c r="BD356" s="18">
        <f>IFERROR(AF356/'Ar-Pa'!H356,0)</f>
        <v>0</v>
      </c>
      <c r="BE356" s="18">
        <f>IFERROR(AG356/'Ar-Pa'!I356,0)</f>
        <v>0</v>
      </c>
      <c r="BF356" s="18">
        <f>IFERROR(AH356/'Ar-Pa'!J356,0)</f>
        <v>0</v>
      </c>
      <c r="BG356" s="18">
        <f>IFERROR(AI356/'Ar-Pa'!K356,0)</f>
        <v>0</v>
      </c>
      <c r="BH356" s="18">
        <f>IFERROR(AJ356/'Ar-Pa'!L356,0)</f>
        <v>0</v>
      </c>
      <c r="BI356" s="18">
        <f>IFERROR(AK356/'Ar-Pa'!M356,0)</f>
        <v>0</v>
      </c>
      <c r="BJ356" s="18">
        <f>IFERROR(AL356/'Ar-Pa'!N356,0)</f>
        <v>0</v>
      </c>
      <c r="BK356" s="18">
        <f>IFERROR(AM356/'Ar-Pa'!O356,0)</f>
        <v>0</v>
      </c>
      <c r="BL356" s="18">
        <f>IFERROR(AN356/'Ar-Pa'!P356,0)</f>
        <v>0</v>
      </c>
      <c r="BM356" s="18">
        <f>IFERROR(AO356/'Ar-Pa'!Q356,0)</f>
        <v>0</v>
      </c>
      <c r="BN356" s="18">
        <f>IFERROR(AP356/'Ar-Pa'!R356,0)</f>
        <v>0</v>
      </c>
      <c r="BO356" s="18">
        <f>IFERROR(AQ356/'Ar-Pa'!S356,0)</f>
        <v>0</v>
      </c>
      <c r="BP356" s="18">
        <f>IFERROR(AR356/'Ar-Pa'!T356,0)</f>
        <v>0</v>
      </c>
      <c r="BQ356" s="18">
        <f>IFERROR(AS356/'Ar-Pa'!U356,0)</f>
        <v>0</v>
      </c>
      <c r="BR356" s="18">
        <f>IFERROR(AT356/'Ar-Pa'!V356,0)</f>
        <v>0</v>
      </c>
      <c r="BS356" s="18">
        <f>IFERROR(AU356/'Ar-Pa'!W356,0)</f>
        <v>0</v>
      </c>
      <c r="BT356" s="18">
        <f>IFERROR(AV356/'Ar-Pa'!X356,0)</f>
        <v>0</v>
      </c>
      <c r="BU356" s="18">
        <f>IFERROR(AW356/'Ar-Pa'!Y356,0)</f>
        <v>0</v>
      </c>
    </row>
    <row r="357" spans="1:73">
      <c r="A357" s="15">
        <v>45282</v>
      </c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9">
        <f t="shared" si="225"/>
        <v>0</v>
      </c>
      <c r="AA357" s="19">
        <f t="shared" si="226"/>
        <v>0</v>
      </c>
      <c r="AB357" s="19">
        <f t="shared" si="227"/>
        <v>0</v>
      </c>
      <c r="AC357" s="19">
        <f t="shared" si="228"/>
        <v>0</v>
      </c>
      <c r="AD357" s="19">
        <f t="shared" si="229"/>
        <v>0</v>
      </c>
      <c r="AE357" s="19">
        <f t="shared" si="230"/>
        <v>0</v>
      </c>
      <c r="AF357" s="19">
        <f t="shared" si="231"/>
        <v>0</v>
      </c>
      <c r="AG357" s="19">
        <f t="shared" si="232"/>
        <v>0</v>
      </c>
      <c r="AH357" s="19">
        <f t="shared" si="233"/>
        <v>0</v>
      </c>
      <c r="AI357" s="19">
        <f t="shared" si="234"/>
        <v>0</v>
      </c>
      <c r="AJ357" s="19">
        <f t="shared" si="235"/>
        <v>0</v>
      </c>
      <c r="AK357" s="19">
        <f t="shared" si="236"/>
        <v>0</v>
      </c>
      <c r="AL357" s="19">
        <f t="shared" si="237"/>
        <v>0</v>
      </c>
      <c r="AM357" s="19">
        <f t="shared" si="238"/>
        <v>0</v>
      </c>
      <c r="AN357" s="19">
        <f t="shared" si="239"/>
        <v>0</v>
      </c>
      <c r="AO357" s="19">
        <f t="shared" si="240"/>
        <v>0</v>
      </c>
      <c r="AP357" s="19">
        <f t="shared" si="241"/>
        <v>0</v>
      </c>
      <c r="AQ357" s="19">
        <f t="shared" si="242"/>
        <v>0</v>
      </c>
      <c r="AR357" s="19">
        <f t="shared" si="243"/>
        <v>0</v>
      </c>
      <c r="AS357" s="19">
        <f t="shared" si="244"/>
        <v>0</v>
      </c>
      <c r="AT357" s="19">
        <f t="shared" si="245"/>
        <v>0</v>
      </c>
      <c r="AU357" s="19">
        <f t="shared" si="246"/>
        <v>0</v>
      </c>
      <c r="AV357" s="19">
        <f t="shared" si="247"/>
        <v>0</v>
      </c>
      <c r="AW357" s="19">
        <f t="shared" si="248"/>
        <v>0</v>
      </c>
      <c r="AX357" s="18">
        <f>IFERROR(Z357/'Ar-Pa'!B357,0)</f>
        <v>0</v>
      </c>
      <c r="AY357" s="18">
        <f>IFERROR(AA357/'Ar-Pa'!C357,0)</f>
        <v>0</v>
      </c>
      <c r="AZ357" s="18">
        <f>IFERROR(AB357/'Ar-Pa'!D357,0)</f>
        <v>0</v>
      </c>
      <c r="BA357" s="18">
        <f>IFERROR(AC357/'Ar-Pa'!E357,0)</f>
        <v>0</v>
      </c>
      <c r="BB357" s="18">
        <f>IFERROR(AD357/'Ar-Pa'!F357,0)</f>
        <v>0</v>
      </c>
      <c r="BC357" s="18">
        <f>IFERROR(AE357/'Ar-Pa'!G357,0)</f>
        <v>0</v>
      </c>
      <c r="BD357" s="18">
        <f>IFERROR(AF357/'Ar-Pa'!H357,0)</f>
        <v>0</v>
      </c>
      <c r="BE357" s="18">
        <f>IFERROR(AG357/'Ar-Pa'!I357,0)</f>
        <v>0</v>
      </c>
      <c r="BF357" s="18">
        <f>IFERROR(AH357/'Ar-Pa'!J357,0)</f>
        <v>0</v>
      </c>
      <c r="BG357" s="18">
        <f>IFERROR(AI357/'Ar-Pa'!K357,0)</f>
        <v>0</v>
      </c>
      <c r="BH357" s="18">
        <f>IFERROR(AJ357/'Ar-Pa'!L357,0)</f>
        <v>0</v>
      </c>
      <c r="BI357" s="18">
        <f>IFERROR(AK357/'Ar-Pa'!M357,0)</f>
        <v>0</v>
      </c>
      <c r="BJ357" s="18">
        <f>IFERROR(AL357/'Ar-Pa'!N357,0)</f>
        <v>0</v>
      </c>
      <c r="BK357" s="18">
        <f>IFERROR(AM357/'Ar-Pa'!O357,0)</f>
        <v>0</v>
      </c>
      <c r="BL357" s="18">
        <f>IFERROR(AN357/'Ar-Pa'!P357,0)</f>
        <v>0</v>
      </c>
      <c r="BM357" s="18">
        <f>IFERROR(AO357/'Ar-Pa'!Q357,0)</f>
        <v>0</v>
      </c>
      <c r="BN357" s="18">
        <f>IFERROR(AP357/'Ar-Pa'!R357,0)</f>
        <v>0</v>
      </c>
      <c r="BO357" s="18">
        <f>IFERROR(AQ357/'Ar-Pa'!S357,0)</f>
        <v>0</v>
      </c>
      <c r="BP357" s="18">
        <f>IFERROR(AR357/'Ar-Pa'!T357,0)</f>
        <v>0</v>
      </c>
      <c r="BQ357" s="18">
        <f>IFERROR(AS357/'Ar-Pa'!U357,0)</f>
        <v>0</v>
      </c>
      <c r="BR357" s="18">
        <f>IFERROR(AT357/'Ar-Pa'!V357,0)</f>
        <v>0</v>
      </c>
      <c r="BS357" s="18">
        <f>IFERROR(AU357/'Ar-Pa'!W357,0)</f>
        <v>0</v>
      </c>
      <c r="BT357" s="18">
        <f>IFERROR(AV357/'Ar-Pa'!X357,0)</f>
        <v>0</v>
      </c>
      <c r="BU357" s="18">
        <f>IFERROR(AW357/'Ar-Pa'!Y357,0)</f>
        <v>0</v>
      </c>
    </row>
    <row r="358" spans="1:73">
      <c r="A358" s="15">
        <v>45283</v>
      </c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9">
        <f t="shared" si="225"/>
        <v>0</v>
      </c>
      <c r="AA358" s="19">
        <f t="shared" si="226"/>
        <v>0</v>
      </c>
      <c r="AB358" s="19">
        <f t="shared" si="227"/>
        <v>0</v>
      </c>
      <c r="AC358" s="19">
        <f t="shared" si="228"/>
        <v>0</v>
      </c>
      <c r="AD358" s="19">
        <f t="shared" si="229"/>
        <v>0</v>
      </c>
      <c r="AE358" s="19">
        <f t="shared" si="230"/>
        <v>0</v>
      </c>
      <c r="AF358" s="19">
        <f t="shared" si="231"/>
        <v>0</v>
      </c>
      <c r="AG358" s="19">
        <f t="shared" si="232"/>
        <v>0</v>
      </c>
      <c r="AH358" s="19">
        <f t="shared" si="233"/>
        <v>0</v>
      </c>
      <c r="AI358" s="19">
        <f t="shared" si="234"/>
        <v>0</v>
      </c>
      <c r="AJ358" s="19">
        <f t="shared" si="235"/>
        <v>0</v>
      </c>
      <c r="AK358" s="19">
        <f t="shared" si="236"/>
        <v>0</v>
      </c>
      <c r="AL358" s="19">
        <f t="shared" si="237"/>
        <v>0</v>
      </c>
      <c r="AM358" s="19">
        <f t="shared" si="238"/>
        <v>0</v>
      </c>
      <c r="AN358" s="19">
        <f t="shared" si="239"/>
        <v>0</v>
      </c>
      <c r="AO358" s="19">
        <f t="shared" si="240"/>
        <v>0</v>
      </c>
      <c r="AP358" s="19">
        <f t="shared" si="241"/>
        <v>0</v>
      </c>
      <c r="AQ358" s="19">
        <f t="shared" si="242"/>
        <v>0</v>
      </c>
      <c r="AR358" s="19">
        <f t="shared" si="243"/>
        <v>0</v>
      </c>
      <c r="AS358" s="19">
        <f t="shared" si="244"/>
        <v>0</v>
      </c>
      <c r="AT358" s="19">
        <f t="shared" si="245"/>
        <v>0</v>
      </c>
      <c r="AU358" s="19">
        <f t="shared" si="246"/>
        <v>0</v>
      </c>
      <c r="AV358" s="19">
        <f t="shared" si="247"/>
        <v>0</v>
      </c>
      <c r="AW358" s="19">
        <f t="shared" si="248"/>
        <v>0</v>
      </c>
      <c r="AX358" s="18">
        <f>IFERROR(Z358/'Ar-Pa'!B358,0)</f>
        <v>0</v>
      </c>
      <c r="AY358" s="18">
        <f>IFERROR(AA358/'Ar-Pa'!C358,0)</f>
        <v>0</v>
      </c>
      <c r="AZ358" s="18">
        <f>IFERROR(AB358/'Ar-Pa'!D358,0)</f>
        <v>0</v>
      </c>
      <c r="BA358" s="18">
        <f>IFERROR(AC358/'Ar-Pa'!E358,0)</f>
        <v>0</v>
      </c>
      <c r="BB358" s="18">
        <f>IFERROR(AD358/'Ar-Pa'!F358,0)</f>
        <v>0</v>
      </c>
      <c r="BC358" s="18">
        <f>IFERROR(AE358/'Ar-Pa'!G358,0)</f>
        <v>0</v>
      </c>
      <c r="BD358" s="18">
        <f>IFERROR(AF358/'Ar-Pa'!H358,0)</f>
        <v>0</v>
      </c>
      <c r="BE358" s="18">
        <f>IFERROR(AG358/'Ar-Pa'!I358,0)</f>
        <v>0</v>
      </c>
      <c r="BF358" s="18">
        <f>IFERROR(AH358/'Ar-Pa'!J358,0)</f>
        <v>0</v>
      </c>
      <c r="BG358" s="18">
        <f>IFERROR(AI358/'Ar-Pa'!K358,0)</f>
        <v>0</v>
      </c>
      <c r="BH358" s="18">
        <f>IFERROR(AJ358/'Ar-Pa'!L358,0)</f>
        <v>0</v>
      </c>
      <c r="BI358" s="18">
        <f>IFERROR(AK358/'Ar-Pa'!M358,0)</f>
        <v>0</v>
      </c>
      <c r="BJ358" s="18">
        <f>IFERROR(AL358/'Ar-Pa'!N358,0)</f>
        <v>0</v>
      </c>
      <c r="BK358" s="18">
        <f>IFERROR(AM358/'Ar-Pa'!O358,0)</f>
        <v>0</v>
      </c>
      <c r="BL358" s="18">
        <f>IFERROR(AN358/'Ar-Pa'!P358,0)</f>
        <v>0</v>
      </c>
      <c r="BM358" s="18">
        <f>IFERROR(AO358/'Ar-Pa'!Q358,0)</f>
        <v>0</v>
      </c>
      <c r="BN358" s="18">
        <f>IFERROR(AP358/'Ar-Pa'!R358,0)</f>
        <v>0</v>
      </c>
      <c r="BO358" s="18">
        <f>IFERROR(AQ358/'Ar-Pa'!S358,0)</f>
        <v>0</v>
      </c>
      <c r="BP358" s="18">
        <f>IFERROR(AR358/'Ar-Pa'!T358,0)</f>
        <v>0</v>
      </c>
      <c r="BQ358" s="18">
        <f>IFERROR(AS358/'Ar-Pa'!U358,0)</f>
        <v>0</v>
      </c>
      <c r="BR358" s="18">
        <f>IFERROR(AT358/'Ar-Pa'!V358,0)</f>
        <v>0</v>
      </c>
      <c r="BS358" s="18">
        <f>IFERROR(AU358/'Ar-Pa'!W358,0)</f>
        <v>0</v>
      </c>
      <c r="BT358" s="18">
        <f>IFERROR(AV358/'Ar-Pa'!X358,0)</f>
        <v>0</v>
      </c>
      <c r="BU358" s="18">
        <f>IFERROR(AW358/'Ar-Pa'!Y358,0)</f>
        <v>0</v>
      </c>
    </row>
    <row r="359" spans="1:73">
      <c r="A359" s="15">
        <v>45284</v>
      </c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9">
        <f t="shared" si="225"/>
        <v>0</v>
      </c>
      <c r="AA359" s="19">
        <f t="shared" si="226"/>
        <v>0</v>
      </c>
      <c r="AB359" s="19">
        <f t="shared" si="227"/>
        <v>0</v>
      </c>
      <c r="AC359" s="19">
        <f t="shared" si="228"/>
        <v>0</v>
      </c>
      <c r="AD359" s="19">
        <f t="shared" si="229"/>
        <v>0</v>
      </c>
      <c r="AE359" s="19">
        <f t="shared" si="230"/>
        <v>0</v>
      </c>
      <c r="AF359" s="19">
        <f t="shared" si="231"/>
        <v>0</v>
      </c>
      <c r="AG359" s="19">
        <f t="shared" si="232"/>
        <v>0</v>
      </c>
      <c r="AH359" s="19">
        <f t="shared" si="233"/>
        <v>0</v>
      </c>
      <c r="AI359" s="19">
        <f t="shared" si="234"/>
        <v>0</v>
      </c>
      <c r="AJ359" s="19">
        <f t="shared" si="235"/>
        <v>0</v>
      </c>
      <c r="AK359" s="19">
        <f t="shared" si="236"/>
        <v>0</v>
      </c>
      <c r="AL359" s="19">
        <f t="shared" si="237"/>
        <v>0</v>
      </c>
      <c r="AM359" s="19">
        <f t="shared" si="238"/>
        <v>0</v>
      </c>
      <c r="AN359" s="19">
        <f t="shared" si="239"/>
        <v>0</v>
      </c>
      <c r="AO359" s="19">
        <f t="shared" si="240"/>
        <v>0</v>
      </c>
      <c r="AP359" s="19">
        <f t="shared" si="241"/>
        <v>0</v>
      </c>
      <c r="AQ359" s="19">
        <f t="shared" si="242"/>
        <v>0</v>
      </c>
      <c r="AR359" s="19">
        <f t="shared" si="243"/>
        <v>0</v>
      </c>
      <c r="AS359" s="19">
        <f t="shared" si="244"/>
        <v>0</v>
      </c>
      <c r="AT359" s="19">
        <f t="shared" si="245"/>
        <v>0</v>
      </c>
      <c r="AU359" s="19">
        <f t="shared" si="246"/>
        <v>0</v>
      </c>
      <c r="AV359" s="19">
        <f t="shared" si="247"/>
        <v>0</v>
      </c>
      <c r="AW359" s="19">
        <f t="shared" si="248"/>
        <v>0</v>
      </c>
      <c r="AX359" s="18">
        <f>IFERROR(Z359/'Ar-Pa'!B359,0)</f>
        <v>0</v>
      </c>
      <c r="AY359" s="18">
        <f>IFERROR(AA359/'Ar-Pa'!C359,0)</f>
        <v>0</v>
      </c>
      <c r="AZ359" s="18">
        <f>IFERROR(AB359/'Ar-Pa'!D359,0)</f>
        <v>0</v>
      </c>
      <c r="BA359" s="18">
        <f>IFERROR(AC359/'Ar-Pa'!E359,0)</f>
        <v>0</v>
      </c>
      <c r="BB359" s="18">
        <f>IFERROR(AD359/'Ar-Pa'!F359,0)</f>
        <v>0</v>
      </c>
      <c r="BC359" s="18">
        <f>IFERROR(AE359/'Ar-Pa'!G359,0)</f>
        <v>0</v>
      </c>
      <c r="BD359" s="18">
        <f>IFERROR(AF359/'Ar-Pa'!H359,0)</f>
        <v>0</v>
      </c>
      <c r="BE359" s="18">
        <f>IFERROR(AG359/'Ar-Pa'!I359,0)</f>
        <v>0</v>
      </c>
      <c r="BF359" s="18">
        <f>IFERROR(AH359/'Ar-Pa'!J359,0)</f>
        <v>0</v>
      </c>
      <c r="BG359" s="18">
        <f>IFERROR(AI359/'Ar-Pa'!K359,0)</f>
        <v>0</v>
      </c>
      <c r="BH359" s="18">
        <f>IFERROR(AJ359/'Ar-Pa'!L359,0)</f>
        <v>0</v>
      </c>
      <c r="BI359" s="18">
        <f>IFERROR(AK359/'Ar-Pa'!M359,0)</f>
        <v>0</v>
      </c>
      <c r="BJ359" s="18">
        <f>IFERROR(AL359/'Ar-Pa'!N359,0)</f>
        <v>0</v>
      </c>
      <c r="BK359" s="18">
        <f>IFERROR(AM359/'Ar-Pa'!O359,0)</f>
        <v>0</v>
      </c>
      <c r="BL359" s="18">
        <f>IFERROR(AN359/'Ar-Pa'!P359,0)</f>
        <v>0</v>
      </c>
      <c r="BM359" s="18">
        <f>IFERROR(AO359/'Ar-Pa'!Q359,0)</f>
        <v>0</v>
      </c>
      <c r="BN359" s="18">
        <f>IFERROR(AP359/'Ar-Pa'!R359,0)</f>
        <v>0</v>
      </c>
      <c r="BO359" s="18">
        <f>IFERROR(AQ359/'Ar-Pa'!S359,0)</f>
        <v>0</v>
      </c>
      <c r="BP359" s="18">
        <f>IFERROR(AR359/'Ar-Pa'!T359,0)</f>
        <v>0</v>
      </c>
      <c r="BQ359" s="18">
        <f>IFERROR(AS359/'Ar-Pa'!U359,0)</f>
        <v>0</v>
      </c>
      <c r="BR359" s="18">
        <f>IFERROR(AT359/'Ar-Pa'!V359,0)</f>
        <v>0</v>
      </c>
      <c r="BS359" s="18">
        <f>IFERROR(AU359/'Ar-Pa'!W359,0)</f>
        <v>0</v>
      </c>
      <c r="BT359" s="18">
        <f>IFERROR(AV359/'Ar-Pa'!X359,0)</f>
        <v>0</v>
      </c>
      <c r="BU359" s="18">
        <f>IFERROR(AW359/'Ar-Pa'!Y359,0)</f>
        <v>0</v>
      </c>
    </row>
    <row r="360" spans="1:73">
      <c r="A360" s="15">
        <v>45285</v>
      </c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9">
        <f t="shared" si="225"/>
        <v>0</v>
      </c>
      <c r="AA360" s="19">
        <f t="shared" si="226"/>
        <v>0</v>
      </c>
      <c r="AB360" s="19">
        <f t="shared" si="227"/>
        <v>0</v>
      </c>
      <c r="AC360" s="19">
        <f t="shared" si="228"/>
        <v>0</v>
      </c>
      <c r="AD360" s="19">
        <f t="shared" si="229"/>
        <v>0</v>
      </c>
      <c r="AE360" s="19">
        <f t="shared" si="230"/>
        <v>0</v>
      </c>
      <c r="AF360" s="19">
        <f t="shared" si="231"/>
        <v>0</v>
      </c>
      <c r="AG360" s="19">
        <f t="shared" si="232"/>
        <v>0</v>
      </c>
      <c r="AH360" s="19">
        <f t="shared" si="233"/>
        <v>0</v>
      </c>
      <c r="AI360" s="19">
        <f t="shared" si="234"/>
        <v>0</v>
      </c>
      <c r="AJ360" s="19">
        <f t="shared" si="235"/>
        <v>0</v>
      </c>
      <c r="AK360" s="19">
        <f t="shared" si="236"/>
        <v>0</v>
      </c>
      <c r="AL360" s="19">
        <f t="shared" si="237"/>
        <v>0</v>
      </c>
      <c r="AM360" s="19">
        <f t="shared" si="238"/>
        <v>0</v>
      </c>
      <c r="AN360" s="19">
        <f t="shared" si="239"/>
        <v>0</v>
      </c>
      <c r="AO360" s="19">
        <f t="shared" si="240"/>
        <v>0</v>
      </c>
      <c r="AP360" s="19">
        <f t="shared" si="241"/>
        <v>0</v>
      </c>
      <c r="AQ360" s="19">
        <f t="shared" si="242"/>
        <v>0</v>
      </c>
      <c r="AR360" s="19">
        <f t="shared" si="243"/>
        <v>0</v>
      </c>
      <c r="AS360" s="19">
        <f t="shared" si="244"/>
        <v>0</v>
      </c>
      <c r="AT360" s="19">
        <f t="shared" si="245"/>
        <v>0</v>
      </c>
      <c r="AU360" s="19">
        <f t="shared" si="246"/>
        <v>0</v>
      </c>
      <c r="AV360" s="19">
        <f t="shared" si="247"/>
        <v>0</v>
      </c>
      <c r="AW360" s="19">
        <f t="shared" si="248"/>
        <v>0</v>
      </c>
      <c r="AX360" s="18">
        <f>IFERROR(Z360/'Ar-Pa'!B360,0)</f>
        <v>0</v>
      </c>
      <c r="AY360" s="18">
        <f>IFERROR(AA360/'Ar-Pa'!C360,0)</f>
        <v>0</v>
      </c>
      <c r="AZ360" s="18">
        <f>IFERROR(AB360/'Ar-Pa'!D360,0)</f>
        <v>0</v>
      </c>
      <c r="BA360" s="18">
        <f>IFERROR(AC360/'Ar-Pa'!E360,0)</f>
        <v>0</v>
      </c>
      <c r="BB360" s="18">
        <f>IFERROR(AD360/'Ar-Pa'!F360,0)</f>
        <v>0</v>
      </c>
      <c r="BC360" s="18">
        <f>IFERROR(AE360/'Ar-Pa'!G360,0)</f>
        <v>0</v>
      </c>
      <c r="BD360" s="18">
        <f>IFERROR(AF360/'Ar-Pa'!H360,0)</f>
        <v>0</v>
      </c>
      <c r="BE360" s="18">
        <f>IFERROR(AG360/'Ar-Pa'!I360,0)</f>
        <v>0</v>
      </c>
      <c r="BF360" s="18">
        <f>IFERROR(AH360/'Ar-Pa'!J360,0)</f>
        <v>0</v>
      </c>
      <c r="BG360" s="18">
        <f>IFERROR(AI360/'Ar-Pa'!K360,0)</f>
        <v>0</v>
      </c>
      <c r="BH360" s="18">
        <f>IFERROR(AJ360/'Ar-Pa'!L360,0)</f>
        <v>0</v>
      </c>
      <c r="BI360" s="18">
        <f>IFERROR(AK360/'Ar-Pa'!M360,0)</f>
        <v>0</v>
      </c>
      <c r="BJ360" s="18">
        <f>IFERROR(AL360/'Ar-Pa'!N360,0)</f>
        <v>0</v>
      </c>
      <c r="BK360" s="18">
        <f>IFERROR(AM360/'Ar-Pa'!O360,0)</f>
        <v>0</v>
      </c>
      <c r="BL360" s="18">
        <f>IFERROR(AN360/'Ar-Pa'!P360,0)</f>
        <v>0</v>
      </c>
      <c r="BM360" s="18">
        <f>IFERROR(AO360/'Ar-Pa'!Q360,0)</f>
        <v>0</v>
      </c>
      <c r="BN360" s="18">
        <f>IFERROR(AP360/'Ar-Pa'!R360,0)</f>
        <v>0</v>
      </c>
      <c r="BO360" s="18">
        <f>IFERROR(AQ360/'Ar-Pa'!S360,0)</f>
        <v>0</v>
      </c>
      <c r="BP360" s="18">
        <f>IFERROR(AR360/'Ar-Pa'!T360,0)</f>
        <v>0</v>
      </c>
      <c r="BQ360" s="18">
        <f>IFERROR(AS360/'Ar-Pa'!U360,0)</f>
        <v>0</v>
      </c>
      <c r="BR360" s="18">
        <f>IFERROR(AT360/'Ar-Pa'!V360,0)</f>
        <v>0</v>
      </c>
      <c r="BS360" s="18">
        <f>IFERROR(AU360/'Ar-Pa'!W360,0)</f>
        <v>0</v>
      </c>
      <c r="BT360" s="18">
        <f>IFERROR(AV360/'Ar-Pa'!X360,0)</f>
        <v>0</v>
      </c>
      <c r="BU360" s="18">
        <f>IFERROR(AW360/'Ar-Pa'!Y360,0)</f>
        <v>0</v>
      </c>
    </row>
    <row r="361" spans="1:73">
      <c r="A361" s="15">
        <v>45286</v>
      </c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9">
        <f t="shared" si="225"/>
        <v>0</v>
      </c>
      <c r="AA361" s="19">
        <f t="shared" si="226"/>
        <v>0</v>
      </c>
      <c r="AB361" s="19">
        <f t="shared" si="227"/>
        <v>0</v>
      </c>
      <c r="AC361" s="19">
        <f t="shared" si="228"/>
        <v>0</v>
      </c>
      <c r="AD361" s="19">
        <f t="shared" si="229"/>
        <v>0</v>
      </c>
      <c r="AE361" s="19">
        <f t="shared" si="230"/>
        <v>0</v>
      </c>
      <c r="AF361" s="19">
        <f t="shared" si="231"/>
        <v>0</v>
      </c>
      <c r="AG361" s="19">
        <f t="shared" si="232"/>
        <v>0</v>
      </c>
      <c r="AH361" s="19">
        <f t="shared" si="233"/>
        <v>0</v>
      </c>
      <c r="AI361" s="19">
        <f t="shared" si="234"/>
        <v>0</v>
      </c>
      <c r="AJ361" s="19">
        <f t="shared" si="235"/>
        <v>0</v>
      </c>
      <c r="AK361" s="19">
        <f t="shared" si="236"/>
        <v>0</v>
      </c>
      <c r="AL361" s="19">
        <f t="shared" si="237"/>
        <v>0</v>
      </c>
      <c r="AM361" s="19">
        <f t="shared" si="238"/>
        <v>0</v>
      </c>
      <c r="AN361" s="19">
        <f t="shared" si="239"/>
        <v>0</v>
      </c>
      <c r="AO361" s="19">
        <f t="shared" si="240"/>
        <v>0</v>
      </c>
      <c r="AP361" s="19">
        <f t="shared" si="241"/>
        <v>0</v>
      </c>
      <c r="AQ361" s="19">
        <f t="shared" si="242"/>
        <v>0</v>
      </c>
      <c r="AR361" s="19">
        <f t="shared" si="243"/>
        <v>0</v>
      </c>
      <c r="AS361" s="19">
        <f t="shared" si="244"/>
        <v>0</v>
      </c>
      <c r="AT361" s="19">
        <f t="shared" si="245"/>
        <v>0</v>
      </c>
      <c r="AU361" s="19">
        <f t="shared" si="246"/>
        <v>0</v>
      </c>
      <c r="AV361" s="19">
        <f t="shared" si="247"/>
        <v>0</v>
      </c>
      <c r="AW361" s="19">
        <f t="shared" si="248"/>
        <v>0</v>
      </c>
      <c r="AX361" s="18">
        <f>IFERROR(Z361/'Ar-Pa'!B361,0)</f>
        <v>0</v>
      </c>
      <c r="AY361" s="18">
        <f>IFERROR(AA361/'Ar-Pa'!C361,0)</f>
        <v>0</v>
      </c>
      <c r="AZ361" s="18">
        <f>IFERROR(AB361/'Ar-Pa'!D361,0)</f>
        <v>0</v>
      </c>
      <c r="BA361" s="18">
        <f>IFERROR(AC361/'Ar-Pa'!E361,0)</f>
        <v>0</v>
      </c>
      <c r="BB361" s="18">
        <f>IFERROR(AD361/'Ar-Pa'!F361,0)</f>
        <v>0</v>
      </c>
      <c r="BC361" s="18">
        <f>IFERROR(AE361/'Ar-Pa'!G361,0)</f>
        <v>0</v>
      </c>
      <c r="BD361" s="18">
        <f>IFERROR(AF361/'Ar-Pa'!H361,0)</f>
        <v>0</v>
      </c>
      <c r="BE361" s="18">
        <f>IFERROR(AG361/'Ar-Pa'!I361,0)</f>
        <v>0</v>
      </c>
      <c r="BF361" s="18">
        <f>IFERROR(AH361/'Ar-Pa'!J361,0)</f>
        <v>0</v>
      </c>
      <c r="BG361" s="18">
        <f>IFERROR(AI361/'Ar-Pa'!K361,0)</f>
        <v>0</v>
      </c>
      <c r="BH361" s="18">
        <f>IFERROR(AJ361/'Ar-Pa'!L361,0)</f>
        <v>0</v>
      </c>
      <c r="BI361" s="18">
        <f>IFERROR(AK361/'Ar-Pa'!M361,0)</f>
        <v>0</v>
      </c>
      <c r="BJ361" s="18">
        <f>IFERROR(AL361/'Ar-Pa'!N361,0)</f>
        <v>0</v>
      </c>
      <c r="BK361" s="18">
        <f>IFERROR(AM361/'Ar-Pa'!O361,0)</f>
        <v>0</v>
      </c>
      <c r="BL361" s="18">
        <f>IFERROR(AN361/'Ar-Pa'!P361,0)</f>
        <v>0</v>
      </c>
      <c r="BM361" s="18">
        <f>IFERROR(AO361/'Ar-Pa'!Q361,0)</f>
        <v>0</v>
      </c>
      <c r="BN361" s="18">
        <f>IFERROR(AP361/'Ar-Pa'!R361,0)</f>
        <v>0</v>
      </c>
      <c r="BO361" s="18">
        <f>IFERROR(AQ361/'Ar-Pa'!S361,0)</f>
        <v>0</v>
      </c>
      <c r="BP361" s="18">
        <f>IFERROR(AR361/'Ar-Pa'!T361,0)</f>
        <v>0</v>
      </c>
      <c r="BQ361" s="18">
        <f>IFERROR(AS361/'Ar-Pa'!U361,0)</f>
        <v>0</v>
      </c>
      <c r="BR361" s="18">
        <f>IFERROR(AT361/'Ar-Pa'!V361,0)</f>
        <v>0</v>
      </c>
      <c r="BS361" s="18">
        <f>IFERROR(AU361/'Ar-Pa'!W361,0)</f>
        <v>0</v>
      </c>
      <c r="BT361" s="18">
        <f>IFERROR(AV361/'Ar-Pa'!X361,0)</f>
        <v>0</v>
      </c>
      <c r="BU361" s="18">
        <f>IFERROR(AW361/'Ar-Pa'!Y361,0)</f>
        <v>0</v>
      </c>
    </row>
    <row r="362" spans="1:73">
      <c r="A362" s="15">
        <v>45287</v>
      </c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9">
        <f t="shared" si="225"/>
        <v>0</v>
      </c>
      <c r="AA362" s="19">
        <f t="shared" si="226"/>
        <v>0</v>
      </c>
      <c r="AB362" s="19">
        <f t="shared" si="227"/>
        <v>0</v>
      </c>
      <c r="AC362" s="19">
        <f t="shared" si="228"/>
        <v>0</v>
      </c>
      <c r="AD362" s="19">
        <f t="shared" si="229"/>
        <v>0</v>
      </c>
      <c r="AE362" s="19">
        <f t="shared" si="230"/>
        <v>0</v>
      </c>
      <c r="AF362" s="19">
        <f t="shared" si="231"/>
        <v>0</v>
      </c>
      <c r="AG362" s="19">
        <f t="shared" si="232"/>
        <v>0</v>
      </c>
      <c r="AH362" s="19">
        <f t="shared" si="233"/>
        <v>0</v>
      </c>
      <c r="AI362" s="19">
        <f t="shared" si="234"/>
        <v>0</v>
      </c>
      <c r="AJ362" s="19">
        <f t="shared" si="235"/>
        <v>0</v>
      </c>
      <c r="AK362" s="19">
        <f t="shared" si="236"/>
        <v>0</v>
      </c>
      <c r="AL362" s="19">
        <f t="shared" si="237"/>
        <v>0</v>
      </c>
      <c r="AM362" s="19">
        <f t="shared" si="238"/>
        <v>0</v>
      </c>
      <c r="AN362" s="19">
        <f t="shared" si="239"/>
        <v>0</v>
      </c>
      <c r="AO362" s="19">
        <f t="shared" si="240"/>
        <v>0</v>
      </c>
      <c r="AP362" s="19">
        <f t="shared" si="241"/>
        <v>0</v>
      </c>
      <c r="AQ362" s="19">
        <f t="shared" si="242"/>
        <v>0</v>
      </c>
      <c r="AR362" s="19">
        <f t="shared" si="243"/>
        <v>0</v>
      </c>
      <c r="AS362" s="19">
        <f t="shared" si="244"/>
        <v>0</v>
      </c>
      <c r="AT362" s="19">
        <f t="shared" si="245"/>
        <v>0</v>
      </c>
      <c r="AU362" s="19">
        <f t="shared" si="246"/>
        <v>0</v>
      </c>
      <c r="AV362" s="19">
        <f t="shared" si="247"/>
        <v>0</v>
      </c>
      <c r="AW362" s="19">
        <f t="shared" si="248"/>
        <v>0</v>
      </c>
      <c r="AX362" s="18">
        <f>IFERROR(Z362/'Ar-Pa'!B362,0)</f>
        <v>0</v>
      </c>
      <c r="AY362" s="18">
        <f>IFERROR(AA362/'Ar-Pa'!C362,0)</f>
        <v>0</v>
      </c>
      <c r="AZ362" s="18">
        <f>IFERROR(AB362/'Ar-Pa'!D362,0)</f>
        <v>0</v>
      </c>
      <c r="BA362" s="18">
        <f>IFERROR(AC362/'Ar-Pa'!E362,0)</f>
        <v>0</v>
      </c>
      <c r="BB362" s="18">
        <f>IFERROR(AD362/'Ar-Pa'!F362,0)</f>
        <v>0</v>
      </c>
      <c r="BC362" s="18">
        <f>IFERROR(AE362/'Ar-Pa'!G362,0)</f>
        <v>0</v>
      </c>
      <c r="BD362" s="18">
        <f>IFERROR(AF362/'Ar-Pa'!H362,0)</f>
        <v>0</v>
      </c>
      <c r="BE362" s="18">
        <f>IFERROR(AG362/'Ar-Pa'!I362,0)</f>
        <v>0</v>
      </c>
      <c r="BF362" s="18">
        <f>IFERROR(AH362/'Ar-Pa'!J362,0)</f>
        <v>0</v>
      </c>
      <c r="BG362" s="18">
        <f>IFERROR(AI362/'Ar-Pa'!K362,0)</f>
        <v>0</v>
      </c>
      <c r="BH362" s="18">
        <f>IFERROR(AJ362/'Ar-Pa'!L362,0)</f>
        <v>0</v>
      </c>
      <c r="BI362" s="18">
        <f>IFERROR(AK362/'Ar-Pa'!M362,0)</f>
        <v>0</v>
      </c>
      <c r="BJ362" s="18">
        <f>IFERROR(AL362/'Ar-Pa'!N362,0)</f>
        <v>0</v>
      </c>
      <c r="BK362" s="18">
        <f>IFERROR(AM362/'Ar-Pa'!O362,0)</f>
        <v>0</v>
      </c>
      <c r="BL362" s="18">
        <f>IFERROR(AN362/'Ar-Pa'!P362,0)</f>
        <v>0</v>
      </c>
      <c r="BM362" s="18">
        <f>IFERROR(AO362/'Ar-Pa'!Q362,0)</f>
        <v>0</v>
      </c>
      <c r="BN362" s="18">
        <f>IFERROR(AP362/'Ar-Pa'!R362,0)</f>
        <v>0</v>
      </c>
      <c r="BO362" s="18">
        <f>IFERROR(AQ362/'Ar-Pa'!S362,0)</f>
        <v>0</v>
      </c>
      <c r="BP362" s="18">
        <f>IFERROR(AR362/'Ar-Pa'!T362,0)</f>
        <v>0</v>
      </c>
      <c r="BQ362" s="18">
        <f>IFERROR(AS362/'Ar-Pa'!U362,0)</f>
        <v>0</v>
      </c>
      <c r="BR362" s="18">
        <f>IFERROR(AT362/'Ar-Pa'!V362,0)</f>
        <v>0</v>
      </c>
      <c r="BS362" s="18">
        <f>IFERROR(AU362/'Ar-Pa'!W362,0)</f>
        <v>0</v>
      </c>
      <c r="BT362" s="18">
        <f>IFERROR(AV362/'Ar-Pa'!X362,0)</f>
        <v>0</v>
      </c>
      <c r="BU362" s="18">
        <f>IFERROR(AW362/'Ar-Pa'!Y362,0)</f>
        <v>0</v>
      </c>
    </row>
    <row r="363" spans="1:73">
      <c r="A363" s="15">
        <v>45288</v>
      </c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9">
        <f t="shared" si="225"/>
        <v>0</v>
      </c>
      <c r="AA363" s="19">
        <f t="shared" si="226"/>
        <v>0</v>
      </c>
      <c r="AB363" s="19">
        <f t="shared" si="227"/>
        <v>0</v>
      </c>
      <c r="AC363" s="19">
        <f t="shared" si="228"/>
        <v>0</v>
      </c>
      <c r="AD363" s="19">
        <f t="shared" si="229"/>
        <v>0</v>
      </c>
      <c r="AE363" s="19">
        <f t="shared" si="230"/>
        <v>0</v>
      </c>
      <c r="AF363" s="19">
        <f t="shared" si="231"/>
        <v>0</v>
      </c>
      <c r="AG363" s="19">
        <f t="shared" si="232"/>
        <v>0</v>
      </c>
      <c r="AH363" s="19">
        <f t="shared" si="233"/>
        <v>0</v>
      </c>
      <c r="AI363" s="19">
        <f t="shared" si="234"/>
        <v>0</v>
      </c>
      <c r="AJ363" s="19">
        <f t="shared" si="235"/>
        <v>0</v>
      </c>
      <c r="AK363" s="19">
        <f t="shared" si="236"/>
        <v>0</v>
      </c>
      <c r="AL363" s="19">
        <f t="shared" si="237"/>
        <v>0</v>
      </c>
      <c r="AM363" s="19">
        <f t="shared" si="238"/>
        <v>0</v>
      </c>
      <c r="AN363" s="19">
        <f t="shared" si="239"/>
        <v>0</v>
      </c>
      <c r="AO363" s="19">
        <f t="shared" si="240"/>
        <v>0</v>
      </c>
      <c r="AP363" s="19">
        <f t="shared" si="241"/>
        <v>0</v>
      </c>
      <c r="AQ363" s="19">
        <f t="shared" si="242"/>
        <v>0</v>
      </c>
      <c r="AR363" s="19">
        <f t="shared" si="243"/>
        <v>0</v>
      </c>
      <c r="AS363" s="19">
        <f t="shared" si="244"/>
        <v>0</v>
      </c>
      <c r="AT363" s="19">
        <f t="shared" si="245"/>
        <v>0</v>
      </c>
      <c r="AU363" s="19">
        <f t="shared" si="246"/>
        <v>0</v>
      </c>
      <c r="AV363" s="19">
        <f t="shared" si="247"/>
        <v>0</v>
      </c>
      <c r="AW363" s="19">
        <f t="shared" si="248"/>
        <v>0</v>
      </c>
      <c r="AX363" s="18">
        <f>IFERROR(Z363/'Ar-Pa'!B363,0)</f>
        <v>0</v>
      </c>
      <c r="AY363" s="18">
        <f>IFERROR(AA363/'Ar-Pa'!C363,0)</f>
        <v>0</v>
      </c>
      <c r="AZ363" s="18">
        <f>IFERROR(AB363/'Ar-Pa'!D363,0)</f>
        <v>0</v>
      </c>
      <c r="BA363" s="18">
        <f>IFERROR(AC363/'Ar-Pa'!E363,0)</f>
        <v>0</v>
      </c>
      <c r="BB363" s="18">
        <f>IFERROR(AD363/'Ar-Pa'!F363,0)</f>
        <v>0</v>
      </c>
      <c r="BC363" s="18">
        <f>IFERROR(AE363/'Ar-Pa'!G363,0)</f>
        <v>0</v>
      </c>
      <c r="BD363" s="18">
        <f>IFERROR(AF363/'Ar-Pa'!H363,0)</f>
        <v>0</v>
      </c>
      <c r="BE363" s="18">
        <f>IFERROR(AG363/'Ar-Pa'!I363,0)</f>
        <v>0</v>
      </c>
      <c r="BF363" s="18">
        <f>IFERROR(AH363/'Ar-Pa'!J363,0)</f>
        <v>0</v>
      </c>
      <c r="BG363" s="18">
        <f>IFERROR(AI363/'Ar-Pa'!K363,0)</f>
        <v>0</v>
      </c>
      <c r="BH363" s="18">
        <f>IFERROR(AJ363/'Ar-Pa'!L363,0)</f>
        <v>0</v>
      </c>
      <c r="BI363" s="18">
        <f>IFERROR(AK363/'Ar-Pa'!M363,0)</f>
        <v>0</v>
      </c>
      <c r="BJ363" s="18">
        <f>IFERROR(AL363/'Ar-Pa'!N363,0)</f>
        <v>0</v>
      </c>
      <c r="BK363" s="18">
        <f>IFERROR(AM363/'Ar-Pa'!O363,0)</f>
        <v>0</v>
      </c>
      <c r="BL363" s="18">
        <f>IFERROR(AN363/'Ar-Pa'!P363,0)</f>
        <v>0</v>
      </c>
      <c r="BM363" s="18">
        <f>IFERROR(AO363/'Ar-Pa'!Q363,0)</f>
        <v>0</v>
      </c>
      <c r="BN363" s="18">
        <f>IFERROR(AP363/'Ar-Pa'!R363,0)</f>
        <v>0</v>
      </c>
      <c r="BO363" s="18">
        <f>IFERROR(AQ363/'Ar-Pa'!S363,0)</f>
        <v>0</v>
      </c>
      <c r="BP363" s="18">
        <f>IFERROR(AR363/'Ar-Pa'!T363,0)</f>
        <v>0</v>
      </c>
      <c r="BQ363" s="18">
        <f>IFERROR(AS363/'Ar-Pa'!U363,0)</f>
        <v>0</v>
      </c>
      <c r="BR363" s="18">
        <f>IFERROR(AT363/'Ar-Pa'!V363,0)</f>
        <v>0</v>
      </c>
      <c r="BS363" s="18">
        <f>IFERROR(AU363/'Ar-Pa'!W363,0)</f>
        <v>0</v>
      </c>
      <c r="BT363" s="18">
        <f>IFERROR(AV363/'Ar-Pa'!X363,0)</f>
        <v>0</v>
      </c>
      <c r="BU363" s="18">
        <f>IFERROR(AW363/'Ar-Pa'!Y363,0)</f>
        <v>0</v>
      </c>
    </row>
    <row r="364" spans="1:73">
      <c r="A364" s="15">
        <v>45289</v>
      </c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9">
        <f t="shared" si="225"/>
        <v>0</v>
      </c>
      <c r="AA364" s="19">
        <f t="shared" si="226"/>
        <v>0</v>
      </c>
      <c r="AB364" s="19">
        <f t="shared" si="227"/>
        <v>0</v>
      </c>
      <c r="AC364" s="19">
        <f t="shared" si="228"/>
        <v>0</v>
      </c>
      <c r="AD364" s="19">
        <f t="shared" si="229"/>
        <v>0</v>
      </c>
      <c r="AE364" s="19">
        <f t="shared" si="230"/>
        <v>0</v>
      </c>
      <c r="AF364" s="19">
        <f t="shared" si="231"/>
        <v>0</v>
      </c>
      <c r="AG364" s="19">
        <f t="shared" si="232"/>
        <v>0</v>
      </c>
      <c r="AH364" s="19">
        <f t="shared" si="233"/>
        <v>0</v>
      </c>
      <c r="AI364" s="19">
        <f t="shared" si="234"/>
        <v>0</v>
      </c>
      <c r="AJ364" s="19">
        <f t="shared" si="235"/>
        <v>0</v>
      </c>
      <c r="AK364" s="19">
        <f t="shared" si="236"/>
        <v>0</v>
      </c>
      <c r="AL364" s="19">
        <f t="shared" si="237"/>
        <v>0</v>
      </c>
      <c r="AM364" s="19">
        <f t="shared" si="238"/>
        <v>0</v>
      </c>
      <c r="AN364" s="19">
        <f t="shared" si="239"/>
        <v>0</v>
      </c>
      <c r="AO364" s="19">
        <f t="shared" si="240"/>
        <v>0</v>
      </c>
      <c r="AP364" s="19">
        <f t="shared" si="241"/>
        <v>0</v>
      </c>
      <c r="AQ364" s="19">
        <f t="shared" si="242"/>
        <v>0</v>
      </c>
      <c r="AR364" s="19">
        <f t="shared" si="243"/>
        <v>0</v>
      </c>
      <c r="AS364" s="19">
        <f t="shared" si="244"/>
        <v>0</v>
      </c>
      <c r="AT364" s="19">
        <f t="shared" si="245"/>
        <v>0</v>
      </c>
      <c r="AU364" s="19">
        <f t="shared" si="246"/>
        <v>0</v>
      </c>
      <c r="AV364" s="19">
        <f t="shared" si="247"/>
        <v>0</v>
      </c>
      <c r="AW364" s="19">
        <f t="shared" si="248"/>
        <v>0</v>
      </c>
      <c r="AX364" s="18">
        <f>IFERROR(Z364/'Ar-Pa'!B364,0)</f>
        <v>0</v>
      </c>
      <c r="AY364" s="18">
        <f>IFERROR(AA364/'Ar-Pa'!C364,0)</f>
        <v>0</v>
      </c>
      <c r="AZ364" s="18">
        <f>IFERROR(AB364/'Ar-Pa'!D364,0)</f>
        <v>0</v>
      </c>
      <c r="BA364" s="18">
        <f>IFERROR(AC364/'Ar-Pa'!E364,0)</f>
        <v>0</v>
      </c>
      <c r="BB364" s="18">
        <f>IFERROR(AD364/'Ar-Pa'!F364,0)</f>
        <v>0</v>
      </c>
      <c r="BC364" s="18">
        <f>IFERROR(AE364/'Ar-Pa'!G364,0)</f>
        <v>0</v>
      </c>
      <c r="BD364" s="18">
        <f>IFERROR(AF364/'Ar-Pa'!H364,0)</f>
        <v>0</v>
      </c>
      <c r="BE364" s="18">
        <f>IFERROR(AG364/'Ar-Pa'!I364,0)</f>
        <v>0</v>
      </c>
      <c r="BF364" s="18">
        <f>IFERROR(AH364/'Ar-Pa'!J364,0)</f>
        <v>0</v>
      </c>
      <c r="BG364" s="18">
        <f>IFERROR(AI364/'Ar-Pa'!K364,0)</f>
        <v>0</v>
      </c>
      <c r="BH364" s="18">
        <f>IFERROR(AJ364/'Ar-Pa'!L364,0)</f>
        <v>0</v>
      </c>
      <c r="BI364" s="18">
        <f>IFERROR(AK364/'Ar-Pa'!M364,0)</f>
        <v>0</v>
      </c>
      <c r="BJ364" s="18">
        <f>IFERROR(AL364/'Ar-Pa'!N364,0)</f>
        <v>0</v>
      </c>
      <c r="BK364" s="18">
        <f>IFERROR(AM364/'Ar-Pa'!O364,0)</f>
        <v>0</v>
      </c>
      <c r="BL364" s="18">
        <f>IFERROR(AN364/'Ar-Pa'!P364,0)</f>
        <v>0</v>
      </c>
      <c r="BM364" s="18">
        <f>IFERROR(AO364/'Ar-Pa'!Q364,0)</f>
        <v>0</v>
      </c>
      <c r="BN364" s="18">
        <f>IFERROR(AP364/'Ar-Pa'!R364,0)</f>
        <v>0</v>
      </c>
      <c r="BO364" s="18">
        <f>IFERROR(AQ364/'Ar-Pa'!S364,0)</f>
        <v>0</v>
      </c>
      <c r="BP364" s="18">
        <f>IFERROR(AR364/'Ar-Pa'!T364,0)</f>
        <v>0</v>
      </c>
      <c r="BQ364" s="18">
        <f>IFERROR(AS364/'Ar-Pa'!U364,0)</f>
        <v>0</v>
      </c>
      <c r="BR364" s="18">
        <f>IFERROR(AT364/'Ar-Pa'!V364,0)</f>
        <v>0</v>
      </c>
      <c r="BS364" s="18">
        <f>IFERROR(AU364/'Ar-Pa'!W364,0)</f>
        <v>0</v>
      </c>
      <c r="BT364" s="18">
        <f>IFERROR(AV364/'Ar-Pa'!X364,0)</f>
        <v>0</v>
      </c>
      <c r="BU364" s="18">
        <f>IFERROR(AW364/'Ar-Pa'!Y364,0)</f>
        <v>0</v>
      </c>
    </row>
    <row r="365" spans="1:73">
      <c r="A365" s="15">
        <v>45290</v>
      </c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9">
        <f t="shared" si="225"/>
        <v>0</v>
      </c>
      <c r="AA365" s="19">
        <f t="shared" si="226"/>
        <v>0</v>
      </c>
      <c r="AB365" s="19">
        <f t="shared" si="227"/>
        <v>0</v>
      </c>
      <c r="AC365" s="19">
        <f t="shared" si="228"/>
        <v>0</v>
      </c>
      <c r="AD365" s="19">
        <f t="shared" si="229"/>
        <v>0</v>
      </c>
      <c r="AE365" s="19">
        <f t="shared" si="230"/>
        <v>0</v>
      </c>
      <c r="AF365" s="19">
        <f t="shared" si="231"/>
        <v>0</v>
      </c>
      <c r="AG365" s="19">
        <f t="shared" si="232"/>
        <v>0</v>
      </c>
      <c r="AH365" s="19">
        <f t="shared" si="233"/>
        <v>0</v>
      </c>
      <c r="AI365" s="19">
        <f t="shared" si="234"/>
        <v>0</v>
      </c>
      <c r="AJ365" s="19">
        <f t="shared" si="235"/>
        <v>0</v>
      </c>
      <c r="AK365" s="19">
        <f t="shared" si="236"/>
        <v>0</v>
      </c>
      <c r="AL365" s="19">
        <f t="shared" si="237"/>
        <v>0</v>
      </c>
      <c r="AM365" s="19">
        <f t="shared" si="238"/>
        <v>0</v>
      </c>
      <c r="AN365" s="19">
        <f t="shared" si="239"/>
        <v>0</v>
      </c>
      <c r="AO365" s="19">
        <f t="shared" si="240"/>
        <v>0</v>
      </c>
      <c r="AP365" s="19">
        <f t="shared" si="241"/>
        <v>0</v>
      </c>
      <c r="AQ365" s="19">
        <f t="shared" si="242"/>
        <v>0</v>
      </c>
      <c r="AR365" s="19">
        <f t="shared" si="243"/>
        <v>0</v>
      </c>
      <c r="AS365" s="19">
        <f t="shared" si="244"/>
        <v>0</v>
      </c>
      <c r="AT365" s="19">
        <f t="shared" si="245"/>
        <v>0</v>
      </c>
      <c r="AU365" s="19">
        <f t="shared" si="246"/>
        <v>0</v>
      </c>
      <c r="AV365" s="19">
        <f t="shared" si="247"/>
        <v>0</v>
      </c>
      <c r="AW365" s="19">
        <f t="shared" si="248"/>
        <v>0</v>
      </c>
      <c r="AX365" s="18">
        <f>IFERROR(Z365/'Ar-Pa'!B365,0)</f>
        <v>0</v>
      </c>
      <c r="AY365" s="18">
        <f>IFERROR(AA365/'Ar-Pa'!C365,0)</f>
        <v>0</v>
      </c>
      <c r="AZ365" s="18">
        <f>IFERROR(AB365/'Ar-Pa'!D365,0)</f>
        <v>0</v>
      </c>
      <c r="BA365" s="18">
        <f>IFERROR(AC365/'Ar-Pa'!E365,0)</f>
        <v>0</v>
      </c>
      <c r="BB365" s="18">
        <f>IFERROR(AD365/'Ar-Pa'!F365,0)</f>
        <v>0</v>
      </c>
      <c r="BC365" s="18">
        <f>IFERROR(AE365/'Ar-Pa'!G365,0)</f>
        <v>0</v>
      </c>
      <c r="BD365" s="18">
        <f>IFERROR(AF365/'Ar-Pa'!H365,0)</f>
        <v>0</v>
      </c>
      <c r="BE365" s="18">
        <f>IFERROR(AG365/'Ar-Pa'!I365,0)</f>
        <v>0</v>
      </c>
      <c r="BF365" s="18">
        <f>IFERROR(AH365/'Ar-Pa'!J365,0)</f>
        <v>0</v>
      </c>
      <c r="BG365" s="18">
        <f>IFERROR(AI365/'Ar-Pa'!K365,0)</f>
        <v>0</v>
      </c>
      <c r="BH365" s="18">
        <f>IFERROR(AJ365/'Ar-Pa'!L365,0)</f>
        <v>0</v>
      </c>
      <c r="BI365" s="18">
        <f>IFERROR(AK365/'Ar-Pa'!M365,0)</f>
        <v>0</v>
      </c>
      <c r="BJ365" s="18">
        <f>IFERROR(AL365/'Ar-Pa'!N365,0)</f>
        <v>0</v>
      </c>
      <c r="BK365" s="18">
        <f>IFERROR(AM365/'Ar-Pa'!O365,0)</f>
        <v>0</v>
      </c>
      <c r="BL365" s="18">
        <f>IFERROR(AN365/'Ar-Pa'!P365,0)</f>
        <v>0</v>
      </c>
      <c r="BM365" s="18">
        <f>IFERROR(AO365/'Ar-Pa'!Q365,0)</f>
        <v>0</v>
      </c>
      <c r="BN365" s="18">
        <f>IFERROR(AP365/'Ar-Pa'!R365,0)</f>
        <v>0</v>
      </c>
      <c r="BO365" s="18">
        <f>IFERROR(AQ365/'Ar-Pa'!S365,0)</f>
        <v>0</v>
      </c>
      <c r="BP365" s="18">
        <f>IFERROR(AR365/'Ar-Pa'!T365,0)</f>
        <v>0</v>
      </c>
      <c r="BQ365" s="18">
        <f>IFERROR(AS365/'Ar-Pa'!U365,0)</f>
        <v>0</v>
      </c>
      <c r="BR365" s="18">
        <f>IFERROR(AT365/'Ar-Pa'!V365,0)</f>
        <v>0</v>
      </c>
      <c r="BS365" s="18">
        <f>IFERROR(AU365/'Ar-Pa'!W365,0)</f>
        <v>0</v>
      </c>
      <c r="BT365" s="18">
        <f>IFERROR(AV365/'Ar-Pa'!X365,0)</f>
        <v>0</v>
      </c>
      <c r="BU365" s="18">
        <f>IFERROR(AW365/'Ar-Pa'!Y365,0)</f>
        <v>0</v>
      </c>
    </row>
    <row r="366" spans="1:73">
      <c r="A366" s="15">
        <v>45291</v>
      </c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9">
        <f t="shared" si="225"/>
        <v>0</v>
      </c>
      <c r="AA366" s="19">
        <f t="shared" si="226"/>
        <v>0</v>
      </c>
      <c r="AB366" s="19">
        <f t="shared" si="227"/>
        <v>0</v>
      </c>
      <c r="AC366" s="19">
        <f t="shared" si="228"/>
        <v>0</v>
      </c>
      <c r="AD366" s="19">
        <f t="shared" si="229"/>
        <v>0</v>
      </c>
      <c r="AE366" s="19">
        <f t="shared" si="230"/>
        <v>0</v>
      </c>
      <c r="AF366" s="19">
        <f t="shared" si="231"/>
        <v>0</v>
      </c>
      <c r="AG366" s="19">
        <f t="shared" si="232"/>
        <v>0</v>
      </c>
      <c r="AH366" s="19">
        <f t="shared" si="233"/>
        <v>0</v>
      </c>
      <c r="AI366" s="19">
        <f t="shared" si="234"/>
        <v>0</v>
      </c>
      <c r="AJ366" s="19">
        <f t="shared" si="235"/>
        <v>0</v>
      </c>
      <c r="AK366" s="19">
        <f t="shared" si="236"/>
        <v>0</v>
      </c>
      <c r="AL366" s="19">
        <f t="shared" si="237"/>
        <v>0</v>
      </c>
      <c r="AM366" s="19">
        <f t="shared" si="238"/>
        <v>0</v>
      </c>
      <c r="AN366" s="19">
        <f t="shared" si="239"/>
        <v>0</v>
      </c>
      <c r="AO366" s="19">
        <f t="shared" si="240"/>
        <v>0</v>
      </c>
      <c r="AP366" s="19">
        <f t="shared" si="241"/>
        <v>0</v>
      </c>
      <c r="AQ366" s="19">
        <f t="shared" si="242"/>
        <v>0</v>
      </c>
      <c r="AR366" s="19">
        <f t="shared" si="243"/>
        <v>0</v>
      </c>
      <c r="AS366" s="19">
        <f t="shared" si="244"/>
        <v>0</v>
      </c>
      <c r="AT366" s="19">
        <f t="shared" si="245"/>
        <v>0</v>
      </c>
      <c r="AU366" s="19">
        <f t="shared" si="246"/>
        <v>0</v>
      </c>
      <c r="AV366" s="19">
        <f t="shared" si="247"/>
        <v>0</v>
      </c>
      <c r="AW366" s="19">
        <f t="shared" si="248"/>
        <v>0</v>
      </c>
      <c r="AX366" s="18">
        <f>IFERROR(Z366/'Ar-Pa'!B366,0)</f>
        <v>0</v>
      </c>
      <c r="AY366" s="18">
        <f>IFERROR(AA366/'Ar-Pa'!C366,0)</f>
        <v>0</v>
      </c>
      <c r="AZ366" s="18">
        <f>IFERROR(AB366/'Ar-Pa'!D366,0)</f>
        <v>0</v>
      </c>
      <c r="BA366" s="18">
        <f>IFERROR(AC366/'Ar-Pa'!E366,0)</f>
        <v>0</v>
      </c>
      <c r="BB366" s="18">
        <f>IFERROR(AD366/'Ar-Pa'!F366,0)</f>
        <v>0</v>
      </c>
      <c r="BC366" s="18">
        <f>IFERROR(AE366/'Ar-Pa'!G366,0)</f>
        <v>0</v>
      </c>
      <c r="BD366" s="18">
        <f>IFERROR(AF366/'Ar-Pa'!H366,0)</f>
        <v>0</v>
      </c>
      <c r="BE366" s="18">
        <f>IFERROR(AG366/'Ar-Pa'!I366,0)</f>
        <v>0</v>
      </c>
      <c r="BF366" s="18">
        <f>IFERROR(AH366/'Ar-Pa'!J366,0)</f>
        <v>0</v>
      </c>
      <c r="BG366" s="18">
        <f>IFERROR(AI366/'Ar-Pa'!K366,0)</f>
        <v>0</v>
      </c>
      <c r="BH366" s="18">
        <f>IFERROR(AJ366/'Ar-Pa'!L366,0)</f>
        <v>0</v>
      </c>
      <c r="BI366" s="18">
        <f>IFERROR(AK366/'Ar-Pa'!M366,0)</f>
        <v>0</v>
      </c>
      <c r="BJ366" s="18">
        <f>IFERROR(AL366/'Ar-Pa'!N366,0)</f>
        <v>0</v>
      </c>
      <c r="BK366" s="18">
        <f>IFERROR(AM366/'Ar-Pa'!O366,0)</f>
        <v>0</v>
      </c>
      <c r="BL366" s="18">
        <f>IFERROR(AN366/'Ar-Pa'!P366,0)</f>
        <v>0</v>
      </c>
      <c r="BM366" s="18">
        <f>IFERROR(AO366/'Ar-Pa'!Q366,0)</f>
        <v>0</v>
      </c>
      <c r="BN366" s="18">
        <f>IFERROR(AP366/'Ar-Pa'!R366,0)</f>
        <v>0</v>
      </c>
      <c r="BO366" s="18">
        <f>IFERROR(AQ366/'Ar-Pa'!S366,0)</f>
        <v>0</v>
      </c>
      <c r="BP366" s="18">
        <f>IFERROR(AR366/'Ar-Pa'!T366,0)</f>
        <v>0</v>
      </c>
      <c r="BQ366" s="18">
        <f>IFERROR(AS366/'Ar-Pa'!U366,0)</f>
        <v>0</v>
      </c>
      <c r="BR366" s="18">
        <f>IFERROR(AT366/'Ar-Pa'!V366,0)</f>
        <v>0</v>
      </c>
      <c r="BS366" s="18">
        <f>IFERROR(AU366/'Ar-Pa'!W366,0)</f>
        <v>0</v>
      </c>
      <c r="BT366" s="18">
        <f>IFERROR(AV366/'Ar-Pa'!X366,0)</f>
        <v>0</v>
      </c>
      <c r="BU366" s="18">
        <f>IFERROR(AW366/'Ar-Pa'!Y366,0)</f>
        <v>0</v>
      </c>
    </row>
  </sheetData>
  <autoFilter ref="A1:CJ366" xr:uid="{00000000-0009-0000-0000-000006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V368"/>
  <sheetViews>
    <sheetView zoomScale="90" zoomScaleNormal="90" zoomScalePageLayoutView="90" workbookViewId="0">
      <pane xSplit="1" topLeftCell="B1" activePane="topRight" state="frozen"/>
      <selection pane="topRight" activeCell="E215" sqref="E215"/>
    </sheetView>
  </sheetViews>
  <sheetFormatPr defaultColWidth="11.42578125" defaultRowHeight="12.75"/>
  <cols>
    <col min="1" max="1" width="10.7109375" style="9" bestFit="1" customWidth="1"/>
    <col min="2" max="2" width="14.42578125" style="30" bestFit="1" customWidth="1"/>
    <col min="3" max="3" width="12.85546875" style="4" customWidth="1"/>
    <col min="4" max="4" width="19.28515625" style="4" bestFit="1" customWidth="1"/>
    <col min="5" max="5" width="10.140625" style="30" bestFit="1" customWidth="1"/>
    <col min="6" max="6" width="11.140625" style="4" bestFit="1" customWidth="1"/>
    <col min="7" max="7" width="9.42578125" style="4" bestFit="1" customWidth="1"/>
    <col min="8" max="8" width="10.140625" style="30" bestFit="1" customWidth="1"/>
    <col min="9" max="9" width="9.140625" style="4" bestFit="1" customWidth="1"/>
    <col min="10" max="10" width="12.85546875" style="4" bestFit="1" customWidth="1"/>
    <col min="11" max="11" width="10.140625" style="30" bestFit="1" customWidth="1"/>
    <col min="12" max="12" width="9.28515625" style="4" bestFit="1" customWidth="1"/>
    <col min="13" max="13" width="10.42578125" style="4" bestFit="1" customWidth="1"/>
    <col min="14" max="14" width="10.140625" style="30" bestFit="1" customWidth="1"/>
    <col min="15" max="15" width="9.140625" style="4" bestFit="1" customWidth="1"/>
    <col min="16" max="16" width="9.42578125" style="4" bestFit="1" customWidth="1"/>
    <col min="17" max="17" width="10.140625" style="30" bestFit="1" customWidth="1"/>
    <col min="18" max="19" width="9.7109375" style="4" bestFit="1" customWidth="1"/>
    <col min="20" max="20" width="9.7109375" style="4" customWidth="1"/>
    <col min="21" max="23" width="11.42578125" style="149"/>
    <col min="24" max="24" width="12.85546875" style="149" customWidth="1"/>
    <col min="25" max="25" width="11" style="149" customWidth="1"/>
    <col min="26" max="26" width="11.42578125" style="30"/>
    <col min="27" max="28" width="9.5703125" style="1" customWidth="1"/>
    <col min="29" max="29" width="11.42578125" style="30"/>
    <col min="30" max="31" width="8.7109375" style="1" customWidth="1"/>
    <col min="32" max="32" width="11.42578125" style="30"/>
    <col min="33" max="34" width="11.42578125" style="1"/>
    <col min="35" max="35" width="11.42578125" style="30"/>
    <col min="36" max="37" width="11.42578125" style="1"/>
    <col min="38" max="38" width="11.42578125" style="30"/>
    <col min="39" max="40" width="11.42578125" style="1"/>
    <col min="41" max="41" width="8.85546875" style="149" bestFit="1" customWidth="1"/>
    <col min="42" max="43" width="11.42578125" style="149"/>
    <col min="44" max="44" width="6" style="149" bestFit="1" customWidth="1"/>
    <col min="45" max="16384" width="11.42578125" style="149"/>
  </cols>
  <sheetData>
    <row r="1" spans="1:42" ht="63.75">
      <c r="A1" s="33" t="s">
        <v>89</v>
      </c>
      <c r="B1" s="154" t="s">
        <v>90</v>
      </c>
      <c r="C1" s="33" t="s">
        <v>91</v>
      </c>
      <c r="D1" s="33" t="s">
        <v>92</v>
      </c>
      <c r="E1" s="154" t="s">
        <v>90</v>
      </c>
      <c r="F1" s="33" t="s">
        <v>93</v>
      </c>
      <c r="G1" s="33" t="s">
        <v>94</v>
      </c>
      <c r="H1" s="154" t="s">
        <v>90</v>
      </c>
      <c r="I1" s="33" t="s">
        <v>95</v>
      </c>
      <c r="J1" s="33" t="s">
        <v>96</v>
      </c>
      <c r="K1" s="154" t="s">
        <v>90</v>
      </c>
      <c r="L1" s="33" t="s">
        <v>97</v>
      </c>
      <c r="M1" s="33" t="s">
        <v>98</v>
      </c>
      <c r="N1" s="154" t="s">
        <v>90</v>
      </c>
      <c r="O1" s="33" t="s">
        <v>99</v>
      </c>
      <c r="P1" s="33" t="s">
        <v>100</v>
      </c>
      <c r="Q1" s="154" t="s">
        <v>90</v>
      </c>
      <c r="R1" s="33" t="s">
        <v>101</v>
      </c>
      <c r="S1" s="155" t="s">
        <v>102</v>
      </c>
      <c r="T1" s="155"/>
      <c r="U1" s="33" t="s">
        <v>103</v>
      </c>
      <c r="V1" s="109" t="s">
        <v>104</v>
      </c>
      <c r="W1" s="109" t="s">
        <v>105</v>
      </c>
      <c r="X1" s="87" t="s">
        <v>106</v>
      </c>
      <c r="Y1" s="88" t="s">
        <v>107</v>
      </c>
      <c r="Z1" s="154" t="s">
        <v>90</v>
      </c>
      <c r="AA1" s="33" t="s">
        <v>108</v>
      </c>
      <c r="AB1" s="33"/>
      <c r="AC1" s="154" t="s">
        <v>90</v>
      </c>
      <c r="AD1" s="33" t="s">
        <v>109</v>
      </c>
      <c r="AE1" s="33"/>
      <c r="AF1" s="154" t="s">
        <v>90</v>
      </c>
      <c r="AG1" s="33" t="s">
        <v>110</v>
      </c>
      <c r="AH1" s="33"/>
      <c r="AI1" s="154" t="s">
        <v>90</v>
      </c>
      <c r="AJ1" s="33" t="s">
        <v>111</v>
      </c>
      <c r="AK1" s="33"/>
      <c r="AL1" s="154" t="s">
        <v>90</v>
      </c>
      <c r="AM1" s="33" t="s">
        <v>112</v>
      </c>
      <c r="AN1" s="33"/>
      <c r="AO1" s="79" t="s">
        <v>113</v>
      </c>
      <c r="AP1" s="169" t="s">
        <v>114</v>
      </c>
    </row>
    <row r="2" spans="1:42">
      <c r="A2" s="15">
        <v>44926</v>
      </c>
      <c r="B2" s="194">
        <v>0</v>
      </c>
      <c r="C2" s="80">
        <v>0</v>
      </c>
      <c r="D2" s="80">
        <v>0</v>
      </c>
      <c r="E2" s="194">
        <v>25.65</v>
      </c>
      <c r="F2" s="80"/>
      <c r="G2" s="80"/>
      <c r="H2" s="194">
        <v>129.88999999999999</v>
      </c>
      <c r="I2" s="80"/>
      <c r="J2" s="80"/>
      <c r="K2" s="194">
        <v>843.9</v>
      </c>
      <c r="L2" s="80"/>
      <c r="M2" s="80"/>
      <c r="N2" s="194">
        <v>53.9</v>
      </c>
      <c r="O2" s="80"/>
      <c r="P2" s="80"/>
      <c r="Q2" s="194">
        <v>18.77</v>
      </c>
      <c r="R2" s="80"/>
      <c r="S2" s="80"/>
      <c r="T2" s="80"/>
      <c r="U2" s="80"/>
      <c r="V2" s="17"/>
      <c r="W2" s="224"/>
      <c r="X2" s="235"/>
      <c r="Y2" s="80"/>
      <c r="Z2" s="194">
        <v>2.76</v>
      </c>
      <c r="AA2" s="18"/>
      <c r="AB2" s="80"/>
      <c r="AC2" s="194">
        <v>9.9600000000000009</v>
      </c>
      <c r="AD2" s="18"/>
      <c r="AE2" s="80"/>
      <c r="AF2" s="194">
        <v>271.56</v>
      </c>
      <c r="AG2" s="18"/>
      <c r="AH2" s="18"/>
      <c r="AI2" s="194">
        <v>113.61</v>
      </c>
      <c r="AJ2" s="18"/>
      <c r="AK2" s="80"/>
      <c r="AL2" s="194">
        <v>6.34</v>
      </c>
      <c r="AM2" s="18"/>
      <c r="AN2" s="80"/>
      <c r="AO2" s="235"/>
      <c r="AP2" s="236"/>
    </row>
    <row r="3" spans="1:42" s="3" customFormat="1">
      <c r="A3" s="15">
        <v>44927</v>
      </c>
      <c r="B3" s="194">
        <v>0</v>
      </c>
      <c r="C3" s="80">
        <f>B2-B3</f>
        <v>0</v>
      </c>
      <c r="D3" s="80">
        <f t="shared" ref="D3:D9" si="0">+CONVERT(C3,"m^3","gal")</f>
        <v>0</v>
      </c>
      <c r="E3" s="29">
        <v>26.14</v>
      </c>
      <c r="F3" s="80">
        <f>IF(E3="",0,E3-E2)</f>
        <v>0.49000000000000199</v>
      </c>
      <c r="G3" s="80">
        <f t="shared" ref="G3:G9" si="1">+CONVERT(F3,"m^3","gal")</f>
        <v>129.44430565549325</v>
      </c>
      <c r="H3" s="194">
        <v>129.88999999999999</v>
      </c>
      <c r="I3" s="80">
        <f>H3-H2</f>
        <v>0</v>
      </c>
      <c r="J3" s="80">
        <f>+CONVERT(I3,"m^3","gal")</f>
        <v>0</v>
      </c>
      <c r="K3" s="29">
        <v>842.5</v>
      </c>
      <c r="L3" s="80">
        <f t="shared" ref="L3:L9" si="2">K2-K3</f>
        <v>1.3999999999999773</v>
      </c>
      <c r="M3" s="80">
        <f>+CONVERT(L3,"m^3","gal")</f>
        <v>369.84087330140181</v>
      </c>
      <c r="N3" s="31">
        <v>51.5</v>
      </c>
      <c r="O3" s="80">
        <f>N2-N3</f>
        <v>2.3999999999999986</v>
      </c>
      <c r="P3" s="80">
        <f t="shared" ref="P3:P9" si="3">+CONVERT(O3,"m^3","gal")</f>
        <v>634.01292565955589</v>
      </c>
      <c r="Q3" s="29">
        <v>4.63</v>
      </c>
      <c r="R3" s="80">
        <f>Q2-Q3</f>
        <v>14.14</v>
      </c>
      <c r="S3" s="80">
        <f>+CONVERT(R3,"m^3","gal")</f>
        <v>3735.3928203442188</v>
      </c>
      <c r="T3" s="80"/>
      <c r="U3" s="80">
        <f t="shared" ref="U3:U34" si="4">+CONVERT(T3,"gal","l")</f>
        <v>0</v>
      </c>
      <c r="V3" s="215">
        <f t="shared" ref="V3:V66" si="5">+CONVERT(W3,"gal","m3")</f>
        <v>0</v>
      </c>
      <c r="W3" s="185"/>
      <c r="X3" s="80"/>
      <c r="Y3" s="80">
        <f t="shared" ref="Y3:Y34" si="6">+CONVERT(X3,"gal","m^3")</f>
        <v>0</v>
      </c>
      <c r="Z3" s="194">
        <v>2.76</v>
      </c>
      <c r="AA3" s="80">
        <f>IF(Z3="",0,Z3-Z2)</f>
        <v>0</v>
      </c>
      <c r="AB3" s="80">
        <f t="shared" ref="AB3:AB34" si="7">+CONVERT(AA3,"m^3","gal")</f>
        <v>0</v>
      </c>
      <c r="AC3" s="194">
        <v>10.119999999999999</v>
      </c>
      <c r="AD3" s="80">
        <f>IF(AC3="",0,AC3-AC2)</f>
        <v>0.15999999999999837</v>
      </c>
      <c r="AE3" s="80">
        <f t="shared" ref="AE3:AE34" si="8">+CONVERT(AD3,"m^3","gal")</f>
        <v>42.267528377303314</v>
      </c>
      <c r="AF3" s="154">
        <v>271.56</v>
      </c>
      <c r="AG3" s="18">
        <f t="shared" ref="AG3:AG25" si="9">AF2-AF3</f>
        <v>0</v>
      </c>
      <c r="AH3" s="80">
        <f>+CONVERT(AG3,"m^3","gal")</f>
        <v>0</v>
      </c>
      <c r="AI3" s="194">
        <v>107.88</v>
      </c>
      <c r="AJ3" s="18">
        <f t="shared" ref="AJ3:AJ25" si="10">AI2-AI3</f>
        <v>5.730000000000004</v>
      </c>
      <c r="AK3" s="80">
        <f t="shared" ref="AK3:AK34" si="11">+CONVERT(AJ3,"m^3","gal")</f>
        <v>1513.7058600121914</v>
      </c>
      <c r="AL3" s="194">
        <v>7.67</v>
      </c>
      <c r="AM3" s="18">
        <f t="shared" ref="AM3:AM25" si="12">AL2-AL3</f>
        <v>-1.33</v>
      </c>
      <c r="AN3" s="17">
        <f>+CONVERT(AM3,"m^3","gal")</f>
        <v>-351.34882963633743</v>
      </c>
      <c r="AO3" s="235">
        <f>+CONVERT(AP3,"m3","gal")</f>
        <v>0</v>
      </c>
      <c r="AP3" s="18"/>
    </row>
    <row r="4" spans="1:42" s="3" customFormat="1">
      <c r="A4" s="15">
        <v>44928</v>
      </c>
      <c r="B4" s="194">
        <v>0</v>
      </c>
      <c r="C4" s="80">
        <f t="shared" ref="C4:C9" si="13">B3-B4</f>
        <v>0</v>
      </c>
      <c r="D4" s="80">
        <f t="shared" si="0"/>
        <v>0</v>
      </c>
      <c r="E4" s="29">
        <v>27.18</v>
      </c>
      <c r="F4" s="80">
        <f>IF(E4="",0,E4-E3)</f>
        <v>1.0399999999999991</v>
      </c>
      <c r="G4" s="80">
        <f t="shared" si="1"/>
        <v>274.7389344524741</v>
      </c>
      <c r="H4" s="194">
        <v>129.88999999999999</v>
      </c>
      <c r="I4" s="80">
        <f t="shared" ref="I4:I9" si="14">H4-H3</f>
        <v>0</v>
      </c>
      <c r="J4" s="80">
        <f t="shared" ref="J4:J9" si="15">+CONVERT(I4,"m^3","gal")</f>
        <v>0</v>
      </c>
      <c r="K4" s="29">
        <v>840.6</v>
      </c>
      <c r="L4" s="80">
        <f t="shared" si="2"/>
        <v>1.8999999999999773</v>
      </c>
      <c r="M4" s="80">
        <f t="shared" ref="M4:M9" si="16">+CONVERT(L4,"m^3","gal")</f>
        <v>501.92689948047598</v>
      </c>
      <c r="N4" s="31">
        <v>46.8</v>
      </c>
      <c r="O4" s="80">
        <f t="shared" ref="O4:O9" si="17">N3-N4</f>
        <v>4.7000000000000028</v>
      </c>
      <c r="P4" s="80">
        <f t="shared" si="3"/>
        <v>1241.6086460832983</v>
      </c>
      <c r="Q4" s="29">
        <v>18.82</v>
      </c>
      <c r="R4" s="80">
        <f t="shared" ref="R4:R10" si="18">Q3-Q4</f>
        <v>-14.190000000000001</v>
      </c>
      <c r="S4" s="80">
        <f t="shared" ref="S4:S10" si="19">+CONVERT(R4,"m^3","gal")</f>
        <v>-3748.6014229621264</v>
      </c>
      <c r="T4" s="80"/>
      <c r="U4" s="80">
        <f t="shared" si="4"/>
        <v>0</v>
      </c>
      <c r="V4" s="215">
        <f t="shared" si="5"/>
        <v>0</v>
      </c>
      <c r="W4" s="185"/>
      <c r="X4" s="80"/>
      <c r="Y4" s="80">
        <f t="shared" si="6"/>
        <v>0</v>
      </c>
      <c r="Z4" s="194">
        <v>2.77</v>
      </c>
      <c r="AA4" s="80">
        <f t="shared" ref="AA4:AA29" si="20">IF(Z4="",0,Z4-Z3)</f>
        <v>1.0000000000000231E-2</v>
      </c>
      <c r="AB4" s="80">
        <f t="shared" si="7"/>
        <v>2.6417205235815451</v>
      </c>
      <c r="AC4" s="194">
        <v>10.66</v>
      </c>
      <c r="AD4" s="80">
        <f t="shared" ref="AD4:AD55" si="21">IF(AC4="",0,AC4-AC3)</f>
        <v>0.54000000000000092</v>
      </c>
      <c r="AE4" s="80">
        <f t="shared" si="8"/>
        <v>142.65290827340039</v>
      </c>
      <c r="AF4" s="154">
        <v>271.56</v>
      </c>
      <c r="AG4" s="18">
        <f t="shared" si="9"/>
        <v>0</v>
      </c>
      <c r="AH4" s="80">
        <f t="shared" ref="AH4:AH67" si="22">+CONVERT(AG4,"m^3","gal")</f>
        <v>0</v>
      </c>
      <c r="AI4" s="194">
        <v>101.34</v>
      </c>
      <c r="AJ4" s="18">
        <f t="shared" si="10"/>
        <v>6.539999999999992</v>
      </c>
      <c r="AK4" s="80">
        <f t="shared" si="11"/>
        <v>1727.6852224222885</v>
      </c>
      <c r="AL4" s="194">
        <v>7.68</v>
      </c>
      <c r="AM4" s="18">
        <f t="shared" si="12"/>
        <v>-9.9999999999997868E-3</v>
      </c>
      <c r="AN4" s="17">
        <f t="shared" ref="AN4:AN11" si="23">+CONVERT(AM4,"m^3","gal")</f>
        <v>-2.6417205235814278</v>
      </c>
      <c r="AO4" s="235">
        <f t="shared" ref="AO4:AO9" si="24">+CONVERT(AP4,"m3","gal")</f>
        <v>0</v>
      </c>
      <c r="AP4" s="18"/>
    </row>
    <row r="5" spans="1:42" s="3" customFormat="1">
      <c r="A5" s="15">
        <v>44929</v>
      </c>
      <c r="B5" s="194">
        <v>0</v>
      </c>
      <c r="C5" s="80">
        <f t="shared" si="13"/>
        <v>0</v>
      </c>
      <c r="D5" s="80">
        <f t="shared" si="0"/>
        <v>0</v>
      </c>
      <c r="E5" s="29">
        <v>27.94</v>
      </c>
      <c r="F5" s="80">
        <f t="shared" ref="F5:F32" si="25">IF(E5="",0,E5-E4)</f>
        <v>0.76000000000000156</v>
      </c>
      <c r="G5" s="80">
        <f t="shared" si="1"/>
        <v>200.77075979219322</v>
      </c>
      <c r="H5" s="194">
        <v>129.88999999999999</v>
      </c>
      <c r="I5" s="80">
        <f t="shared" si="14"/>
        <v>0</v>
      </c>
      <c r="J5" s="80">
        <f t="shared" si="15"/>
        <v>0</v>
      </c>
      <c r="K5" s="29">
        <v>836.4</v>
      </c>
      <c r="L5" s="80">
        <f t="shared" si="2"/>
        <v>4.2000000000000455</v>
      </c>
      <c r="M5" s="80">
        <f t="shared" si="16"/>
        <v>1109.5226199042354</v>
      </c>
      <c r="N5" s="31">
        <v>82.4</v>
      </c>
      <c r="O5" s="80">
        <f t="shared" si="17"/>
        <v>-35.600000000000009</v>
      </c>
      <c r="P5" s="80">
        <f t="shared" si="3"/>
        <v>-9404.5250639500864</v>
      </c>
      <c r="Q5" s="29">
        <v>18.82</v>
      </c>
      <c r="R5" s="80">
        <f t="shared" si="18"/>
        <v>0</v>
      </c>
      <c r="S5" s="80">
        <f t="shared" si="19"/>
        <v>0</v>
      </c>
      <c r="T5" s="80"/>
      <c r="U5" s="80">
        <f t="shared" si="4"/>
        <v>0</v>
      </c>
      <c r="V5" s="215">
        <f t="shared" si="5"/>
        <v>0</v>
      </c>
      <c r="W5" s="185"/>
      <c r="X5" s="80"/>
      <c r="Y5" s="80">
        <f t="shared" si="6"/>
        <v>0</v>
      </c>
      <c r="Z5" s="194">
        <v>2.78</v>
      </c>
      <c r="AA5" s="80">
        <f t="shared" si="20"/>
        <v>9.9999999999997868E-3</v>
      </c>
      <c r="AB5" s="80">
        <f t="shared" si="7"/>
        <v>2.6417205235814278</v>
      </c>
      <c r="AC5" s="194">
        <v>11.66</v>
      </c>
      <c r="AD5" s="80">
        <f t="shared" si="21"/>
        <v>1</v>
      </c>
      <c r="AE5" s="80">
        <f t="shared" si="8"/>
        <v>264.17205235814845</v>
      </c>
      <c r="AF5" s="154">
        <v>271.56</v>
      </c>
      <c r="AG5" s="18">
        <f t="shared" si="9"/>
        <v>0</v>
      </c>
      <c r="AH5" s="80">
        <f t="shared" si="22"/>
        <v>0</v>
      </c>
      <c r="AI5" s="194">
        <v>91.74</v>
      </c>
      <c r="AJ5" s="18">
        <f t="shared" si="10"/>
        <v>9.6000000000000085</v>
      </c>
      <c r="AK5" s="80">
        <f t="shared" si="11"/>
        <v>2536.0517026382272</v>
      </c>
      <c r="AL5" s="194">
        <v>6.41</v>
      </c>
      <c r="AM5" s="18">
        <f t="shared" si="12"/>
        <v>1.2699999999999996</v>
      </c>
      <c r="AN5" s="17">
        <f t="shared" si="23"/>
        <v>335.49850649484836</v>
      </c>
      <c r="AO5" s="235">
        <f t="shared" si="24"/>
        <v>0</v>
      </c>
      <c r="AP5" s="18"/>
    </row>
    <row r="6" spans="1:42" s="3" customFormat="1">
      <c r="A6" s="15">
        <v>44930</v>
      </c>
      <c r="B6" s="194">
        <v>0</v>
      </c>
      <c r="C6" s="80">
        <f t="shared" si="13"/>
        <v>0</v>
      </c>
      <c r="D6" s="80">
        <f t="shared" si="0"/>
        <v>0</v>
      </c>
      <c r="E6" s="29">
        <v>29.18</v>
      </c>
      <c r="F6" s="80">
        <f t="shared" si="25"/>
        <v>1.2399999999999984</v>
      </c>
      <c r="G6" s="80">
        <f t="shared" si="1"/>
        <v>327.57334492410365</v>
      </c>
      <c r="H6" s="194">
        <v>129.88999999999999</v>
      </c>
      <c r="I6" s="80">
        <f t="shared" si="14"/>
        <v>0</v>
      </c>
      <c r="J6" s="80">
        <f t="shared" si="15"/>
        <v>0</v>
      </c>
      <c r="K6" s="29">
        <v>830.4</v>
      </c>
      <c r="L6" s="80">
        <f t="shared" si="2"/>
        <v>6</v>
      </c>
      <c r="M6" s="80">
        <f t="shared" si="16"/>
        <v>1585.0323141488905</v>
      </c>
      <c r="N6" s="31">
        <v>76.599999999999994</v>
      </c>
      <c r="O6" s="80">
        <f t="shared" si="17"/>
        <v>5.8000000000000114</v>
      </c>
      <c r="P6" s="80">
        <f t="shared" si="3"/>
        <v>1532.1979036772636</v>
      </c>
      <c r="Q6" s="29">
        <v>18.82</v>
      </c>
      <c r="R6" s="80">
        <f t="shared" si="18"/>
        <v>0</v>
      </c>
      <c r="S6" s="80">
        <f t="shared" si="19"/>
        <v>0</v>
      </c>
      <c r="T6" s="80"/>
      <c r="U6" s="80">
        <f t="shared" si="4"/>
        <v>0</v>
      </c>
      <c r="V6" s="215">
        <f t="shared" si="5"/>
        <v>0</v>
      </c>
      <c r="W6" s="185"/>
      <c r="X6" s="80"/>
      <c r="Y6" s="80">
        <f t="shared" si="6"/>
        <v>0</v>
      </c>
      <c r="Z6" s="194">
        <v>2.78</v>
      </c>
      <c r="AA6" s="80">
        <f t="shared" si="20"/>
        <v>0</v>
      </c>
      <c r="AB6" s="80">
        <f t="shared" si="7"/>
        <v>0</v>
      </c>
      <c r="AC6" s="194">
        <v>12.66</v>
      </c>
      <c r="AD6" s="80">
        <f t="shared" si="21"/>
        <v>1</v>
      </c>
      <c r="AE6" s="80">
        <f t="shared" si="8"/>
        <v>264.17205235814845</v>
      </c>
      <c r="AF6" s="154">
        <v>271.56</v>
      </c>
      <c r="AG6" s="18">
        <f t="shared" si="9"/>
        <v>0</v>
      </c>
      <c r="AH6" s="80">
        <f t="shared" si="22"/>
        <v>0</v>
      </c>
      <c r="AI6" s="194">
        <v>110.4</v>
      </c>
      <c r="AJ6" s="18">
        <f t="shared" si="10"/>
        <v>-18.660000000000011</v>
      </c>
      <c r="AK6" s="80">
        <f t="shared" si="11"/>
        <v>-4929.4504970030521</v>
      </c>
      <c r="AL6" s="194">
        <v>8.24</v>
      </c>
      <c r="AM6" s="18">
        <f t="shared" si="12"/>
        <v>-1.83</v>
      </c>
      <c r="AN6" s="17">
        <f t="shared" si="23"/>
        <v>-483.43485581541159</v>
      </c>
      <c r="AO6" s="235">
        <f>+CONVERT(AP6,"m3","gal")</f>
        <v>9272.4390377710097</v>
      </c>
      <c r="AP6" s="18">
        <v>35.1</v>
      </c>
    </row>
    <row r="7" spans="1:42" s="3" customFormat="1">
      <c r="A7" s="15">
        <v>44931</v>
      </c>
      <c r="B7" s="194">
        <v>0</v>
      </c>
      <c r="C7" s="80">
        <f t="shared" si="13"/>
        <v>0</v>
      </c>
      <c r="D7" s="80">
        <f t="shared" si="0"/>
        <v>0</v>
      </c>
      <c r="E7" s="29">
        <v>30.58</v>
      </c>
      <c r="F7" s="80">
        <f t="shared" si="25"/>
        <v>1.3999999999999986</v>
      </c>
      <c r="G7" s="80">
        <f t="shared" si="1"/>
        <v>369.84087330140744</v>
      </c>
      <c r="H7" s="194">
        <v>129.88999999999999</v>
      </c>
      <c r="I7" s="80">
        <f t="shared" si="14"/>
        <v>0</v>
      </c>
      <c r="J7" s="80">
        <f t="shared" si="15"/>
        <v>0</v>
      </c>
      <c r="K7" s="29">
        <v>828.8</v>
      </c>
      <c r="L7" s="80">
        <f t="shared" si="2"/>
        <v>1.6000000000000227</v>
      </c>
      <c r="M7" s="80">
        <f t="shared" si="16"/>
        <v>422.67528377304347</v>
      </c>
      <c r="N7" s="31">
        <v>69.86</v>
      </c>
      <c r="O7" s="80">
        <f t="shared" si="17"/>
        <v>6.7399999999999949</v>
      </c>
      <c r="P7" s="80">
        <f t="shared" si="3"/>
        <v>1780.5196328939189</v>
      </c>
      <c r="Q7" s="29">
        <v>18.809999999999999</v>
      </c>
      <c r="R7" s="80">
        <f t="shared" si="18"/>
        <v>1.0000000000001563E-2</v>
      </c>
      <c r="S7" s="80">
        <f t="shared" si="19"/>
        <v>2.6417205235818972</v>
      </c>
      <c r="T7" s="80"/>
      <c r="U7" s="80">
        <f t="shared" si="4"/>
        <v>0</v>
      </c>
      <c r="V7" s="215">
        <f t="shared" si="5"/>
        <v>0</v>
      </c>
      <c r="W7" s="185"/>
      <c r="X7" s="80"/>
      <c r="Y7" s="80">
        <f t="shared" si="6"/>
        <v>0</v>
      </c>
      <c r="Z7" s="194">
        <v>2.78</v>
      </c>
      <c r="AA7" s="80">
        <f t="shared" si="20"/>
        <v>0</v>
      </c>
      <c r="AB7" s="80">
        <f t="shared" si="7"/>
        <v>0</v>
      </c>
      <c r="AC7" s="194">
        <v>13.64</v>
      </c>
      <c r="AD7" s="80">
        <f t="shared" si="21"/>
        <v>0.98000000000000043</v>
      </c>
      <c r="AE7" s="80">
        <f t="shared" si="8"/>
        <v>258.8886113109856</v>
      </c>
      <c r="AF7" s="154">
        <v>271.56</v>
      </c>
      <c r="AG7" s="18">
        <f t="shared" si="9"/>
        <v>0</v>
      </c>
      <c r="AH7" s="80">
        <f t="shared" si="22"/>
        <v>0</v>
      </c>
      <c r="AI7" s="194">
        <v>136.5</v>
      </c>
      <c r="AJ7" s="18">
        <f t="shared" si="10"/>
        <v>-26.099999999999994</v>
      </c>
      <c r="AK7" s="80">
        <f t="shared" si="11"/>
        <v>-6894.8905665476723</v>
      </c>
      <c r="AL7" s="194">
        <v>8.01</v>
      </c>
      <c r="AM7" s="18">
        <f t="shared" si="12"/>
        <v>0.23000000000000043</v>
      </c>
      <c r="AN7" s="17">
        <f t="shared" si="23"/>
        <v>60.759572042374252</v>
      </c>
      <c r="AO7" s="235">
        <f t="shared" si="24"/>
        <v>6815.638950840229</v>
      </c>
      <c r="AP7" s="18">
        <v>25.8</v>
      </c>
    </row>
    <row r="8" spans="1:42" s="3" customFormat="1">
      <c r="A8" s="15">
        <v>44932</v>
      </c>
      <c r="B8" s="194">
        <v>0</v>
      </c>
      <c r="C8" s="80">
        <f t="shared" si="13"/>
        <v>0</v>
      </c>
      <c r="D8" s="80">
        <f t="shared" si="0"/>
        <v>0</v>
      </c>
      <c r="E8" s="29">
        <v>32.049999999999997</v>
      </c>
      <c r="F8" s="80">
        <f t="shared" si="25"/>
        <v>1.4699999999999989</v>
      </c>
      <c r="G8" s="80">
        <f t="shared" si="1"/>
        <v>388.33291696647785</v>
      </c>
      <c r="H8" s="194">
        <v>129.88999999999999</v>
      </c>
      <c r="I8" s="80">
        <f t="shared" si="14"/>
        <v>0</v>
      </c>
      <c r="J8" s="80">
        <f t="shared" si="15"/>
        <v>0</v>
      </c>
      <c r="K8" s="29">
        <v>827.7</v>
      </c>
      <c r="L8" s="80">
        <f t="shared" si="2"/>
        <v>1.0999999999999091</v>
      </c>
      <c r="M8" s="80">
        <f t="shared" si="16"/>
        <v>290.58925759393924</v>
      </c>
      <c r="N8" s="31">
        <v>100</v>
      </c>
      <c r="O8" s="80">
        <f t="shared" si="17"/>
        <v>-30.14</v>
      </c>
      <c r="P8" s="80">
        <f t="shared" si="3"/>
        <v>-7962.1456580745935</v>
      </c>
      <c r="Q8" s="29">
        <v>18.809999999999999</v>
      </c>
      <c r="R8" s="80">
        <f t="shared" si="18"/>
        <v>0</v>
      </c>
      <c r="S8" s="80">
        <f t="shared" si="19"/>
        <v>0</v>
      </c>
      <c r="T8" s="80"/>
      <c r="U8" s="80">
        <f t="shared" si="4"/>
        <v>0</v>
      </c>
      <c r="V8" s="215">
        <f t="shared" si="5"/>
        <v>0</v>
      </c>
      <c r="W8" s="185"/>
      <c r="X8" s="80"/>
      <c r="Y8" s="80">
        <f t="shared" si="6"/>
        <v>0</v>
      </c>
      <c r="Z8" s="194">
        <v>2.76</v>
      </c>
      <c r="AA8" s="80">
        <f t="shared" si="20"/>
        <v>-2.0000000000000018E-2</v>
      </c>
      <c r="AB8" s="80">
        <f t="shared" si="7"/>
        <v>-5.2834410471629729</v>
      </c>
      <c r="AC8" s="194">
        <v>14.86</v>
      </c>
      <c r="AD8" s="80">
        <f t="shared" si="21"/>
        <v>1.2199999999999989</v>
      </c>
      <c r="AE8" s="80">
        <f t="shared" si="8"/>
        <v>322.2899038769408</v>
      </c>
      <c r="AF8" s="154">
        <v>271.56</v>
      </c>
      <c r="AG8" s="18">
        <f t="shared" si="9"/>
        <v>0</v>
      </c>
      <c r="AH8" s="80">
        <f t="shared" si="22"/>
        <v>0</v>
      </c>
      <c r="AI8" s="219">
        <v>123.9</v>
      </c>
      <c r="AJ8" s="225">
        <f t="shared" si="10"/>
        <v>12.599999999999994</v>
      </c>
      <c r="AK8" s="215">
        <f t="shared" si="11"/>
        <v>3328.5678597126689</v>
      </c>
      <c r="AL8" s="194">
        <v>6.38</v>
      </c>
      <c r="AM8" s="18">
        <f t="shared" si="12"/>
        <v>1.63</v>
      </c>
      <c r="AN8" s="17">
        <f t="shared" si="23"/>
        <v>430.60044534378193</v>
      </c>
      <c r="AO8" s="235">
        <f t="shared" si="24"/>
        <v>0</v>
      </c>
      <c r="AP8" s="18"/>
    </row>
    <row r="9" spans="1:42" s="3" customFormat="1">
      <c r="A9" s="15">
        <v>44933</v>
      </c>
      <c r="B9" s="194">
        <v>0</v>
      </c>
      <c r="C9" s="80">
        <f t="shared" si="13"/>
        <v>0</v>
      </c>
      <c r="D9" s="80">
        <f t="shared" si="0"/>
        <v>0</v>
      </c>
      <c r="E9" s="29">
        <v>33.28</v>
      </c>
      <c r="F9" s="80">
        <f t="shared" si="25"/>
        <v>1.230000000000004</v>
      </c>
      <c r="G9" s="80">
        <f t="shared" si="1"/>
        <v>324.93162440052362</v>
      </c>
      <c r="H9" s="194">
        <v>129.88999999999999</v>
      </c>
      <c r="I9" s="80">
        <f t="shared" si="14"/>
        <v>0</v>
      </c>
      <c r="J9" s="80">
        <f t="shared" si="15"/>
        <v>0</v>
      </c>
      <c r="K9" s="29">
        <v>820.4</v>
      </c>
      <c r="L9" s="80">
        <f t="shared" si="2"/>
        <v>7.3000000000000682</v>
      </c>
      <c r="M9" s="80">
        <f t="shared" si="16"/>
        <v>1928.4559822145015</v>
      </c>
      <c r="N9" s="31">
        <v>93.59</v>
      </c>
      <c r="O9" s="80">
        <f t="shared" si="17"/>
        <v>6.4099999999999966</v>
      </c>
      <c r="P9" s="80">
        <f t="shared" si="3"/>
        <v>1693.3428556157305</v>
      </c>
      <c r="Q9" s="268">
        <v>18.809999999999999</v>
      </c>
      <c r="R9" s="269">
        <f>Q2-Q9</f>
        <v>-3.9999999999999147E-2</v>
      </c>
      <c r="S9" s="269">
        <f t="shared" si="19"/>
        <v>-10.566882094325711</v>
      </c>
      <c r="T9" s="269">
        <f>S9</f>
        <v>-10.566882094325711</v>
      </c>
      <c r="U9" s="269">
        <f t="shared" si="4"/>
        <v>-39.999999999999147</v>
      </c>
      <c r="V9" s="215">
        <f t="shared" si="5"/>
        <v>0</v>
      </c>
      <c r="W9" s="185"/>
      <c r="X9" s="80"/>
      <c r="Y9" s="80">
        <f t="shared" si="6"/>
        <v>0</v>
      </c>
      <c r="Z9" s="194">
        <v>2.78</v>
      </c>
      <c r="AA9" s="80">
        <f t="shared" si="20"/>
        <v>2.0000000000000018E-2</v>
      </c>
      <c r="AB9" s="80">
        <f t="shared" si="7"/>
        <v>5.2834410471629729</v>
      </c>
      <c r="AC9" s="194">
        <v>15.9</v>
      </c>
      <c r="AD9" s="80">
        <f t="shared" si="21"/>
        <v>1.0400000000000009</v>
      </c>
      <c r="AE9" s="80">
        <f t="shared" si="8"/>
        <v>274.73893445247461</v>
      </c>
      <c r="AF9" s="154">
        <v>271.56</v>
      </c>
      <c r="AG9" s="18">
        <f t="shared" si="9"/>
        <v>0</v>
      </c>
      <c r="AH9" s="80">
        <f t="shared" si="22"/>
        <v>0</v>
      </c>
      <c r="AI9" s="219">
        <v>114</v>
      </c>
      <c r="AJ9" s="225">
        <f t="shared" si="10"/>
        <v>9.9000000000000057</v>
      </c>
      <c r="AK9" s="215">
        <f t="shared" si="11"/>
        <v>2615.303318345671</v>
      </c>
      <c r="AL9" s="194">
        <v>6.44</v>
      </c>
      <c r="AM9" s="18">
        <f t="shared" si="12"/>
        <v>-6.0000000000000497E-2</v>
      </c>
      <c r="AN9" s="17">
        <f t="shared" si="23"/>
        <v>-15.850323141489037</v>
      </c>
      <c r="AO9" s="235">
        <f t="shared" si="24"/>
        <v>0</v>
      </c>
      <c r="AP9" s="18"/>
    </row>
    <row r="10" spans="1:42" s="3" customFormat="1">
      <c r="A10" s="15">
        <v>44934</v>
      </c>
      <c r="B10" s="194">
        <v>0</v>
      </c>
      <c r="C10" s="80">
        <f t="shared" ref="C10:C25" si="26">B9-B10</f>
        <v>0</v>
      </c>
      <c r="D10" s="80">
        <f t="shared" ref="D10:D41" si="27">+CONVERT(C10,"m^3","gal")</f>
        <v>0</v>
      </c>
      <c r="E10" s="29">
        <v>32.799999999999997</v>
      </c>
      <c r="F10" s="80">
        <f t="shared" si="25"/>
        <v>-0.48000000000000398</v>
      </c>
      <c r="G10" s="80">
        <f t="shared" ref="G10:G41" si="28">+CONVERT(F10,"m^3","gal")</f>
        <v>-126.80258513191229</v>
      </c>
      <c r="H10" s="194">
        <v>129.88999999999999</v>
      </c>
      <c r="I10" s="80">
        <f t="shared" ref="I10:I25" si="29">H10-H9</f>
        <v>0</v>
      </c>
      <c r="J10" s="80">
        <f t="shared" ref="J10:J41" si="30">+CONVERT(I10,"m^3","gal")</f>
        <v>0</v>
      </c>
      <c r="K10" s="29">
        <v>818.5</v>
      </c>
      <c r="L10" s="80">
        <f t="shared" ref="L10:L25" si="31">K9-K10</f>
        <v>1.8999999999999773</v>
      </c>
      <c r="M10" s="80">
        <f t="shared" ref="M10:M41" si="32">+CONVERT(L10,"m^3","gal")</f>
        <v>501.92689948047598</v>
      </c>
      <c r="N10" s="31">
        <v>88.43</v>
      </c>
      <c r="O10" s="80">
        <f t="shared" ref="O10:O25" si="33">N9-N10</f>
        <v>5.1599999999999966</v>
      </c>
      <c r="P10" s="80">
        <f t="shared" ref="P10:P41" si="34">+CONVERT(O10,"m^3","gal")</f>
        <v>1363.1277901680448</v>
      </c>
      <c r="Q10" s="29">
        <v>18.809999999999999</v>
      </c>
      <c r="R10" s="80">
        <f t="shared" si="18"/>
        <v>0</v>
      </c>
      <c r="S10" s="80">
        <f t="shared" si="19"/>
        <v>0</v>
      </c>
      <c r="T10" s="80"/>
      <c r="U10" s="80">
        <f t="shared" si="4"/>
        <v>0</v>
      </c>
      <c r="V10" s="215">
        <f t="shared" si="5"/>
        <v>0</v>
      </c>
      <c r="W10" s="185"/>
      <c r="X10" s="80"/>
      <c r="Y10" s="80">
        <f t="shared" si="6"/>
        <v>0</v>
      </c>
      <c r="Z10" s="194">
        <v>2.78</v>
      </c>
      <c r="AA10" s="80">
        <f t="shared" si="20"/>
        <v>0</v>
      </c>
      <c r="AB10" s="80">
        <f t="shared" si="7"/>
        <v>0</v>
      </c>
      <c r="AC10" s="194">
        <v>16.96</v>
      </c>
      <c r="AD10" s="80">
        <f t="shared" si="21"/>
        <v>1.0600000000000005</v>
      </c>
      <c r="AE10" s="80">
        <f t="shared" si="8"/>
        <v>280.02237549963746</v>
      </c>
      <c r="AF10" s="154">
        <v>271.56</v>
      </c>
      <c r="AG10" s="18">
        <f t="shared" si="9"/>
        <v>0</v>
      </c>
      <c r="AH10" s="80">
        <f t="shared" si="22"/>
        <v>0</v>
      </c>
      <c r="AI10" s="219">
        <v>105</v>
      </c>
      <c r="AJ10" s="225">
        <f t="shared" si="10"/>
        <v>9</v>
      </c>
      <c r="AK10" s="215">
        <f t="shared" si="11"/>
        <v>2377.5484712233356</v>
      </c>
      <c r="AL10" s="194">
        <v>6.07</v>
      </c>
      <c r="AM10" s="18">
        <f t="shared" si="12"/>
        <v>0.37000000000000011</v>
      </c>
      <c r="AN10" s="17">
        <f t="shared" si="23"/>
        <v>97.743659372514941</v>
      </c>
      <c r="AO10" s="235">
        <f t="shared" ref="AO10:AO41" si="35">+CONVERT(AP10,"m3","gal")</f>
        <v>0</v>
      </c>
      <c r="AP10" s="18"/>
    </row>
    <row r="11" spans="1:42" s="3" customFormat="1">
      <c r="A11" s="15">
        <v>44935</v>
      </c>
      <c r="B11" s="194">
        <v>0</v>
      </c>
      <c r="C11" s="80">
        <f t="shared" si="26"/>
        <v>0</v>
      </c>
      <c r="D11" s="80">
        <f t="shared" si="27"/>
        <v>0</v>
      </c>
      <c r="E11" s="29">
        <v>35.630000000000003</v>
      </c>
      <c r="F11" s="80">
        <f t="shared" si="25"/>
        <v>2.8300000000000054</v>
      </c>
      <c r="G11" s="80">
        <f t="shared" si="28"/>
        <v>747.60690817356146</v>
      </c>
      <c r="H11" s="194">
        <v>129.88999999999999</v>
      </c>
      <c r="I11" s="80">
        <f t="shared" si="29"/>
        <v>0</v>
      </c>
      <c r="J11" s="80">
        <f t="shared" si="30"/>
        <v>0</v>
      </c>
      <c r="K11" s="29">
        <v>816.5</v>
      </c>
      <c r="L11" s="80">
        <f t="shared" si="31"/>
        <v>2</v>
      </c>
      <c r="M11" s="80">
        <f t="shared" si="32"/>
        <v>528.3441047162969</v>
      </c>
      <c r="N11" s="31">
        <v>81.91</v>
      </c>
      <c r="O11" s="80">
        <f t="shared" si="33"/>
        <v>6.5200000000000102</v>
      </c>
      <c r="P11" s="80">
        <f t="shared" si="34"/>
        <v>1722.4017813751304</v>
      </c>
      <c r="Q11" s="29">
        <v>18.809999999999999</v>
      </c>
      <c r="R11" s="80">
        <f t="shared" ref="R11:R16" si="36">Q10-Q11</f>
        <v>0</v>
      </c>
      <c r="S11" s="80">
        <f t="shared" ref="S11:S42" si="37">+CONVERT(R11,"m^3","gal")</f>
        <v>0</v>
      </c>
      <c r="T11" s="80"/>
      <c r="U11" s="80">
        <f t="shared" si="4"/>
        <v>0</v>
      </c>
      <c r="V11" s="215">
        <f t="shared" si="5"/>
        <v>0</v>
      </c>
      <c r="W11" s="185"/>
      <c r="X11" s="80"/>
      <c r="Y11" s="80">
        <f t="shared" si="6"/>
        <v>0</v>
      </c>
      <c r="Z11" s="194">
        <v>3.43</v>
      </c>
      <c r="AA11" s="80">
        <f t="shared" si="20"/>
        <v>0.65000000000000036</v>
      </c>
      <c r="AB11" s="80">
        <f t="shared" si="7"/>
        <v>171.71183403279656</v>
      </c>
      <c r="AC11" s="194">
        <v>17.309999999999999</v>
      </c>
      <c r="AD11" s="80">
        <f t="shared" si="21"/>
        <v>0.34999999999999787</v>
      </c>
      <c r="AE11" s="80">
        <f t="shared" si="8"/>
        <v>92.460218325351377</v>
      </c>
      <c r="AF11" s="154">
        <v>271.56</v>
      </c>
      <c r="AG11" s="18">
        <f t="shared" si="9"/>
        <v>0</v>
      </c>
      <c r="AH11" s="80">
        <f t="shared" si="22"/>
        <v>0</v>
      </c>
      <c r="AI11" s="194">
        <v>93.36</v>
      </c>
      <c r="AJ11" s="18">
        <f t="shared" si="10"/>
        <v>11.64</v>
      </c>
      <c r="AK11" s="80">
        <f t="shared" si="11"/>
        <v>3074.9626894488479</v>
      </c>
      <c r="AL11" s="194">
        <v>4.74</v>
      </c>
      <c r="AM11" s="18">
        <f t="shared" si="12"/>
        <v>1.33</v>
      </c>
      <c r="AN11" s="17">
        <f t="shared" si="23"/>
        <v>351.34882963633743</v>
      </c>
      <c r="AO11" s="235">
        <f t="shared" si="35"/>
        <v>0</v>
      </c>
      <c r="AP11" s="18"/>
    </row>
    <row r="12" spans="1:42" s="3" customFormat="1">
      <c r="A12" s="15">
        <v>44936</v>
      </c>
      <c r="B12" s="194">
        <v>0</v>
      </c>
      <c r="C12" s="80">
        <f t="shared" si="26"/>
        <v>0</v>
      </c>
      <c r="D12" s="80">
        <f t="shared" si="27"/>
        <v>0</v>
      </c>
      <c r="E12" s="29">
        <v>37.04</v>
      </c>
      <c r="F12" s="80">
        <f t="shared" si="25"/>
        <v>1.4099999999999966</v>
      </c>
      <c r="G12" s="80">
        <f t="shared" si="28"/>
        <v>372.48259382498838</v>
      </c>
      <c r="H12" s="194">
        <v>129.88999999999999</v>
      </c>
      <c r="I12" s="80">
        <f t="shared" si="29"/>
        <v>0</v>
      </c>
      <c r="J12" s="80">
        <f t="shared" si="30"/>
        <v>0</v>
      </c>
      <c r="K12" s="29">
        <v>815.3</v>
      </c>
      <c r="L12" s="80">
        <f t="shared" si="31"/>
        <v>1.2000000000000455</v>
      </c>
      <c r="M12" s="80">
        <f t="shared" si="32"/>
        <v>317.00646282979011</v>
      </c>
      <c r="N12" s="31">
        <v>74.59</v>
      </c>
      <c r="O12" s="80">
        <f t="shared" si="33"/>
        <v>7.3199999999999932</v>
      </c>
      <c r="P12" s="80">
        <f t="shared" si="34"/>
        <v>1933.7394232616446</v>
      </c>
      <c r="Q12" s="29">
        <v>18.84</v>
      </c>
      <c r="R12" s="80">
        <f t="shared" si="36"/>
        <v>-3.0000000000001137E-2</v>
      </c>
      <c r="S12" s="80">
        <f t="shared" si="37"/>
        <v>-7.9251615707447529</v>
      </c>
      <c r="T12" s="80"/>
      <c r="U12" s="80">
        <f t="shared" si="4"/>
        <v>0</v>
      </c>
      <c r="V12" s="215">
        <f t="shared" si="5"/>
        <v>0</v>
      </c>
      <c r="W12" s="185"/>
      <c r="X12" s="80"/>
      <c r="Y12" s="80">
        <f t="shared" si="6"/>
        <v>0</v>
      </c>
      <c r="Z12" s="194">
        <v>4.67</v>
      </c>
      <c r="AA12" s="80">
        <f t="shared" si="20"/>
        <v>1.2399999999999998</v>
      </c>
      <c r="AB12" s="80">
        <f t="shared" si="7"/>
        <v>327.57334492410399</v>
      </c>
      <c r="AC12" s="194">
        <v>17.28</v>
      </c>
      <c r="AD12" s="80">
        <f t="shared" si="21"/>
        <v>-2.9999999999997584E-2</v>
      </c>
      <c r="AE12" s="80">
        <f t="shared" si="8"/>
        <v>-7.9251615707438141</v>
      </c>
      <c r="AF12" s="154">
        <v>271.56</v>
      </c>
      <c r="AG12" s="18">
        <f t="shared" si="9"/>
        <v>0</v>
      </c>
      <c r="AH12" s="80">
        <f t="shared" si="22"/>
        <v>0</v>
      </c>
      <c r="AI12" s="194">
        <v>132.33000000000001</v>
      </c>
      <c r="AJ12" s="18">
        <f t="shared" si="10"/>
        <v>-38.970000000000013</v>
      </c>
      <c r="AK12" s="80">
        <f t="shared" si="11"/>
        <v>-10294.784880397048</v>
      </c>
      <c r="AL12" s="194">
        <v>3.29</v>
      </c>
      <c r="AM12" s="18">
        <f t="shared" si="12"/>
        <v>1.4500000000000002</v>
      </c>
      <c r="AN12" s="17">
        <f t="shared" ref="AN12:AN33" si="38">+CONVERT(AM12,"m^3","gal")</f>
        <v>383.04947591931528</v>
      </c>
      <c r="AO12" s="235">
        <f t="shared" si="35"/>
        <v>12497.979797064001</v>
      </c>
      <c r="AP12" s="18">
        <v>47.31</v>
      </c>
    </row>
    <row r="13" spans="1:42" s="3" customFormat="1">
      <c r="A13" s="15">
        <v>44937</v>
      </c>
      <c r="B13" s="194">
        <v>0</v>
      </c>
      <c r="C13" s="80">
        <f t="shared" si="26"/>
        <v>0</v>
      </c>
      <c r="D13" s="80">
        <f t="shared" si="27"/>
        <v>0</v>
      </c>
      <c r="E13" s="29">
        <v>38.29</v>
      </c>
      <c r="F13" s="80">
        <f t="shared" si="25"/>
        <v>1.25</v>
      </c>
      <c r="G13" s="80">
        <f t="shared" si="28"/>
        <v>330.2150654476855</v>
      </c>
      <c r="H13" s="194">
        <v>129.88999999999999</v>
      </c>
      <c r="I13" s="80">
        <f t="shared" si="29"/>
        <v>0</v>
      </c>
      <c r="J13" s="80">
        <f t="shared" si="30"/>
        <v>0</v>
      </c>
      <c r="K13" s="29">
        <v>814.3</v>
      </c>
      <c r="L13" s="80">
        <f t="shared" si="31"/>
        <v>1</v>
      </c>
      <c r="M13" s="80">
        <f t="shared" si="32"/>
        <v>264.17205235814845</v>
      </c>
      <c r="N13" s="31">
        <v>67.61</v>
      </c>
      <c r="O13" s="80">
        <f t="shared" si="33"/>
        <v>6.980000000000004</v>
      </c>
      <c r="P13" s="80">
        <f t="shared" si="34"/>
        <v>1843.920925459877</v>
      </c>
      <c r="Q13" s="29">
        <v>14.36</v>
      </c>
      <c r="R13" s="80">
        <f t="shared" si="36"/>
        <v>4.4800000000000004</v>
      </c>
      <c r="S13" s="80">
        <f t="shared" si="37"/>
        <v>1183.490794564505</v>
      </c>
      <c r="T13" s="80"/>
      <c r="U13" s="80">
        <f t="shared" si="4"/>
        <v>0</v>
      </c>
      <c r="V13" s="215">
        <f t="shared" si="5"/>
        <v>0</v>
      </c>
      <c r="W13" s="185"/>
      <c r="X13" s="80"/>
      <c r="Y13" s="80">
        <f t="shared" si="6"/>
        <v>0</v>
      </c>
      <c r="Z13" s="194">
        <v>14.27</v>
      </c>
      <c r="AA13" s="80">
        <f t="shared" si="20"/>
        <v>9.6</v>
      </c>
      <c r="AB13" s="80">
        <f t="shared" si="7"/>
        <v>2536.0517026382249</v>
      </c>
      <c r="AC13" s="194">
        <v>17.329999999999998</v>
      </c>
      <c r="AD13" s="80">
        <f t="shared" si="21"/>
        <v>4.9999999999997158E-2</v>
      </c>
      <c r="AE13" s="80">
        <f t="shared" si="8"/>
        <v>13.208602617906671</v>
      </c>
      <c r="AF13" s="154">
        <v>271.95</v>
      </c>
      <c r="AG13" s="18">
        <f t="shared" si="9"/>
        <v>-0.38999999999998636</v>
      </c>
      <c r="AH13" s="80">
        <f t="shared" si="22"/>
        <v>-103.02710041967428</v>
      </c>
      <c r="AI13" s="194">
        <v>128.31</v>
      </c>
      <c r="AJ13" s="18">
        <f t="shared" si="10"/>
        <v>4.0200000000000102</v>
      </c>
      <c r="AK13" s="80">
        <f t="shared" si="11"/>
        <v>1061.9716504797593</v>
      </c>
      <c r="AL13" s="194">
        <v>6.25</v>
      </c>
      <c r="AM13" s="18">
        <f t="shared" si="12"/>
        <v>-2.96</v>
      </c>
      <c r="AN13" s="17">
        <f t="shared" si="38"/>
        <v>-781.9492749801193</v>
      </c>
      <c r="AO13" s="235">
        <f t="shared" si="35"/>
        <v>3217.6155977222479</v>
      </c>
      <c r="AP13" s="18">
        <v>12.18</v>
      </c>
    </row>
    <row r="14" spans="1:42" s="3" customFormat="1">
      <c r="A14" s="15">
        <v>44938</v>
      </c>
      <c r="B14" s="194">
        <v>0</v>
      </c>
      <c r="C14" s="80">
        <f t="shared" si="26"/>
        <v>0</v>
      </c>
      <c r="D14" s="80">
        <f t="shared" si="27"/>
        <v>0</v>
      </c>
      <c r="E14" s="29">
        <v>38.9</v>
      </c>
      <c r="F14" s="80">
        <f t="shared" si="25"/>
        <v>0.60999999999999943</v>
      </c>
      <c r="G14" s="80">
        <f t="shared" si="28"/>
        <v>161.1449519384704</v>
      </c>
      <c r="H14" s="194">
        <v>129.88999999999999</v>
      </c>
      <c r="I14" s="80">
        <f t="shared" si="29"/>
        <v>0</v>
      </c>
      <c r="J14" s="80">
        <f t="shared" si="30"/>
        <v>0</v>
      </c>
      <c r="K14" s="29">
        <v>813.1</v>
      </c>
      <c r="L14" s="80">
        <f t="shared" si="31"/>
        <v>1.1999999999999318</v>
      </c>
      <c r="M14" s="80">
        <f t="shared" si="32"/>
        <v>317.0064628297601</v>
      </c>
      <c r="N14" s="270">
        <v>61.82</v>
      </c>
      <c r="O14" s="271">
        <f t="shared" si="33"/>
        <v>5.7899999999999991</v>
      </c>
      <c r="P14" s="271">
        <f t="shared" si="34"/>
        <v>1529.5561831536791</v>
      </c>
      <c r="Q14" s="29">
        <v>14.03</v>
      </c>
      <c r="R14" s="80">
        <f t="shared" si="36"/>
        <v>0.33000000000000007</v>
      </c>
      <c r="S14" s="80">
        <f t="shared" si="37"/>
        <v>87.176777278188993</v>
      </c>
      <c r="T14" s="80"/>
      <c r="U14" s="80">
        <f t="shared" si="4"/>
        <v>0</v>
      </c>
      <c r="V14" s="215">
        <f t="shared" si="5"/>
        <v>0</v>
      </c>
      <c r="W14" s="185"/>
      <c r="X14" s="80"/>
      <c r="Y14" s="80">
        <f t="shared" si="6"/>
        <v>0</v>
      </c>
      <c r="Z14" s="194">
        <v>14.72</v>
      </c>
      <c r="AA14" s="80">
        <f t="shared" si="20"/>
        <v>0.45000000000000107</v>
      </c>
      <c r="AB14" s="80">
        <f t="shared" si="7"/>
        <v>118.87742356116708</v>
      </c>
      <c r="AC14" s="194">
        <v>17.309999999999999</v>
      </c>
      <c r="AD14" s="80">
        <f t="shared" si="21"/>
        <v>-1.9999999999999574E-2</v>
      </c>
      <c r="AE14" s="80">
        <f t="shared" si="8"/>
        <v>-5.2834410471628557</v>
      </c>
      <c r="AF14" s="154">
        <v>271.89</v>
      </c>
      <c r="AG14" s="18">
        <f t="shared" si="9"/>
        <v>6.0000000000002274E-2</v>
      </c>
      <c r="AH14" s="80">
        <f t="shared" si="22"/>
        <v>15.850323141489506</v>
      </c>
      <c r="AI14" s="219">
        <v>154.86000000000001</v>
      </c>
      <c r="AJ14" s="225">
        <f t="shared" si="10"/>
        <v>-26.550000000000011</v>
      </c>
      <c r="AK14" s="215">
        <f t="shared" si="11"/>
        <v>-7013.7679901088432</v>
      </c>
      <c r="AL14" s="194">
        <v>5.47</v>
      </c>
      <c r="AM14" s="18">
        <f t="shared" si="12"/>
        <v>0.78000000000000025</v>
      </c>
      <c r="AN14" s="17">
        <f t="shared" si="38"/>
        <v>206.05420083935584</v>
      </c>
      <c r="AO14" s="235">
        <f t="shared" si="35"/>
        <v>9034.6841906486752</v>
      </c>
      <c r="AP14" s="18">
        <v>34.200000000000003</v>
      </c>
    </row>
    <row r="15" spans="1:42" s="3" customFormat="1">
      <c r="A15" s="15">
        <v>44939</v>
      </c>
      <c r="B15" s="194">
        <v>0</v>
      </c>
      <c r="C15" s="80">
        <f t="shared" si="26"/>
        <v>0</v>
      </c>
      <c r="D15" s="80">
        <f t="shared" si="27"/>
        <v>0</v>
      </c>
      <c r="E15" s="29">
        <v>38.880000000000003</v>
      </c>
      <c r="F15" s="80">
        <f t="shared" si="25"/>
        <v>-1.9999999999996021E-2</v>
      </c>
      <c r="G15" s="80">
        <f t="shared" si="28"/>
        <v>-5.2834410471619169</v>
      </c>
      <c r="H15" s="194">
        <v>129.88999999999999</v>
      </c>
      <c r="I15" s="80">
        <f t="shared" si="29"/>
        <v>0</v>
      </c>
      <c r="J15" s="80">
        <f t="shared" si="30"/>
        <v>0</v>
      </c>
      <c r="K15" s="29">
        <v>812.1</v>
      </c>
      <c r="L15" s="80">
        <f t="shared" si="31"/>
        <v>1</v>
      </c>
      <c r="M15" s="80">
        <f t="shared" si="32"/>
        <v>264.17205235814845</v>
      </c>
      <c r="N15" s="31">
        <v>96.29</v>
      </c>
      <c r="O15" s="80">
        <f t="shared" si="33"/>
        <v>-34.470000000000006</v>
      </c>
      <c r="P15" s="80">
        <f t="shared" si="34"/>
        <v>-9106.0106447853777</v>
      </c>
      <c r="Q15" s="29">
        <v>14.03</v>
      </c>
      <c r="R15" s="80">
        <f t="shared" si="36"/>
        <v>0</v>
      </c>
      <c r="S15" s="80">
        <f t="shared" si="37"/>
        <v>0</v>
      </c>
      <c r="T15" s="80"/>
      <c r="U15" s="80">
        <f t="shared" si="4"/>
        <v>0</v>
      </c>
      <c r="V15" s="215">
        <f t="shared" si="5"/>
        <v>0</v>
      </c>
      <c r="W15" s="185"/>
      <c r="X15" s="80"/>
      <c r="Y15" s="80">
        <f t="shared" si="6"/>
        <v>0</v>
      </c>
      <c r="Z15" s="194">
        <v>14.62</v>
      </c>
      <c r="AA15" s="80">
        <f t="shared" si="20"/>
        <v>-0.10000000000000142</v>
      </c>
      <c r="AB15" s="80">
        <f t="shared" si="7"/>
        <v>-26.417205235815217</v>
      </c>
      <c r="AC15" s="194">
        <v>16.96</v>
      </c>
      <c r="AD15" s="80">
        <f t="shared" si="21"/>
        <v>-0.34999999999999787</v>
      </c>
      <c r="AE15" s="80">
        <f t="shared" si="8"/>
        <v>-92.460218325351377</v>
      </c>
      <c r="AF15" s="154">
        <v>272.7</v>
      </c>
      <c r="AG15" s="18">
        <f t="shared" si="9"/>
        <v>-0.81000000000000227</v>
      </c>
      <c r="AH15" s="80">
        <f t="shared" si="22"/>
        <v>-213.97936241010083</v>
      </c>
      <c r="AI15" s="219">
        <v>140.69999999999999</v>
      </c>
      <c r="AJ15" s="225">
        <f t="shared" si="10"/>
        <v>14.160000000000025</v>
      </c>
      <c r="AK15" s="215">
        <f t="shared" si="11"/>
        <v>3740.6762613913884</v>
      </c>
      <c r="AL15" s="194">
        <v>3.23</v>
      </c>
      <c r="AM15" s="18">
        <f t="shared" si="12"/>
        <v>2.2399999999999998</v>
      </c>
      <c r="AN15" s="17">
        <f t="shared" si="38"/>
        <v>591.74539728225238</v>
      </c>
      <c r="AO15" s="235">
        <f t="shared" si="35"/>
        <v>9055.8179548373282</v>
      </c>
      <c r="AP15" s="18">
        <v>34.28</v>
      </c>
    </row>
    <row r="16" spans="1:42" s="3" customFormat="1">
      <c r="A16" s="15">
        <v>44940</v>
      </c>
      <c r="B16" s="194">
        <v>0</v>
      </c>
      <c r="C16" s="80">
        <f t="shared" si="26"/>
        <v>0</v>
      </c>
      <c r="D16" s="80">
        <f t="shared" si="27"/>
        <v>0</v>
      </c>
      <c r="E16" s="29">
        <v>41.55</v>
      </c>
      <c r="F16" s="80">
        <f t="shared" si="25"/>
        <v>2.6699999999999946</v>
      </c>
      <c r="G16" s="80">
        <f t="shared" si="28"/>
        <v>705.33937979625489</v>
      </c>
      <c r="H16" s="194">
        <v>129.88999999999999</v>
      </c>
      <c r="I16" s="80">
        <f t="shared" si="29"/>
        <v>0</v>
      </c>
      <c r="J16" s="80">
        <f t="shared" si="30"/>
        <v>0</v>
      </c>
      <c r="K16" s="29">
        <v>810.8</v>
      </c>
      <c r="L16" s="80">
        <f t="shared" si="31"/>
        <v>1.3000000000000682</v>
      </c>
      <c r="M16" s="80">
        <f t="shared" si="32"/>
        <v>343.42366806561097</v>
      </c>
      <c r="N16" s="31">
        <v>89</v>
      </c>
      <c r="O16" s="80">
        <f t="shared" si="33"/>
        <v>7.2900000000000063</v>
      </c>
      <c r="P16" s="80">
        <f t="shared" si="34"/>
        <v>1925.8142616909038</v>
      </c>
      <c r="Q16" s="29">
        <v>14.03</v>
      </c>
      <c r="R16" s="80">
        <f t="shared" si="36"/>
        <v>0</v>
      </c>
      <c r="S16" s="80">
        <f t="shared" si="37"/>
        <v>0</v>
      </c>
      <c r="T16" s="80"/>
      <c r="U16" s="80">
        <f t="shared" si="4"/>
        <v>0</v>
      </c>
      <c r="V16" s="215">
        <f t="shared" si="5"/>
        <v>0</v>
      </c>
      <c r="W16" s="185"/>
      <c r="X16" s="80"/>
      <c r="Y16" s="80">
        <f t="shared" si="6"/>
        <v>0</v>
      </c>
      <c r="Z16" s="194">
        <v>15.07</v>
      </c>
      <c r="AA16" s="80">
        <f t="shared" si="20"/>
        <v>0.45000000000000107</v>
      </c>
      <c r="AB16" s="80">
        <f t="shared" si="7"/>
        <v>118.87742356116708</v>
      </c>
      <c r="AC16" s="194">
        <v>17.309999999999999</v>
      </c>
      <c r="AD16" s="80">
        <f t="shared" si="21"/>
        <v>0.34999999999999787</v>
      </c>
      <c r="AE16" s="80">
        <f t="shared" si="8"/>
        <v>92.460218325351377</v>
      </c>
      <c r="AF16" s="154">
        <v>272.52</v>
      </c>
      <c r="AG16" s="18">
        <f t="shared" si="9"/>
        <v>0.18000000000000682</v>
      </c>
      <c r="AH16" s="80">
        <f t="shared" si="22"/>
        <v>47.550969424468519</v>
      </c>
      <c r="AI16" s="194">
        <v>182.64</v>
      </c>
      <c r="AJ16" s="18">
        <f t="shared" si="10"/>
        <v>-41.94</v>
      </c>
      <c r="AK16" s="80">
        <f t="shared" si="11"/>
        <v>-11079.375875900745</v>
      </c>
      <c r="AL16" s="194">
        <v>6.89</v>
      </c>
      <c r="AM16" s="18">
        <f t="shared" si="12"/>
        <v>-3.6599999999999997</v>
      </c>
      <c r="AN16" s="17">
        <f t="shared" si="38"/>
        <v>-966.86971163082308</v>
      </c>
      <c r="AO16" s="235">
        <f t="shared" si="35"/>
        <v>3074.9626894488479</v>
      </c>
      <c r="AP16" s="18">
        <v>11.64</v>
      </c>
    </row>
    <row r="17" spans="1:42" s="3" customFormat="1">
      <c r="A17" s="15">
        <v>44941</v>
      </c>
      <c r="B17" s="194">
        <v>0</v>
      </c>
      <c r="C17" s="80">
        <f t="shared" si="26"/>
        <v>0</v>
      </c>
      <c r="D17" s="80">
        <f t="shared" si="27"/>
        <v>0</v>
      </c>
      <c r="E17" s="29">
        <v>42.93</v>
      </c>
      <c r="F17" s="80">
        <f t="shared" si="25"/>
        <v>1.3800000000000026</v>
      </c>
      <c r="G17" s="80">
        <f t="shared" si="28"/>
        <v>364.5574322542455</v>
      </c>
      <c r="H17" s="194">
        <v>129.88999999999999</v>
      </c>
      <c r="I17" s="80">
        <f t="shared" si="29"/>
        <v>0</v>
      </c>
      <c r="J17" s="80">
        <f t="shared" si="30"/>
        <v>0</v>
      </c>
      <c r="K17" s="29">
        <v>809.8</v>
      </c>
      <c r="L17" s="80">
        <f t="shared" si="31"/>
        <v>1</v>
      </c>
      <c r="M17" s="80">
        <f t="shared" si="32"/>
        <v>264.17205235814845</v>
      </c>
      <c r="N17" s="270">
        <v>82</v>
      </c>
      <c r="O17" s="271">
        <f t="shared" si="33"/>
        <v>7</v>
      </c>
      <c r="P17" s="271">
        <f t="shared" si="34"/>
        <v>1849.2043665070389</v>
      </c>
      <c r="Q17" s="268">
        <v>13.98</v>
      </c>
      <c r="R17" s="269">
        <f>Q9-Q17</f>
        <v>4.8299999999999983</v>
      </c>
      <c r="S17" s="269">
        <f t="shared" si="37"/>
        <v>1275.9510128898564</v>
      </c>
      <c r="T17" s="269">
        <f>S17</f>
        <v>1275.9510128898564</v>
      </c>
      <c r="U17" s="269">
        <f t="shared" si="4"/>
        <v>4829.9999999999982</v>
      </c>
      <c r="V17" s="215">
        <f t="shared" si="5"/>
        <v>0</v>
      </c>
      <c r="W17" s="185"/>
      <c r="X17" s="80"/>
      <c r="Y17" s="80">
        <f t="shared" si="6"/>
        <v>0</v>
      </c>
      <c r="Z17" s="194">
        <v>15.29</v>
      </c>
      <c r="AA17" s="80">
        <f t="shared" si="20"/>
        <v>0.21999999999999886</v>
      </c>
      <c r="AB17" s="80">
        <f t="shared" si="7"/>
        <v>58.117851518792349</v>
      </c>
      <c r="AC17" s="194">
        <v>17.420000000000002</v>
      </c>
      <c r="AD17" s="80">
        <f t="shared" si="21"/>
        <v>0.11000000000000298</v>
      </c>
      <c r="AE17" s="80">
        <f t="shared" si="8"/>
        <v>29.058925759397116</v>
      </c>
      <c r="AF17" s="154">
        <v>271.74</v>
      </c>
      <c r="AG17" s="18">
        <f t="shared" si="9"/>
        <v>0.77999999999997272</v>
      </c>
      <c r="AH17" s="80">
        <f t="shared" si="22"/>
        <v>206.05420083934857</v>
      </c>
      <c r="AI17" s="194">
        <v>167.97</v>
      </c>
      <c r="AJ17" s="18">
        <f t="shared" si="10"/>
        <v>14.669999999999987</v>
      </c>
      <c r="AK17" s="80">
        <f t="shared" si="11"/>
        <v>3875.404008094034</v>
      </c>
      <c r="AL17" s="194">
        <v>8.1</v>
      </c>
      <c r="AM17" s="18">
        <f t="shared" si="12"/>
        <v>-1.21</v>
      </c>
      <c r="AN17" s="17">
        <f>+CONVERT(AM17,"m^3","gal")</f>
        <v>-319.64818335335957</v>
      </c>
      <c r="AO17" s="235">
        <f t="shared" si="35"/>
        <v>0</v>
      </c>
      <c r="AP17" s="18"/>
    </row>
    <row r="18" spans="1:42" s="3" customFormat="1">
      <c r="A18" s="15">
        <v>44942</v>
      </c>
      <c r="B18" s="194">
        <v>0</v>
      </c>
      <c r="C18" s="80">
        <f t="shared" si="26"/>
        <v>0</v>
      </c>
      <c r="D18" s="80">
        <f t="shared" si="27"/>
        <v>0</v>
      </c>
      <c r="E18" s="29">
        <v>44.32</v>
      </c>
      <c r="F18" s="80">
        <f t="shared" si="25"/>
        <v>1.3900000000000006</v>
      </c>
      <c r="G18" s="80">
        <f t="shared" si="28"/>
        <v>367.19915277782644</v>
      </c>
      <c r="H18" s="194">
        <v>129.88999999999999</v>
      </c>
      <c r="I18" s="80">
        <f t="shared" si="29"/>
        <v>0</v>
      </c>
      <c r="J18" s="80">
        <f t="shared" si="30"/>
        <v>0</v>
      </c>
      <c r="K18" s="29">
        <v>794</v>
      </c>
      <c r="L18" s="80">
        <f t="shared" si="31"/>
        <v>15.799999999999955</v>
      </c>
      <c r="M18" s="80">
        <f t="shared" si="32"/>
        <v>4173.9184272587327</v>
      </c>
      <c r="N18" s="31">
        <v>74.599999999999994</v>
      </c>
      <c r="O18" s="80">
        <f t="shared" si="33"/>
        <v>7.4000000000000057</v>
      </c>
      <c r="P18" s="80">
        <f t="shared" si="34"/>
        <v>1954.8731874502998</v>
      </c>
      <c r="Q18" s="29">
        <v>5.88</v>
      </c>
      <c r="R18" s="80">
        <f t="shared" ref="R18:R25" si="39">Q17-Q18</f>
        <v>8.1000000000000014</v>
      </c>
      <c r="S18" s="80">
        <f t="shared" si="37"/>
        <v>2139.7936241010029</v>
      </c>
      <c r="T18" s="80"/>
      <c r="U18" s="80">
        <f t="shared" si="4"/>
        <v>0</v>
      </c>
      <c r="V18" s="215">
        <f t="shared" si="5"/>
        <v>0</v>
      </c>
      <c r="W18" s="185"/>
      <c r="X18" s="80">
        <v>7679</v>
      </c>
      <c r="Y18" s="80">
        <f t="shared" si="6"/>
        <v>29.068177089336</v>
      </c>
      <c r="Z18" s="194">
        <v>2.0499999999999998</v>
      </c>
      <c r="AA18" s="80">
        <f t="shared" si="20"/>
        <v>-13.239999999999998</v>
      </c>
      <c r="AB18" s="80">
        <f t="shared" si="7"/>
        <v>-3497.6379732218847</v>
      </c>
      <c r="AC18" s="194">
        <v>1.99</v>
      </c>
      <c r="AD18" s="80">
        <f t="shared" si="21"/>
        <v>-15.430000000000001</v>
      </c>
      <c r="AE18" s="80">
        <f t="shared" si="8"/>
        <v>-4076.1747678862307</v>
      </c>
      <c r="AF18" s="154">
        <v>271.77</v>
      </c>
      <c r="AG18" s="18">
        <f t="shared" si="9"/>
        <v>-2.9999999999972715E-2</v>
      </c>
      <c r="AH18" s="80">
        <f t="shared" si="22"/>
        <v>-7.9251615707372451</v>
      </c>
      <c r="AI18" s="194">
        <v>157.83000000000001</v>
      </c>
      <c r="AJ18" s="18">
        <f t="shared" si="10"/>
        <v>10.139999999999986</v>
      </c>
      <c r="AK18" s="80">
        <f t="shared" si="11"/>
        <v>2678.7046109116213</v>
      </c>
      <c r="AL18" s="194">
        <v>8.0399999999999991</v>
      </c>
      <c r="AM18" s="18">
        <f t="shared" si="12"/>
        <v>6.0000000000000497E-2</v>
      </c>
      <c r="AN18" s="17">
        <f>+CONVERT(AM18,"m^3","gal")</f>
        <v>15.850323141489037</v>
      </c>
      <c r="AO18" s="235">
        <f t="shared" si="35"/>
        <v>0</v>
      </c>
      <c r="AP18" s="18"/>
    </row>
    <row r="19" spans="1:42" s="3" customFormat="1">
      <c r="A19" s="15">
        <v>44943</v>
      </c>
      <c r="B19" s="194">
        <v>0</v>
      </c>
      <c r="C19" s="80">
        <f t="shared" si="26"/>
        <v>0</v>
      </c>
      <c r="D19" s="80">
        <f t="shared" si="27"/>
        <v>0</v>
      </c>
      <c r="E19" s="29">
        <v>45.81</v>
      </c>
      <c r="F19" s="80">
        <f t="shared" si="25"/>
        <v>1.490000000000002</v>
      </c>
      <c r="G19" s="80">
        <f t="shared" si="28"/>
        <v>393.61635801364167</v>
      </c>
      <c r="H19" s="194">
        <v>129.88999999999999</v>
      </c>
      <c r="I19" s="80">
        <f t="shared" si="29"/>
        <v>0</v>
      </c>
      <c r="J19" s="80">
        <f t="shared" si="30"/>
        <v>0</v>
      </c>
      <c r="K19" s="29">
        <v>793</v>
      </c>
      <c r="L19" s="80">
        <f t="shared" si="31"/>
        <v>1</v>
      </c>
      <c r="M19" s="80">
        <f t="shared" si="32"/>
        <v>264.17205235814845</v>
      </c>
      <c r="N19" s="31">
        <v>95.2</v>
      </c>
      <c r="O19" s="80">
        <f t="shared" si="33"/>
        <v>-20.600000000000009</v>
      </c>
      <c r="P19" s="80">
        <f t="shared" si="34"/>
        <v>-5441.9442785778592</v>
      </c>
      <c r="Q19" s="29">
        <v>5.88</v>
      </c>
      <c r="R19" s="80">
        <f t="shared" si="39"/>
        <v>0</v>
      </c>
      <c r="S19" s="80">
        <f t="shared" si="37"/>
        <v>0</v>
      </c>
      <c r="T19" s="80"/>
      <c r="U19" s="80">
        <f t="shared" si="4"/>
        <v>0</v>
      </c>
      <c r="V19" s="215">
        <f t="shared" si="5"/>
        <v>0</v>
      </c>
      <c r="W19" s="185"/>
      <c r="X19" s="80"/>
      <c r="Y19" s="80">
        <f t="shared" si="6"/>
        <v>0</v>
      </c>
      <c r="Z19" s="194">
        <v>2.8</v>
      </c>
      <c r="AA19" s="80">
        <f t="shared" si="20"/>
        <v>0.75</v>
      </c>
      <c r="AB19" s="80">
        <f t="shared" si="7"/>
        <v>198.12903926861131</v>
      </c>
      <c r="AC19" s="194">
        <v>1.97</v>
      </c>
      <c r="AD19" s="80">
        <f t="shared" si="21"/>
        <v>-2.0000000000000018E-2</v>
      </c>
      <c r="AE19" s="80">
        <f t="shared" si="8"/>
        <v>-5.2834410471629729</v>
      </c>
      <c r="AF19" s="154">
        <v>271.77</v>
      </c>
      <c r="AG19" s="18">
        <f t="shared" si="9"/>
        <v>0</v>
      </c>
      <c r="AH19" s="80">
        <f t="shared" si="22"/>
        <v>0</v>
      </c>
      <c r="AI19" s="194">
        <v>199.14</v>
      </c>
      <c r="AJ19" s="18">
        <f t="shared" si="10"/>
        <v>-41.309999999999974</v>
      </c>
      <c r="AK19" s="80">
        <f t="shared" si="11"/>
        <v>-10912.947482915104</v>
      </c>
      <c r="AL19" s="194">
        <v>4.1900000000000004</v>
      </c>
      <c r="AM19" s="18">
        <f t="shared" si="12"/>
        <v>3.8499999999999988</v>
      </c>
      <c r="AN19" s="17">
        <f>+CONVERT(AM19,"m^3","gal")</f>
        <v>1017.0624015788711</v>
      </c>
      <c r="AO19" s="235">
        <f t="shared" si="35"/>
        <v>12204.748818946457</v>
      </c>
      <c r="AP19" s="18">
        <v>46.2</v>
      </c>
    </row>
    <row r="20" spans="1:42" s="3" customFormat="1">
      <c r="A20" s="15">
        <v>44944</v>
      </c>
      <c r="B20" s="194">
        <v>0</v>
      </c>
      <c r="C20" s="80">
        <f t="shared" si="26"/>
        <v>0</v>
      </c>
      <c r="D20" s="80">
        <f t="shared" si="27"/>
        <v>0</v>
      </c>
      <c r="E20" s="29">
        <v>47.14</v>
      </c>
      <c r="F20" s="80">
        <f t="shared" si="25"/>
        <v>1.3299999999999983</v>
      </c>
      <c r="G20" s="80">
        <f t="shared" si="28"/>
        <v>351.34882963633692</v>
      </c>
      <c r="H20" s="194">
        <v>129.88999999999999</v>
      </c>
      <c r="I20" s="80">
        <f t="shared" si="29"/>
        <v>0</v>
      </c>
      <c r="J20" s="80">
        <f t="shared" si="30"/>
        <v>0</v>
      </c>
      <c r="K20" s="29">
        <v>791.5</v>
      </c>
      <c r="L20" s="80">
        <f t="shared" si="31"/>
        <v>1.5</v>
      </c>
      <c r="M20" s="80">
        <f t="shared" si="32"/>
        <v>396.25807853722262</v>
      </c>
      <c r="N20" s="31">
        <v>94.36</v>
      </c>
      <c r="O20" s="80">
        <f t="shared" si="33"/>
        <v>0.84000000000000341</v>
      </c>
      <c r="P20" s="80">
        <f t="shared" si="34"/>
        <v>221.90452398084557</v>
      </c>
      <c r="Q20" s="29">
        <v>5.88</v>
      </c>
      <c r="R20" s="80">
        <f t="shared" si="39"/>
        <v>0</v>
      </c>
      <c r="S20" s="80">
        <f t="shared" si="37"/>
        <v>0</v>
      </c>
      <c r="T20" s="80"/>
      <c r="U20" s="80">
        <f t="shared" si="4"/>
        <v>0</v>
      </c>
      <c r="V20" s="215">
        <f t="shared" si="5"/>
        <v>0</v>
      </c>
      <c r="W20" s="185"/>
      <c r="X20" s="80"/>
      <c r="Y20" s="80">
        <f t="shared" si="6"/>
        <v>0</v>
      </c>
      <c r="Z20" s="194">
        <v>3.83</v>
      </c>
      <c r="AA20" s="80">
        <f t="shared" si="20"/>
        <v>1.0300000000000002</v>
      </c>
      <c r="AB20" s="80">
        <f t="shared" si="7"/>
        <v>272.09721392889293</v>
      </c>
      <c r="AC20" s="194">
        <v>1.92</v>
      </c>
      <c r="AD20" s="80">
        <f t="shared" si="21"/>
        <v>-5.0000000000000044E-2</v>
      </c>
      <c r="AE20" s="80">
        <f t="shared" si="8"/>
        <v>-13.208602617907433</v>
      </c>
      <c r="AF20" s="154">
        <v>272.10000000000002</v>
      </c>
      <c r="AG20" s="18">
        <f t="shared" si="9"/>
        <v>-0.33000000000004093</v>
      </c>
      <c r="AH20" s="80">
        <f t="shared" si="22"/>
        <v>-87.176777278199793</v>
      </c>
      <c r="AI20" s="194">
        <v>222.39</v>
      </c>
      <c r="AJ20" s="18">
        <f t="shared" si="10"/>
        <v>-23.25</v>
      </c>
      <c r="AK20" s="80">
        <f t="shared" si="11"/>
        <v>-6142.0002173269504</v>
      </c>
      <c r="AL20" s="194">
        <v>4.43</v>
      </c>
      <c r="AM20" s="18">
        <f t="shared" si="12"/>
        <v>-0.23999999999999932</v>
      </c>
      <c r="AN20" s="17">
        <f>+CONVERT(AM20,"m^3","gal")</f>
        <v>-63.401292565955444</v>
      </c>
      <c r="AO20" s="235">
        <f t="shared" si="35"/>
        <v>9272.4390377710097</v>
      </c>
      <c r="AP20" s="18">
        <v>35.1</v>
      </c>
    </row>
    <row r="21" spans="1:42" s="3" customFormat="1">
      <c r="A21" s="15">
        <v>44945</v>
      </c>
      <c r="B21" s="194">
        <v>0</v>
      </c>
      <c r="C21" s="80">
        <f t="shared" si="26"/>
        <v>0</v>
      </c>
      <c r="D21" s="80">
        <f t="shared" si="27"/>
        <v>0</v>
      </c>
      <c r="E21" s="29">
        <v>48.37</v>
      </c>
      <c r="F21" s="80">
        <f t="shared" si="25"/>
        <v>1.2299999999999969</v>
      </c>
      <c r="G21" s="80">
        <f t="shared" si="28"/>
        <v>324.93162440052174</v>
      </c>
      <c r="H21" s="194">
        <v>129.88999999999999</v>
      </c>
      <c r="I21" s="80">
        <f t="shared" si="29"/>
        <v>0</v>
      </c>
      <c r="J21" s="80">
        <f t="shared" si="30"/>
        <v>0</v>
      </c>
      <c r="K21" s="29">
        <v>866.2</v>
      </c>
      <c r="L21" s="80">
        <f t="shared" si="31"/>
        <v>-74.700000000000045</v>
      </c>
      <c r="M21" s="80">
        <f t="shared" si="32"/>
        <v>-19733.652311153699</v>
      </c>
      <c r="N21" s="31">
        <v>95.71</v>
      </c>
      <c r="O21" s="80">
        <f t="shared" si="33"/>
        <v>-1.3499999999999943</v>
      </c>
      <c r="P21" s="80">
        <f t="shared" si="34"/>
        <v>-356.63227068349886</v>
      </c>
      <c r="Q21" s="29">
        <v>5.88</v>
      </c>
      <c r="R21" s="80">
        <f t="shared" si="39"/>
        <v>0</v>
      </c>
      <c r="S21" s="80">
        <f t="shared" si="37"/>
        <v>0</v>
      </c>
      <c r="T21" s="80"/>
      <c r="U21" s="80">
        <f t="shared" si="4"/>
        <v>0</v>
      </c>
      <c r="V21" s="215">
        <f t="shared" si="5"/>
        <v>0</v>
      </c>
      <c r="W21" s="185"/>
      <c r="X21" s="80"/>
      <c r="Y21" s="80">
        <f t="shared" si="6"/>
        <v>0</v>
      </c>
      <c r="Z21" s="194">
        <v>4.2</v>
      </c>
      <c r="AA21" s="80">
        <f t="shared" si="20"/>
        <v>0.37000000000000011</v>
      </c>
      <c r="AB21" s="80">
        <f t="shared" si="7"/>
        <v>97.743659372514941</v>
      </c>
      <c r="AC21" s="194">
        <v>2.98</v>
      </c>
      <c r="AD21" s="80">
        <f t="shared" si="21"/>
        <v>1.06</v>
      </c>
      <c r="AE21" s="80">
        <f t="shared" si="8"/>
        <v>280.02237549963735</v>
      </c>
      <c r="AF21" s="154">
        <v>272.10000000000002</v>
      </c>
      <c r="AG21" s="18">
        <f t="shared" si="9"/>
        <v>0</v>
      </c>
      <c r="AH21" s="80">
        <f t="shared" si="22"/>
        <v>0</v>
      </c>
      <c r="AI21" s="219">
        <v>258</v>
      </c>
      <c r="AJ21" s="225">
        <f t="shared" si="10"/>
        <v>-35.610000000000014</v>
      </c>
      <c r="AK21" s="215">
        <f t="shared" si="11"/>
        <v>-9407.1667844736694</v>
      </c>
      <c r="AL21" s="194">
        <v>2.4900000000000002</v>
      </c>
      <c r="AM21" s="18">
        <f t="shared" si="12"/>
        <v>1.9399999999999995</v>
      </c>
      <c r="AN21" s="17">
        <f t="shared" si="38"/>
        <v>512.49378157480783</v>
      </c>
      <c r="AO21" s="235">
        <f t="shared" si="35"/>
        <v>12680.258513191124</v>
      </c>
      <c r="AP21" s="18">
        <v>48</v>
      </c>
    </row>
    <row r="22" spans="1:42" s="3" customFormat="1">
      <c r="A22" s="15">
        <v>44946</v>
      </c>
      <c r="B22" s="194">
        <v>0</v>
      </c>
      <c r="C22" s="80">
        <f t="shared" si="26"/>
        <v>0</v>
      </c>
      <c r="D22" s="80">
        <f t="shared" si="27"/>
        <v>0</v>
      </c>
      <c r="E22" s="29">
        <v>49.54</v>
      </c>
      <c r="F22" s="80">
        <f t="shared" si="25"/>
        <v>1.1700000000000017</v>
      </c>
      <c r="G22" s="80">
        <f t="shared" si="28"/>
        <v>309.08130125903415</v>
      </c>
      <c r="H22" s="194">
        <v>129.88999999999999</v>
      </c>
      <c r="I22" s="80">
        <f t="shared" si="29"/>
        <v>0</v>
      </c>
      <c r="J22" s="80">
        <f t="shared" si="30"/>
        <v>0</v>
      </c>
      <c r="K22" s="29">
        <v>812.7</v>
      </c>
      <c r="L22" s="80">
        <f t="shared" si="31"/>
        <v>53.5</v>
      </c>
      <c r="M22" s="80">
        <f t="shared" si="32"/>
        <v>14133.20480116094</v>
      </c>
      <c r="N22" s="31">
        <v>89.64</v>
      </c>
      <c r="O22" s="80">
        <f t="shared" si="33"/>
        <v>6.0699999999999932</v>
      </c>
      <c r="P22" s="80">
        <f t="shared" si="34"/>
        <v>1603.5243578139591</v>
      </c>
      <c r="Q22" s="29">
        <v>5.88</v>
      </c>
      <c r="R22" s="80">
        <f t="shared" si="39"/>
        <v>0</v>
      </c>
      <c r="S22" s="80">
        <f t="shared" si="37"/>
        <v>0</v>
      </c>
      <c r="T22" s="80"/>
      <c r="U22" s="80">
        <f t="shared" si="4"/>
        <v>0</v>
      </c>
      <c r="V22" s="215">
        <f t="shared" si="5"/>
        <v>0</v>
      </c>
      <c r="W22" s="185"/>
      <c r="X22" s="80"/>
      <c r="Y22" s="80">
        <f t="shared" si="6"/>
        <v>0</v>
      </c>
      <c r="Z22" s="194">
        <v>4.88</v>
      </c>
      <c r="AA22" s="80">
        <f t="shared" si="20"/>
        <v>0.67999999999999972</v>
      </c>
      <c r="AB22" s="80">
        <f t="shared" si="7"/>
        <v>179.63699560354087</v>
      </c>
      <c r="AC22" s="194">
        <v>2</v>
      </c>
      <c r="AD22" s="80">
        <f t="shared" si="21"/>
        <v>-0.98</v>
      </c>
      <c r="AE22" s="80">
        <f t="shared" si="8"/>
        <v>-258.88861131098548</v>
      </c>
      <c r="AF22" s="154">
        <v>285.3</v>
      </c>
      <c r="AG22" s="18">
        <f t="shared" si="9"/>
        <v>-13.199999999999989</v>
      </c>
      <c r="AH22" s="80">
        <f t="shared" si="22"/>
        <v>-3487.0710911275564</v>
      </c>
      <c r="AI22" s="194">
        <v>281.39999999999998</v>
      </c>
      <c r="AJ22" s="18">
        <f t="shared" si="10"/>
        <v>-23.399999999999977</v>
      </c>
      <c r="AK22" s="80">
        <f t="shared" si="11"/>
        <v>-6181.6260251806671</v>
      </c>
      <c r="AL22" s="194">
        <v>4.95</v>
      </c>
      <c r="AM22" s="18">
        <f t="shared" si="12"/>
        <v>-2.46</v>
      </c>
      <c r="AN22" s="17">
        <f t="shared" si="38"/>
        <v>-649.86324880104507</v>
      </c>
      <c r="AO22" s="235">
        <f t="shared" si="35"/>
        <v>12442.503666068791</v>
      </c>
      <c r="AP22" s="18">
        <v>47.1</v>
      </c>
    </row>
    <row r="23" spans="1:42" s="3" customFormat="1">
      <c r="A23" s="15">
        <v>44947</v>
      </c>
      <c r="B23" s="194">
        <v>0</v>
      </c>
      <c r="C23" s="80">
        <f t="shared" si="26"/>
        <v>0</v>
      </c>
      <c r="D23" s="80">
        <f t="shared" si="27"/>
        <v>0</v>
      </c>
      <c r="E23" s="29">
        <v>50.93</v>
      </c>
      <c r="F23" s="80">
        <f t="shared" si="25"/>
        <v>1.3900000000000006</v>
      </c>
      <c r="G23" s="80">
        <f t="shared" si="28"/>
        <v>367.19915277782644</v>
      </c>
      <c r="H23" s="194">
        <v>129.88999999999999</v>
      </c>
      <c r="I23" s="80">
        <f t="shared" si="29"/>
        <v>0</v>
      </c>
      <c r="J23" s="80">
        <f t="shared" si="30"/>
        <v>0</v>
      </c>
      <c r="K23" s="29">
        <v>811.4</v>
      </c>
      <c r="L23" s="80">
        <f t="shared" si="31"/>
        <v>1.3000000000000682</v>
      </c>
      <c r="M23" s="80">
        <f t="shared" si="32"/>
        <v>343.42366806561097</v>
      </c>
      <c r="N23" s="31">
        <v>82.59</v>
      </c>
      <c r="O23" s="80">
        <f t="shared" si="33"/>
        <v>7.0499999999999972</v>
      </c>
      <c r="P23" s="80">
        <f t="shared" si="34"/>
        <v>1862.4129691249457</v>
      </c>
      <c r="Q23" s="29">
        <v>5.88</v>
      </c>
      <c r="R23" s="80">
        <f t="shared" si="39"/>
        <v>0</v>
      </c>
      <c r="S23" s="80">
        <f t="shared" si="37"/>
        <v>0</v>
      </c>
      <c r="T23" s="80"/>
      <c r="U23" s="80">
        <f t="shared" si="4"/>
        <v>0</v>
      </c>
      <c r="V23" s="215">
        <f t="shared" si="5"/>
        <v>0</v>
      </c>
      <c r="W23" s="185"/>
      <c r="X23" s="80"/>
      <c r="Y23" s="80">
        <f t="shared" si="6"/>
        <v>0</v>
      </c>
      <c r="Z23" s="194">
        <v>6</v>
      </c>
      <c r="AA23" s="80">
        <f t="shared" si="20"/>
        <v>1.1200000000000001</v>
      </c>
      <c r="AB23" s="80">
        <f t="shared" si="7"/>
        <v>295.87269864112625</v>
      </c>
      <c r="AC23" s="194">
        <v>1.98</v>
      </c>
      <c r="AD23" s="80">
        <f t="shared" si="21"/>
        <v>-2.0000000000000018E-2</v>
      </c>
      <c r="AE23" s="80">
        <f t="shared" si="8"/>
        <v>-5.2834410471629729</v>
      </c>
      <c r="AF23" s="154">
        <v>285.33</v>
      </c>
      <c r="AG23" s="18">
        <f t="shared" si="9"/>
        <v>-2.9999999999972715E-2</v>
      </c>
      <c r="AH23" s="80">
        <f t="shared" si="22"/>
        <v>-7.9251615707372451</v>
      </c>
      <c r="AI23" s="194">
        <v>250.56</v>
      </c>
      <c r="AJ23" s="18">
        <f t="shared" si="10"/>
        <v>30.839999999999975</v>
      </c>
      <c r="AK23" s="80">
        <f t="shared" si="11"/>
        <v>8147.0660947252909</v>
      </c>
      <c r="AL23" s="194">
        <v>6.48</v>
      </c>
      <c r="AM23" s="18">
        <f t="shared" si="12"/>
        <v>-1.5300000000000002</v>
      </c>
      <c r="AN23" s="17">
        <f>+CONVERT(AM23,"m^3","gal")</f>
        <v>-404.18324010796715</v>
      </c>
      <c r="AO23" s="235">
        <f t="shared" si="35"/>
        <v>0</v>
      </c>
      <c r="AP23" s="18"/>
    </row>
    <row r="24" spans="1:42" s="3" customFormat="1">
      <c r="A24" s="15">
        <v>44948</v>
      </c>
      <c r="B24" s="194">
        <v>0</v>
      </c>
      <c r="C24" s="80">
        <f t="shared" si="26"/>
        <v>0</v>
      </c>
      <c r="D24" s="80">
        <f t="shared" si="27"/>
        <v>0</v>
      </c>
      <c r="E24" s="29">
        <v>52.35</v>
      </c>
      <c r="F24" s="80">
        <f t="shared" si="25"/>
        <v>1.4200000000000017</v>
      </c>
      <c r="G24" s="80">
        <f t="shared" si="28"/>
        <v>375.12431434857126</v>
      </c>
      <c r="H24" s="194">
        <v>129.88999999999999</v>
      </c>
      <c r="I24" s="80">
        <f t="shared" si="29"/>
        <v>0</v>
      </c>
      <c r="J24" s="80">
        <f t="shared" si="30"/>
        <v>0</v>
      </c>
      <c r="K24" s="29">
        <v>810.6</v>
      </c>
      <c r="L24" s="80">
        <f t="shared" si="31"/>
        <v>0.79999999999995453</v>
      </c>
      <c r="M24" s="80">
        <f t="shared" si="32"/>
        <v>211.33764188650673</v>
      </c>
      <c r="N24" s="31">
        <v>75.83</v>
      </c>
      <c r="O24" s="80">
        <f t="shared" si="33"/>
        <v>6.7600000000000051</v>
      </c>
      <c r="P24" s="80">
        <f t="shared" si="34"/>
        <v>1785.8030739410847</v>
      </c>
      <c r="Q24" s="29">
        <v>5.89</v>
      </c>
      <c r="R24" s="80">
        <f t="shared" si="39"/>
        <v>-9.9999999999997868E-3</v>
      </c>
      <c r="S24" s="80">
        <f t="shared" si="37"/>
        <v>-2.6417205235814278</v>
      </c>
      <c r="T24" s="80"/>
      <c r="U24" s="80">
        <f t="shared" si="4"/>
        <v>0</v>
      </c>
      <c r="V24" s="215">
        <f t="shared" si="5"/>
        <v>0</v>
      </c>
      <c r="W24" s="185"/>
      <c r="X24" s="80"/>
      <c r="Y24" s="80">
        <f t="shared" si="6"/>
        <v>0</v>
      </c>
      <c r="Z24" s="194">
        <v>10.82</v>
      </c>
      <c r="AA24" s="80">
        <f t="shared" si="20"/>
        <v>4.82</v>
      </c>
      <c r="AB24" s="80">
        <f t="shared" si="7"/>
        <v>1273.3092923662755</v>
      </c>
      <c r="AC24" s="194">
        <v>1.98</v>
      </c>
      <c r="AD24" s="80">
        <f t="shared" si="21"/>
        <v>0</v>
      </c>
      <c r="AE24" s="80">
        <f t="shared" si="8"/>
        <v>0</v>
      </c>
      <c r="AF24" s="154">
        <v>285.33</v>
      </c>
      <c r="AG24" s="18">
        <f t="shared" si="9"/>
        <v>0</v>
      </c>
      <c r="AH24" s="80">
        <f t="shared" si="22"/>
        <v>0</v>
      </c>
      <c r="AI24" s="194">
        <v>250.56</v>
      </c>
      <c r="AJ24" s="18">
        <f t="shared" si="10"/>
        <v>0</v>
      </c>
      <c r="AK24" s="80">
        <f t="shared" si="11"/>
        <v>0</v>
      </c>
      <c r="AL24" s="194">
        <v>6.48</v>
      </c>
      <c r="AM24" s="18">
        <f t="shared" si="12"/>
        <v>0</v>
      </c>
      <c r="AN24" s="17">
        <f t="shared" si="38"/>
        <v>0</v>
      </c>
      <c r="AO24" s="235">
        <f t="shared" si="35"/>
        <v>0</v>
      </c>
      <c r="AP24" s="18"/>
    </row>
    <row r="25" spans="1:42" s="3" customFormat="1">
      <c r="A25" s="15">
        <v>44949</v>
      </c>
      <c r="B25" s="194">
        <v>0</v>
      </c>
      <c r="C25" s="80">
        <f t="shared" si="26"/>
        <v>0</v>
      </c>
      <c r="D25" s="80">
        <f t="shared" si="27"/>
        <v>0</v>
      </c>
      <c r="E25" s="29">
        <v>53.71</v>
      </c>
      <c r="F25" s="80">
        <f t="shared" si="25"/>
        <v>1.3599999999999994</v>
      </c>
      <c r="G25" s="80">
        <f t="shared" si="28"/>
        <v>359.27399120708174</v>
      </c>
      <c r="H25" s="194">
        <v>129.88999999999999</v>
      </c>
      <c r="I25" s="80">
        <f t="shared" si="29"/>
        <v>0</v>
      </c>
      <c r="J25" s="80">
        <f t="shared" si="30"/>
        <v>0</v>
      </c>
      <c r="K25" s="29">
        <v>809.8</v>
      </c>
      <c r="L25" s="80">
        <f t="shared" si="31"/>
        <v>0.80000000000006821</v>
      </c>
      <c r="M25" s="80">
        <f t="shared" si="32"/>
        <v>211.33764188653674</v>
      </c>
      <c r="N25" s="31">
        <v>97.3</v>
      </c>
      <c r="O25" s="80">
        <f t="shared" si="33"/>
        <v>-21.47</v>
      </c>
      <c r="P25" s="80">
        <f t="shared" si="34"/>
        <v>-5671.7739641294465</v>
      </c>
      <c r="Q25" s="29">
        <v>5.89</v>
      </c>
      <c r="R25" s="80">
        <f t="shared" si="39"/>
        <v>0</v>
      </c>
      <c r="S25" s="80">
        <f t="shared" si="37"/>
        <v>0</v>
      </c>
      <c r="T25" s="80"/>
      <c r="U25" s="80">
        <f t="shared" si="4"/>
        <v>0</v>
      </c>
      <c r="V25" s="215">
        <f t="shared" si="5"/>
        <v>0</v>
      </c>
      <c r="W25" s="185"/>
      <c r="X25" s="80"/>
      <c r="Y25" s="80">
        <f t="shared" si="6"/>
        <v>0</v>
      </c>
      <c r="Z25" s="194">
        <v>11.92</v>
      </c>
      <c r="AA25" s="80">
        <f t="shared" si="20"/>
        <v>1.0999999999999996</v>
      </c>
      <c r="AB25" s="80">
        <f t="shared" si="7"/>
        <v>290.58925759396317</v>
      </c>
      <c r="AC25" s="194">
        <v>1.96</v>
      </c>
      <c r="AD25" s="80">
        <f t="shared" si="21"/>
        <v>-2.0000000000000018E-2</v>
      </c>
      <c r="AE25" s="80">
        <f t="shared" si="8"/>
        <v>-5.2834410471629729</v>
      </c>
      <c r="AF25" s="154">
        <v>285.33</v>
      </c>
      <c r="AG25" s="18">
        <f t="shared" si="9"/>
        <v>0</v>
      </c>
      <c r="AH25" s="80">
        <f t="shared" si="22"/>
        <v>0</v>
      </c>
      <c r="AI25" s="194">
        <v>249.24</v>
      </c>
      <c r="AJ25" s="18">
        <f t="shared" si="10"/>
        <v>1.3199999999999932</v>
      </c>
      <c r="AK25" s="80">
        <f t="shared" si="11"/>
        <v>348.7071091127541</v>
      </c>
      <c r="AL25" s="194">
        <v>4.57</v>
      </c>
      <c r="AM25" s="18">
        <f t="shared" si="12"/>
        <v>1.9100000000000001</v>
      </c>
      <c r="AN25" s="17">
        <f t="shared" si="38"/>
        <v>504.56862000406358</v>
      </c>
      <c r="AO25" s="235">
        <f t="shared" si="35"/>
        <v>2686.6297724823694</v>
      </c>
      <c r="AP25" s="18">
        <v>10.17</v>
      </c>
    </row>
    <row r="26" spans="1:42" s="3" customFormat="1">
      <c r="A26" s="15">
        <v>44950</v>
      </c>
      <c r="B26" s="194">
        <v>0</v>
      </c>
      <c r="C26" s="80">
        <f t="shared" ref="C26:C31" si="40">IF(B26="",0,B25-B26)</f>
        <v>0</v>
      </c>
      <c r="D26" s="80">
        <f t="shared" si="27"/>
        <v>0</v>
      </c>
      <c r="E26" s="29">
        <v>54.9</v>
      </c>
      <c r="F26" s="80">
        <f t="shared" si="25"/>
        <v>1.1899999999999977</v>
      </c>
      <c r="G26" s="80">
        <f t="shared" si="28"/>
        <v>314.36474230619604</v>
      </c>
      <c r="H26" s="194">
        <v>129.88999999999999</v>
      </c>
      <c r="I26" s="80">
        <f t="shared" ref="I26:I31" si="41">IF(H26="",0,H25-H26)</f>
        <v>0</v>
      </c>
      <c r="J26" s="80">
        <f t="shared" si="30"/>
        <v>0</v>
      </c>
      <c r="K26" s="29">
        <v>807.1</v>
      </c>
      <c r="L26" s="80">
        <f t="shared" ref="L26:L31" si="42">IF(K26="",0,K25-K26)</f>
        <v>2.6999999999999318</v>
      </c>
      <c r="M26" s="80">
        <f t="shared" si="32"/>
        <v>713.26454136698271</v>
      </c>
      <c r="N26" s="31">
        <v>96.8</v>
      </c>
      <c r="O26" s="80">
        <f t="shared" ref="O26:O31" si="43">IF(N26="",0,N25-N26)</f>
        <v>0.5</v>
      </c>
      <c r="P26" s="80">
        <f t="shared" si="34"/>
        <v>132.08602617907422</v>
      </c>
      <c r="Q26" s="29">
        <v>5.89</v>
      </c>
      <c r="R26" s="80">
        <f t="shared" ref="R26:R31" si="44">IF(Q26="",0,Q25-Q26)</f>
        <v>0</v>
      </c>
      <c r="S26" s="80">
        <f t="shared" si="37"/>
        <v>0</v>
      </c>
      <c r="T26" s="80"/>
      <c r="U26" s="80">
        <f t="shared" si="4"/>
        <v>0</v>
      </c>
      <c r="V26" s="215">
        <f t="shared" si="5"/>
        <v>0</v>
      </c>
      <c r="W26" s="185"/>
      <c r="X26" s="80"/>
      <c r="Y26" s="80">
        <f t="shared" si="6"/>
        <v>0</v>
      </c>
      <c r="Z26" s="194">
        <v>16.91</v>
      </c>
      <c r="AA26" s="80">
        <f t="shared" si="20"/>
        <v>4.99</v>
      </c>
      <c r="AB26" s="80">
        <f t="shared" si="7"/>
        <v>1318.2185412671606</v>
      </c>
      <c r="AC26" s="194">
        <v>2.4500000000000002</v>
      </c>
      <c r="AD26" s="80">
        <f t="shared" si="21"/>
        <v>0.49000000000000021</v>
      </c>
      <c r="AE26" s="80">
        <f t="shared" si="8"/>
        <v>129.4443056554928</v>
      </c>
      <c r="AF26" s="154">
        <v>285.27</v>
      </c>
      <c r="AG26" s="80">
        <f t="shared" ref="AG26:AG31" si="45">IF(AF26="",0,AF25-AF26)</f>
        <v>6.0000000000002274E-2</v>
      </c>
      <c r="AH26" s="80">
        <f t="shared" si="22"/>
        <v>15.850323141489506</v>
      </c>
      <c r="AI26" s="194">
        <v>252.99</v>
      </c>
      <c r="AJ26" s="80">
        <f t="shared" ref="AJ26:AJ89" si="46">IF(AI26="",0,AI25-AI26)</f>
        <v>-3.75</v>
      </c>
      <c r="AK26" s="80">
        <f t="shared" si="11"/>
        <v>-990.64519634305657</v>
      </c>
      <c r="AL26" s="194">
        <v>8.25</v>
      </c>
      <c r="AM26" s="80">
        <f>IF(AL26="",0,AL25-AL26)</f>
        <v>-3.6799999999999997</v>
      </c>
      <c r="AN26" s="17">
        <f t="shared" si="38"/>
        <v>-972.1531526779861</v>
      </c>
      <c r="AO26" s="235">
        <f t="shared" si="35"/>
        <v>9874.7513171475875</v>
      </c>
      <c r="AP26" s="18">
        <v>37.380000000000003</v>
      </c>
    </row>
    <row r="27" spans="1:42" s="3" customFormat="1">
      <c r="A27" s="15">
        <v>44951</v>
      </c>
      <c r="B27" s="194">
        <v>0</v>
      </c>
      <c r="C27" s="80">
        <f t="shared" si="40"/>
        <v>0</v>
      </c>
      <c r="D27" s="80">
        <f t="shared" si="27"/>
        <v>0</v>
      </c>
      <c r="E27" s="29">
        <v>56.27</v>
      </c>
      <c r="F27" s="80">
        <f t="shared" si="25"/>
        <v>1.3700000000000045</v>
      </c>
      <c r="G27" s="80">
        <f t="shared" si="28"/>
        <v>361.91571173066455</v>
      </c>
      <c r="H27" s="194">
        <v>129.88999999999999</v>
      </c>
      <c r="I27" s="80">
        <f t="shared" si="41"/>
        <v>0</v>
      </c>
      <c r="J27" s="80">
        <f t="shared" si="30"/>
        <v>0</v>
      </c>
      <c r="K27" s="29">
        <v>839.3</v>
      </c>
      <c r="L27" s="80">
        <f t="shared" si="42"/>
        <v>-32.199999999999932</v>
      </c>
      <c r="M27" s="80">
        <f t="shared" si="32"/>
        <v>-8506.340085932361</v>
      </c>
      <c r="N27" s="31">
        <v>96.4</v>
      </c>
      <c r="O27" s="80">
        <f t="shared" si="43"/>
        <v>0.39999999999999147</v>
      </c>
      <c r="P27" s="80">
        <f t="shared" si="34"/>
        <v>105.66882094325712</v>
      </c>
      <c r="Q27" s="29">
        <v>5.88</v>
      </c>
      <c r="R27" s="80">
        <f t="shared" si="44"/>
        <v>9.9999999999997868E-3</v>
      </c>
      <c r="S27" s="80">
        <f t="shared" si="37"/>
        <v>2.6417205235814278</v>
      </c>
      <c r="T27" s="80"/>
      <c r="U27" s="80">
        <f t="shared" si="4"/>
        <v>0</v>
      </c>
      <c r="V27" s="215">
        <f t="shared" si="5"/>
        <v>0</v>
      </c>
      <c r="W27" s="185"/>
      <c r="X27" s="80"/>
      <c r="Y27" s="80">
        <f t="shared" si="6"/>
        <v>0</v>
      </c>
      <c r="Z27" s="194">
        <v>16.91</v>
      </c>
      <c r="AA27" s="80">
        <f t="shared" si="20"/>
        <v>0</v>
      </c>
      <c r="AB27" s="80">
        <f t="shared" si="7"/>
        <v>0</v>
      </c>
      <c r="AC27" s="194">
        <v>3.39</v>
      </c>
      <c r="AD27" s="80">
        <f t="shared" si="21"/>
        <v>0.94</v>
      </c>
      <c r="AE27" s="80">
        <f t="shared" si="8"/>
        <v>248.32172921665952</v>
      </c>
      <c r="AF27" s="154">
        <v>285.27</v>
      </c>
      <c r="AG27" s="80">
        <f t="shared" si="45"/>
        <v>0</v>
      </c>
      <c r="AH27" s="80">
        <f t="shared" si="22"/>
        <v>0</v>
      </c>
      <c r="AI27" s="194">
        <v>282.72000000000003</v>
      </c>
      <c r="AJ27" s="80">
        <f t="shared" si="46"/>
        <v>-29.730000000000018</v>
      </c>
      <c r="AK27" s="80">
        <f t="shared" si="11"/>
        <v>-7853.8351166077573</v>
      </c>
      <c r="AL27" s="194">
        <v>8.08</v>
      </c>
      <c r="AM27" s="80">
        <f t="shared" ref="AM27:AM90" si="47">IF(AL27="",0,AL26-AL27)</f>
        <v>0.16999999999999993</v>
      </c>
      <c r="AN27" s="17">
        <f t="shared" si="38"/>
        <v>44.909248900885217</v>
      </c>
      <c r="AO27" s="235">
        <f t="shared" si="35"/>
        <v>10461.213273382678</v>
      </c>
      <c r="AP27" s="18">
        <v>39.6</v>
      </c>
    </row>
    <row r="28" spans="1:42" s="3" customFormat="1">
      <c r="A28" s="15">
        <v>44952</v>
      </c>
      <c r="B28" s="194">
        <v>0</v>
      </c>
      <c r="C28" s="80">
        <f t="shared" si="40"/>
        <v>0</v>
      </c>
      <c r="D28" s="80">
        <f t="shared" si="27"/>
        <v>0</v>
      </c>
      <c r="E28" s="29">
        <v>57.73</v>
      </c>
      <c r="F28" s="80">
        <f t="shared" si="25"/>
        <v>1.4599999999999937</v>
      </c>
      <c r="G28" s="80">
        <f t="shared" si="28"/>
        <v>385.69119644289503</v>
      </c>
      <c r="H28" s="194">
        <v>129.88999999999999</v>
      </c>
      <c r="I28" s="80">
        <f t="shared" si="41"/>
        <v>0</v>
      </c>
      <c r="J28" s="80">
        <f t="shared" si="30"/>
        <v>0</v>
      </c>
      <c r="K28" s="29">
        <v>779.4</v>
      </c>
      <c r="L28" s="80">
        <f t="shared" si="42"/>
        <v>59.899999999999977</v>
      </c>
      <c r="M28" s="80">
        <f t="shared" si="32"/>
        <v>15823.905936253084</v>
      </c>
      <c r="N28" s="31">
        <v>89.3</v>
      </c>
      <c r="O28" s="80">
        <f t="shared" si="43"/>
        <v>7.1000000000000085</v>
      </c>
      <c r="P28" s="80">
        <f t="shared" si="34"/>
        <v>1875.6215717428561</v>
      </c>
      <c r="Q28" s="29">
        <v>3.34</v>
      </c>
      <c r="R28" s="80">
        <f t="shared" si="44"/>
        <v>2.54</v>
      </c>
      <c r="S28" s="80">
        <f t="shared" si="37"/>
        <v>670.99701298969694</v>
      </c>
      <c r="T28" s="80"/>
      <c r="U28" s="80">
        <f t="shared" si="4"/>
        <v>0</v>
      </c>
      <c r="V28" s="215">
        <f t="shared" si="5"/>
        <v>0</v>
      </c>
      <c r="W28" s="185"/>
      <c r="X28" s="80"/>
      <c r="Y28" s="80">
        <f t="shared" si="6"/>
        <v>0</v>
      </c>
      <c r="Z28" s="194">
        <v>16.920000000000002</v>
      </c>
      <c r="AA28" s="80">
        <f t="shared" si="20"/>
        <v>1.0000000000001563E-2</v>
      </c>
      <c r="AB28" s="80">
        <f t="shared" si="7"/>
        <v>2.6417205235818972</v>
      </c>
      <c r="AC28" s="194">
        <v>4.21</v>
      </c>
      <c r="AD28" s="80">
        <f t="shared" si="21"/>
        <v>0.81999999999999984</v>
      </c>
      <c r="AE28" s="80">
        <f t="shared" si="8"/>
        <v>216.62108293368166</v>
      </c>
      <c r="AF28" s="154">
        <v>285.27</v>
      </c>
      <c r="AG28" s="80">
        <f t="shared" si="45"/>
        <v>0</v>
      </c>
      <c r="AH28" s="80">
        <f t="shared" si="22"/>
        <v>0</v>
      </c>
      <c r="AI28" s="194">
        <v>285.33</v>
      </c>
      <c r="AJ28" s="80">
        <f t="shared" si="46"/>
        <v>-2.6099999999999568</v>
      </c>
      <c r="AK28" s="80">
        <f t="shared" si="11"/>
        <v>-689.48905665475593</v>
      </c>
      <c r="AL28" s="194">
        <v>2.16</v>
      </c>
      <c r="AM28" s="80">
        <f>IF(AL28="",0,AL27-AL28)</f>
        <v>5.92</v>
      </c>
      <c r="AN28" s="17">
        <f>+CONVERT(AM28,"m^3","gal")</f>
        <v>1563.8985499602386</v>
      </c>
      <c r="AO28" s="235">
        <f t="shared" si="35"/>
        <v>0</v>
      </c>
      <c r="AP28" s="18"/>
    </row>
    <row r="29" spans="1:42" s="3" customFormat="1">
      <c r="A29" s="15">
        <v>44953</v>
      </c>
      <c r="B29" s="194">
        <v>0</v>
      </c>
      <c r="C29" s="80">
        <f t="shared" si="40"/>
        <v>0</v>
      </c>
      <c r="D29" s="80">
        <f t="shared" si="27"/>
        <v>0</v>
      </c>
      <c r="E29" s="29">
        <v>59.1</v>
      </c>
      <c r="F29" s="80">
        <f t="shared" si="25"/>
        <v>1.3700000000000045</v>
      </c>
      <c r="G29" s="80">
        <f t="shared" si="28"/>
        <v>361.91571173066455</v>
      </c>
      <c r="H29" s="194">
        <v>129.88999999999999</v>
      </c>
      <c r="I29" s="80">
        <f t="shared" si="41"/>
        <v>0</v>
      </c>
      <c r="J29" s="80">
        <f t="shared" si="30"/>
        <v>0</v>
      </c>
      <c r="K29" s="29">
        <v>753.5</v>
      </c>
      <c r="L29" s="80">
        <f t="shared" si="42"/>
        <v>25.899999999999977</v>
      </c>
      <c r="M29" s="80">
        <f t="shared" si="32"/>
        <v>6842.056156076038</v>
      </c>
      <c r="N29" s="31">
        <v>82.1</v>
      </c>
      <c r="O29" s="80">
        <f t="shared" si="43"/>
        <v>7.2000000000000028</v>
      </c>
      <c r="P29" s="80">
        <f t="shared" si="34"/>
        <v>1902.0387769786694</v>
      </c>
      <c r="Q29" s="268">
        <v>3.16</v>
      </c>
      <c r="R29" s="269">
        <f>IF(Q29="",0,Q17-Q29)</f>
        <v>10.82</v>
      </c>
      <c r="S29" s="269">
        <f t="shared" si="37"/>
        <v>2858.3416065151659</v>
      </c>
      <c r="T29" s="269">
        <f>S29</f>
        <v>2858.3416065151659</v>
      </c>
      <c r="U29" s="269">
        <f t="shared" si="4"/>
        <v>10820</v>
      </c>
      <c r="V29" s="215">
        <f t="shared" si="5"/>
        <v>0</v>
      </c>
      <c r="W29" s="185"/>
      <c r="X29" s="80"/>
      <c r="Y29" s="80">
        <f t="shared" si="6"/>
        <v>0</v>
      </c>
      <c r="Z29" s="194">
        <v>16.920000000000002</v>
      </c>
      <c r="AA29" s="80">
        <f t="shared" si="20"/>
        <v>0</v>
      </c>
      <c r="AB29" s="80">
        <f t="shared" si="7"/>
        <v>0</v>
      </c>
      <c r="AC29" s="194">
        <v>5.03</v>
      </c>
      <c r="AD29" s="80">
        <f t="shared" si="21"/>
        <v>0.82000000000000028</v>
      </c>
      <c r="AE29" s="80">
        <f t="shared" si="8"/>
        <v>216.62108293368178</v>
      </c>
      <c r="AF29" s="154">
        <v>285.27</v>
      </c>
      <c r="AG29" s="80">
        <f t="shared" si="45"/>
        <v>0</v>
      </c>
      <c r="AH29" s="80">
        <f t="shared" si="22"/>
        <v>0</v>
      </c>
      <c r="AI29" s="194">
        <v>263.88</v>
      </c>
      <c r="AJ29" s="80">
        <f t="shared" si="46"/>
        <v>21.449999999999989</v>
      </c>
      <c r="AK29" s="80">
        <f t="shared" si="11"/>
        <v>5666.4905230822806</v>
      </c>
      <c r="AL29" s="194">
        <v>3.31</v>
      </c>
      <c r="AM29" s="80">
        <f>IF(AL29="",0,AL28-AL29)</f>
        <v>-1.1499999999999999</v>
      </c>
      <c r="AN29" s="17">
        <f>+CONVERT(AM29,"m^3","gal")</f>
        <v>-303.79786021187067</v>
      </c>
      <c r="AO29" s="235">
        <f t="shared" si="35"/>
        <v>0</v>
      </c>
      <c r="AP29" s="18"/>
    </row>
    <row r="30" spans="1:42" s="3" customFormat="1">
      <c r="A30" s="15">
        <v>44954</v>
      </c>
      <c r="B30" s="194">
        <v>0</v>
      </c>
      <c r="C30" s="80">
        <f t="shared" si="40"/>
        <v>0</v>
      </c>
      <c r="D30" s="80">
        <f t="shared" si="27"/>
        <v>0</v>
      </c>
      <c r="E30" s="29">
        <v>60.3</v>
      </c>
      <c r="F30" s="80">
        <f t="shared" si="25"/>
        <v>1.1999999999999957</v>
      </c>
      <c r="G30" s="80">
        <f t="shared" si="28"/>
        <v>317.00646282977698</v>
      </c>
      <c r="H30" s="194">
        <v>129.88999999999999</v>
      </c>
      <c r="I30" s="80">
        <f t="shared" si="41"/>
        <v>0</v>
      </c>
      <c r="J30" s="80">
        <f t="shared" si="30"/>
        <v>0</v>
      </c>
      <c r="K30" s="29">
        <v>752.7</v>
      </c>
      <c r="L30" s="80">
        <f t="shared" si="42"/>
        <v>0.79999999999995453</v>
      </c>
      <c r="M30" s="80">
        <f t="shared" si="32"/>
        <v>211.33764188650673</v>
      </c>
      <c r="N30" s="31">
        <v>75.180000000000007</v>
      </c>
      <c r="O30" s="80">
        <f t="shared" si="43"/>
        <v>6.9199999999999875</v>
      </c>
      <c r="P30" s="80">
        <f t="shared" si="34"/>
        <v>1828.0706023183836</v>
      </c>
      <c r="Q30" s="29">
        <v>3.33</v>
      </c>
      <c r="R30" s="80">
        <f t="shared" si="44"/>
        <v>-0.16999999999999993</v>
      </c>
      <c r="S30" s="80">
        <f t="shared" si="37"/>
        <v>-44.909248900885217</v>
      </c>
      <c r="T30" s="80"/>
      <c r="U30" s="80">
        <f t="shared" si="4"/>
        <v>0</v>
      </c>
      <c r="V30" s="215">
        <f t="shared" si="5"/>
        <v>0</v>
      </c>
      <c r="W30" s="185"/>
      <c r="X30" s="215"/>
      <c r="Y30" s="215">
        <f t="shared" si="6"/>
        <v>0</v>
      </c>
      <c r="Z30" s="219">
        <v>19.920000000000002</v>
      </c>
      <c r="AA30" s="215">
        <f t="shared" ref="AA30:AA38" si="48">IF(Z30="",0,Z30-Z29)</f>
        <v>3</v>
      </c>
      <c r="AB30" s="215">
        <f t="shared" si="7"/>
        <v>792.51615707444523</v>
      </c>
      <c r="AC30" s="219">
        <v>6.16</v>
      </c>
      <c r="AD30" s="215">
        <f t="shared" si="21"/>
        <v>1.1299999999999999</v>
      </c>
      <c r="AE30" s="215">
        <f t="shared" si="8"/>
        <v>298.5144191647077</v>
      </c>
      <c r="AF30" s="154">
        <v>285.3</v>
      </c>
      <c r="AG30" s="80">
        <f t="shared" si="45"/>
        <v>-3.0000000000029559E-2</v>
      </c>
      <c r="AH30" s="80">
        <f t="shared" si="22"/>
        <v>-7.9251615707522616</v>
      </c>
      <c r="AI30" s="194">
        <v>243</v>
      </c>
      <c r="AJ30" s="80">
        <f t="shared" si="46"/>
        <v>20.879999999999995</v>
      </c>
      <c r="AK30" s="80">
        <f t="shared" si="11"/>
        <v>5515.9124532381384</v>
      </c>
      <c r="AL30" s="194">
        <v>8.49</v>
      </c>
      <c r="AM30" s="80">
        <f>IF(AL30="",0,AL29-AL30)</f>
        <v>-5.18</v>
      </c>
      <c r="AN30" s="17">
        <f>+CONVERT(AM30,"m^3","gal")</f>
        <v>-1368.4112312152088</v>
      </c>
      <c r="AO30" s="235">
        <f t="shared" si="35"/>
        <v>0</v>
      </c>
      <c r="AP30" s="18"/>
    </row>
    <row r="31" spans="1:42" s="3" customFormat="1">
      <c r="A31" s="15">
        <v>44955</v>
      </c>
      <c r="B31" s="194">
        <v>0</v>
      </c>
      <c r="C31" s="80">
        <f t="shared" si="40"/>
        <v>0</v>
      </c>
      <c r="D31" s="80">
        <f t="shared" si="27"/>
        <v>0</v>
      </c>
      <c r="E31" s="29">
        <v>61.25</v>
      </c>
      <c r="F31" s="80">
        <f t="shared" si="25"/>
        <v>0.95000000000000284</v>
      </c>
      <c r="G31" s="80">
        <f t="shared" si="28"/>
        <v>250.96344974024174</v>
      </c>
      <c r="H31" s="194">
        <v>129.88999999999999</v>
      </c>
      <c r="I31" s="80">
        <f t="shared" si="41"/>
        <v>0</v>
      </c>
      <c r="J31" s="80">
        <f t="shared" si="30"/>
        <v>0</v>
      </c>
      <c r="K31" s="29">
        <v>744.3</v>
      </c>
      <c r="L31" s="80">
        <f t="shared" si="42"/>
        <v>8.4000000000000909</v>
      </c>
      <c r="M31" s="80">
        <f t="shared" si="32"/>
        <v>2219.0452398084708</v>
      </c>
      <c r="N31" s="270">
        <v>69.89</v>
      </c>
      <c r="O31" s="271">
        <f t="shared" si="43"/>
        <v>5.2900000000000063</v>
      </c>
      <c r="P31" s="271">
        <f t="shared" si="34"/>
        <v>1397.4701569746069</v>
      </c>
      <c r="Q31" s="29">
        <v>3.3</v>
      </c>
      <c r="R31" s="80">
        <f t="shared" si="44"/>
        <v>3.0000000000000249E-2</v>
      </c>
      <c r="S31" s="80">
        <f t="shared" si="37"/>
        <v>7.9251615707445184</v>
      </c>
      <c r="T31" s="80"/>
      <c r="U31" s="80">
        <f t="shared" si="4"/>
        <v>0</v>
      </c>
      <c r="V31" s="215">
        <f t="shared" si="5"/>
        <v>0</v>
      </c>
      <c r="W31" s="185"/>
      <c r="X31" s="80"/>
      <c r="Y31" s="80">
        <f t="shared" si="6"/>
        <v>0</v>
      </c>
      <c r="Z31" s="194">
        <v>16.899999999999999</v>
      </c>
      <c r="AA31" s="80">
        <f t="shared" si="48"/>
        <v>-3.0200000000000031</v>
      </c>
      <c r="AB31" s="80">
        <f t="shared" si="7"/>
        <v>-797.79959812160905</v>
      </c>
      <c r="AC31" s="194">
        <v>6.54</v>
      </c>
      <c r="AD31" s="80">
        <f t="shared" si="21"/>
        <v>0.37999999999999989</v>
      </c>
      <c r="AE31" s="80">
        <f t="shared" si="8"/>
        <v>100.38537989609637</v>
      </c>
      <c r="AF31" s="154">
        <v>284.39999999999998</v>
      </c>
      <c r="AG31" s="80">
        <f t="shared" si="45"/>
        <v>0.90000000000003411</v>
      </c>
      <c r="AH31" s="80">
        <f t="shared" si="22"/>
        <v>237.7548471223426</v>
      </c>
      <c r="AI31" s="194">
        <v>240.6</v>
      </c>
      <c r="AJ31" s="80">
        <f t="shared" si="46"/>
        <v>2.4000000000000057</v>
      </c>
      <c r="AK31" s="80">
        <f t="shared" si="11"/>
        <v>634.01292565955771</v>
      </c>
      <c r="AL31" s="194">
        <v>3.3</v>
      </c>
      <c r="AM31" s="80">
        <f t="shared" si="47"/>
        <v>5.19</v>
      </c>
      <c r="AN31" s="17">
        <f t="shared" si="38"/>
        <v>1371.0529517387904</v>
      </c>
      <c r="AO31" s="235">
        <f t="shared" si="35"/>
        <v>0</v>
      </c>
      <c r="AP31" s="18"/>
    </row>
    <row r="32" spans="1:42" s="3" customFormat="1">
      <c r="A32" s="15">
        <v>44956</v>
      </c>
      <c r="B32" s="194">
        <v>0</v>
      </c>
      <c r="C32" s="80">
        <f t="shared" ref="C32:C63" si="49">IF(B32="",0,B31-B32)</f>
        <v>0</v>
      </c>
      <c r="D32" s="80">
        <f t="shared" si="27"/>
        <v>0</v>
      </c>
      <c r="E32" s="29">
        <v>62.78</v>
      </c>
      <c r="F32" s="80">
        <f t="shared" si="25"/>
        <v>1.5300000000000011</v>
      </c>
      <c r="G32" s="80">
        <f t="shared" si="28"/>
        <v>404.18324010796738</v>
      </c>
      <c r="H32" s="194">
        <v>129.88999999999999</v>
      </c>
      <c r="I32" s="80">
        <f t="shared" ref="I32:I63" si="50">IF(H32="",0,H31-H32)</f>
        <v>0</v>
      </c>
      <c r="J32" s="80">
        <f t="shared" si="30"/>
        <v>0</v>
      </c>
      <c r="K32" s="29">
        <v>782.4</v>
      </c>
      <c r="L32" s="80">
        <f t="shared" ref="L32:L63" si="51">IF(K32="",0,K31-K32)</f>
        <v>-38.100000000000023</v>
      </c>
      <c r="M32" s="80">
        <f t="shared" si="32"/>
        <v>-10064.955194845461</v>
      </c>
      <c r="N32" s="31">
        <v>63.65</v>
      </c>
      <c r="O32" s="80">
        <f t="shared" ref="O32:O63" si="52">IF(N32="",0,N31-N32)</f>
        <v>6.240000000000002</v>
      </c>
      <c r="P32" s="80">
        <f t="shared" si="34"/>
        <v>1648.4336067148467</v>
      </c>
      <c r="Q32" s="29">
        <v>3.36</v>
      </c>
      <c r="R32" s="80">
        <f t="shared" ref="R32:R69" si="53">IF(Q32="",0,Q31-Q32)</f>
        <v>-6.0000000000000053E-2</v>
      </c>
      <c r="S32" s="80">
        <f t="shared" si="37"/>
        <v>-15.85032314148892</v>
      </c>
      <c r="T32" s="80"/>
      <c r="U32" s="80">
        <f t="shared" si="4"/>
        <v>0</v>
      </c>
      <c r="V32" s="215">
        <f t="shared" si="5"/>
        <v>0</v>
      </c>
      <c r="W32" s="185"/>
      <c r="X32" s="80"/>
      <c r="Y32" s="80">
        <f t="shared" si="6"/>
        <v>0</v>
      </c>
      <c r="Z32" s="194">
        <v>16.940000000000001</v>
      </c>
      <c r="AA32" s="80">
        <f t="shared" si="48"/>
        <v>4.00000000000027E-2</v>
      </c>
      <c r="AB32" s="80">
        <f t="shared" si="7"/>
        <v>10.566882094326651</v>
      </c>
      <c r="AC32" s="194">
        <v>7.54</v>
      </c>
      <c r="AD32" s="80">
        <f t="shared" ref="AD32:AD54" si="54">IF(AC32="",0,AC32-AC31)</f>
        <v>1</v>
      </c>
      <c r="AE32" s="80">
        <f t="shared" si="8"/>
        <v>264.17205235814845</v>
      </c>
      <c r="AF32" s="154">
        <v>285.3</v>
      </c>
      <c r="AG32" s="80">
        <f t="shared" ref="AG32:AG63" si="55">IF(AF32="",0,AF31-AF32)</f>
        <v>-0.90000000000003411</v>
      </c>
      <c r="AH32" s="80">
        <f t="shared" si="22"/>
        <v>-237.7548471223426</v>
      </c>
      <c r="AI32" s="194">
        <v>270.60000000000002</v>
      </c>
      <c r="AJ32" s="80">
        <f t="shared" si="46"/>
        <v>-30.000000000000028</v>
      </c>
      <c r="AK32" s="80">
        <f t="shared" si="11"/>
        <v>-7925.1615707444607</v>
      </c>
      <c r="AL32" s="194">
        <v>6.22</v>
      </c>
      <c r="AM32" s="80">
        <f>IF(AL32="",0,AL31-AL32)</f>
        <v>-2.92</v>
      </c>
      <c r="AN32" s="17">
        <f>+CONVERT(AM32,"m^3","gal")</f>
        <v>-771.38239288579337</v>
      </c>
      <c r="AO32" s="235">
        <f t="shared" si="35"/>
        <v>12363.252050361347</v>
      </c>
      <c r="AP32" s="18">
        <v>46.8</v>
      </c>
    </row>
    <row r="33" spans="1:42" s="3" customFormat="1">
      <c r="A33" s="15">
        <v>44957</v>
      </c>
      <c r="B33" s="194">
        <v>0</v>
      </c>
      <c r="C33" s="80">
        <f t="shared" si="49"/>
        <v>0</v>
      </c>
      <c r="D33" s="80">
        <f t="shared" si="27"/>
        <v>0</v>
      </c>
      <c r="E33" s="29">
        <v>64.13</v>
      </c>
      <c r="F33" s="80">
        <f t="shared" ref="F33:F44" si="56">IF(E33="",0,E33-E32)</f>
        <v>1.3499999999999943</v>
      </c>
      <c r="G33" s="80">
        <f t="shared" si="28"/>
        <v>356.63227068349886</v>
      </c>
      <c r="H33" s="194">
        <v>129.88999999999999</v>
      </c>
      <c r="I33" s="80">
        <f t="shared" si="50"/>
        <v>0</v>
      </c>
      <c r="J33" s="80">
        <f t="shared" si="30"/>
        <v>0</v>
      </c>
      <c r="K33" s="29">
        <v>774.7</v>
      </c>
      <c r="L33" s="80">
        <f t="shared" si="51"/>
        <v>7.6999999999999318</v>
      </c>
      <c r="M33" s="80">
        <f t="shared" si="32"/>
        <v>2034.1248031577247</v>
      </c>
      <c r="N33" s="31">
        <v>56</v>
      </c>
      <c r="O33" s="80">
        <f t="shared" si="52"/>
        <v>7.6499999999999986</v>
      </c>
      <c r="P33" s="80">
        <f t="shared" si="34"/>
        <v>2020.916200539835</v>
      </c>
      <c r="Q33" s="29">
        <v>3.31</v>
      </c>
      <c r="R33" s="80">
        <f t="shared" si="53"/>
        <v>4.9999999999999822E-2</v>
      </c>
      <c r="S33" s="80">
        <f t="shared" si="37"/>
        <v>13.208602617907374</v>
      </c>
      <c r="T33" s="80"/>
      <c r="U33" s="80">
        <f t="shared" si="4"/>
        <v>0</v>
      </c>
      <c r="V33" s="215">
        <f t="shared" si="5"/>
        <v>0</v>
      </c>
      <c r="W33" s="185"/>
      <c r="X33" s="80"/>
      <c r="Y33" s="80">
        <f t="shared" si="6"/>
        <v>0</v>
      </c>
      <c r="Z33" s="194">
        <v>16.89</v>
      </c>
      <c r="AA33" s="80">
        <f t="shared" si="48"/>
        <v>-5.0000000000000711E-2</v>
      </c>
      <c r="AB33" s="80">
        <f t="shared" si="7"/>
        <v>-13.208602617907609</v>
      </c>
      <c r="AC33" s="194">
        <v>8.6199999999999992</v>
      </c>
      <c r="AD33" s="80">
        <f t="shared" si="54"/>
        <v>1.0799999999999992</v>
      </c>
      <c r="AE33" s="80">
        <f t="shared" si="8"/>
        <v>285.30581654680003</v>
      </c>
      <c r="AF33" s="154">
        <v>283.14</v>
      </c>
      <c r="AG33" s="80">
        <f t="shared" si="55"/>
        <v>2.160000000000025</v>
      </c>
      <c r="AH33" s="80">
        <f t="shared" si="22"/>
        <v>570.61163309360722</v>
      </c>
      <c r="AI33" s="194">
        <v>261.60000000000002</v>
      </c>
      <c r="AJ33" s="80">
        <f t="shared" si="46"/>
        <v>9</v>
      </c>
      <c r="AK33" s="80">
        <f t="shared" si="11"/>
        <v>2377.5484712233356</v>
      </c>
      <c r="AL33" s="194">
        <v>4.0199999999999996</v>
      </c>
      <c r="AM33" s="80">
        <f t="shared" si="47"/>
        <v>2.2000000000000002</v>
      </c>
      <c r="AN33" s="17">
        <f t="shared" si="38"/>
        <v>581.17851518792656</v>
      </c>
      <c r="AO33" s="235">
        <f t="shared" si="35"/>
        <v>0</v>
      </c>
      <c r="AP33" s="18"/>
    </row>
    <row r="34" spans="1:42" s="3" customFormat="1">
      <c r="A34" s="15">
        <v>44958</v>
      </c>
      <c r="B34" s="194">
        <v>0</v>
      </c>
      <c r="C34" s="80">
        <f t="shared" si="49"/>
        <v>0</v>
      </c>
      <c r="D34" s="80">
        <f t="shared" si="27"/>
        <v>0</v>
      </c>
      <c r="E34" s="29">
        <v>65.599999999999994</v>
      </c>
      <c r="F34" s="80">
        <f t="shared" si="56"/>
        <v>1.4699999999999989</v>
      </c>
      <c r="G34" s="80">
        <f t="shared" si="28"/>
        <v>388.33291696647785</v>
      </c>
      <c r="H34" s="194">
        <v>129.88999999999999</v>
      </c>
      <c r="I34" s="80">
        <f t="shared" si="50"/>
        <v>0</v>
      </c>
      <c r="J34" s="80">
        <f t="shared" si="30"/>
        <v>0</v>
      </c>
      <c r="K34" s="29">
        <v>770.8</v>
      </c>
      <c r="L34" s="80">
        <f t="shared" si="51"/>
        <v>3.9000000000000909</v>
      </c>
      <c r="M34" s="80">
        <f t="shared" si="32"/>
        <v>1030.2710041968028</v>
      </c>
      <c r="N34" s="31">
        <v>49.4</v>
      </c>
      <c r="O34" s="80">
        <f t="shared" si="52"/>
        <v>6.6000000000000014</v>
      </c>
      <c r="P34" s="80">
        <f t="shared" si="34"/>
        <v>1743.53554556378</v>
      </c>
      <c r="Q34" s="29">
        <v>3.31</v>
      </c>
      <c r="R34" s="80">
        <f t="shared" si="53"/>
        <v>0</v>
      </c>
      <c r="S34" s="80">
        <f t="shared" si="37"/>
        <v>0</v>
      </c>
      <c r="T34" s="80"/>
      <c r="U34" s="80">
        <f t="shared" si="4"/>
        <v>0</v>
      </c>
      <c r="V34" s="215">
        <f t="shared" si="5"/>
        <v>0</v>
      </c>
      <c r="W34" s="185"/>
      <c r="X34" s="80"/>
      <c r="Y34" s="80">
        <f t="shared" si="6"/>
        <v>0</v>
      </c>
      <c r="Z34" s="194">
        <v>16.920000000000002</v>
      </c>
      <c r="AA34" s="80">
        <f t="shared" si="48"/>
        <v>3.0000000000001137E-2</v>
      </c>
      <c r="AB34" s="80">
        <f t="shared" si="7"/>
        <v>7.9251615707447529</v>
      </c>
      <c r="AC34" s="194">
        <v>16.11</v>
      </c>
      <c r="AD34" s="80">
        <f t="shared" si="54"/>
        <v>7.49</v>
      </c>
      <c r="AE34" s="80">
        <f t="shared" si="8"/>
        <v>1978.6486721625317</v>
      </c>
      <c r="AF34" s="154">
        <v>283.05</v>
      </c>
      <c r="AG34" s="80">
        <f t="shared" si="55"/>
        <v>8.9999999999974989E-2</v>
      </c>
      <c r="AH34" s="80">
        <f t="shared" si="22"/>
        <v>23.775484712226749</v>
      </c>
      <c r="AI34" s="194">
        <v>250.71</v>
      </c>
      <c r="AJ34" s="80">
        <f t="shared" si="46"/>
        <v>10.890000000000015</v>
      </c>
      <c r="AK34" s="80">
        <f t="shared" si="11"/>
        <v>2876.8336501802401</v>
      </c>
      <c r="AL34" s="194">
        <v>4.57</v>
      </c>
      <c r="AM34" s="80">
        <f>IF(AL34="",0,AL33-AL34)</f>
        <v>-0.55000000000000071</v>
      </c>
      <c r="AN34" s="17">
        <f>+CONVERT(AM34,"m^3","gal")</f>
        <v>-145.29462879698181</v>
      </c>
      <c r="AO34" s="235">
        <f t="shared" si="35"/>
        <v>0</v>
      </c>
      <c r="AP34" s="18"/>
    </row>
    <row r="35" spans="1:42" s="3" customFormat="1">
      <c r="A35" s="15">
        <v>44959</v>
      </c>
      <c r="B35" s="194">
        <v>0</v>
      </c>
      <c r="C35" s="80">
        <f t="shared" si="49"/>
        <v>0</v>
      </c>
      <c r="D35" s="80">
        <f t="shared" si="27"/>
        <v>0</v>
      </c>
      <c r="E35" s="29">
        <v>66.69</v>
      </c>
      <c r="F35" s="80">
        <f t="shared" si="56"/>
        <v>1.0900000000000034</v>
      </c>
      <c r="G35" s="80">
        <f t="shared" si="28"/>
        <v>287.94753707038268</v>
      </c>
      <c r="H35" s="194">
        <v>129.88999999999999</v>
      </c>
      <c r="I35" s="80">
        <f t="shared" si="50"/>
        <v>0</v>
      </c>
      <c r="J35" s="80">
        <f t="shared" si="30"/>
        <v>0</v>
      </c>
      <c r="K35" s="29">
        <v>768.2</v>
      </c>
      <c r="L35" s="80">
        <f t="shared" si="51"/>
        <v>2.5999999999999091</v>
      </c>
      <c r="M35" s="80">
        <f t="shared" si="32"/>
        <v>686.84733613116191</v>
      </c>
      <c r="N35" s="31">
        <v>43.47</v>
      </c>
      <c r="O35" s="80">
        <f t="shared" si="52"/>
        <v>5.93</v>
      </c>
      <c r="P35" s="80">
        <f t="shared" si="34"/>
        <v>1566.5402704838202</v>
      </c>
      <c r="Q35" s="29">
        <v>3.3</v>
      </c>
      <c r="R35" s="80">
        <f t="shared" si="53"/>
        <v>1.0000000000000231E-2</v>
      </c>
      <c r="S35" s="80">
        <f t="shared" si="37"/>
        <v>2.6417205235815451</v>
      </c>
      <c r="T35" s="80"/>
      <c r="U35" s="80">
        <f t="shared" ref="U35:U66" si="57">+CONVERT(T35,"gal","l")</f>
        <v>0</v>
      </c>
      <c r="V35" s="215">
        <f t="shared" si="5"/>
        <v>0</v>
      </c>
      <c r="W35" s="185"/>
      <c r="X35" s="80">
        <v>8216</v>
      </c>
      <c r="Y35" s="80">
        <f t="shared" ref="Y35:Y66" si="58">+CONVERT(X35,"gal","m^3")</f>
        <v>31.100943217344</v>
      </c>
      <c r="Z35" s="194">
        <v>0.89</v>
      </c>
      <c r="AA35" s="80">
        <f t="shared" si="48"/>
        <v>-16.03</v>
      </c>
      <c r="AB35" s="80">
        <f t="shared" ref="AB35:AB66" si="59">+CONVERT(AA35,"m^3","gal")</f>
        <v>-4234.6779993011196</v>
      </c>
      <c r="AC35" s="194">
        <v>1.21</v>
      </c>
      <c r="AD35" s="80">
        <f t="shared" si="54"/>
        <v>-14.899999999999999</v>
      </c>
      <c r="AE35" s="80">
        <f t="shared" ref="AE35:AE66" si="60">+CONVERT(AD35,"m^3","gal")</f>
        <v>-3936.1635801364109</v>
      </c>
      <c r="AF35" s="154">
        <v>282.51</v>
      </c>
      <c r="AG35" s="80">
        <f t="shared" si="55"/>
        <v>0.54000000000002046</v>
      </c>
      <c r="AH35" s="80">
        <f t="shared" si="22"/>
        <v>142.65290827340556</v>
      </c>
      <c r="AI35" s="194">
        <v>234.51</v>
      </c>
      <c r="AJ35" s="80">
        <f t="shared" si="46"/>
        <v>16.200000000000017</v>
      </c>
      <c r="AK35" s="80">
        <f t="shared" ref="AK35:AK57" si="61">+CONVERT(AJ35,"m^3","gal")</f>
        <v>4279.5872482020086</v>
      </c>
      <c r="AL35" s="194">
        <v>7.95</v>
      </c>
      <c r="AM35" s="80">
        <f>IF(AL35="",0,AL34-AL35)</f>
        <v>-3.38</v>
      </c>
      <c r="AN35" s="17">
        <f>+CONVERT(AM35,"m^3","gal")</f>
        <v>-892.90153697054166</v>
      </c>
      <c r="AO35" s="235">
        <f t="shared" si="35"/>
        <v>0</v>
      </c>
      <c r="AP35" s="18"/>
    </row>
    <row r="36" spans="1:42" s="3" customFormat="1">
      <c r="A36" s="15">
        <v>44960</v>
      </c>
      <c r="B36" s="194">
        <v>0</v>
      </c>
      <c r="C36" s="80">
        <f t="shared" si="49"/>
        <v>0</v>
      </c>
      <c r="D36" s="80">
        <f t="shared" si="27"/>
        <v>0</v>
      </c>
      <c r="E36" s="29">
        <v>68.22</v>
      </c>
      <c r="F36" s="80">
        <f t="shared" si="56"/>
        <v>1.5300000000000011</v>
      </c>
      <c r="G36" s="80">
        <f t="shared" si="28"/>
        <v>404.18324010796738</v>
      </c>
      <c r="H36" s="194">
        <v>129.88999999999999</v>
      </c>
      <c r="I36" s="80">
        <f t="shared" si="50"/>
        <v>0</v>
      </c>
      <c r="J36" s="80">
        <f t="shared" si="30"/>
        <v>0</v>
      </c>
      <c r="K36" s="29">
        <v>719.2</v>
      </c>
      <c r="L36" s="80">
        <f t="shared" si="51"/>
        <v>49</v>
      </c>
      <c r="M36" s="80">
        <f t="shared" si="32"/>
        <v>12944.430565549274</v>
      </c>
      <c r="N36" s="31">
        <v>76.78</v>
      </c>
      <c r="O36" s="80">
        <f t="shared" si="52"/>
        <v>-33.31</v>
      </c>
      <c r="P36" s="80">
        <f t="shared" si="34"/>
        <v>-8799.5710640499237</v>
      </c>
      <c r="Q36" s="29">
        <v>3.3</v>
      </c>
      <c r="R36" s="80">
        <f t="shared" si="53"/>
        <v>0</v>
      </c>
      <c r="S36" s="80">
        <f t="shared" si="37"/>
        <v>0</v>
      </c>
      <c r="T36" s="80"/>
      <c r="U36" s="80">
        <f t="shared" si="57"/>
        <v>0</v>
      </c>
      <c r="V36" s="215">
        <f t="shared" si="5"/>
        <v>0</v>
      </c>
      <c r="W36" s="185"/>
      <c r="X36" s="80"/>
      <c r="Y36" s="80">
        <f t="shared" si="58"/>
        <v>0</v>
      </c>
      <c r="Z36" s="194">
        <v>0.9</v>
      </c>
      <c r="AA36" s="80">
        <f t="shared" si="48"/>
        <v>1.0000000000000009E-2</v>
      </c>
      <c r="AB36" s="80">
        <f t="shared" si="59"/>
        <v>2.6417205235814865</v>
      </c>
      <c r="AC36" s="194">
        <v>1.91</v>
      </c>
      <c r="AD36" s="80">
        <f t="shared" si="54"/>
        <v>0.7</v>
      </c>
      <c r="AE36" s="80">
        <f t="shared" si="60"/>
        <v>184.92043665070389</v>
      </c>
      <c r="AF36" s="154">
        <v>282.24</v>
      </c>
      <c r="AG36" s="80">
        <f t="shared" si="55"/>
        <v>0.26999999999998181</v>
      </c>
      <c r="AH36" s="80">
        <f t="shared" si="22"/>
        <v>71.326454136695276</v>
      </c>
      <c r="AI36" s="194">
        <v>223.35</v>
      </c>
      <c r="AJ36" s="80">
        <f t="shared" si="46"/>
        <v>11.159999999999997</v>
      </c>
      <c r="AK36" s="80">
        <f t="shared" si="61"/>
        <v>2948.1601043169353</v>
      </c>
      <c r="AL36" s="194">
        <v>6.6</v>
      </c>
      <c r="AM36" s="80">
        <f>IF(AL36="",0,AL35-AL36)</f>
        <v>1.3500000000000005</v>
      </c>
      <c r="AN36" s="17">
        <f>+CONVERT(AM36,"m^3","gal")</f>
        <v>356.63227068350051</v>
      </c>
      <c r="AO36" s="235">
        <f t="shared" si="35"/>
        <v>0</v>
      </c>
      <c r="AP36" s="18"/>
    </row>
    <row r="37" spans="1:42" s="3" customFormat="1">
      <c r="A37" s="15">
        <v>44961</v>
      </c>
      <c r="B37" s="194">
        <v>0</v>
      </c>
      <c r="C37" s="80">
        <f t="shared" si="49"/>
        <v>0</v>
      </c>
      <c r="D37" s="80">
        <f t="shared" si="27"/>
        <v>0</v>
      </c>
      <c r="E37" s="29">
        <v>69.94</v>
      </c>
      <c r="F37" s="80">
        <f t="shared" si="56"/>
        <v>1.7199999999999989</v>
      </c>
      <c r="G37" s="80">
        <f t="shared" si="28"/>
        <v>454.37593005601497</v>
      </c>
      <c r="H37" s="194">
        <v>129.88999999999999</v>
      </c>
      <c r="I37" s="80">
        <f t="shared" si="50"/>
        <v>0</v>
      </c>
      <c r="J37" s="80">
        <f t="shared" si="30"/>
        <v>0</v>
      </c>
      <c r="K37" s="29">
        <v>684.2</v>
      </c>
      <c r="L37" s="80">
        <f t="shared" si="51"/>
        <v>35</v>
      </c>
      <c r="M37" s="80">
        <f t="shared" si="32"/>
        <v>9246.0218325351943</v>
      </c>
      <c r="N37" s="31">
        <v>71.08</v>
      </c>
      <c r="O37" s="80">
        <f t="shared" si="52"/>
        <v>5.7000000000000028</v>
      </c>
      <c r="P37" s="80">
        <f t="shared" si="34"/>
        <v>1505.7806984414467</v>
      </c>
      <c r="Q37" s="29">
        <v>3.37</v>
      </c>
      <c r="R37" s="80">
        <f t="shared" si="53"/>
        <v>-7.0000000000000284E-2</v>
      </c>
      <c r="S37" s="80">
        <f t="shared" si="37"/>
        <v>-18.492043665070465</v>
      </c>
      <c r="T37" s="80"/>
      <c r="U37" s="80">
        <f t="shared" si="57"/>
        <v>0</v>
      </c>
      <c r="V37" s="215">
        <f t="shared" si="5"/>
        <v>0</v>
      </c>
      <c r="W37" s="185"/>
      <c r="X37" s="80"/>
      <c r="Y37" s="80">
        <f t="shared" si="58"/>
        <v>0</v>
      </c>
      <c r="Z37" s="194">
        <v>0.92</v>
      </c>
      <c r="AA37" s="80">
        <f t="shared" si="48"/>
        <v>2.0000000000000018E-2</v>
      </c>
      <c r="AB37" s="80">
        <f t="shared" si="59"/>
        <v>5.2834410471629729</v>
      </c>
      <c r="AC37" s="194">
        <v>2.63</v>
      </c>
      <c r="AD37" s="80">
        <f t="shared" si="54"/>
        <v>0.72</v>
      </c>
      <c r="AE37" s="80">
        <f t="shared" si="60"/>
        <v>190.20387769786686</v>
      </c>
      <c r="AF37" s="154">
        <v>282.57</v>
      </c>
      <c r="AG37" s="80">
        <f t="shared" si="55"/>
        <v>-0.32999999999998408</v>
      </c>
      <c r="AH37" s="80">
        <f t="shared" si="22"/>
        <v>-87.176777278184773</v>
      </c>
      <c r="AI37" s="219">
        <v>212.25</v>
      </c>
      <c r="AJ37" s="215">
        <f t="shared" si="46"/>
        <v>11.099999999999994</v>
      </c>
      <c r="AK37" s="215">
        <f t="shared" si="61"/>
        <v>2932.309781175446</v>
      </c>
      <c r="AL37" s="194">
        <v>6.11</v>
      </c>
      <c r="AM37" s="80">
        <f>IF(AL37="",0,AL36-AL37)</f>
        <v>0.48999999999999932</v>
      </c>
      <c r="AN37" s="17">
        <f>+CONVERT(AM37,"m^3","gal")</f>
        <v>129.44430565549254</v>
      </c>
      <c r="AO37" s="235">
        <f t="shared" si="35"/>
        <v>0</v>
      </c>
      <c r="AP37" s="18"/>
    </row>
    <row r="38" spans="1:42" s="3" customFormat="1">
      <c r="A38" s="15">
        <v>44962</v>
      </c>
      <c r="B38" s="194">
        <v>0</v>
      </c>
      <c r="C38" s="80">
        <f t="shared" si="49"/>
        <v>0</v>
      </c>
      <c r="D38" s="80">
        <f t="shared" si="27"/>
        <v>0</v>
      </c>
      <c r="E38" s="29">
        <v>71.2</v>
      </c>
      <c r="F38" s="80">
        <f t="shared" si="56"/>
        <v>1.2600000000000051</v>
      </c>
      <c r="G38" s="80">
        <f t="shared" si="28"/>
        <v>332.85678597126832</v>
      </c>
      <c r="H38" s="194">
        <v>129.88999999999999</v>
      </c>
      <c r="I38" s="80">
        <f t="shared" si="50"/>
        <v>0</v>
      </c>
      <c r="J38" s="80">
        <f t="shared" si="30"/>
        <v>0</v>
      </c>
      <c r="K38" s="29">
        <v>680.3</v>
      </c>
      <c r="L38" s="80">
        <f t="shared" si="51"/>
        <v>3.9000000000000909</v>
      </c>
      <c r="M38" s="80">
        <f t="shared" si="32"/>
        <v>1030.2710041968028</v>
      </c>
      <c r="N38" s="270">
        <v>66</v>
      </c>
      <c r="O38" s="271">
        <f t="shared" si="52"/>
        <v>5.0799999999999983</v>
      </c>
      <c r="P38" s="271">
        <f t="shared" si="34"/>
        <v>1341.9940259793934</v>
      </c>
      <c r="Q38" s="29">
        <v>3.34</v>
      </c>
      <c r="R38" s="80">
        <f t="shared" si="53"/>
        <v>3.0000000000000249E-2</v>
      </c>
      <c r="S38" s="80">
        <f t="shared" si="37"/>
        <v>7.9251615707445184</v>
      </c>
      <c r="T38" s="80"/>
      <c r="U38" s="80">
        <f t="shared" si="57"/>
        <v>0</v>
      </c>
      <c r="V38" s="215">
        <f t="shared" si="5"/>
        <v>0</v>
      </c>
      <c r="W38" s="185"/>
      <c r="X38" s="80"/>
      <c r="Y38" s="80">
        <f t="shared" si="58"/>
        <v>0</v>
      </c>
      <c r="Z38" s="194">
        <v>0.91</v>
      </c>
      <c r="AA38" s="80">
        <f t="shared" si="48"/>
        <v>-1.0000000000000009E-2</v>
      </c>
      <c r="AB38" s="80">
        <f t="shared" si="59"/>
        <v>-2.6417205235814865</v>
      </c>
      <c r="AC38" s="194">
        <v>3.38</v>
      </c>
      <c r="AD38" s="80">
        <f t="shared" si="54"/>
        <v>0.75</v>
      </c>
      <c r="AE38" s="80">
        <f t="shared" si="60"/>
        <v>198.12903926861131</v>
      </c>
      <c r="AF38" s="154">
        <v>281.82</v>
      </c>
      <c r="AG38" s="80">
        <f t="shared" si="55"/>
        <v>0.75</v>
      </c>
      <c r="AH38" s="80">
        <f t="shared" si="22"/>
        <v>198.12903926861131</v>
      </c>
      <c r="AI38" s="194">
        <v>198.18</v>
      </c>
      <c r="AJ38" s="80">
        <f t="shared" si="46"/>
        <v>14.069999999999993</v>
      </c>
      <c r="AK38" s="80">
        <f t="shared" si="61"/>
        <v>3716.9007766791465</v>
      </c>
      <c r="AL38" s="194">
        <v>6.24</v>
      </c>
      <c r="AM38" s="80">
        <f t="shared" si="47"/>
        <v>-0.12999999999999989</v>
      </c>
      <c r="AN38" s="17">
        <f t="shared" ref="AN38:AN43" si="62">+CONVERT(AM38,"m^3","gal")</f>
        <v>-34.342366806559262</v>
      </c>
      <c r="AO38" s="235">
        <f t="shared" si="35"/>
        <v>0</v>
      </c>
      <c r="AP38" s="18"/>
    </row>
    <row r="39" spans="1:42" s="3" customFormat="1">
      <c r="A39" s="15">
        <v>44963</v>
      </c>
      <c r="B39" s="194">
        <v>0</v>
      </c>
      <c r="C39" s="80">
        <f t="shared" si="49"/>
        <v>0</v>
      </c>
      <c r="D39" s="80">
        <f t="shared" si="27"/>
        <v>0</v>
      </c>
      <c r="E39" s="29">
        <v>72.69</v>
      </c>
      <c r="F39" s="80">
        <f t="shared" si="56"/>
        <v>1.4899999999999949</v>
      </c>
      <c r="G39" s="80">
        <f t="shared" si="28"/>
        <v>393.61635801363985</v>
      </c>
      <c r="H39" s="194">
        <v>129.88999999999999</v>
      </c>
      <c r="I39" s="80">
        <f t="shared" si="50"/>
        <v>0</v>
      </c>
      <c r="J39" s="80">
        <f t="shared" si="30"/>
        <v>0</v>
      </c>
      <c r="K39" s="29">
        <v>678</v>
      </c>
      <c r="L39" s="80">
        <f t="shared" si="51"/>
        <v>2.2999999999999545</v>
      </c>
      <c r="M39" s="80">
        <f t="shared" si="32"/>
        <v>607.5957204237294</v>
      </c>
      <c r="N39" s="31">
        <v>59.91</v>
      </c>
      <c r="O39" s="80">
        <f t="shared" si="52"/>
        <v>6.0900000000000034</v>
      </c>
      <c r="P39" s="80">
        <f t="shared" si="34"/>
        <v>1608.8077988611249</v>
      </c>
      <c r="Q39" s="29">
        <v>3.37</v>
      </c>
      <c r="R39" s="80">
        <f t="shared" si="53"/>
        <v>-3.0000000000000249E-2</v>
      </c>
      <c r="S39" s="80">
        <f t="shared" si="37"/>
        <v>-7.9251615707445184</v>
      </c>
      <c r="T39" s="80"/>
      <c r="U39" s="80">
        <f t="shared" si="57"/>
        <v>0</v>
      </c>
      <c r="V39" s="215">
        <f t="shared" si="5"/>
        <v>0</v>
      </c>
      <c r="W39" s="185"/>
      <c r="X39" s="80"/>
      <c r="Y39" s="80">
        <f t="shared" si="58"/>
        <v>0</v>
      </c>
      <c r="Z39" s="194">
        <v>0.93</v>
      </c>
      <c r="AA39" s="80">
        <f t="shared" ref="AA39:AA54" si="63">IF(Z39="",0,Z39-Z38)</f>
        <v>2.0000000000000018E-2</v>
      </c>
      <c r="AB39" s="80">
        <f t="shared" si="59"/>
        <v>5.2834410471629729</v>
      </c>
      <c r="AC39" s="194">
        <v>4.3099999999999996</v>
      </c>
      <c r="AD39" s="80">
        <f t="shared" si="54"/>
        <v>0.92999999999999972</v>
      </c>
      <c r="AE39" s="80">
        <f t="shared" si="60"/>
        <v>245.68000869307798</v>
      </c>
      <c r="AF39" s="154">
        <v>282.08999999999997</v>
      </c>
      <c r="AG39" s="80">
        <f t="shared" si="55"/>
        <v>-0.26999999999998181</v>
      </c>
      <c r="AH39" s="80">
        <f t="shared" si="22"/>
        <v>-71.326454136695276</v>
      </c>
      <c r="AI39" s="194">
        <v>222.6</v>
      </c>
      <c r="AJ39" s="80">
        <f t="shared" si="46"/>
        <v>-24.419999999999987</v>
      </c>
      <c r="AK39" s="80">
        <f t="shared" si="61"/>
        <v>-6451.0815185859819</v>
      </c>
      <c r="AL39" s="194">
        <v>4.63</v>
      </c>
      <c r="AM39" s="80">
        <f>IF(AL39="",0,AL38-AL39)</f>
        <v>1.6100000000000003</v>
      </c>
      <c r="AN39" s="17">
        <f>+CONVERT(AM39,"m^3","gal")</f>
        <v>425.31700429661902</v>
      </c>
      <c r="AO39" s="235">
        <f t="shared" si="35"/>
        <v>8004.4131864518968</v>
      </c>
      <c r="AP39" s="18">
        <v>30.3</v>
      </c>
    </row>
    <row r="40" spans="1:42" s="3" customFormat="1">
      <c r="A40" s="15">
        <v>44964</v>
      </c>
      <c r="B40" s="194">
        <v>0</v>
      </c>
      <c r="C40" s="80">
        <f t="shared" si="49"/>
        <v>0</v>
      </c>
      <c r="D40" s="80">
        <f t="shared" si="27"/>
        <v>0</v>
      </c>
      <c r="E40" s="29">
        <v>74.19</v>
      </c>
      <c r="F40" s="80">
        <f t="shared" si="56"/>
        <v>1.5</v>
      </c>
      <c r="G40" s="80">
        <f t="shared" si="28"/>
        <v>396.25807853722262</v>
      </c>
      <c r="H40" s="194">
        <v>129.88999999999999</v>
      </c>
      <c r="I40" s="80">
        <f t="shared" si="50"/>
        <v>0</v>
      </c>
      <c r="J40" s="80">
        <f t="shared" si="30"/>
        <v>0</v>
      </c>
      <c r="K40" s="29">
        <v>718.2</v>
      </c>
      <c r="L40" s="80">
        <f t="shared" si="51"/>
        <v>-40.200000000000045</v>
      </c>
      <c r="M40" s="80">
        <f t="shared" si="32"/>
        <v>-10619.716504797578</v>
      </c>
      <c r="N40" s="31">
        <v>52.49</v>
      </c>
      <c r="O40" s="80">
        <f t="shared" si="52"/>
        <v>7.4199999999999946</v>
      </c>
      <c r="P40" s="80">
        <f t="shared" si="34"/>
        <v>1960.1566284974599</v>
      </c>
      <c r="Q40" s="29">
        <v>3.33</v>
      </c>
      <c r="R40" s="80">
        <f t="shared" si="53"/>
        <v>4.0000000000000036E-2</v>
      </c>
      <c r="S40" s="80">
        <f t="shared" si="37"/>
        <v>10.566882094325946</v>
      </c>
      <c r="T40" s="80"/>
      <c r="U40" s="80">
        <f t="shared" si="57"/>
        <v>0</v>
      </c>
      <c r="V40" s="215">
        <f t="shared" si="5"/>
        <v>0</v>
      </c>
      <c r="W40" s="185"/>
      <c r="X40" s="80"/>
      <c r="Y40" s="80">
        <f t="shared" si="58"/>
        <v>0</v>
      </c>
      <c r="Z40" s="194">
        <v>0.9</v>
      </c>
      <c r="AA40" s="80">
        <f t="shared" si="63"/>
        <v>-3.0000000000000027E-2</v>
      </c>
      <c r="AB40" s="80">
        <f t="shared" si="59"/>
        <v>-7.9251615707444598</v>
      </c>
      <c r="AC40" s="194">
        <v>5.36</v>
      </c>
      <c r="AD40" s="80">
        <f t="shared" si="54"/>
        <v>1.0500000000000007</v>
      </c>
      <c r="AE40" s="80">
        <f t="shared" si="60"/>
        <v>277.38065497605601</v>
      </c>
      <c r="AF40" s="154">
        <v>281.58</v>
      </c>
      <c r="AG40" s="80">
        <f t="shared" si="55"/>
        <v>0.50999999999999091</v>
      </c>
      <c r="AH40" s="80">
        <f t="shared" si="22"/>
        <v>134.72774670265329</v>
      </c>
      <c r="AI40" s="194">
        <v>257.61</v>
      </c>
      <c r="AJ40" s="80">
        <f t="shared" si="46"/>
        <v>-35.010000000000019</v>
      </c>
      <c r="AK40" s="80">
        <f t="shared" si="61"/>
        <v>-9248.6635530587828</v>
      </c>
      <c r="AL40" s="194">
        <v>8.16</v>
      </c>
      <c r="AM40" s="80">
        <f>IF(AL40="",0,AL39-AL40)</f>
        <v>-3.5300000000000002</v>
      </c>
      <c r="AN40" s="17">
        <f>+CONVERT(AM40,"m^3","gal")</f>
        <v>-932.52734482426411</v>
      </c>
      <c r="AO40" s="235">
        <f t="shared" si="35"/>
        <v>8638.4261121114541</v>
      </c>
      <c r="AP40" s="18">
        <v>32.700000000000003</v>
      </c>
    </row>
    <row r="41" spans="1:42" s="3" customFormat="1">
      <c r="A41" s="15">
        <v>44965</v>
      </c>
      <c r="B41" s="194">
        <v>0</v>
      </c>
      <c r="C41" s="80">
        <f t="shared" si="49"/>
        <v>0</v>
      </c>
      <c r="D41" s="80">
        <f t="shared" si="27"/>
        <v>0</v>
      </c>
      <c r="E41" s="29">
        <v>75.63</v>
      </c>
      <c r="F41" s="80">
        <f t="shared" si="56"/>
        <v>1.4399999999999977</v>
      </c>
      <c r="G41" s="80">
        <f t="shared" si="28"/>
        <v>380.40775539573315</v>
      </c>
      <c r="H41" s="194">
        <v>129.88999999999999</v>
      </c>
      <c r="I41" s="80">
        <f t="shared" si="50"/>
        <v>0</v>
      </c>
      <c r="J41" s="80">
        <f t="shared" si="30"/>
        <v>0</v>
      </c>
      <c r="K41" s="29">
        <v>717.4</v>
      </c>
      <c r="L41" s="80">
        <f t="shared" si="51"/>
        <v>0.80000000000006821</v>
      </c>
      <c r="M41" s="80">
        <f t="shared" si="32"/>
        <v>211.33764188653674</v>
      </c>
      <c r="N41" s="31">
        <v>87.62</v>
      </c>
      <c r="O41" s="80">
        <f t="shared" si="52"/>
        <v>-35.130000000000003</v>
      </c>
      <c r="P41" s="80">
        <f t="shared" si="34"/>
        <v>-9280.3641993417532</v>
      </c>
      <c r="Q41" s="29">
        <v>3.33</v>
      </c>
      <c r="R41" s="80">
        <f t="shared" si="53"/>
        <v>0</v>
      </c>
      <c r="S41" s="80">
        <f t="shared" si="37"/>
        <v>0</v>
      </c>
      <c r="T41" s="80"/>
      <c r="U41" s="80">
        <f t="shared" si="57"/>
        <v>0</v>
      </c>
      <c r="V41" s="215">
        <f t="shared" si="5"/>
        <v>0</v>
      </c>
      <c r="W41" s="185"/>
      <c r="X41" s="80"/>
      <c r="Y41" s="80">
        <f t="shared" si="58"/>
        <v>0</v>
      </c>
      <c r="Z41" s="194">
        <v>0.89</v>
      </c>
      <c r="AA41" s="80">
        <f t="shared" si="63"/>
        <v>-1.0000000000000009E-2</v>
      </c>
      <c r="AB41" s="80">
        <f t="shared" si="59"/>
        <v>-2.6417205235814865</v>
      </c>
      <c r="AC41" s="194">
        <v>6.28</v>
      </c>
      <c r="AD41" s="80">
        <f t="shared" si="54"/>
        <v>0.91999999999999993</v>
      </c>
      <c r="AE41" s="80">
        <f t="shared" si="60"/>
        <v>243.03828816949652</v>
      </c>
      <c r="AF41" s="154">
        <v>281.52</v>
      </c>
      <c r="AG41" s="80">
        <f t="shared" si="55"/>
        <v>6.0000000000002274E-2</v>
      </c>
      <c r="AH41" s="80">
        <f t="shared" si="22"/>
        <v>15.850323141489506</v>
      </c>
      <c r="AI41" s="194">
        <v>245.76</v>
      </c>
      <c r="AJ41" s="80">
        <f t="shared" si="46"/>
        <v>11.850000000000023</v>
      </c>
      <c r="AK41" s="80">
        <f t="shared" si="61"/>
        <v>3130.4388204440647</v>
      </c>
      <c r="AL41" s="194">
        <v>5.14</v>
      </c>
      <c r="AM41" s="80">
        <f>IF(AL41="",0,AL40-AL41)</f>
        <v>3.0200000000000005</v>
      </c>
      <c r="AN41" s="17">
        <f>+CONVERT(AM41,"m^3","gal")</f>
        <v>797.79959812160837</v>
      </c>
      <c r="AO41" s="235">
        <f t="shared" si="35"/>
        <v>0</v>
      </c>
      <c r="AP41" s="18"/>
    </row>
    <row r="42" spans="1:42" s="3" customFormat="1">
      <c r="A42" s="15">
        <v>44966</v>
      </c>
      <c r="B42" s="194">
        <v>0</v>
      </c>
      <c r="C42" s="80">
        <f t="shared" si="49"/>
        <v>0</v>
      </c>
      <c r="D42" s="80">
        <f t="shared" ref="D42:D73" si="64">+CONVERT(C42,"m^3","gal")</f>
        <v>0</v>
      </c>
      <c r="E42" s="29">
        <v>77.3</v>
      </c>
      <c r="F42" s="80">
        <f t="shared" si="56"/>
        <v>1.6700000000000017</v>
      </c>
      <c r="G42" s="80">
        <f t="shared" ref="G42:G73" si="65">+CONVERT(F42,"m^3","gal")</f>
        <v>441.16732743810837</v>
      </c>
      <c r="H42" s="194">
        <v>129.88999999999999</v>
      </c>
      <c r="I42" s="80">
        <f t="shared" si="50"/>
        <v>0</v>
      </c>
      <c r="J42" s="80">
        <f t="shared" ref="J42:J73" si="66">+CONVERT(I42,"m^3","gal")</f>
        <v>0</v>
      </c>
      <c r="K42" s="29">
        <v>758</v>
      </c>
      <c r="L42" s="80">
        <f t="shared" si="51"/>
        <v>-40.600000000000023</v>
      </c>
      <c r="M42" s="80">
        <f t="shared" ref="M42:M73" si="67">+CONVERT(L42,"m^3","gal")</f>
        <v>-10725.385325740832</v>
      </c>
      <c r="N42" s="31">
        <v>80.2</v>
      </c>
      <c r="O42" s="80">
        <f t="shared" si="52"/>
        <v>7.4200000000000017</v>
      </c>
      <c r="P42" s="80">
        <f t="shared" ref="P42:P73" si="68">+CONVERT(O42,"m^3","gal")</f>
        <v>1960.1566284974617</v>
      </c>
      <c r="Q42" s="29">
        <v>3.35</v>
      </c>
      <c r="R42" s="80">
        <f t="shared" si="53"/>
        <v>-2.0000000000000018E-2</v>
      </c>
      <c r="S42" s="80">
        <f t="shared" si="37"/>
        <v>-5.2834410471629729</v>
      </c>
      <c r="T42" s="80"/>
      <c r="U42" s="80">
        <f t="shared" si="57"/>
        <v>0</v>
      </c>
      <c r="V42" s="215">
        <f t="shared" si="5"/>
        <v>0</v>
      </c>
      <c r="W42" s="185"/>
      <c r="X42" s="80"/>
      <c r="Y42" s="80">
        <f t="shared" si="58"/>
        <v>0</v>
      </c>
      <c r="Z42" s="194">
        <v>0.92</v>
      </c>
      <c r="AA42" s="80">
        <f t="shared" si="63"/>
        <v>3.0000000000000027E-2</v>
      </c>
      <c r="AB42" s="80">
        <f t="shared" si="59"/>
        <v>7.9251615707444598</v>
      </c>
      <c r="AC42" s="194">
        <v>7.08</v>
      </c>
      <c r="AD42" s="80">
        <f t="shared" si="54"/>
        <v>0.79999999999999982</v>
      </c>
      <c r="AE42" s="80">
        <f t="shared" si="60"/>
        <v>211.33764188651867</v>
      </c>
      <c r="AF42" s="154">
        <v>281</v>
      </c>
      <c r="AG42" s="80">
        <f t="shared" si="55"/>
        <v>0.51999999999998181</v>
      </c>
      <c r="AH42" s="80">
        <f t="shared" si="22"/>
        <v>137.36946722623239</v>
      </c>
      <c r="AI42" s="194">
        <v>281.7</v>
      </c>
      <c r="AJ42" s="80">
        <f t="shared" si="46"/>
        <v>-35.94</v>
      </c>
      <c r="AK42" s="80">
        <f t="shared" si="61"/>
        <v>-9494.3435617518535</v>
      </c>
      <c r="AL42" s="194">
        <v>4.63</v>
      </c>
      <c r="AM42" s="80">
        <f t="shared" si="47"/>
        <v>0.50999999999999979</v>
      </c>
      <c r="AN42" s="17">
        <f t="shared" si="62"/>
        <v>134.72774670265562</v>
      </c>
      <c r="AO42" s="235">
        <f t="shared" ref="AO42:AO65" si="69">+CONVERT(AP42,"m3","gal")</f>
        <v>0</v>
      </c>
      <c r="AP42" s="18"/>
    </row>
    <row r="43" spans="1:42" s="3" customFormat="1">
      <c r="A43" s="15">
        <v>44967</v>
      </c>
      <c r="B43" s="194">
        <v>0</v>
      </c>
      <c r="C43" s="80">
        <f t="shared" si="49"/>
        <v>0</v>
      </c>
      <c r="D43" s="80">
        <f t="shared" si="64"/>
        <v>0</v>
      </c>
      <c r="E43" s="29">
        <v>78.86</v>
      </c>
      <c r="F43" s="80">
        <f t="shared" si="56"/>
        <v>1.5600000000000023</v>
      </c>
      <c r="G43" s="80">
        <f t="shared" si="65"/>
        <v>412.10840167871214</v>
      </c>
      <c r="H43" s="194">
        <v>129.88999999999999</v>
      </c>
      <c r="I43" s="80">
        <f t="shared" si="50"/>
        <v>0</v>
      </c>
      <c r="J43" s="80">
        <f t="shared" si="66"/>
        <v>0</v>
      </c>
      <c r="K43" s="29">
        <v>715</v>
      </c>
      <c r="L43" s="80">
        <f t="shared" si="51"/>
        <v>43</v>
      </c>
      <c r="M43" s="80">
        <f t="shared" si="67"/>
        <v>11359.398251400382</v>
      </c>
      <c r="N43" s="31">
        <v>72.91</v>
      </c>
      <c r="O43" s="80">
        <f t="shared" si="52"/>
        <v>7.2900000000000063</v>
      </c>
      <c r="P43" s="80">
        <f t="shared" si="68"/>
        <v>1925.8142616909038</v>
      </c>
      <c r="Q43" s="268">
        <v>3.33</v>
      </c>
      <c r="R43" s="269">
        <f t="shared" si="53"/>
        <v>2.0000000000000018E-2</v>
      </c>
      <c r="S43" s="269">
        <f t="shared" ref="S43:S70" si="70">+CONVERT(R43,"m^3","gal")</f>
        <v>5.2834410471629729</v>
      </c>
      <c r="T43" s="269">
        <f>S43</f>
        <v>5.2834410471629729</v>
      </c>
      <c r="U43" s="269">
        <f t="shared" si="57"/>
        <v>20.000000000000018</v>
      </c>
      <c r="V43" s="215">
        <f t="shared" si="5"/>
        <v>0</v>
      </c>
      <c r="W43" s="185"/>
      <c r="X43" s="80"/>
      <c r="Y43" s="80">
        <f t="shared" si="58"/>
        <v>0</v>
      </c>
      <c r="Z43" s="194">
        <v>0.91</v>
      </c>
      <c r="AA43" s="80">
        <f t="shared" si="63"/>
        <v>-1.0000000000000009E-2</v>
      </c>
      <c r="AB43" s="80">
        <f t="shared" si="59"/>
        <v>-2.6417205235814865</v>
      </c>
      <c r="AC43" s="194">
        <v>8.15</v>
      </c>
      <c r="AD43" s="80">
        <f t="shared" si="54"/>
        <v>1.0700000000000003</v>
      </c>
      <c r="AE43" s="80">
        <f t="shared" si="60"/>
        <v>282.66409602321886</v>
      </c>
      <c r="AF43" s="154">
        <v>281.45999999999998</v>
      </c>
      <c r="AG43" s="80">
        <f t="shared" si="55"/>
        <v>-0.45999999999997954</v>
      </c>
      <c r="AH43" s="80">
        <f t="shared" si="22"/>
        <v>-121.51914408474286</v>
      </c>
      <c r="AI43" s="194">
        <v>215.04</v>
      </c>
      <c r="AJ43" s="80">
        <f t="shared" si="46"/>
        <v>66.66</v>
      </c>
      <c r="AK43" s="80">
        <f t="shared" si="61"/>
        <v>17609.709010194172</v>
      </c>
      <c r="AL43" s="194">
        <v>9.4600000000000009</v>
      </c>
      <c r="AM43" s="80">
        <f t="shared" si="47"/>
        <v>-4.830000000000001</v>
      </c>
      <c r="AN43" s="17">
        <f t="shared" si="62"/>
        <v>-1275.9510128898571</v>
      </c>
      <c r="AO43" s="235">
        <f t="shared" si="69"/>
        <v>0</v>
      </c>
      <c r="AP43" s="18"/>
    </row>
    <row r="44" spans="1:42" s="3" customFormat="1">
      <c r="A44" s="15">
        <v>44968</v>
      </c>
      <c r="B44" s="194">
        <v>0</v>
      </c>
      <c r="C44" s="80">
        <f t="shared" si="49"/>
        <v>0</v>
      </c>
      <c r="D44" s="80">
        <f t="shared" si="64"/>
        <v>0</v>
      </c>
      <c r="E44" s="29">
        <v>80.319999999999993</v>
      </c>
      <c r="F44" s="80">
        <f t="shared" si="56"/>
        <v>1.4599999999999937</v>
      </c>
      <c r="G44" s="80">
        <f t="shared" si="65"/>
        <v>385.69119644289503</v>
      </c>
      <c r="H44" s="194">
        <v>129.88999999999999</v>
      </c>
      <c r="I44" s="80">
        <f t="shared" si="50"/>
        <v>0</v>
      </c>
      <c r="J44" s="80">
        <f t="shared" si="66"/>
        <v>0</v>
      </c>
      <c r="K44" s="29">
        <v>714</v>
      </c>
      <c r="L44" s="80">
        <f t="shared" si="51"/>
        <v>1</v>
      </c>
      <c r="M44" s="80">
        <f t="shared" si="67"/>
        <v>264.17205235814845</v>
      </c>
      <c r="N44" s="31">
        <v>65.44</v>
      </c>
      <c r="O44" s="80">
        <f t="shared" si="52"/>
        <v>7.4699999999999989</v>
      </c>
      <c r="P44" s="80">
        <f t="shared" si="68"/>
        <v>1973.3652311153685</v>
      </c>
      <c r="Q44" s="29">
        <v>3.33</v>
      </c>
      <c r="R44" s="80">
        <f t="shared" si="53"/>
        <v>0</v>
      </c>
      <c r="S44" s="80">
        <f t="shared" si="70"/>
        <v>0</v>
      </c>
      <c r="T44" s="80"/>
      <c r="U44" s="80">
        <f t="shared" si="57"/>
        <v>0</v>
      </c>
      <c r="V44" s="215">
        <f t="shared" si="5"/>
        <v>0</v>
      </c>
      <c r="W44" s="185"/>
      <c r="X44" s="80"/>
      <c r="Y44" s="80">
        <f t="shared" si="58"/>
        <v>0</v>
      </c>
      <c r="Z44" s="194">
        <v>0.91</v>
      </c>
      <c r="AA44" s="80">
        <f t="shared" si="63"/>
        <v>0</v>
      </c>
      <c r="AB44" s="80">
        <f t="shared" si="59"/>
        <v>0</v>
      </c>
      <c r="AC44" s="194">
        <v>9.2899999999999991</v>
      </c>
      <c r="AD44" s="80">
        <f t="shared" si="54"/>
        <v>1.1399999999999988</v>
      </c>
      <c r="AE44" s="80">
        <f t="shared" si="60"/>
        <v>301.15613968828887</v>
      </c>
      <c r="AF44" s="154">
        <v>281.55</v>
      </c>
      <c r="AG44" s="80">
        <f t="shared" si="55"/>
        <v>-9.0000000000031832E-2</v>
      </c>
      <c r="AH44" s="80">
        <f t="shared" si="22"/>
        <v>-23.775484712241767</v>
      </c>
      <c r="AI44" s="194">
        <v>203.73</v>
      </c>
      <c r="AJ44" s="80">
        <f t="shared" si="46"/>
        <v>11.310000000000002</v>
      </c>
      <c r="AK44" s="80">
        <f t="shared" si="61"/>
        <v>2987.7859121706592</v>
      </c>
      <c r="AL44" s="194">
        <v>4.6399999999999997</v>
      </c>
      <c r="AM44" s="80">
        <f t="shared" si="47"/>
        <v>4.8200000000000012</v>
      </c>
      <c r="AN44" s="17">
        <f t="shared" ref="AN44:AN62" si="71">+CONVERT(AM44,"m^3","gal")</f>
        <v>1273.3092923662757</v>
      </c>
      <c r="AO44" s="235">
        <f t="shared" si="69"/>
        <v>0</v>
      </c>
      <c r="AP44" s="18"/>
    </row>
    <row r="45" spans="1:42" s="3" customFormat="1">
      <c r="A45" s="15">
        <v>44969</v>
      </c>
      <c r="B45" s="194">
        <v>0</v>
      </c>
      <c r="C45" s="80">
        <f t="shared" si="49"/>
        <v>0</v>
      </c>
      <c r="D45" s="80">
        <f t="shared" si="64"/>
        <v>0</v>
      </c>
      <c r="E45" s="29">
        <v>81.739999999999995</v>
      </c>
      <c r="F45" s="80">
        <f t="shared" ref="F45:F76" si="72">IF(E45="",0,E45-E44)</f>
        <v>1.4200000000000017</v>
      </c>
      <c r="G45" s="80">
        <f t="shared" si="65"/>
        <v>375.12431434857126</v>
      </c>
      <c r="H45" s="194">
        <v>129.88999999999999</v>
      </c>
      <c r="I45" s="80">
        <f t="shared" si="50"/>
        <v>0</v>
      </c>
      <c r="J45" s="80">
        <f t="shared" si="66"/>
        <v>0</v>
      </c>
      <c r="K45" s="29">
        <v>712.8</v>
      </c>
      <c r="L45" s="80">
        <f t="shared" si="51"/>
        <v>1.2000000000000455</v>
      </c>
      <c r="M45" s="80">
        <f t="shared" si="67"/>
        <v>317.00646282979011</v>
      </c>
      <c r="N45" s="31">
        <v>57.8</v>
      </c>
      <c r="O45" s="80">
        <f t="shared" si="52"/>
        <v>7.6400000000000006</v>
      </c>
      <c r="P45" s="80">
        <f t="shared" si="68"/>
        <v>2018.2744800162543</v>
      </c>
      <c r="Q45" s="29">
        <v>3.33</v>
      </c>
      <c r="R45" s="80">
        <f t="shared" si="53"/>
        <v>0</v>
      </c>
      <c r="S45" s="80">
        <f t="shared" si="70"/>
        <v>0</v>
      </c>
      <c r="T45" s="80"/>
      <c r="U45" s="80">
        <f t="shared" si="57"/>
        <v>0</v>
      </c>
      <c r="V45" s="215">
        <f t="shared" si="5"/>
        <v>0</v>
      </c>
      <c r="W45" s="185"/>
      <c r="X45" s="80"/>
      <c r="Y45" s="80">
        <f t="shared" si="58"/>
        <v>0</v>
      </c>
      <c r="Z45" s="194">
        <v>0.91</v>
      </c>
      <c r="AA45" s="80">
        <f t="shared" si="63"/>
        <v>0</v>
      </c>
      <c r="AB45" s="80">
        <f t="shared" si="59"/>
        <v>0</v>
      </c>
      <c r="AC45" s="194">
        <v>10.37</v>
      </c>
      <c r="AD45" s="80">
        <f t="shared" si="54"/>
        <v>1.08</v>
      </c>
      <c r="AE45" s="80">
        <f t="shared" si="60"/>
        <v>285.30581654680032</v>
      </c>
      <c r="AF45" s="154">
        <v>281.43</v>
      </c>
      <c r="AG45" s="80">
        <f t="shared" si="55"/>
        <v>0.12000000000000455</v>
      </c>
      <c r="AH45" s="80">
        <f t="shared" si="22"/>
        <v>31.700646282979012</v>
      </c>
      <c r="AI45" s="194">
        <v>186.57</v>
      </c>
      <c r="AJ45" s="80">
        <f t="shared" si="46"/>
        <v>17.159999999999997</v>
      </c>
      <c r="AK45" s="80">
        <f t="shared" si="61"/>
        <v>4533.1924184658255</v>
      </c>
      <c r="AL45" s="194">
        <v>8.3000000000000007</v>
      </c>
      <c r="AM45" s="80">
        <f>IF(AL45="",0,AL44-AL45)</f>
        <v>-3.660000000000001</v>
      </c>
      <c r="AN45" s="17">
        <f t="shared" si="71"/>
        <v>-966.86971163082342</v>
      </c>
      <c r="AO45" s="235">
        <f t="shared" si="69"/>
        <v>0</v>
      </c>
      <c r="AP45" s="18"/>
    </row>
    <row r="46" spans="1:42" s="3" customFormat="1">
      <c r="A46" s="15">
        <v>44970</v>
      </c>
      <c r="B46" s="194">
        <v>0</v>
      </c>
      <c r="C46" s="80">
        <f t="shared" si="49"/>
        <v>0</v>
      </c>
      <c r="D46" s="80">
        <f t="shared" si="64"/>
        <v>0</v>
      </c>
      <c r="E46" s="29">
        <v>83.07</v>
      </c>
      <c r="F46" s="80">
        <f t="shared" si="72"/>
        <v>1.3299999999999983</v>
      </c>
      <c r="G46" s="80">
        <f t="shared" si="65"/>
        <v>351.34882963633692</v>
      </c>
      <c r="H46" s="194">
        <v>129.88999999999999</v>
      </c>
      <c r="I46" s="80">
        <f t="shared" si="50"/>
        <v>0</v>
      </c>
      <c r="J46" s="80">
        <f t="shared" si="66"/>
        <v>0</v>
      </c>
      <c r="K46" s="29">
        <v>712</v>
      </c>
      <c r="L46" s="80">
        <f t="shared" si="51"/>
        <v>0.79999999999995453</v>
      </c>
      <c r="M46" s="80">
        <f t="shared" si="67"/>
        <v>211.33764188650673</v>
      </c>
      <c r="N46" s="31">
        <v>92.04</v>
      </c>
      <c r="O46" s="80">
        <f t="shared" si="52"/>
        <v>-34.240000000000009</v>
      </c>
      <c r="P46" s="80">
        <f t="shared" si="68"/>
        <v>-9045.2510727430035</v>
      </c>
      <c r="Q46" s="29">
        <v>5.45</v>
      </c>
      <c r="R46" s="80">
        <f t="shared" si="53"/>
        <v>-2.12</v>
      </c>
      <c r="S46" s="80">
        <f t="shared" si="70"/>
        <v>-560.0447509992747</v>
      </c>
      <c r="T46" s="80"/>
      <c r="U46" s="80">
        <f t="shared" si="57"/>
        <v>0</v>
      </c>
      <c r="V46" s="215">
        <f t="shared" si="5"/>
        <v>7.536754861943999</v>
      </c>
      <c r="W46" s="185">
        <v>1991</v>
      </c>
      <c r="X46" s="80"/>
      <c r="Y46" s="80">
        <f t="shared" si="58"/>
        <v>0</v>
      </c>
      <c r="Z46" s="194">
        <v>0.88</v>
      </c>
      <c r="AA46" s="80">
        <f t="shared" si="63"/>
        <v>-3.0000000000000027E-2</v>
      </c>
      <c r="AB46" s="80">
        <f t="shared" si="59"/>
        <v>-7.9251615707444598</v>
      </c>
      <c r="AC46" s="194">
        <v>11.43</v>
      </c>
      <c r="AD46" s="80">
        <f t="shared" si="54"/>
        <v>1.0600000000000005</v>
      </c>
      <c r="AE46" s="80">
        <f t="shared" si="60"/>
        <v>280.02237549963746</v>
      </c>
      <c r="AF46" s="154">
        <v>280.89</v>
      </c>
      <c r="AG46" s="80">
        <f t="shared" si="55"/>
        <v>0.54000000000002046</v>
      </c>
      <c r="AH46" s="80">
        <f t="shared" si="22"/>
        <v>142.65290827340556</v>
      </c>
      <c r="AI46" s="194">
        <v>173.4</v>
      </c>
      <c r="AJ46" s="80">
        <f t="shared" si="46"/>
        <v>13.169999999999987</v>
      </c>
      <c r="AK46" s="80">
        <f t="shared" si="61"/>
        <v>3479.1459295568116</v>
      </c>
      <c r="AL46" s="194">
        <v>8.18</v>
      </c>
      <c r="AM46" s="80">
        <f t="shared" si="47"/>
        <v>0.12000000000000099</v>
      </c>
      <c r="AN46" s="17">
        <f t="shared" si="71"/>
        <v>31.700646282978074</v>
      </c>
      <c r="AO46" s="235">
        <f t="shared" si="69"/>
        <v>0</v>
      </c>
      <c r="AP46" s="18"/>
    </row>
    <row r="47" spans="1:42" s="3" customFormat="1">
      <c r="A47" s="15">
        <v>44971</v>
      </c>
      <c r="B47" s="194">
        <v>0</v>
      </c>
      <c r="C47" s="80">
        <f t="shared" si="49"/>
        <v>0</v>
      </c>
      <c r="D47" s="80">
        <f t="shared" si="64"/>
        <v>0</v>
      </c>
      <c r="E47" s="29">
        <v>84.64</v>
      </c>
      <c r="F47" s="80">
        <f t="shared" si="72"/>
        <v>1.5700000000000074</v>
      </c>
      <c r="G47" s="80">
        <f t="shared" si="65"/>
        <v>414.75012220229496</v>
      </c>
      <c r="H47" s="194">
        <v>129.88999999999999</v>
      </c>
      <c r="I47" s="80">
        <f t="shared" si="50"/>
        <v>0</v>
      </c>
      <c r="J47" s="80">
        <f t="shared" si="66"/>
        <v>0</v>
      </c>
      <c r="K47" s="29">
        <v>710.5</v>
      </c>
      <c r="L47" s="80">
        <f t="shared" si="51"/>
        <v>1.5</v>
      </c>
      <c r="M47" s="80">
        <f t="shared" si="67"/>
        <v>396.25807853722262</v>
      </c>
      <c r="N47" s="31">
        <v>84.6</v>
      </c>
      <c r="O47" s="80">
        <f t="shared" si="52"/>
        <v>7.4400000000000119</v>
      </c>
      <c r="P47" s="80">
        <f t="shared" si="68"/>
        <v>1965.4400695446275</v>
      </c>
      <c r="Q47" s="29">
        <v>5.45</v>
      </c>
      <c r="R47" s="80">
        <f t="shared" si="53"/>
        <v>0</v>
      </c>
      <c r="S47" s="80">
        <f t="shared" si="70"/>
        <v>0</v>
      </c>
      <c r="T47" s="80"/>
      <c r="U47" s="80">
        <f t="shared" si="57"/>
        <v>0</v>
      </c>
      <c r="V47" s="215">
        <f t="shared" si="5"/>
        <v>0</v>
      </c>
      <c r="W47" s="185"/>
      <c r="X47" s="80"/>
      <c r="Y47" s="80">
        <f t="shared" si="58"/>
        <v>0</v>
      </c>
      <c r="Z47" s="194">
        <v>0.9</v>
      </c>
      <c r="AA47" s="80">
        <f t="shared" si="63"/>
        <v>2.0000000000000018E-2</v>
      </c>
      <c r="AB47" s="80">
        <f t="shared" si="59"/>
        <v>5.2834410471629729</v>
      </c>
      <c r="AC47" s="194">
        <v>12.47</v>
      </c>
      <c r="AD47" s="80">
        <f t="shared" si="54"/>
        <v>1.0400000000000009</v>
      </c>
      <c r="AE47" s="80">
        <f t="shared" si="60"/>
        <v>274.73893445247461</v>
      </c>
      <c r="AF47" s="154">
        <v>280.23</v>
      </c>
      <c r="AG47" s="80">
        <f t="shared" si="55"/>
        <v>0.65999999999996817</v>
      </c>
      <c r="AH47" s="80">
        <f t="shared" si="22"/>
        <v>174.35355455636955</v>
      </c>
      <c r="AI47" s="194">
        <v>212.25</v>
      </c>
      <c r="AJ47" s="80">
        <f t="shared" si="46"/>
        <v>-38.849999999999994</v>
      </c>
      <c r="AK47" s="80">
        <f t="shared" si="61"/>
        <v>-10263.084234114065</v>
      </c>
      <c r="AL47" s="194">
        <v>6.5</v>
      </c>
      <c r="AM47" s="80">
        <f>IF(AL47="",0,AL46-AL47)</f>
        <v>1.6799999999999997</v>
      </c>
      <c r="AN47" s="17">
        <f t="shared" si="71"/>
        <v>443.80904796168932</v>
      </c>
      <c r="AO47" s="235">
        <f t="shared" si="69"/>
        <v>12363.252050361347</v>
      </c>
      <c r="AP47" s="18">
        <v>46.8</v>
      </c>
    </row>
    <row r="48" spans="1:42" s="3" customFormat="1">
      <c r="A48" s="15">
        <v>44972</v>
      </c>
      <c r="B48" s="194">
        <v>0</v>
      </c>
      <c r="C48" s="80">
        <f t="shared" si="49"/>
        <v>0</v>
      </c>
      <c r="D48" s="80">
        <f t="shared" si="64"/>
        <v>0</v>
      </c>
      <c r="E48" s="29">
        <v>86.24</v>
      </c>
      <c r="F48" s="80">
        <f t="shared" si="72"/>
        <v>1.5999999999999943</v>
      </c>
      <c r="G48" s="80">
        <f t="shared" si="65"/>
        <v>422.67528377303597</v>
      </c>
      <c r="H48" s="194">
        <v>129.88999999999999</v>
      </c>
      <c r="I48" s="80">
        <f t="shared" si="50"/>
        <v>0</v>
      </c>
      <c r="J48" s="80">
        <f t="shared" si="66"/>
        <v>0</v>
      </c>
      <c r="K48" s="29">
        <v>751.2</v>
      </c>
      <c r="L48" s="80">
        <f t="shared" si="51"/>
        <v>-40.700000000000045</v>
      </c>
      <c r="M48" s="80">
        <f t="shared" si="67"/>
        <v>-10751.802530976653</v>
      </c>
      <c r="N48" s="31">
        <v>77.069999999999993</v>
      </c>
      <c r="O48" s="80">
        <f t="shared" si="52"/>
        <v>7.5300000000000011</v>
      </c>
      <c r="P48" s="80">
        <f t="shared" si="68"/>
        <v>1989.2155542568578</v>
      </c>
      <c r="Q48" s="29">
        <v>5.4</v>
      </c>
      <c r="R48" s="80">
        <f t="shared" si="53"/>
        <v>4.9999999999999822E-2</v>
      </c>
      <c r="S48" s="80">
        <f t="shared" si="70"/>
        <v>13.208602617907374</v>
      </c>
      <c r="T48" s="80"/>
      <c r="U48" s="80">
        <f t="shared" si="57"/>
        <v>0</v>
      </c>
      <c r="V48" s="215">
        <f t="shared" si="5"/>
        <v>0</v>
      </c>
      <c r="W48" s="185"/>
      <c r="X48" s="80"/>
      <c r="Y48" s="80">
        <f t="shared" si="58"/>
        <v>0</v>
      </c>
      <c r="Z48" s="194">
        <v>0.86</v>
      </c>
      <c r="AA48" s="80">
        <f t="shared" si="63"/>
        <v>-4.0000000000000036E-2</v>
      </c>
      <c r="AB48" s="80">
        <f t="shared" si="59"/>
        <v>-10.566882094325946</v>
      </c>
      <c r="AC48" s="194">
        <v>13.46</v>
      </c>
      <c r="AD48" s="80">
        <f t="shared" si="54"/>
        <v>0.99000000000000021</v>
      </c>
      <c r="AE48" s="80">
        <f t="shared" si="60"/>
        <v>261.53033183456699</v>
      </c>
      <c r="AF48" s="154">
        <v>279.3</v>
      </c>
      <c r="AG48" s="80">
        <f t="shared" si="55"/>
        <v>0.93000000000000682</v>
      </c>
      <c r="AH48" s="80">
        <f t="shared" si="22"/>
        <v>245.68000869307983</v>
      </c>
      <c r="AI48" s="194">
        <v>211.2</v>
      </c>
      <c r="AJ48" s="80">
        <f t="shared" si="46"/>
        <v>1.0500000000000114</v>
      </c>
      <c r="AK48" s="80">
        <f t="shared" si="61"/>
        <v>277.38065497605885</v>
      </c>
      <c r="AL48" s="194">
        <v>3.33</v>
      </c>
      <c r="AM48" s="80">
        <f>IF(AL48="",0,AL47-AL48)</f>
        <v>3.17</v>
      </c>
      <c r="AN48" s="17">
        <f t="shared" si="71"/>
        <v>837.42540597533048</v>
      </c>
      <c r="AO48" s="235">
        <f t="shared" si="69"/>
        <v>3011.561396882892</v>
      </c>
      <c r="AP48" s="18">
        <v>11.4</v>
      </c>
    </row>
    <row r="49" spans="1:42" s="3" customFormat="1">
      <c r="A49" s="15">
        <v>44973</v>
      </c>
      <c r="B49" s="194">
        <v>0</v>
      </c>
      <c r="C49" s="80">
        <f t="shared" si="49"/>
        <v>0</v>
      </c>
      <c r="D49" s="80">
        <f t="shared" si="64"/>
        <v>0</v>
      </c>
      <c r="E49" s="29">
        <v>87.84</v>
      </c>
      <c r="F49" s="80">
        <f t="shared" si="72"/>
        <v>1.6000000000000085</v>
      </c>
      <c r="G49" s="80">
        <f t="shared" si="65"/>
        <v>422.67528377303978</v>
      </c>
      <c r="H49" s="194">
        <v>129.88999999999999</v>
      </c>
      <c r="I49" s="80">
        <f t="shared" si="50"/>
        <v>0</v>
      </c>
      <c r="J49" s="80">
        <f t="shared" si="66"/>
        <v>0</v>
      </c>
      <c r="K49" s="29">
        <v>750.8</v>
      </c>
      <c r="L49" s="80">
        <f t="shared" si="51"/>
        <v>0.40000000000009095</v>
      </c>
      <c r="M49" s="80">
        <f t="shared" si="67"/>
        <v>105.66882094328339</v>
      </c>
      <c r="N49" s="31">
        <v>70.180000000000007</v>
      </c>
      <c r="O49" s="80">
        <f t="shared" si="52"/>
        <v>6.8899999999999864</v>
      </c>
      <c r="P49" s="80">
        <f t="shared" si="68"/>
        <v>1820.145440747639</v>
      </c>
      <c r="Q49" s="29">
        <v>5.4</v>
      </c>
      <c r="R49" s="80">
        <f t="shared" si="53"/>
        <v>0</v>
      </c>
      <c r="S49" s="80">
        <f t="shared" si="70"/>
        <v>0</v>
      </c>
      <c r="T49" s="80"/>
      <c r="U49" s="80">
        <f t="shared" si="57"/>
        <v>0</v>
      </c>
      <c r="V49" s="215">
        <f t="shared" si="5"/>
        <v>0</v>
      </c>
      <c r="W49" s="185"/>
      <c r="X49" s="80"/>
      <c r="Y49" s="80">
        <f t="shared" si="58"/>
        <v>0</v>
      </c>
      <c r="Z49" s="194">
        <v>0.9</v>
      </c>
      <c r="AA49" s="80">
        <f t="shared" si="63"/>
        <v>4.0000000000000036E-2</v>
      </c>
      <c r="AB49" s="80">
        <f t="shared" si="59"/>
        <v>10.566882094325946</v>
      </c>
      <c r="AC49" s="194">
        <v>14.3</v>
      </c>
      <c r="AD49" s="80">
        <f t="shared" si="54"/>
        <v>0.83999999999999986</v>
      </c>
      <c r="AE49" s="80">
        <f t="shared" si="60"/>
        <v>221.90452398084466</v>
      </c>
      <c r="AF49" s="154">
        <v>279.60000000000002</v>
      </c>
      <c r="AG49" s="80">
        <f t="shared" si="55"/>
        <v>-0.30000000000001137</v>
      </c>
      <c r="AH49" s="80">
        <f t="shared" si="22"/>
        <v>-79.251615707447527</v>
      </c>
      <c r="AI49" s="194">
        <v>226.8</v>
      </c>
      <c r="AJ49" s="80">
        <f t="shared" si="46"/>
        <v>-15.600000000000023</v>
      </c>
      <c r="AK49" s="80">
        <f t="shared" si="61"/>
        <v>-4121.0840167871211</v>
      </c>
      <c r="AL49" s="194">
        <v>9.4600000000000009</v>
      </c>
      <c r="AM49" s="80">
        <f t="shared" si="47"/>
        <v>-6.1300000000000008</v>
      </c>
      <c r="AN49" s="17">
        <f t="shared" si="71"/>
        <v>-1619.37468095545</v>
      </c>
      <c r="AO49" s="235">
        <f t="shared" si="69"/>
        <v>9644.9216315959984</v>
      </c>
      <c r="AP49" s="18">
        <v>36.51</v>
      </c>
    </row>
    <row r="50" spans="1:42" s="3" customFormat="1">
      <c r="A50" s="15">
        <v>44974</v>
      </c>
      <c r="B50" s="194">
        <v>0</v>
      </c>
      <c r="C50" s="80">
        <f t="shared" si="49"/>
        <v>0</v>
      </c>
      <c r="D50" s="80">
        <f t="shared" si="64"/>
        <v>0</v>
      </c>
      <c r="E50" s="29">
        <v>89.44</v>
      </c>
      <c r="F50" s="80">
        <f t="shared" si="72"/>
        <v>1.5999999999999943</v>
      </c>
      <c r="G50" s="80">
        <f t="shared" si="65"/>
        <v>422.67528377303597</v>
      </c>
      <c r="H50" s="194">
        <v>129.88999999999999</v>
      </c>
      <c r="I50" s="80">
        <f t="shared" si="50"/>
        <v>0</v>
      </c>
      <c r="J50" s="80">
        <f t="shared" si="66"/>
        <v>0</v>
      </c>
      <c r="K50" s="29">
        <v>749.8</v>
      </c>
      <c r="L50" s="80">
        <f t="shared" si="51"/>
        <v>1</v>
      </c>
      <c r="M50" s="80">
        <f t="shared" si="67"/>
        <v>264.17205235814845</v>
      </c>
      <c r="N50" s="31">
        <v>63.36</v>
      </c>
      <c r="O50" s="80">
        <f t="shared" si="52"/>
        <v>6.8200000000000074</v>
      </c>
      <c r="P50" s="80">
        <f t="shared" si="68"/>
        <v>1801.6533970825742</v>
      </c>
      <c r="Q50" s="29">
        <v>5.47</v>
      </c>
      <c r="R50" s="80">
        <f t="shared" si="53"/>
        <v>-6.9999999999999396E-2</v>
      </c>
      <c r="S50" s="80">
        <f t="shared" si="70"/>
        <v>-18.492043665070231</v>
      </c>
      <c r="T50" s="80"/>
      <c r="U50" s="80">
        <f t="shared" si="57"/>
        <v>0</v>
      </c>
      <c r="V50" s="215">
        <f t="shared" si="5"/>
        <v>0</v>
      </c>
      <c r="W50" s="185"/>
      <c r="X50" s="80"/>
      <c r="Y50" s="80">
        <f t="shared" si="58"/>
        <v>0</v>
      </c>
      <c r="Z50" s="194">
        <v>1.05</v>
      </c>
      <c r="AA50" s="80">
        <f t="shared" si="63"/>
        <v>0.15000000000000002</v>
      </c>
      <c r="AB50" s="80">
        <f t="shared" si="59"/>
        <v>39.625807853722272</v>
      </c>
      <c r="AC50" s="194">
        <v>14.4</v>
      </c>
      <c r="AD50" s="80">
        <f t="shared" si="54"/>
        <v>9.9999999999999645E-2</v>
      </c>
      <c r="AE50" s="80">
        <f t="shared" si="60"/>
        <v>26.417205235814748</v>
      </c>
      <c r="AF50" s="154">
        <v>279.3</v>
      </c>
      <c r="AG50" s="80">
        <f t="shared" si="55"/>
        <v>0.30000000000001137</v>
      </c>
      <c r="AH50" s="80">
        <f t="shared" si="22"/>
        <v>79.251615707447527</v>
      </c>
      <c r="AI50" s="194">
        <v>213.6</v>
      </c>
      <c r="AJ50" s="80">
        <f t="shared" si="46"/>
        <v>13.200000000000017</v>
      </c>
      <c r="AK50" s="80">
        <f t="shared" si="61"/>
        <v>3487.0710911275637</v>
      </c>
      <c r="AL50" s="194">
        <v>9.4600000000000009</v>
      </c>
      <c r="AM50" s="80">
        <f>IF(AL50="",0,AL49-AL50)</f>
        <v>0</v>
      </c>
      <c r="AN50" s="17">
        <f t="shared" si="71"/>
        <v>0</v>
      </c>
      <c r="AO50" s="235">
        <f t="shared" si="69"/>
        <v>0</v>
      </c>
      <c r="AP50" s="18"/>
    </row>
    <row r="51" spans="1:42" s="3" customFormat="1">
      <c r="A51" s="15">
        <v>44975</v>
      </c>
      <c r="B51" s="194">
        <v>0</v>
      </c>
      <c r="C51" s="80">
        <f t="shared" si="49"/>
        <v>0</v>
      </c>
      <c r="D51" s="80">
        <f t="shared" si="64"/>
        <v>0</v>
      </c>
      <c r="E51" s="29">
        <v>91.1</v>
      </c>
      <c r="F51" s="80">
        <f t="shared" si="72"/>
        <v>1.6599999999999966</v>
      </c>
      <c r="G51" s="80">
        <f t="shared" si="65"/>
        <v>438.5256069145255</v>
      </c>
      <c r="H51" s="194">
        <v>129.88999999999999</v>
      </c>
      <c r="I51" s="80">
        <f t="shared" si="50"/>
        <v>0</v>
      </c>
      <c r="J51" s="80">
        <f t="shared" si="66"/>
        <v>0</v>
      </c>
      <c r="K51" s="29">
        <v>748.4</v>
      </c>
      <c r="L51" s="80">
        <f t="shared" si="51"/>
        <v>1.3999999999999773</v>
      </c>
      <c r="M51" s="80">
        <f t="shared" si="67"/>
        <v>369.84087330140181</v>
      </c>
      <c r="N51" s="270">
        <v>55.85</v>
      </c>
      <c r="O51" s="271">
        <f t="shared" si="52"/>
        <v>7.509999999999998</v>
      </c>
      <c r="P51" s="271">
        <f t="shared" si="68"/>
        <v>1983.9321132096941</v>
      </c>
      <c r="Q51" s="29">
        <v>5.4</v>
      </c>
      <c r="R51" s="80">
        <f t="shared" si="53"/>
        <v>6.9999999999999396E-2</v>
      </c>
      <c r="S51" s="80">
        <f t="shared" si="70"/>
        <v>18.492043665070231</v>
      </c>
      <c r="T51" s="80"/>
      <c r="U51" s="80">
        <f t="shared" si="57"/>
        <v>0</v>
      </c>
      <c r="V51" s="215">
        <f t="shared" si="5"/>
        <v>0</v>
      </c>
      <c r="W51" s="185"/>
      <c r="X51" s="80"/>
      <c r="Y51" s="80">
        <f t="shared" si="58"/>
        <v>0</v>
      </c>
      <c r="Z51" s="194">
        <v>13.54</v>
      </c>
      <c r="AA51" s="80">
        <f t="shared" si="63"/>
        <v>12.489999999999998</v>
      </c>
      <c r="AB51" s="80">
        <f t="shared" si="59"/>
        <v>3299.5089339532733</v>
      </c>
      <c r="AC51" s="194">
        <v>17.32</v>
      </c>
      <c r="AD51" s="80">
        <f t="shared" si="54"/>
        <v>2.92</v>
      </c>
      <c r="AE51" s="80">
        <f t="shared" si="60"/>
        <v>771.38239288579337</v>
      </c>
      <c r="AF51" s="154">
        <v>279.18</v>
      </c>
      <c r="AG51" s="80">
        <f t="shared" si="55"/>
        <v>0.12000000000000455</v>
      </c>
      <c r="AH51" s="80">
        <f t="shared" si="22"/>
        <v>31.700646282979012</v>
      </c>
      <c r="AI51" s="194">
        <v>203.67</v>
      </c>
      <c r="AJ51" s="80">
        <f t="shared" si="46"/>
        <v>9.9300000000000068</v>
      </c>
      <c r="AK51" s="80">
        <f t="shared" si="61"/>
        <v>2623.2284799164158</v>
      </c>
      <c r="AL51" s="194">
        <v>5.38</v>
      </c>
      <c r="AM51" s="80">
        <f>IF(AL51="",0,AL50-AL51)</f>
        <v>4.080000000000001</v>
      </c>
      <c r="AN51" s="17">
        <f t="shared" si="71"/>
        <v>1077.8219736212459</v>
      </c>
      <c r="AO51" s="235">
        <f t="shared" si="69"/>
        <v>0</v>
      </c>
      <c r="AP51" s="18"/>
    </row>
    <row r="52" spans="1:42" s="3" customFormat="1">
      <c r="A52" s="15">
        <v>44976</v>
      </c>
      <c r="B52" s="194">
        <v>0</v>
      </c>
      <c r="C52" s="80">
        <f t="shared" si="49"/>
        <v>0</v>
      </c>
      <c r="D52" s="80">
        <f t="shared" si="64"/>
        <v>0</v>
      </c>
      <c r="E52" s="29">
        <v>92.96</v>
      </c>
      <c r="F52" s="80">
        <f t="shared" si="72"/>
        <v>1.8599999999999994</v>
      </c>
      <c r="G52" s="80">
        <f t="shared" si="65"/>
        <v>491.36001738615596</v>
      </c>
      <c r="H52" s="194">
        <v>129.88999999999999</v>
      </c>
      <c r="I52" s="80">
        <f t="shared" si="50"/>
        <v>0</v>
      </c>
      <c r="J52" s="80">
        <f t="shared" si="66"/>
        <v>0</v>
      </c>
      <c r="K52" s="29">
        <v>746.9</v>
      </c>
      <c r="L52" s="80">
        <f t="shared" si="51"/>
        <v>1.5</v>
      </c>
      <c r="M52" s="80">
        <f t="shared" si="67"/>
        <v>396.25807853722262</v>
      </c>
      <c r="N52" s="31">
        <v>48.22</v>
      </c>
      <c r="O52" s="80">
        <f t="shared" si="52"/>
        <v>7.6300000000000026</v>
      </c>
      <c r="P52" s="80">
        <f t="shared" si="68"/>
        <v>2015.6327594926731</v>
      </c>
      <c r="Q52" s="29">
        <v>5.4</v>
      </c>
      <c r="R52" s="80">
        <f t="shared" si="53"/>
        <v>0</v>
      </c>
      <c r="S52" s="80">
        <f t="shared" si="70"/>
        <v>0</v>
      </c>
      <c r="T52" s="80"/>
      <c r="U52" s="80">
        <f t="shared" si="57"/>
        <v>0</v>
      </c>
      <c r="V52" s="215">
        <f t="shared" si="5"/>
        <v>0</v>
      </c>
      <c r="W52" s="185"/>
      <c r="X52" s="80"/>
      <c r="Y52" s="80">
        <f t="shared" si="58"/>
        <v>0</v>
      </c>
      <c r="Z52" s="194">
        <v>14.32</v>
      </c>
      <c r="AA52" s="80">
        <f t="shared" si="63"/>
        <v>0.78000000000000114</v>
      </c>
      <c r="AB52" s="80">
        <f t="shared" si="59"/>
        <v>206.05420083935607</v>
      </c>
      <c r="AC52" s="194">
        <v>17.329999999999998</v>
      </c>
      <c r="AD52" s="80">
        <f t="shared" si="54"/>
        <v>9.9999999999980105E-3</v>
      </c>
      <c r="AE52" s="80">
        <f t="shared" si="60"/>
        <v>2.6417205235809584</v>
      </c>
      <c r="AF52" s="154">
        <v>278.97000000000003</v>
      </c>
      <c r="AG52" s="80">
        <f t="shared" si="55"/>
        <v>0.20999999999997954</v>
      </c>
      <c r="AH52" s="80">
        <f t="shared" si="22"/>
        <v>55.476130995205764</v>
      </c>
      <c r="AI52" s="194">
        <v>191.31</v>
      </c>
      <c r="AJ52" s="80">
        <f t="shared" si="46"/>
        <v>12.359999999999985</v>
      </c>
      <c r="AK52" s="80">
        <f t="shared" si="61"/>
        <v>3265.1665671467108</v>
      </c>
      <c r="AL52" s="194">
        <v>6.63</v>
      </c>
      <c r="AM52" s="80">
        <f>IF(AL52="",0,AL51-AL52)</f>
        <v>-1.25</v>
      </c>
      <c r="AN52" s="17">
        <f t="shared" si="71"/>
        <v>-330.2150654476855</v>
      </c>
      <c r="AO52" s="235">
        <f t="shared" si="69"/>
        <v>0</v>
      </c>
      <c r="AP52" s="18"/>
    </row>
    <row r="53" spans="1:42" s="3" customFormat="1" ht="13.5" customHeight="1">
      <c r="A53" s="15">
        <v>44977</v>
      </c>
      <c r="B53" s="194">
        <v>0</v>
      </c>
      <c r="C53" s="80">
        <f t="shared" si="49"/>
        <v>0</v>
      </c>
      <c r="D53" s="80">
        <f t="shared" si="64"/>
        <v>0</v>
      </c>
      <c r="E53" s="29">
        <v>95.14</v>
      </c>
      <c r="F53" s="80">
        <f t="shared" si="72"/>
        <v>2.1800000000000068</v>
      </c>
      <c r="G53" s="80">
        <f t="shared" si="65"/>
        <v>575.89507414076536</v>
      </c>
      <c r="H53" s="194">
        <v>129.88999999999999</v>
      </c>
      <c r="I53" s="80">
        <f t="shared" si="50"/>
        <v>0</v>
      </c>
      <c r="J53" s="80">
        <f t="shared" si="66"/>
        <v>0</v>
      </c>
      <c r="K53" s="29">
        <v>745.5</v>
      </c>
      <c r="L53" s="80">
        <f t="shared" si="51"/>
        <v>1.3999999999999773</v>
      </c>
      <c r="M53" s="80">
        <f t="shared" si="67"/>
        <v>369.84087330140181</v>
      </c>
      <c r="N53" s="31">
        <v>83.58</v>
      </c>
      <c r="O53" s="80">
        <f t="shared" si="52"/>
        <v>-35.36</v>
      </c>
      <c r="P53" s="80">
        <f t="shared" si="68"/>
        <v>-9341.1237713841274</v>
      </c>
      <c r="Q53" s="29">
        <v>1.72</v>
      </c>
      <c r="R53" s="80">
        <f t="shared" si="53"/>
        <v>3.6800000000000006</v>
      </c>
      <c r="S53" s="80">
        <f t="shared" si="70"/>
        <v>972.15315267798633</v>
      </c>
      <c r="T53" s="80"/>
      <c r="U53" s="80">
        <f t="shared" si="57"/>
        <v>0</v>
      </c>
      <c r="V53" s="215">
        <f t="shared" si="5"/>
        <v>0</v>
      </c>
      <c r="W53" s="185"/>
      <c r="X53" s="80"/>
      <c r="Y53" s="80">
        <f t="shared" si="58"/>
        <v>0</v>
      </c>
      <c r="Z53" s="194">
        <v>15.26</v>
      </c>
      <c r="AA53" s="80">
        <f t="shared" si="63"/>
        <v>0.9399999999999995</v>
      </c>
      <c r="AB53" s="80">
        <f t="shared" si="59"/>
        <v>248.32172921665941</v>
      </c>
      <c r="AC53" s="194">
        <v>17.260000000000002</v>
      </c>
      <c r="AD53" s="80">
        <f t="shared" si="54"/>
        <v>-6.9999999999996732E-2</v>
      </c>
      <c r="AE53" s="80">
        <f t="shared" si="60"/>
        <v>-18.492043665069527</v>
      </c>
      <c r="AF53" s="154">
        <v>279.24</v>
      </c>
      <c r="AG53" s="80">
        <f t="shared" si="55"/>
        <v>-0.26999999999998181</v>
      </c>
      <c r="AH53" s="80">
        <f t="shared" si="22"/>
        <v>-71.326454136695276</v>
      </c>
      <c r="AI53" s="194">
        <v>180.72</v>
      </c>
      <c r="AJ53" s="80">
        <f t="shared" si="46"/>
        <v>10.590000000000003</v>
      </c>
      <c r="AK53" s="80">
        <f t="shared" si="61"/>
        <v>2797.5820344727927</v>
      </c>
      <c r="AL53" s="194">
        <v>4.97</v>
      </c>
      <c r="AM53" s="80">
        <f>IF(AL53="",0,AL52-AL53)</f>
        <v>1.6600000000000001</v>
      </c>
      <c r="AN53" s="17">
        <f t="shared" si="71"/>
        <v>438.52560691452646</v>
      </c>
      <c r="AO53" s="235">
        <f t="shared" si="69"/>
        <v>0</v>
      </c>
      <c r="AP53" s="18"/>
    </row>
    <row r="54" spans="1:42" s="3" customFormat="1">
      <c r="A54" s="15">
        <v>44978</v>
      </c>
      <c r="B54" s="194">
        <v>0</v>
      </c>
      <c r="C54" s="80">
        <f t="shared" si="49"/>
        <v>0</v>
      </c>
      <c r="D54" s="80">
        <f t="shared" si="64"/>
        <v>0</v>
      </c>
      <c r="E54" s="29">
        <v>96.34</v>
      </c>
      <c r="F54" s="80">
        <f t="shared" si="72"/>
        <v>1.2000000000000028</v>
      </c>
      <c r="G54" s="80">
        <f t="shared" si="65"/>
        <v>317.00646282977885</v>
      </c>
      <c r="H54" s="194">
        <v>129.88999999999999</v>
      </c>
      <c r="I54" s="80">
        <f t="shared" si="50"/>
        <v>0</v>
      </c>
      <c r="J54" s="80">
        <f t="shared" si="66"/>
        <v>0</v>
      </c>
      <c r="K54" s="29">
        <v>744</v>
      </c>
      <c r="L54" s="80">
        <f t="shared" si="51"/>
        <v>1.5</v>
      </c>
      <c r="M54" s="80">
        <f t="shared" si="67"/>
        <v>396.25807853722262</v>
      </c>
      <c r="N54" s="31">
        <v>77.150000000000006</v>
      </c>
      <c r="O54" s="80">
        <f t="shared" si="52"/>
        <v>6.4299999999999926</v>
      </c>
      <c r="P54" s="80">
        <f t="shared" si="68"/>
        <v>1698.6262966628924</v>
      </c>
      <c r="Q54" s="29">
        <v>1.68</v>
      </c>
      <c r="R54" s="80">
        <f t="shared" si="53"/>
        <v>4.0000000000000036E-2</v>
      </c>
      <c r="S54" s="80">
        <f t="shared" si="70"/>
        <v>10.566882094325946</v>
      </c>
      <c r="T54" s="80"/>
      <c r="U54" s="80">
        <f t="shared" si="57"/>
        <v>0</v>
      </c>
      <c r="V54" s="215">
        <f t="shared" si="5"/>
        <v>0</v>
      </c>
      <c r="W54" s="185"/>
      <c r="X54" s="80"/>
      <c r="Y54" s="80">
        <f t="shared" si="58"/>
        <v>0</v>
      </c>
      <c r="Z54" s="194">
        <v>16.170000000000002</v>
      </c>
      <c r="AA54" s="80">
        <f t="shared" si="63"/>
        <v>0.91000000000000192</v>
      </c>
      <c r="AB54" s="80">
        <f t="shared" si="59"/>
        <v>240.39656764591558</v>
      </c>
      <c r="AC54" s="194">
        <v>17.28</v>
      </c>
      <c r="AD54" s="80">
        <f t="shared" si="54"/>
        <v>1.9999999999999574E-2</v>
      </c>
      <c r="AE54" s="80">
        <f t="shared" si="60"/>
        <v>5.2834410471628557</v>
      </c>
      <c r="AF54" s="154">
        <v>278.79000000000002</v>
      </c>
      <c r="AG54" s="80">
        <f t="shared" si="55"/>
        <v>0.44999999999998863</v>
      </c>
      <c r="AH54" s="80">
        <f t="shared" si="22"/>
        <v>118.87742356116378</v>
      </c>
      <c r="AI54" s="194">
        <v>199.17</v>
      </c>
      <c r="AJ54" s="80">
        <f t="shared" si="46"/>
        <v>-18.449999999999989</v>
      </c>
      <c r="AK54" s="80">
        <f t="shared" si="61"/>
        <v>-4873.9743660078357</v>
      </c>
      <c r="AL54" s="194">
        <v>4.78</v>
      </c>
      <c r="AM54" s="80">
        <f>IF(AL54="",0,AL53-AL54)</f>
        <v>0.1899999999999995</v>
      </c>
      <c r="AN54" s="17">
        <f t="shared" si="71"/>
        <v>50.192689948048063</v>
      </c>
      <c r="AO54" s="235">
        <f t="shared" si="69"/>
        <v>8876.1809592337868</v>
      </c>
      <c r="AP54" s="18">
        <v>33.6</v>
      </c>
    </row>
    <row r="55" spans="1:42" s="3" customFormat="1">
      <c r="A55" s="15">
        <v>44979</v>
      </c>
      <c r="B55" s="194">
        <v>0</v>
      </c>
      <c r="C55" s="80">
        <f t="shared" si="49"/>
        <v>0</v>
      </c>
      <c r="D55" s="80">
        <f t="shared" si="64"/>
        <v>0</v>
      </c>
      <c r="E55" s="29">
        <v>97.98</v>
      </c>
      <c r="F55" s="80">
        <f t="shared" si="72"/>
        <v>1.6400000000000006</v>
      </c>
      <c r="G55" s="80">
        <f t="shared" si="65"/>
        <v>433.24216586736355</v>
      </c>
      <c r="H55" s="194">
        <v>129.88999999999999</v>
      </c>
      <c r="I55" s="80">
        <f t="shared" si="50"/>
        <v>0</v>
      </c>
      <c r="J55" s="80">
        <f t="shared" si="66"/>
        <v>0</v>
      </c>
      <c r="K55" s="29">
        <v>742.4</v>
      </c>
      <c r="L55" s="80">
        <f t="shared" si="51"/>
        <v>1.6000000000000227</v>
      </c>
      <c r="M55" s="80">
        <f t="shared" si="67"/>
        <v>422.67528377304347</v>
      </c>
      <c r="N55" s="31">
        <v>70.5</v>
      </c>
      <c r="O55" s="80">
        <f t="shared" si="52"/>
        <v>6.6500000000000057</v>
      </c>
      <c r="P55" s="80">
        <f t="shared" si="68"/>
        <v>1756.7441481816884</v>
      </c>
      <c r="Q55" s="29">
        <v>1.68</v>
      </c>
      <c r="R55" s="80">
        <f t="shared" si="53"/>
        <v>0</v>
      </c>
      <c r="S55" s="80">
        <f t="shared" si="70"/>
        <v>0</v>
      </c>
      <c r="T55" s="80"/>
      <c r="U55" s="80">
        <f t="shared" si="57"/>
        <v>0</v>
      </c>
      <c r="V55" s="215">
        <f t="shared" si="5"/>
        <v>0</v>
      </c>
      <c r="W55" s="185"/>
      <c r="X55" s="80">
        <v>7582</v>
      </c>
      <c r="Y55" s="80">
        <f t="shared" si="58"/>
        <v>28.700992146287998</v>
      </c>
      <c r="Z55" s="194">
        <v>1.29</v>
      </c>
      <c r="AA55" s="80">
        <f t="shared" ref="AA55:AA95" si="73">IF(Z55="",0,Z55-Z54)</f>
        <v>-14.880000000000003</v>
      </c>
      <c r="AB55" s="80">
        <f t="shared" si="59"/>
        <v>-3930.880139089249</v>
      </c>
      <c r="AC55" s="194">
        <v>4.09</v>
      </c>
      <c r="AD55" s="80">
        <f t="shared" si="21"/>
        <v>-13.190000000000001</v>
      </c>
      <c r="AE55" s="80">
        <f t="shared" si="60"/>
        <v>-3484.429370603978</v>
      </c>
      <c r="AF55" s="194">
        <v>279.08999999999997</v>
      </c>
      <c r="AG55" s="80">
        <f t="shared" si="55"/>
        <v>-0.29999999999995453</v>
      </c>
      <c r="AH55" s="80">
        <f t="shared" si="22"/>
        <v>-79.251615707432521</v>
      </c>
      <c r="AI55" s="194">
        <v>180.27</v>
      </c>
      <c r="AJ55" s="80">
        <f t="shared" si="46"/>
        <v>18.899999999999977</v>
      </c>
      <c r="AK55" s="80">
        <f t="shared" si="61"/>
        <v>4992.8517895689993</v>
      </c>
      <c r="AL55" s="194">
        <v>8.2899999999999991</v>
      </c>
      <c r="AM55" s="80">
        <f t="shared" si="47"/>
        <v>-3.5099999999999989</v>
      </c>
      <c r="AN55" s="17">
        <f t="shared" si="71"/>
        <v>-927.24390377710074</v>
      </c>
      <c r="AO55" s="235">
        <f t="shared" si="69"/>
        <v>0</v>
      </c>
      <c r="AP55" s="18"/>
    </row>
    <row r="56" spans="1:42" s="3" customFormat="1">
      <c r="A56" s="15">
        <v>44980</v>
      </c>
      <c r="B56" s="194">
        <v>0</v>
      </c>
      <c r="C56" s="80">
        <f t="shared" si="49"/>
        <v>0</v>
      </c>
      <c r="D56" s="80">
        <f t="shared" si="64"/>
        <v>0</v>
      </c>
      <c r="E56" s="29">
        <v>100.1</v>
      </c>
      <c r="F56" s="80">
        <f t="shared" si="72"/>
        <v>2.1199999999999903</v>
      </c>
      <c r="G56" s="80">
        <f t="shared" si="65"/>
        <v>560.04475099927208</v>
      </c>
      <c r="H56" s="194">
        <v>129.88999999999999</v>
      </c>
      <c r="I56" s="80">
        <f t="shared" si="50"/>
        <v>0</v>
      </c>
      <c r="J56" s="80">
        <f t="shared" si="66"/>
        <v>0</v>
      </c>
      <c r="K56" s="29">
        <v>739.8</v>
      </c>
      <c r="L56" s="80">
        <f t="shared" si="51"/>
        <v>2.6000000000000227</v>
      </c>
      <c r="M56" s="80">
        <f t="shared" si="67"/>
        <v>686.84733613119192</v>
      </c>
      <c r="N56" s="31">
        <v>62.8</v>
      </c>
      <c r="O56" s="80">
        <f t="shared" si="52"/>
        <v>7.7000000000000028</v>
      </c>
      <c r="P56" s="80">
        <f t="shared" si="68"/>
        <v>2034.1248031577436</v>
      </c>
      <c r="Q56" s="29">
        <v>1.65</v>
      </c>
      <c r="R56" s="80">
        <f t="shared" si="53"/>
        <v>3.0000000000000027E-2</v>
      </c>
      <c r="S56" s="80">
        <f t="shared" si="70"/>
        <v>7.9251615707444598</v>
      </c>
      <c r="T56" s="80"/>
      <c r="U56" s="80">
        <f t="shared" si="57"/>
        <v>0</v>
      </c>
      <c r="V56" s="215">
        <f t="shared" si="5"/>
        <v>0</v>
      </c>
      <c r="W56" s="185"/>
      <c r="X56" s="80"/>
      <c r="Y56" s="80">
        <f t="shared" si="58"/>
        <v>0</v>
      </c>
      <c r="Z56" s="194">
        <v>2.33</v>
      </c>
      <c r="AA56" s="80">
        <f t="shared" ref="AA56:AA72" si="74">IF(Z56="",0,Z56-Z55)</f>
        <v>1.04</v>
      </c>
      <c r="AB56" s="80">
        <f t="shared" si="59"/>
        <v>274.73893445247438</v>
      </c>
      <c r="AC56" s="194">
        <v>4.17</v>
      </c>
      <c r="AD56" s="80">
        <f t="shared" ref="AD56:AD72" si="75">IF(AC56="",0,AC56-AC55)</f>
        <v>8.0000000000000071E-2</v>
      </c>
      <c r="AE56" s="80">
        <f t="shared" si="60"/>
        <v>21.133764188651892</v>
      </c>
      <c r="AF56" s="194">
        <v>278.04000000000002</v>
      </c>
      <c r="AG56" s="80">
        <f t="shared" si="55"/>
        <v>1.0499999999999545</v>
      </c>
      <c r="AH56" s="80">
        <f t="shared" si="22"/>
        <v>277.38065497604384</v>
      </c>
      <c r="AI56" s="194">
        <v>167.61</v>
      </c>
      <c r="AJ56" s="80">
        <f t="shared" si="46"/>
        <v>12.659999999999997</v>
      </c>
      <c r="AK56" s="80">
        <f t="shared" si="61"/>
        <v>3344.4181828541582</v>
      </c>
      <c r="AL56" s="194">
        <v>5.94</v>
      </c>
      <c r="AM56" s="80">
        <f>IF(AL56="",0,AL55-AL56)</f>
        <v>2.3499999999999988</v>
      </c>
      <c r="AN56" s="17">
        <f t="shared" si="71"/>
        <v>620.80432304164844</v>
      </c>
      <c r="AO56" s="235">
        <f t="shared" si="69"/>
        <v>0</v>
      </c>
      <c r="AP56" s="18"/>
    </row>
    <row r="57" spans="1:42" s="3" customFormat="1">
      <c r="A57" s="15">
        <v>44981</v>
      </c>
      <c r="B57" s="194">
        <v>0</v>
      </c>
      <c r="C57" s="80">
        <f t="shared" si="49"/>
        <v>0</v>
      </c>
      <c r="D57" s="80">
        <f t="shared" si="64"/>
        <v>0</v>
      </c>
      <c r="E57" s="29">
        <v>101.92</v>
      </c>
      <c r="F57" s="80">
        <f t="shared" si="72"/>
        <v>1.8200000000000074</v>
      </c>
      <c r="G57" s="80">
        <f t="shared" si="65"/>
        <v>480.79313529183207</v>
      </c>
      <c r="H57" s="194">
        <v>129.88999999999999</v>
      </c>
      <c r="I57" s="80">
        <f t="shared" si="50"/>
        <v>0</v>
      </c>
      <c r="J57" s="80">
        <f t="shared" si="66"/>
        <v>0</v>
      </c>
      <c r="K57" s="29">
        <v>737.8</v>
      </c>
      <c r="L57" s="80">
        <f t="shared" si="51"/>
        <v>2</v>
      </c>
      <c r="M57" s="80">
        <f t="shared" si="67"/>
        <v>528.3441047162969</v>
      </c>
      <c r="N57" s="31">
        <v>96.92</v>
      </c>
      <c r="O57" s="80">
        <f t="shared" si="52"/>
        <v>-34.120000000000005</v>
      </c>
      <c r="P57" s="80">
        <f t="shared" si="68"/>
        <v>-9013.5504264600258</v>
      </c>
      <c r="Q57" s="303">
        <v>1.65</v>
      </c>
      <c r="R57" s="215">
        <f t="shared" si="53"/>
        <v>0</v>
      </c>
      <c r="S57" s="215">
        <f t="shared" si="70"/>
        <v>0</v>
      </c>
      <c r="T57" s="80"/>
      <c r="U57" s="80">
        <f t="shared" si="57"/>
        <v>0</v>
      </c>
      <c r="V57" s="215">
        <f>+CONVERT(W57,"gal","m3")</f>
        <v>0</v>
      </c>
      <c r="W57" s="302"/>
      <c r="X57" s="80"/>
      <c r="Y57" s="80">
        <f t="shared" si="58"/>
        <v>0</v>
      </c>
      <c r="Z57" s="194">
        <v>3.54</v>
      </c>
      <c r="AA57" s="80">
        <f t="shared" si="74"/>
        <v>1.21</v>
      </c>
      <c r="AB57" s="80">
        <f t="shared" si="59"/>
        <v>319.64818335335957</v>
      </c>
      <c r="AC57" s="194">
        <v>4.12</v>
      </c>
      <c r="AD57" s="80">
        <f t="shared" si="75"/>
        <v>-4.9999999999999822E-2</v>
      </c>
      <c r="AE57" s="80">
        <f t="shared" si="60"/>
        <v>-13.208602617907374</v>
      </c>
      <c r="AF57" s="194">
        <v>278.10000000000002</v>
      </c>
      <c r="AG57" s="80">
        <f t="shared" si="55"/>
        <v>-6.0000000000002274E-2</v>
      </c>
      <c r="AH57" s="80">
        <f t="shared" si="22"/>
        <v>-15.850323141489506</v>
      </c>
      <c r="AI57" s="194">
        <v>154.5</v>
      </c>
      <c r="AJ57" s="80">
        <f t="shared" si="46"/>
        <v>13.110000000000014</v>
      </c>
      <c r="AK57" s="80">
        <f t="shared" si="61"/>
        <v>3463.2956064153295</v>
      </c>
      <c r="AL57" s="194">
        <v>4.07</v>
      </c>
      <c r="AM57" s="80">
        <f>IF(AL57="",0,AL56-AL57)</f>
        <v>1.87</v>
      </c>
      <c r="AN57" s="17">
        <f t="shared" si="71"/>
        <v>494.00173790973753</v>
      </c>
      <c r="AO57" s="235">
        <f t="shared" si="69"/>
        <v>0</v>
      </c>
      <c r="AP57" s="18"/>
    </row>
    <row r="58" spans="1:42" s="3" customFormat="1">
      <c r="A58" s="15">
        <v>44982</v>
      </c>
      <c r="B58" s="194">
        <v>0</v>
      </c>
      <c r="C58" s="80">
        <f t="shared" si="49"/>
        <v>0</v>
      </c>
      <c r="D58" s="80">
        <f t="shared" si="64"/>
        <v>0</v>
      </c>
      <c r="E58" s="29">
        <v>103.52</v>
      </c>
      <c r="F58" s="80">
        <f t="shared" si="72"/>
        <v>1.5999999999999943</v>
      </c>
      <c r="G58" s="80">
        <f t="shared" si="65"/>
        <v>422.67528377303597</v>
      </c>
      <c r="H58" s="194">
        <v>129.88999999999999</v>
      </c>
      <c r="I58" s="80">
        <f t="shared" si="50"/>
        <v>0</v>
      </c>
      <c r="J58" s="80">
        <f t="shared" si="66"/>
        <v>0</v>
      </c>
      <c r="K58" s="29">
        <v>736.8</v>
      </c>
      <c r="L58" s="80">
        <f t="shared" si="51"/>
        <v>1</v>
      </c>
      <c r="M58" s="80">
        <f t="shared" si="67"/>
        <v>264.17205235814845</v>
      </c>
      <c r="N58" s="31">
        <v>90.16</v>
      </c>
      <c r="O58" s="80">
        <f t="shared" si="52"/>
        <v>6.7600000000000051</v>
      </c>
      <c r="P58" s="80">
        <f t="shared" si="68"/>
        <v>1785.8030739410847</v>
      </c>
      <c r="Q58" s="29">
        <v>1.65</v>
      </c>
      <c r="R58" s="80">
        <f t="shared" si="53"/>
        <v>0</v>
      </c>
      <c r="S58" s="80">
        <f t="shared" si="70"/>
        <v>0</v>
      </c>
      <c r="T58" s="80"/>
      <c r="U58" s="80">
        <f t="shared" si="57"/>
        <v>0</v>
      </c>
      <c r="V58" s="215">
        <f t="shared" si="5"/>
        <v>0</v>
      </c>
      <c r="W58" s="185"/>
      <c r="X58" s="80"/>
      <c r="Y58" s="80">
        <f t="shared" si="58"/>
        <v>0</v>
      </c>
      <c r="Z58" s="194">
        <v>4.74</v>
      </c>
      <c r="AA58" s="80">
        <f t="shared" si="74"/>
        <v>1.2000000000000002</v>
      </c>
      <c r="AB58" s="80">
        <f t="shared" si="59"/>
        <v>317.00646282977817</v>
      </c>
      <c r="AC58" s="194">
        <v>4.08</v>
      </c>
      <c r="AD58" s="80">
        <f t="shared" si="75"/>
        <v>-4.0000000000000036E-2</v>
      </c>
      <c r="AE58" s="80">
        <f t="shared" si="60"/>
        <v>-10.566882094325946</v>
      </c>
      <c r="AF58" s="194">
        <v>278.10000000000002</v>
      </c>
      <c r="AG58" s="80">
        <f t="shared" si="55"/>
        <v>0</v>
      </c>
      <c r="AH58" s="80">
        <f t="shared" si="22"/>
        <v>0</v>
      </c>
      <c r="AI58" s="194">
        <v>132</v>
      </c>
      <c r="AJ58" s="80">
        <f t="shared" si="46"/>
        <v>22.5</v>
      </c>
      <c r="AK58" s="80">
        <f t="shared" ref="AK58:AK64" si="76">+CONVERT(AJ58,"m^3","gal")</f>
        <v>5943.8711780583399</v>
      </c>
      <c r="AL58" s="194">
        <v>8.17</v>
      </c>
      <c r="AM58" s="80">
        <f>IF(AL58="",0,AL57-AL58)</f>
        <v>-4.0999999999999996</v>
      </c>
      <c r="AN58" s="17">
        <f t="shared" si="71"/>
        <v>-1083.1054146684085</v>
      </c>
      <c r="AO58" s="235">
        <f t="shared" si="69"/>
        <v>0</v>
      </c>
      <c r="AP58" s="18"/>
    </row>
    <row r="59" spans="1:42" s="3" customFormat="1">
      <c r="A59" s="15">
        <v>44983</v>
      </c>
      <c r="B59" s="194">
        <v>0</v>
      </c>
      <c r="C59" s="80">
        <f t="shared" si="49"/>
        <v>0</v>
      </c>
      <c r="D59" s="80">
        <f t="shared" si="64"/>
        <v>0</v>
      </c>
      <c r="E59" s="29">
        <v>105.12</v>
      </c>
      <c r="F59" s="80">
        <f t="shared" si="72"/>
        <v>1.6000000000000085</v>
      </c>
      <c r="G59" s="80">
        <f t="shared" si="65"/>
        <v>422.67528377303978</v>
      </c>
      <c r="H59" s="194">
        <v>129.88999999999999</v>
      </c>
      <c r="I59" s="80">
        <f t="shared" si="50"/>
        <v>0</v>
      </c>
      <c r="J59" s="80">
        <f t="shared" si="66"/>
        <v>0</v>
      </c>
      <c r="K59" s="29">
        <v>733.8</v>
      </c>
      <c r="L59" s="80">
        <f t="shared" si="51"/>
        <v>3</v>
      </c>
      <c r="M59" s="80">
        <f t="shared" si="67"/>
        <v>792.51615707444523</v>
      </c>
      <c r="N59" s="31">
        <v>84.32</v>
      </c>
      <c r="O59" s="80">
        <f t="shared" si="52"/>
        <v>5.8400000000000034</v>
      </c>
      <c r="P59" s="80">
        <f t="shared" si="68"/>
        <v>1542.7647857715876</v>
      </c>
      <c r="Q59" s="29">
        <v>1.65</v>
      </c>
      <c r="R59" s="80">
        <f t="shared" si="53"/>
        <v>0</v>
      </c>
      <c r="S59" s="80">
        <f t="shared" si="70"/>
        <v>0</v>
      </c>
      <c r="T59" s="80"/>
      <c r="U59" s="80">
        <f t="shared" si="57"/>
        <v>0</v>
      </c>
      <c r="V59" s="215">
        <f t="shared" si="5"/>
        <v>0</v>
      </c>
      <c r="W59" s="185"/>
      <c r="X59" s="80"/>
      <c r="Y59" s="80">
        <f t="shared" si="58"/>
        <v>0</v>
      </c>
      <c r="Z59" s="194">
        <v>5.5</v>
      </c>
      <c r="AA59" s="80">
        <f t="shared" si="74"/>
        <v>0.75999999999999979</v>
      </c>
      <c r="AB59" s="80">
        <f t="shared" si="59"/>
        <v>200.77075979219273</v>
      </c>
      <c r="AC59" s="194">
        <v>4.0999999999999996</v>
      </c>
      <c r="AD59" s="80">
        <f t="shared" si="75"/>
        <v>1.9999999999999574E-2</v>
      </c>
      <c r="AE59" s="80">
        <f t="shared" si="60"/>
        <v>5.2834410471628557</v>
      </c>
      <c r="AF59" s="194">
        <v>277.2</v>
      </c>
      <c r="AG59" s="80">
        <f t="shared" si="55"/>
        <v>0.90000000000003411</v>
      </c>
      <c r="AH59" s="80">
        <f t="shared" si="22"/>
        <v>237.7548471223426</v>
      </c>
      <c r="AI59" s="219">
        <v>126</v>
      </c>
      <c r="AJ59" s="215">
        <f t="shared" si="46"/>
        <v>6</v>
      </c>
      <c r="AK59" s="215">
        <f t="shared" si="76"/>
        <v>1585.0323141488905</v>
      </c>
      <c r="AL59" s="194">
        <v>4.6399999999999997</v>
      </c>
      <c r="AM59" s="80">
        <f>IF(AL59="",0,AL58-AL59)</f>
        <v>3.5300000000000002</v>
      </c>
      <c r="AN59" s="17">
        <f t="shared" si="71"/>
        <v>932.52734482426411</v>
      </c>
      <c r="AO59" s="235">
        <f t="shared" si="69"/>
        <v>0</v>
      </c>
      <c r="AP59" s="18"/>
    </row>
    <row r="60" spans="1:42" s="3" customFormat="1">
      <c r="A60" s="15">
        <v>44984</v>
      </c>
      <c r="B60" s="194">
        <v>0</v>
      </c>
      <c r="C60" s="80">
        <f t="shared" si="49"/>
        <v>0</v>
      </c>
      <c r="D60" s="80">
        <f t="shared" si="64"/>
        <v>0</v>
      </c>
      <c r="E60" s="29">
        <v>107.62</v>
      </c>
      <c r="F60" s="80">
        <f t="shared" si="72"/>
        <v>2.5</v>
      </c>
      <c r="G60" s="80">
        <f t="shared" si="65"/>
        <v>660.43013089537101</v>
      </c>
      <c r="H60" s="194">
        <v>129.88999999999999</v>
      </c>
      <c r="I60" s="80">
        <f t="shared" si="50"/>
        <v>0</v>
      </c>
      <c r="J60" s="80">
        <f t="shared" si="66"/>
        <v>0</v>
      </c>
      <c r="K60" s="29">
        <v>732.3</v>
      </c>
      <c r="L60" s="80">
        <f t="shared" si="51"/>
        <v>1.5</v>
      </c>
      <c r="M60" s="80">
        <f t="shared" si="67"/>
        <v>396.25807853722262</v>
      </c>
      <c r="N60" s="31">
        <v>77.7</v>
      </c>
      <c r="O60" s="80">
        <f t="shared" si="52"/>
        <v>6.6199999999999903</v>
      </c>
      <c r="P60" s="80">
        <f t="shared" si="68"/>
        <v>1748.8189866109399</v>
      </c>
      <c r="Q60" s="29">
        <v>0.44</v>
      </c>
      <c r="R60" s="80">
        <f>IF(Q60="",0,Q59-Q60)</f>
        <v>1.21</v>
      </c>
      <c r="S60" s="80">
        <f t="shared" si="70"/>
        <v>319.64818335335957</v>
      </c>
      <c r="T60" s="80"/>
      <c r="U60" s="80">
        <f t="shared" si="57"/>
        <v>0</v>
      </c>
      <c r="V60" s="215">
        <f t="shared" si="5"/>
        <v>0</v>
      </c>
      <c r="W60" s="185"/>
      <c r="X60" s="80"/>
      <c r="Y60" s="80">
        <f t="shared" si="58"/>
        <v>0</v>
      </c>
      <c r="Z60" s="194">
        <v>6.7</v>
      </c>
      <c r="AA60" s="80">
        <f t="shared" si="74"/>
        <v>1.2000000000000002</v>
      </c>
      <c r="AB60" s="80">
        <f t="shared" si="59"/>
        <v>317.00646282977817</v>
      </c>
      <c r="AC60" s="194">
        <v>4.05</v>
      </c>
      <c r="AD60" s="80">
        <f t="shared" si="75"/>
        <v>-4.9999999999999822E-2</v>
      </c>
      <c r="AE60" s="80">
        <f t="shared" si="60"/>
        <v>-13.208602617907374</v>
      </c>
      <c r="AF60" s="194">
        <v>277.70999999999998</v>
      </c>
      <c r="AG60" s="80">
        <f t="shared" si="55"/>
        <v>-0.50999999999999091</v>
      </c>
      <c r="AH60" s="80">
        <f t="shared" si="22"/>
        <v>-134.72774670265329</v>
      </c>
      <c r="AI60" s="194">
        <v>138.12</v>
      </c>
      <c r="AJ60" s="80">
        <f t="shared" si="46"/>
        <v>-12.120000000000005</v>
      </c>
      <c r="AK60" s="80">
        <f t="shared" si="76"/>
        <v>-3201.76527458076</v>
      </c>
      <c r="AL60" s="194">
        <v>9.09</v>
      </c>
      <c r="AM60" s="80">
        <f t="shared" si="47"/>
        <v>-4.45</v>
      </c>
      <c r="AN60" s="17">
        <f t="shared" si="71"/>
        <v>-1175.5656329937606</v>
      </c>
      <c r="AO60" s="235">
        <f t="shared" si="69"/>
        <v>8036.1138327348754</v>
      </c>
      <c r="AP60" s="18">
        <v>30.42</v>
      </c>
    </row>
    <row r="61" spans="1:42" s="3" customFormat="1">
      <c r="A61" s="15">
        <v>44985</v>
      </c>
      <c r="B61" s="194">
        <v>0</v>
      </c>
      <c r="C61" s="80">
        <f t="shared" si="49"/>
        <v>0</v>
      </c>
      <c r="D61" s="80">
        <f t="shared" si="64"/>
        <v>0</v>
      </c>
      <c r="E61" s="29">
        <v>108.83</v>
      </c>
      <c r="F61" s="80">
        <f t="shared" si="72"/>
        <v>1.2099999999999937</v>
      </c>
      <c r="G61" s="80">
        <f t="shared" si="65"/>
        <v>319.64818335335792</v>
      </c>
      <c r="H61" s="194">
        <v>129.88999999999999</v>
      </c>
      <c r="I61" s="80">
        <f t="shared" si="50"/>
        <v>0</v>
      </c>
      <c r="J61" s="80">
        <f t="shared" si="66"/>
        <v>0</v>
      </c>
      <c r="K61" s="29">
        <v>730.5</v>
      </c>
      <c r="L61" s="80">
        <f t="shared" si="51"/>
        <v>1.7999999999999545</v>
      </c>
      <c r="M61" s="80">
        <f t="shared" si="67"/>
        <v>475.50969424465512</v>
      </c>
      <c r="N61" s="31">
        <v>70.94</v>
      </c>
      <c r="O61" s="80">
        <f t="shared" si="52"/>
        <v>6.7600000000000051</v>
      </c>
      <c r="P61" s="80">
        <f t="shared" si="68"/>
        <v>1785.8030739410847</v>
      </c>
      <c r="Q61" s="29">
        <v>0</v>
      </c>
      <c r="R61" s="80">
        <f t="shared" si="53"/>
        <v>0.44</v>
      </c>
      <c r="S61" s="80">
        <f t="shared" si="70"/>
        <v>116.23570303758531</v>
      </c>
      <c r="T61" s="80"/>
      <c r="U61" s="80">
        <f t="shared" si="57"/>
        <v>0</v>
      </c>
      <c r="V61" s="215">
        <f t="shared" si="5"/>
        <v>0</v>
      </c>
      <c r="W61" s="185"/>
      <c r="X61" s="80"/>
      <c r="Y61" s="80">
        <f t="shared" si="58"/>
        <v>0</v>
      </c>
      <c r="Z61" s="194">
        <v>7.87</v>
      </c>
      <c r="AA61" s="80">
        <f t="shared" si="74"/>
        <v>1.17</v>
      </c>
      <c r="AB61" s="80">
        <f t="shared" si="59"/>
        <v>309.08130125903364</v>
      </c>
      <c r="AC61" s="194">
        <v>4.04</v>
      </c>
      <c r="AD61" s="80">
        <f t="shared" si="75"/>
        <v>-9.9999999999997868E-3</v>
      </c>
      <c r="AE61" s="80">
        <f t="shared" si="60"/>
        <v>-2.6417205235814278</v>
      </c>
      <c r="AF61" s="194">
        <v>277.23</v>
      </c>
      <c r="AG61" s="80">
        <f t="shared" si="55"/>
        <v>0.47999999999996135</v>
      </c>
      <c r="AH61" s="80">
        <f t="shared" si="22"/>
        <v>126.80258513190103</v>
      </c>
      <c r="AI61" s="194">
        <v>144.87</v>
      </c>
      <c r="AJ61" s="80">
        <f t="shared" si="46"/>
        <v>-6.75</v>
      </c>
      <c r="AK61" s="80">
        <f t="shared" si="76"/>
        <v>-1783.1613534175019</v>
      </c>
      <c r="AL61" s="194">
        <v>6.32</v>
      </c>
      <c r="AM61" s="80">
        <f t="shared" si="47"/>
        <v>2.7699999999999996</v>
      </c>
      <c r="AN61" s="17">
        <f t="shared" si="71"/>
        <v>731.75658503207103</v>
      </c>
      <c r="AO61" s="235">
        <f t="shared" si="69"/>
        <v>5397.035029676972</v>
      </c>
      <c r="AP61" s="18">
        <v>20.43</v>
      </c>
    </row>
    <row r="62" spans="1:42" s="3" customFormat="1">
      <c r="A62" s="15">
        <v>44986</v>
      </c>
      <c r="B62" s="194">
        <v>0</v>
      </c>
      <c r="C62" s="80">
        <f t="shared" si="49"/>
        <v>0</v>
      </c>
      <c r="D62" s="80">
        <f t="shared" si="64"/>
        <v>0</v>
      </c>
      <c r="E62" s="29">
        <v>110.34</v>
      </c>
      <c r="F62" s="80">
        <f t="shared" si="72"/>
        <v>1.5100000000000051</v>
      </c>
      <c r="G62" s="80">
        <f t="shared" si="65"/>
        <v>398.89979906080544</v>
      </c>
      <c r="H62" s="194">
        <v>129.88999999999999</v>
      </c>
      <c r="I62" s="80">
        <f t="shared" si="50"/>
        <v>0</v>
      </c>
      <c r="J62" s="80">
        <f t="shared" si="66"/>
        <v>0</v>
      </c>
      <c r="K62" s="29">
        <v>770.2</v>
      </c>
      <c r="L62" s="80">
        <f t="shared" si="51"/>
        <v>-39.700000000000045</v>
      </c>
      <c r="M62" s="80">
        <f t="shared" si="67"/>
        <v>-10487.630478618505</v>
      </c>
      <c r="N62" s="31">
        <v>64.52</v>
      </c>
      <c r="O62" s="80">
        <f t="shared" si="52"/>
        <v>6.4200000000000017</v>
      </c>
      <c r="P62" s="80">
        <f t="shared" si="68"/>
        <v>1695.9845761393133</v>
      </c>
      <c r="Q62" s="29">
        <v>0</v>
      </c>
      <c r="R62" s="80">
        <f t="shared" si="53"/>
        <v>0</v>
      </c>
      <c r="S62" s="80">
        <f t="shared" si="70"/>
        <v>0</v>
      </c>
      <c r="T62" s="80"/>
      <c r="U62" s="80">
        <f t="shared" si="57"/>
        <v>0</v>
      </c>
      <c r="V62" s="215">
        <f t="shared" si="5"/>
        <v>0</v>
      </c>
      <c r="W62" s="185"/>
      <c r="X62" s="80"/>
      <c r="Y62" s="80">
        <f t="shared" si="58"/>
        <v>0</v>
      </c>
      <c r="Z62" s="194">
        <v>9.07</v>
      </c>
      <c r="AA62" s="80">
        <f t="shared" si="74"/>
        <v>1.2000000000000002</v>
      </c>
      <c r="AB62" s="80">
        <f t="shared" si="59"/>
        <v>317.00646282977817</v>
      </c>
      <c r="AC62" s="194">
        <v>3.99</v>
      </c>
      <c r="AD62" s="80">
        <f t="shared" si="75"/>
        <v>-4.9999999999999822E-2</v>
      </c>
      <c r="AE62" s="80">
        <f t="shared" si="60"/>
        <v>-13.208602617907374</v>
      </c>
      <c r="AF62" s="194">
        <v>277.38</v>
      </c>
      <c r="AG62" s="80">
        <f t="shared" si="55"/>
        <v>-0.14999999999997726</v>
      </c>
      <c r="AH62" s="80">
        <f t="shared" si="22"/>
        <v>-39.62580785371626</v>
      </c>
      <c r="AI62" s="219">
        <v>131.97</v>
      </c>
      <c r="AJ62" s="215">
        <f t="shared" si="46"/>
        <v>12.900000000000006</v>
      </c>
      <c r="AK62" s="215">
        <f t="shared" si="76"/>
        <v>3407.8194754201163</v>
      </c>
      <c r="AL62" s="194">
        <v>5.89</v>
      </c>
      <c r="AM62" s="80">
        <f>IF(AL62="",0,AL61-AL62)</f>
        <v>0.4300000000000006</v>
      </c>
      <c r="AN62" s="17">
        <f t="shared" si="71"/>
        <v>113.59398251400398</v>
      </c>
      <c r="AO62" s="235">
        <f t="shared" si="69"/>
        <v>0</v>
      </c>
      <c r="AP62" s="18"/>
    </row>
    <row r="63" spans="1:42" s="3" customFormat="1">
      <c r="A63" s="15">
        <v>44987</v>
      </c>
      <c r="B63" s="194">
        <v>0</v>
      </c>
      <c r="C63" s="80">
        <f t="shared" si="49"/>
        <v>0</v>
      </c>
      <c r="D63" s="80">
        <f t="shared" si="64"/>
        <v>0</v>
      </c>
      <c r="E63" s="29">
        <v>111.78</v>
      </c>
      <c r="F63" s="80">
        <f t="shared" si="72"/>
        <v>1.4399999999999977</v>
      </c>
      <c r="G63" s="80">
        <f t="shared" si="65"/>
        <v>380.40775539573315</v>
      </c>
      <c r="H63" s="194">
        <v>129.88999999999999</v>
      </c>
      <c r="I63" s="80">
        <f t="shared" si="50"/>
        <v>0</v>
      </c>
      <c r="J63" s="80">
        <f t="shared" si="66"/>
        <v>0</v>
      </c>
      <c r="K63" s="29">
        <v>725</v>
      </c>
      <c r="L63" s="80">
        <f t="shared" si="51"/>
        <v>45.200000000000045</v>
      </c>
      <c r="M63" s="80">
        <f t="shared" si="67"/>
        <v>11940.57676658832</v>
      </c>
      <c r="N63" s="31">
        <v>99.63</v>
      </c>
      <c r="O63" s="80">
        <f t="shared" si="52"/>
        <v>-35.11</v>
      </c>
      <c r="P63" s="80">
        <f t="shared" si="68"/>
        <v>-9275.0807582945909</v>
      </c>
      <c r="Q63" s="29">
        <v>0</v>
      </c>
      <c r="R63" s="80">
        <f t="shared" si="53"/>
        <v>0</v>
      </c>
      <c r="S63" s="80">
        <f t="shared" si="70"/>
        <v>0</v>
      </c>
      <c r="T63" s="80"/>
      <c r="U63" s="80">
        <f t="shared" si="57"/>
        <v>0</v>
      </c>
      <c r="V63" s="215">
        <f t="shared" si="5"/>
        <v>0</v>
      </c>
      <c r="W63" s="185"/>
      <c r="X63" s="80"/>
      <c r="Y63" s="80">
        <f t="shared" si="58"/>
        <v>0</v>
      </c>
      <c r="Z63" s="194">
        <v>10.24</v>
      </c>
      <c r="AA63" s="80">
        <f t="shared" si="74"/>
        <v>1.17</v>
      </c>
      <c r="AB63" s="80">
        <f t="shared" si="59"/>
        <v>309.08130125903364</v>
      </c>
      <c r="AC63" s="194">
        <v>5.85</v>
      </c>
      <c r="AD63" s="80">
        <f t="shared" si="75"/>
        <v>1.8599999999999994</v>
      </c>
      <c r="AE63" s="80">
        <f t="shared" si="60"/>
        <v>491.36001738615596</v>
      </c>
      <c r="AF63" s="194">
        <v>276.81</v>
      </c>
      <c r="AG63" s="80">
        <f t="shared" si="55"/>
        <v>0.56999999999999318</v>
      </c>
      <c r="AH63" s="80">
        <f t="shared" si="22"/>
        <v>150.57806984414279</v>
      </c>
      <c r="AI63" s="194">
        <v>114.63</v>
      </c>
      <c r="AJ63" s="80">
        <f t="shared" si="46"/>
        <v>17.340000000000003</v>
      </c>
      <c r="AK63" s="80">
        <f t="shared" si="76"/>
        <v>4580.7433878902948</v>
      </c>
      <c r="AL63" s="194">
        <v>7.74</v>
      </c>
      <c r="AM63" s="80">
        <f t="shared" si="47"/>
        <v>-1.8500000000000005</v>
      </c>
      <c r="AN63" s="17">
        <f t="shared" ref="AN63:AN68" si="77">+CONVERT(AM63,"m^3","gal")</f>
        <v>-488.71829686257468</v>
      </c>
      <c r="AO63" s="235">
        <f t="shared" si="69"/>
        <v>0</v>
      </c>
      <c r="AP63" s="18"/>
    </row>
    <row r="64" spans="1:42" s="3" customFormat="1">
      <c r="A64" s="15">
        <v>44988</v>
      </c>
      <c r="B64" s="194">
        <v>0</v>
      </c>
      <c r="C64" s="80">
        <f t="shared" ref="C64:C95" si="78">IF(B64="",0,B63-B64)</f>
        <v>0</v>
      </c>
      <c r="D64" s="80">
        <f t="shared" si="64"/>
        <v>0</v>
      </c>
      <c r="E64" s="29">
        <v>113.47</v>
      </c>
      <c r="F64" s="80">
        <f t="shared" si="72"/>
        <v>1.6899999999999977</v>
      </c>
      <c r="G64" s="80">
        <f t="shared" si="65"/>
        <v>446.45076848527026</v>
      </c>
      <c r="H64" s="194">
        <v>129.88999999999999</v>
      </c>
      <c r="I64" s="80">
        <f t="shared" ref="I64:I95" si="79">IF(H64="",0,H63-H64)</f>
        <v>0</v>
      </c>
      <c r="J64" s="80">
        <f t="shared" si="66"/>
        <v>0</v>
      </c>
      <c r="K64" s="29">
        <v>722.8</v>
      </c>
      <c r="L64" s="80">
        <f t="shared" ref="L64:L95" si="80">IF(K64="",0,K63-K64)</f>
        <v>2.2000000000000455</v>
      </c>
      <c r="M64" s="80">
        <f t="shared" si="67"/>
        <v>581.1785151879385</v>
      </c>
      <c r="N64" s="31">
        <v>93</v>
      </c>
      <c r="O64" s="80">
        <f t="shared" ref="O64:O95" si="81">IF(N64="",0,N63-N64)</f>
        <v>6.6299999999999955</v>
      </c>
      <c r="P64" s="80">
        <f t="shared" si="68"/>
        <v>1751.4607071345229</v>
      </c>
      <c r="Q64" s="29">
        <v>0</v>
      </c>
      <c r="R64" s="80">
        <f t="shared" si="53"/>
        <v>0</v>
      </c>
      <c r="S64" s="80">
        <f t="shared" si="70"/>
        <v>0</v>
      </c>
      <c r="T64" s="80"/>
      <c r="U64" s="80">
        <f t="shared" si="57"/>
        <v>0</v>
      </c>
      <c r="V64" s="215">
        <f t="shared" si="5"/>
        <v>0</v>
      </c>
      <c r="W64" s="185"/>
      <c r="X64" s="80"/>
      <c r="Y64" s="80">
        <f t="shared" si="58"/>
        <v>0</v>
      </c>
      <c r="Z64" s="194">
        <v>11.29</v>
      </c>
      <c r="AA64" s="80">
        <f t="shared" si="74"/>
        <v>1.0499999999999989</v>
      </c>
      <c r="AB64" s="80">
        <f t="shared" si="59"/>
        <v>277.38065497605555</v>
      </c>
      <c r="AC64" s="194">
        <v>4.0199999999999996</v>
      </c>
      <c r="AD64" s="80">
        <f t="shared" si="75"/>
        <v>-1.83</v>
      </c>
      <c r="AE64" s="80">
        <f t="shared" si="60"/>
        <v>-483.43485581541159</v>
      </c>
      <c r="AF64" s="194">
        <v>276.77999999999997</v>
      </c>
      <c r="AG64" s="80">
        <f t="shared" ref="AG64:AG90" si="82">IF(AF64="",0,AF63-AF64)</f>
        <v>3.0000000000029559E-2</v>
      </c>
      <c r="AH64" s="80">
        <f t="shared" si="22"/>
        <v>7.9251615707522616</v>
      </c>
      <c r="AI64" s="219">
        <v>132.75</v>
      </c>
      <c r="AJ64" s="215">
        <f t="shared" si="46"/>
        <v>-18.120000000000005</v>
      </c>
      <c r="AK64" s="215">
        <f t="shared" si="76"/>
        <v>-4786.7975887296507</v>
      </c>
      <c r="AL64" s="194">
        <v>7.99</v>
      </c>
      <c r="AM64" s="80">
        <f>IF(AL64="",0,AL63-AL64)</f>
        <v>-0.25</v>
      </c>
      <c r="AN64" s="17">
        <f>+CONVERT(AM64,"m^3","gal")</f>
        <v>-66.043013089537112</v>
      </c>
      <c r="AO64" s="235">
        <f t="shared" si="69"/>
        <v>8162.9164178667861</v>
      </c>
      <c r="AP64" s="18">
        <v>30.9</v>
      </c>
    </row>
    <row r="65" spans="1:42" s="3" customFormat="1">
      <c r="A65" s="15">
        <v>44989</v>
      </c>
      <c r="B65" s="194">
        <v>0</v>
      </c>
      <c r="C65" s="80">
        <f t="shared" si="78"/>
        <v>0</v>
      </c>
      <c r="D65" s="80">
        <f t="shared" si="64"/>
        <v>0</v>
      </c>
      <c r="E65" s="29">
        <v>115.18</v>
      </c>
      <c r="F65" s="80">
        <f t="shared" si="72"/>
        <v>1.710000000000008</v>
      </c>
      <c r="G65" s="80">
        <f t="shared" si="65"/>
        <v>451.7342095324359</v>
      </c>
      <c r="H65" s="194">
        <v>129.88999999999999</v>
      </c>
      <c r="I65" s="80">
        <f t="shared" si="79"/>
        <v>0</v>
      </c>
      <c r="J65" s="80">
        <f t="shared" si="66"/>
        <v>0</v>
      </c>
      <c r="K65" s="29">
        <v>721.5</v>
      </c>
      <c r="L65" s="80">
        <f t="shared" si="80"/>
        <v>1.2999999999999545</v>
      </c>
      <c r="M65" s="80">
        <f t="shared" si="67"/>
        <v>343.42366806558096</v>
      </c>
      <c r="N65" s="270">
        <v>86.3</v>
      </c>
      <c r="O65" s="271">
        <f t="shared" si="81"/>
        <v>6.7000000000000028</v>
      </c>
      <c r="P65" s="271">
        <f t="shared" si="68"/>
        <v>1769.9527507995952</v>
      </c>
      <c r="Q65" s="29">
        <v>0</v>
      </c>
      <c r="R65" s="80">
        <f t="shared" si="53"/>
        <v>0</v>
      </c>
      <c r="S65" s="80">
        <f t="shared" si="70"/>
        <v>0</v>
      </c>
      <c r="T65" s="80"/>
      <c r="U65" s="80">
        <f t="shared" si="57"/>
        <v>0</v>
      </c>
      <c r="V65" s="215">
        <f t="shared" si="5"/>
        <v>0</v>
      </c>
      <c r="W65" s="185"/>
      <c r="X65" s="80"/>
      <c r="Y65" s="80">
        <f t="shared" si="58"/>
        <v>0</v>
      </c>
      <c r="Z65" s="194">
        <v>12.17</v>
      </c>
      <c r="AA65" s="80">
        <f t="shared" si="74"/>
        <v>0.88000000000000078</v>
      </c>
      <c r="AB65" s="80">
        <f t="shared" si="59"/>
        <v>232.47140607517082</v>
      </c>
      <c r="AC65" s="194">
        <v>4.0599999999999996</v>
      </c>
      <c r="AD65" s="80">
        <f t="shared" si="75"/>
        <v>4.0000000000000036E-2</v>
      </c>
      <c r="AE65" s="80">
        <f t="shared" si="60"/>
        <v>10.566882094325946</v>
      </c>
      <c r="AF65" s="194">
        <v>276.60000000000002</v>
      </c>
      <c r="AG65" s="80">
        <f t="shared" si="82"/>
        <v>0.17999999999994998</v>
      </c>
      <c r="AH65" s="80">
        <f t="shared" si="22"/>
        <v>47.550969424453498</v>
      </c>
      <c r="AI65" s="219">
        <v>118.89</v>
      </c>
      <c r="AJ65" s="215">
        <f t="shared" si="46"/>
        <v>13.86</v>
      </c>
      <c r="AK65" s="215">
        <f t="shared" ref="AK65:AK72" si="83">+CONVERT(AJ65,"m^3","gal")</f>
        <v>3661.4246456839373</v>
      </c>
      <c r="AL65" s="194">
        <v>7.53</v>
      </c>
      <c r="AM65" s="80">
        <f t="shared" si="47"/>
        <v>0.45999999999999996</v>
      </c>
      <c r="AN65" s="17">
        <f t="shared" si="77"/>
        <v>121.51914408474826</v>
      </c>
      <c r="AO65" s="235">
        <f t="shared" si="69"/>
        <v>0</v>
      </c>
      <c r="AP65" s="18"/>
    </row>
    <row r="66" spans="1:42" s="3" customFormat="1">
      <c r="A66" s="15">
        <v>44990</v>
      </c>
      <c r="B66" s="194">
        <v>0</v>
      </c>
      <c r="C66" s="80">
        <f t="shared" si="78"/>
        <v>0</v>
      </c>
      <c r="D66" s="80">
        <f t="shared" si="64"/>
        <v>0</v>
      </c>
      <c r="E66" s="29">
        <v>116.64</v>
      </c>
      <c r="F66" s="80">
        <f t="shared" si="72"/>
        <v>1.4599999999999937</v>
      </c>
      <c r="G66" s="80">
        <f t="shared" si="65"/>
        <v>385.69119644289503</v>
      </c>
      <c r="H66" s="194">
        <v>129.88999999999999</v>
      </c>
      <c r="I66" s="80">
        <f t="shared" si="79"/>
        <v>0</v>
      </c>
      <c r="J66" s="80">
        <f t="shared" si="66"/>
        <v>0</v>
      </c>
      <c r="K66" s="29">
        <v>720.3</v>
      </c>
      <c r="L66" s="80">
        <f t="shared" si="80"/>
        <v>1.2000000000000455</v>
      </c>
      <c r="M66" s="80">
        <f t="shared" si="67"/>
        <v>317.00646282979011</v>
      </c>
      <c r="N66" s="31">
        <v>79.53</v>
      </c>
      <c r="O66" s="80">
        <f t="shared" si="81"/>
        <v>6.769999999999996</v>
      </c>
      <c r="P66" s="80">
        <f t="shared" si="68"/>
        <v>1788.4447944646638</v>
      </c>
      <c r="Q66" s="29">
        <v>0</v>
      </c>
      <c r="R66" s="80">
        <f t="shared" si="53"/>
        <v>0</v>
      </c>
      <c r="S66" s="80">
        <f t="shared" si="70"/>
        <v>0</v>
      </c>
      <c r="T66" s="80"/>
      <c r="U66" s="80">
        <f t="shared" si="57"/>
        <v>0</v>
      </c>
      <c r="V66" s="215">
        <f t="shared" si="5"/>
        <v>0</v>
      </c>
      <c r="W66" s="185"/>
      <c r="X66" s="80"/>
      <c r="Y66" s="80">
        <f t="shared" si="58"/>
        <v>0</v>
      </c>
      <c r="Z66" s="194">
        <v>13.04</v>
      </c>
      <c r="AA66" s="80">
        <f t="shared" si="74"/>
        <v>0.86999999999999922</v>
      </c>
      <c r="AB66" s="80">
        <f t="shared" si="59"/>
        <v>229.82968555158891</v>
      </c>
      <c r="AC66" s="194">
        <v>4.01</v>
      </c>
      <c r="AD66" s="80">
        <f t="shared" si="75"/>
        <v>-4.9999999999999822E-2</v>
      </c>
      <c r="AE66" s="80">
        <f t="shared" si="60"/>
        <v>-13.208602617907374</v>
      </c>
      <c r="AF66" s="194">
        <v>276</v>
      </c>
      <c r="AG66" s="80">
        <f t="shared" si="82"/>
        <v>0.60000000000002274</v>
      </c>
      <c r="AH66" s="80">
        <f t="shared" si="22"/>
        <v>158.50323141489505</v>
      </c>
      <c r="AI66" s="194">
        <v>108.6</v>
      </c>
      <c r="AJ66" s="80">
        <f t="shared" si="46"/>
        <v>10.290000000000006</v>
      </c>
      <c r="AK66" s="80">
        <f t="shared" si="83"/>
        <v>2718.3304187653489</v>
      </c>
      <c r="AL66" s="194">
        <v>6.47</v>
      </c>
      <c r="AM66" s="80">
        <f t="shared" si="47"/>
        <v>1.0600000000000005</v>
      </c>
      <c r="AN66" s="17">
        <f t="shared" si="77"/>
        <v>280.02237549963746</v>
      </c>
      <c r="AO66" s="235">
        <f t="shared" ref="AO66:AO129" si="84">+CONVERT(AP66,"m3","gal")</f>
        <v>0</v>
      </c>
      <c r="AP66" s="18"/>
    </row>
    <row r="67" spans="1:42" s="3" customFormat="1">
      <c r="A67" s="15">
        <v>44991</v>
      </c>
      <c r="B67" s="194">
        <v>0</v>
      </c>
      <c r="C67" s="80">
        <f t="shared" si="78"/>
        <v>0</v>
      </c>
      <c r="D67" s="80">
        <f t="shared" si="64"/>
        <v>0</v>
      </c>
      <c r="E67" s="29">
        <v>118.08</v>
      </c>
      <c r="F67" s="80">
        <f t="shared" si="72"/>
        <v>1.4399999999999977</v>
      </c>
      <c r="G67" s="80">
        <f t="shared" si="65"/>
        <v>380.40775539573315</v>
      </c>
      <c r="H67" s="194">
        <v>129.88999999999999</v>
      </c>
      <c r="I67" s="80">
        <f t="shared" si="79"/>
        <v>0</v>
      </c>
      <c r="J67" s="80">
        <f t="shared" si="66"/>
        <v>0</v>
      </c>
      <c r="K67" s="29">
        <v>719.6</v>
      </c>
      <c r="L67" s="80">
        <f t="shared" si="80"/>
        <v>0.69999999999993179</v>
      </c>
      <c r="M67" s="80">
        <f t="shared" si="67"/>
        <v>184.92043665068587</v>
      </c>
      <c r="N67" s="31">
        <v>72.86</v>
      </c>
      <c r="O67" s="80">
        <f t="shared" si="81"/>
        <v>6.6700000000000017</v>
      </c>
      <c r="P67" s="80">
        <f t="shared" si="68"/>
        <v>1762.0275892288505</v>
      </c>
      <c r="Q67" s="29">
        <v>20.7</v>
      </c>
      <c r="R67" s="80">
        <f>IF(Q67="",0,Q66-Q67)</f>
        <v>-20.7</v>
      </c>
      <c r="S67" s="80">
        <f t="shared" si="70"/>
        <v>-5468.3614838136727</v>
      </c>
      <c r="T67" s="80"/>
      <c r="U67" s="80">
        <f t="shared" ref="U67:U72" si="85">+CONVERT(T67,"gal","l")</f>
        <v>0</v>
      </c>
      <c r="V67" s="215">
        <f t="shared" ref="V67:V130" si="86">+CONVERT(W67,"gal","m3")</f>
        <v>22.712470704000001</v>
      </c>
      <c r="W67" s="185">
        <v>6000</v>
      </c>
      <c r="X67" s="80"/>
      <c r="Y67" s="80">
        <f t="shared" ref="Y67:Y77" si="87">+CONVERT(X67,"gal","m^3")</f>
        <v>0</v>
      </c>
      <c r="Z67" s="194">
        <v>14.3</v>
      </c>
      <c r="AA67" s="80">
        <f t="shared" si="74"/>
        <v>1.2600000000000016</v>
      </c>
      <c r="AB67" s="80">
        <f t="shared" ref="AB67:AB72" si="88">+CONVERT(AA67,"m^3","gal")</f>
        <v>332.85678597126741</v>
      </c>
      <c r="AC67" s="194">
        <v>4.0199999999999996</v>
      </c>
      <c r="AD67" s="80">
        <f t="shared" si="75"/>
        <v>9.9999999999997868E-3</v>
      </c>
      <c r="AE67" s="80">
        <f t="shared" ref="AE67:AE72" si="89">+CONVERT(AD67,"m^3","gal")</f>
        <v>2.6417205235814278</v>
      </c>
      <c r="AF67" s="194">
        <v>276</v>
      </c>
      <c r="AG67" s="80">
        <f t="shared" si="82"/>
        <v>0</v>
      </c>
      <c r="AH67" s="80">
        <f t="shared" si="22"/>
        <v>0</v>
      </c>
      <c r="AI67" s="194">
        <v>89.4</v>
      </c>
      <c r="AJ67" s="80">
        <f t="shared" si="46"/>
        <v>19.199999999999989</v>
      </c>
      <c r="AK67" s="80">
        <f t="shared" si="83"/>
        <v>5072.1034052764471</v>
      </c>
      <c r="AL67" s="194">
        <v>8.89</v>
      </c>
      <c r="AM67" s="80">
        <f t="shared" si="47"/>
        <v>-2.4200000000000008</v>
      </c>
      <c r="AN67" s="17">
        <f t="shared" si="77"/>
        <v>-639.29636670671937</v>
      </c>
      <c r="AO67" s="235">
        <f t="shared" si="84"/>
        <v>0</v>
      </c>
      <c r="AP67" s="18"/>
    </row>
    <row r="68" spans="1:42" s="3" customFormat="1">
      <c r="A68" s="15">
        <v>44992</v>
      </c>
      <c r="B68" s="194">
        <v>0</v>
      </c>
      <c r="C68" s="80">
        <f t="shared" si="78"/>
        <v>0</v>
      </c>
      <c r="D68" s="80">
        <f t="shared" si="64"/>
        <v>0</v>
      </c>
      <c r="E68" s="29">
        <v>119.36</v>
      </c>
      <c r="F68" s="80">
        <f t="shared" si="72"/>
        <v>1.2800000000000011</v>
      </c>
      <c r="G68" s="80">
        <f t="shared" si="65"/>
        <v>338.14022701843027</v>
      </c>
      <c r="H68" s="194">
        <v>129.88999999999999</v>
      </c>
      <c r="I68" s="80">
        <f t="shared" si="79"/>
        <v>0</v>
      </c>
      <c r="J68" s="80">
        <f t="shared" si="66"/>
        <v>0</v>
      </c>
      <c r="K68" s="29">
        <v>718.9</v>
      </c>
      <c r="L68" s="80">
        <f t="shared" si="80"/>
        <v>0.70000000000004547</v>
      </c>
      <c r="M68" s="80">
        <f t="shared" si="67"/>
        <v>184.92043665071591</v>
      </c>
      <c r="N68" s="31">
        <v>100</v>
      </c>
      <c r="O68" s="80">
        <f t="shared" si="81"/>
        <v>-27.14</v>
      </c>
      <c r="P68" s="80">
        <f t="shared" si="68"/>
        <v>-7169.6295010001486</v>
      </c>
      <c r="Q68" s="29">
        <v>20.7</v>
      </c>
      <c r="R68" s="80">
        <f t="shared" si="53"/>
        <v>0</v>
      </c>
      <c r="S68" s="80">
        <f t="shared" si="70"/>
        <v>0</v>
      </c>
      <c r="T68" s="80"/>
      <c r="U68" s="80">
        <f t="shared" si="85"/>
        <v>0</v>
      </c>
      <c r="V68" s="215">
        <f t="shared" si="86"/>
        <v>0</v>
      </c>
      <c r="W68" s="185"/>
      <c r="X68" s="80"/>
      <c r="Y68" s="80">
        <f t="shared" si="87"/>
        <v>0</v>
      </c>
      <c r="Z68" s="194">
        <v>15.44</v>
      </c>
      <c r="AA68" s="80">
        <f t="shared" si="74"/>
        <v>1.1399999999999988</v>
      </c>
      <c r="AB68" s="80">
        <f t="shared" si="88"/>
        <v>301.15613968828887</v>
      </c>
      <c r="AC68" s="194">
        <v>4.0199999999999996</v>
      </c>
      <c r="AD68" s="80">
        <f t="shared" si="75"/>
        <v>0</v>
      </c>
      <c r="AE68" s="80">
        <f t="shared" si="89"/>
        <v>0</v>
      </c>
      <c r="AF68" s="194">
        <v>276</v>
      </c>
      <c r="AG68" s="80">
        <f t="shared" si="82"/>
        <v>0</v>
      </c>
      <c r="AH68" s="80">
        <f t="shared" ref="AH68:AH131" si="90">+CONVERT(AG68,"m^3","gal")</f>
        <v>0</v>
      </c>
      <c r="AI68" s="194">
        <v>146.1</v>
      </c>
      <c r="AJ68" s="80">
        <f t="shared" si="46"/>
        <v>-56.699999999999989</v>
      </c>
      <c r="AK68" s="80">
        <f t="shared" si="83"/>
        <v>-14978.555368707011</v>
      </c>
      <c r="AL68" s="194">
        <v>6.45</v>
      </c>
      <c r="AM68" s="80">
        <f>IF(AL68="",0,AL67-AL68)</f>
        <v>2.4400000000000004</v>
      </c>
      <c r="AN68" s="17">
        <f t="shared" si="77"/>
        <v>644.57980775388228</v>
      </c>
      <c r="AO68" s="235">
        <f t="shared" si="84"/>
        <v>15335.187639390517</v>
      </c>
      <c r="AP68" s="18">
        <v>58.05</v>
      </c>
    </row>
    <row r="69" spans="1:42" s="3" customFormat="1">
      <c r="A69" s="15">
        <v>44993</v>
      </c>
      <c r="B69" s="194">
        <v>0</v>
      </c>
      <c r="C69" s="80">
        <f t="shared" si="78"/>
        <v>0</v>
      </c>
      <c r="D69" s="80">
        <f t="shared" si="64"/>
        <v>0</v>
      </c>
      <c r="E69" s="29">
        <v>121.28</v>
      </c>
      <c r="F69" s="80">
        <f t="shared" si="72"/>
        <v>1.9200000000000017</v>
      </c>
      <c r="G69" s="80">
        <f t="shared" si="65"/>
        <v>507.21034052764543</v>
      </c>
      <c r="H69" s="194">
        <v>129.88999999999999</v>
      </c>
      <c r="I69" s="80">
        <f t="shared" si="79"/>
        <v>0</v>
      </c>
      <c r="J69" s="80">
        <f t="shared" si="66"/>
        <v>0</v>
      </c>
      <c r="K69" s="29">
        <v>717.5</v>
      </c>
      <c r="L69" s="80">
        <f t="shared" si="80"/>
        <v>1.3999999999999773</v>
      </c>
      <c r="M69" s="80">
        <f t="shared" si="67"/>
        <v>369.84087330140181</v>
      </c>
      <c r="N69" s="31">
        <v>93.18</v>
      </c>
      <c r="O69" s="80">
        <f t="shared" si="81"/>
        <v>6.8199999999999932</v>
      </c>
      <c r="P69" s="80">
        <f t="shared" si="68"/>
        <v>1801.6533970825703</v>
      </c>
      <c r="Q69" s="29">
        <v>20.7</v>
      </c>
      <c r="R69" s="80">
        <f t="shared" si="53"/>
        <v>0</v>
      </c>
      <c r="S69" s="80">
        <f t="shared" si="70"/>
        <v>0</v>
      </c>
      <c r="T69" s="80"/>
      <c r="U69" s="80">
        <f t="shared" si="85"/>
        <v>0</v>
      </c>
      <c r="V69" s="215">
        <f t="shared" si="86"/>
        <v>0</v>
      </c>
      <c r="W69" s="185"/>
      <c r="X69" s="80"/>
      <c r="Y69" s="80">
        <f t="shared" si="87"/>
        <v>0</v>
      </c>
      <c r="Z69" s="194">
        <v>16.75</v>
      </c>
      <c r="AA69" s="80">
        <f t="shared" si="74"/>
        <v>1.3100000000000005</v>
      </c>
      <c r="AB69" s="80">
        <f t="shared" si="88"/>
        <v>346.06538858917457</v>
      </c>
      <c r="AC69" s="194">
        <v>4.05</v>
      </c>
      <c r="AD69" s="80">
        <f t="shared" si="75"/>
        <v>3.0000000000000249E-2</v>
      </c>
      <c r="AE69" s="80">
        <f t="shared" si="89"/>
        <v>7.9251615707445184</v>
      </c>
      <c r="AF69" s="194">
        <v>275.85000000000002</v>
      </c>
      <c r="AG69" s="80">
        <f t="shared" si="82"/>
        <v>0.14999999999997726</v>
      </c>
      <c r="AH69" s="80">
        <f t="shared" si="90"/>
        <v>39.62580785371626</v>
      </c>
      <c r="AI69" s="194">
        <v>131.63999999999999</v>
      </c>
      <c r="AJ69" s="80">
        <f t="shared" si="46"/>
        <v>14.460000000000008</v>
      </c>
      <c r="AK69" s="80">
        <f t="shared" si="83"/>
        <v>3819.927877098828</v>
      </c>
      <c r="AL69" s="194">
        <v>4.22</v>
      </c>
      <c r="AM69" s="80">
        <f>IF(AL69="",0,AL68-AL69)</f>
        <v>2.2300000000000004</v>
      </c>
      <c r="AN69" s="17">
        <f>+CONVERT(AM69,"m^3","gal")</f>
        <v>589.1036767586711</v>
      </c>
      <c r="AO69" s="235">
        <f t="shared" si="84"/>
        <v>0</v>
      </c>
      <c r="AP69" s="18"/>
    </row>
    <row r="70" spans="1:42" s="3" customFormat="1">
      <c r="A70" s="15">
        <v>44994</v>
      </c>
      <c r="B70" s="194">
        <v>0</v>
      </c>
      <c r="C70" s="80">
        <f t="shared" si="78"/>
        <v>0</v>
      </c>
      <c r="D70" s="80">
        <f t="shared" si="64"/>
        <v>0</v>
      </c>
      <c r="E70" s="29">
        <v>123.23</v>
      </c>
      <c r="F70" s="80">
        <f t="shared" si="72"/>
        <v>1.9500000000000028</v>
      </c>
      <c r="G70" s="80">
        <f t="shared" si="65"/>
        <v>515.13550209839013</v>
      </c>
      <c r="H70" s="194">
        <v>129.88999999999999</v>
      </c>
      <c r="I70" s="80">
        <f t="shared" si="79"/>
        <v>0</v>
      </c>
      <c r="J70" s="80">
        <f t="shared" si="66"/>
        <v>0</v>
      </c>
      <c r="K70" s="29">
        <v>715.2</v>
      </c>
      <c r="L70" s="80">
        <f t="shared" si="80"/>
        <v>2.2999999999999545</v>
      </c>
      <c r="M70" s="80">
        <f t="shared" si="67"/>
        <v>607.5957204237294</v>
      </c>
      <c r="N70" s="31">
        <v>86.4</v>
      </c>
      <c r="O70" s="80">
        <f t="shared" si="81"/>
        <v>6.7800000000000011</v>
      </c>
      <c r="P70" s="80">
        <f t="shared" si="68"/>
        <v>1791.0865149882466</v>
      </c>
      <c r="Q70" s="29">
        <v>20.68</v>
      </c>
      <c r="R70" s="80">
        <f>IF(Q70="",0,Q69-Q70)</f>
        <v>1.9999999999999574E-2</v>
      </c>
      <c r="S70" s="80">
        <f t="shared" si="70"/>
        <v>5.2834410471628557</v>
      </c>
      <c r="T70" s="80"/>
      <c r="U70" s="80">
        <f t="shared" si="85"/>
        <v>0</v>
      </c>
      <c r="V70" s="215">
        <f t="shared" si="86"/>
        <v>0</v>
      </c>
      <c r="W70" s="185"/>
      <c r="X70" s="80"/>
      <c r="Y70" s="80">
        <f t="shared" si="87"/>
        <v>0</v>
      </c>
      <c r="Z70" s="194">
        <v>18.03</v>
      </c>
      <c r="AA70" s="80">
        <f t="shared" si="74"/>
        <v>1.2800000000000011</v>
      </c>
      <c r="AB70" s="80">
        <f t="shared" si="88"/>
        <v>338.14022701843027</v>
      </c>
      <c r="AC70" s="194">
        <v>3.99</v>
      </c>
      <c r="AD70" s="80">
        <f t="shared" si="75"/>
        <v>-5.9999999999999609E-2</v>
      </c>
      <c r="AE70" s="80">
        <f t="shared" si="89"/>
        <v>-15.850323141488802</v>
      </c>
      <c r="AF70" s="194">
        <v>275.49</v>
      </c>
      <c r="AG70" s="80">
        <f t="shared" si="82"/>
        <v>0.36000000000001364</v>
      </c>
      <c r="AH70" s="80">
        <f t="shared" si="90"/>
        <v>95.101938848937039</v>
      </c>
      <c r="AI70" s="219">
        <v>112.74</v>
      </c>
      <c r="AJ70" s="215">
        <f t="shared" si="46"/>
        <v>18.899999999999991</v>
      </c>
      <c r="AK70" s="215">
        <f t="shared" si="83"/>
        <v>4992.8517895690029</v>
      </c>
      <c r="AL70" s="194">
        <v>7.38</v>
      </c>
      <c r="AM70" s="80">
        <f t="shared" si="47"/>
        <v>-3.16</v>
      </c>
      <c r="AN70" s="17">
        <f t="shared" ref="AN70:AN92" si="91">+CONVERT(AM70,"m^3","gal")</f>
        <v>-834.78368545174897</v>
      </c>
      <c r="AO70" s="235">
        <f t="shared" si="84"/>
        <v>0</v>
      </c>
      <c r="AP70" s="18"/>
    </row>
    <row r="71" spans="1:42" s="3" customFormat="1">
      <c r="A71" s="15">
        <v>44995</v>
      </c>
      <c r="B71" s="194">
        <v>0</v>
      </c>
      <c r="C71" s="80">
        <f t="shared" si="78"/>
        <v>0</v>
      </c>
      <c r="D71" s="80">
        <f t="shared" si="64"/>
        <v>0</v>
      </c>
      <c r="E71" s="29">
        <v>125.02</v>
      </c>
      <c r="F71" s="80">
        <f t="shared" si="72"/>
        <v>1.789999999999992</v>
      </c>
      <c r="G71" s="80">
        <f t="shared" si="65"/>
        <v>472.86797372108356</v>
      </c>
      <c r="H71" s="194">
        <v>129.88999999999999</v>
      </c>
      <c r="I71" s="80">
        <f t="shared" si="79"/>
        <v>0</v>
      </c>
      <c r="J71" s="80">
        <f t="shared" si="66"/>
        <v>0</v>
      </c>
      <c r="K71" s="29">
        <v>713.9</v>
      </c>
      <c r="L71" s="80">
        <f t="shared" si="80"/>
        <v>1.3000000000000682</v>
      </c>
      <c r="M71" s="80">
        <f t="shared" si="67"/>
        <v>343.42366806561097</v>
      </c>
      <c r="N71" s="31">
        <v>79.91</v>
      </c>
      <c r="O71" s="80">
        <f t="shared" si="81"/>
        <v>6.4900000000000091</v>
      </c>
      <c r="P71" s="80">
        <f t="shared" si="68"/>
        <v>1714.4766198043856</v>
      </c>
      <c r="Q71" s="29">
        <v>20.68</v>
      </c>
      <c r="R71" s="80">
        <f>IF(Q71="",0,Q70-Q71)</f>
        <v>0</v>
      </c>
      <c r="S71" s="269">
        <f>+CONVERT(R71,"m^3","gal")</f>
        <v>0</v>
      </c>
      <c r="T71" s="269">
        <f>S71</f>
        <v>0</v>
      </c>
      <c r="U71" s="269">
        <f t="shared" si="85"/>
        <v>0</v>
      </c>
      <c r="V71" s="215">
        <f t="shared" si="86"/>
        <v>0</v>
      </c>
      <c r="W71" s="185"/>
      <c r="X71" s="80"/>
      <c r="Y71" s="80">
        <f t="shared" si="87"/>
        <v>0</v>
      </c>
      <c r="Z71" s="194">
        <v>18.04</v>
      </c>
      <c r="AA71" s="80">
        <f t="shared" si="74"/>
        <v>9.9999999999980105E-3</v>
      </c>
      <c r="AB71" s="80">
        <f t="shared" si="88"/>
        <v>2.6417205235809584</v>
      </c>
      <c r="AC71" s="194">
        <v>5.28</v>
      </c>
      <c r="AD71" s="80">
        <f t="shared" si="75"/>
        <v>1.29</v>
      </c>
      <c r="AE71" s="80">
        <f t="shared" si="89"/>
        <v>340.78194754201149</v>
      </c>
      <c r="AF71" s="194">
        <v>275.25</v>
      </c>
      <c r="AG71" s="80">
        <f t="shared" si="82"/>
        <v>0.24000000000000909</v>
      </c>
      <c r="AH71" s="80">
        <f>+CONVERT(AG71,"m^3","gal")</f>
        <v>63.401292565958023</v>
      </c>
      <c r="AI71" s="194">
        <v>129.03</v>
      </c>
      <c r="AJ71" s="80">
        <f t="shared" si="46"/>
        <v>-16.290000000000006</v>
      </c>
      <c r="AK71" s="80">
        <f t="shared" si="83"/>
        <v>-4303.3627329142391</v>
      </c>
      <c r="AL71" s="194">
        <v>9.3800000000000008</v>
      </c>
      <c r="AM71" s="80">
        <f>IF(AL71="",0,AL70-AL71)</f>
        <v>-2.0000000000000009</v>
      </c>
      <c r="AN71" s="17">
        <f>+CONVERT(AM71,"m^3","gal")</f>
        <v>-528.34410471629712</v>
      </c>
      <c r="AO71" s="235">
        <f>+CONVERT(AP71,"m3","gal")</f>
        <v>9692.4726010204649</v>
      </c>
      <c r="AP71" s="18">
        <v>36.69</v>
      </c>
    </row>
    <row r="72" spans="1:42" s="3" customFormat="1">
      <c r="A72" s="15">
        <v>44996</v>
      </c>
      <c r="B72" s="194">
        <v>0</v>
      </c>
      <c r="C72" s="80">
        <f t="shared" si="78"/>
        <v>0</v>
      </c>
      <c r="D72" s="80">
        <f t="shared" si="64"/>
        <v>0</v>
      </c>
      <c r="E72" s="29">
        <v>126.88</v>
      </c>
      <c r="F72" s="80">
        <f t="shared" si="72"/>
        <v>1.8599999999999994</v>
      </c>
      <c r="G72" s="80">
        <f t="shared" si="65"/>
        <v>491.36001738615596</v>
      </c>
      <c r="H72" s="194">
        <v>129.88999999999999</v>
      </c>
      <c r="I72" s="80">
        <f t="shared" si="79"/>
        <v>0</v>
      </c>
      <c r="J72" s="80">
        <f t="shared" si="66"/>
        <v>0</v>
      </c>
      <c r="K72" s="329">
        <v>712.1</v>
      </c>
      <c r="L72" s="271">
        <f t="shared" si="80"/>
        <v>1.7999999999999545</v>
      </c>
      <c r="M72" s="271">
        <f t="shared" si="67"/>
        <v>475.50969424465512</v>
      </c>
      <c r="N72" s="270">
        <v>73.599999999999994</v>
      </c>
      <c r="O72" s="271">
        <f t="shared" si="81"/>
        <v>6.3100000000000023</v>
      </c>
      <c r="P72" s="271">
        <f t="shared" si="68"/>
        <v>1666.925650379917</v>
      </c>
      <c r="Q72" s="29">
        <v>20.68</v>
      </c>
      <c r="R72" s="80">
        <f t="shared" ref="R72:R86" si="92">IF(Q72="",0,Q71-Q72)</f>
        <v>0</v>
      </c>
      <c r="S72" s="80">
        <f t="shared" ref="S72:S86" si="93">+CONVERT(R72,"m^3","gal")</f>
        <v>0</v>
      </c>
      <c r="T72" s="80"/>
      <c r="U72" s="80">
        <f t="shared" si="85"/>
        <v>0</v>
      </c>
      <c r="V72" s="215">
        <f t="shared" si="86"/>
        <v>0</v>
      </c>
      <c r="W72" s="185"/>
      <c r="X72" s="80"/>
      <c r="Y72" s="80">
        <f t="shared" si="87"/>
        <v>0</v>
      </c>
      <c r="Z72" s="194">
        <v>18.04</v>
      </c>
      <c r="AA72" s="80">
        <f t="shared" si="74"/>
        <v>0</v>
      </c>
      <c r="AB72" s="80">
        <f t="shared" si="88"/>
        <v>0</v>
      </c>
      <c r="AC72" s="194">
        <v>6.55</v>
      </c>
      <c r="AD72" s="80">
        <f t="shared" si="75"/>
        <v>1.2699999999999996</v>
      </c>
      <c r="AE72" s="80">
        <f t="shared" si="89"/>
        <v>335.49850649484836</v>
      </c>
      <c r="AF72" s="194">
        <v>275.27999999999997</v>
      </c>
      <c r="AG72" s="80">
        <f t="shared" si="82"/>
        <v>-2.9999999999972715E-2</v>
      </c>
      <c r="AH72" s="80">
        <f>+CONVERT(AG72,"m^3","gal")</f>
        <v>-7.9251615707372451</v>
      </c>
      <c r="AI72" s="194">
        <v>117.99</v>
      </c>
      <c r="AJ72" s="80">
        <f>IF(AI72="",0,AI71-AI72)</f>
        <v>11.040000000000006</v>
      </c>
      <c r="AK72" s="80">
        <f t="shared" si="83"/>
        <v>2916.4594580339599</v>
      </c>
      <c r="AL72" s="194">
        <v>4.5999999999999996</v>
      </c>
      <c r="AM72" s="80">
        <f>IF(AL72="",0,AL71-AL72)</f>
        <v>4.7800000000000011</v>
      </c>
      <c r="AN72" s="17">
        <f>+CONVERT(AM72,"m^3","gal")</f>
        <v>1262.7424102719497</v>
      </c>
      <c r="AO72" s="235">
        <f>+CONVERT(AP72,"m3","gal")</f>
        <v>0</v>
      </c>
      <c r="AP72" s="18"/>
    </row>
    <row r="73" spans="1:42" s="3" customFormat="1">
      <c r="A73" s="15">
        <v>44997</v>
      </c>
      <c r="B73" s="194">
        <v>0</v>
      </c>
      <c r="C73" s="80">
        <f t="shared" si="78"/>
        <v>0</v>
      </c>
      <c r="D73" s="80">
        <f t="shared" si="64"/>
        <v>0</v>
      </c>
      <c r="E73" s="29">
        <v>128.69</v>
      </c>
      <c r="F73" s="80">
        <f t="shared" si="72"/>
        <v>1.8100000000000023</v>
      </c>
      <c r="G73" s="80">
        <f t="shared" si="65"/>
        <v>478.15141476824925</v>
      </c>
      <c r="H73" s="194">
        <v>129.88999999999999</v>
      </c>
      <c r="I73" s="80">
        <f t="shared" si="79"/>
        <v>0</v>
      </c>
      <c r="J73" s="80">
        <f t="shared" si="66"/>
        <v>0</v>
      </c>
      <c r="K73" s="329">
        <v>710.3</v>
      </c>
      <c r="L73" s="271">
        <f t="shared" si="80"/>
        <v>1.8000000000000682</v>
      </c>
      <c r="M73" s="271">
        <f t="shared" si="67"/>
        <v>475.50969424468519</v>
      </c>
      <c r="N73" s="31">
        <v>67.3</v>
      </c>
      <c r="O73" s="80">
        <f t="shared" si="81"/>
        <v>6.2999999999999972</v>
      </c>
      <c r="P73" s="80">
        <f t="shared" si="68"/>
        <v>1664.2839298563345</v>
      </c>
      <c r="Q73" s="29">
        <v>20.68</v>
      </c>
      <c r="R73" s="80">
        <f t="shared" si="92"/>
        <v>0</v>
      </c>
      <c r="S73" s="80">
        <f t="shared" si="93"/>
        <v>0</v>
      </c>
      <c r="T73" s="80"/>
      <c r="U73" s="80">
        <f t="shared" ref="U73:U130" si="94">+CONVERT(T73,"gal","l")</f>
        <v>0</v>
      </c>
      <c r="V73" s="215">
        <f t="shared" si="86"/>
        <v>0</v>
      </c>
      <c r="W73" s="185"/>
      <c r="X73" s="215"/>
      <c r="Y73" s="215">
        <f t="shared" si="87"/>
        <v>0</v>
      </c>
      <c r="Z73" s="219">
        <v>18.07</v>
      </c>
      <c r="AA73" s="215">
        <f t="shared" si="73"/>
        <v>3.0000000000001137E-2</v>
      </c>
      <c r="AB73" s="215">
        <f t="shared" ref="AB73:AB92" si="95">+CONVERT(AA73,"m^3","gal")</f>
        <v>7.9251615707447529</v>
      </c>
      <c r="AC73" s="219">
        <v>7.77</v>
      </c>
      <c r="AD73" s="215">
        <f t="shared" ref="AD73:AD131" si="96">IF(AC73="",0,AC73-AC72)</f>
        <v>1.2199999999999998</v>
      </c>
      <c r="AE73" s="215">
        <f t="shared" ref="AE73:AE92" si="97">+CONVERT(AD73,"m^3","gal")</f>
        <v>322.28990387694103</v>
      </c>
      <c r="AF73" s="194">
        <v>275.52</v>
      </c>
      <c r="AG73" s="80">
        <f t="shared" si="82"/>
        <v>-0.24000000000000909</v>
      </c>
      <c r="AH73" s="80">
        <f t="shared" si="90"/>
        <v>-63.401292565958023</v>
      </c>
      <c r="AI73" s="194">
        <v>98.1</v>
      </c>
      <c r="AJ73" s="80">
        <f t="shared" si="46"/>
        <v>19.89</v>
      </c>
      <c r="AK73" s="80">
        <f t="shared" ref="AK73:AK92" si="98">+CONVERT(AJ73,"m^3","gal")</f>
        <v>5254.3821214035725</v>
      </c>
      <c r="AL73" s="194">
        <v>7.67</v>
      </c>
      <c r="AM73" s="80">
        <f t="shared" si="47"/>
        <v>-3.0700000000000003</v>
      </c>
      <c r="AN73" s="17">
        <f t="shared" si="91"/>
        <v>-811.00820073951581</v>
      </c>
      <c r="AO73" s="235">
        <f t="shared" si="84"/>
        <v>0</v>
      </c>
      <c r="AP73" s="18"/>
    </row>
    <row r="74" spans="1:42" s="3" customFormat="1">
      <c r="A74" s="15">
        <v>44998</v>
      </c>
      <c r="B74" s="194">
        <v>0</v>
      </c>
      <c r="C74" s="80">
        <f t="shared" si="78"/>
        <v>0</v>
      </c>
      <c r="D74" s="80">
        <f t="shared" ref="D74:D105" si="99">+CONVERT(C74,"m^3","gal")</f>
        <v>0</v>
      </c>
      <c r="E74" s="29">
        <v>130.19</v>
      </c>
      <c r="F74" s="80">
        <f t="shared" si="72"/>
        <v>1.5</v>
      </c>
      <c r="G74" s="80">
        <f t="shared" ref="G74:G105" si="100">+CONVERT(F74,"m^3","gal")</f>
        <v>396.25807853722262</v>
      </c>
      <c r="H74" s="194">
        <v>129.88999999999999</v>
      </c>
      <c r="I74" s="80">
        <f t="shared" si="79"/>
        <v>0</v>
      </c>
      <c r="J74" s="80">
        <f t="shared" ref="J74:J105" si="101">+CONVERT(I74,"m^3","gal")</f>
        <v>0</v>
      </c>
      <c r="K74" s="29">
        <v>709</v>
      </c>
      <c r="L74" s="80">
        <f t="shared" si="80"/>
        <v>1.2999999999999545</v>
      </c>
      <c r="M74" s="80">
        <f t="shared" ref="M74:M105" si="102">+CONVERT(L74,"m^3","gal")</f>
        <v>343.42366806558096</v>
      </c>
      <c r="N74" s="31">
        <v>60.85</v>
      </c>
      <c r="O74" s="80">
        <f t="shared" si="81"/>
        <v>6.4499999999999957</v>
      </c>
      <c r="P74" s="80">
        <f t="shared" ref="P74:P105" si="103">+CONVERT(O74,"m^3","gal")</f>
        <v>1703.9097377100561</v>
      </c>
      <c r="Q74" s="29">
        <v>17.260000000000002</v>
      </c>
      <c r="R74" s="80">
        <f t="shared" si="92"/>
        <v>3.4199999999999982</v>
      </c>
      <c r="S74" s="80">
        <f t="shared" si="93"/>
        <v>903.46841906486713</v>
      </c>
      <c r="T74" s="80"/>
      <c r="U74" s="80">
        <f>+CONVERT(T74,"gal","l")</f>
        <v>0</v>
      </c>
      <c r="V74" s="215">
        <f t="shared" si="86"/>
        <v>0</v>
      </c>
      <c r="W74" s="185"/>
      <c r="X74" s="80"/>
      <c r="Y74" s="80">
        <f t="shared" si="87"/>
        <v>0</v>
      </c>
      <c r="Z74" s="194">
        <v>18.05</v>
      </c>
      <c r="AA74" s="80">
        <f>IF(Z74="",0,Z74-Z73)</f>
        <v>-1.9999999999999574E-2</v>
      </c>
      <c r="AB74" s="80">
        <f>+CONVERT(AA74,"m^3","gal")</f>
        <v>-5.2834410471628557</v>
      </c>
      <c r="AC74" s="194">
        <v>9.1199999999999992</v>
      </c>
      <c r="AD74" s="80">
        <f>IF(AC74="",0,AC74-AC73)</f>
        <v>1.3499999999999996</v>
      </c>
      <c r="AE74" s="80">
        <f>+CONVERT(AD74,"m^3","gal")</f>
        <v>356.63227068350022</v>
      </c>
      <c r="AF74" s="194">
        <v>275.33999999999997</v>
      </c>
      <c r="AG74" s="80">
        <f t="shared" si="82"/>
        <v>0.18000000000000682</v>
      </c>
      <c r="AH74" s="80">
        <f>+CONVERT(AG74,"m^3","gal")</f>
        <v>47.550969424468519</v>
      </c>
      <c r="AI74" s="194">
        <v>114.49</v>
      </c>
      <c r="AJ74" s="80">
        <f>IF(AI74="",0,AI73-AI74)</f>
        <v>-16.39</v>
      </c>
      <c r="AK74" s="80">
        <f>+CONVERT(AJ74,"m^3","gal")</f>
        <v>-4329.7799381500527</v>
      </c>
      <c r="AL74" s="194">
        <v>7.63</v>
      </c>
      <c r="AM74" s="80">
        <f>IF(AL74="",0,AL73-AL74)</f>
        <v>4.0000000000000036E-2</v>
      </c>
      <c r="AN74" s="17">
        <f>+CONVERT(AM74,"m^3","gal")</f>
        <v>10.566882094325946</v>
      </c>
      <c r="AO74" s="235">
        <f>+CONVERT(AP74,"m3","gal")</f>
        <v>7291.1486450848961</v>
      </c>
      <c r="AP74" s="18">
        <v>27.6</v>
      </c>
    </row>
    <row r="75" spans="1:42" s="3" customFormat="1">
      <c r="A75" s="15">
        <v>44999</v>
      </c>
      <c r="B75" s="194">
        <v>0</v>
      </c>
      <c r="C75" s="80">
        <f t="shared" si="78"/>
        <v>0</v>
      </c>
      <c r="D75" s="80">
        <f t="shared" si="99"/>
        <v>0</v>
      </c>
      <c r="E75" s="29">
        <v>131.9</v>
      </c>
      <c r="F75" s="80">
        <f t="shared" si="72"/>
        <v>1.710000000000008</v>
      </c>
      <c r="G75" s="80">
        <f t="shared" si="100"/>
        <v>451.7342095324359</v>
      </c>
      <c r="H75" s="194">
        <v>129.88999999999999</v>
      </c>
      <c r="I75" s="80">
        <f t="shared" si="79"/>
        <v>0</v>
      </c>
      <c r="J75" s="80">
        <f t="shared" si="101"/>
        <v>0</v>
      </c>
      <c r="K75" s="29">
        <v>707.2</v>
      </c>
      <c r="L75" s="80">
        <f t="shared" si="80"/>
        <v>1.7999999999999545</v>
      </c>
      <c r="M75" s="80">
        <f t="shared" si="102"/>
        <v>475.50969424465512</v>
      </c>
      <c r="N75" s="31">
        <v>95.74</v>
      </c>
      <c r="O75" s="80">
        <f t="shared" si="81"/>
        <v>-34.889999999999993</v>
      </c>
      <c r="P75" s="80">
        <f t="shared" si="103"/>
        <v>-9216.962906775796</v>
      </c>
      <c r="Q75" s="29">
        <v>17.25</v>
      </c>
      <c r="R75" s="80">
        <f t="shared" si="92"/>
        <v>1.0000000000001563E-2</v>
      </c>
      <c r="S75" s="80">
        <f t="shared" si="93"/>
        <v>2.6417205235818972</v>
      </c>
      <c r="T75" s="80"/>
      <c r="U75" s="80">
        <f>+CONVERT(T75,"gal","l")</f>
        <v>0</v>
      </c>
      <c r="V75" s="215">
        <f t="shared" si="86"/>
        <v>0</v>
      </c>
      <c r="W75" s="185"/>
      <c r="X75" s="80">
        <v>7302</v>
      </c>
      <c r="Y75" s="80">
        <f t="shared" si="87"/>
        <v>27.641076846767998</v>
      </c>
      <c r="Z75" s="194">
        <v>1.4</v>
      </c>
      <c r="AA75" s="80">
        <f>IF(Z75="",0,Z75-Z74)</f>
        <v>-16.650000000000002</v>
      </c>
      <c r="AB75" s="80">
        <f>+CONVERT(AA75,"m^3","gal")</f>
        <v>-4398.4646717631722</v>
      </c>
      <c r="AC75" s="194">
        <v>1.27</v>
      </c>
      <c r="AD75" s="80">
        <f>IF(AC75="",0,AC75-AC74)</f>
        <v>-7.85</v>
      </c>
      <c r="AE75" s="80">
        <f>+CONVERT(AD75,"m^3","gal")</f>
        <v>-2073.750611011465</v>
      </c>
      <c r="AF75" s="194">
        <v>275.01</v>
      </c>
      <c r="AG75" s="80">
        <f t="shared" si="82"/>
        <v>0.32999999999998408</v>
      </c>
      <c r="AH75" s="80">
        <f>+CONVERT(AG75,"m^3","gal")</f>
        <v>87.176777278184773</v>
      </c>
      <c r="AI75" s="194">
        <v>134.34</v>
      </c>
      <c r="AJ75" s="80">
        <f>IF(AI75="",0,AI74-AI75)</f>
        <v>-19.850000000000009</v>
      </c>
      <c r="AK75" s="80">
        <f>+CONVERT(AJ75,"m^3","gal")</f>
        <v>-5243.8152393092478</v>
      </c>
      <c r="AL75" s="194">
        <v>4.1100000000000003</v>
      </c>
      <c r="AM75" s="80">
        <f t="shared" si="47"/>
        <v>3.5199999999999996</v>
      </c>
      <c r="AN75" s="17">
        <f t="shared" si="91"/>
        <v>929.88562430068237</v>
      </c>
      <c r="AO75" s="235">
        <f t="shared" si="84"/>
        <v>8400.6712649891197</v>
      </c>
      <c r="AP75" s="18">
        <v>31.8</v>
      </c>
    </row>
    <row r="76" spans="1:42" s="3" customFormat="1">
      <c r="A76" s="15">
        <v>45000</v>
      </c>
      <c r="B76" s="194">
        <v>0</v>
      </c>
      <c r="C76" s="80">
        <f t="shared" si="78"/>
        <v>0</v>
      </c>
      <c r="D76" s="80">
        <f t="shared" si="99"/>
        <v>0</v>
      </c>
      <c r="E76" s="29">
        <v>133.68</v>
      </c>
      <c r="F76" s="80">
        <f t="shared" si="72"/>
        <v>1.7800000000000011</v>
      </c>
      <c r="G76" s="80">
        <f t="shared" si="100"/>
        <v>470.22625319750449</v>
      </c>
      <c r="H76" s="194">
        <v>129.88999999999999</v>
      </c>
      <c r="I76" s="80">
        <f t="shared" si="79"/>
        <v>0</v>
      </c>
      <c r="J76" s="80">
        <f t="shared" si="101"/>
        <v>0</v>
      </c>
      <c r="K76" s="29">
        <v>706.2</v>
      </c>
      <c r="L76" s="80">
        <f t="shared" si="80"/>
        <v>1</v>
      </c>
      <c r="M76" s="80">
        <f t="shared" si="102"/>
        <v>264.17205235814845</v>
      </c>
      <c r="N76" s="31">
        <v>89.33</v>
      </c>
      <c r="O76" s="80">
        <f t="shared" si="81"/>
        <v>6.4099999999999966</v>
      </c>
      <c r="P76" s="80">
        <f t="shared" si="103"/>
        <v>1693.3428556157305</v>
      </c>
      <c r="Q76" s="29">
        <v>17.25</v>
      </c>
      <c r="R76" s="80">
        <f t="shared" si="92"/>
        <v>0</v>
      </c>
      <c r="S76" s="80">
        <f t="shared" si="93"/>
        <v>0</v>
      </c>
      <c r="T76" s="80"/>
      <c r="U76" s="80">
        <f>+CONVERT(T76,"gal","l")</f>
        <v>0</v>
      </c>
      <c r="V76" s="215">
        <f t="shared" si="86"/>
        <v>0</v>
      </c>
      <c r="W76" s="185"/>
      <c r="X76" s="80"/>
      <c r="Y76" s="80">
        <f t="shared" si="87"/>
        <v>0</v>
      </c>
      <c r="Z76" s="194">
        <v>1.4</v>
      </c>
      <c r="AA76" s="80">
        <f>IF(Z76="",0,Z76-Z75)</f>
        <v>0</v>
      </c>
      <c r="AB76" s="80">
        <f>+CONVERT(AA76,"m^3","gal")</f>
        <v>0</v>
      </c>
      <c r="AC76" s="194">
        <v>11.24</v>
      </c>
      <c r="AD76" s="80">
        <f>IF(AC76="",0,AC76-AC75)</f>
        <v>9.9700000000000006</v>
      </c>
      <c r="AE76" s="80">
        <f>+CONVERT(AD76,"m^3","gal")</f>
        <v>2633.7953620107396</v>
      </c>
      <c r="AF76" s="194">
        <v>275.01</v>
      </c>
      <c r="AG76" s="80">
        <f t="shared" si="82"/>
        <v>0</v>
      </c>
      <c r="AH76" s="80">
        <f>+CONVERT(AG76,"m^3","gal")</f>
        <v>0</v>
      </c>
      <c r="AI76" s="194">
        <v>135.44999999999999</v>
      </c>
      <c r="AJ76" s="80">
        <f>IF(AI76="",0,AI75-AI76)</f>
        <v>-1.1099999999999852</v>
      </c>
      <c r="AK76" s="80">
        <f>+CONVERT(AJ76,"m^3","gal")</f>
        <v>-293.23097811754087</v>
      </c>
      <c r="AL76" s="194">
        <v>9.5</v>
      </c>
      <c r="AM76" s="80">
        <f t="shared" si="47"/>
        <v>-5.39</v>
      </c>
      <c r="AN76" s="17">
        <f t="shared" si="91"/>
        <v>-1423.88736221042</v>
      </c>
      <c r="AO76" s="235">
        <f t="shared" si="84"/>
        <v>6419.380872303007</v>
      </c>
      <c r="AP76" s="18">
        <v>24.3</v>
      </c>
    </row>
    <row r="77" spans="1:42" s="3" customFormat="1">
      <c r="A77" s="15">
        <v>45001</v>
      </c>
      <c r="B77" s="194">
        <v>0</v>
      </c>
      <c r="C77" s="80">
        <f t="shared" si="78"/>
        <v>0</v>
      </c>
      <c r="D77" s="80">
        <f t="shared" si="99"/>
        <v>0</v>
      </c>
      <c r="E77" s="29">
        <v>135.15</v>
      </c>
      <c r="F77" s="80">
        <f t="shared" ref="F77:F108" si="104">IF(E77="",0,E77-E76)</f>
        <v>1.4699999999999989</v>
      </c>
      <c r="G77" s="80">
        <f t="shared" si="100"/>
        <v>388.33291696647785</v>
      </c>
      <c r="H77" s="194">
        <v>129.88999999999999</v>
      </c>
      <c r="I77" s="80">
        <f t="shared" si="79"/>
        <v>0</v>
      </c>
      <c r="J77" s="80">
        <f t="shared" si="101"/>
        <v>0</v>
      </c>
      <c r="K77" s="29">
        <v>703.9</v>
      </c>
      <c r="L77" s="80">
        <f t="shared" si="80"/>
        <v>2.3000000000000682</v>
      </c>
      <c r="M77" s="80">
        <f t="shared" si="102"/>
        <v>607.59572042375942</v>
      </c>
      <c r="N77" s="31">
        <v>83.53</v>
      </c>
      <c r="O77" s="80">
        <f t="shared" si="81"/>
        <v>5.7999999999999972</v>
      </c>
      <c r="P77" s="80">
        <f t="shared" si="103"/>
        <v>1532.1979036772602</v>
      </c>
      <c r="Q77" s="29">
        <v>17.25</v>
      </c>
      <c r="R77" s="80">
        <f t="shared" si="92"/>
        <v>0</v>
      </c>
      <c r="S77" s="80">
        <f t="shared" si="93"/>
        <v>0</v>
      </c>
      <c r="T77" s="80"/>
      <c r="U77" s="80">
        <f>+CONVERT(T77,"gal","l")</f>
        <v>0</v>
      </c>
      <c r="V77" s="215">
        <f t="shared" si="86"/>
        <v>0</v>
      </c>
      <c r="W77" s="185"/>
      <c r="X77" s="80"/>
      <c r="Y77" s="80">
        <f t="shared" si="87"/>
        <v>0</v>
      </c>
      <c r="Z77" s="194">
        <v>1.4</v>
      </c>
      <c r="AA77" s="80">
        <f>IF(Z77="",0,Z77-Z76)</f>
        <v>0</v>
      </c>
      <c r="AB77" s="80">
        <f>+CONVERT(AA77,"m^3","gal")</f>
        <v>0</v>
      </c>
      <c r="AC77" s="194">
        <v>12.42</v>
      </c>
      <c r="AD77" s="80">
        <f>IF(AC77="",0,AC77-AC76)</f>
        <v>1.1799999999999997</v>
      </c>
      <c r="AE77" s="80">
        <f>+CONVERT(AD77,"m^3","gal")</f>
        <v>311.72302178261509</v>
      </c>
      <c r="AF77" s="194">
        <v>274.74</v>
      </c>
      <c r="AG77" s="80">
        <f t="shared" si="82"/>
        <v>0.26999999999998181</v>
      </c>
      <c r="AH77" s="80">
        <f>+CONVERT(AG77,"m^3","gal")</f>
        <v>71.326454136695276</v>
      </c>
      <c r="AI77" s="194">
        <v>123.57</v>
      </c>
      <c r="AJ77" s="80">
        <f>IF(AI77="",0,AI76-AI77)</f>
        <v>11.879999999999995</v>
      </c>
      <c r="AK77" s="80">
        <f>+CONVERT(AJ77,"m^3","gal")</f>
        <v>3138.3639820148023</v>
      </c>
      <c r="AL77" s="194">
        <v>5.46</v>
      </c>
      <c r="AM77" s="80">
        <f>IF(AL77="",0,AL76-AL77)</f>
        <v>4.04</v>
      </c>
      <c r="AN77" s="17">
        <f>+CONVERT(AM77,"m^3","gal")</f>
        <v>1067.2550915269196</v>
      </c>
      <c r="AO77" s="235">
        <f>+CONVERT(AP77,"m3","gal")</f>
        <v>0</v>
      </c>
      <c r="AP77" s="18"/>
    </row>
    <row r="78" spans="1:42" s="3" customFormat="1">
      <c r="A78" s="15">
        <v>45002</v>
      </c>
      <c r="B78" s="194">
        <v>0</v>
      </c>
      <c r="C78" s="80">
        <f t="shared" si="78"/>
        <v>0</v>
      </c>
      <c r="D78" s="80">
        <f t="shared" si="99"/>
        <v>0</v>
      </c>
      <c r="E78" s="29">
        <v>136.93</v>
      </c>
      <c r="F78" s="80">
        <f t="shared" si="104"/>
        <v>1.7800000000000011</v>
      </c>
      <c r="G78" s="80">
        <f t="shared" si="100"/>
        <v>470.22625319750449</v>
      </c>
      <c r="H78" s="194">
        <v>129.88999999999999</v>
      </c>
      <c r="I78" s="80">
        <f t="shared" si="79"/>
        <v>0</v>
      </c>
      <c r="J78" s="80">
        <f t="shared" si="101"/>
        <v>0</v>
      </c>
      <c r="K78" s="29">
        <v>701.1</v>
      </c>
      <c r="L78" s="80">
        <f t="shared" si="80"/>
        <v>2.7999999999999545</v>
      </c>
      <c r="M78" s="80">
        <f t="shared" si="102"/>
        <v>739.68174660280363</v>
      </c>
      <c r="N78" s="31">
        <v>77.39</v>
      </c>
      <c r="O78" s="80">
        <f t="shared" si="81"/>
        <v>6.1400000000000006</v>
      </c>
      <c r="P78" s="80">
        <f t="shared" si="103"/>
        <v>1622.0164014790316</v>
      </c>
      <c r="Q78" s="29">
        <v>17.25</v>
      </c>
      <c r="R78" s="80">
        <f t="shared" si="92"/>
        <v>0</v>
      </c>
      <c r="S78" s="80">
        <f t="shared" si="93"/>
        <v>0</v>
      </c>
      <c r="T78" s="80"/>
      <c r="U78" s="80">
        <f t="shared" si="94"/>
        <v>0</v>
      </c>
      <c r="V78" s="215">
        <f t="shared" si="86"/>
        <v>0</v>
      </c>
      <c r="W78" s="185"/>
      <c r="X78" s="80"/>
      <c r="Y78" s="80">
        <f t="shared" ref="Y78:Y131" si="105">+CONVERT(X78,"gal","m^3")</f>
        <v>0</v>
      </c>
      <c r="Z78" s="194">
        <v>1.4</v>
      </c>
      <c r="AA78" s="80">
        <f t="shared" si="73"/>
        <v>0</v>
      </c>
      <c r="AB78" s="80">
        <f t="shared" si="95"/>
        <v>0</v>
      </c>
      <c r="AC78" s="194">
        <v>13.1</v>
      </c>
      <c r="AD78" s="80">
        <f t="shared" si="96"/>
        <v>0.67999999999999972</v>
      </c>
      <c r="AE78" s="80">
        <f t="shared" si="97"/>
        <v>179.63699560354087</v>
      </c>
      <c r="AF78" s="194">
        <v>274.74</v>
      </c>
      <c r="AG78" s="80">
        <f t="shared" si="82"/>
        <v>0</v>
      </c>
      <c r="AH78" s="80">
        <f t="shared" si="90"/>
        <v>0</v>
      </c>
      <c r="AI78" s="194">
        <v>147.9</v>
      </c>
      <c r="AJ78" s="80">
        <f t="shared" si="46"/>
        <v>-24.330000000000013</v>
      </c>
      <c r="AK78" s="80">
        <f t="shared" si="98"/>
        <v>-6427.3060338737541</v>
      </c>
      <c r="AL78" s="194">
        <v>6.24</v>
      </c>
      <c r="AM78" s="80">
        <f t="shared" si="47"/>
        <v>-0.78000000000000025</v>
      </c>
      <c r="AN78" s="17">
        <f t="shared" si="91"/>
        <v>-206.05420083935584</v>
      </c>
      <c r="AO78" s="235">
        <f>+CONVERT(AP78,"m3","gal")</f>
        <v>9319.9900071954762</v>
      </c>
      <c r="AP78" s="18">
        <v>35.28</v>
      </c>
    </row>
    <row r="79" spans="1:42" s="3" customFormat="1">
      <c r="A79" s="15">
        <v>45003</v>
      </c>
      <c r="B79" s="194">
        <v>0</v>
      </c>
      <c r="C79" s="80">
        <f t="shared" si="78"/>
        <v>0</v>
      </c>
      <c r="D79" s="80">
        <f t="shared" si="99"/>
        <v>0</v>
      </c>
      <c r="E79" s="29">
        <v>138.05000000000001</v>
      </c>
      <c r="F79" s="80">
        <f t="shared" si="104"/>
        <v>1.1200000000000045</v>
      </c>
      <c r="G79" s="80">
        <f t="shared" si="100"/>
        <v>295.87269864112744</v>
      </c>
      <c r="H79" s="194">
        <v>129.88999999999999</v>
      </c>
      <c r="I79" s="80">
        <f t="shared" si="79"/>
        <v>0</v>
      </c>
      <c r="J79" s="80">
        <f t="shared" si="101"/>
        <v>0</v>
      </c>
      <c r="K79" s="29">
        <v>700.1</v>
      </c>
      <c r="L79" s="80">
        <f t="shared" si="80"/>
        <v>1</v>
      </c>
      <c r="M79" s="80">
        <f t="shared" si="102"/>
        <v>264.17205235814845</v>
      </c>
      <c r="N79" s="31">
        <v>71.53</v>
      </c>
      <c r="O79" s="80">
        <f t="shared" si="81"/>
        <v>5.8599999999999994</v>
      </c>
      <c r="P79" s="80">
        <f t="shared" si="103"/>
        <v>1548.0482268187495</v>
      </c>
      <c r="Q79" s="29">
        <v>17.25</v>
      </c>
      <c r="R79" s="80">
        <f t="shared" si="92"/>
        <v>0</v>
      </c>
      <c r="S79" s="80">
        <f t="shared" si="93"/>
        <v>0</v>
      </c>
      <c r="T79" s="80"/>
      <c r="U79" s="80">
        <f t="shared" si="94"/>
        <v>0</v>
      </c>
      <c r="V79" s="215">
        <f t="shared" si="86"/>
        <v>0</v>
      </c>
      <c r="W79" s="185"/>
      <c r="X79" s="80"/>
      <c r="Y79" s="80">
        <f t="shared" si="105"/>
        <v>0</v>
      </c>
      <c r="Z79" s="194">
        <v>1.4</v>
      </c>
      <c r="AA79" s="80">
        <f t="shared" si="73"/>
        <v>0</v>
      </c>
      <c r="AB79" s="80">
        <f t="shared" si="95"/>
        <v>0</v>
      </c>
      <c r="AC79" s="194">
        <v>14.3</v>
      </c>
      <c r="AD79" s="80">
        <f t="shared" si="96"/>
        <v>1.2000000000000011</v>
      </c>
      <c r="AE79" s="80">
        <f t="shared" si="97"/>
        <v>317.0064628297784</v>
      </c>
      <c r="AF79" s="194">
        <v>275.19</v>
      </c>
      <c r="AG79" s="80">
        <f t="shared" si="82"/>
        <v>-0.44999999999998863</v>
      </c>
      <c r="AH79" s="80">
        <f t="shared" si="90"/>
        <v>-118.87742356116378</v>
      </c>
      <c r="AI79" s="194">
        <v>134.46</v>
      </c>
      <c r="AJ79" s="80">
        <f t="shared" si="46"/>
        <v>13.439999999999998</v>
      </c>
      <c r="AK79" s="80">
        <f t="shared" si="98"/>
        <v>3550.4723836935145</v>
      </c>
      <c r="AL79" s="194">
        <v>2.5499999999999998</v>
      </c>
      <c r="AM79" s="80">
        <f t="shared" si="47"/>
        <v>3.6900000000000004</v>
      </c>
      <c r="AN79" s="17">
        <f t="shared" si="91"/>
        <v>974.79487320156784</v>
      </c>
      <c r="AO79" s="235">
        <f t="shared" si="84"/>
        <v>0</v>
      </c>
      <c r="AP79" s="18"/>
    </row>
    <row r="80" spans="1:42" s="3" customFormat="1">
      <c r="A80" s="15">
        <v>45004</v>
      </c>
      <c r="B80" s="194">
        <v>0</v>
      </c>
      <c r="C80" s="80">
        <f t="shared" si="78"/>
        <v>0</v>
      </c>
      <c r="D80" s="80">
        <f t="shared" si="99"/>
        <v>0</v>
      </c>
      <c r="E80" s="29">
        <v>140.22</v>
      </c>
      <c r="F80" s="80">
        <f t="shared" si="104"/>
        <v>2.1699999999999875</v>
      </c>
      <c r="G80" s="80">
        <f t="shared" si="100"/>
        <v>573.25335361717873</v>
      </c>
      <c r="H80" s="194">
        <v>129.88999999999999</v>
      </c>
      <c r="I80" s="80">
        <f t="shared" si="79"/>
        <v>0</v>
      </c>
      <c r="J80" s="80">
        <f t="shared" si="101"/>
        <v>0</v>
      </c>
      <c r="K80" s="29">
        <v>697.7</v>
      </c>
      <c r="L80" s="80">
        <f t="shared" si="80"/>
        <v>2.3999999999999773</v>
      </c>
      <c r="M80" s="80">
        <f t="shared" si="102"/>
        <v>634.01292565955021</v>
      </c>
      <c r="N80" s="31">
        <v>65.13</v>
      </c>
      <c r="O80" s="80">
        <f t="shared" si="81"/>
        <v>6.4000000000000057</v>
      </c>
      <c r="P80" s="80">
        <f t="shared" si="103"/>
        <v>1690.7011350921514</v>
      </c>
      <c r="Q80" s="29">
        <v>17.25</v>
      </c>
      <c r="R80" s="80">
        <f t="shared" si="92"/>
        <v>0</v>
      </c>
      <c r="S80" s="80">
        <f t="shared" si="93"/>
        <v>0</v>
      </c>
      <c r="T80" s="80"/>
      <c r="U80" s="80">
        <f t="shared" si="94"/>
        <v>0</v>
      </c>
      <c r="V80" s="215">
        <f t="shared" si="86"/>
        <v>0</v>
      </c>
      <c r="W80" s="185"/>
      <c r="X80" s="80"/>
      <c r="Y80" s="80">
        <f t="shared" si="105"/>
        <v>0</v>
      </c>
      <c r="Z80" s="194">
        <v>1.4</v>
      </c>
      <c r="AA80" s="80">
        <f t="shared" si="73"/>
        <v>0</v>
      </c>
      <c r="AB80" s="80">
        <f t="shared" si="95"/>
        <v>0</v>
      </c>
      <c r="AC80" s="194">
        <v>15.58</v>
      </c>
      <c r="AD80" s="80">
        <f t="shared" si="96"/>
        <v>1.2799999999999994</v>
      </c>
      <c r="AE80" s="80">
        <f t="shared" si="97"/>
        <v>338.14022701842981</v>
      </c>
      <c r="AF80" s="194">
        <v>275.07</v>
      </c>
      <c r="AG80" s="80">
        <f t="shared" si="82"/>
        <v>0.12000000000000455</v>
      </c>
      <c r="AH80" s="80">
        <f t="shared" si="90"/>
        <v>31.700646282979012</v>
      </c>
      <c r="AI80" s="194">
        <v>108.84</v>
      </c>
      <c r="AJ80" s="80">
        <f t="shared" si="46"/>
        <v>25.620000000000005</v>
      </c>
      <c r="AK80" s="80">
        <f t="shared" si="98"/>
        <v>6768.0879814157634</v>
      </c>
      <c r="AL80" s="194">
        <v>9.3699999999999992</v>
      </c>
      <c r="AM80" s="80">
        <f t="shared" si="47"/>
        <v>-6.8199999999999994</v>
      </c>
      <c r="AN80" s="17">
        <f t="shared" si="91"/>
        <v>-1801.6533970825719</v>
      </c>
      <c r="AO80" s="235">
        <f t="shared" si="84"/>
        <v>0</v>
      </c>
      <c r="AP80" s="18"/>
    </row>
    <row r="81" spans="1:42" s="3" customFormat="1">
      <c r="A81" s="15">
        <v>45005</v>
      </c>
      <c r="B81" s="194">
        <v>0</v>
      </c>
      <c r="C81" s="80">
        <f t="shared" si="78"/>
        <v>0</v>
      </c>
      <c r="D81" s="80">
        <f t="shared" si="99"/>
        <v>0</v>
      </c>
      <c r="E81" s="29">
        <v>141.38</v>
      </c>
      <c r="F81" s="80">
        <f t="shared" si="104"/>
        <v>1.1599999999999966</v>
      </c>
      <c r="G81" s="80">
        <f t="shared" si="100"/>
        <v>306.43958073545127</v>
      </c>
      <c r="H81" s="194">
        <v>129.88999999999999</v>
      </c>
      <c r="I81" s="80">
        <f t="shared" si="79"/>
        <v>0</v>
      </c>
      <c r="J81" s="80">
        <f t="shared" si="101"/>
        <v>0</v>
      </c>
      <c r="K81" s="29">
        <v>695.9</v>
      </c>
      <c r="L81" s="80">
        <f t="shared" si="80"/>
        <v>1.8000000000000682</v>
      </c>
      <c r="M81" s="80">
        <f t="shared" si="102"/>
        <v>475.50969424468519</v>
      </c>
      <c r="N81" s="31">
        <v>58.5</v>
      </c>
      <c r="O81" s="80">
        <f t="shared" si="81"/>
        <v>6.6299999999999955</v>
      </c>
      <c r="P81" s="80">
        <f t="shared" si="103"/>
        <v>1751.4607071345229</v>
      </c>
      <c r="Q81" s="29">
        <v>17.22</v>
      </c>
      <c r="R81" s="80">
        <f t="shared" si="92"/>
        <v>3.0000000000001137E-2</v>
      </c>
      <c r="S81" s="80">
        <f t="shared" si="93"/>
        <v>7.9251615707447529</v>
      </c>
      <c r="T81" s="80"/>
      <c r="U81" s="80">
        <f t="shared" si="94"/>
        <v>0</v>
      </c>
      <c r="V81" s="215">
        <f t="shared" si="86"/>
        <v>0</v>
      </c>
      <c r="W81" s="185"/>
      <c r="X81" s="80"/>
      <c r="Y81" s="80">
        <f t="shared" si="105"/>
        <v>0</v>
      </c>
      <c r="Z81" s="194">
        <v>1.4</v>
      </c>
      <c r="AA81" s="80">
        <f t="shared" si="73"/>
        <v>0</v>
      </c>
      <c r="AB81" s="80">
        <f t="shared" si="95"/>
        <v>0</v>
      </c>
      <c r="AC81" s="194">
        <v>16.059999999999999</v>
      </c>
      <c r="AD81" s="80">
        <f t="shared" si="96"/>
        <v>0.47999999999999865</v>
      </c>
      <c r="AE81" s="80">
        <f t="shared" si="97"/>
        <v>126.80258513191089</v>
      </c>
      <c r="AF81" s="194">
        <v>274.62</v>
      </c>
      <c r="AG81" s="80">
        <f t="shared" si="82"/>
        <v>0.44999999999998863</v>
      </c>
      <c r="AH81" s="80">
        <f t="shared" si="90"/>
        <v>118.87742356116378</v>
      </c>
      <c r="AI81" s="194">
        <v>96.6</v>
      </c>
      <c r="AJ81" s="80">
        <f t="shared" si="46"/>
        <v>12.240000000000009</v>
      </c>
      <c r="AK81" s="80">
        <f t="shared" si="98"/>
        <v>3233.465920863739</v>
      </c>
      <c r="AL81" s="194">
        <v>8.2100000000000009</v>
      </c>
      <c r="AM81" s="80">
        <f t="shared" si="47"/>
        <v>1.1599999999999984</v>
      </c>
      <c r="AN81" s="17">
        <f t="shared" si="91"/>
        <v>306.43958073545173</v>
      </c>
      <c r="AO81" s="235">
        <f t="shared" si="84"/>
        <v>0</v>
      </c>
      <c r="AP81" s="18"/>
    </row>
    <row r="82" spans="1:42" s="3" customFormat="1">
      <c r="A82" s="15">
        <v>45006</v>
      </c>
      <c r="B82" s="194">
        <v>0</v>
      </c>
      <c r="C82" s="80">
        <f t="shared" si="78"/>
        <v>0</v>
      </c>
      <c r="D82" s="80">
        <f t="shared" si="99"/>
        <v>0</v>
      </c>
      <c r="E82" s="29">
        <v>13.6</v>
      </c>
      <c r="F82" s="80">
        <f t="shared" si="104"/>
        <v>-127.78</v>
      </c>
      <c r="G82" s="80">
        <f t="shared" si="100"/>
        <v>-33755.904850324208</v>
      </c>
      <c r="H82" s="194">
        <v>255.04</v>
      </c>
      <c r="I82" s="80">
        <f t="shared" si="79"/>
        <v>-125.15</v>
      </c>
      <c r="J82" s="80">
        <f t="shared" si="101"/>
        <v>-33061.132352622277</v>
      </c>
      <c r="K82" s="29">
        <v>694.7</v>
      </c>
      <c r="L82" s="80">
        <f t="shared" si="80"/>
        <v>1.1999999999999318</v>
      </c>
      <c r="M82" s="80">
        <f t="shared" si="102"/>
        <v>317.0064628297601</v>
      </c>
      <c r="N82" s="31">
        <v>93.4</v>
      </c>
      <c r="O82" s="80">
        <f t="shared" si="81"/>
        <v>-34.900000000000006</v>
      </c>
      <c r="P82" s="80">
        <f t="shared" si="103"/>
        <v>-9219.6046272993826</v>
      </c>
      <c r="Q82" s="29">
        <v>17.21</v>
      </c>
      <c r="R82" s="80">
        <f t="shared" si="92"/>
        <v>9.9999999999980105E-3</v>
      </c>
      <c r="S82" s="80">
        <f t="shared" si="93"/>
        <v>2.6417205235809584</v>
      </c>
      <c r="T82" s="80"/>
      <c r="U82" s="80">
        <f t="shared" si="94"/>
        <v>0</v>
      </c>
      <c r="V82" s="215">
        <f t="shared" si="86"/>
        <v>0</v>
      </c>
      <c r="W82" s="185"/>
      <c r="X82" s="80"/>
      <c r="Y82" s="80">
        <f t="shared" si="105"/>
        <v>0</v>
      </c>
      <c r="Z82" s="194">
        <v>6.17</v>
      </c>
      <c r="AA82" s="80">
        <f t="shared" si="73"/>
        <v>4.7699999999999996</v>
      </c>
      <c r="AB82" s="80">
        <f t="shared" si="95"/>
        <v>1260.100689748368</v>
      </c>
      <c r="AC82" s="194">
        <v>16.239999999999998</v>
      </c>
      <c r="AD82" s="80">
        <f t="shared" si="96"/>
        <v>0.17999999999999972</v>
      </c>
      <c r="AE82" s="80">
        <f t="shared" si="97"/>
        <v>47.550969424466643</v>
      </c>
      <c r="AF82" s="194">
        <v>274.8</v>
      </c>
      <c r="AG82" s="80">
        <f t="shared" si="82"/>
        <v>-0.18000000000000682</v>
      </c>
      <c r="AH82" s="80">
        <f t="shared" si="90"/>
        <v>-47.550969424468519</v>
      </c>
      <c r="AI82" s="194">
        <v>87.63</v>
      </c>
      <c r="AJ82" s="80">
        <f t="shared" si="46"/>
        <v>8.9699999999999989</v>
      </c>
      <c r="AK82" s="80">
        <f t="shared" si="98"/>
        <v>2369.6233096525907</v>
      </c>
      <c r="AL82" s="194">
        <v>6.16</v>
      </c>
      <c r="AM82" s="80">
        <f t="shared" si="47"/>
        <v>2.0500000000000007</v>
      </c>
      <c r="AN82" s="17">
        <f t="shared" si="91"/>
        <v>541.55270733420446</v>
      </c>
      <c r="AO82" s="235">
        <f t="shared" si="84"/>
        <v>0</v>
      </c>
      <c r="AP82" s="18"/>
    </row>
    <row r="83" spans="1:42" s="3" customFormat="1">
      <c r="A83" s="15">
        <v>45007</v>
      </c>
      <c r="B83" s="194">
        <v>0</v>
      </c>
      <c r="C83" s="80">
        <f t="shared" si="78"/>
        <v>0</v>
      </c>
      <c r="D83" s="80">
        <f t="shared" si="99"/>
        <v>0</v>
      </c>
      <c r="E83" s="29">
        <v>14.75</v>
      </c>
      <c r="F83" s="80">
        <f t="shared" si="104"/>
        <v>1.1500000000000004</v>
      </c>
      <c r="G83" s="80">
        <f t="shared" si="100"/>
        <v>303.79786021187078</v>
      </c>
      <c r="H83" s="194">
        <v>255.04</v>
      </c>
      <c r="I83" s="80">
        <f t="shared" si="79"/>
        <v>0</v>
      </c>
      <c r="J83" s="80">
        <f t="shared" si="101"/>
        <v>0</v>
      </c>
      <c r="K83" s="29">
        <v>691.5</v>
      </c>
      <c r="L83" s="80">
        <f t="shared" si="80"/>
        <v>3.2000000000000455</v>
      </c>
      <c r="M83" s="80">
        <f t="shared" si="102"/>
        <v>845.35056754608695</v>
      </c>
      <c r="N83" s="31">
        <v>87.15</v>
      </c>
      <c r="O83" s="80">
        <f t="shared" si="81"/>
        <v>6.25</v>
      </c>
      <c r="P83" s="80">
        <f t="shared" si="103"/>
        <v>1651.0753272384277</v>
      </c>
      <c r="Q83" s="29">
        <v>17.12</v>
      </c>
      <c r="R83" s="80">
        <f t="shared" si="92"/>
        <v>8.9999999999999858E-2</v>
      </c>
      <c r="S83" s="80">
        <f t="shared" si="93"/>
        <v>23.775484712233322</v>
      </c>
      <c r="T83" s="80"/>
      <c r="U83" s="80">
        <f t="shared" si="94"/>
        <v>0</v>
      </c>
      <c r="V83" s="215">
        <f t="shared" si="86"/>
        <v>0</v>
      </c>
      <c r="W83" s="185"/>
      <c r="X83" s="80"/>
      <c r="Y83" s="80">
        <f t="shared" si="105"/>
        <v>0</v>
      </c>
      <c r="Z83" s="194">
        <v>7.89</v>
      </c>
      <c r="AA83" s="80">
        <f t="shared" si="73"/>
        <v>1.7199999999999998</v>
      </c>
      <c r="AB83" s="80">
        <f t="shared" si="95"/>
        <v>454.37593005601525</v>
      </c>
      <c r="AC83" s="194">
        <v>16.329999999999998</v>
      </c>
      <c r="AD83" s="80">
        <f t="shared" si="96"/>
        <v>8.9999999999999858E-2</v>
      </c>
      <c r="AE83" s="80">
        <f t="shared" si="97"/>
        <v>23.775484712233322</v>
      </c>
      <c r="AF83" s="194">
        <v>271.08</v>
      </c>
      <c r="AG83" s="80">
        <f t="shared" si="82"/>
        <v>3.7200000000000273</v>
      </c>
      <c r="AH83" s="80">
        <f t="shared" si="90"/>
        <v>982.72003477231931</v>
      </c>
      <c r="AI83" s="194">
        <v>84.6</v>
      </c>
      <c r="AJ83" s="80">
        <f t="shared" si="46"/>
        <v>3.0300000000000011</v>
      </c>
      <c r="AK83" s="80">
        <f t="shared" si="98"/>
        <v>800.44131864518999</v>
      </c>
      <c r="AL83" s="194">
        <v>5.54</v>
      </c>
      <c r="AM83" s="80">
        <f t="shared" si="47"/>
        <v>0.62000000000000011</v>
      </c>
      <c r="AN83" s="17">
        <f t="shared" si="91"/>
        <v>163.78667246205205</v>
      </c>
      <c r="AO83" s="235">
        <f t="shared" si="84"/>
        <v>3407.8194754201145</v>
      </c>
      <c r="AP83" s="18">
        <v>12.9</v>
      </c>
    </row>
    <row r="84" spans="1:42" s="3" customFormat="1">
      <c r="A84" s="15">
        <v>45008</v>
      </c>
      <c r="B84" s="194">
        <v>0</v>
      </c>
      <c r="C84" s="80">
        <f t="shared" si="78"/>
        <v>0</v>
      </c>
      <c r="D84" s="80">
        <f t="shared" si="99"/>
        <v>0</v>
      </c>
      <c r="E84" s="29">
        <v>16.64</v>
      </c>
      <c r="F84" s="80">
        <f t="shared" si="104"/>
        <v>1.8900000000000006</v>
      </c>
      <c r="G84" s="80">
        <f t="shared" si="100"/>
        <v>499.28517895690067</v>
      </c>
      <c r="H84" s="194">
        <v>255.04</v>
      </c>
      <c r="I84" s="80">
        <f t="shared" si="79"/>
        <v>0</v>
      </c>
      <c r="J84" s="80">
        <f t="shared" si="101"/>
        <v>0</v>
      </c>
      <c r="K84" s="29">
        <v>730.2</v>
      </c>
      <c r="L84" s="80">
        <f t="shared" si="80"/>
        <v>-38.700000000000045</v>
      </c>
      <c r="M84" s="80">
        <f t="shared" si="102"/>
        <v>-10223.458426260355</v>
      </c>
      <c r="N84" s="31">
        <v>81.09</v>
      </c>
      <c r="O84" s="80">
        <f t="shared" si="81"/>
        <v>6.0600000000000023</v>
      </c>
      <c r="P84" s="80">
        <f t="shared" si="103"/>
        <v>1600.88263729038</v>
      </c>
      <c r="Q84" s="29">
        <v>17.16</v>
      </c>
      <c r="R84" s="80">
        <f t="shared" si="92"/>
        <v>-3.9999999999999147E-2</v>
      </c>
      <c r="S84" s="80">
        <f t="shared" si="93"/>
        <v>-10.566882094325711</v>
      </c>
      <c r="T84" s="80"/>
      <c r="U84" s="80">
        <f t="shared" si="94"/>
        <v>0</v>
      </c>
      <c r="V84" s="215">
        <f t="shared" si="86"/>
        <v>0</v>
      </c>
      <c r="W84" s="185"/>
      <c r="X84" s="80"/>
      <c r="Y84" s="80">
        <f t="shared" si="105"/>
        <v>0</v>
      </c>
      <c r="Z84" s="194">
        <v>7.92</v>
      </c>
      <c r="AA84" s="80">
        <f t="shared" si="73"/>
        <v>3.0000000000000249E-2</v>
      </c>
      <c r="AB84" s="80">
        <f t="shared" si="95"/>
        <v>7.9251615707445184</v>
      </c>
      <c r="AC84" s="194">
        <v>16.260000000000002</v>
      </c>
      <c r="AD84" s="80">
        <f t="shared" si="96"/>
        <v>-6.9999999999996732E-2</v>
      </c>
      <c r="AE84" s="80">
        <f t="shared" si="97"/>
        <v>-18.492043665069527</v>
      </c>
      <c r="AF84" s="194">
        <v>260.10000000000002</v>
      </c>
      <c r="AG84" s="80">
        <f t="shared" si="82"/>
        <v>10.979999999999961</v>
      </c>
      <c r="AH84" s="80">
        <f t="shared" si="90"/>
        <v>2900.6091348924597</v>
      </c>
      <c r="AI84" s="194">
        <v>104.7</v>
      </c>
      <c r="AJ84" s="80">
        <f t="shared" si="46"/>
        <v>-20.100000000000009</v>
      </c>
      <c r="AK84" s="80">
        <f t="shared" si="98"/>
        <v>-5309.8582523987852</v>
      </c>
      <c r="AL84" s="194">
        <v>8.0399999999999991</v>
      </c>
      <c r="AM84" s="80">
        <f t="shared" si="47"/>
        <v>-2.4999999999999991</v>
      </c>
      <c r="AN84" s="17">
        <f t="shared" si="91"/>
        <v>-660.43013089537078</v>
      </c>
      <c r="AO84" s="235">
        <f t="shared" si="84"/>
        <v>8242.1680335742312</v>
      </c>
      <c r="AP84" s="18">
        <v>31.2</v>
      </c>
    </row>
    <row r="85" spans="1:42" s="3" customFormat="1">
      <c r="A85" s="15">
        <v>45009</v>
      </c>
      <c r="B85" s="194">
        <v>0</v>
      </c>
      <c r="C85" s="80">
        <f t="shared" si="78"/>
        <v>0</v>
      </c>
      <c r="D85" s="80">
        <f t="shared" si="99"/>
        <v>0</v>
      </c>
      <c r="E85" s="29">
        <v>17.760000000000002</v>
      </c>
      <c r="F85" s="80">
        <f t="shared" si="104"/>
        <v>1.120000000000001</v>
      </c>
      <c r="G85" s="80">
        <f t="shared" si="100"/>
        <v>295.87269864112648</v>
      </c>
      <c r="H85" s="194">
        <v>255.04</v>
      </c>
      <c r="I85" s="80">
        <f t="shared" si="79"/>
        <v>0</v>
      </c>
      <c r="J85" s="80">
        <f t="shared" si="101"/>
        <v>0</v>
      </c>
      <c r="K85" s="29">
        <v>728.9</v>
      </c>
      <c r="L85" s="80">
        <f t="shared" si="80"/>
        <v>1.3000000000000682</v>
      </c>
      <c r="M85" s="80">
        <f t="shared" si="102"/>
        <v>343.42366806561097</v>
      </c>
      <c r="N85" s="31">
        <v>74.73</v>
      </c>
      <c r="O85" s="80">
        <f t="shared" si="81"/>
        <v>6.3599999999999994</v>
      </c>
      <c r="P85" s="80">
        <f t="shared" si="103"/>
        <v>1680.1342529978238</v>
      </c>
      <c r="Q85" s="29">
        <v>17.190000000000001</v>
      </c>
      <c r="R85" s="80">
        <f t="shared" si="92"/>
        <v>-3.0000000000001137E-2</v>
      </c>
      <c r="S85" s="80">
        <f t="shared" si="93"/>
        <v>-7.9251615707447529</v>
      </c>
      <c r="T85" s="80"/>
      <c r="U85" s="80">
        <f t="shared" si="94"/>
        <v>0</v>
      </c>
      <c r="V85" s="215">
        <f t="shared" si="86"/>
        <v>0</v>
      </c>
      <c r="W85" s="185"/>
      <c r="X85" s="80"/>
      <c r="Y85" s="80">
        <f t="shared" si="105"/>
        <v>0</v>
      </c>
      <c r="Z85" s="194">
        <v>7.96</v>
      </c>
      <c r="AA85" s="80">
        <f t="shared" si="73"/>
        <v>4.0000000000000036E-2</v>
      </c>
      <c r="AB85" s="80">
        <f t="shared" si="95"/>
        <v>10.566882094325946</v>
      </c>
      <c r="AC85" s="194">
        <v>16.260000000000002</v>
      </c>
      <c r="AD85" s="80">
        <f t="shared" si="96"/>
        <v>0</v>
      </c>
      <c r="AE85" s="80">
        <f t="shared" si="97"/>
        <v>0</v>
      </c>
      <c r="AF85" s="194">
        <v>260.39999999999998</v>
      </c>
      <c r="AG85" s="80">
        <f t="shared" si="82"/>
        <v>-0.29999999999995453</v>
      </c>
      <c r="AH85" s="80">
        <f t="shared" si="90"/>
        <v>-79.251615707432521</v>
      </c>
      <c r="AI85" s="219">
        <v>109.5</v>
      </c>
      <c r="AJ85" s="215">
        <f t="shared" si="46"/>
        <v>-4.7999999999999972</v>
      </c>
      <c r="AK85" s="215">
        <f t="shared" si="98"/>
        <v>-1268.0258513191118</v>
      </c>
      <c r="AL85" s="194">
        <v>4.18</v>
      </c>
      <c r="AM85" s="80">
        <f t="shared" si="47"/>
        <v>3.8599999999999994</v>
      </c>
      <c r="AN85" s="17">
        <f t="shared" si="91"/>
        <v>1019.7041221024527</v>
      </c>
      <c r="AO85" s="235">
        <f t="shared" si="84"/>
        <v>3407.8194754201145</v>
      </c>
      <c r="AP85" s="18">
        <v>12.9</v>
      </c>
    </row>
    <row r="86" spans="1:42" s="3" customFormat="1">
      <c r="A86" s="15">
        <v>45010</v>
      </c>
      <c r="B86" s="194">
        <v>0</v>
      </c>
      <c r="C86" s="80">
        <f t="shared" si="78"/>
        <v>0</v>
      </c>
      <c r="D86" s="80">
        <f t="shared" si="99"/>
        <v>0</v>
      </c>
      <c r="E86" s="29">
        <v>19.04</v>
      </c>
      <c r="F86" s="80">
        <f t="shared" si="104"/>
        <v>1.2799999999999976</v>
      </c>
      <c r="G86" s="80">
        <f t="shared" si="100"/>
        <v>338.1402270184293</v>
      </c>
      <c r="H86" s="194">
        <v>255.04</v>
      </c>
      <c r="I86" s="80">
        <f t="shared" si="79"/>
        <v>0</v>
      </c>
      <c r="J86" s="80">
        <f t="shared" si="101"/>
        <v>0</v>
      </c>
      <c r="K86" s="29">
        <v>727.7</v>
      </c>
      <c r="L86" s="80">
        <f t="shared" si="80"/>
        <v>1.1999999999999318</v>
      </c>
      <c r="M86" s="80">
        <f t="shared" si="102"/>
        <v>317.0064628297601</v>
      </c>
      <c r="N86" s="31">
        <v>68.86</v>
      </c>
      <c r="O86" s="80">
        <f t="shared" si="81"/>
        <v>5.8700000000000045</v>
      </c>
      <c r="P86" s="80">
        <f t="shared" si="103"/>
        <v>1550.6899473423325</v>
      </c>
      <c r="Q86" s="29">
        <v>17.16</v>
      </c>
      <c r="R86" s="80">
        <f t="shared" si="92"/>
        <v>3.0000000000001137E-2</v>
      </c>
      <c r="S86" s="80">
        <f t="shared" si="93"/>
        <v>7.9251615707447529</v>
      </c>
      <c r="T86" s="80"/>
      <c r="U86" s="80">
        <f t="shared" si="94"/>
        <v>0</v>
      </c>
      <c r="V86" s="215">
        <f t="shared" si="86"/>
        <v>0</v>
      </c>
      <c r="W86" s="185"/>
      <c r="X86" s="80"/>
      <c r="Y86" s="80">
        <f t="shared" si="105"/>
        <v>0</v>
      </c>
      <c r="Z86" s="194">
        <v>13.02</v>
      </c>
      <c r="AA86" s="80">
        <f t="shared" si="73"/>
        <v>5.0599999999999996</v>
      </c>
      <c r="AB86" s="80">
        <f t="shared" si="95"/>
        <v>1336.7105849322311</v>
      </c>
      <c r="AC86" s="194">
        <v>16.3</v>
      </c>
      <c r="AD86" s="80">
        <f t="shared" si="96"/>
        <v>3.9999999999999147E-2</v>
      </c>
      <c r="AE86" s="80">
        <f t="shared" si="97"/>
        <v>10.566882094325711</v>
      </c>
      <c r="AF86" s="194">
        <v>259.8</v>
      </c>
      <c r="AG86" s="80">
        <f t="shared" si="82"/>
        <v>0.59999999999996589</v>
      </c>
      <c r="AH86" s="80">
        <f t="shared" si="90"/>
        <v>158.50323141488005</v>
      </c>
      <c r="AI86" s="219">
        <v>73.5</v>
      </c>
      <c r="AJ86" s="215">
        <f t="shared" si="46"/>
        <v>36</v>
      </c>
      <c r="AK86" s="215">
        <f t="shared" si="98"/>
        <v>9510.1938848933423</v>
      </c>
      <c r="AL86" s="194">
        <v>7.01</v>
      </c>
      <c r="AM86" s="80">
        <f t="shared" si="47"/>
        <v>-2.83</v>
      </c>
      <c r="AN86" s="17">
        <f t="shared" si="91"/>
        <v>-747.60690817355999</v>
      </c>
      <c r="AO86" s="235">
        <f t="shared" si="84"/>
        <v>0</v>
      </c>
      <c r="AP86" s="18"/>
    </row>
    <row r="87" spans="1:42" s="3" customFormat="1">
      <c r="A87" s="15">
        <v>45011</v>
      </c>
      <c r="B87" s="194">
        <v>0</v>
      </c>
      <c r="C87" s="80">
        <f t="shared" si="78"/>
        <v>0</v>
      </c>
      <c r="D87" s="80">
        <f t="shared" si="99"/>
        <v>0</v>
      </c>
      <c r="E87" s="29">
        <v>20</v>
      </c>
      <c r="F87" s="80">
        <f t="shared" si="104"/>
        <v>0.96000000000000085</v>
      </c>
      <c r="G87" s="80">
        <f t="shared" si="100"/>
        <v>253.60517026382271</v>
      </c>
      <c r="H87" s="194">
        <v>255.04</v>
      </c>
      <c r="I87" s="80">
        <f t="shared" si="79"/>
        <v>0</v>
      </c>
      <c r="J87" s="80">
        <f t="shared" si="101"/>
        <v>0</v>
      </c>
      <c r="K87" s="29">
        <v>725.3</v>
      </c>
      <c r="L87" s="80">
        <f t="shared" si="80"/>
        <v>2.4000000000000909</v>
      </c>
      <c r="M87" s="80">
        <f t="shared" si="102"/>
        <v>634.01292565958022</v>
      </c>
      <c r="N87" s="31">
        <v>63.82</v>
      </c>
      <c r="O87" s="80">
        <f t="shared" si="81"/>
        <v>5.0399999999999991</v>
      </c>
      <c r="P87" s="80">
        <f t="shared" si="103"/>
        <v>1331.4271438850678</v>
      </c>
      <c r="Q87" s="29">
        <v>8.9499999999999993</v>
      </c>
      <c r="R87" s="80">
        <f t="shared" ref="R87:R114" si="106">IF(Q87="",0,Q86-Q87)</f>
        <v>8.2100000000000009</v>
      </c>
      <c r="S87" s="80">
        <f t="shared" ref="S87:S118" si="107">+CONVERT(R87,"m^3","gal")</f>
        <v>2168.8525498603985</v>
      </c>
      <c r="T87" s="80"/>
      <c r="U87" s="80">
        <f t="shared" si="94"/>
        <v>0</v>
      </c>
      <c r="V87" s="215">
        <f t="shared" si="86"/>
        <v>0</v>
      </c>
      <c r="W87" s="185"/>
      <c r="X87" s="80"/>
      <c r="Y87" s="80">
        <f t="shared" si="105"/>
        <v>0</v>
      </c>
      <c r="Z87" s="194">
        <v>15.96</v>
      </c>
      <c r="AA87" s="80">
        <f t="shared" si="73"/>
        <v>2.9400000000000013</v>
      </c>
      <c r="AB87" s="80">
        <f t="shared" si="95"/>
        <v>776.66583393295673</v>
      </c>
      <c r="AC87" s="194">
        <v>16.27</v>
      </c>
      <c r="AD87" s="80">
        <f t="shared" si="96"/>
        <v>-3.0000000000001137E-2</v>
      </c>
      <c r="AE87" s="80">
        <f t="shared" si="97"/>
        <v>-7.9251615707447529</v>
      </c>
      <c r="AF87" s="194">
        <v>260.33999999999997</v>
      </c>
      <c r="AG87" s="80">
        <f t="shared" si="82"/>
        <v>-0.53999999999996362</v>
      </c>
      <c r="AH87" s="80">
        <f t="shared" si="90"/>
        <v>-142.65290827339055</v>
      </c>
      <c r="AI87" s="219">
        <v>61.02</v>
      </c>
      <c r="AJ87" s="215">
        <f t="shared" si="46"/>
        <v>12.479999999999997</v>
      </c>
      <c r="AK87" s="215">
        <f t="shared" si="98"/>
        <v>3296.8672134296912</v>
      </c>
      <c r="AL87" s="194">
        <v>8.64</v>
      </c>
      <c r="AM87" s="80">
        <f t="shared" si="47"/>
        <v>-1.6300000000000008</v>
      </c>
      <c r="AN87" s="17">
        <f t="shared" si="91"/>
        <v>-430.6004453437821</v>
      </c>
      <c r="AO87" s="235">
        <f t="shared" si="84"/>
        <v>0</v>
      </c>
      <c r="AP87" s="18"/>
    </row>
    <row r="88" spans="1:42" s="3" customFormat="1">
      <c r="A88" s="15">
        <v>45012</v>
      </c>
      <c r="B88" s="194">
        <v>0</v>
      </c>
      <c r="C88" s="80">
        <f t="shared" si="78"/>
        <v>0</v>
      </c>
      <c r="D88" s="80">
        <f t="shared" si="99"/>
        <v>0</v>
      </c>
      <c r="E88" s="29">
        <v>20.88</v>
      </c>
      <c r="F88" s="80">
        <f t="shared" si="104"/>
        <v>0.87999999999999901</v>
      </c>
      <c r="G88" s="80">
        <f t="shared" si="100"/>
        <v>232.47140607517034</v>
      </c>
      <c r="H88" s="194">
        <v>255.04</v>
      </c>
      <c r="I88" s="80">
        <f t="shared" si="79"/>
        <v>0</v>
      </c>
      <c r="J88" s="80">
        <f t="shared" si="101"/>
        <v>0</v>
      </c>
      <c r="K88" s="29">
        <v>723.2</v>
      </c>
      <c r="L88" s="80">
        <f t="shared" si="80"/>
        <v>2.0999999999999091</v>
      </c>
      <c r="M88" s="80">
        <f t="shared" si="102"/>
        <v>554.76130995208769</v>
      </c>
      <c r="N88" s="31">
        <v>99.93</v>
      </c>
      <c r="O88" s="80">
        <f t="shared" si="81"/>
        <v>-36.110000000000007</v>
      </c>
      <c r="P88" s="80">
        <f t="shared" si="103"/>
        <v>-9539.2528106527407</v>
      </c>
      <c r="Q88" s="29">
        <v>8.94</v>
      </c>
      <c r="R88" s="80">
        <f t="shared" si="106"/>
        <v>9.9999999999997868E-3</v>
      </c>
      <c r="S88" s="80">
        <f t="shared" si="107"/>
        <v>2.6417205235814278</v>
      </c>
      <c r="T88" s="80"/>
      <c r="U88" s="80">
        <f t="shared" si="94"/>
        <v>0</v>
      </c>
      <c r="V88" s="215">
        <f t="shared" si="86"/>
        <v>0</v>
      </c>
      <c r="W88" s="185"/>
      <c r="X88" s="80"/>
      <c r="Y88" s="80">
        <f t="shared" si="105"/>
        <v>0</v>
      </c>
      <c r="Z88" s="194">
        <v>15.95</v>
      </c>
      <c r="AA88" s="80">
        <f t="shared" si="73"/>
        <v>-1.0000000000001563E-2</v>
      </c>
      <c r="AB88" s="80">
        <f t="shared" si="95"/>
        <v>-2.6417205235818972</v>
      </c>
      <c r="AC88" s="194">
        <v>16.260000000000002</v>
      </c>
      <c r="AD88" s="80">
        <f t="shared" si="96"/>
        <v>-9.9999999999980105E-3</v>
      </c>
      <c r="AE88" s="80">
        <f t="shared" si="97"/>
        <v>-2.6417205235809584</v>
      </c>
      <c r="AF88" s="194">
        <v>260.13</v>
      </c>
      <c r="AG88" s="80">
        <f t="shared" si="82"/>
        <v>0.20999999999997954</v>
      </c>
      <c r="AH88" s="80">
        <f t="shared" si="90"/>
        <v>55.476130995205764</v>
      </c>
      <c r="AI88" s="194">
        <v>72.510000000000005</v>
      </c>
      <c r="AJ88" s="80">
        <f t="shared" si="46"/>
        <v>-11.490000000000002</v>
      </c>
      <c r="AK88" s="80">
        <f t="shared" si="98"/>
        <v>-3035.3368815951258</v>
      </c>
      <c r="AL88" s="194">
        <v>7.08</v>
      </c>
      <c r="AM88" s="80">
        <f t="shared" si="47"/>
        <v>1.5600000000000005</v>
      </c>
      <c r="AN88" s="17">
        <f t="shared" si="91"/>
        <v>412.10840167871169</v>
      </c>
      <c r="AO88" s="235">
        <f t="shared" si="84"/>
        <v>3304.7923750004366</v>
      </c>
      <c r="AP88" s="18">
        <v>12.51</v>
      </c>
    </row>
    <row r="89" spans="1:42" s="3" customFormat="1">
      <c r="A89" s="15">
        <v>45013</v>
      </c>
      <c r="B89" s="194">
        <v>0</v>
      </c>
      <c r="C89" s="80">
        <f t="shared" si="78"/>
        <v>0</v>
      </c>
      <c r="D89" s="80">
        <f t="shared" si="99"/>
        <v>0</v>
      </c>
      <c r="E89" s="29">
        <v>21.79</v>
      </c>
      <c r="F89" s="80">
        <f t="shared" si="104"/>
        <v>0.91000000000000014</v>
      </c>
      <c r="G89" s="80">
        <f t="shared" si="100"/>
        <v>240.3965676459151</v>
      </c>
      <c r="H89" s="194">
        <v>255.04</v>
      </c>
      <c r="I89" s="80">
        <f t="shared" si="79"/>
        <v>0</v>
      </c>
      <c r="J89" s="80">
        <f t="shared" si="101"/>
        <v>0</v>
      </c>
      <c r="K89" s="29">
        <v>715.1</v>
      </c>
      <c r="L89" s="80">
        <f t="shared" si="80"/>
        <v>8.1000000000000227</v>
      </c>
      <c r="M89" s="80">
        <f t="shared" si="102"/>
        <v>2139.7936241010084</v>
      </c>
      <c r="N89" s="31">
        <v>93.42</v>
      </c>
      <c r="O89" s="80">
        <f t="shared" si="81"/>
        <v>6.5100000000000051</v>
      </c>
      <c r="P89" s="80">
        <f t="shared" si="103"/>
        <v>1719.7600608515477</v>
      </c>
      <c r="Q89" s="29">
        <v>8.94</v>
      </c>
      <c r="R89" s="80">
        <f t="shared" si="106"/>
        <v>0</v>
      </c>
      <c r="S89" s="80">
        <f t="shared" si="107"/>
        <v>0</v>
      </c>
      <c r="T89" s="80"/>
      <c r="U89" s="80">
        <f t="shared" si="94"/>
        <v>0</v>
      </c>
      <c r="V89" s="215">
        <f t="shared" si="86"/>
        <v>0</v>
      </c>
      <c r="W89" s="185"/>
      <c r="X89" s="80"/>
      <c r="Y89" s="80">
        <f t="shared" si="105"/>
        <v>0</v>
      </c>
      <c r="Z89" s="194">
        <v>15.96</v>
      </c>
      <c r="AA89" s="80">
        <f t="shared" si="73"/>
        <v>1.0000000000001563E-2</v>
      </c>
      <c r="AB89" s="80">
        <f t="shared" si="95"/>
        <v>2.6417205235818972</v>
      </c>
      <c r="AC89" s="194">
        <v>16.2</v>
      </c>
      <c r="AD89" s="80">
        <f t="shared" si="96"/>
        <v>-6.0000000000002274E-2</v>
      </c>
      <c r="AE89" s="80">
        <f t="shared" si="97"/>
        <v>-15.850323141489506</v>
      </c>
      <c r="AF89" s="194">
        <v>260.19</v>
      </c>
      <c r="AG89" s="80">
        <f t="shared" si="82"/>
        <v>-6.0000000000002274E-2</v>
      </c>
      <c r="AH89" s="80">
        <f t="shared" si="90"/>
        <v>-15.850323141489506</v>
      </c>
      <c r="AI89" s="194">
        <v>71.099999999999994</v>
      </c>
      <c r="AJ89" s="80">
        <f t="shared" si="46"/>
        <v>1.4100000000000108</v>
      </c>
      <c r="AK89" s="80">
        <f t="shared" si="98"/>
        <v>372.48259382499214</v>
      </c>
      <c r="AL89" s="194">
        <v>4.01</v>
      </c>
      <c r="AM89" s="80">
        <f t="shared" si="47"/>
        <v>3.0700000000000003</v>
      </c>
      <c r="AN89" s="17">
        <f t="shared" si="91"/>
        <v>811.00820073951581</v>
      </c>
      <c r="AO89" s="235">
        <f t="shared" si="84"/>
        <v>0</v>
      </c>
      <c r="AP89" s="18"/>
    </row>
    <row r="90" spans="1:42" s="3" customFormat="1">
      <c r="A90" s="15">
        <v>45014</v>
      </c>
      <c r="B90" s="194">
        <v>0</v>
      </c>
      <c r="C90" s="80">
        <f t="shared" si="78"/>
        <v>0</v>
      </c>
      <c r="D90" s="80">
        <f t="shared" si="99"/>
        <v>0</v>
      </c>
      <c r="E90" s="29">
        <v>22.7</v>
      </c>
      <c r="F90" s="80">
        <f t="shared" si="104"/>
        <v>0.91000000000000014</v>
      </c>
      <c r="G90" s="80">
        <f t="shared" si="100"/>
        <v>240.3965676459151</v>
      </c>
      <c r="H90" s="194">
        <v>255.04</v>
      </c>
      <c r="I90" s="80">
        <f t="shared" si="79"/>
        <v>0</v>
      </c>
      <c r="J90" s="80">
        <f t="shared" si="101"/>
        <v>0</v>
      </c>
      <c r="K90" s="29">
        <v>713.04</v>
      </c>
      <c r="L90" s="80">
        <f t="shared" si="80"/>
        <v>2.0600000000000591</v>
      </c>
      <c r="M90" s="80">
        <f t="shared" si="102"/>
        <v>544.19442785780132</v>
      </c>
      <c r="N90" s="31">
        <v>87.23</v>
      </c>
      <c r="O90" s="80">
        <f t="shared" si="81"/>
        <v>6.1899999999999977</v>
      </c>
      <c r="P90" s="80">
        <f t="shared" si="103"/>
        <v>1635.2250040969382</v>
      </c>
      <c r="Q90" s="29">
        <v>8.91</v>
      </c>
      <c r="R90" s="80">
        <f t="shared" si="106"/>
        <v>2.9999999999999361E-2</v>
      </c>
      <c r="S90" s="80">
        <f t="shared" si="107"/>
        <v>7.925161570744284</v>
      </c>
      <c r="T90" s="80"/>
      <c r="U90" s="80">
        <f t="shared" si="94"/>
        <v>0</v>
      </c>
      <c r="V90" s="215">
        <f t="shared" si="86"/>
        <v>0</v>
      </c>
      <c r="W90" s="185"/>
      <c r="X90" s="80"/>
      <c r="Y90" s="80">
        <f t="shared" si="105"/>
        <v>0</v>
      </c>
      <c r="Z90" s="194">
        <v>15.93</v>
      </c>
      <c r="AA90" s="80">
        <f t="shared" si="73"/>
        <v>-3.0000000000001137E-2</v>
      </c>
      <c r="AB90" s="80">
        <f t="shared" si="95"/>
        <v>-7.9251615707447529</v>
      </c>
      <c r="AC90" s="194">
        <v>16.260000000000002</v>
      </c>
      <c r="AD90" s="80">
        <f t="shared" si="96"/>
        <v>6.0000000000002274E-2</v>
      </c>
      <c r="AE90" s="80">
        <f t="shared" si="97"/>
        <v>15.850323141489506</v>
      </c>
      <c r="AF90" s="194">
        <v>259.74</v>
      </c>
      <c r="AG90" s="80">
        <f t="shared" si="82"/>
        <v>0.44999999999998863</v>
      </c>
      <c r="AH90" s="80">
        <f t="shared" si="90"/>
        <v>118.87742356116378</v>
      </c>
      <c r="AI90" s="219">
        <v>84.57</v>
      </c>
      <c r="AJ90" s="215">
        <f t="shared" ref="AJ90:AJ153" si="108">IF(AI90="",0,AI89-AI90)</f>
        <v>-13.469999999999999</v>
      </c>
      <c r="AK90" s="215">
        <f t="shared" si="98"/>
        <v>-3558.397545264259</v>
      </c>
      <c r="AL90" s="194">
        <v>8.07</v>
      </c>
      <c r="AM90" s="80">
        <f t="shared" si="47"/>
        <v>-4.0600000000000005</v>
      </c>
      <c r="AN90" s="17">
        <f t="shared" si="91"/>
        <v>-1072.5385325740826</v>
      </c>
      <c r="AO90" s="235">
        <f t="shared" si="84"/>
        <v>6498.6324880104512</v>
      </c>
      <c r="AP90" s="18">
        <v>24.6</v>
      </c>
    </row>
    <row r="91" spans="1:42" s="3" customFormat="1">
      <c r="A91" s="15">
        <v>45015</v>
      </c>
      <c r="B91" s="194">
        <v>0</v>
      </c>
      <c r="C91" s="80">
        <f t="shared" si="78"/>
        <v>0</v>
      </c>
      <c r="D91" s="80">
        <f t="shared" si="99"/>
        <v>0</v>
      </c>
      <c r="E91" s="29">
        <v>23.95</v>
      </c>
      <c r="F91" s="80">
        <f t="shared" si="104"/>
        <v>1.25</v>
      </c>
      <c r="G91" s="80">
        <f t="shared" si="100"/>
        <v>330.2150654476855</v>
      </c>
      <c r="H91" s="194">
        <v>255.04</v>
      </c>
      <c r="I91" s="80">
        <f t="shared" si="79"/>
        <v>0</v>
      </c>
      <c r="J91" s="80">
        <f t="shared" si="101"/>
        <v>0</v>
      </c>
      <c r="K91" s="29">
        <v>710.7</v>
      </c>
      <c r="L91" s="80">
        <f t="shared" si="80"/>
        <v>2.3399999999999181</v>
      </c>
      <c r="M91" s="80">
        <f t="shared" si="102"/>
        <v>618.16260251804567</v>
      </c>
      <c r="N91" s="31">
        <v>81.03</v>
      </c>
      <c r="O91" s="80">
        <f t="shared" si="81"/>
        <v>6.2000000000000028</v>
      </c>
      <c r="P91" s="80">
        <f t="shared" si="103"/>
        <v>1637.8667246205209</v>
      </c>
      <c r="Q91" s="29">
        <v>8.91</v>
      </c>
      <c r="R91" s="80">
        <f t="shared" si="106"/>
        <v>0</v>
      </c>
      <c r="S91" s="80">
        <f t="shared" si="107"/>
        <v>0</v>
      </c>
      <c r="T91" s="80"/>
      <c r="U91" s="80">
        <f t="shared" si="94"/>
        <v>0</v>
      </c>
      <c r="V91" s="215">
        <f t="shared" si="86"/>
        <v>0</v>
      </c>
      <c r="W91" s="185"/>
      <c r="X91" s="80"/>
      <c r="Y91" s="80">
        <f t="shared" si="105"/>
        <v>0</v>
      </c>
      <c r="Z91" s="194">
        <v>15.94</v>
      </c>
      <c r="AA91" s="80">
        <f t="shared" si="73"/>
        <v>9.9999999999997868E-3</v>
      </c>
      <c r="AB91" s="80">
        <f t="shared" si="95"/>
        <v>2.6417205235814278</v>
      </c>
      <c r="AC91" s="194">
        <v>16.22</v>
      </c>
      <c r="AD91" s="80">
        <f t="shared" si="96"/>
        <v>-4.00000000000027E-2</v>
      </c>
      <c r="AE91" s="80">
        <f t="shared" si="97"/>
        <v>-10.566882094326651</v>
      </c>
      <c r="AF91" s="194">
        <v>256.86</v>
      </c>
      <c r="AG91" s="80">
        <f t="shared" ref="AG91:AG154" si="109">IF(AF91="",0,AF90-AF91)</f>
        <v>2.8799999999999955</v>
      </c>
      <c r="AH91" s="80">
        <f t="shared" si="90"/>
        <v>760.81551079146629</v>
      </c>
      <c r="AI91" s="219">
        <v>134.04</v>
      </c>
      <c r="AJ91" s="215">
        <f t="shared" si="108"/>
        <v>-49.47</v>
      </c>
      <c r="AK91" s="215">
        <f t="shared" si="98"/>
        <v>-13068.591430157603</v>
      </c>
      <c r="AL91" s="194">
        <v>4.2699999999999996</v>
      </c>
      <c r="AM91" s="80">
        <f t="shared" ref="AM91:AM154" si="110">IF(AL91="",0,AL90-AL91)</f>
        <v>3.8000000000000007</v>
      </c>
      <c r="AN91" s="17">
        <f t="shared" si="91"/>
        <v>1003.8537989609642</v>
      </c>
      <c r="AO91" s="235">
        <f t="shared" si="84"/>
        <v>12997.264976020902</v>
      </c>
      <c r="AP91" s="18">
        <v>49.2</v>
      </c>
    </row>
    <row r="92" spans="1:42" s="3" customFormat="1">
      <c r="A92" s="15">
        <v>45016</v>
      </c>
      <c r="B92" s="194">
        <v>0</v>
      </c>
      <c r="C92" s="80">
        <f t="shared" si="78"/>
        <v>0</v>
      </c>
      <c r="D92" s="80">
        <f t="shared" si="99"/>
        <v>0</v>
      </c>
      <c r="E92" s="29">
        <v>25.34</v>
      </c>
      <c r="F92" s="80">
        <f t="shared" si="104"/>
        <v>1.3900000000000006</v>
      </c>
      <c r="G92" s="80">
        <f t="shared" si="100"/>
        <v>367.19915277782644</v>
      </c>
      <c r="H92" s="194">
        <v>255.04</v>
      </c>
      <c r="I92" s="80">
        <f t="shared" si="79"/>
        <v>0</v>
      </c>
      <c r="J92" s="80">
        <f t="shared" si="101"/>
        <v>0</v>
      </c>
      <c r="K92" s="29">
        <v>706</v>
      </c>
      <c r="L92" s="80">
        <f t="shared" si="80"/>
        <v>4.7000000000000455</v>
      </c>
      <c r="M92" s="80">
        <f t="shared" si="102"/>
        <v>1241.6086460833096</v>
      </c>
      <c r="N92" s="31">
        <v>74.63</v>
      </c>
      <c r="O92" s="80">
        <f t="shared" si="81"/>
        <v>6.4000000000000057</v>
      </c>
      <c r="P92" s="80">
        <f t="shared" si="103"/>
        <v>1690.7011350921514</v>
      </c>
      <c r="Q92" s="29">
        <v>8.91</v>
      </c>
      <c r="R92" s="80">
        <f t="shared" si="106"/>
        <v>0</v>
      </c>
      <c r="S92" s="80">
        <f t="shared" si="107"/>
        <v>0</v>
      </c>
      <c r="T92" s="80"/>
      <c r="U92" s="80">
        <f t="shared" si="94"/>
        <v>0</v>
      </c>
      <c r="V92" s="215">
        <f t="shared" si="86"/>
        <v>0</v>
      </c>
      <c r="W92" s="185"/>
      <c r="X92" s="80"/>
      <c r="Y92" s="80">
        <f t="shared" si="105"/>
        <v>0</v>
      </c>
      <c r="Z92" s="194">
        <v>15.96</v>
      </c>
      <c r="AA92" s="80">
        <f t="shared" si="73"/>
        <v>2.000000000000135E-2</v>
      </c>
      <c r="AB92" s="80">
        <f t="shared" si="95"/>
        <v>5.2834410471633255</v>
      </c>
      <c r="AC92" s="194">
        <v>16.190000000000001</v>
      </c>
      <c r="AD92" s="80">
        <f t="shared" si="96"/>
        <v>-2.9999999999997584E-2</v>
      </c>
      <c r="AE92" s="80">
        <f t="shared" si="97"/>
        <v>-7.9251615707438141</v>
      </c>
      <c r="AF92" s="194">
        <v>257.31</v>
      </c>
      <c r="AG92" s="80">
        <f t="shared" si="109"/>
        <v>-0.44999999999998863</v>
      </c>
      <c r="AH92" s="80">
        <f t="shared" si="90"/>
        <v>-118.87742356116378</v>
      </c>
      <c r="AI92" s="194">
        <v>144.09</v>
      </c>
      <c r="AJ92" s="80">
        <f t="shared" si="108"/>
        <v>-10.050000000000011</v>
      </c>
      <c r="AK92" s="80">
        <f t="shared" si="98"/>
        <v>-2654.9291261993944</v>
      </c>
      <c r="AL92" s="194">
        <v>4.6399999999999997</v>
      </c>
      <c r="AM92" s="80">
        <f t="shared" si="110"/>
        <v>-0.37000000000000011</v>
      </c>
      <c r="AN92" s="17">
        <f t="shared" si="91"/>
        <v>-97.743659372514941</v>
      </c>
      <c r="AO92" s="235">
        <f t="shared" si="84"/>
        <v>5072.1034052764498</v>
      </c>
      <c r="AP92" s="18">
        <v>19.2</v>
      </c>
    </row>
    <row r="93" spans="1:42" s="3" customFormat="1">
      <c r="A93" s="15">
        <v>45017</v>
      </c>
      <c r="B93" s="194">
        <v>0</v>
      </c>
      <c r="C93" s="80">
        <f t="shared" si="78"/>
        <v>0</v>
      </c>
      <c r="D93" s="80">
        <f t="shared" si="99"/>
        <v>0</v>
      </c>
      <c r="E93" s="29">
        <v>25.34</v>
      </c>
      <c r="F93" s="80">
        <f t="shared" si="104"/>
        <v>0</v>
      </c>
      <c r="G93" s="80">
        <f t="shared" si="100"/>
        <v>0</v>
      </c>
      <c r="H93" s="194">
        <v>255.04</v>
      </c>
      <c r="I93" s="80">
        <f t="shared" si="79"/>
        <v>0</v>
      </c>
      <c r="J93" s="80">
        <f t="shared" si="101"/>
        <v>0</v>
      </c>
      <c r="K93" s="29">
        <v>698.5</v>
      </c>
      <c r="L93" s="80">
        <f t="shared" si="80"/>
        <v>7.5</v>
      </c>
      <c r="M93" s="80">
        <f t="shared" si="102"/>
        <v>1981.2903926861131</v>
      </c>
      <c r="N93" s="31">
        <v>69.03</v>
      </c>
      <c r="O93" s="80">
        <f t="shared" si="81"/>
        <v>5.5999999999999943</v>
      </c>
      <c r="P93" s="80">
        <f t="shared" si="103"/>
        <v>1479.3634932056298</v>
      </c>
      <c r="Q93" s="29">
        <v>8.91</v>
      </c>
      <c r="R93" s="80">
        <f t="shared" si="106"/>
        <v>0</v>
      </c>
      <c r="S93" s="80">
        <f t="shared" si="107"/>
        <v>0</v>
      </c>
      <c r="T93" s="80"/>
      <c r="U93" s="80">
        <f t="shared" si="94"/>
        <v>0</v>
      </c>
      <c r="V93" s="215">
        <f t="shared" si="86"/>
        <v>0</v>
      </c>
      <c r="W93" s="185"/>
      <c r="X93" s="80"/>
      <c r="Y93" s="80">
        <f t="shared" si="105"/>
        <v>0</v>
      </c>
      <c r="Z93" s="194">
        <v>16.38</v>
      </c>
      <c r="AA93" s="80">
        <f t="shared" si="73"/>
        <v>0.41999999999999815</v>
      </c>
      <c r="AB93" s="80">
        <f>+CONVERT(AA93,"m^3","gal")</f>
        <v>110.95226199042186</v>
      </c>
      <c r="AC93" s="194">
        <v>16.22</v>
      </c>
      <c r="AD93" s="80">
        <f t="shared" si="96"/>
        <v>2.9999999999997584E-2</v>
      </c>
      <c r="AE93" s="80">
        <f>+CONVERT(AD93,"m^3","gal")</f>
        <v>7.9251615707438141</v>
      </c>
      <c r="AF93" s="194">
        <v>257.10000000000002</v>
      </c>
      <c r="AG93" s="80">
        <f t="shared" si="109"/>
        <v>0.20999999999997954</v>
      </c>
      <c r="AH93" s="80">
        <f t="shared" si="90"/>
        <v>55.476130995205764</v>
      </c>
      <c r="AI93" s="194">
        <v>133.19999999999999</v>
      </c>
      <c r="AJ93" s="80">
        <f t="shared" si="108"/>
        <v>10.890000000000015</v>
      </c>
      <c r="AK93" s="80">
        <f>+CONVERT(AJ93,"m^3","gal")</f>
        <v>2876.8336501802401</v>
      </c>
      <c r="AL93" s="194">
        <v>6.29</v>
      </c>
      <c r="AM93" s="80">
        <f t="shared" si="110"/>
        <v>-1.6500000000000004</v>
      </c>
      <c r="AN93" s="17">
        <f>+CONVERT(AM93,"m^3","gal")</f>
        <v>-435.88388639094501</v>
      </c>
      <c r="AO93" s="235">
        <f t="shared" si="84"/>
        <v>0</v>
      </c>
      <c r="AP93" s="18"/>
    </row>
    <row r="94" spans="1:42" s="3" customFormat="1">
      <c r="A94" s="15">
        <v>45018</v>
      </c>
      <c r="B94" s="194">
        <v>0</v>
      </c>
      <c r="C94" s="80">
        <f t="shared" si="78"/>
        <v>0</v>
      </c>
      <c r="D94" s="80">
        <f t="shared" si="99"/>
        <v>0</v>
      </c>
      <c r="E94" s="29">
        <v>27.07</v>
      </c>
      <c r="F94" s="80">
        <f t="shared" si="104"/>
        <v>1.7300000000000004</v>
      </c>
      <c r="G94" s="80">
        <f t="shared" si="100"/>
        <v>457.01765057959688</v>
      </c>
      <c r="H94" s="194">
        <v>255.04</v>
      </c>
      <c r="I94" s="80">
        <f t="shared" si="79"/>
        <v>0</v>
      </c>
      <c r="J94" s="80">
        <f t="shared" si="101"/>
        <v>0</v>
      </c>
      <c r="K94" s="29">
        <v>675.2</v>
      </c>
      <c r="L94" s="80">
        <f t="shared" si="80"/>
        <v>23.299999999999955</v>
      </c>
      <c r="M94" s="80">
        <f t="shared" si="102"/>
        <v>6155.2088199448472</v>
      </c>
      <c r="N94" s="31">
        <v>63.52</v>
      </c>
      <c r="O94" s="80">
        <f t="shared" si="81"/>
        <v>5.509999999999998</v>
      </c>
      <c r="P94" s="80">
        <f t="shared" si="103"/>
        <v>1455.5880084933974</v>
      </c>
      <c r="Q94" s="29">
        <v>8.94</v>
      </c>
      <c r="R94" s="80">
        <f t="shared" si="106"/>
        <v>-2.9999999999999361E-2</v>
      </c>
      <c r="S94" s="80">
        <f t="shared" si="107"/>
        <v>-7.925161570744284</v>
      </c>
      <c r="T94" s="80"/>
      <c r="U94" s="80">
        <f t="shared" si="94"/>
        <v>0</v>
      </c>
      <c r="V94" s="215">
        <f t="shared" si="86"/>
        <v>0</v>
      </c>
      <c r="W94" s="185"/>
      <c r="X94" s="80"/>
      <c r="Y94" s="80">
        <f t="shared" si="105"/>
        <v>0</v>
      </c>
      <c r="Z94" s="194">
        <v>17.239999999999998</v>
      </c>
      <c r="AA94" s="80">
        <f t="shared" si="73"/>
        <v>0.85999999999999943</v>
      </c>
      <c r="AB94" s="80">
        <f>+CONVERT(AA94,"m^3","gal")</f>
        <v>227.18796502800748</v>
      </c>
      <c r="AC94" s="194">
        <v>16.22</v>
      </c>
      <c r="AD94" s="80">
        <f t="shared" si="96"/>
        <v>0</v>
      </c>
      <c r="AE94" s="80">
        <f>+CONVERT(AD94,"m^3","gal")</f>
        <v>0</v>
      </c>
      <c r="AF94" s="194">
        <v>256.8</v>
      </c>
      <c r="AG94" s="80">
        <f t="shared" si="109"/>
        <v>0.30000000000001137</v>
      </c>
      <c r="AH94" s="80">
        <f t="shared" si="90"/>
        <v>79.251615707447527</v>
      </c>
      <c r="AI94" s="194">
        <v>114.3</v>
      </c>
      <c r="AJ94" s="80">
        <f t="shared" si="108"/>
        <v>18.899999999999991</v>
      </c>
      <c r="AK94" s="80">
        <f t="shared" ref="AK94:AK123" si="111">+CONVERT(AJ94,"m^3","gal")</f>
        <v>4992.8517895690029</v>
      </c>
      <c r="AL94" s="194">
        <v>7.95</v>
      </c>
      <c r="AM94" s="80">
        <f t="shared" si="110"/>
        <v>-1.6600000000000001</v>
      </c>
      <c r="AN94" s="17">
        <f t="shared" ref="AN94:AN123" si="112">+CONVERT(AM94,"m^3","gal")</f>
        <v>-438.52560691452646</v>
      </c>
      <c r="AO94" s="235">
        <f t="shared" si="84"/>
        <v>0</v>
      </c>
      <c r="AP94" s="18"/>
    </row>
    <row r="95" spans="1:42" s="3" customFormat="1">
      <c r="A95" s="15">
        <v>45019</v>
      </c>
      <c r="B95" s="194">
        <v>0</v>
      </c>
      <c r="C95" s="80">
        <f t="shared" si="78"/>
        <v>0</v>
      </c>
      <c r="D95" s="80">
        <f t="shared" si="99"/>
        <v>0</v>
      </c>
      <c r="E95" s="29">
        <v>27.92</v>
      </c>
      <c r="F95" s="80">
        <f t="shared" si="104"/>
        <v>0.85000000000000142</v>
      </c>
      <c r="G95" s="80">
        <f t="shared" si="100"/>
        <v>224.54624450442651</v>
      </c>
      <c r="H95" s="194">
        <v>255.04</v>
      </c>
      <c r="I95" s="80">
        <f t="shared" si="79"/>
        <v>0</v>
      </c>
      <c r="J95" s="80">
        <f t="shared" si="101"/>
        <v>0</v>
      </c>
      <c r="K95" s="29">
        <v>650.20000000000005</v>
      </c>
      <c r="L95" s="80">
        <f t="shared" si="80"/>
        <v>25</v>
      </c>
      <c r="M95" s="80">
        <f t="shared" si="102"/>
        <v>6604.3013089537108</v>
      </c>
      <c r="N95" s="31">
        <v>99.09</v>
      </c>
      <c r="O95" s="80">
        <f t="shared" si="81"/>
        <v>-35.57</v>
      </c>
      <c r="P95" s="80">
        <f t="shared" si="103"/>
        <v>-9396.5999023793393</v>
      </c>
      <c r="Q95" s="29">
        <v>8.9700000000000006</v>
      </c>
      <c r="R95" s="80">
        <f t="shared" si="106"/>
        <v>-3.0000000000001137E-2</v>
      </c>
      <c r="S95" s="80">
        <f t="shared" si="107"/>
        <v>-7.9251615707447529</v>
      </c>
      <c r="T95" s="80"/>
      <c r="U95" s="80">
        <f t="shared" si="94"/>
        <v>0</v>
      </c>
      <c r="V95" s="215">
        <f t="shared" si="86"/>
        <v>0</v>
      </c>
      <c r="W95" s="185"/>
      <c r="X95" s="80">
        <v>7599</v>
      </c>
      <c r="Y95" s="80">
        <f t="shared" si="105"/>
        <v>28.765344146616002</v>
      </c>
      <c r="Z95" s="194">
        <v>3.44</v>
      </c>
      <c r="AA95" s="80">
        <f t="shared" si="73"/>
        <v>-13.799999999999999</v>
      </c>
      <c r="AB95" s="80">
        <f t="shared" ref="AB95:AB123" si="113">+CONVERT(AA95,"m^3","gal")</f>
        <v>-3645.5743225424476</v>
      </c>
      <c r="AC95" s="194">
        <v>1.62</v>
      </c>
      <c r="AD95" s="80">
        <f t="shared" si="96"/>
        <v>-14.599999999999998</v>
      </c>
      <c r="AE95" s="80">
        <f>+CONVERT(AD95,"m^3","gal")</f>
        <v>-3856.9119644289667</v>
      </c>
      <c r="AF95" s="194">
        <v>257.10000000000002</v>
      </c>
      <c r="AG95" s="80">
        <f t="shared" si="109"/>
        <v>-0.30000000000001137</v>
      </c>
      <c r="AH95" s="80">
        <f t="shared" si="90"/>
        <v>-79.251615707447527</v>
      </c>
      <c r="AI95" s="194">
        <v>166.5</v>
      </c>
      <c r="AJ95" s="80">
        <f t="shared" si="108"/>
        <v>-52.2</v>
      </c>
      <c r="AK95" s="80">
        <f t="shared" si="111"/>
        <v>-13789.781133095348</v>
      </c>
      <c r="AL95" s="194">
        <v>9.43</v>
      </c>
      <c r="AM95" s="80">
        <f t="shared" si="110"/>
        <v>-1.4799999999999995</v>
      </c>
      <c r="AN95" s="17">
        <f t="shared" si="112"/>
        <v>-390.97463749005954</v>
      </c>
      <c r="AO95" s="235">
        <f t="shared" si="84"/>
        <v>18148.619997004796</v>
      </c>
      <c r="AP95" s="18">
        <v>68.7</v>
      </c>
    </row>
    <row r="96" spans="1:42" s="3" customFormat="1">
      <c r="A96" s="15">
        <v>45020</v>
      </c>
      <c r="B96" s="194">
        <v>0</v>
      </c>
      <c r="C96" s="80">
        <f t="shared" ref="C96:C127" si="114">IF(B96="",0,B95-B96)</f>
        <v>0</v>
      </c>
      <c r="D96" s="80">
        <f t="shared" si="99"/>
        <v>0</v>
      </c>
      <c r="E96" s="29">
        <v>28.86</v>
      </c>
      <c r="F96" s="80">
        <f t="shared" si="104"/>
        <v>0.93999999999999773</v>
      </c>
      <c r="G96" s="80">
        <f t="shared" si="100"/>
        <v>248.32172921665892</v>
      </c>
      <c r="H96" s="194">
        <v>255.04</v>
      </c>
      <c r="I96" s="80">
        <f t="shared" ref="I96:I127" si="115">IF(H96="",0,H95-H96)</f>
        <v>0</v>
      </c>
      <c r="J96" s="80">
        <f t="shared" si="101"/>
        <v>0</v>
      </c>
      <c r="K96" s="29">
        <v>619</v>
      </c>
      <c r="L96" s="80">
        <f t="shared" ref="L96:L127" si="116">IF(K96="",0,K95-K96)</f>
        <v>31.200000000000045</v>
      </c>
      <c r="M96" s="80">
        <f t="shared" si="102"/>
        <v>8242.1680335742421</v>
      </c>
      <c r="N96" s="31">
        <v>93.9</v>
      </c>
      <c r="O96" s="80">
        <f t="shared" ref="O96:O127" si="117">IF(N96="",0,N95-N96)</f>
        <v>5.1899999999999977</v>
      </c>
      <c r="P96" s="80">
        <f t="shared" si="103"/>
        <v>1371.0529517387899</v>
      </c>
      <c r="Q96" s="29">
        <v>4.8099999999999996</v>
      </c>
      <c r="R96" s="80">
        <f t="shared" si="106"/>
        <v>4.160000000000001</v>
      </c>
      <c r="S96" s="80">
        <f t="shared" si="107"/>
        <v>1098.9557378098978</v>
      </c>
      <c r="T96" s="80"/>
      <c r="U96" s="80">
        <f t="shared" si="94"/>
        <v>0</v>
      </c>
      <c r="V96" s="215">
        <f t="shared" si="86"/>
        <v>0</v>
      </c>
      <c r="W96" s="185"/>
      <c r="X96" s="80"/>
      <c r="Y96" s="80">
        <f t="shared" si="105"/>
        <v>0</v>
      </c>
      <c r="Z96" s="194">
        <v>4.07</v>
      </c>
      <c r="AA96" s="80">
        <f t="shared" ref="AA96:AA159" si="118">IF(Z96="",0,Z96-Z95)</f>
        <v>0.63000000000000034</v>
      </c>
      <c r="AB96" s="80">
        <f t="shared" si="113"/>
        <v>166.42839298563359</v>
      </c>
      <c r="AC96" s="194">
        <v>1.64</v>
      </c>
      <c r="AD96" s="80">
        <f t="shared" si="96"/>
        <v>1.9999999999999796E-2</v>
      </c>
      <c r="AE96" s="80">
        <f>+CONVERT(AD96,"m^3","gal")</f>
        <v>5.2834410471629143</v>
      </c>
      <c r="AF96" s="194">
        <v>257.04000000000002</v>
      </c>
      <c r="AG96" s="80">
        <f t="shared" si="109"/>
        <v>6.0000000000002274E-2</v>
      </c>
      <c r="AH96" s="80">
        <f t="shared" si="90"/>
        <v>15.850323141489506</v>
      </c>
      <c r="AI96" s="194">
        <v>152.4</v>
      </c>
      <c r="AJ96" s="80">
        <f t="shared" si="108"/>
        <v>14.099999999999994</v>
      </c>
      <c r="AK96" s="80">
        <f t="shared" si="111"/>
        <v>3724.8259382498914</v>
      </c>
      <c r="AL96" s="194">
        <v>9.56</v>
      </c>
      <c r="AM96" s="80">
        <f t="shared" si="110"/>
        <v>-0.13000000000000078</v>
      </c>
      <c r="AN96" s="17">
        <f t="shared" si="112"/>
        <v>-34.342366806559504</v>
      </c>
      <c r="AO96" s="235">
        <f t="shared" si="84"/>
        <v>0</v>
      </c>
      <c r="AP96" s="18"/>
    </row>
    <row r="97" spans="1:42" s="3" customFormat="1">
      <c r="A97" s="15">
        <v>45021</v>
      </c>
      <c r="B97" s="194">
        <v>0</v>
      </c>
      <c r="C97" s="80">
        <f t="shared" si="114"/>
        <v>0</v>
      </c>
      <c r="D97" s="80">
        <f t="shared" si="99"/>
        <v>0</v>
      </c>
      <c r="E97" s="29">
        <v>29.89</v>
      </c>
      <c r="F97" s="80">
        <f t="shared" si="104"/>
        <v>1.0300000000000011</v>
      </c>
      <c r="G97" s="80">
        <f t="shared" si="100"/>
        <v>272.09721392889315</v>
      </c>
      <c r="H97" s="194">
        <v>255.04</v>
      </c>
      <c r="I97" s="80">
        <f t="shared" si="115"/>
        <v>0</v>
      </c>
      <c r="J97" s="80">
        <f t="shared" si="101"/>
        <v>0</v>
      </c>
      <c r="K97" s="29">
        <v>576.29999999999995</v>
      </c>
      <c r="L97" s="80">
        <f t="shared" si="116"/>
        <v>42.700000000000045</v>
      </c>
      <c r="M97" s="80">
        <f t="shared" si="102"/>
        <v>11280.146635692949</v>
      </c>
      <c r="N97" s="31">
        <v>88.17</v>
      </c>
      <c r="O97" s="80">
        <f t="shared" si="117"/>
        <v>5.730000000000004</v>
      </c>
      <c r="P97" s="80">
        <f t="shared" si="103"/>
        <v>1513.7058600121914</v>
      </c>
      <c r="Q97" s="29">
        <v>4.76</v>
      </c>
      <c r="R97" s="80">
        <f t="shared" si="106"/>
        <v>4.9999999999999822E-2</v>
      </c>
      <c r="S97" s="80">
        <f t="shared" si="107"/>
        <v>13.208602617907374</v>
      </c>
      <c r="T97" s="80"/>
      <c r="U97" s="80">
        <f t="shared" si="94"/>
        <v>0</v>
      </c>
      <c r="V97" s="215">
        <f t="shared" si="86"/>
        <v>0</v>
      </c>
      <c r="W97" s="185"/>
      <c r="X97" s="80"/>
      <c r="Y97" s="80">
        <f t="shared" si="105"/>
        <v>0</v>
      </c>
      <c r="Z97" s="194">
        <v>9.11</v>
      </c>
      <c r="AA97" s="80">
        <f t="shared" si="118"/>
        <v>5.0399999999999991</v>
      </c>
      <c r="AB97" s="80">
        <f t="shared" si="113"/>
        <v>1331.4271438850678</v>
      </c>
      <c r="AC97" s="194">
        <v>1.68</v>
      </c>
      <c r="AD97" s="80">
        <f t="shared" si="96"/>
        <v>4.0000000000000036E-2</v>
      </c>
      <c r="AE97" s="80">
        <f t="shared" ref="AE97:AE123" si="119">+CONVERT(AD97,"m^3","gal")</f>
        <v>10.566882094325946</v>
      </c>
      <c r="AF97" s="194">
        <v>256.62</v>
      </c>
      <c r="AG97" s="80">
        <f t="shared" si="109"/>
        <v>0.42000000000001592</v>
      </c>
      <c r="AH97" s="80">
        <f t="shared" si="90"/>
        <v>110.95226199042654</v>
      </c>
      <c r="AI97" s="194">
        <v>135.6</v>
      </c>
      <c r="AJ97" s="80">
        <f t="shared" si="108"/>
        <v>16.800000000000011</v>
      </c>
      <c r="AK97" s="80">
        <f t="shared" si="111"/>
        <v>4438.0904796168961</v>
      </c>
      <c r="AL97" s="194">
        <v>8.27</v>
      </c>
      <c r="AM97" s="80">
        <f t="shared" si="110"/>
        <v>1.2900000000000009</v>
      </c>
      <c r="AN97" s="17">
        <f t="shared" si="112"/>
        <v>340.78194754201172</v>
      </c>
      <c r="AO97" s="235">
        <f t="shared" si="84"/>
        <v>0</v>
      </c>
      <c r="AP97" s="18"/>
    </row>
    <row r="98" spans="1:42" s="3" customFormat="1">
      <c r="A98" s="15">
        <v>45022</v>
      </c>
      <c r="B98" s="194">
        <v>0</v>
      </c>
      <c r="C98" s="80">
        <f t="shared" si="114"/>
        <v>0</v>
      </c>
      <c r="D98" s="80">
        <f t="shared" si="99"/>
        <v>0</v>
      </c>
      <c r="E98" s="29">
        <v>31.36</v>
      </c>
      <c r="F98" s="80">
        <f t="shared" si="104"/>
        <v>1.4699999999999989</v>
      </c>
      <c r="G98" s="80">
        <f t="shared" si="100"/>
        <v>388.33291696647785</v>
      </c>
      <c r="H98" s="194">
        <v>255.04</v>
      </c>
      <c r="I98" s="80">
        <f t="shared" si="115"/>
        <v>0</v>
      </c>
      <c r="J98" s="80">
        <f t="shared" si="101"/>
        <v>0</v>
      </c>
      <c r="K98" s="29">
        <v>543.70000000000005</v>
      </c>
      <c r="L98" s="80">
        <f t="shared" si="116"/>
        <v>32.599999999999909</v>
      </c>
      <c r="M98" s="80">
        <f t="shared" si="102"/>
        <v>8612.0089068756151</v>
      </c>
      <c r="N98" s="31">
        <v>82.65</v>
      </c>
      <c r="O98" s="80">
        <f t="shared" si="117"/>
        <v>5.519999999999996</v>
      </c>
      <c r="P98" s="80">
        <f t="shared" si="103"/>
        <v>1458.2297290169784</v>
      </c>
      <c r="Q98" s="29">
        <v>4.75</v>
      </c>
      <c r="R98" s="80">
        <f t="shared" si="106"/>
        <v>9.9999999999997868E-3</v>
      </c>
      <c r="S98" s="80">
        <f t="shared" si="107"/>
        <v>2.6417205235814278</v>
      </c>
      <c r="T98" s="80"/>
      <c r="U98" s="80">
        <f t="shared" si="94"/>
        <v>0</v>
      </c>
      <c r="V98" s="215">
        <f t="shared" si="86"/>
        <v>0</v>
      </c>
      <c r="W98" s="185"/>
      <c r="X98" s="80"/>
      <c r="Y98" s="80">
        <f t="shared" si="105"/>
        <v>0</v>
      </c>
      <c r="Z98" s="194">
        <v>11.2</v>
      </c>
      <c r="AA98" s="80">
        <f t="shared" si="118"/>
        <v>2.09</v>
      </c>
      <c r="AB98" s="80">
        <f t="shared" si="113"/>
        <v>552.11958942853016</v>
      </c>
      <c r="AC98" s="194">
        <v>1.74</v>
      </c>
      <c r="AD98" s="80">
        <f t="shared" si="96"/>
        <v>6.0000000000000053E-2</v>
      </c>
      <c r="AE98" s="80">
        <f t="shared" si="119"/>
        <v>15.85032314148892</v>
      </c>
      <c r="AF98" s="194">
        <v>256.29000000000002</v>
      </c>
      <c r="AG98" s="80">
        <f t="shared" si="109"/>
        <v>0.32999999999998408</v>
      </c>
      <c r="AH98" s="80">
        <f t="shared" si="90"/>
        <v>87.176777278184773</v>
      </c>
      <c r="AI98" s="194">
        <v>120.9</v>
      </c>
      <c r="AJ98" s="80">
        <f t="shared" si="108"/>
        <v>14.699999999999989</v>
      </c>
      <c r="AK98" s="80">
        <f t="shared" si="111"/>
        <v>3883.3291696647789</v>
      </c>
      <c r="AL98" s="194">
        <v>7.91</v>
      </c>
      <c r="AM98" s="80">
        <f t="shared" si="110"/>
        <v>0.35999999999999943</v>
      </c>
      <c r="AN98" s="17">
        <f t="shared" si="112"/>
        <v>95.101938848933287</v>
      </c>
      <c r="AO98" s="235">
        <f t="shared" si="84"/>
        <v>0</v>
      </c>
      <c r="AP98" s="18"/>
    </row>
    <row r="99" spans="1:42" s="3" customFormat="1">
      <c r="A99" s="15">
        <v>45023</v>
      </c>
      <c r="B99" s="194">
        <v>0</v>
      </c>
      <c r="C99" s="80">
        <f t="shared" si="114"/>
        <v>0</v>
      </c>
      <c r="D99" s="80">
        <f t="shared" si="99"/>
        <v>0</v>
      </c>
      <c r="E99" s="29">
        <v>32.72</v>
      </c>
      <c r="F99" s="80">
        <f t="shared" si="104"/>
        <v>1.3599999999999994</v>
      </c>
      <c r="G99" s="80">
        <f t="shared" si="100"/>
        <v>359.27399120708174</v>
      </c>
      <c r="H99" s="194">
        <v>255.04</v>
      </c>
      <c r="I99" s="80">
        <f t="shared" si="115"/>
        <v>0</v>
      </c>
      <c r="J99" s="80">
        <f t="shared" si="101"/>
        <v>0</v>
      </c>
      <c r="K99" s="29">
        <v>512.5</v>
      </c>
      <c r="L99" s="80">
        <f t="shared" si="116"/>
        <v>31.200000000000045</v>
      </c>
      <c r="M99" s="80">
        <f t="shared" si="102"/>
        <v>8242.1680335742421</v>
      </c>
      <c r="N99" s="31">
        <v>77</v>
      </c>
      <c r="O99" s="80">
        <f t="shared" si="117"/>
        <v>5.6500000000000057</v>
      </c>
      <c r="P99" s="80">
        <f t="shared" si="103"/>
        <v>1492.5720958235399</v>
      </c>
      <c r="Q99" s="29">
        <v>4.7699999999999996</v>
      </c>
      <c r="R99" s="80">
        <f t="shared" si="106"/>
        <v>-1.9999999999999574E-2</v>
      </c>
      <c r="S99" s="80">
        <f t="shared" si="107"/>
        <v>-5.2834410471628557</v>
      </c>
      <c r="T99" s="80"/>
      <c r="U99" s="80">
        <f t="shared" si="94"/>
        <v>0</v>
      </c>
      <c r="V99" s="215">
        <f t="shared" si="86"/>
        <v>0</v>
      </c>
      <c r="W99" s="185"/>
      <c r="X99" s="80"/>
      <c r="Y99" s="80">
        <f t="shared" si="105"/>
        <v>0</v>
      </c>
      <c r="Z99" s="194">
        <v>11.94</v>
      </c>
      <c r="AA99" s="80">
        <f t="shared" si="118"/>
        <v>0.74000000000000021</v>
      </c>
      <c r="AB99" s="80">
        <f t="shared" si="113"/>
        <v>195.48731874502988</v>
      </c>
      <c r="AC99" s="194">
        <v>1.74</v>
      </c>
      <c r="AD99" s="80">
        <f t="shared" si="96"/>
        <v>0</v>
      </c>
      <c r="AE99" s="80">
        <f t="shared" si="119"/>
        <v>0</v>
      </c>
      <c r="AF99" s="194">
        <v>256.62</v>
      </c>
      <c r="AG99" s="80">
        <f t="shared" si="109"/>
        <v>-0.32999999999998408</v>
      </c>
      <c r="AH99" s="80">
        <f t="shared" si="90"/>
        <v>-87.176777278184773</v>
      </c>
      <c r="AI99" s="194">
        <v>251.02</v>
      </c>
      <c r="AJ99" s="80">
        <f t="shared" si="108"/>
        <v>-130.12</v>
      </c>
      <c r="AK99" s="80">
        <f t="shared" si="111"/>
        <v>-34374.067452842275</v>
      </c>
      <c r="AL99" s="194">
        <v>4.25</v>
      </c>
      <c r="AM99" s="80">
        <f t="shared" si="110"/>
        <v>3.66</v>
      </c>
      <c r="AN99" s="17">
        <f t="shared" si="112"/>
        <v>966.86971163082319</v>
      </c>
      <c r="AO99" s="235">
        <f t="shared" si="84"/>
        <v>9747.9487320156768</v>
      </c>
      <c r="AP99" s="18">
        <v>36.9</v>
      </c>
    </row>
    <row r="100" spans="1:42" s="3" customFormat="1">
      <c r="A100" s="15">
        <v>45024</v>
      </c>
      <c r="B100" s="194">
        <v>0</v>
      </c>
      <c r="C100" s="80">
        <f t="shared" si="114"/>
        <v>0</v>
      </c>
      <c r="D100" s="80">
        <f t="shared" si="99"/>
        <v>0</v>
      </c>
      <c r="E100" s="29">
        <v>33.74</v>
      </c>
      <c r="F100" s="80">
        <f t="shared" si="104"/>
        <v>1.0200000000000031</v>
      </c>
      <c r="G100" s="80">
        <f t="shared" si="100"/>
        <v>269.45549340531221</v>
      </c>
      <c r="H100" s="194">
        <v>255.04</v>
      </c>
      <c r="I100" s="80">
        <f t="shared" si="115"/>
        <v>0</v>
      </c>
      <c r="J100" s="80">
        <f t="shared" si="101"/>
        <v>0</v>
      </c>
      <c r="K100" s="29">
        <v>481.5</v>
      </c>
      <c r="L100" s="80">
        <f t="shared" si="116"/>
        <v>31</v>
      </c>
      <c r="M100" s="80">
        <f t="shared" si="102"/>
        <v>8189.3336231026015</v>
      </c>
      <c r="N100" s="31">
        <v>71.400000000000006</v>
      </c>
      <c r="O100" s="80">
        <f t="shared" si="117"/>
        <v>5.5999999999999943</v>
      </c>
      <c r="P100" s="80">
        <f t="shared" si="103"/>
        <v>1479.3634932056298</v>
      </c>
      <c r="Q100" s="29">
        <v>4.74</v>
      </c>
      <c r="R100" s="80">
        <f t="shared" si="106"/>
        <v>2.9999999999999361E-2</v>
      </c>
      <c r="S100" s="80">
        <f t="shared" si="107"/>
        <v>7.925161570744284</v>
      </c>
      <c r="T100" s="80"/>
      <c r="U100" s="80">
        <f t="shared" si="94"/>
        <v>0</v>
      </c>
      <c r="V100" s="215">
        <f t="shared" si="86"/>
        <v>0</v>
      </c>
      <c r="W100" s="185"/>
      <c r="X100" s="80"/>
      <c r="Y100" s="80">
        <f t="shared" si="105"/>
        <v>0</v>
      </c>
      <c r="Z100" s="194">
        <v>12.89</v>
      </c>
      <c r="AA100" s="80">
        <f t="shared" si="118"/>
        <v>0.95000000000000107</v>
      </c>
      <c r="AB100" s="80">
        <f t="shared" si="113"/>
        <v>250.96344974024126</v>
      </c>
      <c r="AC100" s="194">
        <v>1.73</v>
      </c>
      <c r="AD100" s="80">
        <f t="shared" si="96"/>
        <v>-1.0000000000000009E-2</v>
      </c>
      <c r="AE100" s="80">
        <f t="shared" si="119"/>
        <v>-2.6417205235814865</v>
      </c>
      <c r="AF100" s="194">
        <v>256.29000000000002</v>
      </c>
      <c r="AG100" s="80">
        <f t="shared" si="109"/>
        <v>0.32999999999998408</v>
      </c>
      <c r="AH100" s="80">
        <f t="shared" si="90"/>
        <v>87.176777278184773</v>
      </c>
      <c r="AI100" s="194">
        <v>156.9</v>
      </c>
      <c r="AJ100" s="80">
        <f t="shared" si="108"/>
        <v>94.12</v>
      </c>
      <c r="AK100" s="80">
        <f t="shared" si="111"/>
        <v>24863.873567948929</v>
      </c>
      <c r="AL100" s="194">
        <v>5.44</v>
      </c>
      <c r="AM100" s="80">
        <f t="shared" si="110"/>
        <v>-1.1900000000000004</v>
      </c>
      <c r="AN100" s="17">
        <f t="shared" si="112"/>
        <v>-314.36474230619672</v>
      </c>
      <c r="AO100" s="235">
        <f t="shared" si="84"/>
        <v>5547.613099521117</v>
      </c>
      <c r="AP100" s="18">
        <v>21</v>
      </c>
    </row>
    <row r="101" spans="1:42" s="3" customFormat="1">
      <c r="A101" s="15">
        <v>45025</v>
      </c>
      <c r="B101" s="194">
        <v>0</v>
      </c>
      <c r="C101" s="80">
        <f t="shared" si="114"/>
        <v>0</v>
      </c>
      <c r="D101" s="80">
        <f t="shared" si="99"/>
        <v>0</v>
      </c>
      <c r="E101" s="29">
        <v>34.880000000000003</v>
      </c>
      <c r="F101" s="80">
        <f t="shared" si="104"/>
        <v>1.1400000000000006</v>
      </c>
      <c r="G101" s="80">
        <f t="shared" si="100"/>
        <v>301.15613968828933</v>
      </c>
      <c r="H101" s="194">
        <v>255.04</v>
      </c>
      <c r="I101" s="80">
        <f t="shared" si="115"/>
        <v>0</v>
      </c>
      <c r="J101" s="80">
        <f t="shared" si="101"/>
        <v>0</v>
      </c>
      <c r="K101" s="29">
        <v>448</v>
      </c>
      <c r="L101" s="80">
        <f t="shared" si="116"/>
        <v>33.5</v>
      </c>
      <c r="M101" s="80">
        <f t="shared" si="102"/>
        <v>8849.7637539979714</v>
      </c>
      <c r="N101" s="31">
        <v>99.09</v>
      </c>
      <c r="O101" s="80">
        <f t="shared" si="117"/>
        <v>-27.689999999999998</v>
      </c>
      <c r="P101" s="80">
        <f t="shared" si="103"/>
        <v>-7314.9241297971284</v>
      </c>
      <c r="Q101" s="29">
        <v>4.74</v>
      </c>
      <c r="R101" s="80">
        <f t="shared" si="106"/>
        <v>0</v>
      </c>
      <c r="S101" s="80">
        <f t="shared" si="107"/>
        <v>0</v>
      </c>
      <c r="T101" s="80"/>
      <c r="U101" s="80">
        <f t="shared" si="94"/>
        <v>0</v>
      </c>
      <c r="V101" s="215">
        <f t="shared" si="86"/>
        <v>0</v>
      </c>
      <c r="W101" s="185"/>
      <c r="X101" s="80"/>
      <c r="Y101" s="80">
        <f t="shared" si="105"/>
        <v>0</v>
      </c>
      <c r="Z101" s="194">
        <v>14.02</v>
      </c>
      <c r="AA101" s="80">
        <f t="shared" si="118"/>
        <v>1.129999999999999</v>
      </c>
      <c r="AB101" s="80">
        <f t="shared" si="113"/>
        <v>298.51441916470748</v>
      </c>
      <c r="AC101" s="194">
        <v>1.71</v>
      </c>
      <c r="AD101" s="80">
        <f t="shared" si="96"/>
        <v>-2.0000000000000018E-2</v>
      </c>
      <c r="AE101" s="80">
        <f t="shared" si="119"/>
        <v>-5.2834410471629729</v>
      </c>
      <c r="AF101" s="219">
        <v>257.01</v>
      </c>
      <c r="AG101" s="215">
        <f t="shared" si="109"/>
        <v>-0.71999999999997044</v>
      </c>
      <c r="AH101" s="215">
        <f t="shared" si="90"/>
        <v>-190.20387769785904</v>
      </c>
      <c r="AI101" s="194">
        <v>140.28</v>
      </c>
      <c r="AJ101" s="80">
        <f t="shared" si="108"/>
        <v>16.620000000000005</v>
      </c>
      <c r="AK101" s="80">
        <f t="shared" si="111"/>
        <v>4390.5395101924278</v>
      </c>
      <c r="AL101" s="194">
        <v>8.1199999999999992</v>
      </c>
      <c r="AM101" s="80">
        <f t="shared" si="110"/>
        <v>-2.6799999999999988</v>
      </c>
      <c r="AN101" s="17">
        <f t="shared" si="112"/>
        <v>-707.98110031983742</v>
      </c>
      <c r="AO101" s="235">
        <f t="shared" si="84"/>
        <v>0</v>
      </c>
      <c r="AP101" s="18"/>
    </row>
    <row r="102" spans="1:42" s="3" customFormat="1">
      <c r="A102" s="15">
        <v>45026</v>
      </c>
      <c r="B102" s="194">
        <v>0</v>
      </c>
      <c r="C102" s="80">
        <f t="shared" si="114"/>
        <v>0</v>
      </c>
      <c r="D102" s="80">
        <f t="shared" si="99"/>
        <v>0</v>
      </c>
      <c r="E102" s="29">
        <v>36.14</v>
      </c>
      <c r="F102" s="80">
        <f t="shared" si="104"/>
        <v>1.259999999999998</v>
      </c>
      <c r="G102" s="80">
        <f t="shared" si="100"/>
        <v>332.85678597126645</v>
      </c>
      <c r="H102" s="194">
        <v>255.04</v>
      </c>
      <c r="I102" s="80">
        <f t="shared" si="115"/>
        <v>0</v>
      </c>
      <c r="J102" s="80">
        <f t="shared" si="101"/>
        <v>0</v>
      </c>
      <c r="K102" s="29">
        <v>462.6</v>
      </c>
      <c r="L102" s="80">
        <f t="shared" si="116"/>
        <v>-14.600000000000023</v>
      </c>
      <c r="M102" s="80">
        <f t="shared" si="102"/>
        <v>-3856.9119644289726</v>
      </c>
      <c r="N102" s="31">
        <v>94</v>
      </c>
      <c r="O102" s="80">
        <f t="shared" si="117"/>
        <v>5.0900000000000034</v>
      </c>
      <c r="P102" s="80">
        <f t="shared" si="103"/>
        <v>1344.6357465029764</v>
      </c>
      <c r="Q102" s="29">
        <v>4.74</v>
      </c>
      <c r="R102" s="80">
        <f t="shared" si="106"/>
        <v>0</v>
      </c>
      <c r="S102" s="80">
        <f t="shared" si="107"/>
        <v>0</v>
      </c>
      <c r="T102" s="80"/>
      <c r="U102" s="80">
        <f t="shared" si="94"/>
        <v>0</v>
      </c>
      <c r="V102" s="215">
        <f t="shared" si="86"/>
        <v>0</v>
      </c>
      <c r="W102" s="185"/>
      <c r="X102" s="80"/>
      <c r="Y102" s="80">
        <f t="shared" si="105"/>
        <v>0</v>
      </c>
      <c r="Z102" s="194">
        <v>15.32</v>
      </c>
      <c r="AA102" s="80">
        <f t="shared" si="118"/>
        <v>1.3000000000000007</v>
      </c>
      <c r="AB102" s="80">
        <f t="shared" si="113"/>
        <v>343.42366806559312</v>
      </c>
      <c r="AC102" s="194">
        <v>1.71</v>
      </c>
      <c r="AD102" s="80">
        <f t="shared" si="96"/>
        <v>0</v>
      </c>
      <c r="AE102" s="80">
        <f t="shared" si="119"/>
        <v>0</v>
      </c>
      <c r="AF102" s="194">
        <v>256.5</v>
      </c>
      <c r="AG102" s="80">
        <f t="shared" si="109"/>
        <v>0.50999999999999091</v>
      </c>
      <c r="AH102" s="80">
        <f t="shared" si="90"/>
        <v>134.72774670265329</v>
      </c>
      <c r="AI102" s="194">
        <v>127.5</v>
      </c>
      <c r="AJ102" s="80">
        <f t="shared" si="108"/>
        <v>12.780000000000001</v>
      </c>
      <c r="AK102" s="80">
        <f t="shared" si="111"/>
        <v>3376.1188291371373</v>
      </c>
      <c r="AL102" s="194">
        <v>5.88</v>
      </c>
      <c r="AM102" s="80">
        <f t="shared" si="110"/>
        <v>2.2399999999999993</v>
      </c>
      <c r="AN102" s="17">
        <f t="shared" si="112"/>
        <v>591.74539728225238</v>
      </c>
      <c r="AO102" s="235">
        <f t="shared" si="84"/>
        <v>0</v>
      </c>
      <c r="AP102" s="18"/>
    </row>
    <row r="103" spans="1:42" s="3" customFormat="1">
      <c r="A103" s="15">
        <v>45027</v>
      </c>
      <c r="B103" s="194">
        <v>0</v>
      </c>
      <c r="C103" s="80">
        <f t="shared" si="114"/>
        <v>0</v>
      </c>
      <c r="D103" s="80">
        <f t="shared" si="99"/>
        <v>0</v>
      </c>
      <c r="E103" s="29">
        <v>36.96</v>
      </c>
      <c r="F103" s="80">
        <f t="shared" si="104"/>
        <v>0.82000000000000028</v>
      </c>
      <c r="G103" s="80">
        <f t="shared" si="100"/>
        <v>216.62108293368178</v>
      </c>
      <c r="H103" s="194">
        <v>255.04</v>
      </c>
      <c r="I103" s="80">
        <f t="shared" si="115"/>
        <v>0</v>
      </c>
      <c r="J103" s="80">
        <f t="shared" si="101"/>
        <v>0</v>
      </c>
      <c r="K103" s="29">
        <v>520.70000000000005</v>
      </c>
      <c r="L103" s="80">
        <f t="shared" si="116"/>
        <v>-58.100000000000023</v>
      </c>
      <c r="M103" s="80">
        <f t="shared" si="102"/>
        <v>-15348.39624200843</v>
      </c>
      <c r="N103" s="31">
        <v>88</v>
      </c>
      <c r="O103" s="80">
        <f t="shared" si="117"/>
        <v>6</v>
      </c>
      <c r="P103" s="80">
        <f t="shared" si="103"/>
        <v>1585.0323141488905</v>
      </c>
      <c r="Q103" s="29">
        <v>4.74</v>
      </c>
      <c r="R103" s="80">
        <f t="shared" si="106"/>
        <v>0</v>
      </c>
      <c r="S103" s="80">
        <f t="shared" si="107"/>
        <v>0</v>
      </c>
      <c r="T103" s="80"/>
      <c r="U103" s="80">
        <f t="shared" si="94"/>
        <v>0</v>
      </c>
      <c r="V103" s="215">
        <f t="shared" si="86"/>
        <v>0</v>
      </c>
      <c r="W103" s="185"/>
      <c r="X103" s="80"/>
      <c r="Y103" s="80">
        <f t="shared" si="105"/>
        <v>0</v>
      </c>
      <c r="Z103" s="194">
        <v>16.3</v>
      </c>
      <c r="AA103" s="80">
        <f t="shared" si="118"/>
        <v>0.98000000000000043</v>
      </c>
      <c r="AB103" s="80">
        <f t="shared" si="113"/>
        <v>258.8886113109856</v>
      </c>
      <c r="AC103" s="194">
        <v>1.71</v>
      </c>
      <c r="AD103" s="80">
        <f t="shared" si="96"/>
        <v>0</v>
      </c>
      <c r="AE103" s="80">
        <f t="shared" si="119"/>
        <v>0</v>
      </c>
      <c r="AF103" s="194">
        <v>256.5</v>
      </c>
      <c r="AG103" s="80">
        <f t="shared" si="109"/>
        <v>0</v>
      </c>
      <c r="AH103" s="80">
        <f t="shared" si="90"/>
        <v>0</v>
      </c>
      <c r="AI103" s="194">
        <v>105.9</v>
      </c>
      <c r="AJ103" s="80">
        <f t="shared" si="108"/>
        <v>21.599999999999994</v>
      </c>
      <c r="AK103" s="80">
        <f t="shared" si="111"/>
        <v>5706.1163309360036</v>
      </c>
      <c r="AL103" s="194">
        <v>9.5</v>
      </c>
      <c r="AM103" s="80">
        <f t="shared" si="110"/>
        <v>-3.62</v>
      </c>
      <c r="AN103" s="17">
        <f t="shared" si="112"/>
        <v>-956.30282953649726</v>
      </c>
      <c r="AO103" s="235">
        <f t="shared" si="84"/>
        <v>0</v>
      </c>
      <c r="AP103" s="18"/>
    </row>
    <row r="104" spans="1:42" s="3" customFormat="1">
      <c r="A104" s="15">
        <v>45028</v>
      </c>
      <c r="B104" s="194">
        <v>0</v>
      </c>
      <c r="C104" s="80">
        <f t="shared" si="114"/>
        <v>0</v>
      </c>
      <c r="D104" s="80">
        <f t="shared" si="99"/>
        <v>0</v>
      </c>
      <c r="E104" s="29">
        <v>38</v>
      </c>
      <c r="F104" s="80">
        <f t="shared" si="104"/>
        <v>1.0399999999999991</v>
      </c>
      <c r="G104" s="80">
        <f t="shared" si="100"/>
        <v>274.7389344524741</v>
      </c>
      <c r="H104" s="194">
        <v>255.04</v>
      </c>
      <c r="I104" s="80">
        <f t="shared" si="115"/>
        <v>0</v>
      </c>
      <c r="J104" s="80">
        <f t="shared" si="101"/>
        <v>0</v>
      </c>
      <c r="K104" s="29">
        <v>442.2</v>
      </c>
      <c r="L104" s="80">
        <f t="shared" si="116"/>
        <v>78.500000000000057</v>
      </c>
      <c r="M104" s="80">
        <f t="shared" si="102"/>
        <v>20737.506110114668</v>
      </c>
      <c r="N104" s="31">
        <v>83</v>
      </c>
      <c r="O104" s="80">
        <f t="shared" si="117"/>
        <v>5</v>
      </c>
      <c r="P104" s="80">
        <f t="shared" si="103"/>
        <v>1320.860261790742</v>
      </c>
      <c r="Q104" s="29">
        <v>4.2300000000000004</v>
      </c>
      <c r="R104" s="80">
        <f t="shared" si="106"/>
        <v>0.50999999999999979</v>
      </c>
      <c r="S104" s="80">
        <f t="shared" si="107"/>
        <v>134.72774670265562</v>
      </c>
      <c r="T104" s="80"/>
      <c r="U104" s="80">
        <f t="shared" si="94"/>
        <v>0</v>
      </c>
      <c r="V104" s="215">
        <f t="shared" si="86"/>
        <v>0</v>
      </c>
      <c r="W104" s="185"/>
      <c r="X104" s="80"/>
      <c r="Y104" s="80">
        <f t="shared" si="105"/>
        <v>0</v>
      </c>
      <c r="Z104" s="194">
        <v>17.420000000000002</v>
      </c>
      <c r="AA104" s="80">
        <f t="shared" si="118"/>
        <v>1.120000000000001</v>
      </c>
      <c r="AB104" s="80">
        <f t="shared" si="113"/>
        <v>295.87269864112648</v>
      </c>
      <c r="AC104" s="194">
        <v>1.71</v>
      </c>
      <c r="AD104" s="80">
        <f t="shared" si="96"/>
        <v>0</v>
      </c>
      <c r="AE104" s="80">
        <f t="shared" si="119"/>
        <v>0</v>
      </c>
      <c r="AF104" s="194">
        <v>256.2</v>
      </c>
      <c r="AG104" s="80">
        <f t="shared" si="109"/>
        <v>0.30000000000001137</v>
      </c>
      <c r="AH104" s="80">
        <f t="shared" si="90"/>
        <v>79.251615707447527</v>
      </c>
      <c r="AI104" s="194">
        <v>142.80000000000001</v>
      </c>
      <c r="AJ104" s="80">
        <f t="shared" si="108"/>
        <v>-36.900000000000006</v>
      </c>
      <c r="AK104" s="80">
        <f t="shared" si="111"/>
        <v>-9747.9487320156786</v>
      </c>
      <c r="AL104" s="194">
        <v>7.58</v>
      </c>
      <c r="AM104" s="80">
        <f t="shared" si="110"/>
        <v>1.92</v>
      </c>
      <c r="AN104" s="17">
        <f t="shared" si="112"/>
        <v>507.21034052764497</v>
      </c>
      <c r="AO104" s="235">
        <f t="shared" si="84"/>
        <v>0</v>
      </c>
      <c r="AP104" s="18"/>
    </row>
    <row r="105" spans="1:42" s="3" customFormat="1">
      <c r="A105" s="15">
        <v>45029</v>
      </c>
      <c r="B105" s="194">
        <v>0</v>
      </c>
      <c r="C105" s="80">
        <f t="shared" si="114"/>
        <v>0</v>
      </c>
      <c r="D105" s="80">
        <f t="shared" si="99"/>
        <v>0</v>
      </c>
      <c r="E105" s="29">
        <v>39.1</v>
      </c>
      <c r="F105" s="80">
        <f t="shared" si="104"/>
        <v>1.1000000000000014</v>
      </c>
      <c r="G105" s="80">
        <f t="shared" si="100"/>
        <v>290.58925759396362</v>
      </c>
      <c r="H105" s="194">
        <v>255.04</v>
      </c>
      <c r="I105" s="80">
        <f t="shared" si="115"/>
        <v>0</v>
      </c>
      <c r="J105" s="80">
        <f t="shared" si="101"/>
        <v>0</v>
      </c>
      <c r="K105" s="29">
        <v>410.5</v>
      </c>
      <c r="L105" s="80">
        <f t="shared" si="116"/>
        <v>31.699999999999989</v>
      </c>
      <c r="M105" s="80">
        <f t="shared" si="102"/>
        <v>8374.2540597533025</v>
      </c>
      <c r="N105" s="31">
        <v>77.36</v>
      </c>
      <c r="O105" s="80">
        <f t="shared" si="117"/>
        <v>5.6400000000000006</v>
      </c>
      <c r="P105" s="80">
        <f t="shared" si="103"/>
        <v>1489.9303752999574</v>
      </c>
      <c r="Q105" s="29">
        <v>4.2300000000000004</v>
      </c>
      <c r="R105" s="80">
        <f t="shared" si="106"/>
        <v>0</v>
      </c>
      <c r="S105" s="80">
        <f t="shared" si="107"/>
        <v>0</v>
      </c>
      <c r="T105" s="80"/>
      <c r="U105" s="80">
        <f t="shared" si="94"/>
        <v>0</v>
      </c>
      <c r="V105" s="215">
        <f t="shared" si="86"/>
        <v>0</v>
      </c>
      <c r="W105" s="185"/>
      <c r="X105" s="80"/>
      <c r="Y105" s="80">
        <f t="shared" si="105"/>
        <v>0</v>
      </c>
      <c r="Z105" s="194">
        <v>17.7</v>
      </c>
      <c r="AA105" s="80">
        <f t="shared" si="118"/>
        <v>0.27999999999999758</v>
      </c>
      <c r="AB105" s="80">
        <f t="shared" si="113"/>
        <v>73.968174660280923</v>
      </c>
      <c r="AC105" s="194">
        <v>17.54</v>
      </c>
      <c r="AD105" s="80">
        <f t="shared" si="96"/>
        <v>15.829999999999998</v>
      </c>
      <c r="AE105" s="80">
        <f t="shared" si="119"/>
        <v>4181.8435888294889</v>
      </c>
      <c r="AF105" s="194">
        <v>256.62</v>
      </c>
      <c r="AG105" s="80">
        <f t="shared" si="109"/>
        <v>-0.42000000000001592</v>
      </c>
      <c r="AH105" s="80">
        <f t="shared" si="90"/>
        <v>-110.95226199042654</v>
      </c>
      <c r="AI105" s="194">
        <v>192.33</v>
      </c>
      <c r="AJ105" s="80">
        <f t="shared" si="108"/>
        <v>-49.53</v>
      </c>
      <c r="AK105" s="80">
        <f t="shared" si="111"/>
        <v>-13084.441753299092</v>
      </c>
      <c r="AL105" s="194">
        <v>6.87</v>
      </c>
      <c r="AM105" s="80">
        <f t="shared" si="110"/>
        <v>0.71</v>
      </c>
      <c r="AN105" s="17">
        <f t="shared" si="112"/>
        <v>187.56215717428537</v>
      </c>
      <c r="AO105" s="235">
        <f t="shared" si="84"/>
        <v>15778.996687352206</v>
      </c>
      <c r="AP105" s="18">
        <v>59.73</v>
      </c>
    </row>
    <row r="106" spans="1:42" s="3" customFormat="1">
      <c r="A106" s="15">
        <v>45030</v>
      </c>
      <c r="B106" s="194">
        <v>0</v>
      </c>
      <c r="C106" s="80">
        <f t="shared" si="114"/>
        <v>0</v>
      </c>
      <c r="D106" s="80">
        <f t="shared" ref="D106:D125" si="120">+CONVERT(C106,"m^3","gal")</f>
        <v>0</v>
      </c>
      <c r="E106" s="29">
        <v>39.97</v>
      </c>
      <c r="F106" s="80">
        <f t="shared" si="104"/>
        <v>0.86999999999999744</v>
      </c>
      <c r="G106" s="80">
        <f t="shared" ref="G106:G137" si="121">+CONVERT(F106,"m^3","gal")</f>
        <v>229.82968555158845</v>
      </c>
      <c r="H106" s="194">
        <v>255.04</v>
      </c>
      <c r="I106" s="80">
        <f t="shared" si="115"/>
        <v>0</v>
      </c>
      <c r="J106" s="80">
        <f t="shared" ref="J106:J137" si="122">+CONVERT(I106,"m^3","gal")</f>
        <v>0</v>
      </c>
      <c r="K106" s="29">
        <v>317.8</v>
      </c>
      <c r="L106" s="80">
        <f t="shared" si="116"/>
        <v>92.699999999999989</v>
      </c>
      <c r="M106" s="80">
        <f t="shared" ref="M106:M137" si="123">+CONVERT(L106,"m^3","gal")</f>
        <v>24488.749253600356</v>
      </c>
      <c r="N106" s="31">
        <v>100</v>
      </c>
      <c r="O106" s="80">
        <f t="shared" si="117"/>
        <v>-22.64</v>
      </c>
      <c r="P106" s="80">
        <f t="shared" ref="P106:P137" si="124">+CONVERT(O106,"m^3","gal")</f>
        <v>-5980.8552653884799</v>
      </c>
      <c r="Q106" s="29">
        <v>26.32</v>
      </c>
      <c r="R106" s="80">
        <f t="shared" si="106"/>
        <v>-22.09</v>
      </c>
      <c r="S106" s="80">
        <f t="shared" si="107"/>
        <v>-5835.5606365914982</v>
      </c>
      <c r="T106" s="80"/>
      <c r="U106" s="80">
        <f t="shared" si="94"/>
        <v>0</v>
      </c>
      <c r="V106" s="215">
        <f t="shared" si="86"/>
        <v>22.708685292216</v>
      </c>
      <c r="W106" s="185">
        <v>5999</v>
      </c>
      <c r="X106" s="80"/>
      <c r="Y106" s="80">
        <f t="shared" si="105"/>
        <v>0</v>
      </c>
      <c r="Z106" s="194">
        <v>17.989999999999998</v>
      </c>
      <c r="AA106" s="80">
        <f t="shared" si="118"/>
        <v>0.28999999999999915</v>
      </c>
      <c r="AB106" s="80">
        <f t="shared" si="113"/>
        <v>76.609895183862818</v>
      </c>
      <c r="AC106" s="194">
        <v>18.43</v>
      </c>
      <c r="AD106" s="80">
        <f t="shared" si="96"/>
        <v>0.89000000000000057</v>
      </c>
      <c r="AE106" s="80">
        <f t="shared" si="119"/>
        <v>235.11312659875225</v>
      </c>
      <c r="AF106" s="194">
        <v>254.76</v>
      </c>
      <c r="AG106" s="80">
        <f t="shared" si="109"/>
        <v>1.8600000000000136</v>
      </c>
      <c r="AH106" s="80">
        <f t="shared" si="90"/>
        <v>491.36001738615965</v>
      </c>
      <c r="AI106" s="194">
        <v>258.18</v>
      </c>
      <c r="AJ106" s="80">
        <f t="shared" si="108"/>
        <v>-65.849999999999994</v>
      </c>
      <c r="AK106" s="80">
        <f t="shared" si="111"/>
        <v>-17395.729647784072</v>
      </c>
      <c r="AL106" s="194">
        <v>6.53</v>
      </c>
      <c r="AM106" s="80">
        <f t="shared" si="110"/>
        <v>0.33999999999999986</v>
      </c>
      <c r="AN106" s="17">
        <f t="shared" si="112"/>
        <v>89.818497801770434</v>
      </c>
      <c r="AO106" s="235">
        <f t="shared" si="84"/>
        <v>19543.448433455822</v>
      </c>
      <c r="AP106" s="18">
        <v>73.98</v>
      </c>
    </row>
    <row r="107" spans="1:42" s="3" customFormat="1">
      <c r="A107" s="15">
        <v>45031</v>
      </c>
      <c r="B107" s="194">
        <v>0</v>
      </c>
      <c r="C107" s="80">
        <f t="shared" si="114"/>
        <v>0</v>
      </c>
      <c r="D107" s="80">
        <f t="shared" si="120"/>
        <v>0</v>
      </c>
      <c r="E107" s="29">
        <v>40.94</v>
      </c>
      <c r="F107" s="80">
        <f t="shared" si="104"/>
        <v>0.96999999999999886</v>
      </c>
      <c r="G107" s="80">
        <f t="shared" si="121"/>
        <v>256.24689078740369</v>
      </c>
      <c r="H107" s="194">
        <v>255.04</v>
      </c>
      <c r="I107" s="80">
        <f t="shared" si="115"/>
        <v>0</v>
      </c>
      <c r="J107" s="80">
        <f t="shared" si="122"/>
        <v>0</v>
      </c>
      <c r="K107" s="29">
        <v>340.4</v>
      </c>
      <c r="L107" s="80">
        <f t="shared" si="116"/>
        <v>-22.599999999999966</v>
      </c>
      <c r="M107" s="80">
        <f t="shared" si="123"/>
        <v>-5970.2883832941461</v>
      </c>
      <c r="N107" s="31">
        <v>94.35</v>
      </c>
      <c r="O107" s="80">
        <f t="shared" si="117"/>
        <v>5.6500000000000057</v>
      </c>
      <c r="P107" s="80">
        <f t="shared" si="124"/>
        <v>1492.5720958235399</v>
      </c>
      <c r="Q107" s="29">
        <v>26.25</v>
      </c>
      <c r="R107" s="80">
        <f t="shared" si="106"/>
        <v>7.0000000000000284E-2</v>
      </c>
      <c r="S107" s="80">
        <f t="shared" si="107"/>
        <v>18.492043665070465</v>
      </c>
      <c r="T107" s="80"/>
      <c r="U107" s="80">
        <f t="shared" si="94"/>
        <v>0</v>
      </c>
      <c r="V107" s="215">
        <f t="shared" si="86"/>
        <v>0</v>
      </c>
      <c r="W107" s="185"/>
      <c r="X107" s="80"/>
      <c r="Y107" s="80">
        <f t="shared" si="105"/>
        <v>0</v>
      </c>
      <c r="Z107" s="194">
        <v>17.989999999999998</v>
      </c>
      <c r="AA107" s="80">
        <f t="shared" si="118"/>
        <v>0</v>
      </c>
      <c r="AB107" s="80">
        <f t="shared" si="113"/>
        <v>0</v>
      </c>
      <c r="AC107" s="194">
        <v>18.46</v>
      </c>
      <c r="AD107" s="80">
        <f t="shared" si="96"/>
        <v>3.0000000000001137E-2</v>
      </c>
      <c r="AE107" s="80">
        <f t="shared" si="119"/>
        <v>7.9251615707447529</v>
      </c>
      <c r="AF107" s="194">
        <v>254.76</v>
      </c>
      <c r="AG107" s="80">
        <f t="shared" si="109"/>
        <v>0</v>
      </c>
      <c r="AH107" s="80">
        <f t="shared" si="90"/>
        <v>0</v>
      </c>
      <c r="AI107" s="194">
        <v>245.07</v>
      </c>
      <c r="AJ107" s="80">
        <f t="shared" si="108"/>
        <v>13.110000000000014</v>
      </c>
      <c r="AK107" s="80">
        <f t="shared" si="111"/>
        <v>3463.2956064153295</v>
      </c>
      <c r="AL107" s="194">
        <v>6.38</v>
      </c>
      <c r="AM107" s="80">
        <f t="shared" si="110"/>
        <v>0.15000000000000036</v>
      </c>
      <c r="AN107" s="17">
        <f t="shared" si="112"/>
        <v>39.625807853722357</v>
      </c>
      <c r="AO107" s="235">
        <f t="shared" si="84"/>
        <v>0</v>
      </c>
      <c r="AP107" s="18"/>
    </row>
    <row r="108" spans="1:42" s="3" customFormat="1">
      <c r="A108" s="15">
        <v>45032</v>
      </c>
      <c r="B108" s="194">
        <v>0</v>
      </c>
      <c r="C108" s="80">
        <f t="shared" si="114"/>
        <v>0</v>
      </c>
      <c r="D108" s="80">
        <f t="shared" si="120"/>
        <v>0</v>
      </c>
      <c r="E108" s="29">
        <v>41.97</v>
      </c>
      <c r="F108" s="80">
        <f t="shared" si="104"/>
        <v>1.0300000000000011</v>
      </c>
      <c r="G108" s="80">
        <f t="shared" si="121"/>
        <v>272.09721392889315</v>
      </c>
      <c r="H108" s="194">
        <v>255.04</v>
      </c>
      <c r="I108" s="80">
        <f t="shared" si="115"/>
        <v>0</v>
      </c>
      <c r="J108" s="80">
        <f t="shared" si="122"/>
        <v>0</v>
      </c>
      <c r="K108" s="29">
        <v>339</v>
      </c>
      <c r="L108" s="80">
        <f t="shared" si="116"/>
        <v>1.3999999999999773</v>
      </c>
      <c r="M108" s="80">
        <f t="shared" si="123"/>
        <v>369.84087330140181</v>
      </c>
      <c r="N108" s="31">
        <v>88.79</v>
      </c>
      <c r="O108" s="80">
        <f t="shared" si="117"/>
        <v>5.5599999999999881</v>
      </c>
      <c r="P108" s="80">
        <f t="shared" si="124"/>
        <v>1468.7966111113021</v>
      </c>
      <c r="Q108" s="29">
        <v>26.25</v>
      </c>
      <c r="R108" s="80">
        <f t="shared" si="106"/>
        <v>0</v>
      </c>
      <c r="S108" s="80">
        <f t="shared" si="107"/>
        <v>0</v>
      </c>
      <c r="T108" s="80"/>
      <c r="U108" s="80">
        <f t="shared" si="94"/>
        <v>0</v>
      </c>
      <c r="V108" s="215">
        <f t="shared" si="86"/>
        <v>0</v>
      </c>
      <c r="W108" s="185"/>
      <c r="X108" s="80"/>
      <c r="Y108" s="80">
        <f t="shared" si="105"/>
        <v>0</v>
      </c>
      <c r="Z108" s="194">
        <v>14.27</v>
      </c>
      <c r="AA108" s="80">
        <f t="shared" si="118"/>
        <v>-3.7199999999999989</v>
      </c>
      <c r="AB108" s="80">
        <f t="shared" si="113"/>
        <v>-982.72003477231192</v>
      </c>
      <c r="AC108" s="194">
        <v>18.45</v>
      </c>
      <c r="AD108" s="80">
        <f t="shared" si="96"/>
        <v>-1.0000000000001563E-2</v>
      </c>
      <c r="AE108" s="80">
        <f t="shared" si="119"/>
        <v>-2.6417205235818972</v>
      </c>
      <c r="AF108" s="194">
        <v>254.82</v>
      </c>
      <c r="AG108" s="80">
        <f t="shared" si="109"/>
        <v>-6.0000000000002274E-2</v>
      </c>
      <c r="AH108" s="80">
        <f t="shared" si="90"/>
        <v>-15.850323141489506</v>
      </c>
      <c r="AI108" s="194">
        <v>232.53</v>
      </c>
      <c r="AJ108" s="80">
        <f t="shared" si="108"/>
        <v>12.539999999999992</v>
      </c>
      <c r="AK108" s="80">
        <f t="shared" si="111"/>
        <v>3312.7175365711792</v>
      </c>
      <c r="AL108" s="194">
        <v>4.68</v>
      </c>
      <c r="AM108" s="80">
        <f t="shared" si="110"/>
        <v>1.7000000000000002</v>
      </c>
      <c r="AN108" s="17">
        <f t="shared" si="112"/>
        <v>449.0924890088524</v>
      </c>
      <c r="AO108" s="235">
        <f t="shared" si="84"/>
        <v>0</v>
      </c>
      <c r="AP108" s="18"/>
    </row>
    <row r="109" spans="1:42" s="3" customFormat="1">
      <c r="A109" s="15">
        <v>45033</v>
      </c>
      <c r="B109" s="194">
        <v>0</v>
      </c>
      <c r="C109" s="80">
        <f t="shared" si="114"/>
        <v>0</v>
      </c>
      <c r="D109" s="80">
        <f t="shared" si="120"/>
        <v>0</v>
      </c>
      <c r="E109" s="29">
        <v>43.06</v>
      </c>
      <c r="F109" s="80">
        <f t="shared" ref="F109:F140" si="125">IF(E109="",0,E109-E108)</f>
        <v>1.0900000000000034</v>
      </c>
      <c r="G109" s="80">
        <f t="shared" si="121"/>
        <v>287.94753707038268</v>
      </c>
      <c r="H109" s="194">
        <v>255.04</v>
      </c>
      <c r="I109" s="80">
        <f t="shared" si="115"/>
        <v>0</v>
      </c>
      <c r="J109" s="80">
        <f t="shared" si="122"/>
        <v>0</v>
      </c>
      <c r="K109" s="29">
        <v>348.7</v>
      </c>
      <c r="L109" s="80">
        <f t="shared" si="116"/>
        <v>-9.6999999999999886</v>
      </c>
      <c r="M109" s="80">
        <f t="shared" si="123"/>
        <v>-2562.4689078740366</v>
      </c>
      <c r="N109" s="31">
        <v>82.7</v>
      </c>
      <c r="O109" s="80">
        <f t="shared" si="117"/>
        <v>6.0900000000000034</v>
      </c>
      <c r="P109" s="80">
        <f t="shared" si="124"/>
        <v>1608.8077988611249</v>
      </c>
      <c r="Q109" s="29">
        <v>26.25</v>
      </c>
      <c r="R109" s="80">
        <f t="shared" si="106"/>
        <v>0</v>
      </c>
      <c r="S109" s="80">
        <f t="shared" si="107"/>
        <v>0</v>
      </c>
      <c r="T109" s="80"/>
      <c r="U109" s="80">
        <f t="shared" si="94"/>
        <v>0</v>
      </c>
      <c r="V109" s="215">
        <f t="shared" si="86"/>
        <v>0</v>
      </c>
      <c r="W109" s="185"/>
      <c r="X109" s="80"/>
      <c r="Y109" s="80">
        <f t="shared" si="105"/>
        <v>0</v>
      </c>
      <c r="Z109" s="194">
        <v>15.41</v>
      </c>
      <c r="AA109" s="80">
        <f t="shared" si="118"/>
        <v>1.1400000000000006</v>
      </c>
      <c r="AB109" s="80">
        <f t="shared" si="113"/>
        <v>301.15613968828933</v>
      </c>
      <c r="AC109" s="194">
        <v>18.38</v>
      </c>
      <c r="AD109" s="80">
        <f t="shared" si="96"/>
        <v>-7.0000000000000284E-2</v>
      </c>
      <c r="AE109" s="80">
        <f t="shared" si="119"/>
        <v>-18.492043665070465</v>
      </c>
      <c r="AF109" s="194">
        <v>255.06</v>
      </c>
      <c r="AG109" s="80">
        <f t="shared" si="109"/>
        <v>-0.24000000000000909</v>
      </c>
      <c r="AH109" s="80">
        <f t="shared" si="90"/>
        <v>-63.401292565958023</v>
      </c>
      <c r="AI109" s="194">
        <v>211.65</v>
      </c>
      <c r="AJ109" s="80">
        <f t="shared" si="108"/>
        <v>20.879999999999995</v>
      </c>
      <c r="AK109" s="80">
        <f t="shared" si="111"/>
        <v>5515.9124532381384</v>
      </c>
      <c r="AL109" s="194">
        <v>8.24</v>
      </c>
      <c r="AM109" s="80">
        <f t="shared" si="110"/>
        <v>-3.5600000000000005</v>
      </c>
      <c r="AN109" s="17">
        <f t="shared" si="112"/>
        <v>-940.45250639500853</v>
      </c>
      <c r="AO109" s="235">
        <f t="shared" si="84"/>
        <v>0</v>
      </c>
      <c r="AP109" s="18"/>
    </row>
    <row r="110" spans="1:42" s="3" customFormat="1">
      <c r="A110" s="15">
        <v>45034</v>
      </c>
      <c r="B110" s="194">
        <v>0</v>
      </c>
      <c r="C110" s="80">
        <f t="shared" si="114"/>
        <v>0</v>
      </c>
      <c r="D110" s="80">
        <f t="shared" si="120"/>
        <v>0</v>
      </c>
      <c r="E110" s="29">
        <v>44.02</v>
      </c>
      <c r="F110" s="80">
        <f t="shared" si="125"/>
        <v>0.96000000000000085</v>
      </c>
      <c r="G110" s="80">
        <f t="shared" si="121"/>
        <v>253.60517026382271</v>
      </c>
      <c r="H110" s="194">
        <v>255.04</v>
      </c>
      <c r="I110" s="80">
        <f t="shared" si="115"/>
        <v>0</v>
      </c>
      <c r="J110" s="80">
        <f t="shared" si="122"/>
        <v>0</v>
      </c>
      <c r="K110" s="29">
        <v>352.3</v>
      </c>
      <c r="L110" s="80">
        <f t="shared" si="116"/>
        <v>-3.6000000000000227</v>
      </c>
      <c r="M110" s="80">
        <f t="shared" si="123"/>
        <v>-951.01938848934037</v>
      </c>
      <c r="N110" s="31">
        <v>76.8</v>
      </c>
      <c r="O110" s="80">
        <f t="shared" si="117"/>
        <v>5.9000000000000057</v>
      </c>
      <c r="P110" s="80">
        <f t="shared" si="124"/>
        <v>1558.6151089130772</v>
      </c>
      <c r="Q110" s="29">
        <v>26.2</v>
      </c>
      <c r="R110" s="80">
        <f t="shared" si="106"/>
        <v>5.0000000000000711E-2</v>
      </c>
      <c r="S110" s="80">
        <f t="shared" si="107"/>
        <v>13.208602617907609</v>
      </c>
      <c r="T110" s="80"/>
      <c r="U110" s="80">
        <f t="shared" si="94"/>
        <v>0</v>
      </c>
      <c r="V110" s="215">
        <f t="shared" si="86"/>
        <v>0</v>
      </c>
      <c r="W110" s="185"/>
      <c r="X110" s="80"/>
      <c r="Y110" s="80">
        <f t="shared" si="105"/>
        <v>0</v>
      </c>
      <c r="Z110" s="194">
        <v>16.54</v>
      </c>
      <c r="AA110" s="80">
        <f t="shared" si="118"/>
        <v>1.129999999999999</v>
      </c>
      <c r="AB110" s="80">
        <f t="shared" si="113"/>
        <v>298.51441916470748</v>
      </c>
      <c r="AC110" s="194">
        <v>18.489999999999998</v>
      </c>
      <c r="AD110" s="80">
        <f t="shared" si="96"/>
        <v>0.10999999999999943</v>
      </c>
      <c r="AE110" s="80">
        <f t="shared" si="119"/>
        <v>29.058925759396175</v>
      </c>
      <c r="AF110" s="194">
        <v>252.18</v>
      </c>
      <c r="AG110" s="80">
        <f t="shared" si="109"/>
        <v>2.8799999999999955</v>
      </c>
      <c r="AH110" s="80">
        <f t="shared" si="90"/>
        <v>760.81551079146629</v>
      </c>
      <c r="AI110" s="194">
        <v>199.02</v>
      </c>
      <c r="AJ110" s="80">
        <f t="shared" si="108"/>
        <v>12.629999999999995</v>
      </c>
      <c r="AK110" s="80">
        <f t="shared" si="111"/>
        <v>3336.4930212834138</v>
      </c>
      <c r="AL110" s="194">
        <v>6.45</v>
      </c>
      <c r="AM110" s="80">
        <f t="shared" si="110"/>
        <v>1.79</v>
      </c>
      <c r="AN110" s="17">
        <f t="shared" si="112"/>
        <v>472.86797372108566</v>
      </c>
      <c r="AO110" s="235">
        <f t="shared" si="84"/>
        <v>0</v>
      </c>
      <c r="AP110" s="18"/>
    </row>
    <row r="111" spans="1:42" s="3" customFormat="1">
      <c r="A111" s="15">
        <v>45035</v>
      </c>
      <c r="B111" s="194">
        <v>0</v>
      </c>
      <c r="C111" s="80">
        <f t="shared" si="114"/>
        <v>0</v>
      </c>
      <c r="D111" s="80">
        <f t="shared" si="120"/>
        <v>0</v>
      </c>
      <c r="E111" s="29">
        <v>44.8</v>
      </c>
      <c r="F111" s="80">
        <f t="shared" si="125"/>
        <v>0.77999999999999403</v>
      </c>
      <c r="G111" s="80">
        <f t="shared" si="121"/>
        <v>206.05420083935419</v>
      </c>
      <c r="H111" s="194">
        <v>255.04</v>
      </c>
      <c r="I111" s="80">
        <f t="shared" si="115"/>
        <v>0</v>
      </c>
      <c r="J111" s="80">
        <f t="shared" si="122"/>
        <v>0</v>
      </c>
      <c r="K111" s="29">
        <v>648.79999999999995</v>
      </c>
      <c r="L111" s="80">
        <f t="shared" si="116"/>
        <v>-296.49999999999994</v>
      </c>
      <c r="M111" s="80">
        <f t="shared" si="123"/>
        <v>-78327.013524190988</v>
      </c>
      <c r="N111" s="31">
        <v>70.16</v>
      </c>
      <c r="O111" s="80">
        <f t="shared" si="117"/>
        <v>6.6400000000000006</v>
      </c>
      <c r="P111" s="80">
        <f t="shared" si="124"/>
        <v>1754.1024276581059</v>
      </c>
      <c r="Q111" s="29">
        <v>24.63</v>
      </c>
      <c r="R111" s="80">
        <f t="shared" si="106"/>
        <v>1.5700000000000003</v>
      </c>
      <c r="S111" s="80">
        <f t="shared" si="107"/>
        <v>414.75012220229308</v>
      </c>
      <c r="T111" s="80"/>
      <c r="U111" s="80">
        <f t="shared" si="94"/>
        <v>0</v>
      </c>
      <c r="V111" s="215">
        <f t="shared" si="86"/>
        <v>0</v>
      </c>
      <c r="W111" s="185"/>
      <c r="X111" s="80"/>
      <c r="Y111" s="80">
        <f t="shared" si="105"/>
        <v>0</v>
      </c>
      <c r="Z111" s="194">
        <v>17.82</v>
      </c>
      <c r="AA111" s="80">
        <f t="shared" si="118"/>
        <v>1.2800000000000011</v>
      </c>
      <c r="AB111" s="80">
        <f t="shared" si="113"/>
        <v>338.14022701843027</v>
      </c>
      <c r="AC111" s="194">
        <v>18.489999999999998</v>
      </c>
      <c r="AD111" s="80">
        <f t="shared" si="96"/>
        <v>0</v>
      </c>
      <c r="AE111" s="80">
        <f t="shared" si="119"/>
        <v>0</v>
      </c>
      <c r="AF111" s="194">
        <v>251.7</v>
      </c>
      <c r="AG111" s="80">
        <f t="shared" si="109"/>
        <v>0.48000000000001819</v>
      </c>
      <c r="AH111" s="80">
        <f t="shared" si="90"/>
        <v>126.80258513191605</v>
      </c>
      <c r="AI111" s="194">
        <v>180.3</v>
      </c>
      <c r="AJ111" s="80">
        <f t="shared" si="108"/>
        <v>18.72</v>
      </c>
      <c r="AK111" s="80">
        <f t="shared" si="111"/>
        <v>4945.3008201445382</v>
      </c>
      <c r="AL111" s="194">
        <v>5.4</v>
      </c>
      <c r="AM111" s="80">
        <f t="shared" si="110"/>
        <v>1.0499999999999998</v>
      </c>
      <c r="AN111" s="17">
        <f t="shared" si="112"/>
        <v>277.38065497605578</v>
      </c>
      <c r="AO111" s="235">
        <f t="shared" si="84"/>
        <v>0</v>
      </c>
      <c r="AP111" s="18"/>
    </row>
    <row r="112" spans="1:42" s="3" customFormat="1">
      <c r="A112" s="15">
        <v>45036</v>
      </c>
      <c r="B112" s="194">
        <v>0</v>
      </c>
      <c r="C112" s="80">
        <f t="shared" si="114"/>
        <v>0</v>
      </c>
      <c r="D112" s="80">
        <f t="shared" si="120"/>
        <v>0</v>
      </c>
      <c r="E112" s="29">
        <v>46.08</v>
      </c>
      <c r="F112" s="80">
        <f t="shared" si="125"/>
        <v>1.2800000000000011</v>
      </c>
      <c r="G112" s="80">
        <f t="shared" si="121"/>
        <v>338.14022701843027</v>
      </c>
      <c r="H112" s="194">
        <v>255.04</v>
      </c>
      <c r="I112" s="80">
        <f t="shared" si="115"/>
        <v>0</v>
      </c>
      <c r="J112" s="80">
        <f t="shared" si="122"/>
        <v>0</v>
      </c>
      <c r="K112" s="29">
        <v>693</v>
      </c>
      <c r="L112" s="80">
        <f t="shared" si="116"/>
        <v>-44.200000000000045</v>
      </c>
      <c r="M112" s="80">
        <f t="shared" si="123"/>
        <v>-11676.404714230172</v>
      </c>
      <c r="N112" s="31">
        <v>64.290000000000006</v>
      </c>
      <c r="O112" s="80">
        <f t="shared" si="117"/>
        <v>5.8699999999999903</v>
      </c>
      <c r="P112" s="80">
        <f t="shared" si="124"/>
        <v>1550.6899473423287</v>
      </c>
      <c r="Q112" s="29">
        <v>24.63</v>
      </c>
      <c r="R112" s="80">
        <f t="shared" si="106"/>
        <v>0</v>
      </c>
      <c r="S112" s="80">
        <f t="shared" si="107"/>
        <v>0</v>
      </c>
      <c r="T112" s="80"/>
      <c r="U112" s="80">
        <f t="shared" si="94"/>
        <v>0</v>
      </c>
      <c r="V112" s="215">
        <f t="shared" si="86"/>
        <v>0</v>
      </c>
      <c r="W112" s="185"/>
      <c r="X112" s="80">
        <v>9722</v>
      </c>
      <c r="Y112" s="80">
        <f t="shared" si="105"/>
        <v>36.801773364048003</v>
      </c>
      <c r="Z112" s="194">
        <v>4.66</v>
      </c>
      <c r="AA112" s="80">
        <f t="shared" si="118"/>
        <v>-13.16</v>
      </c>
      <c r="AB112" s="80">
        <f t="shared" si="113"/>
        <v>-3476.5042090332331</v>
      </c>
      <c r="AC112" s="194">
        <v>3.7</v>
      </c>
      <c r="AD112" s="80">
        <f t="shared" si="96"/>
        <v>-14.79</v>
      </c>
      <c r="AE112" s="80">
        <f t="shared" si="119"/>
        <v>-3907.1046543770153</v>
      </c>
      <c r="AF112" s="194">
        <v>251.7</v>
      </c>
      <c r="AG112" s="80">
        <f t="shared" si="109"/>
        <v>0</v>
      </c>
      <c r="AH112" s="80">
        <f t="shared" si="90"/>
        <v>0</v>
      </c>
      <c r="AI112" s="194">
        <v>191.1</v>
      </c>
      <c r="AJ112" s="80">
        <f t="shared" si="108"/>
        <v>-10.799999999999983</v>
      </c>
      <c r="AK112" s="80">
        <f t="shared" si="111"/>
        <v>-2853.0581654679986</v>
      </c>
      <c r="AL112" s="194">
        <v>8.26</v>
      </c>
      <c r="AM112" s="80">
        <f t="shared" si="110"/>
        <v>-2.8599999999999994</v>
      </c>
      <c r="AN112" s="17">
        <f t="shared" si="112"/>
        <v>-755.53206974430441</v>
      </c>
      <c r="AO112" s="235">
        <f t="shared" si="84"/>
        <v>0</v>
      </c>
      <c r="AP112" s="18"/>
    </row>
    <row r="113" spans="1:42" s="3" customFormat="1">
      <c r="A113" s="15">
        <v>45037</v>
      </c>
      <c r="B113" s="194">
        <v>0</v>
      </c>
      <c r="C113" s="80">
        <f t="shared" si="114"/>
        <v>0</v>
      </c>
      <c r="D113" s="80">
        <f t="shared" si="120"/>
        <v>0</v>
      </c>
      <c r="E113" s="29">
        <v>47.06</v>
      </c>
      <c r="F113" s="80">
        <f t="shared" si="125"/>
        <v>0.98000000000000398</v>
      </c>
      <c r="G113" s="80">
        <f t="shared" si="121"/>
        <v>258.88861131098651</v>
      </c>
      <c r="H113" s="194">
        <v>255.04</v>
      </c>
      <c r="I113" s="80">
        <f t="shared" si="115"/>
        <v>0</v>
      </c>
      <c r="J113" s="80">
        <f t="shared" si="122"/>
        <v>0</v>
      </c>
      <c r="K113" s="29">
        <v>664.1</v>
      </c>
      <c r="L113" s="80">
        <f t="shared" si="116"/>
        <v>28.899999999999977</v>
      </c>
      <c r="M113" s="80">
        <f t="shared" si="123"/>
        <v>7634.5723131504838</v>
      </c>
      <c r="N113" s="340">
        <v>82.49</v>
      </c>
      <c r="O113" s="215">
        <f t="shared" si="117"/>
        <v>-18.199999999999989</v>
      </c>
      <c r="P113" s="215">
        <f t="shared" si="124"/>
        <v>-4807.9313529182982</v>
      </c>
      <c r="Q113" s="29">
        <v>24.6</v>
      </c>
      <c r="R113" s="80">
        <f t="shared" si="106"/>
        <v>2.9999999999997584E-2</v>
      </c>
      <c r="S113" s="80">
        <f t="shared" si="107"/>
        <v>7.9251615707438141</v>
      </c>
      <c r="T113" s="80"/>
      <c r="U113" s="80">
        <f t="shared" si="94"/>
        <v>0</v>
      </c>
      <c r="V113" s="215">
        <f t="shared" si="86"/>
        <v>0</v>
      </c>
      <c r="W113" s="185"/>
      <c r="X113" s="80"/>
      <c r="Y113" s="80">
        <f t="shared" si="105"/>
        <v>0</v>
      </c>
      <c r="Z113" s="194">
        <v>15.18</v>
      </c>
      <c r="AA113" s="80">
        <f t="shared" si="118"/>
        <v>10.52</v>
      </c>
      <c r="AB113" s="80">
        <f t="shared" si="113"/>
        <v>2779.0899908077213</v>
      </c>
      <c r="AC113" s="194">
        <v>3.68</v>
      </c>
      <c r="AD113" s="80">
        <f t="shared" si="96"/>
        <v>-2.0000000000000018E-2</v>
      </c>
      <c r="AE113" s="80">
        <f t="shared" si="119"/>
        <v>-5.2834410471629729</v>
      </c>
      <c r="AF113" s="194">
        <v>251.7</v>
      </c>
      <c r="AG113" s="80">
        <f t="shared" si="109"/>
        <v>0</v>
      </c>
      <c r="AH113" s="80">
        <f t="shared" si="90"/>
        <v>0</v>
      </c>
      <c r="AI113" s="194">
        <v>178.2</v>
      </c>
      <c r="AJ113" s="80">
        <f t="shared" si="108"/>
        <v>12.900000000000006</v>
      </c>
      <c r="AK113" s="80">
        <f t="shared" si="111"/>
        <v>3407.8194754201163</v>
      </c>
      <c r="AL113" s="194">
        <v>6.35</v>
      </c>
      <c r="AM113" s="80">
        <f t="shared" si="110"/>
        <v>1.9100000000000001</v>
      </c>
      <c r="AN113" s="17">
        <f t="shared" si="112"/>
        <v>504.56862000406358</v>
      </c>
      <c r="AO113" s="235">
        <f t="shared" si="84"/>
        <v>0</v>
      </c>
      <c r="AP113" s="18"/>
    </row>
    <row r="114" spans="1:42" s="3" customFormat="1">
      <c r="A114" s="15">
        <v>45038</v>
      </c>
      <c r="B114" s="194">
        <v>0</v>
      </c>
      <c r="C114" s="80">
        <f t="shared" si="114"/>
        <v>0</v>
      </c>
      <c r="D114" s="80">
        <f t="shared" si="120"/>
        <v>0</v>
      </c>
      <c r="E114" s="29">
        <v>47.95</v>
      </c>
      <c r="F114" s="80">
        <f t="shared" si="125"/>
        <v>0.89000000000000057</v>
      </c>
      <c r="G114" s="80">
        <f t="shared" si="121"/>
        <v>235.11312659875225</v>
      </c>
      <c r="H114" s="194">
        <v>255.04</v>
      </c>
      <c r="I114" s="80">
        <f t="shared" si="115"/>
        <v>0</v>
      </c>
      <c r="J114" s="80">
        <f t="shared" si="122"/>
        <v>0</v>
      </c>
      <c r="K114" s="29">
        <v>631.9</v>
      </c>
      <c r="L114" s="80">
        <f t="shared" si="116"/>
        <v>32.200000000000045</v>
      </c>
      <c r="M114" s="80">
        <f t="shared" si="123"/>
        <v>8506.3400859323901</v>
      </c>
      <c r="N114" s="31">
        <v>76.540000000000006</v>
      </c>
      <c r="O114" s="80">
        <f t="shared" si="117"/>
        <v>5.9499999999999886</v>
      </c>
      <c r="P114" s="80">
        <f t="shared" si="124"/>
        <v>1571.8237115309803</v>
      </c>
      <c r="Q114" s="29">
        <v>24.6</v>
      </c>
      <c r="R114" s="80">
        <f t="shared" si="106"/>
        <v>0</v>
      </c>
      <c r="S114" s="80">
        <f t="shared" si="107"/>
        <v>0</v>
      </c>
      <c r="T114" s="80"/>
      <c r="U114" s="80">
        <f t="shared" si="94"/>
        <v>0</v>
      </c>
      <c r="V114" s="215">
        <f t="shared" si="86"/>
        <v>0</v>
      </c>
      <c r="W114" s="185"/>
      <c r="X114" s="215"/>
      <c r="Y114" s="215">
        <f t="shared" si="105"/>
        <v>0</v>
      </c>
      <c r="Z114" s="219">
        <v>16.170000000000002</v>
      </c>
      <c r="AA114" s="215">
        <f t="shared" si="118"/>
        <v>0.99000000000000199</v>
      </c>
      <c r="AB114" s="215">
        <f t="shared" si="113"/>
        <v>261.53033183456751</v>
      </c>
      <c r="AC114" s="219">
        <v>3.66</v>
      </c>
      <c r="AD114" s="215">
        <f t="shared" si="96"/>
        <v>-2.0000000000000018E-2</v>
      </c>
      <c r="AE114" s="215">
        <f t="shared" si="119"/>
        <v>-5.2834410471629729</v>
      </c>
      <c r="AF114" s="194">
        <v>251.94</v>
      </c>
      <c r="AG114" s="80">
        <f t="shared" si="109"/>
        <v>-0.24000000000000909</v>
      </c>
      <c r="AH114" s="80">
        <f t="shared" si="90"/>
        <v>-63.401292565958023</v>
      </c>
      <c r="AI114" s="194">
        <v>166.38</v>
      </c>
      <c r="AJ114" s="80">
        <f t="shared" si="108"/>
        <v>11.819999999999993</v>
      </c>
      <c r="AK114" s="80">
        <f t="shared" si="111"/>
        <v>3122.5136588733126</v>
      </c>
      <c r="AL114" s="194">
        <v>6.39</v>
      </c>
      <c r="AM114" s="80">
        <f t="shared" si="110"/>
        <v>-4.0000000000000036E-2</v>
      </c>
      <c r="AN114" s="17">
        <f t="shared" si="112"/>
        <v>-10.566882094325946</v>
      </c>
      <c r="AO114" s="235">
        <f t="shared" si="84"/>
        <v>0</v>
      </c>
      <c r="AP114" s="18"/>
    </row>
    <row r="115" spans="1:42" s="3" customFormat="1">
      <c r="A115" s="15">
        <v>45039</v>
      </c>
      <c r="B115" s="194">
        <v>0</v>
      </c>
      <c r="C115" s="80">
        <f t="shared" si="114"/>
        <v>0</v>
      </c>
      <c r="D115" s="80">
        <f t="shared" si="120"/>
        <v>0</v>
      </c>
      <c r="E115" s="29">
        <v>48.98</v>
      </c>
      <c r="F115" s="80">
        <f t="shared" si="125"/>
        <v>1.029999999999994</v>
      </c>
      <c r="G115" s="80">
        <f t="shared" si="121"/>
        <v>272.09721392889134</v>
      </c>
      <c r="H115" s="194">
        <v>255.04</v>
      </c>
      <c r="I115" s="80">
        <f t="shared" si="115"/>
        <v>0</v>
      </c>
      <c r="J115" s="80">
        <f t="shared" si="122"/>
        <v>0</v>
      </c>
      <c r="K115" s="29">
        <v>547</v>
      </c>
      <c r="L115" s="80">
        <f t="shared" si="116"/>
        <v>84.899999999999977</v>
      </c>
      <c r="M115" s="80">
        <f t="shared" si="123"/>
        <v>22428.207245206795</v>
      </c>
      <c r="N115" s="31">
        <v>71.150000000000006</v>
      </c>
      <c r="O115" s="80">
        <f t="shared" si="117"/>
        <v>5.3900000000000006</v>
      </c>
      <c r="P115" s="80">
        <f t="shared" si="124"/>
        <v>1423.8873622104202</v>
      </c>
      <c r="Q115" s="268">
        <v>24.6</v>
      </c>
      <c r="R115" s="269">
        <f>IF(Q115="",0,Q114-Q115)</f>
        <v>0</v>
      </c>
      <c r="S115" s="269">
        <f t="shared" si="107"/>
        <v>0</v>
      </c>
      <c r="T115" s="269">
        <f>S115</f>
        <v>0</v>
      </c>
      <c r="U115" s="269">
        <f t="shared" si="94"/>
        <v>0</v>
      </c>
      <c r="V115" s="215">
        <f t="shared" si="86"/>
        <v>0</v>
      </c>
      <c r="W115" s="185"/>
      <c r="X115" s="80"/>
      <c r="Y115" s="80">
        <f t="shared" si="105"/>
        <v>0</v>
      </c>
      <c r="Z115" s="194">
        <v>17.329999999999998</v>
      </c>
      <c r="AA115" s="80">
        <f t="shared" si="118"/>
        <v>1.1599999999999966</v>
      </c>
      <c r="AB115" s="80">
        <f t="shared" si="113"/>
        <v>306.43958073545127</v>
      </c>
      <c r="AC115" s="194">
        <v>3.74</v>
      </c>
      <c r="AD115" s="80">
        <f t="shared" si="96"/>
        <v>8.0000000000000071E-2</v>
      </c>
      <c r="AE115" s="80">
        <f t="shared" si="119"/>
        <v>21.133764188651892</v>
      </c>
      <c r="AF115" s="194">
        <v>251.4</v>
      </c>
      <c r="AG115" s="80">
        <f t="shared" si="109"/>
        <v>0.53999999999999204</v>
      </c>
      <c r="AH115" s="80">
        <f t="shared" si="90"/>
        <v>142.65290827339805</v>
      </c>
      <c r="AI115" s="194">
        <v>145.68</v>
      </c>
      <c r="AJ115" s="80">
        <f t="shared" si="108"/>
        <v>20.699999999999989</v>
      </c>
      <c r="AK115" s="80">
        <f t="shared" si="111"/>
        <v>5468.3614838136691</v>
      </c>
      <c r="AL115" s="194">
        <v>8.26</v>
      </c>
      <c r="AM115" s="80">
        <f t="shared" si="110"/>
        <v>-1.87</v>
      </c>
      <c r="AN115" s="17">
        <f t="shared" si="112"/>
        <v>-494.00173790973753</v>
      </c>
      <c r="AO115" s="235">
        <f t="shared" si="84"/>
        <v>0</v>
      </c>
      <c r="AP115" s="18"/>
    </row>
    <row r="116" spans="1:42" s="3" customFormat="1">
      <c r="A116" s="15">
        <v>45040</v>
      </c>
      <c r="B116" s="194">
        <v>0</v>
      </c>
      <c r="C116" s="80">
        <f t="shared" si="114"/>
        <v>0</v>
      </c>
      <c r="D116" s="80">
        <f t="shared" si="120"/>
        <v>0</v>
      </c>
      <c r="E116" s="29">
        <v>50.48</v>
      </c>
      <c r="F116" s="80">
        <f t="shared" si="125"/>
        <v>1.5</v>
      </c>
      <c r="G116" s="80">
        <f t="shared" si="121"/>
        <v>396.25807853722262</v>
      </c>
      <c r="H116" s="194">
        <v>255.04</v>
      </c>
      <c r="I116" s="80">
        <f t="shared" si="115"/>
        <v>0</v>
      </c>
      <c r="J116" s="80">
        <f t="shared" si="122"/>
        <v>0</v>
      </c>
      <c r="K116" s="29">
        <v>440.9</v>
      </c>
      <c r="L116" s="80">
        <f t="shared" si="116"/>
        <v>106.10000000000002</v>
      </c>
      <c r="M116" s="80">
        <f t="shared" si="123"/>
        <v>28028.654755199554</v>
      </c>
      <c r="N116" s="31">
        <v>67.37</v>
      </c>
      <c r="O116" s="80">
        <f t="shared" si="117"/>
        <v>3.7800000000000011</v>
      </c>
      <c r="P116" s="80">
        <f t="shared" si="124"/>
        <v>998.57035791380133</v>
      </c>
      <c r="Q116" s="29">
        <v>24.6</v>
      </c>
      <c r="R116" s="80">
        <f t="shared" ref="R116:R125" si="126">IF(Q116="",0,Q115-Q116)</f>
        <v>0</v>
      </c>
      <c r="S116" s="80">
        <f t="shared" si="107"/>
        <v>0</v>
      </c>
      <c r="T116" s="80"/>
      <c r="U116" s="80">
        <f>+CONVERT(T116,"gal","l")</f>
        <v>0</v>
      </c>
      <c r="V116" s="215">
        <f t="shared" si="86"/>
        <v>0</v>
      </c>
      <c r="W116" s="185"/>
      <c r="X116" s="80"/>
      <c r="Y116" s="80">
        <f t="shared" si="105"/>
        <v>0</v>
      </c>
      <c r="Z116" s="194">
        <v>17.84</v>
      </c>
      <c r="AA116" s="80">
        <f t="shared" si="118"/>
        <v>0.51000000000000156</v>
      </c>
      <c r="AB116" s="80">
        <f t="shared" si="113"/>
        <v>134.72774670265611</v>
      </c>
      <c r="AC116" s="194">
        <v>4.3899999999999997</v>
      </c>
      <c r="AD116" s="80">
        <f t="shared" si="96"/>
        <v>0.64999999999999947</v>
      </c>
      <c r="AE116" s="80">
        <f t="shared" si="119"/>
        <v>171.71183403279633</v>
      </c>
      <c r="AF116" s="194">
        <v>251.34</v>
      </c>
      <c r="AG116" s="80">
        <f t="shared" si="109"/>
        <v>6.0000000000002274E-2</v>
      </c>
      <c r="AH116" s="80">
        <f t="shared" si="90"/>
        <v>15.850323141489506</v>
      </c>
      <c r="AI116" s="194">
        <v>162.72</v>
      </c>
      <c r="AJ116" s="80">
        <f t="shared" si="108"/>
        <v>-17.039999999999992</v>
      </c>
      <c r="AK116" s="80">
        <f t="shared" si="111"/>
        <v>-4501.4917721828469</v>
      </c>
      <c r="AL116" s="194">
        <v>6.24</v>
      </c>
      <c r="AM116" s="80">
        <f t="shared" si="110"/>
        <v>2.0199999999999996</v>
      </c>
      <c r="AN116" s="17">
        <f t="shared" si="112"/>
        <v>533.62754576345969</v>
      </c>
      <c r="AO116" s="235">
        <f t="shared" si="84"/>
        <v>7100.94476738703</v>
      </c>
      <c r="AP116" s="18">
        <v>26.88</v>
      </c>
    </row>
    <row r="117" spans="1:42" s="3" customFormat="1">
      <c r="A117" s="15">
        <v>45041</v>
      </c>
      <c r="B117" s="194">
        <v>0</v>
      </c>
      <c r="C117" s="80">
        <f t="shared" si="114"/>
        <v>0</v>
      </c>
      <c r="D117" s="80">
        <f t="shared" si="120"/>
        <v>0</v>
      </c>
      <c r="E117" s="29">
        <v>52.18</v>
      </c>
      <c r="F117" s="80">
        <f t="shared" si="125"/>
        <v>1.7000000000000028</v>
      </c>
      <c r="G117" s="80">
        <f t="shared" si="121"/>
        <v>449.09248900885302</v>
      </c>
      <c r="H117" s="194">
        <v>255.04</v>
      </c>
      <c r="I117" s="80">
        <f t="shared" si="115"/>
        <v>0</v>
      </c>
      <c r="J117" s="80">
        <f t="shared" si="122"/>
        <v>0</v>
      </c>
      <c r="K117" s="29">
        <v>473.1</v>
      </c>
      <c r="L117" s="80">
        <f t="shared" si="116"/>
        <v>-32.200000000000045</v>
      </c>
      <c r="M117" s="80">
        <f t="shared" si="123"/>
        <v>-8506.3400859323901</v>
      </c>
      <c r="N117" s="31">
        <v>61.9</v>
      </c>
      <c r="O117" s="80">
        <f t="shared" si="117"/>
        <v>5.470000000000006</v>
      </c>
      <c r="P117" s="80">
        <f t="shared" si="124"/>
        <v>1445.0211263990736</v>
      </c>
      <c r="Q117" s="29">
        <v>24.6</v>
      </c>
      <c r="R117" s="80">
        <f t="shared" si="126"/>
        <v>0</v>
      </c>
      <c r="S117" s="80">
        <f t="shared" si="107"/>
        <v>0</v>
      </c>
      <c r="T117" s="80"/>
      <c r="U117" s="80">
        <f t="shared" si="94"/>
        <v>0</v>
      </c>
      <c r="V117" s="215">
        <f t="shared" si="86"/>
        <v>0</v>
      </c>
      <c r="W117" s="185"/>
      <c r="X117" s="80"/>
      <c r="Y117" s="80">
        <f t="shared" si="105"/>
        <v>0</v>
      </c>
      <c r="Z117" s="194">
        <v>17.87</v>
      </c>
      <c r="AA117" s="80">
        <f t="shared" si="118"/>
        <v>3.0000000000001137E-2</v>
      </c>
      <c r="AB117" s="80">
        <f t="shared" si="113"/>
        <v>7.9251615707447529</v>
      </c>
      <c r="AC117" s="194">
        <v>5.5</v>
      </c>
      <c r="AD117" s="80">
        <f t="shared" si="96"/>
        <v>1.1100000000000003</v>
      </c>
      <c r="AE117" s="80">
        <f t="shared" si="119"/>
        <v>293.23097811754479</v>
      </c>
      <c r="AF117" s="194">
        <v>251.79</v>
      </c>
      <c r="AG117" s="80">
        <f t="shared" si="109"/>
        <v>-0.44999999999998863</v>
      </c>
      <c r="AH117" s="80">
        <f t="shared" si="90"/>
        <v>-118.87742356116378</v>
      </c>
      <c r="AI117" s="194">
        <v>160.05000000000001</v>
      </c>
      <c r="AJ117" s="80">
        <f t="shared" si="108"/>
        <v>2.6699999999999875</v>
      </c>
      <c r="AK117" s="80">
        <f t="shared" si="111"/>
        <v>705.33937979625296</v>
      </c>
      <c r="AL117" s="194">
        <v>5.09</v>
      </c>
      <c r="AM117" s="80">
        <f t="shared" si="110"/>
        <v>1.1500000000000004</v>
      </c>
      <c r="AN117" s="17">
        <f t="shared" si="112"/>
        <v>303.79786021187078</v>
      </c>
      <c r="AO117" s="235">
        <f t="shared" si="84"/>
        <v>2219.0452398084467</v>
      </c>
      <c r="AP117" s="18">
        <v>8.4</v>
      </c>
    </row>
    <row r="118" spans="1:42" s="3" customFormat="1">
      <c r="A118" s="15">
        <v>45042</v>
      </c>
      <c r="B118" s="194">
        <v>0</v>
      </c>
      <c r="C118" s="80">
        <f t="shared" si="114"/>
        <v>0</v>
      </c>
      <c r="D118" s="80">
        <f t="shared" si="120"/>
        <v>0</v>
      </c>
      <c r="E118" s="29">
        <v>53.33</v>
      </c>
      <c r="F118" s="80">
        <f t="shared" si="125"/>
        <v>1.1499999999999986</v>
      </c>
      <c r="G118" s="80">
        <f t="shared" si="121"/>
        <v>303.79786021187033</v>
      </c>
      <c r="H118" s="194">
        <v>255.04</v>
      </c>
      <c r="I118" s="80">
        <f t="shared" si="115"/>
        <v>0</v>
      </c>
      <c r="J118" s="80">
        <f t="shared" si="122"/>
        <v>0</v>
      </c>
      <c r="K118" s="29">
        <v>562.9</v>
      </c>
      <c r="L118" s="80">
        <f t="shared" si="116"/>
        <v>-89.799999999999955</v>
      </c>
      <c r="M118" s="80">
        <f t="shared" si="123"/>
        <v>-23722.650301761718</v>
      </c>
      <c r="N118" s="31">
        <v>55.4</v>
      </c>
      <c r="O118" s="80">
        <f t="shared" si="117"/>
        <v>6.5</v>
      </c>
      <c r="P118" s="80">
        <f t="shared" si="124"/>
        <v>1717.1183403279647</v>
      </c>
      <c r="Q118" s="29">
        <v>24.6</v>
      </c>
      <c r="R118" s="80">
        <f t="shared" si="126"/>
        <v>0</v>
      </c>
      <c r="S118" s="80">
        <f t="shared" si="107"/>
        <v>0</v>
      </c>
      <c r="T118" s="80"/>
      <c r="U118" s="80">
        <f t="shared" si="94"/>
        <v>0</v>
      </c>
      <c r="V118" s="215">
        <f t="shared" si="86"/>
        <v>0</v>
      </c>
      <c r="W118" s="185"/>
      <c r="X118" s="80"/>
      <c r="Y118" s="80">
        <f t="shared" si="105"/>
        <v>0</v>
      </c>
      <c r="Z118" s="194">
        <v>17.87</v>
      </c>
      <c r="AA118" s="80">
        <f t="shared" si="118"/>
        <v>0</v>
      </c>
      <c r="AB118" s="80">
        <f t="shared" si="113"/>
        <v>0</v>
      </c>
      <c r="AC118" s="194">
        <v>6.64</v>
      </c>
      <c r="AD118" s="80">
        <f t="shared" si="96"/>
        <v>1.1399999999999997</v>
      </c>
      <c r="AE118" s="80">
        <f t="shared" si="119"/>
        <v>301.15613968828916</v>
      </c>
      <c r="AF118" s="194">
        <v>251.73</v>
      </c>
      <c r="AG118" s="80">
        <f t="shared" si="109"/>
        <v>6.0000000000002274E-2</v>
      </c>
      <c r="AH118" s="80">
        <f t="shared" si="90"/>
        <v>15.850323141489506</v>
      </c>
      <c r="AI118" s="194">
        <v>139.5</v>
      </c>
      <c r="AJ118" s="80">
        <f t="shared" si="108"/>
        <v>20.550000000000011</v>
      </c>
      <c r="AK118" s="80">
        <f t="shared" si="111"/>
        <v>5428.7356759599534</v>
      </c>
      <c r="AL118" s="194">
        <v>9.4600000000000009</v>
      </c>
      <c r="AM118" s="80">
        <f t="shared" si="110"/>
        <v>-4.370000000000001</v>
      </c>
      <c r="AN118" s="17">
        <f t="shared" si="112"/>
        <v>-1154.4318688051089</v>
      </c>
      <c r="AO118" s="235">
        <f t="shared" si="84"/>
        <v>0</v>
      </c>
      <c r="AP118" s="18"/>
    </row>
    <row r="119" spans="1:42" s="3" customFormat="1">
      <c r="A119" s="15">
        <v>45043</v>
      </c>
      <c r="B119" s="194">
        <v>0</v>
      </c>
      <c r="C119" s="80">
        <f t="shared" si="114"/>
        <v>0</v>
      </c>
      <c r="D119" s="80">
        <f t="shared" si="120"/>
        <v>0</v>
      </c>
      <c r="E119" s="29">
        <v>54.22</v>
      </c>
      <c r="F119" s="80">
        <f t="shared" si="125"/>
        <v>0.89000000000000057</v>
      </c>
      <c r="G119" s="80">
        <f t="shared" si="121"/>
        <v>235.11312659875225</v>
      </c>
      <c r="H119" s="194">
        <v>255.04</v>
      </c>
      <c r="I119" s="80">
        <f t="shared" si="115"/>
        <v>0</v>
      </c>
      <c r="J119" s="80">
        <f t="shared" si="122"/>
        <v>0</v>
      </c>
      <c r="K119" s="29">
        <v>532.9</v>
      </c>
      <c r="L119" s="80">
        <f t="shared" si="116"/>
        <v>30</v>
      </c>
      <c r="M119" s="80">
        <f t="shared" si="123"/>
        <v>7925.1615707444525</v>
      </c>
      <c r="N119" s="31">
        <v>91.53</v>
      </c>
      <c r="O119" s="80">
        <f t="shared" si="117"/>
        <v>-36.130000000000003</v>
      </c>
      <c r="P119" s="80">
        <f t="shared" si="124"/>
        <v>-9544.536251699903</v>
      </c>
      <c r="Q119" s="29">
        <v>23.91</v>
      </c>
      <c r="R119" s="80">
        <f t="shared" si="126"/>
        <v>0.69000000000000128</v>
      </c>
      <c r="S119" s="80">
        <f t="shared" ref="S119:S147" si="127">+CONVERT(R119,"m^3","gal")</f>
        <v>182.27871612712275</v>
      </c>
      <c r="T119" s="80"/>
      <c r="U119" s="80">
        <f t="shared" si="94"/>
        <v>0</v>
      </c>
      <c r="V119" s="215">
        <f t="shared" si="86"/>
        <v>0</v>
      </c>
      <c r="W119" s="185"/>
      <c r="X119" s="80"/>
      <c r="Y119" s="80">
        <f t="shared" si="105"/>
        <v>0</v>
      </c>
      <c r="Z119" s="194">
        <v>17.87</v>
      </c>
      <c r="AA119" s="80">
        <f t="shared" si="118"/>
        <v>0</v>
      </c>
      <c r="AB119" s="80">
        <f t="shared" si="113"/>
        <v>0</v>
      </c>
      <c r="AC119" s="194">
        <v>13.39</v>
      </c>
      <c r="AD119" s="80">
        <f t="shared" si="96"/>
        <v>6.7500000000000009</v>
      </c>
      <c r="AE119" s="80">
        <f t="shared" si="119"/>
        <v>1783.1613534175021</v>
      </c>
      <c r="AF119" s="194">
        <v>251.61</v>
      </c>
      <c r="AG119" s="80">
        <f t="shared" si="109"/>
        <v>0.11999999999997613</v>
      </c>
      <c r="AH119" s="80">
        <f t="shared" si="90"/>
        <v>31.700646282971505</v>
      </c>
      <c r="AI119" s="194">
        <v>113.19</v>
      </c>
      <c r="AJ119" s="80">
        <f t="shared" si="108"/>
        <v>26.310000000000002</v>
      </c>
      <c r="AK119" s="80">
        <f t="shared" si="111"/>
        <v>6950.366697542886</v>
      </c>
      <c r="AL119" s="194">
        <v>8.2200000000000006</v>
      </c>
      <c r="AM119" s="80">
        <f t="shared" si="110"/>
        <v>1.2400000000000002</v>
      </c>
      <c r="AN119" s="17">
        <f t="shared" si="112"/>
        <v>327.57334492410411</v>
      </c>
      <c r="AO119" s="235">
        <f t="shared" si="84"/>
        <v>0</v>
      </c>
      <c r="AP119" s="18"/>
    </row>
    <row r="120" spans="1:42" s="3" customFormat="1">
      <c r="A120" s="15">
        <v>45044</v>
      </c>
      <c r="B120" s="194">
        <v>0</v>
      </c>
      <c r="C120" s="80">
        <f t="shared" si="114"/>
        <v>0</v>
      </c>
      <c r="D120" s="80">
        <f t="shared" si="120"/>
        <v>0</v>
      </c>
      <c r="E120" s="29">
        <v>55.2</v>
      </c>
      <c r="F120" s="80">
        <f t="shared" si="125"/>
        <v>0.98000000000000398</v>
      </c>
      <c r="G120" s="80">
        <f t="shared" si="121"/>
        <v>258.88861131098651</v>
      </c>
      <c r="H120" s="194">
        <v>255.04</v>
      </c>
      <c r="I120" s="80">
        <f t="shared" si="115"/>
        <v>0</v>
      </c>
      <c r="J120" s="80">
        <f t="shared" si="122"/>
        <v>0</v>
      </c>
      <c r="K120" s="29">
        <v>586.4</v>
      </c>
      <c r="L120" s="80">
        <f t="shared" si="116"/>
        <v>-53.5</v>
      </c>
      <c r="M120" s="80">
        <f t="shared" si="123"/>
        <v>-14133.20480116094</v>
      </c>
      <c r="N120" s="31">
        <v>85.53</v>
      </c>
      <c r="O120" s="80">
        <f t="shared" si="117"/>
        <v>6</v>
      </c>
      <c r="P120" s="80">
        <f t="shared" si="124"/>
        <v>1585.0323141488905</v>
      </c>
      <c r="Q120" s="29">
        <v>23.91</v>
      </c>
      <c r="R120" s="80">
        <f t="shared" si="126"/>
        <v>0</v>
      </c>
      <c r="S120" s="80">
        <f t="shared" si="127"/>
        <v>0</v>
      </c>
      <c r="T120" s="80"/>
      <c r="U120" s="80">
        <f t="shared" si="94"/>
        <v>0</v>
      </c>
      <c r="V120" s="215">
        <f t="shared" si="86"/>
        <v>0</v>
      </c>
      <c r="W120" s="185"/>
      <c r="X120" s="80">
        <v>7677</v>
      </c>
      <c r="Y120" s="80">
        <f t="shared" si="105"/>
        <v>29.060606265767998</v>
      </c>
      <c r="Z120" s="194">
        <v>1.64</v>
      </c>
      <c r="AA120" s="80">
        <f t="shared" si="118"/>
        <v>-16.23</v>
      </c>
      <c r="AB120" s="80">
        <f t="shared" si="113"/>
        <v>-4287.5124097727485</v>
      </c>
      <c r="AC120" s="194">
        <v>1.52</v>
      </c>
      <c r="AD120" s="80">
        <f t="shared" si="96"/>
        <v>-11.870000000000001</v>
      </c>
      <c r="AE120" s="80">
        <f t="shared" si="119"/>
        <v>-3135.7222614912221</v>
      </c>
      <c r="AF120" s="194">
        <v>251.7</v>
      </c>
      <c r="AG120" s="80">
        <f t="shared" si="109"/>
        <v>-8.9999999999974989E-2</v>
      </c>
      <c r="AH120" s="80">
        <f t="shared" si="90"/>
        <v>-23.775484712226749</v>
      </c>
      <c r="AI120" s="194">
        <v>99.9</v>
      </c>
      <c r="AJ120" s="80">
        <f t="shared" si="108"/>
        <v>13.289999999999992</v>
      </c>
      <c r="AK120" s="80">
        <f t="shared" si="111"/>
        <v>3510.8465758397906</v>
      </c>
      <c r="AL120" s="194">
        <v>6.29</v>
      </c>
      <c r="AM120" s="80">
        <f t="shared" si="110"/>
        <v>1.9300000000000006</v>
      </c>
      <c r="AN120" s="17">
        <f t="shared" si="112"/>
        <v>509.85206105122666</v>
      </c>
      <c r="AO120" s="235">
        <f t="shared" si="84"/>
        <v>0</v>
      </c>
      <c r="AP120" s="18"/>
    </row>
    <row r="121" spans="1:42" s="3" customFormat="1">
      <c r="A121" s="15">
        <v>45045</v>
      </c>
      <c r="B121" s="194">
        <v>0</v>
      </c>
      <c r="C121" s="80">
        <f t="shared" si="114"/>
        <v>0</v>
      </c>
      <c r="D121" s="80">
        <f t="shared" si="120"/>
        <v>0</v>
      </c>
      <c r="E121" s="29">
        <v>56.64</v>
      </c>
      <c r="F121" s="80">
        <f t="shared" si="125"/>
        <v>1.4399999999999977</v>
      </c>
      <c r="G121" s="80">
        <f t="shared" si="121"/>
        <v>380.40775539573315</v>
      </c>
      <c r="H121" s="194">
        <v>255.04</v>
      </c>
      <c r="I121" s="80">
        <f t="shared" si="115"/>
        <v>0</v>
      </c>
      <c r="J121" s="80">
        <f t="shared" si="122"/>
        <v>0</v>
      </c>
      <c r="K121" s="29">
        <v>675.7</v>
      </c>
      <c r="L121" s="80">
        <f t="shared" si="116"/>
        <v>-89.300000000000068</v>
      </c>
      <c r="M121" s="80">
        <f t="shared" si="123"/>
        <v>-23590.564275582674</v>
      </c>
      <c r="N121" s="31">
        <v>78.73</v>
      </c>
      <c r="O121" s="80">
        <f t="shared" si="117"/>
        <v>6.7999999999999972</v>
      </c>
      <c r="P121" s="80">
        <f t="shared" si="124"/>
        <v>1796.3699560354084</v>
      </c>
      <c r="Q121" s="29">
        <v>23.91</v>
      </c>
      <c r="R121" s="80">
        <f t="shared" si="126"/>
        <v>0</v>
      </c>
      <c r="S121" s="80">
        <f t="shared" si="127"/>
        <v>0</v>
      </c>
      <c r="T121" s="80">
        <v>11</v>
      </c>
      <c r="U121" s="80">
        <f t="shared" si="94"/>
        <v>41.639529623999998</v>
      </c>
      <c r="V121" s="215">
        <f t="shared" si="86"/>
        <v>0</v>
      </c>
      <c r="W121" s="235"/>
      <c r="X121" s="80"/>
      <c r="Y121" s="80">
        <f t="shared" si="105"/>
        <v>0</v>
      </c>
      <c r="Z121" s="194">
        <v>1.64</v>
      </c>
      <c r="AA121" s="80">
        <f t="shared" si="118"/>
        <v>0</v>
      </c>
      <c r="AB121" s="80">
        <f t="shared" si="113"/>
        <v>0</v>
      </c>
      <c r="AC121" s="194">
        <v>2.58</v>
      </c>
      <c r="AD121" s="80">
        <f t="shared" si="96"/>
        <v>1.06</v>
      </c>
      <c r="AE121" s="80">
        <f t="shared" si="119"/>
        <v>280.02237549963735</v>
      </c>
      <c r="AF121" s="194">
        <v>252</v>
      </c>
      <c r="AG121" s="80">
        <f t="shared" si="109"/>
        <v>-0.30000000000001137</v>
      </c>
      <c r="AH121" s="80">
        <f t="shared" si="90"/>
        <v>-79.251615707447527</v>
      </c>
      <c r="AI121" s="194">
        <v>109.2</v>
      </c>
      <c r="AJ121" s="80">
        <f t="shared" si="108"/>
        <v>-9.2999999999999972</v>
      </c>
      <c r="AK121" s="80">
        <f t="shared" si="111"/>
        <v>-2456.8000869307793</v>
      </c>
      <c r="AL121" s="194">
        <v>6.75</v>
      </c>
      <c r="AM121" s="80">
        <f t="shared" si="110"/>
        <v>-0.45999999999999996</v>
      </c>
      <c r="AN121" s="17">
        <f t="shared" si="112"/>
        <v>-121.51914408474826</v>
      </c>
      <c r="AO121" s="235">
        <f t="shared" si="84"/>
        <v>0</v>
      </c>
      <c r="AP121" s="18"/>
    </row>
    <row r="122" spans="1:42" s="3" customFormat="1">
      <c r="A122" s="15">
        <v>45046</v>
      </c>
      <c r="B122" s="194">
        <v>0</v>
      </c>
      <c r="C122" s="80">
        <f t="shared" si="114"/>
        <v>0</v>
      </c>
      <c r="D122" s="80">
        <f t="shared" si="120"/>
        <v>0</v>
      </c>
      <c r="E122" s="29"/>
      <c r="F122" s="80">
        <f t="shared" si="125"/>
        <v>0</v>
      </c>
      <c r="G122" s="80">
        <f t="shared" si="121"/>
        <v>0</v>
      </c>
      <c r="H122" s="194"/>
      <c r="I122" s="80">
        <f t="shared" si="115"/>
        <v>0</v>
      </c>
      <c r="J122" s="80">
        <f t="shared" si="122"/>
        <v>0</v>
      </c>
      <c r="K122" s="29"/>
      <c r="L122" s="80">
        <f t="shared" si="116"/>
        <v>0</v>
      </c>
      <c r="M122" s="80">
        <f t="shared" si="123"/>
        <v>0</v>
      </c>
      <c r="N122" s="31"/>
      <c r="O122" s="80">
        <f t="shared" si="117"/>
        <v>0</v>
      </c>
      <c r="P122" s="80">
        <f t="shared" si="124"/>
        <v>0</v>
      </c>
      <c r="Q122" s="29"/>
      <c r="R122" s="80">
        <f t="shared" si="126"/>
        <v>0</v>
      </c>
      <c r="S122" s="80">
        <f t="shared" si="127"/>
        <v>0</v>
      </c>
      <c r="T122" s="80"/>
      <c r="U122" s="80">
        <f t="shared" si="94"/>
        <v>0</v>
      </c>
      <c r="V122" s="215">
        <f t="shared" si="86"/>
        <v>0</v>
      </c>
      <c r="W122" s="185"/>
      <c r="X122" s="80"/>
      <c r="Y122" s="80">
        <f t="shared" si="105"/>
        <v>0</v>
      </c>
      <c r="Z122" s="194"/>
      <c r="AA122" s="80">
        <f t="shared" si="118"/>
        <v>0</v>
      </c>
      <c r="AB122" s="80">
        <f t="shared" si="113"/>
        <v>0</v>
      </c>
      <c r="AC122" s="194"/>
      <c r="AD122" s="80">
        <f t="shared" si="96"/>
        <v>0</v>
      </c>
      <c r="AE122" s="80">
        <f t="shared" si="119"/>
        <v>0</v>
      </c>
      <c r="AF122" s="194"/>
      <c r="AG122" s="80">
        <f t="shared" si="109"/>
        <v>0</v>
      </c>
      <c r="AH122" s="80">
        <f t="shared" si="90"/>
        <v>0</v>
      </c>
      <c r="AI122" s="194"/>
      <c r="AJ122" s="80">
        <f t="shared" si="108"/>
        <v>0</v>
      </c>
      <c r="AK122" s="80">
        <f t="shared" si="111"/>
        <v>0</v>
      </c>
      <c r="AL122" s="194"/>
      <c r="AM122" s="80">
        <f t="shared" si="110"/>
        <v>0</v>
      </c>
      <c r="AN122" s="17">
        <f t="shared" si="112"/>
        <v>0</v>
      </c>
      <c r="AO122" s="235">
        <f t="shared" si="84"/>
        <v>0</v>
      </c>
      <c r="AP122" s="18"/>
    </row>
    <row r="123" spans="1:42">
      <c r="A123" s="15">
        <v>45047</v>
      </c>
      <c r="B123" s="194">
        <v>0</v>
      </c>
      <c r="C123" s="80">
        <f t="shared" si="114"/>
        <v>0</v>
      </c>
      <c r="D123" s="80">
        <f t="shared" si="120"/>
        <v>0</v>
      </c>
      <c r="E123" s="29">
        <v>61.12</v>
      </c>
      <c r="F123" s="80">
        <f t="shared" si="125"/>
        <v>61.12</v>
      </c>
      <c r="G123" s="80">
        <f t="shared" si="121"/>
        <v>16146.195840130031</v>
      </c>
      <c r="H123" s="194">
        <v>255.04</v>
      </c>
      <c r="I123" s="80">
        <f t="shared" si="115"/>
        <v>-255.04</v>
      </c>
      <c r="J123" s="80">
        <f t="shared" si="122"/>
        <v>-67374.440233422167</v>
      </c>
      <c r="K123" s="29">
        <v>893.7</v>
      </c>
      <c r="L123" s="80">
        <f t="shared" si="116"/>
        <v>-893.7</v>
      </c>
      <c r="M123" s="80">
        <f t="shared" si="123"/>
        <v>-236090.56319247725</v>
      </c>
      <c r="N123" s="31">
        <v>57.7</v>
      </c>
      <c r="O123" s="80">
        <f t="shared" si="117"/>
        <v>-57.7</v>
      </c>
      <c r="P123" s="80">
        <f t="shared" si="124"/>
        <v>-15242.727421065165</v>
      </c>
      <c r="Q123" s="29">
        <v>23.91</v>
      </c>
      <c r="R123" s="80">
        <f t="shared" si="126"/>
        <v>-23.91</v>
      </c>
      <c r="S123" s="80">
        <f t="shared" si="127"/>
        <v>-6316.3537718833286</v>
      </c>
      <c r="T123" s="80"/>
      <c r="U123" s="80">
        <f t="shared" si="94"/>
        <v>0</v>
      </c>
      <c r="V123" s="215">
        <f t="shared" si="86"/>
        <v>0</v>
      </c>
      <c r="W123" s="185"/>
      <c r="X123" s="80"/>
      <c r="Y123" s="80">
        <f t="shared" si="105"/>
        <v>0</v>
      </c>
      <c r="Z123" s="194">
        <v>6.4</v>
      </c>
      <c r="AA123" s="80">
        <f>IF(Z123="",0,Z123-Z122)</f>
        <v>6.4</v>
      </c>
      <c r="AB123" s="80">
        <f t="shared" si="113"/>
        <v>1690.7011350921498</v>
      </c>
      <c r="AC123" s="194">
        <v>17.96</v>
      </c>
      <c r="AD123" s="80">
        <f t="shared" si="96"/>
        <v>17.96</v>
      </c>
      <c r="AE123" s="80">
        <f t="shared" si="119"/>
        <v>4744.5300603523456</v>
      </c>
      <c r="AF123" s="194">
        <v>252.3</v>
      </c>
      <c r="AG123" s="80">
        <f t="shared" si="109"/>
        <v>-252.3</v>
      </c>
      <c r="AH123" s="80">
        <f t="shared" si="90"/>
        <v>-66650.608809960846</v>
      </c>
      <c r="AI123" s="194">
        <v>80.099999999999994</v>
      </c>
      <c r="AJ123" s="80">
        <f t="shared" si="108"/>
        <v>-80.099999999999994</v>
      </c>
      <c r="AK123" s="80">
        <f t="shared" si="111"/>
        <v>-21160.181393887688</v>
      </c>
      <c r="AL123" s="194">
        <v>5.85</v>
      </c>
      <c r="AM123" s="80">
        <f t="shared" si="110"/>
        <v>-5.85</v>
      </c>
      <c r="AN123" s="17">
        <f t="shared" si="112"/>
        <v>-1545.4065062951684</v>
      </c>
      <c r="AO123" s="235">
        <f t="shared" si="84"/>
        <v>0</v>
      </c>
      <c r="AP123" s="18"/>
    </row>
    <row r="124" spans="1:42">
      <c r="A124" s="15">
        <v>45048</v>
      </c>
      <c r="B124" s="194">
        <v>0</v>
      </c>
      <c r="C124" s="80">
        <f t="shared" si="114"/>
        <v>0</v>
      </c>
      <c r="D124" s="80">
        <f t="shared" si="120"/>
        <v>0</v>
      </c>
      <c r="E124" s="29">
        <v>63.92</v>
      </c>
      <c r="F124" s="80">
        <f t="shared" si="125"/>
        <v>2.8000000000000043</v>
      </c>
      <c r="G124" s="80">
        <f t="shared" si="121"/>
        <v>739.6817466028167</v>
      </c>
      <c r="H124" s="194">
        <v>255.04</v>
      </c>
      <c r="I124" s="80">
        <f t="shared" si="115"/>
        <v>0</v>
      </c>
      <c r="J124" s="80">
        <f t="shared" si="122"/>
        <v>0</v>
      </c>
      <c r="K124" s="29">
        <v>933.3</v>
      </c>
      <c r="L124" s="80">
        <f t="shared" si="116"/>
        <v>-39.599999999999909</v>
      </c>
      <c r="M124" s="80">
        <f t="shared" si="123"/>
        <v>-10461.213273382655</v>
      </c>
      <c r="N124" s="31">
        <v>51.06</v>
      </c>
      <c r="O124" s="80">
        <f t="shared" si="117"/>
        <v>6.6400000000000006</v>
      </c>
      <c r="P124" s="80">
        <f t="shared" si="124"/>
        <v>1754.1024276581059</v>
      </c>
      <c r="Q124" s="29">
        <v>17.89</v>
      </c>
      <c r="R124" s="80">
        <f t="shared" si="126"/>
        <v>6.02</v>
      </c>
      <c r="S124" s="80">
        <f t="shared" si="127"/>
        <v>1590.3157551960535</v>
      </c>
      <c r="T124" s="80"/>
      <c r="U124" s="80">
        <f t="shared" si="94"/>
        <v>0</v>
      </c>
      <c r="V124" s="215">
        <f t="shared" si="86"/>
        <v>0</v>
      </c>
      <c r="W124" s="185"/>
      <c r="X124" s="80"/>
      <c r="Y124" s="80">
        <f t="shared" si="105"/>
        <v>0</v>
      </c>
      <c r="Z124" s="186">
        <v>7.23</v>
      </c>
      <c r="AA124" s="80">
        <f t="shared" si="118"/>
        <v>0.83000000000000007</v>
      </c>
      <c r="AB124" s="80">
        <f t="shared" ref="AB124:AB154" si="128">+CONVERT(AA124,"m^3","gal")</f>
        <v>219.26280345726323</v>
      </c>
      <c r="AC124" s="186">
        <v>18.03</v>
      </c>
      <c r="AD124" s="80">
        <f t="shared" si="96"/>
        <v>7.0000000000000284E-2</v>
      </c>
      <c r="AE124" s="80">
        <f t="shared" ref="AE124:AE154" si="129">+CONVERT(AD124,"m^3","gal")</f>
        <v>18.492043665070465</v>
      </c>
      <c r="AF124" s="186">
        <v>252</v>
      </c>
      <c r="AG124" s="80">
        <f t="shared" si="109"/>
        <v>0.30000000000001137</v>
      </c>
      <c r="AH124" s="80">
        <f t="shared" si="90"/>
        <v>79.251615707447527</v>
      </c>
      <c r="AI124" s="186">
        <v>60.42</v>
      </c>
      <c r="AJ124" s="80">
        <f t="shared" si="108"/>
        <v>19.679999999999993</v>
      </c>
      <c r="AK124" s="80">
        <f>+CONVERT(AJ124,"m^3","gal")</f>
        <v>5198.9059904083588</v>
      </c>
      <c r="AL124" s="186">
        <v>4.82</v>
      </c>
      <c r="AM124" s="80">
        <f t="shared" si="110"/>
        <v>1.0299999999999994</v>
      </c>
      <c r="AN124" s="17">
        <f>+CONVERT(AM124,"m^3","gal")</f>
        <v>272.0972139288927</v>
      </c>
      <c r="AO124" s="235">
        <f t="shared" si="84"/>
        <v>0</v>
      </c>
      <c r="AP124" s="19"/>
    </row>
    <row r="125" spans="1:42">
      <c r="A125" s="15">
        <v>45049</v>
      </c>
      <c r="B125" s="194">
        <v>0</v>
      </c>
      <c r="C125" s="80">
        <f t="shared" si="114"/>
        <v>0</v>
      </c>
      <c r="D125" s="80">
        <f t="shared" si="120"/>
        <v>0</v>
      </c>
      <c r="E125" s="29">
        <v>67.040000000000006</v>
      </c>
      <c r="F125" s="80">
        <f t="shared" si="125"/>
        <v>3.1200000000000045</v>
      </c>
      <c r="G125" s="80">
        <f t="shared" si="121"/>
        <v>824.21680335742428</v>
      </c>
      <c r="H125" s="194">
        <v>255.04</v>
      </c>
      <c r="I125" s="80">
        <f t="shared" si="115"/>
        <v>0</v>
      </c>
      <c r="J125" s="80">
        <f t="shared" si="122"/>
        <v>0</v>
      </c>
      <c r="K125" s="29">
        <v>971.5</v>
      </c>
      <c r="L125" s="80">
        <f t="shared" si="116"/>
        <v>-38.200000000000045</v>
      </c>
      <c r="M125" s="80">
        <f t="shared" si="123"/>
        <v>-10091.372400081282</v>
      </c>
      <c r="N125" s="31">
        <v>82.24</v>
      </c>
      <c r="O125" s="80">
        <f t="shared" si="117"/>
        <v>-31.179999999999993</v>
      </c>
      <c r="P125" s="80">
        <f t="shared" si="124"/>
        <v>-8236.8845925270653</v>
      </c>
      <c r="Q125" s="29">
        <v>17.89</v>
      </c>
      <c r="R125" s="80">
        <f t="shared" si="126"/>
        <v>0</v>
      </c>
      <c r="S125" s="80">
        <f t="shared" si="127"/>
        <v>0</v>
      </c>
      <c r="T125" s="80"/>
      <c r="U125" s="80">
        <f t="shared" si="94"/>
        <v>0</v>
      </c>
      <c r="V125" s="215">
        <f t="shared" si="86"/>
        <v>0</v>
      </c>
      <c r="W125" s="185"/>
      <c r="X125" s="80"/>
      <c r="Y125" s="80">
        <f t="shared" si="105"/>
        <v>0</v>
      </c>
      <c r="Z125" s="186">
        <v>8.17</v>
      </c>
      <c r="AA125" s="80">
        <f t="shared" si="118"/>
        <v>0.9399999999999995</v>
      </c>
      <c r="AB125" s="80">
        <f t="shared" si="128"/>
        <v>248.32172921665941</v>
      </c>
      <c r="AC125" s="186">
        <v>18.03</v>
      </c>
      <c r="AD125" s="80">
        <f t="shared" si="96"/>
        <v>0</v>
      </c>
      <c r="AE125" s="80">
        <f t="shared" si="129"/>
        <v>0</v>
      </c>
      <c r="AF125" s="186">
        <v>252.54</v>
      </c>
      <c r="AG125" s="80">
        <f t="shared" si="109"/>
        <v>-0.53999999999999204</v>
      </c>
      <c r="AH125" s="80">
        <f t="shared" si="90"/>
        <v>-142.65290827339805</v>
      </c>
      <c r="AI125" s="186">
        <v>52.92</v>
      </c>
      <c r="AJ125" s="80">
        <f t="shared" si="108"/>
        <v>7.5</v>
      </c>
      <c r="AK125" s="80">
        <f t="shared" ref="AK125:AK154" si="130">+CONVERT(AJ125,"m^3","gal")</f>
        <v>1981.2903926861131</v>
      </c>
      <c r="AL125" s="186">
        <v>1.23</v>
      </c>
      <c r="AM125" s="80">
        <f t="shared" si="110"/>
        <v>3.5900000000000003</v>
      </c>
      <c r="AN125" s="17">
        <f t="shared" ref="AN125:AN154" si="131">+CONVERT(AM125,"m^3","gal")</f>
        <v>948.37766796575295</v>
      </c>
      <c r="AO125" s="235">
        <f t="shared" si="84"/>
        <v>2377.5484712233356</v>
      </c>
      <c r="AP125" s="19">
        <v>9</v>
      </c>
    </row>
    <row r="126" spans="1:42">
      <c r="A126" s="15">
        <v>45050</v>
      </c>
      <c r="B126" s="194">
        <v>0</v>
      </c>
      <c r="C126" s="80">
        <f t="shared" si="114"/>
        <v>0</v>
      </c>
      <c r="D126" s="80">
        <f t="shared" ref="D126:D187" si="132">+CONVERT(C126,"m^3","gal")</f>
        <v>0</v>
      </c>
      <c r="E126" s="259">
        <v>70.16</v>
      </c>
      <c r="F126" s="80">
        <f t="shared" si="125"/>
        <v>3.1199999999999903</v>
      </c>
      <c r="G126" s="80">
        <f t="shared" si="121"/>
        <v>824.21680335742053</v>
      </c>
      <c r="H126" s="259">
        <v>255.04</v>
      </c>
      <c r="I126" s="80">
        <f t="shared" si="115"/>
        <v>0</v>
      </c>
      <c r="J126" s="80">
        <f t="shared" si="122"/>
        <v>0</v>
      </c>
      <c r="K126" s="259">
        <v>970</v>
      </c>
      <c r="L126" s="80">
        <f t="shared" si="116"/>
        <v>1.5</v>
      </c>
      <c r="M126" s="80">
        <f t="shared" si="123"/>
        <v>396.25807853722262</v>
      </c>
      <c r="N126" s="259">
        <v>75</v>
      </c>
      <c r="O126" s="80">
        <f t="shared" si="117"/>
        <v>7.2399999999999949</v>
      </c>
      <c r="P126" s="80">
        <f t="shared" si="124"/>
        <v>1912.6056590729931</v>
      </c>
      <c r="Q126" s="259">
        <v>17.149999999999999</v>
      </c>
      <c r="R126" s="80">
        <f t="shared" ref="R126:R154" si="133">IF(Q126="",0,Q125-Q126)</f>
        <v>0.74000000000000199</v>
      </c>
      <c r="S126" s="80">
        <f t="shared" si="127"/>
        <v>195.48731874503036</v>
      </c>
      <c r="T126" s="80"/>
      <c r="U126" s="80">
        <f t="shared" si="94"/>
        <v>0</v>
      </c>
      <c r="V126" s="215">
        <f t="shared" si="86"/>
        <v>0</v>
      </c>
      <c r="W126" s="185"/>
      <c r="X126" s="80"/>
      <c r="Y126" s="80">
        <f t="shared" si="105"/>
        <v>0</v>
      </c>
      <c r="Z126" s="186">
        <v>8.4700000000000006</v>
      </c>
      <c r="AA126" s="80">
        <f t="shared" si="118"/>
        <v>0.30000000000000071</v>
      </c>
      <c r="AB126" s="80">
        <f t="shared" si="128"/>
        <v>79.251615707444714</v>
      </c>
      <c r="AC126" s="186">
        <v>18</v>
      </c>
      <c r="AD126" s="80">
        <f t="shared" si="96"/>
        <v>-3.0000000000001137E-2</v>
      </c>
      <c r="AE126" s="80">
        <f t="shared" si="129"/>
        <v>-7.9251615707447529</v>
      </c>
      <c r="AF126" s="186">
        <v>252.15</v>
      </c>
      <c r="AG126" s="80">
        <f t="shared" si="109"/>
        <v>0.38999999999998636</v>
      </c>
      <c r="AH126" s="80">
        <f t="shared" si="90"/>
        <v>103.02710041967428</v>
      </c>
      <c r="AI126" s="344">
        <v>54.75</v>
      </c>
      <c r="AJ126" s="215">
        <f t="shared" si="108"/>
        <v>-1.8299999999999983</v>
      </c>
      <c r="AK126" s="215">
        <f t="shared" si="130"/>
        <v>-483.43485581541114</v>
      </c>
      <c r="AL126" s="186">
        <v>1.23</v>
      </c>
      <c r="AM126" s="80">
        <f t="shared" si="110"/>
        <v>0</v>
      </c>
      <c r="AN126" s="17">
        <f t="shared" si="131"/>
        <v>0</v>
      </c>
      <c r="AO126" s="235">
        <f t="shared" si="84"/>
        <v>5151.3550209838941</v>
      </c>
      <c r="AP126" s="19">
        <v>19.5</v>
      </c>
    </row>
    <row r="127" spans="1:42">
      <c r="A127" s="15">
        <v>45051</v>
      </c>
      <c r="B127" s="194">
        <v>0</v>
      </c>
      <c r="C127" s="80">
        <f t="shared" si="114"/>
        <v>0</v>
      </c>
      <c r="D127" s="80">
        <f t="shared" ref="D127:D147" si="134">+CONVERT(C127,"m^3","gal")</f>
        <v>0</v>
      </c>
      <c r="E127" s="259">
        <v>73.7</v>
      </c>
      <c r="F127" s="80">
        <f t="shared" si="125"/>
        <v>3.5400000000000063</v>
      </c>
      <c r="G127" s="80">
        <f t="shared" si="121"/>
        <v>935.16906534784709</v>
      </c>
      <c r="H127" s="259">
        <v>255.04</v>
      </c>
      <c r="I127" s="80">
        <f t="shared" si="115"/>
        <v>0</v>
      </c>
      <c r="J127" s="80">
        <f t="shared" si="122"/>
        <v>0</v>
      </c>
      <c r="K127" s="345">
        <v>965</v>
      </c>
      <c r="L127" s="215">
        <f t="shared" si="116"/>
        <v>5</v>
      </c>
      <c r="M127" s="215">
        <f t="shared" si="123"/>
        <v>1320.860261790742</v>
      </c>
      <c r="N127" s="259">
        <v>67.7</v>
      </c>
      <c r="O127" s="80">
        <f t="shared" si="117"/>
        <v>7.2999999999999972</v>
      </c>
      <c r="P127" s="80">
        <f t="shared" si="124"/>
        <v>1928.4559822144827</v>
      </c>
      <c r="Q127" s="259">
        <v>17.149999999999999</v>
      </c>
      <c r="R127" s="80">
        <f t="shared" si="133"/>
        <v>0</v>
      </c>
      <c r="S127" s="80">
        <f t="shared" si="127"/>
        <v>0</v>
      </c>
      <c r="T127" s="80"/>
      <c r="U127" s="80">
        <f t="shared" si="94"/>
        <v>0</v>
      </c>
      <c r="V127" s="215">
        <f t="shared" si="86"/>
        <v>0</v>
      </c>
      <c r="W127" s="185"/>
      <c r="X127" s="80"/>
      <c r="Y127" s="80">
        <f t="shared" si="105"/>
        <v>0</v>
      </c>
      <c r="Z127" s="186">
        <v>8.49</v>
      </c>
      <c r="AA127" s="80">
        <f t="shared" si="118"/>
        <v>1.9999999999999574E-2</v>
      </c>
      <c r="AB127" s="80">
        <f t="shared" si="128"/>
        <v>5.2834410471628557</v>
      </c>
      <c r="AC127" s="186">
        <v>18</v>
      </c>
      <c r="AD127" s="80">
        <f t="shared" si="96"/>
        <v>0</v>
      </c>
      <c r="AE127" s="80">
        <f t="shared" si="129"/>
        <v>0</v>
      </c>
      <c r="AF127" s="186">
        <v>252.66</v>
      </c>
      <c r="AG127" s="80">
        <f t="shared" si="109"/>
        <v>-0.50999999999999091</v>
      </c>
      <c r="AH127" s="80">
        <f t="shared" si="90"/>
        <v>-134.72774670265329</v>
      </c>
      <c r="AI127" s="344">
        <v>68.16</v>
      </c>
      <c r="AJ127" s="215">
        <f t="shared" si="108"/>
        <v>-13.409999999999997</v>
      </c>
      <c r="AK127" s="215">
        <f t="shared" si="130"/>
        <v>-3542.5472221227692</v>
      </c>
      <c r="AL127" s="186">
        <v>6.83</v>
      </c>
      <c r="AM127" s="80">
        <f t="shared" si="110"/>
        <v>-5.6</v>
      </c>
      <c r="AN127" s="17">
        <f t="shared" si="131"/>
        <v>-1479.3634932056311</v>
      </c>
      <c r="AO127" s="235">
        <f t="shared" si="84"/>
        <v>8083.6648021593419</v>
      </c>
      <c r="AP127" s="19">
        <v>30.6</v>
      </c>
    </row>
    <row r="128" spans="1:42">
      <c r="A128" s="15">
        <v>45052</v>
      </c>
      <c r="B128" s="194">
        <v>0</v>
      </c>
      <c r="C128" s="80">
        <f t="shared" ref="C128:C154" si="135">IF(B128="",0,B127-B128)</f>
        <v>0</v>
      </c>
      <c r="D128" s="80">
        <f t="shared" si="134"/>
        <v>0</v>
      </c>
      <c r="E128" s="259">
        <v>77.23</v>
      </c>
      <c r="F128" s="80">
        <f t="shared" si="125"/>
        <v>3.5300000000000011</v>
      </c>
      <c r="G128" s="80">
        <f t="shared" si="121"/>
        <v>932.52734482426422</v>
      </c>
      <c r="H128" s="259">
        <v>255.04</v>
      </c>
      <c r="I128" s="80">
        <f t="shared" ref="I128:I154" si="136">IF(H128="",0,H127-H128)</f>
        <v>0</v>
      </c>
      <c r="J128" s="80">
        <f t="shared" si="122"/>
        <v>0</v>
      </c>
      <c r="K128" s="345">
        <v>963</v>
      </c>
      <c r="L128" s="215">
        <f t="shared" ref="L128:L154" si="137">IF(K128="",0,K127-K128)</f>
        <v>2</v>
      </c>
      <c r="M128" s="215">
        <f t="shared" si="123"/>
        <v>528.3441047162969</v>
      </c>
      <c r="N128" s="259">
        <v>60.1</v>
      </c>
      <c r="O128" s="80">
        <f t="shared" ref="O128:O154" si="138">IF(N128="",0,N127-N128)</f>
        <v>7.6000000000000014</v>
      </c>
      <c r="P128" s="80">
        <f t="shared" si="124"/>
        <v>2007.7075979219285</v>
      </c>
      <c r="Q128" s="259">
        <v>17.149999999999999</v>
      </c>
      <c r="R128" s="80">
        <f t="shared" si="133"/>
        <v>0</v>
      </c>
      <c r="S128" s="80">
        <f t="shared" si="127"/>
        <v>0</v>
      </c>
      <c r="T128" s="80"/>
      <c r="U128" s="80">
        <f t="shared" si="94"/>
        <v>0</v>
      </c>
      <c r="V128" s="215">
        <f t="shared" si="86"/>
        <v>0</v>
      </c>
      <c r="W128" s="185"/>
      <c r="X128" s="80"/>
      <c r="Y128" s="80">
        <f t="shared" si="105"/>
        <v>0</v>
      </c>
      <c r="Z128" s="186">
        <v>8.49</v>
      </c>
      <c r="AA128" s="80">
        <f t="shared" si="118"/>
        <v>0</v>
      </c>
      <c r="AB128" s="80">
        <f t="shared" si="128"/>
        <v>0</v>
      </c>
      <c r="AC128" s="186">
        <v>18.010000000000002</v>
      </c>
      <c r="AD128" s="80">
        <f t="shared" si="96"/>
        <v>1.0000000000001563E-2</v>
      </c>
      <c r="AE128" s="80">
        <f t="shared" si="129"/>
        <v>2.6417205235818972</v>
      </c>
      <c r="AF128" s="186">
        <v>252.39</v>
      </c>
      <c r="AG128" s="80">
        <f t="shared" si="109"/>
        <v>0.27000000000001023</v>
      </c>
      <c r="AH128" s="80">
        <f t="shared" si="90"/>
        <v>71.326454136702779</v>
      </c>
      <c r="AI128" s="344">
        <v>59.55</v>
      </c>
      <c r="AJ128" s="215">
        <f t="shared" si="108"/>
        <v>8.61</v>
      </c>
      <c r="AK128" s="215">
        <f t="shared" si="130"/>
        <v>2274.5213708036581</v>
      </c>
      <c r="AL128" s="186">
        <v>5.92</v>
      </c>
      <c r="AM128" s="80">
        <f t="shared" si="110"/>
        <v>0.91000000000000014</v>
      </c>
      <c r="AN128" s="17">
        <f t="shared" si="131"/>
        <v>240.3965676459151</v>
      </c>
      <c r="AO128" s="235">
        <f t="shared" si="84"/>
        <v>0</v>
      </c>
      <c r="AP128" s="19"/>
    </row>
    <row r="129" spans="1:46">
      <c r="A129" s="15">
        <v>45053</v>
      </c>
      <c r="B129" s="194">
        <v>0</v>
      </c>
      <c r="C129" s="80">
        <f t="shared" si="135"/>
        <v>0</v>
      </c>
      <c r="D129" s="80">
        <f t="shared" si="134"/>
        <v>0</v>
      </c>
      <c r="E129" s="259">
        <v>80.53</v>
      </c>
      <c r="F129" s="80">
        <f t="shared" si="125"/>
        <v>3.2999999999999972</v>
      </c>
      <c r="G129" s="80">
        <f t="shared" si="121"/>
        <v>871.76777278188911</v>
      </c>
      <c r="H129" s="259">
        <v>255.04</v>
      </c>
      <c r="I129" s="80">
        <f t="shared" si="136"/>
        <v>0</v>
      </c>
      <c r="J129" s="80">
        <f t="shared" si="122"/>
        <v>0</v>
      </c>
      <c r="K129" s="259">
        <v>962.3</v>
      </c>
      <c r="L129" s="80">
        <f t="shared" si="137"/>
        <v>0.70000000000004547</v>
      </c>
      <c r="M129" s="80">
        <f t="shared" si="123"/>
        <v>184.92043665071591</v>
      </c>
      <c r="N129" s="259">
        <v>51.38</v>
      </c>
      <c r="O129" s="80">
        <f t="shared" si="138"/>
        <v>8.7199999999999989</v>
      </c>
      <c r="P129" s="80">
        <f t="shared" si="124"/>
        <v>2303.5802965630537</v>
      </c>
      <c r="Q129" s="259">
        <v>17.14</v>
      </c>
      <c r="R129" s="80">
        <f t="shared" si="133"/>
        <v>9.9999999999980105E-3</v>
      </c>
      <c r="S129" s="80">
        <f t="shared" si="127"/>
        <v>2.6417205235809584</v>
      </c>
      <c r="T129" s="80"/>
      <c r="U129" s="80">
        <f t="shared" si="94"/>
        <v>0</v>
      </c>
      <c r="V129" s="215">
        <f t="shared" si="86"/>
        <v>0</v>
      </c>
      <c r="W129" s="185"/>
      <c r="X129" s="80"/>
      <c r="Y129" s="80">
        <f t="shared" si="105"/>
        <v>0</v>
      </c>
      <c r="Z129" s="186">
        <v>8.49</v>
      </c>
      <c r="AA129" s="80">
        <f t="shared" si="118"/>
        <v>0</v>
      </c>
      <c r="AB129" s="80">
        <f t="shared" si="128"/>
        <v>0</v>
      </c>
      <c r="AC129" s="186">
        <v>18.03</v>
      </c>
      <c r="AD129" s="80">
        <f t="shared" si="96"/>
        <v>1.9999999999999574E-2</v>
      </c>
      <c r="AE129" s="80">
        <f t="shared" si="129"/>
        <v>5.2834410471628557</v>
      </c>
      <c r="AF129" s="186">
        <v>251.82</v>
      </c>
      <c r="AG129" s="80">
        <f t="shared" si="109"/>
        <v>0.56999999999999318</v>
      </c>
      <c r="AH129" s="80">
        <f t="shared" si="90"/>
        <v>150.57806984414279</v>
      </c>
      <c r="AI129" s="344">
        <v>54.54</v>
      </c>
      <c r="AJ129" s="215">
        <f t="shared" si="108"/>
        <v>5.009999999999998</v>
      </c>
      <c r="AK129" s="215">
        <f t="shared" si="130"/>
        <v>1323.5019823143232</v>
      </c>
      <c r="AL129" s="186">
        <v>2.69</v>
      </c>
      <c r="AM129" s="80">
        <f t="shared" si="110"/>
        <v>3.23</v>
      </c>
      <c r="AN129" s="17">
        <f t="shared" si="131"/>
        <v>853.27572911681943</v>
      </c>
      <c r="AO129" s="235">
        <f t="shared" si="84"/>
        <v>0</v>
      </c>
      <c r="AP129" s="19"/>
    </row>
    <row r="130" spans="1:46">
      <c r="A130" s="15">
        <v>45054</v>
      </c>
      <c r="B130" s="194">
        <v>0</v>
      </c>
      <c r="C130" s="80">
        <f t="shared" si="135"/>
        <v>0</v>
      </c>
      <c r="D130" s="80">
        <f t="shared" si="134"/>
        <v>0</v>
      </c>
      <c r="E130" s="259">
        <v>81.95</v>
      </c>
      <c r="F130" s="80">
        <f t="shared" si="125"/>
        <v>1.4200000000000017</v>
      </c>
      <c r="G130" s="80">
        <f t="shared" si="121"/>
        <v>375.12431434857126</v>
      </c>
      <c r="H130" s="259">
        <v>255.04</v>
      </c>
      <c r="I130" s="80">
        <f t="shared" si="136"/>
        <v>0</v>
      </c>
      <c r="J130" s="80">
        <f t="shared" si="122"/>
        <v>0</v>
      </c>
      <c r="K130" s="259">
        <v>929.4</v>
      </c>
      <c r="L130" s="80">
        <f t="shared" si="137"/>
        <v>32.899999999999977</v>
      </c>
      <c r="M130" s="80">
        <f t="shared" si="123"/>
        <v>8691.2605225830775</v>
      </c>
      <c r="N130" s="259">
        <v>45.55</v>
      </c>
      <c r="O130" s="80">
        <f t="shared" si="138"/>
        <v>5.8300000000000054</v>
      </c>
      <c r="P130" s="80">
        <f t="shared" si="124"/>
        <v>1540.1230652480067</v>
      </c>
      <c r="Q130" s="259">
        <v>17.14</v>
      </c>
      <c r="R130" s="80">
        <f t="shared" si="133"/>
        <v>0</v>
      </c>
      <c r="S130" s="80">
        <f t="shared" si="127"/>
        <v>0</v>
      </c>
      <c r="T130" s="80"/>
      <c r="U130" s="80">
        <f t="shared" si="94"/>
        <v>0</v>
      </c>
      <c r="V130" s="215">
        <f t="shared" si="86"/>
        <v>0</v>
      </c>
      <c r="W130" s="185"/>
      <c r="X130" s="80"/>
      <c r="Y130" s="80">
        <f t="shared" si="105"/>
        <v>0</v>
      </c>
      <c r="Z130" s="186">
        <v>10.96</v>
      </c>
      <c r="AA130" s="80">
        <f t="shared" si="118"/>
        <v>2.4700000000000006</v>
      </c>
      <c r="AB130" s="80">
        <f t="shared" si="128"/>
        <v>652.5049693246267</v>
      </c>
      <c r="AC130" s="186">
        <v>17.989999999999998</v>
      </c>
      <c r="AD130" s="80">
        <f t="shared" si="96"/>
        <v>-4.00000000000027E-2</v>
      </c>
      <c r="AE130" s="80">
        <f t="shared" si="129"/>
        <v>-10.566882094326651</v>
      </c>
      <c r="AF130" s="186">
        <v>252.12</v>
      </c>
      <c r="AG130" s="80">
        <f t="shared" si="109"/>
        <v>-0.30000000000001137</v>
      </c>
      <c r="AH130" s="80">
        <f t="shared" si="90"/>
        <v>-79.251615707447527</v>
      </c>
      <c r="AI130" s="186">
        <v>63.54</v>
      </c>
      <c r="AJ130" s="80">
        <f t="shared" si="108"/>
        <v>-9</v>
      </c>
      <c r="AK130" s="80">
        <f t="shared" si="130"/>
        <v>-2377.5484712233356</v>
      </c>
      <c r="AL130" s="186">
        <v>7.86</v>
      </c>
      <c r="AM130" s="80">
        <f t="shared" si="110"/>
        <v>-5.17</v>
      </c>
      <c r="AN130" s="17">
        <f t="shared" si="131"/>
        <v>-1365.7695106916274</v>
      </c>
      <c r="AO130" s="235">
        <f t="shared" ref="AO130:AO193" si="139">+CONVERT(AP130,"m3","gal")</f>
        <v>4834.3485581541163</v>
      </c>
      <c r="AP130" s="19">
        <v>18.3</v>
      </c>
    </row>
    <row r="131" spans="1:46">
      <c r="A131" s="15">
        <v>45055</v>
      </c>
      <c r="B131" s="194">
        <v>0</v>
      </c>
      <c r="C131" s="80">
        <f t="shared" si="135"/>
        <v>0</v>
      </c>
      <c r="D131" s="80">
        <f t="shared" si="134"/>
        <v>0</v>
      </c>
      <c r="E131" s="259">
        <v>84.54</v>
      </c>
      <c r="F131" s="80">
        <f t="shared" si="125"/>
        <v>2.5900000000000034</v>
      </c>
      <c r="G131" s="80">
        <f t="shared" si="121"/>
        <v>684.20561560760541</v>
      </c>
      <c r="H131" s="259">
        <v>255.04</v>
      </c>
      <c r="I131" s="80">
        <f t="shared" si="136"/>
        <v>0</v>
      </c>
      <c r="J131" s="80">
        <f t="shared" si="122"/>
        <v>0</v>
      </c>
      <c r="K131" s="259">
        <v>883.8</v>
      </c>
      <c r="L131" s="80">
        <f t="shared" si="137"/>
        <v>45.600000000000023</v>
      </c>
      <c r="M131" s="80">
        <f t="shared" si="123"/>
        <v>12046.245587531574</v>
      </c>
      <c r="N131" s="259">
        <v>76.900000000000006</v>
      </c>
      <c r="O131" s="80">
        <f t="shared" si="138"/>
        <v>-31.350000000000009</v>
      </c>
      <c r="P131" s="80">
        <f t="shared" si="124"/>
        <v>-8281.7938414279542</v>
      </c>
      <c r="Q131" s="259">
        <v>17.14</v>
      </c>
      <c r="R131" s="80">
        <f t="shared" si="133"/>
        <v>0</v>
      </c>
      <c r="S131" s="80">
        <f t="shared" si="127"/>
        <v>0</v>
      </c>
      <c r="T131" s="80"/>
      <c r="U131" s="80">
        <f t="shared" ref="U131:U194" si="140">+CONVERT(T131,"gal","l")</f>
        <v>0</v>
      </c>
      <c r="V131" s="215">
        <f t="shared" ref="V131:V194" si="141">+CONVERT(W131,"gal","m3")</f>
        <v>0</v>
      </c>
      <c r="W131" s="185"/>
      <c r="X131" s="80">
        <v>7444</v>
      </c>
      <c r="Y131" s="80">
        <f t="shared" si="105"/>
        <v>28.178605320095997</v>
      </c>
      <c r="Z131" s="186">
        <v>12.99</v>
      </c>
      <c r="AA131" s="80">
        <f t="shared" si="118"/>
        <v>2.0299999999999994</v>
      </c>
      <c r="AB131" s="80">
        <f t="shared" si="128"/>
        <v>536.26926628704109</v>
      </c>
      <c r="AC131" s="186">
        <v>2.89</v>
      </c>
      <c r="AD131" s="80">
        <f t="shared" si="96"/>
        <v>-15.099999999999998</v>
      </c>
      <c r="AE131" s="80">
        <f t="shared" si="129"/>
        <v>-3988.9979906080407</v>
      </c>
      <c r="AF131" s="186">
        <v>252.81</v>
      </c>
      <c r="AG131" s="80">
        <f t="shared" si="109"/>
        <v>-0.68999999999999773</v>
      </c>
      <c r="AH131" s="80">
        <f t="shared" si="90"/>
        <v>-182.27871612712181</v>
      </c>
      <c r="AI131" s="186">
        <v>87.75</v>
      </c>
      <c r="AJ131" s="80">
        <f t="shared" si="108"/>
        <v>-24.21</v>
      </c>
      <c r="AK131" s="80">
        <f t="shared" si="130"/>
        <v>-6395.6053875907737</v>
      </c>
      <c r="AL131" s="186">
        <v>3.75</v>
      </c>
      <c r="AM131" s="80">
        <f t="shared" si="110"/>
        <v>4.1100000000000003</v>
      </c>
      <c r="AN131" s="17">
        <f t="shared" si="131"/>
        <v>1085.7471351919901</v>
      </c>
      <c r="AO131" s="235">
        <f t="shared" si="139"/>
        <v>7608.1551079146748</v>
      </c>
      <c r="AP131" s="19">
        <v>28.8</v>
      </c>
    </row>
    <row r="132" spans="1:46">
      <c r="A132" s="15">
        <v>45056</v>
      </c>
      <c r="B132" s="194">
        <v>0</v>
      </c>
      <c r="C132" s="80">
        <f t="shared" si="135"/>
        <v>0</v>
      </c>
      <c r="D132" s="80">
        <f t="shared" si="134"/>
        <v>0</v>
      </c>
      <c r="E132" s="259">
        <v>87.76</v>
      </c>
      <c r="F132" s="80">
        <f t="shared" si="125"/>
        <v>3.2199999999999989</v>
      </c>
      <c r="G132" s="80">
        <f t="shared" si="121"/>
        <v>850.6340085932377</v>
      </c>
      <c r="H132" s="259">
        <v>255.04</v>
      </c>
      <c r="I132" s="80">
        <f t="shared" si="136"/>
        <v>0</v>
      </c>
      <c r="J132" s="80">
        <f t="shared" si="122"/>
        <v>0</v>
      </c>
      <c r="K132" s="259">
        <v>902</v>
      </c>
      <c r="L132" s="80">
        <f t="shared" si="137"/>
        <v>-18.200000000000045</v>
      </c>
      <c r="M132" s="80">
        <f t="shared" si="123"/>
        <v>-4807.9313529183128</v>
      </c>
      <c r="N132" s="259">
        <v>68.81</v>
      </c>
      <c r="O132" s="80">
        <f t="shared" si="138"/>
        <v>8.0900000000000034</v>
      </c>
      <c r="P132" s="80">
        <f t="shared" si="124"/>
        <v>2137.1519035774218</v>
      </c>
      <c r="Q132" s="259">
        <v>17.14</v>
      </c>
      <c r="R132" s="80">
        <f t="shared" si="133"/>
        <v>0</v>
      </c>
      <c r="S132" s="80">
        <f t="shared" si="127"/>
        <v>0</v>
      </c>
      <c r="T132" s="80"/>
      <c r="U132" s="80">
        <f t="shared" si="140"/>
        <v>0</v>
      </c>
      <c r="V132" s="215">
        <f t="shared" si="141"/>
        <v>0</v>
      </c>
      <c r="W132" s="185"/>
      <c r="X132" s="80"/>
      <c r="Y132" s="80">
        <f t="shared" ref="Y132:Y195" si="142">+CONVERT(X132,"gal","m^3")</f>
        <v>0</v>
      </c>
      <c r="Z132" s="186">
        <v>17.27</v>
      </c>
      <c r="AA132" s="80">
        <f t="shared" si="118"/>
        <v>4.2799999999999994</v>
      </c>
      <c r="AB132" s="80">
        <f t="shared" si="128"/>
        <v>1130.656384092875</v>
      </c>
      <c r="AC132" s="186">
        <v>2.99</v>
      </c>
      <c r="AD132" s="80">
        <f t="shared" ref="AD132:AD195" si="143">IF(AC132="",0,AC132-AC131)</f>
        <v>0.10000000000000009</v>
      </c>
      <c r="AE132" s="80">
        <f t="shared" si="129"/>
        <v>26.417205235814865</v>
      </c>
      <c r="AF132" s="186">
        <v>252</v>
      </c>
      <c r="AG132" s="80">
        <f t="shared" si="109"/>
        <v>0.81000000000000227</v>
      </c>
      <c r="AH132" s="80">
        <f t="shared" ref="AH132:AH195" si="144">+CONVERT(AG132,"m^3","gal")</f>
        <v>213.97936241010083</v>
      </c>
      <c r="AI132" s="186">
        <v>61.11</v>
      </c>
      <c r="AJ132" s="80">
        <f t="shared" si="108"/>
        <v>26.64</v>
      </c>
      <c r="AK132" s="80">
        <f t="shared" si="130"/>
        <v>7037.5434748210737</v>
      </c>
      <c r="AL132" s="186">
        <v>9.4499999999999993</v>
      </c>
      <c r="AM132" s="80">
        <f t="shared" si="110"/>
        <v>-5.6999999999999993</v>
      </c>
      <c r="AN132" s="17">
        <f t="shared" si="131"/>
        <v>-1505.7806984414458</v>
      </c>
      <c r="AO132" s="235">
        <f t="shared" si="139"/>
        <v>0</v>
      </c>
      <c r="AP132" s="19"/>
    </row>
    <row r="133" spans="1:46">
      <c r="A133" s="15">
        <v>45057</v>
      </c>
      <c r="B133" s="194">
        <v>0</v>
      </c>
      <c r="C133" s="80">
        <f t="shared" si="135"/>
        <v>0</v>
      </c>
      <c r="D133" s="80">
        <f t="shared" si="134"/>
        <v>0</v>
      </c>
      <c r="E133" s="259">
        <v>91.14</v>
      </c>
      <c r="F133" s="80">
        <f t="shared" si="125"/>
        <v>3.3799999999999955</v>
      </c>
      <c r="G133" s="80">
        <f t="shared" si="121"/>
        <v>892.90153697054052</v>
      </c>
      <c r="H133" s="259">
        <v>255.04</v>
      </c>
      <c r="I133" s="80">
        <f t="shared" si="136"/>
        <v>0</v>
      </c>
      <c r="J133" s="80">
        <f t="shared" si="122"/>
        <v>0</v>
      </c>
      <c r="K133" s="259">
        <v>926.1</v>
      </c>
      <c r="L133" s="80">
        <f t="shared" si="137"/>
        <v>-24.100000000000023</v>
      </c>
      <c r="M133" s="80">
        <f t="shared" si="123"/>
        <v>-6366.5464618313827</v>
      </c>
      <c r="N133" s="259">
        <v>61.18</v>
      </c>
      <c r="O133" s="80">
        <f t="shared" si="138"/>
        <v>7.6300000000000026</v>
      </c>
      <c r="P133" s="80">
        <f t="shared" si="124"/>
        <v>2015.6327594926731</v>
      </c>
      <c r="Q133" s="259">
        <v>17.14</v>
      </c>
      <c r="R133" s="80">
        <f t="shared" si="133"/>
        <v>0</v>
      </c>
      <c r="S133" s="80">
        <f t="shared" si="127"/>
        <v>0</v>
      </c>
      <c r="T133" s="80"/>
      <c r="U133" s="80">
        <f t="shared" si="140"/>
        <v>0</v>
      </c>
      <c r="V133" s="215">
        <f t="shared" si="141"/>
        <v>0</v>
      </c>
      <c r="W133" s="185"/>
      <c r="X133" s="80"/>
      <c r="Y133" s="80">
        <f t="shared" si="142"/>
        <v>0</v>
      </c>
      <c r="Z133" s="186">
        <v>17.79</v>
      </c>
      <c r="AA133" s="80">
        <f t="shared" si="118"/>
        <v>0.51999999999999957</v>
      </c>
      <c r="AB133" s="80">
        <f t="shared" si="128"/>
        <v>137.36946722623705</v>
      </c>
      <c r="AC133" s="186">
        <v>9.51</v>
      </c>
      <c r="AD133" s="80">
        <f t="shared" si="143"/>
        <v>6.52</v>
      </c>
      <c r="AE133" s="80">
        <f t="shared" si="129"/>
        <v>1722.4017813751277</v>
      </c>
      <c r="AF133" s="186">
        <v>251.4</v>
      </c>
      <c r="AG133" s="80">
        <f t="shared" si="109"/>
        <v>0.59999999999999432</v>
      </c>
      <c r="AH133" s="80">
        <f t="shared" si="144"/>
        <v>158.50323141488755</v>
      </c>
      <c r="AI133" s="186">
        <v>54.57</v>
      </c>
      <c r="AJ133" s="80">
        <f t="shared" si="108"/>
        <v>6.5399999999999991</v>
      </c>
      <c r="AK133" s="80">
        <f t="shared" si="130"/>
        <v>1727.6852224222905</v>
      </c>
      <c r="AL133" s="186">
        <v>1.79</v>
      </c>
      <c r="AM133" s="80">
        <f t="shared" si="110"/>
        <v>7.6599999999999993</v>
      </c>
      <c r="AN133" s="17">
        <f t="shared" si="131"/>
        <v>2023.5579210634166</v>
      </c>
      <c r="AO133" s="235">
        <f t="shared" si="139"/>
        <v>0</v>
      </c>
      <c r="AP133" s="19"/>
    </row>
    <row r="134" spans="1:46">
      <c r="A134" s="15">
        <v>45058</v>
      </c>
      <c r="B134" s="194">
        <v>0</v>
      </c>
      <c r="C134" s="80">
        <f t="shared" si="135"/>
        <v>0</v>
      </c>
      <c r="D134" s="80">
        <f t="shared" si="134"/>
        <v>0</v>
      </c>
      <c r="E134" s="259">
        <v>94.8</v>
      </c>
      <c r="F134" s="80">
        <f t="shared" si="125"/>
        <v>3.6599999999999966</v>
      </c>
      <c r="G134" s="80">
        <f t="shared" si="121"/>
        <v>966.86971163082228</v>
      </c>
      <c r="H134" s="259">
        <v>255.04</v>
      </c>
      <c r="I134" s="80">
        <f t="shared" si="136"/>
        <v>0</v>
      </c>
      <c r="J134" s="80">
        <f t="shared" si="122"/>
        <v>0</v>
      </c>
      <c r="K134" s="259">
        <v>907.7</v>
      </c>
      <c r="L134" s="80">
        <f t="shared" si="137"/>
        <v>18.399999999999977</v>
      </c>
      <c r="M134" s="80">
        <f t="shared" si="123"/>
        <v>4860.7657633899253</v>
      </c>
      <c r="N134" s="259">
        <v>89.99</v>
      </c>
      <c r="O134" s="80">
        <f t="shared" si="138"/>
        <v>-28.809999999999995</v>
      </c>
      <c r="P134" s="80">
        <f t="shared" si="124"/>
        <v>-7610.796828438255</v>
      </c>
      <c r="Q134" s="259">
        <v>17.14</v>
      </c>
      <c r="R134" s="80">
        <f t="shared" si="133"/>
        <v>0</v>
      </c>
      <c r="S134" s="80">
        <f t="shared" si="127"/>
        <v>0</v>
      </c>
      <c r="T134" s="80"/>
      <c r="U134" s="80">
        <f t="shared" si="140"/>
        <v>0</v>
      </c>
      <c r="V134" s="215">
        <f t="shared" si="141"/>
        <v>0</v>
      </c>
      <c r="W134" s="185"/>
      <c r="X134" s="80"/>
      <c r="Y134" s="80">
        <f t="shared" si="142"/>
        <v>0</v>
      </c>
      <c r="Z134" s="186">
        <v>17.79</v>
      </c>
      <c r="AA134" s="80">
        <f t="shared" si="118"/>
        <v>0</v>
      </c>
      <c r="AB134" s="80">
        <f t="shared" si="128"/>
        <v>0</v>
      </c>
      <c r="AC134" s="186">
        <v>10.49</v>
      </c>
      <c r="AD134" s="80">
        <f t="shared" si="143"/>
        <v>0.98000000000000043</v>
      </c>
      <c r="AE134" s="80">
        <f t="shared" si="129"/>
        <v>258.8886113109856</v>
      </c>
      <c r="AF134" s="186">
        <v>252</v>
      </c>
      <c r="AG134" s="80">
        <f t="shared" si="109"/>
        <v>-0.59999999999999432</v>
      </c>
      <c r="AH134" s="80">
        <f t="shared" si="144"/>
        <v>-158.50323141488755</v>
      </c>
      <c r="AI134" s="186">
        <v>102.96</v>
      </c>
      <c r="AJ134" s="80">
        <f t="shared" si="108"/>
        <v>-48.389999999999993</v>
      </c>
      <c r="AK134" s="80">
        <f t="shared" si="130"/>
        <v>-12783.2856136108</v>
      </c>
      <c r="AL134" s="186">
        <v>7.95</v>
      </c>
      <c r="AM134" s="80">
        <f t="shared" si="110"/>
        <v>-6.16</v>
      </c>
      <c r="AN134" s="17">
        <f t="shared" si="131"/>
        <v>-1627.2998425261942</v>
      </c>
      <c r="AO134" s="235">
        <f t="shared" si="139"/>
        <v>13377.672731416636</v>
      </c>
      <c r="AP134" s="19">
        <v>50.64</v>
      </c>
    </row>
    <row r="135" spans="1:46">
      <c r="A135" s="15">
        <v>45059</v>
      </c>
      <c r="B135" s="194">
        <v>0</v>
      </c>
      <c r="C135" s="80">
        <f t="shared" si="135"/>
        <v>0</v>
      </c>
      <c r="D135" s="80">
        <f t="shared" si="134"/>
        <v>0</v>
      </c>
      <c r="E135" s="259">
        <v>98.26</v>
      </c>
      <c r="F135" s="80">
        <f t="shared" si="125"/>
        <v>3.460000000000008</v>
      </c>
      <c r="G135" s="80">
        <f t="shared" si="121"/>
        <v>914.03530115919568</v>
      </c>
      <c r="H135" s="259">
        <v>255.04</v>
      </c>
      <c r="I135" s="80">
        <f t="shared" si="136"/>
        <v>0</v>
      </c>
      <c r="J135" s="80">
        <f t="shared" si="122"/>
        <v>0</v>
      </c>
      <c r="K135" s="259">
        <v>869.1</v>
      </c>
      <c r="L135" s="80">
        <f t="shared" si="137"/>
        <v>38.600000000000023</v>
      </c>
      <c r="M135" s="80">
        <f t="shared" si="123"/>
        <v>10197.041221024534</v>
      </c>
      <c r="N135" s="259">
        <v>82.39</v>
      </c>
      <c r="O135" s="80">
        <f t="shared" si="138"/>
        <v>7.5999999999999943</v>
      </c>
      <c r="P135" s="80">
        <f t="shared" si="124"/>
        <v>2007.7075979219267</v>
      </c>
      <c r="Q135" s="259">
        <v>17.14</v>
      </c>
      <c r="R135" s="80">
        <f t="shared" si="133"/>
        <v>0</v>
      </c>
      <c r="S135" s="80">
        <f t="shared" si="127"/>
        <v>0</v>
      </c>
      <c r="T135" s="80"/>
      <c r="U135" s="80">
        <f t="shared" si="140"/>
        <v>0</v>
      </c>
      <c r="V135" s="215">
        <f t="shared" si="141"/>
        <v>0</v>
      </c>
      <c r="W135" s="185"/>
      <c r="X135" s="80"/>
      <c r="Y135" s="80">
        <f t="shared" si="142"/>
        <v>0</v>
      </c>
      <c r="Z135" s="186">
        <v>17.809999999999999</v>
      </c>
      <c r="AA135" s="80">
        <f t="shared" si="118"/>
        <v>1.9999999999999574E-2</v>
      </c>
      <c r="AB135" s="80">
        <f t="shared" si="128"/>
        <v>5.2834410471628557</v>
      </c>
      <c r="AC135" s="186">
        <v>14</v>
      </c>
      <c r="AD135" s="80">
        <f t="shared" si="143"/>
        <v>3.51</v>
      </c>
      <c r="AE135" s="80">
        <f t="shared" si="129"/>
        <v>927.24390377710097</v>
      </c>
      <c r="AF135" s="186">
        <v>252.06</v>
      </c>
      <c r="AG135" s="80">
        <f t="shared" si="109"/>
        <v>-6.0000000000002274E-2</v>
      </c>
      <c r="AH135" s="80">
        <f t="shared" si="144"/>
        <v>-15.850323141489506</v>
      </c>
      <c r="AI135" s="186">
        <v>98.01</v>
      </c>
      <c r="AJ135" s="80">
        <f t="shared" si="108"/>
        <v>4.9499999999999886</v>
      </c>
      <c r="AK135" s="80">
        <f t="shared" si="130"/>
        <v>1307.6516591728318</v>
      </c>
      <c r="AL135" s="186">
        <v>5.67</v>
      </c>
      <c r="AM135" s="80">
        <f t="shared" si="110"/>
        <v>2.2800000000000002</v>
      </c>
      <c r="AN135" s="17">
        <f t="shared" si="131"/>
        <v>602.31227937657854</v>
      </c>
      <c r="AO135" s="235">
        <f t="shared" si="139"/>
        <v>0</v>
      </c>
      <c r="AP135" s="19"/>
      <c r="AS135" s="265"/>
      <c r="AT135" s="265"/>
    </row>
    <row r="136" spans="1:46">
      <c r="A136" s="15">
        <v>45060</v>
      </c>
      <c r="B136" s="194">
        <v>0</v>
      </c>
      <c r="C136" s="80">
        <f t="shared" si="135"/>
        <v>0</v>
      </c>
      <c r="D136" s="80">
        <f t="shared" si="134"/>
        <v>0</v>
      </c>
      <c r="E136" s="259">
        <v>101.97</v>
      </c>
      <c r="F136" s="80">
        <f t="shared" si="125"/>
        <v>3.7099999999999937</v>
      </c>
      <c r="G136" s="80">
        <f t="shared" si="121"/>
        <v>980.07831424872893</v>
      </c>
      <c r="H136" s="259">
        <v>255.04</v>
      </c>
      <c r="I136" s="80">
        <f t="shared" si="136"/>
        <v>0</v>
      </c>
      <c r="J136" s="80">
        <f t="shared" si="122"/>
        <v>0</v>
      </c>
      <c r="K136" s="259">
        <v>834.6</v>
      </c>
      <c r="L136" s="80">
        <f t="shared" si="137"/>
        <v>34.5</v>
      </c>
      <c r="M136" s="80">
        <f t="shared" si="123"/>
        <v>9113.9358063561212</v>
      </c>
      <c r="N136" s="259">
        <v>74.239999999999995</v>
      </c>
      <c r="O136" s="80">
        <f t="shared" si="138"/>
        <v>8.1500000000000057</v>
      </c>
      <c r="P136" s="80">
        <f t="shared" si="124"/>
        <v>2153.0022267189111</v>
      </c>
      <c r="Q136" s="259">
        <v>16.670000000000002</v>
      </c>
      <c r="R136" s="80">
        <f t="shared" si="133"/>
        <v>0.46999999999999886</v>
      </c>
      <c r="S136" s="80">
        <f t="shared" si="127"/>
        <v>124.16086460832946</v>
      </c>
      <c r="T136" s="80"/>
      <c r="U136" s="80">
        <f t="shared" si="140"/>
        <v>0</v>
      </c>
      <c r="V136" s="215">
        <f t="shared" si="141"/>
        <v>0</v>
      </c>
      <c r="W136" s="185"/>
      <c r="X136" s="80"/>
      <c r="Y136" s="80">
        <f t="shared" si="142"/>
        <v>0</v>
      </c>
      <c r="Z136" s="186">
        <v>17.8</v>
      </c>
      <c r="AA136" s="80">
        <f t="shared" si="118"/>
        <v>-9.9999999999980105E-3</v>
      </c>
      <c r="AB136" s="80">
        <f t="shared" si="128"/>
        <v>-2.6417205235809584</v>
      </c>
      <c r="AC136" s="186">
        <v>15.18</v>
      </c>
      <c r="AD136" s="80">
        <f t="shared" si="143"/>
        <v>1.1799999999999997</v>
      </c>
      <c r="AE136" s="80">
        <f t="shared" si="129"/>
        <v>311.72302178261509</v>
      </c>
      <c r="AF136" s="186">
        <v>252.18</v>
      </c>
      <c r="AG136" s="80">
        <f t="shared" si="109"/>
        <v>-0.12000000000000455</v>
      </c>
      <c r="AH136" s="80">
        <f t="shared" si="144"/>
        <v>-31.700646282979012</v>
      </c>
      <c r="AI136" s="186">
        <v>136.47</v>
      </c>
      <c r="AJ136" s="80">
        <f t="shared" si="108"/>
        <v>-38.459999999999994</v>
      </c>
      <c r="AK136" s="80">
        <f t="shared" si="130"/>
        <v>-10160.057133694387</v>
      </c>
      <c r="AL136" s="186">
        <v>8.85</v>
      </c>
      <c r="AM136" s="80">
        <f t="shared" si="110"/>
        <v>-3.1799999999999997</v>
      </c>
      <c r="AN136" s="17">
        <f t="shared" si="131"/>
        <v>-840.06712649891188</v>
      </c>
      <c r="AO136" s="235">
        <f t="shared" si="139"/>
        <v>13155.768207435791</v>
      </c>
      <c r="AP136" s="19">
        <v>49.8</v>
      </c>
      <c r="AS136" s="139"/>
      <c r="AT136" s="139"/>
    </row>
    <row r="137" spans="1:46">
      <c r="A137" s="15">
        <v>45061</v>
      </c>
      <c r="B137" s="194">
        <v>0</v>
      </c>
      <c r="C137" s="80">
        <f t="shared" si="135"/>
        <v>0</v>
      </c>
      <c r="D137" s="80">
        <f t="shared" si="134"/>
        <v>0</v>
      </c>
      <c r="E137" s="259">
        <v>106.02</v>
      </c>
      <c r="F137" s="80">
        <f t="shared" si="125"/>
        <v>4.0499999999999972</v>
      </c>
      <c r="G137" s="80">
        <f t="shared" si="121"/>
        <v>1069.8968120505003</v>
      </c>
      <c r="H137" s="259">
        <v>255.04</v>
      </c>
      <c r="I137" s="80">
        <f t="shared" si="136"/>
        <v>0</v>
      </c>
      <c r="J137" s="80">
        <f t="shared" si="122"/>
        <v>0</v>
      </c>
      <c r="K137" s="259">
        <v>881.3</v>
      </c>
      <c r="L137" s="80">
        <f t="shared" si="137"/>
        <v>-46.699999999999932</v>
      </c>
      <c r="M137" s="80">
        <f t="shared" si="123"/>
        <v>-12336.834845125513</v>
      </c>
      <c r="N137" s="259">
        <v>64.69</v>
      </c>
      <c r="O137" s="80">
        <f t="shared" si="138"/>
        <v>9.5499999999999972</v>
      </c>
      <c r="P137" s="80">
        <f t="shared" si="124"/>
        <v>2522.8431000203163</v>
      </c>
      <c r="Q137" s="259">
        <v>16.670000000000002</v>
      </c>
      <c r="R137" s="80">
        <f t="shared" si="133"/>
        <v>0</v>
      </c>
      <c r="S137" s="80">
        <f t="shared" si="127"/>
        <v>0</v>
      </c>
      <c r="T137" s="80"/>
      <c r="U137" s="80">
        <f t="shared" si="140"/>
        <v>0</v>
      </c>
      <c r="V137" s="215">
        <f t="shared" si="141"/>
        <v>0</v>
      </c>
      <c r="W137" s="185"/>
      <c r="X137" s="80"/>
      <c r="Y137" s="80">
        <f t="shared" si="142"/>
        <v>0</v>
      </c>
      <c r="Z137" s="186">
        <v>17.78</v>
      </c>
      <c r="AA137" s="80">
        <f t="shared" si="118"/>
        <v>-1.9999999999999574E-2</v>
      </c>
      <c r="AB137" s="80">
        <f t="shared" si="128"/>
        <v>-5.2834410471628557</v>
      </c>
      <c r="AC137" s="186">
        <v>18.11</v>
      </c>
      <c r="AD137" s="80">
        <f t="shared" si="143"/>
        <v>2.9299999999999997</v>
      </c>
      <c r="AE137" s="80">
        <f t="shared" si="129"/>
        <v>774.02411340937476</v>
      </c>
      <c r="AF137" s="186">
        <v>252.15</v>
      </c>
      <c r="AG137" s="80">
        <f t="shared" si="109"/>
        <v>3.0000000000001137E-2</v>
      </c>
      <c r="AH137" s="80">
        <f t="shared" si="144"/>
        <v>7.9251615707447529</v>
      </c>
      <c r="AI137" s="186">
        <v>127.32</v>
      </c>
      <c r="AJ137" s="80">
        <f t="shared" si="108"/>
        <v>9.1500000000000057</v>
      </c>
      <c r="AK137" s="80">
        <f t="shared" si="130"/>
        <v>2417.1742790770595</v>
      </c>
      <c r="AL137" s="186">
        <v>9.5399999999999991</v>
      </c>
      <c r="AM137" s="80">
        <f t="shared" si="110"/>
        <v>-0.6899999999999995</v>
      </c>
      <c r="AN137" s="17">
        <f t="shared" si="131"/>
        <v>-182.27871612712229</v>
      </c>
      <c r="AO137" s="235">
        <f t="shared" si="139"/>
        <v>0</v>
      </c>
      <c r="AP137" s="19"/>
    </row>
    <row r="138" spans="1:46">
      <c r="A138" s="15">
        <v>45062</v>
      </c>
      <c r="B138" s="194">
        <v>0</v>
      </c>
      <c r="C138" s="80">
        <f t="shared" si="135"/>
        <v>0</v>
      </c>
      <c r="D138" s="80">
        <f t="shared" si="134"/>
        <v>0</v>
      </c>
      <c r="E138" s="259">
        <v>110.27</v>
      </c>
      <c r="F138" s="80">
        <f t="shared" si="125"/>
        <v>4.25</v>
      </c>
      <c r="G138" s="80">
        <f t="shared" ref="G138:G155" si="145">+CONVERT(F138,"m^3","gal")</f>
        <v>1122.7312225221308</v>
      </c>
      <c r="H138" s="259">
        <v>255.04</v>
      </c>
      <c r="I138" s="80">
        <f t="shared" si="136"/>
        <v>0</v>
      </c>
      <c r="J138" s="80">
        <f t="shared" ref="J138:J155" si="146">+CONVERT(I138,"m^3","gal")</f>
        <v>0</v>
      </c>
      <c r="K138" s="259">
        <v>927.7</v>
      </c>
      <c r="L138" s="80">
        <f t="shared" si="137"/>
        <v>-46.400000000000091</v>
      </c>
      <c r="M138" s="80">
        <f t="shared" ref="M138:M147" si="147">+CONVERT(L138,"m^3","gal")</f>
        <v>-12257.583229418109</v>
      </c>
      <c r="N138" s="259">
        <v>55.15</v>
      </c>
      <c r="O138" s="80">
        <f t="shared" si="138"/>
        <v>9.5399999999999991</v>
      </c>
      <c r="P138" s="80">
        <f t="shared" ref="P138:P155" si="148">+CONVERT(O138,"m^3","gal")</f>
        <v>2520.2013794967361</v>
      </c>
      <c r="Q138" s="259">
        <v>16.559999999999999</v>
      </c>
      <c r="R138" s="80">
        <f t="shared" si="133"/>
        <v>0.11000000000000298</v>
      </c>
      <c r="S138" s="80">
        <f t="shared" si="127"/>
        <v>29.058925759397116</v>
      </c>
      <c r="T138" s="80"/>
      <c r="U138" s="80">
        <f t="shared" si="140"/>
        <v>0</v>
      </c>
      <c r="V138" s="215">
        <f t="shared" si="141"/>
        <v>0</v>
      </c>
      <c r="W138" s="185"/>
      <c r="X138" s="80"/>
      <c r="Y138" s="80">
        <f t="shared" si="142"/>
        <v>0</v>
      </c>
      <c r="Z138" s="186">
        <v>16.62</v>
      </c>
      <c r="AA138" s="80">
        <f t="shared" si="118"/>
        <v>-1.1600000000000001</v>
      </c>
      <c r="AB138" s="80">
        <f t="shared" si="128"/>
        <v>-306.43958073545224</v>
      </c>
      <c r="AC138" s="186">
        <v>16.239999999999998</v>
      </c>
      <c r="AD138" s="80">
        <f t="shared" si="143"/>
        <v>-1.870000000000001</v>
      </c>
      <c r="AE138" s="80">
        <f t="shared" si="129"/>
        <v>-494.00173790973781</v>
      </c>
      <c r="AF138" s="186">
        <v>251.1</v>
      </c>
      <c r="AG138" s="80">
        <f t="shared" si="109"/>
        <v>1.0500000000000114</v>
      </c>
      <c r="AH138" s="80">
        <f t="shared" si="144"/>
        <v>277.38065497605885</v>
      </c>
      <c r="AI138" s="186">
        <v>112.5</v>
      </c>
      <c r="AJ138" s="80">
        <f t="shared" si="108"/>
        <v>14.819999999999993</v>
      </c>
      <c r="AK138" s="80">
        <f t="shared" si="130"/>
        <v>3915.0298159477579</v>
      </c>
      <c r="AL138" s="186">
        <v>6.31</v>
      </c>
      <c r="AM138" s="80">
        <f t="shared" si="110"/>
        <v>3.2299999999999995</v>
      </c>
      <c r="AN138" s="17">
        <f t="shared" si="131"/>
        <v>853.27572911681932</v>
      </c>
      <c r="AO138" s="235">
        <f t="shared" si="139"/>
        <v>0</v>
      </c>
      <c r="AP138" s="19"/>
      <c r="AS138" s="266"/>
      <c r="AT138" s="266"/>
    </row>
    <row r="139" spans="1:46">
      <c r="A139" s="15">
        <v>45063</v>
      </c>
      <c r="B139" s="194">
        <v>0</v>
      </c>
      <c r="C139" s="80">
        <f t="shared" si="135"/>
        <v>0</v>
      </c>
      <c r="D139" s="80">
        <f t="shared" si="134"/>
        <v>0</v>
      </c>
      <c r="E139" s="259">
        <v>115.36</v>
      </c>
      <c r="F139" s="80">
        <f t="shared" si="125"/>
        <v>5.0900000000000034</v>
      </c>
      <c r="G139" s="80">
        <f t="shared" si="145"/>
        <v>1344.6357465029764</v>
      </c>
      <c r="H139" s="259">
        <v>255.04</v>
      </c>
      <c r="I139" s="80">
        <f t="shared" si="136"/>
        <v>0</v>
      </c>
      <c r="J139" s="80">
        <f t="shared" si="146"/>
        <v>0</v>
      </c>
      <c r="K139" s="259">
        <v>971</v>
      </c>
      <c r="L139" s="80">
        <f t="shared" si="137"/>
        <v>-43.299999999999955</v>
      </c>
      <c r="M139" s="80">
        <f t="shared" si="147"/>
        <v>-11438.649867107815</v>
      </c>
      <c r="N139" s="259">
        <v>45.99</v>
      </c>
      <c r="O139" s="80">
        <f t="shared" si="138"/>
        <v>9.1599999999999966</v>
      </c>
      <c r="P139" s="80">
        <f t="shared" si="148"/>
        <v>2419.8159996006384</v>
      </c>
      <c r="Q139" s="259">
        <v>16.68</v>
      </c>
      <c r="R139" s="80">
        <f t="shared" si="133"/>
        <v>-0.12000000000000099</v>
      </c>
      <c r="S139" s="80">
        <f t="shared" si="127"/>
        <v>-31.700646282978074</v>
      </c>
      <c r="T139" s="80"/>
      <c r="U139" s="80">
        <f t="shared" si="140"/>
        <v>0</v>
      </c>
      <c r="V139" s="215">
        <f t="shared" si="141"/>
        <v>0</v>
      </c>
      <c r="W139" s="185"/>
      <c r="X139" s="80"/>
      <c r="Y139" s="80">
        <f t="shared" si="142"/>
        <v>0</v>
      </c>
      <c r="Z139" s="186">
        <v>17.600000000000001</v>
      </c>
      <c r="AA139" s="80">
        <f t="shared" si="118"/>
        <v>0.98000000000000043</v>
      </c>
      <c r="AB139" s="80">
        <f t="shared" si="128"/>
        <v>258.8886113109856</v>
      </c>
      <c r="AC139" s="186">
        <v>16.28</v>
      </c>
      <c r="AD139" s="80">
        <f t="shared" si="143"/>
        <v>4.00000000000027E-2</v>
      </c>
      <c r="AE139" s="80">
        <f t="shared" si="129"/>
        <v>10.566882094326651</v>
      </c>
      <c r="AF139" s="186">
        <v>252</v>
      </c>
      <c r="AG139" s="80">
        <f t="shared" si="109"/>
        <v>-0.90000000000000568</v>
      </c>
      <c r="AH139" s="80">
        <f t="shared" si="144"/>
        <v>-237.75484712233509</v>
      </c>
      <c r="AI139" s="186">
        <v>102</v>
      </c>
      <c r="AJ139" s="80">
        <f t="shared" si="108"/>
        <v>10.5</v>
      </c>
      <c r="AK139" s="80">
        <f t="shared" si="130"/>
        <v>2773.8065497605585</v>
      </c>
      <c r="AL139" s="186">
        <v>7.21</v>
      </c>
      <c r="AM139" s="80">
        <f t="shared" si="110"/>
        <v>-0.90000000000000036</v>
      </c>
      <c r="AN139" s="17">
        <f t="shared" si="131"/>
        <v>-237.75484712233367</v>
      </c>
      <c r="AO139" s="235">
        <f t="shared" si="139"/>
        <v>0</v>
      </c>
      <c r="AP139" s="19"/>
    </row>
    <row r="140" spans="1:46">
      <c r="A140" s="15">
        <v>45064</v>
      </c>
      <c r="B140" s="194">
        <v>0</v>
      </c>
      <c r="C140" s="80">
        <f t="shared" si="135"/>
        <v>0</v>
      </c>
      <c r="D140" s="80">
        <f t="shared" si="134"/>
        <v>0</v>
      </c>
      <c r="E140" s="259">
        <v>120.19</v>
      </c>
      <c r="F140" s="80">
        <f t="shared" si="125"/>
        <v>4.8299999999999983</v>
      </c>
      <c r="G140" s="80">
        <f t="shared" si="145"/>
        <v>1275.9510128898564</v>
      </c>
      <c r="H140" s="259">
        <v>255.04</v>
      </c>
      <c r="I140" s="80">
        <f t="shared" si="136"/>
        <v>0</v>
      </c>
      <c r="J140" s="80">
        <f t="shared" si="146"/>
        <v>0</v>
      </c>
      <c r="K140" s="259">
        <v>983</v>
      </c>
      <c r="L140" s="80">
        <f t="shared" si="137"/>
        <v>-12</v>
      </c>
      <c r="M140" s="80">
        <f t="shared" si="147"/>
        <v>-3170.0646282977809</v>
      </c>
      <c r="N140" s="259">
        <v>78.489999999999995</v>
      </c>
      <c r="O140" s="80">
        <f t="shared" si="138"/>
        <v>-32.499999999999993</v>
      </c>
      <c r="P140" s="80">
        <f t="shared" si="148"/>
        <v>-8585.5917016398216</v>
      </c>
      <c r="Q140" s="259">
        <v>16.649999999999999</v>
      </c>
      <c r="R140" s="80">
        <f t="shared" si="133"/>
        <v>3.0000000000001137E-2</v>
      </c>
      <c r="S140" s="80">
        <f t="shared" si="127"/>
        <v>7.9251615707447529</v>
      </c>
      <c r="T140" s="80"/>
      <c r="U140" s="80">
        <f t="shared" si="140"/>
        <v>0</v>
      </c>
      <c r="V140" s="215">
        <f t="shared" si="141"/>
        <v>0</v>
      </c>
      <c r="W140" s="185"/>
      <c r="X140" s="80">
        <v>8438</v>
      </c>
      <c r="Y140" s="80">
        <f t="shared" si="142"/>
        <v>31.941304633392001</v>
      </c>
      <c r="Z140" s="186">
        <v>1.34</v>
      </c>
      <c r="AA140" s="80">
        <f t="shared" si="118"/>
        <v>-16.260000000000002</v>
      </c>
      <c r="AB140" s="80">
        <f t="shared" si="128"/>
        <v>-4295.4375713434938</v>
      </c>
      <c r="AC140" s="186">
        <v>1.34</v>
      </c>
      <c r="AD140" s="80">
        <f t="shared" si="143"/>
        <v>-14.940000000000001</v>
      </c>
      <c r="AE140" s="80">
        <f t="shared" si="129"/>
        <v>-3946.7304622307379</v>
      </c>
      <c r="AF140" s="186">
        <v>251.7</v>
      </c>
      <c r="AG140" s="80">
        <f t="shared" si="109"/>
        <v>0.30000000000001137</v>
      </c>
      <c r="AH140" s="80">
        <f t="shared" si="144"/>
        <v>79.251615707447527</v>
      </c>
      <c r="AI140" s="186">
        <v>91.5</v>
      </c>
      <c r="AJ140" s="80">
        <f t="shared" si="108"/>
        <v>10.5</v>
      </c>
      <c r="AK140" s="80">
        <f t="shared" si="130"/>
        <v>2773.8065497605585</v>
      </c>
      <c r="AL140" s="186">
        <v>9.31</v>
      </c>
      <c r="AM140" s="80">
        <f t="shared" si="110"/>
        <v>-2.1000000000000005</v>
      </c>
      <c r="AN140" s="17">
        <f t="shared" si="131"/>
        <v>-554.76130995211179</v>
      </c>
      <c r="AO140" s="235">
        <f t="shared" si="139"/>
        <v>0</v>
      </c>
      <c r="AP140" s="19"/>
      <c r="AS140" s="187"/>
      <c r="AT140" s="187"/>
    </row>
    <row r="141" spans="1:46">
      <c r="A141" s="15">
        <v>45065</v>
      </c>
      <c r="B141" s="194">
        <v>0</v>
      </c>
      <c r="C141" s="80">
        <f t="shared" si="135"/>
        <v>0</v>
      </c>
      <c r="D141" s="80">
        <f t="shared" si="134"/>
        <v>0</v>
      </c>
      <c r="E141" s="259">
        <v>121.66</v>
      </c>
      <c r="F141" s="80">
        <f t="shared" ref="F141:F147" si="149">IF(E141="",0,E141-E140)</f>
        <v>1.4699999999999989</v>
      </c>
      <c r="G141" s="80">
        <f t="shared" si="145"/>
        <v>388.33291696647785</v>
      </c>
      <c r="H141" s="259">
        <v>255.04</v>
      </c>
      <c r="I141" s="80">
        <f t="shared" si="136"/>
        <v>0</v>
      </c>
      <c r="J141" s="80">
        <f t="shared" si="146"/>
        <v>0</v>
      </c>
      <c r="K141" s="259">
        <v>989.2</v>
      </c>
      <c r="L141" s="80">
        <f t="shared" si="137"/>
        <v>-6.2000000000000455</v>
      </c>
      <c r="M141" s="80">
        <f t="shared" si="147"/>
        <v>-1637.8667246205323</v>
      </c>
      <c r="N141" s="259">
        <v>71.849999999999994</v>
      </c>
      <c r="O141" s="80">
        <f t="shared" si="138"/>
        <v>6.6400000000000006</v>
      </c>
      <c r="P141" s="80">
        <f t="shared" si="148"/>
        <v>1754.1024276581059</v>
      </c>
      <c r="Q141" s="259">
        <v>16.649999999999999</v>
      </c>
      <c r="R141" s="80">
        <f t="shared" si="133"/>
        <v>0</v>
      </c>
      <c r="S141" s="80">
        <f t="shared" si="127"/>
        <v>0</v>
      </c>
      <c r="T141" s="80"/>
      <c r="U141" s="80">
        <f t="shared" si="140"/>
        <v>0</v>
      </c>
      <c r="V141" s="215">
        <f t="shared" si="141"/>
        <v>0</v>
      </c>
      <c r="W141" s="185"/>
      <c r="X141" s="80"/>
      <c r="Y141" s="80">
        <f t="shared" si="142"/>
        <v>0</v>
      </c>
      <c r="Z141" s="186">
        <v>17.64</v>
      </c>
      <c r="AA141" s="80">
        <f t="shared" si="118"/>
        <v>16.3</v>
      </c>
      <c r="AB141" s="80">
        <f t="shared" si="128"/>
        <v>4306.0044534378194</v>
      </c>
      <c r="AC141" s="186">
        <v>4.84</v>
      </c>
      <c r="AD141" s="80">
        <f t="shared" si="143"/>
        <v>3.5</v>
      </c>
      <c r="AE141" s="80">
        <f t="shared" si="129"/>
        <v>924.60218325351946</v>
      </c>
      <c r="AF141" s="186">
        <v>252</v>
      </c>
      <c r="AG141" s="80">
        <f t="shared" si="109"/>
        <v>-0.30000000000001137</v>
      </c>
      <c r="AH141" s="80">
        <f t="shared" si="144"/>
        <v>-79.251615707447527</v>
      </c>
      <c r="AI141" s="186">
        <v>92.4</v>
      </c>
      <c r="AJ141" s="80">
        <f t="shared" si="108"/>
        <v>-0.90000000000000568</v>
      </c>
      <c r="AK141" s="80">
        <f t="shared" si="130"/>
        <v>-237.75484712233509</v>
      </c>
      <c r="AL141" s="186">
        <v>3.23</v>
      </c>
      <c r="AM141" s="80">
        <f t="shared" si="110"/>
        <v>6.08</v>
      </c>
      <c r="AN141" s="17">
        <f t="shared" si="131"/>
        <v>1606.1660783375423</v>
      </c>
      <c r="AO141" s="235">
        <f t="shared" si="139"/>
        <v>0</v>
      </c>
      <c r="AP141" s="19"/>
    </row>
    <row r="142" spans="1:46">
      <c r="A142" s="15">
        <v>45066</v>
      </c>
      <c r="B142" s="194">
        <v>0</v>
      </c>
      <c r="C142" s="80">
        <f t="shared" si="135"/>
        <v>0</v>
      </c>
      <c r="D142" s="80">
        <f t="shared" si="134"/>
        <v>0</v>
      </c>
      <c r="E142" s="259">
        <v>123.17</v>
      </c>
      <c r="F142" s="80">
        <f t="shared" si="149"/>
        <v>1.5100000000000051</v>
      </c>
      <c r="G142" s="80">
        <f t="shared" si="145"/>
        <v>398.89979906080544</v>
      </c>
      <c r="H142" s="259">
        <v>255.04</v>
      </c>
      <c r="I142" s="80">
        <f t="shared" si="136"/>
        <v>0</v>
      </c>
      <c r="J142" s="80">
        <f t="shared" si="146"/>
        <v>0</v>
      </c>
      <c r="K142" s="259">
        <v>999.6</v>
      </c>
      <c r="L142" s="80">
        <f t="shared" si="137"/>
        <v>-10.399999999999977</v>
      </c>
      <c r="M142" s="80">
        <f t="shared" si="147"/>
        <v>-2747.3893445247377</v>
      </c>
      <c r="N142" s="259">
        <v>65.56</v>
      </c>
      <c r="O142" s="80">
        <f t="shared" si="138"/>
        <v>6.289999999999992</v>
      </c>
      <c r="P142" s="80">
        <f t="shared" si="148"/>
        <v>1661.6422093327515</v>
      </c>
      <c r="Q142" s="259">
        <v>12.35</v>
      </c>
      <c r="R142" s="80">
        <f t="shared" si="133"/>
        <v>4.2999999999999989</v>
      </c>
      <c r="S142" s="80">
        <f t="shared" si="127"/>
        <v>1135.939825140038</v>
      </c>
      <c r="T142" s="80"/>
      <c r="U142" s="80">
        <f t="shared" si="140"/>
        <v>0</v>
      </c>
      <c r="V142" s="215">
        <f t="shared" si="141"/>
        <v>0</v>
      </c>
      <c r="W142" s="185"/>
      <c r="X142" s="80"/>
      <c r="Y142" s="80">
        <f t="shared" si="142"/>
        <v>0</v>
      </c>
      <c r="Z142" s="186">
        <v>17.66</v>
      </c>
      <c r="AA142" s="80">
        <f t="shared" si="118"/>
        <v>1.9999999999999574E-2</v>
      </c>
      <c r="AB142" s="80">
        <f t="shared" si="128"/>
        <v>5.2834410471628557</v>
      </c>
      <c r="AC142" s="186">
        <v>6.08</v>
      </c>
      <c r="AD142" s="80">
        <f t="shared" si="143"/>
        <v>1.2400000000000002</v>
      </c>
      <c r="AE142" s="80">
        <f t="shared" si="129"/>
        <v>327.57334492410411</v>
      </c>
      <c r="AF142" s="186">
        <v>247.98</v>
      </c>
      <c r="AG142" s="80">
        <f t="shared" si="109"/>
        <v>4.0200000000000102</v>
      </c>
      <c r="AH142" s="80">
        <f t="shared" si="144"/>
        <v>1061.9716504797593</v>
      </c>
      <c r="AI142" s="186">
        <v>125.7</v>
      </c>
      <c r="AJ142" s="80">
        <f t="shared" si="108"/>
        <v>-33.299999999999997</v>
      </c>
      <c r="AK142" s="80">
        <f t="shared" si="130"/>
        <v>-8796.9293435263426</v>
      </c>
      <c r="AL142" s="186">
        <v>4.58</v>
      </c>
      <c r="AM142" s="80">
        <f t="shared" si="110"/>
        <v>-1.35</v>
      </c>
      <c r="AN142" s="17">
        <f t="shared" si="131"/>
        <v>-356.63227068350039</v>
      </c>
      <c r="AO142" s="235">
        <f t="shared" si="139"/>
        <v>10778.219736212455</v>
      </c>
      <c r="AP142" s="19">
        <v>40.799999999999997</v>
      </c>
    </row>
    <row r="143" spans="1:46">
      <c r="A143" s="15">
        <v>45067</v>
      </c>
      <c r="B143" s="194">
        <v>0</v>
      </c>
      <c r="C143" s="80">
        <f t="shared" si="135"/>
        <v>0</v>
      </c>
      <c r="D143" s="80">
        <f t="shared" si="134"/>
        <v>0</v>
      </c>
      <c r="E143" s="259">
        <v>124.13</v>
      </c>
      <c r="F143" s="80">
        <f t="shared" si="149"/>
        <v>0.95999999999999375</v>
      </c>
      <c r="G143" s="80">
        <f t="shared" si="145"/>
        <v>253.60517026382084</v>
      </c>
      <c r="H143" s="259">
        <v>255.04</v>
      </c>
      <c r="I143" s="80">
        <f t="shared" si="136"/>
        <v>0</v>
      </c>
      <c r="J143" s="80">
        <f t="shared" si="146"/>
        <v>0</v>
      </c>
      <c r="K143" s="259">
        <v>971.8</v>
      </c>
      <c r="L143" s="80">
        <f t="shared" si="137"/>
        <v>27.800000000000068</v>
      </c>
      <c r="M143" s="80">
        <f t="shared" si="147"/>
        <v>7343.9830555565441</v>
      </c>
      <c r="N143" s="259">
        <v>58.66</v>
      </c>
      <c r="O143" s="80">
        <f t="shared" si="138"/>
        <v>6.9000000000000057</v>
      </c>
      <c r="P143" s="80">
        <f t="shared" si="148"/>
        <v>1822.7871612712256</v>
      </c>
      <c r="Q143" s="259">
        <v>12.23</v>
      </c>
      <c r="R143" s="80">
        <f t="shared" si="133"/>
        <v>0.11999999999999922</v>
      </c>
      <c r="S143" s="80">
        <f t="shared" si="127"/>
        <v>31.700646282977605</v>
      </c>
      <c r="T143" s="80"/>
      <c r="U143" s="80">
        <f t="shared" si="140"/>
        <v>0</v>
      </c>
      <c r="V143" s="215">
        <f t="shared" si="141"/>
        <v>0</v>
      </c>
      <c r="W143" s="185"/>
      <c r="X143" s="80"/>
      <c r="Y143" s="80">
        <f t="shared" si="142"/>
        <v>0</v>
      </c>
      <c r="Z143" s="186">
        <v>17.59</v>
      </c>
      <c r="AA143" s="80">
        <f t="shared" si="118"/>
        <v>-7.0000000000000284E-2</v>
      </c>
      <c r="AB143" s="80">
        <f t="shared" si="128"/>
        <v>-18.492043665070465</v>
      </c>
      <c r="AC143" s="186">
        <v>7.19</v>
      </c>
      <c r="AD143" s="80">
        <f t="shared" si="143"/>
        <v>1.1100000000000003</v>
      </c>
      <c r="AE143" s="80">
        <f t="shared" si="129"/>
        <v>293.23097811754479</v>
      </c>
      <c r="AF143" s="186">
        <v>247.23</v>
      </c>
      <c r="AG143" s="80">
        <f t="shared" si="109"/>
        <v>0.75</v>
      </c>
      <c r="AH143" s="80">
        <f t="shared" si="144"/>
        <v>198.12903926861131</v>
      </c>
      <c r="AI143" s="186">
        <v>145.88999999999999</v>
      </c>
      <c r="AJ143" s="80">
        <f t="shared" si="108"/>
        <v>-20.189999999999984</v>
      </c>
      <c r="AK143" s="80">
        <f t="shared" si="130"/>
        <v>-5333.6337371110121</v>
      </c>
      <c r="AL143" s="186">
        <v>3.92</v>
      </c>
      <c r="AM143" s="80">
        <f t="shared" si="110"/>
        <v>0.66000000000000014</v>
      </c>
      <c r="AN143" s="17">
        <f t="shared" si="131"/>
        <v>174.35355455637799</v>
      </c>
      <c r="AO143" s="235">
        <f t="shared" si="139"/>
        <v>7925.1615707444525</v>
      </c>
      <c r="AP143" s="19">
        <v>30</v>
      </c>
    </row>
    <row r="144" spans="1:46">
      <c r="A144" s="15">
        <v>45068</v>
      </c>
      <c r="B144" s="194">
        <v>0</v>
      </c>
      <c r="C144" s="80">
        <f t="shared" si="135"/>
        <v>0</v>
      </c>
      <c r="D144" s="80">
        <f t="shared" si="134"/>
        <v>0</v>
      </c>
      <c r="E144" s="259">
        <v>125.78</v>
      </c>
      <c r="F144" s="80">
        <f t="shared" si="149"/>
        <v>1.6500000000000057</v>
      </c>
      <c r="G144" s="80">
        <f t="shared" si="145"/>
        <v>435.88388639094637</v>
      </c>
      <c r="H144" s="259">
        <v>255.04</v>
      </c>
      <c r="I144" s="80">
        <f t="shared" si="136"/>
        <v>0</v>
      </c>
      <c r="J144" s="80">
        <f t="shared" si="146"/>
        <v>0</v>
      </c>
      <c r="K144" s="259">
        <v>938.6</v>
      </c>
      <c r="L144" s="80">
        <f t="shared" si="137"/>
        <v>33.199999999999932</v>
      </c>
      <c r="M144" s="80">
        <f t="shared" si="147"/>
        <v>8770.5121382905108</v>
      </c>
      <c r="N144" s="259">
        <v>52.43</v>
      </c>
      <c r="O144" s="80">
        <f t="shared" si="138"/>
        <v>6.2299999999999969</v>
      </c>
      <c r="P144" s="80">
        <f t="shared" si="148"/>
        <v>1645.791886191264</v>
      </c>
      <c r="Q144" s="259">
        <v>12.33</v>
      </c>
      <c r="R144" s="80">
        <f t="shared" si="133"/>
        <v>-9.9999999999999645E-2</v>
      </c>
      <c r="S144" s="80">
        <f t="shared" si="127"/>
        <v>-26.417205235814748</v>
      </c>
      <c r="T144" s="80"/>
      <c r="U144" s="80">
        <f t="shared" si="140"/>
        <v>0</v>
      </c>
      <c r="V144" s="215">
        <f t="shared" si="141"/>
        <v>0</v>
      </c>
      <c r="W144" s="185"/>
      <c r="X144" s="80"/>
      <c r="Y144" s="80">
        <f t="shared" si="142"/>
        <v>0</v>
      </c>
      <c r="Z144" s="186">
        <v>17.649999999999999</v>
      </c>
      <c r="AA144" s="80">
        <f t="shared" si="118"/>
        <v>5.9999999999998721E-2</v>
      </c>
      <c r="AB144" s="80">
        <f t="shared" si="128"/>
        <v>15.850323141488568</v>
      </c>
      <c r="AC144" s="186">
        <v>8.06</v>
      </c>
      <c r="AD144" s="80">
        <f t="shared" si="143"/>
        <v>0.87000000000000011</v>
      </c>
      <c r="AE144" s="80">
        <f t="shared" si="129"/>
        <v>229.82968555158917</v>
      </c>
      <c r="AF144" s="186">
        <v>247.98</v>
      </c>
      <c r="AG144" s="80">
        <f t="shared" si="109"/>
        <v>-0.75</v>
      </c>
      <c r="AH144" s="80">
        <f t="shared" si="144"/>
        <v>-198.12903926861131</v>
      </c>
      <c r="AI144" s="186">
        <v>148.71</v>
      </c>
      <c r="AJ144" s="80">
        <f t="shared" si="108"/>
        <v>-2.8200000000000216</v>
      </c>
      <c r="AK144" s="80">
        <f t="shared" si="130"/>
        <v>-744.96518764998427</v>
      </c>
      <c r="AL144" s="186">
        <v>4.8899999999999997</v>
      </c>
      <c r="AM144" s="80">
        <f t="shared" si="110"/>
        <v>-0.96999999999999975</v>
      </c>
      <c r="AN144" s="17">
        <f t="shared" si="131"/>
        <v>-256.24689078740391</v>
      </c>
      <c r="AO144" s="235">
        <f t="shared" si="139"/>
        <v>2536.0517026382249</v>
      </c>
      <c r="AP144" s="19">
        <v>9.6</v>
      </c>
    </row>
    <row r="145" spans="1:48">
      <c r="A145" s="15">
        <v>45069</v>
      </c>
      <c r="B145" s="194">
        <v>0</v>
      </c>
      <c r="C145" s="80">
        <f t="shared" si="135"/>
        <v>0</v>
      </c>
      <c r="D145" s="80">
        <f t="shared" si="134"/>
        <v>0</v>
      </c>
      <c r="E145" s="259">
        <v>127.09</v>
      </c>
      <c r="F145" s="80">
        <f t="shared" si="149"/>
        <v>1.3100000000000023</v>
      </c>
      <c r="G145" s="80">
        <f t="shared" si="145"/>
        <v>346.06538858917503</v>
      </c>
      <c r="H145" s="259">
        <v>255.04</v>
      </c>
      <c r="I145" s="80">
        <f t="shared" si="136"/>
        <v>0</v>
      </c>
      <c r="J145" s="80">
        <f t="shared" si="146"/>
        <v>0</v>
      </c>
      <c r="K145" s="259">
        <v>900.2</v>
      </c>
      <c r="L145" s="80">
        <f t="shared" si="137"/>
        <v>38.399999999999977</v>
      </c>
      <c r="M145" s="80">
        <f t="shared" si="147"/>
        <v>10144.206810552894</v>
      </c>
      <c r="N145" s="259">
        <v>46.06</v>
      </c>
      <c r="O145" s="80">
        <f t="shared" si="138"/>
        <v>6.3699999999999974</v>
      </c>
      <c r="P145" s="80">
        <f t="shared" si="148"/>
        <v>1682.7759735214047</v>
      </c>
      <c r="Q145" s="259">
        <v>12.33</v>
      </c>
      <c r="R145" s="80">
        <f t="shared" si="133"/>
        <v>0</v>
      </c>
      <c r="S145" s="80">
        <f t="shared" si="127"/>
        <v>0</v>
      </c>
      <c r="T145" s="80"/>
      <c r="U145" s="80">
        <f t="shared" si="140"/>
        <v>0</v>
      </c>
      <c r="V145" s="215">
        <f t="shared" si="141"/>
        <v>0</v>
      </c>
      <c r="W145" s="185"/>
      <c r="X145" s="80"/>
      <c r="Y145" s="80">
        <f t="shared" si="142"/>
        <v>0</v>
      </c>
      <c r="Z145" s="186">
        <v>17.670000000000002</v>
      </c>
      <c r="AA145" s="80">
        <f t="shared" si="118"/>
        <v>2.0000000000003126E-2</v>
      </c>
      <c r="AB145" s="80">
        <f t="shared" si="128"/>
        <v>5.2834410471637945</v>
      </c>
      <c r="AC145" s="186">
        <v>18.059999999999999</v>
      </c>
      <c r="AD145" s="80">
        <f t="shared" si="143"/>
        <v>9.9999999999999982</v>
      </c>
      <c r="AE145" s="80">
        <f t="shared" si="129"/>
        <v>2641.7205235814836</v>
      </c>
      <c r="AF145" s="186">
        <v>247.74</v>
      </c>
      <c r="AG145" s="80">
        <f t="shared" si="109"/>
        <v>0.23999999999998067</v>
      </c>
      <c r="AH145" s="80">
        <f t="shared" si="144"/>
        <v>63.401292565950513</v>
      </c>
      <c r="AI145" s="186">
        <v>137.79</v>
      </c>
      <c r="AJ145" s="80">
        <f t="shared" si="108"/>
        <v>10.920000000000016</v>
      </c>
      <c r="AK145" s="80">
        <f t="shared" si="130"/>
        <v>2884.7588117509849</v>
      </c>
      <c r="AL145" s="186">
        <v>7.02</v>
      </c>
      <c r="AM145" s="80">
        <f t="shared" si="110"/>
        <v>-2.13</v>
      </c>
      <c r="AN145" s="17">
        <f t="shared" si="131"/>
        <v>-562.6864715228561</v>
      </c>
      <c r="AO145" s="235">
        <f t="shared" si="139"/>
        <v>0</v>
      </c>
      <c r="AP145" s="19"/>
    </row>
    <row r="146" spans="1:48">
      <c r="A146" s="15">
        <v>45070</v>
      </c>
      <c r="B146" s="194">
        <v>0</v>
      </c>
      <c r="C146" s="80">
        <f t="shared" si="135"/>
        <v>0</v>
      </c>
      <c r="D146" s="80">
        <f t="shared" si="134"/>
        <v>0</v>
      </c>
      <c r="E146" s="259">
        <v>128.30000000000001</v>
      </c>
      <c r="F146" s="80">
        <f t="shared" si="149"/>
        <v>1.210000000000008</v>
      </c>
      <c r="G146" s="80">
        <f t="shared" si="145"/>
        <v>319.64818335336167</v>
      </c>
      <c r="H146" s="259">
        <v>255.04</v>
      </c>
      <c r="I146" s="80">
        <f t="shared" si="136"/>
        <v>0</v>
      </c>
      <c r="J146" s="80">
        <f t="shared" si="146"/>
        <v>0</v>
      </c>
      <c r="K146" s="259">
        <v>897.4</v>
      </c>
      <c r="L146" s="80">
        <f t="shared" si="137"/>
        <v>2.8000000000000682</v>
      </c>
      <c r="M146" s="80">
        <f t="shared" si="147"/>
        <v>739.68174660283364</v>
      </c>
      <c r="N146" s="259">
        <v>81.290000000000006</v>
      </c>
      <c r="O146" s="80">
        <f t="shared" si="138"/>
        <v>-35.230000000000004</v>
      </c>
      <c r="P146" s="80">
        <f t="shared" si="148"/>
        <v>-9306.7814045775704</v>
      </c>
      <c r="Q146" s="259">
        <v>12.33</v>
      </c>
      <c r="R146" s="80">
        <f t="shared" si="133"/>
        <v>0</v>
      </c>
      <c r="S146" s="80">
        <f t="shared" si="127"/>
        <v>0</v>
      </c>
      <c r="T146" s="80"/>
      <c r="U146" s="80">
        <f t="shared" si="140"/>
        <v>0</v>
      </c>
      <c r="V146" s="215">
        <f t="shared" si="141"/>
        <v>0</v>
      </c>
      <c r="W146" s="185"/>
      <c r="X146" s="80">
        <v>7459</v>
      </c>
      <c r="Y146" s="80">
        <f t="shared" si="142"/>
        <v>28.235386496855998</v>
      </c>
      <c r="Z146" s="186">
        <v>3.01</v>
      </c>
      <c r="AA146" s="80">
        <f t="shared" si="118"/>
        <v>-14.660000000000002</v>
      </c>
      <c r="AB146" s="80">
        <f t="shared" si="128"/>
        <v>-3872.7622875704565</v>
      </c>
      <c r="AC146" s="186">
        <v>4.97</v>
      </c>
      <c r="AD146" s="80">
        <f t="shared" si="143"/>
        <v>-13.09</v>
      </c>
      <c r="AE146" s="80">
        <f t="shared" si="129"/>
        <v>-3458.0121653681626</v>
      </c>
      <c r="AF146" s="186">
        <v>247.86</v>
      </c>
      <c r="AG146" s="80">
        <f t="shared" si="109"/>
        <v>-0.12000000000000455</v>
      </c>
      <c r="AH146" s="80">
        <f t="shared" si="144"/>
        <v>-31.700646282979012</v>
      </c>
      <c r="AI146" s="186">
        <v>131.76</v>
      </c>
      <c r="AJ146" s="80">
        <f t="shared" si="108"/>
        <v>6.0300000000000011</v>
      </c>
      <c r="AK146" s="80">
        <f t="shared" si="130"/>
        <v>1592.9574757196353</v>
      </c>
      <c r="AL146" s="186">
        <v>4.58</v>
      </c>
      <c r="AM146" s="80">
        <f t="shared" si="110"/>
        <v>2.4399999999999995</v>
      </c>
      <c r="AN146" s="17">
        <f t="shared" si="131"/>
        <v>644.57980775388205</v>
      </c>
      <c r="AO146" s="235">
        <f t="shared" si="139"/>
        <v>0</v>
      </c>
      <c r="AP146" s="19"/>
    </row>
    <row r="147" spans="1:48">
      <c r="A147" s="15">
        <v>45071</v>
      </c>
      <c r="B147" s="194">
        <v>0</v>
      </c>
      <c r="C147" s="80">
        <f t="shared" si="135"/>
        <v>0</v>
      </c>
      <c r="D147" s="80">
        <f t="shared" si="134"/>
        <v>0</v>
      </c>
      <c r="E147" s="259">
        <v>129.58000000000001</v>
      </c>
      <c r="F147" s="80">
        <f t="shared" si="149"/>
        <v>1.2800000000000011</v>
      </c>
      <c r="G147" s="80">
        <f t="shared" si="145"/>
        <v>338.14022701843027</v>
      </c>
      <c r="H147" s="259">
        <v>255.04</v>
      </c>
      <c r="I147" s="80">
        <f t="shared" si="136"/>
        <v>0</v>
      </c>
      <c r="J147" s="80">
        <f t="shared" si="146"/>
        <v>0</v>
      </c>
      <c r="K147" s="259">
        <v>949.8</v>
      </c>
      <c r="L147" s="80">
        <f t="shared" si="137"/>
        <v>-52.399999999999977</v>
      </c>
      <c r="M147" s="80">
        <f t="shared" si="147"/>
        <v>-13842.615543566972</v>
      </c>
      <c r="N147" s="259">
        <v>74.84</v>
      </c>
      <c r="O147" s="80">
        <f t="shared" si="138"/>
        <v>6.4500000000000028</v>
      </c>
      <c r="P147" s="80">
        <f t="shared" si="148"/>
        <v>1703.9097377100582</v>
      </c>
      <c r="Q147" s="259">
        <v>12.27</v>
      </c>
      <c r="R147" s="80">
        <f t="shared" si="133"/>
        <v>6.0000000000000497E-2</v>
      </c>
      <c r="S147" s="80">
        <f t="shared" si="127"/>
        <v>15.850323141489037</v>
      </c>
      <c r="T147" s="80"/>
      <c r="U147" s="80">
        <f t="shared" si="140"/>
        <v>0</v>
      </c>
      <c r="V147" s="215">
        <f t="shared" si="141"/>
        <v>0</v>
      </c>
      <c r="W147" s="185"/>
      <c r="X147" s="80"/>
      <c r="Y147" s="80">
        <f t="shared" si="142"/>
        <v>0</v>
      </c>
      <c r="Z147" s="186">
        <v>11.18</v>
      </c>
      <c r="AA147" s="80">
        <f t="shared" si="118"/>
        <v>8.17</v>
      </c>
      <c r="AB147" s="80">
        <f t="shared" si="128"/>
        <v>2158.2856677660725</v>
      </c>
      <c r="AC147" s="186">
        <v>5.0199999999999996</v>
      </c>
      <c r="AD147" s="80">
        <f t="shared" si="143"/>
        <v>4.9999999999999822E-2</v>
      </c>
      <c r="AE147" s="80">
        <f t="shared" si="129"/>
        <v>13.208602617907374</v>
      </c>
      <c r="AF147" s="186">
        <v>247.8</v>
      </c>
      <c r="AG147" s="80">
        <f t="shared" si="109"/>
        <v>6.0000000000002274E-2</v>
      </c>
      <c r="AH147" s="80">
        <f t="shared" si="144"/>
        <v>15.850323141489506</v>
      </c>
      <c r="AI147" s="186">
        <v>124.5</v>
      </c>
      <c r="AJ147" s="80">
        <f t="shared" si="108"/>
        <v>7.2599999999999909</v>
      </c>
      <c r="AK147" s="80">
        <f t="shared" si="130"/>
        <v>1917.889100120155</v>
      </c>
      <c r="AL147" s="186">
        <v>3.41</v>
      </c>
      <c r="AM147" s="80">
        <f t="shared" si="110"/>
        <v>1.17</v>
      </c>
      <c r="AN147" s="17">
        <f t="shared" si="131"/>
        <v>309.08130125903364</v>
      </c>
      <c r="AO147" s="235">
        <f t="shared" si="139"/>
        <v>0</v>
      </c>
      <c r="AP147" s="19"/>
    </row>
    <row r="148" spans="1:48">
      <c r="A148" s="15">
        <v>45072</v>
      </c>
      <c r="B148" s="194">
        <v>0</v>
      </c>
      <c r="C148" s="80">
        <f t="shared" si="135"/>
        <v>0</v>
      </c>
      <c r="D148" s="80">
        <f t="shared" si="132"/>
        <v>0</v>
      </c>
      <c r="E148" s="259">
        <v>130.66</v>
      </c>
      <c r="F148" s="80">
        <f t="shared" ref="F148:F194" si="150">IF(E148="",0,E148-E147)</f>
        <v>1.0799999999999841</v>
      </c>
      <c r="G148" s="80">
        <f t="shared" si="145"/>
        <v>285.30581654679611</v>
      </c>
      <c r="H148" s="259">
        <v>255.04</v>
      </c>
      <c r="I148" s="80">
        <f t="shared" si="136"/>
        <v>0</v>
      </c>
      <c r="J148" s="80">
        <f t="shared" si="146"/>
        <v>0</v>
      </c>
      <c r="K148" s="259">
        <v>998.9</v>
      </c>
      <c r="L148" s="80">
        <f t="shared" si="137"/>
        <v>-49.100000000000023</v>
      </c>
      <c r="M148" s="80">
        <f t="shared" ref="M148:M195" si="151">+CONVERT(L148,"m^3","gal")</f>
        <v>-12970.847770785093</v>
      </c>
      <c r="N148" s="259">
        <v>67.709999999999994</v>
      </c>
      <c r="O148" s="80">
        <f t="shared" si="138"/>
        <v>7.1300000000000097</v>
      </c>
      <c r="P148" s="80">
        <f t="shared" si="148"/>
        <v>1883.546733313601</v>
      </c>
      <c r="Q148" s="259">
        <v>12.27</v>
      </c>
      <c r="R148" s="80">
        <f t="shared" si="133"/>
        <v>0</v>
      </c>
      <c r="S148" s="80">
        <f t="shared" ref="S148:S195" si="152">+CONVERT(R148,"m^3","gal")</f>
        <v>0</v>
      </c>
      <c r="T148" s="80"/>
      <c r="U148" s="80">
        <f t="shared" si="140"/>
        <v>0</v>
      </c>
      <c r="V148" s="215">
        <f t="shared" si="141"/>
        <v>0</v>
      </c>
      <c r="W148" s="185"/>
      <c r="X148" s="80"/>
      <c r="Y148" s="80">
        <f t="shared" si="142"/>
        <v>0</v>
      </c>
      <c r="Z148" s="186">
        <v>12.02</v>
      </c>
      <c r="AA148" s="80">
        <f t="shared" si="118"/>
        <v>0.83999999999999986</v>
      </c>
      <c r="AB148" s="80">
        <f t="shared" si="128"/>
        <v>221.90452398084466</v>
      </c>
      <c r="AC148" s="186">
        <v>4.92</v>
      </c>
      <c r="AD148" s="80">
        <f t="shared" si="143"/>
        <v>-9.9999999999999645E-2</v>
      </c>
      <c r="AE148" s="80">
        <f t="shared" si="129"/>
        <v>-26.417205235814748</v>
      </c>
      <c r="AF148" s="186">
        <v>246.6</v>
      </c>
      <c r="AG148" s="80">
        <f t="shared" si="109"/>
        <v>1.2000000000000171</v>
      </c>
      <c r="AH148" s="80">
        <f t="shared" si="144"/>
        <v>317.00646282978261</v>
      </c>
      <c r="AI148" s="186">
        <v>114.6</v>
      </c>
      <c r="AJ148" s="80">
        <f t="shared" si="108"/>
        <v>9.9000000000000057</v>
      </c>
      <c r="AK148" s="80">
        <f t="shared" si="130"/>
        <v>2615.303318345671</v>
      </c>
      <c r="AL148" s="186">
        <v>5.0999999999999996</v>
      </c>
      <c r="AM148" s="80">
        <f t="shared" si="110"/>
        <v>-1.6899999999999995</v>
      </c>
      <c r="AN148" s="17">
        <f t="shared" si="131"/>
        <v>-446.45076848527071</v>
      </c>
      <c r="AO148" s="235">
        <f t="shared" si="139"/>
        <v>0</v>
      </c>
      <c r="AP148" s="19"/>
    </row>
    <row r="149" spans="1:48">
      <c r="A149" s="15">
        <v>45073</v>
      </c>
      <c r="B149" s="194">
        <v>0</v>
      </c>
      <c r="C149" s="80">
        <f t="shared" si="135"/>
        <v>0</v>
      </c>
      <c r="D149" s="80">
        <f>+CONVERT(C149,"m^3","gal")</f>
        <v>0</v>
      </c>
      <c r="E149" s="259">
        <v>132.03</v>
      </c>
      <c r="F149" s="80">
        <f>IF(E149="",0,E149-E148)</f>
        <v>1.3700000000000045</v>
      </c>
      <c r="G149" s="80">
        <f t="shared" si="145"/>
        <v>361.91571173066455</v>
      </c>
      <c r="H149" s="259">
        <v>255.04</v>
      </c>
      <c r="I149" s="80">
        <f t="shared" si="136"/>
        <v>0</v>
      </c>
      <c r="J149" s="80">
        <f t="shared" si="146"/>
        <v>0</v>
      </c>
      <c r="K149" s="259">
        <v>979</v>
      </c>
      <c r="L149" s="80">
        <f t="shared" si="137"/>
        <v>19.899999999999977</v>
      </c>
      <c r="M149" s="80">
        <f>+CONVERT(L149,"m^3","gal")</f>
        <v>5257.0238419271482</v>
      </c>
      <c r="N149" s="345">
        <v>61.62</v>
      </c>
      <c r="O149" s="215">
        <f t="shared" si="138"/>
        <v>6.0899999999999963</v>
      </c>
      <c r="P149" s="215">
        <f t="shared" si="148"/>
        <v>1608.807798861123</v>
      </c>
      <c r="Q149" s="259">
        <v>12.27</v>
      </c>
      <c r="R149" s="80">
        <f t="shared" si="133"/>
        <v>0</v>
      </c>
      <c r="S149" s="80">
        <f>+CONVERT(R149,"m^3","gal")</f>
        <v>0</v>
      </c>
      <c r="T149" s="80"/>
      <c r="U149" s="80">
        <f t="shared" si="140"/>
        <v>0</v>
      </c>
      <c r="V149" s="215">
        <f t="shared" si="141"/>
        <v>0</v>
      </c>
      <c r="W149" s="185"/>
      <c r="X149" s="80"/>
      <c r="Y149" s="80">
        <f t="shared" si="142"/>
        <v>0</v>
      </c>
      <c r="Z149" s="186">
        <v>12.96</v>
      </c>
      <c r="AA149" s="80">
        <f t="shared" si="118"/>
        <v>0.94000000000000128</v>
      </c>
      <c r="AB149" s="80">
        <f t="shared" si="128"/>
        <v>248.32172921665986</v>
      </c>
      <c r="AC149" s="186">
        <v>4.92</v>
      </c>
      <c r="AD149" s="80">
        <f t="shared" si="143"/>
        <v>0</v>
      </c>
      <c r="AE149" s="80">
        <f t="shared" si="129"/>
        <v>0</v>
      </c>
      <c r="AF149" s="186">
        <v>247.8</v>
      </c>
      <c r="AG149" s="80">
        <f t="shared" si="109"/>
        <v>-1.2000000000000171</v>
      </c>
      <c r="AH149" s="80">
        <f t="shared" si="144"/>
        <v>-317.00646282978261</v>
      </c>
      <c r="AI149" s="186">
        <v>108.3</v>
      </c>
      <c r="AJ149" s="80">
        <f t="shared" si="108"/>
        <v>6.2999999999999972</v>
      </c>
      <c r="AK149" s="80">
        <f t="shared" si="130"/>
        <v>1664.2839298563345</v>
      </c>
      <c r="AL149" s="186">
        <v>6.13</v>
      </c>
      <c r="AM149" s="80">
        <f t="shared" si="110"/>
        <v>-1.0300000000000002</v>
      </c>
      <c r="AN149" s="17">
        <f t="shared" si="131"/>
        <v>-272.09721392889293</v>
      </c>
      <c r="AO149" s="235">
        <f t="shared" si="139"/>
        <v>0</v>
      </c>
      <c r="AP149" s="19"/>
    </row>
    <row r="150" spans="1:48">
      <c r="A150" s="15">
        <v>45074</v>
      </c>
      <c r="B150" s="194">
        <v>0</v>
      </c>
      <c r="C150" s="80">
        <f t="shared" si="135"/>
        <v>0</v>
      </c>
      <c r="D150" s="80">
        <f>+CONVERT(C150,"m^3","gal")</f>
        <v>0</v>
      </c>
      <c r="E150" s="259">
        <v>133.41</v>
      </c>
      <c r="F150" s="80">
        <f>IF(E150="",0,E150-E149)</f>
        <v>1.3799999999999955</v>
      </c>
      <c r="G150" s="80">
        <f t="shared" si="145"/>
        <v>364.55743225424362</v>
      </c>
      <c r="H150" s="259">
        <v>255.04</v>
      </c>
      <c r="I150" s="80">
        <f t="shared" si="136"/>
        <v>0</v>
      </c>
      <c r="J150" s="80">
        <f t="shared" si="146"/>
        <v>0</v>
      </c>
      <c r="K150" s="259">
        <v>977.7</v>
      </c>
      <c r="L150" s="80">
        <f t="shared" si="137"/>
        <v>1.2999999999999545</v>
      </c>
      <c r="M150" s="80">
        <f>+CONVERT(L150,"m^3","gal")</f>
        <v>343.42366806558096</v>
      </c>
      <c r="N150" s="259">
        <v>54.69</v>
      </c>
      <c r="O150" s="80">
        <f t="shared" si="138"/>
        <v>6.93</v>
      </c>
      <c r="P150" s="80">
        <f t="shared" si="148"/>
        <v>1830.7123228419687</v>
      </c>
      <c r="Q150" s="259">
        <v>12.27</v>
      </c>
      <c r="R150" s="80">
        <f t="shared" si="133"/>
        <v>0</v>
      </c>
      <c r="S150" s="80">
        <f>+CONVERT(R150,"m^3","gal")</f>
        <v>0</v>
      </c>
      <c r="T150" s="80"/>
      <c r="U150" s="80">
        <f t="shared" si="140"/>
        <v>0</v>
      </c>
      <c r="V150" s="215">
        <f t="shared" si="141"/>
        <v>0</v>
      </c>
      <c r="W150" s="185"/>
      <c r="X150" s="80"/>
      <c r="Y150" s="80">
        <f t="shared" si="142"/>
        <v>0</v>
      </c>
      <c r="Z150" s="186">
        <v>16.96</v>
      </c>
      <c r="AA150" s="80">
        <f t="shared" si="118"/>
        <v>4</v>
      </c>
      <c r="AB150" s="80">
        <f t="shared" si="128"/>
        <v>1056.6882094325938</v>
      </c>
      <c r="AC150" s="186">
        <v>4.92</v>
      </c>
      <c r="AD150" s="80">
        <f t="shared" si="143"/>
        <v>0</v>
      </c>
      <c r="AE150" s="80">
        <f t="shared" si="129"/>
        <v>0</v>
      </c>
      <c r="AF150" s="186">
        <v>248.1</v>
      </c>
      <c r="AG150" s="80">
        <f t="shared" si="109"/>
        <v>-0.29999999999998295</v>
      </c>
      <c r="AH150" s="80">
        <f t="shared" si="144"/>
        <v>-79.251615707440024</v>
      </c>
      <c r="AI150" s="186">
        <v>101.85</v>
      </c>
      <c r="AJ150" s="80">
        <f t="shared" si="108"/>
        <v>6.4500000000000028</v>
      </c>
      <c r="AK150" s="80">
        <f t="shared" si="130"/>
        <v>1703.9097377100582</v>
      </c>
      <c r="AL150" s="186">
        <v>6.1</v>
      </c>
      <c r="AM150" s="80">
        <f t="shared" si="110"/>
        <v>3.0000000000000249E-2</v>
      </c>
      <c r="AN150" s="17">
        <f t="shared" si="131"/>
        <v>7.9251615707445184</v>
      </c>
      <c r="AO150" s="235">
        <f t="shared" si="139"/>
        <v>0</v>
      </c>
      <c r="AP150" s="19"/>
    </row>
    <row r="151" spans="1:48">
      <c r="A151" s="15">
        <v>45075</v>
      </c>
      <c r="B151" s="194">
        <v>0</v>
      </c>
      <c r="C151" s="80">
        <f t="shared" si="135"/>
        <v>0</v>
      </c>
      <c r="D151" s="80">
        <f>+CONVERT(C151,"m^3","gal")</f>
        <v>0</v>
      </c>
      <c r="E151" s="259">
        <v>134.69</v>
      </c>
      <c r="F151" s="80">
        <f>IF(E151="",0,E151-E150)</f>
        <v>1.2800000000000011</v>
      </c>
      <c r="G151" s="80">
        <f t="shared" si="145"/>
        <v>338.14022701843027</v>
      </c>
      <c r="H151" s="259">
        <v>255.04</v>
      </c>
      <c r="I151" s="80">
        <f t="shared" si="136"/>
        <v>0</v>
      </c>
      <c r="J151" s="80">
        <f t="shared" si="146"/>
        <v>0</v>
      </c>
      <c r="K151" s="259">
        <v>976.3</v>
      </c>
      <c r="L151" s="80">
        <f t="shared" si="137"/>
        <v>1.4000000000000909</v>
      </c>
      <c r="M151" s="80">
        <f>+CONVERT(L151,"m^3","gal")</f>
        <v>369.84087330143183</v>
      </c>
      <c r="N151" s="259">
        <v>79.7</v>
      </c>
      <c r="O151" s="80">
        <f t="shared" si="138"/>
        <v>-25.010000000000005</v>
      </c>
      <c r="P151" s="80">
        <f t="shared" si="148"/>
        <v>-6606.9430294772928</v>
      </c>
      <c r="Q151" s="259">
        <v>12.27</v>
      </c>
      <c r="R151" s="80">
        <f t="shared" si="133"/>
        <v>0</v>
      </c>
      <c r="S151" s="80">
        <f>+CONVERT(R151,"m^3","gal")</f>
        <v>0</v>
      </c>
      <c r="T151" s="80"/>
      <c r="U151" s="80">
        <f t="shared" si="140"/>
        <v>0</v>
      </c>
      <c r="V151" s="215">
        <f t="shared" si="141"/>
        <v>0</v>
      </c>
      <c r="W151" s="185"/>
      <c r="X151" s="80"/>
      <c r="Y151" s="80">
        <f t="shared" si="142"/>
        <v>0</v>
      </c>
      <c r="Z151" s="186">
        <v>17.920000000000002</v>
      </c>
      <c r="AA151" s="80">
        <f t="shared" si="118"/>
        <v>0.96000000000000085</v>
      </c>
      <c r="AB151" s="80">
        <f t="shared" si="128"/>
        <v>253.60517026382271</v>
      </c>
      <c r="AC151" s="186">
        <v>5.5</v>
      </c>
      <c r="AD151" s="80">
        <f t="shared" si="143"/>
        <v>0.58000000000000007</v>
      </c>
      <c r="AE151" s="80">
        <f t="shared" si="129"/>
        <v>153.21979036772612</v>
      </c>
      <c r="AF151" s="186">
        <v>247.14</v>
      </c>
      <c r="AG151" s="80">
        <f t="shared" si="109"/>
        <v>0.96000000000000796</v>
      </c>
      <c r="AH151" s="80">
        <f t="shared" si="144"/>
        <v>253.60517026382459</v>
      </c>
      <c r="AI151" s="186">
        <v>92.82</v>
      </c>
      <c r="AJ151" s="80">
        <f t="shared" si="108"/>
        <v>9.0300000000000011</v>
      </c>
      <c r="AK151" s="80">
        <f t="shared" si="130"/>
        <v>2385.4736327940809</v>
      </c>
      <c r="AL151" s="186">
        <v>4.5</v>
      </c>
      <c r="AM151" s="80">
        <f t="shared" si="110"/>
        <v>1.5999999999999996</v>
      </c>
      <c r="AN151" s="17">
        <f t="shared" si="131"/>
        <v>422.67528377303734</v>
      </c>
      <c r="AO151" s="235">
        <f t="shared" si="139"/>
        <v>0</v>
      </c>
      <c r="AP151" s="19"/>
    </row>
    <row r="152" spans="1:48">
      <c r="A152" s="15">
        <v>45076</v>
      </c>
      <c r="B152" s="194">
        <v>0</v>
      </c>
      <c r="C152" s="80">
        <f t="shared" si="135"/>
        <v>0</v>
      </c>
      <c r="D152" s="80">
        <f>+CONVERT(C152,"m^3","gal")</f>
        <v>0</v>
      </c>
      <c r="E152" s="259">
        <v>135.66</v>
      </c>
      <c r="F152" s="80">
        <f>IF(E152="",0,E152-E151)</f>
        <v>0.96999999999999886</v>
      </c>
      <c r="G152" s="80">
        <f t="shared" si="145"/>
        <v>256.24689078740369</v>
      </c>
      <c r="H152" s="259">
        <v>255.04</v>
      </c>
      <c r="I152" s="80">
        <f t="shared" si="136"/>
        <v>0</v>
      </c>
      <c r="J152" s="80">
        <f t="shared" si="146"/>
        <v>0</v>
      </c>
      <c r="K152" s="259">
        <v>976.3</v>
      </c>
      <c r="L152" s="80">
        <f t="shared" si="137"/>
        <v>0</v>
      </c>
      <c r="M152" s="80">
        <f>+CONVERT(L152,"m^3","gal")</f>
        <v>0</v>
      </c>
      <c r="N152" s="259">
        <v>72.8</v>
      </c>
      <c r="O152" s="80">
        <f t="shared" si="138"/>
        <v>6.9000000000000057</v>
      </c>
      <c r="P152" s="80">
        <f t="shared" si="148"/>
        <v>1822.7871612712256</v>
      </c>
      <c r="Q152" s="259">
        <v>12.27</v>
      </c>
      <c r="R152" s="80">
        <f t="shared" si="133"/>
        <v>0</v>
      </c>
      <c r="S152" s="80">
        <f>+CONVERT(R152,"m^3","gal")</f>
        <v>0</v>
      </c>
      <c r="T152" s="80"/>
      <c r="U152" s="80">
        <f t="shared" si="140"/>
        <v>0</v>
      </c>
      <c r="V152" s="215">
        <f t="shared" si="141"/>
        <v>0</v>
      </c>
      <c r="W152" s="185"/>
      <c r="X152" s="80"/>
      <c r="Y152" s="80">
        <f t="shared" si="142"/>
        <v>0</v>
      </c>
      <c r="Z152" s="186">
        <v>17.88</v>
      </c>
      <c r="AA152" s="80">
        <f t="shared" si="118"/>
        <v>-4.00000000000027E-2</v>
      </c>
      <c r="AB152" s="80">
        <f t="shared" si="128"/>
        <v>-10.566882094326651</v>
      </c>
      <c r="AC152" s="186">
        <v>6.83</v>
      </c>
      <c r="AD152" s="80">
        <f t="shared" si="143"/>
        <v>1.33</v>
      </c>
      <c r="AE152" s="80">
        <f t="shared" si="129"/>
        <v>351.34882963633743</v>
      </c>
      <c r="AF152" s="186">
        <v>246.63</v>
      </c>
      <c r="AG152" s="80">
        <f t="shared" si="109"/>
        <v>0.50999999999999091</v>
      </c>
      <c r="AH152" s="80">
        <f t="shared" si="144"/>
        <v>134.72774670265329</v>
      </c>
      <c r="AI152" s="186">
        <v>79.59</v>
      </c>
      <c r="AJ152" s="80">
        <f t="shared" si="108"/>
        <v>13.22999999999999</v>
      </c>
      <c r="AK152" s="80">
        <f t="shared" si="130"/>
        <v>3494.9962526983009</v>
      </c>
      <c r="AL152" s="186">
        <v>3</v>
      </c>
      <c r="AM152" s="80">
        <f t="shared" si="110"/>
        <v>1.5</v>
      </c>
      <c r="AN152" s="17">
        <f t="shared" si="131"/>
        <v>396.25807853722262</v>
      </c>
      <c r="AO152" s="235">
        <f t="shared" si="139"/>
        <v>0</v>
      </c>
      <c r="AP152" s="19"/>
    </row>
    <row r="153" spans="1:48">
      <c r="A153" s="15">
        <v>45077</v>
      </c>
      <c r="B153" s="194">
        <v>0</v>
      </c>
      <c r="C153" s="80">
        <f t="shared" si="135"/>
        <v>0</v>
      </c>
      <c r="D153" s="80">
        <f t="shared" si="132"/>
        <v>0</v>
      </c>
      <c r="E153" s="259">
        <v>136.99</v>
      </c>
      <c r="F153" s="80">
        <f t="shared" si="150"/>
        <v>1.3300000000000125</v>
      </c>
      <c r="G153" s="80">
        <f t="shared" si="145"/>
        <v>351.34882963634072</v>
      </c>
      <c r="H153" s="259">
        <v>255.04</v>
      </c>
      <c r="I153" s="80">
        <f t="shared" si="136"/>
        <v>0</v>
      </c>
      <c r="J153" s="80">
        <f t="shared" si="146"/>
        <v>0</v>
      </c>
      <c r="K153" s="259">
        <v>974.7</v>
      </c>
      <c r="L153" s="80">
        <f t="shared" si="137"/>
        <v>1.5999999999999091</v>
      </c>
      <c r="M153" s="80">
        <f t="shared" si="151"/>
        <v>422.67528377301346</v>
      </c>
      <c r="N153" s="259">
        <v>65.63</v>
      </c>
      <c r="O153" s="80">
        <f t="shared" si="138"/>
        <v>7.1700000000000017</v>
      </c>
      <c r="P153" s="80">
        <f t="shared" si="148"/>
        <v>1894.1136154079247</v>
      </c>
      <c r="Q153" s="259">
        <v>12.27</v>
      </c>
      <c r="R153" s="80">
        <f t="shared" si="133"/>
        <v>0</v>
      </c>
      <c r="S153" s="80">
        <f t="shared" si="152"/>
        <v>0</v>
      </c>
      <c r="T153" s="80"/>
      <c r="U153" s="80">
        <f t="shared" si="140"/>
        <v>0</v>
      </c>
      <c r="V153" s="215">
        <f t="shared" si="141"/>
        <v>0</v>
      </c>
      <c r="W153" s="185"/>
      <c r="X153" s="80"/>
      <c r="Y153" s="80">
        <f t="shared" si="142"/>
        <v>0</v>
      </c>
      <c r="Z153" s="186">
        <v>17.91</v>
      </c>
      <c r="AA153" s="80">
        <f t="shared" si="118"/>
        <v>3.0000000000001137E-2</v>
      </c>
      <c r="AB153" s="80">
        <f t="shared" si="128"/>
        <v>7.9251615707447529</v>
      </c>
      <c r="AC153" s="186">
        <v>15.85</v>
      </c>
      <c r="AD153" s="80">
        <f t="shared" si="143"/>
        <v>9.02</v>
      </c>
      <c r="AE153" s="80">
        <f t="shared" si="129"/>
        <v>2382.8319122704988</v>
      </c>
      <c r="AF153" s="186">
        <v>246.93</v>
      </c>
      <c r="AG153" s="80">
        <f t="shared" si="109"/>
        <v>-0.30000000000001137</v>
      </c>
      <c r="AH153" s="80">
        <f t="shared" si="144"/>
        <v>-79.251615707447527</v>
      </c>
      <c r="AI153" s="186">
        <v>72.569999999999993</v>
      </c>
      <c r="AJ153" s="80">
        <f t="shared" si="108"/>
        <v>7.0200000000000102</v>
      </c>
      <c r="AK153" s="80">
        <f t="shared" si="130"/>
        <v>1854.4878075542047</v>
      </c>
      <c r="AL153" s="186">
        <v>6.99</v>
      </c>
      <c r="AM153" s="80">
        <f t="shared" si="110"/>
        <v>-3.99</v>
      </c>
      <c r="AN153" s="17">
        <f t="shared" si="131"/>
        <v>-1054.0464889090122</v>
      </c>
      <c r="AO153" s="235">
        <f t="shared" si="139"/>
        <v>2615.3033183456696</v>
      </c>
      <c r="AP153" s="19">
        <v>9.9</v>
      </c>
    </row>
    <row r="154" spans="1:48" s="195" customFormat="1">
      <c r="A154" s="15">
        <v>45078</v>
      </c>
      <c r="B154" s="194">
        <v>0</v>
      </c>
      <c r="C154" s="80">
        <f t="shared" si="135"/>
        <v>0</v>
      </c>
      <c r="D154" s="80">
        <f t="shared" si="132"/>
        <v>0</v>
      </c>
      <c r="E154" s="259">
        <v>138.13</v>
      </c>
      <c r="F154" s="80">
        <f t="shared" si="150"/>
        <v>1.1399999999999864</v>
      </c>
      <c r="G154" s="80">
        <f t="shared" si="145"/>
        <v>301.15613968828558</v>
      </c>
      <c r="H154" s="259">
        <v>255.04</v>
      </c>
      <c r="I154" s="80">
        <f t="shared" si="136"/>
        <v>0</v>
      </c>
      <c r="J154" s="80">
        <f t="shared" si="146"/>
        <v>0</v>
      </c>
      <c r="K154" s="259">
        <v>969.9</v>
      </c>
      <c r="L154" s="80">
        <f t="shared" si="137"/>
        <v>4.8000000000000682</v>
      </c>
      <c r="M154" s="80">
        <f t="shared" si="151"/>
        <v>1268.0258513191304</v>
      </c>
      <c r="N154" s="259">
        <v>59.32</v>
      </c>
      <c r="O154" s="80">
        <f t="shared" si="138"/>
        <v>6.3099999999999952</v>
      </c>
      <c r="P154" s="80">
        <f t="shared" si="148"/>
        <v>1666.9256503799154</v>
      </c>
      <c r="Q154" s="259">
        <v>12.27</v>
      </c>
      <c r="R154" s="80">
        <f t="shared" si="133"/>
        <v>0</v>
      </c>
      <c r="S154" s="80">
        <f t="shared" si="152"/>
        <v>0</v>
      </c>
      <c r="T154" s="80"/>
      <c r="U154" s="80">
        <f t="shared" si="140"/>
        <v>0</v>
      </c>
      <c r="V154" s="215">
        <f t="shared" si="141"/>
        <v>0</v>
      </c>
      <c r="W154" s="185"/>
      <c r="X154" s="80"/>
      <c r="Y154" s="80">
        <f t="shared" si="142"/>
        <v>0</v>
      </c>
      <c r="Z154" s="260">
        <v>17.91</v>
      </c>
      <c r="AA154" s="80">
        <f t="shared" si="118"/>
        <v>0</v>
      </c>
      <c r="AB154" s="80">
        <f t="shared" si="128"/>
        <v>0</v>
      </c>
      <c r="AC154" s="260">
        <v>17.260000000000002</v>
      </c>
      <c r="AD154" s="80">
        <f t="shared" si="143"/>
        <v>1.4100000000000019</v>
      </c>
      <c r="AE154" s="80">
        <f t="shared" si="129"/>
        <v>372.48259382498975</v>
      </c>
      <c r="AF154" s="261">
        <v>246.3</v>
      </c>
      <c r="AG154" s="80">
        <f t="shared" si="109"/>
        <v>0.62999999999999545</v>
      </c>
      <c r="AH154" s="80">
        <f t="shared" si="144"/>
        <v>166.42839298563231</v>
      </c>
      <c r="AI154" s="261">
        <v>81.12</v>
      </c>
      <c r="AJ154" s="80">
        <f t="shared" ref="AJ154:AJ217" si="153">IF(AI154="",0,AI153-AI154)</f>
        <v>-8.5500000000000114</v>
      </c>
      <c r="AK154" s="80">
        <f t="shared" si="130"/>
        <v>-2258.671047662172</v>
      </c>
      <c r="AL154" s="260">
        <v>8.09</v>
      </c>
      <c r="AM154" s="80">
        <f t="shared" si="110"/>
        <v>-1.0999999999999996</v>
      </c>
      <c r="AN154" s="17">
        <f t="shared" si="131"/>
        <v>-290.58925759396317</v>
      </c>
      <c r="AO154" s="235">
        <f t="shared" si="139"/>
        <v>4992.8517895690056</v>
      </c>
      <c r="AP154" s="19">
        <v>18.899999999999999</v>
      </c>
      <c r="AT154" s="493"/>
      <c r="AU154" s="493"/>
      <c r="AV154" s="493"/>
    </row>
    <row r="155" spans="1:48">
      <c r="A155" s="15">
        <v>45079</v>
      </c>
      <c r="B155" s="194">
        <v>0</v>
      </c>
      <c r="C155" s="80">
        <f t="shared" ref="C155:C218" si="154">IF(B155="",0,B154-B155)</f>
        <v>0</v>
      </c>
      <c r="D155" s="80">
        <f>+CONVERT(C155,"m^3","gal")</f>
        <v>0</v>
      </c>
      <c r="E155" s="194">
        <v>139.63</v>
      </c>
      <c r="F155" s="80">
        <f t="shared" si="150"/>
        <v>1.5</v>
      </c>
      <c r="G155" s="80">
        <f t="shared" si="145"/>
        <v>396.25807853722262</v>
      </c>
      <c r="H155" s="259">
        <v>255.04</v>
      </c>
      <c r="I155" s="80">
        <f t="shared" ref="I155:I218" si="155">IF(H155="",0,H154-H155)</f>
        <v>0</v>
      </c>
      <c r="J155" s="80">
        <f t="shared" si="146"/>
        <v>0</v>
      </c>
      <c r="K155" s="194">
        <v>968.5</v>
      </c>
      <c r="L155" s="80">
        <f t="shared" ref="L155:L218" si="156">IF(K155="",0,K154-K155)</f>
        <v>1.3999999999999773</v>
      </c>
      <c r="M155" s="80">
        <f t="shared" si="151"/>
        <v>369.84087330140181</v>
      </c>
      <c r="N155" s="186">
        <v>52.17</v>
      </c>
      <c r="O155" s="80">
        <f t="shared" ref="O155:O218" si="157">IF(N155="",0,N154-N155)</f>
        <v>7.1499999999999986</v>
      </c>
      <c r="P155" s="80">
        <f t="shared" si="148"/>
        <v>1888.8301743607608</v>
      </c>
      <c r="Q155" s="262">
        <v>12.27</v>
      </c>
      <c r="R155" s="80">
        <f t="shared" ref="R155:R218" si="158">IF(Q155="",0,Q154-Q155)</f>
        <v>0</v>
      </c>
      <c r="S155" s="80">
        <f t="shared" si="152"/>
        <v>0</v>
      </c>
      <c r="T155" s="80">
        <v>594</v>
      </c>
      <c r="U155" s="80">
        <f t="shared" si="140"/>
        <v>2248.534599696</v>
      </c>
      <c r="V155" s="215">
        <f t="shared" si="141"/>
        <v>0</v>
      </c>
      <c r="W155" s="185"/>
      <c r="X155" s="80">
        <v>3778</v>
      </c>
      <c r="Y155" s="80">
        <f t="shared" si="142"/>
        <v>14.301285719952</v>
      </c>
      <c r="Z155" s="194">
        <v>3.65</v>
      </c>
      <c r="AA155" s="80">
        <f t="shared" si="118"/>
        <v>-14.26</v>
      </c>
      <c r="AB155" s="80">
        <f>+CONVERT(AA155,"m^3","gal")</f>
        <v>-3767.0934666271964</v>
      </c>
      <c r="AC155" s="194">
        <v>14.05</v>
      </c>
      <c r="AD155" s="80">
        <f t="shared" si="143"/>
        <v>-3.2100000000000009</v>
      </c>
      <c r="AE155" s="80">
        <f>+CONVERT(AD155,"m^3","gal")</f>
        <v>-847.99228806965664</v>
      </c>
      <c r="AF155" s="194">
        <v>246.72</v>
      </c>
      <c r="AG155" s="80">
        <f t="shared" ref="AG155:AG218" si="159">IF(AF155="",0,AF154-AF155)</f>
        <v>-0.41999999999998749</v>
      </c>
      <c r="AH155" s="80">
        <f t="shared" si="144"/>
        <v>-110.95226199041903</v>
      </c>
      <c r="AI155" s="194">
        <v>116.28</v>
      </c>
      <c r="AJ155" s="80">
        <f t="shared" si="153"/>
        <v>-35.159999999999997</v>
      </c>
      <c r="AK155" s="80">
        <f>+CONVERT(AJ155,"m^3","gal")</f>
        <v>-9288.2893609124985</v>
      </c>
      <c r="AL155" s="194">
        <v>0.38</v>
      </c>
      <c r="AM155" s="80">
        <f t="shared" ref="AM155:AM218" si="160">IF(AL155="",0,AL154-AL155)</f>
        <v>7.71</v>
      </c>
      <c r="AN155" s="17">
        <f>+CONVERT(AM155,"m^3","gal")</f>
        <v>2036.7665236813243</v>
      </c>
      <c r="AO155" s="235">
        <f t="shared" si="139"/>
        <v>10223.458426260344</v>
      </c>
      <c r="AP155" s="19">
        <v>38.700000000000003</v>
      </c>
      <c r="AT155" s="3"/>
      <c r="AU155" s="3"/>
      <c r="AV155" s="3"/>
    </row>
    <row r="156" spans="1:48">
      <c r="A156" s="15">
        <v>45080</v>
      </c>
      <c r="B156" s="194">
        <v>0</v>
      </c>
      <c r="C156" s="80">
        <f t="shared" si="154"/>
        <v>0</v>
      </c>
      <c r="D156" s="80">
        <f t="shared" si="132"/>
        <v>0</v>
      </c>
      <c r="E156" s="194">
        <v>141.22999999999999</v>
      </c>
      <c r="F156" s="80">
        <f t="shared" si="150"/>
        <v>1.5999999999999943</v>
      </c>
      <c r="G156" s="80">
        <f t="shared" ref="G156:G184" si="161">+CONVERT(F156,"m^3","gal")</f>
        <v>422.67528377303597</v>
      </c>
      <c r="H156" s="194">
        <v>246.4</v>
      </c>
      <c r="I156" s="80">
        <f t="shared" si="155"/>
        <v>8.6399999999999864</v>
      </c>
      <c r="J156" s="80">
        <f t="shared" ref="J156:J184" si="162">+CONVERT(I156,"m^3","gal")</f>
        <v>2282.4465323743984</v>
      </c>
      <c r="K156" s="194">
        <v>967.5</v>
      </c>
      <c r="L156" s="80">
        <f t="shared" si="156"/>
        <v>1</v>
      </c>
      <c r="M156" s="80">
        <f t="shared" si="151"/>
        <v>264.17205235814845</v>
      </c>
      <c r="N156" s="194">
        <v>45.64</v>
      </c>
      <c r="O156" s="80">
        <f t="shared" si="157"/>
        <v>6.5300000000000011</v>
      </c>
      <c r="P156" s="80">
        <f t="shared" ref="P156:P184" si="163">+CONVERT(O156,"m^3","gal")</f>
        <v>1725.0435018987093</v>
      </c>
      <c r="Q156" s="194">
        <v>12.27</v>
      </c>
      <c r="R156" s="80">
        <f t="shared" si="158"/>
        <v>0</v>
      </c>
      <c r="S156" s="80">
        <f t="shared" si="152"/>
        <v>0</v>
      </c>
      <c r="T156" s="80"/>
      <c r="U156" s="80">
        <f t="shared" si="140"/>
        <v>0</v>
      </c>
      <c r="V156" s="215">
        <f t="shared" si="141"/>
        <v>0</v>
      </c>
      <c r="W156" s="185"/>
      <c r="X156" s="80"/>
      <c r="Y156" s="80">
        <f t="shared" si="142"/>
        <v>0</v>
      </c>
      <c r="Z156" s="194">
        <v>3.7</v>
      </c>
      <c r="AA156" s="80">
        <f t="shared" si="118"/>
        <v>5.0000000000000266E-2</v>
      </c>
      <c r="AB156" s="80">
        <f t="shared" ref="AB156:AB184" si="164">+CONVERT(AA156,"m^3","gal")</f>
        <v>13.208602617907493</v>
      </c>
      <c r="AC156" s="194">
        <v>14.94</v>
      </c>
      <c r="AD156" s="80">
        <f t="shared" si="143"/>
        <v>0.88999999999999879</v>
      </c>
      <c r="AE156" s="80">
        <f t="shared" ref="AE156:AE184" si="165">+CONVERT(AD156,"m^3","gal")</f>
        <v>235.11312659875176</v>
      </c>
      <c r="AF156" s="194">
        <v>247.2</v>
      </c>
      <c r="AG156" s="80">
        <f t="shared" si="159"/>
        <v>-0.47999999999998977</v>
      </c>
      <c r="AH156" s="80">
        <f t="shared" si="144"/>
        <v>-126.80258513190854</v>
      </c>
      <c r="AI156" s="194">
        <v>105</v>
      </c>
      <c r="AJ156" s="80">
        <f t="shared" si="153"/>
        <v>11.280000000000001</v>
      </c>
      <c r="AK156" s="80">
        <f t="shared" ref="AK156:AK184" si="166">+CONVERT(AJ156,"m^3","gal")</f>
        <v>2979.8607505999148</v>
      </c>
      <c r="AL156" s="194">
        <v>7.58</v>
      </c>
      <c r="AM156" s="80">
        <f t="shared" si="160"/>
        <v>-7.2</v>
      </c>
      <c r="AN156" s="17">
        <f t="shared" ref="AN156:AN184" si="167">+CONVERT(AM156,"m^3","gal")</f>
        <v>-1902.0387769786687</v>
      </c>
      <c r="AO156" s="235">
        <f t="shared" si="139"/>
        <v>0</v>
      </c>
      <c r="AP156" s="19"/>
      <c r="AT156" s="229"/>
      <c r="AU156" s="4"/>
      <c r="AV156" s="114"/>
    </row>
    <row r="157" spans="1:48">
      <c r="A157" s="15">
        <v>45081</v>
      </c>
      <c r="B157" s="194">
        <v>0</v>
      </c>
      <c r="C157" s="80">
        <f t="shared" si="154"/>
        <v>0</v>
      </c>
      <c r="D157" s="80">
        <f t="shared" si="132"/>
        <v>0</v>
      </c>
      <c r="E157" s="194">
        <v>142.32</v>
      </c>
      <c r="F157" s="80">
        <f t="shared" si="150"/>
        <v>1.0900000000000034</v>
      </c>
      <c r="G157" s="80">
        <f t="shared" si="161"/>
        <v>287.94753707038268</v>
      </c>
      <c r="H157" s="194">
        <v>246.4</v>
      </c>
      <c r="I157" s="80">
        <f t="shared" si="155"/>
        <v>0</v>
      </c>
      <c r="J157" s="80">
        <f t="shared" si="162"/>
        <v>0</v>
      </c>
      <c r="K157" s="194">
        <v>967.1</v>
      </c>
      <c r="L157" s="80">
        <f t="shared" si="156"/>
        <v>0.39999999999997726</v>
      </c>
      <c r="M157" s="80">
        <f t="shared" si="151"/>
        <v>105.66882094325337</v>
      </c>
      <c r="N157" s="194">
        <v>38</v>
      </c>
      <c r="O157" s="80">
        <f t="shared" si="157"/>
        <v>7.6400000000000006</v>
      </c>
      <c r="P157" s="80">
        <f t="shared" si="163"/>
        <v>2018.2744800162543</v>
      </c>
      <c r="Q157" s="194">
        <v>12.18</v>
      </c>
      <c r="R157" s="80">
        <f t="shared" si="158"/>
        <v>8.9999999999999858E-2</v>
      </c>
      <c r="S157" s="80">
        <f t="shared" si="152"/>
        <v>23.775484712233322</v>
      </c>
      <c r="T157" s="80"/>
      <c r="U157" s="80">
        <f t="shared" si="140"/>
        <v>0</v>
      </c>
      <c r="V157" s="215">
        <f t="shared" si="141"/>
        <v>0</v>
      </c>
      <c r="W157" s="185"/>
      <c r="X157" s="80"/>
      <c r="Y157" s="80">
        <f t="shared" si="142"/>
        <v>0</v>
      </c>
      <c r="Z157" s="194">
        <v>3.7</v>
      </c>
      <c r="AA157" s="80">
        <f t="shared" si="118"/>
        <v>0</v>
      </c>
      <c r="AB157" s="80">
        <f t="shared" si="164"/>
        <v>0</v>
      </c>
      <c r="AC157" s="194">
        <v>15.92</v>
      </c>
      <c r="AD157" s="80">
        <f t="shared" si="143"/>
        <v>0.98000000000000043</v>
      </c>
      <c r="AE157" s="80">
        <f t="shared" si="165"/>
        <v>258.8886113109856</v>
      </c>
      <c r="AF157" s="194">
        <v>245.7</v>
      </c>
      <c r="AG157" s="80">
        <f t="shared" si="159"/>
        <v>1.5</v>
      </c>
      <c r="AH157" s="80">
        <f t="shared" si="144"/>
        <v>396.25807853722262</v>
      </c>
      <c r="AI157" s="194">
        <v>101.4</v>
      </c>
      <c r="AJ157" s="80">
        <f t="shared" si="153"/>
        <v>3.5999999999999943</v>
      </c>
      <c r="AK157" s="80">
        <f t="shared" si="166"/>
        <v>951.01938848933287</v>
      </c>
      <c r="AL157" s="194">
        <v>3.95</v>
      </c>
      <c r="AM157" s="80">
        <f t="shared" si="160"/>
        <v>3.63</v>
      </c>
      <c r="AN157" s="17">
        <f t="shared" si="167"/>
        <v>958.94455006007877</v>
      </c>
      <c r="AO157" s="235">
        <f t="shared" si="139"/>
        <v>0</v>
      </c>
      <c r="AP157" s="19"/>
      <c r="AT157" s="229"/>
      <c r="AU157" s="4"/>
      <c r="AV157" s="114"/>
    </row>
    <row r="158" spans="1:48">
      <c r="A158" s="15">
        <v>45082</v>
      </c>
      <c r="B158" s="194">
        <v>0</v>
      </c>
      <c r="C158" s="80">
        <f t="shared" si="154"/>
        <v>0</v>
      </c>
      <c r="D158" s="80">
        <f t="shared" si="132"/>
        <v>0</v>
      </c>
      <c r="E158" s="194">
        <v>144.22</v>
      </c>
      <c r="F158" s="80">
        <f t="shared" si="150"/>
        <v>1.9000000000000057</v>
      </c>
      <c r="G158" s="80">
        <f t="shared" si="161"/>
        <v>501.92689948048348</v>
      </c>
      <c r="H158" s="194">
        <v>246.4</v>
      </c>
      <c r="I158" s="80">
        <f t="shared" si="155"/>
        <v>0</v>
      </c>
      <c r="J158" s="80">
        <f t="shared" si="162"/>
        <v>0</v>
      </c>
      <c r="K158" s="194">
        <v>965.5</v>
      </c>
      <c r="L158" s="80">
        <f t="shared" si="156"/>
        <v>1.6000000000000227</v>
      </c>
      <c r="M158" s="80">
        <f t="shared" si="151"/>
        <v>422.67528377304347</v>
      </c>
      <c r="N158" s="194">
        <v>68.959999999999994</v>
      </c>
      <c r="O158" s="80">
        <f t="shared" si="157"/>
        <v>-30.959999999999994</v>
      </c>
      <c r="P158" s="80">
        <f t="shared" si="163"/>
        <v>-8178.7667410082731</v>
      </c>
      <c r="Q158" s="194">
        <v>11.79</v>
      </c>
      <c r="R158" s="80">
        <f t="shared" si="158"/>
        <v>0.39000000000000057</v>
      </c>
      <c r="S158" s="80">
        <f t="shared" si="152"/>
        <v>103.02710041967804</v>
      </c>
      <c r="T158" s="80"/>
      <c r="U158" s="80">
        <f t="shared" si="140"/>
        <v>0</v>
      </c>
      <c r="V158" s="215">
        <f t="shared" si="141"/>
        <v>0</v>
      </c>
      <c r="W158" s="185"/>
      <c r="X158" s="80"/>
      <c r="Y158" s="80">
        <f t="shared" si="142"/>
        <v>0</v>
      </c>
      <c r="Z158" s="194">
        <v>3.68</v>
      </c>
      <c r="AA158" s="80">
        <f t="shared" si="118"/>
        <v>-2.0000000000000018E-2</v>
      </c>
      <c r="AB158" s="80">
        <f t="shared" si="164"/>
        <v>-5.2834410471629729</v>
      </c>
      <c r="AC158" s="194">
        <v>16.82</v>
      </c>
      <c r="AD158" s="80">
        <f t="shared" si="143"/>
        <v>0.90000000000000036</v>
      </c>
      <c r="AE158" s="80">
        <f t="shared" si="165"/>
        <v>237.75484712233367</v>
      </c>
      <c r="AF158" s="194">
        <v>246.9</v>
      </c>
      <c r="AG158" s="80">
        <f t="shared" si="159"/>
        <v>-1.2000000000000171</v>
      </c>
      <c r="AH158" s="80">
        <f t="shared" si="144"/>
        <v>-317.00646282978261</v>
      </c>
      <c r="AI158" s="194">
        <v>93.3</v>
      </c>
      <c r="AJ158" s="80">
        <f t="shared" si="153"/>
        <v>8.1000000000000085</v>
      </c>
      <c r="AK158" s="80">
        <f t="shared" si="166"/>
        <v>2139.7936241010043</v>
      </c>
      <c r="AL158" s="194">
        <v>5.78</v>
      </c>
      <c r="AM158" s="80">
        <f t="shared" si="160"/>
        <v>-1.83</v>
      </c>
      <c r="AN158" s="17">
        <f t="shared" si="167"/>
        <v>-483.43485581541159</v>
      </c>
      <c r="AO158" s="235">
        <f t="shared" si="139"/>
        <v>0</v>
      </c>
      <c r="AP158" s="19"/>
      <c r="AT158" s="229"/>
      <c r="AU158" s="4"/>
      <c r="AV158" s="114"/>
    </row>
    <row r="159" spans="1:48">
      <c r="A159" s="15">
        <v>45083</v>
      </c>
      <c r="B159" s="194">
        <v>0</v>
      </c>
      <c r="C159" s="80">
        <f t="shared" si="154"/>
        <v>0</v>
      </c>
      <c r="D159" s="80">
        <f t="shared" si="132"/>
        <v>0</v>
      </c>
      <c r="E159" s="194">
        <v>145.46</v>
      </c>
      <c r="F159" s="80">
        <f t="shared" si="150"/>
        <v>1.2400000000000091</v>
      </c>
      <c r="G159" s="80">
        <f t="shared" si="161"/>
        <v>327.57334492410644</v>
      </c>
      <c r="H159" s="194">
        <v>246.4</v>
      </c>
      <c r="I159" s="80">
        <f t="shared" si="155"/>
        <v>0</v>
      </c>
      <c r="J159" s="80">
        <f t="shared" si="162"/>
        <v>0</v>
      </c>
      <c r="K159" s="194">
        <v>961</v>
      </c>
      <c r="L159" s="80">
        <f t="shared" si="156"/>
        <v>4.5</v>
      </c>
      <c r="M159" s="80">
        <f t="shared" si="151"/>
        <v>1188.7742356116678</v>
      </c>
      <c r="N159" s="194">
        <v>62.18</v>
      </c>
      <c r="O159" s="80">
        <f t="shared" si="157"/>
        <v>6.779999999999994</v>
      </c>
      <c r="P159" s="80">
        <f t="shared" si="163"/>
        <v>1791.0865149882445</v>
      </c>
      <c r="Q159" s="194">
        <v>7.61</v>
      </c>
      <c r="R159" s="80">
        <f t="shared" si="158"/>
        <v>4.1799999999999988</v>
      </c>
      <c r="S159" s="80">
        <f t="shared" si="152"/>
        <v>1104.2391788570601</v>
      </c>
      <c r="T159" s="80"/>
      <c r="U159" s="80">
        <f t="shared" si="140"/>
        <v>0</v>
      </c>
      <c r="V159" s="215">
        <f t="shared" si="141"/>
        <v>0</v>
      </c>
      <c r="W159" s="185"/>
      <c r="X159" s="80"/>
      <c r="Y159" s="80">
        <f t="shared" si="142"/>
        <v>0</v>
      </c>
      <c r="Z159" s="194">
        <v>18.52</v>
      </c>
      <c r="AA159" s="80">
        <f t="shared" si="118"/>
        <v>14.84</v>
      </c>
      <c r="AB159" s="80">
        <f t="shared" si="164"/>
        <v>3920.3132569949225</v>
      </c>
      <c r="AC159" s="194">
        <v>17.829999999999998</v>
      </c>
      <c r="AD159" s="80">
        <f t="shared" si="143"/>
        <v>1.009999999999998</v>
      </c>
      <c r="AE159" s="80">
        <f t="shared" si="165"/>
        <v>266.81377288172939</v>
      </c>
      <c r="AF159" s="194">
        <v>246.63</v>
      </c>
      <c r="AG159" s="80">
        <f t="shared" si="159"/>
        <v>0.27000000000001023</v>
      </c>
      <c r="AH159" s="80">
        <f t="shared" si="144"/>
        <v>71.326454136702779</v>
      </c>
      <c r="AI159" s="194">
        <v>105.75</v>
      </c>
      <c r="AJ159" s="80">
        <f t="shared" si="153"/>
        <v>-12.450000000000003</v>
      </c>
      <c r="AK159" s="80">
        <f t="shared" si="166"/>
        <v>-3288.9420518589486</v>
      </c>
      <c r="AL159" s="194">
        <v>7.55</v>
      </c>
      <c r="AM159" s="80">
        <f t="shared" si="160"/>
        <v>-1.7699999999999996</v>
      </c>
      <c r="AN159" s="17">
        <f t="shared" si="167"/>
        <v>-467.58453267392258</v>
      </c>
      <c r="AO159" s="235">
        <f t="shared" si="139"/>
        <v>5523.8376148088837</v>
      </c>
      <c r="AP159" s="19">
        <v>20.91</v>
      </c>
      <c r="AT159" s="229"/>
      <c r="AU159" s="4"/>
      <c r="AV159" s="114"/>
    </row>
    <row r="160" spans="1:48">
      <c r="A160" s="15">
        <v>45084</v>
      </c>
      <c r="B160" s="194">
        <v>0</v>
      </c>
      <c r="C160" s="80">
        <f t="shared" si="154"/>
        <v>0</v>
      </c>
      <c r="D160" s="80">
        <f t="shared" si="132"/>
        <v>0</v>
      </c>
      <c r="E160" s="194">
        <v>146.47999999999999</v>
      </c>
      <c r="F160" s="80">
        <f t="shared" si="150"/>
        <v>1.0199999999999818</v>
      </c>
      <c r="G160" s="80">
        <f t="shared" si="161"/>
        <v>269.45549340530658</v>
      </c>
      <c r="H160" s="194">
        <v>246.4</v>
      </c>
      <c r="I160" s="80">
        <f t="shared" si="155"/>
        <v>0</v>
      </c>
      <c r="J160" s="80">
        <f t="shared" si="162"/>
        <v>0</v>
      </c>
      <c r="K160" s="194">
        <v>959.9</v>
      </c>
      <c r="L160" s="80">
        <f t="shared" si="156"/>
        <v>1.1000000000000227</v>
      </c>
      <c r="M160" s="80">
        <f t="shared" si="151"/>
        <v>290.58925759396925</v>
      </c>
      <c r="N160" s="194">
        <v>55.45</v>
      </c>
      <c r="O160" s="80">
        <f t="shared" si="157"/>
        <v>6.7299999999999969</v>
      </c>
      <c r="P160" s="80">
        <f t="shared" si="163"/>
        <v>1777.8779123703382</v>
      </c>
      <c r="Q160" s="194">
        <v>7.61</v>
      </c>
      <c r="R160" s="80">
        <f t="shared" si="158"/>
        <v>0</v>
      </c>
      <c r="S160" s="80">
        <f t="shared" si="152"/>
        <v>0</v>
      </c>
      <c r="T160" s="80"/>
      <c r="U160" s="80">
        <f t="shared" si="140"/>
        <v>0</v>
      </c>
      <c r="V160" s="215">
        <f t="shared" si="141"/>
        <v>0</v>
      </c>
      <c r="W160" s="185"/>
      <c r="X160" s="80">
        <v>8047</v>
      </c>
      <c r="Y160" s="80">
        <f t="shared" si="142"/>
        <v>30.461208625847998</v>
      </c>
      <c r="Z160" s="194">
        <v>2.97</v>
      </c>
      <c r="AA160" s="80">
        <f t="shared" ref="AA160:AA223" si="168">IF(Z160="",0,Z160-Z159)</f>
        <v>-15.549999999999999</v>
      </c>
      <c r="AB160" s="80">
        <f t="shared" si="164"/>
        <v>-4107.8754141692079</v>
      </c>
      <c r="AC160" s="194">
        <v>3.37</v>
      </c>
      <c r="AD160" s="80">
        <f t="shared" si="143"/>
        <v>-14.459999999999997</v>
      </c>
      <c r="AE160" s="80">
        <f t="shared" si="165"/>
        <v>-3819.9278770988258</v>
      </c>
      <c r="AF160" s="194">
        <v>246.72</v>
      </c>
      <c r="AG160" s="80">
        <f t="shared" si="159"/>
        <v>-9.0000000000003411E-2</v>
      </c>
      <c r="AH160" s="80">
        <f t="shared" si="144"/>
        <v>-23.77548471223426</v>
      </c>
      <c r="AI160" s="194">
        <v>100.26</v>
      </c>
      <c r="AJ160" s="80">
        <f t="shared" si="153"/>
        <v>5.4899999999999949</v>
      </c>
      <c r="AK160" s="80">
        <f t="shared" si="166"/>
        <v>1450.3045674462335</v>
      </c>
      <c r="AL160" s="194">
        <v>4.78</v>
      </c>
      <c r="AM160" s="80">
        <f t="shared" si="160"/>
        <v>2.7699999999999996</v>
      </c>
      <c r="AN160" s="17">
        <f t="shared" si="167"/>
        <v>731.75658503207103</v>
      </c>
      <c r="AO160" s="235">
        <f t="shared" si="139"/>
        <v>0</v>
      </c>
      <c r="AP160" s="19"/>
      <c r="AT160" s="229"/>
      <c r="AU160" s="4"/>
      <c r="AV160" s="114"/>
    </row>
    <row r="161" spans="1:48">
      <c r="A161" s="15">
        <v>45085</v>
      </c>
      <c r="B161" s="194">
        <v>0</v>
      </c>
      <c r="C161" s="80">
        <f t="shared" si="154"/>
        <v>0</v>
      </c>
      <c r="D161" s="80">
        <f t="shared" si="132"/>
        <v>0</v>
      </c>
      <c r="E161" s="194">
        <v>99.66</v>
      </c>
      <c r="F161" s="80">
        <f t="shared" si="150"/>
        <v>-46.819999999999993</v>
      </c>
      <c r="G161" s="80">
        <f t="shared" si="161"/>
        <v>-12368.535491408507</v>
      </c>
      <c r="H161" s="194">
        <v>289.14999999999998</v>
      </c>
      <c r="I161" s="80">
        <f t="shared" si="155"/>
        <v>-42.749999999999972</v>
      </c>
      <c r="J161" s="80">
        <f t="shared" si="162"/>
        <v>-11293.355238310838</v>
      </c>
      <c r="K161" s="194">
        <v>952.3</v>
      </c>
      <c r="L161" s="80">
        <f t="shared" si="156"/>
        <v>7.6000000000000227</v>
      </c>
      <c r="M161" s="80">
        <f t="shared" si="151"/>
        <v>2007.7075979219339</v>
      </c>
      <c r="N161" s="194">
        <v>47.93</v>
      </c>
      <c r="O161" s="80">
        <f t="shared" si="157"/>
        <v>7.5200000000000031</v>
      </c>
      <c r="P161" s="80">
        <f t="shared" si="163"/>
        <v>1986.5738337332768</v>
      </c>
      <c r="Q161" s="194">
        <v>7.61</v>
      </c>
      <c r="R161" s="80">
        <f t="shared" si="158"/>
        <v>0</v>
      </c>
      <c r="S161" s="80">
        <f t="shared" si="152"/>
        <v>0</v>
      </c>
      <c r="T161" s="80"/>
      <c r="U161" s="80">
        <f t="shared" si="140"/>
        <v>0</v>
      </c>
      <c r="V161" s="215">
        <f t="shared" si="141"/>
        <v>0</v>
      </c>
      <c r="W161" s="185"/>
      <c r="X161" s="80"/>
      <c r="Y161" s="80">
        <f t="shared" si="142"/>
        <v>0</v>
      </c>
      <c r="Z161" s="194">
        <v>3</v>
      </c>
      <c r="AA161" s="80">
        <f t="shared" si="168"/>
        <v>2.9999999999999805E-2</v>
      </c>
      <c r="AB161" s="80">
        <f t="shared" si="164"/>
        <v>7.9251615707444012</v>
      </c>
      <c r="AC161" s="194">
        <v>9.42</v>
      </c>
      <c r="AD161" s="80">
        <f t="shared" si="143"/>
        <v>6.05</v>
      </c>
      <c r="AE161" s="80">
        <f t="shared" si="165"/>
        <v>1598.2409167667979</v>
      </c>
      <c r="AF161" s="194">
        <v>245.01</v>
      </c>
      <c r="AG161" s="80">
        <f t="shared" si="159"/>
        <v>1.710000000000008</v>
      </c>
      <c r="AH161" s="80">
        <f t="shared" si="144"/>
        <v>451.7342095324359</v>
      </c>
      <c r="AI161" s="194">
        <v>125.4</v>
      </c>
      <c r="AJ161" s="80">
        <f t="shared" si="153"/>
        <v>-25.14</v>
      </c>
      <c r="AK161" s="80">
        <f t="shared" si="166"/>
        <v>-6641.2853962838517</v>
      </c>
      <c r="AL161" s="194">
        <v>6.15</v>
      </c>
      <c r="AM161" s="80">
        <f t="shared" si="160"/>
        <v>-1.37</v>
      </c>
      <c r="AN161" s="17">
        <f t="shared" si="167"/>
        <v>-361.91571173066336</v>
      </c>
      <c r="AO161" s="235">
        <f t="shared" si="139"/>
        <v>11253.729430457122</v>
      </c>
      <c r="AP161" s="19">
        <v>42.6</v>
      </c>
      <c r="AT161" s="229"/>
      <c r="AU161" s="4"/>
      <c r="AV161" s="114"/>
    </row>
    <row r="162" spans="1:48">
      <c r="A162" s="15">
        <v>45086</v>
      </c>
      <c r="B162" s="194">
        <v>0</v>
      </c>
      <c r="C162" s="80">
        <f t="shared" si="154"/>
        <v>0</v>
      </c>
      <c r="D162" s="80">
        <f t="shared" si="132"/>
        <v>0</v>
      </c>
      <c r="E162" s="194">
        <v>99.55</v>
      </c>
      <c r="F162" s="80">
        <f t="shared" si="150"/>
        <v>-0.10999999999999943</v>
      </c>
      <c r="G162" s="80">
        <f t="shared" si="161"/>
        <v>-29.058925759396175</v>
      </c>
      <c r="H162" s="194">
        <v>288</v>
      </c>
      <c r="I162" s="80">
        <f t="shared" si="155"/>
        <v>1.1499999999999773</v>
      </c>
      <c r="J162" s="80">
        <f t="shared" si="162"/>
        <v>303.7978602118647</v>
      </c>
      <c r="K162" s="194">
        <v>950.6</v>
      </c>
      <c r="L162" s="80">
        <f t="shared" si="156"/>
        <v>1.6999999999999318</v>
      </c>
      <c r="M162" s="80">
        <f t="shared" si="151"/>
        <v>449.09248900883432</v>
      </c>
      <c r="N162" s="194">
        <v>83.01</v>
      </c>
      <c r="O162" s="80">
        <f t="shared" si="157"/>
        <v>-35.080000000000005</v>
      </c>
      <c r="P162" s="80">
        <f t="shared" si="163"/>
        <v>-9267.1555967238492</v>
      </c>
      <c r="Q162" s="194">
        <v>7.61</v>
      </c>
      <c r="R162" s="80">
        <f t="shared" si="158"/>
        <v>0</v>
      </c>
      <c r="S162" s="80">
        <f t="shared" si="152"/>
        <v>0</v>
      </c>
      <c r="T162" s="80"/>
      <c r="U162" s="80">
        <f t="shared" si="140"/>
        <v>0</v>
      </c>
      <c r="V162" s="215">
        <f t="shared" si="141"/>
        <v>0</v>
      </c>
      <c r="W162" s="185"/>
      <c r="X162" s="80"/>
      <c r="Y162" s="80">
        <f t="shared" si="142"/>
        <v>0</v>
      </c>
      <c r="Z162" s="194">
        <v>2.98</v>
      </c>
      <c r="AA162" s="80">
        <f t="shared" si="168"/>
        <v>-2.0000000000000018E-2</v>
      </c>
      <c r="AB162" s="80">
        <f t="shared" si="164"/>
        <v>-5.2834410471629729</v>
      </c>
      <c r="AC162" s="194">
        <v>12.05</v>
      </c>
      <c r="AD162" s="80">
        <f t="shared" si="143"/>
        <v>2.6300000000000008</v>
      </c>
      <c r="AE162" s="80">
        <f t="shared" si="165"/>
        <v>694.77249770193055</v>
      </c>
      <c r="AF162" s="194">
        <v>246.69</v>
      </c>
      <c r="AG162" s="80">
        <f t="shared" si="159"/>
        <v>-1.6800000000000068</v>
      </c>
      <c r="AH162" s="80">
        <f t="shared" si="144"/>
        <v>-443.80904796169114</v>
      </c>
      <c r="AI162" s="194">
        <v>141.87</v>
      </c>
      <c r="AJ162" s="80">
        <f t="shared" si="153"/>
        <v>-16.47</v>
      </c>
      <c r="AK162" s="80">
        <f t="shared" si="166"/>
        <v>-4350.9137023387048</v>
      </c>
      <c r="AL162" s="194">
        <v>6.29</v>
      </c>
      <c r="AM162" s="80">
        <f t="shared" si="160"/>
        <v>-0.13999999999999968</v>
      </c>
      <c r="AN162" s="17">
        <f t="shared" si="167"/>
        <v>-36.984087330140696</v>
      </c>
      <c r="AO162" s="235">
        <f t="shared" si="139"/>
        <v>5547.613099521117</v>
      </c>
      <c r="AP162" s="19">
        <v>21</v>
      </c>
      <c r="AT162" s="229"/>
      <c r="AU162" s="4"/>
      <c r="AV162" s="114"/>
    </row>
    <row r="163" spans="1:48">
      <c r="A163" s="15">
        <v>45087</v>
      </c>
      <c r="B163" s="194">
        <v>0</v>
      </c>
      <c r="C163" s="80">
        <f t="shared" si="154"/>
        <v>0</v>
      </c>
      <c r="D163" s="80">
        <f t="shared" si="132"/>
        <v>0</v>
      </c>
      <c r="E163" s="194">
        <v>99.14</v>
      </c>
      <c r="F163" s="80">
        <f t="shared" si="150"/>
        <v>-0.40999999999999659</v>
      </c>
      <c r="G163" s="80">
        <f t="shared" si="161"/>
        <v>-108.31054146683995</v>
      </c>
      <c r="H163" s="194">
        <v>288</v>
      </c>
      <c r="I163" s="80">
        <f t="shared" si="155"/>
        <v>0</v>
      </c>
      <c r="J163" s="80">
        <f t="shared" si="162"/>
        <v>0</v>
      </c>
      <c r="K163" s="194">
        <v>948.5</v>
      </c>
      <c r="L163" s="80">
        <f t="shared" si="156"/>
        <v>2.1000000000000227</v>
      </c>
      <c r="M163" s="80">
        <f t="shared" si="151"/>
        <v>554.7613099521177</v>
      </c>
      <c r="N163" s="194">
        <v>75.930000000000007</v>
      </c>
      <c r="O163" s="80">
        <f t="shared" si="157"/>
        <v>7.0799999999999983</v>
      </c>
      <c r="P163" s="80">
        <f t="shared" si="163"/>
        <v>1870.3381306956903</v>
      </c>
      <c r="Q163" s="194">
        <v>7.61</v>
      </c>
      <c r="R163" s="80">
        <f t="shared" si="158"/>
        <v>0</v>
      </c>
      <c r="S163" s="80">
        <f t="shared" si="152"/>
        <v>0</v>
      </c>
      <c r="T163" s="80"/>
      <c r="U163" s="80">
        <f t="shared" si="140"/>
        <v>0</v>
      </c>
      <c r="V163" s="215">
        <f t="shared" si="141"/>
        <v>0</v>
      </c>
      <c r="W163" s="185"/>
      <c r="X163" s="80"/>
      <c r="Y163" s="80">
        <f t="shared" si="142"/>
        <v>0</v>
      </c>
      <c r="Z163" s="194">
        <v>2.98</v>
      </c>
      <c r="AA163" s="80">
        <f t="shared" si="168"/>
        <v>0</v>
      </c>
      <c r="AB163" s="80">
        <f t="shared" si="164"/>
        <v>0</v>
      </c>
      <c r="AC163" s="194">
        <v>2.92</v>
      </c>
      <c r="AD163" s="80">
        <f t="shared" si="143"/>
        <v>-9.1300000000000008</v>
      </c>
      <c r="AE163" s="80">
        <f t="shared" si="165"/>
        <v>-2411.8908380298949</v>
      </c>
      <c r="AF163" s="194">
        <v>245.64</v>
      </c>
      <c r="AG163" s="80">
        <f t="shared" si="159"/>
        <v>1.0500000000000114</v>
      </c>
      <c r="AH163" s="80">
        <f t="shared" si="144"/>
        <v>277.38065497605885</v>
      </c>
      <c r="AI163" s="194">
        <v>133.91999999999999</v>
      </c>
      <c r="AJ163" s="80">
        <f t="shared" si="153"/>
        <v>7.9500000000000171</v>
      </c>
      <c r="AK163" s="80">
        <f t="shared" si="166"/>
        <v>2100.1678162472845</v>
      </c>
      <c r="AL163" s="194">
        <v>7.45</v>
      </c>
      <c r="AM163" s="80">
        <f t="shared" si="160"/>
        <v>-1.1600000000000001</v>
      </c>
      <c r="AN163" s="17">
        <f t="shared" si="167"/>
        <v>-306.43958073545224</v>
      </c>
      <c r="AO163" s="235">
        <f t="shared" si="139"/>
        <v>0</v>
      </c>
      <c r="AP163" s="19"/>
      <c r="AT163" s="229"/>
      <c r="AU163" s="4"/>
      <c r="AV163" s="114"/>
    </row>
    <row r="164" spans="1:48">
      <c r="A164" s="15">
        <v>45088</v>
      </c>
      <c r="B164" s="194">
        <v>0</v>
      </c>
      <c r="C164" s="80">
        <f t="shared" si="154"/>
        <v>0</v>
      </c>
      <c r="D164" s="80">
        <f t="shared" si="132"/>
        <v>0</v>
      </c>
      <c r="E164" s="194">
        <v>99.09</v>
      </c>
      <c r="F164" s="80">
        <f t="shared" si="150"/>
        <v>-4.9999999999997158E-2</v>
      </c>
      <c r="G164" s="80">
        <f t="shared" si="161"/>
        <v>-13.208602617906671</v>
      </c>
      <c r="H164" s="194">
        <v>288</v>
      </c>
      <c r="I164" s="80">
        <f t="shared" si="155"/>
        <v>0</v>
      </c>
      <c r="J164" s="80">
        <f t="shared" si="162"/>
        <v>0</v>
      </c>
      <c r="K164" s="194">
        <v>946.1</v>
      </c>
      <c r="L164" s="80">
        <f t="shared" si="156"/>
        <v>2.3999999999999773</v>
      </c>
      <c r="M164" s="80">
        <f t="shared" si="151"/>
        <v>634.01292565955021</v>
      </c>
      <c r="N164" s="194">
        <v>69.48</v>
      </c>
      <c r="O164" s="80">
        <f t="shared" si="157"/>
        <v>6.4500000000000028</v>
      </c>
      <c r="P164" s="80">
        <f t="shared" si="163"/>
        <v>1703.9097377100582</v>
      </c>
      <c r="Q164" s="194">
        <v>7.61</v>
      </c>
      <c r="R164" s="80">
        <f t="shared" si="158"/>
        <v>0</v>
      </c>
      <c r="S164" s="80">
        <f t="shared" si="152"/>
        <v>0</v>
      </c>
      <c r="T164" s="80"/>
      <c r="U164" s="80">
        <f t="shared" si="140"/>
        <v>0</v>
      </c>
      <c r="V164" s="215">
        <f t="shared" si="141"/>
        <v>0</v>
      </c>
      <c r="W164" s="185"/>
      <c r="X164" s="80"/>
      <c r="Y164" s="80">
        <f t="shared" si="142"/>
        <v>0</v>
      </c>
      <c r="Z164" s="194">
        <v>9.93</v>
      </c>
      <c r="AA164" s="80">
        <f t="shared" si="168"/>
        <v>6.9499999999999993</v>
      </c>
      <c r="AB164" s="80">
        <f t="shared" si="164"/>
        <v>1835.9957638891312</v>
      </c>
      <c r="AC164" s="194">
        <v>18.04</v>
      </c>
      <c r="AD164" s="80">
        <f t="shared" si="143"/>
        <v>15.12</v>
      </c>
      <c r="AE164" s="80">
        <f t="shared" si="165"/>
        <v>3994.281431655204</v>
      </c>
      <c r="AF164" s="194">
        <v>246.9</v>
      </c>
      <c r="AG164" s="80">
        <f t="shared" si="159"/>
        <v>-1.2600000000000193</v>
      </c>
      <c r="AH164" s="80">
        <f t="shared" si="144"/>
        <v>-332.85678597127213</v>
      </c>
      <c r="AI164" s="194">
        <v>152.76</v>
      </c>
      <c r="AJ164" s="80">
        <f t="shared" si="153"/>
        <v>-18.840000000000003</v>
      </c>
      <c r="AK164" s="80">
        <f t="shared" si="166"/>
        <v>-4977.0014664275177</v>
      </c>
      <c r="AL164" s="194">
        <v>3.47</v>
      </c>
      <c r="AM164" s="80">
        <f t="shared" si="160"/>
        <v>3.98</v>
      </c>
      <c r="AN164" s="17">
        <f t="shared" si="167"/>
        <v>1051.4047683854308</v>
      </c>
      <c r="AO164" s="235">
        <f t="shared" si="139"/>
        <v>5785.3679466434505</v>
      </c>
      <c r="AP164" s="19">
        <v>21.9</v>
      </c>
      <c r="AT164" s="229"/>
      <c r="AU164" s="4"/>
      <c r="AV164" s="114"/>
    </row>
    <row r="165" spans="1:48">
      <c r="A165" s="15">
        <v>45089</v>
      </c>
      <c r="B165" s="194">
        <v>0</v>
      </c>
      <c r="C165" s="80">
        <f t="shared" si="154"/>
        <v>0</v>
      </c>
      <c r="D165" s="80">
        <f t="shared" si="132"/>
        <v>0</v>
      </c>
      <c r="E165" s="194">
        <v>98.5</v>
      </c>
      <c r="F165" s="80">
        <f t="shared" si="150"/>
        <v>-0.59000000000000341</v>
      </c>
      <c r="G165" s="80">
        <f t="shared" si="161"/>
        <v>-155.86151089130848</v>
      </c>
      <c r="H165" s="194">
        <v>288</v>
      </c>
      <c r="I165" s="80">
        <f t="shared" si="155"/>
        <v>0</v>
      </c>
      <c r="J165" s="80">
        <f t="shared" si="162"/>
        <v>0</v>
      </c>
      <c r="K165" s="194">
        <v>946</v>
      </c>
      <c r="L165" s="80">
        <f t="shared" si="156"/>
        <v>0.10000000000002274</v>
      </c>
      <c r="M165" s="80">
        <f t="shared" si="151"/>
        <v>26.417205235820848</v>
      </c>
      <c r="N165" s="194">
        <v>62.76</v>
      </c>
      <c r="O165" s="80">
        <f t="shared" si="157"/>
        <v>6.720000000000006</v>
      </c>
      <c r="P165" s="80">
        <f t="shared" si="163"/>
        <v>1775.2361918467591</v>
      </c>
      <c r="Q165" s="194">
        <v>7.61</v>
      </c>
      <c r="R165" s="80">
        <f t="shared" si="158"/>
        <v>0</v>
      </c>
      <c r="S165" s="80">
        <f t="shared" si="152"/>
        <v>0</v>
      </c>
      <c r="T165" s="80"/>
      <c r="U165" s="80">
        <f t="shared" si="140"/>
        <v>0</v>
      </c>
      <c r="V165" s="215">
        <f t="shared" si="141"/>
        <v>0</v>
      </c>
      <c r="W165" s="185"/>
      <c r="X165" s="80"/>
      <c r="Y165" s="80">
        <f t="shared" si="142"/>
        <v>0</v>
      </c>
      <c r="Z165" s="194">
        <v>14.08</v>
      </c>
      <c r="AA165" s="80">
        <f t="shared" si="168"/>
        <v>4.1500000000000004</v>
      </c>
      <c r="AB165" s="80">
        <f t="shared" si="164"/>
        <v>1096.3140172863159</v>
      </c>
      <c r="AC165" s="194">
        <v>18.100000000000001</v>
      </c>
      <c r="AD165" s="80">
        <f t="shared" si="143"/>
        <v>6.0000000000002274E-2</v>
      </c>
      <c r="AE165" s="80">
        <f t="shared" si="165"/>
        <v>15.850323141489506</v>
      </c>
      <c r="AF165" s="194">
        <v>246.6</v>
      </c>
      <c r="AG165" s="80">
        <f t="shared" si="159"/>
        <v>0.30000000000001137</v>
      </c>
      <c r="AH165" s="80">
        <f t="shared" si="144"/>
        <v>79.251615707447527</v>
      </c>
      <c r="AI165" s="194">
        <v>145.80000000000001</v>
      </c>
      <c r="AJ165" s="80">
        <f t="shared" si="153"/>
        <v>6.9599999999999795</v>
      </c>
      <c r="AK165" s="80">
        <f t="shared" si="166"/>
        <v>1838.6374844127076</v>
      </c>
      <c r="AL165" s="194">
        <v>4.6500000000000004</v>
      </c>
      <c r="AM165" s="80">
        <f t="shared" si="160"/>
        <v>-1.1800000000000002</v>
      </c>
      <c r="AN165" s="17">
        <f t="shared" si="167"/>
        <v>-311.72302178261521</v>
      </c>
      <c r="AO165" s="235">
        <f t="shared" si="139"/>
        <v>0</v>
      </c>
      <c r="AP165" s="19"/>
      <c r="AT165" s="229"/>
      <c r="AU165" s="4"/>
      <c r="AV165" s="114"/>
    </row>
    <row r="166" spans="1:48">
      <c r="A166" s="15">
        <v>45090</v>
      </c>
      <c r="B166" s="194">
        <v>0</v>
      </c>
      <c r="C166" s="80">
        <f t="shared" si="154"/>
        <v>0</v>
      </c>
      <c r="D166" s="80">
        <f t="shared" si="132"/>
        <v>0</v>
      </c>
      <c r="E166" s="194">
        <v>97.92</v>
      </c>
      <c r="F166" s="80">
        <f t="shared" si="150"/>
        <v>-0.57999999999999829</v>
      </c>
      <c r="G166" s="80">
        <f t="shared" si="161"/>
        <v>-153.21979036772564</v>
      </c>
      <c r="H166" s="194">
        <v>288</v>
      </c>
      <c r="I166" s="80">
        <f t="shared" si="155"/>
        <v>0</v>
      </c>
      <c r="J166" s="80">
        <f t="shared" si="162"/>
        <v>0</v>
      </c>
      <c r="K166" s="194">
        <v>945.1</v>
      </c>
      <c r="L166" s="80">
        <f t="shared" si="156"/>
        <v>0.89999999999997726</v>
      </c>
      <c r="M166" s="80">
        <f t="shared" si="151"/>
        <v>237.75484712232756</v>
      </c>
      <c r="N166" s="194">
        <v>55.99</v>
      </c>
      <c r="O166" s="80">
        <f t="shared" si="157"/>
        <v>6.769999999999996</v>
      </c>
      <c r="P166" s="80">
        <f t="shared" si="163"/>
        <v>1788.4447944646638</v>
      </c>
      <c r="Q166" s="194">
        <v>7.59</v>
      </c>
      <c r="R166" s="80">
        <f t="shared" si="158"/>
        <v>2.0000000000000462E-2</v>
      </c>
      <c r="S166" s="80">
        <f t="shared" si="152"/>
        <v>5.2834410471630902</v>
      </c>
      <c r="T166" s="80"/>
      <c r="U166" s="80">
        <f t="shared" si="140"/>
        <v>0</v>
      </c>
      <c r="V166" s="215">
        <f t="shared" si="141"/>
        <v>0</v>
      </c>
      <c r="W166" s="185"/>
      <c r="X166" s="80"/>
      <c r="Y166" s="80">
        <f t="shared" si="142"/>
        <v>0</v>
      </c>
      <c r="Z166" s="194">
        <v>17.2</v>
      </c>
      <c r="AA166" s="80">
        <f t="shared" si="168"/>
        <v>3.1199999999999992</v>
      </c>
      <c r="AB166" s="80">
        <f t="shared" si="164"/>
        <v>824.2168033574228</v>
      </c>
      <c r="AC166" s="194">
        <v>18.16</v>
      </c>
      <c r="AD166" s="80">
        <f t="shared" si="143"/>
        <v>5.9999999999998721E-2</v>
      </c>
      <c r="AE166" s="80">
        <f t="shared" si="165"/>
        <v>15.850323141488568</v>
      </c>
      <c r="AF166" s="194">
        <v>246.6</v>
      </c>
      <c r="AG166" s="80">
        <f t="shared" si="159"/>
        <v>0</v>
      </c>
      <c r="AH166" s="80">
        <f t="shared" si="144"/>
        <v>0</v>
      </c>
      <c r="AI166" s="194">
        <v>157.80000000000001</v>
      </c>
      <c r="AJ166" s="80">
        <f t="shared" si="153"/>
        <v>-12</v>
      </c>
      <c r="AK166" s="80">
        <f t="shared" si="166"/>
        <v>-3170.0646282977809</v>
      </c>
      <c r="AL166" s="194">
        <v>7.62</v>
      </c>
      <c r="AM166" s="80">
        <f t="shared" si="160"/>
        <v>-2.9699999999999998</v>
      </c>
      <c r="AN166" s="17">
        <f t="shared" si="167"/>
        <v>-784.5909955037007</v>
      </c>
      <c r="AO166" s="235">
        <f t="shared" si="139"/>
        <v>5547.613099521117</v>
      </c>
      <c r="AP166" s="19">
        <v>21</v>
      </c>
    </row>
    <row r="167" spans="1:48">
      <c r="A167" s="15">
        <v>45091</v>
      </c>
      <c r="B167" s="194">
        <v>0</v>
      </c>
      <c r="C167" s="80">
        <f t="shared" si="154"/>
        <v>0</v>
      </c>
      <c r="D167" s="80">
        <f t="shared" si="132"/>
        <v>0</v>
      </c>
      <c r="E167" s="194">
        <v>97.33</v>
      </c>
      <c r="F167" s="80">
        <f t="shared" si="150"/>
        <v>-0.59000000000000341</v>
      </c>
      <c r="G167" s="80">
        <f t="shared" si="161"/>
        <v>-155.86151089130848</v>
      </c>
      <c r="H167" s="194">
        <v>288</v>
      </c>
      <c r="I167" s="80">
        <f t="shared" si="155"/>
        <v>0</v>
      </c>
      <c r="J167" s="80">
        <f t="shared" si="162"/>
        <v>0</v>
      </c>
      <c r="K167" s="194">
        <v>944.5</v>
      </c>
      <c r="L167" s="80">
        <f t="shared" si="156"/>
        <v>0.60000000000002274</v>
      </c>
      <c r="M167" s="80">
        <f t="shared" si="151"/>
        <v>158.50323141489505</v>
      </c>
      <c r="N167" s="194">
        <v>48.98</v>
      </c>
      <c r="O167" s="80">
        <f t="shared" si="157"/>
        <v>7.0100000000000051</v>
      </c>
      <c r="P167" s="80">
        <f t="shared" si="163"/>
        <v>1851.8460870306219</v>
      </c>
      <c r="Q167" s="194">
        <v>7.62</v>
      </c>
      <c r="R167" s="80">
        <f t="shared" si="158"/>
        <v>-3.0000000000000249E-2</v>
      </c>
      <c r="S167" s="80">
        <f t="shared" si="152"/>
        <v>-7.9251615707445184</v>
      </c>
      <c r="T167" s="80"/>
      <c r="U167" s="80">
        <f t="shared" si="140"/>
        <v>0</v>
      </c>
      <c r="V167" s="215">
        <f t="shared" si="141"/>
        <v>0</v>
      </c>
      <c r="W167" s="185"/>
      <c r="X167" s="80"/>
      <c r="Y167" s="80">
        <f t="shared" si="142"/>
        <v>0</v>
      </c>
      <c r="Z167" s="194">
        <v>20</v>
      </c>
      <c r="AA167" s="80">
        <f t="shared" si="168"/>
        <v>2.8000000000000007</v>
      </c>
      <c r="AB167" s="80">
        <f t="shared" si="164"/>
        <v>739.68174660281579</v>
      </c>
      <c r="AC167" s="194">
        <v>19.36</v>
      </c>
      <c r="AD167" s="80">
        <f t="shared" si="143"/>
        <v>1.1999999999999993</v>
      </c>
      <c r="AE167" s="80">
        <f t="shared" si="165"/>
        <v>317.00646282977794</v>
      </c>
      <c r="AF167" s="194">
        <v>246.9</v>
      </c>
      <c r="AG167" s="80">
        <f t="shared" si="159"/>
        <v>-0.30000000000001137</v>
      </c>
      <c r="AH167" s="80">
        <f t="shared" si="144"/>
        <v>-79.251615707447527</v>
      </c>
      <c r="AI167" s="194">
        <v>157.19999999999999</v>
      </c>
      <c r="AJ167" s="80">
        <f t="shared" si="153"/>
        <v>0.60000000000002274</v>
      </c>
      <c r="AK167" s="80">
        <f>+CONVERT(AJ167,"m^3","gal")</f>
        <v>158.50323141489505</v>
      </c>
      <c r="AL167" s="194">
        <v>4.5</v>
      </c>
      <c r="AM167" s="80">
        <f t="shared" si="160"/>
        <v>3.12</v>
      </c>
      <c r="AN167" s="17">
        <f t="shared" si="167"/>
        <v>824.21680335742303</v>
      </c>
      <c r="AO167" s="235">
        <f t="shared" si="139"/>
        <v>0</v>
      </c>
      <c r="AP167" s="19"/>
    </row>
    <row r="168" spans="1:48">
      <c r="A168" s="15">
        <v>45092</v>
      </c>
      <c r="B168" s="194">
        <v>0</v>
      </c>
      <c r="C168" s="80">
        <f t="shared" si="154"/>
        <v>0</v>
      </c>
      <c r="D168" s="80">
        <f t="shared" si="132"/>
        <v>0</v>
      </c>
      <c r="E168" s="194">
        <v>97.79</v>
      </c>
      <c r="F168" s="80">
        <f t="shared" si="150"/>
        <v>0.46000000000000796</v>
      </c>
      <c r="G168" s="80">
        <f t="shared" si="161"/>
        <v>121.51914408475038</v>
      </c>
      <c r="H168" s="194">
        <v>288</v>
      </c>
      <c r="I168" s="80">
        <f t="shared" si="155"/>
        <v>0</v>
      </c>
      <c r="J168" s="80">
        <f t="shared" si="162"/>
        <v>0</v>
      </c>
      <c r="K168" s="194">
        <v>939.4</v>
      </c>
      <c r="L168" s="80">
        <f t="shared" si="156"/>
        <v>5.1000000000000227</v>
      </c>
      <c r="M168" s="80">
        <f t="shared" si="151"/>
        <v>1347.277467026563</v>
      </c>
      <c r="N168" s="194">
        <v>75.03</v>
      </c>
      <c r="O168" s="80">
        <f t="shared" si="157"/>
        <v>-26.050000000000004</v>
      </c>
      <c r="P168" s="80">
        <f t="shared" si="163"/>
        <v>-6881.6819639297673</v>
      </c>
      <c r="Q168" s="194">
        <v>5.93</v>
      </c>
      <c r="R168" s="80">
        <f t="shared" si="158"/>
        <v>1.6900000000000004</v>
      </c>
      <c r="S168" s="80">
        <f t="shared" si="152"/>
        <v>446.45076848527094</v>
      </c>
      <c r="T168" s="80"/>
      <c r="U168" s="80">
        <f t="shared" si="140"/>
        <v>0</v>
      </c>
      <c r="V168" s="215">
        <f t="shared" si="141"/>
        <v>0</v>
      </c>
      <c r="W168" s="185"/>
      <c r="X168" s="80"/>
      <c r="Y168" s="80">
        <f t="shared" si="142"/>
        <v>0</v>
      </c>
      <c r="Z168" s="194">
        <v>9.7799999999999994</v>
      </c>
      <c r="AA168" s="80">
        <f t="shared" si="168"/>
        <v>-10.220000000000001</v>
      </c>
      <c r="AB168" s="80">
        <f t="shared" si="164"/>
        <v>-2699.8383751002771</v>
      </c>
      <c r="AC168" s="194">
        <v>19.36</v>
      </c>
      <c r="AD168" s="80">
        <f t="shared" si="143"/>
        <v>0</v>
      </c>
      <c r="AE168" s="80">
        <f t="shared" si="165"/>
        <v>0</v>
      </c>
      <c r="AF168" s="186">
        <v>247.17</v>
      </c>
      <c r="AG168" s="80">
        <f t="shared" si="159"/>
        <v>-0.26999999999998181</v>
      </c>
      <c r="AH168" s="80">
        <f t="shared" si="144"/>
        <v>-71.326454136695276</v>
      </c>
      <c r="AI168" s="186">
        <v>148.94999999999999</v>
      </c>
      <c r="AJ168" s="80">
        <f t="shared" si="153"/>
        <v>8.25</v>
      </c>
      <c r="AK168" s="80">
        <f t="shared" si="166"/>
        <v>2179.4194319547246</v>
      </c>
      <c r="AL168" s="194">
        <v>8.06</v>
      </c>
      <c r="AM168" s="80">
        <f t="shared" si="160"/>
        <v>-3.5600000000000005</v>
      </c>
      <c r="AN168" s="17">
        <f t="shared" si="167"/>
        <v>-940.45250639500853</v>
      </c>
      <c r="AO168" s="235">
        <f t="shared" si="139"/>
        <v>0</v>
      </c>
      <c r="AP168" s="19"/>
    </row>
    <row r="169" spans="1:48">
      <c r="A169" s="15">
        <v>45093</v>
      </c>
      <c r="B169" s="194">
        <v>0</v>
      </c>
      <c r="C169" s="80">
        <f t="shared" si="154"/>
        <v>0</v>
      </c>
      <c r="D169" s="80">
        <f t="shared" si="132"/>
        <v>0</v>
      </c>
      <c r="E169" s="194">
        <v>99.18</v>
      </c>
      <c r="F169" s="80">
        <f t="shared" si="150"/>
        <v>1.3900000000000006</v>
      </c>
      <c r="G169" s="80">
        <f t="shared" si="161"/>
        <v>367.19915277782644</v>
      </c>
      <c r="H169" s="194">
        <v>288</v>
      </c>
      <c r="I169" s="80">
        <f t="shared" si="155"/>
        <v>0</v>
      </c>
      <c r="J169" s="80">
        <f t="shared" si="162"/>
        <v>0</v>
      </c>
      <c r="K169" s="194">
        <v>964.6</v>
      </c>
      <c r="L169" s="80">
        <f>IF(K169="",0,K168-K169)</f>
        <v>-25.200000000000045</v>
      </c>
      <c r="M169" s="80">
        <f t="shared" si="151"/>
        <v>-6657.1357194253515</v>
      </c>
      <c r="N169" s="194">
        <v>91.37</v>
      </c>
      <c r="O169" s="80">
        <f t="shared" si="157"/>
        <v>-16.340000000000003</v>
      </c>
      <c r="P169" s="80">
        <f t="shared" si="163"/>
        <v>-4316.5713355321459</v>
      </c>
      <c r="Q169" s="194">
        <v>5.91</v>
      </c>
      <c r="R169" s="80">
        <f t="shared" si="158"/>
        <v>1.9999999999999574E-2</v>
      </c>
      <c r="S169" s="80">
        <f t="shared" si="152"/>
        <v>5.2834410471628557</v>
      </c>
      <c r="T169" s="80"/>
      <c r="U169" s="80">
        <f t="shared" si="140"/>
        <v>0</v>
      </c>
      <c r="V169" s="215">
        <f t="shared" si="141"/>
        <v>0</v>
      </c>
      <c r="W169" s="185"/>
      <c r="X169" s="80"/>
      <c r="Y169" s="80">
        <f t="shared" si="142"/>
        <v>0</v>
      </c>
      <c r="Z169" s="194">
        <v>18.010000000000002</v>
      </c>
      <c r="AA169" s="80">
        <f t="shared" si="168"/>
        <v>8.2300000000000022</v>
      </c>
      <c r="AB169" s="80">
        <f t="shared" si="164"/>
        <v>2174.1359909075618</v>
      </c>
      <c r="AC169" s="194">
        <v>17.32</v>
      </c>
      <c r="AD169" s="80">
        <f t="shared" si="143"/>
        <v>-2.0399999999999991</v>
      </c>
      <c r="AE169" s="80">
        <f t="shared" si="165"/>
        <v>-538.91098681062249</v>
      </c>
      <c r="AF169" s="194">
        <v>247.02</v>
      </c>
      <c r="AG169" s="80">
        <f t="shared" si="159"/>
        <v>0.14999999999997726</v>
      </c>
      <c r="AH169" s="80">
        <f t="shared" si="144"/>
        <v>39.62580785371626</v>
      </c>
      <c r="AI169" s="194">
        <v>173.94</v>
      </c>
      <c r="AJ169" s="80">
        <f t="shared" si="153"/>
        <v>-24.990000000000009</v>
      </c>
      <c r="AK169" s="80">
        <f t="shared" si="166"/>
        <v>-6601.6595884301314</v>
      </c>
      <c r="AL169" s="194">
        <v>3.56</v>
      </c>
      <c r="AM169" s="80">
        <f t="shared" si="160"/>
        <v>4.5</v>
      </c>
      <c r="AN169" s="17">
        <f t="shared" si="167"/>
        <v>1188.7742356116678</v>
      </c>
      <c r="AO169" s="235">
        <f t="shared" si="139"/>
        <v>7544.7538153487194</v>
      </c>
      <c r="AP169" s="19">
        <v>28.56</v>
      </c>
      <c r="AT169" s="229"/>
      <c r="AU169" s="4"/>
      <c r="AV169" s="114"/>
    </row>
    <row r="170" spans="1:48">
      <c r="A170" s="15">
        <v>45094</v>
      </c>
      <c r="B170" s="194">
        <v>0</v>
      </c>
      <c r="C170" s="80">
        <f t="shared" si="154"/>
        <v>0</v>
      </c>
      <c r="D170" s="80">
        <f t="shared" si="132"/>
        <v>0</v>
      </c>
      <c r="E170" s="194">
        <v>100.69</v>
      </c>
      <c r="F170" s="80">
        <f t="shared" si="150"/>
        <v>1.5099999999999909</v>
      </c>
      <c r="G170" s="80">
        <f t="shared" si="161"/>
        <v>398.89979906080174</v>
      </c>
      <c r="H170" s="194">
        <v>288</v>
      </c>
      <c r="I170" s="80">
        <f t="shared" si="155"/>
        <v>0</v>
      </c>
      <c r="J170" s="80">
        <f t="shared" si="162"/>
        <v>0</v>
      </c>
      <c r="K170" s="194">
        <v>963.4</v>
      </c>
      <c r="L170" s="80">
        <f>IF(K170="",0,K169-K170)</f>
        <v>1.2000000000000455</v>
      </c>
      <c r="M170" s="80">
        <f t="shared" si="151"/>
        <v>317.00646282979011</v>
      </c>
      <c r="N170" s="194">
        <v>84.31</v>
      </c>
      <c r="O170" s="80">
        <f t="shared" si="157"/>
        <v>7.0600000000000023</v>
      </c>
      <c r="P170" s="80">
        <f t="shared" si="163"/>
        <v>1865.0546896485284</v>
      </c>
      <c r="Q170" s="194">
        <v>5.91</v>
      </c>
      <c r="R170" s="80">
        <f t="shared" si="158"/>
        <v>0</v>
      </c>
      <c r="S170" s="80">
        <f t="shared" si="152"/>
        <v>0</v>
      </c>
      <c r="T170" s="80"/>
      <c r="U170" s="80">
        <f t="shared" si="140"/>
        <v>0</v>
      </c>
      <c r="V170" s="215">
        <f t="shared" si="141"/>
        <v>0</v>
      </c>
      <c r="W170" s="185"/>
      <c r="X170" s="80"/>
      <c r="Y170" s="80">
        <f t="shared" si="142"/>
        <v>0</v>
      </c>
      <c r="Z170" s="194">
        <v>18.010000000000002</v>
      </c>
      <c r="AA170" s="80">
        <f t="shared" si="168"/>
        <v>0</v>
      </c>
      <c r="AB170" s="80">
        <f t="shared" si="164"/>
        <v>0</v>
      </c>
      <c r="AC170" s="194">
        <v>18.22</v>
      </c>
      <c r="AD170" s="80">
        <f t="shared" si="143"/>
        <v>0.89999999999999858</v>
      </c>
      <c r="AE170" s="80">
        <f t="shared" si="165"/>
        <v>237.75484712233322</v>
      </c>
      <c r="AF170" s="194">
        <v>244.68</v>
      </c>
      <c r="AG170" s="80">
        <f t="shared" si="159"/>
        <v>2.3400000000000034</v>
      </c>
      <c r="AH170" s="80">
        <f t="shared" si="144"/>
        <v>618.1626025180683</v>
      </c>
      <c r="AI170" s="194">
        <v>165.66</v>
      </c>
      <c r="AJ170" s="80">
        <f t="shared" si="153"/>
        <v>8.2800000000000011</v>
      </c>
      <c r="AK170" s="80">
        <f t="shared" si="166"/>
        <v>2187.3445935254695</v>
      </c>
      <c r="AL170" s="194">
        <v>5.6</v>
      </c>
      <c r="AM170" s="80">
        <f t="shared" si="160"/>
        <v>-2.0399999999999996</v>
      </c>
      <c r="AN170" s="17">
        <f t="shared" si="167"/>
        <v>-538.91098681062272</v>
      </c>
      <c r="AO170" s="235">
        <f t="shared" si="139"/>
        <v>0</v>
      </c>
      <c r="AP170" s="19"/>
    </row>
    <row r="171" spans="1:48">
      <c r="A171" s="15">
        <v>45095</v>
      </c>
      <c r="B171" s="194">
        <v>0</v>
      </c>
      <c r="C171" s="80">
        <f t="shared" si="154"/>
        <v>0</v>
      </c>
      <c r="D171" s="80">
        <f t="shared" si="132"/>
        <v>0</v>
      </c>
      <c r="E171" s="194">
        <v>102.5</v>
      </c>
      <c r="F171" s="80">
        <f t="shared" si="150"/>
        <v>1.8100000000000023</v>
      </c>
      <c r="G171" s="80">
        <f t="shared" si="161"/>
        <v>478.15141476824925</v>
      </c>
      <c r="H171" s="194">
        <v>288</v>
      </c>
      <c r="I171" s="80">
        <f t="shared" si="155"/>
        <v>0</v>
      </c>
      <c r="J171" s="80">
        <f t="shared" si="162"/>
        <v>0</v>
      </c>
      <c r="K171" s="194">
        <v>961.8</v>
      </c>
      <c r="L171" s="80">
        <f t="shared" si="156"/>
        <v>1.6000000000000227</v>
      </c>
      <c r="M171" s="80">
        <f t="shared" si="151"/>
        <v>422.67528377304347</v>
      </c>
      <c r="N171" s="194">
        <v>77.47</v>
      </c>
      <c r="O171" s="80">
        <f t="shared" si="157"/>
        <v>6.8400000000000034</v>
      </c>
      <c r="P171" s="80">
        <f t="shared" si="163"/>
        <v>1806.9368381297361</v>
      </c>
      <c r="Q171" s="194">
        <v>5.91</v>
      </c>
      <c r="R171" s="80">
        <f t="shared" si="158"/>
        <v>0</v>
      </c>
      <c r="S171" s="80">
        <f t="shared" si="152"/>
        <v>0</v>
      </c>
      <c r="T171" s="80"/>
      <c r="U171" s="80">
        <f t="shared" si="140"/>
        <v>0</v>
      </c>
      <c r="V171" s="215">
        <f t="shared" si="141"/>
        <v>0</v>
      </c>
      <c r="W171" s="185"/>
      <c r="X171" s="80"/>
      <c r="Y171" s="80">
        <f t="shared" si="142"/>
        <v>0</v>
      </c>
      <c r="Z171" s="194">
        <v>18.010000000000002</v>
      </c>
      <c r="AA171" s="80">
        <f t="shared" si="168"/>
        <v>0</v>
      </c>
      <c r="AB171" s="80">
        <f t="shared" si="164"/>
        <v>0</v>
      </c>
      <c r="AC171" s="194">
        <v>17.170000000000002</v>
      </c>
      <c r="AD171" s="80">
        <f t="shared" si="143"/>
        <v>-1.0499999999999972</v>
      </c>
      <c r="AE171" s="80">
        <f t="shared" si="165"/>
        <v>-277.3806549760551</v>
      </c>
      <c r="AF171" s="194">
        <v>245.37</v>
      </c>
      <c r="AG171" s="80">
        <f t="shared" si="159"/>
        <v>-0.68999999999999773</v>
      </c>
      <c r="AH171" s="80">
        <f t="shared" si="144"/>
        <v>-182.27871612712181</v>
      </c>
      <c r="AI171" s="194">
        <v>160.68</v>
      </c>
      <c r="AJ171" s="80">
        <f t="shared" si="153"/>
        <v>4.9799999999999898</v>
      </c>
      <c r="AK171" s="80">
        <f t="shared" si="166"/>
        <v>1315.5768207435765</v>
      </c>
      <c r="AL171" s="194">
        <v>7.45</v>
      </c>
      <c r="AM171" s="80">
        <f t="shared" si="160"/>
        <v>-1.8500000000000005</v>
      </c>
      <c r="AN171" s="17">
        <f>+CONVERT(AM171,"m^3","gal")</f>
        <v>-488.71829686257468</v>
      </c>
      <c r="AO171" s="235">
        <f t="shared" si="139"/>
        <v>0</v>
      </c>
      <c r="AP171" s="19"/>
      <c r="AR171" s="188"/>
      <c r="AU171" s="346"/>
    </row>
    <row r="172" spans="1:48">
      <c r="A172" s="15">
        <v>45096</v>
      </c>
      <c r="B172" s="194">
        <v>0</v>
      </c>
      <c r="C172" s="80">
        <f t="shared" si="154"/>
        <v>0</v>
      </c>
      <c r="D172" s="80">
        <f t="shared" si="132"/>
        <v>0</v>
      </c>
      <c r="E172" s="194">
        <v>104</v>
      </c>
      <c r="F172" s="80">
        <f t="shared" si="150"/>
        <v>1.5</v>
      </c>
      <c r="G172" s="80">
        <f t="shared" si="161"/>
        <v>396.25807853722262</v>
      </c>
      <c r="H172" s="194">
        <v>288</v>
      </c>
      <c r="I172" s="80">
        <f t="shared" si="155"/>
        <v>0</v>
      </c>
      <c r="J172" s="80">
        <f t="shared" si="162"/>
        <v>0</v>
      </c>
      <c r="K172" s="194">
        <v>960.4</v>
      </c>
      <c r="L172" s="80">
        <f t="shared" si="156"/>
        <v>1.3999999999999773</v>
      </c>
      <c r="M172" s="80">
        <f t="shared" si="151"/>
        <v>369.84087330140181</v>
      </c>
      <c r="N172" s="194">
        <v>70.599999999999994</v>
      </c>
      <c r="O172" s="80">
        <f t="shared" si="157"/>
        <v>6.8700000000000045</v>
      </c>
      <c r="P172" s="80">
        <f t="shared" si="163"/>
        <v>1814.861999700481</v>
      </c>
      <c r="Q172" s="194">
        <v>5.91</v>
      </c>
      <c r="R172" s="80">
        <f t="shared" si="158"/>
        <v>0</v>
      </c>
      <c r="S172" s="80">
        <f t="shared" si="152"/>
        <v>0</v>
      </c>
      <c r="T172" s="80"/>
      <c r="U172" s="80">
        <f t="shared" si="140"/>
        <v>0</v>
      </c>
      <c r="V172" s="215">
        <f t="shared" si="141"/>
        <v>0</v>
      </c>
      <c r="W172" s="185"/>
      <c r="X172" s="80"/>
      <c r="Y172" s="80">
        <f t="shared" si="142"/>
        <v>0</v>
      </c>
      <c r="Z172" s="194">
        <v>18.010000000000002</v>
      </c>
      <c r="AA172" s="80">
        <f t="shared" si="168"/>
        <v>0</v>
      </c>
      <c r="AB172" s="80">
        <f t="shared" si="164"/>
        <v>0</v>
      </c>
      <c r="AC172" s="194">
        <v>18.100000000000001</v>
      </c>
      <c r="AD172" s="80">
        <f t="shared" si="143"/>
        <v>0.92999999999999972</v>
      </c>
      <c r="AE172" s="80">
        <f t="shared" si="165"/>
        <v>245.68000869307798</v>
      </c>
      <c r="AF172" s="194">
        <v>245.07</v>
      </c>
      <c r="AG172" s="80">
        <f t="shared" si="159"/>
        <v>0.30000000000001137</v>
      </c>
      <c r="AH172" s="80">
        <f t="shared" si="144"/>
        <v>79.251615707447527</v>
      </c>
      <c r="AI172" s="194">
        <v>153.66</v>
      </c>
      <c r="AJ172" s="80">
        <f t="shared" si="153"/>
        <v>7.0200000000000102</v>
      </c>
      <c r="AK172" s="80">
        <f t="shared" si="166"/>
        <v>1854.4878075542047</v>
      </c>
      <c r="AL172" s="194">
        <v>8.27</v>
      </c>
      <c r="AM172" s="80">
        <f t="shared" si="160"/>
        <v>-0.8199999999999994</v>
      </c>
      <c r="AN172" s="17">
        <f t="shared" si="167"/>
        <v>-216.62108293368155</v>
      </c>
      <c r="AO172" s="235">
        <f t="shared" si="139"/>
        <v>0</v>
      </c>
      <c r="AP172" s="19"/>
      <c r="AR172" s="188"/>
      <c r="AT172" s="3"/>
      <c r="AU172" s="3"/>
      <c r="AV172" s="3"/>
    </row>
    <row r="173" spans="1:48">
      <c r="A173" s="15">
        <v>45097</v>
      </c>
      <c r="B173" s="194">
        <v>0</v>
      </c>
      <c r="C173" s="80">
        <f t="shared" si="154"/>
        <v>0</v>
      </c>
      <c r="D173" s="80">
        <f t="shared" si="132"/>
        <v>0</v>
      </c>
      <c r="E173" s="194">
        <v>105.76</v>
      </c>
      <c r="F173" s="80">
        <f t="shared" si="150"/>
        <v>1.7600000000000051</v>
      </c>
      <c r="G173" s="80">
        <f t="shared" si="161"/>
        <v>464.94281215034255</v>
      </c>
      <c r="H173" s="194">
        <v>288</v>
      </c>
      <c r="I173" s="80">
        <f t="shared" si="155"/>
        <v>0</v>
      </c>
      <c r="J173" s="80">
        <f t="shared" si="162"/>
        <v>0</v>
      </c>
      <c r="K173" s="194">
        <v>958.9</v>
      </c>
      <c r="L173" s="80">
        <f t="shared" si="156"/>
        <v>1.5</v>
      </c>
      <c r="M173" s="80">
        <f t="shared" si="151"/>
        <v>396.25807853722262</v>
      </c>
      <c r="N173" s="194">
        <v>64.150000000000006</v>
      </c>
      <c r="O173" s="80">
        <f t="shared" si="157"/>
        <v>6.4499999999999886</v>
      </c>
      <c r="P173" s="80">
        <f t="shared" si="163"/>
        <v>1703.9097377100545</v>
      </c>
      <c r="Q173" s="194">
        <v>27.83</v>
      </c>
      <c r="R173" s="80">
        <f>IF(Q173="",0,Q172-Q173)</f>
        <v>-21.919999999999998</v>
      </c>
      <c r="S173" s="80">
        <f t="shared" si="152"/>
        <v>-5790.6513876906129</v>
      </c>
      <c r="T173" s="80"/>
      <c r="U173" s="80">
        <f t="shared" si="140"/>
        <v>0</v>
      </c>
      <c r="V173" s="215">
        <f t="shared" si="141"/>
        <v>22.659474939024001</v>
      </c>
      <c r="W173" s="185">
        <v>5986</v>
      </c>
      <c r="X173" s="80"/>
      <c r="Y173" s="80">
        <f t="shared" si="142"/>
        <v>0</v>
      </c>
      <c r="Z173" s="194">
        <v>27.83</v>
      </c>
      <c r="AA173" s="80">
        <f t="shared" si="168"/>
        <v>9.8199999999999967</v>
      </c>
      <c r="AB173" s="80">
        <f t="shared" si="164"/>
        <v>2594.1695541570166</v>
      </c>
      <c r="AC173" s="194">
        <v>3.89</v>
      </c>
      <c r="AD173" s="80">
        <f t="shared" si="143"/>
        <v>-14.21</v>
      </c>
      <c r="AE173" s="80">
        <f t="shared" si="165"/>
        <v>-3753.8848640092892</v>
      </c>
      <c r="AF173" s="194">
        <v>245.07</v>
      </c>
      <c r="AG173" s="80">
        <f t="shared" si="159"/>
        <v>0</v>
      </c>
      <c r="AH173" s="80">
        <f t="shared" si="144"/>
        <v>0</v>
      </c>
      <c r="AI173" s="194">
        <v>153.06</v>
      </c>
      <c r="AJ173" s="80">
        <f t="shared" si="153"/>
        <v>0.59999999999999432</v>
      </c>
      <c r="AK173" s="80">
        <f t="shared" si="166"/>
        <v>158.50323141488755</v>
      </c>
      <c r="AL173" s="194">
        <v>4.9000000000000004</v>
      </c>
      <c r="AM173" s="80">
        <f t="shared" si="160"/>
        <v>3.3699999999999992</v>
      </c>
      <c r="AN173" s="17">
        <f t="shared" si="167"/>
        <v>890.25981644695992</v>
      </c>
      <c r="AO173" s="235">
        <f t="shared" si="139"/>
        <v>0</v>
      </c>
      <c r="AP173" s="19"/>
      <c r="AR173" s="188"/>
      <c r="AT173" s="229"/>
      <c r="AU173" s="4"/>
      <c r="AV173" s="114"/>
    </row>
    <row r="174" spans="1:48">
      <c r="A174" s="15">
        <v>45098</v>
      </c>
      <c r="B174" s="194">
        <v>0</v>
      </c>
      <c r="C174" s="80">
        <f t="shared" si="154"/>
        <v>0</v>
      </c>
      <c r="D174" s="80">
        <f t="shared" si="132"/>
        <v>0</v>
      </c>
      <c r="E174" s="194">
        <v>107.52</v>
      </c>
      <c r="F174" s="80">
        <f t="shared" si="150"/>
        <v>1.7599999999999909</v>
      </c>
      <c r="G174" s="80">
        <f t="shared" si="161"/>
        <v>464.9428121503388</v>
      </c>
      <c r="H174" s="194">
        <v>288</v>
      </c>
      <c r="I174" s="80">
        <f t="shared" si="155"/>
        <v>0</v>
      </c>
      <c r="J174" s="80">
        <f t="shared" si="162"/>
        <v>0</v>
      </c>
      <c r="K174" s="194">
        <v>957.6</v>
      </c>
      <c r="L174" s="80">
        <f t="shared" si="156"/>
        <v>1.2999999999999545</v>
      </c>
      <c r="M174" s="80">
        <f t="shared" si="151"/>
        <v>343.42366806558096</v>
      </c>
      <c r="N174" s="194">
        <v>57.5</v>
      </c>
      <c r="O174" s="80">
        <f t="shared" si="157"/>
        <v>6.6500000000000057</v>
      </c>
      <c r="P174" s="80">
        <f t="shared" si="163"/>
        <v>1756.7441481816884</v>
      </c>
      <c r="Q174" s="194">
        <v>25.83</v>
      </c>
      <c r="R174" s="80">
        <f t="shared" si="158"/>
        <v>2</v>
      </c>
      <c r="S174" s="80">
        <f t="shared" si="152"/>
        <v>528.3441047162969</v>
      </c>
      <c r="T174" s="80"/>
      <c r="U174" s="80">
        <f t="shared" si="140"/>
        <v>0</v>
      </c>
      <c r="V174" s="215">
        <f t="shared" si="141"/>
        <v>0</v>
      </c>
      <c r="W174" s="185"/>
      <c r="X174" s="80"/>
      <c r="Y174" s="80">
        <f t="shared" si="142"/>
        <v>0</v>
      </c>
      <c r="Z174" s="194">
        <v>3.88</v>
      </c>
      <c r="AA174" s="80">
        <f t="shared" si="168"/>
        <v>-23.95</v>
      </c>
      <c r="AB174" s="80">
        <f t="shared" si="164"/>
        <v>-6326.9206539776551</v>
      </c>
      <c r="AC174" s="194">
        <v>3.64</v>
      </c>
      <c r="AD174" s="80">
        <f t="shared" si="143"/>
        <v>-0.25</v>
      </c>
      <c r="AE174" s="80">
        <f t="shared" si="165"/>
        <v>-66.043013089537112</v>
      </c>
      <c r="AF174" s="194">
        <v>244.8</v>
      </c>
      <c r="AG174" s="80">
        <f t="shared" si="159"/>
        <v>0.26999999999998181</v>
      </c>
      <c r="AH174" s="80">
        <f t="shared" si="144"/>
        <v>71.326454136695276</v>
      </c>
      <c r="AI174" s="194">
        <v>145.19999999999999</v>
      </c>
      <c r="AJ174" s="80">
        <f t="shared" si="153"/>
        <v>7.8600000000000136</v>
      </c>
      <c r="AK174" s="80">
        <f t="shared" si="166"/>
        <v>2076.3923315350503</v>
      </c>
      <c r="AL174" s="194">
        <v>9.48</v>
      </c>
      <c r="AM174" s="80">
        <f t="shared" si="160"/>
        <v>-4.58</v>
      </c>
      <c r="AN174" s="17">
        <f t="shared" si="167"/>
        <v>-1209.9079998003199</v>
      </c>
      <c r="AO174" s="235">
        <f t="shared" si="139"/>
        <v>0</v>
      </c>
      <c r="AP174" s="19"/>
      <c r="AT174" s="229"/>
      <c r="AU174" s="4"/>
      <c r="AV174" s="114"/>
    </row>
    <row r="175" spans="1:48">
      <c r="A175" s="15">
        <v>45099</v>
      </c>
      <c r="B175" s="194">
        <v>0</v>
      </c>
      <c r="C175" s="80">
        <f t="shared" si="154"/>
        <v>0</v>
      </c>
      <c r="D175" s="80">
        <f t="shared" si="132"/>
        <v>0</v>
      </c>
      <c r="E175" s="194">
        <v>109.6</v>
      </c>
      <c r="F175" s="80">
        <f t="shared" si="150"/>
        <v>2.0799999999999983</v>
      </c>
      <c r="G175" s="80">
        <f t="shared" si="161"/>
        <v>549.4778689049482</v>
      </c>
      <c r="H175" s="194">
        <v>288</v>
      </c>
      <c r="I175" s="80">
        <f t="shared" si="155"/>
        <v>0</v>
      </c>
      <c r="J175" s="80">
        <f t="shared" si="162"/>
        <v>0</v>
      </c>
      <c r="K175" s="194">
        <v>955.7</v>
      </c>
      <c r="L175" s="80">
        <f t="shared" si="156"/>
        <v>1.8999999999999773</v>
      </c>
      <c r="M175" s="80">
        <f t="shared" si="151"/>
        <v>501.92689948047598</v>
      </c>
      <c r="N175" s="194">
        <v>88.82</v>
      </c>
      <c r="O175" s="80">
        <f t="shared" si="157"/>
        <v>-31.319999999999993</v>
      </c>
      <c r="P175" s="80">
        <f t="shared" si="163"/>
        <v>-8273.8686798572071</v>
      </c>
      <c r="Q175" s="194">
        <v>25.83</v>
      </c>
      <c r="R175" s="80">
        <f t="shared" si="158"/>
        <v>0</v>
      </c>
      <c r="S175" s="80">
        <f t="shared" si="152"/>
        <v>0</v>
      </c>
      <c r="T175" s="80"/>
      <c r="U175" s="80">
        <f t="shared" si="140"/>
        <v>0</v>
      </c>
      <c r="V175" s="215">
        <f t="shared" si="141"/>
        <v>0</v>
      </c>
      <c r="W175" s="185"/>
      <c r="X175" s="80"/>
      <c r="Y175" s="80">
        <f t="shared" si="142"/>
        <v>0</v>
      </c>
      <c r="Z175" s="194">
        <v>0.38</v>
      </c>
      <c r="AA175" s="80">
        <f t="shared" si="168"/>
        <v>-3.5</v>
      </c>
      <c r="AB175" s="80">
        <f t="shared" si="164"/>
        <v>-924.60218325351946</v>
      </c>
      <c r="AC175" s="194">
        <v>1.44</v>
      </c>
      <c r="AD175" s="80">
        <f t="shared" si="143"/>
        <v>-2.2000000000000002</v>
      </c>
      <c r="AE175" s="80">
        <f t="shared" si="165"/>
        <v>-581.17851518792656</v>
      </c>
      <c r="AF175" s="194">
        <v>245.4</v>
      </c>
      <c r="AG175" s="80">
        <f t="shared" si="159"/>
        <v>-0.59999999999999432</v>
      </c>
      <c r="AH175" s="80">
        <f t="shared" si="144"/>
        <v>-158.50323141488755</v>
      </c>
      <c r="AI175" s="194">
        <v>177.6</v>
      </c>
      <c r="AJ175" s="80">
        <f t="shared" si="153"/>
        <v>-32.400000000000006</v>
      </c>
      <c r="AK175" s="80">
        <f t="shared" si="166"/>
        <v>-8559.1744964040117</v>
      </c>
      <c r="AL175" s="194">
        <v>4.5999999999999996</v>
      </c>
      <c r="AM175" s="80">
        <f t="shared" si="160"/>
        <v>4.8800000000000008</v>
      </c>
      <c r="AN175" s="17">
        <f t="shared" si="167"/>
        <v>1289.1596155077646</v>
      </c>
      <c r="AO175" s="235">
        <f t="shared" si="139"/>
        <v>8559.1744964040081</v>
      </c>
      <c r="AP175" s="19">
        <v>32.4</v>
      </c>
      <c r="AT175" s="229"/>
      <c r="AU175" s="4"/>
      <c r="AV175" s="114"/>
    </row>
    <row r="176" spans="1:48">
      <c r="A176" s="15">
        <v>45100</v>
      </c>
      <c r="B176" s="194">
        <v>0</v>
      </c>
      <c r="C176" s="80">
        <f t="shared" si="154"/>
        <v>0</v>
      </c>
      <c r="D176" s="80">
        <f t="shared" si="132"/>
        <v>0</v>
      </c>
      <c r="E176" s="194">
        <v>111.36</v>
      </c>
      <c r="F176" s="80">
        <f t="shared" si="150"/>
        <v>1.7600000000000051</v>
      </c>
      <c r="G176" s="80">
        <f t="shared" si="161"/>
        <v>464.94281215034255</v>
      </c>
      <c r="H176" s="194">
        <v>288</v>
      </c>
      <c r="I176" s="80">
        <f t="shared" si="155"/>
        <v>0</v>
      </c>
      <c r="J176" s="80">
        <f t="shared" si="162"/>
        <v>0</v>
      </c>
      <c r="K176" s="194">
        <v>954.9</v>
      </c>
      <c r="L176" s="80">
        <f t="shared" si="156"/>
        <v>0.80000000000006821</v>
      </c>
      <c r="M176" s="80">
        <f t="shared" si="151"/>
        <v>211.33764188653674</v>
      </c>
      <c r="N176" s="194">
        <v>81.89</v>
      </c>
      <c r="O176" s="80">
        <f t="shared" si="157"/>
        <v>6.9299999999999926</v>
      </c>
      <c r="P176" s="80">
        <f t="shared" si="163"/>
        <v>1830.7123228419666</v>
      </c>
      <c r="Q176" s="194">
        <v>25.83</v>
      </c>
      <c r="R176" s="80">
        <f t="shared" si="158"/>
        <v>0</v>
      </c>
      <c r="S176" s="80">
        <f t="shared" si="152"/>
        <v>0</v>
      </c>
      <c r="T176" s="80"/>
      <c r="U176" s="80">
        <f t="shared" si="140"/>
        <v>0</v>
      </c>
      <c r="V176" s="215">
        <f t="shared" si="141"/>
        <v>0</v>
      </c>
      <c r="W176" s="185"/>
      <c r="X176" s="80"/>
      <c r="Y176" s="80">
        <f t="shared" si="142"/>
        <v>0</v>
      </c>
      <c r="Z176" s="194">
        <v>0.36</v>
      </c>
      <c r="AA176" s="80">
        <f t="shared" si="168"/>
        <v>-2.0000000000000018E-2</v>
      </c>
      <c r="AB176" s="80">
        <f t="shared" si="164"/>
        <v>-5.2834410471629729</v>
      </c>
      <c r="AC176" s="194">
        <v>2.34</v>
      </c>
      <c r="AD176" s="80">
        <f t="shared" si="143"/>
        <v>0.89999999999999991</v>
      </c>
      <c r="AE176" s="80">
        <f t="shared" si="165"/>
        <v>237.75484712233356</v>
      </c>
      <c r="AF176" s="194">
        <v>244.5</v>
      </c>
      <c r="AG176" s="80">
        <f t="shared" si="159"/>
        <v>0.90000000000000568</v>
      </c>
      <c r="AH176" s="80">
        <f t="shared" si="144"/>
        <v>237.75484712233509</v>
      </c>
      <c r="AI176" s="194">
        <v>169.8</v>
      </c>
      <c r="AJ176" s="80">
        <f t="shared" si="153"/>
        <v>7.7999999999999829</v>
      </c>
      <c r="AK176" s="80">
        <f t="shared" si="166"/>
        <v>2060.5420083935533</v>
      </c>
      <c r="AL176" s="194">
        <v>8.1999999999999993</v>
      </c>
      <c r="AM176" s="80">
        <f t="shared" si="160"/>
        <v>-3.5999999999999996</v>
      </c>
      <c r="AN176" s="17">
        <f t="shared" si="167"/>
        <v>-951.01938848933423</v>
      </c>
      <c r="AO176" s="235">
        <f t="shared" si="139"/>
        <v>0</v>
      </c>
      <c r="AP176" s="19"/>
      <c r="AT176" s="229"/>
      <c r="AU176" s="4"/>
      <c r="AV176" s="114"/>
    </row>
    <row r="177" spans="1:48">
      <c r="A177" s="15">
        <v>45101</v>
      </c>
      <c r="B177" s="194">
        <v>0</v>
      </c>
      <c r="C177" s="80">
        <f t="shared" si="154"/>
        <v>0</v>
      </c>
      <c r="D177" s="80">
        <f t="shared" si="132"/>
        <v>0</v>
      </c>
      <c r="E177" s="194">
        <v>113.34</v>
      </c>
      <c r="F177" s="80">
        <f t="shared" si="150"/>
        <v>1.980000000000004</v>
      </c>
      <c r="G177" s="80">
        <f t="shared" si="161"/>
        <v>523.06066366913501</v>
      </c>
      <c r="H177" s="194">
        <v>288</v>
      </c>
      <c r="I177" s="80">
        <f t="shared" si="155"/>
        <v>0</v>
      </c>
      <c r="J177" s="80">
        <f t="shared" si="162"/>
        <v>0</v>
      </c>
      <c r="K177" s="194">
        <v>940.6</v>
      </c>
      <c r="L177" s="80">
        <f t="shared" si="156"/>
        <v>14.299999999999955</v>
      </c>
      <c r="M177" s="80">
        <f t="shared" si="151"/>
        <v>3777.6603487215102</v>
      </c>
      <c r="N177" s="194">
        <v>75.34</v>
      </c>
      <c r="O177" s="80">
        <f t="shared" si="157"/>
        <v>6.5499999999999972</v>
      </c>
      <c r="P177" s="80">
        <f t="shared" si="163"/>
        <v>1730.3269429458715</v>
      </c>
      <c r="Q177" s="194">
        <v>25.83</v>
      </c>
      <c r="R177" s="80">
        <f t="shared" si="158"/>
        <v>0</v>
      </c>
      <c r="S177" s="80">
        <f t="shared" si="152"/>
        <v>0</v>
      </c>
      <c r="T177" s="80"/>
      <c r="U177" s="80">
        <f t="shared" si="140"/>
        <v>0</v>
      </c>
      <c r="V177" s="215">
        <f t="shared" si="141"/>
        <v>0</v>
      </c>
      <c r="W177" s="185"/>
      <c r="X177" s="80"/>
      <c r="Y177" s="80">
        <f t="shared" si="142"/>
        <v>0</v>
      </c>
      <c r="Z177" s="194">
        <v>0.36</v>
      </c>
      <c r="AA177" s="80">
        <f t="shared" si="168"/>
        <v>0</v>
      </c>
      <c r="AB177" s="80">
        <f t="shared" si="164"/>
        <v>0</v>
      </c>
      <c r="AC177" s="194">
        <v>3.14</v>
      </c>
      <c r="AD177" s="80">
        <f t="shared" si="143"/>
        <v>0.80000000000000027</v>
      </c>
      <c r="AE177" s="80">
        <f t="shared" si="165"/>
        <v>211.33764188651881</v>
      </c>
      <c r="AF177" s="194">
        <v>244.41</v>
      </c>
      <c r="AG177" s="80">
        <f t="shared" si="159"/>
        <v>9.0000000000003411E-2</v>
      </c>
      <c r="AH177" s="80">
        <f t="shared" si="144"/>
        <v>23.77548471223426</v>
      </c>
      <c r="AI177" s="194">
        <v>168.84</v>
      </c>
      <c r="AJ177" s="80">
        <f t="shared" si="153"/>
        <v>0.96000000000000796</v>
      </c>
      <c r="AK177" s="80">
        <f t="shared" si="166"/>
        <v>253.60517026382459</v>
      </c>
      <c r="AL177" s="194">
        <v>5.1100000000000003</v>
      </c>
      <c r="AM177" s="80">
        <f t="shared" si="160"/>
        <v>3.089999999999999</v>
      </c>
      <c r="AN177" s="17">
        <f t="shared" si="167"/>
        <v>816.29164178667838</v>
      </c>
      <c r="AO177" s="235">
        <f t="shared" si="139"/>
        <v>0</v>
      </c>
      <c r="AP177" s="19"/>
      <c r="AT177" s="229"/>
      <c r="AU177" s="4"/>
      <c r="AV177" s="114"/>
    </row>
    <row r="178" spans="1:48">
      <c r="A178" s="15">
        <v>45102</v>
      </c>
      <c r="B178" s="194">
        <v>0</v>
      </c>
      <c r="C178" s="80">
        <f t="shared" si="154"/>
        <v>0</v>
      </c>
      <c r="D178" s="80">
        <f t="shared" si="132"/>
        <v>0</v>
      </c>
      <c r="E178" s="194">
        <v>115.07</v>
      </c>
      <c r="F178" s="80">
        <f t="shared" si="150"/>
        <v>1.7299999999999898</v>
      </c>
      <c r="G178" s="80">
        <f t="shared" si="161"/>
        <v>457.01765057959409</v>
      </c>
      <c r="H178" s="194">
        <v>288</v>
      </c>
      <c r="I178" s="80">
        <f t="shared" si="155"/>
        <v>0</v>
      </c>
      <c r="J178" s="80">
        <f t="shared" si="162"/>
        <v>0</v>
      </c>
      <c r="K178" s="194">
        <v>936.5</v>
      </c>
      <c r="L178" s="80">
        <f t="shared" si="156"/>
        <v>4.1000000000000227</v>
      </c>
      <c r="M178" s="80">
        <f t="shared" si="151"/>
        <v>1083.1054146684146</v>
      </c>
      <c r="N178" s="194">
        <v>68.290000000000006</v>
      </c>
      <c r="O178" s="80">
        <f t="shared" si="157"/>
        <v>7.0499999999999972</v>
      </c>
      <c r="P178" s="80">
        <f t="shared" si="163"/>
        <v>1862.4129691249457</v>
      </c>
      <c r="Q178" s="194">
        <v>25.79</v>
      </c>
      <c r="R178" s="80">
        <f t="shared" si="158"/>
        <v>3.9999999999999147E-2</v>
      </c>
      <c r="S178" s="80">
        <f t="shared" si="152"/>
        <v>10.566882094325711</v>
      </c>
      <c r="T178" s="80"/>
      <c r="U178" s="80">
        <f t="shared" si="140"/>
        <v>0</v>
      </c>
      <c r="V178" s="215">
        <f t="shared" si="141"/>
        <v>0</v>
      </c>
      <c r="W178" s="185"/>
      <c r="X178" s="80"/>
      <c r="Y178" s="80">
        <f t="shared" si="142"/>
        <v>0</v>
      </c>
      <c r="Z178" s="194">
        <v>0.33</v>
      </c>
      <c r="AA178" s="80">
        <f t="shared" si="168"/>
        <v>-2.9999999999999971E-2</v>
      </c>
      <c r="AB178" s="80">
        <f t="shared" si="164"/>
        <v>-7.9251615707444456</v>
      </c>
      <c r="AC178" s="194">
        <v>3.99</v>
      </c>
      <c r="AD178" s="80">
        <f t="shared" si="143"/>
        <v>0.85000000000000009</v>
      </c>
      <c r="AE178" s="80">
        <f t="shared" si="165"/>
        <v>224.5462445044262</v>
      </c>
      <c r="AF178" s="194">
        <v>244.17</v>
      </c>
      <c r="AG178" s="80">
        <f t="shared" si="159"/>
        <v>0.24000000000000909</v>
      </c>
      <c r="AH178" s="80">
        <f t="shared" si="144"/>
        <v>63.401292565958023</v>
      </c>
      <c r="AI178" s="194">
        <v>162.47999999999999</v>
      </c>
      <c r="AJ178" s="80">
        <f t="shared" si="153"/>
        <v>6.3600000000000136</v>
      </c>
      <c r="AK178" s="80">
        <f t="shared" si="166"/>
        <v>1680.1342529978276</v>
      </c>
      <c r="AL178" s="194">
        <v>8.09</v>
      </c>
      <c r="AM178" s="80">
        <f t="shared" si="160"/>
        <v>-2.9799999999999995</v>
      </c>
      <c r="AN178" s="17">
        <f t="shared" si="167"/>
        <v>-787.23271602728221</v>
      </c>
      <c r="AO178" s="235">
        <f t="shared" si="139"/>
        <v>0</v>
      </c>
      <c r="AP178" s="19"/>
      <c r="AT178" s="229"/>
      <c r="AU178" s="4"/>
      <c r="AV178" s="114"/>
    </row>
    <row r="179" spans="1:48">
      <c r="A179" s="15">
        <v>45103</v>
      </c>
      <c r="B179" s="194">
        <v>0</v>
      </c>
      <c r="C179" s="80">
        <f t="shared" si="154"/>
        <v>0</v>
      </c>
      <c r="D179" s="80">
        <f t="shared" si="132"/>
        <v>0</v>
      </c>
      <c r="E179" s="194">
        <v>116.99</v>
      </c>
      <c r="F179" s="80">
        <f t="shared" si="150"/>
        <v>1.9200000000000017</v>
      </c>
      <c r="G179" s="80">
        <f t="shared" si="161"/>
        <v>507.21034052764543</v>
      </c>
      <c r="H179" s="194">
        <v>288</v>
      </c>
      <c r="I179" s="80">
        <f t="shared" si="155"/>
        <v>0</v>
      </c>
      <c r="J179" s="80">
        <f t="shared" si="162"/>
        <v>0</v>
      </c>
      <c r="K179" s="194">
        <v>915.7</v>
      </c>
      <c r="L179" s="80">
        <f t="shared" si="156"/>
        <v>20.799999999999955</v>
      </c>
      <c r="M179" s="80">
        <f t="shared" si="151"/>
        <v>5494.7786890494754</v>
      </c>
      <c r="N179" s="194">
        <v>61.02</v>
      </c>
      <c r="O179" s="80">
        <f t="shared" si="157"/>
        <v>7.2700000000000031</v>
      </c>
      <c r="P179" s="80">
        <f t="shared" si="163"/>
        <v>1920.5308206437398</v>
      </c>
      <c r="Q179" s="194">
        <v>25.79</v>
      </c>
      <c r="R179" s="80">
        <f t="shared" si="158"/>
        <v>0</v>
      </c>
      <c r="S179" s="80">
        <f t="shared" si="152"/>
        <v>0</v>
      </c>
      <c r="T179" s="80"/>
      <c r="U179" s="80">
        <f t="shared" si="140"/>
        <v>0</v>
      </c>
      <c r="V179" s="215">
        <f t="shared" si="141"/>
        <v>0</v>
      </c>
      <c r="W179" s="185"/>
      <c r="X179" s="80"/>
      <c r="Y179" s="80">
        <f t="shared" si="142"/>
        <v>0</v>
      </c>
      <c r="Z179" s="194">
        <v>0.4</v>
      </c>
      <c r="AA179" s="80">
        <f t="shared" si="168"/>
        <v>7.0000000000000007E-2</v>
      </c>
      <c r="AB179" s="80">
        <f t="shared" si="164"/>
        <v>18.492043665070391</v>
      </c>
      <c r="AC179" s="194">
        <v>13.28</v>
      </c>
      <c r="AD179" s="80">
        <f t="shared" si="143"/>
        <v>9.2899999999999991</v>
      </c>
      <c r="AE179" s="80">
        <f t="shared" si="165"/>
        <v>2454.1583664071986</v>
      </c>
      <c r="AF179" s="194">
        <v>243.06</v>
      </c>
      <c r="AG179" s="80">
        <f t="shared" si="159"/>
        <v>1.1099999999999852</v>
      </c>
      <c r="AH179" s="80">
        <f t="shared" si="144"/>
        <v>293.23097811754087</v>
      </c>
      <c r="AI179" s="194">
        <v>160.16999999999999</v>
      </c>
      <c r="AJ179" s="80">
        <f t="shared" si="153"/>
        <v>2.3100000000000023</v>
      </c>
      <c r="AK179" s="80">
        <f t="shared" si="166"/>
        <v>610.23744094732342</v>
      </c>
      <c r="AL179" s="194">
        <v>3.32</v>
      </c>
      <c r="AM179" s="80">
        <f t="shared" si="160"/>
        <v>4.7699999999999996</v>
      </c>
      <c r="AN179" s="17">
        <f t="shared" si="167"/>
        <v>1260.100689748368</v>
      </c>
      <c r="AO179" s="235">
        <f t="shared" si="139"/>
        <v>0</v>
      </c>
      <c r="AP179" s="19"/>
      <c r="AT179" s="229"/>
      <c r="AU179" s="4"/>
      <c r="AV179" s="114"/>
    </row>
    <row r="180" spans="1:48">
      <c r="A180" s="15">
        <v>45104</v>
      </c>
      <c r="B180" s="194">
        <v>0</v>
      </c>
      <c r="C180" s="80">
        <f t="shared" si="154"/>
        <v>0</v>
      </c>
      <c r="D180" s="80">
        <f t="shared" si="132"/>
        <v>0</v>
      </c>
      <c r="E180" s="194">
        <v>119.07</v>
      </c>
      <c r="F180" s="80">
        <f t="shared" si="150"/>
        <v>2.0799999999999983</v>
      </c>
      <c r="G180" s="80">
        <f t="shared" si="161"/>
        <v>549.4778689049482</v>
      </c>
      <c r="H180" s="194">
        <v>288</v>
      </c>
      <c r="I180" s="80">
        <f t="shared" si="155"/>
        <v>0</v>
      </c>
      <c r="J180" s="80">
        <f t="shared" si="162"/>
        <v>0</v>
      </c>
      <c r="K180" s="194">
        <v>872.2</v>
      </c>
      <c r="L180" s="80">
        <f t="shared" si="156"/>
        <v>43.5</v>
      </c>
      <c r="M180" s="80">
        <f t="shared" si="151"/>
        <v>11491.484277579457</v>
      </c>
      <c r="N180" s="194">
        <v>54.47</v>
      </c>
      <c r="O180" s="80">
        <f t="shared" si="157"/>
        <v>6.5500000000000043</v>
      </c>
      <c r="P180" s="80">
        <f t="shared" si="163"/>
        <v>1730.3269429458733</v>
      </c>
      <c r="Q180" s="194">
        <v>25.79</v>
      </c>
      <c r="R180" s="80">
        <f t="shared" si="158"/>
        <v>0</v>
      </c>
      <c r="S180" s="80">
        <f t="shared" si="152"/>
        <v>0</v>
      </c>
      <c r="T180" s="80"/>
      <c r="U180" s="80">
        <f t="shared" si="140"/>
        <v>0</v>
      </c>
      <c r="V180" s="215">
        <f t="shared" si="141"/>
        <v>0</v>
      </c>
      <c r="W180" s="185"/>
      <c r="X180" s="80"/>
      <c r="Y180" s="80">
        <f t="shared" si="142"/>
        <v>0</v>
      </c>
      <c r="Z180" s="194">
        <v>2.21</v>
      </c>
      <c r="AA180" s="80">
        <f t="shared" si="168"/>
        <v>1.81</v>
      </c>
      <c r="AB180" s="80">
        <f t="shared" si="164"/>
        <v>478.15141476824863</v>
      </c>
      <c r="AC180" s="194">
        <v>18.13</v>
      </c>
      <c r="AD180" s="80">
        <f t="shared" si="143"/>
        <v>4.8499999999999996</v>
      </c>
      <c r="AE180" s="80">
        <f t="shared" si="165"/>
        <v>1281.2344539370199</v>
      </c>
      <c r="AF180" s="194">
        <v>243.6</v>
      </c>
      <c r="AG180" s="80">
        <f t="shared" si="159"/>
        <v>-0.53999999999999204</v>
      </c>
      <c r="AH180" s="80">
        <f t="shared" si="144"/>
        <v>-142.65290827339805</v>
      </c>
      <c r="AI180" s="194">
        <v>153.93</v>
      </c>
      <c r="AJ180" s="80">
        <f t="shared" si="153"/>
        <v>6.2399999999999807</v>
      </c>
      <c r="AK180" s="80">
        <f t="shared" si="166"/>
        <v>1648.4336067148411</v>
      </c>
      <c r="AL180" s="194">
        <v>7.19</v>
      </c>
      <c r="AM180" s="80">
        <f t="shared" si="160"/>
        <v>-3.8700000000000006</v>
      </c>
      <c r="AN180" s="17">
        <f t="shared" si="167"/>
        <v>-1022.3458426260345</v>
      </c>
      <c r="AO180" s="235">
        <f t="shared" si="139"/>
        <v>0</v>
      </c>
      <c r="AP180" s="19"/>
    </row>
    <row r="181" spans="1:48">
      <c r="A181" s="15">
        <v>45105</v>
      </c>
      <c r="B181" s="194">
        <v>0</v>
      </c>
      <c r="C181" s="80">
        <f t="shared" si="154"/>
        <v>0</v>
      </c>
      <c r="D181" s="80">
        <f t="shared" si="132"/>
        <v>0</v>
      </c>
      <c r="E181" s="194">
        <v>120.93</v>
      </c>
      <c r="F181" s="80">
        <f t="shared" si="150"/>
        <v>1.8600000000000136</v>
      </c>
      <c r="G181" s="80">
        <f t="shared" si="161"/>
        <v>491.36001738615965</v>
      </c>
      <c r="H181" s="194">
        <v>288</v>
      </c>
      <c r="I181" s="80">
        <f t="shared" si="155"/>
        <v>0</v>
      </c>
      <c r="J181" s="80">
        <f t="shared" si="162"/>
        <v>0</v>
      </c>
      <c r="K181" s="194">
        <v>870.7</v>
      </c>
      <c r="L181" s="80">
        <f t="shared" si="156"/>
        <v>1.5</v>
      </c>
      <c r="M181" s="80">
        <f t="shared" si="151"/>
        <v>396.25807853722262</v>
      </c>
      <c r="N181" s="194">
        <v>89.68</v>
      </c>
      <c r="O181" s="80">
        <f t="shared" si="157"/>
        <v>-35.210000000000008</v>
      </c>
      <c r="P181" s="80">
        <f t="shared" si="163"/>
        <v>-9301.497963530408</v>
      </c>
      <c r="Q181" s="194">
        <v>25.85</v>
      </c>
      <c r="R181" s="80">
        <f t="shared" si="158"/>
        <v>-6.0000000000002274E-2</v>
      </c>
      <c r="S181" s="80">
        <f t="shared" si="152"/>
        <v>-15.850323141489506</v>
      </c>
      <c r="T181" s="80"/>
      <c r="U181" s="80">
        <f t="shared" si="140"/>
        <v>0</v>
      </c>
      <c r="V181" s="215">
        <f t="shared" si="141"/>
        <v>0</v>
      </c>
      <c r="W181" s="185"/>
      <c r="X181" s="80"/>
      <c r="Y181" s="80">
        <f t="shared" si="142"/>
        <v>0</v>
      </c>
      <c r="Z181" s="194">
        <v>15.28</v>
      </c>
      <c r="AA181" s="80">
        <f t="shared" si="168"/>
        <v>13.07</v>
      </c>
      <c r="AB181" s="80">
        <f t="shared" si="164"/>
        <v>3452.7287243209998</v>
      </c>
      <c r="AC181" s="194">
        <v>18.18</v>
      </c>
      <c r="AD181" s="80">
        <f t="shared" si="143"/>
        <v>5.0000000000000711E-2</v>
      </c>
      <c r="AE181" s="80">
        <f t="shared" si="165"/>
        <v>13.208602617907609</v>
      </c>
      <c r="AF181" s="194">
        <v>244.05</v>
      </c>
      <c r="AG181" s="80">
        <f t="shared" si="159"/>
        <v>-0.45000000000001705</v>
      </c>
      <c r="AH181" s="80">
        <f t="shared" si="144"/>
        <v>-118.8774235611713</v>
      </c>
      <c r="AI181" s="194">
        <v>189.06</v>
      </c>
      <c r="AJ181" s="80">
        <f t="shared" si="153"/>
        <v>-35.129999999999995</v>
      </c>
      <c r="AK181" s="80">
        <f t="shared" si="166"/>
        <v>-9280.3641993417514</v>
      </c>
      <c r="AL181" s="194">
        <v>7.33</v>
      </c>
      <c r="AM181" s="80">
        <f t="shared" si="160"/>
        <v>-0.13999999999999968</v>
      </c>
      <c r="AN181" s="17">
        <f t="shared" si="167"/>
        <v>-36.984087330140696</v>
      </c>
      <c r="AO181" s="235">
        <f t="shared" si="139"/>
        <v>11253.729430457122</v>
      </c>
      <c r="AP181" s="19">
        <v>42.6</v>
      </c>
    </row>
    <row r="182" spans="1:48">
      <c r="A182" s="15">
        <v>45106</v>
      </c>
      <c r="B182" s="194">
        <v>0</v>
      </c>
      <c r="C182" s="80">
        <f t="shared" si="154"/>
        <v>0</v>
      </c>
      <c r="D182" s="80">
        <f t="shared" si="132"/>
        <v>0</v>
      </c>
      <c r="E182" s="194">
        <v>122.72</v>
      </c>
      <c r="F182" s="80">
        <f t="shared" si="150"/>
        <v>1.789999999999992</v>
      </c>
      <c r="G182" s="80">
        <f t="shared" si="161"/>
        <v>472.86797372108356</v>
      </c>
      <c r="H182" s="194">
        <v>288</v>
      </c>
      <c r="I182" s="80">
        <f t="shared" si="155"/>
        <v>0</v>
      </c>
      <c r="J182" s="80">
        <f t="shared" si="162"/>
        <v>0</v>
      </c>
      <c r="K182" s="194">
        <v>869.7</v>
      </c>
      <c r="L182" s="80">
        <f t="shared" si="156"/>
        <v>1</v>
      </c>
      <c r="M182" s="80">
        <f t="shared" si="151"/>
        <v>264.17205235814845</v>
      </c>
      <c r="N182" s="194">
        <v>83.6</v>
      </c>
      <c r="O182" s="80">
        <f t="shared" si="157"/>
        <v>6.0800000000000125</v>
      </c>
      <c r="P182" s="80">
        <f t="shared" si="163"/>
        <v>1606.1660783375457</v>
      </c>
      <c r="Q182" s="194">
        <v>25.85</v>
      </c>
      <c r="R182" s="80">
        <f t="shared" si="158"/>
        <v>0</v>
      </c>
      <c r="S182" s="80">
        <f t="shared" si="152"/>
        <v>0</v>
      </c>
      <c r="T182" s="80"/>
      <c r="U182" s="80">
        <f t="shared" si="140"/>
        <v>0</v>
      </c>
      <c r="V182" s="215">
        <f t="shared" si="141"/>
        <v>0</v>
      </c>
      <c r="W182" s="185"/>
      <c r="X182" s="80"/>
      <c r="Y182" s="80">
        <f t="shared" si="142"/>
        <v>0</v>
      </c>
      <c r="Z182" s="194">
        <v>3.34</v>
      </c>
      <c r="AA182" s="80">
        <f t="shared" si="168"/>
        <v>-11.94</v>
      </c>
      <c r="AB182" s="80">
        <f t="shared" si="164"/>
        <v>-3154.2143051562921</v>
      </c>
      <c r="AC182" s="194">
        <v>1.05</v>
      </c>
      <c r="AD182" s="80">
        <f t="shared" si="143"/>
        <v>-17.13</v>
      </c>
      <c r="AE182" s="80">
        <f t="shared" si="165"/>
        <v>-4525.2672568950829</v>
      </c>
      <c r="AF182" s="194">
        <v>245.01</v>
      </c>
      <c r="AG182" s="80">
        <f t="shared" si="159"/>
        <v>-0.95999999999997954</v>
      </c>
      <c r="AH182" s="80">
        <f t="shared" si="144"/>
        <v>-253.60517026381709</v>
      </c>
      <c r="AI182" s="194">
        <v>227.25</v>
      </c>
      <c r="AJ182" s="80">
        <f t="shared" si="153"/>
        <v>-38.19</v>
      </c>
      <c r="AK182" s="80">
        <f t="shared" si="166"/>
        <v>-10088.730679557688</v>
      </c>
      <c r="AL182" s="194">
        <v>5.81</v>
      </c>
      <c r="AM182" s="80">
        <f t="shared" si="160"/>
        <v>1.5200000000000005</v>
      </c>
      <c r="AN182" s="17">
        <f t="shared" si="167"/>
        <v>401.5415195843857</v>
      </c>
      <c r="AO182" s="235">
        <f t="shared" si="139"/>
        <v>10381.961657675232</v>
      </c>
      <c r="AP182" s="19">
        <v>39.299999999999997</v>
      </c>
    </row>
    <row r="183" spans="1:48">
      <c r="A183" s="15">
        <v>45107</v>
      </c>
      <c r="B183" s="194">
        <v>0</v>
      </c>
      <c r="C183" s="80">
        <f t="shared" si="154"/>
        <v>0</v>
      </c>
      <c r="D183" s="80">
        <f t="shared" si="132"/>
        <v>0</v>
      </c>
      <c r="E183" s="194">
        <v>124.21</v>
      </c>
      <c r="F183" s="80">
        <f t="shared" si="150"/>
        <v>1.4899999999999949</v>
      </c>
      <c r="G183" s="80">
        <f t="shared" si="161"/>
        <v>393.61635801363985</v>
      </c>
      <c r="H183" s="194">
        <v>288</v>
      </c>
      <c r="I183" s="80">
        <f t="shared" si="155"/>
        <v>0</v>
      </c>
      <c r="J183" s="80">
        <f t="shared" si="162"/>
        <v>0</v>
      </c>
      <c r="K183" s="194">
        <v>866.6</v>
      </c>
      <c r="L183" s="80">
        <f t="shared" si="156"/>
        <v>3.1000000000000227</v>
      </c>
      <c r="M183" s="80">
        <f t="shared" si="151"/>
        <v>818.93336231026615</v>
      </c>
      <c r="N183" s="194">
        <v>72.709999999999994</v>
      </c>
      <c r="O183" s="80">
        <f t="shared" si="157"/>
        <v>10.89</v>
      </c>
      <c r="P183" s="80">
        <f t="shared" si="163"/>
        <v>2876.8336501802364</v>
      </c>
      <c r="Q183" s="194">
        <v>25.85</v>
      </c>
      <c r="R183" s="80">
        <f t="shared" si="158"/>
        <v>0</v>
      </c>
      <c r="S183" s="80">
        <f t="shared" si="152"/>
        <v>0</v>
      </c>
      <c r="T183" s="80"/>
      <c r="U183" s="80">
        <f t="shared" si="140"/>
        <v>0</v>
      </c>
      <c r="V183" s="215">
        <f t="shared" si="141"/>
        <v>0</v>
      </c>
      <c r="W183" s="185"/>
      <c r="X183" s="80"/>
      <c r="Y183" s="80">
        <f t="shared" si="142"/>
        <v>0</v>
      </c>
      <c r="Z183" s="194">
        <v>4.0199999999999996</v>
      </c>
      <c r="AA183" s="80">
        <f t="shared" si="168"/>
        <v>0.67999999999999972</v>
      </c>
      <c r="AB183" s="80">
        <f t="shared" si="164"/>
        <v>179.63699560354087</v>
      </c>
      <c r="AC183" s="194">
        <v>1.17</v>
      </c>
      <c r="AD183" s="80">
        <f t="shared" si="143"/>
        <v>0.11999999999999988</v>
      </c>
      <c r="AE183" s="80">
        <f t="shared" si="165"/>
        <v>31.700646282977782</v>
      </c>
      <c r="AF183" s="194">
        <v>244.41</v>
      </c>
      <c r="AG183" s="80">
        <f t="shared" si="159"/>
        <v>0.59999999999999432</v>
      </c>
      <c r="AH183" s="80">
        <f t="shared" si="144"/>
        <v>158.50323141488755</v>
      </c>
      <c r="AI183" s="194">
        <v>222.54</v>
      </c>
      <c r="AJ183" s="80">
        <f t="shared" si="153"/>
        <v>4.710000000000008</v>
      </c>
      <c r="AK183" s="80">
        <f t="shared" si="166"/>
        <v>1244.2503666068812</v>
      </c>
      <c r="AL183" s="194">
        <v>5.36</v>
      </c>
      <c r="AM183" s="80">
        <f t="shared" si="160"/>
        <v>0.44999999999999929</v>
      </c>
      <c r="AN183" s="17">
        <f t="shared" si="167"/>
        <v>118.87742356116661</v>
      </c>
      <c r="AO183" s="235">
        <f t="shared" si="139"/>
        <v>0</v>
      </c>
      <c r="AP183" s="19"/>
    </row>
    <row r="184" spans="1:48">
      <c r="A184" s="15">
        <v>45108</v>
      </c>
      <c r="B184" s="194">
        <v>0</v>
      </c>
      <c r="C184" s="80">
        <f t="shared" si="154"/>
        <v>0</v>
      </c>
      <c r="D184" s="80">
        <f t="shared" si="132"/>
        <v>0</v>
      </c>
      <c r="E184" s="194">
        <v>125.78</v>
      </c>
      <c r="F184" s="80">
        <f t="shared" si="150"/>
        <v>1.5700000000000074</v>
      </c>
      <c r="G184" s="80">
        <f t="shared" si="161"/>
        <v>414.75012220229496</v>
      </c>
      <c r="H184" s="194">
        <v>288</v>
      </c>
      <c r="I184" s="80">
        <f t="shared" si="155"/>
        <v>0</v>
      </c>
      <c r="J184" s="80">
        <f t="shared" si="162"/>
        <v>0</v>
      </c>
      <c r="K184" s="194">
        <v>865.5</v>
      </c>
      <c r="L184" s="80">
        <f t="shared" si="156"/>
        <v>1.1000000000000227</v>
      </c>
      <c r="M184" s="80">
        <f t="shared" si="151"/>
        <v>290.58925759396925</v>
      </c>
      <c r="N184" s="194">
        <v>65.47</v>
      </c>
      <c r="O184" s="80">
        <f t="shared" si="157"/>
        <v>7.2399999999999949</v>
      </c>
      <c r="P184" s="80">
        <f t="shared" si="163"/>
        <v>1912.6056590729931</v>
      </c>
      <c r="Q184" s="194">
        <v>25.85</v>
      </c>
      <c r="R184" s="80">
        <f t="shared" si="158"/>
        <v>0</v>
      </c>
      <c r="S184" s="80">
        <f t="shared" si="152"/>
        <v>0</v>
      </c>
      <c r="T184" s="80"/>
      <c r="U184" s="80">
        <f t="shared" si="140"/>
        <v>0</v>
      </c>
      <c r="V184" s="215">
        <f t="shared" si="141"/>
        <v>0</v>
      </c>
      <c r="W184" s="185"/>
      <c r="X184" s="80"/>
      <c r="Y184" s="80">
        <f t="shared" si="142"/>
        <v>0</v>
      </c>
      <c r="Z184" s="194">
        <v>4.74</v>
      </c>
      <c r="AA184" s="80">
        <f t="shared" si="168"/>
        <v>0.72000000000000064</v>
      </c>
      <c r="AB184" s="80">
        <f t="shared" si="164"/>
        <v>190.20387769786706</v>
      </c>
      <c r="AC184" s="194">
        <v>1.1100000000000001</v>
      </c>
      <c r="AD184" s="80">
        <f t="shared" si="143"/>
        <v>-5.9999999999999831E-2</v>
      </c>
      <c r="AE184" s="80">
        <f t="shared" si="165"/>
        <v>-15.850323141488861</v>
      </c>
      <c r="AF184" s="194">
        <v>243.87</v>
      </c>
      <c r="AG184" s="80">
        <f t="shared" si="159"/>
        <v>0.53999999999999204</v>
      </c>
      <c r="AH184" s="80">
        <f t="shared" si="144"/>
        <v>142.65290827339805</v>
      </c>
      <c r="AI184" s="194">
        <v>216.33</v>
      </c>
      <c r="AJ184" s="80">
        <f t="shared" si="153"/>
        <v>6.2099999999999795</v>
      </c>
      <c r="AK184" s="80">
        <f t="shared" si="166"/>
        <v>1640.5084451440964</v>
      </c>
      <c r="AL184" s="194">
        <v>7.76</v>
      </c>
      <c r="AM184" s="80">
        <f t="shared" si="160"/>
        <v>-2.3999999999999995</v>
      </c>
      <c r="AN184" s="17">
        <f t="shared" si="167"/>
        <v>-634.01292565955612</v>
      </c>
      <c r="AO184" s="235">
        <f t="shared" si="139"/>
        <v>0</v>
      </c>
      <c r="AP184" s="19"/>
    </row>
    <row r="185" spans="1:48">
      <c r="A185" s="15">
        <v>45109</v>
      </c>
      <c r="B185" s="194">
        <v>0</v>
      </c>
      <c r="C185" s="80">
        <f t="shared" si="154"/>
        <v>0</v>
      </c>
      <c r="D185" s="80">
        <f t="shared" si="132"/>
        <v>0</v>
      </c>
      <c r="E185" s="194">
        <v>126.83</v>
      </c>
      <c r="F185" s="80">
        <f t="shared" si="150"/>
        <v>1.0499999999999972</v>
      </c>
      <c r="G185" s="80">
        <f t="shared" ref="G185:G191" si="169">+CONVERT(F185,"m^3","gal")</f>
        <v>277.3806549760551</v>
      </c>
      <c r="H185" s="194">
        <v>288</v>
      </c>
      <c r="I185" s="80">
        <f t="shared" si="155"/>
        <v>0</v>
      </c>
      <c r="J185" s="80">
        <f t="shared" ref="J185:J190" si="170">+CONVERT(I185,"m^3","gal")</f>
        <v>0</v>
      </c>
      <c r="K185" s="194">
        <v>863</v>
      </c>
      <c r="L185" s="80">
        <f t="shared" si="156"/>
        <v>2.5</v>
      </c>
      <c r="M185" s="80">
        <f t="shared" si="151"/>
        <v>660.43013089537101</v>
      </c>
      <c r="N185" s="194">
        <v>57.24</v>
      </c>
      <c r="O185" s="80">
        <f t="shared" si="157"/>
        <v>8.2299999999999969</v>
      </c>
      <c r="P185" s="80">
        <f t="shared" ref="P185:P190" si="171">+CONVERT(O185,"m^3","gal")</f>
        <v>2174.1359909075604</v>
      </c>
      <c r="Q185" s="194">
        <v>25.66</v>
      </c>
      <c r="R185" s="80">
        <f t="shared" si="158"/>
        <v>0.19000000000000128</v>
      </c>
      <c r="S185" s="80">
        <f t="shared" si="152"/>
        <v>50.192689948048539</v>
      </c>
      <c r="T185" s="80"/>
      <c r="U185" s="80">
        <f t="shared" si="140"/>
        <v>0</v>
      </c>
      <c r="V185" s="215">
        <f t="shared" si="141"/>
        <v>0</v>
      </c>
      <c r="W185" s="185"/>
      <c r="X185" s="80"/>
      <c r="Y185" s="80">
        <f t="shared" si="142"/>
        <v>0</v>
      </c>
      <c r="Z185" s="194">
        <v>5.82</v>
      </c>
      <c r="AA185" s="80">
        <f t="shared" si="168"/>
        <v>1.08</v>
      </c>
      <c r="AB185" s="80">
        <f t="shared" ref="AB185:AB190" si="172">+CONVERT(AA185,"m^3","gal")</f>
        <v>285.30581654680032</v>
      </c>
      <c r="AC185" s="194">
        <v>1.1100000000000001</v>
      </c>
      <c r="AD185" s="80">
        <f t="shared" si="143"/>
        <v>0</v>
      </c>
      <c r="AE185" s="80">
        <f t="shared" ref="AE185:AE190" si="173">+CONVERT(AD185,"m^3","gal")</f>
        <v>0</v>
      </c>
      <c r="AF185" s="194">
        <v>242.52</v>
      </c>
      <c r="AG185" s="80">
        <f t="shared" si="159"/>
        <v>1.3499999999999943</v>
      </c>
      <c r="AH185" s="80">
        <f t="shared" si="144"/>
        <v>356.63227068349886</v>
      </c>
      <c r="AI185" s="194">
        <v>212.88</v>
      </c>
      <c r="AJ185" s="80">
        <f t="shared" si="153"/>
        <v>3.4500000000000171</v>
      </c>
      <c r="AK185" s="80">
        <f t="shared" ref="AK185:AK190" si="174">+CONVERT(AJ185,"m^3","gal")</f>
        <v>911.39358063561667</v>
      </c>
      <c r="AL185" s="194">
        <v>3.89</v>
      </c>
      <c r="AM185" s="80">
        <f t="shared" si="160"/>
        <v>3.8699999999999997</v>
      </c>
      <c r="AN185" s="17">
        <f t="shared" ref="AN185:AN190" si="175">+CONVERT(AM185,"m^3","gal")</f>
        <v>1022.3458426260343</v>
      </c>
      <c r="AO185" s="235">
        <f t="shared" si="139"/>
        <v>0</v>
      </c>
      <c r="AP185" s="19"/>
    </row>
    <row r="186" spans="1:48">
      <c r="A186" s="15">
        <v>45110</v>
      </c>
      <c r="B186" s="194">
        <v>0</v>
      </c>
      <c r="C186" s="80">
        <f t="shared" si="154"/>
        <v>0</v>
      </c>
      <c r="D186" s="80">
        <f t="shared" si="132"/>
        <v>0</v>
      </c>
      <c r="E186" s="194">
        <v>129.41999999999999</v>
      </c>
      <c r="F186" s="80">
        <f t="shared" si="150"/>
        <v>2.5899999999999892</v>
      </c>
      <c r="G186" s="80">
        <f t="shared" si="169"/>
        <v>684.20561560760154</v>
      </c>
      <c r="H186" s="194">
        <v>288</v>
      </c>
      <c r="I186" s="80">
        <f t="shared" si="155"/>
        <v>0</v>
      </c>
      <c r="J186" s="80">
        <f t="shared" si="170"/>
        <v>0</v>
      </c>
      <c r="K186" s="194">
        <v>861.7</v>
      </c>
      <c r="L186" s="80">
        <f t="shared" si="156"/>
        <v>1.2999999999999545</v>
      </c>
      <c r="M186" s="80">
        <f t="shared" si="151"/>
        <v>343.42366806558096</v>
      </c>
      <c r="N186" s="194">
        <v>50.67</v>
      </c>
      <c r="O186" s="80">
        <f t="shared" si="157"/>
        <v>6.57</v>
      </c>
      <c r="P186" s="80">
        <f t="shared" si="171"/>
        <v>1735.6103839930352</v>
      </c>
      <c r="Q186" s="194">
        <v>25.66</v>
      </c>
      <c r="R186" s="80">
        <f t="shared" si="158"/>
        <v>0</v>
      </c>
      <c r="S186" s="80">
        <f t="shared" si="152"/>
        <v>0</v>
      </c>
      <c r="T186" s="80"/>
      <c r="U186" s="80">
        <f t="shared" si="140"/>
        <v>0</v>
      </c>
      <c r="V186" s="215">
        <f t="shared" si="141"/>
        <v>0</v>
      </c>
      <c r="W186" s="185"/>
      <c r="X186" s="80"/>
      <c r="Y186" s="80">
        <f t="shared" si="142"/>
        <v>0</v>
      </c>
      <c r="Z186" s="194">
        <v>18.68</v>
      </c>
      <c r="AA186" s="80">
        <f t="shared" si="168"/>
        <v>12.86</v>
      </c>
      <c r="AB186" s="80">
        <f t="shared" si="172"/>
        <v>3397.2525933257889</v>
      </c>
      <c r="AC186" s="194">
        <v>3.71</v>
      </c>
      <c r="AD186" s="80">
        <f t="shared" si="143"/>
        <v>2.5999999999999996</v>
      </c>
      <c r="AE186" s="80">
        <f t="shared" si="173"/>
        <v>686.84733613118578</v>
      </c>
      <c r="AF186" s="194">
        <v>244.11</v>
      </c>
      <c r="AG186" s="80">
        <f t="shared" si="159"/>
        <v>-1.5900000000000034</v>
      </c>
      <c r="AH186" s="80">
        <f t="shared" si="144"/>
        <v>-420.0335632494569</v>
      </c>
      <c r="AI186" s="194">
        <v>202.86</v>
      </c>
      <c r="AJ186" s="80">
        <f t="shared" si="153"/>
        <v>10.019999999999982</v>
      </c>
      <c r="AK186" s="80">
        <f t="shared" si="174"/>
        <v>2647.0039646286423</v>
      </c>
      <c r="AL186" s="194">
        <v>7.24</v>
      </c>
      <c r="AM186" s="80">
        <f t="shared" si="160"/>
        <v>-3.35</v>
      </c>
      <c r="AN186" s="17">
        <f t="shared" si="175"/>
        <v>-884.97637539979723</v>
      </c>
      <c r="AO186" s="235">
        <f t="shared" si="139"/>
        <v>0</v>
      </c>
      <c r="AP186" s="19"/>
    </row>
    <row r="187" spans="1:48">
      <c r="A187" s="15">
        <v>45111</v>
      </c>
      <c r="B187" s="194">
        <v>0</v>
      </c>
      <c r="C187" s="80">
        <f t="shared" si="154"/>
        <v>0</v>
      </c>
      <c r="D187" s="80">
        <f t="shared" si="132"/>
        <v>0</v>
      </c>
      <c r="E187" s="194">
        <v>130.41999999999999</v>
      </c>
      <c r="F187" s="80">
        <f t="shared" si="150"/>
        <v>1</v>
      </c>
      <c r="G187" s="80">
        <f t="shared" si="169"/>
        <v>264.17205235814845</v>
      </c>
      <c r="H187" s="194">
        <v>288</v>
      </c>
      <c r="I187" s="80">
        <f t="shared" si="155"/>
        <v>0</v>
      </c>
      <c r="J187" s="80">
        <f t="shared" si="170"/>
        <v>0</v>
      </c>
      <c r="K187" s="194">
        <v>861.7</v>
      </c>
      <c r="L187" s="80">
        <f t="shared" si="156"/>
        <v>0</v>
      </c>
      <c r="M187" s="80">
        <f t="shared" si="151"/>
        <v>0</v>
      </c>
      <c r="N187" s="194">
        <v>43.85</v>
      </c>
      <c r="O187" s="80">
        <f t="shared" si="157"/>
        <v>6.82</v>
      </c>
      <c r="P187" s="80">
        <f t="shared" si="171"/>
        <v>1801.6533970825722</v>
      </c>
      <c r="Q187" s="194">
        <v>25.66</v>
      </c>
      <c r="R187" s="80">
        <f t="shared" si="158"/>
        <v>0</v>
      </c>
      <c r="S187" s="80">
        <f t="shared" si="152"/>
        <v>0</v>
      </c>
      <c r="T187" s="80"/>
      <c r="U187" s="80">
        <f t="shared" si="140"/>
        <v>0</v>
      </c>
      <c r="V187" s="215">
        <f t="shared" si="141"/>
        <v>0</v>
      </c>
      <c r="W187" s="185"/>
      <c r="X187" s="80"/>
      <c r="Y187" s="80">
        <f t="shared" si="142"/>
        <v>0</v>
      </c>
      <c r="Z187" s="194">
        <v>18.68</v>
      </c>
      <c r="AA187" s="80">
        <f t="shared" si="168"/>
        <v>0</v>
      </c>
      <c r="AB187" s="80">
        <f t="shared" si="172"/>
        <v>0</v>
      </c>
      <c r="AC187" s="194">
        <v>16.36</v>
      </c>
      <c r="AD187" s="80">
        <f t="shared" si="143"/>
        <v>12.649999999999999</v>
      </c>
      <c r="AE187" s="80">
        <f t="shared" si="173"/>
        <v>3341.776462330577</v>
      </c>
      <c r="AF187" s="194">
        <v>238.92</v>
      </c>
      <c r="AG187" s="80">
        <f t="shared" si="159"/>
        <v>5.1900000000000261</v>
      </c>
      <c r="AH187" s="80">
        <f t="shared" si="144"/>
        <v>1371.0529517387972</v>
      </c>
      <c r="AI187" s="194">
        <v>199.05</v>
      </c>
      <c r="AJ187" s="80">
        <f t="shared" si="153"/>
        <v>3.8100000000000023</v>
      </c>
      <c r="AK187" s="80">
        <f t="shared" si="174"/>
        <v>1006.4955194845461</v>
      </c>
      <c r="AL187" s="194">
        <v>1.23</v>
      </c>
      <c r="AM187" s="80">
        <f t="shared" si="160"/>
        <v>6.01</v>
      </c>
      <c r="AN187" s="17">
        <f t="shared" si="175"/>
        <v>1587.6740346724721</v>
      </c>
      <c r="AO187" s="235">
        <f t="shared" si="139"/>
        <v>0</v>
      </c>
      <c r="AP187" s="19"/>
    </row>
    <row r="188" spans="1:48">
      <c r="A188" s="15">
        <v>45112</v>
      </c>
      <c r="B188" s="194">
        <v>0</v>
      </c>
      <c r="C188" s="80">
        <f t="shared" si="154"/>
        <v>0</v>
      </c>
      <c r="D188" s="80">
        <f t="shared" ref="D188:D193" si="176">+CONVERT(C188,"m^3","gal")</f>
        <v>0</v>
      </c>
      <c r="E188" s="194">
        <v>132.18</v>
      </c>
      <c r="F188" s="80">
        <f t="shared" si="150"/>
        <v>1.7600000000000193</v>
      </c>
      <c r="G188" s="80">
        <f t="shared" si="169"/>
        <v>464.94281215034636</v>
      </c>
      <c r="H188" s="194">
        <v>288</v>
      </c>
      <c r="I188" s="80">
        <f t="shared" si="155"/>
        <v>0</v>
      </c>
      <c r="J188" s="80">
        <f t="shared" si="170"/>
        <v>0</v>
      </c>
      <c r="K188" s="194">
        <v>861.3</v>
      </c>
      <c r="L188" s="80">
        <f t="shared" si="156"/>
        <v>0.40000000000009095</v>
      </c>
      <c r="M188" s="80">
        <f t="shared" si="151"/>
        <v>105.66882094328339</v>
      </c>
      <c r="N188" s="194">
        <v>73.69</v>
      </c>
      <c r="O188" s="80">
        <f t="shared" si="157"/>
        <v>-29.839999999999996</v>
      </c>
      <c r="P188" s="80">
        <f t="shared" si="171"/>
        <v>-7882.8940423671484</v>
      </c>
      <c r="Q188" s="194">
        <v>25.76</v>
      </c>
      <c r="R188" s="80">
        <f t="shared" si="158"/>
        <v>-0.10000000000000142</v>
      </c>
      <c r="S188" s="80">
        <f t="shared" si="152"/>
        <v>-26.417205235815217</v>
      </c>
      <c r="T188" s="80"/>
      <c r="U188" s="80">
        <f t="shared" si="140"/>
        <v>0</v>
      </c>
      <c r="V188" s="215">
        <f t="shared" si="141"/>
        <v>0</v>
      </c>
      <c r="W188" s="185"/>
      <c r="X188" s="80"/>
      <c r="Y188" s="80">
        <f t="shared" si="142"/>
        <v>0</v>
      </c>
      <c r="Z188" s="194">
        <v>1.87</v>
      </c>
      <c r="AA188" s="80">
        <f t="shared" si="168"/>
        <v>-16.809999999999999</v>
      </c>
      <c r="AB188" s="80">
        <f t="shared" si="172"/>
        <v>-4440.7322001404746</v>
      </c>
      <c r="AC188" s="194">
        <v>2.44</v>
      </c>
      <c r="AD188" s="80">
        <f t="shared" si="143"/>
        <v>-13.92</v>
      </c>
      <c r="AE188" s="80">
        <f t="shared" si="173"/>
        <v>-3677.2749688254262</v>
      </c>
      <c r="AF188" s="194">
        <v>239.19</v>
      </c>
      <c r="AG188" s="80">
        <f t="shared" si="159"/>
        <v>-0.27000000000001023</v>
      </c>
      <c r="AH188" s="80">
        <f t="shared" si="144"/>
        <v>-71.326454136702779</v>
      </c>
      <c r="AI188" s="194">
        <v>188.67</v>
      </c>
      <c r="AJ188" s="80">
        <f t="shared" si="153"/>
        <v>10.380000000000024</v>
      </c>
      <c r="AK188" s="80">
        <f t="shared" si="174"/>
        <v>2742.1059034775867</v>
      </c>
      <c r="AL188" s="194">
        <v>8.24</v>
      </c>
      <c r="AM188" s="80">
        <f t="shared" si="160"/>
        <v>-7.01</v>
      </c>
      <c r="AN188" s="17">
        <f t="shared" si="175"/>
        <v>-1851.8460870306205</v>
      </c>
      <c r="AO188" s="235">
        <f t="shared" si="139"/>
        <v>0</v>
      </c>
      <c r="AP188" s="19"/>
    </row>
    <row r="189" spans="1:48">
      <c r="A189" s="15">
        <v>45113</v>
      </c>
      <c r="B189" s="194">
        <v>0</v>
      </c>
      <c r="C189" s="80">
        <f t="shared" si="154"/>
        <v>0</v>
      </c>
      <c r="D189" s="80">
        <f t="shared" si="176"/>
        <v>0</v>
      </c>
      <c r="E189" s="194">
        <v>133.52000000000001</v>
      </c>
      <c r="F189" s="80">
        <f t="shared" si="150"/>
        <v>1.3400000000000034</v>
      </c>
      <c r="G189" s="80">
        <f t="shared" si="169"/>
        <v>353.99055015991979</v>
      </c>
      <c r="H189" s="194">
        <v>288</v>
      </c>
      <c r="I189" s="80">
        <f t="shared" si="155"/>
        <v>0</v>
      </c>
      <c r="J189" s="80">
        <f t="shared" si="170"/>
        <v>0</v>
      </c>
      <c r="K189" s="194">
        <v>924.4</v>
      </c>
      <c r="L189" s="80">
        <f t="shared" si="156"/>
        <v>-63.100000000000023</v>
      </c>
      <c r="M189" s="80">
        <f t="shared" si="151"/>
        <v>-16669.25650379917</v>
      </c>
      <c r="N189" s="194">
        <v>71.599999999999994</v>
      </c>
      <c r="O189" s="80">
        <f t="shared" si="157"/>
        <v>2.0900000000000034</v>
      </c>
      <c r="P189" s="80">
        <f t="shared" si="171"/>
        <v>552.11958942853119</v>
      </c>
      <c r="Q189" s="194">
        <v>20.41</v>
      </c>
      <c r="R189" s="80">
        <f t="shared" si="158"/>
        <v>5.3500000000000014</v>
      </c>
      <c r="S189" s="80">
        <f t="shared" si="152"/>
        <v>1413.3204801160946</v>
      </c>
      <c r="T189" s="80">
        <v>740.47</v>
      </c>
      <c r="U189" s="80">
        <f t="shared" si="140"/>
        <v>2802.98386369848</v>
      </c>
      <c r="V189" s="215">
        <f t="shared" si="141"/>
        <v>0</v>
      </c>
      <c r="W189" s="185"/>
      <c r="X189" s="80"/>
      <c r="Y189" s="80">
        <f t="shared" si="142"/>
        <v>0</v>
      </c>
      <c r="Z189" s="194">
        <v>1.87</v>
      </c>
      <c r="AA189" s="80">
        <f t="shared" si="168"/>
        <v>0</v>
      </c>
      <c r="AB189" s="80">
        <f t="shared" si="172"/>
        <v>0</v>
      </c>
      <c r="AC189" s="194">
        <v>3.14</v>
      </c>
      <c r="AD189" s="80">
        <f t="shared" si="143"/>
        <v>0.70000000000000018</v>
      </c>
      <c r="AE189" s="80">
        <f t="shared" si="173"/>
        <v>184.92043665070395</v>
      </c>
      <c r="AF189" s="194">
        <v>238.56</v>
      </c>
      <c r="AG189" s="80">
        <f t="shared" si="159"/>
        <v>0.62999999999999545</v>
      </c>
      <c r="AH189" s="80">
        <f t="shared" si="144"/>
        <v>166.42839298563231</v>
      </c>
      <c r="AI189" s="194">
        <v>225.27</v>
      </c>
      <c r="AJ189" s="80">
        <f t="shared" si="153"/>
        <v>-36.600000000000023</v>
      </c>
      <c r="AK189" s="80">
        <f t="shared" si="174"/>
        <v>-9668.697116308238</v>
      </c>
      <c r="AL189" s="194">
        <v>5.1100000000000003</v>
      </c>
      <c r="AM189" s="80">
        <f t="shared" si="160"/>
        <v>3.13</v>
      </c>
      <c r="AN189" s="17">
        <f t="shared" si="175"/>
        <v>826.85852388100454</v>
      </c>
      <c r="AO189" s="235">
        <f t="shared" si="139"/>
        <v>0</v>
      </c>
      <c r="AP189" s="19"/>
    </row>
    <row r="190" spans="1:48">
      <c r="A190" s="15">
        <v>45114</v>
      </c>
      <c r="B190" s="194">
        <v>0</v>
      </c>
      <c r="C190" s="80">
        <f t="shared" si="154"/>
        <v>0</v>
      </c>
      <c r="D190" s="80">
        <f t="shared" si="176"/>
        <v>0</v>
      </c>
      <c r="E190" s="194">
        <v>135.15</v>
      </c>
      <c r="F190" s="80">
        <f t="shared" si="150"/>
        <v>1.6299999999999955</v>
      </c>
      <c r="G190" s="80">
        <f t="shared" si="169"/>
        <v>430.60044534378073</v>
      </c>
      <c r="H190" s="194">
        <v>288</v>
      </c>
      <c r="I190" s="80">
        <f t="shared" si="155"/>
        <v>0</v>
      </c>
      <c r="J190" s="80">
        <f t="shared" si="170"/>
        <v>0</v>
      </c>
      <c r="K190" s="194">
        <v>923.6</v>
      </c>
      <c r="L190" s="80">
        <f t="shared" si="156"/>
        <v>0.79999999999995453</v>
      </c>
      <c r="M190" s="80">
        <f t="shared" si="151"/>
        <v>211.33764188650673</v>
      </c>
      <c r="N190" s="194">
        <v>64.33</v>
      </c>
      <c r="O190" s="80">
        <f t="shared" si="157"/>
        <v>7.269999999999996</v>
      </c>
      <c r="P190" s="80">
        <f t="shared" si="171"/>
        <v>1920.530820643738</v>
      </c>
      <c r="Q190" s="194">
        <v>12.26</v>
      </c>
      <c r="R190" s="80">
        <f t="shared" si="158"/>
        <v>8.15</v>
      </c>
      <c r="S190" s="80">
        <f t="shared" si="152"/>
        <v>2153.0022267189097</v>
      </c>
      <c r="T190" s="80"/>
      <c r="U190" s="80">
        <f t="shared" si="140"/>
        <v>0</v>
      </c>
      <c r="V190" s="215">
        <f t="shared" si="141"/>
        <v>0</v>
      </c>
      <c r="W190" s="185"/>
      <c r="X190" s="80"/>
      <c r="Y190" s="80">
        <f t="shared" si="142"/>
        <v>0</v>
      </c>
      <c r="Z190" s="194">
        <v>1.88</v>
      </c>
      <c r="AA190" s="80">
        <f t="shared" si="168"/>
        <v>9.9999999999997868E-3</v>
      </c>
      <c r="AB190" s="80">
        <f t="shared" si="172"/>
        <v>2.6417205235814278</v>
      </c>
      <c r="AC190" s="194">
        <v>3.81</v>
      </c>
      <c r="AD190" s="80">
        <f t="shared" si="143"/>
        <v>0.66999999999999993</v>
      </c>
      <c r="AE190" s="80">
        <f t="shared" si="173"/>
        <v>176.99527507995941</v>
      </c>
      <c r="AF190" s="194">
        <v>239.31</v>
      </c>
      <c r="AG190" s="80">
        <f t="shared" si="159"/>
        <v>-0.75</v>
      </c>
      <c r="AH190" s="80">
        <f t="shared" si="144"/>
        <v>-198.12903926861131</v>
      </c>
      <c r="AI190" s="194">
        <v>221.58</v>
      </c>
      <c r="AJ190" s="80">
        <f t="shared" si="153"/>
        <v>3.6899999999999977</v>
      </c>
      <c r="AK190" s="80">
        <f t="shared" si="174"/>
        <v>974.79487320156704</v>
      </c>
      <c r="AL190" s="194">
        <v>4.8499999999999996</v>
      </c>
      <c r="AM190" s="80">
        <f t="shared" si="160"/>
        <v>0.26000000000000068</v>
      </c>
      <c r="AN190" s="17">
        <f t="shared" si="175"/>
        <v>68.684733613118766</v>
      </c>
      <c r="AO190" s="235">
        <f t="shared" si="139"/>
        <v>10540.464889090123</v>
      </c>
      <c r="AP190" s="19">
        <v>39.9</v>
      </c>
    </row>
    <row r="191" spans="1:48">
      <c r="A191" s="15">
        <v>45115</v>
      </c>
      <c r="B191" s="194">
        <v>0</v>
      </c>
      <c r="C191" s="80">
        <f t="shared" si="154"/>
        <v>0</v>
      </c>
      <c r="D191" s="80">
        <f t="shared" si="176"/>
        <v>0</v>
      </c>
      <c r="E191" s="194">
        <v>136.93</v>
      </c>
      <c r="F191" s="80">
        <f t="shared" si="150"/>
        <v>1.7800000000000011</v>
      </c>
      <c r="G191" s="80">
        <f t="shared" si="169"/>
        <v>470.22625319750449</v>
      </c>
      <c r="H191" s="194">
        <v>288</v>
      </c>
      <c r="I191" s="80">
        <f t="shared" si="155"/>
        <v>0</v>
      </c>
      <c r="J191" s="80">
        <f t="shared" ref="J191:J199" si="177">+CONVERT(I191,"m^3","gal")</f>
        <v>0</v>
      </c>
      <c r="K191" s="194">
        <v>922.8</v>
      </c>
      <c r="L191" s="80">
        <f t="shared" si="156"/>
        <v>0.80000000000006821</v>
      </c>
      <c r="M191" s="80">
        <f t="shared" si="151"/>
        <v>211.33764188653674</v>
      </c>
      <c r="N191" s="194">
        <v>59.97</v>
      </c>
      <c r="O191" s="80">
        <f t="shared" si="157"/>
        <v>4.3599999999999994</v>
      </c>
      <c r="P191" s="80">
        <f t="shared" ref="P191:P199" si="178">+CONVERT(O191,"m^3","gal")</f>
        <v>1151.7901482815269</v>
      </c>
      <c r="Q191" s="194">
        <v>12.26</v>
      </c>
      <c r="R191" s="80">
        <f t="shared" si="158"/>
        <v>0</v>
      </c>
      <c r="S191" s="80">
        <f t="shared" si="152"/>
        <v>0</v>
      </c>
      <c r="T191" s="80"/>
      <c r="U191" s="80">
        <f t="shared" si="140"/>
        <v>0</v>
      </c>
      <c r="V191" s="215">
        <f t="shared" si="141"/>
        <v>0</v>
      </c>
      <c r="W191" s="185"/>
      <c r="X191" s="80"/>
      <c r="Y191" s="80">
        <f t="shared" si="142"/>
        <v>0</v>
      </c>
      <c r="Z191" s="194">
        <v>1.85</v>
      </c>
      <c r="AA191" s="80">
        <f t="shared" si="168"/>
        <v>-2.9999999999999805E-2</v>
      </c>
      <c r="AB191" s="80">
        <f t="shared" ref="AB191:AB199" si="179">+CONVERT(AA191,"m^3","gal")</f>
        <v>-7.9251615707444012</v>
      </c>
      <c r="AC191" s="194">
        <v>4.72</v>
      </c>
      <c r="AD191" s="80">
        <f t="shared" si="143"/>
        <v>0.9099999999999997</v>
      </c>
      <c r="AE191" s="80">
        <f t="shared" ref="AE191:AE199" si="180">+CONVERT(AD191,"m^3","gal")</f>
        <v>240.39656764591498</v>
      </c>
      <c r="AF191" s="194">
        <v>238.68</v>
      </c>
      <c r="AG191" s="80">
        <f t="shared" si="159"/>
        <v>0.62999999999999545</v>
      </c>
      <c r="AH191" s="80">
        <f t="shared" si="144"/>
        <v>166.42839298563231</v>
      </c>
      <c r="AI191" s="194">
        <v>211.17</v>
      </c>
      <c r="AJ191" s="80">
        <f t="shared" si="153"/>
        <v>10.410000000000025</v>
      </c>
      <c r="AK191" s="80">
        <f t="shared" ref="AK191:AK199" si="181">+CONVERT(AJ191,"m^3","gal")</f>
        <v>2750.0310650483316</v>
      </c>
      <c r="AL191" s="194">
        <v>4.4400000000000004</v>
      </c>
      <c r="AM191" s="80">
        <f t="shared" si="160"/>
        <v>0.40999999999999925</v>
      </c>
      <c r="AN191" s="17">
        <f t="shared" ref="AN191:AN199" si="182">+CONVERT(AM191,"m^3","gal")</f>
        <v>108.31054146684066</v>
      </c>
      <c r="AO191" s="235">
        <f t="shared" si="139"/>
        <v>0</v>
      </c>
      <c r="AP191" s="19"/>
    </row>
    <row r="192" spans="1:48">
      <c r="A192" s="15">
        <v>45116</v>
      </c>
      <c r="B192" s="194">
        <v>0</v>
      </c>
      <c r="C192" s="80">
        <f t="shared" si="154"/>
        <v>0</v>
      </c>
      <c r="D192" s="158">
        <f t="shared" si="176"/>
        <v>0</v>
      </c>
      <c r="E192" s="263">
        <v>138.38</v>
      </c>
      <c r="F192" s="80">
        <f t="shared" si="150"/>
        <v>1.4499999999999886</v>
      </c>
      <c r="G192" s="158">
        <f t="shared" ref="G192:G199" si="183">+CONVERT(F192,"m^3","gal")</f>
        <v>383.04947591931221</v>
      </c>
      <c r="H192" s="263">
        <v>288</v>
      </c>
      <c r="I192" s="80">
        <f t="shared" si="155"/>
        <v>0</v>
      </c>
      <c r="J192" s="158">
        <f t="shared" si="177"/>
        <v>0</v>
      </c>
      <c r="K192" s="30">
        <v>922.1</v>
      </c>
      <c r="L192" s="80">
        <f t="shared" si="156"/>
        <v>0.69999999999993179</v>
      </c>
      <c r="M192" s="80">
        <f t="shared" si="151"/>
        <v>184.92043665068587</v>
      </c>
      <c r="N192" s="30">
        <v>50.26</v>
      </c>
      <c r="O192" s="80">
        <f t="shared" si="157"/>
        <v>9.7100000000000009</v>
      </c>
      <c r="P192" s="158">
        <f t="shared" si="178"/>
        <v>2565.110628397621</v>
      </c>
      <c r="Q192" s="263">
        <v>12.26</v>
      </c>
      <c r="R192" s="80">
        <f t="shared" si="158"/>
        <v>0</v>
      </c>
      <c r="S192" s="80">
        <f t="shared" si="152"/>
        <v>0</v>
      </c>
      <c r="T192" s="80"/>
      <c r="U192" s="80">
        <f t="shared" si="140"/>
        <v>0</v>
      </c>
      <c r="V192" s="215">
        <f t="shared" si="141"/>
        <v>0</v>
      </c>
      <c r="W192" s="190"/>
      <c r="X192" s="158"/>
      <c r="Y192" s="80">
        <f t="shared" si="142"/>
        <v>0</v>
      </c>
      <c r="Z192" s="263">
        <v>1.88</v>
      </c>
      <c r="AA192" s="80">
        <f t="shared" si="168"/>
        <v>2.9999999999999805E-2</v>
      </c>
      <c r="AB192" s="158">
        <f t="shared" si="179"/>
        <v>7.9251615707444012</v>
      </c>
      <c r="AC192" s="30">
        <v>5.68</v>
      </c>
      <c r="AD192" s="80">
        <f t="shared" si="143"/>
        <v>0.96</v>
      </c>
      <c r="AE192" s="158">
        <f t="shared" si="180"/>
        <v>253.60517026382249</v>
      </c>
      <c r="AF192" s="30">
        <v>225.3</v>
      </c>
      <c r="AG192" s="80">
        <f t="shared" si="159"/>
        <v>13.379999999999995</v>
      </c>
      <c r="AH192" s="80">
        <f t="shared" si="144"/>
        <v>3534.6220605520248</v>
      </c>
      <c r="AI192" s="30">
        <v>273.3</v>
      </c>
      <c r="AJ192" s="80">
        <f t="shared" si="153"/>
        <v>-62.130000000000024</v>
      </c>
      <c r="AK192" s="158">
        <f t="shared" si="181"/>
        <v>-16413.009613011767</v>
      </c>
      <c r="AL192" s="263">
        <v>4.1900000000000004</v>
      </c>
      <c r="AM192" s="80">
        <f t="shared" si="160"/>
        <v>0.25</v>
      </c>
      <c r="AN192" s="189">
        <f t="shared" si="182"/>
        <v>66.043013089537112</v>
      </c>
      <c r="AO192" s="235">
        <f t="shared" si="139"/>
        <v>18148.619997004796</v>
      </c>
      <c r="AP192" s="221">
        <v>68.7</v>
      </c>
    </row>
    <row r="193" spans="1:42">
      <c r="A193" s="15">
        <v>45117</v>
      </c>
      <c r="B193" s="194">
        <v>0</v>
      </c>
      <c r="C193" s="80">
        <f t="shared" si="154"/>
        <v>0</v>
      </c>
      <c r="D193" s="80">
        <f t="shared" si="176"/>
        <v>0</v>
      </c>
      <c r="E193" s="194">
        <v>139.52000000000001</v>
      </c>
      <c r="F193" s="80">
        <f t="shared" si="150"/>
        <v>1.1400000000000148</v>
      </c>
      <c r="G193" s="80">
        <f t="shared" si="183"/>
        <v>301.15613968829308</v>
      </c>
      <c r="H193" s="194">
        <v>288</v>
      </c>
      <c r="I193" s="80">
        <f t="shared" si="155"/>
        <v>0</v>
      </c>
      <c r="J193" s="80">
        <f t="shared" si="177"/>
        <v>0</v>
      </c>
      <c r="K193" s="194">
        <v>920.2</v>
      </c>
      <c r="L193" s="80">
        <f t="shared" si="156"/>
        <v>1.8999999999999773</v>
      </c>
      <c r="M193" s="80">
        <f t="shared" si="151"/>
        <v>501.92689948047598</v>
      </c>
      <c r="N193" s="194">
        <v>43.25</v>
      </c>
      <c r="O193" s="80">
        <f t="shared" si="157"/>
        <v>7.009999999999998</v>
      </c>
      <c r="P193" s="80">
        <f t="shared" si="178"/>
        <v>1851.8460870306199</v>
      </c>
      <c r="Q193" s="194">
        <v>12.26</v>
      </c>
      <c r="R193" s="80">
        <f t="shared" si="158"/>
        <v>0</v>
      </c>
      <c r="S193" s="80">
        <f t="shared" si="152"/>
        <v>0</v>
      </c>
      <c r="T193" s="80"/>
      <c r="U193" s="80">
        <f t="shared" si="140"/>
        <v>0</v>
      </c>
      <c r="V193" s="215">
        <f t="shared" si="141"/>
        <v>0</v>
      </c>
      <c r="W193" s="185"/>
      <c r="X193" s="80"/>
      <c r="Y193" s="80">
        <f t="shared" si="142"/>
        <v>0</v>
      </c>
      <c r="Z193" s="194">
        <v>1.86</v>
      </c>
      <c r="AA193" s="80">
        <f t="shared" si="168"/>
        <v>-1.9999999999999796E-2</v>
      </c>
      <c r="AB193" s="80">
        <f t="shared" si="179"/>
        <v>-5.2834410471629143</v>
      </c>
      <c r="AC193" s="194">
        <v>6.62</v>
      </c>
      <c r="AD193" s="80">
        <f t="shared" si="143"/>
        <v>0.94000000000000039</v>
      </c>
      <c r="AE193" s="80">
        <f t="shared" si="180"/>
        <v>248.32172921665961</v>
      </c>
      <c r="AF193" s="194">
        <v>219.6</v>
      </c>
      <c r="AG193" s="80">
        <f t="shared" si="159"/>
        <v>5.7000000000000171</v>
      </c>
      <c r="AH193" s="80">
        <f t="shared" si="144"/>
        <v>1505.7806984414506</v>
      </c>
      <c r="AI193" s="194">
        <v>258</v>
      </c>
      <c r="AJ193" s="80">
        <f t="shared" si="153"/>
        <v>15.300000000000011</v>
      </c>
      <c r="AK193" s="80">
        <f t="shared" si="181"/>
        <v>4041.8324010796737</v>
      </c>
      <c r="AL193" s="194">
        <v>8.1</v>
      </c>
      <c r="AM193" s="80">
        <f t="shared" si="160"/>
        <v>-3.9099999999999993</v>
      </c>
      <c r="AN193" s="17">
        <f t="shared" si="182"/>
        <v>-1032.9127247203601</v>
      </c>
      <c r="AO193" s="235">
        <f t="shared" si="139"/>
        <v>0</v>
      </c>
      <c r="AP193" s="19"/>
    </row>
    <row r="194" spans="1:42">
      <c r="A194" s="15">
        <v>45118</v>
      </c>
      <c r="B194" s="194">
        <v>0</v>
      </c>
      <c r="C194" s="80">
        <f t="shared" si="154"/>
        <v>0</v>
      </c>
      <c r="D194" s="80">
        <f t="shared" ref="D194:D201" si="184">+CONVERT(C194,"m^3","gal")</f>
        <v>0</v>
      </c>
      <c r="E194" s="194">
        <v>141.12</v>
      </c>
      <c r="F194" s="80">
        <f t="shared" si="150"/>
        <v>1.5999999999999943</v>
      </c>
      <c r="G194" s="80">
        <f t="shared" si="183"/>
        <v>422.67528377303597</v>
      </c>
      <c r="H194" s="194">
        <v>288</v>
      </c>
      <c r="I194" s="80">
        <f t="shared" si="155"/>
        <v>0</v>
      </c>
      <c r="J194" s="80">
        <f t="shared" si="177"/>
        <v>0</v>
      </c>
      <c r="K194" s="194">
        <v>910.7</v>
      </c>
      <c r="L194" s="80">
        <f t="shared" si="156"/>
        <v>9.5</v>
      </c>
      <c r="M194" s="80">
        <f t="shared" si="151"/>
        <v>2509.63449740241</v>
      </c>
      <c r="N194" s="194">
        <v>68.69</v>
      </c>
      <c r="O194" s="80">
        <f t="shared" si="157"/>
        <v>-25.439999999999998</v>
      </c>
      <c r="P194" s="80">
        <f t="shared" si="178"/>
        <v>-6720.537011991295</v>
      </c>
      <c r="Q194" s="194">
        <v>12.26</v>
      </c>
      <c r="R194" s="80">
        <f t="shared" si="158"/>
        <v>0</v>
      </c>
      <c r="S194" s="80">
        <f t="shared" si="152"/>
        <v>0</v>
      </c>
      <c r="T194" s="80"/>
      <c r="U194" s="80">
        <f t="shared" si="140"/>
        <v>0</v>
      </c>
      <c r="V194" s="215">
        <f t="shared" si="141"/>
        <v>0</v>
      </c>
      <c r="W194" s="185"/>
      <c r="X194" s="80"/>
      <c r="Y194" s="80">
        <f t="shared" si="142"/>
        <v>0</v>
      </c>
      <c r="Z194" s="194">
        <v>1.86</v>
      </c>
      <c r="AA194" s="80">
        <f t="shared" si="168"/>
        <v>0</v>
      </c>
      <c r="AB194" s="80">
        <f t="shared" si="179"/>
        <v>0</v>
      </c>
      <c r="AC194" s="194">
        <v>7.5</v>
      </c>
      <c r="AD194" s="80">
        <f t="shared" si="143"/>
        <v>0.87999999999999989</v>
      </c>
      <c r="AE194" s="80">
        <f t="shared" si="180"/>
        <v>232.47140607517059</v>
      </c>
      <c r="AF194" s="194">
        <v>248.7</v>
      </c>
      <c r="AG194" s="80">
        <f t="shared" si="159"/>
        <v>-29.099999999999994</v>
      </c>
      <c r="AH194" s="80">
        <f t="shared" si="144"/>
        <v>-7687.4067236221172</v>
      </c>
      <c r="AI194" s="194">
        <v>250.2</v>
      </c>
      <c r="AJ194" s="80">
        <f t="shared" si="153"/>
        <v>7.8000000000000114</v>
      </c>
      <c r="AK194" s="80">
        <f t="shared" si="181"/>
        <v>2060.5420083935605</v>
      </c>
      <c r="AL194" s="194">
        <v>7.46</v>
      </c>
      <c r="AM194" s="80">
        <f t="shared" si="160"/>
        <v>0.63999999999999968</v>
      </c>
      <c r="AN194" s="17">
        <f t="shared" si="182"/>
        <v>169.07011350921491</v>
      </c>
      <c r="AO194" s="235">
        <f t="shared" ref="AO194:AO257" si="185">+CONVERT(AP194,"m3","gal")</f>
        <v>8004.4131864518968</v>
      </c>
      <c r="AP194" s="19">
        <v>30.3</v>
      </c>
    </row>
    <row r="195" spans="1:42">
      <c r="A195" s="15">
        <v>45119</v>
      </c>
      <c r="B195" s="194">
        <v>0</v>
      </c>
      <c r="C195" s="80">
        <f t="shared" si="154"/>
        <v>0</v>
      </c>
      <c r="D195" s="80">
        <f t="shared" si="184"/>
        <v>0</v>
      </c>
      <c r="E195" s="194">
        <v>143.13999999999999</v>
      </c>
      <c r="F195" s="80">
        <f t="shared" ref="F195:F258" si="186">IF(E195="",0,E195-E194)</f>
        <v>2.0199999999999818</v>
      </c>
      <c r="G195" s="80">
        <f t="shared" si="183"/>
        <v>533.62754576345503</v>
      </c>
      <c r="H195" s="194">
        <v>288</v>
      </c>
      <c r="I195" s="80">
        <f t="shared" si="155"/>
        <v>0</v>
      </c>
      <c r="J195" s="80">
        <f t="shared" si="177"/>
        <v>0</v>
      </c>
      <c r="K195" s="194">
        <v>900</v>
      </c>
      <c r="L195" s="80">
        <f t="shared" si="156"/>
        <v>10.700000000000045</v>
      </c>
      <c r="M195" s="80">
        <f t="shared" si="151"/>
        <v>2826.6409602322001</v>
      </c>
      <c r="N195" s="194">
        <v>61.55</v>
      </c>
      <c r="O195" s="80">
        <f t="shared" si="157"/>
        <v>7.1400000000000006</v>
      </c>
      <c r="P195" s="80">
        <f t="shared" si="178"/>
        <v>1886.1884538371801</v>
      </c>
      <c r="Q195" s="194">
        <v>12.26</v>
      </c>
      <c r="R195" s="80">
        <f t="shared" si="158"/>
        <v>0</v>
      </c>
      <c r="S195" s="80">
        <f t="shared" si="152"/>
        <v>0</v>
      </c>
      <c r="T195" s="80"/>
      <c r="U195" s="80">
        <f t="shared" ref="U195:U258" si="187">+CONVERT(T195,"gal","l")</f>
        <v>0</v>
      </c>
      <c r="V195" s="215">
        <f t="shared" ref="V195:V258" si="188">+CONVERT(W195,"gal","m3")</f>
        <v>0</v>
      </c>
      <c r="W195" s="185"/>
      <c r="X195" s="80"/>
      <c r="Y195" s="80">
        <f t="shared" si="142"/>
        <v>0</v>
      </c>
      <c r="Z195" s="194">
        <v>1.85</v>
      </c>
      <c r="AA195" s="80">
        <f t="shared" si="168"/>
        <v>-1.0000000000000009E-2</v>
      </c>
      <c r="AB195" s="80">
        <f t="shared" si="179"/>
        <v>-2.6417205235814865</v>
      </c>
      <c r="AC195" s="194">
        <v>14.75</v>
      </c>
      <c r="AD195" s="80">
        <f t="shared" si="143"/>
        <v>7.25</v>
      </c>
      <c r="AE195" s="80">
        <f t="shared" si="180"/>
        <v>1915.2473795965761</v>
      </c>
      <c r="AF195" s="194">
        <v>248.43</v>
      </c>
      <c r="AG195" s="80">
        <f t="shared" si="159"/>
        <v>0.26999999999998181</v>
      </c>
      <c r="AH195" s="80">
        <f t="shared" si="144"/>
        <v>71.326454136695276</v>
      </c>
      <c r="AI195" s="194">
        <v>239.34</v>
      </c>
      <c r="AJ195" s="80">
        <f t="shared" si="153"/>
        <v>10.859999999999985</v>
      </c>
      <c r="AK195" s="80">
        <f t="shared" si="181"/>
        <v>2868.9084886094879</v>
      </c>
      <c r="AL195" s="194">
        <v>7.83</v>
      </c>
      <c r="AM195" s="80">
        <f t="shared" si="160"/>
        <v>-0.37000000000000011</v>
      </c>
      <c r="AN195" s="17">
        <f t="shared" si="182"/>
        <v>-97.743659372514941</v>
      </c>
      <c r="AO195" s="235">
        <f t="shared" si="185"/>
        <v>0</v>
      </c>
      <c r="AP195" s="19"/>
    </row>
    <row r="196" spans="1:42">
      <c r="A196" s="15">
        <v>45120</v>
      </c>
      <c r="B196" s="194">
        <v>0</v>
      </c>
      <c r="C196" s="80">
        <f t="shared" si="154"/>
        <v>0</v>
      </c>
      <c r="D196" s="80">
        <f t="shared" si="184"/>
        <v>0</v>
      </c>
      <c r="E196" s="194">
        <v>144.69</v>
      </c>
      <c r="F196" s="80">
        <f t="shared" si="186"/>
        <v>1.5500000000000114</v>
      </c>
      <c r="G196" s="80">
        <f t="shared" si="183"/>
        <v>409.46668115513307</v>
      </c>
      <c r="H196" s="194">
        <v>288</v>
      </c>
      <c r="I196" s="80">
        <f t="shared" si="155"/>
        <v>0</v>
      </c>
      <c r="J196" s="80">
        <f t="shared" si="177"/>
        <v>0</v>
      </c>
      <c r="K196" s="194">
        <v>887.8</v>
      </c>
      <c r="L196" s="80">
        <f t="shared" si="156"/>
        <v>12.200000000000045</v>
      </c>
      <c r="M196" s="80">
        <f t="shared" ref="M196:M259" si="189">+CONVERT(L196,"m^3","gal")</f>
        <v>3222.899038769423</v>
      </c>
      <c r="N196" s="194">
        <v>54.12</v>
      </c>
      <c r="O196" s="80">
        <f t="shared" si="157"/>
        <v>7.43</v>
      </c>
      <c r="P196" s="80">
        <f t="shared" si="178"/>
        <v>1962.7983490210429</v>
      </c>
      <c r="Q196" s="194">
        <v>11.31</v>
      </c>
      <c r="R196" s="80">
        <f t="shared" si="158"/>
        <v>0.94999999999999929</v>
      </c>
      <c r="S196" s="80">
        <f t="shared" ref="S196:S259" si="190">+CONVERT(R196,"m^3","gal")</f>
        <v>250.96344974024083</v>
      </c>
      <c r="T196" s="80"/>
      <c r="U196" s="80">
        <f t="shared" si="187"/>
        <v>0</v>
      </c>
      <c r="V196" s="215">
        <f t="shared" si="188"/>
        <v>0</v>
      </c>
      <c r="W196" s="185"/>
      <c r="X196" s="80"/>
      <c r="Y196" s="80">
        <f t="shared" ref="Y196:Y259" si="191">+CONVERT(X196,"gal","m^3")</f>
        <v>0</v>
      </c>
      <c r="Z196" s="194">
        <v>1.85</v>
      </c>
      <c r="AA196" s="80">
        <f t="shared" si="168"/>
        <v>0</v>
      </c>
      <c r="AB196" s="80">
        <f t="shared" si="179"/>
        <v>0</v>
      </c>
      <c r="AC196" s="194">
        <v>15.68</v>
      </c>
      <c r="AD196" s="80">
        <f t="shared" ref="AD196:AD259" si="192">IF(AC196="",0,AC196-AC195)</f>
        <v>0.92999999999999972</v>
      </c>
      <c r="AE196" s="80">
        <f t="shared" si="180"/>
        <v>245.68000869307798</v>
      </c>
      <c r="AF196" s="194">
        <v>236.82</v>
      </c>
      <c r="AG196" s="80">
        <f t="shared" si="159"/>
        <v>11.610000000000014</v>
      </c>
      <c r="AH196" s="80">
        <f t="shared" ref="AH196:AH259" si="193">+CONVERT(AG196,"m^3","gal")</f>
        <v>3067.0375278781071</v>
      </c>
      <c r="AI196" s="194">
        <v>219.69</v>
      </c>
      <c r="AJ196" s="80">
        <f t="shared" si="153"/>
        <v>19.650000000000006</v>
      </c>
      <c r="AK196" s="80">
        <f t="shared" si="181"/>
        <v>5190.980828837618</v>
      </c>
      <c r="AL196" s="194">
        <v>4.29</v>
      </c>
      <c r="AM196" s="80">
        <f t="shared" si="160"/>
        <v>3.54</v>
      </c>
      <c r="AN196" s="17">
        <f t="shared" si="182"/>
        <v>935.16906534784539</v>
      </c>
      <c r="AO196" s="235">
        <f t="shared" si="185"/>
        <v>0</v>
      </c>
      <c r="AP196" s="19"/>
    </row>
    <row r="197" spans="1:42">
      <c r="A197" s="15">
        <v>45121</v>
      </c>
      <c r="B197" s="194">
        <v>0</v>
      </c>
      <c r="C197" s="80">
        <f t="shared" si="154"/>
        <v>0</v>
      </c>
      <c r="D197" s="80">
        <f t="shared" si="184"/>
        <v>0</v>
      </c>
      <c r="E197" s="194">
        <v>146.06</v>
      </c>
      <c r="F197" s="80">
        <f t="shared" si="186"/>
        <v>1.3700000000000045</v>
      </c>
      <c r="G197" s="80">
        <f t="shared" si="183"/>
        <v>361.91571173066455</v>
      </c>
      <c r="H197" s="194">
        <v>288</v>
      </c>
      <c r="I197" s="80">
        <f t="shared" si="155"/>
        <v>0</v>
      </c>
      <c r="J197" s="80">
        <f t="shared" si="177"/>
        <v>0</v>
      </c>
      <c r="K197" s="194">
        <v>886.8</v>
      </c>
      <c r="L197" s="80">
        <f t="shared" si="156"/>
        <v>1</v>
      </c>
      <c r="M197" s="80">
        <f t="shared" si="189"/>
        <v>264.17205235814845</v>
      </c>
      <c r="N197" s="194">
        <v>48.11</v>
      </c>
      <c r="O197" s="80">
        <f t="shared" si="157"/>
        <v>6.009999999999998</v>
      </c>
      <c r="P197" s="80">
        <f t="shared" si="178"/>
        <v>1587.6740346724716</v>
      </c>
      <c r="Q197" s="194">
        <v>10.96</v>
      </c>
      <c r="R197" s="80">
        <f t="shared" si="158"/>
        <v>0.34999999999999964</v>
      </c>
      <c r="S197" s="80">
        <f t="shared" si="190"/>
        <v>92.46021832535186</v>
      </c>
      <c r="T197" s="80"/>
      <c r="U197" s="80">
        <f t="shared" si="187"/>
        <v>0</v>
      </c>
      <c r="V197" s="215">
        <f t="shared" si="188"/>
        <v>0</v>
      </c>
      <c r="W197" s="185"/>
      <c r="X197" s="80"/>
      <c r="Y197" s="80">
        <f t="shared" si="191"/>
        <v>0</v>
      </c>
      <c r="Z197" s="194">
        <v>1.99</v>
      </c>
      <c r="AA197" s="80">
        <f t="shared" si="168"/>
        <v>0.1399999999999999</v>
      </c>
      <c r="AB197" s="80">
        <f t="shared" si="179"/>
        <v>36.98408733014076</v>
      </c>
      <c r="AC197" s="194">
        <v>15.69</v>
      </c>
      <c r="AD197" s="80">
        <f t="shared" si="192"/>
        <v>9.9999999999997868E-3</v>
      </c>
      <c r="AE197" s="80">
        <f t="shared" si="180"/>
        <v>2.6417205235814278</v>
      </c>
      <c r="AF197" s="194">
        <v>237.24</v>
      </c>
      <c r="AG197" s="80">
        <f t="shared" si="159"/>
        <v>-0.42000000000001592</v>
      </c>
      <c r="AH197" s="80">
        <f t="shared" si="193"/>
        <v>-110.95226199042654</v>
      </c>
      <c r="AI197" s="194">
        <v>214.65</v>
      </c>
      <c r="AJ197" s="80">
        <f t="shared" si="153"/>
        <v>5.039999999999992</v>
      </c>
      <c r="AK197" s="80">
        <f t="shared" si="181"/>
        <v>1331.4271438850658</v>
      </c>
      <c r="AL197" s="194">
        <v>5.42</v>
      </c>
      <c r="AM197" s="80">
        <f t="shared" si="160"/>
        <v>-1.1299999999999999</v>
      </c>
      <c r="AN197" s="17">
        <f t="shared" si="182"/>
        <v>-298.5144191647077</v>
      </c>
      <c r="AO197" s="235">
        <f t="shared" si="185"/>
        <v>0</v>
      </c>
      <c r="AP197" s="19"/>
    </row>
    <row r="198" spans="1:42">
      <c r="A198" s="15">
        <v>45122</v>
      </c>
      <c r="B198" s="194">
        <v>0</v>
      </c>
      <c r="C198" s="80">
        <f t="shared" si="154"/>
        <v>0</v>
      </c>
      <c r="D198" s="80">
        <f t="shared" si="184"/>
        <v>0</v>
      </c>
      <c r="E198" s="194">
        <v>147.1</v>
      </c>
      <c r="F198" s="80">
        <f t="shared" si="186"/>
        <v>1.039999999999992</v>
      </c>
      <c r="G198" s="80">
        <f t="shared" si="183"/>
        <v>274.73893445247228</v>
      </c>
      <c r="H198" s="194">
        <v>288</v>
      </c>
      <c r="I198" s="80">
        <f t="shared" si="155"/>
        <v>0</v>
      </c>
      <c r="J198" s="80">
        <f t="shared" si="177"/>
        <v>0</v>
      </c>
      <c r="K198" s="194">
        <v>884.8</v>
      </c>
      <c r="L198" s="80">
        <f t="shared" si="156"/>
        <v>2</v>
      </c>
      <c r="M198" s="80">
        <f t="shared" si="189"/>
        <v>528.3441047162969</v>
      </c>
      <c r="N198" s="194">
        <v>42</v>
      </c>
      <c r="O198" s="80">
        <f t="shared" si="157"/>
        <v>6.1099999999999994</v>
      </c>
      <c r="P198" s="80">
        <f t="shared" si="178"/>
        <v>1614.0912399082865</v>
      </c>
      <c r="Q198" s="194">
        <v>10.92</v>
      </c>
      <c r="R198" s="80">
        <f t="shared" si="158"/>
        <v>4.0000000000000924E-2</v>
      </c>
      <c r="S198" s="80">
        <f t="shared" si="190"/>
        <v>10.56688209432618</v>
      </c>
      <c r="T198" s="80"/>
      <c r="U198" s="80">
        <f t="shared" si="187"/>
        <v>0</v>
      </c>
      <c r="V198" s="215">
        <f t="shared" si="188"/>
        <v>0</v>
      </c>
      <c r="W198" s="185"/>
      <c r="X198" s="80"/>
      <c r="Y198" s="80">
        <f t="shared" si="191"/>
        <v>0</v>
      </c>
      <c r="Z198" s="194">
        <v>1.96</v>
      </c>
      <c r="AA198" s="80">
        <f t="shared" si="168"/>
        <v>-3.0000000000000027E-2</v>
      </c>
      <c r="AB198" s="80">
        <f t="shared" si="179"/>
        <v>-7.9251615707444598</v>
      </c>
      <c r="AC198" s="194">
        <v>16.829999999999998</v>
      </c>
      <c r="AD198" s="80">
        <f t="shared" si="192"/>
        <v>1.1399999999999988</v>
      </c>
      <c r="AE198" s="80">
        <f t="shared" si="180"/>
        <v>301.15613968828887</v>
      </c>
      <c r="AF198" s="194">
        <v>236.79</v>
      </c>
      <c r="AG198" s="80">
        <f t="shared" si="159"/>
        <v>0.45000000000001705</v>
      </c>
      <c r="AH198" s="80">
        <f t="shared" si="193"/>
        <v>118.8774235611713</v>
      </c>
      <c r="AI198" s="194">
        <v>205.59</v>
      </c>
      <c r="AJ198" s="80">
        <f t="shared" si="153"/>
        <v>9.0600000000000023</v>
      </c>
      <c r="AK198" s="80">
        <f t="shared" si="181"/>
        <v>2393.3987943648253</v>
      </c>
      <c r="AL198" s="194">
        <v>9.4</v>
      </c>
      <c r="AM198" s="80">
        <f t="shared" si="160"/>
        <v>-3.9800000000000004</v>
      </c>
      <c r="AN198" s="17">
        <f t="shared" si="182"/>
        <v>-1051.4047683854308</v>
      </c>
      <c r="AO198" s="235">
        <f t="shared" si="185"/>
        <v>0</v>
      </c>
      <c r="AP198" s="19"/>
    </row>
    <row r="199" spans="1:42">
      <c r="A199" s="15">
        <v>45123</v>
      </c>
      <c r="B199" s="194">
        <v>0</v>
      </c>
      <c r="C199" s="80">
        <f t="shared" si="154"/>
        <v>0</v>
      </c>
      <c r="D199" s="80">
        <f t="shared" si="184"/>
        <v>0</v>
      </c>
      <c r="E199" s="194">
        <v>148.03</v>
      </c>
      <c r="F199" s="80">
        <f t="shared" si="186"/>
        <v>0.93000000000000682</v>
      </c>
      <c r="G199" s="80">
        <f t="shared" si="183"/>
        <v>245.68000869307983</v>
      </c>
      <c r="H199" s="194">
        <v>288</v>
      </c>
      <c r="I199" s="80">
        <f t="shared" si="155"/>
        <v>0</v>
      </c>
      <c r="J199" s="80">
        <f t="shared" si="177"/>
        <v>0</v>
      </c>
      <c r="K199" s="194">
        <v>883</v>
      </c>
      <c r="L199" s="80">
        <f t="shared" si="156"/>
        <v>1.7999999999999545</v>
      </c>
      <c r="M199" s="80">
        <f t="shared" si="189"/>
        <v>475.50969424465512</v>
      </c>
      <c r="N199" s="194">
        <v>35.299999999999997</v>
      </c>
      <c r="O199" s="80">
        <f t="shared" si="157"/>
        <v>6.7000000000000028</v>
      </c>
      <c r="P199" s="80">
        <f t="shared" si="178"/>
        <v>1769.9527507995952</v>
      </c>
      <c r="Q199" s="194">
        <v>10.87</v>
      </c>
      <c r="R199" s="80">
        <f t="shared" si="158"/>
        <v>5.0000000000000711E-2</v>
      </c>
      <c r="S199" s="80">
        <f t="shared" si="190"/>
        <v>13.208602617907609</v>
      </c>
      <c r="T199" s="80"/>
      <c r="U199" s="80">
        <f t="shared" si="187"/>
        <v>0</v>
      </c>
      <c r="V199" s="215">
        <f t="shared" si="188"/>
        <v>0</v>
      </c>
      <c r="W199" s="185"/>
      <c r="X199" s="80"/>
      <c r="Y199" s="80">
        <f t="shared" si="191"/>
        <v>0</v>
      </c>
      <c r="Z199" s="194">
        <v>17.11</v>
      </c>
      <c r="AA199" s="80">
        <f t="shared" si="168"/>
        <v>15.149999999999999</v>
      </c>
      <c r="AB199" s="80">
        <f t="shared" si="179"/>
        <v>4002.2065932259479</v>
      </c>
      <c r="AC199" s="194">
        <v>17.739999999999998</v>
      </c>
      <c r="AD199" s="80">
        <f t="shared" si="192"/>
        <v>0.91000000000000014</v>
      </c>
      <c r="AE199" s="80">
        <f t="shared" si="180"/>
        <v>240.3965676459151</v>
      </c>
      <c r="AF199" s="194">
        <v>237.3</v>
      </c>
      <c r="AG199" s="80">
        <f t="shared" si="159"/>
        <v>-0.51000000000001933</v>
      </c>
      <c r="AH199" s="80">
        <f t="shared" si="193"/>
        <v>-134.7277467026608</v>
      </c>
      <c r="AI199" s="194">
        <v>237.24</v>
      </c>
      <c r="AJ199" s="80">
        <f t="shared" si="153"/>
        <v>-31.650000000000006</v>
      </c>
      <c r="AK199" s="80">
        <f t="shared" si="181"/>
        <v>-8361.0454571354003</v>
      </c>
      <c r="AL199" s="194">
        <v>7.31</v>
      </c>
      <c r="AM199" s="80">
        <f t="shared" si="160"/>
        <v>2.0900000000000007</v>
      </c>
      <c r="AN199" s="17">
        <f t="shared" si="182"/>
        <v>552.11958942853039</v>
      </c>
      <c r="AO199" s="235">
        <f t="shared" si="185"/>
        <v>10223.458426260344</v>
      </c>
      <c r="AP199" s="19">
        <v>38.700000000000003</v>
      </c>
    </row>
    <row r="200" spans="1:42">
      <c r="A200" s="15">
        <v>45124</v>
      </c>
      <c r="B200" s="194">
        <v>0</v>
      </c>
      <c r="C200" s="80">
        <f t="shared" si="154"/>
        <v>0</v>
      </c>
      <c r="D200" s="80">
        <f t="shared" si="184"/>
        <v>0</v>
      </c>
      <c r="E200" s="194">
        <v>149.25</v>
      </c>
      <c r="F200" s="80">
        <f t="shared" si="186"/>
        <v>1.2199999999999989</v>
      </c>
      <c r="G200" s="80">
        <f>+CONVERT(F200,"m^3","gal")</f>
        <v>322.2899038769408</v>
      </c>
      <c r="H200" s="194">
        <v>288</v>
      </c>
      <c r="I200" s="80">
        <f t="shared" si="155"/>
        <v>0</v>
      </c>
      <c r="J200" s="80">
        <f t="shared" ref="J200:J207" si="194">+CONVERT(I200,"m^3","gal")</f>
        <v>0</v>
      </c>
      <c r="K200" s="194">
        <v>922.4</v>
      </c>
      <c r="L200" s="80">
        <f t="shared" si="156"/>
        <v>-39.399999999999977</v>
      </c>
      <c r="M200" s="80">
        <f t="shared" si="189"/>
        <v>-10408.378862911042</v>
      </c>
      <c r="N200" s="194">
        <v>70.209999999999994</v>
      </c>
      <c r="O200" s="80">
        <f t="shared" si="157"/>
        <v>-34.909999999999997</v>
      </c>
      <c r="P200" s="80">
        <f t="shared" ref="P200:P211" si="195">+CONVERT(O200,"m^3","gal")</f>
        <v>-9222.246347822962</v>
      </c>
      <c r="Q200" s="194">
        <v>10.87</v>
      </c>
      <c r="R200" s="80">
        <f t="shared" si="158"/>
        <v>0</v>
      </c>
      <c r="S200" s="80">
        <f t="shared" si="190"/>
        <v>0</v>
      </c>
      <c r="T200" s="80"/>
      <c r="U200" s="80">
        <f t="shared" si="187"/>
        <v>0</v>
      </c>
      <c r="V200" s="215">
        <f t="shared" si="188"/>
        <v>0</v>
      </c>
      <c r="W200" s="185"/>
      <c r="X200" s="80"/>
      <c r="Y200" s="80">
        <f t="shared" si="191"/>
        <v>0</v>
      </c>
      <c r="Z200" s="194">
        <v>17.11</v>
      </c>
      <c r="AA200" s="80">
        <f t="shared" si="168"/>
        <v>0</v>
      </c>
      <c r="AB200" s="80">
        <f t="shared" ref="AB200:AB205" si="196">+CONVERT(AA200,"m^3","gal")</f>
        <v>0</v>
      </c>
      <c r="AC200" s="194">
        <v>18.78</v>
      </c>
      <c r="AD200" s="80">
        <f t="shared" si="192"/>
        <v>1.0400000000000027</v>
      </c>
      <c r="AE200" s="80">
        <f t="shared" ref="AE200:AE207" si="197">+CONVERT(AD200,"m^3","gal")</f>
        <v>274.73893445247506</v>
      </c>
      <c r="AF200" s="194">
        <v>237.36</v>
      </c>
      <c r="AG200" s="80">
        <f t="shared" si="159"/>
        <v>-6.0000000000002274E-2</v>
      </c>
      <c r="AH200" s="80">
        <f t="shared" si="193"/>
        <v>-15.850323141489506</v>
      </c>
      <c r="AI200" s="194">
        <v>276.33</v>
      </c>
      <c r="AJ200" s="80">
        <f t="shared" si="153"/>
        <v>-39.089999999999975</v>
      </c>
      <c r="AK200" s="80">
        <f>+CONVERT(AJ200,"m^3","gal")</f>
        <v>-10326.485526680017</v>
      </c>
      <c r="AL200" s="194">
        <v>4.3499999999999996</v>
      </c>
      <c r="AM200" s="80">
        <f t="shared" si="160"/>
        <v>2.96</v>
      </c>
      <c r="AN200" s="17">
        <f t="shared" ref="AN200:AN207" si="198">+CONVERT(AM200,"m^3","gal")</f>
        <v>781.9492749801193</v>
      </c>
      <c r="AO200" s="235">
        <f t="shared" si="185"/>
        <v>11174.477814749678</v>
      </c>
      <c r="AP200" s="19">
        <v>42.3</v>
      </c>
    </row>
    <row r="201" spans="1:42">
      <c r="A201" s="15">
        <v>45125</v>
      </c>
      <c r="B201" s="194">
        <v>0</v>
      </c>
      <c r="C201" s="80">
        <f t="shared" si="154"/>
        <v>0</v>
      </c>
      <c r="D201" s="80">
        <f t="shared" si="184"/>
        <v>0</v>
      </c>
      <c r="E201" s="194">
        <v>151.09</v>
      </c>
      <c r="F201" s="80">
        <f t="shared" si="186"/>
        <v>1.8400000000000034</v>
      </c>
      <c r="G201" s="80">
        <f>+CONVERT(F201,"m^3","gal")</f>
        <v>486.07657633899402</v>
      </c>
      <c r="H201" s="194">
        <v>288</v>
      </c>
      <c r="I201" s="80">
        <f t="shared" si="155"/>
        <v>0</v>
      </c>
      <c r="J201" s="80">
        <f t="shared" si="194"/>
        <v>0</v>
      </c>
      <c r="K201" s="194">
        <v>920.3</v>
      </c>
      <c r="L201" s="80">
        <f t="shared" si="156"/>
        <v>2.1000000000000227</v>
      </c>
      <c r="M201" s="80">
        <f t="shared" si="189"/>
        <v>554.7613099521177</v>
      </c>
      <c r="N201" s="194">
        <v>63.69</v>
      </c>
      <c r="O201" s="80">
        <f t="shared" si="157"/>
        <v>6.519999999999996</v>
      </c>
      <c r="P201" s="80">
        <f t="shared" si="195"/>
        <v>1722.4017813751268</v>
      </c>
      <c r="Q201" s="194">
        <v>10.87</v>
      </c>
      <c r="R201" s="80">
        <f t="shared" si="158"/>
        <v>0</v>
      </c>
      <c r="S201" s="80">
        <f t="shared" si="190"/>
        <v>0</v>
      </c>
      <c r="T201" s="80"/>
      <c r="U201" s="80">
        <f t="shared" si="187"/>
        <v>0</v>
      </c>
      <c r="V201" s="215">
        <f t="shared" si="188"/>
        <v>0</v>
      </c>
      <c r="W201" s="185"/>
      <c r="X201" s="80"/>
      <c r="Y201" s="80">
        <f t="shared" si="191"/>
        <v>0</v>
      </c>
      <c r="Z201" s="194">
        <v>2.96</v>
      </c>
      <c r="AA201" s="80">
        <f t="shared" si="168"/>
        <v>-14.149999999999999</v>
      </c>
      <c r="AB201" s="80">
        <f t="shared" si="196"/>
        <v>-3738.0345408677995</v>
      </c>
      <c r="AC201" s="194">
        <v>3.66</v>
      </c>
      <c r="AD201" s="80">
        <f t="shared" si="192"/>
        <v>-15.120000000000001</v>
      </c>
      <c r="AE201" s="80">
        <f t="shared" si="197"/>
        <v>-3994.2814316552044</v>
      </c>
      <c r="AF201" s="194">
        <v>236.4</v>
      </c>
      <c r="AG201" s="80">
        <f t="shared" si="159"/>
        <v>0.96000000000000796</v>
      </c>
      <c r="AH201" s="80">
        <f t="shared" si="193"/>
        <v>253.60517026382459</v>
      </c>
      <c r="AI201" s="194">
        <v>270.3</v>
      </c>
      <c r="AJ201" s="80">
        <f t="shared" si="153"/>
        <v>6.0299999999999727</v>
      </c>
      <c r="AK201" s="80">
        <f>+CONVERT(AJ201,"m^3","gal")</f>
        <v>1592.9574757196278</v>
      </c>
      <c r="AL201" s="194">
        <v>6.92</v>
      </c>
      <c r="AM201" s="80">
        <f t="shared" si="160"/>
        <v>-2.5700000000000003</v>
      </c>
      <c r="AN201" s="17">
        <f t="shared" si="198"/>
        <v>-678.92217456044159</v>
      </c>
      <c r="AO201" s="235">
        <f t="shared" si="185"/>
        <v>0</v>
      </c>
      <c r="AP201" s="19"/>
    </row>
    <row r="202" spans="1:42">
      <c r="A202" s="15">
        <v>45126</v>
      </c>
      <c r="B202" s="194">
        <v>0</v>
      </c>
      <c r="C202" s="80">
        <f t="shared" si="154"/>
        <v>0</v>
      </c>
      <c r="D202" s="80">
        <f t="shared" ref="D202:D219" si="199">+CONVERT(C202,"m^3","gal")</f>
        <v>0</v>
      </c>
      <c r="E202" s="194">
        <v>152.41999999999999</v>
      </c>
      <c r="F202" s="80">
        <f t="shared" si="186"/>
        <v>1.3299999999999841</v>
      </c>
      <c r="G202" s="80">
        <f>+CONVERT(F202,"m^3","gal")</f>
        <v>351.34882963633322</v>
      </c>
      <c r="H202" s="194">
        <v>288</v>
      </c>
      <c r="I202" s="80">
        <f t="shared" si="155"/>
        <v>0</v>
      </c>
      <c r="J202" s="80">
        <f t="shared" si="194"/>
        <v>0</v>
      </c>
      <c r="K202" s="194">
        <v>919.9</v>
      </c>
      <c r="L202" s="80">
        <f t="shared" si="156"/>
        <v>0.39999999999997726</v>
      </c>
      <c r="M202" s="80">
        <f t="shared" si="189"/>
        <v>105.66882094325337</v>
      </c>
      <c r="N202" s="194">
        <v>56.93</v>
      </c>
      <c r="O202" s="80">
        <f t="shared" si="157"/>
        <v>6.759999999999998</v>
      </c>
      <c r="P202" s="80">
        <f t="shared" si="195"/>
        <v>1785.8030739410829</v>
      </c>
      <c r="Q202" s="194">
        <v>9.36</v>
      </c>
      <c r="R202" s="80">
        <f t="shared" si="158"/>
        <v>1.5099999999999998</v>
      </c>
      <c r="S202" s="80">
        <f t="shared" si="190"/>
        <v>398.89979906080407</v>
      </c>
      <c r="T202" s="80"/>
      <c r="U202" s="80">
        <f t="shared" si="187"/>
        <v>0</v>
      </c>
      <c r="V202" s="215">
        <f t="shared" si="188"/>
        <v>0</v>
      </c>
      <c r="W202" s="185"/>
      <c r="X202" s="80"/>
      <c r="Y202" s="80">
        <f t="shared" si="191"/>
        <v>0</v>
      </c>
      <c r="Z202" s="194">
        <v>3.76</v>
      </c>
      <c r="AA202" s="80">
        <f t="shared" si="168"/>
        <v>0.79999999999999982</v>
      </c>
      <c r="AB202" s="80">
        <f t="shared" si="196"/>
        <v>211.33764188651867</v>
      </c>
      <c r="AC202" s="194">
        <v>3.68</v>
      </c>
      <c r="AD202" s="80">
        <f t="shared" si="192"/>
        <v>2.0000000000000018E-2</v>
      </c>
      <c r="AE202" s="80">
        <f t="shared" si="197"/>
        <v>5.2834410471629729</v>
      </c>
      <c r="AF202" s="194">
        <v>276.3</v>
      </c>
      <c r="AG202" s="80">
        <f t="shared" si="159"/>
        <v>-39.900000000000006</v>
      </c>
      <c r="AH202" s="80">
        <f t="shared" si="193"/>
        <v>-10540.464889090124</v>
      </c>
      <c r="AI202" s="194">
        <v>261.3</v>
      </c>
      <c r="AJ202" s="80">
        <f t="shared" si="153"/>
        <v>9</v>
      </c>
      <c r="AK202" s="80">
        <f t="shared" ref="AK202:AK219" si="200">+CONVERT(AJ202,"m^3","gal")</f>
        <v>2377.5484712233356</v>
      </c>
      <c r="AL202" s="194">
        <v>10.5</v>
      </c>
      <c r="AM202" s="80">
        <f t="shared" si="160"/>
        <v>-3.58</v>
      </c>
      <c r="AN202" s="17">
        <f t="shared" si="198"/>
        <v>-945.73594744217132</v>
      </c>
      <c r="AO202" s="235">
        <f t="shared" si="185"/>
        <v>0</v>
      </c>
      <c r="AP202" s="19"/>
    </row>
    <row r="203" spans="1:42">
      <c r="A203" s="15">
        <v>45127</v>
      </c>
      <c r="B203" s="194">
        <v>0</v>
      </c>
      <c r="C203" s="80">
        <f t="shared" si="154"/>
        <v>0</v>
      </c>
      <c r="D203" s="80">
        <f t="shared" si="199"/>
        <v>0</v>
      </c>
      <c r="E203" s="194">
        <v>154.63999999999999</v>
      </c>
      <c r="F203" s="80">
        <f t="shared" si="186"/>
        <v>2.2199999999999989</v>
      </c>
      <c r="G203" s="80">
        <f t="shared" ref="G203:G219" si="201">+CONVERT(F203,"m^3","gal")</f>
        <v>586.46195623508925</v>
      </c>
      <c r="H203" s="194">
        <v>288</v>
      </c>
      <c r="I203" s="80">
        <f t="shared" si="155"/>
        <v>0</v>
      </c>
      <c r="J203" s="80">
        <f t="shared" si="194"/>
        <v>0</v>
      </c>
      <c r="K203" s="194">
        <v>897.7</v>
      </c>
      <c r="L203" s="80">
        <f t="shared" si="156"/>
        <v>22.199999999999932</v>
      </c>
      <c r="M203" s="80">
        <f t="shared" si="189"/>
        <v>5864.6195623508765</v>
      </c>
      <c r="N203" s="194">
        <v>50.7</v>
      </c>
      <c r="O203" s="80">
        <f t="shared" si="157"/>
        <v>6.2299999999999969</v>
      </c>
      <c r="P203" s="80">
        <f t="shared" si="195"/>
        <v>1645.791886191264</v>
      </c>
      <c r="Q203" s="194">
        <v>9.36</v>
      </c>
      <c r="R203" s="80">
        <f t="shared" si="158"/>
        <v>0</v>
      </c>
      <c r="S203" s="80">
        <f t="shared" si="190"/>
        <v>0</v>
      </c>
      <c r="T203" s="80"/>
      <c r="U203" s="80">
        <f t="shared" si="187"/>
        <v>0</v>
      </c>
      <c r="V203" s="215">
        <f t="shared" si="188"/>
        <v>0</v>
      </c>
      <c r="W203" s="185"/>
      <c r="X203" s="80"/>
      <c r="Y203" s="80">
        <f t="shared" si="191"/>
        <v>0</v>
      </c>
      <c r="Z203" s="194">
        <v>4.74</v>
      </c>
      <c r="AA203" s="80">
        <f t="shared" si="168"/>
        <v>0.98000000000000043</v>
      </c>
      <c r="AB203" s="80">
        <f t="shared" si="196"/>
        <v>258.8886113109856</v>
      </c>
      <c r="AC203" s="194">
        <v>3.62</v>
      </c>
      <c r="AD203" s="80">
        <f t="shared" si="192"/>
        <v>-6.0000000000000053E-2</v>
      </c>
      <c r="AE203" s="80">
        <f t="shared" si="197"/>
        <v>-15.85032314148892</v>
      </c>
      <c r="AF203" s="194">
        <v>276.60000000000002</v>
      </c>
      <c r="AG203" s="80">
        <f t="shared" si="159"/>
        <v>-0.30000000000001137</v>
      </c>
      <c r="AH203" s="80">
        <f t="shared" si="193"/>
        <v>-79.251615707447527</v>
      </c>
      <c r="AI203" s="194">
        <v>255.9</v>
      </c>
      <c r="AJ203" s="80">
        <f t="shared" si="153"/>
        <v>5.4000000000000057</v>
      </c>
      <c r="AK203" s="80">
        <f t="shared" si="200"/>
        <v>1426.5290827340029</v>
      </c>
      <c r="AL203" s="194">
        <v>9.23</v>
      </c>
      <c r="AM203" s="80">
        <f t="shared" si="160"/>
        <v>1.2699999999999996</v>
      </c>
      <c r="AN203" s="17">
        <f t="shared" si="198"/>
        <v>335.49850649484836</v>
      </c>
      <c r="AO203" s="235">
        <f t="shared" si="185"/>
        <v>0</v>
      </c>
      <c r="AP203" s="19"/>
    </row>
    <row r="204" spans="1:42">
      <c r="A204" s="15">
        <v>45128</v>
      </c>
      <c r="B204" s="194">
        <v>0</v>
      </c>
      <c r="C204" s="80">
        <f t="shared" si="154"/>
        <v>0</v>
      </c>
      <c r="D204" s="80">
        <f t="shared" si="199"/>
        <v>0</v>
      </c>
      <c r="E204" s="194">
        <f>154.64+1.4</f>
        <v>156.04</v>
      </c>
      <c r="F204" s="80">
        <f t="shared" si="186"/>
        <v>1.4000000000000057</v>
      </c>
      <c r="G204" s="80">
        <f t="shared" si="201"/>
        <v>369.84087330140932</v>
      </c>
      <c r="H204" s="194">
        <v>304</v>
      </c>
      <c r="I204" s="80">
        <f t="shared" si="155"/>
        <v>-16</v>
      </c>
      <c r="J204" s="80">
        <f t="shared" si="194"/>
        <v>-4226.7528377303752</v>
      </c>
      <c r="K204" s="194">
        <v>888.6</v>
      </c>
      <c r="L204" s="80">
        <f t="shared" si="156"/>
        <v>9.1000000000000227</v>
      </c>
      <c r="M204" s="80">
        <f t="shared" si="189"/>
        <v>2403.9656764591564</v>
      </c>
      <c r="N204" s="194">
        <v>44.42</v>
      </c>
      <c r="O204" s="80">
        <f t="shared" si="157"/>
        <v>6.2800000000000011</v>
      </c>
      <c r="P204" s="80">
        <f t="shared" si="195"/>
        <v>1659.0004888091723</v>
      </c>
      <c r="Q204" s="194">
        <v>29.67</v>
      </c>
      <c r="R204" s="80">
        <f t="shared" si="158"/>
        <v>-20.310000000000002</v>
      </c>
      <c r="S204" s="80">
        <f t="shared" si="190"/>
        <v>-5365.3343833939953</v>
      </c>
      <c r="T204" s="80"/>
      <c r="U204" s="80">
        <v>6000</v>
      </c>
      <c r="V204" s="215">
        <f t="shared" si="188"/>
        <v>22.712470704000001</v>
      </c>
      <c r="W204" s="185">
        <v>6000</v>
      </c>
      <c r="X204" s="80"/>
      <c r="Y204" s="80">
        <f t="shared" si="191"/>
        <v>0</v>
      </c>
      <c r="Z204" s="194">
        <v>6.28</v>
      </c>
      <c r="AA204" s="80">
        <f t="shared" si="168"/>
        <v>1.54</v>
      </c>
      <c r="AB204" s="80">
        <f t="shared" si="196"/>
        <v>406.82496063154855</v>
      </c>
      <c r="AC204" s="194">
        <v>3.7</v>
      </c>
      <c r="AD204" s="80">
        <f t="shared" si="192"/>
        <v>8.0000000000000071E-2</v>
      </c>
      <c r="AE204" s="80">
        <f t="shared" si="197"/>
        <v>21.133764188651892</v>
      </c>
      <c r="AF204" s="194">
        <v>276.02999999999997</v>
      </c>
      <c r="AG204" s="80">
        <f t="shared" si="159"/>
        <v>0.57000000000005002</v>
      </c>
      <c r="AH204" s="80">
        <f t="shared" si="193"/>
        <v>150.57806984415782</v>
      </c>
      <c r="AI204" s="194">
        <v>265.92</v>
      </c>
      <c r="AJ204" s="80">
        <f t="shared" si="153"/>
        <v>-10.02000000000001</v>
      </c>
      <c r="AK204" s="80">
        <f t="shared" si="200"/>
        <v>-2647.00396462865</v>
      </c>
      <c r="AL204" s="194">
        <v>2.1</v>
      </c>
      <c r="AM204" s="80">
        <f t="shared" si="160"/>
        <v>7.1300000000000008</v>
      </c>
      <c r="AN204" s="17">
        <f t="shared" si="198"/>
        <v>1883.5467333135985</v>
      </c>
      <c r="AO204" s="235">
        <f t="shared" si="185"/>
        <v>0</v>
      </c>
      <c r="AP204" s="19"/>
    </row>
    <row r="205" spans="1:42">
      <c r="A205" s="15">
        <v>45129</v>
      </c>
      <c r="B205" s="194">
        <v>0</v>
      </c>
      <c r="C205" s="80">
        <f t="shared" si="154"/>
        <v>0</v>
      </c>
      <c r="D205" s="80">
        <f t="shared" si="199"/>
        <v>0</v>
      </c>
      <c r="E205" s="194">
        <f>154.64+2</f>
        <v>156.63999999999999</v>
      </c>
      <c r="F205" s="80">
        <f t="shared" si="186"/>
        <v>0.59999999999999432</v>
      </c>
      <c r="G205" s="80">
        <f t="shared" si="201"/>
        <v>158.50323141488755</v>
      </c>
      <c r="H205" s="194">
        <v>304</v>
      </c>
      <c r="I205" s="80">
        <f t="shared" si="155"/>
        <v>0</v>
      </c>
      <c r="J205" s="80">
        <f t="shared" si="194"/>
        <v>0</v>
      </c>
      <c r="K205" s="194">
        <v>886.8</v>
      </c>
      <c r="L205" s="80">
        <f t="shared" si="156"/>
        <v>1.8000000000000682</v>
      </c>
      <c r="M205" s="80">
        <f t="shared" si="189"/>
        <v>475.50969424468519</v>
      </c>
      <c r="N205" s="194">
        <v>37.36</v>
      </c>
      <c r="O205" s="80">
        <f t="shared" si="157"/>
        <v>7.0600000000000023</v>
      </c>
      <c r="P205" s="80">
        <f t="shared" si="195"/>
        <v>1865.0546896485284</v>
      </c>
      <c r="Q205" s="194">
        <v>29.67</v>
      </c>
      <c r="R205" s="80">
        <f t="shared" si="158"/>
        <v>0</v>
      </c>
      <c r="S205" s="80">
        <f t="shared" si="190"/>
        <v>0</v>
      </c>
      <c r="T205" s="80"/>
      <c r="U205" s="80">
        <f t="shared" si="187"/>
        <v>0</v>
      </c>
      <c r="V205" s="215">
        <f t="shared" si="188"/>
        <v>0</v>
      </c>
      <c r="W205" s="185"/>
      <c r="X205" s="80"/>
      <c r="Y205" s="80">
        <f t="shared" si="191"/>
        <v>0</v>
      </c>
      <c r="Z205" s="194">
        <v>17.86</v>
      </c>
      <c r="AA205" s="80">
        <f t="shared" si="168"/>
        <v>11.579999999999998</v>
      </c>
      <c r="AB205" s="80">
        <f t="shared" si="196"/>
        <v>3059.1123663073581</v>
      </c>
      <c r="AC205" s="194">
        <v>3.64</v>
      </c>
      <c r="AD205" s="80">
        <f t="shared" si="192"/>
        <v>-6.0000000000000053E-2</v>
      </c>
      <c r="AE205" s="80">
        <f t="shared" si="197"/>
        <v>-15.85032314148892</v>
      </c>
      <c r="AF205" s="194">
        <v>276.24</v>
      </c>
      <c r="AG205" s="80">
        <f t="shared" si="159"/>
        <v>-0.21000000000003638</v>
      </c>
      <c r="AH205" s="80">
        <f t="shared" si="193"/>
        <v>-55.476130995220778</v>
      </c>
      <c r="AI205" s="194">
        <v>270.51</v>
      </c>
      <c r="AJ205" s="80">
        <f t="shared" si="153"/>
        <v>-4.589999999999975</v>
      </c>
      <c r="AK205" s="80">
        <f t="shared" si="200"/>
        <v>-1212.5497203238945</v>
      </c>
      <c r="AL205" s="194">
        <v>4.25</v>
      </c>
      <c r="AM205" s="80">
        <f t="shared" si="160"/>
        <v>-2.15</v>
      </c>
      <c r="AN205" s="17">
        <f t="shared" si="198"/>
        <v>-567.96991257001912</v>
      </c>
      <c r="AO205" s="235">
        <f t="shared" si="185"/>
        <v>0</v>
      </c>
      <c r="AP205" s="19"/>
    </row>
    <row r="206" spans="1:42">
      <c r="A206" s="15">
        <v>45130</v>
      </c>
      <c r="B206" s="194">
        <v>0</v>
      </c>
      <c r="C206" s="80">
        <f t="shared" si="154"/>
        <v>0</v>
      </c>
      <c r="D206" s="80">
        <f t="shared" si="199"/>
        <v>0</v>
      </c>
      <c r="E206" s="194">
        <f>154.64+2.8</f>
        <v>157.44</v>
      </c>
      <c r="F206" s="80">
        <f t="shared" si="186"/>
        <v>0.80000000000001137</v>
      </c>
      <c r="G206" s="80">
        <f t="shared" si="201"/>
        <v>211.33764188652174</v>
      </c>
      <c r="H206" s="194">
        <v>304</v>
      </c>
      <c r="I206" s="80">
        <f t="shared" si="155"/>
        <v>0</v>
      </c>
      <c r="J206" s="80">
        <f t="shared" si="194"/>
        <v>0</v>
      </c>
      <c r="K206" s="194">
        <v>884.1</v>
      </c>
      <c r="L206" s="80">
        <f t="shared" si="156"/>
        <v>2.6999999999999318</v>
      </c>
      <c r="M206" s="80">
        <f t="shared" si="189"/>
        <v>713.26454136698271</v>
      </c>
      <c r="N206" s="194">
        <v>30.63</v>
      </c>
      <c r="O206" s="80">
        <f t="shared" si="157"/>
        <v>6.73</v>
      </c>
      <c r="P206" s="80">
        <f t="shared" si="195"/>
        <v>1777.8779123703389</v>
      </c>
      <c r="Q206" s="194">
        <v>29.67</v>
      </c>
      <c r="R206" s="80">
        <f t="shared" si="158"/>
        <v>0</v>
      </c>
      <c r="S206" s="80">
        <f t="shared" si="190"/>
        <v>0</v>
      </c>
      <c r="T206" s="80"/>
      <c r="U206" s="80">
        <f t="shared" si="187"/>
        <v>0</v>
      </c>
      <c r="V206" s="215">
        <f t="shared" si="188"/>
        <v>0</v>
      </c>
      <c r="W206" s="185"/>
      <c r="X206" s="80"/>
      <c r="Y206" s="80">
        <f t="shared" si="191"/>
        <v>0</v>
      </c>
      <c r="Z206" s="194">
        <v>18.190000000000001</v>
      </c>
      <c r="AA206" s="80">
        <f t="shared" si="168"/>
        <v>0.33000000000000185</v>
      </c>
      <c r="AB206" s="80">
        <f t="shared" ref="AB206:AB219" si="202">+CONVERT(AA206,"m^3","gal")</f>
        <v>87.176777278189462</v>
      </c>
      <c r="AC206" s="194">
        <v>4.7300000000000004</v>
      </c>
      <c r="AD206" s="80">
        <f t="shared" si="192"/>
        <v>1.0900000000000003</v>
      </c>
      <c r="AE206" s="80">
        <f t="shared" si="197"/>
        <v>287.94753707038183</v>
      </c>
      <c r="AF206" s="194">
        <v>275.88</v>
      </c>
      <c r="AG206" s="80">
        <f t="shared" si="159"/>
        <v>0.36000000000001364</v>
      </c>
      <c r="AH206" s="80">
        <f t="shared" si="193"/>
        <v>95.101938848937039</v>
      </c>
      <c r="AI206" s="194">
        <v>277.68</v>
      </c>
      <c r="AJ206" s="80">
        <f t="shared" si="153"/>
        <v>-7.1700000000000159</v>
      </c>
      <c r="AK206" s="80">
        <f t="shared" si="200"/>
        <v>-1894.1136154079286</v>
      </c>
      <c r="AL206" s="194">
        <v>11.03</v>
      </c>
      <c r="AM206" s="80">
        <f t="shared" si="160"/>
        <v>-6.7799999999999994</v>
      </c>
      <c r="AN206" s="17">
        <f t="shared" si="198"/>
        <v>-1791.0865149882461</v>
      </c>
      <c r="AO206" s="235">
        <f t="shared" si="185"/>
        <v>0</v>
      </c>
      <c r="AP206" s="19"/>
    </row>
    <row r="207" spans="1:42">
      <c r="A207" s="15">
        <v>45131</v>
      </c>
      <c r="B207" s="194">
        <v>0</v>
      </c>
      <c r="C207" s="80">
        <f t="shared" si="154"/>
        <v>0</v>
      </c>
      <c r="D207" s="158">
        <f t="shared" si="199"/>
        <v>0</v>
      </c>
      <c r="E207" s="263">
        <f>157.44+1.49</f>
        <v>158.93</v>
      </c>
      <c r="F207" s="80">
        <f t="shared" si="186"/>
        <v>1.4900000000000091</v>
      </c>
      <c r="G207" s="158">
        <f t="shared" si="201"/>
        <v>393.61635801364355</v>
      </c>
      <c r="H207" s="263">
        <v>304</v>
      </c>
      <c r="I207" s="80">
        <f t="shared" si="155"/>
        <v>0</v>
      </c>
      <c r="J207" s="158">
        <f t="shared" si="194"/>
        <v>0</v>
      </c>
      <c r="K207" s="263">
        <v>882.7</v>
      </c>
      <c r="L207" s="80">
        <f t="shared" si="156"/>
        <v>1.3999999999999773</v>
      </c>
      <c r="M207" s="80">
        <f t="shared" si="189"/>
        <v>369.84087330140181</v>
      </c>
      <c r="N207" s="30">
        <v>62.2</v>
      </c>
      <c r="O207" s="80">
        <f t="shared" si="157"/>
        <v>-31.570000000000004</v>
      </c>
      <c r="P207" s="158">
        <f t="shared" si="195"/>
        <v>-8339.9116929467473</v>
      </c>
      <c r="Q207" s="30">
        <v>29.67</v>
      </c>
      <c r="R207" s="80">
        <f t="shared" si="158"/>
        <v>0</v>
      </c>
      <c r="S207" s="80">
        <f t="shared" si="190"/>
        <v>0</v>
      </c>
      <c r="T207" s="158"/>
      <c r="U207" s="80">
        <f t="shared" si="187"/>
        <v>0</v>
      </c>
      <c r="V207" s="215">
        <f t="shared" si="188"/>
        <v>0</v>
      </c>
      <c r="W207" s="190"/>
      <c r="X207" s="158"/>
      <c r="Y207" s="80">
        <f t="shared" si="191"/>
        <v>0</v>
      </c>
      <c r="Z207" s="30">
        <v>18.2</v>
      </c>
      <c r="AA207" s="80">
        <f t="shared" si="168"/>
        <v>9.9999999999980105E-3</v>
      </c>
      <c r="AB207" s="158">
        <f t="shared" si="202"/>
        <v>2.6417205235809584</v>
      </c>
      <c r="AC207" s="30">
        <v>7.48</v>
      </c>
      <c r="AD207" s="80">
        <f t="shared" si="192"/>
        <v>2.75</v>
      </c>
      <c r="AE207" s="158">
        <f t="shared" si="197"/>
        <v>726.47314398490812</v>
      </c>
      <c r="AF207" s="30">
        <v>276.14999999999998</v>
      </c>
      <c r="AG207" s="80">
        <f t="shared" si="159"/>
        <v>-0.26999999999998181</v>
      </c>
      <c r="AH207" s="80">
        <f t="shared" si="193"/>
        <v>-71.326454136695276</v>
      </c>
      <c r="AI207" s="263">
        <v>271.29000000000002</v>
      </c>
      <c r="AJ207" s="80">
        <f t="shared" si="153"/>
        <v>6.3899999999999864</v>
      </c>
      <c r="AK207" s="158">
        <f t="shared" si="200"/>
        <v>1688.0594145685648</v>
      </c>
      <c r="AL207" s="30">
        <v>10.49</v>
      </c>
      <c r="AM207" s="80">
        <f t="shared" si="160"/>
        <v>0.53999999999999915</v>
      </c>
      <c r="AN207" s="189">
        <f t="shared" si="198"/>
        <v>142.6529082733999</v>
      </c>
      <c r="AO207" s="235">
        <f t="shared" si="185"/>
        <v>0</v>
      </c>
      <c r="AP207" s="221"/>
    </row>
    <row r="208" spans="1:42">
      <c r="A208" s="15">
        <v>45132</v>
      </c>
      <c r="B208" s="194">
        <v>0</v>
      </c>
      <c r="C208" s="80">
        <f t="shared" si="154"/>
        <v>0</v>
      </c>
      <c r="D208" s="80">
        <f t="shared" si="199"/>
        <v>0</v>
      </c>
      <c r="E208" s="194">
        <f>158.93+1.5</f>
        <v>160.43</v>
      </c>
      <c r="F208" s="80">
        <f t="shared" si="186"/>
        <v>1.5</v>
      </c>
      <c r="G208" s="80">
        <f t="shared" si="201"/>
        <v>396.25807853722262</v>
      </c>
      <c r="H208" s="263">
        <v>304</v>
      </c>
      <c r="I208" s="80">
        <f t="shared" si="155"/>
        <v>0</v>
      </c>
      <c r="J208" s="80">
        <f t="shared" ref="J208:J219" si="203">+CONVERT(I208,"m^3","gal")</f>
        <v>0</v>
      </c>
      <c r="K208" s="194">
        <v>881.9</v>
      </c>
      <c r="L208" s="80">
        <f t="shared" si="156"/>
        <v>0.80000000000006821</v>
      </c>
      <c r="M208" s="80">
        <f t="shared" si="189"/>
        <v>211.33764188653674</v>
      </c>
      <c r="N208" s="194">
        <v>55.38</v>
      </c>
      <c r="O208" s="80">
        <f t="shared" si="157"/>
        <v>6.82</v>
      </c>
      <c r="P208" s="80">
        <f t="shared" si="195"/>
        <v>1801.6533970825722</v>
      </c>
      <c r="Q208" s="194">
        <v>29.67</v>
      </c>
      <c r="R208" s="80">
        <f t="shared" si="158"/>
        <v>0</v>
      </c>
      <c r="S208" s="80">
        <f t="shared" si="190"/>
        <v>0</v>
      </c>
      <c r="T208" s="80"/>
      <c r="U208" s="80">
        <f t="shared" si="187"/>
        <v>0</v>
      </c>
      <c r="V208" s="215">
        <f t="shared" si="188"/>
        <v>0</v>
      </c>
      <c r="W208" s="185"/>
      <c r="X208" s="80"/>
      <c r="Y208" s="80">
        <f t="shared" si="191"/>
        <v>0</v>
      </c>
      <c r="Z208" s="194">
        <v>18.18</v>
      </c>
      <c r="AA208" s="80">
        <f t="shared" si="168"/>
        <v>-1.9999999999999574E-2</v>
      </c>
      <c r="AB208" s="80">
        <f t="shared" si="202"/>
        <v>-5.2834410471628557</v>
      </c>
      <c r="AC208" s="194">
        <v>9.67</v>
      </c>
      <c r="AD208" s="80">
        <f t="shared" si="192"/>
        <v>2.1899999999999995</v>
      </c>
      <c r="AE208" s="80">
        <f t="shared" ref="AE208:AE219" si="204">+CONVERT(AD208,"m^3","gal")</f>
        <v>578.53679466434494</v>
      </c>
      <c r="AF208" s="194">
        <v>275.7</v>
      </c>
      <c r="AG208" s="80">
        <f t="shared" si="159"/>
        <v>0.44999999999998863</v>
      </c>
      <c r="AH208" s="80">
        <f t="shared" si="193"/>
        <v>118.87742356116378</v>
      </c>
      <c r="AI208" s="194">
        <v>261.69</v>
      </c>
      <c r="AJ208" s="80">
        <f t="shared" si="153"/>
        <v>9.6000000000000227</v>
      </c>
      <c r="AK208" s="80">
        <f t="shared" si="200"/>
        <v>2536.0517026382308</v>
      </c>
      <c r="AL208" s="194">
        <v>8.0500000000000007</v>
      </c>
      <c r="AM208" s="80">
        <f t="shared" si="160"/>
        <v>2.4399999999999995</v>
      </c>
      <c r="AN208" s="17">
        <f t="shared" ref="AN208:AN219" si="205">+CONVERT(AM208,"m^3","gal")</f>
        <v>644.57980775388205</v>
      </c>
      <c r="AO208" s="235">
        <f t="shared" si="185"/>
        <v>0</v>
      </c>
      <c r="AP208" s="19"/>
    </row>
    <row r="209" spans="1:42">
      <c r="A209" s="15">
        <v>45133</v>
      </c>
      <c r="B209" s="194">
        <v>0</v>
      </c>
      <c r="C209" s="80">
        <f t="shared" si="154"/>
        <v>0</v>
      </c>
      <c r="D209" s="80">
        <f t="shared" si="199"/>
        <v>0</v>
      </c>
      <c r="E209" s="194">
        <f>160.43+1.45</f>
        <v>161.88</v>
      </c>
      <c r="F209" s="80">
        <f>IF(E209="",0,E209-E208)</f>
        <v>1.4499999999999886</v>
      </c>
      <c r="G209" s="80">
        <f t="shared" si="201"/>
        <v>383.04947591931221</v>
      </c>
      <c r="H209" s="263">
        <v>304</v>
      </c>
      <c r="I209" s="80">
        <f t="shared" si="155"/>
        <v>0</v>
      </c>
      <c r="J209" s="80">
        <f t="shared" si="203"/>
        <v>0</v>
      </c>
      <c r="K209" s="194">
        <v>880.3</v>
      </c>
      <c r="L209" s="80">
        <f t="shared" si="156"/>
        <v>1.6000000000000227</v>
      </c>
      <c r="M209" s="80">
        <f t="shared" si="189"/>
        <v>422.67528377304347</v>
      </c>
      <c r="N209" s="194">
        <v>50</v>
      </c>
      <c r="O209" s="80">
        <f t="shared" si="157"/>
        <v>5.3800000000000026</v>
      </c>
      <c r="P209" s="80">
        <f t="shared" si="195"/>
        <v>1421.2456416868392</v>
      </c>
      <c r="Q209" s="194">
        <v>29.67</v>
      </c>
      <c r="R209" s="80">
        <f t="shared" si="158"/>
        <v>0</v>
      </c>
      <c r="S209" s="80">
        <f t="shared" si="190"/>
        <v>0</v>
      </c>
      <c r="T209" s="80"/>
      <c r="U209" s="80">
        <f t="shared" si="187"/>
        <v>0</v>
      </c>
      <c r="V209" s="215">
        <f t="shared" si="188"/>
        <v>0</v>
      </c>
      <c r="W209" s="185"/>
      <c r="X209" s="80"/>
      <c r="Y209" s="80">
        <f t="shared" si="191"/>
        <v>0</v>
      </c>
      <c r="Z209" s="194">
        <v>2.63</v>
      </c>
      <c r="AA209" s="80">
        <f t="shared" si="168"/>
        <v>-15.55</v>
      </c>
      <c r="AB209" s="80">
        <f t="shared" si="202"/>
        <v>-4107.8754141692079</v>
      </c>
      <c r="AC209" s="194">
        <v>2.13</v>
      </c>
      <c r="AD209" s="80">
        <f t="shared" si="192"/>
        <v>-7.54</v>
      </c>
      <c r="AE209" s="80">
        <f t="shared" si="204"/>
        <v>-1991.8572747804392</v>
      </c>
      <c r="AF209" s="194">
        <v>275.67</v>
      </c>
      <c r="AG209" s="80">
        <f t="shared" si="159"/>
        <v>2.9999999999972715E-2</v>
      </c>
      <c r="AH209" s="80">
        <f t="shared" si="193"/>
        <v>7.9251615707372451</v>
      </c>
      <c r="AI209" s="194">
        <v>247.77</v>
      </c>
      <c r="AJ209" s="80">
        <f t="shared" si="153"/>
        <v>13.919999999999987</v>
      </c>
      <c r="AK209" s="80">
        <f t="shared" si="200"/>
        <v>3677.2749688254225</v>
      </c>
      <c r="AL209" s="194">
        <v>5.98</v>
      </c>
      <c r="AM209" s="80">
        <f t="shared" si="160"/>
        <v>2.0700000000000003</v>
      </c>
      <c r="AN209" s="17">
        <f t="shared" si="205"/>
        <v>546.83614838136737</v>
      </c>
      <c r="AO209" s="235">
        <f t="shared" si="185"/>
        <v>0</v>
      </c>
      <c r="AP209" s="19"/>
    </row>
    <row r="210" spans="1:42">
      <c r="A210" s="15">
        <v>45134</v>
      </c>
      <c r="B210" s="194">
        <v>0</v>
      </c>
      <c r="C210" s="80">
        <f t="shared" si="154"/>
        <v>0</v>
      </c>
      <c r="D210" s="80">
        <f t="shared" si="199"/>
        <v>0</v>
      </c>
      <c r="E210" s="194">
        <f>161.88+2.08</f>
        <v>163.96</v>
      </c>
      <c r="F210" s="80">
        <f t="shared" si="186"/>
        <v>2.0800000000000125</v>
      </c>
      <c r="G210" s="80">
        <f t="shared" si="201"/>
        <v>549.47786890495206</v>
      </c>
      <c r="H210" s="263">
        <v>304</v>
      </c>
      <c r="I210" s="80">
        <f t="shared" si="155"/>
        <v>0</v>
      </c>
      <c r="J210" s="80">
        <f t="shared" si="203"/>
        <v>0</v>
      </c>
      <c r="K210" s="194">
        <v>879.4</v>
      </c>
      <c r="L210" s="80">
        <f t="shared" si="156"/>
        <v>0.89999999999997726</v>
      </c>
      <c r="M210" s="80">
        <f t="shared" si="189"/>
        <v>237.75484712232756</v>
      </c>
      <c r="N210" s="194">
        <v>42.81</v>
      </c>
      <c r="O210" s="80">
        <f t="shared" si="157"/>
        <v>7.1899999999999977</v>
      </c>
      <c r="P210" s="80">
        <f t="shared" si="195"/>
        <v>1899.3970564550866</v>
      </c>
      <c r="Q210" s="194">
        <v>29.67</v>
      </c>
      <c r="R210" s="80">
        <f t="shared" si="158"/>
        <v>0</v>
      </c>
      <c r="S210" s="80">
        <f t="shared" si="190"/>
        <v>0</v>
      </c>
      <c r="T210" s="80"/>
      <c r="U210" s="80">
        <f t="shared" si="187"/>
        <v>0</v>
      </c>
      <c r="V210" s="215">
        <f t="shared" si="188"/>
        <v>0</v>
      </c>
      <c r="W210" s="185"/>
      <c r="X210" s="80"/>
      <c r="Y210" s="80">
        <f t="shared" si="191"/>
        <v>0</v>
      </c>
      <c r="Z210" s="194">
        <v>2.14</v>
      </c>
      <c r="AA210" s="80">
        <f t="shared" si="168"/>
        <v>-0.48999999999999977</v>
      </c>
      <c r="AB210" s="80">
        <f t="shared" si="202"/>
        <v>-129.44430565549266</v>
      </c>
      <c r="AC210" s="194">
        <v>7.42</v>
      </c>
      <c r="AD210" s="80">
        <f t="shared" si="192"/>
        <v>5.29</v>
      </c>
      <c r="AE210" s="80">
        <f t="shared" si="204"/>
        <v>1397.4701569746051</v>
      </c>
      <c r="AF210" s="194">
        <v>275.7</v>
      </c>
      <c r="AG210" s="80">
        <f t="shared" si="159"/>
        <v>-2.9999999999972715E-2</v>
      </c>
      <c r="AH210" s="80">
        <f t="shared" si="193"/>
        <v>-7.9251615707372451</v>
      </c>
      <c r="AI210" s="194">
        <v>236.7</v>
      </c>
      <c r="AJ210" s="80">
        <f t="shared" si="153"/>
        <v>11.070000000000022</v>
      </c>
      <c r="AK210" s="80">
        <f t="shared" si="200"/>
        <v>2924.3846196047089</v>
      </c>
      <c r="AL210" s="194">
        <v>7.13</v>
      </c>
      <c r="AM210" s="80">
        <f t="shared" si="160"/>
        <v>-1.1499999999999995</v>
      </c>
      <c r="AN210" s="17">
        <f t="shared" si="205"/>
        <v>-303.79786021187056</v>
      </c>
      <c r="AO210" s="235">
        <f t="shared" si="185"/>
        <v>0</v>
      </c>
      <c r="AP210" s="19"/>
    </row>
    <row r="211" spans="1:42">
      <c r="A211" s="15">
        <v>45135</v>
      </c>
      <c r="B211" s="194">
        <v>0</v>
      </c>
      <c r="C211" s="80">
        <f t="shared" si="154"/>
        <v>0</v>
      </c>
      <c r="D211" s="80">
        <f t="shared" si="199"/>
        <v>0</v>
      </c>
      <c r="E211" s="194">
        <v>148.63999999999999</v>
      </c>
      <c r="F211" s="80">
        <f t="shared" si="186"/>
        <v>-15.320000000000022</v>
      </c>
      <c r="G211" s="80">
        <f t="shared" si="201"/>
        <v>-4047.1158421268397</v>
      </c>
      <c r="H211" s="263">
        <v>304</v>
      </c>
      <c r="I211" s="80">
        <f t="shared" si="155"/>
        <v>0</v>
      </c>
      <c r="J211" s="80">
        <f t="shared" si="203"/>
        <v>0</v>
      </c>
      <c r="K211" s="194">
        <v>877.3</v>
      </c>
      <c r="L211" s="80">
        <f t="shared" si="156"/>
        <v>2.1000000000000227</v>
      </c>
      <c r="M211" s="80">
        <f t="shared" si="189"/>
        <v>554.7613099521177</v>
      </c>
      <c r="N211" s="194">
        <v>68.73</v>
      </c>
      <c r="O211" s="80">
        <f t="shared" si="157"/>
        <v>-25.92</v>
      </c>
      <c r="P211" s="80">
        <f t="shared" si="195"/>
        <v>-6847.3395971232076</v>
      </c>
      <c r="Q211" s="194">
        <v>29.67</v>
      </c>
      <c r="R211" s="80">
        <f t="shared" si="158"/>
        <v>0</v>
      </c>
      <c r="S211" s="80">
        <f t="shared" si="190"/>
        <v>0</v>
      </c>
      <c r="T211" s="80"/>
      <c r="U211" s="80">
        <f t="shared" si="187"/>
        <v>0</v>
      </c>
      <c r="V211" s="215">
        <f t="shared" si="188"/>
        <v>0</v>
      </c>
      <c r="W211" s="185"/>
      <c r="X211" s="80"/>
      <c r="Y211" s="80">
        <f t="shared" si="191"/>
        <v>0</v>
      </c>
      <c r="Z211" s="194">
        <v>2.14</v>
      </c>
      <c r="AA211" s="80">
        <f t="shared" si="168"/>
        <v>0</v>
      </c>
      <c r="AB211" s="80">
        <f t="shared" si="202"/>
        <v>0</v>
      </c>
      <c r="AC211" s="194">
        <v>8.7799999999999994</v>
      </c>
      <c r="AD211" s="80">
        <f t="shared" si="192"/>
        <v>1.3599999999999994</v>
      </c>
      <c r="AE211" s="80">
        <f t="shared" si="204"/>
        <v>359.27399120708174</v>
      </c>
      <c r="AF211" s="194">
        <v>276.3</v>
      </c>
      <c r="AG211" s="80">
        <f t="shared" si="159"/>
        <v>-0.60000000000002274</v>
      </c>
      <c r="AH211" s="80">
        <f t="shared" si="193"/>
        <v>-158.50323141489505</v>
      </c>
      <c r="AI211" s="194">
        <v>230.1</v>
      </c>
      <c r="AJ211" s="80">
        <f t="shared" si="153"/>
        <v>6.5999999999999943</v>
      </c>
      <c r="AK211" s="80">
        <f t="shared" si="200"/>
        <v>1743.5355455637782</v>
      </c>
      <c r="AL211" s="194">
        <v>6.73</v>
      </c>
      <c r="AM211" s="80">
        <f t="shared" si="160"/>
        <v>0.39999999999999947</v>
      </c>
      <c r="AN211" s="17">
        <f t="shared" si="205"/>
        <v>105.66882094325923</v>
      </c>
      <c r="AO211" s="235">
        <f t="shared" si="185"/>
        <v>0</v>
      </c>
      <c r="AP211" s="19"/>
    </row>
    <row r="212" spans="1:42">
      <c r="A212" s="15">
        <v>45136</v>
      </c>
      <c r="B212" s="194">
        <v>0</v>
      </c>
      <c r="C212" s="80">
        <f t="shared" si="154"/>
        <v>0</v>
      </c>
      <c r="D212" s="80">
        <f t="shared" si="199"/>
        <v>0</v>
      </c>
      <c r="E212" s="194">
        <v>150.08000000000001</v>
      </c>
      <c r="F212" s="80">
        <f t="shared" si="186"/>
        <v>1.4400000000000261</v>
      </c>
      <c r="G212" s="80">
        <f t="shared" si="201"/>
        <v>380.40775539574065</v>
      </c>
      <c r="H212" s="263">
        <v>304</v>
      </c>
      <c r="I212" s="80">
        <f t="shared" si="155"/>
        <v>0</v>
      </c>
      <c r="J212" s="80">
        <f t="shared" si="203"/>
        <v>0</v>
      </c>
      <c r="K212" s="194">
        <v>875.7</v>
      </c>
      <c r="L212" s="80">
        <f t="shared" si="156"/>
        <v>1.5999999999999091</v>
      </c>
      <c r="M212" s="80">
        <f t="shared" si="189"/>
        <v>422.67528377301346</v>
      </c>
      <c r="N212" s="194">
        <v>61.92</v>
      </c>
      <c r="O212" s="80">
        <f t="shared" si="157"/>
        <v>6.8100000000000023</v>
      </c>
      <c r="P212" s="80">
        <f t="shared" ref="P212:P219" si="206">+CONVERT(O212,"m^3","gal")</f>
        <v>1799.0116765589912</v>
      </c>
      <c r="Q212" s="194">
        <v>29.67</v>
      </c>
      <c r="R212" s="80">
        <f t="shared" si="158"/>
        <v>0</v>
      </c>
      <c r="S212" s="80">
        <f t="shared" si="190"/>
        <v>0</v>
      </c>
      <c r="T212" s="80"/>
      <c r="U212" s="80">
        <f t="shared" si="187"/>
        <v>0</v>
      </c>
      <c r="V212" s="215">
        <f t="shared" si="188"/>
        <v>0</v>
      </c>
      <c r="W212" s="185"/>
      <c r="X212" s="80"/>
      <c r="Y212" s="80">
        <f t="shared" si="191"/>
        <v>0</v>
      </c>
      <c r="Z212" s="194">
        <v>2.14</v>
      </c>
      <c r="AA212" s="80">
        <f t="shared" si="168"/>
        <v>0</v>
      </c>
      <c r="AB212" s="80">
        <f t="shared" si="202"/>
        <v>0</v>
      </c>
      <c r="AC212" s="194">
        <v>9.56</v>
      </c>
      <c r="AD212" s="80">
        <f t="shared" si="192"/>
        <v>0.78000000000000114</v>
      </c>
      <c r="AE212" s="80">
        <f t="shared" si="204"/>
        <v>206.05420083935607</v>
      </c>
      <c r="AF212" s="194">
        <v>275.7</v>
      </c>
      <c r="AG212" s="80">
        <f t="shared" si="159"/>
        <v>0.60000000000002274</v>
      </c>
      <c r="AH212" s="80">
        <f t="shared" si="193"/>
        <v>158.50323141489505</v>
      </c>
      <c r="AI212" s="194">
        <v>261.89999999999998</v>
      </c>
      <c r="AJ212" s="80">
        <f t="shared" si="153"/>
        <v>-31.799999999999983</v>
      </c>
      <c r="AK212" s="80">
        <f t="shared" si="200"/>
        <v>-8400.6712649891142</v>
      </c>
      <c r="AL212" s="194">
        <v>7.71</v>
      </c>
      <c r="AM212" s="80">
        <f t="shared" si="160"/>
        <v>-0.97999999999999954</v>
      </c>
      <c r="AN212" s="17">
        <f t="shared" si="205"/>
        <v>-258.88861131098531</v>
      </c>
      <c r="AO212" s="235">
        <f t="shared" si="185"/>
        <v>0</v>
      </c>
      <c r="AP212" s="19"/>
    </row>
    <row r="213" spans="1:42">
      <c r="A213" s="15">
        <v>45137</v>
      </c>
      <c r="B213" s="194">
        <v>0</v>
      </c>
      <c r="C213" s="80">
        <f t="shared" si="154"/>
        <v>0</v>
      </c>
      <c r="D213" s="80">
        <f t="shared" si="199"/>
        <v>0</v>
      </c>
      <c r="E213" s="194">
        <v>131.52000000000001</v>
      </c>
      <c r="F213" s="80">
        <f t="shared" si="186"/>
        <v>-18.560000000000002</v>
      </c>
      <c r="G213" s="80">
        <f t="shared" si="201"/>
        <v>-4903.0332917672358</v>
      </c>
      <c r="H213" s="263">
        <v>304</v>
      </c>
      <c r="I213" s="80">
        <f t="shared" si="155"/>
        <v>0</v>
      </c>
      <c r="J213" s="80">
        <f t="shared" si="203"/>
        <v>0</v>
      </c>
      <c r="K213" s="194">
        <v>873.4</v>
      </c>
      <c r="L213" s="80">
        <f t="shared" si="156"/>
        <v>2.3000000000000682</v>
      </c>
      <c r="M213" s="80">
        <f t="shared" si="189"/>
        <v>607.59572042375942</v>
      </c>
      <c r="N213" s="194">
        <v>55.03</v>
      </c>
      <c r="O213" s="80">
        <f t="shared" si="157"/>
        <v>6.8900000000000006</v>
      </c>
      <c r="P213" s="80">
        <f t="shared" si="206"/>
        <v>1820.1454407476429</v>
      </c>
      <c r="Q213" s="194">
        <v>29.67</v>
      </c>
      <c r="R213" s="80">
        <f t="shared" si="158"/>
        <v>0</v>
      </c>
      <c r="S213" s="80">
        <f t="shared" si="190"/>
        <v>0</v>
      </c>
      <c r="T213" s="80"/>
      <c r="U213" s="80">
        <f t="shared" si="187"/>
        <v>0</v>
      </c>
      <c r="V213" s="215">
        <f t="shared" si="188"/>
        <v>0</v>
      </c>
      <c r="W213" s="185"/>
      <c r="X213" s="80"/>
      <c r="Y213" s="80">
        <f t="shared" si="191"/>
        <v>0</v>
      </c>
      <c r="Z213" s="194">
        <v>2.14</v>
      </c>
      <c r="AA213" s="80">
        <f t="shared" si="168"/>
        <v>0</v>
      </c>
      <c r="AB213" s="80">
        <f t="shared" si="202"/>
        <v>0</v>
      </c>
      <c r="AC213" s="194">
        <v>15.73</v>
      </c>
      <c r="AD213" s="80">
        <f t="shared" si="192"/>
        <v>6.17</v>
      </c>
      <c r="AE213" s="80">
        <f t="shared" si="204"/>
        <v>1629.9415630497758</v>
      </c>
      <c r="AF213" s="194">
        <v>275.76</v>
      </c>
      <c r="AG213" s="80">
        <f t="shared" si="159"/>
        <v>-6.0000000000002274E-2</v>
      </c>
      <c r="AH213" s="80">
        <f t="shared" si="193"/>
        <v>-15.850323141489506</v>
      </c>
      <c r="AI213" s="194">
        <v>256.58999999999997</v>
      </c>
      <c r="AJ213" s="80">
        <f t="shared" si="153"/>
        <v>5.3100000000000023</v>
      </c>
      <c r="AK213" s="80">
        <f t="shared" si="200"/>
        <v>1402.7535980217685</v>
      </c>
      <c r="AL213" s="194">
        <v>7.7</v>
      </c>
      <c r="AM213" s="80">
        <f t="shared" si="160"/>
        <v>9.9999999999997868E-3</v>
      </c>
      <c r="AN213" s="17">
        <f t="shared" si="205"/>
        <v>2.6417205235814278</v>
      </c>
      <c r="AO213" s="235">
        <f t="shared" si="185"/>
        <v>0</v>
      </c>
      <c r="AP213" s="19"/>
    </row>
    <row r="214" spans="1:42">
      <c r="A214" s="15">
        <v>45138</v>
      </c>
      <c r="B214" s="194">
        <v>0</v>
      </c>
      <c r="C214" s="80">
        <f t="shared" si="154"/>
        <v>0</v>
      </c>
      <c r="D214" s="80">
        <f t="shared" si="199"/>
        <v>0</v>
      </c>
      <c r="E214" s="194">
        <v>132.9</v>
      </c>
      <c r="F214" s="80">
        <f t="shared" si="186"/>
        <v>1.3799999999999955</v>
      </c>
      <c r="G214" s="80">
        <f t="shared" si="201"/>
        <v>364.55743225424362</v>
      </c>
      <c r="H214" s="194">
        <v>302.72000000000003</v>
      </c>
      <c r="I214" s="80">
        <f t="shared" si="155"/>
        <v>1.2799999999999727</v>
      </c>
      <c r="J214" s="80">
        <f t="shared" si="203"/>
        <v>338.14022701842276</v>
      </c>
      <c r="K214" s="194">
        <v>871.5</v>
      </c>
      <c r="L214" s="80">
        <f t="shared" si="156"/>
        <v>1.8999999999999773</v>
      </c>
      <c r="M214" s="80">
        <f t="shared" si="189"/>
        <v>501.92689948047598</v>
      </c>
      <c r="N214" s="194">
        <v>48.29</v>
      </c>
      <c r="O214" s="80">
        <f t="shared" si="157"/>
        <v>6.740000000000002</v>
      </c>
      <c r="P214" s="80">
        <f t="shared" si="206"/>
        <v>1780.5196328939207</v>
      </c>
      <c r="Q214" s="194">
        <v>29.67</v>
      </c>
      <c r="R214" s="80">
        <f t="shared" si="158"/>
        <v>0</v>
      </c>
      <c r="S214" s="80">
        <f t="shared" si="190"/>
        <v>0</v>
      </c>
      <c r="T214" s="80"/>
      <c r="U214" s="80">
        <f t="shared" si="187"/>
        <v>0</v>
      </c>
      <c r="V214" s="215">
        <f t="shared" si="188"/>
        <v>0</v>
      </c>
      <c r="W214" s="185"/>
      <c r="X214" s="80"/>
      <c r="Y214" s="80">
        <f t="shared" si="191"/>
        <v>0</v>
      </c>
      <c r="Z214" s="194">
        <v>2.14</v>
      </c>
      <c r="AA214" s="80">
        <f t="shared" si="168"/>
        <v>0</v>
      </c>
      <c r="AB214" s="80">
        <f t="shared" si="202"/>
        <v>0</v>
      </c>
      <c r="AC214" s="194">
        <v>16.52</v>
      </c>
      <c r="AD214" s="80">
        <f t="shared" si="192"/>
        <v>0.78999999999999915</v>
      </c>
      <c r="AE214" s="80">
        <f t="shared" si="204"/>
        <v>208.69592136293701</v>
      </c>
      <c r="AF214" s="194">
        <v>275.01</v>
      </c>
      <c r="AG214" s="80">
        <f t="shared" si="159"/>
        <v>0.75</v>
      </c>
      <c r="AH214" s="80">
        <f t="shared" si="193"/>
        <v>198.12903926861131</v>
      </c>
      <c r="AI214" s="194">
        <v>248.43</v>
      </c>
      <c r="AJ214" s="80">
        <f t="shared" si="153"/>
        <v>8.1599999999999682</v>
      </c>
      <c r="AK214" s="80">
        <f t="shared" si="200"/>
        <v>2155.6439472424827</v>
      </c>
      <c r="AL214" s="194">
        <v>7.4</v>
      </c>
      <c r="AM214" s="80">
        <f t="shared" si="160"/>
        <v>0.29999999999999982</v>
      </c>
      <c r="AN214" s="17">
        <f t="shared" si="205"/>
        <v>79.251615707444486</v>
      </c>
      <c r="AO214" s="235">
        <f t="shared" si="185"/>
        <v>0</v>
      </c>
      <c r="AP214" s="19"/>
    </row>
    <row r="215" spans="1:42">
      <c r="A215" s="15">
        <v>45139</v>
      </c>
      <c r="B215" s="194">
        <v>0</v>
      </c>
      <c r="C215" s="80">
        <f t="shared" si="154"/>
        <v>0</v>
      </c>
      <c r="D215" s="80">
        <f>+CONVERT(C215,"m^3","gal")</f>
        <v>0</v>
      </c>
      <c r="E215" s="194"/>
      <c r="F215" s="80">
        <f t="shared" si="186"/>
        <v>0</v>
      </c>
      <c r="G215" s="80">
        <f>+CONVERT(F215,"m^3","gal")</f>
        <v>0</v>
      </c>
      <c r="H215" s="194"/>
      <c r="I215" s="80">
        <f t="shared" si="155"/>
        <v>0</v>
      </c>
      <c r="J215" s="80">
        <f>+CONVERT(I215,"m^3","gal")</f>
        <v>0</v>
      </c>
      <c r="K215" s="194"/>
      <c r="L215" s="80">
        <f t="shared" si="156"/>
        <v>0</v>
      </c>
      <c r="M215" s="80">
        <f t="shared" si="189"/>
        <v>0</v>
      </c>
      <c r="N215" s="194"/>
      <c r="O215" s="80">
        <f t="shared" si="157"/>
        <v>0</v>
      </c>
      <c r="P215" s="80">
        <f>+CONVERT(O215,"m^3","gal")</f>
        <v>0</v>
      </c>
      <c r="Q215" s="194"/>
      <c r="R215" s="80">
        <f t="shared" si="158"/>
        <v>0</v>
      </c>
      <c r="S215" s="80">
        <f t="shared" si="190"/>
        <v>0</v>
      </c>
      <c r="T215" s="80"/>
      <c r="U215" s="80">
        <f t="shared" si="187"/>
        <v>0</v>
      </c>
      <c r="V215" s="215">
        <f t="shared" si="188"/>
        <v>0</v>
      </c>
      <c r="W215" s="185"/>
      <c r="X215" s="80"/>
      <c r="Y215" s="80">
        <f t="shared" si="191"/>
        <v>0</v>
      </c>
      <c r="Z215" s="194"/>
      <c r="AA215" s="80">
        <f t="shared" si="168"/>
        <v>0</v>
      </c>
      <c r="AB215" s="80">
        <f>+CONVERT(AA215,"m^3","gal")</f>
        <v>0</v>
      </c>
      <c r="AC215" s="194"/>
      <c r="AD215" s="80">
        <f t="shared" si="192"/>
        <v>0</v>
      </c>
      <c r="AE215" s="80">
        <f>+CONVERT(AD215,"m^3","gal")</f>
        <v>0</v>
      </c>
      <c r="AF215" s="194"/>
      <c r="AG215" s="80">
        <f t="shared" si="159"/>
        <v>0</v>
      </c>
      <c r="AH215" s="80">
        <f t="shared" si="193"/>
        <v>0</v>
      </c>
      <c r="AI215" s="194"/>
      <c r="AJ215" s="80">
        <f t="shared" si="153"/>
        <v>0</v>
      </c>
      <c r="AK215" s="80">
        <f>+CONVERT(AJ215,"m^3","gal")</f>
        <v>0</v>
      </c>
      <c r="AL215" s="194"/>
      <c r="AM215" s="80">
        <f t="shared" si="160"/>
        <v>0</v>
      </c>
      <c r="AN215" s="17">
        <f>+CONVERT(AM215,"m^3","gal")</f>
        <v>0</v>
      </c>
      <c r="AO215" s="235">
        <f t="shared" si="185"/>
        <v>0</v>
      </c>
      <c r="AP215" s="19"/>
    </row>
    <row r="216" spans="1:42">
      <c r="A216" s="15">
        <v>45140</v>
      </c>
      <c r="B216" s="194">
        <v>0</v>
      </c>
      <c r="C216" s="80">
        <f t="shared" si="154"/>
        <v>0</v>
      </c>
      <c r="D216" s="264">
        <f>+CONVERT(C216,"m^3","gal")</f>
        <v>0</v>
      </c>
      <c r="E216" s="194"/>
      <c r="F216" s="80">
        <f t="shared" si="186"/>
        <v>0</v>
      </c>
      <c r="G216" s="80">
        <f>+CONVERT(F216,"m^3","gal")</f>
        <v>0</v>
      </c>
      <c r="H216" s="194"/>
      <c r="I216" s="80">
        <f t="shared" si="155"/>
        <v>0</v>
      </c>
      <c r="J216" s="80">
        <f>+CONVERT(I216,"m^3","gal")</f>
        <v>0</v>
      </c>
      <c r="K216" s="194"/>
      <c r="L216" s="80">
        <f t="shared" si="156"/>
        <v>0</v>
      </c>
      <c r="M216" s="80">
        <f t="shared" si="189"/>
        <v>0</v>
      </c>
      <c r="N216" s="194"/>
      <c r="O216" s="80">
        <f t="shared" si="157"/>
        <v>0</v>
      </c>
      <c r="P216" s="80">
        <f>+CONVERT(O216,"m^3","gal")</f>
        <v>0</v>
      </c>
      <c r="Q216" s="194"/>
      <c r="R216" s="80">
        <f t="shared" si="158"/>
        <v>0</v>
      </c>
      <c r="S216" s="80">
        <f t="shared" si="190"/>
        <v>0</v>
      </c>
      <c r="T216" s="80"/>
      <c r="U216" s="80">
        <f t="shared" si="187"/>
        <v>0</v>
      </c>
      <c r="V216" s="215">
        <f t="shared" si="188"/>
        <v>0</v>
      </c>
      <c r="W216" s="185"/>
      <c r="X216" s="80"/>
      <c r="Y216" s="80">
        <f t="shared" si="191"/>
        <v>0</v>
      </c>
      <c r="Z216" s="194"/>
      <c r="AA216" s="80">
        <f t="shared" si="168"/>
        <v>0</v>
      </c>
      <c r="AB216" s="80">
        <f>+CONVERT(AA216,"m^3","gal")</f>
        <v>0</v>
      </c>
      <c r="AC216" s="194"/>
      <c r="AD216" s="80">
        <f t="shared" si="192"/>
        <v>0</v>
      </c>
      <c r="AE216" s="80">
        <f>+CONVERT(AD216,"m^3","gal")</f>
        <v>0</v>
      </c>
      <c r="AF216" s="194"/>
      <c r="AG216" s="80">
        <f t="shared" si="159"/>
        <v>0</v>
      </c>
      <c r="AH216" s="80">
        <f t="shared" si="193"/>
        <v>0</v>
      </c>
      <c r="AI216" s="194"/>
      <c r="AJ216" s="80">
        <f t="shared" si="153"/>
        <v>0</v>
      </c>
      <c r="AK216" s="80">
        <f>+CONVERT(AJ216,"m^3","gal")</f>
        <v>0</v>
      </c>
      <c r="AL216" s="194"/>
      <c r="AM216" s="80">
        <f t="shared" si="160"/>
        <v>0</v>
      </c>
      <c r="AN216" s="17">
        <f>+CONVERT(AM216,"m^3","gal")</f>
        <v>0</v>
      </c>
      <c r="AO216" s="235">
        <f t="shared" si="185"/>
        <v>0</v>
      </c>
      <c r="AP216" s="19"/>
    </row>
    <row r="217" spans="1:42">
      <c r="A217" s="15">
        <v>45141</v>
      </c>
      <c r="B217" s="194">
        <v>0</v>
      </c>
      <c r="C217" s="80">
        <f t="shared" si="154"/>
        <v>0</v>
      </c>
      <c r="D217" s="80">
        <f>+CONVERT(C217,"m^3","gal")</f>
        <v>0</v>
      </c>
      <c r="E217" s="194"/>
      <c r="F217" s="80">
        <f t="shared" si="186"/>
        <v>0</v>
      </c>
      <c r="G217" s="80">
        <f>+CONVERT(F217,"m^3","gal")</f>
        <v>0</v>
      </c>
      <c r="H217" s="194"/>
      <c r="I217" s="80">
        <f t="shared" si="155"/>
        <v>0</v>
      </c>
      <c r="J217" s="80">
        <f>+CONVERT(I217,"m^3","gal")</f>
        <v>0</v>
      </c>
      <c r="K217" s="194"/>
      <c r="L217" s="80">
        <f t="shared" si="156"/>
        <v>0</v>
      </c>
      <c r="M217" s="80">
        <f t="shared" si="189"/>
        <v>0</v>
      </c>
      <c r="N217" s="194"/>
      <c r="O217" s="80">
        <f t="shared" si="157"/>
        <v>0</v>
      </c>
      <c r="P217" s="80">
        <f>+CONVERT(O217,"m^3","gal")</f>
        <v>0</v>
      </c>
      <c r="Q217" s="194"/>
      <c r="R217" s="80">
        <f t="shared" si="158"/>
        <v>0</v>
      </c>
      <c r="S217" s="80">
        <f t="shared" si="190"/>
        <v>0</v>
      </c>
      <c r="T217" s="80"/>
      <c r="U217" s="80">
        <f t="shared" si="187"/>
        <v>0</v>
      </c>
      <c r="V217" s="215">
        <f t="shared" si="188"/>
        <v>0</v>
      </c>
      <c r="W217" s="185"/>
      <c r="X217" s="80"/>
      <c r="Y217" s="80">
        <f t="shared" si="191"/>
        <v>0</v>
      </c>
      <c r="Z217" s="194"/>
      <c r="AA217" s="80">
        <f t="shared" si="168"/>
        <v>0</v>
      </c>
      <c r="AB217" s="80">
        <f>+CONVERT(AA217,"m^3","gal")</f>
        <v>0</v>
      </c>
      <c r="AC217" s="194"/>
      <c r="AD217" s="80">
        <f t="shared" si="192"/>
        <v>0</v>
      </c>
      <c r="AE217" s="80">
        <f>+CONVERT(AD217,"m^3","gal")</f>
        <v>0</v>
      </c>
      <c r="AF217" s="194"/>
      <c r="AG217" s="80">
        <f t="shared" si="159"/>
        <v>0</v>
      </c>
      <c r="AH217" s="80">
        <f t="shared" si="193"/>
        <v>0</v>
      </c>
      <c r="AI217" s="194"/>
      <c r="AJ217" s="80">
        <f t="shared" si="153"/>
        <v>0</v>
      </c>
      <c r="AK217" s="80">
        <f>+CONVERT(AJ217,"m^3","gal")</f>
        <v>0</v>
      </c>
      <c r="AL217" s="194"/>
      <c r="AM217" s="80">
        <f t="shared" si="160"/>
        <v>0</v>
      </c>
      <c r="AN217" s="17">
        <f>+CONVERT(AM217,"m^3","gal")</f>
        <v>0</v>
      </c>
      <c r="AO217" s="235">
        <f t="shared" si="185"/>
        <v>0</v>
      </c>
      <c r="AP217" s="19"/>
    </row>
    <row r="218" spans="1:42">
      <c r="A218" s="15">
        <v>45142</v>
      </c>
      <c r="B218" s="194">
        <v>0</v>
      </c>
      <c r="C218" s="80">
        <f t="shared" si="154"/>
        <v>0</v>
      </c>
      <c r="D218" s="80">
        <f>+CONVERT(C218,"m^3","gal")</f>
        <v>0</v>
      </c>
      <c r="E218" s="194"/>
      <c r="F218" s="80">
        <f t="shared" si="186"/>
        <v>0</v>
      </c>
      <c r="G218" s="80">
        <f>+CONVERT(F218,"m^3","gal")</f>
        <v>0</v>
      </c>
      <c r="H218" s="194"/>
      <c r="I218" s="80">
        <f t="shared" si="155"/>
        <v>0</v>
      </c>
      <c r="J218" s="80">
        <f>+CONVERT(I218,"m^3","gal")</f>
        <v>0</v>
      </c>
      <c r="K218" s="194"/>
      <c r="L218" s="80">
        <f t="shared" si="156"/>
        <v>0</v>
      </c>
      <c r="M218" s="80">
        <f t="shared" si="189"/>
        <v>0</v>
      </c>
      <c r="N218" s="194"/>
      <c r="O218" s="80">
        <f t="shared" si="157"/>
        <v>0</v>
      </c>
      <c r="P218" s="80">
        <f>+CONVERT(O218,"m^3","gal")</f>
        <v>0</v>
      </c>
      <c r="Q218" s="194"/>
      <c r="R218" s="80">
        <f t="shared" si="158"/>
        <v>0</v>
      </c>
      <c r="S218" s="80">
        <f t="shared" si="190"/>
        <v>0</v>
      </c>
      <c r="T218" s="80"/>
      <c r="U218" s="80">
        <f t="shared" si="187"/>
        <v>0</v>
      </c>
      <c r="V218" s="215">
        <f t="shared" si="188"/>
        <v>0</v>
      </c>
      <c r="W218" s="185"/>
      <c r="X218" s="80"/>
      <c r="Y218" s="80">
        <f t="shared" si="191"/>
        <v>0</v>
      </c>
      <c r="Z218" s="194"/>
      <c r="AA218" s="80">
        <f t="shared" si="168"/>
        <v>0</v>
      </c>
      <c r="AB218" s="80">
        <f>+CONVERT(AA218,"m^3","gal")</f>
        <v>0</v>
      </c>
      <c r="AC218" s="194"/>
      <c r="AD218" s="80">
        <f t="shared" si="192"/>
        <v>0</v>
      </c>
      <c r="AE218" s="80">
        <f>+CONVERT(AD218,"m^3","gal")</f>
        <v>0</v>
      </c>
      <c r="AF218" s="194"/>
      <c r="AG218" s="80">
        <f t="shared" si="159"/>
        <v>0</v>
      </c>
      <c r="AH218" s="80">
        <f t="shared" si="193"/>
        <v>0</v>
      </c>
      <c r="AI218" s="194"/>
      <c r="AJ218" s="80">
        <f t="shared" ref="AJ218:AJ281" si="207">IF(AI218="",0,AI217-AI218)</f>
        <v>0</v>
      </c>
      <c r="AK218" s="80">
        <f>+CONVERT(AJ218,"m^3","gal")</f>
        <v>0</v>
      </c>
      <c r="AL218" s="194"/>
      <c r="AM218" s="80">
        <f t="shared" si="160"/>
        <v>0</v>
      </c>
      <c r="AN218" s="17">
        <f>+CONVERT(AM218,"m^3","gal")</f>
        <v>0</v>
      </c>
      <c r="AO218" s="235">
        <f t="shared" si="185"/>
        <v>0</v>
      </c>
      <c r="AP218" s="19"/>
    </row>
    <row r="219" spans="1:42">
      <c r="A219" s="15">
        <v>45143</v>
      </c>
      <c r="B219" s="194">
        <v>0</v>
      </c>
      <c r="C219" s="80">
        <f t="shared" ref="C219:C282" si="208">IF(B219="",0,B218-B219)</f>
        <v>0</v>
      </c>
      <c r="D219" s="80">
        <f t="shared" si="199"/>
        <v>0</v>
      </c>
      <c r="E219" s="194"/>
      <c r="F219" s="80">
        <f t="shared" si="186"/>
        <v>0</v>
      </c>
      <c r="G219" s="80">
        <f t="shared" si="201"/>
        <v>0</v>
      </c>
      <c r="H219" s="194"/>
      <c r="I219" s="80">
        <f t="shared" ref="I219:I282" si="209">IF(H219="",0,H218-H219)</f>
        <v>0</v>
      </c>
      <c r="J219" s="80">
        <f t="shared" si="203"/>
        <v>0</v>
      </c>
      <c r="K219" s="194"/>
      <c r="L219" s="80">
        <f t="shared" ref="L219:L282" si="210">IF(K219="",0,K218-K219)</f>
        <v>0</v>
      </c>
      <c r="M219" s="80">
        <f t="shared" si="189"/>
        <v>0</v>
      </c>
      <c r="N219" s="194"/>
      <c r="O219" s="80">
        <f t="shared" ref="O219:O282" si="211">IF(N219="",0,N218-N219)</f>
        <v>0</v>
      </c>
      <c r="P219" s="80">
        <f t="shared" si="206"/>
        <v>0</v>
      </c>
      <c r="Q219" s="194"/>
      <c r="R219" s="80">
        <f t="shared" ref="R219:R282" si="212">IF(Q219="",0,Q218-Q219)</f>
        <v>0</v>
      </c>
      <c r="S219" s="80">
        <f t="shared" si="190"/>
        <v>0</v>
      </c>
      <c r="T219" s="80"/>
      <c r="U219" s="80">
        <f t="shared" si="187"/>
        <v>0</v>
      </c>
      <c r="V219" s="215">
        <f t="shared" si="188"/>
        <v>0</v>
      </c>
      <c r="W219" s="185"/>
      <c r="X219" s="80"/>
      <c r="Y219" s="80">
        <f t="shared" si="191"/>
        <v>0</v>
      </c>
      <c r="Z219" s="194"/>
      <c r="AA219" s="80">
        <f t="shared" si="168"/>
        <v>0</v>
      </c>
      <c r="AB219" s="80">
        <f t="shared" si="202"/>
        <v>0</v>
      </c>
      <c r="AC219" s="194"/>
      <c r="AD219" s="80">
        <f t="shared" si="192"/>
        <v>0</v>
      </c>
      <c r="AE219" s="80">
        <f t="shared" si="204"/>
        <v>0</v>
      </c>
      <c r="AF219" s="194"/>
      <c r="AG219" s="80">
        <f t="shared" ref="AG219:AG282" si="213">IF(AF219="",0,AF218-AF219)</f>
        <v>0</v>
      </c>
      <c r="AH219" s="80">
        <f t="shared" si="193"/>
        <v>0</v>
      </c>
      <c r="AI219" s="194"/>
      <c r="AJ219" s="80">
        <f t="shared" si="207"/>
        <v>0</v>
      </c>
      <c r="AK219" s="80">
        <f t="shared" si="200"/>
        <v>0</v>
      </c>
      <c r="AL219" s="194"/>
      <c r="AM219" s="80">
        <f t="shared" ref="AM219:AM282" si="214">IF(AL219="",0,AL218-AL219)</f>
        <v>0</v>
      </c>
      <c r="AN219" s="17">
        <f t="shared" si="205"/>
        <v>0</v>
      </c>
      <c r="AO219" s="235">
        <f t="shared" si="185"/>
        <v>0</v>
      </c>
      <c r="AP219" s="19"/>
    </row>
    <row r="220" spans="1:42">
      <c r="A220" s="15">
        <v>45144</v>
      </c>
      <c r="B220" s="194">
        <v>0</v>
      </c>
      <c r="C220" s="80">
        <f t="shared" si="208"/>
        <v>0</v>
      </c>
      <c r="D220" s="80">
        <f t="shared" ref="D220:D238" si="215">+CONVERT(C220,"m^3","gal")</f>
        <v>0</v>
      </c>
      <c r="E220" s="194"/>
      <c r="F220" s="80">
        <f t="shared" si="186"/>
        <v>0</v>
      </c>
      <c r="G220" s="80">
        <f t="shared" ref="G220:G238" si="216">+CONVERT(F220,"m^3","gal")</f>
        <v>0</v>
      </c>
      <c r="H220" s="194"/>
      <c r="I220" s="80">
        <f t="shared" si="209"/>
        <v>0</v>
      </c>
      <c r="J220" s="80">
        <f t="shared" ref="J220:J238" si="217">+CONVERT(I220,"m^3","gal")</f>
        <v>0</v>
      </c>
      <c r="K220" s="194"/>
      <c r="L220" s="80">
        <f t="shared" si="210"/>
        <v>0</v>
      </c>
      <c r="M220" s="80">
        <f t="shared" si="189"/>
        <v>0</v>
      </c>
      <c r="N220" s="194"/>
      <c r="O220" s="80">
        <f t="shared" si="211"/>
        <v>0</v>
      </c>
      <c r="P220" s="80">
        <f t="shared" ref="P220:P238" si="218">+CONVERT(O220,"m^3","gal")</f>
        <v>0</v>
      </c>
      <c r="Q220" s="194"/>
      <c r="R220" s="80">
        <f t="shared" si="212"/>
        <v>0</v>
      </c>
      <c r="S220" s="80">
        <f t="shared" si="190"/>
        <v>0</v>
      </c>
      <c r="T220" s="80"/>
      <c r="U220" s="80">
        <f t="shared" si="187"/>
        <v>0</v>
      </c>
      <c r="V220" s="215">
        <f t="shared" si="188"/>
        <v>0</v>
      </c>
      <c r="W220" s="185"/>
      <c r="X220" s="80"/>
      <c r="Y220" s="80">
        <f t="shared" si="191"/>
        <v>0</v>
      </c>
      <c r="Z220" s="194"/>
      <c r="AA220" s="80">
        <f t="shared" si="168"/>
        <v>0</v>
      </c>
      <c r="AB220" s="80">
        <f t="shared" ref="AB220:AB238" si="219">+CONVERT(AA220,"m^3","gal")</f>
        <v>0</v>
      </c>
      <c r="AC220" s="194"/>
      <c r="AD220" s="80">
        <f t="shared" si="192"/>
        <v>0</v>
      </c>
      <c r="AE220" s="80">
        <f t="shared" ref="AE220:AE238" si="220">+CONVERT(AD220,"m^3","gal")</f>
        <v>0</v>
      </c>
      <c r="AF220" s="194"/>
      <c r="AG220" s="80">
        <f t="shared" si="213"/>
        <v>0</v>
      </c>
      <c r="AH220" s="80">
        <f t="shared" si="193"/>
        <v>0</v>
      </c>
      <c r="AI220" s="194"/>
      <c r="AJ220" s="80">
        <f t="shared" si="207"/>
        <v>0</v>
      </c>
      <c r="AK220" s="80">
        <f t="shared" ref="AK220:AK238" si="221">+CONVERT(AJ220,"m^3","gal")</f>
        <v>0</v>
      </c>
      <c r="AL220" s="194"/>
      <c r="AM220" s="80">
        <f t="shared" si="214"/>
        <v>0</v>
      </c>
      <c r="AN220" s="17">
        <f t="shared" ref="AN220:AN238" si="222">+CONVERT(AM220,"m^3","gal")</f>
        <v>0</v>
      </c>
      <c r="AO220" s="235">
        <f t="shared" si="185"/>
        <v>0</v>
      </c>
      <c r="AP220" s="19"/>
    </row>
    <row r="221" spans="1:42">
      <c r="A221" s="15">
        <v>45145</v>
      </c>
      <c r="B221" s="194">
        <v>0</v>
      </c>
      <c r="C221" s="80">
        <f t="shared" si="208"/>
        <v>0</v>
      </c>
      <c r="D221" s="80">
        <f t="shared" si="215"/>
        <v>0</v>
      </c>
      <c r="E221" s="194"/>
      <c r="F221" s="80">
        <f t="shared" si="186"/>
        <v>0</v>
      </c>
      <c r="G221" s="80">
        <f t="shared" si="216"/>
        <v>0</v>
      </c>
      <c r="H221" s="194"/>
      <c r="I221" s="80">
        <f t="shared" si="209"/>
        <v>0</v>
      </c>
      <c r="J221" s="80">
        <f t="shared" si="217"/>
        <v>0</v>
      </c>
      <c r="K221" s="194"/>
      <c r="L221" s="80">
        <f t="shared" si="210"/>
        <v>0</v>
      </c>
      <c r="M221" s="80">
        <f t="shared" si="189"/>
        <v>0</v>
      </c>
      <c r="N221" s="194"/>
      <c r="O221" s="80">
        <f t="shared" si="211"/>
        <v>0</v>
      </c>
      <c r="P221" s="80">
        <f t="shared" si="218"/>
        <v>0</v>
      </c>
      <c r="Q221" s="194"/>
      <c r="R221" s="80">
        <f t="shared" si="212"/>
        <v>0</v>
      </c>
      <c r="S221" s="80">
        <f t="shared" si="190"/>
        <v>0</v>
      </c>
      <c r="T221" s="80"/>
      <c r="U221" s="80">
        <f t="shared" si="187"/>
        <v>0</v>
      </c>
      <c r="V221" s="215">
        <f t="shared" si="188"/>
        <v>0</v>
      </c>
      <c r="W221" s="185"/>
      <c r="X221" s="80"/>
      <c r="Y221" s="80">
        <f t="shared" si="191"/>
        <v>0</v>
      </c>
      <c r="Z221" s="194"/>
      <c r="AA221" s="80">
        <f t="shared" si="168"/>
        <v>0</v>
      </c>
      <c r="AB221" s="80">
        <f t="shared" si="219"/>
        <v>0</v>
      </c>
      <c r="AC221" s="194"/>
      <c r="AD221" s="80">
        <f t="shared" si="192"/>
        <v>0</v>
      </c>
      <c r="AE221" s="80">
        <f t="shared" si="220"/>
        <v>0</v>
      </c>
      <c r="AF221" s="194"/>
      <c r="AG221" s="80">
        <f t="shared" si="213"/>
        <v>0</v>
      </c>
      <c r="AH221" s="80">
        <f t="shared" si="193"/>
        <v>0</v>
      </c>
      <c r="AI221" s="194"/>
      <c r="AJ221" s="80">
        <f t="shared" si="207"/>
        <v>0</v>
      </c>
      <c r="AK221" s="80">
        <f t="shared" si="221"/>
        <v>0</v>
      </c>
      <c r="AL221" s="194"/>
      <c r="AM221" s="80">
        <f t="shared" si="214"/>
        <v>0</v>
      </c>
      <c r="AN221" s="17">
        <f t="shared" si="222"/>
        <v>0</v>
      </c>
      <c r="AO221" s="235">
        <f t="shared" si="185"/>
        <v>0</v>
      </c>
      <c r="AP221" s="19"/>
    </row>
    <row r="222" spans="1:42">
      <c r="A222" s="15">
        <v>45146</v>
      </c>
      <c r="B222" s="194">
        <v>0</v>
      </c>
      <c r="C222" s="80">
        <f t="shared" si="208"/>
        <v>0</v>
      </c>
      <c r="D222" s="80">
        <f t="shared" si="215"/>
        <v>0</v>
      </c>
      <c r="E222" s="194"/>
      <c r="F222" s="80">
        <f t="shared" si="186"/>
        <v>0</v>
      </c>
      <c r="G222" s="80">
        <f t="shared" si="216"/>
        <v>0</v>
      </c>
      <c r="H222" s="194"/>
      <c r="I222" s="80">
        <f t="shared" si="209"/>
        <v>0</v>
      </c>
      <c r="J222" s="80">
        <f t="shared" si="217"/>
        <v>0</v>
      </c>
      <c r="K222" s="194"/>
      <c r="L222" s="80">
        <f t="shared" si="210"/>
        <v>0</v>
      </c>
      <c r="M222" s="80">
        <f t="shared" si="189"/>
        <v>0</v>
      </c>
      <c r="N222" s="194"/>
      <c r="O222" s="80">
        <f t="shared" si="211"/>
        <v>0</v>
      </c>
      <c r="P222" s="80">
        <f t="shared" si="218"/>
        <v>0</v>
      </c>
      <c r="Q222" s="194"/>
      <c r="R222" s="80">
        <f t="shared" si="212"/>
        <v>0</v>
      </c>
      <c r="S222" s="80">
        <f t="shared" si="190"/>
        <v>0</v>
      </c>
      <c r="T222" s="80"/>
      <c r="U222" s="80">
        <f t="shared" si="187"/>
        <v>0</v>
      </c>
      <c r="V222" s="215">
        <f t="shared" si="188"/>
        <v>0</v>
      </c>
      <c r="W222" s="185"/>
      <c r="X222" s="80"/>
      <c r="Y222" s="80">
        <f t="shared" si="191"/>
        <v>0</v>
      </c>
      <c r="Z222" s="194"/>
      <c r="AA222" s="80">
        <f t="shared" si="168"/>
        <v>0</v>
      </c>
      <c r="AB222" s="80">
        <f t="shared" si="219"/>
        <v>0</v>
      </c>
      <c r="AC222" s="194"/>
      <c r="AD222" s="80">
        <f t="shared" si="192"/>
        <v>0</v>
      </c>
      <c r="AE222" s="80">
        <f t="shared" si="220"/>
        <v>0</v>
      </c>
      <c r="AF222" s="194"/>
      <c r="AG222" s="80">
        <f t="shared" si="213"/>
        <v>0</v>
      </c>
      <c r="AH222" s="80">
        <f t="shared" si="193"/>
        <v>0</v>
      </c>
      <c r="AI222" s="194"/>
      <c r="AJ222" s="80">
        <f t="shared" si="207"/>
        <v>0</v>
      </c>
      <c r="AK222" s="80">
        <f t="shared" si="221"/>
        <v>0</v>
      </c>
      <c r="AL222" s="194"/>
      <c r="AM222" s="80">
        <f t="shared" si="214"/>
        <v>0</v>
      </c>
      <c r="AN222" s="17">
        <f t="shared" si="222"/>
        <v>0</v>
      </c>
      <c r="AO222" s="235">
        <f t="shared" si="185"/>
        <v>0</v>
      </c>
      <c r="AP222" s="19"/>
    </row>
    <row r="223" spans="1:42">
      <c r="A223" s="15">
        <v>45147</v>
      </c>
      <c r="B223" s="194">
        <v>0</v>
      </c>
      <c r="C223" s="80">
        <f t="shared" si="208"/>
        <v>0</v>
      </c>
      <c r="D223" s="80">
        <f t="shared" si="215"/>
        <v>0</v>
      </c>
      <c r="E223" s="194"/>
      <c r="F223" s="80">
        <f t="shared" si="186"/>
        <v>0</v>
      </c>
      <c r="G223" s="80">
        <f t="shared" si="216"/>
        <v>0</v>
      </c>
      <c r="H223" s="194"/>
      <c r="I223" s="80">
        <f t="shared" si="209"/>
        <v>0</v>
      </c>
      <c r="J223" s="80">
        <f t="shared" si="217"/>
        <v>0</v>
      </c>
      <c r="K223" s="194"/>
      <c r="L223" s="80">
        <f t="shared" si="210"/>
        <v>0</v>
      </c>
      <c r="M223" s="80">
        <f t="shared" si="189"/>
        <v>0</v>
      </c>
      <c r="N223" s="194"/>
      <c r="O223" s="80">
        <f t="shared" si="211"/>
        <v>0</v>
      </c>
      <c r="P223" s="80">
        <f t="shared" si="218"/>
        <v>0</v>
      </c>
      <c r="Q223" s="194"/>
      <c r="R223" s="80">
        <f t="shared" si="212"/>
        <v>0</v>
      </c>
      <c r="S223" s="80">
        <f t="shared" si="190"/>
        <v>0</v>
      </c>
      <c r="T223" s="80"/>
      <c r="U223" s="80">
        <f t="shared" si="187"/>
        <v>0</v>
      </c>
      <c r="V223" s="215">
        <f t="shared" si="188"/>
        <v>0</v>
      </c>
      <c r="W223" s="185"/>
      <c r="X223" s="80"/>
      <c r="Y223" s="80">
        <f t="shared" si="191"/>
        <v>0</v>
      </c>
      <c r="Z223" s="194"/>
      <c r="AA223" s="80">
        <f t="shared" si="168"/>
        <v>0</v>
      </c>
      <c r="AB223" s="80">
        <f t="shared" si="219"/>
        <v>0</v>
      </c>
      <c r="AC223" s="194"/>
      <c r="AD223" s="80">
        <f t="shared" si="192"/>
        <v>0</v>
      </c>
      <c r="AE223" s="80">
        <f t="shared" si="220"/>
        <v>0</v>
      </c>
      <c r="AF223" s="194"/>
      <c r="AG223" s="80">
        <f t="shared" si="213"/>
        <v>0</v>
      </c>
      <c r="AH223" s="80">
        <f t="shared" si="193"/>
        <v>0</v>
      </c>
      <c r="AI223" s="194"/>
      <c r="AJ223" s="80">
        <f t="shared" si="207"/>
        <v>0</v>
      </c>
      <c r="AK223" s="80">
        <f t="shared" si="221"/>
        <v>0</v>
      </c>
      <c r="AL223" s="194"/>
      <c r="AM223" s="80">
        <f t="shared" si="214"/>
        <v>0</v>
      </c>
      <c r="AN223" s="17">
        <f t="shared" si="222"/>
        <v>0</v>
      </c>
      <c r="AO223" s="235">
        <f t="shared" si="185"/>
        <v>0</v>
      </c>
      <c r="AP223" s="19"/>
    </row>
    <row r="224" spans="1:42">
      <c r="A224" s="15">
        <v>45148</v>
      </c>
      <c r="B224" s="194">
        <v>0</v>
      </c>
      <c r="C224" s="80">
        <f t="shared" si="208"/>
        <v>0</v>
      </c>
      <c r="D224" s="80">
        <f t="shared" si="215"/>
        <v>0</v>
      </c>
      <c r="E224" s="194"/>
      <c r="F224" s="80">
        <f t="shared" si="186"/>
        <v>0</v>
      </c>
      <c r="G224" s="80">
        <f t="shared" si="216"/>
        <v>0</v>
      </c>
      <c r="H224" s="194"/>
      <c r="I224" s="80">
        <f t="shared" si="209"/>
        <v>0</v>
      </c>
      <c r="J224" s="80">
        <f t="shared" si="217"/>
        <v>0</v>
      </c>
      <c r="K224" s="194"/>
      <c r="L224" s="80">
        <f t="shared" si="210"/>
        <v>0</v>
      </c>
      <c r="M224" s="80">
        <f t="shared" si="189"/>
        <v>0</v>
      </c>
      <c r="N224" s="194"/>
      <c r="O224" s="80">
        <f t="shared" si="211"/>
        <v>0</v>
      </c>
      <c r="P224" s="80">
        <f t="shared" si="218"/>
        <v>0</v>
      </c>
      <c r="Q224" s="194"/>
      <c r="R224" s="80">
        <f t="shared" si="212"/>
        <v>0</v>
      </c>
      <c r="S224" s="80">
        <f t="shared" si="190"/>
        <v>0</v>
      </c>
      <c r="T224" s="80"/>
      <c r="U224" s="80">
        <f t="shared" si="187"/>
        <v>0</v>
      </c>
      <c r="V224" s="215">
        <f t="shared" si="188"/>
        <v>0</v>
      </c>
      <c r="W224" s="185"/>
      <c r="X224" s="80"/>
      <c r="Y224" s="80">
        <f t="shared" si="191"/>
        <v>0</v>
      </c>
      <c r="Z224" s="194"/>
      <c r="AA224" s="80">
        <f t="shared" ref="AA224:AA287" si="223">IF(Z224="",0,Z224-Z223)</f>
        <v>0</v>
      </c>
      <c r="AB224" s="80">
        <f t="shared" si="219"/>
        <v>0</v>
      </c>
      <c r="AC224" s="194"/>
      <c r="AD224" s="80">
        <f t="shared" si="192"/>
        <v>0</v>
      </c>
      <c r="AE224" s="80">
        <f t="shared" si="220"/>
        <v>0</v>
      </c>
      <c r="AF224" s="194"/>
      <c r="AG224" s="80">
        <f t="shared" si="213"/>
        <v>0</v>
      </c>
      <c r="AH224" s="80">
        <f t="shared" si="193"/>
        <v>0</v>
      </c>
      <c r="AI224" s="194"/>
      <c r="AJ224" s="80">
        <f t="shared" si="207"/>
        <v>0</v>
      </c>
      <c r="AK224" s="80">
        <f t="shared" si="221"/>
        <v>0</v>
      </c>
      <c r="AL224" s="194"/>
      <c r="AM224" s="80">
        <f t="shared" si="214"/>
        <v>0</v>
      </c>
      <c r="AN224" s="17">
        <f t="shared" si="222"/>
        <v>0</v>
      </c>
      <c r="AO224" s="235">
        <f t="shared" si="185"/>
        <v>0</v>
      </c>
      <c r="AP224" s="19"/>
    </row>
    <row r="225" spans="1:42">
      <c r="A225" s="15">
        <v>45149</v>
      </c>
      <c r="B225" s="194">
        <v>0</v>
      </c>
      <c r="C225" s="80">
        <f t="shared" si="208"/>
        <v>0</v>
      </c>
      <c r="D225" s="80">
        <f t="shared" si="215"/>
        <v>0</v>
      </c>
      <c r="E225" s="194"/>
      <c r="F225" s="80">
        <f t="shared" si="186"/>
        <v>0</v>
      </c>
      <c r="G225" s="80">
        <f t="shared" si="216"/>
        <v>0</v>
      </c>
      <c r="H225" s="194"/>
      <c r="I225" s="80">
        <f t="shared" si="209"/>
        <v>0</v>
      </c>
      <c r="J225" s="80">
        <f t="shared" si="217"/>
        <v>0</v>
      </c>
      <c r="K225" s="194"/>
      <c r="L225" s="80">
        <f t="shared" si="210"/>
        <v>0</v>
      </c>
      <c r="M225" s="80">
        <f t="shared" si="189"/>
        <v>0</v>
      </c>
      <c r="N225" s="194"/>
      <c r="O225" s="80">
        <f t="shared" si="211"/>
        <v>0</v>
      </c>
      <c r="P225" s="80">
        <f t="shared" si="218"/>
        <v>0</v>
      </c>
      <c r="Q225" s="194"/>
      <c r="R225" s="80">
        <f t="shared" si="212"/>
        <v>0</v>
      </c>
      <c r="S225" s="80">
        <f t="shared" si="190"/>
        <v>0</v>
      </c>
      <c r="T225" s="80"/>
      <c r="U225" s="80">
        <f t="shared" si="187"/>
        <v>0</v>
      </c>
      <c r="V225" s="215">
        <f t="shared" si="188"/>
        <v>0</v>
      </c>
      <c r="W225" s="185"/>
      <c r="X225" s="80"/>
      <c r="Y225" s="80">
        <f t="shared" si="191"/>
        <v>0</v>
      </c>
      <c r="Z225" s="194"/>
      <c r="AA225" s="80">
        <f t="shared" si="223"/>
        <v>0</v>
      </c>
      <c r="AB225" s="80">
        <f t="shared" si="219"/>
        <v>0</v>
      </c>
      <c r="AC225" s="194"/>
      <c r="AD225" s="80">
        <f t="shared" si="192"/>
        <v>0</v>
      </c>
      <c r="AE225" s="80">
        <f t="shared" si="220"/>
        <v>0</v>
      </c>
      <c r="AF225" s="194"/>
      <c r="AG225" s="80">
        <f t="shared" si="213"/>
        <v>0</v>
      </c>
      <c r="AH225" s="80">
        <f t="shared" si="193"/>
        <v>0</v>
      </c>
      <c r="AI225" s="194"/>
      <c r="AJ225" s="80">
        <f t="shared" si="207"/>
        <v>0</v>
      </c>
      <c r="AK225" s="80">
        <f t="shared" si="221"/>
        <v>0</v>
      </c>
      <c r="AL225" s="194"/>
      <c r="AM225" s="80">
        <f t="shared" si="214"/>
        <v>0</v>
      </c>
      <c r="AN225" s="17">
        <f t="shared" si="222"/>
        <v>0</v>
      </c>
      <c r="AO225" s="235">
        <f t="shared" si="185"/>
        <v>0</v>
      </c>
      <c r="AP225" s="19"/>
    </row>
    <row r="226" spans="1:42">
      <c r="A226" s="15">
        <v>45150</v>
      </c>
      <c r="B226" s="194">
        <v>0</v>
      </c>
      <c r="C226" s="80">
        <f t="shared" si="208"/>
        <v>0</v>
      </c>
      <c r="D226" s="80">
        <f t="shared" si="215"/>
        <v>0</v>
      </c>
      <c r="E226" s="194"/>
      <c r="F226" s="80">
        <f t="shared" si="186"/>
        <v>0</v>
      </c>
      <c r="G226" s="80">
        <f t="shared" si="216"/>
        <v>0</v>
      </c>
      <c r="H226" s="194"/>
      <c r="I226" s="80">
        <f t="shared" si="209"/>
        <v>0</v>
      </c>
      <c r="J226" s="80">
        <f t="shared" si="217"/>
        <v>0</v>
      </c>
      <c r="K226" s="194"/>
      <c r="L226" s="80">
        <f t="shared" si="210"/>
        <v>0</v>
      </c>
      <c r="M226" s="80">
        <f t="shared" si="189"/>
        <v>0</v>
      </c>
      <c r="N226" s="194"/>
      <c r="O226" s="80">
        <f t="shared" si="211"/>
        <v>0</v>
      </c>
      <c r="P226" s="80">
        <f t="shared" si="218"/>
        <v>0</v>
      </c>
      <c r="Q226" s="194"/>
      <c r="R226" s="80">
        <f t="shared" si="212"/>
        <v>0</v>
      </c>
      <c r="S226" s="80">
        <f t="shared" si="190"/>
        <v>0</v>
      </c>
      <c r="T226" s="80"/>
      <c r="U226" s="80">
        <f t="shared" si="187"/>
        <v>0</v>
      </c>
      <c r="V226" s="215">
        <f t="shared" si="188"/>
        <v>0</v>
      </c>
      <c r="W226" s="185"/>
      <c r="X226" s="80"/>
      <c r="Y226" s="80">
        <f t="shared" si="191"/>
        <v>0</v>
      </c>
      <c r="Z226" s="194"/>
      <c r="AA226" s="80">
        <f t="shared" si="223"/>
        <v>0</v>
      </c>
      <c r="AB226" s="80">
        <f t="shared" si="219"/>
        <v>0</v>
      </c>
      <c r="AC226" s="194"/>
      <c r="AD226" s="80">
        <f t="shared" si="192"/>
        <v>0</v>
      </c>
      <c r="AE226" s="80">
        <f t="shared" si="220"/>
        <v>0</v>
      </c>
      <c r="AF226" s="194"/>
      <c r="AG226" s="80">
        <f t="shared" si="213"/>
        <v>0</v>
      </c>
      <c r="AH226" s="80">
        <f t="shared" si="193"/>
        <v>0</v>
      </c>
      <c r="AI226" s="194"/>
      <c r="AJ226" s="80">
        <f t="shared" si="207"/>
        <v>0</v>
      </c>
      <c r="AK226" s="80">
        <f t="shared" si="221"/>
        <v>0</v>
      </c>
      <c r="AL226" s="194"/>
      <c r="AM226" s="80">
        <f t="shared" si="214"/>
        <v>0</v>
      </c>
      <c r="AN226" s="17">
        <f t="shared" si="222"/>
        <v>0</v>
      </c>
      <c r="AO226" s="235">
        <f t="shared" si="185"/>
        <v>0</v>
      </c>
      <c r="AP226" s="19"/>
    </row>
    <row r="227" spans="1:42">
      <c r="A227" s="15">
        <v>45151</v>
      </c>
      <c r="B227" s="194">
        <v>0</v>
      </c>
      <c r="C227" s="80">
        <f t="shared" si="208"/>
        <v>0</v>
      </c>
      <c r="D227" s="80">
        <f t="shared" si="215"/>
        <v>0</v>
      </c>
      <c r="E227" s="194"/>
      <c r="F227" s="80">
        <f t="shared" si="186"/>
        <v>0</v>
      </c>
      <c r="G227" s="80">
        <f t="shared" si="216"/>
        <v>0</v>
      </c>
      <c r="H227" s="194"/>
      <c r="I227" s="80">
        <f t="shared" si="209"/>
        <v>0</v>
      </c>
      <c r="J227" s="80">
        <f t="shared" si="217"/>
        <v>0</v>
      </c>
      <c r="K227" s="194"/>
      <c r="L227" s="80">
        <f t="shared" si="210"/>
        <v>0</v>
      </c>
      <c r="M227" s="80">
        <f t="shared" si="189"/>
        <v>0</v>
      </c>
      <c r="N227" s="194"/>
      <c r="O227" s="80">
        <f t="shared" si="211"/>
        <v>0</v>
      </c>
      <c r="P227" s="80">
        <f t="shared" si="218"/>
        <v>0</v>
      </c>
      <c r="Q227" s="194"/>
      <c r="R227" s="80">
        <f t="shared" si="212"/>
        <v>0</v>
      </c>
      <c r="S227" s="80">
        <f t="shared" si="190"/>
        <v>0</v>
      </c>
      <c r="T227" s="80"/>
      <c r="U227" s="80">
        <f t="shared" si="187"/>
        <v>0</v>
      </c>
      <c r="V227" s="215">
        <f t="shared" si="188"/>
        <v>0</v>
      </c>
      <c r="W227" s="185"/>
      <c r="X227" s="80"/>
      <c r="Y227" s="80">
        <f t="shared" si="191"/>
        <v>0</v>
      </c>
      <c r="Z227" s="194"/>
      <c r="AA227" s="80">
        <f t="shared" si="223"/>
        <v>0</v>
      </c>
      <c r="AB227" s="80">
        <f t="shared" si="219"/>
        <v>0</v>
      </c>
      <c r="AC227" s="194"/>
      <c r="AD227" s="80">
        <f t="shared" si="192"/>
        <v>0</v>
      </c>
      <c r="AE227" s="80">
        <f t="shared" si="220"/>
        <v>0</v>
      </c>
      <c r="AF227" s="194"/>
      <c r="AG227" s="80">
        <f t="shared" si="213"/>
        <v>0</v>
      </c>
      <c r="AH227" s="80">
        <f t="shared" si="193"/>
        <v>0</v>
      </c>
      <c r="AI227" s="194"/>
      <c r="AJ227" s="80">
        <f t="shared" si="207"/>
        <v>0</v>
      </c>
      <c r="AK227" s="80">
        <f t="shared" si="221"/>
        <v>0</v>
      </c>
      <c r="AL227" s="194"/>
      <c r="AM227" s="80">
        <f t="shared" si="214"/>
        <v>0</v>
      </c>
      <c r="AN227" s="17">
        <f t="shared" si="222"/>
        <v>0</v>
      </c>
      <c r="AO227" s="235">
        <f t="shared" si="185"/>
        <v>0</v>
      </c>
      <c r="AP227" s="19"/>
    </row>
    <row r="228" spans="1:42">
      <c r="A228" s="15">
        <v>45152</v>
      </c>
      <c r="B228" s="194">
        <v>0</v>
      </c>
      <c r="C228" s="80">
        <f t="shared" si="208"/>
        <v>0</v>
      </c>
      <c r="D228" s="80">
        <f t="shared" si="215"/>
        <v>0</v>
      </c>
      <c r="E228" s="194"/>
      <c r="F228" s="80">
        <f t="shared" si="186"/>
        <v>0</v>
      </c>
      <c r="G228" s="80">
        <f t="shared" si="216"/>
        <v>0</v>
      </c>
      <c r="H228" s="194"/>
      <c r="I228" s="80">
        <f t="shared" si="209"/>
        <v>0</v>
      </c>
      <c r="J228" s="80">
        <f t="shared" si="217"/>
        <v>0</v>
      </c>
      <c r="K228" s="194"/>
      <c r="L228" s="80">
        <f t="shared" si="210"/>
        <v>0</v>
      </c>
      <c r="M228" s="80">
        <f t="shared" si="189"/>
        <v>0</v>
      </c>
      <c r="N228" s="194"/>
      <c r="O228" s="80">
        <f t="shared" si="211"/>
        <v>0</v>
      </c>
      <c r="P228" s="80">
        <f t="shared" si="218"/>
        <v>0</v>
      </c>
      <c r="Q228" s="194"/>
      <c r="R228" s="80">
        <f t="shared" si="212"/>
        <v>0</v>
      </c>
      <c r="S228" s="80">
        <f t="shared" si="190"/>
        <v>0</v>
      </c>
      <c r="T228" s="80"/>
      <c r="U228" s="80">
        <f t="shared" si="187"/>
        <v>0</v>
      </c>
      <c r="V228" s="215">
        <f t="shared" si="188"/>
        <v>0</v>
      </c>
      <c r="W228" s="185"/>
      <c r="X228" s="80"/>
      <c r="Y228" s="80">
        <f t="shared" si="191"/>
        <v>0</v>
      </c>
      <c r="Z228" s="194"/>
      <c r="AA228" s="80">
        <f t="shared" si="223"/>
        <v>0</v>
      </c>
      <c r="AB228" s="80">
        <f t="shared" si="219"/>
        <v>0</v>
      </c>
      <c r="AC228" s="194"/>
      <c r="AD228" s="80">
        <f t="shared" si="192"/>
        <v>0</v>
      </c>
      <c r="AE228" s="80">
        <f t="shared" si="220"/>
        <v>0</v>
      </c>
      <c r="AF228" s="194"/>
      <c r="AG228" s="80">
        <f t="shared" si="213"/>
        <v>0</v>
      </c>
      <c r="AH228" s="80">
        <f t="shared" si="193"/>
        <v>0</v>
      </c>
      <c r="AI228" s="194"/>
      <c r="AJ228" s="80">
        <f t="shared" si="207"/>
        <v>0</v>
      </c>
      <c r="AK228" s="80">
        <f t="shared" si="221"/>
        <v>0</v>
      </c>
      <c r="AL228" s="194"/>
      <c r="AM228" s="80">
        <f t="shared" si="214"/>
        <v>0</v>
      </c>
      <c r="AN228" s="17">
        <f t="shared" si="222"/>
        <v>0</v>
      </c>
      <c r="AO228" s="235">
        <f t="shared" si="185"/>
        <v>0</v>
      </c>
      <c r="AP228" s="19"/>
    </row>
    <row r="229" spans="1:42">
      <c r="A229" s="15">
        <v>45153</v>
      </c>
      <c r="B229" s="194">
        <v>0</v>
      </c>
      <c r="C229" s="80">
        <f t="shared" si="208"/>
        <v>0</v>
      </c>
      <c r="D229" s="80">
        <f t="shared" si="215"/>
        <v>0</v>
      </c>
      <c r="E229" s="194"/>
      <c r="F229" s="80">
        <f t="shared" si="186"/>
        <v>0</v>
      </c>
      <c r="G229" s="80">
        <f t="shared" si="216"/>
        <v>0</v>
      </c>
      <c r="H229" s="194"/>
      <c r="I229" s="80">
        <f t="shared" si="209"/>
        <v>0</v>
      </c>
      <c r="J229" s="80">
        <f t="shared" si="217"/>
        <v>0</v>
      </c>
      <c r="K229" s="194"/>
      <c r="L229" s="80">
        <f t="shared" si="210"/>
        <v>0</v>
      </c>
      <c r="M229" s="80">
        <f t="shared" si="189"/>
        <v>0</v>
      </c>
      <c r="N229" s="194"/>
      <c r="O229" s="80">
        <f t="shared" si="211"/>
        <v>0</v>
      </c>
      <c r="P229" s="80">
        <f t="shared" si="218"/>
        <v>0</v>
      </c>
      <c r="Q229" s="194"/>
      <c r="R229" s="80">
        <f t="shared" si="212"/>
        <v>0</v>
      </c>
      <c r="S229" s="80">
        <f t="shared" si="190"/>
        <v>0</v>
      </c>
      <c r="T229" s="80"/>
      <c r="U229" s="80">
        <f t="shared" si="187"/>
        <v>0</v>
      </c>
      <c r="V229" s="215">
        <f t="shared" si="188"/>
        <v>0</v>
      </c>
      <c r="W229" s="185"/>
      <c r="X229" s="80"/>
      <c r="Y229" s="80">
        <f t="shared" si="191"/>
        <v>0</v>
      </c>
      <c r="Z229" s="194"/>
      <c r="AA229" s="80">
        <f t="shared" si="223"/>
        <v>0</v>
      </c>
      <c r="AB229" s="80">
        <f t="shared" si="219"/>
        <v>0</v>
      </c>
      <c r="AC229" s="194"/>
      <c r="AD229" s="80">
        <f t="shared" si="192"/>
        <v>0</v>
      </c>
      <c r="AE229" s="80">
        <f t="shared" si="220"/>
        <v>0</v>
      </c>
      <c r="AF229" s="194"/>
      <c r="AG229" s="80">
        <f t="shared" si="213"/>
        <v>0</v>
      </c>
      <c r="AH229" s="80">
        <f t="shared" si="193"/>
        <v>0</v>
      </c>
      <c r="AI229" s="194"/>
      <c r="AJ229" s="80">
        <f t="shared" si="207"/>
        <v>0</v>
      </c>
      <c r="AK229" s="80">
        <f t="shared" si="221"/>
        <v>0</v>
      </c>
      <c r="AL229" s="194"/>
      <c r="AM229" s="80">
        <f t="shared" si="214"/>
        <v>0</v>
      </c>
      <c r="AN229" s="17">
        <f t="shared" si="222"/>
        <v>0</v>
      </c>
      <c r="AO229" s="235">
        <f t="shared" si="185"/>
        <v>0</v>
      </c>
      <c r="AP229" s="19"/>
    </row>
    <row r="230" spans="1:42">
      <c r="A230" s="15">
        <v>45154</v>
      </c>
      <c r="B230" s="194">
        <v>0</v>
      </c>
      <c r="C230" s="80">
        <f t="shared" si="208"/>
        <v>0</v>
      </c>
      <c r="D230" s="80">
        <f t="shared" si="215"/>
        <v>0</v>
      </c>
      <c r="E230" s="194"/>
      <c r="F230" s="80">
        <f t="shared" si="186"/>
        <v>0</v>
      </c>
      <c r="G230" s="80">
        <f t="shared" si="216"/>
        <v>0</v>
      </c>
      <c r="H230" s="194"/>
      <c r="I230" s="80">
        <f t="shared" si="209"/>
        <v>0</v>
      </c>
      <c r="J230" s="80">
        <f t="shared" si="217"/>
        <v>0</v>
      </c>
      <c r="K230" s="194"/>
      <c r="L230" s="80">
        <f t="shared" si="210"/>
        <v>0</v>
      </c>
      <c r="M230" s="80">
        <f t="shared" si="189"/>
        <v>0</v>
      </c>
      <c r="N230" s="194"/>
      <c r="O230" s="80">
        <f t="shared" si="211"/>
        <v>0</v>
      </c>
      <c r="P230" s="80">
        <f t="shared" si="218"/>
        <v>0</v>
      </c>
      <c r="Q230" s="194"/>
      <c r="R230" s="80">
        <f t="shared" si="212"/>
        <v>0</v>
      </c>
      <c r="S230" s="80">
        <f t="shared" si="190"/>
        <v>0</v>
      </c>
      <c r="T230" s="80"/>
      <c r="U230" s="80">
        <f t="shared" si="187"/>
        <v>0</v>
      </c>
      <c r="V230" s="215">
        <f t="shared" si="188"/>
        <v>0</v>
      </c>
      <c r="W230" s="185"/>
      <c r="X230" s="80"/>
      <c r="Y230" s="80">
        <f t="shared" si="191"/>
        <v>0</v>
      </c>
      <c r="Z230" s="194"/>
      <c r="AA230" s="80">
        <f t="shared" si="223"/>
        <v>0</v>
      </c>
      <c r="AB230" s="80">
        <f t="shared" si="219"/>
        <v>0</v>
      </c>
      <c r="AC230" s="194"/>
      <c r="AD230" s="80">
        <f t="shared" si="192"/>
        <v>0</v>
      </c>
      <c r="AE230" s="80">
        <f t="shared" si="220"/>
        <v>0</v>
      </c>
      <c r="AF230" s="194"/>
      <c r="AG230" s="80">
        <f t="shared" si="213"/>
        <v>0</v>
      </c>
      <c r="AH230" s="80">
        <f t="shared" si="193"/>
        <v>0</v>
      </c>
      <c r="AI230" s="194"/>
      <c r="AJ230" s="80">
        <f t="shared" si="207"/>
        <v>0</v>
      </c>
      <c r="AK230" s="80">
        <f t="shared" si="221"/>
        <v>0</v>
      </c>
      <c r="AL230" s="194"/>
      <c r="AM230" s="80">
        <f t="shared" si="214"/>
        <v>0</v>
      </c>
      <c r="AN230" s="17">
        <f t="shared" si="222"/>
        <v>0</v>
      </c>
      <c r="AO230" s="235">
        <f t="shared" si="185"/>
        <v>0</v>
      </c>
      <c r="AP230" s="19"/>
    </row>
    <row r="231" spans="1:42">
      <c r="A231" s="15">
        <v>45155</v>
      </c>
      <c r="B231" s="194">
        <v>0</v>
      </c>
      <c r="C231" s="80">
        <f t="shared" si="208"/>
        <v>0</v>
      </c>
      <c r="D231" s="80">
        <f t="shared" si="215"/>
        <v>0</v>
      </c>
      <c r="E231" s="194"/>
      <c r="F231" s="80">
        <f t="shared" si="186"/>
        <v>0</v>
      </c>
      <c r="G231" s="80">
        <f t="shared" si="216"/>
        <v>0</v>
      </c>
      <c r="H231" s="194"/>
      <c r="I231" s="80">
        <f t="shared" si="209"/>
        <v>0</v>
      </c>
      <c r="J231" s="80">
        <f t="shared" si="217"/>
        <v>0</v>
      </c>
      <c r="K231" s="194"/>
      <c r="L231" s="80">
        <f t="shared" si="210"/>
        <v>0</v>
      </c>
      <c r="M231" s="80">
        <f t="shared" si="189"/>
        <v>0</v>
      </c>
      <c r="N231" s="194"/>
      <c r="O231" s="80">
        <f t="shared" si="211"/>
        <v>0</v>
      </c>
      <c r="P231" s="80">
        <f t="shared" si="218"/>
        <v>0</v>
      </c>
      <c r="Q231" s="194"/>
      <c r="R231" s="80">
        <f t="shared" si="212"/>
        <v>0</v>
      </c>
      <c r="S231" s="80">
        <f t="shared" si="190"/>
        <v>0</v>
      </c>
      <c r="T231" s="80"/>
      <c r="U231" s="80">
        <f t="shared" si="187"/>
        <v>0</v>
      </c>
      <c r="V231" s="215">
        <f t="shared" si="188"/>
        <v>0</v>
      </c>
      <c r="W231" s="185"/>
      <c r="X231" s="80"/>
      <c r="Y231" s="80">
        <f t="shared" si="191"/>
        <v>0</v>
      </c>
      <c r="Z231" s="194"/>
      <c r="AA231" s="80">
        <f t="shared" si="223"/>
        <v>0</v>
      </c>
      <c r="AB231" s="80">
        <f t="shared" si="219"/>
        <v>0</v>
      </c>
      <c r="AC231" s="194"/>
      <c r="AD231" s="80">
        <f t="shared" si="192"/>
        <v>0</v>
      </c>
      <c r="AE231" s="80">
        <f t="shared" si="220"/>
        <v>0</v>
      </c>
      <c r="AF231" s="194"/>
      <c r="AG231" s="80">
        <f t="shared" si="213"/>
        <v>0</v>
      </c>
      <c r="AH231" s="80">
        <f t="shared" si="193"/>
        <v>0</v>
      </c>
      <c r="AI231" s="194"/>
      <c r="AJ231" s="80">
        <f t="shared" si="207"/>
        <v>0</v>
      </c>
      <c r="AK231" s="80">
        <f t="shared" si="221"/>
        <v>0</v>
      </c>
      <c r="AL231" s="194"/>
      <c r="AM231" s="80">
        <f t="shared" si="214"/>
        <v>0</v>
      </c>
      <c r="AN231" s="17">
        <f t="shared" si="222"/>
        <v>0</v>
      </c>
      <c r="AO231" s="235">
        <f t="shared" si="185"/>
        <v>0</v>
      </c>
      <c r="AP231" s="19"/>
    </row>
    <row r="232" spans="1:42">
      <c r="A232" s="15">
        <v>45156</v>
      </c>
      <c r="B232" s="194">
        <v>0</v>
      </c>
      <c r="C232" s="80">
        <f t="shared" si="208"/>
        <v>0</v>
      </c>
      <c r="D232" s="80">
        <f t="shared" si="215"/>
        <v>0</v>
      </c>
      <c r="E232" s="194"/>
      <c r="F232" s="80">
        <f t="shared" si="186"/>
        <v>0</v>
      </c>
      <c r="G232" s="80">
        <f t="shared" si="216"/>
        <v>0</v>
      </c>
      <c r="H232" s="194"/>
      <c r="I232" s="80">
        <f t="shared" si="209"/>
        <v>0</v>
      </c>
      <c r="J232" s="80">
        <f t="shared" si="217"/>
        <v>0</v>
      </c>
      <c r="K232" s="194"/>
      <c r="L232" s="80">
        <f t="shared" si="210"/>
        <v>0</v>
      </c>
      <c r="M232" s="80">
        <f t="shared" si="189"/>
        <v>0</v>
      </c>
      <c r="N232" s="194"/>
      <c r="O232" s="80">
        <f t="shared" si="211"/>
        <v>0</v>
      </c>
      <c r="P232" s="80">
        <f t="shared" si="218"/>
        <v>0</v>
      </c>
      <c r="Q232" s="194"/>
      <c r="R232" s="80">
        <f t="shared" si="212"/>
        <v>0</v>
      </c>
      <c r="S232" s="80">
        <f t="shared" si="190"/>
        <v>0</v>
      </c>
      <c r="T232" s="80"/>
      <c r="U232" s="80">
        <f t="shared" si="187"/>
        <v>0</v>
      </c>
      <c r="V232" s="215">
        <f t="shared" si="188"/>
        <v>0</v>
      </c>
      <c r="W232" s="185"/>
      <c r="X232" s="80"/>
      <c r="Y232" s="80">
        <f t="shared" si="191"/>
        <v>0</v>
      </c>
      <c r="Z232" s="194"/>
      <c r="AA232" s="80">
        <f t="shared" si="223"/>
        <v>0</v>
      </c>
      <c r="AB232" s="80">
        <f t="shared" si="219"/>
        <v>0</v>
      </c>
      <c r="AC232" s="194"/>
      <c r="AD232" s="80">
        <f t="shared" si="192"/>
        <v>0</v>
      </c>
      <c r="AE232" s="80">
        <f t="shared" si="220"/>
        <v>0</v>
      </c>
      <c r="AF232" s="194"/>
      <c r="AG232" s="80">
        <f t="shared" si="213"/>
        <v>0</v>
      </c>
      <c r="AH232" s="80">
        <f t="shared" si="193"/>
        <v>0</v>
      </c>
      <c r="AI232" s="194"/>
      <c r="AJ232" s="80">
        <f t="shared" si="207"/>
        <v>0</v>
      </c>
      <c r="AK232" s="80">
        <f t="shared" si="221"/>
        <v>0</v>
      </c>
      <c r="AL232" s="194"/>
      <c r="AM232" s="80">
        <f t="shared" si="214"/>
        <v>0</v>
      </c>
      <c r="AN232" s="17">
        <f t="shared" si="222"/>
        <v>0</v>
      </c>
      <c r="AO232" s="235">
        <f t="shared" si="185"/>
        <v>0</v>
      </c>
      <c r="AP232" s="19"/>
    </row>
    <row r="233" spans="1:42">
      <c r="A233" s="15">
        <v>45157</v>
      </c>
      <c r="B233" s="194">
        <v>0</v>
      </c>
      <c r="C233" s="80">
        <f t="shared" si="208"/>
        <v>0</v>
      </c>
      <c r="D233" s="80">
        <f t="shared" si="215"/>
        <v>0</v>
      </c>
      <c r="E233" s="194"/>
      <c r="F233" s="80">
        <f t="shared" si="186"/>
        <v>0</v>
      </c>
      <c r="G233" s="80">
        <f t="shared" si="216"/>
        <v>0</v>
      </c>
      <c r="H233" s="194"/>
      <c r="I233" s="80">
        <f t="shared" si="209"/>
        <v>0</v>
      </c>
      <c r="J233" s="80">
        <f t="shared" si="217"/>
        <v>0</v>
      </c>
      <c r="K233" s="194"/>
      <c r="L233" s="80">
        <f t="shared" si="210"/>
        <v>0</v>
      </c>
      <c r="M233" s="80">
        <f t="shared" si="189"/>
        <v>0</v>
      </c>
      <c r="N233" s="194"/>
      <c r="O233" s="80">
        <f t="shared" si="211"/>
        <v>0</v>
      </c>
      <c r="P233" s="80">
        <f t="shared" si="218"/>
        <v>0</v>
      </c>
      <c r="Q233" s="194"/>
      <c r="R233" s="80">
        <f t="shared" si="212"/>
        <v>0</v>
      </c>
      <c r="S233" s="80">
        <f t="shared" si="190"/>
        <v>0</v>
      </c>
      <c r="T233" s="80"/>
      <c r="U233" s="80">
        <f t="shared" si="187"/>
        <v>0</v>
      </c>
      <c r="V233" s="215">
        <f t="shared" si="188"/>
        <v>0</v>
      </c>
      <c r="W233" s="185"/>
      <c r="X233" s="80"/>
      <c r="Y233" s="80">
        <f t="shared" si="191"/>
        <v>0</v>
      </c>
      <c r="Z233" s="194"/>
      <c r="AA233" s="80">
        <f t="shared" si="223"/>
        <v>0</v>
      </c>
      <c r="AB233" s="80">
        <f t="shared" si="219"/>
        <v>0</v>
      </c>
      <c r="AC233" s="194"/>
      <c r="AD233" s="80">
        <f t="shared" si="192"/>
        <v>0</v>
      </c>
      <c r="AE233" s="80">
        <f t="shared" si="220"/>
        <v>0</v>
      </c>
      <c r="AF233" s="194"/>
      <c r="AG233" s="80">
        <f t="shared" si="213"/>
        <v>0</v>
      </c>
      <c r="AH233" s="80">
        <f t="shared" si="193"/>
        <v>0</v>
      </c>
      <c r="AI233" s="194"/>
      <c r="AJ233" s="80">
        <f t="shared" si="207"/>
        <v>0</v>
      </c>
      <c r="AK233" s="80">
        <f t="shared" si="221"/>
        <v>0</v>
      </c>
      <c r="AL233" s="194"/>
      <c r="AM233" s="80">
        <f t="shared" si="214"/>
        <v>0</v>
      </c>
      <c r="AN233" s="17">
        <f t="shared" si="222"/>
        <v>0</v>
      </c>
      <c r="AO233" s="235">
        <f t="shared" si="185"/>
        <v>0</v>
      </c>
      <c r="AP233" s="19"/>
    </row>
    <row r="234" spans="1:42">
      <c r="A234" s="15">
        <v>45158</v>
      </c>
      <c r="B234" s="194">
        <v>0</v>
      </c>
      <c r="C234" s="80">
        <f t="shared" si="208"/>
        <v>0</v>
      </c>
      <c r="D234" s="80">
        <f t="shared" si="215"/>
        <v>0</v>
      </c>
      <c r="E234" s="194"/>
      <c r="F234" s="80">
        <f t="shared" si="186"/>
        <v>0</v>
      </c>
      <c r="G234" s="80">
        <f t="shared" si="216"/>
        <v>0</v>
      </c>
      <c r="H234" s="194"/>
      <c r="I234" s="80">
        <f t="shared" si="209"/>
        <v>0</v>
      </c>
      <c r="J234" s="80">
        <f t="shared" si="217"/>
        <v>0</v>
      </c>
      <c r="K234" s="194"/>
      <c r="L234" s="80">
        <f t="shared" si="210"/>
        <v>0</v>
      </c>
      <c r="M234" s="80">
        <f t="shared" si="189"/>
        <v>0</v>
      </c>
      <c r="N234" s="194"/>
      <c r="O234" s="80">
        <f t="shared" si="211"/>
        <v>0</v>
      </c>
      <c r="P234" s="80">
        <f t="shared" si="218"/>
        <v>0</v>
      </c>
      <c r="Q234" s="194"/>
      <c r="R234" s="80">
        <f t="shared" si="212"/>
        <v>0</v>
      </c>
      <c r="S234" s="80">
        <f t="shared" si="190"/>
        <v>0</v>
      </c>
      <c r="T234" s="80"/>
      <c r="U234" s="80">
        <f t="shared" si="187"/>
        <v>0</v>
      </c>
      <c r="V234" s="215">
        <f t="shared" si="188"/>
        <v>0</v>
      </c>
      <c r="W234" s="185"/>
      <c r="X234" s="80"/>
      <c r="Y234" s="80">
        <f t="shared" si="191"/>
        <v>0</v>
      </c>
      <c r="Z234" s="194"/>
      <c r="AA234" s="80">
        <f t="shared" si="223"/>
        <v>0</v>
      </c>
      <c r="AB234" s="80">
        <f t="shared" si="219"/>
        <v>0</v>
      </c>
      <c r="AC234" s="194"/>
      <c r="AD234" s="80">
        <f t="shared" si="192"/>
        <v>0</v>
      </c>
      <c r="AE234" s="80">
        <f t="shared" si="220"/>
        <v>0</v>
      </c>
      <c r="AF234" s="194"/>
      <c r="AG234" s="80">
        <f t="shared" si="213"/>
        <v>0</v>
      </c>
      <c r="AH234" s="80">
        <f t="shared" si="193"/>
        <v>0</v>
      </c>
      <c r="AI234" s="194"/>
      <c r="AJ234" s="80">
        <f t="shared" si="207"/>
        <v>0</v>
      </c>
      <c r="AK234" s="80">
        <f t="shared" si="221"/>
        <v>0</v>
      </c>
      <c r="AL234" s="194"/>
      <c r="AM234" s="80">
        <f t="shared" si="214"/>
        <v>0</v>
      </c>
      <c r="AN234" s="17">
        <f t="shared" si="222"/>
        <v>0</v>
      </c>
      <c r="AO234" s="235">
        <f t="shared" si="185"/>
        <v>0</v>
      </c>
      <c r="AP234" s="19"/>
    </row>
    <row r="235" spans="1:42">
      <c r="A235" s="15">
        <v>45159</v>
      </c>
      <c r="B235" s="194">
        <v>0</v>
      </c>
      <c r="C235" s="80">
        <f t="shared" si="208"/>
        <v>0</v>
      </c>
      <c r="D235" s="80">
        <f t="shared" si="215"/>
        <v>0</v>
      </c>
      <c r="E235" s="194"/>
      <c r="F235" s="80">
        <f t="shared" si="186"/>
        <v>0</v>
      </c>
      <c r="G235" s="80">
        <f t="shared" si="216"/>
        <v>0</v>
      </c>
      <c r="H235" s="194"/>
      <c r="I235" s="80">
        <f t="shared" si="209"/>
        <v>0</v>
      </c>
      <c r="J235" s="80">
        <f t="shared" si="217"/>
        <v>0</v>
      </c>
      <c r="K235" s="194"/>
      <c r="L235" s="80">
        <f t="shared" si="210"/>
        <v>0</v>
      </c>
      <c r="M235" s="80">
        <f t="shared" si="189"/>
        <v>0</v>
      </c>
      <c r="N235" s="194"/>
      <c r="O235" s="80">
        <f t="shared" si="211"/>
        <v>0</v>
      </c>
      <c r="P235" s="80">
        <f t="shared" si="218"/>
        <v>0</v>
      </c>
      <c r="Q235" s="194"/>
      <c r="R235" s="80">
        <f t="shared" si="212"/>
        <v>0</v>
      </c>
      <c r="S235" s="80">
        <f t="shared" si="190"/>
        <v>0</v>
      </c>
      <c r="T235" s="80"/>
      <c r="U235" s="80">
        <f t="shared" si="187"/>
        <v>0</v>
      </c>
      <c r="V235" s="215">
        <f t="shared" si="188"/>
        <v>0</v>
      </c>
      <c r="W235" s="185"/>
      <c r="X235" s="80"/>
      <c r="Y235" s="80">
        <f t="shared" si="191"/>
        <v>0</v>
      </c>
      <c r="Z235" s="194"/>
      <c r="AA235" s="80">
        <f t="shared" si="223"/>
        <v>0</v>
      </c>
      <c r="AB235" s="80">
        <f t="shared" si="219"/>
        <v>0</v>
      </c>
      <c r="AC235" s="194"/>
      <c r="AD235" s="80">
        <f t="shared" si="192"/>
        <v>0</v>
      </c>
      <c r="AE235" s="80">
        <f t="shared" si="220"/>
        <v>0</v>
      </c>
      <c r="AF235" s="194"/>
      <c r="AG235" s="80">
        <f t="shared" si="213"/>
        <v>0</v>
      </c>
      <c r="AH235" s="80">
        <f t="shared" si="193"/>
        <v>0</v>
      </c>
      <c r="AI235" s="194"/>
      <c r="AJ235" s="80">
        <f t="shared" si="207"/>
        <v>0</v>
      </c>
      <c r="AK235" s="80">
        <f t="shared" si="221"/>
        <v>0</v>
      </c>
      <c r="AL235" s="194"/>
      <c r="AM235" s="80">
        <f t="shared" si="214"/>
        <v>0</v>
      </c>
      <c r="AN235" s="17">
        <f t="shared" si="222"/>
        <v>0</v>
      </c>
      <c r="AO235" s="235">
        <f t="shared" si="185"/>
        <v>0</v>
      </c>
      <c r="AP235" s="19"/>
    </row>
    <row r="236" spans="1:42">
      <c r="A236" s="15">
        <v>45160</v>
      </c>
      <c r="B236" s="194">
        <v>0</v>
      </c>
      <c r="C236" s="80">
        <f t="shared" si="208"/>
        <v>0</v>
      </c>
      <c r="D236" s="80">
        <f t="shared" si="215"/>
        <v>0</v>
      </c>
      <c r="E236" s="194"/>
      <c r="F236" s="80">
        <f t="shared" si="186"/>
        <v>0</v>
      </c>
      <c r="G236" s="80">
        <f t="shared" si="216"/>
        <v>0</v>
      </c>
      <c r="H236" s="194"/>
      <c r="I236" s="80">
        <f t="shared" si="209"/>
        <v>0</v>
      </c>
      <c r="J236" s="80">
        <f t="shared" si="217"/>
        <v>0</v>
      </c>
      <c r="K236" s="194"/>
      <c r="L236" s="80">
        <f t="shared" si="210"/>
        <v>0</v>
      </c>
      <c r="M236" s="80">
        <f t="shared" si="189"/>
        <v>0</v>
      </c>
      <c r="N236" s="194"/>
      <c r="O236" s="80">
        <f t="shared" si="211"/>
        <v>0</v>
      </c>
      <c r="P236" s="80">
        <f t="shared" si="218"/>
        <v>0</v>
      </c>
      <c r="Q236" s="194"/>
      <c r="R236" s="80">
        <f t="shared" si="212"/>
        <v>0</v>
      </c>
      <c r="S236" s="80">
        <f t="shared" si="190"/>
        <v>0</v>
      </c>
      <c r="T236" s="80"/>
      <c r="U236" s="80">
        <f t="shared" si="187"/>
        <v>0</v>
      </c>
      <c r="V236" s="215">
        <f t="shared" si="188"/>
        <v>0</v>
      </c>
      <c r="W236" s="185"/>
      <c r="X236" s="80"/>
      <c r="Y236" s="80">
        <f t="shared" si="191"/>
        <v>0</v>
      </c>
      <c r="Z236" s="194"/>
      <c r="AA236" s="80">
        <f t="shared" si="223"/>
        <v>0</v>
      </c>
      <c r="AB236" s="80">
        <f t="shared" si="219"/>
        <v>0</v>
      </c>
      <c r="AC236" s="194"/>
      <c r="AD236" s="80">
        <f t="shared" si="192"/>
        <v>0</v>
      </c>
      <c r="AE236" s="80">
        <f t="shared" si="220"/>
        <v>0</v>
      </c>
      <c r="AF236" s="194"/>
      <c r="AG236" s="80">
        <f t="shared" si="213"/>
        <v>0</v>
      </c>
      <c r="AH236" s="80">
        <f t="shared" si="193"/>
        <v>0</v>
      </c>
      <c r="AI236" s="194"/>
      <c r="AJ236" s="80">
        <f t="shared" si="207"/>
        <v>0</v>
      </c>
      <c r="AK236" s="80">
        <f t="shared" si="221"/>
        <v>0</v>
      </c>
      <c r="AL236" s="194"/>
      <c r="AM236" s="80">
        <f t="shared" si="214"/>
        <v>0</v>
      </c>
      <c r="AN236" s="17">
        <f t="shared" si="222"/>
        <v>0</v>
      </c>
      <c r="AO236" s="235">
        <f t="shared" si="185"/>
        <v>0</v>
      </c>
      <c r="AP236" s="19"/>
    </row>
    <row r="237" spans="1:42">
      <c r="A237" s="15">
        <v>45161</v>
      </c>
      <c r="B237" s="194">
        <v>0</v>
      </c>
      <c r="C237" s="80">
        <f t="shared" si="208"/>
        <v>0</v>
      </c>
      <c r="D237" s="80">
        <f t="shared" si="215"/>
        <v>0</v>
      </c>
      <c r="E237" s="194"/>
      <c r="F237" s="80">
        <f t="shared" si="186"/>
        <v>0</v>
      </c>
      <c r="G237" s="80">
        <f t="shared" si="216"/>
        <v>0</v>
      </c>
      <c r="H237" s="194"/>
      <c r="I237" s="80">
        <f t="shared" si="209"/>
        <v>0</v>
      </c>
      <c r="J237" s="80">
        <f t="shared" si="217"/>
        <v>0</v>
      </c>
      <c r="K237" s="194"/>
      <c r="L237" s="80">
        <f t="shared" si="210"/>
        <v>0</v>
      </c>
      <c r="M237" s="80">
        <f t="shared" si="189"/>
        <v>0</v>
      </c>
      <c r="N237" s="194"/>
      <c r="O237" s="80">
        <f t="shared" si="211"/>
        <v>0</v>
      </c>
      <c r="P237" s="80">
        <f t="shared" si="218"/>
        <v>0</v>
      </c>
      <c r="Q237" s="194"/>
      <c r="R237" s="80">
        <f t="shared" si="212"/>
        <v>0</v>
      </c>
      <c r="S237" s="80">
        <f t="shared" si="190"/>
        <v>0</v>
      </c>
      <c r="T237" s="80"/>
      <c r="U237" s="80">
        <f t="shared" si="187"/>
        <v>0</v>
      </c>
      <c r="V237" s="215">
        <f t="shared" si="188"/>
        <v>0</v>
      </c>
      <c r="W237" s="185"/>
      <c r="X237" s="80"/>
      <c r="Y237" s="80">
        <f t="shared" si="191"/>
        <v>0</v>
      </c>
      <c r="Z237" s="194"/>
      <c r="AA237" s="80">
        <f t="shared" si="223"/>
        <v>0</v>
      </c>
      <c r="AB237" s="80">
        <f t="shared" si="219"/>
        <v>0</v>
      </c>
      <c r="AC237" s="194"/>
      <c r="AD237" s="80">
        <f t="shared" si="192"/>
        <v>0</v>
      </c>
      <c r="AE237" s="80">
        <f t="shared" si="220"/>
        <v>0</v>
      </c>
      <c r="AF237" s="194"/>
      <c r="AG237" s="80">
        <f t="shared" si="213"/>
        <v>0</v>
      </c>
      <c r="AH237" s="80">
        <f t="shared" si="193"/>
        <v>0</v>
      </c>
      <c r="AI237" s="194"/>
      <c r="AJ237" s="80">
        <f t="shared" si="207"/>
        <v>0</v>
      </c>
      <c r="AK237" s="80">
        <f t="shared" si="221"/>
        <v>0</v>
      </c>
      <c r="AL237" s="194"/>
      <c r="AM237" s="80">
        <f t="shared" si="214"/>
        <v>0</v>
      </c>
      <c r="AN237" s="17">
        <f t="shared" si="222"/>
        <v>0</v>
      </c>
      <c r="AO237" s="235">
        <f t="shared" si="185"/>
        <v>0</v>
      </c>
      <c r="AP237" s="19"/>
    </row>
    <row r="238" spans="1:42">
      <c r="A238" s="15">
        <v>45162</v>
      </c>
      <c r="B238" s="194">
        <v>0</v>
      </c>
      <c r="C238" s="80">
        <f t="shared" si="208"/>
        <v>0</v>
      </c>
      <c r="D238" s="80">
        <f t="shared" si="215"/>
        <v>0</v>
      </c>
      <c r="E238" s="194"/>
      <c r="F238" s="80">
        <f t="shared" si="186"/>
        <v>0</v>
      </c>
      <c r="G238" s="80">
        <f t="shared" si="216"/>
        <v>0</v>
      </c>
      <c r="H238" s="194"/>
      <c r="I238" s="80">
        <f t="shared" si="209"/>
        <v>0</v>
      </c>
      <c r="J238" s="80">
        <f t="shared" si="217"/>
        <v>0</v>
      </c>
      <c r="K238" s="194"/>
      <c r="L238" s="80">
        <f t="shared" si="210"/>
        <v>0</v>
      </c>
      <c r="M238" s="80">
        <f t="shared" si="189"/>
        <v>0</v>
      </c>
      <c r="N238" s="194"/>
      <c r="O238" s="80">
        <f t="shared" si="211"/>
        <v>0</v>
      </c>
      <c r="P238" s="80">
        <f t="shared" si="218"/>
        <v>0</v>
      </c>
      <c r="Q238" s="194"/>
      <c r="R238" s="80">
        <f t="shared" si="212"/>
        <v>0</v>
      </c>
      <c r="S238" s="80">
        <f t="shared" si="190"/>
        <v>0</v>
      </c>
      <c r="T238" s="80"/>
      <c r="U238" s="80">
        <f t="shared" si="187"/>
        <v>0</v>
      </c>
      <c r="V238" s="215">
        <f t="shared" si="188"/>
        <v>0</v>
      </c>
      <c r="W238" s="185"/>
      <c r="X238" s="80"/>
      <c r="Y238" s="80">
        <f t="shared" si="191"/>
        <v>0</v>
      </c>
      <c r="Z238" s="194"/>
      <c r="AA238" s="80">
        <f t="shared" si="223"/>
        <v>0</v>
      </c>
      <c r="AB238" s="80">
        <f t="shared" si="219"/>
        <v>0</v>
      </c>
      <c r="AC238" s="194"/>
      <c r="AD238" s="80">
        <f t="shared" si="192"/>
        <v>0</v>
      </c>
      <c r="AE238" s="80">
        <f t="shared" si="220"/>
        <v>0</v>
      </c>
      <c r="AF238" s="194"/>
      <c r="AG238" s="80">
        <f t="shared" si="213"/>
        <v>0</v>
      </c>
      <c r="AH238" s="80">
        <f t="shared" si="193"/>
        <v>0</v>
      </c>
      <c r="AI238" s="194"/>
      <c r="AJ238" s="80">
        <f t="shared" si="207"/>
        <v>0</v>
      </c>
      <c r="AK238" s="80">
        <f t="shared" si="221"/>
        <v>0</v>
      </c>
      <c r="AL238" s="194"/>
      <c r="AM238" s="80">
        <f t="shared" si="214"/>
        <v>0</v>
      </c>
      <c r="AN238" s="17">
        <f t="shared" si="222"/>
        <v>0</v>
      </c>
      <c r="AO238" s="235">
        <f t="shared" si="185"/>
        <v>0</v>
      </c>
      <c r="AP238" s="19"/>
    </row>
    <row r="239" spans="1:42">
      <c r="A239" s="15">
        <v>45163</v>
      </c>
      <c r="B239" s="194">
        <v>0</v>
      </c>
      <c r="C239" s="80">
        <f t="shared" si="208"/>
        <v>0</v>
      </c>
      <c r="D239" s="80">
        <f t="shared" ref="D239:D270" si="224">+CONVERT(C239,"m^3","gal")</f>
        <v>0</v>
      </c>
      <c r="E239" s="194"/>
      <c r="F239" s="80">
        <f t="shared" si="186"/>
        <v>0</v>
      </c>
      <c r="G239" s="80">
        <f t="shared" ref="G239:G270" si="225">+CONVERT(F239,"m^3","gal")</f>
        <v>0</v>
      </c>
      <c r="H239" s="194"/>
      <c r="I239" s="80">
        <f t="shared" si="209"/>
        <v>0</v>
      </c>
      <c r="J239" s="80">
        <f t="shared" ref="J239:J270" si="226">+CONVERT(I239,"m^3","gal")</f>
        <v>0</v>
      </c>
      <c r="K239" s="194"/>
      <c r="L239" s="80">
        <f t="shared" si="210"/>
        <v>0</v>
      </c>
      <c r="M239" s="80">
        <f t="shared" si="189"/>
        <v>0</v>
      </c>
      <c r="N239" s="194"/>
      <c r="O239" s="80">
        <f t="shared" si="211"/>
        <v>0</v>
      </c>
      <c r="P239" s="80">
        <f t="shared" ref="P239:P270" si="227">+CONVERT(O239,"m^3","gal")</f>
        <v>0</v>
      </c>
      <c r="Q239" s="194"/>
      <c r="R239" s="80">
        <f t="shared" si="212"/>
        <v>0</v>
      </c>
      <c r="S239" s="80">
        <f t="shared" si="190"/>
        <v>0</v>
      </c>
      <c r="T239" s="80"/>
      <c r="U239" s="80">
        <f t="shared" si="187"/>
        <v>0</v>
      </c>
      <c r="V239" s="215">
        <f t="shared" si="188"/>
        <v>0</v>
      </c>
      <c r="W239" s="185"/>
      <c r="X239" s="80"/>
      <c r="Y239" s="80">
        <f t="shared" si="191"/>
        <v>0</v>
      </c>
      <c r="Z239" s="194"/>
      <c r="AA239" s="80">
        <f t="shared" si="223"/>
        <v>0</v>
      </c>
      <c r="AB239" s="80">
        <f t="shared" ref="AB239:AB270" si="228">+CONVERT(AA239,"m^3","gal")</f>
        <v>0</v>
      </c>
      <c r="AC239" s="194"/>
      <c r="AD239" s="80">
        <f t="shared" si="192"/>
        <v>0</v>
      </c>
      <c r="AE239" s="80">
        <f t="shared" ref="AE239:AE270" si="229">+CONVERT(AD239,"m^3","gal")</f>
        <v>0</v>
      </c>
      <c r="AF239" s="194"/>
      <c r="AG239" s="80">
        <f t="shared" si="213"/>
        <v>0</v>
      </c>
      <c r="AH239" s="80">
        <f t="shared" si="193"/>
        <v>0</v>
      </c>
      <c r="AI239" s="194"/>
      <c r="AJ239" s="80">
        <f t="shared" si="207"/>
        <v>0</v>
      </c>
      <c r="AK239" s="80">
        <f t="shared" ref="AK239:AK270" si="230">+CONVERT(AJ239,"m^3","gal")</f>
        <v>0</v>
      </c>
      <c r="AL239" s="194"/>
      <c r="AM239" s="80">
        <f t="shared" si="214"/>
        <v>0</v>
      </c>
      <c r="AN239" s="17">
        <f t="shared" ref="AN239:AN270" si="231">+CONVERT(AM239,"m^3","gal")</f>
        <v>0</v>
      </c>
      <c r="AO239" s="235">
        <f t="shared" si="185"/>
        <v>0</v>
      </c>
      <c r="AP239" s="19"/>
    </row>
    <row r="240" spans="1:42">
      <c r="A240" s="15">
        <v>45164</v>
      </c>
      <c r="B240" s="194">
        <v>0</v>
      </c>
      <c r="C240" s="80">
        <f t="shared" si="208"/>
        <v>0</v>
      </c>
      <c r="D240" s="80">
        <f t="shared" si="224"/>
        <v>0</v>
      </c>
      <c r="E240" s="194"/>
      <c r="F240" s="80">
        <f t="shared" si="186"/>
        <v>0</v>
      </c>
      <c r="G240" s="80">
        <f t="shared" si="225"/>
        <v>0</v>
      </c>
      <c r="H240" s="194"/>
      <c r="I240" s="80">
        <f t="shared" si="209"/>
        <v>0</v>
      </c>
      <c r="J240" s="80">
        <f t="shared" si="226"/>
        <v>0</v>
      </c>
      <c r="K240" s="194"/>
      <c r="L240" s="80">
        <f t="shared" si="210"/>
        <v>0</v>
      </c>
      <c r="M240" s="80">
        <f t="shared" si="189"/>
        <v>0</v>
      </c>
      <c r="N240" s="194"/>
      <c r="O240" s="80">
        <f t="shared" si="211"/>
        <v>0</v>
      </c>
      <c r="P240" s="80">
        <f t="shared" si="227"/>
        <v>0</v>
      </c>
      <c r="Q240" s="194"/>
      <c r="R240" s="80">
        <f t="shared" si="212"/>
        <v>0</v>
      </c>
      <c r="S240" s="80">
        <f t="shared" si="190"/>
        <v>0</v>
      </c>
      <c r="T240" s="80"/>
      <c r="U240" s="80">
        <f t="shared" si="187"/>
        <v>0</v>
      </c>
      <c r="V240" s="215">
        <f t="shared" si="188"/>
        <v>0</v>
      </c>
      <c r="W240" s="185"/>
      <c r="X240" s="80"/>
      <c r="Y240" s="80">
        <f t="shared" si="191"/>
        <v>0</v>
      </c>
      <c r="Z240" s="194"/>
      <c r="AA240" s="80">
        <f t="shared" si="223"/>
        <v>0</v>
      </c>
      <c r="AB240" s="80">
        <f t="shared" si="228"/>
        <v>0</v>
      </c>
      <c r="AC240" s="194"/>
      <c r="AD240" s="80">
        <f t="shared" si="192"/>
        <v>0</v>
      </c>
      <c r="AE240" s="80">
        <f t="shared" si="229"/>
        <v>0</v>
      </c>
      <c r="AF240" s="194"/>
      <c r="AG240" s="80">
        <f t="shared" si="213"/>
        <v>0</v>
      </c>
      <c r="AH240" s="80">
        <f t="shared" si="193"/>
        <v>0</v>
      </c>
      <c r="AI240" s="194"/>
      <c r="AJ240" s="80">
        <f t="shared" si="207"/>
        <v>0</v>
      </c>
      <c r="AK240" s="80">
        <f t="shared" si="230"/>
        <v>0</v>
      </c>
      <c r="AL240" s="194"/>
      <c r="AM240" s="80">
        <f t="shared" si="214"/>
        <v>0</v>
      </c>
      <c r="AN240" s="17">
        <f t="shared" si="231"/>
        <v>0</v>
      </c>
      <c r="AO240" s="235">
        <f t="shared" si="185"/>
        <v>0</v>
      </c>
      <c r="AP240" s="19"/>
    </row>
    <row r="241" spans="1:42">
      <c r="A241" s="15">
        <v>45165</v>
      </c>
      <c r="B241" s="194">
        <v>0</v>
      </c>
      <c r="C241" s="80">
        <f t="shared" si="208"/>
        <v>0</v>
      </c>
      <c r="D241" s="80">
        <f t="shared" si="224"/>
        <v>0</v>
      </c>
      <c r="E241" s="194"/>
      <c r="F241" s="80">
        <f t="shared" si="186"/>
        <v>0</v>
      </c>
      <c r="G241" s="80">
        <f t="shared" si="225"/>
        <v>0</v>
      </c>
      <c r="H241" s="194"/>
      <c r="I241" s="80">
        <f t="shared" si="209"/>
        <v>0</v>
      </c>
      <c r="J241" s="80">
        <f t="shared" si="226"/>
        <v>0</v>
      </c>
      <c r="K241" s="194"/>
      <c r="L241" s="80">
        <f t="shared" si="210"/>
        <v>0</v>
      </c>
      <c r="M241" s="80">
        <f t="shared" si="189"/>
        <v>0</v>
      </c>
      <c r="N241" s="194"/>
      <c r="O241" s="80">
        <f t="shared" si="211"/>
        <v>0</v>
      </c>
      <c r="P241" s="80">
        <f t="shared" si="227"/>
        <v>0</v>
      </c>
      <c r="Q241" s="194"/>
      <c r="R241" s="80">
        <f t="shared" si="212"/>
        <v>0</v>
      </c>
      <c r="S241" s="80">
        <f t="shared" si="190"/>
        <v>0</v>
      </c>
      <c r="T241" s="80"/>
      <c r="U241" s="80">
        <f t="shared" si="187"/>
        <v>0</v>
      </c>
      <c r="V241" s="215">
        <f t="shared" si="188"/>
        <v>0</v>
      </c>
      <c r="W241" s="185"/>
      <c r="X241" s="80"/>
      <c r="Y241" s="80">
        <f t="shared" si="191"/>
        <v>0</v>
      </c>
      <c r="Z241" s="194"/>
      <c r="AA241" s="80">
        <f t="shared" si="223"/>
        <v>0</v>
      </c>
      <c r="AB241" s="80">
        <f t="shared" si="228"/>
        <v>0</v>
      </c>
      <c r="AC241" s="194"/>
      <c r="AD241" s="80">
        <f t="shared" si="192"/>
        <v>0</v>
      </c>
      <c r="AE241" s="80">
        <f t="shared" si="229"/>
        <v>0</v>
      </c>
      <c r="AF241" s="194"/>
      <c r="AG241" s="80">
        <f t="shared" si="213"/>
        <v>0</v>
      </c>
      <c r="AH241" s="80">
        <f t="shared" si="193"/>
        <v>0</v>
      </c>
      <c r="AI241" s="194"/>
      <c r="AJ241" s="80">
        <f t="shared" si="207"/>
        <v>0</v>
      </c>
      <c r="AK241" s="80">
        <f t="shared" si="230"/>
        <v>0</v>
      </c>
      <c r="AL241" s="194"/>
      <c r="AM241" s="80">
        <f t="shared" si="214"/>
        <v>0</v>
      </c>
      <c r="AN241" s="17">
        <f t="shared" si="231"/>
        <v>0</v>
      </c>
      <c r="AO241" s="235">
        <f t="shared" si="185"/>
        <v>0</v>
      </c>
      <c r="AP241" s="19"/>
    </row>
    <row r="242" spans="1:42">
      <c r="A242" s="15">
        <v>45166</v>
      </c>
      <c r="B242" s="194">
        <v>0</v>
      </c>
      <c r="C242" s="80">
        <f t="shared" si="208"/>
        <v>0</v>
      </c>
      <c r="D242" s="80">
        <f t="shared" si="224"/>
        <v>0</v>
      </c>
      <c r="E242" s="194"/>
      <c r="F242" s="80">
        <f t="shared" si="186"/>
        <v>0</v>
      </c>
      <c r="G242" s="80">
        <f t="shared" si="225"/>
        <v>0</v>
      </c>
      <c r="H242" s="194"/>
      <c r="I242" s="80">
        <f t="shared" si="209"/>
        <v>0</v>
      </c>
      <c r="J242" s="80">
        <f t="shared" si="226"/>
        <v>0</v>
      </c>
      <c r="K242" s="194"/>
      <c r="L242" s="80">
        <f t="shared" si="210"/>
        <v>0</v>
      </c>
      <c r="M242" s="80">
        <f t="shared" si="189"/>
        <v>0</v>
      </c>
      <c r="N242" s="194"/>
      <c r="O242" s="80">
        <f t="shared" si="211"/>
        <v>0</v>
      </c>
      <c r="P242" s="80">
        <f t="shared" si="227"/>
        <v>0</v>
      </c>
      <c r="Q242" s="194"/>
      <c r="R242" s="80">
        <f t="shared" si="212"/>
        <v>0</v>
      </c>
      <c r="S242" s="80">
        <f t="shared" si="190"/>
        <v>0</v>
      </c>
      <c r="T242" s="80"/>
      <c r="U242" s="80">
        <f t="shared" si="187"/>
        <v>0</v>
      </c>
      <c r="V242" s="215">
        <f t="shared" si="188"/>
        <v>0</v>
      </c>
      <c r="W242" s="185"/>
      <c r="X242" s="80"/>
      <c r="Y242" s="80">
        <f t="shared" si="191"/>
        <v>0</v>
      </c>
      <c r="Z242" s="194"/>
      <c r="AA242" s="80">
        <f t="shared" si="223"/>
        <v>0</v>
      </c>
      <c r="AB242" s="80">
        <f t="shared" si="228"/>
        <v>0</v>
      </c>
      <c r="AC242" s="194"/>
      <c r="AD242" s="80">
        <f t="shared" si="192"/>
        <v>0</v>
      </c>
      <c r="AE242" s="80">
        <f t="shared" si="229"/>
        <v>0</v>
      </c>
      <c r="AF242" s="194"/>
      <c r="AG242" s="80">
        <f t="shared" si="213"/>
        <v>0</v>
      </c>
      <c r="AH242" s="80">
        <f t="shared" si="193"/>
        <v>0</v>
      </c>
      <c r="AI242" s="194"/>
      <c r="AJ242" s="80">
        <f t="shared" si="207"/>
        <v>0</v>
      </c>
      <c r="AK242" s="80">
        <f t="shared" si="230"/>
        <v>0</v>
      </c>
      <c r="AL242" s="194"/>
      <c r="AM242" s="80">
        <f t="shared" si="214"/>
        <v>0</v>
      </c>
      <c r="AN242" s="17">
        <f t="shared" si="231"/>
        <v>0</v>
      </c>
      <c r="AO242" s="235">
        <f t="shared" si="185"/>
        <v>0</v>
      </c>
      <c r="AP242" s="19"/>
    </row>
    <row r="243" spans="1:42">
      <c r="A243" s="15">
        <v>45167</v>
      </c>
      <c r="B243" s="194">
        <v>0</v>
      </c>
      <c r="C243" s="80">
        <f t="shared" si="208"/>
        <v>0</v>
      </c>
      <c r="D243" s="80">
        <f t="shared" si="224"/>
        <v>0</v>
      </c>
      <c r="E243" s="194"/>
      <c r="F243" s="80">
        <f t="shared" si="186"/>
        <v>0</v>
      </c>
      <c r="G243" s="80">
        <f t="shared" si="225"/>
        <v>0</v>
      </c>
      <c r="H243" s="194"/>
      <c r="I243" s="80">
        <f t="shared" si="209"/>
        <v>0</v>
      </c>
      <c r="J243" s="80">
        <f t="shared" si="226"/>
        <v>0</v>
      </c>
      <c r="K243" s="194"/>
      <c r="L243" s="80">
        <f t="shared" si="210"/>
        <v>0</v>
      </c>
      <c r="M243" s="80">
        <f t="shared" si="189"/>
        <v>0</v>
      </c>
      <c r="N243" s="194"/>
      <c r="O243" s="80">
        <f t="shared" si="211"/>
        <v>0</v>
      </c>
      <c r="P243" s="80">
        <f t="shared" si="227"/>
        <v>0</v>
      </c>
      <c r="Q243" s="194"/>
      <c r="R243" s="80">
        <f t="shared" si="212"/>
        <v>0</v>
      </c>
      <c r="S243" s="80">
        <f t="shared" si="190"/>
        <v>0</v>
      </c>
      <c r="T243" s="80"/>
      <c r="U243" s="80">
        <f t="shared" si="187"/>
        <v>0</v>
      </c>
      <c r="V243" s="215">
        <f t="shared" si="188"/>
        <v>0</v>
      </c>
      <c r="W243" s="185"/>
      <c r="X243" s="80"/>
      <c r="Y243" s="80">
        <f t="shared" si="191"/>
        <v>0</v>
      </c>
      <c r="Z243" s="194"/>
      <c r="AA243" s="80">
        <f t="shared" si="223"/>
        <v>0</v>
      </c>
      <c r="AB243" s="80">
        <f t="shared" si="228"/>
        <v>0</v>
      </c>
      <c r="AC243" s="194"/>
      <c r="AD243" s="80">
        <f t="shared" si="192"/>
        <v>0</v>
      </c>
      <c r="AE243" s="80">
        <f t="shared" si="229"/>
        <v>0</v>
      </c>
      <c r="AF243" s="194"/>
      <c r="AG243" s="80">
        <f t="shared" si="213"/>
        <v>0</v>
      </c>
      <c r="AH243" s="80">
        <f t="shared" si="193"/>
        <v>0</v>
      </c>
      <c r="AI243" s="194"/>
      <c r="AJ243" s="80">
        <f t="shared" si="207"/>
        <v>0</v>
      </c>
      <c r="AK243" s="80">
        <f t="shared" si="230"/>
        <v>0</v>
      </c>
      <c r="AL243" s="194"/>
      <c r="AM243" s="80">
        <f t="shared" si="214"/>
        <v>0</v>
      </c>
      <c r="AN243" s="17">
        <f t="shared" si="231"/>
        <v>0</v>
      </c>
      <c r="AO243" s="235">
        <f t="shared" si="185"/>
        <v>0</v>
      </c>
      <c r="AP243" s="19"/>
    </row>
    <row r="244" spans="1:42">
      <c r="A244" s="15">
        <v>45168</v>
      </c>
      <c r="B244" s="194">
        <v>0</v>
      </c>
      <c r="C244" s="80">
        <f t="shared" si="208"/>
        <v>0</v>
      </c>
      <c r="D244" s="80">
        <f t="shared" si="224"/>
        <v>0</v>
      </c>
      <c r="E244" s="194"/>
      <c r="F244" s="80">
        <f t="shared" si="186"/>
        <v>0</v>
      </c>
      <c r="G244" s="80">
        <f t="shared" si="225"/>
        <v>0</v>
      </c>
      <c r="H244" s="194"/>
      <c r="I244" s="80">
        <f t="shared" si="209"/>
        <v>0</v>
      </c>
      <c r="J244" s="80">
        <f t="shared" si="226"/>
        <v>0</v>
      </c>
      <c r="K244" s="194"/>
      <c r="L244" s="80">
        <f t="shared" si="210"/>
        <v>0</v>
      </c>
      <c r="M244" s="80">
        <f t="shared" si="189"/>
        <v>0</v>
      </c>
      <c r="N244" s="194"/>
      <c r="O244" s="80">
        <f t="shared" si="211"/>
        <v>0</v>
      </c>
      <c r="P244" s="80">
        <f t="shared" si="227"/>
        <v>0</v>
      </c>
      <c r="Q244" s="194"/>
      <c r="R244" s="80">
        <f t="shared" si="212"/>
        <v>0</v>
      </c>
      <c r="S244" s="80">
        <f t="shared" si="190"/>
        <v>0</v>
      </c>
      <c r="T244" s="80"/>
      <c r="U244" s="80">
        <f t="shared" si="187"/>
        <v>0</v>
      </c>
      <c r="V244" s="215">
        <f t="shared" si="188"/>
        <v>0</v>
      </c>
      <c r="W244" s="185"/>
      <c r="X244" s="80"/>
      <c r="Y244" s="80">
        <f t="shared" si="191"/>
        <v>0</v>
      </c>
      <c r="Z244" s="194"/>
      <c r="AA244" s="80">
        <f t="shared" si="223"/>
        <v>0</v>
      </c>
      <c r="AB244" s="80">
        <f t="shared" si="228"/>
        <v>0</v>
      </c>
      <c r="AC244" s="194"/>
      <c r="AD244" s="80">
        <f t="shared" si="192"/>
        <v>0</v>
      </c>
      <c r="AE244" s="80">
        <f t="shared" si="229"/>
        <v>0</v>
      </c>
      <c r="AF244" s="194"/>
      <c r="AG244" s="80">
        <f t="shared" si="213"/>
        <v>0</v>
      </c>
      <c r="AH244" s="80">
        <f t="shared" si="193"/>
        <v>0</v>
      </c>
      <c r="AI244" s="194"/>
      <c r="AJ244" s="80">
        <f t="shared" si="207"/>
        <v>0</v>
      </c>
      <c r="AK244" s="80">
        <f t="shared" si="230"/>
        <v>0</v>
      </c>
      <c r="AL244" s="194"/>
      <c r="AM244" s="80">
        <f t="shared" si="214"/>
        <v>0</v>
      </c>
      <c r="AN244" s="17">
        <f t="shared" si="231"/>
        <v>0</v>
      </c>
      <c r="AO244" s="235">
        <f t="shared" si="185"/>
        <v>0</v>
      </c>
      <c r="AP244" s="19"/>
    </row>
    <row r="245" spans="1:42">
      <c r="A245" s="15">
        <v>45169</v>
      </c>
      <c r="B245" s="194">
        <v>0</v>
      </c>
      <c r="C245" s="80">
        <f t="shared" si="208"/>
        <v>0</v>
      </c>
      <c r="D245" s="80">
        <f t="shared" si="224"/>
        <v>0</v>
      </c>
      <c r="E245" s="194"/>
      <c r="F245" s="80">
        <f t="shared" si="186"/>
        <v>0</v>
      </c>
      <c r="G245" s="80">
        <f t="shared" si="225"/>
        <v>0</v>
      </c>
      <c r="H245" s="194"/>
      <c r="I245" s="80">
        <f t="shared" si="209"/>
        <v>0</v>
      </c>
      <c r="J245" s="80">
        <f t="shared" si="226"/>
        <v>0</v>
      </c>
      <c r="K245" s="194"/>
      <c r="L245" s="80">
        <f t="shared" si="210"/>
        <v>0</v>
      </c>
      <c r="M245" s="80">
        <f t="shared" si="189"/>
        <v>0</v>
      </c>
      <c r="N245" s="194"/>
      <c r="O245" s="80">
        <f t="shared" si="211"/>
        <v>0</v>
      </c>
      <c r="P245" s="80">
        <f t="shared" si="227"/>
        <v>0</v>
      </c>
      <c r="Q245" s="194"/>
      <c r="R245" s="80">
        <f t="shared" si="212"/>
        <v>0</v>
      </c>
      <c r="S245" s="80">
        <f t="shared" si="190"/>
        <v>0</v>
      </c>
      <c r="T245" s="80"/>
      <c r="U245" s="80">
        <f t="shared" si="187"/>
        <v>0</v>
      </c>
      <c r="V245" s="215">
        <f t="shared" si="188"/>
        <v>0</v>
      </c>
      <c r="W245" s="185"/>
      <c r="X245" s="80"/>
      <c r="Y245" s="80">
        <f t="shared" si="191"/>
        <v>0</v>
      </c>
      <c r="Z245" s="194"/>
      <c r="AA245" s="80">
        <f t="shared" si="223"/>
        <v>0</v>
      </c>
      <c r="AB245" s="80">
        <f t="shared" si="228"/>
        <v>0</v>
      </c>
      <c r="AC245" s="194"/>
      <c r="AD245" s="80">
        <f t="shared" si="192"/>
        <v>0</v>
      </c>
      <c r="AE245" s="80">
        <f t="shared" si="229"/>
        <v>0</v>
      </c>
      <c r="AF245" s="194"/>
      <c r="AG245" s="80">
        <f t="shared" si="213"/>
        <v>0</v>
      </c>
      <c r="AH245" s="80">
        <f t="shared" si="193"/>
        <v>0</v>
      </c>
      <c r="AI245" s="194"/>
      <c r="AJ245" s="80">
        <f t="shared" si="207"/>
        <v>0</v>
      </c>
      <c r="AK245" s="80">
        <f t="shared" si="230"/>
        <v>0</v>
      </c>
      <c r="AL245" s="194"/>
      <c r="AM245" s="80">
        <f t="shared" si="214"/>
        <v>0</v>
      </c>
      <c r="AN245" s="17">
        <f t="shared" si="231"/>
        <v>0</v>
      </c>
      <c r="AO245" s="235">
        <f t="shared" si="185"/>
        <v>0</v>
      </c>
      <c r="AP245" s="19"/>
    </row>
    <row r="246" spans="1:42">
      <c r="A246" s="15">
        <v>45170</v>
      </c>
      <c r="B246" s="194">
        <v>0</v>
      </c>
      <c r="C246" s="80">
        <f t="shared" si="208"/>
        <v>0</v>
      </c>
      <c r="D246" s="80">
        <f t="shared" si="224"/>
        <v>0</v>
      </c>
      <c r="E246" s="194"/>
      <c r="F246" s="80">
        <f t="shared" si="186"/>
        <v>0</v>
      </c>
      <c r="G246" s="80">
        <f t="shared" si="225"/>
        <v>0</v>
      </c>
      <c r="H246" s="194"/>
      <c r="I246" s="80">
        <f t="shared" si="209"/>
        <v>0</v>
      </c>
      <c r="J246" s="80">
        <f t="shared" si="226"/>
        <v>0</v>
      </c>
      <c r="K246" s="194"/>
      <c r="L246" s="80">
        <f t="shared" si="210"/>
        <v>0</v>
      </c>
      <c r="M246" s="80">
        <f t="shared" si="189"/>
        <v>0</v>
      </c>
      <c r="N246" s="194"/>
      <c r="O246" s="80">
        <f t="shared" si="211"/>
        <v>0</v>
      </c>
      <c r="P246" s="80">
        <f t="shared" si="227"/>
        <v>0</v>
      </c>
      <c r="Q246" s="194"/>
      <c r="R246" s="80">
        <f t="shared" si="212"/>
        <v>0</v>
      </c>
      <c r="S246" s="80">
        <f t="shared" si="190"/>
        <v>0</v>
      </c>
      <c r="T246" s="80"/>
      <c r="U246" s="80">
        <f t="shared" si="187"/>
        <v>0</v>
      </c>
      <c r="V246" s="215">
        <f t="shared" si="188"/>
        <v>0</v>
      </c>
      <c r="W246" s="185"/>
      <c r="X246" s="80"/>
      <c r="Y246" s="80">
        <f t="shared" si="191"/>
        <v>0</v>
      </c>
      <c r="Z246" s="194"/>
      <c r="AA246" s="80">
        <f t="shared" si="223"/>
        <v>0</v>
      </c>
      <c r="AB246" s="80">
        <f t="shared" si="228"/>
        <v>0</v>
      </c>
      <c r="AC246" s="194"/>
      <c r="AD246" s="80">
        <f t="shared" si="192"/>
        <v>0</v>
      </c>
      <c r="AE246" s="80">
        <f t="shared" si="229"/>
        <v>0</v>
      </c>
      <c r="AF246" s="194"/>
      <c r="AG246" s="80">
        <f t="shared" si="213"/>
        <v>0</v>
      </c>
      <c r="AH246" s="80">
        <f t="shared" si="193"/>
        <v>0</v>
      </c>
      <c r="AI246" s="194"/>
      <c r="AJ246" s="80">
        <f t="shared" si="207"/>
        <v>0</v>
      </c>
      <c r="AK246" s="80">
        <f t="shared" si="230"/>
        <v>0</v>
      </c>
      <c r="AL246" s="194"/>
      <c r="AM246" s="80">
        <f t="shared" si="214"/>
        <v>0</v>
      </c>
      <c r="AN246" s="17">
        <f t="shared" si="231"/>
        <v>0</v>
      </c>
      <c r="AO246" s="235">
        <f t="shared" si="185"/>
        <v>0</v>
      </c>
      <c r="AP246" s="19"/>
    </row>
    <row r="247" spans="1:42">
      <c r="A247" s="15">
        <v>45171</v>
      </c>
      <c r="B247" s="194">
        <v>0</v>
      </c>
      <c r="C247" s="80">
        <f t="shared" si="208"/>
        <v>0</v>
      </c>
      <c r="D247" s="80">
        <f t="shared" si="224"/>
        <v>0</v>
      </c>
      <c r="E247" s="194"/>
      <c r="F247" s="80">
        <f t="shared" si="186"/>
        <v>0</v>
      </c>
      <c r="G247" s="80">
        <f t="shared" si="225"/>
        <v>0</v>
      </c>
      <c r="H247" s="194"/>
      <c r="I247" s="80">
        <f t="shared" si="209"/>
        <v>0</v>
      </c>
      <c r="J247" s="80">
        <f t="shared" si="226"/>
        <v>0</v>
      </c>
      <c r="K247" s="194"/>
      <c r="L247" s="80">
        <f t="shared" si="210"/>
        <v>0</v>
      </c>
      <c r="M247" s="80">
        <f t="shared" si="189"/>
        <v>0</v>
      </c>
      <c r="N247" s="194"/>
      <c r="O247" s="80">
        <f t="shared" si="211"/>
        <v>0</v>
      </c>
      <c r="P247" s="80">
        <f t="shared" si="227"/>
        <v>0</v>
      </c>
      <c r="Q247" s="194"/>
      <c r="R247" s="80">
        <f t="shared" si="212"/>
        <v>0</v>
      </c>
      <c r="S247" s="80">
        <f t="shared" si="190"/>
        <v>0</v>
      </c>
      <c r="T247" s="80"/>
      <c r="U247" s="80">
        <f t="shared" si="187"/>
        <v>0</v>
      </c>
      <c r="V247" s="215">
        <f t="shared" si="188"/>
        <v>0</v>
      </c>
      <c r="W247" s="185"/>
      <c r="X247" s="80"/>
      <c r="Y247" s="80">
        <f t="shared" si="191"/>
        <v>0</v>
      </c>
      <c r="Z247" s="194"/>
      <c r="AA247" s="80">
        <f t="shared" si="223"/>
        <v>0</v>
      </c>
      <c r="AB247" s="80">
        <f t="shared" si="228"/>
        <v>0</v>
      </c>
      <c r="AC247" s="194"/>
      <c r="AD247" s="80">
        <f t="shared" si="192"/>
        <v>0</v>
      </c>
      <c r="AE247" s="80">
        <f t="shared" si="229"/>
        <v>0</v>
      </c>
      <c r="AF247" s="194"/>
      <c r="AG247" s="80">
        <f t="shared" si="213"/>
        <v>0</v>
      </c>
      <c r="AH247" s="80">
        <f t="shared" si="193"/>
        <v>0</v>
      </c>
      <c r="AI247" s="194"/>
      <c r="AJ247" s="80">
        <f t="shared" si="207"/>
        <v>0</v>
      </c>
      <c r="AK247" s="80">
        <f t="shared" si="230"/>
        <v>0</v>
      </c>
      <c r="AL247" s="194"/>
      <c r="AM247" s="80">
        <f t="shared" si="214"/>
        <v>0</v>
      </c>
      <c r="AN247" s="17">
        <f t="shared" si="231"/>
        <v>0</v>
      </c>
      <c r="AO247" s="235">
        <f t="shared" si="185"/>
        <v>0</v>
      </c>
      <c r="AP247" s="19"/>
    </row>
    <row r="248" spans="1:42">
      <c r="A248" s="15">
        <v>45172</v>
      </c>
      <c r="B248" s="194">
        <v>0</v>
      </c>
      <c r="C248" s="80">
        <f t="shared" si="208"/>
        <v>0</v>
      </c>
      <c r="D248" s="80">
        <f t="shared" si="224"/>
        <v>0</v>
      </c>
      <c r="E248" s="194"/>
      <c r="F248" s="80">
        <f t="shared" si="186"/>
        <v>0</v>
      </c>
      <c r="G248" s="80">
        <f t="shared" si="225"/>
        <v>0</v>
      </c>
      <c r="H248" s="194"/>
      <c r="I248" s="80">
        <f t="shared" si="209"/>
        <v>0</v>
      </c>
      <c r="J248" s="80">
        <f t="shared" si="226"/>
        <v>0</v>
      </c>
      <c r="K248" s="194"/>
      <c r="L248" s="80">
        <f t="shared" si="210"/>
        <v>0</v>
      </c>
      <c r="M248" s="80">
        <f t="shared" si="189"/>
        <v>0</v>
      </c>
      <c r="N248" s="194"/>
      <c r="O248" s="80">
        <f t="shared" si="211"/>
        <v>0</v>
      </c>
      <c r="P248" s="80">
        <f t="shared" si="227"/>
        <v>0</v>
      </c>
      <c r="Q248" s="194"/>
      <c r="R248" s="80">
        <f t="shared" si="212"/>
        <v>0</v>
      </c>
      <c r="S248" s="80">
        <f t="shared" si="190"/>
        <v>0</v>
      </c>
      <c r="T248" s="80"/>
      <c r="U248" s="80">
        <f t="shared" si="187"/>
        <v>0</v>
      </c>
      <c r="V248" s="215">
        <f t="shared" si="188"/>
        <v>0</v>
      </c>
      <c r="W248" s="185"/>
      <c r="X248" s="80"/>
      <c r="Y248" s="80">
        <f t="shared" si="191"/>
        <v>0</v>
      </c>
      <c r="Z248" s="194"/>
      <c r="AA248" s="80">
        <f t="shared" si="223"/>
        <v>0</v>
      </c>
      <c r="AB248" s="80">
        <f t="shared" si="228"/>
        <v>0</v>
      </c>
      <c r="AC248" s="194"/>
      <c r="AD248" s="80">
        <f t="shared" si="192"/>
        <v>0</v>
      </c>
      <c r="AE248" s="80">
        <f t="shared" si="229"/>
        <v>0</v>
      </c>
      <c r="AF248" s="194"/>
      <c r="AG248" s="80">
        <f t="shared" si="213"/>
        <v>0</v>
      </c>
      <c r="AH248" s="80">
        <f t="shared" si="193"/>
        <v>0</v>
      </c>
      <c r="AI248" s="194"/>
      <c r="AJ248" s="80">
        <f t="shared" si="207"/>
        <v>0</v>
      </c>
      <c r="AK248" s="80">
        <f t="shared" si="230"/>
        <v>0</v>
      </c>
      <c r="AL248" s="194"/>
      <c r="AM248" s="80">
        <f t="shared" si="214"/>
        <v>0</v>
      </c>
      <c r="AN248" s="17">
        <f t="shared" si="231"/>
        <v>0</v>
      </c>
      <c r="AO248" s="235">
        <f t="shared" si="185"/>
        <v>0</v>
      </c>
      <c r="AP248" s="19"/>
    </row>
    <row r="249" spans="1:42">
      <c r="A249" s="15">
        <v>45173</v>
      </c>
      <c r="B249" s="194">
        <v>0</v>
      </c>
      <c r="C249" s="80">
        <f t="shared" si="208"/>
        <v>0</v>
      </c>
      <c r="D249" s="80">
        <f t="shared" si="224"/>
        <v>0</v>
      </c>
      <c r="E249" s="194"/>
      <c r="F249" s="80">
        <f t="shared" si="186"/>
        <v>0</v>
      </c>
      <c r="G249" s="80">
        <f t="shared" si="225"/>
        <v>0</v>
      </c>
      <c r="H249" s="194"/>
      <c r="I249" s="80">
        <f t="shared" si="209"/>
        <v>0</v>
      </c>
      <c r="J249" s="80">
        <f t="shared" si="226"/>
        <v>0</v>
      </c>
      <c r="K249" s="194"/>
      <c r="L249" s="80">
        <f t="shared" si="210"/>
        <v>0</v>
      </c>
      <c r="M249" s="80">
        <f t="shared" si="189"/>
        <v>0</v>
      </c>
      <c r="N249" s="194"/>
      <c r="O249" s="80">
        <f t="shared" si="211"/>
        <v>0</v>
      </c>
      <c r="P249" s="80">
        <f t="shared" si="227"/>
        <v>0</v>
      </c>
      <c r="Q249" s="194"/>
      <c r="R249" s="80">
        <f t="shared" si="212"/>
        <v>0</v>
      </c>
      <c r="S249" s="80">
        <f t="shared" si="190"/>
        <v>0</v>
      </c>
      <c r="T249" s="80"/>
      <c r="U249" s="80">
        <f t="shared" si="187"/>
        <v>0</v>
      </c>
      <c r="V249" s="215">
        <f t="shared" si="188"/>
        <v>0</v>
      </c>
      <c r="W249" s="185"/>
      <c r="X249" s="80"/>
      <c r="Y249" s="80">
        <f t="shared" si="191"/>
        <v>0</v>
      </c>
      <c r="Z249" s="194"/>
      <c r="AA249" s="80">
        <f t="shared" si="223"/>
        <v>0</v>
      </c>
      <c r="AB249" s="80">
        <f t="shared" si="228"/>
        <v>0</v>
      </c>
      <c r="AC249" s="194"/>
      <c r="AD249" s="80">
        <f t="shared" si="192"/>
        <v>0</v>
      </c>
      <c r="AE249" s="80">
        <f t="shared" si="229"/>
        <v>0</v>
      </c>
      <c r="AF249" s="194"/>
      <c r="AG249" s="80">
        <f t="shared" si="213"/>
        <v>0</v>
      </c>
      <c r="AH249" s="80">
        <f t="shared" si="193"/>
        <v>0</v>
      </c>
      <c r="AI249" s="194"/>
      <c r="AJ249" s="80">
        <f t="shared" si="207"/>
        <v>0</v>
      </c>
      <c r="AK249" s="80">
        <f t="shared" si="230"/>
        <v>0</v>
      </c>
      <c r="AL249" s="194"/>
      <c r="AM249" s="80">
        <f t="shared" si="214"/>
        <v>0</v>
      </c>
      <c r="AN249" s="17">
        <f t="shared" si="231"/>
        <v>0</v>
      </c>
      <c r="AO249" s="235">
        <f t="shared" si="185"/>
        <v>0</v>
      </c>
      <c r="AP249" s="19"/>
    </row>
    <row r="250" spans="1:42">
      <c r="A250" s="15">
        <v>45174</v>
      </c>
      <c r="B250" s="194">
        <v>0</v>
      </c>
      <c r="C250" s="80">
        <f t="shared" si="208"/>
        <v>0</v>
      </c>
      <c r="D250" s="80">
        <f t="shared" si="224"/>
        <v>0</v>
      </c>
      <c r="E250" s="194"/>
      <c r="F250" s="80">
        <f t="shared" si="186"/>
        <v>0</v>
      </c>
      <c r="G250" s="80">
        <f t="shared" si="225"/>
        <v>0</v>
      </c>
      <c r="H250" s="194"/>
      <c r="I250" s="80">
        <f t="shared" si="209"/>
        <v>0</v>
      </c>
      <c r="J250" s="80">
        <f t="shared" si="226"/>
        <v>0</v>
      </c>
      <c r="K250" s="194"/>
      <c r="L250" s="80">
        <f t="shared" si="210"/>
        <v>0</v>
      </c>
      <c r="M250" s="80">
        <f t="shared" si="189"/>
        <v>0</v>
      </c>
      <c r="N250" s="194"/>
      <c r="O250" s="80">
        <f t="shared" si="211"/>
        <v>0</v>
      </c>
      <c r="P250" s="80">
        <f t="shared" si="227"/>
        <v>0</v>
      </c>
      <c r="Q250" s="194"/>
      <c r="R250" s="80">
        <f t="shared" si="212"/>
        <v>0</v>
      </c>
      <c r="S250" s="80">
        <f t="shared" si="190"/>
        <v>0</v>
      </c>
      <c r="T250" s="80"/>
      <c r="U250" s="80">
        <f t="shared" si="187"/>
        <v>0</v>
      </c>
      <c r="V250" s="215">
        <f t="shared" si="188"/>
        <v>0</v>
      </c>
      <c r="W250" s="185"/>
      <c r="X250" s="80"/>
      <c r="Y250" s="80">
        <f t="shared" si="191"/>
        <v>0</v>
      </c>
      <c r="Z250" s="194"/>
      <c r="AA250" s="80">
        <f t="shared" si="223"/>
        <v>0</v>
      </c>
      <c r="AB250" s="80">
        <f t="shared" si="228"/>
        <v>0</v>
      </c>
      <c r="AC250" s="194"/>
      <c r="AD250" s="80">
        <f t="shared" si="192"/>
        <v>0</v>
      </c>
      <c r="AE250" s="80">
        <f t="shared" si="229"/>
        <v>0</v>
      </c>
      <c r="AF250" s="194"/>
      <c r="AG250" s="80">
        <f t="shared" si="213"/>
        <v>0</v>
      </c>
      <c r="AH250" s="80">
        <f t="shared" si="193"/>
        <v>0</v>
      </c>
      <c r="AI250" s="194"/>
      <c r="AJ250" s="80">
        <f t="shared" si="207"/>
        <v>0</v>
      </c>
      <c r="AK250" s="80">
        <f t="shared" si="230"/>
        <v>0</v>
      </c>
      <c r="AL250" s="194"/>
      <c r="AM250" s="80">
        <f t="shared" si="214"/>
        <v>0</v>
      </c>
      <c r="AN250" s="17">
        <f t="shared" si="231"/>
        <v>0</v>
      </c>
      <c r="AO250" s="235">
        <f t="shared" si="185"/>
        <v>0</v>
      </c>
      <c r="AP250" s="19"/>
    </row>
    <row r="251" spans="1:42">
      <c r="A251" s="15">
        <v>45175</v>
      </c>
      <c r="B251" s="194">
        <v>0</v>
      </c>
      <c r="C251" s="80">
        <f t="shared" si="208"/>
        <v>0</v>
      </c>
      <c r="D251" s="80">
        <f t="shared" si="224"/>
        <v>0</v>
      </c>
      <c r="E251" s="194"/>
      <c r="F251" s="80">
        <f t="shared" si="186"/>
        <v>0</v>
      </c>
      <c r="G251" s="80">
        <f t="shared" si="225"/>
        <v>0</v>
      </c>
      <c r="H251" s="194"/>
      <c r="I251" s="80">
        <f t="shared" si="209"/>
        <v>0</v>
      </c>
      <c r="J251" s="80">
        <f t="shared" si="226"/>
        <v>0</v>
      </c>
      <c r="K251" s="194"/>
      <c r="L251" s="80">
        <f t="shared" si="210"/>
        <v>0</v>
      </c>
      <c r="M251" s="80">
        <f t="shared" si="189"/>
        <v>0</v>
      </c>
      <c r="N251" s="194"/>
      <c r="O251" s="80">
        <f t="shared" si="211"/>
        <v>0</v>
      </c>
      <c r="P251" s="80">
        <f t="shared" si="227"/>
        <v>0</v>
      </c>
      <c r="Q251" s="194"/>
      <c r="R251" s="80">
        <f t="shared" si="212"/>
        <v>0</v>
      </c>
      <c r="S251" s="80">
        <f t="shared" si="190"/>
        <v>0</v>
      </c>
      <c r="T251" s="80"/>
      <c r="U251" s="80">
        <f t="shared" si="187"/>
        <v>0</v>
      </c>
      <c r="V251" s="215">
        <f t="shared" si="188"/>
        <v>0</v>
      </c>
      <c r="W251" s="185"/>
      <c r="X251" s="80"/>
      <c r="Y251" s="80">
        <f t="shared" si="191"/>
        <v>0</v>
      </c>
      <c r="Z251" s="194"/>
      <c r="AA251" s="80">
        <f t="shared" si="223"/>
        <v>0</v>
      </c>
      <c r="AB251" s="80">
        <f t="shared" si="228"/>
        <v>0</v>
      </c>
      <c r="AC251" s="194"/>
      <c r="AD251" s="80">
        <f t="shared" si="192"/>
        <v>0</v>
      </c>
      <c r="AE251" s="80">
        <f t="shared" si="229"/>
        <v>0</v>
      </c>
      <c r="AF251" s="194"/>
      <c r="AG251" s="80">
        <f t="shared" si="213"/>
        <v>0</v>
      </c>
      <c r="AH251" s="80">
        <f t="shared" si="193"/>
        <v>0</v>
      </c>
      <c r="AI251" s="194"/>
      <c r="AJ251" s="80">
        <f t="shared" si="207"/>
        <v>0</v>
      </c>
      <c r="AK251" s="80">
        <f t="shared" si="230"/>
        <v>0</v>
      </c>
      <c r="AL251" s="194"/>
      <c r="AM251" s="80">
        <f t="shared" si="214"/>
        <v>0</v>
      </c>
      <c r="AN251" s="17">
        <f t="shared" si="231"/>
        <v>0</v>
      </c>
      <c r="AO251" s="235">
        <f t="shared" si="185"/>
        <v>0</v>
      </c>
      <c r="AP251" s="19"/>
    </row>
    <row r="252" spans="1:42">
      <c r="A252" s="15">
        <v>45176</v>
      </c>
      <c r="B252" s="194">
        <v>0</v>
      </c>
      <c r="C252" s="80">
        <f t="shared" si="208"/>
        <v>0</v>
      </c>
      <c r="D252" s="80">
        <f t="shared" si="224"/>
        <v>0</v>
      </c>
      <c r="E252" s="194"/>
      <c r="F252" s="80">
        <f t="shared" si="186"/>
        <v>0</v>
      </c>
      <c r="G252" s="80">
        <f t="shared" si="225"/>
        <v>0</v>
      </c>
      <c r="H252" s="194"/>
      <c r="I252" s="80">
        <f t="shared" si="209"/>
        <v>0</v>
      </c>
      <c r="J252" s="80">
        <f t="shared" si="226"/>
        <v>0</v>
      </c>
      <c r="K252" s="194"/>
      <c r="L252" s="80">
        <f t="shared" si="210"/>
        <v>0</v>
      </c>
      <c r="M252" s="80">
        <f t="shared" si="189"/>
        <v>0</v>
      </c>
      <c r="N252" s="194"/>
      <c r="O252" s="80">
        <f t="shared" si="211"/>
        <v>0</v>
      </c>
      <c r="P252" s="80">
        <f t="shared" si="227"/>
        <v>0</v>
      </c>
      <c r="Q252" s="194"/>
      <c r="R252" s="80">
        <f t="shared" si="212"/>
        <v>0</v>
      </c>
      <c r="S252" s="80">
        <f t="shared" si="190"/>
        <v>0</v>
      </c>
      <c r="T252" s="80"/>
      <c r="U252" s="80">
        <f t="shared" si="187"/>
        <v>0</v>
      </c>
      <c r="V252" s="215">
        <f t="shared" si="188"/>
        <v>0</v>
      </c>
      <c r="W252" s="185"/>
      <c r="X252" s="80"/>
      <c r="Y252" s="80">
        <f t="shared" si="191"/>
        <v>0</v>
      </c>
      <c r="Z252" s="194"/>
      <c r="AA252" s="80">
        <f t="shared" si="223"/>
        <v>0</v>
      </c>
      <c r="AB252" s="80">
        <f t="shared" si="228"/>
        <v>0</v>
      </c>
      <c r="AC252" s="194"/>
      <c r="AD252" s="80">
        <f t="shared" si="192"/>
        <v>0</v>
      </c>
      <c r="AE252" s="80">
        <f t="shared" si="229"/>
        <v>0</v>
      </c>
      <c r="AF252" s="194"/>
      <c r="AG252" s="80">
        <f t="shared" si="213"/>
        <v>0</v>
      </c>
      <c r="AH252" s="80">
        <f t="shared" si="193"/>
        <v>0</v>
      </c>
      <c r="AI252" s="194"/>
      <c r="AJ252" s="80">
        <f t="shared" si="207"/>
        <v>0</v>
      </c>
      <c r="AK252" s="80">
        <f t="shared" si="230"/>
        <v>0</v>
      </c>
      <c r="AL252" s="194"/>
      <c r="AM252" s="80">
        <f t="shared" si="214"/>
        <v>0</v>
      </c>
      <c r="AN252" s="17">
        <f t="shared" si="231"/>
        <v>0</v>
      </c>
      <c r="AO252" s="235">
        <f t="shared" si="185"/>
        <v>0</v>
      </c>
      <c r="AP252" s="19"/>
    </row>
    <row r="253" spans="1:42">
      <c r="A253" s="15">
        <v>45177</v>
      </c>
      <c r="B253" s="194">
        <v>0</v>
      </c>
      <c r="C253" s="80">
        <f t="shared" si="208"/>
        <v>0</v>
      </c>
      <c r="D253" s="80">
        <f t="shared" si="224"/>
        <v>0</v>
      </c>
      <c r="E253" s="194"/>
      <c r="F253" s="80">
        <f t="shared" si="186"/>
        <v>0</v>
      </c>
      <c r="G253" s="80">
        <f t="shared" si="225"/>
        <v>0</v>
      </c>
      <c r="H253" s="194"/>
      <c r="I253" s="80">
        <f t="shared" si="209"/>
        <v>0</v>
      </c>
      <c r="J253" s="80">
        <f t="shared" si="226"/>
        <v>0</v>
      </c>
      <c r="K253" s="194"/>
      <c r="L253" s="80">
        <f t="shared" si="210"/>
        <v>0</v>
      </c>
      <c r="M253" s="80">
        <f t="shared" si="189"/>
        <v>0</v>
      </c>
      <c r="N253" s="194"/>
      <c r="O253" s="80">
        <f t="shared" si="211"/>
        <v>0</v>
      </c>
      <c r="P253" s="80">
        <f t="shared" si="227"/>
        <v>0</v>
      </c>
      <c r="Q253" s="194"/>
      <c r="R253" s="80">
        <f t="shared" si="212"/>
        <v>0</v>
      </c>
      <c r="S253" s="80">
        <f t="shared" si="190"/>
        <v>0</v>
      </c>
      <c r="T253" s="80"/>
      <c r="U253" s="80">
        <f t="shared" si="187"/>
        <v>0</v>
      </c>
      <c r="V253" s="215">
        <f t="shared" si="188"/>
        <v>0</v>
      </c>
      <c r="W253" s="185"/>
      <c r="X253" s="80"/>
      <c r="Y253" s="80">
        <f t="shared" si="191"/>
        <v>0</v>
      </c>
      <c r="Z253" s="194"/>
      <c r="AA253" s="80">
        <f t="shared" si="223"/>
        <v>0</v>
      </c>
      <c r="AB253" s="80">
        <f t="shared" si="228"/>
        <v>0</v>
      </c>
      <c r="AC253" s="194"/>
      <c r="AD253" s="80">
        <f t="shared" si="192"/>
        <v>0</v>
      </c>
      <c r="AE253" s="80">
        <f t="shared" si="229"/>
        <v>0</v>
      </c>
      <c r="AF253" s="194"/>
      <c r="AG253" s="80">
        <f t="shared" si="213"/>
        <v>0</v>
      </c>
      <c r="AH253" s="80">
        <f t="shared" si="193"/>
        <v>0</v>
      </c>
      <c r="AI253" s="194"/>
      <c r="AJ253" s="80">
        <f t="shared" si="207"/>
        <v>0</v>
      </c>
      <c r="AK253" s="80">
        <f t="shared" si="230"/>
        <v>0</v>
      </c>
      <c r="AL253" s="194"/>
      <c r="AM253" s="80">
        <f t="shared" si="214"/>
        <v>0</v>
      </c>
      <c r="AN253" s="17">
        <f t="shared" si="231"/>
        <v>0</v>
      </c>
      <c r="AO253" s="235">
        <f t="shared" si="185"/>
        <v>0</v>
      </c>
      <c r="AP253" s="19"/>
    </row>
    <row r="254" spans="1:42">
      <c r="A254" s="15">
        <v>45178</v>
      </c>
      <c r="B254" s="194">
        <v>0</v>
      </c>
      <c r="C254" s="80">
        <f t="shared" si="208"/>
        <v>0</v>
      </c>
      <c r="D254" s="80">
        <f t="shared" si="224"/>
        <v>0</v>
      </c>
      <c r="E254" s="194"/>
      <c r="F254" s="80">
        <f t="shared" si="186"/>
        <v>0</v>
      </c>
      <c r="G254" s="80">
        <f t="shared" si="225"/>
        <v>0</v>
      </c>
      <c r="H254" s="194"/>
      <c r="I254" s="80">
        <f t="shared" si="209"/>
        <v>0</v>
      </c>
      <c r="J254" s="80">
        <f t="shared" si="226"/>
        <v>0</v>
      </c>
      <c r="K254" s="194"/>
      <c r="L254" s="80">
        <f t="shared" si="210"/>
        <v>0</v>
      </c>
      <c r="M254" s="80">
        <f t="shared" si="189"/>
        <v>0</v>
      </c>
      <c r="N254" s="194"/>
      <c r="O254" s="80">
        <f t="shared" si="211"/>
        <v>0</v>
      </c>
      <c r="P254" s="80">
        <f t="shared" si="227"/>
        <v>0</v>
      </c>
      <c r="Q254" s="194"/>
      <c r="R254" s="80">
        <f t="shared" si="212"/>
        <v>0</v>
      </c>
      <c r="S254" s="80">
        <f t="shared" si="190"/>
        <v>0</v>
      </c>
      <c r="T254" s="80"/>
      <c r="U254" s="80">
        <f t="shared" si="187"/>
        <v>0</v>
      </c>
      <c r="V254" s="215">
        <f t="shared" si="188"/>
        <v>0</v>
      </c>
      <c r="W254" s="185"/>
      <c r="X254" s="80"/>
      <c r="Y254" s="80">
        <f t="shared" si="191"/>
        <v>0</v>
      </c>
      <c r="Z254" s="194"/>
      <c r="AA254" s="80">
        <f t="shared" si="223"/>
        <v>0</v>
      </c>
      <c r="AB254" s="80">
        <f t="shared" si="228"/>
        <v>0</v>
      </c>
      <c r="AC254" s="194"/>
      <c r="AD254" s="80">
        <f t="shared" si="192"/>
        <v>0</v>
      </c>
      <c r="AE254" s="80">
        <f t="shared" si="229"/>
        <v>0</v>
      </c>
      <c r="AF254" s="194"/>
      <c r="AG254" s="80">
        <f t="shared" si="213"/>
        <v>0</v>
      </c>
      <c r="AH254" s="80">
        <f t="shared" si="193"/>
        <v>0</v>
      </c>
      <c r="AI254" s="194"/>
      <c r="AJ254" s="80">
        <f t="shared" si="207"/>
        <v>0</v>
      </c>
      <c r="AK254" s="80">
        <f t="shared" si="230"/>
        <v>0</v>
      </c>
      <c r="AL254" s="194"/>
      <c r="AM254" s="80">
        <f t="shared" si="214"/>
        <v>0</v>
      </c>
      <c r="AN254" s="17">
        <f t="shared" si="231"/>
        <v>0</v>
      </c>
      <c r="AO254" s="235">
        <f t="shared" si="185"/>
        <v>0</v>
      </c>
      <c r="AP254" s="19"/>
    </row>
    <row r="255" spans="1:42">
      <c r="A255" s="15">
        <v>45179</v>
      </c>
      <c r="B255" s="194">
        <v>0</v>
      </c>
      <c r="C255" s="80">
        <f t="shared" si="208"/>
        <v>0</v>
      </c>
      <c r="D255" s="80">
        <f t="shared" si="224"/>
        <v>0</v>
      </c>
      <c r="E255" s="194"/>
      <c r="F255" s="80">
        <f t="shared" si="186"/>
        <v>0</v>
      </c>
      <c r="G255" s="80">
        <f t="shared" si="225"/>
        <v>0</v>
      </c>
      <c r="H255" s="194"/>
      <c r="I255" s="80">
        <f t="shared" si="209"/>
        <v>0</v>
      </c>
      <c r="J255" s="80">
        <f t="shared" si="226"/>
        <v>0</v>
      </c>
      <c r="K255" s="194"/>
      <c r="L255" s="80">
        <f t="shared" si="210"/>
        <v>0</v>
      </c>
      <c r="M255" s="80">
        <f t="shared" si="189"/>
        <v>0</v>
      </c>
      <c r="N255" s="194"/>
      <c r="O255" s="80">
        <f t="shared" si="211"/>
        <v>0</v>
      </c>
      <c r="P255" s="80">
        <f t="shared" si="227"/>
        <v>0</v>
      </c>
      <c r="Q255" s="194"/>
      <c r="R255" s="80">
        <f t="shared" si="212"/>
        <v>0</v>
      </c>
      <c r="S255" s="80">
        <f t="shared" si="190"/>
        <v>0</v>
      </c>
      <c r="T255" s="80"/>
      <c r="U255" s="80">
        <f t="shared" si="187"/>
        <v>0</v>
      </c>
      <c r="V255" s="215">
        <f t="shared" si="188"/>
        <v>0</v>
      </c>
      <c r="W255" s="185"/>
      <c r="X255" s="80"/>
      <c r="Y255" s="80">
        <f t="shared" si="191"/>
        <v>0</v>
      </c>
      <c r="Z255" s="194"/>
      <c r="AA255" s="80">
        <f t="shared" si="223"/>
        <v>0</v>
      </c>
      <c r="AB255" s="80">
        <f t="shared" si="228"/>
        <v>0</v>
      </c>
      <c r="AC255" s="194"/>
      <c r="AD255" s="80">
        <f t="shared" si="192"/>
        <v>0</v>
      </c>
      <c r="AE255" s="80">
        <f t="shared" si="229"/>
        <v>0</v>
      </c>
      <c r="AF255" s="194"/>
      <c r="AG255" s="80">
        <f t="shared" si="213"/>
        <v>0</v>
      </c>
      <c r="AH255" s="80">
        <f t="shared" si="193"/>
        <v>0</v>
      </c>
      <c r="AI255" s="194"/>
      <c r="AJ255" s="80">
        <f t="shared" si="207"/>
        <v>0</v>
      </c>
      <c r="AK255" s="80">
        <f t="shared" si="230"/>
        <v>0</v>
      </c>
      <c r="AL255" s="194"/>
      <c r="AM255" s="80">
        <f t="shared" si="214"/>
        <v>0</v>
      </c>
      <c r="AN255" s="17">
        <f t="shared" si="231"/>
        <v>0</v>
      </c>
      <c r="AO255" s="235">
        <f t="shared" si="185"/>
        <v>0</v>
      </c>
      <c r="AP255" s="19"/>
    </row>
    <row r="256" spans="1:42">
      <c r="A256" s="15">
        <v>45180</v>
      </c>
      <c r="B256" s="194">
        <v>0</v>
      </c>
      <c r="C256" s="80">
        <f t="shared" si="208"/>
        <v>0</v>
      </c>
      <c r="D256" s="80">
        <f t="shared" si="224"/>
        <v>0</v>
      </c>
      <c r="E256" s="194"/>
      <c r="F256" s="80">
        <f t="shared" si="186"/>
        <v>0</v>
      </c>
      <c r="G256" s="80">
        <f t="shared" si="225"/>
        <v>0</v>
      </c>
      <c r="H256" s="194"/>
      <c r="I256" s="80">
        <f t="shared" si="209"/>
        <v>0</v>
      </c>
      <c r="J256" s="80">
        <f t="shared" si="226"/>
        <v>0</v>
      </c>
      <c r="K256" s="194"/>
      <c r="L256" s="80">
        <f t="shared" si="210"/>
        <v>0</v>
      </c>
      <c r="M256" s="80">
        <f t="shared" si="189"/>
        <v>0</v>
      </c>
      <c r="N256" s="194"/>
      <c r="O256" s="80">
        <f t="shared" si="211"/>
        <v>0</v>
      </c>
      <c r="P256" s="80">
        <f t="shared" si="227"/>
        <v>0</v>
      </c>
      <c r="Q256" s="194"/>
      <c r="R256" s="80">
        <f t="shared" si="212"/>
        <v>0</v>
      </c>
      <c r="S256" s="80">
        <f t="shared" si="190"/>
        <v>0</v>
      </c>
      <c r="T256" s="80"/>
      <c r="U256" s="80">
        <f t="shared" si="187"/>
        <v>0</v>
      </c>
      <c r="V256" s="215">
        <f t="shared" si="188"/>
        <v>0</v>
      </c>
      <c r="W256" s="185"/>
      <c r="X256" s="80"/>
      <c r="Y256" s="80">
        <f t="shared" si="191"/>
        <v>0</v>
      </c>
      <c r="Z256" s="194"/>
      <c r="AA256" s="80">
        <f t="shared" si="223"/>
        <v>0</v>
      </c>
      <c r="AB256" s="80">
        <f t="shared" si="228"/>
        <v>0</v>
      </c>
      <c r="AC256" s="194"/>
      <c r="AD256" s="80">
        <f t="shared" si="192"/>
        <v>0</v>
      </c>
      <c r="AE256" s="80">
        <f t="shared" si="229"/>
        <v>0</v>
      </c>
      <c r="AF256" s="194"/>
      <c r="AG256" s="80">
        <f t="shared" si="213"/>
        <v>0</v>
      </c>
      <c r="AH256" s="80">
        <f t="shared" si="193"/>
        <v>0</v>
      </c>
      <c r="AI256" s="194"/>
      <c r="AJ256" s="80">
        <f t="shared" si="207"/>
        <v>0</v>
      </c>
      <c r="AK256" s="80">
        <f t="shared" si="230"/>
        <v>0</v>
      </c>
      <c r="AL256" s="194"/>
      <c r="AM256" s="80">
        <f t="shared" si="214"/>
        <v>0</v>
      </c>
      <c r="AN256" s="17">
        <f t="shared" si="231"/>
        <v>0</v>
      </c>
      <c r="AO256" s="235">
        <f t="shared" si="185"/>
        <v>0</v>
      </c>
      <c r="AP256" s="19"/>
    </row>
    <row r="257" spans="1:42">
      <c r="A257" s="15">
        <v>45181</v>
      </c>
      <c r="B257" s="194">
        <v>0</v>
      </c>
      <c r="C257" s="80">
        <f t="shared" si="208"/>
        <v>0</v>
      </c>
      <c r="D257" s="80">
        <f t="shared" si="224"/>
        <v>0</v>
      </c>
      <c r="E257" s="194"/>
      <c r="F257" s="80">
        <f t="shared" si="186"/>
        <v>0</v>
      </c>
      <c r="G257" s="80">
        <f t="shared" si="225"/>
        <v>0</v>
      </c>
      <c r="H257" s="194"/>
      <c r="I257" s="80">
        <f t="shared" si="209"/>
        <v>0</v>
      </c>
      <c r="J257" s="80">
        <f t="shared" si="226"/>
        <v>0</v>
      </c>
      <c r="K257" s="194"/>
      <c r="L257" s="80">
        <f t="shared" si="210"/>
        <v>0</v>
      </c>
      <c r="M257" s="80">
        <f t="shared" si="189"/>
        <v>0</v>
      </c>
      <c r="N257" s="194"/>
      <c r="O257" s="80">
        <f t="shared" si="211"/>
        <v>0</v>
      </c>
      <c r="P257" s="80">
        <f t="shared" si="227"/>
        <v>0</v>
      </c>
      <c r="Q257" s="194"/>
      <c r="R257" s="80">
        <f t="shared" si="212"/>
        <v>0</v>
      </c>
      <c r="S257" s="80">
        <f t="shared" si="190"/>
        <v>0</v>
      </c>
      <c r="T257" s="80"/>
      <c r="U257" s="80">
        <f t="shared" si="187"/>
        <v>0</v>
      </c>
      <c r="V257" s="215">
        <f t="shared" si="188"/>
        <v>0</v>
      </c>
      <c r="W257" s="185"/>
      <c r="X257" s="80"/>
      <c r="Y257" s="80">
        <f t="shared" si="191"/>
        <v>0</v>
      </c>
      <c r="Z257" s="194"/>
      <c r="AA257" s="80">
        <f t="shared" si="223"/>
        <v>0</v>
      </c>
      <c r="AB257" s="80">
        <f t="shared" si="228"/>
        <v>0</v>
      </c>
      <c r="AC257" s="194"/>
      <c r="AD257" s="80">
        <f t="shared" si="192"/>
        <v>0</v>
      </c>
      <c r="AE257" s="80">
        <f t="shared" si="229"/>
        <v>0</v>
      </c>
      <c r="AF257" s="194"/>
      <c r="AG257" s="80">
        <f t="shared" si="213"/>
        <v>0</v>
      </c>
      <c r="AH257" s="80">
        <f t="shared" si="193"/>
        <v>0</v>
      </c>
      <c r="AI257" s="194"/>
      <c r="AJ257" s="80">
        <f t="shared" si="207"/>
        <v>0</v>
      </c>
      <c r="AK257" s="80">
        <f t="shared" si="230"/>
        <v>0</v>
      </c>
      <c r="AL257" s="194"/>
      <c r="AM257" s="80">
        <f t="shared" si="214"/>
        <v>0</v>
      </c>
      <c r="AN257" s="17">
        <f t="shared" si="231"/>
        <v>0</v>
      </c>
      <c r="AO257" s="235">
        <f t="shared" si="185"/>
        <v>0</v>
      </c>
      <c r="AP257" s="19"/>
    </row>
    <row r="258" spans="1:42">
      <c r="A258" s="15">
        <v>45182</v>
      </c>
      <c r="B258" s="194">
        <v>0</v>
      </c>
      <c r="C258" s="80">
        <f t="shared" si="208"/>
        <v>0</v>
      </c>
      <c r="D258" s="80">
        <f t="shared" si="224"/>
        <v>0</v>
      </c>
      <c r="E258" s="194"/>
      <c r="F258" s="80">
        <f t="shared" si="186"/>
        <v>0</v>
      </c>
      <c r="G258" s="80">
        <f t="shared" si="225"/>
        <v>0</v>
      </c>
      <c r="H258" s="194"/>
      <c r="I258" s="80">
        <f t="shared" si="209"/>
        <v>0</v>
      </c>
      <c r="J258" s="80">
        <f t="shared" si="226"/>
        <v>0</v>
      </c>
      <c r="K258" s="194"/>
      <c r="L258" s="80">
        <f t="shared" si="210"/>
        <v>0</v>
      </c>
      <c r="M258" s="80">
        <f t="shared" si="189"/>
        <v>0</v>
      </c>
      <c r="N258" s="194"/>
      <c r="O258" s="80">
        <f t="shared" si="211"/>
        <v>0</v>
      </c>
      <c r="P258" s="80">
        <f t="shared" si="227"/>
        <v>0</v>
      </c>
      <c r="Q258" s="194"/>
      <c r="R258" s="80">
        <f t="shared" si="212"/>
        <v>0</v>
      </c>
      <c r="S258" s="80">
        <f t="shared" si="190"/>
        <v>0</v>
      </c>
      <c r="T258" s="80"/>
      <c r="U258" s="80">
        <f t="shared" si="187"/>
        <v>0</v>
      </c>
      <c r="V258" s="215">
        <f t="shared" si="188"/>
        <v>0</v>
      </c>
      <c r="W258" s="185"/>
      <c r="X258" s="80"/>
      <c r="Y258" s="80">
        <f t="shared" si="191"/>
        <v>0</v>
      </c>
      <c r="Z258" s="194"/>
      <c r="AA258" s="80">
        <f t="shared" si="223"/>
        <v>0</v>
      </c>
      <c r="AB258" s="80">
        <f t="shared" si="228"/>
        <v>0</v>
      </c>
      <c r="AC258" s="194"/>
      <c r="AD258" s="80">
        <f t="shared" si="192"/>
        <v>0</v>
      </c>
      <c r="AE258" s="80">
        <f t="shared" si="229"/>
        <v>0</v>
      </c>
      <c r="AF258" s="194"/>
      <c r="AG258" s="80">
        <f t="shared" si="213"/>
        <v>0</v>
      </c>
      <c r="AH258" s="80">
        <f t="shared" si="193"/>
        <v>0</v>
      </c>
      <c r="AI258" s="194"/>
      <c r="AJ258" s="80">
        <f t="shared" si="207"/>
        <v>0</v>
      </c>
      <c r="AK258" s="80">
        <f t="shared" si="230"/>
        <v>0</v>
      </c>
      <c r="AL258" s="194"/>
      <c r="AM258" s="80">
        <f t="shared" si="214"/>
        <v>0</v>
      </c>
      <c r="AN258" s="17">
        <f t="shared" si="231"/>
        <v>0</v>
      </c>
      <c r="AO258" s="235">
        <f t="shared" ref="AO258:AO321" si="232">+CONVERT(AP258,"m3","gal")</f>
        <v>0</v>
      </c>
      <c r="AP258" s="19"/>
    </row>
    <row r="259" spans="1:42">
      <c r="A259" s="15">
        <v>45183</v>
      </c>
      <c r="B259" s="194">
        <v>0</v>
      </c>
      <c r="C259" s="80">
        <f t="shared" si="208"/>
        <v>0</v>
      </c>
      <c r="D259" s="80">
        <f t="shared" si="224"/>
        <v>0</v>
      </c>
      <c r="E259" s="194"/>
      <c r="F259" s="80">
        <f t="shared" ref="F259:F322" si="233">IF(E259="",0,E259-E258)</f>
        <v>0</v>
      </c>
      <c r="G259" s="80">
        <f t="shared" si="225"/>
        <v>0</v>
      </c>
      <c r="H259" s="194"/>
      <c r="I259" s="80">
        <f t="shared" si="209"/>
        <v>0</v>
      </c>
      <c r="J259" s="80">
        <f t="shared" si="226"/>
        <v>0</v>
      </c>
      <c r="K259" s="194"/>
      <c r="L259" s="80">
        <f t="shared" si="210"/>
        <v>0</v>
      </c>
      <c r="M259" s="80">
        <f t="shared" si="189"/>
        <v>0</v>
      </c>
      <c r="N259" s="194"/>
      <c r="O259" s="80">
        <f t="shared" si="211"/>
        <v>0</v>
      </c>
      <c r="P259" s="80">
        <f t="shared" si="227"/>
        <v>0</v>
      </c>
      <c r="Q259" s="194"/>
      <c r="R259" s="80">
        <f t="shared" si="212"/>
        <v>0</v>
      </c>
      <c r="S259" s="80">
        <f t="shared" si="190"/>
        <v>0</v>
      </c>
      <c r="T259" s="80"/>
      <c r="U259" s="80">
        <f t="shared" ref="U259:U322" si="234">+CONVERT(T259,"gal","l")</f>
        <v>0</v>
      </c>
      <c r="V259" s="215">
        <f t="shared" ref="V259:V322" si="235">+CONVERT(W259,"gal","m3")</f>
        <v>0</v>
      </c>
      <c r="W259" s="185"/>
      <c r="X259" s="80"/>
      <c r="Y259" s="80">
        <f t="shared" si="191"/>
        <v>0</v>
      </c>
      <c r="Z259" s="194"/>
      <c r="AA259" s="80">
        <f t="shared" si="223"/>
        <v>0</v>
      </c>
      <c r="AB259" s="80">
        <f t="shared" si="228"/>
        <v>0</v>
      </c>
      <c r="AC259" s="194"/>
      <c r="AD259" s="80">
        <f t="shared" si="192"/>
        <v>0</v>
      </c>
      <c r="AE259" s="80">
        <f t="shared" si="229"/>
        <v>0</v>
      </c>
      <c r="AF259" s="194"/>
      <c r="AG259" s="80">
        <f t="shared" si="213"/>
        <v>0</v>
      </c>
      <c r="AH259" s="80">
        <f t="shared" si="193"/>
        <v>0</v>
      </c>
      <c r="AI259" s="194"/>
      <c r="AJ259" s="80">
        <f t="shared" si="207"/>
        <v>0</v>
      </c>
      <c r="AK259" s="80">
        <f t="shared" si="230"/>
        <v>0</v>
      </c>
      <c r="AL259" s="194"/>
      <c r="AM259" s="80">
        <f t="shared" si="214"/>
        <v>0</v>
      </c>
      <c r="AN259" s="17">
        <f t="shared" si="231"/>
        <v>0</v>
      </c>
      <c r="AO259" s="235">
        <f t="shared" si="232"/>
        <v>0</v>
      </c>
      <c r="AP259" s="19"/>
    </row>
    <row r="260" spans="1:42">
      <c r="A260" s="15">
        <v>45184</v>
      </c>
      <c r="B260" s="194">
        <v>0</v>
      </c>
      <c r="C260" s="80">
        <f t="shared" si="208"/>
        <v>0</v>
      </c>
      <c r="D260" s="80">
        <f t="shared" si="224"/>
        <v>0</v>
      </c>
      <c r="E260" s="194"/>
      <c r="F260" s="80">
        <f t="shared" si="233"/>
        <v>0</v>
      </c>
      <c r="G260" s="80">
        <f t="shared" si="225"/>
        <v>0</v>
      </c>
      <c r="H260" s="194"/>
      <c r="I260" s="80">
        <f t="shared" si="209"/>
        <v>0</v>
      </c>
      <c r="J260" s="80">
        <f t="shared" si="226"/>
        <v>0</v>
      </c>
      <c r="K260" s="194"/>
      <c r="L260" s="80">
        <f t="shared" si="210"/>
        <v>0</v>
      </c>
      <c r="M260" s="80">
        <f t="shared" ref="M260:M323" si="236">+CONVERT(L260,"m^3","gal")</f>
        <v>0</v>
      </c>
      <c r="N260" s="194"/>
      <c r="O260" s="80">
        <f t="shared" si="211"/>
        <v>0</v>
      </c>
      <c r="P260" s="80">
        <f t="shared" si="227"/>
        <v>0</v>
      </c>
      <c r="Q260" s="194"/>
      <c r="R260" s="80">
        <f t="shared" si="212"/>
        <v>0</v>
      </c>
      <c r="S260" s="80">
        <f t="shared" ref="S260:S323" si="237">+CONVERT(R260,"m^3","gal")</f>
        <v>0</v>
      </c>
      <c r="T260" s="80"/>
      <c r="U260" s="80">
        <f t="shared" si="234"/>
        <v>0</v>
      </c>
      <c r="V260" s="215">
        <f t="shared" si="235"/>
        <v>0</v>
      </c>
      <c r="W260" s="185"/>
      <c r="X260" s="80"/>
      <c r="Y260" s="80">
        <f t="shared" ref="Y260:Y323" si="238">+CONVERT(X260,"gal","m^3")</f>
        <v>0</v>
      </c>
      <c r="Z260" s="194"/>
      <c r="AA260" s="80">
        <f t="shared" si="223"/>
        <v>0</v>
      </c>
      <c r="AB260" s="80">
        <f t="shared" si="228"/>
        <v>0</v>
      </c>
      <c r="AC260" s="194"/>
      <c r="AD260" s="80">
        <f t="shared" ref="AD260:AD323" si="239">IF(AC260="",0,AC260-AC259)</f>
        <v>0</v>
      </c>
      <c r="AE260" s="80">
        <f t="shared" si="229"/>
        <v>0</v>
      </c>
      <c r="AF260" s="194"/>
      <c r="AG260" s="80">
        <f t="shared" si="213"/>
        <v>0</v>
      </c>
      <c r="AH260" s="80">
        <f t="shared" ref="AH260:AH323" si="240">+CONVERT(AG260,"m^3","gal")</f>
        <v>0</v>
      </c>
      <c r="AI260" s="194"/>
      <c r="AJ260" s="80">
        <f t="shared" si="207"/>
        <v>0</v>
      </c>
      <c r="AK260" s="80">
        <f t="shared" si="230"/>
        <v>0</v>
      </c>
      <c r="AL260" s="194"/>
      <c r="AM260" s="80">
        <f t="shared" si="214"/>
        <v>0</v>
      </c>
      <c r="AN260" s="17">
        <f t="shared" si="231"/>
        <v>0</v>
      </c>
      <c r="AO260" s="235">
        <f t="shared" si="232"/>
        <v>0</v>
      </c>
      <c r="AP260" s="19"/>
    </row>
    <row r="261" spans="1:42">
      <c r="A261" s="15">
        <v>45185</v>
      </c>
      <c r="B261" s="194">
        <v>0</v>
      </c>
      <c r="C261" s="80">
        <f t="shared" si="208"/>
        <v>0</v>
      </c>
      <c r="D261" s="80">
        <f t="shared" si="224"/>
        <v>0</v>
      </c>
      <c r="E261" s="194"/>
      <c r="F261" s="80">
        <f t="shared" si="233"/>
        <v>0</v>
      </c>
      <c r="G261" s="80">
        <f t="shared" si="225"/>
        <v>0</v>
      </c>
      <c r="H261" s="194"/>
      <c r="I261" s="80">
        <f t="shared" si="209"/>
        <v>0</v>
      </c>
      <c r="J261" s="80">
        <f t="shared" si="226"/>
        <v>0</v>
      </c>
      <c r="K261" s="194"/>
      <c r="L261" s="80">
        <f t="shared" si="210"/>
        <v>0</v>
      </c>
      <c r="M261" s="80">
        <f t="shared" si="236"/>
        <v>0</v>
      </c>
      <c r="N261" s="194"/>
      <c r="O261" s="80">
        <f t="shared" si="211"/>
        <v>0</v>
      </c>
      <c r="P261" s="80">
        <f t="shared" si="227"/>
        <v>0</v>
      </c>
      <c r="Q261" s="194"/>
      <c r="R261" s="80">
        <f t="shared" si="212"/>
        <v>0</v>
      </c>
      <c r="S261" s="80">
        <f t="shared" si="237"/>
        <v>0</v>
      </c>
      <c r="T261" s="80"/>
      <c r="U261" s="80">
        <f t="shared" si="234"/>
        <v>0</v>
      </c>
      <c r="V261" s="215">
        <f t="shared" si="235"/>
        <v>0</v>
      </c>
      <c r="W261" s="185"/>
      <c r="X261" s="80"/>
      <c r="Y261" s="80">
        <f t="shared" si="238"/>
        <v>0</v>
      </c>
      <c r="Z261" s="194"/>
      <c r="AA261" s="80">
        <f t="shared" si="223"/>
        <v>0</v>
      </c>
      <c r="AB261" s="80">
        <f t="shared" si="228"/>
        <v>0</v>
      </c>
      <c r="AC261" s="194"/>
      <c r="AD261" s="80">
        <f t="shared" si="239"/>
        <v>0</v>
      </c>
      <c r="AE261" s="80">
        <f t="shared" si="229"/>
        <v>0</v>
      </c>
      <c r="AF261" s="194"/>
      <c r="AG261" s="80">
        <f t="shared" si="213"/>
        <v>0</v>
      </c>
      <c r="AH261" s="80">
        <f t="shared" si="240"/>
        <v>0</v>
      </c>
      <c r="AI261" s="194"/>
      <c r="AJ261" s="80">
        <f t="shared" si="207"/>
        <v>0</v>
      </c>
      <c r="AK261" s="80">
        <f t="shared" si="230"/>
        <v>0</v>
      </c>
      <c r="AL261" s="194"/>
      <c r="AM261" s="80">
        <f t="shared" si="214"/>
        <v>0</v>
      </c>
      <c r="AN261" s="17">
        <f t="shared" si="231"/>
        <v>0</v>
      </c>
      <c r="AO261" s="235">
        <f t="shared" si="232"/>
        <v>0</v>
      </c>
      <c r="AP261" s="19"/>
    </row>
    <row r="262" spans="1:42">
      <c r="A262" s="15">
        <v>45186</v>
      </c>
      <c r="B262" s="194">
        <v>0</v>
      </c>
      <c r="C262" s="80">
        <f t="shared" si="208"/>
        <v>0</v>
      </c>
      <c r="D262" s="80">
        <f t="shared" si="224"/>
        <v>0</v>
      </c>
      <c r="E262" s="194"/>
      <c r="F262" s="80">
        <f t="shared" si="233"/>
        <v>0</v>
      </c>
      <c r="G262" s="80">
        <f t="shared" si="225"/>
        <v>0</v>
      </c>
      <c r="H262" s="194"/>
      <c r="I262" s="80">
        <f t="shared" si="209"/>
        <v>0</v>
      </c>
      <c r="J262" s="80">
        <f t="shared" si="226"/>
        <v>0</v>
      </c>
      <c r="K262" s="194"/>
      <c r="L262" s="80">
        <f t="shared" si="210"/>
        <v>0</v>
      </c>
      <c r="M262" s="80">
        <f t="shared" si="236"/>
        <v>0</v>
      </c>
      <c r="N262" s="194"/>
      <c r="O262" s="80">
        <f t="shared" si="211"/>
        <v>0</v>
      </c>
      <c r="P262" s="80">
        <f t="shared" si="227"/>
        <v>0</v>
      </c>
      <c r="Q262" s="194"/>
      <c r="R262" s="80">
        <f t="shared" si="212"/>
        <v>0</v>
      </c>
      <c r="S262" s="80">
        <f t="shared" si="237"/>
        <v>0</v>
      </c>
      <c r="T262" s="80"/>
      <c r="U262" s="80">
        <f t="shared" si="234"/>
        <v>0</v>
      </c>
      <c r="V262" s="215">
        <f t="shared" si="235"/>
        <v>0</v>
      </c>
      <c r="W262" s="185"/>
      <c r="X262" s="80"/>
      <c r="Y262" s="80">
        <f t="shared" si="238"/>
        <v>0</v>
      </c>
      <c r="Z262" s="194"/>
      <c r="AA262" s="80">
        <f t="shared" si="223"/>
        <v>0</v>
      </c>
      <c r="AB262" s="80">
        <f t="shared" si="228"/>
        <v>0</v>
      </c>
      <c r="AC262" s="194"/>
      <c r="AD262" s="80">
        <f t="shared" si="239"/>
        <v>0</v>
      </c>
      <c r="AE262" s="80">
        <f t="shared" si="229"/>
        <v>0</v>
      </c>
      <c r="AF262" s="194"/>
      <c r="AG262" s="80">
        <f t="shared" si="213"/>
        <v>0</v>
      </c>
      <c r="AH262" s="80">
        <f t="shared" si="240"/>
        <v>0</v>
      </c>
      <c r="AI262" s="194"/>
      <c r="AJ262" s="80">
        <f t="shared" si="207"/>
        <v>0</v>
      </c>
      <c r="AK262" s="80">
        <f t="shared" si="230"/>
        <v>0</v>
      </c>
      <c r="AL262" s="194"/>
      <c r="AM262" s="80">
        <f t="shared" si="214"/>
        <v>0</v>
      </c>
      <c r="AN262" s="17">
        <f t="shared" si="231"/>
        <v>0</v>
      </c>
      <c r="AO262" s="235">
        <f t="shared" si="232"/>
        <v>0</v>
      </c>
      <c r="AP262" s="19"/>
    </row>
    <row r="263" spans="1:42">
      <c r="A263" s="15">
        <v>45187</v>
      </c>
      <c r="B263" s="194">
        <v>0</v>
      </c>
      <c r="C263" s="80">
        <f t="shared" si="208"/>
        <v>0</v>
      </c>
      <c r="D263" s="80">
        <f t="shared" si="224"/>
        <v>0</v>
      </c>
      <c r="E263" s="194"/>
      <c r="F263" s="80">
        <f t="shared" si="233"/>
        <v>0</v>
      </c>
      <c r="G263" s="80">
        <f t="shared" si="225"/>
        <v>0</v>
      </c>
      <c r="H263" s="194"/>
      <c r="I263" s="80">
        <f t="shared" si="209"/>
        <v>0</v>
      </c>
      <c r="J263" s="80">
        <f t="shared" si="226"/>
        <v>0</v>
      </c>
      <c r="K263" s="194"/>
      <c r="L263" s="80">
        <f t="shared" si="210"/>
        <v>0</v>
      </c>
      <c r="M263" s="80">
        <f t="shared" si="236"/>
        <v>0</v>
      </c>
      <c r="N263" s="194"/>
      <c r="O263" s="80">
        <f t="shared" si="211"/>
        <v>0</v>
      </c>
      <c r="P263" s="80">
        <f t="shared" si="227"/>
        <v>0</v>
      </c>
      <c r="Q263" s="194"/>
      <c r="R263" s="80">
        <f t="shared" si="212"/>
        <v>0</v>
      </c>
      <c r="S263" s="80">
        <f t="shared" si="237"/>
        <v>0</v>
      </c>
      <c r="T263" s="80"/>
      <c r="U263" s="80">
        <f t="shared" si="234"/>
        <v>0</v>
      </c>
      <c r="V263" s="215">
        <f t="shared" si="235"/>
        <v>0</v>
      </c>
      <c r="W263" s="185"/>
      <c r="X263" s="80"/>
      <c r="Y263" s="80">
        <f t="shared" si="238"/>
        <v>0</v>
      </c>
      <c r="Z263" s="194"/>
      <c r="AA263" s="80">
        <f t="shared" si="223"/>
        <v>0</v>
      </c>
      <c r="AB263" s="80">
        <f t="shared" si="228"/>
        <v>0</v>
      </c>
      <c r="AC263" s="194"/>
      <c r="AD263" s="80">
        <f t="shared" si="239"/>
        <v>0</v>
      </c>
      <c r="AE263" s="80">
        <f t="shared" si="229"/>
        <v>0</v>
      </c>
      <c r="AF263" s="194"/>
      <c r="AG263" s="80">
        <f t="shared" si="213"/>
        <v>0</v>
      </c>
      <c r="AH263" s="80">
        <f t="shared" si="240"/>
        <v>0</v>
      </c>
      <c r="AI263" s="194"/>
      <c r="AJ263" s="80">
        <f t="shared" si="207"/>
        <v>0</v>
      </c>
      <c r="AK263" s="80">
        <f t="shared" si="230"/>
        <v>0</v>
      </c>
      <c r="AL263" s="194"/>
      <c r="AM263" s="80">
        <f t="shared" si="214"/>
        <v>0</v>
      </c>
      <c r="AN263" s="17">
        <f t="shared" si="231"/>
        <v>0</v>
      </c>
      <c r="AO263" s="235">
        <f t="shared" si="232"/>
        <v>0</v>
      </c>
      <c r="AP263" s="19"/>
    </row>
    <row r="264" spans="1:42">
      <c r="A264" s="15">
        <v>45188</v>
      </c>
      <c r="B264" s="194">
        <v>0</v>
      </c>
      <c r="C264" s="80">
        <f t="shared" si="208"/>
        <v>0</v>
      </c>
      <c r="D264" s="80">
        <f t="shared" si="224"/>
        <v>0</v>
      </c>
      <c r="E264" s="194"/>
      <c r="F264" s="80">
        <f t="shared" si="233"/>
        <v>0</v>
      </c>
      <c r="G264" s="80">
        <f t="shared" si="225"/>
        <v>0</v>
      </c>
      <c r="H264" s="194"/>
      <c r="I264" s="80">
        <f t="shared" si="209"/>
        <v>0</v>
      </c>
      <c r="J264" s="80">
        <f t="shared" si="226"/>
        <v>0</v>
      </c>
      <c r="K264" s="194"/>
      <c r="L264" s="80">
        <f t="shared" si="210"/>
        <v>0</v>
      </c>
      <c r="M264" s="80">
        <f t="shared" si="236"/>
        <v>0</v>
      </c>
      <c r="N264" s="194"/>
      <c r="O264" s="80">
        <f t="shared" si="211"/>
        <v>0</v>
      </c>
      <c r="P264" s="80">
        <f t="shared" si="227"/>
        <v>0</v>
      </c>
      <c r="Q264" s="194"/>
      <c r="R264" s="80">
        <f t="shared" si="212"/>
        <v>0</v>
      </c>
      <c r="S264" s="80">
        <f t="shared" si="237"/>
        <v>0</v>
      </c>
      <c r="T264" s="80"/>
      <c r="U264" s="80">
        <f t="shared" si="234"/>
        <v>0</v>
      </c>
      <c r="V264" s="215">
        <f t="shared" si="235"/>
        <v>0</v>
      </c>
      <c r="W264" s="185"/>
      <c r="X264" s="80"/>
      <c r="Y264" s="80">
        <f t="shared" si="238"/>
        <v>0</v>
      </c>
      <c r="Z264" s="194"/>
      <c r="AA264" s="80">
        <f t="shared" si="223"/>
        <v>0</v>
      </c>
      <c r="AB264" s="80">
        <f t="shared" si="228"/>
        <v>0</v>
      </c>
      <c r="AC264" s="194"/>
      <c r="AD264" s="80">
        <f t="shared" si="239"/>
        <v>0</v>
      </c>
      <c r="AE264" s="80">
        <f t="shared" si="229"/>
        <v>0</v>
      </c>
      <c r="AF264" s="194"/>
      <c r="AG264" s="80">
        <f t="shared" si="213"/>
        <v>0</v>
      </c>
      <c r="AH264" s="80">
        <f t="shared" si="240"/>
        <v>0</v>
      </c>
      <c r="AI264" s="194"/>
      <c r="AJ264" s="80">
        <f t="shared" si="207"/>
        <v>0</v>
      </c>
      <c r="AK264" s="80">
        <f t="shared" si="230"/>
        <v>0</v>
      </c>
      <c r="AL264" s="194"/>
      <c r="AM264" s="80">
        <f t="shared" si="214"/>
        <v>0</v>
      </c>
      <c r="AN264" s="17">
        <f t="shared" si="231"/>
        <v>0</v>
      </c>
      <c r="AO264" s="235">
        <f t="shared" si="232"/>
        <v>0</v>
      </c>
      <c r="AP264" s="19"/>
    </row>
    <row r="265" spans="1:42">
      <c r="A265" s="15">
        <v>45189</v>
      </c>
      <c r="B265" s="194">
        <v>0</v>
      </c>
      <c r="C265" s="80">
        <f t="shared" si="208"/>
        <v>0</v>
      </c>
      <c r="D265" s="80">
        <f t="shared" si="224"/>
        <v>0</v>
      </c>
      <c r="E265" s="194"/>
      <c r="F265" s="80">
        <f t="shared" si="233"/>
        <v>0</v>
      </c>
      <c r="G265" s="80">
        <f t="shared" si="225"/>
        <v>0</v>
      </c>
      <c r="H265" s="194"/>
      <c r="I265" s="80">
        <f t="shared" si="209"/>
        <v>0</v>
      </c>
      <c r="J265" s="80">
        <f t="shared" si="226"/>
        <v>0</v>
      </c>
      <c r="K265" s="194"/>
      <c r="L265" s="80">
        <f t="shared" si="210"/>
        <v>0</v>
      </c>
      <c r="M265" s="80">
        <f t="shared" si="236"/>
        <v>0</v>
      </c>
      <c r="N265" s="194"/>
      <c r="O265" s="80">
        <f t="shared" si="211"/>
        <v>0</v>
      </c>
      <c r="P265" s="80">
        <f t="shared" si="227"/>
        <v>0</v>
      </c>
      <c r="Q265" s="194"/>
      <c r="R265" s="80">
        <f t="shared" si="212"/>
        <v>0</v>
      </c>
      <c r="S265" s="80">
        <f t="shared" si="237"/>
        <v>0</v>
      </c>
      <c r="T265" s="80"/>
      <c r="U265" s="80">
        <f t="shared" si="234"/>
        <v>0</v>
      </c>
      <c r="V265" s="215">
        <f t="shared" si="235"/>
        <v>0</v>
      </c>
      <c r="W265" s="185"/>
      <c r="X265" s="80"/>
      <c r="Y265" s="80">
        <f t="shared" si="238"/>
        <v>0</v>
      </c>
      <c r="Z265" s="194"/>
      <c r="AA265" s="80">
        <f t="shared" si="223"/>
        <v>0</v>
      </c>
      <c r="AB265" s="80">
        <f t="shared" si="228"/>
        <v>0</v>
      </c>
      <c r="AC265" s="194"/>
      <c r="AD265" s="80">
        <f t="shared" si="239"/>
        <v>0</v>
      </c>
      <c r="AE265" s="80">
        <f t="shared" si="229"/>
        <v>0</v>
      </c>
      <c r="AF265" s="194"/>
      <c r="AG265" s="80">
        <f t="shared" si="213"/>
        <v>0</v>
      </c>
      <c r="AH265" s="80">
        <f t="shared" si="240"/>
        <v>0</v>
      </c>
      <c r="AI265" s="194"/>
      <c r="AJ265" s="80">
        <f t="shared" si="207"/>
        <v>0</v>
      </c>
      <c r="AK265" s="80">
        <f t="shared" si="230"/>
        <v>0</v>
      </c>
      <c r="AL265" s="194"/>
      <c r="AM265" s="80">
        <f t="shared" si="214"/>
        <v>0</v>
      </c>
      <c r="AN265" s="17">
        <f t="shared" si="231"/>
        <v>0</v>
      </c>
      <c r="AO265" s="235">
        <f t="shared" si="232"/>
        <v>0</v>
      </c>
      <c r="AP265" s="19"/>
    </row>
    <row r="266" spans="1:42">
      <c r="A266" s="15">
        <v>45190</v>
      </c>
      <c r="B266" s="194">
        <v>0</v>
      </c>
      <c r="C266" s="80">
        <f t="shared" si="208"/>
        <v>0</v>
      </c>
      <c r="D266" s="80">
        <f t="shared" si="224"/>
        <v>0</v>
      </c>
      <c r="E266" s="194"/>
      <c r="F266" s="80">
        <f t="shared" si="233"/>
        <v>0</v>
      </c>
      <c r="G266" s="80">
        <f t="shared" si="225"/>
        <v>0</v>
      </c>
      <c r="H266" s="194"/>
      <c r="I266" s="80">
        <f t="shared" si="209"/>
        <v>0</v>
      </c>
      <c r="J266" s="80">
        <f t="shared" si="226"/>
        <v>0</v>
      </c>
      <c r="K266" s="194"/>
      <c r="L266" s="80">
        <f t="shared" si="210"/>
        <v>0</v>
      </c>
      <c r="M266" s="80">
        <f t="shared" si="236"/>
        <v>0</v>
      </c>
      <c r="N266" s="194"/>
      <c r="O266" s="80">
        <f t="shared" si="211"/>
        <v>0</v>
      </c>
      <c r="P266" s="80">
        <f t="shared" si="227"/>
        <v>0</v>
      </c>
      <c r="Q266" s="194"/>
      <c r="R266" s="80">
        <f t="shared" si="212"/>
        <v>0</v>
      </c>
      <c r="S266" s="80">
        <f t="shared" si="237"/>
        <v>0</v>
      </c>
      <c r="T266" s="80"/>
      <c r="U266" s="80">
        <f t="shared" si="234"/>
        <v>0</v>
      </c>
      <c r="V266" s="215">
        <f t="shared" si="235"/>
        <v>0</v>
      </c>
      <c r="W266" s="185"/>
      <c r="X266" s="80"/>
      <c r="Y266" s="80">
        <f t="shared" si="238"/>
        <v>0</v>
      </c>
      <c r="Z266" s="194"/>
      <c r="AA266" s="80">
        <f t="shared" si="223"/>
        <v>0</v>
      </c>
      <c r="AB266" s="80">
        <f t="shared" si="228"/>
        <v>0</v>
      </c>
      <c r="AC266" s="194"/>
      <c r="AD266" s="80">
        <f t="shared" si="239"/>
        <v>0</v>
      </c>
      <c r="AE266" s="80">
        <f t="shared" si="229"/>
        <v>0</v>
      </c>
      <c r="AF266" s="194"/>
      <c r="AG266" s="80">
        <f t="shared" si="213"/>
        <v>0</v>
      </c>
      <c r="AH266" s="80">
        <f t="shared" si="240"/>
        <v>0</v>
      </c>
      <c r="AI266" s="194"/>
      <c r="AJ266" s="80">
        <f t="shared" si="207"/>
        <v>0</v>
      </c>
      <c r="AK266" s="80">
        <f t="shared" si="230"/>
        <v>0</v>
      </c>
      <c r="AL266" s="194"/>
      <c r="AM266" s="80">
        <f t="shared" si="214"/>
        <v>0</v>
      </c>
      <c r="AN266" s="17">
        <f t="shared" si="231"/>
        <v>0</v>
      </c>
      <c r="AO266" s="235">
        <f t="shared" si="232"/>
        <v>0</v>
      </c>
      <c r="AP266" s="19"/>
    </row>
    <row r="267" spans="1:42">
      <c r="A267" s="15">
        <v>45191</v>
      </c>
      <c r="B267" s="194">
        <v>0</v>
      </c>
      <c r="C267" s="80">
        <f t="shared" si="208"/>
        <v>0</v>
      </c>
      <c r="D267" s="80">
        <f t="shared" si="224"/>
        <v>0</v>
      </c>
      <c r="E267" s="194"/>
      <c r="F267" s="80">
        <f t="shared" si="233"/>
        <v>0</v>
      </c>
      <c r="G267" s="80">
        <f t="shared" si="225"/>
        <v>0</v>
      </c>
      <c r="H267" s="194"/>
      <c r="I267" s="80">
        <f t="shared" si="209"/>
        <v>0</v>
      </c>
      <c r="J267" s="80">
        <f t="shared" si="226"/>
        <v>0</v>
      </c>
      <c r="K267" s="194"/>
      <c r="L267" s="80">
        <f t="shared" si="210"/>
        <v>0</v>
      </c>
      <c r="M267" s="80">
        <f t="shared" si="236"/>
        <v>0</v>
      </c>
      <c r="N267" s="194"/>
      <c r="O267" s="80">
        <f t="shared" si="211"/>
        <v>0</v>
      </c>
      <c r="P267" s="80">
        <f t="shared" si="227"/>
        <v>0</v>
      </c>
      <c r="Q267" s="194"/>
      <c r="R267" s="80">
        <f t="shared" si="212"/>
        <v>0</v>
      </c>
      <c r="S267" s="80">
        <f t="shared" si="237"/>
        <v>0</v>
      </c>
      <c r="T267" s="80"/>
      <c r="U267" s="80">
        <f t="shared" si="234"/>
        <v>0</v>
      </c>
      <c r="V267" s="215">
        <f t="shared" si="235"/>
        <v>0</v>
      </c>
      <c r="W267" s="185"/>
      <c r="X267" s="80"/>
      <c r="Y267" s="80">
        <f t="shared" si="238"/>
        <v>0</v>
      </c>
      <c r="Z267" s="194"/>
      <c r="AA267" s="80">
        <f t="shared" si="223"/>
        <v>0</v>
      </c>
      <c r="AB267" s="80">
        <f t="shared" si="228"/>
        <v>0</v>
      </c>
      <c r="AC267" s="194"/>
      <c r="AD267" s="80">
        <f t="shared" si="239"/>
        <v>0</v>
      </c>
      <c r="AE267" s="80">
        <f t="shared" si="229"/>
        <v>0</v>
      </c>
      <c r="AF267" s="194"/>
      <c r="AG267" s="80">
        <f t="shared" si="213"/>
        <v>0</v>
      </c>
      <c r="AH267" s="80">
        <f t="shared" si="240"/>
        <v>0</v>
      </c>
      <c r="AI267" s="194"/>
      <c r="AJ267" s="80">
        <f t="shared" si="207"/>
        <v>0</v>
      </c>
      <c r="AK267" s="80">
        <f t="shared" si="230"/>
        <v>0</v>
      </c>
      <c r="AL267" s="194"/>
      <c r="AM267" s="80">
        <f t="shared" si="214"/>
        <v>0</v>
      </c>
      <c r="AN267" s="17">
        <f t="shared" si="231"/>
        <v>0</v>
      </c>
      <c r="AO267" s="235">
        <f t="shared" si="232"/>
        <v>0</v>
      </c>
      <c r="AP267" s="19"/>
    </row>
    <row r="268" spans="1:42">
      <c r="A268" s="15">
        <v>45192</v>
      </c>
      <c r="B268" s="194">
        <v>0</v>
      </c>
      <c r="C268" s="80">
        <f t="shared" si="208"/>
        <v>0</v>
      </c>
      <c r="D268" s="80">
        <f t="shared" si="224"/>
        <v>0</v>
      </c>
      <c r="E268" s="194"/>
      <c r="F268" s="80">
        <f t="shared" si="233"/>
        <v>0</v>
      </c>
      <c r="G268" s="80">
        <f t="shared" si="225"/>
        <v>0</v>
      </c>
      <c r="H268" s="194"/>
      <c r="I268" s="80">
        <f t="shared" si="209"/>
        <v>0</v>
      </c>
      <c r="J268" s="80">
        <f t="shared" si="226"/>
        <v>0</v>
      </c>
      <c r="K268" s="194"/>
      <c r="L268" s="80">
        <f t="shared" si="210"/>
        <v>0</v>
      </c>
      <c r="M268" s="80">
        <f t="shared" si="236"/>
        <v>0</v>
      </c>
      <c r="N268" s="194"/>
      <c r="O268" s="80">
        <f t="shared" si="211"/>
        <v>0</v>
      </c>
      <c r="P268" s="80">
        <f t="shared" si="227"/>
        <v>0</v>
      </c>
      <c r="Q268" s="194"/>
      <c r="R268" s="80">
        <f t="shared" si="212"/>
        <v>0</v>
      </c>
      <c r="S268" s="80">
        <f t="shared" si="237"/>
        <v>0</v>
      </c>
      <c r="T268" s="80"/>
      <c r="U268" s="80">
        <f t="shared" si="234"/>
        <v>0</v>
      </c>
      <c r="V268" s="215">
        <f t="shared" si="235"/>
        <v>0</v>
      </c>
      <c r="W268" s="185"/>
      <c r="X268" s="80"/>
      <c r="Y268" s="80">
        <f t="shared" si="238"/>
        <v>0</v>
      </c>
      <c r="Z268" s="194"/>
      <c r="AA268" s="80">
        <f t="shared" si="223"/>
        <v>0</v>
      </c>
      <c r="AB268" s="80">
        <f t="shared" si="228"/>
        <v>0</v>
      </c>
      <c r="AC268" s="194"/>
      <c r="AD268" s="80">
        <f t="shared" si="239"/>
        <v>0</v>
      </c>
      <c r="AE268" s="80">
        <f t="shared" si="229"/>
        <v>0</v>
      </c>
      <c r="AF268" s="194"/>
      <c r="AG268" s="80">
        <f t="shared" si="213"/>
        <v>0</v>
      </c>
      <c r="AH268" s="80">
        <f t="shared" si="240"/>
        <v>0</v>
      </c>
      <c r="AI268" s="194"/>
      <c r="AJ268" s="80">
        <f t="shared" si="207"/>
        <v>0</v>
      </c>
      <c r="AK268" s="80">
        <f t="shared" si="230"/>
        <v>0</v>
      </c>
      <c r="AL268" s="194"/>
      <c r="AM268" s="80">
        <f t="shared" si="214"/>
        <v>0</v>
      </c>
      <c r="AN268" s="17">
        <f t="shared" si="231"/>
        <v>0</v>
      </c>
      <c r="AO268" s="235">
        <f t="shared" si="232"/>
        <v>0</v>
      </c>
      <c r="AP268" s="19"/>
    </row>
    <row r="269" spans="1:42">
      <c r="A269" s="15">
        <v>45193</v>
      </c>
      <c r="B269" s="194">
        <v>0</v>
      </c>
      <c r="C269" s="80">
        <f t="shared" si="208"/>
        <v>0</v>
      </c>
      <c r="D269" s="80">
        <f t="shared" si="224"/>
        <v>0</v>
      </c>
      <c r="E269" s="194"/>
      <c r="F269" s="80">
        <f t="shared" si="233"/>
        <v>0</v>
      </c>
      <c r="G269" s="80">
        <f t="shared" si="225"/>
        <v>0</v>
      </c>
      <c r="H269" s="194"/>
      <c r="I269" s="80">
        <f t="shared" si="209"/>
        <v>0</v>
      </c>
      <c r="J269" s="80">
        <f t="shared" si="226"/>
        <v>0</v>
      </c>
      <c r="K269" s="194"/>
      <c r="L269" s="80">
        <f t="shared" si="210"/>
        <v>0</v>
      </c>
      <c r="M269" s="80">
        <f t="shared" si="236"/>
        <v>0</v>
      </c>
      <c r="N269" s="194"/>
      <c r="O269" s="80">
        <f t="shared" si="211"/>
        <v>0</v>
      </c>
      <c r="P269" s="80">
        <f t="shared" si="227"/>
        <v>0</v>
      </c>
      <c r="Q269" s="194"/>
      <c r="R269" s="80">
        <f t="shared" si="212"/>
        <v>0</v>
      </c>
      <c r="S269" s="80">
        <f t="shared" si="237"/>
        <v>0</v>
      </c>
      <c r="T269" s="80"/>
      <c r="U269" s="80">
        <f t="shared" si="234"/>
        <v>0</v>
      </c>
      <c r="V269" s="215">
        <f t="shared" si="235"/>
        <v>0</v>
      </c>
      <c r="W269" s="185"/>
      <c r="X269" s="80"/>
      <c r="Y269" s="80">
        <f t="shared" si="238"/>
        <v>0</v>
      </c>
      <c r="Z269" s="194"/>
      <c r="AA269" s="80">
        <f t="shared" si="223"/>
        <v>0</v>
      </c>
      <c r="AB269" s="80">
        <f t="shared" si="228"/>
        <v>0</v>
      </c>
      <c r="AC269" s="194"/>
      <c r="AD269" s="80">
        <f t="shared" si="239"/>
        <v>0</v>
      </c>
      <c r="AE269" s="80">
        <f t="shared" si="229"/>
        <v>0</v>
      </c>
      <c r="AF269" s="194"/>
      <c r="AG269" s="80">
        <f t="shared" si="213"/>
        <v>0</v>
      </c>
      <c r="AH269" s="80">
        <f t="shared" si="240"/>
        <v>0</v>
      </c>
      <c r="AI269" s="194"/>
      <c r="AJ269" s="80">
        <f t="shared" si="207"/>
        <v>0</v>
      </c>
      <c r="AK269" s="80">
        <f t="shared" si="230"/>
        <v>0</v>
      </c>
      <c r="AL269" s="194"/>
      <c r="AM269" s="80">
        <f t="shared" si="214"/>
        <v>0</v>
      </c>
      <c r="AN269" s="17">
        <f t="shared" si="231"/>
        <v>0</v>
      </c>
      <c r="AO269" s="235">
        <f t="shared" si="232"/>
        <v>0</v>
      </c>
      <c r="AP269" s="19"/>
    </row>
    <row r="270" spans="1:42">
      <c r="A270" s="15">
        <v>45194</v>
      </c>
      <c r="B270" s="194">
        <v>0</v>
      </c>
      <c r="C270" s="80">
        <f t="shared" si="208"/>
        <v>0</v>
      </c>
      <c r="D270" s="80">
        <f t="shared" si="224"/>
        <v>0</v>
      </c>
      <c r="E270" s="194"/>
      <c r="F270" s="80">
        <f t="shared" si="233"/>
        <v>0</v>
      </c>
      <c r="G270" s="80">
        <f t="shared" si="225"/>
        <v>0</v>
      </c>
      <c r="H270" s="194"/>
      <c r="I270" s="80">
        <f t="shared" si="209"/>
        <v>0</v>
      </c>
      <c r="J270" s="80">
        <f t="shared" si="226"/>
        <v>0</v>
      </c>
      <c r="K270" s="194"/>
      <c r="L270" s="80">
        <f t="shared" si="210"/>
        <v>0</v>
      </c>
      <c r="M270" s="80">
        <f t="shared" si="236"/>
        <v>0</v>
      </c>
      <c r="N270" s="194"/>
      <c r="O270" s="80">
        <f t="shared" si="211"/>
        <v>0</v>
      </c>
      <c r="P270" s="80">
        <f t="shared" si="227"/>
        <v>0</v>
      </c>
      <c r="Q270" s="194"/>
      <c r="R270" s="80">
        <f t="shared" si="212"/>
        <v>0</v>
      </c>
      <c r="S270" s="80">
        <f t="shared" si="237"/>
        <v>0</v>
      </c>
      <c r="T270" s="80"/>
      <c r="U270" s="80">
        <f t="shared" si="234"/>
        <v>0</v>
      </c>
      <c r="V270" s="215">
        <f t="shared" si="235"/>
        <v>0</v>
      </c>
      <c r="W270" s="185"/>
      <c r="X270" s="80"/>
      <c r="Y270" s="80">
        <f t="shared" si="238"/>
        <v>0</v>
      </c>
      <c r="Z270" s="194"/>
      <c r="AA270" s="80">
        <f t="shared" si="223"/>
        <v>0</v>
      </c>
      <c r="AB270" s="80">
        <f t="shared" si="228"/>
        <v>0</v>
      </c>
      <c r="AC270" s="194"/>
      <c r="AD270" s="80">
        <f t="shared" si="239"/>
        <v>0</v>
      </c>
      <c r="AE270" s="80">
        <f t="shared" si="229"/>
        <v>0</v>
      </c>
      <c r="AF270" s="194"/>
      <c r="AG270" s="80">
        <f t="shared" si="213"/>
        <v>0</v>
      </c>
      <c r="AH270" s="80">
        <f t="shared" si="240"/>
        <v>0</v>
      </c>
      <c r="AI270" s="194"/>
      <c r="AJ270" s="80">
        <f t="shared" si="207"/>
        <v>0</v>
      </c>
      <c r="AK270" s="80">
        <f t="shared" si="230"/>
        <v>0</v>
      </c>
      <c r="AL270" s="194"/>
      <c r="AM270" s="80">
        <f t="shared" si="214"/>
        <v>0</v>
      </c>
      <c r="AN270" s="17">
        <f t="shared" si="231"/>
        <v>0</v>
      </c>
      <c r="AO270" s="235">
        <f t="shared" si="232"/>
        <v>0</v>
      </c>
      <c r="AP270" s="19"/>
    </row>
    <row r="271" spans="1:42">
      <c r="A271" s="15">
        <v>45195</v>
      </c>
      <c r="B271" s="194">
        <v>0</v>
      </c>
      <c r="C271" s="80">
        <f t="shared" si="208"/>
        <v>0</v>
      </c>
      <c r="D271" s="80">
        <f t="shared" ref="D271:D302" si="241">+CONVERT(C271,"m^3","gal")</f>
        <v>0</v>
      </c>
      <c r="E271" s="194"/>
      <c r="F271" s="80">
        <f t="shared" si="233"/>
        <v>0</v>
      </c>
      <c r="G271" s="80">
        <f t="shared" ref="G271:G302" si="242">+CONVERT(F271,"m^3","gal")</f>
        <v>0</v>
      </c>
      <c r="H271" s="194"/>
      <c r="I271" s="80">
        <f t="shared" si="209"/>
        <v>0</v>
      </c>
      <c r="J271" s="80">
        <f t="shared" ref="J271:J302" si="243">+CONVERT(I271,"m^3","gal")</f>
        <v>0</v>
      </c>
      <c r="K271" s="194"/>
      <c r="L271" s="80">
        <f t="shared" si="210"/>
        <v>0</v>
      </c>
      <c r="M271" s="80">
        <f t="shared" si="236"/>
        <v>0</v>
      </c>
      <c r="N271" s="194"/>
      <c r="O271" s="80">
        <f t="shared" si="211"/>
        <v>0</v>
      </c>
      <c r="P271" s="80">
        <f t="shared" ref="P271:P302" si="244">+CONVERT(O271,"m^3","gal")</f>
        <v>0</v>
      </c>
      <c r="Q271" s="194"/>
      <c r="R271" s="80">
        <f t="shared" si="212"/>
        <v>0</v>
      </c>
      <c r="S271" s="80">
        <f t="shared" si="237"/>
        <v>0</v>
      </c>
      <c r="T271" s="80"/>
      <c r="U271" s="80">
        <f t="shared" si="234"/>
        <v>0</v>
      </c>
      <c r="V271" s="215">
        <f t="shared" si="235"/>
        <v>0</v>
      </c>
      <c r="W271" s="185"/>
      <c r="X271" s="80"/>
      <c r="Y271" s="80">
        <f t="shared" si="238"/>
        <v>0</v>
      </c>
      <c r="Z271" s="194"/>
      <c r="AA271" s="80">
        <f t="shared" si="223"/>
        <v>0</v>
      </c>
      <c r="AB271" s="80">
        <f t="shared" ref="AB271:AB302" si="245">+CONVERT(AA271,"m^3","gal")</f>
        <v>0</v>
      </c>
      <c r="AC271" s="194"/>
      <c r="AD271" s="80">
        <f t="shared" si="239"/>
        <v>0</v>
      </c>
      <c r="AE271" s="80">
        <f t="shared" ref="AE271:AE302" si="246">+CONVERT(AD271,"m^3","gal")</f>
        <v>0</v>
      </c>
      <c r="AF271" s="194"/>
      <c r="AG271" s="80">
        <f t="shared" si="213"/>
        <v>0</v>
      </c>
      <c r="AH271" s="80">
        <f t="shared" si="240"/>
        <v>0</v>
      </c>
      <c r="AI271" s="194"/>
      <c r="AJ271" s="80">
        <f t="shared" si="207"/>
        <v>0</v>
      </c>
      <c r="AK271" s="80">
        <f t="shared" ref="AK271:AK302" si="247">+CONVERT(AJ271,"m^3","gal")</f>
        <v>0</v>
      </c>
      <c r="AL271" s="194"/>
      <c r="AM271" s="80">
        <f t="shared" si="214"/>
        <v>0</v>
      </c>
      <c r="AN271" s="17">
        <f t="shared" ref="AN271:AN302" si="248">+CONVERT(AM271,"m^3","gal")</f>
        <v>0</v>
      </c>
      <c r="AO271" s="235">
        <f t="shared" si="232"/>
        <v>0</v>
      </c>
      <c r="AP271" s="19"/>
    </row>
    <row r="272" spans="1:42">
      <c r="A272" s="15">
        <v>45196</v>
      </c>
      <c r="B272" s="194">
        <v>0</v>
      </c>
      <c r="C272" s="80">
        <f>IF(B272="",0,B271-B272)</f>
        <v>0</v>
      </c>
      <c r="D272" s="80">
        <f t="shared" si="241"/>
        <v>0</v>
      </c>
      <c r="E272" s="194"/>
      <c r="F272" s="80">
        <f t="shared" si="233"/>
        <v>0</v>
      </c>
      <c r="G272" s="80">
        <f t="shared" si="242"/>
        <v>0</v>
      </c>
      <c r="H272" s="194"/>
      <c r="I272" s="80">
        <f t="shared" si="209"/>
        <v>0</v>
      </c>
      <c r="J272" s="80">
        <f t="shared" si="243"/>
        <v>0</v>
      </c>
      <c r="K272" s="194"/>
      <c r="L272" s="80">
        <f t="shared" si="210"/>
        <v>0</v>
      </c>
      <c r="M272" s="80">
        <f t="shared" si="236"/>
        <v>0</v>
      </c>
      <c r="N272" s="194"/>
      <c r="O272" s="80">
        <f t="shared" si="211"/>
        <v>0</v>
      </c>
      <c r="P272" s="80">
        <f t="shared" si="244"/>
        <v>0</v>
      </c>
      <c r="Q272" s="194"/>
      <c r="R272" s="80">
        <f t="shared" si="212"/>
        <v>0</v>
      </c>
      <c r="S272" s="80">
        <f t="shared" si="237"/>
        <v>0</v>
      </c>
      <c r="T272" s="80"/>
      <c r="U272" s="80">
        <f t="shared" si="234"/>
        <v>0</v>
      </c>
      <c r="V272" s="215">
        <f t="shared" si="235"/>
        <v>0</v>
      </c>
      <c r="W272" s="185"/>
      <c r="X272" s="80"/>
      <c r="Y272" s="80">
        <f t="shared" si="238"/>
        <v>0</v>
      </c>
      <c r="Z272" s="194"/>
      <c r="AA272" s="80">
        <f t="shared" si="223"/>
        <v>0</v>
      </c>
      <c r="AB272" s="80">
        <f t="shared" si="245"/>
        <v>0</v>
      </c>
      <c r="AC272" s="194"/>
      <c r="AD272" s="80">
        <f t="shared" si="239"/>
        <v>0</v>
      </c>
      <c r="AE272" s="80">
        <f t="shared" si="246"/>
        <v>0</v>
      </c>
      <c r="AF272" s="194"/>
      <c r="AG272" s="80">
        <f t="shared" si="213"/>
        <v>0</v>
      </c>
      <c r="AH272" s="80">
        <f t="shared" si="240"/>
        <v>0</v>
      </c>
      <c r="AI272" s="194"/>
      <c r="AJ272" s="80">
        <f t="shared" si="207"/>
        <v>0</v>
      </c>
      <c r="AK272" s="80">
        <f t="shared" si="247"/>
        <v>0</v>
      </c>
      <c r="AL272" s="194"/>
      <c r="AM272" s="80">
        <f t="shared" si="214"/>
        <v>0</v>
      </c>
      <c r="AN272" s="17">
        <f t="shared" si="248"/>
        <v>0</v>
      </c>
      <c r="AO272" s="235">
        <f t="shared" si="232"/>
        <v>0</v>
      </c>
      <c r="AP272" s="19"/>
    </row>
    <row r="273" spans="1:42">
      <c r="A273" s="15">
        <v>45197</v>
      </c>
      <c r="B273" s="194">
        <v>0</v>
      </c>
      <c r="C273" s="80">
        <f>IF(B273="",0,B272-B273)</f>
        <v>0</v>
      </c>
      <c r="D273" s="80">
        <f t="shared" si="241"/>
        <v>0</v>
      </c>
      <c r="E273" s="194"/>
      <c r="F273" s="80">
        <f t="shared" si="233"/>
        <v>0</v>
      </c>
      <c r="G273" s="80">
        <f t="shared" si="242"/>
        <v>0</v>
      </c>
      <c r="H273" s="194"/>
      <c r="I273" s="80">
        <f t="shared" si="209"/>
        <v>0</v>
      </c>
      <c r="J273" s="80">
        <f t="shared" si="243"/>
        <v>0</v>
      </c>
      <c r="K273" s="194"/>
      <c r="L273" s="80">
        <f t="shared" si="210"/>
        <v>0</v>
      </c>
      <c r="M273" s="80">
        <f t="shared" si="236"/>
        <v>0</v>
      </c>
      <c r="N273" s="194"/>
      <c r="O273" s="80">
        <f t="shared" si="211"/>
        <v>0</v>
      </c>
      <c r="P273" s="80">
        <f t="shared" si="244"/>
        <v>0</v>
      </c>
      <c r="Q273" s="194"/>
      <c r="R273" s="80">
        <f t="shared" si="212"/>
        <v>0</v>
      </c>
      <c r="S273" s="80">
        <f t="shared" si="237"/>
        <v>0</v>
      </c>
      <c r="T273" s="80"/>
      <c r="U273" s="80">
        <f t="shared" si="234"/>
        <v>0</v>
      </c>
      <c r="V273" s="215">
        <f t="shared" si="235"/>
        <v>0</v>
      </c>
      <c r="W273" s="185"/>
      <c r="X273" s="80"/>
      <c r="Y273" s="80">
        <f t="shared" si="238"/>
        <v>0</v>
      </c>
      <c r="Z273" s="194"/>
      <c r="AA273" s="80">
        <f t="shared" si="223"/>
        <v>0</v>
      </c>
      <c r="AB273" s="80">
        <f t="shared" si="245"/>
        <v>0</v>
      </c>
      <c r="AC273" s="194"/>
      <c r="AD273" s="80">
        <f t="shared" si="239"/>
        <v>0</v>
      </c>
      <c r="AE273" s="80">
        <f t="shared" si="246"/>
        <v>0</v>
      </c>
      <c r="AF273" s="194"/>
      <c r="AG273" s="80">
        <f t="shared" si="213"/>
        <v>0</v>
      </c>
      <c r="AH273" s="80">
        <f t="shared" si="240"/>
        <v>0</v>
      </c>
      <c r="AI273" s="194"/>
      <c r="AJ273" s="80">
        <f t="shared" si="207"/>
        <v>0</v>
      </c>
      <c r="AK273" s="80">
        <f t="shared" si="247"/>
        <v>0</v>
      </c>
      <c r="AL273" s="194"/>
      <c r="AM273" s="80">
        <f t="shared" si="214"/>
        <v>0</v>
      </c>
      <c r="AN273" s="17">
        <f t="shared" si="248"/>
        <v>0</v>
      </c>
      <c r="AO273" s="235">
        <f t="shared" si="232"/>
        <v>0</v>
      </c>
      <c r="AP273" s="19"/>
    </row>
    <row r="274" spans="1:42">
      <c r="A274" s="15">
        <v>45198</v>
      </c>
      <c r="B274" s="194">
        <v>0</v>
      </c>
      <c r="C274" s="80">
        <f>IF(B274="",0,B273-B274)</f>
        <v>0</v>
      </c>
      <c r="D274" s="80">
        <f t="shared" si="241"/>
        <v>0</v>
      </c>
      <c r="E274" s="194"/>
      <c r="F274" s="80">
        <f t="shared" si="233"/>
        <v>0</v>
      </c>
      <c r="G274" s="80">
        <f t="shared" si="242"/>
        <v>0</v>
      </c>
      <c r="H274" s="194"/>
      <c r="I274" s="80">
        <f t="shared" si="209"/>
        <v>0</v>
      </c>
      <c r="J274" s="80">
        <f t="shared" si="243"/>
        <v>0</v>
      </c>
      <c r="K274" s="194"/>
      <c r="L274" s="80">
        <f t="shared" si="210"/>
        <v>0</v>
      </c>
      <c r="M274" s="80">
        <f t="shared" si="236"/>
        <v>0</v>
      </c>
      <c r="N274" s="194"/>
      <c r="O274" s="80">
        <f t="shared" si="211"/>
        <v>0</v>
      </c>
      <c r="P274" s="80">
        <f t="shared" si="244"/>
        <v>0</v>
      </c>
      <c r="Q274" s="194"/>
      <c r="R274" s="80">
        <f t="shared" si="212"/>
        <v>0</v>
      </c>
      <c r="S274" s="80">
        <f t="shared" si="237"/>
        <v>0</v>
      </c>
      <c r="T274" s="80"/>
      <c r="U274" s="80">
        <f t="shared" si="234"/>
        <v>0</v>
      </c>
      <c r="V274" s="215">
        <f t="shared" si="235"/>
        <v>0</v>
      </c>
      <c r="W274" s="185"/>
      <c r="X274" s="80"/>
      <c r="Y274" s="80">
        <f t="shared" si="238"/>
        <v>0</v>
      </c>
      <c r="Z274" s="194"/>
      <c r="AA274" s="80">
        <f t="shared" si="223"/>
        <v>0</v>
      </c>
      <c r="AB274" s="80">
        <f t="shared" si="245"/>
        <v>0</v>
      </c>
      <c r="AC274" s="194"/>
      <c r="AD274" s="80">
        <f t="shared" si="239"/>
        <v>0</v>
      </c>
      <c r="AE274" s="80">
        <f t="shared" si="246"/>
        <v>0</v>
      </c>
      <c r="AF274" s="194"/>
      <c r="AG274" s="80">
        <f t="shared" si="213"/>
        <v>0</v>
      </c>
      <c r="AH274" s="80">
        <f t="shared" si="240"/>
        <v>0</v>
      </c>
      <c r="AI274" s="194"/>
      <c r="AJ274" s="80">
        <f t="shared" si="207"/>
        <v>0</v>
      </c>
      <c r="AK274" s="80">
        <f t="shared" si="247"/>
        <v>0</v>
      </c>
      <c r="AL274" s="194"/>
      <c r="AM274" s="80">
        <f t="shared" si="214"/>
        <v>0</v>
      </c>
      <c r="AN274" s="17">
        <f t="shared" si="248"/>
        <v>0</v>
      </c>
      <c r="AO274" s="235">
        <f t="shared" si="232"/>
        <v>0</v>
      </c>
      <c r="AP274" s="19"/>
    </row>
    <row r="275" spans="1:42">
      <c r="A275" s="15">
        <v>45199</v>
      </c>
      <c r="B275" s="194">
        <v>0</v>
      </c>
      <c r="C275" s="80">
        <f t="shared" si="208"/>
        <v>0</v>
      </c>
      <c r="D275" s="80">
        <f t="shared" si="241"/>
        <v>0</v>
      </c>
      <c r="E275" s="194"/>
      <c r="F275" s="80">
        <f t="shared" si="233"/>
        <v>0</v>
      </c>
      <c r="G275" s="80">
        <f t="shared" si="242"/>
        <v>0</v>
      </c>
      <c r="H275" s="194"/>
      <c r="I275" s="80">
        <f t="shared" si="209"/>
        <v>0</v>
      </c>
      <c r="J275" s="80">
        <f t="shared" si="243"/>
        <v>0</v>
      </c>
      <c r="K275" s="194"/>
      <c r="L275" s="80">
        <f t="shared" si="210"/>
        <v>0</v>
      </c>
      <c r="M275" s="80">
        <f t="shared" si="236"/>
        <v>0</v>
      </c>
      <c r="N275" s="194"/>
      <c r="O275" s="80">
        <f t="shared" si="211"/>
        <v>0</v>
      </c>
      <c r="P275" s="80">
        <f t="shared" si="244"/>
        <v>0</v>
      </c>
      <c r="Q275" s="194"/>
      <c r="R275" s="80">
        <f t="shared" si="212"/>
        <v>0</v>
      </c>
      <c r="S275" s="80">
        <f t="shared" si="237"/>
        <v>0</v>
      </c>
      <c r="T275" s="80"/>
      <c r="U275" s="80">
        <f t="shared" si="234"/>
        <v>0</v>
      </c>
      <c r="V275" s="215">
        <f t="shared" si="235"/>
        <v>0</v>
      </c>
      <c r="W275" s="185"/>
      <c r="X275" s="80"/>
      <c r="Y275" s="80">
        <f t="shared" si="238"/>
        <v>0</v>
      </c>
      <c r="Z275" s="194"/>
      <c r="AA275" s="80">
        <f t="shared" si="223"/>
        <v>0</v>
      </c>
      <c r="AB275" s="80">
        <f t="shared" si="245"/>
        <v>0</v>
      </c>
      <c r="AC275" s="194"/>
      <c r="AD275" s="80">
        <f t="shared" si="239"/>
        <v>0</v>
      </c>
      <c r="AE275" s="80">
        <f t="shared" si="246"/>
        <v>0</v>
      </c>
      <c r="AF275" s="194"/>
      <c r="AG275" s="80">
        <f t="shared" si="213"/>
        <v>0</v>
      </c>
      <c r="AH275" s="80">
        <f t="shared" si="240"/>
        <v>0</v>
      </c>
      <c r="AI275" s="194"/>
      <c r="AJ275" s="80">
        <f t="shared" si="207"/>
        <v>0</v>
      </c>
      <c r="AK275" s="80">
        <f t="shared" si="247"/>
        <v>0</v>
      </c>
      <c r="AL275" s="194"/>
      <c r="AM275" s="80">
        <f t="shared" si="214"/>
        <v>0</v>
      </c>
      <c r="AN275" s="17">
        <f t="shared" si="248"/>
        <v>0</v>
      </c>
      <c r="AO275" s="235">
        <f t="shared" si="232"/>
        <v>0</v>
      </c>
      <c r="AP275" s="19"/>
    </row>
    <row r="276" spans="1:42">
      <c r="A276" s="15">
        <v>45200</v>
      </c>
      <c r="B276" s="194">
        <v>0</v>
      </c>
      <c r="C276" s="80">
        <f t="shared" si="208"/>
        <v>0</v>
      </c>
      <c r="D276" s="80">
        <f t="shared" si="241"/>
        <v>0</v>
      </c>
      <c r="E276" s="194"/>
      <c r="F276" s="80">
        <f t="shared" si="233"/>
        <v>0</v>
      </c>
      <c r="G276" s="80">
        <f t="shared" si="242"/>
        <v>0</v>
      </c>
      <c r="H276" s="194"/>
      <c r="I276" s="80">
        <f t="shared" si="209"/>
        <v>0</v>
      </c>
      <c r="J276" s="80">
        <f t="shared" si="243"/>
        <v>0</v>
      </c>
      <c r="K276" s="194"/>
      <c r="L276" s="80">
        <f t="shared" si="210"/>
        <v>0</v>
      </c>
      <c r="M276" s="80">
        <f t="shared" si="236"/>
        <v>0</v>
      </c>
      <c r="N276" s="194"/>
      <c r="O276" s="80">
        <f t="shared" si="211"/>
        <v>0</v>
      </c>
      <c r="P276" s="80">
        <f t="shared" si="244"/>
        <v>0</v>
      </c>
      <c r="Q276" s="194"/>
      <c r="R276" s="80">
        <f t="shared" si="212"/>
        <v>0</v>
      </c>
      <c r="S276" s="80">
        <f t="shared" si="237"/>
        <v>0</v>
      </c>
      <c r="T276" s="80"/>
      <c r="U276" s="80">
        <f t="shared" si="234"/>
        <v>0</v>
      </c>
      <c r="V276" s="215">
        <f t="shared" si="235"/>
        <v>0</v>
      </c>
      <c r="W276" s="224"/>
      <c r="X276" s="80"/>
      <c r="Y276" s="80">
        <f t="shared" si="238"/>
        <v>0</v>
      </c>
      <c r="Z276" s="194"/>
      <c r="AA276" s="80">
        <f t="shared" si="223"/>
        <v>0</v>
      </c>
      <c r="AB276" s="80">
        <f t="shared" si="245"/>
        <v>0</v>
      </c>
      <c r="AC276" s="194"/>
      <c r="AD276" s="80">
        <f t="shared" si="239"/>
        <v>0</v>
      </c>
      <c r="AE276" s="80">
        <f t="shared" si="246"/>
        <v>0</v>
      </c>
      <c r="AF276" s="194"/>
      <c r="AG276" s="80">
        <f t="shared" si="213"/>
        <v>0</v>
      </c>
      <c r="AH276" s="80">
        <f t="shared" si="240"/>
        <v>0</v>
      </c>
      <c r="AI276" s="194"/>
      <c r="AJ276" s="80">
        <f t="shared" si="207"/>
        <v>0</v>
      </c>
      <c r="AK276" s="80">
        <f t="shared" si="247"/>
        <v>0</v>
      </c>
      <c r="AL276" s="194"/>
      <c r="AM276" s="80">
        <f t="shared" si="214"/>
        <v>0</v>
      </c>
      <c r="AN276" s="17">
        <f t="shared" si="248"/>
        <v>0</v>
      </c>
      <c r="AO276" s="235">
        <f t="shared" si="232"/>
        <v>0</v>
      </c>
      <c r="AP276" s="19"/>
    </row>
    <row r="277" spans="1:42">
      <c r="A277" s="15">
        <v>45201</v>
      </c>
      <c r="B277" s="194">
        <v>0</v>
      </c>
      <c r="C277" s="80">
        <f t="shared" si="208"/>
        <v>0</v>
      </c>
      <c r="D277" s="80">
        <f t="shared" si="241"/>
        <v>0</v>
      </c>
      <c r="E277" s="194"/>
      <c r="F277" s="80">
        <f t="shared" si="233"/>
        <v>0</v>
      </c>
      <c r="G277" s="80">
        <f t="shared" si="242"/>
        <v>0</v>
      </c>
      <c r="H277" s="194"/>
      <c r="I277" s="80">
        <f t="shared" si="209"/>
        <v>0</v>
      </c>
      <c r="J277" s="80">
        <f t="shared" si="243"/>
        <v>0</v>
      </c>
      <c r="K277" s="194"/>
      <c r="L277" s="80">
        <f t="shared" si="210"/>
        <v>0</v>
      </c>
      <c r="M277" s="80">
        <f t="shared" si="236"/>
        <v>0</v>
      </c>
      <c r="N277" s="194"/>
      <c r="O277" s="80">
        <f t="shared" si="211"/>
        <v>0</v>
      </c>
      <c r="P277" s="80">
        <f t="shared" si="244"/>
        <v>0</v>
      </c>
      <c r="Q277" s="194"/>
      <c r="R277" s="80">
        <f t="shared" si="212"/>
        <v>0</v>
      </c>
      <c r="S277" s="80">
        <f t="shared" si="237"/>
        <v>0</v>
      </c>
      <c r="T277" s="80"/>
      <c r="U277" s="80">
        <f t="shared" si="234"/>
        <v>0</v>
      </c>
      <c r="V277" s="215">
        <f t="shared" si="235"/>
        <v>0</v>
      </c>
      <c r="W277" s="185"/>
      <c r="X277" s="80"/>
      <c r="Y277" s="80">
        <f t="shared" si="238"/>
        <v>0</v>
      </c>
      <c r="Z277" s="194"/>
      <c r="AA277" s="80">
        <f t="shared" si="223"/>
        <v>0</v>
      </c>
      <c r="AB277" s="80">
        <f t="shared" si="245"/>
        <v>0</v>
      </c>
      <c r="AC277" s="194"/>
      <c r="AD277" s="80">
        <f t="shared" si="239"/>
        <v>0</v>
      </c>
      <c r="AE277" s="80">
        <f t="shared" si="246"/>
        <v>0</v>
      </c>
      <c r="AF277" s="194"/>
      <c r="AG277" s="80">
        <f t="shared" si="213"/>
        <v>0</v>
      </c>
      <c r="AH277" s="80">
        <f t="shared" si="240"/>
        <v>0</v>
      </c>
      <c r="AI277" s="194"/>
      <c r="AJ277" s="80">
        <f t="shared" si="207"/>
        <v>0</v>
      </c>
      <c r="AK277" s="80">
        <f t="shared" si="247"/>
        <v>0</v>
      </c>
      <c r="AL277" s="194"/>
      <c r="AM277" s="80">
        <f t="shared" si="214"/>
        <v>0</v>
      </c>
      <c r="AN277" s="17">
        <f t="shared" si="248"/>
        <v>0</v>
      </c>
      <c r="AO277" s="235">
        <f t="shared" si="232"/>
        <v>0</v>
      </c>
      <c r="AP277" s="19"/>
    </row>
    <row r="278" spans="1:42">
      <c r="A278" s="15">
        <v>45202</v>
      </c>
      <c r="B278" s="194">
        <v>0</v>
      </c>
      <c r="C278" s="80">
        <f t="shared" si="208"/>
        <v>0</v>
      </c>
      <c r="D278" s="80">
        <f t="shared" si="241"/>
        <v>0</v>
      </c>
      <c r="E278" s="194"/>
      <c r="F278" s="80">
        <f t="shared" si="233"/>
        <v>0</v>
      </c>
      <c r="G278" s="80">
        <f t="shared" si="242"/>
        <v>0</v>
      </c>
      <c r="H278" s="194"/>
      <c r="I278" s="80">
        <f t="shared" si="209"/>
        <v>0</v>
      </c>
      <c r="J278" s="80">
        <f t="shared" si="243"/>
        <v>0</v>
      </c>
      <c r="K278" s="194"/>
      <c r="L278" s="80">
        <f t="shared" si="210"/>
        <v>0</v>
      </c>
      <c r="M278" s="80">
        <f t="shared" si="236"/>
        <v>0</v>
      </c>
      <c r="N278" s="194"/>
      <c r="O278" s="80">
        <f t="shared" si="211"/>
        <v>0</v>
      </c>
      <c r="P278" s="80">
        <f t="shared" si="244"/>
        <v>0</v>
      </c>
      <c r="Q278" s="194"/>
      <c r="R278" s="80">
        <f t="shared" si="212"/>
        <v>0</v>
      </c>
      <c r="S278" s="80">
        <f t="shared" si="237"/>
        <v>0</v>
      </c>
      <c r="T278" s="80"/>
      <c r="U278" s="80">
        <f t="shared" si="234"/>
        <v>0</v>
      </c>
      <c r="V278" s="215">
        <f t="shared" si="235"/>
        <v>0</v>
      </c>
      <c r="W278" s="185"/>
      <c r="X278" s="80"/>
      <c r="Y278" s="80">
        <f t="shared" si="238"/>
        <v>0</v>
      </c>
      <c r="Z278" s="194"/>
      <c r="AA278" s="80">
        <f t="shared" si="223"/>
        <v>0</v>
      </c>
      <c r="AB278" s="80">
        <f t="shared" si="245"/>
        <v>0</v>
      </c>
      <c r="AC278" s="194"/>
      <c r="AD278" s="80">
        <f t="shared" si="239"/>
        <v>0</v>
      </c>
      <c r="AE278" s="80">
        <f t="shared" si="246"/>
        <v>0</v>
      </c>
      <c r="AF278" s="194"/>
      <c r="AG278" s="80">
        <f t="shared" si="213"/>
        <v>0</v>
      </c>
      <c r="AH278" s="80">
        <f t="shared" si="240"/>
        <v>0</v>
      </c>
      <c r="AI278" s="194"/>
      <c r="AJ278" s="80">
        <f t="shared" si="207"/>
        <v>0</v>
      </c>
      <c r="AK278" s="80">
        <f t="shared" si="247"/>
        <v>0</v>
      </c>
      <c r="AL278" s="194"/>
      <c r="AM278" s="80">
        <f t="shared" si="214"/>
        <v>0</v>
      </c>
      <c r="AN278" s="17">
        <f t="shared" si="248"/>
        <v>0</v>
      </c>
      <c r="AO278" s="235">
        <f t="shared" si="232"/>
        <v>0</v>
      </c>
      <c r="AP278" s="19"/>
    </row>
    <row r="279" spans="1:42">
      <c r="A279" s="15">
        <v>45203</v>
      </c>
      <c r="B279" s="194">
        <v>0</v>
      </c>
      <c r="C279" s="80">
        <f t="shared" si="208"/>
        <v>0</v>
      </c>
      <c r="D279" s="80">
        <f t="shared" si="241"/>
        <v>0</v>
      </c>
      <c r="E279" s="194"/>
      <c r="F279" s="80">
        <f t="shared" si="233"/>
        <v>0</v>
      </c>
      <c r="G279" s="80">
        <f t="shared" si="242"/>
        <v>0</v>
      </c>
      <c r="H279" s="194"/>
      <c r="I279" s="80">
        <f t="shared" si="209"/>
        <v>0</v>
      </c>
      <c r="J279" s="80">
        <f t="shared" si="243"/>
        <v>0</v>
      </c>
      <c r="K279" s="194"/>
      <c r="L279" s="80">
        <f t="shared" si="210"/>
        <v>0</v>
      </c>
      <c r="M279" s="80">
        <f t="shared" si="236"/>
        <v>0</v>
      </c>
      <c r="N279" s="194"/>
      <c r="O279" s="80">
        <f t="shared" si="211"/>
        <v>0</v>
      </c>
      <c r="P279" s="80">
        <f t="shared" si="244"/>
        <v>0</v>
      </c>
      <c r="Q279" s="194"/>
      <c r="R279" s="80">
        <f t="shared" si="212"/>
        <v>0</v>
      </c>
      <c r="S279" s="80">
        <f t="shared" si="237"/>
        <v>0</v>
      </c>
      <c r="T279" s="80"/>
      <c r="U279" s="80">
        <f t="shared" si="234"/>
        <v>0</v>
      </c>
      <c r="V279" s="215">
        <f t="shared" si="235"/>
        <v>0</v>
      </c>
      <c r="W279" s="185"/>
      <c r="X279" s="80"/>
      <c r="Y279" s="80">
        <f t="shared" si="238"/>
        <v>0</v>
      </c>
      <c r="Z279" s="194"/>
      <c r="AA279" s="80">
        <f t="shared" si="223"/>
        <v>0</v>
      </c>
      <c r="AB279" s="80">
        <f t="shared" si="245"/>
        <v>0</v>
      </c>
      <c r="AC279" s="194"/>
      <c r="AD279" s="80">
        <f t="shared" si="239"/>
        <v>0</v>
      </c>
      <c r="AE279" s="80">
        <f t="shared" si="246"/>
        <v>0</v>
      </c>
      <c r="AF279" s="194"/>
      <c r="AG279" s="80">
        <f t="shared" si="213"/>
        <v>0</v>
      </c>
      <c r="AH279" s="80">
        <f t="shared" si="240"/>
        <v>0</v>
      </c>
      <c r="AI279" s="194"/>
      <c r="AJ279" s="80">
        <f t="shared" si="207"/>
        <v>0</v>
      </c>
      <c r="AK279" s="80">
        <f t="shared" si="247"/>
        <v>0</v>
      </c>
      <c r="AL279" s="194"/>
      <c r="AM279" s="80">
        <f t="shared" si="214"/>
        <v>0</v>
      </c>
      <c r="AN279" s="17">
        <f t="shared" si="248"/>
        <v>0</v>
      </c>
      <c r="AO279" s="235">
        <f t="shared" si="232"/>
        <v>0</v>
      </c>
      <c r="AP279" s="19"/>
    </row>
    <row r="280" spans="1:42">
      <c r="A280" s="15">
        <v>45204</v>
      </c>
      <c r="B280" s="194">
        <v>0</v>
      </c>
      <c r="C280" s="80">
        <f t="shared" si="208"/>
        <v>0</v>
      </c>
      <c r="D280" s="80">
        <f t="shared" si="241"/>
        <v>0</v>
      </c>
      <c r="E280" s="194"/>
      <c r="F280" s="80">
        <f t="shared" si="233"/>
        <v>0</v>
      </c>
      <c r="G280" s="80">
        <f t="shared" si="242"/>
        <v>0</v>
      </c>
      <c r="H280" s="194"/>
      <c r="I280" s="80">
        <f t="shared" si="209"/>
        <v>0</v>
      </c>
      <c r="J280" s="80">
        <f t="shared" si="243"/>
        <v>0</v>
      </c>
      <c r="K280" s="194"/>
      <c r="L280" s="80">
        <f t="shared" si="210"/>
        <v>0</v>
      </c>
      <c r="M280" s="80">
        <f t="shared" si="236"/>
        <v>0</v>
      </c>
      <c r="N280" s="194"/>
      <c r="O280" s="80">
        <f t="shared" si="211"/>
        <v>0</v>
      </c>
      <c r="P280" s="80">
        <f t="shared" si="244"/>
        <v>0</v>
      </c>
      <c r="Q280" s="194"/>
      <c r="R280" s="80">
        <f t="shared" si="212"/>
        <v>0</v>
      </c>
      <c r="S280" s="80">
        <f t="shared" si="237"/>
        <v>0</v>
      </c>
      <c r="T280" s="80"/>
      <c r="U280" s="80">
        <f t="shared" si="234"/>
        <v>0</v>
      </c>
      <c r="V280" s="215">
        <f t="shared" si="235"/>
        <v>0</v>
      </c>
      <c r="W280" s="185"/>
      <c r="X280" s="80"/>
      <c r="Y280" s="80">
        <f t="shared" si="238"/>
        <v>0</v>
      </c>
      <c r="Z280" s="194"/>
      <c r="AA280" s="80">
        <f t="shared" si="223"/>
        <v>0</v>
      </c>
      <c r="AB280" s="80">
        <f t="shared" si="245"/>
        <v>0</v>
      </c>
      <c r="AC280" s="194"/>
      <c r="AD280" s="80">
        <f t="shared" si="239"/>
        <v>0</v>
      </c>
      <c r="AE280" s="80">
        <f t="shared" si="246"/>
        <v>0</v>
      </c>
      <c r="AF280" s="194"/>
      <c r="AG280" s="80">
        <f t="shared" si="213"/>
        <v>0</v>
      </c>
      <c r="AH280" s="80">
        <f t="shared" si="240"/>
        <v>0</v>
      </c>
      <c r="AI280" s="194"/>
      <c r="AJ280" s="80">
        <f t="shared" si="207"/>
        <v>0</v>
      </c>
      <c r="AK280" s="80">
        <f t="shared" si="247"/>
        <v>0</v>
      </c>
      <c r="AL280" s="194"/>
      <c r="AM280" s="80">
        <f t="shared" si="214"/>
        <v>0</v>
      </c>
      <c r="AN280" s="17">
        <f t="shared" si="248"/>
        <v>0</v>
      </c>
      <c r="AO280" s="235">
        <f t="shared" si="232"/>
        <v>0</v>
      </c>
      <c r="AP280" s="19"/>
    </row>
    <row r="281" spans="1:42">
      <c r="A281" s="15">
        <v>45205</v>
      </c>
      <c r="B281" s="194">
        <v>0</v>
      </c>
      <c r="C281" s="80">
        <f t="shared" si="208"/>
        <v>0</v>
      </c>
      <c r="D281" s="80">
        <f t="shared" si="241"/>
        <v>0</v>
      </c>
      <c r="E281" s="194"/>
      <c r="F281" s="80">
        <f t="shared" si="233"/>
        <v>0</v>
      </c>
      <c r="G281" s="80">
        <f t="shared" si="242"/>
        <v>0</v>
      </c>
      <c r="H281" s="194"/>
      <c r="I281" s="80">
        <f t="shared" si="209"/>
        <v>0</v>
      </c>
      <c r="J281" s="80">
        <f t="shared" si="243"/>
        <v>0</v>
      </c>
      <c r="K281" s="194"/>
      <c r="L281" s="80">
        <f t="shared" si="210"/>
        <v>0</v>
      </c>
      <c r="M281" s="80">
        <f t="shared" si="236"/>
        <v>0</v>
      </c>
      <c r="N281" s="194"/>
      <c r="O281" s="80">
        <f t="shared" si="211"/>
        <v>0</v>
      </c>
      <c r="P281" s="80">
        <f t="shared" si="244"/>
        <v>0</v>
      </c>
      <c r="Q281" s="194"/>
      <c r="R281" s="80">
        <f t="shared" si="212"/>
        <v>0</v>
      </c>
      <c r="S281" s="80">
        <f t="shared" si="237"/>
        <v>0</v>
      </c>
      <c r="T281" s="80"/>
      <c r="U281" s="80">
        <f t="shared" si="234"/>
        <v>0</v>
      </c>
      <c r="V281" s="215">
        <f t="shared" si="235"/>
        <v>0</v>
      </c>
      <c r="W281" s="185"/>
      <c r="X281" s="80"/>
      <c r="Y281" s="80">
        <f t="shared" si="238"/>
        <v>0</v>
      </c>
      <c r="Z281" s="194"/>
      <c r="AA281" s="80">
        <f t="shared" si="223"/>
        <v>0</v>
      </c>
      <c r="AB281" s="80">
        <f t="shared" si="245"/>
        <v>0</v>
      </c>
      <c r="AC281" s="194"/>
      <c r="AD281" s="80">
        <f t="shared" si="239"/>
        <v>0</v>
      </c>
      <c r="AE281" s="80">
        <f t="shared" si="246"/>
        <v>0</v>
      </c>
      <c r="AF281" s="194"/>
      <c r="AG281" s="80">
        <f t="shared" si="213"/>
        <v>0</v>
      </c>
      <c r="AH281" s="80">
        <f t="shared" si="240"/>
        <v>0</v>
      </c>
      <c r="AI281" s="194"/>
      <c r="AJ281" s="80">
        <f t="shared" si="207"/>
        <v>0</v>
      </c>
      <c r="AK281" s="80">
        <f t="shared" si="247"/>
        <v>0</v>
      </c>
      <c r="AL281" s="194"/>
      <c r="AM281" s="80">
        <f t="shared" si="214"/>
        <v>0</v>
      </c>
      <c r="AN281" s="17">
        <f t="shared" si="248"/>
        <v>0</v>
      </c>
      <c r="AO281" s="235">
        <f t="shared" si="232"/>
        <v>0</v>
      </c>
      <c r="AP281" s="19"/>
    </row>
    <row r="282" spans="1:42">
      <c r="A282" s="15">
        <v>45206</v>
      </c>
      <c r="B282" s="194">
        <v>0</v>
      </c>
      <c r="C282" s="80">
        <f t="shared" si="208"/>
        <v>0</v>
      </c>
      <c r="D282" s="80">
        <f t="shared" si="241"/>
        <v>0</v>
      </c>
      <c r="E282" s="194"/>
      <c r="F282" s="80">
        <f t="shared" si="233"/>
        <v>0</v>
      </c>
      <c r="G282" s="80">
        <f t="shared" si="242"/>
        <v>0</v>
      </c>
      <c r="H282" s="194"/>
      <c r="I282" s="80">
        <f t="shared" si="209"/>
        <v>0</v>
      </c>
      <c r="J282" s="80">
        <f t="shared" si="243"/>
        <v>0</v>
      </c>
      <c r="K282" s="194"/>
      <c r="L282" s="80">
        <f t="shared" si="210"/>
        <v>0</v>
      </c>
      <c r="M282" s="80">
        <f t="shared" si="236"/>
        <v>0</v>
      </c>
      <c r="N282" s="194"/>
      <c r="O282" s="80">
        <f t="shared" si="211"/>
        <v>0</v>
      </c>
      <c r="P282" s="80">
        <f t="shared" si="244"/>
        <v>0</v>
      </c>
      <c r="Q282" s="194"/>
      <c r="R282" s="80">
        <f t="shared" si="212"/>
        <v>0</v>
      </c>
      <c r="S282" s="80">
        <f t="shared" si="237"/>
        <v>0</v>
      </c>
      <c r="T282" s="80"/>
      <c r="U282" s="80">
        <f t="shared" si="234"/>
        <v>0</v>
      </c>
      <c r="V282" s="215">
        <f t="shared" si="235"/>
        <v>0</v>
      </c>
      <c r="W282" s="185"/>
      <c r="X282" s="80"/>
      <c r="Y282" s="80">
        <f t="shared" si="238"/>
        <v>0</v>
      </c>
      <c r="Z282" s="194"/>
      <c r="AA282" s="80">
        <f t="shared" si="223"/>
        <v>0</v>
      </c>
      <c r="AB282" s="80">
        <f t="shared" si="245"/>
        <v>0</v>
      </c>
      <c r="AC282" s="194"/>
      <c r="AD282" s="80">
        <f t="shared" si="239"/>
        <v>0</v>
      </c>
      <c r="AE282" s="80">
        <f t="shared" si="246"/>
        <v>0</v>
      </c>
      <c r="AF282" s="194"/>
      <c r="AG282" s="80">
        <f t="shared" si="213"/>
        <v>0</v>
      </c>
      <c r="AH282" s="80">
        <f t="shared" si="240"/>
        <v>0</v>
      </c>
      <c r="AI282" s="194"/>
      <c r="AJ282" s="80">
        <f t="shared" ref="AJ282:AJ345" si="249">IF(AI282="",0,AI281-AI282)</f>
        <v>0</v>
      </c>
      <c r="AK282" s="80">
        <f t="shared" si="247"/>
        <v>0</v>
      </c>
      <c r="AL282" s="194"/>
      <c r="AM282" s="80">
        <f t="shared" si="214"/>
        <v>0</v>
      </c>
      <c r="AN282" s="17">
        <f t="shared" si="248"/>
        <v>0</v>
      </c>
      <c r="AO282" s="235">
        <f t="shared" si="232"/>
        <v>0</v>
      </c>
      <c r="AP282" s="19"/>
    </row>
    <row r="283" spans="1:42">
      <c r="A283" s="15">
        <v>45207</v>
      </c>
      <c r="B283" s="194">
        <v>0</v>
      </c>
      <c r="C283" s="80">
        <f t="shared" ref="C283:C346" si="250">IF(B283="",0,B282-B283)</f>
        <v>0</v>
      </c>
      <c r="D283" s="80">
        <f t="shared" si="241"/>
        <v>0</v>
      </c>
      <c r="E283" s="194"/>
      <c r="F283" s="80">
        <f t="shared" si="233"/>
        <v>0</v>
      </c>
      <c r="G283" s="80">
        <f t="shared" si="242"/>
        <v>0</v>
      </c>
      <c r="H283" s="194"/>
      <c r="I283" s="80">
        <f t="shared" ref="I283:I346" si="251">IF(H283="",0,H282-H283)</f>
        <v>0</v>
      </c>
      <c r="J283" s="80">
        <f t="shared" si="243"/>
        <v>0</v>
      </c>
      <c r="K283" s="194"/>
      <c r="L283" s="80">
        <f t="shared" ref="L283:L346" si="252">IF(K283="",0,K282-K283)</f>
        <v>0</v>
      </c>
      <c r="M283" s="80">
        <f t="shared" si="236"/>
        <v>0</v>
      </c>
      <c r="N283" s="194"/>
      <c r="O283" s="80">
        <f t="shared" ref="O283:O346" si="253">IF(N283="",0,N282-N283)</f>
        <v>0</v>
      </c>
      <c r="P283" s="80">
        <f t="shared" si="244"/>
        <v>0</v>
      </c>
      <c r="Q283" s="194"/>
      <c r="R283" s="80">
        <f t="shared" ref="R283:R346" si="254">IF(Q283="",0,Q282-Q283)</f>
        <v>0</v>
      </c>
      <c r="S283" s="80">
        <f t="shared" si="237"/>
        <v>0</v>
      </c>
      <c r="T283" s="80"/>
      <c r="U283" s="80">
        <f t="shared" si="234"/>
        <v>0</v>
      </c>
      <c r="V283" s="215">
        <f t="shared" si="235"/>
        <v>0</v>
      </c>
      <c r="W283" s="185"/>
      <c r="X283" s="80"/>
      <c r="Y283" s="80">
        <f t="shared" si="238"/>
        <v>0</v>
      </c>
      <c r="Z283" s="194"/>
      <c r="AA283" s="80">
        <f t="shared" si="223"/>
        <v>0</v>
      </c>
      <c r="AB283" s="80">
        <f t="shared" si="245"/>
        <v>0</v>
      </c>
      <c r="AC283" s="194"/>
      <c r="AD283" s="80">
        <f t="shared" si="239"/>
        <v>0</v>
      </c>
      <c r="AE283" s="80">
        <f t="shared" si="246"/>
        <v>0</v>
      </c>
      <c r="AF283" s="194"/>
      <c r="AG283" s="80">
        <f t="shared" ref="AG283:AG346" si="255">IF(AF283="",0,AF282-AF283)</f>
        <v>0</v>
      </c>
      <c r="AH283" s="80">
        <f t="shared" si="240"/>
        <v>0</v>
      </c>
      <c r="AI283" s="194"/>
      <c r="AJ283" s="80">
        <f t="shared" si="249"/>
        <v>0</v>
      </c>
      <c r="AK283" s="80">
        <f t="shared" si="247"/>
        <v>0</v>
      </c>
      <c r="AL283" s="194"/>
      <c r="AM283" s="80">
        <f t="shared" ref="AM283:AM346" si="256">IF(AL283="",0,AL282-AL283)</f>
        <v>0</v>
      </c>
      <c r="AN283" s="17">
        <f t="shared" si="248"/>
        <v>0</v>
      </c>
      <c r="AO283" s="235">
        <f t="shared" si="232"/>
        <v>0</v>
      </c>
      <c r="AP283" s="19"/>
    </row>
    <row r="284" spans="1:42">
      <c r="A284" s="15">
        <v>45208</v>
      </c>
      <c r="B284" s="194">
        <v>0</v>
      </c>
      <c r="C284" s="80">
        <f t="shared" si="250"/>
        <v>0</v>
      </c>
      <c r="D284" s="80">
        <f t="shared" si="241"/>
        <v>0</v>
      </c>
      <c r="E284" s="194"/>
      <c r="F284" s="80">
        <f t="shared" si="233"/>
        <v>0</v>
      </c>
      <c r="G284" s="80">
        <f t="shared" si="242"/>
        <v>0</v>
      </c>
      <c r="H284" s="194"/>
      <c r="I284" s="80">
        <f t="shared" si="251"/>
        <v>0</v>
      </c>
      <c r="J284" s="80">
        <f t="shared" si="243"/>
        <v>0</v>
      </c>
      <c r="K284" s="194"/>
      <c r="L284" s="80">
        <f t="shared" si="252"/>
        <v>0</v>
      </c>
      <c r="M284" s="80">
        <f t="shared" si="236"/>
        <v>0</v>
      </c>
      <c r="N284" s="194"/>
      <c r="O284" s="80">
        <f t="shared" si="253"/>
        <v>0</v>
      </c>
      <c r="P284" s="80">
        <f t="shared" si="244"/>
        <v>0</v>
      </c>
      <c r="Q284" s="194"/>
      <c r="R284" s="80">
        <f t="shared" si="254"/>
        <v>0</v>
      </c>
      <c r="S284" s="80">
        <f t="shared" si="237"/>
        <v>0</v>
      </c>
      <c r="T284" s="80"/>
      <c r="U284" s="80">
        <f t="shared" si="234"/>
        <v>0</v>
      </c>
      <c r="V284" s="215">
        <f t="shared" si="235"/>
        <v>0</v>
      </c>
      <c r="W284" s="185"/>
      <c r="X284" s="80"/>
      <c r="Y284" s="80">
        <f t="shared" si="238"/>
        <v>0</v>
      </c>
      <c r="Z284" s="194"/>
      <c r="AA284" s="80">
        <f t="shared" si="223"/>
        <v>0</v>
      </c>
      <c r="AB284" s="80">
        <f t="shared" si="245"/>
        <v>0</v>
      </c>
      <c r="AC284" s="194"/>
      <c r="AD284" s="80">
        <f t="shared" si="239"/>
        <v>0</v>
      </c>
      <c r="AE284" s="80">
        <f t="shared" si="246"/>
        <v>0</v>
      </c>
      <c r="AF284" s="194"/>
      <c r="AG284" s="80">
        <f t="shared" si="255"/>
        <v>0</v>
      </c>
      <c r="AH284" s="80">
        <f t="shared" si="240"/>
        <v>0</v>
      </c>
      <c r="AI284" s="194"/>
      <c r="AJ284" s="80">
        <f t="shared" si="249"/>
        <v>0</v>
      </c>
      <c r="AK284" s="80">
        <f t="shared" si="247"/>
        <v>0</v>
      </c>
      <c r="AL284" s="194"/>
      <c r="AM284" s="80">
        <f t="shared" si="256"/>
        <v>0</v>
      </c>
      <c r="AN284" s="17">
        <f t="shared" si="248"/>
        <v>0</v>
      </c>
      <c r="AO284" s="235">
        <f t="shared" si="232"/>
        <v>0</v>
      </c>
      <c r="AP284" s="19"/>
    </row>
    <row r="285" spans="1:42">
      <c r="A285" s="15">
        <v>45209</v>
      </c>
      <c r="B285" s="194">
        <v>0</v>
      </c>
      <c r="C285" s="80">
        <f t="shared" si="250"/>
        <v>0</v>
      </c>
      <c r="D285" s="80">
        <f t="shared" si="241"/>
        <v>0</v>
      </c>
      <c r="E285" s="194"/>
      <c r="F285" s="80">
        <f t="shared" si="233"/>
        <v>0</v>
      </c>
      <c r="G285" s="80">
        <f t="shared" si="242"/>
        <v>0</v>
      </c>
      <c r="H285" s="194"/>
      <c r="I285" s="80">
        <f t="shared" si="251"/>
        <v>0</v>
      </c>
      <c r="J285" s="80">
        <f t="shared" si="243"/>
        <v>0</v>
      </c>
      <c r="K285" s="194"/>
      <c r="L285" s="80">
        <f t="shared" si="252"/>
        <v>0</v>
      </c>
      <c r="M285" s="80">
        <f t="shared" si="236"/>
        <v>0</v>
      </c>
      <c r="N285" s="194"/>
      <c r="O285" s="80">
        <f t="shared" si="253"/>
        <v>0</v>
      </c>
      <c r="P285" s="80">
        <f t="shared" si="244"/>
        <v>0</v>
      </c>
      <c r="Q285" s="194"/>
      <c r="R285" s="80">
        <f t="shared" si="254"/>
        <v>0</v>
      </c>
      <c r="S285" s="80">
        <f t="shared" si="237"/>
        <v>0</v>
      </c>
      <c r="T285" s="80"/>
      <c r="U285" s="80">
        <f t="shared" si="234"/>
        <v>0</v>
      </c>
      <c r="V285" s="215">
        <f t="shared" si="235"/>
        <v>0</v>
      </c>
      <c r="W285" s="185"/>
      <c r="X285" s="80"/>
      <c r="Y285" s="80">
        <f t="shared" si="238"/>
        <v>0</v>
      </c>
      <c r="Z285" s="194"/>
      <c r="AA285" s="80">
        <f t="shared" si="223"/>
        <v>0</v>
      </c>
      <c r="AB285" s="80">
        <f t="shared" si="245"/>
        <v>0</v>
      </c>
      <c r="AC285" s="194"/>
      <c r="AD285" s="80">
        <f t="shared" si="239"/>
        <v>0</v>
      </c>
      <c r="AE285" s="80">
        <f t="shared" si="246"/>
        <v>0</v>
      </c>
      <c r="AF285" s="194"/>
      <c r="AG285" s="80">
        <f t="shared" si="255"/>
        <v>0</v>
      </c>
      <c r="AH285" s="80">
        <f t="shared" si="240"/>
        <v>0</v>
      </c>
      <c r="AI285" s="194"/>
      <c r="AJ285" s="80">
        <f t="shared" si="249"/>
        <v>0</v>
      </c>
      <c r="AK285" s="80">
        <f t="shared" si="247"/>
        <v>0</v>
      </c>
      <c r="AL285" s="194"/>
      <c r="AM285" s="80">
        <f t="shared" si="256"/>
        <v>0</v>
      </c>
      <c r="AN285" s="17">
        <f t="shared" si="248"/>
        <v>0</v>
      </c>
      <c r="AO285" s="235">
        <f t="shared" si="232"/>
        <v>0</v>
      </c>
      <c r="AP285" s="19"/>
    </row>
    <row r="286" spans="1:42">
      <c r="A286" s="15">
        <v>45210</v>
      </c>
      <c r="B286" s="194">
        <v>0</v>
      </c>
      <c r="C286" s="80">
        <f t="shared" si="250"/>
        <v>0</v>
      </c>
      <c r="D286" s="80">
        <f t="shared" si="241"/>
        <v>0</v>
      </c>
      <c r="E286" s="194"/>
      <c r="F286" s="80">
        <f t="shared" si="233"/>
        <v>0</v>
      </c>
      <c r="G286" s="80">
        <f t="shared" si="242"/>
        <v>0</v>
      </c>
      <c r="H286" s="194"/>
      <c r="I286" s="80">
        <f t="shared" si="251"/>
        <v>0</v>
      </c>
      <c r="J286" s="80">
        <f t="shared" si="243"/>
        <v>0</v>
      </c>
      <c r="K286" s="194"/>
      <c r="L286" s="80">
        <f t="shared" si="252"/>
        <v>0</v>
      </c>
      <c r="M286" s="80">
        <f t="shared" si="236"/>
        <v>0</v>
      </c>
      <c r="N286" s="194"/>
      <c r="O286" s="80">
        <f t="shared" si="253"/>
        <v>0</v>
      </c>
      <c r="P286" s="80">
        <f t="shared" si="244"/>
        <v>0</v>
      </c>
      <c r="Q286" s="194"/>
      <c r="R286" s="80">
        <f t="shared" si="254"/>
        <v>0</v>
      </c>
      <c r="S286" s="80">
        <f t="shared" si="237"/>
        <v>0</v>
      </c>
      <c r="T286" s="80"/>
      <c r="U286" s="80">
        <f t="shared" si="234"/>
        <v>0</v>
      </c>
      <c r="V286" s="215">
        <f t="shared" si="235"/>
        <v>0</v>
      </c>
      <c r="W286" s="185"/>
      <c r="X286" s="80"/>
      <c r="Y286" s="80">
        <f t="shared" si="238"/>
        <v>0</v>
      </c>
      <c r="Z286" s="194"/>
      <c r="AA286" s="80">
        <f t="shared" si="223"/>
        <v>0</v>
      </c>
      <c r="AB286" s="80">
        <f t="shared" si="245"/>
        <v>0</v>
      </c>
      <c r="AC286" s="194"/>
      <c r="AD286" s="80">
        <f t="shared" si="239"/>
        <v>0</v>
      </c>
      <c r="AE286" s="80">
        <f t="shared" si="246"/>
        <v>0</v>
      </c>
      <c r="AF286" s="194"/>
      <c r="AG286" s="80">
        <f t="shared" si="255"/>
        <v>0</v>
      </c>
      <c r="AH286" s="80">
        <f t="shared" si="240"/>
        <v>0</v>
      </c>
      <c r="AI286" s="194"/>
      <c r="AJ286" s="80">
        <f t="shared" si="249"/>
        <v>0</v>
      </c>
      <c r="AK286" s="80">
        <f t="shared" si="247"/>
        <v>0</v>
      </c>
      <c r="AL286" s="194"/>
      <c r="AM286" s="80">
        <f t="shared" si="256"/>
        <v>0</v>
      </c>
      <c r="AN286" s="17">
        <f t="shared" si="248"/>
        <v>0</v>
      </c>
      <c r="AO286" s="235">
        <f t="shared" si="232"/>
        <v>0</v>
      </c>
      <c r="AP286" s="19"/>
    </row>
    <row r="287" spans="1:42">
      <c r="A287" s="15">
        <v>45211</v>
      </c>
      <c r="B287" s="194">
        <v>0</v>
      </c>
      <c r="C287" s="80">
        <f t="shared" si="250"/>
        <v>0</v>
      </c>
      <c r="D287" s="80">
        <f t="shared" si="241"/>
        <v>0</v>
      </c>
      <c r="E287" s="194"/>
      <c r="F287" s="80">
        <f t="shared" si="233"/>
        <v>0</v>
      </c>
      <c r="G287" s="80">
        <f t="shared" si="242"/>
        <v>0</v>
      </c>
      <c r="H287" s="194"/>
      <c r="I287" s="80">
        <f t="shared" si="251"/>
        <v>0</v>
      </c>
      <c r="J287" s="80">
        <f t="shared" si="243"/>
        <v>0</v>
      </c>
      <c r="K287" s="194"/>
      <c r="L287" s="80">
        <f t="shared" si="252"/>
        <v>0</v>
      </c>
      <c r="M287" s="80">
        <f t="shared" si="236"/>
        <v>0</v>
      </c>
      <c r="N287" s="194"/>
      <c r="O287" s="80">
        <f t="shared" si="253"/>
        <v>0</v>
      </c>
      <c r="P287" s="80">
        <f t="shared" si="244"/>
        <v>0</v>
      </c>
      <c r="Q287" s="194"/>
      <c r="R287" s="80">
        <f t="shared" si="254"/>
        <v>0</v>
      </c>
      <c r="S287" s="80">
        <f t="shared" si="237"/>
        <v>0</v>
      </c>
      <c r="T287" s="80"/>
      <c r="U287" s="80">
        <f t="shared" si="234"/>
        <v>0</v>
      </c>
      <c r="V287" s="215">
        <f t="shared" si="235"/>
        <v>0</v>
      </c>
      <c r="W287" s="185"/>
      <c r="X287" s="80"/>
      <c r="Y287" s="80">
        <f t="shared" si="238"/>
        <v>0</v>
      </c>
      <c r="Z287" s="194"/>
      <c r="AA287" s="80">
        <f t="shared" si="223"/>
        <v>0</v>
      </c>
      <c r="AB287" s="80">
        <f t="shared" si="245"/>
        <v>0</v>
      </c>
      <c r="AC287" s="194"/>
      <c r="AD287" s="80">
        <f t="shared" si="239"/>
        <v>0</v>
      </c>
      <c r="AE287" s="80">
        <f t="shared" si="246"/>
        <v>0</v>
      </c>
      <c r="AF287" s="194"/>
      <c r="AG287" s="80">
        <f t="shared" si="255"/>
        <v>0</v>
      </c>
      <c r="AH287" s="80">
        <f t="shared" si="240"/>
        <v>0</v>
      </c>
      <c r="AI287" s="194"/>
      <c r="AJ287" s="80">
        <f t="shared" si="249"/>
        <v>0</v>
      </c>
      <c r="AK287" s="80">
        <f t="shared" si="247"/>
        <v>0</v>
      </c>
      <c r="AL287" s="194"/>
      <c r="AM287" s="80">
        <f t="shared" si="256"/>
        <v>0</v>
      </c>
      <c r="AN287" s="17">
        <f t="shared" si="248"/>
        <v>0</v>
      </c>
      <c r="AO287" s="235">
        <f t="shared" si="232"/>
        <v>0</v>
      </c>
      <c r="AP287" s="19"/>
    </row>
    <row r="288" spans="1:42">
      <c r="A288" s="15">
        <v>45212</v>
      </c>
      <c r="B288" s="194">
        <v>0</v>
      </c>
      <c r="C288" s="80">
        <f t="shared" si="250"/>
        <v>0</v>
      </c>
      <c r="D288" s="80">
        <f t="shared" si="241"/>
        <v>0</v>
      </c>
      <c r="E288" s="194"/>
      <c r="F288" s="80">
        <f t="shared" si="233"/>
        <v>0</v>
      </c>
      <c r="G288" s="80">
        <f t="shared" si="242"/>
        <v>0</v>
      </c>
      <c r="H288" s="194"/>
      <c r="I288" s="80">
        <f t="shared" si="251"/>
        <v>0</v>
      </c>
      <c r="J288" s="80">
        <f t="shared" si="243"/>
        <v>0</v>
      </c>
      <c r="K288" s="194"/>
      <c r="L288" s="80">
        <f t="shared" si="252"/>
        <v>0</v>
      </c>
      <c r="M288" s="80">
        <f t="shared" si="236"/>
        <v>0</v>
      </c>
      <c r="N288" s="194"/>
      <c r="O288" s="80">
        <f t="shared" si="253"/>
        <v>0</v>
      </c>
      <c r="P288" s="80">
        <f t="shared" si="244"/>
        <v>0</v>
      </c>
      <c r="Q288" s="194"/>
      <c r="R288" s="80">
        <f t="shared" si="254"/>
        <v>0</v>
      </c>
      <c r="S288" s="80">
        <f t="shared" si="237"/>
        <v>0</v>
      </c>
      <c r="T288" s="80"/>
      <c r="U288" s="80">
        <f t="shared" si="234"/>
        <v>0</v>
      </c>
      <c r="V288" s="215">
        <f t="shared" si="235"/>
        <v>0</v>
      </c>
      <c r="W288" s="185"/>
      <c r="X288" s="80"/>
      <c r="Y288" s="80">
        <f t="shared" si="238"/>
        <v>0</v>
      </c>
      <c r="Z288" s="194"/>
      <c r="AA288" s="80">
        <f t="shared" ref="AA288:AA351" si="257">IF(Z288="",0,Z288-Z287)</f>
        <v>0</v>
      </c>
      <c r="AB288" s="80">
        <f t="shared" si="245"/>
        <v>0</v>
      </c>
      <c r="AC288" s="194"/>
      <c r="AD288" s="80">
        <f t="shared" si="239"/>
        <v>0</v>
      </c>
      <c r="AE288" s="80">
        <f t="shared" si="246"/>
        <v>0</v>
      </c>
      <c r="AF288" s="194"/>
      <c r="AG288" s="80">
        <f t="shared" si="255"/>
        <v>0</v>
      </c>
      <c r="AH288" s="80">
        <f t="shared" si="240"/>
        <v>0</v>
      </c>
      <c r="AI288" s="194"/>
      <c r="AJ288" s="80">
        <f t="shared" si="249"/>
        <v>0</v>
      </c>
      <c r="AK288" s="80">
        <f t="shared" si="247"/>
        <v>0</v>
      </c>
      <c r="AL288" s="194"/>
      <c r="AM288" s="80">
        <f t="shared" si="256"/>
        <v>0</v>
      </c>
      <c r="AN288" s="17">
        <f t="shared" si="248"/>
        <v>0</v>
      </c>
      <c r="AO288" s="235">
        <f t="shared" si="232"/>
        <v>0</v>
      </c>
      <c r="AP288" s="19"/>
    </row>
    <row r="289" spans="1:42">
      <c r="A289" s="15">
        <v>45213</v>
      </c>
      <c r="B289" s="194">
        <v>0</v>
      </c>
      <c r="C289" s="80">
        <f t="shared" si="250"/>
        <v>0</v>
      </c>
      <c r="D289" s="80">
        <f t="shared" si="241"/>
        <v>0</v>
      </c>
      <c r="E289" s="194"/>
      <c r="F289" s="80">
        <f t="shared" si="233"/>
        <v>0</v>
      </c>
      <c r="G289" s="80">
        <f t="shared" si="242"/>
        <v>0</v>
      </c>
      <c r="H289" s="194"/>
      <c r="I289" s="80">
        <f t="shared" si="251"/>
        <v>0</v>
      </c>
      <c r="J289" s="80">
        <f t="shared" si="243"/>
        <v>0</v>
      </c>
      <c r="K289" s="194"/>
      <c r="L289" s="80">
        <f t="shared" si="252"/>
        <v>0</v>
      </c>
      <c r="M289" s="80">
        <f t="shared" si="236"/>
        <v>0</v>
      </c>
      <c r="N289" s="194"/>
      <c r="O289" s="80">
        <f t="shared" si="253"/>
        <v>0</v>
      </c>
      <c r="P289" s="80">
        <f t="shared" si="244"/>
        <v>0</v>
      </c>
      <c r="Q289" s="194"/>
      <c r="R289" s="80">
        <f t="shared" si="254"/>
        <v>0</v>
      </c>
      <c r="S289" s="80">
        <f t="shared" si="237"/>
        <v>0</v>
      </c>
      <c r="T289" s="80"/>
      <c r="U289" s="80">
        <f t="shared" si="234"/>
        <v>0</v>
      </c>
      <c r="V289" s="215">
        <f t="shared" si="235"/>
        <v>0</v>
      </c>
      <c r="W289" s="185"/>
      <c r="X289" s="80"/>
      <c r="Y289" s="80">
        <f t="shared" si="238"/>
        <v>0</v>
      </c>
      <c r="Z289" s="194"/>
      <c r="AA289" s="80">
        <f t="shared" si="257"/>
        <v>0</v>
      </c>
      <c r="AB289" s="80">
        <f t="shared" si="245"/>
        <v>0</v>
      </c>
      <c r="AC289" s="194"/>
      <c r="AD289" s="80">
        <f t="shared" si="239"/>
        <v>0</v>
      </c>
      <c r="AE289" s="80">
        <f t="shared" si="246"/>
        <v>0</v>
      </c>
      <c r="AF289" s="194"/>
      <c r="AG289" s="80">
        <f t="shared" si="255"/>
        <v>0</v>
      </c>
      <c r="AH289" s="80">
        <f t="shared" si="240"/>
        <v>0</v>
      </c>
      <c r="AI289" s="194"/>
      <c r="AJ289" s="80">
        <f t="shared" si="249"/>
        <v>0</v>
      </c>
      <c r="AK289" s="80">
        <f t="shared" si="247"/>
        <v>0</v>
      </c>
      <c r="AL289" s="194"/>
      <c r="AM289" s="80">
        <f t="shared" si="256"/>
        <v>0</v>
      </c>
      <c r="AN289" s="17">
        <f t="shared" si="248"/>
        <v>0</v>
      </c>
      <c r="AO289" s="235">
        <f t="shared" si="232"/>
        <v>0</v>
      </c>
      <c r="AP289" s="19"/>
    </row>
    <row r="290" spans="1:42">
      <c r="A290" s="15">
        <v>45214</v>
      </c>
      <c r="B290" s="194">
        <v>0</v>
      </c>
      <c r="C290" s="80">
        <f t="shared" si="250"/>
        <v>0</v>
      </c>
      <c r="D290" s="80">
        <f t="shared" si="241"/>
        <v>0</v>
      </c>
      <c r="E290" s="194"/>
      <c r="F290" s="80">
        <f t="shared" si="233"/>
        <v>0</v>
      </c>
      <c r="G290" s="80">
        <f t="shared" si="242"/>
        <v>0</v>
      </c>
      <c r="H290" s="194"/>
      <c r="I290" s="80">
        <f t="shared" si="251"/>
        <v>0</v>
      </c>
      <c r="J290" s="80">
        <f t="shared" si="243"/>
        <v>0</v>
      </c>
      <c r="K290" s="194"/>
      <c r="L290" s="80">
        <f t="shared" si="252"/>
        <v>0</v>
      </c>
      <c r="M290" s="80">
        <f t="shared" si="236"/>
        <v>0</v>
      </c>
      <c r="N290" s="194"/>
      <c r="O290" s="80">
        <f t="shared" si="253"/>
        <v>0</v>
      </c>
      <c r="P290" s="80">
        <f t="shared" si="244"/>
        <v>0</v>
      </c>
      <c r="Q290" s="194"/>
      <c r="R290" s="80">
        <f t="shared" si="254"/>
        <v>0</v>
      </c>
      <c r="S290" s="80">
        <f t="shared" si="237"/>
        <v>0</v>
      </c>
      <c r="T290" s="80"/>
      <c r="U290" s="80">
        <f t="shared" si="234"/>
        <v>0</v>
      </c>
      <c r="V290" s="215">
        <f t="shared" si="235"/>
        <v>0</v>
      </c>
      <c r="W290" s="185"/>
      <c r="X290" s="80"/>
      <c r="Y290" s="80">
        <f t="shared" si="238"/>
        <v>0</v>
      </c>
      <c r="Z290" s="194"/>
      <c r="AA290" s="80">
        <f t="shared" si="257"/>
        <v>0</v>
      </c>
      <c r="AB290" s="80">
        <f t="shared" si="245"/>
        <v>0</v>
      </c>
      <c r="AC290" s="194"/>
      <c r="AD290" s="80">
        <f t="shared" si="239"/>
        <v>0</v>
      </c>
      <c r="AE290" s="80">
        <f t="shared" si="246"/>
        <v>0</v>
      </c>
      <c r="AF290" s="194"/>
      <c r="AG290" s="80">
        <f t="shared" si="255"/>
        <v>0</v>
      </c>
      <c r="AH290" s="80">
        <f t="shared" si="240"/>
        <v>0</v>
      </c>
      <c r="AI290" s="194"/>
      <c r="AJ290" s="80">
        <f t="shared" si="249"/>
        <v>0</v>
      </c>
      <c r="AK290" s="80">
        <f t="shared" si="247"/>
        <v>0</v>
      </c>
      <c r="AL290" s="194"/>
      <c r="AM290" s="80">
        <f t="shared" si="256"/>
        <v>0</v>
      </c>
      <c r="AN290" s="17">
        <f t="shared" si="248"/>
        <v>0</v>
      </c>
      <c r="AO290" s="235">
        <f t="shared" si="232"/>
        <v>0</v>
      </c>
      <c r="AP290" s="19"/>
    </row>
    <row r="291" spans="1:42">
      <c r="A291" s="15">
        <v>45215</v>
      </c>
      <c r="B291" s="194">
        <v>0</v>
      </c>
      <c r="C291" s="80">
        <f t="shared" si="250"/>
        <v>0</v>
      </c>
      <c r="D291" s="80">
        <f t="shared" si="241"/>
        <v>0</v>
      </c>
      <c r="E291" s="194"/>
      <c r="F291" s="80">
        <f t="shared" si="233"/>
        <v>0</v>
      </c>
      <c r="G291" s="80">
        <f t="shared" si="242"/>
        <v>0</v>
      </c>
      <c r="H291" s="194"/>
      <c r="I291" s="80">
        <f t="shared" si="251"/>
        <v>0</v>
      </c>
      <c r="J291" s="80">
        <f t="shared" si="243"/>
        <v>0</v>
      </c>
      <c r="K291" s="194"/>
      <c r="L291" s="80">
        <f t="shared" si="252"/>
        <v>0</v>
      </c>
      <c r="M291" s="80">
        <f t="shared" si="236"/>
        <v>0</v>
      </c>
      <c r="N291" s="194"/>
      <c r="O291" s="80">
        <f t="shared" si="253"/>
        <v>0</v>
      </c>
      <c r="P291" s="80">
        <f t="shared" si="244"/>
        <v>0</v>
      </c>
      <c r="Q291" s="194"/>
      <c r="R291" s="80">
        <f t="shared" si="254"/>
        <v>0</v>
      </c>
      <c r="S291" s="80">
        <f t="shared" si="237"/>
        <v>0</v>
      </c>
      <c r="T291" s="80"/>
      <c r="U291" s="80">
        <f t="shared" si="234"/>
        <v>0</v>
      </c>
      <c r="V291" s="215">
        <f t="shared" si="235"/>
        <v>0</v>
      </c>
      <c r="W291" s="185"/>
      <c r="X291" s="80"/>
      <c r="Y291" s="80">
        <f t="shared" si="238"/>
        <v>0</v>
      </c>
      <c r="Z291" s="194"/>
      <c r="AA291" s="80">
        <f t="shared" si="257"/>
        <v>0</v>
      </c>
      <c r="AB291" s="80">
        <f t="shared" si="245"/>
        <v>0</v>
      </c>
      <c r="AC291" s="194"/>
      <c r="AD291" s="80">
        <f t="shared" si="239"/>
        <v>0</v>
      </c>
      <c r="AE291" s="80">
        <f t="shared" si="246"/>
        <v>0</v>
      </c>
      <c r="AF291" s="194"/>
      <c r="AG291" s="80">
        <f t="shared" si="255"/>
        <v>0</v>
      </c>
      <c r="AH291" s="80">
        <f t="shared" si="240"/>
        <v>0</v>
      </c>
      <c r="AI291" s="194"/>
      <c r="AJ291" s="80">
        <f t="shared" si="249"/>
        <v>0</v>
      </c>
      <c r="AK291" s="80">
        <f t="shared" si="247"/>
        <v>0</v>
      </c>
      <c r="AL291" s="194"/>
      <c r="AM291" s="80">
        <f t="shared" si="256"/>
        <v>0</v>
      </c>
      <c r="AN291" s="17">
        <f t="shared" si="248"/>
        <v>0</v>
      </c>
      <c r="AO291" s="235">
        <f t="shared" si="232"/>
        <v>0</v>
      </c>
      <c r="AP291" s="19"/>
    </row>
    <row r="292" spans="1:42">
      <c r="A292" s="15">
        <v>45216</v>
      </c>
      <c r="B292" s="194">
        <v>0</v>
      </c>
      <c r="C292" s="80">
        <f t="shared" si="250"/>
        <v>0</v>
      </c>
      <c r="D292" s="80">
        <f t="shared" si="241"/>
        <v>0</v>
      </c>
      <c r="E292" s="194"/>
      <c r="F292" s="80">
        <f t="shared" si="233"/>
        <v>0</v>
      </c>
      <c r="G292" s="80">
        <f t="shared" si="242"/>
        <v>0</v>
      </c>
      <c r="H292" s="194"/>
      <c r="I292" s="80">
        <f t="shared" si="251"/>
        <v>0</v>
      </c>
      <c r="J292" s="80">
        <f t="shared" si="243"/>
        <v>0</v>
      </c>
      <c r="K292" s="194"/>
      <c r="L292" s="80">
        <f t="shared" si="252"/>
        <v>0</v>
      </c>
      <c r="M292" s="80">
        <f t="shared" si="236"/>
        <v>0</v>
      </c>
      <c r="N292" s="194"/>
      <c r="O292" s="80">
        <f t="shared" si="253"/>
        <v>0</v>
      </c>
      <c r="P292" s="80">
        <f t="shared" si="244"/>
        <v>0</v>
      </c>
      <c r="Q292" s="194"/>
      <c r="R292" s="80">
        <f t="shared" si="254"/>
        <v>0</v>
      </c>
      <c r="S292" s="80">
        <f t="shared" si="237"/>
        <v>0</v>
      </c>
      <c r="T292" s="80"/>
      <c r="U292" s="80">
        <f t="shared" si="234"/>
        <v>0</v>
      </c>
      <c r="V292" s="215">
        <f t="shared" si="235"/>
        <v>0</v>
      </c>
      <c r="W292" s="185"/>
      <c r="X292" s="80"/>
      <c r="Y292" s="80">
        <f t="shared" si="238"/>
        <v>0</v>
      </c>
      <c r="Z292" s="194"/>
      <c r="AA292" s="80">
        <f t="shared" si="257"/>
        <v>0</v>
      </c>
      <c r="AB292" s="80">
        <f t="shared" si="245"/>
        <v>0</v>
      </c>
      <c r="AC292" s="194"/>
      <c r="AD292" s="80">
        <f t="shared" si="239"/>
        <v>0</v>
      </c>
      <c r="AE292" s="80">
        <f t="shared" si="246"/>
        <v>0</v>
      </c>
      <c r="AF292" s="194"/>
      <c r="AG292" s="80">
        <f t="shared" si="255"/>
        <v>0</v>
      </c>
      <c r="AH292" s="80">
        <f t="shared" si="240"/>
        <v>0</v>
      </c>
      <c r="AI292" s="194"/>
      <c r="AJ292" s="80">
        <f t="shared" si="249"/>
        <v>0</v>
      </c>
      <c r="AK292" s="80">
        <f t="shared" si="247"/>
        <v>0</v>
      </c>
      <c r="AL292" s="194"/>
      <c r="AM292" s="80">
        <f t="shared" si="256"/>
        <v>0</v>
      </c>
      <c r="AN292" s="17">
        <f t="shared" si="248"/>
        <v>0</v>
      </c>
      <c r="AO292" s="235">
        <f t="shared" si="232"/>
        <v>0</v>
      </c>
      <c r="AP292" s="19"/>
    </row>
    <row r="293" spans="1:42">
      <c r="A293" s="15">
        <v>45217</v>
      </c>
      <c r="B293" s="194">
        <v>0</v>
      </c>
      <c r="C293" s="80">
        <f t="shared" si="250"/>
        <v>0</v>
      </c>
      <c r="D293" s="80">
        <f t="shared" si="241"/>
        <v>0</v>
      </c>
      <c r="E293" s="194"/>
      <c r="F293" s="80">
        <f t="shared" si="233"/>
        <v>0</v>
      </c>
      <c r="G293" s="80">
        <f t="shared" si="242"/>
        <v>0</v>
      </c>
      <c r="H293" s="194"/>
      <c r="I293" s="80">
        <f t="shared" si="251"/>
        <v>0</v>
      </c>
      <c r="J293" s="80">
        <f t="shared" si="243"/>
        <v>0</v>
      </c>
      <c r="K293" s="194"/>
      <c r="L293" s="80">
        <f t="shared" si="252"/>
        <v>0</v>
      </c>
      <c r="M293" s="80">
        <f t="shared" si="236"/>
        <v>0</v>
      </c>
      <c r="N293" s="194"/>
      <c r="O293" s="80">
        <f t="shared" si="253"/>
        <v>0</v>
      </c>
      <c r="P293" s="80">
        <f t="shared" si="244"/>
        <v>0</v>
      </c>
      <c r="Q293" s="194"/>
      <c r="R293" s="80">
        <f t="shared" si="254"/>
        <v>0</v>
      </c>
      <c r="S293" s="80">
        <f t="shared" si="237"/>
        <v>0</v>
      </c>
      <c r="T293" s="80"/>
      <c r="U293" s="80">
        <f t="shared" si="234"/>
        <v>0</v>
      </c>
      <c r="V293" s="215">
        <f t="shared" si="235"/>
        <v>0</v>
      </c>
      <c r="W293" s="185"/>
      <c r="X293" s="80"/>
      <c r="Y293" s="80">
        <f t="shared" si="238"/>
        <v>0</v>
      </c>
      <c r="Z293" s="194"/>
      <c r="AA293" s="80">
        <f t="shared" si="257"/>
        <v>0</v>
      </c>
      <c r="AB293" s="80">
        <f t="shared" si="245"/>
        <v>0</v>
      </c>
      <c r="AC293" s="194"/>
      <c r="AD293" s="80">
        <f t="shared" si="239"/>
        <v>0</v>
      </c>
      <c r="AE293" s="80">
        <f t="shared" si="246"/>
        <v>0</v>
      </c>
      <c r="AF293" s="194"/>
      <c r="AG293" s="80">
        <f t="shared" si="255"/>
        <v>0</v>
      </c>
      <c r="AH293" s="80">
        <f t="shared" si="240"/>
        <v>0</v>
      </c>
      <c r="AI293" s="194"/>
      <c r="AJ293" s="80">
        <f t="shared" si="249"/>
        <v>0</v>
      </c>
      <c r="AK293" s="80">
        <f t="shared" si="247"/>
        <v>0</v>
      </c>
      <c r="AL293" s="194"/>
      <c r="AM293" s="80">
        <f t="shared" si="256"/>
        <v>0</v>
      </c>
      <c r="AN293" s="17">
        <f t="shared" si="248"/>
        <v>0</v>
      </c>
      <c r="AO293" s="235">
        <f t="shared" si="232"/>
        <v>0</v>
      </c>
      <c r="AP293" s="19"/>
    </row>
    <row r="294" spans="1:42">
      <c r="A294" s="15">
        <v>45218</v>
      </c>
      <c r="B294" s="194">
        <v>0</v>
      </c>
      <c r="C294" s="80">
        <f t="shared" si="250"/>
        <v>0</v>
      </c>
      <c r="D294" s="80">
        <f t="shared" si="241"/>
        <v>0</v>
      </c>
      <c r="E294" s="194"/>
      <c r="F294" s="80">
        <f t="shared" si="233"/>
        <v>0</v>
      </c>
      <c r="G294" s="80">
        <f t="shared" si="242"/>
        <v>0</v>
      </c>
      <c r="H294" s="194"/>
      <c r="I294" s="80">
        <f t="shared" si="251"/>
        <v>0</v>
      </c>
      <c r="J294" s="80">
        <f t="shared" si="243"/>
        <v>0</v>
      </c>
      <c r="K294" s="194"/>
      <c r="L294" s="80">
        <f t="shared" si="252"/>
        <v>0</v>
      </c>
      <c r="M294" s="80">
        <f t="shared" si="236"/>
        <v>0</v>
      </c>
      <c r="N294" s="194"/>
      <c r="O294" s="80">
        <f t="shared" si="253"/>
        <v>0</v>
      </c>
      <c r="P294" s="80">
        <f t="shared" si="244"/>
        <v>0</v>
      </c>
      <c r="Q294" s="194"/>
      <c r="R294" s="80">
        <f t="shared" si="254"/>
        <v>0</v>
      </c>
      <c r="S294" s="80">
        <f t="shared" si="237"/>
        <v>0</v>
      </c>
      <c r="T294" s="80"/>
      <c r="U294" s="80">
        <f t="shared" si="234"/>
        <v>0</v>
      </c>
      <c r="V294" s="215">
        <f t="shared" si="235"/>
        <v>0</v>
      </c>
      <c r="W294" s="185"/>
      <c r="X294" s="80"/>
      <c r="Y294" s="80">
        <f t="shared" si="238"/>
        <v>0</v>
      </c>
      <c r="Z294" s="194"/>
      <c r="AA294" s="80">
        <f t="shared" si="257"/>
        <v>0</v>
      </c>
      <c r="AB294" s="80">
        <f t="shared" si="245"/>
        <v>0</v>
      </c>
      <c r="AC294" s="194"/>
      <c r="AD294" s="80">
        <f t="shared" si="239"/>
        <v>0</v>
      </c>
      <c r="AE294" s="80">
        <f t="shared" si="246"/>
        <v>0</v>
      </c>
      <c r="AF294" s="194"/>
      <c r="AG294" s="80">
        <f t="shared" si="255"/>
        <v>0</v>
      </c>
      <c r="AH294" s="80">
        <f t="shared" si="240"/>
        <v>0</v>
      </c>
      <c r="AI294" s="194"/>
      <c r="AJ294" s="80">
        <f t="shared" si="249"/>
        <v>0</v>
      </c>
      <c r="AK294" s="80">
        <f t="shared" si="247"/>
        <v>0</v>
      </c>
      <c r="AL294" s="194"/>
      <c r="AM294" s="80">
        <f t="shared" si="256"/>
        <v>0</v>
      </c>
      <c r="AN294" s="17">
        <f t="shared" si="248"/>
        <v>0</v>
      </c>
      <c r="AO294" s="235">
        <f t="shared" si="232"/>
        <v>0</v>
      </c>
      <c r="AP294" s="19"/>
    </row>
    <row r="295" spans="1:42">
      <c r="A295" s="15">
        <v>45219</v>
      </c>
      <c r="B295" s="194">
        <v>0</v>
      </c>
      <c r="C295" s="80">
        <f t="shared" si="250"/>
        <v>0</v>
      </c>
      <c r="D295" s="80">
        <f t="shared" si="241"/>
        <v>0</v>
      </c>
      <c r="E295" s="194"/>
      <c r="F295" s="80">
        <f t="shared" si="233"/>
        <v>0</v>
      </c>
      <c r="G295" s="80">
        <f t="shared" si="242"/>
        <v>0</v>
      </c>
      <c r="H295" s="194"/>
      <c r="I295" s="80">
        <f t="shared" si="251"/>
        <v>0</v>
      </c>
      <c r="J295" s="80">
        <f t="shared" si="243"/>
        <v>0</v>
      </c>
      <c r="K295" s="194"/>
      <c r="L295" s="80">
        <f t="shared" si="252"/>
        <v>0</v>
      </c>
      <c r="M295" s="80">
        <f t="shared" si="236"/>
        <v>0</v>
      </c>
      <c r="N295" s="194"/>
      <c r="O295" s="80">
        <f t="shared" si="253"/>
        <v>0</v>
      </c>
      <c r="P295" s="80">
        <f t="shared" si="244"/>
        <v>0</v>
      </c>
      <c r="Q295" s="194"/>
      <c r="R295" s="80">
        <f t="shared" si="254"/>
        <v>0</v>
      </c>
      <c r="S295" s="80">
        <f t="shared" si="237"/>
        <v>0</v>
      </c>
      <c r="T295" s="80"/>
      <c r="U295" s="80">
        <f t="shared" si="234"/>
        <v>0</v>
      </c>
      <c r="V295" s="215">
        <f t="shared" si="235"/>
        <v>0</v>
      </c>
      <c r="W295" s="185"/>
      <c r="X295" s="80"/>
      <c r="Y295" s="80">
        <f t="shared" si="238"/>
        <v>0</v>
      </c>
      <c r="Z295" s="194"/>
      <c r="AA295" s="80">
        <f t="shared" si="257"/>
        <v>0</v>
      </c>
      <c r="AB295" s="80">
        <f t="shared" si="245"/>
        <v>0</v>
      </c>
      <c r="AC295" s="194"/>
      <c r="AD295" s="80">
        <f t="shared" si="239"/>
        <v>0</v>
      </c>
      <c r="AE295" s="80">
        <f t="shared" si="246"/>
        <v>0</v>
      </c>
      <c r="AF295" s="194"/>
      <c r="AG295" s="80">
        <f t="shared" si="255"/>
        <v>0</v>
      </c>
      <c r="AH295" s="80">
        <f t="shared" si="240"/>
        <v>0</v>
      </c>
      <c r="AI295" s="194"/>
      <c r="AJ295" s="80">
        <f t="shared" si="249"/>
        <v>0</v>
      </c>
      <c r="AK295" s="80">
        <f t="shared" si="247"/>
        <v>0</v>
      </c>
      <c r="AL295" s="194"/>
      <c r="AM295" s="80">
        <f t="shared" si="256"/>
        <v>0</v>
      </c>
      <c r="AN295" s="17">
        <f t="shared" si="248"/>
        <v>0</v>
      </c>
      <c r="AO295" s="235">
        <f t="shared" si="232"/>
        <v>0</v>
      </c>
      <c r="AP295" s="19"/>
    </row>
    <row r="296" spans="1:42">
      <c r="A296" s="15">
        <v>45220</v>
      </c>
      <c r="B296" s="194">
        <v>0</v>
      </c>
      <c r="C296" s="80">
        <f t="shared" si="250"/>
        <v>0</v>
      </c>
      <c r="D296" s="80">
        <f t="shared" si="241"/>
        <v>0</v>
      </c>
      <c r="E296" s="194"/>
      <c r="F296" s="80">
        <f t="shared" si="233"/>
        <v>0</v>
      </c>
      <c r="G296" s="80">
        <f t="shared" si="242"/>
        <v>0</v>
      </c>
      <c r="H296" s="194"/>
      <c r="I296" s="80">
        <f t="shared" si="251"/>
        <v>0</v>
      </c>
      <c r="J296" s="80">
        <f t="shared" si="243"/>
        <v>0</v>
      </c>
      <c r="K296" s="194"/>
      <c r="L296" s="80">
        <f t="shared" si="252"/>
        <v>0</v>
      </c>
      <c r="M296" s="80">
        <f t="shared" si="236"/>
        <v>0</v>
      </c>
      <c r="N296" s="194"/>
      <c r="O296" s="80">
        <f t="shared" si="253"/>
        <v>0</v>
      </c>
      <c r="P296" s="80">
        <f t="shared" si="244"/>
        <v>0</v>
      </c>
      <c r="Q296" s="194"/>
      <c r="R296" s="80">
        <f t="shared" si="254"/>
        <v>0</v>
      </c>
      <c r="S296" s="80">
        <f t="shared" si="237"/>
        <v>0</v>
      </c>
      <c r="T296" s="80"/>
      <c r="U296" s="80">
        <f t="shared" si="234"/>
        <v>0</v>
      </c>
      <c r="V296" s="215">
        <f t="shared" si="235"/>
        <v>0</v>
      </c>
      <c r="W296" s="185"/>
      <c r="X296" s="80"/>
      <c r="Y296" s="80">
        <f t="shared" si="238"/>
        <v>0</v>
      </c>
      <c r="Z296" s="194"/>
      <c r="AA296" s="80">
        <f t="shared" si="257"/>
        <v>0</v>
      </c>
      <c r="AB296" s="80">
        <f t="shared" si="245"/>
        <v>0</v>
      </c>
      <c r="AC296" s="194"/>
      <c r="AD296" s="80">
        <f t="shared" si="239"/>
        <v>0</v>
      </c>
      <c r="AE296" s="80">
        <f t="shared" si="246"/>
        <v>0</v>
      </c>
      <c r="AF296" s="194"/>
      <c r="AG296" s="80">
        <f t="shared" si="255"/>
        <v>0</v>
      </c>
      <c r="AH296" s="80">
        <f t="shared" si="240"/>
        <v>0</v>
      </c>
      <c r="AI296" s="194"/>
      <c r="AJ296" s="80">
        <f t="shared" si="249"/>
        <v>0</v>
      </c>
      <c r="AK296" s="80">
        <f t="shared" si="247"/>
        <v>0</v>
      </c>
      <c r="AL296" s="194"/>
      <c r="AM296" s="80">
        <f t="shared" si="256"/>
        <v>0</v>
      </c>
      <c r="AN296" s="17">
        <f t="shared" si="248"/>
        <v>0</v>
      </c>
      <c r="AO296" s="235">
        <f t="shared" si="232"/>
        <v>0</v>
      </c>
      <c r="AP296" s="19"/>
    </row>
    <row r="297" spans="1:42">
      <c r="A297" s="15">
        <v>45221</v>
      </c>
      <c r="B297" s="194">
        <v>0</v>
      </c>
      <c r="C297" s="80">
        <f t="shared" si="250"/>
        <v>0</v>
      </c>
      <c r="D297" s="80">
        <f t="shared" si="241"/>
        <v>0</v>
      </c>
      <c r="E297" s="194"/>
      <c r="F297" s="80">
        <f t="shared" si="233"/>
        <v>0</v>
      </c>
      <c r="G297" s="80">
        <f t="shared" si="242"/>
        <v>0</v>
      </c>
      <c r="H297" s="194"/>
      <c r="I297" s="80">
        <f t="shared" si="251"/>
        <v>0</v>
      </c>
      <c r="J297" s="80">
        <f t="shared" si="243"/>
        <v>0</v>
      </c>
      <c r="K297" s="194"/>
      <c r="L297" s="80">
        <f t="shared" si="252"/>
        <v>0</v>
      </c>
      <c r="M297" s="80">
        <f t="shared" si="236"/>
        <v>0</v>
      </c>
      <c r="N297" s="194"/>
      <c r="O297" s="80">
        <f t="shared" si="253"/>
        <v>0</v>
      </c>
      <c r="P297" s="80">
        <f t="shared" si="244"/>
        <v>0</v>
      </c>
      <c r="Q297" s="194"/>
      <c r="R297" s="80">
        <f t="shared" si="254"/>
        <v>0</v>
      </c>
      <c r="S297" s="80">
        <f t="shared" si="237"/>
        <v>0</v>
      </c>
      <c r="T297" s="80"/>
      <c r="U297" s="80">
        <f t="shared" si="234"/>
        <v>0</v>
      </c>
      <c r="V297" s="215">
        <f t="shared" si="235"/>
        <v>0</v>
      </c>
      <c r="W297" s="185"/>
      <c r="X297" s="80"/>
      <c r="Y297" s="80">
        <f t="shared" si="238"/>
        <v>0</v>
      </c>
      <c r="Z297" s="194"/>
      <c r="AA297" s="80">
        <f t="shared" si="257"/>
        <v>0</v>
      </c>
      <c r="AB297" s="80">
        <f t="shared" si="245"/>
        <v>0</v>
      </c>
      <c r="AC297" s="194"/>
      <c r="AD297" s="80">
        <f t="shared" si="239"/>
        <v>0</v>
      </c>
      <c r="AE297" s="80">
        <f t="shared" si="246"/>
        <v>0</v>
      </c>
      <c r="AF297" s="194"/>
      <c r="AG297" s="80">
        <f t="shared" si="255"/>
        <v>0</v>
      </c>
      <c r="AH297" s="80">
        <f t="shared" si="240"/>
        <v>0</v>
      </c>
      <c r="AI297" s="194"/>
      <c r="AJ297" s="80">
        <f t="shared" si="249"/>
        <v>0</v>
      </c>
      <c r="AK297" s="80">
        <f t="shared" si="247"/>
        <v>0</v>
      </c>
      <c r="AL297" s="194"/>
      <c r="AM297" s="80">
        <f t="shared" si="256"/>
        <v>0</v>
      </c>
      <c r="AN297" s="17">
        <f t="shared" si="248"/>
        <v>0</v>
      </c>
      <c r="AO297" s="235">
        <f t="shared" si="232"/>
        <v>0</v>
      </c>
      <c r="AP297" s="19"/>
    </row>
    <row r="298" spans="1:42">
      <c r="A298" s="15">
        <v>45222</v>
      </c>
      <c r="B298" s="194">
        <v>0</v>
      </c>
      <c r="C298" s="80">
        <f t="shared" si="250"/>
        <v>0</v>
      </c>
      <c r="D298" s="80">
        <f t="shared" si="241"/>
        <v>0</v>
      </c>
      <c r="E298" s="194"/>
      <c r="F298" s="80">
        <f t="shared" si="233"/>
        <v>0</v>
      </c>
      <c r="G298" s="80">
        <f t="shared" si="242"/>
        <v>0</v>
      </c>
      <c r="H298" s="194"/>
      <c r="I298" s="80">
        <f t="shared" si="251"/>
        <v>0</v>
      </c>
      <c r="J298" s="80">
        <f t="shared" si="243"/>
        <v>0</v>
      </c>
      <c r="K298" s="194"/>
      <c r="L298" s="80">
        <f t="shared" si="252"/>
        <v>0</v>
      </c>
      <c r="M298" s="80">
        <f t="shared" si="236"/>
        <v>0</v>
      </c>
      <c r="N298" s="194"/>
      <c r="O298" s="80">
        <f t="shared" si="253"/>
        <v>0</v>
      </c>
      <c r="P298" s="80">
        <f t="shared" si="244"/>
        <v>0</v>
      </c>
      <c r="Q298" s="194"/>
      <c r="R298" s="80">
        <f t="shared" si="254"/>
        <v>0</v>
      </c>
      <c r="S298" s="80">
        <f t="shared" si="237"/>
        <v>0</v>
      </c>
      <c r="T298" s="80"/>
      <c r="U298" s="80">
        <f t="shared" si="234"/>
        <v>0</v>
      </c>
      <c r="V298" s="215">
        <f t="shared" si="235"/>
        <v>0</v>
      </c>
      <c r="W298" s="185"/>
      <c r="X298" s="80"/>
      <c r="Y298" s="80">
        <f t="shared" si="238"/>
        <v>0</v>
      </c>
      <c r="Z298" s="194"/>
      <c r="AA298" s="80">
        <f t="shared" si="257"/>
        <v>0</v>
      </c>
      <c r="AB298" s="80">
        <f t="shared" si="245"/>
        <v>0</v>
      </c>
      <c r="AC298" s="194"/>
      <c r="AD298" s="80">
        <f t="shared" si="239"/>
        <v>0</v>
      </c>
      <c r="AE298" s="80">
        <f t="shared" si="246"/>
        <v>0</v>
      </c>
      <c r="AF298" s="194"/>
      <c r="AG298" s="80">
        <f t="shared" si="255"/>
        <v>0</v>
      </c>
      <c r="AH298" s="80">
        <f t="shared" si="240"/>
        <v>0</v>
      </c>
      <c r="AI298" s="194"/>
      <c r="AJ298" s="80">
        <f t="shared" si="249"/>
        <v>0</v>
      </c>
      <c r="AK298" s="80">
        <f t="shared" si="247"/>
        <v>0</v>
      </c>
      <c r="AL298" s="194"/>
      <c r="AM298" s="80">
        <f t="shared" si="256"/>
        <v>0</v>
      </c>
      <c r="AN298" s="17">
        <f t="shared" si="248"/>
        <v>0</v>
      </c>
      <c r="AO298" s="235">
        <f t="shared" si="232"/>
        <v>0</v>
      </c>
      <c r="AP298" s="19"/>
    </row>
    <row r="299" spans="1:42">
      <c r="A299" s="15">
        <v>45223</v>
      </c>
      <c r="B299" s="194">
        <v>0</v>
      </c>
      <c r="C299" s="80">
        <f t="shared" si="250"/>
        <v>0</v>
      </c>
      <c r="D299" s="80">
        <f t="shared" si="241"/>
        <v>0</v>
      </c>
      <c r="E299" s="194"/>
      <c r="F299" s="80">
        <f t="shared" si="233"/>
        <v>0</v>
      </c>
      <c r="G299" s="80">
        <f t="shared" si="242"/>
        <v>0</v>
      </c>
      <c r="H299" s="194"/>
      <c r="I299" s="80">
        <f t="shared" si="251"/>
        <v>0</v>
      </c>
      <c r="J299" s="80">
        <f t="shared" si="243"/>
        <v>0</v>
      </c>
      <c r="K299" s="194"/>
      <c r="L299" s="80">
        <f t="shared" si="252"/>
        <v>0</v>
      </c>
      <c r="M299" s="80">
        <f t="shared" si="236"/>
        <v>0</v>
      </c>
      <c r="N299" s="194"/>
      <c r="O299" s="80">
        <f t="shared" si="253"/>
        <v>0</v>
      </c>
      <c r="P299" s="80">
        <f t="shared" si="244"/>
        <v>0</v>
      </c>
      <c r="Q299" s="194"/>
      <c r="R299" s="80">
        <f t="shared" si="254"/>
        <v>0</v>
      </c>
      <c r="S299" s="80">
        <f t="shared" si="237"/>
        <v>0</v>
      </c>
      <c r="T299" s="80"/>
      <c r="U299" s="80">
        <f t="shared" si="234"/>
        <v>0</v>
      </c>
      <c r="V299" s="215">
        <f t="shared" si="235"/>
        <v>0</v>
      </c>
      <c r="W299" s="185"/>
      <c r="X299" s="80"/>
      <c r="Y299" s="80">
        <f t="shared" si="238"/>
        <v>0</v>
      </c>
      <c r="Z299" s="194"/>
      <c r="AA299" s="80">
        <v>0</v>
      </c>
      <c r="AB299" s="80">
        <f t="shared" si="245"/>
        <v>0</v>
      </c>
      <c r="AC299" s="194"/>
      <c r="AD299" s="80">
        <f t="shared" si="239"/>
        <v>0</v>
      </c>
      <c r="AE299" s="80">
        <f t="shared" si="246"/>
        <v>0</v>
      </c>
      <c r="AF299" s="194"/>
      <c r="AG299" s="80">
        <f t="shared" si="255"/>
        <v>0</v>
      </c>
      <c r="AH299" s="80">
        <f t="shared" si="240"/>
        <v>0</v>
      </c>
      <c r="AI299" s="194"/>
      <c r="AJ299" s="80">
        <f t="shared" si="249"/>
        <v>0</v>
      </c>
      <c r="AK299" s="80">
        <f t="shared" si="247"/>
        <v>0</v>
      </c>
      <c r="AL299" s="194"/>
      <c r="AM299" s="80">
        <f t="shared" si="256"/>
        <v>0</v>
      </c>
      <c r="AN299" s="17">
        <f t="shared" si="248"/>
        <v>0</v>
      </c>
      <c r="AO299" s="235">
        <f t="shared" si="232"/>
        <v>0</v>
      </c>
      <c r="AP299" s="19"/>
    </row>
    <row r="300" spans="1:42">
      <c r="A300" s="15">
        <v>45224</v>
      </c>
      <c r="B300" s="194">
        <v>0</v>
      </c>
      <c r="C300" s="80">
        <f t="shared" si="250"/>
        <v>0</v>
      </c>
      <c r="D300" s="80">
        <f t="shared" si="241"/>
        <v>0</v>
      </c>
      <c r="E300" s="194"/>
      <c r="F300" s="80">
        <f t="shared" si="233"/>
        <v>0</v>
      </c>
      <c r="G300" s="80">
        <f t="shared" si="242"/>
        <v>0</v>
      </c>
      <c r="H300" s="194"/>
      <c r="I300" s="80">
        <f t="shared" si="251"/>
        <v>0</v>
      </c>
      <c r="J300" s="80">
        <f t="shared" si="243"/>
        <v>0</v>
      </c>
      <c r="K300" s="194"/>
      <c r="L300" s="80">
        <f t="shared" si="252"/>
        <v>0</v>
      </c>
      <c r="M300" s="80">
        <f t="shared" si="236"/>
        <v>0</v>
      </c>
      <c r="N300" s="194"/>
      <c r="O300" s="80">
        <f t="shared" si="253"/>
        <v>0</v>
      </c>
      <c r="P300" s="80">
        <f t="shared" si="244"/>
        <v>0</v>
      </c>
      <c r="Q300" s="194"/>
      <c r="R300" s="80">
        <f t="shared" si="254"/>
        <v>0</v>
      </c>
      <c r="S300" s="80">
        <f t="shared" si="237"/>
        <v>0</v>
      </c>
      <c r="T300" s="80"/>
      <c r="U300" s="80">
        <f t="shared" si="234"/>
        <v>0</v>
      </c>
      <c r="V300" s="215">
        <f t="shared" si="235"/>
        <v>0</v>
      </c>
      <c r="W300" s="185"/>
      <c r="X300" s="80"/>
      <c r="Y300" s="80">
        <f t="shared" si="238"/>
        <v>0</v>
      </c>
      <c r="Z300" s="194"/>
      <c r="AA300" s="80">
        <f t="shared" si="257"/>
        <v>0</v>
      </c>
      <c r="AB300" s="80">
        <f t="shared" si="245"/>
        <v>0</v>
      </c>
      <c r="AC300" s="194"/>
      <c r="AD300" s="80">
        <f t="shared" si="239"/>
        <v>0</v>
      </c>
      <c r="AE300" s="80">
        <f t="shared" si="246"/>
        <v>0</v>
      </c>
      <c r="AF300" s="194"/>
      <c r="AG300" s="80">
        <f t="shared" si="255"/>
        <v>0</v>
      </c>
      <c r="AH300" s="80">
        <f t="shared" si="240"/>
        <v>0</v>
      </c>
      <c r="AI300" s="194"/>
      <c r="AJ300" s="80">
        <f t="shared" si="249"/>
        <v>0</v>
      </c>
      <c r="AK300" s="80">
        <f t="shared" si="247"/>
        <v>0</v>
      </c>
      <c r="AL300" s="194"/>
      <c r="AM300" s="80">
        <f t="shared" si="256"/>
        <v>0</v>
      </c>
      <c r="AN300" s="17">
        <f t="shared" si="248"/>
        <v>0</v>
      </c>
      <c r="AO300" s="235">
        <f t="shared" si="232"/>
        <v>0</v>
      </c>
      <c r="AP300" s="19"/>
    </row>
    <row r="301" spans="1:42">
      <c r="A301" s="15">
        <v>45225</v>
      </c>
      <c r="B301" s="194">
        <v>0</v>
      </c>
      <c r="C301" s="80">
        <f t="shared" si="250"/>
        <v>0</v>
      </c>
      <c r="D301" s="80">
        <f t="shared" si="241"/>
        <v>0</v>
      </c>
      <c r="E301" s="194"/>
      <c r="F301" s="80">
        <f t="shared" si="233"/>
        <v>0</v>
      </c>
      <c r="G301" s="80">
        <f t="shared" si="242"/>
        <v>0</v>
      </c>
      <c r="H301" s="194"/>
      <c r="I301" s="80">
        <f t="shared" si="251"/>
        <v>0</v>
      </c>
      <c r="J301" s="80">
        <f t="shared" si="243"/>
        <v>0</v>
      </c>
      <c r="K301" s="194"/>
      <c r="L301" s="80">
        <f t="shared" si="252"/>
        <v>0</v>
      </c>
      <c r="M301" s="80">
        <f t="shared" si="236"/>
        <v>0</v>
      </c>
      <c r="N301" s="194"/>
      <c r="O301" s="80">
        <f t="shared" si="253"/>
        <v>0</v>
      </c>
      <c r="P301" s="80">
        <f t="shared" si="244"/>
        <v>0</v>
      </c>
      <c r="Q301" s="194"/>
      <c r="R301" s="80">
        <f t="shared" si="254"/>
        <v>0</v>
      </c>
      <c r="S301" s="80">
        <f t="shared" si="237"/>
        <v>0</v>
      </c>
      <c r="T301" s="80"/>
      <c r="U301" s="80">
        <f t="shared" si="234"/>
        <v>0</v>
      </c>
      <c r="V301" s="215">
        <f t="shared" si="235"/>
        <v>0</v>
      </c>
      <c r="W301" s="185"/>
      <c r="X301" s="80"/>
      <c r="Y301" s="80">
        <f t="shared" si="238"/>
        <v>0</v>
      </c>
      <c r="Z301" s="194"/>
      <c r="AA301" s="80">
        <f t="shared" si="257"/>
        <v>0</v>
      </c>
      <c r="AB301" s="80">
        <f t="shared" si="245"/>
        <v>0</v>
      </c>
      <c r="AC301" s="194"/>
      <c r="AD301" s="80">
        <f t="shared" si="239"/>
        <v>0</v>
      </c>
      <c r="AE301" s="80">
        <f t="shared" si="246"/>
        <v>0</v>
      </c>
      <c r="AF301" s="194"/>
      <c r="AG301" s="80">
        <f t="shared" si="255"/>
        <v>0</v>
      </c>
      <c r="AH301" s="80">
        <f t="shared" si="240"/>
        <v>0</v>
      </c>
      <c r="AI301" s="194"/>
      <c r="AJ301" s="80">
        <f t="shared" si="249"/>
        <v>0</v>
      </c>
      <c r="AK301" s="80">
        <f t="shared" si="247"/>
        <v>0</v>
      </c>
      <c r="AL301" s="194"/>
      <c r="AM301" s="80">
        <f t="shared" si="256"/>
        <v>0</v>
      </c>
      <c r="AN301" s="17">
        <f t="shared" si="248"/>
        <v>0</v>
      </c>
      <c r="AO301" s="235">
        <f t="shared" si="232"/>
        <v>0</v>
      </c>
      <c r="AP301" s="19"/>
    </row>
    <row r="302" spans="1:42">
      <c r="A302" s="15">
        <v>45226</v>
      </c>
      <c r="B302" s="194">
        <v>0</v>
      </c>
      <c r="C302" s="80">
        <f t="shared" si="250"/>
        <v>0</v>
      </c>
      <c r="D302" s="80">
        <f t="shared" si="241"/>
        <v>0</v>
      </c>
      <c r="E302" s="194"/>
      <c r="F302" s="80">
        <f t="shared" si="233"/>
        <v>0</v>
      </c>
      <c r="G302" s="80">
        <f t="shared" si="242"/>
        <v>0</v>
      </c>
      <c r="H302" s="194"/>
      <c r="I302" s="80">
        <f t="shared" si="251"/>
        <v>0</v>
      </c>
      <c r="J302" s="80">
        <f t="shared" si="243"/>
        <v>0</v>
      </c>
      <c r="K302" s="194"/>
      <c r="L302" s="80">
        <f t="shared" si="252"/>
        <v>0</v>
      </c>
      <c r="M302" s="80">
        <f t="shared" si="236"/>
        <v>0</v>
      </c>
      <c r="N302" s="194"/>
      <c r="O302" s="80">
        <f t="shared" si="253"/>
        <v>0</v>
      </c>
      <c r="P302" s="80">
        <f t="shared" si="244"/>
        <v>0</v>
      </c>
      <c r="Q302" s="194"/>
      <c r="R302" s="80">
        <f t="shared" si="254"/>
        <v>0</v>
      </c>
      <c r="S302" s="80">
        <f t="shared" si="237"/>
        <v>0</v>
      </c>
      <c r="T302" s="80"/>
      <c r="U302" s="80">
        <f t="shared" si="234"/>
        <v>0</v>
      </c>
      <c r="V302" s="215">
        <f t="shared" si="235"/>
        <v>0</v>
      </c>
      <c r="W302" s="185"/>
      <c r="X302" s="80"/>
      <c r="Y302" s="80">
        <f t="shared" si="238"/>
        <v>0</v>
      </c>
      <c r="Z302" s="194"/>
      <c r="AA302" s="80">
        <f t="shared" si="257"/>
        <v>0</v>
      </c>
      <c r="AB302" s="80">
        <f t="shared" si="245"/>
        <v>0</v>
      </c>
      <c r="AC302" s="194"/>
      <c r="AD302" s="80">
        <f t="shared" si="239"/>
        <v>0</v>
      </c>
      <c r="AE302" s="80">
        <f t="shared" si="246"/>
        <v>0</v>
      </c>
      <c r="AF302" s="194"/>
      <c r="AG302" s="80">
        <f t="shared" si="255"/>
        <v>0</v>
      </c>
      <c r="AH302" s="80">
        <f t="shared" si="240"/>
        <v>0</v>
      </c>
      <c r="AI302" s="194"/>
      <c r="AJ302" s="80">
        <f t="shared" si="249"/>
        <v>0</v>
      </c>
      <c r="AK302" s="80">
        <f t="shared" si="247"/>
        <v>0</v>
      </c>
      <c r="AL302" s="194"/>
      <c r="AM302" s="80">
        <f t="shared" si="256"/>
        <v>0</v>
      </c>
      <c r="AN302" s="17">
        <f t="shared" si="248"/>
        <v>0</v>
      </c>
      <c r="AO302" s="235">
        <f t="shared" si="232"/>
        <v>0</v>
      </c>
      <c r="AP302" s="19"/>
    </row>
    <row r="303" spans="1:42">
      <c r="A303" s="15">
        <v>45227</v>
      </c>
      <c r="B303" s="194">
        <v>0</v>
      </c>
      <c r="C303" s="80">
        <f t="shared" si="250"/>
        <v>0</v>
      </c>
      <c r="D303" s="80">
        <f t="shared" ref="D303:D325" si="258">+CONVERT(C303,"m^3","gal")</f>
        <v>0</v>
      </c>
      <c r="E303" s="194"/>
      <c r="F303" s="80">
        <f t="shared" si="233"/>
        <v>0</v>
      </c>
      <c r="G303" s="80">
        <f t="shared" ref="G303:G325" si="259">+CONVERT(F303,"m^3","gal")</f>
        <v>0</v>
      </c>
      <c r="H303" s="194"/>
      <c r="I303" s="80">
        <f t="shared" si="251"/>
        <v>0</v>
      </c>
      <c r="J303" s="80">
        <f t="shared" ref="J303:J325" si="260">+CONVERT(I303,"m^3","gal")</f>
        <v>0</v>
      </c>
      <c r="K303" s="194"/>
      <c r="L303" s="80">
        <f t="shared" si="252"/>
        <v>0</v>
      </c>
      <c r="M303" s="80">
        <f t="shared" si="236"/>
        <v>0</v>
      </c>
      <c r="N303" s="194"/>
      <c r="O303" s="80">
        <f t="shared" si="253"/>
        <v>0</v>
      </c>
      <c r="P303" s="80">
        <f t="shared" ref="P303:P325" si="261">+CONVERT(O303,"m^3","gal")</f>
        <v>0</v>
      </c>
      <c r="Q303" s="194"/>
      <c r="R303" s="80">
        <f t="shared" si="254"/>
        <v>0</v>
      </c>
      <c r="S303" s="80">
        <f t="shared" si="237"/>
        <v>0</v>
      </c>
      <c r="T303" s="80"/>
      <c r="U303" s="80">
        <f t="shared" si="234"/>
        <v>0</v>
      </c>
      <c r="V303" s="215">
        <f t="shared" si="235"/>
        <v>0</v>
      </c>
      <c r="X303" s="80"/>
      <c r="Y303" s="80">
        <f t="shared" si="238"/>
        <v>0</v>
      </c>
      <c r="Z303" s="194"/>
      <c r="AA303" s="80">
        <f t="shared" si="257"/>
        <v>0</v>
      </c>
      <c r="AB303" s="80">
        <f t="shared" ref="AB303:AB325" si="262">+CONVERT(AA303,"m^3","gal")</f>
        <v>0</v>
      </c>
      <c r="AC303" s="194"/>
      <c r="AD303" s="80">
        <f t="shared" si="239"/>
        <v>0</v>
      </c>
      <c r="AE303" s="80">
        <f t="shared" ref="AE303:AE325" si="263">+CONVERT(AD303,"m^3","gal")</f>
        <v>0</v>
      </c>
      <c r="AF303" s="194"/>
      <c r="AG303" s="80">
        <f t="shared" si="255"/>
        <v>0</v>
      </c>
      <c r="AH303" s="80">
        <f t="shared" si="240"/>
        <v>0</v>
      </c>
      <c r="AI303" s="194"/>
      <c r="AJ303" s="80">
        <f t="shared" si="249"/>
        <v>0</v>
      </c>
      <c r="AK303" s="80">
        <f t="shared" ref="AK303:AK325" si="264">+CONVERT(AJ303,"m^3","gal")</f>
        <v>0</v>
      </c>
      <c r="AL303" s="194"/>
      <c r="AM303" s="80">
        <f t="shared" si="256"/>
        <v>0</v>
      </c>
      <c r="AN303" s="17">
        <f t="shared" ref="AN303:AN325" si="265">+CONVERT(AM303,"m^3","gal")</f>
        <v>0</v>
      </c>
      <c r="AO303" s="235">
        <f t="shared" si="232"/>
        <v>0</v>
      </c>
      <c r="AP303" s="19"/>
    </row>
    <row r="304" spans="1:42">
      <c r="A304" s="15">
        <v>45228</v>
      </c>
      <c r="B304" s="194">
        <v>0</v>
      </c>
      <c r="C304" s="80">
        <f t="shared" si="250"/>
        <v>0</v>
      </c>
      <c r="D304" s="80">
        <f t="shared" si="258"/>
        <v>0</v>
      </c>
      <c r="E304" s="194"/>
      <c r="F304" s="80">
        <f t="shared" si="233"/>
        <v>0</v>
      </c>
      <c r="G304" s="80">
        <f t="shared" si="259"/>
        <v>0</v>
      </c>
      <c r="H304" s="194"/>
      <c r="I304" s="80">
        <f t="shared" si="251"/>
        <v>0</v>
      </c>
      <c r="J304" s="80">
        <f t="shared" si="260"/>
        <v>0</v>
      </c>
      <c r="K304" s="194"/>
      <c r="L304" s="80">
        <f t="shared" si="252"/>
        <v>0</v>
      </c>
      <c r="M304" s="80">
        <f t="shared" si="236"/>
        <v>0</v>
      </c>
      <c r="N304" s="194"/>
      <c r="O304" s="80">
        <f t="shared" si="253"/>
        <v>0</v>
      </c>
      <c r="P304" s="80">
        <f t="shared" si="261"/>
        <v>0</v>
      </c>
      <c r="Q304" s="194"/>
      <c r="R304" s="80">
        <f t="shared" si="254"/>
        <v>0</v>
      </c>
      <c r="S304" s="80">
        <f t="shared" si="237"/>
        <v>0</v>
      </c>
      <c r="T304" s="80"/>
      <c r="U304" s="80">
        <f t="shared" si="234"/>
        <v>0</v>
      </c>
      <c r="V304" s="215">
        <f t="shared" si="235"/>
        <v>0</v>
      </c>
      <c r="W304" s="224"/>
      <c r="X304" s="80"/>
      <c r="Y304" s="80">
        <f t="shared" si="238"/>
        <v>0</v>
      </c>
      <c r="Z304" s="194"/>
      <c r="AA304" s="80">
        <f t="shared" si="257"/>
        <v>0</v>
      </c>
      <c r="AB304" s="80">
        <f t="shared" si="262"/>
        <v>0</v>
      </c>
      <c r="AC304" s="194"/>
      <c r="AD304" s="80">
        <f t="shared" si="239"/>
        <v>0</v>
      </c>
      <c r="AE304" s="80">
        <f t="shared" si="263"/>
        <v>0</v>
      </c>
      <c r="AF304" s="194"/>
      <c r="AG304" s="80">
        <f t="shared" si="255"/>
        <v>0</v>
      </c>
      <c r="AH304" s="80">
        <f t="shared" si="240"/>
        <v>0</v>
      </c>
      <c r="AI304" s="194"/>
      <c r="AJ304" s="80">
        <f t="shared" si="249"/>
        <v>0</v>
      </c>
      <c r="AK304" s="80">
        <f t="shared" si="264"/>
        <v>0</v>
      </c>
      <c r="AL304" s="194"/>
      <c r="AM304" s="80">
        <f t="shared" si="256"/>
        <v>0</v>
      </c>
      <c r="AN304" s="17">
        <f t="shared" si="265"/>
        <v>0</v>
      </c>
      <c r="AO304" s="235">
        <f t="shared" si="232"/>
        <v>0</v>
      </c>
      <c r="AP304" s="19"/>
    </row>
    <row r="305" spans="1:43">
      <c r="A305" s="15">
        <v>45229</v>
      </c>
      <c r="B305" s="194">
        <v>0</v>
      </c>
      <c r="C305" s="80">
        <f t="shared" si="250"/>
        <v>0</v>
      </c>
      <c r="D305" s="80">
        <f t="shared" si="258"/>
        <v>0</v>
      </c>
      <c r="E305" s="194"/>
      <c r="F305" s="80">
        <f t="shared" si="233"/>
        <v>0</v>
      </c>
      <c r="G305" s="80">
        <f t="shared" si="259"/>
        <v>0</v>
      </c>
      <c r="H305" s="194"/>
      <c r="I305" s="80">
        <f t="shared" si="251"/>
        <v>0</v>
      </c>
      <c r="J305" s="80">
        <f t="shared" si="260"/>
        <v>0</v>
      </c>
      <c r="K305" s="194"/>
      <c r="L305" s="80">
        <f t="shared" si="252"/>
        <v>0</v>
      </c>
      <c r="M305" s="80">
        <f t="shared" si="236"/>
        <v>0</v>
      </c>
      <c r="N305" s="194"/>
      <c r="O305" s="80">
        <f t="shared" si="253"/>
        <v>0</v>
      </c>
      <c r="P305" s="80">
        <f t="shared" si="261"/>
        <v>0</v>
      </c>
      <c r="Q305" s="194"/>
      <c r="R305" s="80">
        <f t="shared" si="254"/>
        <v>0</v>
      </c>
      <c r="S305" s="80">
        <f t="shared" si="237"/>
        <v>0</v>
      </c>
      <c r="T305" s="80"/>
      <c r="U305" s="80">
        <f t="shared" si="234"/>
        <v>0</v>
      </c>
      <c r="V305" s="215">
        <f t="shared" si="235"/>
        <v>0</v>
      </c>
      <c r="W305" s="224"/>
      <c r="X305" s="80"/>
      <c r="Y305" s="80">
        <f t="shared" si="238"/>
        <v>0</v>
      </c>
      <c r="Z305" s="194"/>
      <c r="AA305" s="80">
        <f t="shared" si="257"/>
        <v>0</v>
      </c>
      <c r="AB305" s="80">
        <f t="shared" si="262"/>
        <v>0</v>
      </c>
      <c r="AC305" s="194"/>
      <c r="AD305" s="80">
        <f t="shared" si="239"/>
        <v>0</v>
      </c>
      <c r="AE305" s="80">
        <f t="shared" si="263"/>
        <v>0</v>
      </c>
      <c r="AF305" s="194"/>
      <c r="AG305" s="80">
        <f t="shared" si="255"/>
        <v>0</v>
      </c>
      <c r="AH305" s="80">
        <f t="shared" si="240"/>
        <v>0</v>
      </c>
      <c r="AI305" s="194"/>
      <c r="AJ305" s="80">
        <f t="shared" si="249"/>
        <v>0</v>
      </c>
      <c r="AK305" s="80">
        <f t="shared" si="264"/>
        <v>0</v>
      </c>
      <c r="AL305" s="194"/>
      <c r="AM305" s="80">
        <f t="shared" si="256"/>
        <v>0</v>
      </c>
      <c r="AN305" s="17">
        <f t="shared" si="265"/>
        <v>0</v>
      </c>
      <c r="AO305" s="235">
        <f t="shared" si="232"/>
        <v>0</v>
      </c>
      <c r="AP305" s="19"/>
    </row>
    <row r="306" spans="1:43">
      <c r="A306" s="15">
        <v>45230</v>
      </c>
      <c r="B306" s="194">
        <v>0</v>
      </c>
      <c r="C306" s="80">
        <f t="shared" si="250"/>
        <v>0</v>
      </c>
      <c r="D306" s="80">
        <f t="shared" si="258"/>
        <v>0</v>
      </c>
      <c r="E306" s="194"/>
      <c r="F306" s="80">
        <f t="shared" si="233"/>
        <v>0</v>
      </c>
      <c r="G306" s="80">
        <f t="shared" si="259"/>
        <v>0</v>
      </c>
      <c r="H306" s="194"/>
      <c r="I306" s="80">
        <f t="shared" si="251"/>
        <v>0</v>
      </c>
      <c r="J306" s="80">
        <f t="shared" si="260"/>
        <v>0</v>
      </c>
      <c r="K306" s="194"/>
      <c r="L306" s="80">
        <f t="shared" si="252"/>
        <v>0</v>
      </c>
      <c r="M306" s="80">
        <f t="shared" si="236"/>
        <v>0</v>
      </c>
      <c r="N306" s="194"/>
      <c r="O306" s="80">
        <f t="shared" si="253"/>
        <v>0</v>
      </c>
      <c r="P306" s="80">
        <f t="shared" si="261"/>
        <v>0</v>
      </c>
      <c r="Q306" s="194"/>
      <c r="R306" s="80">
        <f t="shared" si="254"/>
        <v>0</v>
      </c>
      <c r="S306" s="80">
        <f t="shared" si="237"/>
        <v>0</v>
      </c>
      <c r="T306" s="80"/>
      <c r="U306" s="80">
        <f t="shared" si="234"/>
        <v>0</v>
      </c>
      <c r="V306" s="215">
        <f t="shared" si="235"/>
        <v>0</v>
      </c>
      <c r="W306" s="224"/>
      <c r="X306" s="80"/>
      <c r="Y306" s="80">
        <f t="shared" si="238"/>
        <v>0</v>
      </c>
      <c r="Z306" s="194"/>
      <c r="AA306" s="80">
        <f t="shared" si="257"/>
        <v>0</v>
      </c>
      <c r="AB306" s="80">
        <f t="shared" si="262"/>
        <v>0</v>
      </c>
      <c r="AC306" s="194"/>
      <c r="AD306" s="80">
        <f t="shared" si="239"/>
        <v>0</v>
      </c>
      <c r="AE306" s="80">
        <f t="shared" si="263"/>
        <v>0</v>
      </c>
      <c r="AF306" s="194"/>
      <c r="AG306" s="80">
        <f t="shared" si="255"/>
        <v>0</v>
      </c>
      <c r="AH306" s="80">
        <f t="shared" si="240"/>
        <v>0</v>
      </c>
      <c r="AI306" s="194"/>
      <c r="AJ306" s="80">
        <f t="shared" si="249"/>
        <v>0</v>
      </c>
      <c r="AK306" s="80">
        <f t="shared" si="264"/>
        <v>0</v>
      </c>
      <c r="AL306" s="194"/>
      <c r="AM306" s="80">
        <f t="shared" si="256"/>
        <v>0</v>
      </c>
      <c r="AN306" s="17">
        <f t="shared" si="265"/>
        <v>0</v>
      </c>
      <c r="AO306" s="235">
        <f t="shared" si="232"/>
        <v>0</v>
      </c>
      <c r="AP306" s="19"/>
    </row>
    <row r="307" spans="1:43">
      <c r="A307" s="15">
        <v>45231</v>
      </c>
      <c r="B307" s="194">
        <v>0</v>
      </c>
      <c r="C307" s="80">
        <f t="shared" si="250"/>
        <v>0</v>
      </c>
      <c r="D307" s="80">
        <f t="shared" si="258"/>
        <v>0</v>
      </c>
      <c r="E307" s="194"/>
      <c r="F307" s="80">
        <f t="shared" si="233"/>
        <v>0</v>
      </c>
      <c r="G307" s="80">
        <f t="shared" si="259"/>
        <v>0</v>
      </c>
      <c r="H307" s="194"/>
      <c r="I307" s="80">
        <f t="shared" si="251"/>
        <v>0</v>
      </c>
      <c r="J307" s="80">
        <f t="shared" si="260"/>
        <v>0</v>
      </c>
      <c r="K307" s="194"/>
      <c r="L307" s="80">
        <f t="shared" si="252"/>
        <v>0</v>
      </c>
      <c r="M307" s="80">
        <f t="shared" si="236"/>
        <v>0</v>
      </c>
      <c r="N307" s="194"/>
      <c r="O307" s="80">
        <f t="shared" si="253"/>
        <v>0</v>
      </c>
      <c r="P307" s="80">
        <f t="shared" si="261"/>
        <v>0</v>
      </c>
      <c r="Q307" s="194"/>
      <c r="R307" s="80">
        <f t="shared" si="254"/>
        <v>0</v>
      </c>
      <c r="S307" s="80">
        <f t="shared" si="237"/>
        <v>0</v>
      </c>
      <c r="T307" s="80"/>
      <c r="U307" s="80">
        <f t="shared" si="234"/>
        <v>0</v>
      </c>
      <c r="V307" s="215">
        <f t="shared" si="235"/>
        <v>0</v>
      </c>
      <c r="W307" s="224"/>
      <c r="X307" s="80"/>
      <c r="Y307" s="80">
        <f t="shared" si="238"/>
        <v>0</v>
      </c>
      <c r="Z307" s="194"/>
      <c r="AA307" s="80">
        <f t="shared" si="257"/>
        <v>0</v>
      </c>
      <c r="AB307" s="80">
        <f t="shared" si="262"/>
        <v>0</v>
      </c>
      <c r="AC307" s="194"/>
      <c r="AD307" s="80">
        <f t="shared" si="239"/>
        <v>0</v>
      </c>
      <c r="AE307" s="80">
        <f t="shared" si="263"/>
        <v>0</v>
      </c>
      <c r="AF307" s="194"/>
      <c r="AG307" s="80">
        <f t="shared" si="255"/>
        <v>0</v>
      </c>
      <c r="AH307" s="80">
        <f t="shared" si="240"/>
        <v>0</v>
      </c>
      <c r="AI307" s="194"/>
      <c r="AJ307" s="80">
        <f t="shared" si="249"/>
        <v>0</v>
      </c>
      <c r="AK307" s="80">
        <f t="shared" si="264"/>
        <v>0</v>
      </c>
      <c r="AL307" s="194"/>
      <c r="AM307" s="80">
        <f t="shared" si="256"/>
        <v>0</v>
      </c>
      <c r="AN307" s="17">
        <f t="shared" si="265"/>
        <v>0</v>
      </c>
      <c r="AO307" s="235">
        <f t="shared" si="232"/>
        <v>0</v>
      </c>
      <c r="AP307" s="19"/>
    </row>
    <row r="308" spans="1:43">
      <c r="A308" s="15">
        <v>45232</v>
      </c>
      <c r="B308" s="194">
        <v>0</v>
      </c>
      <c r="C308" s="80">
        <f t="shared" si="250"/>
        <v>0</v>
      </c>
      <c r="D308" s="80">
        <f t="shared" si="258"/>
        <v>0</v>
      </c>
      <c r="E308" s="194"/>
      <c r="F308" s="80">
        <f t="shared" si="233"/>
        <v>0</v>
      </c>
      <c r="G308" s="80">
        <f t="shared" si="259"/>
        <v>0</v>
      </c>
      <c r="H308" s="194"/>
      <c r="I308" s="80">
        <f t="shared" si="251"/>
        <v>0</v>
      </c>
      <c r="J308" s="80">
        <f t="shared" si="260"/>
        <v>0</v>
      </c>
      <c r="K308" s="194"/>
      <c r="L308" s="80">
        <f t="shared" si="252"/>
        <v>0</v>
      </c>
      <c r="M308" s="80">
        <f t="shared" si="236"/>
        <v>0</v>
      </c>
      <c r="N308" s="194"/>
      <c r="O308" s="80">
        <f t="shared" si="253"/>
        <v>0</v>
      </c>
      <c r="P308" s="80">
        <f t="shared" si="261"/>
        <v>0</v>
      </c>
      <c r="Q308" s="194"/>
      <c r="R308" s="80">
        <f t="shared" si="254"/>
        <v>0</v>
      </c>
      <c r="S308" s="80">
        <f t="shared" si="237"/>
        <v>0</v>
      </c>
      <c r="T308" s="80"/>
      <c r="U308" s="80">
        <f t="shared" si="234"/>
        <v>0</v>
      </c>
      <c r="V308" s="215">
        <f t="shared" si="235"/>
        <v>0</v>
      </c>
      <c r="W308" s="224"/>
      <c r="X308" s="80"/>
      <c r="Y308" s="80">
        <f t="shared" si="238"/>
        <v>0</v>
      </c>
      <c r="Z308" s="194"/>
      <c r="AA308" s="80">
        <f t="shared" si="257"/>
        <v>0</v>
      </c>
      <c r="AB308" s="80">
        <f t="shared" si="262"/>
        <v>0</v>
      </c>
      <c r="AC308" s="194"/>
      <c r="AD308" s="80">
        <f t="shared" si="239"/>
        <v>0</v>
      </c>
      <c r="AE308" s="80">
        <f t="shared" si="263"/>
        <v>0</v>
      </c>
      <c r="AF308" s="194"/>
      <c r="AG308" s="80">
        <f t="shared" si="255"/>
        <v>0</v>
      </c>
      <c r="AH308" s="80">
        <f t="shared" si="240"/>
        <v>0</v>
      </c>
      <c r="AI308" s="194"/>
      <c r="AJ308" s="80">
        <f t="shared" si="249"/>
        <v>0</v>
      </c>
      <c r="AK308" s="80">
        <f t="shared" si="264"/>
        <v>0</v>
      </c>
      <c r="AL308" s="194"/>
      <c r="AM308" s="80">
        <f t="shared" si="256"/>
        <v>0</v>
      </c>
      <c r="AN308" s="17">
        <f t="shared" si="265"/>
        <v>0</v>
      </c>
      <c r="AO308" s="235">
        <f t="shared" si="232"/>
        <v>0</v>
      </c>
      <c r="AP308" s="19"/>
    </row>
    <row r="309" spans="1:43">
      <c r="A309" s="15">
        <v>45233</v>
      </c>
      <c r="B309" s="194">
        <v>0</v>
      </c>
      <c r="C309" s="80">
        <f t="shared" si="250"/>
        <v>0</v>
      </c>
      <c r="D309" s="80">
        <f t="shared" si="258"/>
        <v>0</v>
      </c>
      <c r="E309" s="194"/>
      <c r="F309" s="80">
        <f t="shared" si="233"/>
        <v>0</v>
      </c>
      <c r="G309" s="80">
        <f t="shared" si="259"/>
        <v>0</v>
      </c>
      <c r="H309" s="194"/>
      <c r="I309" s="80">
        <f t="shared" si="251"/>
        <v>0</v>
      </c>
      <c r="J309" s="80">
        <f t="shared" si="260"/>
        <v>0</v>
      </c>
      <c r="K309" s="194"/>
      <c r="L309" s="80">
        <f t="shared" si="252"/>
        <v>0</v>
      </c>
      <c r="M309" s="80">
        <f t="shared" si="236"/>
        <v>0</v>
      </c>
      <c r="N309" s="194"/>
      <c r="O309" s="80">
        <f t="shared" si="253"/>
        <v>0</v>
      </c>
      <c r="P309" s="80">
        <f t="shared" si="261"/>
        <v>0</v>
      </c>
      <c r="Q309" s="194"/>
      <c r="R309" s="80">
        <f t="shared" si="254"/>
        <v>0</v>
      </c>
      <c r="S309" s="80">
        <f t="shared" si="237"/>
        <v>0</v>
      </c>
      <c r="T309" s="80"/>
      <c r="U309" s="80">
        <f t="shared" si="234"/>
        <v>0</v>
      </c>
      <c r="V309" s="215">
        <f t="shared" si="235"/>
        <v>0</v>
      </c>
      <c r="W309" s="224"/>
      <c r="X309" s="80"/>
      <c r="Y309" s="80">
        <f t="shared" si="238"/>
        <v>0</v>
      </c>
      <c r="Z309" s="194"/>
      <c r="AA309" s="80">
        <f t="shared" si="257"/>
        <v>0</v>
      </c>
      <c r="AB309" s="80">
        <f t="shared" si="262"/>
        <v>0</v>
      </c>
      <c r="AC309" s="194"/>
      <c r="AD309" s="80">
        <f t="shared" si="239"/>
        <v>0</v>
      </c>
      <c r="AE309" s="80">
        <f t="shared" si="263"/>
        <v>0</v>
      </c>
      <c r="AF309" s="194"/>
      <c r="AG309" s="80">
        <f t="shared" si="255"/>
        <v>0</v>
      </c>
      <c r="AH309" s="80">
        <f t="shared" si="240"/>
        <v>0</v>
      </c>
      <c r="AI309" s="194"/>
      <c r="AJ309" s="80">
        <f t="shared" si="249"/>
        <v>0</v>
      </c>
      <c r="AK309" s="80">
        <f t="shared" si="264"/>
        <v>0</v>
      </c>
      <c r="AL309" s="194"/>
      <c r="AM309" s="80">
        <f t="shared" si="256"/>
        <v>0</v>
      </c>
      <c r="AN309" s="17">
        <f t="shared" si="265"/>
        <v>0</v>
      </c>
      <c r="AO309" s="235">
        <f t="shared" si="232"/>
        <v>0</v>
      </c>
      <c r="AP309" s="19"/>
    </row>
    <row r="310" spans="1:43">
      <c r="A310" s="15">
        <v>45234</v>
      </c>
      <c r="B310" s="194">
        <v>0</v>
      </c>
      <c r="C310" s="80">
        <f t="shared" si="250"/>
        <v>0</v>
      </c>
      <c r="D310" s="80">
        <f t="shared" si="258"/>
        <v>0</v>
      </c>
      <c r="E310" s="194"/>
      <c r="F310" s="80">
        <f t="shared" si="233"/>
        <v>0</v>
      </c>
      <c r="G310" s="80">
        <f t="shared" si="259"/>
        <v>0</v>
      </c>
      <c r="H310" s="194"/>
      <c r="I310" s="80">
        <f t="shared" si="251"/>
        <v>0</v>
      </c>
      <c r="J310" s="80">
        <f t="shared" si="260"/>
        <v>0</v>
      </c>
      <c r="K310" s="194"/>
      <c r="L310" s="80">
        <f t="shared" si="252"/>
        <v>0</v>
      </c>
      <c r="M310" s="80">
        <f t="shared" si="236"/>
        <v>0</v>
      </c>
      <c r="N310" s="194"/>
      <c r="O310" s="80">
        <f t="shared" si="253"/>
        <v>0</v>
      </c>
      <c r="P310" s="80">
        <f t="shared" si="261"/>
        <v>0</v>
      </c>
      <c r="Q310" s="194"/>
      <c r="R310" s="80">
        <f t="shared" si="254"/>
        <v>0</v>
      </c>
      <c r="S310" s="80">
        <f t="shared" si="237"/>
        <v>0</v>
      </c>
      <c r="T310" s="80"/>
      <c r="U310" s="80">
        <f t="shared" si="234"/>
        <v>0</v>
      </c>
      <c r="V310" s="215">
        <f t="shared" si="235"/>
        <v>0</v>
      </c>
      <c r="W310" s="224"/>
      <c r="X310" s="80"/>
      <c r="Y310" s="80">
        <f t="shared" si="238"/>
        <v>0</v>
      </c>
      <c r="Z310" s="194"/>
      <c r="AA310" s="80">
        <f t="shared" si="257"/>
        <v>0</v>
      </c>
      <c r="AB310" s="80">
        <f t="shared" si="262"/>
        <v>0</v>
      </c>
      <c r="AC310" s="194"/>
      <c r="AD310" s="80">
        <f t="shared" si="239"/>
        <v>0</v>
      </c>
      <c r="AE310" s="80">
        <f t="shared" si="263"/>
        <v>0</v>
      </c>
      <c r="AF310" s="194"/>
      <c r="AG310" s="80">
        <f t="shared" si="255"/>
        <v>0</v>
      </c>
      <c r="AH310" s="80">
        <f t="shared" si="240"/>
        <v>0</v>
      </c>
      <c r="AI310" s="194"/>
      <c r="AJ310" s="80">
        <f t="shared" si="249"/>
        <v>0</v>
      </c>
      <c r="AK310" s="80">
        <f t="shared" si="264"/>
        <v>0</v>
      </c>
      <c r="AL310" s="194"/>
      <c r="AM310" s="80">
        <f t="shared" si="256"/>
        <v>0</v>
      </c>
      <c r="AN310" s="17">
        <f t="shared" si="265"/>
        <v>0</v>
      </c>
      <c r="AO310" s="235">
        <f t="shared" si="232"/>
        <v>0</v>
      </c>
      <c r="AP310" s="19"/>
    </row>
    <row r="311" spans="1:43">
      <c r="A311" s="15">
        <v>45235</v>
      </c>
      <c r="B311" s="194">
        <v>0</v>
      </c>
      <c r="C311" s="80">
        <f t="shared" si="250"/>
        <v>0</v>
      </c>
      <c r="D311" s="80">
        <f t="shared" si="258"/>
        <v>0</v>
      </c>
      <c r="E311" s="194"/>
      <c r="F311" s="80">
        <f t="shared" si="233"/>
        <v>0</v>
      </c>
      <c r="G311" s="80">
        <f t="shared" si="259"/>
        <v>0</v>
      </c>
      <c r="H311" s="194"/>
      <c r="I311" s="80">
        <f t="shared" si="251"/>
        <v>0</v>
      </c>
      <c r="J311" s="80">
        <f t="shared" si="260"/>
        <v>0</v>
      </c>
      <c r="K311" s="194"/>
      <c r="L311" s="80">
        <f t="shared" si="252"/>
        <v>0</v>
      </c>
      <c r="M311" s="80">
        <f t="shared" si="236"/>
        <v>0</v>
      </c>
      <c r="N311" s="194"/>
      <c r="O311" s="80">
        <f t="shared" si="253"/>
        <v>0</v>
      </c>
      <c r="P311" s="80">
        <f t="shared" si="261"/>
        <v>0</v>
      </c>
      <c r="Q311" s="194"/>
      <c r="R311" s="80">
        <f t="shared" si="254"/>
        <v>0</v>
      </c>
      <c r="S311" s="80">
        <f t="shared" si="237"/>
        <v>0</v>
      </c>
      <c r="T311" s="80"/>
      <c r="U311" s="80">
        <f t="shared" si="234"/>
        <v>0</v>
      </c>
      <c r="V311" s="215">
        <f t="shared" si="235"/>
        <v>0</v>
      </c>
      <c r="W311" s="224"/>
      <c r="X311" s="80"/>
      <c r="Y311" s="80">
        <f t="shared" si="238"/>
        <v>0</v>
      </c>
      <c r="Z311" s="194"/>
      <c r="AA311" s="80">
        <f t="shared" si="257"/>
        <v>0</v>
      </c>
      <c r="AB311" s="80">
        <f t="shared" si="262"/>
        <v>0</v>
      </c>
      <c r="AC311" s="194"/>
      <c r="AD311" s="80">
        <f t="shared" si="239"/>
        <v>0</v>
      </c>
      <c r="AE311" s="80">
        <f t="shared" si="263"/>
        <v>0</v>
      </c>
      <c r="AF311" s="194"/>
      <c r="AG311" s="80">
        <f t="shared" si="255"/>
        <v>0</v>
      </c>
      <c r="AH311" s="80">
        <f t="shared" si="240"/>
        <v>0</v>
      </c>
      <c r="AI311" s="194"/>
      <c r="AJ311" s="80">
        <f t="shared" si="249"/>
        <v>0</v>
      </c>
      <c r="AK311" s="80">
        <f t="shared" si="264"/>
        <v>0</v>
      </c>
      <c r="AL311" s="194"/>
      <c r="AM311" s="80">
        <f t="shared" si="256"/>
        <v>0</v>
      </c>
      <c r="AN311" s="17">
        <f t="shared" si="265"/>
        <v>0</v>
      </c>
      <c r="AO311" s="235">
        <f t="shared" si="232"/>
        <v>0</v>
      </c>
      <c r="AP311" s="19"/>
    </row>
    <row r="312" spans="1:43">
      <c r="A312" s="15">
        <v>45236</v>
      </c>
      <c r="B312" s="194">
        <v>0</v>
      </c>
      <c r="C312" s="80">
        <f t="shared" si="250"/>
        <v>0</v>
      </c>
      <c r="D312" s="80">
        <f t="shared" si="258"/>
        <v>0</v>
      </c>
      <c r="E312" s="194"/>
      <c r="F312" s="80">
        <f t="shared" si="233"/>
        <v>0</v>
      </c>
      <c r="G312" s="80">
        <f t="shared" si="259"/>
        <v>0</v>
      </c>
      <c r="H312" s="194"/>
      <c r="I312" s="80">
        <f t="shared" si="251"/>
        <v>0</v>
      </c>
      <c r="J312" s="80">
        <f t="shared" si="260"/>
        <v>0</v>
      </c>
      <c r="K312" s="194"/>
      <c r="L312" s="80">
        <f t="shared" si="252"/>
        <v>0</v>
      </c>
      <c r="M312" s="80">
        <f t="shared" si="236"/>
        <v>0</v>
      </c>
      <c r="N312" s="194"/>
      <c r="O312" s="80">
        <f t="shared" si="253"/>
        <v>0</v>
      </c>
      <c r="P312" s="80">
        <f t="shared" si="261"/>
        <v>0</v>
      </c>
      <c r="Q312" s="194"/>
      <c r="R312" s="80">
        <f t="shared" si="254"/>
        <v>0</v>
      </c>
      <c r="S312" s="80">
        <f t="shared" si="237"/>
        <v>0</v>
      </c>
      <c r="T312" s="80"/>
      <c r="U312" s="80">
        <f t="shared" si="234"/>
        <v>0</v>
      </c>
      <c r="V312" s="215">
        <f t="shared" si="235"/>
        <v>0</v>
      </c>
      <c r="W312" s="224"/>
      <c r="X312" s="80"/>
      <c r="Y312" s="80">
        <f t="shared" si="238"/>
        <v>0</v>
      </c>
      <c r="Z312" s="194"/>
      <c r="AA312" s="80">
        <f t="shared" si="257"/>
        <v>0</v>
      </c>
      <c r="AB312" s="80">
        <f t="shared" si="262"/>
        <v>0</v>
      </c>
      <c r="AC312" s="194"/>
      <c r="AD312" s="80">
        <f t="shared" si="239"/>
        <v>0</v>
      </c>
      <c r="AE312" s="80">
        <f t="shared" si="263"/>
        <v>0</v>
      </c>
      <c r="AF312" s="194"/>
      <c r="AG312" s="80">
        <f t="shared" si="255"/>
        <v>0</v>
      </c>
      <c r="AH312" s="80">
        <f t="shared" si="240"/>
        <v>0</v>
      </c>
      <c r="AI312" s="194"/>
      <c r="AJ312" s="80">
        <f t="shared" si="249"/>
        <v>0</v>
      </c>
      <c r="AK312" s="80">
        <f t="shared" si="264"/>
        <v>0</v>
      </c>
      <c r="AL312" s="194"/>
      <c r="AM312" s="80">
        <f t="shared" si="256"/>
        <v>0</v>
      </c>
      <c r="AN312" s="17">
        <f t="shared" si="265"/>
        <v>0</v>
      </c>
      <c r="AO312" s="235">
        <f t="shared" si="232"/>
        <v>0</v>
      </c>
      <c r="AP312" s="19"/>
    </row>
    <row r="313" spans="1:43">
      <c r="A313" s="15">
        <v>45237</v>
      </c>
      <c r="B313" s="194">
        <v>0</v>
      </c>
      <c r="C313" s="80">
        <f t="shared" si="250"/>
        <v>0</v>
      </c>
      <c r="D313" s="80">
        <f t="shared" si="258"/>
        <v>0</v>
      </c>
      <c r="E313" s="194"/>
      <c r="F313" s="80">
        <f t="shared" si="233"/>
        <v>0</v>
      </c>
      <c r="G313" s="80">
        <f t="shared" si="259"/>
        <v>0</v>
      </c>
      <c r="H313" s="194"/>
      <c r="I313" s="80">
        <f t="shared" si="251"/>
        <v>0</v>
      </c>
      <c r="J313" s="80">
        <f t="shared" si="260"/>
        <v>0</v>
      </c>
      <c r="K313" s="194"/>
      <c r="L313" s="80">
        <f t="shared" si="252"/>
        <v>0</v>
      </c>
      <c r="M313" s="80">
        <f t="shared" si="236"/>
        <v>0</v>
      </c>
      <c r="N313" s="194"/>
      <c r="O313" s="80">
        <f t="shared" si="253"/>
        <v>0</v>
      </c>
      <c r="P313" s="80">
        <f t="shared" si="261"/>
        <v>0</v>
      </c>
      <c r="Q313" s="194"/>
      <c r="R313" s="80">
        <f t="shared" si="254"/>
        <v>0</v>
      </c>
      <c r="S313" s="80">
        <f t="shared" si="237"/>
        <v>0</v>
      </c>
      <c r="T313" s="80"/>
      <c r="U313" s="80">
        <f t="shared" si="234"/>
        <v>0</v>
      </c>
      <c r="V313" s="215">
        <f t="shared" si="235"/>
        <v>0</v>
      </c>
      <c r="W313" s="224"/>
      <c r="X313" s="80"/>
      <c r="Y313" s="80">
        <f t="shared" si="238"/>
        <v>0</v>
      </c>
      <c r="Z313" s="194"/>
      <c r="AA313" s="80">
        <f t="shared" si="257"/>
        <v>0</v>
      </c>
      <c r="AB313" s="80">
        <f t="shared" si="262"/>
        <v>0</v>
      </c>
      <c r="AC313" s="194"/>
      <c r="AD313" s="80">
        <f t="shared" si="239"/>
        <v>0</v>
      </c>
      <c r="AE313" s="80">
        <f t="shared" si="263"/>
        <v>0</v>
      </c>
      <c r="AF313" s="194"/>
      <c r="AG313" s="80">
        <f t="shared" si="255"/>
        <v>0</v>
      </c>
      <c r="AH313" s="80">
        <f t="shared" si="240"/>
        <v>0</v>
      </c>
      <c r="AI313" s="194"/>
      <c r="AJ313" s="80">
        <f t="shared" si="249"/>
        <v>0</v>
      </c>
      <c r="AK313" s="80">
        <f t="shared" si="264"/>
        <v>0</v>
      </c>
      <c r="AL313" s="194"/>
      <c r="AM313" s="80">
        <f t="shared" si="256"/>
        <v>0</v>
      </c>
      <c r="AN313" s="17">
        <f t="shared" si="265"/>
        <v>0</v>
      </c>
      <c r="AO313" s="235">
        <f t="shared" si="232"/>
        <v>0</v>
      </c>
      <c r="AP313" s="19"/>
    </row>
    <row r="314" spans="1:43">
      <c r="A314" s="15">
        <v>45238</v>
      </c>
      <c r="B314" s="194">
        <v>0</v>
      </c>
      <c r="C314" s="80">
        <f t="shared" si="250"/>
        <v>0</v>
      </c>
      <c r="D314" s="80">
        <f t="shared" si="258"/>
        <v>0</v>
      </c>
      <c r="E314" s="194"/>
      <c r="F314" s="80">
        <f t="shared" si="233"/>
        <v>0</v>
      </c>
      <c r="G314" s="80">
        <f t="shared" si="259"/>
        <v>0</v>
      </c>
      <c r="H314" s="194"/>
      <c r="I314" s="80">
        <f t="shared" si="251"/>
        <v>0</v>
      </c>
      <c r="J314" s="80">
        <f t="shared" si="260"/>
        <v>0</v>
      </c>
      <c r="K314" s="194"/>
      <c r="L314" s="80">
        <f t="shared" si="252"/>
        <v>0</v>
      </c>
      <c r="M314" s="80">
        <f t="shared" si="236"/>
        <v>0</v>
      </c>
      <c r="N314" s="194"/>
      <c r="O314" s="80">
        <f t="shared" si="253"/>
        <v>0</v>
      </c>
      <c r="P314" s="80">
        <f t="shared" si="261"/>
        <v>0</v>
      </c>
      <c r="Q314" s="194"/>
      <c r="R314" s="80">
        <f t="shared" si="254"/>
        <v>0</v>
      </c>
      <c r="S314" s="80">
        <f t="shared" si="237"/>
        <v>0</v>
      </c>
      <c r="T314" s="80"/>
      <c r="U314" s="80">
        <f t="shared" si="234"/>
        <v>0</v>
      </c>
      <c r="V314" s="215">
        <f t="shared" si="235"/>
        <v>0</v>
      </c>
      <c r="W314" s="224"/>
      <c r="X314" s="80"/>
      <c r="Y314" s="80">
        <f t="shared" si="238"/>
        <v>0</v>
      </c>
      <c r="Z314" s="194"/>
      <c r="AA314" s="80">
        <f t="shared" si="257"/>
        <v>0</v>
      </c>
      <c r="AB314" s="80">
        <f>+CONVERT(AA314,"m^3","gal")</f>
        <v>0</v>
      </c>
      <c r="AC314" s="194"/>
      <c r="AD314" s="80">
        <f t="shared" si="239"/>
        <v>0</v>
      </c>
      <c r="AE314" s="80">
        <f t="shared" si="263"/>
        <v>0</v>
      </c>
      <c r="AF314" s="194"/>
      <c r="AG314" s="80">
        <f t="shared" si="255"/>
        <v>0</v>
      </c>
      <c r="AH314" s="80">
        <f t="shared" si="240"/>
        <v>0</v>
      </c>
      <c r="AI314" s="194"/>
      <c r="AJ314" s="80">
        <f t="shared" si="249"/>
        <v>0</v>
      </c>
      <c r="AK314" s="80">
        <f t="shared" si="264"/>
        <v>0</v>
      </c>
      <c r="AL314" s="194"/>
      <c r="AM314" s="80">
        <f t="shared" si="256"/>
        <v>0</v>
      </c>
      <c r="AN314" s="17">
        <f t="shared" si="265"/>
        <v>0</v>
      </c>
      <c r="AO314" s="235">
        <f t="shared" si="232"/>
        <v>0</v>
      </c>
      <c r="AP314" s="19"/>
    </row>
    <row r="315" spans="1:43">
      <c r="A315" s="15">
        <v>45239</v>
      </c>
      <c r="B315" s="194">
        <v>0</v>
      </c>
      <c r="C315" s="80">
        <f t="shared" si="250"/>
        <v>0</v>
      </c>
      <c r="D315" s="80">
        <f t="shared" si="258"/>
        <v>0</v>
      </c>
      <c r="E315" s="194"/>
      <c r="F315" s="80">
        <f t="shared" si="233"/>
        <v>0</v>
      </c>
      <c r="G315" s="80">
        <f t="shared" si="259"/>
        <v>0</v>
      </c>
      <c r="H315" s="194"/>
      <c r="I315" s="80">
        <f t="shared" si="251"/>
        <v>0</v>
      </c>
      <c r="J315" s="80">
        <f t="shared" si="260"/>
        <v>0</v>
      </c>
      <c r="K315" s="194"/>
      <c r="L315" s="80">
        <f t="shared" si="252"/>
        <v>0</v>
      </c>
      <c r="M315" s="80">
        <f t="shared" si="236"/>
        <v>0</v>
      </c>
      <c r="N315" s="194"/>
      <c r="O315" s="80">
        <f t="shared" si="253"/>
        <v>0</v>
      </c>
      <c r="P315" s="80">
        <f t="shared" si="261"/>
        <v>0</v>
      </c>
      <c r="Q315" s="194"/>
      <c r="R315" s="80">
        <f t="shared" si="254"/>
        <v>0</v>
      </c>
      <c r="S315" s="80">
        <f t="shared" si="237"/>
        <v>0</v>
      </c>
      <c r="T315" s="80"/>
      <c r="U315" s="80">
        <f t="shared" si="234"/>
        <v>0</v>
      </c>
      <c r="V315" s="215">
        <f t="shared" si="235"/>
        <v>0</v>
      </c>
      <c r="W315" s="224"/>
      <c r="X315" s="80"/>
      <c r="Y315" s="80">
        <f t="shared" si="238"/>
        <v>0</v>
      </c>
      <c r="Z315" s="194"/>
      <c r="AA315" s="80">
        <f t="shared" si="257"/>
        <v>0</v>
      </c>
      <c r="AB315" s="80">
        <f t="shared" si="262"/>
        <v>0</v>
      </c>
      <c r="AC315" s="194"/>
      <c r="AD315" s="80">
        <f t="shared" si="239"/>
        <v>0</v>
      </c>
      <c r="AE315" s="80">
        <f t="shared" si="263"/>
        <v>0</v>
      </c>
      <c r="AF315" s="194"/>
      <c r="AG315" s="80">
        <f t="shared" si="255"/>
        <v>0</v>
      </c>
      <c r="AH315" s="80">
        <f t="shared" si="240"/>
        <v>0</v>
      </c>
      <c r="AI315" s="194"/>
      <c r="AJ315" s="80">
        <f t="shared" si="249"/>
        <v>0</v>
      </c>
      <c r="AK315" s="80">
        <f t="shared" si="264"/>
        <v>0</v>
      </c>
      <c r="AL315" s="194"/>
      <c r="AM315" s="80">
        <f t="shared" si="256"/>
        <v>0</v>
      </c>
      <c r="AN315" s="17">
        <f t="shared" si="265"/>
        <v>0</v>
      </c>
      <c r="AO315" s="235">
        <f t="shared" si="232"/>
        <v>0</v>
      </c>
      <c r="AP315" s="19"/>
    </row>
    <row r="316" spans="1:43">
      <c r="A316" s="15">
        <v>45240</v>
      </c>
      <c r="B316" s="194">
        <v>0</v>
      </c>
      <c r="C316" s="80">
        <f t="shared" si="250"/>
        <v>0</v>
      </c>
      <c r="D316" s="80">
        <f t="shared" si="258"/>
        <v>0</v>
      </c>
      <c r="E316" s="194"/>
      <c r="F316" s="80">
        <f t="shared" si="233"/>
        <v>0</v>
      </c>
      <c r="G316" s="80">
        <f t="shared" si="259"/>
        <v>0</v>
      </c>
      <c r="H316" s="194"/>
      <c r="I316" s="80">
        <f t="shared" si="251"/>
        <v>0</v>
      </c>
      <c r="J316" s="80">
        <f t="shared" si="260"/>
        <v>0</v>
      </c>
      <c r="K316" s="194"/>
      <c r="L316" s="80">
        <f t="shared" si="252"/>
        <v>0</v>
      </c>
      <c r="M316" s="80">
        <f t="shared" si="236"/>
        <v>0</v>
      </c>
      <c r="N316" s="194"/>
      <c r="O316" s="80">
        <f t="shared" si="253"/>
        <v>0</v>
      </c>
      <c r="P316" s="80">
        <f t="shared" si="261"/>
        <v>0</v>
      </c>
      <c r="Q316" s="194"/>
      <c r="R316" s="80">
        <f t="shared" si="254"/>
        <v>0</v>
      </c>
      <c r="S316" s="80">
        <f t="shared" si="237"/>
        <v>0</v>
      </c>
      <c r="T316" s="80"/>
      <c r="U316" s="80">
        <f t="shared" si="234"/>
        <v>0</v>
      </c>
      <c r="V316" s="215">
        <f t="shared" si="235"/>
        <v>0</v>
      </c>
      <c r="W316" s="224"/>
      <c r="X316" s="80"/>
      <c r="Y316" s="80">
        <f t="shared" si="238"/>
        <v>0</v>
      </c>
      <c r="Z316" s="194"/>
      <c r="AA316" s="80">
        <f t="shared" si="257"/>
        <v>0</v>
      </c>
      <c r="AB316" s="80">
        <f t="shared" si="262"/>
        <v>0</v>
      </c>
      <c r="AC316" s="194"/>
      <c r="AD316" s="80">
        <f t="shared" si="239"/>
        <v>0</v>
      </c>
      <c r="AE316" s="80">
        <f t="shared" si="263"/>
        <v>0</v>
      </c>
      <c r="AF316" s="194"/>
      <c r="AG316" s="80">
        <f t="shared" si="255"/>
        <v>0</v>
      </c>
      <c r="AH316" s="80">
        <f t="shared" si="240"/>
        <v>0</v>
      </c>
      <c r="AI316" s="194"/>
      <c r="AJ316" s="80">
        <f t="shared" si="249"/>
        <v>0</v>
      </c>
      <c r="AK316" s="80">
        <f t="shared" si="264"/>
        <v>0</v>
      </c>
      <c r="AL316" s="194"/>
      <c r="AM316" s="80">
        <f t="shared" si="256"/>
        <v>0</v>
      </c>
      <c r="AN316" s="17">
        <f t="shared" si="265"/>
        <v>0</v>
      </c>
      <c r="AO316" s="235">
        <f t="shared" si="232"/>
        <v>0</v>
      </c>
      <c r="AP316" s="19"/>
    </row>
    <row r="317" spans="1:43">
      <c r="A317" s="15">
        <v>45241</v>
      </c>
      <c r="B317" s="194">
        <v>0</v>
      </c>
      <c r="C317" s="80">
        <f t="shared" si="250"/>
        <v>0</v>
      </c>
      <c r="D317" s="80">
        <f t="shared" si="258"/>
        <v>0</v>
      </c>
      <c r="E317" s="194"/>
      <c r="F317" s="80">
        <f t="shared" si="233"/>
        <v>0</v>
      </c>
      <c r="G317" s="80">
        <f t="shared" si="259"/>
        <v>0</v>
      </c>
      <c r="H317" s="194"/>
      <c r="I317" s="80">
        <f t="shared" si="251"/>
        <v>0</v>
      </c>
      <c r="J317" s="80">
        <f t="shared" si="260"/>
        <v>0</v>
      </c>
      <c r="K317" s="194"/>
      <c r="L317" s="80">
        <f t="shared" si="252"/>
        <v>0</v>
      </c>
      <c r="M317" s="80">
        <f t="shared" si="236"/>
        <v>0</v>
      </c>
      <c r="N317" s="194"/>
      <c r="O317" s="80">
        <f t="shared" si="253"/>
        <v>0</v>
      </c>
      <c r="P317" s="80">
        <f t="shared" si="261"/>
        <v>0</v>
      </c>
      <c r="Q317" s="194"/>
      <c r="R317" s="80">
        <f t="shared" si="254"/>
        <v>0</v>
      </c>
      <c r="S317" s="80">
        <f t="shared" si="237"/>
        <v>0</v>
      </c>
      <c r="T317" s="80"/>
      <c r="U317" s="80">
        <f t="shared" si="234"/>
        <v>0</v>
      </c>
      <c r="V317" s="215">
        <f t="shared" si="235"/>
        <v>0</v>
      </c>
      <c r="W317" s="224"/>
      <c r="X317" s="80"/>
      <c r="Y317" s="80">
        <f t="shared" si="238"/>
        <v>0</v>
      </c>
      <c r="Z317" s="194"/>
      <c r="AA317" s="80">
        <f t="shared" si="257"/>
        <v>0</v>
      </c>
      <c r="AB317" s="80">
        <f t="shared" si="262"/>
        <v>0</v>
      </c>
      <c r="AC317" s="194"/>
      <c r="AD317" s="80">
        <f t="shared" si="239"/>
        <v>0</v>
      </c>
      <c r="AE317" s="80">
        <f t="shared" si="263"/>
        <v>0</v>
      </c>
      <c r="AF317" s="194"/>
      <c r="AG317" s="80">
        <f t="shared" si="255"/>
        <v>0</v>
      </c>
      <c r="AH317" s="80">
        <f t="shared" si="240"/>
        <v>0</v>
      </c>
      <c r="AI317" s="194"/>
      <c r="AJ317" s="80">
        <f t="shared" si="249"/>
        <v>0</v>
      </c>
      <c r="AK317" s="80">
        <f t="shared" si="264"/>
        <v>0</v>
      </c>
      <c r="AL317" s="194"/>
      <c r="AM317" s="80">
        <f t="shared" si="256"/>
        <v>0</v>
      </c>
      <c r="AN317" s="17">
        <f t="shared" si="265"/>
        <v>0</v>
      </c>
      <c r="AO317" s="235">
        <f t="shared" si="232"/>
        <v>0</v>
      </c>
      <c r="AP317" s="19"/>
    </row>
    <row r="318" spans="1:43">
      <c r="A318" s="15">
        <v>45242</v>
      </c>
      <c r="B318" s="194">
        <v>0</v>
      </c>
      <c r="C318" s="80">
        <f t="shared" si="250"/>
        <v>0</v>
      </c>
      <c r="D318" s="80">
        <f t="shared" si="258"/>
        <v>0</v>
      </c>
      <c r="E318" s="194"/>
      <c r="F318" s="80">
        <f t="shared" si="233"/>
        <v>0</v>
      </c>
      <c r="G318" s="80">
        <f t="shared" si="259"/>
        <v>0</v>
      </c>
      <c r="H318" s="194"/>
      <c r="I318" s="80">
        <f t="shared" si="251"/>
        <v>0</v>
      </c>
      <c r="J318" s="80">
        <f t="shared" si="260"/>
        <v>0</v>
      </c>
      <c r="K318" s="194"/>
      <c r="L318" s="80">
        <f t="shared" si="252"/>
        <v>0</v>
      </c>
      <c r="M318" s="80">
        <f t="shared" si="236"/>
        <v>0</v>
      </c>
      <c r="N318" s="194"/>
      <c r="O318" s="80">
        <f t="shared" si="253"/>
        <v>0</v>
      </c>
      <c r="P318" s="80">
        <f t="shared" si="261"/>
        <v>0</v>
      </c>
      <c r="Q318" s="194"/>
      <c r="R318" s="80">
        <f t="shared" si="254"/>
        <v>0</v>
      </c>
      <c r="S318" s="80">
        <f t="shared" si="237"/>
        <v>0</v>
      </c>
      <c r="T318" s="80"/>
      <c r="U318" s="80">
        <f t="shared" si="234"/>
        <v>0</v>
      </c>
      <c r="V318" s="215">
        <f t="shared" si="235"/>
        <v>0</v>
      </c>
      <c r="W318" s="224"/>
      <c r="X318" s="80"/>
      <c r="Y318" s="80">
        <f t="shared" si="238"/>
        <v>0</v>
      </c>
      <c r="Z318" s="194"/>
      <c r="AA318" s="80">
        <f t="shared" si="257"/>
        <v>0</v>
      </c>
      <c r="AB318" s="80">
        <f t="shared" si="262"/>
        <v>0</v>
      </c>
      <c r="AC318" s="194"/>
      <c r="AD318" s="80">
        <f t="shared" si="239"/>
        <v>0</v>
      </c>
      <c r="AE318" s="80">
        <f t="shared" si="263"/>
        <v>0</v>
      </c>
      <c r="AF318" s="194"/>
      <c r="AG318" s="80">
        <f t="shared" si="255"/>
        <v>0</v>
      </c>
      <c r="AH318" s="80">
        <f t="shared" si="240"/>
        <v>0</v>
      </c>
      <c r="AI318" s="194"/>
      <c r="AJ318" s="80">
        <f t="shared" si="249"/>
        <v>0</v>
      </c>
      <c r="AK318" s="80">
        <f t="shared" si="264"/>
        <v>0</v>
      </c>
      <c r="AL318" s="194"/>
      <c r="AM318" s="80">
        <f t="shared" si="256"/>
        <v>0</v>
      </c>
      <c r="AN318" s="17">
        <f t="shared" si="265"/>
        <v>0</v>
      </c>
      <c r="AO318" s="235">
        <f t="shared" si="232"/>
        <v>0</v>
      </c>
      <c r="AP318" s="19"/>
      <c r="AQ318" s="149">
        <f>AI308-AI337</f>
        <v>0</v>
      </c>
    </row>
    <row r="319" spans="1:43">
      <c r="A319" s="15">
        <v>45243</v>
      </c>
      <c r="B319" s="194">
        <v>0</v>
      </c>
      <c r="C319" s="80">
        <f t="shared" si="250"/>
        <v>0</v>
      </c>
      <c r="D319" s="80">
        <f t="shared" si="258"/>
        <v>0</v>
      </c>
      <c r="E319" s="194"/>
      <c r="F319" s="80">
        <f t="shared" si="233"/>
        <v>0</v>
      </c>
      <c r="G319" s="80">
        <f t="shared" si="259"/>
        <v>0</v>
      </c>
      <c r="H319" s="194"/>
      <c r="I319" s="80">
        <f t="shared" si="251"/>
        <v>0</v>
      </c>
      <c r="J319" s="80">
        <f t="shared" si="260"/>
        <v>0</v>
      </c>
      <c r="K319" s="194"/>
      <c r="L319" s="80">
        <f t="shared" si="252"/>
        <v>0</v>
      </c>
      <c r="M319" s="80">
        <f t="shared" si="236"/>
        <v>0</v>
      </c>
      <c r="N319" s="194"/>
      <c r="O319" s="80">
        <f t="shared" si="253"/>
        <v>0</v>
      </c>
      <c r="P319" s="80">
        <f t="shared" si="261"/>
        <v>0</v>
      </c>
      <c r="Q319" s="194"/>
      <c r="R319" s="80">
        <f t="shared" si="254"/>
        <v>0</v>
      </c>
      <c r="S319" s="80">
        <f t="shared" si="237"/>
        <v>0</v>
      </c>
      <c r="T319" s="80"/>
      <c r="U319" s="80">
        <f t="shared" si="234"/>
        <v>0</v>
      </c>
      <c r="V319" s="215">
        <f t="shared" si="235"/>
        <v>0</v>
      </c>
      <c r="W319" s="224"/>
      <c r="X319" s="80"/>
      <c r="Y319" s="80">
        <f t="shared" si="238"/>
        <v>0</v>
      </c>
      <c r="Z319" s="194"/>
      <c r="AA319" s="80">
        <f t="shared" si="257"/>
        <v>0</v>
      </c>
      <c r="AB319" s="80">
        <f t="shared" si="262"/>
        <v>0</v>
      </c>
      <c r="AC319" s="194"/>
      <c r="AD319" s="80">
        <f t="shared" si="239"/>
        <v>0</v>
      </c>
      <c r="AE319" s="80">
        <f t="shared" si="263"/>
        <v>0</v>
      </c>
      <c r="AF319" s="194"/>
      <c r="AG319" s="80">
        <f t="shared" si="255"/>
        <v>0</v>
      </c>
      <c r="AH319" s="80">
        <f t="shared" si="240"/>
        <v>0</v>
      </c>
      <c r="AI319" s="194"/>
      <c r="AJ319" s="80">
        <f t="shared" si="249"/>
        <v>0</v>
      </c>
      <c r="AK319" s="80">
        <f t="shared" si="264"/>
        <v>0</v>
      </c>
      <c r="AL319" s="194"/>
      <c r="AM319" s="80">
        <f t="shared" si="256"/>
        <v>0</v>
      </c>
      <c r="AN319" s="17">
        <f t="shared" si="265"/>
        <v>0</v>
      </c>
      <c r="AO319" s="235">
        <f t="shared" si="232"/>
        <v>0</v>
      </c>
      <c r="AP319" s="19"/>
    </row>
    <row r="320" spans="1:43">
      <c r="A320" s="15">
        <v>45244</v>
      </c>
      <c r="B320" s="194">
        <v>0</v>
      </c>
      <c r="C320" s="80">
        <f t="shared" si="250"/>
        <v>0</v>
      </c>
      <c r="D320" s="80">
        <f t="shared" si="258"/>
        <v>0</v>
      </c>
      <c r="E320" s="194"/>
      <c r="F320" s="80">
        <f t="shared" si="233"/>
        <v>0</v>
      </c>
      <c r="G320" s="80">
        <f t="shared" si="259"/>
        <v>0</v>
      </c>
      <c r="H320" s="194"/>
      <c r="I320" s="80">
        <f t="shared" si="251"/>
        <v>0</v>
      </c>
      <c r="J320" s="80">
        <f t="shared" si="260"/>
        <v>0</v>
      </c>
      <c r="K320" s="194"/>
      <c r="L320" s="80">
        <f t="shared" si="252"/>
        <v>0</v>
      </c>
      <c r="M320" s="80">
        <f t="shared" si="236"/>
        <v>0</v>
      </c>
      <c r="N320" s="194"/>
      <c r="O320" s="80">
        <f t="shared" si="253"/>
        <v>0</v>
      </c>
      <c r="P320" s="80">
        <f t="shared" si="261"/>
        <v>0</v>
      </c>
      <c r="Q320" s="194"/>
      <c r="R320" s="80">
        <f t="shared" si="254"/>
        <v>0</v>
      </c>
      <c r="S320" s="80">
        <f t="shared" si="237"/>
        <v>0</v>
      </c>
      <c r="T320" s="80"/>
      <c r="U320" s="80">
        <f t="shared" si="234"/>
        <v>0</v>
      </c>
      <c r="V320" s="215">
        <f t="shared" si="235"/>
        <v>0</v>
      </c>
      <c r="W320" s="224"/>
      <c r="X320" s="80"/>
      <c r="Y320" s="80">
        <f t="shared" si="238"/>
        <v>0</v>
      </c>
      <c r="Z320" s="194"/>
      <c r="AA320" s="80">
        <f t="shared" si="257"/>
        <v>0</v>
      </c>
      <c r="AB320" s="80">
        <f t="shared" si="262"/>
        <v>0</v>
      </c>
      <c r="AC320" s="194"/>
      <c r="AD320" s="80">
        <f t="shared" si="239"/>
        <v>0</v>
      </c>
      <c r="AE320" s="80">
        <f t="shared" si="263"/>
        <v>0</v>
      </c>
      <c r="AF320" s="194"/>
      <c r="AG320" s="80">
        <f t="shared" si="255"/>
        <v>0</v>
      </c>
      <c r="AH320" s="80">
        <f t="shared" si="240"/>
        <v>0</v>
      </c>
      <c r="AI320" s="194"/>
      <c r="AJ320" s="80">
        <f t="shared" si="249"/>
        <v>0</v>
      </c>
      <c r="AK320" s="80">
        <f t="shared" si="264"/>
        <v>0</v>
      </c>
      <c r="AL320" s="194"/>
      <c r="AM320" s="80">
        <f t="shared" si="256"/>
        <v>0</v>
      </c>
      <c r="AN320" s="17">
        <f t="shared" si="265"/>
        <v>0</v>
      </c>
      <c r="AO320" s="235">
        <f t="shared" si="232"/>
        <v>0</v>
      </c>
      <c r="AP320" s="19"/>
    </row>
    <row r="321" spans="1:47">
      <c r="A321" s="15">
        <v>45245</v>
      </c>
      <c r="B321" s="194">
        <v>0</v>
      </c>
      <c r="C321" s="80">
        <f t="shared" si="250"/>
        <v>0</v>
      </c>
      <c r="D321" s="80">
        <f t="shared" si="258"/>
        <v>0</v>
      </c>
      <c r="E321" s="194"/>
      <c r="F321" s="80">
        <f t="shared" si="233"/>
        <v>0</v>
      </c>
      <c r="G321" s="80">
        <f t="shared" si="259"/>
        <v>0</v>
      </c>
      <c r="H321" s="194"/>
      <c r="I321" s="80">
        <f t="shared" si="251"/>
        <v>0</v>
      </c>
      <c r="J321" s="80">
        <f t="shared" si="260"/>
        <v>0</v>
      </c>
      <c r="K321" s="194"/>
      <c r="L321" s="80">
        <f t="shared" si="252"/>
        <v>0</v>
      </c>
      <c r="M321" s="80">
        <f t="shared" si="236"/>
        <v>0</v>
      </c>
      <c r="N321" s="194"/>
      <c r="O321" s="80">
        <f t="shared" si="253"/>
        <v>0</v>
      </c>
      <c r="P321" s="80">
        <f t="shared" si="261"/>
        <v>0</v>
      </c>
      <c r="Q321" s="194"/>
      <c r="R321" s="80">
        <f t="shared" si="254"/>
        <v>0</v>
      </c>
      <c r="S321" s="80">
        <f t="shared" si="237"/>
        <v>0</v>
      </c>
      <c r="T321" s="80"/>
      <c r="U321" s="80">
        <f t="shared" si="234"/>
        <v>0</v>
      </c>
      <c r="V321" s="215">
        <f t="shared" si="235"/>
        <v>0</v>
      </c>
      <c r="W321" s="224"/>
      <c r="X321" s="80"/>
      <c r="Y321" s="80">
        <f t="shared" si="238"/>
        <v>0</v>
      </c>
      <c r="Z321" s="194"/>
      <c r="AA321" s="80">
        <f t="shared" si="257"/>
        <v>0</v>
      </c>
      <c r="AB321" s="80">
        <f t="shared" si="262"/>
        <v>0</v>
      </c>
      <c r="AC321" s="194"/>
      <c r="AD321" s="80">
        <f t="shared" si="239"/>
        <v>0</v>
      </c>
      <c r="AE321" s="80">
        <f t="shared" si="263"/>
        <v>0</v>
      </c>
      <c r="AF321" s="194"/>
      <c r="AG321" s="80">
        <f t="shared" si="255"/>
        <v>0</v>
      </c>
      <c r="AH321" s="80">
        <f t="shared" si="240"/>
        <v>0</v>
      </c>
      <c r="AI321" s="194"/>
      <c r="AJ321" s="80">
        <f t="shared" si="249"/>
        <v>0</v>
      </c>
      <c r="AK321" s="80">
        <f t="shared" si="264"/>
        <v>0</v>
      </c>
      <c r="AL321" s="194"/>
      <c r="AM321" s="80">
        <f t="shared" si="256"/>
        <v>0</v>
      </c>
      <c r="AN321" s="17">
        <f t="shared" si="265"/>
        <v>0</v>
      </c>
      <c r="AO321" s="235">
        <f t="shared" si="232"/>
        <v>0</v>
      </c>
      <c r="AP321" s="19"/>
    </row>
    <row r="322" spans="1:47">
      <c r="A322" s="15">
        <v>45246</v>
      </c>
      <c r="B322" s="194">
        <v>0</v>
      </c>
      <c r="C322" s="80">
        <f t="shared" si="250"/>
        <v>0</v>
      </c>
      <c r="D322" s="80">
        <f t="shared" si="258"/>
        <v>0</v>
      </c>
      <c r="E322" s="194"/>
      <c r="F322" s="80">
        <f t="shared" si="233"/>
        <v>0</v>
      </c>
      <c r="G322" s="80">
        <f t="shared" si="259"/>
        <v>0</v>
      </c>
      <c r="H322" s="194"/>
      <c r="I322" s="80">
        <f t="shared" si="251"/>
        <v>0</v>
      </c>
      <c r="J322" s="80">
        <f t="shared" si="260"/>
        <v>0</v>
      </c>
      <c r="K322" s="194"/>
      <c r="L322" s="80">
        <f t="shared" si="252"/>
        <v>0</v>
      </c>
      <c r="M322" s="80">
        <f t="shared" si="236"/>
        <v>0</v>
      </c>
      <c r="N322" s="194"/>
      <c r="O322" s="80">
        <f t="shared" si="253"/>
        <v>0</v>
      </c>
      <c r="P322" s="80">
        <f t="shared" si="261"/>
        <v>0</v>
      </c>
      <c r="Q322" s="194"/>
      <c r="R322" s="80">
        <f t="shared" si="254"/>
        <v>0</v>
      </c>
      <c r="S322" s="80">
        <f t="shared" si="237"/>
        <v>0</v>
      </c>
      <c r="T322" s="80"/>
      <c r="U322" s="80">
        <f t="shared" si="234"/>
        <v>0</v>
      </c>
      <c r="V322" s="215">
        <f t="shared" si="235"/>
        <v>0</v>
      </c>
      <c r="W322" s="224"/>
      <c r="X322" s="80"/>
      <c r="Y322" s="80">
        <f t="shared" si="238"/>
        <v>0</v>
      </c>
      <c r="Z322" s="194"/>
      <c r="AA322" s="80">
        <f t="shared" si="257"/>
        <v>0</v>
      </c>
      <c r="AB322" s="80">
        <f t="shared" si="262"/>
        <v>0</v>
      </c>
      <c r="AC322" s="194"/>
      <c r="AD322" s="80">
        <f t="shared" si="239"/>
        <v>0</v>
      </c>
      <c r="AE322" s="80">
        <f t="shared" si="263"/>
        <v>0</v>
      </c>
      <c r="AF322" s="194"/>
      <c r="AG322" s="80">
        <f t="shared" si="255"/>
        <v>0</v>
      </c>
      <c r="AH322" s="80">
        <f t="shared" si="240"/>
        <v>0</v>
      </c>
      <c r="AI322" s="194"/>
      <c r="AJ322" s="80">
        <f t="shared" si="249"/>
        <v>0</v>
      </c>
      <c r="AK322" s="80">
        <f t="shared" si="264"/>
        <v>0</v>
      </c>
      <c r="AL322" s="194"/>
      <c r="AM322" s="80">
        <f t="shared" si="256"/>
        <v>0</v>
      </c>
      <c r="AN322" s="17">
        <f t="shared" si="265"/>
        <v>0</v>
      </c>
      <c r="AO322" s="235">
        <f t="shared" ref="AO322:AO367" si="266">+CONVERT(AP322,"m3","gal")</f>
        <v>0</v>
      </c>
      <c r="AP322" s="19"/>
    </row>
    <row r="323" spans="1:47">
      <c r="A323" s="15">
        <v>45247</v>
      </c>
      <c r="B323" s="194">
        <v>0</v>
      </c>
      <c r="C323" s="80">
        <f t="shared" si="250"/>
        <v>0</v>
      </c>
      <c r="D323" s="80">
        <f t="shared" si="258"/>
        <v>0</v>
      </c>
      <c r="E323" s="194"/>
      <c r="F323" s="80">
        <f t="shared" ref="F323:F367" si="267">IF(E323="",0,E323-E322)</f>
        <v>0</v>
      </c>
      <c r="G323" s="80">
        <f t="shared" si="259"/>
        <v>0</v>
      </c>
      <c r="H323" s="194"/>
      <c r="I323" s="80">
        <f t="shared" si="251"/>
        <v>0</v>
      </c>
      <c r="J323" s="80">
        <f t="shared" si="260"/>
        <v>0</v>
      </c>
      <c r="K323" s="194"/>
      <c r="L323" s="80">
        <f t="shared" si="252"/>
        <v>0</v>
      </c>
      <c r="M323" s="80">
        <f t="shared" si="236"/>
        <v>0</v>
      </c>
      <c r="N323" s="194"/>
      <c r="O323" s="80">
        <f t="shared" si="253"/>
        <v>0</v>
      </c>
      <c r="P323" s="80">
        <f t="shared" si="261"/>
        <v>0</v>
      </c>
      <c r="Q323" s="194"/>
      <c r="R323" s="80">
        <f t="shared" si="254"/>
        <v>0</v>
      </c>
      <c r="S323" s="80">
        <f t="shared" si="237"/>
        <v>0</v>
      </c>
      <c r="T323" s="80"/>
      <c r="U323" s="80">
        <f t="shared" ref="U323:U364" si="268">+CONVERT(T323,"gal","l")</f>
        <v>0</v>
      </c>
      <c r="V323" s="215">
        <f t="shared" ref="V323:V367" si="269">+CONVERT(W323,"gal","m3")</f>
        <v>0</v>
      </c>
      <c r="W323" s="224"/>
      <c r="X323" s="80"/>
      <c r="Y323" s="80">
        <f t="shared" si="238"/>
        <v>0</v>
      </c>
      <c r="Z323" s="194"/>
      <c r="AA323" s="80">
        <f t="shared" si="257"/>
        <v>0</v>
      </c>
      <c r="AB323" s="80">
        <f t="shared" si="262"/>
        <v>0</v>
      </c>
      <c r="AC323" s="194"/>
      <c r="AD323" s="80">
        <f t="shared" si="239"/>
        <v>0</v>
      </c>
      <c r="AE323" s="80">
        <f t="shared" si="263"/>
        <v>0</v>
      </c>
      <c r="AF323" s="194"/>
      <c r="AG323" s="80">
        <f t="shared" si="255"/>
        <v>0</v>
      </c>
      <c r="AH323" s="80">
        <f t="shared" si="240"/>
        <v>0</v>
      </c>
      <c r="AI323" s="194"/>
      <c r="AJ323" s="80">
        <f t="shared" si="249"/>
        <v>0</v>
      </c>
      <c r="AK323" s="80">
        <f t="shared" si="264"/>
        <v>0</v>
      </c>
      <c r="AL323" s="194"/>
      <c r="AM323" s="80">
        <f t="shared" si="256"/>
        <v>0</v>
      </c>
      <c r="AN323" s="17">
        <f t="shared" si="265"/>
        <v>0</v>
      </c>
      <c r="AO323" s="235">
        <f t="shared" si="266"/>
        <v>0</v>
      </c>
      <c r="AP323" s="19"/>
    </row>
    <row r="324" spans="1:47">
      <c r="A324" s="15">
        <v>45248</v>
      </c>
      <c r="B324" s="194">
        <v>0</v>
      </c>
      <c r="C324" s="80">
        <f t="shared" si="250"/>
        <v>0</v>
      </c>
      <c r="D324" s="80">
        <f t="shared" si="258"/>
        <v>0</v>
      </c>
      <c r="E324" s="194"/>
      <c r="F324" s="80">
        <f t="shared" si="267"/>
        <v>0</v>
      </c>
      <c r="G324" s="80">
        <f t="shared" si="259"/>
        <v>0</v>
      </c>
      <c r="H324" s="194"/>
      <c r="I324" s="80">
        <f t="shared" si="251"/>
        <v>0</v>
      </c>
      <c r="J324" s="80">
        <f t="shared" si="260"/>
        <v>0</v>
      </c>
      <c r="K324" s="194"/>
      <c r="L324" s="80">
        <f t="shared" si="252"/>
        <v>0</v>
      </c>
      <c r="M324" s="80">
        <f t="shared" ref="M324:M367" si="270">+CONVERT(L324,"m^3","gal")</f>
        <v>0</v>
      </c>
      <c r="N324" s="194"/>
      <c r="O324" s="80">
        <f t="shared" si="253"/>
        <v>0</v>
      </c>
      <c r="P324" s="80">
        <f t="shared" si="261"/>
        <v>0</v>
      </c>
      <c r="Q324" s="194"/>
      <c r="R324" s="80">
        <f t="shared" si="254"/>
        <v>0</v>
      </c>
      <c r="S324" s="80">
        <f t="shared" ref="S324:S367" si="271">+CONVERT(R324,"m^3","gal")</f>
        <v>0</v>
      </c>
      <c r="T324" s="80"/>
      <c r="U324" s="80">
        <f t="shared" si="268"/>
        <v>0</v>
      </c>
      <c r="V324" s="215">
        <f t="shared" si="269"/>
        <v>0</v>
      </c>
      <c r="W324" s="224"/>
      <c r="X324" s="80"/>
      <c r="Y324" s="80">
        <f t="shared" ref="Y324:Y367" si="272">+CONVERT(X324,"gal","m^3")</f>
        <v>0</v>
      </c>
      <c r="Z324" s="194"/>
      <c r="AA324" s="80">
        <f t="shared" si="257"/>
        <v>0</v>
      </c>
      <c r="AB324" s="80">
        <f t="shared" si="262"/>
        <v>0</v>
      </c>
      <c r="AC324" s="194"/>
      <c r="AD324" s="80">
        <f t="shared" ref="AD324:AD367" si="273">IF(AC324="",0,AC324-AC323)</f>
        <v>0</v>
      </c>
      <c r="AE324" s="80">
        <f t="shared" si="263"/>
        <v>0</v>
      </c>
      <c r="AF324" s="194"/>
      <c r="AG324" s="80">
        <f t="shared" si="255"/>
        <v>0</v>
      </c>
      <c r="AH324" s="80">
        <f t="shared" ref="AH324:AH367" si="274">+CONVERT(AG324,"m^3","gal")</f>
        <v>0</v>
      </c>
      <c r="AI324" s="194"/>
      <c r="AJ324" s="80">
        <f t="shared" si="249"/>
        <v>0</v>
      </c>
      <c r="AK324" s="80">
        <f t="shared" si="264"/>
        <v>0</v>
      </c>
      <c r="AL324" s="194"/>
      <c r="AM324" s="80">
        <f t="shared" si="256"/>
        <v>0</v>
      </c>
      <c r="AN324" s="17">
        <f t="shared" si="265"/>
        <v>0</v>
      </c>
      <c r="AO324" s="235">
        <f t="shared" si="266"/>
        <v>0</v>
      </c>
      <c r="AP324" s="19"/>
    </row>
    <row r="325" spans="1:47">
      <c r="A325" s="15">
        <v>45249</v>
      </c>
      <c r="B325" s="194">
        <v>0</v>
      </c>
      <c r="C325" s="80">
        <f t="shared" si="250"/>
        <v>0</v>
      </c>
      <c r="D325" s="80">
        <f t="shared" si="258"/>
        <v>0</v>
      </c>
      <c r="E325" s="194"/>
      <c r="F325" s="80">
        <f t="shared" si="267"/>
        <v>0</v>
      </c>
      <c r="G325" s="80">
        <f t="shared" si="259"/>
        <v>0</v>
      </c>
      <c r="H325" s="194"/>
      <c r="I325" s="80">
        <f t="shared" si="251"/>
        <v>0</v>
      </c>
      <c r="J325" s="80">
        <f t="shared" si="260"/>
        <v>0</v>
      </c>
      <c r="K325" s="194"/>
      <c r="L325" s="80">
        <f t="shared" si="252"/>
        <v>0</v>
      </c>
      <c r="M325" s="80">
        <f t="shared" si="270"/>
        <v>0</v>
      </c>
      <c r="N325" s="194"/>
      <c r="O325" s="80">
        <f t="shared" si="253"/>
        <v>0</v>
      </c>
      <c r="P325" s="80">
        <f t="shared" si="261"/>
        <v>0</v>
      </c>
      <c r="Q325" s="194"/>
      <c r="R325" s="80">
        <f t="shared" si="254"/>
        <v>0</v>
      </c>
      <c r="S325" s="80">
        <f t="shared" si="271"/>
        <v>0</v>
      </c>
      <c r="T325" s="80"/>
      <c r="U325" s="80">
        <f t="shared" si="268"/>
        <v>0</v>
      </c>
      <c r="V325" s="215">
        <f t="shared" si="269"/>
        <v>0</v>
      </c>
      <c r="W325" s="224"/>
      <c r="X325" s="80"/>
      <c r="Y325" s="80">
        <f t="shared" si="272"/>
        <v>0</v>
      </c>
      <c r="Z325" s="194"/>
      <c r="AA325" s="80">
        <f t="shared" si="257"/>
        <v>0</v>
      </c>
      <c r="AB325" s="80">
        <f t="shared" si="262"/>
        <v>0</v>
      </c>
      <c r="AC325" s="194"/>
      <c r="AD325" s="80">
        <f t="shared" si="273"/>
        <v>0</v>
      </c>
      <c r="AE325" s="80">
        <f t="shared" si="263"/>
        <v>0</v>
      </c>
      <c r="AF325" s="194"/>
      <c r="AG325" s="80">
        <f t="shared" si="255"/>
        <v>0</v>
      </c>
      <c r="AH325" s="80">
        <f t="shared" si="274"/>
        <v>0</v>
      </c>
      <c r="AI325" s="194"/>
      <c r="AJ325" s="80">
        <f t="shared" si="249"/>
        <v>0</v>
      </c>
      <c r="AK325" s="80">
        <f t="shared" si="264"/>
        <v>0</v>
      </c>
      <c r="AL325" s="194"/>
      <c r="AM325" s="80">
        <f t="shared" si="256"/>
        <v>0</v>
      </c>
      <c r="AN325" s="17">
        <f t="shared" si="265"/>
        <v>0</v>
      </c>
      <c r="AO325" s="235">
        <f t="shared" si="266"/>
        <v>0</v>
      </c>
      <c r="AP325" s="19"/>
    </row>
    <row r="326" spans="1:47">
      <c r="A326" s="15">
        <v>45250</v>
      </c>
      <c r="B326" s="194">
        <v>0</v>
      </c>
      <c r="C326" s="80">
        <f t="shared" si="250"/>
        <v>0</v>
      </c>
      <c r="D326" s="80">
        <f t="shared" ref="D326:D367" si="275">+CONVERT(C326,"m^3","gal")</f>
        <v>0</v>
      </c>
      <c r="E326" s="194"/>
      <c r="F326" s="80">
        <f t="shared" si="267"/>
        <v>0</v>
      </c>
      <c r="G326" s="80">
        <f t="shared" ref="G326:G367" si="276">+CONVERT(F326,"m^3","gal")</f>
        <v>0</v>
      </c>
      <c r="H326" s="194"/>
      <c r="I326" s="80">
        <f t="shared" si="251"/>
        <v>0</v>
      </c>
      <c r="J326" s="80">
        <f t="shared" ref="J326:J367" si="277">+CONVERT(I326,"m^3","gal")</f>
        <v>0</v>
      </c>
      <c r="K326" s="194"/>
      <c r="L326" s="80">
        <f t="shared" si="252"/>
        <v>0</v>
      </c>
      <c r="M326" s="80">
        <f t="shared" si="270"/>
        <v>0</v>
      </c>
      <c r="N326" s="194"/>
      <c r="O326" s="80">
        <f t="shared" si="253"/>
        <v>0</v>
      </c>
      <c r="P326" s="80">
        <f t="shared" ref="P326:P367" si="278">+CONVERT(O326,"m^3","gal")</f>
        <v>0</v>
      </c>
      <c r="Q326" s="194"/>
      <c r="R326" s="80">
        <f t="shared" si="254"/>
        <v>0</v>
      </c>
      <c r="S326" s="80">
        <f t="shared" si="271"/>
        <v>0</v>
      </c>
      <c r="T326" s="80"/>
      <c r="U326" s="80">
        <f t="shared" si="268"/>
        <v>0</v>
      </c>
      <c r="V326" s="215">
        <f t="shared" si="269"/>
        <v>0</v>
      </c>
      <c r="W326" s="224"/>
      <c r="X326" s="80"/>
      <c r="Y326" s="80">
        <f t="shared" si="272"/>
        <v>0</v>
      </c>
      <c r="Z326" s="194"/>
      <c r="AA326" s="80">
        <f t="shared" si="257"/>
        <v>0</v>
      </c>
      <c r="AB326" s="80">
        <f t="shared" ref="AB326:AB367" si="279">+CONVERT(AA326,"m^3","gal")</f>
        <v>0</v>
      </c>
      <c r="AC326" s="194"/>
      <c r="AD326" s="80">
        <f t="shared" si="273"/>
        <v>0</v>
      </c>
      <c r="AE326" s="80">
        <f t="shared" ref="AE326:AE367" si="280">+CONVERT(AD326,"m^3","gal")</f>
        <v>0</v>
      </c>
      <c r="AF326" s="194"/>
      <c r="AG326" s="80">
        <f t="shared" si="255"/>
        <v>0</v>
      </c>
      <c r="AH326" s="80">
        <f t="shared" si="274"/>
        <v>0</v>
      </c>
      <c r="AI326" s="194"/>
      <c r="AJ326" s="80">
        <f t="shared" si="249"/>
        <v>0</v>
      </c>
      <c r="AK326" s="80">
        <f t="shared" ref="AK326:AK367" si="281">+CONVERT(AJ326,"m^3","gal")</f>
        <v>0</v>
      </c>
      <c r="AL326" s="194"/>
      <c r="AM326" s="80">
        <f t="shared" si="256"/>
        <v>0</v>
      </c>
      <c r="AN326" s="17">
        <f t="shared" ref="AN326:AN367" si="282">+CONVERT(AM326,"m^3","gal")</f>
        <v>0</v>
      </c>
      <c r="AO326" s="235">
        <f t="shared" si="266"/>
        <v>0</v>
      </c>
      <c r="AP326" s="19"/>
    </row>
    <row r="327" spans="1:47">
      <c r="A327" s="15">
        <v>45251</v>
      </c>
      <c r="B327" s="194">
        <v>0</v>
      </c>
      <c r="C327" s="80">
        <f t="shared" si="250"/>
        <v>0</v>
      </c>
      <c r="D327" s="80">
        <f t="shared" si="275"/>
        <v>0</v>
      </c>
      <c r="E327" s="194"/>
      <c r="F327" s="80">
        <f t="shared" si="267"/>
        <v>0</v>
      </c>
      <c r="G327" s="80">
        <f t="shared" si="276"/>
        <v>0</v>
      </c>
      <c r="H327" s="194"/>
      <c r="I327" s="80">
        <f t="shared" si="251"/>
        <v>0</v>
      </c>
      <c r="J327" s="80">
        <f t="shared" si="277"/>
        <v>0</v>
      </c>
      <c r="K327" s="194"/>
      <c r="L327" s="80">
        <f t="shared" si="252"/>
        <v>0</v>
      </c>
      <c r="M327" s="80">
        <f t="shared" si="270"/>
        <v>0</v>
      </c>
      <c r="N327" s="194"/>
      <c r="O327" s="80">
        <f t="shared" si="253"/>
        <v>0</v>
      </c>
      <c r="P327" s="80">
        <f t="shared" si="278"/>
        <v>0</v>
      </c>
      <c r="Q327" s="194"/>
      <c r="R327" s="80">
        <f t="shared" si="254"/>
        <v>0</v>
      </c>
      <c r="S327" s="80">
        <f t="shared" si="271"/>
        <v>0</v>
      </c>
      <c r="T327" s="80"/>
      <c r="U327" s="80">
        <f t="shared" si="268"/>
        <v>0</v>
      </c>
      <c r="V327" s="215">
        <f t="shared" si="269"/>
        <v>0</v>
      </c>
      <c r="W327" s="224"/>
      <c r="X327" s="80"/>
      <c r="Y327" s="80">
        <f t="shared" si="272"/>
        <v>0</v>
      </c>
      <c r="Z327" s="194"/>
      <c r="AA327" s="80">
        <f t="shared" si="257"/>
        <v>0</v>
      </c>
      <c r="AB327" s="80">
        <f t="shared" si="279"/>
        <v>0</v>
      </c>
      <c r="AC327" s="194"/>
      <c r="AD327" s="80">
        <f t="shared" si="273"/>
        <v>0</v>
      </c>
      <c r="AE327" s="80">
        <f t="shared" si="280"/>
        <v>0</v>
      </c>
      <c r="AF327" s="194"/>
      <c r="AG327" s="80">
        <f t="shared" si="255"/>
        <v>0</v>
      </c>
      <c r="AH327" s="80">
        <f t="shared" si="274"/>
        <v>0</v>
      </c>
      <c r="AI327" s="194"/>
      <c r="AJ327" s="80">
        <f t="shared" si="249"/>
        <v>0</v>
      </c>
      <c r="AK327" s="80">
        <f t="shared" si="281"/>
        <v>0</v>
      </c>
      <c r="AL327" s="194"/>
      <c r="AM327" s="80">
        <f t="shared" si="256"/>
        <v>0</v>
      </c>
      <c r="AN327" s="17">
        <f t="shared" si="282"/>
        <v>0</v>
      </c>
      <c r="AO327" s="235">
        <f t="shared" si="266"/>
        <v>0</v>
      </c>
      <c r="AP327" s="19"/>
      <c r="AS327" s="494" t="s">
        <v>110</v>
      </c>
      <c r="AT327" s="494"/>
      <c r="AU327" s="494"/>
    </row>
    <row r="328" spans="1:47">
      <c r="A328" s="15">
        <v>45252</v>
      </c>
      <c r="B328" s="194">
        <v>0</v>
      </c>
      <c r="C328" s="80">
        <f t="shared" si="250"/>
        <v>0</v>
      </c>
      <c r="D328" s="80">
        <f t="shared" si="275"/>
        <v>0</v>
      </c>
      <c r="E328" s="194"/>
      <c r="F328" s="80">
        <f t="shared" si="267"/>
        <v>0</v>
      </c>
      <c r="G328" s="80">
        <f t="shared" si="276"/>
        <v>0</v>
      </c>
      <c r="H328" s="194"/>
      <c r="I328" s="80">
        <f t="shared" si="251"/>
        <v>0</v>
      </c>
      <c r="J328" s="80">
        <f t="shared" si="277"/>
        <v>0</v>
      </c>
      <c r="K328" s="194"/>
      <c r="L328" s="80">
        <f t="shared" si="252"/>
        <v>0</v>
      </c>
      <c r="M328" s="80">
        <f t="shared" si="270"/>
        <v>0</v>
      </c>
      <c r="N328" s="194"/>
      <c r="O328" s="80">
        <f t="shared" si="253"/>
        <v>0</v>
      </c>
      <c r="P328" s="80">
        <f t="shared" si="278"/>
        <v>0</v>
      </c>
      <c r="Q328" s="194"/>
      <c r="R328" s="80">
        <f t="shared" si="254"/>
        <v>0</v>
      </c>
      <c r="S328" s="80">
        <f t="shared" si="271"/>
        <v>0</v>
      </c>
      <c r="T328" s="80"/>
      <c r="U328" s="80">
        <f t="shared" si="268"/>
        <v>0</v>
      </c>
      <c r="V328" s="215">
        <f t="shared" si="269"/>
        <v>0</v>
      </c>
      <c r="W328" s="224"/>
      <c r="X328" s="80"/>
      <c r="Y328" s="80">
        <f t="shared" si="272"/>
        <v>0</v>
      </c>
      <c r="Z328" s="194"/>
      <c r="AA328" s="80">
        <f t="shared" si="257"/>
        <v>0</v>
      </c>
      <c r="AB328" s="80">
        <f t="shared" si="279"/>
        <v>0</v>
      </c>
      <c r="AC328" s="194"/>
      <c r="AD328" s="80">
        <f t="shared" si="273"/>
        <v>0</v>
      </c>
      <c r="AE328" s="80">
        <f t="shared" si="280"/>
        <v>0</v>
      </c>
      <c r="AF328" s="194"/>
      <c r="AG328" s="80">
        <f t="shared" si="255"/>
        <v>0</v>
      </c>
      <c r="AH328" s="80">
        <f t="shared" si="274"/>
        <v>0</v>
      </c>
      <c r="AI328" s="194"/>
      <c r="AJ328" s="80">
        <f t="shared" si="249"/>
        <v>0</v>
      </c>
      <c r="AK328" s="80">
        <f t="shared" si="281"/>
        <v>0</v>
      </c>
      <c r="AL328" s="194"/>
      <c r="AM328" s="80">
        <f t="shared" si="256"/>
        <v>0</v>
      </c>
      <c r="AN328" s="17">
        <f t="shared" si="282"/>
        <v>0</v>
      </c>
      <c r="AO328" s="235">
        <f t="shared" si="266"/>
        <v>0</v>
      </c>
      <c r="AP328" s="19"/>
      <c r="AS328" s="23" t="s">
        <v>89</v>
      </c>
      <c r="AT328" s="23" t="s">
        <v>115</v>
      </c>
      <c r="AU328" s="23" t="s">
        <v>116</v>
      </c>
    </row>
    <row r="329" spans="1:47">
      <c r="A329" s="15">
        <v>45253</v>
      </c>
      <c r="B329" s="194">
        <v>0</v>
      </c>
      <c r="C329" s="80">
        <f t="shared" si="250"/>
        <v>0</v>
      </c>
      <c r="D329" s="80">
        <f t="shared" si="275"/>
        <v>0</v>
      </c>
      <c r="E329" s="194"/>
      <c r="F329" s="80">
        <f t="shared" si="267"/>
        <v>0</v>
      </c>
      <c r="G329" s="80">
        <f t="shared" si="276"/>
        <v>0</v>
      </c>
      <c r="H329" s="194"/>
      <c r="I329" s="80">
        <f t="shared" si="251"/>
        <v>0</v>
      </c>
      <c r="J329" s="80">
        <f t="shared" si="277"/>
        <v>0</v>
      </c>
      <c r="K329" s="194"/>
      <c r="L329" s="80">
        <f t="shared" si="252"/>
        <v>0</v>
      </c>
      <c r="M329" s="80">
        <f t="shared" si="270"/>
        <v>0</v>
      </c>
      <c r="N329" s="194"/>
      <c r="O329" s="80">
        <f t="shared" si="253"/>
        <v>0</v>
      </c>
      <c r="P329" s="80">
        <f t="shared" si="278"/>
        <v>0</v>
      </c>
      <c r="Q329" s="194"/>
      <c r="R329" s="80">
        <f t="shared" si="254"/>
        <v>0</v>
      </c>
      <c r="S329" s="80">
        <f t="shared" si="271"/>
        <v>0</v>
      </c>
      <c r="T329" s="80"/>
      <c r="U329" s="80">
        <f t="shared" si="268"/>
        <v>0</v>
      </c>
      <c r="V329" s="215">
        <f t="shared" si="269"/>
        <v>0</v>
      </c>
      <c r="W329" s="224"/>
      <c r="X329" s="80"/>
      <c r="Y329" s="80">
        <f t="shared" si="272"/>
        <v>0</v>
      </c>
      <c r="Z329" s="194"/>
      <c r="AA329" s="80">
        <f t="shared" si="257"/>
        <v>0</v>
      </c>
      <c r="AB329" s="80">
        <f t="shared" si="279"/>
        <v>0</v>
      </c>
      <c r="AC329" s="194"/>
      <c r="AD329" s="80">
        <f t="shared" si="273"/>
        <v>0</v>
      </c>
      <c r="AE329" s="80">
        <f t="shared" si="280"/>
        <v>0</v>
      </c>
      <c r="AF329" s="194"/>
      <c r="AG329" s="80">
        <f t="shared" si="255"/>
        <v>0</v>
      </c>
      <c r="AH329" s="80">
        <f t="shared" si="274"/>
        <v>0</v>
      </c>
      <c r="AI329" s="194"/>
      <c r="AJ329" s="80">
        <f t="shared" si="249"/>
        <v>0</v>
      </c>
      <c r="AK329" s="80">
        <f t="shared" si="281"/>
        <v>0</v>
      </c>
      <c r="AL329" s="194"/>
      <c r="AM329" s="80">
        <f t="shared" si="256"/>
        <v>0</v>
      </c>
      <c r="AN329" s="17">
        <f t="shared" si="282"/>
        <v>0</v>
      </c>
      <c r="AO329" s="235">
        <f t="shared" si="266"/>
        <v>0</v>
      </c>
      <c r="AP329" s="19"/>
      <c r="AS329" s="8">
        <v>44160</v>
      </c>
      <c r="AT329" s="230">
        <v>0.627</v>
      </c>
      <c r="AU329" s="17">
        <v>188.1</v>
      </c>
    </row>
    <row r="330" spans="1:47">
      <c r="A330" s="15">
        <v>45254</v>
      </c>
      <c r="B330" s="194">
        <v>0</v>
      </c>
      <c r="C330" s="80">
        <f t="shared" si="250"/>
        <v>0</v>
      </c>
      <c r="D330" s="80">
        <f t="shared" si="275"/>
        <v>0</v>
      </c>
      <c r="E330" s="194"/>
      <c r="F330" s="80">
        <f t="shared" si="267"/>
        <v>0</v>
      </c>
      <c r="G330" s="80">
        <f t="shared" si="276"/>
        <v>0</v>
      </c>
      <c r="H330" s="194"/>
      <c r="I330" s="80">
        <f t="shared" si="251"/>
        <v>0</v>
      </c>
      <c r="J330" s="80">
        <f t="shared" si="277"/>
        <v>0</v>
      </c>
      <c r="K330" s="194"/>
      <c r="L330" s="80">
        <f t="shared" si="252"/>
        <v>0</v>
      </c>
      <c r="M330" s="80">
        <f t="shared" si="270"/>
        <v>0</v>
      </c>
      <c r="N330" s="194"/>
      <c r="O330" s="80">
        <f t="shared" si="253"/>
        <v>0</v>
      </c>
      <c r="P330" s="80">
        <f t="shared" si="278"/>
        <v>0</v>
      </c>
      <c r="Q330" s="194"/>
      <c r="R330" s="80">
        <f t="shared" si="254"/>
        <v>0</v>
      </c>
      <c r="S330" s="80">
        <f t="shared" si="271"/>
        <v>0</v>
      </c>
      <c r="T330" s="80"/>
      <c r="U330" s="80">
        <f t="shared" si="268"/>
        <v>0</v>
      </c>
      <c r="V330" s="215">
        <f t="shared" si="269"/>
        <v>0</v>
      </c>
      <c r="W330" s="224"/>
      <c r="X330" s="80"/>
      <c r="Y330" s="80">
        <f t="shared" si="272"/>
        <v>0</v>
      </c>
      <c r="Z330" s="194"/>
      <c r="AA330" s="80">
        <f t="shared" si="257"/>
        <v>0</v>
      </c>
      <c r="AB330" s="80">
        <f t="shared" si="279"/>
        <v>0</v>
      </c>
      <c r="AC330" s="194"/>
      <c r="AD330" s="80">
        <f t="shared" si="273"/>
        <v>0</v>
      </c>
      <c r="AE330" s="80">
        <f t="shared" si="280"/>
        <v>0</v>
      </c>
      <c r="AF330" s="194"/>
      <c r="AG330" s="80">
        <f t="shared" si="255"/>
        <v>0</v>
      </c>
      <c r="AH330" s="80">
        <f t="shared" si="274"/>
        <v>0</v>
      </c>
      <c r="AI330" s="194"/>
      <c r="AJ330" s="80">
        <f t="shared" si="249"/>
        <v>0</v>
      </c>
      <c r="AK330" s="80">
        <f t="shared" si="281"/>
        <v>0</v>
      </c>
      <c r="AL330" s="194"/>
      <c r="AM330" s="80">
        <f t="shared" si="256"/>
        <v>0</v>
      </c>
      <c r="AN330" s="17">
        <f t="shared" si="282"/>
        <v>0</v>
      </c>
      <c r="AO330" s="235">
        <f t="shared" si="266"/>
        <v>0</v>
      </c>
      <c r="AP330" s="19"/>
      <c r="AS330" s="8">
        <v>44161</v>
      </c>
      <c r="AT330" s="230">
        <v>0.66600000000000004</v>
      </c>
      <c r="AU330" s="17">
        <v>199.8</v>
      </c>
    </row>
    <row r="331" spans="1:47">
      <c r="A331" s="15">
        <v>45255</v>
      </c>
      <c r="B331" s="194">
        <v>0</v>
      </c>
      <c r="C331" s="80">
        <f t="shared" si="250"/>
        <v>0</v>
      </c>
      <c r="D331" s="80">
        <f t="shared" si="275"/>
        <v>0</v>
      </c>
      <c r="E331" s="194"/>
      <c r="F331" s="80">
        <f t="shared" si="267"/>
        <v>0</v>
      </c>
      <c r="G331" s="80">
        <f t="shared" si="276"/>
        <v>0</v>
      </c>
      <c r="H331" s="194"/>
      <c r="I331" s="80">
        <f t="shared" si="251"/>
        <v>0</v>
      </c>
      <c r="J331" s="80">
        <f t="shared" si="277"/>
        <v>0</v>
      </c>
      <c r="K331" s="194"/>
      <c r="L331" s="80">
        <f t="shared" si="252"/>
        <v>0</v>
      </c>
      <c r="M331" s="80">
        <f t="shared" si="270"/>
        <v>0</v>
      </c>
      <c r="N331" s="194"/>
      <c r="O331" s="80">
        <f t="shared" si="253"/>
        <v>0</v>
      </c>
      <c r="P331" s="80">
        <f t="shared" si="278"/>
        <v>0</v>
      </c>
      <c r="Q331" s="194"/>
      <c r="R331" s="80">
        <f t="shared" si="254"/>
        <v>0</v>
      </c>
      <c r="S331" s="80">
        <f t="shared" si="271"/>
        <v>0</v>
      </c>
      <c r="T331" s="80"/>
      <c r="U331" s="80">
        <f t="shared" si="268"/>
        <v>0</v>
      </c>
      <c r="V331" s="215">
        <f t="shared" si="269"/>
        <v>0</v>
      </c>
      <c r="W331" s="224"/>
      <c r="X331" s="80"/>
      <c r="Y331" s="80">
        <f t="shared" si="272"/>
        <v>0</v>
      </c>
      <c r="Z331" s="194"/>
      <c r="AA331" s="80">
        <f t="shared" si="257"/>
        <v>0</v>
      </c>
      <c r="AB331" s="80">
        <f t="shared" si="279"/>
        <v>0</v>
      </c>
      <c r="AC331" s="194"/>
      <c r="AD331" s="80">
        <f t="shared" si="273"/>
        <v>0</v>
      </c>
      <c r="AE331" s="80">
        <f t="shared" si="280"/>
        <v>0</v>
      </c>
      <c r="AF331" s="194"/>
      <c r="AG331" s="80">
        <f t="shared" si="255"/>
        <v>0</v>
      </c>
      <c r="AH331" s="80">
        <f t="shared" si="274"/>
        <v>0</v>
      </c>
      <c r="AI331" s="194"/>
      <c r="AJ331" s="80">
        <f t="shared" si="249"/>
        <v>0</v>
      </c>
      <c r="AK331" s="80">
        <f t="shared" si="281"/>
        <v>0</v>
      </c>
      <c r="AL331" s="194"/>
      <c r="AM331" s="80">
        <f t="shared" si="256"/>
        <v>0</v>
      </c>
      <c r="AN331" s="17">
        <f t="shared" si="282"/>
        <v>0</v>
      </c>
      <c r="AO331" s="235">
        <f t="shared" si="266"/>
        <v>0</v>
      </c>
      <c r="AP331" s="19"/>
      <c r="AS331" s="229"/>
      <c r="AT331" s="231"/>
      <c r="AU331" s="232">
        <f>AU330-AU329</f>
        <v>11.700000000000017</v>
      </c>
    </row>
    <row r="332" spans="1:47">
      <c r="A332" s="15">
        <v>45256</v>
      </c>
      <c r="B332" s="194">
        <v>0</v>
      </c>
      <c r="C332" s="80">
        <f t="shared" si="250"/>
        <v>0</v>
      </c>
      <c r="D332" s="80">
        <f t="shared" si="275"/>
        <v>0</v>
      </c>
      <c r="E332" s="194"/>
      <c r="F332" s="80">
        <f t="shared" si="267"/>
        <v>0</v>
      </c>
      <c r="G332" s="80">
        <f t="shared" si="276"/>
        <v>0</v>
      </c>
      <c r="H332" s="194"/>
      <c r="I332" s="80">
        <f t="shared" si="251"/>
        <v>0</v>
      </c>
      <c r="J332" s="80">
        <f t="shared" si="277"/>
        <v>0</v>
      </c>
      <c r="K332" s="194"/>
      <c r="L332" s="80">
        <f t="shared" si="252"/>
        <v>0</v>
      </c>
      <c r="M332" s="80">
        <f t="shared" si="270"/>
        <v>0</v>
      </c>
      <c r="N332" s="194"/>
      <c r="O332" s="80">
        <f t="shared" si="253"/>
        <v>0</v>
      </c>
      <c r="P332" s="80">
        <f t="shared" si="278"/>
        <v>0</v>
      </c>
      <c r="Q332" s="194"/>
      <c r="R332" s="80">
        <f t="shared" si="254"/>
        <v>0</v>
      </c>
      <c r="S332" s="80">
        <f t="shared" si="271"/>
        <v>0</v>
      </c>
      <c r="T332" s="80"/>
      <c r="U332" s="80">
        <f t="shared" si="268"/>
        <v>0</v>
      </c>
      <c r="V332" s="215">
        <f t="shared" si="269"/>
        <v>0</v>
      </c>
      <c r="W332" s="224"/>
      <c r="X332" s="80"/>
      <c r="Y332" s="80">
        <f t="shared" si="272"/>
        <v>0</v>
      </c>
      <c r="Z332" s="194"/>
      <c r="AA332" s="80">
        <f t="shared" si="257"/>
        <v>0</v>
      </c>
      <c r="AB332" s="80">
        <f t="shared" si="279"/>
        <v>0</v>
      </c>
      <c r="AC332" s="194"/>
      <c r="AD332" s="80">
        <f t="shared" si="273"/>
        <v>0</v>
      </c>
      <c r="AE332" s="80">
        <f t="shared" si="280"/>
        <v>0</v>
      </c>
      <c r="AF332" s="194"/>
      <c r="AG332" s="80">
        <f t="shared" si="255"/>
        <v>0</v>
      </c>
      <c r="AH332" s="80">
        <f t="shared" si="274"/>
        <v>0</v>
      </c>
      <c r="AI332" s="194"/>
      <c r="AJ332" s="80">
        <f t="shared" si="249"/>
        <v>0</v>
      </c>
      <c r="AK332" s="80">
        <f t="shared" si="281"/>
        <v>0</v>
      </c>
      <c r="AL332" s="194"/>
      <c r="AM332" s="80">
        <f t="shared" si="256"/>
        <v>0</v>
      </c>
      <c r="AN332" s="17">
        <f t="shared" si="282"/>
        <v>0</v>
      </c>
      <c r="AO332" s="235">
        <f t="shared" si="266"/>
        <v>0</v>
      </c>
      <c r="AP332" s="19"/>
      <c r="AS332" s="229"/>
      <c r="AT332" s="4"/>
      <c r="AU332" s="114"/>
    </row>
    <row r="333" spans="1:47">
      <c r="A333" s="15">
        <v>45257</v>
      </c>
      <c r="B333" s="194">
        <v>0</v>
      </c>
      <c r="C333" s="80">
        <f t="shared" si="250"/>
        <v>0</v>
      </c>
      <c r="D333" s="80">
        <f t="shared" si="275"/>
        <v>0</v>
      </c>
      <c r="E333" s="194"/>
      <c r="F333" s="80">
        <f t="shared" si="267"/>
        <v>0</v>
      </c>
      <c r="G333" s="80">
        <f t="shared" si="276"/>
        <v>0</v>
      </c>
      <c r="H333" s="194"/>
      <c r="I333" s="80">
        <f t="shared" si="251"/>
        <v>0</v>
      </c>
      <c r="J333" s="80">
        <f t="shared" si="277"/>
        <v>0</v>
      </c>
      <c r="K333" s="194"/>
      <c r="L333" s="80">
        <f t="shared" si="252"/>
        <v>0</v>
      </c>
      <c r="M333" s="80">
        <f t="shared" si="270"/>
        <v>0</v>
      </c>
      <c r="N333" s="194"/>
      <c r="O333" s="80">
        <f t="shared" si="253"/>
        <v>0</v>
      </c>
      <c r="P333" s="80">
        <f t="shared" si="278"/>
        <v>0</v>
      </c>
      <c r="Q333" s="194"/>
      <c r="R333" s="80">
        <f t="shared" si="254"/>
        <v>0</v>
      </c>
      <c r="S333" s="80">
        <f t="shared" si="271"/>
        <v>0</v>
      </c>
      <c r="T333" s="80"/>
      <c r="U333" s="80">
        <f t="shared" si="268"/>
        <v>0</v>
      </c>
      <c r="V333" s="215">
        <f t="shared" si="269"/>
        <v>0</v>
      </c>
      <c r="W333" s="224"/>
      <c r="X333" s="80"/>
      <c r="Y333" s="80">
        <f t="shared" si="272"/>
        <v>0</v>
      </c>
      <c r="Z333" s="194"/>
      <c r="AA333" s="80">
        <f t="shared" si="257"/>
        <v>0</v>
      </c>
      <c r="AB333" s="80">
        <f t="shared" si="279"/>
        <v>0</v>
      </c>
      <c r="AC333" s="194"/>
      <c r="AD333" s="80">
        <f t="shared" si="273"/>
        <v>0</v>
      </c>
      <c r="AE333" s="80">
        <f t="shared" si="280"/>
        <v>0</v>
      </c>
      <c r="AF333" s="194"/>
      <c r="AG333" s="80">
        <f t="shared" si="255"/>
        <v>0</v>
      </c>
      <c r="AH333" s="80">
        <f t="shared" si="274"/>
        <v>0</v>
      </c>
      <c r="AI333" s="194"/>
      <c r="AJ333" s="80">
        <f t="shared" si="249"/>
        <v>0</v>
      </c>
      <c r="AK333" s="80">
        <f t="shared" si="281"/>
        <v>0</v>
      </c>
      <c r="AL333" s="194"/>
      <c r="AM333" s="80">
        <f t="shared" si="256"/>
        <v>0</v>
      </c>
      <c r="AN333" s="17">
        <f t="shared" si="282"/>
        <v>0</v>
      </c>
      <c r="AO333" s="235">
        <f t="shared" si="266"/>
        <v>0</v>
      </c>
      <c r="AP333" s="19"/>
      <c r="AS333" s="229"/>
      <c r="AT333" s="4"/>
      <c r="AU333" s="114"/>
    </row>
    <row r="334" spans="1:47">
      <c r="A334" s="15">
        <v>45258</v>
      </c>
      <c r="B334" s="194">
        <v>0</v>
      </c>
      <c r="C334" s="80">
        <f t="shared" si="250"/>
        <v>0</v>
      </c>
      <c r="D334" s="80">
        <f t="shared" si="275"/>
        <v>0</v>
      </c>
      <c r="E334" s="194"/>
      <c r="F334" s="80">
        <f t="shared" si="267"/>
        <v>0</v>
      </c>
      <c r="G334" s="80">
        <f t="shared" si="276"/>
        <v>0</v>
      </c>
      <c r="H334" s="194"/>
      <c r="I334" s="80">
        <f t="shared" si="251"/>
        <v>0</v>
      </c>
      <c r="J334" s="80">
        <f t="shared" si="277"/>
        <v>0</v>
      </c>
      <c r="K334" s="194"/>
      <c r="L334" s="80">
        <f t="shared" si="252"/>
        <v>0</v>
      </c>
      <c r="M334" s="80">
        <f t="shared" si="270"/>
        <v>0</v>
      </c>
      <c r="N334" s="194"/>
      <c r="O334" s="80">
        <f t="shared" si="253"/>
        <v>0</v>
      </c>
      <c r="P334" s="80">
        <f t="shared" si="278"/>
        <v>0</v>
      </c>
      <c r="Q334" s="194"/>
      <c r="R334" s="80">
        <f t="shared" si="254"/>
        <v>0</v>
      </c>
      <c r="S334" s="80">
        <f t="shared" si="271"/>
        <v>0</v>
      </c>
      <c r="T334" s="80"/>
      <c r="U334" s="80">
        <f t="shared" si="268"/>
        <v>0</v>
      </c>
      <c r="V334" s="215">
        <f t="shared" si="269"/>
        <v>0</v>
      </c>
      <c r="W334" s="224"/>
      <c r="X334" s="80"/>
      <c r="Y334" s="80">
        <f t="shared" si="272"/>
        <v>0</v>
      </c>
      <c r="Z334" s="194"/>
      <c r="AA334" s="80">
        <f t="shared" si="257"/>
        <v>0</v>
      </c>
      <c r="AB334" s="80">
        <f t="shared" si="279"/>
        <v>0</v>
      </c>
      <c r="AC334" s="194"/>
      <c r="AD334" s="80">
        <f t="shared" si="273"/>
        <v>0</v>
      </c>
      <c r="AE334" s="80">
        <f t="shared" si="280"/>
        <v>0</v>
      </c>
      <c r="AF334" s="194"/>
      <c r="AG334" s="80">
        <f t="shared" si="255"/>
        <v>0</v>
      </c>
      <c r="AH334" s="80">
        <f t="shared" si="274"/>
        <v>0</v>
      </c>
      <c r="AI334" s="194"/>
      <c r="AJ334" s="80">
        <f t="shared" si="249"/>
        <v>0</v>
      </c>
      <c r="AK334" s="80">
        <f t="shared" si="281"/>
        <v>0</v>
      </c>
      <c r="AL334" s="194"/>
      <c r="AM334" s="80">
        <f t="shared" si="256"/>
        <v>0</v>
      </c>
      <c r="AN334" s="17">
        <f t="shared" si="282"/>
        <v>0</v>
      </c>
      <c r="AO334" s="235">
        <f t="shared" si="266"/>
        <v>0</v>
      </c>
      <c r="AP334" s="19"/>
      <c r="AS334" s="229"/>
      <c r="AT334" s="4"/>
      <c r="AU334" s="114"/>
    </row>
    <row r="335" spans="1:47">
      <c r="A335" s="15">
        <v>45259</v>
      </c>
      <c r="B335" s="194">
        <v>0</v>
      </c>
      <c r="C335" s="80">
        <f t="shared" si="250"/>
        <v>0</v>
      </c>
      <c r="D335" s="80">
        <f t="shared" si="275"/>
        <v>0</v>
      </c>
      <c r="E335" s="194"/>
      <c r="F335" s="80">
        <f t="shared" si="267"/>
        <v>0</v>
      </c>
      <c r="G335" s="80">
        <f t="shared" si="276"/>
        <v>0</v>
      </c>
      <c r="H335" s="194"/>
      <c r="I335" s="80">
        <f t="shared" si="251"/>
        <v>0</v>
      </c>
      <c r="J335" s="80">
        <f t="shared" si="277"/>
        <v>0</v>
      </c>
      <c r="K335" s="194"/>
      <c r="L335" s="80">
        <f t="shared" si="252"/>
        <v>0</v>
      </c>
      <c r="M335" s="80">
        <f t="shared" si="270"/>
        <v>0</v>
      </c>
      <c r="N335" s="194"/>
      <c r="O335" s="80">
        <f t="shared" si="253"/>
        <v>0</v>
      </c>
      <c r="P335" s="80">
        <f t="shared" si="278"/>
        <v>0</v>
      </c>
      <c r="Q335" s="194"/>
      <c r="R335" s="80">
        <f t="shared" si="254"/>
        <v>0</v>
      </c>
      <c r="S335" s="80">
        <f t="shared" si="271"/>
        <v>0</v>
      </c>
      <c r="T335" s="80"/>
      <c r="U335" s="80">
        <f t="shared" si="268"/>
        <v>0</v>
      </c>
      <c r="V335" s="215">
        <f t="shared" si="269"/>
        <v>0</v>
      </c>
      <c r="W335" s="224"/>
      <c r="X335" s="80"/>
      <c r="Y335" s="80">
        <f t="shared" si="272"/>
        <v>0</v>
      </c>
      <c r="Z335" s="194"/>
      <c r="AA335" s="80">
        <f t="shared" si="257"/>
        <v>0</v>
      </c>
      <c r="AB335" s="80">
        <f t="shared" si="279"/>
        <v>0</v>
      </c>
      <c r="AC335" s="194"/>
      <c r="AD335" s="80">
        <f t="shared" si="273"/>
        <v>0</v>
      </c>
      <c r="AE335" s="80">
        <f t="shared" si="280"/>
        <v>0</v>
      </c>
      <c r="AF335" s="194"/>
      <c r="AG335" s="80">
        <f t="shared" si="255"/>
        <v>0</v>
      </c>
      <c r="AH335" s="80">
        <f t="shared" si="274"/>
        <v>0</v>
      </c>
      <c r="AI335" s="194"/>
      <c r="AJ335" s="80">
        <f t="shared" si="249"/>
        <v>0</v>
      </c>
      <c r="AK335" s="80">
        <f t="shared" si="281"/>
        <v>0</v>
      </c>
      <c r="AL335" s="194"/>
      <c r="AM335" s="80">
        <f t="shared" si="256"/>
        <v>0</v>
      </c>
      <c r="AN335" s="17">
        <f t="shared" si="282"/>
        <v>0</v>
      </c>
      <c r="AO335" s="235">
        <f t="shared" si="266"/>
        <v>0</v>
      </c>
      <c r="AP335" s="19"/>
      <c r="AS335" s="229"/>
      <c r="AT335" s="4"/>
      <c r="AU335" s="114"/>
    </row>
    <row r="336" spans="1:47">
      <c r="A336" s="15">
        <v>45260</v>
      </c>
      <c r="B336" s="194">
        <v>0</v>
      </c>
      <c r="C336" s="80">
        <f t="shared" si="250"/>
        <v>0</v>
      </c>
      <c r="D336" s="80">
        <f t="shared" si="275"/>
        <v>0</v>
      </c>
      <c r="E336" s="194"/>
      <c r="F336" s="80">
        <f t="shared" si="267"/>
        <v>0</v>
      </c>
      <c r="G336" s="80">
        <f t="shared" si="276"/>
        <v>0</v>
      </c>
      <c r="H336" s="194"/>
      <c r="I336" s="80">
        <f t="shared" si="251"/>
        <v>0</v>
      </c>
      <c r="J336" s="80">
        <f t="shared" si="277"/>
        <v>0</v>
      </c>
      <c r="K336" s="194"/>
      <c r="L336" s="80">
        <f t="shared" si="252"/>
        <v>0</v>
      </c>
      <c r="M336" s="80">
        <f t="shared" si="270"/>
        <v>0</v>
      </c>
      <c r="N336" s="194"/>
      <c r="O336" s="80">
        <f t="shared" si="253"/>
        <v>0</v>
      </c>
      <c r="P336" s="80">
        <f t="shared" si="278"/>
        <v>0</v>
      </c>
      <c r="Q336" s="194"/>
      <c r="R336" s="80">
        <f t="shared" si="254"/>
        <v>0</v>
      </c>
      <c r="S336" s="80">
        <f t="shared" si="271"/>
        <v>0</v>
      </c>
      <c r="T336" s="80"/>
      <c r="U336" s="80">
        <f t="shared" si="268"/>
        <v>0</v>
      </c>
      <c r="V336" s="215">
        <f t="shared" si="269"/>
        <v>0</v>
      </c>
      <c r="W336" s="224"/>
      <c r="X336" s="80"/>
      <c r="Y336" s="80">
        <f t="shared" si="272"/>
        <v>0</v>
      </c>
      <c r="Z336" s="194"/>
      <c r="AA336" s="80">
        <f t="shared" si="257"/>
        <v>0</v>
      </c>
      <c r="AB336" s="80">
        <f t="shared" si="279"/>
        <v>0</v>
      </c>
      <c r="AC336" s="194"/>
      <c r="AD336" s="80">
        <f t="shared" si="273"/>
        <v>0</v>
      </c>
      <c r="AE336" s="80">
        <f t="shared" si="280"/>
        <v>0</v>
      </c>
      <c r="AF336" s="194"/>
      <c r="AG336" s="80">
        <f t="shared" si="255"/>
        <v>0</v>
      </c>
      <c r="AH336" s="80">
        <f t="shared" si="274"/>
        <v>0</v>
      </c>
      <c r="AI336" s="194"/>
      <c r="AJ336" s="80">
        <f t="shared" si="249"/>
        <v>0</v>
      </c>
      <c r="AK336" s="80">
        <f t="shared" si="281"/>
        <v>0</v>
      </c>
      <c r="AL336" s="194"/>
      <c r="AM336" s="80">
        <f t="shared" si="256"/>
        <v>0</v>
      </c>
      <c r="AN336" s="17">
        <f t="shared" si="282"/>
        <v>0</v>
      </c>
      <c r="AO336" s="235">
        <f t="shared" si="266"/>
        <v>0</v>
      </c>
      <c r="AP336" s="19"/>
      <c r="AS336" s="229"/>
      <c r="AT336" s="4"/>
      <c r="AU336" s="114"/>
    </row>
    <row r="337" spans="1:47">
      <c r="A337" s="15">
        <v>45261</v>
      </c>
      <c r="B337" s="194">
        <v>0</v>
      </c>
      <c r="C337" s="80">
        <f t="shared" si="250"/>
        <v>0</v>
      </c>
      <c r="D337" s="80">
        <f t="shared" si="275"/>
        <v>0</v>
      </c>
      <c r="E337" s="194"/>
      <c r="F337" s="80">
        <f t="shared" si="267"/>
        <v>0</v>
      </c>
      <c r="G337" s="80">
        <f t="shared" si="276"/>
        <v>0</v>
      </c>
      <c r="H337" s="194"/>
      <c r="I337" s="80">
        <f t="shared" si="251"/>
        <v>0</v>
      </c>
      <c r="J337" s="80">
        <f t="shared" si="277"/>
        <v>0</v>
      </c>
      <c r="K337" s="194"/>
      <c r="L337" s="80">
        <f t="shared" si="252"/>
        <v>0</v>
      </c>
      <c r="M337" s="80">
        <f t="shared" si="270"/>
        <v>0</v>
      </c>
      <c r="N337" s="194"/>
      <c r="O337" s="80">
        <f t="shared" si="253"/>
        <v>0</v>
      </c>
      <c r="P337" s="80">
        <f t="shared" si="278"/>
        <v>0</v>
      </c>
      <c r="Q337" s="194"/>
      <c r="R337" s="80">
        <f t="shared" si="254"/>
        <v>0</v>
      </c>
      <c r="S337" s="80">
        <f t="shared" si="271"/>
        <v>0</v>
      </c>
      <c r="T337" s="80"/>
      <c r="U337" s="80">
        <f t="shared" si="268"/>
        <v>0</v>
      </c>
      <c r="V337" s="215">
        <f t="shared" si="269"/>
        <v>0</v>
      </c>
      <c r="W337" s="224"/>
      <c r="X337" s="80"/>
      <c r="Y337" s="80">
        <f t="shared" si="272"/>
        <v>0</v>
      </c>
      <c r="Z337" s="194"/>
      <c r="AA337" s="80">
        <f t="shared" si="257"/>
        <v>0</v>
      </c>
      <c r="AB337" s="80">
        <f t="shared" si="279"/>
        <v>0</v>
      </c>
      <c r="AC337" s="194"/>
      <c r="AD337" s="80">
        <f t="shared" si="273"/>
        <v>0</v>
      </c>
      <c r="AE337" s="80">
        <f t="shared" si="280"/>
        <v>0</v>
      </c>
      <c r="AF337" s="194"/>
      <c r="AG337" s="80">
        <f t="shared" si="255"/>
        <v>0</v>
      </c>
      <c r="AH337" s="80">
        <f t="shared" si="274"/>
        <v>0</v>
      </c>
      <c r="AI337" s="194"/>
      <c r="AJ337" s="80">
        <f t="shared" si="249"/>
        <v>0</v>
      </c>
      <c r="AK337" s="80">
        <f t="shared" si="281"/>
        <v>0</v>
      </c>
      <c r="AL337" s="194"/>
      <c r="AM337" s="80">
        <f t="shared" si="256"/>
        <v>0</v>
      </c>
      <c r="AN337" s="17">
        <f t="shared" si="282"/>
        <v>0</v>
      </c>
      <c r="AO337" s="235">
        <f t="shared" si="266"/>
        <v>0</v>
      </c>
      <c r="AP337" s="19"/>
      <c r="AS337" s="229"/>
      <c r="AT337" s="4"/>
      <c r="AU337" s="114"/>
    </row>
    <row r="338" spans="1:47">
      <c r="A338" s="15">
        <v>45262</v>
      </c>
      <c r="B338" s="194">
        <v>0</v>
      </c>
      <c r="C338" s="80">
        <f t="shared" si="250"/>
        <v>0</v>
      </c>
      <c r="D338" s="80">
        <f t="shared" si="275"/>
        <v>0</v>
      </c>
      <c r="E338" s="194"/>
      <c r="F338" s="80">
        <f t="shared" si="267"/>
        <v>0</v>
      </c>
      <c r="G338" s="80">
        <f t="shared" si="276"/>
        <v>0</v>
      </c>
      <c r="H338" s="194"/>
      <c r="I338" s="80">
        <f t="shared" si="251"/>
        <v>0</v>
      </c>
      <c r="J338" s="80">
        <f t="shared" si="277"/>
        <v>0</v>
      </c>
      <c r="K338" s="194"/>
      <c r="L338" s="80">
        <f t="shared" si="252"/>
        <v>0</v>
      </c>
      <c r="M338" s="80">
        <f t="shared" si="270"/>
        <v>0</v>
      </c>
      <c r="N338" s="194"/>
      <c r="O338" s="80">
        <f t="shared" si="253"/>
        <v>0</v>
      </c>
      <c r="P338" s="80">
        <f t="shared" si="278"/>
        <v>0</v>
      </c>
      <c r="Q338" s="194"/>
      <c r="R338" s="80">
        <f t="shared" si="254"/>
        <v>0</v>
      </c>
      <c r="S338" s="80">
        <f t="shared" si="271"/>
        <v>0</v>
      </c>
      <c r="T338" s="80"/>
      <c r="U338" s="80">
        <f t="shared" si="268"/>
        <v>0</v>
      </c>
      <c r="V338" s="215">
        <f t="shared" si="269"/>
        <v>0</v>
      </c>
      <c r="W338" s="224"/>
      <c r="X338" s="80"/>
      <c r="Y338" s="80">
        <f t="shared" si="272"/>
        <v>0</v>
      </c>
      <c r="Z338" s="194"/>
      <c r="AA338" s="80">
        <f t="shared" si="257"/>
        <v>0</v>
      </c>
      <c r="AB338" s="80">
        <f t="shared" si="279"/>
        <v>0</v>
      </c>
      <c r="AC338" s="194"/>
      <c r="AD338" s="80">
        <f t="shared" si="273"/>
        <v>0</v>
      </c>
      <c r="AE338" s="80">
        <f t="shared" si="280"/>
        <v>0</v>
      </c>
      <c r="AF338" s="194"/>
      <c r="AG338" s="80">
        <f t="shared" si="255"/>
        <v>0</v>
      </c>
      <c r="AH338" s="80">
        <f t="shared" si="274"/>
        <v>0</v>
      </c>
      <c r="AI338" s="194"/>
      <c r="AJ338" s="80">
        <f t="shared" si="249"/>
        <v>0</v>
      </c>
      <c r="AK338" s="80">
        <f t="shared" si="281"/>
        <v>0</v>
      </c>
      <c r="AL338" s="194"/>
      <c r="AM338" s="80">
        <f t="shared" si="256"/>
        <v>0</v>
      </c>
      <c r="AN338" s="17">
        <f t="shared" si="282"/>
        <v>0</v>
      </c>
      <c r="AO338" s="235">
        <f t="shared" si="266"/>
        <v>0</v>
      </c>
      <c r="AP338" s="19"/>
      <c r="AS338" s="229"/>
      <c r="AT338" s="4"/>
      <c r="AU338" s="114"/>
    </row>
    <row r="339" spans="1:47">
      <c r="A339" s="15">
        <v>45263</v>
      </c>
      <c r="B339" s="194">
        <v>0</v>
      </c>
      <c r="C339" s="80">
        <f t="shared" si="250"/>
        <v>0</v>
      </c>
      <c r="D339" s="80">
        <f t="shared" si="275"/>
        <v>0</v>
      </c>
      <c r="E339" s="194"/>
      <c r="F339" s="80">
        <f t="shared" si="267"/>
        <v>0</v>
      </c>
      <c r="G339" s="80">
        <f t="shared" si="276"/>
        <v>0</v>
      </c>
      <c r="H339" s="194"/>
      <c r="I339" s="80">
        <f t="shared" si="251"/>
        <v>0</v>
      </c>
      <c r="J339" s="80">
        <f t="shared" si="277"/>
        <v>0</v>
      </c>
      <c r="K339" s="194"/>
      <c r="L339" s="80">
        <f t="shared" si="252"/>
        <v>0</v>
      </c>
      <c r="M339" s="80">
        <f t="shared" si="270"/>
        <v>0</v>
      </c>
      <c r="N339" s="194"/>
      <c r="O339" s="80">
        <f t="shared" si="253"/>
        <v>0</v>
      </c>
      <c r="P339" s="80">
        <f t="shared" si="278"/>
        <v>0</v>
      </c>
      <c r="Q339" s="194"/>
      <c r="R339" s="80">
        <f t="shared" si="254"/>
        <v>0</v>
      </c>
      <c r="S339" s="80">
        <f t="shared" si="271"/>
        <v>0</v>
      </c>
      <c r="T339" s="80"/>
      <c r="U339" s="80">
        <f t="shared" si="268"/>
        <v>0</v>
      </c>
      <c r="V339" s="215">
        <f t="shared" si="269"/>
        <v>0</v>
      </c>
      <c r="W339" s="224"/>
      <c r="X339" s="80"/>
      <c r="Y339" s="80">
        <f t="shared" si="272"/>
        <v>0</v>
      </c>
      <c r="Z339" s="194"/>
      <c r="AA339" s="80">
        <f t="shared" si="257"/>
        <v>0</v>
      </c>
      <c r="AB339" s="80">
        <f t="shared" si="279"/>
        <v>0</v>
      </c>
      <c r="AC339" s="194"/>
      <c r="AD339" s="80">
        <f t="shared" si="273"/>
        <v>0</v>
      </c>
      <c r="AE339" s="80">
        <f t="shared" si="280"/>
        <v>0</v>
      </c>
      <c r="AF339" s="194"/>
      <c r="AG339" s="80">
        <f t="shared" si="255"/>
        <v>0</v>
      </c>
      <c r="AH339" s="80">
        <f t="shared" si="274"/>
        <v>0</v>
      </c>
      <c r="AI339" s="194"/>
      <c r="AJ339" s="80">
        <f t="shared" si="249"/>
        <v>0</v>
      </c>
      <c r="AK339" s="80">
        <f t="shared" si="281"/>
        <v>0</v>
      </c>
      <c r="AL339" s="194"/>
      <c r="AM339" s="80">
        <f t="shared" si="256"/>
        <v>0</v>
      </c>
      <c r="AN339" s="17">
        <f t="shared" si="282"/>
        <v>0</v>
      </c>
      <c r="AO339" s="235">
        <f t="shared" si="266"/>
        <v>0</v>
      </c>
      <c r="AP339" s="19"/>
    </row>
    <row r="340" spans="1:47">
      <c r="A340" s="15">
        <v>45264</v>
      </c>
      <c r="B340" s="194">
        <v>0</v>
      </c>
      <c r="C340" s="80">
        <f t="shared" si="250"/>
        <v>0</v>
      </c>
      <c r="D340" s="80">
        <f t="shared" si="275"/>
        <v>0</v>
      </c>
      <c r="E340" s="194"/>
      <c r="F340" s="80">
        <f t="shared" si="267"/>
        <v>0</v>
      </c>
      <c r="G340" s="80">
        <f t="shared" si="276"/>
        <v>0</v>
      </c>
      <c r="H340" s="194"/>
      <c r="I340" s="80">
        <f t="shared" si="251"/>
        <v>0</v>
      </c>
      <c r="J340" s="80">
        <f t="shared" si="277"/>
        <v>0</v>
      </c>
      <c r="K340" s="194"/>
      <c r="L340" s="80">
        <f t="shared" si="252"/>
        <v>0</v>
      </c>
      <c r="M340" s="80">
        <f t="shared" si="270"/>
        <v>0</v>
      </c>
      <c r="N340" s="194"/>
      <c r="O340" s="80">
        <f t="shared" si="253"/>
        <v>0</v>
      </c>
      <c r="P340" s="80">
        <f t="shared" si="278"/>
        <v>0</v>
      </c>
      <c r="Q340" s="194"/>
      <c r="R340" s="80">
        <f t="shared" si="254"/>
        <v>0</v>
      </c>
      <c r="S340" s="80">
        <f t="shared" si="271"/>
        <v>0</v>
      </c>
      <c r="T340" s="80"/>
      <c r="U340" s="80">
        <f t="shared" si="268"/>
        <v>0</v>
      </c>
      <c r="V340" s="215">
        <f t="shared" si="269"/>
        <v>0</v>
      </c>
      <c r="W340" s="224"/>
      <c r="X340" s="80"/>
      <c r="Y340" s="80">
        <f t="shared" si="272"/>
        <v>0</v>
      </c>
      <c r="Z340" s="194"/>
      <c r="AA340" s="80">
        <f t="shared" si="257"/>
        <v>0</v>
      </c>
      <c r="AB340" s="80">
        <f t="shared" si="279"/>
        <v>0</v>
      </c>
      <c r="AC340" s="194"/>
      <c r="AD340" s="80">
        <f t="shared" si="273"/>
        <v>0</v>
      </c>
      <c r="AE340" s="80">
        <f t="shared" si="280"/>
        <v>0</v>
      </c>
      <c r="AF340" s="194"/>
      <c r="AG340" s="80">
        <f t="shared" si="255"/>
        <v>0</v>
      </c>
      <c r="AH340" s="80">
        <f t="shared" si="274"/>
        <v>0</v>
      </c>
      <c r="AI340" s="194"/>
      <c r="AJ340" s="80">
        <f t="shared" si="249"/>
        <v>0</v>
      </c>
      <c r="AK340" s="80">
        <f t="shared" si="281"/>
        <v>0</v>
      </c>
      <c r="AL340" s="194"/>
      <c r="AM340" s="80">
        <f t="shared" si="256"/>
        <v>0</v>
      </c>
      <c r="AN340" s="17">
        <f t="shared" si="282"/>
        <v>0</v>
      </c>
      <c r="AO340" s="235">
        <f t="shared" si="266"/>
        <v>0</v>
      </c>
      <c r="AP340" s="19"/>
    </row>
    <row r="341" spans="1:47">
      <c r="A341" s="15">
        <v>45265</v>
      </c>
      <c r="B341" s="194">
        <v>0</v>
      </c>
      <c r="C341" s="80">
        <f t="shared" si="250"/>
        <v>0</v>
      </c>
      <c r="D341" s="80">
        <f t="shared" si="275"/>
        <v>0</v>
      </c>
      <c r="E341" s="194"/>
      <c r="F341" s="80">
        <f t="shared" si="267"/>
        <v>0</v>
      </c>
      <c r="G341" s="80">
        <f t="shared" si="276"/>
        <v>0</v>
      </c>
      <c r="H341" s="194"/>
      <c r="I341" s="80">
        <f t="shared" si="251"/>
        <v>0</v>
      </c>
      <c r="J341" s="80">
        <f t="shared" si="277"/>
        <v>0</v>
      </c>
      <c r="K341" s="194"/>
      <c r="L341" s="80">
        <f t="shared" si="252"/>
        <v>0</v>
      </c>
      <c r="M341" s="80">
        <f t="shared" si="270"/>
        <v>0</v>
      </c>
      <c r="N341" s="194"/>
      <c r="O341" s="80">
        <f t="shared" si="253"/>
        <v>0</v>
      </c>
      <c r="P341" s="80">
        <f t="shared" si="278"/>
        <v>0</v>
      </c>
      <c r="Q341" s="194"/>
      <c r="R341" s="80">
        <f t="shared" si="254"/>
        <v>0</v>
      </c>
      <c r="S341" s="80">
        <f t="shared" si="271"/>
        <v>0</v>
      </c>
      <c r="T341" s="80"/>
      <c r="U341" s="80">
        <f t="shared" si="268"/>
        <v>0</v>
      </c>
      <c r="V341" s="215">
        <f t="shared" si="269"/>
        <v>0</v>
      </c>
      <c r="W341" s="224"/>
      <c r="X341" s="80"/>
      <c r="Y341" s="80">
        <f t="shared" si="272"/>
        <v>0</v>
      </c>
      <c r="Z341" s="194"/>
      <c r="AA341" s="80">
        <f t="shared" si="257"/>
        <v>0</v>
      </c>
      <c r="AB341" s="80">
        <f t="shared" si="279"/>
        <v>0</v>
      </c>
      <c r="AC341" s="194"/>
      <c r="AD341" s="80">
        <f t="shared" si="273"/>
        <v>0</v>
      </c>
      <c r="AE341" s="80">
        <f t="shared" si="280"/>
        <v>0</v>
      </c>
      <c r="AF341" s="194"/>
      <c r="AG341" s="80">
        <f t="shared" si="255"/>
        <v>0</v>
      </c>
      <c r="AH341" s="80">
        <f t="shared" si="274"/>
        <v>0</v>
      </c>
      <c r="AI341" s="194"/>
      <c r="AJ341" s="80">
        <f t="shared" si="249"/>
        <v>0</v>
      </c>
      <c r="AK341" s="80">
        <f t="shared" si="281"/>
        <v>0</v>
      </c>
      <c r="AL341" s="194"/>
      <c r="AM341" s="80">
        <f t="shared" si="256"/>
        <v>0</v>
      </c>
      <c r="AN341" s="17">
        <f t="shared" si="282"/>
        <v>0</v>
      </c>
      <c r="AO341" s="235">
        <f t="shared" si="266"/>
        <v>0</v>
      </c>
      <c r="AP341" s="19"/>
    </row>
    <row r="342" spans="1:47">
      <c r="A342" s="15">
        <v>45266</v>
      </c>
      <c r="B342" s="194">
        <v>0</v>
      </c>
      <c r="C342" s="80">
        <f t="shared" si="250"/>
        <v>0</v>
      </c>
      <c r="D342" s="80">
        <f t="shared" si="275"/>
        <v>0</v>
      </c>
      <c r="E342" s="194"/>
      <c r="F342" s="80">
        <f t="shared" si="267"/>
        <v>0</v>
      </c>
      <c r="G342" s="80">
        <f t="shared" si="276"/>
        <v>0</v>
      </c>
      <c r="H342" s="194"/>
      <c r="I342" s="80">
        <f t="shared" si="251"/>
        <v>0</v>
      </c>
      <c r="J342" s="80">
        <f t="shared" si="277"/>
        <v>0</v>
      </c>
      <c r="K342" s="194"/>
      <c r="L342" s="80">
        <f t="shared" si="252"/>
        <v>0</v>
      </c>
      <c r="M342" s="80">
        <f t="shared" si="270"/>
        <v>0</v>
      </c>
      <c r="N342" s="194"/>
      <c r="O342" s="80">
        <f t="shared" si="253"/>
        <v>0</v>
      </c>
      <c r="P342" s="80">
        <f t="shared" si="278"/>
        <v>0</v>
      </c>
      <c r="Q342" s="194"/>
      <c r="R342" s="80">
        <f t="shared" si="254"/>
        <v>0</v>
      </c>
      <c r="S342" s="80">
        <f t="shared" si="271"/>
        <v>0</v>
      </c>
      <c r="T342" s="80"/>
      <c r="U342" s="80">
        <f t="shared" si="268"/>
        <v>0</v>
      </c>
      <c r="V342" s="215">
        <f t="shared" si="269"/>
        <v>0</v>
      </c>
      <c r="W342" s="224"/>
      <c r="X342" s="80"/>
      <c r="Y342" s="80">
        <f t="shared" si="272"/>
        <v>0</v>
      </c>
      <c r="Z342" s="194"/>
      <c r="AA342" s="80">
        <f t="shared" si="257"/>
        <v>0</v>
      </c>
      <c r="AB342" s="80">
        <f t="shared" si="279"/>
        <v>0</v>
      </c>
      <c r="AC342" s="194"/>
      <c r="AD342" s="80">
        <f t="shared" si="273"/>
        <v>0</v>
      </c>
      <c r="AE342" s="80">
        <f t="shared" si="280"/>
        <v>0</v>
      </c>
      <c r="AF342" s="194"/>
      <c r="AG342" s="80">
        <f t="shared" si="255"/>
        <v>0</v>
      </c>
      <c r="AH342" s="80">
        <f t="shared" si="274"/>
        <v>0</v>
      </c>
      <c r="AI342" s="194"/>
      <c r="AJ342" s="80">
        <f t="shared" si="249"/>
        <v>0</v>
      </c>
      <c r="AK342" s="80">
        <f t="shared" si="281"/>
        <v>0</v>
      </c>
      <c r="AL342" s="194"/>
      <c r="AM342" s="80">
        <f t="shared" si="256"/>
        <v>0</v>
      </c>
      <c r="AN342" s="17">
        <f t="shared" si="282"/>
        <v>0</v>
      </c>
      <c r="AO342" s="235">
        <f t="shared" si="266"/>
        <v>0</v>
      </c>
      <c r="AP342" s="19"/>
    </row>
    <row r="343" spans="1:47">
      <c r="A343" s="15">
        <v>45267</v>
      </c>
      <c r="B343" s="194">
        <v>0</v>
      </c>
      <c r="C343" s="80">
        <f t="shared" si="250"/>
        <v>0</v>
      </c>
      <c r="D343" s="80">
        <f t="shared" si="275"/>
        <v>0</v>
      </c>
      <c r="E343" s="194"/>
      <c r="F343" s="80">
        <f t="shared" si="267"/>
        <v>0</v>
      </c>
      <c r="G343" s="80">
        <f t="shared" si="276"/>
        <v>0</v>
      </c>
      <c r="H343" s="194"/>
      <c r="I343" s="80">
        <f t="shared" si="251"/>
        <v>0</v>
      </c>
      <c r="J343" s="80">
        <f t="shared" si="277"/>
        <v>0</v>
      </c>
      <c r="K343" s="194"/>
      <c r="L343" s="80">
        <f t="shared" si="252"/>
        <v>0</v>
      </c>
      <c r="M343" s="80">
        <f t="shared" si="270"/>
        <v>0</v>
      </c>
      <c r="N343" s="194"/>
      <c r="O343" s="80">
        <f t="shared" si="253"/>
        <v>0</v>
      </c>
      <c r="P343" s="80">
        <f t="shared" si="278"/>
        <v>0</v>
      </c>
      <c r="Q343" s="194"/>
      <c r="R343" s="80">
        <f t="shared" si="254"/>
        <v>0</v>
      </c>
      <c r="S343" s="80">
        <f t="shared" si="271"/>
        <v>0</v>
      </c>
      <c r="T343" s="80"/>
      <c r="U343" s="80">
        <f t="shared" si="268"/>
        <v>0</v>
      </c>
      <c r="V343" s="215">
        <f t="shared" si="269"/>
        <v>0</v>
      </c>
      <c r="W343" s="224"/>
      <c r="X343" s="80"/>
      <c r="Y343" s="80">
        <f t="shared" si="272"/>
        <v>0</v>
      </c>
      <c r="Z343" s="194"/>
      <c r="AA343" s="80">
        <f t="shared" si="257"/>
        <v>0</v>
      </c>
      <c r="AB343" s="80">
        <f t="shared" si="279"/>
        <v>0</v>
      </c>
      <c r="AC343" s="194"/>
      <c r="AD343" s="80">
        <f t="shared" si="273"/>
        <v>0</v>
      </c>
      <c r="AE343" s="80">
        <f t="shared" si="280"/>
        <v>0</v>
      </c>
      <c r="AF343" s="194"/>
      <c r="AG343" s="80">
        <f t="shared" si="255"/>
        <v>0</v>
      </c>
      <c r="AH343" s="80">
        <f t="shared" si="274"/>
        <v>0</v>
      </c>
      <c r="AI343" s="194"/>
      <c r="AJ343" s="80">
        <f t="shared" si="249"/>
        <v>0</v>
      </c>
      <c r="AK343" s="80">
        <f t="shared" si="281"/>
        <v>0</v>
      </c>
      <c r="AL343" s="194"/>
      <c r="AM343" s="80">
        <f t="shared" si="256"/>
        <v>0</v>
      </c>
      <c r="AN343" s="17">
        <f t="shared" si="282"/>
        <v>0</v>
      </c>
      <c r="AO343" s="235">
        <f t="shared" si="266"/>
        <v>0</v>
      </c>
      <c r="AP343" s="19"/>
    </row>
    <row r="344" spans="1:47">
      <c r="A344" s="15">
        <v>45268</v>
      </c>
      <c r="B344" s="194">
        <v>0</v>
      </c>
      <c r="C344" s="80">
        <f t="shared" si="250"/>
        <v>0</v>
      </c>
      <c r="D344" s="80">
        <f t="shared" si="275"/>
        <v>0</v>
      </c>
      <c r="E344" s="194"/>
      <c r="F344" s="80">
        <f t="shared" si="267"/>
        <v>0</v>
      </c>
      <c r="G344" s="80">
        <f t="shared" si="276"/>
        <v>0</v>
      </c>
      <c r="H344" s="194"/>
      <c r="I344" s="80">
        <f t="shared" si="251"/>
        <v>0</v>
      </c>
      <c r="J344" s="80">
        <f t="shared" si="277"/>
        <v>0</v>
      </c>
      <c r="K344" s="194"/>
      <c r="L344" s="80">
        <f t="shared" si="252"/>
        <v>0</v>
      </c>
      <c r="M344" s="80">
        <f t="shared" si="270"/>
        <v>0</v>
      </c>
      <c r="N344" s="194"/>
      <c r="O344" s="80">
        <f t="shared" si="253"/>
        <v>0</v>
      </c>
      <c r="P344" s="80">
        <f t="shared" si="278"/>
        <v>0</v>
      </c>
      <c r="Q344" s="194"/>
      <c r="R344" s="80">
        <f t="shared" si="254"/>
        <v>0</v>
      </c>
      <c r="S344" s="80">
        <f t="shared" si="271"/>
        <v>0</v>
      </c>
      <c r="T344" s="80"/>
      <c r="U344" s="80">
        <f t="shared" si="268"/>
        <v>0</v>
      </c>
      <c r="V344" s="215">
        <f t="shared" si="269"/>
        <v>0</v>
      </c>
      <c r="W344" s="224"/>
      <c r="X344" s="80"/>
      <c r="Y344" s="80">
        <f t="shared" si="272"/>
        <v>0</v>
      </c>
      <c r="Z344" s="194"/>
      <c r="AA344" s="80">
        <f t="shared" si="257"/>
        <v>0</v>
      </c>
      <c r="AB344" s="80">
        <f t="shared" si="279"/>
        <v>0</v>
      </c>
      <c r="AC344" s="194"/>
      <c r="AD344" s="80">
        <f t="shared" si="273"/>
        <v>0</v>
      </c>
      <c r="AE344" s="80">
        <f t="shared" si="280"/>
        <v>0</v>
      </c>
      <c r="AF344" s="194"/>
      <c r="AG344" s="80">
        <f t="shared" si="255"/>
        <v>0</v>
      </c>
      <c r="AH344" s="80">
        <f t="shared" si="274"/>
        <v>0</v>
      </c>
      <c r="AI344" s="194"/>
      <c r="AJ344" s="80">
        <f t="shared" si="249"/>
        <v>0</v>
      </c>
      <c r="AK344" s="80">
        <f t="shared" si="281"/>
        <v>0</v>
      </c>
      <c r="AL344" s="194"/>
      <c r="AM344" s="80">
        <f t="shared" si="256"/>
        <v>0</v>
      </c>
      <c r="AN344" s="17">
        <f t="shared" si="282"/>
        <v>0</v>
      </c>
      <c r="AO344" s="235">
        <f t="shared" si="266"/>
        <v>0</v>
      </c>
      <c r="AP344" s="19"/>
    </row>
    <row r="345" spans="1:47">
      <c r="A345" s="15">
        <v>45269</v>
      </c>
      <c r="B345" s="194">
        <v>0</v>
      </c>
      <c r="C345" s="80">
        <f t="shared" si="250"/>
        <v>0</v>
      </c>
      <c r="D345" s="80">
        <f t="shared" si="275"/>
        <v>0</v>
      </c>
      <c r="E345" s="194"/>
      <c r="F345" s="80">
        <f t="shared" si="267"/>
        <v>0</v>
      </c>
      <c r="G345" s="80">
        <f t="shared" si="276"/>
        <v>0</v>
      </c>
      <c r="H345" s="194"/>
      <c r="I345" s="80">
        <f t="shared" si="251"/>
        <v>0</v>
      </c>
      <c r="J345" s="80">
        <f t="shared" si="277"/>
        <v>0</v>
      </c>
      <c r="K345" s="194"/>
      <c r="L345" s="80">
        <f t="shared" si="252"/>
        <v>0</v>
      </c>
      <c r="M345" s="80">
        <f t="shared" si="270"/>
        <v>0</v>
      </c>
      <c r="N345" s="194"/>
      <c r="O345" s="80">
        <f t="shared" si="253"/>
        <v>0</v>
      </c>
      <c r="P345" s="80">
        <f t="shared" si="278"/>
        <v>0</v>
      </c>
      <c r="Q345" s="194"/>
      <c r="R345" s="80">
        <f t="shared" si="254"/>
        <v>0</v>
      </c>
      <c r="S345" s="80">
        <f t="shared" si="271"/>
        <v>0</v>
      </c>
      <c r="T345" s="80"/>
      <c r="U345" s="80">
        <f t="shared" si="268"/>
        <v>0</v>
      </c>
      <c r="V345" s="215">
        <f t="shared" si="269"/>
        <v>0</v>
      </c>
      <c r="W345" s="224"/>
      <c r="X345" s="80"/>
      <c r="Y345" s="80">
        <f t="shared" si="272"/>
        <v>0</v>
      </c>
      <c r="Z345" s="194"/>
      <c r="AA345" s="80">
        <f t="shared" si="257"/>
        <v>0</v>
      </c>
      <c r="AB345" s="80">
        <f t="shared" si="279"/>
        <v>0</v>
      </c>
      <c r="AC345" s="194"/>
      <c r="AD345" s="80">
        <f t="shared" si="273"/>
        <v>0</v>
      </c>
      <c r="AE345" s="80">
        <f t="shared" si="280"/>
        <v>0</v>
      </c>
      <c r="AF345" s="194"/>
      <c r="AG345" s="80">
        <f t="shared" si="255"/>
        <v>0</v>
      </c>
      <c r="AH345" s="80">
        <f t="shared" si="274"/>
        <v>0</v>
      </c>
      <c r="AI345" s="194"/>
      <c r="AJ345" s="80">
        <f t="shared" si="249"/>
        <v>0</v>
      </c>
      <c r="AK345" s="80">
        <f t="shared" si="281"/>
        <v>0</v>
      </c>
      <c r="AL345" s="194"/>
      <c r="AM345" s="80">
        <f t="shared" si="256"/>
        <v>0</v>
      </c>
      <c r="AN345" s="17">
        <f t="shared" si="282"/>
        <v>0</v>
      </c>
      <c r="AO345" s="235">
        <f t="shared" si="266"/>
        <v>0</v>
      </c>
      <c r="AP345" s="19"/>
    </row>
    <row r="346" spans="1:47">
      <c r="A346" s="15">
        <v>45270</v>
      </c>
      <c r="B346" s="194">
        <v>0</v>
      </c>
      <c r="C346" s="80">
        <f t="shared" si="250"/>
        <v>0</v>
      </c>
      <c r="D346" s="80">
        <f t="shared" si="275"/>
        <v>0</v>
      </c>
      <c r="E346" s="194"/>
      <c r="F346" s="80">
        <f t="shared" si="267"/>
        <v>0</v>
      </c>
      <c r="G346" s="80">
        <f t="shared" si="276"/>
        <v>0</v>
      </c>
      <c r="H346" s="194"/>
      <c r="I346" s="80">
        <f t="shared" si="251"/>
        <v>0</v>
      </c>
      <c r="J346" s="80">
        <f t="shared" si="277"/>
        <v>0</v>
      </c>
      <c r="K346" s="194"/>
      <c r="L346" s="80">
        <f t="shared" si="252"/>
        <v>0</v>
      </c>
      <c r="M346" s="80">
        <f t="shared" si="270"/>
        <v>0</v>
      </c>
      <c r="N346" s="194"/>
      <c r="O346" s="80">
        <f t="shared" si="253"/>
        <v>0</v>
      </c>
      <c r="P346" s="80">
        <f t="shared" si="278"/>
        <v>0</v>
      </c>
      <c r="Q346" s="194"/>
      <c r="R346" s="80">
        <f t="shared" si="254"/>
        <v>0</v>
      </c>
      <c r="S346" s="80">
        <f t="shared" si="271"/>
        <v>0</v>
      </c>
      <c r="T346" s="80"/>
      <c r="U346" s="80">
        <f t="shared" si="268"/>
        <v>0</v>
      </c>
      <c r="V346" s="215">
        <f t="shared" si="269"/>
        <v>0</v>
      </c>
      <c r="W346" s="224"/>
      <c r="X346" s="235"/>
      <c r="Y346" s="80">
        <f t="shared" si="272"/>
        <v>0</v>
      </c>
      <c r="Z346" s="194"/>
      <c r="AA346" s="80">
        <f t="shared" si="257"/>
        <v>0</v>
      </c>
      <c r="AB346" s="80">
        <f t="shared" si="279"/>
        <v>0</v>
      </c>
      <c r="AC346" s="194"/>
      <c r="AD346" s="80">
        <f t="shared" si="273"/>
        <v>0</v>
      </c>
      <c r="AE346" s="80">
        <f t="shared" si="280"/>
        <v>0</v>
      </c>
      <c r="AF346" s="194"/>
      <c r="AG346" s="80">
        <f t="shared" si="255"/>
        <v>0</v>
      </c>
      <c r="AH346" s="80">
        <f t="shared" si="274"/>
        <v>0</v>
      </c>
      <c r="AI346" s="194"/>
      <c r="AJ346" s="80">
        <f t="shared" ref="AJ346:AJ367" si="283">IF(AI346="",0,AI345-AI346)</f>
        <v>0</v>
      </c>
      <c r="AK346" s="80">
        <f t="shared" si="281"/>
        <v>0</v>
      </c>
      <c r="AL346" s="194"/>
      <c r="AM346" s="80">
        <f t="shared" si="256"/>
        <v>0</v>
      </c>
      <c r="AN346" s="17">
        <f t="shared" si="282"/>
        <v>0</v>
      </c>
      <c r="AO346" s="235">
        <f t="shared" si="266"/>
        <v>0</v>
      </c>
      <c r="AP346" s="19"/>
    </row>
    <row r="347" spans="1:47">
      <c r="A347" s="15">
        <v>45271</v>
      </c>
      <c r="B347" s="194">
        <v>0</v>
      </c>
      <c r="C347" s="80">
        <f t="shared" ref="C347:C367" si="284">IF(B347="",0,B346-B347)</f>
        <v>0</v>
      </c>
      <c r="D347" s="80">
        <f t="shared" si="275"/>
        <v>0</v>
      </c>
      <c r="E347" s="194"/>
      <c r="F347" s="80">
        <f t="shared" si="267"/>
        <v>0</v>
      </c>
      <c r="G347" s="80">
        <f t="shared" si="276"/>
        <v>0</v>
      </c>
      <c r="H347" s="194"/>
      <c r="I347" s="80">
        <f t="shared" ref="I347:I367" si="285">IF(H347="",0,H346-H347)</f>
        <v>0</v>
      </c>
      <c r="J347" s="80">
        <f t="shared" si="277"/>
        <v>0</v>
      </c>
      <c r="K347" s="194"/>
      <c r="L347" s="80">
        <f t="shared" ref="L347:L367" si="286">IF(K347="",0,K346-K347)</f>
        <v>0</v>
      </c>
      <c r="M347" s="80">
        <f t="shared" si="270"/>
        <v>0</v>
      </c>
      <c r="N347" s="194"/>
      <c r="O347" s="80">
        <f t="shared" ref="O347:O367" si="287">IF(N347="",0,N346-N347)</f>
        <v>0</v>
      </c>
      <c r="P347" s="80">
        <f t="shared" si="278"/>
        <v>0</v>
      </c>
      <c r="Q347" s="194"/>
      <c r="R347" s="80">
        <f t="shared" ref="R347:R367" si="288">IF(Q347="",0,Q346-Q347)</f>
        <v>0</v>
      </c>
      <c r="S347" s="80">
        <f t="shared" si="271"/>
        <v>0</v>
      </c>
      <c r="T347" s="80"/>
      <c r="U347" s="80">
        <f t="shared" si="268"/>
        <v>0</v>
      </c>
      <c r="V347" s="215">
        <f t="shared" si="269"/>
        <v>0</v>
      </c>
      <c r="W347" s="224"/>
      <c r="X347" s="235"/>
      <c r="Y347" s="80">
        <f t="shared" si="272"/>
        <v>0</v>
      </c>
      <c r="Z347" s="194"/>
      <c r="AA347" s="80">
        <f t="shared" si="257"/>
        <v>0</v>
      </c>
      <c r="AB347" s="80">
        <f t="shared" si="279"/>
        <v>0</v>
      </c>
      <c r="AC347" s="194"/>
      <c r="AD347" s="80">
        <f t="shared" si="273"/>
        <v>0</v>
      </c>
      <c r="AE347" s="80">
        <f t="shared" si="280"/>
        <v>0</v>
      </c>
      <c r="AF347" s="194"/>
      <c r="AG347" s="80">
        <f t="shared" ref="AG347:AG367" si="289">IF(AF347="",0,AF346-AF347)</f>
        <v>0</v>
      </c>
      <c r="AH347" s="80">
        <f t="shared" si="274"/>
        <v>0</v>
      </c>
      <c r="AI347" s="194"/>
      <c r="AJ347" s="80">
        <f t="shared" si="283"/>
        <v>0</v>
      </c>
      <c r="AK347" s="80">
        <f t="shared" si="281"/>
        <v>0</v>
      </c>
      <c r="AL347" s="194"/>
      <c r="AM347" s="80">
        <f t="shared" ref="AM347:AM367" si="290">IF(AL347="",0,AL346-AL347)</f>
        <v>0</v>
      </c>
      <c r="AN347" s="17">
        <f t="shared" si="282"/>
        <v>0</v>
      </c>
      <c r="AO347" s="235">
        <f t="shared" si="266"/>
        <v>0</v>
      </c>
      <c r="AP347" s="19"/>
    </row>
    <row r="348" spans="1:47">
      <c r="A348" s="15">
        <v>45272</v>
      </c>
      <c r="B348" s="194">
        <v>0</v>
      </c>
      <c r="C348" s="80">
        <f t="shared" si="284"/>
        <v>0</v>
      </c>
      <c r="D348" s="80">
        <f t="shared" si="275"/>
        <v>0</v>
      </c>
      <c r="E348" s="194"/>
      <c r="F348" s="80">
        <f t="shared" si="267"/>
        <v>0</v>
      </c>
      <c r="G348" s="80">
        <f t="shared" si="276"/>
        <v>0</v>
      </c>
      <c r="H348" s="194"/>
      <c r="I348" s="80">
        <f t="shared" si="285"/>
        <v>0</v>
      </c>
      <c r="J348" s="80">
        <f t="shared" si="277"/>
        <v>0</v>
      </c>
      <c r="K348" s="194"/>
      <c r="L348" s="80">
        <f t="shared" si="286"/>
        <v>0</v>
      </c>
      <c r="M348" s="80">
        <f t="shared" si="270"/>
        <v>0</v>
      </c>
      <c r="N348" s="194"/>
      <c r="O348" s="80">
        <f t="shared" si="287"/>
        <v>0</v>
      </c>
      <c r="P348" s="80">
        <f t="shared" si="278"/>
        <v>0</v>
      </c>
      <c r="Q348" s="194"/>
      <c r="R348" s="80">
        <f t="shared" si="288"/>
        <v>0</v>
      </c>
      <c r="S348" s="80">
        <f t="shared" si="271"/>
        <v>0</v>
      </c>
      <c r="T348" s="80"/>
      <c r="U348" s="80">
        <f t="shared" si="268"/>
        <v>0</v>
      </c>
      <c r="V348" s="215">
        <f t="shared" si="269"/>
        <v>0</v>
      </c>
      <c r="W348" s="224"/>
      <c r="X348" s="235"/>
      <c r="Y348" s="80">
        <f t="shared" si="272"/>
        <v>0</v>
      </c>
      <c r="Z348" s="194"/>
      <c r="AA348" s="80">
        <f t="shared" si="257"/>
        <v>0</v>
      </c>
      <c r="AB348" s="80">
        <f t="shared" si="279"/>
        <v>0</v>
      </c>
      <c r="AC348" s="194"/>
      <c r="AD348" s="80">
        <f t="shared" si="273"/>
        <v>0</v>
      </c>
      <c r="AE348" s="80">
        <f t="shared" si="280"/>
        <v>0</v>
      </c>
      <c r="AF348" s="194"/>
      <c r="AG348" s="80">
        <f t="shared" si="289"/>
        <v>0</v>
      </c>
      <c r="AH348" s="80">
        <f t="shared" si="274"/>
        <v>0</v>
      </c>
      <c r="AI348" s="194"/>
      <c r="AJ348" s="80">
        <f t="shared" si="283"/>
        <v>0</v>
      </c>
      <c r="AK348" s="80">
        <f t="shared" si="281"/>
        <v>0</v>
      </c>
      <c r="AL348" s="194"/>
      <c r="AM348" s="80">
        <f t="shared" si="290"/>
        <v>0</v>
      </c>
      <c r="AN348" s="80">
        <f t="shared" si="282"/>
        <v>0</v>
      </c>
      <c r="AO348" s="235">
        <f t="shared" si="266"/>
        <v>0</v>
      </c>
      <c r="AP348" s="236"/>
    </row>
    <row r="349" spans="1:47">
      <c r="A349" s="15">
        <v>45273</v>
      </c>
      <c r="B349" s="194">
        <v>0</v>
      </c>
      <c r="C349" s="80">
        <f t="shared" si="284"/>
        <v>0</v>
      </c>
      <c r="D349" s="80">
        <f t="shared" si="275"/>
        <v>0</v>
      </c>
      <c r="E349" s="194"/>
      <c r="F349" s="80">
        <f t="shared" si="267"/>
        <v>0</v>
      </c>
      <c r="G349" s="80">
        <f t="shared" si="276"/>
        <v>0</v>
      </c>
      <c r="H349" s="194"/>
      <c r="I349" s="80">
        <f t="shared" si="285"/>
        <v>0</v>
      </c>
      <c r="J349" s="80">
        <f t="shared" si="277"/>
        <v>0</v>
      </c>
      <c r="K349" s="194"/>
      <c r="L349" s="80">
        <f t="shared" si="286"/>
        <v>0</v>
      </c>
      <c r="M349" s="80">
        <f t="shared" si="270"/>
        <v>0</v>
      </c>
      <c r="N349" s="194"/>
      <c r="O349" s="80">
        <f t="shared" si="287"/>
        <v>0</v>
      </c>
      <c r="P349" s="80">
        <f t="shared" si="278"/>
        <v>0</v>
      </c>
      <c r="Q349" s="194"/>
      <c r="R349" s="80">
        <f t="shared" si="288"/>
        <v>0</v>
      </c>
      <c r="S349" s="80">
        <f t="shared" si="271"/>
        <v>0</v>
      </c>
      <c r="T349" s="80"/>
      <c r="U349" s="80">
        <f t="shared" si="268"/>
        <v>0</v>
      </c>
      <c r="V349" s="215">
        <f t="shared" si="269"/>
        <v>0</v>
      </c>
      <c r="W349" s="224"/>
      <c r="X349" s="235"/>
      <c r="Y349" s="80">
        <f t="shared" si="272"/>
        <v>0</v>
      </c>
      <c r="Z349" s="194"/>
      <c r="AA349" s="80">
        <f t="shared" si="257"/>
        <v>0</v>
      </c>
      <c r="AB349" s="80">
        <f t="shared" si="279"/>
        <v>0</v>
      </c>
      <c r="AC349" s="194"/>
      <c r="AD349" s="80">
        <f t="shared" si="273"/>
        <v>0</v>
      </c>
      <c r="AE349" s="80">
        <f t="shared" si="280"/>
        <v>0</v>
      </c>
      <c r="AF349" s="194"/>
      <c r="AG349" s="80">
        <f t="shared" si="289"/>
        <v>0</v>
      </c>
      <c r="AH349" s="80">
        <f t="shared" si="274"/>
        <v>0</v>
      </c>
      <c r="AI349" s="194"/>
      <c r="AJ349" s="80">
        <f t="shared" si="283"/>
        <v>0</v>
      </c>
      <c r="AK349" s="80">
        <f t="shared" si="281"/>
        <v>0</v>
      </c>
      <c r="AL349" s="194"/>
      <c r="AM349" s="80">
        <f t="shared" si="290"/>
        <v>0</v>
      </c>
      <c r="AN349" s="80">
        <f t="shared" si="282"/>
        <v>0</v>
      </c>
      <c r="AO349" s="235">
        <f t="shared" si="266"/>
        <v>0</v>
      </c>
      <c r="AP349" s="236"/>
      <c r="AT349" s="149">
        <v>3171111</v>
      </c>
    </row>
    <row r="350" spans="1:47">
      <c r="A350" s="15">
        <v>45274</v>
      </c>
      <c r="B350" s="194">
        <v>0</v>
      </c>
      <c r="C350" s="80">
        <f t="shared" si="284"/>
        <v>0</v>
      </c>
      <c r="D350" s="80">
        <f t="shared" si="275"/>
        <v>0</v>
      </c>
      <c r="E350" s="194"/>
      <c r="F350" s="80">
        <f t="shared" si="267"/>
        <v>0</v>
      </c>
      <c r="G350" s="80">
        <f t="shared" si="276"/>
        <v>0</v>
      </c>
      <c r="H350" s="194"/>
      <c r="I350" s="80">
        <f t="shared" si="285"/>
        <v>0</v>
      </c>
      <c r="J350" s="80">
        <f t="shared" si="277"/>
        <v>0</v>
      </c>
      <c r="K350" s="194"/>
      <c r="L350" s="80">
        <f t="shared" si="286"/>
        <v>0</v>
      </c>
      <c r="M350" s="80">
        <f t="shared" si="270"/>
        <v>0</v>
      </c>
      <c r="N350" s="194"/>
      <c r="O350" s="80">
        <f t="shared" si="287"/>
        <v>0</v>
      </c>
      <c r="P350" s="80">
        <f t="shared" si="278"/>
        <v>0</v>
      </c>
      <c r="Q350" s="194"/>
      <c r="R350" s="80">
        <f t="shared" si="288"/>
        <v>0</v>
      </c>
      <c r="S350" s="80">
        <f t="shared" si="271"/>
        <v>0</v>
      </c>
      <c r="T350" s="80"/>
      <c r="U350" s="80">
        <f t="shared" si="268"/>
        <v>0</v>
      </c>
      <c r="V350" s="215">
        <f t="shared" si="269"/>
        <v>0</v>
      </c>
      <c r="W350" s="224"/>
      <c r="X350" s="235"/>
      <c r="Y350" s="80">
        <f t="shared" si="272"/>
        <v>0</v>
      </c>
      <c r="Z350" s="194"/>
      <c r="AA350" s="80">
        <f t="shared" si="257"/>
        <v>0</v>
      </c>
      <c r="AB350" s="80">
        <f t="shared" si="279"/>
        <v>0</v>
      </c>
      <c r="AC350" s="194"/>
      <c r="AD350" s="80">
        <f t="shared" si="273"/>
        <v>0</v>
      </c>
      <c r="AE350" s="80">
        <f t="shared" si="280"/>
        <v>0</v>
      </c>
      <c r="AF350" s="194"/>
      <c r="AG350" s="80">
        <f t="shared" si="289"/>
        <v>0</v>
      </c>
      <c r="AH350" s="80">
        <f t="shared" si="274"/>
        <v>0</v>
      </c>
      <c r="AI350" s="194"/>
      <c r="AJ350" s="80">
        <f t="shared" si="283"/>
        <v>0</v>
      </c>
      <c r="AK350" s="80">
        <f t="shared" si="281"/>
        <v>0</v>
      </c>
      <c r="AL350" s="194"/>
      <c r="AM350" s="80">
        <f t="shared" si="290"/>
        <v>0</v>
      </c>
      <c r="AN350" s="80">
        <f t="shared" si="282"/>
        <v>0</v>
      </c>
      <c r="AO350" s="235">
        <f t="shared" si="266"/>
        <v>0</v>
      </c>
      <c r="AP350" s="236"/>
    </row>
    <row r="351" spans="1:47">
      <c r="A351" s="15">
        <v>45275</v>
      </c>
      <c r="B351" s="194">
        <v>0</v>
      </c>
      <c r="C351" s="80">
        <f t="shared" si="284"/>
        <v>0</v>
      </c>
      <c r="D351" s="80">
        <f t="shared" si="275"/>
        <v>0</v>
      </c>
      <c r="E351" s="194"/>
      <c r="F351" s="80">
        <f t="shared" si="267"/>
        <v>0</v>
      </c>
      <c r="G351" s="80">
        <f t="shared" si="276"/>
        <v>0</v>
      </c>
      <c r="H351" s="194"/>
      <c r="I351" s="80">
        <f t="shared" si="285"/>
        <v>0</v>
      </c>
      <c r="J351" s="80">
        <f t="shared" si="277"/>
        <v>0</v>
      </c>
      <c r="K351" s="194"/>
      <c r="L351" s="80">
        <f t="shared" si="286"/>
        <v>0</v>
      </c>
      <c r="M351" s="80">
        <f t="shared" si="270"/>
        <v>0</v>
      </c>
      <c r="N351" s="194"/>
      <c r="O351" s="80">
        <f t="shared" si="287"/>
        <v>0</v>
      </c>
      <c r="P351" s="80">
        <f t="shared" si="278"/>
        <v>0</v>
      </c>
      <c r="Q351" s="194"/>
      <c r="R351" s="80">
        <f t="shared" si="288"/>
        <v>0</v>
      </c>
      <c r="S351" s="80">
        <f t="shared" si="271"/>
        <v>0</v>
      </c>
      <c r="T351" s="80"/>
      <c r="U351" s="80">
        <f t="shared" si="268"/>
        <v>0</v>
      </c>
      <c r="V351" s="215">
        <f t="shared" si="269"/>
        <v>0</v>
      </c>
      <c r="W351" s="224"/>
      <c r="X351" s="235"/>
      <c r="Y351" s="80">
        <f t="shared" si="272"/>
        <v>0</v>
      </c>
      <c r="Z351" s="194"/>
      <c r="AA351" s="80">
        <f t="shared" si="257"/>
        <v>0</v>
      </c>
      <c r="AB351" s="80">
        <f t="shared" si="279"/>
        <v>0</v>
      </c>
      <c r="AC351" s="194"/>
      <c r="AD351" s="80">
        <f t="shared" si="273"/>
        <v>0</v>
      </c>
      <c r="AE351" s="80">
        <f t="shared" si="280"/>
        <v>0</v>
      </c>
      <c r="AF351" s="194"/>
      <c r="AG351" s="80">
        <f t="shared" si="289"/>
        <v>0</v>
      </c>
      <c r="AH351" s="80">
        <f t="shared" si="274"/>
        <v>0</v>
      </c>
      <c r="AI351" s="194"/>
      <c r="AJ351" s="80">
        <f t="shared" si="283"/>
        <v>0</v>
      </c>
      <c r="AK351" s="80">
        <f t="shared" si="281"/>
        <v>0</v>
      </c>
      <c r="AL351" s="194"/>
      <c r="AM351" s="80">
        <f t="shared" si="290"/>
        <v>0</v>
      </c>
      <c r="AN351" s="80">
        <f t="shared" si="282"/>
        <v>0</v>
      </c>
      <c r="AO351" s="235">
        <f t="shared" si="266"/>
        <v>0</v>
      </c>
      <c r="AP351" s="236"/>
    </row>
    <row r="352" spans="1:47">
      <c r="A352" s="15">
        <v>45276</v>
      </c>
      <c r="B352" s="194">
        <v>0</v>
      </c>
      <c r="C352" s="80">
        <f t="shared" si="284"/>
        <v>0</v>
      </c>
      <c r="D352" s="80">
        <f t="shared" si="275"/>
        <v>0</v>
      </c>
      <c r="E352" s="194"/>
      <c r="F352" s="80">
        <f t="shared" si="267"/>
        <v>0</v>
      </c>
      <c r="G352" s="80">
        <f t="shared" si="276"/>
        <v>0</v>
      </c>
      <c r="H352" s="194"/>
      <c r="I352" s="80">
        <f t="shared" si="285"/>
        <v>0</v>
      </c>
      <c r="J352" s="80">
        <f t="shared" si="277"/>
        <v>0</v>
      </c>
      <c r="K352" s="194"/>
      <c r="L352" s="80">
        <f t="shared" si="286"/>
        <v>0</v>
      </c>
      <c r="M352" s="80">
        <f t="shared" si="270"/>
        <v>0</v>
      </c>
      <c r="N352" s="194"/>
      <c r="O352" s="80">
        <f t="shared" si="287"/>
        <v>0</v>
      </c>
      <c r="P352" s="80">
        <f t="shared" si="278"/>
        <v>0</v>
      </c>
      <c r="Q352" s="194"/>
      <c r="R352" s="80">
        <f t="shared" si="288"/>
        <v>0</v>
      </c>
      <c r="S352" s="80">
        <f t="shared" si="271"/>
        <v>0</v>
      </c>
      <c r="T352" s="80"/>
      <c r="U352" s="80">
        <f t="shared" si="268"/>
        <v>0</v>
      </c>
      <c r="V352" s="215">
        <f t="shared" si="269"/>
        <v>0</v>
      </c>
      <c r="W352" s="224"/>
      <c r="X352" s="235"/>
      <c r="Y352" s="80">
        <f t="shared" si="272"/>
        <v>0</v>
      </c>
      <c r="Z352" s="194"/>
      <c r="AA352" s="80">
        <f t="shared" ref="AA352:AA367" si="291">IF(Z352="",0,Z352-Z351)</f>
        <v>0</v>
      </c>
      <c r="AB352" s="80">
        <f t="shared" si="279"/>
        <v>0</v>
      </c>
      <c r="AC352" s="194"/>
      <c r="AD352" s="80">
        <f t="shared" si="273"/>
        <v>0</v>
      </c>
      <c r="AE352" s="80">
        <f t="shared" si="280"/>
        <v>0</v>
      </c>
      <c r="AF352" s="194"/>
      <c r="AG352" s="80">
        <f t="shared" si="289"/>
        <v>0</v>
      </c>
      <c r="AH352" s="80">
        <f t="shared" si="274"/>
        <v>0</v>
      </c>
      <c r="AI352" s="194"/>
      <c r="AJ352" s="80">
        <f t="shared" si="283"/>
        <v>0</v>
      </c>
      <c r="AK352" s="80">
        <f t="shared" si="281"/>
        <v>0</v>
      </c>
      <c r="AL352" s="194"/>
      <c r="AM352" s="80">
        <f t="shared" si="290"/>
        <v>0</v>
      </c>
      <c r="AN352" s="80">
        <f t="shared" si="282"/>
        <v>0</v>
      </c>
      <c r="AO352" s="235">
        <f t="shared" si="266"/>
        <v>0</v>
      </c>
      <c r="AP352" s="236"/>
    </row>
    <row r="353" spans="1:42">
      <c r="A353" s="15">
        <v>45277</v>
      </c>
      <c r="B353" s="194">
        <v>0</v>
      </c>
      <c r="C353" s="80">
        <f t="shared" si="284"/>
        <v>0</v>
      </c>
      <c r="D353" s="80">
        <f t="shared" si="275"/>
        <v>0</v>
      </c>
      <c r="E353" s="194"/>
      <c r="F353" s="80">
        <f t="shared" si="267"/>
        <v>0</v>
      </c>
      <c r="G353" s="80">
        <f t="shared" si="276"/>
        <v>0</v>
      </c>
      <c r="H353" s="194"/>
      <c r="I353" s="80">
        <f t="shared" si="285"/>
        <v>0</v>
      </c>
      <c r="J353" s="80">
        <f t="shared" si="277"/>
        <v>0</v>
      </c>
      <c r="K353" s="194"/>
      <c r="L353" s="80">
        <f t="shared" si="286"/>
        <v>0</v>
      </c>
      <c r="M353" s="80">
        <f t="shared" si="270"/>
        <v>0</v>
      </c>
      <c r="N353" s="194"/>
      <c r="O353" s="80">
        <f t="shared" si="287"/>
        <v>0</v>
      </c>
      <c r="P353" s="80">
        <f t="shared" si="278"/>
        <v>0</v>
      </c>
      <c r="Q353" s="194"/>
      <c r="R353" s="80">
        <f t="shared" si="288"/>
        <v>0</v>
      </c>
      <c r="S353" s="80">
        <f t="shared" si="271"/>
        <v>0</v>
      </c>
      <c r="T353" s="80"/>
      <c r="U353" s="80">
        <f t="shared" si="268"/>
        <v>0</v>
      </c>
      <c r="V353" s="215">
        <f t="shared" si="269"/>
        <v>0</v>
      </c>
      <c r="W353" s="224"/>
      <c r="X353" s="235"/>
      <c r="Y353" s="80">
        <f t="shared" si="272"/>
        <v>0</v>
      </c>
      <c r="Z353" s="194"/>
      <c r="AA353" s="80">
        <f t="shared" si="291"/>
        <v>0</v>
      </c>
      <c r="AB353" s="80">
        <f t="shared" si="279"/>
        <v>0</v>
      </c>
      <c r="AC353" s="194"/>
      <c r="AD353" s="80">
        <f t="shared" si="273"/>
        <v>0</v>
      </c>
      <c r="AE353" s="80">
        <f t="shared" si="280"/>
        <v>0</v>
      </c>
      <c r="AF353" s="194"/>
      <c r="AG353" s="80">
        <f t="shared" si="289"/>
        <v>0</v>
      </c>
      <c r="AH353" s="80">
        <f t="shared" si="274"/>
        <v>0</v>
      </c>
      <c r="AI353" s="194"/>
      <c r="AJ353" s="80">
        <f t="shared" si="283"/>
        <v>0</v>
      </c>
      <c r="AK353" s="80">
        <f t="shared" si="281"/>
        <v>0</v>
      </c>
      <c r="AL353" s="194"/>
      <c r="AM353" s="80">
        <f t="shared" si="290"/>
        <v>0</v>
      </c>
      <c r="AN353" s="80">
        <f t="shared" si="282"/>
        <v>0</v>
      </c>
      <c r="AO353" s="235">
        <f t="shared" si="266"/>
        <v>0</v>
      </c>
      <c r="AP353" s="236"/>
    </row>
    <row r="354" spans="1:42">
      <c r="A354" s="15">
        <v>45278</v>
      </c>
      <c r="B354" s="194">
        <v>0</v>
      </c>
      <c r="C354" s="80">
        <f t="shared" si="284"/>
        <v>0</v>
      </c>
      <c r="D354" s="80">
        <f t="shared" si="275"/>
        <v>0</v>
      </c>
      <c r="E354" s="194"/>
      <c r="F354" s="80">
        <f t="shared" si="267"/>
        <v>0</v>
      </c>
      <c r="G354" s="80">
        <f t="shared" si="276"/>
        <v>0</v>
      </c>
      <c r="H354" s="194"/>
      <c r="I354" s="80">
        <f t="shared" si="285"/>
        <v>0</v>
      </c>
      <c r="J354" s="80">
        <f t="shared" si="277"/>
        <v>0</v>
      </c>
      <c r="K354" s="194"/>
      <c r="L354" s="80">
        <f t="shared" si="286"/>
        <v>0</v>
      </c>
      <c r="M354" s="80">
        <f t="shared" si="270"/>
        <v>0</v>
      </c>
      <c r="N354" s="194"/>
      <c r="O354" s="80">
        <f t="shared" si="287"/>
        <v>0</v>
      </c>
      <c r="P354" s="80">
        <f t="shared" si="278"/>
        <v>0</v>
      </c>
      <c r="Q354" s="194"/>
      <c r="R354" s="80">
        <f t="shared" si="288"/>
        <v>0</v>
      </c>
      <c r="S354" s="80">
        <f t="shared" si="271"/>
        <v>0</v>
      </c>
      <c r="T354" s="80"/>
      <c r="U354" s="80">
        <f t="shared" si="268"/>
        <v>0</v>
      </c>
      <c r="V354" s="215">
        <f t="shared" si="269"/>
        <v>0</v>
      </c>
      <c r="W354" s="224"/>
      <c r="X354" s="235"/>
      <c r="Y354" s="80">
        <f t="shared" si="272"/>
        <v>0</v>
      </c>
      <c r="Z354" s="194"/>
      <c r="AA354" s="80">
        <f t="shared" si="291"/>
        <v>0</v>
      </c>
      <c r="AB354" s="80">
        <f t="shared" si="279"/>
        <v>0</v>
      </c>
      <c r="AC354" s="194"/>
      <c r="AD354" s="80">
        <f t="shared" si="273"/>
        <v>0</v>
      </c>
      <c r="AE354" s="80">
        <f t="shared" si="280"/>
        <v>0</v>
      </c>
      <c r="AF354" s="194"/>
      <c r="AG354" s="80">
        <f t="shared" si="289"/>
        <v>0</v>
      </c>
      <c r="AH354" s="80">
        <f t="shared" si="274"/>
        <v>0</v>
      </c>
      <c r="AI354" s="194"/>
      <c r="AJ354" s="80">
        <f t="shared" si="283"/>
        <v>0</v>
      </c>
      <c r="AK354" s="80">
        <f t="shared" si="281"/>
        <v>0</v>
      </c>
      <c r="AL354" s="194"/>
      <c r="AM354" s="80">
        <f t="shared" si="290"/>
        <v>0</v>
      </c>
      <c r="AN354" s="80">
        <f t="shared" si="282"/>
        <v>0</v>
      </c>
      <c r="AO354" s="235">
        <f t="shared" si="266"/>
        <v>0</v>
      </c>
      <c r="AP354" s="236"/>
    </row>
    <row r="355" spans="1:42">
      <c r="A355" s="15">
        <v>45279</v>
      </c>
      <c r="B355" s="194">
        <v>0</v>
      </c>
      <c r="C355" s="80">
        <f t="shared" si="284"/>
        <v>0</v>
      </c>
      <c r="D355" s="80">
        <f t="shared" si="275"/>
        <v>0</v>
      </c>
      <c r="E355" s="194"/>
      <c r="F355" s="80">
        <f t="shared" si="267"/>
        <v>0</v>
      </c>
      <c r="G355" s="80">
        <f t="shared" si="276"/>
        <v>0</v>
      </c>
      <c r="H355" s="194"/>
      <c r="I355" s="80">
        <f t="shared" si="285"/>
        <v>0</v>
      </c>
      <c r="J355" s="80">
        <f t="shared" si="277"/>
        <v>0</v>
      </c>
      <c r="K355" s="194"/>
      <c r="L355" s="80">
        <f t="shared" si="286"/>
        <v>0</v>
      </c>
      <c r="M355" s="80">
        <f t="shared" si="270"/>
        <v>0</v>
      </c>
      <c r="N355" s="194"/>
      <c r="O355" s="80">
        <f t="shared" si="287"/>
        <v>0</v>
      </c>
      <c r="P355" s="80">
        <f t="shared" si="278"/>
        <v>0</v>
      </c>
      <c r="Q355" s="194"/>
      <c r="R355" s="80">
        <f t="shared" si="288"/>
        <v>0</v>
      </c>
      <c r="S355" s="80">
        <f t="shared" si="271"/>
        <v>0</v>
      </c>
      <c r="T355" s="80"/>
      <c r="U355" s="80">
        <f t="shared" si="268"/>
        <v>0</v>
      </c>
      <c r="V355" s="215">
        <f t="shared" si="269"/>
        <v>0</v>
      </c>
      <c r="W355" s="224"/>
      <c r="X355" s="235"/>
      <c r="Y355" s="80">
        <f t="shared" si="272"/>
        <v>0</v>
      </c>
      <c r="Z355" s="194"/>
      <c r="AA355" s="80">
        <f t="shared" si="291"/>
        <v>0</v>
      </c>
      <c r="AB355" s="80">
        <f t="shared" si="279"/>
        <v>0</v>
      </c>
      <c r="AC355" s="194"/>
      <c r="AD355" s="80">
        <f t="shared" si="273"/>
        <v>0</v>
      </c>
      <c r="AE355" s="80">
        <f t="shared" si="280"/>
        <v>0</v>
      </c>
      <c r="AF355" s="194"/>
      <c r="AG355" s="80">
        <f t="shared" si="289"/>
        <v>0</v>
      </c>
      <c r="AH355" s="80">
        <f t="shared" si="274"/>
        <v>0</v>
      </c>
      <c r="AI355" s="194"/>
      <c r="AJ355" s="80">
        <f t="shared" si="283"/>
        <v>0</v>
      </c>
      <c r="AK355" s="80">
        <f t="shared" si="281"/>
        <v>0</v>
      </c>
      <c r="AL355" s="194"/>
      <c r="AM355" s="80">
        <f t="shared" si="290"/>
        <v>0</v>
      </c>
      <c r="AN355" s="80">
        <f t="shared" si="282"/>
        <v>0</v>
      </c>
      <c r="AO355" s="235">
        <f t="shared" si="266"/>
        <v>0</v>
      </c>
      <c r="AP355" s="236"/>
    </row>
    <row r="356" spans="1:42">
      <c r="A356" s="15">
        <v>45280</v>
      </c>
      <c r="B356" s="194">
        <v>0</v>
      </c>
      <c r="C356" s="80">
        <f t="shared" si="284"/>
        <v>0</v>
      </c>
      <c r="D356" s="80">
        <f t="shared" si="275"/>
        <v>0</v>
      </c>
      <c r="E356" s="194"/>
      <c r="F356" s="80">
        <f t="shared" si="267"/>
        <v>0</v>
      </c>
      <c r="G356" s="80">
        <f t="shared" si="276"/>
        <v>0</v>
      </c>
      <c r="H356" s="194"/>
      <c r="I356" s="80">
        <f t="shared" si="285"/>
        <v>0</v>
      </c>
      <c r="J356" s="80">
        <f t="shared" si="277"/>
        <v>0</v>
      </c>
      <c r="K356" s="194"/>
      <c r="L356" s="80">
        <f t="shared" si="286"/>
        <v>0</v>
      </c>
      <c r="M356" s="80">
        <f t="shared" si="270"/>
        <v>0</v>
      </c>
      <c r="N356" s="194"/>
      <c r="O356" s="80">
        <f t="shared" si="287"/>
        <v>0</v>
      </c>
      <c r="P356" s="80">
        <f t="shared" si="278"/>
        <v>0</v>
      </c>
      <c r="Q356" s="194"/>
      <c r="R356" s="80">
        <f t="shared" si="288"/>
        <v>0</v>
      </c>
      <c r="S356" s="80">
        <f t="shared" si="271"/>
        <v>0</v>
      </c>
      <c r="T356" s="80"/>
      <c r="U356" s="80">
        <f t="shared" si="268"/>
        <v>0</v>
      </c>
      <c r="V356" s="215">
        <f t="shared" si="269"/>
        <v>0</v>
      </c>
      <c r="W356" s="224"/>
      <c r="X356" s="235"/>
      <c r="Y356" s="80">
        <f t="shared" si="272"/>
        <v>0</v>
      </c>
      <c r="Z356" s="194"/>
      <c r="AA356" s="80">
        <f t="shared" si="291"/>
        <v>0</v>
      </c>
      <c r="AB356" s="80">
        <f t="shared" si="279"/>
        <v>0</v>
      </c>
      <c r="AC356" s="194"/>
      <c r="AD356" s="80">
        <f t="shared" si="273"/>
        <v>0</v>
      </c>
      <c r="AE356" s="80">
        <f t="shared" si="280"/>
        <v>0</v>
      </c>
      <c r="AF356" s="194"/>
      <c r="AG356" s="80">
        <f t="shared" si="289"/>
        <v>0</v>
      </c>
      <c r="AH356" s="80">
        <f t="shared" si="274"/>
        <v>0</v>
      </c>
      <c r="AI356" s="194"/>
      <c r="AJ356" s="80">
        <f t="shared" si="283"/>
        <v>0</v>
      </c>
      <c r="AK356" s="80">
        <f t="shared" si="281"/>
        <v>0</v>
      </c>
      <c r="AL356" s="194"/>
      <c r="AM356" s="80">
        <f t="shared" si="290"/>
        <v>0</v>
      </c>
      <c r="AN356" s="80">
        <f t="shared" si="282"/>
        <v>0</v>
      </c>
      <c r="AO356" s="235">
        <f t="shared" si="266"/>
        <v>0</v>
      </c>
      <c r="AP356" s="236"/>
    </row>
    <row r="357" spans="1:42">
      <c r="A357" s="15">
        <v>45281</v>
      </c>
      <c r="B357" s="194">
        <v>0</v>
      </c>
      <c r="C357" s="80">
        <f t="shared" si="284"/>
        <v>0</v>
      </c>
      <c r="D357" s="80">
        <f t="shared" si="275"/>
        <v>0</v>
      </c>
      <c r="E357" s="194"/>
      <c r="F357" s="80">
        <f t="shared" si="267"/>
        <v>0</v>
      </c>
      <c r="G357" s="80">
        <f t="shared" si="276"/>
        <v>0</v>
      </c>
      <c r="H357" s="194"/>
      <c r="I357" s="80">
        <f t="shared" si="285"/>
        <v>0</v>
      </c>
      <c r="J357" s="80">
        <f t="shared" si="277"/>
        <v>0</v>
      </c>
      <c r="K357" s="194"/>
      <c r="L357" s="80">
        <f t="shared" si="286"/>
        <v>0</v>
      </c>
      <c r="M357" s="80">
        <f t="shared" si="270"/>
        <v>0</v>
      </c>
      <c r="N357" s="194"/>
      <c r="O357" s="80">
        <f t="shared" si="287"/>
        <v>0</v>
      </c>
      <c r="P357" s="80">
        <f t="shared" si="278"/>
        <v>0</v>
      </c>
      <c r="Q357" s="194"/>
      <c r="R357" s="80">
        <f t="shared" si="288"/>
        <v>0</v>
      </c>
      <c r="S357" s="80">
        <f t="shared" si="271"/>
        <v>0</v>
      </c>
      <c r="T357" s="80"/>
      <c r="U357" s="80">
        <f t="shared" si="268"/>
        <v>0</v>
      </c>
      <c r="V357" s="215">
        <f t="shared" si="269"/>
        <v>0</v>
      </c>
      <c r="W357" s="224"/>
      <c r="X357" s="235"/>
      <c r="Y357" s="80">
        <f t="shared" si="272"/>
        <v>0</v>
      </c>
      <c r="Z357" s="194"/>
      <c r="AA357" s="80">
        <f t="shared" si="291"/>
        <v>0</v>
      </c>
      <c r="AB357" s="80">
        <f t="shared" si="279"/>
        <v>0</v>
      </c>
      <c r="AC357" s="194"/>
      <c r="AD357" s="80">
        <f t="shared" si="273"/>
        <v>0</v>
      </c>
      <c r="AE357" s="80">
        <f t="shared" si="280"/>
        <v>0</v>
      </c>
      <c r="AF357" s="194"/>
      <c r="AG357" s="80">
        <f t="shared" si="289"/>
        <v>0</v>
      </c>
      <c r="AH357" s="80">
        <f t="shared" si="274"/>
        <v>0</v>
      </c>
      <c r="AI357" s="194"/>
      <c r="AJ357" s="80">
        <f t="shared" si="283"/>
        <v>0</v>
      </c>
      <c r="AK357" s="80">
        <f t="shared" si="281"/>
        <v>0</v>
      </c>
      <c r="AL357" s="194"/>
      <c r="AM357" s="80">
        <f t="shared" si="290"/>
        <v>0</v>
      </c>
      <c r="AN357" s="80">
        <f t="shared" si="282"/>
        <v>0</v>
      </c>
      <c r="AO357" s="235">
        <f t="shared" si="266"/>
        <v>0</v>
      </c>
      <c r="AP357" s="236"/>
    </row>
    <row r="358" spans="1:42">
      <c r="A358" s="15">
        <v>45282</v>
      </c>
      <c r="B358" s="194">
        <v>0</v>
      </c>
      <c r="C358" s="80">
        <f t="shared" si="284"/>
        <v>0</v>
      </c>
      <c r="D358" s="80">
        <f t="shared" si="275"/>
        <v>0</v>
      </c>
      <c r="E358" s="194"/>
      <c r="F358" s="80">
        <f t="shared" si="267"/>
        <v>0</v>
      </c>
      <c r="G358" s="80">
        <f t="shared" si="276"/>
        <v>0</v>
      </c>
      <c r="H358" s="194"/>
      <c r="I358" s="80">
        <f t="shared" si="285"/>
        <v>0</v>
      </c>
      <c r="J358" s="80">
        <f t="shared" si="277"/>
        <v>0</v>
      </c>
      <c r="K358" s="194"/>
      <c r="L358" s="80">
        <f t="shared" si="286"/>
        <v>0</v>
      </c>
      <c r="M358" s="80">
        <f t="shared" si="270"/>
        <v>0</v>
      </c>
      <c r="N358" s="194"/>
      <c r="O358" s="80">
        <f t="shared" si="287"/>
        <v>0</v>
      </c>
      <c r="P358" s="80">
        <f t="shared" si="278"/>
        <v>0</v>
      </c>
      <c r="Q358" s="194"/>
      <c r="R358" s="80">
        <f t="shared" si="288"/>
        <v>0</v>
      </c>
      <c r="S358" s="80">
        <f t="shared" si="271"/>
        <v>0</v>
      </c>
      <c r="T358" s="80"/>
      <c r="U358" s="80">
        <f t="shared" si="268"/>
        <v>0</v>
      </c>
      <c r="V358" s="215">
        <f t="shared" si="269"/>
        <v>0</v>
      </c>
      <c r="W358" s="224"/>
      <c r="X358" s="235"/>
      <c r="Y358" s="80">
        <f t="shared" si="272"/>
        <v>0</v>
      </c>
      <c r="Z358" s="194"/>
      <c r="AA358" s="80">
        <f t="shared" si="291"/>
        <v>0</v>
      </c>
      <c r="AB358" s="80">
        <f t="shared" si="279"/>
        <v>0</v>
      </c>
      <c r="AC358" s="194"/>
      <c r="AD358" s="80">
        <f t="shared" si="273"/>
        <v>0</v>
      </c>
      <c r="AE358" s="80">
        <f t="shared" si="280"/>
        <v>0</v>
      </c>
      <c r="AF358" s="194"/>
      <c r="AG358" s="80">
        <f t="shared" si="289"/>
        <v>0</v>
      </c>
      <c r="AH358" s="80">
        <f t="shared" si="274"/>
        <v>0</v>
      </c>
      <c r="AI358" s="194"/>
      <c r="AJ358" s="80">
        <f t="shared" si="283"/>
        <v>0</v>
      </c>
      <c r="AK358" s="80">
        <f t="shared" si="281"/>
        <v>0</v>
      </c>
      <c r="AL358" s="194"/>
      <c r="AM358" s="80">
        <f t="shared" si="290"/>
        <v>0</v>
      </c>
      <c r="AN358" s="80">
        <f t="shared" si="282"/>
        <v>0</v>
      </c>
      <c r="AO358" s="235">
        <f t="shared" si="266"/>
        <v>0</v>
      </c>
      <c r="AP358" s="236"/>
    </row>
    <row r="359" spans="1:42">
      <c r="A359" s="15">
        <v>45283</v>
      </c>
      <c r="B359" s="194">
        <v>0</v>
      </c>
      <c r="C359" s="80">
        <f t="shared" si="284"/>
        <v>0</v>
      </c>
      <c r="D359" s="80">
        <f t="shared" si="275"/>
        <v>0</v>
      </c>
      <c r="E359" s="194"/>
      <c r="F359" s="80">
        <f t="shared" si="267"/>
        <v>0</v>
      </c>
      <c r="G359" s="80">
        <f t="shared" si="276"/>
        <v>0</v>
      </c>
      <c r="H359" s="194"/>
      <c r="I359" s="80">
        <f t="shared" si="285"/>
        <v>0</v>
      </c>
      <c r="J359" s="80">
        <f t="shared" si="277"/>
        <v>0</v>
      </c>
      <c r="K359" s="194"/>
      <c r="L359" s="80">
        <f t="shared" si="286"/>
        <v>0</v>
      </c>
      <c r="M359" s="80">
        <f t="shared" si="270"/>
        <v>0</v>
      </c>
      <c r="N359" s="194"/>
      <c r="O359" s="80">
        <f t="shared" si="287"/>
        <v>0</v>
      </c>
      <c r="P359" s="80">
        <f t="shared" si="278"/>
        <v>0</v>
      </c>
      <c r="Q359" s="194"/>
      <c r="R359" s="80">
        <f t="shared" si="288"/>
        <v>0</v>
      </c>
      <c r="S359" s="80">
        <f t="shared" si="271"/>
        <v>0</v>
      </c>
      <c r="T359" s="80"/>
      <c r="U359" s="80">
        <f t="shared" si="268"/>
        <v>0</v>
      </c>
      <c r="V359" s="215">
        <f t="shared" si="269"/>
        <v>0</v>
      </c>
      <c r="W359" s="224"/>
      <c r="X359" s="235"/>
      <c r="Y359" s="80">
        <f t="shared" si="272"/>
        <v>0</v>
      </c>
      <c r="Z359" s="194"/>
      <c r="AA359" s="80">
        <f t="shared" si="291"/>
        <v>0</v>
      </c>
      <c r="AB359" s="80">
        <f t="shared" si="279"/>
        <v>0</v>
      </c>
      <c r="AC359" s="194"/>
      <c r="AD359" s="80">
        <f t="shared" si="273"/>
        <v>0</v>
      </c>
      <c r="AE359" s="80">
        <f t="shared" si="280"/>
        <v>0</v>
      </c>
      <c r="AF359" s="194"/>
      <c r="AG359" s="80">
        <f t="shared" si="289"/>
        <v>0</v>
      </c>
      <c r="AH359" s="80">
        <f t="shared" si="274"/>
        <v>0</v>
      </c>
      <c r="AI359" s="194"/>
      <c r="AJ359" s="80">
        <f t="shared" si="283"/>
        <v>0</v>
      </c>
      <c r="AK359" s="80">
        <f t="shared" si="281"/>
        <v>0</v>
      </c>
      <c r="AL359" s="194"/>
      <c r="AM359" s="80">
        <f t="shared" si="290"/>
        <v>0</v>
      </c>
      <c r="AN359" s="80">
        <f t="shared" si="282"/>
        <v>0</v>
      </c>
      <c r="AO359" s="235">
        <f t="shared" si="266"/>
        <v>0</v>
      </c>
      <c r="AP359" s="236"/>
    </row>
    <row r="360" spans="1:42">
      <c r="A360" s="15">
        <v>45284</v>
      </c>
      <c r="B360" s="194">
        <v>0</v>
      </c>
      <c r="C360" s="80">
        <f t="shared" si="284"/>
        <v>0</v>
      </c>
      <c r="D360" s="80">
        <f t="shared" si="275"/>
        <v>0</v>
      </c>
      <c r="E360" s="194"/>
      <c r="F360" s="80">
        <f t="shared" si="267"/>
        <v>0</v>
      </c>
      <c r="G360" s="80">
        <f t="shared" si="276"/>
        <v>0</v>
      </c>
      <c r="H360" s="194"/>
      <c r="I360" s="80">
        <f t="shared" si="285"/>
        <v>0</v>
      </c>
      <c r="J360" s="80">
        <f t="shared" si="277"/>
        <v>0</v>
      </c>
      <c r="K360" s="194"/>
      <c r="L360" s="80">
        <f t="shared" si="286"/>
        <v>0</v>
      </c>
      <c r="M360" s="80">
        <f t="shared" si="270"/>
        <v>0</v>
      </c>
      <c r="N360" s="194"/>
      <c r="O360" s="80">
        <f t="shared" si="287"/>
        <v>0</v>
      </c>
      <c r="P360" s="80">
        <f t="shared" si="278"/>
        <v>0</v>
      </c>
      <c r="Q360" s="194"/>
      <c r="R360" s="80">
        <f t="shared" si="288"/>
        <v>0</v>
      </c>
      <c r="S360" s="80">
        <f t="shared" si="271"/>
        <v>0</v>
      </c>
      <c r="T360" s="80"/>
      <c r="U360" s="80">
        <f t="shared" si="268"/>
        <v>0</v>
      </c>
      <c r="V360" s="215">
        <f t="shared" si="269"/>
        <v>0</v>
      </c>
      <c r="W360" s="224"/>
      <c r="X360" s="235"/>
      <c r="Y360" s="80">
        <f t="shared" si="272"/>
        <v>0</v>
      </c>
      <c r="Z360" s="194"/>
      <c r="AA360" s="80">
        <f t="shared" si="291"/>
        <v>0</v>
      </c>
      <c r="AB360" s="80">
        <f t="shared" si="279"/>
        <v>0</v>
      </c>
      <c r="AC360" s="194"/>
      <c r="AD360" s="80">
        <f t="shared" si="273"/>
        <v>0</v>
      </c>
      <c r="AE360" s="80">
        <f t="shared" si="280"/>
        <v>0</v>
      </c>
      <c r="AF360" s="194"/>
      <c r="AG360" s="80">
        <f t="shared" si="289"/>
        <v>0</v>
      </c>
      <c r="AH360" s="80">
        <f t="shared" si="274"/>
        <v>0</v>
      </c>
      <c r="AI360" s="194"/>
      <c r="AJ360" s="80">
        <f t="shared" si="283"/>
        <v>0</v>
      </c>
      <c r="AK360" s="80">
        <f t="shared" si="281"/>
        <v>0</v>
      </c>
      <c r="AL360" s="194"/>
      <c r="AM360" s="80">
        <f t="shared" si="290"/>
        <v>0</v>
      </c>
      <c r="AN360" s="80">
        <f t="shared" si="282"/>
        <v>0</v>
      </c>
      <c r="AO360" s="235">
        <f t="shared" si="266"/>
        <v>0</v>
      </c>
      <c r="AP360" s="236"/>
    </row>
    <row r="361" spans="1:42">
      <c r="A361" s="15">
        <v>45285</v>
      </c>
      <c r="B361" s="194">
        <v>0</v>
      </c>
      <c r="C361" s="80">
        <f t="shared" si="284"/>
        <v>0</v>
      </c>
      <c r="D361" s="80">
        <f t="shared" si="275"/>
        <v>0</v>
      </c>
      <c r="E361" s="194"/>
      <c r="F361" s="80">
        <f>IF(E361="",0,E361-E360)</f>
        <v>0</v>
      </c>
      <c r="G361" s="80">
        <f t="shared" si="276"/>
        <v>0</v>
      </c>
      <c r="H361" s="194"/>
      <c r="I361" s="80">
        <f t="shared" si="285"/>
        <v>0</v>
      </c>
      <c r="J361" s="80">
        <f t="shared" si="277"/>
        <v>0</v>
      </c>
      <c r="K361" s="194"/>
      <c r="L361" s="80">
        <f t="shared" si="286"/>
        <v>0</v>
      </c>
      <c r="M361" s="80">
        <f t="shared" si="270"/>
        <v>0</v>
      </c>
      <c r="N361" s="194"/>
      <c r="O361" s="80">
        <f t="shared" si="287"/>
        <v>0</v>
      </c>
      <c r="P361" s="80">
        <f t="shared" si="278"/>
        <v>0</v>
      </c>
      <c r="Q361" s="194"/>
      <c r="R361" s="80">
        <f t="shared" si="288"/>
        <v>0</v>
      </c>
      <c r="S361" s="80">
        <f t="shared" si="271"/>
        <v>0</v>
      </c>
      <c r="T361" s="80"/>
      <c r="U361" s="80">
        <f t="shared" si="268"/>
        <v>0</v>
      </c>
      <c r="V361" s="215">
        <f t="shared" si="269"/>
        <v>0</v>
      </c>
      <c r="W361" s="224"/>
      <c r="X361" s="235"/>
      <c r="Y361" s="80">
        <f t="shared" si="272"/>
        <v>0</v>
      </c>
      <c r="Z361" s="194"/>
      <c r="AA361" s="80">
        <f t="shared" si="291"/>
        <v>0</v>
      </c>
      <c r="AB361" s="80">
        <f t="shared" si="279"/>
        <v>0</v>
      </c>
      <c r="AC361" s="194"/>
      <c r="AD361" s="80">
        <f t="shared" si="273"/>
        <v>0</v>
      </c>
      <c r="AE361" s="80">
        <f t="shared" si="280"/>
        <v>0</v>
      </c>
      <c r="AF361" s="194"/>
      <c r="AG361" s="80">
        <f t="shared" si="289"/>
        <v>0</v>
      </c>
      <c r="AH361" s="80">
        <f t="shared" si="274"/>
        <v>0</v>
      </c>
      <c r="AI361" s="194"/>
      <c r="AJ361" s="80">
        <f t="shared" si="283"/>
        <v>0</v>
      </c>
      <c r="AK361" s="80">
        <f t="shared" si="281"/>
        <v>0</v>
      </c>
      <c r="AL361" s="194"/>
      <c r="AM361" s="80">
        <f t="shared" si="290"/>
        <v>0</v>
      </c>
      <c r="AN361" s="80">
        <f t="shared" si="282"/>
        <v>0</v>
      </c>
      <c r="AO361" s="235">
        <f t="shared" si="266"/>
        <v>0</v>
      </c>
      <c r="AP361" s="236"/>
    </row>
    <row r="362" spans="1:42">
      <c r="A362" s="15">
        <v>45286</v>
      </c>
      <c r="B362" s="194">
        <v>0</v>
      </c>
      <c r="C362" s="80">
        <f t="shared" si="284"/>
        <v>0</v>
      </c>
      <c r="D362" s="80">
        <f t="shared" si="275"/>
        <v>0</v>
      </c>
      <c r="E362" s="194"/>
      <c r="F362" s="80">
        <f t="shared" si="267"/>
        <v>0</v>
      </c>
      <c r="G362" s="80">
        <f t="shared" si="276"/>
        <v>0</v>
      </c>
      <c r="H362" s="194"/>
      <c r="I362" s="80">
        <f t="shared" si="285"/>
        <v>0</v>
      </c>
      <c r="J362" s="80">
        <f t="shared" si="277"/>
        <v>0</v>
      </c>
      <c r="K362" s="194"/>
      <c r="L362" s="80">
        <f t="shared" si="286"/>
        <v>0</v>
      </c>
      <c r="M362" s="80">
        <f t="shared" si="270"/>
        <v>0</v>
      </c>
      <c r="N362" s="194"/>
      <c r="O362" s="80">
        <f t="shared" si="287"/>
        <v>0</v>
      </c>
      <c r="P362" s="80">
        <f t="shared" si="278"/>
        <v>0</v>
      </c>
      <c r="Q362" s="194"/>
      <c r="R362" s="80">
        <f t="shared" si="288"/>
        <v>0</v>
      </c>
      <c r="S362" s="80">
        <f t="shared" si="271"/>
        <v>0</v>
      </c>
      <c r="T362" s="80"/>
      <c r="U362" s="80">
        <f t="shared" si="268"/>
        <v>0</v>
      </c>
      <c r="V362" s="215">
        <f t="shared" si="269"/>
        <v>0</v>
      </c>
      <c r="W362" s="224"/>
      <c r="X362" s="235"/>
      <c r="Y362" s="80">
        <f t="shared" si="272"/>
        <v>0</v>
      </c>
      <c r="Z362" s="194"/>
      <c r="AA362" s="80">
        <f t="shared" si="291"/>
        <v>0</v>
      </c>
      <c r="AB362" s="80">
        <f t="shared" si="279"/>
        <v>0</v>
      </c>
      <c r="AC362" s="194"/>
      <c r="AD362" s="80">
        <f t="shared" si="273"/>
        <v>0</v>
      </c>
      <c r="AE362" s="80">
        <f t="shared" si="280"/>
        <v>0</v>
      </c>
      <c r="AF362" s="194"/>
      <c r="AG362" s="80">
        <f t="shared" si="289"/>
        <v>0</v>
      </c>
      <c r="AH362" s="80">
        <f t="shared" si="274"/>
        <v>0</v>
      </c>
      <c r="AI362" s="194"/>
      <c r="AJ362" s="80">
        <f t="shared" si="283"/>
        <v>0</v>
      </c>
      <c r="AK362" s="80">
        <f t="shared" si="281"/>
        <v>0</v>
      </c>
      <c r="AL362" s="194"/>
      <c r="AM362" s="80">
        <f t="shared" si="290"/>
        <v>0</v>
      </c>
      <c r="AN362" s="80">
        <f t="shared" si="282"/>
        <v>0</v>
      </c>
      <c r="AO362" s="235">
        <f t="shared" si="266"/>
        <v>0</v>
      </c>
      <c r="AP362" s="236"/>
    </row>
    <row r="363" spans="1:42">
      <c r="A363" s="15">
        <v>45287</v>
      </c>
      <c r="B363" s="194">
        <v>0</v>
      </c>
      <c r="C363" s="80">
        <f t="shared" si="284"/>
        <v>0</v>
      </c>
      <c r="D363" s="80">
        <f t="shared" si="275"/>
        <v>0</v>
      </c>
      <c r="E363" s="194"/>
      <c r="F363" s="80">
        <f t="shared" si="267"/>
        <v>0</v>
      </c>
      <c r="G363" s="80">
        <f t="shared" si="276"/>
        <v>0</v>
      </c>
      <c r="H363" s="194"/>
      <c r="I363" s="80">
        <f t="shared" si="285"/>
        <v>0</v>
      </c>
      <c r="J363" s="80">
        <f t="shared" si="277"/>
        <v>0</v>
      </c>
      <c r="K363" s="194"/>
      <c r="L363" s="80">
        <f t="shared" si="286"/>
        <v>0</v>
      </c>
      <c r="M363" s="80">
        <f t="shared" si="270"/>
        <v>0</v>
      </c>
      <c r="N363" s="194"/>
      <c r="O363" s="80">
        <f t="shared" si="287"/>
        <v>0</v>
      </c>
      <c r="P363" s="80">
        <f t="shared" si="278"/>
        <v>0</v>
      </c>
      <c r="Q363" s="194"/>
      <c r="R363" s="80">
        <f t="shared" si="288"/>
        <v>0</v>
      </c>
      <c r="S363" s="80">
        <f t="shared" si="271"/>
        <v>0</v>
      </c>
      <c r="T363" s="80"/>
      <c r="U363" s="80">
        <f t="shared" si="268"/>
        <v>0</v>
      </c>
      <c r="V363" s="215">
        <f t="shared" si="269"/>
        <v>0</v>
      </c>
      <c r="W363" s="224"/>
      <c r="X363" s="235"/>
      <c r="Y363" s="80">
        <f t="shared" si="272"/>
        <v>0</v>
      </c>
      <c r="Z363" s="194"/>
      <c r="AA363" s="80">
        <f t="shared" si="291"/>
        <v>0</v>
      </c>
      <c r="AB363" s="80">
        <f t="shared" si="279"/>
        <v>0</v>
      </c>
      <c r="AC363" s="194"/>
      <c r="AD363" s="80">
        <f t="shared" si="273"/>
        <v>0</v>
      </c>
      <c r="AE363" s="80">
        <f t="shared" si="280"/>
        <v>0</v>
      </c>
      <c r="AF363" s="194"/>
      <c r="AG363" s="80">
        <f t="shared" si="289"/>
        <v>0</v>
      </c>
      <c r="AH363" s="80">
        <f t="shared" si="274"/>
        <v>0</v>
      </c>
      <c r="AI363" s="194"/>
      <c r="AJ363" s="80">
        <f t="shared" si="283"/>
        <v>0</v>
      </c>
      <c r="AK363" s="80">
        <f t="shared" si="281"/>
        <v>0</v>
      </c>
      <c r="AL363" s="194"/>
      <c r="AM363" s="80">
        <f t="shared" si="290"/>
        <v>0</v>
      </c>
      <c r="AN363" s="80">
        <f t="shared" si="282"/>
        <v>0</v>
      </c>
      <c r="AO363" s="235">
        <f t="shared" si="266"/>
        <v>0</v>
      </c>
      <c r="AP363" s="236"/>
    </row>
    <row r="364" spans="1:42">
      <c r="A364" s="15">
        <v>45288</v>
      </c>
      <c r="B364" s="194">
        <v>0</v>
      </c>
      <c r="C364" s="80">
        <f t="shared" si="284"/>
        <v>0</v>
      </c>
      <c r="D364" s="80">
        <f t="shared" si="275"/>
        <v>0</v>
      </c>
      <c r="E364" s="194"/>
      <c r="F364" s="80">
        <f t="shared" si="267"/>
        <v>0</v>
      </c>
      <c r="G364" s="80">
        <f t="shared" si="276"/>
        <v>0</v>
      </c>
      <c r="H364" s="194"/>
      <c r="I364" s="80">
        <f t="shared" si="285"/>
        <v>0</v>
      </c>
      <c r="J364" s="80">
        <f t="shared" si="277"/>
        <v>0</v>
      </c>
      <c r="K364" s="194"/>
      <c r="L364" s="80">
        <f t="shared" si="286"/>
        <v>0</v>
      </c>
      <c r="M364" s="80">
        <f t="shared" si="270"/>
        <v>0</v>
      </c>
      <c r="N364" s="194"/>
      <c r="O364" s="80">
        <f t="shared" si="287"/>
        <v>0</v>
      </c>
      <c r="P364" s="80">
        <f t="shared" si="278"/>
        <v>0</v>
      </c>
      <c r="Q364" s="194"/>
      <c r="R364" s="80">
        <f t="shared" si="288"/>
        <v>0</v>
      </c>
      <c r="S364" s="80">
        <f t="shared" si="271"/>
        <v>0</v>
      </c>
      <c r="T364" s="80"/>
      <c r="U364" s="80">
        <f t="shared" si="268"/>
        <v>0</v>
      </c>
      <c r="V364" s="215">
        <f t="shared" si="269"/>
        <v>0</v>
      </c>
      <c r="W364" s="224"/>
      <c r="X364" s="235"/>
      <c r="Y364" s="80">
        <f t="shared" si="272"/>
        <v>0</v>
      </c>
      <c r="Z364" s="194"/>
      <c r="AA364" s="80">
        <f t="shared" si="291"/>
        <v>0</v>
      </c>
      <c r="AB364" s="80">
        <f t="shared" si="279"/>
        <v>0</v>
      </c>
      <c r="AC364" s="194"/>
      <c r="AD364" s="80">
        <f t="shared" si="273"/>
        <v>0</v>
      </c>
      <c r="AE364" s="80">
        <f t="shared" si="280"/>
        <v>0</v>
      </c>
      <c r="AF364" s="194"/>
      <c r="AG364" s="80">
        <f t="shared" si="289"/>
        <v>0</v>
      </c>
      <c r="AH364" s="80">
        <f t="shared" si="274"/>
        <v>0</v>
      </c>
      <c r="AI364" s="194"/>
      <c r="AJ364" s="80">
        <f t="shared" si="283"/>
        <v>0</v>
      </c>
      <c r="AK364" s="80">
        <f t="shared" si="281"/>
        <v>0</v>
      </c>
      <c r="AL364" s="194"/>
      <c r="AM364" s="80">
        <f t="shared" si="290"/>
        <v>0</v>
      </c>
      <c r="AN364" s="80">
        <f t="shared" si="282"/>
        <v>0</v>
      </c>
      <c r="AO364" s="235">
        <f t="shared" si="266"/>
        <v>0</v>
      </c>
      <c r="AP364" s="236"/>
    </row>
    <row r="365" spans="1:42">
      <c r="A365" s="15">
        <v>45289</v>
      </c>
      <c r="B365" s="194">
        <v>0</v>
      </c>
      <c r="C365" s="80">
        <f t="shared" si="284"/>
        <v>0</v>
      </c>
      <c r="D365" s="80">
        <f t="shared" si="275"/>
        <v>0</v>
      </c>
      <c r="E365" s="194"/>
      <c r="F365" s="80">
        <f t="shared" si="267"/>
        <v>0</v>
      </c>
      <c r="G365" s="80">
        <f t="shared" si="276"/>
        <v>0</v>
      </c>
      <c r="H365" s="194"/>
      <c r="I365" s="80">
        <f t="shared" si="285"/>
        <v>0</v>
      </c>
      <c r="J365" s="80">
        <f t="shared" si="277"/>
        <v>0</v>
      </c>
      <c r="K365" s="194"/>
      <c r="L365" s="80">
        <f t="shared" si="286"/>
        <v>0</v>
      </c>
      <c r="M365" s="80">
        <f t="shared" si="270"/>
        <v>0</v>
      </c>
      <c r="N365" s="194"/>
      <c r="O365" s="80">
        <f t="shared" si="287"/>
        <v>0</v>
      </c>
      <c r="P365" s="80">
        <f t="shared" si="278"/>
        <v>0</v>
      </c>
      <c r="Q365" s="194"/>
      <c r="R365" s="80">
        <f>IF(Q365="",0,Q364-Q365)</f>
        <v>0</v>
      </c>
      <c r="S365" s="80">
        <f t="shared" si="271"/>
        <v>0</v>
      </c>
      <c r="T365" s="80"/>
      <c r="U365" s="80">
        <f>+CONVERT(T365,"gal","l")</f>
        <v>0</v>
      </c>
      <c r="V365" s="215">
        <f t="shared" si="269"/>
        <v>0</v>
      </c>
      <c r="W365" s="224"/>
      <c r="X365" s="235"/>
      <c r="Y365" s="80">
        <f t="shared" si="272"/>
        <v>0</v>
      </c>
      <c r="Z365" s="194"/>
      <c r="AA365" s="80">
        <f t="shared" si="291"/>
        <v>0</v>
      </c>
      <c r="AB365" s="80">
        <f t="shared" si="279"/>
        <v>0</v>
      </c>
      <c r="AC365" s="194"/>
      <c r="AD365" s="80">
        <f t="shared" si="273"/>
        <v>0</v>
      </c>
      <c r="AE365" s="80">
        <f t="shared" si="280"/>
        <v>0</v>
      </c>
      <c r="AF365" s="194"/>
      <c r="AG365" s="80">
        <f t="shared" si="289"/>
        <v>0</v>
      </c>
      <c r="AH365" s="80">
        <f t="shared" si="274"/>
        <v>0</v>
      </c>
      <c r="AI365" s="194"/>
      <c r="AJ365" s="80">
        <f t="shared" si="283"/>
        <v>0</v>
      </c>
      <c r="AK365" s="80">
        <f t="shared" si="281"/>
        <v>0</v>
      </c>
      <c r="AL365" s="194"/>
      <c r="AM365" s="80">
        <f t="shared" si="290"/>
        <v>0</v>
      </c>
      <c r="AN365" s="80">
        <f t="shared" si="282"/>
        <v>0</v>
      </c>
      <c r="AO365" s="235">
        <f t="shared" si="266"/>
        <v>0</v>
      </c>
      <c r="AP365" s="236"/>
    </row>
    <row r="366" spans="1:42">
      <c r="A366" s="15">
        <v>45290</v>
      </c>
      <c r="B366" s="194">
        <v>0</v>
      </c>
      <c r="C366" s="80">
        <f t="shared" si="284"/>
        <v>0</v>
      </c>
      <c r="D366" s="80">
        <f t="shared" si="275"/>
        <v>0</v>
      </c>
      <c r="E366" s="194"/>
      <c r="F366" s="80">
        <f t="shared" si="267"/>
        <v>0</v>
      </c>
      <c r="G366" s="80">
        <f t="shared" si="276"/>
        <v>0</v>
      </c>
      <c r="H366" s="194"/>
      <c r="I366" s="80">
        <f t="shared" si="285"/>
        <v>0</v>
      </c>
      <c r="J366" s="80">
        <f t="shared" si="277"/>
        <v>0</v>
      </c>
      <c r="K366" s="194"/>
      <c r="L366" s="80">
        <f t="shared" si="286"/>
        <v>0</v>
      </c>
      <c r="M366" s="80">
        <f t="shared" si="270"/>
        <v>0</v>
      </c>
      <c r="N366" s="194"/>
      <c r="O366" s="80">
        <f t="shared" si="287"/>
        <v>0</v>
      </c>
      <c r="P366" s="80">
        <f t="shared" si="278"/>
        <v>0</v>
      </c>
      <c r="Q366" s="194"/>
      <c r="R366" s="80">
        <f>IF(Q366="",0,Q365-Q366)</f>
        <v>0</v>
      </c>
      <c r="S366" s="80">
        <f t="shared" si="271"/>
        <v>0</v>
      </c>
      <c r="T366" s="80"/>
      <c r="U366" s="80">
        <f>+CONVERT(T366,"gal","l")</f>
        <v>0</v>
      </c>
      <c r="V366" s="215">
        <f t="shared" si="269"/>
        <v>0</v>
      </c>
      <c r="W366" s="224"/>
      <c r="X366" s="235"/>
      <c r="Y366" s="80">
        <f t="shared" si="272"/>
        <v>0</v>
      </c>
      <c r="Z366" s="194"/>
      <c r="AA366" s="80">
        <f t="shared" si="291"/>
        <v>0</v>
      </c>
      <c r="AB366" s="80">
        <f t="shared" si="279"/>
        <v>0</v>
      </c>
      <c r="AC366" s="194"/>
      <c r="AD366" s="80">
        <f t="shared" si="273"/>
        <v>0</v>
      </c>
      <c r="AE366" s="80">
        <f t="shared" si="280"/>
        <v>0</v>
      </c>
      <c r="AF366" s="194"/>
      <c r="AG366" s="80">
        <f t="shared" si="289"/>
        <v>0</v>
      </c>
      <c r="AH366" s="80">
        <f t="shared" si="274"/>
        <v>0</v>
      </c>
      <c r="AI366" s="194"/>
      <c r="AJ366" s="80">
        <f t="shared" si="283"/>
        <v>0</v>
      </c>
      <c r="AK366" s="80">
        <f t="shared" si="281"/>
        <v>0</v>
      </c>
      <c r="AL366" s="194"/>
      <c r="AM366" s="80">
        <f t="shared" si="290"/>
        <v>0</v>
      </c>
      <c r="AN366" s="80">
        <f t="shared" si="282"/>
        <v>0</v>
      </c>
      <c r="AO366" s="235">
        <f t="shared" si="266"/>
        <v>0</v>
      </c>
      <c r="AP366" s="236"/>
    </row>
    <row r="367" spans="1:42">
      <c r="A367" s="15">
        <v>45291</v>
      </c>
      <c r="B367" s="194">
        <v>0</v>
      </c>
      <c r="C367" s="80">
        <f t="shared" si="284"/>
        <v>0</v>
      </c>
      <c r="D367" s="80">
        <f t="shared" si="275"/>
        <v>0</v>
      </c>
      <c r="E367" s="194"/>
      <c r="F367" s="80">
        <f t="shared" si="267"/>
        <v>0</v>
      </c>
      <c r="G367" s="80">
        <f t="shared" si="276"/>
        <v>0</v>
      </c>
      <c r="H367" s="194"/>
      <c r="I367" s="80">
        <f t="shared" si="285"/>
        <v>0</v>
      </c>
      <c r="J367" s="80">
        <f t="shared" si="277"/>
        <v>0</v>
      </c>
      <c r="K367" s="194"/>
      <c r="L367" s="80">
        <f t="shared" si="286"/>
        <v>0</v>
      </c>
      <c r="M367" s="80">
        <f t="shared" si="270"/>
        <v>0</v>
      </c>
      <c r="N367" s="194"/>
      <c r="O367" s="80">
        <f t="shared" si="287"/>
        <v>0</v>
      </c>
      <c r="P367" s="80">
        <f t="shared" si="278"/>
        <v>0</v>
      </c>
      <c r="Q367" s="194"/>
      <c r="R367" s="80">
        <f t="shared" si="288"/>
        <v>0</v>
      </c>
      <c r="S367" s="80">
        <f t="shared" si="271"/>
        <v>0</v>
      </c>
      <c r="T367" s="80"/>
      <c r="U367" s="80">
        <f>+CONVERT(T367,"gal","l")</f>
        <v>0</v>
      </c>
      <c r="V367" s="215">
        <f t="shared" si="269"/>
        <v>0</v>
      </c>
      <c r="W367" s="224"/>
      <c r="X367" s="235"/>
      <c r="Y367" s="80">
        <f t="shared" si="272"/>
        <v>0</v>
      </c>
      <c r="Z367" s="194"/>
      <c r="AA367" s="80">
        <f t="shared" si="291"/>
        <v>0</v>
      </c>
      <c r="AB367" s="80">
        <f t="shared" si="279"/>
        <v>0</v>
      </c>
      <c r="AC367" s="194"/>
      <c r="AD367" s="80">
        <f t="shared" si="273"/>
        <v>0</v>
      </c>
      <c r="AE367" s="80">
        <f t="shared" si="280"/>
        <v>0</v>
      </c>
      <c r="AF367" s="194"/>
      <c r="AG367" s="80">
        <f t="shared" si="289"/>
        <v>0</v>
      </c>
      <c r="AH367" s="80">
        <f t="shared" si="274"/>
        <v>0</v>
      </c>
      <c r="AI367" s="194"/>
      <c r="AJ367" s="80">
        <f t="shared" si="283"/>
        <v>0</v>
      </c>
      <c r="AK367" s="80">
        <f t="shared" si="281"/>
        <v>0</v>
      </c>
      <c r="AL367" s="194"/>
      <c r="AM367" s="80">
        <f t="shared" si="290"/>
        <v>0</v>
      </c>
      <c r="AN367" s="80">
        <f t="shared" si="282"/>
        <v>0</v>
      </c>
      <c r="AO367" s="235">
        <f t="shared" si="266"/>
        <v>0</v>
      </c>
      <c r="AP367" s="236"/>
    </row>
    <row r="368" spans="1:42">
      <c r="T368" s="258"/>
      <c r="W368" s="257"/>
    </row>
  </sheetData>
  <autoFilter ref="A1:AV367" xr:uid="{00000000-0009-0000-0000-000007000000}"/>
  <mergeCells count="2">
    <mergeCell ref="AT154:AV154"/>
    <mergeCell ref="AS327:AU327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N369"/>
  <sheetViews>
    <sheetView topLeftCell="A181" workbookViewId="0">
      <pane xSplit="1" topLeftCell="B1" activePane="topRight" state="frozen"/>
      <selection activeCell="AE23" sqref="AE23"/>
      <selection pane="topRight" activeCell="D175" sqref="D175"/>
    </sheetView>
  </sheetViews>
  <sheetFormatPr defaultColWidth="11.42578125" defaultRowHeight="12.75"/>
  <cols>
    <col min="1" max="1" width="10.7109375" style="9" bestFit="1" customWidth="1"/>
    <col min="2" max="2" width="13.28515625" style="9" bestFit="1" customWidth="1"/>
    <col min="3" max="3" width="12.42578125" style="4" bestFit="1" customWidth="1"/>
    <col min="4" max="4" width="12.28515625" style="4" bestFit="1" customWidth="1"/>
    <col min="5" max="6" width="12.85546875" style="4" bestFit="1" customWidth="1"/>
    <col min="7" max="8" width="13.140625" style="4" bestFit="1" customWidth="1"/>
    <col min="9" max="9" width="12.28515625" style="6" bestFit="1" customWidth="1"/>
    <col min="10" max="10" width="9.85546875" style="4" bestFit="1" customWidth="1"/>
    <col min="11" max="12" width="9.28515625" style="4" bestFit="1" customWidth="1"/>
    <col min="13" max="13" width="10.42578125" style="4" bestFit="1" customWidth="1"/>
    <col min="14" max="16384" width="11.42578125" style="4"/>
  </cols>
  <sheetData>
    <row r="1" spans="1:13" s="2" customFormat="1" ht="30">
      <c r="A1" s="176" t="s">
        <v>89</v>
      </c>
      <c r="B1" s="173" t="s">
        <v>117</v>
      </c>
      <c r="C1" s="174" t="s">
        <v>118</v>
      </c>
      <c r="D1" s="174" t="s">
        <v>119</v>
      </c>
      <c r="E1" s="175" t="s">
        <v>120</v>
      </c>
      <c r="F1" s="175" t="s">
        <v>121</v>
      </c>
      <c r="G1" s="48" t="s">
        <v>122</v>
      </c>
      <c r="H1" s="48" t="s">
        <v>123</v>
      </c>
      <c r="I1" s="174" t="s">
        <v>124</v>
      </c>
      <c r="J1" s="175" t="s">
        <v>125</v>
      </c>
      <c r="K1" s="48" t="s">
        <v>126</v>
      </c>
      <c r="L1" s="48" t="s">
        <v>127</v>
      </c>
      <c r="M1" s="48" t="s">
        <v>128</v>
      </c>
    </row>
    <row r="2" spans="1:13" s="2" customFormat="1">
      <c r="A2" s="97">
        <v>44927</v>
      </c>
      <c r="B2" s="16">
        <f>Datos!Y2</f>
        <v>433014.3</v>
      </c>
      <c r="C2" s="17">
        <f>Datos!AJ2+Datos!AK2</f>
        <v>1.4</v>
      </c>
      <c r="D2" s="80">
        <f>+CONVERT(C2,"m^3","gal")</f>
        <v>369.84087330140778</v>
      </c>
      <c r="E2" s="17">
        <f>Datos!AN2</f>
        <v>2.4</v>
      </c>
      <c r="F2" s="80">
        <f t="shared" ref="F2:F65" si="0">+CONVERT(E2,"m^3","gal")</f>
        <v>634.01292565955623</v>
      </c>
      <c r="G2" s="17">
        <f>C2+E2</f>
        <v>3.8</v>
      </c>
      <c r="H2" s="26">
        <f>D2+F2</f>
        <v>1003.853798960964</v>
      </c>
      <c r="I2" s="17">
        <f>Datos!AR2</f>
        <v>0</v>
      </c>
      <c r="J2" s="17">
        <f>Datos!AS2</f>
        <v>0</v>
      </c>
      <c r="K2" s="17">
        <f>Datos!AU2</f>
        <v>0</v>
      </c>
      <c r="L2" s="80">
        <f>+CONVERT(K2,"m^3","gal")</f>
        <v>0</v>
      </c>
      <c r="M2" s="17">
        <f>Datos!AX2</f>
        <v>0</v>
      </c>
    </row>
    <row r="3" spans="1:13" s="2" customFormat="1">
      <c r="A3" s="97">
        <v>44928</v>
      </c>
      <c r="B3" s="16">
        <f>Datos!Y3</f>
        <v>878124.79999999981</v>
      </c>
      <c r="C3" s="17">
        <f>Datos!AJ3+Datos!AK3</f>
        <v>1.9</v>
      </c>
      <c r="D3" s="80">
        <f t="shared" ref="D3:D66" si="1">+CONVERT(C3,"m^3","gal")</f>
        <v>501.92689948048201</v>
      </c>
      <c r="E3" s="17">
        <f>Datos!AN3</f>
        <v>4.7000000000000011</v>
      </c>
      <c r="F3" s="80">
        <f t="shared" si="0"/>
        <v>1241.6086460832978</v>
      </c>
      <c r="G3" s="17">
        <f t="shared" ref="G3:G65" si="2">C3+E3</f>
        <v>6.6000000000000014</v>
      </c>
      <c r="H3" s="26">
        <f t="shared" ref="H3:H65" si="3">D3+F3</f>
        <v>1743.5355455637798</v>
      </c>
      <c r="I3" s="17">
        <f>Datos!AR3</f>
        <v>0</v>
      </c>
      <c r="J3" s="17">
        <f>Datos!AS3</f>
        <v>0</v>
      </c>
      <c r="K3" s="17">
        <f>Datos!AU3</f>
        <v>0</v>
      </c>
      <c r="L3" s="80">
        <f t="shared" ref="L3:L65" si="4">+CONVERT(K3,"m^3","gal")</f>
        <v>0</v>
      </c>
      <c r="M3" s="17">
        <f>Datos!AX3</f>
        <v>0</v>
      </c>
    </row>
    <row r="4" spans="1:13" s="2" customFormat="1">
      <c r="A4" s="97">
        <v>44929</v>
      </c>
      <c r="B4" s="16">
        <f>Datos!Y4</f>
        <v>1282146.5</v>
      </c>
      <c r="C4" s="17">
        <f>Datos!AJ4+Datos!AK4</f>
        <v>4.2</v>
      </c>
      <c r="D4" s="80">
        <f t="shared" si="1"/>
        <v>1109.5226199042233</v>
      </c>
      <c r="E4" s="17">
        <f>Datos!AN4</f>
        <v>5.8000000000000007</v>
      </c>
      <c r="F4" s="80">
        <f t="shared" si="0"/>
        <v>1532.1979036772611</v>
      </c>
      <c r="G4" s="17">
        <f t="shared" si="2"/>
        <v>10</v>
      </c>
      <c r="H4" s="26">
        <f t="shared" si="3"/>
        <v>2641.7205235814845</v>
      </c>
      <c r="I4" s="17">
        <f>Datos!AR4</f>
        <v>0</v>
      </c>
      <c r="J4" s="17">
        <f>Datos!AS4</f>
        <v>0</v>
      </c>
      <c r="K4" s="17">
        <f>Datos!AU4</f>
        <v>0</v>
      </c>
      <c r="L4" s="80">
        <f t="shared" si="4"/>
        <v>0</v>
      </c>
      <c r="M4" s="17">
        <f>Datos!AX4</f>
        <v>0</v>
      </c>
    </row>
    <row r="5" spans="1:13" s="2" customFormat="1">
      <c r="A5" s="97">
        <v>44930</v>
      </c>
      <c r="B5" s="16">
        <f>Datos!Y5</f>
        <v>1276481.2999999998</v>
      </c>
      <c r="C5" s="17">
        <f>Datos!AJ5+Datos!AK5</f>
        <v>6</v>
      </c>
      <c r="D5" s="80">
        <f t="shared" si="1"/>
        <v>1585.0323141488905</v>
      </c>
      <c r="E5" s="17">
        <f>Datos!AN5</f>
        <v>5.8000000000000016</v>
      </c>
      <c r="F5" s="80">
        <f t="shared" si="0"/>
        <v>1532.1979036772614</v>
      </c>
      <c r="G5" s="17">
        <f t="shared" si="2"/>
        <v>11.8</v>
      </c>
      <c r="H5" s="26">
        <f t="shared" si="3"/>
        <v>3117.2302178261516</v>
      </c>
      <c r="I5" s="17">
        <f>Datos!AR5</f>
        <v>0</v>
      </c>
      <c r="J5" s="17">
        <f>Datos!AS5</f>
        <v>0</v>
      </c>
      <c r="K5" s="17">
        <f>Datos!AU5</f>
        <v>0</v>
      </c>
      <c r="L5" s="80">
        <f t="shared" si="4"/>
        <v>0</v>
      </c>
      <c r="M5" s="17">
        <f>Datos!AX5</f>
        <v>0</v>
      </c>
    </row>
    <row r="6" spans="1:13" s="2" customFormat="1">
      <c r="A6" s="97">
        <v>44931</v>
      </c>
      <c r="B6" s="16">
        <f>Datos!Y6</f>
        <v>1261885.4999999998</v>
      </c>
      <c r="C6" s="17">
        <f>Datos!AJ6+Datos!AK6</f>
        <v>1.6</v>
      </c>
      <c r="D6" s="80">
        <f t="shared" si="1"/>
        <v>422.67528377303745</v>
      </c>
      <c r="E6" s="17">
        <f>Datos!AN6</f>
        <v>6.7400000000000029</v>
      </c>
      <c r="F6" s="80">
        <f t="shared" si="0"/>
        <v>1780.5196328939212</v>
      </c>
      <c r="G6" s="17">
        <f t="shared" si="2"/>
        <v>8.3400000000000034</v>
      </c>
      <c r="H6" s="26">
        <f t="shared" si="3"/>
        <v>2203.1949166669588</v>
      </c>
      <c r="I6" s="17">
        <f>Datos!AR6</f>
        <v>0</v>
      </c>
      <c r="J6" s="17">
        <f>Datos!AS6</f>
        <v>0</v>
      </c>
      <c r="K6" s="17">
        <f>Datos!AU6</f>
        <v>0</v>
      </c>
      <c r="L6" s="80">
        <f t="shared" si="4"/>
        <v>0</v>
      </c>
      <c r="M6" s="17">
        <f>Datos!AX6</f>
        <v>0</v>
      </c>
    </row>
    <row r="7" spans="1:13" s="2" customFormat="1">
      <c r="A7" s="97">
        <v>44932</v>
      </c>
      <c r="B7" s="16">
        <f>Datos!Y7</f>
        <v>1267991</v>
      </c>
      <c r="C7" s="17">
        <f>Datos!AJ7+Datos!AK7</f>
        <v>1.1000000000000001</v>
      </c>
      <c r="D7" s="80">
        <f t="shared" si="1"/>
        <v>290.58925759396328</v>
      </c>
      <c r="E7" s="17">
        <f>Datos!AN7</f>
        <v>7.0699999999999976</v>
      </c>
      <c r="F7" s="80">
        <f t="shared" si="0"/>
        <v>1867.6964101721087</v>
      </c>
      <c r="G7" s="17">
        <f t="shared" si="2"/>
        <v>8.1699999999999982</v>
      </c>
      <c r="H7" s="26">
        <f t="shared" si="3"/>
        <v>2158.285667766072</v>
      </c>
      <c r="I7" s="17">
        <f>Datos!AR7</f>
        <v>0</v>
      </c>
      <c r="J7" s="17">
        <f>Datos!AS7</f>
        <v>10634</v>
      </c>
      <c r="K7" s="17">
        <f>Datos!AU7</f>
        <v>0</v>
      </c>
      <c r="L7" s="80">
        <f t="shared" si="4"/>
        <v>0</v>
      </c>
      <c r="M7" s="17">
        <f>Datos!AX7</f>
        <v>0</v>
      </c>
    </row>
    <row r="8" spans="1:13" s="2" customFormat="1">
      <c r="A8" s="97">
        <v>44933</v>
      </c>
      <c r="B8" s="16">
        <f>Datos!Y8</f>
        <v>1277588.4000000001</v>
      </c>
      <c r="C8" s="17">
        <f>Datos!AJ8+Datos!AK8</f>
        <v>7.3000000000000007</v>
      </c>
      <c r="D8" s="80">
        <f t="shared" si="1"/>
        <v>1928.4559822144838</v>
      </c>
      <c r="E8" s="17">
        <f>Datos!AN8</f>
        <v>6.4099999999999993</v>
      </c>
      <c r="F8" s="80">
        <f t="shared" si="0"/>
        <v>1693.3428556157312</v>
      </c>
      <c r="G8" s="17">
        <f t="shared" si="2"/>
        <v>13.71</v>
      </c>
      <c r="H8" s="26">
        <f t="shared" si="3"/>
        <v>3621.7988378302152</v>
      </c>
      <c r="I8" s="17">
        <f>Datos!AR8</f>
        <v>0</v>
      </c>
      <c r="J8" s="17">
        <f>Datos!AS8</f>
        <v>0</v>
      </c>
      <c r="K8" s="17">
        <f>Datos!AU8</f>
        <v>0</v>
      </c>
      <c r="L8" s="80">
        <f t="shared" si="4"/>
        <v>0</v>
      </c>
      <c r="M8" s="17">
        <f>Datos!AX8</f>
        <v>0</v>
      </c>
    </row>
    <row r="9" spans="1:13" s="2" customFormat="1">
      <c r="A9" s="97">
        <v>44934</v>
      </c>
      <c r="B9" s="16">
        <f>Datos!Y9</f>
        <v>986968.30000000016</v>
      </c>
      <c r="C9" s="17">
        <f>Datos!AJ9+Datos!AK9</f>
        <v>1.9</v>
      </c>
      <c r="D9" s="80">
        <f t="shared" si="1"/>
        <v>501.92689948048201</v>
      </c>
      <c r="E9" s="17">
        <f>Datos!AN9</f>
        <v>5.160000000000001</v>
      </c>
      <c r="F9" s="80">
        <f t="shared" si="0"/>
        <v>1363.1277901680462</v>
      </c>
      <c r="G9" s="17">
        <f t="shared" si="2"/>
        <v>7.0600000000000005</v>
      </c>
      <c r="H9" s="26">
        <f t="shared" si="3"/>
        <v>1865.0546896485282</v>
      </c>
      <c r="I9" s="17">
        <f>Datos!AR9</f>
        <v>0</v>
      </c>
      <c r="J9" s="17">
        <f>Datos!AS9</f>
        <v>0</v>
      </c>
      <c r="K9" s="17">
        <f>Datos!AU9</f>
        <v>0</v>
      </c>
      <c r="L9" s="80">
        <f t="shared" si="4"/>
        <v>0</v>
      </c>
      <c r="M9" s="17">
        <f>Datos!AX9</f>
        <v>0</v>
      </c>
    </row>
    <row r="10" spans="1:13" s="2" customFormat="1">
      <c r="A10" s="97">
        <v>44935</v>
      </c>
      <c r="B10" s="16">
        <f>Datos!Y10</f>
        <v>1281640.7</v>
      </c>
      <c r="C10" s="17">
        <f>Datos!AJ10+Datos!AK10</f>
        <v>2</v>
      </c>
      <c r="D10" s="80">
        <f t="shared" si="1"/>
        <v>528.3441047162969</v>
      </c>
      <c r="E10" s="17">
        <f>Datos!AN10</f>
        <v>6.5200000000000014</v>
      </c>
      <c r="F10" s="80">
        <v>93850367</v>
      </c>
      <c r="G10" s="17">
        <f t="shared" si="2"/>
        <v>8.5200000000000014</v>
      </c>
      <c r="H10" s="26">
        <f t="shared" si="3"/>
        <v>93850895.344104722</v>
      </c>
      <c r="I10" s="17">
        <f>Datos!AR10</f>
        <v>0</v>
      </c>
      <c r="J10" s="17">
        <f>Datos!AS10</f>
        <v>0</v>
      </c>
      <c r="K10" s="17">
        <f>Datos!AU10</f>
        <v>0</v>
      </c>
      <c r="L10" s="80">
        <f t="shared" si="4"/>
        <v>0</v>
      </c>
      <c r="M10" s="17">
        <f>Datos!AX10</f>
        <v>0</v>
      </c>
    </row>
    <row r="11" spans="1:13" s="2" customFormat="1">
      <c r="A11" s="97">
        <v>44936</v>
      </c>
      <c r="B11" s="16">
        <f>Datos!Y11</f>
        <v>1500813.9000000004</v>
      </c>
      <c r="C11" s="17">
        <f>Datos!AJ11+Datos!AK11</f>
        <v>1.2</v>
      </c>
      <c r="D11" s="80">
        <f t="shared" si="1"/>
        <v>317.00646282977812</v>
      </c>
      <c r="E11" s="17">
        <f>Datos!AN11</f>
        <v>7.3199999999999976</v>
      </c>
      <c r="F11" s="80">
        <f t="shared" si="0"/>
        <v>1933.7394232616457</v>
      </c>
      <c r="G11" s="17">
        <f t="shared" si="2"/>
        <v>8.5199999999999978</v>
      </c>
      <c r="H11" s="26">
        <f t="shared" si="3"/>
        <v>2250.7458860914239</v>
      </c>
      <c r="I11" s="17">
        <f>Datos!AR11</f>
        <v>0</v>
      </c>
      <c r="J11" s="17">
        <f>Datos!AS11</f>
        <v>0</v>
      </c>
      <c r="K11" s="17">
        <f>Datos!AU11</f>
        <v>0</v>
      </c>
      <c r="L11" s="80">
        <f t="shared" si="4"/>
        <v>0</v>
      </c>
      <c r="M11" s="17">
        <f>Datos!AX11</f>
        <v>0</v>
      </c>
    </row>
    <row r="12" spans="1:13" s="2" customFormat="1">
      <c r="A12" s="97">
        <v>44937</v>
      </c>
      <c r="B12" s="16">
        <f>Datos!Y12</f>
        <v>1270496.6999999997</v>
      </c>
      <c r="C12" s="17">
        <f>Datos!AJ12+Datos!AK12</f>
        <v>1</v>
      </c>
      <c r="D12" s="80">
        <f t="shared" si="1"/>
        <v>264.17205235814845</v>
      </c>
      <c r="E12" s="17">
        <f>Datos!AN12</f>
        <v>6.9799999999999995</v>
      </c>
      <c r="F12" s="80">
        <f t="shared" si="0"/>
        <v>1843.9209254598757</v>
      </c>
      <c r="G12" s="17">
        <f t="shared" si="2"/>
        <v>7.9799999999999995</v>
      </c>
      <c r="H12" s="26">
        <f t="shared" si="3"/>
        <v>2108.0929778180243</v>
      </c>
      <c r="I12" s="17">
        <f>Datos!AR12</f>
        <v>0</v>
      </c>
      <c r="J12" s="17">
        <f>Datos!AS12</f>
        <v>0</v>
      </c>
      <c r="K12" s="17">
        <f>Datos!AU12</f>
        <v>0</v>
      </c>
      <c r="L12" s="80">
        <f t="shared" si="4"/>
        <v>0</v>
      </c>
      <c r="M12" s="17">
        <f>Datos!AX12</f>
        <v>0</v>
      </c>
    </row>
    <row r="13" spans="1:13" s="2" customFormat="1">
      <c r="A13" s="97">
        <v>44938</v>
      </c>
      <c r="B13" s="16">
        <f>Datos!Y13</f>
        <v>1277533.6000000001</v>
      </c>
      <c r="C13" s="17">
        <f>Datos!AJ13+Datos!AK13</f>
        <v>1.2</v>
      </c>
      <c r="D13" s="80">
        <f t="shared" si="1"/>
        <v>317.00646282977812</v>
      </c>
      <c r="E13" s="17">
        <f>Datos!AN13</f>
        <v>5.7900000000000018</v>
      </c>
      <c r="F13" s="80">
        <f t="shared" si="0"/>
        <v>1529.5561831536797</v>
      </c>
      <c r="G13" s="17">
        <f t="shared" si="2"/>
        <v>6.990000000000002</v>
      </c>
      <c r="H13" s="26">
        <f t="shared" si="3"/>
        <v>1846.562645983458</v>
      </c>
      <c r="I13" s="17">
        <f>Datos!AR13</f>
        <v>0</v>
      </c>
      <c r="J13" s="17">
        <f>Datos!AS13</f>
        <v>0</v>
      </c>
      <c r="K13" s="17">
        <f>Datos!AU13</f>
        <v>0</v>
      </c>
      <c r="L13" s="80">
        <f t="shared" si="4"/>
        <v>0</v>
      </c>
      <c r="M13" s="17">
        <f>Datos!AX13</f>
        <v>0</v>
      </c>
    </row>
    <row r="14" spans="1:13" s="2" customFormat="1">
      <c r="A14" s="97">
        <v>44939</v>
      </c>
      <c r="B14" s="16">
        <f>Datos!Y14</f>
        <v>1285124</v>
      </c>
      <c r="C14" s="17">
        <f>Datos!AJ14+Datos!AK14</f>
        <v>1</v>
      </c>
      <c r="D14" s="80">
        <f t="shared" si="1"/>
        <v>264.17205235814845</v>
      </c>
      <c r="E14" s="17">
        <f>Datos!AN14</f>
        <v>7.2299999999999969</v>
      </c>
      <c r="F14" s="80">
        <f t="shared" si="0"/>
        <v>1909.9639385494124</v>
      </c>
      <c r="G14" s="17">
        <f t="shared" si="2"/>
        <v>8.2299999999999969</v>
      </c>
      <c r="H14" s="26">
        <f t="shared" si="3"/>
        <v>2174.1359909075609</v>
      </c>
      <c r="I14" s="17">
        <f>Datos!AR14</f>
        <v>0</v>
      </c>
      <c r="J14" s="17">
        <f>Datos!AS14</f>
        <v>11015</v>
      </c>
      <c r="K14" s="17">
        <f>Datos!AU14</f>
        <v>0</v>
      </c>
      <c r="L14" s="80">
        <f t="shared" si="4"/>
        <v>0</v>
      </c>
      <c r="M14" s="17">
        <f>Datos!AX14</f>
        <v>0</v>
      </c>
    </row>
    <row r="15" spans="1:13" s="2" customFormat="1">
      <c r="A15" s="97">
        <v>44940</v>
      </c>
      <c r="B15" s="16">
        <f>Datos!Y15</f>
        <v>1276521.0999999999</v>
      </c>
      <c r="C15" s="17">
        <f>Datos!AJ15+Datos!AK15</f>
        <v>1.3</v>
      </c>
      <c r="D15" s="80">
        <f t="shared" si="1"/>
        <v>343.42366806559295</v>
      </c>
      <c r="E15" s="17">
        <f>Datos!AN15</f>
        <v>7.2899999999999965</v>
      </c>
      <c r="F15" s="80">
        <f t="shared" si="0"/>
        <v>1925.814261690901</v>
      </c>
      <c r="G15" s="17">
        <f t="shared" si="2"/>
        <v>8.5899999999999963</v>
      </c>
      <c r="H15" s="26">
        <f t="shared" si="3"/>
        <v>2269.2379297564939</v>
      </c>
      <c r="I15" s="17">
        <f>Datos!AR15</f>
        <v>0</v>
      </c>
      <c r="J15" s="17">
        <f>Datos!AS15</f>
        <v>0</v>
      </c>
      <c r="K15" s="17">
        <f>Datos!AU15</f>
        <v>0</v>
      </c>
      <c r="L15" s="80">
        <f t="shared" si="4"/>
        <v>0</v>
      </c>
      <c r="M15" s="17">
        <f>Datos!AX15</f>
        <v>0</v>
      </c>
    </row>
    <row r="16" spans="1:13" s="2" customFormat="1">
      <c r="A16" s="97">
        <v>44941</v>
      </c>
      <c r="B16" s="16">
        <f>Datos!Y16</f>
        <v>1279166.9000000001</v>
      </c>
      <c r="C16" s="17">
        <f>Datos!AJ16+Datos!AK16</f>
        <v>1</v>
      </c>
      <c r="D16" s="80">
        <f t="shared" si="1"/>
        <v>264.17205235814845</v>
      </c>
      <c r="E16" s="17">
        <f>Datos!AN16</f>
        <v>7</v>
      </c>
      <c r="F16" s="80">
        <f t="shared" si="0"/>
        <v>1849.2043665070389</v>
      </c>
      <c r="G16" s="17">
        <f t="shared" si="2"/>
        <v>8</v>
      </c>
      <c r="H16" s="26">
        <f t="shared" si="3"/>
        <v>2113.3764188651876</v>
      </c>
      <c r="I16" s="17">
        <f>Datos!AR16</f>
        <v>0</v>
      </c>
      <c r="J16" s="17">
        <f>Datos!AS16</f>
        <v>0</v>
      </c>
      <c r="K16" s="17">
        <f>Datos!AU16</f>
        <v>0</v>
      </c>
      <c r="L16" s="80">
        <f t="shared" si="4"/>
        <v>0</v>
      </c>
      <c r="M16" s="17">
        <f>Datos!AX16</f>
        <v>0</v>
      </c>
    </row>
    <row r="17" spans="1:13" s="2" customFormat="1">
      <c r="A17" s="97">
        <v>44942</v>
      </c>
      <c r="B17" s="16">
        <f>Datos!Y17</f>
        <v>1279166.9000000001</v>
      </c>
      <c r="C17" s="17">
        <f>Datos!AJ17+Datos!AK17</f>
        <v>15.799999999999999</v>
      </c>
      <c r="D17" s="80">
        <f t="shared" si="1"/>
        <v>4173.9184272587445</v>
      </c>
      <c r="E17" s="17">
        <f>Datos!AN17</f>
        <v>7.3999999999999977</v>
      </c>
      <c r="F17" s="80">
        <f t="shared" si="0"/>
        <v>1954.8731874502976</v>
      </c>
      <c r="G17" s="17">
        <f t="shared" si="2"/>
        <v>23.199999999999996</v>
      </c>
      <c r="H17" s="26">
        <f t="shared" si="3"/>
        <v>6128.7916147090418</v>
      </c>
      <c r="I17" s="17">
        <f>Datos!AR17</f>
        <v>0</v>
      </c>
      <c r="J17" s="17">
        <f>Datos!AS17</f>
        <v>0</v>
      </c>
      <c r="K17" s="17">
        <f>Datos!AU17</f>
        <v>0</v>
      </c>
      <c r="L17" s="80">
        <f t="shared" si="4"/>
        <v>0</v>
      </c>
      <c r="M17" s="17">
        <f>Datos!AX17</f>
        <v>0</v>
      </c>
    </row>
    <row r="18" spans="1:13" s="2" customFormat="1">
      <c r="A18" s="97">
        <v>44943</v>
      </c>
      <c r="B18" s="16">
        <f>Datos!Y18</f>
        <v>1471078.7999999998</v>
      </c>
      <c r="C18" s="17">
        <f>Datos!AJ18+Datos!AK18</f>
        <v>1</v>
      </c>
      <c r="D18" s="80">
        <f t="shared" si="1"/>
        <v>264.17205235814845</v>
      </c>
      <c r="E18" s="17">
        <f>Datos!AN18</f>
        <v>7.3999999999999968</v>
      </c>
      <c r="F18" s="80">
        <f t="shared" si="0"/>
        <v>1954.8731874502973</v>
      </c>
      <c r="G18" s="17">
        <f t="shared" si="2"/>
        <v>8.3999999999999968</v>
      </c>
      <c r="H18" s="26">
        <f t="shared" si="3"/>
        <v>2219.0452398084458</v>
      </c>
      <c r="I18" s="17">
        <f>Datos!AR18</f>
        <v>0</v>
      </c>
      <c r="J18" s="17">
        <f>Datos!AS18</f>
        <v>10611</v>
      </c>
      <c r="K18" s="17">
        <f>Datos!AU18</f>
        <v>0</v>
      </c>
      <c r="L18" s="80">
        <f t="shared" si="4"/>
        <v>0</v>
      </c>
      <c r="M18" s="17">
        <f>Datos!AX18</f>
        <v>0</v>
      </c>
    </row>
    <row r="19" spans="1:13" s="2" customFormat="1">
      <c r="A19" s="97">
        <v>44944</v>
      </c>
      <c r="B19" s="16">
        <f>Datos!Y19</f>
        <v>1469033.4999999998</v>
      </c>
      <c r="C19" s="17">
        <f>Datos!AJ19+Datos!AK19</f>
        <v>1.5</v>
      </c>
      <c r="D19" s="80">
        <f t="shared" si="1"/>
        <v>396.25807853722262</v>
      </c>
      <c r="E19" s="17">
        <f>Datos!AN19</f>
        <v>6</v>
      </c>
      <c r="F19" s="80">
        <f t="shared" si="0"/>
        <v>1585.0323141488905</v>
      </c>
      <c r="G19" s="17">
        <f t="shared" si="2"/>
        <v>7.5</v>
      </c>
      <c r="H19" s="26">
        <f t="shared" si="3"/>
        <v>1981.2903926861131</v>
      </c>
      <c r="I19" s="17">
        <f>Datos!AR19</f>
        <v>0</v>
      </c>
      <c r="J19" s="17">
        <f>Datos!AS19</f>
        <v>0</v>
      </c>
      <c r="K19" s="17">
        <f>Datos!AU19</f>
        <v>0</v>
      </c>
      <c r="L19" s="80">
        <f t="shared" si="4"/>
        <v>0</v>
      </c>
      <c r="M19" s="17">
        <f>Datos!AX19</f>
        <v>0</v>
      </c>
    </row>
    <row r="20" spans="1:13" s="2" customFormat="1">
      <c r="A20" s="97">
        <v>44945</v>
      </c>
      <c r="B20" s="16">
        <f>Datos!Y20</f>
        <v>1112626.2</v>
      </c>
      <c r="C20" s="17">
        <f>Datos!AJ20+Datos!AK20</f>
        <v>16.3</v>
      </c>
      <c r="D20" s="80">
        <f t="shared" si="1"/>
        <v>4306.0044534378194</v>
      </c>
      <c r="E20" s="17">
        <f>Datos!AN20</f>
        <v>5.6500000000000021</v>
      </c>
      <c r="F20" s="80">
        <f t="shared" si="0"/>
        <v>1492.572095823539</v>
      </c>
      <c r="G20" s="17">
        <f t="shared" si="2"/>
        <v>21.950000000000003</v>
      </c>
      <c r="H20" s="26">
        <f t="shared" si="3"/>
        <v>5798.5765492613582</v>
      </c>
      <c r="I20" s="17">
        <f>Datos!AR20</f>
        <v>10649</v>
      </c>
      <c r="J20" s="17">
        <f>Datos!AS20</f>
        <v>0</v>
      </c>
      <c r="K20" s="17">
        <f>Datos!AU20</f>
        <v>0</v>
      </c>
      <c r="L20" s="80">
        <f t="shared" si="4"/>
        <v>0</v>
      </c>
      <c r="M20" s="17">
        <f>Datos!AX20</f>
        <v>0</v>
      </c>
    </row>
    <row r="21" spans="1:13" s="2" customFormat="1">
      <c r="A21" s="97">
        <v>44946</v>
      </c>
      <c r="B21" s="16">
        <f>Datos!Y21</f>
        <v>1078234.0000000002</v>
      </c>
      <c r="C21" s="17">
        <f>Datos!AJ21+Datos!AK21</f>
        <v>2.8</v>
      </c>
      <c r="D21" s="80">
        <f t="shared" si="1"/>
        <v>739.68174660281556</v>
      </c>
      <c r="E21" s="17">
        <f>Datos!AN21</f>
        <v>6.0699999999999994</v>
      </c>
      <c r="F21" s="80">
        <f t="shared" si="0"/>
        <v>1603.5243578139607</v>
      </c>
      <c r="G21" s="17">
        <f t="shared" si="2"/>
        <v>8.8699999999999992</v>
      </c>
      <c r="H21" s="26">
        <f t="shared" si="3"/>
        <v>2343.2061044167763</v>
      </c>
      <c r="I21" s="17">
        <f>Datos!AR21</f>
        <v>0</v>
      </c>
      <c r="J21" s="17">
        <f>Datos!AS21</f>
        <v>0</v>
      </c>
      <c r="K21" s="17">
        <f>Datos!AU21</f>
        <v>0</v>
      </c>
      <c r="L21" s="80">
        <f t="shared" si="4"/>
        <v>0</v>
      </c>
      <c r="M21" s="17">
        <f>Datos!AX21</f>
        <v>0</v>
      </c>
    </row>
    <row r="22" spans="1:13" s="2" customFormat="1">
      <c r="A22" s="97">
        <v>44947</v>
      </c>
      <c r="B22" s="16">
        <f>Datos!Y22</f>
        <v>1111010.8</v>
      </c>
      <c r="C22" s="17">
        <f>Datos!AJ22+Datos!AK22</f>
        <v>1.3</v>
      </c>
      <c r="D22" s="80">
        <f t="shared" si="1"/>
        <v>343.42366806559295</v>
      </c>
      <c r="E22" s="17">
        <f>Datos!AN22</f>
        <v>7.0499999999999989</v>
      </c>
      <c r="F22" s="80">
        <f t="shared" si="0"/>
        <v>1862.4129691249461</v>
      </c>
      <c r="G22" s="17">
        <f t="shared" si="2"/>
        <v>8.35</v>
      </c>
      <c r="H22" s="26">
        <f t="shared" si="3"/>
        <v>2205.836637190539</v>
      </c>
      <c r="I22" s="17">
        <f>Datos!AR22</f>
        <v>0</v>
      </c>
      <c r="J22" s="17">
        <f>Datos!AS22</f>
        <v>0</v>
      </c>
      <c r="K22" s="17">
        <f>Datos!AU22</f>
        <v>0</v>
      </c>
      <c r="L22" s="80">
        <f t="shared" si="4"/>
        <v>0</v>
      </c>
      <c r="M22" s="17">
        <f>Datos!AX22</f>
        <v>0</v>
      </c>
    </row>
    <row r="23" spans="1:13" s="2" customFormat="1">
      <c r="A23" s="97">
        <v>44948</v>
      </c>
      <c r="B23" s="16">
        <f>Datos!Y23</f>
        <v>1296907.3</v>
      </c>
      <c r="C23" s="17">
        <f>Datos!AJ23+Datos!AK23</f>
        <v>0.8</v>
      </c>
      <c r="D23" s="80">
        <f t="shared" si="1"/>
        <v>211.33764188651872</v>
      </c>
      <c r="E23" s="17">
        <f>Datos!AN23</f>
        <v>6.7600000000000033</v>
      </c>
      <c r="F23" s="80">
        <f t="shared" si="0"/>
        <v>1785.8030739410842</v>
      </c>
      <c r="G23" s="17">
        <f t="shared" si="2"/>
        <v>7.5600000000000032</v>
      </c>
      <c r="H23" s="26">
        <f t="shared" si="3"/>
        <v>1997.1407158276029</v>
      </c>
      <c r="I23" s="17">
        <f>Datos!AR23</f>
        <v>0</v>
      </c>
      <c r="J23" s="17">
        <f>Datos!AS23</f>
        <v>0</v>
      </c>
      <c r="K23" s="17">
        <f>Datos!AU23</f>
        <v>0</v>
      </c>
      <c r="L23" s="80">
        <f t="shared" si="4"/>
        <v>0</v>
      </c>
      <c r="M23" s="17">
        <f>Datos!AX23</f>
        <v>0</v>
      </c>
    </row>
    <row r="24" spans="1:13" s="2" customFormat="1">
      <c r="A24" s="97">
        <v>44949</v>
      </c>
      <c r="B24" s="16">
        <f>Datos!Y24</f>
        <v>1291040.1000000001</v>
      </c>
      <c r="C24" s="17">
        <f>Datos!AJ24+Datos!AK24</f>
        <v>0.8</v>
      </c>
      <c r="D24" s="80">
        <f t="shared" si="1"/>
        <v>211.33764188651872</v>
      </c>
      <c r="E24" s="17">
        <f>Datos!AN24</f>
        <v>6.7100000000000035</v>
      </c>
      <c r="F24" s="80">
        <f t="shared" si="0"/>
        <v>1772.5944713231768</v>
      </c>
      <c r="G24" s="17">
        <f t="shared" si="2"/>
        <v>7.5100000000000033</v>
      </c>
      <c r="H24" s="26">
        <f t="shared" si="3"/>
        <v>1983.9321132096954</v>
      </c>
      <c r="I24" s="17">
        <f>Datos!AR24</f>
        <v>0</v>
      </c>
      <c r="J24" s="17">
        <f>Datos!AS24</f>
        <v>10844</v>
      </c>
      <c r="K24" s="17">
        <f>Datos!AU24</f>
        <v>0</v>
      </c>
      <c r="L24" s="80">
        <f t="shared" si="4"/>
        <v>0</v>
      </c>
      <c r="M24" s="17">
        <f>Datos!AX24</f>
        <v>0</v>
      </c>
    </row>
    <row r="25" spans="1:13" s="2" customFormat="1">
      <c r="A25" s="97">
        <v>44950</v>
      </c>
      <c r="B25" s="16">
        <f>Datos!Y25</f>
        <v>1300696.0999999996</v>
      </c>
      <c r="C25" s="17">
        <f>Datos!AJ25+Datos!AK25</f>
        <v>2.7</v>
      </c>
      <c r="D25" s="80">
        <f t="shared" si="1"/>
        <v>713.26454136700079</v>
      </c>
      <c r="E25" s="17">
        <f>Datos!AN25</f>
        <v>6.9300000000000006</v>
      </c>
      <c r="F25" s="80">
        <f t="shared" si="0"/>
        <v>1830.7123228419689</v>
      </c>
      <c r="G25" s="17">
        <f t="shared" si="2"/>
        <v>9.6300000000000008</v>
      </c>
      <c r="H25" s="26">
        <f t="shared" si="3"/>
        <v>2543.9768642089698</v>
      </c>
      <c r="I25" s="17">
        <f>Datos!AR25</f>
        <v>0</v>
      </c>
      <c r="J25" s="17">
        <f>Datos!AS25</f>
        <v>0</v>
      </c>
      <c r="K25" s="17">
        <f>Datos!AU25</f>
        <v>0</v>
      </c>
      <c r="L25" s="80">
        <f t="shared" si="4"/>
        <v>0</v>
      </c>
      <c r="M25" s="17">
        <f>Datos!AX25</f>
        <v>0</v>
      </c>
    </row>
    <row r="26" spans="1:13" s="2" customFormat="1">
      <c r="A26" s="97">
        <v>44951</v>
      </c>
      <c r="B26" s="16">
        <f>Datos!Y26</f>
        <v>1302891.7999999998</v>
      </c>
      <c r="C26" s="17">
        <f>Datos!AJ26+Datos!AK26</f>
        <v>8.4</v>
      </c>
      <c r="D26" s="80">
        <f t="shared" si="1"/>
        <v>2219.0452398084467</v>
      </c>
      <c r="E26" s="17">
        <f>Datos!AN26</f>
        <v>6.839999999999999</v>
      </c>
      <c r="F26" s="80">
        <f t="shared" si="0"/>
        <v>1806.936838129735</v>
      </c>
      <c r="G26" s="17">
        <f t="shared" si="2"/>
        <v>15.239999999999998</v>
      </c>
      <c r="H26" s="26">
        <f t="shared" si="3"/>
        <v>4025.9820779381816</v>
      </c>
      <c r="I26" s="17">
        <f>Datos!AR26</f>
        <v>10830</v>
      </c>
      <c r="J26" s="17">
        <f>Datos!AS26</f>
        <v>0</v>
      </c>
      <c r="K26" s="17">
        <f>Datos!AU26</f>
        <v>0</v>
      </c>
      <c r="L26" s="80">
        <f t="shared" si="4"/>
        <v>0</v>
      </c>
      <c r="M26" s="17">
        <f>Datos!AX26</f>
        <v>0</v>
      </c>
    </row>
    <row r="27" spans="1:13" s="2" customFormat="1">
      <c r="A27" s="97">
        <v>44952</v>
      </c>
      <c r="B27" s="16">
        <f>Datos!Y27</f>
        <v>1344956.3</v>
      </c>
      <c r="C27" s="17">
        <f>Datos!AJ27+Datos!AK27</f>
        <v>19.3</v>
      </c>
      <c r="D27" s="80">
        <f t="shared" si="1"/>
        <v>5098.5206105122643</v>
      </c>
      <c r="E27" s="17">
        <f>Datos!AN27</f>
        <v>7.0999999999999988</v>
      </c>
      <c r="F27" s="80">
        <f t="shared" si="0"/>
        <v>1875.6215717428536</v>
      </c>
      <c r="G27" s="17">
        <f t="shared" si="2"/>
        <v>26.4</v>
      </c>
      <c r="H27" s="26">
        <f t="shared" si="3"/>
        <v>6974.1421822551183</v>
      </c>
      <c r="I27" s="17">
        <f>Datos!AR27</f>
        <v>0</v>
      </c>
      <c r="J27" s="17">
        <f>Datos!AS27</f>
        <v>10590</v>
      </c>
      <c r="K27" s="17">
        <f>Datos!AU27</f>
        <v>0</v>
      </c>
      <c r="L27" s="80">
        <f t="shared" si="4"/>
        <v>0</v>
      </c>
      <c r="M27" s="17">
        <f>Datos!AX27</f>
        <v>0</v>
      </c>
    </row>
    <row r="28" spans="1:13" s="2" customFormat="1">
      <c r="A28" s="97">
        <v>44953</v>
      </c>
      <c r="B28" s="16">
        <f>Datos!Y28</f>
        <v>1500969.3000000003</v>
      </c>
      <c r="C28" s="17">
        <f>Datos!AJ28+Datos!AK28</f>
        <v>25.9</v>
      </c>
      <c r="D28" s="80">
        <f t="shared" si="1"/>
        <v>6842.0561560760443</v>
      </c>
      <c r="E28" s="17">
        <f>Datos!AN28</f>
        <v>7.1999999999999975</v>
      </c>
      <c r="F28" s="80">
        <f t="shared" si="0"/>
        <v>1902.038776978668</v>
      </c>
      <c r="G28" s="17">
        <f t="shared" si="2"/>
        <v>33.099999999999994</v>
      </c>
      <c r="H28" s="26">
        <f t="shared" si="3"/>
        <v>8744.0949330547119</v>
      </c>
      <c r="I28" s="17">
        <f>Datos!AR28</f>
        <v>0</v>
      </c>
      <c r="J28" s="17">
        <f>Datos!AS28</f>
        <v>0</v>
      </c>
      <c r="K28" s="17">
        <f>Datos!AU28</f>
        <v>0</v>
      </c>
      <c r="L28" s="80">
        <f t="shared" si="4"/>
        <v>0</v>
      </c>
      <c r="M28" s="17">
        <f>Datos!AX28</f>
        <v>0</v>
      </c>
    </row>
    <row r="29" spans="1:13" s="2" customFormat="1">
      <c r="A29" s="97">
        <v>44954</v>
      </c>
      <c r="B29" s="16">
        <f>Datos!Y29</f>
        <v>1505832.5999999996</v>
      </c>
      <c r="C29" s="17">
        <f>Datos!AJ29+Datos!AK29</f>
        <v>0.8</v>
      </c>
      <c r="D29" s="80">
        <f t="shared" si="1"/>
        <v>211.33764188651872</v>
      </c>
      <c r="E29" s="17">
        <f>Datos!AN29</f>
        <v>6.9200000000000008</v>
      </c>
      <c r="F29" s="80">
        <f t="shared" si="0"/>
        <v>1828.0706023183873</v>
      </c>
      <c r="G29" s="17">
        <f t="shared" si="2"/>
        <v>7.7200000000000006</v>
      </c>
      <c r="H29" s="26">
        <f t="shared" si="3"/>
        <v>2039.4082442049059</v>
      </c>
      <c r="I29" s="17">
        <f>Datos!AR29</f>
        <v>0</v>
      </c>
      <c r="J29" s="17">
        <f>Datos!AS29</f>
        <v>0</v>
      </c>
      <c r="K29" s="17">
        <f>Datos!AU29</f>
        <v>0</v>
      </c>
      <c r="L29" s="80">
        <f t="shared" si="4"/>
        <v>0</v>
      </c>
      <c r="M29" s="17">
        <f>Datos!AX29</f>
        <v>0</v>
      </c>
    </row>
    <row r="30" spans="1:13" s="2" customFormat="1">
      <c r="A30" s="97">
        <v>44955</v>
      </c>
      <c r="B30" s="16">
        <f>Datos!Y30</f>
        <v>1299027.6000000001</v>
      </c>
      <c r="C30" s="17">
        <f>Datos!AJ30+Datos!AK30</f>
        <v>8.4</v>
      </c>
      <c r="D30" s="80">
        <f t="shared" si="1"/>
        <v>2219.0452398084467</v>
      </c>
      <c r="E30" s="17">
        <f>Datos!AN30</f>
        <v>5.2900000000000018</v>
      </c>
      <c r="F30" s="80">
        <f t="shared" si="0"/>
        <v>1397.4701569746057</v>
      </c>
      <c r="G30" s="17">
        <f t="shared" si="2"/>
        <v>13.690000000000001</v>
      </c>
      <c r="H30" s="26">
        <f t="shared" si="3"/>
        <v>3616.5153967830524</v>
      </c>
      <c r="I30" s="17">
        <f>Datos!AR30</f>
        <v>10609</v>
      </c>
      <c r="J30" s="17">
        <f>Datos!AS30</f>
        <v>0</v>
      </c>
      <c r="K30" s="17">
        <f>Datos!AU30</f>
        <v>0</v>
      </c>
      <c r="L30" s="80">
        <f t="shared" si="4"/>
        <v>0</v>
      </c>
      <c r="M30" s="17">
        <f>Datos!AX30</f>
        <v>0</v>
      </c>
    </row>
    <row r="31" spans="1:13" s="2" customFormat="1">
      <c r="A31" s="97">
        <v>44956</v>
      </c>
      <c r="B31" s="16">
        <f>Datos!Y31</f>
        <v>1013632.6999999998</v>
      </c>
      <c r="C31" s="17">
        <f>Datos!AJ31+Datos!AK31</f>
        <v>2.1</v>
      </c>
      <c r="D31" s="80">
        <f t="shared" si="1"/>
        <v>554.76130995211167</v>
      </c>
      <c r="E31" s="17">
        <f>Datos!AN31</f>
        <v>6.2399999999999975</v>
      </c>
      <c r="F31" s="80">
        <f t="shared" si="0"/>
        <v>1648.4336067148454</v>
      </c>
      <c r="G31" s="17">
        <f t="shared" si="2"/>
        <v>8.3399999999999981</v>
      </c>
      <c r="H31" s="26">
        <f t="shared" si="3"/>
        <v>2203.1949166669569</v>
      </c>
      <c r="I31" s="17">
        <f>Datos!AR31</f>
        <v>0</v>
      </c>
      <c r="J31" s="17">
        <f>Datos!AS31</f>
        <v>0</v>
      </c>
      <c r="K31" s="17">
        <f>Datos!AU31</f>
        <v>0</v>
      </c>
      <c r="L31" s="80">
        <f t="shared" si="4"/>
        <v>0</v>
      </c>
      <c r="M31" s="17">
        <f>Datos!AX31</f>
        <v>0</v>
      </c>
    </row>
    <row r="32" spans="1:13" s="2" customFormat="1">
      <c r="A32" s="97">
        <v>44957</v>
      </c>
      <c r="B32" s="16">
        <f>Datos!Y32</f>
        <v>1294734.8</v>
      </c>
      <c r="C32" s="17">
        <f>Datos!AJ32+Datos!AK32</f>
        <v>7.7</v>
      </c>
      <c r="D32" s="80">
        <f t="shared" si="1"/>
        <v>2034.1248031577429</v>
      </c>
      <c r="E32" s="17">
        <f>Datos!AN32</f>
        <v>7.6500000000000021</v>
      </c>
      <c r="F32" s="80">
        <f t="shared" si="0"/>
        <v>2020.9162005398359</v>
      </c>
      <c r="G32" s="17">
        <f t="shared" si="2"/>
        <v>15.350000000000001</v>
      </c>
      <c r="H32" s="26">
        <f t="shared" si="3"/>
        <v>4055.0410036975791</v>
      </c>
      <c r="I32" s="17">
        <f>Datos!AR32</f>
        <v>0</v>
      </c>
      <c r="J32" s="17">
        <f>Datos!AS32</f>
        <v>0</v>
      </c>
      <c r="K32" s="17">
        <f>Datos!AU32</f>
        <v>0</v>
      </c>
      <c r="L32" s="80">
        <f t="shared" si="4"/>
        <v>0</v>
      </c>
      <c r="M32" s="17">
        <f>Datos!AX32</f>
        <v>0</v>
      </c>
    </row>
    <row r="33" spans="1:13" s="2" customFormat="1">
      <c r="A33" s="97">
        <v>44958</v>
      </c>
      <c r="B33" s="16">
        <f>Datos!Y33</f>
        <v>1421844.5000000002</v>
      </c>
      <c r="C33" s="17">
        <f>Datos!AJ33+Datos!AK33</f>
        <v>6.3</v>
      </c>
      <c r="D33" s="80">
        <f t="shared" si="1"/>
        <v>1664.2839298563351</v>
      </c>
      <c r="E33" s="17">
        <f>Datos!AN33</f>
        <v>6.6</v>
      </c>
      <c r="F33" s="80">
        <f t="shared" si="0"/>
        <v>1743.5355455637796</v>
      </c>
      <c r="G33" s="17">
        <f t="shared" si="2"/>
        <v>12.899999999999999</v>
      </c>
      <c r="H33" s="26">
        <f t="shared" si="3"/>
        <v>3407.8194754201149</v>
      </c>
      <c r="I33" s="17">
        <f>Datos!AR33</f>
        <v>0</v>
      </c>
      <c r="J33" s="17">
        <f>Datos!AS33</f>
        <v>0</v>
      </c>
      <c r="K33" s="17">
        <f>Datos!AU33</f>
        <v>0</v>
      </c>
      <c r="L33" s="80">
        <f t="shared" si="4"/>
        <v>0</v>
      </c>
      <c r="M33" s="17">
        <f>Datos!AX33</f>
        <v>0</v>
      </c>
    </row>
    <row r="34" spans="1:13" s="2" customFormat="1">
      <c r="A34" s="97">
        <v>44959</v>
      </c>
      <c r="B34" s="16">
        <f>Datos!Y34</f>
        <v>1111987.5999999996</v>
      </c>
      <c r="C34" s="17">
        <f>Datos!AJ34+Datos!AK34</f>
        <v>3.3</v>
      </c>
      <c r="D34" s="80">
        <f t="shared" si="1"/>
        <v>871.76777278188979</v>
      </c>
      <c r="E34" s="17">
        <f>Datos!AN34</f>
        <v>5.9300000000000015</v>
      </c>
      <c r="F34" s="80">
        <f t="shared" si="0"/>
        <v>1566.5402704838207</v>
      </c>
      <c r="G34" s="17">
        <f t="shared" si="2"/>
        <v>9.23</v>
      </c>
      <c r="H34" s="26">
        <f t="shared" si="3"/>
        <v>2438.3080432657107</v>
      </c>
      <c r="I34" s="17">
        <f>Datos!AR34</f>
        <v>0</v>
      </c>
      <c r="J34" s="17">
        <f>Datos!AS34</f>
        <v>10509</v>
      </c>
      <c r="K34" s="17">
        <f>Datos!AU34</f>
        <v>0</v>
      </c>
      <c r="L34" s="80">
        <f t="shared" si="4"/>
        <v>0</v>
      </c>
      <c r="M34" s="17">
        <f>Datos!AX34</f>
        <v>0</v>
      </c>
    </row>
    <row r="35" spans="1:13" s="2" customFormat="1">
      <c r="A35" s="97">
        <v>44960</v>
      </c>
      <c r="B35" s="16">
        <f>Datos!Y35</f>
        <v>1289273.4999999998</v>
      </c>
      <c r="C35" s="17">
        <f>Datos!AJ35+Datos!AK35</f>
        <v>49</v>
      </c>
      <c r="D35" s="80">
        <f t="shared" si="1"/>
        <v>12944.430565549274</v>
      </c>
      <c r="E35" s="17">
        <f>Datos!AN35</f>
        <v>6.47</v>
      </c>
      <c r="F35" s="80">
        <f t="shared" si="0"/>
        <v>1709.1931787572203</v>
      </c>
      <c r="G35" s="17">
        <f t="shared" si="2"/>
        <v>55.47</v>
      </c>
      <c r="H35" s="26">
        <f t="shared" si="3"/>
        <v>14653.623744306493</v>
      </c>
      <c r="I35" s="17">
        <f>Datos!AR35</f>
        <v>0</v>
      </c>
      <c r="J35" s="17">
        <f>Datos!AS35</f>
        <v>0</v>
      </c>
      <c r="K35" s="17">
        <f>Datos!AU35</f>
        <v>0</v>
      </c>
      <c r="L35" s="80">
        <f t="shared" si="4"/>
        <v>0</v>
      </c>
      <c r="M35" s="17">
        <f>Datos!AX35</f>
        <v>0</v>
      </c>
    </row>
    <row r="36" spans="1:13" s="2" customFormat="1">
      <c r="A36" s="97">
        <v>44961</v>
      </c>
      <c r="B36" s="16">
        <f>Datos!Y36</f>
        <v>1237193.0999999999</v>
      </c>
      <c r="C36" s="17">
        <f>Datos!AJ36+Datos!AK36</f>
        <v>35</v>
      </c>
      <c r="D36" s="80">
        <f t="shared" si="1"/>
        <v>9246.0218325351943</v>
      </c>
      <c r="E36" s="17">
        <f>Datos!AN36</f>
        <v>5.6999999999999993</v>
      </c>
      <c r="F36" s="80">
        <f t="shared" si="0"/>
        <v>1505.7806984414458</v>
      </c>
      <c r="G36" s="17">
        <f t="shared" si="2"/>
        <v>40.700000000000003</v>
      </c>
      <c r="H36" s="26">
        <f t="shared" si="3"/>
        <v>10751.80253097664</v>
      </c>
      <c r="I36" s="17">
        <f>Datos!AR36</f>
        <v>0</v>
      </c>
      <c r="J36" s="17">
        <f>Datos!AS36</f>
        <v>0</v>
      </c>
      <c r="K36" s="17">
        <f>Datos!AU36</f>
        <v>0</v>
      </c>
      <c r="L36" s="80">
        <f t="shared" si="4"/>
        <v>0</v>
      </c>
      <c r="M36" s="17">
        <f>Datos!AX36</f>
        <v>0</v>
      </c>
    </row>
    <row r="37" spans="1:13" s="2" customFormat="1">
      <c r="A37" s="97">
        <v>44962</v>
      </c>
      <c r="B37" s="16">
        <f>Datos!Y37</f>
        <v>1043257.6999999998</v>
      </c>
      <c r="C37" s="17">
        <f>Datos!AJ37+Datos!AK37</f>
        <v>3.9000000000000004</v>
      </c>
      <c r="D37" s="80">
        <f t="shared" si="1"/>
        <v>1030.2710041967789</v>
      </c>
      <c r="E37" s="17">
        <f>Datos!AN37</f>
        <v>5.0799999999999983</v>
      </c>
      <c r="F37" s="80">
        <f t="shared" si="0"/>
        <v>1341.9940259793934</v>
      </c>
      <c r="G37" s="17">
        <f t="shared" si="2"/>
        <v>8.9799999999999986</v>
      </c>
      <c r="H37" s="26">
        <f t="shared" si="3"/>
        <v>2372.2650301761723</v>
      </c>
      <c r="I37" s="17">
        <f>Datos!AR37</f>
        <v>0</v>
      </c>
      <c r="J37" s="17">
        <f>Datos!AS37</f>
        <v>0</v>
      </c>
      <c r="K37" s="17">
        <f>Datos!AU37</f>
        <v>0</v>
      </c>
      <c r="L37" s="80">
        <f t="shared" si="4"/>
        <v>0</v>
      </c>
      <c r="M37" s="17">
        <f>Datos!AX37</f>
        <v>0</v>
      </c>
    </row>
    <row r="38" spans="1:13" s="2" customFormat="1">
      <c r="A38" s="97">
        <v>44963</v>
      </c>
      <c r="B38" s="16">
        <f>Datos!Y38</f>
        <v>1240767.8999999999</v>
      </c>
      <c r="C38" s="17">
        <f>Datos!AJ38+Datos!AK38</f>
        <v>2.2999999999999998</v>
      </c>
      <c r="D38" s="80">
        <f t="shared" si="1"/>
        <v>607.59572042374134</v>
      </c>
      <c r="E38" s="17">
        <f>Datos!AN38</f>
        <v>6.0899999999999981</v>
      </c>
      <c r="F38" s="80">
        <f t="shared" si="0"/>
        <v>1608.8077988611235</v>
      </c>
      <c r="G38" s="17">
        <f t="shared" si="2"/>
        <v>8.389999999999997</v>
      </c>
      <c r="H38" s="26">
        <f t="shared" si="3"/>
        <v>2216.4035192848651</v>
      </c>
      <c r="I38" s="17">
        <f>Datos!AR38</f>
        <v>0</v>
      </c>
      <c r="J38" s="17">
        <f>Datos!AS38</f>
        <v>0</v>
      </c>
      <c r="K38" s="17">
        <f>Datos!AU38</f>
        <v>0</v>
      </c>
      <c r="L38" s="80">
        <f t="shared" si="4"/>
        <v>0</v>
      </c>
      <c r="M38" s="17">
        <f>Datos!AX38</f>
        <v>0</v>
      </c>
    </row>
    <row r="39" spans="1:13" s="2" customFormat="1">
      <c r="A39" s="97">
        <v>44964</v>
      </c>
      <c r="B39" s="16">
        <f>Datos!Y39</f>
        <v>1524620.9000000001</v>
      </c>
      <c r="C39" s="17">
        <f>Datos!AJ39+Datos!AK39</f>
        <v>1.4</v>
      </c>
      <c r="D39" s="80">
        <f t="shared" si="1"/>
        <v>369.84087330140778</v>
      </c>
      <c r="E39" s="17">
        <f>Datos!AN39</f>
        <v>7.4199999999999982</v>
      </c>
      <c r="F39" s="80">
        <f t="shared" si="0"/>
        <v>1960.1566284974608</v>
      </c>
      <c r="G39" s="17">
        <f t="shared" si="2"/>
        <v>8.8199999999999985</v>
      </c>
      <c r="H39" s="26">
        <f t="shared" si="3"/>
        <v>2329.9975017988686</v>
      </c>
      <c r="I39" s="17">
        <f>Datos!AR39</f>
        <v>11007</v>
      </c>
      <c r="J39" s="17">
        <f>Datos!AS39</f>
        <v>0</v>
      </c>
      <c r="K39" s="17">
        <f>Datos!AU39</f>
        <v>0</v>
      </c>
      <c r="L39" s="80">
        <f t="shared" si="4"/>
        <v>0</v>
      </c>
      <c r="M39" s="17">
        <f>Datos!AX39</f>
        <v>0</v>
      </c>
    </row>
    <row r="40" spans="1:13" s="2" customFormat="1">
      <c r="A40" s="97">
        <v>44965</v>
      </c>
      <c r="B40" s="16">
        <f>Datos!Y40</f>
        <v>1526687.4999999998</v>
      </c>
      <c r="C40" s="17">
        <f>Datos!AJ40+Datos!AK40</f>
        <v>0.8</v>
      </c>
      <c r="D40" s="80">
        <f t="shared" si="1"/>
        <v>211.33764188651872</v>
      </c>
      <c r="E40" s="17">
        <f>Datos!AN40</f>
        <v>6.56</v>
      </c>
      <c r="F40" s="80">
        <f t="shared" si="0"/>
        <v>1732.9686634694538</v>
      </c>
      <c r="G40" s="17">
        <f t="shared" si="2"/>
        <v>7.3599999999999994</v>
      </c>
      <c r="H40" s="26">
        <f t="shared" si="3"/>
        <v>1944.3063053559724</v>
      </c>
      <c r="I40" s="17">
        <f>Datos!AR40</f>
        <v>0</v>
      </c>
      <c r="J40" s="17">
        <f>Datos!AS40</f>
        <v>11015</v>
      </c>
      <c r="K40" s="17">
        <f>Datos!AU40</f>
        <v>0</v>
      </c>
      <c r="L40" s="80">
        <f t="shared" si="4"/>
        <v>0</v>
      </c>
      <c r="M40" s="17">
        <f>Datos!AX40</f>
        <v>0</v>
      </c>
    </row>
    <row r="41" spans="1:13" s="2" customFormat="1">
      <c r="A41" s="97">
        <v>44966</v>
      </c>
      <c r="B41" s="16">
        <f>Datos!Y41</f>
        <v>1534879.8</v>
      </c>
      <c r="C41" s="17">
        <f>Datos!AJ41+Datos!AK41</f>
        <v>1</v>
      </c>
      <c r="D41" s="80">
        <f t="shared" si="1"/>
        <v>264.17205235814845</v>
      </c>
      <c r="E41" s="17">
        <f>Datos!AN41</f>
        <v>7.4199999999999964</v>
      </c>
      <c r="F41" s="80">
        <f t="shared" si="0"/>
        <v>1960.1566284974604</v>
      </c>
      <c r="G41" s="17">
        <f t="shared" si="2"/>
        <v>8.4199999999999964</v>
      </c>
      <c r="H41" s="26">
        <f t="shared" si="3"/>
        <v>2224.3286808556086</v>
      </c>
      <c r="I41" s="17">
        <f>Datos!AR41</f>
        <v>11002</v>
      </c>
      <c r="J41" s="17">
        <f>Datos!AS41</f>
        <v>0</v>
      </c>
      <c r="K41" s="17">
        <f>Datos!AU41</f>
        <v>0</v>
      </c>
      <c r="L41" s="80">
        <f t="shared" si="4"/>
        <v>0</v>
      </c>
      <c r="M41" s="17">
        <f>Datos!AX41</f>
        <v>0</v>
      </c>
    </row>
    <row r="42" spans="1:13" s="2" customFormat="1">
      <c r="A42" s="97">
        <v>44967</v>
      </c>
      <c r="B42" s="16">
        <f>Datos!Y42</f>
        <v>1530391.5000000002</v>
      </c>
      <c r="C42" s="17">
        <f>Datos!AJ42+Datos!AK42</f>
        <v>1.4</v>
      </c>
      <c r="D42" s="80">
        <f t="shared" si="1"/>
        <v>369.84087330140778</v>
      </c>
      <c r="E42" s="17">
        <f>Datos!AN42</f>
        <v>7.2899999999999965</v>
      </c>
      <c r="F42" s="80">
        <f t="shared" si="0"/>
        <v>1925.814261690901</v>
      </c>
      <c r="G42" s="17">
        <f t="shared" si="2"/>
        <v>8.6899999999999959</v>
      </c>
      <c r="H42" s="26">
        <f t="shared" si="3"/>
        <v>2295.6551349923088</v>
      </c>
      <c r="I42" s="17">
        <f>Datos!AR42</f>
        <v>0</v>
      </c>
      <c r="J42" s="17">
        <f>Datos!AS42</f>
        <v>0</v>
      </c>
      <c r="K42" s="17">
        <f>Datos!AU42</f>
        <v>0</v>
      </c>
      <c r="L42" s="80">
        <f t="shared" si="4"/>
        <v>0</v>
      </c>
      <c r="M42" s="17">
        <f>Datos!AX42</f>
        <v>0</v>
      </c>
    </row>
    <row r="43" spans="1:13" s="2" customFormat="1">
      <c r="A43" s="97">
        <v>44968</v>
      </c>
      <c r="B43" s="16">
        <f>Datos!Y43</f>
        <v>1518791.4000000001</v>
      </c>
      <c r="C43" s="17">
        <f>Datos!AJ43+Datos!AK43</f>
        <v>1</v>
      </c>
      <c r="D43" s="80">
        <f t="shared" si="1"/>
        <v>264.17205235814845</v>
      </c>
      <c r="E43" s="17">
        <f>Datos!AN43</f>
        <v>7.4699999999999962</v>
      </c>
      <c r="F43" s="80">
        <f t="shared" si="0"/>
        <v>1973.3652311153678</v>
      </c>
      <c r="G43" s="17">
        <f t="shared" si="2"/>
        <v>8.4699999999999953</v>
      </c>
      <c r="H43" s="26">
        <f t="shared" si="3"/>
        <v>2237.5372834735163</v>
      </c>
      <c r="I43" s="17">
        <f>Datos!AR43</f>
        <v>0</v>
      </c>
      <c r="J43" s="17">
        <f>Datos!AS43</f>
        <v>0</v>
      </c>
      <c r="K43" s="17">
        <f>Datos!AU43</f>
        <v>0</v>
      </c>
      <c r="L43" s="80">
        <f t="shared" si="4"/>
        <v>0</v>
      </c>
      <c r="M43" s="17">
        <f>Datos!AX43</f>
        <v>0</v>
      </c>
    </row>
    <row r="44" spans="1:13" s="2" customFormat="1">
      <c r="A44" s="97">
        <v>44969</v>
      </c>
      <c r="B44" s="16">
        <f>Datos!Y44</f>
        <v>1533193.9</v>
      </c>
      <c r="C44" s="17">
        <f>Datos!AJ44+Datos!AK44</f>
        <v>1.2</v>
      </c>
      <c r="D44" s="80">
        <f t="shared" si="1"/>
        <v>317.00646282977812</v>
      </c>
      <c r="E44" s="17">
        <f>Datos!AN44</f>
        <v>7.6400000000000015</v>
      </c>
      <c r="F44" s="80">
        <f t="shared" si="0"/>
        <v>2018.2744800162545</v>
      </c>
      <c r="G44" s="17">
        <f t="shared" si="2"/>
        <v>8.8400000000000016</v>
      </c>
      <c r="H44" s="26">
        <f t="shared" si="3"/>
        <v>2335.2809428460328</v>
      </c>
      <c r="I44" s="17">
        <f>Datos!AR44</f>
        <v>0</v>
      </c>
      <c r="J44" s="17">
        <f>Datos!AS44</f>
        <v>0</v>
      </c>
      <c r="K44" s="17">
        <f>Datos!AU44</f>
        <v>0</v>
      </c>
      <c r="L44" s="80">
        <f t="shared" si="4"/>
        <v>0</v>
      </c>
      <c r="M44" s="17">
        <f>Datos!AX44</f>
        <v>0</v>
      </c>
    </row>
    <row r="45" spans="1:13" s="2" customFormat="1">
      <c r="A45" s="97">
        <v>44970</v>
      </c>
      <c r="B45" s="16">
        <f>Datos!Y45</f>
        <v>1502078.4000000001</v>
      </c>
      <c r="C45" s="17">
        <f>Datos!AJ45+Datos!AK45</f>
        <v>0.8</v>
      </c>
      <c r="D45" s="80">
        <f t="shared" si="1"/>
        <v>211.33764188651872</v>
      </c>
      <c r="E45" s="17">
        <f>Datos!AN45</f>
        <v>7.349999999999997</v>
      </c>
      <c r="F45" s="80">
        <f t="shared" si="0"/>
        <v>1941.6645848323901</v>
      </c>
      <c r="G45" s="17">
        <f t="shared" si="2"/>
        <v>8.1499999999999968</v>
      </c>
      <c r="H45" s="26">
        <f t="shared" si="3"/>
        <v>2153.0022267189088</v>
      </c>
      <c r="I45" s="17">
        <f>Datos!AR45</f>
        <v>0</v>
      </c>
      <c r="J45" s="17">
        <f>Datos!AS45</f>
        <v>10989</v>
      </c>
      <c r="K45" s="17">
        <f>Datos!AU45</f>
        <v>0</v>
      </c>
      <c r="L45" s="80">
        <f t="shared" si="4"/>
        <v>0</v>
      </c>
      <c r="M45" s="17">
        <f>Datos!AX45</f>
        <v>0</v>
      </c>
    </row>
    <row r="46" spans="1:13" s="2" customFormat="1">
      <c r="A46" s="97">
        <v>44971</v>
      </c>
      <c r="B46" s="16">
        <f>Datos!Y46</f>
        <v>1504251.4999999998</v>
      </c>
      <c r="C46" s="17">
        <f>Datos!AJ46+Datos!AK46</f>
        <v>1.5</v>
      </c>
      <c r="D46" s="80">
        <f t="shared" si="1"/>
        <v>396.25807853722262</v>
      </c>
      <c r="E46" s="17">
        <f>Datos!AN46</f>
        <v>7.4399999999999986</v>
      </c>
      <c r="F46" s="80">
        <f t="shared" si="0"/>
        <v>1965.4400695446238</v>
      </c>
      <c r="G46" s="17">
        <f t="shared" si="2"/>
        <v>8.9399999999999977</v>
      </c>
      <c r="H46" s="26">
        <f t="shared" si="3"/>
        <v>2361.6981480818463</v>
      </c>
      <c r="I46" s="17">
        <f>Datos!AR46</f>
        <v>0</v>
      </c>
      <c r="J46" s="17">
        <f>Datos!AS46</f>
        <v>0</v>
      </c>
      <c r="K46" s="17">
        <f>Datos!AU46</f>
        <v>0</v>
      </c>
      <c r="L46" s="80">
        <f t="shared" si="4"/>
        <v>0</v>
      </c>
      <c r="M46" s="17">
        <f>Datos!AX46</f>
        <v>0</v>
      </c>
    </row>
    <row r="47" spans="1:13" s="2" customFormat="1">
      <c r="A47" s="97">
        <v>44972</v>
      </c>
      <c r="B47" s="16">
        <f>Datos!Y47</f>
        <v>1513390.7</v>
      </c>
      <c r="C47" s="17">
        <f>Datos!AJ47+Datos!AK47</f>
        <v>0.9</v>
      </c>
      <c r="D47" s="80">
        <f t="shared" si="1"/>
        <v>237.75484712233359</v>
      </c>
      <c r="E47" s="17">
        <f>Datos!AN47</f>
        <v>7.53</v>
      </c>
      <c r="F47" s="80">
        <f t="shared" si="0"/>
        <v>1989.2155542568576</v>
      </c>
      <c r="G47" s="17">
        <f t="shared" si="2"/>
        <v>8.43</v>
      </c>
      <c r="H47" s="26">
        <f t="shared" si="3"/>
        <v>2226.9704013791911</v>
      </c>
      <c r="I47" s="17">
        <f>Datos!AR47</f>
        <v>10992</v>
      </c>
      <c r="J47" s="17">
        <f>Datos!AS47</f>
        <v>0</v>
      </c>
      <c r="K47" s="17">
        <f>Datos!AU47</f>
        <v>0</v>
      </c>
      <c r="L47" s="80">
        <f t="shared" si="4"/>
        <v>0</v>
      </c>
      <c r="M47" s="17">
        <f>Datos!AX47</f>
        <v>0</v>
      </c>
    </row>
    <row r="48" spans="1:13" s="2" customFormat="1">
      <c r="A48" s="97">
        <v>44973</v>
      </c>
      <c r="B48" s="16">
        <f>Datos!Y48</f>
        <v>1303901.7000000002</v>
      </c>
      <c r="C48" s="17">
        <f>Datos!AJ48+Datos!AK48</f>
        <v>0.4</v>
      </c>
      <c r="D48" s="80">
        <f t="shared" si="1"/>
        <v>105.66882094325936</v>
      </c>
      <c r="E48" s="17">
        <f>Datos!AN48</f>
        <v>6.8900000000000015</v>
      </c>
      <c r="F48" s="80">
        <f t="shared" si="0"/>
        <v>1820.1454407476431</v>
      </c>
      <c r="G48" s="17">
        <f t="shared" si="2"/>
        <v>7.2900000000000018</v>
      </c>
      <c r="H48" s="26">
        <f t="shared" si="3"/>
        <v>1925.8142616909024</v>
      </c>
      <c r="I48" s="17">
        <f>Datos!AR48</f>
        <v>0</v>
      </c>
      <c r="J48" s="17">
        <f>Datos!AS48</f>
        <v>0</v>
      </c>
      <c r="K48" s="17">
        <f>Datos!AU48</f>
        <v>0</v>
      </c>
      <c r="L48" s="80">
        <f t="shared" si="4"/>
        <v>0</v>
      </c>
      <c r="M48" s="17">
        <f>Datos!AX48</f>
        <v>0</v>
      </c>
    </row>
    <row r="49" spans="1:13" s="2" customFormat="1">
      <c r="A49" s="97">
        <v>44974</v>
      </c>
      <c r="B49" s="16">
        <f>Datos!Y49</f>
        <v>1291378.8999999999</v>
      </c>
      <c r="C49" s="17">
        <f>Datos!AJ49+Datos!AK49</f>
        <v>1</v>
      </c>
      <c r="D49" s="80">
        <f t="shared" si="1"/>
        <v>264.17205235814845</v>
      </c>
      <c r="E49" s="17">
        <f>Datos!AN49</f>
        <v>6.8200000000000012</v>
      </c>
      <c r="F49" s="80">
        <f t="shared" si="0"/>
        <v>1801.6533970825724</v>
      </c>
      <c r="G49" s="17">
        <f t="shared" si="2"/>
        <v>7.8200000000000012</v>
      </c>
      <c r="H49" s="26">
        <f t="shared" si="3"/>
        <v>2065.8254494407211</v>
      </c>
      <c r="I49" s="17">
        <f>Datos!AR49</f>
        <v>0</v>
      </c>
      <c r="J49" s="17">
        <f>Datos!AS49</f>
        <v>0</v>
      </c>
      <c r="K49" s="17">
        <f>Datos!AU49</f>
        <v>0</v>
      </c>
      <c r="L49" s="80">
        <f t="shared" si="4"/>
        <v>0</v>
      </c>
      <c r="M49" s="17">
        <f>Datos!AX49</f>
        <v>0</v>
      </c>
    </row>
    <row r="50" spans="1:13" s="2" customFormat="1">
      <c r="A50" s="97">
        <v>44975</v>
      </c>
      <c r="B50" s="16">
        <f>Datos!Y50</f>
        <v>1520745.2999999996</v>
      </c>
      <c r="C50" s="17">
        <f>Datos!AJ50+Datos!AK50</f>
        <v>1.4</v>
      </c>
      <c r="D50" s="80">
        <f t="shared" si="1"/>
        <v>369.84087330140778</v>
      </c>
      <c r="E50" s="17">
        <f>Datos!AN50</f>
        <v>7.5100000000000007</v>
      </c>
      <c r="F50" s="80">
        <f t="shared" si="0"/>
        <v>1983.932113209695</v>
      </c>
      <c r="G50" s="17">
        <f t="shared" si="2"/>
        <v>8.91</v>
      </c>
      <c r="H50" s="26">
        <f t="shared" si="3"/>
        <v>2353.7729865111028</v>
      </c>
      <c r="I50" s="17">
        <f>Datos!AR50</f>
        <v>0</v>
      </c>
      <c r="J50" s="17">
        <f>Datos!AS50</f>
        <v>0</v>
      </c>
      <c r="K50" s="17">
        <f>Datos!AU50</f>
        <v>0</v>
      </c>
      <c r="L50" s="80">
        <f t="shared" si="4"/>
        <v>0</v>
      </c>
      <c r="M50" s="17">
        <f>Datos!AX50</f>
        <v>0</v>
      </c>
    </row>
    <row r="51" spans="1:13" s="2" customFormat="1">
      <c r="A51" s="97">
        <v>44976</v>
      </c>
      <c r="B51" s="16">
        <f>Datos!Y51</f>
        <v>1529264.1</v>
      </c>
      <c r="C51" s="17">
        <f>Datos!AJ51+Datos!AK51</f>
        <v>1.5</v>
      </c>
      <c r="D51" s="80">
        <f t="shared" si="1"/>
        <v>396.25807853722262</v>
      </c>
      <c r="E51" s="17">
        <f>Datos!AN51</f>
        <v>7.6300000000000017</v>
      </c>
      <c r="F51" s="80">
        <f t="shared" si="0"/>
        <v>2015.6327594926729</v>
      </c>
      <c r="G51" s="17">
        <f t="shared" si="2"/>
        <v>9.1300000000000026</v>
      </c>
      <c r="H51" s="26">
        <f t="shared" si="3"/>
        <v>2411.8908380298953</v>
      </c>
      <c r="I51" s="17">
        <f>Datos!AR51</f>
        <v>0</v>
      </c>
      <c r="J51" s="17">
        <f>Datos!AS51</f>
        <v>0</v>
      </c>
      <c r="K51" s="17">
        <f>Datos!AU51</f>
        <v>0</v>
      </c>
      <c r="L51" s="80">
        <f t="shared" si="4"/>
        <v>0</v>
      </c>
      <c r="M51" s="17">
        <f>Datos!AX51</f>
        <v>0</v>
      </c>
    </row>
    <row r="52" spans="1:13" s="2" customFormat="1">
      <c r="A52" s="97">
        <v>44977</v>
      </c>
      <c r="B52" s="16">
        <f>Datos!Y52</f>
        <v>1297087.8999999999</v>
      </c>
      <c r="C52" s="17">
        <f>Datos!AJ52+Datos!AK52</f>
        <v>1.4</v>
      </c>
      <c r="D52" s="80">
        <f t="shared" si="1"/>
        <v>369.84087330140778</v>
      </c>
      <c r="E52" s="17">
        <f>Datos!AN52</f>
        <v>6.2199999999999989</v>
      </c>
      <c r="F52" s="80">
        <f t="shared" si="0"/>
        <v>1643.150165667683</v>
      </c>
      <c r="G52" s="17">
        <f t="shared" si="2"/>
        <v>7.6199999999999992</v>
      </c>
      <c r="H52" s="26">
        <f t="shared" si="3"/>
        <v>2012.9910389690908</v>
      </c>
      <c r="I52" s="17">
        <f>Datos!AR52</f>
        <v>0</v>
      </c>
      <c r="J52" s="17">
        <f>Datos!AS52</f>
        <v>10985</v>
      </c>
      <c r="K52" s="17">
        <f>Datos!AU52</f>
        <v>0</v>
      </c>
      <c r="L52" s="80">
        <f t="shared" si="4"/>
        <v>0</v>
      </c>
      <c r="M52" s="17">
        <f>Datos!AX52</f>
        <v>0</v>
      </c>
    </row>
    <row r="53" spans="1:13" s="2" customFormat="1">
      <c r="A53" s="97">
        <v>44978</v>
      </c>
      <c r="B53" s="16">
        <f>Datos!Y53</f>
        <v>1289801.4000000001</v>
      </c>
      <c r="C53" s="17">
        <f>Datos!AJ53+Datos!AK53</f>
        <v>1.5</v>
      </c>
      <c r="D53" s="80">
        <f t="shared" si="1"/>
        <v>396.25807853722262</v>
      </c>
      <c r="E53" s="17">
        <f>Datos!AN53</f>
        <v>6.4299999999999979</v>
      </c>
      <c r="F53" s="80">
        <f t="shared" si="0"/>
        <v>1698.626296662894</v>
      </c>
      <c r="G53" s="17">
        <f t="shared" si="2"/>
        <v>7.9299999999999979</v>
      </c>
      <c r="H53" s="26">
        <f t="shared" si="3"/>
        <v>2094.8843752001167</v>
      </c>
      <c r="I53" s="17">
        <f>Datos!AR53</f>
        <v>0</v>
      </c>
      <c r="J53" s="17">
        <f>Datos!AS53</f>
        <v>0</v>
      </c>
      <c r="K53" s="17">
        <f>Datos!AU53</f>
        <v>0</v>
      </c>
      <c r="L53" s="80">
        <f t="shared" si="4"/>
        <v>0</v>
      </c>
      <c r="M53" s="17">
        <f>Datos!AX53</f>
        <v>0</v>
      </c>
    </row>
    <row r="54" spans="1:13" s="2" customFormat="1">
      <c r="A54" s="97">
        <v>44979</v>
      </c>
      <c r="B54" s="16">
        <f>Datos!Y54</f>
        <v>1395083.3000000003</v>
      </c>
      <c r="C54" s="17">
        <f>Datos!AJ54+Datos!AK54</f>
        <v>1.6</v>
      </c>
      <c r="D54" s="80">
        <f t="shared" si="1"/>
        <v>422.67528377303745</v>
      </c>
      <c r="E54" s="17">
        <f>Datos!AN54</f>
        <v>6.6499999999999977</v>
      </c>
      <c r="F54" s="80">
        <f t="shared" si="0"/>
        <v>1756.7441481816863</v>
      </c>
      <c r="G54" s="17">
        <f t="shared" si="2"/>
        <v>8.2499999999999982</v>
      </c>
      <c r="H54" s="26">
        <f t="shared" si="3"/>
        <v>2179.4194319547237</v>
      </c>
      <c r="I54" s="17">
        <f>Datos!AR54</f>
        <v>0</v>
      </c>
      <c r="J54" s="17">
        <f>Datos!AS54</f>
        <v>0</v>
      </c>
      <c r="K54" s="17">
        <f>Datos!AU54</f>
        <v>0</v>
      </c>
      <c r="L54" s="80">
        <f t="shared" si="4"/>
        <v>0</v>
      </c>
      <c r="M54" s="17">
        <f>Datos!AX54</f>
        <v>0</v>
      </c>
    </row>
    <row r="55" spans="1:13" s="2" customFormat="1">
      <c r="A55" s="97">
        <v>44980</v>
      </c>
      <c r="B55" s="16">
        <f>Datos!Y55</f>
        <v>1502318.8999999994</v>
      </c>
      <c r="C55" s="17">
        <f>Datos!AJ55+Datos!AK55</f>
        <v>2.6</v>
      </c>
      <c r="D55" s="80">
        <f t="shared" si="1"/>
        <v>686.8473361311859</v>
      </c>
      <c r="E55" s="17">
        <f>Datos!AN55</f>
        <v>7.7000000000000028</v>
      </c>
      <c r="F55" s="80">
        <f t="shared" si="0"/>
        <v>2034.1248031577436</v>
      </c>
      <c r="G55" s="17">
        <f t="shared" si="2"/>
        <v>10.300000000000002</v>
      </c>
      <c r="H55" s="26">
        <f t="shared" si="3"/>
        <v>2720.9721392889296</v>
      </c>
      <c r="I55" s="17">
        <f>Datos!AR55</f>
        <v>0</v>
      </c>
      <c r="J55" s="17">
        <f>Datos!AS55</f>
        <v>0</v>
      </c>
      <c r="K55" s="17">
        <f>Datos!AU55</f>
        <v>0</v>
      </c>
      <c r="L55" s="80">
        <f t="shared" si="4"/>
        <v>0</v>
      </c>
      <c r="M55" s="17">
        <f>Datos!AX55</f>
        <v>0</v>
      </c>
    </row>
    <row r="56" spans="1:13" s="2" customFormat="1">
      <c r="A56" s="97">
        <v>44981</v>
      </c>
      <c r="B56" s="16">
        <f>Datos!Y56</f>
        <v>1501589.7999999998</v>
      </c>
      <c r="C56" s="17">
        <f>Datos!AJ56+Datos!AK56</f>
        <v>2</v>
      </c>
      <c r="D56" s="80">
        <f t="shared" si="1"/>
        <v>528.3441047162969</v>
      </c>
      <c r="E56" s="17">
        <f>Datos!AN56</f>
        <v>7.4600000000000017</v>
      </c>
      <c r="F56" s="80">
        <f t="shared" si="0"/>
        <v>1970.7235105917878</v>
      </c>
      <c r="G56" s="17">
        <f t="shared" si="2"/>
        <v>9.4600000000000009</v>
      </c>
      <c r="H56" s="26">
        <f t="shared" si="3"/>
        <v>2499.0676153080849</v>
      </c>
      <c r="I56" s="17">
        <f>Datos!AR56</f>
        <v>0</v>
      </c>
      <c r="J56" s="17">
        <f>Datos!AS56</f>
        <v>10984</v>
      </c>
      <c r="K56" s="17">
        <f>Datos!AU56</f>
        <v>0</v>
      </c>
      <c r="L56" s="80">
        <f t="shared" si="4"/>
        <v>0</v>
      </c>
      <c r="M56" s="17">
        <f>Datos!AX56</f>
        <v>0</v>
      </c>
    </row>
    <row r="57" spans="1:13" s="2" customFormat="1">
      <c r="A57" s="97">
        <v>44982</v>
      </c>
      <c r="B57" s="16">
        <f>Datos!Y57</f>
        <v>1291318.0999999999</v>
      </c>
      <c r="C57" s="17">
        <f>Datos!AJ57+Datos!AK57</f>
        <v>1</v>
      </c>
      <c r="D57" s="80">
        <f t="shared" si="1"/>
        <v>264.17205235814845</v>
      </c>
      <c r="E57" s="17">
        <f>Datos!AN57</f>
        <v>6.7600000000000033</v>
      </c>
      <c r="F57" s="80">
        <f t="shared" si="0"/>
        <v>1785.8030739410842</v>
      </c>
      <c r="G57" s="17">
        <f t="shared" si="2"/>
        <v>7.7600000000000033</v>
      </c>
      <c r="H57" s="26">
        <f t="shared" si="3"/>
        <v>2049.9751262992327</v>
      </c>
      <c r="I57" s="17">
        <f>Datos!AR57</f>
        <v>0</v>
      </c>
      <c r="J57" s="17">
        <f>Datos!AS57</f>
        <v>0</v>
      </c>
      <c r="K57" s="17">
        <f>Datos!AU57</f>
        <v>0</v>
      </c>
      <c r="L57" s="80">
        <f t="shared" si="4"/>
        <v>0</v>
      </c>
      <c r="M57" s="17">
        <f>Datos!AX57</f>
        <v>0</v>
      </c>
    </row>
    <row r="58" spans="1:13" s="2" customFormat="1">
      <c r="A58" s="97">
        <v>44983</v>
      </c>
      <c r="B58" s="16">
        <f>Datos!Y58</f>
        <v>1101632.5999999999</v>
      </c>
      <c r="C58" s="17">
        <f>Datos!AJ58+Datos!AK58</f>
        <v>3</v>
      </c>
      <c r="D58" s="80">
        <f t="shared" si="1"/>
        <v>792.51615707444523</v>
      </c>
      <c r="E58" s="17">
        <f>Datos!AN58</f>
        <v>5.8400000000000016</v>
      </c>
      <c r="F58" s="80">
        <f t="shared" si="0"/>
        <v>1542.7647857715872</v>
      </c>
      <c r="G58" s="17">
        <f t="shared" si="2"/>
        <v>8.8400000000000016</v>
      </c>
      <c r="H58" s="26">
        <f t="shared" si="3"/>
        <v>2335.2809428460323</v>
      </c>
      <c r="I58" s="17">
        <f>Datos!AR58</f>
        <v>0</v>
      </c>
      <c r="J58" s="17">
        <f>Datos!AS58</f>
        <v>0</v>
      </c>
      <c r="K58" s="17">
        <f>Datos!AU58</f>
        <v>0</v>
      </c>
      <c r="L58" s="80">
        <f t="shared" si="4"/>
        <v>0</v>
      </c>
      <c r="M58" s="17">
        <f>Datos!AX58</f>
        <v>0</v>
      </c>
    </row>
    <row r="59" spans="1:13" s="2" customFormat="1">
      <c r="A59" s="97">
        <v>44984</v>
      </c>
      <c r="B59" s="16">
        <f>Datos!Y59</f>
        <v>1286376.4000000001</v>
      </c>
      <c r="C59" s="17">
        <f>Datos!AJ59+Datos!AK59</f>
        <v>1.5</v>
      </c>
      <c r="D59" s="80">
        <f t="shared" si="1"/>
        <v>396.25807853722262</v>
      </c>
      <c r="E59" s="17">
        <f>Datos!AN59</f>
        <v>6.6200000000000019</v>
      </c>
      <c r="F59" s="80">
        <f t="shared" si="0"/>
        <v>1748.8189866109431</v>
      </c>
      <c r="G59" s="17">
        <f t="shared" si="2"/>
        <v>8.120000000000001</v>
      </c>
      <c r="H59" s="26">
        <f t="shared" si="3"/>
        <v>2145.0770651481657</v>
      </c>
      <c r="I59" s="17">
        <f>Datos!AR59</f>
        <v>0</v>
      </c>
      <c r="J59" s="17">
        <f>Datos!AS59</f>
        <v>0</v>
      </c>
      <c r="K59" s="17">
        <f>Datos!AU59</f>
        <v>0</v>
      </c>
      <c r="L59" s="80">
        <f t="shared" si="4"/>
        <v>0</v>
      </c>
      <c r="M59" s="17">
        <f>Datos!AX59</f>
        <v>0</v>
      </c>
    </row>
    <row r="60" spans="1:13" s="2" customFormat="1">
      <c r="A60" s="97">
        <v>44985</v>
      </c>
      <c r="B60" s="16">
        <f>Datos!Y60</f>
        <v>1289807.3999999997</v>
      </c>
      <c r="C60" s="17">
        <f>Datos!AJ60+Datos!AK60</f>
        <v>1.8</v>
      </c>
      <c r="D60" s="80">
        <f t="shared" si="1"/>
        <v>475.50969424466717</v>
      </c>
      <c r="E60" s="17">
        <f>Datos!AN60</f>
        <v>6.7600000000000025</v>
      </c>
      <c r="F60" s="80">
        <f t="shared" si="0"/>
        <v>1785.803073941084</v>
      </c>
      <c r="G60" s="17">
        <f t="shared" si="2"/>
        <v>8.5600000000000023</v>
      </c>
      <c r="H60" s="26">
        <f t="shared" si="3"/>
        <v>2261.3127681857513</v>
      </c>
      <c r="I60" s="17">
        <f>Datos!AR60</f>
        <v>0</v>
      </c>
      <c r="J60" s="17">
        <f>Datos!AS60</f>
        <v>0</v>
      </c>
      <c r="K60" s="17">
        <f>Datos!AU60</f>
        <v>0</v>
      </c>
      <c r="L60" s="80">
        <f t="shared" si="4"/>
        <v>0</v>
      </c>
      <c r="M60" s="17">
        <f>Datos!AX60</f>
        <v>0</v>
      </c>
    </row>
    <row r="61" spans="1:13" s="2" customFormat="1">
      <c r="A61" s="97">
        <v>44986</v>
      </c>
      <c r="B61" s="16">
        <f>Datos!Y61</f>
        <v>1341000.7</v>
      </c>
      <c r="C61" s="17">
        <f>Datos!AJ61+Datos!AK61</f>
        <v>1.9</v>
      </c>
      <c r="D61" s="80">
        <f t="shared" si="1"/>
        <v>501.92689948048201</v>
      </c>
      <c r="E61" s="17">
        <f>Datos!AN61</f>
        <v>6.419999999999999</v>
      </c>
      <c r="F61" s="80">
        <f t="shared" si="0"/>
        <v>1695.9845761393126</v>
      </c>
      <c r="G61" s="17">
        <f t="shared" si="2"/>
        <v>8.3199999999999985</v>
      </c>
      <c r="H61" s="26">
        <f t="shared" si="3"/>
        <v>2197.9114756197946</v>
      </c>
      <c r="I61" s="17">
        <f>Datos!AR61</f>
        <v>10981</v>
      </c>
      <c r="J61" s="17">
        <f>Datos!AS61</f>
        <v>0</v>
      </c>
      <c r="K61" s="17">
        <f>Datos!AU61</f>
        <v>0</v>
      </c>
      <c r="L61" s="80">
        <f t="shared" si="4"/>
        <v>0</v>
      </c>
      <c r="M61" s="17">
        <f>Datos!AX61</f>
        <v>0</v>
      </c>
    </row>
    <row r="62" spans="1:13" s="2" customFormat="1">
      <c r="A62" s="97">
        <v>44987</v>
      </c>
      <c r="B62" s="16">
        <f>Datos!Y62</f>
        <v>1317266.0000000002</v>
      </c>
      <c r="C62" s="17">
        <f>Datos!AJ62+Datos!AK62</f>
        <v>3.6</v>
      </c>
      <c r="D62" s="80">
        <f t="shared" si="1"/>
        <v>951.01938848933435</v>
      </c>
      <c r="E62" s="17">
        <f>Datos!AN62</f>
        <v>6.5199999999999978</v>
      </c>
      <c r="F62" s="80">
        <f t="shared" si="0"/>
        <v>1722.4017813751273</v>
      </c>
      <c r="G62" s="17">
        <f t="shared" si="2"/>
        <v>10.119999999999997</v>
      </c>
      <c r="H62" s="26">
        <f t="shared" si="3"/>
        <v>2673.4211698644617</v>
      </c>
      <c r="I62" s="17">
        <f>Datos!AR62</f>
        <v>0</v>
      </c>
      <c r="J62" s="17">
        <f>Datos!AS62</f>
        <v>10998</v>
      </c>
      <c r="K62" s="17">
        <f>Datos!AU62</f>
        <v>0</v>
      </c>
      <c r="L62" s="80">
        <f t="shared" si="4"/>
        <v>0</v>
      </c>
      <c r="M62" s="17">
        <f>Datos!AX62</f>
        <v>0</v>
      </c>
    </row>
    <row r="63" spans="1:13" s="2" customFormat="1">
      <c r="A63" s="97">
        <v>44988</v>
      </c>
      <c r="B63" s="16">
        <f>Datos!Y63</f>
        <v>1283899.4999999998</v>
      </c>
      <c r="C63" s="17">
        <f>Datos!AJ63+Datos!AK63</f>
        <v>2.2000000000000002</v>
      </c>
      <c r="D63" s="80">
        <f t="shared" si="1"/>
        <v>581.17851518792656</v>
      </c>
      <c r="E63" s="17">
        <f>Datos!AN63</f>
        <v>6.6300000000000017</v>
      </c>
      <c r="F63" s="80">
        <f t="shared" si="0"/>
        <v>1751.4607071345245</v>
      </c>
      <c r="G63" s="17">
        <f t="shared" si="2"/>
        <v>8.8300000000000018</v>
      </c>
      <c r="H63" s="26">
        <f t="shared" si="3"/>
        <v>2332.6392223224511</v>
      </c>
      <c r="I63" s="17">
        <f>Datos!AR63</f>
        <v>0</v>
      </c>
      <c r="J63" s="17">
        <f>Datos!AS63</f>
        <v>0</v>
      </c>
      <c r="K63" s="17">
        <f>Datos!AU63</f>
        <v>0</v>
      </c>
      <c r="L63" s="80">
        <f t="shared" si="4"/>
        <v>0</v>
      </c>
      <c r="M63" s="17">
        <f>Datos!AX63</f>
        <v>0</v>
      </c>
    </row>
    <row r="64" spans="1:13" s="2" customFormat="1">
      <c r="A64" s="97">
        <v>44989</v>
      </c>
      <c r="B64" s="16">
        <f>Datos!Y64</f>
        <v>1290167.6999999997</v>
      </c>
      <c r="C64" s="17">
        <f>Datos!AJ64+Datos!AK64</f>
        <v>1.3</v>
      </c>
      <c r="D64" s="80">
        <f t="shared" si="1"/>
        <v>343.42366806559295</v>
      </c>
      <c r="E64" s="17">
        <f>Datos!AN64</f>
        <v>6.700000000000002</v>
      </c>
      <c r="F64" s="80">
        <f t="shared" si="0"/>
        <v>1769.9527507995949</v>
      </c>
      <c r="G64" s="17">
        <f t="shared" si="2"/>
        <v>8.0000000000000018</v>
      </c>
      <c r="H64" s="26">
        <f t="shared" si="3"/>
        <v>2113.376418865188</v>
      </c>
      <c r="I64" s="17">
        <f>Datos!AR64</f>
        <v>0</v>
      </c>
      <c r="J64" s="17">
        <f>Datos!AS64</f>
        <v>0</v>
      </c>
      <c r="K64" s="17">
        <f>Datos!AU64</f>
        <v>0</v>
      </c>
      <c r="L64" s="80">
        <f t="shared" si="4"/>
        <v>0</v>
      </c>
      <c r="M64" s="17">
        <f>Datos!AX64</f>
        <v>0</v>
      </c>
    </row>
    <row r="65" spans="1:13" s="2" customFormat="1">
      <c r="A65" s="97">
        <v>44990</v>
      </c>
      <c r="B65" s="16">
        <f>Datos!Y65</f>
        <v>1315415.1000000001</v>
      </c>
      <c r="C65" s="17">
        <f>Datos!AJ65+Datos!AK65</f>
        <v>1.2</v>
      </c>
      <c r="D65" s="80">
        <f t="shared" si="1"/>
        <v>317.00646282977812</v>
      </c>
      <c r="E65" s="17">
        <f>Datos!AN65</f>
        <v>6.7700000000000022</v>
      </c>
      <c r="F65" s="80">
        <f t="shared" si="0"/>
        <v>1788.4447944646654</v>
      </c>
      <c r="G65" s="17">
        <f t="shared" si="2"/>
        <v>7.9700000000000024</v>
      </c>
      <c r="H65" s="26">
        <f t="shared" si="3"/>
        <v>2105.4512572944436</v>
      </c>
      <c r="I65" s="17">
        <f>Datos!AR65</f>
        <v>0</v>
      </c>
      <c r="J65" s="17">
        <f>Datos!AS65</f>
        <v>0</v>
      </c>
      <c r="K65" s="17">
        <f>Datos!AU65</f>
        <v>0</v>
      </c>
      <c r="L65" s="80">
        <f t="shared" si="4"/>
        <v>0</v>
      </c>
      <c r="M65" s="17">
        <f>Datos!AX65</f>
        <v>0</v>
      </c>
    </row>
    <row r="66" spans="1:13" s="2" customFormat="1">
      <c r="A66" s="97">
        <v>44991</v>
      </c>
      <c r="B66" s="16">
        <f>Datos!Y66</f>
        <v>1319006</v>
      </c>
      <c r="C66" s="17">
        <f>Datos!AJ66+Datos!AK66</f>
        <v>0.7</v>
      </c>
      <c r="D66" s="80">
        <f t="shared" si="1"/>
        <v>184.92043665070389</v>
      </c>
      <c r="E66" s="17">
        <f>Datos!AN66</f>
        <v>6.6700000000000008</v>
      </c>
      <c r="F66" s="80">
        <f t="shared" ref="F66:F129" si="5">+CONVERT(E66,"m^3","gal")</f>
        <v>1762.0275892288503</v>
      </c>
      <c r="G66" s="17">
        <f t="shared" ref="G66:G122" si="6">C66+E66</f>
        <v>7.370000000000001</v>
      </c>
      <c r="H66" s="26">
        <f t="shared" ref="H66:H122" si="7">D66+F66</f>
        <v>1946.9480258795543</v>
      </c>
      <c r="I66" s="17">
        <f>Datos!AR66</f>
        <v>0</v>
      </c>
      <c r="J66" s="17">
        <f>Datos!AS66</f>
        <v>0</v>
      </c>
      <c r="K66" s="17">
        <f>Datos!AU66</f>
        <v>0</v>
      </c>
      <c r="L66" s="80">
        <f t="shared" ref="L66:L129" si="8">+CONVERT(K66,"m^3","gal")</f>
        <v>0</v>
      </c>
      <c r="M66" s="17">
        <f>Datos!AX66</f>
        <v>0</v>
      </c>
    </row>
    <row r="67" spans="1:13" s="2" customFormat="1">
      <c r="A67" s="97">
        <v>44992</v>
      </c>
      <c r="B67" s="16">
        <f>Datos!Y67</f>
        <v>1311114.4000000001</v>
      </c>
      <c r="C67" s="17">
        <f>Datos!AJ67+Datos!AK67</f>
        <v>0.7</v>
      </c>
      <c r="D67" s="80">
        <f t="shared" ref="D67:D130" si="9">+CONVERT(C67,"m^3","gal")</f>
        <v>184.92043665070389</v>
      </c>
      <c r="E67" s="17">
        <f>Datos!AN67</f>
        <v>6.57</v>
      </c>
      <c r="F67" s="80">
        <f t="shared" si="5"/>
        <v>1735.6103839930352</v>
      </c>
      <c r="G67" s="17">
        <f t="shared" si="6"/>
        <v>7.2700000000000005</v>
      </c>
      <c r="H67" s="26">
        <f t="shared" si="7"/>
        <v>1920.5308206437389</v>
      </c>
      <c r="I67" s="17">
        <f>Datos!AR67</f>
        <v>0</v>
      </c>
      <c r="J67" s="17">
        <f>Datos!AS67</f>
        <v>10992</v>
      </c>
      <c r="K67" s="17">
        <f>Datos!AU67</f>
        <v>0</v>
      </c>
      <c r="L67" s="80">
        <f t="shared" si="8"/>
        <v>0</v>
      </c>
      <c r="M67" s="17">
        <f>Datos!AX67</f>
        <v>0</v>
      </c>
    </row>
    <row r="68" spans="1:13" s="2" customFormat="1">
      <c r="A68" s="97">
        <v>44993</v>
      </c>
      <c r="B68" s="16">
        <f>Datos!Y68</f>
        <v>1299569.6000000001</v>
      </c>
      <c r="C68" s="17">
        <f>Datos!AJ68+Datos!AK68</f>
        <v>1.4</v>
      </c>
      <c r="D68" s="80">
        <f t="shared" si="9"/>
        <v>369.84087330140778</v>
      </c>
      <c r="E68" s="17">
        <f>Datos!AN68</f>
        <v>6.8200000000000021</v>
      </c>
      <c r="F68" s="80">
        <f t="shared" si="5"/>
        <v>1801.6533970825728</v>
      </c>
      <c r="G68" s="17">
        <f t="shared" si="6"/>
        <v>8.2200000000000024</v>
      </c>
      <c r="H68" s="26">
        <f t="shared" si="7"/>
        <v>2171.4942703839806</v>
      </c>
      <c r="I68" s="17">
        <f>Datos!AR68</f>
        <v>0</v>
      </c>
      <c r="J68" s="17">
        <f>Datos!AS68</f>
        <v>0</v>
      </c>
      <c r="K68" s="17">
        <f>Datos!AU68</f>
        <v>0</v>
      </c>
      <c r="L68" s="80">
        <f t="shared" si="8"/>
        <v>0</v>
      </c>
      <c r="M68" s="17">
        <f>Datos!AX68</f>
        <v>0</v>
      </c>
    </row>
    <row r="69" spans="1:13" s="2" customFormat="1">
      <c r="A69" s="97">
        <v>44994</v>
      </c>
      <c r="B69" s="16">
        <f>Datos!Y69</f>
        <v>1310199.7000000002</v>
      </c>
      <c r="C69" s="17">
        <f>Datos!AJ69+Datos!AK69</f>
        <v>2.2999999999999998</v>
      </c>
      <c r="D69" s="80">
        <f t="shared" si="9"/>
        <v>607.59572042374134</v>
      </c>
      <c r="E69" s="17">
        <f>Datos!AN69</f>
        <v>6.780000000000002</v>
      </c>
      <c r="F69" s="80">
        <f t="shared" si="5"/>
        <v>1791.0865149882468</v>
      </c>
      <c r="G69" s="17">
        <f t="shared" si="6"/>
        <v>9.0800000000000018</v>
      </c>
      <c r="H69" s="26">
        <f t="shared" si="7"/>
        <v>2398.6822354119881</v>
      </c>
      <c r="I69" s="17">
        <f>Datos!AR69</f>
        <v>0</v>
      </c>
      <c r="J69" s="17">
        <f>Datos!AS69</f>
        <v>0</v>
      </c>
      <c r="K69" s="17">
        <f>Datos!AU69</f>
        <v>0</v>
      </c>
      <c r="L69" s="80">
        <f t="shared" si="8"/>
        <v>0</v>
      </c>
      <c r="M69" s="17">
        <f>Datos!AX69</f>
        <v>0</v>
      </c>
    </row>
    <row r="70" spans="1:13" s="2" customFormat="1">
      <c r="A70" s="97">
        <v>44995</v>
      </c>
      <c r="B70" s="16">
        <f>Datos!Y70</f>
        <v>1297012.0000000005</v>
      </c>
      <c r="C70" s="17">
        <f>Datos!AJ70+Datos!AK70</f>
        <v>1.3</v>
      </c>
      <c r="D70" s="80">
        <f t="shared" si="9"/>
        <v>343.42366806559295</v>
      </c>
      <c r="E70" s="17">
        <f>Datos!AN70</f>
        <v>6.49</v>
      </c>
      <c r="F70" s="80">
        <f t="shared" si="5"/>
        <v>1714.4766198043833</v>
      </c>
      <c r="G70" s="17">
        <f t="shared" si="6"/>
        <v>7.79</v>
      </c>
      <c r="H70" s="26">
        <f t="shared" si="7"/>
        <v>2057.9002878699762</v>
      </c>
      <c r="I70" s="17">
        <f>Datos!AR70</f>
        <v>0</v>
      </c>
      <c r="J70" s="17">
        <f>Datos!AS70</f>
        <v>0</v>
      </c>
      <c r="K70" s="17">
        <f>Datos!AU70</f>
        <v>0</v>
      </c>
      <c r="L70" s="80">
        <f t="shared" si="8"/>
        <v>0</v>
      </c>
      <c r="M70" s="17">
        <f>Datos!AX70</f>
        <v>0</v>
      </c>
    </row>
    <row r="71" spans="1:13" s="2" customFormat="1">
      <c r="A71" s="97">
        <v>44996</v>
      </c>
      <c r="B71" s="16">
        <f>Datos!Y71</f>
        <v>1281126.7</v>
      </c>
      <c r="C71" s="17">
        <f>Datos!AJ71+Datos!AK71</f>
        <v>1.8</v>
      </c>
      <c r="D71" s="80">
        <f t="shared" si="9"/>
        <v>475.50969424466717</v>
      </c>
      <c r="E71" s="17">
        <f>Datos!AN71</f>
        <v>6.3099999999999987</v>
      </c>
      <c r="F71" s="80">
        <f t="shared" si="5"/>
        <v>1666.9256503799163</v>
      </c>
      <c r="G71" s="17">
        <f t="shared" si="6"/>
        <v>8.11</v>
      </c>
      <c r="H71" s="26">
        <f t="shared" si="7"/>
        <v>2142.4353446245836</v>
      </c>
      <c r="I71" s="17">
        <f>Datos!AR71</f>
        <v>0</v>
      </c>
      <c r="J71" s="17">
        <f>Datos!AS71</f>
        <v>0</v>
      </c>
      <c r="K71" s="17">
        <f>Datos!AU71</f>
        <v>0</v>
      </c>
      <c r="L71" s="80">
        <f t="shared" si="8"/>
        <v>0</v>
      </c>
      <c r="M71" s="17">
        <f>Datos!AX71</f>
        <v>0</v>
      </c>
    </row>
    <row r="72" spans="1:13" s="2" customFormat="1">
      <c r="A72" s="97">
        <v>44997</v>
      </c>
      <c r="B72" s="16">
        <f>Datos!Y72</f>
        <v>1274351.1000000001</v>
      </c>
      <c r="C72" s="17">
        <f>Datos!AJ72+Datos!AK72</f>
        <v>2.1</v>
      </c>
      <c r="D72" s="80">
        <f t="shared" si="9"/>
        <v>554.76130995211167</v>
      </c>
      <c r="E72" s="17">
        <f>Datos!AN72</f>
        <v>6.2999999999999972</v>
      </c>
      <c r="F72" s="80">
        <f t="shared" si="5"/>
        <v>1664.2839298563345</v>
      </c>
      <c r="G72" s="17">
        <f t="shared" si="6"/>
        <v>8.3999999999999968</v>
      </c>
      <c r="H72" s="26">
        <f t="shared" si="7"/>
        <v>2219.0452398084462</v>
      </c>
      <c r="I72" s="17">
        <f>Datos!AR72</f>
        <v>0</v>
      </c>
      <c r="J72" s="17">
        <f>Datos!AS72</f>
        <v>0</v>
      </c>
      <c r="K72" s="17">
        <f>Datos!AU72</f>
        <v>0</v>
      </c>
      <c r="L72" s="80">
        <f t="shared" si="8"/>
        <v>0</v>
      </c>
      <c r="M72" s="17">
        <f>Datos!AX72</f>
        <v>0</v>
      </c>
    </row>
    <row r="73" spans="1:13" s="2" customFormat="1">
      <c r="A73" s="97">
        <v>44998</v>
      </c>
      <c r="B73" s="16">
        <f>Datos!Y73</f>
        <v>1275279.1000000001</v>
      </c>
      <c r="C73" s="17">
        <f>Datos!AJ73+Datos!AK73</f>
        <v>1</v>
      </c>
      <c r="D73" s="80">
        <f t="shared" si="9"/>
        <v>264.17205235814845</v>
      </c>
      <c r="E73" s="17">
        <f>Datos!AN73</f>
        <v>6.4499999999999975</v>
      </c>
      <c r="F73" s="80">
        <f t="shared" si="5"/>
        <v>1703.9097377100566</v>
      </c>
      <c r="G73" s="17">
        <f t="shared" si="6"/>
        <v>7.4499999999999975</v>
      </c>
      <c r="H73" s="26">
        <f t="shared" si="7"/>
        <v>1968.081790068205</v>
      </c>
      <c r="I73" s="17">
        <f>Datos!AR73</f>
        <v>0</v>
      </c>
      <c r="J73" s="17">
        <f>Datos!AS73</f>
        <v>0</v>
      </c>
      <c r="K73" s="17">
        <f>Datos!AU73</f>
        <v>0</v>
      </c>
      <c r="L73" s="80">
        <f t="shared" si="8"/>
        <v>0</v>
      </c>
      <c r="M73" s="17">
        <f>Datos!AX73</f>
        <v>0</v>
      </c>
    </row>
    <row r="74" spans="1:13" s="2" customFormat="1">
      <c r="A74" s="97">
        <v>44999</v>
      </c>
      <c r="B74" s="16">
        <f>Datos!Y74</f>
        <v>1283185.3000000003</v>
      </c>
      <c r="C74" s="17">
        <f>Datos!AJ74+Datos!AK74</f>
        <v>1.8</v>
      </c>
      <c r="D74" s="80">
        <f t="shared" si="9"/>
        <v>475.50969424466717</v>
      </c>
      <c r="E74" s="17">
        <f>Datos!AN74</f>
        <v>6.7100000000000017</v>
      </c>
      <c r="F74" s="80">
        <f t="shared" si="5"/>
        <v>1772.5944713231763</v>
      </c>
      <c r="G74" s="17">
        <f t="shared" si="6"/>
        <v>8.5100000000000016</v>
      </c>
      <c r="H74" s="26">
        <f t="shared" si="7"/>
        <v>2248.1041655678437</v>
      </c>
      <c r="I74" s="17">
        <f>Datos!AR74</f>
        <v>0</v>
      </c>
      <c r="J74" s="17">
        <f>Datos!AS74</f>
        <v>10992</v>
      </c>
      <c r="K74" s="17">
        <f>Datos!AU74</f>
        <v>0</v>
      </c>
      <c r="L74" s="80">
        <f t="shared" si="8"/>
        <v>0</v>
      </c>
      <c r="M74" s="17">
        <f>Datos!AX74</f>
        <v>0</v>
      </c>
    </row>
    <row r="75" spans="1:13" s="2" customFormat="1">
      <c r="A75" s="97">
        <v>45000</v>
      </c>
      <c r="B75" s="16">
        <f>Datos!Y75</f>
        <v>1287041.6000000003</v>
      </c>
      <c r="C75" s="17">
        <f>Datos!AJ75+Datos!AK75</f>
        <v>1</v>
      </c>
      <c r="D75" s="80">
        <f t="shared" si="9"/>
        <v>264.17205235814845</v>
      </c>
      <c r="E75" s="17">
        <f>Datos!AN75</f>
        <v>6.4099999999999984</v>
      </c>
      <c r="F75" s="80">
        <f t="shared" si="5"/>
        <v>1693.342855615731</v>
      </c>
      <c r="G75" s="17">
        <f t="shared" si="6"/>
        <v>7.4099999999999984</v>
      </c>
      <c r="H75" s="26">
        <f t="shared" si="7"/>
        <v>1957.5149079738794</v>
      </c>
      <c r="I75" s="17">
        <f>Datos!AR75</f>
        <v>0</v>
      </c>
      <c r="J75" s="17">
        <f>Datos!AS75</f>
        <v>0</v>
      </c>
      <c r="K75" s="17">
        <f>Datos!AU75</f>
        <v>0</v>
      </c>
      <c r="L75" s="80">
        <f t="shared" si="8"/>
        <v>0</v>
      </c>
      <c r="M75" s="17">
        <f>Datos!AX75</f>
        <v>0</v>
      </c>
    </row>
    <row r="76" spans="1:13" s="2" customFormat="1">
      <c r="A76" s="97">
        <v>45001</v>
      </c>
      <c r="B76" s="16">
        <f>Datos!Y76</f>
        <v>1143088.5</v>
      </c>
      <c r="C76" s="17">
        <f>Datos!AJ76+Datos!AK76</f>
        <v>2.2999999999999998</v>
      </c>
      <c r="D76" s="80">
        <f t="shared" si="9"/>
        <v>607.59572042374134</v>
      </c>
      <c r="E76" s="17">
        <f>Datos!AN76</f>
        <v>5.7999999999999989</v>
      </c>
      <c r="F76" s="80">
        <f t="shared" si="5"/>
        <v>1532.1979036772607</v>
      </c>
      <c r="G76" s="17">
        <f t="shared" si="6"/>
        <v>8.0999999999999979</v>
      </c>
      <c r="H76" s="26">
        <f t="shared" si="7"/>
        <v>2139.793624101002</v>
      </c>
      <c r="I76" s="17">
        <f>Datos!AR76</f>
        <v>0</v>
      </c>
      <c r="J76" s="17">
        <f>Datos!AS76</f>
        <v>0</v>
      </c>
      <c r="K76" s="17">
        <f>Datos!AU76</f>
        <v>0</v>
      </c>
      <c r="L76" s="80">
        <f t="shared" si="8"/>
        <v>0</v>
      </c>
      <c r="M76" s="17">
        <f>Datos!AX76</f>
        <v>0</v>
      </c>
    </row>
    <row r="77" spans="1:13" s="2" customFormat="1">
      <c r="A77" s="97">
        <v>45002</v>
      </c>
      <c r="B77" s="16">
        <f>Datos!Y77</f>
        <v>1179695.9000000001</v>
      </c>
      <c r="C77" s="17">
        <f>Datos!AJ77+Datos!AK77</f>
        <v>2.8</v>
      </c>
      <c r="D77" s="80">
        <f t="shared" si="9"/>
        <v>739.68174660281556</v>
      </c>
      <c r="E77" s="17">
        <f>Datos!AN77</f>
        <v>6.1400000000000023</v>
      </c>
      <c r="F77" s="80">
        <f t="shared" si="5"/>
        <v>1622.0164014790321</v>
      </c>
      <c r="G77" s="17">
        <f t="shared" si="6"/>
        <v>8.9400000000000013</v>
      </c>
      <c r="H77" s="26">
        <f t="shared" si="7"/>
        <v>2361.6981480818476</v>
      </c>
      <c r="I77" s="17">
        <f>Datos!AR77</f>
        <v>0</v>
      </c>
      <c r="J77" s="17">
        <f>Datos!AS77</f>
        <v>0</v>
      </c>
      <c r="K77" s="17">
        <f>Datos!AU77</f>
        <v>0</v>
      </c>
      <c r="L77" s="80">
        <f t="shared" si="8"/>
        <v>0</v>
      </c>
      <c r="M77" s="17">
        <f>Datos!AX77</f>
        <v>0</v>
      </c>
    </row>
    <row r="78" spans="1:13" s="2" customFormat="1">
      <c r="A78" s="97">
        <v>45003</v>
      </c>
      <c r="B78" s="16">
        <f>Datos!Y78</f>
        <v>1297958</v>
      </c>
      <c r="C78" s="17">
        <f>Datos!AJ78+Datos!AK78</f>
        <v>1</v>
      </c>
      <c r="D78" s="80">
        <f t="shared" si="9"/>
        <v>264.17205235814845</v>
      </c>
      <c r="E78" s="17">
        <f>Datos!AN78</f>
        <v>5.8600000000000012</v>
      </c>
      <c r="F78" s="80">
        <f t="shared" si="5"/>
        <v>1548.04822681875</v>
      </c>
      <c r="G78" s="17">
        <f t="shared" si="6"/>
        <v>6.8600000000000012</v>
      </c>
      <c r="H78" s="26">
        <f t="shared" si="7"/>
        <v>1812.2202791768984</v>
      </c>
      <c r="I78" s="17">
        <f>Datos!AR78</f>
        <v>0</v>
      </c>
      <c r="J78" s="17">
        <f>Datos!AS78</f>
        <v>0</v>
      </c>
      <c r="K78" s="17">
        <f>Datos!AU78</f>
        <v>0</v>
      </c>
      <c r="L78" s="80">
        <f t="shared" si="8"/>
        <v>0</v>
      </c>
      <c r="M78" s="17">
        <f>Datos!AX78</f>
        <v>0</v>
      </c>
    </row>
    <row r="79" spans="1:13" s="2" customFormat="1">
      <c r="A79" s="97">
        <v>45004</v>
      </c>
      <c r="B79" s="16">
        <f>Datos!Y79</f>
        <v>1310965.0000000002</v>
      </c>
      <c r="C79" s="17">
        <f>Datos!AJ79+Datos!AK79</f>
        <v>2.4</v>
      </c>
      <c r="D79" s="80">
        <f t="shared" si="9"/>
        <v>634.01292565955623</v>
      </c>
      <c r="E79" s="17">
        <f>Datos!AN79</f>
        <v>6.3999999999999968</v>
      </c>
      <c r="F79" s="80">
        <f t="shared" si="5"/>
        <v>1690.7011350921489</v>
      </c>
      <c r="G79" s="17">
        <f t="shared" si="6"/>
        <v>8.7999999999999972</v>
      </c>
      <c r="H79" s="26">
        <f t="shared" si="7"/>
        <v>2324.7140607517049</v>
      </c>
      <c r="I79" s="17">
        <f>Datos!AR79</f>
        <v>0</v>
      </c>
      <c r="J79" s="17">
        <f>Datos!AS79</f>
        <v>0</v>
      </c>
      <c r="K79" s="17">
        <f>Datos!AU79</f>
        <v>0</v>
      </c>
      <c r="L79" s="80">
        <f t="shared" si="8"/>
        <v>0</v>
      </c>
      <c r="M79" s="17">
        <f>Datos!AX79</f>
        <v>0</v>
      </c>
    </row>
    <row r="80" spans="1:13" s="2" customFormat="1">
      <c r="A80" s="97">
        <v>45005</v>
      </c>
      <c r="B80" s="16">
        <f>Datos!Y80</f>
        <v>1280362.7999999998</v>
      </c>
      <c r="C80" s="17">
        <f>Datos!AJ80+Datos!AK80</f>
        <v>1.8</v>
      </c>
      <c r="D80" s="80">
        <f t="shared" si="9"/>
        <v>475.50969424466717</v>
      </c>
      <c r="E80" s="17">
        <f>Datos!AN80</f>
        <v>6.6300000000000017</v>
      </c>
      <c r="F80" s="80">
        <f t="shared" si="5"/>
        <v>1751.4607071345245</v>
      </c>
      <c r="G80" s="17">
        <f t="shared" si="6"/>
        <v>8.4300000000000015</v>
      </c>
      <c r="H80" s="26">
        <f t="shared" si="7"/>
        <v>2226.9704013791916</v>
      </c>
      <c r="I80" s="17">
        <f>Datos!AR80</f>
        <v>0</v>
      </c>
      <c r="J80" s="17">
        <f>Datos!AS80</f>
        <v>0</v>
      </c>
      <c r="K80" s="17">
        <f>Datos!AU80</f>
        <v>0</v>
      </c>
      <c r="L80" s="80">
        <f t="shared" si="8"/>
        <v>0</v>
      </c>
      <c r="M80" s="17">
        <f>Datos!AX80</f>
        <v>0</v>
      </c>
    </row>
    <row r="81" spans="1:13" s="2" customFormat="1">
      <c r="A81" s="97">
        <v>45006</v>
      </c>
      <c r="B81" s="16">
        <f>Datos!Y81</f>
        <v>1280031.0000000002</v>
      </c>
      <c r="C81" s="17">
        <f>Datos!AJ81+Datos!AK81</f>
        <v>1.2</v>
      </c>
      <c r="D81" s="80">
        <f t="shared" si="9"/>
        <v>317.00646282977812</v>
      </c>
      <c r="E81" s="17">
        <f>Datos!AN81</f>
        <v>6.7400000000000038</v>
      </c>
      <c r="F81" s="80">
        <f t="shared" si="5"/>
        <v>1780.5196328939214</v>
      </c>
      <c r="G81" s="17">
        <f t="shared" si="6"/>
        <v>7.9400000000000039</v>
      </c>
      <c r="H81" s="26">
        <f t="shared" si="7"/>
        <v>2097.5260957236997</v>
      </c>
      <c r="I81" s="17">
        <f>Datos!AR81</f>
        <v>0</v>
      </c>
      <c r="J81" s="17">
        <f>Datos!AS81</f>
        <v>11001</v>
      </c>
      <c r="K81" s="17">
        <f>Datos!AU81</f>
        <v>0</v>
      </c>
      <c r="L81" s="80">
        <f t="shared" si="8"/>
        <v>0</v>
      </c>
      <c r="M81" s="17">
        <f>Datos!AX81</f>
        <v>0</v>
      </c>
    </row>
    <row r="82" spans="1:13" s="2" customFormat="1">
      <c r="A82" s="97">
        <v>45007</v>
      </c>
      <c r="B82" s="16">
        <f>Datos!Y82</f>
        <v>1287752.6000000001</v>
      </c>
      <c r="C82" s="17">
        <f>Datos!AJ82+Datos!AK82</f>
        <v>3.0999999999999996</v>
      </c>
      <c r="D82" s="80">
        <f t="shared" si="9"/>
        <v>818.93336231026001</v>
      </c>
      <c r="E82" s="17">
        <f>Datos!AN82</f>
        <v>6.2499999999999982</v>
      </c>
      <c r="F82" s="80">
        <f t="shared" si="5"/>
        <v>1651.0753272384272</v>
      </c>
      <c r="G82" s="17">
        <f t="shared" si="6"/>
        <v>9.3499999999999979</v>
      </c>
      <c r="H82" s="26">
        <f t="shared" si="7"/>
        <v>2470.0086895486875</v>
      </c>
      <c r="I82" s="17">
        <f>Datos!AR82</f>
        <v>0</v>
      </c>
      <c r="J82" s="17">
        <f>Datos!AS82</f>
        <v>0</v>
      </c>
      <c r="K82" s="17">
        <f>Datos!AU82</f>
        <v>0</v>
      </c>
      <c r="L82" s="80">
        <f t="shared" si="8"/>
        <v>0</v>
      </c>
      <c r="M82" s="17">
        <f>Datos!AX82</f>
        <v>0</v>
      </c>
    </row>
    <row r="83" spans="1:13" s="2" customFormat="1">
      <c r="A83" s="97">
        <v>45008</v>
      </c>
      <c r="B83" s="16">
        <f>Datos!Y83</f>
        <v>1307530.1999999997</v>
      </c>
      <c r="C83" s="17">
        <f>Datos!AJ83+Datos!AK83</f>
        <v>2.1</v>
      </c>
      <c r="D83" s="80">
        <f t="shared" si="9"/>
        <v>554.76130995211167</v>
      </c>
      <c r="E83" s="17">
        <f>Datos!AN83</f>
        <v>6.06</v>
      </c>
      <c r="F83" s="80">
        <f t="shared" si="5"/>
        <v>1600.8826372903795</v>
      </c>
      <c r="G83" s="17">
        <f t="shared" si="6"/>
        <v>8.16</v>
      </c>
      <c r="H83" s="26">
        <f t="shared" si="7"/>
        <v>2155.6439472424913</v>
      </c>
      <c r="I83" s="17">
        <f>Datos!AR83</f>
        <v>0</v>
      </c>
      <c r="J83" s="17">
        <f>Datos!AS83</f>
        <v>10984</v>
      </c>
      <c r="K83" s="17">
        <f>Datos!AU83</f>
        <v>0</v>
      </c>
      <c r="L83" s="80">
        <f t="shared" si="8"/>
        <v>0</v>
      </c>
      <c r="M83" s="17">
        <f>Datos!AX83</f>
        <v>0</v>
      </c>
    </row>
    <row r="84" spans="1:13" s="2" customFormat="1">
      <c r="A84" s="97">
        <v>45009</v>
      </c>
      <c r="B84" s="16">
        <f>Datos!Y84</f>
        <v>1323413.7999999998</v>
      </c>
      <c r="C84" s="17">
        <f>Datos!AJ84+Datos!AK84</f>
        <v>1.3</v>
      </c>
      <c r="D84" s="80">
        <f t="shared" si="9"/>
        <v>343.42366806559295</v>
      </c>
      <c r="E84" s="17">
        <f>Datos!AN84</f>
        <v>6.3599999999999968</v>
      </c>
      <c r="F84" s="80">
        <f t="shared" si="5"/>
        <v>1680.1342529978231</v>
      </c>
      <c r="G84" s="17">
        <f t="shared" si="6"/>
        <v>7.6599999999999966</v>
      </c>
      <c r="H84" s="26">
        <f t="shared" si="7"/>
        <v>2023.557921063416</v>
      </c>
      <c r="I84" s="17">
        <f>Datos!AR84</f>
        <v>0</v>
      </c>
      <c r="J84" s="17">
        <f>Datos!AS84</f>
        <v>0</v>
      </c>
      <c r="K84" s="17">
        <f>Datos!AU84</f>
        <v>0</v>
      </c>
      <c r="L84" s="80">
        <f t="shared" si="8"/>
        <v>0</v>
      </c>
      <c r="M84" s="17">
        <f>Datos!AX84</f>
        <v>0</v>
      </c>
    </row>
    <row r="85" spans="1:13" s="2" customFormat="1">
      <c r="A85" s="97">
        <v>45010</v>
      </c>
      <c r="B85" s="16">
        <f>Datos!Y85</f>
        <v>1294205.1000000001</v>
      </c>
      <c r="C85" s="17">
        <f>Datos!AJ85+Datos!AK85</f>
        <v>1.2</v>
      </c>
      <c r="D85" s="80">
        <f t="shared" si="9"/>
        <v>317.00646282977812</v>
      </c>
      <c r="E85" s="17">
        <f>Datos!AN85</f>
        <v>5.870000000000001</v>
      </c>
      <c r="F85" s="80">
        <f t="shared" si="5"/>
        <v>1550.6899473423314</v>
      </c>
      <c r="G85" s="17">
        <f t="shared" si="6"/>
        <v>7.0700000000000012</v>
      </c>
      <c r="H85" s="26">
        <f t="shared" si="7"/>
        <v>1867.6964101721096</v>
      </c>
      <c r="I85" s="17">
        <f>Datos!AR85</f>
        <v>0</v>
      </c>
      <c r="J85" s="17">
        <f>Datos!AS85</f>
        <v>0</v>
      </c>
      <c r="K85" s="17">
        <f>Datos!AU85</f>
        <v>0</v>
      </c>
      <c r="L85" s="80">
        <f t="shared" si="8"/>
        <v>0</v>
      </c>
      <c r="M85" s="17">
        <f>Datos!AX85</f>
        <v>0</v>
      </c>
    </row>
    <row r="86" spans="1:13" s="2" customFormat="1">
      <c r="A86" s="97">
        <v>45011</v>
      </c>
      <c r="B86" s="16">
        <f>Datos!Y86</f>
        <v>1151991.4000000001</v>
      </c>
      <c r="C86" s="17">
        <f>Datos!AJ86+Datos!AK86</f>
        <v>2.4</v>
      </c>
      <c r="D86" s="80">
        <f t="shared" si="9"/>
        <v>634.01292565955623</v>
      </c>
      <c r="E86" s="17">
        <f>Datos!AN86</f>
        <v>5.0400000000000027</v>
      </c>
      <c r="F86" s="80">
        <f t="shared" si="5"/>
        <v>1331.4271438850687</v>
      </c>
      <c r="G86" s="17">
        <f t="shared" si="6"/>
        <v>7.4400000000000031</v>
      </c>
      <c r="H86" s="26">
        <f t="shared" si="7"/>
        <v>1965.440069544625</v>
      </c>
      <c r="I86" s="17">
        <f>Datos!AR86</f>
        <v>0</v>
      </c>
      <c r="J86" s="17">
        <f>Datos!AS86</f>
        <v>0</v>
      </c>
      <c r="K86" s="17">
        <f>Datos!AU86</f>
        <v>0</v>
      </c>
      <c r="L86" s="80">
        <f t="shared" si="8"/>
        <v>0</v>
      </c>
      <c r="M86" s="17">
        <f>Datos!AX86</f>
        <v>0</v>
      </c>
    </row>
    <row r="87" spans="1:13" s="2" customFormat="1">
      <c r="A87" s="97">
        <v>45012</v>
      </c>
      <c r="B87" s="16">
        <f>Datos!Y87</f>
        <v>1341827.9000000001</v>
      </c>
      <c r="C87" s="17">
        <f>Datos!AJ87+Datos!AK87</f>
        <v>2.1</v>
      </c>
      <c r="D87" s="80">
        <f t="shared" si="9"/>
        <v>554.76130995211167</v>
      </c>
      <c r="E87" s="17">
        <f>Datos!AN87</f>
        <v>5.5200000000000014</v>
      </c>
      <c r="F87" s="80">
        <f t="shared" si="5"/>
        <v>1458.2297290169795</v>
      </c>
      <c r="G87" s="17">
        <f t="shared" si="6"/>
        <v>7.620000000000001</v>
      </c>
      <c r="H87" s="26">
        <f t="shared" si="7"/>
        <v>2012.9910389690913</v>
      </c>
      <c r="I87" s="17">
        <f>Datos!AR87</f>
        <v>0</v>
      </c>
      <c r="J87" s="17">
        <f>Datos!AS87</f>
        <v>10997</v>
      </c>
      <c r="K87" s="17">
        <f>Datos!AU87</f>
        <v>0</v>
      </c>
      <c r="L87" s="80">
        <f t="shared" si="8"/>
        <v>0</v>
      </c>
      <c r="M87" s="17">
        <f>Datos!AX87</f>
        <v>0</v>
      </c>
    </row>
    <row r="88" spans="1:13" s="2" customFormat="1">
      <c r="A88" s="97">
        <v>45013</v>
      </c>
      <c r="B88" s="16">
        <f>Datos!Y88</f>
        <v>1349396.9999999998</v>
      </c>
      <c r="C88" s="17">
        <f>Datos!AJ88+Datos!AK88</f>
        <v>8.1</v>
      </c>
      <c r="D88" s="80">
        <f t="shared" si="9"/>
        <v>2139.793624101002</v>
      </c>
      <c r="E88" s="17">
        <f>Datos!AN88</f>
        <v>6.51</v>
      </c>
      <c r="F88" s="80">
        <f t="shared" si="5"/>
        <v>1719.7600608515463</v>
      </c>
      <c r="G88" s="17">
        <f t="shared" si="6"/>
        <v>14.61</v>
      </c>
      <c r="H88" s="26">
        <f t="shared" si="7"/>
        <v>3859.5536849525483</v>
      </c>
      <c r="I88" s="17">
        <f>Datos!AR88</f>
        <v>0</v>
      </c>
      <c r="J88" s="17">
        <f>Datos!AS88</f>
        <v>0</v>
      </c>
      <c r="K88" s="17">
        <f>Datos!AU88</f>
        <v>0</v>
      </c>
      <c r="L88" s="80">
        <f t="shared" si="8"/>
        <v>0</v>
      </c>
      <c r="M88" s="17">
        <f>Datos!AX88</f>
        <v>0</v>
      </c>
    </row>
    <row r="89" spans="1:13" s="2" customFormat="1">
      <c r="A89" s="97">
        <v>45014</v>
      </c>
      <c r="B89" s="16">
        <f>Datos!Y89</f>
        <v>1336595.7000000002</v>
      </c>
      <c r="C89" s="17">
        <f>Datos!AJ89+Datos!AK89</f>
        <v>1.5</v>
      </c>
      <c r="D89" s="80">
        <f t="shared" si="9"/>
        <v>396.25807853722262</v>
      </c>
      <c r="E89" s="17">
        <f>Datos!AN89</f>
        <v>6.19</v>
      </c>
      <c r="F89" s="80">
        <f t="shared" si="5"/>
        <v>1635.2250040969388</v>
      </c>
      <c r="G89" s="17">
        <f t="shared" si="6"/>
        <v>7.69</v>
      </c>
      <c r="H89" s="26">
        <f t="shared" si="7"/>
        <v>2031.4830826341615</v>
      </c>
      <c r="I89" s="17">
        <f>Datos!AR89</f>
        <v>0</v>
      </c>
      <c r="J89" s="17">
        <f>Datos!AS89</f>
        <v>0</v>
      </c>
      <c r="K89" s="17">
        <f>Datos!AU89</f>
        <v>0</v>
      </c>
      <c r="L89" s="80">
        <f t="shared" si="8"/>
        <v>0</v>
      </c>
      <c r="M89" s="17">
        <f>Datos!AX89</f>
        <v>0</v>
      </c>
    </row>
    <row r="90" spans="1:13" s="2" customFormat="1">
      <c r="A90" s="97">
        <v>45015</v>
      </c>
      <c r="B90" s="16">
        <f>Datos!Y90</f>
        <v>1352555.9999999998</v>
      </c>
      <c r="C90" s="17">
        <f>Datos!AJ90+Datos!AK90</f>
        <v>2.9000000000000004</v>
      </c>
      <c r="D90" s="80">
        <f t="shared" si="9"/>
        <v>766.09895183863057</v>
      </c>
      <c r="E90" s="17">
        <f>Datos!AN90</f>
        <v>6.2</v>
      </c>
      <c r="F90" s="80">
        <f t="shared" si="5"/>
        <v>1637.8667246205202</v>
      </c>
      <c r="G90" s="17">
        <f t="shared" si="6"/>
        <v>9.1000000000000014</v>
      </c>
      <c r="H90" s="26">
        <f t="shared" si="7"/>
        <v>2403.9656764591509</v>
      </c>
      <c r="I90" s="17">
        <f>Datos!AR90</f>
        <v>0</v>
      </c>
      <c r="J90" s="17">
        <f>Datos!AS90</f>
        <v>0</v>
      </c>
      <c r="K90" s="17">
        <f>Datos!AU90</f>
        <v>0</v>
      </c>
      <c r="L90" s="80">
        <f t="shared" si="8"/>
        <v>0</v>
      </c>
      <c r="M90" s="17">
        <f>Datos!AX90</f>
        <v>0</v>
      </c>
    </row>
    <row r="91" spans="1:13" s="2" customFormat="1">
      <c r="A91" s="97">
        <v>45016</v>
      </c>
      <c r="B91" s="16">
        <f>Datos!Y91</f>
        <v>1318712.8</v>
      </c>
      <c r="C91" s="17">
        <f>Datos!AJ91+Datos!AK91</f>
        <v>4.6999999999999993</v>
      </c>
      <c r="D91" s="80">
        <f t="shared" si="9"/>
        <v>1241.6086460832973</v>
      </c>
      <c r="E91" s="17">
        <f>Datos!AN91</f>
        <v>6.3999999999999986</v>
      </c>
      <c r="F91" s="80">
        <f t="shared" si="5"/>
        <v>1690.7011350921493</v>
      </c>
      <c r="G91" s="17">
        <f t="shared" si="6"/>
        <v>11.099999999999998</v>
      </c>
      <c r="H91" s="26">
        <f t="shared" si="7"/>
        <v>2932.3097811754469</v>
      </c>
      <c r="I91" s="17">
        <f>Datos!AR91</f>
        <v>0</v>
      </c>
      <c r="J91" s="17">
        <f>Datos!AS91</f>
        <v>0</v>
      </c>
      <c r="K91" s="17">
        <f>Datos!AU91</f>
        <v>0</v>
      </c>
      <c r="L91" s="80">
        <f t="shared" si="8"/>
        <v>0</v>
      </c>
      <c r="M91" s="17">
        <f>Datos!AX91</f>
        <v>0</v>
      </c>
    </row>
    <row r="92" spans="1:13" s="2" customFormat="1">
      <c r="A92" s="97">
        <v>45017</v>
      </c>
      <c r="B92" s="16">
        <f>Datos!Y92</f>
        <v>1309771.0999999999</v>
      </c>
      <c r="C92" s="17">
        <f>Datos!AJ92+Datos!AK92</f>
        <v>7.5</v>
      </c>
      <c r="D92" s="80">
        <f t="shared" si="9"/>
        <v>1981.2903926861131</v>
      </c>
      <c r="E92" s="17">
        <f>Datos!AN92</f>
        <v>5.6000000000000023</v>
      </c>
      <c r="F92" s="80">
        <f t="shared" si="5"/>
        <v>1479.3634932056318</v>
      </c>
      <c r="G92" s="17">
        <f t="shared" si="6"/>
        <v>13.100000000000001</v>
      </c>
      <c r="H92" s="26">
        <f t="shared" si="7"/>
        <v>3460.6538858917447</v>
      </c>
      <c r="I92" s="17">
        <f>Datos!AR92</f>
        <v>0</v>
      </c>
      <c r="J92" s="17">
        <f>Datos!AS92</f>
        <v>0</v>
      </c>
      <c r="K92" s="17">
        <f>Datos!AU92</f>
        <v>0</v>
      </c>
      <c r="L92" s="80">
        <f t="shared" si="8"/>
        <v>0</v>
      </c>
      <c r="M92" s="17">
        <f>Datos!AX92</f>
        <v>0</v>
      </c>
    </row>
    <row r="93" spans="1:13" s="2" customFormat="1">
      <c r="A93" s="97">
        <v>45018</v>
      </c>
      <c r="B93" s="16">
        <f>Datos!Y93</f>
        <v>1296791.6000000001</v>
      </c>
      <c r="C93" s="17">
        <f>Datos!AJ93+Datos!AK93</f>
        <v>23.3</v>
      </c>
      <c r="D93" s="80">
        <f t="shared" si="9"/>
        <v>6155.2088199448581</v>
      </c>
      <c r="E93" s="17">
        <f>Datos!AN93</f>
        <v>5.5100000000000025</v>
      </c>
      <c r="F93" s="80">
        <f t="shared" si="5"/>
        <v>1455.5880084933985</v>
      </c>
      <c r="G93" s="17">
        <f t="shared" si="6"/>
        <v>28.810000000000002</v>
      </c>
      <c r="H93" s="26">
        <f t="shared" si="7"/>
        <v>7610.7968284382569</v>
      </c>
      <c r="I93" s="17">
        <f>Datos!AR93</f>
        <v>0</v>
      </c>
      <c r="J93" s="17">
        <f>Datos!AS93</f>
        <v>0</v>
      </c>
      <c r="K93" s="17">
        <f>Datos!AU93</f>
        <v>0</v>
      </c>
      <c r="L93" s="80">
        <f t="shared" si="8"/>
        <v>0</v>
      </c>
      <c r="M93" s="17">
        <f>Datos!AX93</f>
        <v>0</v>
      </c>
    </row>
    <row r="94" spans="1:13" s="2" customFormat="1">
      <c r="A94" s="97">
        <v>45019</v>
      </c>
      <c r="B94" s="16">
        <f>Datos!Y94</f>
        <v>1327357.4999999998</v>
      </c>
      <c r="C94" s="17">
        <f>Datos!AJ94+Datos!AK94</f>
        <v>25</v>
      </c>
      <c r="D94" s="80">
        <f t="shared" si="9"/>
        <v>6604.3013089537108</v>
      </c>
      <c r="E94" s="17">
        <f>Datos!AN94</f>
        <v>6.0000000000000009</v>
      </c>
      <c r="F94" s="80">
        <f t="shared" si="5"/>
        <v>1585.0323141488907</v>
      </c>
      <c r="G94" s="17">
        <f t="shared" si="6"/>
        <v>31</v>
      </c>
      <c r="H94" s="26">
        <f t="shared" si="7"/>
        <v>8189.3336231026015</v>
      </c>
      <c r="I94" s="17">
        <f>Datos!AR94</f>
        <v>0</v>
      </c>
      <c r="J94" s="17">
        <f>Datos!AS94</f>
        <v>10983</v>
      </c>
      <c r="K94" s="17">
        <f>Datos!AU94</f>
        <v>0</v>
      </c>
      <c r="L94" s="80">
        <f t="shared" si="8"/>
        <v>0</v>
      </c>
      <c r="M94" s="17">
        <f>Datos!AX94</f>
        <v>0</v>
      </c>
    </row>
    <row r="95" spans="1:13" s="2" customFormat="1">
      <c r="A95" s="97">
        <v>45020</v>
      </c>
      <c r="B95" s="16">
        <f>Datos!Y95</f>
        <v>1365096.4000000004</v>
      </c>
      <c r="C95" s="17">
        <f>Datos!AJ95+Datos!AK95</f>
        <v>31.2</v>
      </c>
      <c r="D95" s="80">
        <f t="shared" si="9"/>
        <v>8242.1680335742312</v>
      </c>
      <c r="E95" s="17">
        <f>Datos!AN95</f>
        <v>5.1899999999999995</v>
      </c>
      <c r="F95" s="80">
        <f t="shared" si="5"/>
        <v>1371.0529517387902</v>
      </c>
      <c r="G95" s="17">
        <f t="shared" si="6"/>
        <v>36.39</v>
      </c>
      <c r="H95" s="26">
        <f t="shared" si="7"/>
        <v>9613.2209853130207</v>
      </c>
      <c r="I95" s="17">
        <f>Datos!AR95</f>
        <v>0</v>
      </c>
      <c r="J95" s="17">
        <f>Datos!AS95</f>
        <v>0</v>
      </c>
      <c r="K95" s="17">
        <f>Datos!AU95</f>
        <v>0</v>
      </c>
      <c r="L95" s="80">
        <f t="shared" si="8"/>
        <v>0</v>
      </c>
      <c r="M95" s="17">
        <f>Datos!AX95</f>
        <v>0</v>
      </c>
    </row>
    <row r="96" spans="1:13" s="2" customFormat="1">
      <c r="A96" s="97">
        <v>45021</v>
      </c>
      <c r="B96" s="16">
        <f>Datos!Y96</f>
        <v>1451714.6999999995</v>
      </c>
      <c r="C96" s="17">
        <f>Datos!AJ96+Datos!AK96</f>
        <v>42.7</v>
      </c>
      <c r="D96" s="80">
        <f t="shared" si="9"/>
        <v>11280.146635692938</v>
      </c>
      <c r="E96" s="17">
        <f>Datos!AN96</f>
        <v>5.7299999999999986</v>
      </c>
      <c r="F96" s="80">
        <f t="shared" si="5"/>
        <v>1513.7058600121902</v>
      </c>
      <c r="G96" s="17">
        <f t="shared" si="6"/>
        <v>48.43</v>
      </c>
      <c r="H96" s="26">
        <f t="shared" si="7"/>
        <v>12793.852495705129</v>
      </c>
      <c r="I96" s="17">
        <f>Datos!AR96</f>
        <v>0</v>
      </c>
      <c r="J96" s="17">
        <f>Datos!AS96</f>
        <v>0</v>
      </c>
      <c r="K96" s="17">
        <f>Datos!AU96</f>
        <v>0</v>
      </c>
      <c r="L96" s="80">
        <f t="shared" si="8"/>
        <v>0</v>
      </c>
      <c r="M96" s="17">
        <f>Datos!AX96</f>
        <v>0</v>
      </c>
    </row>
    <row r="97" spans="1:13" s="2" customFormat="1">
      <c r="A97" s="97">
        <v>45022</v>
      </c>
      <c r="B97" s="16">
        <f>Datos!Y97</f>
        <v>1320280.6999999997</v>
      </c>
      <c r="C97" s="17">
        <f>Datos!AJ97+Datos!AK97</f>
        <v>32.6</v>
      </c>
      <c r="D97" s="80">
        <f t="shared" si="9"/>
        <v>8612.0089068756388</v>
      </c>
      <c r="E97" s="17">
        <f>Datos!AN97</f>
        <v>5.5200000000000031</v>
      </c>
      <c r="F97" s="80">
        <f t="shared" si="5"/>
        <v>1458.2297290169799</v>
      </c>
      <c r="G97" s="17">
        <f t="shared" si="6"/>
        <v>38.120000000000005</v>
      </c>
      <c r="H97" s="26">
        <f t="shared" si="7"/>
        <v>10070.23863589262</v>
      </c>
      <c r="I97" s="17">
        <f>Datos!AR97</f>
        <v>0</v>
      </c>
      <c r="J97" s="17">
        <f>Datos!AS97</f>
        <v>0</v>
      </c>
      <c r="K97" s="17">
        <f>Datos!AU97</f>
        <v>0</v>
      </c>
      <c r="L97" s="80">
        <f t="shared" si="8"/>
        <v>0</v>
      </c>
      <c r="M97" s="17">
        <f>Datos!AX97</f>
        <v>0</v>
      </c>
    </row>
    <row r="98" spans="1:13" s="2" customFormat="1">
      <c r="A98" s="97">
        <v>45023</v>
      </c>
      <c r="B98" s="16">
        <f>Datos!Y98</f>
        <v>1312626.7</v>
      </c>
      <c r="C98" s="17">
        <f>Datos!AJ98+Datos!AK98</f>
        <v>31.200000000000003</v>
      </c>
      <c r="D98" s="80">
        <f t="shared" si="9"/>
        <v>8242.1680335742312</v>
      </c>
      <c r="E98" s="17">
        <f>Datos!AN98</f>
        <v>5.6500000000000021</v>
      </c>
      <c r="F98" s="80">
        <f t="shared" si="5"/>
        <v>1492.572095823539</v>
      </c>
      <c r="G98" s="17">
        <f t="shared" si="6"/>
        <v>36.850000000000009</v>
      </c>
      <c r="H98" s="26">
        <f t="shared" si="7"/>
        <v>9734.7401293977709</v>
      </c>
      <c r="I98" s="17">
        <f>Datos!AR98</f>
        <v>0</v>
      </c>
      <c r="J98" s="17">
        <f>Datos!AS98</f>
        <v>0</v>
      </c>
      <c r="K98" s="17">
        <f>Datos!AU98</f>
        <v>0</v>
      </c>
      <c r="L98" s="80">
        <f t="shared" si="8"/>
        <v>0</v>
      </c>
      <c r="M98" s="17">
        <f>Datos!AX98</f>
        <v>0</v>
      </c>
    </row>
    <row r="99" spans="1:13" s="2" customFormat="1">
      <c r="A99" s="97">
        <v>45024</v>
      </c>
      <c r="B99" s="16">
        <f>Datos!Y99</f>
        <v>1311627.9000000001</v>
      </c>
      <c r="C99" s="17">
        <f>Datos!AJ99+Datos!AK99</f>
        <v>31</v>
      </c>
      <c r="D99" s="80">
        <f t="shared" si="9"/>
        <v>8189.3336231026015</v>
      </c>
      <c r="E99" s="17">
        <f>Datos!AN99</f>
        <v>5.6000000000000014</v>
      </c>
      <c r="F99" s="80">
        <f t="shared" si="5"/>
        <v>1479.3634932056316</v>
      </c>
      <c r="G99" s="17">
        <f t="shared" si="6"/>
        <v>36.6</v>
      </c>
      <c r="H99" s="26">
        <f t="shared" si="7"/>
        <v>9668.6971163082326</v>
      </c>
      <c r="I99" s="17">
        <f>Datos!AR99</f>
        <v>0</v>
      </c>
      <c r="J99" s="17">
        <f>Datos!AS99</f>
        <v>11005</v>
      </c>
      <c r="K99" s="17">
        <f>Datos!AU99</f>
        <v>0</v>
      </c>
      <c r="L99" s="80">
        <f t="shared" si="8"/>
        <v>0</v>
      </c>
      <c r="M99" s="17">
        <f>Datos!AX99</f>
        <v>0</v>
      </c>
    </row>
    <row r="100" spans="1:13" s="2" customFormat="1">
      <c r="A100" s="97">
        <v>45025</v>
      </c>
      <c r="B100" s="16">
        <f>Datos!Y100</f>
        <v>1339506.4000000001</v>
      </c>
      <c r="C100" s="17">
        <f>Datos!AJ100+Datos!AK100</f>
        <v>33.5</v>
      </c>
      <c r="D100" s="80">
        <f t="shared" si="9"/>
        <v>8849.7637539979714</v>
      </c>
      <c r="E100" s="17">
        <f>Datos!AN100</f>
        <v>6.2499999999999991</v>
      </c>
      <c r="F100" s="80">
        <f t="shared" si="5"/>
        <v>1651.0753272384275</v>
      </c>
      <c r="G100" s="17">
        <f t="shared" si="6"/>
        <v>39.75</v>
      </c>
      <c r="H100" s="26">
        <f t="shared" si="7"/>
        <v>10500.8390812364</v>
      </c>
      <c r="I100" s="17">
        <f>Datos!AR100</f>
        <v>0</v>
      </c>
      <c r="J100" s="17">
        <f>Datos!AS100</f>
        <v>0</v>
      </c>
      <c r="K100" s="17">
        <f>Datos!AU100</f>
        <v>0</v>
      </c>
      <c r="L100" s="80">
        <f t="shared" si="8"/>
        <v>0</v>
      </c>
      <c r="M100" s="17">
        <f>Datos!AX100</f>
        <v>0</v>
      </c>
    </row>
    <row r="101" spans="1:13" s="2" customFormat="1">
      <c r="A101" s="97">
        <v>45026</v>
      </c>
      <c r="B101" s="16">
        <f>Datos!Y101</f>
        <v>1347174.0999999999</v>
      </c>
      <c r="C101" s="17">
        <f>Datos!AJ101+Datos!AK101</f>
        <v>27.1</v>
      </c>
      <c r="D101" s="80">
        <f t="shared" si="9"/>
        <v>7159.0626189058221</v>
      </c>
      <c r="E101" s="17">
        <f>Datos!AN101</f>
        <v>6.0000000000000009</v>
      </c>
      <c r="F101" s="80">
        <f t="shared" si="5"/>
        <v>1585.0323141488907</v>
      </c>
      <c r="G101" s="17">
        <f t="shared" si="6"/>
        <v>33.1</v>
      </c>
      <c r="H101" s="26">
        <f t="shared" si="7"/>
        <v>8744.0949330547119</v>
      </c>
      <c r="I101" s="17">
        <f>Datos!AR101</f>
        <v>11998</v>
      </c>
      <c r="J101" s="17">
        <f>Datos!AS101</f>
        <v>0</v>
      </c>
      <c r="K101" s="17">
        <f>Datos!AU101</f>
        <v>0</v>
      </c>
      <c r="L101" s="80">
        <f t="shared" si="8"/>
        <v>0</v>
      </c>
      <c r="M101" s="17">
        <f>Datos!AX101</f>
        <v>0</v>
      </c>
    </row>
    <row r="102" spans="1:13" s="2" customFormat="1">
      <c r="A102" s="97">
        <v>45027</v>
      </c>
      <c r="B102" s="16">
        <f>Datos!Y102</f>
        <v>1316959.9000000001</v>
      </c>
      <c r="C102" s="17">
        <f>Datos!AJ102+Datos!AK102</f>
        <v>25.9</v>
      </c>
      <c r="D102" s="80">
        <f t="shared" si="9"/>
        <v>6842.0561560760443</v>
      </c>
      <c r="E102" s="17">
        <f>Datos!AN102</f>
        <v>6</v>
      </c>
      <c r="F102" s="80">
        <f t="shared" si="5"/>
        <v>1585.0323141488905</v>
      </c>
      <c r="G102" s="17">
        <f t="shared" si="6"/>
        <v>31.9</v>
      </c>
      <c r="H102" s="26">
        <f t="shared" si="7"/>
        <v>8427.088470224935</v>
      </c>
      <c r="I102" s="17">
        <f>Datos!AR102</f>
        <v>22185</v>
      </c>
      <c r="J102" s="17">
        <f>Datos!AS102</f>
        <v>0</v>
      </c>
      <c r="K102" s="17">
        <f>Datos!AU102</f>
        <v>0</v>
      </c>
      <c r="L102" s="80">
        <f t="shared" si="8"/>
        <v>0</v>
      </c>
      <c r="M102" s="17">
        <f>Datos!AX102</f>
        <v>0</v>
      </c>
    </row>
    <row r="103" spans="1:13" s="2" customFormat="1">
      <c r="A103" s="97">
        <v>45028</v>
      </c>
      <c r="B103" s="16">
        <f>Datos!Y103</f>
        <v>1095951.6000000001</v>
      </c>
      <c r="C103" s="17">
        <f>Datos!AJ103+Datos!AK103</f>
        <v>78.600000000000009</v>
      </c>
      <c r="D103" s="80">
        <f t="shared" si="9"/>
        <v>20763.923315350468</v>
      </c>
      <c r="E103" s="17">
        <f>Datos!AN103</f>
        <v>5.0000000000000009</v>
      </c>
      <c r="F103" s="80">
        <f t="shared" si="5"/>
        <v>1320.8602617907422</v>
      </c>
      <c r="G103" s="17">
        <f t="shared" si="6"/>
        <v>83.600000000000009</v>
      </c>
      <c r="H103" s="26">
        <f t="shared" si="7"/>
        <v>22084.78357714121</v>
      </c>
      <c r="I103" s="17">
        <f>Datos!AR103</f>
        <v>22194</v>
      </c>
      <c r="J103" s="17">
        <f>Datos!AS103</f>
        <v>0</v>
      </c>
      <c r="K103" s="17">
        <f>Datos!AU103</f>
        <v>0</v>
      </c>
      <c r="L103" s="80">
        <f t="shared" si="8"/>
        <v>0</v>
      </c>
      <c r="M103" s="17">
        <f>Datos!AX103</f>
        <v>0</v>
      </c>
    </row>
    <row r="104" spans="1:13" s="2" customFormat="1">
      <c r="A104" s="97">
        <v>45029</v>
      </c>
      <c r="B104" s="16">
        <f>Datos!Y104</f>
        <v>1333679.1000000001</v>
      </c>
      <c r="C104" s="17">
        <f>Datos!AJ104+Datos!AK104</f>
        <v>31.7</v>
      </c>
      <c r="D104" s="80">
        <f t="shared" si="9"/>
        <v>8374.2540597533043</v>
      </c>
      <c r="E104" s="17">
        <f>Datos!AN104</f>
        <v>5.6400000000000023</v>
      </c>
      <c r="F104" s="80">
        <f t="shared" si="5"/>
        <v>1489.9303752999579</v>
      </c>
      <c r="G104" s="17">
        <f t="shared" si="6"/>
        <v>37.340000000000003</v>
      </c>
      <c r="H104" s="26">
        <f t="shared" si="7"/>
        <v>9864.1844350532629</v>
      </c>
      <c r="I104" s="17">
        <f>Datos!AR104</f>
        <v>0</v>
      </c>
      <c r="J104" s="17">
        <f>Datos!AS104</f>
        <v>0</v>
      </c>
      <c r="K104" s="17">
        <f>Datos!AU104</f>
        <v>0</v>
      </c>
      <c r="L104" s="80">
        <f t="shared" si="8"/>
        <v>0</v>
      </c>
      <c r="M104" s="17">
        <f>Datos!AX104</f>
        <v>0</v>
      </c>
    </row>
    <row r="105" spans="1:13" s="2" customFormat="1">
      <c r="A105" s="97">
        <v>45030</v>
      </c>
      <c r="B105" s="16">
        <f>Datos!Y105</f>
        <v>1342214.9</v>
      </c>
      <c r="C105" s="17">
        <f>Datos!AJ105+Datos!AK105</f>
        <v>32.700000000000003</v>
      </c>
      <c r="D105" s="80">
        <f t="shared" si="9"/>
        <v>8638.4261121114541</v>
      </c>
      <c r="E105" s="17">
        <f>Datos!AN105</f>
        <v>5.7000000000000011</v>
      </c>
      <c r="F105" s="80">
        <f t="shared" si="5"/>
        <v>1505.7806984414462</v>
      </c>
      <c r="G105" s="17">
        <f t="shared" si="6"/>
        <v>38.400000000000006</v>
      </c>
      <c r="H105" s="26">
        <f t="shared" si="7"/>
        <v>10144.2068105529</v>
      </c>
      <c r="I105" s="17">
        <f>Datos!AR105</f>
        <v>0</v>
      </c>
      <c r="J105" s="17">
        <f>Datos!AS105</f>
        <v>10992</v>
      </c>
      <c r="K105" s="17">
        <f>Datos!AU105</f>
        <v>0</v>
      </c>
      <c r="L105" s="80">
        <f t="shared" si="8"/>
        <v>0</v>
      </c>
      <c r="M105" s="17">
        <f>Datos!AX105</f>
        <v>0</v>
      </c>
    </row>
    <row r="106" spans="1:13" s="2" customFormat="1">
      <c r="A106" s="97">
        <v>45031</v>
      </c>
      <c r="B106" s="16">
        <f>Datos!Y106</f>
        <v>1300006.8999999999</v>
      </c>
      <c r="C106" s="17">
        <f>Datos!AJ106+Datos!AK106</f>
        <v>37.380000000000003</v>
      </c>
      <c r="D106" s="80">
        <f t="shared" si="9"/>
        <v>9874.7513171475875</v>
      </c>
      <c r="E106" s="17">
        <f>Datos!AN106</f>
        <v>5.65</v>
      </c>
      <c r="F106" s="80">
        <f t="shared" si="5"/>
        <v>1492.5720958235386</v>
      </c>
      <c r="G106" s="17">
        <f t="shared" si="6"/>
        <v>43.03</v>
      </c>
      <c r="H106" s="26">
        <f t="shared" si="7"/>
        <v>11367.323412971125</v>
      </c>
      <c r="I106" s="17">
        <f>Datos!AR106</f>
        <v>0</v>
      </c>
      <c r="J106" s="17">
        <f>Datos!AS106</f>
        <v>0</v>
      </c>
      <c r="K106" s="17">
        <f>Datos!AU106</f>
        <v>0</v>
      </c>
      <c r="L106" s="80">
        <f t="shared" si="8"/>
        <v>0</v>
      </c>
      <c r="M106" s="17">
        <f>Datos!AX106</f>
        <v>0</v>
      </c>
    </row>
    <row r="107" spans="1:13" s="2" customFormat="1">
      <c r="A107" s="97">
        <v>45032</v>
      </c>
      <c r="B107" s="16">
        <f>Datos!Y107</f>
        <v>1092276</v>
      </c>
      <c r="C107" s="17">
        <f>Datos!AJ107+Datos!AK107</f>
        <v>1.42</v>
      </c>
      <c r="D107" s="80">
        <f t="shared" si="9"/>
        <v>375.12431434857075</v>
      </c>
      <c r="E107" s="17">
        <f>Datos!AN107</f>
        <v>5.5600000000000023</v>
      </c>
      <c r="F107" s="80">
        <f t="shared" si="5"/>
        <v>1468.7966111113058</v>
      </c>
      <c r="G107" s="17">
        <f t="shared" si="6"/>
        <v>6.9800000000000022</v>
      </c>
      <c r="H107" s="26">
        <f t="shared" si="7"/>
        <v>1843.9209254598766</v>
      </c>
      <c r="I107" s="17">
        <f>Datos!AR107</f>
        <v>0</v>
      </c>
      <c r="J107" s="17">
        <f>Datos!AS107</f>
        <v>0</v>
      </c>
      <c r="K107" s="17">
        <f>Datos!AU107</f>
        <v>0</v>
      </c>
      <c r="L107" s="80">
        <f t="shared" si="8"/>
        <v>0</v>
      </c>
      <c r="M107" s="17">
        <f>Datos!AX107</f>
        <v>0</v>
      </c>
    </row>
    <row r="108" spans="1:13" s="2" customFormat="1">
      <c r="A108" s="97">
        <v>45033</v>
      </c>
      <c r="B108" s="16">
        <f>Datos!Y108</f>
        <v>1319544.5999999999</v>
      </c>
      <c r="C108" s="17">
        <f>Datos!AJ108+Datos!AK108</f>
        <v>31.900000000000002</v>
      </c>
      <c r="D108" s="80">
        <f t="shared" si="9"/>
        <v>8427.088470224935</v>
      </c>
      <c r="E108" s="17">
        <f>Datos!AN108</f>
        <v>6.09</v>
      </c>
      <c r="F108" s="80">
        <f t="shared" si="5"/>
        <v>1608.807798861124</v>
      </c>
      <c r="G108" s="17">
        <f t="shared" si="6"/>
        <v>37.99</v>
      </c>
      <c r="H108" s="26">
        <f t="shared" si="7"/>
        <v>10035.896269086059</v>
      </c>
      <c r="I108" s="17">
        <f>Datos!AR108</f>
        <v>10999</v>
      </c>
      <c r="J108" s="17">
        <f>Datos!AS108</f>
        <v>0</v>
      </c>
      <c r="K108" s="17">
        <f>Datos!AU108</f>
        <v>0</v>
      </c>
      <c r="L108" s="80">
        <f t="shared" si="8"/>
        <v>0</v>
      </c>
      <c r="M108" s="17">
        <f>Datos!AX108</f>
        <v>0</v>
      </c>
    </row>
    <row r="109" spans="1:13" s="2" customFormat="1">
      <c r="A109" s="97">
        <v>45034</v>
      </c>
      <c r="B109" s="16">
        <f>Datos!Y109</f>
        <v>1330136.2</v>
      </c>
      <c r="C109" s="17">
        <f>Datos!AJ109+Datos!AK109</f>
        <v>38</v>
      </c>
      <c r="D109" s="80">
        <f t="shared" si="9"/>
        <v>10038.53798960964</v>
      </c>
      <c r="E109" s="17">
        <f>Datos!AN109</f>
        <v>5.9000000000000012</v>
      </c>
      <c r="F109" s="80">
        <f t="shared" si="5"/>
        <v>1558.615108913076</v>
      </c>
      <c r="G109" s="17">
        <f t="shared" si="6"/>
        <v>43.9</v>
      </c>
      <c r="H109" s="26">
        <f t="shared" si="7"/>
        <v>11597.153098522716</v>
      </c>
      <c r="I109" s="17">
        <f>Datos!AR109</f>
        <v>10992</v>
      </c>
      <c r="J109" s="17">
        <f>Datos!AS109</f>
        <v>0</v>
      </c>
      <c r="K109" s="17">
        <f>Datos!AU109</f>
        <v>0</v>
      </c>
      <c r="L109" s="80">
        <f t="shared" si="8"/>
        <v>0</v>
      </c>
      <c r="M109" s="17">
        <f>Datos!AX109</f>
        <v>0</v>
      </c>
    </row>
    <row r="110" spans="1:13" s="2" customFormat="1">
      <c r="A110" s="97">
        <v>45035</v>
      </c>
      <c r="B110" s="16">
        <f>Datos!Y110</f>
        <v>1315503.3</v>
      </c>
      <c r="C110" s="17">
        <f>Datos!AJ110+Datos!AK110</f>
        <v>33.5</v>
      </c>
      <c r="D110" s="80">
        <f t="shared" si="9"/>
        <v>8849.7637539979714</v>
      </c>
      <c r="E110" s="17">
        <f>Datos!AN110</f>
        <v>6.6400000000000006</v>
      </c>
      <c r="F110" s="80">
        <f t="shared" si="5"/>
        <v>1754.1024276581059</v>
      </c>
      <c r="G110" s="17">
        <f t="shared" si="6"/>
        <v>40.14</v>
      </c>
      <c r="H110" s="26">
        <f t="shared" si="7"/>
        <v>10603.866181656078</v>
      </c>
      <c r="I110" s="17">
        <f>Datos!AR110</f>
        <v>22207</v>
      </c>
      <c r="J110" s="17">
        <f>Datos!AS110</f>
        <v>0</v>
      </c>
      <c r="K110" s="17">
        <f>Datos!AU110</f>
        <v>0</v>
      </c>
      <c r="L110" s="80">
        <f t="shared" si="8"/>
        <v>0</v>
      </c>
      <c r="M110" s="17">
        <f>Datos!AX110</f>
        <v>0</v>
      </c>
    </row>
    <row r="111" spans="1:13" s="2" customFormat="1">
      <c r="A111" s="97">
        <v>45036</v>
      </c>
      <c r="B111" s="16">
        <f>Datos!Y111</f>
        <v>1320292.9000000001</v>
      </c>
      <c r="C111" s="17">
        <f>Datos!AJ111+Datos!AK111</f>
        <v>39.799999999999997</v>
      </c>
      <c r="D111" s="80">
        <f t="shared" si="9"/>
        <v>10514.047683854307</v>
      </c>
      <c r="E111" s="17">
        <f>Datos!AN111</f>
        <v>5.870000000000001</v>
      </c>
      <c r="F111" s="80">
        <f t="shared" si="5"/>
        <v>1550.6899473423314</v>
      </c>
      <c r="G111" s="17">
        <f t="shared" si="6"/>
        <v>45.67</v>
      </c>
      <c r="H111" s="26">
        <f t="shared" si="7"/>
        <v>12064.737631196638</v>
      </c>
      <c r="I111" s="17">
        <f>Datos!AR111</f>
        <v>22195</v>
      </c>
      <c r="J111" s="17">
        <f>Datos!AS111</f>
        <v>0</v>
      </c>
      <c r="K111" s="17">
        <f>Datos!AU111</f>
        <v>0</v>
      </c>
      <c r="L111" s="80">
        <f t="shared" si="8"/>
        <v>0</v>
      </c>
      <c r="M111" s="17">
        <f>Datos!AX111</f>
        <v>0</v>
      </c>
    </row>
    <row r="112" spans="1:13" s="2" customFormat="1">
      <c r="A112" s="97">
        <v>45037</v>
      </c>
      <c r="B112" s="16">
        <f>Datos!Y112</f>
        <v>1311028.3000000005</v>
      </c>
      <c r="C112" s="17">
        <f>Datos!AJ112+Datos!AK112</f>
        <v>28.9</v>
      </c>
      <c r="D112" s="80">
        <f t="shared" si="9"/>
        <v>7634.5723131504892</v>
      </c>
      <c r="E112" s="17">
        <f>Datos!AN112</f>
        <v>6</v>
      </c>
      <c r="F112" s="80">
        <f t="shared" si="5"/>
        <v>1585.0323141488905</v>
      </c>
      <c r="G112" s="17">
        <f t="shared" si="6"/>
        <v>34.9</v>
      </c>
      <c r="H112" s="26">
        <f t="shared" si="7"/>
        <v>9219.604627299379</v>
      </c>
      <c r="I112" s="17">
        <f>Datos!AR112</f>
        <v>10992</v>
      </c>
      <c r="J112" s="17">
        <f>Datos!AS112</f>
        <v>11203</v>
      </c>
      <c r="K112" s="17">
        <f>Datos!AU112</f>
        <v>0</v>
      </c>
      <c r="L112" s="80">
        <f t="shared" si="8"/>
        <v>0</v>
      </c>
      <c r="M112" s="17">
        <f>Datos!AX112</f>
        <v>0</v>
      </c>
    </row>
    <row r="113" spans="1:13" s="2" customFormat="1">
      <c r="A113" s="97">
        <v>45038</v>
      </c>
      <c r="B113" s="16">
        <f>Datos!Y113</f>
        <v>1316918.8999999999</v>
      </c>
      <c r="C113" s="17">
        <f>Datos!AJ113+Datos!AK113</f>
        <v>32.1</v>
      </c>
      <c r="D113" s="80">
        <f t="shared" si="9"/>
        <v>8479.9228806965639</v>
      </c>
      <c r="E113" s="17">
        <f>Datos!AN113</f>
        <v>5.9500000000000011</v>
      </c>
      <c r="F113" s="80">
        <f t="shared" si="5"/>
        <v>1571.8237115309832</v>
      </c>
      <c r="G113" s="17">
        <f t="shared" si="6"/>
        <v>38.050000000000004</v>
      </c>
      <c r="H113" s="26">
        <f t="shared" si="7"/>
        <v>10051.746592227548</v>
      </c>
      <c r="I113" s="17">
        <f>Datos!AR113</f>
        <v>11186</v>
      </c>
      <c r="J113" s="17">
        <f>Datos!AS113</f>
        <v>0</v>
      </c>
      <c r="K113" s="17">
        <f>Datos!AU113</f>
        <v>0</v>
      </c>
      <c r="L113" s="80">
        <f t="shared" si="8"/>
        <v>0</v>
      </c>
      <c r="M113" s="17">
        <f>Datos!AX113</f>
        <v>0</v>
      </c>
    </row>
    <row r="114" spans="1:13" s="2" customFormat="1">
      <c r="A114" s="97">
        <v>45039</v>
      </c>
      <c r="B114" s="16">
        <f>Datos!Y114</f>
        <v>1296761.0999999999</v>
      </c>
      <c r="C114" s="17">
        <f>Datos!AJ114+Datos!AK114</f>
        <v>84.92</v>
      </c>
      <c r="D114" s="80">
        <f t="shared" si="9"/>
        <v>22433.490686253965</v>
      </c>
      <c r="E114" s="17">
        <f>Datos!AN114</f>
        <v>5.3900000000000015</v>
      </c>
      <c r="F114" s="80">
        <f t="shared" si="5"/>
        <v>1423.8873622104204</v>
      </c>
      <c r="G114" s="17">
        <f t="shared" si="6"/>
        <v>90.31</v>
      </c>
      <c r="H114" s="26">
        <f t="shared" si="7"/>
        <v>23857.378048464387</v>
      </c>
      <c r="I114" s="17">
        <f>Datos!AR114</f>
        <v>0</v>
      </c>
      <c r="J114" s="17">
        <f>Datos!AS114</f>
        <v>0</v>
      </c>
      <c r="K114" s="17">
        <f>Datos!AU114</f>
        <v>0</v>
      </c>
      <c r="L114" s="80">
        <f t="shared" si="8"/>
        <v>0</v>
      </c>
      <c r="M114" s="17">
        <f>Datos!AX114</f>
        <v>0</v>
      </c>
    </row>
    <row r="115" spans="1:13" s="2" customFormat="1">
      <c r="A115" s="97">
        <v>45040</v>
      </c>
      <c r="B115" s="16">
        <f>Datos!Y115</f>
        <v>1218648.4000000004</v>
      </c>
      <c r="C115" s="17">
        <f>Datos!AJ115+Datos!AK115</f>
        <v>189.95</v>
      </c>
      <c r="D115" s="80">
        <f t="shared" si="9"/>
        <v>50179.481345430293</v>
      </c>
      <c r="E115" s="17">
        <f>Datos!AN115</f>
        <v>3.7800000000000007</v>
      </c>
      <c r="F115" s="80">
        <f t="shared" si="5"/>
        <v>998.57035791380133</v>
      </c>
      <c r="G115" s="17">
        <f t="shared" si="6"/>
        <v>193.73</v>
      </c>
      <c r="H115" s="26">
        <f t="shared" si="7"/>
        <v>51178.051703344092</v>
      </c>
      <c r="I115" s="17">
        <f>Datos!AR115</f>
        <v>22179</v>
      </c>
      <c r="J115" s="17">
        <f>Datos!AS115</f>
        <v>0</v>
      </c>
      <c r="K115" s="17">
        <f>Datos!AU115</f>
        <v>0</v>
      </c>
      <c r="L115" s="80">
        <f t="shared" si="8"/>
        <v>0</v>
      </c>
      <c r="M115" s="17">
        <f>Datos!AX115</f>
        <v>0</v>
      </c>
    </row>
    <row r="116" spans="1:13" s="2" customFormat="1">
      <c r="A116" s="97">
        <v>45041</v>
      </c>
      <c r="B116" s="16">
        <f>Datos!Y116</f>
        <v>1332998.3</v>
      </c>
      <c r="C116" s="17">
        <f>Datos!AJ116+Datos!AK116</f>
        <v>93.399999999999991</v>
      </c>
      <c r="D116" s="80">
        <f t="shared" si="9"/>
        <v>24673.669690251059</v>
      </c>
      <c r="E116" s="17">
        <f>Datos!AN116</f>
        <v>5.4700000000000006</v>
      </c>
      <c r="F116" s="80">
        <f t="shared" si="5"/>
        <v>1445.021126399072</v>
      </c>
      <c r="G116" s="17">
        <f t="shared" si="6"/>
        <v>98.86999999999999</v>
      </c>
      <c r="H116" s="26">
        <f t="shared" si="7"/>
        <v>26118.690816650131</v>
      </c>
      <c r="I116" s="17">
        <f>Datos!AR116</f>
        <v>33189</v>
      </c>
      <c r="J116" s="17">
        <f>Datos!AS116</f>
        <v>0</v>
      </c>
      <c r="K116" s="17">
        <f>Datos!AU116</f>
        <v>0</v>
      </c>
      <c r="L116" s="80">
        <f t="shared" si="8"/>
        <v>0</v>
      </c>
      <c r="M116" s="17">
        <f>Datos!AX116</f>
        <v>0</v>
      </c>
    </row>
    <row r="117" spans="1:13" s="2" customFormat="1">
      <c r="A117" s="97">
        <v>45042</v>
      </c>
      <c r="B117" s="16">
        <f>Datos!Y117</f>
        <v>1355757.5</v>
      </c>
      <c r="C117" s="17">
        <f>Datos!AJ117+Datos!AK117</f>
        <v>35</v>
      </c>
      <c r="D117" s="80">
        <f t="shared" si="9"/>
        <v>9246.0218325351943</v>
      </c>
      <c r="E117" s="17">
        <f>Datos!AN117</f>
        <v>6.4999999999999991</v>
      </c>
      <c r="F117" s="80">
        <f t="shared" si="5"/>
        <v>1717.1183403279645</v>
      </c>
      <c r="G117" s="17">
        <f t="shared" si="6"/>
        <v>41.5</v>
      </c>
      <c r="H117" s="26">
        <f t="shared" si="7"/>
        <v>10963.140172863159</v>
      </c>
      <c r="I117" s="17">
        <f>Datos!AR117</f>
        <v>32994</v>
      </c>
      <c r="J117" s="17">
        <f>Datos!AS117</f>
        <v>0</v>
      </c>
      <c r="K117" s="17">
        <f>Datos!AU117</f>
        <v>0</v>
      </c>
      <c r="L117" s="80">
        <f t="shared" si="8"/>
        <v>0</v>
      </c>
      <c r="M117" s="17">
        <f>Datos!AX117</f>
        <v>0</v>
      </c>
    </row>
    <row r="118" spans="1:13" s="2" customFormat="1">
      <c r="A118" s="97">
        <v>45043</v>
      </c>
      <c r="B118" s="16">
        <f>Datos!Y118</f>
        <v>1164428.6000000001</v>
      </c>
      <c r="C118" s="17">
        <f>Datos!AJ118+Datos!AK118</f>
        <v>30</v>
      </c>
      <c r="D118" s="80">
        <f t="shared" si="9"/>
        <v>7925.1615707444525</v>
      </c>
      <c r="E118" s="17">
        <f>Datos!AN118</f>
        <v>5.4499999999999993</v>
      </c>
      <c r="F118" s="80">
        <f t="shared" si="5"/>
        <v>1439.7376853519086</v>
      </c>
      <c r="G118" s="17">
        <f t="shared" si="6"/>
        <v>35.450000000000003</v>
      </c>
      <c r="H118" s="26">
        <f t="shared" si="7"/>
        <v>9364.8992560963616</v>
      </c>
      <c r="I118" s="17">
        <f>Datos!AR118</f>
        <v>22046</v>
      </c>
      <c r="J118" s="17">
        <f>Datos!AS118</f>
        <v>10985</v>
      </c>
      <c r="K118" s="17">
        <f>Datos!AU118</f>
        <v>0</v>
      </c>
      <c r="L118" s="80">
        <f t="shared" si="8"/>
        <v>0</v>
      </c>
      <c r="M118" s="17">
        <f>Datos!AX118</f>
        <v>0</v>
      </c>
    </row>
    <row r="119" spans="1:13" s="2" customFormat="1">
      <c r="A119" s="97">
        <v>45044</v>
      </c>
      <c r="B119" s="16">
        <f>Datos!Y119</f>
        <v>1353154</v>
      </c>
      <c r="C119" s="17">
        <f>Datos!AJ119+Datos!AK119</f>
        <v>30.1</v>
      </c>
      <c r="D119" s="80">
        <f t="shared" si="9"/>
        <v>7951.5787759802679</v>
      </c>
      <c r="E119" s="17">
        <f>Datos!AN119</f>
        <v>6.0000000000000009</v>
      </c>
      <c r="F119" s="80">
        <f t="shared" si="5"/>
        <v>1585.0323141488907</v>
      </c>
      <c r="G119" s="17">
        <f t="shared" si="6"/>
        <v>36.1</v>
      </c>
      <c r="H119" s="26">
        <f t="shared" si="7"/>
        <v>9536.6110901291577</v>
      </c>
      <c r="I119" s="17">
        <f>Datos!AR119</f>
        <v>33007</v>
      </c>
      <c r="J119" s="17">
        <f>Datos!AS119</f>
        <v>0</v>
      </c>
      <c r="K119" s="17">
        <f>Datos!AU119</f>
        <v>0</v>
      </c>
      <c r="L119" s="80">
        <f t="shared" si="8"/>
        <v>0</v>
      </c>
      <c r="M119" s="17">
        <f>Datos!AX119</f>
        <v>0</v>
      </c>
    </row>
    <row r="120" spans="1:13" s="2" customFormat="1">
      <c r="A120" s="97">
        <v>45045</v>
      </c>
      <c r="B120" s="16">
        <f>Datos!Y120</f>
        <v>1320383.0999999999</v>
      </c>
      <c r="C120" s="17">
        <f>Datos!AJ120+Datos!AK120</f>
        <v>35.6</v>
      </c>
      <c r="D120" s="80">
        <f t="shared" si="9"/>
        <v>9404.5250639500846</v>
      </c>
      <c r="E120" s="17">
        <f>Datos!AN120</f>
        <v>6.8000000000000007</v>
      </c>
      <c r="F120" s="80">
        <f t="shared" si="5"/>
        <v>1796.3699560354096</v>
      </c>
      <c r="G120" s="17">
        <f t="shared" si="6"/>
        <v>42.400000000000006</v>
      </c>
      <c r="H120" s="26">
        <f t="shared" si="7"/>
        <v>11200.895019985493</v>
      </c>
      <c r="I120" s="17">
        <f>Datos!AR120</f>
        <v>32979</v>
      </c>
      <c r="J120" s="17">
        <f>Datos!AS120</f>
        <v>0</v>
      </c>
      <c r="K120" s="17">
        <f>Datos!AU120</f>
        <v>0</v>
      </c>
      <c r="L120" s="80">
        <f t="shared" si="8"/>
        <v>0</v>
      </c>
      <c r="M120" s="17">
        <f>Datos!AX120</f>
        <v>0</v>
      </c>
    </row>
    <row r="121" spans="1:13" s="2" customFormat="1">
      <c r="A121" s="97">
        <v>45046</v>
      </c>
      <c r="B121" s="16">
        <f>Datos!Y121</f>
        <v>1289839.2999999998</v>
      </c>
      <c r="C121" s="17">
        <f>Datos!AJ121+Datos!AK121</f>
        <v>23.1</v>
      </c>
      <c r="D121" s="80">
        <f t="shared" si="9"/>
        <v>6102.3744094732283</v>
      </c>
      <c r="E121" s="17">
        <f>Datos!AN121</f>
        <v>7</v>
      </c>
      <c r="F121" s="80">
        <f t="shared" si="5"/>
        <v>1849.2043665070389</v>
      </c>
      <c r="G121" s="17">
        <f t="shared" si="6"/>
        <v>30.1</v>
      </c>
      <c r="H121" s="26">
        <f t="shared" si="7"/>
        <v>7951.578775980267</v>
      </c>
      <c r="I121" s="17">
        <f>Datos!AR121</f>
        <v>32954</v>
      </c>
      <c r="J121" s="17">
        <f>Datos!AS121</f>
        <v>0</v>
      </c>
      <c r="K121" s="17">
        <f>Datos!AU121</f>
        <v>0</v>
      </c>
      <c r="L121" s="80">
        <f t="shared" si="8"/>
        <v>0</v>
      </c>
      <c r="M121" s="17">
        <f>Datos!AX121</f>
        <v>0</v>
      </c>
    </row>
    <row r="122" spans="1:13" s="2" customFormat="1">
      <c r="A122" s="97">
        <v>45047</v>
      </c>
      <c r="B122" s="16">
        <f>Datos!Y122</f>
        <v>1286602.7</v>
      </c>
      <c r="C122" s="17">
        <f>Datos!AJ122+Datos!AK122</f>
        <v>3.8</v>
      </c>
      <c r="D122" s="80">
        <f t="shared" si="9"/>
        <v>1003.853798960964</v>
      </c>
      <c r="E122" s="17">
        <f>Datos!AN122</f>
        <v>7.1999999999999984</v>
      </c>
      <c r="F122" s="80">
        <f t="shared" si="5"/>
        <v>1902.0387769786682</v>
      </c>
      <c r="G122" s="17">
        <f t="shared" si="6"/>
        <v>10.999999999999998</v>
      </c>
      <c r="H122" s="26">
        <f t="shared" si="7"/>
        <v>2905.8925759396325</v>
      </c>
      <c r="I122" s="17">
        <f>Datos!AR122</f>
        <v>0</v>
      </c>
      <c r="J122" s="17">
        <f>Datos!AS122</f>
        <v>0</v>
      </c>
      <c r="K122" s="17">
        <f>Datos!AU122</f>
        <v>0</v>
      </c>
      <c r="L122" s="80">
        <f t="shared" si="8"/>
        <v>0</v>
      </c>
      <c r="M122" s="17">
        <f>Datos!AX122</f>
        <v>0</v>
      </c>
    </row>
    <row r="123" spans="1:13">
      <c r="A123" s="97">
        <v>45048</v>
      </c>
      <c r="B123" s="16">
        <f>Datos!Y123</f>
        <v>1371541.5999999996</v>
      </c>
      <c r="C123" s="17">
        <f>Datos!AJ123+Datos!AK123</f>
        <v>1.2</v>
      </c>
      <c r="D123" s="80">
        <f t="shared" si="9"/>
        <v>317.00646282977812</v>
      </c>
      <c r="E123" s="17">
        <f>Datos!AN123</f>
        <v>6.64</v>
      </c>
      <c r="F123" s="80">
        <f t="shared" si="5"/>
        <v>1754.1024276581056</v>
      </c>
      <c r="G123" s="17">
        <f t="shared" ref="G123:G157" si="10">C123+E123</f>
        <v>7.84</v>
      </c>
      <c r="H123" s="26">
        <f>D123+F123</f>
        <v>2071.1088904878839</v>
      </c>
      <c r="I123" s="17">
        <f>Datos!AR123</f>
        <v>11014</v>
      </c>
      <c r="J123" s="17">
        <f>Datos!AS123</f>
        <v>0</v>
      </c>
      <c r="K123" s="17">
        <f>Datos!AU123</f>
        <v>0</v>
      </c>
      <c r="L123" s="80">
        <f t="shared" si="8"/>
        <v>0</v>
      </c>
      <c r="M123" s="17">
        <f>Datos!AX123</f>
        <v>0</v>
      </c>
    </row>
    <row r="124" spans="1:13">
      <c r="A124" s="97">
        <v>45049</v>
      </c>
      <c r="B124" s="16">
        <f>Datos!Y124</f>
        <v>1426265.5999999999</v>
      </c>
      <c r="C124" s="17">
        <f>Datos!AJ124+Datos!AK124</f>
        <v>3.4000000000000004</v>
      </c>
      <c r="D124" s="80">
        <f t="shared" si="9"/>
        <v>898.18497801770479</v>
      </c>
      <c r="E124" s="17">
        <f>Datos!AN124</f>
        <v>6.75</v>
      </c>
      <c r="F124" s="80">
        <f t="shared" si="5"/>
        <v>1783.1613534175019</v>
      </c>
      <c r="G124" s="17">
        <f t="shared" si="10"/>
        <v>10.15</v>
      </c>
      <c r="H124" s="26">
        <f>D124+F124</f>
        <v>2681.3463314352066</v>
      </c>
      <c r="I124" s="17">
        <f>Datos!AR124</f>
        <v>11000</v>
      </c>
      <c r="J124" s="17">
        <f>Datos!AS124</f>
        <v>11014</v>
      </c>
      <c r="K124" s="17">
        <f>Datos!AU124</f>
        <v>0</v>
      </c>
      <c r="L124" s="80">
        <f t="shared" si="8"/>
        <v>0</v>
      </c>
      <c r="M124" s="17">
        <f>Datos!AX124</f>
        <v>0</v>
      </c>
    </row>
    <row r="125" spans="1:13">
      <c r="A125" s="97">
        <v>45050</v>
      </c>
      <c r="B125" s="16">
        <f>Datos!Y125</f>
        <v>1428291.5</v>
      </c>
      <c r="C125" s="17">
        <f>Datos!AJ125+Datos!AK125</f>
        <v>1.5</v>
      </c>
      <c r="D125" s="80">
        <f t="shared" si="9"/>
        <v>396.25807853722262</v>
      </c>
      <c r="E125" s="17">
        <f>Datos!AN125</f>
        <v>7.2399999999999984</v>
      </c>
      <c r="F125" s="80">
        <f t="shared" si="5"/>
        <v>1912.6056590729941</v>
      </c>
      <c r="G125" s="17">
        <f t="shared" si="10"/>
        <v>8.7399999999999984</v>
      </c>
      <c r="H125" s="26">
        <f>D125+F125</f>
        <v>2308.8637376102165</v>
      </c>
      <c r="I125" s="17">
        <f>Datos!AR125</f>
        <v>0</v>
      </c>
      <c r="J125" s="17">
        <f>Datos!AS125</f>
        <v>0</v>
      </c>
      <c r="K125" s="17">
        <f>Datos!AU125</f>
        <v>0</v>
      </c>
      <c r="L125" s="80">
        <f t="shared" si="8"/>
        <v>0</v>
      </c>
      <c r="M125" s="17">
        <f>Datos!AX125</f>
        <v>0</v>
      </c>
    </row>
    <row r="126" spans="1:13">
      <c r="A126" s="97">
        <v>45051</v>
      </c>
      <c r="B126" s="16">
        <f>Datos!Y126</f>
        <v>1456754.7</v>
      </c>
      <c r="C126" s="17">
        <f>Datos!AJ126+Datos!AK126</f>
        <v>5</v>
      </c>
      <c r="D126" s="80">
        <f t="shared" si="9"/>
        <v>1320.860261790742</v>
      </c>
      <c r="E126" s="17">
        <f>Datos!AN126</f>
        <v>7.2999999999999989</v>
      </c>
      <c r="F126" s="80">
        <f t="shared" si="5"/>
        <v>1928.4559822144834</v>
      </c>
      <c r="G126" s="17">
        <f t="shared" si="10"/>
        <v>12.299999999999999</v>
      </c>
      <c r="H126" s="17">
        <f t="shared" ref="H126:H157" si="11">D126+F126</f>
        <v>3249.3162440052256</v>
      </c>
      <c r="I126" s="17">
        <f>Datos!AR126</f>
        <v>0</v>
      </c>
      <c r="J126" s="17">
        <f>Datos!AS126</f>
        <v>0</v>
      </c>
      <c r="K126" s="17">
        <f>Datos!AU126</f>
        <v>0</v>
      </c>
      <c r="L126" s="80">
        <f t="shared" si="8"/>
        <v>0</v>
      </c>
      <c r="M126" s="17">
        <f>Datos!AX126</f>
        <v>0</v>
      </c>
    </row>
    <row r="127" spans="1:13">
      <c r="A127" s="97">
        <v>45052</v>
      </c>
      <c r="B127" s="16">
        <f>Datos!Y127</f>
        <v>1403854.9999999995</v>
      </c>
      <c r="C127" s="17">
        <f>Datos!AJ127+Datos!AK127</f>
        <v>2</v>
      </c>
      <c r="D127" s="80">
        <f t="shared" si="9"/>
        <v>528.3441047162969</v>
      </c>
      <c r="E127" s="17">
        <f>Datos!AN127</f>
        <v>7.6000000000000023</v>
      </c>
      <c r="F127" s="80">
        <f t="shared" si="5"/>
        <v>2007.7075979219287</v>
      </c>
      <c r="G127" s="17">
        <f t="shared" si="10"/>
        <v>9.6000000000000014</v>
      </c>
      <c r="H127" s="17">
        <f t="shared" si="11"/>
        <v>2536.0517026382258</v>
      </c>
      <c r="I127" s="17">
        <f>Datos!AR127</f>
        <v>0</v>
      </c>
      <c r="J127" s="17">
        <f>Datos!AS127</f>
        <v>0</v>
      </c>
      <c r="K127" s="17">
        <f>Datos!AU127</f>
        <v>0</v>
      </c>
      <c r="L127" s="80">
        <f t="shared" si="8"/>
        <v>0</v>
      </c>
      <c r="M127" s="17">
        <f>Datos!AX127</f>
        <v>0</v>
      </c>
    </row>
    <row r="128" spans="1:13">
      <c r="A128" s="97">
        <v>45053</v>
      </c>
      <c r="B128" s="16">
        <f>Datos!Y128</f>
        <v>1387848.2000000002</v>
      </c>
      <c r="C128" s="17">
        <f>Datos!AJ128+Datos!AK128</f>
        <v>0.7</v>
      </c>
      <c r="D128" s="80">
        <f t="shared" si="9"/>
        <v>184.92043665070389</v>
      </c>
      <c r="E128" s="17">
        <f>Datos!AN128</f>
        <v>8.7199999999999989</v>
      </c>
      <c r="F128" s="80">
        <f t="shared" si="5"/>
        <v>2303.5802965630537</v>
      </c>
      <c r="G128" s="17">
        <f t="shared" si="10"/>
        <v>9.4199999999999982</v>
      </c>
      <c r="H128" s="17">
        <f t="shared" si="11"/>
        <v>2488.5007332137575</v>
      </c>
      <c r="I128" s="17">
        <f>Datos!AR128</f>
        <v>0</v>
      </c>
      <c r="J128" s="17">
        <f>Datos!AS128</f>
        <v>0</v>
      </c>
      <c r="K128" s="17">
        <f>Datos!AU128</f>
        <v>0</v>
      </c>
      <c r="L128" s="80">
        <f t="shared" si="8"/>
        <v>0</v>
      </c>
      <c r="M128" s="17">
        <f>Datos!AX128</f>
        <v>0</v>
      </c>
    </row>
    <row r="129" spans="1:14">
      <c r="A129" s="97">
        <v>45054</v>
      </c>
      <c r="B129" s="16">
        <f>Datos!Y129</f>
        <v>1471212.4999999998</v>
      </c>
      <c r="C129" s="17">
        <f>Datos!AJ129+Datos!AK129</f>
        <v>32.9</v>
      </c>
      <c r="D129" s="80">
        <f t="shared" si="9"/>
        <v>8691.260522583083</v>
      </c>
      <c r="E129" s="17">
        <f>Datos!AN129</f>
        <v>5.8299999999999983</v>
      </c>
      <c r="F129" s="80">
        <f t="shared" si="5"/>
        <v>1540.1230652480049</v>
      </c>
      <c r="G129" s="17">
        <f t="shared" si="10"/>
        <v>38.729999999999997</v>
      </c>
      <c r="H129" s="17">
        <f t="shared" si="11"/>
        <v>10231.383587831087</v>
      </c>
      <c r="I129" s="17">
        <f>Datos!AR129</f>
        <v>0</v>
      </c>
      <c r="J129" s="17">
        <f>Datos!AS129</f>
        <v>0</v>
      </c>
      <c r="K129" s="17">
        <f>Datos!AU129</f>
        <v>0</v>
      </c>
      <c r="L129" s="80">
        <f t="shared" si="8"/>
        <v>0</v>
      </c>
      <c r="M129" s="17">
        <f>Datos!AX129</f>
        <v>0</v>
      </c>
    </row>
    <row r="130" spans="1:14">
      <c r="A130" s="97">
        <v>45055</v>
      </c>
      <c r="B130" s="16">
        <f>Datos!Y130</f>
        <v>1526128.9000000001</v>
      </c>
      <c r="C130" s="17">
        <f>Datos!AJ130+Datos!AK130</f>
        <v>45.6</v>
      </c>
      <c r="D130" s="80">
        <f t="shared" si="9"/>
        <v>12046.245587531568</v>
      </c>
      <c r="E130" s="17">
        <f>Datos!AN130</f>
        <v>6.4400000000000013</v>
      </c>
      <c r="F130" s="80">
        <f t="shared" ref="F130:F193" si="12">+CONVERT(E130,"m^3","gal")</f>
        <v>1701.2680171864761</v>
      </c>
      <c r="G130" s="17">
        <f t="shared" si="10"/>
        <v>52.040000000000006</v>
      </c>
      <c r="H130" s="17">
        <f t="shared" si="11"/>
        <v>13747.513604718044</v>
      </c>
      <c r="I130" s="17">
        <f>Datos!AR130</f>
        <v>0</v>
      </c>
      <c r="J130" s="17">
        <f>Datos!AS130</f>
        <v>11013</v>
      </c>
      <c r="K130" s="17">
        <f>Datos!AU130</f>
        <v>0</v>
      </c>
      <c r="L130" s="80">
        <f t="shared" ref="L130:L193" si="13">+CONVERT(K130,"m^3","gal")</f>
        <v>0</v>
      </c>
      <c r="M130" s="17">
        <f>Datos!AX130</f>
        <v>0</v>
      </c>
    </row>
    <row r="131" spans="1:14" ht="15">
      <c r="A131" s="97">
        <v>45056</v>
      </c>
      <c r="B131" s="16">
        <f>Datos!Y131</f>
        <v>1514204.1000000003</v>
      </c>
      <c r="C131" s="17">
        <f>Datos!AJ131+Datos!AK131</f>
        <v>25.97</v>
      </c>
      <c r="D131" s="80">
        <f t="shared" ref="D131:D194" si="14">+CONVERT(C131,"m^3","gal")</f>
        <v>6860.5481997411143</v>
      </c>
      <c r="E131" s="17">
        <f>Datos!AN131</f>
        <v>8.0900000000000016</v>
      </c>
      <c r="F131" s="80">
        <f t="shared" si="12"/>
        <v>2137.1519035774213</v>
      </c>
      <c r="G131" s="17">
        <f t="shared" si="10"/>
        <v>34.06</v>
      </c>
      <c r="H131" s="17">
        <f t="shared" si="11"/>
        <v>8997.7001033185352</v>
      </c>
      <c r="I131" s="17">
        <f>Datos!AR131</f>
        <v>10970</v>
      </c>
      <c r="J131" s="17">
        <f>Datos!AS131</f>
        <v>0</v>
      </c>
      <c r="K131" s="17">
        <f>Datos!AU131</f>
        <v>0</v>
      </c>
      <c r="L131" s="80">
        <f t="shared" si="13"/>
        <v>0</v>
      </c>
      <c r="M131" s="17">
        <f>Datos!AX131</f>
        <v>0</v>
      </c>
      <c r="N131" s="5"/>
    </row>
    <row r="132" spans="1:14">
      <c r="A132" s="97">
        <v>45057</v>
      </c>
      <c r="B132" s="16">
        <f>Datos!Y132</f>
        <v>1552609.2</v>
      </c>
      <c r="C132" s="17">
        <f>Datos!AJ132+Datos!AK132</f>
        <v>59.36</v>
      </c>
      <c r="D132" s="80">
        <f t="shared" si="14"/>
        <v>15681.25302797969</v>
      </c>
      <c r="E132" s="17">
        <f>Datos!AN132</f>
        <v>7.629999999999999</v>
      </c>
      <c r="F132" s="80">
        <f t="shared" si="12"/>
        <v>2015.6327594926722</v>
      </c>
      <c r="G132" s="17">
        <f t="shared" si="10"/>
        <v>66.989999999999995</v>
      </c>
      <c r="H132" s="17">
        <f t="shared" si="11"/>
        <v>17696.885787472362</v>
      </c>
      <c r="I132" s="17">
        <f>Datos!AR132</f>
        <v>21822</v>
      </c>
      <c r="J132" s="17">
        <f>Datos!AS132</f>
        <v>0</v>
      </c>
      <c r="K132" s="17">
        <f>Datos!AU132</f>
        <v>0</v>
      </c>
      <c r="L132" s="80">
        <f t="shared" si="13"/>
        <v>0</v>
      </c>
      <c r="M132" s="17">
        <f>Datos!AX132</f>
        <v>0</v>
      </c>
    </row>
    <row r="133" spans="1:14">
      <c r="A133" s="97">
        <v>45058</v>
      </c>
      <c r="B133" s="16">
        <f>Datos!Y133</f>
        <v>1575434.2000000004</v>
      </c>
      <c r="C133" s="17">
        <f>Datos!AJ133+Datos!AK133</f>
        <v>45.1</v>
      </c>
      <c r="D133" s="80">
        <f t="shared" si="14"/>
        <v>11914.159561352493</v>
      </c>
      <c r="E133" s="17">
        <f>Datos!AN133</f>
        <v>7.5500000000000007</v>
      </c>
      <c r="F133" s="80">
        <f t="shared" si="12"/>
        <v>1994.4989953040208</v>
      </c>
      <c r="G133" s="17">
        <f t="shared" si="10"/>
        <v>52.650000000000006</v>
      </c>
      <c r="H133" s="17">
        <f t="shared" si="11"/>
        <v>13908.658556656514</v>
      </c>
      <c r="I133" s="17">
        <f>Datos!AR133</f>
        <v>11018</v>
      </c>
      <c r="J133" s="17">
        <f>Datos!AS133</f>
        <v>10827</v>
      </c>
      <c r="K133" s="17">
        <f>Datos!AU133</f>
        <v>0</v>
      </c>
      <c r="L133" s="80">
        <f t="shared" si="13"/>
        <v>0</v>
      </c>
      <c r="M133" s="17">
        <f>Datos!AX133</f>
        <v>0</v>
      </c>
    </row>
    <row r="134" spans="1:14">
      <c r="A134" s="97">
        <v>45059</v>
      </c>
      <c r="B134" s="16">
        <f>Datos!Y134</f>
        <v>1381993.6999999997</v>
      </c>
      <c r="C134" s="17">
        <f>Datos!AJ134+Datos!AK134</f>
        <v>38.6</v>
      </c>
      <c r="D134" s="80">
        <f t="shared" si="14"/>
        <v>10197.041221024529</v>
      </c>
      <c r="E134" s="17">
        <f>Datos!AN134</f>
        <v>7.5799999999999992</v>
      </c>
      <c r="F134" s="80">
        <f t="shared" si="12"/>
        <v>2002.4241568747648</v>
      </c>
      <c r="G134" s="17">
        <f t="shared" si="10"/>
        <v>46.18</v>
      </c>
      <c r="H134" s="17">
        <f t="shared" si="11"/>
        <v>12199.465377899294</v>
      </c>
      <c r="I134" s="17">
        <f>Datos!AR134</f>
        <v>0</v>
      </c>
      <c r="J134" s="17">
        <f>Datos!AS134</f>
        <v>0</v>
      </c>
      <c r="K134" s="17">
        <f>Datos!AU134</f>
        <v>0</v>
      </c>
      <c r="L134" s="80">
        <f t="shared" si="13"/>
        <v>0</v>
      </c>
      <c r="M134" s="17">
        <f>Datos!AX134</f>
        <v>0</v>
      </c>
    </row>
    <row r="135" spans="1:14">
      <c r="A135" s="97">
        <v>45060</v>
      </c>
      <c r="B135" s="16">
        <f>Datos!Y135</f>
        <v>1383644.3999999997</v>
      </c>
      <c r="C135" s="17">
        <f>Datos!AJ135+Datos!AK135</f>
        <v>34.5</v>
      </c>
      <c r="D135" s="80">
        <f t="shared" si="14"/>
        <v>9113.9358063561212</v>
      </c>
      <c r="E135" s="17">
        <f>Datos!AN135</f>
        <v>8.15</v>
      </c>
      <c r="F135" s="80">
        <f t="shared" si="12"/>
        <v>2153.0022267189097</v>
      </c>
      <c r="G135" s="17">
        <f t="shared" si="10"/>
        <v>42.65</v>
      </c>
      <c r="H135" s="17">
        <f t="shared" si="11"/>
        <v>11266.938033075032</v>
      </c>
      <c r="I135" s="17">
        <f>Datos!AR135</f>
        <v>0</v>
      </c>
      <c r="J135" s="17">
        <f>Datos!AS135</f>
        <v>0</v>
      </c>
      <c r="K135" s="17">
        <f>Datos!AU135</f>
        <v>0</v>
      </c>
      <c r="L135" s="80">
        <f t="shared" si="13"/>
        <v>0</v>
      </c>
      <c r="M135" s="17">
        <f>Datos!AX135</f>
        <v>0</v>
      </c>
    </row>
    <row r="136" spans="1:14">
      <c r="A136" s="97">
        <v>45061</v>
      </c>
      <c r="B136" s="16">
        <f>Datos!Y136</f>
        <v>1419389.8</v>
      </c>
      <c r="C136" s="17">
        <f>Datos!AJ136+Datos!AK136</f>
        <v>36.6</v>
      </c>
      <c r="D136" s="80">
        <f t="shared" si="14"/>
        <v>9668.6971163082326</v>
      </c>
      <c r="E136" s="17">
        <f>Datos!AN136</f>
        <v>9.5500000000000007</v>
      </c>
      <c r="F136" s="80">
        <f t="shared" si="12"/>
        <v>2522.8431000203173</v>
      </c>
      <c r="G136" s="17">
        <f t="shared" si="10"/>
        <v>46.150000000000006</v>
      </c>
      <c r="H136" s="17">
        <f t="shared" si="11"/>
        <v>12191.540216328551</v>
      </c>
      <c r="I136" s="17">
        <f>Datos!AR136</f>
        <v>22017</v>
      </c>
      <c r="J136" s="17">
        <f>Datos!AS136</f>
        <v>0</v>
      </c>
      <c r="K136" s="17">
        <f>Datos!AU136</f>
        <v>0</v>
      </c>
      <c r="L136" s="80">
        <f t="shared" si="13"/>
        <v>0</v>
      </c>
      <c r="M136" s="17">
        <f>Datos!AX136</f>
        <v>0</v>
      </c>
    </row>
    <row r="137" spans="1:14">
      <c r="A137" s="97">
        <v>45062</v>
      </c>
      <c r="B137" s="16">
        <f>Datos!Y137</f>
        <v>1544505.3999999997</v>
      </c>
      <c r="C137" s="17">
        <f>Datos!AJ137+Datos!AK137</f>
        <v>37</v>
      </c>
      <c r="D137" s="80">
        <f t="shared" si="14"/>
        <v>9774.3659372514921</v>
      </c>
      <c r="E137" s="17">
        <f>Datos!AN137</f>
        <v>9.5399999999999991</v>
      </c>
      <c r="F137" s="80">
        <f t="shared" si="12"/>
        <v>2520.2013794967361</v>
      </c>
      <c r="G137" s="17">
        <f t="shared" si="10"/>
        <v>46.54</v>
      </c>
      <c r="H137" s="17">
        <f t="shared" si="11"/>
        <v>12294.567316748227</v>
      </c>
      <c r="I137" s="17">
        <f>Datos!AR137</f>
        <v>22034</v>
      </c>
      <c r="J137" s="17">
        <f>Datos!AS137</f>
        <v>0</v>
      </c>
      <c r="K137" s="17">
        <f>Datos!AU137</f>
        <v>0</v>
      </c>
      <c r="L137" s="80">
        <f t="shared" si="13"/>
        <v>0</v>
      </c>
      <c r="M137" s="17">
        <f>Datos!AX137</f>
        <v>0</v>
      </c>
    </row>
    <row r="138" spans="1:14">
      <c r="A138" s="97">
        <v>45063</v>
      </c>
      <c r="B138" s="16">
        <f>Datos!Y138</f>
        <v>1526614.7000000002</v>
      </c>
      <c r="C138" s="17">
        <f>Datos!AJ138+Datos!AK138</f>
        <v>40.199999999999996</v>
      </c>
      <c r="D138" s="80">
        <f t="shared" si="14"/>
        <v>10619.716504797565</v>
      </c>
      <c r="E138" s="17">
        <f>Datos!AN138</f>
        <v>9.16</v>
      </c>
      <c r="F138" s="80">
        <f t="shared" si="12"/>
        <v>2419.8159996006398</v>
      </c>
      <c r="G138" s="17">
        <f t="shared" si="10"/>
        <v>49.36</v>
      </c>
      <c r="H138" s="17">
        <f t="shared" si="11"/>
        <v>13039.532504398205</v>
      </c>
      <c r="I138" s="17">
        <f>Datos!AR138</f>
        <v>22079</v>
      </c>
      <c r="J138" s="17">
        <f>Datos!AS138</f>
        <v>0</v>
      </c>
      <c r="K138" s="17">
        <f>Datos!AU138</f>
        <v>0</v>
      </c>
      <c r="L138" s="80">
        <f t="shared" si="13"/>
        <v>0</v>
      </c>
      <c r="M138" s="17">
        <f>Datos!AX138</f>
        <v>0</v>
      </c>
    </row>
    <row r="139" spans="1:14">
      <c r="A139" s="97">
        <v>45064</v>
      </c>
      <c r="B139" s="16">
        <f>Datos!Y139</f>
        <v>1398806.7999999998</v>
      </c>
      <c r="C139" s="17">
        <f>Datos!AJ139+Datos!AK139</f>
        <v>29.599999999999998</v>
      </c>
      <c r="D139" s="80">
        <f t="shared" si="14"/>
        <v>7819.4927498011921</v>
      </c>
      <c r="E139" s="17">
        <f>Datos!AN139</f>
        <v>9.16</v>
      </c>
      <c r="F139" s="80">
        <f t="shared" si="12"/>
        <v>2419.8159996006398</v>
      </c>
      <c r="G139" s="17">
        <f t="shared" si="10"/>
        <v>38.76</v>
      </c>
      <c r="H139" s="17">
        <f t="shared" si="11"/>
        <v>10239.308749401833</v>
      </c>
      <c r="I139" s="17">
        <f>Datos!AR139</f>
        <v>11046</v>
      </c>
      <c r="J139" s="17">
        <f>Datos!AS139</f>
        <v>11008</v>
      </c>
      <c r="K139" s="17">
        <f>Datos!AU139</f>
        <v>0</v>
      </c>
      <c r="L139" s="80">
        <f t="shared" si="13"/>
        <v>0</v>
      </c>
      <c r="M139" s="17">
        <f>Datos!AX139</f>
        <v>0</v>
      </c>
    </row>
    <row r="140" spans="1:14">
      <c r="A140" s="97">
        <v>45065</v>
      </c>
      <c r="B140" s="16">
        <f>Datos!Y140</f>
        <v>1344114.7999999998</v>
      </c>
      <c r="C140" s="17">
        <f>Datos!AJ140+Datos!AK140</f>
        <v>35.56</v>
      </c>
      <c r="D140" s="80">
        <f t="shared" si="14"/>
        <v>9393.9581818557581</v>
      </c>
      <c r="E140" s="17">
        <f>Datos!AN140</f>
        <v>6.6399999999999988</v>
      </c>
      <c r="F140" s="80">
        <f t="shared" si="12"/>
        <v>1754.1024276581054</v>
      </c>
      <c r="G140" s="17">
        <f t="shared" si="10"/>
        <v>42.2</v>
      </c>
      <c r="H140" s="17">
        <f t="shared" si="11"/>
        <v>11148.060609513863</v>
      </c>
      <c r="I140" s="17">
        <f>Datos!AR140</f>
        <v>22023</v>
      </c>
      <c r="J140" s="17">
        <f>Datos!AS140</f>
        <v>0</v>
      </c>
      <c r="K140" s="17">
        <f>Datos!AU140</f>
        <v>0</v>
      </c>
      <c r="L140" s="80">
        <f t="shared" si="13"/>
        <v>0</v>
      </c>
      <c r="M140" s="17">
        <f>Datos!AX140</f>
        <v>0</v>
      </c>
    </row>
    <row r="141" spans="1:14">
      <c r="A141" s="97">
        <v>45066</v>
      </c>
      <c r="B141" s="16">
        <f>Datos!Y141</f>
        <v>1425921.1</v>
      </c>
      <c r="C141" s="17">
        <f>Datos!AJ141+Datos!AK141</f>
        <v>31.2</v>
      </c>
      <c r="D141" s="80">
        <f t="shared" si="14"/>
        <v>8242.1680335742312</v>
      </c>
      <c r="E141" s="17">
        <f>Datos!AN141</f>
        <v>6.2899999999999983</v>
      </c>
      <c r="F141" s="80">
        <f t="shared" si="12"/>
        <v>1661.6422093327531</v>
      </c>
      <c r="G141" s="17">
        <f t="shared" si="10"/>
        <v>37.489999999999995</v>
      </c>
      <c r="H141" s="17">
        <f t="shared" si="11"/>
        <v>9903.8102429069841</v>
      </c>
      <c r="I141" s="17">
        <f>Datos!AR141</f>
        <v>11015</v>
      </c>
      <c r="J141" s="17">
        <f>Datos!AS141</f>
        <v>0</v>
      </c>
      <c r="K141" s="17">
        <f>Datos!AU141</f>
        <v>0</v>
      </c>
      <c r="L141" s="80">
        <f t="shared" si="13"/>
        <v>0</v>
      </c>
      <c r="M141" s="17">
        <f>Datos!AX141</f>
        <v>0</v>
      </c>
    </row>
    <row r="142" spans="1:14">
      <c r="A142" s="97">
        <v>45067</v>
      </c>
      <c r="B142" s="16">
        <f>Datos!Y142</f>
        <v>1356245.0999999999</v>
      </c>
      <c r="C142" s="17">
        <f>Datos!AJ142+Datos!AK142</f>
        <v>27.84</v>
      </c>
      <c r="D142" s="80">
        <f t="shared" si="14"/>
        <v>7354.5499376508524</v>
      </c>
      <c r="E142" s="17">
        <f>Datos!AN142</f>
        <v>6.8999999999999986</v>
      </c>
      <c r="F142" s="80">
        <f t="shared" si="12"/>
        <v>1822.7871612712236</v>
      </c>
      <c r="G142" s="17">
        <f t="shared" si="10"/>
        <v>34.739999999999995</v>
      </c>
      <c r="H142" s="17">
        <f t="shared" si="11"/>
        <v>9177.3370989220766</v>
      </c>
      <c r="I142" s="17">
        <f>Datos!AR142</f>
        <v>0</v>
      </c>
      <c r="J142" s="17">
        <f>Datos!AS142</f>
        <v>0</v>
      </c>
      <c r="K142" s="17">
        <f>Datos!AU142</f>
        <v>0</v>
      </c>
      <c r="L142" s="80">
        <f t="shared" si="13"/>
        <v>0</v>
      </c>
      <c r="M142" s="17">
        <f>Datos!AX142</f>
        <v>0</v>
      </c>
    </row>
    <row r="143" spans="1:14">
      <c r="A143" s="97">
        <v>45068</v>
      </c>
      <c r="B143" s="16">
        <f>Datos!Y143</f>
        <v>1357519.8</v>
      </c>
      <c r="C143" s="17">
        <f>Datos!AJ143+Datos!AK143</f>
        <v>33.199999999999996</v>
      </c>
      <c r="D143" s="80">
        <f t="shared" si="14"/>
        <v>8770.5121382905254</v>
      </c>
      <c r="E143" s="17">
        <f>Datos!AN143</f>
        <v>6.2300000000000013</v>
      </c>
      <c r="F143" s="80">
        <f t="shared" si="12"/>
        <v>1645.7918861912649</v>
      </c>
      <c r="G143" s="17">
        <f t="shared" si="10"/>
        <v>39.43</v>
      </c>
      <c r="H143" s="17">
        <f t="shared" si="11"/>
        <v>10416.304024481789</v>
      </c>
      <c r="I143" s="17">
        <f>Datos!AR143</f>
        <v>0</v>
      </c>
      <c r="J143" s="17">
        <f>Datos!AS143</f>
        <v>0</v>
      </c>
      <c r="K143" s="17">
        <f>Datos!AU143</f>
        <v>0</v>
      </c>
      <c r="L143" s="80">
        <f t="shared" si="13"/>
        <v>0</v>
      </c>
      <c r="M143" s="17">
        <f>Datos!AX143</f>
        <v>0</v>
      </c>
    </row>
    <row r="144" spans="1:14">
      <c r="A144" s="97">
        <v>45069</v>
      </c>
      <c r="B144" s="16">
        <f>Datos!Y144</f>
        <v>1401728</v>
      </c>
      <c r="C144" s="17">
        <f>Datos!AJ144+Datos!AK144</f>
        <v>80</v>
      </c>
      <c r="D144" s="80">
        <f t="shared" si="14"/>
        <v>21133.764188651872</v>
      </c>
      <c r="E144" s="17">
        <f>Datos!AN144</f>
        <v>6.3699999999999983</v>
      </c>
      <c r="F144" s="80">
        <f t="shared" si="12"/>
        <v>1682.7759735214049</v>
      </c>
      <c r="G144" s="17">
        <f t="shared" si="10"/>
        <v>86.37</v>
      </c>
      <c r="H144" s="17">
        <f t="shared" si="11"/>
        <v>22816.540162173278</v>
      </c>
      <c r="I144" s="17">
        <f>Datos!AR144</f>
        <v>10993</v>
      </c>
      <c r="J144" s="17">
        <f>Datos!AS144</f>
        <v>11012</v>
      </c>
      <c r="K144" s="17">
        <f>Datos!AU144</f>
        <v>0</v>
      </c>
      <c r="L144" s="80">
        <f t="shared" si="13"/>
        <v>0</v>
      </c>
      <c r="M144" s="17">
        <f>Datos!AX144</f>
        <v>0</v>
      </c>
    </row>
    <row r="145" spans="1:13">
      <c r="A145" s="97">
        <v>45070</v>
      </c>
      <c r="B145" s="16">
        <f>Datos!Y145</f>
        <v>1394021.9000000001</v>
      </c>
      <c r="C145" s="17">
        <f>Datos!AJ145+Datos!AK145</f>
        <v>44.4</v>
      </c>
      <c r="D145" s="80">
        <f t="shared" si="14"/>
        <v>11729.239124701789</v>
      </c>
      <c r="E145" s="17">
        <f>Datos!AN145</f>
        <v>6.4499999999999975</v>
      </c>
      <c r="F145" s="80">
        <f t="shared" si="12"/>
        <v>1703.9097377100566</v>
      </c>
      <c r="G145" s="17">
        <f t="shared" si="10"/>
        <v>50.849999999999994</v>
      </c>
      <c r="H145" s="17">
        <f t="shared" si="11"/>
        <v>13433.148862411846</v>
      </c>
      <c r="I145" s="17">
        <f>Datos!AR145</f>
        <v>21987</v>
      </c>
      <c r="J145" s="17">
        <f>Datos!AS145</f>
        <v>0</v>
      </c>
      <c r="K145" s="17">
        <f>Datos!AU145</f>
        <v>0</v>
      </c>
      <c r="L145" s="80">
        <f t="shared" si="13"/>
        <v>0</v>
      </c>
      <c r="M145" s="17">
        <f>Datos!AX145</f>
        <v>0</v>
      </c>
    </row>
    <row r="146" spans="1:13">
      <c r="A146" s="97">
        <v>45071</v>
      </c>
      <c r="B146" s="16">
        <f>Datos!Y146</f>
        <v>1386594.4999999998</v>
      </c>
      <c r="C146" s="17">
        <f>Datos!AJ146+Datos!AK146</f>
        <v>30.9</v>
      </c>
      <c r="D146" s="80">
        <f t="shared" si="14"/>
        <v>8162.9164178667861</v>
      </c>
      <c r="E146" s="17">
        <f>Datos!AN146</f>
        <v>6.45</v>
      </c>
      <c r="F146" s="80">
        <f t="shared" si="12"/>
        <v>1703.9097377100572</v>
      </c>
      <c r="G146" s="17">
        <f t="shared" si="10"/>
        <v>37.35</v>
      </c>
      <c r="H146" s="17">
        <f t="shared" si="11"/>
        <v>9866.826155576844</v>
      </c>
      <c r="I146" s="17">
        <f>Datos!AR146</f>
        <v>22021</v>
      </c>
      <c r="J146" s="17">
        <f>Datos!AS146</f>
        <v>0</v>
      </c>
      <c r="K146" s="17">
        <f>Datos!AU146</f>
        <v>0</v>
      </c>
      <c r="L146" s="80">
        <f t="shared" si="13"/>
        <v>0</v>
      </c>
      <c r="M146" s="17">
        <f>Datos!AX146</f>
        <v>0</v>
      </c>
    </row>
    <row r="147" spans="1:13">
      <c r="A147" s="97">
        <v>45072</v>
      </c>
      <c r="B147" s="16">
        <f>Datos!Y147</f>
        <v>1333220.7000000002</v>
      </c>
      <c r="C147" s="17">
        <f>Datos!AJ147+Datos!AK147</f>
        <v>33</v>
      </c>
      <c r="D147" s="80">
        <f t="shared" si="14"/>
        <v>8717.6777278188983</v>
      </c>
      <c r="E147" s="17">
        <f>Datos!AN147</f>
        <v>7.1300000000000008</v>
      </c>
      <c r="F147" s="80">
        <f t="shared" si="12"/>
        <v>1883.5467333135985</v>
      </c>
      <c r="G147" s="17">
        <f t="shared" si="10"/>
        <v>40.130000000000003</v>
      </c>
      <c r="H147" s="17">
        <f t="shared" si="11"/>
        <v>10601.224461132497</v>
      </c>
      <c r="I147" s="17">
        <f>Datos!AR147</f>
        <v>22017</v>
      </c>
      <c r="J147" s="17">
        <f>Datos!AS147</f>
        <v>0</v>
      </c>
      <c r="K147" s="17">
        <f>Datos!AU147</f>
        <v>0</v>
      </c>
      <c r="L147" s="80">
        <f t="shared" si="13"/>
        <v>0</v>
      </c>
      <c r="M147" s="17">
        <f>Datos!AX147</f>
        <v>0</v>
      </c>
    </row>
    <row r="148" spans="1:13">
      <c r="A148" s="97">
        <v>45073</v>
      </c>
      <c r="B148" s="16">
        <f>Datos!Y148</f>
        <v>1328315.9000000001</v>
      </c>
      <c r="C148" s="17">
        <f>Datos!AJ148+Datos!AK148</f>
        <v>21</v>
      </c>
      <c r="D148" s="80">
        <f t="shared" si="14"/>
        <v>5547.613099521117</v>
      </c>
      <c r="E148" s="17">
        <f>Datos!AN148</f>
        <v>6.089999999999999</v>
      </c>
      <c r="F148" s="80">
        <f t="shared" si="12"/>
        <v>1608.8077988611237</v>
      </c>
      <c r="G148" s="17">
        <f t="shared" si="10"/>
        <v>27.09</v>
      </c>
      <c r="H148" s="17">
        <f t="shared" si="11"/>
        <v>7156.4208983822409</v>
      </c>
      <c r="I148" s="17">
        <f>Datos!AR148</f>
        <v>0</v>
      </c>
      <c r="J148" s="17">
        <f>Datos!AS148</f>
        <v>0</v>
      </c>
      <c r="K148" s="17">
        <f>Datos!AU148</f>
        <v>0</v>
      </c>
      <c r="L148" s="80">
        <f t="shared" si="13"/>
        <v>0</v>
      </c>
      <c r="M148" s="17">
        <f>Datos!AX148</f>
        <v>0</v>
      </c>
    </row>
    <row r="149" spans="1:13">
      <c r="A149" s="97">
        <v>45074</v>
      </c>
      <c r="B149" s="16">
        <f>Datos!Y149</f>
        <v>1317126.3999999999</v>
      </c>
      <c r="C149" s="17">
        <f>Datos!AJ149+Datos!AK149</f>
        <v>1.3</v>
      </c>
      <c r="D149" s="80">
        <f t="shared" si="14"/>
        <v>343.42366806559295</v>
      </c>
      <c r="E149" s="17">
        <f>Datos!AN149</f>
        <v>6.9300000000000015</v>
      </c>
      <c r="F149" s="80">
        <f t="shared" si="12"/>
        <v>1830.7123228419691</v>
      </c>
      <c r="G149" s="17">
        <f t="shared" si="10"/>
        <v>8.2300000000000022</v>
      </c>
      <c r="H149" s="17">
        <f t="shared" si="11"/>
        <v>2174.1359909075622</v>
      </c>
      <c r="I149" s="17">
        <f>Datos!AR149</f>
        <v>0</v>
      </c>
      <c r="J149" s="17">
        <f>Datos!AS149</f>
        <v>0</v>
      </c>
      <c r="K149" s="17">
        <f>Datos!AU149</f>
        <v>0</v>
      </c>
      <c r="L149" s="80">
        <f t="shared" si="13"/>
        <v>0</v>
      </c>
      <c r="M149" s="17">
        <f>Datos!AX149</f>
        <v>0</v>
      </c>
    </row>
    <row r="150" spans="1:13">
      <c r="A150" s="97">
        <v>45075</v>
      </c>
      <c r="B150" s="16">
        <f>Datos!Y150</f>
        <v>1339303</v>
      </c>
      <c r="C150" s="17">
        <f>Datos!AJ150+Datos!AK150</f>
        <v>1.4</v>
      </c>
      <c r="D150" s="80">
        <f t="shared" si="14"/>
        <v>369.84087330140778</v>
      </c>
      <c r="E150" s="17">
        <f>Datos!AN150</f>
        <v>7.950000000000002</v>
      </c>
      <c r="F150" s="80">
        <f t="shared" si="12"/>
        <v>2100.1678162472804</v>
      </c>
      <c r="G150" s="17">
        <f t="shared" si="10"/>
        <v>9.3500000000000014</v>
      </c>
      <c r="H150" s="17">
        <f t="shared" si="11"/>
        <v>2470.0086895486884</v>
      </c>
      <c r="I150" s="17">
        <f>Datos!AR150</f>
        <v>11025</v>
      </c>
      <c r="J150" s="17">
        <f>Datos!AS150</f>
        <v>11025</v>
      </c>
      <c r="K150" s="17">
        <f>Datos!AU150</f>
        <v>0</v>
      </c>
      <c r="L150" s="80">
        <f t="shared" si="13"/>
        <v>0</v>
      </c>
      <c r="M150" s="17">
        <f>Datos!AX150</f>
        <v>0</v>
      </c>
    </row>
    <row r="151" spans="1:13">
      <c r="A151" s="97">
        <v>45076</v>
      </c>
      <c r="B151" s="16">
        <f>Datos!Y151</f>
        <v>1335746.7999999998</v>
      </c>
      <c r="C151" s="17">
        <f>Datos!AJ151+Datos!AK151</f>
        <v>0</v>
      </c>
      <c r="D151" s="80">
        <f t="shared" si="14"/>
        <v>0</v>
      </c>
      <c r="E151" s="17">
        <f>Datos!AN151</f>
        <v>6.900000000000003</v>
      </c>
      <c r="F151" s="80">
        <f t="shared" si="12"/>
        <v>1822.7871612712249</v>
      </c>
      <c r="G151" s="17">
        <f t="shared" si="10"/>
        <v>6.900000000000003</v>
      </c>
      <c r="H151" s="17">
        <f t="shared" si="11"/>
        <v>1822.7871612712249</v>
      </c>
      <c r="I151" s="17">
        <f>Datos!AR151</f>
        <v>0</v>
      </c>
      <c r="J151" s="17">
        <f>Datos!AS151</f>
        <v>0</v>
      </c>
      <c r="K151" s="17">
        <f>Datos!AU151</f>
        <v>0</v>
      </c>
      <c r="L151" s="80">
        <f t="shared" si="13"/>
        <v>0</v>
      </c>
      <c r="M151" s="17">
        <f>Datos!AX151</f>
        <v>0</v>
      </c>
    </row>
    <row r="152" spans="1:13">
      <c r="A152" s="97">
        <v>45077</v>
      </c>
      <c r="B152" s="16">
        <f>Datos!Y152</f>
        <v>1322861.7</v>
      </c>
      <c r="C152" s="17">
        <f>Datos!AJ152+Datos!AK152</f>
        <v>1.6</v>
      </c>
      <c r="D152" s="80">
        <f t="shared" si="14"/>
        <v>422.67528377303745</v>
      </c>
      <c r="E152" s="17">
        <f>Datos!AN152</f>
        <v>7.17</v>
      </c>
      <c r="F152" s="80">
        <f t="shared" si="12"/>
        <v>1894.1136154079243</v>
      </c>
      <c r="G152" s="17">
        <f t="shared" si="10"/>
        <v>8.77</v>
      </c>
      <c r="H152" s="17">
        <f t="shared" si="11"/>
        <v>2316.7888991809618</v>
      </c>
      <c r="I152" s="17">
        <f>Datos!AR152</f>
        <v>0</v>
      </c>
      <c r="J152" s="17">
        <f>Datos!AS152</f>
        <v>0</v>
      </c>
      <c r="K152" s="17">
        <f>Datos!AU152</f>
        <v>0</v>
      </c>
      <c r="L152" s="80">
        <f t="shared" si="13"/>
        <v>0</v>
      </c>
      <c r="M152" s="17">
        <f>Datos!AX152</f>
        <v>0</v>
      </c>
    </row>
    <row r="153" spans="1:13">
      <c r="A153" s="97">
        <v>45078</v>
      </c>
      <c r="B153" s="16">
        <f>Datos!Y153</f>
        <v>1341016.7999999998</v>
      </c>
      <c r="C153" s="17">
        <f>Datos!AJ153+Datos!AK153</f>
        <v>4.8000000000000007</v>
      </c>
      <c r="D153" s="80">
        <f t="shared" si="14"/>
        <v>1268.0258513191127</v>
      </c>
      <c r="E153" s="17">
        <f>Datos!AN153</f>
        <v>6.3100000000000005</v>
      </c>
      <c r="F153" s="80">
        <f t="shared" si="12"/>
        <v>1666.9256503799168</v>
      </c>
      <c r="G153" s="17">
        <f t="shared" si="10"/>
        <v>11.110000000000001</v>
      </c>
      <c r="H153" s="17">
        <f t="shared" si="11"/>
        <v>2934.9515016990294</v>
      </c>
      <c r="I153" s="17">
        <f>Datos!AR153</f>
        <v>0</v>
      </c>
      <c r="J153" s="17">
        <f>Datos!AS153</f>
        <v>0</v>
      </c>
      <c r="K153" s="17">
        <f>Datos!AU153</f>
        <v>0</v>
      </c>
      <c r="L153" s="80">
        <f t="shared" si="13"/>
        <v>0</v>
      </c>
      <c r="M153" s="17">
        <f>Datos!AX153</f>
        <v>0</v>
      </c>
    </row>
    <row r="154" spans="1:13">
      <c r="A154" s="97">
        <v>45079</v>
      </c>
      <c r="B154" s="16">
        <f>Datos!Y154</f>
        <v>1325864.5</v>
      </c>
      <c r="C154" s="17">
        <f>Datos!AJ154+Datos!AK154</f>
        <v>1.4</v>
      </c>
      <c r="D154" s="80">
        <f t="shared" si="14"/>
        <v>369.84087330140778</v>
      </c>
      <c r="E154" s="17">
        <f>Datos!AN154</f>
        <v>7.15</v>
      </c>
      <c r="F154" s="80">
        <f t="shared" si="12"/>
        <v>1888.8301743607612</v>
      </c>
      <c r="G154" s="17">
        <f t="shared" si="10"/>
        <v>8.5500000000000007</v>
      </c>
      <c r="H154" s="17">
        <f t="shared" si="11"/>
        <v>2258.6710476621693</v>
      </c>
      <c r="I154" s="17">
        <f>Datos!AR154</f>
        <v>0</v>
      </c>
      <c r="J154" s="17">
        <f>Datos!AS154</f>
        <v>0</v>
      </c>
      <c r="K154" s="17">
        <f>Datos!AU154</f>
        <v>0</v>
      </c>
      <c r="L154" s="80">
        <f t="shared" si="13"/>
        <v>0</v>
      </c>
      <c r="M154" s="17">
        <f>Datos!AX154</f>
        <v>0</v>
      </c>
    </row>
    <row r="155" spans="1:13">
      <c r="A155" s="97">
        <v>45080</v>
      </c>
      <c r="B155" s="16">
        <f>Datos!Y155</f>
        <v>1417148.1999999997</v>
      </c>
      <c r="C155" s="17">
        <f>Datos!AJ155+Datos!AK155</f>
        <v>1</v>
      </c>
      <c r="D155" s="80">
        <f t="shared" si="14"/>
        <v>264.17205235814845</v>
      </c>
      <c r="E155" s="17">
        <f>Datos!AN155</f>
        <v>6.5299999999999985</v>
      </c>
      <c r="F155" s="80">
        <f t="shared" si="12"/>
        <v>1725.0435018987087</v>
      </c>
      <c r="G155" s="17">
        <f t="shared" si="10"/>
        <v>7.5299999999999985</v>
      </c>
      <c r="H155" s="17">
        <f t="shared" si="11"/>
        <v>1989.2155542568571</v>
      </c>
      <c r="I155" s="17">
        <f>Datos!AR155</f>
        <v>0</v>
      </c>
      <c r="J155" s="17">
        <f>Datos!AS155</f>
        <v>0</v>
      </c>
      <c r="K155" s="17">
        <f>Datos!AU155</f>
        <v>0</v>
      </c>
      <c r="L155" s="80">
        <f t="shared" si="13"/>
        <v>0</v>
      </c>
      <c r="M155" s="17">
        <f>Datos!AX155</f>
        <v>0</v>
      </c>
    </row>
    <row r="156" spans="1:13">
      <c r="A156" s="97">
        <v>45081</v>
      </c>
      <c r="B156" s="16">
        <f>Datos!Y156</f>
        <v>1330161.9000000001</v>
      </c>
      <c r="C156" s="17">
        <f>Datos!AJ156+Datos!AK156</f>
        <v>0.4</v>
      </c>
      <c r="D156" s="80">
        <f t="shared" si="14"/>
        <v>105.66882094325936</v>
      </c>
      <c r="E156" s="17">
        <f>Datos!AN156</f>
        <v>7.6399999999999988</v>
      </c>
      <c r="F156" s="80">
        <f t="shared" si="12"/>
        <v>2018.2744800162536</v>
      </c>
      <c r="G156" s="17">
        <f t="shared" si="10"/>
        <v>8.0399999999999991</v>
      </c>
      <c r="H156" s="17">
        <f t="shared" si="11"/>
        <v>2123.9433009595132</v>
      </c>
      <c r="I156" s="17">
        <f>Datos!AR156</f>
        <v>0</v>
      </c>
      <c r="J156" s="17">
        <f>Datos!AS156</f>
        <v>0</v>
      </c>
      <c r="K156" s="17">
        <f>Datos!AU156</f>
        <v>0</v>
      </c>
      <c r="L156" s="80">
        <f t="shared" si="13"/>
        <v>0</v>
      </c>
      <c r="M156" s="17">
        <f>Datos!AX156</f>
        <v>0</v>
      </c>
    </row>
    <row r="157" spans="1:13">
      <c r="A157" s="97">
        <v>45082</v>
      </c>
      <c r="B157" s="16">
        <f>Datos!Y157</f>
        <v>1338096.5999999999</v>
      </c>
      <c r="C157" s="17">
        <f>Datos!AJ157+Datos!AK157</f>
        <v>1.6</v>
      </c>
      <c r="D157" s="80">
        <f t="shared" si="14"/>
        <v>422.67528377303745</v>
      </c>
      <c r="E157" s="17">
        <f>Datos!AN157</f>
        <v>6.6599999999999993</v>
      </c>
      <c r="F157" s="80">
        <f t="shared" si="12"/>
        <v>1759.3858687052682</v>
      </c>
      <c r="G157" s="17">
        <f t="shared" si="10"/>
        <v>8.26</v>
      </c>
      <c r="H157" s="17">
        <f t="shared" si="11"/>
        <v>2182.0611524783058</v>
      </c>
      <c r="I157" s="17">
        <f>Datos!AR157</f>
        <v>0</v>
      </c>
      <c r="J157" s="17">
        <f>Datos!AS157</f>
        <v>11050</v>
      </c>
      <c r="K157" s="17">
        <f>Datos!AU157</f>
        <v>0</v>
      </c>
      <c r="L157" s="80">
        <f t="shared" si="13"/>
        <v>0</v>
      </c>
      <c r="M157" s="17">
        <f>Datos!AX157</f>
        <v>0</v>
      </c>
    </row>
    <row r="158" spans="1:13">
      <c r="A158" s="97">
        <v>45083</v>
      </c>
      <c r="B158" s="16">
        <f>Datos!Y158</f>
        <v>1321501.8</v>
      </c>
      <c r="C158" s="17">
        <f>Datos!AJ158+Datos!AK158</f>
        <v>4.5</v>
      </c>
      <c r="D158" s="80">
        <f t="shared" si="14"/>
        <v>1188.7742356116678</v>
      </c>
      <c r="E158" s="17">
        <f>Datos!AN158</f>
        <v>6.7800000000000011</v>
      </c>
      <c r="F158" s="80">
        <f t="shared" si="12"/>
        <v>1791.0865149882466</v>
      </c>
      <c r="G158" s="17">
        <f t="shared" ref="G158:G183" si="15">C158+E158</f>
        <v>11.280000000000001</v>
      </c>
      <c r="H158" s="17">
        <f t="shared" ref="H158:H183" si="16">D158+F158</f>
        <v>2979.8607505999144</v>
      </c>
      <c r="I158" s="17">
        <f>Datos!AR158</f>
        <v>0</v>
      </c>
      <c r="J158" s="17">
        <f>Datos!AS158</f>
        <v>0</v>
      </c>
      <c r="K158" s="17">
        <f>Datos!AU158</f>
        <v>0</v>
      </c>
      <c r="L158" s="80">
        <f t="shared" si="13"/>
        <v>0</v>
      </c>
      <c r="M158" s="17">
        <f>Datos!AX158</f>
        <v>0</v>
      </c>
    </row>
    <row r="159" spans="1:13">
      <c r="A159" s="97">
        <v>45084</v>
      </c>
      <c r="B159" s="16">
        <f>Datos!Y159</f>
        <v>1383710.5000000005</v>
      </c>
      <c r="C159" s="17">
        <f>Datos!AJ159+Datos!AK159</f>
        <v>1.1000000000000001</v>
      </c>
      <c r="D159" s="80">
        <f t="shared" si="14"/>
        <v>290.58925759396328</v>
      </c>
      <c r="E159" s="17">
        <f>Datos!AN159</f>
        <v>6.73</v>
      </c>
      <c r="F159" s="80">
        <f t="shared" si="12"/>
        <v>1777.8779123703389</v>
      </c>
      <c r="G159" s="17">
        <f t="shared" si="15"/>
        <v>7.83</v>
      </c>
      <c r="H159" s="17">
        <f t="shared" si="16"/>
        <v>2068.4671699643022</v>
      </c>
      <c r="I159" s="17">
        <f>Datos!AR159</f>
        <v>0</v>
      </c>
      <c r="J159" s="17">
        <f>Datos!AS159</f>
        <v>0</v>
      </c>
      <c r="K159" s="17">
        <f>Datos!AU159</f>
        <v>0</v>
      </c>
      <c r="L159" s="80">
        <f t="shared" si="13"/>
        <v>0</v>
      </c>
      <c r="M159" s="17">
        <f>Datos!AX159</f>
        <v>0</v>
      </c>
    </row>
    <row r="160" spans="1:13">
      <c r="A160" s="97">
        <v>45085</v>
      </c>
      <c r="B160" s="16">
        <f>Datos!Y160</f>
        <v>1300874.0999999999</v>
      </c>
      <c r="C160" s="17">
        <f>Datos!AJ160+Datos!AK160</f>
        <v>7.6</v>
      </c>
      <c r="D160" s="80">
        <f t="shared" si="14"/>
        <v>2007.707597921928</v>
      </c>
      <c r="E160" s="17">
        <f>Datos!AN160</f>
        <v>7.5199999999999987</v>
      </c>
      <c r="F160" s="80">
        <f t="shared" si="12"/>
        <v>1986.5738337332759</v>
      </c>
      <c r="G160" s="17">
        <f t="shared" si="15"/>
        <v>15.119999999999997</v>
      </c>
      <c r="H160" s="17">
        <f t="shared" si="16"/>
        <v>3994.281431655204</v>
      </c>
      <c r="I160" s="17">
        <f>Datos!AR160</f>
        <v>0</v>
      </c>
      <c r="J160" s="17">
        <f>Datos!AS160</f>
        <v>0</v>
      </c>
      <c r="K160" s="17">
        <f>Datos!AU160</f>
        <v>0</v>
      </c>
      <c r="L160" s="80">
        <f t="shared" si="13"/>
        <v>0</v>
      </c>
      <c r="M160" s="17">
        <f>Datos!AX160</f>
        <v>0</v>
      </c>
    </row>
    <row r="161" spans="1:13">
      <c r="A161" s="97">
        <v>45086</v>
      </c>
      <c r="B161" s="16">
        <f>Datos!Y161</f>
        <v>1340844.6000000001</v>
      </c>
      <c r="C161" s="17">
        <f>Datos!AJ161+Datos!AK161</f>
        <v>1.7</v>
      </c>
      <c r="D161" s="80">
        <f t="shared" si="14"/>
        <v>449.09248900885234</v>
      </c>
      <c r="E161" s="17">
        <f>Datos!AN161</f>
        <v>6.5499999999999989</v>
      </c>
      <c r="F161" s="80">
        <f t="shared" si="12"/>
        <v>1730.3269429458719</v>
      </c>
      <c r="G161" s="17">
        <f t="shared" si="15"/>
        <v>8.2499999999999982</v>
      </c>
      <c r="H161" s="17">
        <f t="shared" si="16"/>
        <v>2179.4194319547241</v>
      </c>
      <c r="I161" s="17">
        <f>Datos!AR161</f>
        <v>0</v>
      </c>
      <c r="J161" s="17">
        <f>Datos!AS161</f>
        <v>11000</v>
      </c>
      <c r="K161" s="17">
        <f>Datos!AU161</f>
        <v>0</v>
      </c>
      <c r="L161" s="80">
        <f t="shared" si="13"/>
        <v>0</v>
      </c>
      <c r="M161" s="17">
        <f>Datos!AX161</f>
        <v>0</v>
      </c>
    </row>
    <row r="162" spans="1:13">
      <c r="A162" s="97">
        <v>45087</v>
      </c>
      <c r="B162" s="16">
        <f>Datos!Y162</f>
        <v>1305093.3999999997</v>
      </c>
      <c r="C162" s="17">
        <f>Datos!AJ162+Datos!AK162</f>
        <v>2.1</v>
      </c>
      <c r="D162" s="80">
        <f t="shared" si="14"/>
        <v>554.76130995211167</v>
      </c>
      <c r="E162" s="17">
        <f>Datos!AN162</f>
        <v>7.0799999999999992</v>
      </c>
      <c r="F162" s="80">
        <f t="shared" si="12"/>
        <v>1870.3381306956906</v>
      </c>
      <c r="G162" s="17">
        <f t="shared" si="15"/>
        <v>9.18</v>
      </c>
      <c r="H162" s="17">
        <f t="shared" si="16"/>
        <v>2425.0994406478021</v>
      </c>
      <c r="I162" s="17">
        <f>Datos!AR162</f>
        <v>0</v>
      </c>
      <c r="J162" s="17">
        <f>Datos!AS162</f>
        <v>0</v>
      </c>
      <c r="K162" s="17">
        <f>Datos!AU162</f>
        <v>0</v>
      </c>
      <c r="L162" s="80">
        <f t="shared" si="13"/>
        <v>0</v>
      </c>
      <c r="M162" s="17">
        <f>Datos!AX162</f>
        <v>0</v>
      </c>
    </row>
    <row r="163" spans="1:13">
      <c r="A163" s="97">
        <v>45088</v>
      </c>
      <c r="B163" s="16">
        <f>Datos!Y163</f>
        <v>1308231.3</v>
      </c>
      <c r="C163" s="17">
        <f>Datos!AJ163+Datos!AK163</f>
        <v>1.6</v>
      </c>
      <c r="D163" s="80">
        <f t="shared" si="14"/>
        <v>422.67528377303745</v>
      </c>
      <c r="E163" s="17">
        <f>Datos!AN163</f>
        <v>6.4499999999999975</v>
      </c>
      <c r="F163" s="80">
        <f t="shared" si="12"/>
        <v>1703.9097377100566</v>
      </c>
      <c r="G163" s="17">
        <f t="shared" si="15"/>
        <v>8.0499999999999972</v>
      </c>
      <c r="H163" s="17">
        <f t="shared" si="16"/>
        <v>2126.5850214830939</v>
      </c>
      <c r="I163" s="17">
        <f>Datos!AR163</f>
        <v>0</v>
      </c>
      <c r="J163" s="17">
        <f>Datos!AS163</f>
        <v>0</v>
      </c>
      <c r="K163" s="17">
        <f>Datos!AU163</f>
        <v>0</v>
      </c>
      <c r="L163" s="80">
        <f t="shared" si="13"/>
        <v>0</v>
      </c>
      <c r="M163" s="17">
        <f>Datos!AX163</f>
        <v>0</v>
      </c>
    </row>
    <row r="164" spans="1:13">
      <c r="A164" s="97">
        <v>45089</v>
      </c>
      <c r="B164" s="16">
        <f>Datos!Y164</f>
        <v>1374732</v>
      </c>
      <c r="C164" s="17">
        <f>Datos!AJ164+Datos!AK164</f>
        <v>0.9</v>
      </c>
      <c r="D164" s="80">
        <f t="shared" si="14"/>
        <v>237.75484712233359</v>
      </c>
      <c r="E164" s="17">
        <f>Datos!AN164</f>
        <v>6.7200000000000006</v>
      </c>
      <c r="F164" s="80">
        <f t="shared" si="12"/>
        <v>1775.2361918467577</v>
      </c>
      <c r="G164" s="17">
        <f t="shared" si="15"/>
        <v>7.620000000000001</v>
      </c>
      <c r="H164" s="17">
        <f t="shared" si="16"/>
        <v>2012.9910389690913</v>
      </c>
      <c r="I164" s="17">
        <f>Datos!AR164</f>
        <v>0</v>
      </c>
      <c r="J164" s="17">
        <f>Datos!AS164</f>
        <v>0</v>
      </c>
      <c r="K164" s="17">
        <f>Datos!AU164</f>
        <v>0</v>
      </c>
      <c r="L164" s="80">
        <f t="shared" si="13"/>
        <v>0</v>
      </c>
      <c r="M164" s="17">
        <f>Datos!AX164</f>
        <v>0</v>
      </c>
    </row>
    <row r="165" spans="1:13">
      <c r="A165" s="97">
        <v>45090</v>
      </c>
      <c r="B165" s="16">
        <f>Datos!Y165</f>
        <v>1419973.8000000003</v>
      </c>
      <c r="C165" s="17">
        <f>Datos!AJ165+Datos!AK165</f>
        <v>0.9</v>
      </c>
      <c r="D165" s="80">
        <f t="shared" si="14"/>
        <v>237.75484712233359</v>
      </c>
      <c r="E165" s="17">
        <f>Datos!AN165</f>
        <v>6.77</v>
      </c>
      <c r="F165" s="80">
        <f t="shared" si="12"/>
        <v>1788.4447944646647</v>
      </c>
      <c r="G165" s="17">
        <f t="shared" si="15"/>
        <v>7.67</v>
      </c>
      <c r="H165" s="17">
        <f t="shared" si="16"/>
        <v>2026.1996415869983</v>
      </c>
      <c r="I165" s="17">
        <f>Datos!AR165</f>
        <v>0</v>
      </c>
      <c r="J165" s="17">
        <f>Datos!AS165</f>
        <v>0</v>
      </c>
      <c r="K165" s="17">
        <f>Datos!AU165</f>
        <v>0</v>
      </c>
      <c r="L165" s="80">
        <f t="shared" si="13"/>
        <v>0</v>
      </c>
      <c r="M165" s="17">
        <f>Datos!AX165</f>
        <v>0</v>
      </c>
    </row>
    <row r="166" spans="1:13">
      <c r="A166" s="97">
        <v>45091</v>
      </c>
      <c r="B166" s="16">
        <f>Datos!Y166</f>
        <v>1428353.4999999998</v>
      </c>
      <c r="C166" s="17">
        <f>Datos!AJ166+Datos!AK166</f>
        <v>0.6</v>
      </c>
      <c r="D166" s="80">
        <f t="shared" si="14"/>
        <v>158.50323141488906</v>
      </c>
      <c r="E166" s="17">
        <f>Datos!AN166</f>
        <v>7.01</v>
      </c>
      <c r="F166" s="80">
        <f t="shared" si="12"/>
        <v>1851.8460870306205</v>
      </c>
      <c r="G166" s="17">
        <f t="shared" si="15"/>
        <v>7.6099999999999994</v>
      </c>
      <c r="H166" s="17">
        <f t="shared" si="16"/>
        <v>2010.3493184455097</v>
      </c>
      <c r="I166" s="17">
        <f>Datos!AR166</f>
        <v>0</v>
      </c>
      <c r="J166" s="17">
        <f>Datos!AS166</f>
        <v>0</v>
      </c>
      <c r="K166" s="17">
        <f>Datos!AU166</f>
        <v>0</v>
      </c>
      <c r="L166" s="80">
        <f t="shared" si="13"/>
        <v>0</v>
      </c>
      <c r="M166" s="17">
        <f>Datos!AX166</f>
        <v>0</v>
      </c>
    </row>
    <row r="167" spans="1:13">
      <c r="A167" s="97">
        <v>45092</v>
      </c>
      <c r="B167" s="16">
        <f>Datos!Y167</f>
        <v>1421376.4</v>
      </c>
      <c r="C167" s="17">
        <f>Datos!AJ167+Datos!AK167</f>
        <v>5.0999999999999996</v>
      </c>
      <c r="D167" s="80">
        <f t="shared" si="14"/>
        <v>1347.2774670265569</v>
      </c>
      <c r="E167" s="17">
        <f>Datos!AN167</f>
        <v>10.53</v>
      </c>
      <c r="F167" s="80">
        <f t="shared" si="12"/>
        <v>2781.7317113313029</v>
      </c>
      <c r="G167" s="17">
        <f t="shared" si="15"/>
        <v>15.629999999999999</v>
      </c>
      <c r="H167" s="17">
        <f t="shared" si="16"/>
        <v>4129.00917835786</v>
      </c>
      <c r="I167" s="17">
        <f>Datos!AR167</f>
        <v>0</v>
      </c>
      <c r="J167" s="17">
        <f>Datos!AS167</f>
        <v>11013</v>
      </c>
      <c r="K167" s="17">
        <f>Datos!AU167</f>
        <v>0</v>
      </c>
      <c r="L167" s="80">
        <f t="shared" si="13"/>
        <v>0</v>
      </c>
      <c r="M167" s="17">
        <f>Datos!AX167</f>
        <v>0</v>
      </c>
    </row>
    <row r="168" spans="1:13">
      <c r="A168" s="97">
        <v>45093</v>
      </c>
      <c r="B168" s="16">
        <f>Datos!Y168</f>
        <v>1358643.3000000003</v>
      </c>
      <c r="C168" s="17">
        <f>Datos!AJ168+Datos!AK168</f>
        <v>4.2</v>
      </c>
      <c r="D168" s="80">
        <f t="shared" si="14"/>
        <v>1109.5226199042233</v>
      </c>
      <c r="E168" s="17">
        <f>Datos!AN168</f>
        <v>6.0499999999999989</v>
      </c>
      <c r="F168" s="80">
        <f t="shared" si="12"/>
        <v>1598.2409167667977</v>
      </c>
      <c r="G168" s="17">
        <f t="shared" si="15"/>
        <v>10.25</v>
      </c>
      <c r="H168" s="17">
        <f t="shared" si="16"/>
        <v>2707.763536671021</v>
      </c>
      <c r="I168" s="17">
        <f>Datos!AR168</f>
        <v>11013</v>
      </c>
      <c r="J168" s="17">
        <f>Datos!AS168</f>
        <v>0</v>
      </c>
      <c r="K168" s="17">
        <f>Datos!AU168</f>
        <v>0</v>
      </c>
      <c r="L168" s="80">
        <f t="shared" si="13"/>
        <v>0</v>
      </c>
      <c r="M168" s="17">
        <f>Datos!AX168</f>
        <v>0</v>
      </c>
    </row>
    <row r="169" spans="1:13">
      <c r="A169" s="97">
        <v>45094</v>
      </c>
      <c r="B169" s="16">
        <f>Datos!Y169</f>
        <v>1368844.0000000005</v>
      </c>
      <c r="C169" s="17">
        <f>Datos!AJ169+Datos!AK169</f>
        <v>1.2</v>
      </c>
      <c r="D169" s="80">
        <f t="shared" si="14"/>
        <v>317.00646282977812</v>
      </c>
      <c r="E169" s="17">
        <f>Datos!AN169</f>
        <v>7.0600000000000014</v>
      </c>
      <c r="F169" s="80">
        <f t="shared" si="12"/>
        <v>1865.0546896485284</v>
      </c>
      <c r="G169" s="17">
        <f t="shared" si="15"/>
        <v>8.2600000000000016</v>
      </c>
      <c r="H169" s="17">
        <f t="shared" si="16"/>
        <v>2182.0611524783067</v>
      </c>
      <c r="I169" s="17">
        <f>Datos!AR169</f>
        <v>0</v>
      </c>
      <c r="J169" s="17">
        <f>Datos!AS169</f>
        <v>0</v>
      </c>
      <c r="K169" s="17">
        <f>Datos!AU169</f>
        <v>0</v>
      </c>
      <c r="L169" s="80">
        <f t="shared" si="13"/>
        <v>0</v>
      </c>
      <c r="M169" s="17">
        <f>Datos!AX169</f>
        <v>0</v>
      </c>
    </row>
    <row r="170" spans="1:13">
      <c r="A170" s="97">
        <v>45095</v>
      </c>
      <c r="B170" s="16">
        <f>Datos!Y170</f>
        <v>1376663.5</v>
      </c>
      <c r="C170" s="17">
        <f>Datos!AJ170+Datos!AK170</f>
        <v>1.6</v>
      </c>
      <c r="D170" s="80">
        <f t="shared" si="14"/>
        <v>422.67528377303745</v>
      </c>
      <c r="E170" s="17">
        <f>Datos!AN170</f>
        <v>6.839999999999999</v>
      </c>
      <c r="F170" s="80">
        <f t="shared" si="12"/>
        <v>1806.936838129735</v>
      </c>
      <c r="G170" s="17">
        <f t="shared" si="15"/>
        <v>8.44</v>
      </c>
      <c r="H170" s="17">
        <f t="shared" si="16"/>
        <v>2229.6121219027723</v>
      </c>
      <c r="I170" s="17">
        <f>Datos!AR170</f>
        <v>0</v>
      </c>
      <c r="J170" s="17">
        <f>Datos!AS170</f>
        <v>0</v>
      </c>
      <c r="K170" s="17">
        <f>Datos!AU170</f>
        <v>0</v>
      </c>
      <c r="L170" s="80">
        <f t="shared" si="13"/>
        <v>0</v>
      </c>
      <c r="M170" s="17">
        <f>Datos!AX170</f>
        <v>0</v>
      </c>
    </row>
    <row r="171" spans="1:13">
      <c r="A171" s="97">
        <v>45096</v>
      </c>
      <c r="B171" s="16">
        <f>Datos!Y171</f>
        <v>1370210.3000000003</v>
      </c>
      <c r="C171" s="17">
        <f>Datos!AJ171+Datos!AK171</f>
        <v>1.4</v>
      </c>
      <c r="D171" s="80">
        <f t="shared" si="14"/>
        <v>369.84087330140778</v>
      </c>
      <c r="E171" s="17">
        <f>Datos!AN171</f>
        <v>6.8699999999999992</v>
      </c>
      <c r="F171" s="80">
        <f t="shared" si="12"/>
        <v>1814.8619997004794</v>
      </c>
      <c r="G171" s="17">
        <f t="shared" si="15"/>
        <v>8.27</v>
      </c>
      <c r="H171" s="17">
        <f t="shared" si="16"/>
        <v>2184.7028730018874</v>
      </c>
      <c r="I171" s="17">
        <f>Datos!AR171</f>
        <v>0</v>
      </c>
      <c r="J171" s="17">
        <f>Datos!AS171</f>
        <v>0</v>
      </c>
      <c r="K171" s="17">
        <f>Datos!AU171</f>
        <v>0</v>
      </c>
      <c r="L171" s="80">
        <f t="shared" si="13"/>
        <v>0</v>
      </c>
      <c r="M171" s="17">
        <f>Datos!AX171</f>
        <v>0</v>
      </c>
    </row>
    <row r="172" spans="1:13">
      <c r="A172" s="97">
        <v>45097</v>
      </c>
      <c r="B172" s="16">
        <f>Datos!Y172</f>
        <v>1418861.5999999996</v>
      </c>
      <c r="C172" s="17">
        <f>Datos!AJ172+Datos!AK172</f>
        <v>1.5</v>
      </c>
      <c r="D172" s="80">
        <f t="shared" si="14"/>
        <v>396.25807853722262</v>
      </c>
      <c r="E172" s="17">
        <f>Datos!AN172</f>
        <v>6.4500000000000011</v>
      </c>
      <c r="F172" s="80">
        <f t="shared" si="12"/>
        <v>1703.9097377100575</v>
      </c>
      <c r="G172" s="17">
        <f t="shared" si="15"/>
        <v>7.9500000000000011</v>
      </c>
      <c r="H172" s="17">
        <f t="shared" si="16"/>
        <v>2100.1678162472799</v>
      </c>
      <c r="I172" s="17">
        <f>Datos!AR172</f>
        <v>0</v>
      </c>
      <c r="J172" s="17">
        <f>Datos!AS172</f>
        <v>0</v>
      </c>
      <c r="K172" s="17">
        <f>Datos!AU172</f>
        <v>0</v>
      </c>
      <c r="L172" s="80">
        <f t="shared" si="13"/>
        <v>0</v>
      </c>
      <c r="M172" s="17">
        <f>Datos!AX172</f>
        <v>0</v>
      </c>
    </row>
    <row r="173" spans="1:13">
      <c r="A173" s="97">
        <v>45098</v>
      </c>
      <c r="B173" s="16">
        <f>Datos!Y173</f>
        <v>1404896.9999999998</v>
      </c>
      <c r="C173" s="17">
        <f>Datos!AJ173+Datos!AK173</f>
        <v>1.3</v>
      </c>
      <c r="D173" s="80">
        <f t="shared" si="14"/>
        <v>343.42366806559295</v>
      </c>
      <c r="E173" s="17">
        <f>Datos!AN173</f>
        <v>6.65</v>
      </c>
      <c r="F173" s="80">
        <f t="shared" si="12"/>
        <v>1756.744148181687</v>
      </c>
      <c r="G173" s="17">
        <f t="shared" si="15"/>
        <v>7.95</v>
      </c>
      <c r="H173" s="17">
        <f t="shared" si="16"/>
        <v>2100.1678162472799</v>
      </c>
      <c r="I173" s="17">
        <f>Datos!AR173</f>
        <v>0</v>
      </c>
      <c r="J173" s="17">
        <f>Datos!AS173</f>
        <v>0</v>
      </c>
      <c r="K173" s="17">
        <f>Datos!AU173</f>
        <v>0</v>
      </c>
      <c r="L173" s="80">
        <f t="shared" si="13"/>
        <v>0</v>
      </c>
      <c r="M173" s="17">
        <f>Datos!AX173</f>
        <v>0</v>
      </c>
    </row>
    <row r="174" spans="1:13">
      <c r="A174" s="97">
        <v>45099</v>
      </c>
      <c r="B174" s="16">
        <f>Datos!Y174</f>
        <v>1349602.0999999996</v>
      </c>
      <c r="C174" s="17">
        <f>Datos!AJ174+Datos!AK174</f>
        <v>1.9</v>
      </c>
      <c r="D174" s="80">
        <f t="shared" si="14"/>
        <v>501.92689948048201</v>
      </c>
      <c r="E174" s="17">
        <f>Datos!AN174</f>
        <v>6.0999999999999988</v>
      </c>
      <c r="F174" s="80">
        <f t="shared" si="12"/>
        <v>1611.4495193847051</v>
      </c>
      <c r="G174" s="17">
        <f t="shared" si="15"/>
        <v>7.9999999999999982</v>
      </c>
      <c r="H174" s="17">
        <f t="shared" si="16"/>
        <v>2113.3764188651871</v>
      </c>
      <c r="I174" s="17">
        <f>Datos!AR174</f>
        <v>0</v>
      </c>
      <c r="J174" s="17">
        <f>Datos!AS174</f>
        <v>11032</v>
      </c>
      <c r="K174" s="17">
        <f>Datos!AU174</f>
        <v>0</v>
      </c>
      <c r="L174" s="80">
        <f t="shared" si="13"/>
        <v>0</v>
      </c>
      <c r="M174" s="17">
        <f>Datos!AX174</f>
        <v>0</v>
      </c>
    </row>
    <row r="175" spans="1:13">
      <c r="A175" s="97">
        <v>45100</v>
      </c>
      <c r="B175" s="16">
        <f>Datos!Y175</f>
        <v>1400424.2</v>
      </c>
      <c r="C175" s="17">
        <f>Datos!AJ175+Datos!AK175</f>
        <v>0.8</v>
      </c>
      <c r="D175" s="80">
        <f t="shared" si="14"/>
        <v>211.33764188651872</v>
      </c>
      <c r="E175" s="17">
        <f>Datos!AN175</f>
        <v>6.9299999999999988</v>
      </c>
      <c r="F175" s="80">
        <f t="shared" si="12"/>
        <v>1830.7123228419684</v>
      </c>
      <c r="G175" s="17">
        <f t="shared" si="15"/>
        <v>7.7299999999999986</v>
      </c>
      <c r="H175" s="17">
        <f t="shared" si="16"/>
        <v>2042.0499647284871</v>
      </c>
      <c r="I175" s="17">
        <f>Datos!AR175</f>
        <v>0</v>
      </c>
      <c r="J175" s="17">
        <f>Datos!AS175</f>
        <v>0</v>
      </c>
      <c r="K175" s="17">
        <f>Datos!AU175</f>
        <v>0</v>
      </c>
      <c r="L175" s="80">
        <f t="shared" si="13"/>
        <v>0</v>
      </c>
      <c r="M175" s="17">
        <f>Datos!AX175</f>
        <v>0</v>
      </c>
    </row>
    <row r="176" spans="1:13">
      <c r="A176" s="97">
        <v>45101</v>
      </c>
      <c r="B176" s="16">
        <f>Datos!Y176</f>
        <v>1563729.5999999999</v>
      </c>
      <c r="C176" s="17">
        <f>Datos!AJ176+Datos!AK176</f>
        <v>14.3</v>
      </c>
      <c r="D176" s="80">
        <f t="shared" si="14"/>
        <v>3777.6603487215225</v>
      </c>
      <c r="E176" s="17">
        <f>Datos!AN176</f>
        <v>6.5500000000000025</v>
      </c>
      <c r="F176" s="80">
        <f t="shared" si="12"/>
        <v>1730.3269429458728</v>
      </c>
      <c r="G176" s="17">
        <f t="shared" si="15"/>
        <v>20.85</v>
      </c>
      <c r="H176" s="17">
        <f t="shared" si="16"/>
        <v>5507.9872916673958</v>
      </c>
      <c r="I176" s="17">
        <f>Datos!AR176</f>
        <v>0</v>
      </c>
      <c r="J176" s="17">
        <f>Datos!AS176</f>
        <v>0</v>
      </c>
      <c r="K176" s="17">
        <f>Datos!AU176</f>
        <v>0</v>
      </c>
      <c r="L176" s="80">
        <f t="shared" si="13"/>
        <v>0</v>
      </c>
      <c r="M176" s="17">
        <f>Datos!AX176</f>
        <v>0</v>
      </c>
    </row>
    <row r="177" spans="1:13">
      <c r="A177" s="97">
        <v>45102</v>
      </c>
      <c r="B177" s="16">
        <f>Datos!Y177</f>
        <v>1557280.2999999998</v>
      </c>
      <c r="C177" s="17">
        <f>Datos!AJ177+Datos!AK177</f>
        <v>4.0999999999999996</v>
      </c>
      <c r="D177" s="80">
        <f t="shared" si="14"/>
        <v>1083.1054146684085</v>
      </c>
      <c r="E177" s="17">
        <f>Datos!AN177</f>
        <v>7.049999999999998</v>
      </c>
      <c r="F177" s="80">
        <f t="shared" si="12"/>
        <v>1862.4129691249459</v>
      </c>
      <c r="G177" s="17">
        <f t="shared" si="15"/>
        <v>11.149999999999999</v>
      </c>
      <c r="H177" s="17">
        <f t="shared" si="16"/>
        <v>2945.5183837933546</v>
      </c>
      <c r="I177" s="17">
        <f>Datos!AR177</f>
        <v>0</v>
      </c>
      <c r="J177" s="17">
        <f>Datos!AS177</f>
        <v>0</v>
      </c>
      <c r="K177" s="17">
        <f>Datos!AU177</f>
        <v>0</v>
      </c>
      <c r="L177" s="80">
        <f t="shared" si="13"/>
        <v>0</v>
      </c>
      <c r="M177" s="17">
        <f>Datos!AX177</f>
        <v>0</v>
      </c>
    </row>
    <row r="178" spans="1:13">
      <c r="A178" s="97">
        <v>45103</v>
      </c>
      <c r="B178" s="16">
        <f>Datos!Y178</f>
        <v>1597440.5999999996</v>
      </c>
      <c r="C178" s="17">
        <f>Datos!AJ178+Datos!AK178</f>
        <v>20.8</v>
      </c>
      <c r="D178" s="80">
        <f t="shared" si="14"/>
        <v>5494.7786890494872</v>
      </c>
      <c r="E178" s="17">
        <f>Datos!AN178</f>
        <v>7.269999999999996</v>
      </c>
      <c r="F178" s="80">
        <f t="shared" si="12"/>
        <v>1920.530820643738</v>
      </c>
      <c r="G178" s="17">
        <f t="shared" si="15"/>
        <v>28.069999999999997</v>
      </c>
      <c r="H178" s="17">
        <f t="shared" si="16"/>
        <v>7415.3095096932248</v>
      </c>
      <c r="I178" s="17">
        <f>Datos!AR178</f>
        <v>0</v>
      </c>
      <c r="J178" s="17">
        <f>Datos!AS178</f>
        <v>0</v>
      </c>
      <c r="K178" s="17">
        <f>Datos!AU178</f>
        <v>0</v>
      </c>
      <c r="L178" s="80">
        <f t="shared" si="13"/>
        <v>0</v>
      </c>
      <c r="M178" s="17">
        <f>Datos!AX178</f>
        <v>0</v>
      </c>
    </row>
    <row r="179" spans="1:13">
      <c r="A179" s="97">
        <v>45104</v>
      </c>
      <c r="B179" s="16">
        <f>Datos!Y179</f>
        <v>1580880.1999999997</v>
      </c>
      <c r="C179" s="17">
        <f>Datos!AJ179+Datos!AK179</f>
        <v>46</v>
      </c>
      <c r="D179" s="80">
        <f t="shared" si="14"/>
        <v>12151.914408474828</v>
      </c>
      <c r="E179" s="17">
        <f>Datos!AN179</f>
        <v>6.5500000000000034</v>
      </c>
      <c r="F179" s="80">
        <f t="shared" si="12"/>
        <v>1730.326942945873</v>
      </c>
      <c r="G179" s="17">
        <f t="shared" si="15"/>
        <v>52.550000000000004</v>
      </c>
      <c r="H179" s="17">
        <f t="shared" si="16"/>
        <v>13882.2413514207</v>
      </c>
      <c r="I179" s="17">
        <f>Datos!AR179</f>
        <v>0</v>
      </c>
      <c r="J179" s="17">
        <f>Datos!AS179</f>
        <v>0</v>
      </c>
      <c r="K179" s="17">
        <f>Datos!AU179</f>
        <v>0</v>
      </c>
      <c r="L179" s="80">
        <f t="shared" si="13"/>
        <v>0</v>
      </c>
      <c r="M179" s="17">
        <f>Datos!AX179</f>
        <v>0</v>
      </c>
    </row>
    <row r="180" spans="1:13">
      <c r="A180" s="97">
        <v>45105</v>
      </c>
      <c r="B180" s="16">
        <f>Datos!Y180</f>
        <v>1278476.0000000002</v>
      </c>
      <c r="C180" s="17">
        <f>Datos!AJ180+Datos!AK180</f>
        <v>1.5</v>
      </c>
      <c r="D180" s="80">
        <f t="shared" si="14"/>
        <v>396.25807853722262</v>
      </c>
      <c r="E180" s="17">
        <f>Datos!AN180</f>
        <v>6.4700000000000006</v>
      </c>
      <c r="F180" s="80">
        <f t="shared" si="12"/>
        <v>1709.1931787572205</v>
      </c>
      <c r="G180" s="17">
        <f t="shared" si="15"/>
        <v>7.9700000000000006</v>
      </c>
      <c r="H180" s="17">
        <f t="shared" si="16"/>
        <v>2105.4512572944432</v>
      </c>
      <c r="I180" s="17">
        <f>Datos!AR180</f>
        <v>0</v>
      </c>
      <c r="J180" s="17">
        <f>Datos!AS180</f>
        <v>11013</v>
      </c>
      <c r="K180" s="17">
        <f>Datos!AU180</f>
        <v>0</v>
      </c>
      <c r="L180" s="80">
        <f t="shared" si="13"/>
        <v>0</v>
      </c>
      <c r="M180" s="17">
        <f>Datos!AX180</f>
        <v>0</v>
      </c>
    </row>
    <row r="181" spans="1:13">
      <c r="A181" s="97">
        <v>45106</v>
      </c>
      <c r="B181" s="16">
        <f>Datos!Y181</f>
        <v>1097982.4000000004</v>
      </c>
      <c r="C181" s="17">
        <f>Datos!AJ181+Datos!AK181</f>
        <v>1</v>
      </c>
      <c r="D181" s="80">
        <f t="shared" si="14"/>
        <v>264.17205235814845</v>
      </c>
      <c r="E181" s="17">
        <f>Datos!AN181</f>
        <v>6.0800000000000018</v>
      </c>
      <c r="F181" s="80">
        <f t="shared" si="12"/>
        <v>1606.1660783375428</v>
      </c>
      <c r="G181" s="17">
        <f t="shared" si="15"/>
        <v>7.0800000000000018</v>
      </c>
      <c r="H181" s="17">
        <f t="shared" si="16"/>
        <v>1870.3381306956912</v>
      </c>
      <c r="I181" s="17">
        <f>Datos!AR181</f>
        <v>0</v>
      </c>
      <c r="J181" s="17">
        <f>Datos!AS181</f>
        <v>0</v>
      </c>
      <c r="K181" s="17">
        <f>Datos!AU181</f>
        <v>0</v>
      </c>
      <c r="L181" s="80">
        <f t="shared" si="13"/>
        <v>0</v>
      </c>
      <c r="M181" s="17">
        <f>Datos!AX181</f>
        <v>0</v>
      </c>
    </row>
    <row r="182" spans="1:13">
      <c r="A182" s="97">
        <v>45107</v>
      </c>
      <c r="B182" s="16">
        <f>Datos!Y182</f>
        <v>1102283.4000000001</v>
      </c>
      <c r="C182" s="17">
        <f>Datos!AJ182+Datos!AK182</f>
        <v>3.1</v>
      </c>
      <c r="D182" s="80">
        <f t="shared" si="14"/>
        <v>818.93336231026012</v>
      </c>
      <c r="E182" s="17">
        <f>Datos!AN182</f>
        <v>10.89</v>
      </c>
      <c r="F182" s="80">
        <f t="shared" si="12"/>
        <v>2876.8336501802364</v>
      </c>
      <c r="G182" s="17">
        <f t="shared" si="15"/>
        <v>13.99</v>
      </c>
      <c r="H182" s="17">
        <f t="shared" si="16"/>
        <v>3695.7670124904967</v>
      </c>
      <c r="I182" s="17">
        <f>Datos!AR182</f>
        <v>11031</v>
      </c>
      <c r="J182" s="17">
        <f>Datos!AS182</f>
        <v>0</v>
      </c>
      <c r="K182" s="17">
        <f>Datos!AU182</f>
        <v>0</v>
      </c>
      <c r="L182" s="80">
        <f t="shared" si="13"/>
        <v>0</v>
      </c>
      <c r="M182" s="17">
        <f>Datos!AX182</f>
        <v>0</v>
      </c>
    </row>
    <row r="183" spans="1:13">
      <c r="A183" s="97">
        <v>45108</v>
      </c>
      <c r="B183" s="16">
        <f>Datos!Y183</f>
        <v>1302352.5</v>
      </c>
      <c r="C183" s="17">
        <f>Datos!AJ183+Datos!AK183</f>
        <v>1.1000000000000001</v>
      </c>
      <c r="D183" s="80">
        <f t="shared" si="14"/>
        <v>290.58925759396328</v>
      </c>
      <c r="E183" s="17">
        <f>Datos!AN183</f>
        <v>7.2399999999999975</v>
      </c>
      <c r="F183" s="80">
        <f t="shared" si="12"/>
        <v>1912.6056590729938</v>
      </c>
      <c r="G183" s="17">
        <f t="shared" si="15"/>
        <v>8.3399999999999981</v>
      </c>
      <c r="H183" s="17">
        <f t="shared" si="16"/>
        <v>2203.1949166669569</v>
      </c>
      <c r="I183" s="17">
        <f>Datos!AR183</f>
        <v>0</v>
      </c>
      <c r="J183" s="17">
        <f>Datos!AS183</f>
        <v>0</v>
      </c>
      <c r="K183" s="17">
        <f>Datos!AU183</f>
        <v>0</v>
      </c>
      <c r="L183" s="80">
        <f t="shared" si="13"/>
        <v>0</v>
      </c>
      <c r="M183" s="17">
        <f>Datos!AX183</f>
        <v>0</v>
      </c>
    </row>
    <row r="184" spans="1:13">
      <c r="A184" s="97">
        <v>45109</v>
      </c>
      <c r="B184" s="16">
        <f>Datos!Y184</f>
        <v>1315657.2000000002</v>
      </c>
      <c r="C184" s="17">
        <f>Datos!AJ184+Datos!AK184</f>
        <v>2.5</v>
      </c>
      <c r="D184" s="80">
        <f t="shared" si="14"/>
        <v>660.43013089537101</v>
      </c>
      <c r="E184" s="17">
        <f>Datos!AN184</f>
        <v>8.2299999999999986</v>
      </c>
      <c r="F184" s="80">
        <f t="shared" si="12"/>
        <v>2174.1359909075609</v>
      </c>
      <c r="G184" s="17">
        <f t="shared" ref="G184:G213" si="17">C184+E184</f>
        <v>10.729999999999999</v>
      </c>
      <c r="H184" s="17">
        <f t="shared" ref="H184:H213" si="18">D184+F184</f>
        <v>2834.5661218029318</v>
      </c>
      <c r="I184" s="17">
        <f>Datos!AR184</f>
        <v>0</v>
      </c>
      <c r="J184" s="17">
        <f>Datos!AS184</f>
        <v>0</v>
      </c>
      <c r="K184" s="17">
        <f>Datos!AU184</f>
        <v>0</v>
      </c>
      <c r="L184" s="80">
        <f t="shared" si="13"/>
        <v>0</v>
      </c>
      <c r="M184" s="17">
        <f>Datos!AX184</f>
        <v>0</v>
      </c>
    </row>
    <row r="185" spans="1:13">
      <c r="A185" s="97">
        <v>45110</v>
      </c>
      <c r="B185" s="16">
        <f>Datos!Y185</f>
        <v>1301222.2000000004</v>
      </c>
      <c r="C185" s="17">
        <f>Datos!AJ185+Datos!AK185</f>
        <v>1.3</v>
      </c>
      <c r="D185" s="80">
        <f t="shared" si="14"/>
        <v>343.42366806559295</v>
      </c>
      <c r="E185" s="17">
        <f>Datos!AN185</f>
        <v>6.5699999999999994</v>
      </c>
      <c r="F185" s="80">
        <f t="shared" si="12"/>
        <v>1735.6103839930349</v>
      </c>
      <c r="G185" s="17">
        <f t="shared" si="17"/>
        <v>7.8699999999999992</v>
      </c>
      <c r="H185" s="17">
        <f t="shared" si="18"/>
        <v>2079.0340520586278</v>
      </c>
      <c r="I185" s="17">
        <f>Datos!AR185</f>
        <v>0</v>
      </c>
      <c r="J185" s="17">
        <f>Datos!AS185</f>
        <v>0</v>
      </c>
      <c r="K185" s="17">
        <f>Datos!AU185</f>
        <v>0</v>
      </c>
      <c r="L185" s="80">
        <f t="shared" si="13"/>
        <v>0</v>
      </c>
      <c r="M185" s="17">
        <f>Datos!AX185</f>
        <v>0</v>
      </c>
    </row>
    <row r="186" spans="1:13">
      <c r="A186" s="97">
        <v>45111</v>
      </c>
      <c r="B186" s="16">
        <f>Datos!Y186</f>
        <v>1309182.7999999996</v>
      </c>
      <c r="C186" s="17">
        <f>Datos!AJ186+Datos!AK186</f>
        <v>0</v>
      </c>
      <c r="D186" s="80">
        <f t="shared" si="14"/>
        <v>0</v>
      </c>
      <c r="E186" s="17">
        <f>Datos!AN186</f>
        <v>6.8200000000000029</v>
      </c>
      <c r="F186" s="80">
        <f t="shared" si="12"/>
        <v>1801.6533970825731</v>
      </c>
      <c r="G186" s="17">
        <f t="shared" si="17"/>
        <v>6.8200000000000029</v>
      </c>
      <c r="H186" s="17">
        <f t="shared" si="18"/>
        <v>1801.6533970825731</v>
      </c>
      <c r="I186" s="17">
        <f>Datos!AR186</f>
        <v>0</v>
      </c>
      <c r="J186" s="17">
        <f>Datos!AS186</f>
        <v>0</v>
      </c>
      <c r="K186" s="17">
        <f>Datos!AU186</f>
        <v>0</v>
      </c>
      <c r="L186" s="80">
        <f t="shared" si="13"/>
        <v>0</v>
      </c>
      <c r="M186" s="17">
        <f>Datos!AX186</f>
        <v>0</v>
      </c>
    </row>
    <row r="187" spans="1:13">
      <c r="A187" s="97">
        <v>45112</v>
      </c>
      <c r="B187" s="16">
        <f>Datos!Y187</f>
        <v>1307300.1000000003</v>
      </c>
      <c r="C187" s="17">
        <f>Datos!AJ187+Datos!AK187</f>
        <v>0.4</v>
      </c>
      <c r="D187" s="80">
        <f t="shared" si="14"/>
        <v>105.66882094325936</v>
      </c>
      <c r="E187" s="17">
        <f>Datos!AN187</f>
        <v>6.8000000000000034</v>
      </c>
      <c r="F187" s="80">
        <f t="shared" si="12"/>
        <v>1796.3699560354103</v>
      </c>
      <c r="G187" s="17">
        <f t="shared" si="17"/>
        <v>7.2000000000000037</v>
      </c>
      <c r="H187" s="17">
        <f t="shared" si="18"/>
        <v>1902.0387769786696</v>
      </c>
      <c r="I187" s="17">
        <f>Datos!AR187</f>
        <v>0</v>
      </c>
      <c r="J187" s="17">
        <f>Datos!AS187</f>
        <v>11026</v>
      </c>
      <c r="K187" s="17">
        <f>Datos!AU187</f>
        <v>0</v>
      </c>
      <c r="L187" s="80">
        <f t="shared" si="13"/>
        <v>0</v>
      </c>
      <c r="M187" s="17">
        <f>Datos!AX187</f>
        <v>0</v>
      </c>
    </row>
    <row r="188" spans="1:13">
      <c r="A188" s="97">
        <v>45113</v>
      </c>
      <c r="B188" s="16">
        <f>Datos!Y188</f>
        <v>1304062.9000000001</v>
      </c>
      <c r="C188" s="17">
        <f>Datos!AJ188+Datos!AK188</f>
        <v>1.3</v>
      </c>
      <c r="D188" s="80">
        <f t="shared" si="14"/>
        <v>343.42366806559295</v>
      </c>
      <c r="E188" s="17">
        <f>Datos!AN188</f>
        <v>7.1899999999999968</v>
      </c>
      <c r="F188" s="80">
        <f t="shared" si="12"/>
        <v>1899.3970564550864</v>
      </c>
      <c r="G188" s="17">
        <f t="shared" si="17"/>
        <v>8.4899999999999967</v>
      </c>
      <c r="H188" s="17">
        <f t="shared" si="18"/>
        <v>2242.8207245206795</v>
      </c>
      <c r="I188" s="17">
        <f>Datos!AR188</f>
        <v>0</v>
      </c>
      <c r="J188" s="17">
        <f>Datos!AS188</f>
        <v>0</v>
      </c>
      <c r="K188" s="17">
        <f>Datos!AU188</f>
        <v>0</v>
      </c>
      <c r="L188" s="80">
        <f t="shared" si="13"/>
        <v>0</v>
      </c>
      <c r="M188" s="17">
        <f>Datos!AX188</f>
        <v>0</v>
      </c>
    </row>
    <row r="189" spans="1:13">
      <c r="A189" s="97">
        <v>45114</v>
      </c>
      <c r="B189" s="16">
        <f>Datos!Y189</f>
        <v>1299845.1000000006</v>
      </c>
      <c r="C189" s="17">
        <f>Datos!AJ189+Datos!AK189</f>
        <v>0.8</v>
      </c>
      <c r="D189" s="80">
        <f t="shared" si="14"/>
        <v>211.33764188651872</v>
      </c>
      <c r="E189" s="17">
        <f>Datos!AN189</f>
        <v>7.2699999999999969</v>
      </c>
      <c r="F189" s="80">
        <f t="shared" si="12"/>
        <v>1920.5308206437383</v>
      </c>
      <c r="G189" s="17">
        <f t="shared" si="17"/>
        <v>8.0699999999999967</v>
      </c>
      <c r="H189" s="17">
        <f t="shared" si="18"/>
        <v>2131.8684625302571</v>
      </c>
      <c r="I189" s="17">
        <f>Datos!AR189</f>
        <v>0</v>
      </c>
      <c r="J189" s="17">
        <f>Datos!AS189</f>
        <v>0</v>
      </c>
      <c r="K189" s="17">
        <f>Datos!AU189</f>
        <v>0</v>
      </c>
      <c r="L189" s="80">
        <f t="shared" si="13"/>
        <v>0</v>
      </c>
      <c r="M189" s="17">
        <f>Datos!AX189</f>
        <v>0</v>
      </c>
    </row>
    <row r="190" spans="1:13">
      <c r="A190" s="97">
        <v>45115</v>
      </c>
      <c r="B190" s="16">
        <f>Datos!Y190</f>
        <v>1301478.3999999994</v>
      </c>
      <c r="C190" s="17">
        <f>Datos!AJ190+Datos!AK190</f>
        <v>0.8</v>
      </c>
      <c r="D190" s="80">
        <f t="shared" si="14"/>
        <v>211.33764188651872</v>
      </c>
      <c r="E190" s="17">
        <f>Datos!AN190</f>
        <v>7.3599999999999968</v>
      </c>
      <c r="F190" s="80">
        <f t="shared" si="12"/>
        <v>1944.3063053559715</v>
      </c>
      <c r="G190" s="17">
        <f t="shared" si="17"/>
        <v>8.1599999999999966</v>
      </c>
      <c r="H190" s="17">
        <f t="shared" si="18"/>
        <v>2155.6439472424904</v>
      </c>
      <c r="I190" s="17">
        <f>Datos!AR190</f>
        <v>0</v>
      </c>
      <c r="J190" s="17">
        <f>Datos!AS190</f>
        <v>0</v>
      </c>
      <c r="K190" s="17">
        <f>Datos!AU190</f>
        <v>0</v>
      </c>
      <c r="L190" s="80">
        <f t="shared" si="13"/>
        <v>0</v>
      </c>
      <c r="M190" s="17">
        <f>Datos!AX190</f>
        <v>0</v>
      </c>
    </row>
    <row r="191" spans="1:13">
      <c r="A191" s="97">
        <v>45116</v>
      </c>
      <c r="B191" s="16">
        <f>Datos!Y191</f>
        <v>1306305.2000000002</v>
      </c>
      <c r="C191" s="17">
        <f>Datos!AJ191+Datos!AK191</f>
        <v>0.7</v>
      </c>
      <c r="D191" s="80">
        <f t="shared" si="14"/>
        <v>184.92043665070389</v>
      </c>
      <c r="E191" s="17">
        <f>Datos!AN191</f>
        <v>6.7100000000000026</v>
      </c>
      <c r="F191" s="80">
        <f t="shared" si="12"/>
        <v>1772.5944713231765</v>
      </c>
      <c r="G191" s="17">
        <f t="shared" si="17"/>
        <v>7.4100000000000028</v>
      </c>
      <c r="H191" s="17">
        <f t="shared" si="18"/>
        <v>1957.5149079738803</v>
      </c>
      <c r="I191" s="17">
        <f>Datos!AR191</f>
        <v>0</v>
      </c>
      <c r="J191" s="17">
        <f>Datos!AS191</f>
        <v>0</v>
      </c>
      <c r="K191" s="17">
        <f>Datos!AU191</f>
        <v>0</v>
      </c>
      <c r="L191" s="80">
        <f t="shared" si="13"/>
        <v>0</v>
      </c>
      <c r="M191" s="17">
        <f>Datos!AX191</f>
        <v>0</v>
      </c>
    </row>
    <row r="192" spans="1:13">
      <c r="A192" s="97">
        <v>45117</v>
      </c>
      <c r="B192" s="16">
        <f>Datos!Y192</f>
        <v>1308992.8000000003</v>
      </c>
      <c r="C192" s="17">
        <f>Datos!AJ192+Datos!AK192</f>
        <v>1.9</v>
      </c>
      <c r="D192" s="80">
        <f t="shared" si="14"/>
        <v>501.92689948048201</v>
      </c>
      <c r="E192" s="17">
        <f>Datos!AN192</f>
        <v>7.01</v>
      </c>
      <c r="F192" s="80">
        <f t="shared" si="12"/>
        <v>1851.8460870306205</v>
      </c>
      <c r="G192" s="17">
        <f t="shared" si="17"/>
        <v>8.91</v>
      </c>
      <c r="H192" s="17">
        <f t="shared" si="18"/>
        <v>2353.7729865111023</v>
      </c>
      <c r="I192" s="17">
        <f>Datos!AR192</f>
        <v>0</v>
      </c>
      <c r="J192" s="17">
        <f>Datos!AS192</f>
        <v>0</v>
      </c>
      <c r="K192" s="17">
        <f>Datos!AU192</f>
        <v>0</v>
      </c>
      <c r="L192" s="80">
        <f t="shared" si="13"/>
        <v>0</v>
      </c>
      <c r="M192" s="17">
        <f>Datos!AX192</f>
        <v>0</v>
      </c>
    </row>
    <row r="193" spans="1:13">
      <c r="A193" s="97">
        <v>45118</v>
      </c>
      <c r="B193" s="16">
        <f>Datos!Y193</f>
        <v>1305505.1999999997</v>
      </c>
      <c r="C193" s="17">
        <f>Datos!AJ193+Datos!AK193</f>
        <v>9.5</v>
      </c>
      <c r="D193" s="80">
        <f t="shared" si="14"/>
        <v>2509.63449740241</v>
      </c>
      <c r="E193" s="17">
        <f>Datos!AN193</f>
        <v>6.8200000000000021</v>
      </c>
      <c r="F193" s="80">
        <f t="shared" si="12"/>
        <v>1801.6533970825728</v>
      </c>
      <c r="G193" s="17">
        <f t="shared" si="17"/>
        <v>16.32</v>
      </c>
      <c r="H193" s="17">
        <f t="shared" si="18"/>
        <v>4311.2878944849826</v>
      </c>
      <c r="I193" s="17">
        <f>Datos!AR193</f>
        <v>0</v>
      </c>
      <c r="J193" s="17">
        <f>Datos!AS193</f>
        <v>11026</v>
      </c>
      <c r="K193" s="17">
        <f>Datos!AU193</f>
        <v>0</v>
      </c>
      <c r="L193" s="80">
        <f t="shared" si="13"/>
        <v>0</v>
      </c>
      <c r="M193" s="17">
        <f>Datos!AX193</f>
        <v>0</v>
      </c>
    </row>
    <row r="194" spans="1:13">
      <c r="A194" s="97">
        <v>45119</v>
      </c>
      <c r="B194" s="16">
        <f>Datos!Y194</f>
        <v>1302026.5</v>
      </c>
      <c r="C194" s="17">
        <f>Datos!AJ194+Datos!AK194</f>
        <v>10.7</v>
      </c>
      <c r="D194" s="80">
        <f t="shared" si="14"/>
        <v>2826.6409602321883</v>
      </c>
      <c r="E194" s="17">
        <f>Datos!AN194</f>
        <v>7.1399999999999979</v>
      </c>
      <c r="F194" s="80">
        <f t="shared" ref="F194:F257" si="19">+CONVERT(E194,"m^3","gal")</f>
        <v>1886.1884538371792</v>
      </c>
      <c r="G194" s="17">
        <f t="shared" si="17"/>
        <v>17.839999999999996</v>
      </c>
      <c r="H194" s="17">
        <f t="shared" si="18"/>
        <v>4712.829414069367</v>
      </c>
      <c r="I194" s="17">
        <f>Datos!AR194</f>
        <v>0</v>
      </c>
      <c r="J194" s="17">
        <f>Datos!AS194</f>
        <v>0</v>
      </c>
      <c r="K194" s="17">
        <f>Datos!AU194</f>
        <v>0</v>
      </c>
      <c r="L194" s="80">
        <f t="shared" ref="L194:L257" si="20">+CONVERT(K194,"m^3","gal")</f>
        <v>0</v>
      </c>
      <c r="M194" s="17">
        <f>Datos!AX194</f>
        <v>0</v>
      </c>
    </row>
    <row r="195" spans="1:13">
      <c r="A195" s="97">
        <v>45120</v>
      </c>
      <c r="B195" s="16">
        <f>Datos!Y195</f>
        <v>1300785.6000000001</v>
      </c>
      <c r="C195" s="17">
        <f>Datos!AJ195+Datos!AK195</f>
        <v>12.2</v>
      </c>
      <c r="D195" s="80">
        <f t="shared" ref="D195:D258" si="21">+CONVERT(C195,"m^3","gal")</f>
        <v>3222.8990387694107</v>
      </c>
      <c r="E195" s="17">
        <f>Datos!AN195</f>
        <v>7.4299999999999962</v>
      </c>
      <c r="F195" s="80">
        <f t="shared" si="19"/>
        <v>1962.7983490210418</v>
      </c>
      <c r="G195" s="17">
        <f t="shared" si="17"/>
        <v>19.629999999999995</v>
      </c>
      <c r="H195" s="17">
        <f t="shared" si="18"/>
        <v>5185.6973877904529</v>
      </c>
      <c r="I195" s="17">
        <f>Datos!AR195</f>
        <v>0</v>
      </c>
      <c r="J195" s="17">
        <f>Datos!AS195</f>
        <v>0</v>
      </c>
      <c r="K195" s="17">
        <f>Datos!AU195</f>
        <v>0</v>
      </c>
      <c r="L195" s="80">
        <f t="shared" si="20"/>
        <v>0</v>
      </c>
      <c r="M195" s="17">
        <f>Datos!AX195</f>
        <v>0</v>
      </c>
    </row>
    <row r="196" spans="1:13">
      <c r="A196" s="97">
        <v>45121</v>
      </c>
      <c r="B196" s="16">
        <f>Datos!Y196</f>
        <v>1303563.5999999996</v>
      </c>
      <c r="C196" s="17">
        <f>Datos!AJ196+Datos!AK196</f>
        <v>1</v>
      </c>
      <c r="D196" s="80">
        <f t="shared" si="21"/>
        <v>264.17205235814845</v>
      </c>
      <c r="E196" s="17">
        <f>Datos!AN196</f>
        <v>6.01</v>
      </c>
      <c r="F196" s="80">
        <f t="shared" si="19"/>
        <v>1587.6740346724721</v>
      </c>
      <c r="G196" s="17">
        <f t="shared" si="17"/>
        <v>7.01</v>
      </c>
      <c r="H196" s="17">
        <f t="shared" si="18"/>
        <v>1851.8460870306205</v>
      </c>
      <c r="I196" s="17">
        <f>Datos!AR196</f>
        <v>0</v>
      </c>
      <c r="J196" s="17">
        <f>Datos!AS196</f>
        <v>0</v>
      </c>
      <c r="K196" s="17">
        <f>Datos!AU196</f>
        <v>0</v>
      </c>
      <c r="L196" s="80">
        <f t="shared" si="20"/>
        <v>0</v>
      </c>
      <c r="M196" s="17">
        <f>Datos!AX196</f>
        <v>0</v>
      </c>
    </row>
    <row r="197" spans="1:13">
      <c r="A197" s="97">
        <v>45122</v>
      </c>
      <c r="B197" s="16">
        <f>Datos!Y197</f>
        <v>1287886.8</v>
      </c>
      <c r="C197" s="17">
        <f>Datos!AJ197+Datos!AK197</f>
        <v>2</v>
      </c>
      <c r="D197" s="80">
        <f t="shared" si="21"/>
        <v>528.3441047162969</v>
      </c>
      <c r="E197" s="17">
        <f>Datos!AN197</f>
        <v>6.1099999999999985</v>
      </c>
      <c r="F197" s="80">
        <f t="shared" si="19"/>
        <v>1614.0912399082863</v>
      </c>
      <c r="G197" s="17">
        <f t="shared" si="17"/>
        <v>8.11</v>
      </c>
      <c r="H197" s="17">
        <f t="shared" si="18"/>
        <v>2142.4353446245832</v>
      </c>
      <c r="I197" s="17">
        <f>Datos!AR197</f>
        <v>0</v>
      </c>
      <c r="J197" s="17">
        <f>Datos!AS197</f>
        <v>0</v>
      </c>
      <c r="K197" s="17">
        <f>Datos!AU197</f>
        <v>0</v>
      </c>
      <c r="L197" s="80">
        <f t="shared" si="20"/>
        <v>0</v>
      </c>
      <c r="M197" s="17">
        <f>Datos!AX197</f>
        <v>0</v>
      </c>
    </row>
    <row r="198" spans="1:13">
      <c r="A198" s="97">
        <v>45123</v>
      </c>
      <c r="B198" s="16">
        <f>Datos!Y198</f>
        <v>1296403.3000000003</v>
      </c>
      <c r="C198" s="17">
        <f>Datos!AJ198+Datos!AK198</f>
        <v>1.8</v>
      </c>
      <c r="D198" s="80">
        <f t="shared" si="21"/>
        <v>475.50969424466717</v>
      </c>
      <c r="E198" s="17">
        <f>Datos!AN198</f>
        <v>6.7000000000000037</v>
      </c>
      <c r="F198" s="80">
        <f t="shared" si="19"/>
        <v>1769.9527507995954</v>
      </c>
      <c r="G198" s="17">
        <f t="shared" si="17"/>
        <v>8.5000000000000036</v>
      </c>
      <c r="H198" s="17">
        <f t="shared" si="18"/>
        <v>2245.4624450442625</v>
      </c>
      <c r="I198" s="17">
        <f>Datos!AR198</f>
        <v>0</v>
      </c>
      <c r="J198" s="17">
        <f>Datos!AS198</f>
        <v>0</v>
      </c>
      <c r="K198" s="17">
        <f>Datos!AU198</f>
        <v>0</v>
      </c>
      <c r="L198" s="80">
        <f t="shared" si="20"/>
        <v>0</v>
      </c>
      <c r="M198" s="17">
        <f>Datos!AX198</f>
        <v>0</v>
      </c>
    </row>
    <row r="199" spans="1:13">
      <c r="A199" s="97">
        <v>45124</v>
      </c>
      <c r="B199" s="16">
        <f>Datos!Y199</f>
        <v>1301336.0999999999</v>
      </c>
      <c r="C199" s="17">
        <f>Datos!AJ199+Datos!AK199</f>
        <v>1</v>
      </c>
      <c r="D199" s="80">
        <f t="shared" si="21"/>
        <v>264.17205235814845</v>
      </c>
      <c r="E199" s="17">
        <f>Datos!AN199</f>
        <v>6.8000000000000016</v>
      </c>
      <c r="F199" s="80">
        <f t="shared" si="19"/>
        <v>1796.3699560354098</v>
      </c>
      <c r="G199" s="17">
        <f t="shared" si="17"/>
        <v>7.8000000000000016</v>
      </c>
      <c r="H199" s="17">
        <f t="shared" si="18"/>
        <v>2060.5420083935583</v>
      </c>
      <c r="I199" s="17">
        <f>Datos!AR199</f>
        <v>10694</v>
      </c>
      <c r="J199" s="17">
        <f>Datos!AS199</f>
        <v>11000</v>
      </c>
      <c r="K199" s="17">
        <f>Datos!AU199</f>
        <v>0</v>
      </c>
      <c r="L199" s="80">
        <f t="shared" si="20"/>
        <v>0</v>
      </c>
      <c r="M199" s="17">
        <f>Datos!AX199</f>
        <v>0</v>
      </c>
    </row>
    <row r="200" spans="1:13">
      <c r="A200" s="97">
        <v>45125</v>
      </c>
      <c r="B200" s="16">
        <f>Datos!Y200</f>
        <v>1296972.9000000001</v>
      </c>
      <c r="C200" s="17">
        <f>Datos!AJ200+Datos!AK200</f>
        <v>2.1</v>
      </c>
      <c r="D200" s="80">
        <f t="shared" si="21"/>
        <v>554.76130995211167</v>
      </c>
      <c r="E200" s="17">
        <f>Datos!AN200</f>
        <v>6.52</v>
      </c>
      <c r="F200" s="80">
        <f t="shared" si="19"/>
        <v>1722.4017813751277</v>
      </c>
      <c r="G200" s="17">
        <f t="shared" si="17"/>
        <v>8.6199999999999992</v>
      </c>
      <c r="H200" s="17">
        <f t="shared" si="18"/>
        <v>2277.1630913272393</v>
      </c>
      <c r="I200" s="17">
        <f>Datos!AR200</f>
        <v>0</v>
      </c>
      <c r="J200" s="17">
        <f>Datos!AS200</f>
        <v>0</v>
      </c>
      <c r="K200" s="17">
        <f>Datos!AU200</f>
        <v>0</v>
      </c>
      <c r="L200" s="80">
        <f t="shared" si="20"/>
        <v>0</v>
      </c>
      <c r="M200" s="17">
        <f>Datos!AX200</f>
        <v>0</v>
      </c>
    </row>
    <row r="201" spans="1:13">
      <c r="A201" s="97">
        <v>45126</v>
      </c>
      <c r="B201" s="16">
        <f>Datos!Y201</f>
        <v>1300188.1999999997</v>
      </c>
      <c r="C201" s="17">
        <f>Datos!AJ201+Datos!AK201</f>
        <v>0.4</v>
      </c>
      <c r="D201" s="80">
        <f t="shared" si="21"/>
        <v>105.66882094325936</v>
      </c>
      <c r="E201" s="17">
        <f>Datos!AN201</f>
        <v>6.7600000000000025</v>
      </c>
      <c r="F201" s="80">
        <f t="shared" si="19"/>
        <v>1785.803073941084</v>
      </c>
      <c r="G201" s="17">
        <f t="shared" si="17"/>
        <v>7.1600000000000028</v>
      </c>
      <c r="H201" s="17">
        <f t="shared" si="18"/>
        <v>1891.4718948843433</v>
      </c>
      <c r="I201" s="17">
        <f>Datos!AR201</f>
        <v>0</v>
      </c>
      <c r="J201" s="17">
        <f>Datos!AS201</f>
        <v>0</v>
      </c>
      <c r="K201" s="17">
        <f>Datos!AU201</f>
        <v>0</v>
      </c>
      <c r="L201" s="80">
        <f t="shared" si="20"/>
        <v>0</v>
      </c>
      <c r="M201" s="17">
        <f>Datos!AX201</f>
        <v>0</v>
      </c>
    </row>
    <row r="202" spans="1:13">
      <c r="A202" s="97">
        <v>45127</v>
      </c>
      <c r="B202" s="16">
        <f>Datos!Y202</f>
        <v>1304687.5000000002</v>
      </c>
      <c r="C202" s="17">
        <f>Datos!AJ202+Datos!AK202</f>
        <v>25.9</v>
      </c>
      <c r="D202" s="80">
        <f t="shared" si="21"/>
        <v>6842.0561560760443</v>
      </c>
      <c r="E202" s="17">
        <f>Datos!AN202</f>
        <v>6.2099999999999973</v>
      </c>
      <c r="F202" s="80">
        <f t="shared" si="19"/>
        <v>1640.508445144101</v>
      </c>
      <c r="G202" s="17">
        <f t="shared" si="17"/>
        <v>32.11</v>
      </c>
      <c r="H202" s="17">
        <f t="shared" si="18"/>
        <v>8482.5646012201451</v>
      </c>
      <c r="I202" s="17">
        <f>Datos!AR202</f>
        <v>0</v>
      </c>
      <c r="J202" s="17">
        <f>Datos!AS202</f>
        <v>0</v>
      </c>
      <c r="K202" s="17">
        <f>Datos!AU202</f>
        <v>0</v>
      </c>
      <c r="L202" s="80">
        <f t="shared" si="20"/>
        <v>0</v>
      </c>
      <c r="M202" s="17">
        <f>Datos!AX202</f>
        <v>0</v>
      </c>
    </row>
    <row r="203" spans="1:13">
      <c r="A203" s="97">
        <v>45128</v>
      </c>
      <c r="B203" s="16">
        <f>Datos!Y203</f>
        <v>1063070.2999999998</v>
      </c>
      <c r="C203" s="17">
        <f>Datos!AJ203+Datos!AK203</f>
        <v>9.1</v>
      </c>
      <c r="D203" s="80">
        <f t="shared" si="21"/>
        <v>2403.9656764591505</v>
      </c>
      <c r="E203" s="17">
        <f>Datos!AN203</f>
        <v>6.2799999999999976</v>
      </c>
      <c r="F203" s="80">
        <f t="shared" si="19"/>
        <v>1659.0004888091714</v>
      </c>
      <c r="G203" s="17">
        <f t="shared" si="17"/>
        <v>15.379999999999997</v>
      </c>
      <c r="H203" s="17">
        <f t="shared" si="18"/>
        <v>4062.9661652683217</v>
      </c>
      <c r="I203" s="17">
        <f>Datos!AR203</f>
        <v>0</v>
      </c>
      <c r="J203" s="17">
        <f>Datos!AS203</f>
        <v>0</v>
      </c>
      <c r="K203" s="17">
        <f>Datos!AU203</f>
        <v>0</v>
      </c>
      <c r="L203" s="80">
        <f t="shared" si="20"/>
        <v>0</v>
      </c>
      <c r="M203" s="17">
        <f>Datos!AX203</f>
        <v>0</v>
      </c>
    </row>
    <row r="204" spans="1:13">
      <c r="A204" s="97">
        <v>45129</v>
      </c>
      <c r="B204" s="16">
        <f>Datos!Y204</f>
        <v>1299616.6999999997</v>
      </c>
      <c r="C204" s="17">
        <f>Datos!AJ204+Datos!AK204</f>
        <v>1.8</v>
      </c>
      <c r="D204" s="80">
        <f t="shared" si="21"/>
        <v>475.50969424466717</v>
      </c>
      <c r="E204" s="17">
        <f>Datos!AN204</f>
        <v>7.0599999999999987</v>
      </c>
      <c r="F204" s="80">
        <f t="shared" si="19"/>
        <v>1865.0546896485275</v>
      </c>
      <c r="G204" s="17">
        <f t="shared" si="17"/>
        <v>8.86</v>
      </c>
      <c r="H204" s="17">
        <f t="shared" si="18"/>
        <v>2340.5643838931946</v>
      </c>
      <c r="I204" s="17">
        <f>Datos!AR204</f>
        <v>0</v>
      </c>
      <c r="J204" s="17">
        <f>Datos!AS204</f>
        <v>0</v>
      </c>
      <c r="K204" s="17">
        <f>Datos!AU204</f>
        <v>0</v>
      </c>
      <c r="L204" s="80">
        <f t="shared" si="20"/>
        <v>0</v>
      </c>
      <c r="M204" s="17">
        <f>Datos!AX204</f>
        <v>0</v>
      </c>
    </row>
    <row r="205" spans="1:13">
      <c r="A205" s="97">
        <v>45130</v>
      </c>
      <c r="B205" s="16">
        <f>Datos!Y205</f>
        <v>1304439.3000000003</v>
      </c>
      <c r="C205" s="17">
        <f>Datos!AJ205+Datos!AK205</f>
        <v>2.7</v>
      </c>
      <c r="D205" s="80">
        <f t="shared" si="21"/>
        <v>713.26454136700079</v>
      </c>
      <c r="E205" s="17">
        <f>Datos!AN205</f>
        <v>6.7300000000000013</v>
      </c>
      <c r="F205" s="80">
        <f t="shared" si="19"/>
        <v>1777.8779123703391</v>
      </c>
      <c r="G205" s="17">
        <f t="shared" si="17"/>
        <v>9.4300000000000015</v>
      </c>
      <c r="H205" s="17">
        <f t="shared" si="18"/>
        <v>2491.14245373734</v>
      </c>
      <c r="I205" s="17">
        <f>Datos!AR205</f>
        <v>0</v>
      </c>
      <c r="J205" s="17">
        <f>Datos!AS205</f>
        <v>0</v>
      </c>
      <c r="K205" s="17">
        <f>Datos!AU205</f>
        <v>0</v>
      </c>
      <c r="L205" s="80">
        <f t="shared" si="20"/>
        <v>0</v>
      </c>
      <c r="M205" s="17">
        <f>Datos!AX205</f>
        <v>0</v>
      </c>
    </row>
    <row r="206" spans="1:13">
      <c r="A206" s="97">
        <v>45131</v>
      </c>
      <c r="B206" s="16">
        <f>Datos!Y206</f>
        <v>1286472.4999999998</v>
      </c>
      <c r="C206" s="17">
        <f>Datos!AJ206+Datos!AK206</f>
        <v>1.4</v>
      </c>
      <c r="D206" s="80">
        <f t="shared" si="21"/>
        <v>369.84087330140778</v>
      </c>
      <c r="E206" s="17">
        <f>Datos!AN206</f>
        <v>6.4499999999999975</v>
      </c>
      <c r="F206" s="80">
        <f t="shared" si="19"/>
        <v>1703.9097377100566</v>
      </c>
      <c r="G206" s="17">
        <f t="shared" si="17"/>
        <v>7.8499999999999979</v>
      </c>
      <c r="H206" s="17">
        <f t="shared" si="18"/>
        <v>2073.7506110114646</v>
      </c>
      <c r="I206" s="17">
        <f>Datos!AR206</f>
        <v>0</v>
      </c>
      <c r="J206" s="17">
        <f>Datos!AS206</f>
        <v>11013</v>
      </c>
      <c r="K206" s="17">
        <f>Datos!AU206</f>
        <v>0</v>
      </c>
      <c r="L206" s="80">
        <f t="shared" si="20"/>
        <v>0</v>
      </c>
      <c r="M206" s="17">
        <f>Datos!AX206</f>
        <v>0</v>
      </c>
    </row>
    <row r="207" spans="1:13">
      <c r="A207" s="97">
        <v>45132</v>
      </c>
      <c r="B207" s="16">
        <f>Datos!Y207</f>
        <v>1278576.2</v>
      </c>
      <c r="C207" s="17">
        <f>Datos!AJ207+Datos!AK207</f>
        <v>0.8</v>
      </c>
      <c r="D207" s="80">
        <f t="shared" si="21"/>
        <v>211.33764188651872</v>
      </c>
      <c r="E207" s="17">
        <f>Datos!AN207</f>
        <v>6.8200000000000021</v>
      </c>
      <c r="F207" s="80">
        <f t="shared" si="19"/>
        <v>1801.6533970825728</v>
      </c>
      <c r="G207" s="17">
        <f t="shared" si="17"/>
        <v>7.6200000000000019</v>
      </c>
      <c r="H207" s="17">
        <f t="shared" si="18"/>
        <v>2012.9910389690915</v>
      </c>
      <c r="I207" s="17">
        <f>Datos!AR207</f>
        <v>0</v>
      </c>
      <c r="J207" s="17">
        <f>Datos!AS207</f>
        <v>0</v>
      </c>
      <c r="K207" s="17">
        <f>Datos!AU207</f>
        <v>0</v>
      </c>
      <c r="L207" s="80">
        <f t="shared" si="20"/>
        <v>0</v>
      </c>
      <c r="M207" s="17">
        <f>Datos!AX207</f>
        <v>0</v>
      </c>
    </row>
    <row r="208" spans="1:13">
      <c r="A208" s="97">
        <v>45133</v>
      </c>
      <c r="B208" s="16">
        <f>Datos!Y208</f>
        <v>1078402.6000000003</v>
      </c>
      <c r="C208" s="17">
        <f>Datos!AJ208+Datos!AK208</f>
        <v>1.6</v>
      </c>
      <c r="D208" s="80">
        <f t="shared" si="21"/>
        <v>422.67528377303745</v>
      </c>
      <c r="E208" s="17">
        <f>Datos!AN208</f>
        <v>5.3800000000000017</v>
      </c>
      <c r="F208" s="80">
        <f t="shared" si="19"/>
        <v>1421.245641686839</v>
      </c>
      <c r="G208" s="17">
        <f t="shared" si="17"/>
        <v>6.9800000000000022</v>
      </c>
      <c r="H208" s="17">
        <f t="shared" si="18"/>
        <v>1843.9209254598763</v>
      </c>
      <c r="I208" s="17">
        <f>Datos!AR208</f>
        <v>0</v>
      </c>
      <c r="J208" s="17">
        <f>Datos!AS208</f>
        <v>0</v>
      </c>
      <c r="K208" s="17">
        <f>Datos!AU208</f>
        <v>0</v>
      </c>
      <c r="L208" s="80">
        <f t="shared" si="20"/>
        <v>0</v>
      </c>
      <c r="M208" s="17">
        <f>Datos!AX208</f>
        <v>0</v>
      </c>
    </row>
    <row r="209" spans="1:13">
      <c r="A209" s="97">
        <v>45134</v>
      </c>
      <c r="B209" s="16">
        <f>Datos!Y209</f>
        <v>1296150.3</v>
      </c>
      <c r="C209" s="17">
        <f>Datos!AJ209+Datos!AK209</f>
        <v>0.9</v>
      </c>
      <c r="D209" s="80">
        <f t="shared" si="21"/>
        <v>237.75484712233359</v>
      </c>
      <c r="E209" s="17">
        <f>Datos!AN209</f>
        <v>7.1899999999999977</v>
      </c>
      <c r="F209" s="80">
        <f t="shared" si="19"/>
        <v>1899.3970564550866</v>
      </c>
      <c r="G209" s="17">
        <f t="shared" si="17"/>
        <v>8.0899999999999981</v>
      </c>
      <c r="H209" s="17">
        <f t="shared" si="18"/>
        <v>2137.1519035774204</v>
      </c>
      <c r="I209" s="17">
        <f>Datos!AR209</f>
        <v>0</v>
      </c>
      <c r="J209" s="17">
        <f>Datos!AS209</f>
        <v>0</v>
      </c>
      <c r="K209" s="17">
        <f>Datos!AU209</f>
        <v>0</v>
      </c>
      <c r="L209" s="80">
        <f t="shared" si="20"/>
        <v>0</v>
      </c>
      <c r="M209" s="17">
        <f>Datos!AX209</f>
        <v>0</v>
      </c>
    </row>
    <row r="210" spans="1:13">
      <c r="A210" s="97">
        <v>45135</v>
      </c>
      <c r="B210" s="16">
        <f>Datos!Y210</f>
        <v>1297355.8</v>
      </c>
      <c r="C210" s="17">
        <f>Datos!AJ210+Datos!AK210</f>
        <v>2.1</v>
      </c>
      <c r="D210" s="80">
        <f t="shared" si="21"/>
        <v>554.76130995211167</v>
      </c>
      <c r="E210" s="17">
        <f>Datos!AN210</f>
        <v>6.2499999999999964</v>
      </c>
      <c r="F210" s="80">
        <f t="shared" si="19"/>
        <v>1651.0753272384268</v>
      </c>
      <c r="G210" s="17">
        <f t="shared" si="17"/>
        <v>8.3499999999999961</v>
      </c>
      <c r="H210" s="17">
        <f t="shared" si="18"/>
        <v>2205.8366371905386</v>
      </c>
      <c r="I210" s="17">
        <f>Datos!AR210</f>
        <v>0</v>
      </c>
      <c r="J210" s="17">
        <f>Datos!AS210</f>
        <v>10775</v>
      </c>
      <c r="K210" s="17">
        <f>Datos!AU210</f>
        <v>0</v>
      </c>
      <c r="L210" s="80">
        <f t="shared" si="20"/>
        <v>0</v>
      </c>
      <c r="M210" s="17">
        <f>Datos!AX210</f>
        <v>0</v>
      </c>
    </row>
    <row r="211" spans="1:13">
      <c r="A211" s="97">
        <v>45136</v>
      </c>
      <c r="B211" s="16">
        <f>Datos!Y211</f>
        <v>1299304.5999999996</v>
      </c>
      <c r="C211" s="17">
        <f>Datos!AJ211+Datos!AK211</f>
        <v>1.6</v>
      </c>
      <c r="D211" s="80">
        <f t="shared" si="21"/>
        <v>422.67528377303745</v>
      </c>
      <c r="E211" s="17">
        <f>Datos!AN211</f>
        <v>6.8100000000000023</v>
      </c>
      <c r="F211" s="80">
        <f t="shared" si="19"/>
        <v>1799.0116765589912</v>
      </c>
      <c r="G211" s="17">
        <f t="shared" si="17"/>
        <v>8.4100000000000019</v>
      </c>
      <c r="H211" s="17">
        <f t="shared" si="18"/>
        <v>2221.6869603320288</v>
      </c>
      <c r="I211" s="17">
        <f>Datos!AR211</f>
        <v>0</v>
      </c>
      <c r="J211" s="17">
        <f>Datos!AS211</f>
        <v>0</v>
      </c>
      <c r="K211" s="17">
        <f>Datos!AU211</f>
        <v>0</v>
      </c>
      <c r="L211" s="80">
        <f t="shared" si="20"/>
        <v>0</v>
      </c>
      <c r="M211" s="17">
        <f>Datos!AX211</f>
        <v>0</v>
      </c>
    </row>
    <row r="212" spans="1:13">
      <c r="A212" s="97">
        <v>45137</v>
      </c>
      <c r="B212" s="16">
        <f>Datos!Y212</f>
        <v>1299050.2999999998</v>
      </c>
      <c r="C212" s="17">
        <f>Datos!AJ212+Datos!AK212</f>
        <v>2.2999999999999998</v>
      </c>
      <c r="D212" s="80">
        <f t="shared" si="21"/>
        <v>607.59572042374134</v>
      </c>
      <c r="E212" s="17">
        <f>Datos!AN212</f>
        <v>6.8900000000000006</v>
      </c>
      <c r="F212" s="80">
        <f t="shared" si="19"/>
        <v>1820.1454407476429</v>
      </c>
      <c r="G212" s="17">
        <f t="shared" si="17"/>
        <v>9.1900000000000013</v>
      </c>
      <c r="H212" s="17">
        <f t="shared" si="18"/>
        <v>2427.7411611713842</v>
      </c>
      <c r="I212" s="17">
        <f>Datos!AR212</f>
        <v>0</v>
      </c>
      <c r="J212" s="17">
        <f>Datos!AS212</f>
        <v>0</v>
      </c>
      <c r="K212" s="17">
        <f>Datos!AU212</f>
        <v>0</v>
      </c>
      <c r="L212" s="80">
        <f t="shared" si="20"/>
        <v>0</v>
      </c>
      <c r="M212" s="17">
        <f>Datos!AX212</f>
        <v>0</v>
      </c>
    </row>
    <row r="213" spans="1:13">
      <c r="A213" s="97">
        <v>45138</v>
      </c>
      <c r="B213" s="16">
        <f>Datos!Y213</f>
        <v>1247889.3</v>
      </c>
      <c r="C213" s="17">
        <f>Datos!AJ213+Datos!AK213</f>
        <v>1.9</v>
      </c>
      <c r="D213" s="80">
        <f t="shared" si="21"/>
        <v>501.92689948048201</v>
      </c>
      <c r="E213" s="17">
        <f>Datos!AN213</f>
        <v>6.7399999999999984</v>
      </c>
      <c r="F213" s="80">
        <f t="shared" si="19"/>
        <v>1780.5196328939198</v>
      </c>
      <c r="G213" s="17">
        <f t="shared" si="17"/>
        <v>8.6399999999999988</v>
      </c>
      <c r="H213" s="17">
        <f t="shared" si="18"/>
        <v>2282.4465323744016</v>
      </c>
      <c r="I213" s="17">
        <f>Datos!AR213</f>
        <v>11013</v>
      </c>
      <c r="J213" s="17">
        <f>Datos!AS213</f>
        <v>0</v>
      </c>
      <c r="K213" s="17">
        <f>Datos!AU213</f>
        <v>0</v>
      </c>
      <c r="L213" s="80">
        <f t="shared" si="20"/>
        <v>0</v>
      </c>
      <c r="M213" s="17">
        <f>Datos!AX213</f>
        <v>0</v>
      </c>
    </row>
    <row r="214" spans="1:13">
      <c r="A214" s="97">
        <v>45139</v>
      </c>
      <c r="B214" s="16">
        <f>Datos!Y214</f>
        <v>1339809.6999999997</v>
      </c>
      <c r="C214" s="17">
        <f>Datos!AJ214+Datos!AK214</f>
        <v>0</v>
      </c>
      <c r="D214" s="80">
        <f t="shared" si="21"/>
        <v>0</v>
      </c>
      <c r="E214" s="17">
        <f>Datos!AN214</f>
        <v>6.3999999999999986</v>
      </c>
      <c r="F214" s="80">
        <f t="shared" si="19"/>
        <v>1690.7011350921493</v>
      </c>
      <c r="G214" s="17">
        <f t="shared" ref="G214:G274" si="22">C214+E214</f>
        <v>6.3999999999999986</v>
      </c>
      <c r="H214" s="17">
        <f t="shared" ref="H214:H274" si="23">D214+F214</f>
        <v>1690.7011350921493</v>
      </c>
      <c r="I214" s="17">
        <f>Datos!AR214</f>
        <v>0</v>
      </c>
      <c r="J214" s="17">
        <f>Datos!AS214</f>
        <v>0</v>
      </c>
      <c r="K214" s="17">
        <f>Datos!AU214</f>
        <v>0</v>
      </c>
      <c r="L214" s="80">
        <f t="shared" si="20"/>
        <v>0</v>
      </c>
      <c r="M214" s="17">
        <f>Datos!AX214</f>
        <v>0</v>
      </c>
    </row>
    <row r="215" spans="1:13">
      <c r="A215" s="97">
        <v>45140</v>
      </c>
      <c r="B215" s="16">
        <f>Datos!Y215</f>
        <v>1340985.1000000001</v>
      </c>
      <c r="C215" s="17">
        <f>Datos!AJ215+Datos!AK215</f>
        <v>0</v>
      </c>
      <c r="D215" s="80">
        <f t="shared" si="21"/>
        <v>0</v>
      </c>
      <c r="E215" s="17">
        <f>Datos!AN215</f>
        <v>6.6400000000000006</v>
      </c>
      <c r="F215" s="80">
        <f t="shared" si="19"/>
        <v>1754.1024276581059</v>
      </c>
      <c r="G215" s="17">
        <f t="shared" si="22"/>
        <v>6.6400000000000006</v>
      </c>
      <c r="H215" s="17">
        <f t="shared" si="23"/>
        <v>1754.1024276581059</v>
      </c>
      <c r="I215" s="17">
        <f>Datos!AR215</f>
        <v>0</v>
      </c>
      <c r="J215" s="17">
        <f>Datos!AS215</f>
        <v>0</v>
      </c>
      <c r="K215" s="17">
        <f>Datos!AU215</f>
        <v>0</v>
      </c>
      <c r="L215" s="80">
        <f t="shared" si="20"/>
        <v>0</v>
      </c>
      <c r="M215" s="17">
        <f>Datos!AX215</f>
        <v>0</v>
      </c>
    </row>
    <row r="216" spans="1:13">
      <c r="A216" s="97">
        <v>45141</v>
      </c>
      <c r="B216" s="16">
        <f>Datos!Y216</f>
        <v>1393065</v>
      </c>
      <c r="C216" s="17">
        <f>Datos!AJ216+Datos!AK216</f>
        <v>0</v>
      </c>
      <c r="D216" s="80">
        <f t="shared" si="21"/>
        <v>0</v>
      </c>
      <c r="E216" s="17">
        <f>Datos!AN216</f>
        <v>6.2999999999999989</v>
      </c>
      <c r="F216" s="80">
        <f t="shared" si="19"/>
        <v>1664.2839298563349</v>
      </c>
      <c r="G216" s="17">
        <f t="shared" si="22"/>
        <v>6.2999999999999989</v>
      </c>
      <c r="H216" s="17">
        <f t="shared" si="23"/>
        <v>1664.2839298563349</v>
      </c>
      <c r="I216" s="17">
        <f>Datos!AR216</f>
        <v>0</v>
      </c>
      <c r="J216" s="17">
        <f>Datos!AS216</f>
        <v>0</v>
      </c>
      <c r="K216" s="17">
        <f>Datos!AU216</f>
        <v>0</v>
      </c>
      <c r="L216" s="80">
        <f t="shared" si="20"/>
        <v>0</v>
      </c>
      <c r="M216" s="17">
        <f>Datos!AX216</f>
        <v>0</v>
      </c>
    </row>
    <row r="217" spans="1:13">
      <c r="A217" s="97">
        <v>45142</v>
      </c>
      <c r="B217" s="16">
        <f>Datos!Y217</f>
        <v>1377100.8000000003</v>
      </c>
      <c r="C217" s="17">
        <f>Datos!AJ217+Datos!AK217</f>
        <v>0</v>
      </c>
      <c r="D217" s="80">
        <f t="shared" si="21"/>
        <v>0</v>
      </c>
      <c r="E217" s="17">
        <f>Datos!AN217</f>
        <v>6.6</v>
      </c>
      <c r="F217" s="80">
        <f t="shared" si="19"/>
        <v>1743.5355455637796</v>
      </c>
      <c r="G217" s="17">
        <f t="shared" si="22"/>
        <v>6.6</v>
      </c>
      <c r="H217" s="17">
        <f t="shared" si="23"/>
        <v>1743.5355455637796</v>
      </c>
      <c r="I217" s="17">
        <f>Datos!AR217</f>
        <v>0</v>
      </c>
      <c r="J217" s="17">
        <f>Datos!AS217</f>
        <v>0</v>
      </c>
      <c r="K217" s="17">
        <f>Datos!AU217</f>
        <v>0</v>
      </c>
      <c r="L217" s="80">
        <f t="shared" si="20"/>
        <v>0</v>
      </c>
      <c r="M217" s="17">
        <f>Datos!AX217</f>
        <v>0</v>
      </c>
    </row>
    <row r="218" spans="1:13">
      <c r="A218" s="97">
        <v>45143</v>
      </c>
      <c r="B218" s="16">
        <f>Datos!Y218</f>
        <v>1307835.3999999997</v>
      </c>
      <c r="C218" s="17">
        <f>Datos!AJ218+Datos!AK218</f>
        <v>0</v>
      </c>
      <c r="D218" s="80">
        <f t="shared" si="21"/>
        <v>0</v>
      </c>
      <c r="E218" s="17">
        <f>Datos!AN218</f>
        <v>6.6099999999999994</v>
      </c>
      <c r="F218" s="80">
        <f t="shared" si="19"/>
        <v>1746.1772660873607</v>
      </c>
      <c r="G218" s="17">
        <f t="shared" si="22"/>
        <v>6.6099999999999994</v>
      </c>
      <c r="H218" s="17">
        <f t="shared" si="23"/>
        <v>1746.1772660873607</v>
      </c>
      <c r="I218" s="17">
        <f>Datos!AR218</f>
        <v>0</v>
      </c>
      <c r="J218" s="17">
        <f>Datos!AS218</f>
        <v>0</v>
      </c>
      <c r="K218" s="17">
        <f>Datos!AU218</f>
        <v>0</v>
      </c>
      <c r="L218" s="80">
        <f t="shared" si="20"/>
        <v>0</v>
      </c>
      <c r="M218" s="17">
        <f>Datos!AX218</f>
        <v>0</v>
      </c>
    </row>
    <row r="219" spans="1:13">
      <c r="A219" s="97">
        <v>45144</v>
      </c>
      <c r="B219" s="16">
        <f>Datos!Y219</f>
        <v>1663743.2000000004</v>
      </c>
      <c r="C219" s="17">
        <f>Datos!AJ219+Datos!AK219</f>
        <v>0</v>
      </c>
      <c r="D219" s="80">
        <f t="shared" si="21"/>
        <v>0</v>
      </c>
      <c r="E219" s="17">
        <f>Datos!AN219</f>
        <v>7.3400000000000007</v>
      </c>
      <c r="F219" s="80">
        <f t="shared" si="19"/>
        <v>1939.0228643088096</v>
      </c>
      <c r="G219" s="17">
        <f t="shared" si="22"/>
        <v>7.3400000000000007</v>
      </c>
      <c r="H219" s="17">
        <f t="shared" si="23"/>
        <v>1939.0228643088096</v>
      </c>
      <c r="I219" s="17">
        <f>Datos!AR219</f>
        <v>0</v>
      </c>
      <c r="J219" s="17">
        <f>Datos!AS219</f>
        <v>0</v>
      </c>
      <c r="K219" s="17">
        <f>Datos!AU219</f>
        <v>0</v>
      </c>
      <c r="L219" s="80">
        <f t="shared" si="20"/>
        <v>0</v>
      </c>
      <c r="M219" s="17">
        <f>Datos!AX219</f>
        <v>0</v>
      </c>
    </row>
    <row r="220" spans="1:13">
      <c r="A220" s="97">
        <v>45145</v>
      </c>
      <c r="B220" s="16">
        <f>Datos!Y220</f>
        <v>1498870.3</v>
      </c>
      <c r="C220" s="17">
        <f>Datos!AJ220+Datos!AK220</f>
        <v>0</v>
      </c>
      <c r="D220" s="80">
        <f t="shared" si="21"/>
        <v>0</v>
      </c>
      <c r="E220" s="17">
        <f>Datos!AN220</f>
        <v>7.3999999999999959</v>
      </c>
      <c r="F220" s="80">
        <f t="shared" si="19"/>
        <v>1954.8731874502973</v>
      </c>
      <c r="G220" s="17">
        <f t="shared" si="22"/>
        <v>7.3999999999999959</v>
      </c>
      <c r="H220" s="17">
        <f t="shared" si="23"/>
        <v>1954.8731874502973</v>
      </c>
      <c r="I220" s="17">
        <f>Datos!AR220</f>
        <v>0</v>
      </c>
      <c r="J220" s="17">
        <f>Datos!AS220</f>
        <v>0</v>
      </c>
      <c r="K220" s="17">
        <f>Datos!AU220</f>
        <v>0</v>
      </c>
      <c r="L220" s="80">
        <f t="shared" si="20"/>
        <v>0</v>
      </c>
      <c r="M220" s="17">
        <f>Datos!AX220</f>
        <v>0</v>
      </c>
    </row>
    <row r="221" spans="1:13">
      <c r="A221" s="97">
        <v>45146</v>
      </c>
      <c r="B221" s="16">
        <f>Datos!Y221</f>
        <v>1501806.2999999998</v>
      </c>
      <c r="C221" s="17">
        <f>Datos!AJ221+Datos!AK221</f>
        <v>0</v>
      </c>
      <c r="D221" s="80">
        <f t="shared" si="21"/>
        <v>0</v>
      </c>
      <c r="E221" s="17">
        <f>Datos!AN221</f>
        <v>7.6500000000000012</v>
      </c>
      <c r="F221" s="80">
        <f t="shared" si="19"/>
        <v>2020.9162005398357</v>
      </c>
      <c r="G221" s="17">
        <f t="shared" si="22"/>
        <v>7.6500000000000012</v>
      </c>
      <c r="H221" s="17">
        <f t="shared" si="23"/>
        <v>2020.9162005398357</v>
      </c>
      <c r="I221" s="17">
        <f>Datos!AR221</f>
        <v>0</v>
      </c>
      <c r="J221" s="17">
        <f>Datos!AS221</f>
        <v>0</v>
      </c>
      <c r="K221" s="17">
        <f>Datos!AU221</f>
        <v>0</v>
      </c>
      <c r="L221" s="80">
        <f t="shared" si="20"/>
        <v>0</v>
      </c>
      <c r="M221" s="17">
        <f>Datos!AX221</f>
        <v>0</v>
      </c>
    </row>
    <row r="222" spans="1:13">
      <c r="A222" s="97">
        <v>45147</v>
      </c>
      <c r="B222" s="16">
        <f>Datos!Y222</f>
        <v>1562764.2000000002</v>
      </c>
      <c r="C222" s="17">
        <f>Datos!AJ222+Datos!AK222</f>
        <v>0</v>
      </c>
      <c r="D222" s="80">
        <f t="shared" si="21"/>
        <v>0</v>
      </c>
      <c r="E222" s="17">
        <f>Datos!AN222</f>
        <v>7.8199999999999994</v>
      </c>
      <c r="F222" s="80">
        <f t="shared" si="19"/>
        <v>2065.8254494407206</v>
      </c>
      <c r="G222" s="17">
        <f t="shared" si="22"/>
        <v>7.8199999999999994</v>
      </c>
      <c r="H222" s="17">
        <f t="shared" si="23"/>
        <v>2065.8254494407206</v>
      </c>
      <c r="I222" s="17">
        <f>Datos!AR222</f>
        <v>0</v>
      </c>
      <c r="J222" s="17">
        <f>Datos!AS222</f>
        <v>0</v>
      </c>
      <c r="K222" s="17">
        <f>Datos!AU222</f>
        <v>0</v>
      </c>
      <c r="L222" s="80">
        <f t="shared" si="20"/>
        <v>0</v>
      </c>
      <c r="M222" s="17">
        <f>Datos!AX222</f>
        <v>0</v>
      </c>
    </row>
    <row r="223" spans="1:13">
      <c r="A223" s="97">
        <v>45148</v>
      </c>
      <c r="B223" s="16">
        <f>Datos!Y223</f>
        <v>1297357.7</v>
      </c>
      <c r="C223" s="17">
        <f>Datos!AJ223+Datos!AK223</f>
        <v>0</v>
      </c>
      <c r="D223" s="80">
        <f t="shared" si="21"/>
        <v>0</v>
      </c>
      <c r="E223" s="17">
        <f>Datos!AN223</f>
        <v>6.04</v>
      </c>
      <c r="F223" s="80">
        <f t="shared" si="19"/>
        <v>1595.5991962432165</v>
      </c>
      <c r="G223" s="17">
        <f t="shared" si="22"/>
        <v>6.04</v>
      </c>
      <c r="H223" s="17">
        <f t="shared" si="23"/>
        <v>1595.5991962432165</v>
      </c>
      <c r="I223" s="17">
        <f>Datos!AR223</f>
        <v>0</v>
      </c>
      <c r="J223" s="17">
        <f>Datos!AS223</f>
        <v>0</v>
      </c>
      <c r="K223" s="17">
        <f>Datos!AU223</f>
        <v>0</v>
      </c>
      <c r="L223" s="80">
        <f t="shared" si="20"/>
        <v>0</v>
      </c>
      <c r="M223" s="17">
        <f>Datos!AX223</f>
        <v>0</v>
      </c>
    </row>
    <row r="224" spans="1:13">
      <c r="A224" s="97">
        <v>45149</v>
      </c>
      <c r="B224" s="16">
        <f>Datos!Y224</f>
        <v>1336790.1000000001</v>
      </c>
      <c r="C224" s="17">
        <f>Datos!AJ224+Datos!AK224</f>
        <v>0</v>
      </c>
      <c r="D224" s="80">
        <f t="shared" si="21"/>
        <v>0</v>
      </c>
      <c r="E224" s="17">
        <f>Datos!AN224</f>
        <v>6.5199999999999978</v>
      </c>
      <c r="F224" s="80">
        <f t="shared" si="19"/>
        <v>1722.4017813751273</v>
      </c>
      <c r="G224" s="17">
        <f t="shared" si="22"/>
        <v>6.5199999999999978</v>
      </c>
      <c r="H224" s="17">
        <f t="shared" si="23"/>
        <v>1722.4017813751273</v>
      </c>
      <c r="I224" s="17">
        <f>Datos!AR224</f>
        <v>0</v>
      </c>
      <c r="J224" s="17">
        <f>Datos!AS224</f>
        <v>0</v>
      </c>
      <c r="K224" s="17">
        <f>Datos!AU224</f>
        <v>0</v>
      </c>
      <c r="L224" s="80">
        <f t="shared" si="20"/>
        <v>0</v>
      </c>
      <c r="M224" s="17">
        <f>Datos!AX224</f>
        <v>0</v>
      </c>
    </row>
    <row r="225" spans="1:13">
      <c r="A225" s="97">
        <v>45150</v>
      </c>
      <c r="B225" s="16">
        <f>Datos!Y225</f>
        <v>1318685.9000000001</v>
      </c>
      <c r="C225" s="17">
        <f>Datos!AJ225+Datos!AK225</f>
        <v>0</v>
      </c>
      <c r="D225" s="80">
        <f t="shared" si="21"/>
        <v>0</v>
      </c>
      <c r="E225" s="17">
        <f>Datos!AN225</f>
        <v>5.8000000000000034</v>
      </c>
      <c r="F225" s="80">
        <f t="shared" si="19"/>
        <v>1532.1979036772618</v>
      </c>
      <c r="G225" s="17">
        <f t="shared" si="22"/>
        <v>5.8000000000000034</v>
      </c>
      <c r="H225" s="17">
        <f t="shared" si="23"/>
        <v>1532.1979036772618</v>
      </c>
      <c r="I225" s="17">
        <f>Datos!AR225</f>
        <v>0</v>
      </c>
      <c r="J225" s="17">
        <f>Datos!AS225</f>
        <v>0</v>
      </c>
      <c r="K225" s="17">
        <f>Datos!AU225</f>
        <v>0</v>
      </c>
      <c r="L225" s="80">
        <f t="shared" si="20"/>
        <v>0</v>
      </c>
      <c r="M225" s="17">
        <f>Datos!AX225</f>
        <v>0</v>
      </c>
    </row>
    <row r="226" spans="1:13">
      <c r="A226" s="97">
        <v>45151</v>
      </c>
      <c r="B226" s="16">
        <f>Datos!Y226</f>
        <v>1284354.1000000001</v>
      </c>
      <c r="C226" s="17">
        <f>Datos!AJ226+Datos!AK226</f>
        <v>0</v>
      </c>
      <c r="D226" s="80">
        <f t="shared" si="21"/>
        <v>0</v>
      </c>
      <c r="E226" s="17">
        <f>Datos!AN226</f>
        <v>5.6000000000000023</v>
      </c>
      <c r="F226" s="80">
        <f t="shared" si="19"/>
        <v>1479.3634932056318</v>
      </c>
      <c r="G226" s="17">
        <f t="shared" si="22"/>
        <v>5.6000000000000023</v>
      </c>
      <c r="H226" s="17">
        <f t="shared" si="23"/>
        <v>1479.3634932056318</v>
      </c>
      <c r="I226" s="17">
        <f>Datos!AR226</f>
        <v>0</v>
      </c>
      <c r="J226" s="17">
        <f>Datos!AS226</f>
        <v>0</v>
      </c>
      <c r="K226" s="17">
        <f>Datos!AU226</f>
        <v>0</v>
      </c>
      <c r="L226" s="80">
        <f t="shared" si="20"/>
        <v>0</v>
      </c>
      <c r="M226" s="17">
        <f>Datos!AX226</f>
        <v>0</v>
      </c>
    </row>
    <row r="227" spans="1:13">
      <c r="A227" s="97">
        <v>45152</v>
      </c>
      <c r="B227" s="16">
        <f>Datos!Y227</f>
        <v>1555726.3</v>
      </c>
      <c r="C227" s="17">
        <f>Datos!AJ227+Datos!AK227</f>
        <v>0</v>
      </c>
      <c r="D227" s="80">
        <f t="shared" si="21"/>
        <v>0</v>
      </c>
      <c r="E227" s="17">
        <f>Datos!AN227</f>
        <v>6.78</v>
      </c>
      <c r="F227" s="80">
        <f t="shared" si="19"/>
        <v>1791.0865149882463</v>
      </c>
      <c r="G227" s="17">
        <f t="shared" si="22"/>
        <v>6.78</v>
      </c>
      <c r="H227" s="17">
        <f t="shared" si="23"/>
        <v>1791.0865149882463</v>
      </c>
      <c r="I227" s="17">
        <f>Datos!AR227</f>
        <v>0</v>
      </c>
      <c r="J227" s="17">
        <f>Datos!AS227</f>
        <v>0</v>
      </c>
      <c r="K227" s="17">
        <f>Datos!AU227</f>
        <v>0</v>
      </c>
      <c r="L227" s="80">
        <f t="shared" si="20"/>
        <v>0</v>
      </c>
      <c r="M227" s="17">
        <f>Datos!AX227</f>
        <v>0</v>
      </c>
    </row>
    <row r="228" spans="1:13">
      <c r="A228" s="97">
        <v>45153</v>
      </c>
      <c r="B228" s="16">
        <f>Datos!Y228</f>
        <v>1483557.7999999998</v>
      </c>
      <c r="C228" s="17">
        <f>Datos!AJ228+Datos!AK228</f>
        <v>0</v>
      </c>
      <c r="D228" s="80">
        <f t="shared" si="21"/>
        <v>0</v>
      </c>
      <c r="E228" s="17">
        <f>Datos!AN228</f>
        <v>6.2699999999999978</v>
      </c>
      <c r="F228" s="80">
        <f t="shared" si="19"/>
        <v>1656.35876828559</v>
      </c>
      <c r="G228" s="17">
        <f t="shared" si="22"/>
        <v>6.2699999999999978</v>
      </c>
      <c r="H228" s="17">
        <f t="shared" si="23"/>
        <v>1656.35876828559</v>
      </c>
      <c r="I228" s="17">
        <f>Datos!AR228</f>
        <v>0</v>
      </c>
      <c r="J228" s="17">
        <f>Datos!AS228</f>
        <v>0</v>
      </c>
      <c r="K228" s="17">
        <f>Datos!AU228</f>
        <v>0</v>
      </c>
      <c r="L228" s="80">
        <f t="shared" si="20"/>
        <v>0</v>
      </c>
      <c r="M228" s="17">
        <f>Datos!AX228</f>
        <v>0</v>
      </c>
    </row>
    <row r="229" spans="1:13">
      <c r="A229" s="97">
        <v>45154</v>
      </c>
      <c r="B229" s="16">
        <f>Datos!Y229</f>
        <v>1239118.9000000001</v>
      </c>
      <c r="C229" s="17">
        <f>Datos!AJ229+Datos!AK229</f>
        <v>0</v>
      </c>
      <c r="D229" s="80">
        <f t="shared" si="21"/>
        <v>0</v>
      </c>
      <c r="E229" s="17">
        <f>Datos!AN229</f>
        <v>5.8500000000000014</v>
      </c>
      <c r="F229" s="80">
        <f t="shared" si="19"/>
        <v>1545.4065062951688</v>
      </c>
      <c r="G229" s="17">
        <f t="shared" si="22"/>
        <v>5.8500000000000014</v>
      </c>
      <c r="H229" s="17">
        <f t="shared" si="23"/>
        <v>1545.4065062951688</v>
      </c>
      <c r="I229" s="17">
        <f>Datos!AR229</f>
        <v>0</v>
      </c>
      <c r="J229" s="17">
        <f>Datos!AS229</f>
        <v>0</v>
      </c>
      <c r="K229" s="17">
        <f>Datos!AU229</f>
        <v>0</v>
      </c>
      <c r="L229" s="80">
        <f t="shared" si="20"/>
        <v>0</v>
      </c>
      <c r="M229" s="17">
        <f>Datos!AX229</f>
        <v>0</v>
      </c>
    </row>
    <row r="230" spans="1:13">
      <c r="A230" s="97">
        <v>45155</v>
      </c>
      <c r="B230" s="16">
        <f>Datos!Y230</f>
        <v>1259704.0000000002</v>
      </c>
      <c r="C230" s="17">
        <f>Datos!AJ230+Datos!AK230</f>
        <v>0</v>
      </c>
      <c r="D230" s="80">
        <f t="shared" si="21"/>
        <v>0</v>
      </c>
      <c r="E230" s="17">
        <f>Datos!AN230</f>
        <v>5.7100000000000017</v>
      </c>
      <c r="F230" s="80">
        <f t="shared" si="19"/>
        <v>1508.4224189650279</v>
      </c>
      <c r="G230" s="17">
        <f t="shared" si="22"/>
        <v>5.7100000000000017</v>
      </c>
      <c r="H230" s="17">
        <f t="shared" si="23"/>
        <v>1508.4224189650279</v>
      </c>
      <c r="I230" s="17">
        <f>Datos!AR230</f>
        <v>0</v>
      </c>
      <c r="J230" s="17">
        <f>Datos!AS230</f>
        <v>0</v>
      </c>
      <c r="K230" s="17">
        <f>Datos!AU230</f>
        <v>0</v>
      </c>
      <c r="L230" s="80">
        <f t="shared" si="20"/>
        <v>0</v>
      </c>
      <c r="M230" s="17">
        <f>Datos!AX230</f>
        <v>0</v>
      </c>
    </row>
    <row r="231" spans="1:13">
      <c r="A231" s="97">
        <v>45156</v>
      </c>
      <c r="B231" s="16">
        <f>Datos!Y231</f>
        <v>1242956.3000000003</v>
      </c>
      <c r="C231" s="17">
        <f>Datos!AJ231+Datos!AK231</f>
        <v>0</v>
      </c>
      <c r="D231" s="80">
        <f t="shared" si="21"/>
        <v>0</v>
      </c>
      <c r="E231" s="17">
        <f>Datos!AN231</f>
        <v>5.3800000000000026</v>
      </c>
      <c r="F231" s="80">
        <f t="shared" si="19"/>
        <v>1421.2456416868392</v>
      </c>
      <c r="G231" s="17">
        <f t="shared" si="22"/>
        <v>5.3800000000000026</v>
      </c>
      <c r="H231" s="17">
        <f t="shared" si="23"/>
        <v>1421.2456416868392</v>
      </c>
      <c r="I231" s="17">
        <f>Datos!AR231</f>
        <v>0</v>
      </c>
      <c r="J231" s="17">
        <f>Datos!AS231</f>
        <v>0</v>
      </c>
      <c r="K231" s="17">
        <f>Datos!AU231</f>
        <v>0</v>
      </c>
      <c r="L231" s="80">
        <f t="shared" si="20"/>
        <v>0</v>
      </c>
      <c r="M231" s="17">
        <f>Datos!AX231</f>
        <v>0</v>
      </c>
    </row>
    <row r="232" spans="1:13">
      <c r="A232" s="97">
        <v>45157</v>
      </c>
      <c r="B232" s="16">
        <f>Datos!Y232</f>
        <v>1284737.5</v>
      </c>
      <c r="C232" s="17">
        <f>Datos!AJ232+Datos!AK232</f>
        <v>0</v>
      </c>
      <c r="D232" s="80">
        <f t="shared" si="21"/>
        <v>0</v>
      </c>
      <c r="E232" s="17">
        <f>Datos!AN232</f>
        <v>6.63</v>
      </c>
      <c r="F232" s="80">
        <f t="shared" si="19"/>
        <v>1751.460707134524</v>
      </c>
      <c r="G232" s="17">
        <f t="shared" si="22"/>
        <v>6.63</v>
      </c>
      <c r="H232" s="17">
        <f t="shared" si="23"/>
        <v>1751.460707134524</v>
      </c>
      <c r="I232" s="17">
        <f>Datos!AR232</f>
        <v>0</v>
      </c>
      <c r="J232" s="17">
        <f>Datos!AS232</f>
        <v>0</v>
      </c>
      <c r="K232" s="17">
        <f>Datos!AU232</f>
        <v>0</v>
      </c>
      <c r="L232" s="80">
        <f t="shared" si="20"/>
        <v>0</v>
      </c>
      <c r="M232" s="17">
        <f>Datos!AX232</f>
        <v>0</v>
      </c>
    </row>
    <row r="233" spans="1:13">
      <c r="A233" s="97">
        <v>45158</v>
      </c>
      <c r="B233" s="16">
        <f>Datos!Y233</f>
        <v>1350011</v>
      </c>
      <c r="C233" s="17">
        <f>Datos!AJ233+Datos!AK233</f>
        <v>0</v>
      </c>
      <c r="D233" s="80">
        <f t="shared" si="21"/>
        <v>0</v>
      </c>
      <c r="E233" s="17">
        <f>Datos!AN233</f>
        <v>6.8499999999999979</v>
      </c>
      <c r="F233" s="80">
        <f t="shared" si="19"/>
        <v>1809.5785586533161</v>
      </c>
      <c r="G233" s="17">
        <f t="shared" si="22"/>
        <v>6.8499999999999979</v>
      </c>
      <c r="H233" s="17">
        <f t="shared" si="23"/>
        <v>1809.5785586533161</v>
      </c>
      <c r="I233" s="17">
        <f>Datos!AR233</f>
        <v>0</v>
      </c>
      <c r="J233" s="17">
        <f>Datos!AS233</f>
        <v>0</v>
      </c>
      <c r="K233" s="17">
        <f>Datos!AU233</f>
        <v>0</v>
      </c>
      <c r="L233" s="80">
        <f t="shared" si="20"/>
        <v>0</v>
      </c>
      <c r="M233" s="17">
        <f>Datos!AX233</f>
        <v>0</v>
      </c>
    </row>
    <row r="234" spans="1:13">
      <c r="A234" s="97">
        <v>45159</v>
      </c>
      <c r="B234" s="16">
        <f>Datos!Y234</f>
        <v>1379506.4000000001</v>
      </c>
      <c r="C234" s="17">
        <f>Datos!AJ234+Datos!AK234</f>
        <v>0</v>
      </c>
      <c r="D234" s="80">
        <f t="shared" si="21"/>
        <v>0</v>
      </c>
      <c r="E234" s="17">
        <f>Datos!AN234</f>
        <v>6.089999999999999</v>
      </c>
      <c r="F234" s="80">
        <f t="shared" si="19"/>
        <v>1608.8077988611237</v>
      </c>
      <c r="G234" s="17">
        <f t="shared" si="22"/>
        <v>6.089999999999999</v>
      </c>
      <c r="H234" s="17">
        <f t="shared" si="23"/>
        <v>1608.8077988611237</v>
      </c>
      <c r="I234" s="17">
        <f>Datos!AR234</f>
        <v>0</v>
      </c>
      <c r="J234" s="17">
        <f>Datos!AS234</f>
        <v>0</v>
      </c>
      <c r="K234" s="17">
        <f>Datos!AU234</f>
        <v>0</v>
      </c>
      <c r="L234" s="80">
        <f t="shared" si="20"/>
        <v>0</v>
      </c>
      <c r="M234" s="17">
        <f>Datos!AX234</f>
        <v>0</v>
      </c>
    </row>
    <row r="235" spans="1:13">
      <c r="A235" s="97">
        <v>45160</v>
      </c>
      <c r="B235" s="16">
        <f>Datos!Y235</f>
        <v>0</v>
      </c>
      <c r="C235" s="17">
        <f>Datos!AJ235+Datos!AK235</f>
        <v>0</v>
      </c>
      <c r="D235" s="80">
        <f t="shared" si="21"/>
        <v>0</v>
      </c>
      <c r="E235" s="17">
        <f>Datos!AN235</f>
        <v>6.5</v>
      </c>
      <c r="F235" s="80">
        <f t="shared" si="19"/>
        <v>1717.1183403279647</v>
      </c>
      <c r="G235" s="17">
        <f t="shared" si="22"/>
        <v>6.5</v>
      </c>
      <c r="H235" s="17">
        <f t="shared" si="23"/>
        <v>1717.1183403279647</v>
      </c>
      <c r="I235" s="17">
        <f>Datos!AR235</f>
        <v>0</v>
      </c>
      <c r="J235" s="17">
        <f>Datos!AS235</f>
        <v>0</v>
      </c>
      <c r="K235" s="17">
        <f>Datos!AU235</f>
        <v>0</v>
      </c>
      <c r="L235" s="80">
        <f t="shared" si="20"/>
        <v>0</v>
      </c>
      <c r="M235" s="17">
        <f>Datos!AX235</f>
        <v>0</v>
      </c>
    </row>
    <row r="236" spans="1:13">
      <c r="A236" s="97">
        <v>45161</v>
      </c>
      <c r="B236" s="16">
        <f>Datos!Y236</f>
        <v>0</v>
      </c>
      <c r="C236" s="17">
        <f>Datos!AJ236+Datos!AK236</f>
        <v>0</v>
      </c>
      <c r="D236" s="80">
        <f t="shared" si="21"/>
        <v>0</v>
      </c>
      <c r="E236" s="17">
        <f>Datos!AN236</f>
        <v>0</v>
      </c>
      <c r="F236" s="80">
        <f t="shared" si="19"/>
        <v>0</v>
      </c>
      <c r="G236" s="17">
        <f t="shared" si="22"/>
        <v>0</v>
      </c>
      <c r="H236" s="17">
        <f t="shared" si="23"/>
        <v>0</v>
      </c>
      <c r="I236" s="17">
        <f>Datos!AR236</f>
        <v>0</v>
      </c>
      <c r="J236" s="17">
        <f>Datos!AS236</f>
        <v>0</v>
      </c>
      <c r="K236" s="17">
        <f>Datos!AU236</f>
        <v>0</v>
      </c>
      <c r="L236" s="80">
        <f t="shared" si="20"/>
        <v>0</v>
      </c>
      <c r="M236" s="17">
        <f>Datos!AX236</f>
        <v>0</v>
      </c>
    </row>
    <row r="237" spans="1:13">
      <c r="A237" s="97">
        <v>45162</v>
      </c>
      <c r="B237" s="16">
        <f>Datos!Y237</f>
        <v>0</v>
      </c>
      <c r="C237" s="17">
        <f>Datos!AJ237+Datos!AK237</f>
        <v>0</v>
      </c>
      <c r="D237" s="80">
        <f t="shared" si="21"/>
        <v>0</v>
      </c>
      <c r="E237" s="17">
        <f>Datos!AN237</f>
        <v>0</v>
      </c>
      <c r="F237" s="80">
        <f t="shared" si="19"/>
        <v>0</v>
      </c>
      <c r="G237" s="17">
        <f t="shared" si="22"/>
        <v>0</v>
      </c>
      <c r="H237" s="17">
        <f t="shared" si="23"/>
        <v>0</v>
      </c>
      <c r="I237" s="17">
        <f>Datos!AR237</f>
        <v>0</v>
      </c>
      <c r="J237" s="17">
        <f>Datos!AS237</f>
        <v>0</v>
      </c>
      <c r="K237" s="17">
        <f>Datos!AU237</f>
        <v>0</v>
      </c>
      <c r="L237" s="80">
        <f t="shared" si="20"/>
        <v>0</v>
      </c>
      <c r="M237" s="17">
        <f>Datos!AX237</f>
        <v>0</v>
      </c>
    </row>
    <row r="238" spans="1:13">
      <c r="A238" s="97">
        <v>45163</v>
      </c>
      <c r="B238" s="16">
        <f>Datos!Y238</f>
        <v>0</v>
      </c>
      <c r="C238" s="17">
        <f>Datos!AJ238+Datos!AK238</f>
        <v>0</v>
      </c>
      <c r="D238" s="80">
        <f t="shared" si="21"/>
        <v>0</v>
      </c>
      <c r="E238" s="17">
        <f>Datos!AN238</f>
        <v>0</v>
      </c>
      <c r="F238" s="80">
        <f t="shared" si="19"/>
        <v>0</v>
      </c>
      <c r="G238" s="17">
        <f t="shared" si="22"/>
        <v>0</v>
      </c>
      <c r="H238" s="17">
        <f t="shared" si="23"/>
        <v>0</v>
      </c>
      <c r="I238" s="17">
        <f>Datos!AR238</f>
        <v>0</v>
      </c>
      <c r="J238" s="17">
        <f>Datos!AS238</f>
        <v>0</v>
      </c>
      <c r="K238" s="17">
        <f>Datos!AU238</f>
        <v>0</v>
      </c>
      <c r="L238" s="80">
        <f t="shared" si="20"/>
        <v>0</v>
      </c>
      <c r="M238" s="17">
        <f>Datos!AX238</f>
        <v>0</v>
      </c>
    </row>
    <row r="239" spans="1:13">
      <c r="A239" s="97">
        <v>45164</v>
      </c>
      <c r="B239" s="16">
        <f>Datos!Y239</f>
        <v>0</v>
      </c>
      <c r="C239" s="17">
        <f>Datos!AJ239+Datos!AK239</f>
        <v>0</v>
      </c>
      <c r="D239" s="80">
        <f t="shared" si="21"/>
        <v>0</v>
      </c>
      <c r="E239" s="17">
        <f>Datos!AN239</f>
        <v>0</v>
      </c>
      <c r="F239" s="80">
        <f t="shared" si="19"/>
        <v>0</v>
      </c>
      <c r="G239" s="17">
        <f t="shared" si="22"/>
        <v>0</v>
      </c>
      <c r="H239" s="17">
        <f t="shared" si="23"/>
        <v>0</v>
      </c>
      <c r="I239" s="17">
        <f>Datos!AR239</f>
        <v>0</v>
      </c>
      <c r="J239" s="17">
        <f>Datos!AS239</f>
        <v>0</v>
      </c>
      <c r="K239" s="17">
        <f>Datos!AU239</f>
        <v>0</v>
      </c>
      <c r="L239" s="80">
        <f t="shared" si="20"/>
        <v>0</v>
      </c>
      <c r="M239" s="17">
        <f>Datos!AX239</f>
        <v>0</v>
      </c>
    </row>
    <row r="240" spans="1:13">
      <c r="A240" s="97">
        <v>45165</v>
      </c>
      <c r="B240" s="16">
        <f>Datos!Y240</f>
        <v>0</v>
      </c>
      <c r="C240" s="17">
        <f>Datos!AJ240+Datos!AK240</f>
        <v>0</v>
      </c>
      <c r="D240" s="80">
        <f t="shared" si="21"/>
        <v>0</v>
      </c>
      <c r="E240" s="17">
        <f>Datos!AN240</f>
        <v>0</v>
      </c>
      <c r="F240" s="80">
        <f t="shared" si="19"/>
        <v>0</v>
      </c>
      <c r="G240" s="17">
        <f t="shared" si="22"/>
        <v>0</v>
      </c>
      <c r="H240" s="17">
        <f t="shared" si="23"/>
        <v>0</v>
      </c>
      <c r="I240" s="17">
        <f>Datos!AR240</f>
        <v>0</v>
      </c>
      <c r="J240" s="17">
        <f>Datos!AS240</f>
        <v>0</v>
      </c>
      <c r="K240" s="17">
        <f>Datos!AU240</f>
        <v>0</v>
      </c>
      <c r="L240" s="80">
        <f t="shared" si="20"/>
        <v>0</v>
      </c>
      <c r="M240" s="17">
        <f>Datos!AX240</f>
        <v>0</v>
      </c>
    </row>
    <row r="241" spans="1:13">
      <c r="A241" s="97">
        <v>45166</v>
      </c>
      <c r="B241" s="16">
        <f>Datos!Y241</f>
        <v>0</v>
      </c>
      <c r="C241" s="17">
        <f>Datos!AJ241+Datos!AK241</f>
        <v>0</v>
      </c>
      <c r="D241" s="80">
        <f t="shared" si="21"/>
        <v>0</v>
      </c>
      <c r="E241" s="17">
        <f>Datos!AN241</f>
        <v>0</v>
      </c>
      <c r="F241" s="80">
        <f t="shared" si="19"/>
        <v>0</v>
      </c>
      <c r="G241" s="17">
        <f t="shared" si="22"/>
        <v>0</v>
      </c>
      <c r="H241" s="17">
        <f t="shared" si="23"/>
        <v>0</v>
      </c>
      <c r="I241" s="17">
        <f>Datos!AR241</f>
        <v>0</v>
      </c>
      <c r="J241" s="17">
        <f>Datos!AS241</f>
        <v>0</v>
      </c>
      <c r="K241" s="17">
        <f>Datos!AU241</f>
        <v>0</v>
      </c>
      <c r="L241" s="80">
        <f t="shared" si="20"/>
        <v>0</v>
      </c>
      <c r="M241" s="17">
        <f>Datos!AX241</f>
        <v>0</v>
      </c>
    </row>
    <row r="242" spans="1:13">
      <c r="A242" s="97">
        <v>45167</v>
      </c>
      <c r="B242" s="16">
        <f>Datos!Y242</f>
        <v>0</v>
      </c>
      <c r="C242" s="17">
        <f>Datos!AJ242+Datos!AK242</f>
        <v>0</v>
      </c>
      <c r="D242" s="80">
        <f t="shared" si="21"/>
        <v>0</v>
      </c>
      <c r="E242" s="17">
        <f>Datos!AN242</f>
        <v>0</v>
      </c>
      <c r="F242" s="80">
        <f t="shared" si="19"/>
        <v>0</v>
      </c>
      <c r="G242" s="17">
        <f t="shared" si="22"/>
        <v>0</v>
      </c>
      <c r="H242" s="17">
        <f t="shared" si="23"/>
        <v>0</v>
      </c>
      <c r="I242" s="17">
        <f>Datos!AR242</f>
        <v>0</v>
      </c>
      <c r="J242" s="17">
        <f>Datos!AS242</f>
        <v>0</v>
      </c>
      <c r="K242" s="17">
        <f>Datos!AU242</f>
        <v>0</v>
      </c>
      <c r="L242" s="80">
        <f t="shared" si="20"/>
        <v>0</v>
      </c>
      <c r="M242" s="17">
        <f>Datos!AX242</f>
        <v>0</v>
      </c>
    </row>
    <row r="243" spans="1:13">
      <c r="A243" s="97">
        <v>45168</v>
      </c>
      <c r="B243" s="16">
        <f>Datos!Y243</f>
        <v>0</v>
      </c>
      <c r="C243" s="17">
        <f>Datos!AJ243+Datos!AK243</f>
        <v>0</v>
      </c>
      <c r="D243" s="80">
        <f t="shared" si="21"/>
        <v>0</v>
      </c>
      <c r="E243" s="17">
        <f>Datos!AN243</f>
        <v>0</v>
      </c>
      <c r="F243" s="80">
        <f t="shared" si="19"/>
        <v>0</v>
      </c>
      <c r="G243" s="17">
        <f t="shared" si="22"/>
        <v>0</v>
      </c>
      <c r="H243" s="17">
        <f t="shared" si="23"/>
        <v>0</v>
      </c>
      <c r="I243" s="17">
        <f>Datos!AR243</f>
        <v>0</v>
      </c>
      <c r="J243" s="17">
        <f>Datos!AS243</f>
        <v>0</v>
      </c>
      <c r="K243" s="17">
        <f>Datos!AU243</f>
        <v>0</v>
      </c>
      <c r="L243" s="80">
        <f t="shared" si="20"/>
        <v>0</v>
      </c>
      <c r="M243" s="17">
        <f>Datos!AX243</f>
        <v>0</v>
      </c>
    </row>
    <row r="244" spans="1:13">
      <c r="A244" s="97">
        <v>45169</v>
      </c>
      <c r="B244" s="16">
        <f>Datos!Y244</f>
        <v>0</v>
      </c>
      <c r="C244" s="17">
        <f>Datos!AJ244+Datos!AK244</f>
        <v>0</v>
      </c>
      <c r="D244" s="80">
        <f t="shared" si="21"/>
        <v>0</v>
      </c>
      <c r="E244" s="17">
        <f>Datos!AN244</f>
        <v>0</v>
      </c>
      <c r="F244" s="80">
        <f t="shared" si="19"/>
        <v>0</v>
      </c>
      <c r="G244" s="17">
        <f t="shared" si="22"/>
        <v>0</v>
      </c>
      <c r="H244" s="17">
        <f t="shared" si="23"/>
        <v>0</v>
      </c>
      <c r="I244" s="17">
        <f>Datos!AR244</f>
        <v>0</v>
      </c>
      <c r="J244" s="17">
        <f>Datos!AS244</f>
        <v>0</v>
      </c>
      <c r="K244" s="17">
        <f>Datos!AU244</f>
        <v>0</v>
      </c>
      <c r="L244" s="80">
        <f t="shared" si="20"/>
        <v>0</v>
      </c>
      <c r="M244" s="17">
        <f>Datos!AX244</f>
        <v>0</v>
      </c>
    </row>
    <row r="245" spans="1:13">
      <c r="A245" s="97">
        <v>45170</v>
      </c>
      <c r="B245" s="16">
        <f>Datos!Y245</f>
        <v>0</v>
      </c>
      <c r="C245" s="17">
        <f>Datos!AJ245+Datos!AK245</f>
        <v>0</v>
      </c>
      <c r="D245" s="80">
        <f t="shared" si="21"/>
        <v>0</v>
      </c>
      <c r="E245" s="17">
        <f>Datos!AN245</f>
        <v>0</v>
      </c>
      <c r="F245" s="80">
        <f t="shared" si="19"/>
        <v>0</v>
      </c>
      <c r="G245" s="17">
        <f t="shared" si="22"/>
        <v>0</v>
      </c>
      <c r="H245" s="17">
        <f t="shared" si="23"/>
        <v>0</v>
      </c>
      <c r="I245" s="17">
        <f>Datos!AR245</f>
        <v>0</v>
      </c>
      <c r="J245" s="17">
        <f>Datos!AS245</f>
        <v>0</v>
      </c>
      <c r="K245" s="17">
        <f>Datos!AU245</f>
        <v>0</v>
      </c>
      <c r="L245" s="80">
        <f t="shared" si="20"/>
        <v>0</v>
      </c>
      <c r="M245" s="17">
        <f>Datos!AX245</f>
        <v>0</v>
      </c>
    </row>
    <row r="246" spans="1:13">
      <c r="A246" s="97">
        <v>45171</v>
      </c>
      <c r="B246" s="16">
        <f>Datos!Y246</f>
        <v>0</v>
      </c>
      <c r="C246" s="17">
        <f>Datos!AJ246+Datos!AK246</f>
        <v>0</v>
      </c>
      <c r="D246" s="80">
        <f t="shared" si="21"/>
        <v>0</v>
      </c>
      <c r="E246" s="17">
        <f>Datos!AN246</f>
        <v>0</v>
      </c>
      <c r="F246" s="80">
        <f t="shared" si="19"/>
        <v>0</v>
      </c>
      <c r="G246" s="17">
        <f t="shared" si="22"/>
        <v>0</v>
      </c>
      <c r="H246" s="17">
        <f t="shared" si="23"/>
        <v>0</v>
      </c>
      <c r="I246" s="17">
        <f>Datos!AR246</f>
        <v>0</v>
      </c>
      <c r="J246" s="17">
        <f>Datos!AS246</f>
        <v>0</v>
      </c>
      <c r="K246" s="17">
        <f>Datos!AU246</f>
        <v>0</v>
      </c>
      <c r="L246" s="80">
        <f t="shared" si="20"/>
        <v>0</v>
      </c>
      <c r="M246" s="17">
        <f>Datos!AX246</f>
        <v>0</v>
      </c>
    </row>
    <row r="247" spans="1:13">
      <c r="A247" s="97">
        <v>45172</v>
      </c>
      <c r="B247" s="16">
        <f>Datos!Y247</f>
        <v>0</v>
      </c>
      <c r="C247" s="17">
        <f>Datos!AJ247+Datos!AK247</f>
        <v>0</v>
      </c>
      <c r="D247" s="80">
        <f t="shared" si="21"/>
        <v>0</v>
      </c>
      <c r="E247" s="17">
        <f>Datos!AN247</f>
        <v>0</v>
      </c>
      <c r="F247" s="80">
        <f t="shared" si="19"/>
        <v>0</v>
      </c>
      <c r="G247" s="17">
        <f t="shared" si="22"/>
        <v>0</v>
      </c>
      <c r="H247" s="17">
        <f t="shared" si="23"/>
        <v>0</v>
      </c>
      <c r="I247" s="17">
        <f>Datos!AR247</f>
        <v>0</v>
      </c>
      <c r="J247" s="17">
        <f>Datos!AS247</f>
        <v>0</v>
      </c>
      <c r="K247" s="17">
        <f>Datos!AU247</f>
        <v>0</v>
      </c>
      <c r="L247" s="80">
        <f t="shared" si="20"/>
        <v>0</v>
      </c>
      <c r="M247" s="17">
        <f>Datos!AX247</f>
        <v>0</v>
      </c>
    </row>
    <row r="248" spans="1:13">
      <c r="A248" s="97">
        <v>45173</v>
      </c>
      <c r="B248" s="16">
        <f>Datos!Y248</f>
        <v>0</v>
      </c>
      <c r="C248" s="17">
        <f>Datos!AJ248+Datos!AK248</f>
        <v>0</v>
      </c>
      <c r="D248" s="80">
        <f t="shared" si="21"/>
        <v>0</v>
      </c>
      <c r="E248" s="17">
        <f>Datos!AN248</f>
        <v>0</v>
      </c>
      <c r="F248" s="80">
        <f t="shared" si="19"/>
        <v>0</v>
      </c>
      <c r="G248" s="17">
        <f t="shared" si="22"/>
        <v>0</v>
      </c>
      <c r="H248" s="17">
        <f t="shared" si="23"/>
        <v>0</v>
      </c>
      <c r="I248" s="17">
        <f>Datos!AR248</f>
        <v>0</v>
      </c>
      <c r="J248" s="17">
        <f>Datos!AS248</f>
        <v>0</v>
      </c>
      <c r="K248" s="17">
        <f>Datos!AU248</f>
        <v>0</v>
      </c>
      <c r="L248" s="80">
        <f t="shared" si="20"/>
        <v>0</v>
      </c>
      <c r="M248" s="17">
        <f>Datos!AX248</f>
        <v>0</v>
      </c>
    </row>
    <row r="249" spans="1:13">
      <c r="A249" s="97">
        <v>45174</v>
      </c>
      <c r="B249" s="16">
        <f>Datos!Y249</f>
        <v>0</v>
      </c>
      <c r="C249" s="17">
        <f>Datos!AJ249+Datos!AK249</f>
        <v>0</v>
      </c>
      <c r="D249" s="80">
        <f t="shared" si="21"/>
        <v>0</v>
      </c>
      <c r="E249" s="17">
        <f>Datos!AN249</f>
        <v>0</v>
      </c>
      <c r="F249" s="80">
        <f t="shared" si="19"/>
        <v>0</v>
      </c>
      <c r="G249" s="17">
        <f t="shared" si="22"/>
        <v>0</v>
      </c>
      <c r="H249" s="17">
        <f t="shared" si="23"/>
        <v>0</v>
      </c>
      <c r="I249" s="17">
        <f>Datos!AR249</f>
        <v>0</v>
      </c>
      <c r="J249" s="17">
        <f>Datos!AS249</f>
        <v>0</v>
      </c>
      <c r="K249" s="17">
        <f>Datos!AU249</f>
        <v>0</v>
      </c>
      <c r="L249" s="80">
        <f t="shared" si="20"/>
        <v>0</v>
      </c>
      <c r="M249" s="17">
        <f>Datos!AX249</f>
        <v>0</v>
      </c>
    </row>
    <row r="250" spans="1:13">
      <c r="A250" s="97">
        <v>45175</v>
      </c>
      <c r="B250" s="16">
        <f>Datos!Y250</f>
        <v>0</v>
      </c>
      <c r="C250" s="17">
        <f>Datos!AJ250+Datos!AK250</f>
        <v>0</v>
      </c>
      <c r="D250" s="80">
        <f t="shared" si="21"/>
        <v>0</v>
      </c>
      <c r="E250" s="17">
        <f>Datos!AN250</f>
        <v>0</v>
      </c>
      <c r="F250" s="80">
        <f t="shared" si="19"/>
        <v>0</v>
      </c>
      <c r="G250" s="17">
        <f t="shared" si="22"/>
        <v>0</v>
      </c>
      <c r="H250" s="17">
        <f t="shared" si="23"/>
        <v>0</v>
      </c>
      <c r="I250" s="17">
        <f>Datos!AR250</f>
        <v>0</v>
      </c>
      <c r="J250" s="17">
        <f>Datos!AS250</f>
        <v>0</v>
      </c>
      <c r="K250" s="17">
        <f>Datos!AU250</f>
        <v>0</v>
      </c>
      <c r="L250" s="80">
        <f t="shared" si="20"/>
        <v>0</v>
      </c>
      <c r="M250" s="17">
        <f>Datos!AX250</f>
        <v>0</v>
      </c>
    </row>
    <row r="251" spans="1:13">
      <c r="A251" s="97">
        <v>45176</v>
      </c>
      <c r="B251" s="16">
        <f>Datos!Y251</f>
        <v>0</v>
      </c>
      <c r="C251" s="17">
        <f>Datos!AJ251+Datos!AK251</f>
        <v>0</v>
      </c>
      <c r="D251" s="80">
        <f t="shared" si="21"/>
        <v>0</v>
      </c>
      <c r="E251" s="17">
        <f>Datos!AN251</f>
        <v>0</v>
      </c>
      <c r="F251" s="80">
        <f t="shared" si="19"/>
        <v>0</v>
      </c>
      <c r="G251" s="17">
        <f t="shared" si="22"/>
        <v>0</v>
      </c>
      <c r="H251" s="17">
        <f t="shared" si="23"/>
        <v>0</v>
      </c>
      <c r="I251" s="17">
        <f>Datos!AR251</f>
        <v>0</v>
      </c>
      <c r="J251" s="17">
        <f>Datos!AS251</f>
        <v>0</v>
      </c>
      <c r="K251" s="17">
        <f>Datos!AU251</f>
        <v>0</v>
      </c>
      <c r="L251" s="80">
        <f t="shared" si="20"/>
        <v>0</v>
      </c>
      <c r="M251" s="17">
        <f>Datos!AX251</f>
        <v>0</v>
      </c>
    </row>
    <row r="252" spans="1:13">
      <c r="A252" s="97">
        <v>45177</v>
      </c>
      <c r="B252" s="16">
        <f>Datos!Y252</f>
        <v>0</v>
      </c>
      <c r="C252" s="17">
        <f>Datos!AJ252+Datos!AK252</f>
        <v>0</v>
      </c>
      <c r="D252" s="80">
        <f t="shared" si="21"/>
        <v>0</v>
      </c>
      <c r="E252" s="17">
        <f>Datos!AN252</f>
        <v>0</v>
      </c>
      <c r="F252" s="80">
        <f t="shared" si="19"/>
        <v>0</v>
      </c>
      <c r="G252" s="17">
        <f t="shared" si="22"/>
        <v>0</v>
      </c>
      <c r="H252" s="17">
        <f t="shared" si="23"/>
        <v>0</v>
      </c>
      <c r="I252" s="17">
        <f>Datos!AR252</f>
        <v>0</v>
      </c>
      <c r="J252" s="17">
        <f>Datos!AS252</f>
        <v>0</v>
      </c>
      <c r="K252" s="17">
        <f>Datos!AU252</f>
        <v>0</v>
      </c>
      <c r="L252" s="80">
        <f t="shared" si="20"/>
        <v>0</v>
      </c>
      <c r="M252" s="17">
        <f>Datos!AX252</f>
        <v>0</v>
      </c>
    </row>
    <row r="253" spans="1:13">
      <c r="A253" s="97">
        <v>45178</v>
      </c>
      <c r="B253" s="16">
        <f>Datos!Y253</f>
        <v>0</v>
      </c>
      <c r="C253" s="17">
        <f>Datos!AJ253+Datos!AK253</f>
        <v>0</v>
      </c>
      <c r="D253" s="80">
        <f t="shared" si="21"/>
        <v>0</v>
      </c>
      <c r="E253" s="17">
        <f>Datos!AN253</f>
        <v>0</v>
      </c>
      <c r="F253" s="80">
        <f t="shared" si="19"/>
        <v>0</v>
      </c>
      <c r="G253" s="17">
        <f t="shared" si="22"/>
        <v>0</v>
      </c>
      <c r="H253" s="17">
        <f t="shared" si="23"/>
        <v>0</v>
      </c>
      <c r="I253" s="17">
        <f>Datos!AR253</f>
        <v>0</v>
      </c>
      <c r="J253" s="17">
        <f>Datos!AS253</f>
        <v>0</v>
      </c>
      <c r="K253" s="17">
        <f>Datos!AU253</f>
        <v>0</v>
      </c>
      <c r="L253" s="80">
        <f t="shared" si="20"/>
        <v>0</v>
      </c>
      <c r="M253" s="17">
        <f>Datos!AX253</f>
        <v>0</v>
      </c>
    </row>
    <row r="254" spans="1:13">
      <c r="A254" s="97">
        <v>45179</v>
      </c>
      <c r="B254" s="16">
        <f>Datos!Y254</f>
        <v>0</v>
      </c>
      <c r="C254" s="17">
        <f>Datos!AJ254+Datos!AK254</f>
        <v>0</v>
      </c>
      <c r="D254" s="80">
        <f t="shared" si="21"/>
        <v>0</v>
      </c>
      <c r="E254" s="17">
        <f>Datos!AN254</f>
        <v>0</v>
      </c>
      <c r="F254" s="80">
        <f t="shared" si="19"/>
        <v>0</v>
      </c>
      <c r="G254" s="17">
        <f t="shared" si="22"/>
        <v>0</v>
      </c>
      <c r="H254" s="17">
        <f t="shared" si="23"/>
        <v>0</v>
      </c>
      <c r="I254" s="17">
        <f>Datos!AR254</f>
        <v>0</v>
      </c>
      <c r="J254" s="17">
        <f>Datos!AS254</f>
        <v>0</v>
      </c>
      <c r="K254" s="17">
        <f>Datos!AU254</f>
        <v>0</v>
      </c>
      <c r="L254" s="80">
        <f t="shared" si="20"/>
        <v>0</v>
      </c>
      <c r="M254" s="17">
        <f>Datos!AX254</f>
        <v>0</v>
      </c>
    </row>
    <row r="255" spans="1:13">
      <c r="A255" s="97">
        <v>45180</v>
      </c>
      <c r="B255" s="16">
        <f>Datos!Y255</f>
        <v>0</v>
      </c>
      <c r="C255" s="17">
        <f>Datos!AJ255+Datos!AK255</f>
        <v>0</v>
      </c>
      <c r="D255" s="80">
        <f t="shared" si="21"/>
        <v>0</v>
      </c>
      <c r="E255" s="17">
        <f>Datos!AN255</f>
        <v>0</v>
      </c>
      <c r="F255" s="80">
        <f t="shared" si="19"/>
        <v>0</v>
      </c>
      <c r="G255" s="17">
        <f t="shared" si="22"/>
        <v>0</v>
      </c>
      <c r="H255" s="17">
        <f t="shared" si="23"/>
        <v>0</v>
      </c>
      <c r="I255" s="17">
        <f>Datos!AR255</f>
        <v>0</v>
      </c>
      <c r="J255" s="17">
        <f>Datos!AS255</f>
        <v>0</v>
      </c>
      <c r="K255" s="17">
        <f>Datos!AU255</f>
        <v>0</v>
      </c>
      <c r="L255" s="80">
        <f t="shared" si="20"/>
        <v>0</v>
      </c>
      <c r="M255" s="17">
        <f>Datos!AX255</f>
        <v>0</v>
      </c>
    </row>
    <row r="256" spans="1:13">
      <c r="A256" s="97">
        <v>45181</v>
      </c>
      <c r="B256" s="16">
        <f>Datos!Y256</f>
        <v>0</v>
      </c>
      <c r="C256" s="17">
        <f>Datos!AJ256+Datos!AK256</f>
        <v>0</v>
      </c>
      <c r="D256" s="80">
        <f t="shared" si="21"/>
        <v>0</v>
      </c>
      <c r="E256" s="17">
        <f>Datos!AN256</f>
        <v>0</v>
      </c>
      <c r="F256" s="80">
        <f t="shared" si="19"/>
        <v>0</v>
      </c>
      <c r="G256" s="17">
        <f t="shared" si="22"/>
        <v>0</v>
      </c>
      <c r="H256" s="17">
        <f t="shared" si="23"/>
        <v>0</v>
      </c>
      <c r="I256" s="17">
        <f>Datos!AR256</f>
        <v>0</v>
      </c>
      <c r="J256" s="17">
        <f>Datos!AS256</f>
        <v>0</v>
      </c>
      <c r="K256" s="17">
        <f>Datos!AU256</f>
        <v>0</v>
      </c>
      <c r="L256" s="80">
        <f t="shared" si="20"/>
        <v>0</v>
      </c>
      <c r="M256" s="17">
        <f>Datos!AX256</f>
        <v>0</v>
      </c>
    </row>
    <row r="257" spans="1:13">
      <c r="A257" s="97">
        <v>45182</v>
      </c>
      <c r="B257" s="16">
        <f>Datos!Y257</f>
        <v>0</v>
      </c>
      <c r="C257" s="17">
        <f>Datos!AJ257+Datos!AK257</f>
        <v>0</v>
      </c>
      <c r="D257" s="80">
        <f t="shared" si="21"/>
        <v>0</v>
      </c>
      <c r="E257" s="17">
        <f>Datos!AN257</f>
        <v>0</v>
      </c>
      <c r="F257" s="80">
        <f t="shared" si="19"/>
        <v>0</v>
      </c>
      <c r="G257" s="17">
        <f t="shared" si="22"/>
        <v>0</v>
      </c>
      <c r="H257" s="17">
        <f t="shared" si="23"/>
        <v>0</v>
      </c>
      <c r="I257" s="17">
        <f>Datos!AR257</f>
        <v>0</v>
      </c>
      <c r="J257" s="17">
        <f>Datos!AS257</f>
        <v>0</v>
      </c>
      <c r="K257" s="17">
        <f>Datos!AU257</f>
        <v>0</v>
      </c>
      <c r="L257" s="80">
        <f t="shared" si="20"/>
        <v>0</v>
      </c>
      <c r="M257" s="17">
        <f>Datos!AX257</f>
        <v>0</v>
      </c>
    </row>
    <row r="258" spans="1:13">
      <c r="A258" s="97">
        <v>45183</v>
      </c>
      <c r="B258" s="16">
        <f>Datos!Y258</f>
        <v>0</v>
      </c>
      <c r="C258" s="17">
        <f>Datos!AJ258+Datos!AK258</f>
        <v>0</v>
      </c>
      <c r="D258" s="80">
        <f t="shared" si="21"/>
        <v>0</v>
      </c>
      <c r="E258" s="17">
        <f>Datos!AN258</f>
        <v>0</v>
      </c>
      <c r="F258" s="80">
        <f t="shared" ref="F258:F321" si="24">+CONVERT(E258,"m^3","gal")</f>
        <v>0</v>
      </c>
      <c r="G258" s="17">
        <f t="shared" si="22"/>
        <v>0</v>
      </c>
      <c r="H258" s="17">
        <f t="shared" si="23"/>
        <v>0</v>
      </c>
      <c r="I258" s="17">
        <f>Datos!AR258</f>
        <v>0</v>
      </c>
      <c r="J258" s="17">
        <f>Datos!AS258</f>
        <v>0</v>
      </c>
      <c r="K258" s="17">
        <f>Datos!AU258</f>
        <v>0</v>
      </c>
      <c r="L258" s="80">
        <f t="shared" ref="L258:L321" si="25">+CONVERT(K258,"m^3","gal")</f>
        <v>0</v>
      </c>
      <c r="M258" s="17">
        <f>Datos!AX258</f>
        <v>0</v>
      </c>
    </row>
    <row r="259" spans="1:13">
      <c r="A259" s="97">
        <v>45184</v>
      </c>
      <c r="B259" s="16">
        <f>Datos!Y259</f>
        <v>0</v>
      </c>
      <c r="C259" s="17">
        <f>Datos!AJ259+Datos!AK259</f>
        <v>0</v>
      </c>
      <c r="D259" s="80">
        <f t="shared" ref="D259:D322" si="26">+CONVERT(C259,"m^3","gal")</f>
        <v>0</v>
      </c>
      <c r="E259" s="17">
        <f>Datos!AN259</f>
        <v>0</v>
      </c>
      <c r="F259" s="80">
        <f t="shared" si="24"/>
        <v>0</v>
      </c>
      <c r="G259" s="17">
        <f t="shared" si="22"/>
        <v>0</v>
      </c>
      <c r="H259" s="17">
        <f t="shared" si="23"/>
        <v>0</v>
      </c>
      <c r="I259" s="17">
        <f>Datos!AR259</f>
        <v>0</v>
      </c>
      <c r="J259" s="17">
        <f>Datos!AS259</f>
        <v>0</v>
      </c>
      <c r="K259" s="17">
        <f>Datos!AU259</f>
        <v>0</v>
      </c>
      <c r="L259" s="80">
        <f t="shared" si="25"/>
        <v>0</v>
      </c>
      <c r="M259" s="17">
        <f>Datos!AX259</f>
        <v>0</v>
      </c>
    </row>
    <row r="260" spans="1:13">
      <c r="A260" s="97">
        <v>45185</v>
      </c>
      <c r="B260" s="16">
        <f>Datos!Y260</f>
        <v>0</v>
      </c>
      <c r="C260" s="17">
        <f>Datos!AJ260+Datos!AK260</f>
        <v>0</v>
      </c>
      <c r="D260" s="80">
        <f t="shared" si="26"/>
        <v>0</v>
      </c>
      <c r="E260" s="17">
        <f>Datos!AN260</f>
        <v>0</v>
      </c>
      <c r="F260" s="80">
        <f t="shared" si="24"/>
        <v>0</v>
      </c>
      <c r="G260" s="17">
        <f t="shared" si="22"/>
        <v>0</v>
      </c>
      <c r="H260" s="17">
        <f t="shared" si="23"/>
        <v>0</v>
      </c>
      <c r="I260" s="17">
        <f>Datos!AR260</f>
        <v>0</v>
      </c>
      <c r="J260" s="17">
        <f>Datos!AS260</f>
        <v>0</v>
      </c>
      <c r="K260" s="17">
        <f>Datos!AU260</f>
        <v>0</v>
      </c>
      <c r="L260" s="80">
        <f t="shared" si="25"/>
        <v>0</v>
      </c>
      <c r="M260" s="17">
        <f>Datos!AX260</f>
        <v>0</v>
      </c>
    </row>
    <row r="261" spans="1:13">
      <c r="A261" s="97">
        <v>45186</v>
      </c>
      <c r="B261" s="16">
        <f>Datos!Y261</f>
        <v>0</v>
      </c>
      <c r="C261" s="17">
        <f>Datos!AJ261+Datos!AK261</f>
        <v>0</v>
      </c>
      <c r="D261" s="80">
        <f t="shared" si="26"/>
        <v>0</v>
      </c>
      <c r="E261" s="17">
        <f>Datos!AN261</f>
        <v>0</v>
      </c>
      <c r="F261" s="80">
        <f t="shared" si="24"/>
        <v>0</v>
      </c>
      <c r="G261" s="17">
        <f t="shared" si="22"/>
        <v>0</v>
      </c>
      <c r="H261" s="17">
        <f t="shared" si="23"/>
        <v>0</v>
      </c>
      <c r="I261" s="17">
        <f>Datos!AR261</f>
        <v>0</v>
      </c>
      <c r="J261" s="17">
        <f>Datos!AS261</f>
        <v>0</v>
      </c>
      <c r="K261" s="17">
        <f>Datos!AU261</f>
        <v>0</v>
      </c>
      <c r="L261" s="80">
        <f t="shared" si="25"/>
        <v>0</v>
      </c>
      <c r="M261" s="17">
        <f>Datos!AX261</f>
        <v>0</v>
      </c>
    </row>
    <row r="262" spans="1:13">
      <c r="A262" s="97">
        <v>45187</v>
      </c>
      <c r="B262" s="16">
        <f>Datos!Y262</f>
        <v>0</v>
      </c>
      <c r="C262" s="17">
        <f>Datos!AJ262+Datos!AK262</f>
        <v>0</v>
      </c>
      <c r="D262" s="80">
        <f t="shared" si="26"/>
        <v>0</v>
      </c>
      <c r="E262" s="17">
        <f>Datos!AN262</f>
        <v>0</v>
      </c>
      <c r="F262" s="80">
        <f t="shared" si="24"/>
        <v>0</v>
      </c>
      <c r="G262" s="17">
        <f t="shared" si="22"/>
        <v>0</v>
      </c>
      <c r="H262" s="17">
        <f t="shared" si="23"/>
        <v>0</v>
      </c>
      <c r="I262" s="17">
        <f>Datos!AR262</f>
        <v>0</v>
      </c>
      <c r="J262" s="17">
        <f>Datos!AS262</f>
        <v>0</v>
      </c>
      <c r="K262" s="17">
        <f>Datos!AU262</f>
        <v>0</v>
      </c>
      <c r="L262" s="80">
        <f t="shared" si="25"/>
        <v>0</v>
      </c>
      <c r="M262" s="17">
        <f>Datos!AX262</f>
        <v>0</v>
      </c>
    </row>
    <row r="263" spans="1:13">
      <c r="A263" s="97">
        <v>45188</v>
      </c>
      <c r="B263" s="16">
        <f>Datos!Y263</f>
        <v>0</v>
      </c>
      <c r="C263" s="17">
        <f>Datos!AJ263+Datos!AK263</f>
        <v>0</v>
      </c>
      <c r="D263" s="80">
        <f t="shared" si="26"/>
        <v>0</v>
      </c>
      <c r="E263" s="17">
        <f>Datos!AN263</f>
        <v>0</v>
      </c>
      <c r="F263" s="80">
        <f t="shared" si="24"/>
        <v>0</v>
      </c>
      <c r="G263" s="17">
        <f t="shared" si="22"/>
        <v>0</v>
      </c>
      <c r="H263" s="17">
        <f t="shared" si="23"/>
        <v>0</v>
      </c>
      <c r="I263" s="17">
        <f>Datos!AR263</f>
        <v>0</v>
      </c>
      <c r="J263" s="17">
        <f>Datos!AS263</f>
        <v>0</v>
      </c>
      <c r="K263" s="17">
        <f>Datos!AU263</f>
        <v>0</v>
      </c>
      <c r="L263" s="80">
        <f t="shared" si="25"/>
        <v>0</v>
      </c>
      <c r="M263" s="17">
        <f>Datos!AX263</f>
        <v>0</v>
      </c>
    </row>
    <row r="264" spans="1:13">
      <c r="A264" s="97">
        <v>45189</v>
      </c>
      <c r="B264" s="16">
        <f>Datos!Y264</f>
        <v>0</v>
      </c>
      <c r="C264" s="17">
        <f>Datos!AJ264+Datos!AK264</f>
        <v>0</v>
      </c>
      <c r="D264" s="80">
        <f t="shared" si="26"/>
        <v>0</v>
      </c>
      <c r="E264" s="17">
        <f>Datos!AN264</f>
        <v>0</v>
      </c>
      <c r="F264" s="80">
        <f t="shared" si="24"/>
        <v>0</v>
      </c>
      <c r="G264" s="17">
        <f t="shared" si="22"/>
        <v>0</v>
      </c>
      <c r="H264" s="17">
        <f t="shared" si="23"/>
        <v>0</v>
      </c>
      <c r="I264" s="17">
        <f>Datos!AR264</f>
        <v>0</v>
      </c>
      <c r="J264" s="17">
        <f>Datos!AS264</f>
        <v>0</v>
      </c>
      <c r="K264" s="17">
        <f>Datos!AU264</f>
        <v>0</v>
      </c>
      <c r="L264" s="80">
        <f t="shared" si="25"/>
        <v>0</v>
      </c>
      <c r="M264" s="17">
        <f>Datos!AX264</f>
        <v>0</v>
      </c>
    </row>
    <row r="265" spans="1:13">
      <c r="A265" s="97">
        <v>45190</v>
      </c>
      <c r="B265" s="16">
        <f>Datos!Y265</f>
        <v>0</v>
      </c>
      <c r="C265" s="17">
        <f>Datos!AJ265+Datos!AK265</f>
        <v>0</v>
      </c>
      <c r="D265" s="80">
        <f t="shared" si="26"/>
        <v>0</v>
      </c>
      <c r="E265" s="17">
        <f>Datos!AN265</f>
        <v>0</v>
      </c>
      <c r="F265" s="80">
        <f t="shared" si="24"/>
        <v>0</v>
      </c>
      <c r="G265" s="17">
        <f t="shared" si="22"/>
        <v>0</v>
      </c>
      <c r="H265" s="17">
        <f t="shared" si="23"/>
        <v>0</v>
      </c>
      <c r="I265" s="17">
        <f>Datos!AR265</f>
        <v>0</v>
      </c>
      <c r="J265" s="17">
        <f>Datos!AS265</f>
        <v>0</v>
      </c>
      <c r="K265" s="17">
        <f>Datos!AU265</f>
        <v>0</v>
      </c>
      <c r="L265" s="80">
        <f t="shared" si="25"/>
        <v>0</v>
      </c>
      <c r="M265" s="17">
        <f>Datos!AX265</f>
        <v>0</v>
      </c>
    </row>
    <row r="266" spans="1:13">
      <c r="A266" s="97">
        <v>45191</v>
      </c>
      <c r="B266" s="16">
        <f>Datos!Y266</f>
        <v>0</v>
      </c>
      <c r="C266" s="17">
        <f>Datos!AJ266+Datos!AK266</f>
        <v>0</v>
      </c>
      <c r="D266" s="80">
        <f t="shared" si="26"/>
        <v>0</v>
      </c>
      <c r="E266" s="17">
        <f>Datos!AN266</f>
        <v>0</v>
      </c>
      <c r="F266" s="80">
        <f t="shared" si="24"/>
        <v>0</v>
      </c>
      <c r="G266" s="17">
        <f t="shared" si="22"/>
        <v>0</v>
      </c>
      <c r="H266" s="17">
        <f t="shared" si="23"/>
        <v>0</v>
      </c>
      <c r="I266" s="17">
        <f>Datos!AR266</f>
        <v>0</v>
      </c>
      <c r="J266" s="17">
        <f>Datos!AS266</f>
        <v>0</v>
      </c>
      <c r="K266" s="17">
        <f>Datos!AU266</f>
        <v>0</v>
      </c>
      <c r="L266" s="80">
        <f t="shared" si="25"/>
        <v>0</v>
      </c>
      <c r="M266" s="17">
        <f>Datos!AX266</f>
        <v>0</v>
      </c>
    </row>
    <row r="267" spans="1:13">
      <c r="A267" s="97">
        <v>45192</v>
      </c>
      <c r="B267" s="16">
        <f>Datos!Y267</f>
        <v>0</v>
      </c>
      <c r="C267" s="17">
        <f>Datos!AJ267+Datos!AK267</f>
        <v>0</v>
      </c>
      <c r="D267" s="80">
        <f t="shared" si="26"/>
        <v>0</v>
      </c>
      <c r="E267" s="17">
        <f>Datos!AN267</f>
        <v>0</v>
      </c>
      <c r="F267" s="80">
        <f t="shared" si="24"/>
        <v>0</v>
      </c>
      <c r="G267" s="17">
        <f t="shared" si="22"/>
        <v>0</v>
      </c>
      <c r="H267" s="17">
        <f t="shared" si="23"/>
        <v>0</v>
      </c>
      <c r="I267" s="17">
        <f>Datos!AR267</f>
        <v>0</v>
      </c>
      <c r="J267" s="17">
        <f>Datos!AS267</f>
        <v>0</v>
      </c>
      <c r="K267" s="17">
        <f>Datos!AU267</f>
        <v>0</v>
      </c>
      <c r="L267" s="80">
        <f t="shared" si="25"/>
        <v>0</v>
      </c>
      <c r="M267" s="17">
        <f>Datos!AX267</f>
        <v>0</v>
      </c>
    </row>
    <row r="268" spans="1:13">
      <c r="A268" s="97">
        <v>45193</v>
      </c>
      <c r="B268" s="16">
        <f>Datos!Y268</f>
        <v>0</v>
      </c>
      <c r="C268" s="17">
        <f>Datos!AJ268+Datos!AK268</f>
        <v>0</v>
      </c>
      <c r="D268" s="80">
        <f t="shared" si="26"/>
        <v>0</v>
      </c>
      <c r="E268" s="17">
        <f>Datos!AN268</f>
        <v>0</v>
      </c>
      <c r="F268" s="80">
        <f t="shared" si="24"/>
        <v>0</v>
      </c>
      <c r="G268" s="17">
        <f t="shared" si="22"/>
        <v>0</v>
      </c>
      <c r="H268" s="17">
        <f t="shared" si="23"/>
        <v>0</v>
      </c>
      <c r="I268" s="17">
        <f>Datos!AR268</f>
        <v>0</v>
      </c>
      <c r="J268" s="17">
        <f>Datos!AS268</f>
        <v>0</v>
      </c>
      <c r="K268" s="17">
        <f>Datos!AU268</f>
        <v>0</v>
      </c>
      <c r="L268" s="80">
        <f t="shared" si="25"/>
        <v>0</v>
      </c>
      <c r="M268" s="17">
        <f>Datos!AX268</f>
        <v>0</v>
      </c>
    </row>
    <row r="269" spans="1:13">
      <c r="A269" s="97">
        <v>45194</v>
      </c>
      <c r="B269" s="16">
        <f>Datos!Y269</f>
        <v>0</v>
      </c>
      <c r="C269" s="17">
        <f>Datos!AJ269+Datos!AK269</f>
        <v>0</v>
      </c>
      <c r="D269" s="80">
        <f t="shared" si="26"/>
        <v>0</v>
      </c>
      <c r="E269" s="17">
        <f>Datos!AN269</f>
        <v>0</v>
      </c>
      <c r="F269" s="80">
        <f t="shared" si="24"/>
        <v>0</v>
      </c>
      <c r="G269" s="17">
        <f t="shared" si="22"/>
        <v>0</v>
      </c>
      <c r="H269" s="17">
        <f t="shared" si="23"/>
        <v>0</v>
      </c>
      <c r="I269" s="17">
        <f>Datos!AR269</f>
        <v>0</v>
      </c>
      <c r="J269" s="17">
        <f>Datos!AS269</f>
        <v>0</v>
      </c>
      <c r="K269" s="17">
        <f>Datos!AU269</f>
        <v>0</v>
      </c>
      <c r="L269" s="80">
        <f t="shared" si="25"/>
        <v>0</v>
      </c>
      <c r="M269" s="17">
        <f>Datos!AX269</f>
        <v>0</v>
      </c>
    </row>
    <row r="270" spans="1:13">
      <c r="A270" s="97">
        <v>45195</v>
      </c>
      <c r="B270" s="16">
        <f>Datos!Y270</f>
        <v>0</v>
      </c>
      <c r="C270" s="17">
        <f>Datos!AJ270+Datos!AK270</f>
        <v>0</v>
      </c>
      <c r="D270" s="80">
        <f t="shared" si="26"/>
        <v>0</v>
      </c>
      <c r="E270" s="17">
        <f>Datos!AN270</f>
        <v>0</v>
      </c>
      <c r="F270" s="80">
        <f t="shared" si="24"/>
        <v>0</v>
      </c>
      <c r="G270" s="17">
        <f t="shared" si="22"/>
        <v>0</v>
      </c>
      <c r="H270" s="17">
        <f t="shared" si="23"/>
        <v>0</v>
      </c>
      <c r="I270" s="17">
        <f>Datos!AR270</f>
        <v>0</v>
      </c>
      <c r="J270" s="17">
        <f>Datos!AS270</f>
        <v>0</v>
      </c>
      <c r="K270" s="17">
        <f>Datos!AU270</f>
        <v>0</v>
      </c>
      <c r="L270" s="80">
        <f t="shared" si="25"/>
        <v>0</v>
      </c>
      <c r="M270" s="17">
        <f>Datos!AX270</f>
        <v>0</v>
      </c>
    </row>
    <row r="271" spans="1:13">
      <c r="A271" s="97">
        <v>45196</v>
      </c>
      <c r="B271" s="16">
        <f>Datos!Y271</f>
        <v>0</v>
      </c>
      <c r="C271" s="17">
        <f>Datos!AJ271+Datos!AK271</f>
        <v>0</v>
      </c>
      <c r="D271" s="80">
        <f t="shared" si="26"/>
        <v>0</v>
      </c>
      <c r="E271" s="17">
        <f>Datos!AN271</f>
        <v>0</v>
      </c>
      <c r="F271" s="80">
        <f t="shared" si="24"/>
        <v>0</v>
      </c>
      <c r="G271" s="17">
        <f t="shared" si="22"/>
        <v>0</v>
      </c>
      <c r="H271" s="17">
        <f t="shared" si="23"/>
        <v>0</v>
      </c>
      <c r="I271" s="17">
        <f>Datos!AR271</f>
        <v>0</v>
      </c>
      <c r="J271" s="17">
        <f>Datos!AS271</f>
        <v>0</v>
      </c>
      <c r="K271" s="17">
        <f>Datos!AU271</f>
        <v>0</v>
      </c>
      <c r="L271" s="80">
        <f t="shared" si="25"/>
        <v>0</v>
      </c>
      <c r="M271" s="17">
        <f>Datos!AX271</f>
        <v>0</v>
      </c>
    </row>
    <row r="272" spans="1:13">
      <c r="A272" s="97">
        <v>45197</v>
      </c>
      <c r="B272" s="16">
        <f>Datos!Y272</f>
        <v>0</v>
      </c>
      <c r="C272" s="17">
        <f>Datos!AJ272+Datos!AK272</f>
        <v>0</v>
      </c>
      <c r="D272" s="80">
        <f t="shared" si="26"/>
        <v>0</v>
      </c>
      <c r="E272" s="17">
        <f>Datos!AN272</f>
        <v>0</v>
      </c>
      <c r="F272" s="80">
        <f t="shared" si="24"/>
        <v>0</v>
      </c>
      <c r="G272" s="17">
        <f t="shared" si="22"/>
        <v>0</v>
      </c>
      <c r="H272" s="17">
        <f t="shared" si="23"/>
        <v>0</v>
      </c>
      <c r="I272" s="17">
        <f>Datos!AR272</f>
        <v>0</v>
      </c>
      <c r="J272" s="17">
        <f>Datos!AS272</f>
        <v>0</v>
      </c>
      <c r="K272" s="17">
        <f>Datos!AU272</f>
        <v>0</v>
      </c>
      <c r="L272" s="80">
        <f t="shared" si="25"/>
        <v>0</v>
      </c>
      <c r="M272" s="17">
        <f>Datos!AX272</f>
        <v>0</v>
      </c>
    </row>
    <row r="273" spans="1:13">
      <c r="A273" s="97">
        <v>45198</v>
      </c>
      <c r="B273" s="16">
        <f>Datos!Y273</f>
        <v>0</v>
      </c>
      <c r="C273" s="17">
        <f>Datos!AJ273+Datos!AK273</f>
        <v>0</v>
      </c>
      <c r="D273" s="80">
        <f t="shared" si="26"/>
        <v>0</v>
      </c>
      <c r="E273" s="17">
        <f>Datos!AN273</f>
        <v>0</v>
      </c>
      <c r="F273" s="80">
        <f t="shared" si="24"/>
        <v>0</v>
      </c>
      <c r="G273" s="17">
        <f t="shared" si="22"/>
        <v>0</v>
      </c>
      <c r="H273" s="17">
        <f t="shared" si="23"/>
        <v>0</v>
      </c>
      <c r="I273" s="17">
        <f>Datos!AR273</f>
        <v>0</v>
      </c>
      <c r="J273" s="17">
        <f>Datos!AS273</f>
        <v>0</v>
      </c>
      <c r="K273" s="17">
        <f>Datos!AU273</f>
        <v>0</v>
      </c>
      <c r="L273" s="80">
        <f t="shared" si="25"/>
        <v>0</v>
      </c>
      <c r="M273" s="17">
        <f>Datos!AX273</f>
        <v>0</v>
      </c>
    </row>
    <row r="274" spans="1:13">
      <c r="A274" s="97">
        <v>45199</v>
      </c>
      <c r="B274" s="16">
        <f>Datos!Y274</f>
        <v>0</v>
      </c>
      <c r="C274" s="17">
        <f>Datos!AJ274+Datos!AK274</f>
        <v>0</v>
      </c>
      <c r="D274" s="80">
        <f t="shared" si="26"/>
        <v>0</v>
      </c>
      <c r="E274" s="17">
        <f>Datos!AN274</f>
        <v>0</v>
      </c>
      <c r="F274" s="80">
        <f t="shared" si="24"/>
        <v>0</v>
      </c>
      <c r="G274" s="17">
        <f t="shared" si="22"/>
        <v>0</v>
      </c>
      <c r="H274" s="17">
        <f t="shared" si="23"/>
        <v>0</v>
      </c>
      <c r="I274" s="17">
        <f>Datos!AR274</f>
        <v>0</v>
      </c>
      <c r="J274" s="17">
        <f>Datos!AS274</f>
        <v>0</v>
      </c>
      <c r="K274" s="17">
        <f>Datos!AU274</f>
        <v>0</v>
      </c>
      <c r="L274" s="80">
        <f t="shared" si="25"/>
        <v>0</v>
      </c>
      <c r="M274" s="17">
        <f>Datos!AX274</f>
        <v>0</v>
      </c>
    </row>
    <row r="275" spans="1:13">
      <c r="A275" s="97">
        <v>45200</v>
      </c>
      <c r="B275" s="16">
        <f>Datos!Y275</f>
        <v>0</v>
      </c>
      <c r="C275" s="17">
        <f>Datos!AJ275+Datos!AK275</f>
        <v>0</v>
      </c>
      <c r="D275" s="80">
        <f t="shared" si="26"/>
        <v>0</v>
      </c>
      <c r="E275" s="17">
        <f>Datos!AN275</f>
        <v>0</v>
      </c>
      <c r="F275" s="80">
        <f t="shared" si="24"/>
        <v>0</v>
      </c>
      <c r="G275" s="17">
        <f t="shared" ref="G275:G306" si="27">C275+E275</f>
        <v>0</v>
      </c>
      <c r="H275" s="17">
        <f t="shared" ref="H275:H306" si="28">D275+F275</f>
        <v>0</v>
      </c>
      <c r="I275" s="17">
        <f>Datos!AR275</f>
        <v>0</v>
      </c>
      <c r="J275" s="17">
        <f>Datos!AS275</f>
        <v>0</v>
      </c>
      <c r="K275" s="17">
        <f>Datos!AU275</f>
        <v>0</v>
      </c>
      <c r="L275" s="80">
        <f t="shared" si="25"/>
        <v>0</v>
      </c>
      <c r="M275" s="17">
        <f>Datos!AX275</f>
        <v>0</v>
      </c>
    </row>
    <row r="276" spans="1:13">
      <c r="A276" s="97">
        <v>45201</v>
      </c>
      <c r="B276" s="16">
        <f>Datos!Y276</f>
        <v>0</v>
      </c>
      <c r="C276" s="17">
        <f>Datos!AJ276+Datos!AK276</f>
        <v>0</v>
      </c>
      <c r="D276" s="80">
        <f t="shared" si="26"/>
        <v>0</v>
      </c>
      <c r="E276" s="17">
        <f>Datos!AN276</f>
        <v>0</v>
      </c>
      <c r="F276" s="80">
        <f t="shared" si="24"/>
        <v>0</v>
      </c>
      <c r="G276" s="17">
        <f t="shared" si="27"/>
        <v>0</v>
      </c>
      <c r="H276" s="17">
        <f t="shared" si="28"/>
        <v>0</v>
      </c>
      <c r="I276" s="17">
        <f>Datos!AR276</f>
        <v>0</v>
      </c>
      <c r="J276" s="17">
        <f>Datos!AS276</f>
        <v>0</v>
      </c>
      <c r="K276" s="17">
        <f>Datos!AU276</f>
        <v>0</v>
      </c>
      <c r="L276" s="80">
        <f t="shared" si="25"/>
        <v>0</v>
      </c>
      <c r="M276" s="17">
        <f>Datos!AX276</f>
        <v>0</v>
      </c>
    </row>
    <row r="277" spans="1:13">
      <c r="A277" s="97">
        <v>45202</v>
      </c>
      <c r="B277" s="16">
        <f>Datos!Y277</f>
        <v>0</v>
      </c>
      <c r="C277" s="17">
        <f>Datos!AJ277+Datos!AK277</f>
        <v>0</v>
      </c>
      <c r="D277" s="80">
        <f t="shared" si="26"/>
        <v>0</v>
      </c>
      <c r="E277" s="17">
        <f>Datos!AN277</f>
        <v>0</v>
      </c>
      <c r="F277" s="80">
        <f t="shared" si="24"/>
        <v>0</v>
      </c>
      <c r="G277" s="17">
        <f t="shared" si="27"/>
        <v>0</v>
      </c>
      <c r="H277" s="17">
        <f t="shared" si="28"/>
        <v>0</v>
      </c>
      <c r="I277" s="17">
        <f>Datos!AR277</f>
        <v>0</v>
      </c>
      <c r="J277" s="17">
        <f>Datos!AS277</f>
        <v>0</v>
      </c>
      <c r="K277" s="17">
        <f>Datos!AU277</f>
        <v>0</v>
      </c>
      <c r="L277" s="80">
        <f t="shared" si="25"/>
        <v>0</v>
      </c>
      <c r="M277" s="17">
        <f>Datos!AX277</f>
        <v>0</v>
      </c>
    </row>
    <row r="278" spans="1:13">
      <c r="A278" s="97">
        <v>45203</v>
      </c>
      <c r="B278" s="16">
        <f>Datos!Y278</f>
        <v>0</v>
      </c>
      <c r="C278" s="17">
        <f>Datos!AJ278+Datos!AK278</f>
        <v>0</v>
      </c>
      <c r="D278" s="80">
        <f t="shared" si="26"/>
        <v>0</v>
      </c>
      <c r="E278" s="17">
        <f>Datos!AN278</f>
        <v>0</v>
      </c>
      <c r="F278" s="80">
        <f t="shared" si="24"/>
        <v>0</v>
      </c>
      <c r="G278" s="17">
        <f t="shared" si="27"/>
        <v>0</v>
      </c>
      <c r="H278" s="17">
        <f t="shared" si="28"/>
        <v>0</v>
      </c>
      <c r="I278" s="17">
        <f>Datos!AR278</f>
        <v>0</v>
      </c>
      <c r="J278" s="17">
        <f>Datos!AS278</f>
        <v>0</v>
      </c>
      <c r="K278" s="17">
        <f>Datos!AU278</f>
        <v>0</v>
      </c>
      <c r="L278" s="80">
        <f t="shared" si="25"/>
        <v>0</v>
      </c>
      <c r="M278" s="17">
        <f>Datos!AX278</f>
        <v>0</v>
      </c>
    </row>
    <row r="279" spans="1:13">
      <c r="A279" s="97">
        <v>45204</v>
      </c>
      <c r="B279" s="16">
        <f>Datos!Y279</f>
        <v>0</v>
      </c>
      <c r="C279" s="17">
        <f>Datos!AJ279+Datos!AK279</f>
        <v>0</v>
      </c>
      <c r="D279" s="80">
        <f t="shared" si="26"/>
        <v>0</v>
      </c>
      <c r="E279" s="17">
        <f>Datos!AN279</f>
        <v>0</v>
      </c>
      <c r="F279" s="80">
        <f t="shared" si="24"/>
        <v>0</v>
      </c>
      <c r="G279" s="17">
        <f t="shared" si="27"/>
        <v>0</v>
      </c>
      <c r="H279" s="17">
        <f t="shared" si="28"/>
        <v>0</v>
      </c>
      <c r="I279" s="17">
        <f>Datos!AR279</f>
        <v>0</v>
      </c>
      <c r="J279" s="17">
        <f>Datos!AS279</f>
        <v>0</v>
      </c>
      <c r="K279" s="17">
        <f>Datos!AU279</f>
        <v>0</v>
      </c>
      <c r="L279" s="80">
        <f t="shared" si="25"/>
        <v>0</v>
      </c>
      <c r="M279" s="17">
        <f>Datos!AX279</f>
        <v>0</v>
      </c>
    </row>
    <row r="280" spans="1:13">
      <c r="A280" s="97">
        <v>45205</v>
      </c>
      <c r="B280" s="16">
        <f>Datos!Y280</f>
        <v>0</v>
      </c>
      <c r="C280" s="17">
        <f>Datos!AJ280+Datos!AK280</f>
        <v>0</v>
      </c>
      <c r="D280" s="80">
        <f t="shared" si="26"/>
        <v>0</v>
      </c>
      <c r="E280" s="17">
        <f>Datos!AN280</f>
        <v>0</v>
      </c>
      <c r="F280" s="80">
        <f t="shared" si="24"/>
        <v>0</v>
      </c>
      <c r="G280" s="17">
        <f t="shared" si="27"/>
        <v>0</v>
      </c>
      <c r="H280" s="17">
        <f t="shared" si="28"/>
        <v>0</v>
      </c>
      <c r="I280" s="17">
        <f>Datos!AR280</f>
        <v>0</v>
      </c>
      <c r="J280" s="17">
        <f>Datos!AS280</f>
        <v>0</v>
      </c>
      <c r="K280" s="17">
        <f>Datos!AU280</f>
        <v>0</v>
      </c>
      <c r="L280" s="80">
        <f t="shared" si="25"/>
        <v>0</v>
      </c>
      <c r="M280" s="17">
        <f>Datos!AX280</f>
        <v>0</v>
      </c>
    </row>
    <row r="281" spans="1:13">
      <c r="A281" s="97">
        <v>45206</v>
      </c>
      <c r="B281" s="16">
        <f>Datos!Y281</f>
        <v>0</v>
      </c>
      <c r="C281" s="17">
        <f>Datos!AJ281+Datos!AK281</f>
        <v>0</v>
      </c>
      <c r="D281" s="80">
        <f t="shared" si="26"/>
        <v>0</v>
      </c>
      <c r="E281" s="17">
        <f>Datos!AN281</f>
        <v>0</v>
      </c>
      <c r="F281" s="80">
        <f t="shared" si="24"/>
        <v>0</v>
      </c>
      <c r="G281" s="17">
        <f t="shared" si="27"/>
        <v>0</v>
      </c>
      <c r="H281" s="17">
        <f t="shared" si="28"/>
        <v>0</v>
      </c>
      <c r="I281" s="17">
        <f>Datos!AR281</f>
        <v>0</v>
      </c>
      <c r="J281" s="17">
        <f>Datos!AS281</f>
        <v>0</v>
      </c>
      <c r="K281" s="17">
        <f>Datos!AU281</f>
        <v>0</v>
      </c>
      <c r="L281" s="80">
        <f t="shared" si="25"/>
        <v>0</v>
      </c>
      <c r="M281" s="17">
        <f>Datos!AX281</f>
        <v>0</v>
      </c>
    </row>
    <row r="282" spans="1:13">
      <c r="A282" s="97">
        <v>45207</v>
      </c>
      <c r="B282" s="16">
        <f>Datos!Y282</f>
        <v>0</v>
      </c>
      <c r="C282" s="17">
        <f>Datos!AJ282+Datos!AK282</f>
        <v>0</v>
      </c>
      <c r="D282" s="80">
        <f t="shared" si="26"/>
        <v>0</v>
      </c>
      <c r="E282" s="17">
        <f>Datos!AN282</f>
        <v>0</v>
      </c>
      <c r="F282" s="80">
        <f t="shared" si="24"/>
        <v>0</v>
      </c>
      <c r="G282" s="17">
        <f t="shared" si="27"/>
        <v>0</v>
      </c>
      <c r="H282" s="17">
        <f t="shared" si="28"/>
        <v>0</v>
      </c>
      <c r="I282" s="17">
        <f>Datos!AR282</f>
        <v>0</v>
      </c>
      <c r="J282" s="17">
        <f>Datos!AS282</f>
        <v>0</v>
      </c>
      <c r="K282" s="17">
        <f>Datos!AU282</f>
        <v>0</v>
      </c>
      <c r="L282" s="80">
        <f t="shared" si="25"/>
        <v>0</v>
      </c>
      <c r="M282" s="17">
        <f>Datos!AX282</f>
        <v>0</v>
      </c>
    </row>
    <row r="283" spans="1:13">
      <c r="A283" s="97">
        <v>45208</v>
      </c>
      <c r="B283" s="16">
        <f>Datos!Y283</f>
        <v>0</v>
      </c>
      <c r="C283" s="17">
        <f>Datos!AJ283+Datos!AK283</f>
        <v>0</v>
      </c>
      <c r="D283" s="80">
        <f t="shared" si="26"/>
        <v>0</v>
      </c>
      <c r="E283" s="17">
        <f>Datos!AN283</f>
        <v>0</v>
      </c>
      <c r="F283" s="80">
        <f t="shared" si="24"/>
        <v>0</v>
      </c>
      <c r="G283" s="17">
        <f t="shared" si="27"/>
        <v>0</v>
      </c>
      <c r="H283" s="17">
        <f t="shared" si="28"/>
        <v>0</v>
      </c>
      <c r="I283" s="17">
        <f>Datos!AR283</f>
        <v>0</v>
      </c>
      <c r="J283" s="17">
        <f>Datos!AS283</f>
        <v>0</v>
      </c>
      <c r="K283" s="17">
        <f>Datos!AU283</f>
        <v>0</v>
      </c>
      <c r="L283" s="80">
        <f t="shared" si="25"/>
        <v>0</v>
      </c>
      <c r="M283" s="17">
        <f>Datos!AX283</f>
        <v>0</v>
      </c>
    </row>
    <row r="284" spans="1:13">
      <c r="A284" s="97">
        <v>45209</v>
      </c>
      <c r="B284" s="16">
        <f>Datos!Y284</f>
        <v>0</v>
      </c>
      <c r="C284" s="17">
        <f>Datos!AJ284+Datos!AK284</f>
        <v>0</v>
      </c>
      <c r="D284" s="80">
        <f t="shared" si="26"/>
        <v>0</v>
      </c>
      <c r="E284" s="17">
        <f>Datos!AN284</f>
        <v>0</v>
      </c>
      <c r="F284" s="80">
        <f t="shared" si="24"/>
        <v>0</v>
      </c>
      <c r="G284" s="17">
        <f t="shared" si="27"/>
        <v>0</v>
      </c>
      <c r="H284" s="17">
        <f t="shared" si="28"/>
        <v>0</v>
      </c>
      <c r="I284" s="17">
        <f>Datos!AR284</f>
        <v>0</v>
      </c>
      <c r="J284" s="17">
        <f>Datos!AS284</f>
        <v>0</v>
      </c>
      <c r="K284" s="17">
        <f>Datos!AU284</f>
        <v>0</v>
      </c>
      <c r="L284" s="80">
        <f t="shared" si="25"/>
        <v>0</v>
      </c>
      <c r="M284" s="17">
        <f>Datos!AX284</f>
        <v>0</v>
      </c>
    </row>
    <row r="285" spans="1:13">
      <c r="A285" s="97">
        <v>45210</v>
      </c>
      <c r="B285" s="16">
        <f>Datos!Y285</f>
        <v>0</v>
      </c>
      <c r="C285" s="17">
        <f>Datos!AJ285+Datos!AK285</f>
        <v>0</v>
      </c>
      <c r="D285" s="80">
        <f t="shared" si="26"/>
        <v>0</v>
      </c>
      <c r="E285" s="17">
        <f>Datos!AN285</f>
        <v>0</v>
      </c>
      <c r="F285" s="80">
        <f t="shared" si="24"/>
        <v>0</v>
      </c>
      <c r="G285" s="17">
        <f t="shared" si="27"/>
        <v>0</v>
      </c>
      <c r="H285" s="17">
        <f t="shared" si="28"/>
        <v>0</v>
      </c>
      <c r="I285" s="17">
        <f>Datos!AR285</f>
        <v>0</v>
      </c>
      <c r="J285" s="17">
        <f>Datos!AS285</f>
        <v>0</v>
      </c>
      <c r="K285" s="17">
        <f>Datos!AU285</f>
        <v>0</v>
      </c>
      <c r="L285" s="80">
        <f t="shared" si="25"/>
        <v>0</v>
      </c>
      <c r="M285" s="17">
        <f>Datos!AX285</f>
        <v>0</v>
      </c>
    </row>
    <row r="286" spans="1:13">
      <c r="A286" s="97">
        <v>45211</v>
      </c>
      <c r="B286" s="16">
        <f>Datos!Y286</f>
        <v>0</v>
      </c>
      <c r="C286" s="17">
        <f>Datos!AJ286+Datos!AK286</f>
        <v>0</v>
      </c>
      <c r="D286" s="80">
        <f t="shared" si="26"/>
        <v>0</v>
      </c>
      <c r="E286" s="17">
        <f>Datos!AN286</f>
        <v>0</v>
      </c>
      <c r="F286" s="80">
        <f t="shared" si="24"/>
        <v>0</v>
      </c>
      <c r="G286" s="17">
        <f t="shared" si="27"/>
        <v>0</v>
      </c>
      <c r="H286" s="17">
        <f t="shared" si="28"/>
        <v>0</v>
      </c>
      <c r="I286" s="17">
        <f>Datos!AR286</f>
        <v>0</v>
      </c>
      <c r="J286" s="17">
        <f>Datos!AS286</f>
        <v>0</v>
      </c>
      <c r="K286" s="17">
        <f>Datos!AU286</f>
        <v>0</v>
      </c>
      <c r="L286" s="80">
        <f t="shared" si="25"/>
        <v>0</v>
      </c>
      <c r="M286" s="17">
        <f>Datos!AX286</f>
        <v>0</v>
      </c>
    </row>
    <row r="287" spans="1:13">
      <c r="A287" s="97">
        <v>45212</v>
      </c>
      <c r="B287" s="16">
        <f>Datos!Y287</f>
        <v>0</v>
      </c>
      <c r="C287" s="17">
        <f>Datos!AJ287+Datos!AK287</f>
        <v>0</v>
      </c>
      <c r="D287" s="80">
        <f t="shared" si="26"/>
        <v>0</v>
      </c>
      <c r="E287" s="17">
        <f>Datos!AN287</f>
        <v>0</v>
      </c>
      <c r="F287" s="80">
        <f t="shared" si="24"/>
        <v>0</v>
      </c>
      <c r="G287" s="17">
        <f t="shared" si="27"/>
        <v>0</v>
      </c>
      <c r="H287" s="17">
        <f t="shared" si="28"/>
        <v>0</v>
      </c>
      <c r="I287" s="17">
        <f>Datos!AR287</f>
        <v>0</v>
      </c>
      <c r="J287" s="17">
        <f>Datos!AS287</f>
        <v>0</v>
      </c>
      <c r="K287" s="17">
        <f>Datos!AU287</f>
        <v>0</v>
      </c>
      <c r="L287" s="80">
        <f t="shared" si="25"/>
        <v>0</v>
      </c>
      <c r="M287" s="17">
        <f>Datos!AX287</f>
        <v>0</v>
      </c>
    </row>
    <row r="288" spans="1:13">
      <c r="A288" s="97">
        <v>45213</v>
      </c>
      <c r="B288" s="16">
        <f>Datos!Y288</f>
        <v>0</v>
      </c>
      <c r="C288" s="17">
        <f>Datos!AJ288+Datos!AK288</f>
        <v>0</v>
      </c>
      <c r="D288" s="80">
        <f t="shared" si="26"/>
        <v>0</v>
      </c>
      <c r="E288" s="17">
        <f>Datos!AN288</f>
        <v>0</v>
      </c>
      <c r="F288" s="80">
        <f t="shared" si="24"/>
        <v>0</v>
      </c>
      <c r="G288" s="17">
        <f t="shared" si="27"/>
        <v>0</v>
      </c>
      <c r="H288" s="17">
        <f t="shared" si="28"/>
        <v>0</v>
      </c>
      <c r="I288" s="17">
        <f>Datos!AR288</f>
        <v>0</v>
      </c>
      <c r="J288" s="17">
        <f>Datos!AS288</f>
        <v>0</v>
      </c>
      <c r="K288" s="17">
        <f>Datos!AU288</f>
        <v>0</v>
      </c>
      <c r="L288" s="80">
        <f t="shared" si="25"/>
        <v>0</v>
      </c>
      <c r="M288" s="17">
        <f>Datos!AX288</f>
        <v>0</v>
      </c>
    </row>
    <row r="289" spans="1:13">
      <c r="A289" s="97">
        <v>45214</v>
      </c>
      <c r="B289" s="16">
        <f>Datos!Y289</f>
        <v>0</v>
      </c>
      <c r="C289" s="17">
        <f>Datos!AJ289+Datos!AK289</f>
        <v>0</v>
      </c>
      <c r="D289" s="80">
        <f t="shared" si="26"/>
        <v>0</v>
      </c>
      <c r="E289" s="17">
        <f>Datos!AN289</f>
        <v>0</v>
      </c>
      <c r="F289" s="80">
        <f t="shared" si="24"/>
        <v>0</v>
      </c>
      <c r="G289" s="17">
        <f t="shared" si="27"/>
        <v>0</v>
      </c>
      <c r="H289" s="17">
        <f t="shared" si="28"/>
        <v>0</v>
      </c>
      <c r="I289" s="17">
        <f>Datos!AR289</f>
        <v>0</v>
      </c>
      <c r="J289" s="17">
        <f>Datos!AS289</f>
        <v>0</v>
      </c>
      <c r="K289" s="17">
        <f>Datos!AU289</f>
        <v>0</v>
      </c>
      <c r="L289" s="80">
        <f t="shared" si="25"/>
        <v>0</v>
      </c>
      <c r="M289" s="17">
        <f>Datos!AX289</f>
        <v>0</v>
      </c>
    </row>
    <row r="290" spans="1:13">
      <c r="A290" s="97">
        <v>45215</v>
      </c>
      <c r="B290" s="16">
        <f>Datos!Y290</f>
        <v>0</v>
      </c>
      <c r="C290" s="17">
        <f>Datos!AJ290+Datos!AK290</f>
        <v>0</v>
      </c>
      <c r="D290" s="80">
        <f t="shared" si="26"/>
        <v>0</v>
      </c>
      <c r="E290" s="17">
        <f>Datos!AN290</f>
        <v>0</v>
      </c>
      <c r="F290" s="80">
        <f t="shared" si="24"/>
        <v>0</v>
      </c>
      <c r="G290" s="17">
        <f t="shared" si="27"/>
        <v>0</v>
      </c>
      <c r="H290" s="17">
        <f t="shared" si="28"/>
        <v>0</v>
      </c>
      <c r="I290" s="17">
        <f>Datos!AR290</f>
        <v>0</v>
      </c>
      <c r="J290" s="17">
        <f>Datos!AS290</f>
        <v>0</v>
      </c>
      <c r="K290" s="17">
        <f>Datos!AU290</f>
        <v>0</v>
      </c>
      <c r="L290" s="80">
        <f t="shared" si="25"/>
        <v>0</v>
      </c>
      <c r="M290" s="17">
        <f>Datos!AX290</f>
        <v>0</v>
      </c>
    </row>
    <row r="291" spans="1:13">
      <c r="A291" s="97">
        <v>45216</v>
      </c>
      <c r="B291" s="16">
        <f>Datos!Y291</f>
        <v>0</v>
      </c>
      <c r="C291" s="17">
        <f>Datos!AJ291+Datos!AK291</f>
        <v>0</v>
      </c>
      <c r="D291" s="80">
        <f t="shared" si="26"/>
        <v>0</v>
      </c>
      <c r="E291" s="17">
        <f>Datos!AN291</f>
        <v>0</v>
      </c>
      <c r="F291" s="80">
        <f t="shared" si="24"/>
        <v>0</v>
      </c>
      <c r="G291" s="17">
        <f t="shared" si="27"/>
        <v>0</v>
      </c>
      <c r="H291" s="17">
        <f t="shared" si="28"/>
        <v>0</v>
      </c>
      <c r="I291" s="17">
        <f>Datos!AR291</f>
        <v>0</v>
      </c>
      <c r="J291" s="17">
        <f>Datos!AS291</f>
        <v>0</v>
      </c>
      <c r="K291" s="17">
        <f>Datos!AU291</f>
        <v>0</v>
      </c>
      <c r="L291" s="80">
        <f t="shared" si="25"/>
        <v>0</v>
      </c>
      <c r="M291" s="17">
        <f>Datos!AX291</f>
        <v>0</v>
      </c>
    </row>
    <row r="292" spans="1:13">
      <c r="A292" s="97">
        <v>45217</v>
      </c>
      <c r="B292" s="16">
        <f>Datos!Y292</f>
        <v>0</v>
      </c>
      <c r="C292" s="17">
        <f>Datos!AJ292+Datos!AK292</f>
        <v>0</v>
      </c>
      <c r="D292" s="80">
        <f t="shared" si="26"/>
        <v>0</v>
      </c>
      <c r="E292" s="17">
        <f>Datos!AN292</f>
        <v>0</v>
      </c>
      <c r="F292" s="80">
        <f t="shared" si="24"/>
        <v>0</v>
      </c>
      <c r="G292" s="17">
        <f t="shared" si="27"/>
        <v>0</v>
      </c>
      <c r="H292" s="17">
        <f t="shared" si="28"/>
        <v>0</v>
      </c>
      <c r="I292" s="17">
        <f>Datos!AR292</f>
        <v>0</v>
      </c>
      <c r="J292" s="17">
        <f>Datos!AS292</f>
        <v>0</v>
      </c>
      <c r="K292" s="17">
        <f>Datos!AU292</f>
        <v>0</v>
      </c>
      <c r="L292" s="80">
        <f t="shared" si="25"/>
        <v>0</v>
      </c>
      <c r="M292" s="17">
        <f>Datos!AX292</f>
        <v>0</v>
      </c>
    </row>
    <row r="293" spans="1:13">
      <c r="A293" s="97">
        <v>45218</v>
      </c>
      <c r="B293" s="16">
        <f>Datos!Y293</f>
        <v>0</v>
      </c>
      <c r="C293" s="17">
        <f>Datos!AJ293+Datos!AK293</f>
        <v>0</v>
      </c>
      <c r="D293" s="80">
        <f t="shared" si="26"/>
        <v>0</v>
      </c>
      <c r="E293" s="17">
        <f>Datos!AN293</f>
        <v>0</v>
      </c>
      <c r="F293" s="80">
        <f t="shared" si="24"/>
        <v>0</v>
      </c>
      <c r="G293" s="17">
        <f t="shared" si="27"/>
        <v>0</v>
      </c>
      <c r="H293" s="17">
        <f t="shared" si="28"/>
        <v>0</v>
      </c>
      <c r="I293" s="17">
        <f>Datos!AR293</f>
        <v>0</v>
      </c>
      <c r="J293" s="17">
        <f>Datos!AS293</f>
        <v>0</v>
      </c>
      <c r="K293" s="17">
        <f>Datos!AU293</f>
        <v>0</v>
      </c>
      <c r="L293" s="80">
        <f t="shared" si="25"/>
        <v>0</v>
      </c>
      <c r="M293" s="17">
        <f>Datos!AX293</f>
        <v>0</v>
      </c>
    </row>
    <row r="294" spans="1:13">
      <c r="A294" s="97">
        <v>45219</v>
      </c>
      <c r="B294" s="16">
        <f>Datos!Y294</f>
        <v>0</v>
      </c>
      <c r="C294" s="17">
        <f>Datos!AJ294+Datos!AK294</f>
        <v>0</v>
      </c>
      <c r="D294" s="80">
        <f t="shared" si="26"/>
        <v>0</v>
      </c>
      <c r="E294" s="17">
        <f>Datos!AN294</f>
        <v>0</v>
      </c>
      <c r="F294" s="80">
        <f t="shared" si="24"/>
        <v>0</v>
      </c>
      <c r="G294" s="17">
        <f t="shared" si="27"/>
        <v>0</v>
      </c>
      <c r="H294" s="17">
        <f t="shared" si="28"/>
        <v>0</v>
      </c>
      <c r="I294" s="17">
        <f>Datos!AR294</f>
        <v>0</v>
      </c>
      <c r="J294" s="17">
        <f>Datos!AS294</f>
        <v>0</v>
      </c>
      <c r="K294" s="17">
        <f>Datos!AU294</f>
        <v>0</v>
      </c>
      <c r="L294" s="80">
        <f t="shared" si="25"/>
        <v>0</v>
      </c>
      <c r="M294" s="17">
        <f>Datos!AX294</f>
        <v>0</v>
      </c>
    </row>
    <row r="295" spans="1:13">
      <c r="A295" s="97">
        <v>45220</v>
      </c>
      <c r="B295" s="16">
        <f>Datos!Y295</f>
        <v>0</v>
      </c>
      <c r="C295" s="17">
        <f>Datos!AJ295+Datos!AK295</f>
        <v>0</v>
      </c>
      <c r="D295" s="80">
        <f t="shared" si="26"/>
        <v>0</v>
      </c>
      <c r="E295" s="17">
        <f>Datos!AN295</f>
        <v>0</v>
      </c>
      <c r="F295" s="80">
        <f t="shared" si="24"/>
        <v>0</v>
      </c>
      <c r="G295" s="17">
        <f t="shared" si="27"/>
        <v>0</v>
      </c>
      <c r="H295" s="17">
        <f t="shared" si="28"/>
        <v>0</v>
      </c>
      <c r="I295" s="17">
        <f>Datos!AR295</f>
        <v>0</v>
      </c>
      <c r="J295" s="17">
        <f>Datos!AS295</f>
        <v>0</v>
      </c>
      <c r="K295" s="17">
        <f>Datos!AU295</f>
        <v>0</v>
      </c>
      <c r="L295" s="80">
        <f t="shared" si="25"/>
        <v>0</v>
      </c>
      <c r="M295" s="17">
        <f>Datos!AX295</f>
        <v>0</v>
      </c>
    </row>
    <row r="296" spans="1:13">
      <c r="A296" s="97">
        <v>45221</v>
      </c>
      <c r="B296" s="16">
        <f>Datos!Y296</f>
        <v>0</v>
      </c>
      <c r="C296" s="17">
        <f>Datos!AJ296+Datos!AK296</f>
        <v>0</v>
      </c>
      <c r="D296" s="80">
        <f t="shared" si="26"/>
        <v>0</v>
      </c>
      <c r="E296" s="17">
        <f>Datos!AN296</f>
        <v>0</v>
      </c>
      <c r="F296" s="80">
        <f t="shared" si="24"/>
        <v>0</v>
      </c>
      <c r="G296" s="17">
        <f t="shared" si="27"/>
        <v>0</v>
      </c>
      <c r="H296" s="17">
        <f t="shared" si="28"/>
        <v>0</v>
      </c>
      <c r="I296" s="17">
        <f>Datos!AR296</f>
        <v>0</v>
      </c>
      <c r="J296" s="17">
        <f>Datos!AS296</f>
        <v>0</v>
      </c>
      <c r="K296" s="17">
        <f>Datos!AU296</f>
        <v>0</v>
      </c>
      <c r="L296" s="80">
        <f t="shared" si="25"/>
        <v>0</v>
      </c>
      <c r="M296" s="17">
        <f>Datos!AX296</f>
        <v>0</v>
      </c>
    </row>
    <row r="297" spans="1:13">
      <c r="A297" s="97">
        <v>45222</v>
      </c>
      <c r="B297" s="16">
        <f>Datos!Y297</f>
        <v>0</v>
      </c>
      <c r="C297" s="17">
        <f>Datos!AJ297+Datos!AK297</f>
        <v>0</v>
      </c>
      <c r="D297" s="80">
        <f t="shared" si="26"/>
        <v>0</v>
      </c>
      <c r="E297" s="17">
        <f>Datos!AN297</f>
        <v>0</v>
      </c>
      <c r="F297" s="80">
        <f t="shared" si="24"/>
        <v>0</v>
      </c>
      <c r="G297" s="17">
        <f t="shared" si="27"/>
        <v>0</v>
      </c>
      <c r="H297" s="17">
        <f t="shared" si="28"/>
        <v>0</v>
      </c>
      <c r="I297" s="17">
        <f>Datos!AR297</f>
        <v>0</v>
      </c>
      <c r="J297" s="17">
        <f>Datos!AS297</f>
        <v>0</v>
      </c>
      <c r="K297" s="17">
        <f>Datos!AU297</f>
        <v>0</v>
      </c>
      <c r="L297" s="80">
        <f t="shared" si="25"/>
        <v>0</v>
      </c>
      <c r="M297" s="17">
        <f>Datos!AX297</f>
        <v>0</v>
      </c>
    </row>
    <row r="298" spans="1:13">
      <c r="A298" s="97">
        <v>45223</v>
      </c>
      <c r="B298" s="16">
        <f>Datos!Y298</f>
        <v>0</v>
      </c>
      <c r="C298" s="17">
        <f>Datos!AJ298+Datos!AK298</f>
        <v>0</v>
      </c>
      <c r="D298" s="80">
        <f t="shared" si="26"/>
        <v>0</v>
      </c>
      <c r="E298" s="17">
        <f>Datos!AN298</f>
        <v>0</v>
      </c>
      <c r="F298" s="80">
        <f t="shared" si="24"/>
        <v>0</v>
      </c>
      <c r="G298" s="17">
        <f t="shared" si="27"/>
        <v>0</v>
      </c>
      <c r="H298" s="17">
        <f t="shared" si="28"/>
        <v>0</v>
      </c>
      <c r="I298" s="17">
        <f>Datos!AR298</f>
        <v>0</v>
      </c>
      <c r="J298" s="17">
        <f>Datos!AS298</f>
        <v>0</v>
      </c>
      <c r="K298" s="17">
        <f>Datos!AU298</f>
        <v>0</v>
      </c>
      <c r="L298" s="80">
        <f t="shared" si="25"/>
        <v>0</v>
      </c>
      <c r="M298" s="17">
        <f>Datos!AX298</f>
        <v>0</v>
      </c>
    </row>
    <row r="299" spans="1:13">
      <c r="A299" s="97">
        <v>45224</v>
      </c>
      <c r="B299" s="16">
        <f>Datos!Y299</f>
        <v>0</v>
      </c>
      <c r="C299" s="17">
        <f>Datos!AJ299+Datos!AK299</f>
        <v>0</v>
      </c>
      <c r="D299" s="80">
        <f t="shared" si="26"/>
        <v>0</v>
      </c>
      <c r="E299" s="17">
        <f>Datos!AN299</f>
        <v>0</v>
      </c>
      <c r="F299" s="80">
        <f t="shared" si="24"/>
        <v>0</v>
      </c>
      <c r="G299" s="17">
        <f t="shared" si="27"/>
        <v>0</v>
      </c>
      <c r="H299" s="17">
        <f t="shared" si="28"/>
        <v>0</v>
      </c>
      <c r="I299" s="17">
        <f>Datos!AR299</f>
        <v>0</v>
      </c>
      <c r="J299" s="17">
        <f>Datos!AS299</f>
        <v>0</v>
      </c>
      <c r="K299" s="17">
        <f>Datos!AU299</f>
        <v>0</v>
      </c>
      <c r="L299" s="80">
        <f t="shared" si="25"/>
        <v>0</v>
      </c>
      <c r="M299" s="17">
        <f>Datos!AX299</f>
        <v>0</v>
      </c>
    </row>
    <row r="300" spans="1:13">
      <c r="A300" s="97">
        <v>45225</v>
      </c>
      <c r="B300" s="16">
        <f>Datos!Y300</f>
        <v>0</v>
      </c>
      <c r="C300" s="17">
        <f>Datos!AJ300+Datos!AK300</f>
        <v>0</v>
      </c>
      <c r="D300" s="80">
        <f t="shared" si="26"/>
        <v>0</v>
      </c>
      <c r="E300" s="17">
        <f>Datos!AN300</f>
        <v>0</v>
      </c>
      <c r="F300" s="80">
        <f t="shared" si="24"/>
        <v>0</v>
      </c>
      <c r="G300" s="17">
        <f t="shared" si="27"/>
        <v>0</v>
      </c>
      <c r="H300" s="17">
        <f t="shared" si="28"/>
        <v>0</v>
      </c>
      <c r="I300" s="17">
        <f>Datos!AR300</f>
        <v>0</v>
      </c>
      <c r="J300" s="17">
        <f>Datos!AS300</f>
        <v>0</v>
      </c>
      <c r="K300" s="17">
        <f>Datos!AU300</f>
        <v>0</v>
      </c>
      <c r="L300" s="80">
        <f t="shared" si="25"/>
        <v>0</v>
      </c>
      <c r="M300" s="17">
        <f>Datos!AX300</f>
        <v>0</v>
      </c>
    </row>
    <row r="301" spans="1:13">
      <c r="A301" s="97">
        <v>45226</v>
      </c>
      <c r="B301" s="16">
        <f>Datos!Y301</f>
        <v>0</v>
      </c>
      <c r="C301" s="17">
        <f>Datos!AJ301+Datos!AK301</f>
        <v>0</v>
      </c>
      <c r="D301" s="80">
        <f t="shared" si="26"/>
        <v>0</v>
      </c>
      <c r="E301" s="17">
        <f>Datos!AN301</f>
        <v>0</v>
      </c>
      <c r="F301" s="80">
        <f t="shared" si="24"/>
        <v>0</v>
      </c>
      <c r="G301" s="17">
        <f t="shared" si="27"/>
        <v>0</v>
      </c>
      <c r="H301" s="17">
        <f t="shared" si="28"/>
        <v>0</v>
      </c>
      <c r="I301" s="17">
        <f>Datos!AR301</f>
        <v>0</v>
      </c>
      <c r="J301" s="17">
        <f>Datos!AS301</f>
        <v>0</v>
      </c>
      <c r="K301" s="17">
        <f>Datos!AU301</f>
        <v>0</v>
      </c>
      <c r="L301" s="80">
        <f t="shared" si="25"/>
        <v>0</v>
      </c>
      <c r="M301" s="17">
        <f>Datos!AX301</f>
        <v>0</v>
      </c>
    </row>
    <row r="302" spans="1:13">
      <c r="A302" s="97">
        <v>45227</v>
      </c>
      <c r="B302" s="16">
        <f>Datos!Y302</f>
        <v>0</v>
      </c>
      <c r="C302" s="17">
        <f>Datos!AJ302+Datos!AK302</f>
        <v>0</v>
      </c>
      <c r="D302" s="80">
        <f t="shared" si="26"/>
        <v>0</v>
      </c>
      <c r="E302" s="17">
        <f>Datos!AN302</f>
        <v>0</v>
      </c>
      <c r="F302" s="80">
        <f t="shared" si="24"/>
        <v>0</v>
      </c>
      <c r="G302" s="17">
        <f t="shared" si="27"/>
        <v>0</v>
      </c>
      <c r="H302" s="17">
        <f t="shared" si="28"/>
        <v>0</v>
      </c>
      <c r="I302" s="17">
        <f>Datos!AR302</f>
        <v>0</v>
      </c>
      <c r="J302" s="17">
        <f>Datos!AS302</f>
        <v>0</v>
      </c>
      <c r="K302" s="17">
        <f>Datos!AU302</f>
        <v>0</v>
      </c>
      <c r="L302" s="80">
        <f t="shared" si="25"/>
        <v>0</v>
      </c>
      <c r="M302" s="17">
        <f>Datos!AX302</f>
        <v>0</v>
      </c>
    </row>
    <row r="303" spans="1:13">
      <c r="A303" s="97">
        <v>45228</v>
      </c>
      <c r="B303" s="16">
        <f>Datos!Y303</f>
        <v>0</v>
      </c>
      <c r="C303" s="17">
        <f>Datos!AJ303+Datos!AK303</f>
        <v>0</v>
      </c>
      <c r="D303" s="80">
        <f t="shared" si="26"/>
        <v>0</v>
      </c>
      <c r="E303" s="17">
        <f>Datos!AN303</f>
        <v>0</v>
      </c>
      <c r="F303" s="80">
        <f t="shared" si="24"/>
        <v>0</v>
      </c>
      <c r="G303" s="17">
        <f t="shared" si="27"/>
        <v>0</v>
      </c>
      <c r="H303" s="17">
        <f t="shared" si="28"/>
        <v>0</v>
      </c>
      <c r="I303" s="17">
        <f>Datos!AR303</f>
        <v>0</v>
      </c>
      <c r="J303" s="17">
        <f>Datos!AS303</f>
        <v>0</v>
      </c>
      <c r="K303" s="17">
        <f>Datos!AU303</f>
        <v>0</v>
      </c>
      <c r="L303" s="80">
        <f t="shared" si="25"/>
        <v>0</v>
      </c>
      <c r="M303" s="17">
        <f>Datos!AX303</f>
        <v>0</v>
      </c>
    </row>
    <row r="304" spans="1:13">
      <c r="A304" s="97">
        <v>45229</v>
      </c>
      <c r="B304" s="16">
        <f>Datos!Y304</f>
        <v>0</v>
      </c>
      <c r="C304" s="17">
        <f>Datos!AJ304+Datos!AK304</f>
        <v>0</v>
      </c>
      <c r="D304" s="80">
        <f t="shared" si="26"/>
        <v>0</v>
      </c>
      <c r="E304" s="17">
        <f>Datos!AN304</f>
        <v>0</v>
      </c>
      <c r="F304" s="80">
        <f t="shared" si="24"/>
        <v>0</v>
      </c>
      <c r="G304" s="17">
        <f t="shared" si="27"/>
        <v>0</v>
      </c>
      <c r="H304" s="17">
        <f t="shared" si="28"/>
        <v>0</v>
      </c>
      <c r="I304" s="17">
        <f>Datos!AR304</f>
        <v>0</v>
      </c>
      <c r="J304" s="17">
        <f>Datos!AS304</f>
        <v>0</v>
      </c>
      <c r="K304" s="17">
        <f>Datos!AU304</f>
        <v>0</v>
      </c>
      <c r="L304" s="80">
        <f t="shared" si="25"/>
        <v>0</v>
      </c>
      <c r="M304" s="17">
        <f>Datos!AX304</f>
        <v>0</v>
      </c>
    </row>
    <row r="305" spans="1:13">
      <c r="A305" s="97">
        <v>45230</v>
      </c>
      <c r="B305" s="16">
        <f>Datos!Y305</f>
        <v>0</v>
      </c>
      <c r="C305" s="17">
        <f>Datos!AJ305+Datos!AK305</f>
        <v>0</v>
      </c>
      <c r="D305" s="80">
        <f t="shared" si="26"/>
        <v>0</v>
      </c>
      <c r="E305" s="17">
        <f>Datos!AN305</f>
        <v>0</v>
      </c>
      <c r="F305" s="80">
        <f t="shared" si="24"/>
        <v>0</v>
      </c>
      <c r="G305" s="17">
        <f t="shared" si="27"/>
        <v>0</v>
      </c>
      <c r="H305" s="17">
        <f t="shared" si="28"/>
        <v>0</v>
      </c>
      <c r="I305" s="17">
        <f>Datos!AR305</f>
        <v>0</v>
      </c>
      <c r="J305" s="17">
        <f>Datos!AS305</f>
        <v>0</v>
      </c>
      <c r="K305" s="17">
        <f>Datos!AU305</f>
        <v>0</v>
      </c>
      <c r="L305" s="80">
        <f t="shared" si="25"/>
        <v>0</v>
      </c>
      <c r="M305" s="17">
        <f>Datos!AX305</f>
        <v>0</v>
      </c>
    </row>
    <row r="306" spans="1:13">
      <c r="A306" s="97">
        <v>45231</v>
      </c>
      <c r="B306" s="16">
        <f>Datos!Y306</f>
        <v>0</v>
      </c>
      <c r="C306" s="17">
        <f>Datos!AJ306+Datos!AK306</f>
        <v>0</v>
      </c>
      <c r="D306" s="80">
        <f t="shared" si="26"/>
        <v>0</v>
      </c>
      <c r="E306" s="17">
        <f>Datos!AN306</f>
        <v>0</v>
      </c>
      <c r="F306" s="80">
        <f t="shared" si="24"/>
        <v>0</v>
      </c>
      <c r="G306" s="17">
        <f t="shared" si="27"/>
        <v>0</v>
      </c>
      <c r="H306" s="17">
        <f t="shared" si="28"/>
        <v>0</v>
      </c>
      <c r="I306" s="17">
        <f>Datos!AR306</f>
        <v>0</v>
      </c>
      <c r="J306" s="17">
        <f>Datos!AS306</f>
        <v>0</v>
      </c>
      <c r="K306" s="17">
        <f>Datos!AU306</f>
        <v>0</v>
      </c>
      <c r="L306" s="80">
        <f t="shared" si="25"/>
        <v>0</v>
      </c>
      <c r="M306" s="17">
        <f>Datos!AX306</f>
        <v>0</v>
      </c>
    </row>
    <row r="307" spans="1:13">
      <c r="A307" s="97">
        <v>45232</v>
      </c>
      <c r="B307" s="16">
        <f>Datos!Y307</f>
        <v>0</v>
      </c>
      <c r="C307" s="17">
        <f>Datos!AJ307+Datos!AK307</f>
        <v>0</v>
      </c>
      <c r="D307" s="80">
        <f t="shared" si="26"/>
        <v>0</v>
      </c>
      <c r="E307" s="17">
        <f>Datos!AN307</f>
        <v>0</v>
      </c>
      <c r="F307" s="80">
        <f t="shared" si="24"/>
        <v>0</v>
      </c>
      <c r="G307" s="17">
        <f t="shared" ref="G307:G336" si="29">C307+E307</f>
        <v>0</v>
      </c>
      <c r="H307" s="17">
        <f t="shared" ref="H307:H336" si="30">D307+F307</f>
        <v>0</v>
      </c>
      <c r="I307" s="17">
        <f>Datos!AR307</f>
        <v>0</v>
      </c>
      <c r="J307" s="17">
        <f>Datos!AS307</f>
        <v>0</v>
      </c>
      <c r="K307" s="17">
        <f>Datos!AU307</f>
        <v>0</v>
      </c>
      <c r="L307" s="80">
        <f t="shared" si="25"/>
        <v>0</v>
      </c>
      <c r="M307" s="17">
        <f>Datos!AX307</f>
        <v>0</v>
      </c>
    </row>
    <row r="308" spans="1:13">
      <c r="A308" s="97">
        <v>45233</v>
      </c>
      <c r="B308" s="16">
        <f>Datos!Y308</f>
        <v>0</v>
      </c>
      <c r="C308" s="17">
        <f>Datos!AJ308+Datos!AK308</f>
        <v>0</v>
      </c>
      <c r="D308" s="80">
        <f t="shared" si="26"/>
        <v>0</v>
      </c>
      <c r="E308" s="17">
        <f>Datos!AN308</f>
        <v>0</v>
      </c>
      <c r="F308" s="80">
        <f t="shared" si="24"/>
        <v>0</v>
      </c>
      <c r="G308" s="17">
        <f t="shared" si="29"/>
        <v>0</v>
      </c>
      <c r="H308" s="17">
        <f t="shared" si="30"/>
        <v>0</v>
      </c>
      <c r="I308" s="17">
        <f>Datos!AR308</f>
        <v>0</v>
      </c>
      <c r="J308" s="17">
        <f>Datos!AS308</f>
        <v>0</v>
      </c>
      <c r="K308" s="17">
        <f>Datos!AU308</f>
        <v>0</v>
      </c>
      <c r="L308" s="80">
        <f t="shared" si="25"/>
        <v>0</v>
      </c>
      <c r="M308" s="17">
        <f>Datos!AX308</f>
        <v>0</v>
      </c>
    </row>
    <row r="309" spans="1:13">
      <c r="A309" s="97">
        <v>45234</v>
      </c>
      <c r="B309" s="16">
        <f>Datos!Y309</f>
        <v>0</v>
      </c>
      <c r="C309" s="17">
        <f>Datos!AJ309+Datos!AK309</f>
        <v>0</v>
      </c>
      <c r="D309" s="80">
        <f t="shared" si="26"/>
        <v>0</v>
      </c>
      <c r="E309" s="17">
        <f>Datos!AN309</f>
        <v>0</v>
      </c>
      <c r="F309" s="80">
        <f t="shared" si="24"/>
        <v>0</v>
      </c>
      <c r="G309" s="17">
        <f t="shared" si="29"/>
        <v>0</v>
      </c>
      <c r="H309" s="17">
        <f t="shared" si="30"/>
        <v>0</v>
      </c>
      <c r="I309" s="17">
        <f>Datos!AR309</f>
        <v>0</v>
      </c>
      <c r="J309" s="17">
        <f>Datos!AS309</f>
        <v>0</v>
      </c>
      <c r="K309" s="17">
        <f>Datos!AU309</f>
        <v>0</v>
      </c>
      <c r="L309" s="80">
        <f t="shared" si="25"/>
        <v>0</v>
      </c>
      <c r="M309" s="17">
        <f>Datos!AX309</f>
        <v>0</v>
      </c>
    </row>
    <row r="310" spans="1:13">
      <c r="A310" s="97">
        <v>45235</v>
      </c>
      <c r="B310" s="16">
        <f>Datos!Y310</f>
        <v>0</v>
      </c>
      <c r="C310" s="17">
        <f>Datos!AJ310+Datos!AK310</f>
        <v>0</v>
      </c>
      <c r="D310" s="80">
        <f t="shared" si="26"/>
        <v>0</v>
      </c>
      <c r="E310" s="17">
        <f>Datos!AN310</f>
        <v>0</v>
      </c>
      <c r="F310" s="80">
        <f t="shared" si="24"/>
        <v>0</v>
      </c>
      <c r="G310" s="17">
        <f t="shared" si="29"/>
        <v>0</v>
      </c>
      <c r="H310" s="17">
        <f t="shared" si="30"/>
        <v>0</v>
      </c>
      <c r="I310" s="17">
        <f>Datos!AR310</f>
        <v>0</v>
      </c>
      <c r="J310" s="17">
        <f>Datos!AS310</f>
        <v>0</v>
      </c>
      <c r="K310" s="17">
        <f>Datos!AU310</f>
        <v>0</v>
      </c>
      <c r="L310" s="80">
        <f t="shared" si="25"/>
        <v>0</v>
      </c>
      <c r="M310" s="17">
        <f>Datos!AX310</f>
        <v>0</v>
      </c>
    </row>
    <row r="311" spans="1:13">
      <c r="A311" s="97">
        <v>45236</v>
      </c>
      <c r="B311" s="16">
        <f>Datos!Y311</f>
        <v>0</v>
      </c>
      <c r="C311" s="17">
        <f>Datos!AJ311+Datos!AK311</f>
        <v>0</v>
      </c>
      <c r="D311" s="80">
        <f t="shared" si="26"/>
        <v>0</v>
      </c>
      <c r="E311" s="17">
        <f>Datos!AN311</f>
        <v>0</v>
      </c>
      <c r="F311" s="80">
        <f t="shared" si="24"/>
        <v>0</v>
      </c>
      <c r="G311" s="17">
        <f t="shared" si="29"/>
        <v>0</v>
      </c>
      <c r="H311" s="17">
        <f t="shared" si="30"/>
        <v>0</v>
      </c>
      <c r="I311" s="17">
        <f>Datos!AR311</f>
        <v>0</v>
      </c>
      <c r="J311" s="17">
        <f>Datos!AS311</f>
        <v>0</v>
      </c>
      <c r="K311" s="17">
        <f>Datos!AU311</f>
        <v>0</v>
      </c>
      <c r="L311" s="80">
        <f t="shared" si="25"/>
        <v>0</v>
      </c>
      <c r="M311" s="17">
        <f>Datos!AX311</f>
        <v>0</v>
      </c>
    </row>
    <row r="312" spans="1:13">
      <c r="A312" s="97">
        <v>45237</v>
      </c>
      <c r="B312" s="16">
        <f>Datos!Y312</f>
        <v>0</v>
      </c>
      <c r="C312" s="17">
        <f>Datos!AJ312+Datos!AK312</f>
        <v>0</v>
      </c>
      <c r="D312" s="80">
        <f t="shared" si="26"/>
        <v>0</v>
      </c>
      <c r="E312" s="17">
        <f>Datos!AN312</f>
        <v>0</v>
      </c>
      <c r="F312" s="80">
        <f t="shared" si="24"/>
        <v>0</v>
      </c>
      <c r="G312" s="17">
        <f t="shared" si="29"/>
        <v>0</v>
      </c>
      <c r="H312" s="17">
        <f t="shared" si="30"/>
        <v>0</v>
      </c>
      <c r="I312" s="17">
        <f>Datos!AR312</f>
        <v>0</v>
      </c>
      <c r="J312" s="17">
        <f>Datos!AS312</f>
        <v>0</v>
      </c>
      <c r="K312" s="17">
        <f>Datos!AU312</f>
        <v>0</v>
      </c>
      <c r="L312" s="80">
        <f t="shared" si="25"/>
        <v>0</v>
      </c>
      <c r="M312" s="17">
        <f>Datos!AX312</f>
        <v>0</v>
      </c>
    </row>
    <row r="313" spans="1:13">
      <c r="A313" s="97">
        <v>45238</v>
      </c>
      <c r="B313" s="16">
        <f>Datos!Y313</f>
        <v>0</v>
      </c>
      <c r="C313" s="17">
        <f>Datos!AJ313+Datos!AK313</f>
        <v>0</v>
      </c>
      <c r="D313" s="80">
        <f t="shared" si="26"/>
        <v>0</v>
      </c>
      <c r="E313" s="17">
        <f>Datos!AN313</f>
        <v>0</v>
      </c>
      <c r="F313" s="80">
        <f t="shared" si="24"/>
        <v>0</v>
      </c>
      <c r="G313" s="17">
        <f t="shared" si="29"/>
        <v>0</v>
      </c>
      <c r="H313" s="17">
        <f t="shared" si="30"/>
        <v>0</v>
      </c>
      <c r="I313" s="17">
        <f>Datos!AR313</f>
        <v>0</v>
      </c>
      <c r="J313" s="17">
        <f>Datos!AS313</f>
        <v>0</v>
      </c>
      <c r="K313" s="17">
        <f>Datos!AU313</f>
        <v>0</v>
      </c>
      <c r="L313" s="80">
        <f t="shared" si="25"/>
        <v>0</v>
      </c>
      <c r="M313" s="17">
        <f>Datos!AX313</f>
        <v>0</v>
      </c>
    </row>
    <row r="314" spans="1:13">
      <c r="A314" s="97">
        <v>45239</v>
      </c>
      <c r="B314" s="16">
        <f>Datos!Y314</f>
        <v>0</v>
      </c>
      <c r="C314" s="17">
        <f>Datos!AJ314+Datos!AK314</f>
        <v>0</v>
      </c>
      <c r="D314" s="80">
        <f t="shared" si="26"/>
        <v>0</v>
      </c>
      <c r="E314" s="17">
        <f>Datos!AN314</f>
        <v>0</v>
      </c>
      <c r="F314" s="80">
        <f t="shared" si="24"/>
        <v>0</v>
      </c>
      <c r="G314" s="17">
        <f t="shared" si="29"/>
        <v>0</v>
      </c>
      <c r="H314" s="17">
        <f t="shared" si="30"/>
        <v>0</v>
      </c>
      <c r="I314" s="17">
        <f>Datos!AR314</f>
        <v>0</v>
      </c>
      <c r="J314" s="17">
        <f>Datos!AS314</f>
        <v>0</v>
      </c>
      <c r="K314" s="17">
        <f>Datos!AU314</f>
        <v>0</v>
      </c>
      <c r="L314" s="80">
        <f t="shared" si="25"/>
        <v>0</v>
      </c>
      <c r="M314" s="17">
        <f>Datos!AX314</f>
        <v>0</v>
      </c>
    </row>
    <row r="315" spans="1:13">
      <c r="A315" s="97">
        <v>45240</v>
      </c>
      <c r="B315" s="16">
        <f>Datos!Y315</f>
        <v>0</v>
      </c>
      <c r="C315" s="17">
        <f>Datos!AJ315+Datos!AK315</f>
        <v>0</v>
      </c>
      <c r="D315" s="80">
        <f t="shared" si="26"/>
        <v>0</v>
      </c>
      <c r="E315" s="17">
        <f>Datos!AN315</f>
        <v>0</v>
      </c>
      <c r="F315" s="80">
        <f t="shared" si="24"/>
        <v>0</v>
      </c>
      <c r="G315" s="17">
        <f t="shared" si="29"/>
        <v>0</v>
      </c>
      <c r="H315" s="17">
        <f t="shared" si="30"/>
        <v>0</v>
      </c>
      <c r="I315" s="17">
        <f>Datos!AR315</f>
        <v>0</v>
      </c>
      <c r="J315" s="17">
        <f>Datos!AS315</f>
        <v>0</v>
      </c>
      <c r="K315" s="17">
        <f>Datos!AU315</f>
        <v>0</v>
      </c>
      <c r="L315" s="80">
        <f t="shared" si="25"/>
        <v>0</v>
      </c>
      <c r="M315" s="17">
        <f>Datos!AX315</f>
        <v>0</v>
      </c>
    </row>
    <row r="316" spans="1:13">
      <c r="A316" s="97">
        <v>45241</v>
      </c>
      <c r="B316" s="16">
        <f>Datos!Y316</f>
        <v>0</v>
      </c>
      <c r="C316" s="17">
        <f>Datos!AJ316+Datos!AK316</f>
        <v>0</v>
      </c>
      <c r="D316" s="80">
        <f t="shared" si="26"/>
        <v>0</v>
      </c>
      <c r="E316" s="17">
        <f>Datos!AN316</f>
        <v>0</v>
      </c>
      <c r="F316" s="80">
        <f t="shared" si="24"/>
        <v>0</v>
      </c>
      <c r="G316" s="17">
        <f t="shared" si="29"/>
        <v>0</v>
      </c>
      <c r="H316" s="17">
        <f t="shared" si="30"/>
        <v>0</v>
      </c>
      <c r="I316" s="17">
        <f>Datos!AR316</f>
        <v>0</v>
      </c>
      <c r="J316" s="17">
        <f>Datos!AS316</f>
        <v>0</v>
      </c>
      <c r="K316" s="17">
        <f>Datos!AU316</f>
        <v>0</v>
      </c>
      <c r="L316" s="80">
        <f t="shared" si="25"/>
        <v>0</v>
      </c>
      <c r="M316" s="17">
        <f>Datos!AX316</f>
        <v>0</v>
      </c>
    </row>
    <row r="317" spans="1:13">
      <c r="A317" s="97">
        <v>45242</v>
      </c>
      <c r="B317" s="16">
        <f>Datos!Y317</f>
        <v>0</v>
      </c>
      <c r="C317" s="17">
        <f>Datos!AJ317+Datos!AK317</f>
        <v>0</v>
      </c>
      <c r="D317" s="80">
        <f t="shared" si="26"/>
        <v>0</v>
      </c>
      <c r="E317" s="17">
        <f>Datos!AN317</f>
        <v>0</v>
      </c>
      <c r="F317" s="80">
        <f t="shared" si="24"/>
        <v>0</v>
      </c>
      <c r="G317" s="17">
        <f t="shared" si="29"/>
        <v>0</v>
      </c>
      <c r="H317" s="17">
        <f t="shared" si="30"/>
        <v>0</v>
      </c>
      <c r="I317" s="17">
        <f>Datos!AR317</f>
        <v>0</v>
      </c>
      <c r="J317" s="17">
        <f>Datos!AS317</f>
        <v>0</v>
      </c>
      <c r="K317" s="17">
        <f>Datos!AU317</f>
        <v>0</v>
      </c>
      <c r="L317" s="80">
        <f t="shared" si="25"/>
        <v>0</v>
      </c>
      <c r="M317" s="17">
        <f>Datos!AX317</f>
        <v>0</v>
      </c>
    </row>
    <row r="318" spans="1:13">
      <c r="A318" s="97">
        <v>45243</v>
      </c>
      <c r="B318" s="16">
        <f>Datos!Y318</f>
        <v>0</v>
      </c>
      <c r="C318" s="17">
        <f>Datos!AJ318+Datos!AK318</f>
        <v>0</v>
      </c>
      <c r="D318" s="80">
        <f t="shared" si="26"/>
        <v>0</v>
      </c>
      <c r="E318" s="17">
        <f>Datos!AN318</f>
        <v>0</v>
      </c>
      <c r="F318" s="80">
        <f t="shared" si="24"/>
        <v>0</v>
      </c>
      <c r="G318" s="17">
        <f t="shared" si="29"/>
        <v>0</v>
      </c>
      <c r="H318" s="17">
        <f t="shared" si="30"/>
        <v>0</v>
      </c>
      <c r="I318" s="17">
        <f>Datos!AR318</f>
        <v>0</v>
      </c>
      <c r="J318" s="17">
        <f>Datos!AS318</f>
        <v>0</v>
      </c>
      <c r="K318" s="17">
        <f>Datos!AU318</f>
        <v>0</v>
      </c>
      <c r="L318" s="80">
        <f t="shared" si="25"/>
        <v>0</v>
      </c>
      <c r="M318" s="17">
        <f>Datos!AX318</f>
        <v>0</v>
      </c>
    </row>
    <row r="319" spans="1:13">
      <c r="A319" s="97">
        <v>45244</v>
      </c>
      <c r="B319" s="16">
        <f>Datos!Y319</f>
        <v>0</v>
      </c>
      <c r="C319" s="17">
        <f>Datos!AJ319+Datos!AK319</f>
        <v>0</v>
      </c>
      <c r="D319" s="80">
        <f t="shared" si="26"/>
        <v>0</v>
      </c>
      <c r="E319" s="17">
        <f>Datos!AN319</f>
        <v>0</v>
      </c>
      <c r="F319" s="80">
        <f t="shared" si="24"/>
        <v>0</v>
      </c>
      <c r="G319" s="17">
        <f t="shared" si="29"/>
        <v>0</v>
      </c>
      <c r="H319" s="17">
        <f t="shared" si="30"/>
        <v>0</v>
      </c>
      <c r="I319" s="17">
        <f>Datos!AR319</f>
        <v>0</v>
      </c>
      <c r="J319" s="17">
        <f>Datos!AS319</f>
        <v>0</v>
      </c>
      <c r="K319" s="17">
        <f>Datos!AU319</f>
        <v>0</v>
      </c>
      <c r="L319" s="80">
        <f t="shared" si="25"/>
        <v>0</v>
      </c>
      <c r="M319" s="17">
        <f>Datos!AX319</f>
        <v>0</v>
      </c>
    </row>
    <row r="320" spans="1:13">
      <c r="A320" s="97">
        <v>45245</v>
      </c>
      <c r="B320" s="16">
        <f>Datos!Y320</f>
        <v>0</v>
      </c>
      <c r="C320" s="17">
        <f>Datos!AJ320+Datos!AK320</f>
        <v>0</v>
      </c>
      <c r="D320" s="80">
        <f t="shared" si="26"/>
        <v>0</v>
      </c>
      <c r="E320" s="17">
        <f>Datos!AN320</f>
        <v>0</v>
      </c>
      <c r="F320" s="80">
        <f t="shared" si="24"/>
        <v>0</v>
      </c>
      <c r="G320" s="17">
        <f t="shared" si="29"/>
        <v>0</v>
      </c>
      <c r="H320" s="17">
        <f t="shared" si="30"/>
        <v>0</v>
      </c>
      <c r="I320" s="17">
        <f>Datos!AR320</f>
        <v>0</v>
      </c>
      <c r="J320" s="17">
        <f>Datos!AS320</f>
        <v>0</v>
      </c>
      <c r="K320" s="17">
        <f>Datos!AU320</f>
        <v>0</v>
      </c>
      <c r="L320" s="80">
        <f t="shared" si="25"/>
        <v>0</v>
      </c>
      <c r="M320" s="17">
        <f>Datos!AX320</f>
        <v>0</v>
      </c>
    </row>
    <row r="321" spans="1:13">
      <c r="A321" s="97">
        <v>45246</v>
      </c>
      <c r="B321" s="16">
        <f>Datos!Y321</f>
        <v>0</v>
      </c>
      <c r="C321" s="17">
        <f>Datos!AJ321+Datos!AK321</f>
        <v>0</v>
      </c>
      <c r="D321" s="80">
        <f t="shared" si="26"/>
        <v>0</v>
      </c>
      <c r="E321" s="17">
        <f>Datos!AN321</f>
        <v>0</v>
      </c>
      <c r="F321" s="80">
        <f t="shared" si="24"/>
        <v>0</v>
      </c>
      <c r="G321" s="17">
        <f t="shared" si="29"/>
        <v>0</v>
      </c>
      <c r="H321" s="17">
        <f t="shared" si="30"/>
        <v>0</v>
      </c>
      <c r="I321" s="17">
        <f>Datos!AR321</f>
        <v>0</v>
      </c>
      <c r="J321" s="17">
        <f>Datos!AS321</f>
        <v>0</v>
      </c>
      <c r="K321" s="17">
        <f>Datos!AU321</f>
        <v>0</v>
      </c>
      <c r="L321" s="80">
        <f t="shared" si="25"/>
        <v>0</v>
      </c>
      <c r="M321" s="17">
        <f>Datos!AX321</f>
        <v>0</v>
      </c>
    </row>
    <row r="322" spans="1:13">
      <c r="A322" s="97">
        <v>45247</v>
      </c>
      <c r="B322" s="16">
        <f>Datos!Y322</f>
        <v>0</v>
      </c>
      <c r="C322" s="17">
        <f>Datos!AJ322+Datos!AK322</f>
        <v>0</v>
      </c>
      <c r="D322" s="80">
        <f t="shared" si="26"/>
        <v>0</v>
      </c>
      <c r="E322" s="17">
        <f>Datos!AN322</f>
        <v>0</v>
      </c>
      <c r="F322" s="80">
        <f t="shared" ref="F322:F366" si="31">+CONVERT(E322,"m^3","gal")</f>
        <v>0</v>
      </c>
      <c r="G322" s="17">
        <f t="shared" si="29"/>
        <v>0</v>
      </c>
      <c r="H322" s="17">
        <f t="shared" si="30"/>
        <v>0</v>
      </c>
      <c r="I322" s="17">
        <f>Datos!AR322</f>
        <v>0</v>
      </c>
      <c r="J322" s="17">
        <f>Datos!AS322</f>
        <v>0</v>
      </c>
      <c r="K322" s="17">
        <f>Datos!AU322</f>
        <v>0</v>
      </c>
      <c r="L322" s="80">
        <f t="shared" ref="L322:L366" si="32">+CONVERT(K322,"m^3","gal")</f>
        <v>0</v>
      </c>
      <c r="M322" s="17">
        <f>Datos!AX322</f>
        <v>0</v>
      </c>
    </row>
    <row r="323" spans="1:13">
      <c r="A323" s="97">
        <v>45248</v>
      </c>
      <c r="B323" s="16">
        <f>Datos!Y323</f>
        <v>0</v>
      </c>
      <c r="C323" s="17">
        <f>Datos!AJ323+Datos!AK323</f>
        <v>0</v>
      </c>
      <c r="D323" s="80">
        <f t="shared" ref="D323:D366" si="33">+CONVERT(C323,"m^3","gal")</f>
        <v>0</v>
      </c>
      <c r="E323" s="17">
        <f>Datos!AN323</f>
        <v>0</v>
      </c>
      <c r="F323" s="80">
        <f t="shared" si="31"/>
        <v>0</v>
      </c>
      <c r="G323" s="17">
        <f t="shared" si="29"/>
        <v>0</v>
      </c>
      <c r="H323" s="17">
        <f t="shared" si="30"/>
        <v>0</v>
      </c>
      <c r="I323" s="17">
        <f>Datos!AR323</f>
        <v>0</v>
      </c>
      <c r="J323" s="17">
        <f>Datos!AS323</f>
        <v>0</v>
      </c>
      <c r="K323" s="17">
        <f>Datos!AU323</f>
        <v>0</v>
      </c>
      <c r="L323" s="80">
        <f t="shared" si="32"/>
        <v>0</v>
      </c>
      <c r="M323" s="17">
        <f>Datos!AX323</f>
        <v>0</v>
      </c>
    </row>
    <row r="324" spans="1:13">
      <c r="A324" s="97">
        <v>45249</v>
      </c>
      <c r="B324" s="16">
        <f>Datos!Y324</f>
        <v>0</v>
      </c>
      <c r="C324" s="17">
        <f>Datos!AJ324+Datos!AK324</f>
        <v>0</v>
      </c>
      <c r="D324" s="80">
        <f t="shared" si="33"/>
        <v>0</v>
      </c>
      <c r="E324" s="17">
        <f>Datos!AN324</f>
        <v>0</v>
      </c>
      <c r="F324" s="80">
        <f t="shared" si="31"/>
        <v>0</v>
      </c>
      <c r="G324" s="17">
        <f t="shared" si="29"/>
        <v>0</v>
      </c>
      <c r="H324" s="17">
        <f t="shared" si="30"/>
        <v>0</v>
      </c>
      <c r="I324" s="17">
        <f>Datos!AR324</f>
        <v>0</v>
      </c>
      <c r="J324" s="17">
        <f>Datos!AS324</f>
        <v>0</v>
      </c>
      <c r="K324" s="17">
        <f>Datos!AU324</f>
        <v>0</v>
      </c>
      <c r="L324" s="80">
        <f t="shared" si="32"/>
        <v>0</v>
      </c>
      <c r="M324" s="17">
        <f>Datos!AX324</f>
        <v>0</v>
      </c>
    </row>
    <row r="325" spans="1:13">
      <c r="A325" s="97">
        <v>45250</v>
      </c>
      <c r="B325" s="16">
        <f>Datos!Y325</f>
        <v>0</v>
      </c>
      <c r="C325" s="17">
        <f>Datos!AJ325+Datos!AK325</f>
        <v>0</v>
      </c>
      <c r="D325" s="80">
        <f t="shared" si="33"/>
        <v>0</v>
      </c>
      <c r="E325" s="17">
        <f>Datos!AN325</f>
        <v>0</v>
      </c>
      <c r="F325" s="80">
        <f t="shared" si="31"/>
        <v>0</v>
      </c>
      <c r="G325" s="17">
        <f t="shared" si="29"/>
        <v>0</v>
      </c>
      <c r="H325" s="17">
        <f t="shared" si="30"/>
        <v>0</v>
      </c>
      <c r="I325" s="17">
        <f>Datos!AR325</f>
        <v>0</v>
      </c>
      <c r="J325" s="17">
        <f>Datos!AS325</f>
        <v>0</v>
      </c>
      <c r="K325" s="17">
        <f>Datos!AU325</f>
        <v>0</v>
      </c>
      <c r="L325" s="80">
        <f t="shared" si="32"/>
        <v>0</v>
      </c>
      <c r="M325" s="17">
        <f>Datos!AX325</f>
        <v>0</v>
      </c>
    </row>
    <row r="326" spans="1:13">
      <c r="A326" s="97">
        <v>45251</v>
      </c>
      <c r="B326" s="16">
        <f>Datos!Y326</f>
        <v>0</v>
      </c>
      <c r="C326" s="17">
        <f>Datos!AJ326+Datos!AK326</f>
        <v>0</v>
      </c>
      <c r="D326" s="80">
        <f t="shared" si="33"/>
        <v>0</v>
      </c>
      <c r="E326" s="17">
        <f>Datos!AN326</f>
        <v>0</v>
      </c>
      <c r="F326" s="80">
        <f t="shared" si="31"/>
        <v>0</v>
      </c>
      <c r="G326" s="17">
        <f t="shared" si="29"/>
        <v>0</v>
      </c>
      <c r="H326" s="17">
        <f t="shared" si="30"/>
        <v>0</v>
      </c>
      <c r="I326" s="17">
        <f>Datos!AR326</f>
        <v>0</v>
      </c>
      <c r="J326" s="17">
        <f>Datos!AS326</f>
        <v>0</v>
      </c>
      <c r="K326" s="17">
        <f>Datos!AU326</f>
        <v>0</v>
      </c>
      <c r="L326" s="80">
        <f t="shared" si="32"/>
        <v>0</v>
      </c>
      <c r="M326" s="17">
        <f>Datos!AX326</f>
        <v>0</v>
      </c>
    </row>
    <row r="327" spans="1:13">
      <c r="A327" s="97">
        <v>45252</v>
      </c>
      <c r="B327" s="16">
        <f>Datos!Y327</f>
        <v>0</v>
      </c>
      <c r="C327" s="17">
        <f>Datos!AJ327+Datos!AK327</f>
        <v>0</v>
      </c>
      <c r="D327" s="80">
        <f t="shared" si="33"/>
        <v>0</v>
      </c>
      <c r="E327" s="17">
        <f>Datos!AN327</f>
        <v>0</v>
      </c>
      <c r="F327" s="80">
        <f t="shared" si="31"/>
        <v>0</v>
      </c>
      <c r="G327" s="17">
        <f t="shared" si="29"/>
        <v>0</v>
      </c>
      <c r="H327" s="17">
        <f t="shared" si="30"/>
        <v>0</v>
      </c>
      <c r="I327" s="17">
        <f>Datos!AR327</f>
        <v>0</v>
      </c>
      <c r="J327" s="17">
        <f>Datos!AS327</f>
        <v>0</v>
      </c>
      <c r="K327" s="17">
        <f>Datos!AU327</f>
        <v>0</v>
      </c>
      <c r="L327" s="80">
        <f t="shared" si="32"/>
        <v>0</v>
      </c>
      <c r="M327" s="17">
        <f>Datos!AX327</f>
        <v>0</v>
      </c>
    </row>
    <row r="328" spans="1:13">
      <c r="A328" s="97">
        <v>45253</v>
      </c>
      <c r="B328" s="16">
        <f>Datos!Y328</f>
        <v>0</v>
      </c>
      <c r="C328" s="17">
        <f>Datos!AJ328+Datos!AK328</f>
        <v>0</v>
      </c>
      <c r="D328" s="80">
        <f t="shared" si="33"/>
        <v>0</v>
      </c>
      <c r="E328" s="17">
        <f>Datos!AN328</f>
        <v>0</v>
      </c>
      <c r="F328" s="80">
        <f t="shared" si="31"/>
        <v>0</v>
      </c>
      <c r="G328" s="17">
        <f t="shared" si="29"/>
        <v>0</v>
      </c>
      <c r="H328" s="17">
        <f t="shared" si="30"/>
        <v>0</v>
      </c>
      <c r="I328" s="17">
        <f>Datos!AR328</f>
        <v>0</v>
      </c>
      <c r="J328" s="17">
        <f>Datos!AS328</f>
        <v>0</v>
      </c>
      <c r="K328" s="17">
        <f>Datos!AU328</f>
        <v>0</v>
      </c>
      <c r="L328" s="80">
        <f t="shared" si="32"/>
        <v>0</v>
      </c>
      <c r="M328" s="17">
        <f>Datos!AX328</f>
        <v>0</v>
      </c>
    </row>
    <row r="329" spans="1:13">
      <c r="A329" s="97">
        <v>45254</v>
      </c>
      <c r="B329" s="16">
        <f>Datos!Y329</f>
        <v>0</v>
      </c>
      <c r="C329" s="17">
        <f>Datos!AJ329+Datos!AK329</f>
        <v>0</v>
      </c>
      <c r="D329" s="80">
        <f t="shared" si="33"/>
        <v>0</v>
      </c>
      <c r="E329" s="17">
        <f>Datos!AN329</f>
        <v>0</v>
      </c>
      <c r="F329" s="80">
        <f t="shared" si="31"/>
        <v>0</v>
      </c>
      <c r="G329" s="17">
        <f t="shared" si="29"/>
        <v>0</v>
      </c>
      <c r="H329" s="17">
        <f t="shared" si="30"/>
        <v>0</v>
      </c>
      <c r="I329" s="17">
        <f>Datos!AR329</f>
        <v>0</v>
      </c>
      <c r="J329" s="17">
        <f>Datos!AS329</f>
        <v>0</v>
      </c>
      <c r="K329" s="17">
        <f>Datos!AU329</f>
        <v>0</v>
      </c>
      <c r="L329" s="80">
        <f t="shared" si="32"/>
        <v>0</v>
      </c>
      <c r="M329" s="17">
        <f>Datos!AX329</f>
        <v>0</v>
      </c>
    </row>
    <row r="330" spans="1:13">
      <c r="A330" s="97">
        <v>45255</v>
      </c>
      <c r="B330" s="16">
        <f>Datos!Y330</f>
        <v>0</v>
      </c>
      <c r="C330" s="17">
        <f>Datos!AJ330+Datos!AK330</f>
        <v>0</v>
      </c>
      <c r="D330" s="80">
        <f t="shared" si="33"/>
        <v>0</v>
      </c>
      <c r="E330" s="17">
        <f>Datos!AN330</f>
        <v>0</v>
      </c>
      <c r="F330" s="80">
        <f t="shared" si="31"/>
        <v>0</v>
      </c>
      <c r="G330" s="17">
        <f t="shared" si="29"/>
        <v>0</v>
      </c>
      <c r="H330" s="17">
        <f t="shared" si="30"/>
        <v>0</v>
      </c>
      <c r="I330" s="17">
        <f>Datos!AR330</f>
        <v>0</v>
      </c>
      <c r="J330" s="17">
        <f>Datos!AS330</f>
        <v>0</v>
      </c>
      <c r="K330" s="17">
        <f>Datos!AU330</f>
        <v>0</v>
      </c>
      <c r="L330" s="80">
        <f t="shared" si="32"/>
        <v>0</v>
      </c>
      <c r="M330" s="17">
        <f>Datos!AX330</f>
        <v>0</v>
      </c>
    </row>
    <row r="331" spans="1:13">
      <c r="A331" s="97">
        <v>45256</v>
      </c>
      <c r="B331" s="16">
        <f>Datos!Y331</f>
        <v>0</v>
      </c>
      <c r="C331" s="17">
        <f>Datos!AJ331+Datos!AK331</f>
        <v>0</v>
      </c>
      <c r="D331" s="80">
        <f t="shared" si="33"/>
        <v>0</v>
      </c>
      <c r="E331" s="17">
        <f>Datos!AN331</f>
        <v>0</v>
      </c>
      <c r="F331" s="80">
        <f t="shared" si="31"/>
        <v>0</v>
      </c>
      <c r="G331" s="17">
        <f t="shared" si="29"/>
        <v>0</v>
      </c>
      <c r="H331" s="17">
        <f t="shared" si="30"/>
        <v>0</v>
      </c>
      <c r="I331" s="17">
        <f>Datos!AR331</f>
        <v>0</v>
      </c>
      <c r="J331" s="17">
        <f>Datos!AS331</f>
        <v>0</v>
      </c>
      <c r="K331" s="17">
        <f>Datos!AU331</f>
        <v>0</v>
      </c>
      <c r="L331" s="80">
        <f t="shared" si="32"/>
        <v>0</v>
      </c>
      <c r="M331" s="17">
        <f>Datos!AX331</f>
        <v>0</v>
      </c>
    </row>
    <row r="332" spans="1:13">
      <c r="A332" s="97">
        <v>45257</v>
      </c>
      <c r="B332" s="16">
        <f>Datos!Y332</f>
        <v>0</v>
      </c>
      <c r="C332" s="17">
        <f>Datos!AJ332+Datos!AK332</f>
        <v>0</v>
      </c>
      <c r="D332" s="80">
        <f t="shared" si="33"/>
        <v>0</v>
      </c>
      <c r="E332" s="17">
        <f>Datos!AN332</f>
        <v>0</v>
      </c>
      <c r="F332" s="80">
        <f t="shared" si="31"/>
        <v>0</v>
      </c>
      <c r="G332" s="17">
        <f t="shared" si="29"/>
        <v>0</v>
      </c>
      <c r="H332" s="17">
        <f t="shared" si="30"/>
        <v>0</v>
      </c>
      <c r="I332" s="17">
        <f>Datos!AR332</f>
        <v>0</v>
      </c>
      <c r="J332" s="17">
        <f>Datos!AS332</f>
        <v>0</v>
      </c>
      <c r="K332" s="17">
        <f>Datos!AU332</f>
        <v>0</v>
      </c>
      <c r="L332" s="80">
        <f t="shared" si="32"/>
        <v>0</v>
      </c>
      <c r="M332" s="17">
        <f>Datos!AX332</f>
        <v>0</v>
      </c>
    </row>
    <row r="333" spans="1:13">
      <c r="A333" s="97">
        <v>45258</v>
      </c>
      <c r="B333" s="16">
        <f>Datos!Y333</f>
        <v>0</v>
      </c>
      <c r="C333" s="17">
        <f>Datos!AJ333+Datos!AK333</f>
        <v>0</v>
      </c>
      <c r="D333" s="80">
        <f t="shared" si="33"/>
        <v>0</v>
      </c>
      <c r="E333" s="17">
        <f>Datos!AN333</f>
        <v>0</v>
      </c>
      <c r="F333" s="80">
        <f t="shared" si="31"/>
        <v>0</v>
      </c>
      <c r="G333" s="17">
        <f t="shared" si="29"/>
        <v>0</v>
      </c>
      <c r="H333" s="17">
        <f t="shared" si="30"/>
        <v>0</v>
      </c>
      <c r="I333" s="17">
        <f>Datos!AR333</f>
        <v>0</v>
      </c>
      <c r="J333" s="17">
        <f>Datos!AS333</f>
        <v>0</v>
      </c>
      <c r="K333" s="17">
        <f>Datos!AU333</f>
        <v>0</v>
      </c>
      <c r="L333" s="80">
        <f t="shared" si="32"/>
        <v>0</v>
      </c>
      <c r="M333" s="17">
        <f>Datos!AX333</f>
        <v>0</v>
      </c>
    </row>
    <row r="334" spans="1:13">
      <c r="A334" s="97">
        <v>45259</v>
      </c>
      <c r="B334" s="16">
        <f>Datos!Y334</f>
        <v>0</v>
      </c>
      <c r="C334" s="17">
        <f>Datos!AJ334+Datos!AK334</f>
        <v>0</v>
      </c>
      <c r="D334" s="80">
        <f t="shared" si="33"/>
        <v>0</v>
      </c>
      <c r="E334" s="17">
        <f>Datos!AN334</f>
        <v>0</v>
      </c>
      <c r="F334" s="80">
        <f t="shared" si="31"/>
        <v>0</v>
      </c>
      <c r="G334" s="17">
        <f t="shared" si="29"/>
        <v>0</v>
      </c>
      <c r="H334" s="17">
        <f t="shared" si="30"/>
        <v>0</v>
      </c>
      <c r="I334" s="17">
        <f>Datos!AR334</f>
        <v>0</v>
      </c>
      <c r="J334" s="17">
        <f>Datos!AS334</f>
        <v>0</v>
      </c>
      <c r="K334" s="17">
        <f>Datos!AU334</f>
        <v>0</v>
      </c>
      <c r="L334" s="80">
        <f t="shared" si="32"/>
        <v>0</v>
      </c>
      <c r="M334" s="17">
        <f>Datos!AX334</f>
        <v>0</v>
      </c>
    </row>
    <row r="335" spans="1:13">
      <c r="A335" s="97">
        <v>45260</v>
      </c>
      <c r="B335" s="16">
        <f>Datos!Y335</f>
        <v>0</v>
      </c>
      <c r="C335" s="17">
        <f>Datos!AJ335+Datos!AK335</f>
        <v>0</v>
      </c>
      <c r="D335" s="80">
        <f t="shared" si="33"/>
        <v>0</v>
      </c>
      <c r="E335" s="17">
        <f>Datos!AN335</f>
        <v>0</v>
      </c>
      <c r="F335" s="80">
        <f t="shared" si="31"/>
        <v>0</v>
      </c>
      <c r="G335" s="17">
        <f t="shared" si="29"/>
        <v>0</v>
      </c>
      <c r="H335" s="17">
        <f t="shared" si="30"/>
        <v>0</v>
      </c>
      <c r="I335" s="17">
        <f>Datos!AR335</f>
        <v>0</v>
      </c>
      <c r="J335" s="17">
        <f>Datos!AS335</f>
        <v>0</v>
      </c>
      <c r="K335" s="17">
        <f>Datos!AU335</f>
        <v>0</v>
      </c>
      <c r="L335" s="80">
        <f t="shared" si="32"/>
        <v>0</v>
      </c>
      <c r="M335" s="17">
        <f>Datos!AX335</f>
        <v>0</v>
      </c>
    </row>
    <row r="336" spans="1:13">
      <c r="A336" s="97">
        <v>45261</v>
      </c>
      <c r="B336" s="16">
        <f>Datos!Y336</f>
        <v>0</v>
      </c>
      <c r="C336" s="17">
        <f>Datos!AJ336+Datos!AK336</f>
        <v>0</v>
      </c>
      <c r="D336" s="80">
        <f t="shared" si="33"/>
        <v>0</v>
      </c>
      <c r="E336" s="17">
        <f>Datos!AN336</f>
        <v>0</v>
      </c>
      <c r="F336" s="80">
        <f t="shared" si="31"/>
        <v>0</v>
      </c>
      <c r="G336" s="17">
        <f t="shared" si="29"/>
        <v>0</v>
      </c>
      <c r="H336" s="17">
        <f t="shared" si="30"/>
        <v>0</v>
      </c>
      <c r="I336" s="17">
        <f>Datos!AR336</f>
        <v>0</v>
      </c>
      <c r="J336" s="17">
        <f>Datos!AS336</f>
        <v>0</v>
      </c>
      <c r="K336" s="17">
        <f>Datos!AU336</f>
        <v>0</v>
      </c>
      <c r="L336" s="80">
        <f t="shared" si="32"/>
        <v>0</v>
      </c>
      <c r="M336" s="17">
        <f>Datos!AX336</f>
        <v>0</v>
      </c>
    </row>
    <row r="337" spans="1:13">
      <c r="A337" s="97">
        <v>45262</v>
      </c>
      <c r="B337" s="16">
        <f>Datos!Y337</f>
        <v>0</v>
      </c>
      <c r="C337" s="17">
        <f>Datos!AJ337+Datos!AK337</f>
        <v>0</v>
      </c>
      <c r="D337" s="80">
        <f t="shared" si="33"/>
        <v>0</v>
      </c>
      <c r="E337" s="17">
        <f>Datos!AN337</f>
        <v>0</v>
      </c>
      <c r="F337" s="80">
        <f t="shared" si="31"/>
        <v>0</v>
      </c>
      <c r="G337" s="17">
        <f t="shared" ref="G337:G366" si="34">C337+E337</f>
        <v>0</v>
      </c>
      <c r="H337" s="17">
        <f t="shared" ref="H337:H366" si="35">D337+F337</f>
        <v>0</v>
      </c>
      <c r="I337" s="17">
        <f>Datos!AR337</f>
        <v>0</v>
      </c>
      <c r="J337" s="17">
        <f>Datos!AS337</f>
        <v>0</v>
      </c>
      <c r="K337" s="17">
        <f>Datos!AU337</f>
        <v>0</v>
      </c>
      <c r="L337" s="80">
        <f t="shared" si="32"/>
        <v>0</v>
      </c>
      <c r="M337" s="17">
        <f>Datos!AX337</f>
        <v>0</v>
      </c>
    </row>
    <row r="338" spans="1:13">
      <c r="A338" s="97">
        <v>45263</v>
      </c>
      <c r="B338" s="16">
        <f>Datos!Y338</f>
        <v>0</v>
      </c>
      <c r="C338" s="17">
        <f>Datos!AJ338+Datos!AK338</f>
        <v>0</v>
      </c>
      <c r="D338" s="80">
        <f t="shared" si="33"/>
        <v>0</v>
      </c>
      <c r="E338" s="17">
        <f>Datos!AN338</f>
        <v>0</v>
      </c>
      <c r="F338" s="80">
        <f t="shared" si="31"/>
        <v>0</v>
      </c>
      <c r="G338" s="17">
        <f>C338+E338</f>
        <v>0</v>
      </c>
      <c r="H338" s="17">
        <f t="shared" si="35"/>
        <v>0</v>
      </c>
      <c r="I338" s="17">
        <f>Datos!AR338</f>
        <v>0</v>
      </c>
      <c r="J338" s="17">
        <f>Datos!AS338</f>
        <v>0</v>
      </c>
      <c r="K338" s="17">
        <f>Datos!AU338</f>
        <v>0</v>
      </c>
      <c r="L338" s="80">
        <f t="shared" si="32"/>
        <v>0</v>
      </c>
      <c r="M338" s="17">
        <f>Datos!AX338</f>
        <v>0</v>
      </c>
    </row>
    <row r="339" spans="1:13">
      <c r="A339" s="97">
        <v>45264</v>
      </c>
      <c r="B339" s="16">
        <f>Datos!Y339</f>
        <v>0</v>
      </c>
      <c r="C339" s="17">
        <f>Datos!AJ339+Datos!AK339</f>
        <v>0</v>
      </c>
      <c r="D339" s="80">
        <f t="shared" si="33"/>
        <v>0</v>
      </c>
      <c r="E339" s="17">
        <f>Datos!AN339</f>
        <v>0</v>
      </c>
      <c r="F339" s="80">
        <f t="shared" si="31"/>
        <v>0</v>
      </c>
      <c r="G339" s="17">
        <f t="shared" si="34"/>
        <v>0</v>
      </c>
      <c r="H339" s="17">
        <f t="shared" si="35"/>
        <v>0</v>
      </c>
      <c r="I339" s="17">
        <f>Datos!AR339</f>
        <v>0</v>
      </c>
      <c r="J339" s="17">
        <f>Datos!AS339</f>
        <v>0</v>
      </c>
      <c r="K339" s="17">
        <f>Datos!AU339</f>
        <v>0</v>
      </c>
      <c r="L339" s="80">
        <f t="shared" si="32"/>
        <v>0</v>
      </c>
      <c r="M339" s="17">
        <f>Datos!AX339</f>
        <v>0</v>
      </c>
    </row>
    <row r="340" spans="1:13">
      <c r="A340" s="97">
        <v>45265</v>
      </c>
      <c r="B340" s="16">
        <f>Datos!Y340</f>
        <v>0</v>
      </c>
      <c r="C340" s="17">
        <f>Datos!AJ340+Datos!AK340</f>
        <v>0</v>
      </c>
      <c r="D340" s="80">
        <f t="shared" si="33"/>
        <v>0</v>
      </c>
      <c r="E340" s="17">
        <f>Datos!AN340</f>
        <v>0</v>
      </c>
      <c r="F340" s="80">
        <f t="shared" si="31"/>
        <v>0</v>
      </c>
      <c r="G340" s="17">
        <f t="shared" si="34"/>
        <v>0</v>
      </c>
      <c r="H340" s="17">
        <f t="shared" si="35"/>
        <v>0</v>
      </c>
      <c r="I340" s="17">
        <f>Datos!AR340</f>
        <v>0</v>
      </c>
      <c r="J340" s="17">
        <f>Datos!AS340</f>
        <v>0</v>
      </c>
      <c r="K340" s="17">
        <f>Datos!AU340</f>
        <v>0</v>
      </c>
      <c r="L340" s="80">
        <f t="shared" si="32"/>
        <v>0</v>
      </c>
      <c r="M340" s="17">
        <f>Datos!AX340</f>
        <v>0</v>
      </c>
    </row>
    <row r="341" spans="1:13">
      <c r="A341" s="97">
        <v>45266</v>
      </c>
      <c r="B341" s="16">
        <f>Datos!Y341</f>
        <v>0</v>
      </c>
      <c r="C341" s="17">
        <f>Datos!AJ341+Datos!AK341</f>
        <v>0</v>
      </c>
      <c r="D341" s="80">
        <f t="shared" si="33"/>
        <v>0</v>
      </c>
      <c r="E341" s="17">
        <f>Datos!AN341</f>
        <v>0</v>
      </c>
      <c r="F341" s="80">
        <f t="shared" si="31"/>
        <v>0</v>
      </c>
      <c r="G341" s="17">
        <f t="shared" si="34"/>
        <v>0</v>
      </c>
      <c r="H341" s="17">
        <f t="shared" si="35"/>
        <v>0</v>
      </c>
      <c r="I341" s="17">
        <f>Datos!AR341</f>
        <v>0</v>
      </c>
      <c r="J341" s="17">
        <f>Datos!AS341</f>
        <v>0</v>
      </c>
      <c r="K341" s="17">
        <f>Datos!AU341</f>
        <v>0</v>
      </c>
      <c r="L341" s="80">
        <f t="shared" si="32"/>
        <v>0</v>
      </c>
      <c r="M341" s="17">
        <f>Datos!AX341</f>
        <v>0</v>
      </c>
    </row>
    <row r="342" spans="1:13">
      <c r="A342" s="97">
        <v>45267</v>
      </c>
      <c r="B342" s="16">
        <f>Datos!Y342</f>
        <v>0</v>
      </c>
      <c r="C342" s="17">
        <f>Datos!AJ342+Datos!AK342</f>
        <v>0</v>
      </c>
      <c r="D342" s="80">
        <f t="shared" si="33"/>
        <v>0</v>
      </c>
      <c r="E342" s="17">
        <f>Datos!AN342</f>
        <v>0</v>
      </c>
      <c r="F342" s="80">
        <f t="shared" si="31"/>
        <v>0</v>
      </c>
      <c r="G342" s="17">
        <f t="shared" si="34"/>
        <v>0</v>
      </c>
      <c r="H342" s="17">
        <f t="shared" si="35"/>
        <v>0</v>
      </c>
      <c r="I342" s="17">
        <f>Datos!AR342</f>
        <v>0</v>
      </c>
      <c r="J342" s="17">
        <f>Datos!AS342</f>
        <v>0</v>
      </c>
      <c r="K342" s="17">
        <f>Datos!AU342</f>
        <v>0</v>
      </c>
      <c r="L342" s="80">
        <f t="shared" si="32"/>
        <v>0</v>
      </c>
      <c r="M342" s="17">
        <f>Datos!AX342</f>
        <v>0</v>
      </c>
    </row>
    <row r="343" spans="1:13">
      <c r="A343" s="97">
        <v>45268</v>
      </c>
      <c r="B343" s="16">
        <f>Datos!Y343</f>
        <v>0</v>
      </c>
      <c r="C343" s="17">
        <f>Datos!AJ343+Datos!AK343</f>
        <v>0</v>
      </c>
      <c r="D343" s="80">
        <f t="shared" si="33"/>
        <v>0</v>
      </c>
      <c r="E343" s="17">
        <f>Datos!AN343</f>
        <v>0</v>
      </c>
      <c r="F343" s="80">
        <f t="shared" si="31"/>
        <v>0</v>
      </c>
      <c r="G343" s="17">
        <f t="shared" si="34"/>
        <v>0</v>
      </c>
      <c r="H343" s="17">
        <f t="shared" si="35"/>
        <v>0</v>
      </c>
      <c r="I343" s="17">
        <f>Datos!AR343</f>
        <v>0</v>
      </c>
      <c r="J343" s="17">
        <f>Datos!AS343</f>
        <v>0</v>
      </c>
      <c r="K343" s="17">
        <f>Datos!AU343</f>
        <v>0</v>
      </c>
      <c r="L343" s="80">
        <f t="shared" si="32"/>
        <v>0</v>
      </c>
      <c r="M343" s="17">
        <f>Datos!AX343</f>
        <v>0</v>
      </c>
    </row>
    <row r="344" spans="1:13">
      <c r="A344" s="97">
        <v>45269</v>
      </c>
      <c r="B344" s="16">
        <f>Datos!Y344</f>
        <v>0</v>
      </c>
      <c r="C344" s="17">
        <f>Datos!AJ344+Datos!AK344</f>
        <v>0</v>
      </c>
      <c r="D344" s="80">
        <f t="shared" si="33"/>
        <v>0</v>
      </c>
      <c r="E344" s="17">
        <f>Datos!AN344</f>
        <v>0</v>
      </c>
      <c r="F344" s="80">
        <f t="shared" si="31"/>
        <v>0</v>
      </c>
      <c r="G344" s="17">
        <f t="shared" si="34"/>
        <v>0</v>
      </c>
      <c r="H344" s="17">
        <f t="shared" si="35"/>
        <v>0</v>
      </c>
      <c r="I344" s="17">
        <f>Datos!AR344</f>
        <v>0</v>
      </c>
      <c r="J344" s="17">
        <f>Datos!AS344</f>
        <v>0</v>
      </c>
      <c r="K344" s="17">
        <f>Datos!AU344</f>
        <v>0</v>
      </c>
      <c r="L344" s="80">
        <f t="shared" si="32"/>
        <v>0</v>
      </c>
      <c r="M344" s="17">
        <f>Datos!AX344</f>
        <v>0</v>
      </c>
    </row>
    <row r="345" spans="1:13">
      <c r="A345" s="97">
        <v>45270</v>
      </c>
      <c r="B345" s="16">
        <f>Datos!Y345</f>
        <v>0</v>
      </c>
      <c r="C345" s="17">
        <f>Datos!AJ345+Datos!AK345</f>
        <v>0</v>
      </c>
      <c r="D345" s="80">
        <f t="shared" si="33"/>
        <v>0</v>
      </c>
      <c r="E345" s="17">
        <f>Datos!AN345</f>
        <v>0</v>
      </c>
      <c r="F345" s="80">
        <f t="shared" si="31"/>
        <v>0</v>
      </c>
      <c r="G345" s="17">
        <f t="shared" si="34"/>
        <v>0</v>
      </c>
      <c r="H345" s="17">
        <f t="shared" si="35"/>
        <v>0</v>
      </c>
      <c r="I345" s="17">
        <f>Datos!AR345</f>
        <v>0</v>
      </c>
      <c r="J345" s="17">
        <f>Datos!AS345</f>
        <v>0</v>
      </c>
      <c r="K345" s="17">
        <f>Datos!AU345</f>
        <v>0</v>
      </c>
      <c r="L345" s="80">
        <f t="shared" si="32"/>
        <v>0</v>
      </c>
      <c r="M345" s="17">
        <f>Datos!AX345</f>
        <v>0</v>
      </c>
    </row>
    <row r="346" spans="1:13">
      <c r="A346" s="97">
        <v>45271</v>
      </c>
      <c r="B346" s="16">
        <f>Datos!Y346</f>
        <v>0</v>
      </c>
      <c r="C346" s="17">
        <f>Datos!AJ346+Datos!AK346</f>
        <v>0</v>
      </c>
      <c r="D346" s="80">
        <f t="shared" si="33"/>
        <v>0</v>
      </c>
      <c r="E346" s="17">
        <f>Datos!AN346</f>
        <v>0</v>
      </c>
      <c r="F346" s="80">
        <f t="shared" si="31"/>
        <v>0</v>
      </c>
      <c r="G346" s="17">
        <f t="shared" si="34"/>
        <v>0</v>
      </c>
      <c r="H346" s="17">
        <f t="shared" si="35"/>
        <v>0</v>
      </c>
      <c r="I346" s="17">
        <f>Datos!AR346</f>
        <v>0</v>
      </c>
      <c r="J346" s="17">
        <f>Datos!AS346</f>
        <v>0</v>
      </c>
      <c r="K346" s="17">
        <f>Datos!AU346</f>
        <v>0</v>
      </c>
      <c r="L346" s="80">
        <f t="shared" si="32"/>
        <v>0</v>
      </c>
      <c r="M346" s="17">
        <f>Datos!AX346</f>
        <v>0</v>
      </c>
    </row>
    <row r="347" spans="1:13">
      <c r="A347" s="97">
        <v>45272</v>
      </c>
      <c r="B347" s="16">
        <f>Datos!Y347</f>
        <v>0</v>
      </c>
      <c r="C347" s="17">
        <f>Datos!AJ347+Datos!AK347</f>
        <v>0</v>
      </c>
      <c r="D347" s="80">
        <f t="shared" si="33"/>
        <v>0</v>
      </c>
      <c r="E347" s="17">
        <f>Datos!AN347</f>
        <v>0</v>
      </c>
      <c r="F347" s="80">
        <f t="shared" si="31"/>
        <v>0</v>
      </c>
      <c r="G347" s="17">
        <f t="shared" si="34"/>
        <v>0</v>
      </c>
      <c r="H347" s="17">
        <f t="shared" si="35"/>
        <v>0</v>
      </c>
      <c r="I347" s="17">
        <f>Datos!AR347</f>
        <v>0</v>
      </c>
      <c r="J347" s="17">
        <f>Datos!AS347</f>
        <v>0</v>
      </c>
      <c r="K347" s="17">
        <f>Datos!AU347</f>
        <v>0</v>
      </c>
      <c r="L347" s="80">
        <f t="shared" si="32"/>
        <v>0</v>
      </c>
      <c r="M347" s="17">
        <f>Datos!AX347</f>
        <v>0</v>
      </c>
    </row>
    <row r="348" spans="1:13">
      <c r="A348" s="97">
        <v>45273</v>
      </c>
      <c r="B348" s="16">
        <f>Datos!Y348</f>
        <v>0</v>
      </c>
      <c r="C348" s="17">
        <f>Datos!AJ348+Datos!AK348</f>
        <v>0</v>
      </c>
      <c r="D348" s="80">
        <f t="shared" si="33"/>
        <v>0</v>
      </c>
      <c r="E348" s="17">
        <f>Datos!AN348</f>
        <v>0</v>
      </c>
      <c r="F348" s="80">
        <f t="shared" si="31"/>
        <v>0</v>
      </c>
      <c r="G348" s="17">
        <f t="shared" si="34"/>
        <v>0</v>
      </c>
      <c r="H348" s="17">
        <f t="shared" si="35"/>
        <v>0</v>
      </c>
      <c r="I348" s="17">
        <f>Datos!AR348</f>
        <v>0</v>
      </c>
      <c r="J348" s="17">
        <f>Datos!AS348</f>
        <v>0</v>
      </c>
      <c r="K348" s="17">
        <f>Datos!AU348</f>
        <v>0</v>
      </c>
      <c r="L348" s="80">
        <f t="shared" si="32"/>
        <v>0</v>
      </c>
      <c r="M348" s="17">
        <f>Datos!AX348</f>
        <v>0</v>
      </c>
    </row>
    <row r="349" spans="1:13">
      <c r="A349" s="97">
        <v>45274</v>
      </c>
      <c r="B349" s="16">
        <f>Datos!Y349</f>
        <v>0</v>
      </c>
      <c r="C349" s="17">
        <f>Datos!AJ349+Datos!AK349</f>
        <v>0</v>
      </c>
      <c r="D349" s="80">
        <f t="shared" si="33"/>
        <v>0</v>
      </c>
      <c r="E349" s="17">
        <f>Datos!AN349</f>
        <v>0</v>
      </c>
      <c r="F349" s="80">
        <f t="shared" si="31"/>
        <v>0</v>
      </c>
      <c r="G349" s="17">
        <f t="shared" si="34"/>
        <v>0</v>
      </c>
      <c r="H349" s="17">
        <f t="shared" si="35"/>
        <v>0</v>
      </c>
      <c r="I349" s="17">
        <f>Datos!AR349</f>
        <v>0</v>
      </c>
      <c r="J349" s="17">
        <f>Datos!AS349</f>
        <v>0</v>
      </c>
      <c r="K349" s="17">
        <f>Datos!AU349</f>
        <v>0</v>
      </c>
      <c r="L349" s="80">
        <f t="shared" si="32"/>
        <v>0</v>
      </c>
      <c r="M349" s="17">
        <f>Datos!AX349</f>
        <v>0</v>
      </c>
    </row>
    <row r="350" spans="1:13">
      <c r="A350" s="97">
        <v>45275</v>
      </c>
      <c r="B350" s="16">
        <f>Datos!Y350</f>
        <v>0</v>
      </c>
      <c r="C350" s="17">
        <f>Datos!AJ350+Datos!AK350</f>
        <v>0</v>
      </c>
      <c r="D350" s="80">
        <f t="shared" si="33"/>
        <v>0</v>
      </c>
      <c r="E350" s="17">
        <f>Datos!AN350</f>
        <v>0</v>
      </c>
      <c r="F350" s="80">
        <f t="shared" si="31"/>
        <v>0</v>
      </c>
      <c r="G350" s="17">
        <f t="shared" si="34"/>
        <v>0</v>
      </c>
      <c r="H350" s="17">
        <f t="shared" si="35"/>
        <v>0</v>
      </c>
      <c r="I350" s="17">
        <f>Datos!AR350</f>
        <v>0</v>
      </c>
      <c r="J350" s="17">
        <f>Datos!AS350</f>
        <v>0</v>
      </c>
      <c r="K350" s="17">
        <f>Datos!AU350</f>
        <v>0</v>
      </c>
      <c r="L350" s="80">
        <f t="shared" si="32"/>
        <v>0</v>
      </c>
      <c r="M350" s="17">
        <f>Datos!AX350</f>
        <v>0</v>
      </c>
    </row>
    <row r="351" spans="1:13">
      <c r="A351" s="97">
        <v>45276</v>
      </c>
      <c r="B351" s="16">
        <f>Datos!Y351</f>
        <v>0</v>
      </c>
      <c r="C351" s="17">
        <f>Datos!AJ351+Datos!AK351</f>
        <v>0</v>
      </c>
      <c r="D351" s="80">
        <f t="shared" si="33"/>
        <v>0</v>
      </c>
      <c r="E351" s="17">
        <f>Datos!AN351</f>
        <v>0</v>
      </c>
      <c r="F351" s="80">
        <f t="shared" si="31"/>
        <v>0</v>
      </c>
      <c r="G351" s="17">
        <f t="shared" si="34"/>
        <v>0</v>
      </c>
      <c r="H351" s="17">
        <f t="shared" si="35"/>
        <v>0</v>
      </c>
      <c r="I351" s="17">
        <f>Datos!AR351</f>
        <v>0</v>
      </c>
      <c r="J351" s="17">
        <f>Datos!AS351</f>
        <v>0</v>
      </c>
      <c r="K351" s="17">
        <f>Datos!AU351</f>
        <v>0</v>
      </c>
      <c r="L351" s="80">
        <f t="shared" si="32"/>
        <v>0</v>
      </c>
      <c r="M351" s="17">
        <f>Datos!AX351</f>
        <v>0</v>
      </c>
    </row>
    <row r="352" spans="1:13">
      <c r="A352" s="97">
        <v>45277</v>
      </c>
      <c r="B352" s="16">
        <f>Datos!Y352</f>
        <v>0</v>
      </c>
      <c r="C352" s="17">
        <f>Datos!AJ352+Datos!AK352</f>
        <v>0</v>
      </c>
      <c r="D352" s="80">
        <f t="shared" si="33"/>
        <v>0</v>
      </c>
      <c r="E352" s="17">
        <f>Datos!AN352</f>
        <v>0</v>
      </c>
      <c r="F352" s="80">
        <f t="shared" si="31"/>
        <v>0</v>
      </c>
      <c r="G352" s="17">
        <f t="shared" si="34"/>
        <v>0</v>
      </c>
      <c r="H352" s="17">
        <f t="shared" si="35"/>
        <v>0</v>
      </c>
      <c r="I352" s="17">
        <f>Datos!AR352</f>
        <v>0</v>
      </c>
      <c r="J352" s="17">
        <f>Datos!AS352</f>
        <v>0</v>
      </c>
      <c r="K352" s="17">
        <f>Datos!AU352</f>
        <v>0</v>
      </c>
      <c r="L352" s="80">
        <f t="shared" si="32"/>
        <v>0</v>
      </c>
      <c r="M352" s="17">
        <f>Datos!AX352</f>
        <v>0</v>
      </c>
    </row>
    <row r="353" spans="1:13">
      <c r="A353" s="97">
        <v>45278</v>
      </c>
      <c r="B353" s="16">
        <f>Datos!Y353</f>
        <v>0</v>
      </c>
      <c r="C353" s="17">
        <f>Datos!AJ353+Datos!AK353</f>
        <v>0</v>
      </c>
      <c r="D353" s="80">
        <f t="shared" si="33"/>
        <v>0</v>
      </c>
      <c r="E353" s="17">
        <f>Datos!AN353</f>
        <v>0</v>
      </c>
      <c r="F353" s="80">
        <f t="shared" si="31"/>
        <v>0</v>
      </c>
      <c r="G353" s="17">
        <f t="shared" si="34"/>
        <v>0</v>
      </c>
      <c r="H353" s="17">
        <f t="shared" si="35"/>
        <v>0</v>
      </c>
      <c r="I353" s="17">
        <f>Datos!AR353</f>
        <v>0</v>
      </c>
      <c r="J353" s="17">
        <f>Datos!AS353</f>
        <v>0</v>
      </c>
      <c r="K353" s="17">
        <f>Datos!AU353</f>
        <v>0</v>
      </c>
      <c r="L353" s="80">
        <f t="shared" si="32"/>
        <v>0</v>
      </c>
      <c r="M353" s="17">
        <f>Datos!AX353</f>
        <v>0</v>
      </c>
    </row>
    <row r="354" spans="1:13">
      <c r="A354" s="97">
        <v>45279</v>
      </c>
      <c r="B354" s="16">
        <f>Datos!Y354</f>
        <v>0</v>
      </c>
      <c r="C354" s="17">
        <f>Datos!AJ354+Datos!AK354</f>
        <v>0</v>
      </c>
      <c r="D354" s="80">
        <f t="shared" si="33"/>
        <v>0</v>
      </c>
      <c r="E354" s="17">
        <f>Datos!AN354</f>
        <v>0</v>
      </c>
      <c r="F354" s="80">
        <f t="shared" si="31"/>
        <v>0</v>
      </c>
      <c r="G354" s="17">
        <f t="shared" si="34"/>
        <v>0</v>
      </c>
      <c r="H354" s="17">
        <f t="shared" si="35"/>
        <v>0</v>
      </c>
      <c r="I354" s="17">
        <f>Datos!AR354</f>
        <v>0</v>
      </c>
      <c r="J354" s="17">
        <f>Datos!AS354</f>
        <v>0</v>
      </c>
      <c r="K354" s="17">
        <f>Datos!AU354</f>
        <v>0</v>
      </c>
      <c r="L354" s="80">
        <f t="shared" si="32"/>
        <v>0</v>
      </c>
      <c r="M354" s="17">
        <f>Datos!AX354</f>
        <v>0</v>
      </c>
    </row>
    <row r="355" spans="1:13">
      <c r="A355" s="97">
        <v>45280</v>
      </c>
      <c r="B355" s="16">
        <f>Datos!Y355</f>
        <v>0</v>
      </c>
      <c r="C355" s="17">
        <f>Datos!AJ355+Datos!AK355</f>
        <v>0</v>
      </c>
      <c r="D355" s="80">
        <f t="shared" si="33"/>
        <v>0</v>
      </c>
      <c r="E355" s="17">
        <f>Datos!AN355</f>
        <v>0</v>
      </c>
      <c r="F355" s="80">
        <f t="shared" si="31"/>
        <v>0</v>
      </c>
      <c r="G355" s="17">
        <f t="shared" si="34"/>
        <v>0</v>
      </c>
      <c r="H355" s="17">
        <f t="shared" si="35"/>
        <v>0</v>
      </c>
      <c r="I355" s="17">
        <f>Datos!AR355</f>
        <v>0</v>
      </c>
      <c r="J355" s="17">
        <f>Datos!AS355</f>
        <v>0</v>
      </c>
      <c r="K355" s="17">
        <f>Datos!AU355</f>
        <v>0</v>
      </c>
      <c r="L355" s="80">
        <f t="shared" si="32"/>
        <v>0</v>
      </c>
      <c r="M355" s="17">
        <f>Datos!AX355</f>
        <v>0</v>
      </c>
    </row>
    <row r="356" spans="1:13">
      <c r="A356" s="97">
        <v>45281</v>
      </c>
      <c r="B356" s="16">
        <f>Datos!Y356</f>
        <v>0</v>
      </c>
      <c r="C356" s="17">
        <f>Datos!AJ356+Datos!AK356</f>
        <v>0</v>
      </c>
      <c r="D356" s="80">
        <f t="shared" si="33"/>
        <v>0</v>
      </c>
      <c r="E356" s="17">
        <f>Datos!AN356</f>
        <v>0</v>
      </c>
      <c r="F356" s="80">
        <f t="shared" si="31"/>
        <v>0</v>
      </c>
      <c r="G356" s="17">
        <f t="shared" si="34"/>
        <v>0</v>
      </c>
      <c r="H356" s="17">
        <f t="shared" si="35"/>
        <v>0</v>
      </c>
      <c r="I356" s="17">
        <f>Datos!AR356</f>
        <v>0</v>
      </c>
      <c r="J356" s="17">
        <f>Datos!AS356</f>
        <v>0</v>
      </c>
      <c r="K356" s="17">
        <f>Datos!AU356</f>
        <v>0</v>
      </c>
      <c r="L356" s="80">
        <f t="shared" si="32"/>
        <v>0</v>
      </c>
      <c r="M356" s="17">
        <f>Datos!AX356</f>
        <v>0</v>
      </c>
    </row>
    <row r="357" spans="1:13">
      <c r="A357" s="97">
        <v>45282</v>
      </c>
      <c r="B357" s="16">
        <f>Datos!Y357</f>
        <v>0</v>
      </c>
      <c r="C357" s="17">
        <f>Datos!AJ357+Datos!AK357</f>
        <v>0</v>
      </c>
      <c r="D357" s="80">
        <f t="shared" si="33"/>
        <v>0</v>
      </c>
      <c r="E357" s="17">
        <f>Datos!AN357</f>
        <v>0</v>
      </c>
      <c r="F357" s="80">
        <f t="shared" si="31"/>
        <v>0</v>
      </c>
      <c r="G357" s="17">
        <f t="shared" si="34"/>
        <v>0</v>
      </c>
      <c r="H357" s="17">
        <f t="shared" si="35"/>
        <v>0</v>
      </c>
      <c r="I357" s="17">
        <f>Datos!AR357</f>
        <v>0</v>
      </c>
      <c r="J357" s="17">
        <f>Datos!AS357</f>
        <v>0</v>
      </c>
      <c r="K357" s="17">
        <f>Datos!AU357</f>
        <v>0</v>
      </c>
      <c r="L357" s="80">
        <f t="shared" si="32"/>
        <v>0</v>
      </c>
      <c r="M357" s="17">
        <f>Datos!AX357</f>
        <v>0</v>
      </c>
    </row>
    <row r="358" spans="1:13">
      <c r="A358" s="97">
        <v>45283</v>
      </c>
      <c r="B358" s="16">
        <f>Datos!Y358</f>
        <v>0</v>
      </c>
      <c r="C358" s="17">
        <f>Datos!AJ358+Datos!AK358</f>
        <v>0</v>
      </c>
      <c r="D358" s="80">
        <f t="shared" si="33"/>
        <v>0</v>
      </c>
      <c r="E358" s="17">
        <f>Datos!AN358</f>
        <v>0</v>
      </c>
      <c r="F358" s="80">
        <f t="shared" si="31"/>
        <v>0</v>
      </c>
      <c r="G358" s="17">
        <f t="shared" si="34"/>
        <v>0</v>
      </c>
      <c r="H358" s="17">
        <f t="shared" si="35"/>
        <v>0</v>
      </c>
      <c r="I358" s="17">
        <f>Datos!AR358</f>
        <v>0</v>
      </c>
      <c r="J358" s="17">
        <f>Datos!AS358</f>
        <v>0</v>
      </c>
      <c r="K358" s="17">
        <f>Datos!AU358</f>
        <v>0</v>
      </c>
      <c r="L358" s="80">
        <f t="shared" si="32"/>
        <v>0</v>
      </c>
      <c r="M358" s="17">
        <f>Datos!AX358</f>
        <v>0</v>
      </c>
    </row>
    <row r="359" spans="1:13">
      <c r="A359" s="97">
        <v>45284</v>
      </c>
      <c r="B359" s="16">
        <f>Datos!Y359</f>
        <v>0</v>
      </c>
      <c r="C359" s="17">
        <f>Datos!AJ359+Datos!AK359</f>
        <v>0</v>
      </c>
      <c r="D359" s="80">
        <f t="shared" si="33"/>
        <v>0</v>
      </c>
      <c r="E359" s="17">
        <f>Datos!AN359</f>
        <v>0</v>
      </c>
      <c r="F359" s="80">
        <f t="shared" si="31"/>
        <v>0</v>
      </c>
      <c r="G359" s="17">
        <f t="shared" si="34"/>
        <v>0</v>
      </c>
      <c r="H359" s="17">
        <f t="shared" si="35"/>
        <v>0</v>
      </c>
      <c r="I359" s="17">
        <f>Datos!AR359</f>
        <v>0</v>
      </c>
      <c r="J359" s="17">
        <f>Datos!AS359</f>
        <v>0</v>
      </c>
      <c r="K359" s="17">
        <f>Datos!AU359</f>
        <v>0</v>
      </c>
      <c r="L359" s="80">
        <f t="shared" si="32"/>
        <v>0</v>
      </c>
      <c r="M359" s="17">
        <f>Datos!AX359</f>
        <v>0</v>
      </c>
    </row>
    <row r="360" spans="1:13">
      <c r="A360" s="97">
        <v>45285</v>
      </c>
      <c r="B360" s="16">
        <f>Datos!Y360</f>
        <v>0</v>
      </c>
      <c r="C360" s="17">
        <f>Datos!AJ360+Datos!AK360</f>
        <v>0</v>
      </c>
      <c r="D360" s="80">
        <f t="shared" si="33"/>
        <v>0</v>
      </c>
      <c r="E360" s="17">
        <f>Datos!AN360</f>
        <v>0</v>
      </c>
      <c r="F360" s="80">
        <f t="shared" si="31"/>
        <v>0</v>
      </c>
      <c r="G360" s="17">
        <f t="shared" si="34"/>
        <v>0</v>
      </c>
      <c r="H360" s="17">
        <f t="shared" si="35"/>
        <v>0</v>
      </c>
      <c r="I360" s="17">
        <f>Datos!AR360</f>
        <v>0</v>
      </c>
      <c r="J360" s="17">
        <f>Datos!AS360</f>
        <v>0</v>
      </c>
      <c r="K360" s="17">
        <f>Datos!AU360</f>
        <v>0</v>
      </c>
      <c r="L360" s="80">
        <f t="shared" si="32"/>
        <v>0</v>
      </c>
      <c r="M360" s="17">
        <f>Datos!AX360</f>
        <v>0</v>
      </c>
    </row>
    <row r="361" spans="1:13">
      <c r="A361" s="97">
        <v>45286</v>
      </c>
      <c r="B361" s="16">
        <f>Datos!Y361</f>
        <v>0</v>
      </c>
      <c r="C361" s="17">
        <f>Datos!AJ361+Datos!AK361</f>
        <v>0</v>
      </c>
      <c r="D361" s="80">
        <f t="shared" si="33"/>
        <v>0</v>
      </c>
      <c r="E361" s="17">
        <f>Datos!AN361</f>
        <v>0</v>
      </c>
      <c r="F361" s="80">
        <f t="shared" si="31"/>
        <v>0</v>
      </c>
      <c r="G361" s="17">
        <f t="shared" si="34"/>
        <v>0</v>
      </c>
      <c r="H361" s="17">
        <f t="shared" si="35"/>
        <v>0</v>
      </c>
      <c r="I361" s="17">
        <f>Datos!AR361</f>
        <v>0</v>
      </c>
      <c r="J361" s="17">
        <f>Datos!AS361</f>
        <v>0</v>
      </c>
      <c r="K361" s="17">
        <f>Datos!AU361</f>
        <v>0</v>
      </c>
      <c r="L361" s="80">
        <f t="shared" si="32"/>
        <v>0</v>
      </c>
      <c r="M361" s="17">
        <f>Datos!AX361</f>
        <v>0</v>
      </c>
    </row>
    <row r="362" spans="1:13">
      <c r="A362" s="97">
        <v>45287</v>
      </c>
      <c r="B362" s="16">
        <f>Datos!Y362</f>
        <v>0</v>
      </c>
      <c r="C362" s="17">
        <f>Datos!AJ362+Datos!AK362</f>
        <v>0</v>
      </c>
      <c r="D362" s="80">
        <f t="shared" si="33"/>
        <v>0</v>
      </c>
      <c r="E362" s="17">
        <f>Datos!AN362</f>
        <v>0</v>
      </c>
      <c r="F362" s="80">
        <f t="shared" si="31"/>
        <v>0</v>
      </c>
      <c r="G362" s="17">
        <f t="shared" si="34"/>
        <v>0</v>
      </c>
      <c r="H362" s="17">
        <f t="shared" si="35"/>
        <v>0</v>
      </c>
      <c r="I362" s="17">
        <f>Datos!AR362</f>
        <v>0</v>
      </c>
      <c r="J362" s="17">
        <f>Datos!AS362</f>
        <v>0</v>
      </c>
      <c r="K362" s="17">
        <f>Datos!AU362</f>
        <v>0</v>
      </c>
      <c r="L362" s="80">
        <f t="shared" si="32"/>
        <v>0</v>
      </c>
      <c r="M362" s="17">
        <f>Datos!AX362</f>
        <v>0</v>
      </c>
    </row>
    <row r="363" spans="1:13">
      <c r="A363" s="97">
        <v>45288</v>
      </c>
      <c r="B363" s="16">
        <f>Datos!Y363</f>
        <v>0</v>
      </c>
      <c r="C363" s="17">
        <f>Datos!AJ363+Datos!AK363</f>
        <v>0</v>
      </c>
      <c r="D363" s="80">
        <f t="shared" si="33"/>
        <v>0</v>
      </c>
      <c r="E363" s="17">
        <f>Datos!AN363</f>
        <v>0</v>
      </c>
      <c r="F363" s="80">
        <f t="shared" si="31"/>
        <v>0</v>
      </c>
      <c r="G363" s="17">
        <f t="shared" si="34"/>
        <v>0</v>
      </c>
      <c r="H363" s="17">
        <f t="shared" si="35"/>
        <v>0</v>
      </c>
      <c r="I363" s="17">
        <f>Datos!AR363</f>
        <v>0</v>
      </c>
      <c r="J363" s="17">
        <f>Datos!AS363</f>
        <v>0</v>
      </c>
      <c r="K363" s="17">
        <f>Datos!AU363</f>
        <v>0</v>
      </c>
      <c r="L363" s="80">
        <f t="shared" si="32"/>
        <v>0</v>
      </c>
      <c r="M363" s="17">
        <f>Datos!AX363</f>
        <v>0</v>
      </c>
    </row>
    <row r="364" spans="1:13">
      <c r="A364" s="97">
        <v>45289</v>
      </c>
      <c r="B364" s="16">
        <f>Datos!Y364</f>
        <v>0</v>
      </c>
      <c r="C364" s="17">
        <f>Datos!AJ364+Datos!AK364</f>
        <v>0</v>
      </c>
      <c r="D364" s="80">
        <f t="shared" si="33"/>
        <v>0</v>
      </c>
      <c r="E364" s="17">
        <f>Datos!AN364</f>
        <v>0</v>
      </c>
      <c r="F364" s="80">
        <f t="shared" si="31"/>
        <v>0</v>
      </c>
      <c r="G364" s="17">
        <f t="shared" si="34"/>
        <v>0</v>
      </c>
      <c r="H364" s="17">
        <f t="shared" si="35"/>
        <v>0</v>
      </c>
      <c r="I364" s="17">
        <f>Datos!AR364</f>
        <v>0</v>
      </c>
      <c r="J364" s="17">
        <f>Datos!AS364</f>
        <v>0</v>
      </c>
      <c r="K364" s="17">
        <f>Datos!AU364</f>
        <v>0</v>
      </c>
      <c r="L364" s="80">
        <f t="shared" si="32"/>
        <v>0</v>
      </c>
      <c r="M364" s="17">
        <f>Datos!AX364</f>
        <v>0</v>
      </c>
    </row>
    <row r="365" spans="1:13">
      <c r="A365" s="97">
        <v>45290</v>
      </c>
      <c r="B365" s="16">
        <f>Datos!Y365</f>
        <v>0</v>
      </c>
      <c r="C365" s="17">
        <f>Datos!AJ365+Datos!AK365</f>
        <v>0</v>
      </c>
      <c r="D365" s="80">
        <f t="shared" si="33"/>
        <v>0</v>
      </c>
      <c r="E365" s="17">
        <f>Datos!AN365</f>
        <v>0</v>
      </c>
      <c r="F365" s="80">
        <f t="shared" si="31"/>
        <v>0</v>
      </c>
      <c r="G365" s="17">
        <f t="shared" si="34"/>
        <v>0</v>
      </c>
      <c r="H365" s="17">
        <f t="shared" si="35"/>
        <v>0</v>
      </c>
      <c r="I365" s="17">
        <f>Datos!AR365</f>
        <v>0</v>
      </c>
      <c r="J365" s="17">
        <f>Datos!AS365</f>
        <v>0</v>
      </c>
      <c r="K365" s="17">
        <f>Datos!AU365</f>
        <v>0</v>
      </c>
      <c r="L365" s="80">
        <f t="shared" si="32"/>
        <v>0</v>
      </c>
      <c r="M365" s="17">
        <f>Datos!AX365</f>
        <v>0</v>
      </c>
    </row>
    <row r="366" spans="1:13">
      <c r="A366" s="97">
        <v>45291</v>
      </c>
      <c r="B366" s="16">
        <f>Datos!Y366</f>
        <v>0</v>
      </c>
      <c r="C366" s="17">
        <f>Datos!AJ366+Datos!AK366</f>
        <v>0</v>
      </c>
      <c r="D366" s="80">
        <f t="shared" si="33"/>
        <v>0</v>
      </c>
      <c r="E366" s="17">
        <f>Datos!AN366</f>
        <v>0</v>
      </c>
      <c r="F366" s="80">
        <f t="shared" si="31"/>
        <v>0</v>
      </c>
      <c r="G366" s="17">
        <f t="shared" si="34"/>
        <v>0</v>
      </c>
      <c r="H366" s="17">
        <f t="shared" si="35"/>
        <v>0</v>
      </c>
      <c r="I366" s="17">
        <f>Datos!AR366</f>
        <v>0</v>
      </c>
      <c r="J366" s="17">
        <f>Datos!AS366</f>
        <v>0</v>
      </c>
      <c r="K366" s="17">
        <f>Datos!AU366</f>
        <v>0</v>
      </c>
      <c r="L366" s="80">
        <f t="shared" si="32"/>
        <v>0</v>
      </c>
      <c r="M366" s="17">
        <f>Datos!AX366</f>
        <v>0</v>
      </c>
    </row>
    <row r="367" spans="1:13">
      <c r="A367" s="398"/>
      <c r="B367" s="399">
        <f>SUBTOTAL(109,Tabla2[R. CGM
'[kWh']])</f>
        <v>309996589.10000014</v>
      </c>
      <c r="C367" s="400">
        <f>SUBTOTAL(109,Tabla2[Con. DO Storage '[m3']])</f>
        <v>2592.5000000000009</v>
      </c>
      <c r="D367" s="399">
        <f>SUBTOTAL(109,Tabla2[Con. DO Storage '[gal']])</f>
        <v>684866.04573850019</v>
      </c>
      <c r="E367" s="400">
        <f>SUBTOTAL(109,Tabla2[Con. DO Pilot '[m3']])</f>
        <v>1551.6099999999992</v>
      </c>
      <c r="F367" s="399">
        <f>SUBTOTAL(109,Tabla2[Con. DO Pilot '[gal']])</f>
        <v>94258536.596378088</v>
      </c>
      <c r="G367" s="400">
        <f>SUBTOTAL(109,Tabla2[Con. DO Total '[m3']])</f>
        <v>4144.1100000000024</v>
      </c>
      <c r="H367" s="400">
        <f>SUBTOTAL(109,Tabla2[Con. DO Total '[gal']])</f>
        <v>94943402.642116502</v>
      </c>
      <c r="I367" s="400">
        <f>SUBTOTAL(109,Tabla2[Repo. DO Storage '[gal']])</f>
        <v>738198</v>
      </c>
      <c r="J367" s="399">
        <f>SUBTOTAL(109,Tabla2[Repo. DO Pilot '[gal']])</f>
        <v>405155</v>
      </c>
      <c r="K367" s="400">
        <f>SUBTOTAL(109,Tabla2[Con. HFO '[m3']])</f>
        <v>0</v>
      </c>
      <c r="L367" s="400">
        <f>SUBTOTAL(109,Tabla2[Con. HFO '[gal']])</f>
        <v>0</v>
      </c>
      <c r="M367" s="400">
        <f>SUBTOTAL(109,Tabla2[Repo. HFO '[gal']])</f>
        <v>0</v>
      </c>
    </row>
    <row r="369" spans="10:10" ht="14.25">
      <c r="J369" s="301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"/>
  <dimension ref="A1:U367"/>
  <sheetViews>
    <sheetView zoomScale="90" zoomScaleNormal="90" workbookViewId="0">
      <pane ySplit="1" topLeftCell="A209" activePane="bottomLeft" state="frozen"/>
      <selection activeCell="AE23" sqref="AE23"/>
      <selection pane="bottomLeft" activeCell="B237" sqref="B237"/>
    </sheetView>
  </sheetViews>
  <sheetFormatPr defaultColWidth="11.42578125" defaultRowHeight="15"/>
  <cols>
    <col min="1" max="1" width="10.7109375" style="10" bestFit="1" customWidth="1"/>
    <col min="2" max="2" width="8.42578125" style="35" bestFit="1" customWidth="1"/>
    <col min="3" max="3" width="12.42578125" style="35" bestFit="1" customWidth="1"/>
    <col min="4" max="4" width="8.42578125" style="35" bestFit="1" customWidth="1"/>
    <col min="5" max="5" width="12.42578125" style="35" bestFit="1" customWidth="1"/>
    <col min="6" max="6" width="8.42578125" style="35" bestFit="1" customWidth="1"/>
    <col min="7" max="7" width="12.42578125" style="35" bestFit="1" customWidth="1"/>
    <col min="8" max="8" width="8.42578125" style="35" bestFit="1" customWidth="1"/>
    <col min="9" max="9" width="12.42578125" style="35" bestFit="1" customWidth="1"/>
    <col min="10" max="10" width="8.42578125" style="35" bestFit="1" customWidth="1"/>
    <col min="11" max="11" width="12.42578125" style="35" bestFit="1" customWidth="1"/>
    <col min="12" max="12" width="8.42578125" style="35" bestFit="1" customWidth="1"/>
    <col min="13" max="13" width="12.42578125" style="35" bestFit="1" customWidth="1"/>
    <col min="14" max="14" width="8.42578125" style="35" bestFit="1" customWidth="1"/>
    <col min="15" max="15" width="12.42578125" style="35" bestFit="1" customWidth="1"/>
    <col min="16" max="16" width="8.42578125" style="35" bestFit="1" customWidth="1"/>
    <col min="17" max="17" width="12.42578125" style="35" bestFit="1" customWidth="1"/>
    <col min="18" max="18" width="8.42578125" style="35" bestFit="1" customWidth="1"/>
    <col min="19" max="19" width="12.42578125" style="35" bestFit="1" customWidth="1"/>
    <col min="20" max="20" width="9.28515625" style="35" bestFit="1" customWidth="1"/>
    <col min="21" max="21" width="13.28515625" style="35" bestFit="1" customWidth="1"/>
    <col min="22" max="16384" width="11.42578125" style="35"/>
  </cols>
  <sheetData>
    <row r="1" spans="1:21" s="10" customFormat="1">
      <c r="A1" s="112" t="s">
        <v>26</v>
      </c>
      <c r="B1" s="112" t="s">
        <v>129</v>
      </c>
      <c r="C1" s="3" t="s">
        <v>130</v>
      </c>
      <c r="D1" s="3" t="s">
        <v>131</v>
      </c>
      <c r="E1" s="3" t="s">
        <v>132</v>
      </c>
      <c r="F1" s="3" t="s">
        <v>133</v>
      </c>
      <c r="G1" s="3" t="s">
        <v>134</v>
      </c>
      <c r="H1" s="3" t="s">
        <v>135</v>
      </c>
      <c r="I1" s="3" t="s">
        <v>136</v>
      </c>
      <c r="J1" s="3" t="s">
        <v>137</v>
      </c>
      <c r="K1" s="3" t="s">
        <v>138</v>
      </c>
      <c r="L1" s="3" t="s">
        <v>139</v>
      </c>
      <c r="M1" s="3" t="s">
        <v>140</v>
      </c>
      <c r="N1" s="3" t="s">
        <v>141</v>
      </c>
      <c r="O1" s="3" t="s">
        <v>142</v>
      </c>
      <c r="P1" s="3" t="s">
        <v>143</v>
      </c>
      <c r="Q1" s="3" t="s">
        <v>144</v>
      </c>
      <c r="R1" s="3" t="s">
        <v>145</v>
      </c>
      <c r="S1" s="3" t="s">
        <v>146</v>
      </c>
      <c r="T1" s="3" t="s">
        <v>147</v>
      </c>
      <c r="U1" s="3" t="s">
        <v>148</v>
      </c>
    </row>
    <row r="2" spans="1:21" s="10" customFormat="1" ht="14.45" customHeight="1">
      <c r="A2" s="112">
        <v>44926</v>
      </c>
      <c r="B2" s="114">
        <v>8804</v>
      </c>
      <c r="C2" s="114"/>
      <c r="D2" s="114">
        <v>15142</v>
      </c>
      <c r="E2" s="114"/>
      <c r="F2" s="114">
        <v>13876</v>
      </c>
      <c r="G2" s="114"/>
      <c r="H2" s="114">
        <v>14981</v>
      </c>
      <c r="I2" s="114"/>
      <c r="J2" s="114">
        <v>11967</v>
      </c>
      <c r="K2" s="114"/>
      <c r="L2" s="114">
        <v>14809</v>
      </c>
      <c r="M2" s="114"/>
      <c r="N2" s="114">
        <v>15156</v>
      </c>
      <c r="O2" s="114"/>
      <c r="P2" s="114">
        <v>14905</v>
      </c>
      <c r="Q2" s="114"/>
      <c r="R2" s="114">
        <v>14144</v>
      </c>
      <c r="S2" s="114"/>
      <c r="T2" s="114">
        <v>11856</v>
      </c>
      <c r="U2" s="114"/>
    </row>
    <row r="3" spans="1:21" s="10" customFormat="1" ht="14.45" customHeight="1">
      <c r="A3" s="113">
        <v>44927</v>
      </c>
      <c r="B3" s="114">
        <v>8814</v>
      </c>
      <c r="C3" s="114">
        <f t="shared" ref="C3:C34" si="0">IF(B3&gt;B2,B3-B2,0)</f>
        <v>10</v>
      </c>
      <c r="D3" s="114">
        <v>15148</v>
      </c>
      <c r="E3" s="114">
        <f t="shared" ref="E3:E34" si="1">IF(D3&gt;D2,D3-D2,0)</f>
        <v>6</v>
      </c>
      <c r="F3" s="114">
        <v>13884</v>
      </c>
      <c r="G3" s="114">
        <f t="shared" ref="G3:G34" si="2">IF(F3&gt;F2,F3-F2,0)</f>
        <v>8</v>
      </c>
      <c r="H3" s="114">
        <v>14988</v>
      </c>
      <c r="I3" s="114">
        <f t="shared" ref="I3:I34" si="3">IF(H3&gt;H2,H3-H2,0)</f>
        <v>7</v>
      </c>
      <c r="J3" s="114">
        <v>11967</v>
      </c>
      <c r="K3" s="114">
        <f t="shared" ref="K3:K34" si="4">IF(J3&gt;J2,J3-J2,0)</f>
        <v>0</v>
      </c>
      <c r="L3" s="114">
        <v>14817</v>
      </c>
      <c r="M3" s="114">
        <f t="shared" ref="M3:M34" si="5">IF(L3&gt;L2,L3-L2,0)</f>
        <v>8</v>
      </c>
      <c r="N3" s="114">
        <v>15162</v>
      </c>
      <c r="O3" s="114">
        <f t="shared" ref="O3:O34" si="6">IF(N3&gt;N2,N3-N2,0)</f>
        <v>6</v>
      </c>
      <c r="P3" s="114">
        <v>14913</v>
      </c>
      <c r="Q3" s="114">
        <f t="shared" ref="Q3:Q34" si="7">IF(P3&gt;P2,P3-P2,0)</f>
        <v>8</v>
      </c>
      <c r="R3" s="114">
        <v>14144</v>
      </c>
      <c r="S3" s="114">
        <f t="shared" ref="S3:S34" si="8">IF(R3&gt;R2,R3-R2,0)</f>
        <v>0</v>
      </c>
      <c r="T3" s="114">
        <v>11865</v>
      </c>
      <c r="U3" s="114">
        <f t="shared" ref="U3:U34" si="9">IF(T3&gt;T2,T3-T2,0)</f>
        <v>9</v>
      </c>
    </row>
    <row r="4" spans="1:21" s="10" customFormat="1">
      <c r="A4" s="113">
        <v>44928</v>
      </c>
      <c r="B4" s="114">
        <v>8832</v>
      </c>
      <c r="C4" s="114">
        <f t="shared" si="0"/>
        <v>18</v>
      </c>
      <c r="D4" s="114">
        <v>15163</v>
      </c>
      <c r="E4" s="114">
        <f t="shared" si="1"/>
        <v>15</v>
      </c>
      <c r="F4" s="114">
        <v>13900</v>
      </c>
      <c r="G4" s="114">
        <f t="shared" si="2"/>
        <v>16</v>
      </c>
      <c r="H4" s="114">
        <v>14988</v>
      </c>
      <c r="I4" s="114">
        <f t="shared" si="3"/>
        <v>0</v>
      </c>
      <c r="J4" s="114">
        <v>11967</v>
      </c>
      <c r="K4" s="114">
        <f t="shared" si="4"/>
        <v>0</v>
      </c>
      <c r="L4" s="114">
        <v>14833</v>
      </c>
      <c r="M4" s="114">
        <f t="shared" si="5"/>
        <v>16</v>
      </c>
      <c r="N4" s="114">
        <v>15176</v>
      </c>
      <c r="O4" s="114">
        <f t="shared" si="6"/>
        <v>14</v>
      </c>
      <c r="P4" s="114">
        <v>14930</v>
      </c>
      <c r="Q4" s="114">
        <f t="shared" si="7"/>
        <v>17</v>
      </c>
      <c r="R4" s="114">
        <v>14159</v>
      </c>
      <c r="S4" s="114">
        <f t="shared" si="8"/>
        <v>15</v>
      </c>
      <c r="T4" s="114">
        <v>11883</v>
      </c>
      <c r="U4" s="114">
        <f t="shared" si="9"/>
        <v>18</v>
      </c>
    </row>
    <row r="5" spans="1:21" s="10" customFormat="1">
      <c r="A5" s="113">
        <v>44929</v>
      </c>
      <c r="B5" s="114">
        <v>8856</v>
      </c>
      <c r="C5" s="114">
        <f t="shared" si="0"/>
        <v>24</v>
      </c>
      <c r="D5" s="114">
        <v>15179</v>
      </c>
      <c r="E5" s="114">
        <f t="shared" si="1"/>
        <v>16</v>
      </c>
      <c r="F5" s="114">
        <v>13924</v>
      </c>
      <c r="G5" s="114">
        <f t="shared" si="2"/>
        <v>24</v>
      </c>
      <c r="H5" s="114">
        <v>15002</v>
      </c>
      <c r="I5" s="114">
        <f t="shared" si="3"/>
        <v>14</v>
      </c>
      <c r="J5" s="114">
        <v>11967</v>
      </c>
      <c r="K5" s="114">
        <f t="shared" si="4"/>
        <v>0</v>
      </c>
      <c r="L5" s="114">
        <v>14857</v>
      </c>
      <c r="M5" s="114">
        <f t="shared" si="5"/>
        <v>24</v>
      </c>
      <c r="N5" s="114">
        <v>15176</v>
      </c>
      <c r="O5" s="114">
        <f t="shared" si="6"/>
        <v>0</v>
      </c>
      <c r="P5" s="114">
        <v>14954</v>
      </c>
      <c r="Q5" s="114">
        <f t="shared" si="7"/>
        <v>24</v>
      </c>
      <c r="R5" s="114">
        <v>14183</v>
      </c>
      <c r="S5" s="114">
        <f t="shared" si="8"/>
        <v>24</v>
      </c>
      <c r="T5" s="114">
        <v>11907</v>
      </c>
      <c r="U5" s="114">
        <f t="shared" si="9"/>
        <v>24</v>
      </c>
    </row>
    <row r="6" spans="1:21" s="10" customFormat="1">
      <c r="A6" s="113">
        <v>44930</v>
      </c>
      <c r="B6" s="114">
        <v>8880</v>
      </c>
      <c r="C6" s="114">
        <f t="shared" si="0"/>
        <v>24</v>
      </c>
      <c r="D6" s="114">
        <v>15202</v>
      </c>
      <c r="E6" s="114">
        <f t="shared" si="1"/>
        <v>23</v>
      </c>
      <c r="F6" s="114">
        <v>13948</v>
      </c>
      <c r="G6" s="114">
        <f t="shared" si="2"/>
        <v>24</v>
      </c>
      <c r="H6" s="114">
        <v>15016</v>
      </c>
      <c r="I6" s="114">
        <f t="shared" si="3"/>
        <v>14</v>
      </c>
      <c r="J6" s="114">
        <v>11967</v>
      </c>
      <c r="K6" s="114">
        <f t="shared" si="4"/>
        <v>0</v>
      </c>
      <c r="L6" s="114">
        <v>14857</v>
      </c>
      <c r="M6" s="114">
        <f t="shared" si="5"/>
        <v>0</v>
      </c>
      <c r="N6" s="114">
        <v>15197</v>
      </c>
      <c r="O6" s="114">
        <f t="shared" si="6"/>
        <v>21</v>
      </c>
      <c r="P6" s="114">
        <v>14978</v>
      </c>
      <c r="Q6" s="114">
        <f t="shared" si="7"/>
        <v>24</v>
      </c>
      <c r="R6" s="114">
        <v>14207</v>
      </c>
      <c r="S6" s="114">
        <f t="shared" si="8"/>
        <v>24</v>
      </c>
      <c r="T6" s="114">
        <v>11931</v>
      </c>
      <c r="U6" s="114">
        <f t="shared" si="9"/>
        <v>24</v>
      </c>
    </row>
    <row r="7" spans="1:21" s="10" customFormat="1">
      <c r="A7" s="113">
        <v>44931</v>
      </c>
      <c r="B7" s="114">
        <v>8904</v>
      </c>
      <c r="C7" s="114">
        <f t="shared" si="0"/>
        <v>24</v>
      </c>
      <c r="D7" s="114">
        <v>15226</v>
      </c>
      <c r="E7" s="114">
        <f t="shared" si="1"/>
        <v>24</v>
      </c>
      <c r="F7" s="114">
        <v>13972</v>
      </c>
      <c r="G7" s="114">
        <f t="shared" si="2"/>
        <v>24</v>
      </c>
      <c r="H7" s="114">
        <v>15034</v>
      </c>
      <c r="I7" s="114">
        <f t="shared" si="3"/>
        <v>18</v>
      </c>
      <c r="J7" s="114">
        <v>11967</v>
      </c>
      <c r="K7" s="114">
        <f t="shared" si="4"/>
        <v>0</v>
      </c>
      <c r="L7" s="114">
        <v>14875</v>
      </c>
      <c r="M7" s="114">
        <f t="shared" si="5"/>
        <v>18</v>
      </c>
      <c r="N7" s="114">
        <v>15221</v>
      </c>
      <c r="O7" s="114">
        <f t="shared" si="6"/>
        <v>24</v>
      </c>
      <c r="P7" s="114">
        <v>15002</v>
      </c>
      <c r="Q7" s="114">
        <f t="shared" si="7"/>
        <v>24</v>
      </c>
      <c r="R7" s="114">
        <v>14207</v>
      </c>
      <c r="S7" s="114">
        <f t="shared" si="8"/>
        <v>0</v>
      </c>
      <c r="T7" s="114">
        <v>11955</v>
      </c>
      <c r="U7" s="114">
        <f t="shared" si="9"/>
        <v>24</v>
      </c>
    </row>
    <row r="8" spans="1:21" s="10" customFormat="1">
      <c r="A8" s="113">
        <v>44932</v>
      </c>
      <c r="B8" s="114">
        <v>8928</v>
      </c>
      <c r="C8" s="114">
        <f t="shared" si="0"/>
        <v>24</v>
      </c>
      <c r="D8" s="114">
        <v>15250</v>
      </c>
      <c r="E8" s="114">
        <f t="shared" si="1"/>
        <v>24</v>
      </c>
      <c r="F8" s="114">
        <v>13996</v>
      </c>
      <c r="G8" s="114">
        <f t="shared" si="2"/>
        <v>24</v>
      </c>
      <c r="H8" s="114">
        <v>15052</v>
      </c>
      <c r="I8" s="114">
        <f t="shared" si="3"/>
        <v>18</v>
      </c>
      <c r="J8" s="114">
        <v>11967</v>
      </c>
      <c r="K8" s="114">
        <f t="shared" si="4"/>
        <v>0</v>
      </c>
      <c r="L8" s="114">
        <v>14893</v>
      </c>
      <c r="M8" s="114">
        <f t="shared" si="5"/>
        <v>18</v>
      </c>
      <c r="N8" s="114">
        <v>15245</v>
      </c>
      <c r="O8" s="114">
        <f t="shared" si="6"/>
        <v>24</v>
      </c>
      <c r="P8" s="114">
        <v>15026</v>
      </c>
      <c r="Q8" s="114">
        <f t="shared" si="7"/>
        <v>24</v>
      </c>
      <c r="R8" s="114">
        <v>14207</v>
      </c>
      <c r="S8" s="114">
        <f t="shared" si="8"/>
        <v>0</v>
      </c>
      <c r="T8" s="114">
        <v>11979</v>
      </c>
      <c r="U8" s="114">
        <f t="shared" si="9"/>
        <v>24</v>
      </c>
    </row>
    <row r="9" spans="1:21" s="10" customFormat="1">
      <c r="A9" s="113">
        <v>44933</v>
      </c>
      <c r="B9" s="114">
        <v>8950</v>
      </c>
      <c r="C9" s="114">
        <f t="shared" si="0"/>
        <v>22</v>
      </c>
      <c r="D9" s="114">
        <v>15267</v>
      </c>
      <c r="E9" s="114">
        <f t="shared" si="1"/>
        <v>17</v>
      </c>
      <c r="F9" s="114">
        <v>14017</v>
      </c>
      <c r="G9" s="114">
        <f t="shared" si="2"/>
        <v>21</v>
      </c>
      <c r="H9" s="114">
        <v>15068</v>
      </c>
      <c r="I9" s="114">
        <f t="shared" si="3"/>
        <v>16</v>
      </c>
      <c r="J9" s="114">
        <v>11967</v>
      </c>
      <c r="K9" s="114">
        <f t="shared" si="4"/>
        <v>0</v>
      </c>
      <c r="L9" s="114">
        <v>14911</v>
      </c>
      <c r="M9" s="114">
        <f t="shared" si="5"/>
        <v>18</v>
      </c>
      <c r="N9" s="114">
        <v>15265</v>
      </c>
      <c r="O9" s="114">
        <f t="shared" si="6"/>
        <v>20</v>
      </c>
      <c r="P9" s="114">
        <v>15046</v>
      </c>
      <c r="Q9" s="114">
        <f t="shared" si="7"/>
        <v>20</v>
      </c>
      <c r="R9" s="114">
        <v>14227</v>
      </c>
      <c r="S9" s="114">
        <f t="shared" si="8"/>
        <v>20</v>
      </c>
      <c r="T9" s="114">
        <v>12001</v>
      </c>
      <c r="U9" s="114">
        <f t="shared" si="9"/>
        <v>22</v>
      </c>
    </row>
    <row r="10" spans="1:21" s="10" customFormat="1">
      <c r="A10" s="113">
        <v>44934</v>
      </c>
      <c r="B10" s="114">
        <v>8971</v>
      </c>
      <c r="C10" s="114">
        <f t="shared" si="0"/>
        <v>21</v>
      </c>
      <c r="D10" s="114">
        <v>15285</v>
      </c>
      <c r="E10" s="114">
        <f t="shared" si="1"/>
        <v>18</v>
      </c>
      <c r="F10" s="114">
        <v>14017</v>
      </c>
      <c r="G10" s="114">
        <f t="shared" si="2"/>
        <v>0</v>
      </c>
      <c r="H10" s="114">
        <v>15082</v>
      </c>
      <c r="I10" s="114">
        <f t="shared" si="3"/>
        <v>14</v>
      </c>
      <c r="J10" s="114">
        <v>11967</v>
      </c>
      <c r="K10" s="114">
        <f t="shared" si="4"/>
        <v>0</v>
      </c>
      <c r="L10" s="114">
        <v>14924</v>
      </c>
      <c r="M10" s="114">
        <f t="shared" si="5"/>
        <v>13</v>
      </c>
      <c r="N10" s="114">
        <v>15282</v>
      </c>
      <c r="O10" s="114">
        <f t="shared" si="6"/>
        <v>17</v>
      </c>
      <c r="P10" s="114">
        <v>15064</v>
      </c>
      <c r="Q10" s="114">
        <f t="shared" si="7"/>
        <v>18</v>
      </c>
      <c r="R10" s="114">
        <v>14246</v>
      </c>
      <c r="S10" s="114">
        <f t="shared" si="8"/>
        <v>19</v>
      </c>
      <c r="T10" s="114">
        <v>12022</v>
      </c>
      <c r="U10" s="114">
        <f t="shared" si="9"/>
        <v>21</v>
      </c>
    </row>
    <row r="11" spans="1:21" s="10" customFormat="1">
      <c r="A11" s="113">
        <v>44935</v>
      </c>
      <c r="B11" s="114">
        <v>8994</v>
      </c>
      <c r="C11" s="114">
        <f t="shared" si="0"/>
        <v>23</v>
      </c>
      <c r="D11" s="114">
        <v>15305</v>
      </c>
      <c r="E11" s="114">
        <f t="shared" si="1"/>
        <v>20</v>
      </c>
      <c r="F11" s="114">
        <v>14039</v>
      </c>
      <c r="G11" s="114">
        <f t="shared" si="2"/>
        <v>22</v>
      </c>
      <c r="H11" s="114">
        <v>15099</v>
      </c>
      <c r="I11" s="114">
        <f t="shared" si="3"/>
        <v>17</v>
      </c>
      <c r="J11" s="114">
        <v>11967</v>
      </c>
      <c r="K11" s="114">
        <f t="shared" si="4"/>
        <v>0</v>
      </c>
      <c r="L11" s="114">
        <v>14941</v>
      </c>
      <c r="M11" s="114">
        <f t="shared" si="5"/>
        <v>17</v>
      </c>
      <c r="N11" s="114">
        <v>15301</v>
      </c>
      <c r="O11" s="114">
        <f t="shared" si="6"/>
        <v>19</v>
      </c>
      <c r="P11" s="114">
        <v>15084</v>
      </c>
      <c r="Q11" s="114">
        <f t="shared" si="7"/>
        <v>20</v>
      </c>
      <c r="R11" s="114">
        <v>14266</v>
      </c>
      <c r="S11" s="114">
        <f t="shared" si="8"/>
        <v>20</v>
      </c>
      <c r="T11" s="114">
        <v>12044</v>
      </c>
      <c r="U11" s="114">
        <f t="shared" si="9"/>
        <v>22</v>
      </c>
    </row>
    <row r="12" spans="1:21" s="10" customFormat="1">
      <c r="A12" s="113">
        <v>44936</v>
      </c>
      <c r="B12" s="114">
        <v>9018</v>
      </c>
      <c r="C12" s="114">
        <f t="shared" si="0"/>
        <v>24</v>
      </c>
      <c r="D12" s="114">
        <v>15329</v>
      </c>
      <c r="E12" s="114">
        <f t="shared" si="1"/>
        <v>24</v>
      </c>
      <c r="F12" s="114">
        <v>14063</v>
      </c>
      <c r="G12" s="114">
        <f t="shared" si="2"/>
        <v>24</v>
      </c>
      <c r="H12" s="114">
        <v>15118</v>
      </c>
      <c r="I12" s="114">
        <f t="shared" si="3"/>
        <v>19</v>
      </c>
      <c r="J12" s="114">
        <v>11967</v>
      </c>
      <c r="K12" s="114">
        <f t="shared" si="4"/>
        <v>0</v>
      </c>
      <c r="L12" s="114">
        <v>14960</v>
      </c>
      <c r="M12" s="114">
        <f t="shared" si="5"/>
        <v>19</v>
      </c>
      <c r="N12" s="114">
        <v>15325</v>
      </c>
      <c r="O12" s="114">
        <f t="shared" si="6"/>
        <v>24</v>
      </c>
      <c r="P12" s="114">
        <v>15108</v>
      </c>
      <c r="Q12" s="114">
        <f t="shared" si="7"/>
        <v>24</v>
      </c>
      <c r="R12" s="114">
        <v>14290</v>
      </c>
      <c r="S12" s="114">
        <f t="shared" si="8"/>
        <v>24</v>
      </c>
      <c r="T12" s="114">
        <v>12068</v>
      </c>
      <c r="U12" s="114">
        <f t="shared" si="9"/>
        <v>24</v>
      </c>
    </row>
    <row r="13" spans="1:21" s="10" customFormat="1">
      <c r="A13" s="113">
        <v>44937</v>
      </c>
      <c r="B13" s="114">
        <v>9018</v>
      </c>
      <c r="C13" s="114">
        <f t="shared" si="0"/>
        <v>0</v>
      </c>
      <c r="D13" s="114">
        <v>15353</v>
      </c>
      <c r="E13" s="114">
        <f t="shared" si="1"/>
        <v>24</v>
      </c>
      <c r="F13" s="114">
        <v>14086</v>
      </c>
      <c r="G13" s="114">
        <f t="shared" si="2"/>
        <v>23</v>
      </c>
      <c r="H13" s="114">
        <v>15137</v>
      </c>
      <c r="I13" s="114">
        <f t="shared" si="3"/>
        <v>19</v>
      </c>
      <c r="J13" s="114">
        <v>11967</v>
      </c>
      <c r="K13" s="114">
        <f t="shared" si="4"/>
        <v>0</v>
      </c>
      <c r="L13" s="114">
        <v>14979</v>
      </c>
      <c r="M13" s="114">
        <f t="shared" si="5"/>
        <v>19</v>
      </c>
      <c r="N13" s="114">
        <v>15349</v>
      </c>
      <c r="O13" s="114">
        <f t="shared" si="6"/>
        <v>24</v>
      </c>
      <c r="P13" s="114">
        <v>15132</v>
      </c>
      <c r="Q13" s="114">
        <f t="shared" si="7"/>
        <v>24</v>
      </c>
      <c r="R13" s="114">
        <v>14314</v>
      </c>
      <c r="S13" s="114">
        <f t="shared" si="8"/>
        <v>24</v>
      </c>
      <c r="T13" s="114">
        <v>12092</v>
      </c>
      <c r="U13" s="114">
        <f t="shared" si="9"/>
        <v>24</v>
      </c>
    </row>
    <row r="14" spans="1:21" s="10" customFormat="1">
      <c r="A14" s="113">
        <v>44938</v>
      </c>
      <c r="B14" s="114">
        <v>9042</v>
      </c>
      <c r="C14" s="114">
        <f t="shared" si="0"/>
        <v>24</v>
      </c>
      <c r="D14" s="114">
        <v>15377</v>
      </c>
      <c r="E14" s="114">
        <f t="shared" si="1"/>
        <v>24</v>
      </c>
      <c r="F14" s="114">
        <v>14110</v>
      </c>
      <c r="G14" s="114">
        <f t="shared" si="2"/>
        <v>24</v>
      </c>
      <c r="H14" s="114">
        <v>15157</v>
      </c>
      <c r="I14" s="114">
        <f t="shared" si="3"/>
        <v>20</v>
      </c>
      <c r="J14" s="114">
        <v>11967</v>
      </c>
      <c r="K14" s="114">
        <f t="shared" si="4"/>
        <v>0</v>
      </c>
      <c r="L14" s="114">
        <v>14998</v>
      </c>
      <c r="M14" s="114">
        <f t="shared" si="5"/>
        <v>19</v>
      </c>
      <c r="N14" s="114">
        <v>15349</v>
      </c>
      <c r="O14" s="114">
        <f t="shared" si="6"/>
        <v>0</v>
      </c>
      <c r="P14" s="114">
        <v>15156</v>
      </c>
      <c r="Q14" s="114">
        <f t="shared" si="7"/>
        <v>24</v>
      </c>
      <c r="R14" s="114">
        <v>14338</v>
      </c>
      <c r="S14" s="114">
        <f t="shared" si="8"/>
        <v>24</v>
      </c>
      <c r="T14" s="114">
        <v>12116</v>
      </c>
      <c r="U14" s="114">
        <f t="shared" si="9"/>
        <v>24</v>
      </c>
    </row>
    <row r="15" spans="1:21" s="10" customFormat="1">
      <c r="A15" s="113">
        <v>44939</v>
      </c>
      <c r="B15" s="114">
        <v>9066</v>
      </c>
      <c r="C15" s="114">
        <f t="shared" si="0"/>
        <v>24</v>
      </c>
      <c r="D15" s="114">
        <v>15401</v>
      </c>
      <c r="E15" s="114">
        <f t="shared" si="1"/>
        <v>24</v>
      </c>
      <c r="F15" s="114">
        <v>14134</v>
      </c>
      <c r="G15" s="114">
        <f t="shared" si="2"/>
        <v>24</v>
      </c>
      <c r="H15" s="114">
        <v>15177</v>
      </c>
      <c r="I15" s="114">
        <f t="shared" si="3"/>
        <v>20</v>
      </c>
      <c r="J15" s="114">
        <v>11967</v>
      </c>
      <c r="K15" s="114">
        <f t="shared" si="4"/>
        <v>0</v>
      </c>
      <c r="L15" s="114">
        <v>15019</v>
      </c>
      <c r="M15" s="114">
        <f t="shared" si="5"/>
        <v>21</v>
      </c>
      <c r="N15" s="114">
        <v>15373</v>
      </c>
      <c r="O15" s="114">
        <f t="shared" si="6"/>
        <v>24</v>
      </c>
      <c r="P15" s="114">
        <v>15180</v>
      </c>
      <c r="Q15" s="114">
        <f t="shared" si="7"/>
        <v>24</v>
      </c>
      <c r="R15" s="114">
        <v>14362</v>
      </c>
      <c r="S15" s="114">
        <f t="shared" si="8"/>
        <v>24</v>
      </c>
      <c r="T15" s="114">
        <v>12116</v>
      </c>
      <c r="U15" s="114">
        <f t="shared" si="9"/>
        <v>0</v>
      </c>
    </row>
    <row r="16" spans="1:21" s="10" customFormat="1">
      <c r="A16" s="113">
        <v>44940</v>
      </c>
      <c r="B16" s="114">
        <v>9090</v>
      </c>
      <c r="C16" s="114">
        <f t="shared" si="0"/>
        <v>24</v>
      </c>
      <c r="D16" s="114">
        <v>15401</v>
      </c>
      <c r="E16" s="114">
        <f t="shared" si="1"/>
        <v>0</v>
      </c>
      <c r="F16" s="114">
        <v>14158</v>
      </c>
      <c r="G16" s="114">
        <f t="shared" si="2"/>
        <v>24</v>
      </c>
      <c r="H16" s="114">
        <v>15201</v>
      </c>
      <c r="I16" s="114">
        <f t="shared" si="3"/>
        <v>24</v>
      </c>
      <c r="J16" s="114">
        <v>11967</v>
      </c>
      <c r="K16" s="114">
        <f t="shared" si="4"/>
        <v>0</v>
      </c>
      <c r="L16" s="114">
        <v>15041</v>
      </c>
      <c r="M16" s="114">
        <f t="shared" si="5"/>
        <v>22</v>
      </c>
      <c r="N16" s="114">
        <v>15397</v>
      </c>
      <c r="O16" s="114">
        <f t="shared" si="6"/>
        <v>24</v>
      </c>
      <c r="P16" s="114">
        <v>15204</v>
      </c>
      <c r="Q16" s="114">
        <f t="shared" si="7"/>
        <v>24</v>
      </c>
      <c r="R16" s="114">
        <v>14386</v>
      </c>
      <c r="S16" s="114">
        <f t="shared" si="8"/>
        <v>24</v>
      </c>
      <c r="T16" s="114">
        <v>12140</v>
      </c>
      <c r="U16" s="114">
        <f t="shared" si="9"/>
        <v>24</v>
      </c>
    </row>
    <row r="17" spans="1:21" s="10" customFormat="1">
      <c r="A17" s="113">
        <v>44941</v>
      </c>
      <c r="B17" s="114">
        <v>9109</v>
      </c>
      <c r="C17" s="114">
        <f t="shared" si="0"/>
        <v>19</v>
      </c>
      <c r="D17" s="114">
        <v>15425</v>
      </c>
      <c r="E17" s="114">
        <f t="shared" si="1"/>
        <v>24</v>
      </c>
      <c r="F17" s="114">
        <v>14182</v>
      </c>
      <c r="G17" s="114">
        <f t="shared" si="2"/>
        <v>24</v>
      </c>
      <c r="H17" s="114">
        <v>15221</v>
      </c>
      <c r="I17" s="114">
        <f t="shared" si="3"/>
        <v>20</v>
      </c>
      <c r="J17" s="114">
        <v>11967</v>
      </c>
      <c r="K17" s="114">
        <f t="shared" si="4"/>
        <v>0</v>
      </c>
      <c r="L17" s="114">
        <v>15041</v>
      </c>
      <c r="M17" s="114">
        <f t="shared" si="5"/>
        <v>0</v>
      </c>
      <c r="N17" s="114">
        <v>15421</v>
      </c>
      <c r="O17" s="114">
        <f t="shared" si="6"/>
        <v>24</v>
      </c>
      <c r="P17" s="114">
        <v>15228</v>
      </c>
      <c r="Q17" s="114">
        <f t="shared" si="7"/>
        <v>24</v>
      </c>
      <c r="R17" s="114">
        <v>14410</v>
      </c>
      <c r="S17" s="114">
        <f t="shared" si="8"/>
        <v>24</v>
      </c>
      <c r="T17" s="114">
        <v>12164</v>
      </c>
      <c r="U17" s="114">
        <f t="shared" si="9"/>
        <v>24</v>
      </c>
    </row>
    <row r="18" spans="1:21" s="10" customFormat="1">
      <c r="A18" s="113">
        <v>44942</v>
      </c>
      <c r="B18" s="114">
        <v>9133</v>
      </c>
      <c r="C18" s="114">
        <f t="shared" si="0"/>
        <v>24</v>
      </c>
      <c r="D18" s="114">
        <v>15449</v>
      </c>
      <c r="E18" s="114">
        <f t="shared" si="1"/>
        <v>24</v>
      </c>
      <c r="F18" s="114">
        <v>14206</v>
      </c>
      <c r="G18" s="114">
        <f t="shared" si="2"/>
        <v>24</v>
      </c>
      <c r="H18" s="114">
        <v>15245</v>
      </c>
      <c r="I18" s="114">
        <f t="shared" si="3"/>
        <v>24</v>
      </c>
      <c r="J18" s="114">
        <v>11967</v>
      </c>
      <c r="K18" s="114">
        <f t="shared" si="4"/>
        <v>0</v>
      </c>
      <c r="L18" s="114">
        <v>15054</v>
      </c>
      <c r="M18" s="114">
        <f t="shared" si="5"/>
        <v>13</v>
      </c>
      <c r="N18" s="114">
        <v>15445</v>
      </c>
      <c r="O18" s="114">
        <f t="shared" si="6"/>
        <v>24</v>
      </c>
      <c r="P18" s="114">
        <v>15249</v>
      </c>
      <c r="Q18" s="114">
        <f t="shared" si="7"/>
        <v>21</v>
      </c>
      <c r="R18" s="114">
        <v>14434</v>
      </c>
      <c r="S18" s="114">
        <f t="shared" si="8"/>
        <v>24</v>
      </c>
      <c r="T18" s="114">
        <v>12188</v>
      </c>
      <c r="U18" s="114">
        <f t="shared" si="9"/>
        <v>24</v>
      </c>
    </row>
    <row r="19" spans="1:21" s="10" customFormat="1">
      <c r="A19" s="113">
        <v>44943</v>
      </c>
      <c r="B19" s="114">
        <v>9157</v>
      </c>
      <c r="C19" s="114">
        <f t="shared" si="0"/>
        <v>24</v>
      </c>
      <c r="D19" s="114">
        <v>15473</v>
      </c>
      <c r="E19" s="114">
        <f t="shared" si="1"/>
        <v>24</v>
      </c>
      <c r="F19" s="114">
        <v>14230</v>
      </c>
      <c r="G19" s="114">
        <f t="shared" si="2"/>
        <v>24</v>
      </c>
      <c r="H19" s="114">
        <v>15269</v>
      </c>
      <c r="I19" s="114">
        <f t="shared" si="3"/>
        <v>24</v>
      </c>
      <c r="J19" s="114">
        <v>11967</v>
      </c>
      <c r="K19" s="114">
        <f t="shared" si="4"/>
        <v>0</v>
      </c>
      <c r="L19" s="114">
        <v>15078</v>
      </c>
      <c r="M19" s="114">
        <f t="shared" si="5"/>
        <v>24</v>
      </c>
      <c r="N19" s="114">
        <v>15469</v>
      </c>
      <c r="O19" s="114">
        <f t="shared" si="6"/>
        <v>24</v>
      </c>
      <c r="P19" s="114">
        <v>15273</v>
      </c>
      <c r="Q19" s="114">
        <f t="shared" si="7"/>
        <v>24</v>
      </c>
      <c r="R19" s="114">
        <v>14458</v>
      </c>
      <c r="S19" s="114">
        <f t="shared" si="8"/>
        <v>24</v>
      </c>
      <c r="T19" s="114">
        <v>12212</v>
      </c>
      <c r="U19" s="114">
        <f t="shared" si="9"/>
        <v>24</v>
      </c>
    </row>
    <row r="20" spans="1:21" s="10" customFormat="1">
      <c r="A20" s="113">
        <v>44944</v>
      </c>
      <c r="B20" s="114">
        <v>9157</v>
      </c>
      <c r="C20" s="114">
        <f t="shared" si="0"/>
        <v>0</v>
      </c>
      <c r="D20" s="114">
        <v>15493</v>
      </c>
      <c r="E20" s="114">
        <f t="shared" si="1"/>
        <v>20</v>
      </c>
      <c r="F20" s="114">
        <v>14252</v>
      </c>
      <c r="G20" s="114">
        <f t="shared" si="2"/>
        <v>22</v>
      </c>
      <c r="H20" s="114">
        <v>15288</v>
      </c>
      <c r="I20" s="114">
        <f t="shared" si="3"/>
        <v>19</v>
      </c>
      <c r="J20" s="114">
        <v>11967</v>
      </c>
      <c r="K20" s="114">
        <f t="shared" si="4"/>
        <v>0</v>
      </c>
      <c r="L20" s="114">
        <v>15096</v>
      </c>
      <c r="M20" s="114">
        <f t="shared" si="5"/>
        <v>18</v>
      </c>
      <c r="N20" s="114">
        <v>15490</v>
      </c>
      <c r="O20" s="114">
        <f t="shared" si="6"/>
        <v>21</v>
      </c>
      <c r="P20" s="114">
        <v>15294</v>
      </c>
      <c r="Q20" s="114">
        <f t="shared" si="7"/>
        <v>21</v>
      </c>
      <c r="R20" s="114">
        <v>14478</v>
      </c>
      <c r="S20" s="114">
        <f t="shared" si="8"/>
        <v>20</v>
      </c>
      <c r="T20" s="114">
        <v>12234</v>
      </c>
      <c r="U20" s="114">
        <f t="shared" si="9"/>
        <v>22</v>
      </c>
    </row>
    <row r="21" spans="1:21" s="10" customFormat="1">
      <c r="A21" s="113">
        <v>44945</v>
      </c>
      <c r="B21" s="114">
        <v>9169</v>
      </c>
      <c r="C21" s="114">
        <f t="shared" si="0"/>
        <v>12</v>
      </c>
      <c r="D21" s="114">
        <v>15515</v>
      </c>
      <c r="E21" s="114">
        <f t="shared" si="1"/>
        <v>22</v>
      </c>
      <c r="F21" s="114">
        <v>14274</v>
      </c>
      <c r="G21" s="114">
        <f t="shared" si="2"/>
        <v>22</v>
      </c>
      <c r="H21" s="114">
        <v>15308</v>
      </c>
      <c r="I21" s="114">
        <f t="shared" si="3"/>
        <v>20</v>
      </c>
      <c r="J21" s="114">
        <v>11967</v>
      </c>
      <c r="K21" s="114">
        <f t="shared" si="4"/>
        <v>0</v>
      </c>
      <c r="L21" s="114">
        <v>15116</v>
      </c>
      <c r="M21" s="114">
        <f t="shared" si="5"/>
        <v>20</v>
      </c>
      <c r="N21" s="114">
        <v>15511</v>
      </c>
      <c r="O21" s="114">
        <f t="shared" si="6"/>
        <v>21</v>
      </c>
      <c r="P21" s="114">
        <v>15314</v>
      </c>
      <c r="Q21" s="114">
        <f t="shared" si="7"/>
        <v>20</v>
      </c>
      <c r="R21" s="114">
        <v>14482</v>
      </c>
      <c r="S21" s="114">
        <f t="shared" si="8"/>
        <v>4</v>
      </c>
      <c r="T21" s="114">
        <v>12250</v>
      </c>
      <c r="U21" s="114">
        <f t="shared" si="9"/>
        <v>16</v>
      </c>
    </row>
    <row r="22" spans="1:21" s="10" customFormat="1">
      <c r="A22" s="113">
        <v>44946</v>
      </c>
      <c r="B22" s="114">
        <v>9188</v>
      </c>
      <c r="C22" s="114">
        <f t="shared" si="0"/>
        <v>19</v>
      </c>
      <c r="D22" s="114">
        <v>15535</v>
      </c>
      <c r="E22" s="114">
        <f t="shared" si="1"/>
        <v>20</v>
      </c>
      <c r="F22" s="114">
        <v>14274</v>
      </c>
      <c r="G22" s="114">
        <f t="shared" si="2"/>
        <v>0</v>
      </c>
      <c r="H22" s="114">
        <v>15327</v>
      </c>
      <c r="I22" s="114">
        <f t="shared" si="3"/>
        <v>19</v>
      </c>
      <c r="J22" s="114">
        <v>11967</v>
      </c>
      <c r="K22" s="114">
        <f t="shared" si="4"/>
        <v>0</v>
      </c>
      <c r="L22" s="114">
        <v>15134</v>
      </c>
      <c r="M22" s="114">
        <f t="shared" si="5"/>
        <v>18</v>
      </c>
      <c r="N22" s="114">
        <v>15531</v>
      </c>
      <c r="O22" s="114">
        <f t="shared" si="6"/>
        <v>20</v>
      </c>
      <c r="P22" s="114">
        <v>15334</v>
      </c>
      <c r="Q22" s="114">
        <f t="shared" si="7"/>
        <v>20</v>
      </c>
      <c r="R22" s="114">
        <v>14505</v>
      </c>
      <c r="S22" s="114">
        <f t="shared" si="8"/>
        <v>23</v>
      </c>
      <c r="T22" s="114">
        <v>12273</v>
      </c>
      <c r="U22" s="114">
        <f t="shared" si="9"/>
        <v>23</v>
      </c>
    </row>
    <row r="23" spans="1:21" s="10" customFormat="1">
      <c r="A23" s="113">
        <v>44947</v>
      </c>
      <c r="B23" s="114">
        <v>9212</v>
      </c>
      <c r="C23" s="114">
        <f t="shared" si="0"/>
        <v>24</v>
      </c>
      <c r="D23" s="114">
        <v>15556</v>
      </c>
      <c r="E23" s="114">
        <f t="shared" si="1"/>
        <v>21</v>
      </c>
      <c r="F23" s="114">
        <v>14298</v>
      </c>
      <c r="G23" s="114">
        <f t="shared" si="2"/>
        <v>24</v>
      </c>
      <c r="H23" s="114">
        <v>15327</v>
      </c>
      <c r="I23" s="114">
        <f t="shared" si="3"/>
        <v>0</v>
      </c>
      <c r="J23" s="114">
        <v>11967</v>
      </c>
      <c r="K23" s="114">
        <f t="shared" si="4"/>
        <v>0</v>
      </c>
      <c r="L23" s="114">
        <v>15158</v>
      </c>
      <c r="M23" s="114">
        <f t="shared" si="5"/>
        <v>24</v>
      </c>
      <c r="N23" s="114">
        <v>15555</v>
      </c>
      <c r="O23" s="114">
        <f t="shared" si="6"/>
        <v>24</v>
      </c>
      <c r="P23" s="114">
        <v>15358</v>
      </c>
      <c r="Q23" s="114">
        <f t="shared" si="7"/>
        <v>24</v>
      </c>
      <c r="R23" s="114">
        <v>14528</v>
      </c>
      <c r="S23" s="114">
        <f t="shared" si="8"/>
        <v>23</v>
      </c>
      <c r="T23" s="114">
        <v>12297</v>
      </c>
      <c r="U23" s="114">
        <f t="shared" si="9"/>
        <v>24</v>
      </c>
    </row>
    <row r="24" spans="1:21" s="10" customFormat="1">
      <c r="A24" s="113">
        <v>44948</v>
      </c>
      <c r="B24" s="114">
        <v>9236</v>
      </c>
      <c r="C24" s="114">
        <f t="shared" si="0"/>
        <v>24</v>
      </c>
      <c r="D24" s="114">
        <v>15580</v>
      </c>
      <c r="E24" s="114">
        <f t="shared" si="1"/>
        <v>24</v>
      </c>
      <c r="F24" s="114">
        <v>14316</v>
      </c>
      <c r="G24" s="114">
        <f t="shared" si="2"/>
        <v>18</v>
      </c>
      <c r="H24" s="114">
        <v>15328</v>
      </c>
      <c r="I24" s="114">
        <f t="shared" si="3"/>
        <v>1</v>
      </c>
      <c r="J24" s="114">
        <v>11967</v>
      </c>
      <c r="K24" s="114">
        <f t="shared" si="4"/>
        <v>0</v>
      </c>
      <c r="L24" s="114">
        <v>15182</v>
      </c>
      <c r="M24" s="114">
        <f t="shared" si="5"/>
        <v>24</v>
      </c>
      <c r="N24" s="114">
        <v>15579</v>
      </c>
      <c r="O24" s="114">
        <f t="shared" si="6"/>
        <v>24</v>
      </c>
      <c r="P24" s="114">
        <v>15382</v>
      </c>
      <c r="Q24" s="114">
        <f t="shared" si="7"/>
        <v>24</v>
      </c>
      <c r="R24" s="114">
        <v>14552</v>
      </c>
      <c r="S24" s="114">
        <f t="shared" si="8"/>
        <v>24</v>
      </c>
      <c r="T24" s="114">
        <v>12320</v>
      </c>
      <c r="U24" s="114">
        <f t="shared" si="9"/>
        <v>23</v>
      </c>
    </row>
    <row r="25" spans="1:21" s="10" customFormat="1">
      <c r="A25" s="113">
        <v>44949</v>
      </c>
      <c r="B25" s="114">
        <v>9260</v>
      </c>
      <c r="C25" s="114">
        <f t="shared" si="0"/>
        <v>24</v>
      </c>
      <c r="D25" s="114">
        <v>15604</v>
      </c>
      <c r="E25" s="114">
        <f t="shared" si="1"/>
        <v>24</v>
      </c>
      <c r="F25" s="114">
        <v>14316</v>
      </c>
      <c r="G25" s="114">
        <f t="shared" si="2"/>
        <v>0</v>
      </c>
      <c r="H25" s="114">
        <v>15351</v>
      </c>
      <c r="I25" s="114">
        <f t="shared" si="3"/>
        <v>23</v>
      </c>
      <c r="J25" s="114">
        <v>11967</v>
      </c>
      <c r="K25" s="114">
        <f t="shared" si="4"/>
        <v>0</v>
      </c>
      <c r="L25" s="114">
        <v>15198</v>
      </c>
      <c r="M25" s="114">
        <f t="shared" si="5"/>
        <v>16</v>
      </c>
      <c r="N25" s="114">
        <v>15603</v>
      </c>
      <c r="O25" s="114">
        <f t="shared" si="6"/>
        <v>24</v>
      </c>
      <c r="P25" s="114">
        <v>15406</v>
      </c>
      <c r="Q25" s="114">
        <f t="shared" si="7"/>
        <v>24</v>
      </c>
      <c r="R25" s="114">
        <v>14576</v>
      </c>
      <c r="S25" s="114">
        <f t="shared" si="8"/>
        <v>24</v>
      </c>
      <c r="T25" s="114">
        <v>12344</v>
      </c>
      <c r="U25" s="114">
        <f t="shared" si="9"/>
        <v>24</v>
      </c>
    </row>
    <row r="26" spans="1:21" s="10" customFormat="1">
      <c r="A26" s="113">
        <v>44950</v>
      </c>
      <c r="B26" s="114">
        <v>9284</v>
      </c>
      <c r="C26" s="114">
        <f t="shared" si="0"/>
        <v>24</v>
      </c>
      <c r="D26" s="114">
        <v>15627</v>
      </c>
      <c r="E26" s="114">
        <f t="shared" si="1"/>
        <v>23</v>
      </c>
      <c r="F26" s="114">
        <v>14339</v>
      </c>
      <c r="G26" s="114">
        <f t="shared" si="2"/>
        <v>23</v>
      </c>
      <c r="H26" s="114">
        <v>15375</v>
      </c>
      <c r="I26" s="114">
        <f t="shared" si="3"/>
        <v>24</v>
      </c>
      <c r="J26" s="114">
        <v>11967</v>
      </c>
      <c r="K26" s="114">
        <f t="shared" si="4"/>
        <v>0</v>
      </c>
      <c r="L26" s="114">
        <v>15216</v>
      </c>
      <c r="M26" s="114">
        <f t="shared" si="5"/>
        <v>18</v>
      </c>
      <c r="N26" s="114">
        <v>15627</v>
      </c>
      <c r="O26" s="114">
        <f t="shared" si="6"/>
        <v>24</v>
      </c>
      <c r="P26" s="114">
        <v>15430</v>
      </c>
      <c r="Q26" s="114">
        <f t="shared" si="7"/>
        <v>24</v>
      </c>
      <c r="R26" s="114">
        <v>14600</v>
      </c>
      <c r="S26" s="114">
        <f t="shared" si="8"/>
        <v>24</v>
      </c>
      <c r="T26" s="114">
        <v>12344</v>
      </c>
      <c r="U26" s="114">
        <f t="shared" si="9"/>
        <v>0</v>
      </c>
    </row>
    <row r="27" spans="1:21" s="10" customFormat="1">
      <c r="A27" s="113">
        <v>44951</v>
      </c>
      <c r="B27" s="114">
        <v>9307</v>
      </c>
      <c r="C27" s="114">
        <f t="shared" si="0"/>
        <v>23</v>
      </c>
      <c r="D27" s="114">
        <v>15649</v>
      </c>
      <c r="E27" s="114">
        <f t="shared" si="1"/>
        <v>22</v>
      </c>
      <c r="F27" s="114">
        <v>14360</v>
      </c>
      <c r="G27" s="114">
        <f t="shared" si="2"/>
        <v>21</v>
      </c>
      <c r="H27" s="114">
        <v>15396</v>
      </c>
      <c r="I27" s="114">
        <f t="shared" si="3"/>
        <v>21</v>
      </c>
      <c r="J27" s="114">
        <v>11967</v>
      </c>
      <c r="K27" s="114">
        <f t="shared" si="4"/>
        <v>0</v>
      </c>
      <c r="L27" s="114">
        <v>15236</v>
      </c>
      <c r="M27" s="114">
        <f t="shared" si="5"/>
        <v>20</v>
      </c>
      <c r="N27" s="114">
        <v>15647</v>
      </c>
      <c r="O27" s="114">
        <f t="shared" si="6"/>
        <v>20</v>
      </c>
      <c r="P27" s="114">
        <v>15451</v>
      </c>
      <c r="Q27" s="114">
        <f t="shared" si="7"/>
        <v>21</v>
      </c>
      <c r="R27" s="114">
        <v>14621</v>
      </c>
      <c r="S27" s="114">
        <f t="shared" si="8"/>
        <v>21</v>
      </c>
      <c r="T27" s="114">
        <v>12365</v>
      </c>
      <c r="U27" s="114">
        <f t="shared" si="9"/>
        <v>21</v>
      </c>
    </row>
    <row r="28" spans="1:21" s="10" customFormat="1">
      <c r="A28" s="113">
        <v>44952</v>
      </c>
      <c r="B28" s="114">
        <v>9331</v>
      </c>
      <c r="C28" s="114">
        <f t="shared" si="0"/>
        <v>24</v>
      </c>
      <c r="D28" s="114">
        <v>15664</v>
      </c>
      <c r="E28" s="114">
        <f t="shared" si="1"/>
        <v>15</v>
      </c>
      <c r="F28" s="114">
        <v>14384</v>
      </c>
      <c r="G28" s="114">
        <f t="shared" si="2"/>
        <v>24</v>
      </c>
      <c r="H28" s="114">
        <v>15420</v>
      </c>
      <c r="I28" s="114">
        <f t="shared" si="3"/>
        <v>24</v>
      </c>
      <c r="J28" s="114">
        <v>11967</v>
      </c>
      <c r="K28" s="114">
        <f t="shared" si="4"/>
        <v>0</v>
      </c>
      <c r="L28" s="114">
        <v>15258</v>
      </c>
      <c r="M28" s="114">
        <f t="shared" si="5"/>
        <v>22</v>
      </c>
      <c r="N28" s="114">
        <v>15671</v>
      </c>
      <c r="O28" s="114">
        <f t="shared" si="6"/>
        <v>24</v>
      </c>
      <c r="P28" s="114">
        <v>15475</v>
      </c>
      <c r="Q28" s="114">
        <f t="shared" si="7"/>
        <v>24</v>
      </c>
      <c r="R28" s="114">
        <v>14645</v>
      </c>
      <c r="S28" s="114">
        <f t="shared" si="8"/>
        <v>24</v>
      </c>
      <c r="T28" s="114">
        <v>12389</v>
      </c>
      <c r="U28" s="114">
        <f t="shared" si="9"/>
        <v>24</v>
      </c>
    </row>
    <row r="29" spans="1:21" s="10" customFormat="1">
      <c r="A29" s="113">
        <v>44953</v>
      </c>
      <c r="B29" s="114">
        <v>9355</v>
      </c>
      <c r="C29" s="114">
        <f t="shared" si="0"/>
        <v>24</v>
      </c>
      <c r="D29" s="114">
        <v>15688</v>
      </c>
      <c r="E29" s="114">
        <f t="shared" si="1"/>
        <v>24</v>
      </c>
      <c r="F29" s="114">
        <v>14408</v>
      </c>
      <c r="G29" s="114">
        <f t="shared" si="2"/>
        <v>24</v>
      </c>
      <c r="H29" s="114">
        <v>15444</v>
      </c>
      <c r="I29" s="114">
        <f t="shared" si="3"/>
        <v>24</v>
      </c>
      <c r="J29" s="114">
        <v>11967</v>
      </c>
      <c r="K29" s="114">
        <f t="shared" si="4"/>
        <v>0</v>
      </c>
      <c r="L29" s="114">
        <v>15281</v>
      </c>
      <c r="M29" s="114">
        <f t="shared" si="5"/>
        <v>23</v>
      </c>
      <c r="N29" s="114">
        <v>15695</v>
      </c>
      <c r="O29" s="114">
        <f t="shared" si="6"/>
        <v>24</v>
      </c>
      <c r="P29" s="114">
        <v>15499</v>
      </c>
      <c r="Q29" s="114">
        <f t="shared" si="7"/>
        <v>24</v>
      </c>
      <c r="R29" s="114">
        <v>14669</v>
      </c>
      <c r="S29" s="114">
        <f t="shared" si="8"/>
        <v>24</v>
      </c>
      <c r="T29" s="114">
        <v>12403</v>
      </c>
      <c r="U29" s="114">
        <f t="shared" si="9"/>
        <v>14</v>
      </c>
    </row>
    <row r="30" spans="1:21" s="10" customFormat="1">
      <c r="A30" s="113">
        <v>44954</v>
      </c>
      <c r="B30" s="114">
        <v>9379</v>
      </c>
      <c r="C30" s="114">
        <f t="shared" si="0"/>
        <v>24</v>
      </c>
      <c r="D30" s="114">
        <v>15712</v>
      </c>
      <c r="E30" s="114">
        <f t="shared" si="1"/>
        <v>24</v>
      </c>
      <c r="F30" s="114">
        <v>14429</v>
      </c>
      <c r="G30" s="114">
        <f t="shared" si="2"/>
        <v>21</v>
      </c>
      <c r="H30" s="114">
        <v>15464</v>
      </c>
      <c r="I30" s="114">
        <f t="shared" si="3"/>
        <v>20</v>
      </c>
      <c r="J30" s="114">
        <v>11967</v>
      </c>
      <c r="K30" s="114">
        <f t="shared" si="4"/>
        <v>0</v>
      </c>
      <c r="L30" s="114">
        <v>15281</v>
      </c>
      <c r="M30" s="114">
        <f t="shared" si="5"/>
        <v>0</v>
      </c>
      <c r="N30" s="114">
        <v>15719</v>
      </c>
      <c r="O30" s="114">
        <f t="shared" si="6"/>
        <v>24</v>
      </c>
      <c r="P30" s="114">
        <v>15523</v>
      </c>
      <c r="Q30" s="114">
        <f t="shared" si="7"/>
        <v>24</v>
      </c>
      <c r="R30" s="114">
        <v>14693</v>
      </c>
      <c r="S30" s="114">
        <f t="shared" si="8"/>
        <v>24</v>
      </c>
      <c r="T30" s="114">
        <v>12427</v>
      </c>
      <c r="U30" s="114">
        <f t="shared" si="9"/>
        <v>24</v>
      </c>
    </row>
    <row r="31" spans="1:21" s="10" customFormat="1">
      <c r="A31" s="113">
        <v>44955</v>
      </c>
      <c r="B31" s="114">
        <v>9400</v>
      </c>
      <c r="C31" s="114">
        <f t="shared" si="0"/>
        <v>21</v>
      </c>
      <c r="D31" s="114">
        <v>15730</v>
      </c>
      <c r="E31" s="114">
        <f t="shared" si="1"/>
        <v>18</v>
      </c>
      <c r="F31" s="114">
        <v>14447</v>
      </c>
      <c r="G31" s="114">
        <f t="shared" si="2"/>
        <v>18</v>
      </c>
      <c r="H31" s="114">
        <v>15481</v>
      </c>
      <c r="I31" s="114">
        <f t="shared" si="3"/>
        <v>17</v>
      </c>
      <c r="J31" s="114">
        <v>11967</v>
      </c>
      <c r="K31" s="114">
        <f t="shared" si="4"/>
        <v>0</v>
      </c>
      <c r="L31" s="114">
        <v>15298</v>
      </c>
      <c r="M31" s="114">
        <f t="shared" si="5"/>
        <v>17</v>
      </c>
      <c r="N31" s="114">
        <v>15736</v>
      </c>
      <c r="O31" s="114">
        <f t="shared" si="6"/>
        <v>17</v>
      </c>
      <c r="P31" s="114">
        <v>15523</v>
      </c>
      <c r="Q31" s="114">
        <f t="shared" si="7"/>
        <v>0</v>
      </c>
      <c r="R31" s="114">
        <v>14711</v>
      </c>
      <c r="S31" s="114">
        <f t="shared" si="8"/>
        <v>18</v>
      </c>
      <c r="T31" s="114">
        <v>12447</v>
      </c>
      <c r="U31" s="114">
        <f t="shared" si="9"/>
        <v>20</v>
      </c>
    </row>
    <row r="32" spans="1:21" s="10" customFormat="1">
      <c r="A32" s="113">
        <v>44956</v>
      </c>
      <c r="B32" s="114">
        <v>9422</v>
      </c>
      <c r="C32" s="114">
        <f t="shared" si="0"/>
        <v>22</v>
      </c>
      <c r="D32" s="114">
        <v>15750</v>
      </c>
      <c r="E32" s="114">
        <f t="shared" si="1"/>
        <v>20</v>
      </c>
      <c r="F32" s="114">
        <v>14468</v>
      </c>
      <c r="G32" s="114">
        <f t="shared" si="2"/>
        <v>21</v>
      </c>
      <c r="H32" s="114">
        <v>15499</v>
      </c>
      <c r="I32" s="114">
        <f t="shared" si="3"/>
        <v>18</v>
      </c>
      <c r="J32" s="114">
        <v>11967</v>
      </c>
      <c r="K32" s="114">
        <f t="shared" si="4"/>
        <v>0</v>
      </c>
      <c r="L32" s="114">
        <v>15316</v>
      </c>
      <c r="M32" s="114">
        <f t="shared" si="5"/>
        <v>18</v>
      </c>
      <c r="N32" s="114">
        <v>15756</v>
      </c>
      <c r="O32" s="114">
        <f t="shared" si="6"/>
        <v>20</v>
      </c>
      <c r="P32" s="114">
        <v>15544</v>
      </c>
      <c r="Q32" s="114">
        <f t="shared" si="7"/>
        <v>21</v>
      </c>
      <c r="R32" s="114">
        <v>14732</v>
      </c>
      <c r="S32" s="114">
        <f t="shared" si="8"/>
        <v>21</v>
      </c>
      <c r="T32" s="114">
        <v>12470</v>
      </c>
      <c r="U32" s="114">
        <f t="shared" si="9"/>
        <v>23</v>
      </c>
    </row>
    <row r="33" spans="1:21" s="10" customFormat="1">
      <c r="A33" s="113">
        <v>44957</v>
      </c>
      <c r="B33" s="114">
        <v>9445</v>
      </c>
      <c r="C33" s="114">
        <f t="shared" si="0"/>
        <v>23</v>
      </c>
      <c r="D33" s="114">
        <v>15774</v>
      </c>
      <c r="E33" s="114">
        <f t="shared" si="1"/>
        <v>24</v>
      </c>
      <c r="F33" s="114">
        <v>14492</v>
      </c>
      <c r="G33" s="114">
        <f t="shared" si="2"/>
        <v>24</v>
      </c>
      <c r="H33" s="114">
        <v>15523</v>
      </c>
      <c r="I33" s="114">
        <f t="shared" si="3"/>
        <v>24</v>
      </c>
      <c r="J33" s="114">
        <v>11967</v>
      </c>
      <c r="K33" s="114">
        <f t="shared" si="4"/>
        <v>0</v>
      </c>
      <c r="L33" s="114">
        <v>15336</v>
      </c>
      <c r="M33" s="114">
        <f t="shared" si="5"/>
        <v>20</v>
      </c>
      <c r="N33" s="114">
        <v>15780</v>
      </c>
      <c r="O33" s="114">
        <f t="shared" si="6"/>
        <v>24</v>
      </c>
      <c r="P33" s="114">
        <v>15568</v>
      </c>
      <c r="Q33" s="114">
        <f t="shared" si="7"/>
        <v>24</v>
      </c>
      <c r="R33" s="114">
        <v>14755</v>
      </c>
      <c r="S33" s="114">
        <f t="shared" si="8"/>
        <v>23</v>
      </c>
      <c r="T33" s="114">
        <v>12494</v>
      </c>
      <c r="U33" s="114">
        <f t="shared" si="9"/>
        <v>24</v>
      </c>
    </row>
    <row r="34" spans="1:21" s="10" customFormat="1">
      <c r="A34" s="113">
        <v>44958</v>
      </c>
      <c r="B34" s="114">
        <v>9469</v>
      </c>
      <c r="C34" s="114">
        <f t="shared" si="0"/>
        <v>24</v>
      </c>
      <c r="D34" s="114">
        <v>15798</v>
      </c>
      <c r="E34" s="114">
        <f t="shared" si="1"/>
        <v>24</v>
      </c>
      <c r="F34" s="114">
        <v>14514</v>
      </c>
      <c r="G34" s="114">
        <f t="shared" si="2"/>
        <v>22</v>
      </c>
      <c r="H34" s="114">
        <v>15529</v>
      </c>
      <c r="I34" s="114">
        <f t="shared" si="3"/>
        <v>6</v>
      </c>
      <c r="J34" s="114">
        <v>11967</v>
      </c>
      <c r="K34" s="114">
        <f t="shared" si="4"/>
        <v>0</v>
      </c>
      <c r="L34" s="114">
        <v>15358</v>
      </c>
      <c r="M34" s="114">
        <f t="shared" si="5"/>
        <v>22</v>
      </c>
      <c r="N34" s="114">
        <v>15804</v>
      </c>
      <c r="O34" s="114">
        <f t="shared" si="6"/>
        <v>24</v>
      </c>
      <c r="P34" s="114">
        <v>15592</v>
      </c>
      <c r="Q34" s="114">
        <f t="shared" si="7"/>
        <v>24</v>
      </c>
      <c r="R34" s="114">
        <v>14779</v>
      </c>
      <c r="S34" s="114">
        <f t="shared" si="8"/>
        <v>24</v>
      </c>
      <c r="T34" s="114">
        <v>12518</v>
      </c>
      <c r="U34" s="114">
        <f t="shared" si="9"/>
        <v>24</v>
      </c>
    </row>
    <row r="35" spans="1:21" s="10" customFormat="1">
      <c r="A35" s="113">
        <v>44959</v>
      </c>
      <c r="B35" s="114">
        <v>9491</v>
      </c>
      <c r="C35" s="114">
        <f t="shared" ref="C35:C66" si="10">IF(B35&gt;B34,B35-B34,0)</f>
        <v>22</v>
      </c>
      <c r="D35" s="114">
        <v>15817</v>
      </c>
      <c r="E35" s="114">
        <f t="shared" ref="E35:E66" si="11">IF(D35&gt;D34,D35-D34,0)</f>
        <v>19</v>
      </c>
      <c r="F35" s="114">
        <v>14534</v>
      </c>
      <c r="G35" s="114">
        <f t="shared" ref="G35:G66" si="12">IF(F35&gt;F34,F35-F34,0)</f>
        <v>20</v>
      </c>
      <c r="H35" s="114">
        <v>15544</v>
      </c>
      <c r="I35" s="114">
        <f t="shared" ref="I35:I66" si="13">IF(H35&gt;H34,H35-H34,0)</f>
        <v>15</v>
      </c>
      <c r="J35" s="114">
        <v>11967</v>
      </c>
      <c r="K35" s="114">
        <f t="shared" ref="K35:K66" si="14">IF(J35&gt;J34,J35-J34,0)</f>
        <v>0</v>
      </c>
      <c r="L35" s="114">
        <v>15378</v>
      </c>
      <c r="M35" s="114">
        <f t="shared" ref="M35:M66" si="15">IF(L35&gt;L34,L35-L34,0)</f>
        <v>20</v>
      </c>
      <c r="N35" s="114">
        <v>15824</v>
      </c>
      <c r="O35" s="114">
        <f t="shared" ref="O35:O66" si="16">IF(N35&gt;N34,N35-N34,0)</f>
        <v>20</v>
      </c>
      <c r="P35" s="114">
        <v>15608</v>
      </c>
      <c r="Q35" s="114">
        <f t="shared" ref="Q35:Q66" si="17">IF(P35&gt;P34,P35-P34,0)</f>
        <v>16</v>
      </c>
      <c r="R35" s="114">
        <v>14800</v>
      </c>
      <c r="S35" s="114">
        <f t="shared" ref="S35:S66" si="18">IF(R35&gt;R34,R35-R34,0)</f>
        <v>21</v>
      </c>
      <c r="T35" s="114">
        <v>12534</v>
      </c>
      <c r="U35" s="114">
        <f t="shared" ref="U35:U66" si="19">IF(T35&gt;T34,T35-T34,0)</f>
        <v>16</v>
      </c>
    </row>
    <row r="36" spans="1:21" s="10" customFormat="1">
      <c r="A36" s="113">
        <v>44960</v>
      </c>
      <c r="B36" s="114">
        <v>9513</v>
      </c>
      <c r="C36" s="114">
        <f t="shared" si="10"/>
        <v>22</v>
      </c>
      <c r="D36" s="114">
        <v>15836</v>
      </c>
      <c r="E36" s="114">
        <f t="shared" si="11"/>
        <v>19</v>
      </c>
      <c r="F36" s="114">
        <v>14551</v>
      </c>
      <c r="G36" s="114">
        <f t="shared" si="12"/>
        <v>17</v>
      </c>
      <c r="H36" s="114">
        <v>15563</v>
      </c>
      <c r="I36" s="114">
        <f t="shared" si="13"/>
        <v>19</v>
      </c>
      <c r="J36" s="114">
        <v>11967</v>
      </c>
      <c r="K36" s="114">
        <f t="shared" si="14"/>
        <v>0</v>
      </c>
      <c r="L36" s="114">
        <v>15398</v>
      </c>
      <c r="M36" s="114">
        <f t="shared" si="15"/>
        <v>20</v>
      </c>
      <c r="N36" s="114">
        <v>15844</v>
      </c>
      <c r="O36" s="114">
        <f t="shared" si="16"/>
        <v>20</v>
      </c>
      <c r="P36" s="114">
        <v>15629</v>
      </c>
      <c r="Q36" s="114">
        <f t="shared" si="17"/>
        <v>21</v>
      </c>
      <c r="R36" s="114">
        <v>14820</v>
      </c>
      <c r="S36" s="114">
        <f t="shared" si="18"/>
        <v>20</v>
      </c>
      <c r="T36" s="114">
        <v>12557</v>
      </c>
      <c r="U36" s="114">
        <f t="shared" si="19"/>
        <v>23</v>
      </c>
    </row>
    <row r="37" spans="1:21" s="10" customFormat="1">
      <c r="A37" s="113">
        <v>44961</v>
      </c>
      <c r="B37" s="114">
        <v>9535</v>
      </c>
      <c r="C37" s="114">
        <f t="shared" si="10"/>
        <v>22</v>
      </c>
      <c r="D37" s="114">
        <v>15853</v>
      </c>
      <c r="E37" s="114">
        <f t="shared" si="11"/>
        <v>17</v>
      </c>
      <c r="F37" s="114">
        <v>14568</v>
      </c>
      <c r="G37" s="114">
        <f t="shared" si="12"/>
        <v>17</v>
      </c>
      <c r="H37" s="114">
        <v>15582</v>
      </c>
      <c r="I37" s="114">
        <f t="shared" si="13"/>
        <v>19</v>
      </c>
      <c r="J37" s="114">
        <v>11967</v>
      </c>
      <c r="K37" s="114">
        <f t="shared" si="14"/>
        <v>0</v>
      </c>
      <c r="L37" s="114">
        <v>15417</v>
      </c>
      <c r="M37" s="114">
        <f t="shared" si="15"/>
        <v>19</v>
      </c>
      <c r="N37" s="114">
        <v>15863</v>
      </c>
      <c r="O37" s="114">
        <f t="shared" si="16"/>
        <v>19</v>
      </c>
      <c r="P37" s="114">
        <v>15650</v>
      </c>
      <c r="Q37" s="114">
        <f t="shared" si="17"/>
        <v>21</v>
      </c>
      <c r="R37" s="114">
        <v>14840</v>
      </c>
      <c r="S37" s="114">
        <f t="shared" si="18"/>
        <v>20</v>
      </c>
      <c r="T37" s="114">
        <v>12573</v>
      </c>
      <c r="U37" s="114">
        <f t="shared" si="19"/>
        <v>16</v>
      </c>
    </row>
    <row r="38" spans="1:21" s="10" customFormat="1">
      <c r="A38" s="113">
        <v>44962</v>
      </c>
      <c r="B38" s="114">
        <v>9554</v>
      </c>
      <c r="C38" s="114">
        <f t="shared" si="10"/>
        <v>19</v>
      </c>
      <c r="D38" s="114">
        <v>15866</v>
      </c>
      <c r="E38" s="114">
        <f t="shared" si="11"/>
        <v>13</v>
      </c>
      <c r="F38" s="114">
        <v>14583</v>
      </c>
      <c r="G38" s="114">
        <f t="shared" si="12"/>
        <v>15</v>
      </c>
      <c r="H38" s="114">
        <v>15600</v>
      </c>
      <c r="I38" s="114">
        <f t="shared" si="13"/>
        <v>18</v>
      </c>
      <c r="J38" s="114">
        <v>11967</v>
      </c>
      <c r="K38" s="114">
        <f t="shared" si="14"/>
        <v>0</v>
      </c>
      <c r="L38" s="114">
        <v>15434</v>
      </c>
      <c r="M38" s="114">
        <f t="shared" si="15"/>
        <v>17</v>
      </c>
      <c r="N38" s="114">
        <v>15877</v>
      </c>
      <c r="O38" s="114">
        <f t="shared" si="16"/>
        <v>14</v>
      </c>
      <c r="P38" s="114">
        <v>15666</v>
      </c>
      <c r="Q38" s="114">
        <f t="shared" si="17"/>
        <v>16</v>
      </c>
      <c r="R38" s="114">
        <v>14856</v>
      </c>
      <c r="S38" s="114">
        <f t="shared" si="18"/>
        <v>16</v>
      </c>
      <c r="T38" s="114">
        <v>12592</v>
      </c>
      <c r="U38" s="114">
        <f t="shared" si="19"/>
        <v>19</v>
      </c>
    </row>
    <row r="39" spans="1:21" s="10" customFormat="1">
      <c r="A39" s="113">
        <v>44963</v>
      </c>
      <c r="B39" s="114">
        <v>9573</v>
      </c>
      <c r="C39" s="114">
        <f t="shared" si="10"/>
        <v>19</v>
      </c>
      <c r="D39" s="114">
        <v>15883</v>
      </c>
      <c r="E39" s="114">
        <f t="shared" si="11"/>
        <v>17</v>
      </c>
      <c r="F39" s="114">
        <v>14603</v>
      </c>
      <c r="G39" s="114">
        <f t="shared" si="12"/>
        <v>20</v>
      </c>
      <c r="H39" s="114">
        <v>15619</v>
      </c>
      <c r="I39" s="114">
        <f t="shared" si="13"/>
        <v>19</v>
      </c>
      <c r="J39" s="114">
        <v>11967</v>
      </c>
      <c r="K39" s="114">
        <f t="shared" si="14"/>
        <v>0</v>
      </c>
      <c r="L39" s="114">
        <v>15453</v>
      </c>
      <c r="M39" s="114">
        <f t="shared" si="15"/>
        <v>19</v>
      </c>
      <c r="N39" s="114">
        <v>15894</v>
      </c>
      <c r="O39" s="114">
        <f t="shared" si="16"/>
        <v>17</v>
      </c>
      <c r="P39" s="114">
        <v>15684</v>
      </c>
      <c r="Q39" s="114">
        <f t="shared" si="17"/>
        <v>18</v>
      </c>
      <c r="R39" s="114">
        <v>14875</v>
      </c>
      <c r="S39" s="114">
        <f t="shared" si="18"/>
        <v>19</v>
      </c>
      <c r="T39" s="114">
        <v>12613</v>
      </c>
      <c r="U39" s="114">
        <f t="shared" si="19"/>
        <v>21</v>
      </c>
    </row>
    <row r="40" spans="1:21" s="10" customFormat="1">
      <c r="A40" s="113">
        <v>44964</v>
      </c>
      <c r="B40" s="114">
        <v>9590</v>
      </c>
      <c r="C40" s="114">
        <f t="shared" si="10"/>
        <v>17</v>
      </c>
      <c r="D40" s="114">
        <v>15906</v>
      </c>
      <c r="E40" s="114">
        <f t="shared" si="11"/>
        <v>23</v>
      </c>
      <c r="F40" s="114">
        <v>14627</v>
      </c>
      <c r="G40" s="114">
        <f t="shared" si="12"/>
        <v>24</v>
      </c>
      <c r="H40" s="114">
        <v>15643</v>
      </c>
      <c r="I40" s="114">
        <f t="shared" si="13"/>
        <v>24</v>
      </c>
      <c r="J40" s="114">
        <v>11967</v>
      </c>
      <c r="K40" s="114">
        <f t="shared" si="14"/>
        <v>0</v>
      </c>
      <c r="L40" s="114">
        <v>15477</v>
      </c>
      <c r="M40" s="114">
        <f t="shared" si="15"/>
        <v>24</v>
      </c>
      <c r="N40" s="114">
        <v>15918</v>
      </c>
      <c r="O40" s="114">
        <f t="shared" si="16"/>
        <v>24</v>
      </c>
      <c r="P40" s="114">
        <v>15708</v>
      </c>
      <c r="Q40" s="114">
        <f t="shared" si="17"/>
        <v>24</v>
      </c>
      <c r="R40" s="114">
        <v>14899</v>
      </c>
      <c r="S40" s="114">
        <f t="shared" si="18"/>
        <v>24</v>
      </c>
      <c r="T40" s="114">
        <v>12637</v>
      </c>
      <c r="U40" s="114">
        <f t="shared" si="19"/>
        <v>24</v>
      </c>
    </row>
    <row r="41" spans="1:21" s="10" customFormat="1">
      <c r="A41" s="113">
        <v>44965</v>
      </c>
      <c r="B41" s="114">
        <v>9612</v>
      </c>
      <c r="C41" s="114">
        <f t="shared" si="10"/>
        <v>22</v>
      </c>
      <c r="D41" s="114">
        <v>15930</v>
      </c>
      <c r="E41" s="114">
        <f t="shared" si="11"/>
        <v>24</v>
      </c>
      <c r="F41" s="114">
        <v>14651</v>
      </c>
      <c r="G41" s="114">
        <f t="shared" si="12"/>
        <v>24</v>
      </c>
      <c r="H41" s="114">
        <v>15667</v>
      </c>
      <c r="I41" s="114">
        <f t="shared" si="13"/>
        <v>24</v>
      </c>
      <c r="J41" s="114">
        <v>11967</v>
      </c>
      <c r="K41" s="114">
        <f t="shared" si="14"/>
        <v>0</v>
      </c>
      <c r="L41" s="114">
        <v>15496</v>
      </c>
      <c r="M41" s="114">
        <f t="shared" si="15"/>
        <v>19</v>
      </c>
      <c r="N41" s="114">
        <v>15942</v>
      </c>
      <c r="O41" s="114">
        <f t="shared" si="16"/>
        <v>24</v>
      </c>
      <c r="P41" s="114">
        <v>15732</v>
      </c>
      <c r="Q41" s="114">
        <f t="shared" si="17"/>
        <v>24</v>
      </c>
      <c r="R41" s="114">
        <v>14923</v>
      </c>
      <c r="S41" s="114">
        <f t="shared" si="18"/>
        <v>24</v>
      </c>
      <c r="T41" s="114">
        <v>12661</v>
      </c>
      <c r="U41" s="114">
        <f t="shared" si="19"/>
        <v>24</v>
      </c>
    </row>
    <row r="42" spans="1:21" s="10" customFormat="1">
      <c r="A42" s="113">
        <v>44966</v>
      </c>
      <c r="B42" s="114">
        <v>9636</v>
      </c>
      <c r="C42" s="114">
        <f t="shared" si="10"/>
        <v>24</v>
      </c>
      <c r="D42" s="114">
        <v>15954</v>
      </c>
      <c r="E42" s="114">
        <f t="shared" si="11"/>
        <v>24</v>
      </c>
      <c r="F42" s="114">
        <v>14675</v>
      </c>
      <c r="G42" s="114">
        <f t="shared" si="12"/>
        <v>24</v>
      </c>
      <c r="H42" s="114">
        <v>15691</v>
      </c>
      <c r="I42" s="114">
        <f t="shared" si="13"/>
        <v>24</v>
      </c>
      <c r="J42" s="114">
        <v>11967</v>
      </c>
      <c r="K42" s="114">
        <f t="shared" si="14"/>
        <v>0</v>
      </c>
      <c r="L42" s="114">
        <v>15520</v>
      </c>
      <c r="M42" s="114">
        <f t="shared" si="15"/>
        <v>24</v>
      </c>
      <c r="N42" s="114">
        <v>15966</v>
      </c>
      <c r="O42" s="114">
        <f t="shared" si="16"/>
        <v>24</v>
      </c>
      <c r="P42" s="114">
        <v>15751</v>
      </c>
      <c r="Q42" s="114">
        <f t="shared" si="17"/>
        <v>19</v>
      </c>
      <c r="R42" s="114">
        <v>14947</v>
      </c>
      <c r="S42" s="114">
        <f t="shared" si="18"/>
        <v>24</v>
      </c>
      <c r="T42" s="114">
        <v>12685</v>
      </c>
      <c r="U42" s="114">
        <f t="shared" si="19"/>
        <v>24</v>
      </c>
    </row>
    <row r="43" spans="1:21" s="10" customFormat="1">
      <c r="A43" s="113">
        <v>44967</v>
      </c>
      <c r="B43" s="114">
        <v>9658</v>
      </c>
      <c r="C43" s="114">
        <f t="shared" si="10"/>
        <v>22</v>
      </c>
      <c r="D43" s="114">
        <v>15978</v>
      </c>
      <c r="E43" s="114">
        <f t="shared" si="11"/>
        <v>24</v>
      </c>
      <c r="F43" s="114">
        <v>14699</v>
      </c>
      <c r="G43" s="114">
        <f t="shared" si="12"/>
        <v>24</v>
      </c>
      <c r="H43" s="114">
        <v>15715</v>
      </c>
      <c r="I43" s="114">
        <f t="shared" si="13"/>
        <v>24</v>
      </c>
      <c r="J43" s="114">
        <v>11967</v>
      </c>
      <c r="K43" s="114">
        <f t="shared" si="14"/>
        <v>0</v>
      </c>
      <c r="L43" s="114">
        <v>15544</v>
      </c>
      <c r="M43" s="114">
        <f t="shared" si="15"/>
        <v>24</v>
      </c>
      <c r="N43" s="114">
        <v>15988</v>
      </c>
      <c r="O43" s="114">
        <f t="shared" si="16"/>
        <v>22</v>
      </c>
      <c r="P43" s="114">
        <v>15775</v>
      </c>
      <c r="Q43" s="114">
        <f t="shared" si="17"/>
        <v>24</v>
      </c>
      <c r="R43" s="114">
        <v>14971</v>
      </c>
      <c r="S43" s="114">
        <f t="shared" si="18"/>
        <v>24</v>
      </c>
      <c r="T43" s="114">
        <v>12709</v>
      </c>
      <c r="U43" s="114">
        <f t="shared" si="19"/>
        <v>24</v>
      </c>
    </row>
    <row r="44" spans="1:21" s="10" customFormat="1">
      <c r="A44" s="113">
        <v>44968</v>
      </c>
      <c r="B44" s="114">
        <v>9682</v>
      </c>
      <c r="C44" s="114">
        <f t="shared" si="10"/>
        <v>24</v>
      </c>
      <c r="D44" s="114">
        <v>16002</v>
      </c>
      <c r="E44" s="114">
        <f t="shared" si="11"/>
        <v>24</v>
      </c>
      <c r="F44" s="114">
        <v>14723</v>
      </c>
      <c r="G44" s="114">
        <f t="shared" si="12"/>
        <v>24</v>
      </c>
      <c r="H44" s="114">
        <v>15739</v>
      </c>
      <c r="I44" s="114">
        <f>IF(H44&gt;H43,H44-H43,0)</f>
        <v>24</v>
      </c>
      <c r="J44" s="114">
        <v>11967</v>
      </c>
      <c r="K44" s="114">
        <f t="shared" si="14"/>
        <v>0</v>
      </c>
      <c r="L44" s="114">
        <v>15568</v>
      </c>
      <c r="M44" s="114">
        <f t="shared" si="15"/>
        <v>24</v>
      </c>
      <c r="N44" s="114">
        <v>16012</v>
      </c>
      <c r="O44" s="114">
        <f t="shared" si="16"/>
        <v>24</v>
      </c>
      <c r="P44" s="114">
        <v>15799</v>
      </c>
      <c r="Q44" s="114">
        <f t="shared" si="17"/>
        <v>24</v>
      </c>
      <c r="R44" s="114">
        <v>14989</v>
      </c>
      <c r="S44" s="114">
        <f t="shared" si="18"/>
        <v>18</v>
      </c>
      <c r="T44" s="114">
        <v>12733</v>
      </c>
      <c r="U44" s="114">
        <f t="shared" si="19"/>
        <v>24</v>
      </c>
    </row>
    <row r="45" spans="1:21" s="10" customFormat="1">
      <c r="A45" s="113">
        <v>44969</v>
      </c>
      <c r="B45" s="114">
        <v>9706</v>
      </c>
      <c r="C45" s="114">
        <f t="shared" si="10"/>
        <v>24</v>
      </c>
      <c r="D45" s="114">
        <v>16026</v>
      </c>
      <c r="E45" s="114">
        <f t="shared" si="11"/>
        <v>24</v>
      </c>
      <c r="F45" s="114">
        <v>14741</v>
      </c>
      <c r="G45" s="114">
        <f t="shared" si="12"/>
        <v>18</v>
      </c>
      <c r="H45" s="114">
        <v>15763</v>
      </c>
      <c r="I45" s="114">
        <f t="shared" si="13"/>
        <v>24</v>
      </c>
      <c r="J45" s="114">
        <v>11967</v>
      </c>
      <c r="K45" s="114">
        <f t="shared" si="14"/>
        <v>0</v>
      </c>
      <c r="L45" s="114">
        <v>15592</v>
      </c>
      <c r="M45" s="114">
        <f t="shared" si="15"/>
        <v>24</v>
      </c>
      <c r="N45" s="114">
        <v>16036</v>
      </c>
      <c r="O45" s="114">
        <f t="shared" si="16"/>
        <v>24</v>
      </c>
      <c r="P45" s="114">
        <v>15823</v>
      </c>
      <c r="Q45" s="114">
        <f t="shared" si="17"/>
        <v>24</v>
      </c>
      <c r="R45" s="114">
        <v>15013</v>
      </c>
      <c r="S45" s="114">
        <f t="shared" si="18"/>
        <v>24</v>
      </c>
      <c r="T45" s="114">
        <v>12757</v>
      </c>
      <c r="U45" s="114">
        <f t="shared" si="19"/>
        <v>24</v>
      </c>
    </row>
    <row r="46" spans="1:21" s="10" customFormat="1">
      <c r="A46" s="113">
        <v>44970</v>
      </c>
      <c r="B46" s="114">
        <v>9730</v>
      </c>
      <c r="C46" s="114">
        <f t="shared" si="10"/>
        <v>24</v>
      </c>
      <c r="D46" s="114">
        <v>16050</v>
      </c>
      <c r="E46" s="114">
        <f t="shared" si="11"/>
        <v>24</v>
      </c>
      <c r="F46" s="114">
        <v>14765</v>
      </c>
      <c r="G46" s="114">
        <f t="shared" si="12"/>
        <v>24</v>
      </c>
      <c r="H46" s="114">
        <v>15783</v>
      </c>
      <c r="I46" s="114">
        <f t="shared" si="13"/>
        <v>20</v>
      </c>
      <c r="J46" s="114">
        <v>11967</v>
      </c>
      <c r="K46" s="114">
        <f t="shared" si="14"/>
        <v>0</v>
      </c>
      <c r="L46" s="114">
        <v>15616</v>
      </c>
      <c r="M46" s="114">
        <f t="shared" si="15"/>
        <v>24</v>
      </c>
      <c r="N46" s="114">
        <v>16060</v>
      </c>
      <c r="O46" s="114">
        <f t="shared" si="16"/>
        <v>24</v>
      </c>
      <c r="P46" s="114">
        <v>15847</v>
      </c>
      <c r="Q46" s="114">
        <f t="shared" si="17"/>
        <v>24</v>
      </c>
      <c r="R46" s="114">
        <v>15037</v>
      </c>
      <c r="S46" s="114">
        <f t="shared" si="18"/>
        <v>24</v>
      </c>
      <c r="T46" s="114">
        <v>12781</v>
      </c>
      <c r="U46" s="114">
        <f t="shared" si="19"/>
        <v>24</v>
      </c>
    </row>
    <row r="47" spans="1:21" s="10" customFormat="1">
      <c r="A47" s="113">
        <v>44971</v>
      </c>
      <c r="B47" s="114">
        <v>9749</v>
      </c>
      <c r="C47" s="114">
        <f t="shared" si="10"/>
        <v>19</v>
      </c>
      <c r="D47" s="114">
        <v>16074</v>
      </c>
      <c r="E47" s="114">
        <f t="shared" si="11"/>
        <v>24</v>
      </c>
      <c r="F47" s="114">
        <v>14789</v>
      </c>
      <c r="G47" s="114">
        <f t="shared" si="12"/>
        <v>24</v>
      </c>
      <c r="H47" s="114">
        <v>15802</v>
      </c>
      <c r="I47" s="114">
        <f t="shared" si="13"/>
        <v>19</v>
      </c>
      <c r="J47" s="114">
        <v>11967</v>
      </c>
      <c r="K47" s="114">
        <f t="shared" si="14"/>
        <v>0</v>
      </c>
      <c r="L47" s="114">
        <v>15640</v>
      </c>
      <c r="M47" s="114">
        <f t="shared" si="15"/>
        <v>24</v>
      </c>
      <c r="N47" s="114">
        <v>16084</v>
      </c>
      <c r="O47" s="114">
        <f t="shared" si="16"/>
        <v>24</v>
      </c>
      <c r="P47" s="114">
        <v>15871</v>
      </c>
      <c r="Q47" s="114">
        <f t="shared" si="17"/>
        <v>24</v>
      </c>
      <c r="R47" s="114">
        <v>15061</v>
      </c>
      <c r="S47" s="114">
        <f t="shared" si="18"/>
        <v>24</v>
      </c>
      <c r="T47" s="114">
        <v>12805</v>
      </c>
      <c r="U47" s="114">
        <f t="shared" si="19"/>
        <v>24</v>
      </c>
    </row>
    <row r="48" spans="1:21" s="10" customFormat="1">
      <c r="A48" s="113">
        <v>44972</v>
      </c>
      <c r="B48" s="114">
        <v>9773</v>
      </c>
      <c r="C48" s="114">
        <f t="shared" si="10"/>
        <v>24</v>
      </c>
      <c r="D48" s="114">
        <v>16093</v>
      </c>
      <c r="E48" s="114">
        <f t="shared" si="11"/>
        <v>19</v>
      </c>
      <c r="F48" s="114">
        <v>14813</v>
      </c>
      <c r="G48" s="114">
        <f t="shared" si="12"/>
        <v>24</v>
      </c>
      <c r="H48" s="114">
        <v>15826</v>
      </c>
      <c r="I48" s="114">
        <f t="shared" si="13"/>
        <v>24</v>
      </c>
      <c r="J48" s="114">
        <v>11967</v>
      </c>
      <c r="K48" s="114">
        <f t="shared" si="14"/>
        <v>0</v>
      </c>
      <c r="L48" s="114">
        <v>15663</v>
      </c>
      <c r="M48" s="114">
        <f t="shared" si="15"/>
        <v>23</v>
      </c>
      <c r="N48" s="114">
        <v>16108</v>
      </c>
      <c r="O48" s="114">
        <f t="shared" si="16"/>
        <v>24</v>
      </c>
      <c r="P48" s="114">
        <v>15895</v>
      </c>
      <c r="Q48" s="114">
        <f t="shared" si="17"/>
        <v>24</v>
      </c>
      <c r="R48" s="114">
        <v>15085</v>
      </c>
      <c r="S48" s="114">
        <f t="shared" si="18"/>
        <v>24</v>
      </c>
      <c r="T48" s="114">
        <v>12825</v>
      </c>
      <c r="U48" s="114">
        <f t="shared" si="19"/>
        <v>20</v>
      </c>
    </row>
    <row r="49" spans="1:21" s="10" customFormat="1">
      <c r="A49" s="113">
        <v>44973</v>
      </c>
      <c r="B49" s="114">
        <v>9797</v>
      </c>
      <c r="C49" s="114">
        <f t="shared" si="10"/>
        <v>24</v>
      </c>
      <c r="D49" s="114">
        <v>16093</v>
      </c>
      <c r="E49" s="114">
        <f t="shared" si="11"/>
        <v>0</v>
      </c>
      <c r="F49" s="114">
        <v>14837</v>
      </c>
      <c r="G49" s="114">
        <f t="shared" si="12"/>
        <v>24</v>
      </c>
      <c r="H49" s="114">
        <v>15850</v>
      </c>
      <c r="I49" s="114">
        <f t="shared" si="13"/>
        <v>24</v>
      </c>
      <c r="J49" s="114">
        <v>11967</v>
      </c>
      <c r="K49" s="114">
        <f t="shared" si="14"/>
        <v>0</v>
      </c>
      <c r="L49" s="114">
        <v>15687</v>
      </c>
      <c r="M49" s="114">
        <f t="shared" si="15"/>
        <v>24</v>
      </c>
      <c r="N49" s="114">
        <v>16129</v>
      </c>
      <c r="O49" s="114">
        <f t="shared" si="16"/>
        <v>21</v>
      </c>
      <c r="P49" s="114">
        <v>15919</v>
      </c>
      <c r="Q49" s="114">
        <f t="shared" si="17"/>
        <v>24</v>
      </c>
      <c r="R49" s="114">
        <v>15109</v>
      </c>
      <c r="S49" s="114">
        <f t="shared" si="18"/>
        <v>24</v>
      </c>
      <c r="T49" s="114">
        <v>12849</v>
      </c>
      <c r="U49" s="114">
        <f t="shared" si="19"/>
        <v>24</v>
      </c>
    </row>
    <row r="50" spans="1:21" s="10" customFormat="1">
      <c r="A50" s="113">
        <v>44974</v>
      </c>
      <c r="B50" s="114">
        <v>9797</v>
      </c>
      <c r="C50" s="114">
        <f t="shared" si="10"/>
        <v>0</v>
      </c>
      <c r="D50" s="114">
        <v>16117</v>
      </c>
      <c r="E50" s="114">
        <f t="shared" si="11"/>
        <v>24</v>
      </c>
      <c r="F50" s="114">
        <v>14861</v>
      </c>
      <c r="G50" s="114">
        <f t="shared" si="12"/>
        <v>24</v>
      </c>
      <c r="H50" s="114">
        <v>15874</v>
      </c>
      <c r="I50" s="114">
        <f t="shared" si="13"/>
        <v>24</v>
      </c>
      <c r="J50" s="114">
        <v>11967</v>
      </c>
      <c r="K50" s="114">
        <f t="shared" si="14"/>
        <v>0</v>
      </c>
      <c r="L50" s="114">
        <v>15711</v>
      </c>
      <c r="M50" s="114">
        <f t="shared" si="15"/>
        <v>24</v>
      </c>
      <c r="N50" s="114">
        <v>16152</v>
      </c>
      <c r="O50" s="114">
        <f t="shared" si="16"/>
        <v>23</v>
      </c>
      <c r="P50" s="114">
        <v>15943</v>
      </c>
      <c r="Q50" s="114">
        <f t="shared" si="17"/>
        <v>24</v>
      </c>
      <c r="R50" s="114">
        <v>15130</v>
      </c>
      <c r="S50" s="114">
        <f t="shared" si="18"/>
        <v>21</v>
      </c>
      <c r="T50" s="114">
        <v>12873</v>
      </c>
      <c r="U50" s="114">
        <f t="shared" si="19"/>
        <v>24</v>
      </c>
    </row>
    <row r="51" spans="1:21" s="10" customFormat="1">
      <c r="A51" s="113">
        <v>44975</v>
      </c>
      <c r="B51" s="114">
        <v>9821</v>
      </c>
      <c r="C51" s="114">
        <f t="shared" si="10"/>
        <v>24</v>
      </c>
      <c r="D51" s="114">
        <v>16140</v>
      </c>
      <c r="E51" s="114">
        <f t="shared" si="11"/>
        <v>23</v>
      </c>
      <c r="F51" s="114">
        <v>14885</v>
      </c>
      <c r="G51" s="114">
        <f t="shared" si="12"/>
        <v>24</v>
      </c>
      <c r="H51" s="114">
        <v>15898</v>
      </c>
      <c r="I51" s="114">
        <f t="shared" si="13"/>
        <v>24</v>
      </c>
      <c r="J51" s="114">
        <v>11967</v>
      </c>
      <c r="K51" s="114">
        <f t="shared" si="14"/>
        <v>0</v>
      </c>
      <c r="L51" s="114">
        <v>15732</v>
      </c>
      <c r="M51" s="114">
        <f t="shared" si="15"/>
        <v>21</v>
      </c>
      <c r="N51" s="114">
        <v>16172</v>
      </c>
      <c r="O51" s="114">
        <f t="shared" si="16"/>
        <v>20</v>
      </c>
      <c r="P51" s="114">
        <v>15967</v>
      </c>
      <c r="Q51" s="114">
        <f t="shared" si="17"/>
        <v>24</v>
      </c>
      <c r="R51" s="114">
        <v>15154</v>
      </c>
      <c r="S51" s="114">
        <f t="shared" si="18"/>
        <v>24</v>
      </c>
      <c r="T51" s="114">
        <v>12897</v>
      </c>
      <c r="U51" s="114">
        <f t="shared" si="19"/>
        <v>24</v>
      </c>
    </row>
    <row r="52" spans="1:21" s="10" customFormat="1">
      <c r="A52" s="113">
        <v>44976</v>
      </c>
      <c r="B52" s="114">
        <v>9845</v>
      </c>
      <c r="C52" s="114">
        <f t="shared" si="10"/>
        <v>24</v>
      </c>
      <c r="D52" s="114">
        <v>16164</v>
      </c>
      <c r="E52" s="114">
        <f t="shared" si="11"/>
        <v>24</v>
      </c>
      <c r="F52" s="114">
        <v>14909</v>
      </c>
      <c r="G52" s="114">
        <f t="shared" si="12"/>
        <v>24</v>
      </c>
      <c r="H52" s="114">
        <v>15922</v>
      </c>
      <c r="I52" s="114">
        <f t="shared" si="13"/>
        <v>24</v>
      </c>
      <c r="J52" s="114">
        <v>11967</v>
      </c>
      <c r="K52" s="114">
        <f t="shared" si="14"/>
        <v>0</v>
      </c>
      <c r="L52" s="114">
        <v>15753</v>
      </c>
      <c r="M52" s="114">
        <f t="shared" si="15"/>
        <v>21</v>
      </c>
      <c r="N52" s="114">
        <v>16196</v>
      </c>
      <c r="O52" s="114">
        <f t="shared" si="16"/>
        <v>24</v>
      </c>
      <c r="P52" s="114">
        <v>15989</v>
      </c>
      <c r="Q52" s="114">
        <f t="shared" si="17"/>
        <v>22</v>
      </c>
      <c r="R52" s="114">
        <v>15178</v>
      </c>
      <c r="S52" s="114">
        <f t="shared" si="18"/>
        <v>24</v>
      </c>
      <c r="T52" s="114">
        <v>12921</v>
      </c>
      <c r="U52" s="114">
        <f t="shared" si="19"/>
        <v>24</v>
      </c>
    </row>
    <row r="53" spans="1:21" s="10" customFormat="1">
      <c r="A53" s="113">
        <v>44977</v>
      </c>
      <c r="B53" s="114">
        <v>9869</v>
      </c>
      <c r="C53" s="114">
        <f t="shared" si="10"/>
        <v>24</v>
      </c>
      <c r="D53" s="114">
        <v>16188</v>
      </c>
      <c r="E53" s="114">
        <f t="shared" si="11"/>
        <v>24</v>
      </c>
      <c r="F53" s="114">
        <v>14933</v>
      </c>
      <c r="G53" s="114">
        <f t="shared" si="12"/>
        <v>24</v>
      </c>
      <c r="H53" s="114">
        <v>15946</v>
      </c>
      <c r="I53" s="114">
        <f t="shared" si="13"/>
        <v>24</v>
      </c>
      <c r="J53" s="114">
        <v>11967</v>
      </c>
      <c r="K53" s="114">
        <f t="shared" si="14"/>
        <v>0</v>
      </c>
      <c r="L53" s="114">
        <v>15777</v>
      </c>
      <c r="M53" s="114">
        <f t="shared" si="15"/>
        <v>24</v>
      </c>
      <c r="N53" s="114">
        <v>16220</v>
      </c>
      <c r="O53" s="114">
        <f t="shared" si="16"/>
        <v>24</v>
      </c>
      <c r="P53" s="114">
        <v>16008</v>
      </c>
      <c r="Q53" s="114">
        <f t="shared" si="17"/>
        <v>19</v>
      </c>
      <c r="R53" s="114">
        <v>15178</v>
      </c>
      <c r="S53" s="114">
        <f t="shared" si="18"/>
        <v>0</v>
      </c>
      <c r="T53" s="114">
        <v>12945</v>
      </c>
      <c r="U53" s="114">
        <f t="shared" si="19"/>
        <v>24</v>
      </c>
    </row>
    <row r="54" spans="1:21" s="10" customFormat="1">
      <c r="A54" s="113">
        <v>44978</v>
      </c>
      <c r="B54" s="114">
        <v>9893</v>
      </c>
      <c r="C54" s="114">
        <f t="shared" si="10"/>
        <v>24</v>
      </c>
      <c r="D54" s="114">
        <v>16212</v>
      </c>
      <c r="E54" s="114">
        <f t="shared" si="11"/>
        <v>24</v>
      </c>
      <c r="F54" s="114">
        <v>14957</v>
      </c>
      <c r="G54" s="114">
        <f t="shared" si="12"/>
        <v>24</v>
      </c>
      <c r="H54" s="114">
        <v>15970</v>
      </c>
      <c r="I54" s="114">
        <f t="shared" si="13"/>
        <v>24</v>
      </c>
      <c r="J54" s="114">
        <v>11967</v>
      </c>
      <c r="K54" s="114">
        <f t="shared" si="14"/>
        <v>0</v>
      </c>
      <c r="L54" s="114">
        <v>15801</v>
      </c>
      <c r="M54" s="114">
        <f t="shared" si="15"/>
        <v>24</v>
      </c>
      <c r="N54" s="114">
        <v>16232</v>
      </c>
      <c r="O54" s="114">
        <f t="shared" si="16"/>
        <v>12</v>
      </c>
      <c r="P54" s="114">
        <v>16028</v>
      </c>
      <c r="Q54" s="114">
        <f t="shared" si="17"/>
        <v>20</v>
      </c>
      <c r="R54" s="114">
        <v>15190</v>
      </c>
      <c r="S54" s="114">
        <f t="shared" si="18"/>
        <v>12</v>
      </c>
      <c r="T54" s="114">
        <v>12969</v>
      </c>
      <c r="U54" s="114">
        <f t="shared" si="19"/>
        <v>24</v>
      </c>
    </row>
    <row r="55" spans="1:21" s="10" customFormat="1">
      <c r="A55" s="113">
        <v>44979</v>
      </c>
      <c r="B55" s="114">
        <v>9917</v>
      </c>
      <c r="C55" s="114">
        <f t="shared" si="10"/>
        <v>24</v>
      </c>
      <c r="D55" s="114">
        <v>16236</v>
      </c>
      <c r="E55" s="114">
        <f t="shared" si="11"/>
        <v>24</v>
      </c>
      <c r="F55" s="114">
        <v>14980</v>
      </c>
      <c r="G55" s="114">
        <f t="shared" si="12"/>
        <v>23</v>
      </c>
      <c r="H55" s="114">
        <v>15994</v>
      </c>
      <c r="I55" s="114">
        <f t="shared" si="13"/>
        <v>24</v>
      </c>
      <c r="J55" s="114">
        <v>11967</v>
      </c>
      <c r="K55" s="114">
        <f t="shared" si="14"/>
        <v>0</v>
      </c>
      <c r="L55" s="114">
        <v>15825</v>
      </c>
      <c r="M55" s="114">
        <f t="shared" si="15"/>
        <v>24</v>
      </c>
      <c r="N55" s="114">
        <v>16244</v>
      </c>
      <c r="O55" s="114">
        <f t="shared" si="16"/>
        <v>12</v>
      </c>
      <c r="P55" s="114">
        <v>16050</v>
      </c>
      <c r="Q55" s="114">
        <f t="shared" si="17"/>
        <v>22</v>
      </c>
      <c r="R55" s="114">
        <v>15214</v>
      </c>
      <c r="S55" s="114">
        <f t="shared" si="18"/>
        <v>24</v>
      </c>
      <c r="T55" s="114">
        <v>12993</v>
      </c>
      <c r="U55" s="114">
        <f t="shared" si="19"/>
        <v>24</v>
      </c>
    </row>
    <row r="56" spans="1:21" s="10" customFormat="1">
      <c r="A56" s="113">
        <v>44980</v>
      </c>
      <c r="B56" s="114">
        <v>9941</v>
      </c>
      <c r="C56" s="114">
        <f t="shared" si="10"/>
        <v>24</v>
      </c>
      <c r="D56" s="114">
        <v>16260</v>
      </c>
      <c r="E56" s="114">
        <f t="shared" si="11"/>
        <v>24</v>
      </c>
      <c r="F56" s="114">
        <v>15000</v>
      </c>
      <c r="G56" s="114">
        <f t="shared" si="12"/>
        <v>20</v>
      </c>
      <c r="H56" s="114">
        <v>16018</v>
      </c>
      <c r="I56" s="114">
        <f t="shared" si="13"/>
        <v>24</v>
      </c>
      <c r="J56" s="114">
        <v>11967</v>
      </c>
      <c r="K56" s="114">
        <f t="shared" si="14"/>
        <v>0</v>
      </c>
      <c r="L56" s="114">
        <v>15849</v>
      </c>
      <c r="M56" s="114">
        <f t="shared" si="15"/>
        <v>24</v>
      </c>
      <c r="N56" s="114">
        <v>16268</v>
      </c>
      <c r="O56" s="114">
        <f t="shared" si="16"/>
        <v>24</v>
      </c>
      <c r="P56" s="114">
        <v>16070</v>
      </c>
      <c r="Q56" s="114">
        <f t="shared" si="17"/>
        <v>20</v>
      </c>
      <c r="R56" s="114">
        <v>15238</v>
      </c>
      <c r="S56" s="114">
        <f t="shared" si="18"/>
        <v>24</v>
      </c>
      <c r="T56" s="114">
        <v>13017</v>
      </c>
      <c r="U56" s="114">
        <f t="shared" si="19"/>
        <v>24</v>
      </c>
    </row>
    <row r="57" spans="1:21" s="10" customFormat="1">
      <c r="A57" s="113">
        <v>44981</v>
      </c>
      <c r="B57" s="114">
        <v>9965</v>
      </c>
      <c r="C57" s="114">
        <f t="shared" si="10"/>
        <v>24</v>
      </c>
      <c r="D57" s="114">
        <v>16284</v>
      </c>
      <c r="E57" s="114">
        <f t="shared" si="11"/>
        <v>24</v>
      </c>
      <c r="F57" s="114">
        <v>15020</v>
      </c>
      <c r="G57" s="114">
        <f t="shared" si="12"/>
        <v>20</v>
      </c>
      <c r="H57" s="114">
        <v>16040</v>
      </c>
      <c r="I57" s="114">
        <f t="shared" si="13"/>
        <v>22</v>
      </c>
      <c r="J57" s="114">
        <v>11967</v>
      </c>
      <c r="K57" s="114">
        <f t="shared" si="14"/>
        <v>0</v>
      </c>
      <c r="L57" s="114">
        <v>15872</v>
      </c>
      <c r="M57" s="114">
        <f t="shared" si="15"/>
        <v>23</v>
      </c>
      <c r="N57" s="114">
        <v>16292</v>
      </c>
      <c r="O57" s="114">
        <f t="shared" si="16"/>
        <v>24</v>
      </c>
      <c r="P57" s="114">
        <v>16087</v>
      </c>
      <c r="Q57" s="114">
        <f t="shared" si="17"/>
        <v>17</v>
      </c>
      <c r="R57" s="114">
        <v>15261</v>
      </c>
      <c r="S57" s="114">
        <f t="shared" si="18"/>
        <v>23</v>
      </c>
      <c r="T57" s="114">
        <v>13041</v>
      </c>
      <c r="U57" s="114">
        <f t="shared" si="19"/>
        <v>24</v>
      </c>
    </row>
    <row r="58" spans="1:21" s="10" customFormat="1">
      <c r="A58" s="113">
        <v>44982</v>
      </c>
      <c r="B58" s="114">
        <v>9989</v>
      </c>
      <c r="C58" s="114">
        <f t="shared" si="10"/>
        <v>24</v>
      </c>
      <c r="D58" s="114">
        <v>16308</v>
      </c>
      <c r="E58" s="114">
        <f t="shared" si="11"/>
        <v>24</v>
      </c>
      <c r="F58" s="114">
        <v>15044</v>
      </c>
      <c r="G58" s="114">
        <f t="shared" si="12"/>
        <v>24</v>
      </c>
      <c r="H58" s="114">
        <v>16061</v>
      </c>
      <c r="I58" s="114">
        <f t="shared" si="13"/>
        <v>21</v>
      </c>
      <c r="J58" s="114">
        <v>11967</v>
      </c>
      <c r="K58" s="114">
        <f t="shared" si="14"/>
        <v>0</v>
      </c>
      <c r="L58" s="114">
        <v>15872</v>
      </c>
      <c r="M58" s="114">
        <f t="shared" si="15"/>
        <v>0</v>
      </c>
      <c r="N58" s="114">
        <v>16316</v>
      </c>
      <c r="O58" s="114">
        <f t="shared" si="16"/>
        <v>24</v>
      </c>
      <c r="P58" s="114">
        <v>16109</v>
      </c>
      <c r="Q58" s="114">
        <f t="shared" si="17"/>
        <v>22</v>
      </c>
      <c r="R58" s="114">
        <v>15285</v>
      </c>
      <c r="S58" s="114">
        <f t="shared" si="18"/>
        <v>24</v>
      </c>
      <c r="T58" s="114">
        <v>13065</v>
      </c>
      <c r="U58" s="114">
        <f t="shared" si="19"/>
        <v>24</v>
      </c>
    </row>
    <row r="59" spans="1:21" s="10" customFormat="1">
      <c r="A59" s="113">
        <v>44983</v>
      </c>
      <c r="B59" s="114">
        <v>10012</v>
      </c>
      <c r="C59" s="114">
        <f t="shared" si="10"/>
        <v>23</v>
      </c>
      <c r="D59" s="114">
        <v>16326</v>
      </c>
      <c r="E59" s="114">
        <f t="shared" si="11"/>
        <v>18</v>
      </c>
      <c r="F59" s="114">
        <v>15066</v>
      </c>
      <c r="G59" s="114">
        <f t="shared" si="12"/>
        <v>22</v>
      </c>
      <c r="H59" s="114">
        <v>16083</v>
      </c>
      <c r="I59" s="114">
        <f t="shared" si="13"/>
        <v>22</v>
      </c>
      <c r="J59" s="114">
        <v>11967</v>
      </c>
      <c r="K59" s="114">
        <f t="shared" si="14"/>
        <v>0</v>
      </c>
      <c r="L59" s="114">
        <v>15872</v>
      </c>
      <c r="M59" s="114">
        <f t="shared" si="15"/>
        <v>0</v>
      </c>
      <c r="N59" s="114">
        <v>16335</v>
      </c>
      <c r="O59" s="114">
        <f t="shared" si="16"/>
        <v>19</v>
      </c>
      <c r="P59" s="114">
        <v>16131</v>
      </c>
      <c r="Q59" s="114">
        <f t="shared" si="17"/>
        <v>22</v>
      </c>
      <c r="R59" s="114">
        <v>15309</v>
      </c>
      <c r="S59" s="114">
        <f t="shared" si="18"/>
        <v>24</v>
      </c>
      <c r="T59" s="114">
        <v>13084</v>
      </c>
      <c r="U59" s="114">
        <f t="shared" si="19"/>
        <v>19</v>
      </c>
    </row>
    <row r="60" spans="1:21" s="10" customFormat="1">
      <c r="A60" s="113">
        <v>44984</v>
      </c>
      <c r="B60" s="114">
        <v>10031</v>
      </c>
      <c r="C60" s="114">
        <f t="shared" si="10"/>
        <v>19</v>
      </c>
      <c r="D60" s="114">
        <v>16350</v>
      </c>
      <c r="E60" s="114">
        <f t="shared" si="11"/>
        <v>24</v>
      </c>
      <c r="F60" s="114">
        <v>15090</v>
      </c>
      <c r="G60" s="114">
        <f t="shared" si="12"/>
        <v>24</v>
      </c>
      <c r="H60" s="114">
        <v>16107</v>
      </c>
      <c r="I60" s="114">
        <f t="shared" si="13"/>
        <v>24</v>
      </c>
      <c r="J60" s="114">
        <v>11967</v>
      </c>
      <c r="K60" s="114">
        <f t="shared" si="14"/>
        <v>0</v>
      </c>
      <c r="L60" s="114">
        <v>15872</v>
      </c>
      <c r="M60" s="114">
        <f t="shared" si="15"/>
        <v>0</v>
      </c>
      <c r="N60" s="114">
        <v>16358</v>
      </c>
      <c r="O60" s="114">
        <f t="shared" si="16"/>
        <v>23</v>
      </c>
      <c r="P60" s="114">
        <v>16155</v>
      </c>
      <c r="Q60" s="114">
        <f t="shared" si="17"/>
        <v>24</v>
      </c>
      <c r="R60" s="114">
        <v>15333</v>
      </c>
      <c r="S60" s="114">
        <f t="shared" si="18"/>
        <v>24</v>
      </c>
      <c r="T60" s="114">
        <v>13108</v>
      </c>
      <c r="U60" s="114">
        <f t="shared" si="19"/>
        <v>24</v>
      </c>
    </row>
    <row r="61" spans="1:21" s="10" customFormat="1">
      <c r="A61" s="113">
        <v>44985</v>
      </c>
      <c r="B61" s="114">
        <v>10055</v>
      </c>
      <c r="C61" s="114">
        <f t="shared" si="10"/>
        <v>24</v>
      </c>
      <c r="D61" s="114">
        <v>16371</v>
      </c>
      <c r="E61" s="114">
        <f t="shared" si="11"/>
        <v>21</v>
      </c>
      <c r="F61" s="114">
        <v>15114</v>
      </c>
      <c r="G61" s="114">
        <f t="shared" si="12"/>
        <v>24</v>
      </c>
      <c r="H61" s="114">
        <v>16131</v>
      </c>
      <c r="I61" s="114">
        <f t="shared" si="13"/>
        <v>24</v>
      </c>
      <c r="J61" s="114">
        <v>11967</v>
      </c>
      <c r="K61" s="114">
        <f t="shared" si="14"/>
        <v>0</v>
      </c>
      <c r="L61" s="114">
        <v>15897</v>
      </c>
      <c r="M61" s="114">
        <f t="shared" si="15"/>
        <v>25</v>
      </c>
      <c r="N61" s="114">
        <v>16381</v>
      </c>
      <c r="O61" s="114">
        <f t="shared" si="16"/>
        <v>23</v>
      </c>
      <c r="P61" s="114">
        <v>16155</v>
      </c>
      <c r="Q61" s="114">
        <f t="shared" si="17"/>
        <v>0</v>
      </c>
      <c r="R61" s="114">
        <v>15357</v>
      </c>
      <c r="S61" s="114">
        <f t="shared" si="18"/>
        <v>24</v>
      </c>
      <c r="T61" s="114">
        <v>13132</v>
      </c>
      <c r="U61" s="114">
        <f t="shared" si="19"/>
        <v>24</v>
      </c>
    </row>
    <row r="62" spans="1:21" s="10" customFormat="1">
      <c r="A62" s="113">
        <v>44986</v>
      </c>
      <c r="B62" s="114">
        <v>10079</v>
      </c>
      <c r="C62" s="114">
        <f t="shared" si="10"/>
        <v>24</v>
      </c>
      <c r="D62" s="114">
        <v>16395</v>
      </c>
      <c r="E62" s="114">
        <f t="shared" si="11"/>
        <v>24</v>
      </c>
      <c r="F62" s="114">
        <v>15138</v>
      </c>
      <c r="G62" s="114">
        <f t="shared" si="12"/>
        <v>24</v>
      </c>
      <c r="H62" s="114">
        <v>16155</v>
      </c>
      <c r="I62" s="114">
        <f t="shared" si="13"/>
        <v>24</v>
      </c>
      <c r="J62" s="114">
        <v>11967</v>
      </c>
      <c r="K62" s="114">
        <f t="shared" si="14"/>
        <v>0</v>
      </c>
      <c r="L62" s="114">
        <v>15921</v>
      </c>
      <c r="M62" s="114">
        <f t="shared" si="15"/>
        <v>24</v>
      </c>
      <c r="N62" s="114">
        <v>16397</v>
      </c>
      <c r="O62" s="114">
        <f t="shared" si="16"/>
        <v>16</v>
      </c>
      <c r="P62" s="114">
        <v>16179</v>
      </c>
      <c r="Q62" s="114">
        <f t="shared" si="17"/>
        <v>24</v>
      </c>
      <c r="R62" s="114">
        <v>15357</v>
      </c>
      <c r="S62" s="114">
        <f t="shared" si="18"/>
        <v>0</v>
      </c>
      <c r="T62" s="114">
        <v>13156</v>
      </c>
      <c r="U62" s="114">
        <f t="shared" si="19"/>
        <v>24</v>
      </c>
    </row>
    <row r="63" spans="1:21" s="10" customFormat="1">
      <c r="A63" s="113">
        <v>44987</v>
      </c>
      <c r="B63" s="114">
        <v>10103</v>
      </c>
      <c r="C63" s="114">
        <f t="shared" si="10"/>
        <v>24</v>
      </c>
      <c r="D63" s="114">
        <v>16419</v>
      </c>
      <c r="E63" s="114">
        <f t="shared" si="11"/>
        <v>24</v>
      </c>
      <c r="F63" s="114">
        <v>15158</v>
      </c>
      <c r="G63" s="114">
        <f t="shared" si="12"/>
        <v>20</v>
      </c>
      <c r="H63" s="114">
        <v>16179</v>
      </c>
      <c r="I63" s="114">
        <f t="shared" si="13"/>
        <v>24</v>
      </c>
      <c r="J63" s="114">
        <v>11967</v>
      </c>
      <c r="K63" s="114">
        <f t="shared" si="14"/>
        <v>0</v>
      </c>
      <c r="L63" s="114">
        <v>15929</v>
      </c>
      <c r="M63" s="114">
        <f t="shared" si="15"/>
        <v>8</v>
      </c>
      <c r="N63" s="114">
        <v>16421</v>
      </c>
      <c r="O63" s="114">
        <f t="shared" si="16"/>
        <v>24</v>
      </c>
      <c r="P63" s="114">
        <v>16202</v>
      </c>
      <c r="Q63" s="114">
        <f t="shared" si="17"/>
        <v>23</v>
      </c>
      <c r="R63" s="114">
        <v>15373</v>
      </c>
      <c r="S63" s="114">
        <f t="shared" si="18"/>
        <v>16</v>
      </c>
      <c r="T63" s="114">
        <v>13180</v>
      </c>
      <c r="U63" s="114">
        <f t="shared" si="19"/>
        <v>24</v>
      </c>
    </row>
    <row r="64" spans="1:21" s="10" customFormat="1">
      <c r="A64" s="113">
        <v>44988</v>
      </c>
      <c r="B64" s="114">
        <v>10127</v>
      </c>
      <c r="C64" s="114">
        <f t="shared" si="10"/>
        <v>24</v>
      </c>
      <c r="D64" s="114">
        <v>16441</v>
      </c>
      <c r="E64" s="114">
        <f t="shared" si="11"/>
        <v>22</v>
      </c>
      <c r="F64" s="114">
        <v>15158</v>
      </c>
      <c r="G64" s="114">
        <f t="shared" si="12"/>
        <v>0</v>
      </c>
      <c r="H64" s="114">
        <v>16203</v>
      </c>
      <c r="I64" s="114">
        <f t="shared" si="13"/>
        <v>24</v>
      </c>
      <c r="J64" s="114">
        <v>11967</v>
      </c>
      <c r="K64" s="114">
        <f t="shared" si="14"/>
        <v>0</v>
      </c>
      <c r="L64" s="114">
        <v>15949</v>
      </c>
      <c r="M64" s="114">
        <f t="shared" si="15"/>
        <v>20</v>
      </c>
      <c r="N64" s="114">
        <v>16444</v>
      </c>
      <c r="O64" s="114">
        <f t="shared" si="16"/>
        <v>23</v>
      </c>
      <c r="P64" s="114">
        <v>16226</v>
      </c>
      <c r="Q64" s="114">
        <f t="shared" si="17"/>
        <v>24</v>
      </c>
      <c r="R64" s="114">
        <v>15397</v>
      </c>
      <c r="S64" s="114">
        <f t="shared" si="18"/>
        <v>24</v>
      </c>
      <c r="T64" s="114">
        <v>13204</v>
      </c>
      <c r="U64" s="114">
        <f t="shared" si="19"/>
        <v>24</v>
      </c>
    </row>
    <row r="65" spans="1:21" s="10" customFormat="1">
      <c r="A65" s="113">
        <v>44989</v>
      </c>
      <c r="B65" s="114">
        <v>10150</v>
      </c>
      <c r="C65" s="114">
        <f t="shared" si="10"/>
        <v>23</v>
      </c>
      <c r="D65" s="114">
        <v>16465</v>
      </c>
      <c r="E65" s="114">
        <f t="shared" si="11"/>
        <v>24</v>
      </c>
      <c r="F65" s="114">
        <v>15182</v>
      </c>
      <c r="G65" s="114">
        <f t="shared" si="12"/>
        <v>24</v>
      </c>
      <c r="H65" s="114">
        <v>16227</v>
      </c>
      <c r="I65" s="114">
        <f t="shared" si="13"/>
        <v>24</v>
      </c>
      <c r="J65" s="114">
        <v>11967</v>
      </c>
      <c r="K65" s="114">
        <f t="shared" si="14"/>
        <v>0</v>
      </c>
      <c r="L65" s="114">
        <v>15973</v>
      </c>
      <c r="M65" s="114">
        <f t="shared" si="15"/>
        <v>24</v>
      </c>
      <c r="N65" s="114">
        <v>16468</v>
      </c>
      <c r="O65" s="114">
        <f t="shared" si="16"/>
        <v>24</v>
      </c>
      <c r="P65" s="114">
        <v>16250</v>
      </c>
      <c r="Q65" s="114">
        <f t="shared" si="17"/>
        <v>24</v>
      </c>
      <c r="R65" s="114">
        <v>15397</v>
      </c>
      <c r="S65" s="114">
        <f t="shared" si="18"/>
        <v>0</v>
      </c>
      <c r="T65" s="114">
        <v>13224</v>
      </c>
      <c r="U65" s="114">
        <f t="shared" si="19"/>
        <v>20</v>
      </c>
    </row>
    <row r="66" spans="1:21" s="10" customFormat="1">
      <c r="A66" s="113">
        <v>44990</v>
      </c>
      <c r="B66" s="114">
        <v>10174</v>
      </c>
      <c r="C66" s="114">
        <f t="shared" si="10"/>
        <v>24</v>
      </c>
      <c r="D66" s="114">
        <v>16483</v>
      </c>
      <c r="E66" s="114">
        <f t="shared" si="11"/>
        <v>18</v>
      </c>
      <c r="F66" s="114">
        <v>15206</v>
      </c>
      <c r="G66" s="114">
        <f t="shared" si="12"/>
        <v>24</v>
      </c>
      <c r="H66" s="114">
        <v>16251</v>
      </c>
      <c r="I66" s="114">
        <f t="shared" si="13"/>
        <v>24</v>
      </c>
      <c r="J66" s="114">
        <v>11967</v>
      </c>
      <c r="K66" s="114">
        <f t="shared" si="14"/>
        <v>0</v>
      </c>
      <c r="L66" s="114">
        <v>15973</v>
      </c>
      <c r="M66" s="114">
        <f t="shared" si="15"/>
        <v>0</v>
      </c>
      <c r="N66" s="114">
        <v>16492</v>
      </c>
      <c r="O66" s="114">
        <f t="shared" si="16"/>
        <v>24</v>
      </c>
      <c r="P66" s="114">
        <v>16274</v>
      </c>
      <c r="Q66" s="114">
        <f t="shared" si="17"/>
        <v>24</v>
      </c>
      <c r="R66" s="114">
        <v>15421</v>
      </c>
      <c r="S66" s="114">
        <f t="shared" si="18"/>
        <v>24</v>
      </c>
      <c r="T66" s="114">
        <v>13248</v>
      </c>
      <c r="U66" s="114">
        <f t="shared" si="19"/>
        <v>24</v>
      </c>
    </row>
    <row r="67" spans="1:21" s="10" customFormat="1">
      <c r="A67" s="113">
        <v>44991</v>
      </c>
      <c r="B67" s="114">
        <v>10180</v>
      </c>
      <c r="C67" s="114">
        <f t="shared" ref="C67:C122" si="20">IF(B67&gt;B66,B67-B66,0)</f>
        <v>6</v>
      </c>
      <c r="D67" s="114">
        <v>16507</v>
      </c>
      <c r="E67" s="114">
        <f t="shared" ref="E67:E122" si="21">IF(D67&gt;D66,D67-D66,0)</f>
        <v>24</v>
      </c>
      <c r="F67" s="114">
        <v>15230</v>
      </c>
      <c r="G67" s="114">
        <f t="shared" ref="G67:G122" si="22">IF(F67&gt;F66,F67-F66,0)</f>
        <v>24</v>
      </c>
      <c r="H67" s="114">
        <v>16264</v>
      </c>
      <c r="I67" s="114">
        <f t="shared" ref="I67:I122" si="23">IF(H67&gt;H66,H67-H66,0)</f>
        <v>13</v>
      </c>
      <c r="J67" s="114">
        <v>11967</v>
      </c>
      <c r="K67" s="114">
        <f t="shared" ref="K67:K130" si="24">IF(J67&gt;J66,J67-J66,0)</f>
        <v>0</v>
      </c>
      <c r="L67" s="114">
        <v>15997</v>
      </c>
      <c r="M67" s="114">
        <f t="shared" ref="M67:M122" si="25">IF(L67&gt;L66,L67-L66,0)</f>
        <v>24</v>
      </c>
      <c r="N67" s="114">
        <v>16516</v>
      </c>
      <c r="O67" s="114">
        <f t="shared" ref="O67:O130" si="26">IF(N67&gt;N66,N67-N66,0)</f>
        <v>24</v>
      </c>
      <c r="P67" s="114">
        <v>16298</v>
      </c>
      <c r="Q67" s="114">
        <f t="shared" ref="Q67:Q122" si="27">IF(P67&gt;P66,P67-P66,0)</f>
        <v>24</v>
      </c>
      <c r="R67" s="114">
        <v>15445</v>
      </c>
      <c r="S67" s="114">
        <f t="shared" ref="S67:S130" si="28">IF(R67&gt;R66,R67-R66,0)</f>
        <v>24</v>
      </c>
      <c r="T67" s="114">
        <v>13272</v>
      </c>
      <c r="U67" s="114">
        <f>IF(T67&gt;T66,T67-T66,0)</f>
        <v>24</v>
      </c>
    </row>
    <row r="68" spans="1:21" s="10" customFormat="1">
      <c r="A68" s="113">
        <v>44992</v>
      </c>
      <c r="B68" s="114">
        <v>10180</v>
      </c>
      <c r="C68" s="114">
        <f t="shared" si="20"/>
        <v>0</v>
      </c>
      <c r="D68" s="114">
        <v>16531</v>
      </c>
      <c r="E68" s="114">
        <f t="shared" si="21"/>
        <v>24</v>
      </c>
      <c r="F68" s="114">
        <v>15254</v>
      </c>
      <c r="G68" s="114">
        <f t="shared" si="22"/>
        <v>24</v>
      </c>
      <c r="H68" s="114">
        <v>16286</v>
      </c>
      <c r="I68" s="114">
        <f t="shared" si="23"/>
        <v>22</v>
      </c>
      <c r="J68" s="114">
        <v>11967</v>
      </c>
      <c r="K68" s="114">
        <f t="shared" si="24"/>
        <v>0</v>
      </c>
      <c r="L68" s="114">
        <v>16021</v>
      </c>
      <c r="M68" s="114">
        <f t="shared" si="25"/>
        <v>24</v>
      </c>
      <c r="N68" s="114">
        <v>16540</v>
      </c>
      <c r="O68" s="114">
        <f t="shared" si="26"/>
        <v>24</v>
      </c>
      <c r="P68" s="114">
        <v>16322</v>
      </c>
      <c r="Q68" s="114">
        <f t="shared" si="27"/>
        <v>24</v>
      </c>
      <c r="R68" s="114">
        <v>15469</v>
      </c>
      <c r="S68" s="114">
        <f t="shared" si="28"/>
        <v>24</v>
      </c>
      <c r="T68" s="114">
        <v>13296</v>
      </c>
      <c r="U68" s="114">
        <f t="shared" ref="U68:U78" si="29">IF(T68&gt;T67,T68-T67,0)</f>
        <v>24</v>
      </c>
    </row>
    <row r="69" spans="1:21" s="10" customFormat="1">
      <c r="A69" s="113">
        <v>44993</v>
      </c>
      <c r="B69" s="114">
        <v>10203</v>
      </c>
      <c r="C69" s="114">
        <f t="shared" si="20"/>
        <v>23</v>
      </c>
      <c r="D69" s="114">
        <v>16555</v>
      </c>
      <c r="E69" s="114">
        <f t="shared" si="21"/>
        <v>24</v>
      </c>
      <c r="F69" s="114">
        <v>15278</v>
      </c>
      <c r="G69" s="114">
        <f t="shared" si="22"/>
        <v>24</v>
      </c>
      <c r="H69" s="114">
        <v>16286</v>
      </c>
      <c r="I69" s="114">
        <f t="shared" si="23"/>
        <v>0</v>
      </c>
      <c r="J69" s="114">
        <v>11967</v>
      </c>
      <c r="K69" s="114">
        <f t="shared" si="24"/>
        <v>0</v>
      </c>
      <c r="L69" s="114">
        <v>16044</v>
      </c>
      <c r="M69" s="114">
        <f t="shared" si="25"/>
        <v>23</v>
      </c>
      <c r="N69" s="114">
        <v>16560</v>
      </c>
      <c r="O69" s="114">
        <f t="shared" si="26"/>
        <v>20</v>
      </c>
      <c r="P69" s="114">
        <v>16346</v>
      </c>
      <c r="Q69" s="114">
        <f t="shared" si="27"/>
        <v>24</v>
      </c>
      <c r="R69" s="114">
        <v>15493</v>
      </c>
      <c r="S69" s="114">
        <f t="shared" si="28"/>
        <v>24</v>
      </c>
      <c r="T69" s="114">
        <v>13320</v>
      </c>
      <c r="U69" s="114">
        <f t="shared" si="29"/>
        <v>24</v>
      </c>
    </row>
    <row r="70" spans="1:21" s="10" customFormat="1">
      <c r="A70" s="113">
        <v>44994</v>
      </c>
      <c r="B70" s="114">
        <v>10226</v>
      </c>
      <c r="C70" s="114">
        <f t="shared" si="20"/>
        <v>23</v>
      </c>
      <c r="D70" s="114">
        <v>16579</v>
      </c>
      <c r="E70" s="114">
        <f t="shared" si="21"/>
        <v>24</v>
      </c>
      <c r="F70" s="114">
        <v>15302</v>
      </c>
      <c r="G70" s="114">
        <f t="shared" si="22"/>
        <v>24</v>
      </c>
      <c r="H70" s="114">
        <v>16310</v>
      </c>
      <c r="I70" s="114">
        <f t="shared" si="23"/>
        <v>24</v>
      </c>
      <c r="J70" s="114">
        <v>11967</v>
      </c>
      <c r="K70" s="114">
        <f t="shared" si="24"/>
        <v>0</v>
      </c>
      <c r="L70" s="114">
        <v>16068</v>
      </c>
      <c r="M70" s="114">
        <f t="shared" si="25"/>
        <v>24</v>
      </c>
      <c r="N70" s="114">
        <v>16582</v>
      </c>
      <c r="O70" s="114">
        <f t="shared" si="26"/>
        <v>22</v>
      </c>
      <c r="P70" s="114">
        <v>16370</v>
      </c>
      <c r="Q70" s="114">
        <f t="shared" si="27"/>
        <v>24</v>
      </c>
      <c r="R70" s="114">
        <v>15493</v>
      </c>
      <c r="S70" s="114">
        <f t="shared" si="28"/>
        <v>0</v>
      </c>
      <c r="T70" s="114">
        <v>13344</v>
      </c>
      <c r="U70" s="114">
        <f t="shared" si="29"/>
        <v>24</v>
      </c>
    </row>
    <row r="71" spans="1:21" s="10" customFormat="1">
      <c r="A71" s="113">
        <v>44995</v>
      </c>
      <c r="B71" s="114">
        <v>10248</v>
      </c>
      <c r="C71" s="114">
        <f t="shared" si="20"/>
        <v>22</v>
      </c>
      <c r="D71" s="114">
        <v>16603</v>
      </c>
      <c r="E71" s="114">
        <f t="shared" si="21"/>
        <v>24</v>
      </c>
      <c r="F71" s="114">
        <v>15326</v>
      </c>
      <c r="G71" s="114">
        <f t="shared" si="22"/>
        <v>24</v>
      </c>
      <c r="H71" s="114">
        <v>16334</v>
      </c>
      <c r="I71" s="114">
        <f t="shared" si="23"/>
        <v>24</v>
      </c>
      <c r="J71" s="114">
        <v>11967</v>
      </c>
      <c r="K71" s="114">
        <f t="shared" si="24"/>
        <v>0</v>
      </c>
      <c r="L71" s="114">
        <v>16069</v>
      </c>
      <c r="M71" s="114">
        <f t="shared" si="25"/>
        <v>1</v>
      </c>
      <c r="N71" s="114">
        <v>16603</v>
      </c>
      <c r="O71" s="114">
        <f t="shared" si="26"/>
        <v>21</v>
      </c>
      <c r="P71" s="114">
        <v>16393</v>
      </c>
      <c r="Q71" s="114">
        <f t="shared" si="27"/>
        <v>23</v>
      </c>
      <c r="R71" s="114">
        <v>15517</v>
      </c>
      <c r="S71" s="114">
        <f t="shared" si="28"/>
        <v>24</v>
      </c>
      <c r="T71" s="114">
        <v>13368</v>
      </c>
      <c r="U71" s="114">
        <f t="shared" si="29"/>
        <v>24</v>
      </c>
    </row>
    <row r="72" spans="1:21" s="10" customFormat="1">
      <c r="A72" s="113">
        <v>44996</v>
      </c>
      <c r="B72" s="114">
        <v>10261</v>
      </c>
      <c r="C72" s="114">
        <f t="shared" si="20"/>
        <v>13</v>
      </c>
      <c r="D72" s="114">
        <v>16627</v>
      </c>
      <c r="E72" s="114">
        <f t="shared" si="21"/>
        <v>24</v>
      </c>
      <c r="F72" s="114">
        <v>15350</v>
      </c>
      <c r="G72" s="114">
        <f t="shared" si="22"/>
        <v>24</v>
      </c>
      <c r="H72" s="114">
        <v>16334</v>
      </c>
      <c r="I72" s="114">
        <f t="shared" si="23"/>
        <v>0</v>
      </c>
      <c r="J72" s="114">
        <v>11967</v>
      </c>
      <c r="K72" s="114">
        <f t="shared" si="24"/>
        <v>0</v>
      </c>
      <c r="L72" s="114">
        <v>16092</v>
      </c>
      <c r="M72" s="114">
        <f t="shared" si="25"/>
        <v>23</v>
      </c>
      <c r="N72" s="114">
        <v>16627</v>
      </c>
      <c r="O72" s="114">
        <f t="shared" si="26"/>
        <v>24</v>
      </c>
      <c r="P72" s="114">
        <v>16414</v>
      </c>
      <c r="Q72" s="114">
        <f t="shared" si="27"/>
        <v>21</v>
      </c>
      <c r="R72" s="114">
        <v>15541</v>
      </c>
      <c r="S72" s="114">
        <f t="shared" si="28"/>
        <v>24</v>
      </c>
      <c r="T72" s="114">
        <v>13392</v>
      </c>
      <c r="U72" s="114">
        <f t="shared" ref="U72:U77" si="30">IF(T72&gt;T71,T72-T71,0)</f>
        <v>24</v>
      </c>
    </row>
    <row r="73" spans="1:21" s="10" customFormat="1">
      <c r="A73" s="113">
        <v>44997</v>
      </c>
      <c r="B73" s="114">
        <v>10285</v>
      </c>
      <c r="C73" s="114">
        <f t="shared" si="20"/>
        <v>24</v>
      </c>
      <c r="D73" s="114">
        <v>16651</v>
      </c>
      <c r="E73" s="114">
        <f t="shared" si="21"/>
        <v>24</v>
      </c>
      <c r="F73" s="114">
        <v>15374</v>
      </c>
      <c r="G73" s="114">
        <f t="shared" si="22"/>
        <v>24</v>
      </c>
      <c r="H73" s="114">
        <v>16341</v>
      </c>
      <c r="I73" s="114">
        <f t="shared" si="23"/>
        <v>7</v>
      </c>
      <c r="J73" s="114">
        <v>11967</v>
      </c>
      <c r="K73" s="114">
        <f t="shared" si="24"/>
        <v>0</v>
      </c>
      <c r="L73" s="114">
        <v>16092</v>
      </c>
      <c r="M73" s="114">
        <f t="shared" si="25"/>
        <v>0</v>
      </c>
      <c r="N73" s="114">
        <v>16651</v>
      </c>
      <c r="O73" s="114">
        <f t="shared" si="26"/>
        <v>24</v>
      </c>
      <c r="P73" s="114">
        <v>16438</v>
      </c>
      <c r="Q73" s="114">
        <f t="shared" si="27"/>
        <v>24</v>
      </c>
      <c r="R73" s="114">
        <v>15561</v>
      </c>
      <c r="S73" s="114">
        <f t="shared" si="28"/>
        <v>20</v>
      </c>
      <c r="T73" s="114">
        <v>13416</v>
      </c>
      <c r="U73" s="114">
        <f t="shared" si="30"/>
        <v>24</v>
      </c>
    </row>
    <row r="74" spans="1:21" s="10" customFormat="1">
      <c r="A74" s="113">
        <v>44998</v>
      </c>
      <c r="B74" s="114">
        <v>10309</v>
      </c>
      <c r="C74" s="114">
        <f t="shared" si="20"/>
        <v>24</v>
      </c>
      <c r="D74" s="114">
        <v>16675</v>
      </c>
      <c r="E74" s="114">
        <f t="shared" si="21"/>
        <v>24</v>
      </c>
      <c r="F74" s="114">
        <v>15398</v>
      </c>
      <c r="G74" s="114">
        <f t="shared" si="22"/>
        <v>24</v>
      </c>
      <c r="H74" s="114">
        <v>16365</v>
      </c>
      <c r="I74" s="114">
        <f t="shared" si="23"/>
        <v>24</v>
      </c>
      <c r="J74" s="114">
        <v>11967</v>
      </c>
      <c r="K74" s="114">
        <f t="shared" si="24"/>
        <v>0</v>
      </c>
      <c r="L74" s="114">
        <v>16116</v>
      </c>
      <c r="M74" s="114">
        <f t="shared" si="25"/>
        <v>24</v>
      </c>
      <c r="N74" s="114">
        <v>16671</v>
      </c>
      <c r="O74" s="114">
        <f t="shared" si="26"/>
        <v>20</v>
      </c>
      <c r="P74" s="114">
        <v>16462</v>
      </c>
      <c r="Q74" s="114">
        <f t="shared" si="27"/>
        <v>24</v>
      </c>
      <c r="R74" s="114">
        <v>15561</v>
      </c>
      <c r="S74" s="114">
        <f t="shared" si="28"/>
        <v>0</v>
      </c>
      <c r="T74" s="114">
        <v>13440</v>
      </c>
      <c r="U74" s="114">
        <f t="shared" si="30"/>
        <v>24</v>
      </c>
    </row>
    <row r="75" spans="1:21" s="10" customFormat="1">
      <c r="A75" s="113">
        <v>44999</v>
      </c>
      <c r="B75" s="114">
        <v>10333</v>
      </c>
      <c r="C75" s="114">
        <f t="shared" si="20"/>
        <v>24</v>
      </c>
      <c r="D75" s="114">
        <v>16696</v>
      </c>
      <c r="E75" s="114">
        <f t="shared" si="21"/>
        <v>21</v>
      </c>
      <c r="F75" s="114">
        <v>15420</v>
      </c>
      <c r="G75" s="114">
        <f t="shared" si="22"/>
        <v>22</v>
      </c>
      <c r="H75" s="114">
        <v>16389</v>
      </c>
      <c r="I75" s="114">
        <f t="shared" si="23"/>
        <v>24</v>
      </c>
      <c r="J75" s="114">
        <v>11967</v>
      </c>
      <c r="K75" s="114">
        <f t="shared" si="24"/>
        <v>0</v>
      </c>
      <c r="L75" s="114">
        <v>16116</v>
      </c>
      <c r="M75" s="114">
        <f t="shared" si="25"/>
        <v>0</v>
      </c>
      <c r="N75" s="114">
        <v>16695</v>
      </c>
      <c r="O75" s="114">
        <f t="shared" si="26"/>
        <v>24</v>
      </c>
      <c r="P75" s="114">
        <v>16486</v>
      </c>
      <c r="Q75" s="114">
        <f t="shared" si="27"/>
        <v>24</v>
      </c>
      <c r="R75" s="114">
        <v>15585</v>
      </c>
      <c r="S75" s="114">
        <f t="shared" si="28"/>
        <v>24</v>
      </c>
      <c r="T75" s="114">
        <v>13464</v>
      </c>
      <c r="U75" s="114">
        <f t="shared" si="30"/>
        <v>24</v>
      </c>
    </row>
    <row r="76" spans="1:21" s="10" customFormat="1">
      <c r="A76" s="113">
        <v>45000</v>
      </c>
      <c r="B76" s="114">
        <v>10357</v>
      </c>
      <c r="C76" s="114">
        <f t="shared" si="20"/>
        <v>24</v>
      </c>
      <c r="D76" s="114">
        <v>16716</v>
      </c>
      <c r="E76" s="114">
        <f t="shared" si="21"/>
        <v>20</v>
      </c>
      <c r="F76" s="114">
        <v>15433</v>
      </c>
      <c r="G76" s="114">
        <f t="shared" si="22"/>
        <v>13</v>
      </c>
      <c r="H76" s="114">
        <v>16413</v>
      </c>
      <c r="I76" s="114">
        <f t="shared" si="23"/>
        <v>24</v>
      </c>
      <c r="J76" s="114">
        <v>11967</v>
      </c>
      <c r="K76" s="114">
        <f t="shared" si="24"/>
        <v>0</v>
      </c>
      <c r="L76" s="114">
        <v>16132</v>
      </c>
      <c r="M76" s="114">
        <f t="shared" si="25"/>
        <v>16</v>
      </c>
      <c r="N76" s="114">
        <v>16719</v>
      </c>
      <c r="O76" s="114">
        <f t="shared" si="26"/>
        <v>24</v>
      </c>
      <c r="P76" s="114">
        <v>16510</v>
      </c>
      <c r="Q76" s="114">
        <f t="shared" si="27"/>
        <v>24</v>
      </c>
      <c r="R76" s="114">
        <v>15609</v>
      </c>
      <c r="S76" s="114">
        <f t="shared" si="28"/>
        <v>24</v>
      </c>
      <c r="T76" s="114">
        <v>13482</v>
      </c>
      <c r="U76" s="114">
        <f t="shared" si="30"/>
        <v>18</v>
      </c>
    </row>
    <row r="77" spans="1:21" s="10" customFormat="1">
      <c r="A77" s="113">
        <v>45001</v>
      </c>
      <c r="B77" s="114">
        <v>10363</v>
      </c>
      <c r="C77" s="114">
        <f t="shared" si="20"/>
        <v>6</v>
      </c>
      <c r="D77" s="114">
        <v>16732</v>
      </c>
      <c r="E77" s="114">
        <f t="shared" si="21"/>
        <v>16</v>
      </c>
      <c r="F77" s="114">
        <v>15454</v>
      </c>
      <c r="G77" s="114">
        <f t="shared" si="22"/>
        <v>21</v>
      </c>
      <c r="H77" s="114">
        <v>16429</v>
      </c>
      <c r="I77" s="114">
        <f t="shared" si="23"/>
        <v>16</v>
      </c>
      <c r="J77" s="114">
        <v>11967</v>
      </c>
      <c r="K77" s="114">
        <f t="shared" si="24"/>
        <v>0</v>
      </c>
      <c r="L77" s="114">
        <v>16154</v>
      </c>
      <c r="M77" s="114">
        <f t="shared" si="25"/>
        <v>22</v>
      </c>
      <c r="N77" s="114">
        <v>16739</v>
      </c>
      <c r="O77" s="114">
        <f t="shared" si="26"/>
        <v>20</v>
      </c>
      <c r="P77" s="114">
        <v>16530</v>
      </c>
      <c r="Q77" s="114">
        <f t="shared" si="27"/>
        <v>20</v>
      </c>
      <c r="R77" s="114">
        <v>15632</v>
      </c>
      <c r="S77" s="114">
        <f t="shared" si="28"/>
        <v>23</v>
      </c>
      <c r="T77" s="114">
        <v>13505</v>
      </c>
      <c r="U77" s="114">
        <f t="shared" si="30"/>
        <v>23</v>
      </c>
    </row>
    <row r="78" spans="1:21" s="10" customFormat="1">
      <c r="A78" s="113">
        <v>45002</v>
      </c>
      <c r="B78" s="114">
        <v>10363</v>
      </c>
      <c r="C78" s="114">
        <f t="shared" si="20"/>
        <v>0</v>
      </c>
      <c r="D78" s="114">
        <v>16752</v>
      </c>
      <c r="E78" s="114">
        <f t="shared" si="21"/>
        <v>20</v>
      </c>
      <c r="F78" s="114">
        <v>15473</v>
      </c>
      <c r="G78" s="114">
        <f t="shared" si="22"/>
        <v>19</v>
      </c>
      <c r="H78" s="114">
        <v>16450</v>
      </c>
      <c r="I78" s="114">
        <f t="shared" si="23"/>
        <v>21</v>
      </c>
      <c r="J78" s="114">
        <v>11967</v>
      </c>
      <c r="K78" s="114">
        <f t="shared" si="24"/>
        <v>0</v>
      </c>
      <c r="L78" s="114">
        <v>16175</v>
      </c>
      <c r="M78" s="114">
        <f t="shared" si="25"/>
        <v>21</v>
      </c>
      <c r="N78" s="114">
        <v>16759</v>
      </c>
      <c r="O78" s="114">
        <f t="shared" si="26"/>
        <v>20</v>
      </c>
      <c r="P78" s="114">
        <v>16551</v>
      </c>
      <c r="Q78" s="114">
        <f t="shared" si="27"/>
        <v>21</v>
      </c>
      <c r="R78" s="114">
        <v>15655</v>
      </c>
      <c r="S78" s="114">
        <f t="shared" si="28"/>
        <v>23</v>
      </c>
      <c r="T78" s="114">
        <v>13528</v>
      </c>
      <c r="U78" s="114">
        <f t="shared" si="29"/>
        <v>23</v>
      </c>
    </row>
    <row r="79" spans="1:21" s="10" customFormat="1">
      <c r="A79" s="113">
        <v>45003</v>
      </c>
      <c r="B79" s="114">
        <v>10387</v>
      </c>
      <c r="C79" s="114">
        <f t="shared" si="20"/>
        <v>24</v>
      </c>
      <c r="D79" s="114">
        <v>16771</v>
      </c>
      <c r="E79" s="114">
        <f t="shared" si="21"/>
        <v>19</v>
      </c>
      <c r="F79" s="114">
        <v>15497</v>
      </c>
      <c r="G79" s="114">
        <f t="shared" si="22"/>
        <v>24</v>
      </c>
      <c r="H79" s="114">
        <v>16474</v>
      </c>
      <c r="I79" s="114">
        <f t="shared" si="23"/>
        <v>24</v>
      </c>
      <c r="J79" s="114">
        <v>11967</v>
      </c>
      <c r="K79" s="114">
        <f t="shared" si="24"/>
        <v>0</v>
      </c>
      <c r="L79" s="114">
        <v>16199</v>
      </c>
      <c r="M79" s="114">
        <f t="shared" si="25"/>
        <v>24</v>
      </c>
      <c r="N79" s="114">
        <v>16760</v>
      </c>
      <c r="O79" s="114">
        <f t="shared" si="26"/>
        <v>1</v>
      </c>
      <c r="P79" s="114">
        <v>16575</v>
      </c>
      <c r="Q79" s="114">
        <f t="shared" si="27"/>
        <v>24</v>
      </c>
      <c r="R79" s="114">
        <v>15679</v>
      </c>
      <c r="S79" s="114">
        <f t="shared" si="28"/>
        <v>24</v>
      </c>
      <c r="T79" s="114">
        <v>13552</v>
      </c>
      <c r="U79" s="114">
        <f t="shared" ref="U79:U122" si="31">IF(T79&gt;T78,T79-T78,0)</f>
        <v>24</v>
      </c>
    </row>
    <row r="80" spans="1:21" s="10" customFormat="1">
      <c r="A80" s="113">
        <v>45004</v>
      </c>
      <c r="B80" s="114">
        <v>10411</v>
      </c>
      <c r="C80" s="114">
        <f t="shared" si="20"/>
        <v>24</v>
      </c>
      <c r="D80" s="114">
        <v>16787</v>
      </c>
      <c r="E80" s="114">
        <f t="shared" si="21"/>
        <v>16</v>
      </c>
      <c r="F80" s="114">
        <v>15521</v>
      </c>
      <c r="G80" s="114">
        <f t="shared" si="22"/>
        <v>24</v>
      </c>
      <c r="H80" s="114">
        <v>16498</v>
      </c>
      <c r="I80" s="114">
        <f t="shared" si="23"/>
        <v>24</v>
      </c>
      <c r="J80" s="114">
        <v>11967</v>
      </c>
      <c r="K80" s="114">
        <f t="shared" si="24"/>
        <v>0</v>
      </c>
      <c r="L80" s="114">
        <v>16223</v>
      </c>
      <c r="M80" s="114">
        <f t="shared" si="25"/>
        <v>24</v>
      </c>
      <c r="N80" s="114">
        <v>16782</v>
      </c>
      <c r="O80" s="114">
        <f t="shared" si="26"/>
        <v>22</v>
      </c>
      <c r="P80" s="114">
        <v>16599</v>
      </c>
      <c r="Q80" s="114">
        <f t="shared" si="27"/>
        <v>24</v>
      </c>
      <c r="R80" s="114">
        <v>15679</v>
      </c>
      <c r="S80" s="114">
        <f t="shared" si="28"/>
        <v>0</v>
      </c>
      <c r="T80" s="114">
        <v>13576</v>
      </c>
      <c r="U80" s="114">
        <f t="shared" si="31"/>
        <v>24</v>
      </c>
    </row>
    <row r="81" spans="1:21" s="10" customFormat="1">
      <c r="A81" s="113">
        <v>45005</v>
      </c>
      <c r="B81" s="114">
        <v>10435</v>
      </c>
      <c r="C81" s="114">
        <f t="shared" si="20"/>
        <v>24</v>
      </c>
      <c r="D81" s="114">
        <v>16806</v>
      </c>
      <c r="E81" s="114">
        <f t="shared" si="21"/>
        <v>19</v>
      </c>
      <c r="F81" s="114">
        <v>15545</v>
      </c>
      <c r="G81" s="114">
        <f t="shared" si="22"/>
        <v>24</v>
      </c>
      <c r="H81" s="114">
        <v>16522</v>
      </c>
      <c r="I81" s="114">
        <f t="shared" si="23"/>
        <v>24</v>
      </c>
      <c r="J81" s="114">
        <v>11967</v>
      </c>
      <c r="K81" s="114">
        <f t="shared" si="24"/>
        <v>0</v>
      </c>
      <c r="L81" s="114">
        <v>16247</v>
      </c>
      <c r="M81" s="114">
        <f t="shared" si="25"/>
        <v>24</v>
      </c>
      <c r="N81" s="114">
        <v>16806</v>
      </c>
      <c r="O81" s="114">
        <f t="shared" si="26"/>
        <v>24</v>
      </c>
      <c r="P81" s="114">
        <v>16623</v>
      </c>
      <c r="Q81" s="114">
        <f t="shared" si="27"/>
        <v>24</v>
      </c>
      <c r="R81" s="114">
        <v>15703</v>
      </c>
      <c r="S81" s="114">
        <f t="shared" si="28"/>
        <v>24</v>
      </c>
      <c r="T81" s="114">
        <v>13576</v>
      </c>
      <c r="U81" s="114">
        <f t="shared" si="31"/>
        <v>0</v>
      </c>
    </row>
    <row r="82" spans="1:21" s="10" customFormat="1">
      <c r="A82" s="113">
        <v>45006</v>
      </c>
      <c r="B82" s="114">
        <v>10459</v>
      </c>
      <c r="C82" s="114">
        <f t="shared" si="20"/>
        <v>24</v>
      </c>
      <c r="D82" s="114">
        <v>16830</v>
      </c>
      <c r="E82" s="114">
        <f t="shared" si="21"/>
        <v>24</v>
      </c>
      <c r="F82" s="114">
        <v>15569</v>
      </c>
      <c r="G82" s="114">
        <f t="shared" si="22"/>
        <v>24</v>
      </c>
      <c r="H82" s="114">
        <v>16546</v>
      </c>
      <c r="I82" s="114">
        <f t="shared" si="23"/>
        <v>24</v>
      </c>
      <c r="J82" s="114">
        <v>11967</v>
      </c>
      <c r="K82" s="114">
        <f t="shared" si="24"/>
        <v>0</v>
      </c>
      <c r="L82" s="114">
        <v>16247</v>
      </c>
      <c r="M82" s="114">
        <f t="shared" si="25"/>
        <v>0</v>
      </c>
      <c r="N82" s="114">
        <v>16830</v>
      </c>
      <c r="O82" s="114">
        <f t="shared" si="26"/>
        <v>24</v>
      </c>
      <c r="P82" s="114">
        <v>16647</v>
      </c>
      <c r="Q82" s="114">
        <f t="shared" si="27"/>
        <v>24</v>
      </c>
      <c r="R82" s="114">
        <v>15722</v>
      </c>
      <c r="S82" s="114">
        <f t="shared" si="28"/>
        <v>19</v>
      </c>
      <c r="T82" s="114">
        <v>13600</v>
      </c>
      <c r="U82" s="114">
        <f t="shared" si="31"/>
        <v>24</v>
      </c>
    </row>
    <row r="83" spans="1:21" s="10" customFormat="1">
      <c r="A83" s="113">
        <v>45007</v>
      </c>
      <c r="B83" s="114">
        <v>10465</v>
      </c>
      <c r="C83" s="114">
        <f t="shared" si="20"/>
        <v>6</v>
      </c>
      <c r="D83" s="114">
        <v>16854</v>
      </c>
      <c r="E83" s="114">
        <f t="shared" si="21"/>
        <v>24</v>
      </c>
      <c r="F83" s="114">
        <v>15593</v>
      </c>
      <c r="G83" s="114">
        <f t="shared" si="22"/>
        <v>24</v>
      </c>
      <c r="H83" s="114">
        <v>16552</v>
      </c>
      <c r="I83" s="114">
        <f t="shared" si="23"/>
        <v>6</v>
      </c>
      <c r="J83" s="114">
        <v>11967</v>
      </c>
      <c r="K83" s="114">
        <f t="shared" si="24"/>
        <v>0</v>
      </c>
      <c r="L83" s="114">
        <v>16271</v>
      </c>
      <c r="M83" s="114">
        <f t="shared" si="25"/>
        <v>24</v>
      </c>
      <c r="N83" s="114">
        <v>16854</v>
      </c>
      <c r="O83" s="114">
        <f t="shared" si="26"/>
        <v>24</v>
      </c>
      <c r="P83" s="114">
        <v>16665</v>
      </c>
      <c r="Q83" s="114">
        <f t="shared" si="27"/>
        <v>18</v>
      </c>
      <c r="R83" s="114">
        <v>15740</v>
      </c>
      <c r="S83" s="114">
        <f t="shared" si="28"/>
        <v>18</v>
      </c>
      <c r="T83" s="114">
        <v>13624</v>
      </c>
      <c r="U83" s="114">
        <f t="shared" si="31"/>
        <v>24</v>
      </c>
    </row>
    <row r="84" spans="1:21" s="10" customFormat="1">
      <c r="A84" s="113">
        <v>45008</v>
      </c>
      <c r="B84" s="114">
        <v>10465</v>
      </c>
      <c r="C84" s="114">
        <f t="shared" si="20"/>
        <v>0</v>
      </c>
      <c r="D84" s="114">
        <v>16878</v>
      </c>
      <c r="E84" s="114">
        <f t="shared" si="21"/>
        <v>24</v>
      </c>
      <c r="F84" s="114">
        <v>15617</v>
      </c>
      <c r="G84" s="114">
        <f t="shared" si="22"/>
        <v>24</v>
      </c>
      <c r="H84" s="114">
        <v>16576</v>
      </c>
      <c r="I84" s="114">
        <f t="shared" si="23"/>
        <v>24</v>
      </c>
      <c r="J84" s="114">
        <v>11967</v>
      </c>
      <c r="K84" s="114">
        <f t="shared" si="24"/>
        <v>0</v>
      </c>
      <c r="L84" s="114">
        <v>16295</v>
      </c>
      <c r="M84" s="114">
        <f t="shared" si="25"/>
        <v>24</v>
      </c>
      <c r="N84" s="114">
        <v>16868</v>
      </c>
      <c r="O84" s="114">
        <f t="shared" si="26"/>
        <v>14</v>
      </c>
      <c r="P84" s="114">
        <v>16689</v>
      </c>
      <c r="Q84" s="114">
        <f t="shared" si="27"/>
        <v>24</v>
      </c>
      <c r="R84" s="114">
        <v>15764</v>
      </c>
      <c r="S84" s="114">
        <f t="shared" si="28"/>
        <v>24</v>
      </c>
      <c r="T84" s="114">
        <v>13648</v>
      </c>
      <c r="U84" s="114">
        <f t="shared" si="31"/>
        <v>24</v>
      </c>
    </row>
    <row r="85" spans="1:21" s="10" customFormat="1">
      <c r="A85" s="113">
        <v>45009</v>
      </c>
      <c r="B85" s="114">
        <v>10476</v>
      </c>
      <c r="C85" s="114">
        <f t="shared" si="20"/>
        <v>11</v>
      </c>
      <c r="D85" s="114">
        <v>16902</v>
      </c>
      <c r="E85" s="114">
        <f t="shared" si="21"/>
        <v>24</v>
      </c>
      <c r="F85" s="114">
        <v>15634</v>
      </c>
      <c r="G85" s="114">
        <f t="shared" si="22"/>
        <v>17</v>
      </c>
      <c r="H85" s="114">
        <v>16600</v>
      </c>
      <c r="I85" s="114">
        <f t="shared" si="23"/>
        <v>24</v>
      </c>
      <c r="J85" s="114">
        <v>11967</v>
      </c>
      <c r="K85" s="114">
        <f t="shared" si="24"/>
        <v>0</v>
      </c>
      <c r="L85" s="114">
        <v>16319</v>
      </c>
      <c r="M85" s="114">
        <f t="shared" si="25"/>
        <v>24</v>
      </c>
      <c r="N85" s="114">
        <v>16881</v>
      </c>
      <c r="O85" s="114">
        <f t="shared" si="26"/>
        <v>13</v>
      </c>
      <c r="P85" s="114">
        <v>16713</v>
      </c>
      <c r="Q85" s="114">
        <f t="shared" si="27"/>
        <v>24</v>
      </c>
      <c r="R85" s="114">
        <v>15788</v>
      </c>
      <c r="S85" s="114">
        <f t="shared" si="28"/>
        <v>24</v>
      </c>
      <c r="T85" s="114">
        <v>13672</v>
      </c>
      <c r="U85" s="114">
        <f t="shared" si="31"/>
        <v>24</v>
      </c>
    </row>
    <row r="86" spans="1:21" s="10" customFormat="1">
      <c r="A86" s="113">
        <v>45010</v>
      </c>
      <c r="B86" s="114">
        <v>10500</v>
      </c>
      <c r="C86" s="114">
        <f t="shared" si="20"/>
        <v>24</v>
      </c>
      <c r="D86" s="114">
        <v>16923</v>
      </c>
      <c r="E86" s="114">
        <f t="shared" si="21"/>
        <v>21</v>
      </c>
      <c r="F86" s="114">
        <v>15658</v>
      </c>
      <c r="G86" s="114">
        <f t="shared" si="22"/>
        <v>24</v>
      </c>
      <c r="H86" s="114">
        <v>16624</v>
      </c>
      <c r="I86" s="114">
        <f t="shared" si="23"/>
        <v>24</v>
      </c>
      <c r="J86" s="114">
        <v>11967</v>
      </c>
      <c r="K86" s="114">
        <f t="shared" si="24"/>
        <v>0</v>
      </c>
      <c r="L86" s="114">
        <v>16338</v>
      </c>
      <c r="M86" s="114">
        <f t="shared" si="25"/>
        <v>19</v>
      </c>
      <c r="N86" s="114">
        <v>16881</v>
      </c>
      <c r="O86" s="114">
        <f t="shared" si="26"/>
        <v>0</v>
      </c>
      <c r="P86" s="114">
        <v>16737</v>
      </c>
      <c r="Q86" s="114">
        <f t="shared" si="27"/>
        <v>24</v>
      </c>
      <c r="R86" s="114">
        <v>15812</v>
      </c>
      <c r="S86" s="114">
        <f t="shared" si="28"/>
        <v>24</v>
      </c>
      <c r="T86" s="114">
        <v>13696</v>
      </c>
      <c r="U86" s="114">
        <f t="shared" si="31"/>
        <v>24</v>
      </c>
    </row>
    <row r="87" spans="1:21" s="10" customFormat="1">
      <c r="A87" s="113">
        <v>45011</v>
      </c>
      <c r="B87" s="114">
        <v>10522</v>
      </c>
      <c r="C87" s="114">
        <f t="shared" si="20"/>
        <v>22</v>
      </c>
      <c r="D87" s="114">
        <v>16942</v>
      </c>
      <c r="E87" s="114">
        <f t="shared" si="21"/>
        <v>19</v>
      </c>
      <c r="F87" s="114">
        <v>15681</v>
      </c>
      <c r="G87" s="114">
        <f t="shared" si="22"/>
        <v>23</v>
      </c>
      <c r="H87" s="114">
        <v>16643</v>
      </c>
      <c r="I87" s="114">
        <f t="shared" si="23"/>
        <v>19</v>
      </c>
      <c r="J87" s="114">
        <v>11967</v>
      </c>
      <c r="K87" s="114">
        <f t="shared" si="24"/>
        <v>0</v>
      </c>
      <c r="L87" s="114">
        <v>16358</v>
      </c>
      <c r="M87" s="114">
        <f t="shared" si="25"/>
        <v>20</v>
      </c>
      <c r="N87" s="114">
        <v>16881</v>
      </c>
      <c r="O87" s="114">
        <f t="shared" si="26"/>
        <v>0</v>
      </c>
      <c r="P87" s="114">
        <v>16757</v>
      </c>
      <c r="Q87" s="114">
        <f t="shared" si="27"/>
        <v>20</v>
      </c>
      <c r="R87" s="114">
        <v>15833</v>
      </c>
      <c r="S87" s="114">
        <f t="shared" si="28"/>
        <v>21</v>
      </c>
      <c r="T87" s="114">
        <v>13715</v>
      </c>
      <c r="U87" s="114">
        <f t="shared" si="31"/>
        <v>19</v>
      </c>
    </row>
    <row r="88" spans="1:21" s="10" customFormat="1">
      <c r="A88" s="113">
        <v>45012</v>
      </c>
      <c r="B88" s="114">
        <v>10546</v>
      </c>
      <c r="C88" s="114">
        <f t="shared" si="20"/>
        <v>24</v>
      </c>
      <c r="D88" s="114">
        <v>16959</v>
      </c>
      <c r="E88" s="114">
        <f t="shared" si="21"/>
        <v>17</v>
      </c>
      <c r="F88" s="114">
        <v>15705</v>
      </c>
      <c r="G88" s="114">
        <f t="shared" si="22"/>
        <v>24</v>
      </c>
      <c r="H88" s="114">
        <v>16666</v>
      </c>
      <c r="I88" s="114">
        <f t="shared" si="23"/>
        <v>23</v>
      </c>
      <c r="J88" s="114">
        <v>11968</v>
      </c>
      <c r="K88" s="114">
        <f t="shared" si="24"/>
        <v>1</v>
      </c>
      <c r="L88" s="114">
        <v>16382</v>
      </c>
      <c r="M88" s="114">
        <f t="shared" si="25"/>
        <v>24</v>
      </c>
      <c r="N88" s="114">
        <v>16881</v>
      </c>
      <c r="O88" s="114">
        <f t="shared" si="26"/>
        <v>0</v>
      </c>
      <c r="P88" s="114">
        <v>16781</v>
      </c>
      <c r="Q88" s="114">
        <f t="shared" si="27"/>
        <v>24</v>
      </c>
      <c r="R88" s="114">
        <v>15857</v>
      </c>
      <c r="S88" s="114">
        <f t="shared" si="28"/>
        <v>24</v>
      </c>
      <c r="T88" s="114">
        <v>13739</v>
      </c>
      <c r="U88" s="114">
        <f t="shared" si="31"/>
        <v>24</v>
      </c>
    </row>
    <row r="89" spans="1:21" s="10" customFormat="1">
      <c r="A89" s="113">
        <v>45013</v>
      </c>
      <c r="B89" s="114">
        <v>10570</v>
      </c>
      <c r="C89" s="114">
        <f t="shared" si="20"/>
        <v>24</v>
      </c>
      <c r="D89" s="114">
        <v>16981</v>
      </c>
      <c r="E89" s="114">
        <f t="shared" si="21"/>
        <v>22</v>
      </c>
      <c r="F89" s="114">
        <v>15729</v>
      </c>
      <c r="G89" s="114">
        <f t="shared" si="22"/>
        <v>24</v>
      </c>
      <c r="H89" s="114">
        <v>16686</v>
      </c>
      <c r="I89" s="114">
        <f t="shared" si="23"/>
        <v>20</v>
      </c>
      <c r="J89" s="114">
        <v>11973</v>
      </c>
      <c r="K89" s="114">
        <f t="shared" si="24"/>
        <v>5</v>
      </c>
      <c r="L89" s="114">
        <v>16406</v>
      </c>
      <c r="M89" s="114">
        <f t="shared" si="25"/>
        <v>24</v>
      </c>
      <c r="N89" s="114">
        <v>16881</v>
      </c>
      <c r="O89" s="114">
        <f t="shared" si="26"/>
        <v>0</v>
      </c>
      <c r="P89" s="114">
        <v>16805</v>
      </c>
      <c r="Q89" s="114">
        <f t="shared" si="27"/>
        <v>24</v>
      </c>
      <c r="R89" s="114">
        <v>15881</v>
      </c>
      <c r="S89" s="114">
        <f t="shared" si="28"/>
        <v>24</v>
      </c>
      <c r="T89" s="114">
        <v>13763</v>
      </c>
      <c r="U89" s="114">
        <f t="shared" si="31"/>
        <v>24</v>
      </c>
    </row>
    <row r="90" spans="1:21" s="10" customFormat="1">
      <c r="A90" s="113">
        <v>45014</v>
      </c>
      <c r="B90" s="114">
        <v>10591</v>
      </c>
      <c r="C90" s="114">
        <f t="shared" si="20"/>
        <v>21</v>
      </c>
      <c r="D90" s="114">
        <v>17005</v>
      </c>
      <c r="E90" s="114">
        <f t="shared" si="21"/>
        <v>24</v>
      </c>
      <c r="F90" s="114">
        <v>15753</v>
      </c>
      <c r="G90" s="114">
        <f t="shared" si="22"/>
        <v>24</v>
      </c>
      <c r="H90" s="114">
        <v>16710</v>
      </c>
      <c r="I90" s="114">
        <f t="shared" si="23"/>
        <v>24</v>
      </c>
      <c r="J90" s="114">
        <v>11974</v>
      </c>
      <c r="K90" s="114">
        <f t="shared" si="24"/>
        <v>1</v>
      </c>
      <c r="L90" s="114">
        <v>16430</v>
      </c>
      <c r="M90" s="114">
        <f t="shared" si="25"/>
        <v>24</v>
      </c>
      <c r="N90" s="114">
        <v>16881</v>
      </c>
      <c r="O90" s="114">
        <f t="shared" si="26"/>
        <v>0</v>
      </c>
      <c r="P90" s="114">
        <v>16829</v>
      </c>
      <c r="Q90" s="114">
        <f t="shared" si="27"/>
        <v>24</v>
      </c>
      <c r="R90" s="114">
        <v>15905</v>
      </c>
      <c r="S90" s="114">
        <f t="shared" si="28"/>
        <v>24</v>
      </c>
      <c r="T90" s="114">
        <v>13787</v>
      </c>
      <c r="U90" s="114">
        <f t="shared" si="31"/>
        <v>24</v>
      </c>
    </row>
    <row r="91" spans="1:21" s="10" customFormat="1">
      <c r="A91" s="113">
        <v>45015</v>
      </c>
      <c r="B91" s="114">
        <v>10615</v>
      </c>
      <c r="C91" s="114">
        <f t="shared" si="20"/>
        <v>24</v>
      </c>
      <c r="D91" s="114">
        <v>17029</v>
      </c>
      <c r="E91" s="114">
        <f t="shared" si="21"/>
        <v>24</v>
      </c>
      <c r="F91" s="114">
        <v>15777</v>
      </c>
      <c r="G91" s="114">
        <f t="shared" si="22"/>
        <v>24</v>
      </c>
      <c r="H91" s="114">
        <v>16734</v>
      </c>
      <c r="I91" s="114">
        <f t="shared" si="23"/>
        <v>24</v>
      </c>
      <c r="J91" s="114">
        <v>11977</v>
      </c>
      <c r="K91" s="114">
        <f t="shared" si="24"/>
        <v>3</v>
      </c>
      <c r="L91" s="114">
        <v>16454</v>
      </c>
      <c r="M91" s="114">
        <f t="shared" si="25"/>
        <v>24</v>
      </c>
      <c r="N91" s="114">
        <v>16881</v>
      </c>
      <c r="O91" s="114">
        <f t="shared" si="26"/>
        <v>0</v>
      </c>
      <c r="P91" s="114">
        <v>16853</v>
      </c>
      <c r="Q91" s="114">
        <f t="shared" si="27"/>
        <v>24</v>
      </c>
      <c r="R91" s="114">
        <v>15929</v>
      </c>
      <c r="S91" s="114">
        <f t="shared" si="28"/>
        <v>24</v>
      </c>
      <c r="T91" s="114">
        <v>13808</v>
      </c>
      <c r="U91" s="114">
        <f t="shared" si="31"/>
        <v>21</v>
      </c>
    </row>
    <row r="92" spans="1:21" s="10" customFormat="1">
      <c r="A92" s="113">
        <v>45016</v>
      </c>
      <c r="B92" s="114">
        <v>10639</v>
      </c>
      <c r="C92" s="114">
        <f t="shared" si="20"/>
        <v>24</v>
      </c>
      <c r="D92" s="114">
        <v>17049</v>
      </c>
      <c r="E92" s="114">
        <f t="shared" si="21"/>
        <v>20</v>
      </c>
      <c r="F92" s="114">
        <v>15801</v>
      </c>
      <c r="G92" s="114">
        <f t="shared" si="22"/>
        <v>24</v>
      </c>
      <c r="H92" s="114">
        <v>16758</v>
      </c>
      <c r="I92" s="114">
        <f t="shared" si="23"/>
        <v>24</v>
      </c>
      <c r="J92" s="114">
        <v>11978</v>
      </c>
      <c r="K92" s="114">
        <f t="shared" si="24"/>
        <v>1</v>
      </c>
      <c r="L92" s="114">
        <v>16478</v>
      </c>
      <c r="M92" s="114">
        <f t="shared" si="25"/>
        <v>24</v>
      </c>
      <c r="N92" s="114">
        <v>16881</v>
      </c>
      <c r="O92" s="114">
        <f t="shared" si="26"/>
        <v>0</v>
      </c>
      <c r="P92" s="114">
        <v>16877</v>
      </c>
      <c r="Q92" s="114">
        <f t="shared" si="27"/>
        <v>24</v>
      </c>
      <c r="R92" s="114">
        <v>15953</v>
      </c>
      <c r="S92" s="114">
        <f t="shared" si="28"/>
        <v>24</v>
      </c>
      <c r="T92" s="114">
        <v>13832</v>
      </c>
      <c r="U92" s="114">
        <f t="shared" si="31"/>
        <v>24</v>
      </c>
    </row>
    <row r="93" spans="1:21" s="10" customFormat="1">
      <c r="A93" s="113">
        <v>45017</v>
      </c>
      <c r="B93" s="114">
        <v>10657</v>
      </c>
      <c r="C93" s="114">
        <f t="shared" si="20"/>
        <v>18</v>
      </c>
      <c r="D93" s="114">
        <v>17067</v>
      </c>
      <c r="E93" s="114">
        <f t="shared" si="21"/>
        <v>18</v>
      </c>
      <c r="F93" s="114">
        <v>15819</v>
      </c>
      <c r="G93" s="114">
        <f t="shared" si="22"/>
        <v>18</v>
      </c>
      <c r="H93" s="114">
        <v>16776</v>
      </c>
      <c r="I93" s="114">
        <f t="shared" si="23"/>
        <v>18</v>
      </c>
      <c r="J93" s="114">
        <v>11984</v>
      </c>
      <c r="K93" s="114">
        <f t="shared" si="24"/>
        <v>6</v>
      </c>
      <c r="L93" s="114">
        <v>16501</v>
      </c>
      <c r="M93" s="114">
        <f t="shared" si="25"/>
        <v>23</v>
      </c>
      <c r="N93" s="114">
        <v>16881</v>
      </c>
      <c r="O93" s="114">
        <f t="shared" si="26"/>
        <v>0</v>
      </c>
      <c r="P93" s="114">
        <v>16901</v>
      </c>
      <c r="Q93" s="114">
        <f t="shared" si="27"/>
        <v>24</v>
      </c>
      <c r="R93" s="114">
        <v>15977</v>
      </c>
      <c r="S93" s="114">
        <f t="shared" si="28"/>
        <v>24</v>
      </c>
      <c r="T93" s="114">
        <v>13856</v>
      </c>
      <c r="U93" s="114">
        <f t="shared" si="31"/>
        <v>24</v>
      </c>
    </row>
    <row r="94" spans="1:21" s="10" customFormat="1">
      <c r="A94" s="113">
        <v>45018</v>
      </c>
      <c r="B94" s="114">
        <v>10681</v>
      </c>
      <c r="C94" s="114">
        <f t="shared" si="20"/>
        <v>24</v>
      </c>
      <c r="D94" s="114">
        <v>17084</v>
      </c>
      <c r="E94" s="114">
        <f t="shared" si="21"/>
        <v>17</v>
      </c>
      <c r="F94" s="114">
        <v>15843</v>
      </c>
      <c r="G94" s="114">
        <f t="shared" si="22"/>
        <v>24</v>
      </c>
      <c r="H94" s="114">
        <v>16800</v>
      </c>
      <c r="I94" s="114">
        <f t="shared" si="23"/>
        <v>24</v>
      </c>
      <c r="J94" s="114">
        <v>12003</v>
      </c>
      <c r="K94" s="114">
        <f t="shared" si="24"/>
        <v>19</v>
      </c>
      <c r="L94" s="114">
        <v>16501</v>
      </c>
      <c r="M94" s="114">
        <f t="shared" si="25"/>
        <v>0</v>
      </c>
      <c r="N94" s="114">
        <v>16881</v>
      </c>
      <c r="O94" s="114">
        <f t="shared" si="26"/>
        <v>0</v>
      </c>
      <c r="P94" s="114">
        <v>16925</v>
      </c>
      <c r="Q94" s="114">
        <f t="shared" si="27"/>
        <v>24</v>
      </c>
      <c r="R94" s="114">
        <v>16001</v>
      </c>
      <c r="S94" s="114">
        <f t="shared" si="28"/>
        <v>24</v>
      </c>
      <c r="T94" s="114">
        <v>13880</v>
      </c>
      <c r="U94" s="114">
        <f t="shared" si="31"/>
        <v>24</v>
      </c>
    </row>
    <row r="95" spans="1:21" s="10" customFormat="1">
      <c r="A95" s="113">
        <v>45019</v>
      </c>
      <c r="B95" s="114">
        <v>10705</v>
      </c>
      <c r="C95" s="114">
        <f t="shared" si="20"/>
        <v>24</v>
      </c>
      <c r="D95" s="114">
        <v>17108</v>
      </c>
      <c r="E95" s="114">
        <f t="shared" si="21"/>
        <v>24</v>
      </c>
      <c r="F95" s="114">
        <v>15867</v>
      </c>
      <c r="G95" s="114">
        <f t="shared" si="22"/>
        <v>24</v>
      </c>
      <c r="H95" s="114">
        <v>16824</v>
      </c>
      <c r="I95" s="114">
        <f t="shared" si="23"/>
        <v>24</v>
      </c>
      <c r="J95" s="114">
        <v>12023</v>
      </c>
      <c r="K95" s="114">
        <f t="shared" si="24"/>
        <v>20</v>
      </c>
      <c r="L95" s="114">
        <v>16522</v>
      </c>
      <c r="M95" s="114">
        <f t="shared" si="25"/>
        <v>21</v>
      </c>
      <c r="N95" s="114">
        <v>16881</v>
      </c>
      <c r="O95" s="114">
        <f t="shared" si="26"/>
        <v>0</v>
      </c>
      <c r="P95" s="114">
        <v>16949</v>
      </c>
      <c r="Q95" s="114">
        <f t="shared" si="27"/>
        <v>24</v>
      </c>
      <c r="R95" s="114">
        <v>16025</v>
      </c>
      <c r="S95" s="114">
        <f t="shared" si="28"/>
        <v>24</v>
      </c>
      <c r="T95" s="114">
        <v>13880</v>
      </c>
      <c r="U95" s="114">
        <f t="shared" si="31"/>
        <v>0</v>
      </c>
    </row>
    <row r="96" spans="1:21" s="10" customFormat="1">
      <c r="A96" s="113">
        <v>45020</v>
      </c>
      <c r="B96" s="114">
        <v>10729</v>
      </c>
      <c r="C96" s="114">
        <f t="shared" si="20"/>
        <v>24</v>
      </c>
      <c r="D96" s="114">
        <v>17108</v>
      </c>
      <c r="E96" s="114">
        <f t="shared" si="21"/>
        <v>0</v>
      </c>
      <c r="F96" s="114">
        <v>15891</v>
      </c>
      <c r="G96" s="114">
        <f t="shared" si="22"/>
        <v>24</v>
      </c>
      <c r="H96" s="114">
        <v>16848</v>
      </c>
      <c r="I96" s="114">
        <f t="shared" si="23"/>
        <v>24</v>
      </c>
      <c r="J96" s="114">
        <v>12044</v>
      </c>
      <c r="K96" s="114">
        <f t="shared" si="24"/>
        <v>21</v>
      </c>
      <c r="L96" s="114">
        <v>16545</v>
      </c>
      <c r="M96" s="114">
        <f t="shared" si="25"/>
        <v>23</v>
      </c>
      <c r="N96" s="114">
        <v>16881</v>
      </c>
      <c r="O96" s="114">
        <f t="shared" si="26"/>
        <v>0</v>
      </c>
      <c r="P96" s="114">
        <v>16973</v>
      </c>
      <c r="Q96" s="114">
        <f t="shared" si="27"/>
        <v>24</v>
      </c>
      <c r="R96" s="114">
        <v>16049</v>
      </c>
      <c r="S96" s="114">
        <f t="shared" si="28"/>
        <v>24</v>
      </c>
      <c r="T96" s="114">
        <v>13902</v>
      </c>
      <c r="U96" s="114">
        <f t="shared" si="31"/>
        <v>22</v>
      </c>
    </row>
    <row r="97" spans="1:21" s="10" customFormat="1">
      <c r="A97" s="113">
        <v>45021</v>
      </c>
      <c r="B97" s="114">
        <v>10753</v>
      </c>
      <c r="C97" s="114">
        <f t="shared" si="20"/>
        <v>24</v>
      </c>
      <c r="D97" s="114">
        <v>17108</v>
      </c>
      <c r="E97" s="114">
        <f t="shared" si="21"/>
        <v>0</v>
      </c>
      <c r="F97" s="114">
        <v>15915</v>
      </c>
      <c r="G97" s="114">
        <f t="shared" si="22"/>
        <v>24</v>
      </c>
      <c r="H97" s="114">
        <v>16872</v>
      </c>
      <c r="I97" s="114">
        <f t="shared" si="23"/>
        <v>24</v>
      </c>
      <c r="J97" s="114">
        <v>12068</v>
      </c>
      <c r="K97" s="114">
        <f t="shared" si="24"/>
        <v>24</v>
      </c>
      <c r="L97" s="114">
        <v>16569</v>
      </c>
      <c r="M97" s="114">
        <f t="shared" si="25"/>
        <v>24</v>
      </c>
      <c r="N97" s="114">
        <v>16881</v>
      </c>
      <c r="O97" s="114">
        <f t="shared" si="26"/>
        <v>0</v>
      </c>
      <c r="P97" s="114">
        <v>16992</v>
      </c>
      <c r="Q97" s="114">
        <f t="shared" si="27"/>
        <v>19</v>
      </c>
      <c r="R97" s="114">
        <v>16073</v>
      </c>
      <c r="S97" s="114">
        <f t="shared" si="28"/>
        <v>24</v>
      </c>
      <c r="T97" s="114">
        <v>13926</v>
      </c>
      <c r="U97" s="114">
        <f t="shared" si="31"/>
        <v>24</v>
      </c>
    </row>
    <row r="98" spans="1:21" s="10" customFormat="1">
      <c r="A98" s="113">
        <v>45022</v>
      </c>
      <c r="B98" s="114">
        <v>10777</v>
      </c>
      <c r="C98" s="114">
        <f t="shared" si="20"/>
        <v>24</v>
      </c>
      <c r="D98" s="114">
        <v>17108</v>
      </c>
      <c r="E98" s="114">
        <f t="shared" si="21"/>
        <v>0</v>
      </c>
      <c r="F98" s="114">
        <v>15939</v>
      </c>
      <c r="G98" s="114">
        <f t="shared" si="22"/>
        <v>24</v>
      </c>
      <c r="H98" s="114">
        <v>16896</v>
      </c>
      <c r="I98" s="114">
        <f t="shared" si="23"/>
        <v>24</v>
      </c>
      <c r="J98" s="114">
        <v>12092</v>
      </c>
      <c r="K98" s="114">
        <f t="shared" si="24"/>
        <v>24</v>
      </c>
      <c r="L98" s="114">
        <v>16590</v>
      </c>
      <c r="M98" s="114">
        <f t="shared" si="25"/>
        <v>21</v>
      </c>
      <c r="N98" s="114">
        <v>16881</v>
      </c>
      <c r="O98" s="114">
        <f t="shared" si="26"/>
        <v>0</v>
      </c>
      <c r="P98" s="114">
        <v>17016</v>
      </c>
      <c r="Q98" s="114">
        <f t="shared" si="27"/>
        <v>24</v>
      </c>
      <c r="R98" s="114">
        <v>16097</v>
      </c>
      <c r="S98" s="114">
        <f t="shared" si="28"/>
        <v>24</v>
      </c>
      <c r="T98" s="114">
        <v>13950</v>
      </c>
      <c r="U98" s="114">
        <f t="shared" si="31"/>
        <v>24</v>
      </c>
    </row>
    <row r="99" spans="1:21" s="10" customFormat="1">
      <c r="A99" s="113">
        <v>45023</v>
      </c>
      <c r="B99" s="114">
        <v>10801</v>
      </c>
      <c r="C99" s="114">
        <f t="shared" si="20"/>
        <v>24</v>
      </c>
      <c r="D99" s="114">
        <v>17108</v>
      </c>
      <c r="E99" s="114">
        <f t="shared" si="21"/>
        <v>0</v>
      </c>
      <c r="F99" s="114">
        <v>15963</v>
      </c>
      <c r="G99" s="114">
        <f t="shared" si="22"/>
        <v>24</v>
      </c>
      <c r="H99" s="114">
        <v>16920</v>
      </c>
      <c r="I99" s="114">
        <f t="shared" si="23"/>
        <v>24</v>
      </c>
      <c r="J99" s="114">
        <v>12113</v>
      </c>
      <c r="K99" s="114">
        <f t="shared" si="24"/>
        <v>21</v>
      </c>
      <c r="L99" s="114">
        <v>16614</v>
      </c>
      <c r="M99" s="114">
        <f t="shared" si="25"/>
        <v>24</v>
      </c>
      <c r="N99" s="114">
        <v>16881</v>
      </c>
      <c r="O99" s="114">
        <f t="shared" si="26"/>
        <v>0</v>
      </c>
      <c r="P99" s="114">
        <v>17040</v>
      </c>
      <c r="Q99" s="114">
        <f t="shared" si="27"/>
        <v>24</v>
      </c>
      <c r="R99" s="114">
        <v>16121</v>
      </c>
      <c r="S99" s="114">
        <f t="shared" si="28"/>
        <v>24</v>
      </c>
      <c r="T99" s="114">
        <v>13974</v>
      </c>
      <c r="U99" s="114">
        <f t="shared" si="31"/>
        <v>24</v>
      </c>
    </row>
    <row r="100" spans="1:21" s="10" customFormat="1">
      <c r="A100" s="113">
        <v>45024</v>
      </c>
      <c r="B100" s="114">
        <v>10825</v>
      </c>
      <c r="C100" s="114">
        <f t="shared" si="20"/>
        <v>24</v>
      </c>
      <c r="D100" s="114">
        <v>17108</v>
      </c>
      <c r="E100" s="114">
        <f t="shared" si="21"/>
        <v>0</v>
      </c>
      <c r="F100" s="114">
        <v>15987</v>
      </c>
      <c r="G100" s="114">
        <f t="shared" si="22"/>
        <v>24</v>
      </c>
      <c r="H100" s="114">
        <v>16944</v>
      </c>
      <c r="I100" s="114">
        <f t="shared" si="23"/>
        <v>24</v>
      </c>
      <c r="J100" s="114">
        <v>12135</v>
      </c>
      <c r="K100" s="114">
        <f t="shared" si="24"/>
        <v>22</v>
      </c>
      <c r="L100" s="114">
        <v>16636</v>
      </c>
      <c r="M100" s="114">
        <f t="shared" si="25"/>
        <v>22</v>
      </c>
      <c r="N100" s="114">
        <v>16881</v>
      </c>
      <c r="O100" s="114">
        <f t="shared" si="26"/>
        <v>0</v>
      </c>
      <c r="P100" s="114">
        <v>17064</v>
      </c>
      <c r="Q100" s="114">
        <f t="shared" si="27"/>
        <v>24</v>
      </c>
      <c r="R100" s="114">
        <v>16145</v>
      </c>
      <c r="S100" s="114">
        <f t="shared" si="28"/>
        <v>24</v>
      </c>
      <c r="T100" s="114">
        <v>13998</v>
      </c>
      <c r="U100" s="114">
        <f t="shared" si="31"/>
        <v>24</v>
      </c>
    </row>
    <row r="101" spans="1:21" s="10" customFormat="1">
      <c r="A101" s="113">
        <v>45025</v>
      </c>
      <c r="B101" s="114">
        <v>10849</v>
      </c>
      <c r="C101" s="114">
        <f t="shared" si="20"/>
        <v>24</v>
      </c>
      <c r="D101" s="114">
        <v>17108</v>
      </c>
      <c r="E101" s="114">
        <f t="shared" si="21"/>
        <v>0</v>
      </c>
      <c r="F101" s="114">
        <v>16011</v>
      </c>
      <c r="G101" s="114">
        <f t="shared" si="22"/>
        <v>24</v>
      </c>
      <c r="H101" s="114">
        <v>16968</v>
      </c>
      <c r="I101" s="114">
        <f t="shared" si="23"/>
        <v>24</v>
      </c>
      <c r="J101" s="114">
        <v>12159</v>
      </c>
      <c r="K101" s="114">
        <f t="shared" si="24"/>
        <v>24</v>
      </c>
      <c r="L101" s="114">
        <v>16658</v>
      </c>
      <c r="M101" s="114">
        <f t="shared" si="25"/>
        <v>22</v>
      </c>
      <c r="N101" s="114">
        <v>16881</v>
      </c>
      <c r="O101" s="114">
        <f t="shared" si="26"/>
        <v>0</v>
      </c>
      <c r="P101" s="114">
        <v>17088</v>
      </c>
      <c r="Q101" s="114">
        <f t="shared" si="27"/>
        <v>24</v>
      </c>
      <c r="R101" s="114">
        <v>16169</v>
      </c>
      <c r="S101" s="114">
        <f t="shared" si="28"/>
        <v>24</v>
      </c>
      <c r="T101" s="114">
        <v>14022</v>
      </c>
      <c r="U101" s="114">
        <f t="shared" si="31"/>
        <v>24</v>
      </c>
    </row>
    <row r="102" spans="1:21" s="10" customFormat="1">
      <c r="A102" s="113">
        <v>45026</v>
      </c>
      <c r="B102" s="114">
        <v>10873</v>
      </c>
      <c r="C102" s="114">
        <f t="shared" si="20"/>
        <v>24</v>
      </c>
      <c r="D102" s="114">
        <v>17108</v>
      </c>
      <c r="E102" s="114">
        <f t="shared" si="21"/>
        <v>0</v>
      </c>
      <c r="F102" s="114">
        <v>16035</v>
      </c>
      <c r="G102" s="114">
        <f t="shared" si="22"/>
        <v>24</v>
      </c>
      <c r="H102" s="114">
        <v>16992</v>
      </c>
      <c r="I102" s="114">
        <f t="shared" si="23"/>
        <v>24</v>
      </c>
      <c r="J102" s="114">
        <v>12180</v>
      </c>
      <c r="K102" s="114">
        <f t="shared" si="24"/>
        <v>21</v>
      </c>
      <c r="L102" s="114">
        <v>16681</v>
      </c>
      <c r="M102" s="114">
        <f t="shared" si="25"/>
        <v>23</v>
      </c>
      <c r="N102" s="114">
        <v>16881</v>
      </c>
      <c r="O102" s="114">
        <f t="shared" si="26"/>
        <v>0</v>
      </c>
      <c r="P102" s="114">
        <v>17112</v>
      </c>
      <c r="Q102" s="114">
        <f t="shared" si="27"/>
        <v>24</v>
      </c>
      <c r="R102" s="114">
        <v>16193</v>
      </c>
      <c r="S102" s="114">
        <f t="shared" si="28"/>
        <v>24</v>
      </c>
      <c r="T102" s="114">
        <v>14046</v>
      </c>
      <c r="U102" s="114">
        <f t="shared" si="31"/>
        <v>24</v>
      </c>
    </row>
    <row r="103" spans="1:21" s="10" customFormat="1">
      <c r="A103" s="113">
        <v>45027</v>
      </c>
      <c r="B103" s="114">
        <v>10897</v>
      </c>
      <c r="C103" s="114">
        <f t="shared" si="20"/>
        <v>24</v>
      </c>
      <c r="D103" s="114">
        <v>17108</v>
      </c>
      <c r="E103" s="114">
        <f t="shared" si="21"/>
        <v>0</v>
      </c>
      <c r="F103" s="114">
        <v>16059</v>
      </c>
      <c r="G103" s="114">
        <f t="shared" si="22"/>
        <v>24</v>
      </c>
      <c r="H103" s="114">
        <v>17016</v>
      </c>
      <c r="I103" s="114">
        <f t="shared" si="23"/>
        <v>24</v>
      </c>
      <c r="J103" s="114">
        <v>12201</v>
      </c>
      <c r="K103" s="114">
        <f t="shared" si="24"/>
        <v>21</v>
      </c>
      <c r="L103" s="114">
        <v>16705</v>
      </c>
      <c r="M103" s="114">
        <f t="shared" si="25"/>
        <v>24</v>
      </c>
      <c r="N103" s="114">
        <v>16881</v>
      </c>
      <c r="O103" s="114">
        <f t="shared" si="26"/>
        <v>0</v>
      </c>
      <c r="P103" s="114">
        <v>17135</v>
      </c>
      <c r="Q103" s="114">
        <f t="shared" si="27"/>
        <v>23</v>
      </c>
      <c r="R103" s="114">
        <v>16217</v>
      </c>
      <c r="S103" s="114">
        <f t="shared" si="28"/>
        <v>24</v>
      </c>
      <c r="T103" s="114">
        <v>14070</v>
      </c>
      <c r="U103" s="114">
        <f t="shared" si="31"/>
        <v>24</v>
      </c>
    </row>
    <row r="104" spans="1:21" s="10" customFormat="1">
      <c r="A104" s="113">
        <v>45028</v>
      </c>
      <c r="B104" s="114">
        <v>10916</v>
      </c>
      <c r="C104" s="114">
        <f t="shared" si="20"/>
        <v>19</v>
      </c>
      <c r="D104" s="114">
        <v>17108</v>
      </c>
      <c r="E104" s="114">
        <f t="shared" si="21"/>
        <v>0</v>
      </c>
      <c r="F104" s="114">
        <v>16072</v>
      </c>
      <c r="G104" s="114">
        <f t="shared" si="22"/>
        <v>13</v>
      </c>
      <c r="H104" s="114">
        <v>17037</v>
      </c>
      <c r="I104" s="114">
        <f t="shared" si="23"/>
        <v>21</v>
      </c>
      <c r="J104" s="114">
        <v>12224</v>
      </c>
      <c r="K104" s="114">
        <f t="shared" si="24"/>
        <v>23</v>
      </c>
      <c r="L104" s="114">
        <v>16729</v>
      </c>
      <c r="M104" s="114">
        <f t="shared" si="25"/>
        <v>24</v>
      </c>
      <c r="N104" s="114">
        <v>16881</v>
      </c>
      <c r="O104" s="114">
        <f t="shared" si="26"/>
        <v>0</v>
      </c>
      <c r="P104" s="114">
        <v>17159</v>
      </c>
      <c r="Q104" s="114">
        <f t="shared" si="27"/>
        <v>24</v>
      </c>
      <c r="R104" s="114">
        <v>16235</v>
      </c>
      <c r="S104" s="114">
        <f t="shared" si="28"/>
        <v>18</v>
      </c>
      <c r="T104" s="114">
        <v>14083</v>
      </c>
      <c r="U104" s="114">
        <f t="shared" si="31"/>
        <v>13</v>
      </c>
    </row>
    <row r="105" spans="1:21" s="10" customFormat="1">
      <c r="A105" s="113">
        <v>45029</v>
      </c>
      <c r="B105" s="114">
        <v>10939</v>
      </c>
      <c r="C105" s="114">
        <f t="shared" si="20"/>
        <v>23</v>
      </c>
      <c r="D105" s="114">
        <v>17108</v>
      </c>
      <c r="E105" s="114">
        <f t="shared" si="21"/>
        <v>0</v>
      </c>
      <c r="F105" s="114">
        <v>16096</v>
      </c>
      <c r="G105" s="114">
        <f t="shared" si="22"/>
        <v>24</v>
      </c>
      <c r="H105" s="114">
        <v>17058</v>
      </c>
      <c r="I105" s="114">
        <f t="shared" si="23"/>
        <v>21</v>
      </c>
      <c r="J105" s="114">
        <v>12248</v>
      </c>
      <c r="K105" s="114">
        <f t="shared" si="24"/>
        <v>24</v>
      </c>
      <c r="L105" s="114">
        <v>16752</v>
      </c>
      <c r="M105" s="114">
        <f t="shared" si="25"/>
        <v>23</v>
      </c>
      <c r="N105" s="114">
        <v>16881</v>
      </c>
      <c r="O105" s="114">
        <f t="shared" si="26"/>
        <v>0</v>
      </c>
      <c r="P105" s="114">
        <v>17183</v>
      </c>
      <c r="Q105" s="114">
        <f t="shared" si="27"/>
        <v>24</v>
      </c>
      <c r="R105" s="114">
        <v>16259</v>
      </c>
      <c r="S105" s="114">
        <f t="shared" si="28"/>
        <v>24</v>
      </c>
      <c r="T105" s="114">
        <v>14107</v>
      </c>
      <c r="U105" s="114">
        <f t="shared" si="31"/>
        <v>24</v>
      </c>
    </row>
    <row r="106" spans="1:21" s="10" customFormat="1">
      <c r="A106" s="113">
        <v>45030</v>
      </c>
      <c r="B106" s="114">
        <v>10963</v>
      </c>
      <c r="C106" s="114">
        <f t="shared" si="20"/>
        <v>24</v>
      </c>
      <c r="D106" s="114">
        <v>17108</v>
      </c>
      <c r="E106" s="114">
        <f t="shared" si="21"/>
        <v>0</v>
      </c>
      <c r="F106" s="114">
        <v>16120</v>
      </c>
      <c r="G106" s="114">
        <f t="shared" si="22"/>
        <v>24</v>
      </c>
      <c r="H106" s="114">
        <v>17082</v>
      </c>
      <c r="I106" s="114">
        <f t="shared" si="23"/>
        <v>24</v>
      </c>
      <c r="J106" s="114">
        <v>12267</v>
      </c>
      <c r="K106" s="114">
        <f t="shared" si="24"/>
        <v>19</v>
      </c>
      <c r="L106" s="114">
        <v>16776</v>
      </c>
      <c r="M106" s="114">
        <f t="shared" si="25"/>
        <v>24</v>
      </c>
      <c r="N106" s="114">
        <v>16881</v>
      </c>
      <c r="O106" s="114">
        <f t="shared" si="26"/>
        <v>0</v>
      </c>
      <c r="P106" s="114">
        <v>17207</v>
      </c>
      <c r="Q106" s="114">
        <f t="shared" si="27"/>
        <v>24</v>
      </c>
      <c r="R106" s="114">
        <v>16283</v>
      </c>
      <c r="S106" s="114">
        <f t="shared" si="28"/>
        <v>24</v>
      </c>
      <c r="T106" s="114">
        <v>14131</v>
      </c>
      <c r="U106" s="114">
        <f t="shared" si="31"/>
        <v>24</v>
      </c>
    </row>
    <row r="107" spans="1:21" s="10" customFormat="1">
      <c r="A107" s="113">
        <v>45031</v>
      </c>
      <c r="B107" s="114">
        <v>10987</v>
      </c>
      <c r="C107" s="114">
        <f t="shared" si="20"/>
        <v>24</v>
      </c>
      <c r="D107" s="114">
        <v>17108</v>
      </c>
      <c r="E107" s="114">
        <f t="shared" si="21"/>
        <v>0</v>
      </c>
      <c r="F107" s="114">
        <v>16144</v>
      </c>
      <c r="G107" s="114">
        <f t="shared" si="22"/>
        <v>24</v>
      </c>
      <c r="H107" s="114">
        <v>17104</v>
      </c>
      <c r="I107" s="114">
        <f t="shared" si="23"/>
        <v>22</v>
      </c>
      <c r="J107" s="114">
        <v>12291</v>
      </c>
      <c r="K107" s="114">
        <f t="shared" si="24"/>
        <v>24</v>
      </c>
      <c r="L107" s="114">
        <v>16799</v>
      </c>
      <c r="M107" s="114">
        <f t="shared" si="25"/>
        <v>23</v>
      </c>
      <c r="N107" s="114">
        <v>16881</v>
      </c>
      <c r="O107" s="114">
        <f t="shared" si="26"/>
        <v>0</v>
      </c>
      <c r="P107" s="114">
        <v>17231</v>
      </c>
      <c r="Q107" s="114">
        <f t="shared" si="27"/>
        <v>24</v>
      </c>
      <c r="R107" s="114">
        <v>16307</v>
      </c>
      <c r="S107" s="114">
        <f t="shared" si="28"/>
        <v>24</v>
      </c>
      <c r="T107" s="114">
        <v>14155</v>
      </c>
      <c r="U107" s="114">
        <f t="shared" si="31"/>
        <v>24</v>
      </c>
    </row>
    <row r="108" spans="1:21" s="10" customFormat="1">
      <c r="A108" s="113">
        <v>45032</v>
      </c>
      <c r="B108" s="114">
        <v>11010</v>
      </c>
      <c r="C108" s="114">
        <f t="shared" si="20"/>
        <v>23</v>
      </c>
      <c r="D108" s="114">
        <v>17108</v>
      </c>
      <c r="E108" s="114">
        <f t="shared" si="21"/>
        <v>0</v>
      </c>
      <c r="F108" s="114">
        <v>16168</v>
      </c>
      <c r="G108" s="114">
        <f t="shared" si="22"/>
        <v>24</v>
      </c>
      <c r="H108" s="114">
        <v>17128</v>
      </c>
      <c r="I108" s="114">
        <f t="shared" si="23"/>
        <v>24</v>
      </c>
      <c r="J108" s="114">
        <v>12291</v>
      </c>
      <c r="K108" s="114">
        <f t="shared" si="24"/>
        <v>0</v>
      </c>
      <c r="L108" s="114">
        <v>16823</v>
      </c>
      <c r="M108" s="114">
        <f t="shared" si="25"/>
        <v>24</v>
      </c>
      <c r="N108" s="114">
        <v>16881</v>
      </c>
      <c r="O108" s="114">
        <f t="shared" si="26"/>
        <v>0</v>
      </c>
      <c r="P108" s="114">
        <v>17255</v>
      </c>
      <c r="Q108" s="114">
        <f t="shared" si="27"/>
        <v>24</v>
      </c>
      <c r="R108" s="114">
        <v>16331</v>
      </c>
      <c r="S108" s="114">
        <f t="shared" si="28"/>
        <v>24</v>
      </c>
      <c r="T108" s="114">
        <v>14179</v>
      </c>
      <c r="U108" s="114">
        <f t="shared" si="31"/>
        <v>24</v>
      </c>
    </row>
    <row r="109" spans="1:21" s="10" customFormat="1">
      <c r="A109" s="113">
        <v>45033</v>
      </c>
      <c r="B109" s="114">
        <v>11034</v>
      </c>
      <c r="C109" s="114">
        <f t="shared" si="20"/>
        <v>24</v>
      </c>
      <c r="D109" s="114">
        <v>17108</v>
      </c>
      <c r="E109" s="114">
        <f t="shared" si="21"/>
        <v>0</v>
      </c>
      <c r="F109" s="114">
        <v>16192</v>
      </c>
      <c r="G109" s="114">
        <f t="shared" si="22"/>
        <v>24</v>
      </c>
      <c r="H109" s="114">
        <v>17152</v>
      </c>
      <c r="I109" s="114">
        <f t="shared" si="23"/>
        <v>24</v>
      </c>
      <c r="J109" s="114">
        <v>12314</v>
      </c>
      <c r="K109" s="114">
        <f t="shared" si="24"/>
        <v>23</v>
      </c>
      <c r="L109" s="114">
        <v>16844</v>
      </c>
      <c r="M109" s="114">
        <f t="shared" si="25"/>
        <v>21</v>
      </c>
      <c r="N109" s="114">
        <v>16881</v>
      </c>
      <c r="O109" s="114">
        <f t="shared" si="26"/>
        <v>0</v>
      </c>
      <c r="P109" s="114">
        <v>17279</v>
      </c>
      <c r="Q109" s="114">
        <f t="shared" si="27"/>
        <v>24</v>
      </c>
      <c r="R109" s="114">
        <v>16355</v>
      </c>
      <c r="S109" s="114">
        <f t="shared" si="28"/>
        <v>24</v>
      </c>
      <c r="T109" s="114">
        <v>14203</v>
      </c>
      <c r="U109" s="114">
        <f t="shared" si="31"/>
        <v>24</v>
      </c>
    </row>
    <row r="110" spans="1:21" s="10" customFormat="1">
      <c r="A110" s="113">
        <v>45034</v>
      </c>
      <c r="B110" s="114">
        <v>11058</v>
      </c>
      <c r="C110" s="114">
        <f t="shared" si="20"/>
        <v>24</v>
      </c>
      <c r="D110" s="114">
        <v>17108</v>
      </c>
      <c r="E110" s="114">
        <f t="shared" si="21"/>
        <v>0</v>
      </c>
      <c r="F110" s="114">
        <v>16216</v>
      </c>
      <c r="G110" s="114">
        <f t="shared" si="22"/>
        <v>24</v>
      </c>
      <c r="H110" s="114">
        <v>17176</v>
      </c>
      <c r="I110" s="114">
        <f t="shared" si="23"/>
        <v>24</v>
      </c>
      <c r="J110" s="114">
        <v>12338</v>
      </c>
      <c r="K110" s="114">
        <f t="shared" si="24"/>
        <v>24</v>
      </c>
      <c r="L110" s="114">
        <v>16868</v>
      </c>
      <c r="M110" s="114">
        <f t="shared" si="25"/>
        <v>24</v>
      </c>
      <c r="N110" s="114">
        <v>16881</v>
      </c>
      <c r="O110" s="114">
        <f t="shared" si="26"/>
        <v>0</v>
      </c>
      <c r="P110" s="114">
        <v>17301</v>
      </c>
      <c r="Q110" s="114">
        <f t="shared" si="27"/>
        <v>22</v>
      </c>
      <c r="R110" s="114">
        <v>16379</v>
      </c>
      <c r="S110" s="114">
        <f t="shared" si="28"/>
        <v>24</v>
      </c>
      <c r="T110" s="114">
        <v>14227</v>
      </c>
      <c r="U110" s="114">
        <f t="shared" si="31"/>
        <v>24</v>
      </c>
    </row>
    <row r="111" spans="1:21" s="10" customFormat="1">
      <c r="A111" s="113">
        <v>45035</v>
      </c>
      <c r="B111" s="114">
        <v>11082</v>
      </c>
      <c r="C111" s="114">
        <f t="shared" si="20"/>
        <v>24</v>
      </c>
      <c r="D111" s="114">
        <v>17108</v>
      </c>
      <c r="E111" s="114">
        <f t="shared" si="21"/>
        <v>0</v>
      </c>
      <c r="F111" s="114">
        <v>16240</v>
      </c>
      <c r="G111" s="114">
        <f t="shared" si="22"/>
        <v>24</v>
      </c>
      <c r="H111" s="114">
        <v>17200</v>
      </c>
      <c r="I111" s="114">
        <f t="shared" si="23"/>
        <v>24</v>
      </c>
      <c r="J111" s="114">
        <v>12360</v>
      </c>
      <c r="K111" s="114">
        <f t="shared" si="24"/>
        <v>22</v>
      </c>
      <c r="L111" s="114">
        <v>16891</v>
      </c>
      <c r="M111" s="114">
        <f t="shared" si="25"/>
        <v>23</v>
      </c>
      <c r="N111" s="114">
        <v>16881</v>
      </c>
      <c r="O111" s="114">
        <f t="shared" si="26"/>
        <v>0</v>
      </c>
      <c r="P111" s="114">
        <v>17325</v>
      </c>
      <c r="Q111" s="114">
        <f t="shared" si="27"/>
        <v>24</v>
      </c>
      <c r="R111" s="114">
        <v>16403</v>
      </c>
      <c r="S111" s="114">
        <f t="shared" si="28"/>
        <v>24</v>
      </c>
      <c r="T111" s="114">
        <v>14251</v>
      </c>
      <c r="U111" s="114">
        <f t="shared" si="31"/>
        <v>24</v>
      </c>
    </row>
    <row r="112" spans="1:21" s="10" customFormat="1">
      <c r="A112" s="113">
        <v>45036</v>
      </c>
      <c r="B112" s="114">
        <v>11106</v>
      </c>
      <c r="C112" s="114">
        <f t="shared" si="20"/>
        <v>24</v>
      </c>
      <c r="D112" s="114">
        <v>17108</v>
      </c>
      <c r="E112" s="114">
        <f t="shared" si="21"/>
        <v>0</v>
      </c>
      <c r="F112" s="114">
        <v>16264</v>
      </c>
      <c r="G112" s="114">
        <f t="shared" si="22"/>
        <v>24</v>
      </c>
      <c r="H112" s="114">
        <v>17224</v>
      </c>
      <c r="I112" s="114">
        <f t="shared" si="23"/>
        <v>24</v>
      </c>
      <c r="J112" s="114">
        <v>12384</v>
      </c>
      <c r="K112" s="114">
        <f t="shared" si="24"/>
        <v>24</v>
      </c>
      <c r="L112" s="114">
        <v>16915</v>
      </c>
      <c r="M112" s="114">
        <f t="shared" si="25"/>
        <v>24</v>
      </c>
      <c r="N112" s="114">
        <v>16881</v>
      </c>
      <c r="O112" s="114">
        <f t="shared" si="26"/>
        <v>0</v>
      </c>
      <c r="P112" s="114">
        <v>17347</v>
      </c>
      <c r="Q112" s="114">
        <f t="shared" si="27"/>
        <v>22</v>
      </c>
      <c r="R112" s="114">
        <v>16427</v>
      </c>
      <c r="S112" s="114">
        <f t="shared" si="28"/>
        <v>24</v>
      </c>
      <c r="T112" s="114">
        <v>14275</v>
      </c>
      <c r="U112" s="114">
        <f t="shared" si="31"/>
        <v>24</v>
      </c>
    </row>
    <row r="113" spans="1:21" s="10" customFormat="1">
      <c r="A113" s="113">
        <v>45037</v>
      </c>
      <c r="B113" s="114">
        <v>11130</v>
      </c>
      <c r="C113" s="114">
        <f t="shared" si="20"/>
        <v>24</v>
      </c>
      <c r="D113" s="114">
        <v>17108</v>
      </c>
      <c r="E113" s="114">
        <f t="shared" si="21"/>
        <v>0</v>
      </c>
      <c r="F113" s="114">
        <v>16288</v>
      </c>
      <c r="G113" s="114">
        <f t="shared" si="22"/>
        <v>24</v>
      </c>
      <c r="H113" s="114">
        <v>17248</v>
      </c>
      <c r="I113" s="114">
        <f t="shared" si="23"/>
        <v>24</v>
      </c>
      <c r="J113" s="114">
        <v>12406</v>
      </c>
      <c r="K113" s="114">
        <f t="shared" si="24"/>
        <v>22</v>
      </c>
      <c r="L113" s="114">
        <v>16939</v>
      </c>
      <c r="M113" s="114">
        <f t="shared" si="25"/>
        <v>24</v>
      </c>
      <c r="N113" s="114">
        <v>16881</v>
      </c>
      <c r="O113" s="114">
        <f t="shared" si="26"/>
        <v>0</v>
      </c>
      <c r="P113" s="114">
        <v>17371</v>
      </c>
      <c r="Q113" s="114">
        <f t="shared" si="27"/>
        <v>24</v>
      </c>
      <c r="R113" s="114">
        <v>16451</v>
      </c>
      <c r="S113" s="114">
        <f t="shared" si="28"/>
        <v>24</v>
      </c>
      <c r="T113" s="114">
        <v>14299</v>
      </c>
      <c r="U113" s="114">
        <f t="shared" si="31"/>
        <v>24</v>
      </c>
    </row>
    <row r="114" spans="1:21" s="10" customFormat="1">
      <c r="A114" s="113">
        <v>45038</v>
      </c>
      <c r="B114" s="114">
        <v>11154</v>
      </c>
      <c r="C114" s="114">
        <f t="shared" si="20"/>
        <v>24</v>
      </c>
      <c r="D114" s="114">
        <v>17108</v>
      </c>
      <c r="E114" s="114">
        <f t="shared" si="21"/>
        <v>0</v>
      </c>
      <c r="F114" s="114">
        <v>16312</v>
      </c>
      <c r="G114" s="114">
        <f t="shared" si="22"/>
        <v>24</v>
      </c>
      <c r="H114" s="114">
        <v>17272</v>
      </c>
      <c r="I114" s="114">
        <f t="shared" si="23"/>
        <v>24</v>
      </c>
      <c r="J114" s="114">
        <v>12430</v>
      </c>
      <c r="K114" s="114">
        <f t="shared" si="24"/>
        <v>24</v>
      </c>
      <c r="L114" s="114">
        <v>16963</v>
      </c>
      <c r="M114" s="114">
        <f t="shared" si="25"/>
        <v>24</v>
      </c>
      <c r="N114" s="114">
        <v>16881</v>
      </c>
      <c r="O114" s="114">
        <f t="shared" si="26"/>
        <v>0</v>
      </c>
      <c r="P114" s="114">
        <v>17394</v>
      </c>
      <c r="Q114" s="114">
        <f t="shared" si="27"/>
        <v>23</v>
      </c>
      <c r="R114" s="114">
        <v>16475</v>
      </c>
      <c r="S114" s="114">
        <f t="shared" si="28"/>
        <v>24</v>
      </c>
      <c r="T114" s="114">
        <v>14323</v>
      </c>
      <c r="U114" s="114">
        <f t="shared" si="31"/>
        <v>24</v>
      </c>
    </row>
    <row r="115" spans="1:21" s="10" customFormat="1">
      <c r="A115" s="113">
        <v>45039</v>
      </c>
      <c r="B115" s="114">
        <v>11178</v>
      </c>
      <c r="C115" s="114">
        <f t="shared" si="20"/>
        <v>24</v>
      </c>
      <c r="D115" s="114">
        <v>17108</v>
      </c>
      <c r="E115" s="114">
        <f t="shared" si="21"/>
        <v>0</v>
      </c>
      <c r="F115" s="114">
        <v>16336</v>
      </c>
      <c r="G115" s="114">
        <f t="shared" si="22"/>
        <v>24</v>
      </c>
      <c r="H115" s="114">
        <v>17296</v>
      </c>
      <c r="I115" s="114">
        <f t="shared" si="23"/>
        <v>24</v>
      </c>
      <c r="J115" s="114">
        <v>12454</v>
      </c>
      <c r="K115" s="114">
        <f t="shared" si="24"/>
        <v>24</v>
      </c>
      <c r="L115" s="114">
        <v>16987</v>
      </c>
      <c r="M115" s="114">
        <f t="shared" si="25"/>
        <v>24</v>
      </c>
      <c r="N115" s="114">
        <v>16881</v>
      </c>
      <c r="O115" s="114">
        <f t="shared" si="26"/>
        <v>0</v>
      </c>
      <c r="P115" s="114">
        <v>17416</v>
      </c>
      <c r="Q115" s="114">
        <f t="shared" si="27"/>
        <v>22</v>
      </c>
      <c r="R115" s="114">
        <v>16499</v>
      </c>
      <c r="S115" s="114">
        <f t="shared" si="28"/>
        <v>24</v>
      </c>
      <c r="T115" s="114">
        <v>14347</v>
      </c>
      <c r="U115" s="114">
        <f t="shared" si="31"/>
        <v>24</v>
      </c>
    </row>
    <row r="116" spans="1:21" s="10" customFormat="1">
      <c r="A116" s="113">
        <v>45040</v>
      </c>
      <c r="B116" s="114">
        <v>11197</v>
      </c>
      <c r="C116" s="114">
        <f t="shared" si="20"/>
        <v>19</v>
      </c>
      <c r="D116" s="114">
        <v>17108</v>
      </c>
      <c r="E116" s="114">
        <f t="shared" si="21"/>
        <v>0</v>
      </c>
      <c r="F116" s="114">
        <v>16356</v>
      </c>
      <c r="G116" s="114">
        <f t="shared" si="22"/>
        <v>20</v>
      </c>
      <c r="H116" s="114">
        <v>17316</v>
      </c>
      <c r="I116" s="114">
        <f t="shared" si="23"/>
        <v>20</v>
      </c>
      <c r="J116" s="114">
        <v>12467</v>
      </c>
      <c r="K116" s="114">
        <f t="shared" si="24"/>
        <v>13</v>
      </c>
      <c r="L116" s="114">
        <v>17010</v>
      </c>
      <c r="M116" s="114">
        <f t="shared" si="25"/>
        <v>23</v>
      </c>
      <c r="N116" s="114">
        <v>16881</v>
      </c>
      <c r="O116" s="114">
        <f t="shared" si="26"/>
        <v>0</v>
      </c>
      <c r="P116" s="114">
        <v>17440</v>
      </c>
      <c r="Q116" s="114">
        <f t="shared" si="27"/>
        <v>24</v>
      </c>
      <c r="R116" s="114">
        <v>16521</v>
      </c>
      <c r="S116" s="114">
        <f t="shared" si="28"/>
        <v>22</v>
      </c>
      <c r="T116" s="114">
        <v>14364</v>
      </c>
      <c r="U116" s="114">
        <f t="shared" si="31"/>
        <v>17</v>
      </c>
    </row>
    <row r="117" spans="1:21" s="10" customFormat="1">
      <c r="A117" s="113">
        <v>45041</v>
      </c>
      <c r="B117" s="114">
        <v>11221</v>
      </c>
      <c r="C117" s="114">
        <f t="shared" si="20"/>
        <v>24</v>
      </c>
      <c r="D117" s="114">
        <v>17108</v>
      </c>
      <c r="E117" s="114">
        <f t="shared" si="21"/>
        <v>0</v>
      </c>
      <c r="F117" s="114">
        <v>16380</v>
      </c>
      <c r="G117" s="114">
        <f t="shared" si="22"/>
        <v>24</v>
      </c>
      <c r="H117" s="114">
        <v>17340</v>
      </c>
      <c r="I117" s="114">
        <f t="shared" si="23"/>
        <v>24</v>
      </c>
      <c r="J117" s="114">
        <v>12487</v>
      </c>
      <c r="K117" s="114">
        <f t="shared" si="24"/>
        <v>20</v>
      </c>
      <c r="L117" s="114">
        <v>17031</v>
      </c>
      <c r="M117" s="114">
        <f t="shared" si="25"/>
        <v>21</v>
      </c>
      <c r="N117" s="114">
        <v>16881</v>
      </c>
      <c r="O117" s="114">
        <f t="shared" si="26"/>
        <v>0</v>
      </c>
      <c r="P117" s="114">
        <v>17464</v>
      </c>
      <c r="Q117" s="114">
        <f t="shared" si="27"/>
        <v>24</v>
      </c>
      <c r="R117" s="114">
        <v>16545</v>
      </c>
      <c r="S117" s="114">
        <f t="shared" si="28"/>
        <v>24</v>
      </c>
      <c r="T117" s="114">
        <v>14388</v>
      </c>
      <c r="U117" s="114">
        <f t="shared" si="31"/>
        <v>24</v>
      </c>
    </row>
    <row r="118" spans="1:21" s="10" customFormat="1">
      <c r="A118" s="113">
        <v>45042</v>
      </c>
      <c r="B118" s="114">
        <v>11245</v>
      </c>
      <c r="C118" s="114">
        <f t="shared" si="20"/>
        <v>24</v>
      </c>
      <c r="D118" s="114">
        <v>17108</v>
      </c>
      <c r="E118" s="114">
        <f t="shared" si="21"/>
        <v>0</v>
      </c>
      <c r="F118" s="114">
        <v>16404</v>
      </c>
      <c r="G118" s="114">
        <f t="shared" si="22"/>
        <v>24</v>
      </c>
      <c r="H118" s="114">
        <v>17362</v>
      </c>
      <c r="I118" s="114">
        <f t="shared" si="23"/>
        <v>22</v>
      </c>
      <c r="J118" s="114">
        <v>12511</v>
      </c>
      <c r="K118" s="114">
        <f t="shared" si="24"/>
        <v>24</v>
      </c>
      <c r="L118" s="114">
        <v>17055</v>
      </c>
      <c r="M118" s="114">
        <f t="shared" si="25"/>
        <v>24</v>
      </c>
      <c r="N118" s="114">
        <v>16881</v>
      </c>
      <c r="O118" s="114">
        <f t="shared" si="26"/>
        <v>0</v>
      </c>
      <c r="P118" s="114">
        <v>17487</v>
      </c>
      <c r="Q118" s="114">
        <f t="shared" si="27"/>
        <v>23</v>
      </c>
      <c r="R118" s="114">
        <v>16569</v>
      </c>
      <c r="S118" s="114">
        <f t="shared" si="28"/>
        <v>24</v>
      </c>
      <c r="T118" s="114">
        <v>14412</v>
      </c>
      <c r="U118" s="114">
        <f t="shared" si="31"/>
        <v>24</v>
      </c>
    </row>
    <row r="119" spans="1:21" s="10" customFormat="1">
      <c r="A119" s="113">
        <v>45043</v>
      </c>
      <c r="B119" s="114">
        <v>11269</v>
      </c>
      <c r="C119" s="114">
        <f t="shared" si="20"/>
        <v>24</v>
      </c>
      <c r="D119" s="114">
        <v>17108</v>
      </c>
      <c r="E119" s="114">
        <f t="shared" si="21"/>
        <v>0</v>
      </c>
      <c r="F119" s="114">
        <v>16428</v>
      </c>
      <c r="G119" s="114">
        <f t="shared" si="22"/>
        <v>24</v>
      </c>
      <c r="H119" s="114">
        <v>17386</v>
      </c>
      <c r="I119" s="114">
        <f t="shared" si="23"/>
        <v>24</v>
      </c>
      <c r="J119" s="114">
        <v>12535</v>
      </c>
      <c r="K119" s="114">
        <f t="shared" si="24"/>
        <v>24</v>
      </c>
      <c r="L119" s="114">
        <v>17079</v>
      </c>
      <c r="M119" s="114">
        <f t="shared" si="25"/>
        <v>24</v>
      </c>
      <c r="N119" s="114">
        <v>16881</v>
      </c>
      <c r="O119" s="114">
        <f t="shared" si="26"/>
        <v>0</v>
      </c>
      <c r="P119" s="114">
        <v>17511</v>
      </c>
      <c r="Q119" s="114">
        <f t="shared" si="27"/>
        <v>24</v>
      </c>
      <c r="R119" s="114">
        <v>16569</v>
      </c>
      <c r="S119" s="114">
        <f t="shared" si="28"/>
        <v>0</v>
      </c>
      <c r="T119" s="114">
        <v>14433</v>
      </c>
      <c r="U119" s="114">
        <f t="shared" si="31"/>
        <v>21</v>
      </c>
    </row>
    <row r="120" spans="1:21" s="10" customFormat="1">
      <c r="A120" s="113">
        <v>45044</v>
      </c>
      <c r="B120" s="114">
        <v>11293</v>
      </c>
      <c r="C120" s="114">
        <f t="shared" si="20"/>
        <v>24</v>
      </c>
      <c r="D120" s="114">
        <v>17108</v>
      </c>
      <c r="E120" s="114">
        <f t="shared" si="21"/>
        <v>0</v>
      </c>
      <c r="F120" s="114">
        <v>16452</v>
      </c>
      <c r="G120" s="114">
        <f t="shared" si="22"/>
        <v>24</v>
      </c>
      <c r="H120" s="114">
        <v>17410</v>
      </c>
      <c r="I120" s="114">
        <f t="shared" si="23"/>
        <v>24</v>
      </c>
      <c r="J120" s="114">
        <v>12558</v>
      </c>
      <c r="K120" s="114">
        <f t="shared" si="24"/>
        <v>23</v>
      </c>
      <c r="L120" s="114">
        <v>17103</v>
      </c>
      <c r="M120" s="114">
        <f t="shared" si="25"/>
        <v>24</v>
      </c>
      <c r="N120" s="114">
        <v>16882</v>
      </c>
      <c r="O120" s="114">
        <f t="shared" si="26"/>
        <v>1</v>
      </c>
      <c r="P120" s="114">
        <v>17535</v>
      </c>
      <c r="Q120" s="114">
        <f t="shared" si="27"/>
        <v>24</v>
      </c>
      <c r="R120" s="114">
        <v>16588</v>
      </c>
      <c r="S120" s="114">
        <f t="shared" si="28"/>
        <v>19</v>
      </c>
      <c r="T120" s="114">
        <v>14457</v>
      </c>
      <c r="U120" s="114">
        <f t="shared" si="31"/>
        <v>24</v>
      </c>
    </row>
    <row r="121" spans="1:21" s="10" customFormat="1">
      <c r="A121" s="113">
        <v>45045</v>
      </c>
      <c r="B121" s="114">
        <v>11317</v>
      </c>
      <c r="C121" s="114">
        <f t="shared" si="20"/>
        <v>24</v>
      </c>
      <c r="D121" s="114">
        <v>17108</v>
      </c>
      <c r="E121" s="114">
        <f t="shared" si="21"/>
        <v>0</v>
      </c>
      <c r="F121" s="114">
        <v>16476</v>
      </c>
      <c r="G121" s="114">
        <f t="shared" si="22"/>
        <v>24</v>
      </c>
      <c r="H121" s="114">
        <v>17434</v>
      </c>
      <c r="I121" s="114">
        <f t="shared" si="23"/>
        <v>24</v>
      </c>
      <c r="J121" s="114">
        <v>12582</v>
      </c>
      <c r="K121" s="114">
        <f t="shared" si="24"/>
        <v>24</v>
      </c>
      <c r="L121" s="114">
        <v>17127</v>
      </c>
      <c r="M121" s="114">
        <f t="shared" si="25"/>
        <v>24</v>
      </c>
      <c r="N121" s="114">
        <v>16886</v>
      </c>
      <c r="O121" s="114">
        <f t="shared" si="26"/>
        <v>4</v>
      </c>
      <c r="P121" s="114">
        <v>17559</v>
      </c>
      <c r="Q121" s="114">
        <f t="shared" si="27"/>
        <v>24</v>
      </c>
      <c r="R121" s="114">
        <v>16611</v>
      </c>
      <c r="S121" s="114">
        <f t="shared" si="28"/>
        <v>23</v>
      </c>
      <c r="T121" s="114">
        <v>14481</v>
      </c>
      <c r="U121" s="114">
        <f t="shared" si="31"/>
        <v>24</v>
      </c>
    </row>
    <row r="122" spans="1:21" s="10" customFormat="1">
      <c r="A122" s="113">
        <v>45046</v>
      </c>
      <c r="B122" s="114">
        <v>11340</v>
      </c>
      <c r="C122" s="114">
        <f t="shared" si="20"/>
        <v>23</v>
      </c>
      <c r="D122" s="114">
        <v>17108</v>
      </c>
      <c r="E122" s="114">
        <f t="shared" si="21"/>
        <v>0</v>
      </c>
      <c r="F122" s="114">
        <v>16499</v>
      </c>
      <c r="G122" s="114">
        <f t="shared" si="22"/>
        <v>23</v>
      </c>
      <c r="H122" s="114">
        <v>17458</v>
      </c>
      <c r="I122" s="114">
        <f t="shared" si="23"/>
        <v>24</v>
      </c>
      <c r="J122" s="114">
        <v>12604</v>
      </c>
      <c r="K122" s="114">
        <f t="shared" si="24"/>
        <v>22</v>
      </c>
      <c r="L122" s="114">
        <v>17150</v>
      </c>
      <c r="M122" s="114">
        <f t="shared" si="25"/>
        <v>23</v>
      </c>
      <c r="N122" s="114">
        <v>16890</v>
      </c>
      <c r="O122" s="114">
        <f t="shared" si="26"/>
        <v>4</v>
      </c>
      <c r="P122" s="114">
        <v>17583</v>
      </c>
      <c r="Q122" s="114">
        <f t="shared" si="27"/>
        <v>24</v>
      </c>
      <c r="R122" s="114">
        <v>16635</v>
      </c>
      <c r="S122" s="114">
        <f t="shared" si="28"/>
        <v>24</v>
      </c>
      <c r="T122" s="114">
        <v>14505</v>
      </c>
      <c r="U122" s="114">
        <f t="shared" si="31"/>
        <v>24</v>
      </c>
    </row>
    <row r="123" spans="1:21">
      <c r="A123" s="113">
        <v>45047</v>
      </c>
      <c r="B123" s="114">
        <v>11364</v>
      </c>
      <c r="C123" s="114">
        <f>IF(B123&gt;B122,B123-B122,0)</f>
        <v>24</v>
      </c>
      <c r="D123" s="114">
        <v>17108</v>
      </c>
      <c r="E123" s="114">
        <f t="shared" ref="E123:E135" si="32">IF(D123&gt;D122,D123-D122,0)</f>
        <v>0</v>
      </c>
      <c r="F123" s="114">
        <v>16523</v>
      </c>
      <c r="G123" s="114">
        <f t="shared" ref="G123:G130" si="33">IF(F123&gt;F122,F123-F122,0)</f>
        <v>24</v>
      </c>
      <c r="H123" s="114">
        <v>17482</v>
      </c>
      <c r="I123" s="114">
        <f t="shared" ref="I123:I130" si="34">IF(H123&gt;H122,H123-H122,0)</f>
        <v>24</v>
      </c>
      <c r="J123" s="114">
        <v>12604</v>
      </c>
      <c r="K123" s="114">
        <f t="shared" si="24"/>
        <v>0</v>
      </c>
      <c r="L123" s="114">
        <v>17174</v>
      </c>
      <c r="M123" s="114">
        <f t="shared" ref="M123:M130" si="35">IF(L123&gt;L122,L123-L122,0)</f>
        <v>24</v>
      </c>
      <c r="N123" s="114">
        <v>16912</v>
      </c>
      <c r="O123" s="114">
        <f t="shared" si="26"/>
        <v>22</v>
      </c>
      <c r="P123" s="114">
        <v>17607</v>
      </c>
      <c r="Q123" s="114">
        <f t="shared" ref="Q123:Q130" si="36">IF(P123&gt;P122,P123-P122,0)</f>
        <v>24</v>
      </c>
      <c r="R123" s="114">
        <v>16659</v>
      </c>
      <c r="S123" s="114">
        <f t="shared" si="28"/>
        <v>24</v>
      </c>
      <c r="T123" s="114">
        <v>14529</v>
      </c>
      <c r="U123" s="114">
        <f t="shared" ref="U123:U142" si="37">IF(T123&gt;T122,T123-T122,0)</f>
        <v>24</v>
      </c>
    </row>
    <row r="124" spans="1:21">
      <c r="A124" s="113">
        <v>45048</v>
      </c>
      <c r="B124" s="114">
        <v>11388</v>
      </c>
      <c r="C124" s="114">
        <f>IF(B124&gt;B123,B124-B123,0)</f>
        <v>24</v>
      </c>
      <c r="D124" s="114">
        <v>17108</v>
      </c>
      <c r="E124" s="114">
        <f t="shared" si="32"/>
        <v>0</v>
      </c>
      <c r="F124" s="114">
        <v>16547</v>
      </c>
      <c r="G124" s="114">
        <f>IF(F124&gt;F123,F124-F123,0)</f>
        <v>24</v>
      </c>
      <c r="H124" s="114">
        <v>17506</v>
      </c>
      <c r="I124" s="114">
        <f>IF(H124&gt;H123,H124-H123,0)</f>
        <v>24</v>
      </c>
      <c r="J124" s="114">
        <v>12604</v>
      </c>
      <c r="K124" s="114">
        <f>IF(J124&gt;J123,J124-J123,0)</f>
        <v>0</v>
      </c>
      <c r="L124" s="114">
        <v>17198</v>
      </c>
      <c r="M124" s="114">
        <f>IF(L124&gt;L123,L124-L123,0)</f>
        <v>24</v>
      </c>
      <c r="N124" s="114">
        <v>16936</v>
      </c>
      <c r="O124" s="114">
        <f>IF(N124&gt;N123,N124-N123,0)</f>
        <v>24</v>
      </c>
      <c r="P124" s="114">
        <v>17630</v>
      </c>
      <c r="Q124" s="114">
        <f>IF(P124&gt;P123,P124-P123,0)</f>
        <v>23</v>
      </c>
      <c r="R124" s="114">
        <v>16682</v>
      </c>
      <c r="S124" s="114">
        <f>IF(R124&gt;R123,R124-R123,0)</f>
        <v>23</v>
      </c>
      <c r="T124" s="114">
        <v>14553</v>
      </c>
      <c r="U124" s="114">
        <f>IF(T124&gt;T123,T124-T123,0)</f>
        <v>24</v>
      </c>
    </row>
    <row r="125" spans="1:21">
      <c r="A125" s="113">
        <v>45049</v>
      </c>
      <c r="B125" s="114">
        <v>11412</v>
      </c>
      <c r="C125" s="114">
        <f>IF(B125&gt;B124,B125-B124,0)</f>
        <v>24</v>
      </c>
      <c r="D125" s="114">
        <v>17108</v>
      </c>
      <c r="E125" s="114">
        <f t="shared" si="32"/>
        <v>0</v>
      </c>
      <c r="F125" s="114">
        <v>16571</v>
      </c>
      <c r="G125" s="114">
        <f t="shared" si="33"/>
        <v>24</v>
      </c>
      <c r="H125" s="114">
        <v>17530</v>
      </c>
      <c r="I125" s="114">
        <f t="shared" si="34"/>
        <v>24</v>
      </c>
      <c r="J125" s="114">
        <v>12604</v>
      </c>
      <c r="K125" s="114">
        <f t="shared" si="24"/>
        <v>0</v>
      </c>
      <c r="L125" s="114">
        <v>17222</v>
      </c>
      <c r="M125" s="114">
        <f t="shared" si="35"/>
        <v>24</v>
      </c>
      <c r="N125" s="114">
        <v>16960</v>
      </c>
      <c r="O125" s="114">
        <f t="shared" si="26"/>
        <v>24</v>
      </c>
      <c r="P125" s="114">
        <v>17652</v>
      </c>
      <c r="Q125" s="114">
        <f t="shared" si="36"/>
        <v>22</v>
      </c>
      <c r="R125" s="114">
        <v>16706</v>
      </c>
      <c r="S125" s="114">
        <f t="shared" si="28"/>
        <v>24</v>
      </c>
      <c r="T125" s="114">
        <v>14577</v>
      </c>
      <c r="U125" s="114">
        <f t="shared" si="37"/>
        <v>24</v>
      </c>
    </row>
    <row r="126" spans="1:21">
      <c r="A126" s="113">
        <v>45050</v>
      </c>
      <c r="B126" s="114">
        <v>11436</v>
      </c>
      <c r="C126" s="114">
        <f>IF(B126&gt;B125,B126-B125,0)</f>
        <v>24</v>
      </c>
      <c r="D126" s="114">
        <v>17108</v>
      </c>
      <c r="E126" s="114">
        <f t="shared" si="32"/>
        <v>0</v>
      </c>
      <c r="F126" s="114">
        <v>16595</v>
      </c>
      <c r="G126" s="114">
        <f t="shared" si="33"/>
        <v>24</v>
      </c>
      <c r="H126" s="114">
        <v>17553</v>
      </c>
      <c r="I126" s="114">
        <f t="shared" si="34"/>
        <v>23</v>
      </c>
      <c r="J126" s="114">
        <v>12604</v>
      </c>
      <c r="K126" s="114">
        <f t="shared" si="24"/>
        <v>0</v>
      </c>
      <c r="L126" s="114">
        <v>17246</v>
      </c>
      <c r="M126" s="114">
        <f t="shared" si="35"/>
        <v>24</v>
      </c>
      <c r="N126" s="114">
        <v>16984</v>
      </c>
      <c r="O126" s="114">
        <f t="shared" si="26"/>
        <v>24</v>
      </c>
      <c r="P126" s="114">
        <v>17675</v>
      </c>
      <c r="Q126" s="114">
        <f t="shared" si="36"/>
        <v>23</v>
      </c>
      <c r="R126" s="114">
        <v>16730</v>
      </c>
      <c r="S126" s="114">
        <f t="shared" si="28"/>
        <v>24</v>
      </c>
      <c r="T126" s="114">
        <v>14601</v>
      </c>
      <c r="U126" s="114">
        <f t="shared" si="37"/>
        <v>24</v>
      </c>
    </row>
    <row r="127" spans="1:21">
      <c r="A127" s="113">
        <v>45051</v>
      </c>
      <c r="B127" s="114">
        <v>11460</v>
      </c>
      <c r="C127" s="114">
        <f>IF(B127&gt;B126,B127-B126,0)</f>
        <v>24</v>
      </c>
      <c r="D127" s="114">
        <v>17111</v>
      </c>
      <c r="E127" s="114">
        <f t="shared" si="32"/>
        <v>3</v>
      </c>
      <c r="F127" s="114">
        <v>16619</v>
      </c>
      <c r="G127" s="114">
        <f t="shared" si="33"/>
        <v>24</v>
      </c>
      <c r="H127" s="114">
        <v>17577</v>
      </c>
      <c r="I127" s="114">
        <f t="shared" si="34"/>
        <v>24</v>
      </c>
      <c r="J127" s="114">
        <v>12604</v>
      </c>
      <c r="K127" s="114">
        <f t="shared" si="24"/>
        <v>0</v>
      </c>
      <c r="L127" s="114">
        <v>17267</v>
      </c>
      <c r="M127" s="114">
        <f t="shared" si="35"/>
        <v>21</v>
      </c>
      <c r="N127" s="114">
        <v>17008</v>
      </c>
      <c r="O127" s="114">
        <f t="shared" si="26"/>
        <v>24</v>
      </c>
      <c r="P127" s="114">
        <v>17699</v>
      </c>
      <c r="Q127" s="114">
        <f t="shared" si="36"/>
        <v>24</v>
      </c>
      <c r="R127" s="114">
        <v>16754</v>
      </c>
      <c r="S127" s="114">
        <f t="shared" si="28"/>
        <v>24</v>
      </c>
      <c r="T127" s="114">
        <v>14625</v>
      </c>
      <c r="U127" s="114">
        <f t="shared" si="37"/>
        <v>24</v>
      </c>
    </row>
    <row r="128" spans="1:21">
      <c r="A128" s="113">
        <v>45052</v>
      </c>
      <c r="B128" s="114">
        <v>11484</v>
      </c>
      <c r="C128" s="114">
        <f t="shared" ref="C128:C135" si="38">IF(B128&gt;B127,B128-B127,0)</f>
        <v>24</v>
      </c>
      <c r="D128" s="114">
        <v>17114</v>
      </c>
      <c r="E128" s="114">
        <f t="shared" si="32"/>
        <v>3</v>
      </c>
      <c r="F128" s="114">
        <v>16643</v>
      </c>
      <c r="G128" s="114">
        <f t="shared" si="33"/>
        <v>24</v>
      </c>
      <c r="H128" s="114">
        <v>17601</v>
      </c>
      <c r="I128" s="114">
        <f t="shared" si="34"/>
        <v>24</v>
      </c>
      <c r="J128" s="114">
        <v>12604</v>
      </c>
      <c r="K128" s="114">
        <f t="shared" si="24"/>
        <v>0</v>
      </c>
      <c r="L128" s="114">
        <v>17291</v>
      </c>
      <c r="M128" s="114">
        <f t="shared" si="35"/>
        <v>24</v>
      </c>
      <c r="N128" s="114">
        <v>17032</v>
      </c>
      <c r="O128" s="114">
        <f t="shared" si="26"/>
        <v>24</v>
      </c>
      <c r="P128" s="114">
        <v>17723</v>
      </c>
      <c r="Q128" s="114">
        <f t="shared" si="36"/>
        <v>24</v>
      </c>
      <c r="R128" s="114">
        <v>16778</v>
      </c>
      <c r="S128" s="114">
        <f t="shared" si="28"/>
        <v>24</v>
      </c>
      <c r="T128" s="114">
        <v>14649</v>
      </c>
      <c r="U128" s="114">
        <f t="shared" si="37"/>
        <v>24</v>
      </c>
    </row>
    <row r="129" spans="1:21">
      <c r="A129" s="113">
        <v>45053</v>
      </c>
      <c r="B129" s="114">
        <v>11508</v>
      </c>
      <c r="C129" s="114">
        <f t="shared" si="38"/>
        <v>24</v>
      </c>
      <c r="D129" s="114">
        <v>17114</v>
      </c>
      <c r="E129" s="114">
        <f t="shared" si="32"/>
        <v>0</v>
      </c>
      <c r="F129" s="114">
        <v>16664</v>
      </c>
      <c r="G129" s="114">
        <f>IF(F129&gt;F128,F129-F128,0)</f>
        <v>21</v>
      </c>
      <c r="H129" s="114">
        <v>17625</v>
      </c>
      <c r="I129" s="114">
        <f t="shared" si="34"/>
        <v>24</v>
      </c>
      <c r="J129" s="114">
        <v>12604</v>
      </c>
      <c r="K129" s="114">
        <f t="shared" si="24"/>
        <v>0</v>
      </c>
      <c r="L129" s="114">
        <v>17315</v>
      </c>
      <c r="M129" s="114">
        <f t="shared" si="35"/>
        <v>24</v>
      </c>
      <c r="N129" s="114">
        <v>17056</v>
      </c>
      <c r="O129" s="114">
        <f t="shared" si="26"/>
        <v>24</v>
      </c>
      <c r="P129" s="114">
        <v>17747</v>
      </c>
      <c r="Q129" s="114">
        <f t="shared" si="36"/>
        <v>24</v>
      </c>
      <c r="R129" s="114">
        <v>16802</v>
      </c>
      <c r="S129" s="114">
        <f t="shared" si="28"/>
        <v>24</v>
      </c>
      <c r="T129" s="114">
        <v>14673</v>
      </c>
      <c r="U129" s="114">
        <f t="shared" si="37"/>
        <v>24</v>
      </c>
    </row>
    <row r="130" spans="1:21">
      <c r="A130" s="113">
        <v>45054</v>
      </c>
      <c r="B130" s="114">
        <v>11532</v>
      </c>
      <c r="C130" s="114">
        <f t="shared" si="38"/>
        <v>24</v>
      </c>
      <c r="D130" s="114">
        <v>17134</v>
      </c>
      <c r="E130" s="114">
        <f t="shared" si="32"/>
        <v>20</v>
      </c>
      <c r="F130" s="114">
        <v>16688</v>
      </c>
      <c r="G130" s="114">
        <f t="shared" si="33"/>
        <v>24</v>
      </c>
      <c r="H130" s="114">
        <v>17647</v>
      </c>
      <c r="I130" s="114">
        <f t="shared" si="34"/>
        <v>22</v>
      </c>
      <c r="J130" s="114">
        <v>12604</v>
      </c>
      <c r="K130" s="114">
        <f t="shared" si="24"/>
        <v>0</v>
      </c>
      <c r="L130" s="114">
        <v>17339</v>
      </c>
      <c r="M130" s="114">
        <f t="shared" si="35"/>
        <v>24</v>
      </c>
      <c r="N130" s="114">
        <v>17056</v>
      </c>
      <c r="O130" s="114">
        <f t="shared" si="26"/>
        <v>0</v>
      </c>
      <c r="P130" s="114">
        <v>17771</v>
      </c>
      <c r="Q130" s="114">
        <f t="shared" si="36"/>
        <v>24</v>
      </c>
      <c r="R130" s="114">
        <v>16826</v>
      </c>
      <c r="S130" s="114">
        <f t="shared" si="28"/>
        <v>24</v>
      </c>
      <c r="T130" s="114">
        <v>14697</v>
      </c>
      <c r="U130" s="114">
        <f t="shared" si="37"/>
        <v>24</v>
      </c>
    </row>
    <row r="131" spans="1:21">
      <c r="A131" s="113">
        <v>45055</v>
      </c>
      <c r="B131" s="114">
        <v>11550</v>
      </c>
      <c r="C131" s="114">
        <f t="shared" si="38"/>
        <v>18</v>
      </c>
      <c r="D131" s="114">
        <v>17158</v>
      </c>
      <c r="E131" s="114">
        <f t="shared" si="32"/>
        <v>24</v>
      </c>
      <c r="F131" s="114">
        <v>16712</v>
      </c>
      <c r="G131" s="114">
        <f t="shared" ref="G131:G147" si="39">IF(F131&gt;F130,F131-F130,0)</f>
        <v>24</v>
      </c>
      <c r="H131" s="114">
        <v>17671</v>
      </c>
      <c r="I131" s="114">
        <f t="shared" ref="I131:I147" si="40">IF(H131&gt;H130,H131-H130,0)</f>
        <v>24</v>
      </c>
      <c r="J131" s="114">
        <v>12604</v>
      </c>
      <c r="K131" s="114">
        <f t="shared" ref="K131:K136" si="41">IF(J131&gt;J130,J131-J130,0)</f>
        <v>0</v>
      </c>
      <c r="L131" s="114">
        <v>17363</v>
      </c>
      <c r="M131" s="114">
        <f t="shared" ref="M131:M147" si="42">IF(L131&gt;L130,L131-L130,0)</f>
        <v>24</v>
      </c>
      <c r="N131" s="114">
        <v>17078</v>
      </c>
      <c r="O131" s="114">
        <f>IF(N131&gt;N130,N131-N130,0)</f>
        <v>22</v>
      </c>
      <c r="P131" s="114">
        <v>17795</v>
      </c>
      <c r="Q131" s="114">
        <f t="shared" ref="Q131:Q147" si="43">IF(P131&gt;P130,P131-P130,0)</f>
        <v>24</v>
      </c>
      <c r="R131" s="114">
        <v>16850</v>
      </c>
      <c r="S131" s="114">
        <f>IF(R131&gt;R130,R131-R130,0)</f>
        <v>24</v>
      </c>
      <c r="T131" s="114">
        <v>14703</v>
      </c>
      <c r="U131" s="114">
        <f t="shared" si="37"/>
        <v>6</v>
      </c>
    </row>
    <row r="132" spans="1:21">
      <c r="A132" s="113">
        <v>45056</v>
      </c>
      <c r="B132" s="114">
        <v>11574</v>
      </c>
      <c r="C132" s="114">
        <f t="shared" si="38"/>
        <v>24</v>
      </c>
      <c r="D132" s="114">
        <v>17174</v>
      </c>
      <c r="E132" s="114">
        <f t="shared" si="32"/>
        <v>16</v>
      </c>
      <c r="F132" s="114">
        <v>16736</v>
      </c>
      <c r="G132" s="114">
        <f>IF(F132&gt;F131,F132-F131,0)</f>
        <v>24</v>
      </c>
      <c r="H132" s="114">
        <v>17695</v>
      </c>
      <c r="I132" s="114">
        <f>IF(H132&gt;H131,H132-H131,0)</f>
        <v>24</v>
      </c>
      <c r="J132" s="114">
        <v>12604</v>
      </c>
      <c r="K132" s="114">
        <f t="shared" si="41"/>
        <v>0</v>
      </c>
      <c r="L132" s="114">
        <v>17377</v>
      </c>
      <c r="M132" s="114">
        <f t="shared" si="42"/>
        <v>14</v>
      </c>
      <c r="N132" s="114">
        <v>17102</v>
      </c>
      <c r="O132" s="114">
        <f>IF(N132&gt;N131,N132-N131,0)</f>
        <v>24</v>
      </c>
      <c r="P132" s="114">
        <v>17819</v>
      </c>
      <c r="Q132" s="114">
        <f>IF(P132&gt;P131,P132-P131,0)</f>
        <v>24</v>
      </c>
      <c r="R132" s="114">
        <v>16866</v>
      </c>
      <c r="S132" s="114">
        <f>IF(R132&gt;R131,R132-R131,0)</f>
        <v>16</v>
      </c>
      <c r="T132" s="114">
        <v>14727</v>
      </c>
      <c r="U132" s="114">
        <f t="shared" si="37"/>
        <v>24</v>
      </c>
    </row>
    <row r="133" spans="1:21">
      <c r="A133" s="113">
        <v>45057</v>
      </c>
      <c r="B133" s="114">
        <v>11596</v>
      </c>
      <c r="C133" s="114">
        <f t="shared" si="38"/>
        <v>22</v>
      </c>
      <c r="D133" s="114">
        <v>17198</v>
      </c>
      <c r="E133" s="114">
        <f t="shared" si="32"/>
        <v>24</v>
      </c>
      <c r="F133" s="114">
        <v>16760</v>
      </c>
      <c r="G133" s="114">
        <f>IF(F133&gt;F132,F133-F132,0)</f>
        <v>24</v>
      </c>
      <c r="H133" s="114">
        <v>17696</v>
      </c>
      <c r="I133" s="114">
        <f t="shared" si="40"/>
        <v>1</v>
      </c>
      <c r="J133" s="114">
        <v>12604</v>
      </c>
      <c r="K133" s="114">
        <f t="shared" si="41"/>
        <v>0</v>
      </c>
      <c r="L133" s="114">
        <v>17401</v>
      </c>
      <c r="M133" s="114">
        <f t="shared" si="42"/>
        <v>24</v>
      </c>
      <c r="N133" s="114">
        <v>17126</v>
      </c>
      <c r="O133" s="114">
        <f>IF(N133&gt;N132,N133-N132,0)</f>
        <v>24</v>
      </c>
      <c r="P133" s="114">
        <v>17842</v>
      </c>
      <c r="Q133" s="114">
        <f t="shared" si="43"/>
        <v>23</v>
      </c>
      <c r="R133" s="114">
        <v>16890</v>
      </c>
      <c r="S133" s="114">
        <f>IF(R133&gt;R132,R133-R132,0)</f>
        <v>24</v>
      </c>
      <c r="T133" s="114">
        <v>14750</v>
      </c>
      <c r="U133" s="114">
        <f t="shared" si="37"/>
        <v>23</v>
      </c>
    </row>
    <row r="134" spans="1:21">
      <c r="A134" s="113">
        <v>45058</v>
      </c>
      <c r="B134" s="114">
        <v>11620</v>
      </c>
      <c r="C134" s="114">
        <f t="shared" si="38"/>
        <v>24</v>
      </c>
      <c r="D134" s="114">
        <v>17222</v>
      </c>
      <c r="E134" s="114">
        <f t="shared" si="32"/>
        <v>24</v>
      </c>
      <c r="F134" s="114">
        <v>16784</v>
      </c>
      <c r="G134" s="114">
        <f>IF(F134&gt;F133,F134-F133,0)</f>
        <v>24</v>
      </c>
      <c r="H134" s="114">
        <v>17696</v>
      </c>
      <c r="I134" s="114">
        <f t="shared" si="40"/>
        <v>0</v>
      </c>
      <c r="J134" s="114">
        <v>12604</v>
      </c>
      <c r="K134" s="114">
        <f t="shared" si="41"/>
        <v>0</v>
      </c>
      <c r="L134" s="114">
        <v>17425</v>
      </c>
      <c r="M134" s="114">
        <f>IF(L134&gt;L133,L134-L133,0)</f>
        <v>24</v>
      </c>
      <c r="N134" s="114">
        <v>17150</v>
      </c>
      <c r="O134" s="114">
        <f t="shared" ref="O134:O147" si="44">IF(N134&gt;N133,N134-N133,0)</f>
        <v>24</v>
      </c>
      <c r="P134" s="114">
        <v>17866</v>
      </c>
      <c r="Q134" s="114">
        <f t="shared" si="43"/>
        <v>24</v>
      </c>
      <c r="R134" s="114">
        <v>16914</v>
      </c>
      <c r="S134" s="114">
        <f t="shared" ref="S134:S147" si="45">IF(R134&gt;R133,R134-R133,0)</f>
        <v>24</v>
      </c>
      <c r="T134" s="114">
        <v>14774</v>
      </c>
      <c r="U134" s="114">
        <f t="shared" si="37"/>
        <v>24</v>
      </c>
    </row>
    <row r="135" spans="1:21">
      <c r="A135" s="113">
        <v>45059</v>
      </c>
      <c r="B135" s="114">
        <v>11643</v>
      </c>
      <c r="C135" s="114">
        <f t="shared" si="38"/>
        <v>23</v>
      </c>
      <c r="D135" s="114">
        <v>17245</v>
      </c>
      <c r="E135" s="114">
        <f t="shared" si="32"/>
        <v>23</v>
      </c>
      <c r="F135" s="114">
        <v>16807</v>
      </c>
      <c r="G135" s="114">
        <f>IF(F135&gt;F134,F135-F134,0)</f>
        <v>23</v>
      </c>
      <c r="H135" s="114">
        <v>17696</v>
      </c>
      <c r="I135" s="114">
        <f t="shared" si="40"/>
        <v>0</v>
      </c>
      <c r="J135" s="114">
        <v>12604</v>
      </c>
      <c r="K135" s="114">
        <f t="shared" si="41"/>
        <v>0</v>
      </c>
      <c r="L135" s="114">
        <v>17448</v>
      </c>
      <c r="M135" s="114">
        <f t="shared" si="42"/>
        <v>23</v>
      </c>
      <c r="N135" s="114">
        <v>17172</v>
      </c>
      <c r="O135" s="114">
        <f t="shared" si="44"/>
        <v>22</v>
      </c>
      <c r="P135" s="114">
        <v>17888</v>
      </c>
      <c r="Q135" s="114">
        <f t="shared" si="43"/>
        <v>22</v>
      </c>
      <c r="R135" s="114">
        <v>16937</v>
      </c>
      <c r="S135" s="114">
        <f t="shared" si="45"/>
        <v>23</v>
      </c>
      <c r="T135" s="114">
        <v>14796</v>
      </c>
      <c r="U135" s="114">
        <f t="shared" si="37"/>
        <v>22</v>
      </c>
    </row>
    <row r="136" spans="1:21">
      <c r="A136" s="113">
        <v>45060</v>
      </c>
      <c r="B136" s="114">
        <v>11667</v>
      </c>
      <c r="C136" s="114">
        <f t="shared" ref="C136:C147" si="46">IF(B136&gt;B135,B136-B135,0)</f>
        <v>24</v>
      </c>
      <c r="D136" s="114">
        <v>17267</v>
      </c>
      <c r="E136" s="114">
        <f t="shared" ref="E136:E147" si="47">IF(D136&gt;D135,D136-D135,0)</f>
        <v>22</v>
      </c>
      <c r="F136" s="114">
        <v>16831</v>
      </c>
      <c r="G136" s="114">
        <f t="shared" si="39"/>
        <v>24</v>
      </c>
      <c r="H136" s="114">
        <v>17696</v>
      </c>
      <c r="I136" s="114">
        <f t="shared" si="40"/>
        <v>0</v>
      </c>
      <c r="J136" s="114">
        <v>12605</v>
      </c>
      <c r="K136" s="114">
        <f t="shared" si="41"/>
        <v>1</v>
      </c>
      <c r="L136" s="114">
        <v>17472</v>
      </c>
      <c r="M136" s="114">
        <f t="shared" si="42"/>
        <v>24</v>
      </c>
      <c r="N136" s="114">
        <v>17195</v>
      </c>
      <c r="O136" s="114">
        <f t="shared" si="44"/>
        <v>23</v>
      </c>
      <c r="P136" s="114">
        <v>17912</v>
      </c>
      <c r="Q136" s="114">
        <f t="shared" si="43"/>
        <v>24</v>
      </c>
      <c r="R136" s="114">
        <v>16961</v>
      </c>
      <c r="S136" s="114">
        <f t="shared" si="45"/>
        <v>24</v>
      </c>
      <c r="T136" s="114">
        <v>14820</v>
      </c>
      <c r="U136" s="114">
        <f t="shared" si="37"/>
        <v>24</v>
      </c>
    </row>
    <row r="137" spans="1:21">
      <c r="A137" s="113">
        <v>45061</v>
      </c>
      <c r="B137" s="114">
        <v>11691</v>
      </c>
      <c r="C137" s="114">
        <f t="shared" si="46"/>
        <v>24</v>
      </c>
      <c r="D137" s="114">
        <v>17291</v>
      </c>
      <c r="E137" s="114">
        <f t="shared" si="47"/>
        <v>24</v>
      </c>
      <c r="F137" s="114">
        <v>16855</v>
      </c>
      <c r="G137" s="114">
        <f t="shared" si="39"/>
        <v>24</v>
      </c>
      <c r="H137" s="114">
        <v>17696</v>
      </c>
      <c r="I137" s="114">
        <f t="shared" si="40"/>
        <v>0</v>
      </c>
      <c r="J137" s="114">
        <v>12609</v>
      </c>
      <c r="K137" s="114">
        <f t="shared" ref="K137:K147" si="48">IF(J137&gt;J136,J137-J136,0)</f>
        <v>4</v>
      </c>
      <c r="L137" s="114">
        <v>17496</v>
      </c>
      <c r="M137" s="114">
        <f t="shared" si="42"/>
        <v>24</v>
      </c>
      <c r="N137" s="114">
        <v>17219</v>
      </c>
      <c r="O137" s="114">
        <f t="shared" si="44"/>
        <v>24</v>
      </c>
      <c r="P137" s="114">
        <v>17936</v>
      </c>
      <c r="Q137" s="114">
        <f t="shared" si="43"/>
        <v>24</v>
      </c>
      <c r="R137" s="114">
        <v>16985</v>
      </c>
      <c r="S137" s="114">
        <f t="shared" si="45"/>
        <v>24</v>
      </c>
      <c r="T137" s="114">
        <v>14844</v>
      </c>
      <c r="U137" s="114">
        <f t="shared" si="37"/>
        <v>24</v>
      </c>
    </row>
    <row r="138" spans="1:21">
      <c r="A138" s="113">
        <v>45062</v>
      </c>
      <c r="B138" s="114">
        <v>11715</v>
      </c>
      <c r="C138" s="114">
        <f t="shared" si="46"/>
        <v>24</v>
      </c>
      <c r="D138" s="114">
        <v>17315</v>
      </c>
      <c r="E138" s="114">
        <f t="shared" si="47"/>
        <v>24</v>
      </c>
      <c r="F138" s="114">
        <v>16879</v>
      </c>
      <c r="G138" s="114">
        <f t="shared" si="39"/>
        <v>24</v>
      </c>
      <c r="H138" s="114">
        <v>17696</v>
      </c>
      <c r="I138" s="114">
        <f t="shared" si="40"/>
        <v>0</v>
      </c>
      <c r="J138" s="114">
        <v>12633</v>
      </c>
      <c r="K138" s="114">
        <f t="shared" si="48"/>
        <v>24</v>
      </c>
      <c r="L138" s="114">
        <v>17496</v>
      </c>
      <c r="M138" s="114">
        <f t="shared" si="42"/>
        <v>0</v>
      </c>
      <c r="N138" s="114">
        <v>17240</v>
      </c>
      <c r="O138" s="114">
        <f t="shared" si="44"/>
        <v>21</v>
      </c>
      <c r="P138" s="114">
        <v>17960</v>
      </c>
      <c r="Q138" s="114">
        <f t="shared" si="43"/>
        <v>24</v>
      </c>
      <c r="R138" s="114">
        <v>17009</v>
      </c>
      <c r="S138" s="114">
        <f t="shared" si="45"/>
        <v>24</v>
      </c>
      <c r="T138" s="114">
        <v>14868</v>
      </c>
      <c r="U138" s="114">
        <f t="shared" si="37"/>
        <v>24</v>
      </c>
    </row>
    <row r="139" spans="1:21">
      <c r="A139" s="113">
        <v>45063</v>
      </c>
      <c r="B139" s="114">
        <v>11737</v>
      </c>
      <c r="C139" s="114">
        <f t="shared" si="46"/>
        <v>22</v>
      </c>
      <c r="D139" s="114">
        <v>17338</v>
      </c>
      <c r="E139" s="114">
        <f t="shared" si="47"/>
        <v>23</v>
      </c>
      <c r="F139" s="114">
        <v>16883</v>
      </c>
      <c r="G139" s="114">
        <f t="shared" si="39"/>
        <v>4</v>
      </c>
      <c r="H139" s="114">
        <v>17696</v>
      </c>
      <c r="I139" s="114">
        <f t="shared" si="40"/>
        <v>0</v>
      </c>
      <c r="J139" s="114">
        <v>12657</v>
      </c>
      <c r="K139" s="114">
        <f t="shared" si="48"/>
        <v>24</v>
      </c>
      <c r="L139" s="114">
        <v>17519</v>
      </c>
      <c r="M139" s="114">
        <f t="shared" si="42"/>
        <v>23</v>
      </c>
      <c r="N139" s="114">
        <v>17262</v>
      </c>
      <c r="O139" s="114">
        <f t="shared" si="44"/>
        <v>22</v>
      </c>
      <c r="P139" s="114">
        <v>17979</v>
      </c>
      <c r="Q139" s="114">
        <f t="shared" si="43"/>
        <v>19</v>
      </c>
      <c r="R139" s="114">
        <v>17033</v>
      </c>
      <c r="S139" s="114">
        <f t="shared" si="45"/>
        <v>24</v>
      </c>
      <c r="T139" s="114">
        <v>14892</v>
      </c>
      <c r="U139" s="114">
        <f t="shared" si="37"/>
        <v>24</v>
      </c>
    </row>
    <row r="140" spans="1:21">
      <c r="A140" s="113">
        <v>45064</v>
      </c>
      <c r="B140" s="114">
        <v>11741</v>
      </c>
      <c r="C140" s="114">
        <f t="shared" si="46"/>
        <v>4</v>
      </c>
      <c r="D140" s="114">
        <v>17357</v>
      </c>
      <c r="E140" s="114">
        <f t="shared" si="47"/>
        <v>19</v>
      </c>
      <c r="F140" s="114">
        <v>16907</v>
      </c>
      <c r="G140" s="114">
        <f t="shared" si="39"/>
        <v>24</v>
      </c>
      <c r="H140" s="114">
        <v>17696</v>
      </c>
      <c r="I140" s="114">
        <f t="shared" si="40"/>
        <v>0</v>
      </c>
      <c r="J140" s="114">
        <v>12681</v>
      </c>
      <c r="K140" s="114">
        <f t="shared" si="48"/>
        <v>24</v>
      </c>
      <c r="L140" s="114">
        <v>17543</v>
      </c>
      <c r="M140" s="114">
        <f t="shared" si="42"/>
        <v>24</v>
      </c>
      <c r="N140" s="114">
        <v>17286</v>
      </c>
      <c r="O140" s="114">
        <f t="shared" si="44"/>
        <v>24</v>
      </c>
      <c r="P140" s="114">
        <v>18003</v>
      </c>
      <c r="Q140" s="114">
        <f t="shared" si="43"/>
        <v>24</v>
      </c>
      <c r="R140" s="114">
        <v>17054</v>
      </c>
      <c r="S140" s="114">
        <f t="shared" si="45"/>
        <v>21</v>
      </c>
      <c r="T140" s="114">
        <v>14916</v>
      </c>
      <c r="U140" s="114">
        <f t="shared" si="37"/>
        <v>24</v>
      </c>
    </row>
    <row r="141" spans="1:21">
      <c r="A141" s="113">
        <v>45065</v>
      </c>
      <c r="B141" s="114">
        <v>11764</v>
      </c>
      <c r="C141" s="114">
        <f t="shared" si="46"/>
        <v>23</v>
      </c>
      <c r="D141" s="114">
        <v>17381</v>
      </c>
      <c r="E141" s="114">
        <f t="shared" si="47"/>
        <v>24</v>
      </c>
      <c r="F141" s="114">
        <v>16931</v>
      </c>
      <c r="G141" s="114">
        <f t="shared" si="39"/>
        <v>24</v>
      </c>
      <c r="H141" s="114">
        <v>17696</v>
      </c>
      <c r="I141" s="114">
        <f t="shared" si="40"/>
        <v>0</v>
      </c>
      <c r="J141" s="114">
        <v>12705</v>
      </c>
      <c r="K141" s="114">
        <f t="shared" si="48"/>
        <v>24</v>
      </c>
      <c r="L141" s="114">
        <v>17567</v>
      </c>
      <c r="M141" s="114">
        <f t="shared" si="42"/>
        <v>24</v>
      </c>
      <c r="N141" s="114">
        <v>17303</v>
      </c>
      <c r="O141" s="114">
        <f t="shared" si="44"/>
        <v>17</v>
      </c>
      <c r="P141" s="114">
        <v>18027</v>
      </c>
      <c r="Q141" s="114">
        <f t="shared" si="43"/>
        <v>24</v>
      </c>
      <c r="R141" s="114">
        <v>17078</v>
      </c>
      <c r="S141" s="114">
        <f t="shared" si="45"/>
        <v>24</v>
      </c>
      <c r="T141" s="114">
        <v>14921</v>
      </c>
      <c r="U141" s="114">
        <f t="shared" si="37"/>
        <v>5</v>
      </c>
    </row>
    <row r="142" spans="1:21">
      <c r="A142" s="113">
        <v>45066</v>
      </c>
      <c r="B142" s="114">
        <v>11788</v>
      </c>
      <c r="C142" s="114">
        <f t="shared" si="46"/>
        <v>24</v>
      </c>
      <c r="D142" s="114">
        <v>17405</v>
      </c>
      <c r="E142" s="114">
        <f t="shared" si="47"/>
        <v>24</v>
      </c>
      <c r="F142" s="114">
        <v>16955</v>
      </c>
      <c r="G142" s="114">
        <f t="shared" si="39"/>
        <v>24</v>
      </c>
      <c r="H142" s="114">
        <v>17696</v>
      </c>
      <c r="I142" s="114">
        <f t="shared" si="40"/>
        <v>0</v>
      </c>
      <c r="J142" s="114">
        <v>12723</v>
      </c>
      <c r="K142" s="114">
        <f t="shared" si="48"/>
        <v>18</v>
      </c>
      <c r="L142" s="114">
        <v>17591</v>
      </c>
      <c r="M142" s="114">
        <f t="shared" si="42"/>
        <v>24</v>
      </c>
      <c r="N142" s="114">
        <v>17327</v>
      </c>
      <c r="O142" s="114">
        <f t="shared" si="44"/>
        <v>24</v>
      </c>
      <c r="P142" s="114">
        <v>18039</v>
      </c>
      <c r="Q142" s="114">
        <f t="shared" si="43"/>
        <v>12</v>
      </c>
      <c r="R142" s="114">
        <v>17096</v>
      </c>
      <c r="S142" s="114">
        <f t="shared" si="45"/>
        <v>18</v>
      </c>
      <c r="T142" s="114">
        <v>14945</v>
      </c>
      <c r="U142" s="114">
        <f t="shared" si="37"/>
        <v>24</v>
      </c>
    </row>
    <row r="143" spans="1:21">
      <c r="A143" s="113">
        <v>45067</v>
      </c>
      <c r="B143" s="114">
        <v>11812</v>
      </c>
      <c r="C143" s="114">
        <f t="shared" si="46"/>
        <v>24</v>
      </c>
      <c r="D143" s="114">
        <v>17429</v>
      </c>
      <c r="E143" s="114">
        <f t="shared" si="47"/>
        <v>24</v>
      </c>
      <c r="F143" s="114">
        <v>16979</v>
      </c>
      <c r="G143" s="114">
        <f t="shared" si="39"/>
        <v>24</v>
      </c>
      <c r="H143" s="114">
        <v>17696</v>
      </c>
      <c r="I143" s="114">
        <f t="shared" si="40"/>
        <v>0</v>
      </c>
      <c r="J143" s="114">
        <v>12747</v>
      </c>
      <c r="K143" s="114">
        <f t="shared" si="48"/>
        <v>24</v>
      </c>
      <c r="L143" s="114">
        <v>17615</v>
      </c>
      <c r="M143" s="114">
        <f t="shared" si="42"/>
        <v>24</v>
      </c>
      <c r="N143" s="114">
        <v>17351</v>
      </c>
      <c r="O143" s="114">
        <f t="shared" si="44"/>
        <v>24</v>
      </c>
      <c r="P143" s="114">
        <v>18039</v>
      </c>
      <c r="Q143" s="114">
        <f t="shared" si="43"/>
        <v>0</v>
      </c>
      <c r="R143" s="114">
        <v>17120</v>
      </c>
      <c r="S143" s="114">
        <f t="shared" si="45"/>
        <v>24</v>
      </c>
      <c r="T143" s="114">
        <v>14969</v>
      </c>
      <c r="U143" s="114">
        <f>IF(T143&gt;T142,T143-T142,0)</f>
        <v>24</v>
      </c>
    </row>
    <row r="144" spans="1:21">
      <c r="A144" s="113">
        <v>45068</v>
      </c>
      <c r="B144" s="114">
        <v>11836</v>
      </c>
      <c r="C144" s="114">
        <f t="shared" si="46"/>
        <v>24</v>
      </c>
      <c r="D144" s="114">
        <v>17453</v>
      </c>
      <c r="E144" s="114">
        <f t="shared" si="47"/>
        <v>24</v>
      </c>
      <c r="F144" s="114">
        <v>17003</v>
      </c>
      <c r="G144" s="114">
        <f t="shared" si="39"/>
        <v>24</v>
      </c>
      <c r="H144" s="114">
        <v>17696</v>
      </c>
      <c r="I144" s="114">
        <f t="shared" si="40"/>
        <v>0</v>
      </c>
      <c r="J144" s="114">
        <v>12771</v>
      </c>
      <c r="K144" s="114">
        <f t="shared" si="48"/>
        <v>24</v>
      </c>
      <c r="L144" s="114">
        <v>17639</v>
      </c>
      <c r="M144" s="114">
        <f t="shared" si="42"/>
        <v>24</v>
      </c>
      <c r="N144" s="114">
        <v>17375</v>
      </c>
      <c r="O144" s="114">
        <f t="shared" si="44"/>
        <v>24</v>
      </c>
      <c r="P144" s="114">
        <v>18039</v>
      </c>
      <c r="Q144" s="114">
        <f t="shared" si="43"/>
        <v>0</v>
      </c>
      <c r="R144" s="114">
        <v>17144</v>
      </c>
      <c r="S144" s="114">
        <f t="shared" si="45"/>
        <v>24</v>
      </c>
      <c r="T144" s="114">
        <v>14993</v>
      </c>
      <c r="U144" s="114">
        <f>IF(T144&gt;T143,T144-T143,0)</f>
        <v>24</v>
      </c>
    </row>
    <row r="145" spans="1:21">
      <c r="A145" s="113">
        <v>45069</v>
      </c>
      <c r="B145" s="114">
        <v>11860</v>
      </c>
      <c r="C145" s="114">
        <f t="shared" si="46"/>
        <v>24</v>
      </c>
      <c r="D145" s="114">
        <v>17477</v>
      </c>
      <c r="E145" s="114">
        <f t="shared" si="47"/>
        <v>24</v>
      </c>
      <c r="F145" s="114">
        <v>17027</v>
      </c>
      <c r="G145" s="114">
        <f t="shared" si="39"/>
        <v>24</v>
      </c>
      <c r="H145" s="114">
        <v>17696</v>
      </c>
      <c r="I145" s="114">
        <f t="shared" si="40"/>
        <v>0</v>
      </c>
      <c r="J145" s="114">
        <v>12793</v>
      </c>
      <c r="K145" s="114">
        <f t="shared" si="48"/>
        <v>22</v>
      </c>
      <c r="L145" s="114">
        <v>17663</v>
      </c>
      <c r="M145" s="114">
        <f t="shared" si="42"/>
        <v>24</v>
      </c>
      <c r="N145" s="114">
        <v>17399</v>
      </c>
      <c r="O145" s="114">
        <f t="shared" si="44"/>
        <v>24</v>
      </c>
      <c r="P145" s="114">
        <v>18039</v>
      </c>
      <c r="Q145" s="114">
        <f t="shared" si="43"/>
        <v>0</v>
      </c>
      <c r="R145" s="114">
        <v>17168</v>
      </c>
      <c r="S145" s="114">
        <f t="shared" si="45"/>
        <v>24</v>
      </c>
      <c r="T145" s="114">
        <v>15017</v>
      </c>
      <c r="U145" s="114">
        <f>IF(T145&gt;T144,T145-T144,0)</f>
        <v>24</v>
      </c>
    </row>
    <row r="146" spans="1:21">
      <c r="A146" s="113">
        <v>45070</v>
      </c>
      <c r="B146" s="114">
        <v>11884</v>
      </c>
      <c r="C146" s="114">
        <f t="shared" si="46"/>
        <v>24</v>
      </c>
      <c r="D146" s="114">
        <v>17501</v>
      </c>
      <c r="E146" s="114">
        <f t="shared" si="47"/>
        <v>24</v>
      </c>
      <c r="F146" s="114">
        <v>17051</v>
      </c>
      <c r="G146" s="114">
        <f t="shared" si="39"/>
        <v>24</v>
      </c>
      <c r="H146" s="114">
        <v>17696</v>
      </c>
      <c r="I146" s="114">
        <f t="shared" si="40"/>
        <v>0</v>
      </c>
      <c r="J146" s="114">
        <v>12817</v>
      </c>
      <c r="K146" s="114">
        <f t="shared" si="48"/>
        <v>24</v>
      </c>
      <c r="L146" s="114">
        <v>17687</v>
      </c>
      <c r="M146" s="114">
        <f t="shared" si="42"/>
        <v>24</v>
      </c>
      <c r="N146" s="114">
        <v>17423</v>
      </c>
      <c r="O146" s="114">
        <f t="shared" si="44"/>
        <v>24</v>
      </c>
      <c r="P146" s="114">
        <v>18039</v>
      </c>
      <c r="Q146" s="114">
        <f t="shared" si="43"/>
        <v>0</v>
      </c>
      <c r="R146" s="114">
        <v>17192</v>
      </c>
      <c r="S146" s="114">
        <f t="shared" si="45"/>
        <v>24</v>
      </c>
      <c r="T146" s="114">
        <v>15041</v>
      </c>
      <c r="U146" s="114">
        <f>IF(T146&gt;T145,T146-T145,0)</f>
        <v>24</v>
      </c>
    </row>
    <row r="147" spans="1:21">
      <c r="A147" s="113">
        <v>45071</v>
      </c>
      <c r="B147" s="114">
        <v>11908</v>
      </c>
      <c r="C147" s="114">
        <f t="shared" si="46"/>
        <v>24</v>
      </c>
      <c r="D147" s="114">
        <v>17525</v>
      </c>
      <c r="E147" s="114">
        <f t="shared" si="47"/>
        <v>24</v>
      </c>
      <c r="F147" s="114">
        <v>17075</v>
      </c>
      <c r="G147" s="114">
        <f t="shared" si="39"/>
        <v>24</v>
      </c>
      <c r="H147" s="114">
        <v>17696</v>
      </c>
      <c r="I147" s="114">
        <f t="shared" si="40"/>
        <v>0</v>
      </c>
      <c r="J147" s="114">
        <v>12841</v>
      </c>
      <c r="K147" s="114">
        <f t="shared" si="48"/>
        <v>24</v>
      </c>
      <c r="L147" s="114">
        <v>17711</v>
      </c>
      <c r="M147" s="114">
        <f t="shared" si="42"/>
        <v>24</v>
      </c>
      <c r="N147" s="114">
        <v>17447</v>
      </c>
      <c r="O147" s="114">
        <f t="shared" si="44"/>
        <v>24</v>
      </c>
      <c r="P147" s="114">
        <v>18039</v>
      </c>
      <c r="Q147" s="114">
        <f t="shared" si="43"/>
        <v>0</v>
      </c>
      <c r="R147" s="114">
        <v>17216</v>
      </c>
      <c r="S147" s="114">
        <f t="shared" si="45"/>
        <v>24</v>
      </c>
      <c r="T147" s="114">
        <v>15065</v>
      </c>
      <c r="U147" s="114">
        <f>IF(T147&gt;T146,T147-T146,0)</f>
        <v>24</v>
      </c>
    </row>
    <row r="148" spans="1:21">
      <c r="A148" s="113">
        <v>45072</v>
      </c>
      <c r="B148" s="114">
        <v>11932</v>
      </c>
      <c r="C148" s="114">
        <f t="shared" ref="C148:C195" si="49">IF(B148&gt;B147,B148-B147,0)</f>
        <v>24</v>
      </c>
      <c r="D148" s="114">
        <v>17549</v>
      </c>
      <c r="E148" s="114">
        <f t="shared" ref="E148:E195" si="50">IF(D148&gt;D147,D148-D147,0)</f>
        <v>24</v>
      </c>
      <c r="F148" s="114">
        <v>17099</v>
      </c>
      <c r="G148" s="114">
        <f t="shared" ref="G148:G195" si="51">IF(F148&gt;F147,F148-F147,0)</f>
        <v>24</v>
      </c>
      <c r="H148" s="114">
        <v>17696</v>
      </c>
      <c r="I148" s="114">
        <f t="shared" ref="I148:I195" si="52">IF(H148&gt;H147,H148-H147,0)</f>
        <v>0</v>
      </c>
      <c r="J148" s="114">
        <v>12863</v>
      </c>
      <c r="K148" s="114">
        <f t="shared" ref="K148:K195" si="53">IF(J148&gt;J147,J148-J147,0)</f>
        <v>22</v>
      </c>
      <c r="L148" s="114">
        <v>17735</v>
      </c>
      <c r="M148" s="114">
        <f t="shared" ref="M148:M195" si="54">IF(L148&gt;L147,L148-L147,0)</f>
        <v>24</v>
      </c>
      <c r="N148" s="114">
        <v>17471</v>
      </c>
      <c r="O148" s="114">
        <f t="shared" ref="O148:O195" si="55">IF(N148&gt;N147,N148-N147,0)</f>
        <v>24</v>
      </c>
      <c r="P148" s="114">
        <v>18039</v>
      </c>
      <c r="Q148" s="114">
        <f t="shared" ref="Q148:Q195" si="56">IF(P148&gt;P147,P148-P147,0)</f>
        <v>0</v>
      </c>
      <c r="R148" s="114">
        <v>17240</v>
      </c>
      <c r="S148" s="114">
        <f t="shared" ref="S148:S195" si="57">IF(R148&gt;R147,R148-R147,0)</f>
        <v>24</v>
      </c>
      <c r="T148" s="114">
        <v>15089</v>
      </c>
      <c r="U148" s="114">
        <f t="shared" ref="U148:U194" si="58">IF(T148&gt;T147,T148-T147,0)</f>
        <v>24</v>
      </c>
    </row>
    <row r="149" spans="1:21">
      <c r="A149" s="113">
        <v>45073</v>
      </c>
      <c r="B149" s="114">
        <v>11956</v>
      </c>
      <c r="C149" s="114">
        <f>IF(B149&gt;B148,B149-B148,0)</f>
        <v>24</v>
      </c>
      <c r="D149" s="114">
        <v>17572</v>
      </c>
      <c r="E149" s="114">
        <f>IF(D149&gt;D148,D149-D148,0)</f>
        <v>23</v>
      </c>
      <c r="F149" s="114">
        <v>17123</v>
      </c>
      <c r="G149" s="114">
        <f>IF(F149&gt;F148,F149-F148,0)</f>
        <v>24</v>
      </c>
      <c r="H149" s="114">
        <v>17696</v>
      </c>
      <c r="I149" s="114">
        <f>IF(H149&gt;H148,H149-H148,0)</f>
        <v>0</v>
      </c>
      <c r="J149" s="114">
        <v>12887</v>
      </c>
      <c r="K149" s="114">
        <f>IF(J149&gt;J148,J149-J148,0)</f>
        <v>24</v>
      </c>
      <c r="L149" s="114">
        <v>17759</v>
      </c>
      <c r="M149" s="114">
        <f>IF(L149&gt;L148,L149-L148,0)</f>
        <v>24</v>
      </c>
      <c r="N149" s="114">
        <v>17495</v>
      </c>
      <c r="O149" s="114">
        <f>IF(N149&gt;N148,N149-N148,0)</f>
        <v>24</v>
      </c>
      <c r="P149" s="114">
        <v>18039</v>
      </c>
      <c r="Q149" s="114">
        <f>IF(P149&gt;P148,P149-P148,0)</f>
        <v>0</v>
      </c>
      <c r="R149" s="114">
        <v>17264</v>
      </c>
      <c r="S149" s="114">
        <f>IF(R149&gt;R148,R149-R148,0)</f>
        <v>24</v>
      </c>
      <c r="T149" s="114">
        <v>15113</v>
      </c>
      <c r="U149" s="114">
        <f>IF(T149&gt;T148,T149-T148,0)</f>
        <v>24</v>
      </c>
    </row>
    <row r="150" spans="1:21">
      <c r="A150" s="113">
        <v>45074</v>
      </c>
      <c r="B150" s="114">
        <v>11980</v>
      </c>
      <c r="C150" s="114">
        <f>IF(B150&gt;B149,B150-B149,0)</f>
        <v>24</v>
      </c>
      <c r="D150" s="114">
        <v>17596</v>
      </c>
      <c r="E150" s="114">
        <f>IF(D150&gt;D149,D150-D149,0)</f>
        <v>24</v>
      </c>
      <c r="F150" s="114">
        <v>17147</v>
      </c>
      <c r="G150" s="114">
        <f>IF(F150&gt;F149,F150-F149,0)</f>
        <v>24</v>
      </c>
      <c r="H150" s="114">
        <v>17696</v>
      </c>
      <c r="I150" s="114">
        <f>IF(H150&gt;H149,H150-H149,0)</f>
        <v>0</v>
      </c>
      <c r="J150" s="114">
        <v>12911</v>
      </c>
      <c r="K150" s="114">
        <f>IF(J150&gt;J149,J150-J149,0)</f>
        <v>24</v>
      </c>
      <c r="L150" s="114">
        <v>17783</v>
      </c>
      <c r="M150" s="114">
        <f>IF(L150&gt;L149,L150-L149,0)</f>
        <v>24</v>
      </c>
      <c r="N150" s="114">
        <v>17519</v>
      </c>
      <c r="O150" s="114">
        <f>IF(N150&gt;N149,N150-N149,0)</f>
        <v>24</v>
      </c>
      <c r="P150" s="114">
        <v>18039</v>
      </c>
      <c r="Q150" s="114">
        <f>IF(P150&gt;P149,P150-P149,0)</f>
        <v>0</v>
      </c>
      <c r="R150" s="114">
        <v>17288</v>
      </c>
      <c r="S150" s="114">
        <f>IF(R150&gt;R149,R150-R149,0)</f>
        <v>24</v>
      </c>
      <c r="T150" s="114">
        <v>15137</v>
      </c>
      <c r="U150" s="114">
        <f>IF(T150&gt;T149,T150-T149,0)</f>
        <v>24</v>
      </c>
    </row>
    <row r="151" spans="1:21">
      <c r="A151" s="113">
        <v>45075</v>
      </c>
      <c r="B151" s="114">
        <v>12004</v>
      </c>
      <c r="C151" s="114">
        <f t="shared" si="49"/>
        <v>24</v>
      </c>
      <c r="D151" s="114">
        <v>17620</v>
      </c>
      <c r="E151" s="114">
        <f t="shared" si="50"/>
        <v>24</v>
      </c>
      <c r="F151" s="114">
        <v>17171</v>
      </c>
      <c r="G151" s="114">
        <f t="shared" si="51"/>
        <v>24</v>
      </c>
      <c r="H151" s="114">
        <v>17696</v>
      </c>
      <c r="I151" s="114">
        <f t="shared" si="52"/>
        <v>0</v>
      </c>
      <c r="J151" s="114">
        <v>12935</v>
      </c>
      <c r="K151" s="114">
        <f t="shared" si="53"/>
        <v>24</v>
      </c>
      <c r="L151" s="114">
        <v>17804</v>
      </c>
      <c r="M151" s="114">
        <f t="shared" si="54"/>
        <v>21</v>
      </c>
      <c r="N151" s="114">
        <v>17543</v>
      </c>
      <c r="O151" s="114">
        <f t="shared" si="55"/>
        <v>24</v>
      </c>
      <c r="P151" s="114">
        <v>18039</v>
      </c>
      <c r="Q151" s="114">
        <f t="shared" si="56"/>
        <v>0</v>
      </c>
      <c r="R151" s="114">
        <v>17312</v>
      </c>
      <c r="S151" s="114">
        <f t="shared" si="57"/>
        <v>24</v>
      </c>
      <c r="T151" s="114">
        <v>15161</v>
      </c>
      <c r="U151" s="114">
        <f t="shared" si="58"/>
        <v>24</v>
      </c>
    </row>
    <row r="152" spans="1:21">
      <c r="A152" s="113">
        <v>45076</v>
      </c>
      <c r="B152" s="114">
        <v>12028</v>
      </c>
      <c r="C152" s="114">
        <f>IF(B152&gt;B151,B152-B151,0)</f>
        <v>24</v>
      </c>
      <c r="D152" s="114">
        <v>17644</v>
      </c>
      <c r="E152" s="114">
        <f>IF(D152&gt;D151,D152-D151,0)</f>
        <v>24</v>
      </c>
      <c r="F152" s="114">
        <v>17195</v>
      </c>
      <c r="G152" s="114">
        <f>IF(F152&gt;F151,F152-F151,0)</f>
        <v>24</v>
      </c>
      <c r="H152" s="114">
        <v>17696</v>
      </c>
      <c r="I152" s="114">
        <f>IF(H152&gt;H151,H152-H151,0)</f>
        <v>0</v>
      </c>
      <c r="J152" s="114">
        <v>12959</v>
      </c>
      <c r="K152" s="114">
        <f>IF(J152&gt;J151,J152-J151,0)</f>
        <v>24</v>
      </c>
      <c r="L152" s="114">
        <v>17828</v>
      </c>
      <c r="M152" s="114">
        <f>IF(L152&gt;L151,L152-L151,0)</f>
        <v>24</v>
      </c>
      <c r="N152" s="114">
        <v>17567</v>
      </c>
      <c r="O152" s="114">
        <f>IF(N152&gt;N151,N152-N151,0)</f>
        <v>24</v>
      </c>
      <c r="P152" s="114">
        <v>18039</v>
      </c>
      <c r="Q152" s="114">
        <f>IF(P152&gt;P151,P152-P151,0)</f>
        <v>0</v>
      </c>
      <c r="R152" s="114">
        <v>17334</v>
      </c>
      <c r="S152" s="114">
        <f>IF(R152&gt;R151,R152-R151,0)</f>
        <v>22</v>
      </c>
      <c r="T152" s="114">
        <v>15185</v>
      </c>
      <c r="U152" s="114">
        <f>IF(T152&gt;T151,T152-T151,0)</f>
        <v>24</v>
      </c>
    </row>
    <row r="153" spans="1:21">
      <c r="A153" s="113">
        <v>45077</v>
      </c>
      <c r="B153" s="114">
        <v>12052</v>
      </c>
      <c r="C153" s="114">
        <f t="shared" si="49"/>
        <v>24</v>
      </c>
      <c r="D153" s="114">
        <v>17668</v>
      </c>
      <c r="E153" s="114">
        <f t="shared" si="50"/>
        <v>24</v>
      </c>
      <c r="F153" s="114">
        <v>17215</v>
      </c>
      <c r="G153" s="114">
        <f t="shared" si="51"/>
        <v>20</v>
      </c>
      <c r="H153" s="114">
        <v>17696</v>
      </c>
      <c r="I153" s="114">
        <f t="shared" si="52"/>
        <v>0</v>
      </c>
      <c r="J153" s="114">
        <v>12983</v>
      </c>
      <c r="K153" s="114">
        <f t="shared" si="53"/>
        <v>24</v>
      </c>
      <c r="L153" s="114">
        <v>17852</v>
      </c>
      <c r="M153" s="114">
        <f t="shared" si="54"/>
        <v>24</v>
      </c>
      <c r="N153" s="114">
        <v>17591</v>
      </c>
      <c r="O153" s="114">
        <f t="shared" si="55"/>
        <v>24</v>
      </c>
      <c r="P153" s="114">
        <v>18039</v>
      </c>
      <c r="Q153" s="114">
        <f t="shared" si="56"/>
        <v>0</v>
      </c>
      <c r="R153" s="114">
        <v>17358</v>
      </c>
      <c r="S153" s="114">
        <f t="shared" si="57"/>
        <v>24</v>
      </c>
      <c r="T153" s="114">
        <v>15209</v>
      </c>
      <c r="U153" s="114">
        <f t="shared" si="58"/>
        <v>24</v>
      </c>
    </row>
    <row r="154" spans="1:21">
      <c r="A154" s="113">
        <v>45078</v>
      </c>
      <c r="B154" s="423">
        <v>12072</v>
      </c>
      <c r="C154" s="114">
        <f t="shared" si="49"/>
        <v>20</v>
      </c>
      <c r="D154" s="423">
        <v>17692</v>
      </c>
      <c r="E154" s="114">
        <f t="shared" si="50"/>
        <v>24</v>
      </c>
      <c r="F154" s="423">
        <v>17239</v>
      </c>
      <c r="G154" s="114">
        <f t="shared" si="51"/>
        <v>24</v>
      </c>
      <c r="H154" s="423">
        <v>17696</v>
      </c>
      <c r="I154" s="114">
        <f t="shared" si="52"/>
        <v>0</v>
      </c>
      <c r="J154" s="423">
        <v>13007</v>
      </c>
      <c r="K154" s="114">
        <f t="shared" si="53"/>
        <v>24</v>
      </c>
      <c r="L154" s="423">
        <v>17876</v>
      </c>
      <c r="M154" s="114">
        <f t="shared" si="54"/>
        <v>24</v>
      </c>
      <c r="N154" s="423">
        <v>17615</v>
      </c>
      <c r="O154" s="114">
        <f t="shared" si="55"/>
        <v>24</v>
      </c>
      <c r="P154" s="423">
        <v>18039</v>
      </c>
      <c r="Q154" s="114">
        <f t="shared" si="56"/>
        <v>0</v>
      </c>
      <c r="R154" s="423">
        <v>17382</v>
      </c>
      <c r="S154" s="114">
        <f t="shared" si="57"/>
        <v>24</v>
      </c>
      <c r="T154" s="423">
        <v>15233</v>
      </c>
      <c r="U154" s="114">
        <f t="shared" si="58"/>
        <v>24</v>
      </c>
    </row>
    <row r="155" spans="1:21">
      <c r="A155" s="113">
        <v>45079</v>
      </c>
      <c r="B155" s="423">
        <v>12096</v>
      </c>
      <c r="C155" s="114">
        <f t="shared" si="49"/>
        <v>24</v>
      </c>
      <c r="D155" s="423">
        <v>17713</v>
      </c>
      <c r="E155" s="114">
        <f t="shared" si="50"/>
        <v>21</v>
      </c>
      <c r="F155" s="423">
        <v>17262</v>
      </c>
      <c r="G155" s="114">
        <f t="shared" si="51"/>
        <v>23</v>
      </c>
      <c r="H155" s="423">
        <v>17696</v>
      </c>
      <c r="I155" s="114">
        <f t="shared" si="52"/>
        <v>0</v>
      </c>
      <c r="J155" s="423">
        <v>13031</v>
      </c>
      <c r="K155" s="114">
        <f t="shared" si="53"/>
        <v>24</v>
      </c>
      <c r="L155" s="423">
        <v>17900</v>
      </c>
      <c r="M155" s="114">
        <f t="shared" si="54"/>
        <v>24</v>
      </c>
      <c r="N155" s="423">
        <v>17639</v>
      </c>
      <c r="O155" s="114">
        <f t="shared" si="55"/>
        <v>24</v>
      </c>
      <c r="P155" s="423">
        <v>18039</v>
      </c>
      <c r="Q155" s="114">
        <f t="shared" si="56"/>
        <v>0</v>
      </c>
      <c r="R155" s="423">
        <v>17406</v>
      </c>
      <c r="S155" s="114">
        <f t="shared" si="57"/>
        <v>24</v>
      </c>
      <c r="T155" s="423">
        <v>15257</v>
      </c>
      <c r="U155" s="114">
        <f t="shared" si="58"/>
        <v>24</v>
      </c>
    </row>
    <row r="156" spans="1:21">
      <c r="A156" s="113">
        <v>45080</v>
      </c>
      <c r="B156" s="423">
        <v>12120</v>
      </c>
      <c r="C156" s="114">
        <f t="shared" si="49"/>
        <v>24</v>
      </c>
      <c r="D156" s="423">
        <v>17736</v>
      </c>
      <c r="E156" s="114">
        <f t="shared" si="50"/>
        <v>23</v>
      </c>
      <c r="F156" s="423">
        <v>17286</v>
      </c>
      <c r="G156" s="114">
        <f t="shared" si="51"/>
        <v>24</v>
      </c>
      <c r="H156" s="423">
        <v>17696</v>
      </c>
      <c r="I156" s="114">
        <f t="shared" si="52"/>
        <v>0</v>
      </c>
      <c r="J156" s="423">
        <v>13055</v>
      </c>
      <c r="K156" s="114">
        <f t="shared" si="53"/>
        <v>24</v>
      </c>
      <c r="L156" s="423">
        <v>17924</v>
      </c>
      <c r="M156" s="114">
        <f t="shared" si="54"/>
        <v>24</v>
      </c>
      <c r="N156" s="423">
        <v>17663</v>
      </c>
      <c r="O156" s="114">
        <f t="shared" si="55"/>
        <v>24</v>
      </c>
      <c r="P156" s="423">
        <v>18039</v>
      </c>
      <c r="Q156" s="114">
        <f t="shared" si="56"/>
        <v>0</v>
      </c>
      <c r="R156" s="423">
        <v>17430</v>
      </c>
      <c r="S156" s="114">
        <f t="shared" si="57"/>
        <v>24</v>
      </c>
      <c r="T156" s="423">
        <v>15281</v>
      </c>
      <c r="U156" s="114">
        <f t="shared" si="58"/>
        <v>24</v>
      </c>
    </row>
    <row r="157" spans="1:21">
      <c r="A157" s="113">
        <v>45081</v>
      </c>
      <c r="B157" s="423">
        <v>12144</v>
      </c>
      <c r="C157" s="114">
        <f t="shared" si="49"/>
        <v>24</v>
      </c>
      <c r="D157" s="423">
        <v>17760</v>
      </c>
      <c r="E157" s="114">
        <f t="shared" si="50"/>
        <v>24</v>
      </c>
      <c r="F157" s="423">
        <v>17310</v>
      </c>
      <c r="G157" s="114">
        <f t="shared" si="51"/>
        <v>24</v>
      </c>
      <c r="H157" s="423">
        <v>17696</v>
      </c>
      <c r="I157" s="114">
        <f t="shared" si="52"/>
        <v>0</v>
      </c>
      <c r="J157" s="423">
        <v>13079</v>
      </c>
      <c r="K157" s="114">
        <f t="shared" si="53"/>
        <v>24</v>
      </c>
      <c r="L157" s="423">
        <v>17948</v>
      </c>
      <c r="M157" s="114">
        <f t="shared" si="54"/>
        <v>24</v>
      </c>
      <c r="N157" s="423">
        <v>17687</v>
      </c>
      <c r="O157" s="114">
        <f t="shared" si="55"/>
        <v>24</v>
      </c>
      <c r="P157" s="423">
        <v>18039</v>
      </c>
      <c r="Q157" s="114">
        <f t="shared" si="56"/>
        <v>0</v>
      </c>
      <c r="R157" s="423">
        <v>17454</v>
      </c>
      <c r="S157" s="114">
        <f t="shared" si="57"/>
        <v>24</v>
      </c>
      <c r="T157" s="423">
        <v>15303</v>
      </c>
      <c r="U157" s="114">
        <f t="shared" si="58"/>
        <v>22</v>
      </c>
    </row>
    <row r="158" spans="1:21">
      <c r="A158" s="113">
        <v>45082</v>
      </c>
      <c r="B158" s="423">
        <v>12168</v>
      </c>
      <c r="C158" s="114">
        <f t="shared" si="49"/>
        <v>24</v>
      </c>
      <c r="D158" s="423">
        <v>17784</v>
      </c>
      <c r="E158" s="114">
        <f t="shared" si="50"/>
        <v>24</v>
      </c>
      <c r="F158" s="423">
        <v>17334</v>
      </c>
      <c r="G158" s="114">
        <f t="shared" si="51"/>
        <v>24</v>
      </c>
      <c r="H158" s="423">
        <v>17696</v>
      </c>
      <c r="I158" s="114">
        <f t="shared" si="52"/>
        <v>0</v>
      </c>
      <c r="J158" s="423">
        <v>13103</v>
      </c>
      <c r="K158" s="114">
        <f t="shared" si="53"/>
        <v>24</v>
      </c>
      <c r="L158" s="423">
        <v>17972</v>
      </c>
      <c r="M158" s="114">
        <f t="shared" si="54"/>
        <v>24</v>
      </c>
      <c r="N158" s="423">
        <v>17711</v>
      </c>
      <c r="O158" s="114">
        <f t="shared" si="55"/>
        <v>24</v>
      </c>
      <c r="P158" s="423">
        <v>18039</v>
      </c>
      <c r="Q158" s="114">
        <f t="shared" si="56"/>
        <v>0</v>
      </c>
      <c r="R158" s="423">
        <v>17478</v>
      </c>
      <c r="S158" s="114">
        <f t="shared" si="57"/>
        <v>24</v>
      </c>
      <c r="T158" s="423">
        <v>15324</v>
      </c>
      <c r="U158" s="114">
        <f t="shared" si="58"/>
        <v>21</v>
      </c>
    </row>
    <row r="159" spans="1:21">
      <c r="A159" s="113">
        <v>45083</v>
      </c>
      <c r="B159" s="423">
        <v>12190</v>
      </c>
      <c r="C159" s="114">
        <f t="shared" si="49"/>
        <v>22</v>
      </c>
      <c r="D159" s="423">
        <v>17807</v>
      </c>
      <c r="E159" s="114">
        <f t="shared" si="50"/>
        <v>23</v>
      </c>
      <c r="F159" s="423">
        <v>17358</v>
      </c>
      <c r="G159" s="114">
        <f t="shared" si="51"/>
        <v>24</v>
      </c>
      <c r="H159" s="423">
        <v>17696</v>
      </c>
      <c r="I159" s="114">
        <f t="shared" si="52"/>
        <v>0</v>
      </c>
      <c r="J159" s="423">
        <v>13127</v>
      </c>
      <c r="K159" s="114">
        <f t="shared" si="53"/>
        <v>24</v>
      </c>
      <c r="L159" s="423">
        <v>17996</v>
      </c>
      <c r="M159" s="114">
        <f t="shared" si="54"/>
        <v>24</v>
      </c>
      <c r="N159" s="423">
        <v>17735</v>
      </c>
      <c r="O159" s="114">
        <f t="shared" si="55"/>
        <v>24</v>
      </c>
      <c r="P159" s="423">
        <v>18039</v>
      </c>
      <c r="Q159" s="114">
        <f t="shared" si="56"/>
        <v>0</v>
      </c>
      <c r="R159" s="423">
        <v>17502</v>
      </c>
      <c r="S159" s="114">
        <f t="shared" si="57"/>
        <v>24</v>
      </c>
      <c r="T159" s="423">
        <v>15348</v>
      </c>
      <c r="U159" s="114">
        <f t="shared" si="58"/>
        <v>24</v>
      </c>
    </row>
    <row r="160" spans="1:21">
      <c r="A160" s="113">
        <v>45084</v>
      </c>
      <c r="B160" s="423">
        <v>12214</v>
      </c>
      <c r="C160" s="114">
        <f t="shared" si="49"/>
        <v>24</v>
      </c>
      <c r="D160" s="423">
        <v>17831</v>
      </c>
      <c r="E160" s="114">
        <f t="shared" si="50"/>
        <v>24</v>
      </c>
      <c r="F160" s="423">
        <v>17382</v>
      </c>
      <c r="G160" s="114">
        <f t="shared" si="51"/>
        <v>24</v>
      </c>
      <c r="H160" s="423">
        <v>17700</v>
      </c>
      <c r="I160" s="114">
        <f t="shared" si="52"/>
        <v>4</v>
      </c>
      <c r="J160" s="423">
        <v>13151</v>
      </c>
      <c r="K160" s="114">
        <f t="shared" si="53"/>
        <v>24</v>
      </c>
      <c r="L160" s="423">
        <v>18020</v>
      </c>
      <c r="M160" s="114">
        <f t="shared" si="54"/>
        <v>24</v>
      </c>
      <c r="N160" s="423">
        <v>17759</v>
      </c>
      <c r="O160" s="114">
        <f t="shared" si="55"/>
        <v>24</v>
      </c>
      <c r="P160" s="423">
        <v>18039</v>
      </c>
      <c r="Q160" s="114">
        <f t="shared" si="56"/>
        <v>0</v>
      </c>
      <c r="R160" s="423">
        <v>17525</v>
      </c>
      <c r="S160" s="114">
        <f t="shared" si="57"/>
        <v>23</v>
      </c>
      <c r="T160" s="423">
        <v>15372</v>
      </c>
      <c r="U160" s="114">
        <f t="shared" si="58"/>
        <v>24</v>
      </c>
    </row>
    <row r="161" spans="1:21">
      <c r="A161" s="113">
        <v>45085</v>
      </c>
      <c r="B161" s="423">
        <v>12238</v>
      </c>
      <c r="C161" s="114">
        <f t="shared" si="49"/>
        <v>24</v>
      </c>
      <c r="D161" s="423">
        <v>17855</v>
      </c>
      <c r="E161" s="114">
        <f t="shared" si="50"/>
        <v>24</v>
      </c>
      <c r="F161" s="423">
        <v>17406</v>
      </c>
      <c r="G161" s="114">
        <f t="shared" si="51"/>
        <v>24</v>
      </c>
      <c r="H161" s="423">
        <v>17703</v>
      </c>
      <c r="I161" s="114">
        <f t="shared" si="52"/>
        <v>3</v>
      </c>
      <c r="J161" s="423">
        <v>13174</v>
      </c>
      <c r="K161" s="114">
        <f t="shared" si="53"/>
        <v>23</v>
      </c>
      <c r="L161" s="423">
        <v>18043</v>
      </c>
      <c r="M161" s="114">
        <f t="shared" si="54"/>
        <v>23</v>
      </c>
      <c r="N161" s="423">
        <v>17781</v>
      </c>
      <c r="O161" s="114">
        <f t="shared" si="55"/>
        <v>22</v>
      </c>
      <c r="P161" s="423">
        <v>18039</v>
      </c>
      <c r="Q161" s="114">
        <f t="shared" si="56"/>
        <v>0</v>
      </c>
      <c r="R161" s="423">
        <v>17548</v>
      </c>
      <c r="S161" s="114">
        <f t="shared" si="57"/>
        <v>23</v>
      </c>
      <c r="T161" s="423">
        <v>15395</v>
      </c>
      <c r="U161" s="114">
        <f t="shared" si="58"/>
        <v>23</v>
      </c>
    </row>
    <row r="162" spans="1:21">
      <c r="A162" s="113">
        <v>45086</v>
      </c>
      <c r="B162" s="423">
        <v>12262</v>
      </c>
      <c r="C162" s="114">
        <f t="shared" si="49"/>
        <v>24</v>
      </c>
      <c r="D162" s="423">
        <v>17879</v>
      </c>
      <c r="E162" s="114">
        <f t="shared" si="50"/>
        <v>24</v>
      </c>
      <c r="F162" s="423">
        <v>17430</v>
      </c>
      <c r="G162" s="114">
        <f t="shared" si="51"/>
        <v>24</v>
      </c>
      <c r="H162" s="423">
        <v>17712</v>
      </c>
      <c r="I162" s="114">
        <f t="shared" si="52"/>
        <v>9</v>
      </c>
      <c r="J162" s="423">
        <v>13198</v>
      </c>
      <c r="K162" s="114">
        <f t="shared" si="53"/>
        <v>24</v>
      </c>
      <c r="L162" s="423">
        <v>18065</v>
      </c>
      <c r="M162" s="114">
        <f t="shared" si="54"/>
        <v>22</v>
      </c>
      <c r="N162" s="423">
        <v>17805</v>
      </c>
      <c r="O162" s="114">
        <f t="shared" si="55"/>
        <v>24</v>
      </c>
      <c r="P162" s="423">
        <v>18039</v>
      </c>
      <c r="Q162" s="114">
        <f t="shared" si="56"/>
        <v>0</v>
      </c>
      <c r="R162" s="423">
        <v>17572</v>
      </c>
      <c r="S162" s="114">
        <f t="shared" si="57"/>
        <v>24</v>
      </c>
      <c r="T162" s="423">
        <v>15419</v>
      </c>
      <c r="U162" s="114">
        <f t="shared" si="58"/>
        <v>24</v>
      </c>
    </row>
    <row r="163" spans="1:21">
      <c r="A163" s="113">
        <v>45087</v>
      </c>
      <c r="B163" s="423">
        <v>12283</v>
      </c>
      <c r="C163" s="114">
        <f t="shared" si="49"/>
        <v>21</v>
      </c>
      <c r="D163" s="423">
        <v>17903</v>
      </c>
      <c r="E163" s="114">
        <f t="shared" si="50"/>
        <v>24</v>
      </c>
      <c r="F163" s="423">
        <v>17449</v>
      </c>
      <c r="G163" s="114">
        <f t="shared" si="51"/>
        <v>19</v>
      </c>
      <c r="H163" s="423">
        <v>17736</v>
      </c>
      <c r="I163" s="114">
        <f t="shared" si="52"/>
        <v>24</v>
      </c>
      <c r="J163" s="423">
        <v>13222</v>
      </c>
      <c r="K163" s="114">
        <f t="shared" si="53"/>
        <v>24</v>
      </c>
      <c r="L163" s="423">
        <v>18089</v>
      </c>
      <c r="M163" s="114">
        <f t="shared" si="54"/>
        <v>24</v>
      </c>
      <c r="N163" s="423">
        <v>17829</v>
      </c>
      <c r="O163" s="114">
        <f t="shared" si="55"/>
        <v>24</v>
      </c>
      <c r="P163" s="423">
        <v>18039</v>
      </c>
      <c r="Q163" s="114">
        <f t="shared" si="56"/>
        <v>0</v>
      </c>
      <c r="R163" s="423">
        <v>17577</v>
      </c>
      <c r="S163" s="114">
        <f t="shared" si="57"/>
        <v>5</v>
      </c>
      <c r="T163" s="423">
        <v>15443</v>
      </c>
      <c r="U163" s="114">
        <f t="shared" si="58"/>
        <v>24</v>
      </c>
    </row>
    <row r="164" spans="1:21">
      <c r="A164" s="113">
        <v>45088</v>
      </c>
      <c r="B164" s="423">
        <v>12286</v>
      </c>
      <c r="C164" s="114">
        <f t="shared" si="49"/>
        <v>3</v>
      </c>
      <c r="D164" s="423">
        <v>17922</v>
      </c>
      <c r="E164" s="114">
        <f t="shared" si="50"/>
        <v>19</v>
      </c>
      <c r="F164" s="423">
        <v>17470</v>
      </c>
      <c r="G164" s="114">
        <f t="shared" si="51"/>
        <v>21</v>
      </c>
      <c r="H164" s="423">
        <v>17760</v>
      </c>
      <c r="I164" s="114">
        <f t="shared" si="52"/>
        <v>24</v>
      </c>
      <c r="J164" s="423">
        <v>13246</v>
      </c>
      <c r="K164" s="114">
        <f t="shared" si="53"/>
        <v>24</v>
      </c>
      <c r="L164" s="423">
        <v>18113</v>
      </c>
      <c r="M164" s="114">
        <f t="shared" si="54"/>
        <v>24</v>
      </c>
      <c r="N164" s="423">
        <v>17853</v>
      </c>
      <c r="O164" s="114">
        <f t="shared" si="55"/>
        <v>24</v>
      </c>
      <c r="P164" s="423">
        <v>18039</v>
      </c>
      <c r="Q164" s="114">
        <f t="shared" si="56"/>
        <v>0</v>
      </c>
      <c r="R164" s="423">
        <v>17601</v>
      </c>
      <c r="S164" s="114">
        <f t="shared" si="57"/>
        <v>24</v>
      </c>
      <c r="T164" s="423">
        <v>15467</v>
      </c>
      <c r="U164" s="114">
        <f t="shared" si="58"/>
        <v>24</v>
      </c>
    </row>
    <row r="165" spans="1:21">
      <c r="A165" s="113">
        <v>45089</v>
      </c>
      <c r="B165" s="423">
        <v>12310</v>
      </c>
      <c r="C165" s="114">
        <f t="shared" si="49"/>
        <v>24</v>
      </c>
      <c r="D165" s="423">
        <v>17928</v>
      </c>
      <c r="E165" s="114">
        <f t="shared" si="50"/>
        <v>6</v>
      </c>
      <c r="F165" s="423">
        <v>17491</v>
      </c>
      <c r="G165" s="114">
        <f t="shared" si="51"/>
        <v>21</v>
      </c>
      <c r="H165" s="423">
        <v>17784</v>
      </c>
      <c r="I165" s="114">
        <f t="shared" si="52"/>
        <v>24</v>
      </c>
      <c r="J165" s="423">
        <v>13270</v>
      </c>
      <c r="K165" s="114">
        <f t="shared" si="53"/>
        <v>24</v>
      </c>
      <c r="L165" s="423">
        <v>18137</v>
      </c>
      <c r="M165" s="114">
        <f t="shared" si="54"/>
        <v>24</v>
      </c>
      <c r="N165" s="423">
        <v>17877</v>
      </c>
      <c r="O165" s="114">
        <f t="shared" si="55"/>
        <v>24</v>
      </c>
      <c r="P165" s="423">
        <v>18039</v>
      </c>
      <c r="Q165" s="114">
        <f t="shared" si="56"/>
        <v>0</v>
      </c>
      <c r="R165" s="423">
        <v>17620</v>
      </c>
      <c r="S165" s="114">
        <f t="shared" si="57"/>
        <v>19</v>
      </c>
      <c r="T165" s="423">
        <v>15491</v>
      </c>
      <c r="U165" s="114">
        <f t="shared" si="58"/>
        <v>24</v>
      </c>
    </row>
    <row r="166" spans="1:21">
      <c r="A166" s="113">
        <v>45090</v>
      </c>
      <c r="B166" s="423">
        <v>12334</v>
      </c>
      <c r="C166" s="114">
        <f t="shared" si="49"/>
        <v>24</v>
      </c>
      <c r="D166" s="423">
        <v>17952</v>
      </c>
      <c r="E166" s="114">
        <f t="shared" si="50"/>
        <v>24</v>
      </c>
      <c r="F166" s="423">
        <v>17515</v>
      </c>
      <c r="G166" s="114">
        <f t="shared" si="51"/>
        <v>24</v>
      </c>
      <c r="H166" s="423">
        <v>17808</v>
      </c>
      <c r="I166" s="114">
        <f t="shared" si="52"/>
        <v>24</v>
      </c>
      <c r="J166" s="423">
        <v>13294</v>
      </c>
      <c r="K166" s="114">
        <f t="shared" si="53"/>
        <v>24</v>
      </c>
      <c r="L166" s="423">
        <v>18157</v>
      </c>
      <c r="M166" s="114">
        <f t="shared" si="54"/>
        <v>20</v>
      </c>
      <c r="N166" s="423">
        <v>17901</v>
      </c>
      <c r="O166" s="114">
        <f t="shared" si="55"/>
        <v>24</v>
      </c>
      <c r="P166" s="423">
        <v>18039</v>
      </c>
      <c r="Q166" s="114">
        <f t="shared" si="56"/>
        <v>0</v>
      </c>
      <c r="R166" s="423">
        <v>17620</v>
      </c>
      <c r="S166" s="114">
        <f t="shared" si="57"/>
        <v>0</v>
      </c>
      <c r="T166" s="423">
        <v>15515</v>
      </c>
      <c r="U166" s="114">
        <f t="shared" si="58"/>
        <v>24</v>
      </c>
    </row>
    <row r="167" spans="1:21">
      <c r="A167" s="113">
        <v>45091</v>
      </c>
      <c r="B167" s="423">
        <v>12358</v>
      </c>
      <c r="C167" s="114">
        <f t="shared" si="49"/>
        <v>24</v>
      </c>
      <c r="D167" s="423">
        <v>17976</v>
      </c>
      <c r="E167" s="114">
        <f t="shared" si="50"/>
        <v>24</v>
      </c>
      <c r="F167" s="423">
        <v>17539</v>
      </c>
      <c r="G167" s="114">
        <f t="shared" si="51"/>
        <v>24</v>
      </c>
      <c r="H167" s="423">
        <v>17832</v>
      </c>
      <c r="I167" s="114">
        <f t="shared" si="52"/>
        <v>24</v>
      </c>
      <c r="J167" s="423">
        <v>13318</v>
      </c>
      <c r="K167" s="114">
        <f t="shared" si="53"/>
        <v>24</v>
      </c>
      <c r="L167" s="423">
        <v>18181</v>
      </c>
      <c r="M167" s="114">
        <f t="shared" si="54"/>
        <v>24</v>
      </c>
      <c r="N167" s="423">
        <v>17925</v>
      </c>
      <c r="O167" s="114">
        <f t="shared" si="55"/>
        <v>24</v>
      </c>
      <c r="P167" s="423">
        <v>18039</v>
      </c>
      <c r="Q167" s="114">
        <f t="shared" si="56"/>
        <v>0</v>
      </c>
      <c r="R167" s="423">
        <v>17620</v>
      </c>
      <c r="S167" s="114">
        <f t="shared" si="57"/>
        <v>0</v>
      </c>
      <c r="T167" s="423">
        <v>15539</v>
      </c>
      <c r="U167" s="114">
        <f t="shared" si="58"/>
        <v>24</v>
      </c>
    </row>
    <row r="168" spans="1:21">
      <c r="A168" s="113">
        <v>45092</v>
      </c>
      <c r="B168" s="423">
        <v>12379</v>
      </c>
      <c r="C168" s="114">
        <f t="shared" si="49"/>
        <v>21</v>
      </c>
      <c r="D168" s="423">
        <v>18000</v>
      </c>
      <c r="E168" s="114">
        <f t="shared" si="50"/>
        <v>24</v>
      </c>
      <c r="F168" s="423">
        <v>17563</v>
      </c>
      <c r="G168" s="114">
        <f t="shared" si="51"/>
        <v>24</v>
      </c>
      <c r="H168" s="423">
        <v>17856</v>
      </c>
      <c r="I168" s="114">
        <f t="shared" si="52"/>
        <v>24</v>
      </c>
      <c r="J168" s="423">
        <v>13342</v>
      </c>
      <c r="K168" s="114">
        <f t="shared" si="53"/>
        <v>24</v>
      </c>
      <c r="L168" s="423">
        <v>18205</v>
      </c>
      <c r="M168" s="114">
        <f t="shared" si="54"/>
        <v>24</v>
      </c>
      <c r="N168" s="423">
        <v>17948</v>
      </c>
      <c r="O168" s="114">
        <f t="shared" si="55"/>
        <v>23</v>
      </c>
      <c r="P168" s="423">
        <v>18040</v>
      </c>
      <c r="Q168" s="114">
        <f t="shared" si="56"/>
        <v>1</v>
      </c>
      <c r="R168" s="423">
        <v>17620</v>
      </c>
      <c r="S168" s="114">
        <f t="shared" si="57"/>
        <v>0</v>
      </c>
      <c r="T168" s="423">
        <v>15563</v>
      </c>
      <c r="U168" s="114">
        <f t="shared" si="58"/>
        <v>24</v>
      </c>
    </row>
    <row r="169" spans="1:21">
      <c r="A169" s="113">
        <v>45093</v>
      </c>
      <c r="B169" s="114">
        <v>12403</v>
      </c>
      <c r="C169" s="114">
        <f t="shared" si="49"/>
        <v>24</v>
      </c>
      <c r="D169" s="114">
        <v>18024</v>
      </c>
      <c r="E169" s="114">
        <f t="shared" si="50"/>
        <v>24</v>
      </c>
      <c r="F169" s="114">
        <v>17587</v>
      </c>
      <c r="G169" s="114">
        <f t="shared" si="51"/>
        <v>24</v>
      </c>
      <c r="H169" s="114">
        <v>17864</v>
      </c>
      <c r="I169" s="114">
        <f t="shared" si="52"/>
        <v>8</v>
      </c>
      <c r="J169" s="114">
        <v>13366</v>
      </c>
      <c r="K169" s="114">
        <f t="shared" si="53"/>
        <v>24</v>
      </c>
      <c r="L169" s="114">
        <v>18229</v>
      </c>
      <c r="M169" s="114">
        <f t="shared" si="54"/>
        <v>24</v>
      </c>
      <c r="N169" s="114">
        <v>17972</v>
      </c>
      <c r="O169" s="114">
        <f t="shared" si="55"/>
        <v>24</v>
      </c>
      <c r="P169" s="114">
        <v>18043</v>
      </c>
      <c r="Q169" s="114">
        <f t="shared" si="56"/>
        <v>3</v>
      </c>
      <c r="R169" s="114">
        <v>17620</v>
      </c>
      <c r="S169" s="114">
        <f t="shared" si="57"/>
        <v>0</v>
      </c>
      <c r="T169" s="114">
        <v>15587</v>
      </c>
      <c r="U169" s="114">
        <f t="shared" si="58"/>
        <v>24</v>
      </c>
    </row>
    <row r="170" spans="1:21">
      <c r="A170" s="113">
        <v>45094</v>
      </c>
      <c r="B170" s="114">
        <v>12427</v>
      </c>
      <c r="C170" s="114">
        <f t="shared" si="49"/>
        <v>24</v>
      </c>
      <c r="D170" s="114">
        <v>18048</v>
      </c>
      <c r="E170" s="114">
        <f t="shared" si="50"/>
        <v>24</v>
      </c>
      <c r="F170" s="114">
        <v>17610</v>
      </c>
      <c r="G170" s="114">
        <f t="shared" si="51"/>
        <v>23</v>
      </c>
      <c r="H170" s="114">
        <v>17888</v>
      </c>
      <c r="I170" s="114">
        <f t="shared" si="52"/>
        <v>24</v>
      </c>
      <c r="J170" s="114">
        <v>13390</v>
      </c>
      <c r="K170" s="114">
        <f t="shared" si="53"/>
        <v>24</v>
      </c>
      <c r="L170" s="114">
        <v>18253</v>
      </c>
      <c r="M170" s="114">
        <f t="shared" si="54"/>
        <v>24</v>
      </c>
      <c r="N170" s="114">
        <v>17996</v>
      </c>
      <c r="O170" s="114">
        <f t="shared" si="55"/>
        <v>24</v>
      </c>
      <c r="P170" s="114">
        <v>18044</v>
      </c>
      <c r="Q170" s="114">
        <f t="shared" si="56"/>
        <v>1</v>
      </c>
      <c r="R170" s="114">
        <v>17620</v>
      </c>
      <c r="S170" s="114">
        <f t="shared" si="57"/>
        <v>0</v>
      </c>
      <c r="T170" s="114">
        <v>15611</v>
      </c>
      <c r="U170" s="114">
        <f t="shared" si="58"/>
        <v>24</v>
      </c>
    </row>
    <row r="171" spans="1:21">
      <c r="A171" s="113">
        <v>45095</v>
      </c>
      <c r="B171" s="114">
        <v>12451</v>
      </c>
      <c r="C171" s="114">
        <f t="shared" si="49"/>
        <v>24</v>
      </c>
      <c r="D171" s="114">
        <v>18072</v>
      </c>
      <c r="E171" s="114">
        <f t="shared" si="50"/>
        <v>24</v>
      </c>
      <c r="F171" s="114">
        <v>17611</v>
      </c>
      <c r="G171" s="114">
        <f t="shared" si="51"/>
        <v>1</v>
      </c>
      <c r="H171" s="114">
        <v>17912</v>
      </c>
      <c r="I171" s="114">
        <f t="shared" si="52"/>
        <v>24</v>
      </c>
      <c r="J171" s="114">
        <v>13411</v>
      </c>
      <c r="K171" s="114">
        <f t="shared" si="53"/>
        <v>21</v>
      </c>
      <c r="L171" s="114">
        <v>18277</v>
      </c>
      <c r="M171" s="114">
        <f t="shared" si="54"/>
        <v>24</v>
      </c>
      <c r="N171" s="114">
        <v>18020</v>
      </c>
      <c r="O171" s="114">
        <f t="shared" si="55"/>
        <v>24</v>
      </c>
      <c r="P171" s="114">
        <v>18068</v>
      </c>
      <c r="Q171" s="114">
        <f t="shared" si="56"/>
        <v>24</v>
      </c>
      <c r="R171" s="114">
        <v>17620</v>
      </c>
      <c r="S171" s="114">
        <f t="shared" si="57"/>
        <v>0</v>
      </c>
      <c r="T171" s="114">
        <v>15635</v>
      </c>
      <c r="U171" s="114">
        <f t="shared" si="58"/>
        <v>24</v>
      </c>
    </row>
    <row r="172" spans="1:21">
      <c r="A172" s="113">
        <v>45096</v>
      </c>
      <c r="B172" s="114">
        <v>12475</v>
      </c>
      <c r="C172" s="114">
        <f t="shared" si="49"/>
        <v>24</v>
      </c>
      <c r="D172" s="114">
        <v>18096</v>
      </c>
      <c r="E172" s="114">
        <f t="shared" si="50"/>
        <v>24</v>
      </c>
      <c r="F172" s="114">
        <v>17635</v>
      </c>
      <c r="G172" s="114">
        <f t="shared" si="51"/>
        <v>24</v>
      </c>
      <c r="H172" s="114">
        <v>17936</v>
      </c>
      <c r="I172" s="114">
        <f t="shared" si="52"/>
        <v>24</v>
      </c>
      <c r="J172" s="114">
        <v>13435</v>
      </c>
      <c r="K172" s="114">
        <f t="shared" si="53"/>
        <v>24</v>
      </c>
      <c r="L172" s="114">
        <v>18301</v>
      </c>
      <c r="M172" s="114">
        <f t="shared" si="54"/>
        <v>24</v>
      </c>
      <c r="N172" s="114">
        <v>18044</v>
      </c>
      <c r="O172" s="114">
        <f t="shared" si="55"/>
        <v>24</v>
      </c>
      <c r="P172" s="114">
        <v>18092</v>
      </c>
      <c r="Q172" s="114">
        <f t="shared" si="56"/>
        <v>24</v>
      </c>
      <c r="R172" s="114">
        <v>17620</v>
      </c>
      <c r="S172" s="114">
        <f t="shared" si="57"/>
        <v>0</v>
      </c>
      <c r="T172" s="114">
        <v>15635</v>
      </c>
      <c r="U172" s="114">
        <f t="shared" si="58"/>
        <v>0</v>
      </c>
    </row>
    <row r="173" spans="1:21">
      <c r="A173" s="113">
        <v>45097</v>
      </c>
      <c r="B173" s="114">
        <v>12499</v>
      </c>
      <c r="C173" s="114">
        <f t="shared" si="49"/>
        <v>24</v>
      </c>
      <c r="D173" s="114">
        <v>18120</v>
      </c>
      <c r="E173" s="114">
        <f t="shared" si="50"/>
        <v>24</v>
      </c>
      <c r="F173" s="114">
        <v>17658</v>
      </c>
      <c r="G173" s="114">
        <f t="shared" si="51"/>
        <v>23</v>
      </c>
      <c r="H173" s="114">
        <v>17960</v>
      </c>
      <c r="I173" s="114">
        <f t="shared" si="52"/>
        <v>24</v>
      </c>
      <c r="J173" s="114">
        <v>13459</v>
      </c>
      <c r="K173" s="114">
        <f t="shared" si="53"/>
        <v>24</v>
      </c>
      <c r="L173" s="114">
        <v>18302</v>
      </c>
      <c r="M173" s="114">
        <f t="shared" si="54"/>
        <v>1</v>
      </c>
      <c r="N173" s="114">
        <v>18062</v>
      </c>
      <c r="O173" s="114">
        <f t="shared" si="55"/>
        <v>18</v>
      </c>
      <c r="P173" s="114">
        <v>18116</v>
      </c>
      <c r="Q173" s="114">
        <f t="shared" si="56"/>
        <v>24</v>
      </c>
      <c r="R173" s="114">
        <v>17620</v>
      </c>
      <c r="S173" s="114">
        <f t="shared" si="57"/>
        <v>0</v>
      </c>
      <c r="T173" s="114">
        <v>15658</v>
      </c>
      <c r="U173" s="114">
        <f t="shared" si="58"/>
        <v>23</v>
      </c>
    </row>
    <row r="174" spans="1:21">
      <c r="A174" s="113">
        <v>45098</v>
      </c>
      <c r="B174" s="114">
        <v>12523</v>
      </c>
      <c r="C174" s="114">
        <f t="shared" si="49"/>
        <v>24</v>
      </c>
      <c r="D174" s="114">
        <v>18144</v>
      </c>
      <c r="E174" s="114">
        <f t="shared" si="50"/>
        <v>24</v>
      </c>
      <c r="F174" s="114">
        <v>17682</v>
      </c>
      <c r="G174" s="114">
        <f t="shared" si="51"/>
        <v>24</v>
      </c>
      <c r="H174" s="114">
        <v>17979</v>
      </c>
      <c r="I174" s="114">
        <f t="shared" si="52"/>
        <v>19</v>
      </c>
      <c r="J174" s="114">
        <v>13483</v>
      </c>
      <c r="K174" s="114">
        <f t="shared" si="53"/>
        <v>24</v>
      </c>
      <c r="L174" s="114">
        <v>18302</v>
      </c>
      <c r="M174" s="114">
        <f t="shared" si="54"/>
        <v>0</v>
      </c>
      <c r="N174" s="114">
        <v>18085</v>
      </c>
      <c r="O174" s="114">
        <f t="shared" si="55"/>
        <v>23</v>
      </c>
      <c r="P174" s="114">
        <v>18140</v>
      </c>
      <c r="Q174" s="114">
        <f t="shared" si="56"/>
        <v>24</v>
      </c>
      <c r="R174" s="114">
        <v>17620</v>
      </c>
      <c r="S174" s="114">
        <f t="shared" si="57"/>
        <v>0</v>
      </c>
      <c r="T174" s="114">
        <v>15682</v>
      </c>
      <c r="U174" s="114">
        <f t="shared" si="58"/>
        <v>24</v>
      </c>
    </row>
    <row r="175" spans="1:21">
      <c r="A175" s="113">
        <v>45099</v>
      </c>
      <c r="B175" s="114">
        <v>12547</v>
      </c>
      <c r="C175" s="114">
        <f t="shared" si="49"/>
        <v>24</v>
      </c>
      <c r="D175" s="114">
        <v>18168</v>
      </c>
      <c r="E175" s="114">
        <f t="shared" si="50"/>
        <v>24</v>
      </c>
      <c r="F175" s="114">
        <v>17706</v>
      </c>
      <c r="G175" s="114">
        <f t="shared" si="51"/>
        <v>24</v>
      </c>
      <c r="H175" s="114">
        <v>17992</v>
      </c>
      <c r="I175" s="114">
        <f t="shared" si="52"/>
        <v>13</v>
      </c>
      <c r="J175" s="114">
        <v>13506</v>
      </c>
      <c r="K175" s="114">
        <f t="shared" si="53"/>
        <v>23</v>
      </c>
      <c r="L175" s="114">
        <v>18302</v>
      </c>
      <c r="M175" s="114">
        <f t="shared" si="54"/>
        <v>0</v>
      </c>
      <c r="N175" s="114">
        <v>18109</v>
      </c>
      <c r="O175" s="114">
        <f t="shared" si="55"/>
        <v>24</v>
      </c>
      <c r="P175" s="114">
        <v>18164</v>
      </c>
      <c r="Q175" s="114">
        <f t="shared" si="56"/>
        <v>24</v>
      </c>
      <c r="R175" s="114">
        <v>17620</v>
      </c>
      <c r="S175" s="114">
        <f t="shared" si="57"/>
        <v>0</v>
      </c>
      <c r="T175" s="114">
        <v>15706</v>
      </c>
      <c r="U175" s="114">
        <f t="shared" si="58"/>
        <v>24</v>
      </c>
    </row>
    <row r="176" spans="1:21">
      <c r="A176" s="113">
        <v>45100</v>
      </c>
      <c r="B176" s="114">
        <v>12571</v>
      </c>
      <c r="C176" s="114">
        <f t="shared" si="49"/>
        <v>24</v>
      </c>
      <c r="D176" s="114">
        <v>18192</v>
      </c>
      <c r="E176" s="114">
        <f t="shared" si="50"/>
        <v>24</v>
      </c>
      <c r="F176" s="114">
        <v>17730</v>
      </c>
      <c r="G176" s="114">
        <f t="shared" si="51"/>
        <v>24</v>
      </c>
      <c r="H176" s="114">
        <v>18016</v>
      </c>
      <c r="I176" s="114">
        <f t="shared" si="52"/>
        <v>24</v>
      </c>
      <c r="J176" s="114">
        <v>13530</v>
      </c>
      <c r="K176" s="114">
        <f t="shared" si="53"/>
        <v>24</v>
      </c>
      <c r="L176" s="114">
        <v>18302</v>
      </c>
      <c r="M176" s="114">
        <f t="shared" si="54"/>
        <v>0</v>
      </c>
      <c r="N176" s="114">
        <v>18133</v>
      </c>
      <c r="O176" s="114">
        <f t="shared" si="55"/>
        <v>24</v>
      </c>
      <c r="P176" s="114">
        <v>18188</v>
      </c>
      <c r="Q176" s="114">
        <f t="shared" si="56"/>
        <v>24</v>
      </c>
      <c r="R176" s="114">
        <v>17620</v>
      </c>
      <c r="S176" s="114">
        <f t="shared" si="57"/>
        <v>0</v>
      </c>
      <c r="T176" s="114">
        <v>15730</v>
      </c>
      <c r="U176" s="114">
        <f t="shared" si="58"/>
        <v>24</v>
      </c>
    </row>
    <row r="177" spans="1:21">
      <c r="A177" s="113">
        <v>45101</v>
      </c>
      <c r="B177" s="114">
        <v>12595</v>
      </c>
      <c r="C177" s="114">
        <f t="shared" si="49"/>
        <v>24</v>
      </c>
      <c r="D177" s="114">
        <v>18216</v>
      </c>
      <c r="E177" s="114">
        <f t="shared" si="50"/>
        <v>24</v>
      </c>
      <c r="F177" s="114">
        <v>17754</v>
      </c>
      <c r="G177" s="114">
        <f t="shared" si="51"/>
        <v>24</v>
      </c>
      <c r="H177" s="114">
        <v>18040</v>
      </c>
      <c r="I177" s="114">
        <f t="shared" si="52"/>
        <v>24</v>
      </c>
      <c r="J177" s="114">
        <v>13554</v>
      </c>
      <c r="K177" s="114">
        <f t="shared" si="53"/>
        <v>24</v>
      </c>
      <c r="L177" s="114">
        <v>18302</v>
      </c>
      <c r="M177" s="114">
        <f t="shared" si="54"/>
        <v>0</v>
      </c>
      <c r="N177" s="114">
        <v>18157</v>
      </c>
      <c r="O177" s="114">
        <f t="shared" si="55"/>
        <v>24</v>
      </c>
      <c r="P177" s="114">
        <v>18212</v>
      </c>
      <c r="Q177" s="114">
        <f t="shared" si="56"/>
        <v>24</v>
      </c>
      <c r="R177" s="114">
        <v>17620</v>
      </c>
      <c r="S177" s="114">
        <f t="shared" si="57"/>
        <v>0</v>
      </c>
      <c r="T177" s="114">
        <v>15754</v>
      </c>
      <c r="U177" s="114">
        <f t="shared" si="58"/>
        <v>24</v>
      </c>
    </row>
    <row r="178" spans="1:21">
      <c r="A178" s="113">
        <v>45102</v>
      </c>
      <c r="B178" s="114">
        <v>12619</v>
      </c>
      <c r="C178" s="114">
        <f t="shared" si="49"/>
        <v>24</v>
      </c>
      <c r="D178" s="114">
        <v>18240</v>
      </c>
      <c r="E178" s="114">
        <f t="shared" si="50"/>
        <v>24</v>
      </c>
      <c r="F178" s="114">
        <v>17778</v>
      </c>
      <c r="G178" s="114">
        <f t="shared" si="51"/>
        <v>24</v>
      </c>
      <c r="H178" s="114">
        <v>18064</v>
      </c>
      <c r="I178" s="114">
        <f t="shared" si="52"/>
        <v>24</v>
      </c>
      <c r="J178" s="114">
        <v>13578</v>
      </c>
      <c r="K178" s="114">
        <f t="shared" si="53"/>
        <v>24</v>
      </c>
      <c r="L178" s="114">
        <v>18302</v>
      </c>
      <c r="M178" s="114">
        <f t="shared" si="54"/>
        <v>0</v>
      </c>
      <c r="N178" s="114">
        <v>18180</v>
      </c>
      <c r="O178" s="114">
        <f t="shared" si="55"/>
        <v>23</v>
      </c>
      <c r="P178" s="114">
        <v>18236</v>
      </c>
      <c r="Q178" s="114">
        <f t="shared" si="56"/>
        <v>24</v>
      </c>
      <c r="R178" s="114">
        <v>17620</v>
      </c>
      <c r="S178" s="114">
        <f t="shared" si="57"/>
        <v>0</v>
      </c>
      <c r="T178" s="114">
        <v>15778</v>
      </c>
      <c r="U178" s="114">
        <f t="shared" si="58"/>
        <v>24</v>
      </c>
    </row>
    <row r="179" spans="1:21">
      <c r="A179" s="113">
        <v>45103</v>
      </c>
      <c r="B179" s="114">
        <v>12643</v>
      </c>
      <c r="C179" s="114">
        <f t="shared" si="49"/>
        <v>24</v>
      </c>
      <c r="D179" s="114">
        <v>18264</v>
      </c>
      <c r="E179" s="114">
        <f t="shared" si="50"/>
        <v>24</v>
      </c>
      <c r="F179" s="114">
        <v>17802</v>
      </c>
      <c r="G179" s="114">
        <f t="shared" si="51"/>
        <v>24</v>
      </c>
      <c r="H179" s="114">
        <v>18088</v>
      </c>
      <c r="I179" s="114">
        <f t="shared" si="52"/>
        <v>24</v>
      </c>
      <c r="J179" s="114">
        <v>13602</v>
      </c>
      <c r="K179" s="114">
        <f t="shared" si="53"/>
        <v>24</v>
      </c>
      <c r="L179" s="114">
        <v>18302</v>
      </c>
      <c r="M179" s="114">
        <f t="shared" si="54"/>
        <v>0</v>
      </c>
      <c r="N179" s="114">
        <v>18204</v>
      </c>
      <c r="O179" s="114">
        <f t="shared" si="55"/>
        <v>24</v>
      </c>
      <c r="P179" s="114">
        <v>18260</v>
      </c>
      <c r="Q179" s="114">
        <f t="shared" si="56"/>
        <v>24</v>
      </c>
      <c r="R179" s="114">
        <v>17620</v>
      </c>
      <c r="S179" s="114">
        <f t="shared" si="57"/>
        <v>0</v>
      </c>
      <c r="T179" s="114">
        <v>15802</v>
      </c>
      <c r="U179" s="114">
        <f t="shared" si="58"/>
        <v>24</v>
      </c>
    </row>
    <row r="180" spans="1:21">
      <c r="A180" s="113">
        <v>45104</v>
      </c>
      <c r="B180" s="114">
        <v>12667</v>
      </c>
      <c r="C180" s="114">
        <f t="shared" si="49"/>
        <v>24</v>
      </c>
      <c r="D180" s="114">
        <v>18288</v>
      </c>
      <c r="E180" s="114">
        <f t="shared" si="50"/>
        <v>24</v>
      </c>
      <c r="F180" s="114">
        <v>17826</v>
      </c>
      <c r="G180" s="114">
        <f t="shared" si="51"/>
        <v>24</v>
      </c>
      <c r="H180" s="114">
        <v>18112</v>
      </c>
      <c r="I180" s="114">
        <f t="shared" si="52"/>
        <v>24</v>
      </c>
      <c r="J180" s="114">
        <v>13626</v>
      </c>
      <c r="K180" s="114">
        <f t="shared" si="53"/>
        <v>24</v>
      </c>
      <c r="L180" s="114">
        <v>18302</v>
      </c>
      <c r="M180" s="114">
        <f t="shared" si="54"/>
        <v>0</v>
      </c>
      <c r="N180" s="114">
        <v>18228</v>
      </c>
      <c r="O180" s="114">
        <f t="shared" si="55"/>
        <v>24</v>
      </c>
      <c r="P180" s="114">
        <v>18284</v>
      </c>
      <c r="Q180" s="114">
        <f t="shared" si="56"/>
        <v>24</v>
      </c>
      <c r="R180" s="114">
        <v>17620</v>
      </c>
      <c r="S180" s="114">
        <f t="shared" si="57"/>
        <v>0</v>
      </c>
      <c r="T180" s="114">
        <v>15826</v>
      </c>
      <c r="U180" s="114">
        <f t="shared" si="58"/>
        <v>24</v>
      </c>
    </row>
    <row r="181" spans="1:21">
      <c r="A181" s="113">
        <v>45105</v>
      </c>
      <c r="B181" s="114">
        <v>12691</v>
      </c>
      <c r="C181" s="114">
        <f t="shared" si="49"/>
        <v>24</v>
      </c>
      <c r="D181" s="114">
        <v>18312</v>
      </c>
      <c r="E181" s="114">
        <f t="shared" si="50"/>
        <v>24</v>
      </c>
      <c r="F181" s="114">
        <v>17850</v>
      </c>
      <c r="G181" s="114">
        <f t="shared" si="51"/>
        <v>24</v>
      </c>
      <c r="H181" s="114">
        <v>18134</v>
      </c>
      <c r="I181" s="114">
        <f t="shared" si="52"/>
        <v>22</v>
      </c>
      <c r="J181" s="114">
        <v>13650</v>
      </c>
      <c r="K181" s="114">
        <f t="shared" si="53"/>
        <v>24</v>
      </c>
      <c r="L181" s="114">
        <v>18302</v>
      </c>
      <c r="M181" s="114">
        <f t="shared" si="54"/>
        <v>0</v>
      </c>
      <c r="N181" s="114">
        <v>18252</v>
      </c>
      <c r="O181" s="114">
        <f t="shared" si="55"/>
        <v>24</v>
      </c>
      <c r="P181" s="114">
        <v>18308</v>
      </c>
      <c r="Q181" s="114">
        <f t="shared" si="56"/>
        <v>24</v>
      </c>
      <c r="R181" s="114">
        <v>17620</v>
      </c>
      <c r="S181" s="114">
        <f t="shared" si="57"/>
        <v>0</v>
      </c>
      <c r="T181" s="114">
        <v>15850</v>
      </c>
      <c r="U181" s="114">
        <f t="shared" si="58"/>
        <v>24</v>
      </c>
    </row>
    <row r="182" spans="1:21">
      <c r="A182" s="113">
        <v>45106</v>
      </c>
      <c r="B182" s="114">
        <v>12715</v>
      </c>
      <c r="C182" s="114">
        <f t="shared" si="49"/>
        <v>24</v>
      </c>
      <c r="D182" s="114">
        <v>18321</v>
      </c>
      <c r="E182" s="114">
        <f t="shared" si="50"/>
        <v>9</v>
      </c>
      <c r="F182" s="114">
        <v>17874</v>
      </c>
      <c r="G182" s="114">
        <f t="shared" si="51"/>
        <v>24</v>
      </c>
      <c r="H182" s="114">
        <v>18158</v>
      </c>
      <c r="I182" s="114">
        <f t="shared" si="52"/>
        <v>24</v>
      </c>
      <c r="J182" s="114">
        <v>13674</v>
      </c>
      <c r="K182" s="114">
        <f t="shared" si="53"/>
        <v>24</v>
      </c>
      <c r="L182" s="114">
        <v>18302</v>
      </c>
      <c r="M182" s="114">
        <f t="shared" si="54"/>
        <v>0</v>
      </c>
      <c r="N182" s="114">
        <v>18264</v>
      </c>
      <c r="O182" s="114">
        <f t="shared" si="55"/>
        <v>12</v>
      </c>
      <c r="P182" s="114">
        <v>18332</v>
      </c>
      <c r="Q182" s="114">
        <f t="shared" si="56"/>
        <v>24</v>
      </c>
      <c r="R182" s="114">
        <v>17620</v>
      </c>
      <c r="S182" s="114">
        <f t="shared" si="57"/>
        <v>0</v>
      </c>
      <c r="T182" s="114">
        <v>15874</v>
      </c>
      <c r="U182" s="114">
        <f t="shared" si="58"/>
        <v>24</v>
      </c>
    </row>
    <row r="183" spans="1:21">
      <c r="A183" s="113">
        <v>45107</v>
      </c>
      <c r="B183" s="114">
        <v>12732</v>
      </c>
      <c r="C183" s="114">
        <f t="shared" si="49"/>
        <v>17</v>
      </c>
      <c r="D183" s="114">
        <v>18345</v>
      </c>
      <c r="E183" s="114">
        <f t="shared" si="50"/>
        <v>24</v>
      </c>
      <c r="F183" s="114">
        <v>17890</v>
      </c>
      <c r="G183" s="114">
        <f t="shared" si="51"/>
        <v>16</v>
      </c>
      <c r="H183" s="114">
        <v>18182</v>
      </c>
      <c r="I183" s="114">
        <f t="shared" si="52"/>
        <v>24</v>
      </c>
      <c r="J183" s="114">
        <v>13698</v>
      </c>
      <c r="K183" s="114">
        <f t="shared" si="53"/>
        <v>24</v>
      </c>
      <c r="L183" s="114">
        <v>18302</v>
      </c>
      <c r="M183" s="114">
        <f t="shared" si="54"/>
        <v>0</v>
      </c>
      <c r="N183" s="114">
        <v>18288</v>
      </c>
      <c r="O183" s="114">
        <f t="shared" si="55"/>
        <v>24</v>
      </c>
      <c r="P183" s="114">
        <v>18356</v>
      </c>
      <c r="Q183" s="114">
        <f t="shared" si="56"/>
        <v>24</v>
      </c>
      <c r="R183" s="114">
        <v>17620</v>
      </c>
      <c r="S183" s="114">
        <f t="shared" si="57"/>
        <v>0</v>
      </c>
      <c r="T183" s="114">
        <v>15890</v>
      </c>
      <c r="U183" s="114">
        <f t="shared" si="58"/>
        <v>16</v>
      </c>
    </row>
    <row r="184" spans="1:21">
      <c r="A184" s="113">
        <v>45108</v>
      </c>
      <c r="B184" s="114">
        <v>12756</v>
      </c>
      <c r="C184" s="114">
        <f t="shared" si="49"/>
        <v>24</v>
      </c>
      <c r="D184" s="114">
        <v>18369</v>
      </c>
      <c r="E184" s="114">
        <f t="shared" si="50"/>
        <v>24</v>
      </c>
      <c r="F184" s="114">
        <v>17914</v>
      </c>
      <c r="G184" s="114">
        <f t="shared" si="51"/>
        <v>24</v>
      </c>
      <c r="H184" s="114">
        <v>18206</v>
      </c>
      <c r="I184" s="114">
        <f t="shared" si="52"/>
        <v>24</v>
      </c>
      <c r="J184" s="114">
        <v>13722</v>
      </c>
      <c r="K184" s="114">
        <f t="shared" si="53"/>
        <v>24</v>
      </c>
      <c r="L184" s="114">
        <v>18302</v>
      </c>
      <c r="M184" s="114">
        <f t="shared" si="54"/>
        <v>0</v>
      </c>
      <c r="N184" s="114">
        <v>18312</v>
      </c>
      <c r="O184" s="114">
        <f t="shared" si="55"/>
        <v>24</v>
      </c>
      <c r="P184" s="114">
        <v>18380</v>
      </c>
      <c r="Q184" s="114">
        <f t="shared" si="56"/>
        <v>24</v>
      </c>
      <c r="R184" s="114">
        <v>17620</v>
      </c>
      <c r="S184" s="114">
        <f t="shared" si="57"/>
        <v>0</v>
      </c>
      <c r="T184" s="114">
        <v>15914</v>
      </c>
      <c r="U184" s="114">
        <f t="shared" si="58"/>
        <v>24</v>
      </c>
    </row>
    <row r="185" spans="1:21">
      <c r="A185" s="113">
        <v>45109</v>
      </c>
      <c r="B185" s="114">
        <v>12780</v>
      </c>
      <c r="C185" s="114">
        <f t="shared" si="49"/>
        <v>24</v>
      </c>
      <c r="D185" s="114">
        <v>18393</v>
      </c>
      <c r="E185" s="114">
        <f t="shared" si="50"/>
        <v>24</v>
      </c>
      <c r="F185" s="114">
        <v>17938</v>
      </c>
      <c r="G185" s="114">
        <f t="shared" si="51"/>
        <v>24</v>
      </c>
      <c r="H185" s="114">
        <v>18230</v>
      </c>
      <c r="I185" s="114">
        <f t="shared" si="52"/>
        <v>24</v>
      </c>
      <c r="J185" s="114">
        <v>13746</v>
      </c>
      <c r="K185" s="114">
        <f t="shared" si="53"/>
        <v>24</v>
      </c>
      <c r="L185" s="114">
        <v>18302</v>
      </c>
      <c r="M185" s="114">
        <f t="shared" si="54"/>
        <v>0</v>
      </c>
      <c r="N185" s="114">
        <v>18336</v>
      </c>
      <c r="O185" s="114">
        <f t="shared" si="55"/>
        <v>24</v>
      </c>
      <c r="P185" s="114">
        <v>18404</v>
      </c>
      <c r="Q185" s="114">
        <f t="shared" si="56"/>
        <v>24</v>
      </c>
      <c r="R185" s="114">
        <v>17620</v>
      </c>
      <c r="S185" s="114">
        <f t="shared" si="57"/>
        <v>0</v>
      </c>
      <c r="T185" s="114">
        <v>15938</v>
      </c>
      <c r="U185" s="114">
        <f t="shared" si="58"/>
        <v>24</v>
      </c>
    </row>
    <row r="186" spans="1:21">
      <c r="A186" s="113">
        <v>45110</v>
      </c>
      <c r="B186" s="114">
        <v>12804</v>
      </c>
      <c r="C186" s="114">
        <f t="shared" si="49"/>
        <v>24</v>
      </c>
      <c r="D186" s="114">
        <v>18417</v>
      </c>
      <c r="E186" s="114">
        <f t="shared" si="50"/>
        <v>24</v>
      </c>
      <c r="F186" s="114">
        <v>17962</v>
      </c>
      <c r="G186" s="114">
        <f t="shared" si="51"/>
        <v>24</v>
      </c>
      <c r="H186" s="114">
        <v>18302</v>
      </c>
      <c r="I186" s="114">
        <f t="shared" si="52"/>
        <v>72</v>
      </c>
      <c r="J186" s="114">
        <v>13770</v>
      </c>
      <c r="K186" s="114">
        <f t="shared" si="53"/>
        <v>24</v>
      </c>
      <c r="L186" s="114">
        <v>18302</v>
      </c>
      <c r="M186" s="114">
        <f t="shared" si="54"/>
        <v>0</v>
      </c>
      <c r="N186" s="114">
        <v>18360</v>
      </c>
      <c r="O186" s="114">
        <f t="shared" si="55"/>
        <v>24</v>
      </c>
      <c r="P186" s="114">
        <v>18428</v>
      </c>
      <c r="Q186" s="114">
        <f t="shared" si="56"/>
        <v>24</v>
      </c>
      <c r="R186" s="114">
        <v>17620</v>
      </c>
      <c r="S186" s="114">
        <f t="shared" si="57"/>
        <v>0</v>
      </c>
      <c r="T186" s="114">
        <v>15962</v>
      </c>
      <c r="U186" s="114">
        <f t="shared" si="58"/>
        <v>24</v>
      </c>
    </row>
    <row r="187" spans="1:21">
      <c r="A187" s="113">
        <v>45111</v>
      </c>
      <c r="B187" s="114">
        <v>12828</v>
      </c>
      <c r="C187" s="114">
        <f t="shared" si="49"/>
        <v>24</v>
      </c>
      <c r="D187" s="114">
        <v>18441</v>
      </c>
      <c r="E187" s="114">
        <f t="shared" si="50"/>
        <v>24</v>
      </c>
      <c r="F187" s="114">
        <v>17986</v>
      </c>
      <c r="G187" s="114">
        <f t="shared" si="51"/>
        <v>24</v>
      </c>
      <c r="H187" s="114">
        <v>18278</v>
      </c>
      <c r="I187" s="114">
        <f t="shared" si="52"/>
        <v>0</v>
      </c>
      <c r="J187" s="114">
        <v>13794</v>
      </c>
      <c r="K187" s="114">
        <f t="shared" si="53"/>
        <v>24</v>
      </c>
      <c r="L187" s="114">
        <v>18302</v>
      </c>
      <c r="M187" s="114">
        <f t="shared" si="54"/>
        <v>0</v>
      </c>
      <c r="N187" s="114">
        <v>18384</v>
      </c>
      <c r="O187" s="114">
        <f t="shared" si="55"/>
        <v>24</v>
      </c>
      <c r="P187" s="114">
        <v>18452</v>
      </c>
      <c r="Q187" s="114">
        <f t="shared" si="56"/>
        <v>24</v>
      </c>
      <c r="R187" s="114">
        <v>17620</v>
      </c>
      <c r="S187" s="114">
        <f t="shared" si="57"/>
        <v>0</v>
      </c>
      <c r="T187" s="114">
        <v>15986</v>
      </c>
      <c r="U187" s="114">
        <f t="shared" si="58"/>
        <v>24</v>
      </c>
    </row>
    <row r="188" spans="1:21">
      <c r="A188" s="113">
        <v>45112</v>
      </c>
      <c r="B188" s="114">
        <v>12852</v>
      </c>
      <c r="C188" s="114">
        <f t="shared" si="49"/>
        <v>24</v>
      </c>
      <c r="D188" s="114">
        <v>18465</v>
      </c>
      <c r="E188" s="114">
        <f t="shared" si="50"/>
        <v>24</v>
      </c>
      <c r="F188" s="114">
        <v>18010</v>
      </c>
      <c r="G188" s="114">
        <f t="shared" si="51"/>
        <v>24</v>
      </c>
      <c r="H188" s="114">
        <v>18302</v>
      </c>
      <c r="I188" s="114">
        <f t="shared" si="52"/>
        <v>24</v>
      </c>
      <c r="J188" s="114">
        <v>13818</v>
      </c>
      <c r="K188" s="114">
        <f t="shared" si="53"/>
        <v>24</v>
      </c>
      <c r="L188" s="114">
        <v>18302</v>
      </c>
      <c r="M188" s="114">
        <f t="shared" si="54"/>
        <v>0</v>
      </c>
      <c r="N188" s="114">
        <v>18408</v>
      </c>
      <c r="O188" s="114">
        <f t="shared" si="55"/>
        <v>24</v>
      </c>
      <c r="P188" s="114">
        <v>18476</v>
      </c>
      <c r="Q188" s="114">
        <f t="shared" si="56"/>
        <v>24</v>
      </c>
      <c r="R188" s="114">
        <v>17620</v>
      </c>
      <c r="S188" s="114">
        <f t="shared" si="57"/>
        <v>0</v>
      </c>
      <c r="T188" s="114">
        <v>16010</v>
      </c>
      <c r="U188" s="114">
        <f t="shared" si="58"/>
        <v>24</v>
      </c>
    </row>
    <row r="189" spans="1:21">
      <c r="A189" s="113">
        <v>45113</v>
      </c>
      <c r="B189" s="114">
        <v>12876</v>
      </c>
      <c r="C189" s="114">
        <f t="shared" si="49"/>
        <v>24</v>
      </c>
      <c r="D189" s="114">
        <v>18489</v>
      </c>
      <c r="E189" s="114">
        <f t="shared" si="50"/>
        <v>24</v>
      </c>
      <c r="F189" s="114">
        <v>18034</v>
      </c>
      <c r="G189" s="114">
        <f t="shared" si="51"/>
        <v>24</v>
      </c>
      <c r="H189" s="114">
        <v>18326</v>
      </c>
      <c r="I189" s="114">
        <f t="shared" si="52"/>
        <v>24</v>
      </c>
      <c r="J189" s="114">
        <v>13842</v>
      </c>
      <c r="K189" s="114">
        <f t="shared" si="53"/>
        <v>24</v>
      </c>
      <c r="L189" s="114">
        <v>18302</v>
      </c>
      <c r="M189" s="114">
        <f t="shared" si="54"/>
        <v>0</v>
      </c>
      <c r="N189" s="114">
        <v>18432</v>
      </c>
      <c r="O189" s="114">
        <f t="shared" si="55"/>
        <v>24</v>
      </c>
      <c r="P189" s="114">
        <v>18500</v>
      </c>
      <c r="Q189" s="114">
        <f t="shared" si="56"/>
        <v>24</v>
      </c>
      <c r="R189" s="114">
        <v>17620</v>
      </c>
      <c r="S189" s="114">
        <f t="shared" si="57"/>
        <v>0</v>
      </c>
      <c r="T189" s="114">
        <v>16034</v>
      </c>
      <c r="U189" s="114">
        <f t="shared" si="58"/>
        <v>24</v>
      </c>
    </row>
    <row r="190" spans="1:21">
      <c r="A190" s="113">
        <v>45114</v>
      </c>
      <c r="B190" s="114">
        <v>12900</v>
      </c>
      <c r="C190" s="114">
        <f t="shared" si="49"/>
        <v>24</v>
      </c>
      <c r="D190" s="114">
        <v>18513</v>
      </c>
      <c r="E190" s="114">
        <f t="shared" si="50"/>
        <v>24</v>
      </c>
      <c r="F190" s="114">
        <v>18350</v>
      </c>
      <c r="G190" s="114">
        <f t="shared" si="51"/>
        <v>316</v>
      </c>
      <c r="H190" s="114">
        <v>18350</v>
      </c>
      <c r="I190" s="114">
        <f t="shared" si="52"/>
        <v>24</v>
      </c>
      <c r="J190" s="114">
        <v>13866</v>
      </c>
      <c r="K190" s="114">
        <f t="shared" si="53"/>
        <v>24</v>
      </c>
      <c r="L190" s="114">
        <v>18302</v>
      </c>
      <c r="M190" s="114">
        <f t="shared" si="54"/>
        <v>0</v>
      </c>
      <c r="N190" s="114">
        <v>18456</v>
      </c>
      <c r="O190" s="114">
        <f t="shared" si="55"/>
        <v>24</v>
      </c>
      <c r="P190" s="114">
        <v>18524</v>
      </c>
      <c r="Q190" s="114">
        <f t="shared" si="56"/>
        <v>24</v>
      </c>
      <c r="R190" s="114">
        <v>17620</v>
      </c>
      <c r="S190" s="114">
        <f t="shared" si="57"/>
        <v>0</v>
      </c>
      <c r="T190" s="114">
        <v>16058</v>
      </c>
      <c r="U190" s="114">
        <f t="shared" si="58"/>
        <v>24</v>
      </c>
    </row>
    <row r="191" spans="1:21">
      <c r="A191" s="113">
        <v>45115</v>
      </c>
      <c r="B191" s="114">
        <v>12924</v>
      </c>
      <c r="C191" s="114">
        <f t="shared" si="49"/>
        <v>24</v>
      </c>
      <c r="D191" s="114">
        <v>18537</v>
      </c>
      <c r="E191" s="114">
        <f t="shared" si="50"/>
        <v>24</v>
      </c>
      <c r="F191" s="114">
        <v>18082</v>
      </c>
      <c r="G191" s="114">
        <f t="shared" si="51"/>
        <v>0</v>
      </c>
      <c r="H191" s="114">
        <v>18374</v>
      </c>
      <c r="I191" s="114">
        <f t="shared" si="52"/>
        <v>24</v>
      </c>
      <c r="J191" s="114">
        <v>13890</v>
      </c>
      <c r="K191" s="114">
        <f t="shared" si="53"/>
        <v>24</v>
      </c>
      <c r="L191" s="114">
        <v>18302</v>
      </c>
      <c r="M191" s="114">
        <f t="shared" si="54"/>
        <v>0</v>
      </c>
      <c r="N191" s="114">
        <v>18480</v>
      </c>
      <c r="O191" s="114">
        <f t="shared" si="55"/>
        <v>24</v>
      </c>
      <c r="P191" s="114">
        <v>18548</v>
      </c>
      <c r="Q191" s="114">
        <f t="shared" si="56"/>
        <v>24</v>
      </c>
      <c r="R191" s="114">
        <v>17620</v>
      </c>
      <c r="S191" s="114">
        <f t="shared" si="57"/>
        <v>0</v>
      </c>
      <c r="T191" s="114">
        <v>16082</v>
      </c>
      <c r="U191" s="114">
        <f t="shared" si="58"/>
        <v>24</v>
      </c>
    </row>
    <row r="192" spans="1:21">
      <c r="A192" s="113">
        <v>45116</v>
      </c>
      <c r="B192" s="114">
        <v>12948</v>
      </c>
      <c r="C192" s="114">
        <f t="shared" si="49"/>
        <v>24</v>
      </c>
      <c r="D192" s="114">
        <v>18561</v>
      </c>
      <c r="E192" s="114">
        <f t="shared" si="50"/>
        <v>24</v>
      </c>
      <c r="F192" s="114">
        <v>18106</v>
      </c>
      <c r="G192" s="114">
        <f t="shared" si="51"/>
        <v>24</v>
      </c>
      <c r="H192" s="114">
        <v>18398</v>
      </c>
      <c r="I192" s="114">
        <f t="shared" si="52"/>
        <v>24</v>
      </c>
      <c r="J192" s="114">
        <v>13914</v>
      </c>
      <c r="K192" s="114">
        <f t="shared" si="53"/>
        <v>24</v>
      </c>
      <c r="L192" s="114">
        <v>18302</v>
      </c>
      <c r="M192" s="114">
        <f t="shared" si="54"/>
        <v>0</v>
      </c>
      <c r="N192" s="114">
        <v>18504</v>
      </c>
      <c r="O192" s="114">
        <f t="shared" si="55"/>
        <v>24</v>
      </c>
      <c r="P192" s="114">
        <v>18572</v>
      </c>
      <c r="Q192" s="114">
        <f t="shared" si="56"/>
        <v>24</v>
      </c>
      <c r="R192" s="114">
        <v>17620</v>
      </c>
      <c r="S192" s="114">
        <f t="shared" si="57"/>
        <v>0</v>
      </c>
      <c r="T192" s="114">
        <v>16106</v>
      </c>
      <c r="U192" s="114">
        <f t="shared" si="58"/>
        <v>24</v>
      </c>
    </row>
    <row r="193" spans="1:21">
      <c r="A193" s="113">
        <v>45117</v>
      </c>
      <c r="B193" s="114">
        <v>12972</v>
      </c>
      <c r="C193" s="114">
        <f t="shared" si="49"/>
        <v>24</v>
      </c>
      <c r="D193" s="114">
        <v>18585</v>
      </c>
      <c r="E193" s="114">
        <f t="shared" si="50"/>
        <v>24</v>
      </c>
      <c r="F193" s="114">
        <v>18130</v>
      </c>
      <c r="G193" s="114">
        <f t="shared" si="51"/>
        <v>24</v>
      </c>
      <c r="H193" s="114">
        <v>18421</v>
      </c>
      <c r="I193" s="114">
        <f t="shared" si="52"/>
        <v>23</v>
      </c>
      <c r="J193" s="114">
        <v>13938</v>
      </c>
      <c r="K193" s="114">
        <f t="shared" si="53"/>
        <v>24</v>
      </c>
      <c r="L193" s="114">
        <v>18302</v>
      </c>
      <c r="M193" s="114">
        <f t="shared" si="54"/>
        <v>0</v>
      </c>
      <c r="N193" s="114">
        <v>18528</v>
      </c>
      <c r="O193" s="114">
        <f t="shared" si="55"/>
        <v>24</v>
      </c>
      <c r="P193" s="114">
        <v>18596</v>
      </c>
      <c r="Q193" s="114">
        <f t="shared" si="56"/>
        <v>24</v>
      </c>
      <c r="R193" s="114">
        <v>17620</v>
      </c>
      <c r="S193" s="114">
        <f t="shared" si="57"/>
        <v>0</v>
      </c>
      <c r="T193" s="114">
        <v>16130</v>
      </c>
      <c r="U193" s="114">
        <f t="shared" si="58"/>
        <v>24</v>
      </c>
    </row>
    <row r="194" spans="1:21">
      <c r="A194" s="113">
        <v>45118</v>
      </c>
      <c r="B194" s="114">
        <v>12996</v>
      </c>
      <c r="C194" s="114">
        <f t="shared" si="49"/>
        <v>24</v>
      </c>
      <c r="D194" s="114">
        <v>18609</v>
      </c>
      <c r="E194" s="114">
        <f t="shared" si="50"/>
        <v>24</v>
      </c>
      <c r="F194" s="114">
        <v>18153</v>
      </c>
      <c r="G194" s="114">
        <f t="shared" si="51"/>
        <v>23</v>
      </c>
      <c r="H194" s="114">
        <v>18445</v>
      </c>
      <c r="I194" s="114">
        <f t="shared" si="52"/>
        <v>24</v>
      </c>
      <c r="J194" s="114">
        <v>13962</v>
      </c>
      <c r="K194" s="114">
        <f t="shared" si="53"/>
        <v>24</v>
      </c>
      <c r="L194" s="114">
        <v>18302</v>
      </c>
      <c r="M194" s="114">
        <f t="shared" si="54"/>
        <v>0</v>
      </c>
      <c r="N194" s="114">
        <v>18552</v>
      </c>
      <c r="O194" s="114">
        <f t="shared" si="55"/>
        <v>24</v>
      </c>
      <c r="P194" s="114">
        <v>18620</v>
      </c>
      <c r="Q194" s="114">
        <f t="shared" si="56"/>
        <v>24</v>
      </c>
      <c r="R194" s="114">
        <v>17620</v>
      </c>
      <c r="S194" s="114">
        <f t="shared" si="57"/>
        <v>0</v>
      </c>
      <c r="T194" s="114">
        <v>16154</v>
      </c>
      <c r="U194" s="114">
        <f t="shared" si="58"/>
        <v>24</v>
      </c>
    </row>
    <row r="195" spans="1:21">
      <c r="A195" s="113">
        <v>45119</v>
      </c>
      <c r="B195" s="114">
        <v>13020</v>
      </c>
      <c r="C195" s="114">
        <f t="shared" si="49"/>
        <v>24</v>
      </c>
      <c r="D195" s="114">
        <v>18633</v>
      </c>
      <c r="E195" s="114">
        <f t="shared" si="50"/>
        <v>24</v>
      </c>
      <c r="F195" s="114">
        <v>18177</v>
      </c>
      <c r="G195" s="114">
        <f t="shared" si="51"/>
        <v>24</v>
      </c>
      <c r="H195" s="114">
        <v>18469</v>
      </c>
      <c r="I195" s="114">
        <f t="shared" si="52"/>
        <v>24</v>
      </c>
      <c r="J195" s="114">
        <v>13986</v>
      </c>
      <c r="K195" s="114">
        <f t="shared" si="53"/>
        <v>24</v>
      </c>
      <c r="L195" s="114">
        <v>18302</v>
      </c>
      <c r="M195" s="114">
        <f t="shared" si="54"/>
        <v>0</v>
      </c>
      <c r="N195" s="114">
        <v>18576</v>
      </c>
      <c r="O195" s="114">
        <f t="shared" si="55"/>
        <v>24</v>
      </c>
      <c r="P195" s="114">
        <v>18644</v>
      </c>
      <c r="Q195" s="114">
        <f t="shared" si="56"/>
        <v>24</v>
      </c>
      <c r="R195" s="114">
        <v>17621</v>
      </c>
      <c r="S195" s="114">
        <f t="shared" si="57"/>
        <v>1</v>
      </c>
      <c r="T195" s="114">
        <v>16178</v>
      </c>
      <c r="U195" s="114">
        <f>IF(T195&gt;T194,T195-T194,0)</f>
        <v>24</v>
      </c>
    </row>
    <row r="196" spans="1:21">
      <c r="A196" s="113">
        <v>45120</v>
      </c>
      <c r="B196" s="114">
        <v>13044</v>
      </c>
      <c r="C196" s="114">
        <f t="shared" ref="C196:C259" si="59">IF(B196&gt;B195,B196-B195,0)</f>
        <v>24</v>
      </c>
      <c r="D196" s="114">
        <v>18657</v>
      </c>
      <c r="E196" s="114">
        <f t="shared" ref="E196:E259" si="60">IF(D196&gt;D195,D196-D195,0)</f>
        <v>24</v>
      </c>
      <c r="F196" s="114">
        <v>18201</v>
      </c>
      <c r="G196" s="114">
        <f t="shared" ref="G196:G259" si="61">IF(F196&gt;F195,F196-F195,0)</f>
        <v>24</v>
      </c>
      <c r="H196" s="114">
        <v>18493</v>
      </c>
      <c r="I196" s="114">
        <f t="shared" ref="I196:I259" si="62">IF(H196&gt;H195,H196-H195,0)</f>
        <v>24</v>
      </c>
      <c r="J196" s="114">
        <v>14010</v>
      </c>
      <c r="K196" s="114">
        <f t="shared" ref="K196:K259" si="63">IF(J196&gt;J195,J196-J195,0)</f>
        <v>24</v>
      </c>
      <c r="L196" s="114">
        <v>18302</v>
      </c>
      <c r="M196" s="114">
        <f t="shared" ref="M196:M259" si="64">IF(L196&gt;L195,L196-L195,0)</f>
        <v>0</v>
      </c>
      <c r="N196" s="114">
        <v>18600</v>
      </c>
      <c r="O196" s="114">
        <f t="shared" ref="O196:O259" si="65">IF(N196&gt;N195,N196-N195,0)</f>
        <v>24</v>
      </c>
      <c r="P196" s="114">
        <v>18668</v>
      </c>
      <c r="Q196" s="114">
        <f>IF(P196&gt;P195,P196-P195,0)</f>
        <v>24</v>
      </c>
      <c r="R196" s="114">
        <v>17631</v>
      </c>
      <c r="S196" s="114">
        <f t="shared" ref="S196:S259" si="66">IF(R196&gt;R195,R196-R195,0)</f>
        <v>10</v>
      </c>
      <c r="T196" s="114">
        <v>16202</v>
      </c>
      <c r="U196" s="114">
        <f>IF(T196&gt;T195,T196-T195,0)</f>
        <v>24</v>
      </c>
    </row>
    <row r="197" spans="1:21">
      <c r="A197" s="113">
        <v>45121</v>
      </c>
      <c r="B197" s="114">
        <v>13044</v>
      </c>
      <c r="C197" s="114">
        <f t="shared" si="59"/>
        <v>0</v>
      </c>
      <c r="D197" s="114">
        <v>18681</v>
      </c>
      <c r="E197" s="114">
        <f t="shared" si="60"/>
        <v>24</v>
      </c>
      <c r="F197" s="114">
        <v>18225</v>
      </c>
      <c r="G197" s="114">
        <f t="shared" si="61"/>
        <v>24</v>
      </c>
      <c r="H197" s="114">
        <v>18517</v>
      </c>
      <c r="I197" s="114">
        <f t="shared" si="62"/>
        <v>24</v>
      </c>
      <c r="J197" s="114">
        <v>14034</v>
      </c>
      <c r="K197" s="114">
        <f t="shared" si="63"/>
        <v>24</v>
      </c>
      <c r="L197" s="114">
        <v>18302</v>
      </c>
      <c r="M197" s="114">
        <f t="shared" si="64"/>
        <v>0</v>
      </c>
      <c r="N197" s="114">
        <v>18624</v>
      </c>
      <c r="O197" s="114">
        <f t="shared" si="65"/>
        <v>24</v>
      </c>
      <c r="P197" s="114">
        <v>18691</v>
      </c>
      <c r="Q197" s="114">
        <f>IF(P197&gt;P196,P197-P196,0)</f>
        <v>23</v>
      </c>
      <c r="R197" s="114">
        <v>17655</v>
      </c>
      <c r="S197" s="114">
        <f t="shared" si="66"/>
        <v>24</v>
      </c>
      <c r="T197" s="114">
        <v>16226</v>
      </c>
      <c r="U197" s="114">
        <f>IF(T197&gt;T196,T197-T196,0)</f>
        <v>24</v>
      </c>
    </row>
    <row r="198" spans="1:21">
      <c r="A198" s="113">
        <v>45122</v>
      </c>
      <c r="B198" s="114">
        <v>13068</v>
      </c>
      <c r="C198" s="114">
        <f t="shared" si="59"/>
        <v>24</v>
      </c>
      <c r="D198" s="114">
        <v>18701</v>
      </c>
      <c r="E198" s="114">
        <f t="shared" si="60"/>
        <v>20</v>
      </c>
      <c r="F198" s="114">
        <v>18237</v>
      </c>
      <c r="G198" s="114">
        <f t="shared" si="61"/>
        <v>12</v>
      </c>
      <c r="H198" s="114">
        <v>18541</v>
      </c>
      <c r="I198" s="114">
        <f t="shared" si="62"/>
        <v>24</v>
      </c>
      <c r="J198" s="114">
        <v>14058</v>
      </c>
      <c r="K198" s="114">
        <f t="shared" si="63"/>
        <v>24</v>
      </c>
      <c r="L198" s="114">
        <v>18302</v>
      </c>
      <c r="M198" s="114">
        <f t="shared" si="64"/>
        <v>0</v>
      </c>
      <c r="N198" s="114">
        <v>18648</v>
      </c>
      <c r="O198" s="114">
        <f t="shared" si="65"/>
        <v>24</v>
      </c>
      <c r="P198" s="114">
        <v>18699</v>
      </c>
      <c r="Q198" s="114">
        <f>IF(P198&gt;P197,P198-P197,0)</f>
        <v>8</v>
      </c>
      <c r="R198" s="114">
        <v>17667</v>
      </c>
      <c r="S198" s="114">
        <f t="shared" si="66"/>
        <v>12</v>
      </c>
      <c r="T198" s="114">
        <v>16250</v>
      </c>
      <c r="U198" s="114">
        <f t="shared" ref="U198:U259" si="67">IF(T198&gt;T197,T198-T197,0)</f>
        <v>24</v>
      </c>
    </row>
    <row r="199" spans="1:21">
      <c r="A199" s="113">
        <v>45123</v>
      </c>
      <c r="B199" s="114">
        <v>13092</v>
      </c>
      <c r="C199" s="114">
        <f t="shared" si="59"/>
        <v>24</v>
      </c>
      <c r="D199" s="114">
        <v>18725</v>
      </c>
      <c r="E199" s="114">
        <f t="shared" si="60"/>
        <v>24</v>
      </c>
      <c r="F199" s="114">
        <v>18237</v>
      </c>
      <c r="G199" s="114">
        <f t="shared" si="61"/>
        <v>0</v>
      </c>
      <c r="H199" s="114">
        <v>18565</v>
      </c>
      <c r="I199" s="114">
        <f t="shared" si="62"/>
        <v>24</v>
      </c>
      <c r="J199" s="114">
        <v>14081</v>
      </c>
      <c r="K199" s="114">
        <f t="shared" si="63"/>
        <v>23</v>
      </c>
      <c r="L199" s="114">
        <v>18302</v>
      </c>
      <c r="M199" s="114">
        <f t="shared" si="64"/>
        <v>0</v>
      </c>
      <c r="N199" s="114">
        <v>18672</v>
      </c>
      <c r="O199" s="114">
        <f t="shared" si="65"/>
        <v>24</v>
      </c>
      <c r="P199" s="114">
        <v>18723</v>
      </c>
      <c r="Q199" s="114">
        <f t="shared" ref="Q199:Q259" si="68">IF(P199&gt;P198,P199-P198,0)</f>
        <v>24</v>
      </c>
      <c r="R199" s="114">
        <v>17691</v>
      </c>
      <c r="S199" s="114">
        <f t="shared" si="66"/>
        <v>24</v>
      </c>
      <c r="T199" s="114">
        <v>16271</v>
      </c>
      <c r="U199" s="114">
        <f t="shared" si="67"/>
        <v>21</v>
      </c>
    </row>
    <row r="200" spans="1:21">
      <c r="A200" s="113">
        <v>45124</v>
      </c>
      <c r="B200" s="114">
        <v>13116</v>
      </c>
      <c r="C200" s="114">
        <f t="shared" si="59"/>
        <v>24</v>
      </c>
      <c r="D200" s="114">
        <v>18749</v>
      </c>
      <c r="E200" s="114">
        <f t="shared" si="60"/>
        <v>24</v>
      </c>
      <c r="F200" s="114">
        <v>18237</v>
      </c>
      <c r="G200" s="114">
        <f t="shared" si="61"/>
        <v>0</v>
      </c>
      <c r="H200" s="114">
        <v>18589</v>
      </c>
      <c r="I200" s="114">
        <f t="shared" si="62"/>
        <v>24</v>
      </c>
      <c r="J200" s="114">
        <v>14104</v>
      </c>
      <c r="K200" s="114">
        <f t="shared" si="63"/>
        <v>23</v>
      </c>
      <c r="L200" s="114">
        <v>18302</v>
      </c>
      <c r="M200" s="114">
        <f t="shared" si="64"/>
        <v>0</v>
      </c>
      <c r="N200" s="114">
        <v>18696</v>
      </c>
      <c r="O200" s="114">
        <f t="shared" si="65"/>
        <v>24</v>
      </c>
      <c r="P200" s="114">
        <v>18747</v>
      </c>
      <c r="Q200" s="114">
        <f t="shared" si="68"/>
        <v>24</v>
      </c>
      <c r="R200" s="114">
        <v>17715</v>
      </c>
      <c r="S200" s="114">
        <f t="shared" si="66"/>
        <v>24</v>
      </c>
      <c r="T200" s="114">
        <v>16295</v>
      </c>
      <c r="U200" s="114">
        <f t="shared" si="67"/>
        <v>24</v>
      </c>
    </row>
    <row r="201" spans="1:21">
      <c r="A201" s="113">
        <v>45125</v>
      </c>
      <c r="B201" s="114">
        <v>13140</v>
      </c>
      <c r="C201" s="114">
        <f t="shared" si="59"/>
        <v>24</v>
      </c>
      <c r="D201" s="114">
        <v>18773</v>
      </c>
      <c r="E201" s="114">
        <f t="shared" si="60"/>
        <v>24</v>
      </c>
      <c r="F201" s="114">
        <v>18237</v>
      </c>
      <c r="G201" s="114">
        <f t="shared" si="61"/>
        <v>0</v>
      </c>
      <c r="H201" s="114">
        <v>18613</v>
      </c>
      <c r="I201" s="114">
        <f t="shared" si="62"/>
        <v>24</v>
      </c>
      <c r="J201" s="114">
        <v>14127</v>
      </c>
      <c r="K201" s="114">
        <f t="shared" si="63"/>
        <v>23</v>
      </c>
      <c r="L201" s="114">
        <v>18302</v>
      </c>
      <c r="M201" s="114">
        <f t="shared" si="64"/>
        <v>0</v>
      </c>
      <c r="N201" s="114">
        <v>18720</v>
      </c>
      <c r="O201" s="114">
        <f t="shared" si="65"/>
        <v>24</v>
      </c>
      <c r="P201" s="114">
        <v>18771</v>
      </c>
      <c r="Q201" s="114">
        <f t="shared" si="68"/>
        <v>24</v>
      </c>
      <c r="R201" s="114">
        <v>17739</v>
      </c>
      <c r="S201" s="114">
        <f t="shared" si="66"/>
        <v>24</v>
      </c>
      <c r="T201" s="114">
        <v>16319</v>
      </c>
      <c r="U201" s="114">
        <f t="shared" si="67"/>
        <v>24</v>
      </c>
    </row>
    <row r="202" spans="1:21">
      <c r="A202" s="113">
        <v>45126</v>
      </c>
      <c r="B202" s="114">
        <v>13164</v>
      </c>
      <c r="C202" s="114">
        <f t="shared" si="59"/>
        <v>24</v>
      </c>
      <c r="D202" s="114">
        <v>18797</v>
      </c>
      <c r="E202" s="114">
        <f t="shared" si="60"/>
        <v>24</v>
      </c>
      <c r="F202" s="114">
        <v>18237</v>
      </c>
      <c r="G202" s="114">
        <f t="shared" si="61"/>
        <v>0</v>
      </c>
      <c r="H202" s="114">
        <v>18637</v>
      </c>
      <c r="I202" s="114">
        <f t="shared" si="62"/>
        <v>24</v>
      </c>
      <c r="J202" s="114">
        <v>14147</v>
      </c>
      <c r="K202" s="114">
        <f t="shared" si="63"/>
        <v>20</v>
      </c>
      <c r="L202" s="114">
        <v>18302</v>
      </c>
      <c r="M202" s="114">
        <f t="shared" si="64"/>
        <v>0</v>
      </c>
      <c r="N202" s="114">
        <v>18744</v>
      </c>
      <c r="O202" s="114">
        <f t="shared" si="65"/>
        <v>24</v>
      </c>
      <c r="P202" s="114">
        <v>18795</v>
      </c>
      <c r="Q202" s="114">
        <f t="shared" si="68"/>
        <v>24</v>
      </c>
      <c r="R202" s="114">
        <v>17763</v>
      </c>
      <c r="S202" s="114">
        <f t="shared" si="66"/>
        <v>24</v>
      </c>
      <c r="T202" s="114">
        <v>16343</v>
      </c>
      <c r="U202" s="114">
        <f t="shared" si="67"/>
        <v>24</v>
      </c>
    </row>
    <row r="203" spans="1:21">
      <c r="A203" s="113">
        <v>45127</v>
      </c>
      <c r="B203" s="114">
        <v>13188</v>
      </c>
      <c r="C203" s="114">
        <f t="shared" si="59"/>
        <v>24</v>
      </c>
      <c r="D203" s="114">
        <v>18821</v>
      </c>
      <c r="E203" s="114">
        <f t="shared" si="60"/>
        <v>24</v>
      </c>
      <c r="F203" s="114">
        <v>18237</v>
      </c>
      <c r="G203" s="114">
        <f t="shared" si="61"/>
        <v>0</v>
      </c>
      <c r="H203" s="114">
        <v>18661</v>
      </c>
      <c r="I203" s="114">
        <f t="shared" si="62"/>
        <v>24</v>
      </c>
      <c r="J203" s="114">
        <v>14169</v>
      </c>
      <c r="K203" s="114">
        <f t="shared" si="63"/>
        <v>22</v>
      </c>
      <c r="L203" s="114">
        <v>18303</v>
      </c>
      <c r="M203" s="114">
        <f t="shared" si="64"/>
        <v>1</v>
      </c>
      <c r="N203" s="114">
        <v>18768</v>
      </c>
      <c r="O203" s="114">
        <f t="shared" si="65"/>
        <v>24</v>
      </c>
      <c r="P203" s="114">
        <v>18819</v>
      </c>
      <c r="Q203" s="114">
        <f t="shared" si="68"/>
        <v>24</v>
      </c>
      <c r="R203" s="114">
        <v>17787</v>
      </c>
      <c r="S203" s="114">
        <f t="shared" si="66"/>
        <v>24</v>
      </c>
      <c r="T203" s="114">
        <v>16367</v>
      </c>
      <c r="U203" s="114">
        <f t="shared" si="67"/>
        <v>24</v>
      </c>
    </row>
    <row r="204" spans="1:21">
      <c r="A204" s="113">
        <v>45128</v>
      </c>
      <c r="B204" s="114">
        <v>13212</v>
      </c>
      <c r="C204" s="114">
        <f t="shared" si="59"/>
        <v>24</v>
      </c>
      <c r="D204" s="114">
        <v>18845</v>
      </c>
      <c r="E204" s="114">
        <f t="shared" si="60"/>
        <v>24</v>
      </c>
      <c r="F204" s="114">
        <v>18237</v>
      </c>
      <c r="G204" s="114">
        <f t="shared" si="61"/>
        <v>0</v>
      </c>
      <c r="H204" s="114">
        <v>18685</v>
      </c>
      <c r="I204" s="114">
        <f t="shared" si="62"/>
        <v>24</v>
      </c>
      <c r="J204" s="114">
        <v>14193</v>
      </c>
      <c r="K204" s="114">
        <f t="shared" si="63"/>
        <v>24</v>
      </c>
      <c r="L204" s="114">
        <v>18309</v>
      </c>
      <c r="M204" s="114">
        <f t="shared" si="64"/>
        <v>6</v>
      </c>
      <c r="N204" s="114">
        <v>18792</v>
      </c>
      <c r="O204" s="114">
        <f t="shared" si="65"/>
        <v>24</v>
      </c>
      <c r="P204" s="114">
        <v>18841</v>
      </c>
      <c r="Q204" s="114">
        <f t="shared" si="68"/>
        <v>22</v>
      </c>
      <c r="R204" s="114">
        <v>17810</v>
      </c>
      <c r="S204" s="114">
        <f t="shared" si="66"/>
        <v>23</v>
      </c>
      <c r="T204" s="114">
        <v>16367</v>
      </c>
      <c r="U204" s="114">
        <f t="shared" si="67"/>
        <v>0</v>
      </c>
    </row>
    <row r="205" spans="1:21">
      <c r="A205" s="113">
        <v>45129</v>
      </c>
      <c r="B205" s="114">
        <v>13236</v>
      </c>
      <c r="C205" s="114">
        <f t="shared" si="59"/>
        <v>24</v>
      </c>
      <c r="D205" s="114">
        <v>18869</v>
      </c>
      <c r="E205" s="114">
        <f t="shared" si="60"/>
        <v>24</v>
      </c>
      <c r="F205" s="114">
        <v>18237</v>
      </c>
      <c r="G205" s="114">
        <f t="shared" si="61"/>
        <v>0</v>
      </c>
      <c r="H205" s="114">
        <v>18709</v>
      </c>
      <c r="I205" s="114">
        <f t="shared" si="62"/>
        <v>24</v>
      </c>
      <c r="J205" s="114">
        <v>14217</v>
      </c>
      <c r="K205" s="114">
        <f t="shared" si="63"/>
        <v>24</v>
      </c>
      <c r="L205" s="114">
        <v>18333</v>
      </c>
      <c r="M205" s="114">
        <f t="shared" si="64"/>
        <v>24</v>
      </c>
      <c r="N205" s="114">
        <v>18816</v>
      </c>
      <c r="O205" s="114">
        <f t="shared" si="65"/>
        <v>24</v>
      </c>
      <c r="P205" s="114">
        <v>18863</v>
      </c>
      <c r="Q205" s="114">
        <f t="shared" si="68"/>
        <v>22</v>
      </c>
      <c r="R205" s="114">
        <v>17834</v>
      </c>
      <c r="S205" s="114">
        <f t="shared" si="66"/>
        <v>24</v>
      </c>
      <c r="T205" s="114">
        <v>16367</v>
      </c>
      <c r="U205" s="114">
        <f t="shared" si="67"/>
        <v>0</v>
      </c>
    </row>
    <row r="206" spans="1:21">
      <c r="A206" s="113">
        <v>45130</v>
      </c>
      <c r="B206" s="423">
        <v>13260</v>
      </c>
      <c r="C206" s="114">
        <f t="shared" si="59"/>
        <v>24</v>
      </c>
      <c r="D206" s="423">
        <v>18893</v>
      </c>
      <c r="E206" s="114">
        <f t="shared" si="60"/>
        <v>24</v>
      </c>
      <c r="F206" s="423">
        <v>18237</v>
      </c>
      <c r="G206" s="114">
        <f t="shared" si="61"/>
        <v>0</v>
      </c>
      <c r="H206" s="423">
        <v>18732</v>
      </c>
      <c r="I206" s="114">
        <f t="shared" si="62"/>
        <v>23</v>
      </c>
      <c r="J206" s="423">
        <v>14241</v>
      </c>
      <c r="K206" s="114">
        <f t="shared" si="63"/>
        <v>24</v>
      </c>
      <c r="L206" s="423">
        <v>18357</v>
      </c>
      <c r="M206" s="114">
        <f t="shared" si="64"/>
        <v>24</v>
      </c>
      <c r="N206" s="423">
        <v>18840</v>
      </c>
      <c r="O206" s="114">
        <f t="shared" si="65"/>
        <v>24</v>
      </c>
      <c r="P206" s="423">
        <v>18887</v>
      </c>
      <c r="Q206" s="114">
        <f t="shared" si="68"/>
        <v>24</v>
      </c>
      <c r="R206" s="423">
        <v>17858</v>
      </c>
      <c r="S206" s="114">
        <f t="shared" si="66"/>
        <v>24</v>
      </c>
      <c r="T206" s="423">
        <v>16367</v>
      </c>
      <c r="U206" s="114">
        <f t="shared" si="67"/>
        <v>0</v>
      </c>
    </row>
    <row r="207" spans="1:21">
      <c r="A207" s="113">
        <v>45131</v>
      </c>
      <c r="B207" s="423">
        <v>13284</v>
      </c>
      <c r="C207" s="114">
        <f t="shared" si="59"/>
        <v>24</v>
      </c>
      <c r="D207" s="423">
        <v>18917</v>
      </c>
      <c r="E207" s="114">
        <f t="shared" si="60"/>
        <v>24</v>
      </c>
      <c r="F207" s="423">
        <v>18237</v>
      </c>
      <c r="G207" s="114">
        <f t="shared" si="61"/>
        <v>0</v>
      </c>
      <c r="H207" s="423">
        <v>18756</v>
      </c>
      <c r="I207" s="114">
        <f t="shared" si="62"/>
        <v>24</v>
      </c>
      <c r="J207" s="423">
        <v>14265</v>
      </c>
      <c r="K207" s="114">
        <f t="shared" si="63"/>
        <v>24</v>
      </c>
      <c r="L207" s="423">
        <v>18380</v>
      </c>
      <c r="M207" s="114">
        <f t="shared" si="64"/>
        <v>23</v>
      </c>
      <c r="N207" s="423">
        <v>18864</v>
      </c>
      <c r="O207" s="114">
        <f t="shared" si="65"/>
        <v>24</v>
      </c>
      <c r="P207" s="423">
        <v>18911</v>
      </c>
      <c r="Q207" s="114">
        <f t="shared" si="68"/>
        <v>24</v>
      </c>
      <c r="R207" s="423">
        <v>17882</v>
      </c>
      <c r="S207" s="114">
        <f t="shared" si="66"/>
        <v>24</v>
      </c>
      <c r="T207" s="423">
        <v>16367</v>
      </c>
      <c r="U207" s="114">
        <f t="shared" si="67"/>
        <v>0</v>
      </c>
    </row>
    <row r="208" spans="1:21">
      <c r="A208" s="113">
        <v>45132</v>
      </c>
      <c r="B208" s="423">
        <v>13308</v>
      </c>
      <c r="C208" s="114">
        <f t="shared" si="59"/>
        <v>24</v>
      </c>
      <c r="D208" s="423">
        <v>18941</v>
      </c>
      <c r="E208" s="114">
        <f t="shared" si="60"/>
        <v>24</v>
      </c>
      <c r="F208" s="423">
        <v>18237</v>
      </c>
      <c r="G208" s="114">
        <f t="shared" si="61"/>
        <v>0</v>
      </c>
      <c r="H208" s="423">
        <v>18780</v>
      </c>
      <c r="I208" s="114">
        <f t="shared" si="62"/>
        <v>24</v>
      </c>
      <c r="J208" s="423">
        <v>14289</v>
      </c>
      <c r="K208" s="114">
        <f t="shared" si="63"/>
        <v>24</v>
      </c>
      <c r="L208" s="423">
        <v>18404</v>
      </c>
      <c r="M208" s="114">
        <f t="shared" si="64"/>
        <v>24</v>
      </c>
      <c r="N208" s="423">
        <v>18888</v>
      </c>
      <c r="O208" s="114">
        <f t="shared" si="65"/>
        <v>24</v>
      </c>
      <c r="P208" s="423">
        <v>18935</v>
      </c>
      <c r="Q208" s="114">
        <f t="shared" si="68"/>
        <v>24</v>
      </c>
      <c r="R208" s="423">
        <v>17906</v>
      </c>
      <c r="S208" s="114">
        <f t="shared" si="66"/>
        <v>24</v>
      </c>
      <c r="T208" s="423">
        <v>16367</v>
      </c>
      <c r="U208" s="114">
        <f t="shared" si="67"/>
        <v>0</v>
      </c>
    </row>
    <row r="209" spans="1:21">
      <c r="A209" s="113">
        <v>45133</v>
      </c>
      <c r="B209" s="423">
        <v>13310</v>
      </c>
      <c r="C209" s="114">
        <f t="shared" si="59"/>
        <v>2</v>
      </c>
      <c r="D209" s="423">
        <v>18965</v>
      </c>
      <c r="E209" s="114">
        <f t="shared" si="60"/>
        <v>24</v>
      </c>
      <c r="F209" s="423">
        <v>18237</v>
      </c>
      <c r="G209" s="114">
        <f t="shared" si="61"/>
        <v>0</v>
      </c>
      <c r="H209" s="423">
        <v>18803</v>
      </c>
      <c r="I209" s="114">
        <f t="shared" si="62"/>
        <v>23</v>
      </c>
      <c r="J209" s="423">
        <v>14312</v>
      </c>
      <c r="K209" s="114">
        <f t="shared" si="63"/>
        <v>23</v>
      </c>
      <c r="L209" s="423">
        <v>18428</v>
      </c>
      <c r="M209" s="114">
        <f t="shared" si="64"/>
        <v>24</v>
      </c>
      <c r="N209" s="423">
        <v>18912</v>
      </c>
      <c r="O209" s="114">
        <f t="shared" si="65"/>
        <v>24</v>
      </c>
      <c r="P209" s="423">
        <v>18959</v>
      </c>
      <c r="Q209" s="114">
        <f t="shared" si="68"/>
        <v>24</v>
      </c>
      <c r="R209" s="423">
        <v>17925</v>
      </c>
      <c r="S209" s="114">
        <f t="shared" si="66"/>
        <v>19</v>
      </c>
      <c r="T209" s="423">
        <v>16367</v>
      </c>
      <c r="U209" s="114">
        <f t="shared" si="67"/>
        <v>0</v>
      </c>
    </row>
    <row r="210" spans="1:21">
      <c r="A210" s="113">
        <v>45134</v>
      </c>
      <c r="B210" s="423">
        <v>13334</v>
      </c>
      <c r="C210" s="114">
        <f t="shared" si="59"/>
        <v>24</v>
      </c>
      <c r="D210" s="423">
        <v>18989</v>
      </c>
      <c r="E210" s="114">
        <f t="shared" si="60"/>
        <v>24</v>
      </c>
      <c r="F210" s="423">
        <v>18237</v>
      </c>
      <c r="G210" s="114">
        <f t="shared" si="61"/>
        <v>0</v>
      </c>
      <c r="H210" s="423">
        <v>18825</v>
      </c>
      <c r="I210" s="114">
        <f t="shared" si="62"/>
        <v>22</v>
      </c>
      <c r="J210" s="423">
        <v>14336</v>
      </c>
      <c r="K210" s="114">
        <f t="shared" si="63"/>
        <v>24</v>
      </c>
      <c r="L210" s="423">
        <v>18452</v>
      </c>
      <c r="M210" s="114">
        <f t="shared" si="64"/>
        <v>24</v>
      </c>
      <c r="N210" s="423">
        <v>18936</v>
      </c>
      <c r="O210" s="114">
        <f t="shared" si="65"/>
        <v>24</v>
      </c>
      <c r="P210" s="423">
        <v>18983</v>
      </c>
      <c r="Q210" s="114">
        <f t="shared" si="68"/>
        <v>24</v>
      </c>
      <c r="R210" s="423">
        <v>17948</v>
      </c>
      <c r="S210" s="114">
        <f t="shared" si="66"/>
        <v>23</v>
      </c>
      <c r="T210" s="423">
        <v>16367</v>
      </c>
      <c r="U210" s="114">
        <f t="shared" si="67"/>
        <v>0</v>
      </c>
    </row>
    <row r="211" spans="1:21">
      <c r="A211" s="113">
        <v>45135</v>
      </c>
      <c r="B211" s="423">
        <v>13358</v>
      </c>
      <c r="C211" s="114">
        <f t="shared" si="59"/>
        <v>24</v>
      </c>
      <c r="D211" s="423">
        <v>19013</v>
      </c>
      <c r="E211" s="114">
        <f t="shared" si="60"/>
        <v>24</v>
      </c>
      <c r="F211" s="423">
        <v>18237</v>
      </c>
      <c r="G211" s="114">
        <f t="shared" si="61"/>
        <v>0</v>
      </c>
      <c r="H211" s="423">
        <v>18849</v>
      </c>
      <c r="I211" s="114">
        <f t="shared" si="62"/>
        <v>24</v>
      </c>
      <c r="J211" s="423">
        <v>14360</v>
      </c>
      <c r="K211" s="114">
        <f t="shared" si="63"/>
        <v>24</v>
      </c>
      <c r="L211" s="423">
        <v>18476</v>
      </c>
      <c r="M211" s="114">
        <f t="shared" si="64"/>
        <v>24</v>
      </c>
      <c r="N211" s="423">
        <v>18960</v>
      </c>
      <c r="O211" s="114">
        <f t="shared" si="65"/>
        <v>24</v>
      </c>
      <c r="P211" s="423">
        <v>19007</v>
      </c>
      <c r="Q211" s="114">
        <f t="shared" si="68"/>
        <v>24</v>
      </c>
      <c r="R211" s="423">
        <v>17972</v>
      </c>
      <c r="S211" s="114">
        <f t="shared" si="66"/>
        <v>24</v>
      </c>
      <c r="T211" s="423">
        <v>16367</v>
      </c>
      <c r="U211" s="114">
        <f t="shared" si="67"/>
        <v>0</v>
      </c>
    </row>
    <row r="212" spans="1:21">
      <c r="A212" s="113">
        <v>45136</v>
      </c>
      <c r="B212" s="114">
        <v>13382</v>
      </c>
      <c r="C212" s="114">
        <f t="shared" si="59"/>
        <v>24</v>
      </c>
      <c r="D212" s="114">
        <v>19037</v>
      </c>
      <c r="E212" s="114">
        <f t="shared" si="60"/>
        <v>24</v>
      </c>
      <c r="F212" s="114">
        <v>18237</v>
      </c>
      <c r="G212" s="114">
        <f t="shared" si="61"/>
        <v>0</v>
      </c>
      <c r="H212" s="114">
        <v>18873</v>
      </c>
      <c r="I212" s="114">
        <f t="shared" si="62"/>
        <v>24</v>
      </c>
      <c r="J212" s="114">
        <v>14384</v>
      </c>
      <c r="K212" s="114">
        <f t="shared" si="63"/>
        <v>24</v>
      </c>
      <c r="L212" s="114">
        <v>18500</v>
      </c>
      <c r="M212" s="114">
        <f t="shared" si="64"/>
        <v>24</v>
      </c>
      <c r="N212" s="114">
        <v>18984</v>
      </c>
      <c r="O212" s="114">
        <f t="shared" si="65"/>
        <v>24</v>
      </c>
      <c r="P212" s="114">
        <v>19031</v>
      </c>
      <c r="Q212" s="114">
        <f t="shared" si="68"/>
        <v>24</v>
      </c>
      <c r="R212" s="114">
        <v>17996</v>
      </c>
      <c r="S212" s="114">
        <f t="shared" si="66"/>
        <v>24</v>
      </c>
      <c r="T212" s="114">
        <v>16367</v>
      </c>
      <c r="U212" s="114">
        <f t="shared" si="67"/>
        <v>0</v>
      </c>
    </row>
    <row r="213" spans="1:21">
      <c r="A213" s="113">
        <v>45137</v>
      </c>
      <c r="B213" s="114">
        <v>13406</v>
      </c>
      <c r="C213" s="114">
        <f t="shared" si="59"/>
        <v>24</v>
      </c>
      <c r="D213" s="114">
        <v>19061</v>
      </c>
      <c r="E213" s="114">
        <f t="shared" si="60"/>
        <v>24</v>
      </c>
      <c r="F213" s="114">
        <v>18237</v>
      </c>
      <c r="G213" s="114">
        <f t="shared" si="61"/>
        <v>0</v>
      </c>
      <c r="H213" s="114">
        <v>18897</v>
      </c>
      <c r="I213" s="114">
        <f t="shared" si="62"/>
        <v>24</v>
      </c>
      <c r="J213" s="114">
        <v>14408</v>
      </c>
      <c r="K213" s="114">
        <f t="shared" si="63"/>
        <v>24</v>
      </c>
      <c r="L213" s="114">
        <v>18524</v>
      </c>
      <c r="M213" s="114">
        <f t="shared" si="64"/>
        <v>24</v>
      </c>
      <c r="N213" s="114">
        <v>19008</v>
      </c>
      <c r="O213" s="114">
        <f t="shared" si="65"/>
        <v>24</v>
      </c>
      <c r="P213" s="114">
        <v>19055</v>
      </c>
      <c r="Q213" s="114">
        <f t="shared" si="68"/>
        <v>24</v>
      </c>
      <c r="R213" s="114">
        <v>18020</v>
      </c>
      <c r="S213" s="114">
        <f t="shared" si="66"/>
        <v>24</v>
      </c>
      <c r="T213" s="114">
        <v>16367</v>
      </c>
      <c r="U213" s="114">
        <f t="shared" si="67"/>
        <v>0</v>
      </c>
    </row>
    <row r="214" spans="1:21">
      <c r="A214" s="113">
        <v>45138</v>
      </c>
      <c r="B214" s="114">
        <v>13430</v>
      </c>
      <c r="C214" s="114">
        <f t="shared" si="59"/>
        <v>24</v>
      </c>
      <c r="D214" s="114">
        <v>19085</v>
      </c>
      <c r="E214" s="114">
        <f t="shared" si="60"/>
        <v>24</v>
      </c>
      <c r="F214" s="114">
        <v>18237</v>
      </c>
      <c r="G214" s="114">
        <f t="shared" si="61"/>
        <v>0</v>
      </c>
      <c r="H214" s="114">
        <v>18921</v>
      </c>
      <c r="I214" s="114">
        <f t="shared" si="62"/>
        <v>24</v>
      </c>
      <c r="J214" s="114">
        <v>14432</v>
      </c>
      <c r="K214" s="114">
        <f t="shared" si="63"/>
        <v>24</v>
      </c>
      <c r="L214" s="114">
        <v>18542</v>
      </c>
      <c r="M214" s="114">
        <f t="shared" si="64"/>
        <v>18</v>
      </c>
      <c r="N214" s="114">
        <v>19032</v>
      </c>
      <c r="O214" s="114">
        <f t="shared" si="65"/>
        <v>24</v>
      </c>
      <c r="P214" s="114">
        <v>19079</v>
      </c>
      <c r="Q214" s="114">
        <f t="shared" si="68"/>
        <v>24</v>
      </c>
      <c r="R214" s="114">
        <v>18044</v>
      </c>
      <c r="S214" s="114">
        <f t="shared" si="66"/>
        <v>24</v>
      </c>
      <c r="T214" s="114">
        <v>16367</v>
      </c>
      <c r="U214" s="114">
        <f t="shared" si="67"/>
        <v>0</v>
      </c>
    </row>
    <row r="215" spans="1:21">
      <c r="A215" s="113">
        <v>45139</v>
      </c>
      <c r="B215" s="114">
        <v>13454</v>
      </c>
      <c r="C215" s="114">
        <f t="shared" si="59"/>
        <v>24</v>
      </c>
      <c r="D215" s="114">
        <v>19109</v>
      </c>
      <c r="E215" s="114">
        <f t="shared" si="60"/>
        <v>24</v>
      </c>
      <c r="F215" s="114">
        <v>18237</v>
      </c>
      <c r="G215" s="114">
        <f t="shared" si="61"/>
        <v>0</v>
      </c>
      <c r="H215" s="114">
        <v>18945</v>
      </c>
      <c r="I215" s="114">
        <f t="shared" si="62"/>
        <v>24</v>
      </c>
      <c r="J215" s="114">
        <v>14456</v>
      </c>
      <c r="K215" s="114">
        <f t="shared" si="63"/>
        <v>24</v>
      </c>
      <c r="L215" s="114">
        <v>18566</v>
      </c>
      <c r="M215" s="114">
        <f t="shared" si="64"/>
        <v>24</v>
      </c>
      <c r="N215" s="114">
        <v>19056</v>
      </c>
      <c r="O215" s="114">
        <f t="shared" si="65"/>
        <v>24</v>
      </c>
      <c r="P215" s="114">
        <v>19103</v>
      </c>
      <c r="Q215" s="114">
        <f t="shared" si="68"/>
        <v>24</v>
      </c>
      <c r="R215" s="114">
        <v>18068</v>
      </c>
      <c r="S215" s="114">
        <f t="shared" si="66"/>
        <v>24</v>
      </c>
      <c r="T215" s="114">
        <v>16367</v>
      </c>
      <c r="U215" s="114">
        <f t="shared" si="67"/>
        <v>0</v>
      </c>
    </row>
    <row r="216" spans="1:21">
      <c r="A216" s="113">
        <v>45140</v>
      </c>
      <c r="B216" s="114">
        <v>13478</v>
      </c>
      <c r="C216" s="114">
        <f t="shared" si="59"/>
        <v>24</v>
      </c>
      <c r="D216" s="114">
        <v>19133</v>
      </c>
      <c r="E216" s="114">
        <f t="shared" si="60"/>
        <v>24</v>
      </c>
      <c r="F216" s="114">
        <v>18237</v>
      </c>
      <c r="G216" s="114">
        <f t="shared" si="61"/>
        <v>0</v>
      </c>
      <c r="H216" s="114">
        <v>18969</v>
      </c>
      <c r="I216" s="114">
        <f t="shared" si="62"/>
        <v>24</v>
      </c>
      <c r="J216" s="114">
        <v>14480</v>
      </c>
      <c r="K216" s="114">
        <f t="shared" si="63"/>
        <v>24</v>
      </c>
      <c r="L216" s="114">
        <v>18583</v>
      </c>
      <c r="M216" s="114">
        <f t="shared" si="64"/>
        <v>17</v>
      </c>
      <c r="N216" s="114">
        <v>19080</v>
      </c>
      <c r="O216" s="114">
        <f t="shared" si="65"/>
        <v>24</v>
      </c>
      <c r="P216" s="114">
        <v>19127</v>
      </c>
      <c r="Q216" s="114">
        <f t="shared" si="68"/>
        <v>24</v>
      </c>
      <c r="R216" s="114">
        <v>18092</v>
      </c>
      <c r="S216" s="114">
        <f t="shared" si="66"/>
        <v>24</v>
      </c>
      <c r="T216" s="114">
        <v>16367</v>
      </c>
      <c r="U216" s="114">
        <f t="shared" si="67"/>
        <v>0</v>
      </c>
    </row>
    <row r="217" spans="1:21">
      <c r="A217" s="113">
        <v>45141</v>
      </c>
      <c r="B217" s="114">
        <v>13502</v>
      </c>
      <c r="C217" s="114">
        <f t="shared" si="59"/>
        <v>24</v>
      </c>
      <c r="D217" s="114">
        <v>19157</v>
      </c>
      <c r="E217" s="114">
        <f t="shared" si="60"/>
        <v>24</v>
      </c>
      <c r="F217" s="114">
        <v>18237</v>
      </c>
      <c r="G217" s="114">
        <f t="shared" si="61"/>
        <v>0</v>
      </c>
      <c r="H217" s="114">
        <v>18993</v>
      </c>
      <c r="I217" s="114">
        <f t="shared" si="62"/>
        <v>24</v>
      </c>
      <c r="J217" s="114">
        <v>14504</v>
      </c>
      <c r="K217" s="114">
        <f t="shared" si="63"/>
        <v>24</v>
      </c>
      <c r="L217" s="114">
        <v>18596</v>
      </c>
      <c r="M217" s="114">
        <f t="shared" si="64"/>
        <v>13</v>
      </c>
      <c r="N217" s="114">
        <v>19104</v>
      </c>
      <c r="O217" s="114">
        <f t="shared" si="65"/>
        <v>24</v>
      </c>
      <c r="P217" s="114">
        <v>19151</v>
      </c>
      <c r="Q217" s="114">
        <f t="shared" si="68"/>
        <v>24</v>
      </c>
      <c r="R217" s="114">
        <v>18116</v>
      </c>
      <c r="S217" s="114">
        <f t="shared" si="66"/>
        <v>24</v>
      </c>
      <c r="T217" s="114">
        <v>16367</v>
      </c>
      <c r="U217" s="114">
        <f t="shared" si="67"/>
        <v>0</v>
      </c>
    </row>
    <row r="218" spans="1:21">
      <c r="A218" s="113">
        <v>45142</v>
      </c>
      <c r="B218" s="114">
        <v>13524</v>
      </c>
      <c r="C218" s="114">
        <f t="shared" si="59"/>
        <v>22</v>
      </c>
      <c r="D218" s="114">
        <v>19181</v>
      </c>
      <c r="E218" s="114">
        <f t="shared" si="60"/>
        <v>24</v>
      </c>
      <c r="F218" s="114">
        <v>18243</v>
      </c>
      <c r="G218" s="114">
        <f t="shared" si="61"/>
        <v>6</v>
      </c>
      <c r="H218" s="114">
        <v>19017</v>
      </c>
      <c r="I218" s="114">
        <f t="shared" si="62"/>
        <v>24</v>
      </c>
      <c r="J218" s="114">
        <v>14528</v>
      </c>
      <c r="K218" s="114">
        <f t="shared" si="63"/>
        <v>24</v>
      </c>
      <c r="L218" s="114">
        <v>18620</v>
      </c>
      <c r="M218" s="114">
        <f t="shared" si="64"/>
        <v>24</v>
      </c>
      <c r="N218" s="114">
        <v>19128</v>
      </c>
      <c r="O218" s="114">
        <f t="shared" si="65"/>
        <v>24</v>
      </c>
      <c r="P218" s="114">
        <v>19175</v>
      </c>
      <c r="Q218" s="114">
        <f t="shared" si="68"/>
        <v>24</v>
      </c>
      <c r="R218" s="114">
        <v>18139</v>
      </c>
      <c r="S218" s="114">
        <f t="shared" si="66"/>
        <v>23</v>
      </c>
      <c r="T218" s="114">
        <v>16367</v>
      </c>
      <c r="U218" s="114">
        <f t="shared" si="67"/>
        <v>0</v>
      </c>
    </row>
    <row r="219" spans="1:21">
      <c r="A219" s="113">
        <v>45143</v>
      </c>
      <c r="B219" s="114">
        <v>13548</v>
      </c>
      <c r="C219" s="114">
        <f t="shared" si="59"/>
        <v>24</v>
      </c>
      <c r="D219" s="114">
        <v>19205</v>
      </c>
      <c r="E219" s="114">
        <f t="shared" si="60"/>
        <v>24</v>
      </c>
      <c r="F219" s="114">
        <v>18250</v>
      </c>
      <c r="G219" s="114">
        <f t="shared" si="61"/>
        <v>7</v>
      </c>
      <c r="H219" s="114">
        <v>19041</v>
      </c>
      <c r="I219" s="114">
        <f t="shared" si="62"/>
        <v>24</v>
      </c>
      <c r="J219" s="114">
        <v>14552</v>
      </c>
      <c r="K219" s="114">
        <f t="shared" si="63"/>
        <v>24</v>
      </c>
      <c r="L219" s="114">
        <v>18644</v>
      </c>
      <c r="M219" s="114">
        <f t="shared" si="64"/>
        <v>24</v>
      </c>
      <c r="N219" s="114">
        <v>19152</v>
      </c>
      <c r="O219" s="114">
        <f t="shared" si="65"/>
        <v>24</v>
      </c>
      <c r="P219" s="114">
        <v>19199</v>
      </c>
      <c r="Q219" s="114">
        <f t="shared" si="68"/>
        <v>24</v>
      </c>
      <c r="R219" s="114">
        <v>18163</v>
      </c>
      <c r="S219" s="114">
        <f t="shared" si="66"/>
        <v>24</v>
      </c>
      <c r="T219" s="114">
        <v>16367</v>
      </c>
      <c r="U219" s="114">
        <f t="shared" si="67"/>
        <v>0</v>
      </c>
    </row>
    <row r="220" spans="1:21">
      <c r="A220" s="113">
        <v>45144</v>
      </c>
      <c r="B220" s="114">
        <v>13572</v>
      </c>
      <c r="C220" s="114">
        <f t="shared" si="59"/>
        <v>24</v>
      </c>
      <c r="D220" s="114">
        <v>19229</v>
      </c>
      <c r="E220" s="114">
        <f t="shared" si="60"/>
        <v>24</v>
      </c>
      <c r="F220" s="114">
        <v>18274</v>
      </c>
      <c r="G220" s="114">
        <f t="shared" si="61"/>
        <v>24</v>
      </c>
      <c r="H220" s="114">
        <v>19065</v>
      </c>
      <c r="I220" s="114">
        <f t="shared" si="62"/>
        <v>24</v>
      </c>
      <c r="J220" s="114">
        <v>14576</v>
      </c>
      <c r="K220" s="114">
        <f t="shared" si="63"/>
        <v>24</v>
      </c>
      <c r="L220" s="114">
        <v>18668</v>
      </c>
      <c r="M220" s="114">
        <f t="shared" si="64"/>
        <v>24</v>
      </c>
      <c r="N220" s="114">
        <v>19176</v>
      </c>
      <c r="O220" s="114">
        <f t="shared" si="65"/>
        <v>24</v>
      </c>
      <c r="P220" s="114">
        <v>19223</v>
      </c>
      <c r="Q220" s="114">
        <f t="shared" si="68"/>
        <v>24</v>
      </c>
      <c r="R220" s="114">
        <v>18187</v>
      </c>
      <c r="S220" s="114">
        <f t="shared" si="66"/>
        <v>24</v>
      </c>
      <c r="T220" s="114">
        <v>16367</v>
      </c>
      <c r="U220" s="114">
        <f t="shared" si="67"/>
        <v>0</v>
      </c>
    </row>
    <row r="221" spans="1:21">
      <c r="A221" s="113">
        <v>45145</v>
      </c>
      <c r="B221" s="114">
        <v>13596</v>
      </c>
      <c r="C221" s="114">
        <f t="shared" si="59"/>
        <v>24</v>
      </c>
      <c r="D221" s="114">
        <v>19253</v>
      </c>
      <c r="E221" s="114">
        <f t="shared" si="60"/>
        <v>24</v>
      </c>
      <c r="F221" s="114">
        <v>18297</v>
      </c>
      <c r="G221" s="114">
        <f t="shared" si="61"/>
        <v>23</v>
      </c>
      <c r="H221" s="114">
        <v>19089</v>
      </c>
      <c r="I221" s="114">
        <f t="shared" si="62"/>
        <v>24</v>
      </c>
      <c r="J221" s="114">
        <v>14600</v>
      </c>
      <c r="K221" s="114">
        <f t="shared" si="63"/>
        <v>24</v>
      </c>
      <c r="L221" s="114">
        <v>18692</v>
      </c>
      <c r="M221" s="114">
        <f t="shared" si="64"/>
        <v>24</v>
      </c>
      <c r="N221" s="114">
        <v>19198</v>
      </c>
      <c r="O221" s="114">
        <f t="shared" si="65"/>
        <v>22</v>
      </c>
      <c r="P221" s="114">
        <v>19247</v>
      </c>
      <c r="Q221" s="114">
        <f t="shared" si="68"/>
        <v>24</v>
      </c>
      <c r="R221" s="114">
        <v>18210</v>
      </c>
      <c r="S221" s="114">
        <f t="shared" si="66"/>
        <v>23</v>
      </c>
      <c r="T221" s="114">
        <v>16367</v>
      </c>
      <c r="U221" s="114">
        <f t="shared" si="67"/>
        <v>0</v>
      </c>
    </row>
    <row r="222" spans="1:21">
      <c r="A222" s="113">
        <v>45146</v>
      </c>
      <c r="B222" s="114">
        <v>13620</v>
      </c>
      <c r="C222" s="114">
        <f t="shared" si="59"/>
        <v>24</v>
      </c>
      <c r="D222" s="114">
        <v>19277</v>
      </c>
      <c r="E222" s="114">
        <f t="shared" si="60"/>
        <v>24</v>
      </c>
      <c r="F222" s="114">
        <v>18321</v>
      </c>
      <c r="G222" s="114">
        <f t="shared" si="61"/>
        <v>24</v>
      </c>
      <c r="H222" s="114">
        <v>19113</v>
      </c>
      <c r="I222" s="114">
        <f t="shared" si="62"/>
        <v>24</v>
      </c>
      <c r="J222" s="114">
        <v>14624</v>
      </c>
      <c r="K222" s="114">
        <f t="shared" si="63"/>
        <v>24</v>
      </c>
      <c r="L222" s="114">
        <v>18716</v>
      </c>
      <c r="M222" s="114">
        <f t="shared" si="64"/>
        <v>24</v>
      </c>
      <c r="N222" s="114">
        <v>19222</v>
      </c>
      <c r="O222" s="114">
        <f t="shared" si="65"/>
        <v>24</v>
      </c>
      <c r="P222" s="114">
        <v>19271</v>
      </c>
      <c r="Q222" s="114">
        <f t="shared" si="68"/>
        <v>24</v>
      </c>
      <c r="R222" s="114">
        <v>18234</v>
      </c>
      <c r="S222" s="114">
        <f t="shared" si="66"/>
        <v>24</v>
      </c>
      <c r="T222" s="114">
        <v>16367</v>
      </c>
      <c r="U222" s="114">
        <f t="shared" si="67"/>
        <v>0</v>
      </c>
    </row>
    <row r="223" spans="1:21">
      <c r="A223" s="113">
        <v>45147</v>
      </c>
      <c r="B223" s="114">
        <v>13644</v>
      </c>
      <c r="C223" s="114">
        <f t="shared" si="59"/>
        <v>24</v>
      </c>
      <c r="D223" s="114">
        <v>19301</v>
      </c>
      <c r="E223" s="114">
        <f t="shared" si="60"/>
        <v>24</v>
      </c>
      <c r="F223" s="114">
        <v>18345</v>
      </c>
      <c r="G223" s="114">
        <f t="shared" si="61"/>
        <v>24</v>
      </c>
      <c r="H223" s="114">
        <v>19137</v>
      </c>
      <c r="I223" s="114">
        <f t="shared" si="62"/>
        <v>24</v>
      </c>
      <c r="J223" s="114">
        <v>14648</v>
      </c>
      <c r="K223" s="114">
        <f t="shared" si="63"/>
        <v>24</v>
      </c>
      <c r="L223" s="114">
        <v>18740</v>
      </c>
      <c r="M223" s="114">
        <f t="shared" si="64"/>
        <v>24</v>
      </c>
      <c r="N223" s="114">
        <v>19246</v>
      </c>
      <c r="O223" s="114">
        <f t="shared" si="65"/>
        <v>24</v>
      </c>
      <c r="P223" s="114">
        <v>19295</v>
      </c>
      <c r="Q223" s="114">
        <f t="shared" si="68"/>
        <v>24</v>
      </c>
      <c r="R223" s="114">
        <v>18258</v>
      </c>
      <c r="S223" s="114">
        <f t="shared" si="66"/>
        <v>24</v>
      </c>
      <c r="T223" s="114">
        <v>16367</v>
      </c>
      <c r="U223" s="114">
        <f t="shared" si="67"/>
        <v>0</v>
      </c>
    </row>
    <row r="224" spans="1:21">
      <c r="A224" s="113">
        <v>45148</v>
      </c>
      <c r="B224" s="114">
        <v>13663</v>
      </c>
      <c r="C224" s="114">
        <f t="shared" si="59"/>
        <v>19</v>
      </c>
      <c r="D224" s="114">
        <v>19325</v>
      </c>
      <c r="E224" s="114">
        <f t="shared" si="60"/>
        <v>24</v>
      </c>
      <c r="F224" s="114">
        <v>18362</v>
      </c>
      <c r="G224" s="114">
        <f t="shared" si="61"/>
        <v>17</v>
      </c>
      <c r="H224" s="114">
        <v>19161</v>
      </c>
      <c r="I224" s="114">
        <f t="shared" si="62"/>
        <v>24</v>
      </c>
      <c r="J224" s="114">
        <v>14672</v>
      </c>
      <c r="K224" s="114">
        <f t="shared" si="63"/>
        <v>24</v>
      </c>
      <c r="L224" s="114">
        <v>18764</v>
      </c>
      <c r="M224" s="114">
        <f t="shared" si="64"/>
        <v>24</v>
      </c>
      <c r="N224" s="114">
        <v>19265</v>
      </c>
      <c r="O224" s="114">
        <f t="shared" si="65"/>
        <v>19</v>
      </c>
      <c r="P224" s="114">
        <v>19314</v>
      </c>
      <c r="Q224" s="114">
        <f t="shared" si="68"/>
        <v>19</v>
      </c>
      <c r="R224" s="114">
        <v>18282</v>
      </c>
      <c r="S224" s="114">
        <f t="shared" si="66"/>
        <v>24</v>
      </c>
      <c r="T224" s="114">
        <v>16367</v>
      </c>
      <c r="U224" s="114">
        <f t="shared" si="67"/>
        <v>0</v>
      </c>
    </row>
    <row r="225" spans="1:21">
      <c r="A225" s="113">
        <v>45149</v>
      </c>
      <c r="B225" s="114">
        <v>13687</v>
      </c>
      <c r="C225" s="114">
        <f t="shared" si="59"/>
        <v>24</v>
      </c>
      <c r="D225" s="114">
        <v>19349</v>
      </c>
      <c r="E225" s="114">
        <f t="shared" si="60"/>
        <v>24</v>
      </c>
      <c r="F225" s="114">
        <v>18386</v>
      </c>
      <c r="G225" s="114">
        <f t="shared" si="61"/>
        <v>24</v>
      </c>
      <c r="H225" s="114">
        <v>19185</v>
      </c>
      <c r="I225" s="114">
        <f t="shared" si="62"/>
        <v>24</v>
      </c>
      <c r="J225" s="114">
        <v>14695</v>
      </c>
      <c r="K225" s="114">
        <f t="shared" si="63"/>
        <v>23</v>
      </c>
      <c r="L225" s="114">
        <v>18788</v>
      </c>
      <c r="M225" s="114">
        <f t="shared" si="64"/>
        <v>24</v>
      </c>
      <c r="N225" s="114">
        <v>19265</v>
      </c>
      <c r="O225" s="114">
        <f t="shared" si="65"/>
        <v>0</v>
      </c>
      <c r="P225" s="114">
        <v>19338</v>
      </c>
      <c r="Q225" s="114">
        <f t="shared" si="68"/>
        <v>24</v>
      </c>
      <c r="R225" s="114">
        <v>18306</v>
      </c>
      <c r="S225" s="114">
        <f t="shared" si="66"/>
        <v>24</v>
      </c>
      <c r="T225" s="114">
        <v>16367</v>
      </c>
      <c r="U225" s="114">
        <f t="shared" si="67"/>
        <v>0</v>
      </c>
    </row>
    <row r="226" spans="1:21">
      <c r="A226" s="113">
        <v>45150</v>
      </c>
      <c r="B226" s="114">
        <v>13711</v>
      </c>
      <c r="C226" s="114">
        <f t="shared" si="59"/>
        <v>24</v>
      </c>
      <c r="D226" s="114">
        <v>19367</v>
      </c>
      <c r="E226" s="114">
        <f t="shared" si="60"/>
        <v>18</v>
      </c>
      <c r="F226" s="114">
        <v>18397</v>
      </c>
      <c r="G226" s="114">
        <f t="shared" si="61"/>
        <v>11</v>
      </c>
      <c r="H226" s="114">
        <v>19201</v>
      </c>
      <c r="I226" s="114">
        <f t="shared" si="62"/>
        <v>16</v>
      </c>
      <c r="J226" s="114">
        <v>14716</v>
      </c>
      <c r="K226" s="114">
        <f t="shared" si="63"/>
        <v>21</v>
      </c>
      <c r="L226" s="114">
        <v>18807</v>
      </c>
      <c r="M226" s="114">
        <f t="shared" si="64"/>
        <v>19</v>
      </c>
      <c r="N226" s="114">
        <v>19288</v>
      </c>
      <c r="O226" s="114">
        <f t="shared" si="65"/>
        <v>23</v>
      </c>
      <c r="P226" s="114">
        <v>19355</v>
      </c>
      <c r="Q226" s="114">
        <f t="shared" si="68"/>
        <v>17</v>
      </c>
      <c r="R226" s="114">
        <v>18330</v>
      </c>
      <c r="S226" s="114">
        <f t="shared" si="66"/>
        <v>24</v>
      </c>
      <c r="T226" s="114">
        <v>16367</v>
      </c>
      <c r="U226" s="114">
        <f t="shared" si="67"/>
        <v>0</v>
      </c>
    </row>
    <row r="227" spans="1:21">
      <c r="A227" s="113">
        <v>45151</v>
      </c>
      <c r="B227" s="114">
        <v>13735</v>
      </c>
      <c r="C227" s="114">
        <f t="shared" si="59"/>
        <v>24</v>
      </c>
      <c r="D227" s="114">
        <v>19391</v>
      </c>
      <c r="E227" s="114">
        <f t="shared" si="60"/>
        <v>24</v>
      </c>
      <c r="F227" s="114">
        <v>18421</v>
      </c>
      <c r="G227" s="114">
        <f t="shared" si="61"/>
        <v>24</v>
      </c>
      <c r="H227" s="114">
        <v>19201</v>
      </c>
      <c r="I227" s="114">
        <f t="shared" si="62"/>
        <v>0</v>
      </c>
      <c r="J227" s="114">
        <v>14740</v>
      </c>
      <c r="K227" s="114">
        <f t="shared" si="63"/>
        <v>24</v>
      </c>
      <c r="L227" s="114">
        <v>18828</v>
      </c>
      <c r="M227" s="114">
        <f t="shared" si="64"/>
        <v>21</v>
      </c>
      <c r="N227" s="114">
        <v>19309</v>
      </c>
      <c r="O227" s="114">
        <f t="shared" si="65"/>
        <v>21</v>
      </c>
      <c r="P227" s="114">
        <v>19363</v>
      </c>
      <c r="Q227" s="114">
        <f t="shared" si="68"/>
        <v>8</v>
      </c>
      <c r="R227" s="114">
        <v>18354</v>
      </c>
      <c r="S227" s="114">
        <f t="shared" si="66"/>
        <v>24</v>
      </c>
      <c r="T227" s="114">
        <v>16367</v>
      </c>
      <c r="U227" s="114">
        <f t="shared" si="67"/>
        <v>0</v>
      </c>
    </row>
    <row r="228" spans="1:21">
      <c r="A228" s="113">
        <v>45152</v>
      </c>
      <c r="B228" s="114">
        <v>13759</v>
      </c>
      <c r="C228" s="114">
        <f t="shared" si="59"/>
        <v>24</v>
      </c>
      <c r="D228" s="114">
        <v>19415</v>
      </c>
      <c r="E228" s="114">
        <f t="shared" si="60"/>
        <v>24</v>
      </c>
      <c r="F228" s="114">
        <v>18445</v>
      </c>
      <c r="G228" s="114">
        <f t="shared" si="61"/>
        <v>24</v>
      </c>
      <c r="H228" s="114">
        <v>19224</v>
      </c>
      <c r="I228" s="114">
        <f t="shared" si="62"/>
        <v>23</v>
      </c>
      <c r="J228" s="114">
        <v>14764</v>
      </c>
      <c r="K228" s="114">
        <f t="shared" si="63"/>
        <v>24</v>
      </c>
      <c r="L228" s="114">
        <v>18852</v>
      </c>
      <c r="M228" s="114">
        <f t="shared" si="64"/>
        <v>24</v>
      </c>
      <c r="N228" s="114">
        <v>19333</v>
      </c>
      <c r="O228" s="114">
        <f t="shared" si="65"/>
        <v>24</v>
      </c>
      <c r="P228" s="114">
        <v>19387</v>
      </c>
      <c r="Q228" s="114">
        <f t="shared" si="68"/>
        <v>24</v>
      </c>
      <c r="R228" s="114">
        <v>18378</v>
      </c>
      <c r="S228" s="114">
        <f t="shared" si="66"/>
        <v>24</v>
      </c>
      <c r="T228" s="114">
        <v>16367</v>
      </c>
      <c r="U228" s="114">
        <f t="shared" si="67"/>
        <v>0</v>
      </c>
    </row>
    <row r="229" spans="1:21">
      <c r="A229" s="113">
        <v>45153</v>
      </c>
      <c r="B229" s="114">
        <v>13783</v>
      </c>
      <c r="C229" s="114">
        <f t="shared" si="59"/>
        <v>24</v>
      </c>
      <c r="D229" s="114">
        <v>19439</v>
      </c>
      <c r="E229" s="114">
        <f t="shared" si="60"/>
        <v>24</v>
      </c>
      <c r="F229" s="114">
        <v>18468</v>
      </c>
      <c r="G229" s="114">
        <f t="shared" si="61"/>
        <v>23</v>
      </c>
      <c r="H229" s="114">
        <v>19248</v>
      </c>
      <c r="I229" s="114">
        <f t="shared" si="62"/>
        <v>24</v>
      </c>
      <c r="J229" s="114">
        <v>14788</v>
      </c>
      <c r="K229" s="114">
        <f t="shared" si="63"/>
        <v>24</v>
      </c>
      <c r="L229" s="114">
        <v>18876</v>
      </c>
      <c r="M229" s="114">
        <f t="shared" si="64"/>
        <v>24</v>
      </c>
      <c r="N229" s="114">
        <v>19357</v>
      </c>
      <c r="O229" s="114">
        <f t="shared" si="65"/>
        <v>24</v>
      </c>
      <c r="P229" s="114">
        <v>19409</v>
      </c>
      <c r="Q229" s="114">
        <f t="shared" si="68"/>
        <v>22</v>
      </c>
      <c r="R229" s="114">
        <v>18402</v>
      </c>
      <c r="S229" s="114">
        <f t="shared" si="66"/>
        <v>24</v>
      </c>
      <c r="T229" s="114">
        <v>16367</v>
      </c>
      <c r="U229" s="114">
        <f t="shared" si="67"/>
        <v>0</v>
      </c>
    </row>
    <row r="230" spans="1:21">
      <c r="A230" s="113">
        <v>45154</v>
      </c>
      <c r="B230" s="114">
        <v>13807</v>
      </c>
      <c r="C230" s="114">
        <f t="shared" si="59"/>
        <v>24</v>
      </c>
      <c r="D230" s="114">
        <v>19463</v>
      </c>
      <c r="E230" s="114">
        <f t="shared" si="60"/>
        <v>24</v>
      </c>
      <c r="F230" s="114">
        <v>18492</v>
      </c>
      <c r="G230" s="114">
        <f t="shared" si="61"/>
        <v>24</v>
      </c>
      <c r="H230" s="114">
        <v>19272</v>
      </c>
      <c r="I230" s="114">
        <f t="shared" si="62"/>
        <v>24</v>
      </c>
      <c r="J230" s="114">
        <v>14812</v>
      </c>
      <c r="K230" s="114">
        <f t="shared" si="63"/>
        <v>24</v>
      </c>
      <c r="L230" s="114">
        <v>18876</v>
      </c>
      <c r="M230" s="114">
        <f t="shared" si="64"/>
        <v>0</v>
      </c>
      <c r="N230" s="114">
        <v>19381</v>
      </c>
      <c r="O230" s="114">
        <f t="shared" si="65"/>
        <v>24</v>
      </c>
      <c r="P230" s="114">
        <v>19433</v>
      </c>
      <c r="Q230" s="114">
        <f t="shared" si="68"/>
        <v>24</v>
      </c>
      <c r="R230" s="114">
        <v>18426</v>
      </c>
      <c r="S230" s="114">
        <f t="shared" si="66"/>
        <v>24</v>
      </c>
      <c r="T230" s="114">
        <v>16367</v>
      </c>
      <c r="U230" s="114">
        <f t="shared" si="67"/>
        <v>0</v>
      </c>
    </row>
    <row r="231" spans="1:21">
      <c r="A231" s="113">
        <v>45155</v>
      </c>
      <c r="B231" s="114">
        <v>13831</v>
      </c>
      <c r="C231" s="114">
        <f t="shared" si="59"/>
        <v>24</v>
      </c>
      <c r="D231" s="114">
        <v>19487</v>
      </c>
      <c r="E231" s="114">
        <f t="shared" si="60"/>
        <v>24</v>
      </c>
      <c r="F231" s="114">
        <v>18516</v>
      </c>
      <c r="G231" s="114">
        <f t="shared" si="61"/>
        <v>24</v>
      </c>
      <c r="H231" s="114">
        <v>19295</v>
      </c>
      <c r="I231" s="114">
        <f t="shared" si="62"/>
        <v>23</v>
      </c>
      <c r="J231" s="114">
        <v>14836</v>
      </c>
      <c r="K231" s="114">
        <f t="shared" si="63"/>
        <v>24</v>
      </c>
      <c r="L231" s="114">
        <v>18900</v>
      </c>
      <c r="M231" s="114">
        <f t="shared" si="64"/>
        <v>24</v>
      </c>
      <c r="N231" s="114">
        <v>19405</v>
      </c>
      <c r="O231" s="114">
        <f t="shared" si="65"/>
        <v>24</v>
      </c>
      <c r="P231" s="114">
        <v>19455</v>
      </c>
      <c r="Q231" s="114">
        <f t="shared" si="68"/>
        <v>22</v>
      </c>
      <c r="R231" s="114">
        <v>18426</v>
      </c>
      <c r="S231" s="114">
        <f t="shared" si="66"/>
        <v>0</v>
      </c>
      <c r="T231" s="114">
        <v>16367</v>
      </c>
      <c r="U231" s="114">
        <f t="shared" si="67"/>
        <v>0</v>
      </c>
    </row>
    <row r="232" spans="1:21">
      <c r="A232" s="113">
        <v>45156</v>
      </c>
      <c r="B232" s="114">
        <v>13831</v>
      </c>
      <c r="C232" s="114">
        <f t="shared" si="59"/>
        <v>0</v>
      </c>
      <c r="D232" s="114">
        <v>19511</v>
      </c>
      <c r="E232" s="114">
        <f t="shared" si="60"/>
        <v>24</v>
      </c>
      <c r="F232" s="114">
        <v>18540</v>
      </c>
      <c r="G232" s="114">
        <f t="shared" si="61"/>
        <v>24</v>
      </c>
      <c r="H232" s="114">
        <v>19319</v>
      </c>
      <c r="I232" s="114">
        <f t="shared" si="62"/>
        <v>24</v>
      </c>
      <c r="J232" s="114">
        <v>14860</v>
      </c>
      <c r="K232" s="114">
        <f t="shared" si="63"/>
        <v>24</v>
      </c>
      <c r="L232" s="114">
        <v>18924</v>
      </c>
      <c r="M232" s="114">
        <f t="shared" si="64"/>
        <v>24</v>
      </c>
      <c r="N232" s="114">
        <v>19429</v>
      </c>
      <c r="O232" s="114">
        <f t="shared" si="65"/>
        <v>24</v>
      </c>
      <c r="P232" s="114">
        <v>19477</v>
      </c>
      <c r="Q232" s="114">
        <f t="shared" si="68"/>
        <v>22</v>
      </c>
      <c r="R232" s="114">
        <v>18450</v>
      </c>
      <c r="S232" s="114">
        <f t="shared" si="66"/>
        <v>24</v>
      </c>
      <c r="T232" s="114">
        <v>16367</v>
      </c>
      <c r="U232" s="114">
        <f t="shared" si="67"/>
        <v>0</v>
      </c>
    </row>
    <row r="233" spans="1:21">
      <c r="A233" s="113">
        <v>45157</v>
      </c>
      <c r="B233" s="114">
        <v>13831</v>
      </c>
      <c r="C233" s="114">
        <f t="shared" si="59"/>
        <v>0</v>
      </c>
      <c r="D233" s="114">
        <v>19535</v>
      </c>
      <c r="E233" s="114">
        <f t="shared" si="60"/>
        <v>24</v>
      </c>
      <c r="F233" s="114">
        <v>18564</v>
      </c>
      <c r="G233" s="114">
        <f t="shared" si="61"/>
        <v>24</v>
      </c>
      <c r="H233" s="114">
        <v>19343</v>
      </c>
      <c r="I233" s="114">
        <f t="shared" si="62"/>
        <v>24</v>
      </c>
      <c r="J233" s="114">
        <v>14884</v>
      </c>
      <c r="K233" s="114">
        <f t="shared" si="63"/>
        <v>24</v>
      </c>
      <c r="L233" s="114">
        <v>18948</v>
      </c>
      <c r="M233" s="114">
        <f t="shared" si="64"/>
        <v>24</v>
      </c>
      <c r="N233" s="114">
        <v>19452</v>
      </c>
      <c r="O233" s="114">
        <f t="shared" si="65"/>
        <v>23</v>
      </c>
      <c r="P233" s="114">
        <v>19501</v>
      </c>
      <c r="Q233" s="114">
        <f t="shared" si="68"/>
        <v>24</v>
      </c>
      <c r="R233" s="114">
        <v>18474</v>
      </c>
      <c r="S233" s="114">
        <f t="shared" si="66"/>
        <v>24</v>
      </c>
      <c r="T233" s="114">
        <v>16369</v>
      </c>
      <c r="U233" s="114">
        <f t="shared" si="67"/>
        <v>2</v>
      </c>
    </row>
    <row r="234" spans="1:21">
      <c r="A234" s="113">
        <v>45158</v>
      </c>
      <c r="B234" s="114">
        <v>13831</v>
      </c>
      <c r="C234" s="114">
        <f t="shared" si="59"/>
        <v>0</v>
      </c>
      <c r="D234" s="114">
        <v>19557</v>
      </c>
      <c r="E234" s="114">
        <f t="shared" si="60"/>
        <v>22</v>
      </c>
      <c r="F234" s="114">
        <v>18588</v>
      </c>
      <c r="G234" s="114">
        <f t="shared" si="61"/>
        <v>24</v>
      </c>
      <c r="H234" s="114">
        <v>19367</v>
      </c>
      <c r="I234" s="114">
        <f t="shared" si="62"/>
        <v>24</v>
      </c>
      <c r="J234" s="114">
        <v>14908</v>
      </c>
      <c r="K234" s="114">
        <f t="shared" si="63"/>
        <v>24</v>
      </c>
      <c r="L234" s="114">
        <v>18972</v>
      </c>
      <c r="M234" s="114">
        <f t="shared" si="64"/>
        <v>24</v>
      </c>
      <c r="N234" s="114">
        <v>19476</v>
      </c>
      <c r="O234" s="114">
        <f t="shared" si="65"/>
        <v>24</v>
      </c>
      <c r="P234" s="114">
        <v>19525</v>
      </c>
      <c r="Q234" s="114">
        <f t="shared" si="68"/>
        <v>24</v>
      </c>
      <c r="R234" s="114">
        <v>18498</v>
      </c>
      <c r="S234" s="114">
        <f t="shared" si="66"/>
        <v>24</v>
      </c>
      <c r="T234" s="114">
        <v>16381</v>
      </c>
      <c r="U234" s="114">
        <f t="shared" si="67"/>
        <v>12</v>
      </c>
    </row>
    <row r="235" spans="1:21">
      <c r="A235" s="113">
        <v>45159</v>
      </c>
      <c r="B235" s="114">
        <v>13831</v>
      </c>
      <c r="C235" s="114">
        <f t="shared" si="59"/>
        <v>0</v>
      </c>
      <c r="D235" s="114">
        <v>19581</v>
      </c>
      <c r="E235" s="114">
        <f t="shared" si="60"/>
        <v>24</v>
      </c>
      <c r="F235" s="114">
        <v>18612</v>
      </c>
      <c r="G235" s="114">
        <f t="shared" si="61"/>
        <v>24</v>
      </c>
      <c r="H235" s="114">
        <v>19391</v>
      </c>
      <c r="I235" s="114">
        <f t="shared" si="62"/>
        <v>24</v>
      </c>
      <c r="J235" s="114">
        <v>14932</v>
      </c>
      <c r="K235" s="114">
        <f t="shared" si="63"/>
        <v>24</v>
      </c>
      <c r="L235" s="114">
        <v>18972</v>
      </c>
      <c r="M235" s="114">
        <f t="shared" si="64"/>
        <v>0</v>
      </c>
      <c r="N235" s="114">
        <v>19500</v>
      </c>
      <c r="O235" s="114">
        <f t="shared" si="65"/>
        <v>24</v>
      </c>
      <c r="P235" s="114">
        <v>19549</v>
      </c>
      <c r="Q235" s="114">
        <f t="shared" si="68"/>
        <v>24</v>
      </c>
      <c r="R235" s="114">
        <v>18522</v>
      </c>
      <c r="S235" s="114">
        <f t="shared" si="66"/>
        <v>24</v>
      </c>
      <c r="T235" s="114">
        <v>16404</v>
      </c>
      <c r="U235" s="114">
        <f t="shared" si="67"/>
        <v>23</v>
      </c>
    </row>
    <row r="236" spans="1:21">
      <c r="A236" s="113">
        <v>45160</v>
      </c>
      <c r="B236" s="114">
        <v>13831</v>
      </c>
      <c r="C236" s="114">
        <f t="shared" si="59"/>
        <v>0</v>
      </c>
      <c r="D236" s="114">
        <v>19605</v>
      </c>
      <c r="E236" s="114">
        <f t="shared" si="60"/>
        <v>24</v>
      </c>
      <c r="F236" s="114">
        <v>18636</v>
      </c>
      <c r="G236" s="114">
        <f t="shared" si="61"/>
        <v>24</v>
      </c>
      <c r="H236" s="114">
        <v>19415</v>
      </c>
      <c r="I236" s="114">
        <f t="shared" si="62"/>
        <v>24</v>
      </c>
      <c r="J236" s="114">
        <v>14956</v>
      </c>
      <c r="K236" s="114">
        <f t="shared" si="63"/>
        <v>24</v>
      </c>
      <c r="L236" s="114">
        <v>18972</v>
      </c>
      <c r="M236" s="114">
        <f t="shared" si="64"/>
        <v>0</v>
      </c>
      <c r="N236" s="114">
        <v>19524</v>
      </c>
      <c r="O236" s="114">
        <f t="shared" si="65"/>
        <v>24</v>
      </c>
      <c r="P236" s="114">
        <v>19573</v>
      </c>
      <c r="Q236" s="114">
        <f t="shared" si="68"/>
        <v>24</v>
      </c>
      <c r="R236" s="114">
        <v>18546</v>
      </c>
      <c r="S236" s="114">
        <f t="shared" si="66"/>
        <v>24</v>
      </c>
      <c r="T236" s="114">
        <v>16428</v>
      </c>
      <c r="U236" s="114">
        <f t="shared" si="67"/>
        <v>24</v>
      </c>
    </row>
    <row r="237" spans="1:21">
      <c r="A237" s="113">
        <v>45161</v>
      </c>
      <c r="B237" s="114"/>
      <c r="C237" s="114">
        <f t="shared" si="59"/>
        <v>0</v>
      </c>
      <c r="D237" s="114"/>
      <c r="E237" s="114">
        <f t="shared" si="60"/>
        <v>0</v>
      </c>
      <c r="F237" s="114"/>
      <c r="G237" s="114">
        <f t="shared" si="61"/>
        <v>0</v>
      </c>
      <c r="H237" s="114"/>
      <c r="I237" s="114">
        <f t="shared" si="62"/>
        <v>0</v>
      </c>
      <c r="J237" s="114"/>
      <c r="K237" s="114">
        <f t="shared" si="63"/>
        <v>0</v>
      </c>
      <c r="L237" s="114"/>
      <c r="M237" s="114">
        <f t="shared" si="64"/>
        <v>0</v>
      </c>
      <c r="N237" s="114"/>
      <c r="O237" s="114">
        <f t="shared" si="65"/>
        <v>0</v>
      </c>
      <c r="P237" s="114"/>
      <c r="Q237" s="114">
        <f t="shared" si="68"/>
        <v>0</v>
      </c>
      <c r="R237" s="114"/>
      <c r="S237" s="114">
        <f t="shared" si="66"/>
        <v>0</v>
      </c>
      <c r="T237" s="114"/>
      <c r="U237" s="114">
        <f t="shared" si="67"/>
        <v>0</v>
      </c>
    </row>
    <row r="238" spans="1:21">
      <c r="A238" s="113">
        <v>45162</v>
      </c>
      <c r="B238" s="114"/>
      <c r="C238" s="114">
        <f t="shared" si="59"/>
        <v>0</v>
      </c>
      <c r="D238" s="114"/>
      <c r="E238" s="114">
        <f t="shared" si="60"/>
        <v>0</v>
      </c>
      <c r="F238" s="114"/>
      <c r="G238" s="114">
        <f t="shared" si="61"/>
        <v>0</v>
      </c>
      <c r="H238" s="114"/>
      <c r="I238" s="114">
        <f t="shared" si="62"/>
        <v>0</v>
      </c>
      <c r="J238" s="114"/>
      <c r="K238" s="114">
        <f t="shared" si="63"/>
        <v>0</v>
      </c>
      <c r="L238" s="114"/>
      <c r="M238" s="114">
        <f t="shared" si="64"/>
        <v>0</v>
      </c>
      <c r="N238" s="114"/>
      <c r="O238" s="114">
        <f t="shared" si="65"/>
        <v>0</v>
      </c>
      <c r="P238" s="114"/>
      <c r="Q238" s="114">
        <f t="shared" si="68"/>
        <v>0</v>
      </c>
      <c r="R238" s="114"/>
      <c r="S238" s="114">
        <f t="shared" si="66"/>
        <v>0</v>
      </c>
      <c r="T238" s="114"/>
      <c r="U238" s="114">
        <f t="shared" si="67"/>
        <v>0</v>
      </c>
    </row>
    <row r="239" spans="1:21">
      <c r="A239" s="113">
        <v>45163</v>
      </c>
      <c r="B239" s="114"/>
      <c r="C239" s="114">
        <f t="shared" si="59"/>
        <v>0</v>
      </c>
      <c r="D239" s="114"/>
      <c r="E239" s="114">
        <f t="shared" si="60"/>
        <v>0</v>
      </c>
      <c r="F239" s="114"/>
      <c r="G239" s="114">
        <f t="shared" si="61"/>
        <v>0</v>
      </c>
      <c r="H239" s="114"/>
      <c r="I239" s="114">
        <f t="shared" si="62"/>
        <v>0</v>
      </c>
      <c r="J239" s="114"/>
      <c r="K239" s="114">
        <f t="shared" si="63"/>
        <v>0</v>
      </c>
      <c r="L239" s="114"/>
      <c r="M239" s="114">
        <f t="shared" si="64"/>
        <v>0</v>
      </c>
      <c r="N239" s="114"/>
      <c r="O239" s="114">
        <f t="shared" si="65"/>
        <v>0</v>
      </c>
      <c r="P239" s="114"/>
      <c r="Q239" s="114">
        <f t="shared" si="68"/>
        <v>0</v>
      </c>
      <c r="R239" s="114"/>
      <c r="S239" s="114">
        <f t="shared" si="66"/>
        <v>0</v>
      </c>
      <c r="T239" s="114"/>
      <c r="U239" s="114">
        <f t="shared" si="67"/>
        <v>0</v>
      </c>
    </row>
    <row r="240" spans="1:21">
      <c r="A240" s="113">
        <v>45164</v>
      </c>
      <c r="B240" s="114"/>
      <c r="C240" s="114">
        <f t="shared" si="59"/>
        <v>0</v>
      </c>
      <c r="D240" s="114"/>
      <c r="E240" s="114">
        <f t="shared" si="60"/>
        <v>0</v>
      </c>
      <c r="F240" s="114"/>
      <c r="G240" s="114">
        <f t="shared" si="61"/>
        <v>0</v>
      </c>
      <c r="H240" s="114"/>
      <c r="I240" s="114">
        <f t="shared" si="62"/>
        <v>0</v>
      </c>
      <c r="J240" s="114"/>
      <c r="K240" s="114">
        <f t="shared" si="63"/>
        <v>0</v>
      </c>
      <c r="L240" s="114"/>
      <c r="M240" s="114">
        <f t="shared" si="64"/>
        <v>0</v>
      </c>
      <c r="N240" s="114"/>
      <c r="O240" s="114">
        <f t="shared" si="65"/>
        <v>0</v>
      </c>
      <c r="P240" s="114"/>
      <c r="Q240" s="114">
        <f t="shared" si="68"/>
        <v>0</v>
      </c>
      <c r="R240" s="114"/>
      <c r="S240" s="114">
        <f t="shared" si="66"/>
        <v>0</v>
      </c>
      <c r="T240" s="114"/>
      <c r="U240" s="114">
        <f t="shared" si="67"/>
        <v>0</v>
      </c>
    </row>
    <row r="241" spans="1:21">
      <c r="A241" s="113">
        <v>45165</v>
      </c>
      <c r="B241" s="114"/>
      <c r="C241" s="114">
        <f t="shared" si="59"/>
        <v>0</v>
      </c>
      <c r="D241" s="114"/>
      <c r="E241" s="114">
        <f t="shared" si="60"/>
        <v>0</v>
      </c>
      <c r="F241" s="114"/>
      <c r="G241" s="114">
        <f t="shared" si="61"/>
        <v>0</v>
      </c>
      <c r="H241" s="114"/>
      <c r="I241" s="114">
        <f t="shared" si="62"/>
        <v>0</v>
      </c>
      <c r="J241" s="114"/>
      <c r="K241" s="114">
        <f t="shared" si="63"/>
        <v>0</v>
      </c>
      <c r="L241" s="114"/>
      <c r="M241" s="114">
        <f t="shared" si="64"/>
        <v>0</v>
      </c>
      <c r="N241" s="114"/>
      <c r="O241" s="114">
        <f t="shared" si="65"/>
        <v>0</v>
      </c>
      <c r="P241" s="114"/>
      <c r="Q241" s="114">
        <f t="shared" si="68"/>
        <v>0</v>
      </c>
      <c r="R241" s="114"/>
      <c r="S241" s="114">
        <f t="shared" si="66"/>
        <v>0</v>
      </c>
      <c r="T241" s="114"/>
      <c r="U241" s="114">
        <f t="shared" si="67"/>
        <v>0</v>
      </c>
    </row>
    <row r="242" spans="1:21">
      <c r="A242" s="113">
        <v>45166</v>
      </c>
      <c r="B242" s="114"/>
      <c r="C242" s="114">
        <f t="shared" si="59"/>
        <v>0</v>
      </c>
      <c r="D242" s="114"/>
      <c r="E242" s="114">
        <f t="shared" si="60"/>
        <v>0</v>
      </c>
      <c r="F242" s="114"/>
      <c r="G242" s="114">
        <f t="shared" si="61"/>
        <v>0</v>
      </c>
      <c r="H242" s="114"/>
      <c r="I242" s="114">
        <f t="shared" si="62"/>
        <v>0</v>
      </c>
      <c r="J242" s="114"/>
      <c r="K242" s="114">
        <f t="shared" si="63"/>
        <v>0</v>
      </c>
      <c r="L242" s="114"/>
      <c r="M242" s="114">
        <f t="shared" si="64"/>
        <v>0</v>
      </c>
      <c r="N242" s="114"/>
      <c r="O242" s="114">
        <f t="shared" si="65"/>
        <v>0</v>
      </c>
      <c r="P242" s="114"/>
      <c r="Q242" s="114">
        <f t="shared" si="68"/>
        <v>0</v>
      </c>
      <c r="R242" s="114"/>
      <c r="S242" s="114">
        <f t="shared" si="66"/>
        <v>0</v>
      </c>
      <c r="T242" s="114"/>
      <c r="U242" s="114">
        <f t="shared" si="67"/>
        <v>0</v>
      </c>
    </row>
    <row r="243" spans="1:21">
      <c r="A243" s="113">
        <v>45167</v>
      </c>
      <c r="B243" s="114"/>
      <c r="C243" s="114">
        <f t="shared" si="59"/>
        <v>0</v>
      </c>
      <c r="D243" s="114"/>
      <c r="E243" s="114">
        <f t="shared" si="60"/>
        <v>0</v>
      </c>
      <c r="F243" s="114"/>
      <c r="G243" s="114">
        <f t="shared" si="61"/>
        <v>0</v>
      </c>
      <c r="H243" s="114"/>
      <c r="I243" s="114">
        <f t="shared" si="62"/>
        <v>0</v>
      </c>
      <c r="J243" s="114"/>
      <c r="K243" s="114">
        <f t="shared" si="63"/>
        <v>0</v>
      </c>
      <c r="L243" s="114"/>
      <c r="M243" s="114">
        <f t="shared" si="64"/>
        <v>0</v>
      </c>
      <c r="N243" s="114"/>
      <c r="O243" s="114">
        <f t="shared" si="65"/>
        <v>0</v>
      </c>
      <c r="P243" s="114"/>
      <c r="Q243" s="114">
        <f t="shared" si="68"/>
        <v>0</v>
      </c>
      <c r="R243" s="114"/>
      <c r="S243" s="114">
        <f t="shared" si="66"/>
        <v>0</v>
      </c>
      <c r="T243" s="114"/>
      <c r="U243" s="114">
        <f t="shared" si="67"/>
        <v>0</v>
      </c>
    </row>
    <row r="244" spans="1:21">
      <c r="A244" s="113">
        <v>45168</v>
      </c>
      <c r="B244" s="114"/>
      <c r="C244" s="114">
        <f t="shared" si="59"/>
        <v>0</v>
      </c>
      <c r="D244" s="114"/>
      <c r="E244" s="114">
        <f t="shared" si="60"/>
        <v>0</v>
      </c>
      <c r="F244" s="114"/>
      <c r="G244" s="114">
        <f t="shared" si="61"/>
        <v>0</v>
      </c>
      <c r="H244" s="114"/>
      <c r="I244" s="114">
        <f t="shared" si="62"/>
        <v>0</v>
      </c>
      <c r="J244" s="114"/>
      <c r="K244" s="114">
        <f t="shared" si="63"/>
        <v>0</v>
      </c>
      <c r="L244" s="114"/>
      <c r="M244" s="114">
        <f t="shared" si="64"/>
        <v>0</v>
      </c>
      <c r="N244" s="114"/>
      <c r="O244" s="114">
        <f t="shared" si="65"/>
        <v>0</v>
      </c>
      <c r="P244" s="114"/>
      <c r="Q244" s="114">
        <f t="shared" si="68"/>
        <v>0</v>
      </c>
      <c r="R244" s="114"/>
      <c r="S244" s="114">
        <f t="shared" si="66"/>
        <v>0</v>
      </c>
      <c r="T244" s="114"/>
      <c r="U244" s="114">
        <f t="shared" si="67"/>
        <v>0</v>
      </c>
    </row>
    <row r="245" spans="1:21">
      <c r="A245" s="113">
        <v>45169</v>
      </c>
      <c r="B245" s="114"/>
      <c r="C245" s="114">
        <f t="shared" si="59"/>
        <v>0</v>
      </c>
      <c r="D245" s="114"/>
      <c r="E245" s="114">
        <f t="shared" si="60"/>
        <v>0</v>
      </c>
      <c r="F245" s="114"/>
      <c r="G245" s="114">
        <f t="shared" si="61"/>
        <v>0</v>
      </c>
      <c r="H245" s="114"/>
      <c r="I245" s="114">
        <f t="shared" si="62"/>
        <v>0</v>
      </c>
      <c r="J245" s="114"/>
      <c r="K245" s="114">
        <f t="shared" si="63"/>
        <v>0</v>
      </c>
      <c r="L245" s="114"/>
      <c r="M245" s="114">
        <f t="shared" si="64"/>
        <v>0</v>
      </c>
      <c r="N245" s="114"/>
      <c r="O245" s="114">
        <f t="shared" si="65"/>
        <v>0</v>
      </c>
      <c r="P245" s="114"/>
      <c r="Q245" s="114">
        <f t="shared" si="68"/>
        <v>0</v>
      </c>
      <c r="R245" s="114"/>
      <c r="S245" s="114">
        <f t="shared" si="66"/>
        <v>0</v>
      </c>
      <c r="T245" s="114"/>
      <c r="U245" s="114">
        <f t="shared" si="67"/>
        <v>0</v>
      </c>
    </row>
    <row r="246" spans="1:21">
      <c r="A246" s="113">
        <v>45170</v>
      </c>
      <c r="B246" s="114"/>
      <c r="C246" s="114">
        <f t="shared" si="59"/>
        <v>0</v>
      </c>
      <c r="D246" s="114"/>
      <c r="E246" s="114">
        <f t="shared" si="60"/>
        <v>0</v>
      </c>
      <c r="F246" s="114"/>
      <c r="G246" s="114">
        <f t="shared" si="61"/>
        <v>0</v>
      </c>
      <c r="H246" s="114"/>
      <c r="I246" s="114">
        <f t="shared" si="62"/>
        <v>0</v>
      </c>
      <c r="J246" s="114"/>
      <c r="K246" s="114">
        <f t="shared" si="63"/>
        <v>0</v>
      </c>
      <c r="L246" s="114"/>
      <c r="M246" s="114">
        <f t="shared" si="64"/>
        <v>0</v>
      </c>
      <c r="N246" s="114"/>
      <c r="O246" s="114">
        <f t="shared" si="65"/>
        <v>0</v>
      </c>
      <c r="P246" s="114"/>
      <c r="Q246" s="114">
        <f t="shared" si="68"/>
        <v>0</v>
      </c>
      <c r="R246" s="114"/>
      <c r="S246" s="114">
        <f t="shared" si="66"/>
        <v>0</v>
      </c>
      <c r="T246" s="114"/>
      <c r="U246" s="114">
        <f t="shared" si="67"/>
        <v>0</v>
      </c>
    </row>
    <row r="247" spans="1:21">
      <c r="A247" s="113">
        <v>45171</v>
      </c>
      <c r="B247" s="114"/>
      <c r="C247" s="114">
        <f t="shared" si="59"/>
        <v>0</v>
      </c>
      <c r="D247" s="114"/>
      <c r="E247" s="114">
        <f t="shared" si="60"/>
        <v>0</v>
      </c>
      <c r="F247" s="114"/>
      <c r="G247" s="114">
        <f t="shared" si="61"/>
        <v>0</v>
      </c>
      <c r="H247" s="114"/>
      <c r="I247" s="114">
        <f t="shared" si="62"/>
        <v>0</v>
      </c>
      <c r="J247" s="114"/>
      <c r="K247" s="114">
        <f t="shared" si="63"/>
        <v>0</v>
      </c>
      <c r="L247" s="114"/>
      <c r="M247" s="114">
        <f t="shared" si="64"/>
        <v>0</v>
      </c>
      <c r="N247" s="114"/>
      <c r="O247" s="114">
        <f t="shared" si="65"/>
        <v>0</v>
      </c>
      <c r="P247" s="114"/>
      <c r="Q247" s="114">
        <f t="shared" si="68"/>
        <v>0</v>
      </c>
      <c r="R247" s="114"/>
      <c r="S247" s="114">
        <f t="shared" si="66"/>
        <v>0</v>
      </c>
      <c r="T247" s="114"/>
      <c r="U247" s="114">
        <f t="shared" si="67"/>
        <v>0</v>
      </c>
    </row>
    <row r="248" spans="1:21">
      <c r="A248" s="113">
        <v>45172</v>
      </c>
      <c r="B248" s="114"/>
      <c r="C248" s="114">
        <f t="shared" si="59"/>
        <v>0</v>
      </c>
      <c r="D248" s="114"/>
      <c r="E248" s="114">
        <f t="shared" si="60"/>
        <v>0</v>
      </c>
      <c r="F248" s="114"/>
      <c r="G248" s="114">
        <f t="shared" si="61"/>
        <v>0</v>
      </c>
      <c r="H248" s="114"/>
      <c r="I248" s="114">
        <f t="shared" si="62"/>
        <v>0</v>
      </c>
      <c r="J248" s="114"/>
      <c r="K248" s="114">
        <f t="shared" si="63"/>
        <v>0</v>
      </c>
      <c r="L248" s="114"/>
      <c r="M248" s="114">
        <f t="shared" si="64"/>
        <v>0</v>
      </c>
      <c r="N248" s="114"/>
      <c r="O248" s="114">
        <f t="shared" si="65"/>
        <v>0</v>
      </c>
      <c r="P248" s="114"/>
      <c r="Q248" s="114">
        <f t="shared" si="68"/>
        <v>0</v>
      </c>
      <c r="R248" s="114"/>
      <c r="S248" s="114">
        <f t="shared" si="66"/>
        <v>0</v>
      </c>
      <c r="T248" s="114"/>
      <c r="U248" s="114">
        <f t="shared" si="67"/>
        <v>0</v>
      </c>
    </row>
    <row r="249" spans="1:21">
      <c r="A249" s="113">
        <v>45173</v>
      </c>
      <c r="B249" s="114"/>
      <c r="C249" s="114">
        <f t="shared" si="59"/>
        <v>0</v>
      </c>
      <c r="D249" s="114"/>
      <c r="E249" s="114">
        <f t="shared" si="60"/>
        <v>0</v>
      </c>
      <c r="F249" s="114"/>
      <c r="G249" s="114">
        <f t="shared" si="61"/>
        <v>0</v>
      </c>
      <c r="H249" s="114"/>
      <c r="I249" s="114">
        <f t="shared" si="62"/>
        <v>0</v>
      </c>
      <c r="J249" s="114"/>
      <c r="K249" s="114">
        <f t="shared" si="63"/>
        <v>0</v>
      </c>
      <c r="L249" s="114"/>
      <c r="M249" s="114">
        <f t="shared" si="64"/>
        <v>0</v>
      </c>
      <c r="N249" s="114"/>
      <c r="O249" s="114">
        <f t="shared" si="65"/>
        <v>0</v>
      </c>
      <c r="P249" s="114"/>
      <c r="Q249" s="114">
        <f t="shared" si="68"/>
        <v>0</v>
      </c>
      <c r="R249" s="114"/>
      <c r="S249" s="114">
        <f t="shared" si="66"/>
        <v>0</v>
      </c>
      <c r="T249" s="114"/>
      <c r="U249" s="114">
        <f t="shared" si="67"/>
        <v>0</v>
      </c>
    </row>
    <row r="250" spans="1:21">
      <c r="A250" s="113">
        <v>45174</v>
      </c>
      <c r="B250" s="114"/>
      <c r="C250" s="114">
        <f t="shared" si="59"/>
        <v>0</v>
      </c>
      <c r="D250" s="114"/>
      <c r="E250" s="114">
        <f t="shared" si="60"/>
        <v>0</v>
      </c>
      <c r="F250" s="114"/>
      <c r="G250" s="114">
        <f t="shared" si="61"/>
        <v>0</v>
      </c>
      <c r="H250" s="114"/>
      <c r="I250" s="114">
        <f t="shared" si="62"/>
        <v>0</v>
      </c>
      <c r="J250" s="114"/>
      <c r="K250" s="114">
        <f t="shared" si="63"/>
        <v>0</v>
      </c>
      <c r="L250" s="114"/>
      <c r="M250" s="114">
        <f t="shared" si="64"/>
        <v>0</v>
      </c>
      <c r="N250" s="114"/>
      <c r="O250" s="114">
        <f t="shared" si="65"/>
        <v>0</v>
      </c>
      <c r="P250" s="114"/>
      <c r="Q250" s="114">
        <f t="shared" si="68"/>
        <v>0</v>
      </c>
      <c r="R250" s="114"/>
      <c r="S250" s="114">
        <f t="shared" si="66"/>
        <v>0</v>
      </c>
      <c r="T250" s="114"/>
      <c r="U250" s="114">
        <f t="shared" si="67"/>
        <v>0</v>
      </c>
    </row>
    <row r="251" spans="1:21">
      <c r="A251" s="113">
        <v>45175</v>
      </c>
      <c r="B251" s="114"/>
      <c r="C251" s="114">
        <f t="shared" si="59"/>
        <v>0</v>
      </c>
      <c r="D251" s="114"/>
      <c r="E251" s="114">
        <f t="shared" si="60"/>
        <v>0</v>
      </c>
      <c r="F251" s="114"/>
      <c r="G251" s="114">
        <f t="shared" si="61"/>
        <v>0</v>
      </c>
      <c r="H251" s="114"/>
      <c r="I251" s="114">
        <f t="shared" si="62"/>
        <v>0</v>
      </c>
      <c r="J251" s="114"/>
      <c r="K251" s="114">
        <f t="shared" si="63"/>
        <v>0</v>
      </c>
      <c r="L251" s="114"/>
      <c r="M251" s="114">
        <f t="shared" si="64"/>
        <v>0</v>
      </c>
      <c r="N251" s="114"/>
      <c r="O251" s="114">
        <f t="shared" si="65"/>
        <v>0</v>
      </c>
      <c r="P251" s="114"/>
      <c r="Q251" s="114">
        <f t="shared" si="68"/>
        <v>0</v>
      </c>
      <c r="R251" s="114"/>
      <c r="S251" s="114">
        <f t="shared" si="66"/>
        <v>0</v>
      </c>
      <c r="T251" s="114"/>
      <c r="U251" s="114">
        <f t="shared" si="67"/>
        <v>0</v>
      </c>
    </row>
    <row r="252" spans="1:21">
      <c r="A252" s="113">
        <v>45176</v>
      </c>
      <c r="B252" s="114"/>
      <c r="C252" s="114">
        <f t="shared" si="59"/>
        <v>0</v>
      </c>
      <c r="D252" s="114"/>
      <c r="E252" s="114">
        <f t="shared" si="60"/>
        <v>0</v>
      </c>
      <c r="F252" s="114"/>
      <c r="G252" s="114">
        <f t="shared" si="61"/>
        <v>0</v>
      </c>
      <c r="H252" s="114"/>
      <c r="I252" s="114">
        <f t="shared" si="62"/>
        <v>0</v>
      </c>
      <c r="J252" s="114"/>
      <c r="K252" s="114">
        <f t="shared" si="63"/>
        <v>0</v>
      </c>
      <c r="L252" s="114"/>
      <c r="M252" s="114">
        <f t="shared" si="64"/>
        <v>0</v>
      </c>
      <c r="N252" s="114"/>
      <c r="O252" s="114">
        <f t="shared" si="65"/>
        <v>0</v>
      </c>
      <c r="P252" s="114"/>
      <c r="Q252" s="114">
        <f t="shared" si="68"/>
        <v>0</v>
      </c>
      <c r="R252" s="114"/>
      <c r="S252" s="114">
        <f t="shared" si="66"/>
        <v>0</v>
      </c>
      <c r="T252" s="114"/>
      <c r="U252" s="114">
        <f t="shared" si="67"/>
        <v>0</v>
      </c>
    </row>
    <row r="253" spans="1:21">
      <c r="A253" s="113">
        <v>45177</v>
      </c>
      <c r="B253" s="114"/>
      <c r="C253" s="114">
        <f t="shared" si="59"/>
        <v>0</v>
      </c>
      <c r="D253" s="114"/>
      <c r="E253" s="114">
        <f t="shared" si="60"/>
        <v>0</v>
      </c>
      <c r="F253" s="114"/>
      <c r="G253" s="114">
        <f t="shared" si="61"/>
        <v>0</v>
      </c>
      <c r="H253" s="114"/>
      <c r="I253" s="114">
        <f t="shared" si="62"/>
        <v>0</v>
      </c>
      <c r="J253" s="114"/>
      <c r="K253" s="114">
        <f t="shared" si="63"/>
        <v>0</v>
      </c>
      <c r="L253" s="114"/>
      <c r="M253" s="114">
        <f t="shared" si="64"/>
        <v>0</v>
      </c>
      <c r="N253" s="114"/>
      <c r="O253" s="114">
        <f t="shared" si="65"/>
        <v>0</v>
      </c>
      <c r="P253" s="114"/>
      <c r="Q253" s="114">
        <f t="shared" si="68"/>
        <v>0</v>
      </c>
      <c r="R253" s="114"/>
      <c r="S253" s="114">
        <f t="shared" si="66"/>
        <v>0</v>
      </c>
      <c r="T253" s="114"/>
      <c r="U253" s="114">
        <f t="shared" si="67"/>
        <v>0</v>
      </c>
    </row>
    <row r="254" spans="1:21">
      <c r="A254" s="113">
        <v>45178</v>
      </c>
      <c r="B254" s="114"/>
      <c r="C254" s="114">
        <f t="shared" si="59"/>
        <v>0</v>
      </c>
      <c r="D254" s="114"/>
      <c r="E254" s="114">
        <f t="shared" si="60"/>
        <v>0</v>
      </c>
      <c r="F254" s="114"/>
      <c r="G254" s="114">
        <f t="shared" si="61"/>
        <v>0</v>
      </c>
      <c r="H254" s="114"/>
      <c r="I254" s="114">
        <f t="shared" si="62"/>
        <v>0</v>
      </c>
      <c r="J254" s="114"/>
      <c r="K254" s="114">
        <f t="shared" si="63"/>
        <v>0</v>
      </c>
      <c r="L254" s="114"/>
      <c r="M254" s="114">
        <f t="shared" si="64"/>
        <v>0</v>
      </c>
      <c r="N254" s="114"/>
      <c r="O254" s="114">
        <f t="shared" si="65"/>
        <v>0</v>
      </c>
      <c r="P254" s="114"/>
      <c r="Q254" s="114">
        <f t="shared" si="68"/>
        <v>0</v>
      </c>
      <c r="R254" s="114"/>
      <c r="S254" s="114">
        <f t="shared" si="66"/>
        <v>0</v>
      </c>
      <c r="T254" s="114"/>
      <c r="U254" s="114">
        <f t="shared" si="67"/>
        <v>0</v>
      </c>
    </row>
    <row r="255" spans="1:21">
      <c r="A255" s="113">
        <v>45179</v>
      </c>
      <c r="B255" s="114"/>
      <c r="C255" s="114">
        <f t="shared" si="59"/>
        <v>0</v>
      </c>
      <c r="D255" s="114"/>
      <c r="E255" s="114">
        <f t="shared" si="60"/>
        <v>0</v>
      </c>
      <c r="F255" s="114"/>
      <c r="G255" s="114">
        <f t="shared" si="61"/>
        <v>0</v>
      </c>
      <c r="H255" s="114"/>
      <c r="I255" s="114">
        <f t="shared" si="62"/>
        <v>0</v>
      </c>
      <c r="J255" s="114"/>
      <c r="K255" s="114">
        <f t="shared" si="63"/>
        <v>0</v>
      </c>
      <c r="L255" s="114"/>
      <c r="M255" s="114">
        <f t="shared" si="64"/>
        <v>0</v>
      </c>
      <c r="N255" s="114"/>
      <c r="O255" s="114">
        <f t="shared" si="65"/>
        <v>0</v>
      </c>
      <c r="P255" s="114"/>
      <c r="Q255" s="114">
        <f t="shared" si="68"/>
        <v>0</v>
      </c>
      <c r="R255" s="114"/>
      <c r="S255" s="114">
        <f t="shared" si="66"/>
        <v>0</v>
      </c>
      <c r="T255" s="114"/>
      <c r="U255" s="114">
        <f t="shared" si="67"/>
        <v>0</v>
      </c>
    </row>
    <row r="256" spans="1:21">
      <c r="A256" s="113">
        <v>45180</v>
      </c>
      <c r="B256" s="114"/>
      <c r="C256" s="114">
        <f t="shared" si="59"/>
        <v>0</v>
      </c>
      <c r="D256" s="114"/>
      <c r="E256" s="114">
        <f t="shared" si="60"/>
        <v>0</v>
      </c>
      <c r="F256" s="114"/>
      <c r="G256" s="114">
        <f t="shared" si="61"/>
        <v>0</v>
      </c>
      <c r="H256" s="114"/>
      <c r="I256" s="114">
        <f t="shared" si="62"/>
        <v>0</v>
      </c>
      <c r="J256" s="114"/>
      <c r="K256" s="114">
        <f t="shared" si="63"/>
        <v>0</v>
      </c>
      <c r="L256" s="114"/>
      <c r="M256" s="114">
        <f t="shared" si="64"/>
        <v>0</v>
      </c>
      <c r="N256" s="114"/>
      <c r="O256" s="114">
        <f t="shared" si="65"/>
        <v>0</v>
      </c>
      <c r="P256" s="114"/>
      <c r="Q256" s="114">
        <f t="shared" si="68"/>
        <v>0</v>
      </c>
      <c r="R256" s="114"/>
      <c r="S256" s="114">
        <f t="shared" si="66"/>
        <v>0</v>
      </c>
      <c r="T256" s="114"/>
      <c r="U256" s="114">
        <f t="shared" si="67"/>
        <v>0</v>
      </c>
    </row>
    <row r="257" spans="1:21">
      <c r="A257" s="113">
        <v>45181</v>
      </c>
      <c r="B257" s="114"/>
      <c r="C257" s="114">
        <f t="shared" si="59"/>
        <v>0</v>
      </c>
      <c r="D257" s="114"/>
      <c r="E257" s="114">
        <f t="shared" si="60"/>
        <v>0</v>
      </c>
      <c r="F257" s="114"/>
      <c r="G257" s="114">
        <f t="shared" si="61"/>
        <v>0</v>
      </c>
      <c r="H257" s="114"/>
      <c r="I257" s="114">
        <f t="shared" si="62"/>
        <v>0</v>
      </c>
      <c r="J257" s="114"/>
      <c r="K257" s="114">
        <f t="shared" si="63"/>
        <v>0</v>
      </c>
      <c r="L257" s="114"/>
      <c r="M257" s="114">
        <f t="shared" si="64"/>
        <v>0</v>
      </c>
      <c r="N257" s="114"/>
      <c r="O257" s="114">
        <f t="shared" si="65"/>
        <v>0</v>
      </c>
      <c r="P257" s="114"/>
      <c r="Q257" s="114">
        <f t="shared" si="68"/>
        <v>0</v>
      </c>
      <c r="R257" s="114"/>
      <c r="S257" s="114">
        <f t="shared" si="66"/>
        <v>0</v>
      </c>
      <c r="T257" s="114"/>
      <c r="U257" s="114">
        <f t="shared" si="67"/>
        <v>0</v>
      </c>
    </row>
    <row r="258" spans="1:21">
      <c r="A258" s="113">
        <v>45182</v>
      </c>
      <c r="B258" s="114"/>
      <c r="C258" s="114">
        <f t="shared" si="59"/>
        <v>0</v>
      </c>
      <c r="D258" s="114"/>
      <c r="E258" s="114">
        <f t="shared" si="60"/>
        <v>0</v>
      </c>
      <c r="F258" s="114"/>
      <c r="G258" s="114">
        <f t="shared" si="61"/>
        <v>0</v>
      </c>
      <c r="H258" s="114"/>
      <c r="I258" s="114">
        <f t="shared" si="62"/>
        <v>0</v>
      </c>
      <c r="J258" s="114"/>
      <c r="K258" s="114">
        <f t="shared" si="63"/>
        <v>0</v>
      </c>
      <c r="L258" s="114"/>
      <c r="M258" s="114">
        <f t="shared" si="64"/>
        <v>0</v>
      </c>
      <c r="N258" s="114"/>
      <c r="O258" s="114">
        <f t="shared" si="65"/>
        <v>0</v>
      </c>
      <c r="P258" s="114"/>
      <c r="Q258" s="114">
        <f t="shared" si="68"/>
        <v>0</v>
      </c>
      <c r="R258" s="114"/>
      <c r="S258" s="114">
        <f t="shared" si="66"/>
        <v>0</v>
      </c>
      <c r="T258" s="114"/>
      <c r="U258" s="114">
        <f t="shared" si="67"/>
        <v>0</v>
      </c>
    </row>
    <row r="259" spans="1:21">
      <c r="A259" s="113">
        <v>45183</v>
      </c>
      <c r="B259" s="114"/>
      <c r="C259" s="114">
        <f t="shared" si="59"/>
        <v>0</v>
      </c>
      <c r="D259" s="114"/>
      <c r="E259" s="114">
        <f t="shared" si="60"/>
        <v>0</v>
      </c>
      <c r="F259" s="114"/>
      <c r="G259" s="114">
        <f t="shared" si="61"/>
        <v>0</v>
      </c>
      <c r="H259" s="114"/>
      <c r="I259" s="114">
        <f t="shared" si="62"/>
        <v>0</v>
      </c>
      <c r="J259" s="114"/>
      <c r="K259" s="114">
        <f t="shared" si="63"/>
        <v>0</v>
      </c>
      <c r="L259" s="114"/>
      <c r="M259" s="114">
        <f t="shared" si="64"/>
        <v>0</v>
      </c>
      <c r="N259" s="114"/>
      <c r="O259" s="114">
        <f t="shared" si="65"/>
        <v>0</v>
      </c>
      <c r="P259" s="114"/>
      <c r="Q259" s="114">
        <f t="shared" si="68"/>
        <v>0</v>
      </c>
      <c r="R259" s="114"/>
      <c r="S259" s="114">
        <f t="shared" si="66"/>
        <v>0</v>
      </c>
      <c r="T259" s="114"/>
      <c r="U259" s="114">
        <f t="shared" si="67"/>
        <v>0</v>
      </c>
    </row>
    <row r="260" spans="1:21">
      <c r="A260" s="113">
        <v>45184</v>
      </c>
      <c r="B260" s="114"/>
      <c r="C260" s="114">
        <f t="shared" ref="C260:C323" si="69">IF(B260&gt;B259,B260-B259,0)</f>
        <v>0</v>
      </c>
      <c r="D260" s="114"/>
      <c r="E260" s="114">
        <f t="shared" ref="E260:E323" si="70">IF(D260&gt;D259,D260-D259,0)</f>
        <v>0</v>
      </c>
      <c r="F260" s="114"/>
      <c r="G260" s="114">
        <f t="shared" ref="G260:G323" si="71">IF(F260&gt;F259,F260-F259,0)</f>
        <v>0</v>
      </c>
      <c r="H260" s="114"/>
      <c r="I260" s="114">
        <f t="shared" ref="I260:I323" si="72">IF(H260&gt;H259,H260-H259,0)</f>
        <v>0</v>
      </c>
      <c r="J260" s="114"/>
      <c r="K260" s="114">
        <f t="shared" ref="K260:K323" si="73">IF(J260&gt;J259,J260-J259,0)</f>
        <v>0</v>
      </c>
      <c r="L260" s="114"/>
      <c r="M260" s="114">
        <f t="shared" ref="M260:M323" si="74">IF(L260&gt;L259,L260-L259,0)</f>
        <v>0</v>
      </c>
      <c r="N260" s="114"/>
      <c r="O260" s="114">
        <f t="shared" ref="O260:O323" si="75">IF(N260&gt;N259,N260-N259,0)</f>
        <v>0</v>
      </c>
      <c r="P260" s="114"/>
      <c r="Q260" s="114">
        <f t="shared" ref="Q260:Q323" si="76">IF(P260&gt;P259,P260-P259,0)</f>
        <v>0</v>
      </c>
      <c r="R260" s="114"/>
      <c r="S260" s="114">
        <f t="shared" ref="S260:S323" si="77">IF(R260&gt;R259,R260-R259,0)</f>
        <v>0</v>
      </c>
      <c r="T260" s="114"/>
      <c r="U260" s="114">
        <f t="shared" ref="U260:U323" si="78">IF(T260&gt;T259,T260-T259,0)</f>
        <v>0</v>
      </c>
    </row>
    <row r="261" spans="1:21">
      <c r="A261" s="113">
        <v>45185</v>
      </c>
      <c r="B261" s="114"/>
      <c r="C261" s="114">
        <f t="shared" si="69"/>
        <v>0</v>
      </c>
      <c r="D261" s="114"/>
      <c r="E261" s="114">
        <f t="shared" si="70"/>
        <v>0</v>
      </c>
      <c r="F261" s="114"/>
      <c r="G261" s="114">
        <f t="shared" si="71"/>
        <v>0</v>
      </c>
      <c r="H261" s="114"/>
      <c r="I261" s="114">
        <f t="shared" si="72"/>
        <v>0</v>
      </c>
      <c r="J261" s="114"/>
      <c r="K261" s="114">
        <f t="shared" si="73"/>
        <v>0</v>
      </c>
      <c r="L261" s="114"/>
      <c r="M261" s="114">
        <f t="shared" si="74"/>
        <v>0</v>
      </c>
      <c r="N261" s="114"/>
      <c r="O261" s="114">
        <f t="shared" si="75"/>
        <v>0</v>
      </c>
      <c r="P261" s="114"/>
      <c r="Q261" s="114">
        <f t="shared" si="76"/>
        <v>0</v>
      </c>
      <c r="R261" s="114"/>
      <c r="S261" s="114">
        <f t="shared" si="77"/>
        <v>0</v>
      </c>
      <c r="T261" s="114"/>
      <c r="U261" s="114">
        <f t="shared" si="78"/>
        <v>0</v>
      </c>
    </row>
    <row r="262" spans="1:21">
      <c r="A262" s="113">
        <v>45186</v>
      </c>
      <c r="B262" s="114"/>
      <c r="C262" s="114">
        <f t="shared" si="69"/>
        <v>0</v>
      </c>
      <c r="D262" s="114"/>
      <c r="E262" s="114">
        <f t="shared" si="70"/>
        <v>0</v>
      </c>
      <c r="F262" s="114"/>
      <c r="G262" s="114">
        <f t="shared" si="71"/>
        <v>0</v>
      </c>
      <c r="H262" s="114"/>
      <c r="I262" s="114">
        <f t="shared" si="72"/>
        <v>0</v>
      </c>
      <c r="J262" s="114"/>
      <c r="K262" s="114">
        <f t="shared" si="73"/>
        <v>0</v>
      </c>
      <c r="L262" s="114"/>
      <c r="M262" s="114">
        <f t="shared" si="74"/>
        <v>0</v>
      </c>
      <c r="N262" s="114"/>
      <c r="O262" s="114">
        <f t="shared" si="75"/>
        <v>0</v>
      </c>
      <c r="P262" s="114"/>
      <c r="Q262" s="114">
        <f t="shared" si="76"/>
        <v>0</v>
      </c>
      <c r="R262" s="114"/>
      <c r="S262" s="114">
        <f t="shared" si="77"/>
        <v>0</v>
      </c>
      <c r="T262" s="114"/>
      <c r="U262" s="114">
        <f t="shared" si="78"/>
        <v>0</v>
      </c>
    </row>
    <row r="263" spans="1:21">
      <c r="A263" s="113">
        <v>45187</v>
      </c>
      <c r="B263" s="114"/>
      <c r="C263" s="114">
        <f t="shared" si="69"/>
        <v>0</v>
      </c>
      <c r="D263" s="114"/>
      <c r="E263" s="114">
        <f t="shared" si="70"/>
        <v>0</v>
      </c>
      <c r="F263" s="114"/>
      <c r="G263" s="114">
        <f t="shared" si="71"/>
        <v>0</v>
      </c>
      <c r="H263" s="114"/>
      <c r="I263" s="114">
        <f t="shared" si="72"/>
        <v>0</v>
      </c>
      <c r="J263" s="114"/>
      <c r="K263" s="114">
        <f t="shared" si="73"/>
        <v>0</v>
      </c>
      <c r="L263" s="114"/>
      <c r="M263" s="114">
        <f t="shared" si="74"/>
        <v>0</v>
      </c>
      <c r="N263" s="114"/>
      <c r="O263" s="114">
        <f t="shared" si="75"/>
        <v>0</v>
      </c>
      <c r="P263" s="114"/>
      <c r="Q263" s="114">
        <f t="shared" si="76"/>
        <v>0</v>
      </c>
      <c r="R263" s="114"/>
      <c r="S263" s="114">
        <f t="shared" si="77"/>
        <v>0</v>
      </c>
      <c r="T263" s="114"/>
      <c r="U263" s="114">
        <f t="shared" si="78"/>
        <v>0</v>
      </c>
    </row>
    <row r="264" spans="1:21">
      <c r="A264" s="113">
        <v>45188</v>
      </c>
      <c r="B264" s="114"/>
      <c r="C264" s="114">
        <f t="shared" si="69"/>
        <v>0</v>
      </c>
      <c r="D264" s="114"/>
      <c r="E264" s="114">
        <f t="shared" si="70"/>
        <v>0</v>
      </c>
      <c r="F264" s="114"/>
      <c r="G264" s="114">
        <f t="shared" si="71"/>
        <v>0</v>
      </c>
      <c r="H264" s="114"/>
      <c r="I264" s="114">
        <f t="shared" si="72"/>
        <v>0</v>
      </c>
      <c r="J264" s="114"/>
      <c r="K264" s="114">
        <f t="shared" si="73"/>
        <v>0</v>
      </c>
      <c r="L264" s="114"/>
      <c r="M264" s="114">
        <f t="shared" si="74"/>
        <v>0</v>
      </c>
      <c r="N264" s="114"/>
      <c r="O264" s="114">
        <f t="shared" si="75"/>
        <v>0</v>
      </c>
      <c r="P264" s="114"/>
      <c r="Q264" s="114">
        <f t="shared" si="76"/>
        <v>0</v>
      </c>
      <c r="R264" s="114"/>
      <c r="S264" s="114">
        <f t="shared" si="77"/>
        <v>0</v>
      </c>
      <c r="T264" s="114"/>
      <c r="U264" s="114">
        <f t="shared" si="78"/>
        <v>0</v>
      </c>
    </row>
    <row r="265" spans="1:21">
      <c r="A265" s="113">
        <v>45189</v>
      </c>
      <c r="B265" s="114"/>
      <c r="C265" s="114">
        <f t="shared" si="69"/>
        <v>0</v>
      </c>
      <c r="D265" s="114"/>
      <c r="E265" s="114">
        <f t="shared" si="70"/>
        <v>0</v>
      </c>
      <c r="F265" s="114"/>
      <c r="G265" s="114">
        <f t="shared" si="71"/>
        <v>0</v>
      </c>
      <c r="H265" s="114"/>
      <c r="I265" s="114">
        <f t="shared" si="72"/>
        <v>0</v>
      </c>
      <c r="J265" s="114"/>
      <c r="K265" s="114">
        <f t="shared" si="73"/>
        <v>0</v>
      </c>
      <c r="L265" s="114"/>
      <c r="M265" s="114">
        <f t="shared" si="74"/>
        <v>0</v>
      </c>
      <c r="N265" s="114"/>
      <c r="O265" s="114">
        <f t="shared" si="75"/>
        <v>0</v>
      </c>
      <c r="P265" s="114"/>
      <c r="Q265" s="114">
        <f t="shared" si="76"/>
        <v>0</v>
      </c>
      <c r="R265" s="114"/>
      <c r="S265" s="114">
        <f t="shared" si="77"/>
        <v>0</v>
      </c>
      <c r="T265" s="114"/>
      <c r="U265" s="114">
        <f t="shared" si="78"/>
        <v>0</v>
      </c>
    </row>
    <row r="266" spans="1:21">
      <c r="A266" s="113">
        <v>45190</v>
      </c>
      <c r="B266" s="114"/>
      <c r="C266" s="114">
        <f t="shared" si="69"/>
        <v>0</v>
      </c>
      <c r="D266" s="114"/>
      <c r="E266" s="114">
        <f t="shared" si="70"/>
        <v>0</v>
      </c>
      <c r="F266" s="114"/>
      <c r="G266" s="114">
        <f t="shared" si="71"/>
        <v>0</v>
      </c>
      <c r="H266" s="114"/>
      <c r="I266" s="114">
        <f t="shared" si="72"/>
        <v>0</v>
      </c>
      <c r="J266" s="114"/>
      <c r="K266" s="114">
        <f t="shared" si="73"/>
        <v>0</v>
      </c>
      <c r="L266" s="114"/>
      <c r="M266" s="114">
        <f t="shared" si="74"/>
        <v>0</v>
      </c>
      <c r="N266" s="114"/>
      <c r="O266" s="114">
        <f t="shared" si="75"/>
        <v>0</v>
      </c>
      <c r="P266" s="114"/>
      <c r="Q266" s="114">
        <f t="shared" si="76"/>
        <v>0</v>
      </c>
      <c r="R266" s="114"/>
      <c r="S266" s="114">
        <f t="shared" si="77"/>
        <v>0</v>
      </c>
      <c r="T266" s="114"/>
      <c r="U266" s="114">
        <f t="shared" si="78"/>
        <v>0</v>
      </c>
    </row>
    <row r="267" spans="1:21">
      <c r="A267" s="113">
        <v>45191</v>
      </c>
      <c r="B267" s="114"/>
      <c r="C267" s="114">
        <f t="shared" si="69"/>
        <v>0</v>
      </c>
      <c r="D267" s="114"/>
      <c r="E267" s="114">
        <f t="shared" si="70"/>
        <v>0</v>
      </c>
      <c r="F267" s="114"/>
      <c r="G267" s="114">
        <f t="shared" si="71"/>
        <v>0</v>
      </c>
      <c r="H267" s="114"/>
      <c r="I267" s="114">
        <f t="shared" si="72"/>
        <v>0</v>
      </c>
      <c r="J267" s="114"/>
      <c r="K267" s="114">
        <f t="shared" si="73"/>
        <v>0</v>
      </c>
      <c r="L267" s="114"/>
      <c r="M267" s="114">
        <f t="shared" si="74"/>
        <v>0</v>
      </c>
      <c r="N267" s="114"/>
      <c r="O267" s="114">
        <f t="shared" si="75"/>
        <v>0</v>
      </c>
      <c r="P267" s="114"/>
      <c r="Q267" s="114">
        <f t="shared" si="76"/>
        <v>0</v>
      </c>
      <c r="R267" s="114"/>
      <c r="S267" s="114">
        <f t="shared" si="77"/>
        <v>0</v>
      </c>
      <c r="T267" s="114"/>
      <c r="U267" s="114">
        <f t="shared" si="78"/>
        <v>0</v>
      </c>
    </row>
    <row r="268" spans="1:21">
      <c r="A268" s="113">
        <v>45192</v>
      </c>
      <c r="B268" s="114"/>
      <c r="C268" s="114">
        <f t="shared" si="69"/>
        <v>0</v>
      </c>
      <c r="D268" s="114"/>
      <c r="E268" s="114">
        <f t="shared" si="70"/>
        <v>0</v>
      </c>
      <c r="F268" s="114"/>
      <c r="G268" s="114">
        <f t="shared" si="71"/>
        <v>0</v>
      </c>
      <c r="H268" s="114"/>
      <c r="I268" s="114">
        <f t="shared" si="72"/>
        <v>0</v>
      </c>
      <c r="J268" s="114"/>
      <c r="K268" s="114">
        <f t="shared" si="73"/>
        <v>0</v>
      </c>
      <c r="L268" s="114"/>
      <c r="M268" s="114">
        <f t="shared" si="74"/>
        <v>0</v>
      </c>
      <c r="N268" s="114"/>
      <c r="O268" s="114">
        <f t="shared" si="75"/>
        <v>0</v>
      </c>
      <c r="P268" s="114"/>
      <c r="Q268" s="114">
        <f t="shared" si="76"/>
        <v>0</v>
      </c>
      <c r="R268" s="114"/>
      <c r="S268" s="114">
        <f t="shared" si="77"/>
        <v>0</v>
      </c>
      <c r="T268" s="114"/>
      <c r="U268" s="114">
        <f t="shared" si="78"/>
        <v>0</v>
      </c>
    </row>
    <row r="269" spans="1:21">
      <c r="A269" s="113">
        <v>45193</v>
      </c>
      <c r="B269" s="114"/>
      <c r="C269" s="114">
        <f t="shared" si="69"/>
        <v>0</v>
      </c>
      <c r="D269" s="114"/>
      <c r="E269" s="114">
        <f t="shared" si="70"/>
        <v>0</v>
      </c>
      <c r="F269" s="114"/>
      <c r="G269" s="114">
        <f t="shared" si="71"/>
        <v>0</v>
      </c>
      <c r="H269" s="114"/>
      <c r="I269" s="114">
        <f t="shared" si="72"/>
        <v>0</v>
      </c>
      <c r="J269" s="114"/>
      <c r="K269" s="114">
        <f t="shared" si="73"/>
        <v>0</v>
      </c>
      <c r="L269" s="114"/>
      <c r="M269" s="114">
        <f t="shared" si="74"/>
        <v>0</v>
      </c>
      <c r="N269" s="114"/>
      <c r="O269" s="114">
        <f t="shared" si="75"/>
        <v>0</v>
      </c>
      <c r="P269" s="114"/>
      <c r="Q269" s="114">
        <f t="shared" si="76"/>
        <v>0</v>
      </c>
      <c r="R269" s="114"/>
      <c r="S269" s="114">
        <f t="shared" si="77"/>
        <v>0</v>
      </c>
      <c r="T269" s="114"/>
      <c r="U269" s="114">
        <f t="shared" si="78"/>
        <v>0</v>
      </c>
    </row>
    <row r="270" spans="1:21">
      <c r="A270" s="113">
        <v>45194</v>
      </c>
      <c r="B270" s="114"/>
      <c r="C270" s="114">
        <f t="shared" si="69"/>
        <v>0</v>
      </c>
      <c r="D270" s="114"/>
      <c r="E270" s="114">
        <f t="shared" si="70"/>
        <v>0</v>
      </c>
      <c r="F270" s="114"/>
      <c r="G270" s="114">
        <f t="shared" si="71"/>
        <v>0</v>
      </c>
      <c r="H270" s="114"/>
      <c r="I270" s="114">
        <f t="shared" si="72"/>
        <v>0</v>
      </c>
      <c r="J270" s="114"/>
      <c r="K270" s="114">
        <f t="shared" si="73"/>
        <v>0</v>
      </c>
      <c r="L270" s="114"/>
      <c r="M270" s="114">
        <f t="shared" si="74"/>
        <v>0</v>
      </c>
      <c r="N270" s="114"/>
      <c r="O270" s="114">
        <f t="shared" si="75"/>
        <v>0</v>
      </c>
      <c r="P270" s="114"/>
      <c r="Q270" s="114">
        <f t="shared" si="76"/>
        <v>0</v>
      </c>
      <c r="R270" s="114"/>
      <c r="S270" s="114">
        <f t="shared" si="77"/>
        <v>0</v>
      </c>
      <c r="T270" s="114"/>
      <c r="U270" s="114">
        <f t="shared" si="78"/>
        <v>0</v>
      </c>
    </row>
    <row r="271" spans="1:21">
      <c r="A271" s="113">
        <v>45195</v>
      </c>
      <c r="B271" s="114"/>
      <c r="C271" s="114">
        <f t="shared" si="69"/>
        <v>0</v>
      </c>
      <c r="D271" s="114"/>
      <c r="E271" s="114">
        <f t="shared" si="70"/>
        <v>0</v>
      </c>
      <c r="F271" s="114"/>
      <c r="G271" s="114">
        <f t="shared" si="71"/>
        <v>0</v>
      </c>
      <c r="H271" s="114"/>
      <c r="I271" s="114">
        <f t="shared" si="72"/>
        <v>0</v>
      </c>
      <c r="J271" s="114"/>
      <c r="K271" s="114">
        <f t="shared" si="73"/>
        <v>0</v>
      </c>
      <c r="L271" s="114"/>
      <c r="M271" s="114">
        <f t="shared" si="74"/>
        <v>0</v>
      </c>
      <c r="N271" s="114"/>
      <c r="O271" s="114">
        <f t="shared" si="75"/>
        <v>0</v>
      </c>
      <c r="P271" s="114"/>
      <c r="Q271" s="114">
        <f t="shared" si="76"/>
        <v>0</v>
      </c>
      <c r="R271" s="114"/>
      <c r="S271" s="114">
        <f t="shared" si="77"/>
        <v>0</v>
      </c>
      <c r="T271" s="114"/>
      <c r="U271" s="114">
        <f t="shared" si="78"/>
        <v>0</v>
      </c>
    </row>
    <row r="272" spans="1:21">
      <c r="A272" s="113">
        <v>45196</v>
      </c>
      <c r="B272" s="114"/>
      <c r="C272" s="114">
        <f t="shared" si="69"/>
        <v>0</v>
      </c>
      <c r="D272" s="114"/>
      <c r="E272" s="114">
        <f t="shared" si="70"/>
        <v>0</v>
      </c>
      <c r="F272" s="114"/>
      <c r="G272" s="114">
        <f t="shared" si="71"/>
        <v>0</v>
      </c>
      <c r="H272" s="114"/>
      <c r="I272" s="114">
        <f t="shared" si="72"/>
        <v>0</v>
      </c>
      <c r="J272" s="114"/>
      <c r="K272" s="114">
        <f t="shared" si="73"/>
        <v>0</v>
      </c>
      <c r="L272" s="114"/>
      <c r="M272" s="114">
        <f t="shared" si="74"/>
        <v>0</v>
      </c>
      <c r="N272" s="114"/>
      <c r="O272" s="114">
        <f t="shared" si="75"/>
        <v>0</v>
      </c>
      <c r="P272" s="114"/>
      <c r="Q272" s="114">
        <f t="shared" si="76"/>
        <v>0</v>
      </c>
      <c r="R272" s="114"/>
      <c r="S272" s="114">
        <f t="shared" si="77"/>
        <v>0</v>
      </c>
      <c r="T272" s="114"/>
      <c r="U272" s="114">
        <f t="shared" si="78"/>
        <v>0</v>
      </c>
    </row>
    <row r="273" spans="1:21">
      <c r="A273" s="113">
        <v>45197</v>
      </c>
      <c r="B273" s="114"/>
      <c r="C273" s="114">
        <f t="shared" si="69"/>
        <v>0</v>
      </c>
      <c r="D273" s="114"/>
      <c r="E273" s="114">
        <f t="shared" si="70"/>
        <v>0</v>
      </c>
      <c r="F273" s="114"/>
      <c r="G273" s="114">
        <f t="shared" si="71"/>
        <v>0</v>
      </c>
      <c r="H273" s="114"/>
      <c r="I273" s="114">
        <f t="shared" si="72"/>
        <v>0</v>
      </c>
      <c r="J273" s="114"/>
      <c r="K273" s="114">
        <f t="shared" si="73"/>
        <v>0</v>
      </c>
      <c r="L273" s="114"/>
      <c r="M273" s="114">
        <f t="shared" si="74"/>
        <v>0</v>
      </c>
      <c r="N273" s="114"/>
      <c r="O273" s="114">
        <f t="shared" si="75"/>
        <v>0</v>
      </c>
      <c r="P273" s="114"/>
      <c r="Q273" s="114">
        <f t="shared" si="76"/>
        <v>0</v>
      </c>
      <c r="R273" s="114"/>
      <c r="S273" s="114">
        <f t="shared" si="77"/>
        <v>0</v>
      </c>
      <c r="T273" s="114"/>
      <c r="U273" s="114">
        <f t="shared" si="78"/>
        <v>0</v>
      </c>
    </row>
    <row r="274" spans="1:21">
      <c r="A274" s="113">
        <v>45198</v>
      </c>
      <c r="B274" s="114"/>
      <c r="C274" s="114">
        <f t="shared" si="69"/>
        <v>0</v>
      </c>
      <c r="D274" s="114"/>
      <c r="E274" s="114">
        <f t="shared" si="70"/>
        <v>0</v>
      </c>
      <c r="F274" s="114"/>
      <c r="G274" s="114">
        <f t="shared" si="71"/>
        <v>0</v>
      </c>
      <c r="H274" s="114"/>
      <c r="I274" s="114">
        <f t="shared" si="72"/>
        <v>0</v>
      </c>
      <c r="J274" s="114"/>
      <c r="K274" s="114">
        <f t="shared" si="73"/>
        <v>0</v>
      </c>
      <c r="L274" s="114"/>
      <c r="M274" s="114">
        <f t="shared" si="74"/>
        <v>0</v>
      </c>
      <c r="N274" s="114"/>
      <c r="O274" s="114">
        <f t="shared" si="75"/>
        <v>0</v>
      </c>
      <c r="P274" s="114"/>
      <c r="Q274" s="114">
        <f t="shared" si="76"/>
        <v>0</v>
      </c>
      <c r="R274" s="114"/>
      <c r="S274" s="114">
        <f t="shared" si="77"/>
        <v>0</v>
      </c>
      <c r="T274" s="114"/>
      <c r="U274" s="114">
        <f t="shared" si="78"/>
        <v>0</v>
      </c>
    </row>
    <row r="275" spans="1:21">
      <c r="A275" s="113">
        <v>45199</v>
      </c>
      <c r="B275" s="114"/>
      <c r="C275" s="114">
        <f t="shared" si="69"/>
        <v>0</v>
      </c>
      <c r="D275" s="114"/>
      <c r="E275" s="114">
        <f t="shared" si="70"/>
        <v>0</v>
      </c>
      <c r="F275" s="114"/>
      <c r="G275" s="114">
        <f t="shared" si="71"/>
        <v>0</v>
      </c>
      <c r="H275" s="114"/>
      <c r="I275" s="114">
        <f t="shared" si="72"/>
        <v>0</v>
      </c>
      <c r="J275" s="114"/>
      <c r="K275" s="114">
        <f t="shared" si="73"/>
        <v>0</v>
      </c>
      <c r="L275" s="114"/>
      <c r="M275" s="114">
        <f t="shared" si="74"/>
        <v>0</v>
      </c>
      <c r="N275" s="114"/>
      <c r="O275" s="114">
        <f t="shared" si="75"/>
        <v>0</v>
      </c>
      <c r="P275" s="114"/>
      <c r="Q275" s="114">
        <f t="shared" si="76"/>
        <v>0</v>
      </c>
      <c r="R275" s="114"/>
      <c r="S275" s="114">
        <f t="shared" si="77"/>
        <v>0</v>
      </c>
      <c r="T275" s="114"/>
      <c r="U275" s="114">
        <f t="shared" si="78"/>
        <v>0</v>
      </c>
    </row>
    <row r="276" spans="1:21">
      <c r="A276" s="113">
        <v>45200</v>
      </c>
      <c r="B276" s="114"/>
      <c r="C276" s="114">
        <f t="shared" si="69"/>
        <v>0</v>
      </c>
      <c r="D276" s="114"/>
      <c r="E276" s="114">
        <f t="shared" si="70"/>
        <v>0</v>
      </c>
      <c r="F276" s="114"/>
      <c r="G276" s="114">
        <f t="shared" si="71"/>
        <v>0</v>
      </c>
      <c r="H276" s="114"/>
      <c r="I276" s="114">
        <f t="shared" si="72"/>
        <v>0</v>
      </c>
      <c r="J276" s="114"/>
      <c r="K276" s="114">
        <f t="shared" si="73"/>
        <v>0</v>
      </c>
      <c r="L276" s="114"/>
      <c r="M276" s="114">
        <f t="shared" si="74"/>
        <v>0</v>
      </c>
      <c r="N276" s="114"/>
      <c r="O276" s="114">
        <f t="shared" si="75"/>
        <v>0</v>
      </c>
      <c r="P276" s="114"/>
      <c r="Q276" s="114">
        <f t="shared" si="76"/>
        <v>0</v>
      </c>
      <c r="R276" s="114"/>
      <c r="S276" s="114">
        <f t="shared" si="77"/>
        <v>0</v>
      </c>
      <c r="T276" s="114"/>
      <c r="U276" s="114">
        <f t="shared" si="78"/>
        <v>0</v>
      </c>
    </row>
    <row r="277" spans="1:21">
      <c r="A277" s="113">
        <v>45201</v>
      </c>
      <c r="B277" s="114"/>
      <c r="C277" s="114">
        <f t="shared" si="69"/>
        <v>0</v>
      </c>
      <c r="D277" s="114"/>
      <c r="E277" s="114">
        <f t="shared" si="70"/>
        <v>0</v>
      </c>
      <c r="F277" s="114"/>
      <c r="G277" s="114">
        <f t="shared" si="71"/>
        <v>0</v>
      </c>
      <c r="H277" s="114"/>
      <c r="I277" s="114">
        <f t="shared" si="72"/>
        <v>0</v>
      </c>
      <c r="J277" s="114"/>
      <c r="K277" s="114">
        <f t="shared" si="73"/>
        <v>0</v>
      </c>
      <c r="L277" s="114"/>
      <c r="M277" s="114">
        <f t="shared" si="74"/>
        <v>0</v>
      </c>
      <c r="N277" s="114"/>
      <c r="O277" s="114">
        <f t="shared" si="75"/>
        <v>0</v>
      </c>
      <c r="P277" s="114"/>
      <c r="Q277" s="114">
        <f t="shared" si="76"/>
        <v>0</v>
      </c>
      <c r="R277" s="114"/>
      <c r="S277" s="114">
        <f t="shared" si="77"/>
        <v>0</v>
      </c>
      <c r="T277" s="114"/>
      <c r="U277" s="114">
        <f t="shared" si="78"/>
        <v>0</v>
      </c>
    </row>
    <row r="278" spans="1:21">
      <c r="A278" s="113">
        <v>45202</v>
      </c>
      <c r="B278" s="114"/>
      <c r="C278" s="114">
        <f t="shared" si="69"/>
        <v>0</v>
      </c>
      <c r="D278" s="114"/>
      <c r="E278" s="114">
        <f t="shared" si="70"/>
        <v>0</v>
      </c>
      <c r="F278" s="114"/>
      <c r="G278" s="114">
        <f t="shared" si="71"/>
        <v>0</v>
      </c>
      <c r="H278" s="114"/>
      <c r="I278" s="114">
        <f t="shared" si="72"/>
        <v>0</v>
      </c>
      <c r="J278" s="114"/>
      <c r="K278" s="114">
        <f t="shared" si="73"/>
        <v>0</v>
      </c>
      <c r="L278" s="114"/>
      <c r="M278" s="114">
        <f t="shared" si="74"/>
        <v>0</v>
      </c>
      <c r="N278" s="114"/>
      <c r="O278" s="114">
        <f t="shared" si="75"/>
        <v>0</v>
      </c>
      <c r="P278" s="114"/>
      <c r="Q278" s="114">
        <f t="shared" si="76"/>
        <v>0</v>
      </c>
      <c r="R278" s="114"/>
      <c r="S278" s="114">
        <f t="shared" si="77"/>
        <v>0</v>
      </c>
      <c r="T278" s="114"/>
      <c r="U278" s="114">
        <f t="shared" si="78"/>
        <v>0</v>
      </c>
    </row>
    <row r="279" spans="1:21">
      <c r="A279" s="113">
        <v>45203</v>
      </c>
      <c r="B279" s="114"/>
      <c r="C279" s="114">
        <f t="shared" si="69"/>
        <v>0</v>
      </c>
      <c r="D279" s="114"/>
      <c r="E279" s="114">
        <f t="shared" si="70"/>
        <v>0</v>
      </c>
      <c r="F279" s="114"/>
      <c r="G279" s="114">
        <f t="shared" si="71"/>
        <v>0</v>
      </c>
      <c r="H279" s="114"/>
      <c r="I279" s="114">
        <f t="shared" si="72"/>
        <v>0</v>
      </c>
      <c r="J279" s="114"/>
      <c r="K279" s="114">
        <f t="shared" si="73"/>
        <v>0</v>
      </c>
      <c r="L279" s="114"/>
      <c r="M279" s="114">
        <f t="shared" si="74"/>
        <v>0</v>
      </c>
      <c r="N279" s="114"/>
      <c r="O279" s="114">
        <f t="shared" si="75"/>
        <v>0</v>
      </c>
      <c r="P279" s="114"/>
      <c r="Q279" s="114">
        <f t="shared" si="76"/>
        <v>0</v>
      </c>
      <c r="R279" s="114"/>
      <c r="S279" s="114">
        <f t="shared" si="77"/>
        <v>0</v>
      </c>
      <c r="T279" s="114"/>
      <c r="U279" s="114">
        <f t="shared" si="78"/>
        <v>0</v>
      </c>
    </row>
    <row r="280" spans="1:21">
      <c r="A280" s="113">
        <v>45204</v>
      </c>
      <c r="B280" s="114"/>
      <c r="C280" s="114">
        <f t="shared" si="69"/>
        <v>0</v>
      </c>
      <c r="D280" s="114"/>
      <c r="E280" s="114">
        <f t="shared" si="70"/>
        <v>0</v>
      </c>
      <c r="F280" s="114"/>
      <c r="G280" s="114">
        <f t="shared" si="71"/>
        <v>0</v>
      </c>
      <c r="H280" s="114"/>
      <c r="I280" s="114">
        <f t="shared" si="72"/>
        <v>0</v>
      </c>
      <c r="J280" s="114"/>
      <c r="K280" s="114">
        <f t="shared" si="73"/>
        <v>0</v>
      </c>
      <c r="L280" s="114"/>
      <c r="M280" s="114">
        <f t="shared" si="74"/>
        <v>0</v>
      </c>
      <c r="N280" s="114"/>
      <c r="O280" s="114">
        <f t="shared" si="75"/>
        <v>0</v>
      </c>
      <c r="P280" s="114"/>
      <c r="Q280" s="114">
        <f t="shared" si="76"/>
        <v>0</v>
      </c>
      <c r="R280" s="114"/>
      <c r="S280" s="114">
        <f t="shared" si="77"/>
        <v>0</v>
      </c>
      <c r="T280" s="114"/>
      <c r="U280" s="114">
        <f t="shared" si="78"/>
        <v>0</v>
      </c>
    </row>
    <row r="281" spans="1:21">
      <c r="A281" s="113">
        <v>45205</v>
      </c>
      <c r="B281" s="114"/>
      <c r="C281" s="114">
        <f t="shared" si="69"/>
        <v>0</v>
      </c>
      <c r="D281" s="114"/>
      <c r="E281" s="114">
        <f t="shared" si="70"/>
        <v>0</v>
      </c>
      <c r="F281" s="114"/>
      <c r="G281" s="114">
        <f t="shared" si="71"/>
        <v>0</v>
      </c>
      <c r="H281" s="114"/>
      <c r="I281" s="114">
        <f t="shared" si="72"/>
        <v>0</v>
      </c>
      <c r="J281" s="114"/>
      <c r="K281" s="114">
        <f t="shared" si="73"/>
        <v>0</v>
      </c>
      <c r="L281" s="114"/>
      <c r="M281" s="114">
        <f t="shared" si="74"/>
        <v>0</v>
      </c>
      <c r="N281" s="114"/>
      <c r="O281" s="114">
        <f t="shared" si="75"/>
        <v>0</v>
      </c>
      <c r="P281" s="114"/>
      <c r="Q281" s="114">
        <f t="shared" si="76"/>
        <v>0</v>
      </c>
      <c r="R281" s="114"/>
      <c r="S281" s="114">
        <f t="shared" si="77"/>
        <v>0</v>
      </c>
      <c r="T281" s="114"/>
      <c r="U281" s="114">
        <f t="shared" si="78"/>
        <v>0</v>
      </c>
    </row>
    <row r="282" spans="1:21">
      <c r="A282" s="113">
        <v>45206</v>
      </c>
      <c r="B282" s="114"/>
      <c r="C282" s="114">
        <f t="shared" si="69"/>
        <v>0</v>
      </c>
      <c r="D282" s="114"/>
      <c r="E282" s="114">
        <f t="shared" si="70"/>
        <v>0</v>
      </c>
      <c r="F282" s="114"/>
      <c r="G282" s="114">
        <f t="shared" si="71"/>
        <v>0</v>
      </c>
      <c r="H282" s="114"/>
      <c r="I282" s="114">
        <f t="shared" si="72"/>
        <v>0</v>
      </c>
      <c r="J282" s="114"/>
      <c r="K282" s="114">
        <f t="shared" si="73"/>
        <v>0</v>
      </c>
      <c r="L282" s="114"/>
      <c r="M282" s="114">
        <f t="shared" si="74"/>
        <v>0</v>
      </c>
      <c r="N282" s="114"/>
      <c r="O282" s="114">
        <f t="shared" si="75"/>
        <v>0</v>
      </c>
      <c r="P282" s="114"/>
      <c r="Q282" s="114">
        <f t="shared" si="76"/>
        <v>0</v>
      </c>
      <c r="R282" s="114"/>
      <c r="S282" s="114">
        <f t="shared" si="77"/>
        <v>0</v>
      </c>
      <c r="T282" s="114"/>
      <c r="U282" s="114">
        <f t="shared" si="78"/>
        <v>0</v>
      </c>
    </row>
    <row r="283" spans="1:21">
      <c r="A283" s="113">
        <v>45207</v>
      </c>
      <c r="B283" s="114"/>
      <c r="C283" s="114">
        <f t="shared" si="69"/>
        <v>0</v>
      </c>
      <c r="D283" s="114"/>
      <c r="E283" s="114">
        <f t="shared" si="70"/>
        <v>0</v>
      </c>
      <c r="F283" s="114"/>
      <c r="G283" s="114">
        <f t="shared" si="71"/>
        <v>0</v>
      </c>
      <c r="H283" s="114"/>
      <c r="I283" s="114">
        <f t="shared" si="72"/>
        <v>0</v>
      </c>
      <c r="J283" s="114"/>
      <c r="K283" s="114">
        <f t="shared" si="73"/>
        <v>0</v>
      </c>
      <c r="L283" s="114"/>
      <c r="M283" s="114">
        <f t="shared" si="74"/>
        <v>0</v>
      </c>
      <c r="N283" s="114"/>
      <c r="O283" s="114">
        <f t="shared" si="75"/>
        <v>0</v>
      </c>
      <c r="P283" s="114"/>
      <c r="Q283" s="114">
        <f t="shared" si="76"/>
        <v>0</v>
      </c>
      <c r="R283" s="114"/>
      <c r="S283" s="114">
        <f t="shared" si="77"/>
        <v>0</v>
      </c>
      <c r="T283" s="114"/>
      <c r="U283" s="114">
        <f t="shared" si="78"/>
        <v>0</v>
      </c>
    </row>
    <row r="284" spans="1:21">
      <c r="A284" s="113">
        <v>45208</v>
      </c>
      <c r="B284" s="114"/>
      <c r="C284" s="114">
        <f t="shared" si="69"/>
        <v>0</v>
      </c>
      <c r="D284" s="114"/>
      <c r="E284" s="114">
        <f t="shared" si="70"/>
        <v>0</v>
      </c>
      <c r="F284" s="114"/>
      <c r="G284" s="114">
        <f t="shared" si="71"/>
        <v>0</v>
      </c>
      <c r="H284" s="114"/>
      <c r="I284" s="114">
        <f t="shared" si="72"/>
        <v>0</v>
      </c>
      <c r="J284" s="114"/>
      <c r="K284" s="114">
        <f t="shared" si="73"/>
        <v>0</v>
      </c>
      <c r="L284" s="114"/>
      <c r="M284" s="114">
        <f t="shared" si="74"/>
        <v>0</v>
      </c>
      <c r="N284" s="114"/>
      <c r="O284" s="114">
        <f t="shared" si="75"/>
        <v>0</v>
      </c>
      <c r="P284" s="114"/>
      <c r="Q284" s="114">
        <f t="shared" si="76"/>
        <v>0</v>
      </c>
      <c r="R284" s="114"/>
      <c r="S284" s="114">
        <f t="shared" si="77"/>
        <v>0</v>
      </c>
      <c r="T284" s="114"/>
      <c r="U284" s="114">
        <f t="shared" si="78"/>
        <v>0</v>
      </c>
    </row>
    <row r="285" spans="1:21">
      <c r="A285" s="113">
        <v>45209</v>
      </c>
      <c r="B285" s="114"/>
      <c r="C285" s="114">
        <f t="shared" si="69"/>
        <v>0</v>
      </c>
      <c r="D285" s="114"/>
      <c r="E285" s="114">
        <f t="shared" si="70"/>
        <v>0</v>
      </c>
      <c r="F285" s="114"/>
      <c r="G285" s="114">
        <f t="shared" si="71"/>
        <v>0</v>
      </c>
      <c r="H285" s="114"/>
      <c r="I285" s="114">
        <f t="shared" si="72"/>
        <v>0</v>
      </c>
      <c r="J285" s="114"/>
      <c r="K285" s="114">
        <f t="shared" si="73"/>
        <v>0</v>
      </c>
      <c r="L285" s="114"/>
      <c r="M285" s="114">
        <f t="shared" si="74"/>
        <v>0</v>
      </c>
      <c r="N285" s="114"/>
      <c r="O285" s="114">
        <f t="shared" si="75"/>
        <v>0</v>
      </c>
      <c r="P285" s="114"/>
      <c r="Q285" s="114">
        <f t="shared" si="76"/>
        <v>0</v>
      </c>
      <c r="R285" s="114"/>
      <c r="S285" s="114">
        <f t="shared" si="77"/>
        <v>0</v>
      </c>
      <c r="T285" s="114"/>
      <c r="U285" s="114">
        <f t="shared" si="78"/>
        <v>0</v>
      </c>
    </row>
    <row r="286" spans="1:21">
      <c r="A286" s="113">
        <v>45210</v>
      </c>
      <c r="B286" s="114"/>
      <c r="C286" s="114">
        <f t="shared" si="69"/>
        <v>0</v>
      </c>
      <c r="D286" s="114"/>
      <c r="E286" s="114">
        <f t="shared" si="70"/>
        <v>0</v>
      </c>
      <c r="F286" s="114"/>
      <c r="G286" s="114">
        <f t="shared" si="71"/>
        <v>0</v>
      </c>
      <c r="H286" s="114"/>
      <c r="I286" s="114">
        <f t="shared" si="72"/>
        <v>0</v>
      </c>
      <c r="J286" s="114"/>
      <c r="K286" s="114">
        <f t="shared" si="73"/>
        <v>0</v>
      </c>
      <c r="L286" s="114"/>
      <c r="M286" s="114">
        <f t="shared" si="74"/>
        <v>0</v>
      </c>
      <c r="N286" s="114"/>
      <c r="O286" s="114">
        <f t="shared" si="75"/>
        <v>0</v>
      </c>
      <c r="P286" s="114"/>
      <c r="Q286" s="114">
        <f t="shared" si="76"/>
        <v>0</v>
      </c>
      <c r="R286" s="114"/>
      <c r="S286" s="114">
        <f t="shared" si="77"/>
        <v>0</v>
      </c>
      <c r="T286" s="114"/>
      <c r="U286" s="114">
        <f t="shared" si="78"/>
        <v>0</v>
      </c>
    </row>
    <row r="287" spans="1:21">
      <c r="A287" s="113">
        <v>45211</v>
      </c>
      <c r="B287" s="114"/>
      <c r="C287" s="114">
        <f t="shared" si="69"/>
        <v>0</v>
      </c>
      <c r="D287" s="114"/>
      <c r="E287" s="114">
        <f t="shared" si="70"/>
        <v>0</v>
      </c>
      <c r="F287" s="114"/>
      <c r="G287" s="114">
        <f t="shared" si="71"/>
        <v>0</v>
      </c>
      <c r="H287" s="114"/>
      <c r="I287" s="114">
        <f t="shared" si="72"/>
        <v>0</v>
      </c>
      <c r="J287" s="114"/>
      <c r="K287" s="114">
        <f t="shared" si="73"/>
        <v>0</v>
      </c>
      <c r="L287" s="114"/>
      <c r="M287" s="114">
        <f t="shared" si="74"/>
        <v>0</v>
      </c>
      <c r="N287" s="114"/>
      <c r="O287" s="114">
        <f t="shared" si="75"/>
        <v>0</v>
      </c>
      <c r="P287" s="114"/>
      <c r="Q287" s="114">
        <f t="shared" si="76"/>
        <v>0</v>
      </c>
      <c r="R287" s="114"/>
      <c r="S287" s="114">
        <f t="shared" si="77"/>
        <v>0</v>
      </c>
      <c r="T287" s="114"/>
      <c r="U287" s="114">
        <f t="shared" si="78"/>
        <v>0</v>
      </c>
    </row>
    <row r="288" spans="1:21">
      <c r="A288" s="113">
        <v>45212</v>
      </c>
      <c r="B288" s="114"/>
      <c r="C288" s="114">
        <f t="shared" si="69"/>
        <v>0</v>
      </c>
      <c r="D288" s="114"/>
      <c r="E288" s="114">
        <f t="shared" si="70"/>
        <v>0</v>
      </c>
      <c r="F288" s="114"/>
      <c r="G288" s="114">
        <f t="shared" si="71"/>
        <v>0</v>
      </c>
      <c r="H288" s="114"/>
      <c r="I288" s="114">
        <f t="shared" si="72"/>
        <v>0</v>
      </c>
      <c r="J288" s="114"/>
      <c r="K288" s="114">
        <f t="shared" si="73"/>
        <v>0</v>
      </c>
      <c r="L288" s="114"/>
      <c r="M288" s="114">
        <f t="shared" si="74"/>
        <v>0</v>
      </c>
      <c r="N288" s="114"/>
      <c r="O288" s="114">
        <f t="shared" si="75"/>
        <v>0</v>
      </c>
      <c r="P288" s="114"/>
      <c r="Q288" s="114">
        <f t="shared" si="76"/>
        <v>0</v>
      </c>
      <c r="R288" s="114"/>
      <c r="S288" s="114">
        <f t="shared" si="77"/>
        <v>0</v>
      </c>
      <c r="T288" s="114"/>
      <c r="U288" s="114">
        <f t="shared" si="78"/>
        <v>0</v>
      </c>
    </row>
    <row r="289" spans="1:21">
      <c r="A289" s="113">
        <v>45213</v>
      </c>
      <c r="B289" s="114"/>
      <c r="C289" s="114">
        <f t="shared" si="69"/>
        <v>0</v>
      </c>
      <c r="D289" s="114"/>
      <c r="E289" s="114">
        <f t="shared" si="70"/>
        <v>0</v>
      </c>
      <c r="F289" s="114"/>
      <c r="G289" s="114">
        <f t="shared" si="71"/>
        <v>0</v>
      </c>
      <c r="H289" s="114"/>
      <c r="I289" s="114">
        <f t="shared" si="72"/>
        <v>0</v>
      </c>
      <c r="J289" s="114"/>
      <c r="K289" s="114">
        <f t="shared" si="73"/>
        <v>0</v>
      </c>
      <c r="L289" s="114"/>
      <c r="M289" s="114">
        <f t="shared" si="74"/>
        <v>0</v>
      </c>
      <c r="N289" s="114"/>
      <c r="O289" s="114">
        <f t="shared" si="75"/>
        <v>0</v>
      </c>
      <c r="P289" s="114"/>
      <c r="Q289" s="114">
        <f t="shared" si="76"/>
        <v>0</v>
      </c>
      <c r="R289" s="114"/>
      <c r="S289" s="114">
        <f t="shared" si="77"/>
        <v>0</v>
      </c>
      <c r="T289" s="114"/>
      <c r="U289" s="114">
        <f t="shared" si="78"/>
        <v>0</v>
      </c>
    </row>
    <row r="290" spans="1:21">
      <c r="A290" s="113">
        <v>45214</v>
      </c>
      <c r="B290" s="114"/>
      <c r="C290" s="114">
        <f t="shared" si="69"/>
        <v>0</v>
      </c>
      <c r="D290" s="114"/>
      <c r="E290" s="114">
        <f t="shared" si="70"/>
        <v>0</v>
      </c>
      <c r="F290" s="114"/>
      <c r="G290" s="114">
        <f t="shared" si="71"/>
        <v>0</v>
      </c>
      <c r="H290" s="114"/>
      <c r="I290" s="114">
        <f t="shared" si="72"/>
        <v>0</v>
      </c>
      <c r="J290" s="114"/>
      <c r="K290" s="114">
        <f t="shared" si="73"/>
        <v>0</v>
      </c>
      <c r="L290" s="114"/>
      <c r="M290" s="114">
        <f t="shared" si="74"/>
        <v>0</v>
      </c>
      <c r="N290" s="114"/>
      <c r="O290" s="114">
        <f t="shared" si="75"/>
        <v>0</v>
      </c>
      <c r="P290" s="114"/>
      <c r="Q290" s="114">
        <f t="shared" si="76"/>
        <v>0</v>
      </c>
      <c r="R290" s="114"/>
      <c r="S290" s="114">
        <f t="shared" si="77"/>
        <v>0</v>
      </c>
      <c r="T290" s="114"/>
      <c r="U290" s="114">
        <f t="shared" si="78"/>
        <v>0</v>
      </c>
    </row>
    <row r="291" spans="1:21">
      <c r="A291" s="113">
        <v>45215</v>
      </c>
      <c r="B291" s="114"/>
      <c r="C291" s="114">
        <f t="shared" si="69"/>
        <v>0</v>
      </c>
      <c r="D291" s="114"/>
      <c r="E291" s="114">
        <f t="shared" si="70"/>
        <v>0</v>
      </c>
      <c r="F291" s="114"/>
      <c r="G291" s="114">
        <f t="shared" si="71"/>
        <v>0</v>
      </c>
      <c r="H291" s="114"/>
      <c r="I291" s="114">
        <f t="shared" si="72"/>
        <v>0</v>
      </c>
      <c r="J291" s="114"/>
      <c r="K291" s="114">
        <f t="shared" si="73"/>
        <v>0</v>
      </c>
      <c r="L291" s="114"/>
      <c r="M291" s="114">
        <f t="shared" si="74"/>
        <v>0</v>
      </c>
      <c r="N291" s="114"/>
      <c r="O291" s="114">
        <f t="shared" si="75"/>
        <v>0</v>
      </c>
      <c r="P291" s="114"/>
      <c r="Q291" s="114">
        <f t="shared" si="76"/>
        <v>0</v>
      </c>
      <c r="R291" s="114"/>
      <c r="S291" s="114">
        <f t="shared" si="77"/>
        <v>0</v>
      </c>
      <c r="T291" s="114"/>
      <c r="U291" s="114">
        <f t="shared" si="78"/>
        <v>0</v>
      </c>
    </row>
    <row r="292" spans="1:21">
      <c r="A292" s="113">
        <v>45216</v>
      </c>
      <c r="B292" s="114"/>
      <c r="C292" s="114">
        <f t="shared" si="69"/>
        <v>0</v>
      </c>
      <c r="D292" s="114"/>
      <c r="E292" s="114">
        <f t="shared" si="70"/>
        <v>0</v>
      </c>
      <c r="F292" s="114"/>
      <c r="G292" s="114">
        <f t="shared" si="71"/>
        <v>0</v>
      </c>
      <c r="H292" s="114"/>
      <c r="I292" s="114">
        <f t="shared" si="72"/>
        <v>0</v>
      </c>
      <c r="J292" s="114"/>
      <c r="K292" s="114">
        <f t="shared" si="73"/>
        <v>0</v>
      </c>
      <c r="L292" s="114"/>
      <c r="M292" s="114">
        <f t="shared" si="74"/>
        <v>0</v>
      </c>
      <c r="N292" s="114"/>
      <c r="O292" s="114">
        <f t="shared" si="75"/>
        <v>0</v>
      </c>
      <c r="P292" s="114"/>
      <c r="Q292" s="114">
        <f t="shared" si="76"/>
        <v>0</v>
      </c>
      <c r="R292" s="114"/>
      <c r="S292" s="114">
        <f t="shared" si="77"/>
        <v>0</v>
      </c>
      <c r="T292" s="114"/>
      <c r="U292" s="114">
        <f t="shared" si="78"/>
        <v>0</v>
      </c>
    </row>
    <row r="293" spans="1:21">
      <c r="A293" s="113">
        <v>45217</v>
      </c>
      <c r="B293" s="114"/>
      <c r="C293" s="114">
        <f t="shared" si="69"/>
        <v>0</v>
      </c>
      <c r="D293" s="114"/>
      <c r="E293" s="114">
        <f t="shared" si="70"/>
        <v>0</v>
      </c>
      <c r="F293" s="114"/>
      <c r="G293" s="114">
        <f t="shared" si="71"/>
        <v>0</v>
      </c>
      <c r="H293" s="114"/>
      <c r="I293" s="114">
        <f t="shared" si="72"/>
        <v>0</v>
      </c>
      <c r="J293" s="114"/>
      <c r="K293" s="114">
        <f t="shared" si="73"/>
        <v>0</v>
      </c>
      <c r="L293" s="114"/>
      <c r="M293" s="114">
        <f t="shared" si="74"/>
        <v>0</v>
      </c>
      <c r="N293" s="114"/>
      <c r="O293" s="114">
        <f t="shared" si="75"/>
        <v>0</v>
      </c>
      <c r="P293" s="114"/>
      <c r="Q293" s="114">
        <f t="shared" si="76"/>
        <v>0</v>
      </c>
      <c r="R293" s="114"/>
      <c r="S293" s="114">
        <f t="shared" si="77"/>
        <v>0</v>
      </c>
      <c r="T293" s="114"/>
      <c r="U293" s="114">
        <f t="shared" si="78"/>
        <v>0</v>
      </c>
    </row>
    <row r="294" spans="1:21">
      <c r="A294" s="113">
        <v>45218</v>
      </c>
      <c r="B294" s="114"/>
      <c r="C294" s="114">
        <f t="shared" si="69"/>
        <v>0</v>
      </c>
      <c r="D294" s="114"/>
      <c r="E294" s="114">
        <f t="shared" si="70"/>
        <v>0</v>
      </c>
      <c r="F294" s="114"/>
      <c r="G294" s="114">
        <f t="shared" si="71"/>
        <v>0</v>
      </c>
      <c r="H294" s="114"/>
      <c r="I294" s="114">
        <f t="shared" si="72"/>
        <v>0</v>
      </c>
      <c r="J294" s="114"/>
      <c r="K294" s="114">
        <f t="shared" si="73"/>
        <v>0</v>
      </c>
      <c r="L294" s="114"/>
      <c r="M294" s="114">
        <f t="shared" si="74"/>
        <v>0</v>
      </c>
      <c r="N294" s="114"/>
      <c r="O294" s="114">
        <f t="shared" si="75"/>
        <v>0</v>
      </c>
      <c r="P294" s="114"/>
      <c r="Q294" s="114">
        <f t="shared" si="76"/>
        <v>0</v>
      </c>
      <c r="R294" s="114"/>
      <c r="S294" s="114">
        <f t="shared" si="77"/>
        <v>0</v>
      </c>
      <c r="T294" s="114"/>
      <c r="U294" s="114">
        <f t="shared" si="78"/>
        <v>0</v>
      </c>
    </row>
    <row r="295" spans="1:21">
      <c r="A295" s="113">
        <v>45219</v>
      </c>
      <c r="B295" s="114"/>
      <c r="C295" s="114">
        <f t="shared" si="69"/>
        <v>0</v>
      </c>
      <c r="D295" s="114"/>
      <c r="E295" s="114">
        <f t="shared" si="70"/>
        <v>0</v>
      </c>
      <c r="F295" s="114"/>
      <c r="G295" s="114">
        <f t="shared" si="71"/>
        <v>0</v>
      </c>
      <c r="H295" s="114"/>
      <c r="I295" s="114">
        <f t="shared" si="72"/>
        <v>0</v>
      </c>
      <c r="J295" s="114"/>
      <c r="K295" s="114">
        <f t="shared" si="73"/>
        <v>0</v>
      </c>
      <c r="L295" s="114"/>
      <c r="M295" s="114">
        <f t="shared" si="74"/>
        <v>0</v>
      </c>
      <c r="N295" s="114"/>
      <c r="O295" s="114">
        <f t="shared" si="75"/>
        <v>0</v>
      </c>
      <c r="P295" s="114"/>
      <c r="Q295" s="114">
        <f t="shared" si="76"/>
        <v>0</v>
      </c>
      <c r="R295" s="114"/>
      <c r="S295" s="114">
        <f t="shared" si="77"/>
        <v>0</v>
      </c>
      <c r="T295" s="114"/>
      <c r="U295" s="114">
        <f t="shared" si="78"/>
        <v>0</v>
      </c>
    </row>
    <row r="296" spans="1:21">
      <c r="A296" s="113">
        <v>45220</v>
      </c>
      <c r="B296" s="114"/>
      <c r="C296" s="114">
        <f t="shared" si="69"/>
        <v>0</v>
      </c>
      <c r="D296" s="114"/>
      <c r="E296" s="114">
        <f t="shared" si="70"/>
        <v>0</v>
      </c>
      <c r="F296" s="114"/>
      <c r="G296" s="114">
        <f t="shared" si="71"/>
        <v>0</v>
      </c>
      <c r="H296" s="114"/>
      <c r="I296" s="114">
        <f t="shared" si="72"/>
        <v>0</v>
      </c>
      <c r="J296" s="114"/>
      <c r="K296" s="114">
        <f t="shared" si="73"/>
        <v>0</v>
      </c>
      <c r="L296" s="114"/>
      <c r="M296" s="114">
        <f t="shared" si="74"/>
        <v>0</v>
      </c>
      <c r="N296" s="114"/>
      <c r="O296" s="114">
        <f t="shared" si="75"/>
        <v>0</v>
      </c>
      <c r="P296" s="114"/>
      <c r="Q296" s="114">
        <f t="shared" si="76"/>
        <v>0</v>
      </c>
      <c r="R296" s="114"/>
      <c r="S296" s="114">
        <f t="shared" si="77"/>
        <v>0</v>
      </c>
      <c r="T296" s="114"/>
      <c r="U296" s="114">
        <f t="shared" si="78"/>
        <v>0</v>
      </c>
    </row>
    <row r="297" spans="1:21">
      <c r="A297" s="113">
        <v>45221</v>
      </c>
      <c r="B297" s="114"/>
      <c r="C297" s="114">
        <f t="shared" si="69"/>
        <v>0</v>
      </c>
      <c r="D297" s="114"/>
      <c r="E297" s="114">
        <f t="shared" si="70"/>
        <v>0</v>
      </c>
      <c r="F297" s="114"/>
      <c r="G297" s="114">
        <f t="shared" si="71"/>
        <v>0</v>
      </c>
      <c r="H297" s="114"/>
      <c r="I297" s="114">
        <f t="shared" si="72"/>
        <v>0</v>
      </c>
      <c r="J297" s="114"/>
      <c r="K297" s="114">
        <f t="shared" si="73"/>
        <v>0</v>
      </c>
      <c r="L297" s="114"/>
      <c r="M297" s="114">
        <f t="shared" si="74"/>
        <v>0</v>
      </c>
      <c r="N297" s="114"/>
      <c r="O297" s="114">
        <f t="shared" si="75"/>
        <v>0</v>
      </c>
      <c r="P297" s="114"/>
      <c r="Q297" s="114">
        <f t="shared" si="76"/>
        <v>0</v>
      </c>
      <c r="R297" s="114"/>
      <c r="S297" s="114">
        <f t="shared" si="77"/>
        <v>0</v>
      </c>
      <c r="T297" s="114"/>
      <c r="U297" s="114">
        <f t="shared" si="78"/>
        <v>0</v>
      </c>
    </row>
    <row r="298" spans="1:21">
      <c r="A298" s="113">
        <v>45222</v>
      </c>
      <c r="B298" s="114"/>
      <c r="C298" s="114">
        <f t="shared" si="69"/>
        <v>0</v>
      </c>
      <c r="D298" s="114"/>
      <c r="E298" s="114">
        <f t="shared" si="70"/>
        <v>0</v>
      </c>
      <c r="F298" s="114"/>
      <c r="G298" s="114">
        <f t="shared" si="71"/>
        <v>0</v>
      </c>
      <c r="H298" s="114"/>
      <c r="I298" s="114">
        <f t="shared" si="72"/>
        <v>0</v>
      </c>
      <c r="J298" s="114"/>
      <c r="K298" s="114">
        <f t="shared" si="73"/>
        <v>0</v>
      </c>
      <c r="L298" s="114"/>
      <c r="M298" s="114">
        <f t="shared" si="74"/>
        <v>0</v>
      </c>
      <c r="N298" s="114"/>
      <c r="O298" s="114">
        <f t="shared" si="75"/>
        <v>0</v>
      </c>
      <c r="P298" s="114"/>
      <c r="Q298" s="114">
        <f t="shared" si="76"/>
        <v>0</v>
      </c>
      <c r="R298" s="114"/>
      <c r="S298" s="114">
        <f t="shared" si="77"/>
        <v>0</v>
      </c>
      <c r="T298" s="114"/>
      <c r="U298" s="114">
        <f t="shared" si="78"/>
        <v>0</v>
      </c>
    </row>
    <row r="299" spans="1:21">
      <c r="A299" s="113">
        <v>45223</v>
      </c>
      <c r="B299" s="114"/>
      <c r="C299" s="114">
        <f t="shared" si="69"/>
        <v>0</v>
      </c>
      <c r="D299" s="114"/>
      <c r="E299" s="114">
        <f t="shared" si="70"/>
        <v>0</v>
      </c>
      <c r="F299" s="114"/>
      <c r="G299" s="114">
        <f t="shared" si="71"/>
        <v>0</v>
      </c>
      <c r="H299" s="114"/>
      <c r="I299" s="114">
        <f t="shared" si="72"/>
        <v>0</v>
      </c>
      <c r="J299" s="114"/>
      <c r="K299" s="114">
        <f t="shared" si="73"/>
        <v>0</v>
      </c>
      <c r="L299" s="114"/>
      <c r="M299" s="114">
        <f t="shared" si="74"/>
        <v>0</v>
      </c>
      <c r="N299" s="114"/>
      <c r="O299" s="114">
        <f t="shared" si="75"/>
        <v>0</v>
      </c>
      <c r="P299" s="114"/>
      <c r="Q299" s="114">
        <f t="shared" si="76"/>
        <v>0</v>
      </c>
      <c r="R299" s="114"/>
      <c r="S299" s="114">
        <f t="shared" si="77"/>
        <v>0</v>
      </c>
      <c r="T299" s="114"/>
      <c r="U299" s="114">
        <f t="shared" si="78"/>
        <v>0</v>
      </c>
    </row>
    <row r="300" spans="1:21">
      <c r="A300" s="113">
        <v>45224</v>
      </c>
      <c r="B300" s="114"/>
      <c r="C300" s="114">
        <f t="shared" si="69"/>
        <v>0</v>
      </c>
      <c r="D300" s="114"/>
      <c r="E300" s="114">
        <f t="shared" si="70"/>
        <v>0</v>
      </c>
      <c r="F300" s="114"/>
      <c r="G300" s="114">
        <f t="shared" si="71"/>
        <v>0</v>
      </c>
      <c r="H300" s="114"/>
      <c r="I300" s="114">
        <f t="shared" si="72"/>
        <v>0</v>
      </c>
      <c r="J300" s="114"/>
      <c r="K300" s="114">
        <f t="shared" si="73"/>
        <v>0</v>
      </c>
      <c r="L300" s="114"/>
      <c r="M300" s="114">
        <f t="shared" si="74"/>
        <v>0</v>
      </c>
      <c r="N300" s="114"/>
      <c r="O300" s="114">
        <f t="shared" si="75"/>
        <v>0</v>
      </c>
      <c r="P300" s="114"/>
      <c r="Q300" s="114">
        <f t="shared" si="76"/>
        <v>0</v>
      </c>
      <c r="R300" s="114"/>
      <c r="S300" s="114">
        <f t="shared" si="77"/>
        <v>0</v>
      </c>
      <c r="T300" s="114"/>
      <c r="U300" s="114">
        <f t="shared" si="78"/>
        <v>0</v>
      </c>
    </row>
    <row r="301" spans="1:21">
      <c r="A301" s="113">
        <v>45225</v>
      </c>
      <c r="B301" s="114"/>
      <c r="C301" s="114">
        <f t="shared" si="69"/>
        <v>0</v>
      </c>
      <c r="D301" s="114"/>
      <c r="E301" s="114">
        <f t="shared" si="70"/>
        <v>0</v>
      </c>
      <c r="F301" s="114"/>
      <c r="G301" s="114">
        <f t="shared" si="71"/>
        <v>0</v>
      </c>
      <c r="H301" s="114"/>
      <c r="I301" s="114">
        <f t="shared" si="72"/>
        <v>0</v>
      </c>
      <c r="J301" s="114"/>
      <c r="K301" s="114">
        <f t="shared" si="73"/>
        <v>0</v>
      </c>
      <c r="L301" s="114"/>
      <c r="M301" s="114">
        <f t="shared" si="74"/>
        <v>0</v>
      </c>
      <c r="N301" s="114"/>
      <c r="O301" s="114">
        <f t="shared" si="75"/>
        <v>0</v>
      </c>
      <c r="P301" s="114"/>
      <c r="Q301" s="114">
        <f t="shared" si="76"/>
        <v>0</v>
      </c>
      <c r="R301" s="114"/>
      <c r="S301" s="114">
        <f t="shared" si="77"/>
        <v>0</v>
      </c>
      <c r="T301" s="114"/>
      <c r="U301" s="114">
        <f t="shared" si="78"/>
        <v>0</v>
      </c>
    </row>
    <row r="302" spans="1:21">
      <c r="A302" s="113">
        <v>45226</v>
      </c>
      <c r="B302" s="114"/>
      <c r="C302" s="114">
        <f t="shared" si="69"/>
        <v>0</v>
      </c>
      <c r="D302" s="114"/>
      <c r="E302" s="114">
        <f t="shared" si="70"/>
        <v>0</v>
      </c>
      <c r="F302" s="114"/>
      <c r="G302" s="114">
        <f t="shared" si="71"/>
        <v>0</v>
      </c>
      <c r="H302" s="114"/>
      <c r="I302" s="114">
        <f t="shared" si="72"/>
        <v>0</v>
      </c>
      <c r="J302" s="114"/>
      <c r="K302" s="114">
        <f t="shared" si="73"/>
        <v>0</v>
      </c>
      <c r="L302" s="114"/>
      <c r="M302" s="114">
        <f t="shared" si="74"/>
        <v>0</v>
      </c>
      <c r="N302" s="114"/>
      <c r="O302" s="114">
        <f t="shared" si="75"/>
        <v>0</v>
      </c>
      <c r="P302" s="114"/>
      <c r="Q302" s="114">
        <f t="shared" si="76"/>
        <v>0</v>
      </c>
      <c r="R302" s="114"/>
      <c r="S302" s="114">
        <f t="shared" si="77"/>
        <v>0</v>
      </c>
      <c r="T302" s="114"/>
      <c r="U302" s="114">
        <f t="shared" si="78"/>
        <v>0</v>
      </c>
    </row>
    <row r="303" spans="1:21">
      <c r="A303" s="113">
        <v>45227</v>
      </c>
      <c r="B303" s="114"/>
      <c r="C303" s="114">
        <f t="shared" si="69"/>
        <v>0</v>
      </c>
      <c r="D303" s="114"/>
      <c r="E303" s="114">
        <f t="shared" si="70"/>
        <v>0</v>
      </c>
      <c r="F303" s="114"/>
      <c r="G303" s="114">
        <f t="shared" si="71"/>
        <v>0</v>
      </c>
      <c r="H303" s="114"/>
      <c r="I303" s="114">
        <f t="shared" si="72"/>
        <v>0</v>
      </c>
      <c r="J303" s="114"/>
      <c r="K303" s="114">
        <f t="shared" si="73"/>
        <v>0</v>
      </c>
      <c r="L303" s="114"/>
      <c r="M303" s="114">
        <f t="shared" si="74"/>
        <v>0</v>
      </c>
      <c r="N303" s="114"/>
      <c r="O303" s="114">
        <f t="shared" si="75"/>
        <v>0</v>
      </c>
      <c r="P303" s="114"/>
      <c r="Q303" s="114">
        <f t="shared" si="76"/>
        <v>0</v>
      </c>
      <c r="R303" s="114"/>
      <c r="S303" s="114">
        <f t="shared" si="77"/>
        <v>0</v>
      </c>
      <c r="T303" s="114"/>
      <c r="U303" s="114">
        <f t="shared" si="78"/>
        <v>0</v>
      </c>
    </row>
    <row r="304" spans="1:21">
      <c r="A304" s="113">
        <v>45228</v>
      </c>
      <c r="B304" s="114"/>
      <c r="C304" s="114">
        <f t="shared" si="69"/>
        <v>0</v>
      </c>
      <c r="D304" s="114"/>
      <c r="E304" s="114">
        <f t="shared" si="70"/>
        <v>0</v>
      </c>
      <c r="F304" s="114"/>
      <c r="G304" s="114">
        <f t="shared" si="71"/>
        <v>0</v>
      </c>
      <c r="H304" s="114"/>
      <c r="I304" s="114">
        <f t="shared" si="72"/>
        <v>0</v>
      </c>
      <c r="J304" s="114"/>
      <c r="K304" s="114">
        <f t="shared" si="73"/>
        <v>0</v>
      </c>
      <c r="L304" s="114"/>
      <c r="M304" s="114">
        <f t="shared" si="74"/>
        <v>0</v>
      </c>
      <c r="N304" s="114"/>
      <c r="O304" s="114">
        <f t="shared" si="75"/>
        <v>0</v>
      </c>
      <c r="P304" s="114"/>
      <c r="Q304" s="114">
        <f t="shared" si="76"/>
        <v>0</v>
      </c>
      <c r="R304" s="114"/>
      <c r="S304" s="114">
        <f t="shared" si="77"/>
        <v>0</v>
      </c>
      <c r="T304" s="114"/>
      <c r="U304" s="114">
        <f t="shared" si="78"/>
        <v>0</v>
      </c>
    </row>
    <row r="305" spans="1:21">
      <c r="A305" s="113">
        <v>45229</v>
      </c>
      <c r="B305" s="114"/>
      <c r="C305" s="114">
        <f t="shared" si="69"/>
        <v>0</v>
      </c>
      <c r="D305" s="114"/>
      <c r="E305" s="114">
        <f t="shared" si="70"/>
        <v>0</v>
      </c>
      <c r="F305" s="114"/>
      <c r="G305" s="114">
        <f t="shared" si="71"/>
        <v>0</v>
      </c>
      <c r="H305" s="114"/>
      <c r="I305" s="114">
        <f t="shared" si="72"/>
        <v>0</v>
      </c>
      <c r="J305" s="114"/>
      <c r="K305" s="114">
        <f t="shared" si="73"/>
        <v>0</v>
      </c>
      <c r="L305" s="114"/>
      <c r="M305" s="114">
        <f t="shared" si="74"/>
        <v>0</v>
      </c>
      <c r="N305" s="114"/>
      <c r="O305" s="114">
        <f t="shared" si="75"/>
        <v>0</v>
      </c>
      <c r="P305" s="114"/>
      <c r="Q305" s="114">
        <f t="shared" si="76"/>
        <v>0</v>
      </c>
      <c r="R305" s="114"/>
      <c r="S305" s="114">
        <f t="shared" si="77"/>
        <v>0</v>
      </c>
      <c r="T305" s="114"/>
      <c r="U305" s="114">
        <f t="shared" si="78"/>
        <v>0</v>
      </c>
    </row>
    <row r="306" spans="1:21">
      <c r="A306" s="113">
        <v>45230</v>
      </c>
      <c r="B306" s="114"/>
      <c r="C306" s="114">
        <f t="shared" si="69"/>
        <v>0</v>
      </c>
      <c r="D306" s="114"/>
      <c r="E306" s="114">
        <f t="shared" si="70"/>
        <v>0</v>
      </c>
      <c r="F306" s="114"/>
      <c r="G306" s="114">
        <f t="shared" si="71"/>
        <v>0</v>
      </c>
      <c r="H306" s="114"/>
      <c r="I306" s="114">
        <f t="shared" si="72"/>
        <v>0</v>
      </c>
      <c r="J306" s="114"/>
      <c r="K306" s="114">
        <f t="shared" si="73"/>
        <v>0</v>
      </c>
      <c r="L306" s="114"/>
      <c r="M306" s="114">
        <f t="shared" si="74"/>
        <v>0</v>
      </c>
      <c r="N306" s="114"/>
      <c r="O306" s="114">
        <f t="shared" si="75"/>
        <v>0</v>
      </c>
      <c r="P306" s="114"/>
      <c r="Q306" s="114">
        <f t="shared" si="76"/>
        <v>0</v>
      </c>
      <c r="R306" s="114"/>
      <c r="S306" s="114">
        <f t="shared" si="77"/>
        <v>0</v>
      </c>
      <c r="T306" s="114"/>
      <c r="U306" s="114">
        <f t="shared" si="78"/>
        <v>0</v>
      </c>
    </row>
    <row r="307" spans="1:21">
      <c r="A307" s="113">
        <v>45231</v>
      </c>
      <c r="B307" s="114"/>
      <c r="C307" s="114">
        <f t="shared" si="69"/>
        <v>0</v>
      </c>
      <c r="D307" s="114"/>
      <c r="E307" s="114">
        <f t="shared" si="70"/>
        <v>0</v>
      </c>
      <c r="F307" s="114"/>
      <c r="G307" s="114">
        <f t="shared" si="71"/>
        <v>0</v>
      </c>
      <c r="H307" s="114"/>
      <c r="I307" s="114">
        <f t="shared" si="72"/>
        <v>0</v>
      </c>
      <c r="J307" s="114"/>
      <c r="K307" s="114">
        <f t="shared" si="73"/>
        <v>0</v>
      </c>
      <c r="L307" s="114"/>
      <c r="M307" s="114">
        <f t="shared" si="74"/>
        <v>0</v>
      </c>
      <c r="N307" s="114"/>
      <c r="O307" s="114">
        <f t="shared" si="75"/>
        <v>0</v>
      </c>
      <c r="P307" s="114"/>
      <c r="Q307" s="114">
        <f t="shared" si="76"/>
        <v>0</v>
      </c>
      <c r="R307" s="114"/>
      <c r="S307" s="114">
        <f t="shared" si="77"/>
        <v>0</v>
      </c>
      <c r="T307" s="114"/>
      <c r="U307" s="114">
        <f t="shared" si="78"/>
        <v>0</v>
      </c>
    </row>
    <row r="308" spans="1:21">
      <c r="A308" s="113">
        <v>45232</v>
      </c>
      <c r="B308" s="114"/>
      <c r="C308" s="114">
        <f t="shared" si="69"/>
        <v>0</v>
      </c>
      <c r="D308" s="114"/>
      <c r="E308" s="114">
        <f t="shared" si="70"/>
        <v>0</v>
      </c>
      <c r="F308" s="114"/>
      <c r="G308" s="114">
        <f t="shared" si="71"/>
        <v>0</v>
      </c>
      <c r="H308" s="114"/>
      <c r="I308" s="114">
        <f t="shared" si="72"/>
        <v>0</v>
      </c>
      <c r="J308" s="114"/>
      <c r="K308" s="114">
        <f t="shared" si="73"/>
        <v>0</v>
      </c>
      <c r="L308" s="114"/>
      <c r="M308" s="114">
        <f t="shared" si="74"/>
        <v>0</v>
      </c>
      <c r="N308" s="114"/>
      <c r="O308" s="114">
        <f t="shared" si="75"/>
        <v>0</v>
      </c>
      <c r="P308" s="114"/>
      <c r="Q308" s="114">
        <f t="shared" si="76"/>
        <v>0</v>
      </c>
      <c r="R308" s="114"/>
      <c r="S308" s="114">
        <f t="shared" si="77"/>
        <v>0</v>
      </c>
      <c r="T308" s="114"/>
      <c r="U308" s="114">
        <f t="shared" si="78"/>
        <v>0</v>
      </c>
    </row>
    <row r="309" spans="1:21">
      <c r="A309" s="113">
        <v>45233</v>
      </c>
      <c r="B309" s="114"/>
      <c r="C309" s="114">
        <f t="shared" si="69"/>
        <v>0</v>
      </c>
      <c r="D309" s="114"/>
      <c r="E309" s="114">
        <f t="shared" si="70"/>
        <v>0</v>
      </c>
      <c r="F309" s="114"/>
      <c r="G309" s="114">
        <f t="shared" si="71"/>
        <v>0</v>
      </c>
      <c r="H309" s="114"/>
      <c r="I309" s="114">
        <f t="shared" si="72"/>
        <v>0</v>
      </c>
      <c r="J309" s="114"/>
      <c r="K309" s="114">
        <f t="shared" si="73"/>
        <v>0</v>
      </c>
      <c r="L309" s="114"/>
      <c r="M309" s="114">
        <f t="shared" si="74"/>
        <v>0</v>
      </c>
      <c r="N309" s="114"/>
      <c r="O309" s="114">
        <f t="shared" si="75"/>
        <v>0</v>
      </c>
      <c r="P309" s="114"/>
      <c r="Q309" s="114">
        <f t="shared" si="76"/>
        <v>0</v>
      </c>
      <c r="R309" s="114"/>
      <c r="S309" s="114">
        <f t="shared" si="77"/>
        <v>0</v>
      </c>
      <c r="T309" s="114"/>
      <c r="U309" s="114">
        <f t="shared" si="78"/>
        <v>0</v>
      </c>
    </row>
    <row r="310" spans="1:21">
      <c r="A310" s="113">
        <v>45234</v>
      </c>
      <c r="B310" s="114"/>
      <c r="C310" s="114">
        <f t="shared" si="69"/>
        <v>0</v>
      </c>
      <c r="D310" s="114"/>
      <c r="E310" s="114">
        <f t="shared" si="70"/>
        <v>0</v>
      </c>
      <c r="F310" s="114"/>
      <c r="G310" s="114">
        <f t="shared" si="71"/>
        <v>0</v>
      </c>
      <c r="H310" s="114"/>
      <c r="I310" s="114">
        <f t="shared" si="72"/>
        <v>0</v>
      </c>
      <c r="J310" s="114"/>
      <c r="K310" s="114">
        <f t="shared" si="73"/>
        <v>0</v>
      </c>
      <c r="L310" s="114"/>
      <c r="M310" s="114">
        <f t="shared" si="74"/>
        <v>0</v>
      </c>
      <c r="N310" s="114"/>
      <c r="O310" s="114">
        <f t="shared" si="75"/>
        <v>0</v>
      </c>
      <c r="P310" s="114"/>
      <c r="Q310" s="114">
        <f t="shared" si="76"/>
        <v>0</v>
      </c>
      <c r="R310" s="114"/>
      <c r="S310" s="114">
        <f t="shared" si="77"/>
        <v>0</v>
      </c>
      <c r="T310" s="114"/>
      <c r="U310" s="114">
        <f t="shared" si="78"/>
        <v>0</v>
      </c>
    </row>
    <row r="311" spans="1:21">
      <c r="A311" s="113">
        <v>45235</v>
      </c>
      <c r="B311" s="114"/>
      <c r="C311" s="114">
        <f t="shared" si="69"/>
        <v>0</v>
      </c>
      <c r="D311" s="114"/>
      <c r="E311" s="114">
        <f t="shared" si="70"/>
        <v>0</v>
      </c>
      <c r="F311" s="114"/>
      <c r="G311" s="114">
        <f t="shared" si="71"/>
        <v>0</v>
      </c>
      <c r="H311" s="114"/>
      <c r="I311" s="114">
        <f t="shared" si="72"/>
        <v>0</v>
      </c>
      <c r="J311" s="114"/>
      <c r="K311" s="114">
        <f t="shared" si="73"/>
        <v>0</v>
      </c>
      <c r="L311" s="114"/>
      <c r="M311" s="114">
        <f t="shared" si="74"/>
        <v>0</v>
      </c>
      <c r="N311" s="114"/>
      <c r="O311" s="114">
        <f t="shared" si="75"/>
        <v>0</v>
      </c>
      <c r="P311" s="114"/>
      <c r="Q311" s="114">
        <f t="shared" si="76"/>
        <v>0</v>
      </c>
      <c r="R311" s="114"/>
      <c r="S311" s="114">
        <f t="shared" si="77"/>
        <v>0</v>
      </c>
      <c r="T311" s="114"/>
      <c r="U311" s="114">
        <f t="shared" si="78"/>
        <v>0</v>
      </c>
    </row>
    <row r="312" spans="1:21">
      <c r="A312" s="113">
        <v>45236</v>
      </c>
      <c r="B312" s="114"/>
      <c r="C312" s="114">
        <f t="shared" si="69"/>
        <v>0</v>
      </c>
      <c r="D312" s="114"/>
      <c r="E312" s="114">
        <f t="shared" si="70"/>
        <v>0</v>
      </c>
      <c r="F312" s="114"/>
      <c r="G312" s="114">
        <f t="shared" si="71"/>
        <v>0</v>
      </c>
      <c r="H312" s="114"/>
      <c r="I312" s="114">
        <f t="shared" si="72"/>
        <v>0</v>
      </c>
      <c r="J312" s="114"/>
      <c r="K312" s="114">
        <f t="shared" si="73"/>
        <v>0</v>
      </c>
      <c r="L312" s="114"/>
      <c r="M312" s="114">
        <f t="shared" si="74"/>
        <v>0</v>
      </c>
      <c r="N312" s="114"/>
      <c r="O312" s="114">
        <f t="shared" si="75"/>
        <v>0</v>
      </c>
      <c r="P312" s="114"/>
      <c r="Q312" s="114">
        <f t="shared" si="76"/>
        <v>0</v>
      </c>
      <c r="R312" s="114"/>
      <c r="S312" s="114">
        <f t="shared" si="77"/>
        <v>0</v>
      </c>
      <c r="T312" s="114"/>
      <c r="U312" s="114">
        <f t="shared" si="78"/>
        <v>0</v>
      </c>
    </row>
    <row r="313" spans="1:21">
      <c r="A313" s="113">
        <v>45237</v>
      </c>
      <c r="B313" s="114"/>
      <c r="C313" s="114">
        <f t="shared" si="69"/>
        <v>0</v>
      </c>
      <c r="D313" s="114"/>
      <c r="E313" s="114">
        <f t="shared" si="70"/>
        <v>0</v>
      </c>
      <c r="F313" s="114"/>
      <c r="G313" s="114">
        <f t="shared" si="71"/>
        <v>0</v>
      </c>
      <c r="H313" s="114"/>
      <c r="I313" s="114">
        <f t="shared" si="72"/>
        <v>0</v>
      </c>
      <c r="J313" s="114"/>
      <c r="K313" s="114">
        <f t="shared" si="73"/>
        <v>0</v>
      </c>
      <c r="L313" s="114"/>
      <c r="M313" s="114">
        <f t="shared" si="74"/>
        <v>0</v>
      </c>
      <c r="N313" s="114"/>
      <c r="O313" s="114">
        <f t="shared" si="75"/>
        <v>0</v>
      </c>
      <c r="P313" s="114"/>
      <c r="Q313" s="114">
        <f t="shared" si="76"/>
        <v>0</v>
      </c>
      <c r="R313" s="114"/>
      <c r="S313" s="114">
        <f t="shared" si="77"/>
        <v>0</v>
      </c>
      <c r="T313" s="114"/>
      <c r="U313" s="114">
        <f t="shared" si="78"/>
        <v>0</v>
      </c>
    </row>
    <row r="314" spans="1:21">
      <c r="A314" s="113">
        <v>45238</v>
      </c>
      <c r="B314" s="114"/>
      <c r="C314" s="114">
        <f t="shared" si="69"/>
        <v>0</v>
      </c>
      <c r="D314" s="114"/>
      <c r="E314" s="114">
        <f t="shared" si="70"/>
        <v>0</v>
      </c>
      <c r="F314" s="114"/>
      <c r="G314" s="114">
        <f t="shared" si="71"/>
        <v>0</v>
      </c>
      <c r="H314" s="114"/>
      <c r="I314" s="114">
        <f t="shared" si="72"/>
        <v>0</v>
      </c>
      <c r="J314" s="114"/>
      <c r="K314" s="114">
        <f t="shared" si="73"/>
        <v>0</v>
      </c>
      <c r="L314" s="114"/>
      <c r="M314" s="114">
        <f t="shared" si="74"/>
        <v>0</v>
      </c>
      <c r="N314" s="114"/>
      <c r="O314" s="114">
        <f t="shared" si="75"/>
        <v>0</v>
      </c>
      <c r="P314" s="114"/>
      <c r="Q314" s="114">
        <f t="shared" si="76"/>
        <v>0</v>
      </c>
      <c r="R314" s="114"/>
      <c r="S314" s="114">
        <f t="shared" si="77"/>
        <v>0</v>
      </c>
      <c r="T314" s="114"/>
      <c r="U314" s="114">
        <f t="shared" si="78"/>
        <v>0</v>
      </c>
    </row>
    <row r="315" spans="1:21">
      <c r="A315" s="113">
        <v>45239</v>
      </c>
      <c r="B315" s="114"/>
      <c r="C315" s="114">
        <f t="shared" si="69"/>
        <v>0</v>
      </c>
      <c r="D315" s="114"/>
      <c r="E315" s="114">
        <f t="shared" si="70"/>
        <v>0</v>
      </c>
      <c r="F315" s="114"/>
      <c r="G315" s="114">
        <f t="shared" si="71"/>
        <v>0</v>
      </c>
      <c r="H315" s="114"/>
      <c r="I315" s="114">
        <f t="shared" si="72"/>
        <v>0</v>
      </c>
      <c r="J315" s="114"/>
      <c r="K315" s="114">
        <f t="shared" si="73"/>
        <v>0</v>
      </c>
      <c r="L315" s="114"/>
      <c r="M315" s="114">
        <f t="shared" si="74"/>
        <v>0</v>
      </c>
      <c r="N315" s="114"/>
      <c r="O315" s="114">
        <f t="shared" si="75"/>
        <v>0</v>
      </c>
      <c r="P315" s="114"/>
      <c r="Q315" s="114">
        <f t="shared" si="76"/>
        <v>0</v>
      </c>
      <c r="R315" s="114"/>
      <c r="S315" s="114">
        <f t="shared" si="77"/>
        <v>0</v>
      </c>
      <c r="T315" s="114"/>
      <c r="U315" s="114">
        <f t="shared" si="78"/>
        <v>0</v>
      </c>
    </row>
    <row r="316" spans="1:21">
      <c r="A316" s="113">
        <v>45240</v>
      </c>
      <c r="B316" s="114"/>
      <c r="C316" s="114">
        <f t="shared" si="69"/>
        <v>0</v>
      </c>
      <c r="D316" s="114"/>
      <c r="E316" s="114">
        <f t="shared" si="70"/>
        <v>0</v>
      </c>
      <c r="F316" s="114"/>
      <c r="G316" s="114">
        <f t="shared" si="71"/>
        <v>0</v>
      </c>
      <c r="H316" s="114"/>
      <c r="I316" s="114">
        <f t="shared" si="72"/>
        <v>0</v>
      </c>
      <c r="J316" s="114"/>
      <c r="K316" s="114">
        <f t="shared" si="73"/>
        <v>0</v>
      </c>
      <c r="L316" s="114"/>
      <c r="M316" s="114">
        <f t="shared" si="74"/>
        <v>0</v>
      </c>
      <c r="N316" s="114"/>
      <c r="O316" s="114">
        <f t="shared" si="75"/>
        <v>0</v>
      </c>
      <c r="P316" s="114"/>
      <c r="Q316" s="114">
        <f t="shared" si="76"/>
        <v>0</v>
      </c>
      <c r="R316" s="114"/>
      <c r="S316" s="114">
        <f t="shared" si="77"/>
        <v>0</v>
      </c>
      <c r="T316" s="114"/>
      <c r="U316" s="114">
        <f t="shared" si="78"/>
        <v>0</v>
      </c>
    </row>
    <row r="317" spans="1:21">
      <c r="A317" s="113">
        <v>45241</v>
      </c>
      <c r="B317" s="114"/>
      <c r="C317" s="114">
        <f t="shared" si="69"/>
        <v>0</v>
      </c>
      <c r="D317" s="114"/>
      <c r="E317" s="114">
        <f t="shared" si="70"/>
        <v>0</v>
      </c>
      <c r="F317" s="114"/>
      <c r="G317" s="114">
        <f t="shared" si="71"/>
        <v>0</v>
      </c>
      <c r="H317" s="114"/>
      <c r="I317" s="114">
        <f t="shared" si="72"/>
        <v>0</v>
      </c>
      <c r="J317" s="114"/>
      <c r="K317" s="114">
        <f t="shared" si="73"/>
        <v>0</v>
      </c>
      <c r="L317" s="114"/>
      <c r="M317" s="114">
        <f t="shared" si="74"/>
        <v>0</v>
      </c>
      <c r="N317" s="114"/>
      <c r="O317" s="114">
        <f t="shared" si="75"/>
        <v>0</v>
      </c>
      <c r="P317" s="114"/>
      <c r="Q317" s="114">
        <f t="shared" si="76"/>
        <v>0</v>
      </c>
      <c r="R317" s="114"/>
      <c r="S317" s="114">
        <f t="shared" si="77"/>
        <v>0</v>
      </c>
      <c r="T317" s="114"/>
      <c r="U317" s="114">
        <f t="shared" si="78"/>
        <v>0</v>
      </c>
    </row>
    <row r="318" spans="1:21">
      <c r="A318" s="113">
        <v>45242</v>
      </c>
      <c r="B318" s="114"/>
      <c r="C318" s="114">
        <f t="shared" si="69"/>
        <v>0</v>
      </c>
      <c r="D318" s="114"/>
      <c r="E318" s="114">
        <f t="shared" si="70"/>
        <v>0</v>
      </c>
      <c r="F318" s="114"/>
      <c r="G318" s="114">
        <f t="shared" si="71"/>
        <v>0</v>
      </c>
      <c r="H318" s="114"/>
      <c r="I318" s="114">
        <f t="shared" si="72"/>
        <v>0</v>
      </c>
      <c r="J318" s="114"/>
      <c r="K318" s="114">
        <f t="shared" si="73"/>
        <v>0</v>
      </c>
      <c r="L318" s="114"/>
      <c r="M318" s="114">
        <f t="shared" si="74"/>
        <v>0</v>
      </c>
      <c r="N318" s="114"/>
      <c r="O318" s="114">
        <f t="shared" si="75"/>
        <v>0</v>
      </c>
      <c r="P318" s="114"/>
      <c r="Q318" s="114">
        <f t="shared" si="76"/>
        <v>0</v>
      </c>
      <c r="R318" s="114"/>
      <c r="S318" s="114">
        <f t="shared" si="77"/>
        <v>0</v>
      </c>
      <c r="T318" s="114"/>
      <c r="U318" s="114">
        <f t="shared" si="78"/>
        <v>0</v>
      </c>
    </row>
    <row r="319" spans="1:21">
      <c r="A319" s="113">
        <v>45243</v>
      </c>
      <c r="B319" s="114"/>
      <c r="C319" s="114">
        <f t="shared" si="69"/>
        <v>0</v>
      </c>
      <c r="D319" s="114"/>
      <c r="E319" s="114">
        <f t="shared" si="70"/>
        <v>0</v>
      </c>
      <c r="F319" s="114"/>
      <c r="G319" s="114">
        <f t="shared" si="71"/>
        <v>0</v>
      </c>
      <c r="H319" s="114"/>
      <c r="I319" s="114">
        <f t="shared" si="72"/>
        <v>0</v>
      </c>
      <c r="J319" s="114"/>
      <c r="K319" s="114">
        <f t="shared" si="73"/>
        <v>0</v>
      </c>
      <c r="L319" s="114"/>
      <c r="M319" s="114">
        <f t="shared" si="74"/>
        <v>0</v>
      </c>
      <c r="N319" s="114"/>
      <c r="O319" s="114">
        <f t="shared" si="75"/>
        <v>0</v>
      </c>
      <c r="P319" s="114"/>
      <c r="Q319" s="114">
        <f t="shared" si="76"/>
        <v>0</v>
      </c>
      <c r="R319" s="114"/>
      <c r="S319" s="114">
        <f t="shared" si="77"/>
        <v>0</v>
      </c>
      <c r="T319" s="114"/>
      <c r="U319" s="114">
        <f t="shared" si="78"/>
        <v>0</v>
      </c>
    </row>
    <row r="320" spans="1:21">
      <c r="A320" s="113">
        <v>45244</v>
      </c>
      <c r="B320" s="114"/>
      <c r="C320" s="114">
        <f t="shared" si="69"/>
        <v>0</v>
      </c>
      <c r="D320" s="114"/>
      <c r="E320" s="114">
        <f t="shared" si="70"/>
        <v>0</v>
      </c>
      <c r="F320" s="114"/>
      <c r="G320" s="114">
        <f t="shared" si="71"/>
        <v>0</v>
      </c>
      <c r="H320" s="114"/>
      <c r="I320" s="114">
        <f t="shared" si="72"/>
        <v>0</v>
      </c>
      <c r="J320" s="114"/>
      <c r="K320" s="114">
        <f t="shared" si="73"/>
        <v>0</v>
      </c>
      <c r="L320" s="114"/>
      <c r="M320" s="114">
        <f t="shared" si="74"/>
        <v>0</v>
      </c>
      <c r="N320" s="114"/>
      <c r="O320" s="114">
        <f t="shared" si="75"/>
        <v>0</v>
      </c>
      <c r="P320" s="114"/>
      <c r="Q320" s="114">
        <f t="shared" si="76"/>
        <v>0</v>
      </c>
      <c r="R320" s="114"/>
      <c r="S320" s="114">
        <f t="shared" si="77"/>
        <v>0</v>
      </c>
      <c r="T320" s="114"/>
      <c r="U320" s="114">
        <f t="shared" si="78"/>
        <v>0</v>
      </c>
    </row>
    <row r="321" spans="1:21">
      <c r="A321" s="113">
        <v>45245</v>
      </c>
      <c r="B321" s="114"/>
      <c r="C321" s="114">
        <f t="shared" si="69"/>
        <v>0</v>
      </c>
      <c r="D321" s="114"/>
      <c r="E321" s="114">
        <f t="shared" si="70"/>
        <v>0</v>
      </c>
      <c r="F321" s="114"/>
      <c r="G321" s="114">
        <f t="shared" si="71"/>
        <v>0</v>
      </c>
      <c r="H321" s="114"/>
      <c r="I321" s="114">
        <f t="shared" si="72"/>
        <v>0</v>
      </c>
      <c r="J321" s="114"/>
      <c r="K321" s="114">
        <f t="shared" si="73"/>
        <v>0</v>
      </c>
      <c r="L321" s="114"/>
      <c r="M321" s="114">
        <f t="shared" si="74"/>
        <v>0</v>
      </c>
      <c r="N321" s="114"/>
      <c r="O321" s="114">
        <f t="shared" si="75"/>
        <v>0</v>
      </c>
      <c r="P321" s="114"/>
      <c r="Q321" s="114">
        <f t="shared" si="76"/>
        <v>0</v>
      </c>
      <c r="R321" s="114"/>
      <c r="S321" s="114">
        <f t="shared" si="77"/>
        <v>0</v>
      </c>
      <c r="T321" s="114"/>
      <c r="U321" s="114">
        <f t="shared" si="78"/>
        <v>0</v>
      </c>
    </row>
    <row r="322" spans="1:21">
      <c r="A322" s="113">
        <v>45246</v>
      </c>
      <c r="B322" s="114"/>
      <c r="C322" s="114">
        <f t="shared" si="69"/>
        <v>0</v>
      </c>
      <c r="D322" s="114"/>
      <c r="E322" s="114">
        <f t="shared" si="70"/>
        <v>0</v>
      </c>
      <c r="F322" s="114"/>
      <c r="G322" s="114">
        <f t="shared" si="71"/>
        <v>0</v>
      </c>
      <c r="H322" s="114"/>
      <c r="I322" s="114">
        <f t="shared" si="72"/>
        <v>0</v>
      </c>
      <c r="J322" s="114"/>
      <c r="K322" s="114">
        <f t="shared" si="73"/>
        <v>0</v>
      </c>
      <c r="L322" s="114"/>
      <c r="M322" s="114">
        <f t="shared" si="74"/>
        <v>0</v>
      </c>
      <c r="N322" s="114"/>
      <c r="O322" s="114">
        <f t="shared" si="75"/>
        <v>0</v>
      </c>
      <c r="P322" s="114"/>
      <c r="Q322" s="114">
        <f t="shared" si="76"/>
        <v>0</v>
      </c>
      <c r="R322" s="114"/>
      <c r="S322" s="114">
        <f t="shared" si="77"/>
        <v>0</v>
      </c>
      <c r="T322" s="114"/>
      <c r="U322" s="114">
        <f t="shared" si="78"/>
        <v>0</v>
      </c>
    </row>
    <row r="323" spans="1:21">
      <c r="A323" s="113">
        <v>45247</v>
      </c>
      <c r="B323" s="114"/>
      <c r="C323" s="114">
        <f t="shared" si="69"/>
        <v>0</v>
      </c>
      <c r="D323" s="114"/>
      <c r="E323" s="114">
        <f t="shared" si="70"/>
        <v>0</v>
      </c>
      <c r="F323" s="114"/>
      <c r="G323" s="114">
        <f t="shared" si="71"/>
        <v>0</v>
      </c>
      <c r="H323" s="114"/>
      <c r="I323" s="114">
        <f t="shared" si="72"/>
        <v>0</v>
      </c>
      <c r="J323" s="114"/>
      <c r="K323" s="114">
        <f t="shared" si="73"/>
        <v>0</v>
      </c>
      <c r="L323" s="114"/>
      <c r="M323" s="114">
        <f t="shared" si="74"/>
        <v>0</v>
      </c>
      <c r="N323" s="114"/>
      <c r="O323" s="114">
        <f t="shared" si="75"/>
        <v>0</v>
      </c>
      <c r="P323" s="114"/>
      <c r="Q323" s="114">
        <f t="shared" si="76"/>
        <v>0</v>
      </c>
      <c r="R323" s="114"/>
      <c r="S323" s="114">
        <f t="shared" si="77"/>
        <v>0</v>
      </c>
      <c r="T323" s="114"/>
      <c r="U323" s="114">
        <f t="shared" si="78"/>
        <v>0</v>
      </c>
    </row>
    <row r="324" spans="1:21">
      <c r="A324" s="113">
        <v>45248</v>
      </c>
      <c r="B324" s="114"/>
      <c r="C324" s="114">
        <f t="shared" ref="C324:C367" si="79">IF(B324&gt;B323,B324-B323,0)</f>
        <v>0</v>
      </c>
      <c r="D324" s="114"/>
      <c r="E324" s="114">
        <f t="shared" ref="E324:E367" si="80">IF(D324&gt;D323,D324-D323,0)</f>
        <v>0</v>
      </c>
      <c r="F324" s="114"/>
      <c r="G324" s="114">
        <f t="shared" ref="G324:G367" si="81">IF(F324&gt;F323,F324-F323,0)</f>
        <v>0</v>
      </c>
      <c r="H324" s="114"/>
      <c r="I324" s="114">
        <f t="shared" ref="I324:I367" si="82">IF(H324&gt;H323,H324-H323,0)</f>
        <v>0</v>
      </c>
      <c r="J324" s="114"/>
      <c r="K324" s="114">
        <f t="shared" ref="K324:K367" si="83">IF(J324&gt;J323,J324-J323,0)</f>
        <v>0</v>
      </c>
      <c r="L324" s="114"/>
      <c r="M324" s="114">
        <f t="shared" ref="M324:M367" si="84">IF(L324&gt;L323,L324-L323,0)</f>
        <v>0</v>
      </c>
      <c r="N324" s="114"/>
      <c r="O324" s="114">
        <f t="shared" ref="O324:O367" si="85">IF(N324&gt;N323,N324-N323,0)</f>
        <v>0</v>
      </c>
      <c r="P324" s="114"/>
      <c r="Q324" s="114">
        <f t="shared" ref="Q324:Q367" si="86">IF(P324&gt;P323,P324-P323,0)</f>
        <v>0</v>
      </c>
      <c r="R324" s="114"/>
      <c r="S324" s="114">
        <f t="shared" ref="S324:S367" si="87">IF(R324&gt;R323,R324-R323,0)</f>
        <v>0</v>
      </c>
      <c r="T324" s="114"/>
      <c r="U324" s="114">
        <f t="shared" ref="U324:U367" si="88">IF(T324&gt;T323,T324-T323,0)</f>
        <v>0</v>
      </c>
    </row>
    <row r="325" spans="1:21">
      <c r="A325" s="113">
        <v>45249</v>
      </c>
      <c r="B325" s="114"/>
      <c r="C325" s="114">
        <f t="shared" si="79"/>
        <v>0</v>
      </c>
      <c r="D325" s="114"/>
      <c r="E325" s="114">
        <f t="shared" si="80"/>
        <v>0</v>
      </c>
      <c r="F325" s="114"/>
      <c r="G325" s="114">
        <f t="shared" si="81"/>
        <v>0</v>
      </c>
      <c r="H325" s="114"/>
      <c r="I325" s="114">
        <f t="shared" si="82"/>
        <v>0</v>
      </c>
      <c r="J325" s="114"/>
      <c r="K325" s="114">
        <f t="shared" si="83"/>
        <v>0</v>
      </c>
      <c r="L325" s="114"/>
      <c r="M325" s="114">
        <f t="shared" si="84"/>
        <v>0</v>
      </c>
      <c r="N325" s="114"/>
      <c r="O325" s="114">
        <f t="shared" si="85"/>
        <v>0</v>
      </c>
      <c r="P325" s="114"/>
      <c r="Q325" s="114">
        <f t="shared" si="86"/>
        <v>0</v>
      </c>
      <c r="R325" s="114"/>
      <c r="S325" s="114">
        <f t="shared" si="87"/>
        <v>0</v>
      </c>
      <c r="T325" s="114"/>
      <c r="U325" s="114">
        <f t="shared" si="88"/>
        <v>0</v>
      </c>
    </row>
    <row r="326" spans="1:21">
      <c r="A326" s="113">
        <v>45250</v>
      </c>
      <c r="B326" s="114"/>
      <c r="C326" s="114">
        <f t="shared" si="79"/>
        <v>0</v>
      </c>
      <c r="D326" s="114"/>
      <c r="E326" s="114">
        <f t="shared" si="80"/>
        <v>0</v>
      </c>
      <c r="F326" s="114"/>
      <c r="G326" s="114">
        <f t="shared" si="81"/>
        <v>0</v>
      </c>
      <c r="H326" s="114"/>
      <c r="I326" s="114">
        <f t="shared" si="82"/>
        <v>0</v>
      </c>
      <c r="J326" s="114"/>
      <c r="K326" s="114">
        <f t="shared" si="83"/>
        <v>0</v>
      </c>
      <c r="L326" s="114"/>
      <c r="M326" s="114">
        <f t="shared" si="84"/>
        <v>0</v>
      </c>
      <c r="N326" s="114"/>
      <c r="O326" s="114">
        <f t="shared" si="85"/>
        <v>0</v>
      </c>
      <c r="P326" s="114"/>
      <c r="Q326" s="114">
        <f t="shared" si="86"/>
        <v>0</v>
      </c>
      <c r="R326" s="114"/>
      <c r="S326" s="114">
        <f t="shared" si="87"/>
        <v>0</v>
      </c>
      <c r="T326" s="114"/>
      <c r="U326" s="114">
        <f t="shared" si="88"/>
        <v>0</v>
      </c>
    </row>
    <row r="327" spans="1:21">
      <c r="A327" s="113">
        <v>45251</v>
      </c>
      <c r="B327" s="114"/>
      <c r="C327" s="114">
        <f t="shared" si="79"/>
        <v>0</v>
      </c>
      <c r="D327" s="114"/>
      <c r="E327" s="114">
        <f t="shared" si="80"/>
        <v>0</v>
      </c>
      <c r="F327" s="114"/>
      <c r="G327" s="114">
        <f t="shared" si="81"/>
        <v>0</v>
      </c>
      <c r="H327" s="114"/>
      <c r="I327" s="114">
        <f t="shared" si="82"/>
        <v>0</v>
      </c>
      <c r="J327" s="114"/>
      <c r="K327" s="114">
        <f t="shared" si="83"/>
        <v>0</v>
      </c>
      <c r="L327" s="114"/>
      <c r="M327" s="114">
        <f t="shared" si="84"/>
        <v>0</v>
      </c>
      <c r="N327" s="114"/>
      <c r="O327" s="114">
        <f t="shared" si="85"/>
        <v>0</v>
      </c>
      <c r="P327" s="114"/>
      <c r="Q327" s="114">
        <f t="shared" si="86"/>
        <v>0</v>
      </c>
      <c r="R327" s="114"/>
      <c r="S327" s="114">
        <f t="shared" si="87"/>
        <v>0</v>
      </c>
      <c r="T327" s="114"/>
      <c r="U327" s="114">
        <f t="shared" si="88"/>
        <v>0</v>
      </c>
    </row>
    <row r="328" spans="1:21">
      <c r="A328" s="113">
        <v>45252</v>
      </c>
      <c r="B328" s="114"/>
      <c r="C328" s="114">
        <f t="shared" si="79"/>
        <v>0</v>
      </c>
      <c r="D328" s="114"/>
      <c r="E328" s="114">
        <f t="shared" si="80"/>
        <v>0</v>
      </c>
      <c r="F328" s="114"/>
      <c r="G328" s="114">
        <f t="shared" si="81"/>
        <v>0</v>
      </c>
      <c r="H328" s="114"/>
      <c r="I328" s="114">
        <f t="shared" si="82"/>
        <v>0</v>
      </c>
      <c r="J328" s="114"/>
      <c r="K328" s="114">
        <f t="shared" si="83"/>
        <v>0</v>
      </c>
      <c r="L328" s="114"/>
      <c r="M328" s="114">
        <f t="shared" si="84"/>
        <v>0</v>
      </c>
      <c r="N328" s="114"/>
      <c r="O328" s="114">
        <f t="shared" si="85"/>
        <v>0</v>
      </c>
      <c r="P328" s="114"/>
      <c r="Q328" s="114">
        <f t="shared" si="86"/>
        <v>0</v>
      </c>
      <c r="R328" s="114"/>
      <c r="S328" s="114">
        <f t="shared" si="87"/>
        <v>0</v>
      </c>
      <c r="T328" s="114"/>
      <c r="U328" s="114">
        <f t="shared" si="88"/>
        <v>0</v>
      </c>
    </row>
    <row r="329" spans="1:21">
      <c r="A329" s="113">
        <v>45253</v>
      </c>
      <c r="B329" s="114"/>
      <c r="C329" s="114">
        <f t="shared" si="79"/>
        <v>0</v>
      </c>
      <c r="D329" s="114"/>
      <c r="E329" s="114">
        <f t="shared" si="80"/>
        <v>0</v>
      </c>
      <c r="F329" s="114"/>
      <c r="G329" s="114">
        <f t="shared" si="81"/>
        <v>0</v>
      </c>
      <c r="H329" s="114"/>
      <c r="I329" s="114">
        <f t="shared" si="82"/>
        <v>0</v>
      </c>
      <c r="J329" s="114"/>
      <c r="K329" s="114">
        <f t="shared" si="83"/>
        <v>0</v>
      </c>
      <c r="L329" s="114"/>
      <c r="M329" s="114">
        <f t="shared" si="84"/>
        <v>0</v>
      </c>
      <c r="N329" s="114"/>
      <c r="O329" s="114">
        <f t="shared" si="85"/>
        <v>0</v>
      </c>
      <c r="P329" s="114"/>
      <c r="Q329" s="114">
        <f t="shared" si="86"/>
        <v>0</v>
      </c>
      <c r="R329" s="114"/>
      <c r="S329" s="114">
        <f t="shared" si="87"/>
        <v>0</v>
      </c>
      <c r="T329" s="114"/>
      <c r="U329" s="114">
        <f t="shared" si="88"/>
        <v>0</v>
      </c>
    </row>
    <row r="330" spans="1:21">
      <c r="A330" s="113">
        <v>45254</v>
      </c>
      <c r="B330" s="114"/>
      <c r="C330" s="114">
        <f t="shared" si="79"/>
        <v>0</v>
      </c>
      <c r="D330" s="114"/>
      <c r="E330" s="114">
        <f t="shared" si="80"/>
        <v>0</v>
      </c>
      <c r="F330" s="114"/>
      <c r="G330" s="114">
        <f t="shared" si="81"/>
        <v>0</v>
      </c>
      <c r="H330" s="114"/>
      <c r="I330" s="114">
        <f t="shared" si="82"/>
        <v>0</v>
      </c>
      <c r="J330" s="114"/>
      <c r="K330" s="114">
        <f t="shared" si="83"/>
        <v>0</v>
      </c>
      <c r="L330" s="114"/>
      <c r="M330" s="114">
        <f t="shared" si="84"/>
        <v>0</v>
      </c>
      <c r="N330" s="114"/>
      <c r="O330" s="114">
        <f t="shared" si="85"/>
        <v>0</v>
      </c>
      <c r="P330" s="114"/>
      <c r="Q330" s="114">
        <f t="shared" si="86"/>
        <v>0</v>
      </c>
      <c r="R330" s="114"/>
      <c r="S330" s="114">
        <f t="shared" si="87"/>
        <v>0</v>
      </c>
      <c r="T330" s="114"/>
      <c r="U330" s="114">
        <f t="shared" si="88"/>
        <v>0</v>
      </c>
    </row>
    <row r="331" spans="1:21">
      <c r="A331" s="113">
        <v>45255</v>
      </c>
      <c r="B331" s="114"/>
      <c r="C331" s="114">
        <f t="shared" si="79"/>
        <v>0</v>
      </c>
      <c r="D331" s="114"/>
      <c r="E331" s="114">
        <f t="shared" si="80"/>
        <v>0</v>
      </c>
      <c r="F331" s="114"/>
      <c r="G331" s="114">
        <f t="shared" si="81"/>
        <v>0</v>
      </c>
      <c r="H331" s="114"/>
      <c r="I331" s="114">
        <f t="shared" si="82"/>
        <v>0</v>
      </c>
      <c r="J331" s="114"/>
      <c r="K331" s="114">
        <f t="shared" si="83"/>
        <v>0</v>
      </c>
      <c r="L331" s="114"/>
      <c r="M331" s="114">
        <f t="shared" si="84"/>
        <v>0</v>
      </c>
      <c r="N331" s="114"/>
      <c r="O331" s="114">
        <f t="shared" si="85"/>
        <v>0</v>
      </c>
      <c r="P331" s="114"/>
      <c r="Q331" s="114">
        <f t="shared" si="86"/>
        <v>0</v>
      </c>
      <c r="R331" s="114"/>
      <c r="S331" s="114">
        <f t="shared" si="87"/>
        <v>0</v>
      </c>
      <c r="T331" s="114"/>
      <c r="U331" s="114">
        <f t="shared" si="88"/>
        <v>0</v>
      </c>
    </row>
    <row r="332" spans="1:21">
      <c r="A332" s="113">
        <v>45256</v>
      </c>
      <c r="B332" s="114"/>
      <c r="C332" s="114">
        <f t="shared" si="79"/>
        <v>0</v>
      </c>
      <c r="D332" s="114"/>
      <c r="E332" s="114">
        <f t="shared" si="80"/>
        <v>0</v>
      </c>
      <c r="F332" s="114"/>
      <c r="G332" s="114">
        <f t="shared" si="81"/>
        <v>0</v>
      </c>
      <c r="H332" s="114"/>
      <c r="I332" s="114">
        <f t="shared" si="82"/>
        <v>0</v>
      </c>
      <c r="J332" s="114"/>
      <c r="K332" s="114">
        <f t="shared" si="83"/>
        <v>0</v>
      </c>
      <c r="L332" s="114"/>
      <c r="M332" s="114">
        <f t="shared" si="84"/>
        <v>0</v>
      </c>
      <c r="N332" s="114"/>
      <c r="O332" s="114">
        <f t="shared" si="85"/>
        <v>0</v>
      </c>
      <c r="P332" s="114"/>
      <c r="Q332" s="114">
        <f t="shared" si="86"/>
        <v>0</v>
      </c>
      <c r="R332" s="114"/>
      <c r="S332" s="114">
        <f t="shared" si="87"/>
        <v>0</v>
      </c>
      <c r="T332" s="114"/>
      <c r="U332" s="114">
        <f t="shared" si="88"/>
        <v>0</v>
      </c>
    </row>
    <row r="333" spans="1:21">
      <c r="A333" s="113">
        <v>45257</v>
      </c>
      <c r="B333" s="114"/>
      <c r="C333" s="114">
        <f t="shared" si="79"/>
        <v>0</v>
      </c>
      <c r="D333" s="114"/>
      <c r="E333" s="114">
        <f t="shared" si="80"/>
        <v>0</v>
      </c>
      <c r="F333" s="114"/>
      <c r="G333" s="114">
        <f t="shared" si="81"/>
        <v>0</v>
      </c>
      <c r="H333" s="114"/>
      <c r="I333" s="114">
        <f t="shared" si="82"/>
        <v>0</v>
      </c>
      <c r="J333" s="114"/>
      <c r="K333" s="114">
        <f t="shared" si="83"/>
        <v>0</v>
      </c>
      <c r="L333" s="114"/>
      <c r="M333" s="114">
        <f t="shared" si="84"/>
        <v>0</v>
      </c>
      <c r="N333" s="114"/>
      <c r="O333" s="114">
        <f t="shared" si="85"/>
        <v>0</v>
      </c>
      <c r="P333" s="114"/>
      <c r="Q333" s="114">
        <f t="shared" si="86"/>
        <v>0</v>
      </c>
      <c r="R333" s="114"/>
      <c r="S333" s="114">
        <f t="shared" si="87"/>
        <v>0</v>
      </c>
      <c r="T333" s="114"/>
      <c r="U333" s="114">
        <f t="shared" si="88"/>
        <v>0</v>
      </c>
    </row>
    <row r="334" spans="1:21">
      <c r="A334" s="113">
        <v>45258</v>
      </c>
      <c r="B334" s="114"/>
      <c r="C334" s="114">
        <f t="shared" si="79"/>
        <v>0</v>
      </c>
      <c r="D334" s="114"/>
      <c r="E334" s="114">
        <f t="shared" si="80"/>
        <v>0</v>
      </c>
      <c r="F334" s="114"/>
      <c r="G334" s="114">
        <f t="shared" si="81"/>
        <v>0</v>
      </c>
      <c r="H334" s="114"/>
      <c r="I334" s="114">
        <f t="shared" si="82"/>
        <v>0</v>
      </c>
      <c r="J334" s="114"/>
      <c r="K334" s="114">
        <f t="shared" si="83"/>
        <v>0</v>
      </c>
      <c r="L334" s="114"/>
      <c r="M334" s="114">
        <f t="shared" si="84"/>
        <v>0</v>
      </c>
      <c r="N334" s="114"/>
      <c r="O334" s="114">
        <f t="shared" si="85"/>
        <v>0</v>
      </c>
      <c r="P334" s="114"/>
      <c r="Q334" s="114">
        <f t="shared" si="86"/>
        <v>0</v>
      </c>
      <c r="R334" s="114"/>
      <c r="S334" s="114">
        <f t="shared" si="87"/>
        <v>0</v>
      </c>
      <c r="T334" s="114"/>
      <c r="U334" s="114">
        <f t="shared" si="88"/>
        <v>0</v>
      </c>
    </row>
    <row r="335" spans="1:21">
      <c r="A335" s="113">
        <v>45259</v>
      </c>
      <c r="B335" s="114"/>
      <c r="C335" s="114">
        <f t="shared" si="79"/>
        <v>0</v>
      </c>
      <c r="D335" s="114"/>
      <c r="E335" s="114">
        <f t="shared" si="80"/>
        <v>0</v>
      </c>
      <c r="F335" s="114"/>
      <c r="G335" s="114">
        <f t="shared" si="81"/>
        <v>0</v>
      </c>
      <c r="H335" s="114"/>
      <c r="I335" s="114">
        <f t="shared" si="82"/>
        <v>0</v>
      </c>
      <c r="J335" s="114"/>
      <c r="K335" s="114">
        <f t="shared" si="83"/>
        <v>0</v>
      </c>
      <c r="L335" s="114"/>
      <c r="M335" s="114">
        <f t="shared" si="84"/>
        <v>0</v>
      </c>
      <c r="N335" s="114"/>
      <c r="O335" s="114">
        <f t="shared" si="85"/>
        <v>0</v>
      </c>
      <c r="P335" s="114"/>
      <c r="Q335" s="114">
        <f t="shared" si="86"/>
        <v>0</v>
      </c>
      <c r="R335" s="114"/>
      <c r="S335" s="114">
        <f t="shared" si="87"/>
        <v>0</v>
      </c>
      <c r="T335" s="114"/>
      <c r="U335" s="114">
        <f t="shared" si="88"/>
        <v>0</v>
      </c>
    </row>
    <row r="336" spans="1:21">
      <c r="A336" s="113">
        <v>45260</v>
      </c>
      <c r="B336" s="114"/>
      <c r="C336" s="114">
        <f t="shared" si="79"/>
        <v>0</v>
      </c>
      <c r="D336" s="114"/>
      <c r="E336" s="114">
        <f t="shared" si="80"/>
        <v>0</v>
      </c>
      <c r="F336" s="114"/>
      <c r="G336" s="114">
        <f t="shared" si="81"/>
        <v>0</v>
      </c>
      <c r="H336" s="114"/>
      <c r="I336" s="114">
        <f t="shared" si="82"/>
        <v>0</v>
      </c>
      <c r="J336" s="114"/>
      <c r="K336" s="114">
        <f t="shared" si="83"/>
        <v>0</v>
      </c>
      <c r="L336" s="114"/>
      <c r="M336" s="114">
        <f t="shared" si="84"/>
        <v>0</v>
      </c>
      <c r="N336" s="114"/>
      <c r="O336" s="114">
        <f t="shared" si="85"/>
        <v>0</v>
      </c>
      <c r="P336" s="114"/>
      <c r="Q336" s="114">
        <f t="shared" si="86"/>
        <v>0</v>
      </c>
      <c r="R336" s="114"/>
      <c r="S336" s="114">
        <f t="shared" si="87"/>
        <v>0</v>
      </c>
      <c r="T336" s="114"/>
      <c r="U336" s="114">
        <f t="shared" si="88"/>
        <v>0</v>
      </c>
    </row>
    <row r="337" spans="1:21">
      <c r="A337" s="113">
        <v>45261</v>
      </c>
      <c r="B337" s="114"/>
      <c r="C337" s="114">
        <f t="shared" si="79"/>
        <v>0</v>
      </c>
      <c r="D337" s="114"/>
      <c r="E337" s="114">
        <f t="shared" si="80"/>
        <v>0</v>
      </c>
      <c r="F337" s="114"/>
      <c r="G337" s="114">
        <f t="shared" si="81"/>
        <v>0</v>
      </c>
      <c r="H337" s="114"/>
      <c r="I337" s="114">
        <f t="shared" si="82"/>
        <v>0</v>
      </c>
      <c r="J337" s="114"/>
      <c r="K337" s="114">
        <f t="shared" si="83"/>
        <v>0</v>
      </c>
      <c r="L337" s="114"/>
      <c r="M337" s="114">
        <f t="shared" si="84"/>
        <v>0</v>
      </c>
      <c r="N337" s="114"/>
      <c r="O337" s="114">
        <f t="shared" si="85"/>
        <v>0</v>
      </c>
      <c r="P337" s="114"/>
      <c r="Q337" s="114">
        <f t="shared" si="86"/>
        <v>0</v>
      </c>
      <c r="R337" s="114"/>
      <c r="S337" s="114">
        <f t="shared" si="87"/>
        <v>0</v>
      </c>
      <c r="T337" s="114"/>
      <c r="U337" s="114">
        <f t="shared" si="88"/>
        <v>0</v>
      </c>
    </row>
    <row r="338" spans="1:21">
      <c r="A338" s="113">
        <v>45262</v>
      </c>
      <c r="B338" s="114"/>
      <c r="C338" s="114">
        <f t="shared" si="79"/>
        <v>0</v>
      </c>
      <c r="D338" s="114"/>
      <c r="E338" s="114">
        <f t="shared" si="80"/>
        <v>0</v>
      </c>
      <c r="F338" s="114"/>
      <c r="G338" s="114">
        <f t="shared" si="81"/>
        <v>0</v>
      </c>
      <c r="H338" s="114"/>
      <c r="I338" s="114">
        <f t="shared" si="82"/>
        <v>0</v>
      </c>
      <c r="J338" s="114"/>
      <c r="K338" s="114">
        <f t="shared" si="83"/>
        <v>0</v>
      </c>
      <c r="L338" s="114"/>
      <c r="M338" s="114">
        <f t="shared" si="84"/>
        <v>0</v>
      </c>
      <c r="N338" s="114"/>
      <c r="O338" s="114">
        <f t="shared" si="85"/>
        <v>0</v>
      </c>
      <c r="P338" s="114"/>
      <c r="Q338" s="114">
        <f t="shared" si="86"/>
        <v>0</v>
      </c>
      <c r="R338" s="114"/>
      <c r="S338" s="114">
        <f t="shared" si="87"/>
        <v>0</v>
      </c>
      <c r="T338" s="114"/>
      <c r="U338" s="114">
        <f t="shared" si="88"/>
        <v>0</v>
      </c>
    </row>
    <row r="339" spans="1:21">
      <c r="A339" s="113">
        <v>45263</v>
      </c>
      <c r="B339" s="114"/>
      <c r="C339" s="114">
        <f t="shared" si="79"/>
        <v>0</v>
      </c>
      <c r="D339" s="114"/>
      <c r="E339" s="114">
        <f t="shared" si="80"/>
        <v>0</v>
      </c>
      <c r="F339" s="114"/>
      <c r="G339" s="114">
        <f t="shared" si="81"/>
        <v>0</v>
      </c>
      <c r="H339" s="114"/>
      <c r="I339" s="114">
        <f t="shared" si="82"/>
        <v>0</v>
      </c>
      <c r="J339" s="114"/>
      <c r="K339" s="114">
        <f t="shared" si="83"/>
        <v>0</v>
      </c>
      <c r="L339" s="114"/>
      <c r="M339" s="114">
        <f t="shared" si="84"/>
        <v>0</v>
      </c>
      <c r="N339" s="114"/>
      <c r="O339" s="114">
        <f t="shared" si="85"/>
        <v>0</v>
      </c>
      <c r="P339" s="114"/>
      <c r="Q339" s="114">
        <f t="shared" si="86"/>
        <v>0</v>
      </c>
      <c r="R339" s="114"/>
      <c r="S339" s="114">
        <f t="shared" si="87"/>
        <v>0</v>
      </c>
      <c r="T339" s="114"/>
      <c r="U339" s="114">
        <f t="shared" si="88"/>
        <v>0</v>
      </c>
    </row>
    <row r="340" spans="1:21">
      <c r="A340" s="113">
        <v>45264</v>
      </c>
      <c r="B340" s="114"/>
      <c r="C340" s="114">
        <f t="shared" si="79"/>
        <v>0</v>
      </c>
      <c r="D340" s="114"/>
      <c r="E340" s="114">
        <f t="shared" si="80"/>
        <v>0</v>
      </c>
      <c r="F340" s="114"/>
      <c r="G340" s="114">
        <f t="shared" si="81"/>
        <v>0</v>
      </c>
      <c r="H340" s="114"/>
      <c r="I340" s="114">
        <f t="shared" si="82"/>
        <v>0</v>
      </c>
      <c r="J340" s="114"/>
      <c r="K340" s="114">
        <f t="shared" si="83"/>
        <v>0</v>
      </c>
      <c r="L340" s="114"/>
      <c r="M340" s="114">
        <f t="shared" si="84"/>
        <v>0</v>
      </c>
      <c r="N340" s="114"/>
      <c r="O340" s="114">
        <f t="shared" si="85"/>
        <v>0</v>
      </c>
      <c r="P340" s="114"/>
      <c r="Q340" s="114">
        <f t="shared" si="86"/>
        <v>0</v>
      </c>
      <c r="R340" s="114"/>
      <c r="S340" s="114">
        <f t="shared" si="87"/>
        <v>0</v>
      </c>
      <c r="T340" s="114"/>
      <c r="U340" s="114">
        <f t="shared" si="88"/>
        <v>0</v>
      </c>
    </row>
    <row r="341" spans="1:21">
      <c r="A341" s="113">
        <v>45265</v>
      </c>
      <c r="B341" s="114"/>
      <c r="C341" s="114">
        <f t="shared" si="79"/>
        <v>0</v>
      </c>
      <c r="D341" s="114"/>
      <c r="E341" s="114">
        <f t="shared" si="80"/>
        <v>0</v>
      </c>
      <c r="F341" s="114"/>
      <c r="G341" s="114">
        <f t="shared" si="81"/>
        <v>0</v>
      </c>
      <c r="H341" s="114"/>
      <c r="I341" s="114">
        <f t="shared" si="82"/>
        <v>0</v>
      </c>
      <c r="J341" s="114"/>
      <c r="K341" s="114">
        <f t="shared" si="83"/>
        <v>0</v>
      </c>
      <c r="L341" s="114"/>
      <c r="M341" s="114">
        <f t="shared" si="84"/>
        <v>0</v>
      </c>
      <c r="N341" s="114"/>
      <c r="O341" s="114">
        <f t="shared" si="85"/>
        <v>0</v>
      </c>
      <c r="P341" s="114"/>
      <c r="Q341" s="114">
        <f t="shared" si="86"/>
        <v>0</v>
      </c>
      <c r="R341" s="114"/>
      <c r="S341" s="114">
        <f t="shared" si="87"/>
        <v>0</v>
      </c>
      <c r="T341" s="114"/>
      <c r="U341" s="114">
        <f t="shared" si="88"/>
        <v>0</v>
      </c>
    </row>
    <row r="342" spans="1:21">
      <c r="A342" s="113">
        <v>45266</v>
      </c>
      <c r="B342" s="114"/>
      <c r="C342" s="114">
        <f t="shared" si="79"/>
        <v>0</v>
      </c>
      <c r="D342" s="114"/>
      <c r="E342" s="114">
        <f t="shared" si="80"/>
        <v>0</v>
      </c>
      <c r="F342" s="114"/>
      <c r="G342" s="114">
        <f t="shared" si="81"/>
        <v>0</v>
      </c>
      <c r="H342" s="114"/>
      <c r="I342" s="114">
        <f t="shared" si="82"/>
        <v>0</v>
      </c>
      <c r="J342" s="114"/>
      <c r="K342" s="114">
        <f t="shared" si="83"/>
        <v>0</v>
      </c>
      <c r="L342" s="114"/>
      <c r="M342" s="114">
        <f t="shared" si="84"/>
        <v>0</v>
      </c>
      <c r="N342" s="114"/>
      <c r="O342" s="114">
        <f t="shared" si="85"/>
        <v>0</v>
      </c>
      <c r="P342" s="114"/>
      <c r="Q342" s="114">
        <f t="shared" si="86"/>
        <v>0</v>
      </c>
      <c r="R342" s="114"/>
      <c r="S342" s="114">
        <f t="shared" si="87"/>
        <v>0</v>
      </c>
      <c r="T342" s="114"/>
      <c r="U342" s="114">
        <f t="shared" si="88"/>
        <v>0</v>
      </c>
    </row>
    <row r="343" spans="1:21">
      <c r="A343" s="113">
        <v>45267</v>
      </c>
      <c r="B343" s="114"/>
      <c r="C343" s="114">
        <f t="shared" si="79"/>
        <v>0</v>
      </c>
      <c r="D343" s="114"/>
      <c r="E343" s="114">
        <f t="shared" si="80"/>
        <v>0</v>
      </c>
      <c r="F343" s="114"/>
      <c r="G343" s="114">
        <f t="shared" si="81"/>
        <v>0</v>
      </c>
      <c r="H343" s="114"/>
      <c r="I343" s="114">
        <f t="shared" si="82"/>
        <v>0</v>
      </c>
      <c r="J343" s="114"/>
      <c r="K343" s="114">
        <f t="shared" si="83"/>
        <v>0</v>
      </c>
      <c r="L343" s="114"/>
      <c r="M343" s="114">
        <f t="shared" si="84"/>
        <v>0</v>
      </c>
      <c r="N343" s="114"/>
      <c r="O343" s="114">
        <f t="shared" si="85"/>
        <v>0</v>
      </c>
      <c r="P343" s="114"/>
      <c r="Q343" s="114">
        <f t="shared" si="86"/>
        <v>0</v>
      </c>
      <c r="R343" s="114"/>
      <c r="S343" s="114">
        <f t="shared" si="87"/>
        <v>0</v>
      </c>
      <c r="T343" s="114"/>
      <c r="U343" s="114">
        <f t="shared" si="88"/>
        <v>0</v>
      </c>
    </row>
    <row r="344" spans="1:21">
      <c r="A344" s="113">
        <v>45268</v>
      </c>
      <c r="B344" s="114"/>
      <c r="C344" s="114">
        <f t="shared" si="79"/>
        <v>0</v>
      </c>
      <c r="D344" s="114"/>
      <c r="E344" s="114">
        <f t="shared" si="80"/>
        <v>0</v>
      </c>
      <c r="F344" s="114"/>
      <c r="G344" s="114">
        <f t="shared" si="81"/>
        <v>0</v>
      </c>
      <c r="H344" s="114"/>
      <c r="I344" s="114">
        <f t="shared" si="82"/>
        <v>0</v>
      </c>
      <c r="J344" s="114"/>
      <c r="K344" s="114">
        <f t="shared" si="83"/>
        <v>0</v>
      </c>
      <c r="L344" s="114"/>
      <c r="M344" s="114">
        <f t="shared" si="84"/>
        <v>0</v>
      </c>
      <c r="N344" s="114"/>
      <c r="O344" s="114">
        <f t="shared" si="85"/>
        <v>0</v>
      </c>
      <c r="P344" s="114"/>
      <c r="Q344" s="114">
        <f t="shared" si="86"/>
        <v>0</v>
      </c>
      <c r="R344" s="114"/>
      <c r="S344" s="114">
        <f t="shared" si="87"/>
        <v>0</v>
      </c>
      <c r="T344" s="114"/>
      <c r="U344" s="114">
        <f t="shared" si="88"/>
        <v>0</v>
      </c>
    </row>
    <row r="345" spans="1:21">
      <c r="A345" s="113">
        <v>45269</v>
      </c>
      <c r="B345" s="114"/>
      <c r="C345" s="114">
        <f t="shared" si="79"/>
        <v>0</v>
      </c>
      <c r="D345" s="114"/>
      <c r="E345" s="114">
        <f t="shared" si="80"/>
        <v>0</v>
      </c>
      <c r="F345" s="114"/>
      <c r="G345" s="114">
        <f t="shared" si="81"/>
        <v>0</v>
      </c>
      <c r="H345" s="114"/>
      <c r="I345" s="114">
        <f t="shared" si="82"/>
        <v>0</v>
      </c>
      <c r="J345" s="114"/>
      <c r="K345" s="114">
        <f t="shared" si="83"/>
        <v>0</v>
      </c>
      <c r="L345" s="114"/>
      <c r="M345" s="114">
        <f t="shared" si="84"/>
        <v>0</v>
      </c>
      <c r="N345" s="114"/>
      <c r="O345" s="114">
        <f t="shared" si="85"/>
        <v>0</v>
      </c>
      <c r="P345" s="114"/>
      <c r="Q345" s="114">
        <f t="shared" si="86"/>
        <v>0</v>
      </c>
      <c r="R345" s="114"/>
      <c r="S345" s="114">
        <f t="shared" si="87"/>
        <v>0</v>
      </c>
      <c r="T345" s="114"/>
      <c r="U345" s="114">
        <f t="shared" si="88"/>
        <v>0</v>
      </c>
    </row>
    <row r="346" spans="1:21">
      <c r="A346" s="113">
        <v>45270</v>
      </c>
      <c r="B346" s="114"/>
      <c r="C346" s="114">
        <f t="shared" si="79"/>
        <v>0</v>
      </c>
      <c r="D346" s="114"/>
      <c r="E346" s="114">
        <f t="shared" si="80"/>
        <v>0</v>
      </c>
      <c r="F346" s="114"/>
      <c r="G346" s="114">
        <f t="shared" si="81"/>
        <v>0</v>
      </c>
      <c r="H346" s="114"/>
      <c r="I346" s="114">
        <f t="shared" si="82"/>
        <v>0</v>
      </c>
      <c r="J346" s="114"/>
      <c r="K346" s="114">
        <f t="shared" si="83"/>
        <v>0</v>
      </c>
      <c r="L346" s="114"/>
      <c r="M346" s="114">
        <f t="shared" si="84"/>
        <v>0</v>
      </c>
      <c r="N346" s="114"/>
      <c r="O346" s="114">
        <f t="shared" si="85"/>
        <v>0</v>
      </c>
      <c r="P346" s="114"/>
      <c r="Q346" s="114">
        <f t="shared" si="86"/>
        <v>0</v>
      </c>
      <c r="R346" s="114"/>
      <c r="S346" s="114">
        <f t="shared" si="87"/>
        <v>0</v>
      </c>
      <c r="T346" s="114"/>
      <c r="U346" s="114">
        <f t="shared" si="88"/>
        <v>0</v>
      </c>
    </row>
    <row r="347" spans="1:21">
      <c r="A347" s="113">
        <v>45271</v>
      </c>
      <c r="B347" s="114"/>
      <c r="C347" s="114">
        <f t="shared" si="79"/>
        <v>0</v>
      </c>
      <c r="D347" s="114"/>
      <c r="E347" s="114">
        <f t="shared" si="80"/>
        <v>0</v>
      </c>
      <c r="F347" s="114"/>
      <c r="G347" s="114">
        <f t="shared" si="81"/>
        <v>0</v>
      </c>
      <c r="H347" s="114"/>
      <c r="I347" s="114">
        <f t="shared" si="82"/>
        <v>0</v>
      </c>
      <c r="J347" s="114"/>
      <c r="K347" s="114">
        <f t="shared" si="83"/>
        <v>0</v>
      </c>
      <c r="L347" s="114"/>
      <c r="M347" s="114">
        <f t="shared" si="84"/>
        <v>0</v>
      </c>
      <c r="N347" s="114"/>
      <c r="O347" s="114">
        <f t="shared" si="85"/>
        <v>0</v>
      </c>
      <c r="P347" s="114"/>
      <c r="Q347" s="114">
        <f t="shared" si="86"/>
        <v>0</v>
      </c>
      <c r="R347" s="114"/>
      <c r="S347" s="114">
        <f t="shared" si="87"/>
        <v>0</v>
      </c>
      <c r="T347" s="114"/>
      <c r="U347" s="114">
        <f t="shared" si="88"/>
        <v>0</v>
      </c>
    </row>
    <row r="348" spans="1:21">
      <c r="A348" s="113">
        <v>45272</v>
      </c>
      <c r="B348" s="114"/>
      <c r="C348" s="114">
        <f t="shared" si="79"/>
        <v>0</v>
      </c>
      <c r="D348" s="114"/>
      <c r="E348" s="114">
        <f t="shared" si="80"/>
        <v>0</v>
      </c>
      <c r="F348" s="114"/>
      <c r="G348" s="114">
        <f t="shared" si="81"/>
        <v>0</v>
      </c>
      <c r="H348" s="114"/>
      <c r="I348" s="114">
        <f t="shared" si="82"/>
        <v>0</v>
      </c>
      <c r="J348" s="114"/>
      <c r="K348" s="114">
        <f t="shared" si="83"/>
        <v>0</v>
      </c>
      <c r="L348" s="114"/>
      <c r="M348" s="114">
        <f t="shared" si="84"/>
        <v>0</v>
      </c>
      <c r="N348" s="114"/>
      <c r="O348" s="114">
        <f t="shared" si="85"/>
        <v>0</v>
      </c>
      <c r="P348" s="114"/>
      <c r="Q348" s="114">
        <f t="shared" si="86"/>
        <v>0</v>
      </c>
      <c r="R348" s="114"/>
      <c r="S348" s="114">
        <f t="shared" si="87"/>
        <v>0</v>
      </c>
      <c r="T348" s="114"/>
      <c r="U348" s="114">
        <f t="shared" si="88"/>
        <v>0</v>
      </c>
    </row>
    <row r="349" spans="1:21">
      <c r="A349" s="113">
        <v>45273</v>
      </c>
      <c r="B349" s="114"/>
      <c r="C349" s="114">
        <f t="shared" si="79"/>
        <v>0</v>
      </c>
      <c r="D349" s="114"/>
      <c r="E349" s="114">
        <f t="shared" si="80"/>
        <v>0</v>
      </c>
      <c r="F349" s="114"/>
      <c r="G349" s="114">
        <f t="shared" si="81"/>
        <v>0</v>
      </c>
      <c r="H349" s="114"/>
      <c r="I349" s="114">
        <f t="shared" si="82"/>
        <v>0</v>
      </c>
      <c r="J349" s="114"/>
      <c r="K349" s="114">
        <f t="shared" si="83"/>
        <v>0</v>
      </c>
      <c r="L349" s="114"/>
      <c r="M349" s="114">
        <f t="shared" si="84"/>
        <v>0</v>
      </c>
      <c r="N349" s="114"/>
      <c r="O349" s="114">
        <f t="shared" si="85"/>
        <v>0</v>
      </c>
      <c r="P349" s="114"/>
      <c r="Q349" s="114">
        <f t="shared" si="86"/>
        <v>0</v>
      </c>
      <c r="R349" s="114"/>
      <c r="S349" s="114">
        <f t="shared" si="87"/>
        <v>0</v>
      </c>
      <c r="T349" s="114"/>
      <c r="U349" s="114">
        <f t="shared" si="88"/>
        <v>0</v>
      </c>
    </row>
    <row r="350" spans="1:21">
      <c r="A350" s="113">
        <v>45274</v>
      </c>
      <c r="B350" s="114"/>
      <c r="C350" s="114">
        <f t="shared" si="79"/>
        <v>0</v>
      </c>
      <c r="D350" s="114"/>
      <c r="E350" s="114">
        <f t="shared" si="80"/>
        <v>0</v>
      </c>
      <c r="F350" s="114"/>
      <c r="G350" s="114">
        <f t="shared" si="81"/>
        <v>0</v>
      </c>
      <c r="H350" s="114"/>
      <c r="I350" s="114">
        <f t="shared" si="82"/>
        <v>0</v>
      </c>
      <c r="J350" s="114"/>
      <c r="K350" s="114">
        <f t="shared" si="83"/>
        <v>0</v>
      </c>
      <c r="L350" s="114"/>
      <c r="M350" s="114">
        <f t="shared" si="84"/>
        <v>0</v>
      </c>
      <c r="N350" s="114"/>
      <c r="O350" s="114">
        <f t="shared" si="85"/>
        <v>0</v>
      </c>
      <c r="P350" s="114"/>
      <c r="Q350" s="114">
        <f t="shared" si="86"/>
        <v>0</v>
      </c>
      <c r="R350" s="114"/>
      <c r="S350" s="114">
        <f t="shared" si="87"/>
        <v>0</v>
      </c>
      <c r="T350" s="114"/>
      <c r="U350" s="114">
        <f t="shared" si="88"/>
        <v>0</v>
      </c>
    </row>
    <row r="351" spans="1:21">
      <c r="A351" s="113">
        <v>45275</v>
      </c>
      <c r="B351" s="114"/>
      <c r="C351" s="114">
        <f t="shared" si="79"/>
        <v>0</v>
      </c>
      <c r="D351" s="114"/>
      <c r="E351" s="114">
        <f t="shared" si="80"/>
        <v>0</v>
      </c>
      <c r="F351" s="114"/>
      <c r="G351" s="114">
        <f t="shared" si="81"/>
        <v>0</v>
      </c>
      <c r="H351" s="114"/>
      <c r="I351" s="114">
        <f t="shared" si="82"/>
        <v>0</v>
      </c>
      <c r="J351" s="114"/>
      <c r="K351" s="114">
        <f t="shared" si="83"/>
        <v>0</v>
      </c>
      <c r="L351" s="114"/>
      <c r="M351" s="114">
        <f t="shared" si="84"/>
        <v>0</v>
      </c>
      <c r="N351" s="114"/>
      <c r="O351" s="114">
        <f t="shared" si="85"/>
        <v>0</v>
      </c>
      <c r="P351" s="114"/>
      <c r="Q351" s="114">
        <f t="shared" si="86"/>
        <v>0</v>
      </c>
      <c r="R351" s="114"/>
      <c r="S351" s="114">
        <f t="shared" si="87"/>
        <v>0</v>
      </c>
      <c r="T351" s="114"/>
      <c r="U351" s="114">
        <f t="shared" si="88"/>
        <v>0</v>
      </c>
    </row>
    <row r="352" spans="1:21">
      <c r="A352" s="113">
        <v>45276</v>
      </c>
      <c r="B352" s="114"/>
      <c r="C352" s="114">
        <f t="shared" si="79"/>
        <v>0</v>
      </c>
      <c r="D352" s="114"/>
      <c r="E352" s="114">
        <f t="shared" si="80"/>
        <v>0</v>
      </c>
      <c r="F352" s="114"/>
      <c r="G352" s="114">
        <f t="shared" si="81"/>
        <v>0</v>
      </c>
      <c r="H352" s="114"/>
      <c r="I352" s="114">
        <f t="shared" si="82"/>
        <v>0</v>
      </c>
      <c r="J352" s="114"/>
      <c r="K352" s="114">
        <f t="shared" si="83"/>
        <v>0</v>
      </c>
      <c r="L352" s="114"/>
      <c r="M352" s="114">
        <f t="shared" si="84"/>
        <v>0</v>
      </c>
      <c r="N352" s="114"/>
      <c r="O352" s="114">
        <f t="shared" si="85"/>
        <v>0</v>
      </c>
      <c r="P352" s="114"/>
      <c r="Q352" s="114">
        <f t="shared" si="86"/>
        <v>0</v>
      </c>
      <c r="R352" s="114"/>
      <c r="S352" s="114">
        <f t="shared" si="87"/>
        <v>0</v>
      </c>
      <c r="T352" s="114"/>
      <c r="U352" s="114">
        <f t="shared" si="88"/>
        <v>0</v>
      </c>
    </row>
    <row r="353" spans="1:21">
      <c r="A353" s="113">
        <v>45277</v>
      </c>
      <c r="B353" s="114"/>
      <c r="C353" s="114">
        <f t="shared" si="79"/>
        <v>0</v>
      </c>
      <c r="D353" s="114"/>
      <c r="E353" s="114">
        <f t="shared" si="80"/>
        <v>0</v>
      </c>
      <c r="F353" s="114"/>
      <c r="G353" s="114">
        <f t="shared" si="81"/>
        <v>0</v>
      </c>
      <c r="H353" s="114"/>
      <c r="I353" s="114">
        <f t="shared" si="82"/>
        <v>0</v>
      </c>
      <c r="J353" s="114"/>
      <c r="K353" s="114">
        <f t="shared" si="83"/>
        <v>0</v>
      </c>
      <c r="L353" s="114"/>
      <c r="M353" s="114">
        <f t="shared" si="84"/>
        <v>0</v>
      </c>
      <c r="N353" s="114"/>
      <c r="O353" s="114">
        <f t="shared" si="85"/>
        <v>0</v>
      </c>
      <c r="P353" s="114"/>
      <c r="Q353" s="114">
        <f t="shared" si="86"/>
        <v>0</v>
      </c>
      <c r="R353" s="114"/>
      <c r="S353" s="114">
        <f t="shared" si="87"/>
        <v>0</v>
      </c>
      <c r="T353" s="114"/>
      <c r="U353" s="114">
        <f t="shared" si="88"/>
        <v>0</v>
      </c>
    </row>
    <row r="354" spans="1:21">
      <c r="A354" s="113">
        <v>45278</v>
      </c>
      <c r="B354" s="114"/>
      <c r="C354" s="114">
        <f t="shared" si="79"/>
        <v>0</v>
      </c>
      <c r="D354" s="114"/>
      <c r="E354" s="114">
        <f t="shared" si="80"/>
        <v>0</v>
      </c>
      <c r="F354" s="114"/>
      <c r="G354" s="114">
        <f t="shared" si="81"/>
        <v>0</v>
      </c>
      <c r="H354" s="114"/>
      <c r="I354" s="114">
        <f t="shared" si="82"/>
        <v>0</v>
      </c>
      <c r="J354" s="114"/>
      <c r="K354" s="114">
        <f t="shared" si="83"/>
        <v>0</v>
      </c>
      <c r="L354" s="114"/>
      <c r="M354" s="114">
        <f t="shared" si="84"/>
        <v>0</v>
      </c>
      <c r="N354" s="114"/>
      <c r="O354" s="114">
        <f t="shared" si="85"/>
        <v>0</v>
      </c>
      <c r="P354" s="114"/>
      <c r="Q354" s="114">
        <f t="shared" si="86"/>
        <v>0</v>
      </c>
      <c r="R354" s="114"/>
      <c r="S354" s="114">
        <f t="shared" si="87"/>
        <v>0</v>
      </c>
      <c r="T354" s="114"/>
      <c r="U354" s="114">
        <f t="shared" si="88"/>
        <v>0</v>
      </c>
    </row>
    <row r="355" spans="1:21">
      <c r="A355" s="113">
        <v>45279</v>
      </c>
      <c r="B355" s="114"/>
      <c r="C355" s="114">
        <f t="shared" si="79"/>
        <v>0</v>
      </c>
      <c r="D355" s="114"/>
      <c r="E355" s="114">
        <f t="shared" si="80"/>
        <v>0</v>
      </c>
      <c r="F355" s="114"/>
      <c r="G355" s="114">
        <f t="shared" si="81"/>
        <v>0</v>
      </c>
      <c r="H355" s="114"/>
      <c r="I355" s="114">
        <f t="shared" si="82"/>
        <v>0</v>
      </c>
      <c r="J355" s="114"/>
      <c r="K355" s="114">
        <f t="shared" si="83"/>
        <v>0</v>
      </c>
      <c r="L355" s="114"/>
      <c r="M355" s="114">
        <f t="shared" si="84"/>
        <v>0</v>
      </c>
      <c r="N355" s="114"/>
      <c r="O355" s="114">
        <f t="shared" si="85"/>
        <v>0</v>
      </c>
      <c r="P355" s="114"/>
      <c r="Q355" s="114">
        <f t="shared" si="86"/>
        <v>0</v>
      </c>
      <c r="R355" s="114"/>
      <c r="S355" s="114">
        <f t="shared" si="87"/>
        <v>0</v>
      </c>
      <c r="T355" s="114"/>
      <c r="U355" s="114">
        <f t="shared" si="88"/>
        <v>0</v>
      </c>
    </row>
    <row r="356" spans="1:21">
      <c r="A356" s="113">
        <v>45280</v>
      </c>
      <c r="B356" s="114"/>
      <c r="C356" s="114">
        <f t="shared" si="79"/>
        <v>0</v>
      </c>
      <c r="D356" s="114"/>
      <c r="E356" s="114">
        <f t="shared" si="80"/>
        <v>0</v>
      </c>
      <c r="F356" s="114"/>
      <c r="G356" s="114">
        <f t="shared" si="81"/>
        <v>0</v>
      </c>
      <c r="H356" s="114"/>
      <c r="I356" s="114">
        <f t="shared" si="82"/>
        <v>0</v>
      </c>
      <c r="J356" s="114"/>
      <c r="K356" s="114">
        <f t="shared" si="83"/>
        <v>0</v>
      </c>
      <c r="L356" s="114"/>
      <c r="M356" s="114">
        <f t="shared" si="84"/>
        <v>0</v>
      </c>
      <c r="N356" s="114"/>
      <c r="O356" s="114">
        <f t="shared" si="85"/>
        <v>0</v>
      </c>
      <c r="P356" s="114"/>
      <c r="Q356" s="114">
        <f t="shared" si="86"/>
        <v>0</v>
      </c>
      <c r="R356" s="114"/>
      <c r="S356" s="114">
        <f t="shared" si="87"/>
        <v>0</v>
      </c>
      <c r="T356" s="114"/>
      <c r="U356" s="114">
        <f t="shared" si="88"/>
        <v>0</v>
      </c>
    </row>
    <row r="357" spans="1:21">
      <c r="A357" s="113">
        <v>45281</v>
      </c>
      <c r="B357" s="114"/>
      <c r="C357" s="114">
        <f t="shared" si="79"/>
        <v>0</v>
      </c>
      <c r="D357" s="114"/>
      <c r="E357" s="114">
        <f t="shared" si="80"/>
        <v>0</v>
      </c>
      <c r="F357" s="114"/>
      <c r="G357" s="114">
        <f t="shared" si="81"/>
        <v>0</v>
      </c>
      <c r="H357" s="114"/>
      <c r="I357" s="114">
        <f t="shared" si="82"/>
        <v>0</v>
      </c>
      <c r="J357" s="114"/>
      <c r="K357" s="114">
        <f t="shared" si="83"/>
        <v>0</v>
      </c>
      <c r="L357" s="114"/>
      <c r="M357" s="114">
        <f t="shared" si="84"/>
        <v>0</v>
      </c>
      <c r="N357" s="114"/>
      <c r="O357" s="114">
        <f t="shared" si="85"/>
        <v>0</v>
      </c>
      <c r="P357" s="114"/>
      <c r="Q357" s="114">
        <f t="shared" si="86"/>
        <v>0</v>
      </c>
      <c r="R357" s="114"/>
      <c r="S357" s="114">
        <f t="shared" si="87"/>
        <v>0</v>
      </c>
      <c r="T357" s="114"/>
      <c r="U357" s="114">
        <f t="shared" si="88"/>
        <v>0</v>
      </c>
    </row>
    <row r="358" spans="1:21">
      <c r="A358" s="113">
        <v>45282</v>
      </c>
      <c r="B358" s="114"/>
      <c r="C358" s="114">
        <f t="shared" si="79"/>
        <v>0</v>
      </c>
      <c r="D358" s="114"/>
      <c r="E358" s="114">
        <f t="shared" si="80"/>
        <v>0</v>
      </c>
      <c r="F358" s="114"/>
      <c r="G358" s="114">
        <f t="shared" si="81"/>
        <v>0</v>
      </c>
      <c r="H358" s="114"/>
      <c r="I358" s="114">
        <f t="shared" si="82"/>
        <v>0</v>
      </c>
      <c r="J358" s="114"/>
      <c r="K358" s="114">
        <f t="shared" si="83"/>
        <v>0</v>
      </c>
      <c r="L358" s="114"/>
      <c r="M358" s="114">
        <f t="shared" si="84"/>
        <v>0</v>
      </c>
      <c r="N358" s="114"/>
      <c r="O358" s="114">
        <f t="shared" si="85"/>
        <v>0</v>
      </c>
      <c r="P358" s="114"/>
      <c r="Q358" s="114">
        <f t="shared" si="86"/>
        <v>0</v>
      </c>
      <c r="R358" s="114"/>
      <c r="S358" s="114">
        <f t="shared" si="87"/>
        <v>0</v>
      </c>
      <c r="T358" s="114"/>
      <c r="U358" s="114">
        <f t="shared" si="88"/>
        <v>0</v>
      </c>
    </row>
    <row r="359" spans="1:21">
      <c r="A359" s="113">
        <v>45283</v>
      </c>
      <c r="B359" s="114"/>
      <c r="C359" s="114">
        <f t="shared" si="79"/>
        <v>0</v>
      </c>
      <c r="D359" s="114"/>
      <c r="E359" s="114">
        <f t="shared" si="80"/>
        <v>0</v>
      </c>
      <c r="F359" s="114"/>
      <c r="G359" s="114">
        <f t="shared" si="81"/>
        <v>0</v>
      </c>
      <c r="H359" s="114"/>
      <c r="I359" s="114">
        <f t="shared" si="82"/>
        <v>0</v>
      </c>
      <c r="J359" s="114"/>
      <c r="K359" s="114">
        <f t="shared" si="83"/>
        <v>0</v>
      </c>
      <c r="L359" s="114"/>
      <c r="M359" s="114">
        <f t="shared" si="84"/>
        <v>0</v>
      </c>
      <c r="N359" s="114"/>
      <c r="O359" s="114">
        <f t="shared" si="85"/>
        <v>0</v>
      </c>
      <c r="P359" s="114"/>
      <c r="Q359" s="114">
        <f t="shared" si="86"/>
        <v>0</v>
      </c>
      <c r="R359" s="114"/>
      <c r="S359" s="114">
        <f t="shared" si="87"/>
        <v>0</v>
      </c>
      <c r="T359" s="114"/>
      <c r="U359" s="114">
        <f t="shared" si="88"/>
        <v>0</v>
      </c>
    </row>
    <row r="360" spans="1:21">
      <c r="A360" s="113">
        <v>45284</v>
      </c>
      <c r="B360" s="114"/>
      <c r="C360" s="114">
        <f t="shared" si="79"/>
        <v>0</v>
      </c>
      <c r="D360" s="114"/>
      <c r="E360" s="114">
        <f t="shared" si="80"/>
        <v>0</v>
      </c>
      <c r="F360" s="114"/>
      <c r="G360" s="114">
        <f t="shared" si="81"/>
        <v>0</v>
      </c>
      <c r="H360" s="114"/>
      <c r="I360" s="114">
        <f t="shared" si="82"/>
        <v>0</v>
      </c>
      <c r="J360" s="114"/>
      <c r="K360" s="114">
        <f t="shared" si="83"/>
        <v>0</v>
      </c>
      <c r="L360" s="114"/>
      <c r="M360" s="114">
        <f t="shared" si="84"/>
        <v>0</v>
      </c>
      <c r="N360" s="114"/>
      <c r="O360" s="114">
        <f t="shared" si="85"/>
        <v>0</v>
      </c>
      <c r="P360" s="114"/>
      <c r="Q360" s="114">
        <f t="shared" si="86"/>
        <v>0</v>
      </c>
      <c r="R360" s="114"/>
      <c r="S360" s="114">
        <f t="shared" si="87"/>
        <v>0</v>
      </c>
      <c r="T360" s="114"/>
      <c r="U360" s="114">
        <f t="shared" si="88"/>
        <v>0</v>
      </c>
    </row>
    <row r="361" spans="1:21">
      <c r="A361" s="113">
        <v>45285</v>
      </c>
      <c r="B361" s="114"/>
      <c r="C361" s="114">
        <f t="shared" si="79"/>
        <v>0</v>
      </c>
      <c r="D361" s="114"/>
      <c r="E361" s="114">
        <f t="shared" si="80"/>
        <v>0</v>
      </c>
      <c r="F361" s="114"/>
      <c r="G361" s="114">
        <f t="shared" si="81"/>
        <v>0</v>
      </c>
      <c r="H361" s="114"/>
      <c r="I361" s="114">
        <f t="shared" si="82"/>
        <v>0</v>
      </c>
      <c r="J361" s="114"/>
      <c r="K361" s="114">
        <f t="shared" si="83"/>
        <v>0</v>
      </c>
      <c r="L361" s="114"/>
      <c r="M361" s="114">
        <f t="shared" si="84"/>
        <v>0</v>
      </c>
      <c r="N361" s="114"/>
      <c r="O361" s="114">
        <f t="shared" si="85"/>
        <v>0</v>
      </c>
      <c r="P361" s="114"/>
      <c r="Q361" s="114">
        <f t="shared" si="86"/>
        <v>0</v>
      </c>
      <c r="R361" s="114"/>
      <c r="S361" s="114">
        <f t="shared" si="87"/>
        <v>0</v>
      </c>
      <c r="T361" s="114"/>
      <c r="U361" s="114">
        <f t="shared" si="88"/>
        <v>0</v>
      </c>
    </row>
    <row r="362" spans="1:21">
      <c r="A362" s="113">
        <v>45286</v>
      </c>
      <c r="B362" s="114"/>
      <c r="C362" s="114">
        <f t="shared" si="79"/>
        <v>0</v>
      </c>
      <c r="D362" s="114"/>
      <c r="E362" s="114">
        <f t="shared" si="80"/>
        <v>0</v>
      </c>
      <c r="F362" s="114"/>
      <c r="G362" s="114">
        <f t="shared" si="81"/>
        <v>0</v>
      </c>
      <c r="H362" s="114"/>
      <c r="I362" s="114">
        <f t="shared" si="82"/>
        <v>0</v>
      </c>
      <c r="J362" s="114"/>
      <c r="K362" s="114">
        <f t="shared" si="83"/>
        <v>0</v>
      </c>
      <c r="L362" s="114"/>
      <c r="M362" s="114">
        <f t="shared" si="84"/>
        <v>0</v>
      </c>
      <c r="N362" s="114"/>
      <c r="O362" s="114">
        <f t="shared" si="85"/>
        <v>0</v>
      </c>
      <c r="P362" s="114"/>
      <c r="Q362" s="114">
        <f t="shared" si="86"/>
        <v>0</v>
      </c>
      <c r="R362" s="114"/>
      <c r="S362" s="114">
        <f t="shared" si="87"/>
        <v>0</v>
      </c>
      <c r="T362" s="114"/>
      <c r="U362" s="114">
        <f t="shared" si="88"/>
        <v>0</v>
      </c>
    </row>
    <row r="363" spans="1:21">
      <c r="A363" s="113">
        <v>45287</v>
      </c>
      <c r="B363" s="114"/>
      <c r="C363" s="114">
        <f t="shared" si="79"/>
        <v>0</v>
      </c>
      <c r="D363" s="114"/>
      <c r="E363" s="114">
        <f t="shared" si="80"/>
        <v>0</v>
      </c>
      <c r="F363" s="114"/>
      <c r="G363" s="114">
        <f t="shared" si="81"/>
        <v>0</v>
      </c>
      <c r="H363" s="114"/>
      <c r="I363" s="114">
        <f t="shared" si="82"/>
        <v>0</v>
      </c>
      <c r="J363" s="114"/>
      <c r="K363" s="114">
        <f t="shared" si="83"/>
        <v>0</v>
      </c>
      <c r="L363" s="114"/>
      <c r="M363" s="114">
        <f t="shared" si="84"/>
        <v>0</v>
      </c>
      <c r="N363" s="114"/>
      <c r="O363" s="114">
        <f t="shared" si="85"/>
        <v>0</v>
      </c>
      <c r="P363" s="114"/>
      <c r="Q363" s="114">
        <f t="shared" si="86"/>
        <v>0</v>
      </c>
      <c r="R363" s="114"/>
      <c r="S363" s="114">
        <f t="shared" si="87"/>
        <v>0</v>
      </c>
      <c r="T363" s="114"/>
      <c r="U363" s="114">
        <f t="shared" si="88"/>
        <v>0</v>
      </c>
    </row>
    <row r="364" spans="1:21">
      <c r="A364" s="113">
        <v>45288</v>
      </c>
      <c r="B364" s="114"/>
      <c r="C364" s="114">
        <f t="shared" si="79"/>
        <v>0</v>
      </c>
      <c r="D364" s="114"/>
      <c r="E364" s="114">
        <f t="shared" si="80"/>
        <v>0</v>
      </c>
      <c r="F364" s="114"/>
      <c r="G364" s="114">
        <f t="shared" si="81"/>
        <v>0</v>
      </c>
      <c r="H364" s="114"/>
      <c r="I364" s="114">
        <f t="shared" si="82"/>
        <v>0</v>
      </c>
      <c r="J364" s="114"/>
      <c r="K364" s="114">
        <f t="shared" si="83"/>
        <v>0</v>
      </c>
      <c r="L364" s="114"/>
      <c r="M364" s="114">
        <f t="shared" si="84"/>
        <v>0</v>
      </c>
      <c r="N364" s="114"/>
      <c r="O364" s="114">
        <f t="shared" si="85"/>
        <v>0</v>
      </c>
      <c r="P364" s="114"/>
      <c r="Q364" s="114">
        <f t="shared" si="86"/>
        <v>0</v>
      </c>
      <c r="R364" s="114"/>
      <c r="S364" s="114">
        <f t="shared" si="87"/>
        <v>0</v>
      </c>
      <c r="T364" s="114"/>
      <c r="U364" s="114">
        <f t="shared" si="88"/>
        <v>0</v>
      </c>
    </row>
    <row r="365" spans="1:21">
      <c r="A365" s="113">
        <v>45289</v>
      </c>
      <c r="B365" s="114"/>
      <c r="C365" s="114">
        <f t="shared" si="79"/>
        <v>0</v>
      </c>
      <c r="D365" s="114"/>
      <c r="E365" s="114">
        <f t="shared" si="80"/>
        <v>0</v>
      </c>
      <c r="F365" s="114"/>
      <c r="G365" s="114">
        <f t="shared" si="81"/>
        <v>0</v>
      </c>
      <c r="H365" s="114"/>
      <c r="I365" s="114">
        <f t="shared" si="82"/>
        <v>0</v>
      </c>
      <c r="J365" s="114"/>
      <c r="K365" s="114">
        <f t="shared" si="83"/>
        <v>0</v>
      </c>
      <c r="L365" s="114"/>
      <c r="M365" s="114">
        <f t="shared" si="84"/>
        <v>0</v>
      </c>
      <c r="N365" s="114"/>
      <c r="O365" s="114">
        <f t="shared" si="85"/>
        <v>0</v>
      </c>
      <c r="P365" s="114"/>
      <c r="Q365" s="114">
        <f t="shared" si="86"/>
        <v>0</v>
      </c>
      <c r="R365" s="114"/>
      <c r="S365" s="114">
        <f t="shared" si="87"/>
        <v>0</v>
      </c>
      <c r="T365" s="114"/>
      <c r="U365" s="114">
        <f t="shared" si="88"/>
        <v>0</v>
      </c>
    </row>
    <row r="366" spans="1:21">
      <c r="A366" s="113">
        <v>45290</v>
      </c>
      <c r="B366" s="114"/>
      <c r="C366" s="114">
        <f t="shared" si="79"/>
        <v>0</v>
      </c>
      <c r="D366" s="114"/>
      <c r="E366" s="114">
        <f t="shared" si="80"/>
        <v>0</v>
      </c>
      <c r="F366" s="114"/>
      <c r="G366" s="114">
        <f t="shared" si="81"/>
        <v>0</v>
      </c>
      <c r="H366" s="114"/>
      <c r="I366" s="114">
        <f t="shared" si="82"/>
        <v>0</v>
      </c>
      <c r="J366" s="114"/>
      <c r="K366" s="114">
        <f t="shared" si="83"/>
        <v>0</v>
      </c>
      <c r="L366" s="114"/>
      <c r="M366" s="114">
        <f t="shared" si="84"/>
        <v>0</v>
      </c>
      <c r="N366" s="114"/>
      <c r="O366" s="114">
        <f t="shared" si="85"/>
        <v>0</v>
      </c>
      <c r="P366" s="114"/>
      <c r="Q366" s="114">
        <f t="shared" si="86"/>
        <v>0</v>
      </c>
      <c r="R366" s="114"/>
      <c r="S366" s="114">
        <f t="shared" si="87"/>
        <v>0</v>
      </c>
      <c r="T366" s="114"/>
      <c r="U366" s="114">
        <f t="shared" si="88"/>
        <v>0</v>
      </c>
    </row>
    <row r="367" spans="1:21">
      <c r="A367" s="113">
        <v>45291</v>
      </c>
      <c r="B367" s="114"/>
      <c r="C367" s="114">
        <f t="shared" si="79"/>
        <v>0</v>
      </c>
      <c r="D367" s="114"/>
      <c r="E367" s="114">
        <f t="shared" si="80"/>
        <v>0</v>
      </c>
      <c r="F367" s="114"/>
      <c r="G367" s="114">
        <f t="shared" si="81"/>
        <v>0</v>
      </c>
      <c r="H367" s="114"/>
      <c r="I367" s="114">
        <f t="shared" si="82"/>
        <v>0</v>
      </c>
      <c r="J367" s="114"/>
      <c r="K367" s="114">
        <f t="shared" si="83"/>
        <v>0</v>
      </c>
      <c r="L367" s="114"/>
      <c r="M367" s="114">
        <f t="shared" si="84"/>
        <v>0</v>
      </c>
      <c r="N367" s="114"/>
      <c r="O367" s="114">
        <f t="shared" si="85"/>
        <v>0</v>
      </c>
      <c r="P367" s="114"/>
      <c r="Q367" s="114">
        <f t="shared" si="86"/>
        <v>0</v>
      </c>
      <c r="R367" s="114"/>
      <c r="S367" s="114">
        <f t="shared" si="87"/>
        <v>0</v>
      </c>
      <c r="T367" s="114"/>
      <c r="U367" s="114">
        <f t="shared" si="88"/>
        <v>0</v>
      </c>
    </row>
  </sheetData>
  <autoFilter ref="A1:U367" xr:uid="{00000000-0009-0000-0000-000009000000}"/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9"/>
  <dimension ref="A1:N370"/>
  <sheetViews>
    <sheetView zoomScaleNormal="100" workbookViewId="0">
      <pane ySplit="1" topLeftCell="A203" activePane="bottomLeft" state="frozen"/>
      <selection activeCell="AE23" sqref="AE23"/>
      <selection pane="bottomLeft" activeCell="A182" sqref="A182:XFD182"/>
    </sheetView>
  </sheetViews>
  <sheetFormatPr defaultColWidth="11.42578125" defaultRowHeight="15"/>
  <cols>
    <col min="1" max="1" width="10.5703125" customWidth="1"/>
    <col min="2" max="2" width="11.140625" bestFit="1" customWidth="1"/>
    <col min="3" max="3" width="9.85546875" bestFit="1" customWidth="1"/>
    <col min="13" max="13" width="4.85546875" customWidth="1"/>
  </cols>
  <sheetData>
    <row r="1" spans="1:12" ht="30">
      <c r="A1" s="7" t="s">
        <v>89</v>
      </c>
      <c r="B1" s="22" t="s">
        <v>149</v>
      </c>
      <c r="C1" s="7" t="s">
        <v>97</v>
      </c>
      <c r="D1" s="22" t="s">
        <v>150</v>
      </c>
      <c r="E1" s="7" t="s">
        <v>98</v>
      </c>
      <c r="F1" s="7" t="s">
        <v>151</v>
      </c>
      <c r="G1" s="217" t="s">
        <v>120</v>
      </c>
      <c r="H1" s="217" t="s">
        <v>99</v>
      </c>
      <c r="I1" s="217" t="s">
        <v>151</v>
      </c>
      <c r="J1" s="220"/>
      <c r="K1" s="220"/>
      <c r="L1" s="220" t="s">
        <v>152</v>
      </c>
    </row>
    <row r="2" spans="1:12">
      <c r="A2" s="8">
        <v>44927</v>
      </c>
      <c r="B2" s="17">
        <f>Comb!C2</f>
        <v>1.4</v>
      </c>
      <c r="C2" s="17">
        <f>Tank!L3</f>
        <v>1.3999999999999773</v>
      </c>
      <c r="D2" s="17">
        <f t="shared" ref="D2:D65" si="0">+CONVERT(B2,"m^3","gal")</f>
        <v>369.84087330140778</v>
      </c>
      <c r="E2" s="17">
        <f t="shared" ref="E2:E65" si="1">+CONVERT(C2,"m^3","gal")</f>
        <v>369.84087330140181</v>
      </c>
      <c r="F2" s="17">
        <f>D2-E2</f>
        <v>5.9685589803848416E-12</v>
      </c>
      <c r="G2" s="139">
        <f>Comb!E2</f>
        <v>2.4</v>
      </c>
      <c r="H2" s="139">
        <f>Tank!O3</f>
        <v>2.3999999999999986</v>
      </c>
      <c r="I2" s="17">
        <f t="shared" ref="I2:I65" si="2">G2-H2</f>
        <v>0</v>
      </c>
      <c r="J2" s="17">
        <f t="shared" ref="J2:J65" si="3">+CONVERT(G2,"m^3","gal")</f>
        <v>634.01292565955623</v>
      </c>
      <c r="K2" s="17">
        <f t="shared" ref="K2:K65" si="4">+CONVERT(H2,"m^3","gal")</f>
        <v>634.01292565955589</v>
      </c>
      <c r="L2" s="139">
        <f t="shared" ref="L2:L65" si="5">J2-K2</f>
        <v>0</v>
      </c>
    </row>
    <row r="3" spans="1:12">
      <c r="A3" s="8">
        <v>44928</v>
      </c>
      <c r="B3" s="17">
        <f>Comb!C3</f>
        <v>1.9</v>
      </c>
      <c r="C3" s="17">
        <f>Tank!L4</f>
        <v>1.8999999999999773</v>
      </c>
      <c r="D3" s="17">
        <f t="shared" si="0"/>
        <v>501.92689948048201</v>
      </c>
      <c r="E3" s="17">
        <f t="shared" si="1"/>
        <v>501.92689948047598</v>
      </c>
      <c r="F3" s="17">
        <f t="shared" ref="F3:F65" si="6">D3-E3</f>
        <v>6.0254023992456496E-12</v>
      </c>
      <c r="G3" s="139">
        <f>Comb!E3</f>
        <v>4.7000000000000011</v>
      </c>
      <c r="H3" s="139">
        <f>Tank!O4</f>
        <v>4.7000000000000028</v>
      </c>
      <c r="I3" s="17">
        <f t="shared" si="2"/>
        <v>0</v>
      </c>
      <c r="J3" s="17">
        <f t="shared" si="3"/>
        <v>1241.6086460832978</v>
      </c>
      <c r="K3" s="17">
        <f t="shared" si="4"/>
        <v>1241.6086460832983</v>
      </c>
      <c r="L3" s="139">
        <f t="shared" si="5"/>
        <v>0</v>
      </c>
    </row>
    <row r="4" spans="1:12">
      <c r="A4" s="8">
        <v>44929</v>
      </c>
      <c r="B4" s="17">
        <f>Comb!C4</f>
        <v>4.2</v>
      </c>
      <c r="C4" s="17">
        <f>Tank!L5</f>
        <v>4.2000000000000455</v>
      </c>
      <c r="D4" s="17">
        <f t="shared" si="0"/>
        <v>1109.5226199042233</v>
      </c>
      <c r="E4" s="17">
        <f t="shared" si="1"/>
        <v>1109.5226199042354</v>
      </c>
      <c r="F4" s="17">
        <f t="shared" si="6"/>
        <v>-1.2050804798491299E-11</v>
      </c>
      <c r="G4" s="139">
        <f>Comb!E4</f>
        <v>5.8000000000000007</v>
      </c>
      <c r="H4" s="139">
        <f>Tank!O5</f>
        <v>-35.600000000000009</v>
      </c>
      <c r="I4" s="17">
        <f t="shared" si="2"/>
        <v>41.400000000000006</v>
      </c>
      <c r="J4" s="17">
        <f t="shared" si="3"/>
        <v>1532.1979036772611</v>
      </c>
      <c r="K4" s="17">
        <f t="shared" si="4"/>
        <v>-9404.5250639500864</v>
      </c>
      <c r="L4" s="139">
        <f t="shared" si="5"/>
        <v>10936.722967627347</v>
      </c>
    </row>
    <row r="5" spans="1:12">
      <c r="A5" s="8">
        <v>44930</v>
      </c>
      <c r="B5" s="17">
        <f>Comb!C5</f>
        <v>6</v>
      </c>
      <c r="C5" s="17">
        <f>Tank!L6</f>
        <v>6</v>
      </c>
      <c r="D5" s="17">
        <f t="shared" si="0"/>
        <v>1585.0323141488905</v>
      </c>
      <c r="E5" s="17">
        <f t="shared" si="1"/>
        <v>1585.0323141488905</v>
      </c>
      <c r="F5" s="17">
        <f t="shared" si="6"/>
        <v>0</v>
      </c>
      <c r="G5" s="139">
        <f>Comb!E5</f>
        <v>5.8000000000000016</v>
      </c>
      <c r="H5" s="139">
        <f>Tank!O6</f>
        <v>5.8000000000000114</v>
      </c>
      <c r="I5" s="17">
        <f t="shared" si="2"/>
        <v>-9.7699626167013776E-15</v>
      </c>
      <c r="J5" s="17">
        <f t="shared" si="3"/>
        <v>1532.1979036772614</v>
      </c>
      <c r="K5" s="17">
        <f t="shared" si="4"/>
        <v>1532.1979036772636</v>
      </c>
      <c r="L5" s="139">
        <f t="shared" si="5"/>
        <v>-2.2737367544323206E-12</v>
      </c>
    </row>
    <row r="6" spans="1:12">
      <c r="A6" s="8">
        <v>44931</v>
      </c>
      <c r="B6" s="17">
        <f>Comb!C6</f>
        <v>1.6</v>
      </c>
      <c r="C6" s="17">
        <f>Tank!L7</f>
        <v>1.6000000000000227</v>
      </c>
      <c r="D6" s="17">
        <f t="shared" si="0"/>
        <v>422.67528377303745</v>
      </c>
      <c r="E6" s="17">
        <f t="shared" si="1"/>
        <v>422.67528377304347</v>
      </c>
      <c r="F6" s="17">
        <f t="shared" si="6"/>
        <v>-6.0254023992456496E-12</v>
      </c>
      <c r="G6" s="139">
        <f>Comb!E6</f>
        <v>6.7400000000000029</v>
      </c>
      <c r="H6" s="139">
        <f>Tank!O7</f>
        <v>6.7399999999999949</v>
      </c>
      <c r="I6" s="17">
        <f t="shared" si="2"/>
        <v>7.9936057773011271E-15</v>
      </c>
      <c r="J6" s="17">
        <f t="shared" si="3"/>
        <v>1780.5196328939212</v>
      </c>
      <c r="K6" s="17">
        <f t="shared" si="4"/>
        <v>1780.5196328939189</v>
      </c>
      <c r="L6" s="139">
        <f t="shared" si="5"/>
        <v>2.2737367544323206E-12</v>
      </c>
    </row>
    <row r="7" spans="1:12">
      <c r="A7" s="8">
        <v>44932</v>
      </c>
      <c r="B7" s="17">
        <f>Comb!C7</f>
        <v>1.1000000000000001</v>
      </c>
      <c r="C7" s="17">
        <f>Tank!L8</f>
        <v>1.0999999999999091</v>
      </c>
      <c r="D7" s="17">
        <f t="shared" si="0"/>
        <v>290.58925759396328</v>
      </c>
      <c r="E7" s="17">
        <f t="shared" si="1"/>
        <v>290.58925759393924</v>
      </c>
      <c r="F7" s="17">
        <f t="shared" si="6"/>
        <v>2.404476617812179E-11</v>
      </c>
      <c r="G7" s="139">
        <f>Comb!E7</f>
        <v>7.0699999999999976</v>
      </c>
      <c r="H7" s="139">
        <f>Tank!O8</f>
        <v>-30.14</v>
      </c>
      <c r="I7" s="17">
        <f t="shared" si="2"/>
        <v>37.21</v>
      </c>
      <c r="J7" s="17">
        <f t="shared" si="3"/>
        <v>1867.6964101721087</v>
      </c>
      <c r="K7" s="17">
        <f t="shared" si="4"/>
        <v>-7962.1456580745935</v>
      </c>
      <c r="L7" s="139">
        <f t="shared" si="5"/>
        <v>9829.8420682467022</v>
      </c>
    </row>
    <row r="8" spans="1:12">
      <c r="A8" s="8">
        <v>44933</v>
      </c>
      <c r="B8" s="17">
        <f>Comb!C8</f>
        <v>7.3000000000000007</v>
      </c>
      <c r="C8" s="17">
        <f>Tank!L9</f>
        <v>7.3000000000000682</v>
      </c>
      <c r="D8" s="17">
        <f t="shared" si="0"/>
        <v>1928.4559822144838</v>
      </c>
      <c r="E8" s="17">
        <f t="shared" si="1"/>
        <v>1928.4559822145015</v>
      </c>
      <c r="F8" s="17">
        <f t="shared" si="6"/>
        <v>-1.7735146684572101E-11</v>
      </c>
      <c r="G8" s="139">
        <f>Comb!E8</f>
        <v>6.4099999999999993</v>
      </c>
      <c r="H8" s="139">
        <f>Tank!O9</f>
        <v>6.4099999999999966</v>
      </c>
      <c r="I8" s="17">
        <f t="shared" si="2"/>
        <v>0</v>
      </c>
      <c r="J8" s="17">
        <f t="shared" si="3"/>
        <v>1693.3428556157312</v>
      </c>
      <c r="K8" s="17">
        <f t="shared" si="4"/>
        <v>1693.3428556157305</v>
      </c>
      <c r="L8" s="139">
        <f t="shared" si="5"/>
        <v>0</v>
      </c>
    </row>
    <row r="9" spans="1:12">
      <c r="A9" s="8">
        <v>44934</v>
      </c>
      <c r="B9" s="17">
        <f>Comb!C9</f>
        <v>1.9</v>
      </c>
      <c r="C9" s="17">
        <f>Tank!L10</f>
        <v>1.8999999999999773</v>
      </c>
      <c r="D9" s="17">
        <f t="shared" si="0"/>
        <v>501.92689948048201</v>
      </c>
      <c r="E9" s="17">
        <f t="shared" si="1"/>
        <v>501.92689948047598</v>
      </c>
      <c r="F9" s="17">
        <f t="shared" si="6"/>
        <v>6.0254023992456496E-12</v>
      </c>
      <c r="G9" s="139">
        <f>Comb!E9</f>
        <v>5.160000000000001</v>
      </c>
      <c r="H9" s="139">
        <f>Tank!O10</f>
        <v>5.1599999999999966</v>
      </c>
      <c r="I9" s="17">
        <f t="shared" si="2"/>
        <v>0</v>
      </c>
      <c r="J9" s="17">
        <f t="shared" si="3"/>
        <v>1363.1277901680462</v>
      </c>
      <c r="K9" s="17">
        <f t="shared" si="4"/>
        <v>1363.1277901680448</v>
      </c>
      <c r="L9" s="139">
        <f t="shared" si="5"/>
        <v>0</v>
      </c>
    </row>
    <row r="10" spans="1:12">
      <c r="A10" s="8">
        <v>44935</v>
      </c>
      <c r="B10" s="17">
        <f>Comb!C10</f>
        <v>2</v>
      </c>
      <c r="C10" s="17">
        <f>Tank!L11</f>
        <v>2</v>
      </c>
      <c r="D10" s="17">
        <f t="shared" si="0"/>
        <v>528.3441047162969</v>
      </c>
      <c r="E10" s="17">
        <f t="shared" si="1"/>
        <v>528.3441047162969</v>
      </c>
      <c r="F10" s="17">
        <f t="shared" si="6"/>
        <v>0</v>
      </c>
      <c r="G10" s="139">
        <f>Comb!E10</f>
        <v>6.5200000000000014</v>
      </c>
      <c r="H10" s="139">
        <f>Tank!O11</f>
        <v>6.5200000000000102</v>
      </c>
      <c r="I10" s="17">
        <f t="shared" si="2"/>
        <v>-8.8817841970012523E-15</v>
      </c>
      <c r="J10" s="17">
        <f t="shared" si="3"/>
        <v>1722.4017813751279</v>
      </c>
      <c r="K10" s="17">
        <f t="shared" si="4"/>
        <v>1722.4017813751304</v>
      </c>
      <c r="L10" s="139">
        <f t="shared" si="5"/>
        <v>-2.5011104298755527E-12</v>
      </c>
    </row>
    <row r="11" spans="1:12">
      <c r="A11" s="8">
        <v>44936</v>
      </c>
      <c r="B11" s="17">
        <f>Comb!C11</f>
        <v>1.2</v>
      </c>
      <c r="C11" s="17">
        <f>Tank!L12</f>
        <v>1.2000000000000455</v>
      </c>
      <c r="D11" s="17">
        <f t="shared" si="0"/>
        <v>317.00646282977812</v>
      </c>
      <c r="E11" s="17">
        <f t="shared" si="1"/>
        <v>317.00646282979011</v>
      </c>
      <c r="F11" s="17">
        <f t="shared" si="6"/>
        <v>-1.1993961379630491E-11</v>
      </c>
      <c r="G11" s="139">
        <f>Comb!E11</f>
        <v>7.3199999999999976</v>
      </c>
      <c r="H11" s="139">
        <f>Tank!O12</f>
        <v>7.3199999999999932</v>
      </c>
      <c r="I11" s="17">
        <f t="shared" si="2"/>
        <v>0</v>
      </c>
      <c r="J11" s="17">
        <f t="shared" si="3"/>
        <v>1933.7394232616457</v>
      </c>
      <c r="K11" s="17">
        <f t="shared" si="4"/>
        <v>1933.7394232616446</v>
      </c>
      <c r="L11" s="139">
        <f t="shared" si="5"/>
        <v>0</v>
      </c>
    </row>
    <row r="12" spans="1:12">
      <c r="A12" s="8">
        <v>44937</v>
      </c>
      <c r="B12" s="17">
        <f>Comb!C12</f>
        <v>1</v>
      </c>
      <c r="C12" s="17">
        <f>Tank!L13</f>
        <v>1</v>
      </c>
      <c r="D12" s="17">
        <f t="shared" si="0"/>
        <v>264.17205235814845</v>
      </c>
      <c r="E12" s="17">
        <f t="shared" si="1"/>
        <v>264.17205235814845</v>
      </c>
      <c r="F12" s="17">
        <f t="shared" si="6"/>
        <v>0</v>
      </c>
      <c r="G12" s="139">
        <f>Comb!E12</f>
        <v>6.9799999999999995</v>
      </c>
      <c r="H12" s="139">
        <f>Tank!O13</f>
        <v>6.980000000000004</v>
      </c>
      <c r="I12" s="17">
        <f t="shared" si="2"/>
        <v>0</v>
      </c>
      <c r="J12" s="17">
        <f t="shared" si="3"/>
        <v>1843.9209254598757</v>
      </c>
      <c r="K12" s="17">
        <f t="shared" si="4"/>
        <v>1843.920925459877</v>
      </c>
      <c r="L12" s="139">
        <f t="shared" si="5"/>
        <v>0</v>
      </c>
    </row>
    <row r="13" spans="1:12">
      <c r="A13" s="8">
        <v>44938</v>
      </c>
      <c r="B13" s="17">
        <f>Comb!C13</f>
        <v>1.2</v>
      </c>
      <c r="C13" s="17">
        <f>Tank!L14</f>
        <v>1.1999999999999318</v>
      </c>
      <c r="D13" s="17">
        <f t="shared" si="0"/>
        <v>317.00646282977812</v>
      </c>
      <c r="E13" s="17">
        <f t="shared" si="1"/>
        <v>317.0064628297601</v>
      </c>
      <c r="F13" s="17">
        <f t="shared" si="6"/>
        <v>1.8019363778876141E-11</v>
      </c>
      <c r="G13" s="139">
        <f>Comb!E13</f>
        <v>5.7900000000000018</v>
      </c>
      <c r="H13" s="139">
        <f>Tank!O14</f>
        <v>5.7899999999999991</v>
      </c>
      <c r="I13" s="17">
        <f t="shared" si="2"/>
        <v>0</v>
      </c>
      <c r="J13" s="17">
        <f t="shared" si="3"/>
        <v>1529.5561831536797</v>
      </c>
      <c r="K13" s="17">
        <f t="shared" si="4"/>
        <v>1529.5561831536791</v>
      </c>
      <c r="L13" s="139">
        <f t="shared" si="5"/>
        <v>0</v>
      </c>
    </row>
    <row r="14" spans="1:12">
      <c r="A14" s="8">
        <v>44939</v>
      </c>
      <c r="B14" s="17">
        <f>Comb!C14</f>
        <v>1</v>
      </c>
      <c r="C14" s="17">
        <f>Tank!L15</f>
        <v>1</v>
      </c>
      <c r="D14" s="17">
        <f t="shared" si="0"/>
        <v>264.17205235814845</v>
      </c>
      <c r="E14" s="17">
        <f t="shared" si="1"/>
        <v>264.17205235814845</v>
      </c>
      <c r="F14" s="17">
        <f t="shared" si="6"/>
        <v>0</v>
      </c>
      <c r="G14" s="139">
        <f>Comb!E14</f>
        <v>7.2299999999999969</v>
      </c>
      <c r="H14" s="139">
        <f>Tank!O15</f>
        <v>-34.470000000000006</v>
      </c>
      <c r="I14" s="17">
        <f t="shared" si="2"/>
        <v>41.7</v>
      </c>
      <c r="J14" s="17">
        <f t="shared" si="3"/>
        <v>1909.9639385494124</v>
      </c>
      <c r="K14" s="17">
        <f t="shared" si="4"/>
        <v>-9106.0106447853777</v>
      </c>
      <c r="L14" s="139">
        <f t="shared" si="5"/>
        <v>11015.97458333479</v>
      </c>
    </row>
    <row r="15" spans="1:12">
      <c r="A15" s="8">
        <v>44940</v>
      </c>
      <c r="B15" s="17">
        <f>Comb!C15</f>
        <v>1.3</v>
      </c>
      <c r="C15" s="17">
        <f>Tank!L16</f>
        <v>1.3000000000000682</v>
      </c>
      <c r="D15" s="17">
        <f t="shared" si="0"/>
        <v>343.42366806559295</v>
      </c>
      <c r="E15" s="17">
        <f t="shared" si="1"/>
        <v>343.42366806561097</v>
      </c>
      <c r="F15" s="17">
        <f t="shared" si="6"/>
        <v>-1.8019363778876141E-11</v>
      </c>
      <c r="G15" s="139">
        <f>Comb!E15</f>
        <v>7.2899999999999965</v>
      </c>
      <c r="H15" s="139">
        <f>Tank!O16</f>
        <v>7.2900000000000063</v>
      </c>
      <c r="I15" s="17">
        <f t="shared" si="2"/>
        <v>-9.7699626167013776E-15</v>
      </c>
      <c r="J15" s="17">
        <f t="shared" si="3"/>
        <v>1925.814261690901</v>
      </c>
      <c r="K15" s="17">
        <f t="shared" si="4"/>
        <v>1925.8142616909038</v>
      </c>
      <c r="L15" s="139">
        <f t="shared" si="5"/>
        <v>-2.7284841053187847E-12</v>
      </c>
    </row>
    <row r="16" spans="1:12">
      <c r="A16" s="8">
        <v>44941</v>
      </c>
      <c r="B16" s="17">
        <f>Comb!C16</f>
        <v>1</v>
      </c>
      <c r="C16" s="17">
        <f>Tank!L17</f>
        <v>1</v>
      </c>
      <c r="D16" s="17">
        <f t="shared" si="0"/>
        <v>264.17205235814845</v>
      </c>
      <c r="E16" s="17">
        <f t="shared" si="1"/>
        <v>264.17205235814845</v>
      </c>
      <c r="F16" s="17">
        <f t="shared" si="6"/>
        <v>0</v>
      </c>
      <c r="G16" s="139">
        <f>Comb!E16</f>
        <v>7</v>
      </c>
      <c r="H16" s="139">
        <f>Tank!O17</f>
        <v>7</v>
      </c>
      <c r="I16" s="17">
        <f t="shared" si="2"/>
        <v>0</v>
      </c>
      <c r="J16" s="17">
        <f t="shared" si="3"/>
        <v>1849.2043665070389</v>
      </c>
      <c r="K16" s="17">
        <f t="shared" si="4"/>
        <v>1849.2043665070389</v>
      </c>
      <c r="L16" s="139">
        <f t="shared" si="5"/>
        <v>0</v>
      </c>
    </row>
    <row r="17" spans="1:12">
      <c r="A17" s="8">
        <v>44942</v>
      </c>
      <c r="B17" s="17">
        <f>Comb!C17</f>
        <v>15.799999999999999</v>
      </c>
      <c r="C17" s="17">
        <f>Tank!L18</f>
        <v>15.799999999999955</v>
      </c>
      <c r="D17" s="17">
        <f t="shared" si="0"/>
        <v>4173.9184272587445</v>
      </c>
      <c r="E17" s="17">
        <f t="shared" si="1"/>
        <v>4173.9184272587327</v>
      </c>
      <c r="F17" s="17">
        <f t="shared" si="6"/>
        <v>1.1823431123048067E-11</v>
      </c>
      <c r="G17" s="139">
        <f>Comb!E17</f>
        <v>7.3999999999999977</v>
      </c>
      <c r="H17" s="139">
        <f>Tank!O18</f>
        <v>7.4000000000000057</v>
      </c>
      <c r="I17" s="17">
        <f t="shared" si="2"/>
        <v>-7.9936057773011271E-15</v>
      </c>
      <c r="J17" s="17">
        <f t="shared" si="3"/>
        <v>1954.8731874502976</v>
      </c>
      <c r="K17" s="17">
        <f t="shared" si="4"/>
        <v>1954.8731874502998</v>
      </c>
      <c r="L17" s="139">
        <f t="shared" si="5"/>
        <v>-2.2737367544323206E-12</v>
      </c>
    </row>
    <row r="18" spans="1:12">
      <c r="A18" s="8">
        <v>44943</v>
      </c>
      <c r="B18" s="17">
        <f>Comb!C18</f>
        <v>1</v>
      </c>
      <c r="C18" s="17">
        <f>Tank!L19</f>
        <v>1</v>
      </c>
      <c r="D18" s="17">
        <f t="shared" si="0"/>
        <v>264.17205235814845</v>
      </c>
      <c r="E18" s="17">
        <f t="shared" si="1"/>
        <v>264.17205235814845</v>
      </c>
      <c r="F18" s="17">
        <f t="shared" si="6"/>
        <v>0</v>
      </c>
      <c r="G18" s="139">
        <f>Comb!E18</f>
        <v>7.3999999999999968</v>
      </c>
      <c r="H18" s="139">
        <f>Tank!O19</f>
        <v>-20.600000000000009</v>
      </c>
      <c r="I18" s="17">
        <f t="shared" si="2"/>
        <v>28.000000000000007</v>
      </c>
      <c r="J18" s="17">
        <f t="shared" si="3"/>
        <v>1954.8731874502973</v>
      </c>
      <c r="K18" s="17">
        <f t="shared" si="4"/>
        <v>-5441.9442785778592</v>
      </c>
      <c r="L18" s="139">
        <f t="shared" si="5"/>
        <v>7396.8174660281566</v>
      </c>
    </row>
    <row r="19" spans="1:12">
      <c r="A19" s="8">
        <v>44944</v>
      </c>
      <c r="B19" s="17">
        <f>Comb!C19</f>
        <v>1.5</v>
      </c>
      <c r="C19" s="17">
        <f>Tank!L20</f>
        <v>1.5</v>
      </c>
      <c r="D19" s="17">
        <f t="shared" si="0"/>
        <v>396.25807853722262</v>
      </c>
      <c r="E19" s="17">
        <f t="shared" si="1"/>
        <v>396.25807853722262</v>
      </c>
      <c r="F19" s="17">
        <f t="shared" si="6"/>
        <v>0</v>
      </c>
      <c r="G19" s="139">
        <f>Comb!E19</f>
        <v>6</v>
      </c>
      <c r="H19" s="139">
        <f>Tank!O20</f>
        <v>0.84000000000000341</v>
      </c>
      <c r="I19" s="17">
        <f t="shared" si="2"/>
        <v>5.1599999999999966</v>
      </c>
      <c r="J19" s="17">
        <f t="shared" si="3"/>
        <v>1585.0323141488905</v>
      </c>
      <c r="K19" s="17">
        <f t="shared" si="4"/>
        <v>221.90452398084557</v>
      </c>
      <c r="L19" s="139">
        <f t="shared" si="5"/>
        <v>1363.1277901680448</v>
      </c>
    </row>
    <row r="20" spans="1:12">
      <c r="A20" s="8">
        <v>44945</v>
      </c>
      <c r="B20" s="17">
        <f>Comb!C20</f>
        <v>16.3</v>
      </c>
      <c r="C20" s="17">
        <f>Tank!L21</f>
        <v>-74.700000000000045</v>
      </c>
      <c r="D20" s="17">
        <f t="shared" si="0"/>
        <v>4306.0044534378194</v>
      </c>
      <c r="E20" s="17">
        <f t="shared" si="1"/>
        <v>-19733.652311153699</v>
      </c>
      <c r="F20" s="17">
        <f t="shared" si="6"/>
        <v>24039.65676459152</v>
      </c>
      <c r="G20" s="139">
        <f>Comb!E20</f>
        <v>5.6500000000000021</v>
      </c>
      <c r="H20" s="139">
        <f>Tank!O21</f>
        <v>-1.3499999999999943</v>
      </c>
      <c r="I20" s="17">
        <f t="shared" si="2"/>
        <v>6.9999999999999964</v>
      </c>
      <c r="J20" s="17">
        <f t="shared" si="3"/>
        <v>1492.572095823539</v>
      </c>
      <c r="K20" s="17">
        <f t="shared" si="4"/>
        <v>-356.63227068349886</v>
      </c>
      <c r="L20" s="139">
        <f t="shared" si="5"/>
        <v>1849.2043665070378</v>
      </c>
    </row>
    <row r="21" spans="1:12">
      <c r="A21" s="8">
        <v>44946</v>
      </c>
      <c r="B21" s="17">
        <f>Comb!C21</f>
        <v>2.8</v>
      </c>
      <c r="C21" s="17">
        <f>Tank!L22</f>
        <v>53.5</v>
      </c>
      <c r="D21" s="17">
        <f t="shared" si="0"/>
        <v>739.68174660281556</v>
      </c>
      <c r="E21" s="17">
        <f t="shared" si="1"/>
        <v>14133.20480116094</v>
      </c>
      <c r="F21" s="17">
        <f t="shared" si="6"/>
        <v>-13393.523054558125</v>
      </c>
      <c r="G21" s="139">
        <f>Comb!E21</f>
        <v>6.0699999999999994</v>
      </c>
      <c r="H21" s="139">
        <f>Tank!O22</f>
        <v>6.0699999999999932</v>
      </c>
      <c r="I21" s="17">
        <f t="shared" si="2"/>
        <v>0</v>
      </c>
      <c r="J21" s="17">
        <f t="shared" si="3"/>
        <v>1603.5243578139607</v>
      </c>
      <c r="K21" s="17">
        <f t="shared" si="4"/>
        <v>1603.5243578139591</v>
      </c>
      <c r="L21" s="139">
        <f t="shared" si="5"/>
        <v>0</v>
      </c>
    </row>
    <row r="22" spans="1:12">
      <c r="A22" s="8">
        <v>44947</v>
      </c>
      <c r="B22" s="17">
        <f>Comb!C22</f>
        <v>1.3</v>
      </c>
      <c r="C22" s="17">
        <f>Tank!L23</f>
        <v>1.3000000000000682</v>
      </c>
      <c r="D22" s="17">
        <f t="shared" si="0"/>
        <v>343.42366806559295</v>
      </c>
      <c r="E22" s="17">
        <f t="shared" si="1"/>
        <v>343.42366806561097</v>
      </c>
      <c r="F22" s="17">
        <f t="shared" si="6"/>
        <v>-1.8019363778876141E-11</v>
      </c>
      <c r="G22" s="139">
        <f>Comb!E22</f>
        <v>7.0499999999999989</v>
      </c>
      <c r="H22" s="139">
        <f>Tank!O23</f>
        <v>7.0499999999999972</v>
      </c>
      <c r="I22" s="17">
        <f t="shared" si="2"/>
        <v>0</v>
      </c>
      <c r="J22" s="17">
        <f t="shared" si="3"/>
        <v>1862.4129691249461</v>
      </c>
      <c r="K22" s="17">
        <f t="shared" si="4"/>
        <v>1862.4129691249457</v>
      </c>
      <c r="L22" s="139">
        <f t="shared" si="5"/>
        <v>0</v>
      </c>
    </row>
    <row r="23" spans="1:12">
      <c r="A23" s="8">
        <v>44948</v>
      </c>
      <c r="B23" s="17">
        <f>Comb!C23</f>
        <v>0.8</v>
      </c>
      <c r="C23" s="17">
        <f>Tank!L24</f>
        <v>0.79999999999995453</v>
      </c>
      <c r="D23" s="17">
        <f t="shared" si="0"/>
        <v>211.33764188651872</v>
      </c>
      <c r="E23" s="17">
        <f t="shared" si="1"/>
        <v>211.33764188650673</v>
      </c>
      <c r="F23" s="17">
        <f t="shared" si="6"/>
        <v>1.1993961379630491E-11</v>
      </c>
      <c r="G23" s="139">
        <f>Comb!E23</f>
        <v>6.7600000000000033</v>
      </c>
      <c r="H23" s="139">
        <f>Tank!O24</f>
        <v>6.7600000000000051</v>
      </c>
      <c r="I23" s="17">
        <f t="shared" si="2"/>
        <v>0</v>
      </c>
      <c r="J23" s="17">
        <f t="shared" si="3"/>
        <v>1785.8030739410842</v>
      </c>
      <c r="K23" s="17">
        <f t="shared" si="4"/>
        <v>1785.8030739410847</v>
      </c>
      <c r="L23" s="139">
        <f t="shared" si="5"/>
        <v>0</v>
      </c>
    </row>
    <row r="24" spans="1:12">
      <c r="A24" s="8">
        <v>44949</v>
      </c>
      <c r="B24" s="17">
        <f>Comb!C24</f>
        <v>0.8</v>
      </c>
      <c r="C24" s="17">
        <f>Tank!L25</f>
        <v>0.80000000000006821</v>
      </c>
      <c r="D24" s="17">
        <f t="shared" si="0"/>
        <v>211.33764188651872</v>
      </c>
      <c r="E24" s="17">
        <f t="shared" si="1"/>
        <v>211.33764188653674</v>
      </c>
      <c r="F24" s="17">
        <f t="shared" si="6"/>
        <v>-1.8019363778876141E-11</v>
      </c>
      <c r="G24" s="139">
        <f>Comb!E24</f>
        <v>6.7100000000000035</v>
      </c>
      <c r="H24" s="139">
        <f>Tank!O25</f>
        <v>-21.47</v>
      </c>
      <c r="I24" s="17">
        <f t="shared" si="2"/>
        <v>28.180000000000003</v>
      </c>
      <c r="J24" s="17">
        <f t="shared" si="3"/>
        <v>1772.5944713231768</v>
      </c>
      <c r="K24" s="17">
        <f t="shared" si="4"/>
        <v>-5671.7739641294465</v>
      </c>
      <c r="L24" s="139">
        <f t="shared" si="5"/>
        <v>7444.3684354526231</v>
      </c>
    </row>
    <row r="25" spans="1:12">
      <c r="A25" s="8">
        <v>44950</v>
      </c>
      <c r="B25" s="17">
        <f>Comb!C25</f>
        <v>2.7</v>
      </c>
      <c r="C25" s="17">
        <f>Tank!L26</f>
        <v>2.6999999999999318</v>
      </c>
      <c r="D25" s="17">
        <f t="shared" si="0"/>
        <v>713.26454136700079</v>
      </c>
      <c r="E25" s="17">
        <f t="shared" si="1"/>
        <v>713.26454136698271</v>
      </c>
      <c r="F25" s="17">
        <f t="shared" si="6"/>
        <v>1.8076207197736949E-11</v>
      </c>
      <c r="G25" s="139">
        <f>Comb!E25</f>
        <v>6.9300000000000006</v>
      </c>
      <c r="H25" s="139">
        <f>Tank!O26</f>
        <v>0.5</v>
      </c>
      <c r="I25" s="17">
        <f t="shared" si="2"/>
        <v>6.4300000000000006</v>
      </c>
      <c r="J25" s="17">
        <f t="shared" si="3"/>
        <v>1830.7123228419689</v>
      </c>
      <c r="K25" s="17">
        <f t="shared" si="4"/>
        <v>132.08602617907422</v>
      </c>
      <c r="L25" s="139">
        <f t="shared" si="5"/>
        <v>1698.6262966628947</v>
      </c>
    </row>
    <row r="26" spans="1:12">
      <c r="A26" s="8">
        <v>44951</v>
      </c>
      <c r="B26" s="17">
        <f>Comb!C26</f>
        <v>8.4</v>
      </c>
      <c r="C26" s="17">
        <f>Tank!L27</f>
        <v>-32.199999999999932</v>
      </c>
      <c r="D26" s="17">
        <f t="shared" si="0"/>
        <v>2219.0452398084467</v>
      </c>
      <c r="E26" s="17">
        <f t="shared" si="1"/>
        <v>-8506.340085932361</v>
      </c>
      <c r="F26" s="17">
        <f>D26-E26</f>
        <v>10725.385325740808</v>
      </c>
      <c r="G26" s="139">
        <f>Comb!E26</f>
        <v>6.839999999999999</v>
      </c>
      <c r="H26" s="139">
        <f>Tank!O27</f>
        <v>0.39999999999999147</v>
      </c>
      <c r="I26" s="17">
        <f t="shared" si="2"/>
        <v>6.4400000000000075</v>
      </c>
      <c r="J26" s="17">
        <f t="shared" si="3"/>
        <v>1806.936838129735</v>
      </c>
      <c r="K26" s="17">
        <f t="shared" si="4"/>
        <v>105.66882094325712</v>
      </c>
      <c r="L26" s="139">
        <f t="shared" si="5"/>
        <v>1701.2680171864779</v>
      </c>
    </row>
    <row r="27" spans="1:12">
      <c r="A27" s="8">
        <v>44952</v>
      </c>
      <c r="B27" s="17">
        <f>Comb!C27</f>
        <v>19.3</v>
      </c>
      <c r="C27" s="17">
        <f>Tank!L28</f>
        <v>59.899999999999977</v>
      </c>
      <c r="D27" s="17">
        <f t="shared" si="0"/>
        <v>5098.5206105122643</v>
      </c>
      <c r="E27" s="17">
        <f t="shared" si="1"/>
        <v>15823.905936253084</v>
      </c>
      <c r="F27" s="17">
        <f t="shared" si="6"/>
        <v>-10725.385325740819</v>
      </c>
      <c r="G27" s="139">
        <f>Comb!E27</f>
        <v>7.0999999999999988</v>
      </c>
      <c r="H27" s="139">
        <f>Tank!O28</f>
        <v>7.1000000000000085</v>
      </c>
      <c r="I27" s="17">
        <f t="shared" si="2"/>
        <v>-9.7699626167013776E-15</v>
      </c>
      <c r="J27" s="17">
        <f t="shared" si="3"/>
        <v>1875.6215717428536</v>
      </c>
      <c r="K27" s="17">
        <f t="shared" si="4"/>
        <v>1875.6215717428561</v>
      </c>
      <c r="L27" s="139">
        <f t="shared" si="5"/>
        <v>-2.5011104298755527E-12</v>
      </c>
    </row>
    <row r="28" spans="1:12">
      <c r="A28" s="8">
        <v>44953</v>
      </c>
      <c r="B28" s="17">
        <f>Comb!C28</f>
        <v>25.9</v>
      </c>
      <c r="C28" s="17">
        <f>Tank!L29</f>
        <v>25.899999999999977</v>
      </c>
      <c r="D28" s="17">
        <f t="shared" si="0"/>
        <v>6842.0561560760443</v>
      </c>
      <c r="E28" s="17">
        <f t="shared" si="1"/>
        <v>6842.056156076038</v>
      </c>
      <c r="F28" s="17">
        <f t="shared" si="6"/>
        <v>0</v>
      </c>
      <c r="G28" s="139">
        <f>Comb!E28</f>
        <v>7.1999999999999975</v>
      </c>
      <c r="H28" s="139">
        <f>Tank!O29</f>
        <v>7.2000000000000028</v>
      </c>
      <c r="I28" s="17">
        <f t="shared" si="2"/>
        <v>0</v>
      </c>
      <c r="J28" s="17">
        <f t="shared" si="3"/>
        <v>1902.038776978668</v>
      </c>
      <c r="K28" s="17">
        <f t="shared" si="4"/>
        <v>1902.0387769786694</v>
      </c>
      <c r="L28" s="139">
        <f t="shared" si="5"/>
        <v>0</v>
      </c>
    </row>
    <row r="29" spans="1:12">
      <c r="A29" s="8">
        <v>44954</v>
      </c>
      <c r="B29" s="17">
        <f>Comb!C29</f>
        <v>0.8</v>
      </c>
      <c r="C29" s="17">
        <f>Tank!L30</f>
        <v>0.79999999999995453</v>
      </c>
      <c r="D29" s="17">
        <f t="shared" si="0"/>
        <v>211.33764188651872</v>
      </c>
      <c r="E29" s="17">
        <f t="shared" si="1"/>
        <v>211.33764188650673</v>
      </c>
      <c r="F29" s="17">
        <f t="shared" si="6"/>
        <v>1.1993961379630491E-11</v>
      </c>
      <c r="G29" s="139">
        <f>Comb!E29</f>
        <v>6.9200000000000008</v>
      </c>
      <c r="H29" s="139">
        <f>Tank!O30</f>
        <v>6.9199999999999875</v>
      </c>
      <c r="I29" s="17">
        <f t="shared" si="2"/>
        <v>1.3322676295501878E-14</v>
      </c>
      <c r="J29" s="17">
        <f t="shared" si="3"/>
        <v>1828.0706023183873</v>
      </c>
      <c r="K29" s="17">
        <f t="shared" si="4"/>
        <v>1828.0706023183836</v>
      </c>
      <c r="L29" s="139">
        <f t="shared" si="5"/>
        <v>3.637978807091713E-12</v>
      </c>
    </row>
    <row r="30" spans="1:12">
      <c r="A30" s="8">
        <v>44955</v>
      </c>
      <c r="B30" s="17">
        <f>Comb!C30</f>
        <v>8.4</v>
      </c>
      <c r="C30" s="17">
        <f>Tank!L31</f>
        <v>8.4000000000000909</v>
      </c>
      <c r="D30" s="17">
        <f t="shared" si="0"/>
        <v>2219.0452398084467</v>
      </c>
      <c r="E30" s="17">
        <f t="shared" si="1"/>
        <v>2219.0452398084708</v>
      </c>
      <c r="F30" s="17">
        <f t="shared" si="6"/>
        <v>-2.4101609596982598E-11</v>
      </c>
      <c r="G30" s="139">
        <f>Comb!E30</f>
        <v>5.2900000000000018</v>
      </c>
      <c r="H30" s="139">
        <f>Tank!O31</f>
        <v>5.2900000000000063</v>
      </c>
      <c r="I30" s="17">
        <f t="shared" si="2"/>
        <v>0</v>
      </c>
      <c r="J30" s="17">
        <f t="shared" si="3"/>
        <v>1397.4701569746057</v>
      </c>
      <c r="K30" s="17">
        <f t="shared" si="4"/>
        <v>1397.4701569746069</v>
      </c>
      <c r="L30" s="139">
        <f t="shared" si="5"/>
        <v>0</v>
      </c>
    </row>
    <row r="31" spans="1:12">
      <c r="A31" s="8">
        <v>44956</v>
      </c>
      <c r="B31" s="17">
        <f>Comb!C31</f>
        <v>2.1</v>
      </c>
      <c r="C31" s="17">
        <f>Tank!L32</f>
        <v>-38.100000000000023</v>
      </c>
      <c r="D31" s="17">
        <f t="shared" si="0"/>
        <v>554.76130995211167</v>
      </c>
      <c r="E31" s="17">
        <f t="shared" si="1"/>
        <v>-10064.955194845461</v>
      </c>
      <c r="F31" s="17">
        <f t="shared" si="6"/>
        <v>10619.716504797572</v>
      </c>
      <c r="G31" s="139">
        <f>Comb!E31</f>
        <v>6.2399999999999975</v>
      </c>
      <c r="H31" s="139">
        <f>Tank!O32</f>
        <v>6.240000000000002</v>
      </c>
      <c r="I31" s="17">
        <f t="shared" si="2"/>
        <v>0</v>
      </c>
      <c r="J31" s="17">
        <f t="shared" si="3"/>
        <v>1648.4336067148454</v>
      </c>
      <c r="K31" s="17">
        <f t="shared" si="4"/>
        <v>1648.4336067148467</v>
      </c>
      <c r="L31" s="139">
        <f t="shared" si="5"/>
        <v>0</v>
      </c>
    </row>
    <row r="32" spans="1:12">
      <c r="A32" s="8">
        <v>44957</v>
      </c>
      <c r="B32" s="17">
        <f>Comb!C32</f>
        <v>7.7</v>
      </c>
      <c r="C32" s="17">
        <f>Tank!L33</f>
        <v>7.6999999999999318</v>
      </c>
      <c r="D32" s="17">
        <f t="shared" si="0"/>
        <v>2034.1248031577429</v>
      </c>
      <c r="E32" s="17">
        <f t="shared" si="1"/>
        <v>2034.1248031577247</v>
      </c>
      <c r="F32" s="17">
        <f t="shared" si="6"/>
        <v>1.8189894035458565E-11</v>
      </c>
      <c r="G32" s="139">
        <f>Comb!E32</f>
        <v>7.6500000000000021</v>
      </c>
      <c r="H32" s="139">
        <f>Tank!O33</f>
        <v>7.6499999999999986</v>
      </c>
      <c r="I32" s="17">
        <f t="shared" si="2"/>
        <v>0</v>
      </c>
      <c r="J32" s="17">
        <f t="shared" si="3"/>
        <v>2020.9162005398359</v>
      </c>
      <c r="K32" s="17">
        <f t="shared" si="4"/>
        <v>2020.916200539835</v>
      </c>
      <c r="L32" s="139">
        <f t="shared" si="5"/>
        <v>0</v>
      </c>
    </row>
    <row r="33" spans="1:12">
      <c r="A33" s="8">
        <v>44958</v>
      </c>
      <c r="B33" s="17">
        <f>Comb!C33</f>
        <v>6.3</v>
      </c>
      <c r="C33" s="17">
        <f>Tank!L34</f>
        <v>3.9000000000000909</v>
      </c>
      <c r="D33" s="17">
        <f t="shared" si="0"/>
        <v>1664.2839298563351</v>
      </c>
      <c r="E33" s="17">
        <f t="shared" si="1"/>
        <v>1030.2710041968028</v>
      </c>
      <c r="F33" s="17">
        <f t="shared" si="6"/>
        <v>634.01292565953236</v>
      </c>
      <c r="G33" s="139">
        <f>Comb!E33</f>
        <v>6.6</v>
      </c>
      <c r="H33" s="139">
        <f>Tank!O34</f>
        <v>6.6000000000000014</v>
      </c>
      <c r="I33" s="17">
        <f t="shared" si="2"/>
        <v>0</v>
      </c>
      <c r="J33" s="17">
        <f t="shared" si="3"/>
        <v>1743.5355455637796</v>
      </c>
      <c r="K33" s="17">
        <f t="shared" si="4"/>
        <v>1743.53554556378</v>
      </c>
      <c r="L33" s="139">
        <f t="shared" si="5"/>
        <v>0</v>
      </c>
    </row>
    <row r="34" spans="1:12">
      <c r="A34" s="8">
        <v>44959</v>
      </c>
      <c r="B34" s="17">
        <f>Comb!C34</f>
        <v>3.3</v>
      </c>
      <c r="C34" s="17">
        <f>Tank!L35</f>
        <v>2.5999999999999091</v>
      </c>
      <c r="D34" s="17">
        <f t="shared" si="0"/>
        <v>871.76777278188979</v>
      </c>
      <c r="E34" s="17">
        <f t="shared" si="1"/>
        <v>686.84733613116191</v>
      </c>
      <c r="F34" s="17">
        <f t="shared" si="6"/>
        <v>184.92043665072788</v>
      </c>
      <c r="G34" s="139">
        <f>Comb!E34</f>
        <v>5.9300000000000015</v>
      </c>
      <c r="H34" s="139">
        <f>Tank!O35</f>
        <v>5.93</v>
      </c>
      <c r="I34" s="17">
        <f t="shared" si="2"/>
        <v>0</v>
      </c>
      <c r="J34" s="17">
        <f t="shared" si="3"/>
        <v>1566.5402704838207</v>
      </c>
      <c r="K34" s="17">
        <f t="shared" si="4"/>
        <v>1566.5402704838202</v>
      </c>
      <c r="L34" s="139">
        <f t="shared" si="5"/>
        <v>0</v>
      </c>
    </row>
    <row r="35" spans="1:12">
      <c r="A35" s="8">
        <v>44960</v>
      </c>
      <c r="B35" s="17">
        <f>Comb!C35</f>
        <v>49</v>
      </c>
      <c r="C35" s="17">
        <f>Tank!L36</f>
        <v>49</v>
      </c>
      <c r="D35" s="17">
        <f t="shared" si="0"/>
        <v>12944.430565549274</v>
      </c>
      <c r="E35" s="17">
        <f t="shared" si="1"/>
        <v>12944.430565549274</v>
      </c>
      <c r="F35" s="17">
        <f t="shared" si="6"/>
        <v>0</v>
      </c>
      <c r="G35" s="139">
        <f>Comb!E35</f>
        <v>6.47</v>
      </c>
      <c r="H35" s="139">
        <f>Tank!O36</f>
        <v>-33.31</v>
      </c>
      <c r="I35" s="17">
        <f t="shared" si="2"/>
        <v>39.78</v>
      </c>
      <c r="J35" s="17">
        <f t="shared" si="3"/>
        <v>1709.1931787572203</v>
      </c>
      <c r="K35" s="17">
        <f t="shared" si="4"/>
        <v>-8799.5710640499237</v>
      </c>
      <c r="L35" s="139">
        <f t="shared" si="5"/>
        <v>10508.764242807145</v>
      </c>
    </row>
    <row r="36" spans="1:12">
      <c r="A36" s="8">
        <v>44961</v>
      </c>
      <c r="B36" s="17">
        <f>Comb!C36</f>
        <v>35</v>
      </c>
      <c r="C36" s="17">
        <f>Tank!L37</f>
        <v>35</v>
      </c>
      <c r="D36" s="17">
        <f t="shared" si="0"/>
        <v>9246.0218325351943</v>
      </c>
      <c r="E36" s="17">
        <f t="shared" si="1"/>
        <v>9246.0218325351943</v>
      </c>
      <c r="F36" s="17">
        <f t="shared" si="6"/>
        <v>0</v>
      </c>
      <c r="G36" s="139">
        <f>Comb!E36</f>
        <v>5.6999999999999993</v>
      </c>
      <c r="H36" s="139">
        <f>Tank!O37</f>
        <v>5.7000000000000028</v>
      </c>
      <c r="I36" s="17">
        <f t="shared" si="2"/>
        <v>0</v>
      </c>
      <c r="J36" s="17">
        <f t="shared" si="3"/>
        <v>1505.7806984414458</v>
      </c>
      <c r="K36" s="17">
        <f t="shared" si="4"/>
        <v>1505.7806984414467</v>
      </c>
      <c r="L36" s="139">
        <f t="shared" si="5"/>
        <v>0</v>
      </c>
    </row>
    <row r="37" spans="1:12">
      <c r="A37" s="8">
        <v>44962</v>
      </c>
      <c r="B37" s="17">
        <f>Comb!C37</f>
        <v>3.9000000000000004</v>
      </c>
      <c r="C37" s="17">
        <f>Tank!L38</f>
        <v>3.9000000000000909</v>
      </c>
      <c r="D37" s="17">
        <f t="shared" si="0"/>
        <v>1030.2710041967789</v>
      </c>
      <c r="E37" s="17">
        <f t="shared" si="1"/>
        <v>1030.2710041968028</v>
      </c>
      <c r="F37" s="17">
        <f t="shared" si="6"/>
        <v>-2.3874235921539366E-11</v>
      </c>
      <c r="G37" s="139">
        <f>Comb!E37</f>
        <v>5.0799999999999983</v>
      </c>
      <c r="H37" s="139">
        <f>Tank!O38</f>
        <v>5.0799999999999983</v>
      </c>
      <c r="I37" s="17">
        <f t="shared" si="2"/>
        <v>0</v>
      </c>
      <c r="J37" s="17">
        <f t="shared" si="3"/>
        <v>1341.9940259793934</v>
      </c>
      <c r="K37" s="17">
        <f t="shared" si="4"/>
        <v>1341.9940259793934</v>
      </c>
      <c r="L37" s="139">
        <f t="shared" si="5"/>
        <v>0</v>
      </c>
    </row>
    <row r="38" spans="1:12">
      <c r="A38" s="8">
        <v>44963</v>
      </c>
      <c r="B38" s="17">
        <f>Comb!C38</f>
        <v>2.2999999999999998</v>
      </c>
      <c r="C38" s="17">
        <f>Tank!L39</f>
        <v>2.2999999999999545</v>
      </c>
      <c r="D38" s="17">
        <f t="shared" si="0"/>
        <v>607.59572042374134</v>
      </c>
      <c r="E38" s="17">
        <f t="shared" si="1"/>
        <v>607.5957204237294</v>
      </c>
      <c r="F38" s="17">
        <f t="shared" si="6"/>
        <v>1.1937117960769683E-11</v>
      </c>
      <c r="G38" s="139">
        <f>Comb!E38</f>
        <v>6.0899999999999981</v>
      </c>
      <c r="H38" s="139">
        <f>Tank!O39</f>
        <v>6.0900000000000034</v>
      </c>
      <c r="I38" s="17">
        <f t="shared" si="2"/>
        <v>0</v>
      </c>
      <c r="J38" s="17">
        <f t="shared" si="3"/>
        <v>1608.8077988611235</v>
      </c>
      <c r="K38" s="17">
        <f t="shared" si="4"/>
        <v>1608.8077988611249</v>
      </c>
      <c r="L38" s="139">
        <f t="shared" si="5"/>
        <v>0</v>
      </c>
    </row>
    <row r="39" spans="1:12">
      <c r="A39" s="8">
        <v>44964</v>
      </c>
      <c r="B39" s="17">
        <f>Comb!C39</f>
        <v>1.4</v>
      </c>
      <c r="C39" s="17">
        <f>Tank!L40</f>
        <v>-40.200000000000045</v>
      </c>
      <c r="D39" s="17">
        <f t="shared" si="0"/>
        <v>369.84087330140778</v>
      </c>
      <c r="E39" s="17">
        <f t="shared" si="1"/>
        <v>-10619.716504797578</v>
      </c>
      <c r="F39" s="17">
        <f t="shared" si="6"/>
        <v>10989.557378098985</v>
      </c>
      <c r="G39" s="139">
        <f>Comb!E39</f>
        <v>7.4199999999999982</v>
      </c>
      <c r="H39" s="139">
        <f>Tank!O40</f>
        <v>7.4199999999999946</v>
      </c>
      <c r="I39" s="17">
        <f t="shared" si="2"/>
        <v>0</v>
      </c>
      <c r="J39" s="17">
        <f t="shared" si="3"/>
        <v>1960.1566284974608</v>
      </c>
      <c r="K39" s="17">
        <f t="shared" si="4"/>
        <v>1960.1566284974599</v>
      </c>
      <c r="L39" s="139">
        <f t="shared" si="5"/>
        <v>0</v>
      </c>
    </row>
    <row r="40" spans="1:12">
      <c r="A40" s="8">
        <v>44965</v>
      </c>
      <c r="B40" s="17">
        <f>Comb!C40</f>
        <v>0.8</v>
      </c>
      <c r="C40" s="17">
        <f>Tank!L41</f>
        <v>0.80000000000006821</v>
      </c>
      <c r="D40" s="17">
        <f t="shared" si="0"/>
        <v>211.33764188651872</v>
      </c>
      <c r="E40" s="17">
        <f t="shared" si="1"/>
        <v>211.33764188653674</v>
      </c>
      <c r="F40" s="17">
        <f t="shared" si="6"/>
        <v>-1.8019363778876141E-11</v>
      </c>
      <c r="G40" s="139">
        <f>Comb!E40</f>
        <v>6.56</v>
      </c>
      <c r="H40" s="139">
        <f>Tank!O41</f>
        <v>-35.130000000000003</v>
      </c>
      <c r="I40" s="17">
        <f t="shared" si="2"/>
        <v>41.690000000000005</v>
      </c>
      <c r="J40" s="17">
        <f t="shared" si="3"/>
        <v>1732.9686634694538</v>
      </c>
      <c r="K40" s="17">
        <f t="shared" si="4"/>
        <v>-9280.3641993417532</v>
      </c>
      <c r="L40" s="139">
        <f t="shared" si="5"/>
        <v>11013.332862811207</v>
      </c>
    </row>
    <row r="41" spans="1:12">
      <c r="A41" s="8">
        <v>44966</v>
      </c>
      <c r="B41" s="17">
        <f>Comb!C41</f>
        <v>1</v>
      </c>
      <c r="C41" s="17">
        <f>Tank!L42</f>
        <v>-40.600000000000023</v>
      </c>
      <c r="D41" s="17">
        <f t="shared" si="0"/>
        <v>264.17205235814845</v>
      </c>
      <c r="E41" s="17">
        <f t="shared" si="1"/>
        <v>-10725.385325740832</v>
      </c>
      <c r="F41" s="17">
        <f t="shared" si="6"/>
        <v>10989.55737809898</v>
      </c>
      <c r="G41" s="139">
        <f>Comb!E41</f>
        <v>7.4199999999999964</v>
      </c>
      <c r="H41" s="139">
        <f>Tank!O42</f>
        <v>7.4200000000000017</v>
      </c>
      <c r="I41" s="17">
        <f t="shared" si="2"/>
        <v>0</v>
      </c>
      <c r="J41" s="17">
        <f t="shared" si="3"/>
        <v>1960.1566284974604</v>
      </c>
      <c r="K41" s="17">
        <f t="shared" si="4"/>
        <v>1960.1566284974617</v>
      </c>
      <c r="L41" s="139">
        <f t="shared" si="5"/>
        <v>0</v>
      </c>
    </row>
    <row r="42" spans="1:12">
      <c r="A42" s="8">
        <v>44967</v>
      </c>
      <c r="B42" s="17">
        <f>Comb!C42</f>
        <v>1.4</v>
      </c>
      <c r="C42" s="17">
        <f>Tank!L43</f>
        <v>43</v>
      </c>
      <c r="D42" s="17">
        <f t="shared" si="0"/>
        <v>369.84087330140778</v>
      </c>
      <c r="E42" s="17">
        <f t="shared" si="1"/>
        <v>11359.398251400382</v>
      </c>
      <c r="F42" s="17">
        <f t="shared" si="6"/>
        <v>-10989.557378098974</v>
      </c>
      <c r="G42" s="139">
        <f>Comb!E42</f>
        <v>7.2899999999999965</v>
      </c>
      <c r="H42" s="139">
        <f>Tank!O43</f>
        <v>7.2900000000000063</v>
      </c>
      <c r="I42" s="17">
        <f t="shared" si="2"/>
        <v>-9.7699626167013776E-15</v>
      </c>
      <c r="J42" s="17">
        <f t="shared" si="3"/>
        <v>1925.814261690901</v>
      </c>
      <c r="K42" s="17">
        <f t="shared" si="4"/>
        <v>1925.8142616909038</v>
      </c>
      <c r="L42" s="139">
        <f t="shared" si="5"/>
        <v>-2.7284841053187847E-12</v>
      </c>
    </row>
    <row r="43" spans="1:12">
      <c r="A43" s="8">
        <v>44968</v>
      </c>
      <c r="B43" s="17">
        <f>Comb!C43</f>
        <v>1</v>
      </c>
      <c r="C43" s="17">
        <f>Tank!L44</f>
        <v>1</v>
      </c>
      <c r="D43" s="17">
        <f t="shared" si="0"/>
        <v>264.17205235814845</v>
      </c>
      <c r="E43" s="17">
        <f t="shared" si="1"/>
        <v>264.17205235814845</v>
      </c>
      <c r="F43" s="17">
        <f t="shared" si="6"/>
        <v>0</v>
      </c>
      <c r="G43" s="139">
        <f>Comb!E43</f>
        <v>7.4699999999999962</v>
      </c>
      <c r="H43" s="139">
        <f>Tank!O44</f>
        <v>7.4699999999999989</v>
      </c>
      <c r="I43" s="17">
        <f t="shared" si="2"/>
        <v>0</v>
      </c>
      <c r="J43" s="17">
        <f t="shared" si="3"/>
        <v>1973.3652311153678</v>
      </c>
      <c r="K43" s="17">
        <f t="shared" si="4"/>
        <v>1973.3652311153685</v>
      </c>
      <c r="L43" s="139">
        <f t="shared" si="5"/>
        <v>0</v>
      </c>
    </row>
    <row r="44" spans="1:12">
      <c r="A44" s="8">
        <v>44969</v>
      </c>
      <c r="B44" s="17">
        <f>Comb!C44</f>
        <v>1.2</v>
      </c>
      <c r="C44" s="17">
        <f>Tank!L45</f>
        <v>1.2000000000000455</v>
      </c>
      <c r="D44" s="17">
        <f t="shared" si="0"/>
        <v>317.00646282977812</v>
      </c>
      <c r="E44" s="17">
        <f t="shared" si="1"/>
        <v>317.00646282979011</v>
      </c>
      <c r="F44" s="17">
        <f t="shared" si="6"/>
        <v>-1.1993961379630491E-11</v>
      </c>
      <c r="G44" s="139">
        <f>Comb!E44</f>
        <v>7.6400000000000015</v>
      </c>
      <c r="H44" s="139">
        <f>Tank!O45</f>
        <v>7.6400000000000006</v>
      </c>
      <c r="I44" s="17">
        <f t="shared" si="2"/>
        <v>0</v>
      </c>
      <c r="J44" s="17">
        <f t="shared" si="3"/>
        <v>2018.2744800162545</v>
      </c>
      <c r="K44" s="17">
        <f t="shared" si="4"/>
        <v>2018.2744800162543</v>
      </c>
      <c r="L44" s="139">
        <f t="shared" si="5"/>
        <v>0</v>
      </c>
    </row>
    <row r="45" spans="1:12">
      <c r="A45" s="8">
        <v>44970</v>
      </c>
      <c r="B45" s="17">
        <f>Comb!C45</f>
        <v>0.8</v>
      </c>
      <c r="C45" s="17">
        <f>Tank!L46</f>
        <v>0.79999999999995453</v>
      </c>
      <c r="D45" s="17">
        <f t="shared" si="0"/>
        <v>211.33764188651872</v>
      </c>
      <c r="E45" s="17">
        <f t="shared" si="1"/>
        <v>211.33764188650673</v>
      </c>
      <c r="F45" s="17">
        <f t="shared" si="6"/>
        <v>1.1993961379630491E-11</v>
      </c>
      <c r="G45" s="139">
        <f>Comb!E45</f>
        <v>7.349999999999997</v>
      </c>
      <c r="H45" s="139">
        <f>Tank!O46</f>
        <v>-34.240000000000009</v>
      </c>
      <c r="I45" s="17">
        <f t="shared" si="2"/>
        <v>41.59</v>
      </c>
      <c r="J45" s="17">
        <f t="shared" si="3"/>
        <v>1941.6645848323901</v>
      </c>
      <c r="K45" s="17">
        <f t="shared" si="4"/>
        <v>-9045.2510727430035</v>
      </c>
      <c r="L45" s="139">
        <f t="shared" si="5"/>
        <v>10986.915657575393</v>
      </c>
    </row>
    <row r="46" spans="1:12">
      <c r="A46" s="8">
        <v>44971</v>
      </c>
      <c r="B46" s="17">
        <f>Comb!C46</f>
        <v>1.5</v>
      </c>
      <c r="C46" s="17">
        <f>Tank!L47</f>
        <v>1.5</v>
      </c>
      <c r="D46" s="17">
        <f t="shared" si="0"/>
        <v>396.25807853722262</v>
      </c>
      <c r="E46" s="17">
        <f t="shared" si="1"/>
        <v>396.25807853722262</v>
      </c>
      <c r="F46" s="17">
        <f t="shared" si="6"/>
        <v>0</v>
      </c>
      <c r="G46" s="139">
        <f>Comb!E46</f>
        <v>7.4399999999999986</v>
      </c>
      <c r="H46" s="139">
        <f>Tank!O47</f>
        <v>7.4400000000000119</v>
      </c>
      <c r="I46" s="17">
        <f t="shared" si="2"/>
        <v>-1.3322676295501878E-14</v>
      </c>
      <c r="J46" s="17">
        <f t="shared" si="3"/>
        <v>1965.4400695446238</v>
      </c>
      <c r="K46" s="17">
        <f t="shared" si="4"/>
        <v>1965.4400695446275</v>
      </c>
      <c r="L46" s="139">
        <f t="shared" si="5"/>
        <v>-3.637978807091713E-12</v>
      </c>
    </row>
    <row r="47" spans="1:12">
      <c r="A47" s="8">
        <v>44972</v>
      </c>
      <c r="B47" s="17">
        <f>Comb!C47</f>
        <v>0.9</v>
      </c>
      <c r="C47" s="17">
        <f>Tank!L48</f>
        <v>-40.700000000000045</v>
      </c>
      <c r="D47" s="17">
        <f t="shared" si="0"/>
        <v>237.75484712233359</v>
      </c>
      <c r="E47" s="17">
        <f t="shared" si="1"/>
        <v>-10751.802530976653</v>
      </c>
      <c r="F47" s="17">
        <f t="shared" si="6"/>
        <v>10989.557378098987</v>
      </c>
      <c r="G47" s="139">
        <f>Comb!E47</f>
        <v>7.53</v>
      </c>
      <c r="H47" s="139">
        <f>Tank!O48</f>
        <v>7.5300000000000011</v>
      </c>
      <c r="I47" s="17">
        <f t="shared" si="2"/>
        <v>0</v>
      </c>
      <c r="J47" s="17">
        <f t="shared" si="3"/>
        <v>1989.2155542568576</v>
      </c>
      <c r="K47" s="17">
        <f t="shared" si="4"/>
        <v>1989.2155542568578</v>
      </c>
      <c r="L47" s="139">
        <f t="shared" si="5"/>
        <v>0</v>
      </c>
    </row>
    <row r="48" spans="1:12">
      <c r="A48" s="8">
        <v>44973</v>
      </c>
      <c r="B48" s="17">
        <f>Comb!C48</f>
        <v>0.4</v>
      </c>
      <c r="C48" s="17">
        <f>Tank!L49</f>
        <v>0.40000000000009095</v>
      </c>
      <c r="D48" s="17">
        <f t="shared" si="0"/>
        <v>105.66882094325936</v>
      </c>
      <c r="E48" s="17">
        <f t="shared" si="1"/>
        <v>105.66882094328339</v>
      </c>
      <c r="F48" s="17">
        <f t="shared" si="6"/>
        <v>-2.4030555323406588E-11</v>
      </c>
      <c r="G48" s="139">
        <f>Comb!E48</f>
        <v>6.8900000000000015</v>
      </c>
      <c r="H48" s="139">
        <f>Tank!O49</f>
        <v>6.8899999999999864</v>
      </c>
      <c r="I48" s="17">
        <f t="shared" si="2"/>
        <v>1.5099033134902129E-14</v>
      </c>
      <c r="J48" s="17">
        <f t="shared" si="3"/>
        <v>1820.1454407476431</v>
      </c>
      <c r="K48" s="17">
        <f t="shared" si="4"/>
        <v>1820.145440747639</v>
      </c>
      <c r="L48" s="139">
        <f t="shared" si="5"/>
        <v>4.0927261579781771E-12</v>
      </c>
    </row>
    <row r="49" spans="1:14">
      <c r="A49" s="8">
        <v>44974</v>
      </c>
      <c r="B49" s="17">
        <f>Comb!C49</f>
        <v>1</v>
      </c>
      <c r="C49" s="17">
        <f>Tank!L50</f>
        <v>1</v>
      </c>
      <c r="D49" s="17">
        <f t="shared" si="0"/>
        <v>264.17205235814845</v>
      </c>
      <c r="E49" s="17">
        <f t="shared" si="1"/>
        <v>264.17205235814845</v>
      </c>
      <c r="F49" s="17">
        <f t="shared" si="6"/>
        <v>0</v>
      </c>
      <c r="G49" s="139">
        <f>Comb!E49</f>
        <v>6.8200000000000012</v>
      </c>
      <c r="H49" s="139">
        <f>Tank!O50</f>
        <v>6.8200000000000074</v>
      </c>
      <c r="I49" s="17">
        <f t="shared" si="2"/>
        <v>0</v>
      </c>
      <c r="J49" s="17">
        <f t="shared" si="3"/>
        <v>1801.6533970825724</v>
      </c>
      <c r="K49" s="17">
        <f t="shared" si="4"/>
        <v>1801.6533970825742</v>
      </c>
      <c r="L49" s="139">
        <f t="shared" si="5"/>
        <v>-1.8189894035458565E-12</v>
      </c>
      <c r="N49">
        <f>33.2*3</f>
        <v>99.600000000000009</v>
      </c>
    </row>
    <row r="50" spans="1:14">
      <c r="A50" s="8">
        <v>44975</v>
      </c>
      <c r="B50" s="17">
        <f>Comb!C50</f>
        <v>1.4</v>
      </c>
      <c r="C50" s="17">
        <f>Tank!L51</f>
        <v>1.3999999999999773</v>
      </c>
      <c r="D50" s="17">
        <f t="shared" si="0"/>
        <v>369.84087330140778</v>
      </c>
      <c r="E50" s="17">
        <f t="shared" si="1"/>
        <v>369.84087330140181</v>
      </c>
      <c r="F50" s="17">
        <f t="shared" si="6"/>
        <v>5.9685589803848416E-12</v>
      </c>
      <c r="G50" s="139">
        <f>Comb!E50</f>
        <v>7.5100000000000007</v>
      </c>
      <c r="H50" s="139">
        <f>Tank!O51</f>
        <v>7.509999999999998</v>
      </c>
      <c r="I50" s="17">
        <f t="shared" si="2"/>
        <v>0</v>
      </c>
      <c r="J50" s="17">
        <f t="shared" si="3"/>
        <v>1983.932113209695</v>
      </c>
      <c r="K50" s="17">
        <f t="shared" si="4"/>
        <v>1983.9321132096941</v>
      </c>
      <c r="L50" s="139">
        <f t="shared" si="5"/>
        <v>0</v>
      </c>
    </row>
    <row r="51" spans="1:14">
      <c r="A51" s="8">
        <v>44976</v>
      </c>
      <c r="B51" s="17">
        <f>Comb!C51</f>
        <v>1.5</v>
      </c>
      <c r="C51" s="17">
        <f>Tank!L52</f>
        <v>1.5</v>
      </c>
      <c r="D51" s="17">
        <f t="shared" si="0"/>
        <v>396.25807853722262</v>
      </c>
      <c r="E51" s="17">
        <f t="shared" si="1"/>
        <v>396.25807853722262</v>
      </c>
      <c r="F51" s="17">
        <f t="shared" si="6"/>
        <v>0</v>
      </c>
      <c r="G51" s="139">
        <f>Comb!E51</f>
        <v>7.6300000000000017</v>
      </c>
      <c r="H51" s="139">
        <f>Tank!O52</f>
        <v>7.6300000000000026</v>
      </c>
      <c r="I51" s="17">
        <f t="shared" si="2"/>
        <v>0</v>
      </c>
      <c r="J51" s="17">
        <f t="shared" si="3"/>
        <v>2015.6327594926729</v>
      </c>
      <c r="K51" s="17">
        <f t="shared" si="4"/>
        <v>2015.6327594926731</v>
      </c>
      <c r="L51" s="139">
        <f t="shared" si="5"/>
        <v>0</v>
      </c>
    </row>
    <row r="52" spans="1:14">
      <c r="A52" s="8">
        <v>44977</v>
      </c>
      <c r="B52" s="17">
        <f>Comb!C52</f>
        <v>1.4</v>
      </c>
      <c r="C52" s="17">
        <f>Tank!L53</f>
        <v>1.3999999999999773</v>
      </c>
      <c r="D52" s="17">
        <f t="shared" si="0"/>
        <v>369.84087330140778</v>
      </c>
      <c r="E52" s="17">
        <f t="shared" si="1"/>
        <v>369.84087330140181</v>
      </c>
      <c r="F52" s="17">
        <f t="shared" si="6"/>
        <v>5.9685589803848416E-12</v>
      </c>
      <c r="G52" s="139">
        <f>Comb!E52</f>
        <v>6.2199999999999989</v>
      </c>
      <c r="H52" s="139">
        <f>Tank!O53</f>
        <v>-35.36</v>
      </c>
      <c r="I52" s="17">
        <f t="shared" si="2"/>
        <v>41.58</v>
      </c>
      <c r="J52" s="17">
        <f t="shared" si="3"/>
        <v>1643.150165667683</v>
      </c>
      <c r="K52" s="17">
        <f t="shared" si="4"/>
        <v>-9341.1237713841274</v>
      </c>
      <c r="L52" s="139">
        <f t="shared" si="5"/>
        <v>10984.27393705181</v>
      </c>
    </row>
    <row r="53" spans="1:14">
      <c r="A53" s="8">
        <v>44978</v>
      </c>
      <c r="B53" s="17">
        <f>Comb!C53</f>
        <v>1.5</v>
      </c>
      <c r="C53" s="17">
        <f>Tank!L54</f>
        <v>1.5</v>
      </c>
      <c r="D53" s="17">
        <f t="shared" si="0"/>
        <v>396.25807853722262</v>
      </c>
      <c r="E53" s="17">
        <f t="shared" si="1"/>
        <v>396.25807853722262</v>
      </c>
      <c r="F53" s="17">
        <f t="shared" si="6"/>
        <v>0</v>
      </c>
      <c r="G53" s="139">
        <f>Comb!E53</f>
        <v>6.4299999999999979</v>
      </c>
      <c r="H53" s="139">
        <f>Tank!O54</f>
        <v>6.4299999999999926</v>
      </c>
      <c r="I53" s="17">
        <f t="shared" si="2"/>
        <v>0</v>
      </c>
      <c r="J53" s="17">
        <f t="shared" si="3"/>
        <v>1698.626296662894</v>
      </c>
      <c r="K53" s="17">
        <f t="shared" si="4"/>
        <v>1698.6262966628924</v>
      </c>
      <c r="L53" s="139">
        <f t="shared" si="5"/>
        <v>0</v>
      </c>
    </row>
    <row r="54" spans="1:14">
      <c r="A54" s="8">
        <v>44979</v>
      </c>
      <c r="B54" s="17">
        <f>Comb!C54</f>
        <v>1.6</v>
      </c>
      <c r="C54" s="17">
        <f>Tank!L55</f>
        <v>1.6000000000000227</v>
      </c>
      <c r="D54" s="17">
        <f t="shared" si="0"/>
        <v>422.67528377303745</v>
      </c>
      <c r="E54" s="17">
        <f t="shared" si="1"/>
        <v>422.67528377304347</v>
      </c>
      <c r="F54" s="17">
        <f t="shared" si="6"/>
        <v>-6.0254023992456496E-12</v>
      </c>
      <c r="G54" s="139">
        <f>Comb!E54</f>
        <v>6.6499999999999977</v>
      </c>
      <c r="H54" s="139">
        <f>Tank!O55</f>
        <v>6.6500000000000057</v>
      </c>
      <c r="I54" s="17">
        <f t="shared" si="2"/>
        <v>-7.9936057773011271E-15</v>
      </c>
      <c r="J54" s="17">
        <f t="shared" si="3"/>
        <v>1756.7441481816863</v>
      </c>
      <c r="K54" s="17">
        <f t="shared" si="4"/>
        <v>1756.7441481816884</v>
      </c>
      <c r="L54" s="139">
        <f t="shared" si="5"/>
        <v>-2.0463630789890885E-12</v>
      </c>
    </row>
    <row r="55" spans="1:14">
      <c r="A55" s="8">
        <v>44980</v>
      </c>
      <c r="B55" s="17">
        <f>Comb!C55</f>
        <v>2.6</v>
      </c>
      <c r="C55" s="17">
        <f>Tank!L56</f>
        <v>2.6000000000000227</v>
      </c>
      <c r="D55" s="17">
        <f t="shared" si="0"/>
        <v>686.8473361311859</v>
      </c>
      <c r="E55" s="17">
        <f t="shared" si="1"/>
        <v>686.84733613119192</v>
      </c>
      <c r="F55" s="17">
        <f t="shared" si="6"/>
        <v>-6.0254023992456496E-12</v>
      </c>
      <c r="G55" s="139">
        <f>Comb!E55</f>
        <v>7.7000000000000028</v>
      </c>
      <c r="H55" s="139">
        <f>Tank!O56</f>
        <v>7.7000000000000028</v>
      </c>
      <c r="I55" s="17">
        <f t="shared" si="2"/>
        <v>0</v>
      </c>
      <c r="J55" s="17">
        <f t="shared" si="3"/>
        <v>2034.1248031577436</v>
      </c>
      <c r="K55" s="17">
        <f t="shared" si="4"/>
        <v>2034.1248031577436</v>
      </c>
      <c r="L55" s="139">
        <f t="shared" si="5"/>
        <v>0</v>
      </c>
    </row>
    <row r="56" spans="1:14">
      <c r="A56" s="8">
        <v>44981</v>
      </c>
      <c r="B56" s="17">
        <f>Comb!C56</f>
        <v>2</v>
      </c>
      <c r="C56" s="17">
        <f>Tank!L57</f>
        <v>2</v>
      </c>
      <c r="D56" s="17">
        <f t="shared" si="0"/>
        <v>528.3441047162969</v>
      </c>
      <c r="E56" s="17">
        <f t="shared" si="1"/>
        <v>528.3441047162969</v>
      </c>
      <c r="F56" s="17">
        <f t="shared" si="6"/>
        <v>0</v>
      </c>
      <c r="G56" s="139">
        <f>Comb!E56</f>
        <v>7.4600000000000017</v>
      </c>
      <c r="H56" s="139">
        <f>Tank!O57</f>
        <v>-34.120000000000005</v>
      </c>
      <c r="I56" s="17">
        <f t="shared" si="2"/>
        <v>41.580000000000005</v>
      </c>
      <c r="J56" s="17">
        <f t="shared" si="3"/>
        <v>1970.7235105917878</v>
      </c>
      <c r="K56" s="17">
        <f t="shared" si="4"/>
        <v>-9013.5504264600258</v>
      </c>
      <c r="L56" s="139">
        <f t="shared" si="5"/>
        <v>10984.273937051814</v>
      </c>
    </row>
    <row r="57" spans="1:14">
      <c r="A57" s="8">
        <v>44982</v>
      </c>
      <c r="B57" s="17">
        <f>Comb!C57</f>
        <v>1</v>
      </c>
      <c r="C57" s="17">
        <f>Tank!L58</f>
        <v>1</v>
      </c>
      <c r="D57" s="17">
        <f t="shared" si="0"/>
        <v>264.17205235814845</v>
      </c>
      <c r="E57" s="17">
        <f t="shared" si="1"/>
        <v>264.17205235814845</v>
      </c>
      <c r="F57" s="17">
        <f t="shared" si="6"/>
        <v>0</v>
      </c>
      <c r="G57" s="139">
        <f>Comb!E57</f>
        <v>6.7600000000000033</v>
      </c>
      <c r="H57" s="139">
        <f>Tank!O58</f>
        <v>6.7600000000000051</v>
      </c>
      <c r="I57" s="17">
        <f t="shared" si="2"/>
        <v>0</v>
      </c>
      <c r="J57" s="17">
        <f t="shared" si="3"/>
        <v>1785.8030739410842</v>
      </c>
      <c r="K57" s="17">
        <f t="shared" si="4"/>
        <v>1785.8030739410847</v>
      </c>
      <c r="L57" s="139">
        <f t="shared" si="5"/>
        <v>0</v>
      </c>
    </row>
    <row r="58" spans="1:14">
      <c r="A58" s="8">
        <v>44983</v>
      </c>
      <c r="B58" s="17">
        <f>Comb!C58</f>
        <v>3</v>
      </c>
      <c r="C58" s="17">
        <f>Tank!L59</f>
        <v>3</v>
      </c>
      <c r="D58" s="17">
        <f t="shared" si="0"/>
        <v>792.51615707444523</v>
      </c>
      <c r="E58" s="17">
        <f t="shared" si="1"/>
        <v>792.51615707444523</v>
      </c>
      <c r="F58" s="17">
        <f t="shared" si="6"/>
        <v>0</v>
      </c>
      <c r="G58" s="139">
        <f>Comb!E58</f>
        <v>5.8400000000000016</v>
      </c>
      <c r="H58" s="139">
        <f>Tank!O59</f>
        <v>5.8400000000000034</v>
      </c>
      <c r="I58" s="17">
        <f t="shared" si="2"/>
        <v>0</v>
      </c>
      <c r="J58" s="17">
        <f t="shared" si="3"/>
        <v>1542.7647857715872</v>
      </c>
      <c r="K58" s="17">
        <f t="shared" si="4"/>
        <v>1542.7647857715876</v>
      </c>
      <c r="L58" s="139">
        <f t="shared" si="5"/>
        <v>0</v>
      </c>
    </row>
    <row r="59" spans="1:14">
      <c r="A59" s="8">
        <v>44984</v>
      </c>
      <c r="B59" s="17">
        <f>Comb!C59</f>
        <v>1.5</v>
      </c>
      <c r="C59" s="17">
        <f>Tank!L60</f>
        <v>1.5</v>
      </c>
      <c r="D59" s="17">
        <f t="shared" si="0"/>
        <v>396.25807853722262</v>
      </c>
      <c r="E59" s="17">
        <f t="shared" si="1"/>
        <v>396.25807853722262</v>
      </c>
      <c r="F59" s="17">
        <f t="shared" si="6"/>
        <v>0</v>
      </c>
      <c r="G59" s="139">
        <f>Comb!E59</f>
        <v>6.6200000000000019</v>
      </c>
      <c r="H59" s="139">
        <f>Tank!O60</f>
        <v>6.6199999999999903</v>
      </c>
      <c r="I59" s="17">
        <f t="shared" si="2"/>
        <v>1.1546319456101628E-14</v>
      </c>
      <c r="J59" s="17">
        <f t="shared" si="3"/>
        <v>1748.8189866109431</v>
      </c>
      <c r="K59" s="17">
        <f t="shared" si="4"/>
        <v>1748.8189866109399</v>
      </c>
      <c r="L59" s="139">
        <f t="shared" si="5"/>
        <v>3.1832314562052488E-12</v>
      </c>
    </row>
    <row r="60" spans="1:14">
      <c r="A60" s="8">
        <v>44985</v>
      </c>
      <c r="B60" s="17">
        <f>Comb!C60</f>
        <v>1.8</v>
      </c>
      <c r="C60" s="17">
        <f>Tank!L61</f>
        <v>1.7999999999999545</v>
      </c>
      <c r="D60" s="17">
        <f t="shared" si="0"/>
        <v>475.50969424466717</v>
      </c>
      <c r="E60" s="17">
        <f t="shared" si="1"/>
        <v>475.50969424465512</v>
      </c>
      <c r="F60" s="17">
        <f t="shared" si="6"/>
        <v>1.2050804798491299E-11</v>
      </c>
      <c r="G60" s="139">
        <f>Comb!E60</f>
        <v>6.7600000000000025</v>
      </c>
      <c r="H60" s="139">
        <f>Tank!O61</f>
        <v>6.7600000000000051</v>
      </c>
      <c r="I60" s="17">
        <f t="shared" si="2"/>
        <v>0</v>
      </c>
      <c r="J60" s="17">
        <f t="shared" si="3"/>
        <v>1785.803073941084</v>
      </c>
      <c r="K60" s="17">
        <f t="shared" si="4"/>
        <v>1785.8030739410847</v>
      </c>
      <c r="L60" s="139">
        <f t="shared" si="5"/>
        <v>0</v>
      </c>
    </row>
    <row r="61" spans="1:14">
      <c r="A61" s="8">
        <v>44986</v>
      </c>
      <c r="B61" s="17">
        <f>Comb!C61</f>
        <v>1.9</v>
      </c>
      <c r="C61" s="17">
        <f>Tank!L62</f>
        <v>-39.700000000000045</v>
      </c>
      <c r="D61" s="17">
        <f t="shared" si="0"/>
        <v>501.92689948048201</v>
      </c>
      <c r="E61" s="17">
        <f t="shared" si="1"/>
        <v>-10487.630478618505</v>
      </c>
      <c r="F61" s="17">
        <f t="shared" si="6"/>
        <v>10989.557378098987</v>
      </c>
      <c r="G61" s="139">
        <f>Comb!E61</f>
        <v>6.419999999999999</v>
      </c>
      <c r="H61" s="139">
        <f>Tank!O62</f>
        <v>6.4200000000000017</v>
      </c>
      <c r="I61" s="17">
        <f t="shared" si="2"/>
        <v>0</v>
      </c>
      <c r="J61" s="17">
        <f t="shared" si="3"/>
        <v>1695.9845761393126</v>
      </c>
      <c r="K61" s="17">
        <f t="shared" si="4"/>
        <v>1695.9845761393133</v>
      </c>
      <c r="L61" s="139">
        <f t="shared" si="5"/>
        <v>0</v>
      </c>
    </row>
    <row r="62" spans="1:14">
      <c r="A62" s="8">
        <v>44987</v>
      </c>
      <c r="B62" s="17">
        <f>Comb!C62</f>
        <v>3.6</v>
      </c>
      <c r="C62" s="17">
        <f>Tank!L63</f>
        <v>45.200000000000045</v>
      </c>
      <c r="D62" s="17">
        <f t="shared" si="0"/>
        <v>951.01938848933435</v>
      </c>
      <c r="E62" s="17">
        <f t="shared" si="1"/>
        <v>11940.57676658832</v>
      </c>
      <c r="F62" s="17">
        <f t="shared" si="6"/>
        <v>-10989.557378098985</v>
      </c>
      <c r="G62" s="139">
        <f>Comb!E62</f>
        <v>6.5199999999999978</v>
      </c>
      <c r="H62" s="139">
        <f>Tank!O63</f>
        <v>-35.11</v>
      </c>
      <c r="I62" s="17">
        <f t="shared" si="2"/>
        <v>41.629999999999995</v>
      </c>
      <c r="J62" s="17">
        <f t="shared" si="3"/>
        <v>1722.4017813751273</v>
      </c>
      <c r="K62" s="17">
        <f t="shared" si="4"/>
        <v>-9275.0807582945909</v>
      </c>
      <c r="L62" s="139">
        <f t="shared" si="5"/>
        <v>10997.482539669718</v>
      </c>
    </row>
    <row r="63" spans="1:14">
      <c r="A63" s="8">
        <v>44988</v>
      </c>
      <c r="B63" s="17">
        <f>Comb!C63</f>
        <v>2.2000000000000002</v>
      </c>
      <c r="C63" s="17">
        <f>Tank!L64</f>
        <v>2.2000000000000455</v>
      </c>
      <c r="D63" s="17">
        <f t="shared" si="0"/>
        <v>581.17851518792656</v>
      </c>
      <c r="E63" s="17">
        <f t="shared" si="1"/>
        <v>581.1785151879385</v>
      </c>
      <c r="F63" s="17">
        <f t="shared" si="6"/>
        <v>-1.1937117960769683E-11</v>
      </c>
      <c r="G63" s="139">
        <f>Comb!E63</f>
        <v>6.6300000000000017</v>
      </c>
      <c r="H63" s="139">
        <f>Tank!O64</f>
        <v>6.6299999999999955</v>
      </c>
      <c r="I63" s="17">
        <f t="shared" si="2"/>
        <v>0</v>
      </c>
      <c r="J63" s="17">
        <f t="shared" si="3"/>
        <v>1751.4607071345245</v>
      </c>
      <c r="K63" s="17">
        <f t="shared" si="4"/>
        <v>1751.4607071345229</v>
      </c>
      <c r="L63" s="139">
        <f t="shared" si="5"/>
        <v>0</v>
      </c>
    </row>
    <row r="64" spans="1:14">
      <c r="A64" s="8">
        <v>44989</v>
      </c>
      <c r="B64" s="17">
        <f>Comb!C64</f>
        <v>1.3</v>
      </c>
      <c r="C64" s="17">
        <f>Tank!L65</f>
        <v>1.2999999999999545</v>
      </c>
      <c r="D64" s="17">
        <f t="shared" si="0"/>
        <v>343.42366806559295</v>
      </c>
      <c r="E64" s="17">
        <f t="shared" si="1"/>
        <v>343.42366806558096</v>
      </c>
      <c r="F64" s="17">
        <f t="shared" si="6"/>
        <v>1.1993961379630491E-11</v>
      </c>
      <c r="G64" s="139">
        <f>Comb!E64</f>
        <v>6.700000000000002</v>
      </c>
      <c r="H64" s="139">
        <f>Tank!O65</f>
        <v>6.7000000000000028</v>
      </c>
      <c r="I64" s="17">
        <f t="shared" si="2"/>
        <v>0</v>
      </c>
      <c r="J64" s="17">
        <f t="shared" si="3"/>
        <v>1769.9527507995949</v>
      </c>
      <c r="K64" s="17">
        <f t="shared" si="4"/>
        <v>1769.9527507995952</v>
      </c>
      <c r="L64" s="139">
        <f t="shared" si="5"/>
        <v>0</v>
      </c>
    </row>
    <row r="65" spans="1:12">
      <c r="A65" s="8">
        <v>44990</v>
      </c>
      <c r="B65" s="17">
        <f>Comb!C65</f>
        <v>1.2</v>
      </c>
      <c r="C65" s="17">
        <f>Tank!L66</f>
        <v>1.2000000000000455</v>
      </c>
      <c r="D65" s="17">
        <f t="shared" si="0"/>
        <v>317.00646282977812</v>
      </c>
      <c r="E65" s="17">
        <f t="shared" si="1"/>
        <v>317.00646282979011</v>
      </c>
      <c r="F65" s="17">
        <f t="shared" si="6"/>
        <v>-1.1993961379630491E-11</v>
      </c>
      <c r="G65" s="139">
        <f>Comb!E65</f>
        <v>6.7700000000000022</v>
      </c>
      <c r="H65" s="139">
        <f>Tank!O66</f>
        <v>6.769999999999996</v>
      </c>
      <c r="I65" s="17">
        <f t="shared" si="2"/>
        <v>0</v>
      </c>
      <c r="J65" s="17">
        <f t="shared" si="3"/>
        <v>1788.4447944646654</v>
      </c>
      <c r="K65" s="17">
        <f t="shared" si="4"/>
        <v>1788.4447944646638</v>
      </c>
      <c r="L65" s="139">
        <f t="shared" si="5"/>
        <v>0</v>
      </c>
    </row>
    <row r="66" spans="1:12">
      <c r="A66" s="8">
        <v>44991</v>
      </c>
      <c r="B66" s="17">
        <f>Comb!C66</f>
        <v>0.7</v>
      </c>
      <c r="C66" s="17">
        <f>Tank!L67</f>
        <v>0.69999999999993179</v>
      </c>
      <c r="D66" s="17">
        <f t="shared" ref="D66:D121" si="7">+CONVERT(B66,"m^3","gal")</f>
        <v>184.92043665070389</v>
      </c>
      <c r="E66" s="17">
        <f t="shared" ref="E66:E121" si="8">+CONVERT(C66,"m^3","gal")</f>
        <v>184.92043665068587</v>
      </c>
      <c r="F66" s="17">
        <f t="shared" ref="F66:F121" si="9">D66-E66</f>
        <v>1.8019363778876141E-11</v>
      </c>
      <c r="G66" s="139">
        <f>Comb!E66</f>
        <v>6.6700000000000008</v>
      </c>
      <c r="H66" s="139">
        <f>Tank!O67</f>
        <v>6.6700000000000017</v>
      </c>
      <c r="I66" s="17">
        <f t="shared" ref="I66:I129" si="10">G66-H66</f>
        <v>0</v>
      </c>
      <c r="J66" s="17">
        <f t="shared" ref="J66:J129" si="11">+CONVERT(G66,"m^3","gal")</f>
        <v>1762.0275892288503</v>
      </c>
      <c r="K66" s="17">
        <f t="shared" ref="K66:K129" si="12">+CONVERT(H66,"m^3","gal")</f>
        <v>1762.0275892288505</v>
      </c>
      <c r="L66" s="139">
        <f t="shared" ref="L66:L129" si="13">J66-K66</f>
        <v>0</v>
      </c>
    </row>
    <row r="67" spans="1:12">
      <c r="A67" s="8">
        <v>44992</v>
      </c>
      <c r="B67" s="17">
        <f>Comb!C67</f>
        <v>0.7</v>
      </c>
      <c r="C67" s="17">
        <f>Tank!L68</f>
        <v>0.70000000000004547</v>
      </c>
      <c r="D67" s="17">
        <f t="shared" si="7"/>
        <v>184.92043665070389</v>
      </c>
      <c r="E67" s="17">
        <f t="shared" si="8"/>
        <v>184.92043665071591</v>
      </c>
      <c r="F67" s="17">
        <f t="shared" si="9"/>
        <v>-1.2022383089060895E-11</v>
      </c>
      <c r="G67" s="139">
        <f>Comb!E67</f>
        <v>6.57</v>
      </c>
      <c r="H67" s="139">
        <f>Tank!O68</f>
        <v>-27.14</v>
      </c>
      <c r="I67" s="17">
        <f t="shared" si="10"/>
        <v>33.71</v>
      </c>
      <c r="J67" s="17">
        <f t="shared" si="11"/>
        <v>1735.6103839930352</v>
      </c>
      <c r="K67" s="17">
        <f t="shared" si="12"/>
        <v>-7169.6295010001486</v>
      </c>
      <c r="L67" s="139">
        <f t="shared" si="13"/>
        <v>8905.2398849931833</v>
      </c>
    </row>
    <row r="68" spans="1:12">
      <c r="A68" s="8">
        <v>44993</v>
      </c>
      <c r="B68" s="17">
        <f>Comb!C68</f>
        <v>1.4</v>
      </c>
      <c r="C68" s="17">
        <f>Tank!L69</f>
        <v>1.3999999999999773</v>
      </c>
      <c r="D68" s="17">
        <f t="shared" si="7"/>
        <v>369.84087330140778</v>
      </c>
      <c r="E68" s="17">
        <f t="shared" si="8"/>
        <v>369.84087330140181</v>
      </c>
      <c r="F68" s="17">
        <f t="shared" si="9"/>
        <v>5.9685589803848416E-12</v>
      </c>
      <c r="G68" s="139">
        <f>Comb!E68</f>
        <v>6.8200000000000021</v>
      </c>
      <c r="H68" s="139">
        <f>Tank!O69</f>
        <v>6.8199999999999932</v>
      </c>
      <c r="I68" s="17">
        <f t="shared" si="10"/>
        <v>8.8817841970012523E-15</v>
      </c>
      <c r="J68" s="17">
        <f t="shared" si="11"/>
        <v>1801.6533970825728</v>
      </c>
      <c r="K68" s="17">
        <f t="shared" si="12"/>
        <v>1801.6533970825703</v>
      </c>
      <c r="L68" s="139">
        <f t="shared" si="13"/>
        <v>2.5011104298755527E-12</v>
      </c>
    </row>
    <row r="69" spans="1:12">
      <c r="A69" s="8">
        <v>44994</v>
      </c>
      <c r="B69" s="17">
        <f>Comb!C69</f>
        <v>2.2999999999999998</v>
      </c>
      <c r="C69" s="17">
        <f>Tank!L70</f>
        <v>2.2999999999999545</v>
      </c>
      <c r="D69" s="17">
        <f t="shared" si="7"/>
        <v>607.59572042374134</v>
      </c>
      <c r="E69" s="17">
        <f t="shared" si="8"/>
        <v>607.5957204237294</v>
      </c>
      <c r="F69" s="17">
        <f t="shared" si="9"/>
        <v>1.1937117960769683E-11</v>
      </c>
      <c r="G69" s="139">
        <f>Comb!E69</f>
        <v>6.780000000000002</v>
      </c>
      <c r="H69" s="139">
        <f>Tank!O70</f>
        <v>6.7800000000000011</v>
      </c>
      <c r="I69" s="17">
        <f t="shared" si="10"/>
        <v>0</v>
      </c>
      <c r="J69" s="17">
        <f t="shared" si="11"/>
        <v>1791.0865149882468</v>
      </c>
      <c r="K69" s="17">
        <f t="shared" si="12"/>
        <v>1791.0865149882466</v>
      </c>
      <c r="L69" s="139">
        <f t="shared" si="13"/>
        <v>0</v>
      </c>
    </row>
    <row r="70" spans="1:12">
      <c r="A70" s="8">
        <v>44995</v>
      </c>
      <c r="B70" s="17">
        <f>Comb!C70</f>
        <v>1.3</v>
      </c>
      <c r="C70" s="17">
        <f>Tank!L71</f>
        <v>1.3000000000000682</v>
      </c>
      <c r="D70" s="17">
        <f t="shared" si="7"/>
        <v>343.42366806559295</v>
      </c>
      <c r="E70" s="17">
        <f t="shared" si="8"/>
        <v>343.42366806561097</v>
      </c>
      <c r="F70" s="17">
        <f t="shared" si="9"/>
        <v>-1.8019363778876141E-11</v>
      </c>
      <c r="G70" s="139">
        <f>Comb!E70</f>
        <v>6.49</v>
      </c>
      <c r="H70" s="139">
        <f>Tank!O71</f>
        <v>6.4900000000000091</v>
      </c>
      <c r="I70" s="17">
        <f t="shared" si="10"/>
        <v>-8.8817841970012523E-15</v>
      </c>
      <c r="J70" s="17">
        <f t="shared" si="11"/>
        <v>1714.4766198043833</v>
      </c>
      <c r="K70" s="17">
        <f t="shared" si="12"/>
        <v>1714.4766198043856</v>
      </c>
      <c r="L70" s="139">
        <f t="shared" si="13"/>
        <v>-2.2737367544323206E-12</v>
      </c>
    </row>
    <row r="71" spans="1:12">
      <c r="A71" s="8">
        <v>44996</v>
      </c>
      <c r="B71" s="17">
        <f>Comb!C71</f>
        <v>1.8</v>
      </c>
      <c r="C71" s="17">
        <f>Tank!L72</f>
        <v>1.7999999999999545</v>
      </c>
      <c r="D71" s="17">
        <f t="shared" si="7"/>
        <v>475.50969424466717</v>
      </c>
      <c r="E71" s="17">
        <f t="shared" si="8"/>
        <v>475.50969424465512</v>
      </c>
      <c r="F71" s="17">
        <f t="shared" si="9"/>
        <v>1.2050804798491299E-11</v>
      </c>
      <c r="G71" s="139">
        <f>Comb!E71</f>
        <v>6.3099999999999987</v>
      </c>
      <c r="H71" s="139">
        <f>Tank!O72</f>
        <v>6.3100000000000023</v>
      </c>
      <c r="I71" s="17">
        <f t="shared" si="10"/>
        <v>0</v>
      </c>
      <c r="J71" s="17">
        <f t="shared" si="11"/>
        <v>1666.9256503799163</v>
      </c>
      <c r="K71" s="17">
        <f t="shared" si="12"/>
        <v>1666.925650379917</v>
      </c>
      <c r="L71" s="139">
        <f t="shared" si="13"/>
        <v>0</v>
      </c>
    </row>
    <row r="72" spans="1:12">
      <c r="A72" s="8">
        <v>44997</v>
      </c>
      <c r="B72" s="17">
        <f>Comb!C72</f>
        <v>2.1</v>
      </c>
      <c r="C72" s="17">
        <f>Tank!L73</f>
        <v>1.8000000000000682</v>
      </c>
      <c r="D72" s="17">
        <f t="shared" si="7"/>
        <v>554.76130995211167</v>
      </c>
      <c r="E72" s="17">
        <f t="shared" si="8"/>
        <v>475.50969424468519</v>
      </c>
      <c r="F72" s="17">
        <f t="shared" si="9"/>
        <v>79.251615707426481</v>
      </c>
      <c r="G72" s="139">
        <f>Comb!E72</f>
        <v>6.2999999999999972</v>
      </c>
      <c r="H72" s="139">
        <f>Tank!O73</f>
        <v>6.2999999999999972</v>
      </c>
      <c r="I72" s="17">
        <f t="shared" si="10"/>
        <v>0</v>
      </c>
      <c r="J72" s="17">
        <f t="shared" si="11"/>
        <v>1664.2839298563345</v>
      </c>
      <c r="K72" s="17">
        <f t="shared" si="12"/>
        <v>1664.2839298563345</v>
      </c>
      <c r="L72" s="139">
        <f t="shared" si="13"/>
        <v>0</v>
      </c>
    </row>
    <row r="73" spans="1:12">
      <c r="A73" s="8">
        <v>44998</v>
      </c>
      <c r="B73" s="17">
        <f>Comb!C73</f>
        <v>1</v>
      </c>
      <c r="C73" s="17">
        <f>Tank!L74</f>
        <v>1.2999999999999545</v>
      </c>
      <c r="D73" s="17">
        <f t="shared" si="7"/>
        <v>264.17205235814845</v>
      </c>
      <c r="E73" s="17">
        <f t="shared" si="8"/>
        <v>343.42366806558096</v>
      </c>
      <c r="F73" s="17">
        <f t="shared" si="9"/>
        <v>-79.251615707432506</v>
      </c>
      <c r="G73" s="139">
        <f>Comb!E73</f>
        <v>6.4499999999999975</v>
      </c>
      <c r="H73" s="139">
        <f>Tank!O74</f>
        <v>6.4499999999999957</v>
      </c>
      <c r="I73" s="17">
        <f t="shared" si="10"/>
        <v>0</v>
      </c>
      <c r="J73" s="17">
        <f t="shared" si="11"/>
        <v>1703.9097377100566</v>
      </c>
      <c r="K73" s="17">
        <f t="shared" si="12"/>
        <v>1703.9097377100561</v>
      </c>
      <c r="L73" s="139">
        <f t="shared" si="13"/>
        <v>0</v>
      </c>
    </row>
    <row r="74" spans="1:12">
      <c r="A74" s="8">
        <v>44999</v>
      </c>
      <c r="B74" s="17">
        <f>Comb!C74</f>
        <v>1.8</v>
      </c>
      <c r="C74" s="17">
        <f>Tank!L75</f>
        <v>1.7999999999999545</v>
      </c>
      <c r="D74" s="17">
        <f t="shared" si="7"/>
        <v>475.50969424466717</v>
      </c>
      <c r="E74" s="17">
        <f t="shared" si="8"/>
        <v>475.50969424465512</v>
      </c>
      <c r="F74" s="17">
        <f t="shared" si="9"/>
        <v>1.2050804798491299E-11</v>
      </c>
      <c r="G74" s="139">
        <f>Comb!E74</f>
        <v>6.7100000000000017</v>
      </c>
      <c r="H74" s="139">
        <f>Tank!O75</f>
        <v>-34.889999999999993</v>
      </c>
      <c r="I74" s="17">
        <f t="shared" si="10"/>
        <v>41.599999999999994</v>
      </c>
      <c r="J74" s="17">
        <f t="shared" si="11"/>
        <v>1772.5944713231763</v>
      </c>
      <c r="K74" s="17">
        <f t="shared" si="12"/>
        <v>-9216.962906775796</v>
      </c>
      <c r="L74" s="139">
        <f t="shared" si="13"/>
        <v>10989.557378098973</v>
      </c>
    </row>
    <row r="75" spans="1:12">
      <c r="A75" s="8">
        <v>45000</v>
      </c>
      <c r="B75" s="17">
        <f>Comb!C75</f>
        <v>1</v>
      </c>
      <c r="C75" s="17">
        <f>Tank!L76</f>
        <v>1</v>
      </c>
      <c r="D75" s="17">
        <f t="shared" si="7"/>
        <v>264.17205235814845</v>
      </c>
      <c r="E75" s="17">
        <f t="shared" si="8"/>
        <v>264.17205235814845</v>
      </c>
      <c r="F75" s="17">
        <f t="shared" si="9"/>
        <v>0</v>
      </c>
      <c r="G75" s="139">
        <f>Comb!E75</f>
        <v>6.4099999999999984</v>
      </c>
      <c r="H75" s="139">
        <f>Tank!O76</f>
        <v>6.4099999999999966</v>
      </c>
      <c r="I75" s="17">
        <f t="shared" si="10"/>
        <v>0</v>
      </c>
      <c r="J75" s="17">
        <f t="shared" si="11"/>
        <v>1693.342855615731</v>
      </c>
      <c r="K75" s="17">
        <f t="shared" si="12"/>
        <v>1693.3428556157305</v>
      </c>
      <c r="L75" s="139">
        <f t="shared" si="13"/>
        <v>0</v>
      </c>
    </row>
    <row r="76" spans="1:12">
      <c r="A76" s="8">
        <v>45001</v>
      </c>
      <c r="B76" s="17">
        <f>Comb!C76</f>
        <v>2.2999999999999998</v>
      </c>
      <c r="C76" s="17">
        <f>Tank!L77</f>
        <v>2.3000000000000682</v>
      </c>
      <c r="D76" s="17">
        <f t="shared" si="7"/>
        <v>607.59572042374134</v>
      </c>
      <c r="E76" s="17">
        <f t="shared" si="8"/>
        <v>607.59572042375942</v>
      </c>
      <c r="F76" s="17">
        <f t="shared" si="9"/>
        <v>-1.8076207197736949E-11</v>
      </c>
      <c r="G76" s="139">
        <f>Comb!E76</f>
        <v>5.7999999999999989</v>
      </c>
      <c r="H76" s="139">
        <f>Tank!O77</f>
        <v>5.7999999999999972</v>
      </c>
      <c r="I76" s="17">
        <f t="shared" si="10"/>
        <v>0</v>
      </c>
      <c r="J76" s="17">
        <f t="shared" si="11"/>
        <v>1532.1979036772607</v>
      </c>
      <c r="K76" s="17">
        <f t="shared" si="12"/>
        <v>1532.1979036772602</v>
      </c>
      <c r="L76" s="139">
        <f t="shared" si="13"/>
        <v>0</v>
      </c>
    </row>
    <row r="77" spans="1:12">
      <c r="A77" s="8">
        <v>45002</v>
      </c>
      <c r="B77" s="17">
        <f>Comb!C77</f>
        <v>2.8</v>
      </c>
      <c r="C77" s="17">
        <f>Tank!L78</f>
        <v>2.7999999999999545</v>
      </c>
      <c r="D77" s="17">
        <f t="shared" si="7"/>
        <v>739.68174660281556</v>
      </c>
      <c r="E77" s="17">
        <f t="shared" si="8"/>
        <v>739.68174660280363</v>
      </c>
      <c r="F77" s="17">
        <f t="shared" si="9"/>
        <v>1.1937117960769683E-11</v>
      </c>
      <c r="G77" s="139">
        <f>Comb!E77</f>
        <v>6.1400000000000023</v>
      </c>
      <c r="H77" s="139">
        <f>Tank!O78</f>
        <v>6.1400000000000006</v>
      </c>
      <c r="I77" s="17">
        <f t="shared" si="10"/>
        <v>0</v>
      </c>
      <c r="J77" s="17">
        <f t="shared" si="11"/>
        <v>1622.0164014790321</v>
      </c>
      <c r="K77" s="17">
        <f t="shared" si="12"/>
        <v>1622.0164014790316</v>
      </c>
      <c r="L77" s="139">
        <f t="shared" si="13"/>
        <v>0</v>
      </c>
    </row>
    <row r="78" spans="1:12">
      <c r="A78" s="8">
        <v>45003</v>
      </c>
      <c r="B78" s="17">
        <f>Comb!C78</f>
        <v>1</v>
      </c>
      <c r="C78" s="17">
        <f>Tank!L79</f>
        <v>1</v>
      </c>
      <c r="D78" s="17">
        <f t="shared" si="7"/>
        <v>264.17205235814845</v>
      </c>
      <c r="E78" s="17">
        <f t="shared" si="8"/>
        <v>264.17205235814845</v>
      </c>
      <c r="F78" s="17">
        <f t="shared" si="9"/>
        <v>0</v>
      </c>
      <c r="G78" s="139">
        <f>Comb!E78</f>
        <v>5.8600000000000012</v>
      </c>
      <c r="H78" s="139">
        <f>Tank!O79</f>
        <v>5.8599999999999994</v>
      </c>
      <c r="I78" s="17">
        <f t="shared" si="10"/>
        <v>0</v>
      </c>
      <c r="J78" s="17">
        <f t="shared" si="11"/>
        <v>1548.04822681875</v>
      </c>
      <c r="K78" s="17">
        <f t="shared" si="12"/>
        <v>1548.0482268187495</v>
      </c>
      <c r="L78" s="139">
        <f t="shared" si="13"/>
        <v>0</v>
      </c>
    </row>
    <row r="79" spans="1:12">
      <c r="A79" s="8">
        <v>45004</v>
      </c>
      <c r="B79" s="17">
        <f>Comb!C79</f>
        <v>2.4</v>
      </c>
      <c r="C79" s="17">
        <f>Tank!L80</f>
        <v>2.3999999999999773</v>
      </c>
      <c r="D79" s="17">
        <f t="shared" si="7"/>
        <v>634.01292565955623</v>
      </c>
      <c r="E79" s="17">
        <f t="shared" si="8"/>
        <v>634.01292565955021</v>
      </c>
      <c r="F79" s="17">
        <f t="shared" si="9"/>
        <v>6.0254023992456496E-12</v>
      </c>
      <c r="G79" s="139">
        <f>Comb!E79</f>
        <v>6.3999999999999968</v>
      </c>
      <c r="H79" s="139">
        <f>Tank!O80</f>
        <v>6.4000000000000057</v>
      </c>
      <c r="I79" s="17">
        <f t="shared" si="10"/>
        <v>-8.8817841970012523E-15</v>
      </c>
      <c r="J79" s="17">
        <f t="shared" si="11"/>
        <v>1690.7011350921489</v>
      </c>
      <c r="K79" s="17">
        <f t="shared" si="12"/>
        <v>1690.7011350921514</v>
      </c>
      <c r="L79" s="139">
        <f t="shared" si="13"/>
        <v>-2.5011104298755527E-12</v>
      </c>
    </row>
    <row r="80" spans="1:12">
      <c r="A80" s="8">
        <v>45005</v>
      </c>
      <c r="B80" s="17">
        <f>Comb!C80</f>
        <v>1.8</v>
      </c>
      <c r="C80" s="17">
        <f>Tank!L81</f>
        <v>1.8000000000000682</v>
      </c>
      <c r="D80" s="17">
        <f t="shared" si="7"/>
        <v>475.50969424466717</v>
      </c>
      <c r="E80" s="17">
        <f t="shared" si="8"/>
        <v>475.50969424468519</v>
      </c>
      <c r="F80" s="17">
        <f t="shared" si="9"/>
        <v>-1.8019363778876141E-11</v>
      </c>
      <c r="G80" s="139">
        <f>Comb!E80</f>
        <v>6.6300000000000017</v>
      </c>
      <c r="H80" s="139">
        <f>Tank!O81</f>
        <v>6.6299999999999955</v>
      </c>
      <c r="I80" s="17">
        <f t="shared" si="10"/>
        <v>0</v>
      </c>
      <c r="J80" s="17">
        <f t="shared" si="11"/>
        <v>1751.4607071345245</v>
      </c>
      <c r="K80" s="17">
        <f t="shared" si="12"/>
        <v>1751.4607071345229</v>
      </c>
      <c r="L80" s="139">
        <f t="shared" si="13"/>
        <v>0</v>
      </c>
    </row>
    <row r="81" spans="1:12">
      <c r="A81" s="8">
        <v>45006</v>
      </c>
      <c r="B81" s="17">
        <f>Comb!C81</f>
        <v>1.2</v>
      </c>
      <c r="C81" s="17">
        <f>Tank!L82</f>
        <v>1.1999999999999318</v>
      </c>
      <c r="D81" s="17">
        <f t="shared" si="7"/>
        <v>317.00646282977812</v>
      </c>
      <c r="E81" s="17">
        <f t="shared" si="8"/>
        <v>317.0064628297601</v>
      </c>
      <c r="F81" s="17">
        <f t="shared" si="9"/>
        <v>1.8019363778876141E-11</v>
      </c>
      <c r="G81" s="139">
        <f>Comb!E81</f>
        <v>6.7400000000000038</v>
      </c>
      <c r="H81" s="139">
        <f>Tank!O82</f>
        <v>-34.900000000000006</v>
      </c>
      <c r="I81" s="17">
        <f t="shared" si="10"/>
        <v>41.640000000000008</v>
      </c>
      <c r="J81" s="17">
        <f t="shared" si="11"/>
        <v>1780.5196328939214</v>
      </c>
      <c r="K81" s="17">
        <f t="shared" si="12"/>
        <v>-9219.6046272993826</v>
      </c>
      <c r="L81" s="139">
        <f t="shared" si="13"/>
        <v>11000.124260193305</v>
      </c>
    </row>
    <row r="82" spans="1:12">
      <c r="A82" s="8">
        <v>45007</v>
      </c>
      <c r="B82" s="17">
        <f>Comb!C82</f>
        <v>3.0999999999999996</v>
      </c>
      <c r="C82" s="17">
        <f>Tank!L83</f>
        <v>3.2000000000000455</v>
      </c>
      <c r="D82" s="17">
        <f t="shared" si="7"/>
        <v>818.93336231026001</v>
      </c>
      <c r="E82" s="17">
        <f t="shared" si="8"/>
        <v>845.35056754608695</v>
      </c>
      <c r="F82" s="17">
        <f t="shared" si="9"/>
        <v>-26.417205235826941</v>
      </c>
      <c r="G82" s="139">
        <f>Comb!E82</f>
        <v>6.2499999999999982</v>
      </c>
      <c r="H82" s="139">
        <f>Tank!O83</f>
        <v>6.25</v>
      </c>
      <c r="I82" s="17">
        <f t="shared" si="10"/>
        <v>0</v>
      </c>
      <c r="J82" s="17">
        <f t="shared" si="11"/>
        <v>1651.0753272384272</v>
      </c>
      <c r="K82" s="17">
        <f t="shared" si="12"/>
        <v>1651.0753272384277</v>
      </c>
      <c r="L82" s="139">
        <f t="shared" si="13"/>
        <v>0</v>
      </c>
    </row>
    <row r="83" spans="1:12">
      <c r="A83" s="8">
        <v>45008</v>
      </c>
      <c r="B83" s="17">
        <f>Comb!C83</f>
        <v>2.1</v>
      </c>
      <c r="C83" s="17">
        <f>Tank!L84</f>
        <v>-38.700000000000045</v>
      </c>
      <c r="D83" s="17">
        <f t="shared" si="7"/>
        <v>554.76130995211167</v>
      </c>
      <c r="E83" s="17">
        <f t="shared" si="8"/>
        <v>-10223.458426260355</v>
      </c>
      <c r="F83" s="17">
        <f t="shared" si="9"/>
        <v>10778.219736212466</v>
      </c>
      <c r="G83" s="139">
        <f>Comb!E83</f>
        <v>6.06</v>
      </c>
      <c r="H83" s="139">
        <f>Tank!O84</f>
        <v>6.0600000000000023</v>
      </c>
      <c r="I83" s="17">
        <f t="shared" si="10"/>
        <v>0</v>
      </c>
      <c r="J83" s="17">
        <f t="shared" si="11"/>
        <v>1600.8826372903795</v>
      </c>
      <c r="K83" s="17">
        <f t="shared" si="12"/>
        <v>1600.88263729038</v>
      </c>
      <c r="L83" s="139">
        <f t="shared" si="13"/>
        <v>0</v>
      </c>
    </row>
    <row r="84" spans="1:12">
      <c r="A84" s="8">
        <v>45009</v>
      </c>
      <c r="B84" s="17">
        <f>Comb!C84</f>
        <v>1.3</v>
      </c>
      <c r="C84" s="17">
        <f>Tank!L85</f>
        <v>1.3000000000000682</v>
      </c>
      <c r="D84" s="17">
        <f t="shared" si="7"/>
        <v>343.42366806559295</v>
      </c>
      <c r="E84" s="17">
        <f t="shared" si="8"/>
        <v>343.42366806561097</v>
      </c>
      <c r="F84" s="17">
        <f t="shared" si="9"/>
        <v>-1.8019363778876141E-11</v>
      </c>
      <c r="G84" s="139">
        <f>Comb!E84</f>
        <v>6.3599999999999968</v>
      </c>
      <c r="H84" s="139">
        <f>Tank!O85</f>
        <v>6.3599999999999994</v>
      </c>
      <c r="I84" s="17">
        <f t="shared" si="10"/>
        <v>0</v>
      </c>
      <c r="J84" s="17">
        <f t="shared" si="11"/>
        <v>1680.1342529978231</v>
      </c>
      <c r="K84" s="17">
        <f t="shared" si="12"/>
        <v>1680.1342529978238</v>
      </c>
      <c r="L84" s="139">
        <f t="shared" si="13"/>
        <v>0</v>
      </c>
    </row>
    <row r="85" spans="1:12">
      <c r="A85" s="8">
        <v>45010</v>
      </c>
      <c r="B85" s="17">
        <f>Comb!C85</f>
        <v>1.2</v>
      </c>
      <c r="C85" s="17">
        <f>Tank!L86</f>
        <v>1.1999999999999318</v>
      </c>
      <c r="D85" s="17">
        <f t="shared" si="7"/>
        <v>317.00646282977812</v>
      </c>
      <c r="E85" s="17">
        <f t="shared" si="8"/>
        <v>317.0064628297601</v>
      </c>
      <c r="F85" s="17">
        <f t="shared" si="9"/>
        <v>1.8019363778876141E-11</v>
      </c>
      <c r="G85" s="139">
        <f>Comb!E85</f>
        <v>5.870000000000001</v>
      </c>
      <c r="H85" s="139">
        <f>Tank!O86</f>
        <v>5.8700000000000045</v>
      </c>
      <c r="I85" s="17">
        <f t="shared" si="10"/>
        <v>0</v>
      </c>
      <c r="J85" s="17">
        <f t="shared" si="11"/>
        <v>1550.6899473423314</v>
      </c>
      <c r="K85" s="17">
        <f t="shared" si="12"/>
        <v>1550.6899473423325</v>
      </c>
      <c r="L85" s="139">
        <f t="shared" si="13"/>
        <v>0</v>
      </c>
    </row>
    <row r="86" spans="1:12">
      <c r="A86" s="8">
        <v>45011</v>
      </c>
      <c r="B86" s="17">
        <f>Comb!C86</f>
        <v>2.4</v>
      </c>
      <c r="C86" s="17">
        <f>Tank!L87</f>
        <v>2.4000000000000909</v>
      </c>
      <c r="D86" s="17">
        <f t="shared" si="7"/>
        <v>634.01292565955623</v>
      </c>
      <c r="E86" s="17">
        <f t="shared" si="8"/>
        <v>634.01292565958022</v>
      </c>
      <c r="F86" s="17">
        <f t="shared" si="9"/>
        <v>-2.3987922759260982E-11</v>
      </c>
      <c r="G86" s="139">
        <f>Comb!E86</f>
        <v>5.0400000000000027</v>
      </c>
      <c r="H86" s="139">
        <f>Tank!O87</f>
        <v>5.0399999999999991</v>
      </c>
      <c r="I86" s="17">
        <f t="shared" si="10"/>
        <v>0</v>
      </c>
      <c r="J86" s="17">
        <f t="shared" si="11"/>
        <v>1331.4271438850687</v>
      </c>
      <c r="K86" s="17">
        <f t="shared" si="12"/>
        <v>1331.4271438850678</v>
      </c>
      <c r="L86" s="139">
        <f t="shared" si="13"/>
        <v>0</v>
      </c>
    </row>
    <row r="87" spans="1:12">
      <c r="A87" s="8">
        <v>45012</v>
      </c>
      <c r="B87" s="17">
        <f>Comb!C87</f>
        <v>2.1</v>
      </c>
      <c r="C87" s="17">
        <f>Tank!L88</f>
        <v>2.0999999999999091</v>
      </c>
      <c r="D87" s="17">
        <f t="shared" si="7"/>
        <v>554.76130995211167</v>
      </c>
      <c r="E87" s="17">
        <f t="shared" si="8"/>
        <v>554.76130995208769</v>
      </c>
      <c r="F87" s="17">
        <f t="shared" si="9"/>
        <v>2.3987922759260982E-11</v>
      </c>
      <c r="G87" s="139">
        <f>Comb!E87</f>
        <v>5.5200000000000014</v>
      </c>
      <c r="H87" s="139">
        <f>Tank!O88</f>
        <v>-36.110000000000007</v>
      </c>
      <c r="I87" s="17">
        <f t="shared" si="10"/>
        <v>41.63000000000001</v>
      </c>
      <c r="J87" s="17">
        <f t="shared" si="11"/>
        <v>1458.2297290169795</v>
      </c>
      <c r="K87" s="17">
        <f t="shared" si="12"/>
        <v>-9539.2528106527407</v>
      </c>
      <c r="L87" s="139">
        <f t="shared" si="13"/>
        <v>10997.48253966972</v>
      </c>
    </row>
    <row r="88" spans="1:12">
      <c r="A88" s="8">
        <v>45013</v>
      </c>
      <c r="B88" s="17">
        <f>Comb!C88</f>
        <v>8.1</v>
      </c>
      <c r="C88" s="17">
        <f>Tank!L89</f>
        <v>8.1000000000000227</v>
      </c>
      <c r="D88" s="17">
        <f t="shared" si="7"/>
        <v>2139.793624101002</v>
      </c>
      <c r="E88" s="17">
        <f t="shared" si="8"/>
        <v>2139.7936241010084</v>
      </c>
      <c r="F88" s="17">
        <f t="shared" si="9"/>
        <v>-6.3664629124104977E-12</v>
      </c>
      <c r="G88" s="139">
        <f>Comb!E88</f>
        <v>6.51</v>
      </c>
      <c r="H88" s="139">
        <f>Tank!O89</f>
        <v>6.5100000000000051</v>
      </c>
      <c r="I88" s="17">
        <f t="shared" si="10"/>
        <v>0</v>
      </c>
      <c r="J88" s="17">
        <f t="shared" si="11"/>
        <v>1719.7600608515463</v>
      </c>
      <c r="K88" s="17">
        <f t="shared" si="12"/>
        <v>1719.7600608515477</v>
      </c>
      <c r="L88" s="139">
        <f t="shared" si="13"/>
        <v>0</v>
      </c>
    </row>
    <row r="89" spans="1:12">
      <c r="A89" s="8">
        <v>45014</v>
      </c>
      <c r="B89" s="17">
        <f>Comb!C89</f>
        <v>1.5</v>
      </c>
      <c r="C89" s="17">
        <f>Tank!L90</f>
        <v>2.0600000000000591</v>
      </c>
      <c r="D89" s="17">
        <f t="shared" si="7"/>
        <v>396.25807853722262</v>
      </c>
      <c r="E89" s="17">
        <f t="shared" si="8"/>
        <v>544.19442785780132</v>
      </c>
      <c r="F89" s="17">
        <f t="shared" si="9"/>
        <v>-147.9363493205787</v>
      </c>
      <c r="G89" s="139">
        <f>Comb!E89</f>
        <v>6.19</v>
      </c>
      <c r="H89" s="139">
        <f>Tank!O90</f>
        <v>6.1899999999999977</v>
      </c>
      <c r="I89" s="17">
        <f t="shared" si="10"/>
        <v>0</v>
      </c>
      <c r="J89" s="17">
        <f t="shared" si="11"/>
        <v>1635.2250040969388</v>
      </c>
      <c r="K89" s="17">
        <f t="shared" si="12"/>
        <v>1635.2250040969382</v>
      </c>
      <c r="L89" s="139">
        <f t="shared" si="13"/>
        <v>0</v>
      </c>
    </row>
    <row r="90" spans="1:12">
      <c r="A90" s="8">
        <v>45015</v>
      </c>
      <c r="B90" s="17">
        <f>Comb!C90</f>
        <v>2.9000000000000004</v>
      </c>
      <c r="C90" s="17">
        <f>Tank!L91</f>
        <v>2.3399999999999181</v>
      </c>
      <c r="D90" s="17">
        <f t="shared" si="7"/>
        <v>766.09895183863057</v>
      </c>
      <c r="E90" s="17">
        <f t="shared" si="8"/>
        <v>618.16260251804567</v>
      </c>
      <c r="F90" s="17">
        <f t="shared" si="9"/>
        <v>147.9363493205849</v>
      </c>
      <c r="G90" s="139">
        <f>Comb!E90</f>
        <v>6.2</v>
      </c>
      <c r="H90" s="139">
        <f>Tank!O91</f>
        <v>6.2000000000000028</v>
      </c>
      <c r="I90" s="17">
        <f t="shared" si="10"/>
        <v>0</v>
      </c>
      <c r="J90" s="17">
        <f t="shared" si="11"/>
        <v>1637.8667246205202</v>
      </c>
      <c r="K90" s="17">
        <f t="shared" si="12"/>
        <v>1637.8667246205209</v>
      </c>
      <c r="L90" s="139">
        <f t="shared" si="13"/>
        <v>0</v>
      </c>
    </row>
    <row r="91" spans="1:12">
      <c r="A91" s="8">
        <v>45016</v>
      </c>
      <c r="B91" s="17">
        <f>Comb!C91</f>
        <v>4.6999999999999993</v>
      </c>
      <c r="C91" s="17">
        <f>Tank!L92</f>
        <v>4.7000000000000455</v>
      </c>
      <c r="D91" s="17">
        <f t="shared" si="7"/>
        <v>1241.6086460832973</v>
      </c>
      <c r="E91" s="17">
        <f t="shared" si="8"/>
        <v>1241.6086460833096</v>
      </c>
      <c r="F91" s="17">
        <f t="shared" si="9"/>
        <v>-1.2278178473934531E-11</v>
      </c>
      <c r="G91" s="139">
        <f>Comb!E91</f>
        <v>6.3999999999999986</v>
      </c>
      <c r="H91" s="139">
        <f>Tank!O92</f>
        <v>6.4000000000000057</v>
      </c>
      <c r="I91" s="17">
        <f t="shared" si="10"/>
        <v>-7.1054273576010019E-15</v>
      </c>
      <c r="J91" s="17">
        <f t="shared" si="11"/>
        <v>1690.7011350921493</v>
      </c>
      <c r="K91" s="17">
        <f t="shared" si="12"/>
        <v>1690.7011350921514</v>
      </c>
      <c r="L91" s="139">
        <f t="shared" si="13"/>
        <v>-2.0463630789890885E-12</v>
      </c>
    </row>
    <row r="92" spans="1:12">
      <c r="A92" s="8">
        <v>45017</v>
      </c>
      <c r="B92" s="17">
        <f>Comb!C92</f>
        <v>7.5</v>
      </c>
      <c r="C92" s="17">
        <f>Tank!L93</f>
        <v>7.5</v>
      </c>
      <c r="D92" s="17">
        <f t="shared" si="7"/>
        <v>1981.2903926861131</v>
      </c>
      <c r="E92" s="17">
        <f t="shared" si="8"/>
        <v>1981.2903926861131</v>
      </c>
      <c r="F92" s="17">
        <f t="shared" si="9"/>
        <v>0</v>
      </c>
      <c r="G92" s="139">
        <f>Comb!E92</f>
        <v>5.6000000000000023</v>
      </c>
      <c r="H92" s="139">
        <f>Tank!O93</f>
        <v>5.5999999999999943</v>
      </c>
      <c r="I92" s="17">
        <f t="shared" si="10"/>
        <v>7.9936057773011271E-15</v>
      </c>
      <c r="J92" s="17">
        <f t="shared" si="11"/>
        <v>1479.3634932056318</v>
      </c>
      <c r="K92" s="17">
        <f t="shared" si="12"/>
        <v>1479.3634932056298</v>
      </c>
      <c r="L92" s="139">
        <f t="shared" si="13"/>
        <v>2.0463630789890885E-12</v>
      </c>
    </row>
    <row r="93" spans="1:12">
      <c r="A93" s="8">
        <v>45018</v>
      </c>
      <c r="B93" s="17">
        <f>Comb!C93</f>
        <v>23.3</v>
      </c>
      <c r="C93" s="17">
        <f>Tank!L94</f>
        <v>23.299999999999955</v>
      </c>
      <c r="D93" s="17">
        <f t="shared" si="7"/>
        <v>6155.2088199448581</v>
      </c>
      <c r="E93" s="17">
        <f t="shared" si="8"/>
        <v>6155.2088199448472</v>
      </c>
      <c r="F93" s="17">
        <f t="shared" si="9"/>
        <v>1.0913936421275139E-11</v>
      </c>
      <c r="G93" s="139">
        <f>Comb!E93</f>
        <v>5.5100000000000025</v>
      </c>
      <c r="H93" s="139">
        <f>Tank!O94</f>
        <v>5.509999999999998</v>
      </c>
      <c r="I93" s="17">
        <f t="shared" si="10"/>
        <v>0</v>
      </c>
      <c r="J93" s="17">
        <f t="shared" si="11"/>
        <v>1455.5880084933985</v>
      </c>
      <c r="K93" s="17">
        <f t="shared" si="12"/>
        <v>1455.5880084933974</v>
      </c>
      <c r="L93" s="139">
        <f t="shared" si="13"/>
        <v>0</v>
      </c>
    </row>
    <row r="94" spans="1:12">
      <c r="A94" s="8">
        <v>45019</v>
      </c>
      <c r="B94" s="17">
        <f>Comb!C94</f>
        <v>25</v>
      </c>
      <c r="C94" s="17">
        <f>Tank!L95</f>
        <v>25</v>
      </c>
      <c r="D94" s="17">
        <f t="shared" si="7"/>
        <v>6604.3013089537108</v>
      </c>
      <c r="E94" s="17">
        <f t="shared" si="8"/>
        <v>6604.3013089537108</v>
      </c>
      <c r="F94" s="17">
        <f t="shared" si="9"/>
        <v>0</v>
      </c>
      <c r="G94" s="139">
        <f>Comb!E94</f>
        <v>6.0000000000000009</v>
      </c>
      <c r="H94" s="139">
        <f>Tank!O95</f>
        <v>-35.57</v>
      </c>
      <c r="I94" s="17">
        <f t="shared" si="10"/>
        <v>41.57</v>
      </c>
      <c r="J94" s="17">
        <f t="shared" si="11"/>
        <v>1585.0323141488907</v>
      </c>
      <c r="K94" s="17">
        <f t="shared" si="12"/>
        <v>-9396.5999023793393</v>
      </c>
      <c r="L94" s="139">
        <f t="shared" si="13"/>
        <v>10981.632216528229</v>
      </c>
    </row>
    <row r="95" spans="1:12">
      <c r="A95" s="8">
        <v>45020</v>
      </c>
      <c r="B95" s="17">
        <f>Comb!C95</f>
        <v>31.2</v>
      </c>
      <c r="C95" s="17">
        <f>Tank!L96</f>
        <v>31.200000000000045</v>
      </c>
      <c r="D95" s="17">
        <f t="shared" si="7"/>
        <v>8242.1680335742312</v>
      </c>
      <c r="E95" s="17">
        <f t="shared" si="8"/>
        <v>8242.1680335742421</v>
      </c>
      <c r="F95" s="17">
        <f t="shared" si="9"/>
        <v>0</v>
      </c>
      <c r="G95" s="139">
        <f>Comb!E95</f>
        <v>5.1899999999999995</v>
      </c>
      <c r="H95" s="139">
        <f>Tank!O96</f>
        <v>5.1899999999999977</v>
      </c>
      <c r="I95" s="17">
        <f t="shared" si="10"/>
        <v>0</v>
      </c>
      <c r="J95" s="17">
        <f t="shared" si="11"/>
        <v>1371.0529517387902</v>
      </c>
      <c r="K95" s="17">
        <f t="shared" si="12"/>
        <v>1371.0529517387899</v>
      </c>
      <c r="L95" s="139">
        <f t="shared" si="13"/>
        <v>0</v>
      </c>
    </row>
    <row r="96" spans="1:12">
      <c r="A96" s="8">
        <v>45021</v>
      </c>
      <c r="B96" s="17">
        <f>Comb!C96</f>
        <v>42.7</v>
      </c>
      <c r="C96" s="17">
        <f>Tank!L97</f>
        <v>42.700000000000045</v>
      </c>
      <c r="D96" s="17">
        <f t="shared" si="7"/>
        <v>11280.146635692938</v>
      </c>
      <c r="E96" s="17">
        <f t="shared" si="8"/>
        <v>11280.146635692949</v>
      </c>
      <c r="F96" s="17">
        <f t="shared" si="9"/>
        <v>0</v>
      </c>
      <c r="G96" s="139">
        <f>Comb!E96</f>
        <v>5.7299999999999986</v>
      </c>
      <c r="H96" s="139">
        <f>Tank!O97</f>
        <v>5.730000000000004</v>
      </c>
      <c r="I96" s="17">
        <f t="shared" si="10"/>
        <v>0</v>
      </c>
      <c r="J96" s="17">
        <f t="shared" si="11"/>
        <v>1513.7058600121902</v>
      </c>
      <c r="K96" s="17">
        <f t="shared" si="12"/>
        <v>1513.7058600121914</v>
      </c>
      <c r="L96" s="139">
        <f t="shared" si="13"/>
        <v>0</v>
      </c>
    </row>
    <row r="97" spans="1:12">
      <c r="A97" s="8">
        <v>45022</v>
      </c>
      <c r="B97" s="17">
        <f>Comb!C97</f>
        <v>32.6</v>
      </c>
      <c r="C97" s="17">
        <f>Tank!L98</f>
        <v>32.599999999999909</v>
      </c>
      <c r="D97" s="17">
        <f t="shared" si="7"/>
        <v>8612.0089068756388</v>
      </c>
      <c r="E97" s="17">
        <f t="shared" si="8"/>
        <v>8612.0089068756151</v>
      </c>
      <c r="F97" s="17">
        <f t="shared" si="9"/>
        <v>2.3646862246096134E-11</v>
      </c>
      <c r="G97" s="139">
        <f>Comb!E97</f>
        <v>5.5200000000000031</v>
      </c>
      <c r="H97" s="139">
        <f>Tank!O98</f>
        <v>5.519999999999996</v>
      </c>
      <c r="I97" s="17">
        <f t="shared" si="10"/>
        <v>7.1054273576010019E-15</v>
      </c>
      <c r="J97" s="17">
        <f t="shared" si="11"/>
        <v>1458.2297290169799</v>
      </c>
      <c r="K97" s="17">
        <f t="shared" si="12"/>
        <v>1458.2297290169784</v>
      </c>
      <c r="L97" s="139">
        <f t="shared" si="13"/>
        <v>0</v>
      </c>
    </row>
    <row r="98" spans="1:12">
      <c r="A98" s="8">
        <v>45023</v>
      </c>
      <c r="B98" s="17">
        <f>Comb!C98</f>
        <v>31.200000000000003</v>
      </c>
      <c r="C98" s="17">
        <f>Tank!L99</f>
        <v>31.200000000000045</v>
      </c>
      <c r="D98" s="17">
        <f t="shared" si="7"/>
        <v>8242.1680335742312</v>
      </c>
      <c r="E98" s="17">
        <f t="shared" si="8"/>
        <v>8242.1680335742421</v>
      </c>
      <c r="F98" s="17">
        <f t="shared" si="9"/>
        <v>0</v>
      </c>
      <c r="G98" s="139">
        <f>Comb!E98</f>
        <v>5.6500000000000021</v>
      </c>
      <c r="H98" s="139">
        <f>Tank!O99</f>
        <v>5.6500000000000057</v>
      </c>
      <c r="I98" s="17">
        <f t="shared" si="10"/>
        <v>0</v>
      </c>
      <c r="J98" s="17">
        <f t="shared" si="11"/>
        <v>1492.572095823539</v>
      </c>
      <c r="K98" s="17">
        <f t="shared" si="12"/>
        <v>1492.5720958235399</v>
      </c>
      <c r="L98" s="139">
        <f t="shared" si="13"/>
        <v>0</v>
      </c>
    </row>
    <row r="99" spans="1:12">
      <c r="A99" s="8">
        <v>45024</v>
      </c>
      <c r="B99" s="17">
        <f>Comb!C99</f>
        <v>31</v>
      </c>
      <c r="C99" s="17">
        <f>Tank!L100</f>
        <v>31</v>
      </c>
      <c r="D99" s="17">
        <f t="shared" si="7"/>
        <v>8189.3336231026015</v>
      </c>
      <c r="E99" s="17">
        <f t="shared" si="8"/>
        <v>8189.3336231026015</v>
      </c>
      <c r="F99" s="17">
        <f t="shared" si="9"/>
        <v>0</v>
      </c>
      <c r="G99" s="139">
        <f>Comb!E99</f>
        <v>5.6000000000000014</v>
      </c>
      <c r="H99" s="139">
        <f>Tank!O100</f>
        <v>5.5999999999999943</v>
      </c>
      <c r="I99" s="17">
        <f t="shared" si="10"/>
        <v>7.1054273576010019E-15</v>
      </c>
      <c r="J99" s="17">
        <f t="shared" si="11"/>
        <v>1479.3634932056316</v>
      </c>
      <c r="K99" s="17">
        <f t="shared" si="12"/>
        <v>1479.3634932056298</v>
      </c>
      <c r="L99" s="139">
        <f t="shared" si="13"/>
        <v>1.8189894035458565E-12</v>
      </c>
    </row>
    <row r="100" spans="1:12">
      <c r="A100" s="8">
        <v>45025</v>
      </c>
      <c r="B100" s="17">
        <f>Comb!C100</f>
        <v>33.5</v>
      </c>
      <c r="C100" s="17">
        <f>Tank!L101</f>
        <v>33.5</v>
      </c>
      <c r="D100" s="17">
        <f t="shared" si="7"/>
        <v>8849.7637539979714</v>
      </c>
      <c r="E100" s="17">
        <f t="shared" si="8"/>
        <v>8849.7637539979714</v>
      </c>
      <c r="F100" s="17">
        <f t="shared" si="9"/>
        <v>0</v>
      </c>
      <c r="G100" s="139">
        <f>Comb!E100</f>
        <v>6.2499999999999991</v>
      </c>
      <c r="H100" s="139">
        <f>Tank!O101</f>
        <v>-27.689999999999998</v>
      </c>
      <c r="I100" s="17">
        <f t="shared" si="10"/>
        <v>33.94</v>
      </c>
      <c r="J100" s="17">
        <f t="shared" si="11"/>
        <v>1651.0753272384275</v>
      </c>
      <c r="K100" s="17">
        <f t="shared" si="12"/>
        <v>-7314.9241297971284</v>
      </c>
      <c r="L100" s="139">
        <f t="shared" si="13"/>
        <v>8965.9994570355557</v>
      </c>
    </row>
    <row r="101" spans="1:12">
      <c r="A101" s="8">
        <v>45026</v>
      </c>
      <c r="B101" s="17">
        <f>Comb!C101</f>
        <v>27.1</v>
      </c>
      <c r="C101" s="17">
        <f>Tank!L102</f>
        <v>-14.600000000000023</v>
      </c>
      <c r="D101" s="17">
        <f t="shared" si="7"/>
        <v>7159.0626189058221</v>
      </c>
      <c r="E101" s="17">
        <f t="shared" si="8"/>
        <v>-3856.9119644289726</v>
      </c>
      <c r="F101" s="17">
        <f t="shared" si="9"/>
        <v>11015.974583334795</v>
      </c>
      <c r="G101" s="139">
        <f>Comb!E101</f>
        <v>6.0000000000000009</v>
      </c>
      <c r="H101" s="139">
        <f>Tank!O102</f>
        <v>5.0900000000000034</v>
      </c>
      <c r="I101" s="17">
        <f t="shared" si="10"/>
        <v>0.90999999999999748</v>
      </c>
      <c r="J101" s="17">
        <f t="shared" si="11"/>
        <v>1585.0323141488907</v>
      </c>
      <c r="K101" s="17">
        <f t="shared" si="12"/>
        <v>1344.6357465029764</v>
      </c>
      <c r="L101" s="139">
        <f t="shared" si="13"/>
        <v>240.39656764591427</v>
      </c>
    </row>
    <row r="102" spans="1:12">
      <c r="A102" s="8">
        <v>45027</v>
      </c>
      <c r="B102" s="17">
        <f>Comb!C102</f>
        <v>25.9</v>
      </c>
      <c r="C102" s="17">
        <f>Tank!L103</f>
        <v>-58.100000000000023</v>
      </c>
      <c r="D102" s="17">
        <f t="shared" si="7"/>
        <v>6842.0561560760443</v>
      </c>
      <c r="E102" s="17">
        <f t="shared" si="8"/>
        <v>-15348.39624200843</v>
      </c>
      <c r="F102" s="17">
        <f t="shared" si="9"/>
        <v>22190.452398084475</v>
      </c>
      <c r="G102" s="139">
        <f>Comb!E102</f>
        <v>6</v>
      </c>
      <c r="H102" s="139">
        <f>Tank!O103</f>
        <v>6</v>
      </c>
      <c r="I102" s="17">
        <f t="shared" si="10"/>
        <v>0</v>
      </c>
      <c r="J102" s="17">
        <f t="shared" si="11"/>
        <v>1585.0323141488905</v>
      </c>
      <c r="K102" s="17">
        <f t="shared" si="12"/>
        <v>1585.0323141488905</v>
      </c>
      <c r="L102" s="139">
        <f t="shared" si="13"/>
        <v>0</v>
      </c>
    </row>
    <row r="103" spans="1:12">
      <c r="A103" s="8">
        <v>45028</v>
      </c>
      <c r="B103" s="17">
        <f>Comb!C103</f>
        <v>78.600000000000009</v>
      </c>
      <c r="C103" s="17">
        <f>Tank!L104</f>
        <v>78.500000000000057</v>
      </c>
      <c r="D103" s="17">
        <f t="shared" si="7"/>
        <v>20763.923315350468</v>
      </c>
      <c r="E103" s="17">
        <f t="shared" si="8"/>
        <v>20737.506110114668</v>
      </c>
      <c r="F103" s="17">
        <f t="shared" si="9"/>
        <v>26.417205235800793</v>
      </c>
      <c r="G103" s="139">
        <f>Comb!E103</f>
        <v>5.0000000000000009</v>
      </c>
      <c r="H103" s="139">
        <f>Tank!O104</f>
        <v>5</v>
      </c>
      <c r="I103" s="17">
        <f t="shared" si="10"/>
        <v>0</v>
      </c>
      <c r="J103" s="17">
        <f t="shared" si="11"/>
        <v>1320.8602617907422</v>
      </c>
      <c r="K103" s="17">
        <f t="shared" si="12"/>
        <v>1320.860261790742</v>
      </c>
      <c r="L103" s="139">
        <f t="shared" si="13"/>
        <v>0</v>
      </c>
    </row>
    <row r="104" spans="1:12">
      <c r="A104" s="8">
        <v>45029</v>
      </c>
      <c r="B104" s="17">
        <f>Comb!C104</f>
        <v>31.7</v>
      </c>
      <c r="C104" s="17">
        <f>Tank!L105</f>
        <v>31.699999999999989</v>
      </c>
      <c r="D104" s="17">
        <f t="shared" si="7"/>
        <v>8374.2540597533043</v>
      </c>
      <c r="E104" s="17">
        <f t="shared" si="8"/>
        <v>8374.2540597533025</v>
      </c>
      <c r="F104" s="17">
        <f t="shared" si="9"/>
        <v>0</v>
      </c>
      <c r="G104" s="139">
        <f>Comb!E104</f>
        <v>5.6400000000000023</v>
      </c>
      <c r="H104" s="139">
        <f>Tank!O105</f>
        <v>5.6400000000000006</v>
      </c>
      <c r="I104" s="17">
        <f t="shared" si="10"/>
        <v>0</v>
      </c>
      <c r="J104" s="17">
        <f t="shared" si="11"/>
        <v>1489.9303752999579</v>
      </c>
      <c r="K104" s="17">
        <f t="shared" si="12"/>
        <v>1489.9303752999574</v>
      </c>
      <c r="L104" s="139">
        <f t="shared" si="13"/>
        <v>0</v>
      </c>
    </row>
    <row r="105" spans="1:12">
      <c r="A105" s="8">
        <v>45030</v>
      </c>
      <c r="B105" s="17">
        <f>Comb!C105</f>
        <v>32.700000000000003</v>
      </c>
      <c r="C105" s="17">
        <f>Tank!L106</f>
        <v>92.699999999999989</v>
      </c>
      <c r="D105" s="17">
        <f t="shared" si="7"/>
        <v>8638.4261121114541</v>
      </c>
      <c r="E105" s="17">
        <f t="shared" si="8"/>
        <v>24488.749253600356</v>
      </c>
      <c r="F105" s="17">
        <f t="shared" si="9"/>
        <v>-15850.323141488901</v>
      </c>
      <c r="G105" s="139">
        <f>Comb!E105</f>
        <v>5.7000000000000011</v>
      </c>
      <c r="H105" s="139">
        <f>Tank!O106</f>
        <v>-22.64</v>
      </c>
      <c r="I105" s="17">
        <f t="shared" si="10"/>
        <v>28.340000000000003</v>
      </c>
      <c r="J105" s="17">
        <f t="shared" si="11"/>
        <v>1505.7806984414462</v>
      </c>
      <c r="K105" s="17">
        <f t="shared" si="12"/>
        <v>-5980.8552653884799</v>
      </c>
      <c r="L105" s="139">
        <f t="shared" si="13"/>
        <v>7486.6359638299264</v>
      </c>
    </row>
    <row r="106" spans="1:12">
      <c r="A106" s="8">
        <v>45031</v>
      </c>
      <c r="B106" s="17">
        <f>Comb!C106</f>
        <v>37.380000000000003</v>
      </c>
      <c r="C106" s="17">
        <f>Tank!L107</f>
        <v>-22.599999999999966</v>
      </c>
      <c r="D106" s="17">
        <f t="shared" si="7"/>
        <v>9874.7513171475875</v>
      </c>
      <c r="E106" s="17">
        <f t="shared" si="8"/>
        <v>-5970.2883832941461</v>
      </c>
      <c r="F106" s="17">
        <f t="shared" si="9"/>
        <v>15845.039700441734</v>
      </c>
      <c r="G106" s="139">
        <f>Comb!E106</f>
        <v>5.65</v>
      </c>
      <c r="H106" s="139">
        <f>Tank!O107</f>
        <v>5.6500000000000057</v>
      </c>
      <c r="I106" s="17">
        <f t="shared" si="10"/>
        <v>0</v>
      </c>
      <c r="J106" s="17">
        <f t="shared" si="11"/>
        <v>1492.5720958235386</v>
      </c>
      <c r="K106" s="17">
        <f t="shared" si="12"/>
        <v>1492.5720958235399</v>
      </c>
      <c r="L106" s="139">
        <f t="shared" si="13"/>
        <v>0</v>
      </c>
    </row>
    <row r="107" spans="1:12">
      <c r="A107" s="8">
        <v>45032</v>
      </c>
      <c r="B107" s="17">
        <f>Comb!C107</f>
        <v>1.42</v>
      </c>
      <c r="C107" s="17">
        <f>Tank!L108</f>
        <v>1.3999999999999773</v>
      </c>
      <c r="D107" s="17">
        <f t="shared" si="7"/>
        <v>375.12431434857075</v>
      </c>
      <c r="E107" s="17">
        <f t="shared" si="8"/>
        <v>369.84087330140181</v>
      </c>
      <c r="F107" s="17">
        <f t="shared" si="9"/>
        <v>5.2834410471689353</v>
      </c>
      <c r="G107" s="139">
        <f>Comb!E107</f>
        <v>5.5600000000000023</v>
      </c>
      <c r="H107" s="139">
        <f>Tank!O108</f>
        <v>5.5599999999999881</v>
      </c>
      <c r="I107" s="17">
        <f t="shared" si="10"/>
        <v>1.4210854715202004E-14</v>
      </c>
      <c r="J107" s="17">
        <f t="shared" si="11"/>
        <v>1468.7966111113058</v>
      </c>
      <c r="K107" s="17">
        <f t="shared" si="12"/>
        <v>1468.7966111113021</v>
      </c>
      <c r="L107" s="139">
        <f t="shared" si="13"/>
        <v>3.637978807091713E-12</v>
      </c>
    </row>
    <row r="108" spans="1:12">
      <c r="A108" s="8">
        <v>45033</v>
      </c>
      <c r="B108" s="17">
        <f>Comb!C108</f>
        <v>31.900000000000002</v>
      </c>
      <c r="C108" s="17">
        <f>Tank!L109</f>
        <v>-9.6999999999999886</v>
      </c>
      <c r="D108" s="17">
        <f t="shared" si="7"/>
        <v>8427.088470224935</v>
      </c>
      <c r="E108" s="17">
        <f t="shared" si="8"/>
        <v>-2562.4689078740366</v>
      </c>
      <c r="F108" s="17">
        <f t="shared" si="9"/>
        <v>10989.557378098973</v>
      </c>
      <c r="G108" s="139">
        <f>Comb!E108</f>
        <v>6.09</v>
      </c>
      <c r="H108" s="139">
        <f>Tank!O109</f>
        <v>6.0900000000000034</v>
      </c>
      <c r="I108" s="17">
        <f t="shared" si="10"/>
        <v>0</v>
      </c>
      <c r="J108" s="17">
        <f t="shared" si="11"/>
        <v>1608.807798861124</v>
      </c>
      <c r="K108" s="17">
        <f t="shared" si="12"/>
        <v>1608.8077988611249</v>
      </c>
      <c r="L108" s="139">
        <f t="shared" si="13"/>
        <v>0</v>
      </c>
    </row>
    <row r="109" spans="1:12">
      <c r="A109" s="8">
        <v>45034</v>
      </c>
      <c r="B109" s="17">
        <f>Comb!C109</f>
        <v>38</v>
      </c>
      <c r="C109" s="17">
        <f>Tank!L110</f>
        <v>-3.6000000000000227</v>
      </c>
      <c r="D109" s="17">
        <f t="shared" si="7"/>
        <v>10038.53798960964</v>
      </c>
      <c r="E109" s="17">
        <f t="shared" si="8"/>
        <v>-951.01938848934037</v>
      </c>
      <c r="F109" s="17">
        <f t="shared" si="9"/>
        <v>10989.55737809898</v>
      </c>
      <c r="G109" s="139">
        <f>Comb!E109</f>
        <v>5.9000000000000012</v>
      </c>
      <c r="H109" s="139">
        <f>Tank!O110</f>
        <v>5.9000000000000057</v>
      </c>
      <c r="I109" s="17">
        <f t="shared" si="10"/>
        <v>0</v>
      </c>
      <c r="J109" s="17">
        <f t="shared" si="11"/>
        <v>1558.615108913076</v>
      </c>
      <c r="K109" s="17">
        <f t="shared" si="12"/>
        <v>1558.6151089130772</v>
      </c>
      <c r="L109" s="139">
        <f t="shared" si="13"/>
        <v>0</v>
      </c>
    </row>
    <row r="110" spans="1:12">
      <c r="A110" s="8">
        <v>45035</v>
      </c>
      <c r="B110" s="17">
        <f>Comb!C110</f>
        <v>33.5</v>
      </c>
      <c r="C110" s="17">
        <f>Tank!L111</f>
        <v>-296.49999999999994</v>
      </c>
      <c r="D110" s="17">
        <f t="shared" si="7"/>
        <v>8849.7637539979714</v>
      </c>
      <c r="E110" s="17">
        <f t="shared" si="8"/>
        <v>-78327.013524190988</v>
      </c>
      <c r="F110" s="17">
        <f t="shared" si="9"/>
        <v>87176.777278188965</v>
      </c>
      <c r="G110" s="139">
        <f>Comb!E110</f>
        <v>6.6400000000000006</v>
      </c>
      <c r="H110" s="139">
        <f>Tank!O111</f>
        <v>6.6400000000000006</v>
      </c>
      <c r="I110" s="17">
        <f t="shared" si="10"/>
        <v>0</v>
      </c>
      <c r="J110" s="17">
        <f t="shared" si="11"/>
        <v>1754.1024276581059</v>
      </c>
      <c r="K110" s="17">
        <f t="shared" si="12"/>
        <v>1754.1024276581059</v>
      </c>
      <c r="L110" s="139">
        <f t="shared" si="13"/>
        <v>0</v>
      </c>
    </row>
    <row r="111" spans="1:12">
      <c r="A111" s="8">
        <v>45036</v>
      </c>
      <c r="B111" s="17">
        <f>Comb!C111</f>
        <v>39.799999999999997</v>
      </c>
      <c r="C111" s="17">
        <f>Tank!L112</f>
        <v>-44.200000000000045</v>
      </c>
      <c r="D111" s="17">
        <f t="shared" si="7"/>
        <v>10514.047683854307</v>
      </c>
      <c r="E111" s="17">
        <f t="shared" si="8"/>
        <v>-11676.404714230172</v>
      </c>
      <c r="F111" s="17">
        <f t="shared" si="9"/>
        <v>22190.452398084479</v>
      </c>
      <c r="G111" s="139">
        <f>Comb!E111</f>
        <v>5.870000000000001</v>
      </c>
      <c r="H111" s="139">
        <f>Tank!O112</f>
        <v>5.8699999999999903</v>
      </c>
      <c r="I111" s="17">
        <f t="shared" si="10"/>
        <v>1.0658141036401503E-14</v>
      </c>
      <c r="J111" s="17">
        <f t="shared" si="11"/>
        <v>1550.6899473423314</v>
      </c>
      <c r="K111" s="17">
        <f t="shared" si="12"/>
        <v>1550.6899473423287</v>
      </c>
      <c r="L111" s="139">
        <f t="shared" si="13"/>
        <v>2.7284841053187847E-12</v>
      </c>
    </row>
    <row r="112" spans="1:12">
      <c r="A112" s="8">
        <v>45037</v>
      </c>
      <c r="B112" s="17">
        <f>Comb!C112</f>
        <v>28.9</v>
      </c>
      <c r="C112" s="17">
        <f>Tank!L113</f>
        <v>28.899999999999977</v>
      </c>
      <c r="D112" s="17">
        <f t="shared" si="7"/>
        <v>7634.5723131504892</v>
      </c>
      <c r="E112" s="17">
        <f t="shared" si="8"/>
        <v>7634.5723131504838</v>
      </c>
      <c r="F112" s="17">
        <f t="shared" si="9"/>
        <v>0</v>
      </c>
      <c r="G112" s="139">
        <f>Comb!E112</f>
        <v>6</v>
      </c>
      <c r="H112" s="139">
        <f>Tank!O113</f>
        <v>-18.199999999999989</v>
      </c>
      <c r="I112" s="17">
        <f t="shared" si="10"/>
        <v>24.199999999999989</v>
      </c>
      <c r="J112" s="17">
        <f t="shared" si="11"/>
        <v>1585.0323141488905</v>
      </c>
      <c r="K112" s="17">
        <f t="shared" si="12"/>
        <v>-4807.9313529182982</v>
      </c>
      <c r="L112" s="139">
        <f t="shared" si="13"/>
        <v>6392.9636670671889</v>
      </c>
    </row>
    <row r="113" spans="1:12">
      <c r="A113" s="8">
        <v>45038</v>
      </c>
      <c r="B113" s="17">
        <f>Comb!C113</f>
        <v>32.1</v>
      </c>
      <c r="C113" s="17">
        <f>Tank!L114</f>
        <v>32.200000000000045</v>
      </c>
      <c r="D113" s="17">
        <f t="shared" si="7"/>
        <v>8479.9228806965639</v>
      </c>
      <c r="E113" s="17">
        <f t="shared" si="8"/>
        <v>8506.3400859323901</v>
      </c>
      <c r="F113" s="17">
        <f t="shared" si="9"/>
        <v>-26.417205235826259</v>
      </c>
      <c r="G113" s="139">
        <f>Comb!E113</f>
        <v>5.9500000000000011</v>
      </c>
      <c r="H113" s="139">
        <f>Tank!O114</f>
        <v>5.9499999999999886</v>
      </c>
      <c r="I113" s="17">
        <f t="shared" si="10"/>
        <v>1.2434497875801753E-14</v>
      </c>
      <c r="J113" s="17">
        <f t="shared" si="11"/>
        <v>1571.8237115309832</v>
      </c>
      <c r="K113" s="17">
        <f t="shared" si="12"/>
        <v>1571.8237115309803</v>
      </c>
      <c r="L113" s="139">
        <f t="shared" si="13"/>
        <v>2.9558577807620168E-12</v>
      </c>
    </row>
    <row r="114" spans="1:12">
      <c r="A114" s="8">
        <v>45039</v>
      </c>
      <c r="B114" s="17">
        <f>Comb!C114</f>
        <v>84.92</v>
      </c>
      <c r="C114" s="17">
        <f>Tank!L115</f>
        <v>84.899999999999977</v>
      </c>
      <c r="D114" s="17">
        <f t="shared" si="7"/>
        <v>22433.490686253965</v>
      </c>
      <c r="E114" s="17">
        <f t="shared" si="8"/>
        <v>22428.207245206795</v>
      </c>
      <c r="F114" s="17">
        <f t="shared" si="9"/>
        <v>5.2834410471696174</v>
      </c>
      <c r="G114" s="139">
        <f>Comb!E114</f>
        <v>5.3900000000000015</v>
      </c>
      <c r="H114" s="139">
        <f>Tank!O115</f>
        <v>5.3900000000000006</v>
      </c>
      <c r="I114" s="17">
        <f t="shared" si="10"/>
        <v>0</v>
      </c>
      <c r="J114" s="17">
        <f t="shared" si="11"/>
        <v>1423.8873622104204</v>
      </c>
      <c r="K114" s="17">
        <f t="shared" si="12"/>
        <v>1423.8873622104202</v>
      </c>
      <c r="L114" s="139">
        <f t="shared" si="13"/>
        <v>0</v>
      </c>
    </row>
    <row r="115" spans="1:12">
      <c r="A115" s="8">
        <v>45040</v>
      </c>
      <c r="B115" s="17">
        <f>Comb!C115</f>
        <v>189.95</v>
      </c>
      <c r="C115" s="17">
        <f>Tank!L116</f>
        <v>106.10000000000002</v>
      </c>
      <c r="D115" s="17">
        <f t="shared" si="7"/>
        <v>50179.481345430293</v>
      </c>
      <c r="E115" s="17">
        <f t="shared" si="8"/>
        <v>28028.654755199554</v>
      </c>
      <c r="F115" s="17">
        <f t="shared" si="9"/>
        <v>22150.826590230739</v>
      </c>
      <c r="G115" s="139">
        <f>Comb!E115</f>
        <v>3.7800000000000007</v>
      </c>
      <c r="H115" s="139">
        <f>Tank!O116</f>
        <v>3.7800000000000011</v>
      </c>
      <c r="I115" s="17">
        <f t="shared" si="10"/>
        <v>0</v>
      </c>
      <c r="J115" s="17">
        <f t="shared" si="11"/>
        <v>998.57035791380133</v>
      </c>
      <c r="K115" s="17">
        <f t="shared" si="12"/>
        <v>998.57035791380133</v>
      </c>
      <c r="L115" s="139">
        <f t="shared" si="13"/>
        <v>0</v>
      </c>
    </row>
    <row r="116" spans="1:12">
      <c r="A116" s="8">
        <v>45041</v>
      </c>
      <c r="B116" s="17">
        <f>Comb!C116</f>
        <v>93.399999999999991</v>
      </c>
      <c r="C116" s="17">
        <f>Tank!L117</f>
        <v>-32.200000000000045</v>
      </c>
      <c r="D116" s="17">
        <f t="shared" si="7"/>
        <v>24673.669690251059</v>
      </c>
      <c r="E116" s="17">
        <f t="shared" si="8"/>
        <v>-8506.3400859323901</v>
      </c>
      <c r="F116" s="17">
        <f t="shared" si="9"/>
        <v>33180.009776183448</v>
      </c>
      <c r="G116" s="139">
        <f>Comb!E116</f>
        <v>5.4700000000000006</v>
      </c>
      <c r="H116" s="139">
        <f>Tank!O117</f>
        <v>5.470000000000006</v>
      </c>
      <c r="I116" s="17">
        <f t="shared" si="10"/>
        <v>0</v>
      </c>
      <c r="J116" s="17">
        <f t="shared" si="11"/>
        <v>1445.021126399072</v>
      </c>
      <c r="K116" s="17">
        <f t="shared" si="12"/>
        <v>1445.0211263990736</v>
      </c>
      <c r="L116" s="139">
        <f t="shared" si="13"/>
        <v>0</v>
      </c>
    </row>
    <row r="117" spans="1:12">
      <c r="A117" s="8">
        <v>45042</v>
      </c>
      <c r="B117" s="17">
        <f>Comb!C117</f>
        <v>35</v>
      </c>
      <c r="C117" s="17">
        <f>Tank!L118</f>
        <v>-89.799999999999955</v>
      </c>
      <c r="D117" s="17">
        <f t="shared" si="7"/>
        <v>9246.0218325351943</v>
      </c>
      <c r="E117" s="17">
        <f t="shared" si="8"/>
        <v>-23722.650301761718</v>
      </c>
      <c r="F117" s="17">
        <f t="shared" si="9"/>
        <v>32968.67213429691</v>
      </c>
      <c r="G117" s="139">
        <f>Comb!E117</f>
        <v>6.4999999999999991</v>
      </c>
      <c r="H117" s="139">
        <f>Tank!O118</f>
        <v>6.5</v>
      </c>
      <c r="I117" s="17">
        <f t="shared" si="10"/>
        <v>0</v>
      </c>
      <c r="J117" s="17">
        <f t="shared" si="11"/>
        <v>1717.1183403279645</v>
      </c>
      <c r="K117" s="17">
        <f t="shared" si="12"/>
        <v>1717.1183403279647</v>
      </c>
      <c r="L117" s="139">
        <f t="shared" si="13"/>
        <v>0</v>
      </c>
    </row>
    <row r="118" spans="1:12">
      <c r="A118" s="8">
        <v>45043</v>
      </c>
      <c r="B118" s="17">
        <f>Comb!C118</f>
        <v>30</v>
      </c>
      <c r="C118" s="17">
        <f>Tank!L119</f>
        <v>30</v>
      </c>
      <c r="D118" s="17">
        <f t="shared" si="7"/>
        <v>7925.1615707444525</v>
      </c>
      <c r="E118" s="17">
        <f t="shared" si="8"/>
        <v>7925.1615707444525</v>
      </c>
      <c r="F118" s="17">
        <f t="shared" si="9"/>
        <v>0</v>
      </c>
      <c r="G118" s="139">
        <f>Comb!E118</f>
        <v>5.4499999999999993</v>
      </c>
      <c r="H118" s="139">
        <f>Tank!O119</f>
        <v>-36.130000000000003</v>
      </c>
      <c r="I118" s="17">
        <f t="shared" si="10"/>
        <v>41.58</v>
      </c>
      <c r="J118" s="17">
        <f t="shared" si="11"/>
        <v>1439.7376853519086</v>
      </c>
      <c r="K118" s="17">
        <f t="shared" si="12"/>
        <v>-9544.536251699903</v>
      </c>
      <c r="L118" s="139">
        <f t="shared" si="13"/>
        <v>10984.273937051812</v>
      </c>
    </row>
    <row r="119" spans="1:12">
      <c r="A119" s="8">
        <v>45044</v>
      </c>
      <c r="B119" s="17">
        <f>Comb!C119</f>
        <v>30.1</v>
      </c>
      <c r="C119" s="17">
        <f>Tank!L120</f>
        <v>-53.5</v>
      </c>
      <c r="D119" s="17">
        <f t="shared" si="7"/>
        <v>7951.5787759802679</v>
      </c>
      <c r="E119" s="17">
        <f t="shared" si="8"/>
        <v>-14133.20480116094</v>
      </c>
      <c r="F119" s="17">
        <f t="shared" si="9"/>
        <v>22084.783577141206</v>
      </c>
      <c r="G119" s="139">
        <f>Comb!E119</f>
        <v>6.0000000000000009</v>
      </c>
      <c r="H119" s="139">
        <f>Tank!O120</f>
        <v>6</v>
      </c>
      <c r="I119" s="17">
        <f t="shared" si="10"/>
        <v>0</v>
      </c>
      <c r="J119" s="17">
        <f t="shared" si="11"/>
        <v>1585.0323141488907</v>
      </c>
      <c r="K119" s="17">
        <f t="shared" si="12"/>
        <v>1585.0323141488905</v>
      </c>
      <c r="L119" s="139">
        <f t="shared" si="13"/>
        <v>0</v>
      </c>
    </row>
    <row r="120" spans="1:12">
      <c r="A120" s="8">
        <v>45045</v>
      </c>
      <c r="B120" s="17">
        <f>Comb!C120</f>
        <v>35.6</v>
      </c>
      <c r="C120" s="17">
        <f>Tank!L121</f>
        <v>-89.300000000000068</v>
      </c>
      <c r="D120" s="17">
        <f t="shared" si="7"/>
        <v>9404.5250639500846</v>
      </c>
      <c r="E120" s="17">
        <f t="shared" si="8"/>
        <v>-23590.564275582674</v>
      </c>
      <c r="F120" s="17">
        <f t="shared" si="9"/>
        <v>32995.089339532758</v>
      </c>
      <c r="G120" s="139">
        <f>Comb!E120</f>
        <v>6.8000000000000007</v>
      </c>
      <c r="H120" s="139">
        <f>Tank!O121</f>
        <v>6.7999999999999972</v>
      </c>
      <c r="I120" s="17">
        <f t="shared" si="10"/>
        <v>0</v>
      </c>
      <c r="J120" s="17">
        <f t="shared" si="11"/>
        <v>1796.3699560354096</v>
      </c>
      <c r="K120" s="17">
        <f t="shared" si="12"/>
        <v>1796.3699560354084</v>
      </c>
      <c r="L120" s="139">
        <f t="shared" si="13"/>
        <v>0</v>
      </c>
    </row>
    <row r="121" spans="1:12">
      <c r="A121" s="8">
        <v>45046</v>
      </c>
      <c r="B121" s="17">
        <f>Comb!C121</f>
        <v>23.1</v>
      </c>
      <c r="C121" s="17">
        <f>Tank!L122</f>
        <v>0</v>
      </c>
      <c r="D121" s="17">
        <f t="shared" si="7"/>
        <v>6102.3744094732283</v>
      </c>
      <c r="E121" s="17">
        <f t="shared" si="8"/>
        <v>0</v>
      </c>
      <c r="F121" s="17">
        <f t="shared" si="9"/>
        <v>6102.3744094732283</v>
      </c>
      <c r="G121" s="139">
        <f>Comb!E121</f>
        <v>7</v>
      </c>
      <c r="H121" s="139">
        <f>Tank!O122</f>
        <v>0</v>
      </c>
      <c r="I121" s="17">
        <f t="shared" si="10"/>
        <v>7</v>
      </c>
      <c r="J121" s="17">
        <f t="shared" si="11"/>
        <v>1849.2043665070389</v>
      </c>
      <c r="K121" s="17">
        <f t="shared" si="12"/>
        <v>0</v>
      </c>
      <c r="L121" s="139">
        <f t="shared" si="13"/>
        <v>1849.2043665070389</v>
      </c>
    </row>
    <row r="122" spans="1:12">
      <c r="A122" s="8">
        <v>45047</v>
      </c>
      <c r="B122" s="17">
        <f>Comb!C122</f>
        <v>3.8</v>
      </c>
      <c r="C122" s="17">
        <f>Tank!L123</f>
        <v>-893.7</v>
      </c>
      <c r="D122" s="17">
        <f>+CONVERT(B122,"m^3","gal")</f>
        <v>1003.853798960964</v>
      </c>
      <c r="E122" s="17">
        <f>+CONVERT(C122,"m^3","gal")</f>
        <v>-236090.56319247725</v>
      </c>
      <c r="F122" s="17">
        <f>D122-E122</f>
        <v>237094.41699143822</v>
      </c>
      <c r="G122" s="139">
        <f>Comb!E122</f>
        <v>7.1999999999999984</v>
      </c>
      <c r="H122" s="139">
        <f>Tank!O123</f>
        <v>-57.7</v>
      </c>
      <c r="I122" s="17">
        <f t="shared" si="10"/>
        <v>64.900000000000006</v>
      </c>
      <c r="J122" s="17">
        <f t="shared" si="11"/>
        <v>1902.0387769786682</v>
      </c>
      <c r="K122" s="17">
        <f t="shared" si="12"/>
        <v>-15242.727421065165</v>
      </c>
      <c r="L122" s="139">
        <f t="shared" si="13"/>
        <v>17144.766198043832</v>
      </c>
    </row>
    <row r="123" spans="1:12">
      <c r="A123" s="8">
        <v>45048</v>
      </c>
      <c r="B123" s="17">
        <f>Comb!C123</f>
        <v>1.2</v>
      </c>
      <c r="C123" s="17">
        <f>Tank!L124</f>
        <v>-39.599999999999909</v>
      </c>
      <c r="D123" s="17">
        <f t="shared" ref="D123:D186" si="14">+CONVERT(B123,"m^3","gal")</f>
        <v>317.00646282977812</v>
      </c>
      <c r="E123" s="17">
        <f t="shared" ref="E123:E186" si="15">+CONVERT(C123,"m^3","gal")</f>
        <v>-10461.213273382655</v>
      </c>
      <c r="F123" s="17">
        <f t="shared" ref="F123:F186" si="16">D123-E123</f>
        <v>10778.219736212433</v>
      </c>
      <c r="G123" s="139">
        <f>Comb!E123</f>
        <v>6.64</v>
      </c>
      <c r="H123" s="139">
        <f>Tank!O124</f>
        <v>6.6400000000000006</v>
      </c>
      <c r="I123" s="17">
        <f t="shared" si="10"/>
        <v>0</v>
      </c>
      <c r="J123" s="17">
        <f t="shared" si="11"/>
        <v>1754.1024276581056</v>
      </c>
      <c r="K123" s="17">
        <f t="shared" si="12"/>
        <v>1754.1024276581059</v>
      </c>
      <c r="L123" s="139">
        <f t="shared" si="13"/>
        <v>0</v>
      </c>
    </row>
    <row r="124" spans="1:12">
      <c r="A124" s="8">
        <v>45049</v>
      </c>
      <c r="B124" s="17">
        <f>Comb!C124</f>
        <v>3.4000000000000004</v>
      </c>
      <c r="C124" s="17">
        <f>Tank!L125</f>
        <v>-38.200000000000045</v>
      </c>
      <c r="D124" s="17">
        <f t="shared" si="14"/>
        <v>898.18497801770479</v>
      </c>
      <c r="E124" s="17">
        <f t="shared" si="15"/>
        <v>-10091.372400081282</v>
      </c>
      <c r="F124" s="17">
        <f t="shared" si="16"/>
        <v>10989.557378098987</v>
      </c>
      <c r="G124" s="139">
        <f>Comb!E124</f>
        <v>6.75</v>
      </c>
      <c r="H124" s="139">
        <f>Tank!O125</f>
        <v>-31.179999999999993</v>
      </c>
      <c r="I124" s="17">
        <f t="shared" si="10"/>
        <v>37.929999999999993</v>
      </c>
      <c r="J124" s="17">
        <f t="shared" si="11"/>
        <v>1783.1613534175019</v>
      </c>
      <c r="K124" s="17">
        <f t="shared" si="12"/>
        <v>-8236.8845925270653</v>
      </c>
      <c r="L124" s="139">
        <f t="shared" si="13"/>
        <v>10020.045945944566</v>
      </c>
    </row>
    <row r="125" spans="1:12">
      <c r="A125" s="8">
        <v>45050</v>
      </c>
      <c r="B125" s="17">
        <f>Comb!C125</f>
        <v>1.5</v>
      </c>
      <c r="C125" s="17">
        <f>Tank!L126</f>
        <v>1.5</v>
      </c>
      <c r="D125" s="17">
        <f t="shared" si="14"/>
        <v>396.25807853722262</v>
      </c>
      <c r="E125" s="17">
        <f t="shared" si="15"/>
        <v>396.25807853722262</v>
      </c>
      <c r="F125" s="17">
        <f t="shared" si="16"/>
        <v>0</v>
      </c>
      <c r="G125" s="139">
        <f>Comb!E125</f>
        <v>7.2399999999999984</v>
      </c>
      <c r="H125" s="139">
        <f>Tank!O126</f>
        <v>7.2399999999999949</v>
      </c>
      <c r="I125" s="17">
        <f t="shared" si="10"/>
        <v>0</v>
      </c>
      <c r="J125" s="17">
        <f t="shared" si="11"/>
        <v>1912.6056590729941</v>
      </c>
      <c r="K125" s="17">
        <f t="shared" si="12"/>
        <v>1912.6056590729931</v>
      </c>
      <c r="L125" s="139">
        <f t="shared" si="13"/>
        <v>0</v>
      </c>
    </row>
    <row r="126" spans="1:12">
      <c r="A126" s="8">
        <v>45051</v>
      </c>
      <c r="B126" s="17">
        <f>Comb!C126</f>
        <v>5</v>
      </c>
      <c r="C126" s="17">
        <f>Tank!L127</f>
        <v>5</v>
      </c>
      <c r="D126" s="17">
        <f t="shared" si="14"/>
        <v>1320.860261790742</v>
      </c>
      <c r="E126" s="17">
        <f t="shared" si="15"/>
        <v>1320.860261790742</v>
      </c>
      <c r="F126" s="17">
        <f t="shared" si="16"/>
        <v>0</v>
      </c>
      <c r="G126" s="139">
        <f>Comb!E126</f>
        <v>7.2999999999999989</v>
      </c>
      <c r="H126" s="139">
        <f>Tank!O127</f>
        <v>7.2999999999999972</v>
      </c>
      <c r="I126" s="17">
        <f t="shared" si="10"/>
        <v>0</v>
      </c>
      <c r="J126" s="17">
        <f t="shared" si="11"/>
        <v>1928.4559822144834</v>
      </c>
      <c r="K126" s="17">
        <f t="shared" si="12"/>
        <v>1928.4559822144827</v>
      </c>
      <c r="L126" s="139">
        <f t="shared" si="13"/>
        <v>0</v>
      </c>
    </row>
    <row r="127" spans="1:12">
      <c r="A127" s="8">
        <v>45052</v>
      </c>
      <c r="B127" s="17">
        <f>Comb!C127</f>
        <v>2</v>
      </c>
      <c r="C127" s="17">
        <f>Tank!L128</f>
        <v>2</v>
      </c>
      <c r="D127" s="17">
        <f t="shared" si="14"/>
        <v>528.3441047162969</v>
      </c>
      <c r="E127" s="17">
        <f t="shared" si="15"/>
        <v>528.3441047162969</v>
      </c>
      <c r="F127" s="17">
        <f t="shared" si="16"/>
        <v>0</v>
      </c>
      <c r="G127" s="139">
        <f>Comb!E127</f>
        <v>7.6000000000000023</v>
      </c>
      <c r="H127" s="139">
        <f>Tank!O128</f>
        <v>7.6000000000000014</v>
      </c>
      <c r="I127" s="17">
        <f t="shared" si="10"/>
        <v>0</v>
      </c>
      <c r="J127" s="17">
        <f t="shared" si="11"/>
        <v>2007.7075979219287</v>
      </c>
      <c r="K127" s="17">
        <f t="shared" si="12"/>
        <v>2007.7075979219285</v>
      </c>
      <c r="L127" s="139">
        <f t="shared" si="13"/>
        <v>0</v>
      </c>
    </row>
    <row r="128" spans="1:12">
      <c r="A128" s="8">
        <v>45053</v>
      </c>
      <c r="B128" s="17">
        <f>Comb!C128</f>
        <v>0.7</v>
      </c>
      <c r="C128" s="17">
        <f>Tank!L129</f>
        <v>0.70000000000004547</v>
      </c>
      <c r="D128" s="17">
        <f t="shared" si="14"/>
        <v>184.92043665070389</v>
      </c>
      <c r="E128" s="17">
        <f t="shared" si="15"/>
        <v>184.92043665071591</v>
      </c>
      <c r="F128" s="17">
        <f t="shared" si="16"/>
        <v>-1.2022383089060895E-11</v>
      </c>
      <c r="G128" s="139">
        <f>Comb!E128</f>
        <v>8.7199999999999989</v>
      </c>
      <c r="H128" s="139">
        <f>Tank!O129</f>
        <v>8.7199999999999989</v>
      </c>
      <c r="I128" s="17">
        <f t="shared" si="10"/>
        <v>0</v>
      </c>
      <c r="J128" s="17">
        <f t="shared" si="11"/>
        <v>2303.5802965630537</v>
      </c>
      <c r="K128" s="17">
        <f t="shared" si="12"/>
        <v>2303.5802965630537</v>
      </c>
      <c r="L128" s="139">
        <f t="shared" si="13"/>
        <v>0</v>
      </c>
    </row>
    <row r="129" spans="1:12">
      <c r="A129" s="8">
        <v>45054</v>
      </c>
      <c r="B129" s="17">
        <f>Comb!C129</f>
        <v>32.9</v>
      </c>
      <c r="C129" s="17">
        <f>Tank!L130</f>
        <v>32.899999999999977</v>
      </c>
      <c r="D129" s="17">
        <f t="shared" si="14"/>
        <v>8691.260522583083</v>
      </c>
      <c r="E129" s="17">
        <f t="shared" si="15"/>
        <v>8691.2605225830775</v>
      </c>
      <c r="F129" s="17">
        <f t="shared" si="16"/>
        <v>0</v>
      </c>
      <c r="G129" s="139">
        <f>Comb!E129</f>
        <v>5.8299999999999983</v>
      </c>
      <c r="H129" s="139">
        <f>Tank!O130</f>
        <v>5.8300000000000054</v>
      </c>
      <c r="I129" s="17">
        <f t="shared" si="10"/>
        <v>-7.1054273576010019E-15</v>
      </c>
      <c r="J129" s="17">
        <f t="shared" si="11"/>
        <v>1540.1230652480049</v>
      </c>
      <c r="K129" s="17">
        <f t="shared" si="12"/>
        <v>1540.1230652480067</v>
      </c>
      <c r="L129" s="139">
        <f t="shared" si="13"/>
        <v>-1.8189894035458565E-12</v>
      </c>
    </row>
    <row r="130" spans="1:12">
      <c r="A130" s="8">
        <v>45055</v>
      </c>
      <c r="B130" s="17">
        <f>Comb!C130</f>
        <v>45.6</v>
      </c>
      <c r="C130" s="17">
        <f>Tank!L131</f>
        <v>45.600000000000023</v>
      </c>
      <c r="D130" s="17">
        <f t="shared" si="14"/>
        <v>12046.245587531568</v>
      </c>
      <c r="E130" s="17">
        <f t="shared" si="15"/>
        <v>12046.245587531574</v>
      </c>
      <c r="F130" s="17">
        <f t="shared" si="16"/>
        <v>0</v>
      </c>
      <c r="G130" s="139">
        <f>Comb!E130</f>
        <v>6.4400000000000013</v>
      </c>
      <c r="H130" s="139">
        <f>Tank!O131</f>
        <v>-31.350000000000009</v>
      </c>
      <c r="I130" s="17">
        <f t="shared" ref="I130:I193" si="17">G130-H130</f>
        <v>37.790000000000006</v>
      </c>
      <c r="J130" s="17">
        <f t="shared" ref="J130:J193" si="18">+CONVERT(G130,"m^3","gal")</f>
        <v>1701.2680171864761</v>
      </c>
      <c r="K130" s="17">
        <f t="shared" ref="K130:K193" si="19">+CONVERT(H130,"m^3","gal")</f>
        <v>-8281.7938414279542</v>
      </c>
      <c r="L130" s="139">
        <f t="shared" ref="L130:L193" si="20">J130-K130</f>
        <v>9983.0618586144301</v>
      </c>
    </row>
    <row r="131" spans="1:12">
      <c r="A131" s="8">
        <v>45056</v>
      </c>
      <c r="B131" s="17">
        <f>Comb!C131</f>
        <v>25.97</v>
      </c>
      <c r="C131" s="17">
        <f>Tank!L132</f>
        <v>-18.200000000000045</v>
      </c>
      <c r="D131" s="17">
        <f t="shared" si="14"/>
        <v>6860.5481997411143</v>
      </c>
      <c r="E131" s="17">
        <f t="shared" si="15"/>
        <v>-4807.9313529183128</v>
      </c>
      <c r="F131" s="17">
        <f t="shared" si="16"/>
        <v>11668.479552659428</v>
      </c>
      <c r="G131" s="139">
        <f>Comb!E131</f>
        <v>8.0900000000000016</v>
      </c>
      <c r="H131" s="139">
        <f>Tank!O132</f>
        <v>8.0900000000000034</v>
      </c>
      <c r="I131" s="17">
        <f t="shared" si="17"/>
        <v>0</v>
      </c>
      <c r="J131" s="17">
        <f t="shared" si="18"/>
        <v>2137.1519035774213</v>
      </c>
      <c r="K131" s="17">
        <f t="shared" si="19"/>
        <v>2137.1519035774218</v>
      </c>
      <c r="L131" s="139">
        <f t="shared" si="20"/>
        <v>0</v>
      </c>
    </row>
    <row r="132" spans="1:12">
      <c r="A132" s="8">
        <v>45057</v>
      </c>
      <c r="B132" s="17">
        <f>Comb!C132</f>
        <v>59.36</v>
      </c>
      <c r="C132" s="17">
        <f>Tank!L133</f>
        <v>-24.100000000000023</v>
      </c>
      <c r="D132" s="17">
        <f t="shared" si="14"/>
        <v>15681.25302797969</v>
      </c>
      <c r="E132" s="17">
        <f t="shared" si="15"/>
        <v>-6366.5464618313827</v>
      </c>
      <c r="F132" s="17">
        <f t="shared" si="16"/>
        <v>22047.799489811074</v>
      </c>
      <c r="G132" s="139">
        <f>Comb!E132</f>
        <v>7.629999999999999</v>
      </c>
      <c r="H132" s="139">
        <f>Tank!O133</f>
        <v>7.6300000000000026</v>
      </c>
      <c r="I132" s="17">
        <f t="shared" si="17"/>
        <v>0</v>
      </c>
      <c r="J132" s="17">
        <f t="shared" si="18"/>
        <v>2015.6327594926722</v>
      </c>
      <c r="K132" s="17">
        <f t="shared" si="19"/>
        <v>2015.6327594926731</v>
      </c>
      <c r="L132" s="139">
        <f t="shared" si="20"/>
        <v>0</v>
      </c>
    </row>
    <row r="133" spans="1:12">
      <c r="A133" s="8">
        <v>45058</v>
      </c>
      <c r="B133" s="17">
        <f>Comb!C133</f>
        <v>45.1</v>
      </c>
      <c r="C133" s="17">
        <f>Tank!L134</f>
        <v>18.399999999999977</v>
      </c>
      <c r="D133" s="17">
        <f t="shared" si="14"/>
        <v>11914.159561352493</v>
      </c>
      <c r="E133" s="17">
        <f t="shared" si="15"/>
        <v>4860.7657633899253</v>
      </c>
      <c r="F133" s="17">
        <f t="shared" si="16"/>
        <v>7053.393797962568</v>
      </c>
      <c r="G133" s="139">
        <f>Comb!E133</f>
        <v>7.5500000000000007</v>
      </c>
      <c r="H133" s="139">
        <f>Tank!O134</f>
        <v>-28.809999999999995</v>
      </c>
      <c r="I133" s="17">
        <f t="shared" si="17"/>
        <v>36.36</v>
      </c>
      <c r="J133" s="17">
        <f t="shared" si="18"/>
        <v>1994.4989953040208</v>
      </c>
      <c r="K133" s="17">
        <f t="shared" si="19"/>
        <v>-7610.796828438255</v>
      </c>
      <c r="L133" s="139">
        <f t="shared" si="20"/>
        <v>9605.2958237422754</v>
      </c>
    </row>
    <row r="134" spans="1:12">
      <c r="A134" s="8">
        <v>45059</v>
      </c>
      <c r="B134" s="17">
        <f>Comb!C134</f>
        <v>38.6</v>
      </c>
      <c r="C134" s="17">
        <f>Tank!L135</f>
        <v>38.600000000000023</v>
      </c>
      <c r="D134" s="17">
        <f t="shared" si="14"/>
        <v>10197.041221024529</v>
      </c>
      <c r="E134" s="17">
        <f t="shared" si="15"/>
        <v>10197.041221024534</v>
      </c>
      <c r="F134" s="17">
        <f t="shared" si="16"/>
        <v>0</v>
      </c>
      <c r="G134" s="139">
        <f>Comb!E134</f>
        <v>7.5799999999999992</v>
      </c>
      <c r="H134" s="139">
        <f>Tank!O135</f>
        <v>7.5999999999999943</v>
      </c>
      <c r="I134" s="17">
        <f t="shared" si="17"/>
        <v>-1.9999999999995133E-2</v>
      </c>
      <c r="J134" s="17">
        <f t="shared" si="18"/>
        <v>2002.4241568747648</v>
      </c>
      <c r="K134" s="17">
        <f t="shared" si="19"/>
        <v>2007.7075979219267</v>
      </c>
      <c r="L134" s="139">
        <f t="shared" si="20"/>
        <v>-5.2834410471618867</v>
      </c>
    </row>
    <row r="135" spans="1:12">
      <c r="A135" s="8">
        <v>45060</v>
      </c>
      <c r="B135" s="17">
        <f>Comb!C135</f>
        <v>34.5</v>
      </c>
      <c r="C135" s="17">
        <f>Tank!L136</f>
        <v>34.5</v>
      </c>
      <c r="D135" s="17">
        <f t="shared" si="14"/>
        <v>9113.9358063561212</v>
      </c>
      <c r="E135" s="17">
        <f t="shared" si="15"/>
        <v>9113.9358063561212</v>
      </c>
      <c r="F135" s="17">
        <f t="shared" si="16"/>
        <v>0</v>
      </c>
      <c r="G135" s="139">
        <f>Comb!E135</f>
        <v>8.15</v>
      </c>
      <c r="H135" s="139">
        <f>Tank!O136</f>
        <v>8.1500000000000057</v>
      </c>
      <c r="I135" s="17">
        <f t="shared" si="17"/>
        <v>0</v>
      </c>
      <c r="J135" s="17">
        <f t="shared" si="18"/>
        <v>2153.0022267189097</v>
      </c>
      <c r="K135" s="17">
        <f t="shared" si="19"/>
        <v>2153.0022267189111</v>
      </c>
      <c r="L135" s="139">
        <f t="shared" si="20"/>
        <v>0</v>
      </c>
    </row>
    <row r="136" spans="1:12">
      <c r="A136" s="8">
        <v>45061</v>
      </c>
      <c r="B136" s="17">
        <f>Comb!C136</f>
        <v>36.6</v>
      </c>
      <c r="C136" s="17">
        <f>Tank!L137</f>
        <v>-46.699999999999932</v>
      </c>
      <c r="D136" s="17">
        <f t="shared" si="14"/>
        <v>9668.6971163082326</v>
      </c>
      <c r="E136" s="17">
        <f t="shared" si="15"/>
        <v>-12336.834845125513</v>
      </c>
      <c r="F136" s="17">
        <f t="shared" si="16"/>
        <v>22005.531961433746</v>
      </c>
      <c r="G136" s="139">
        <f>Comb!E136</f>
        <v>9.5500000000000007</v>
      </c>
      <c r="H136" s="139">
        <f>Tank!O137</f>
        <v>9.5499999999999972</v>
      </c>
      <c r="I136" s="17">
        <f t="shared" si="17"/>
        <v>0</v>
      </c>
      <c r="J136" s="17">
        <f t="shared" si="18"/>
        <v>2522.8431000203173</v>
      </c>
      <c r="K136" s="17">
        <f t="shared" si="19"/>
        <v>2522.8431000203163</v>
      </c>
      <c r="L136" s="139">
        <f t="shared" si="20"/>
        <v>0</v>
      </c>
    </row>
    <row r="137" spans="1:12">
      <c r="A137" s="8">
        <v>45062</v>
      </c>
      <c r="B137" s="17">
        <f>Comb!C137</f>
        <v>37</v>
      </c>
      <c r="C137" s="17">
        <f>Tank!L138</f>
        <v>-46.400000000000091</v>
      </c>
      <c r="D137" s="17">
        <f t="shared" si="14"/>
        <v>9774.3659372514921</v>
      </c>
      <c r="E137" s="17">
        <f t="shared" si="15"/>
        <v>-12257.583229418109</v>
      </c>
      <c r="F137" s="17">
        <f t="shared" si="16"/>
        <v>22031.949166669601</v>
      </c>
      <c r="G137" s="139">
        <f>Comb!E137</f>
        <v>9.5399999999999991</v>
      </c>
      <c r="H137" s="139">
        <f>Tank!O138</f>
        <v>9.5399999999999991</v>
      </c>
      <c r="I137" s="17">
        <f t="shared" si="17"/>
        <v>0</v>
      </c>
      <c r="J137" s="17">
        <f t="shared" si="18"/>
        <v>2520.2013794967361</v>
      </c>
      <c r="K137" s="17">
        <f t="shared" si="19"/>
        <v>2520.2013794967361</v>
      </c>
      <c r="L137" s="139">
        <f t="shared" si="20"/>
        <v>0</v>
      </c>
    </row>
    <row r="138" spans="1:12">
      <c r="A138" s="8">
        <v>45063</v>
      </c>
      <c r="B138" s="17">
        <f>Comb!C138</f>
        <v>40.199999999999996</v>
      </c>
      <c r="C138" s="17">
        <f>Tank!L139</f>
        <v>-43.299999999999955</v>
      </c>
      <c r="D138" s="17">
        <f t="shared" si="14"/>
        <v>10619.716504797565</v>
      </c>
      <c r="E138" s="17">
        <f t="shared" si="15"/>
        <v>-11438.649867107815</v>
      </c>
      <c r="F138" s="17">
        <f t="shared" si="16"/>
        <v>22058.36637190538</v>
      </c>
      <c r="G138" s="139">
        <f>Comb!E138</f>
        <v>9.16</v>
      </c>
      <c r="H138" s="139">
        <f>Tank!O139</f>
        <v>9.1599999999999966</v>
      </c>
      <c r="I138" s="17">
        <f t="shared" si="17"/>
        <v>0</v>
      </c>
      <c r="J138" s="17">
        <f t="shared" si="18"/>
        <v>2419.8159996006398</v>
      </c>
      <c r="K138" s="17">
        <f t="shared" si="19"/>
        <v>2419.8159996006384</v>
      </c>
      <c r="L138" s="139">
        <f t="shared" si="20"/>
        <v>0</v>
      </c>
    </row>
    <row r="139" spans="1:12">
      <c r="A139" s="8">
        <v>45064</v>
      </c>
      <c r="B139" s="17">
        <f>Comb!C139</f>
        <v>29.599999999999998</v>
      </c>
      <c r="C139" s="17">
        <f>Tank!L140</f>
        <v>-12</v>
      </c>
      <c r="D139" s="17">
        <f t="shared" si="14"/>
        <v>7819.4927498011921</v>
      </c>
      <c r="E139" s="17">
        <f t="shared" si="15"/>
        <v>-3170.0646282977809</v>
      </c>
      <c r="F139" s="17">
        <f t="shared" si="16"/>
        <v>10989.557378098973</v>
      </c>
      <c r="G139" s="139">
        <f>Comb!E139</f>
        <v>9.16</v>
      </c>
      <c r="H139" s="139">
        <f>Tank!O140</f>
        <v>-32.499999999999993</v>
      </c>
      <c r="I139" s="17">
        <f t="shared" si="17"/>
        <v>41.66</v>
      </c>
      <c r="J139" s="17">
        <f t="shared" si="18"/>
        <v>2419.8159996006398</v>
      </c>
      <c r="K139" s="17">
        <f t="shared" si="19"/>
        <v>-8585.5917016398216</v>
      </c>
      <c r="L139" s="139">
        <f t="shared" si="20"/>
        <v>11005.407701240461</v>
      </c>
    </row>
    <row r="140" spans="1:12">
      <c r="A140" s="8">
        <v>45065</v>
      </c>
      <c r="B140" s="17">
        <f>Comb!C140</f>
        <v>35.56</v>
      </c>
      <c r="C140" s="17">
        <f>Tank!L141</f>
        <v>-6.2000000000000455</v>
      </c>
      <c r="D140" s="17">
        <f>+CONVERT(B140,"m^3","gal")</f>
        <v>9393.9581818557581</v>
      </c>
      <c r="E140" s="17">
        <f t="shared" si="15"/>
        <v>-1637.8667246205323</v>
      </c>
      <c r="F140" s="17">
        <f t="shared" si="16"/>
        <v>11031.824906476289</v>
      </c>
      <c r="G140" s="139">
        <f>Comb!E140</f>
        <v>6.6399999999999988</v>
      </c>
      <c r="H140" s="139">
        <f>Tank!O141</f>
        <v>6.6400000000000006</v>
      </c>
      <c r="I140" s="17">
        <f t="shared" si="17"/>
        <v>0</v>
      </c>
      <c r="J140" s="17">
        <f t="shared" si="18"/>
        <v>1754.1024276581054</v>
      </c>
      <c r="K140" s="17">
        <f t="shared" si="19"/>
        <v>1754.1024276581059</v>
      </c>
      <c r="L140" s="139">
        <f t="shared" si="20"/>
        <v>0</v>
      </c>
    </row>
    <row r="141" spans="1:12">
      <c r="A141" s="8">
        <v>45066</v>
      </c>
      <c r="B141" s="17">
        <f>Comb!C141</f>
        <v>31.2</v>
      </c>
      <c r="C141" s="17">
        <f>Tank!L142</f>
        <v>-10.399999999999977</v>
      </c>
      <c r="D141" s="17">
        <f t="shared" si="14"/>
        <v>8242.1680335742312</v>
      </c>
      <c r="E141" s="17">
        <f t="shared" si="15"/>
        <v>-2747.3893445247377</v>
      </c>
      <c r="F141" s="17">
        <f t="shared" si="16"/>
        <v>10989.557378098969</v>
      </c>
      <c r="G141" s="139">
        <f>Comb!E141</f>
        <v>6.2899999999999983</v>
      </c>
      <c r="H141" s="139">
        <f>Tank!O142</f>
        <v>6.289999999999992</v>
      </c>
      <c r="I141" s="17">
        <f t="shared" si="17"/>
        <v>0</v>
      </c>
      <c r="J141" s="17">
        <f t="shared" si="18"/>
        <v>1661.6422093327531</v>
      </c>
      <c r="K141" s="17">
        <f t="shared" si="19"/>
        <v>1661.6422093327515</v>
      </c>
      <c r="L141" s="139">
        <f t="shared" si="20"/>
        <v>0</v>
      </c>
    </row>
    <row r="142" spans="1:12">
      <c r="A142" s="8">
        <v>45067</v>
      </c>
      <c r="B142" s="17">
        <f>Comb!C142</f>
        <v>27.84</v>
      </c>
      <c r="C142" s="17">
        <f>Tank!L143</f>
        <v>27.800000000000068</v>
      </c>
      <c r="D142" s="17">
        <f t="shared" si="14"/>
        <v>7354.5499376508524</v>
      </c>
      <c r="E142" s="17">
        <f t="shared" si="15"/>
        <v>7343.9830555565441</v>
      </c>
      <c r="F142" s="17">
        <f t="shared" si="16"/>
        <v>10.566882094308312</v>
      </c>
      <c r="G142" s="139">
        <f>Comb!E142</f>
        <v>6.8999999999999986</v>
      </c>
      <c r="H142" s="139">
        <f>Tank!O143</f>
        <v>6.9000000000000057</v>
      </c>
      <c r="I142" s="17">
        <f t="shared" si="17"/>
        <v>-7.1054273576010019E-15</v>
      </c>
      <c r="J142" s="17">
        <f t="shared" si="18"/>
        <v>1822.7871612712236</v>
      </c>
      <c r="K142" s="17">
        <f t="shared" si="19"/>
        <v>1822.7871612712256</v>
      </c>
      <c r="L142" s="139">
        <f t="shared" si="20"/>
        <v>-2.0463630789890885E-12</v>
      </c>
    </row>
    <row r="143" spans="1:12">
      <c r="A143" s="8">
        <v>45068</v>
      </c>
      <c r="B143" s="17">
        <f>Comb!C143</f>
        <v>33.199999999999996</v>
      </c>
      <c r="C143" s="17">
        <f>Tank!L144</f>
        <v>33.199999999999932</v>
      </c>
      <c r="D143" s="17">
        <f t="shared" si="14"/>
        <v>8770.5121382905254</v>
      </c>
      <c r="E143" s="17">
        <f t="shared" si="15"/>
        <v>8770.5121382905108</v>
      </c>
      <c r="F143" s="17">
        <f t="shared" si="16"/>
        <v>1.4551915228366852E-11</v>
      </c>
      <c r="G143" s="139">
        <f>Comb!E143</f>
        <v>6.2300000000000013</v>
      </c>
      <c r="H143" s="139">
        <f>Tank!O144</f>
        <v>6.2299999999999969</v>
      </c>
      <c r="I143" s="17">
        <f t="shared" si="17"/>
        <v>0</v>
      </c>
      <c r="J143" s="17">
        <f t="shared" si="18"/>
        <v>1645.7918861912649</v>
      </c>
      <c r="K143" s="17">
        <f t="shared" si="19"/>
        <v>1645.791886191264</v>
      </c>
      <c r="L143" s="139">
        <f t="shared" si="20"/>
        <v>0</v>
      </c>
    </row>
    <row r="144" spans="1:12">
      <c r="A144" s="8">
        <v>45069</v>
      </c>
      <c r="B144" s="17">
        <f>Comb!C144</f>
        <v>80</v>
      </c>
      <c r="C144" s="17">
        <f>Tank!L145</f>
        <v>38.399999999999977</v>
      </c>
      <c r="D144" s="17">
        <f t="shared" si="14"/>
        <v>21133.764188651872</v>
      </c>
      <c r="E144" s="17">
        <f t="shared" si="15"/>
        <v>10144.206810552894</v>
      </c>
      <c r="F144" s="17">
        <f t="shared" si="16"/>
        <v>10989.557378098978</v>
      </c>
      <c r="G144" s="139">
        <f>Comb!E144</f>
        <v>6.3699999999999983</v>
      </c>
      <c r="H144" s="139">
        <f>Tank!O145</f>
        <v>6.3699999999999974</v>
      </c>
      <c r="I144" s="17">
        <f t="shared" si="17"/>
        <v>0</v>
      </c>
      <c r="J144" s="17">
        <f t="shared" si="18"/>
        <v>1682.7759735214049</v>
      </c>
      <c r="K144" s="17">
        <f t="shared" si="19"/>
        <v>1682.7759735214047</v>
      </c>
      <c r="L144" s="139">
        <f t="shared" si="20"/>
        <v>0</v>
      </c>
    </row>
    <row r="145" spans="1:12">
      <c r="A145" s="8">
        <v>45070</v>
      </c>
      <c r="B145" s="17">
        <f>Comb!C145</f>
        <v>44.4</v>
      </c>
      <c r="C145" s="17">
        <f>Tank!L146</f>
        <v>2.8000000000000682</v>
      </c>
      <c r="D145" s="17">
        <f t="shared" si="14"/>
        <v>11729.239124701789</v>
      </c>
      <c r="E145" s="17">
        <f t="shared" si="15"/>
        <v>739.68174660283364</v>
      </c>
      <c r="F145" s="17">
        <f t="shared" si="16"/>
        <v>10989.557378098956</v>
      </c>
      <c r="G145" s="139">
        <f>Comb!E145</f>
        <v>6.4499999999999975</v>
      </c>
      <c r="H145" s="139">
        <f>Tank!O146</f>
        <v>-35.230000000000004</v>
      </c>
      <c r="I145" s="17">
        <f t="shared" si="17"/>
        <v>41.68</v>
      </c>
      <c r="J145" s="17">
        <f t="shared" si="18"/>
        <v>1703.9097377100566</v>
      </c>
      <c r="K145" s="17">
        <f t="shared" si="19"/>
        <v>-9306.7814045775704</v>
      </c>
      <c r="L145" s="139">
        <f t="shared" si="20"/>
        <v>11010.691142287627</v>
      </c>
    </row>
    <row r="146" spans="1:12">
      <c r="A146" s="8">
        <v>45071</v>
      </c>
      <c r="B146" s="17">
        <f>Comb!C146</f>
        <v>30.9</v>
      </c>
      <c r="C146" s="17">
        <f>Tank!L147</f>
        <v>-52.399999999999977</v>
      </c>
      <c r="D146" s="17">
        <f t="shared" si="14"/>
        <v>8162.9164178667861</v>
      </c>
      <c r="E146" s="17">
        <f t="shared" si="15"/>
        <v>-13842.615543566972</v>
      </c>
      <c r="F146" s="17">
        <f t="shared" si="16"/>
        <v>22005.531961433757</v>
      </c>
      <c r="G146" s="139">
        <f>Comb!E146</f>
        <v>6.45</v>
      </c>
      <c r="H146" s="139">
        <f>Tank!O147</f>
        <v>6.4500000000000028</v>
      </c>
      <c r="I146" s="17">
        <f t="shared" si="17"/>
        <v>0</v>
      </c>
      <c r="J146" s="17">
        <f t="shared" si="18"/>
        <v>1703.9097377100572</v>
      </c>
      <c r="K146" s="17">
        <f t="shared" si="19"/>
        <v>1703.9097377100582</v>
      </c>
      <c r="L146" s="139">
        <f t="shared" si="20"/>
        <v>0</v>
      </c>
    </row>
    <row r="147" spans="1:12">
      <c r="A147" s="8">
        <v>45072</v>
      </c>
      <c r="B147" s="17">
        <f>Comb!C147</f>
        <v>33</v>
      </c>
      <c r="C147" s="17">
        <f>Tank!L148</f>
        <v>-49.100000000000023</v>
      </c>
      <c r="D147" s="17">
        <f t="shared" si="14"/>
        <v>8717.6777278188983</v>
      </c>
      <c r="E147" s="17">
        <f t="shared" si="15"/>
        <v>-12970.847770785093</v>
      </c>
      <c r="F147" s="17">
        <f t="shared" si="16"/>
        <v>21688.525498603991</v>
      </c>
      <c r="G147" s="139">
        <f>Comb!E147</f>
        <v>7.1300000000000008</v>
      </c>
      <c r="H147" s="139">
        <f>Tank!O148</f>
        <v>7.1300000000000097</v>
      </c>
      <c r="I147" s="17">
        <f t="shared" si="17"/>
        <v>-8.8817841970012523E-15</v>
      </c>
      <c r="J147" s="17">
        <f t="shared" si="18"/>
        <v>1883.5467333135985</v>
      </c>
      <c r="K147" s="17">
        <f t="shared" si="19"/>
        <v>1883.546733313601</v>
      </c>
      <c r="L147" s="139">
        <f t="shared" si="20"/>
        <v>-2.5011104298755527E-12</v>
      </c>
    </row>
    <row r="148" spans="1:12">
      <c r="A148" s="8">
        <v>45073</v>
      </c>
      <c r="B148" s="17">
        <f>Comb!C148</f>
        <v>21</v>
      </c>
      <c r="C148" s="17">
        <f>Tank!L149</f>
        <v>19.899999999999977</v>
      </c>
      <c r="D148" s="17">
        <f t="shared" si="14"/>
        <v>5547.613099521117</v>
      </c>
      <c r="E148" s="17">
        <f t="shared" si="15"/>
        <v>5257.0238419271482</v>
      </c>
      <c r="F148" s="17">
        <f t="shared" si="16"/>
        <v>290.5892575939688</v>
      </c>
      <c r="G148" s="139">
        <f>Comb!E148</f>
        <v>6.089999999999999</v>
      </c>
      <c r="H148" s="139">
        <f>Tank!O149</f>
        <v>6.0899999999999963</v>
      </c>
      <c r="I148" s="17">
        <f t="shared" si="17"/>
        <v>0</v>
      </c>
      <c r="J148" s="17">
        <f t="shared" si="18"/>
        <v>1608.8077988611237</v>
      </c>
      <c r="K148" s="17">
        <f t="shared" si="19"/>
        <v>1608.807798861123</v>
      </c>
      <c r="L148" s="139">
        <f t="shared" si="20"/>
        <v>0</v>
      </c>
    </row>
    <row r="149" spans="1:12">
      <c r="A149" s="8">
        <v>45074</v>
      </c>
      <c r="B149" s="17">
        <f>Comb!C149</f>
        <v>1.3</v>
      </c>
      <c r="C149" s="17">
        <f>Tank!L150</f>
        <v>1.2999999999999545</v>
      </c>
      <c r="D149" s="17">
        <f t="shared" si="14"/>
        <v>343.42366806559295</v>
      </c>
      <c r="E149" s="17">
        <f t="shared" si="15"/>
        <v>343.42366806558096</v>
      </c>
      <c r="F149" s="17">
        <f t="shared" si="16"/>
        <v>1.1993961379630491E-11</v>
      </c>
      <c r="G149" s="139">
        <f>Comb!E149</f>
        <v>6.9300000000000015</v>
      </c>
      <c r="H149" s="139">
        <f>Tank!O150</f>
        <v>6.93</v>
      </c>
      <c r="I149" s="17">
        <f t="shared" si="17"/>
        <v>0</v>
      </c>
      <c r="J149" s="17">
        <f t="shared" si="18"/>
        <v>1830.7123228419691</v>
      </c>
      <c r="K149" s="17">
        <f t="shared" si="19"/>
        <v>1830.7123228419687</v>
      </c>
      <c r="L149" s="139">
        <f t="shared" si="20"/>
        <v>0</v>
      </c>
    </row>
    <row r="150" spans="1:12">
      <c r="A150" s="8">
        <v>45075</v>
      </c>
      <c r="B150" s="17">
        <f>Comb!C150</f>
        <v>1.4</v>
      </c>
      <c r="C150" s="17">
        <f>Tank!L151</f>
        <v>1.4000000000000909</v>
      </c>
      <c r="D150" s="17">
        <f t="shared" si="14"/>
        <v>369.84087330140778</v>
      </c>
      <c r="E150" s="17">
        <f t="shared" si="15"/>
        <v>369.84087330143183</v>
      </c>
      <c r="F150" s="17">
        <f t="shared" si="16"/>
        <v>-2.404476617812179E-11</v>
      </c>
      <c r="G150" s="139">
        <f>Comb!E150</f>
        <v>7.950000000000002</v>
      </c>
      <c r="H150" s="139">
        <f>Tank!O151</f>
        <v>-25.010000000000005</v>
      </c>
      <c r="I150" s="17">
        <f t="shared" si="17"/>
        <v>32.960000000000008</v>
      </c>
      <c r="J150" s="17">
        <f t="shared" si="18"/>
        <v>2100.1678162472804</v>
      </c>
      <c r="K150" s="17">
        <f t="shared" si="19"/>
        <v>-6606.9430294772928</v>
      </c>
      <c r="L150" s="139">
        <f t="shared" si="20"/>
        <v>8707.1108457245737</v>
      </c>
    </row>
    <row r="151" spans="1:12">
      <c r="A151" s="8">
        <v>45076</v>
      </c>
      <c r="B151" s="17">
        <f>Comb!C151</f>
        <v>0</v>
      </c>
      <c r="C151" s="17">
        <f>Tank!L152</f>
        <v>0</v>
      </c>
      <c r="D151" s="17">
        <f t="shared" si="14"/>
        <v>0</v>
      </c>
      <c r="E151" s="17">
        <f t="shared" si="15"/>
        <v>0</v>
      </c>
      <c r="F151" s="17">
        <f t="shared" si="16"/>
        <v>0</v>
      </c>
      <c r="G151" s="139">
        <f>Comb!E151</f>
        <v>6.900000000000003</v>
      </c>
      <c r="H151" s="139">
        <f>Tank!O152</f>
        <v>6.9000000000000057</v>
      </c>
      <c r="I151" s="17">
        <f t="shared" si="17"/>
        <v>0</v>
      </c>
      <c r="J151" s="17">
        <f t="shared" si="18"/>
        <v>1822.7871612712249</v>
      </c>
      <c r="K151" s="17">
        <f t="shared" si="19"/>
        <v>1822.7871612712256</v>
      </c>
      <c r="L151" s="139">
        <f t="shared" si="20"/>
        <v>0</v>
      </c>
    </row>
    <row r="152" spans="1:12">
      <c r="A152" s="8">
        <v>45077</v>
      </c>
      <c r="B152" s="17">
        <f>Comb!C152</f>
        <v>1.6</v>
      </c>
      <c r="C152" s="17">
        <f>Tank!L153</f>
        <v>1.5999999999999091</v>
      </c>
      <c r="D152" s="17">
        <f t="shared" si="14"/>
        <v>422.67528377303745</v>
      </c>
      <c r="E152" s="17">
        <f t="shared" si="15"/>
        <v>422.67528377301346</v>
      </c>
      <c r="F152" s="17">
        <f t="shared" si="16"/>
        <v>2.3987922759260982E-11</v>
      </c>
      <c r="G152" s="139">
        <f>Comb!E152</f>
        <v>7.17</v>
      </c>
      <c r="H152" s="139">
        <f>Tank!O153</f>
        <v>7.1700000000000017</v>
      </c>
      <c r="I152" s="17">
        <f t="shared" si="17"/>
        <v>0</v>
      </c>
      <c r="J152" s="17">
        <f t="shared" si="18"/>
        <v>1894.1136154079243</v>
      </c>
      <c r="K152" s="17">
        <f t="shared" si="19"/>
        <v>1894.1136154079247</v>
      </c>
      <c r="L152" s="139">
        <f t="shared" si="20"/>
        <v>0</v>
      </c>
    </row>
    <row r="153" spans="1:12">
      <c r="A153" s="8">
        <v>45078</v>
      </c>
      <c r="B153" s="17">
        <f>Comb!C153</f>
        <v>4.8000000000000007</v>
      </c>
      <c r="C153" s="17">
        <f>Tank!L154</f>
        <v>4.8000000000000682</v>
      </c>
      <c r="D153" s="17">
        <f t="shared" si="14"/>
        <v>1268.0258513191127</v>
      </c>
      <c r="E153" s="17">
        <f t="shared" si="15"/>
        <v>1268.0258513191304</v>
      </c>
      <c r="F153" s="17">
        <f t="shared" si="16"/>
        <v>-1.7735146684572101E-11</v>
      </c>
      <c r="G153" s="139">
        <f>Comb!E153</f>
        <v>6.3100000000000005</v>
      </c>
      <c r="H153" s="139">
        <f>Tank!O154</f>
        <v>6.3099999999999952</v>
      </c>
      <c r="I153" s="17">
        <f t="shared" si="17"/>
        <v>0</v>
      </c>
      <c r="J153" s="17">
        <f t="shared" si="18"/>
        <v>1666.9256503799168</v>
      </c>
      <c r="K153" s="17">
        <f t="shared" si="19"/>
        <v>1666.9256503799154</v>
      </c>
      <c r="L153" s="139">
        <f t="shared" si="20"/>
        <v>0</v>
      </c>
    </row>
    <row r="154" spans="1:12">
      <c r="A154" s="8">
        <v>45079</v>
      </c>
      <c r="B154" s="17">
        <f>Comb!C154</f>
        <v>1.4</v>
      </c>
      <c r="C154" s="17">
        <f>Tank!L155</f>
        <v>1.3999999999999773</v>
      </c>
      <c r="D154" s="17">
        <f t="shared" si="14"/>
        <v>369.84087330140778</v>
      </c>
      <c r="E154" s="17">
        <f t="shared" si="15"/>
        <v>369.84087330140181</v>
      </c>
      <c r="F154" s="17">
        <f t="shared" si="16"/>
        <v>5.9685589803848416E-12</v>
      </c>
      <c r="G154" s="139">
        <f>Comb!E154</f>
        <v>7.15</v>
      </c>
      <c r="H154" s="139">
        <f>Tank!O155</f>
        <v>7.1499999999999986</v>
      </c>
      <c r="I154" s="17">
        <f t="shared" si="17"/>
        <v>0</v>
      </c>
      <c r="J154" s="17">
        <f t="shared" si="18"/>
        <v>1888.8301743607612</v>
      </c>
      <c r="K154" s="17">
        <f t="shared" si="19"/>
        <v>1888.8301743607608</v>
      </c>
      <c r="L154" s="139">
        <f t="shared" si="20"/>
        <v>0</v>
      </c>
    </row>
    <row r="155" spans="1:12">
      <c r="A155" s="8">
        <v>45080</v>
      </c>
      <c r="B155" s="17">
        <f>Comb!C155</f>
        <v>1</v>
      </c>
      <c r="C155" s="17">
        <f>Tank!L156</f>
        <v>1</v>
      </c>
      <c r="D155" s="17">
        <f t="shared" si="14"/>
        <v>264.17205235814845</v>
      </c>
      <c r="E155" s="17">
        <f t="shared" si="15"/>
        <v>264.17205235814845</v>
      </c>
      <c r="F155" s="17">
        <f t="shared" si="16"/>
        <v>0</v>
      </c>
      <c r="G155" s="139">
        <f>Comb!E155</f>
        <v>6.5299999999999985</v>
      </c>
      <c r="H155" s="139">
        <f>Tank!O156</f>
        <v>6.5300000000000011</v>
      </c>
      <c r="I155" s="17">
        <f t="shared" si="17"/>
        <v>0</v>
      </c>
      <c r="J155" s="17">
        <f t="shared" si="18"/>
        <v>1725.0435018987087</v>
      </c>
      <c r="K155" s="17">
        <f t="shared" si="19"/>
        <v>1725.0435018987093</v>
      </c>
      <c r="L155" s="139">
        <f t="shared" si="20"/>
        <v>0</v>
      </c>
    </row>
    <row r="156" spans="1:12">
      <c r="A156" s="8">
        <v>45081</v>
      </c>
      <c r="B156" s="17">
        <f>Comb!C156</f>
        <v>0.4</v>
      </c>
      <c r="C156" s="17">
        <f>Tank!L157</f>
        <v>0.39999999999997726</v>
      </c>
      <c r="D156" s="17">
        <f t="shared" si="14"/>
        <v>105.66882094325936</v>
      </c>
      <c r="E156" s="17">
        <f t="shared" si="15"/>
        <v>105.66882094325337</v>
      </c>
      <c r="F156" s="17">
        <f t="shared" si="16"/>
        <v>5.9969806898152456E-12</v>
      </c>
      <c r="G156" s="139">
        <f>Comb!E156</f>
        <v>7.6399999999999988</v>
      </c>
      <c r="H156" s="139">
        <f>Tank!O157</f>
        <v>7.6400000000000006</v>
      </c>
      <c r="I156" s="17">
        <f t="shared" si="17"/>
        <v>0</v>
      </c>
      <c r="J156" s="17">
        <f t="shared" si="18"/>
        <v>2018.2744800162536</v>
      </c>
      <c r="K156" s="17">
        <f t="shared" si="19"/>
        <v>2018.2744800162543</v>
      </c>
      <c r="L156" s="139">
        <f t="shared" si="20"/>
        <v>0</v>
      </c>
    </row>
    <row r="157" spans="1:12">
      <c r="A157" s="8">
        <v>45082</v>
      </c>
      <c r="B157" s="17">
        <f>Comb!C157</f>
        <v>1.6</v>
      </c>
      <c r="C157" s="17">
        <f>Tank!L158</f>
        <v>1.6000000000000227</v>
      </c>
      <c r="D157" s="17">
        <f t="shared" si="14"/>
        <v>422.67528377303745</v>
      </c>
      <c r="E157" s="17">
        <f t="shared" si="15"/>
        <v>422.67528377304347</v>
      </c>
      <c r="F157" s="17">
        <f t="shared" si="16"/>
        <v>-6.0254023992456496E-12</v>
      </c>
      <c r="G157" s="139">
        <f>Comb!E157</f>
        <v>6.6599999999999993</v>
      </c>
      <c r="H157" s="139">
        <f>Tank!O158</f>
        <v>-30.959999999999994</v>
      </c>
      <c r="I157" s="17">
        <f t="shared" si="17"/>
        <v>37.61999999999999</v>
      </c>
      <c r="J157" s="17">
        <f t="shared" si="18"/>
        <v>1759.3858687052682</v>
      </c>
      <c r="K157" s="17">
        <f t="shared" si="19"/>
        <v>-8178.7667410082731</v>
      </c>
      <c r="L157" s="139">
        <f t="shared" si="20"/>
        <v>9938.1526097135411</v>
      </c>
    </row>
    <row r="158" spans="1:12">
      <c r="A158" s="8">
        <v>45083</v>
      </c>
      <c r="B158" s="17">
        <f>Comb!C158</f>
        <v>4.5</v>
      </c>
      <c r="C158" s="17">
        <f>Tank!L159</f>
        <v>4.5</v>
      </c>
      <c r="D158" s="17">
        <f t="shared" si="14"/>
        <v>1188.7742356116678</v>
      </c>
      <c r="E158" s="17">
        <f t="shared" si="15"/>
        <v>1188.7742356116678</v>
      </c>
      <c r="F158" s="17">
        <f t="shared" si="16"/>
        <v>0</v>
      </c>
      <c r="G158" s="139">
        <f>Comb!E158</f>
        <v>6.7800000000000011</v>
      </c>
      <c r="H158" s="139">
        <f>Tank!O159</f>
        <v>6.779999999999994</v>
      </c>
      <c r="I158" s="17">
        <f t="shared" si="17"/>
        <v>7.1054273576010019E-15</v>
      </c>
      <c r="J158" s="17">
        <f t="shared" si="18"/>
        <v>1791.0865149882466</v>
      </c>
      <c r="K158" s="17">
        <f t="shared" si="19"/>
        <v>1791.0865149882445</v>
      </c>
      <c r="L158" s="139">
        <f t="shared" si="20"/>
        <v>2.0463630789890885E-12</v>
      </c>
    </row>
    <row r="159" spans="1:12">
      <c r="A159" s="8">
        <v>45084</v>
      </c>
      <c r="B159" s="17">
        <f>Comb!C159</f>
        <v>1.1000000000000001</v>
      </c>
      <c r="C159" s="17">
        <f>Tank!L160</f>
        <v>1.1000000000000227</v>
      </c>
      <c r="D159" s="17">
        <f t="shared" si="14"/>
        <v>290.58925759396328</v>
      </c>
      <c r="E159" s="17">
        <f t="shared" si="15"/>
        <v>290.58925759396925</v>
      </c>
      <c r="F159" s="17">
        <f t="shared" si="16"/>
        <v>-5.9685589803848416E-12</v>
      </c>
      <c r="G159" s="139">
        <f>Comb!E159</f>
        <v>6.73</v>
      </c>
      <c r="H159" s="139">
        <f>Tank!O160</f>
        <v>6.7299999999999969</v>
      </c>
      <c r="I159" s="17">
        <f t="shared" si="17"/>
        <v>0</v>
      </c>
      <c r="J159" s="17">
        <f t="shared" si="18"/>
        <v>1777.8779123703389</v>
      </c>
      <c r="K159" s="17">
        <f t="shared" si="19"/>
        <v>1777.8779123703382</v>
      </c>
      <c r="L159" s="139">
        <f t="shared" si="20"/>
        <v>0</v>
      </c>
    </row>
    <row r="160" spans="1:12">
      <c r="A160" s="8">
        <v>45085</v>
      </c>
      <c r="B160" s="17">
        <f>Comb!C160</f>
        <v>7.6</v>
      </c>
      <c r="C160" s="17">
        <f>Tank!L161</f>
        <v>7.6000000000000227</v>
      </c>
      <c r="D160" s="17">
        <f t="shared" si="14"/>
        <v>2007.707597921928</v>
      </c>
      <c r="E160" s="17">
        <f t="shared" si="15"/>
        <v>2007.7075979219339</v>
      </c>
      <c r="F160" s="17">
        <f t="shared" si="16"/>
        <v>-5.9117155615240335E-12</v>
      </c>
      <c r="G160" s="139">
        <f>Comb!E160</f>
        <v>7.5199999999999987</v>
      </c>
      <c r="H160" s="139">
        <f>Tank!O161</f>
        <v>7.5200000000000031</v>
      </c>
      <c r="I160" s="17">
        <f t="shared" si="17"/>
        <v>0</v>
      </c>
      <c r="J160" s="17">
        <f t="shared" si="18"/>
        <v>1986.5738337332759</v>
      </c>
      <c r="K160" s="17">
        <f t="shared" si="19"/>
        <v>1986.5738337332768</v>
      </c>
      <c r="L160" s="139">
        <f t="shared" si="20"/>
        <v>0</v>
      </c>
    </row>
    <row r="161" spans="1:13">
      <c r="A161" s="8">
        <v>45086</v>
      </c>
      <c r="B161" s="17">
        <f>Comb!C161</f>
        <v>1.7</v>
      </c>
      <c r="C161" s="17">
        <f>Tank!L162</f>
        <v>1.6999999999999318</v>
      </c>
      <c r="D161" s="17">
        <f t="shared" si="14"/>
        <v>449.09248900885234</v>
      </c>
      <c r="E161" s="17">
        <f t="shared" si="15"/>
        <v>449.09248900883432</v>
      </c>
      <c r="F161" s="17">
        <f t="shared" si="16"/>
        <v>1.8019363778876141E-11</v>
      </c>
      <c r="G161" s="139">
        <f>Comb!E161</f>
        <v>6.5499999999999989</v>
      </c>
      <c r="H161" s="139">
        <f>Tank!O162</f>
        <v>-35.080000000000005</v>
      </c>
      <c r="I161" s="17">
        <f t="shared" si="17"/>
        <v>41.63</v>
      </c>
      <c r="J161" s="17">
        <f t="shared" si="18"/>
        <v>1730.3269429458719</v>
      </c>
      <c r="K161" s="17">
        <f t="shared" si="19"/>
        <v>-9267.1555967238492</v>
      </c>
      <c r="L161" s="139">
        <f t="shared" si="20"/>
        <v>10997.482539669722</v>
      </c>
    </row>
    <row r="162" spans="1:13">
      <c r="A162" s="8">
        <v>45087</v>
      </c>
      <c r="B162" s="17">
        <f>Comb!C162</f>
        <v>2.1</v>
      </c>
      <c r="C162" s="17">
        <f>Tank!L163</f>
        <v>2.1000000000000227</v>
      </c>
      <c r="D162" s="17">
        <f t="shared" si="14"/>
        <v>554.76130995211167</v>
      </c>
      <c r="E162" s="17">
        <f t="shared" si="15"/>
        <v>554.7613099521177</v>
      </c>
      <c r="F162" s="17">
        <f t="shared" si="16"/>
        <v>-6.0254023992456496E-12</v>
      </c>
      <c r="G162" s="139">
        <f>Comb!E162</f>
        <v>7.0799999999999992</v>
      </c>
      <c r="H162" s="139">
        <f>Tank!O163</f>
        <v>7.0799999999999983</v>
      </c>
      <c r="I162" s="17">
        <f t="shared" si="17"/>
        <v>0</v>
      </c>
      <c r="J162" s="17">
        <f t="shared" si="18"/>
        <v>1870.3381306956906</v>
      </c>
      <c r="K162" s="17">
        <f t="shared" si="19"/>
        <v>1870.3381306956903</v>
      </c>
      <c r="L162" s="139">
        <f t="shared" si="20"/>
        <v>0</v>
      </c>
      <c r="M162" s="32"/>
    </row>
    <row r="163" spans="1:13">
      <c r="A163" s="8">
        <v>45088</v>
      </c>
      <c r="B163" s="17">
        <f>Comb!C163</f>
        <v>1.6</v>
      </c>
      <c r="C163" s="17">
        <f>Tank!L164</f>
        <v>2.3999999999999773</v>
      </c>
      <c r="D163" s="17">
        <f t="shared" si="14"/>
        <v>422.67528377303745</v>
      </c>
      <c r="E163" s="17">
        <f t="shared" si="15"/>
        <v>634.01292565955021</v>
      </c>
      <c r="F163" s="17">
        <f t="shared" si="16"/>
        <v>-211.33764188651276</v>
      </c>
      <c r="G163" s="139">
        <f>Comb!E163</f>
        <v>6.4499999999999975</v>
      </c>
      <c r="H163" s="139">
        <f>Tank!O164</f>
        <v>6.4500000000000028</v>
      </c>
      <c r="I163" s="17">
        <f t="shared" si="17"/>
        <v>0</v>
      </c>
      <c r="J163" s="17">
        <f t="shared" si="18"/>
        <v>1703.9097377100566</v>
      </c>
      <c r="K163" s="17">
        <f t="shared" si="19"/>
        <v>1703.9097377100582</v>
      </c>
      <c r="L163" s="139">
        <f t="shared" si="20"/>
        <v>0</v>
      </c>
    </row>
    <row r="164" spans="1:13">
      <c r="A164" s="8">
        <v>45089</v>
      </c>
      <c r="B164" s="17">
        <f>Comb!C164</f>
        <v>0.9</v>
      </c>
      <c r="C164" s="17">
        <f>Tank!L165</f>
        <v>0.10000000000002274</v>
      </c>
      <c r="D164" s="17">
        <f t="shared" si="14"/>
        <v>237.75484712233359</v>
      </c>
      <c r="E164" s="17">
        <f t="shared" si="15"/>
        <v>26.417205235820848</v>
      </c>
      <c r="F164" s="17">
        <f t="shared" si="16"/>
        <v>211.33764188651273</v>
      </c>
      <c r="G164" s="139">
        <f>Comb!E164</f>
        <v>6.7200000000000006</v>
      </c>
      <c r="H164" s="139">
        <f>Tank!O165</f>
        <v>6.720000000000006</v>
      </c>
      <c r="I164" s="17">
        <f t="shared" si="17"/>
        <v>0</v>
      </c>
      <c r="J164" s="17">
        <f t="shared" si="18"/>
        <v>1775.2361918467577</v>
      </c>
      <c r="K164" s="17">
        <f t="shared" si="19"/>
        <v>1775.2361918467591</v>
      </c>
      <c r="L164" s="139">
        <f t="shared" si="20"/>
        <v>0</v>
      </c>
    </row>
    <row r="165" spans="1:13">
      <c r="A165" s="8">
        <v>45090</v>
      </c>
      <c r="B165" s="17">
        <f>Comb!C165</f>
        <v>0.9</v>
      </c>
      <c r="C165" s="17">
        <f>Tank!L166</f>
        <v>0.89999999999997726</v>
      </c>
      <c r="D165" s="17">
        <f t="shared" si="14"/>
        <v>237.75484712233359</v>
      </c>
      <c r="E165" s="17">
        <f t="shared" si="15"/>
        <v>237.75484712232756</v>
      </c>
      <c r="F165" s="17">
        <f t="shared" si="16"/>
        <v>6.0254023992456496E-12</v>
      </c>
      <c r="G165" s="139">
        <f>Comb!E165</f>
        <v>6.77</v>
      </c>
      <c r="H165" s="139">
        <f>Tank!O166</f>
        <v>6.769999999999996</v>
      </c>
      <c r="I165" s="17">
        <f t="shared" si="17"/>
        <v>0</v>
      </c>
      <c r="J165" s="17">
        <f t="shared" si="18"/>
        <v>1788.4447944646647</v>
      </c>
      <c r="K165" s="17">
        <f t="shared" si="19"/>
        <v>1788.4447944646638</v>
      </c>
      <c r="L165" s="139">
        <f t="shared" si="20"/>
        <v>0</v>
      </c>
    </row>
    <row r="166" spans="1:13">
      <c r="A166" s="8">
        <v>45091</v>
      </c>
      <c r="B166" s="17">
        <f>Comb!C166</f>
        <v>0.6</v>
      </c>
      <c r="C166" s="17">
        <f>Tank!L167</f>
        <v>0.60000000000002274</v>
      </c>
      <c r="D166" s="17">
        <f t="shared" si="14"/>
        <v>158.50323141488906</v>
      </c>
      <c r="E166" s="17">
        <f t="shared" si="15"/>
        <v>158.50323141489505</v>
      </c>
      <c r="F166" s="17">
        <f t="shared" si="16"/>
        <v>-5.9969806898152456E-12</v>
      </c>
      <c r="G166" s="139">
        <f>Comb!E166</f>
        <v>7.01</v>
      </c>
      <c r="H166" s="139">
        <f>Tank!O167</f>
        <v>7.0100000000000051</v>
      </c>
      <c r="I166" s="17">
        <f t="shared" si="17"/>
        <v>0</v>
      </c>
      <c r="J166" s="17">
        <f t="shared" si="18"/>
        <v>1851.8460870306205</v>
      </c>
      <c r="K166" s="17">
        <f t="shared" si="19"/>
        <v>1851.8460870306219</v>
      </c>
      <c r="L166" s="139">
        <f t="shared" si="20"/>
        <v>0</v>
      </c>
    </row>
    <row r="167" spans="1:13">
      <c r="A167" s="8">
        <v>45092</v>
      </c>
      <c r="B167" s="17">
        <f>Comb!C167</f>
        <v>5.0999999999999996</v>
      </c>
      <c r="C167" s="17">
        <f>Tank!L168</f>
        <v>5.1000000000000227</v>
      </c>
      <c r="D167" s="17">
        <f t="shared" si="14"/>
        <v>1347.2774670265569</v>
      </c>
      <c r="E167" s="17">
        <f t="shared" si="15"/>
        <v>1347.277467026563</v>
      </c>
      <c r="F167" s="17">
        <f t="shared" si="16"/>
        <v>-6.1390892369672656E-12</v>
      </c>
      <c r="G167" s="139">
        <f>Comb!E167</f>
        <v>10.53</v>
      </c>
      <c r="H167" s="139">
        <f>Tank!O168</f>
        <v>-26.050000000000004</v>
      </c>
      <c r="I167" s="17">
        <f t="shared" si="17"/>
        <v>36.580000000000005</v>
      </c>
      <c r="J167" s="17">
        <f t="shared" si="18"/>
        <v>2781.7317113313029</v>
      </c>
      <c r="K167" s="17">
        <f t="shared" si="19"/>
        <v>-6881.6819639297673</v>
      </c>
      <c r="L167" s="139">
        <f t="shared" si="20"/>
        <v>9663.4136752610702</v>
      </c>
    </row>
    <row r="168" spans="1:13">
      <c r="A168" s="8">
        <v>45093</v>
      </c>
      <c r="B168" s="17">
        <f>Comb!C168</f>
        <v>4.2</v>
      </c>
      <c r="C168" s="17">
        <f>Tank!L169</f>
        <v>-25.200000000000045</v>
      </c>
      <c r="D168" s="17">
        <f t="shared" si="14"/>
        <v>1109.5226199042233</v>
      </c>
      <c r="E168" s="17">
        <f t="shared" si="15"/>
        <v>-6657.1357194253515</v>
      </c>
      <c r="F168" s="17">
        <f t="shared" si="16"/>
        <v>7766.658339329575</v>
      </c>
      <c r="G168" s="139">
        <f>Comb!E168</f>
        <v>6.0499999999999989</v>
      </c>
      <c r="H168" s="139">
        <f>Tank!O169</f>
        <v>-16.340000000000003</v>
      </c>
      <c r="I168" s="17">
        <f t="shared" si="17"/>
        <v>22.39</v>
      </c>
      <c r="J168" s="17">
        <f t="shared" si="18"/>
        <v>1598.2409167667977</v>
      </c>
      <c r="K168" s="17">
        <f t="shared" si="19"/>
        <v>-4316.5713355321459</v>
      </c>
      <c r="L168" s="139">
        <f t="shared" si="20"/>
        <v>5914.8122522989433</v>
      </c>
    </row>
    <row r="169" spans="1:13">
      <c r="A169" s="8">
        <v>45094</v>
      </c>
      <c r="B169" s="17">
        <f>Comb!C169</f>
        <v>1.2</v>
      </c>
      <c r="C169" s="17">
        <f>Tank!L170</f>
        <v>1.2000000000000455</v>
      </c>
      <c r="D169" s="17">
        <f t="shared" si="14"/>
        <v>317.00646282977812</v>
      </c>
      <c r="E169" s="17">
        <f t="shared" si="15"/>
        <v>317.00646282979011</v>
      </c>
      <c r="F169" s="17">
        <f t="shared" si="16"/>
        <v>-1.1993961379630491E-11</v>
      </c>
      <c r="G169" s="139">
        <f>Comb!E169</f>
        <v>7.0600000000000014</v>
      </c>
      <c r="H169" s="139">
        <f>Tank!O170</f>
        <v>7.0600000000000023</v>
      </c>
      <c r="I169" s="17">
        <f t="shared" si="17"/>
        <v>0</v>
      </c>
      <c r="J169" s="17">
        <f t="shared" si="18"/>
        <v>1865.0546896485284</v>
      </c>
      <c r="K169" s="17">
        <f t="shared" si="19"/>
        <v>1865.0546896485284</v>
      </c>
      <c r="L169" s="139">
        <f t="shared" si="20"/>
        <v>0</v>
      </c>
    </row>
    <row r="170" spans="1:13">
      <c r="A170" s="8">
        <v>45095</v>
      </c>
      <c r="B170" s="17">
        <f>Comb!C170</f>
        <v>1.6</v>
      </c>
      <c r="C170" s="17">
        <f>Tank!L171</f>
        <v>1.6000000000000227</v>
      </c>
      <c r="D170" s="17">
        <f t="shared" si="14"/>
        <v>422.67528377303745</v>
      </c>
      <c r="E170" s="17">
        <f t="shared" si="15"/>
        <v>422.67528377304347</v>
      </c>
      <c r="F170" s="17">
        <f t="shared" si="16"/>
        <v>-6.0254023992456496E-12</v>
      </c>
      <c r="G170" s="139">
        <f>Comb!E170</f>
        <v>6.839999999999999</v>
      </c>
      <c r="H170" s="139">
        <f>Tank!O171</f>
        <v>6.8400000000000034</v>
      </c>
      <c r="I170" s="17">
        <f t="shared" si="17"/>
        <v>0</v>
      </c>
      <c r="J170" s="17">
        <f t="shared" si="18"/>
        <v>1806.936838129735</v>
      </c>
      <c r="K170" s="17">
        <f t="shared" si="19"/>
        <v>1806.9368381297361</v>
      </c>
      <c r="L170" s="139">
        <f t="shared" si="20"/>
        <v>0</v>
      </c>
    </row>
    <row r="171" spans="1:13">
      <c r="A171" s="8">
        <v>45096</v>
      </c>
      <c r="B171" s="17">
        <f>Comb!C171</f>
        <v>1.4</v>
      </c>
      <c r="C171" s="17">
        <f>Tank!L172</f>
        <v>1.3999999999999773</v>
      </c>
      <c r="D171" s="17">
        <f t="shared" si="14"/>
        <v>369.84087330140778</v>
      </c>
      <c r="E171" s="17">
        <f t="shared" si="15"/>
        <v>369.84087330140181</v>
      </c>
      <c r="F171" s="17">
        <f t="shared" si="16"/>
        <v>5.9685589803848416E-12</v>
      </c>
      <c r="G171" s="139">
        <f>Comb!E171</f>
        <v>6.8699999999999992</v>
      </c>
      <c r="H171" s="139">
        <f>Tank!O172</f>
        <v>6.8700000000000045</v>
      </c>
      <c r="I171" s="17">
        <f t="shared" si="17"/>
        <v>0</v>
      </c>
      <c r="J171" s="17">
        <f t="shared" si="18"/>
        <v>1814.8619997004794</v>
      </c>
      <c r="K171" s="17">
        <f t="shared" si="19"/>
        <v>1814.861999700481</v>
      </c>
      <c r="L171" s="139">
        <f t="shared" si="20"/>
        <v>0</v>
      </c>
    </row>
    <row r="172" spans="1:13">
      <c r="A172" s="8">
        <v>45097</v>
      </c>
      <c r="B172" s="17">
        <f>Comb!C172</f>
        <v>1.5</v>
      </c>
      <c r="C172" s="17">
        <f>Tank!L173</f>
        <v>1.5</v>
      </c>
      <c r="D172" s="17">
        <f t="shared" si="14"/>
        <v>396.25807853722262</v>
      </c>
      <c r="E172" s="17">
        <f t="shared" si="15"/>
        <v>396.25807853722262</v>
      </c>
      <c r="F172" s="17">
        <v>9</v>
      </c>
      <c r="G172" s="139">
        <f>Comb!E172</f>
        <v>6.4500000000000011</v>
      </c>
      <c r="H172" s="139">
        <f>Tank!O173</f>
        <v>6.4499999999999886</v>
      </c>
      <c r="I172" s="17">
        <f t="shared" si="17"/>
        <v>1.2434497875801753E-14</v>
      </c>
      <c r="J172" s="17">
        <f t="shared" si="18"/>
        <v>1703.9097377100575</v>
      </c>
      <c r="K172" s="17">
        <f t="shared" si="19"/>
        <v>1703.9097377100545</v>
      </c>
      <c r="L172" s="139">
        <f t="shared" si="20"/>
        <v>2.9558577807620168E-12</v>
      </c>
    </row>
    <row r="173" spans="1:13">
      <c r="A173" s="8">
        <v>45098</v>
      </c>
      <c r="B173" s="17">
        <f>Comb!C173</f>
        <v>1.3</v>
      </c>
      <c r="C173" s="17">
        <f>Tank!L174</f>
        <v>1.2999999999999545</v>
      </c>
      <c r="D173" s="17">
        <f t="shared" si="14"/>
        <v>343.42366806559295</v>
      </c>
      <c r="E173" s="17">
        <f t="shared" si="15"/>
        <v>343.42366806558096</v>
      </c>
      <c r="F173" s="17">
        <f t="shared" si="16"/>
        <v>1.1993961379630491E-11</v>
      </c>
      <c r="G173" s="139">
        <f>Comb!E173</f>
        <v>6.65</v>
      </c>
      <c r="H173" s="139">
        <f>Tank!O174</f>
        <v>6.6500000000000057</v>
      </c>
      <c r="I173" s="17">
        <f t="shared" si="17"/>
        <v>0</v>
      </c>
      <c r="J173" s="17">
        <f t="shared" si="18"/>
        <v>1756.744148181687</v>
      </c>
      <c r="K173" s="17">
        <f t="shared" si="19"/>
        <v>1756.7441481816884</v>
      </c>
      <c r="L173" s="139">
        <f t="shared" si="20"/>
        <v>0</v>
      </c>
    </row>
    <row r="174" spans="1:13">
      <c r="A174" s="8">
        <v>45099</v>
      </c>
      <c r="B174" s="17">
        <f>Comb!C174</f>
        <v>1.9</v>
      </c>
      <c r="C174" s="17">
        <f>Tank!L175</f>
        <v>1.8999999999999773</v>
      </c>
      <c r="D174" s="17">
        <f t="shared" si="14"/>
        <v>501.92689948048201</v>
      </c>
      <c r="E174" s="17">
        <f t="shared" si="15"/>
        <v>501.92689948047598</v>
      </c>
      <c r="F174" s="17">
        <f t="shared" si="16"/>
        <v>6.0254023992456496E-12</v>
      </c>
      <c r="G174" s="139">
        <f>Comb!E174</f>
        <v>6.0999999999999988</v>
      </c>
      <c r="H174" s="139">
        <f>Tank!O175</f>
        <v>-31.319999999999993</v>
      </c>
      <c r="I174" s="17">
        <f t="shared" si="17"/>
        <v>37.419999999999995</v>
      </c>
      <c r="J174" s="17">
        <f t="shared" si="18"/>
        <v>1611.4495193847051</v>
      </c>
      <c r="K174" s="17">
        <f t="shared" si="19"/>
        <v>-8273.8686798572071</v>
      </c>
      <c r="L174" s="139">
        <f t="shared" si="20"/>
        <v>9885.3181992419122</v>
      </c>
    </row>
    <row r="175" spans="1:13">
      <c r="A175" s="8">
        <v>45100</v>
      </c>
      <c r="B175" s="17">
        <f>Comb!C175</f>
        <v>0.8</v>
      </c>
      <c r="C175" s="17">
        <f>Tank!L176</f>
        <v>0.80000000000006821</v>
      </c>
      <c r="D175" s="17">
        <f t="shared" si="14"/>
        <v>211.33764188651872</v>
      </c>
      <c r="E175" s="17">
        <f t="shared" si="15"/>
        <v>211.33764188653674</v>
      </c>
      <c r="F175" s="17">
        <f t="shared" si="16"/>
        <v>-1.8019363778876141E-11</v>
      </c>
      <c r="G175" s="139">
        <f>Comb!E175</f>
        <v>6.9299999999999988</v>
      </c>
      <c r="H175" s="139">
        <f>Tank!O176</f>
        <v>6.9299999999999926</v>
      </c>
      <c r="I175" s="17">
        <f t="shared" si="17"/>
        <v>0</v>
      </c>
      <c r="J175" s="17">
        <f t="shared" si="18"/>
        <v>1830.7123228419684</v>
      </c>
      <c r="K175" s="17">
        <f t="shared" si="19"/>
        <v>1830.7123228419666</v>
      </c>
      <c r="L175" s="139">
        <f t="shared" si="20"/>
        <v>1.8189894035458565E-12</v>
      </c>
    </row>
    <row r="176" spans="1:13">
      <c r="A176" s="8">
        <v>45101</v>
      </c>
      <c r="B176" s="17">
        <f>Comb!C176</f>
        <v>14.3</v>
      </c>
      <c r="C176" s="17">
        <f>Tank!L177</f>
        <v>14.299999999999955</v>
      </c>
      <c r="D176" s="17">
        <f t="shared" si="14"/>
        <v>3777.6603487215225</v>
      </c>
      <c r="E176" s="17">
        <f t="shared" si="15"/>
        <v>3777.6603487215102</v>
      </c>
      <c r="F176" s="17">
        <f t="shared" si="16"/>
        <v>1.2278178473934531E-11</v>
      </c>
      <c r="G176" s="139">
        <f>Comb!E176</f>
        <v>6.5500000000000025</v>
      </c>
      <c r="H176" s="139">
        <f>Tank!O177</f>
        <v>6.5499999999999972</v>
      </c>
      <c r="I176" s="17">
        <f t="shared" si="17"/>
        <v>0</v>
      </c>
      <c r="J176" s="17">
        <f t="shared" si="18"/>
        <v>1730.3269429458728</v>
      </c>
      <c r="K176" s="17">
        <f t="shared" si="19"/>
        <v>1730.3269429458715</v>
      </c>
      <c r="L176" s="139">
        <f t="shared" si="20"/>
        <v>0</v>
      </c>
    </row>
    <row r="177" spans="1:12">
      <c r="A177" s="8">
        <v>45102</v>
      </c>
      <c r="B177" s="17">
        <f>Comb!C177</f>
        <v>4.0999999999999996</v>
      </c>
      <c r="C177" s="17">
        <f>Tank!L178</f>
        <v>4.1000000000000227</v>
      </c>
      <c r="D177" s="17">
        <f t="shared" si="14"/>
        <v>1083.1054146684085</v>
      </c>
      <c r="E177" s="17">
        <f t="shared" si="15"/>
        <v>1083.1054146684146</v>
      </c>
      <c r="F177" s="17">
        <f t="shared" si="16"/>
        <v>-6.1390892369672656E-12</v>
      </c>
      <c r="G177" s="139">
        <f>Comb!E177</f>
        <v>7.049999999999998</v>
      </c>
      <c r="H177" s="139">
        <f>Tank!O178</f>
        <v>7.0499999999999972</v>
      </c>
      <c r="I177" s="17">
        <f t="shared" si="17"/>
        <v>0</v>
      </c>
      <c r="J177" s="17">
        <f t="shared" si="18"/>
        <v>1862.4129691249459</v>
      </c>
      <c r="K177" s="17">
        <f t="shared" si="19"/>
        <v>1862.4129691249457</v>
      </c>
      <c r="L177" s="139">
        <f t="shared" si="20"/>
        <v>0</v>
      </c>
    </row>
    <row r="178" spans="1:12">
      <c r="A178" s="8">
        <v>45103</v>
      </c>
      <c r="B178" s="17">
        <f>Comb!C178</f>
        <v>20.8</v>
      </c>
      <c r="C178" s="17">
        <f>Tank!L179</f>
        <v>20.799999999999955</v>
      </c>
      <c r="D178" s="17">
        <f t="shared" si="14"/>
        <v>5494.7786890494872</v>
      </c>
      <c r="E178" s="17">
        <f t="shared" si="15"/>
        <v>5494.7786890494754</v>
      </c>
      <c r="F178" s="17">
        <f t="shared" si="16"/>
        <v>1.1823431123048067E-11</v>
      </c>
      <c r="G178" s="139">
        <f>Comb!E178</f>
        <v>7.269999999999996</v>
      </c>
      <c r="H178" s="139">
        <f>Tank!O179</f>
        <v>7.2700000000000031</v>
      </c>
      <c r="I178" s="17">
        <f t="shared" si="17"/>
        <v>-7.1054273576010019E-15</v>
      </c>
      <c r="J178" s="17">
        <f t="shared" si="18"/>
        <v>1920.530820643738</v>
      </c>
      <c r="K178" s="17">
        <f t="shared" si="19"/>
        <v>1920.5308206437398</v>
      </c>
      <c r="L178" s="139">
        <f t="shared" si="20"/>
        <v>-1.8189894035458565E-12</v>
      </c>
    </row>
    <row r="179" spans="1:12">
      <c r="A179" s="8">
        <v>45104</v>
      </c>
      <c r="B179" s="17">
        <f>Comb!C179</f>
        <v>46</v>
      </c>
      <c r="C179" s="17">
        <f>Tank!L180</f>
        <v>43.5</v>
      </c>
      <c r="D179" s="17">
        <f t="shared" si="14"/>
        <v>12151.914408474828</v>
      </c>
      <c r="E179" s="17">
        <f t="shared" si="15"/>
        <v>11491.484277579457</v>
      </c>
      <c r="F179" s="17">
        <f t="shared" si="16"/>
        <v>660.43013089537089</v>
      </c>
      <c r="G179" s="139">
        <f>Comb!E179</f>
        <v>6.5500000000000034</v>
      </c>
      <c r="H179" s="139">
        <f>Tank!O180</f>
        <v>6.5500000000000043</v>
      </c>
      <c r="I179" s="17">
        <f t="shared" si="17"/>
        <v>0</v>
      </c>
      <c r="J179" s="17">
        <f t="shared" si="18"/>
        <v>1730.326942945873</v>
      </c>
      <c r="K179" s="17">
        <f t="shared" si="19"/>
        <v>1730.3269429458733</v>
      </c>
      <c r="L179" s="139">
        <f t="shared" si="20"/>
        <v>0</v>
      </c>
    </row>
    <row r="180" spans="1:12">
      <c r="A180" s="8">
        <v>45105</v>
      </c>
      <c r="B180" s="17">
        <f>Comb!C180</f>
        <v>1.5</v>
      </c>
      <c r="C180" s="17">
        <f>Tank!L181</f>
        <v>1.5</v>
      </c>
      <c r="D180" s="17">
        <f t="shared" si="14"/>
        <v>396.25807853722262</v>
      </c>
      <c r="E180" s="17">
        <f t="shared" si="15"/>
        <v>396.25807853722262</v>
      </c>
      <c r="F180" s="17">
        <f t="shared" si="16"/>
        <v>0</v>
      </c>
      <c r="G180" s="139">
        <f>Comb!E180</f>
        <v>6.4700000000000006</v>
      </c>
      <c r="H180" s="139">
        <f>Tank!O181</f>
        <v>-35.210000000000008</v>
      </c>
      <c r="I180" s="17">
        <f t="shared" si="17"/>
        <v>41.680000000000007</v>
      </c>
      <c r="J180" s="17">
        <f t="shared" si="18"/>
        <v>1709.1931787572205</v>
      </c>
      <c r="K180" s="17">
        <f t="shared" si="19"/>
        <v>-9301.497963530408</v>
      </c>
      <c r="L180" s="139">
        <f t="shared" si="20"/>
        <v>11010.691142287629</v>
      </c>
    </row>
    <row r="181" spans="1:12">
      <c r="A181" s="8">
        <v>45106</v>
      </c>
      <c r="B181" s="17">
        <f>Comb!C181</f>
        <v>1</v>
      </c>
      <c r="C181" s="17">
        <f>Tank!L182</f>
        <v>1</v>
      </c>
      <c r="D181" s="17">
        <f t="shared" si="14"/>
        <v>264.17205235814845</v>
      </c>
      <c r="E181" s="17">
        <f t="shared" si="15"/>
        <v>264.17205235814845</v>
      </c>
      <c r="F181" s="17">
        <f t="shared" si="16"/>
        <v>0</v>
      </c>
      <c r="G181" s="139">
        <f>Comb!E181</f>
        <v>6.0800000000000018</v>
      </c>
      <c r="H181" s="139">
        <f>Tank!O182</f>
        <v>6.0800000000000125</v>
      </c>
      <c r="I181" s="17">
        <f t="shared" si="17"/>
        <v>-1.0658141036401503E-14</v>
      </c>
      <c r="J181" s="17">
        <f t="shared" si="18"/>
        <v>1606.1660783375428</v>
      </c>
      <c r="K181" s="17">
        <f t="shared" si="19"/>
        <v>1606.1660783375457</v>
      </c>
      <c r="L181" s="139">
        <f t="shared" si="20"/>
        <v>-2.9558577807620168E-12</v>
      </c>
    </row>
    <row r="182" spans="1:12">
      <c r="A182" s="8">
        <v>45107</v>
      </c>
      <c r="B182" s="17">
        <f>Comb!C182</f>
        <v>3.1</v>
      </c>
      <c r="C182" s="17">
        <f>Tank!L183</f>
        <v>3.1000000000000227</v>
      </c>
      <c r="D182" s="17">
        <f t="shared" si="14"/>
        <v>818.93336231026012</v>
      </c>
      <c r="E182" s="17">
        <f t="shared" si="15"/>
        <v>818.93336231026615</v>
      </c>
      <c r="F182" s="17">
        <f t="shared" si="16"/>
        <v>-6.0254023992456496E-12</v>
      </c>
      <c r="G182" s="139">
        <f>Comb!E182</f>
        <v>10.89</v>
      </c>
      <c r="H182" s="139">
        <f>Tank!O183</f>
        <v>10.89</v>
      </c>
      <c r="I182" s="17">
        <f t="shared" si="17"/>
        <v>0</v>
      </c>
      <c r="J182" s="17">
        <f t="shared" si="18"/>
        <v>2876.8336501802364</v>
      </c>
      <c r="K182" s="17">
        <f t="shared" si="19"/>
        <v>2876.8336501802364</v>
      </c>
      <c r="L182" s="139">
        <f t="shared" si="20"/>
        <v>0</v>
      </c>
    </row>
    <row r="183" spans="1:12">
      <c r="A183" s="8">
        <v>45108</v>
      </c>
      <c r="B183" s="17">
        <f>Comb!C183</f>
        <v>1.1000000000000001</v>
      </c>
      <c r="C183" s="17">
        <f>Tank!L184</f>
        <v>1.1000000000000227</v>
      </c>
      <c r="D183" s="17">
        <f t="shared" si="14"/>
        <v>290.58925759396328</v>
      </c>
      <c r="E183" s="17">
        <f t="shared" si="15"/>
        <v>290.58925759396925</v>
      </c>
      <c r="F183" s="17">
        <f t="shared" si="16"/>
        <v>-5.9685589803848416E-12</v>
      </c>
      <c r="G183" s="139">
        <f>Comb!E183</f>
        <v>7.2399999999999975</v>
      </c>
      <c r="H183" s="139">
        <f>Tank!O184</f>
        <v>7.2399999999999949</v>
      </c>
      <c r="I183" s="17">
        <f t="shared" si="17"/>
        <v>0</v>
      </c>
      <c r="J183" s="17">
        <f t="shared" si="18"/>
        <v>1912.6056590729938</v>
      </c>
      <c r="K183" s="17">
        <f t="shared" si="19"/>
        <v>1912.6056590729931</v>
      </c>
      <c r="L183" s="139">
        <f t="shared" si="20"/>
        <v>0</v>
      </c>
    </row>
    <row r="184" spans="1:12">
      <c r="A184" s="8">
        <v>45109</v>
      </c>
      <c r="B184" s="17">
        <f>Comb!C184</f>
        <v>2.5</v>
      </c>
      <c r="C184" s="17">
        <f>Tank!L185</f>
        <v>2.5</v>
      </c>
      <c r="D184" s="17">
        <f t="shared" si="14"/>
        <v>660.43013089537101</v>
      </c>
      <c r="E184" s="17">
        <f t="shared" si="15"/>
        <v>660.43013089537101</v>
      </c>
      <c r="F184" s="17">
        <f t="shared" si="16"/>
        <v>0</v>
      </c>
      <c r="G184" s="139">
        <f>Comb!E184</f>
        <v>8.2299999999999986</v>
      </c>
      <c r="H184" s="139">
        <f>Tank!O185</f>
        <v>8.2299999999999969</v>
      </c>
      <c r="I184" s="17">
        <f t="shared" si="17"/>
        <v>0</v>
      </c>
      <c r="J184" s="17">
        <f t="shared" si="18"/>
        <v>2174.1359909075609</v>
      </c>
      <c r="K184" s="17">
        <f t="shared" si="19"/>
        <v>2174.1359909075604</v>
      </c>
      <c r="L184" s="139">
        <f t="shared" si="20"/>
        <v>0</v>
      </c>
    </row>
    <row r="185" spans="1:12">
      <c r="A185" s="8">
        <v>45110</v>
      </c>
      <c r="B185" s="17">
        <f>Comb!C185</f>
        <v>1.3</v>
      </c>
      <c r="C185" s="17">
        <f>Tank!L186</f>
        <v>1.2999999999999545</v>
      </c>
      <c r="D185" s="17">
        <f t="shared" si="14"/>
        <v>343.42366806559295</v>
      </c>
      <c r="E185" s="17">
        <f t="shared" si="15"/>
        <v>343.42366806558096</v>
      </c>
      <c r="F185" s="17">
        <f t="shared" si="16"/>
        <v>1.1993961379630491E-11</v>
      </c>
      <c r="G185" s="139">
        <f>Comb!E185</f>
        <v>6.5699999999999994</v>
      </c>
      <c r="H185" s="139">
        <f>Tank!O186</f>
        <v>6.57</v>
      </c>
      <c r="I185" s="17">
        <f t="shared" si="17"/>
        <v>0</v>
      </c>
      <c r="J185" s="17">
        <f t="shared" si="18"/>
        <v>1735.6103839930349</v>
      </c>
      <c r="K185" s="17">
        <f t="shared" si="19"/>
        <v>1735.6103839930352</v>
      </c>
      <c r="L185" s="139">
        <f t="shared" si="20"/>
        <v>0</v>
      </c>
    </row>
    <row r="186" spans="1:12">
      <c r="A186" s="8">
        <v>45111</v>
      </c>
      <c r="B186" s="17">
        <f>Comb!C186</f>
        <v>0</v>
      </c>
      <c r="C186" s="17">
        <f>Tank!L187</f>
        <v>0</v>
      </c>
      <c r="D186" s="17">
        <f t="shared" si="14"/>
        <v>0</v>
      </c>
      <c r="E186" s="17">
        <f t="shared" si="15"/>
        <v>0</v>
      </c>
      <c r="F186" s="17">
        <f t="shared" si="16"/>
        <v>0</v>
      </c>
      <c r="G186" s="139">
        <f>Comb!E186</f>
        <v>6.8200000000000029</v>
      </c>
      <c r="H186" s="139">
        <f>Tank!O187</f>
        <v>6.82</v>
      </c>
      <c r="I186" s="17">
        <f t="shared" si="17"/>
        <v>0</v>
      </c>
      <c r="J186" s="17">
        <f t="shared" si="18"/>
        <v>1801.6533970825731</v>
      </c>
      <c r="K186" s="17">
        <f t="shared" si="19"/>
        <v>1801.6533970825722</v>
      </c>
      <c r="L186" s="139">
        <f t="shared" si="20"/>
        <v>0</v>
      </c>
    </row>
    <row r="187" spans="1:12">
      <c r="A187" s="8">
        <v>45112</v>
      </c>
      <c r="B187" s="17">
        <f>Comb!C187</f>
        <v>0.4</v>
      </c>
      <c r="C187" s="17">
        <f>Tank!L188</f>
        <v>0.40000000000009095</v>
      </c>
      <c r="D187" s="17">
        <f t="shared" ref="D187:E244" si="21">+CONVERT(B187,"m^3","gal")</f>
        <v>105.66882094325936</v>
      </c>
      <c r="E187" s="17">
        <f t="shared" si="21"/>
        <v>105.66882094328339</v>
      </c>
      <c r="F187" s="17">
        <f t="shared" ref="F187:F250" si="22">D187-E187</f>
        <v>-2.4030555323406588E-11</v>
      </c>
      <c r="G187" s="139">
        <f>Comb!E187</f>
        <v>6.8000000000000034</v>
      </c>
      <c r="H187" s="139">
        <f>Tank!O188</f>
        <v>-29.839999999999996</v>
      </c>
      <c r="I187" s="17">
        <f t="shared" si="17"/>
        <v>36.64</v>
      </c>
      <c r="J187" s="17">
        <f t="shared" si="18"/>
        <v>1796.3699560354103</v>
      </c>
      <c r="K187" s="17">
        <f t="shared" si="19"/>
        <v>-7882.8940423671484</v>
      </c>
      <c r="L187" s="139">
        <f t="shared" si="20"/>
        <v>9679.2639984025591</v>
      </c>
    </row>
    <row r="188" spans="1:12">
      <c r="A188" s="8">
        <v>45113</v>
      </c>
      <c r="B188" s="17">
        <f>Comb!C188</f>
        <v>1.3</v>
      </c>
      <c r="C188" s="17">
        <f>Tank!L189</f>
        <v>-63.100000000000023</v>
      </c>
      <c r="D188" s="17">
        <f t="shared" si="21"/>
        <v>343.42366806559295</v>
      </c>
      <c r="E188" s="17">
        <f t="shared" si="21"/>
        <v>-16669.25650379917</v>
      </c>
      <c r="F188" s="17">
        <f t="shared" si="22"/>
        <v>17012.680171864762</v>
      </c>
      <c r="G188" s="139">
        <f>Comb!E188</f>
        <v>7.1899999999999968</v>
      </c>
      <c r="H188" s="139">
        <f>Tank!O189</f>
        <v>2.0900000000000034</v>
      </c>
      <c r="I188" s="17">
        <f t="shared" si="17"/>
        <v>5.0999999999999934</v>
      </c>
      <c r="J188" s="17">
        <f t="shared" si="18"/>
        <v>1899.3970564550864</v>
      </c>
      <c r="K188" s="17">
        <f t="shared" si="19"/>
        <v>552.11958942853119</v>
      </c>
      <c r="L188" s="139">
        <f t="shared" si="20"/>
        <v>1347.2774670265553</v>
      </c>
    </row>
    <row r="189" spans="1:12">
      <c r="A189" s="8">
        <v>45114</v>
      </c>
      <c r="B189" s="17">
        <f>Comb!C189</f>
        <v>0.8</v>
      </c>
      <c r="C189" s="17">
        <f>Tank!L190</f>
        <v>0.79999999999995453</v>
      </c>
      <c r="D189" s="17">
        <f t="shared" si="21"/>
        <v>211.33764188651872</v>
      </c>
      <c r="E189" s="17">
        <f t="shared" si="21"/>
        <v>211.33764188650673</v>
      </c>
      <c r="F189" s="17">
        <f t="shared" si="22"/>
        <v>1.1993961379630491E-11</v>
      </c>
      <c r="G189" s="139">
        <f>Comb!E189</f>
        <v>7.2699999999999969</v>
      </c>
      <c r="H189" s="139">
        <f>Tank!O190</f>
        <v>7.269999999999996</v>
      </c>
      <c r="I189" s="17">
        <f t="shared" si="17"/>
        <v>0</v>
      </c>
      <c r="J189" s="17">
        <f t="shared" si="18"/>
        <v>1920.5308206437383</v>
      </c>
      <c r="K189" s="17">
        <f t="shared" si="19"/>
        <v>1920.530820643738</v>
      </c>
      <c r="L189" s="139">
        <f t="shared" si="20"/>
        <v>0</v>
      </c>
    </row>
    <row r="190" spans="1:12">
      <c r="A190" s="8">
        <v>45115</v>
      </c>
      <c r="B190" s="17">
        <f>Comb!C190</f>
        <v>0.8</v>
      </c>
      <c r="C190" s="17">
        <f>Tank!L191</f>
        <v>0.80000000000006821</v>
      </c>
      <c r="D190" s="17">
        <f t="shared" si="21"/>
        <v>211.33764188651872</v>
      </c>
      <c r="E190" s="17">
        <f t="shared" si="21"/>
        <v>211.33764188653674</v>
      </c>
      <c r="F190" s="17">
        <f t="shared" si="22"/>
        <v>-1.8019363778876141E-11</v>
      </c>
      <c r="G190" s="139">
        <f>Comb!E190</f>
        <v>7.3599999999999968</v>
      </c>
      <c r="H190" s="139">
        <f>Tank!O191</f>
        <v>4.3599999999999994</v>
      </c>
      <c r="I190" s="17">
        <f t="shared" si="17"/>
        <v>2.9999999999999973</v>
      </c>
      <c r="J190" s="17">
        <f t="shared" si="18"/>
        <v>1944.3063053559715</v>
      </c>
      <c r="K190" s="17">
        <f t="shared" si="19"/>
        <v>1151.7901482815269</v>
      </c>
      <c r="L190" s="139">
        <f t="shared" si="20"/>
        <v>792.51615707444466</v>
      </c>
    </row>
    <row r="191" spans="1:12">
      <c r="A191" s="8">
        <v>45116</v>
      </c>
      <c r="B191" s="17">
        <f>Comb!C191</f>
        <v>0.7</v>
      </c>
      <c r="C191" s="17">
        <f>Tank!L192</f>
        <v>0.69999999999993179</v>
      </c>
      <c r="D191" s="17">
        <f t="shared" si="21"/>
        <v>184.92043665070389</v>
      </c>
      <c r="E191" s="17">
        <f t="shared" si="21"/>
        <v>184.92043665068587</v>
      </c>
      <c r="F191" s="17">
        <f t="shared" si="22"/>
        <v>1.8019363778876141E-11</v>
      </c>
      <c r="G191" s="139">
        <f>Comb!E191</f>
        <v>6.7100000000000026</v>
      </c>
      <c r="H191" s="139">
        <f>Tank!O192</f>
        <v>9.7100000000000009</v>
      </c>
      <c r="I191" s="17">
        <f t="shared" si="17"/>
        <v>-2.9999999999999982</v>
      </c>
      <c r="J191" s="17">
        <f t="shared" si="18"/>
        <v>1772.5944713231765</v>
      </c>
      <c r="K191" s="17">
        <f t="shared" si="19"/>
        <v>2565.110628397621</v>
      </c>
      <c r="L191" s="139">
        <f t="shared" si="20"/>
        <v>-792.51615707444444</v>
      </c>
    </row>
    <row r="192" spans="1:12">
      <c r="A192" s="8">
        <v>45117</v>
      </c>
      <c r="B192" s="17">
        <f>Comb!C192</f>
        <v>1.9</v>
      </c>
      <c r="C192" s="17">
        <f>Tank!L193</f>
        <v>1.8999999999999773</v>
      </c>
      <c r="D192" s="17">
        <f t="shared" si="21"/>
        <v>501.92689948048201</v>
      </c>
      <c r="E192" s="17">
        <f t="shared" si="21"/>
        <v>501.92689948047598</v>
      </c>
      <c r="F192" s="17">
        <f t="shared" si="22"/>
        <v>6.0254023992456496E-12</v>
      </c>
      <c r="G192" s="139">
        <f>Comb!E192</f>
        <v>7.01</v>
      </c>
      <c r="H192" s="139">
        <f>Tank!O193</f>
        <v>7.009999999999998</v>
      </c>
      <c r="I192" s="17">
        <f t="shared" si="17"/>
        <v>0</v>
      </c>
      <c r="J192" s="17">
        <f t="shared" si="18"/>
        <v>1851.8460870306205</v>
      </c>
      <c r="K192" s="17">
        <f t="shared" si="19"/>
        <v>1851.8460870306199</v>
      </c>
      <c r="L192" s="139">
        <f t="shared" si="20"/>
        <v>0</v>
      </c>
    </row>
    <row r="193" spans="1:12">
      <c r="A193" s="8">
        <v>45118</v>
      </c>
      <c r="B193" s="17">
        <f>Comb!C193</f>
        <v>9.5</v>
      </c>
      <c r="C193" s="17">
        <f>Tank!L194</f>
        <v>9.5</v>
      </c>
      <c r="D193" s="17">
        <f t="shared" si="21"/>
        <v>2509.63449740241</v>
      </c>
      <c r="E193" s="17">
        <f t="shared" si="21"/>
        <v>2509.63449740241</v>
      </c>
      <c r="F193" s="17">
        <f t="shared" si="22"/>
        <v>0</v>
      </c>
      <c r="G193" s="139">
        <f>Comb!E193</f>
        <v>6.8200000000000021</v>
      </c>
      <c r="H193" s="139">
        <f>Tank!O194</f>
        <v>-25.439999999999998</v>
      </c>
      <c r="I193" s="17">
        <f t="shared" si="17"/>
        <v>32.26</v>
      </c>
      <c r="J193" s="17">
        <f t="shared" si="18"/>
        <v>1801.6533970825728</v>
      </c>
      <c r="K193" s="17">
        <f t="shared" si="19"/>
        <v>-6720.537011991295</v>
      </c>
      <c r="L193" s="139">
        <f t="shared" si="20"/>
        <v>8522.1904090738681</v>
      </c>
    </row>
    <row r="194" spans="1:12">
      <c r="A194" s="8">
        <v>45119</v>
      </c>
      <c r="B194" s="17">
        <f>Comb!C194</f>
        <v>10.7</v>
      </c>
      <c r="C194" s="17">
        <f>Tank!L195</f>
        <v>10.700000000000045</v>
      </c>
      <c r="D194" s="17">
        <f t="shared" si="21"/>
        <v>2826.6409602321883</v>
      </c>
      <c r="E194" s="17">
        <f t="shared" si="21"/>
        <v>2826.6409602322001</v>
      </c>
      <c r="F194" s="17">
        <f t="shared" si="22"/>
        <v>-1.1823431123048067E-11</v>
      </c>
      <c r="G194" s="139">
        <f>Comb!E194</f>
        <v>7.1399999999999979</v>
      </c>
      <c r="H194" s="139">
        <f>Tank!O195</f>
        <v>7.1400000000000006</v>
      </c>
      <c r="I194" s="17">
        <f t="shared" ref="I194:I213" si="23">G194-H194</f>
        <v>0</v>
      </c>
      <c r="J194" s="17">
        <f t="shared" ref="J194:J213" si="24">+CONVERT(G194,"m^3","gal")</f>
        <v>1886.1884538371792</v>
      </c>
      <c r="K194" s="17">
        <f t="shared" ref="K194:K213" si="25">+CONVERT(H194,"m^3","gal")</f>
        <v>1886.1884538371801</v>
      </c>
      <c r="L194" s="139">
        <f t="shared" ref="L194:L213" si="26">J194-K194</f>
        <v>0</v>
      </c>
    </row>
    <row r="195" spans="1:12">
      <c r="A195" s="8">
        <v>45120</v>
      </c>
      <c r="B195" s="17">
        <f>Comb!C195</f>
        <v>12.2</v>
      </c>
      <c r="C195" s="17">
        <f>Tank!L196</f>
        <v>12.200000000000045</v>
      </c>
      <c r="D195" s="17">
        <f t="shared" si="21"/>
        <v>3222.8990387694107</v>
      </c>
      <c r="E195" s="17">
        <f t="shared" si="21"/>
        <v>3222.899038769423</v>
      </c>
      <c r="F195" s="17">
        <f t="shared" si="22"/>
        <v>-1.2278178473934531E-11</v>
      </c>
      <c r="G195" s="139">
        <f>Comb!E195</f>
        <v>7.4299999999999962</v>
      </c>
      <c r="H195" s="139">
        <f>Tank!O196</f>
        <v>7.43</v>
      </c>
      <c r="I195" s="17">
        <f t="shared" si="23"/>
        <v>0</v>
      </c>
      <c r="J195" s="17">
        <f t="shared" si="24"/>
        <v>1962.7983490210418</v>
      </c>
      <c r="K195" s="17">
        <f t="shared" si="25"/>
        <v>1962.7983490210429</v>
      </c>
      <c r="L195" s="139">
        <f t="shared" si="26"/>
        <v>0</v>
      </c>
    </row>
    <row r="196" spans="1:12">
      <c r="A196" s="8">
        <v>45121</v>
      </c>
      <c r="B196" s="17">
        <f>Comb!C196</f>
        <v>1</v>
      </c>
      <c r="C196" s="17">
        <f>Tank!L197</f>
        <v>1</v>
      </c>
      <c r="D196" s="17">
        <f t="shared" si="21"/>
        <v>264.17205235814845</v>
      </c>
      <c r="E196" s="17">
        <f t="shared" si="21"/>
        <v>264.17205235814845</v>
      </c>
      <c r="F196" s="17">
        <f t="shared" si="22"/>
        <v>0</v>
      </c>
      <c r="G196" s="139">
        <f>Comb!E196</f>
        <v>6.01</v>
      </c>
      <c r="H196" s="139">
        <f>Tank!O197</f>
        <v>6.009999999999998</v>
      </c>
      <c r="I196" s="17">
        <f t="shared" si="23"/>
        <v>0</v>
      </c>
      <c r="J196" s="17">
        <f t="shared" si="24"/>
        <v>1587.6740346724721</v>
      </c>
      <c r="K196" s="17">
        <f t="shared" si="25"/>
        <v>1587.6740346724716</v>
      </c>
      <c r="L196" s="139">
        <f t="shared" si="26"/>
        <v>0</v>
      </c>
    </row>
    <row r="197" spans="1:12">
      <c r="A197" s="8">
        <v>45122</v>
      </c>
      <c r="B197" s="17">
        <f>Comb!C197</f>
        <v>2</v>
      </c>
      <c r="C197" s="17">
        <f>Tank!L198</f>
        <v>2</v>
      </c>
      <c r="D197" s="17">
        <f t="shared" si="21"/>
        <v>528.3441047162969</v>
      </c>
      <c r="E197" s="17">
        <f t="shared" si="21"/>
        <v>528.3441047162969</v>
      </c>
      <c r="F197" s="17">
        <f t="shared" si="22"/>
        <v>0</v>
      </c>
      <c r="G197" s="139">
        <f>Comb!E197</f>
        <v>6.1099999999999985</v>
      </c>
      <c r="H197" s="139">
        <f>Tank!O198</f>
        <v>6.1099999999999994</v>
      </c>
      <c r="I197" s="17">
        <f t="shared" si="23"/>
        <v>0</v>
      </c>
      <c r="J197" s="17">
        <f t="shared" si="24"/>
        <v>1614.0912399082863</v>
      </c>
      <c r="K197" s="17">
        <f t="shared" si="25"/>
        <v>1614.0912399082865</v>
      </c>
      <c r="L197" s="139">
        <f t="shared" si="26"/>
        <v>0</v>
      </c>
    </row>
    <row r="198" spans="1:12">
      <c r="A198" s="8">
        <v>45123</v>
      </c>
      <c r="B198" s="17">
        <f>Comb!C198</f>
        <v>1.8</v>
      </c>
      <c r="C198" s="17">
        <f>Tank!L199</f>
        <v>1.7999999999999545</v>
      </c>
      <c r="D198" s="17">
        <f t="shared" si="21"/>
        <v>475.50969424466717</v>
      </c>
      <c r="E198" s="17">
        <f t="shared" si="21"/>
        <v>475.50969424465512</v>
      </c>
      <c r="F198" s="17">
        <f t="shared" si="22"/>
        <v>1.2050804798491299E-11</v>
      </c>
      <c r="G198" s="139">
        <f>Comb!E198</f>
        <v>6.7000000000000037</v>
      </c>
      <c r="H198" s="139">
        <f>Tank!O199</f>
        <v>6.7000000000000028</v>
      </c>
      <c r="I198" s="17">
        <f t="shared" si="23"/>
        <v>0</v>
      </c>
      <c r="J198" s="17">
        <f t="shared" si="24"/>
        <v>1769.9527507995954</v>
      </c>
      <c r="K198" s="17">
        <f t="shared" si="25"/>
        <v>1769.9527507995952</v>
      </c>
      <c r="L198" s="139">
        <f t="shared" si="26"/>
        <v>0</v>
      </c>
    </row>
    <row r="199" spans="1:12">
      <c r="A199" s="8">
        <v>45124</v>
      </c>
      <c r="B199" s="17">
        <f>Comb!C199</f>
        <v>1</v>
      </c>
      <c r="C199" s="17">
        <f>Tank!L200</f>
        <v>-39.399999999999977</v>
      </c>
      <c r="D199" s="17">
        <f t="shared" si="21"/>
        <v>264.17205235814845</v>
      </c>
      <c r="E199" s="17">
        <f t="shared" si="21"/>
        <v>-10408.378862911042</v>
      </c>
      <c r="F199" s="17">
        <f t="shared" si="22"/>
        <v>10672.55091526919</v>
      </c>
      <c r="G199" s="139">
        <f>Comb!E199</f>
        <v>6.8000000000000016</v>
      </c>
      <c r="H199" s="139">
        <f>Tank!O200</f>
        <v>-34.909999999999997</v>
      </c>
      <c r="I199" s="17">
        <f t="shared" si="23"/>
        <v>41.71</v>
      </c>
      <c r="J199" s="17">
        <f t="shared" si="24"/>
        <v>1796.3699560354098</v>
      </c>
      <c r="K199" s="17">
        <f t="shared" si="25"/>
        <v>-9222.246347822962</v>
      </c>
      <c r="L199" s="139">
        <f t="shared" si="26"/>
        <v>11018.616303858373</v>
      </c>
    </row>
    <row r="200" spans="1:12">
      <c r="A200" s="8">
        <v>45125</v>
      </c>
      <c r="B200" s="17">
        <f>Comb!C200</f>
        <v>2.1</v>
      </c>
      <c r="C200" s="17">
        <f>Tank!L201</f>
        <v>2.1000000000000227</v>
      </c>
      <c r="D200" s="17">
        <f t="shared" si="21"/>
        <v>554.76130995211167</v>
      </c>
      <c r="E200" s="17">
        <f t="shared" si="21"/>
        <v>554.7613099521177</v>
      </c>
      <c r="F200" s="17">
        <f t="shared" si="22"/>
        <v>-6.0254023992456496E-12</v>
      </c>
      <c r="G200" s="139">
        <f>Comb!E200</f>
        <v>6.52</v>
      </c>
      <c r="H200" s="139">
        <f>Tank!O201</f>
        <v>6.519999999999996</v>
      </c>
      <c r="I200" s="17">
        <f t="shared" si="23"/>
        <v>0</v>
      </c>
      <c r="J200" s="17">
        <f t="shared" si="24"/>
        <v>1722.4017813751277</v>
      </c>
      <c r="K200" s="17">
        <f t="shared" si="25"/>
        <v>1722.4017813751268</v>
      </c>
      <c r="L200" s="139">
        <f t="shared" si="26"/>
        <v>0</v>
      </c>
    </row>
    <row r="201" spans="1:12">
      <c r="A201" s="8">
        <v>45126</v>
      </c>
      <c r="B201" s="17">
        <f>Comb!C201</f>
        <v>0.4</v>
      </c>
      <c r="C201" s="17">
        <f>Tank!L202</f>
        <v>0.39999999999997726</v>
      </c>
      <c r="D201" s="17">
        <f t="shared" si="21"/>
        <v>105.66882094325936</v>
      </c>
      <c r="E201" s="17">
        <f t="shared" si="21"/>
        <v>105.66882094325337</v>
      </c>
      <c r="F201" s="17">
        <f t="shared" si="22"/>
        <v>5.9969806898152456E-12</v>
      </c>
      <c r="G201" s="139">
        <f>Comb!E201</f>
        <v>6.7600000000000025</v>
      </c>
      <c r="H201" s="139">
        <f>Tank!O202</f>
        <v>6.759999999999998</v>
      </c>
      <c r="I201" s="17">
        <f t="shared" si="23"/>
        <v>0</v>
      </c>
      <c r="J201" s="17">
        <f t="shared" si="24"/>
        <v>1785.803073941084</v>
      </c>
      <c r="K201" s="17">
        <f t="shared" si="25"/>
        <v>1785.8030739410829</v>
      </c>
      <c r="L201" s="139">
        <f t="shared" si="26"/>
        <v>0</v>
      </c>
    </row>
    <row r="202" spans="1:12">
      <c r="A202" s="8">
        <v>45127</v>
      </c>
      <c r="B202" s="17">
        <f>Comb!C202</f>
        <v>25.9</v>
      </c>
      <c r="C202" s="17">
        <f>Tank!L203</f>
        <v>22.199999999999932</v>
      </c>
      <c r="D202" s="17">
        <f t="shared" si="21"/>
        <v>6842.0561560760443</v>
      </c>
      <c r="E202" s="17">
        <f t="shared" si="21"/>
        <v>5864.6195623508765</v>
      </c>
      <c r="F202" s="17">
        <f t="shared" si="22"/>
        <v>977.43659372516777</v>
      </c>
      <c r="G202" s="139">
        <f>Comb!E202</f>
        <v>6.2099999999999973</v>
      </c>
      <c r="H202" s="139">
        <f>Tank!O203</f>
        <v>6.2299999999999969</v>
      </c>
      <c r="I202" s="17">
        <f t="shared" si="23"/>
        <v>-1.9999999999999574E-2</v>
      </c>
      <c r="J202" s="17">
        <f t="shared" si="24"/>
        <v>1640.508445144101</v>
      </c>
      <c r="K202" s="17">
        <f t="shared" si="25"/>
        <v>1645.791886191264</v>
      </c>
      <c r="L202" s="139">
        <f t="shared" si="26"/>
        <v>-5.2834410471630235</v>
      </c>
    </row>
    <row r="203" spans="1:12">
      <c r="A203" s="8">
        <v>45128</v>
      </c>
      <c r="B203" s="17">
        <f>Comb!C203</f>
        <v>9.1</v>
      </c>
      <c r="C203" s="17">
        <f>Tank!L204</f>
        <v>9.1000000000000227</v>
      </c>
      <c r="D203" s="17">
        <f t="shared" si="21"/>
        <v>2403.9656764591505</v>
      </c>
      <c r="E203" s="17">
        <f t="shared" si="21"/>
        <v>2403.9656764591564</v>
      </c>
      <c r="F203" s="17">
        <f t="shared" si="22"/>
        <v>-5.9117155615240335E-12</v>
      </c>
      <c r="G203" s="139">
        <f>Comb!E203</f>
        <v>6.2799999999999976</v>
      </c>
      <c r="H203" s="139">
        <f>Tank!O204</f>
        <v>6.2800000000000011</v>
      </c>
      <c r="I203" s="17">
        <f t="shared" si="23"/>
        <v>0</v>
      </c>
      <c r="J203" s="17">
        <f t="shared" si="24"/>
        <v>1659.0004888091714</v>
      </c>
      <c r="K203" s="17">
        <f t="shared" si="25"/>
        <v>1659.0004888091723</v>
      </c>
      <c r="L203" s="139">
        <f t="shared" si="26"/>
        <v>0</v>
      </c>
    </row>
    <row r="204" spans="1:12">
      <c r="A204" s="8">
        <v>45129</v>
      </c>
      <c r="B204" s="17">
        <f>Comb!C204</f>
        <v>1.8</v>
      </c>
      <c r="C204" s="17">
        <f>Tank!L205</f>
        <v>1.8000000000000682</v>
      </c>
      <c r="D204" s="17">
        <f t="shared" si="21"/>
        <v>475.50969424466717</v>
      </c>
      <c r="E204" s="17">
        <f t="shared" si="21"/>
        <v>475.50969424468519</v>
      </c>
      <c r="F204" s="17">
        <f t="shared" si="22"/>
        <v>-1.8019363778876141E-11</v>
      </c>
      <c r="G204" s="139">
        <f>Comb!E204</f>
        <v>7.0599999999999987</v>
      </c>
      <c r="H204" s="139">
        <f>Tank!O205</f>
        <v>7.0600000000000023</v>
      </c>
      <c r="I204" s="17">
        <f t="shared" si="23"/>
        <v>0</v>
      </c>
      <c r="J204" s="17">
        <f t="shared" si="24"/>
        <v>1865.0546896485275</v>
      </c>
      <c r="K204" s="17">
        <f t="shared" si="25"/>
        <v>1865.0546896485284</v>
      </c>
      <c r="L204" s="139">
        <f t="shared" si="26"/>
        <v>0</v>
      </c>
    </row>
    <row r="205" spans="1:12">
      <c r="A205" s="8">
        <v>45130</v>
      </c>
      <c r="B205" s="17">
        <f>Comb!C205</f>
        <v>2.7</v>
      </c>
      <c r="C205" s="17">
        <f>Tank!L206</f>
        <v>2.6999999999999318</v>
      </c>
      <c r="D205" s="17">
        <f t="shared" si="21"/>
        <v>713.26454136700079</v>
      </c>
      <c r="E205" s="17">
        <f t="shared" si="21"/>
        <v>713.26454136698271</v>
      </c>
      <c r="F205" s="17">
        <f t="shared" si="22"/>
        <v>1.8076207197736949E-11</v>
      </c>
      <c r="G205" s="139">
        <f>Comb!E205</f>
        <v>6.7300000000000013</v>
      </c>
      <c r="H205" s="139">
        <f>Tank!O206</f>
        <v>6.73</v>
      </c>
      <c r="I205" s="17">
        <f t="shared" si="23"/>
        <v>0</v>
      </c>
      <c r="J205" s="17">
        <f t="shared" si="24"/>
        <v>1777.8779123703391</v>
      </c>
      <c r="K205" s="17">
        <f t="shared" si="25"/>
        <v>1777.8779123703389</v>
      </c>
      <c r="L205" s="139">
        <f t="shared" si="26"/>
        <v>0</v>
      </c>
    </row>
    <row r="206" spans="1:12">
      <c r="A206" s="8">
        <v>45131</v>
      </c>
      <c r="B206" s="17">
        <f>Comb!C206</f>
        <v>1.4</v>
      </c>
      <c r="C206" s="17">
        <f>Tank!L207</f>
        <v>1.3999999999999773</v>
      </c>
      <c r="D206" s="17">
        <f t="shared" si="21"/>
        <v>369.84087330140778</v>
      </c>
      <c r="E206" s="17">
        <f t="shared" si="21"/>
        <v>369.84087330140181</v>
      </c>
      <c r="F206" s="17">
        <f t="shared" si="22"/>
        <v>5.9685589803848416E-12</v>
      </c>
      <c r="G206" s="139">
        <f>Comb!E206</f>
        <v>6.4499999999999975</v>
      </c>
      <c r="H206" s="139">
        <f>Tank!O207</f>
        <v>-31.570000000000004</v>
      </c>
      <c r="I206" s="17">
        <f t="shared" si="23"/>
        <v>38.020000000000003</v>
      </c>
      <c r="J206" s="17">
        <f t="shared" si="24"/>
        <v>1703.9097377100566</v>
      </c>
      <c r="K206" s="17">
        <f t="shared" si="25"/>
        <v>-8339.9116929467473</v>
      </c>
      <c r="L206" s="139">
        <f t="shared" si="26"/>
        <v>10043.821430656804</v>
      </c>
    </row>
    <row r="207" spans="1:12">
      <c r="A207" s="8">
        <v>45132</v>
      </c>
      <c r="B207" s="17">
        <f>Comb!C207</f>
        <v>0.8</v>
      </c>
      <c r="C207" s="17">
        <f>Tank!L208</f>
        <v>0.80000000000006821</v>
      </c>
      <c r="D207" s="17">
        <f t="shared" si="21"/>
        <v>211.33764188651872</v>
      </c>
      <c r="E207" s="17">
        <f t="shared" si="21"/>
        <v>211.33764188653674</v>
      </c>
      <c r="F207" s="17">
        <f t="shared" si="22"/>
        <v>-1.8019363778876141E-11</v>
      </c>
      <c r="G207" s="139">
        <f>Comb!E207</f>
        <v>6.8200000000000021</v>
      </c>
      <c r="H207" s="139">
        <f>Tank!O208</f>
        <v>6.82</v>
      </c>
      <c r="I207" s="17">
        <f t="shared" si="23"/>
        <v>0</v>
      </c>
      <c r="J207" s="17">
        <f t="shared" si="24"/>
        <v>1801.6533970825728</v>
      </c>
      <c r="K207" s="17">
        <f t="shared" si="25"/>
        <v>1801.6533970825722</v>
      </c>
      <c r="L207" s="139">
        <f t="shared" si="26"/>
        <v>0</v>
      </c>
    </row>
    <row r="208" spans="1:12">
      <c r="A208" s="8">
        <v>45133</v>
      </c>
      <c r="B208" s="17">
        <f>Comb!C208</f>
        <v>1.6</v>
      </c>
      <c r="C208" s="17">
        <f>Tank!L209</f>
        <v>1.6000000000000227</v>
      </c>
      <c r="D208" s="17">
        <f t="shared" si="21"/>
        <v>422.67528377303745</v>
      </c>
      <c r="E208" s="17">
        <f t="shared" si="21"/>
        <v>422.67528377304347</v>
      </c>
      <c r="F208" s="17">
        <f t="shared" si="22"/>
        <v>-6.0254023992456496E-12</v>
      </c>
      <c r="G208" s="139">
        <f>Comb!E208</f>
        <v>5.3800000000000017</v>
      </c>
      <c r="H208" s="139">
        <f>Tank!O209</f>
        <v>5.3800000000000026</v>
      </c>
      <c r="I208" s="17">
        <f t="shared" si="23"/>
        <v>0</v>
      </c>
      <c r="J208" s="17">
        <f t="shared" si="24"/>
        <v>1421.245641686839</v>
      </c>
      <c r="K208" s="17">
        <f t="shared" si="25"/>
        <v>1421.2456416868392</v>
      </c>
      <c r="L208" s="139">
        <f t="shared" si="26"/>
        <v>0</v>
      </c>
    </row>
    <row r="209" spans="1:12">
      <c r="A209" s="8">
        <v>45134</v>
      </c>
      <c r="B209" s="17">
        <f>Comb!C209</f>
        <v>0.9</v>
      </c>
      <c r="C209" s="17">
        <f>Tank!L210</f>
        <v>0.89999999999997726</v>
      </c>
      <c r="D209" s="17">
        <f t="shared" si="21"/>
        <v>237.75484712233359</v>
      </c>
      <c r="E209" s="17">
        <f t="shared" si="21"/>
        <v>237.75484712232756</v>
      </c>
      <c r="F209" s="17">
        <f t="shared" si="22"/>
        <v>6.0254023992456496E-12</v>
      </c>
      <c r="G209" s="139">
        <f>Comb!E209</f>
        <v>7.1899999999999977</v>
      </c>
      <c r="H209" s="139">
        <f>Tank!O210</f>
        <v>7.1899999999999977</v>
      </c>
      <c r="I209" s="17">
        <f t="shared" si="23"/>
        <v>0</v>
      </c>
      <c r="J209" s="17">
        <f t="shared" si="24"/>
        <v>1899.3970564550866</v>
      </c>
      <c r="K209" s="17">
        <f t="shared" si="25"/>
        <v>1899.3970564550866</v>
      </c>
      <c r="L209" s="139">
        <f t="shared" si="26"/>
        <v>0</v>
      </c>
    </row>
    <row r="210" spans="1:12">
      <c r="A210" s="8">
        <v>45135</v>
      </c>
      <c r="B210" s="17">
        <f>Comb!C210</f>
        <v>2.1</v>
      </c>
      <c r="C210" s="17">
        <f>Tank!L211</f>
        <v>2.1000000000000227</v>
      </c>
      <c r="D210" s="17">
        <f t="shared" si="21"/>
        <v>554.76130995211167</v>
      </c>
      <c r="E210" s="17">
        <f t="shared" si="21"/>
        <v>554.7613099521177</v>
      </c>
      <c r="F210" s="17">
        <f t="shared" si="22"/>
        <v>-6.0254023992456496E-12</v>
      </c>
      <c r="G210" s="139">
        <f>Comb!E210</f>
        <v>6.2499999999999964</v>
      </c>
      <c r="H210" s="139">
        <f>Tank!O211</f>
        <v>-25.92</v>
      </c>
      <c r="I210" s="17">
        <f t="shared" si="23"/>
        <v>32.17</v>
      </c>
      <c r="J210" s="17">
        <f t="shared" si="24"/>
        <v>1651.0753272384268</v>
      </c>
      <c r="K210" s="17">
        <f t="shared" si="25"/>
        <v>-6847.3395971232076</v>
      </c>
      <c r="L210" s="139">
        <f t="shared" si="26"/>
        <v>8498.4149243616339</v>
      </c>
    </row>
    <row r="211" spans="1:12">
      <c r="A211" s="8">
        <v>45136</v>
      </c>
      <c r="B211" s="17">
        <f>Comb!C211</f>
        <v>1.6</v>
      </c>
      <c r="C211" s="17">
        <f>Tank!L212</f>
        <v>1.5999999999999091</v>
      </c>
      <c r="D211" s="17">
        <f t="shared" si="21"/>
        <v>422.67528377303745</v>
      </c>
      <c r="E211" s="17">
        <f t="shared" si="21"/>
        <v>422.67528377301346</v>
      </c>
      <c r="F211" s="17">
        <f>D211-E211</f>
        <v>2.3987922759260982E-11</v>
      </c>
      <c r="G211" s="139">
        <f>Comb!E211</f>
        <v>6.8100000000000023</v>
      </c>
      <c r="H211" s="139">
        <f>Tank!O212</f>
        <v>6.8100000000000023</v>
      </c>
      <c r="I211" s="17">
        <f t="shared" si="23"/>
        <v>0</v>
      </c>
      <c r="J211" s="17">
        <f t="shared" si="24"/>
        <v>1799.0116765589912</v>
      </c>
      <c r="K211" s="17">
        <f t="shared" si="25"/>
        <v>1799.0116765589912</v>
      </c>
      <c r="L211" s="139">
        <f t="shared" si="26"/>
        <v>0</v>
      </c>
    </row>
    <row r="212" spans="1:12">
      <c r="A212" s="8">
        <v>45137</v>
      </c>
      <c r="B212" s="17">
        <f>Comb!C212</f>
        <v>2.2999999999999998</v>
      </c>
      <c r="C212" s="17">
        <f>Tank!L213</f>
        <v>2.3000000000000682</v>
      </c>
      <c r="D212" s="17">
        <f t="shared" si="21"/>
        <v>607.59572042374134</v>
      </c>
      <c r="E212" s="17">
        <f t="shared" si="21"/>
        <v>607.59572042375942</v>
      </c>
      <c r="F212" s="17">
        <f t="shared" si="22"/>
        <v>-1.8076207197736949E-11</v>
      </c>
      <c r="G212" s="139">
        <f>Comb!E212</f>
        <v>6.8900000000000006</v>
      </c>
      <c r="H212" s="139">
        <f>Tank!O213</f>
        <v>6.8900000000000006</v>
      </c>
      <c r="I212" s="17">
        <f t="shared" si="23"/>
        <v>0</v>
      </c>
      <c r="J212" s="17">
        <f t="shared" si="24"/>
        <v>1820.1454407476429</v>
      </c>
      <c r="K212" s="17">
        <f t="shared" si="25"/>
        <v>1820.1454407476429</v>
      </c>
      <c r="L212" s="139">
        <f t="shared" si="26"/>
        <v>0</v>
      </c>
    </row>
    <row r="213" spans="1:12">
      <c r="A213" s="8">
        <v>45138</v>
      </c>
      <c r="B213" s="17">
        <f>Comb!C213</f>
        <v>1.9</v>
      </c>
      <c r="C213" s="17">
        <f>Tank!L214</f>
        <v>1.8999999999999773</v>
      </c>
      <c r="D213" s="17">
        <f t="shared" si="21"/>
        <v>501.92689948048201</v>
      </c>
      <c r="E213" s="17">
        <f t="shared" si="21"/>
        <v>501.92689948047598</v>
      </c>
      <c r="F213" s="17">
        <f t="shared" si="22"/>
        <v>6.0254023992456496E-12</v>
      </c>
      <c r="G213" s="139">
        <f>Comb!E213</f>
        <v>6.7399999999999984</v>
      </c>
      <c r="H213" s="139">
        <f>Tank!O214</f>
        <v>6.740000000000002</v>
      </c>
      <c r="I213" s="17">
        <f t="shared" si="23"/>
        <v>0</v>
      </c>
      <c r="J213" s="17">
        <f t="shared" si="24"/>
        <v>1780.5196328939198</v>
      </c>
      <c r="K213" s="17">
        <f t="shared" si="25"/>
        <v>1780.5196328939207</v>
      </c>
      <c r="L213" s="139">
        <f t="shared" si="26"/>
        <v>0</v>
      </c>
    </row>
    <row r="214" spans="1:12">
      <c r="A214" s="8">
        <v>45139</v>
      </c>
      <c r="B214" s="17">
        <f>Comb!C214</f>
        <v>0</v>
      </c>
      <c r="C214" s="17">
        <f>Tank!L215</f>
        <v>0</v>
      </c>
      <c r="D214" s="17">
        <f t="shared" si="21"/>
        <v>0</v>
      </c>
      <c r="E214" s="17">
        <f t="shared" si="21"/>
        <v>0</v>
      </c>
      <c r="F214" s="17">
        <f t="shared" si="22"/>
        <v>0</v>
      </c>
      <c r="G214" s="139">
        <f>Comb!E214</f>
        <v>6.3999999999999986</v>
      </c>
      <c r="H214" s="139">
        <f>Tank!O215</f>
        <v>0</v>
      </c>
      <c r="I214" s="17">
        <f t="shared" ref="I214:I250" si="27">G214-H214</f>
        <v>6.3999999999999986</v>
      </c>
      <c r="J214" s="17">
        <f>+CONVERT(G214,"m^3","gal")</f>
        <v>1690.7011350921493</v>
      </c>
      <c r="K214" s="17">
        <f>+CONVERT(H214,"m^3","gal")</f>
        <v>0</v>
      </c>
      <c r="L214" s="139">
        <f>J214-K214</f>
        <v>1690.7011350921493</v>
      </c>
    </row>
    <row r="215" spans="1:12">
      <c r="A215" s="8">
        <v>45140</v>
      </c>
      <c r="B215" s="17">
        <f>Comb!C215</f>
        <v>0</v>
      </c>
      <c r="C215" s="17">
        <f>Tank!L216</f>
        <v>0</v>
      </c>
      <c r="D215" s="17">
        <f t="shared" si="21"/>
        <v>0</v>
      </c>
      <c r="E215" s="17">
        <f t="shared" si="21"/>
        <v>0</v>
      </c>
      <c r="F215" s="17">
        <f t="shared" si="22"/>
        <v>0</v>
      </c>
      <c r="G215" s="139">
        <f>Comb!E215</f>
        <v>6.6400000000000006</v>
      </c>
      <c r="H215" s="139">
        <f>Tank!O216</f>
        <v>0</v>
      </c>
      <c r="I215" s="17">
        <f t="shared" si="27"/>
        <v>6.6400000000000006</v>
      </c>
      <c r="J215" s="17">
        <f t="shared" ref="J215:J244" si="28">+CONVERT(G215,"m^3","gal")</f>
        <v>1754.1024276581059</v>
      </c>
      <c r="K215" s="17">
        <f t="shared" ref="K215:K244" si="29">+CONVERT(H215,"m^3","gal")</f>
        <v>0</v>
      </c>
      <c r="L215" s="139">
        <f t="shared" ref="L215:L244" si="30">J215-K215</f>
        <v>1754.1024276581059</v>
      </c>
    </row>
    <row r="216" spans="1:12">
      <c r="A216" s="8">
        <v>45141</v>
      </c>
      <c r="B216" s="17">
        <f>Comb!C216</f>
        <v>0</v>
      </c>
      <c r="C216" s="17">
        <f>Tank!L217</f>
        <v>0</v>
      </c>
      <c r="D216" s="17">
        <f t="shared" si="21"/>
        <v>0</v>
      </c>
      <c r="E216" s="17">
        <f t="shared" si="21"/>
        <v>0</v>
      </c>
      <c r="F216" s="17">
        <f t="shared" si="22"/>
        <v>0</v>
      </c>
      <c r="G216" s="139">
        <f>Comb!E216</f>
        <v>6.2999999999999989</v>
      </c>
      <c r="H216" s="139">
        <f>Tank!O217</f>
        <v>0</v>
      </c>
      <c r="I216" s="17">
        <f t="shared" si="27"/>
        <v>6.2999999999999989</v>
      </c>
      <c r="J216" s="17">
        <f t="shared" si="28"/>
        <v>1664.2839298563349</v>
      </c>
      <c r="K216" s="17">
        <f t="shared" si="29"/>
        <v>0</v>
      </c>
      <c r="L216" s="139">
        <f t="shared" si="30"/>
        <v>1664.2839298563349</v>
      </c>
    </row>
    <row r="217" spans="1:12">
      <c r="A217" s="8">
        <v>45142</v>
      </c>
      <c r="B217" s="17">
        <f>Comb!C217</f>
        <v>0</v>
      </c>
      <c r="C217" s="17">
        <f>Tank!L218</f>
        <v>0</v>
      </c>
      <c r="D217" s="17">
        <f t="shared" si="21"/>
        <v>0</v>
      </c>
      <c r="E217" s="17">
        <f t="shared" si="21"/>
        <v>0</v>
      </c>
      <c r="F217" s="17">
        <f t="shared" si="22"/>
        <v>0</v>
      </c>
      <c r="G217" s="139">
        <f>Comb!E217</f>
        <v>6.6</v>
      </c>
      <c r="H217" s="139">
        <f>Tank!O218</f>
        <v>0</v>
      </c>
      <c r="I217" s="17">
        <f t="shared" si="27"/>
        <v>6.6</v>
      </c>
      <c r="J217" s="17">
        <f t="shared" si="28"/>
        <v>1743.5355455637796</v>
      </c>
      <c r="K217" s="17">
        <f t="shared" si="29"/>
        <v>0</v>
      </c>
      <c r="L217" s="139">
        <f t="shared" si="30"/>
        <v>1743.5355455637796</v>
      </c>
    </row>
    <row r="218" spans="1:12">
      <c r="A218" s="8">
        <v>45143</v>
      </c>
      <c r="B218" s="17">
        <f>Comb!C218</f>
        <v>0</v>
      </c>
      <c r="C218" s="17">
        <f>Tank!L219</f>
        <v>0</v>
      </c>
      <c r="D218" s="17">
        <f t="shared" si="21"/>
        <v>0</v>
      </c>
      <c r="E218" s="17">
        <f t="shared" si="21"/>
        <v>0</v>
      </c>
      <c r="F218" s="17">
        <f t="shared" si="22"/>
        <v>0</v>
      </c>
      <c r="G218" s="139">
        <f>Comb!E218</f>
        <v>6.6099999999999994</v>
      </c>
      <c r="H218" s="139">
        <f>Tank!O219</f>
        <v>0</v>
      </c>
      <c r="I218" s="17">
        <f t="shared" si="27"/>
        <v>6.6099999999999994</v>
      </c>
      <c r="J218" s="17">
        <f t="shared" si="28"/>
        <v>1746.1772660873607</v>
      </c>
      <c r="K218" s="17">
        <f t="shared" si="29"/>
        <v>0</v>
      </c>
      <c r="L218" s="139">
        <f t="shared" si="30"/>
        <v>1746.1772660873607</v>
      </c>
    </row>
    <row r="219" spans="1:12">
      <c r="A219" s="8">
        <v>45144</v>
      </c>
      <c r="B219" s="17">
        <f>Comb!C219</f>
        <v>0</v>
      </c>
      <c r="C219" s="17">
        <f>Tank!L220</f>
        <v>0</v>
      </c>
      <c r="D219" s="17">
        <f t="shared" si="21"/>
        <v>0</v>
      </c>
      <c r="E219" s="17">
        <f t="shared" si="21"/>
        <v>0</v>
      </c>
      <c r="F219" s="17">
        <f t="shared" si="22"/>
        <v>0</v>
      </c>
      <c r="G219" s="139">
        <f>Comb!E219</f>
        <v>7.3400000000000007</v>
      </c>
      <c r="H219" s="139">
        <f>Tank!O220</f>
        <v>0</v>
      </c>
      <c r="I219" s="17">
        <f t="shared" si="27"/>
        <v>7.3400000000000007</v>
      </c>
      <c r="J219" s="17">
        <f t="shared" si="28"/>
        <v>1939.0228643088096</v>
      </c>
      <c r="K219" s="17">
        <f t="shared" si="29"/>
        <v>0</v>
      </c>
      <c r="L219" s="139">
        <f t="shared" si="30"/>
        <v>1939.0228643088096</v>
      </c>
    </row>
    <row r="220" spans="1:12">
      <c r="A220" s="8">
        <v>45145</v>
      </c>
      <c r="B220" s="17">
        <f>Comb!C220</f>
        <v>0</v>
      </c>
      <c r="C220" s="17">
        <f>Tank!L221</f>
        <v>0</v>
      </c>
      <c r="D220" s="17">
        <f t="shared" si="21"/>
        <v>0</v>
      </c>
      <c r="E220" s="17">
        <f t="shared" si="21"/>
        <v>0</v>
      </c>
      <c r="F220" s="17">
        <f t="shared" si="22"/>
        <v>0</v>
      </c>
      <c r="G220" s="139">
        <f>Comb!E220</f>
        <v>7.3999999999999959</v>
      </c>
      <c r="H220" s="139">
        <f>Tank!O221</f>
        <v>0</v>
      </c>
      <c r="I220" s="17">
        <f t="shared" si="27"/>
        <v>7.3999999999999959</v>
      </c>
      <c r="J220" s="17">
        <f t="shared" si="28"/>
        <v>1954.8731874502973</v>
      </c>
      <c r="K220" s="17">
        <f t="shared" si="29"/>
        <v>0</v>
      </c>
      <c r="L220" s="139">
        <f t="shared" si="30"/>
        <v>1954.8731874502973</v>
      </c>
    </row>
    <row r="221" spans="1:12">
      <c r="A221" s="8">
        <v>45146</v>
      </c>
      <c r="B221" s="17">
        <f>Comb!C221</f>
        <v>0</v>
      </c>
      <c r="C221" s="17">
        <f>Tank!L222</f>
        <v>0</v>
      </c>
      <c r="D221" s="17">
        <f t="shared" si="21"/>
        <v>0</v>
      </c>
      <c r="E221" s="17">
        <f t="shared" si="21"/>
        <v>0</v>
      </c>
      <c r="F221" s="17">
        <f t="shared" si="22"/>
        <v>0</v>
      </c>
      <c r="G221" s="139">
        <f>Comb!E221</f>
        <v>7.6500000000000012</v>
      </c>
      <c r="H221" s="139">
        <f>Tank!O222</f>
        <v>0</v>
      </c>
      <c r="I221" s="17">
        <f t="shared" si="27"/>
        <v>7.6500000000000012</v>
      </c>
      <c r="J221" s="17">
        <f t="shared" si="28"/>
        <v>2020.9162005398357</v>
      </c>
      <c r="K221" s="17">
        <f t="shared" si="29"/>
        <v>0</v>
      </c>
      <c r="L221" s="139">
        <f t="shared" si="30"/>
        <v>2020.9162005398357</v>
      </c>
    </row>
    <row r="222" spans="1:12">
      <c r="A222" s="8">
        <v>45147</v>
      </c>
      <c r="B222" s="17">
        <f>Comb!C222</f>
        <v>0</v>
      </c>
      <c r="C222" s="17">
        <f>Tank!L223</f>
        <v>0</v>
      </c>
      <c r="D222" s="17">
        <f t="shared" si="21"/>
        <v>0</v>
      </c>
      <c r="E222" s="17">
        <f t="shared" si="21"/>
        <v>0</v>
      </c>
      <c r="F222" s="17">
        <f t="shared" si="22"/>
        <v>0</v>
      </c>
      <c r="G222" s="139">
        <f>Comb!E222</f>
        <v>7.8199999999999994</v>
      </c>
      <c r="H222" s="139">
        <f>Tank!O223</f>
        <v>0</v>
      </c>
      <c r="I222" s="17">
        <f t="shared" si="27"/>
        <v>7.8199999999999994</v>
      </c>
      <c r="J222" s="17">
        <f t="shared" si="28"/>
        <v>2065.8254494407206</v>
      </c>
      <c r="K222" s="17">
        <f t="shared" si="29"/>
        <v>0</v>
      </c>
      <c r="L222" s="139">
        <f t="shared" si="30"/>
        <v>2065.8254494407206</v>
      </c>
    </row>
    <row r="223" spans="1:12">
      <c r="A223" s="8">
        <v>45148</v>
      </c>
      <c r="B223" s="17">
        <f>Comb!C223</f>
        <v>0</v>
      </c>
      <c r="C223" s="17">
        <f>Tank!L224</f>
        <v>0</v>
      </c>
      <c r="D223" s="17">
        <f t="shared" si="21"/>
        <v>0</v>
      </c>
      <c r="E223" s="17">
        <f t="shared" si="21"/>
        <v>0</v>
      </c>
      <c r="F223" s="17">
        <f t="shared" si="22"/>
        <v>0</v>
      </c>
      <c r="G223" s="139">
        <f>Comb!E223</f>
        <v>6.04</v>
      </c>
      <c r="H223" s="139">
        <f>Tank!O224</f>
        <v>0</v>
      </c>
      <c r="I223" s="17">
        <f t="shared" si="27"/>
        <v>6.04</v>
      </c>
      <c r="J223" s="17">
        <f t="shared" si="28"/>
        <v>1595.5991962432165</v>
      </c>
      <c r="K223" s="17">
        <f t="shared" si="29"/>
        <v>0</v>
      </c>
      <c r="L223" s="139">
        <f t="shared" si="30"/>
        <v>1595.5991962432165</v>
      </c>
    </row>
    <row r="224" spans="1:12">
      <c r="A224" s="8">
        <v>45149</v>
      </c>
      <c r="B224" s="17">
        <f>Comb!C224</f>
        <v>0</v>
      </c>
      <c r="C224" s="17">
        <f>Tank!L225</f>
        <v>0</v>
      </c>
      <c r="D224" s="17">
        <f t="shared" si="21"/>
        <v>0</v>
      </c>
      <c r="E224" s="17">
        <f t="shared" si="21"/>
        <v>0</v>
      </c>
      <c r="F224" s="17">
        <f t="shared" si="22"/>
        <v>0</v>
      </c>
      <c r="G224" s="139">
        <f>Comb!E224</f>
        <v>6.5199999999999978</v>
      </c>
      <c r="H224" s="139">
        <f>Tank!O225</f>
        <v>0</v>
      </c>
      <c r="I224" s="17">
        <f t="shared" si="27"/>
        <v>6.5199999999999978</v>
      </c>
      <c r="J224" s="17">
        <f t="shared" si="28"/>
        <v>1722.4017813751273</v>
      </c>
      <c r="K224" s="17">
        <f t="shared" si="29"/>
        <v>0</v>
      </c>
      <c r="L224" s="139">
        <f t="shared" si="30"/>
        <v>1722.4017813751273</v>
      </c>
    </row>
    <row r="225" spans="1:12">
      <c r="A225" s="8">
        <v>45150</v>
      </c>
      <c r="B225" s="17">
        <f>Comb!C225</f>
        <v>0</v>
      </c>
      <c r="C225" s="17">
        <f>Tank!L226</f>
        <v>0</v>
      </c>
      <c r="D225" s="17">
        <f t="shared" si="21"/>
        <v>0</v>
      </c>
      <c r="E225" s="17">
        <f t="shared" si="21"/>
        <v>0</v>
      </c>
      <c r="F225" s="17">
        <f t="shared" si="22"/>
        <v>0</v>
      </c>
      <c r="G225" s="139">
        <f>Comb!E225</f>
        <v>5.8000000000000034</v>
      </c>
      <c r="H225" s="139">
        <f>Tank!O226</f>
        <v>0</v>
      </c>
      <c r="I225" s="17">
        <f t="shared" si="27"/>
        <v>5.8000000000000034</v>
      </c>
      <c r="J225" s="17">
        <f t="shared" si="28"/>
        <v>1532.1979036772618</v>
      </c>
      <c r="K225" s="17">
        <f t="shared" si="29"/>
        <v>0</v>
      </c>
      <c r="L225" s="139">
        <f t="shared" si="30"/>
        <v>1532.1979036772618</v>
      </c>
    </row>
    <row r="226" spans="1:12">
      <c r="A226" s="8">
        <v>45151</v>
      </c>
      <c r="B226" s="17">
        <f>Comb!C226</f>
        <v>0</v>
      </c>
      <c r="C226" s="17">
        <f>Tank!L227</f>
        <v>0</v>
      </c>
      <c r="D226" s="17">
        <f t="shared" si="21"/>
        <v>0</v>
      </c>
      <c r="E226" s="17">
        <f t="shared" si="21"/>
        <v>0</v>
      </c>
      <c r="F226" s="17">
        <f t="shared" si="22"/>
        <v>0</v>
      </c>
      <c r="G226" s="139">
        <f>Comb!E226</f>
        <v>5.6000000000000023</v>
      </c>
      <c r="H226" s="139">
        <f>Tank!O227</f>
        <v>0</v>
      </c>
      <c r="I226" s="17">
        <f t="shared" si="27"/>
        <v>5.6000000000000023</v>
      </c>
      <c r="J226" s="17">
        <f t="shared" si="28"/>
        <v>1479.3634932056318</v>
      </c>
      <c r="K226" s="17">
        <f t="shared" si="29"/>
        <v>0</v>
      </c>
      <c r="L226" s="139">
        <f t="shared" si="30"/>
        <v>1479.3634932056318</v>
      </c>
    </row>
    <row r="227" spans="1:12">
      <c r="A227" s="8">
        <v>45152</v>
      </c>
      <c r="B227" s="17">
        <f>Comb!C227</f>
        <v>0</v>
      </c>
      <c r="C227" s="17">
        <f>Tank!L228</f>
        <v>0</v>
      </c>
      <c r="D227" s="17">
        <f t="shared" si="21"/>
        <v>0</v>
      </c>
      <c r="E227" s="17">
        <f t="shared" si="21"/>
        <v>0</v>
      </c>
      <c r="F227" s="17">
        <f t="shared" si="22"/>
        <v>0</v>
      </c>
      <c r="G227" s="139">
        <f>Comb!E227</f>
        <v>6.78</v>
      </c>
      <c r="H227" s="139">
        <f>Tank!O228</f>
        <v>0</v>
      </c>
      <c r="I227" s="17">
        <f t="shared" si="27"/>
        <v>6.78</v>
      </c>
      <c r="J227" s="17">
        <f t="shared" si="28"/>
        <v>1791.0865149882463</v>
      </c>
      <c r="K227" s="17">
        <f t="shared" si="29"/>
        <v>0</v>
      </c>
      <c r="L227" s="114">
        <f t="shared" si="30"/>
        <v>1791.0865149882463</v>
      </c>
    </row>
    <row r="228" spans="1:12">
      <c r="A228" s="8">
        <v>45153</v>
      </c>
      <c r="B228" s="17">
        <f>Comb!C228</f>
        <v>0</v>
      </c>
      <c r="C228" s="17">
        <f>Tank!L229</f>
        <v>0</v>
      </c>
      <c r="D228" s="17">
        <f t="shared" si="21"/>
        <v>0</v>
      </c>
      <c r="E228" s="17">
        <f t="shared" si="21"/>
        <v>0</v>
      </c>
      <c r="F228" s="17">
        <f t="shared" si="22"/>
        <v>0</v>
      </c>
      <c r="G228" s="139">
        <f>Comb!E228</f>
        <v>6.2699999999999978</v>
      </c>
      <c r="H228" s="139">
        <f>Tank!O229</f>
        <v>0</v>
      </c>
      <c r="I228" s="17">
        <f t="shared" si="27"/>
        <v>6.2699999999999978</v>
      </c>
      <c r="J228" s="17">
        <f t="shared" si="28"/>
        <v>1656.35876828559</v>
      </c>
      <c r="K228" s="17">
        <f t="shared" si="29"/>
        <v>0</v>
      </c>
      <c r="L228" s="139">
        <f t="shared" si="30"/>
        <v>1656.35876828559</v>
      </c>
    </row>
    <row r="229" spans="1:12">
      <c r="A229" s="8">
        <v>45154</v>
      </c>
      <c r="B229" s="17">
        <f>Comb!C229</f>
        <v>0</v>
      </c>
      <c r="C229" s="17">
        <f>Tank!L230</f>
        <v>0</v>
      </c>
      <c r="D229" s="17">
        <f t="shared" si="21"/>
        <v>0</v>
      </c>
      <c r="E229" s="17">
        <f t="shared" si="21"/>
        <v>0</v>
      </c>
      <c r="F229" s="17">
        <f t="shared" si="22"/>
        <v>0</v>
      </c>
      <c r="G229" s="139">
        <f>Comb!E229</f>
        <v>5.8500000000000014</v>
      </c>
      <c r="H229" s="139">
        <f>Tank!O230</f>
        <v>0</v>
      </c>
      <c r="I229" s="17">
        <f t="shared" si="27"/>
        <v>5.8500000000000014</v>
      </c>
      <c r="J229" s="17">
        <f t="shared" si="28"/>
        <v>1545.4065062951688</v>
      </c>
      <c r="K229" s="17">
        <f t="shared" si="29"/>
        <v>0</v>
      </c>
      <c r="L229" s="139">
        <f t="shared" si="30"/>
        <v>1545.4065062951688</v>
      </c>
    </row>
    <row r="230" spans="1:12">
      <c r="A230" s="8">
        <v>45155</v>
      </c>
      <c r="B230" s="17">
        <f>Comb!C230</f>
        <v>0</v>
      </c>
      <c r="C230" s="17">
        <f>Tank!L231</f>
        <v>0</v>
      </c>
      <c r="D230" s="17">
        <f t="shared" si="21"/>
        <v>0</v>
      </c>
      <c r="E230" s="17">
        <f t="shared" si="21"/>
        <v>0</v>
      </c>
      <c r="F230" s="17">
        <f t="shared" si="22"/>
        <v>0</v>
      </c>
      <c r="G230" s="139">
        <f>Comb!E230</f>
        <v>5.7100000000000017</v>
      </c>
      <c r="H230" s="139">
        <f>Tank!O231</f>
        <v>0</v>
      </c>
      <c r="I230" s="17">
        <f t="shared" si="27"/>
        <v>5.7100000000000017</v>
      </c>
      <c r="J230" s="17">
        <f t="shared" si="28"/>
        <v>1508.4224189650279</v>
      </c>
      <c r="K230" s="17">
        <f t="shared" si="29"/>
        <v>0</v>
      </c>
      <c r="L230" s="139">
        <f t="shared" si="30"/>
        <v>1508.4224189650279</v>
      </c>
    </row>
    <row r="231" spans="1:12">
      <c r="A231" s="8">
        <v>45156</v>
      </c>
      <c r="B231" s="17">
        <f>Comb!C231</f>
        <v>0</v>
      </c>
      <c r="C231" s="17">
        <f>Tank!L232</f>
        <v>0</v>
      </c>
      <c r="D231" s="17">
        <f t="shared" si="21"/>
        <v>0</v>
      </c>
      <c r="E231" s="17">
        <f t="shared" si="21"/>
        <v>0</v>
      </c>
      <c r="F231" s="17">
        <f t="shared" si="22"/>
        <v>0</v>
      </c>
      <c r="G231" s="139">
        <f>Comb!E231</f>
        <v>5.3800000000000026</v>
      </c>
      <c r="H231" s="139">
        <f>Tank!O232</f>
        <v>0</v>
      </c>
      <c r="I231" s="17">
        <f t="shared" si="27"/>
        <v>5.3800000000000026</v>
      </c>
      <c r="J231" s="17">
        <f t="shared" si="28"/>
        <v>1421.2456416868392</v>
      </c>
      <c r="K231" s="17">
        <f t="shared" si="29"/>
        <v>0</v>
      </c>
      <c r="L231" s="139">
        <f t="shared" si="30"/>
        <v>1421.2456416868392</v>
      </c>
    </row>
    <row r="232" spans="1:12">
      <c r="A232" s="8">
        <v>45157</v>
      </c>
      <c r="B232" s="17">
        <f>Comb!C232</f>
        <v>0</v>
      </c>
      <c r="C232" s="17">
        <f>Tank!L233</f>
        <v>0</v>
      </c>
      <c r="D232" s="17">
        <f t="shared" si="21"/>
        <v>0</v>
      </c>
      <c r="E232" s="17">
        <f t="shared" si="21"/>
        <v>0</v>
      </c>
      <c r="F232" s="17">
        <f t="shared" si="22"/>
        <v>0</v>
      </c>
      <c r="G232" s="139">
        <f>Comb!E232</f>
        <v>6.63</v>
      </c>
      <c r="H232" s="139">
        <f>Tank!O233</f>
        <v>0</v>
      </c>
      <c r="I232" s="17">
        <f t="shared" si="27"/>
        <v>6.63</v>
      </c>
      <c r="J232" s="17">
        <f t="shared" si="28"/>
        <v>1751.460707134524</v>
      </c>
      <c r="K232" s="17">
        <f t="shared" si="29"/>
        <v>0</v>
      </c>
      <c r="L232" s="139">
        <f t="shared" si="30"/>
        <v>1751.460707134524</v>
      </c>
    </row>
    <row r="233" spans="1:12">
      <c r="A233" s="8">
        <v>45158</v>
      </c>
      <c r="B233" s="17">
        <f>Comb!C233</f>
        <v>0</v>
      </c>
      <c r="C233" s="17">
        <f>Tank!L234</f>
        <v>0</v>
      </c>
      <c r="D233" s="17">
        <f t="shared" si="21"/>
        <v>0</v>
      </c>
      <c r="E233" s="17">
        <f t="shared" si="21"/>
        <v>0</v>
      </c>
      <c r="F233" s="17">
        <f t="shared" si="22"/>
        <v>0</v>
      </c>
      <c r="G233" s="139">
        <f>Comb!E233</f>
        <v>6.8499999999999979</v>
      </c>
      <c r="H233" s="139">
        <f>Tank!O234</f>
        <v>0</v>
      </c>
      <c r="I233" s="17">
        <f t="shared" si="27"/>
        <v>6.8499999999999979</v>
      </c>
      <c r="J233" s="17">
        <f t="shared" si="28"/>
        <v>1809.5785586533161</v>
      </c>
      <c r="K233" s="17">
        <f t="shared" si="29"/>
        <v>0</v>
      </c>
      <c r="L233" s="139">
        <f t="shared" si="30"/>
        <v>1809.5785586533161</v>
      </c>
    </row>
    <row r="234" spans="1:12">
      <c r="A234" s="8">
        <v>45159</v>
      </c>
      <c r="B234" s="17">
        <f>Comb!C234</f>
        <v>0</v>
      </c>
      <c r="C234" s="17">
        <f>Tank!L235</f>
        <v>0</v>
      </c>
      <c r="D234" s="17">
        <f t="shared" si="21"/>
        <v>0</v>
      </c>
      <c r="E234" s="17">
        <f t="shared" si="21"/>
        <v>0</v>
      </c>
      <c r="F234" s="17">
        <f t="shared" si="22"/>
        <v>0</v>
      </c>
      <c r="G234" s="139">
        <f>Comb!E234</f>
        <v>6.089999999999999</v>
      </c>
      <c r="H234" s="139">
        <f>Tank!O235</f>
        <v>0</v>
      </c>
      <c r="I234" s="17">
        <f t="shared" si="27"/>
        <v>6.089999999999999</v>
      </c>
      <c r="J234" s="17">
        <f t="shared" si="28"/>
        <v>1608.8077988611237</v>
      </c>
      <c r="K234" s="17">
        <f t="shared" si="29"/>
        <v>0</v>
      </c>
      <c r="L234" s="139">
        <f t="shared" si="30"/>
        <v>1608.8077988611237</v>
      </c>
    </row>
    <row r="235" spans="1:12">
      <c r="A235" s="8">
        <v>45160</v>
      </c>
      <c r="B235" s="17">
        <f>Comb!C235</f>
        <v>0</v>
      </c>
      <c r="C235" s="17">
        <f>Tank!L236</f>
        <v>0</v>
      </c>
      <c r="D235" s="17">
        <f t="shared" si="21"/>
        <v>0</v>
      </c>
      <c r="E235" s="17">
        <f t="shared" si="21"/>
        <v>0</v>
      </c>
      <c r="F235" s="17">
        <f t="shared" si="22"/>
        <v>0</v>
      </c>
      <c r="G235" s="139">
        <f>Comb!E235</f>
        <v>6.5</v>
      </c>
      <c r="H235" s="139">
        <f>Tank!O236</f>
        <v>0</v>
      </c>
      <c r="I235" s="17">
        <f t="shared" si="27"/>
        <v>6.5</v>
      </c>
      <c r="J235" s="17">
        <f t="shared" si="28"/>
        <v>1717.1183403279647</v>
      </c>
      <c r="K235" s="17">
        <f t="shared" si="29"/>
        <v>0</v>
      </c>
      <c r="L235" s="139">
        <f t="shared" si="30"/>
        <v>1717.1183403279647</v>
      </c>
    </row>
    <row r="236" spans="1:12">
      <c r="A236" s="8">
        <v>45161</v>
      </c>
      <c r="B236" s="17">
        <f>Comb!C236</f>
        <v>0</v>
      </c>
      <c r="C236" s="17">
        <f>Tank!L237</f>
        <v>0</v>
      </c>
      <c r="D236" s="17">
        <f t="shared" si="21"/>
        <v>0</v>
      </c>
      <c r="E236" s="17">
        <f t="shared" si="21"/>
        <v>0</v>
      </c>
      <c r="F236" s="17">
        <f t="shared" si="22"/>
        <v>0</v>
      </c>
      <c r="G236" s="139">
        <f>Comb!E236</f>
        <v>0</v>
      </c>
      <c r="H236" s="139">
        <f>Tank!O237</f>
        <v>0</v>
      </c>
      <c r="I236" s="17">
        <f t="shared" si="27"/>
        <v>0</v>
      </c>
      <c r="J236" s="17">
        <f t="shared" si="28"/>
        <v>0</v>
      </c>
      <c r="K236" s="17">
        <f t="shared" si="29"/>
        <v>0</v>
      </c>
      <c r="L236" s="139">
        <f t="shared" si="30"/>
        <v>0</v>
      </c>
    </row>
    <row r="237" spans="1:12">
      <c r="A237" s="8">
        <v>45162</v>
      </c>
      <c r="B237" s="17">
        <f>Comb!C237</f>
        <v>0</v>
      </c>
      <c r="C237" s="17">
        <f>Tank!L238</f>
        <v>0</v>
      </c>
      <c r="D237" s="17">
        <f t="shared" si="21"/>
        <v>0</v>
      </c>
      <c r="E237" s="17">
        <f t="shared" si="21"/>
        <v>0</v>
      </c>
      <c r="F237" s="17">
        <f t="shared" si="22"/>
        <v>0</v>
      </c>
      <c r="G237" s="139">
        <f>Comb!E237</f>
        <v>0</v>
      </c>
      <c r="H237" s="139">
        <f>Tank!O238</f>
        <v>0</v>
      </c>
      <c r="I237" s="17">
        <f t="shared" si="27"/>
        <v>0</v>
      </c>
      <c r="J237" s="17">
        <f t="shared" si="28"/>
        <v>0</v>
      </c>
      <c r="K237" s="17">
        <f t="shared" si="29"/>
        <v>0</v>
      </c>
      <c r="L237" s="139">
        <f t="shared" si="30"/>
        <v>0</v>
      </c>
    </row>
    <row r="238" spans="1:12">
      <c r="A238" s="8">
        <v>45163</v>
      </c>
      <c r="B238" s="17">
        <f>Comb!C238</f>
        <v>0</v>
      </c>
      <c r="C238" s="17">
        <f>Tank!L239</f>
        <v>0</v>
      </c>
      <c r="D238" s="17">
        <f t="shared" si="21"/>
        <v>0</v>
      </c>
      <c r="E238" s="17">
        <f t="shared" si="21"/>
        <v>0</v>
      </c>
      <c r="F238" s="17">
        <f t="shared" si="22"/>
        <v>0</v>
      </c>
      <c r="G238" s="139">
        <f>Comb!E238</f>
        <v>0</v>
      </c>
      <c r="H238" s="139">
        <f>Tank!O239</f>
        <v>0</v>
      </c>
      <c r="I238" s="17">
        <f t="shared" si="27"/>
        <v>0</v>
      </c>
      <c r="J238" s="17">
        <f t="shared" si="28"/>
        <v>0</v>
      </c>
      <c r="K238" s="17">
        <f t="shared" si="29"/>
        <v>0</v>
      </c>
      <c r="L238" s="139">
        <f t="shared" si="30"/>
        <v>0</v>
      </c>
    </row>
    <row r="239" spans="1:12">
      <c r="A239" s="8">
        <v>45164</v>
      </c>
      <c r="B239" s="17">
        <f>Comb!C239</f>
        <v>0</v>
      </c>
      <c r="C239" s="17">
        <f>Tank!L240</f>
        <v>0</v>
      </c>
      <c r="D239" s="17">
        <f t="shared" si="21"/>
        <v>0</v>
      </c>
      <c r="E239" s="17">
        <f t="shared" si="21"/>
        <v>0</v>
      </c>
      <c r="F239" s="17">
        <f t="shared" si="22"/>
        <v>0</v>
      </c>
      <c r="G239" s="139">
        <f>Comb!E239</f>
        <v>0</v>
      </c>
      <c r="H239" s="139">
        <f>Tank!O240</f>
        <v>0</v>
      </c>
      <c r="I239" s="17">
        <f t="shared" si="27"/>
        <v>0</v>
      </c>
      <c r="J239" s="17">
        <f t="shared" si="28"/>
        <v>0</v>
      </c>
      <c r="K239" s="17">
        <f t="shared" si="29"/>
        <v>0</v>
      </c>
      <c r="L239" s="139">
        <f t="shared" si="30"/>
        <v>0</v>
      </c>
    </row>
    <row r="240" spans="1:12">
      <c r="A240" s="8">
        <v>45165</v>
      </c>
      <c r="B240" s="17">
        <f>Comb!C240</f>
        <v>0</v>
      </c>
      <c r="C240" s="17">
        <f>Tank!L241</f>
        <v>0</v>
      </c>
      <c r="D240" s="17">
        <f t="shared" si="21"/>
        <v>0</v>
      </c>
      <c r="E240" s="17">
        <f t="shared" si="21"/>
        <v>0</v>
      </c>
      <c r="F240" s="17">
        <f t="shared" si="22"/>
        <v>0</v>
      </c>
      <c r="G240" s="139">
        <f>Comb!E240</f>
        <v>0</v>
      </c>
      <c r="H240" s="139">
        <f>Tank!O241</f>
        <v>0</v>
      </c>
      <c r="I240" s="17">
        <f t="shared" si="27"/>
        <v>0</v>
      </c>
      <c r="J240" s="17">
        <f t="shared" si="28"/>
        <v>0</v>
      </c>
      <c r="K240" s="17">
        <f t="shared" si="29"/>
        <v>0</v>
      </c>
      <c r="L240" s="139">
        <f t="shared" si="30"/>
        <v>0</v>
      </c>
    </row>
    <row r="241" spans="1:12">
      <c r="A241" s="8">
        <v>45166</v>
      </c>
      <c r="B241" s="17">
        <f>Comb!C241</f>
        <v>0</v>
      </c>
      <c r="C241" s="17">
        <f>Tank!L242</f>
        <v>0</v>
      </c>
      <c r="D241" s="17">
        <f t="shared" si="21"/>
        <v>0</v>
      </c>
      <c r="E241" s="17">
        <f t="shared" si="21"/>
        <v>0</v>
      </c>
      <c r="F241" s="17">
        <f t="shared" si="22"/>
        <v>0</v>
      </c>
      <c r="G241" s="139">
        <f>Comb!E241</f>
        <v>0</v>
      </c>
      <c r="H241" s="139">
        <f>Tank!O242</f>
        <v>0</v>
      </c>
      <c r="I241" s="17">
        <f t="shared" si="27"/>
        <v>0</v>
      </c>
      <c r="J241" s="17">
        <f t="shared" si="28"/>
        <v>0</v>
      </c>
      <c r="K241" s="17">
        <f t="shared" si="29"/>
        <v>0</v>
      </c>
      <c r="L241" s="139">
        <f t="shared" si="30"/>
        <v>0</v>
      </c>
    </row>
    <row r="242" spans="1:12">
      <c r="A242" s="8">
        <v>45167</v>
      </c>
      <c r="B242" s="17">
        <f>Comb!C242</f>
        <v>0</v>
      </c>
      <c r="C242" s="17">
        <f>Tank!L243</f>
        <v>0</v>
      </c>
      <c r="D242" s="17">
        <f t="shared" si="21"/>
        <v>0</v>
      </c>
      <c r="E242" s="17">
        <f t="shared" si="21"/>
        <v>0</v>
      </c>
      <c r="F242" s="17">
        <f t="shared" si="22"/>
        <v>0</v>
      </c>
      <c r="G242" s="139">
        <f>Comb!E242</f>
        <v>0</v>
      </c>
      <c r="H242" s="139">
        <f>Tank!O243</f>
        <v>0</v>
      </c>
      <c r="I242" s="17">
        <f t="shared" si="27"/>
        <v>0</v>
      </c>
      <c r="J242" s="17">
        <f t="shared" si="28"/>
        <v>0</v>
      </c>
      <c r="K242" s="17">
        <f t="shared" si="29"/>
        <v>0</v>
      </c>
      <c r="L242" s="139">
        <f t="shared" si="30"/>
        <v>0</v>
      </c>
    </row>
    <row r="243" spans="1:12">
      <c r="A243" s="8">
        <v>45168</v>
      </c>
      <c r="B243" s="17">
        <f>Comb!C243</f>
        <v>0</v>
      </c>
      <c r="C243" s="17">
        <f>Tank!L244</f>
        <v>0</v>
      </c>
      <c r="D243" s="17">
        <f t="shared" si="21"/>
        <v>0</v>
      </c>
      <c r="E243" s="17">
        <f t="shared" si="21"/>
        <v>0</v>
      </c>
      <c r="F243" s="17">
        <f t="shared" si="22"/>
        <v>0</v>
      </c>
      <c r="G243" s="139">
        <f>Comb!E243</f>
        <v>0</v>
      </c>
      <c r="H243" s="139">
        <f>Tank!O244</f>
        <v>0</v>
      </c>
      <c r="I243" s="17">
        <f t="shared" si="27"/>
        <v>0</v>
      </c>
      <c r="J243" s="17">
        <f t="shared" si="28"/>
        <v>0</v>
      </c>
      <c r="K243" s="17">
        <f t="shared" si="29"/>
        <v>0</v>
      </c>
      <c r="L243" s="139">
        <f t="shared" si="30"/>
        <v>0</v>
      </c>
    </row>
    <row r="244" spans="1:12">
      <c r="A244" s="8">
        <v>45169</v>
      </c>
      <c r="B244" s="17">
        <f>Comb!C244</f>
        <v>0</v>
      </c>
      <c r="C244" s="17">
        <f>Tank!L245</f>
        <v>0</v>
      </c>
      <c r="D244" s="17">
        <f t="shared" si="21"/>
        <v>0</v>
      </c>
      <c r="E244" s="17">
        <f t="shared" si="21"/>
        <v>0</v>
      </c>
      <c r="F244" s="17">
        <f t="shared" si="22"/>
        <v>0</v>
      </c>
      <c r="G244" s="139">
        <f>Comb!E244</f>
        <v>0</v>
      </c>
      <c r="H244" s="139">
        <f>Tank!O245</f>
        <v>0</v>
      </c>
      <c r="I244" s="17">
        <f t="shared" si="27"/>
        <v>0</v>
      </c>
      <c r="J244" s="17">
        <f t="shared" si="28"/>
        <v>0</v>
      </c>
      <c r="K244" s="17">
        <f t="shared" si="29"/>
        <v>0</v>
      </c>
      <c r="L244" s="139">
        <f t="shared" si="30"/>
        <v>0</v>
      </c>
    </row>
    <row r="245" spans="1:12">
      <c r="A245" s="8">
        <v>45170</v>
      </c>
      <c r="B245" s="17">
        <f>Comb!C245</f>
        <v>0</v>
      </c>
      <c r="C245" s="17">
        <f>Tank!L246</f>
        <v>0</v>
      </c>
      <c r="D245" s="17">
        <f t="shared" ref="D245:D274" si="31">+CONVERT(B245,"m^3","gal")</f>
        <v>0</v>
      </c>
      <c r="E245" s="17">
        <f t="shared" ref="E245:E274" si="32">+CONVERT(C245,"m^3","gal")</f>
        <v>0</v>
      </c>
      <c r="F245" s="17">
        <f t="shared" si="22"/>
        <v>0</v>
      </c>
      <c r="G245" s="139">
        <f>Comb!E245</f>
        <v>0</v>
      </c>
      <c r="H245" s="139">
        <f>Tank!O246</f>
        <v>0</v>
      </c>
      <c r="I245" s="17">
        <f t="shared" si="27"/>
        <v>0</v>
      </c>
      <c r="J245" s="17">
        <f t="shared" ref="J245:J274" si="33">+CONVERT(G245,"m^3","gal")</f>
        <v>0</v>
      </c>
      <c r="K245" s="17">
        <f t="shared" ref="K245:K274" si="34">+CONVERT(H245,"m^3","gal")</f>
        <v>0</v>
      </c>
      <c r="L245" s="139">
        <f t="shared" ref="L245:L274" si="35">J245-K245</f>
        <v>0</v>
      </c>
    </row>
    <row r="246" spans="1:12">
      <c r="A246" s="8">
        <v>45171</v>
      </c>
      <c r="B246" s="17">
        <f>Comb!C246</f>
        <v>0</v>
      </c>
      <c r="C246" s="17">
        <f>Tank!L247</f>
        <v>0</v>
      </c>
      <c r="D246" s="17">
        <f t="shared" si="31"/>
        <v>0</v>
      </c>
      <c r="E246" s="17">
        <f t="shared" si="32"/>
        <v>0</v>
      </c>
      <c r="F246" s="17">
        <f t="shared" si="22"/>
        <v>0</v>
      </c>
      <c r="G246" s="139">
        <f>Comb!E246</f>
        <v>0</v>
      </c>
      <c r="H246" s="139">
        <f>Tank!O247</f>
        <v>0</v>
      </c>
      <c r="I246" s="17">
        <f t="shared" si="27"/>
        <v>0</v>
      </c>
      <c r="J246" s="17">
        <f t="shared" si="33"/>
        <v>0</v>
      </c>
      <c r="K246" s="17">
        <f t="shared" si="34"/>
        <v>0</v>
      </c>
      <c r="L246" s="139">
        <f t="shared" si="35"/>
        <v>0</v>
      </c>
    </row>
    <row r="247" spans="1:12">
      <c r="A247" s="8">
        <v>45172</v>
      </c>
      <c r="B247" s="17">
        <f>Comb!C247</f>
        <v>0</v>
      </c>
      <c r="C247" s="17">
        <f>Tank!L248</f>
        <v>0</v>
      </c>
      <c r="D247" s="17">
        <f t="shared" si="31"/>
        <v>0</v>
      </c>
      <c r="E247" s="17">
        <f t="shared" si="32"/>
        <v>0</v>
      </c>
      <c r="F247" s="17">
        <f t="shared" si="22"/>
        <v>0</v>
      </c>
      <c r="G247" s="139">
        <f>Comb!E247</f>
        <v>0</v>
      </c>
      <c r="H247" s="139">
        <f>Tank!O248</f>
        <v>0</v>
      </c>
      <c r="I247" s="17">
        <f t="shared" si="27"/>
        <v>0</v>
      </c>
      <c r="J247" s="17">
        <f t="shared" si="33"/>
        <v>0</v>
      </c>
      <c r="K247" s="17">
        <f t="shared" si="34"/>
        <v>0</v>
      </c>
      <c r="L247" s="139">
        <f t="shared" si="35"/>
        <v>0</v>
      </c>
    </row>
    <row r="248" spans="1:12">
      <c r="A248" s="8">
        <v>45173</v>
      </c>
      <c r="B248" s="17">
        <f>Comb!C248</f>
        <v>0</v>
      </c>
      <c r="C248" s="17">
        <f>Tank!L249</f>
        <v>0</v>
      </c>
      <c r="D248" s="17">
        <f t="shared" si="31"/>
        <v>0</v>
      </c>
      <c r="E248" s="17">
        <f t="shared" si="32"/>
        <v>0</v>
      </c>
      <c r="F248" s="17">
        <f t="shared" si="22"/>
        <v>0</v>
      </c>
      <c r="G248" s="139">
        <f>Comb!E248</f>
        <v>0</v>
      </c>
      <c r="H248" s="139">
        <f>Tank!O249</f>
        <v>0</v>
      </c>
      <c r="I248" s="17">
        <f t="shared" si="27"/>
        <v>0</v>
      </c>
      <c r="J248" s="17">
        <f t="shared" si="33"/>
        <v>0</v>
      </c>
      <c r="K248" s="17">
        <f t="shared" si="34"/>
        <v>0</v>
      </c>
      <c r="L248" s="139">
        <f t="shared" si="35"/>
        <v>0</v>
      </c>
    </row>
    <row r="249" spans="1:12">
      <c r="A249" s="8">
        <v>45174</v>
      </c>
      <c r="B249" s="17">
        <f>Comb!C249</f>
        <v>0</v>
      </c>
      <c r="C249" s="17">
        <f>Tank!L250</f>
        <v>0</v>
      </c>
      <c r="D249" s="17">
        <f t="shared" si="31"/>
        <v>0</v>
      </c>
      <c r="E249" s="17">
        <f t="shared" si="32"/>
        <v>0</v>
      </c>
      <c r="F249" s="17">
        <f t="shared" si="22"/>
        <v>0</v>
      </c>
      <c r="G249" s="139">
        <f>Comb!E249</f>
        <v>0</v>
      </c>
      <c r="H249" s="139">
        <f>Tank!O250</f>
        <v>0</v>
      </c>
      <c r="I249" s="17">
        <f t="shared" si="27"/>
        <v>0</v>
      </c>
      <c r="J249" s="17">
        <f t="shared" si="33"/>
        <v>0</v>
      </c>
      <c r="K249" s="17">
        <f t="shared" si="34"/>
        <v>0</v>
      </c>
      <c r="L249" s="139">
        <f t="shared" si="35"/>
        <v>0</v>
      </c>
    </row>
    <row r="250" spans="1:12">
      <c r="A250" s="8">
        <v>45175</v>
      </c>
      <c r="B250" s="17">
        <f>Comb!C250</f>
        <v>0</v>
      </c>
      <c r="C250" s="17">
        <f>Tank!L251</f>
        <v>0</v>
      </c>
      <c r="D250" s="17">
        <f t="shared" si="31"/>
        <v>0</v>
      </c>
      <c r="E250" s="17">
        <f t="shared" si="32"/>
        <v>0</v>
      </c>
      <c r="F250" s="17">
        <f t="shared" si="22"/>
        <v>0</v>
      </c>
      <c r="G250" s="139">
        <f>Comb!E250</f>
        <v>0</v>
      </c>
      <c r="H250" s="139">
        <f>Tank!O251</f>
        <v>0</v>
      </c>
      <c r="I250" s="17">
        <f t="shared" si="27"/>
        <v>0</v>
      </c>
      <c r="J250" s="17">
        <f t="shared" si="33"/>
        <v>0</v>
      </c>
      <c r="K250" s="17">
        <f t="shared" si="34"/>
        <v>0</v>
      </c>
      <c r="L250" s="139">
        <f t="shared" si="35"/>
        <v>0</v>
      </c>
    </row>
    <row r="251" spans="1:12">
      <c r="A251" s="8">
        <v>45176</v>
      </c>
      <c r="B251" s="17">
        <f>Comb!C251</f>
        <v>0</v>
      </c>
      <c r="C251" s="17">
        <f>Tank!L252</f>
        <v>0</v>
      </c>
      <c r="D251" s="17">
        <f t="shared" si="31"/>
        <v>0</v>
      </c>
      <c r="E251" s="17">
        <f t="shared" si="32"/>
        <v>0</v>
      </c>
      <c r="F251" s="17">
        <f t="shared" ref="F251:F314" si="36">D251-E251</f>
        <v>0</v>
      </c>
      <c r="G251" s="139">
        <f>Comb!E251</f>
        <v>0</v>
      </c>
      <c r="H251" s="139">
        <f>Tank!O252</f>
        <v>0</v>
      </c>
      <c r="I251" s="17">
        <f t="shared" ref="I251:I314" si="37">G251-H251</f>
        <v>0</v>
      </c>
      <c r="J251" s="17">
        <f t="shared" si="33"/>
        <v>0</v>
      </c>
      <c r="K251" s="17">
        <f t="shared" si="34"/>
        <v>0</v>
      </c>
      <c r="L251" s="139">
        <f t="shared" si="35"/>
        <v>0</v>
      </c>
    </row>
    <row r="252" spans="1:12">
      <c r="A252" s="8">
        <v>45177</v>
      </c>
      <c r="B252" s="17">
        <f>Comb!C252</f>
        <v>0</v>
      </c>
      <c r="C252" s="17">
        <f>Tank!L253</f>
        <v>0</v>
      </c>
      <c r="D252" s="17">
        <f t="shared" si="31"/>
        <v>0</v>
      </c>
      <c r="E252" s="17">
        <f t="shared" si="32"/>
        <v>0</v>
      </c>
      <c r="F252" s="17">
        <f t="shared" si="36"/>
        <v>0</v>
      </c>
      <c r="G252" s="139">
        <f>Comb!E252</f>
        <v>0</v>
      </c>
      <c r="H252" s="139">
        <f>Tank!O253</f>
        <v>0</v>
      </c>
      <c r="I252" s="17">
        <f t="shared" si="37"/>
        <v>0</v>
      </c>
      <c r="J252" s="17">
        <f t="shared" si="33"/>
        <v>0</v>
      </c>
      <c r="K252" s="17">
        <f t="shared" si="34"/>
        <v>0</v>
      </c>
      <c r="L252" s="139">
        <f t="shared" si="35"/>
        <v>0</v>
      </c>
    </row>
    <row r="253" spans="1:12">
      <c r="A253" s="8">
        <v>45178</v>
      </c>
      <c r="B253" s="17">
        <f>Comb!C253</f>
        <v>0</v>
      </c>
      <c r="C253" s="17">
        <f>Tank!L254</f>
        <v>0</v>
      </c>
      <c r="D253" s="17">
        <f t="shared" si="31"/>
        <v>0</v>
      </c>
      <c r="E253" s="17">
        <f t="shared" si="32"/>
        <v>0</v>
      </c>
      <c r="F253" s="17">
        <f t="shared" si="36"/>
        <v>0</v>
      </c>
      <c r="G253" s="139">
        <f>Comb!E253</f>
        <v>0</v>
      </c>
      <c r="H253" s="139">
        <f>Tank!O254</f>
        <v>0</v>
      </c>
      <c r="I253" s="17">
        <f t="shared" si="37"/>
        <v>0</v>
      </c>
      <c r="J253" s="17">
        <f t="shared" si="33"/>
        <v>0</v>
      </c>
      <c r="K253" s="17">
        <f t="shared" si="34"/>
        <v>0</v>
      </c>
      <c r="L253" s="139">
        <f t="shared" si="35"/>
        <v>0</v>
      </c>
    </row>
    <row r="254" spans="1:12">
      <c r="A254" s="8">
        <v>45179</v>
      </c>
      <c r="B254" s="17">
        <f>Comb!C254</f>
        <v>0</v>
      </c>
      <c r="C254" s="17">
        <f>Tank!L255</f>
        <v>0</v>
      </c>
      <c r="D254" s="17">
        <f t="shared" si="31"/>
        <v>0</v>
      </c>
      <c r="E254" s="17">
        <f t="shared" si="32"/>
        <v>0</v>
      </c>
      <c r="F254" s="17">
        <f t="shared" si="36"/>
        <v>0</v>
      </c>
      <c r="G254" s="139">
        <f>Comb!E254</f>
        <v>0</v>
      </c>
      <c r="H254" s="139">
        <f>Tank!O255</f>
        <v>0</v>
      </c>
      <c r="I254" s="17">
        <f t="shared" si="37"/>
        <v>0</v>
      </c>
      <c r="J254" s="17">
        <f t="shared" si="33"/>
        <v>0</v>
      </c>
      <c r="K254" s="17">
        <f t="shared" si="34"/>
        <v>0</v>
      </c>
      <c r="L254" s="139">
        <f t="shared" si="35"/>
        <v>0</v>
      </c>
    </row>
    <row r="255" spans="1:12">
      <c r="A255" s="8">
        <v>45180</v>
      </c>
      <c r="B255" s="17">
        <f>Comb!C255</f>
        <v>0</v>
      </c>
      <c r="C255" s="17">
        <f>Tank!L256</f>
        <v>0</v>
      </c>
      <c r="D255" s="17">
        <f t="shared" si="31"/>
        <v>0</v>
      </c>
      <c r="E255" s="17">
        <f t="shared" si="32"/>
        <v>0</v>
      </c>
      <c r="F255" s="17">
        <f t="shared" si="36"/>
        <v>0</v>
      </c>
      <c r="G255" s="139">
        <f>Comb!E255</f>
        <v>0</v>
      </c>
      <c r="H255" s="139">
        <f>Tank!O256</f>
        <v>0</v>
      </c>
      <c r="I255" s="17">
        <f t="shared" si="37"/>
        <v>0</v>
      </c>
      <c r="J255" s="17">
        <f t="shared" si="33"/>
        <v>0</v>
      </c>
      <c r="K255" s="17">
        <f t="shared" si="34"/>
        <v>0</v>
      </c>
      <c r="L255" s="139">
        <f t="shared" si="35"/>
        <v>0</v>
      </c>
    </row>
    <row r="256" spans="1:12">
      <c r="A256" s="8">
        <v>45181</v>
      </c>
      <c r="B256" s="17">
        <f>Comb!C256</f>
        <v>0</v>
      </c>
      <c r="C256" s="17">
        <f>Tank!L257</f>
        <v>0</v>
      </c>
      <c r="D256" s="17">
        <f t="shared" si="31"/>
        <v>0</v>
      </c>
      <c r="E256" s="17">
        <f t="shared" si="32"/>
        <v>0</v>
      </c>
      <c r="F256" s="17">
        <f t="shared" si="36"/>
        <v>0</v>
      </c>
      <c r="G256" s="139">
        <f>Comb!E256</f>
        <v>0</v>
      </c>
      <c r="H256" s="139">
        <f>Tank!O257</f>
        <v>0</v>
      </c>
      <c r="I256" s="17">
        <f t="shared" si="37"/>
        <v>0</v>
      </c>
      <c r="J256" s="17">
        <f t="shared" si="33"/>
        <v>0</v>
      </c>
      <c r="K256" s="17">
        <f t="shared" si="34"/>
        <v>0</v>
      </c>
      <c r="L256" s="139">
        <f t="shared" si="35"/>
        <v>0</v>
      </c>
    </row>
    <row r="257" spans="1:12">
      <c r="A257" s="8">
        <v>45182</v>
      </c>
      <c r="B257" s="17">
        <f>Comb!C257</f>
        <v>0</v>
      </c>
      <c r="C257" s="17">
        <f>Tank!L258</f>
        <v>0</v>
      </c>
      <c r="D257" s="17">
        <f t="shared" si="31"/>
        <v>0</v>
      </c>
      <c r="E257" s="17">
        <f t="shared" si="32"/>
        <v>0</v>
      </c>
      <c r="F257" s="17">
        <f t="shared" si="36"/>
        <v>0</v>
      </c>
      <c r="G257" s="139">
        <f>Comb!E257</f>
        <v>0</v>
      </c>
      <c r="H257" s="139">
        <f>Tank!O258</f>
        <v>0</v>
      </c>
      <c r="I257" s="17">
        <f t="shared" si="37"/>
        <v>0</v>
      </c>
      <c r="J257" s="17">
        <f t="shared" si="33"/>
        <v>0</v>
      </c>
      <c r="K257" s="17">
        <f t="shared" si="34"/>
        <v>0</v>
      </c>
      <c r="L257" s="139">
        <f t="shared" si="35"/>
        <v>0</v>
      </c>
    </row>
    <row r="258" spans="1:12">
      <c r="A258" s="8">
        <v>45183</v>
      </c>
      <c r="B258" s="17">
        <f>Comb!C258</f>
        <v>0</v>
      </c>
      <c r="C258" s="17">
        <f>Tank!L259</f>
        <v>0</v>
      </c>
      <c r="D258" s="17">
        <f t="shared" si="31"/>
        <v>0</v>
      </c>
      <c r="E258" s="17">
        <f t="shared" si="32"/>
        <v>0</v>
      </c>
      <c r="F258" s="17">
        <f t="shared" si="36"/>
        <v>0</v>
      </c>
      <c r="G258" s="139">
        <f>Comb!E258</f>
        <v>0</v>
      </c>
      <c r="H258" s="139">
        <f>Tank!O259</f>
        <v>0</v>
      </c>
      <c r="I258" s="17">
        <f t="shared" si="37"/>
        <v>0</v>
      </c>
      <c r="J258" s="17">
        <f t="shared" si="33"/>
        <v>0</v>
      </c>
      <c r="K258" s="17">
        <f t="shared" si="34"/>
        <v>0</v>
      </c>
      <c r="L258" s="139">
        <f t="shared" si="35"/>
        <v>0</v>
      </c>
    </row>
    <row r="259" spans="1:12">
      <c r="A259" s="8">
        <v>45184</v>
      </c>
      <c r="B259" s="17">
        <f>Comb!C259</f>
        <v>0</v>
      </c>
      <c r="C259" s="17">
        <f>Tank!L260</f>
        <v>0</v>
      </c>
      <c r="D259" s="17">
        <f t="shared" si="31"/>
        <v>0</v>
      </c>
      <c r="E259" s="17">
        <f t="shared" si="32"/>
        <v>0</v>
      </c>
      <c r="F259" s="17">
        <f t="shared" si="36"/>
        <v>0</v>
      </c>
      <c r="G259" s="139">
        <f>Comb!E259</f>
        <v>0</v>
      </c>
      <c r="H259" s="139">
        <f>Tank!O260</f>
        <v>0</v>
      </c>
      <c r="I259" s="17">
        <f t="shared" si="37"/>
        <v>0</v>
      </c>
      <c r="J259" s="17">
        <f t="shared" si="33"/>
        <v>0</v>
      </c>
      <c r="K259" s="17">
        <f t="shared" si="34"/>
        <v>0</v>
      </c>
      <c r="L259" s="139">
        <f t="shared" si="35"/>
        <v>0</v>
      </c>
    </row>
    <row r="260" spans="1:12">
      <c r="A260" s="8">
        <v>45185</v>
      </c>
      <c r="B260" s="17">
        <f>Comb!C260</f>
        <v>0</v>
      </c>
      <c r="C260" s="17">
        <f>Tank!L261</f>
        <v>0</v>
      </c>
      <c r="D260" s="17">
        <f t="shared" si="31"/>
        <v>0</v>
      </c>
      <c r="E260" s="17">
        <f t="shared" si="32"/>
        <v>0</v>
      </c>
      <c r="F260" s="17">
        <f t="shared" si="36"/>
        <v>0</v>
      </c>
      <c r="G260" s="139">
        <f>Comb!E260</f>
        <v>0</v>
      </c>
      <c r="H260" s="139">
        <f>Tank!O261</f>
        <v>0</v>
      </c>
      <c r="I260" s="17">
        <f t="shared" si="37"/>
        <v>0</v>
      </c>
      <c r="J260" s="17">
        <f t="shared" si="33"/>
        <v>0</v>
      </c>
      <c r="K260" s="17">
        <f t="shared" si="34"/>
        <v>0</v>
      </c>
      <c r="L260" s="139">
        <f t="shared" si="35"/>
        <v>0</v>
      </c>
    </row>
    <row r="261" spans="1:12">
      <c r="A261" s="8">
        <v>45186</v>
      </c>
      <c r="B261" s="17">
        <f>Comb!C261</f>
        <v>0</v>
      </c>
      <c r="C261" s="17">
        <f>Tank!L262</f>
        <v>0</v>
      </c>
      <c r="D261" s="17">
        <f t="shared" si="31"/>
        <v>0</v>
      </c>
      <c r="E261" s="17">
        <f t="shared" si="32"/>
        <v>0</v>
      </c>
      <c r="F261" s="17">
        <f t="shared" si="36"/>
        <v>0</v>
      </c>
      <c r="G261" s="139">
        <f>Comb!E261</f>
        <v>0</v>
      </c>
      <c r="H261" s="139">
        <f>Tank!O262</f>
        <v>0</v>
      </c>
      <c r="I261" s="17">
        <f t="shared" si="37"/>
        <v>0</v>
      </c>
      <c r="J261" s="17">
        <f t="shared" si="33"/>
        <v>0</v>
      </c>
      <c r="K261" s="17">
        <f t="shared" si="34"/>
        <v>0</v>
      </c>
      <c r="L261" s="139">
        <f t="shared" si="35"/>
        <v>0</v>
      </c>
    </row>
    <row r="262" spans="1:12">
      <c r="A262" s="8">
        <v>45187</v>
      </c>
      <c r="B262" s="17">
        <f>Comb!C262</f>
        <v>0</v>
      </c>
      <c r="C262" s="17">
        <f>Tank!L263</f>
        <v>0</v>
      </c>
      <c r="D262" s="17">
        <f t="shared" si="31"/>
        <v>0</v>
      </c>
      <c r="E262" s="17">
        <f t="shared" si="32"/>
        <v>0</v>
      </c>
      <c r="F262" s="17">
        <f t="shared" si="36"/>
        <v>0</v>
      </c>
      <c r="G262" s="139">
        <f>Comb!E262</f>
        <v>0</v>
      </c>
      <c r="H262" s="139">
        <f>Tank!O263</f>
        <v>0</v>
      </c>
      <c r="I262" s="17">
        <f t="shared" si="37"/>
        <v>0</v>
      </c>
      <c r="J262" s="17">
        <f t="shared" si="33"/>
        <v>0</v>
      </c>
      <c r="K262" s="17">
        <f t="shared" si="34"/>
        <v>0</v>
      </c>
      <c r="L262" s="139">
        <f t="shared" si="35"/>
        <v>0</v>
      </c>
    </row>
    <row r="263" spans="1:12">
      <c r="A263" s="8">
        <v>45188</v>
      </c>
      <c r="B263" s="17">
        <f>Comb!C263</f>
        <v>0</v>
      </c>
      <c r="C263" s="17">
        <f>Tank!L264</f>
        <v>0</v>
      </c>
      <c r="D263" s="17">
        <f t="shared" si="31"/>
        <v>0</v>
      </c>
      <c r="E263" s="17">
        <f t="shared" si="32"/>
        <v>0</v>
      </c>
      <c r="F263" s="17">
        <f t="shared" si="36"/>
        <v>0</v>
      </c>
      <c r="G263" s="139">
        <f>Comb!E263</f>
        <v>0</v>
      </c>
      <c r="H263" s="139">
        <f>Tank!O264</f>
        <v>0</v>
      </c>
      <c r="I263" s="17">
        <f t="shared" si="37"/>
        <v>0</v>
      </c>
      <c r="J263" s="17">
        <f t="shared" si="33"/>
        <v>0</v>
      </c>
      <c r="K263" s="17">
        <f t="shared" si="34"/>
        <v>0</v>
      </c>
      <c r="L263" s="139">
        <f t="shared" si="35"/>
        <v>0</v>
      </c>
    </row>
    <row r="264" spans="1:12">
      <c r="A264" s="8">
        <v>45189</v>
      </c>
      <c r="B264" s="17">
        <f>Comb!C264</f>
        <v>0</v>
      </c>
      <c r="C264" s="17">
        <f>Tank!L265</f>
        <v>0</v>
      </c>
      <c r="D264" s="17">
        <f t="shared" si="31"/>
        <v>0</v>
      </c>
      <c r="E264" s="17">
        <f t="shared" si="32"/>
        <v>0</v>
      </c>
      <c r="F264" s="17">
        <f t="shared" si="36"/>
        <v>0</v>
      </c>
      <c r="G264" s="139">
        <f>Comb!E264</f>
        <v>0</v>
      </c>
      <c r="H264" s="139">
        <f>Tank!O265</f>
        <v>0</v>
      </c>
      <c r="I264" s="17">
        <f t="shared" si="37"/>
        <v>0</v>
      </c>
      <c r="J264" s="17">
        <f t="shared" si="33"/>
        <v>0</v>
      </c>
      <c r="K264" s="17">
        <f t="shared" si="34"/>
        <v>0</v>
      </c>
      <c r="L264" s="139">
        <f t="shared" si="35"/>
        <v>0</v>
      </c>
    </row>
    <row r="265" spans="1:12">
      <c r="A265" s="8">
        <v>45190</v>
      </c>
      <c r="B265" s="17">
        <f>Comb!C265</f>
        <v>0</v>
      </c>
      <c r="C265" s="17">
        <f>Tank!L266</f>
        <v>0</v>
      </c>
      <c r="D265" s="17">
        <f t="shared" si="31"/>
        <v>0</v>
      </c>
      <c r="E265" s="17">
        <f t="shared" si="32"/>
        <v>0</v>
      </c>
      <c r="F265" s="17">
        <f t="shared" si="36"/>
        <v>0</v>
      </c>
      <c r="G265" s="139">
        <f>Comb!E265</f>
        <v>0</v>
      </c>
      <c r="H265" s="139">
        <f>Tank!O266</f>
        <v>0</v>
      </c>
      <c r="I265" s="17">
        <f t="shared" si="37"/>
        <v>0</v>
      </c>
      <c r="J265" s="17">
        <f t="shared" si="33"/>
        <v>0</v>
      </c>
      <c r="K265" s="17">
        <f t="shared" si="34"/>
        <v>0</v>
      </c>
      <c r="L265" s="139">
        <f t="shared" si="35"/>
        <v>0</v>
      </c>
    </row>
    <row r="266" spans="1:12">
      <c r="A266" s="8">
        <v>45191</v>
      </c>
      <c r="B266" s="17">
        <f>Comb!C266</f>
        <v>0</v>
      </c>
      <c r="C266" s="17">
        <f>Tank!L267</f>
        <v>0</v>
      </c>
      <c r="D266" s="17">
        <f t="shared" si="31"/>
        <v>0</v>
      </c>
      <c r="E266" s="17">
        <f t="shared" si="32"/>
        <v>0</v>
      </c>
      <c r="F266" s="17">
        <f t="shared" si="36"/>
        <v>0</v>
      </c>
      <c r="G266" s="139">
        <f>Comb!E266</f>
        <v>0</v>
      </c>
      <c r="H266" s="139">
        <f>Tank!O267</f>
        <v>0</v>
      </c>
      <c r="I266" s="17">
        <f t="shared" si="37"/>
        <v>0</v>
      </c>
      <c r="J266" s="17">
        <f t="shared" si="33"/>
        <v>0</v>
      </c>
      <c r="K266" s="17">
        <f t="shared" si="34"/>
        <v>0</v>
      </c>
      <c r="L266" s="139">
        <f t="shared" si="35"/>
        <v>0</v>
      </c>
    </row>
    <row r="267" spans="1:12">
      <c r="A267" s="8">
        <v>45192</v>
      </c>
      <c r="B267" s="17">
        <f>Comb!C267</f>
        <v>0</v>
      </c>
      <c r="C267" s="17">
        <f>Tank!L268</f>
        <v>0</v>
      </c>
      <c r="D267" s="17">
        <f t="shared" si="31"/>
        <v>0</v>
      </c>
      <c r="E267" s="17">
        <f t="shared" si="32"/>
        <v>0</v>
      </c>
      <c r="F267" s="17">
        <f t="shared" si="36"/>
        <v>0</v>
      </c>
      <c r="G267" s="139">
        <f>Comb!E267</f>
        <v>0</v>
      </c>
      <c r="H267" s="139">
        <f>Tank!O268</f>
        <v>0</v>
      </c>
      <c r="I267" s="17">
        <f t="shared" si="37"/>
        <v>0</v>
      </c>
      <c r="J267" s="17">
        <f t="shared" si="33"/>
        <v>0</v>
      </c>
      <c r="K267" s="17">
        <f t="shared" si="34"/>
        <v>0</v>
      </c>
      <c r="L267" s="139">
        <f t="shared" si="35"/>
        <v>0</v>
      </c>
    </row>
    <row r="268" spans="1:12">
      <c r="A268" s="8">
        <v>45193</v>
      </c>
      <c r="B268" s="17">
        <f>Comb!C268</f>
        <v>0</v>
      </c>
      <c r="C268" s="17">
        <f>Tank!L269</f>
        <v>0</v>
      </c>
      <c r="D268" s="17">
        <f t="shared" si="31"/>
        <v>0</v>
      </c>
      <c r="E268" s="17">
        <f t="shared" si="32"/>
        <v>0</v>
      </c>
      <c r="F268" s="17">
        <f t="shared" si="36"/>
        <v>0</v>
      </c>
      <c r="G268" s="139">
        <f>Comb!E268</f>
        <v>0</v>
      </c>
      <c r="H268" s="139">
        <f>Tank!O269</f>
        <v>0</v>
      </c>
      <c r="I268" s="17">
        <f t="shared" si="37"/>
        <v>0</v>
      </c>
      <c r="J268" s="17">
        <f t="shared" si="33"/>
        <v>0</v>
      </c>
      <c r="K268" s="17">
        <f t="shared" si="34"/>
        <v>0</v>
      </c>
      <c r="L268" s="139">
        <f t="shared" si="35"/>
        <v>0</v>
      </c>
    </row>
    <row r="269" spans="1:12">
      <c r="A269" s="8">
        <v>45194</v>
      </c>
      <c r="B269" s="17">
        <f>Comb!C269</f>
        <v>0</v>
      </c>
      <c r="C269" s="17">
        <f>Tank!L270</f>
        <v>0</v>
      </c>
      <c r="D269" s="17">
        <f t="shared" si="31"/>
        <v>0</v>
      </c>
      <c r="E269" s="17">
        <f t="shared" si="32"/>
        <v>0</v>
      </c>
      <c r="F269" s="17">
        <f t="shared" si="36"/>
        <v>0</v>
      </c>
      <c r="G269" s="139">
        <f>Comb!E269</f>
        <v>0</v>
      </c>
      <c r="H269" s="139">
        <f>Tank!O270</f>
        <v>0</v>
      </c>
      <c r="I269" s="17">
        <f t="shared" si="37"/>
        <v>0</v>
      </c>
      <c r="J269" s="17">
        <f t="shared" si="33"/>
        <v>0</v>
      </c>
      <c r="K269" s="17">
        <f t="shared" si="34"/>
        <v>0</v>
      </c>
      <c r="L269" s="139">
        <f t="shared" si="35"/>
        <v>0</v>
      </c>
    </row>
    <row r="270" spans="1:12">
      <c r="A270" s="8">
        <v>45195</v>
      </c>
      <c r="B270" s="17">
        <f>Comb!C270</f>
        <v>0</v>
      </c>
      <c r="C270" s="17">
        <f>Tank!L271</f>
        <v>0</v>
      </c>
      <c r="D270" s="17">
        <f t="shared" si="31"/>
        <v>0</v>
      </c>
      <c r="E270" s="17">
        <f t="shared" si="32"/>
        <v>0</v>
      </c>
      <c r="F270" s="17">
        <f t="shared" si="36"/>
        <v>0</v>
      </c>
      <c r="G270" s="139">
        <f>Comb!E270</f>
        <v>0</v>
      </c>
      <c r="H270" s="139">
        <f>Tank!O271</f>
        <v>0</v>
      </c>
      <c r="I270" s="17">
        <f t="shared" si="37"/>
        <v>0</v>
      </c>
      <c r="J270" s="17">
        <f t="shared" si="33"/>
        <v>0</v>
      </c>
      <c r="K270" s="17">
        <f t="shared" si="34"/>
        <v>0</v>
      </c>
      <c r="L270" s="139">
        <f t="shared" si="35"/>
        <v>0</v>
      </c>
    </row>
    <row r="271" spans="1:12">
      <c r="A271" s="8">
        <v>45196</v>
      </c>
      <c r="B271" s="17">
        <f>Comb!C271</f>
        <v>0</v>
      </c>
      <c r="C271" s="17">
        <f>Tank!L272</f>
        <v>0</v>
      </c>
      <c r="D271" s="17">
        <f t="shared" si="31"/>
        <v>0</v>
      </c>
      <c r="E271" s="17">
        <f t="shared" si="32"/>
        <v>0</v>
      </c>
      <c r="F271" s="17">
        <f t="shared" si="36"/>
        <v>0</v>
      </c>
      <c r="G271" s="139">
        <f>Comb!E271</f>
        <v>0</v>
      </c>
      <c r="H271" s="139">
        <f>Tank!O272</f>
        <v>0</v>
      </c>
      <c r="I271" s="17">
        <f t="shared" si="37"/>
        <v>0</v>
      </c>
      <c r="J271" s="17">
        <f t="shared" si="33"/>
        <v>0</v>
      </c>
      <c r="K271" s="17">
        <f t="shared" si="34"/>
        <v>0</v>
      </c>
      <c r="L271" s="139">
        <f t="shared" si="35"/>
        <v>0</v>
      </c>
    </row>
    <row r="272" spans="1:12">
      <c r="A272" s="8">
        <v>45197</v>
      </c>
      <c r="B272" s="17">
        <f>Comb!C272</f>
        <v>0</v>
      </c>
      <c r="C272" s="17">
        <f>Tank!L273</f>
        <v>0</v>
      </c>
      <c r="D272" s="17">
        <f t="shared" si="31"/>
        <v>0</v>
      </c>
      <c r="E272" s="17">
        <f t="shared" si="32"/>
        <v>0</v>
      </c>
      <c r="F272" s="17">
        <f t="shared" si="36"/>
        <v>0</v>
      </c>
      <c r="G272" s="139">
        <f>Comb!E272</f>
        <v>0</v>
      </c>
      <c r="H272" s="139">
        <f>Tank!O273</f>
        <v>0</v>
      </c>
      <c r="I272" s="17">
        <f t="shared" si="37"/>
        <v>0</v>
      </c>
      <c r="J272" s="17">
        <f t="shared" si="33"/>
        <v>0</v>
      </c>
      <c r="K272" s="17">
        <f t="shared" si="34"/>
        <v>0</v>
      </c>
      <c r="L272" s="139">
        <f t="shared" si="35"/>
        <v>0</v>
      </c>
    </row>
    <row r="273" spans="1:12">
      <c r="A273" s="8">
        <v>45198</v>
      </c>
      <c r="B273" s="17">
        <f>Comb!C273</f>
        <v>0</v>
      </c>
      <c r="C273" s="17">
        <f>Tank!L274</f>
        <v>0</v>
      </c>
      <c r="D273" s="17">
        <f t="shared" si="31"/>
        <v>0</v>
      </c>
      <c r="E273" s="17">
        <f t="shared" si="32"/>
        <v>0</v>
      </c>
      <c r="F273" s="17">
        <f t="shared" si="36"/>
        <v>0</v>
      </c>
      <c r="G273" s="139">
        <f>Comb!E273</f>
        <v>0</v>
      </c>
      <c r="H273" s="139">
        <f>Tank!O274</f>
        <v>0</v>
      </c>
      <c r="I273" s="17">
        <f t="shared" si="37"/>
        <v>0</v>
      </c>
      <c r="J273" s="17">
        <f t="shared" si="33"/>
        <v>0</v>
      </c>
      <c r="K273" s="17">
        <f t="shared" si="34"/>
        <v>0</v>
      </c>
      <c r="L273" s="139">
        <f t="shared" si="35"/>
        <v>0</v>
      </c>
    </row>
    <row r="274" spans="1:12">
      <c r="A274" s="8">
        <v>45199</v>
      </c>
      <c r="B274" s="17">
        <f>Comb!C274</f>
        <v>0</v>
      </c>
      <c r="C274" s="17">
        <f>Tank!L275</f>
        <v>0</v>
      </c>
      <c r="D274" s="17">
        <f t="shared" si="31"/>
        <v>0</v>
      </c>
      <c r="E274" s="17">
        <f t="shared" si="32"/>
        <v>0</v>
      </c>
      <c r="F274" s="17">
        <f t="shared" si="36"/>
        <v>0</v>
      </c>
      <c r="G274" s="139">
        <f>Comb!E274</f>
        <v>0</v>
      </c>
      <c r="H274" s="139">
        <f>Tank!O275</f>
        <v>0</v>
      </c>
      <c r="I274" s="17">
        <f t="shared" si="37"/>
        <v>0</v>
      </c>
      <c r="J274" s="17">
        <f t="shared" si="33"/>
        <v>0</v>
      </c>
      <c r="K274" s="17">
        <f t="shared" si="34"/>
        <v>0</v>
      </c>
      <c r="L274" s="139">
        <f t="shared" si="35"/>
        <v>0</v>
      </c>
    </row>
    <row r="275" spans="1:12">
      <c r="A275" s="8">
        <v>45200</v>
      </c>
      <c r="B275" s="17">
        <f>Comb!C275</f>
        <v>0</v>
      </c>
      <c r="C275" s="17">
        <f>Tank!L276</f>
        <v>0</v>
      </c>
      <c r="D275" s="17">
        <f t="shared" ref="D275:D305" si="38">+CONVERT(B275,"m^3","gal")</f>
        <v>0</v>
      </c>
      <c r="E275" s="17">
        <f t="shared" ref="E275:E305" si="39">+CONVERT(C275,"m^3","gal")</f>
        <v>0</v>
      </c>
      <c r="F275" s="17">
        <f t="shared" si="36"/>
        <v>0</v>
      </c>
      <c r="G275" s="139">
        <f>Comb!E275</f>
        <v>0</v>
      </c>
      <c r="H275" s="139">
        <f>Tank!O276</f>
        <v>0</v>
      </c>
      <c r="I275" s="17">
        <f t="shared" si="37"/>
        <v>0</v>
      </c>
      <c r="J275" s="17">
        <f t="shared" ref="J275:J305" si="40">+CONVERT(G275,"m^3","gal")</f>
        <v>0</v>
      </c>
      <c r="K275" s="17">
        <f t="shared" ref="K275:K305" si="41">+CONVERT(H275,"m^3","gal")</f>
        <v>0</v>
      </c>
      <c r="L275" s="139">
        <f t="shared" ref="L275:L305" si="42">J275-K275</f>
        <v>0</v>
      </c>
    </row>
    <row r="276" spans="1:12">
      <c r="A276" s="8">
        <v>45201</v>
      </c>
      <c r="B276" s="17">
        <f>Comb!C276</f>
        <v>0</v>
      </c>
      <c r="C276" s="17">
        <f>Tank!L277</f>
        <v>0</v>
      </c>
      <c r="D276" s="17">
        <f t="shared" si="38"/>
        <v>0</v>
      </c>
      <c r="E276" s="17">
        <f t="shared" si="39"/>
        <v>0</v>
      </c>
      <c r="F276" s="17">
        <f t="shared" si="36"/>
        <v>0</v>
      </c>
      <c r="G276" s="139">
        <f>Comb!E276</f>
        <v>0</v>
      </c>
      <c r="H276" s="139">
        <f>Tank!O277</f>
        <v>0</v>
      </c>
      <c r="I276" s="17">
        <f t="shared" si="37"/>
        <v>0</v>
      </c>
      <c r="J276" s="17">
        <f t="shared" si="40"/>
        <v>0</v>
      </c>
      <c r="K276" s="17">
        <f t="shared" si="41"/>
        <v>0</v>
      </c>
      <c r="L276" s="139">
        <f t="shared" si="42"/>
        <v>0</v>
      </c>
    </row>
    <row r="277" spans="1:12">
      <c r="A277" s="8">
        <v>45202</v>
      </c>
      <c r="B277" s="17">
        <f>Comb!C277</f>
        <v>0</v>
      </c>
      <c r="C277" s="17">
        <f>Tank!L278</f>
        <v>0</v>
      </c>
      <c r="D277" s="17">
        <f t="shared" si="38"/>
        <v>0</v>
      </c>
      <c r="E277" s="17">
        <f t="shared" si="39"/>
        <v>0</v>
      </c>
      <c r="F277" s="17">
        <f t="shared" si="36"/>
        <v>0</v>
      </c>
      <c r="G277" s="139">
        <f>Comb!E277</f>
        <v>0</v>
      </c>
      <c r="H277" s="139">
        <f>Tank!O278</f>
        <v>0</v>
      </c>
      <c r="I277" s="17">
        <f t="shared" si="37"/>
        <v>0</v>
      </c>
      <c r="J277" s="17">
        <f t="shared" si="40"/>
        <v>0</v>
      </c>
      <c r="K277" s="17">
        <f t="shared" si="41"/>
        <v>0</v>
      </c>
      <c r="L277" s="139">
        <f t="shared" si="42"/>
        <v>0</v>
      </c>
    </row>
    <row r="278" spans="1:12">
      <c r="A278" s="8">
        <v>45203</v>
      </c>
      <c r="B278" s="17">
        <f>Comb!C278</f>
        <v>0</v>
      </c>
      <c r="C278" s="17">
        <f>Tank!L279</f>
        <v>0</v>
      </c>
      <c r="D278" s="17">
        <f t="shared" si="38"/>
        <v>0</v>
      </c>
      <c r="E278" s="17">
        <f t="shared" si="39"/>
        <v>0</v>
      </c>
      <c r="F278" s="17">
        <f t="shared" si="36"/>
        <v>0</v>
      </c>
      <c r="G278" s="139">
        <f>Comb!E278</f>
        <v>0</v>
      </c>
      <c r="H278" s="139">
        <f>Tank!O279</f>
        <v>0</v>
      </c>
      <c r="I278" s="17">
        <f t="shared" si="37"/>
        <v>0</v>
      </c>
      <c r="J278" s="17">
        <f t="shared" si="40"/>
        <v>0</v>
      </c>
      <c r="K278" s="17">
        <f t="shared" si="41"/>
        <v>0</v>
      </c>
      <c r="L278" s="139">
        <f t="shared" si="42"/>
        <v>0</v>
      </c>
    </row>
    <row r="279" spans="1:12">
      <c r="A279" s="8">
        <v>45204</v>
      </c>
      <c r="B279" s="17">
        <f>Comb!C279</f>
        <v>0</v>
      </c>
      <c r="C279" s="17">
        <f>Tank!L280</f>
        <v>0</v>
      </c>
      <c r="D279" s="17">
        <f t="shared" si="38"/>
        <v>0</v>
      </c>
      <c r="E279" s="17">
        <f t="shared" si="39"/>
        <v>0</v>
      </c>
      <c r="F279" s="17">
        <f t="shared" si="36"/>
        <v>0</v>
      </c>
      <c r="G279" s="139">
        <f>Comb!E279</f>
        <v>0</v>
      </c>
      <c r="H279" s="139">
        <f>Tank!O280</f>
        <v>0</v>
      </c>
      <c r="I279" s="17">
        <f t="shared" si="37"/>
        <v>0</v>
      </c>
      <c r="J279" s="17">
        <f t="shared" si="40"/>
        <v>0</v>
      </c>
      <c r="K279" s="17">
        <f t="shared" si="41"/>
        <v>0</v>
      </c>
      <c r="L279" s="139">
        <f t="shared" si="42"/>
        <v>0</v>
      </c>
    </row>
    <row r="280" spans="1:12">
      <c r="A280" s="8">
        <v>45205</v>
      </c>
      <c r="B280" s="17">
        <f>Comb!C280</f>
        <v>0</v>
      </c>
      <c r="C280" s="17">
        <f>Tank!L281</f>
        <v>0</v>
      </c>
      <c r="D280" s="17">
        <f t="shared" si="38"/>
        <v>0</v>
      </c>
      <c r="E280" s="17">
        <f t="shared" si="39"/>
        <v>0</v>
      </c>
      <c r="F280" s="17">
        <f t="shared" si="36"/>
        <v>0</v>
      </c>
      <c r="G280" s="139">
        <f>Comb!E280</f>
        <v>0</v>
      </c>
      <c r="H280" s="139">
        <f>Tank!O281</f>
        <v>0</v>
      </c>
      <c r="I280" s="17">
        <f t="shared" si="37"/>
        <v>0</v>
      </c>
      <c r="J280" s="17">
        <f t="shared" si="40"/>
        <v>0</v>
      </c>
      <c r="K280" s="17">
        <f t="shared" si="41"/>
        <v>0</v>
      </c>
      <c r="L280" s="139">
        <f t="shared" si="42"/>
        <v>0</v>
      </c>
    </row>
    <row r="281" spans="1:12">
      <c r="A281" s="8">
        <v>45206</v>
      </c>
      <c r="B281" s="17">
        <f>Comb!C281</f>
        <v>0</v>
      </c>
      <c r="C281" s="17">
        <f>Tank!L282</f>
        <v>0</v>
      </c>
      <c r="D281" s="17">
        <f t="shared" si="38"/>
        <v>0</v>
      </c>
      <c r="E281" s="17">
        <f t="shared" si="39"/>
        <v>0</v>
      </c>
      <c r="F281" s="17">
        <f t="shared" si="36"/>
        <v>0</v>
      </c>
      <c r="G281" s="139">
        <f>Comb!E281</f>
        <v>0</v>
      </c>
      <c r="H281" s="139">
        <f>Tank!O282</f>
        <v>0</v>
      </c>
      <c r="I281" s="17">
        <f t="shared" si="37"/>
        <v>0</v>
      </c>
      <c r="J281" s="17">
        <f t="shared" si="40"/>
        <v>0</v>
      </c>
      <c r="K281" s="17">
        <f t="shared" si="41"/>
        <v>0</v>
      </c>
      <c r="L281" s="139">
        <f t="shared" si="42"/>
        <v>0</v>
      </c>
    </row>
    <row r="282" spans="1:12">
      <c r="A282" s="8">
        <v>45207</v>
      </c>
      <c r="B282" s="17">
        <f>Comb!C282</f>
        <v>0</v>
      </c>
      <c r="C282" s="17">
        <f>Tank!L283</f>
        <v>0</v>
      </c>
      <c r="D282" s="17">
        <f t="shared" si="38"/>
        <v>0</v>
      </c>
      <c r="E282" s="17">
        <f t="shared" si="39"/>
        <v>0</v>
      </c>
      <c r="F282" s="17">
        <f t="shared" si="36"/>
        <v>0</v>
      </c>
      <c r="G282" s="139">
        <f>Comb!E282</f>
        <v>0</v>
      </c>
      <c r="H282" s="139">
        <f>Tank!O283</f>
        <v>0</v>
      </c>
      <c r="I282" s="17">
        <f t="shared" si="37"/>
        <v>0</v>
      </c>
      <c r="J282" s="17">
        <f t="shared" si="40"/>
        <v>0</v>
      </c>
      <c r="K282" s="17">
        <f t="shared" si="41"/>
        <v>0</v>
      </c>
      <c r="L282" s="139">
        <f t="shared" si="42"/>
        <v>0</v>
      </c>
    </row>
    <row r="283" spans="1:12">
      <c r="A283" s="8">
        <v>45208</v>
      </c>
      <c r="B283" s="17">
        <f>Comb!C283</f>
        <v>0</v>
      </c>
      <c r="C283" s="17">
        <f>Tank!L284</f>
        <v>0</v>
      </c>
      <c r="D283" s="17">
        <f t="shared" si="38"/>
        <v>0</v>
      </c>
      <c r="E283" s="17">
        <f t="shared" si="39"/>
        <v>0</v>
      </c>
      <c r="F283" s="17">
        <f t="shared" si="36"/>
        <v>0</v>
      </c>
      <c r="G283" s="139">
        <f>Comb!E283</f>
        <v>0</v>
      </c>
      <c r="H283" s="139">
        <f>Tank!O284</f>
        <v>0</v>
      </c>
      <c r="I283" s="17">
        <f t="shared" si="37"/>
        <v>0</v>
      </c>
      <c r="J283" s="17">
        <f t="shared" si="40"/>
        <v>0</v>
      </c>
      <c r="K283" s="17">
        <f t="shared" si="41"/>
        <v>0</v>
      </c>
      <c r="L283" s="139">
        <f t="shared" si="42"/>
        <v>0</v>
      </c>
    </row>
    <row r="284" spans="1:12">
      <c r="A284" s="8">
        <v>45209</v>
      </c>
      <c r="B284" s="17">
        <f>Comb!C284</f>
        <v>0</v>
      </c>
      <c r="C284" s="17">
        <f>Tank!L285</f>
        <v>0</v>
      </c>
      <c r="D284" s="17">
        <f t="shared" si="38"/>
        <v>0</v>
      </c>
      <c r="E284" s="17">
        <f t="shared" si="39"/>
        <v>0</v>
      </c>
      <c r="F284" s="17">
        <f t="shared" si="36"/>
        <v>0</v>
      </c>
      <c r="G284" s="139">
        <f>Comb!E284</f>
        <v>0</v>
      </c>
      <c r="H284" s="139">
        <f>Tank!O285</f>
        <v>0</v>
      </c>
      <c r="I284" s="17">
        <f t="shared" si="37"/>
        <v>0</v>
      </c>
      <c r="J284" s="17">
        <f t="shared" si="40"/>
        <v>0</v>
      </c>
      <c r="K284" s="17">
        <f t="shared" si="41"/>
        <v>0</v>
      </c>
      <c r="L284" s="139">
        <f t="shared" si="42"/>
        <v>0</v>
      </c>
    </row>
    <row r="285" spans="1:12">
      <c r="A285" s="8">
        <v>45210</v>
      </c>
      <c r="B285" s="17">
        <f>Comb!C285</f>
        <v>0</v>
      </c>
      <c r="C285" s="17">
        <f>Tank!L286</f>
        <v>0</v>
      </c>
      <c r="D285" s="17">
        <f t="shared" si="38"/>
        <v>0</v>
      </c>
      <c r="E285" s="17">
        <f t="shared" si="39"/>
        <v>0</v>
      </c>
      <c r="F285" s="17">
        <f t="shared" si="36"/>
        <v>0</v>
      </c>
      <c r="G285" s="139">
        <f>Comb!E285</f>
        <v>0</v>
      </c>
      <c r="H285" s="139">
        <f>Tank!O286</f>
        <v>0</v>
      </c>
      <c r="I285" s="17">
        <f t="shared" si="37"/>
        <v>0</v>
      </c>
      <c r="J285" s="17">
        <f t="shared" si="40"/>
        <v>0</v>
      </c>
      <c r="K285" s="17">
        <f t="shared" si="41"/>
        <v>0</v>
      </c>
      <c r="L285" s="139">
        <f t="shared" si="42"/>
        <v>0</v>
      </c>
    </row>
    <row r="286" spans="1:12">
      <c r="A286" s="8">
        <v>45211</v>
      </c>
      <c r="B286" s="17">
        <f>Comb!C286</f>
        <v>0</v>
      </c>
      <c r="C286" s="17">
        <f>Tank!L287</f>
        <v>0</v>
      </c>
      <c r="D286" s="17">
        <f t="shared" si="38"/>
        <v>0</v>
      </c>
      <c r="E286" s="17">
        <f t="shared" si="39"/>
        <v>0</v>
      </c>
      <c r="F286" s="17">
        <f t="shared" si="36"/>
        <v>0</v>
      </c>
      <c r="G286" s="139">
        <f>Comb!E286</f>
        <v>0</v>
      </c>
      <c r="H286" s="139">
        <f>Tank!O287</f>
        <v>0</v>
      </c>
      <c r="I286" s="17">
        <f t="shared" si="37"/>
        <v>0</v>
      </c>
      <c r="J286" s="17">
        <f t="shared" si="40"/>
        <v>0</v>
      </c>
      <c r="K286" s="17">
        <f t="shared" si="41"/>
        <v>0</v>
      </c>
      <c r="L286" s="139">
        <f t="shared" si="42"/>
        <v>0</v>
      </c>
    </row>
    <row r="287" spans="1:12">
      <c r="A287" s="8">
        <v>45212</v>
      </c>
      <c r="B287" s="17">
        <f>Comb!C287</f>
        <v>0</v>
      </c>
      <c r="C287" s="17">
        <f>Tank!L288</f>
        <v>0</v>
      </c>
      <c r="D287" s="17">
        <f t="shared" si="38"/>
        <v>0</v>
      </c>
      <c r="E287" s="17">
        <f t="shared" si="39"/>
        <v>0</v>
      </c>
      <c r="F287" s="17">
        <f t="shared" si="36"/>
        <v>0</v>
      </c>
      <c r="G287" s="139">
        <f>Comb!E287</f>
        <v>0</v>
      </c>
      <c r="H287" s="139">
        <f>Tank!O288</f>
        <v>0</v>
      </c>
      <c r="I287" s="17">
        <f t="shared" si="37"/>
        <v>0</v>
      </c>
      <c r="J287" s="17">
        <f t="shared" si="40"/>
        <v>0</v>
      </c>
      <c r="K287" s="17">
        <f t="shared" si="41"/>
        <v>0</v>
      </c>
      <c r="L287" s="139">
        <f t="shared" si="42"/>
        <v>0</v>
      </c>
    </row>
    <row r="288" spans="1:12">
      <c r="A288" s="8">
        <v>45213</v>
      </c>
      <c r="B288" s="17">
        <f>Comb!C288</f>
        <v>0</v>
      </c>
      <c r="C288" s="17">
        <f>Tank!L289</f>
        <v>0</v>
      </c>
      <c r="D288" s="17">
        <f t="shared" si="38"/>
        <v>0</v>
      </c>
      <c r="E288" s="17">
        <f t="shared" si="39"/>
        <v>0</v>
      </c>
      <c r="F288" s="17">
        <f t="shared" si="36"/>
        <v>0</v>
      </c>
      <c r="G288" s="139">
        <f>Comb!E288</f>
        <v>0</v>
      </c>
      <c r="H288" s="139">
        <f>Tank!O289</f>
        <v>0</v>
      </c>
      <c r="I288" s="17">
        <f t="shared" si="37"/>
        <v>0</v>
      </c>
      <c r="J288" s="17">
        <f t="shared" si="40"/>
        <v>0</v>
      </c>
      <c r="K288" s="17">
        <f t="shared" si="41"/>
        <v>0</v>
      </c>
      <c r="L288" s="139">
        <f t="shared" si="42"/>
        <v>0</v>
      </c>
    </row>
    <row r="289" spans="1:12">
      <c r="A289" s="8">
        <v>45214</v>
      </c>
      <c r="B289" s="17">
        <f>Comb!C289</f>
        <v>0</v>
      </c>
      <c r="C289" s="17">
        <f>Tank!L290</f>
        <v>0</v>
      </c>
      <c r="D289" s="17">
        <f t="shared" si="38"/>
        <v>0</v>
      </c>
      <c r="E289" s="17">
        <f t="shared" si="39"/>
        <v>0</v>
      </c>
      <c r="F289" s="17">
        <f t="shared" si="36"/>
        <v>0</v>
      </c>
      <c r="G289" s="139">
        <f>Comb!E289</f>
        <v>0</v>
      </c>
      <c r="H289" s="139">
        <f>Tank!O290</f>
        <v>0</v>
      </c>
      <c r="I289" s="17">
        <f t="shared" si="37"/>
        <v>0</v>
      </c>
      <c r="J289" s="17">
        <f t="shared" si="40"/>
        <v>0</v>
      </c>
      <c r="K289" s="17">
        <f t="shared" si="41"/>
        <v>0</v>
      </c>
      <c r="L289" s="139">
        <f t="shared" si="42"/>
        <v>0</v>
      </c>
    </row>
    <row r="290" spans="1:12">
      <c r="A290" s="8">
        <v>45215</v>
      </c>
      <c r="B290" s="17">
        <f>Comb!C290</f>
        <v>0</v>
      </c>
      <c r="C290" s="17">
        <f>Tank!L291</f>
        <v>0</v>
      </c>
      <c r="D290" s="17">
        <f t="shared" si="38"/>
        <v>0</v>
      </c>
      <c r="E290" s="17">
        <f t="shared" si="39"/>
        <v>0</v>
      </c>
      <c r="F290" s="17">
        <f t="shared" si="36"/>
        <v>0</v>
      </c>
      <c r="G290" s="139">
        <f>Comb!E290</f>
        <v>0</v>
      </c>
      <c r="H290" s="139">
        <f>Tank!O291</f>
        <v>0</v>
      </c>
      <c r="I290" s="17">
        <f t="shared" si="37"/>
        <v>0</v>
      </c>
      <c r="J290" s="17">
        <f t="shared" si="40"/>
        <v>0</v>
      </c>
      <c r="K290" s="17">
        <f t="shared" si="41"/>
        <v>0</v>
      </c>
      <c r="L290" s="139">
        <f t="shared" si="42"/>
        <v>0</v>
      </c>
    </row>
    <row r="291" spans="1:12">
      <c r="A291" s="8">
        <v>45216</v>
      </c>
      <c r="B291" s="17">
        <f>Comb!C291</f>
        <v>0</v>
      </c>
      <c r="C291" s="17">
        <f>Tank!L292</f>
        <v>0</v>
      </c>
      <c r="D291" s="17">
        <f t="shared" si="38"/>
        <v>0</v>
      </c>
      <c r="E291" s="17">
        <f t="shared" si="39"/>
        <v>0</v>
      </c>
      <c r="F291" s="17">
        <f t="shared" si="36"/>
        <v>0</v>
      </c>
      <c r="G291" s="139">
        <f>Comb!E291</f>
        <v>0</v>
      </c>
      <c r="H291" s="139">
        <f>Tank!O292</f>
        <v>0</v>
      </c>
      <c r="I291" s="17">
        <f t="shared" si="37"/>
        <v>0</v>
      </c>
      <c r="J291" s="17">
        <f t="shared" si="40"/>
        <v>0</v>
      </c>
      <c r="K291" s="17">
        <f t="shared" si="41"/>
        <v>0</v>
      </c>
      <c r="L291" s="139">
        <f t="shared" si="42"/>
        <v>0</v>
      </c>
    </row>
    <row r="292" spans="1:12">
      <c r="A292" s="8">
        <v>45217</v>
      </c>
      <c r="B292" s="17">
        <f>Comb!C292</f>
        <v>0</v>
      </c>
      <c r="C292" s="17">
        <f>Tank!L293</f>
        <v>0</v>
      </c>
      <c r="D292" s="17">
        <f t="shared" si="38"/>
        <v>0</v>
      </c>
      <c r="E292" s="17">
        <f t="shared" si="39"/>
        <v>0</v>
      </c>
      <c r="F292" s="17">
        <f t="shared" si="36"/>
        <v>0</v>
      </c>
      <c r="G292" s="139">
        <f>Comb!E292</f>
        <v>0</v>
      </c>
      <c r="H292" s="139">
        <f>Tank!O293</f>
        <v>0</v>
      </c>
      <c r="I292" s="17">
        <f t="shared" si="37"/>
        <v>0</v>
      </c>
      <c r="J292" s="17">
        <f t="shared" si="40"/>
        <v>0</v>
      </c>
      <c r="K292" s="17">
        <f t="shared" si="41"/>
        <v>0</v>
      </c>
      <c r="L292" s="139">
        <f t="shared" si="42"/>
        <v>0</v>
      </c>
    </row>
    <row r="293" spans="1:12">
      <c r="A293" s="8">
        <v>45218</v>
      </c>
      <c r="B293" s="17">
        <f>Comb!C293</f>
        <v>0</v>
      </c>
      <c r="C293" s="17">
        <f>Tank!L294</f>
        <v>0</v>
      </c>
      <c r="D293" s="17">
        <f t="shared" si="38"/>
        <v>0</v>
      </c>
      <c r="E293" s="17">
        <f t="shared" si="39"/>
        <v>0</v>
      </c>
      <c r="F293" s="17">
        <f t="shared" si="36"/>
        <v>0</v>
      </c>
      <c r="G293" s="139">
        <f>Comb!E293</f>
        <v>0</v>
      </c>
      <c r="H293" s="139">
        <f>Tank!O294</f>
        <v>0</v>
      </c>
      <c r="I293" s="17">
        <f t="shared" si="37"/>
        <v>0</v>
      </c>
      <c r="J293" s="17">
        <f t="shared" si="40"/>
        <v>0</v>
      </c>
      <c r="K293" s="17">
        <f t="shared" si="41"/>
        <v>0</v>
      </c>
      <c r="L293" s="139">
        <f t="shared" si="42"/>
        <v>0</v>
      </c>
    </row>
    <row r="294" spans="1:12">
      <c r="A294" s="8">
        <v>45219</v>
      </c>
      <c r="B294" s="17">
        <f>Comb!C294</f>
        <v>0</v>
      </c>
      <c r="C294" s="17">
        <f>Tank!L295</f>
        <v>0</v>
      </c>
      <c r="D294" s="17">
        <f t="shared" si="38"/>
        <v>0</v>
      </c>
      <c r="E294" s="17">
        <f t="shared" si="39"/>
        <v>0</v>
      </c>
      <c r="F294" s="17">
        <f t="shared" si="36"/>
        <v>0</v>
      </c>
      <c r="G294" s="139">
        <f>Comb!E294</f>
        <v>0</v>
      </c>
      <c r="H294" s="139">
        <f>Tank!O295</f>
        <v>0</v>
      </c>
      <c r="I294" s="17">
        <f t="shared" si="37"/>
        <v>0</v>
      </c>
      <c r="J294" s="17">
        <f t="shared" si="40"/>
        <v>0</v>
      </c>
      <c r="K294" s="17">
        <f t="shared" si="41"/>
        <v>0</v>
      </c>
      <c r="L294" s="139">
        <f t="shared" si="42"/>
        <v>0</v>
      </c>
    </row>
    <row r="295" spans="1:12">
      <c r="A295" s="8">
        <v>45220</v>
      </c>
      <c r="B295" s="17">
        <f>Comb!C295</f>
        <v>0</v>
      </c>
      <c r="C295" s="17">
        <f>Tank!L296</f>
        <v>0</v>
      </c>
      <c r="D295" s="17">
        <f t="shared" si="38"/>
        <v>0</v>
      </c>
      <c r="E295" s="17">
        <f t="shared" si="39"/>
        <v>0</v>
      </c>
      <c r="F295" s="17">
        <f t="shared" si="36"/>
        <v>0</v>
      </c>
      <c r="G295" s="139">
        <f>Comb!E295</f>
        <v>0</v>
      </c>
      <c r="H295" s="139">
        <f>Tank!O296</f>
        <v>0</v>
      </c>
      <c r="I295" s="17">
        <f t="shared" si="37"/>
        <v>0</v>
      </c>
      <c r="J295" s="17">
        <f t="shared" si="40"/>
        <v>0</v>
      </c>
      <c r="K295" s="17">
        <f t="shared" si="41"/>
        <v>0</v>
      </c>
      <c r="L295" s="139">
        <f t="shared" si="42"/>
        <v>0</v>
      </c>
    </row>
    <row r="296" spans="1:12">
      <c r="A296" s="8">
        <v>45221</v>
      </c>
      <c r="B296" s="17">
        <f>Comb!C296</f>
        <v>0</v>
      </c>
      <c r="C296" s="17">
        <f>Tank!L297</f>
        <v>0</v>
      </c>
      <c r="D296" s="17">
        <f t="shared" si="38"/>
        <v>0</v>
      </c>
      <c r="E296" s="17">
        <f t="shared" si="39"/>
        <v>0</v>
      </c>
      <c r="F296" s="17">
        <f t="shared" si="36"/>
        <v>0</v>
      </c>
      <c r="G296" s="139">
        <f>Comb!E296</f>
        <v>0</v>
      </c>
      <c r="H296" s="139">
        <f>Tank!O297</f>
        <v>0</v>
      </c>
      <c r="I296" s="17">
        <f t="shared" si="37"/>
        <v>0</v>
      </c>
      <c r="J296" s="17">
        <f t="shared" si="40"/>
        <v>0</v>
      </c>
      <c r="K296" s="17">
        <f t="shared" si="41"/>
        <v>0</v>
      </c>
      <c r="L296" s="139">
        <f t="shared" si="42"/>
        <v>0</v>
      </c>
    </row>
    <row r="297" spans="1:12">
      <c r="A297" s="8">
        <v>45222</v>
      </c>
      <c r="B297" s="17">
        <f>Comb!C297</f>
        <v>0</v>
      </c>
      <c r="C297" s="17">
        <f>Tank!L298</f>
        <v>0</v>
      </c>
      <c r="D297" s="17">
        <f t="shared" si="38"/>
        <v>0</v>
      </c>
      <c r="E297" s="17">
        <f t="shared" si="39"/>
        <v>0</v>
      </c>
      <c r="F297" s="17">
        <f t="shared" si="36"/>
        <v>0</v>
      </c>
      <c r="G297" s="139">
        <f>Comb!E297</f>
        <v>0</v>
      </c>
      <c r="H297" s="139">
        <f>Tank!O298</f>
        <v>0</v>
      </c>
      <c r="I297" s="17">
        <f t="shared" si="37"/>
        <v>0</v>
      </c>
      <c r="J297" s="17">
        <f t="shared" si="40"/>
        <v>0</v>
      </c>
      <c r="K297" s="17">
        <f t="shared" si="41"/>
        <v>0</v>
      </c>
      <c r="L297" s="139">
        <f t="shared" si="42"/>
        <v>0</v>
      </c>
    </row>
    <row r="298" spans="1:12">
      <c r="A298" s="8">
        <v>45223</v>
      </c>
      <c r="B298" s="17">
        <f>Comb!C298</f>
        <v>0</v>
      </c>
      <c r="C298" s="17">
        <f>Tank!L299</f>
        <v>0</v>
      </c>
      <c r="D298" s="17">
        <f>+CONVERT(B298,"m^3","gal")</f>
        <v>0</v>
      </c>
      <c r="E298" s="17">
        <f>+CONVERT(C298,"m^3","gal")</f>
        <v>0</v>
      </c>
      <c r="F298" s="17">
        <f t="shared" si="36"/>
        <v>0</v>
      </c>
      <c r="G298" s="139">
        <f>Comb!E298</f>
        <v>0</v>
      </c>
      <c r="H298" s="139">
        <f>Tank!O299</f>
        <v>0</v>
      </c>
      <c r="I298" s="17">
        <f t="shared" si="37"/>
        <v>0</v>
      </c>
      <c r="J298" s="17">
        <f t="shared" si="40"/>
        <v>0</v>
      </c>
      <c r="K298" s="17">
        <f t="shared" si="41"/>
        <v>0</v>
      </c>
      <c r="L298" s="139">
        <f t="shared" si="42"/>
        <v>0</v>
      </c>
    </row>
    <row r="299" spans="1:12">
      <c r="A299" s="8">
        <v>45224</v>
      </c>
      <c r="B299" s="17">
        <f>Comb!C299</f>
        <v>0</v>
      </c>
      <c r="C299" s="17">
        <f>Tank!L300</f>
        <v>0</v>
      </c>
      <c r="D299" s="17">
        <f t="shared" si="38"/>
        <v>0</v>
      </c>
      <c r="E299" s="17">
        <f t="shared" si="39"/>
        <v>0</v>
      </c>
      <c r="F299" s="17">
        <f t="shared" si="36"/>
        <v>0</v>
      </c>
      <c r="G299" s="139">
        <f>Comb!E299</f>
        <v>0</v>
      </c>
      <c r="H299" s="139">
        <f>Tank!O300</f>
        <v>0</v>
      </c>
      <c r="I299" s="17">
        <f t="shared" si="37"/>
        <v>0</v>
      </c>
      <c r="J299" s="17">
        <f t="shared" si="40"/>
        <v>0</v>
      </c>
      <c r="K299" s="17">
        <f t="shared" si="41"/>
        <v>0</v>
      </c>
      <c r="L299" s="139">
        <f t="shared" si="42"/>
        <v>0</v>
      </c>
    </row>
    <row r="300" spans="1:12">
      <c r="A300" s="8">
        <v>45225</v>
      </c>
      <c r="B300" s="17">
        <f>Comb!C300</f>
        <v>0</v>
      </c>
      <c r="C300" s="17">
        <f>Tank!L301</f>
        <v>0</v>
      </c>
      <c r="D300" s="17">
        <f t="shared" si="38"/>
        <v>0</v>
      </c>
      <c r="E300" s="17">
        <f t="shared" si="39"/>
        <v>0</v>
      </c>
      <c r="F300" s="17">
        <f t="shared" si="36"/>
        <v>0</v>
      </c>
      <c r="G300" s="139">
        <f>Comb!E300</f>
        <v>0</v>
      </c>
      <c r="H300" s="139">
        <f>Tank!O301</f>
        <v>0</v>
      </c>
      <c r="I300" s="17">
        <f t="shared" si="37"/>
        <v>0</v>
      </c>
      <c r="J300" s="17">
        <f t="shared" si="40"/>
        <v>0</v>
      </c>
      <c r="K300" s="17">
        <f t="shared" si="41"/>
        <v>0</v>
      </c>
      <c r="L300" s="139">
        <f t="shared" si="42"/>
        <v>0</v>
      </c>
    </row>
    <row r="301" spans="1:12">
      <c r="A301" s="8">
        <v>45226</v>
      </c>
      <c r="B301" s="17">
        <f>Comb!C301</f>
        <v>0</v>
      </c>
      <c r="C301" s="17">
        <f>Tank!L302</f>
        <v>0</v>
      </c>
      <c r="D301" s="17">
        <f t="shared" si="38"/>
        <v>0</v>
      </c>
      <c r="E301" s="17">
        <f t="shared" si="39"/>
        <v>0</v>
      </c>
      <c r="F301" s="17">
        <f t="shared" si="36"/>
        <v>0</v>
      </c>
      <c r="G301" s="139">
        <f>Comb!E301</f>
        <v>0</v>
      </c>
      <c r="H301" s="139">
        <f>Tank!O302</f>
        <v>0</v>
      </c>
      <c r="I301" s="17">
        <f t="shared" si="37"/>
        <v>0</v>
      </c>
      <c r="J301" s="17">
        <f t="shared" si="40"/>
        <v>0</v>
      </c>
      <c r="K301" s="17">
        <f t="shared" si="41"/>
        <v>0</v>
      </c>
      <c r="L301" s="139">
        <f t="shared" si="42"/>
        <v>0</v>
      </c>
    </row>
    <row r="302" spans="1:12">
      <c r="A302" s="8">
        <v>45227</v>
      </c>
      <c r="B302" s="17">
        <f>Comb!C302</f>
        <v>0</v>
      </c>
      <c r="C302" s="17">
        <f>Tank!L303</f>
        <v>0</v>
      </c>
      <c r="D302" s="17">
        <f t="shared" si="38"/>
        <v>0</v>
      </c>
      <c r="E302" s="17">
        <f t="shared" si="39"/>
        <v>0</v>
      </c>
      <c r="F302" s="17">
        <f t="shared" si="36"/>
        <v>0</v>
      </c>
      <c r="G302" s="139">
        <f>Comb!E302</f>
        <v>0</v>
      </c>
      <c r="H302" s="139">
        <f>Tank!O303</f>
        <v>0</v>
      </c>
      <c r="I302" s="17">
        <f t="shared" si="37"/>
        <v>0</v>
      </c>
      <c r="J302" s="17">
        <f t="shared" si="40"/>
        <v>0</v>
      </c>
      <c r="K302" s="17">
        <f t="shared" si="41"/>
        <v>0</v>
      </c>
      <c r="L302" s="139">
        <f t="shared" si="42"/>
        <v>0</v>
      </c>
    </row>
    <row r="303" spans="1:12">
      <c r="A303" s="8">
        <v>45228</v>
      </c>
      <c r="B303" s="17">
        <f>Comb!C303</f>
        <v>0</v>
      </c>
      <c r="C303" s="17">
        <f>Tank!L304</f>
        <v>0</v>
      </c>
      <c r="D303" s="17">
        <f t="shared" si="38"/>
        <v>0</v>
      </c>
      <c r="E303" s="17">
        <f t="shared" si="39"/>
        <v>0</v>
      </c>
      <c r="F303" s="17">
        <f t="shared" si="36"/>
        <v>0</v>
      </c>
      <c r="G303" s="139">
        <f>Comb!E303</f>
        <v>0</v>
      </c>
      <c r="H303" s="139">
        <f>Tank!O304</f>
        <v>0</v>
      </c>
      <c r="I303" s="17">
        <f t="shared" si="37"/>
        <v>0</v>
      </c>
      <c r="J303" s="17">
        <f t="shared" si="40"/>
        <v>0</v>
      </c>
      <c r="K303" s="17">
        <f t="shared" si="41"/>
        <v>0</v>
      </c>
      <c r="L303" s="139">
        <f>J303-K303</f>
        <v>0</v>
      </c>
    </row>
    <row r="304" spans="1:12">
      <c r="A304" s="8">
        <v>45229</v>
      </c>
      <c r="B304" s="17">
        <f>Comb!C304</f>
        <v>0</v>
      </c>
      <c r="C304" s="17">
        <f>Tank!L305</f>
        <v>0</v>
      </c>
      <c r="D304" s="17">
        <f t="shared" si="38"/>
        <v>0</v>
      </c>
      <c r="E304" s="17">
        <f t="shared" si="39"/>
        <v>0</v>
      </c>
      <c r="F304" s="17">
        <f t="shared" si="36"/>
        <v>0</v>
      </c>
      <c r="G304" s="139">
        <f>Comb!E304</f>
        <v>0</v>
      </c>
      <c r="H304" s="139">
        <f>Tank!O305</f>
        <v>0</v>
      </c>
      <c r="I304" s="17">
        <f t="shared" si="37"/>
        <v>0</v>
      </c>
      <c r="J304" s="17">
        <f t="shared" si="40"/>
        <v>0</v>
      </c>
      <c r="K304" s="17">
        <f t="shared" si="41"/>
        <v>0</v>
      </c>
      <c r="L304" s="139">
        <f t="shared" si="42"/>
        <v>0</v>
      </c>
    </row>
    <row r="305" spans="1:12">
      <c r="A305" s="8">
        <v>45230</v>
      </c>
      <c r="B305" s="17">
        <f>Comb!C305</f>
        <v>0</v>
      </c>
      <c r="C305" s="17">
        <f>Tank!L306</f>
        <v>0</v>
      </c>
      <c r="D305" s="17">
        <f t="shared" si="38"/>
        <v>0</v>
      </c>
      <c r="E305" s="17">
        <f t="shared" si="39"/>
        <v>0</v>
      </c>
      <c r="F305" s="17">
        <f t="shared" si="36"/>
        <v>0</v>
      </c>
      <c r="G305" s="139">
        <f>Comb!E305</f>
        <v>0</v>
      </c>
      <c r="H305" s="139">
        <f>Tank!O306</f>
        <v>0</v>
      </c>
      <c r="I305" s="17">
        <f t="shared" si="37"/>
        <v>0</v>
      </c>
      <c r="J305" s="17">
        <f t="shared" si="40"/>
        <v>0</v>
      </c>
      <c r="K305" s="17">
        <f t="shared" si="41"/>
        <v>0</v>
      </c>
      <c r="L305" s="139">
        <f t="shared" si="42"/>
        <v>0</v>
      </c>
    </row>
    <row r="306" spans="1:12">
      <c r="A306" s="8">
        <v>45231</v>
      </c>
      <c r="B306" s="17">
        <f>Comb!C306</f>
        <v>0</v>
      </c>
      <c r="C306" s="17">
        <f>Tank!L307</f>
        <v>0</v>
      </c>
      <c r="D306" s="17">
        <f t="shared" ref="D306:D335" si="43">+CONVERT(B306,"m^3","gal")</f>
        <v>0</v>
      </c>
      <c r="E306" s="17">
        <f t="shared" ref="E306:E335" si="44">+CONVERT(C306,"m^3","gal")</f>
        <v>0</v>
      </c>
      <c r="F306" s="17">
        <f t="shared" si="36"/>
        <v>0</v>
      </c>
      <c r="G306" s="139">
        <f>Comb!E306</f>
        <v>0</v>
      </c>
      <c r="H306" s="139">
        <f>Tank!O307</f>
        <v>0</v>
      </c>
      <c r="I306" s="17">
        <f t="shared" si="37"/>
        <v>0</v>
      </c>
      <c r="J306" s="17">
        <f t="shared" ref="J306:J335" si="45">+CONVERT(G306,"m^3","gal")</f>
        <v>0</v>
      </c>
      <c r="K306" s="17">
        <f t="shared" ref="K306:K335" si="46">+CONVERT(H306,"m^3","gal")</f>
        <v>0</v>
      </c>
      <c r="L306" s="139">
        <f t="shared" ref="L306:L335" si="47">J306-K306</f>
        <v>0</v>
      </c>
    </row>
    <row r="307" spans="1:12">
      <c r="A307" s="8">
        <v>45232</v>
      </c>
      <c r="B307" s="17">
        <f>Comb!C307</f>
        <v>0</v>
      </c>
      <c r="C307" s="17">
        <f>Tank!L308</f>
        <v>0</v>
      </c>
      <c r="D307" s="17">
        <f t="shared" si="43"/>
        <v>0</v>
      </c>
      <c r="E307" s="17">
        <f t="shared" si="44"/>
        <v>0</v>
      </c>
      <c r="F307" s="17">
        <f t="shared" si="36"/>
        <v>0</v>
      </c>
      <c r="G307" s="139">
        <f>Comb!E307</f>
        <v>0</v>
      </c>
      <c r="H307" s="139">
        <f>Tank!O308</f>
        <v>0</v>
      </c>
      <c r="I307" s="17">
        <f t="shared" si="37"/>
        <v>0</v>
      </c>
      <c r="J307" s="17">
        <f t="shared" si="45"/>
        <v>0</v>
      </c>
      <c r="K307" s="17">
        <f t="shared" si="46"/>
        <v>0</v>
      </c>
      <c r="L307" s="139">
        <f t="shared" si="47"/>
        <v>0</v>
      </c>
    </row>
    <row r="308" spans="1:12">
      <c r="A308" s="8">
        <v>45233</v>
      </c>
      <c r="B308" s="17">
        <f>Comb!C308</f>
        <v>0</v>
      </c>
      <c r="C308" s="17">
        <f>Tank!L309</f>
        <v>0</v>
      </c>
      <c r="D308" s="17">
        <f t="shared" si="43"/>
        <v>0</v>
      </c>
      <c r="E308" s="17">
        <f t="shared" si="44"/>
        <v>0</v>
      </c>
      <c r="F308" s="17">
        <f t="shared" si="36"/>
        <v>0</v>
      </c>
      <c r="G308" s="139">
        <f>Comb!E308</f>
        <v>0</v>
      </c>
      <c r="H308" s="139">
        <f>Tank!O309</f>
        <v>0</v>
      </c>
      <c r="I308" s="17">
        <f t="shared" si="37"/>
        <v>0</v>
      </c>
      <c r="J308" s="17">
        <f t="shared" si="45"/>
        <v>0</v>
      </c>
      <c r="K308" s="17">
        <f t="shared" si="46"/>
        <v>0</v>
      </c>
      <c r="L308" s="139">
        <f t="shared" si="47"/>
        <v>0</v>
      </c>
    </row>
    <row r="309" spans="1:12">
      <c r="A309" s="8">
        <v>45234</v>
      </c>
      <c r="B309" s="17">
        <f>Comb!C309</f>
        <v>0</v>
      </c>
      <c r="C309" s="17">
        <f>Tank!L310</f>
        <v>0</v>
      </c>
      <c r="D309" s="17">
        <f t="shared" si="43"/>
        <v>0</v>
      </c>
      <c r="E309" s="17">
        <f t="shared" si="44"/>
        <v>0</v>
      </c>
      <c r="F309" s="17">
        <f t="shared" si="36"/>
        <v>0</v>
      </c>
      <c r="G309" s="139">
        <f>Comb!E309</f>
        <v>0</v>
      </c>
      <c r="H309" s="139">
        <f>Tank!O310</f>
        <v>0</v>
      </c>
      <c r="I309" s="17">
        <f t="shared" si="37"/>
        <v>0</v>
      </c>
      <c r="J309" s="17">
        <f t="shared" si="45"/>
        <v>0</v>
      </c>
      <c r="K309" s="17">
        <f t="shared" si="46"/>
        <v>0</v>
      </c>
      <c r="L309" s="139">
        <f t="shared" si="47"/>
        <v>0</v>
      </c>
    </row>
    <row r="310" spans="1:12">
      <c r="A310" s="8">
        <v>45235</v>
      </c>
      <c r="B310" s="17">
        <f>Comb!C310</f>
        <v>0</v>
      </c>
      <c r="C310" s="17">
        <f>Tank!L311</f>
        <v>0</v>
      </c>
      <c r="D310" s="17">
        <f t="shared" si="43"/>
        <v>0</v>
      </c>
      <c r="E310" s="17">
        <f t="shared" si="44"/>
        <v>0</v>
      </c>
      <c r="F310" s="17">
        <f t="shared" si="36"/>
        <v>0</v>
      </c>
      <c r="G310" s="139">
        <f>Comb!E310</f>
        <v>0</v>
      </c>
      <c r="H310" s="139">
        <f>Tank!O311</f>
        <v>0</v>
      </c>
      <c r="I310" s="17">
        <f t="shared" si="37"/>
        <v>0</v>
      </c>
      <c r="J310" s="17">
        <f t="shared" si="45"/>
        <v>0</v>
      </c>
      <c r="K310" s="17">
        <f t="shared" si="46"/>
        <v>0</v>
      </c>
      <c r="L310" s="139">
        <f t="shared" si="47"/>
        <v>0</v>
      </c>
    </row>
    <row r="311" spans="1:12">
      <c r="A311" s="8">
        <v>45236</v>
      </c>
      <c r="B311" s="17">
        <f>Comb!C311</f>
        <v>0</v>
      </c>
      <c r="C311" s="17">
        <f>Tank!L312</f>
        <v>0</v>
      </c>
      <c r="D311" s="17">
        <f t="shared" si="43"/>
        <v>0</v>
      </c>
      <c r="E311" s="17">
        <f t="shared" si="44"/>
        <v>0</v>
      </c>
      <c r="F311" s="17">
        <f t="shared" si="36"/>
        <v>0</v>
      </c>
      <c r="G311" s="139">
        <f>Comb!E311</f>
        <v>0</v>
      </c>
      <c r="H311" s="139">
        <f>Tank!O312</f>
        <v>0</v>
      </c>
      <c r="I311" s="17">
        <f t="shared" si="37"/>
        <v>0</v>
      </c>
      <c r="J311" s="17">
        <f t="shared" si="45"/>
        <v>0</v>
      </c>
      <c r="K311" s="17">
        <f t="shared" si="46"/>
        <v>0</v>
      </c>
      <c r="L311" s="139">
        <f t="shared" si="47"/>
        <v>0</v>
      </c>
    </row>
    <row r="312" spans="1:12">
      <c r="A312" s="8">
        <v>45237</v>
      </c>
      <c r="B312" s="17">
        <f>Comb!C312</f>
        <v>0</v>
      </c>
      <c r="C312" s="17">
        <f>Tank!L313</f>
        <v>0</v>
      </c>
      <c r="D312" s="17">
        <f t="shared" si="43"/>
        <v>0</v>
      </c>
      <c r="E312" s="17">
        <f t="shared" si="44"/>
        <v>0</v>
      </c>
      <c r="F312" s="17">
        <f t="shared" si="36"/>
        <v>0</v>
      </c>
      <c r="G312" s="139">
        <f>Comb!E312</f>
        <v>0</v>
      </c>
      <c r="H312" s="139">
        <f>Tank!O313</f>
        <v>0</v>
      </c>
      <c r="I312" s="17">
        <f t="shared" si="37"/>
        <v>0</v>
      </c>
      <c r="J312" s="17">
        <f t="shared" si="45"/>
        <v>0</v>
      </c>
      <c r="K312" s="17">
        <f t="shared" si="46"/>
        <v>0</v>
      </c>
      <c r="L312" s="139">
        <f t="shared" si="47"/>
        <v>0</v>
      </c>
    </row>
    <row r="313" spans="1:12">
      <c r="A313" s="8">
        <v>45238</v>
      </c>
      <c r="B313" s="17">
        <f>Comb!C313</f>
        <v>0</v>
      </c>
      <c r="C313" s="17">
        <f>Tank!L314</f>
        <v>0</v>
      </c>
      <c r="D313" s="17">
        <f t="shared" si="43"/>
        <v>0</v>
      </c>
      <c r="E313" s="17">
        <f t="shared" si="44"/>
        <v>0</v>
      </c>
      <c r="F313" s="17">
        <f t="shared" si="36"/>
        <v>0</v>
      </c>
      <c r="G313" s="139">
        <f>Comb!E313</f>
        <v>0</v>
      </c>
      <c r="H313" s="139">
        <f>Tank!O314</f>
        <v>0</v>
      </c>
      <c r="I313" s="17">
        <f t="shared" si="37"/>
        <v>0</v>
      </c>
      <c r="J313" s="17">
        <f t="shared" si="45"/>
        <v>0</v>
      </c>
      <c r="K313" s="17">
        <f t="shared" si="46"/>
        <v>0</v>
      </c>
      <c r="L313" s="139">
        <f t="shared" si="47"/>
        <v>0</v>
      </c>
    </row>
    <row r="314" spans="1:12">
      <c r="A314" s="8">
        <v>45239</v>
      </c>
      <c r="B314" s="17">
        <f>Comb!C314</f>
        <v>0</v>
      </c>
      <c r="C314" s="17">
        <f>Tank!L315</f>
        <v>0</v>
      </c>
      <c r="D314" s="17">
        <f t="shared" si="43"/>
        <v>0</v>
      </c>
      <c r="E314" s="17">
        <f t="shared" si="44"/>
        <v>0</v>
      </c>
      <c r="F314" s="17">
        <f t="shared" si="36"/>
        <v>0</v>
      </c>
      <c r="G314" s="139">
        <f>Comb!E314</f>
        <v>0</v>
      </c>
      <c r="H314" s="139">
        <f>Tank!O315</f>
        <v>0</v>
      </c>
      <c r="I314" s="17">
        <f t="shared" si="37"/>
        <v>0</v>
      </c>
      <c r="J314" s="17">
        <f t="shared" si="45"/>
        <v>0</v>
      </c>
      <c r="K314" s="17">
        <f t="shared" si="46"/>
        <v>0</v>
      </c>
      <c r="L314" s="139">
        <f t="shared" si="47"/>
        <v>0</v>
      </c>
    </row>
    <row r="315" spans="1:12">
      <c r="A315" s="8">
        <v>45240</v>
      </c>
      <c r="B315" s="17">
        <f>Comb!C315</f>
        <v>0</v>
      </c>
      <c r="C315" s="17">
        <f>Tank!L316</f>
        <v>0</v>
      </c>
      <c r="D315" s="17">
        <f t="shared" si="43"/>
        <v>0</v>
      </c>
      <c r="E315" s="17">
        <f t="shared" si="44"/>
        <v>0</v>
      </c>
      <c r="F315" s="17">
        <f t="shared" ref="F315:F366" si="48">D315-E315</f>
        <v>0</v>
      </c>
      <c r="G315" s="139">
        <f>Comb!E315</f>
        <v>0</v>
      </c>
      <c r="H315" s="139">
        <f>Tank!O316</f>
        <v>0</v>
      </c>
      <c r="I315" s="17">
        <f t="shared" ref="I315:I366" si="49">G315-H315</f>
        <v>0</v>
      </c>
      <c r="J315" s="17">
        <f t="shared" si="45"/>
        <v>0</v>
      </c>
      <c r="K315" s="17">
        <f t="shared" si="46"/>
        <v>0</v>
      </c>
      <c r="L315" s="139">
        <f t="shared" si="47"/>
        <v>0</v>
      </c>
    </row>
    <row r="316" spans="1:12">
      <c r="A316" s="8">
        <v>45241</v>
      </c>
      <c r="B316" s="17">
        <f>Comb!C316</f>
        <v>0</v>
      </c>
      <c r="C316" s="17">
        <f>Tank!L317</f>
        <v>0</v>
      </c>
      <c r="D316" s="17">
        <f t="shared" si="43"/>
        <v>0</v>
      </c>
      <c r="E316" s="17">
        <f t="shared" si="44"/>
        <v>0</v>
      </c>
      <c r="F316" s="17">
        <f t="shared" si="48"/>
        <v>0</v>
      </c>
      <c r="G316" s="139">
        <f>Comb!E316</f>
        <v>0</v>
      </c>
      <c r="H316" s="139">
        <f>Tank!O317</f>
        <v>0</v>
      </c>
      <c r="I316" s="17">
        <f t="shared" si="49"/>
        <v>0</v>
      </c>
      <c r="J316" s="17">
        <f t="shared" si="45"/>
        <v>0</v>
      </c>
      <c r="K316" s="17">
        <f t="shared" si="46"/>
        <v>0</v>
      </c>
      <c r="L316" s="139">
        <f t="shared" si="47"/>
        <v>0</v>
      </c>
    </row>
    <row r="317" spans="1:12">
      <c r="A317" s="8">
        <v>45242</v>
      </c>
      <c r="B317" s="17">
        <f>Comb!C317</f>
        <v>0</v>
      </c>
      <c r="C317" s="17">
        <f>Tank!L318</f>
        <v>0</v>
      </c>
      <c r="D317" s="17">
        <f t="shared" si="43"/>
        <v>0</v>
      </c>
      <c r="E317" s="17">
        <f t="shared" si="44"/>
        <v>0</v>
      </c>
      <c r="F317" s="17">
        <f t="shared" si="48"/>
        <v>0</v>
      </c>
      <c r="G317" s="139">
        <f>Comb!E317</f>
        <v>0</v>
      </c>
      <c r="H317" s="139">
        <f>Tank!O318</f>
        <v>0</v>
      </c>
      <c r="I317" s="17">
        <f t="shared" si="49"/>
        <v>0</v>
      </c>
      <c r="J317" s="17">
        <f t="shared" si="45"/>
        <v>0</v>
      </c>
      <c r="K317" s="17">
        <f t="shared" si="46"/>
        <v>0</v>
      </c>
      <c r="L317" s="139">
        <f t="shared" si="47"/>
        <v>0</v>
      </c>
    </row>
    <row r="318" spans="1:12">
      <c r="A318" s="8">
        <v>45243</v>
      </c>
      <c r="B318" s="17">
        <f>Comb!C318</f>
        <v>0</v>
      </c>
      <c r="C318" s="17">
        <f>Tank!L319</f>
        <v>0</v>
      </c>
      <c r="D318" s="17">
        <f t="shared" si="43"/>
        <v>0</v>
      </c>
      <c r="E318" s="17">
        <f t="shared" si="44"/>
        <v>0</v>
      </c>
      <c r="F318" s="17">
        <f t="shared" si="48"/>
        <v>0</v>
      </c>
      <c r="G318" s="139">
        <f>Comb!E318</f>
        <v>0</v>
      </c>
      <c r="H318" s="139">
        <f>Tank!O319</f>
        <v>0</v>
      </c>
      <c r="I318" s="17">
        <f t="shared" si="49"/>
        <v>0</v>
      </c>
      <c r="J318" s="17">
        <f t="shared" si="45"/>
        <v>0</v>
      </c>
      <c r="K318" s="17">
        <f t="shared" si="46"/>
        <v>0</v>
      </c>
      <c r="L318" s="139">
        <f t="shared" si="47"/>
        <v>0</v>
      </c>
    </row>
    <row r="319" spans="1:12">
      <c r="A319" s="8">
        <v>45244</v>
      </c>
      <c r="B319" s="17">
        <f>Comb!C319</f>
        <v>0</v>
      </c>
      <c r="C319" s="17">
        <f>Tank!L320</f>
        <v>0</v>
      </c>
      <c r="D319" s="17">
        <f t="shared" si="43"/>
        <v>0</v>
      </c>
      <c r="E319" s="17">
        <f t="shared" si="44"/>
        <v>0</v>
      </c>
      <c r="F319" s="17">
        <f t="shared" si="48"/>
        <v>0</v>
      </c>
      <c r="G319" s="139">
        <f>Comb!E319</f>
        <v>0</v>
      </c>
      <c r="H319" s="139">
        <f>Tank!O320</f>
        <v>0</v>
      </c>
      <c r="I319" s="17">
        <f t="shared" si="49"/>
        <v>0</v>
      </c>
      <c r="J319" s="17">
        <f t="shared" si="45"/>
        <v>0</v>
      </c>
      <c r="K319" s="17">
        <f t="shared" si="46"/>
        <v>0</v>
      </c>
      <c r="L319" s="139">
        <f t="shared" si="47"/>
        <v>0</v>
      </c>
    </row>
    <row r="320" spans="1:12">
      <c r="A320" s="8">
        <v>45245</v>
      </c>
      <c r="B320" s="17">
        <f>Comb!C320</f>
        <v>0</v>
      </c>
      <c r="C320" s="17">
        <f>Tank!L321</f>
        <v>0</v>
      </c>
      <c r="D320" s="17">
        <f t="shared" si="43"/>
        <v>0</v>
      </c>
      <c r="E320" s="17">
        <f t="shared" si="44"/>
        <v>0</v>
      </c>
      <c r="F320" s="17">
        <f t="shared" si="48"/>
        <v>0</v>
      </c>
      <c r="G320" s="139">
        <f>Comb!E320</f>
        <v>0</v>
      </c>
      <c r="H320" s="139">
        <f>Tank!O321</f>
        <v>0</v>
      </c>
      <c r="I320" s="17">
        <f t="shared" si="49"/>
        <v>0</v>
      </c>
      <c r="J320" s="17">
        <f t="shared" si="45"/>
        <v>0</v>
      </c>
      <c r="K320" s="17">
        <f t="shared" si="46"/>
        <v>0</v>
      </c>
      <c r="L320" s="139">
        <f t="shared" si="47"/>
        <v>0</v>
      </c>
    </row>
    <row r="321" spans="1:12">
      <c r="A321" s="8">
        <v>45246</v>
      </c>
      <c r="B321" s="17">
        <f>Comb!C321</f>
        <v>0</v>
      </c>
      <c r="C321" s="17">
        <f>Tank!L322</f>
        <v>0</v>
      </c>
      <c r="D321" s="17">
        <f t="shared" si="43"/>
        <v>0</v>
      </c>
      <c r="E321" s="17">
        <f t="shared" si="44"/>
        <v>0</v>
      </c>
      <c r="F321" s="17">
        <f t="shared" si="48"/>
        <v>0</v>
      </c>
      <c r="G321" s="139">
        <f>Comb!E321</f>
        <v>0</v>
      </c>
      <c r="H321" s="139">
        <f>Tank!O322</f>
        <v>0</v>
      </c>
      <c r="I321" s="17">
        <f t="shared" si="49"/>
        <v>0</v>
      </c>
      <c r="J321" s="17">
        <f t="shared" si="45"/>
        <v>0</v>
      </c>
      <c r="K321" s="17">
        <f t="shared" si="46"/>
        <v>0</v>
      </c>
      <c r="L321" s="139">
        <f t="shared" si="47"/>
        <v>0</v>
      </c>
    </row>
    <row r="322" spans="1:12">
      <c r="A322" s="8">
        <v>45247</v>
      </c>
      <c r="B322" s="17">
        <f>Comb!C322</f>
        <v>0</v>
      </c>
      <c r="C322" s="17">
        <f>Tank!L323</f>
        <v>0</v>
      </c>
      <c r="D322" s="17">
        <f t="shared" si="43"/>
        <v>0</v>
      </c>
      <c r="E322" s="17">
        <f t="shared" si="44"/>
        <v>0</v>
      </c>
      <c r="F322" s="17">
        <f t="shared" si="48"/>
        <v>0</v>
      </c>
      <c r="G322" s="139">
        <f>Comb!E322</f>
        <v>0</v>
      </c>
      <c r="H322" s="139">
        <f>Tank!O323</f>
        <v>0</v>
      </c>
      <c r="I322" s="17">
        <f t="shared" si="49"/>
        <v>0</v>
      </c>
      <c r="J322" s="17">
        <f t="shared" si="45"/>
        <v>0</v>
      </c>
      <c r="K322" s="17">
        <f t="shared" si="46"/>
        <v>0</v>
      </c>
      <c r="L322" s="139">
        <f t="shared" si="47"/>
        <v>0</v>
      </c>
    </row>
    <row r="323" spans="1:12">
      <c r="A323" s="8">
        <v>45248</v>
      </c>
      <c r="B323" s="17">
        <f>Comb!C323</f>
        <v>0</v>
      </c>
      <c r="C323" s="17">
        <f>Tank!L324</f>
        <v>0</v>
      </c>
      <c r="D323" s="17">
        <f t="shared" si="43"/>
        <v>0</v>
      </c>
      <c r="E323" s="17">
        <f t="shared" si="44"/>
        <v>0</v>
      </c>
      <c r="F323" s="17">
        <f t="shared" si="48"/>
        <v>0</v>
      </c>
      <c r="G323" s="139">
        <f>Comb!E323</f>
        <v>0</v>
      </c>
      <c r="H323" s="139">
        <f>Tank!O324</f>
        <v>0</v>
      </c>
      <c r="I323" s="17">
        <f t="shared" si="49"/>
        <v>0</v>
      </c>
      <c r="J323" s="17">
        <f t="shared" si="45"/>
        <v>0</v>
      </c>
      <c r="K323" s="17">
        <f t="shared" si="46"/>
        <v>0</v>
      </c>
      <c r="L323" s="139">
        <f t="shared" si="47"/>
        <v>0</v>
      </c>
    </row>
    <row r="324" spans="1:12">
      <c r="A324" s="8">
        <v>45249</v>
      </c>
      <c r="B324" s="17">
        <f>Comb!C324</f>
        <v>0</v>
      </c>
      <c r="C324" s="17">
        <f>Tank!L325</f>
        <v>0</v>
      </c>
      <c r="D324" s="17">
        <f t="shared" si="43"/>
        <v>0</v>
      </c>
      <c r="E324" s="17">
        <f t="shared" si="44"/>
        <v>0</v>
      </c>
      <c r="F324" s="17">
        <f t="shared" si="48"/>
        <v>0</v>
      </c>
      <c r="G324" s="139">
        <f>Comb!E324</f>
        <v>0</v>
      </c>
      <c r="H324" s="139">
        <f>Tank!O325</f>
        <v>0</v>
      </c>
      <c r="I324" s="17">
        <f t="shared" si="49"/>
        <v>0</v>
      </c>
      <c r="J324" s="17">
        <f t="shared" si="45"/>
        <v>0</v>
      </c>
      <c r="K324" s="17">
        <f t="shared" si="46"/>
        <v>0</v>
      </c>
      <c r="L324" s="139">
        <f t="shared" si="47"/>
        <v>0</v>
      </c>
    </row>
    <row r="325" spans="1:12">
      <c r="A325" s="8">
        <v>45250</v>
      </c>
      <c r="B325" s="17">
        <f>Comb!C325</f>
        <v>0</v>
      </c>
      <c r="C325" s="17">
        <f>Tank!L326</f>
        <v>0</v>
      </c>
      <c r="D325" s="17">
        <f t="shared" si="43"/>
        <v>0</v>
      </c>
      <c r="E325" s="17">
        <f t="shared" si="44"/>
        <v>0</v>
      </c>
      <c r="F325" s="17">
        <f t="shared" si="48"/>
        <v>0</v>
      </c>
      <c r="G325" s="139">
        <f>Comb!E325</f>
        <v>0</v>
      </c>
      <c r="H325" s="139">
        <f>Tank!O326</f>
        <v>0</v>
      </c>
      <c r="I325" s="17">
        <f t="shared" si="49"/>
        <v>0</v>
      </c>
      <c r="J325" s="17">
        <f t="shared" si="45"/>
        <v>0</v>
      </c>
      <c r="K325" s="17">
        <f t="shared" si="46"/>
        <v>0</v>
      </c>
      <c r="L325" s="139">
        <f t="shared" si="47"/>
        <v>0</v>
      </c>
    </row>
    <row r="326" spans="1:12">
      <c r="A326" s="8">
        <v>45251</v>
      </c>
      <c r="B326" s="17">
        <f>Comb!C326</f>
        <v>0</v>
      </c>
      <c r="C326" s="17">
        <f>Tank!L327</f>
        <v>0</v>
      </c>
      <c r="D326" s="17">
        <f t="shared" si="43"/>
        <v>0</v>
      </c>
      <c r="E326" s="17">
        <f t="shared" si="44"/>
        <v>0</v>
      </c>
      <c r="F326" s="17">
        <f t="shared" si="48"/>
        <v>0</v>
      </c>
      <c r="G326" s="139">
        <f>Comb!E326</f>
        <v>0</v>
      </c>
      <c r="H326" s="139">
        <f>Tank!O327</f>
        <v>0</v>
      </c>
      <c r="I326" s="17">
        <f t="shared" si="49"/>
        <v>0</v>
      </c>
      <c r="J326" s="17">
        <f t="shared" si="45"/>
        <v>0</v>
      </c>
      <c r="K326" s="17">
        <f t="shared" si="46"/>
        <v>0</v>
      </c>
      <c r="L326" s="139">
        <f t="shared" si="47"/>
        <v>0</v>
      </c>
    </row>
    <row r="327" spans="1:12">
      <c r="A327" s="8">
        <v>45252</v>
      </c>
      <c r="B327" s="17">
        <f>Comb!C327</f>
        <v>0</v>
      </c>
      <c r="C327" s="17">
        <f>Tank!L328</f>
        <v>0</v>
      </c>
      <c r="D327" s="17">
        <f t="shared" si="43"/>
        <v>0</v>
      </c>
      <c r="E327" s="17">
        <f t="shared" si="44"/>
        <v>0</v>
      </c>
      <c r="F327" s="17">
        <f t="shared" si="48"/>
        <v>0</v>
      </c>
      <c r="G327" s="139">
        <f>Comb!E327</f>
        <v>0</v>
      </c>
      <c r="H327" s="139">
        <f>Tank!O328</f>
        <v>0</v>
      </c>
      <c r="I327" s="17">
        <f t="shared" si="49"/>
        <v>0</v>
      </c>
      <c r="J327" s="17">
        <f t="shared" si="45"/>
        <v>0</v>
      </c>
      <c r="K327" s="17">
        <f t="shared" si="46"/>
        <v>0</v>
      </c>
      <c r="L327" s="139">
        <f t="shared" si="47"/>
        <v>0</v>
      </c>
    </row>
    <row r="328" spans="1:12">
      <c r="A328" s="8">
        <v>45253</v>
      </c>
      <c r="B328" s="17">
        <f>Comb!C328</f>
        <v>0</v>
      </c>
      <c r="C328" s="17">
        <f>Tank!L329</f>
        <v>0</v>
      </c>
      <c r="D328" s="17">
        <f t="shared" si="43"/>
        <v>0</v>
      </c>
      <c r="E328" s="17">
        <f t="shared" si="44"/>
        <v>0</v>
      </c>
      <c r="F328" s="17">
        <f t="shared" si="48"/>
        <v>0</v>
      </c>
      <c r="G328" s="139">
        <f>Comb!E328</f>
        <v>0</v>
      </c>
      <c r="H328" s="139">
        <f>Tank!O329</f>
        <v>0</v>
      </c>
      <c r="I328" s="17">
        <f t="shared" si="49"/>
        <v>0</v>
      </c>
      <c r="J328" s="17">
        <f t="shared" si="45"/>
        <v>0</v>
      </c>
      <c r="K328" s="17">
        <f t="shared" si="46"/>
        <v>0</v>
      </c>
      <c r="L328" s="139">
        <f t="shared" si="47"/>
        <v>0</v>
      </c>
    </row>
    <row r="329" spans="1:12">
      <c r="A329" s="8">
        <v>45254</v>
      </c>
      <c r="B329" s="17">
        <f>Comb!C329</f>
        <v>0</v>
      </c>
      <c r="C329" s="17">
        <f>Tank!L330</f>
        <v>0</v>
      </c>
      <c r="D329" s="17">
        <f t="shared" si="43"/>
        <v>0</v>
      </c>
      <c r="E329" s="17">
        <f t="shared" si="44"/>
        <v>0</v>
      </c>
      <c r="F329" s="17">
        <f t="shared" si="48"/>
        <v>0</v>
      </c>
      <c r="G329" s="139">
        <f>Comb!E329</f>
        <v>0</v>
      </c>
      <c r="H329" s="139">
        <f>Tank!O330</f>
        <v>0</v>
      </c>
      <c r="I329" s="17">
        <f t="shared" si="49"/>
        <v>0</v>
      </c>
      <c r="J329" s="17">
        <f t="shared" si="45"/>
        <v>0</v>
      </c>
      <c r="K329" s="17">
        <f t="shared" si="46"/>
        <v>0</v>
      </c>
      <c r="L329" s="139">
        <f t="shared" si="47"/>
        <v>0</v>
      </c>
    </row>
    <row r="330" spans="1:12">
      <c r="A330" s="8">
        <v>45255</v>
      </c>
      <c r="B330" s="17">
        <f>Comb!C330</f>
        <v>0</v>
      </c>
      <c r="C330" s="17">
        <f>Tank!L331</f>
        <v>0</v>
      </c>
      <c r="D330" s="17">
        <f t="shared" si="43"/>
        <v>0</v>
      </c>
      <c r="E330" s="17">
        <f t="shared" si="44"/>
        <v>0</v>
      </c>
      <c r="F330" s="17">
        <f t="shared" si="48"/>
        <v>0</v>
      </c>
      <c r="G330" s="139">
        <f>Comb!E330</f>
        <v>0</v>
      </c>
      <c r="H330" s="139">
        <f>Tank!O331</f>
        <v>0</v>
      </c>
      <c r="I330" s="17">
        <f t="shared" si="49"/>
        <v>0</v>
      </c>
      <c r="J330" s="17">
        <f t="shared" si="45"/>
        <v>0</v>
      </c>
      <c r="K330" s="17">
        <f t="shared" si="46"/>
        <v>0</v>
      </c>
      <c r="L330" s="139">
        <f t="shared" si="47"/>
        <v>0</v>
      </c>
    </row>
    <row r="331" spans="1:12">
      <c r="A331" s="8">
        <v>45256</v>
      </c>
      <c r="B331" s="17">
        <f>Comb!C331</f>
        <v>0</v>
      </c>
      <c r="C331" s="17">
        <f>Tank!L332</f>
        <v>0</v>
      </c>
      <c r="D331" s="17">
        <f t="shared" si="43"/>
        <v>0</v>
      </c>
      <c r="E331" s="17">
        <f t="shared" si="44"/>
        <v>0</v>
      </c>
      <c r="F331" s="17">
        <f t="shared" si="48"/>
        <v>0</v>
      </c>
      <c r="G331" s="139">
        <f>Comb!E331</f>
        <v>0</v>
      </c>
      <c r="H331" s="139">
        <f>Tank!O332</f>
        <v>0</v>
      </c>
      <c r="I331" s="17">
        <f t="shared" si="49"/>
        <v>0</v>
      </c>
      <c r="J331" s="17">
        <f t="shared" si="45"/>
        <v>0</v>
      </c>
      <c r="K331" s="17">
        <f t="shared" si="46"/>
        <v>0</v>
      </c>
      <c r="L331" s="139">
        <f t="shared" si="47"/>
        <v>0</v>
      </c>
    </row>
    <row r="332" spans="1:12">
      <c r="A332" s="8">
        <v>45257</v>
      </c>
      <c r="B332" s="17">
        <f>Comb!C332</f>
        <v>0</v>
      </c>
      <c r="C332" s="17">
        <f>Tank!L333</f>
        <v>0</v>
      </c>
      <c r="D332" s="17">
        <f t="shared" si="43"/>
        <v>0</v>
      </c>
      <c r="E332" s="17">
        <f t="shared" si="44"/>
        <v>0</v>
      </c>
      <c r="F332" s="17">
        <f t="shared" si="48"/>
        <v>0</v>
      </c>
      <c r="G332" s="139">
        <f>Comb!E332</f>
        <v>0</v>
      </c>
      <c r="H332" s="139">
        <f>Tank!O333</f>
        <v>0</v>
      </c>
      <c r="I332" s="17">
        <f t="shared" si="49"/>
        <v>0</v>
      </c>
      <c r="J332" s="17">
        <f t="shared" si="45"/>
        <v>0</v>
      </c>
      <c r="K332" s="17">
        <f t="shared" si="46"/>
        <v>0</v>
      </c>
      <c r="L332" s="139">
        <f t="shared" si="47"/>
        <v>0</v>
      </c>
    </row>
    <row r="333" spans="1:12">
      <c r="A333" s="8">
        <v>45258</v>
      </c>
      <c r="B333" s="17">
        <f>Comb!C333</f>
        <v>0</v>
      </c>
      <c r="C333" s="17">
        <f>Tank!L334</f>
        <v>0</v>
      </c>
      <c r="D333" s="17">
        <f t="shared" si="43"/>
        <v>0</v>
      </c>
      <c r="E333" s="17">
        <f t="shared" si="44"/>
        <v>0</v>
      </c>
      <c r="F333" s="17">
        <f t="shared" si="48"/>
        <v>0</v>
      </c>
      <c r="G333" s="139">
        <f>Comb!E333</f>
        <v>0</v>
      </c>
      <c r="H333" s="139">
        <f>Tank!O334</f>
        <v>0</v>
      </c>
      <c r="I333" s="17">
        <f t="shared" si="49"/>
        <v>0</v>
      </c>
      <c r="J333" s="17">
        <f t="shared" si="45"/>
        <v>0</v>
      </c>
      <c r="K333" s="17">
        <f t="shared" si="46"/>
        <v>0</v>
      </c>
      <c r="L333" s="139">
        <f t="shared" si="47"/>
        <v>0</v>
      </c>
    </row>
    <row r="334" spans="1:12">
      <c r="A334" s="8">
        <v>45259</v>
      </c>
      <c r="B334" s="17">
        <f>Comb!C334</f>
        <v>0</v>
      </c>
      <c r="C334" s="17">
        <f>Tank!L335</f>
        <v>0</v>
      </c>
      <c r="D334" s="17">
        <f t="shared" si="43"/>
        <v>0</v>
      </c>
      <c r="E334" s="17">
        <f t="shared" si="44"/>
        <v>0</v>
      </c>
      <c r="F334" s="17">
        <f t="shared" si="48"/>
        <v>0</v>
      </c>
      <c r="G334" s="139">
        <f>Comb!E334</f>
        <v>0</v>
      </c>
      <c r="H334" s="139">
        <f>Tank!O335</f>
        <v>0</v>
      </c>
      <c r="I334" s="17">
        <f t="shared" si="49"/>
        <v>0</v>
      </c>
      <c r="J334" s="17">
        <f>+CONVERT(G334,"m^3","gal")</f>
        <v>0</v>
      </c>
      <c r="K334" s="17">
        <f t="shared" si="46"/>
        <v>0</v>
      </c>
      <c r="L334" s="139">
        <f>J334-K334</f>
        <v>0</v>
      </c>
    </row>
    <row r="335" spans="1:12">
      <c r="A335" s="8">
        <v>45260</v>
      </c>
      <c r="B335" s="17">
        <f>Comb!C335</f>
        <v>0</v>
      </c>
      <c r="C335" s="17">
        <f>Tank!L336</f>
        <v>0</v>
      </c>
      <c r="D335" s="17">
        <f t="shared" si="43"/>
        <v>0</v>
      </c>
      <c r="E335" s="17">
        <f t="shared" si="44"/>
        <v>0</v>
      </c>
      <c r="F335" s="17">
        <f>D335-E335</f>
        <v>0</v>
      </c>
      <c r="G335" s="139">
        <f>Comb!E335</f>
        <v>0</v>
      </c>
      <c r="H335" s="139">
        <f>Tank!O336</f>
        <v>0</v>
      </c>
      <c r="I335" s="17">
        <f t="shared" si="49"/>
        <v>0</v>
      </c>
      <c r="J335" s="17">
        <f t="shared" si="45"/>
        <v>0</v>
      </c>
      <c r="K335" s="17">
        <f t="shared" si="46"/>
        <v>0</v>
      </c>
      <c r="L335" s="139">
        <f t="shared" si="47"/>
        <v>0</v>
      </c>
    </row>
    <row r="336" spans="1:12">
      <c r="A336" s="8">
        <v>45261</v>
      </c>
      <c r="B336" s="17">
        <f>Comb!C336</f>
        <v>0</v>
      </c>
      <c r="C336" s="17">
        <f>Tank!L337</f>
        <v>0</v>
      </c>
      <c r="D336" s="17">
        <f t="shared" ref="D336:D366" si="50">+CONVERT(B336,"m^3","gal")</f>
        <v>0</v>
      </c>
      <c r="E336" s="17">
        <f t="shared" ref="E336:E366" si="51">+CONVERT(C336,"m^3","gal")</f>
        <v>0</v>
      </c>
      <c r="F336" s="17">
        <f t="shared" si="48"/>
        <v>0</v>
      </c>
      <c r="G336" s="139">
        <f>Comb!E336</f>
        <v>0</v>
      </c>
      <c r="H336" s="139">
        <f>Tank!O337</f>
        <v>0</v>
      </c>
      <c r="I336" s="17">
        <f t="shared" si="49"/>
        <v>0</v>
      </c>
      <c r="J336" s="17">
        <f t="shared" ref="J336:J366" si="52">+CONVERT(G336,"m^3","gal")</f>
        <v>0</v>
      </c>
      <c r="K336" s="17">
        <f t="shared" ref="K336:K366" si="53">+CONVERT(H336,"m^3","gal")</f>
        <v>0</v>
      </c>
      <c r="L336" s="139">
        <f t="shared" ref="L336:L366" si="54">J336-K336</f>
        <v>0</v>
      </c>
    </row>
    <row r="337" spans="1:12">
      <c r="A337" s="8">
        <v>45262</v>
      </c>
      <c r="B337" s="17">
        <f>Comb!C337</f>
        <v>0</v>
      </c>
      <c r="C337" s="17">
        <f>Tank!L338</f>
        <v>0</v>
      </c>
      <c r="D337" s="17">
        <f>+CONVERT(B337,"m^3","gal")</f>
        <v>0</v>
      </c>
      <c r="E337" s="17">
        <f t="shared" si="51"/>
        <v>0</v>
      </c>
      <c r="F337" s="17">
        <f t="shared" si="48"/>
        <v>0</v>
      </c>
      <c r="G337" s="139">
        <f>Comb!E337</f>
        <v>0</v>
      </c>
      <c r="H337" s="139">
        <f>Tank!O338</f>
        <v>0</v>
      </c>
      <c r="I337" s="17">
        <f t="shared" si="49"/>
        <v>0</v>
      </c>
      <c r="J337" s="17">
        <f t="shared" si="52"/>
        <v>0</v>
      </c>
      <c r="K337" s="17">
        <f t="shared" si="53"/>
        <v>0</v>
      </c>
      <c r="L337" s="139">
        <f t="shared" si="54"/>
        <v>0</v>
      </c>
    </row>
    <row r="338" spans="1:12">
      <c r="A338" s="8">
        <v>45263</v>
      </c>
      <c r="B338" s="17">
        <f>Comb!C338</f>
        <v>0</v>
      </c>
      <c r="C338" s="17">
        <f>Tank!L339</f>
        <v>0</v>
      </c>
      <c r="D338" s="17">
        <f t="shared" si="50"/>
        <v>0</v>
      </c>
      <c r="E338" s="17">
        <f t="shared" si="51"/>
        <v>0</v>
      </c>
      <c r="F338" s="17">
        <f t="shared" si="48"/>
        <v>0</v>
      </c>
      <c r="G338" s="139">
        <f>Comb!E338</f>
        <v>0</v>
      </c>
      <c r="H338" s="139">
        <f>Tank!O339</f>
        <v>0</v>
      </c>
      <c r="I338" s="17">
        <f t="shared" si="49"/>
        <v>0</v>
      </c>
      <c r="J338" s="17">
        <f t="shared" si="52"/>
        <v>0</v>
      </c>
      <c r="K338" s="17">
        <f t="shared" si="53"/>
        <v>0</v>
      </c>
      <c r="L338" s="139">
        <f t="shared" si="54"/>
        <v>0</v>
      </c>
    </row>
    <row r="339" spans="1:12">
      <c r="A339" s="8">
        <v>45264</v>
      </c>
      <c r="B339" s="17">
        <f>Comb!C339</f>
        <v>0</v>
      </c>
      <c r="C339" s="17">
        <f>Tank!L340</f>
        <v>0</v>
      </c>
      <c r="D339" s="17">
        <f t="shared" si="50"/>
        <v>0</v>
      </c>
      <c r="E339" s="17">
        <f t="shared" si="51"/>
        <v>0</v>
      </c>
      <c r="F339" s="17">
        <f t="shared" si="48"/>
        <v>0</v>
      </c>
      <c r="G339" s="139">
        <f>Comb!E339</f>
        <v>0</v>
      </c>
      <c r="H339" s="139">
        <f>Tank!O340</f>
        <v>0</v>
      </c>
      <c r="I339" s="17">
        <f t="shared" si="49"/>
        <v>0</v>
      </c>
      <c r="J339" s="17">
        <f t="shared" si="52"/>
        <v>0</v>
      </c>
      <c r="K339" s="17">
        <f t="shared" si="53"/>
        <v>0</v>
      </c>
      <c r="L339" s="139">
        <f t="shared" si="54"/>
        <v>0</v>
      </c>
    </row>
    <row r="340" spans="1:12">
      <c r="A340" s="8">
        <v>45265</v>
      </c>
      <c r="B340" s="17">
        <f>Comb!C340</f>
        <v>0</v>
      </c>
      <c r="C340" s="17">
        <f>Tank!L341</f>
        <v>0</v>
      </c>
      <c r="D340" s="17">
        <f t="shared" si="50"/>
        <v>0</v>
      </c>
      <c r="E340" s="17">
        <f t="shared" si="51"/>
        <v>0</v>
      </c>
      <c r="F340" s="17">
        <f t="shared" si="48"/>
        <v>0</v>
      </c>
      <c r="G340" s="139">
        <f>Comb!E340</f>
        <v>0</v>
      </c>
      <c r="H340" s="139">
        <f>Tank!O341</f>
        <v>0</v>
      </c>
      <c r="I340" s="17">
        <f t="shared" si="49"/>
        <v>0</v>
      </c>
      <c r="J340" s="17">
        <f t="shared" si="52"/>
        <v>0</v>
      </c>
      <c r="K340" s="17">
        <f t="shared" si="53"/>
        <v>0</v>
      </c>
      <c r="L340" s="139">
        <f t="shared" si="54"/>
        <v>0</v>
      </c>
    </row>
    <row r="341" spans="1:12">
      <c r="A341" s="8">
        <v>45266</v>
      </c>
      <c r="B341" s="17">
        <f>Comb!C341</f>
        <v>0</v>
      </c>
      <c r="C341" s="17">
        <f>Tank!L342</f>
        <v>0</v>
      </c>
      <c r="D341" s="17">
        <f t="shared" si="50"/>
        <v>0</v>
      </c>
      <c r="E341" s="17">
        <f t="shared" si="51"/>
        <v>0</v>
      </c>
      <c r="F341" s="17">
        <f t="shared" si="48"/>
        <v>0</v>
      </c>
      <c r="G341" s="139">
        <f>Comb!E341</f>
        <v>0</v>
      </c>
      <c r="H341" s="139">
        <f>Tank!O342</f>
        <v>0</v>
      </c>
      <c r="I341" s="17">
        <f t="shared" si="49"/>
        <v>0</v>
      </c>
      <c r="J341" s="17">
        <f t="shared" si="52"/>
        <v>0</v>
      </c>
      <c r="K341" s="17">
        <f t="shared" si="53"/>
        <v>0</v>
      </c>
      <c r="L341" s="139">
        <f t="shared" si="54"/>
        <v>0</v>
      </c>
    </row>
    <row r="342" spans="1:12">
      <c r="A342" s="8">
        <v>45267</v>
      </c>
      <c r="B342" s="17">
        <f>Comb!C342</f>
        <v>0</v>
      </c>
      <c r="C342" s="17">
        <f>Tank!L343</f>
        <v>0</v>
      </c>
      <c r="D342" s="17">
        <f t="shared" si="50"/>
        <v>0</v>
      </c>
      <c r="E342" s="17">
        <f t="shared" si="51"/>
        <v>0</v>
      </c>
      <c r="F342" s="17">
        <f t="shared" si="48"/>
        <v>0</v>
      </c>
      <c r="G342" s="139">
        <f>Comb!E342</f>
        <v>0</v>
      </c>
      <c r="H342" s="139">
        <f>Tank!O343</f>
        <v>0</v>
      </c>
      <c r="I342" s="17">
        <f t="shared" si="49"/>
        <v>0</v>
      </c>
      <c r="J342" s="17">
        <f t="shared" si="52"/>
        <v>0</v>
      </c>
      <c r="K342" s="17">
        <f t="shared" si="53"/>
        <v>0</v>
      </c>
      <c r="L342" s="139">
        <f t="shared" si="54"/>
        <v>0</v>
      </c>
    </row>
    <row r="343" spans="1:12">
      <c r="A343" s="8">
        <v>45268</v>
      </c>
      <c r="B343" s="17">
        <f>Comb!C343</f>
        <v>0</v>
      </c>
      <c r="C343" s="17">
        <f>Tank!L344</f>
        <v>0</v>
      </c>
      <c r="D343" s="17">
        <f t="shared" si="50"/>
        <v>0</v>
      </c>
      <c r="E343" s="17">
        <f t="shared" si="51"/>
        <v>0</v>
      </c>
      <c r="F343" s="17">
        <f t="shared" si="48"/>
        <v>0</v>
      </c>
      <c r="G343" s="139">
        <f>Comb!E343</f>
        <v>0</v>
      </c>
      <c r="H343" s="139">
        <f>Tank!O344</f>
        <v>0</v>
      </c>
      <c r="I343" s="17">
        <f t="shared" si="49"/>
        <v>0</v>
      </c>
      <c r="J343" s="17">
        <f t="shared" si="52"/>
        <v>0</v>
      </c>
      <c r="K343" s="17">
        <f t="shared" si="53"/>
        <v>0</v>
      </c>
      <c r="L343" s="139">
        <f t="shared" si="54"/>
        <v>0</v>
      </c>
    </row>
    <row r="344" spans="1:12">
      <c r="A344" s="8">
        <v>45269</v>
      </c>
      <c r="B344" s="17">
        <f>Comb!C344</f>
        <v>0</v>
      </c>
      <c r="C344" s="17">
        <f>Tank!L345</f>
        <v>0</v>
      </c>
      <c r="D344" s="17">
        <f t="shared" si="50"/>
        <v>0</v>
      </c>
      <c r="E344" s="17">
        <f t="shared" si="51"/>
        <v>0</v>
      </c>
      <c r="F344" s="17">
        <f t="shared" si="48"/>
        <v>0</v>
      </c>
      <c r="G344" s="139">
        <f>Comb!E344</f>
        <v>0</v>
      </c>
      <c r="H344" s="139">
        <f>Tank!O345</f>
        <v>0</v>
      </c>
      <c r="I344" s="17">
        <f t="shared" si="49"/>
        <v>0</v>
      </c>
      <c r="J344" s="17">
        <f t="shared" si="52"/>
        <v>0</v>
      </c>
      <c r="K344" s="17">
        <f t="shared" si="53"/>
        <v>0</v>
      </c>
      <c r="L344" s="139">
        <f t="shared" si="54"/>
        <v>0</v>
      </c>
    </row>
    <row r="345" spans="1:12">
      <c r="A345" s="8">
        <v>45270</v>
      </c>
      <c r="B345" s="17">
        <f>Comb!C345</f>
        <v>0</v>
      </c>
      <c r="C345" s="17">
        <f>Tank!L346</f>
        <v>0</v>
      </c>
      <c r="D345" s="17">
        <f t="shared" si="50"/>
        <v>0</v>
      </c>
      <c r="E345" s="17">
        <f t="shared" si="51"/>
        <v>0</v>
      </c>
      <c r="F345" s="17">
        <f t="shared" si="48"/>
        <v>0</v>
      </c>
      <c r="G345" s="139">
        <f>Comb!E345</f>
        <v>0</v>
      </c>
      <c r="H345" s="139">
        <f>Tank!O346</f>
        <v>0</v>
      </c>
      <c r="I345" s="17">
        <f t="shared" si="49"/>
        <v>0</v>
      </c>
      <c r="J345" s="17">
        <f t="shared" si="52"/>
        <v>0</v>
      </c>
      <c r="K345" s="17">
        <f t="shared" si="53"/>
        <v>0</v>
      </c>
      <c r="L345" s="139">
        <f t="shared" si="54"/>
        <v>0</v>
      </c>
    </row>
    <row r="346" spans="1:12">
      <c r="A346" s="8">
        <v>45271</v>
      </c>
      <c r="B346" s="17">
        <f>Comb!C346</f>
        <v>0</v>
      </c>
      <c r="C346" s="17">
        <f>Tank!L347</f>
        <v>0</v>
      </c>
      <c r="D346" s="17">
        <f t="shared" si="50"/>
        <v>0</v>
      </c>
      <c r="E346" s="17">
        <f t="shared" si="51"/>
        <v>0</v>
      </c>
      <c r="F346" s="17">
        <f t="shared" si="48"/>
        <v>0</v>
      </c>
      <c r="G346" s="139">
        <f>Comb!E346</f>
        <v>0</v>
      </c>
      <c r="H346" s="139">
        <f>Tank!O347</f>
        <v>0</v>
      </c>
      <c r="I346" s="17">
        <f t="shared" si="49"/>
        <v>0</v>
      </c>
      <c r="J346" s="17">
        <f t="shared" si="52"/>
        <v>0</v>
      </c>
      <c r="K346" s="17">
        <f t="shared" si="53"/>
        <v>0</v>
      </c>
      <c r="L346" s="139">
        <f t="shared" si="54"/>
        <v>0</v>
      </c>
    </row>
    <row r="347" spans="1:12">
      <c r="A347" s="8">
        <v>45272</v>
      </c>
      <c r="B347" s="17">
        <f>Comb!C347</f>
        <v>0</v>
      </c>
      <c r="C347" s="17">
        <f>Tank!L348</f>
        <v>0</v>
      </c>
      <c r="D347" s="17">
        <f t="shared" si="50"/>
        <v>0</v>
      </c>
      <c r="E347" s="17">
        <f t="shared" si="51"/>
        <v>0</v>
      </c>
      <c r="F347" s="17">
        <f t="shared" si="48"/>
        <v>0</v>
      </c>
      <c r="G347" s="139">
        <f>Comb!E347</f>
        <v>0</v>
      </c>
      <c r="H347" s="139">
        <f>Tank!O348</f>
        <v>0</v>
      </c>
      <c r="I347" s="17">
        <f t="shared" si="49"/>
        <v>0</v>
      </c>
      <c r="J347" s="17">
        <f t="shared" si="52"/>
        <v>0</v>
      </c>
      <c r="K347" s="17">
        <f t="shared" si="53"/>
        <v>0</v>
      </c>
      <c r="L347" s="139">
        <f t="shared" si="54"/>
        <v>0</v>
      </c>
    </row>
    <row r="348" spans="1:12">
      <c r="A348" s="8">
        <v>45273</v>
      </c>
      <c r="B348" s="17">
        <f>Comb!C348</f>
        <v>0</v>
      </c>
      <c r="C348" s="17">
        <f>Tank!L349</f>
        <v>0</v>
      </c>
      <c r="D348" s="17">
        <f t="shared" si="50"/>
        <v>0</v>
      </c>
      <c r="E348" s="17">
        <f t="shared" si="51"/>
        <v>0</v>
      </c>
      <c r="F348" s="17">
        <f t="shared" si="48"/>
        <v>0</v>
      </c>
      <c r="G348" s="139">
        <f>Comb!E348</f>
        <v>0</v>
      </c>
      <c r="H348" s="139">
        <f>Tank!O349</f>
        <v>0</v>
      </c>
      <c r="I348" s="17">
        <f t="shared" si="49"/>
        <v>0</v>
      </c>
      <c r="J348" s="17">
        <f t="shared" si="52"/>
        <v>0</v>
      </c>
      <c r="K348" s="17">
        <f t="shared" si="53"/>
        <v>0</v>
      </c>
      <c r="L348" s="139">
        <f t="shared" si="54"/>
        <v>0</v>
      </c>
    </row>
    <row r="349" spans="1:12">
      <c r="A349" s="8">
        <v>45274</v>
      </c>
      <c r="B349" s="17">
        <f>Comb!C349</f>
        <v>0</v>
      </c>
      <c r="C349" s="17">
        <f>Tank!L350</f>
        <v>0</v>
      </c>
      <c r="D349" s="17">
        <f t="shared" si="50"/>
        <v>0</v>
      </c>
      <c r="E349" s="17">
        <f t="shared" si="51"/>
        <v>0</v>
      </c>
      <c r="F349" s="17">
        <f t="shared" si="48"/>
        <v>0</v>
      </c>
      <c r="G349" s="139">
        <f>Comb!E349</f>
        <v>0</v>
      </c>
      <c r="H349" s="139">
        <f>Tank!O350</f>
        <v>0</v>
      </c>
      <c r="I349" s="17">
        <f t="shared" si="49"/>
        <v>0</v>
      </c>
      <c r="J349" s="17">
        <f t="shared" si="52"/>
        <v>0</v>
      </c>
      <c r="K349" s="17">
        <f t="shared" si="53"/>
        <v>0</v>
      </c>
      <c r="L349" s="139">
        <f t="shared" si="54"/>
        <v>0</v>
      </c>
    </row>
    <row r="350" spans="1:12">
      <c r="A350" s="8">
        <v>45275</v>
      </c>
      <c r="B350" s="17">
        <f>Comb!C350</f>
        <v>0</v>
      </c>
      <c r="C350" s="17">
        <f>Tank!L351</f>
        <v>0</v>
      </c>
      <c r="D350" s="17">
        <f t="shared" si="50"/>
        <v>0</v>
      </c>
      <c r="E350" s="17">
        <f t="shared" si="51"/>
        <v>0</v>
      </c>
      <c r="F350" s="17">
        <f t="shared" si="48"/>
        <v>0</v>
      </c>
      <c r="G350" s="139">
        <f>Comb!E350</f>
        <v>0</v>
      </c>
      <c r="H350" s="139">
        <f>Tank!O351</f>
        <v>0</v>
      </c>
      <c r="I350" s="17">
        <f t="shared" si="49"/>
        <v>0</v>
      </c>
      <c r="J350" s="17">
        <f t="shared" si="52"/>
        <v>0</v>
      </c>
      <c r="K350" s="17">
        <f t="shared" si="53"/>
        <v>0</v>
      </c>
      <c r="L350" s="139">
        <f t="shared" si="54"/>
        <v>0</v>
      </c>
    </row>
    <row r="351" spans="1:12">
      <c r="A351" s="8">
        <v>45276</v>
      </c>
      <c r="B351" s="17">
        <f>Comb!C351</f>
        <v>0</v>
      </c>
      <c r="C351" s="17">
        <f>Tank!L352</f>
        <v>0</v>
      </c>
      <c r="D351" s="17">
        <f t="shared" si="50"/>
        <v>0</v>
      </c>
      <c r="E351" s="17">
        <f t="shared" si="51"/>
        <v>0</v>
      </c>
      <c r="F351" s="17">
        <f t="shared" si="48"/>
        <v>0</v>
      </c>
      <c r="G351" s="139">
        <f>Comb!E351</f>
        <v>0</v>
      </c>
      <c r="H351" s="139">
        <f>Tank!O352</f>
        <v>0</v>
      </c>
      <c r="I351" s="17">
        <f t="shared" si="49"/>
        <v>0</v>
      </c>
      <c r="J351" s="17">
        <f t="shared" si="52"/>
        <v>0</v>
      </c>
      <c r="K351" s="17">
        <f t="shared" si="53"/>
        <v>0</v>
      </c>
      <c r="L351" s="139">
        <f t="shared" si="54"/>
        <v>0</v>
      </c>
    </row>
    <row r="352" spans="1:12">
      <c r="A352" s="8">
        <v>45277</v>
      </c>
      <c r="B352" s="17">
        <f>Comb!C352</f>
        <v>0</v>
      </c>
      <c r="C352" s="17">
        <f>Tank!L353</f>
        <v>0</v>
      </c>
      <c r="D352" s="17">
        <f t="shared" si="50"/>
        <v>0</v>
      </c>
      <c r="E352" s="17">
        <f t="shared" si="51"/>
        <v>0</v>
      </c>
      <c r="F352" s="17">
        <f t="shared" si="48"/>
        <v>0</v>
      </c>
      <c r="G352" s="139">
        <f>Comb!E352</f>
        <v>0</v>
      </c>
      <c r="H352" s="139">
        <f>Tank!O353</f>
        <v>0</v>
      </c>
      <c r="I352" s="17">
        <f t="shared" si="49"/>
        <v>0</v>
      </c>
      <c r="J352" s="17">
        <f t="shared" si="52"/>
        <v>0</v>
      </c>
      <c r="K352" s="17">
        <f t="shared" si="53"/>
        <v>0</v>
      </c>
      <c r="L352" s="139">
        <f t="shared" si="54"/>
        <v>0</v>
      </c>
    </row>
    <row r="353" spans="1:12">
      <c r="A353" s="8">
        <v>45278</v>
      </c>
      <c r="B353" s="17">
        <f>Comb!C353</f>
        <v>0</v>
      </c>
      <c r="C353" s="17">
        <f>Tank!L354</f>
        <v>0</v>
      </c>
      <c r="D353" s="17">
        <f t="shared" si="50"/>
        <v>0</v>
      </c>
      <c r="E353" s="17">
        <f t="shared" si="51"/>
        <v>0</v>
      </c>
      <c r="F353" s="17">
        <f t="shared" si="48"/>
        <v>0</v>
      </c>
      <c r="G353" s="139">
        <f>Comb!E353</f>
        <v>0</v>
      </c>
      <c r="H353" s="139">
        <f>Tank!O354</f>
        <v>0</v>
      </c>
      <c r="I353" s="17">
        <f t="shared" si="49"/>
        <v>0</v>
      </c>
      <c r="J353" s="17">
        <f t="shared" si="52"/>
        <v>0</v>
      </c>
      <c r="K353" s="17">
        <f t="shared" si="53"/>
        <v>0</v>
      </c>
      <c r="L353" s="139">
        <f t="shared" si="54"/>
        <v>0</v>
      </c>
    </row>
    <row r="354" spans="1:12">
      <c r="A354" s="8">
        <v>45279</v>
      </c>
      <c r="B354" s="17">
        <f>Comb!C354</f>
        <v>0</v>
      </c>
      <c r="C354" s="17">
        <f>Tank!L355</f>
        <v>0</v>
      </c>
      <c r="D354" s="17">
        <f t="shared" si="50"/>
        <v>0</v>
      </c>
      <c r="E354" s="17">
        <f t="shared" si="51"/>
        <v>0</v>
      </c>
      <c r="F354" s="17">
        <f t="shared" si="48"/>
        <v>0</v>
      </c>
      <c r="G354" s="139">
        <f>Comb!E354</f>
        <v>0</v>
      </c>
      <c r="H354" s="139">
        <f>Tank!O355</f>
        <v>0</v>
      </c>
      <c r="I354" s="17">
        <f t="shared" si="49"/>
        <v>0</v>
      </c>
      <c r="J354" s="17">
        <f t="shared" si="52"/>
        <v>0</v>
      </c>
      <c r="K354" s="17">
        <f t="shared" si="53"/>
        <v>0</v>
      </c>
      <c r="L354" s="139">
        <f t="shared" si="54"/>
        <v>0</v>
      </c>
    </row>
    <row r="355" spans="1:12">
      <c r="A355" s="8">
        <v>45280</v>
      </c>
      <c r="B355" s="17">
        <f>Comb!C355</f>
        <v>0</v>
      </c>
      <c r="C355" s="17">
        <f>Tank!L356</f>
        <v>0</v>
      </c>
      <c r="D355" s="17">
        <f t="shared" si="50"/>
        <v>0</v>
      </c>
      <c r="E355" s="17">
        <f t="shared" si="51"/>
        <v>0</v>
      </c>
      <c r="F355" s="17">
        <f t="shared" si="48"/>
        <v>0</v>
      </c>
      <c r="G355" s="139">
        <f>Comb!E355</f>
        <v>0</v>
      </c>
      <c r="H355" s="139">
        <f>Tank!O356</f>
        <v>0</v>
      </c>
      <c r="I355" s="17">
        <f t="shared" si="49"/>
        <v>0</v>
      </c>
      <c r="J355" s="17">
        <f t="shared" si="52"/>
        <v>0</v>
      </c>
      <c r="K355" s="17">
        <f t="shared" si="53"/>
        <v>0</v>
      </c>
      <c r="L355" s="139">
        <f t="shared" si="54"/>
        <v>0</v>
      </c>
    </row>
    <row r="356" spans="1:12">
      <c r="A356" s="8">
        <v>45281</v>
      </c>
      <c r="B356" s="17">
        <f>Comb!C356</f>
        <v>0</v>
      </c>
      <c r="C356" s="17">
        <f>Tank!L357</f>
        <v>0</v>
      </c>
      <c r="D356" s="17">
        <f t="shared" si="50"/>
        <v>0</v>
      </c>
      <c r="E356" s="17">
        <f t="shared" si="51"/>
        <v>0</v>
      </c>
      <c r="F356" s="17">
        <f t="shared" si="48"/>
        <v>0</v>
      </c>
      <c r="G356" s="139">
        <f>Comb!E356</f>
        <v>0</v>
      </c>
      <c r="H356" s="139">
        <f>Tank!O357</f>
        <v>0</v>
      </c>
      <c r="I356" s="17">
        <f t="shared" si="49"/>
        <v>0</v>
      </c>
      <c r="J356" s="17">
        <f t="shared" si="52"/>
        <v>0</v>
      </c>
      <c r="K356" s="17">
        <f t="shared" si="53"/>
        <v>0</v>
      </c>
      <c r="L356" s="139">
        <f t="shared" si="54"/>
        <v>0</v>
      </c>
    </row>
    <row r="357" spans="1:12">
      <c r="A357" s="8">
        <v>45282</v>
      </c>
      <c r="B357" s="17">
        <f>Comb!C357</f>
        <v>0</v>
      </c>
      <c r="C357" s="17">
        <f>Tank!L358</f>
        <v>0</v>
      </c>
      <c r="D357" s="17">
        <f t="shared" si="50"/>
        <v>0</v>
      </c>
      <c r="E357" s="17">
        <f t="shared" si="51"/>
        <v>0</v>
      </c>
      <c r="F357" s="17">
        <f t="shared" si="48"/>
        <v>0</v>
      </c>
      <c r="G357" s="139">
        <f>Comb!E357</f>
        <v>0</v>
      </c>
      <c r="H357" s="139">
        <f>Tank!O358</f>
        <v>0</v>
      </c>
      <c r="I357" s="17">
        <f t="shared" si="49"/>
        <v>0</v>
      </c>
      <c r="J357" s="17">
        <f t="shared" si="52"/>
        <v>0</v>
      </c>
      <c r="K357" s="17">
        <f t="shared" si="53"/>
        <v>0</v>
      </c>
      <c r="L357" s="139">
        <f t="shared" si="54"/>
        <v>0</v>
      </c>
    </row>
    <row r="358" spans="1:12">
      <c r="A358" s="8">
        <v>45283</v>
      </c>
      <c r="B358" s="17">
        <f>Comb!C358</f>
        <v>0</v>
      </c>
      <c r="C358" s="17">
        <f>Tank!L359</f>
        <v>0</v>
      </c>
      <c r="D358" s="17">
        <f t="shared" si="50"/>
        <v>0</v>
      </c>
      <c r="E358" s="17">
        <f t="shared" si="51"/>
        <v>0</v>
      </c>
      <c r="F358" s="17">
        <f t="shared" si="48"/>
        <v>0</v>
      </c>
      <c r="G358" s="139">
        <f>Comb!E358</f>
        <v>0</v>
      </c>
      <c r="H358" s="139">
        <f>Tank!O359</f>
        <v>0</v>
      </c>
      <c r="I358" s="17">
        <f t="shared" si="49"/>
        <v>0</v>
      </c>
      <c r="J358" s="17">
        <f t="shared" si="52"/>
        <v>0</v>
      </c>
      <c r="K358" s="17">
        <f t="shared" si="53"/>
        <v>0</v>
      </c>
      <c r="L358" s="139">
        <f t="shared" si="54"/>
        <v>0</v>
      </c>
    </row>
    <row r="359" spans="1:12">
      <c r="A359" s="8">
        <v>45284</v>
      </c>
      <c r="B359" s="17">
        <f>Comb!C359</f>
        <v>0</v>
      </c>
      <c r="C359" s="17">
        <f>Tank!L360</f>
        <v>0</v>
      </c>
      <c r="D359" s="17">
        <f t="shared" si="50"/>
        <v>0</v>
      </c>
      <c r="E359" s="17">
        <f t="shared" si="51"/>
        <v>0</v>
      </c>
      <c r="F359" s="17">
        <f t="shared" si="48"/>
        <v>0</v>
      </c>
      <c r="G359" s="139">
        <f>Comb!E359</f>
        <v>0</v>
      </c>
      <c r="H359" s="139">
        <f>Tank!O360</f>
        <v>0</v>
      </c>
      <c r="I359" s="17">
        <f t="shared" si="49"/>
        <v>0</v>
      </c>
      <c r="J359" s="17">
        <f t="shared" si="52"/>
        <v>0</v>
      </c>
      <c r="K359" s="17">
        <f t="shared" si="53"/>
        <v>0</v>
      </c>
      <c r="L359" s="139">
        <f t="shared" si="54"/>
        <v>0</v>
      </c>
    </row>
    <row r="360" spans="1:12">
      <c r="A360" s="8">
        <v>45285</v>
      </c>
      <c r="B360" s="17">
        <f>Comb!C360</f>
        <v>0</v>
      </c>
      <c r="C360" s="17">
        <f>Tank!L361</f>
        <v>0</v>
      </c>
      <c r="D360" s="17">
        <f t="shared" si="50"/>
        <v>0</v>
      </c>
      <c r="E360" s="17">
        <f t="shared" si="51"/>
        <v>0</v>
      </c>
      <c r="F360" s="17">
        <f t="shared" si="48"/>
        <v>0</v>
      </c>
      <c r="G360" s="139">
        <f>Comb!E360</f>
        <v>0</v>
      </c>
      <c r="H360" s="139">
        <f>Tank!O361</f>
        <v>0</v>
      </c>
      <c r="I360" s="17">
        <f t="shared" si="49"/>
        <v>0</v>
      </c>
      <c r="J360" s="17">
        <f t="shared" si="52"/>
        <v>0</v>
      </c>
      <c r="K360" s="17">
        <f t="shared" si="53"/>
        <v>0</v>
      </c>
      <c r="L360" s="139">
        <f t="shared" si="54"/>
        <v>0</v>
      </c>
    </row>
    <row r="361" spans="1:12">
      <c r="A361" s="8">
        <v>45286</v>
      </c>
      <c r="B361" s="17">
        <f>Comb!C361</f>
        <v>0</v>
      </c>
      <c r="C361" s="17">
        <f>Tank!L362</f>
        <v>0</v>
      </c>
      <c r="D361" s="17">
        <f t="shared" si="50"/>
        <v>0</v>
      </c>
      <c r="E361" s="17">
        <f t="shared" si="51"/>
        <v>0</v>
      </c>
      <c r="F361" s="17">
        <f t="shared" si="48"/>
        <v>0</v>
      </c>
      <c r="G361" s="139">
        <f>Comb!E361</f>
        <v>0</v>
      </c>
      <c r="H361" s="139">
        <f>Tank!O362</f>
        <v>0</v>
      </c>
      <c r="I361" s="17">
        <f t="shared" si="49"/>
        <v>0</v>
      </c>
      <c r="J361" s="17">
        <f t="shared" si="52"/>
        <v>0</v>
      </c>
      <c r="K361" s="17">
        <f t="shared" si="53"/>
        <v>0</v>
      </c>
      <c r="L361" s="139">
        <f t="shared" si="54"/>
        <v>0</v>
      </c>
    </row>
    <row r="362" spans="1:12">
      <c r="A362" s="8">
        <v>45287</v>
      </c>
      <c r="B362" s="17">
        <f>Comb!C362</f>
        <v>0</v>
      </c>
      <c r="C362" s="17">
        <f>Tank!L363</f>
        <v>0</v>
      </c>
      <c r="D362" s="17">
        <f t="shared" si="50"/>
        <v>0</v>
      </c>
      <c r="E362" s="17">
        <f t="shared" si="51"/>
        <v>0</v>
      </c>
      <c r="F362" s="17">
        <f t="shared" si="48"/>
        <v>0</v>
      </c>
      <c r="G362" s="139">
        <f>Comb!E362</f>
        <v>0</v>
      </c>
      <c r="H362" s="139">
        <f>Tank!O363</f>
        <v>0</v>
      </c>
      <c r="I362" s="17">
        <f t="shared" si="49"/>
        <v>0</v>
      </c>
      <c r="J362" s="17">
        <f t="shared" si="52"/>
        <v>0</v>
      </c>
      <c r="K362" s="17">
        <f t="shared" si="53"/>
        <v>0</v>
      </c>
      <c r="L362" s="139">
        <f t="shared" si="54"/>
        <v>0</v>
      </c>
    </row>
    <row r="363" spans="1:12">
      <c r="A363" s="8">
        <v>45288</v>
      </c>
      <c r="B363" s="17">
        <f>Comb!C363</f>
        <v>0</v>
      </c>
      <c r="C363" s="17">
        <f>Tank!L364</f>
        <v>0</v>
      </c>
      <c r="D363" s="17">
        <f t="shared" si="50"/>
        <v>0</v>
      </c>
      <c r="E363" s="17">
        <f t="shared" si="51"/>
        <v>0</v>
      </c>
      <c r="F363" s="17">
        <f t="shared" si="48"/>
        <v>0</v>
      </c>
      <c r="G363" s="139">
        <f>Comb!E363</f>
        <v>0</v>
      </c>
      <c r="H363" s="139">
        <f>Tank!O364</f>
        <v>0</v>
      </c>
      <c r="I363" s="17">
        <f t="shared" si="49"/>
        <v>0</v>
      </c>
      <c r="J363" s="17">
        <f t="shared" si="52"/>
        <v>0</v>
      </c>
      <c r="K363" s="17">
        <f t="shared" si="53"/>
        <v>0</v>
      </c>
      <c r="L363" s="139">
        <f t="shared" si="54"/>
        <v>0</v>
      </c>
    </row>
    <row r="364" spans="1:12">
      <c r="A364" s="8">
        <v>45289</v>
      </c>
      <c r="B364" s="17">
        <f>Comb!C364</f>
        <v>0</v>
      </c>
      <c r="C364" s="17">
        <f>Tank!L365</f>
        <v>0</v>
      </c>
      <c r="D364" s="17">
        <f t="shared" si="50"/>
        <v>0</v>
      </c>
      <c r="E364" s="17">
        <f t="shared" si="51"/>
        <v>0</v>
      </c>
      <c r="F364" s="17">
        <f t="shared" si="48"/>
        <v>0</v>
      </c>
      <c r="G364" s="139">
        <f>Comb!E364</f>
        <v>0</v>
      </c>
      <c r="H364" s="139">
        <f>Tank!O365</f>
        <v>0</v>
      </c>
      <c r="I364" s="17">
        <f t="shared" si="49"/>
        <v>0</v>
      </c>
      <c r="J364" s="17">
        <f t="shared" si="52"/>
        <v>0</v>
      </c>
      <c r="K364" s="17">
        <f t="shared" si="53"/>
        <v>0</v>
      </c>
      <c r="L364" s="139">
        <f t="shared" si="54"/>
        <v>0</v>
      </c>
    </row>
    <row r="365" spans="1:12">
      <c r="A365" s="8">
        <v>45290</v>
      </c>
      <c r="B365" s="17">
        <f>Comb!C365</f>
        <v>0</v>
      </c>
      <c r="C365" s="17">
        <f>Tank!L366</f>
        <v>0</v>
      </c>
      <c r="D365" s="17">
        <f t="shared" si="50"/>
        <v>0</v>
      </c>
      <c r="E365" s="17">
        <f t="shared" si="51"/>
        <v>0</v>
      </c>
      <c r="F365" s="17">
        <f t="shared" si="48"/>
        <v>0</v>
      </c>
      <c r="G365" s="139">
        <f>Comb!E365</f>
        <v>0</v>
      </c>
      <c r="H365" s="139">
        <f>Tank!O366</f>
        <v>0</v>
      </c>
      <c r="I365" s="17">
        <f t="shared" si="49"/>
        <v>0</v>
      </c>
      <c r="J365" s="17">
        <f t="shared" si="52"/>
        <v>0</v>
      </c>
      <c r="K365" s="17">
        <f t="shared" si="53"/>
        <v>0</v>
      </c>
      <c r="L365" s="139">
        <f t="shared" si="54"/>
        <v>0</v>
      </c>
    </row>
    <row r="366" spans="1:12">
      <c r="A366" s="8">
        <v>45291</v>
      </c>
      <c r="B366" s="17">
        <f>Comb!C366</f>
        <v>0</v>
      </c>
      <c r="C366" s="17">
        <f>Tank!L367</f>
        <v>0</v>
      </c>
      <c r="D366" s="17">
        <f t="shared" si="50"/>
        <v>0</v>
      </c>
      <c r="E366" s="17">
        <f t="shared" si="51"/>
        <v>0</v>
      </c>
      <c r="F366" s="17">
        <f t="shared" si="48"/>
        <v>0</v>
      </c>
      <c r="G366" s="139">
        <f>Comb!E366</f>
        <v>0</v>
      </c>
      <c r="H366" s="139">
        <f>Tank!O367</f>
        <v>0</v>
      </c>
      <c r="I366" s="17">
        <f t="shared" si="49"/>
        <v>0</v>
      </c>
      <c r="J366" s="17">
        <f t="shared" si="52"/>
        <v>0</v>
      </c>
      <c r="K366" s="17">
        <f t="shared" si="53"/>
        <v>0</v>
      </c>
      <c r="L366" s="139">
        <f t="shared" si="54"/>
        <v>0</v>
      </c>
    </row>
    <row r="369" spans="10:10">
      <c r="J369" s="61"/>
    </row>
    <row r="370" spans="10:10">
      <c r="J370" s="102"/>
    </row>
  </sheetData>
  <autoFilter ref="A1:M366" xr:uid="{00000000-0009-0000-0000-00000A000000}"/>
  <conditionalFormatting sqref="F2:F366">
    <cfRule type="cellIs" dxfId="2" priority="2" operator="greaterThan">
      <formula>0</formula>
    </cfRule>
  </conditionalFormatting>
  <conditionalFormatting sqref="F2:G366 I2:I366">
    <cfRule type="cellIs" dxfId="1" priority="6" operator="lessThan">
      <formula>0</formula>
    </cfRule>
  </conditionalFormatting>
  <conditionalFormatting sqref="I2:I366">
    <cfRule type="cellIs" dxfId="0" priority="1" operator="greaterThan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Y62"/>
  <sheetViews>
    <sheetView workbookViewId="0">
      <selection activeCell="AE23" sqref="AE23"/>
    </sheetView>
  </sheetViews>
  <sheetFormatPr defaultColWidth="11.42578125" defaultRowHeight="15"/>
  <cols>
    <col min="2" max="25" width="7.85546875" customWidth="1"/>
  </cols>
  <sheetData>
    <row r="1" spans="1:25">
      <c r="A1" s="13"/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</row>
    <row r="2" spans="1:25" hidden="1">
      <c r="A2" s="98">
        <v>44501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idden="1">
      <c r="A3" s="98">
        <v>44502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idden="1">
      <c r="A4" s="98">
        <v>44503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 t="s">
        <v>233</v>
      </c>
      <c r="X4" s="11" t="s">
        <v>233</v>
      </c>
      <c r="Y4" s="11"/>
    </row>
    <row r="5" spans="1:25" hidden="1">
      <c r="A5" s="98">
        <v>44504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 t="s">
        <v>233</v>
      </c>
      <c r="X5" s="11" t="s">
        <v>233</v>
      </c>
      <c r="Y5" s="11"/>
    </row>
    <row r="6" spans="1:25" hidden="1">
      <c r="A6" s="98">
        <v>44505</v>
      </c>
      <c r="B6" s="11"/>
      <c r="C6" s="11"/>
      <c r="D6" s="11"/>
      <c r="E6" s="11"/>
      <c r="F6" s="11" t="s">
        <v>233</v>
      </c>
      <c r="G6" s="11"/>
      <c r="H6" s="11"/>
      <c r="I6" s="11"/>
      <c r="J6" s="11"/>
      <c r="K6" s="11" t="s">
        <v>233</v>
      </c>
      <c r="L6" s="11"/>
      <c r="M6" s="11"/>
      <c r="N6" s="11"/>
      <c r="O6" s="11"/>
      <c r="P6" s="11" t="s">
        <v>233</v>
      </c>
      <c r="Q6" s="11" t="s">
        <v>233</v>
      </c>
      <c r="R6" s="11" t="s">
        <v>233</v>
      </c>
      <c r="S6" s="11" t="s">
        <v>233</v>
      </c>
      <c r="T6" s="11" t="s">
        <v>233</v>
      </c>
      <c r="U6" s="11" t="s">
        <v>233</v>
      </c>
      <c r="V6" s="11" t="s">
        <v>233</v>
      </c>
      <c r="W6" s="11" t="s">
        <v>233</v>
      </c>
      <c r="X6" s="11" t="s">
        <v>233</v>
      </c>
      <c r="Y6" s="11" t="s">
        <v>233</v>
      </c>
    </row>
    <row r="7" spans="1:25" hidden="1">
      <c r="A7" s="98">
        <v>44506</v>
      </c>
      <c r="B7" s="11" t="s">
        <v>233</v>
      </c>
      <c r="C7" s="11" t="s">
        <v>233</v>
      </c>
      <c r="D7" s="11" t="s">
        <v>233</v>
      </c>
      <c r="E7" s="11"/>
      <c r="F7" s="11"/>
      <c r="G7" s="11"/>
      <c r="H7" s="11"/>
      <c r="I7" s="11"/>
      <c r="J7" s="11"/>
      <c r="K7" s="11"/>
      <c r="L7" s="11" t="s">
        <v>233</v>
      </c>
      <c r="M7" s="11" t="s">
        <v>233</v>
      </c>
      <c r="N7" s="11" t="s">
        <v>233</v>
      </c>
      <c r="O7" s="11" t="s">
        <v>233</v>
      </c>
      <c r="P7" s="11" t="s">
        <v>233</v>
      </c>
      <c r="Q7" s="11" t="s">
        <v>233</v>
      </c>
      <c r="R7" s="11" t="s">
        <v>233</v>
      </c>
      <c r="S7" s="11" t="s">
        <v>233</v>
      </c>
      <c r="T7" s="11" t="s">
        <v>233</v>
      </c>
      <c r="U7" s="11" t="s">
        <v>233</v>
      </c>
      <c r="V7" s="11"/>
      <c r="W7" s="11" t="s">
        <v>233</v>
      </c>
      <c r="X7" s="11" t="s">
        <v>233</v>
      </c>
      <c r="Y7" s="11" t="s">
        <v>233</v>
      </c>
    </row>
    <row r="8" spans="1:25" hidden="1">
      <c r="A8" s="98">
        <v>44507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 t="s">
        <v>233</v>
      </c>
      <c r="U8" s="11" t="s">
        <v>233</v>
      </c>
      <c r="V8" s="11"/>
      <c r="W8" s="11" t="s">
        <v>233</v>
      </c>
      <c r="X8" s="11" t="s">
        <v>233</v>
      </c>
      <c r="Y8" s="11" t="s">
        <v>233</v>
      </c>
    </row>
    <row r="9" spans="1:25" hidden="1">
      <c r="A9" s="98">
        <v>44508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 t="s">
        <v>233</v>
      </c>
      <c r="P9" s="11" t="s">
        <v>233</v>
      </c>
      <c r="Q9" s="11" t="s">
        <v>233</v>
      </c>
      <c r="R9" s="11" t="s">
        <v>233</v>
      </c>
      <c r="S9" s="11" t="s">
        <v>233</v>
      </c>
      <c r="T9" s="11" t="s">
        <v>233</v>
      </c>
      <c r="U9" s="11" t="s">
        <v>233</v>
      </c>
      <c r="V9" s="11"/>
      <c r="W9" s="11" t="s">
        <v>233</v>
      </c>
      <c r="X9" s="11"/>
      <c r="Y9" s="11" t="s">
        <v>233</v>
      </c>
    </row>
    <row r="10" spans="1:25" hidden="1">
      <c r="A10" s="98">
        <v>44509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 t="s">
        <v>233</v>
      </c>
      <c r="P10" s="11" t="s">
        <v>233</v>
      </c>
      <c r="Q10" s="11"/>
      <c r="R10" s="11"/>
      <c r="S10" s="11"/>
      <c r="T10" s="11"/>
      <c r="U10" s="11"/>
      <c r="V10" s="11"/>
      <c r="W10" s="11"/>
      <c r="X10" s="11"/>
      <c r="Y10" s="11"/>
    </row>
    <row r="11" spans="1:25" hidden="1">
      <c r="A11" s="98">
        <v>44510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 t="s">
        <v>233</v>
      </c>
      <c r="T11" s="11" t="s">
        <v>233</v>
      </c>
      <c r="U11" s="11" t="s">
        <v>233</v>
      </c>
      <c r="V11" s="11"/>
      <c r="W11" s="11" t="s">
        <v>233</v>
      </c>
      <c r="X11" s="11" t="s">
        <v>233</v>
      </c>
      <c r="Y11" s="11" t="s">
        <v>233</v>
      </c>
    </row>
    <row r="12" spans="1:25" hidden="1">
      <c r="A12" s="98">
        <v>44511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idden="1">
      <c r="A13" s="98">
        <v>44512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idden="1">
      <c r="A14" s="98">
        <v>44513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idden="1">
      <c r="A15" s="98">
        <v>44514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idden="1">
      <c r="A16" s="98">
        <v>44515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idden="1">
      <c r="A17" s="98">
        <v>44516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idden="1">
      <c r="A18" s="98">
        <v>44517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idden="1">
      <c r="A19" s="98">
        <v>44518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 t="s">
        <v>233</v>
      </c>
      <c r="X19" s="11" t="s">
        <v>233</v>
      </c>
      <c r="Y19" s="11" t="s">
        <v>233</v>
      </c>
    </row>
    <row r="20" spans="1:25" hidden="1">
      <c r="A20" s="98">
        <v>44519</v>
      </c>
      <c r="B20" s="11" t="s">
        <v>233</v>
      </c>
      <c r="C20" s="11" t="s">
        <v>233</v>
      </c>
      <c r="D20" s="11" t="s">
        <v>233</v>
      </c>
      <c r="E20" s="11" t="s">
        <v>233</v>
      </c>
      <c r="F20" s="11" t="s">
        <v>233</v>
      </c>
      <c r="G20" s="11" t="s">
        <v>233</v>
      </c>
      <c r="H20" s="11" t="s">
        <v>233</v>
      </c>
      <c r="I20" s="11" t="s">
        <v>233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 t="s">
        <v>233</v>
      </c>
      <c r="X20" s="11" t="s">
        <v>233</v>
      </c>
      <c r="Y20" s="11" t="s">
        <v>233</v>
      </c>
    </row>
    <row r="21" spans="1:25" hidden="1">
      <c r="A21" s="98">
        <v>44520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idden="1">
      <c r="A22" s="98">
        <v>44521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idden="1">
      <c r="A23" s="98">
        <v>44522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idden="1">
      <c r="A24" s="98">
        <v>44523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idden="1">
      <c r="A25" s="98">
        <v>44524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idden="1">
      <c r="A26" s="98">
        <v>44525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idden="1">
      <c r="A27" s="98">
        <v>44526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idden="1">
      <c r="A28" s="98">
        <v>44527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idden="1">
      <c r="A29" s="98">
        <v>44528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idden="1">
      <c r="A30" s="98">
        <v>44529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idden="1">
      <c r="A31" s="98">
        <v>44530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>
      <c r="A32" s="98">
        <v>44531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>
      <c r="A33" s="98">
        <v>44532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>
      <c r="A34" s="98">
        <v>44533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>
      <c r="A35" s="98">
        <v>44534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>
      <c r="A36" s="98">
        <v>44535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>
      <c r="A37" s="98">
        <v>44536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>
      <c r="A38" s="98">
        <v>44537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>
      <c r="A39" s="98">
        <v>44538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>
      <c r="A40" s="98">
        <v>44539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>
      <c r="A41" s="98">
        <v>44540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>
      <c r="A42" s="98">
        <v>44541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 t="s">
        <v>233</v>
      </c>
      <c r="T42" s="11" t="s">
        <v>233</v>
      </c>
      <c r="U42" s="11" t="s">
        <v>233</v>
      </c>
      <c r="V42" s="11" t="s">
        <v>233</v>
      </c>
      <c r="W42" s="11"/>
      <c r="X42" s="11"/>
      <c r="Y42" s="11"/>
    </row>
    <row r="43" spans="1:25">
      <c r="A43" s="98">
        <v>44542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>
      <c r="A44" s="98">
        <v>44543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>
      <c r="A45" s="98">
        <v>44544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>
      <c r="A46" s="98">
        <v>44545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>
      <c r="A47" s="98">
        <v>44546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>
      <c r="A48" s="98">
        <v>44547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>
      <c r="A49" s="98">
        <v>44548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>
      <c r="A50" s="98">
        <v>44549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>
      <c r="A51" s="98">
        <v>44550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>
      <c r="A52" s="98">
        <v>44551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>
      <c r="A53" s="98">
        <v>44552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>
      <c r="A54" s="98">
        <v>44553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>
      <c r="A55" s="98">
        <v>44554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>
      <c r="A56" s="98">
        <v>44555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>
      <c r="A57" s="98">
        <v>44556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>
      <c r="A58" s="98">
        <v>44557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>
      <c r="A59" s="98">
        <v>44558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>
      <c r="A60" s="98">
        <v>44559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>
      <c r="A61" s="98">
        <v>44560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>
      <c r="A62" s="98">
        <v>44561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</sheetData>
  <autoFilter ref="A1:Y62" xr:uid="{00000000-0009-0000-0000-00000C000000}">
    <filterColumn colId="0">
      <filters>
        <dateGroupItem year="2021" month="12" dateTimeGrouping="month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51"/>
  <dimension ref="A1:B33"/>
  <sheetViews>
    <sheetView view="pageBreakPreview" zoomScaleNormal="100" zoomScaleSheetLayoutView="100" workbookViewId="0">
      <selection activeCell="B31" sqref="B31"/>
    </sheetView>
  </sheetViews>
  <sheetFormatPr defaultColWidth="11.42578125" defaultRowHeight="15"/>
  <cols>
    <col min="1" max="1" width="20.42578125" style="47" bestFit="1" customWidth="1"/>
    <col min="2" max="2" width="86.42578125" bestFit="1" customWidth="1"/>
  </cols>
  <sheetData>
    <row r="1" spans="1:2">
      <c r="A1" s="216" t="s">
        <v>769</v>
      </c>
      <c r="B1" s="216" t="s">
        <v>770</v>
      </c>
    </row>
    <row r="2" spans="1:2">
      <c r="A2" s="65" t="s">
        <v>771</v>
      </c>
      <c r="B2" s="28" t="s">
        <v>763</v>
      </c>
    </row>
    <row r="3" spans="1:2">
      <c r="A3" s="65" t="s">
        <v>772</v>
      </c>
      <c r="B3" s="28" t="s">
        <v>773</v>
      </c>
    </row>
    <row r="4" spans="1:2">
      <c r="A4" s="65" t="s">
        <v>774</v>
      </c>
      <c r="B4" s="28" t="s">
        <v>775</v>
      </c>
    </row>
    <row r="5" spans="1:2">
      <c r="A5" s="65" t="s">
        <v>776</v>
      </c>
      <c r="B5" s="28" t="s">
        <v>777</v>
      </c>
    </row>
    <row r="6" spans="1:2">
      <c r="A6" s="65" t="s">
        <v>778</v>
      </c>
      <c r="B6" s="28" t="s">
        <v>779</v>
      </c>
    </row>
    <row r="7" spans="1:2">
      <c r="A7" s="65" t="s">
        <v>780</v>
      </c>
      <c r="B7" s="28" t="s">
        <v>781</v>
      </c>
    </row>
    <row r="8" spans="1:2">
      <c r="A8" s="65" t="s">
        <v>782</v>
      </c>
      <c r="B8" s="28" t="s">
        <v>783</v>
      </c>
    </row>
    <row r="9" spans="1:2">
      <c r="A9" s="65" t="s">
        <v>784</v>
      </c>
      <c r="B9" s="28" t="s">
        <v>785</v>
      </c>
    </row>
    <row r="10" spans="1:2">
      <c r="A10" s="65" t="s">
        <v>786</v>
      </c>
      <c r="B10" s="28" t="s">
        <v>787</v>
      </c>
    </row>
    <row r="11" spans="1:2">
      <c r="A11" s="65" t="s">
        <v>788</v>
      </c>
      <c r="B11" s="28" t="s">
        <v>789</v>
      </c>
    </row>
    <row r="12" spans="1:2">
      <c r="A12" s="65" t="s">
        <v>790</v>
      </c>
      <c r="B12" s="28" t="s">
        <v>791</v>
      </c>
    </row>
    <row r="13" spans="1:2">
      <c r="A13" s="65" t="s">
        <v>792</v>
      </c>
      <c r="B13" s="28" t="s">
        <v>793</v>
      </c>
    </row>
    <row r="14" spans="1:2">
      <c r="A14" s="65" t="s">
        <v>794</v>
      </c>
      <c r="B14" s="28" t="s">
        <v>795</v>
      </c>
    </row>
    <row r="15" spans="1:2">
      <c r="A15" s="65" t="s">
        <v>796</v>
      </c>
      <c r="B15" s="28" t="s">
        <v>797</v>
      </c>
    </row>
    <row r="16" spans="1:2" ht="30">
      <c r="A16" s="11" t="s">
        <v>798</v>
      </c>
      <c r="B16" s="81" t="s">
        <v>799</v>
      </c>
    </row>
    <row r="17" spans="1:2">
      <c r="A17" s="65" t="s">
        <v>800</v>
      </c>
      <c r="B17" s="28" t="s">
        <v>801</v>
      </c>
    </row>
    <row r="18" spans="1:2">
      <c r="A18" s="65" t="s">
        <v>802</v>
      </c>
      <c r="B18" s="28" t="s">
        <v>803</v>
      </c>
    </row>
    <row r="19" spans="1:2">
      <c r="A19" s="65" t="s">
        <v>804</v>
      </c>
      <c r="B19" s="28" t="s">
        <v>805</v>
      </c>
    </row>
    <row r="20" spans="1:2">
      <c r="A20" s="65" t="s">
        <v>806</v>
      </c>
      <c r="B20" s="28" t="s">
        <v>807</v>
      </c>
    </row>
    <row r="21" spans="1:2">
      <c r="A21" s="65" t="s">
        <v>808</v>
      </c>
      <c r="B21" s="28" t="s">
        <v>809</v>
      </c>
    </row>
    <row r="22" spans="1:2">
      <c r="A22" s="65" t="s">
        <v>810</v>
      </c>
      <c r="B22" s="28" t="s">
        <v>811</v>
      </c>
    </row>
    <row r="23" spans="1:2">
      <c r="A23" s="65" t="s">
        <v>812</v>
      </c>
      <c r="B23" s="28" t="s">
        <v>813</v>
      </c>
    </row>
    <row r="24" spans="1:2">
      <c r="A24" s="65" t="s">
        <v>814</v>
      </c>
      <c r="B24" s="28" t="s">
        <v>815</v>
      </c>
    </row>
    <row r="25" spans="1:2">
      <c r="A25" s="65" t="s">
        <v>816</v>
      </c>
      <c r="B25" s="28" t="s">
        <v>817</v>
      </c>
    </row>
    <row r="26" spans="1:2">
      <c r="A26" s="65" t="s">
        <v>818</v>
      </c>
      <c r="B26" s="28" t="s">
        <v>819</v>
      </c>
    </row>
    <row r="27" spans="1:2">
      <c r="A27" s="65" t="s">
        <v>820</v>
      </c>
      <c r="B27" s="28" t="s">
        <v>821</v>
      </c>
    </row>
    <row r="28" spans="1:2">
      <c r="A28" s="65" t="s">
        <v>224</v>
      </c>
      <c r="B28" s="28" t="s">
        <v>822</v>
      </c>
    </row>
    <row r="29" spans="1:2">
      <c r="A29" s="65" t="s">
        <v>225</v>
      </c>
      <c r="B29" s="28" t="s">
        <v>823</v>
      </c>
    </row>
    <row r="30" spans="1:2">
      <c r="A30" s="65" t="s">
        <v>762</v>
      </c>
      <c r="B30" s="28" t="s">
        <v>824</v>
      </c>
    </row>
    <row r="31" spans="1:2">
      <c r="A31" s="65" t="s">
        <v>825</v>
      </c>
      <c r="B31" s="28" t="s">
        <v>826</v>
      </c>
    </row>
    <row r="32" spans="1:2">
      <c r="A32" s="65" t="s">
        <v>1015</v>
      </c>
      <c r="B32" s="28" t="s">
        <v>1016</v>
      </c>
    </row>
    <row r="33" spans="1:2">
      <c r="A33" s="47" t="s">
        <v>1017</v>
      </c>
      <c r="B33" s="425" t="s">
        <v>1018</v>
      </c>
    </row>
  </sheetData>
  <sheetProtection autoFilter="0" pivotTables="0"/>
  <pageMargins left="0.7" right="0.7" top="0.75" bottom="0.75" header="0.3" footer="0.3"/>
  <pageSetup paperSize="9" scale="5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/>
  <dimension ref="A2:AY370"/>
  <sheetViews>
    <sheetView topLeftCell="F1" zoomScale="70" zoomScaleNormal="70" workbookViewId="0">
      <selection activeCell="J13" sqref="J13"/>
    </sheetView>
  </sheetViews>
  <sheetFormatPr defaultColWidth="11.42578125" defaultRowHeight="15"/>
  <cols>
    <col min="1" max="1" width="22.42578125" bestFit="1" customWidth="1"/>
    <col min="2" max="11" width="11.140625" bestFit="1" customWidth="1"/>
    <col min="12" max="12" width="22.42578125" bestFit="1" customWidth="1"/>
    <col min="13" max="13" width="7.42578125" bestFit="1" customWidth="1"/>
    <col min="14" max="14" width="8.28515625" bestFit="1" customWidth="1"/>
    <col min="15" max="15" width="7.42578125" bestFit="1" customWidth="1"/>
    <col min="16" max="16" width="6.85546875" bestFit="1" customWidth="1"/>
    <col min="17" max="19" width="6.85546875" customWidth="1"/>
    <col min="20" max="20" width="10.7109375" customWidth="1"/>
    <col min="21" max="21" width="13.5703125" customWidth="1"/>
    <col min="22" max="22" width="11.28515625" bestFit="1" customWidth="1"/>
    <col min="23" max="23" width="7.85546875" bestFit="1" customWidth="1"/>
    <col min="24" max="24" width="10.7109375" bestFit="1" customWidth="1"/>
    <col min="25" max="25" width="10" bestFit="1" customWidth="1"/>
    <col min="26" max="26" width="5" bestFit="1" customWidth="1"/>
    <col min="27" max="27" width="8.7109375" bestFit="1" customWidth="1"/>
    <col min="28" max="35" width="9.140625" bestFit="1" customWidth="1"/>
    <col min="36" max="37" width="10.140625" bestFit="1" customWidth="1"/>
    <col min="38" max="38" width="7" customWidth="1"/>
    <col min="39" max="39" width="8.5703125" bestFit="1" customWidth="1"/>
    <col min="40" max="41" width="5" bestFit="1" customWidth="1"/>
    <col min="42" max="42" width="4.42578125" bestFit="1" customWidth="1"/>
    <col min="43" max="43" width="4" bestFit="1" customWidth="1"/>
    <col min="44" max="51" width="5" bestFit="1" customWidth="1"/>
    <col min="52" max="221" width="22.42578125" bestFit="1" customWidth="1"/>
    <col min="222" max="222" width="12.5703125" bestFit="1" customWidth="1"/>
  </cols>
  <sheetData>
    <row r="2" spans="1:51">
      <c r="M2" s="495" t="s">
        <v>827</v>
      </c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01"/>
      <c r="AA2" s="401"/>
      <c r="AB2" s="401"/>
      <c r="AC2" s="401"/>
      <c r="AD2" s="401"/>
      <c r="AM2" s="495" t="s">
        <v>828</v>
      </c>
      <c r="AN2" s="495"/>
      <c r="AO2" s="495"/>
      <c r="AP2" s="495"/>
      <c r="AQ2" s="495"/>
      <c r="AR2" s="495"/>
      <c r="AS2" s="495"/>
      <c r="AT2" s="495"/>
      <c r="AU2" s="495"/>
      <c r="AV2" s="495"/>
      <c r="AW2" s="495"/>
      <c r="AX2" s="495"/>
      <c r="AY2" s="495"/>
    </row>
    <row r="3" spans="1:51">
      <c r="A3" s="36" t="s">
        <v>84</v>
      </c>
      <c r="B3" t="s">
        <v>829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  <c r="K3" t="s">
        <v>838</v>
      </c>
      <c r="AA3" t="s">
        <v>839</v>
      </c>
      <c r="AB3" t="s">
        <v>840</v>
      </c>
      <c r="AC3" t="s">
        <v>841</v>
      </c>
      <c r="AD3" t="s">
        <v>842</v>
      </c>
      <c r="AE3" t="s">
        <v>843</v>
      </c>
      <c r="AF3" t="s">
        <v>844</v>
      </c>
      <c r="AG3" t="s">
        <v>845</v>
      </c>
      <c r="AH3" t="s">
        <v>846</v>
      </c>
      <c r="AI3" t="s">
        <v>847</v>
      </c>
      <c r="AJ3" t="s">
        <v>848</v>
      </c>
    </row>
    <row r="4" spans="1:51">
      <c r="A4" s="99">
        <v>44926</v>
      </c>
      <c r="B4">
        <v>8804</v>
      </c>
      <c r="C4">
        <v>15142</v>
      </c>
      <c r="D4">
        <v>13876</v>
      </c>
      <c r="E4">
        <v>14981</v>
      </c>
      <c r="F4">
        <v>11967</v>
      </c>
      <c r="G4">
        <v>14809</v>
      </c>
      <c r="H4">
        <v>15156</v>
      </c>
      <c r="I4">
        <v>14905</v>
      </c>
      <c r="J4">
        <v>14144</v>
      </c>
      <c r="K4">
        <v>11856</v>
      </c>
      <c r="N4" s="12" t="s">
        <v>413</v>
      </c>
      <c r="O4" s="12" t="s">
        <v>414</v>
      </c>
      <c r="P4" s="12" t="s">
        <v>415</v>
      </c>
      <c r="Q4" s="12" t="s">
        <v>416</v>
      </c>
      <c r="R4" s="12" t="s">
        <v>417</v>
      </c>
      <c r="S4" s="12" t="s">
        <v>418</v>
      </c>
      <c r="T4" s="12" t="s">
        <v>419</v>
      </c>
      <c r="U4" s="12" t="s">
        <v>420</v>
      </c>
      <c r="V4" s="12" t="s">
        <v>421</v>
      </c>
      <c r="W4" s="12" t="s">
        <v>422</v>
      </c>
      <c r="X4" s="12" t="s">
        <v>423</v>
      </c>
      <c r="Y4" s="12" t="s">
        <v>424</v>
      </c>
      <c r="Z4" s="12"/>
      <c r="AA4">
        <v>5027</v>
      </c>
      <c r="AB4">
        <v>4463</v>
      </c>
      <c r="AC4">
        <v>5028</v>
      </c>
      <c r="AD4">
        <v>4458</v>
      </c>
      <c r="AE4">
        <v>2989</v>
      </c>
      <c r="AF4">
        <v>4163</v>
      </c>
      <c r="AG4">
        <v>4368</v>
      </c>
      <c r="AH4">
        <v>4668</v>
      </c>
      <c r="AI4">
        <v>4402</v>
      </c>
      <c r="AJ4">
        <v>4572</v>
      </c>
      <c r="AN4" s="12" t="s">
        <v>246</v>
      </c>
      <c r="AO4" s="12" t="s">
        <v>247</v>
      </c>
      <c r="AP4" s="12" t="s">
        <v>248</v>
      </c>
      <c r="AQ4" s="12" t="s">
        <v>249</v>
      </c>
      <c r="AR4" s="12" t="s">
        <v>250</v>
      </c>
      <c r="AS4" s="12" t="s">
        <v>251</v>
      </c>
      <c r="AT4" s="12" t="s">
        <v>252</v>
      </c>
      <c r="AU4" s="12" t="s">
        <v>253</v>
      </c>
      <c r="AV4" s="12" t="s">
        <v>254</v>
      </c>
      <c r="AW4" s="12" t="s">
        <v>255</v>
      </c>
      <c r="AX4" s="12" t="s">
        <v>256</v>
      </c>
      <c r="AY4" s="12" t="s">
        <v>257</v>
      </c>
    </row>
    <row r="5" spans="1:51">
      <c r="A5" s="99">
        <v>44927</v>
      </c>
      <c r="B5">
        <v>8814</v>
      </c>
      <c r="C5">
        <v>15148</v>
      </c>
      <c r="D5">
        <v>13884</v>
      </c>
      <c r="E5">
        <v>14988</v>
      </c>
      <c r="F5">
        <v>11967</v>
      </c>
      <c r="G5">
        <v>14817</v>
      </c>
      <c r="H5">
        <v>15162</v>
      </c>
      <c r="I5">
        <v>14913</v>
      </c>
      <c r="J5">
        <v>14144</v>
      </c>
      <c r="K5">
        <v>11865</v>
      </c>
      <c r="M5" s="12" t="s">
        <v>829</v>
      </c>
      <c r="N5" s="46">
        <f>'T. Dina'!AN5</f>
        <v>9445</v>
      </c>
      <c r="O5" s="46">
        <f>'T. Dina'!AO5</f>
        <v>10055</v>
      </c>
      <c r="P5" s="46">
        <f>'T. Dina'!AP5</f>
        <v>10639</v>
      </c>
      <c r="Q5" s="46">
        <f>'T. Dina'!AQ5</f>
        <v>11340</v>
      </c>
      <c r="R5" s="46">
        <f>'T. Dina'!AR5</f>
        <v>12052</v>
      </c>
      <c r="S5" s="46">
        <f>'T. Dina'!AS5</f>
        <v>12732</v>
      </c>
      <c r="T5" s="46">
        <f>'T. Dina'!AT5</f>
        <v>13430</v>
      </c>
      <c r="U5" s="46">
        <f>'T. Dina'!AU5</f>
        <v>0</v>
      </c>
      <c r="V5" s="46">
        <f>'T. Dina'!AV5</f>
        <v>0</v>
      </c>
      <c r="W5" s="46">
        <f>'T. Dina'!AW5</f>
        <v>0</v>
      </c>
      <c r="X5" s="46">
        <f>'T. Dina'!AX5</f>
        <v>0</v>
      </c>
      <c r="Y5" s="46">
        <f>'T. Dina'!AY5</f>
        <v>0</v>
      </c>
      <c r="Z5" s="46"/>
      <c r="AM5" s="211" t="s">
        <v>839</v>
      </c>
      <c r="AN5" s="46" t="str">
        <f>IFERROR(INDEX($AB$4:$AK$13,MATCH($AN$4,$AA$4:$AA$13,0),MATCH(AM5,$AB$3:$AK$3,0)),"")</f>
        <v/>
      </c>
      <c r="AO5" s="46" t="str">
        <f>IFERROR(INDEX($AB$4:$AK$13,MATCH($AO$4,$AA$4:$AA$13,0),MATCH(AM5,$AB$3:$AK$3,0)),"")</f>
        <v/>
      </c>
      <c r="AP5" s="46" t="str">
        <f>IFERROR(INDEX($AB$4:$AK$13,MATCH($AP$4,$AA$4:$AA$13,0),MATCH(AM5,$AB$3:$AK$3,0)),"")</f>
        <v/>
      </c>
      <c r="AQ5" s="46" t="str">
        <f>IFERROR(INDEX($AB$4:$AK$13,MATCH($AQ$4,$AA$4:$AA$13,0),MATCH(AM5,$AB$3:$AK$3,0)),"")</f>
        <v/>
      </c>
      <c r="AR5" s="46" t="str">
        <f>IFERROR(INDEX($AB$4:$AK$13,MATCH($AR$4,$AA$4:$AA$13,0),MATCH(AM5,$AB$3:$AK$3,0)),"")</f>
        <v/>
      </c>
      <c r="AS5" s="46" t="str">
        <f>IFERROR(INDEX($AB$4:$AK$13,MATCH($AS$4,$AA$4:$AA$13,0),MATCH(AM5,$AB$3:$AK$3,0)),"")</f>
        <v/>
      </c>
      <c r="AT5" s="46" t="str">
        <f>IFERROR(INDEX($AB$4:$AK$13,MATCH($AT$4,$AA$4:$AA$13,0),MATCH(AM5,$AB$3:$AK$3,0)),"")</f>
        <v/>
      </c>
      <c r="AU5" s="46" t="str">
        <f>IFERROR(INDEX($AB$4:$AK$13,MATCH($AU$4,$AA$4:$AA$13,0),MATCH(AM5,$AB$3:$AK$3,0)),"")</f>
        <v/>
      </c>
      <c r="AV5" s="46" t="str">
        <f>IFERROR(INDEX($AB$4:$AK$13,MATCH($AV$4,$AA$4:$AA$13,0),MATCH(AM5,$AB$3:$AK$3,0)),"")</f>
        <v/>
      </c>
      <c r="AW5" s="46" t="str">
        <f>IFERROR(INDEX($AB$4:$AK$16,MATCH($AW$4,$AA$4:$AA$16,0),MATCH(AM5,$AB$3:$AK$3,0)),"")</f>
        <v/>
      </c>
      <c r="AX5" s="46" t="str">
        <f>IFERROR(INDEX($AB$4:$AK$16,MATCH($AX$4,$AA$4:$AA$16,0),MATCH(AM5,$AB$3:$AK$3,0)),"")</f>
        <v/>
      </c>
      <c r="AY5" s="46" t="str">
        <f>IFERROR(INDEX($AB$4:$AK$16,MATCH($AY$4,$AA$4:$AA$16,0),MATCH(AM5,$AB$3:$AK$3,0)),"")</f>
        <v/>
      </c>
    </row>
    <row r="6" spans="1:51">
      <c r="A6" s="99">
        <v>44928</v>
      </c>
      <c r="B6">
        <v>8832</v>
      </c>
      <c r="C6">
        <v>15163</v>
      </c>
      <c r="D6">
        <v>13900</v>
      </c>
      <c r="E6">
        <v>14988</v>
      </c>
      <c r="F6">
        <v>11967</v>
      </c>
      <c r="G6">
        <v>14833</v>
      </c>
      <c r="H6">
        <v>15176</v>
      </c>
      <c r="I6">
        <v>14930</v>
      </c>
      <c r="J6">
        <v>14159</v>
      </c>
      <c r="K6">
        <v>11883</v>
      </c>
      <c r="M6" s="12" t="s">
        <v>830</v>
      </c>
      <c r="N6" s="46">
        <f>'T. Dina'!AN6</f>
        <v>15774</v>
      </c>
      <c r="O6" s="46">
        <f>'T. Dina'!AO6</f>
        <v>16371</v>
      </c>
      <c r="P6" s="46">
        <f>'T. Dina'!AP6</f>
        <v>17049</v>
      </c>
      <c r="Q6" s="46">
        <f>'T. Dina'!AQ6</f>
        <v>17108</v>
      </c>
      <c r="R6" s="46">
        <f>'T. Dina'!AR6</f>
        <v>17668</v>
      </c>
      <c r="S6" s="46">
        <f>'T. Dina'!AS6</f>
        <v>18345</v>
      </c>
      <c r="T6" s="46">
        <f>'T. Dina'!AT6</f>
        <v>19085</v>
      </c>
      <c r="U6" s="46">
        <f>'T. Dina'!AU6</f>
        <v>0</v>
      </c>
      <c r="V6" s="46">
        <f>'T. Dina'!AV6</f>
        <v>0</v>
      </c>
      <c r="W6" s="46">
        <f>'T. Dina'!AW6</f>
        <v>0</v>
      </c>
      <c r="X6" s="46">
        <f>'T. Dina'!AX6</f>
        <v>0</v>
      </c>
      <c r="Y6" s="46">
        <f>'T. Dina'!AY6</f>
        <v>0</v>
      </c>
      <c r="Z6" s="46"/>
      <c r="AM6" s="211" t="s">
        <v>840</v>
      </c>
      <c r="AN6" s="46" t="str">
        <f t="shared" ref="AN6:AN14" si="0">IFERROR(INDEX($AB$4:$AK$13,MATCH($AN$4,$AA$4:$AA$13,0),MATCH(AM6,$AB$3:$AK$3,0)),"")</f>
        <v/>
      </c>
      <c r="AO6" s="46" t="str">
        <f t="shared" ref="AO6:AO14" si="1">IFERROR(INDEX($AB$4:$AK$13,MATCH($AO$4,$AA$4:$AA$13,0),MATCH(AM6,$AB$3:$AK$3,0)),"")</f>
        <v/>
      </c>
      <c r="AP6" s="46" t="str">
        <f t="shared" ref="AP6:AP14" si="2">IFERROR(INDEX($AB$4:$AK$13,MATCH($AP$4,$AA$4:$AA$13,0),MATCH(AM6,$AB$3:$AK$3,0)),"")</f>
        <v/>
      </c>
      <c r="AQ6" s="46" t="str">
        <f t="shared" ref="AQ6:AQ14" si="3">IFERROR(INDEX($AB$4:$AK$13,MATCH($AQ$4,$AA$4:$AA$13,0),MATCH(AM6,$AB$3:$AK$3,0)),"")</f>
        <v/>
      </c>
      <c r="AR6" s="46" t="str">
        <f t="shared" ref="AR6:AR14" si="4">IFERROR(INDEX($AB$4:$AK$13,MATCH($AR$4,$AA$4:$AA$13,0),MATCH(AM6,$AB$3:$AK$3,0)),"")</f>
        <v/>
      </c>
      <c r="AS6" s="46" t="str">
        <f t="shared" ref="AS6:AS14" si="5">IFERROR(INDEX($AB$4:$AK$13,MATCH($AS$4,$AA$4:$AA$13,0),MATCH(AM6,$AB$3:$AK$3,0)),"")</f>
        <v/>
      </c>
      <c r="AT6" s="46" t="str">
        <f t="shared" ref="AT6:AT14" si="6">IFERROR(INDEX($AB$4:$AK$13,MATCH($AT$4,$AA$4:$AA$13,0),MATCH(AM6,$AB$3:$AK$3,0)),"")</f>
        <v/>
      </c>
      <c r="AU6" s="46" t="str">
        <f t="shared" ref="AU6:AU14" si="7">IFERROR(INDEX($AB$4:$AK$13,MATCH($AU$4,$AA$4:$AA$13,0),MATCH(AM6,$AB$3:$AK$3,0)),"")</f>
        <v/>
      </c>
      <c r="AV6" s="46" t="str">
        <f t="shared" ref="AV6:AV14" si="8">IFERROR(INDEX($AB$4:$AK$13,MATCH($AV$4,$AA$4:$AA$13,0),MATCH(AM6,$AB$3:$AK$3,0)),"")</f>
        <v/>
      </c>
      <c r="AW6" s="46" t="str">
        <f t="shared" ref="AW6:AW14" si="9">IFERROR(INDEX($AB$4:$AK$16,MATCH($AW$4,$AA$4:$AA$16,0),MATCH(AM6,$AB$3:$AK$3,0)),"")</f>
        <v/>
      </c>
      <c r="AX6" s="46" t="str">
        <f>IFERROR(INDEX($AB$4:$AK$16,MATCH($AX$4,$AA$4:$AA$16,0),MATCH(AM6,$AB$3:$AK$3,0)),"")</f>
        <v/>
      </c>
      <c r="AY6" s="46" t="str">
        <f t="shared" ref="AY6:AY14" si="10">IFERROR(INDEX($AB$4:$AK$16,MATCH($AY$4,$AA$4:$AA$16,0),MATCH(AM6,$AB$3:$AK$3,0)),"")</f>
        <v/>
      </c>
    </row>
    <row r="7" spans="1:51">
      <c r="A7" s="99">
        <v>44929</v>
      </c>
      <c r="B7">
        <v>8856</v>
      </c>
      <c r="C7">
        <v>15179</v>
      </c>
      <c r="D7">
        <v>13924</v>
      </c>
      <c r="E7">
        <v>15002</v>
      </c>
      <c r="F7">
        <v>11967</v>
      </c>
      <c r="G7">
        <v>14857</v>
      </c>
      <c r="H7">
        <v>15176</v>
      </c>
      <c r="I7">
        <v>14954</v>
      </c>
      <c r="J7">
        <v>14183</v>
      </c>
      <c r="K7">
        <v>11907</v>
      </c>
      <c r="M7" s="12" t="s">
        <v>831</v>
      </c>
      <c r="N7" s="46">
        <f>'T. Dina'!AN7</f>
        <v>14492</v>
      </c>
      <c r="O7" s="46">
        <f>'T. Dina'!AO7</f>
        <v>15114</v>
      </c>
      <c r="P7" s="46">
        <f>'T. Dina'!AP7</f>
        <v>15801</v>
      </c>
      <c r="Q7" s="46">
        <f>'T. Dina'!AQ7</f>
        <v>16499</v>
      </c>
      <c r="R7" s="46">
        <f>'T. Dina'!AR7</f>
        <v>17215</v>
      </c>
      <c r="S7" s="46">
        <f>'T. Dina'!AS7</f>
        <v>17890</v>
      </c>
      <c r="T7" s="46">
        <f>'T. Dina'!AT7</f>
        <v>18237</v>
      </c>
      <c r="U7" s="46">
        <f>'T. Dina'!AU7</f>
        <v>0</v>
      </c>
      <c r="V7" s="46">
        <f>'T. Dina'!AV7</f>
        <v>0</v>
      </c>
      <c r="W7" s="46">
        <f>'T. Dina'!AW7</f>
        <v>0</v>
      </c>
      <c r="X7" s="46">
        <f>'T. Dina'!AX7</f>
        <v>0</v>
      </c>
      <c r="Y7" s="46">
        <f>'T. Dina'!AY7</f>
        <v>0</v>
      </c>
      <c r="Z7" s="46"/>
      <c r="AM7" s="211" t="s">
        <v>841</v>
      </c>
      <c r="AN7" s="46" t="str">
        <f t="shared" si="0"/>
        <v/>
      </c>
      <c r="AO7" s="46" t="str">
        <f t="shared" si="1"/>
        <v/>
      </c>
      <c r="AP7" s="46" t="str">
        <f t="shared" si="2"/>
        <v/>
      </c>
      <c r="AQ7" s="46" t="str">
        <f t="shared" si="3"/>
        <v/>
      </c>
      <c r="AR7" s="46" t="str">
        <f t="shared" si="4"/>
        <v/>
      </c>
      <c r="AS7" s="46" t="str">
        <f t="shared" si="5"/>
        <v/>
      </c>
      <c r="AT7" s="46" t="str">
        <f t="shared" si="6"/>
        <v/>
      </c>
      <c r="AU7" s="46" t="str">
        <f t="shared" si="7"/>
        <v/>
      </c>
      <c r="AV7" s="46" t="str">
        <f t="shared" si="8"/>
        <v/>
      </c>
      <c r="AW7" s="46" t="str">
        <f t="shared" si="9"/>
        <v/>
      </c>
      <c r="AX7" s="46" t="str">
        <f t="shared" ref="AX7:AX14" si="11">IFERROR(INDEX($AB$4:$AK$16,MATCH($AX$4,$AA$4:$AA$16,0),MATCH(AM7,$AB$3:$AK$3,0)),"")</f>
        <v/>
      </c>
      <c r="AY7" s="46" t="str">
        <f t="shared" si="10"/>
        <v/>
      </c>
    </row>
    <row r="8" spans="1:51">
      <c r="A8" s="99">
        <v>44930</v>
      </c>
      <c r="B8">
        <v>8880</v>
      </c>
      <c r="C8">
        <v>15202</v>
      </c>
      <c r="D8">
        <v>13948</v>
      </c>
      <c r="E8">
        <v>15016</v>
      </c>
      <c r="F8">
        <v>11967</v>
      </c>
      <c r="G8">
        <v>14857</v>
      </c>
      <c r="H8">
        <v>15197</v>
      </c>
      <c r="I8">
        <v>14978</v>
      </c>
      <c r="J8">
        <v>14207</v>
      </c>
      <c r="K8">
        <v>11931</v>
      </c>
      <c r="M8" s="12" t="s">
        <v>832</v>
      </c>
      <c r="N8" s="46">
        <f>'T. Dina'!AN8</f>
        <v>15523</v>
      </c>
      <c r="O8" s="46">
        <f>'T. Dina'!AO8</f>
        <v>16131</v>
      </c>
      <c r="P8" s="46">
        <f>'T. Dina'!AP8</f>
        <v>16758</v>
      </c>
      <c r="Q8" s="46">
        <f>'T. Dina'!AQ8</f>
        <v>17458</v>
      </c>
      <c r="R8" s="46">
        <f>'T. Dina'!AR8</f>
        <v>17696</v>
      </c>
      <c r="S8" s="46">
        <f>'T. Dina'!AS8</f>
        <v>18182</v>
      </c>
      <c r="T8" s="46">
        <f>'T. Dina'!AT8</f>
        <v>18921</v>
      </c>
      <c r="U8" s="46">
        <f>'T. Dina'!AU8</f>
        <v>0</v>
      </c>
      <c r="V8" s="46">
        <f>'T. Dina'!AV8</f>
        <v>0</v>
      </c>
      <c r="W8" s="46">
        <f>'T. Dina'!AW8</f>
        <v>0</v>
      </c>
      <c r="X8" s="46">
        <f>'T. Dina'!AX8</f>
        <v>0</v>
      </c>
      <c r="Y8" s="46">
        <f>'T. Dina'!AY8</f>
        <v>0</v>
      </c>
      <c r="AM8" s="211" t="s">
        <v>842</v>
      </c>
      <c r="AN8" s="46" t="str">
        <f t="shared" si="0"/>
        <v/>
      </c>
      <c r="AO8" s="46" t="str">
        <f t="shared" si="1"/>
        <v/>
      </c>
      <c r="AP8" s="46" t="str">
        <f t="shared" si="2"/>
        <v/>
      </c>
      <c r="AQ8" s="46" t="str">
        <f t="shared" si="3"/>
        <v/>
      </c>
      <c r="AR8" s="46" t="str">
        <f t="shared" si="4"/>
        <v/>
      </c>
      <c r="AS8" s="46" t="str">
        <f t="shared" si="5"/>
        <v/>
      </c>
      <c r="AT8" s="46" t="str">
        <f t="shared" si="6"/>
        <v/>
      </c>
      <c r="AU8" s="46" t="str">
        <f t="shared" si="7"/>
        <v/>
      </c>
      <c r="AV8" s="46" t="str">
        <f t="shared" si="8"/>
        <v/>
      </c>
      <c r="AW8" s="46" t="str">
        <f t="shared" si="9"/>
        <v/>
      </c>
      <c r="AX8" s="46" t="str">
        <f t="shared" si="11"/>
        <v/>
      </c>
      <c r="AY8" s="46" t="str">
        <f t="shared" si="10"/>
        <v/>
      </c>
    </row>
    <row r="9" spans="1:51">
      <c r="A9" s="99">
        <v>44931</v>
      </c>
      <c r="B9">
        <v>8904</v>
      </c>
      <c r="C9">
        <v>15226</v>
      </c>
      <c r="D9">
        <v>13972</v>
      </c>
      <c r="E9">
        <v>15034</v>
      </c>
      <c r="F9">
        <v>11967</v>
      </c>
      <c r="G9">
        <v>14875</v>
      </c>
      <c r="H9">
        <v>15221</v>
      </c>
      <c r="I9">
        <v>15002</v>
      </c>
      <c r="J9">
        <v>14207</v>
      </c>
      <c r="K9">
        <v>11955</v>
      </c>
      <c r="M9" s="12" t="s">
        <v>833</v>
      </c>
      <c r="N9" s="46">
        <f>'T. Dina'!AN9</f>
        <v>11967</v>
      </c>
      <c r="O9" s="46">
        <f>'T. Dina'!AO9</f>
        <v>11967</v>
      </c>
      <c r="P9" s="46">
        <f>'T. Dina'!AP9</f>
        <v>11978</v>
      </c>
      <c r="Q9" s="46">
        <f>'T. Dina'!AQ9</f>
        <v>12604</v>
      </c>
      <c r="R9" s="46">
        <f>'T. Dina'!AR9</f>
        <v>12983</v>
      </c>
      <c r="S9" s="46">
        <f>'T. Dina'!AS9</f>
        <v>13698</v>
      </c>
      <c r="T9" s="46">
        <f>'T. Dina'!AT9</f>
        <v>14432</v>
      </c>
      <c r="U9" s="46">
        <f>'T. Dina'!AU9</f>
        <v>0</v>
      </c>
      <c r="V9" s="46">
        <f>'T. Dina'!AV9</f>
        <v>0</v>
      </c>
      <c r="W9" s="46">
        <f>'T. Dina'!AW9</f>
        <v>0</v>
      </c>
      <c r="X9" s="46">
        <f>'T. Dina'!AX9</f>
        <v>0</v>
      </c>
      <c r="Y9" s="46">
        <f>'T. Dina'!AY9</f>
        <v>0</v>
      </c>
      <c r="AM9" s="211" t="s">
        <v>843</v>
      </c>
      <c r="AN9" s="46" t="str">
        <f t="shared" si="0"/>
        <v/>
      </c>
      <c r="AO9" s="46" t="str">
        <f t="shared" si="1"/>
        <v/>
      </c>
      <c r="AP9" s="46" t="str">
        <f t="shared" si="2"/>
        <v/>
      </c>
      <c r="AQ9" s="46" t="str">
        <f t="shared" si="3"/>
        <v/>
      </c>
      <c r="AR9" s="46" t="str">
        <f t="shared" si="4"/>
        <v/>
      </c>
      <c r="AS9" s="46" t="str">
        <f t="shared" si="5"/>
        <v/>
      </c>
      <c r="AT9" s="46" t="str">
        <f t="shared" si="6"/>
        <v/>
      </c>
      <c r="AU9" s="46" t="str">
        <f t="shared" si="7"/>
        <v/>
      </c>
      <c r="AV9" s="46" t="str">
        <f t="shared" si="8"/>
        <v/>
      </c>
      <c r="AW9" s="46" t="str">
        <f t="shared" si="9"/>
        <v/>
      </c>
      <c r="AX9" s="46" t="str">
        <f t="shared" si="11"/>
        <v/>
      </c>
      <c r="AY9" s="46" t="str">
        <f t="shared" si="10"/>
        <v/>
      </c>
    </row>
    <row r="10" spans="1:51">
      <c r="A10" s="99">
        <v>44932</v>
      </c>
      <c r="B10">
        <v>8928</v>
      </c>
      <c r="C10">
        <v>15250</v>
      </c>
      <c r="D10">
        <v>13996</v>
      </c>
      <c r="E10">
        <v>15052</v>
      </c>
      <c r="F10">
        <v>11967</v>
      </c>
      <c r="G10">
        <v>14893</v>
      </c>
      <c r="H10">
        <v>15245</v>
      </c>
      <c r="I10">
        <v>15026</v>
      </c>
      <c r="J10">
        <v>14207</v>
      </c>
      <c r="K10">
        <v>11979</v>
      </c>
      <c r="M10" s="12" t="s">
        <v>834</v>
      </c>
      <c r="N10" s="46">
        <f>'T. Dina'!AN10</f>
        <v>15336</v>
      </c>
      <c r="O10" s="46">
        <f>'T. Dina'!AO10</f>
        <v>15897</v>
      </c>
      <c r="P10" s="46">
        <f>'T. Dina'!AP10</f>
        <v>16478</v>
      </c>
      <c r="Q10" s="46">
        <f>'T. Dina'!AQ10</f>
        <v>17150</v>
      </c>
      <c r="R10" s="46">
        <f>'T. Dina'!AR10</f>
        <v>17852</v>
      </c>
      <c r="S10" s="46">
        <f>'T. Dina'!AS10</f>
        <v>18302</v>
      </c>
      <c r="T10" s="46">
        <f>'T. Dina'!AT10</f>
        <v>18542</v>
      </c>
      <c r="U10" s="46">
        <f>'T. Dina'!AU10</f>
        <v>0</v>
      </c>
      <c r="V10" s="46">
        <f>'T. Dina'!AV10</f>
        <v>0</v>
      </c>
      <c r="W10" s="46">
        <f>'T. Dina'!AW10</f>
        <v>0</v>
      </c>
      <c r="X10" s="46">
        <f>'T. Dina'!AX10</f>
        <v>0</v>
      </c>
      <c r="Y10" s="46">
        <f>'T. Dina'!AY10</f>
        <v>0</v>
      </c>
      <c r="AM10" s="211" t="s">
        <v>844</v>
      </c>
      <c r="AN10" s="46" t="str">
        <f t="shared" si="0"/>
        <v/>
      </c>
      <c r="AO10" s="46" t="str">
        <f t="shared" si="1"/>
        <v/>
      </c>
      <c r="AP10" s="46" t="str">
        <f t="shared" si="2"/>
        <v/>
      </c>
      <c r="AQ10" s="46" t="str">
        <f t="shared" si="3"/>
        <v/>
      </c>
      <c r="AR10" s="46" t="str">
        <f t="shared" si="4"/>
        <v/>
      </c>
      <c r="AS10" s="46" t="str">
        <f t="shared" si="5"/>
        <v/>
      </c>
      <c r="AT10" s="46" t="str">
        <f t="shared" si="6"/>
        <v/>
      </c>
      <c r="AU10" s="46" t="str">
        <f t="shared" si="7"/>
        <v/>
      </c>
      <c r="AV10" s="46" t="str">
        <f t="shared" si="8"/>
        <v/>
      </c>
      <c r="AW10" s="46" t="str">
        <f t="shared" si="9"/>
        <v/>
      </c>
      <c r="AX10" s="46" t="str">
        <f t="shared" si="11"/>
        <v/>
      </c>
      <c r="AY10" s="46" t="str">
        <f t="shared" si="10"/>
        <v/>
      </c>
    </row>
    <row r="11" spans="1:51">
      <c r="A11" s="99">
        <v>44933</v>
      </c>
      <c r="B11">
        <v>8950</v>
      </c>
      <c r="C11">
        <v>15267</v>
      </c>
      <c r="D11">
        <v>14017</v>
      </c>
      <c r="E11">
        <v>15068</v>
      </c>
      <c r="F11">
        <v>11967</v>
      </c>
      <c r="G11">
        <v>14911</v>
      </c>
      <c r="H11">
        <v>15265</v>
      </c>
      <c r="I11">
        <v>15046</v>
      </c>
      <c r="J11">
        <v>14227</v>
      </c>
      <c r="K11">
        <v>12001</v>
      </c>
      <c r="M11" s="12" t="s">
        <v>835</v>
      </c>
      <c r="N11" s="46">
        <f>'T. Dina'!AN11</f>
        <v>15780</v>
      </c>
      <c r="O11" s="46">
        <f>'T. Dina'!AO11</f>
        <v>16381</v>
      </c>
      <c r="P11" s="46">
        <f>'T. Dina'!AP11</f>
        <v>16881</v>
      </c>
      <c r="Q11" s="46">
        <f>'T. Dina'!AQ11</f>
        <v>16890</v>
      </c>
      <c r="R11" s="46">
        <f>'T. Dina'!AR11</f>
        <v>17591</v>
      </c>
      <c r="S11" s="46">
        <f>'T. Dina'!AS11</f>
        <v>18288</v>
      </c>
      <c r="T11" s="46">
        <f>'T. Dina'!AT11</f>
        <v>19032</v>
      </c>
      <c r="U11" s="46">
        <f>'T. Dina'!AU11</f>
        <v>0</v>
      </c>
      <c r="V11" s="46">
        <f>'T. Dina'!AV11</f>
        <v>0</v>
      </c>
      <c r="W11" s="46">
        <f>'T. Dina'!AW11</f>
        <v>0</v>
      </c>
      <c r="X11" s="46">
        <f>'T. Dina'!AX11</f>
        <v>0</v>
      </c>
      <c r="Y11" s="46">
        <f>'T. Dina'!AY11</f>
        <v>0</v>
      </c>
      <c r="AM11" s="211" t="s">
        <v>845</v>
      </c>
      <c r="AN11" s="46" t="str">
        <f t="shared" si="0"/>
        <v/>
      </c>
      <c r="AO11" s="46" t="str">
        <f t="shared" si="1"/>
        <v/>
      </c>
      <c r="AP11" s="46" t="str">
        <f t="shared" si="2"/>
        <v/>
      </c>
      <c r="AQ11" s="46" t="str">
        <f t="shared" si="3"/>
        <v/>
      </c>
      <c r="AR11" s="46" t="str">
        <f t="shared" si="4"/>
        <v/>
      </c>
      <c r="AS11" s="46" t="str">
        <f t="shared" si="5"/>
        <v/>
      </c>
      <c r="AT11" s="46" t="str">
        <f t="shared" si="6"/>
        <v/>
      </c>
      <c r="AU11" s="46" t="str">
        <f t="shared" si="7"/>
        <v/>
      </c>
      <c r="AV11" s="46" t="str">
        <f t="shared" si="8"/>
        <v/>
      </c>
      <c r="AW11" s="46" t="str">
        <f t="shared" si="9"/>
        <v/>
      </c>
      <c r="AX11" s="46" t="str">
        <f t="shared" si="11"/>
        <v/>
      </c>
      <c r="AY11" s="46" t="str">
        <f t="shared" si="10"/>
        <v/>
      </c>
    </row>
    <row r="12" spans="1:51">
      <c r="A12" s="99">
        <v>44934</v>
      </c>
      <c r="B12">
        <v>8971</v>
      </c>
      <c r="C12">
        <v>15285</v>
      </c>
      <c r="D12">
        <v>14017</v>
      </c>
      <c r="E12">
        <v>15082</v>
      </c>
      <c r="F12">
        <v>11967</v>
      </c>
      <c r="G12">
        <v>14924</v>
      </c>
      <c r="H12">
        <v>15282</v>
      </c>
      <c r="I12">
        <v>15064</v>
      </c>
      <c r="J12">
        <v>14246</v>
      </c>
      <c r="K12">
        <v>12022</v>
      </c>
      <c r="M12" s="12" t="s">
        <v>836</v>
      </c>
      <c r="N12" s="46">
        <f>'T. Dina'!AN12</f>
        <v>15568</v>
      </c>
      <c r="O12" s="46">
        <f>'T. Dina'!AO12</f>
        <v>16155</v>
      </c>
      <c r="P12" s="46">
        <f>'T. Dina'!AP12</f>
        <v>16877</v>
      </c>
      <c r="Q12" s="46">
        <f>'T. Dina'!AQ12</f>
        <v>17583</v>
      </c>
      <c r="R12" s="46">
        <f>'T. Dina'!AR12</f>
        <v>18039</v>
      </c>
      <c r="S12" s="46">
        <f>'T. Dina'!AS12</f>
        <v>18356</v>
      </c>
      <c r="T12" s="46">
        <f>'T. Dina'!AT12</f>
        <v>19079</v>
      </c>
      <c r="U12" s="46">
        <f>'T. Dina'!AU12</f>
        <v>0</v>
      </c>
      <c r="V12" s="46">
        <f>'T. Dina'!AV12</f>
        <v>0</v>
      </c>
      <c r="W12" s="46">
        <f>'T. Dina'!AW12</f>
        <v>0</v>
      </c>
      <c r="X12" s="46">
        <f>'T. Dina'!AX12</f>
        <v>0</v>
      </c>
      <c r="Y12" s="46">
        <f>'T. Dina'!AY12</f>
        <v>0</v>
      </c>
      <c r="AM12" s="211" t="s">
        <v>846</v>
      </c>
      <c r="AN12" s="46" t="str">
        <f t="shared" si="0"/>
        <v/>
      </c>
      <c r="AO12" s="46" t="str">
        <f t="shared" si="1"/>
        <v/>
      </c>
      <c r="AP12" s="46" t="str">
        <f t="shared" si="2"/>
        <v/>
      </c>
      <c r="AQ12" s="46" t="str">
        <f t="shared" si="3"/>
        <v/>
      </c>
      <c r="AR12" s="46" t="str">
        <f t="shared" si="4"/>
        <v/>
      </c>
      <c r="AS12" s="46" t="str">
        <f t="shared" si="5"/>
        <v/>
      </c>
      <c r="AT12" s="46" t="str">
        <f t="shared" si="6"/>
        <v/>
      </c>
      <c r="AU12" s="46" t="str">
        <f t="shared" si="7"/>
        <v/>
      </c>
      <c r="AV12" s="46" t="str">
        <f t="shared" si="8"/>
        <v/>
      </c>
      <c r="AW12" s="46" t="str">
        <f t="shared" si="9"/>
        <v/>
      </c>
      <c r="AX12" s="46" t="str">
        <f t="shared" si="11"/>
        <v/>
      </c>
      <c r="AY12" s="46" t="str">
        <f t="shared" si="10"/>
        <v/>
      </c>
    </row>
    <row r="13" spans="1:51">
      <c r="A13" s="99">
        <v>44935</v>
      </c>
      <c r="B13">
        <v>8994</v>
      </c>
      <c r="C13">
        <v>15305</v>
      </c>
      <c r="D13">
        <v>14039</v>
      </c>
      <c r="E13">
        <v>15099</v>
      </c>
      <c r="F13">
        <v>11967</v>
      </c>
      <c r="G13">
        <v>14941</v>
      </c>
      <c r="H13">
        <v>15301</v>
      </c>
      <c r="I13">
        <v>15084</v>
      </c>
      <c r="J13">
        <v>14266</v>
      </c>
      <c r="K13">
        <v>12044</v>
      </c>
      <c r="M13" s="12" t="s">
        <v>837</v>
      </c>
      <c r="N13" s="46">
        <f>'T. Dina'!AN13</f>
        <v>14755</v>
      </c>
      <c r="O13" s="46">
        <f>'T. Dina'!AO13</f>
        <v>15357</v>
      </c>
      <c r="P13" s="46">
        <f>'T. Dina'!AP13</f>
        <v>15953</v>
      </c>
      <c r="Q13" s="46">
        <f>'T. Dina'!AQ13</f>
        <v>16635</v>
      </c>
      <c r="R13" s="46">
        <f>'T. Dina'!AR13</f>
        <v>17358</v>
      </c>
      <c r="S13" s="46">
        <f>'T. Dina'!AS13</f>
        <v>17620</v>
      </c>
      <c r="T13" s="46">
        <f>'T. Dina'!AT13</f>
        <v>18044</v>
      </c>
      <c r="U13" s="46">
        <f>'T. Dina'!AU13</f>
        <v>0</v>
      </c>
      <c r="V13" s="46">
        <f>'T. Dina'!AV13</f>
        <v>0</v>
      </c>
      <c r="W13" s="46">
        <f>'T. Dina'!AW13</f>
        <v>0</v>
      </c>
      <c r="X13" s="46">
        <f>'T. Dina'!AX13</f>
        <v>0</v>
      </c>
      <c r="Y13" s="46">
        <f>'T. Dina'!AY13</f>
        <v>0</v>
      </c>
      <c r="AM13" s="211" t="s">
        <v>847</v>
      </c>
      <c r="AN13" s="46" t="str">
        <f t="shared" si="0"/>
        <v/>
      </c>
      <c r="AO13" s="46" t="str">
        <f t="shared" si="1"/>
        <v/>
      </c>
      <c r="AP13" s="46" t="str">
        <f t="shared" si="2"/>
        <v/>
      </c>
      <c r="AQ13" s="46" t="str">
        <f t="shared" si="3"/>
        <v/>
      </c>
      <c r="AR13" s="46" t="str">
        <f t="shared" si="4"/>
        <v/>
      </c>
      <c r="AS13" s="46" t="str">
        <f t="shared" si="5"/>
        <v/>
      </c>
      <c r="AT13" s="46" t="str">
        <f t="shared" si="6"/>
        <v/>
      </c>
      <c r="AU13" s="46" t="str">
        <f t="shared" si="7"/>
        <v/>
      </c>
      <c r="AV13" s="46" t="str">
        <f t="shared" si="8"/>
        <v/>
      </c>
      <c r="AW13" s="46" t="str">
        <f t="shared" si="9"/>
        <v/>
      </c>
      <c r="AX13" s="46" t="str">
        <f t="shared" si="11"/>
        <v/>
      </c>
      <c r="AY13" s="46" t="str">
        <f t="shared" si="10"/>
        <v/>
      </c>
    </row>
    <row r="14" spans="1:51">
      <c r="A14" s="99">
        <v>44936</v>
      </c>
      <c r="B14">
        <v>9018</v>
      </c>
      <c r="C14">
        <v>15329</v>
      </c>
      <c r="D14">
        <v>14063</v>
      </c>
      <c r="E14">
        <v>15118</v>
      </c>
      <c r="F14">
        <v>11967</v>
      </c>
      <c r="G14">
        <v>14960</v>
      </c>
      <c r="H14">
        <v>15325</v>
      </c>
      <c r="I14">
        <v>15108</v>
      </c>
      <c r="J14">
        <v>14290</v>
      </c>
      <c r="K14">
        <v>12068</v>
      </c>
      <c r="M14" s="12" t="s">
        <v>838</v>
      </c>
      <c r="N14" s="46">
        <f>'T. Dina'!AN14</f>
        <v>12494</v>
      </c>
      <c r="O14" s="46">
        <f>'T. Dina'!AO14</f>
        <v>13132</v>
      </c>
      <c r="P14" s="46">
        <f>'T. Dina'!AP14</f>
        <v>13832</v>
      </c>
      <c r="Q14" s="46">
        <f>'T. Dina'!AQ14</f>
        <v>14505</v>
      </c>
      <c r="R14" s="46">
        <f>'T. Dina'!AR14</f>
        <v>15209</v>
      </c>
      <c r="S14" s="46">
        <f>'T. Dina'!AS14</f>
        <v>15890</v>
      </c>
      <c r="T14" s="46">
        <f>'T. Dina'!AT14</f>
        <v>16367</v>
      </c>
      <c r="U14" s="46">
        <f>'T. Dina'!AU14</f>
        <v>0</v>
      </c>
      <c r="V14" s="46">
        <f>'T. Dina'!AV14</f>
        <v>0</v>
      </c>
      <c r="W14" s="46">
        <f>'T. Dina'!AW14</f>
        <v>0</v>
      </c>
      <c r="X14" s="46">
        <f>'T. Dina'!AX14</f>
        <v>0</v>
      </c>
      <c r="Y14" s="46">
        <f>'T. Dina'!AY14</f>
        <v>0</v>
      </c>
      <c r="AM14" s="211" t="s">
        <v>848</v>
      </c>
      <c r="AN14" s="46" t="str">
        <f t="shared" si="0"/>
        <v/>
      </c>
      <c r="AO14" s="46" t="str">
        <f t="shared" si="1"/>
        <v/>
      </c>
      <c r="AP14" s="46" t="str">
        <f t="shared" si="2"/>
        <v/>
      </c>
      <c r="AQ14" s="46" t="str">
        <f t="shared" si="3"/>
        <v/>
      </c>
      <c r="AR14" s="46" t="str">
        <f t="shared" si="4"/>
        <v/>
      </c>
      <c r="AS14" s="46" t="str">
        <f t="shared" si="5"/>
        <v/>
      </c>
      <c r="AT14" s="46" t="str">
        <f t="shared" si="6"/>
        <v/>
      </c>
      <c r="AU14" s="46" t="str">
        <f t="shared" si="7"/>
        <v/>
      </c>
      <c r="AV14" s="46" t="str">
        <f t="shared" si="8"/>
        <v/>
      </c>
      <c r="AW14" s="46" t="str">
        <f t="shared" si="9"/>
        <v/>
      </c>
      <c r="AX14" s="46" t="str">
        <f t="shared" si="11"/>
        <v/>
      </c>
      <c r="AY14" s="46" t="str">
        <f t="shared" si="10"/>
        <v/>
      </c>
    </row>
    <row r="15" spans="1:51">
      <c r="A15" s="99">
        <v>44937</v>
      </c>
      <c r="B15">
        <v>9018</v>
      </c>
      <c r="C15">
        <v>15353</v>
      </c>
      <c r="D15">
        <v>14086</v>
      </c>
      <c r="E15">
        <v>15137</v>
      </c>
      <c r="F15">
        <v>11967</v>
      </c>
      <c r="G15">
        <v>14979</v>
      </c>
      <c r="H15">
        <v>15349</v>
      </c>
      <c r="I15">
        <v>15132</v>
      </c>
      <c r="J15">
        <v>14314</v>
      </c>
      <c r="K15">
        <v>12092</v>
      </c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</row>
    <row r="16" spans="1:51">
      <c r="A16" s="99">
        <v>44938</v>
      </c>
      <c r="B16">
        <v>9042</v>
      </c>
      <c r="C16">
        <v>15377</v>
      </c>
      <c r="D16">
        <v>14110</v>
      </c>
      <c r="E16">
        <v>15157</v>
      </c>
      <c r="F16">
        <v>11967</v>
      </c>
      <c r="G16">
        <v>14998</v>
      </c>
      <c r="H16">
        <v>15349</v>
      </c>
      <c r="I16">
        <v>15156</v>
      </c>
      <c r="J16">
        <v>14338</v>
      </c>
      <c r="K16">
        <v>12116</v>
      </c>
    </row>
    <row r="17" spans="1:11">
      <c r="A17" s="99">
        <v>44939</v>
      </c>
      <c r="B17">
        <v>9066</v>
      </c>
      <c r="C17">
        <v>15401</v>
      </c>
      <c r="D17">
        <v>14134</v>
      </c>
      <c r="E17">
        <v>15177</v>
      </c>
      <c r="F17">
        <v>11967</v>
      </c>
      <c r="G17">
        <v>15019</v>
      </c>
      <c r="H17">
        <v>15373</v>
      </c>
      <c r="I17">
        <v>15180</v>
      </c>
      <c r="J17">
        <v>14362</v>
      </c>
      <c r="K17">
        <v>12116</v>
      </c>
    </row>
    <row r="18" spans="1:11">
      <c r="A18" s="99">
        <v>44940</v>
      </c>
      <c r="B18">
        <v>9090</v>
      </c>
      <c r="C18">
        <v>15401</v>
      </c>
      <c r="D18">
        <v>14158</v>
      </c>
      <c r="E18">
        <v>15201</v>
      </c>
      <c r="F18">
        <v>11967</v>
      </c>
      <c r="G18">
        <v>15041</v>
      </c>
      <c r="H18">
        <v>15397</v>
      </c>
      <c r="I18">
        <v>15204</v>
      </c>
      <c r="J18">
        <v>14386</v>
      </c>
      <c r="K18">
        <v>12140</v>
      </c>
    </row>
    <row r="19" spans="1:11">
      <c r="A19" s="99">
        <v>44941</v>
      </c>
      <c r="B19">
        <v>9109</v>
      </c>
      <c r="C19">
        <v>15425</v>
      </c>
      <c r="D19">
        <v>14182</v>
      </c>
      <c r="E19">
        <v>15221</v>
      </c>
      <c r="F19">
        <v>11967</v>
      </c>
      <c r="G19">
        <v>15041</v>
      </c>
      <c r="H19">
        <v>15421</v>
      </c>
      <c r="I19">
        <v>15228</v>
      </c>
      <c r="J19">
        <v>14410</v>
      </c>
      <c r="K19">
        <v>12164</v>
      </c>
    </row>
    <row r="20" spans="1:11">
      <c r="A20" s="99">
        <v>44942</v>
      </c>
      <c r="B20">
        <v>9133</v>
      </c>
      <c r="C20">
        <v>15449</v>
      </c>
      <c r="D20">
        <v>14206</v>
      </c>
      <c r="E20">
        <v>15245</v>
      </c>
      <c r="F20">
        <v>11967</v>
      </c>
      <c r="G20">
        <v>15054</v>
      </c>
      <c r="H20">
        <v>15445</v>
      </c>
      <c r="I20">
        <v>15249</v>
      </c>
      <c r="J20">
        <v>14434</v>
      </c>
      <c r="K20">
        <v>12188</v>
      </c>
    </row>
    <row r="21" spans="1:11">
      <c r="A21" s="99">
        <v>44943</v>
      </c>
      <c r="B21">
        <v>9157</v>
      </c>
      <c r="C21">
        <v>15473</v>
      </c>
      <c r="D21">
        <v>14230</v>
      </c>
      <c r="E21">
        <v>15269</v>
      </c>
      <c r="F21">
        <v>11967</v>
      </c>
      <c r="G21">
        <v>15078</v>
      </c>
      <c r="H21">
        <v>15469</v>
      </c>
      <c r="I21">
        <v>15273</v>
      </c>
      <c r="J21">
        <v>14458</v>
      </c>
      <c r="K21">
        <v>12212</v>
      </c>
    </row>
    <row r="22" spans="1:11">
      <c r="A22" s="99">
        <v>44944</v>
      </c>
      <c r="B22">
        <v>9157</v>
      </c>
      <c r="C22">
        <v>15493</v>
      </c>
      <c r="D22">
        <v>14252</v>
      </c>
      <c r="E22">
        <v>15288</v>
      </c>
      <c r="F22">
        <v>11967</v>
      </c>
      <c r="G22">
        <v>15096</v>
      </c>
      <c r="H22">
        <v>15490</v>
      </c>
      <c r="I22">
        <v>15294</v>
      </c>
      <c r="J22">
        <v>14478</v>
      </c>
      <c r="K22">
        <v>12234</v>
      </c>
    </row>
    <row r="23" spans="1:11">
      <c r="A23" s="99">
        <v>44945</v>
      </c>
      <c r="B23">
        <v>9169</v>
      </c>
      <c r="C23">
        <v>15515</v>
      </c>
      <c r="D23">
        <v>14274</v>
      </c>
      <c r="E23">
        <v>15308</v>
      </c>
      <c r="F23">
        <v>11967</v>
      </c>
      <c r="G23">
        <v>15116</v>
      </c>
      <c r="H23">
        <v>15511</v>
      </c>
      <c r="I23">
        <v>15314</v>
      </c>
      <c r="J23">
        <v>14482</v>
      </c>
      <c r="K23">
        <v>12250</v>
      </c>
    </row>
    <row r="24" spans="1:11">
      <c r="A24" s="99">
        <v>44946</v>
      </c>
      <c r="B24">
        <v>9188</v>
      </c>
      <c r="C24">
        <v>15535</v>
      </c>
      <c r="D24">
        <v>14274</v>
      </c>
      <c r="E24">
        <v>15327</v>
      </c>
      <c r="F24">
        <v>11967</v>
      </c>
      <c r="G24">
        <v>15134</v>
      </c>
      <c r="H24">
        <v>15531</v>
      </c>
      <c r="I24">
        <v>15334</v>
      </c>
      <c r="J24">
        <v>14505</v>
      </c>
      <c r="K24">
        <v>12273</v>
      </c>
    </row>
    <row r="25" spans="1:11">
      <c r="A25" s="99">
        <v>44947</v>
      </c>
      <c r="B25">
        <v>9212</v>
      </c>
      <c r="C25">
        <v>15556</v>
      </c>
      <c r="D25">
        <v>14298</v>
      </c>
      <c r="E25">
        <v>15327</v>
      </c>
      <c r="F25">
        <v>11967</v>
      </c>
      <c r="G25">
        <v>15158</v>
      </c>
      <c r="H25">
        <v>15555</v>
      </c>
      <c r="I25">
        <v>15358</v>
      </c>
      <c r="J25">
        <v>14528</v>
      </c>
      <c r="K25">
        <v>12297</v>
      </c>
    </row>
    <row r="26" spans="1:11">
      <c r="A26" s="99">
        <v>44948</v>
      </c>
      <c r="B26">
        <v>9236</v>
      </c>
      <c r="C26">
        <v>15580</v>
      </c>
      <c r="D26">
        <v>14316</v>
      </c>
      <c r="E26">
        <v>15328</v>
      </c>
      <c r="F26">
        <v>11967</v>
      </c>
      <c r="G26">
        <v>15182</v>
      </c>
      <c r="H26">
        <v>15579</v>
      </c>
      <c r="I26">
        <v>15382</v>
      </c>
      <c r="J26">
        <v>14552</v>
      </c>
      <c r="K26">
        <v>12320</v>
      </c>
    </row>
    <row r="27" spans="1:11">
      <c r="A27" s="99">
        <v>44949</v>
      </c>
      <c r="B27">
        <v>9260</v>
      </c>
      <c r="C27">
        <v>15604</v>
      </c>
      <c r="D27">
        <v>14316</v>
      </c>
      <c r="E27">
        <v>15351</v>
      </c>
      <c r="F27">
        <v>11967</v>
      </c>
      <c r="G27">
        <v>15198</v>
      </c>
      <c r="H27">
        <v>15603</v>
      </c>
      <c r="I27">
        <v>15406</v>
      </c>
      <c r="J27">
        <v>14576</v>
      </c>
      <c r="K27">
        <v>12344</v>
      </c>
    </row>
    <row r="28" spans="1:11">
      <c r="A28" s="99">
        <v>44950</v>
      </c>
      <c r="B28">
        <v>9284</v>
      </c>
      <c r="C28">
        <v>15627</v>
      </c>
      <c r="D28">
        <v>14339</v>
      </c>
      <c r="E28">
        <v>15375</v>
      </c>
      <c r="F28">
        <v>11967</v>
      </c>
      <c r="G28">
        <v>15216</v>
      </c>
      <c r="H28">
        <v>15627</v>
      </c>
      <c r="I28">
        <v>15430</v>
      </c>
      <c r="J28">
        <v>14600</v>
      </c>
      <c r="K28">
        <v>12344</v>
      </c>
    </row>
    <row r="29" spans="1:11">
      <c r="A29" s="99">
        <v>44951</v>
      </c>
      <c r="B29">
        <v>9307</v>
      </c>
      <c r="C29">
        <v>15649</v>
      </c>
      <c r="D29">
        <v>14360</v>
      </c>
      <c r="E29">
        <v>15396</v>
      </c>
      <c r="F29">
        <v>11967</v>
      </c>
      <c r="G29">
        <v>15236</v>
      </c>
      <c r="H29">
        <v>15647</v>
      </c>
      <c r="I29">
        <v>15451</v>
      </c>
      <c r="J29">
        <v>14621</v>
      </c>
      <c r="K29">
        <v>12365</v>
      </c>
    </row>
    <row r="30" spans="1:11">
      <c r="A30" s="99">
        <v>44952</v>
      </c>
      <c r="B30">
        <v>9331</v>
      </c>
      <c r="C30">
        <v>15664</v>
      </c>
      <c r="D30">
        <v>14384</v>
      </c>
      <c r="E30">
        <v>15420</v>
      </c>
      <c r="F30">
        <v>11967</v>
      </c>
      <c r="G30">
        <v>15258</v>
      </c>
      <c r="H30">
        <v>15671</v>
      </c>
      <c r="I30">
        <v>15475</v>
      </c>
      <c r="J30">
        <v>14645</v>
      </c>
      <c r="K30">
        <v>12389</v>
      </c>
    </row>
    <row r="31" spans="1:11">
      <c r="A31" s="99">
        <v>44953</v>
      </c>
      <c r="B31">
        <v>9355</v>
      </c>
      <c r="C31">
        <v>15688</v>
      </c>
      <c r="D31">
        <v>14408</v>
      </c>
      <c r="E31">
        <v>15444</v>
      </c>
      <c r="F31">
        <v>11967</v>
      </c>
      <c r="G31">
        <v>15281</v>
      </c>
      <c r="H31">
        <v>15695</v>
      </c>
      <c r="I31">
        <v>15499</v>
      </c>
      <c r="J31">
        <v>14669</v>
      </c>
      <c r="K31">
        <v>12403</v>
      </c>
    </row>
    <row r="32" spans="1:11">
      <c r="A32" s="99">
        <v>44954</v>
      </c>
      <c r="B32">
        <v>9379</v>
      </c>
      <c r="C32">
        <v>15712</v>
      </c>
      <c r="D32">
        <v>14429</v>
      </c>
      <c r="E32">
        <v>15464</v>
      </c>
      <c r="F32">
        <v>11967</v>
      </c>
      <c r="G32">
        <v>15281</v>
      </c>
      <c r="H32">
        <v>15719</v>
      </c>
      <c r="I32">
        <v>15523</v>
      </c>
      <c r="J32">
        <v>14693</v>
      </c>
      <c r="K32">
        <v>12427</v>
      </c>
    </row>
    <row r="33" spans="1:11">
      <c r="A33" s="99">
        <v>44955</v>
      </c>
      <c r="B33">
        <v>9400</v>
      </c>
      <c r="C33">
        <v>15730</v>
      </c>
      <c r="D33">
        <v>14447</v>
      </c>
      <c r="E33">
        <v>15481</v>
      </c>
      <c r="F33">
        <v>11967</v>
      </c>
      <c r="G33">
        <v>15298</v>
      </c>
      <c r="H33">
        <v>15736</v>
      </c>
      <c r="I33">
        <v>15523</v>
      </c>
      <c r="J33">
        <v>14711</v>
      </c>
      <c r="K33">
        <v>12447</v>
      </c>
    </row>
    <row r="34" spans="1:11">
      <c r="A34" s="99">
        <v>44956</v>
      </c>
      <c r="B34">
        <v>9422</v>
      </c>
      <c r="C34">
        <v>15750</v>
      </c>
      <c r="D34">
        <v>14468</v>
      </c>
      <c r="E34">
        <v>15499</v>
      </c>
      <c r="F34">
        <v>11967</v>
      </c>
      <c r="G34">
        <v>15316</v>
      </c>
      <c r="H34">
        <v>15756</v>
      </c>
      <c r="I34">
        <v>15544</v>
      </c>
      <c r="J34">
        <v>14732</v>
      </c>
      <c r="K34">
        <v>12470</v>
      </c>
    </row>
    <row r="35" spans="1:11">
      <c r="A35" s="99">
        <v>44957</v>
      </c>
      <c r="B35">
        <v>9445</v>
      </c>
      <c r="C35">
        <v>15774</v>
      </c>
      <c r="D35">
        <v>14492</v>
      </c>
      <c r="E35">
        <v>15523</v>
      </c>
      <c r="F35">
        <v>11967</v>
      </c>
      <c r="G35">
        <v>15336</v>
      </c>
      <c r="H35">
        <v>15780</v>
      </c>
      <c r="I35">
        <v>15568</v>
      </c>
      <c r="J35">
        <v>14755</v>
      </c>
      <c r="K35">
        <v>12494</v>
      </c>
    </row>
    <row r="36" spans="1:11">
      <c r="A36" s="99">
        <v>44958</v>
      </c>
      <c r="B36">
        <v>9469</v>
      </c>
      <c r="C36">
        <v>15798</v>
      </c>
      <c r="D36">
        <v>14514</v>
      </c>
      <c r="E36">
        <v>15529</v>
      </c>
      <c r="F36">
        <v>11967</v>
      </c>
      <c r="G36">
        <v>15358</v>
      </c>
      <c r="H36">
        <v>15804</v>
      </c>
      <c r="I36">
        <v>15592</v>
      </c>
      <c r="J36">
        <v>14779</v>
      </c>
      <c r="K36">
        <v>12518</v>
      </c>
    </row>
    <row r="37" spans="1:11">
      <c r="A37" s="99">
        <v>44959</v>
      </c>
      <c r="B37">
        <v>9491</v>
      </c>
      <c r="C37">
        <v>15817</v>
      </c>
      <c r="D37">
        <v>14534</v>
      </c>
      <c r="E37">
        <v>15544</v>
      </c>
      <c r="F37">
        <v>11967</v>
      </c>
      <c r="G37">
        <v>15378</v>
      </c>
      <c r="H37">
        <v>15824</v>
      </c>
      <c r="I37">
        <v>15608</v>
      </c>
      <c r="J37">
        <v>14800</v>
      </c>
      <c r="K37">
        <v>12534</v>
      </c>
    </row>
    <row r="38" spans="1:11">
      <c r="A38" s="99">
        <v>44960</v>
      </c>
      <c r="B38">
        <v>9513</v>
      </c>
      <c r="C38">
        <v>15836</v>
      </c>
      <c r="D38">
        <v>14551</v>
      </c>
      <c r="E38">
        <v>15563</v>
      </c>
      <c r="F38">
        <v>11967</v>
      </c>
      <c r="G38">
        <v>15398</v>
      </c>
      <c r="H38">
        <v>15844</v>
      </c>
      <c r="I38">
        <v>15629</v>
      </c>
      <c r="J38">
        <v>14820</v>
      </c>
      <c r="K38">
        <v>12557</v>
      </c>
    </row>
    <row r="39" spans="1:11">
      <c r="A39" s="99">
        <v>44961</v>
      </c>
      <c r="B39">
        <v>9535</v>
      </c>
      <c r="C39">
        <v>15853</v>
      </c>
      <c r="D39">
        <v>14568</v>
      </c>
      <c r="E39">
        <v>15582</v>
      </c>
      <c r="F39">
        <v>11967</v>
      </c>
      <c r="G39">
        <v>15417</v>
      </c>
      <c r="H39">
        <v>15863</v>
      </c>
      <c r="I39">
        <v>15650</v>
      </c>
      <c r="J39">
        <v>14840</v>
      </c>
      <c r="K39">
        <v>12573</v>
      </c>
    </row>
    <row r="40" spans="1:11">
      <c r="A40" s="99">
        <v>44962</v>
      </c>
      <c r="B40">
        <v>9554</v>
      </c>
      <c r="C40">
        <v>15866</v>
      </c>
      <c r="D40">
        <v>14583</v>
      </c>
      <c r="E40">
        <v>15600</v>
      </c>
      <c r="F40">
        <v>11967</v>
      </c>
      <c r="G40">
        <v>15434</v>
      </c>
      <c r="H40">
        <v>15877</v>
      </c>
      <c r="I40">
        <v>15666</v>
      </c>
      <c r="J40">
        <v>14856</v>
      </c>
      <c r="K40">
        <v>12592</v>
      </c>
    </row>
    <row r="41" spans="1:11">
      <c r="A41" s="99">
        <v>44963</v>
      </c>
      <c r="B41">
        <v>9573</v>
      </c>
      <c r="C41">
        <v>15883</v>
      </c>
      <c r="D41">
        <v>14603</v>
      </c>
      <c r="E41">
        <v>15619</v>
      </c>
      <c r="F41">
        <v>11967</v>
      </c>
      <c r="G41">
        <v>15453</v>
      </c>
      <c r="H41">
        <v>15894</v>
      </c>
      <c r="I41">
        <v>15684</v>
      </c>
      <c r="J41">
        <v>14875</v>
      </c>
      <c r="K41">
        <v>12613</v>
      </c>
    </row>
    <row r="42" spans="1:11">
      <c r="A42" s="99">
        <v>44964</v>
      </c>
      <c r="B42">
        <v>9590</v>
      </c>
      <c r="C42">
        <v>15906</v>
      </c>
      <c r="D42">
        <v>14627</v>
      </c>
      <c r="E42">
        <v>15643</v>
      </c>
      <c r="F42">
        <v>11967</v>
      </c>
      <c r="G42">
        <v>15477</v>
      </c>
      <c r="H42">
        <v>15918</v>
      </c>
      <c r="I42">
        <v>15708</v>
      </c>
      <c r="J42">
        <v>14899</v>
      </c>
      <c r="K42">
        <v>12637</v>
      </c>
    </row>
    <row r="43" spans="1:11">
      <c r="A43" s="99">
        <v>44965</v>
      </c>
      <c r="B43">
        <v>9612</v>
      </c>
      <c r="C43">
        <v>15930</v>
      </c>
      <c r="D43">
        <v>14651</v>
      </c>
      <c r="E43">
        <v>15667</v>
      </c>
      <c r="F43">
        <v>11967</v>
      </c>
      <c r="G43">
        <v>15496</v>
      </c>
      <c r="H43">
        <v>15942</v>
      </c>
      <c r="I43">
        <v>15732</v>
      </c>
      <c r="J43">
        <v>14923</v>
      </c>
      <c r="K43">
        <v>12661</v>
      </c>
    </row>
    <row r="44" spans="1:11">
      <c r="A44" s="99">
        <v>44966</v>
      </c>
      <c r="B44">
        <v>9636</v>
      </c>
      <c r="C44">
        <v>15954</v>
      </c>
      <c r="D44">
        <v>14675</v>
      </c>
      <c r="E44">
        <v>15691</v>
      </c>
      <c r="F44">
        <v>11967</v>
      </c>
      <c r="G44">
        <v>15520</v>
      </c>
      <c r="H44">
        <v>15966</v>
      </c>
      <c r="I44">
        <v>15751</v>
      </c>
      <c r="J44">
        <v>14947</v>
      </c>
      <c r="K44">
        <v>12685</v>
      </c>
    </row>
    <row r="45" spans="1:11">
      <c r="A45" s="99">
        <v>44967</v>
      </c>
      <c r="B45">
        <v>9658</v>
      </c>
      <c r="C45">
        <v>15978</v>
      </c>
      <c r="D45">
        <v>14699</v>
      </c>
      <c r="E45">
        <v>15715</v>
      </c>
      <c r="F45">
        <v>11967</v>
      </c>
      <c r="G45">
        <v>15544</v>
      </c>
      <c r="H45">
        <v>15988</v>
      </c>
      <c r="I45">
        <v>15775</v>
      </c>
      <c r="J45">
        <v>14971</v>
      </c>
      <c r="K45">
        <v>12709</v>
      </c>
    </row>
    <row r="46" spans="1:11">
      <c r="A46" s="99">
        <v>44968</v>
      </c>
      <c r="B46">
        <v>9682</v>
      </c>
      <c r="C46">
        <v>16002</v>
      </c>
      <c r="D46">
        <v>14723</v>
      </c>
      <c r="E46">
        <v>15739</v>
      </c>
      <c r="F46">
        <v>11967</v>
      </c>
      <c r="G46">
        <v>15568</v>
      </c>
      <c r="H46">
        <v>16012</v>
      </c>
      <c r="I46">
        <v>15799</v>
      </c>
      <c r="J46">
        <v>14989</v>
      </c>
      <c r="K46">
        <v>12733</v>
      </c>
    </row>
    <row r="47" spans="1:11">
      <c r="A47" s="99">
        <v>44969</v>
      </c>
      <c r="B47">
        <v>9706</v>
      </c>
      <c r="C47">
        <v>16026</v>
      </c>
      <c r="D47">
        <v>14741</v>
      </c>
      <c r="E47">
        <v>15763</v>
      </c>
      <c r="F47">
        <v>11967</v>
      </c>
      <c r="G47">
        <v>15592</v>
      </c>
      <c r="H47">
        <v>16036</v>
      </c>
      <c r="I47">
        <v>15823</v>
      </c>
      <c r="J47">
        <v>15013</v>
      </c>
      <c r="K47">
        <v>12757</v>
      </c>
    </row>
    <row r="48" spans="1:11">
      <c r="A48" s="99">
        <v>44970</v>
      </c>
      <c r="B48">
        <v>9730</v>
      </c>
      <c r="C48">
        <v>16050</v>
      </c>
      <c r="D48">
        <v>14765</v>
      </c>
      <c r="E48">
        <v>15783</v>
      </c>
      <c r="F48">
        <v>11967</v>
      </c>
      <c r="G48">
        <v>15616</v>
      </c>
      <c r="H48">
        <v>16060</v>
      </c>
      <c r="I48">
        <v>15847</v>
      </c>
      <c r="J48">
        <v>15037</v>
      </c>
      <c r="K48">
        <v>12781</v>
      </c>
    </row>
    <row r="49" spans="1:11">
      <c r="A49" s="99">
        <v>44971</v>
      </c>
      <c r="B49">
        <v>9749</v>
      </c>
      <c r="C49">
        <v>16074</v>
      </c>
      <c r="D49">
        <v>14789</v>
      </c>
      <c r="E49">
        <v>15802</v>
      </c>
      <c r="F49">
        <v>11967</v>
      </c>
      <c r="G49">
        <v>15640</v>
      </c>
      <c r="H49">
        <v>16084</v>
      </c>
      <c r="I49">
        <v>15871</v>
      </c>
      <c r="J49">
        <v>15061</v>
      </c>
      <c r="K49">
        <v>12805</v>
      </c>
    </row>
    <row r="50" spans="1:11">
      <c r="A50" s="99">
        <v>44972</v>
      </c>
      <c r="B50">
        <v>9773</v>
      </c>
      <c r="C50">
        <v>16093</v>
      </c>
      <c r="D50">
        <v>14813</v>
      </c>
      <c r="E50">
        <v>15826</v>
      </c>
      <c r="F50">
        <v>11967</v>
      </c>
      <c r="G50">
        <v>15663</v>
      </c>
      <c r="H50">
        <v>16108</v>
      </c>
      <c r="I50">
        <v>15895</v>
      </c>
      <c r="J50">
        <v>15085</v>
      </c>
      <c r="K50">
        <v>12825</v>
      </c>
    </row>
    <row r="51" spans="1:11">
      <c r="A51" s="99">
        <v>44973</v>
      </c>
      <c r="B51">
        <v>9797</v>
      </c>
      <c r="C51">
        <v>16093</v>
      </c>
      <c r="D51">
        <v>14837</v>
      </c>
      <c r="E51">
        <v>15850</v>
      </c>
      <c r="F51">
        <v>11967</v>
      </c>
      <c r="G51">
        <v>15687</v>
      </c>
      <c r="H51">
        <v>16129</v>
      </c>
      <c r="I51">
        <v>15919</v>
      </c>
      <c r="J51">
        <v>15109</v>
      </c>
      <c r="K51">
        <v>12849</v>
      </c>
    </row>
    <row r="52" spans="1:11">
      <c r="A52" s="99">
        <v>44974</v>
      </c>
      <c r="B52">
        <v>9797</v>
      </c>
      <c r="C52">
        <v>16117</v>
      </c>
      <c r="D52">
        <v>14861</v>
      </c>
      <c r="E52">
        <v>15874</v>
      </c>
      <c r="F52">
        <v>11967</v>
      </c>
      <c r="G52">
        <v>15711</v>
      </c>
      <c r="H52">
        <v>16152</v>
      </c>
      <c r="I52">
        <v>15943</v>
      </c>
      <c r="J52">
        <v>15130</v>
      </c>
      <c r="K52">
        <v>12873</v>
      </c>
    </row>
    <row r="53" spans="1:11">
      <c r="A53" s="99">
        <v>44975</v>
      </c>
      <c r="B53">
        <v>9821</v>
      </c>
      <c r="C53">
        <v>16140</v>
      </c>
      <c r="D53">
        <v>14885</v>
      </c>
      <c r="E53">
        <v>15898</v>
      </c>
      <c r="F53">
        <v>11967</v>
      </c>
      <c r="G53">
        <v>15732</v>
      </c>
      <c r="H53">
        <v>16172</v>
      </c>
      <c r="I53">
        <v>15967</v>
      </c>
      <c r="J53">
        <v>15154</v>
      </c>
      <c r="K53">
        <v>12897</v>
      </c>
    </row>
    <row r="54" spans="1:11">
      <c r="A54" s="99">
        <v>44976</v>
      </c>
      <c r="B54">
        <v>9845</v>
      </c>
      <c r="C54">
        <v>16164</v>
      </c>
      <c r="D54">
        <v>14909</v>
      </c>
      <c r="E54">
        <v>15922</v>
      </c>
      <c r="F54">
        <v>11967</v>
      </c>
      <c r="G54">
        <v>15753</v>
      </c>
      <c r="H54">
        <v>16196</v>
      </c>
      <c r="I54">
        <v>15989</v>
      </c>
      <c r="J54">
        <v>15178</v>
      </c>
      <c r="K54">
        <v>12921</v>
      </c>
    </row>
    <row r="55" spans="1:11">
      <c r="A55" s="99">
        <v>44977</v>
      </c>
      <c r="B55">
        <v>9869</v>
      </c>
      <c r="C55">
        <v>16188</v>
      </c>
      <c r="D55">
        <v>14933</v>
      </c>
      <c r="E55">
        <v>15946</v>
      </c>
      <c r="F55">
        <v>11967</v>
      </c>
      <c r="G55">
        <v>15777</v>
      </c>
      <c r="H55">
        <v>16220</v>
      </c>
      <c r="I55">
        <v>16008</v>
      </c>
      <c r="J55">
        <v>15178</v>
      </c>
      <c r="K55">
        <v>12945</v>
      </c>
    </row>
    <row r="56" spans="1:11">
      <c r="A56" s="99">
        <v>44978</v>
      </c>
      <c r="B56">
        <v>9893</v>
      </c>
      <c r="C56">
        <v>16212</v>
      </c>
      <c r="D56">
        <v>14957</v>
      </c>
      <c r="E56">
        <v>15970</v>
      </c>
      <c r="F56">
        <v>11967</v>
      </c>
      <c r="G56">
        <v>15801</v>
      </c>
      <c r="H56">
        <v>16232</v>
      </c>
      <c r="I56">
        <v>16028</v>
      </c>
      <c r="J56">
        <v>15190</v>
      </c>
      <c r="K56">
        <v>12969</v>
      </c>
    </row>
    <row r="57" spans="1:11">
      <c r="A57" s="99">
        <v>44979</v>
      </c>
      <c r="B57">
        <v>9917</v>
      </c>
      <c r="C57">
        <v>16236</v>
      </c>
      <c r="D57">
        <v>14980</v>
      </c>
      <c r="E57">
        <v>15994</v>
      </c>
      <c r="F57">
        <v>11967</v>
      </c>
      <c r="G57">
        <v>15825</v>
      </c>
      <c r="H57">
        <v>16244</v>
      </c>
      <c r="I57">
        <v>16050</v>
      </c>
      <c r="J57">
        <v>15214</v>
      </c>
      <c r="K57">
        <v>12993</v>
      </c>
    </row>
    <row r="58" spans="1:11">
      <c r="A58" s="99">
        <v>44980</v>
      </c>
      <c r="B58">
        <v>9941</v>
      </c>
      <c r="C58">
        <v>16260</v>
      </c>
      <c r="D58">
        <v>15000</v>
      </c>
      <c r="E58">
        <v>16018</v>
      </c>
      <c r="F58">
        <v>11967</v>
      </c>
      <c r="G58">
        <v>15849</v>
      </c>
      <c r="H58">
        <v>16268</v>
      </c>
      <c r="I58">
        <v>16070</v>
      </c>
      <c r="J58">
        <v>15238</v>
      </c>
      <c r="K58">
        <v>13017</v>
      </c>
    </row>
    <row r="59" spans="1:11">
      <c r="A59" s="99">
        <v>44981</v>
      </c>
      <c r="B59">
        <v>9965</v>
      </c>
      <c r="C59">
        <v>16284</v>
      </c>
      <c r="D59">
        <v>15020</v>
      </c>
      <c r="E59">
        <v>16040</v>
      </c>
      <c r="F59">
        <v>11967</v>
      </c>
      <c r="G59">
        <v>15872</v>
      </c>
      <c r="H59">
        <v>16292</v>
      </c>
      <c r="I59">
        <v>16087</v>
      </c>
      <c r="J59">
        <v>15261</v>
      </c>
      <c r="K59">
        <v>13041</v>
      </c>
    </row>
    <row r="60" spans="1:11">
      <c r="A60" s="99">
        <v>44982</v>
      </c>
      <c r="B60">
        <v>9989</v>
      </c>
      <c r="C60">
        <v>16308</v>
      </c>
      <c r="D60">
        <v>15044</v>
      </c>
      <c r="E60">
        <v>16061</v>
      </c>
      <c r="F60">
        <v>11967</v>
      </c>
      <c r="G60">
        <v>15872</v>
      </c>
      <c r="H60">
        <v>16316</v>
      </c>
      <c r="I60">
        <v>16109</v>
      </c>
      <c r="J60">
        <v>15285</v>
      </c>
      <c r="K60">
        <v>13065</v>
      </c>
    </row>
    <row r="61" spans="1:11">
      <c r="A61" s="99">
        <v>44983</v>
      </c>
      <c r="B61">
        <v>10012</v>
      </c>
      <c r="C61">
        <v>16326</v>
      </c>
      <c r="D61">
        <v>15066</v>
      </c>
      <c r="E61">
        <v>16083</v>
      </c>
      <c r="F61">
        <v>11967</v>
      </c>
      <c r="G61">
        <v>15872</v>
      </c>
      <c r="H61">
        <v>16335</v>
      </c>
      <c r="I61">
        <v>16131</v>
      </c>
      <c r="J61">
        <v>15309</v>
      </c>
      <c r="K61">
        <v>13084</v>
      </c>
    </row>
    <row r="62" spans="1:11">
      <c r="A62" s="99">
        <v>44984</v>
      </c>
      <c r="B62">
        <v>10031</v>
      </c>
      <c r="C62">
        <v>16350</v>
      </c>
      <c r="D62">
        <v>15090</v>
      </c>
      <c r="E62">
        <v>16107</v>
      </c>
      <c r="F62">
        <v>11967</v>
      </c>
      <c r="G62">
        <v>15872</v>
      </c>
      <c r="H62">
        <v>16358</v>
      </c>
      <c r="I62">
        <v>16155</v>
      </c>
      <c r="J62">
        <v>15333</v>
      </c>
      <c r="K62">
        <v>13108</v>
      </c>
    </row>
    <row r="63" spans="1:11">
      <c r="A63" s="99">
        <v>44985</v>
      </c>
      <c r="B63">
        <v>10055</v>
      </c>
      <c r="C63">
        <v>16371</v>
      </c>
      <c r="D63">
        <v>15114</v>
      </c>
      <c r="E63">
        <v>16131</v>
      </c>
      <c r="F63">
        <v>11967</v>
      </c>
      <c r="G63">
        <v>15897</v>
      </c>
      <c r="H63">
        <v>16381</v>
      </c>
      <c r="I63">
        <v>16155</v>
      </c>
      <c r="J63">
        <v>15357</v>
      </c>
      <c r="K63">
        <v>13132</v>
      </c>
    </row>
    <row r="64" spans="1:11">
      <c r="A64" s="99">
        <v>44986</v>
      </c>
      <c r="B64">
        <v>10079</v>
      </c>
      <c r="C64">
        <v>16395</v>
      </c>
      <c r="D64">
        <v>15138</v>
      </c>
      <c r="E64">
        <v>16155</v>
      </c>
      <c r="F64">
        <v>11967</v>
      </c>
      <c r="G64">
        <v>15921</v>
      </c>
      <c r="H64">
        <v>16397</v>
      </c>
      <c r="I64">
        <v>16179</v>
      </c>
      <c r="J64">
        <v>15357</v>
      </c>
      <c r="K64">
        <v>13156</v>
      </c>
    </row>
    <row r="65" spans="1:11">
      <c r="A65" s="99">
        <v>44987</v>
      </c>
      <c r="B65">
        <v>10103</v>
      </c>
      <c r="C65">
        <v>16419</v>
      </c>
      <c r="D65">
        <v>15158</v>
      </c>
      <c r="E65">
        <v>16179</v>
      </c>
      <c r="F65">
        <v>11967</v>
      </c>
      <c r="G65">
        <v>15929</v>
      </c>
      <c r="H65">
        <v>16421</v>
      </c>
      <c r="I65">
        <v>16202</v>
      </c>
      <c r="J65">
        <v>15373</v>
      </c>
      <c r="K65">
        <v>13180</v>
      </c>
    </row>
    <row r="66" spans="1:11">
      <c r="A66" s="99">
        <v>44988</v>
      </c>
      <c r="B66">
        <v>10127</v>
      </c>
      <c r="C66">
        <v>16441</v>
      </c>
      <c r="D66">
        <v>15158</v>
      </c>
      <c r="E66">
        <v>16203</v>
      </c>
      <c r="F66">
        <v>11967</v>
      </c>
      <c r="G66">
        <v>15949</v>
      </c>
      <c r="H66">
        <v>16444</v>
      </c>
      <c r="I66">
        <v>16226</v>
      </c>
      <c r="J66">
        <v>15397</v>
      </c>
      <c r="K66">
        <v>13204</v>
      </c>
    </row>
    <row r="67" spans="1:11">
      <c r="A67" s="99">
        <v>44989</v>
      </c>
      <c r="B67">
        <v>10150</v>
      </c>
      <c r="C67">
        <v>16465</v>
      </c>
      <c r="D67">
        <v>15182</v>
      </c>
      <c r="E67">
        <v>16227</v>
      </c>
      <c r="F67">
        <v>11967</v>
      </c>
      <c r="G67">
        <v>15973</v>
      </c>
      <c r="H67">
        <v>16468</v>
      </c>
      <c r="I67">
        <v>16250</v>
      </c>
      <c r="J67">
        <v>15397</v>
      </c>
      <c r="K67">
        <v>13224</v>
      </c>
    </row>
    <row r="68" spans="1:11">
      <c r="A68" s="99">
        <v>44990</v>
      </c>
      <c r="B68">
        <v>10174</v>
      </c>
      <c r="C68">
        <v>16483</v>
      </c>
      <c r="D68">
        <v>15206</v>
      </c>
      <c r="E68">
        <v>16251</v>
      </c>
      <c r="F68">
        <v>11967</v>
      </c>
      <c r="G68">
        <v>15973</v>
      </c>
      <c r="H68">
        <v>16492</v>
      </c>
      <c r="I68">
        <v>16274</v>
      </c>
      <c r="J68">
        <v>15421</v>
      </c>
      <c r="K68">
        <v>13248</v>
      </c>
    </row>
    <row r="69" spans="1:11">
      <c r="A69" s="99">
        <v>44991</v>
      </c>
      <c r="B69">
        <v>10180</v>
      </c>
      <c r="C69">
        <v>16507</v>
      </c>
      <c r="D69">
        <v>15230</v>
      </c>
      <c r="E69">
        <v>16264</v>
      </c>
      <c r="F69">
        <v>11967</v>
      </c>
      <c r="G69">
        <v>15997</v>
      </c>
      <c r="H69">
        <v>16516</v>
      </c>
      <c r="I69">
        <v>16298</v>
      </c>
      <c r="J69">
        <v>15445</v>
      </c>
      <c r="K69">
        <v>13272</v>
      </c>
    </row>
    <row r="70" spans="1:11">
      <c r="A70" s="99">
        <v>44992</v>
      </c>
      <c r="B70">
        <v>10180</v>
      </c>
      <c r="C70">
        <v>16531</v>
      </c>
      <c r="D70">
        <v>15254</v>
      </c>
      <c r="E70">
        <v>16286</v>
      </c>
      <c r="F70">
        <v>11967</v>
      </c>
      <c r="G70">
        <v>16021</v>
      </c>
      <c r="H70">
        <v>16540</v>
      </c>
      <c r="I70">
        <v>16322</v>
      </c>
      <c r="J70">
        <v>15469</v>
      </c>
      <c r="K70">
        <v>13296</v>
      </c>
    </row>
    <row r="71" spans="1:11">
      <c r="A71" s="99">
        <v>44993</v>
      </c>
      <c r="B71">
        <v>10203</v>
      </c>
      <c r="C71">
        <v>16555</v>
      </c>
      <c r="D71">
        <v>15278</v>
      </c>
      <c r="E71">
        <v>16286</v>
      </c>
      <c r="F71">
        <v>11967</v>
      </c>
      <c r="G71">
        <v>16044</v>
      </c>
      <c r="H71">
        <v>16560</v>
      </c>
      <c r="I71">
        <v>16346</v>
      </c>
      <c r="J71">
        <v>15493</v>
      </c>
      <c r="K71">
        <v>13320</v>
      </c>
    </row>
    <row r="72" spans="1:11">
      <c r="A72" s="99">
        <v>44994</v>
      </c>
      <c r="B72">
        <v>10226</v>
      </c>
      <c r="C72">
        <v>16579</v>
      </c>
      <c r="D72">
        <v>15302</v>
      </c>
      <c r="E72">
        <v>16310</v>
      </c>
      <c r="F72">
        <v>11967</v>
      </c>
      <c r="G72">
        <v>16068</v>
      </c>
      <c r="H72">
        <v>16582</v>
      </c>
      <c r="I72">
        <v>16370</v>
      </c>
      <c r="J72">
        <v>15493</v>
      </c>
      <c r="K72">
        <v>13344</v>
      </c>
    </row>
    <row r="73" spans="1:11">
      <c r="A73" s="99">
        <v>44995</v>
      </c>
      <c r="B73">
        <v>10248</v>
      </c>
      <c r="C73">
        <v>16603</v>
      </c>
      <c r="D73">
        <v>15326</v>
      </c>
      <c r="E73">
        <v>16334</v>
      </c>
      <c r="F73">
        <v>11967</v>
      </c>
      <c r="G73">
        <v>16069</v>
      </c>
      <c r="H73">
        <v>16603</v>
      </c>
      <c r="I73">
        <v>16393</v>
      </c>
      <c r="J73">
        <v>15517</v>
      </c>
      <c r="K73">
        <v>13368</v>
      </c>
    </row>
    <row r="74" spans="1:11">
      <c r="A74" s="99">
        <v>44996</v>
      </c>
      <c r="B74">
        <v>10261</v>
      </c>
      <c r="C74">
        <v>16627</v>
      </c>
      <c r="D74">
        <v>15350</v>
      </c>
      <c r="E74">
        <v>16334</v>
      </c>
      <c r="F74">
        <v>11967</v>
      </c>
      <c r="G74">
        <v>16092</v>
      </c>
      <c r="H74">
        <v>16627</v>
      </c>
      <c r="I74">
        <v>16414</v>
      </c>
      <c r="J74">
        <v>15541</v>
      </c>
      <c r="K74">
        <v>13392</v>
      </c>
    </row>
    <row r="75" spans="1:11">
      <c r="A75" s="99">
        <v>44997</v>
      </c>
      <c r="B75">
        <v>10285</v>
      </c>
      <c r="C75">
        <v>16651</v>
      </c>
      <c r="D75">
        <v>15374</v>
      </c>
      <c r="E75">
        <v>16341</v>
      </c>
      <c r="F75">
        <v>11967</v>
      </c>
      <c r="G75">
        <v>16092</v>
      </c>
      <c r="H75">
        <v>16651</v>
      </c>
      <c r="I75">
        <v>16438</v>
      </c>
      <c r="J75">
        <v>15561</v>
      </c>
      <c r="K75">
        <v>13416</v>
      </c>
    </row>
    <row r="76" spans="1:11">
      <c r="A76" s="99">
        <v>44998</v>
      </c>
      <c r="B76">
        <v>10309</v>
      </c>
      <c r="C76">
        <v>16675</v>
      </c>
      <c r="D76">
        <v>15398</v>
      </c>
      <c r="E76">
        <v>16365</v>
      </c>
      <c r="F76">
        <v>11967</v>
      </c>
      <c r="G76">
        <v>16116</v>
      </c>
      <c r="H76">
        <v>16671</v>
      </c>
      <c r="I76">
        <v>16462</v>
      </c>
      <c r="J76">
        <v>15561</v>
      </c>
      <c r="K76">
        <v>13440</v>
      </c>
    </row>
    <row r="77" spans="1:11">
      <c r="A77" s="99">
        <v>44999</v>
      </c>
      <c r="B77">
        <v>10333</v>
      </c>
      <c r="C77">
        <v>16696</v>
      </c>
      <c r="D77">
        <v>15420</v>
      </c>
      <c r="E77">
        <v>16389</v>
      </c>
      <c r="F77">
        <v>11967</v>
      </c>
      <c r="G77">
        <v>16116</v>
      </c>
      <c r="H77">
        <v>16695</v>
      </c>
      <c r="I77">
        <v>16486</v>
      </c>
      <c r="J77">
        <v>15585</v>
      </c>
      <c r="K77">
        <v>13464</v>
      </c>
    </row>
    <row r="78" spans="1:11">
      <c r="A78" s="99">
        <v>45000</v>
      </c>
      <c r="B78">
        <v>10357</v>
      </c>
      <c r="C78">
        <v>16716</v>
      </c>
      <c r="D78">
        <v>15433</v>
      </c>
      <c r="E78">
        <v>16413</v>
      </c>
      <c r="F78">
        <v>11967</v>
      </c>
      <c r="G78">
        <v>16132</v>
      </c>
      <c r="H78">
        <v>16719</v>
      </c>
      <c r="I78">
        <v>16510</v>
      </c>
      <c r="J78">
        <v>15609</v>
      </c>
      <c r="K78">
        <v>13482</v>
      </c>
    </row>
    <row r="79" spans="1:11">
      <c r="A79" s="99">
        <v>45001</v>
      </c>
      <c r="B79">
        <v>10363</v>
      </c>
      <c r="C79">
        <v>16732</v>
      </c>
      <c r="D79">
        <v>15454</v>
      </c>
      <c r="E79">
        <v>16429</v>
      </c>
      <c r="F79">
        <v>11967</v>
      </c>
      <c r="G79">
        <v>16154</v>
      </c>
      <c r="H79">
        <v>16739</v>
      </c>
      <c r="I79">
        <v>16530</v>
      </c>
      <c r="J79">
        <v>15632</v>
      </c>
      <c r="K79">
        <v>13505</v>
      </c>
    </row>
    <row r="80" spans="1:11">
      <c r="A80" s="99">
        <v>45002</v>
      </c>
      <c r="B80">
        <v>10363</v>
      </c>
      <c r="C80">
        <v>16752</v>
      </c>
      <c r="D80">
        <v>15473</v>
      </c>
      <c r="E80">
        <v>16450</v>
      </c>
      <c r="F80">
        <v>11967</v>
      </c>
      <c r="G80">
        <v>16175</v>
      </c>
      <c r="H80">
        <v>16759</v>
      </c>
      <c r="I80">
        <v>16551</v>
      </c>
      <c r="J80">
        <v>15655</v>
      </c>
      <c r="K80">
        <v>13528</v>
      </c>
    </row>
    <row r="81" spans="1:11">
      <c r="A81" s="99">
        <v>45003</v>
      </c>
      <c r="B81">
        <v>10387</v>
      </c>
      <c r="C81">
        <v>16771</v>
      </c>
      <c r="D81">
        <v>15497</v>
      </c>
      <c r="E81">
        <v>16474</v>
      </c>
      <c r="F81">
        <v>11967</v>
      </c>
      <c r="G81">
        <v>16199</v>
      </c>
      <c r="H81">
        <v>16760</v>
      </c>
      <c r="I81">
        <v>16575</v>
      </c>
      <c r="J81">
        <v>15679</v>
      </c>
      <c r="K81">
        <v>13552</v>
      </c>
    </row>
    <row r="82" spans="1:11">
      <c r="A82" s="99">
        <v>45004</v>
      </c>
      <c r="B82">
        <v>10411</v>
      </c>
      <c r="C82">
        <v>16787</v>
      </c>
      <c r="D82">
        <v>15521</v>
      </c>
      <c r="E82">
        <v>16498</v>
      </c>
      <c r="F82">
        <v>11967</v>
      </c>
      <c r="G82">
        <v>16223</v>
      </c>
      <c r="H82">
        <v>16782</v>
      </c>
      <c r="I82">
        <v>16599</v>
      </c>
      <c r="J82">
        <v>15679</v>
      </c>
      <c r="K82">
        <v>13576</v>
      </c>
    </row>
    <row r="83" spans="1:11">
      <c r="A83" s="99">
        <v>45005</v>
      </c>
      <c r="B83">
        <v>10435</v>
      </c>
      <c r="C83">
        <v>16806</v>
      </c>
      <c r="D83">
        <v>15545</v>
      </c>
      <c r="E83">
        <v>16522</v>
      </c>
      <c r="F83">
        <v>11967</v>
      </c>
      <c r="G83">
        <v>16247</v>
      </c>
      <c r="H83">
        <v>16806</v>
      </c>
      <c r="I83">
        <v>16623</v>
      </c>
      <c r="J83">
        <v>15703</v>
      </c>
      <c r="K83">
        <v>13576</v>
      </c>
    </row>
    <row r="84" spans="1:11">
      <c r="A84" s="99">
        <v>45006</v>
      </c>
      <c r="B84">
        <v>10459</v>
      </c>
      <c r="C84">
        <v>16830</v>
      </c>
      <c r="D84">
        <v>15569</v>
      </c>
      <c r="E84">
        <v>16546</v>
      </c>
      <c r="F84">
        <v>11967</v>
      </c>
      <c r="G84">
        <v>16247</v>
      </c>
      <c r="H84">
        <v>16830</v>
      </c>
      <c r="I84">
        <v>16647</v>
      </c>
      <c r="J84">
        <v>15722</v>
      </c>
      <c r="K84">
        <v>13600</v>
      </c>
    </row>
    <row r="85" spans="1:11">
      <c r="A85" s="99">
        <v>45007</v>
      </c>
      <c r="B85">
        <v>10465</v>
      </c>
      <c r="C85">
        <v>16854</v>
      </c>
      <c r="D85">
        <v>15593</v>
      </c>
      <c r="E85">
        <v>16552</v>
      </c>
      <c r="F85">
        <v>11967</v>
      </c>
      <c r="G85">
        <v>16271</v>
      </c>
      <c r="H85">
        <v>16854</v>
      </c>
      <c r="I85">
        <v>16665</v>
      </c>
      <c r="J85">
        <v>15740</v>
      </c>
      <c r="K85">
        <v>13624</v>
      </c>
    </row>
    <row r="86" spans="1:11">
      <c r="A86" s="99">
        <v>45008</v>
      </c>
      <c r="B86">
        <v>10465</v>
      </c>
      <c r="C86">
        <v>16878</v>
      </c>
      <c r="D86">
        <v>15617</v>
      </c>
      <c r="E86">
        <v>16576</v>
      </c>
      <c r="F86">
        <v>11967</v>
      </c>
      <c r="G86">
        <v>16295</v>
      </c>
      <c r="H86">
        <v>16868</v>
      </c>
      <c r="I86">
        <v>16689</v>
      </c>
      <c r="J86">
        <v>15764</v>
      </c>
      <c r="K86">
        <v>13648</v>
      </c>
    </row>
    <row r="87" spans="1:11">
      <c r="A87" s="99">
        <v>45009</v>
      </c>
      <c r="B87">
        <v>10476</v>
      </c>
      <c r="C87">
        <v>16902</v>
      </c>
      <c r="D87">
        <v>15634</v>
      </c>
      <c r="E87">
        <v>16600</v>
      </c>
      <c r="F87">
        <v>11967</v>
      </c>
      <c r="G87">
        <v>16319</v>
      </c>
      <c r="H87">
        <v>16881</v>
      </c>
      <c r="I87">
        <v>16713</v>
      </c>
      <c r="J87">
        <v>15788</v>
      </c>
      <c r="K87">
        <v>13672</v>
      </c>
    </row>
    <row r="88" spans="1:11">
      <c r="A88" s="99">
        <v>45010</v>
      </c>
      <c r="B88">
        <v>10500</v>
      </c>
      <c r="C88">
        <v>16923</v>
      </c>
      <c r="D88">
        <v>15658</v>
      </c>
      <c r="E88">
        <v>16624</v>
      </c>
      <c r="F88">
        <v>11967</v>
      </c>
      <c r="G88">
        <v>16338</v>
      </c>
      <c r="H88">
        <v>16881</v>
      </c>
      <c r="I88">
        <v>16737</v>
      </c>
      <c r="J88">
        <v>15812</v>
      </c>
      <c r="K88">
        <v>13696</v>
      </c>
    </row>
    <row r="89" spans="1:11">
      <c r="A89" s="99">
        <v>45011</v>
      </c>
      <c r="B89">
        <v>10522</v>
      </c>
      <c r="C89">
        <v>16942</v>
      </c>
      <c r="D89">
        <v>15681</v>
      </c>
      <c r="E89">
        <v>16643</v>
      </c>
      <c r="F89">
        <v>11967</v>
      </c>
      <c r="G89">
        <v>16358</v>
      </c>
      <c r="H89">
        <v>16881</v>
      </c>
      <c r="I89">
        <v>16757</v>
      </c>
      <c r="J89">
        <v>15833</v>
      </c>
      <c r="K89">
        <v>13715</v>
      </c>
    </row>
    <row r="90" spans="1:11">
      <c r="A90" s="99">
        <v>45012</v>
      </c>
      <c r="B90">
        <v>10546</v>
      </c>
      <c r="C90">
        <v>16959</v>
      </c>
      <c r="D90">
        <v>15705</v>
      </c>
      <c r="E90">
        <v>16666</v>
      </c>
      <c r="F90">
        <v>11968</v>
      </c>
      <c r="G90">
        <v>16382</v>
      </c>
      <c r="H90">
        <v>16881</v>
      </c>
      <c r="I90">
        <v>16781</v>
      </c>
      <c r="J90">
        <v>15857</v>
      </c>
      <c r="K90">
        <v>13739</v>
      </c>
    </row>
    <row r="91" spans="1:11">
      <c r="A91" s="99">
        <v>45013</v>
      </c>
      <c r="B91">
        <v>10570</v>
      </c>
      <c r="C91">
        <v>16981</v>
      </c>
      <c r="D91">
        <v>15729</v>
      </c>
      <c r="E91">
        <v>16686</v>
      </c>
      <c r="F91">
        <v>11973</v>
      </c>
      <c r="G91">
        <v>16406</v>
      </c>
      <c r="H91">
        <v>16881</v>
      </c>
      <c r="I91">
        <v>16805</v>
      </c>
      <c r="J91">
        <v>15881</v>
      </c>
      <c r="K91">
        <v>13763</v>
      </c>
    </row>
    <row r="92" spans="1:11">
      <c r="A92" s="99">
        <v>45014</v>
      </c>
      <c r="B92">
        <v>10591</v>
      </c>
      <c r="C92">
        <v>17005</v>
      </c>
      <c r="D92">
        <v>15753</v>
      </c>
      <c r="E92">
        <v>16710</v>
      </c>
      <c r="F92">
        <v>11974</v>
      </c>
      <c r="G92">
        <v>16430</v>
      </c>
      <c r="H92">
        <v>16881</v>
      </c>
      <c r="I92">
        <v>16829</v>
      </c>
      <c r="J92">
        <v>15905</v>
      </c>
      <c r="K92">
        <v>13787</v>
      </c>
    </row>
    <row r="93" spans="1:11">
      <c r="A93" s="99">
        <v>45015</v>
      </c>
      <c r="B93">
        <v>10615</v>
      </c>
      <c r="C93">
        <v>17029</v>
      </c>
      <c r="D93">
        <v>15777</v>
      </c>
      <c r="E93">
        <v>16734</v>
      </c>
      <c r="F93">
        <v>11977</v>
      </c>
      <c r="G93">
        <v>16454</v>
      </c>
      <c r="H93">
        <v>16881</v>
      </c>
      <c r="I93">
        <v>16853</v>
      </c>
      <c r="J93">
        <v>15929</v>
      </c>
      <c r="K93">
        <v>13808</v>
      </c>
    </row>
    <row r="94" spans="1:11">
      <c r="A94" s="99">
        <v>45016</v>
      </c>
      <c r="B94">
        <v>10639</v>
      </c>
      <c r="C94">
        <v>17049</v>
      </c>
      <c r="D94">
        <v>15801</v>
      </c>
      <c r="E94">
        <v>16758</v>
      </c>
      <c r="F94">
        <v>11978</v>
      </c>
      <c r="G94">
        <v>16478</v>
      </c>
      <c r="H94">
        <v>16881</v>
      </c>
      <c r="I94">
        <v>16877</v>
      </c>
      <c r="J94">
        <v>15953</v>
      </c>
      <c r="K94">
        <v>13832</v>
      </c>
    </row>
    <row r="95" spans="1:11">
      <c r="A95" s="99">
        <v>45017</v>
      </c>
      <c r="B95">
        <v>10657</v>
      </c>
      <c r="C95">
        <v>17067</v>
      </c>
      <c r="D95">
        <v>15819</v>
      </c>
      <c r="E95">
        <v>16776</v>
      </c>
      <c r="F95">
        <v>11984</v>
      </c>
      <c r="G95">
        <v>16501</v>
      </c>
      <c r="H95">
        <v>16881</v>
      </c>
      <c r="I95">
        <v>16901</v>
      </c>
      <c r="J95">
        <v>15977</v>
      </c>
      <c r="K95">
        <v>13856</v>
      </c>
    </row>
    <row r="96" spans="1:11">
      <c r="A96" s="99">
        <v>45018</v>
      </c>
      <c r="B96">
        <v>10681</v>
      </c>
      <c r="C96">
        <v>17084</v>
      </c>
      <c r="D96">
        <v>15843</v>
      </c>
      <c r="E96">
        <v>16800</v>
      </c>
      <c r="F96">
        <v>12003</v>
      </c>
      <c r="G96">
        <v>16501</v>
      </c>
      <c r="H96">
        <v>16881</v>
      </c>
      <c r="I96">
        <v>16925</v>
      </c>
      <c r="J96">
        <v>16001</v>
      </c>
      <c r="K96">
        <v>13880</v>
      </c>
    </row>
    <row r="97" spans="1:11">
      <c r="A97" s="99">
        <v>45019</v>
      </c>
      <c r="B97">
        <v>10705</v>
      </c>
      <c r="C97">
        <v>17108</v>
      </c>
      <c r="D97">
        <v>15867</v>
      </c>
      <c r="E97">
        <v>16824</v>
      </c>
      <c r="F97">
        <v>12023</v>
      </c>
      <c r="G97">
        <v>16522</v>
      </c>
      <c r="H97">
        <v>16881</v>
      </c>
      <c r="I97">
        <v>16949</v>
      </c>
      <c r="J97">
        <v>16025</v>
      </c>
      <c r="K97">
        <v>13880</v>
      </c>
    </row>
    <row r="98" spans="1:11">
      <c r="A98" s="99">
        <v>45020</v>
      </c>
      <c r="B98">
        <v>10729</v>
      </c>
      <c r="C98">
        <v>17108</v>
      </c>
      <c r="D98">
        <v>15891</v>
      </c>
      <c r="E98">
        <v>16848</v>
      </c>
      <c r="F98">
        <v>12044</v>
      </c>
      <c r="G98">
        <v>16545</v>
      </c>
      <c r="H98">
        <v>16881</v>
      </c>
      <c r="I98">
        <v>16973</v>
      </c>
      <c r="J98">
        <v>16049</v>
      </c>
      <c r="K98">
        <v>13902</v>
      </c>
    </row>
    <row r="99" spans="1:11">
      <c r="A99" s="99">
        <v>45021</v>
      </c>
      <c r="B99">
        <v>10753</v>
      </c>
      <c r="C99">
        <v>17108</v>
      </c>
      <c r="D99">
        <v>15915</v>
      </c>
      <c r="E99">
        <v>16872</v>
      </c>
      <c r="F99">
        <v>12068</v>
      </c>
      <c r="G99">
        <v>16569</v>
      </c>
      <c r="H99">
        <v>16881</v>
      </c>
      <c r="I99">
        <v>16992</v>
      </c>
      <c r="J99">
        <v>16073</v>
      </c>
      <c r="K99">
        <v>13926</v>
      </c>
    </row>
    <row r="100" spans="1:11">
      <c r="A100" s="99">
        <v>45022</v>
      </c>
      <c r="B100">
        <v>10777</v>
      </c>
      <c r="C100">
        <v>17108</v>
      </c>
      <c r="D100">
        <v>15939</v>
      </c>
      <c r="E100">
        <v>16896</v>
      </c>
      <c r="F100">
        <v>12092</v>
      </c>
      <c r="G100">
        <v>16590</v>
      </c>
      <c r="H100">
        <v>16881</v>
      </c>
      <c r="I100">
        <v>17016</v>
      </c>
      <c r="J100">
        <v>16097</v>
      </c>
      <c r="K100">
        <v>13950</v>
      </c>
    </row>
    <row r="101" spans="1:11">
      <c r="A101" s="99">
        <v>45023</v>
      </c>
      <c r="B101">
        <v>10801</v>
      </c>
      <c r="C101">
        <v>17108</v>
      </c>
      <c r="D101">
        <v>15963</v>
      </c>
      <c r="E101">
        <v>16920</v>
      </c>
      <c r="F101">
        <v>12113</v>
      </c>
      <c r="G101">
        <v>16614</v>
      </c>
      <c r="H101">
        <v>16881</v>
      </c>
      <c r="I101">
        <v>17040</v>
      </c>
      <c r="J101">
        <v>16121</v>
      </c>
      <c r="K101">
        <v>13974</v>
      </c>
    </row>
    <row r="102" spans="1:11">
      <c r="A102" s="99">
        <v>45024</v>
      </c>
      <c r="B102">
        <v>10825</v>
      </c>
      <c r="C102">
        <v>17108</v>
      </c>
      <c r="D102">
        <v>15987</v>
      </c>
      <c r="E102">
        <v>16944</v>
      </c>
      <c r="F102">
        <v>12135</v>
      </c>
      <c r="G102">
        <v>16636</v>
      </c>
      <c r="H102">
        <v>16881</v>
      </c>
      <c r="I102">
        <v>17064</v>
      </c>
      <c r="J102">
        <v>16145</v>
      </c>
      <c r="K102">
        <v>13998</v>
      </c>
    </row>
    <row r="103" spans="1:11">
      <c r="A103" s="99">
        <v>45025</v>
      </c>
      <c r="B103">
        <v>10849</v>
      </c>
      <c r="C103">
        <v>17108</v>
      </c>
      <c r="D103">
        <v>16011</v>
      </c>
      <c r="E103">
        <v>16968</v>
      </c>
      <c r="F103">
        <v>12159</v>
      </c>
      <c r="G103">
        <v>16658</v>
      </c>
      <c r="H103">
        <v>16881</v>
      </c>
      <c r="I103">
        <v>17088</v>
      </c>
      <c r="J103">
        <v>16169</v>
      </c>
      <c r="K103">
        <v>14022</v>
      </c>
    </row>
    <row r="104" spans="1:11">
      <c r="A104" s="99">
        <v>45026</v>
      </c>
      <c r="B104">
        <v>10873</v>
      </c>
      <c r="C104">
        <v>17108</v>
      </c>
      <c r="D104">
        <v>16035</v>
      </c>
      <c r="E104">
        <v>16992</v>
      </c>
      <c r="F104">
        <v>12180</v>
      </c>
      <c r="G104">
        <v>16681</v>
      </c>
      <c r="H104">
        <v>16881</v>
      </c>
      <c r="I104">
        <v>17112</v>
      </c>
      <c r="J104">
        <v>16193</v>
      </c>
      <c r="K104">
        <v>14046</v>
      </c>
    </row>
    <row r="105" spans="1:11">
      <c r="A105" s="99">
        <v>45027</v>
      </c>
      <c r="B105">
        <v>10897</v>
      </c>
      <c r="C105">
        <v>17108</v>
      </c>
      <c r="D105">
        <v>16059</v>
      </c>
      <c r="E105">
        <v>17016</v>
      </c>
      <c r="F105">
        <v>12201</v>
      </c>
      <c r="G105">
        <v>16705</v>
      </c>
      <c r="H105">
        <v>16881</v>
      </c>
      <c r="I105">
        <v>17135</v>
      </c>
      <c r="J105">
        <v>16217</v>
      </c>
      <c r="K105">
        <v>14070</v>
      </c>
    </row>
    <row r="106" spans="1:11">
      <c r="A106" s="99">
        <v>45028</v>
      </c>
      <c r="B106">
        <v>10916</v>
      </c>
      <c r="C106">
        <v>17108</v>
      </c>
      <c r="D106">
        <v>16072</v>
      </c>
      <c r="E106">
        <v>17037</v>
      </c>
      <c r="F106">
        <v>12224</v>
      </c>
      <c r="G106">
        <v>16729</v>
      </c>
      <c r="H106">
        <v>16881</v>
      </c>
      <c r="I106">
        <v>17159</v>
      </c>
      <c r="J106">
        <v>16235</v>
      </c>
      <c r="K106">
        <v>14083</v>
      </c>
    </row>
    <row r="107" spans="1:11">
      <c r="A107" s="99">
        <v>45029</v>
      </c>
      <c r="B107">
        <v>10939</v>
      </c>
      <c r="C107">
        <v>17108</v>
      </c>
      <c r="D107">
        <v>16096</v>
      </c>
      <c r="E107">
        <v>17058</v>
      </c>
      <c r="F107">
        <v>12248</v>
      </c>
      <c r="G107">
        <v>16752</v>
      </c>
      <c r="H107">
        <v>16881</v>
      </c>
      <c r="I107">
        <v>17183</v>
      </c>
      <c r="J107">
        <v>16259</v>
      </c>
      <c r="K107">
        <v>14107</v>
      </c>
    </row>
    <row r="108" spans="1:11">
      <c r="A108" s="99">
        <v>45030</v>
      </c>
      <c r="B108">
        <v>10963</v>
      </c>
      <c r="C108">
        <v>17108</v>
      </c>
      <c r="D108">
        <v>16120</v>
      </c>
      <c r="E108">
        <v>17082</v>
      </c>
      <c r="F108">
        <v>12267</v>
      </c>
      <c r="G108">
        <v>16776</v>
      </c>
      <c r="H108">
        <v>16881</v>
      </c>
      <c r="I108">
        <v>17207</v>
      </c>
      <c r="J108">
        <v>16283</v>
      </c>
      <c r="K108">
        <v>14131</v>
      </c>
    </row>
    <row r="109" spans="1:11">
      <c r="A109" s="99">
        <v>45031</v>
      </c>
      <c r="B109">
        <v>10987</v>
      </c>
      <c r="C109">
        <v>17108</v>
      </c>
      <c r="D109">
        <v>16144</v>
      </c>
      <c r="E109">
        <v>17104</v>
      </c>
      <c r="F109">
        <v>12291</v>
      </c>
      <c r="G109">
        <v>16799</v>
      </c>
      <c r="H109">
        <v>16881</v>
      </c>
      <c r="I109">
        <v>17231</v>
      </c>
      <c r="J109">
        <v>16307</v>
      </c>
      <c r="K109">
        <v>14155</v>
      </c>
    </row>
    <row r="110" spans="1:11">
      <c r="A110" s="99">
        <v>45032</v>
      </c>
      <c r="B110">
        <v>11010</v>
      </c>
      <c r="C110">
        <v>17108</v>
      </c>
      <c r="D110">
        <v>16168</v>
      </c>
      <c r="E110">
        <v>17128</v>
      </c>
      <c r="F110">
        <v>12291</v>
      </c>
      <c r="G110">
        <v>16823</v>
      </c>
      <c r="H110">
        <v>16881</v>
      </c>
      <c r="I110">
        <v>17255</v>
      </c>
      <c r="J110">
        <v>16331</v>
      </c>
      <c r="K110">
        <v>14179</v>
      </c>
    </row>
    <row r="111" spans="1:11">
      <c r="A111" s="99">
        <v>45033</v>
      </c>
      <c r="B111">
        <v>11034</v>
      </c>
      <c r="C111">
        <v>17108</v>
      </c>
      <c r="D111">
        <v>16192</v>
      </c>
      <c r="E111">
        <v>17152</v>
      </c>
      <c r="F111">
        <v>12314</v>
      </c>
      <c r="G111">
        <v>16844</v>
      </c>
      <c r="H111">
        <v>16881</v>
      </c>
      <c r="I111">
        <v>17279</v>
      </c>
      <c r="J111">
        <v>16355</v>
      </c>
      <c r="K111">
        <v>14203</v>
      </c>
    </row>
    <row r="112" spans="1:11">
      <c r="A112" s="99">
        <v>45034</v>
      </c>
      <c r="B112">
        <v>11058</v>
      </c>
      <c r="C112">
        <v>17108</v>
      </c>
      <c r="D112">
        <v>16216</v>
      </c>
      <c r="E112">
        <v>17176</v>
      </c>
      <c r="F112">
        <v>12338</v>
      </c>
      <c r="G112">
        <v>16868</v>
      </c>
      <c r="H112">
        <v>16881</v>
      </c>
      <c r="I112">
        <v>17301</v>
      </c>
      <c r="J112">
        <v>16379</v>
      </c>
      <c r="K112">
        <v>14227</v>
      </c>
    </row>
    <row r="113" spans="1:11">
      <c r="A113" s="99">
        <v>45035</v>
      </c>
      <c r="B113">
        <v>11082</v>
      </c>
      <c r="C113">
        <v>17108</v>
      </c>
      <c r="D113">
        <v>16240</v>
      </c>
      <c r="E113">
        <v>17200</v>
      </c>
      <c r="F113">
        <v>12360</v>
      </c>
      <c r="G113">
        <v>16891</v>
      </c>
      <c r="H113">
        <v>16881</v>
      </c>
      <c r="I113">
        <v>17325</v>
      </c>
      <c r="J113">
        <v>16403</v>
      </c>
      <c r="K113">
        <v>14251</v>
      </c>
    </row>
    <row r="114" spans="1:11">
      <c r="A114" s="99">
        <v>45036</v>
      </c>
      <c r="B114">
        <v>11106</v>
      </c>
      <c r="C114">
        <v>17108</v>
      </c>
      <c r="D114">
        <v>16264</v>
      </c>
      <c r="E114">
        <v>17224</v>
      </c>
      <c r="F114">
        <v>12384</v>
      </c>
      <c r="G114">
        <v>16915</v>
      </c>
      <c r="H114">
        <v>16881</v>
      </c>
      <c r="I114">
        <v>17347</v>
      </c>
      <c r="J114">
        <v>16427</v>
      </c>
      <c r="K114">
        <v>14275</v>
      </c>
    </row>
    <row r="115" spans="1:11">
      <c r="A115" s="99">
        <v>45037</v>
      </c>
      <c r="B115">
        <v>11130</v>
      </c>
      <c r="C115">
        <v>17108</v>
      </c>
      <c r="D115">
        <v>16288</v>
      </c>
      <c r="E115">
        <v>17248</v>
      </c>
      <c r="F115">
        <v>12406</v>
      </c>
      <c r="G115">
        <v>16939</v>
      </c>
      <c r="H115">
        <v>16881</v>
      </c>
      <c r="I115">
        <v>17371</v>
      </c>
      <c r="J115">
        <v>16451</v>
      </c>
      <c r="K115">
        <v>14299</v>
      </c>
    </row>
    <row r="116" spans="1:11">
      <c r="A116" s="99">
        <v>45038</v>
      </c>
      <c r="B116">
        <v>11154</v>
      </c>
      <c r="C116">
        <v>17108</v>
      </c>
      <c r="D116">
        <v>16312</v>
      </c>
      <c r="E116">
        <v>17272</v>
      </c>
      <c r="F116">
        <v>12430</v>
      </c>
      <c r="G116">
        <v>16963</v>
      </c>
      <c r="H116">
        <v>16881</v>
      </c>
      <c r="I116">
        <v>17394</v>
      </c>
      <c r="J116">
        <v>16475</v>
      </c>
      <c r="K116">
        <v>14323</v>
      </c>
    </row>
    <row r="117" spans="1:11">
      <c r="A117" s="99">
        <v>45039</v>
      </c>
      <c r="B117">
        <v>11178</v>
      </c>
      <c r="C117">
        <v>17108</v>
      </c>
      <c r="D117">
        <v>16336</v>
      </c>
      <c r="E117">
        <v>17296</v>
      </c>
      <c r="F117">
        <v>12454</v>
      </c>
      <c r="G117">
        <v>16987</v>
      </c>
      <c r="H117">
        <v>16881</v>
      </c>
      <c r="I117">
        <v>17416</v>
      </c>
      <c r="J117">
        <v>16499</v>
      </c>
      <c r="K117">
        <v>14347</v>
      </c>
    </row>
    <row r="118" spans="1:11">
      <c r="A118" s="99">
        <v>45040</v>
      </c>
      <c r="B118">
        <v>11197</v>
      </c>
      <c r="C118">
        <v>17108</v>
      </c>
      <c r="D118">
        <v>16356</v>
      </c>
      <c r="E118">
        <v>17316</v>
      </c>
      <c r="F118">
        <v>12467</v>
      </c>
      <c r="G118">
        <v>17010</v>
      </c>
      <c r="H118">
        <v>16881</v>
      </c>
      <c r="I118">
        <v>17440</v>
      </c>
      <c r="J118">
        <v>16521</v>
      </c>
      <c r="K118">
        <v>14364</v>
      </c>
    </row>
    <row r="119" spans="1:11">
      <c r="A119" s="99">
        <v>45041</v>
      </c>
      <c r="B119">
        <v>11221</v>
      </c>
      <c r="C119">
        <v>17108</v>
      </c>
      <c r="D119">
        <v>16380</v>
      </c>
      <c r="E119">
        <v>17340</v>
      </c>
      <c r="F119">
        <v>12487</v>
      </c>
      <c r="G119">
        <v>17031</v>
      </c>
      <c r="H119">
        <v>16881</v>
      </c>
      <c r="I119">
        <v>17464</v>
      </c>
      <c r="J119">
        <v>16545</v>
      </c>
      <c r="K119">
        <v>14388</v>
      </c>
    </row>
    <row r="120" spans="1:11">
      <c r="A120" s="99">
        <v>45042</v>
      </c>
      <c r="B120">
        <v>11245</v>
      </c>
      <c r="C120">
        <v>17108</v>
      </c>
      <c r="D120">
        <v>16404</v>
      </c>
      <c r="E120">
        <v>17362</v>
      </c>
      <c r="F120">
        <v>12511</v>
      </c>
      <c r="G120">
        <v>17055</v>
      </c>
      <c r="H120">
        <v>16881</v>
      </c>
      <c r="I120">
        <v>17487</v>
      </c>
      <c r="J120">
        <v>16569</v>
      </c>
      <c r="K120">
        <v>14412</v>
      </c>
    </row>
    <row r="121" spans="1:11">
      <c r="A121" s="99">
        <v>45043</v>
      </c>
      <c r="B121">
        <v>11269</v>
      </c>
      <c r="C121">
        <v>17108</v>
      </c>
      <c r="D121">
        <v>16428</v>
      </c>
      <c r="E121">
        <v>17386</v>
      </c>
      <c r="F121">
        <v>12535</v>
      </c>
      <c r="G121">
        <v>17079</v>
      </c>
      <c r="H121">
        <v>16881</v>
      </c>
      <c r="I121">
        <v>17511</v>
      </c>
      <c r="J121">
        <v>16569</v>
      </c>
      <c r="K121">
        <v>14433</v>
      </c>
    </row>
    <row r="122" spans="1:11">
      <c r="A122" s="99">
        <v>45044</v>
      </c>
      <c r="B122">
        <v>11293</v>
      </c>
      <c r="C122">
        <v>17108</v>
      </c>
      <c r="D122">
        <v>16452</v>
      </c>
      <c r="E122">
        <v>17410</v>
      </c>
      <c r="F122">
        <v>12558</v>
      </c>
      <c r="G122">
        <v>17103</v>
      </c>
      <c r="H122">
        <v>16882</v>
      </c>
      <c r="I122">
        <v>17535</v>
      </c>
      <c r="J122">
        <v>16588</v>
      </c>
      <c r="K122">
        <v>14457</v>
      </c>
    </row>
    <row r="123" spans="1:11">
      <c r="A123" s="99">
        <v>45045</v>
      </c>
      <c r="B123">
        <v>11317</v>
      </c>
      <c r="C123">
        <v>17108</v>
      </c>
      <c r="D123">
        <v>16476</v>
      </c>
      <c r="E123">
        <v>17434</v>
      </c>
      <c r="F123">
        <v>12582</v>
      </c>
      <c r="G123">
        <v>17127</v>
      </c>
      <c r="H123">
        <v>16886</v>
      </c>
      <c r="I123">
        <v>17559</v>
      </c>
      <c r="J123">
        <v>16611</v>
      </c>
      <c r="K123">
        <v>14481</v>
      </c>
    </row>
    <row r="124" spans="1:11">
      <c r="A124" s="99">
        <v>45046</v>
      </c>
      <c r="B124">
        <v>11340</v>
      </c>
      <c r="C124">
        <v>17108</v>
      </c>
      <c r="D124">
        <v>16499</v>
      </c>
      <c r="E124">
        <v>17458</v>
      </c>
      <c r="F124">
        <v>12604</v>
      </c>
      <c r="G124">
        <v>17150</v>
      </c>
      <c r="H124">
        <v>16890</v>
      </c>
      <c r="I124">
        <v>17583</v>
      </c>
      <c r="J124">
        <v>16635</v>
      </c>
      <c r="K124">
        <v>14505</v>
      </c>
    </row>
    <row r="125" spans="1:11">
      <c r="A125" s="99">
        <v>45047</v>
      </c>
      <c r="B125">
        <v>11364</v>
      </c>
      <c r="C125">
        <v>17108</v>
      </c>
      <c r="D125">
        <v>16523</v>
      </c>
      <c r="E125">
        <v>17482</v>
      </c>
      <c r="F125">
        <v>12604</v>
      </c>
      <c r="G125">
        <v>17174</v>
      </c>
      <c r="H125">
        <v>16912</v>
      </c>
      <c r="I125">
        <v>17607</v>
      </c>
      <c r="J125">
        <v>16659</v>
      </c>
      <c r="K125">
        <v>14529</v>
      </c>
    </row>
    <row r="126" spans="1:11">
      <c r="A126" s="99">
        <v>45048</v>
      </c>
      <c r="B126">
        <v>11388</v>
      </c>
      <c r="C126">
        <v>17108</v>
      </c>
      <c r="D126">
        <v>16547</v>
      </c>
      <c r="E126">
        <v>17506</v>
      </c>
      <c r="F126">
        <v>12604</v>
      </c>
      <c r="G126">
        <v>17198</v>
      </c>
      <c r="H126">
        <v>16936</v>
      </c>
      <c r="I126">
        <v>17630</v>
      </c>
      <c r="J126">
        <v>16682</v>
      </c>
      <c r="K126">
        <v>14553</v>
      </c>
    </row>
    <row r="127" spans="1:11">
      <c r="A127" s="99">
        <v>45049</v>
      </c>
      <c r="B127">
        <v>11412</v>
      </c>
      <c r="C127">
        <v>17108</v>
      </c>
      <c r="D127">
        <v>16571</v>
      </c>
      <c r="E127">
        <v>17530</v>
      </c>
      <c r="F127">
        <v>12604</v>
      </c>
      <c r="G127">
        <v>17222</v>
      </c>
      <c r="H127">
        <v>16960</v>
      </c>
      <c r="I127">
        <v>17652</v>
      </c>
      <c r="J127">
        <v>16706</v>
      </c>
      <c r="K127">
        <v>14577</v>
      </c>
    </row>
    <row r="128" spans="1:11">
      <c r="A128" s="99">
        <v>45050</v>
      </c>
      <c r="B128">
        <v>11436</v>
      </c>
      <c r="C128">
        <v>17108</v>
      </c>
      <c r="D128">
        <v>16595</v>
      </c>
      <c r="E128">
        <v>17553</v>
      </c>
      <c r="F128">
        <v>12604</v>
      </c>
      <c r="G128">
        <v>17246</v>
      </c>
      <c r="H128">
        <v>16984</v>
      </c>
      <c r="I128">
        <v>17675</v>
      </c>
      <c r="J128">
        <v>16730</v>
      </c>
      <c r="K128">
        <v>14601</v>
      </c>
    </row>
    <row r="129" spans="1:11">
      <c r="A129" s="99">
        <v>45051</v>
      </c>
      <c r="B129">
        <v>11460</v>
      </c>
      <c r="C129">
        <v>17111</v>
      </c>
      <c r="D129">
        <v>16619</v>
      </c>
      <c r="E129">
        <v>17577</v>
      </c>
      <c r="F129">
        <v>12604</v>
      </c>
      <c r="G129">
        <v>17267</v>
      </c>
      <c r="H129">
        <v>17008</v>
      </c>
      <c r="I129">
        <v>17699</v>
      </c>
      <c r="J129">
        <v>16754</v>
      </c>
      <c r="K129">
        <v>14625</v>
      </c>
    </row>
    <row r="130" spans="1:11">
      <c r="A130" s="99">
        <v>45052</v>
      </c>
      <c r="B130">
        <v>11484</v>
      </c>
      <c r="C130">
        <v>17114</v>
      </c>
      <c r="D130">
        <v>16643</v>
      </c>
      <c r="E130">
        <v>17601</v>
      </c>
      <c r="F130">
        <v>12604</v>
      </c>
      <c r="G130">
        <v>17291</v>
      </c>
      <c r="H130">
        <v>17032</v>
      </c>
      <c r="I130">
        <v>17723</v>
      </c>
      <c r="J130">
        <v>16778</v>
      </c>
      <c r="K130">
        <v>14649</v>
      </c>
    </row>
    <row r="131" spans="1:11">
      <c r="A131" s="99">
        <v>45053</v>
      </c>
      <c r="B131">
        <v>11508</v>
      </c>
      <c r="C131">
        <v>17114</v>
      </c>
      <c r="D131">
        <v>16664</v>
      </c>
      <c r="E131">
        <v>17625</v>
      </c>
      <c r="F131">
        <v>12604</v>
      </c>
      <c r="G131">
        <v>17315</v>
      </c>
      <c r="H131">
        <v>17056</v>
      </c>
      <c r="I131">
        <v>17747</v>
      </c>
      <c r="J131">
        <v>16802</v>
      </c>
      <c r="K131">
        <v>14673</v>
      </c>
    </row>
    <row r="132" spans="1:11">
      <c r="A132" s="99">
        <v>45054</v>
      </c>
      <c r="B132">
        <v>11532</v>
      </c>
      <c r="C132">
        <v>17134</v>
      </c>
      <c r="D132">
        <v>16688</v>
      </c>
      <c r="E132">
        <v>17647</v>
      </c>
      <c r="F132">
        <v>12604</v>
      </c>
      <c r="G132">
        <v>17339</v>
      </c>
      <c r="H132">
        <v>17056</v>
      </c>
      <c r="I132">
        <v>17771</v>
      </c>
      <c r="J132">
        <v>16826</v>
      </c>
      <c r="K132">
        <v>14697</v>
      </c>
    </row>
    <row r="133" spans="1:11">
      <c r="A133" s="99">
        <v>45055</v>
      </c>
      <c r="B133">
        <v>11550</v>
      </c>
      <c r="C133">
        <v>17158</v>
      </c>
      <c r="D133">
        <v>16712</v>
      </c>
      <c r="E133">
        <v>17671</v>
      </c>
      <c r="F133">
        <v>12604</v>
      </c>
      <c r="G133">
        <v>17363</v>
      </c>
      <c r="H133">
        <v>17078</v>
      </c>
      <c r="I133">
        <v>17795</v>
      </c>
      <c r="J133">
        <v>16850</v>
      </c>
      <c r="K133">
        <v>14703</v>
      </c>
    </row>
    <row r="134" spans="1:11">
      <c r="A134" s="99">
        <v>45056</v>
      </c>
      <c r="B134">
        <v>11574</v>
      </c>
      <c r="C134">
        <v>17174</v>
      </c>
      <c r="D134">
        <v>16736</v>
      </c>
      <c r="E134">
        <v>17695</v>
      </c>
      <c r="F134">
        <v>12604</v>
      </c>
      <c r="G134">
        <v>17377</v>
      </c>
      <c r="H134">
        <v>17102</v>
      </c>
      <c r="I134">
        <v>17819</v>
      </c>
      <c r="J134">
        <v>16866</v>
      </c>
      <c r="K134">
        <v>14727</v>
      </c>
    </row>
    <row r="135" spans="1:11">
      <c r="A135" s="99">
        <v>45057</v>
      </c>
      <c r="B135">
        <v>11596</v>
      </c>
      <c r="C135">
        <v>17198</v>
      </c>
      <c r="D135">
        <v>16760</v>
      </c>
      <c r="E135">
        <v>17696</v>
      </c>
      <c r="F135">
        <v>12604</v>
      </c>
      <c r="G135">
        <v>17401</v>
      </c>
      <c r="H135">
        <v>17126</v>
      </c>
      <c r="I135">
        <v>17842</v>
      </c>
      <c r="J135">
        <v>16890</v>
      </c>
      <c r="K135">
        <v>14750</v>
      </c>
    </row>
    <row r="136" spans="1:11">
      <c r="A136" s="99">
        <v>45058</v>
      </c>
      <c r="B136">
        <v>11620</v>
      </c>
      <c r="C136">
        <v>17222</v>
      </c>
      <c r="D136">
        <v>16784</v>
      </c>
      <c r="E136">
        <v>17696</v>
      </c>
      <c r="F136">
        <v>12604</v>
      </c>
      <c r="G136">
        <v>17425</v>
      </c>
      <c r="H136">
        <v>17150</v>
      </c>
      <c r="I136">
        <v>17866</v>
      </c>
      <c r="J136">
        <v>16914</v>
      </c>
      <c r="K136">
        <v>14774</v>
      </c>
    </row>
    <row r="137" spans="1:11">
      <c r="A137" s="99">
        <v>45059</v>
      </c>
      <c r="B137">
        <v>11643</v>
      </c>
      <c r="C137">
        <v>17245</v>
      </c>
      <c r="D137">
        <v>16807</v>
      </c>
      <c r="E137">
        <v>17696</v>
      </c>
      <c r="F137">
        <v>12604</v>
      </c>
      <c r="G137">
        <v>17448</v>
      </c>
      <c r="H137">
        <v>17172</v>
      </c>
      <c r="I137">
        <v>17888</v>
      </c>
      <c r="J137">
        <v>16937</v>
      </c>
      <c r="K137">
        <v>14796</v>
      </c>
    </row>
    <row r="138" spans="1:11">
      <c r="A138" s="99">
        <v>45060</v>
      </c>
      <c r="B138">
        <v>11667</v>
      </c>
      <c r="C138">
        <v>17267</v>
      </c>
      <c r="D138">
        <v>16831</v>
      </c>
      <c r="E138">
        <v>17696</v>
      </c>
      <c r="F138">
        <v>12605</v>
      </c>
      <c r="G138">
        <v>17472</v>
      </c>
      <c r="H138">
        <v>17195</v>
      </c>
      <c r="I138">
        <v>17912</v>
      </c>
      <c r="J138">
        <v>16961</v>
      </c>
      <c r="K138">
        <v>14820</v>
      </c>
    </row>
    <row r="139" spans="1:11">
      <c r="A139" s="99">
        <v>45061</v>
      </c>
      <c r="B139">
        <v>11691</v>
      </c>
      <c r="C139">
        <v>17291</v>
      </c>
      <c r="D139">
        <v>16855</v>
      </c>
      <c r="E139">
        <v>17696</v>
      </c>
      <c r="F139">
        <v>12609</v>
      </c>
      <c r="G139">
        <v>17496</v>
      </c>
      <c r="H139">
        <v>17219</v>
      </c>
      <c r="I139">
        <v>17936</v>
      </c>
      <c r="J139">
        <v>16985</v>
      </c>
      <c r="K139">
        <v>14844</v>
      </c>
    </row>
    <row r="140" spans="1:11">
      <c r="A140" s="99">
        <v>45062</v>
      </c>
      <c r="B140">
        <v>11715</v>
      </c>
      <c r="C140">
        <v>17315</v>
      </c>
      <c r="D140">
        <v>16879</v>
      </c>
      <c r="E140">
        <v>17696</v>
      </c>
      <c r="F140">
        <v>12633</v>
      </c>
      <c r="G140">
        <v>17496</v>
      </c>
      <c r="H140">
        <v>17240</v>
      </c>
      <c r="I140">
        <v>17960</v>
      </c>
      <c r="J140">
        <v>17009</v>
      </c>
      <c r="K140">
        <v>14868</v>
      </c>
    </row>
    <row r="141" spans="1:11">
      <c r="A141" s="99">
        <v>45063</v>
      </c>
      <c r="B141">
        <v>11737</v>
      </c>
      <c r="C141">
        <v>17338</v>
      </c>
      <c r="D141">
        <v>16883</v>
      </c>
      <c r="E141">
        <v>17696</v>
      </c>
      <c r="F141">
        <v>12657</v>
      </c>
      <c r="G141">
        <v>17519</v>
      </c>
      <c r="H141">
        <v>17262</v>
      </c>
      <c r="I141">
        <v>17979</v>
      </c>
      <c r="J141">
        <v>17033</v>
      </c>
      <c r="K141">
        <v>14892</v>
      </c>
    </row>
    <row r="142" spans="1:11">
      <c r="A142" s="99">
        <v>45064</v>
      </c>
      <c r="B142">
        <v>11741</v>
      </c>
      <c r="C142">
        <v>17357</v>
      </c>
      <c r="D142">
        <v>16907</v>
      </c>
      <c r="E142">
        <v>17696</v>
      </c>
      <c r="F142">
        <v>12681</v>
      </c>
      <c r="G142">
        <v>17543</v>
      </c>
      <c r="H142">
        <v>17286</v>
      </c>
      <c r="I142">
        <v>18003</v>
      </c>
      <c r="J142">
        <v>17054</v>
      </c>
      <c r="K142">
        <v>14916</v>
      </c>
    </row>
    <row r="143" spans="1:11">
      <c r="A143" s="99">
        <v>45065</v>
      </c>
      <c r="B143">
        <v>11764</v>
      </c>
      <c r="C143">
        <v>17381</v>
      </c>
      <c r="D143">
        <v>16931</v>
      </c>
      <c r="E143">
        <v>17696</v>
      </c>
      <c r="F143">
        <v>12705</v>
      </c>
      <c r="G143">
        <v>17567</v>
      </c>
      <c r="H143">
        <v>17303</v>
      </c>
      <c r="I143">
        <v>18027</v>
      </c>
      <c r="J143">
        <v>17078</v>
      </c>
      <c r="K143">
        <v>14921</v>
      </c>
    </row>
    <row r="144" spans="1:11">
      <c r="A144" s="99">
        <v>45066</v>
      </c>
      <c r="B144">
        <v>11788</v>
      </c>
      <c r="C144">
        <v>17405</v>
      </c>
      <c r="D144">
        <v>16955</v>
      </c>
      <c r="E144">
        <v>17696</v>
      </c>
      <c r="F144">
        <v>12723</v>
      </c>
      <c r="G144">
        <v>17591</v>
      </c>
      <c r="H144">
        <v>17327</v>
      </c>
      <c r="I144">
        <v>18039</v>
      </c>
      <c r="J144">
        <v>17096</v>
      </c>
      <c r="K144">
        <v>14945</v>
      </c>
    </row>
    <row r="145" spans="1:11">
      <c r="A145" s="99">
        <v>45067</v>
      </c>
      <c r="B145">
        <v>11812</v>
      </c>
      <c r="C145">
        <v>17429</v>
      </c>
      <c r="D145">
        <v>16979</v>
      </c>
      <c r="E145">
        <v>17696</v>
      </c>
      <c r="F145">
        <v>12747</v>
      </c>
      <c r="G145">
        <v>17615</v>
      </c>
      <c r="H145">
        <v>17351</v>
      </c>
      <c r="I145">
        <v>18039</v>
      </c>
      <c r="J145">
        <v>17120</v>
      </c>
      <c r="K145">
        <v>14969</v>
      </c>
    </row>
    <row r="146" spans="1:11">
      <c r="A146" s="99">
        <v>45068</v>
      </c>
      <c r="B146">
        <v>11836</v>
      </c>
      <c r="C146">
        <v>17453</v>
      </c>
      <c r="D146">
        <v>17003</v>
      </c>
      <c r="E146">
        <v>17696</v>
      </c>
      <c r="F146">
        <v>12771</v>
      </c>
      <c r="G146">
        <v>17639</v>
      </c>
      <c r="H146">
        <v>17375</v>
      </c>
      <c r="I146">
        <v>18039</v>
      </c>
      <c r="J146">
        <v>17144</v>
      </c>
      <c r="K146">
        <v>14993</v>
      </c>
    </row>
    <row r="147" spans="1:11">
      <c r="A147" s="99">
        <v>45069</v>
      </c>
      <c r="B147">
        <v>11860</v>
      </c>
      <c r="C147">
        <v>17477</v>
      </c>
      <c r="D147">
        <v>17027</v>
      </c>
      <c r="E147">
        <v>17696</v>
      </c>
      <c r="F147">
        <v>12793</v>
      </c>
      <c r="G147">
        <v>17663</v>
      </c>
      <c r="H147">
        <v>17399</v>
      </c>
      <c r="I147">
        <v>18039</v>
      </c>
      <c r="J147">
        <v>17168</v>
      </c>
      <c r="K147">
        <v>15017</v>
      </c>
    </row>
    <row r="148" spans="1:11">
      <c r="A148" s="99">
        <v>45070</v>
      </c>
      <c r="B148">
        <v>11884</v>
      </c>
      <c r="C148">
        <v>17501</v>
      </c>
      <c r="D148">
        <v>17051</v>
      </c>
      <c r="E148">
        <v>17696</v>
      </c>
      <c r="F148">
        <v>12817</v>
      </c>
      <c r="G148">
        <v>17687</v>
      </c>
      <c r="H148">
        <v>17423</v>
      </c>
      <c r="I148">
        <v>18039</v>
      </c>
      <c r="J148">
        <v>17192</v>
      </c>
      <c r="K148">
        <v>15041</v>
      </c>
    </row>
    <row r="149" spans="1:11">
      <c r="A149" s="99">
        <v>45071</v>
      </c>
      <c r="B149">
        <v>11908</v>
      </c>
      <c r="C149">
        <v>17525</v>
      </c>
      <c r="D149">
        <v>17075</v>
      </c>
      <c r="E149">
        <v>17696</v>
      </c>
      <c r="F149">
        <v>12841</v>
      </c>
      <c r="G149">
        <v>17711</v>
      </c>
      <c r="H149">
        <v>17447</v>
      </c>
      <c r="I149">
        <v>18039</v>
      </c>
      <c r="J149">
        <v>17216</v>
      </c>
      <c r="K149">
        <v>15065</v>
      </c>
    </row>
    <row r="150" spans="1:11">
      <c r="A150" s="99">
        <v>45072</v>
      </c>
      <c r="B150">
        <v>11932</v>
      </c>
      <c r="C150">
        <v>17549</v>
      </c>
      <c r="D150">
        <v>17099</v>
      </c>
      <c r="E150">
        <v>17696</v>
      </c>
      <c r="F150">
        <v>12863</v>
      </c>
      <c r="G150">
        <v>17735</v>
      </c>
      <c r="H150">
        <v>17471</v>
      </c>
      <c r="I150">
        <v>18039</v>
      </c>
      <c r="J150">
        <v>17240</v>
      </c>
      <c r="K150">
        <v>15089</v>
      </c>
    </row>
    <row r="151" spans="1:11">
      <c r="A151" s="99">
        <v>45073</v>
      </c>
      <c r="B151">
        <v>11956</v>
      </c>
      <c r="C151">
        <v>17572</v>
      </c>
      <c r="D151">
        <v>17123</v>
      </c>
      <c r="E151">
        <v>17696</v>
      </c>
      <c r="F151">
        <v>12887</v>
      </c>
      <c r="G151">
        <v>17759</v>
      </c>
      <c r="H151">
        <v>17495</v>
      </c>
      <c r="I151">
        <v>18039</v>
      </c>
      <c r="J151">
        <v>17264</v>
      </c>
      <c r="K151">
        <v>15113</v>
      </c>
    </row>
    <row r="152" spans="1:11">
      <c r="A152" s="99">
        <v>45074</v>
      </c>
      <c r="B152">
        <v>11980</v>
      </c>
      <c r="C152">
        <v>17596</v>
      </c>
      <c r="D152">
        <v>17147</v>
      </c>
      <c r="E152">
        <v>17696</v>
      </c>
      <c r="F152">
        <v>12911</v>
      </c>
      <c r="G152">
        <v>17783</v>
      </c>
      <c r="H152">
        <v>17519</v>
      </c>
      <c r="I152">
        <v>18039</v>
      </c>
      <c r="J152">
        <v>17288</v>
      </c>
      <c r="K152">
        <v>15137</v>
      </c>
    </row>
    <row r="153" spans="1:11">
      <c r="A153" s="99">
        <v>45075</v>
      </c>
      <c r="B153">
        <v>12004</v>
      </c>
      <c r="C153">
        <v>17620</v>
      </c>
      <c r="D153">
        <v>17171</v>
      </c>
      <c r="E153">
        <v>17696</v>
      </c>
      <c r="F153">
        <v>12935</v>
      </c>
      <c r="G153">
        <v>17804</v>
      </c>
      <c r="H153">
        <v>17543</v>
      </c>
      <c r="I153">
        <v>18039</v>
      </c>
      <c r="J153">
        <v>17312</v>
      </c>
      <c r="K153">
        <v>15161</v>
      </c>
    </row>
    <row r="154" spans="1:11">
      <c r="A154" s="99">
        <v>45076</v>
      </c>
      <c r="B154">
        <v>12028</v>
      </c>
      <c r="C154">
        <v>17644</v>
      </c>
      <c r="D154">
        <v>17195</v>
      </c>
      <c r="E154">
        <v>17696</v>
      </c>
      <c r="F154">
        <v>12959</v>
      </c>
      <c r="G154">
        <v>17828</v>
      </c>
      <c r="H154">
        <v>17567</v>
      </c>
      <c r="I154">
        <v>18039</v>
      </c>
      <c r="J154">
        <v>17334</v>
      </c>
      <c r="K154">
        <v>15185</v>
      </c>
    </row>
    <row r="155" spans="1:11">
      <c r="A155" s="99">
        <v>45077</v>
      </c>
      <c r="B155">
        <v>12052</v>
      </c>
      <c r="C155">
        <v>17668</v>
      </c>
      <c r="D155">
        <v>17215</v>
      </c>
      <c r="E155">
        <v>17696</v>
      </c>
      <c r="F155">
        <v>12983</v>
      </c>
      <c r="G155">
        <v>17852</v>
      </c>
      <c r="H155">
        <v>17591</v>
      </c>
      <c r="I155">
        <v>18039</v>
      </c>
      <c r="J155">
        <v>17358</v>
      </c>
      <c r="K155">
        <v>15209</v>
      </c>
    </row>
    <row r="156" spans="1:11">
      <c r="A156" s="99">
        <v>45078</v>
      </c>
      <c r="B156">
        <v>12072</v>
      </c>
      <c r="C156">
        <v>17692</v>
      </c>
      <c r="D156">
        <v>17239</v>
      </c>
      <c r="E156">
        <v>17696</v>
      </c>
      <c r="F156">
        <v>13007</v>
      </c>
      <c r="G156">
        <v>17876</v>
      </c>
      <c r="H156">
        <v>17615</v>
      </c>
      <c r="I156">
        <v>18039</v>
      </c>
      <c r="J156">
        <v>17382</v>
      </c>
      <c r="K156">
        <v>15233</v>
      </c>
    </row>
    <row r="157" spans="1:11">
      <c r="A157" s="99">
        <v>45079</v>
      </c>
      <c r="B157">
        <v>12096</v>
      </c>
      <c r="C157">
        <v>17713</v>
      </c>
      <c r="D157">
        <v>17262</v>
      </c>
      <c r="E157">
        <v>17696</v>
      </c>
      <c r="F157">
        <v>13031</v>
      </c>
      <c r="G157">
        <v>17900</v>
      </c>
      <c r="H157">
        <v>17639</v>
      </c>
      <c r="I157">
        <v>18039</v>
      </c>
      <c r="J157">
        <v>17406</v>
      </c>
      <c r="K157">
        <v>15257</v>
      </c>
    </row>
    <row r="158" spans="1:11">
      <c r="A158" s="99">
        <v>45080</v>
      </c>
      <c r="B158">
        <v>12120</v>
      </c>
      <c r="C158">
        <v>17736</v>
      </c>
      <c r="D158">
        <v>17286</v>
      </c>
      <c r="E158">
        <v>17696</v>
      </c>
      <c r="F158">
        <v>13055</v>
      </c>
      <c r="G158">
        <v>17924</v>
      </c>
      <c r="H158">
        <v>17663</v>
      </c>
      <c r="I158">
        <v>18039</v>
      </c>
      <c r="J158">
        <v>17430</v>
      </c>
      <c r="K158">
        <v>15281</v>
      </c>
    </row>
    <row r="159" spans="1:11">
      <c r="A159" s="99">
        <v>45081</v>
      </c>
      <c r="B159">
        <v>12144</v>
      </c>
      <c r="C159">
        <v>17760</v>
      </c>
      <c r="D159">
        <v>17310</v>
      </c>
      <c r="E159">
        <v>17696</v>
      </c>
      <c r="F159">
        <v>13079</v>
      </c>
      <c r="G159">
        <v>17948</v>
      </c>
      <c r="H159">
        <v>17687</v>
      </c>
      <c r="I159">
        <v>18039</v>
      </c>
      <c r="J159">
        <v>17454</v>
      </c>
      <c r="K159">
        <v>15303</v>
      </c>
    </row>
    <row r="160" spans="1:11">
      <c r="A160" s="99">
        <v>45082</v>
      </c>
      <c r="B160">
        <v>12168</v>
      </c>
      <c r="C160">
        <v>17784</v>
      </c>
      <c r="D160">
        <v>17334</v>
      </c>
      <c r="E160">
        <v>17696</v>
      </c>
      <c r="F160">
        <v>13103</v>
      </c>
      <c r="G160">
        <v>17972</v>
      </c>
      <c r="H160">
        <v>17711</v>
      </c>
      <c r="I160">
        <v>18039</v>
      </c>
      <c r="J160">
        <v>17478</v>
      </c>
      <c r="K160">
        <v>15324</v>
      </c>
    </row>
    <row r="161" spans="1:11">
      <c r="A161" s="99">
        <v>45083</v>
      </c>
      <c r="B161">
        <v>12190</v>
      </c>
      <c r="C161">
        <v>17807</v>
      </c>
      <c r="D161">
        <v>17358</v>
      </c>
      <c r="E161">
        <v>17696</v>
      </c>
      <c r="F161">
        <v>13127</v>
      </c>
      <c r="G161">
        <v>17996</v>
      </c>
      <c r="H161">
        <v>17735</v>
      </c>
      <c r="I161">
        <v>18039</v>
      </c>
      <c r="J161">
        <v>17502</v>
      </c>
      <c r="K161">
        <v>15348</v>
      </c>
    </row>
    <row r="162" spans="1:11">
      <c r="A162" s="99">
        <v>45084</v>
      </c>
      <c r="B162">
        <v>12214</v>
      </c>
      <c r="C162">
        <v>17831</v>
      </c>
      <c r="D162">
        <v>17382</v>
      </c>
      <c r="E162">
        <v>17700</v>
      </c>
      <c r="F162">
        <v>13151</v>
      </c>
      <c r="G162">
        <v>18020</v>
      </c>
      <c r="H162">
        <v>17759</v>
      </c>
      <c r="I162">
        <v>18039</v>
      </c>
      <c r="J162">
        <v>17525</v>
      </c>
      <c r="K162">
        <v>15372</v>
      </c>
    </row>
    <row r="163" spans="1:11">
      <c r="A163" s="99">
        <v>45085</v>
      </c>
      <c r="B163">
        <v>12238</v>
      </c>
      <c r="C163">
        <v>17855</v>
      </c>
      <c r="D163">
        <v>17406</v>
      </c>
      <c r="E163">
        <v>17703</v>
      </c>
      <c r="F163">
        <v>13174</v>
      </c>
      <c r="G163">
        <v>18043</v>
      </c>
      <c r="H163">
        <v>17781</v>
      </c>
      <c r="I163">
        <v>18039</v>
      </c>
      <c r="J163">
        <v>17548</v>
      </c>
      <c r="K163">
        <v>15395</v>
      </c>
    </row>
    <row r="164" spans="1:11">
      <c r="A164" s="99">
        <v>45086</v>
      </c>
      <c r="B164">
        <v>12262</v>
      </c>
      <c r="C164">
        <v>17879</v>
      </c>
      <c r="D164">
        <v>17430</v>
      </c>
      <c r="E164">
        <v>17712</v>
      </c>
      <c r="F164">
        <v>13198</v>
      </c>
      <c r="G164">
        <v>18065</v>
      </c>
      <c r="H164">
        <v>17805</v>
      </c>
      <c r="I164">
        <v>18039</v>
      </c>
      <c r="J164">
        <v>17572</v>
      </c>
      <c r="K164">
        <v>15419</v>
      </c>
    </row>
    <row r="165" spans="1:11">
      <c r="A165" s="99">
        <v>45087</v>
      </c>
      <c r="B165">
        <v>12283</v>
      </c>
      <c r="C165">
        <v>17903</v>
      </c>
      <c r="D165">
        <v>17449</v>
      </c>
      <c r="E165">
        <v>17736</v>
      </c>
      <c r="F165">
        <v>13222</v>
      </c>
      <c r="G165">
        <v>18089</v>
      </c>
      <c r="H165">
        <v>17829</v>
      </c>
      <c r="I165">
        <v>18039</v>
      </c>
      <c r="J165">
        <v>17577</v>
      </c>
      <c r="K165">
        <v>15443</v>
      </c>
    </row>
    <row r="166" spans="1:11">
      <c r="A166" s="99">
        <v>45088</v>
      </c>
      <c r="B166">
        <v>12286</v>
      </c>
      <c r="C166">
        <v>17922</v>
      </c>
      <c r="D166">
        <v>17470</v>
      </c>
      <c r="E166">
        <v>17760</v>
      </c>
      <c r="F166">
        <v>13246</v>
      </c>
      <c r="G166">
        <v>18113</v>
      </c>
      <c r="H166">
        <v>17853</v>
      </c>
      <c r="I166">
        <v>18039</v>
      </c>
      <c r="J166">
        <v>17601</v>
      </c>
      <c r="K166">
        <v>15467</v>
      </c>
    </row>
    <row r="167" spans="1:11">
      <c r="A167" s="99">
        <v>45089</v>
      </c>
      <c r="B167">
        <v>12310</v>
      </c>
      <c r="C167">
        <v>17928</v>
      </c>
      <c r="D167">
        <v>17491</v>
      </c>
      <c r="E167">
        <v>17784</v>
      </c>
      <c r="F167">
        <v>13270</v>
      </c>
      <c r="G167">
        <v>18137</v>
      </c>
      <c r="H167">
        <v>17877</v>
      </c>
      <c r="I167">
        <v>18039</v>
      </c>
      <c r="J167">
        <v>17620</v>
      </c>
      <c r="K167">
        <v>15491</v>
      </c>
    </row>
    <row r="168" spans="1:11">
      <c r="A168" s="99">
        <v>45090</v>
      </c>
      <c r="B168">
        <v>12334</v>
      </c>
      <c r="C168">
        <v>17952</v>
      </c>
      <c r="D168">
        <v>17515</v>
      </c>
      <c r="E168">
        <v>17808</v>
      </c>
      <c r="F168">
        <v>13294</v>
      </c>
      <c r="G168">
        <v>18157</v>
      </c>
      <c r="H168">
        <v>17901</v>
      </c>
      <c r="I168">
        <v>18039</v>
      </c>
      <c r="J168">
        <v>17620</v>
      </c>
      <c r="K168">
        <v>15515</v>
      </c>
    </row>
    <row r="169" spans="1:11">
      <c r="A169" s="99">
        <v>45091</v>
      </c>
      <c r="B169">
        <v>12358</v>
      </c>
      <c r="C169">
        <v>17976</v>
      </c>
      <c r="D169">
        <v>17539</v>
      </c>
      <c r="E169">
        <v>17832</v>
      </c>
      <c r="F169">
        <v>13318</v>
      </c>
      <c r="G169">
        <v>18181</v>
      </c>
      <c r="H169">
        <v>17925</v>
      </c>
      <c r="I169">
        <v>18039</v>
      </c>
      <c r="J169">
        <v>17620</v>
      </c>
      <c r="K169">
        <v>15539</v>
      </c>
    </row>
    <row r="170" spans="1:11">
      <c r="A170" s="99">
        <v>45092</v>
      </c>
      <c r="B170">
        <v>12379</v>
      </c>
      <c r="C170">
        <v>18000</v>
      </c>
      <c r="D170">
        <v>17563</v>
      </c>
      <c r="E170">
        <v>17856</v>
      </c>
      <c r="F170">
        <v>13342</v>
      </c>
      <c r="G170">
        <v>18205</v>
      </c>
      <c r="H170">
        <v>17948</v>
      </c>
      <c r="I170">
        <v>18040</v>
      </c>
      <c r="J170">
        <v>17620</v>
      </c>
      <c r="K170">
        <v>15563</v>
      </c>
    </row>
    <row r="171" spans="1:11">
      <c r="A171" s="99">
        <v>45093</v>
      </c>
      <c r="B171">
        <v>12403</v>
      </c>
      <c r="C171">
        <v>18024</v>
      </c>
      <c r="D171">
        <v>17587</v>
      </c>
      <c r="E171">
        <v>17864</v>
      </c>
      <c r="F171">
        <v>13366</v>
      </c>
      <c r="G171">
        <v>18229</v>
      </c>
      <c r="H171">
        <v>17972</v>
      </c>
      <c r="I171">
        <v>18043</v>
      </c>
      <c r="J171">
        <v>17620</v>
      </c>
      <c r="K171">
        <v>15587</v>
      </c>
    </row>
    <row r="172" spans="1:11">
      <c r="A172" s="99">
        <v>45094</v>
      </c>
      <c r="B172">
        <v>12427</v>
      </c>
      <c r="C172">
        <v>18048</v>
      </c>
      <c r="D172">
        <v>17610</v>
      </c>
      <c r="E172">
        <v>17888</v>
      </c>
      <c r="F172">
        <v>13390</v>
      </c>
      <c r="G172">
        <v>18253</v>
      </c>
      <c r="H172">
        <v>17996</v>
      </c>
      <c r="I172">
        <v>18044</v>
      </c>
      <c r="J172">
        <v>17620</v>
      </c>
      <c r="K172">
        <v>15611</v>
      </c>
    </row>
    <row r="173" spans="1:11">
      <c r="A173" s="99">
        <v>45095</v>
      </c>
      <c r="B173">
        <v>12451</v>
      </c>
      <c r="C173">
        <v>18072</v>
      </c>
      <c r="D173">
        <v>17611</v>
      </c>
      <c r="E173">
        <v>17912</v>
      </c>
      <c r="F173">
        <v>13411</v>
      </c>
      <c r="G173">
        <v>18277</v>
      </c>
      <c r="H173">
        <v>18020</v>
      </c>
      <c r="I173">
        <v>18068</v>
      </c>
      <c r="J173">
        <v>17620</v>
      </c>
      <c r="K173">
        <v>15635</v>
      </c>
    </row>
    <row r="174" spans="1:11">
      <c r="A174" s="99">
        <v>45096</v>
      </c>
      <c r="B174">
        <v>12475</v>
      </c>
      <c r="C174">
        <v>18096</v>
      </c>
      <c r="D174">
        <v>17635</v>
      </c>
      <c r="E174">
        <v>17936</v>
      </c>
      <c r="F174">
        <v>13435</v>
      </c>
      <c r="G174">
        <v>18301</v>
      </c>
      <c r="H174">
        <v>18044</v>
      </c>
      <c r="I174">
        <v>18092</v>
      </c>
      <c r="J174">
        <v>17620</v>
      </c>
      <c r="K174">
        <v>15635</v>
      </c>
    </row>
    <row r="175" spans="1:11">
      <c r="A175" s="99">
        <v>45097</v>
      </c>
      <c r="B175">
        <v>12499</v>
      </c>
      <c r="C175">
        <v>18120</v>
      </c>
      <c r="D175">
        <v>17658</v>
      </c>
      <c r="E175">
        <v>17960</v>
      </c>
      <c r="F175">
        <v>13459</v>
      </c>
      <c r="G175">
        <v>18302</v>
      </c>
      <c r="H175">
        <v>18062</v>
      </c>
      <c r="I175">
        <v>18116</v>
      </c>
      <c r="J175">
        <v>17620</v>
      </c>
      <c r="K175">
        <v>15658</v>
      </c>
    </row>
    <row r="176" spans="1:11">
      <c r="A176" s="99">
        <v>45098</v>
      </c>
      <c r="B176">
        <v>12523</v>
      </c>
      <c r="C176">
        <v>18144</v>
      </c>
      <c r="D176">
        <v>17682</v>
      </c>
      <c r="E176">
        <v>17979</v>
      </c>
      <c r="F176">
        <v>13483</v>
      </c>
      <c r="G176">
        <v>18302</v>
      </c>
      <c r="H176">
        <v>18085</v>
      </c>
      <c r="I176">
        <v>18140</v>
      </c>
      <c r="J176">
        <v>17620</v>
      </c>
      <c r="K176">
        <v>15682</v>
      </c>
    </row>
    <row r="177" spans="1:11">
      <c r="A177" s="99">
        <v>45099</v>
      </c>
      <c r="B177">
        <v>12547</v>
      </c>
      <c r="C177">
        <v>18168</v>
      </c>
      <c r="D177">
        <v>17706</v>
      </c>
      <c r="E177">
        <v>17992</v>
      </c>
      <c r="F177">
        <v>13506</v>
      </c>
      <c r="G177">
        <v>18302</v>
      </c>
      <c r="H177">
        <v>18109</v>
      </c>
      <c r="I177">
        <v>18164</v>
      </c>
      <c r="J177">
        <v>17620</v>
      </c>
      <c r="K177">
        <v>15706</v>
      </c>
    </row>
    <row r="178" spans="1:11">
      <c r="A178" s="99">
        <v>45100</v>
      </c>
      <c r="B178">
        <v>12571</v>
      </c>
      <c r="C178">
        <v>18192</v>
      </c>
      <c r="D178">
        <v>17730</v>
      </c>
      <c r="E178">
        <v>18016</v>
      </c>
      <c r="F178">
        <v>13530</v>
      </c>
      <c r="G178">
        <v>18302</v>
      </c>
      <c r="H178">
        <v>18133</v>
      </c>
      <c r="I178">
        <v>18188</v>
      </c>
      <c r="J178">
        <v>17620</v>
      </c>
      <c r="K178">
        <v>15730</v>
      </c>
    </row>
    <row r="179" spans="1:11">
      <c r="A179" s="99">
        <v>45101</v>
      </c>
      <c r="B179">
        <v>12595</v>
      </c>
      <c r="C179">
        <v>18216</v>
      </c>
      <c r="D179">
        <v>17754</v>
      </c>
      <c r="E179">
        <v>18040</v>
      </c>
      <c r="F179">
        <v>13554</v>
      </c>
      <c r="G179">
        <v>18302</v>
      </c>
      <c r="H179">
        <v>18157</v>
      </c>
      <c r="I179">
        <v>18212</v>
      </c>
      <c r="J179">
        <v>17620</v>
      </c>
      <c r="K179">
        <v>15754</v>
      </c>
    </row>
    <row r="180" spans="1:11">
      <c r="A180" s="99">
        <v>45102</v>
      </c>
      <c r="B180">
        <v>12619</v>
      </c>
      <c r="C180">
        <v>18240</v>
      </c>
      <c r="D180">
        <v>17778</v>
      </c>
      <c r="E180">
        <v>18064</v>
      </c>
      <c r="F180">
        <v>13578</v>
      </c>
      <c r="G180">
        <v>18302</v>
      </c>
      <c r="H180">
        <v>18180</v>
      </c>
      <c r="I180">
        <v>18236</v>
      </c>
      <c r="J180">
        <v>17620</v>
      </c>
      <c r="K180">
        <v>15778</v>
      </c>
    </row>
    <row r="181" spans="1:11">
      <c r="A181" s="99">
        <v>45103</v>
      </c>
      <c r="B181">
        <v>12643</v>
      </c>
      <c r="C181">
        <v>18264</v>
      </c>
      <c r="D181">
        <v>17802</v>
      </c>
      <c r="E181">
        <v>18088</v>
      </c>
      <c r="F181">
        <v>13602</v>
      </c>
      <c r="G181">
        <v>18302</v>
      </c>
      <c r="H181">
        <v>18204</v>
      </c>
      <c r="I181">
        <v>18260</v>
      </c>
      <c r="J181">
        <v>17620</v>
      </c>
      <c r="K181">
        <v>15802</v>
      </c>
    </row>
    <row r="182" spans="1:11">
      <c r="A182" s="99">
        <v>45104</v>
      </c>
      <c r="B182">
        <v>12667</v>
      </c>
      <c r="C182">
        <v>18288</v>
      </c>
      <c r="D182">
        <v>17826</v>
      </c>
      <c r="E182">
        <v>18112</v>
      </c>
      <c r="F182">
        <v>13626</v>
      </c>
      <c r="G182">
        <v>18302</v>
      </c>
      <c r="H182">
        <v>18228</v>
      </c>
      <c r="I182">
        <v>18284</v>
      </c>
      <c r="J182">
        <v>17620</v>
      </c>
      <c r="K182">
        <v>15826</v>
      </c>
    </row>
    <row r="183" spans="1:11">
      <c r="A183" s="99">
        <v>45105</v>
      </c>
      <c r="B183">
        <v>12691</v>
      </c>
      <c r="C183">
        <v>18312</v>
      </c>
      <c r="D183">
        <v>17850</v>
      </c>
      <c r="E183">
        <v>18134</v>
      </c>
      <c r="F183">
        <v>13650</v>
      </c>
      <c r="G183">
        <v>18302</v>
      </c>
      <c r="H183">
        <v>18252</v>
      </c>
      <c r="I183">
        <v>18308</v>
      </c>
      <c r="J183">
        <v>17620</v>
      </c>
      <c r="K183">
        <v>15850</v>
      </c>
    </row>
    <row r="184" spans="1:11">
      <c r="A184" s="99">
        <v>45106</v>
      </c>
      <c r="B184">
        <v>12715</v>
      </c>
      <c r="C184">
        <v>18321</v>
      </c>
      <c r="D184">
        <v>17874</v>
      </c>
      <c r="E184">
        <v>18158</v>
      </c>
      <c r="F184">
        <v>13674</v>
      </c>
      <c r="G184">
        <v>18302</v>
      </c>
      <c r="H184">
        <v>18264</v>
      </c>
      <c r="I184">
        <v>18332</v>
      </c>
      <c r="J184">
        <v>17620</v>
      </c>
      <c r="K184">
        <v>15874</v>
      </c>
    </row>
    <row r="185" spans="1:11">
      <c r="A185" s="99">
        <v>45107</v>
      </c>
      <c r="B185">
        <v>12732</v>
      </c>
      <c r="C185">
        <v>18345</v>
      </c>
      <c r="D185">
        <v>17890</v>
      </c>
      <c r="E185">
        <v>18182</v>
      </c>
      <c r="F185">
        <v>13698</v>
      </c>
      <c r="G185">
        <v>18302</v>
      </c>
      <c r="H185">
        <v>18288</v>
      </c>
      <c r="I185">
        <v>18356</v>
      </c>
      <c r="J185">
        <v>17620</v>
      </c>
      <c r="K185">
        <v>15890</v>
      </c>
    </row>
    <row r="186" spans="1:11">
      <c r="A186" s="99">
        <v>45108</v>
      </c>
      <c r="B186">
        <v>12756</v>
      </c>
      <c r="C186">
        <v>18369</v>
      </c>
      <c r="D186">
        <v>17914</v>
      </c>
      <c r="E186">
        <v>18206</v>
      </c>
      <c r="F186">
        <v>13722</v>
      </c>
      <c r="G186">
        <v>18302</v>
      </c>
      <c r="H186">
        <v>18312</v>
      </c>
      <c r="I186">
        <v>18380</v>
      </c>
      <c r="J186">
        <v>17620</v>
      </c>
      <c r="K186">
        <v>15914</v>
      </c>
    </row>
    <row r="187" spans="1:11">
      <c r="A187" s="99">
        <v>45109</v>
      </c>
      <c r="B187">
        <v>12780</v>
      </c>
      <c r="C187">
        <v>18393</v>
      </c>
      <c r="D187">
        <v>17938</v>
      </c>
      <c r="E187">
        <v>18230</v>
      </c>
      <c r="F187">
        <v>13746</v>
      </c>
      <c r="G187">
        <v>18302</v>
      </c>
      <c r="H187">
        <v>18336</v>
      </c>
      <c r="I187">
        <v>18404</v>
      </c>
      <c r="J187">
        <v>17620</v>
      </c>
      <c r="K187">
        <v>15938</v>
      </c>
    </row>
    <row r="188" spans="1:11">
      <c r="A188" s="99">
        <v>45110</v>
      </c>
      <c r="B188">
        <v>12804</v>
      </c>
      <c r="C188">
        <v>18417</v>
      </c>
      <c r="D188">
        <v>17962</v>
      </c>
      <c r="E188">
        <v>18302</v>
      </c>
      <c r="F188">
        <v>13770</v>
      </c>
      <c r="G188">
        <v>18302</v>
      </c>
      <c r="H188">
        <v>18360</v>
      </c>
      <c r="I188">
        <v>18428</v>
      </c>
      <c r="J188">
        <v>17620</v>
      </c>
      <c r="K188">
        <v>15962</v>
      </c>
    </row>
    <row r="189" spans="1:11">
      <c r="A189" s="99">
        <v>45111</v>
      </c>
      <c r="B189">
        <v>12828</v>
      </c>
      <c r="C189">
        <v>18441</v>
      </c>
      <c r="D189">
        <v>17986</v>
      </c>
      <c r="E189">
        <v>18278</v>
      </c>
      <c r="F189">
        <v>13794</v>
      </c>
      <c r="G189">
        <v>18302</v>
      </c>
      <c r="H189">
        <v>18384</v>
      </c>
      <c r="I189">
        <v>18452</v>
      </c>
      <c r="J189">
        <v>17620</v>
      </c>
      <c r="K189">
        <v>15986</v>
      </c>
    </row>
    <row r="190" spans="1:11">
      <c r="A190" s="99">
        <v>45112</v>
      </c>
      <c r="B190">
        <v>12852</v>
      </c>
      <c r="C190">
        <v>18465</v>
      </c>
      <c r="D190">
        <v>18010</v>
      </c>
      <c r="E190">
        <v>18302</v>
      </c>
      <c r="F190">
        <v>13818</v>
      </c>
      <c r="G190">
        <v>18302</v>
      </c>
      <c r="H190">
        <v>18408</v>
      </c>
      <c r="I190">
        <v>18476</v>
      </c>
      <c r="J190">
        <v>17620</v>
      </c>
      <c r="K190">
        <v>16010</v>
      </c>
    </row>
    <row r="191" spans="1:11">
      <c r="A191" s="99">
        <v>45113</v>
      </c>
      <c r="B191">
        <v>12876</v>
      </c>
      <c r="C191">
        <v>18489</v>
      </c>
      <c r="D191">
        <v>18034</v>
      </c>
      <c r="E191">
        <v>18326</v>
      </c>
      <c r="F191">
        <v>13842</v>
      </c>
      <c r="G191">
        <v>18302</v>
      </c>
      <c r="H191">
        <v>18432</v>
      </c>
      <c r="I191">
        <v>18500</v>
      </c>
      <c r="J191">
        <v>17620</v>
      </c>
      <c r="K191">
        <v>16034</v>
      </c>
    </row>
    <row r="192" spans="1:11">
      <c r="A192" s="99">
        <v>45114</v>
      </c>
      <c r="B192">
        <v>12900</v>
      </c>
      <c r="C192">
        <v>18513</v>
      </c>
      <c r="D192">
        <v>18350</v>
      </c>
      <c r="E192">
        <v>18350</v>
      </c>
      <c r="F192">
        <v>13866</v>
      </c>
      <c r="G192">
        <v>18302</v>
      </c>
      <c r="H192">
        <v>18456</v>
      </c>
      <c r="I192">
        <v>18524</v>
      </c>
      <c r="J192">
        <v>17620</v>
      </c>
      <c r="K192">
        <v>16058</v>
      </c>
    </row>
    <row r="193" spans="1:11">
      <c r="A193" s="99">
        <v>45115</v>
      </c>
      <c r="B193">
        <v>12924</v>
      </c>
      <c r="C193">
        <v>18537</v>
      </c>
      <c r="D193">
        <v>18082</v>
      </c>
      <c r="E193">
        <v>18374</v>
      </c>
      <c r="F193">
        <v>13890</v>
      </c>
      <c r="G193">
        <v>18302</v>
      </c>
      <c r="H193">
        <v>18480</v>
      </c>
      <c r="I193">
        <v>18548</v>
      </c>
      <c r="J193">
        <v>17620</v>
      </c>
      <c r="K193">
        <v>16082</v>
      </c>
    </row>
    <row r="194" spans="1:11">
      <c r="A194" s="99">
        <v>45116</v>
      </c>
      <c r="B194">
        <v>12948</v>
      </c>
      <c r="C194">
        <v>18561</v>
      </c>
      <c r="D194">
        <v>18106</v>
      </c>
      <c r="E194">
        <v>18398</v>
      </c>
      <c r="F194">
        <v>13914</v>
      </c>
      <c r="G194">
        <v>18302</v>
      </c>
      <c r="H194">
        <v>18504</v>
      </c>
      <c r="I194">
        <v>18572</v>
      </c>
      <c r="J194">
        <v>17620</v>
      </c>
      <c r="K194">
        <v>16106</v>
      </c>
    </row>
    <row r="195" spans="1:11">
      <c r="A195" s="99">
        <v>45117</v>
      </c>
      <c r="B195">
        <v>12972</v>
      </c>
      <c r="C195">
        <v>18585</v>
      </c>
      <c r="D195">
        <v>18130</v>
      </c>
      <c r="E195">
        <v>18421</v>
      </c>
      <c r="F195">
        <v>13938</v>
      </c>
      <c r="G195">
        <v>18302</v>
      </c>
      <c r="H195">
        <v>18528</v>
      </c>
      <c r="I195">
        <v>18596</v>
      </c>
      <c r="J195">
        <v>17620</v>
      </c>
      <c r="K195">
        <v>16130</v>
      </c>
    </row>
    <row r="196" spans="1:11">
      <c r="A196" s="99">
        <v>45118</v>
      </c>
      <c r="B196">
        <v>12996</v>
      </c>
      <c r="C196">
        <v>18609</v>
      </c>
      <c r="D196">
        <v>18153</v>
      </c>
      <c r="E196">
        <v>18445</v>
      </c>
      <c r="F196">
        <v>13962</v>
      </c>
      <c r="G196">
        <v>18302</v>
      </c>
      <c r="H196">
        <v>18552</v>
      </c>
      <c r="I196">
        <v>18620</v>
      </c>
      <c r="J196">
        <v>17620</v>
      </c>
      <c r="K196">
        <v>16154</v>
      </c>
    </row>
    <row r="197" spans="1:11">
      <c r="A197" s="99">
        <v>45119</v>
      </c>
      <c r="B197">
        <v>13020</v>
      </c>
      <c r="C197">
        <v>18633</v>
      </c>
      <c r="D197">
        <v>18177</v>
      </c>
      <c r="E197">
        <v>18469</v>
      </c>
      <c r="F197">
        <v>13986</v>
      </c>
      <c r="G197">
        <v>18302</v>
      </c>
      <c r="H197">
        <v>18576</v>
      </c>
      <c r="I197">
        <v>18644</v>
      </c>
      <c r="J197">
        <v>17621</v>
      </c>
      <c r="K197">
        <v>16178</v>
      </c>
    </row>
    <row r="198" spans="1:11">
      <c r="A198" s="99">
        <v>45120</v>
      </c>
      <c r="B198">
        <v>13044</v>
      </c>
      <c r="C198">
        <v>18657</v>
      </c>
      <c r="D198">
        <v>18201</v>
      </c>
      <c r="E198">
        <v>18493</v>
      </c>
      <c r="F198">
        <v>14010</v>
      </c>
      <c r="G198">
        <v>18302</v>
      </c>
      <c r="H198">
        <v>18600</v>
      </c>
      <c r="I198">
        <v>18668</v>
      </c>
      <c r="J198">
        <v>17631</v>
      </c>
      <c r="K198">
        <v>16202</v>
      </c>
    </row>
    <row r="199" spans="1:11">
      <c r="A199" s="99">
        <v>45121</v>
      </c>
      <c r="B199">
        <v>13044</v>
      </c>
      <c r="C199">
        <v>18681</v>
      </c>
      <c r="D199">
        <v>18225</v>
      </c>
      <c r="E199">
        <v>18517</v>
      </c>
      <c r="F199">
        <v>14034</v>
      </c>
      <c r="G199">
        <v>18302</v>
      </c>
      <c r="H199">
        <v>18624</v>
      </c>
      <c r="I199">
        <v>18691</v>
      </c>
      <c r="J199">
        <v>17655</v>
      </c>
      <c r="K199">
        <v>16226</v>
      </c>
    </row>
    <row r="200" spans="1:11">
      <c r="A200" s="99">
        <v>45122</v>
      </c>
      <c r="B200">
        <v>13068</v>
      </c>
      <c r="C200">
        <v>18701</v>
      </c>
      <c r="D200">
        <v>18237</v>
      </c>
      <c r="E200">
        <v>18541</v>
      </c>
      <c r="F200">
        <v>14058</v>
      </c>
      <c r="G200">
        <v>18302</v>
      </c>
      <c r="H200">
        <v>18648</v>
      </c>
      <c r="I200">
        <v>18699</v>
      </c>
      <c r="J200">
        <v>17667</v>
      </c>
      <c r="K200">
        <v>16250</v>
      </c>
    </row>
    <row r="201" spans="1:11">
      <c r="A201" s="99">
        <v>45123</v>
      </c>
      <c r="B201">
        <v>13092</v>
      </c>
      <c r="C201">
        <v>18725</v>
      </c>
      <c r="D201">
        <v>18237</v>
      </c>
      <c r="E201">
        <v>18565</v>
      </c>
      <c r="F201">
        <v>14081</v>
      </c>
      <c r="G201">
        <v>18302</v>
      </c>
      <c r="H201">
        <v>18672</v>
      </c>
      <c r="I201">
        <v>18723</v>
      </c>
      <c r="J201">
        <v>17691</v>
      </c>
      <c r="K201">
        <v>16271</v>
      </c>
    </row>
    <row r="202" spans="1:11">
      <c r="A202" s="99">
        <v>45124</v>
      </c>
      <c r="B202">
        <v>13116</v>
      </c>
      <c r="C202">
        <v>18749</v>
      </c>
      <c r="D202">
        <v>18237</v>
      </c>
      <c r="E202">
        <v>18589</v>
      </c>
      <c r="F202">
        <v>14104</v>
      </c>
      <c r="G202">
        <v>18302</v>
      </c>
      <c r="H202">
        <v>18696</v>
      </c>
      <c r="I202">
        <v>18747</v>
      </c>
      <c r="J202">
        <v>17715</v>
      </c>
      <c r="K202">
        <v>16295</v>
      </c>
    </row>
    <row r="203" spans="1:11">
      <c r="A203" s="99">
        <v>45125</v>
      </c>
      <c r="B203">
        <v>13140</v>
      </c>
      <c r="C203">
        <v>18773</v>
      </c>
      <c r="D203">
        <v>18237</v>
      </c>
      <c r="E203">
        <v>18613</v>
      </c>
      <c r="F203">
        <v>14127</v>
      </c>
      <c r="G203">
        <v>18302</v>
      </c>
      <c r="H203">
        <v>18720</v>
      </c>
      <c r="I203">
        <v>18771</v>
      </c>
      <c r="J203">
        <v>17739</v>
      </c>
      <c r="K203">
        <v>16319</v>
      </c>
    </row>
    <row r="204" spans="1:11">
      <c r="A204" s="99">
        <v>45126</v>
      </c>
      <c r="B204">
        <v>13164</v>
      </c>
      <c r="C204">
        <v>18797</v>
      </c>
      <c r="D204">
        <v>18237</v>
      </c>
      <c r="E204">
        <v>18637</v>
      </c>
      <c r="F204">
        <v>14147</v>
      </c>
      <c r="G204">
        <v>18302</v>
      </c>
      <c r="H204">
        <v>18744</v>
      </c>
      <c r="I204">
        <v>18795</v>
      </c>
      <c r="J204">
        <v>17763</v>
      </c>
      <c r="K204">
        <v>16343</v>
      </c>
    </row>
    <row r="205" spans="1:11">
      <c r="A205" s="99">
        <v>45127</v>
      </c>
      <c r="B205">
        <v>13188</v>
      </c>
      <c r="C205">
        <v>18821</v>
      </c>
      <c r="D205">
        <v>18237</v>
      </c>
      <c r="E205">
        <v>18661</v>
      </c>
      <c r="F205">
        <v>14169</v>
      </c>
      <c r="G205">
        <v>18303</v>
      </c>
      <c r="H205">
        <v>18768</v>
      </c>
      <c r="I205">
        <v>18819</v>
      </c>
      <c r="J205">
        <v>17787</v>
      </c>
      <c r="K205">
        <v>16367</v>
      </c>
    </row>
    <row r="206" spans="1:11">
      <c r="A206" s="99">
        <v>45128</v>
      </c>
      <c r="B206">
        <v>13212</v>
      </c>
      <c r="C206">
        <v>18845</v>
      </c>
      <c r="D206">
        <v>18237</v>
      </c>
      <c r="E206">
        <v>18685</v>
      </c>
      <c r="F206">
        <v>14193</v>
      </c>
      <c r="G206">
        <v>18309</v>
      </c>
      <c r="H206">
        <v>18792</v>
      </c>
      <c r="I206">
        <v>18841</v>
      </c>
      <c r="J206">
        <v>17810</v>
      </c>
      <c r="K206">
        <v>16367</v>
      </c>
    </row>
    <row r="207" spans="1:11">
      <c r="A207" s="99">
        <v>45129</v>
      </c>
      <c r="B207">
        <v>13236</v>
      </c>
      <c r="C207">
        <v>18869</v>
      </c>
      <c r="D207">
        <v>18237</v>
      </c>
      <c r="E207">
        <v>18709</v>
      </c>
      <c r="F207">
        <v>14217</v>
      </c>
      <c r="G207">
        <v>18333</v>
      </c>
      <c r="H207">
        <v>18816</v>
      </c>
      <c r="I207">
        <v>18863</v>
      </c>
      <c r="J207">
        <v>17834</v>
      </c>
      <c r="K207">
        <v>16367</v>
      </c>
    </row>
    <row r="208" spans="1:11">
      <c r="A208" s="99">
        <v>45130</v>
      </c>
      <c r="B208">
        <v>13260</v>
      </c>
      <c r="C208">
        <v>18893</v>
      </c>
      <c r="D208">
        <v>18237</v>
      </c>
      <c r="E208">
        <v>18732</v>
      </c>
      <c r="F208">
        <v>14241</v>
      </c>
      <c r="G208">
        <v>18357</v>
      </c>
      <c r="H208">
        <v>18840</v>
      </c>
      <c r="I208">
        <v>18887</v>
      </c>
      <c r="J208">
        <v>17858</v>
      </c>
      <c r="K208">
        <v>16367</v>
      </c>
    </row>
    <row r="209" spans="1:11">
      <c r="A209" s="99">
        <v>45131</v>
      </c>
      <c r="B209">
        <v>13284</v>
      </c>
      <c r="C209">
        <v>18917</v>
      </c>
      <c r="D209">
        <v>18237</v>
      </c>
      <c r="E209">
        <v>18756</v>
      </c>
      <c r="F209">
        <v>14265</v>
      </c>
      <c r="G209">
        <v>18380</v>
      </c>
      <c r="H209">
        <v>18864</v>
      </c>
      <c r="I209">
        <v>18911</v>
      </c>
      <c r="J209">
        <v>17882</v>
      </c>
      <c r="K209">
        <v>16367</v>
      </c>
    </row>
    <row r="210" spans="1:11">
      <c r="A210" s="99">
        <v>45132</v>
      </c>
      <c r="B210">
        <v>13308</v>
      </c>
      <c r="C210">
        <v>18941</v>
      </c>
      <c r="D210">
        <v>18237</v>
      </c>
      <c r="E210">
        <v>18780</v>
      </c>
      <c r="F210">
        <v>14289</v>
      </c>
      <c r="G210">
        <v>18404</v>
      </c>
      <c r="H210">
        <v>18888</v>
      </c>
      <c r="I210">
        <v>18935</v>
      </c>
      <c r="J210">
        <v>17906</v>
      </c>
      <c r="K210">
        <v>16367</v>
      </c>
    </row>
    <row r="211" spans="1:11">
      <c r="A211" s="99">
        <v>45133</v>
      </c>
      <c r="B211">
        <v>13310</v>
      </c>
      <c r="C211">
        <v>18965</v>
      </c>
      <c r="D211">
        <v>18237</v>
      </c>
      <c r="E211">
        <v>18803</v>
      </c>
      <c r="F211">
        <v>14312</v>
      </c>
      <c r="G211">
        <v>18428</v>
      </c>
      <c r="H211">
        <v>18912</v>
      </c>
      <c r="I211">
        <v>18959</v>
      </c>
      <c r="J211">
        <v>17925</v>
      </c>
      <c r="K211">
        <v>16367</v>
      </c>
    </row>
    <row r="212" spans="1:11">
      <c r="A212" s="99">
        <v>45134</v>
      </c>
      <c r="B212">
        <v>13334</v>
      </c>
      <c r="C212">
        <v>18989</v>
      </c>
      <c r="D212">
        <v>18237</v>
      </c>
      <c r="E212">
        <v>18825</v>
      </c>
      <c r="F212">
        <v>14336</v>
      </c>
      <c r="G212">
        <v>18452</v>
      </c>
      <c r="H212">
        <v>18936</v>
      </c>
      <c r="I212">
        <v>18983</v>
      </c>
      <c r="J212">
        <v>17948</v>
      </c>
      <c r="K212">
        <v>16367</v>
      </c>
    </row>
    <row r="213" spans="1:11">
      <c r="A213" s="99">
        <v>45135</v>
      </c>
      <c r="B213">
        <v>13358</v>
      </c>
      <c r="C213">
        <v>19013</v>
      </c>
      <c r="D213">
        <v>18237</v>
      </c>
      <c r="E213">
        <v>18849</v>
      </c>
      <c r="F213">
        <v>14360</v>
      </c>
      <c r="G213">
        <v>18476</v>
      </c>
      <c r="H213">
        <v>18960</v>
      </c>
      <c r="I213">
        <v>19007</v>
      </c>
      <c r="J213">
        <v>17972</v>
      </c>
      <c r="K213">
        <v>16367</v>
      </c>
    </row>
    <row r="214" spans="1:11">
      <c r="A214" s="99">
        <v>45136</v>
      </c>
      <c r="B214">
        <v>13382</v>
      </c>
      <c r="C214">
        <v>19037</v>
      </c>
      <c r="D214">
        <v>18237</v>
      </c>
      <c r="E214">
        <v>18873</v>
      </c>
      <c r="F214">
        <v>14384</v>
      </c>
      <c r="G214">
        <v>18500</v>
      </c>
      <c r="H214">
        <v>18984</v>
      </c>
      <c r="I214">
        <v>19031</v>
      </c>
      <c r="J214">
        <v>17996</v>
      </c>
      <c r="K214">
        <v>16367</v>
      </c>
    </row>
    <row r="215" spans="1:11">
      <c r="A215" s="99">
        <v>45137</v>
      </c>
      <c r="B215">
        <v>13406</v>
      </c>
      <c r="C215">
        <v>19061</v>
      </c>
      <c r="D215">
        <v>18237</v>
      </c>
      <c r="E215">
        <v>18897</v>
      </c>
      <c r="F215">
        <v>14408</v>
      </c>
      <c r="G215">
        <v>18524</v>
      </c>
      <c r="H215">
        <v>19008</v>
      </c>
      <c r="I215">
        <v>19055</v>
      </c>
      <c r="J215">
        <v>18020</v>
      </c>
      <c r="K215">
        <v>16367</v>
      </c>
    </row>
    <row r="216" spans="1:11">
      <c r="A216" s="99">
        <v>45138</v>
      </c>
      <c r="B216">
        <v>13430</v>
      </c>
      <c r="C216">
        <v>19085</v>
      </c>
      <c r="D216">
        <v>18237</v>
      </c>
      <c r="E216">
        <v>18921</v>
      </c>
      <c r="F216">
        <v>14432</v>
      </c>
      <c r="G216">
        <v>18542</v>
      </c>
      <c r="H216">
        <v>19032</v>
      </c>
      <c r="I216">
        <v>19079</v>
      </c>
      <c r="J216">
        <v>18044</v>
      </c>
      <c r="K216">
        <v>16367</v>
      </c>
    </row>
    <row r="217" spans="1:11">
      <c r="A217" s="99">
        <v>45139</v>
      </c>
      <c r="B217">
        <v>13454</v>
      </c>
      <c r="C217">
        <v>19109</v>
      </c>
      <c r="D217">
        <v>18237</v>
      </c>
      <c r="E217">
        <v>18945</v>
      </c>
      <c r="F217">
        <v>14456</v>
      </c>
      <c r="G217">
        <v>18566</v>
      </c>
      <c r="H217">
        <v>19056</v>
      </c>
      <c r="I217">
        <v>19103</v>
      </c>
      <c r="J217">
        <v>18068</v>
      </c>
      <c r="K217">
        <v>16367</v>
      </c>
    </row>
    <row r="218" spans="1:11">
      <c r="A218" s="99">
        <v>45140</v>
      </c>
      <c r="B218">
        <v>13478</v>
      </c>
      <c r="C218">
        <v>19133</v>
      </c>
      <c r="D218">
        <v>18237</v>
      </c>
      <c r="E218">
        <v>18969</v>
      </c>
      <c r="F218">
        <v>14480</v>
      </c>
      <c r="G218">
        <v>18583</v>
      </c>
      <c r="H218">
        <v>19080</v>
      </c>
      <c r="I218">
        <v>19127</v>
      </c>
      <c r="J218">
        <v>18092</v>
      </c>
      <c r="K218">
        <v>16367</v>
      </c>
    </row>
    <row r="219" spans="1:11">
      <c r="A219" s="99">
        <v>45141</v>
      </c>
      <c r="B219">
        <v>13502</v>
      </c>
      <c r="C219">
        <v>19157</v>
      </c>
      <c r="D219">
        <v>18237</v>
      </c>
      <c r="E219">
        <v>18993</v>
      </c>
      <c r="F219">
        <v>14504</v>
      </c>
      <c r="G219">
        <v>18596</v>
      </c>
      <c r="H219">
        <v>19104</v>
      </c>
      <c r="I219">
        <v>19151</v>
      </c>
      <c r="J219">
        <v>18116</v>
      </c>
      <c r="K219">
        <v>16367</v>
      </c>
    </row>
    <row r="220" spans="1:11">
      <c r="A220" s="99">
        <v>45142</v>
      </c>
      <c r="B220">
        <v>13524</v>
      </c>
      <c r="C220">
        <v>19181</v>
      </c>
      <c r="D220">
        <v>18243</v>
      </c>
      <c r="E220">
        <v>19017</v>
      </c>
      <c r="F220">
        <v>14528</v>
      </c>
      <c r="G220">
        <v>18620</v>
      </c>
      <c r="H220">
        <v>19128</v>
      </c>
      <c r="I220">
        <v>19175</v>
      </c>
      <c r="J220">
        <v>18139</v>
      </c>
      <c r="K220">
        <v>16367</v>
      </c>
    </row>
    <row r="221" spans="1:11">
      <c r="A221" s="99">
        <v>45143</v>
      </c>
      <c r="B221">
        <v>13548</v>
      </c>
      <c r="C221">
        <v>19205</v>
      </c>
      <c r="D221">
        <v>18250</v>
      </c>
      <c r="E221">
        <v>19041</v>
      </c>
      <c r="F221">
        <v>14552</v>
      </c>
      <c r="G221">
        <v>18644</v>
      </c>
      <c r="H221">
        <v>19152</v>
      </c>
      <c r="I221">
        <v>19199</v>
      </c>
      <c r="J221">
        <v>18163</v>
      </c>
      <c r="K221">
        <v>16367</v>
      </c>
    </row>
    <row r="222" spans="1:11">
      <c r="A222" s="99">
        <v>45144</v>
      </c>
      <c r="B222">
        <v>13572</v>
      </c>
      <c r="C222">
        <v>19229</v>
      </c>
      <c r="D222">
        <v>18274</v>
      </c>
      <c r="E222">
        <v>19065</v>
      </c>
      <c r="F222">
        <v>14576</v>
      </c>
      <c r="G222">
        <v>18668</v>
      </c>
      <c r="H222">
        <v>19176</v>
      </c>
      <c r="I222">
        <v>19223</v>
      </c>
      <c r="J222">
        <v>18187</v>
      </c>
      <c r="K222">
        <v>16367</v>
      </c>
    </row>
    <row r="223" spans="1:11">
      <c r="A223" s="99">
        <v>45145</v>
      </c>
      <c r="B223">
        <v>13596</v>
      </c>
      <c r="C223">
        <v>19253</v>
      </c>
      <c r="D223">
        <v>18297</v>
      </c>
      <c r="E223">
        <v>19089</v>
      </c>
      <c r="F223">
        <v>14600</v>
      </c>
      <c r="G223">
        <v>18692</v>
      </c>
      <c r="H223">
        <v>19198</v>
      </c>
      <c r="I223">
        <v>19247</v>
      </c>
      <c r="J223">
        <v>18210</v>
      </c>
      <c r="K223">
        <v>16367</v>
      </c>
    </row>
    <row r="224" spans="1:11">
      <c r="A224" s="99">
        <v>45146</v>
      </c>
      <c r="B224">
        <v>13620</v>
      </c>
      <c r="C224">
        <v>19277</v>
      </c>
      <c r="D224">
        <v>18321</v>
      </c>
      <c r="E224">
        <v>19113</v>
      </c>
      <c r="F224">
        <v>14624</v>
      </c>
      <c r="G224">
        <v>18716</v>
      </c>
      <c r="H224">
        <v>19222</v>
      </c>
      <c r="I224">
        <v>19271</v>
      </c>
      <c r="J224">
        <v>18234</v>
      </c>
      <c r="K224">
        <v>16367</v>
      </c>
    </row>
    <row r="225" spans="1:11">
      <c r="A225" s="99">
        <v>45147</v>
      </c>
      <c r="B225">
        <v>13644</v>
      </c>
      <c r="C225">
        <v>19301</v>
      </c>
      <c r="D225">
        <v>18345</v>
      </c>
      <c r="E225">
        <v>19137</v>
      </c>
      <c r="F225">
        <v>14648</v>
      </c>
      <c r="G225">
        <v>18740</v>
      </c>
      <c r="H225">
        <v>19246</v>
      </c>
      <c r="I225">
        <v>19295</v>
      </c>
      <c r="J225">
        <v>18258</v>
      </c>
      <c r="K225">
        <v>16367</v>
      </c>
    </row>
    <row r="226" spans="1:11">
      <c r="A226" s="99">
        <v>45148</v>
      </c>
      <c r="B226">
        <v>13663</v>
      </c>
      <c r="C226">
        <v>19325</v>
      </c>
      <c r="D226">
        <v>18362</v>
      </c>
      <c r="E226">
        <v>19161</v>
      </c>
      <c r="F226">
        <v>14672</v>
      </c>
      <c r="G226">
        <v>18764</v>
      </c>
      <c r="H226">
        <v>19265</v>
      </c>
      <c r="I226">
        <v>19314</v>
      </c>
      <c r="J226">
        <v>18282</v>
      </c>
      <c r="K226">
        <v>16367</v>
      </c>
    </row>
    <row r="227" spans="1:11">
      <c r="A227" s="99">
        <v>45149</v>
      </c>
      <c r="B227">
        <v>13687</v>
      </c>
      <c r="C227">
        <v>19349</v>
      </c>
      <c r="D227">
        <v>18386</v>
      </c>
      <c r="E227">
        <v>19185</v>
      </c>
      <c r="F227">
        <v>14695</v>
      </c>
      <c r="G227">
        <v>18788</v>
      </c>
      <c r="H227">
        <v>19265</v>
      </c>
      <c r="I227">
        <v>19338</v>
      </c>
      <c r="J227">
        <v>18306</v>
      </c>
      <c r="K227">
        <v>16367</v>
      </c>
    </row>
    <row r="228" spans="1:11">
      <c r="A228" s="99">
        <v>45150</v>
      </c>
      <c r="B228">
        <v>13711</v>
      </c>
      <c r="C228">
        <v>19367</v>
      </c>
      <c r="D228">
        <v>18397</v>
      </c>
      <c r="E228">
        <v>19201</v>
      </c>
      <c r="F228">
        <v>14716</v>
      </c>
      <c r="G228">
        <v>18807</v>
      </c>
      <c r="H228">
        <v>19288</v>
      </c>
      <c r="I228">
        <v>19355</v>
      </c>
      <c r="J228">
        <v>18330</v>
      </c>
      <c r="K228">
        <v>16367</v>
      </c>
    </row>
    <row r="229" spans="1:11">
      <c r="A229" s="99">
        <v>45151</v>
      </c>
      <c r="B229">
        <v>13735</v>
      </c>
      <c r="C229">
        <v>19391</v>
      </c>
      <c r="D229">
        <v>18421</v>
      </c>
      <c r="E229">
        <v>19201</v>
      </c>
      <c r="F229">
        <v>14740</v>
      </c>
      <c r="G229">
        <v>18828</v>
      </c>
      <c r="H229">
        <v>19309</v>
      </c>
      <c r="I229">
        <v>19363</v>
      </c>
      <c r="J229">
        <v>18354</v>
      </c>
      <c r="K229">
        <v>16367</v>
      </c>
    </row>
    <row r="230" spans="1:11">
      <c r="A230" s="99">
        <v>45152</v>
      </c>
      <c r="B230">
        <v>13759</v>
      </c>
      <c r="C230">
        <v>19415</v>
      </c>
      <c r="D230">
        <v>18445</v>
      </c>
      <c r="E230">
        <v>19224</v>
      </c>
      <c r="F230">
        <v>14764</v>
      </c>
      <c r="G230">
        <v>18852</v>
      </c>
      <c r="H230">
        <v>19333</v>
      </c>
      <c r="I230">
        <v>19387</v>
      </c>
      <c r="J230">
        <v>18378</v>
      </c>
      <c r="K230">
        <v>16367</v>
      </c>
    </row>
    <row r="231" spans="1:11">
      <c r="A231" s="99">
        <v>45153</v>
      </c>
      <c r="B231">
        <v>13783</v>
      </c>
      <c r="C231">
        <v>19439</v>
      </c>
      <c r="D231">
        <v>18468</v>
      </c>
      <c r="E231">
        <v>19248</v>
      </c>
      <c r="F231">
        <v>14788</v>
      </c>
      <c r="G231">
        <v>18876</v>
      </c>
      <c r="H231">
        <v>19357</v>
      </c>
      <c r="I231">
        <v>19409</v>
      </c>
      <c r="J231">
        <v>18402</v>
      </c>
      <c r="K231">
        <v>16367</v>
      </c>
    </row>
    <row r="232" spans="1:11">
      <c r="A232" s="99">
        <v>45154</v>
      </c>
      <c r="B232">
        <v>13807</v>
      </c>
      <c r="C232">
        <v>19463</v>
      </c>
      <c r="D232">
        <v>18492</v>
      </c>
      <c r="E232">
        <v>19272</v>
      </c>
      <c r="F232">
        <v>14812</v>
      </c>
      <c r="G232">
        <v>18876</v>
      </c>
      <c r="H232">
        <v>19381</v>
      </c>
      <c r="I232">
        <v>19433</v>
      </c>
      <c r="J232">
        <v>18426</v>
      </c>
      <c r="K232">
        <v>16367</v>
      </c>
    </row>
    <row r="233" spans="1:11">
      <c r="A233" s="99">
        <v>45155</v>
      </c>
      <c r="B233">
        <v>13831</v>
      </c>
      <c r="C233">
        <v>19487</v>
      </c>
      <c r="D233">
        <v>18516</v>
      </c>
      <c r="E233">
        <v>19295</v>
      </c>
      <c r="F233">
        <v>14836</v>
      </c>
      <c r="G233">
        <v>18900</v>
      </c>
      <c r="H233">
        <v>19405</v>
      </c>
      <c r="I233">
        <v>19455</v>
      </c>
      <c r="J233">
        <v>18426</v>
      </c>
      <c r="K233">
        <v>16367</v>
      </c>
    </row>
    <row r="234" spans="1:11">
      <c r="A234" s="99">
        <v>45156</v>
      </c>
      <c r="B234">
        <v>13831</v>
      </c>
      <c r="C234">
        <v>19511</v>
      </c>
      <c r="D234">
        <v>18540</v>
      </c>
      <c r="E234">
        <v>19319</v>
      </c>
      <c r="F234">
        <v>14860</v>
      </c>
      <c r="G234">
        <v>18924</v>
      </c>
      <c r="H234">
        <v>19429</v>
      </c>
      <c r="I234">
        <v>19477</v>
      </c>
      <c r="J234">
        <v>18450</v>
      </c>
      <c r="K234">
        <v>16367</v>
      </c>
    </row>
    <row r="235" spans="1:11">
      <c r="A235" s="99">
        <v>45157</v>
      </c>
      <c r="B235">
        <v>13831</v>
      </c>
      <c r="C235">
        <v>19535</v>
      </c>
      <c r="D235">
        <v>18564</v>
      </c>
      <c r="E235">
        <v>19343</v>
      </c>
      <c r="F235">
        <v>14884</v>
      </c>
      <c r="G235">
        <v>18948</v>
      </c>
      <c r="H235">
        <v>19452</v>
      </c>
      <c r="I235">
        <v>19501</v>
      </c>
      <c r="J235">
        <v>18474</v>
      </c>
      <c r="K235">
        <v>16369</v>
      </c>
    </row>
    <row r="236" spans="1:11">
      <c r="A236" s="99">
        <v>45158</v>
      </c>
      <c r="B236">
        <v>13831</v>
      </c>
      <c r="C236">
        <v>19557</v>
      </c>
      <c r="D236">
        <v>18588</v>
      </c>
      <c r="E236">
        <v>19367</v>
      </c>
      <c r="F236">
        <v>14908</v>
      </c>
      <c r="G236">
        <v>18972</v>
      </c>
      <c r="H236">
        <v>19476</v>
      </c>
      <c r="I236">
        <v>19525</v>
      </c>
      <c r="J236">
        <v>18498</v>
      </c>
      <c r="K236">
        <v>16381</v>
      </c>
    </row>
    <row r="237" spans="1:11">
      <c r="A237" s="99">
        <v>45159</v>
      </c>
      <c r="B237">
        <v>13831</v>
      </c>
      <c r="C237">
        <v>19581</v>
      </c>
      <c r="D237">
        <v>18612</v>
      </c>
      <c r="E237">
        <v>19391</v>
      </c>
      <c r="F237">
        <v>14932</v>
      </c>
      <c r="G237">
        <v>18972</v>
      </c>
      <c r="H237">
        <v>19500</v>
      </c>
      <c r="I237">
        <v>19549</v>
      </c>
      <c r="J237">
        <v>18522</v>
      </c>
      <c r="K237">
        <v>16404</v>
      </c>
    </row>
    <row r="238" spans="1:11">
      <c r="A238" s="99">
        <v>45160</v>
      </c>
      <c r="B238">
        <v>13831</v>
      </c>
      <c r="C238">
        <v>19605</v>
      </c>
      <c r="D238">
        <v>18636</v>
      </c>
      <c r="E238">
        <v>19415</v>
      </c>
      <c r="F238">
        <v>14956</v>
      </c>
      <c r="G238">
        <v>18972</v>
      </c>
      <c r="H238">
        <v>19524</v>
      </c>
      <c r="I238">
        <v>19573</v>
      </c>
      <c r="J238">
        <v>18546</v>
      </c>
      <c r="K238">
        <v>16428</v>
      </c>
    </row>
    <row r="239" spans="1:11">
      <c r="A239" s="99">
        <v>45161</v>
      </c>
    </row>
    <row r="240" spans="1:11">
      <c r="A240" s="99">
        <v>45162</v>
      </c>
    </row>
    <row r="241" spans="1:1">
      <c r="A241" s="99">
        <v>45163</v>
      </c>
    </row>
    <row r="242" spans="1:1">
      <c r="A242" s="99">
        <v>45164</v>
      </c>
    </row>
    <row r="243" spans="1:1">
      <c r="A243" s="99">
        <v>45165</v>
      </c>
    </row>
    <row r="244" spans="1:1">
      <c r="A244" s="99">
        <v>45166</v>
      </c>
    </row>
    <row r="245" spans="1:1">
      <c r="A245" s="99">
        <v>45167</v>
      </c>
    </row>
    <row r="246" spans="1:1">
      <c r="A246" s="99">
        <v>45168</v>
      </c>
    </row>
    <row r="247" spans="1:1">
      <c r="A247" s="99">
        <v>45169</v>
      </c>
    </row>
    <row r="248" spans="1:1">
      <c r="A248" s="99">
        <v>45170</v>
      </c>
    </row>
    <row r="249" spans="1:1">
      <c r="A249" s="99">
        <v>45171</v>
      </c>
    </row>
    <row r="250" spans="1:1">
      <c r="A250" s="99">
        <v>45172</v>
      </c>
    </row>
    <row r="251" spans="1:1">
      <c r="A251" s="99">
        <v>45173</v>
      </c>
    </row>
    <row r="252" spans="1:1">
      <c r="A252" s="99">
        <v>45174</v>
      </c>
    </row>
    <row r="253" spans="1:1">
      <c r="A253" s="99">
        <v>45175</v>
      </c>
    </row>
    <row r="254" spans="1:1">
      <c r="A254" s="99">
        <v>45176</v>
      </c>
    </row>
    <row r="255" spans="1:1">
      <c r="A255" s="99">
        <v>45177</v>
      </c>
    </row>
    <row r="256" spans="1:1">
      <c r="A256" s="99">
        <v>45178</v>
      </c>
    </row>
    <row r="257" spans="1:1">
      <c r="A257" s="99">
        <v>45179</v>
      </c>
    </row>
    <row r="258" spans="1:1">
      <c r="A258" s="99">
        <v>45180</v>
      </c>
    </row>
    <row r="259" spans="1:1">
      <c r="A259" s="99">
        <v>45181</v>
      </c>
    </row>
    <row r="260" spans="1:1">
      <c r="A260" s="99">
        <v>45182</v>
      </c>
    </row>
    <row r="261" spans="1:1">
      <c r="A261" s="99">
        <v>45183</v>
      </c>
    </row>
    <row r="262" spans="1:1">
      <c r="A262" s="99">
        <v>45184</v>
      </c>
    </row>
    <row r="263" spans="1:1">
      <c r="A263" s="99">
        <v>45185</v>
      </c>
    </row>
    <row r="264" spans="1:1">
      <c r="A264" s="99">
        <v>45186</v>
      </c>
    </row>
    <row r="265" spans="1:1">
      <c r="A265" s="99">
        <v>45187</v>
      </c>
    </row>
    <row r="266" spans="1:1">
      <c r="A266" s="99">
        <v>45188</v>
      </c>
    </row>
    <row r="267" spans="1:1">
      <c r="A267" s="99">
        <v>45189</v>
      </c>
    </row>
    <row r="268" spans="1:1">
      <c r="A268" s="99">
        <v>45190</v>
      </c>
    </row>
    <row r="269" spans="1:1">
      <c r="A269" s="99">
        <v>45191</v>
      </c>
    </row>
    <row r="270" spans="1:1">
      <c r="A270" s="99">
        <v>45192</v>
      </c>
    </row>
    <row r="271" spans="1:1">
      <c r="A271" s="99">
        <v>45193</v>
      </c>
    </row>
    <row r="272" spans="1:1">
      <c r="A272" s="99">
        <v>45194</v>
      </c>
    </row>
    <row r="273" spans="1:1">
      <c r="A273" s="99">
        <v>45195</v>
      </c>
    </row>
    <row r="274" spans="1:1">
      <c r="A274" s="99">
        <v>45196</v>
      </c>
    </row>
    <row r="275" spans="1:1">
      <c r="A275" s="99">
        <v>45197</v>
      </c>
    </row>
    <row r="276" spans="1:1">
      <c r="A276" s="99">
        <v>45198</v>
      </c>
    </row>
    <row r="277" spans="1:1">
      <c r="A277" s="99">
        <v>45199</v>
      </c>
    </row>
    <row r="278" spans="1:1">
      <c r="A278" s="99">
        <v>45200</v>
      </c>
    </row>
    <row r="279" spans="1:1">
      <c r="A279" s="99">
        <v>45201</v>
      </c>
    </row>
    <row r="280" spans="1:1">
      <c r="A280" s="99">
        <v>45202</v>
      </c>
    </row>
    <row r="281" spans="1:1">
      <c r="A281" s="99">
        <v>45203</v>
      </c>
    </row>
    <row r="282" spans="1:1">
      <c r="A282" s="99">
        <v>45204</v>
      </c>
    </row>
    <row r="283" spans="1:1">
      <c r="A283" s="99">
        <v>45205</v>
      </c>
    </row>
    <row r="284" spans="1:1">
      <c r="A284" s="99">
        <v>45206</v>
      </c>
    </row>
    <row r="285" spans="1:1">
      <c r="A285" s="99">
        <v>45207</v>
      </c>
    </row>
    <row r="286" spans="1:1">
      <c r="A286" s="99">
        <v>45208</v>
      </c>
    </row>
    <row r="287" spans="1:1">
      <c r="A287" s="99">
        <v>45209</v>
      </c>
    </row>
    <row r="288" spans="1:1">
      <c r="A288" s="99">
        <v>45210</v>
      </c>
    </row>
    <row r="289" spans="1:1">
      <c r="A289" s="99">
        <v>45211</v>
      </c>
    </row>
    <row r="290" spans="1:1">
      <c r="A290" s="99">
        <v>45212</v>
      </c>
    </row>
    <row r="291" spans="1:1">
      <c r="A291" s="99">
        <v>45213</v>
      </c>
    </row>
    <row r="292" spans="1:1">
      <c r="A292" s="99">
        <v>45214</v>
      </c>
    </row>
    <row r="293" spans="1:1">
      <c r="A293" s="99">
        <v>45215</v>
      </c>
    </row>
    <row r="294" spans="1:1">
      <c r="A294" s="99">
        <v>45216</v>
      </c>
    </row>
    <row r="295" spans="1:1">
      <c r="A295" s="99">
        <v>45217</v>
      </c>
    </row>
    <row r="296" spans="1:1">
      <c r="A296" s="99">
        <v>45218</v>
      </c>
    </row>
    <row r="297" spans="1:1">
      <c r="A297" s="99">
        <v>45219</v>
      </c>
    </row>
    <row r="298" spans="1:1">
      <c r="A298" s="99">
        <v>45220</v>
      </c>
    </row>
    <row r="299" spans="1:1">
      <c r="A299" s="99">
        <v>45221</v>
      </c>
    </row>
    <row r="300" spans="1:1">
      <c r="A300" s="99">
        <v>45222</v>
      </c>
    </row>
    <row r="301" spans="1:1">
      <c r="A301" s="99">
        <v>45223</v>
      </c>
    </row>
    <row r="302" spans="1:1">
      <c r="A302" s="99">
        <v>45224</v>
      </c>
    </row>
    <row r="303" spans="1:1">
      <c r="A303" s="99">
        <v>45225</v>
      </c>
    </row>
    <row r="304" spans="1:1">
      <c r="A304" s="99">
        <v>45226</v>
      </c>
    </row>
    <row r="305" spans="1:1">
      <c r="A305" s="99">
        <v>45227</v>
      </c>
    </row>
    <row r="306" spans="1:1">
      <c r="A306" s="99">
        <v>45228</v>
      </c>
    </row>
    <row r="307" spans="1:1">
      <c r="A307" s="99">
        <v>45229</v>
      </c>
    </row>
    <row r="308" spans="1:1">
      <c r="A308" s="99">
        <v>45230</v>
      </c>
    </row>
    <row r="309" spans="1:1">
      <c r="A309" s="99">
        <v>45231</v>
      </c>
    </row>
    <row r="310" spans="1:1">
      <c r="A310" s="99">
        <v>45232</v>
      </c>
    </row>
    <row r="311" spans="1:1">
      <c r="A311" s="99">
        <v>45233</v>
      </c>
    </row>
    <row r="312" spans="1:1">
      <c r="A312" s="99">
        <v>45234</v>
      </c>
    </row>
    <row r="313" spans="1:1">
      <c r="A313" s="99">
        <v>45235</v>
      </c>
    </row>
    <row r="314" spans="1:1">
      <c r="A314" s="99">
        <v>45236</v>
      </c>
    </row>
    <row r="315" spans="1:1">
      <c r="A315" s="99">
        <v>45237</v>
      </c>
    </row>
    <row r="316" spans="1:1">
      <c r="A316" s="99">
        <v>45238</v>
      </c>
    </row>
    <row r="317" spans="1:1">
      <c r="A317" s="99">
        <v>45239</v>
      </c>
    </row>
    <row r="318" spans="1:1">
      <c r="A318" s="99">
        <v>45240</v>
      </c>
    </row>
    <row r="319" spans="1:1">
      <c r="A319" s="99">
        <v>45241</v>
      </c>
    </row>
    <row r="320" spans="1:1">
      <c r="A320" s="99">
        <v>45242</v>
      </c>
    </row>
    <row r="321" spans="1:1">
      <c r="A321" s="99">
        <v>45243</v>
      </c>
    </row>
    <row r="322" spans="1:1">
      <c r="A322" s="99">
        <v>45244</v>
      </c>
    </row>
    <row r="323" spans="1:1">
      <c r="A323" s="99">
        <v>45245</v>
      </c>
    </row>
    <row r="324" spans="1:1">
      <c r="A324" s="99">
        <v>45246</v>
      </c>
    </row>
    <row r="325" spans="1:1">
      <c r="A325" s="99">
        <v>45247</v>
      </c>
    </row>
    <row r="326" spans="1:1">
      <c r="A326" s="99">
        <v>45248</v>
      </c>
    </row>
    <row r="327" spans="1:1">
      <c r="A327" s="99">
        <v>45249</v>
      </c>
    </row>
    <row r="328" spans="1:1">
      <c r="A328" s="99">
        <v>45250</v>
      </c>
    </row>
    <row r="329" spans="1:1">
      <c r="A329" s="99">
        <v>45251</v>
      </c>
    </row>
    <row r="330" spans="1:1">
      <c r="A330" s="99">
        <v>45252</v>
      </c>
    </row>
    <row r="331" spans="1:1">
      <c r="A331" s="99">
        <v>45253</v>
      </c>
    </row>
    <row r="332" spans="1:1">
      <c r="A332" s="99">
        <v>45254</v>
      </c>
    </row>
    <row r="333" spans="1:1">
      <c r="A333" s="99">
        <v>45255</v>
      </c>
    </row>
    <row r="334" spans="1:1">
      <c r="A334" s="99">
        <v>45256</v>
      </c>
    </row>
    <row r="335" spans="1:1">
      <c r="A335" s="99">
        <v>45257</v>
      </c>
    </row>
    <row r="336" spans="1:1">
      <c r="A336" s="99">
        <v>45258</v>
      </c>
    </row>
    <row r="337" spans="1:1">
      <c r="A337" s="99">
        <v>45259</v>
      </c>
    </row>
    <row r="338" spans="1:1">
      <c r="A338" s="99">
        <v>45260</v>
      </c>
    </row>
    <row r="339" spans="1:1">
      <c r="A339" s="99">
        <v>45261</v>
      </c>
    </row>
    <row r="340" spans="1:1">
      <c r="A340" s="99">
        <v>45262</v>
      </c>
    </row>
    <row r="341" spans="1:1">
      <c r="A341" s="99">
        <v>45263</v>
      </c>
    </row>
    <row r="342" spans="1:1">
      <c r="A342" s="99">
        <v>45264</v>
      </c>
    </row>
    <row r="343" spans="1:1">
      <c r="A343" s="99">
        <v>45265</v>
      </c>
    </row>
    <row r="344" spans="1:1">
      <c r="A344" s="99">
        <v>45266</v>
      </c>
    </row>
    <row r="345" spans="1:1">
      <c r="A345" s="99">
        <v>45267</v>
      </c>
    </row>
    <row r="346" spans="1:1">
      <c r="A346" s="99">
        <v>45268</v>
      </c>
    </row>
    <row r="347" spans="1:1">
      <c r="A347" s="99">
        <v>45269</v>
      </c>
    </row>
    <row r="348" spans="1:1">
      <c r="A348" s="99">
        <v>45270</v>
      </c>
    </row>
    <row r="349" spans="1:1">
      <c r="A349" s="99">
        <v>45271</v>
      </c>
    </row>
    <row r="350" spans="1:1">
      <c r="A350" s="99">
        <v>45272</v>
      </c>
    </row>
    <row r="351" spans="1:1">
      <c r="A351" s="99">
        <v>45273</v>
      </c>
    </row>
    <row r="352" spans="1:1">
      <c r="A352" s="99">
        <v>45274</v>
      </c>
    </row>
    <row r="353" spans="1:1">
      <c r="A353" s="99">
        <v>45275</v>
      </c>
    </row>
    <row r="354" spans="1:1">
      <c r="A354" s="99">
        <v>45276</v>
      </c>
    </row>
    <row r="355" spans="1:1">
      <c r="A355" s="99">
        <v>45277</v>
      </c>
    </row>
    <row r="356" spans="1:1">
      <c r="A356" s="99">
        <v>45278</v>
      </c>
    </row>
    <row r="357" spans="1:1">
      <c r="A357" s="99">
        <v>45279</v>
      </c>
    </row>
    <row r="358" spans="1:1">
      <c r="A358" s="99">
        <v>45280</v>
      </c>
    </row>
    <row r="359" spans="1:1">
      <c r="A359" s="99">
        <v>45281</v>
      </c>
    </row>
    <row r="360" spans="1:1">
      <c r="A360" s="99">
        <v>45282</v>
      </c>
    </row>
    <row r="361" spans="1:1">
      <c r="A361" s="99">
        <v>45283</v>
      </c>
    </row>
    <row r="362" spans="1:1">
      <c r="A362" s="99">
        <v>45284</v>
      </c>
    </row>
    <row r="363" spans="1:1">
      <c r="A363" s="99">
        <v>45285</v>
      </c>
    </row>
    <row r="364" spans="1:1">
      <c r="A364" s="99">
        <v>45286</v>
      </c>
    </row>
    <row r="365" spans="1:1">
      <c r="A365" s="99">
        <v>45287</v>
      </c>
    </row>
    <row r="366" spans="1:1">
      <c r="A366" s="99">
        <v>45288</v>
      </c>
    </row>
    <row r="367" spans="1:1">
      <c r="A367" s="99">
        <v>45289</v>
      </c>
    </row>
    <row r="368" spans="1:1">
      <c r="A368" s="99">
        <v>45290</v>
      </c>
    </row>
    <row r="369" spans="1:11">
      <c r="A369" s="99">
        <v>45291</v>
      </c>
    </row>
    <row r="370" spans="1:11">
      <c r="A370" s="37" t="s">
        <v>83</v>
      </c>
      <c r="B370">
        <v>2657957</v>
      </c>
      <c r="C370">
        <v>4060364</v>
      </c>
      <c r="D370">
        <v>3850484</v>
      </c>
      <c r="E370">
        <v>4035103</v>
      </c>
      <c r="F370">
        <v>3012282</v>
      </c>
      <c r="G370">
        <v>3995782</v>
      </c>
      <c r="H370">
        <v>4045486</v>
      </c>
      <c r="I370">
        <v>4066323</v>
      </c>
      <c r="J370">
        <v>3865266</v>
      </c>
      <c r="K370">
        <v>3382878</v>
      </c>
    </row>
  </sheetData>
  <mergeCells count="2">
    <mergeCell ref="M2:Y2"/>
    <mergeCell ref="AM2:AY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"/>
  <dimension ref="A1:T135"/>
  <sheetViews>
    <sheetView showGridLines="0" topLeftCell="A3" zoomScale="70" zoomScaleNormal="70" workbookViewId="0">
      <selection activeCell="B51" sqref="B51"/>
    </sheetView>
  </sheetViews>
  <sheetFormatPr defaultColWidth="10.85546875" defaultRowHeight="14.25"/>
  <cols>
    <col min="1" max="1" width="34.140625" style="196" bestFit="1" customWidth="1"/>
    <col min="2" max="3" width="14.42578125" style="196" bestFit="1" customWidth="1"/>
    <col min="4" max="4" width="15.42578125" style="196" bestFit="1" customWidth="1"/>
    <col min="5" max="14" width="10.85546875" style="196"/>
    <col min="15" max="15" width="14.42578125" style="196" bestFit="1" customWidth="1"/>
    <col min="16" max="16384" width="10.85546875" style="196"/>
  </cols>
  <sheetData>
    <row r="1" spans="1:15" ht="15" customHeight="1">
      <c r="E1" s="496" t="s">
        <v>849</v>
      </c>
      <c r="F1" s="496"/>
      <c r="G1" s="496"/>
      <c r="H1" s="496"/>
      <c r="I1" s="496"/>
      <c r="J1" s="496"/>
      <c r="K1" s="496"/>
      <c r="L1" s="496"/>
      <c r="M1" s="496"/>
      <c r="N1" s="496"/>
      <c r="O1" s="496"/>
    </row>
    <row r="2" spans="1:15">
      <c r="E2" s="496"/>
      <c r="F2" s="496"/>
      <c r="G2" s="496"/>
      <c r="H2" s="496"/>
      <c r="I2" s="496"/>
      <c r="J2" s="496"/>
      <c r="K2" s="496"/>
      <c r="L2" s="496"/>
      <c r="M2" s="496"/>
      <c r="N2" s="496"/>
      <c r="O2" s="496"/>
    </row>
    <row r="3" spans="1:15" ht="15" thickBot="1"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</row>
    <row r="4" spans="1:15" ht="15" thickTop="1">
      <c r="A4" s="328"/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</row>
    <row r="6" spans="1:15" s="200" customFormat="1" ht="17.25" customHeight="1">
      <c r="A6" s="209" t="s">
        <v>850</v>
      </c>
      <c r="B6" s="402"/>
      <c r="C6" s="402"/>
      <c r="D6" s="402"/>
      <c r="E6" s="403"/>
      <c r="F6" s="196"/>
      <c r="G6" s="196"/>
      <c r="H6" s="196"/>
      <c r="I6" s="196"/>
      <c r="J6" s="196"/>
      <c r="K6" s="196"/>
      <c r="L6" s="196"/>
      <c r="M6" s="196"/>
      <c r="N6" s="196"/>
      <c r="O6" s="196"/>
    </row>
    <row r="7" spans="1:15" s="200" customFormat="1">
      <c r="A7" s="198"/>
      <c r="B7" s="198"/>
      <c r="C7" s="198"/>
      <c r="D7" s="198"/>
      <c r="E7" s="403"/>
      <c r="F7" s="196"/>
      <c r="G7" s="196"/>
      <c r="H7" s="196"/>
      <c r="I7" s="196"/>
      <c r="J7" s="196"/>
      <c r="K7" s="196"/>
      <c r="L7" s="196"/>
      <c r="M7" s="196"/>
      <c r="N7" s="196"/>
      <c r="O7" s="196"/>
    </row>
    <row r="8" spans="1:15" s="200" customFormat="1">
      <c r="A8" s="201" t="s">
        <v>851</v>
      </c>
      <c r="B8" s="404">
        <v>44927</v>
      </c>
      <c r="C8" s="404">
        <v>44958</v>
      </c>
      <c r="D8" s="404">
        <v>44986</v>
      </c>
      <c r="E8" s="403"/>
      <c r="F8" s="196"/>
      <c r="G8" s="196"/>
      <c r="H8" s="196"/>
      <c r="I8" s="196"/>
      <c r="J8" s="196"/>
      <c r="K8" s="196"/>
      <c r="L8" s="196"/>
      <c r="M8" s="196"/>
      <c r="N8" s="196"/>
      <c r="O8" s="196"/>
    </row>
    <row r="9" spans="1:15" s="200" customFormat="1">
      <c r="A9" s="405" t="s">
        <v>852</v>
      </c>
      <c r="B9" s="333">
        <v>0.95497311827956988</v>
      </c>
      <c r="C9" s="333">
        <v>0.94940476190476186</v>
      </c>
      <c r="D9" s="333">
        <v>0.78</v>
      </c>
      <c r="E9" s="403"/>
      <c r="F9" s="196"/>
      <c r="G9" s="196"/>
      <c r="H9" s="196"/>
      <c r="I9" s="196"/>
      <c r="J9" s="196"/>
      <c r="K9" s="196"/>
      <c r="L9" s="196"/>
      <c r="M9" s="196"/>
      <c r="N9" s="196"/>
      <c r="O9" s="196"/>
    </row>
    <row r="10" spans="1:15" s="200" customFormat="1">
      <c r="A10" s="405" t="s">
        <v>853</v>
      </c>
      <c r="B10" s="333">
        <v>0.96411290322580634</v>
      </c>
      <c r="C10" s="333">
        <v>0.79</v>
      </c>
      <c r="D10" s="333">
        <v>0.97</v>
      </c>
      <c r="E10" s="403"/>
      <c r="F10" s="196"/>
      <c r="G10" s="196"/>
      <c r="H10" s="196"/>
      <c r="I10" s="196"/>
      <c r="J10" s="196"/>
      <c r="K10" s="196"/>
      <c r="L10" s="196"/>
      <c r="M10" s="196"/>
      <c r="N10" s="196"/>
      <c r="O10" s="196"/>
    </row>
    <row r="11" spans="1:15" s="200" customFormat="1">
      <c r="A11" s="405" t="s">
        <v>854</v>
      </c>
      <c r="B11" s="333">
        <v>0.6626344086021505</v>
      </c>
      <c r="C11" s="333">
        <v>0.76041666666666663</v>
      </c>
      <c r="D11" s="333">
        <v>0.68</v>
      </c>
      <c r="E11" s="403"/>
      <c r="F11" s="196"/>
      <c r="G11" s="196"/>
      <c r="H11" s="196"/>
      <c r="I11" s="196"/>
      <c r="J11" s="196"/>
      <c r="K11" s="196"/>
      <c r="L11" s="196"/>
      <c r="M11" s="196"/>
      <c r="N11" s="196"/>
      <c r="O11" s="196"/>
    </row>
    <row r="12" spans="1:15" s="200" customFormat="1">
      <c r="A12" s="405" t="s">
        <v>855</v>
      </c>
      <c r="B12" s="333">
        <v>0.98521505376344087</v>
      </c>
      <c r="C12" s="333">
        <v>0.82738095238095233</v>
      </c>
      <c r="D12" s="333">
        <v>0.94</v>
      </c>
      <c r="E12" s="403"/>
      <c r="F12" s="196"/>
      <c r="G12" s="196"/>
      <c r="H12" s="196"/>
      <c r="I12" s="196"/>
      <c r="J12" s="196"/>
      <c r="K12" s="196"/>
      <c r="L12" s="196"/>
      <c r="M12" s="196"/>
      <c r="N12" s="196"/>
      <c r="O12" s="196"/>
    </row>
    <row r="13" spans="1:15" s="200" customFormat="1">
      <c r="A13" s="405" t="s">
        <v>856</v>
      </c>
      <c r="B13" s="333">
        <v>0.54838709677419351</v>
      </c>
      <c r="C13" s="333">
        <v>0.9107142857142857</v>
      </c>
      <c r="D13" s="333">
        <v>0.98</v>
      </c>
      <c r="E13" s="403"/>
      <c r="F13" s="196"/>
      <c r="G13" s="196"/>
      <c r="H13" s="196"/>
      <c r="I13" s="196"/>
      <c r="J13" s="196"/>
      <c r="K13" s="196"/>
      <c r="L13" s="196"/>
      <c r="M13" s="196"/>
      <c r="N13" s="196"/>
      <c r="O13" s="196"/>
    </row>
    <row r="14" spans="1:15" s="200" customFormat="1">
      <c r="A14" s="405" t="s">
        <v>857</v>
      </c>
      <c r="B14" s="333">
        <v>0.97983870967741904</v>
      </c>
      <c r="C14" s="333">
        <v>0.98363095238095233</v>
      </c>
      <c r="D14" s="333">
        <v>0.87</v>
      </c>
      <c r="E14" s="403"/>
      <c r="F14" s="196"/>
      <c r="G14" s="196"/>
      <c r="H14" s="196"/>
      <c r="I14" s="196"/>
      <c r="J14" s="196"/>
      <c r="K14" s="196"/>
      <c r="L14" s="196"/>
      <c r="M14" s="196"/>
      <c r="N14" s="196"/>
      <c r="O14" s="196"/>
    </row>
    <row r="15" spans="1:15" s="200" customFormat="1">
      <c r="A15" s="405" t="s">
        <v>858</v>
      </c>
      <c r="B15" s="333">
        <v>0.97083333333333333</v>
      </c>
      <c r="C15" s="333">
        <v>0.98363095238095233</v>
      </c>
      <c r="D15" s="333">
        <v>0.98</v>
      </c>
      <c r="E15" s="403"/>
      <c r="F15" s="196"/>
      <c r="G15" s="196"/>
      <c r="H15" s="196"/>
      <c r="I15" s="196"/>
      <c r="J15" s="196"/>
      <c r="K15" s="196"/>
      <c r="L15" s="196"/>
      <c r="M15" s="196"/>
      <c r="N15" s="196"/>
      <c r="O15" s="196"/>
    </row>
    <row r="16" spans="1:15" s="200" customFormat="1">
      <c r="A16" s="405" t="s">
        <v>859</v>
      </c>
      <c r="B16" s="333">
        <v>0.95026881720430112</v>
      </c>
      <c r="C16" s="333">
        <v>0.99255952380952384</v>
      </c>
      <c r="D16" s="333">
        <v>0.99</v>
      </c>
      <c r="E16" s="403"/>
      <c r="F16" s="196"/>
      <c r="G16" s="196"/>
      <c r="H16" s="196"/>
      <c r="I16" s="196"/>
      <c r="J16" s="196"/>
      <c r="K16" s="196"/>
      <c r="L16" s="196"/>
      <c r="M16" s="196"/>
      <c r="N16" s="196"/>
      <c r="O16" s="196"/>
    </row>
    <row r="17" spans="1:16" s="200" customFormat="1">
      <c r="A17" s="405" t="s">
        <v>860</v>
      </c>
      <c r="B17" s="333">
        <v>0.96572580645161288</v>
      </c>
      <c r="C17" s="333">
        <v>0.88244047619047616</v>
      </c>
      <c r="D17" s="333">
        <v>0.99</v>
      </c>
      <c r="E17" s="403"/>
      <c r="F17" s="196"/>
      <c r="G17" s="196"/>
      <c r="H17" s="196"/>
      <c r="I17" s="196"/>
      <c r="J17" s="196"/>
      <c r="K17" s="196"/>
      <c r="L17" s="196"/>
      <c r="M17" s="196"/>
      <c r="N17" s="196"/>
      <c r="O17" s="196"/>
      <c r="P17" s="196"/>
    </row>
    <row r="18" spans="1:16" s="200" customFormat="1">
      <c r="A18" s="406" t="s">
        <v>861</v>
      </c>
      <c r="B18" s="333">
        <v>0.93608870967741942</v>
      </c>
      <c r="C18" s="334">
        <v>0.97619047619047616</v>
      </c>
      <c r="D18" s="334">
        <v>0.91</v>
      </c>
      <c r="E18" s="403"/>
      <c r="F18" s="196"/>
      <c r="G18" s="196"/>
      <c r="H18" s="196"/>
      <c r="I18" s="196"/>
      <c r="J18" s="196"/>
      <c r="K18" s="196"/>
      <c r="L18" s="196"/>
      <c r="M18" s="196"/>
      <c r="N18" s="196"/>
      <c r="O18" s="196"/>
      <c r="P18" s="196"/>
    </row>
    <row r="19" spans="1:16" s="200" customFormat="1">
      <c r="A19" s="405" t="s">
        <v>862</v>
      </c>
      <c r="B19" s="213">
        <f>+AVERAGE(B9:B18)</f>
        <v>0.89180779569892477</v>
      </c>
      <c r="C19" s="202">
        <f>+AVERAGE(C9:C18)</f>
        <v>0.90563690476190462</v>
      </c>
      <c r="D19" s="202">
        <f>+AVERAGE(D9:D18)</f>
        <v>0.90900000000000003</v>
      </c>
      <c r="E19" s="407">
        <f>+AVERAGE(B19:D19)</f>
        <v>0.90214823348694306</v>
      </c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</row>
    <row r="20" spans="1:16" s="200" customFormat="1">
      <c r="A20" s="198"/>
      <c r="B20" s="198"/>
      <c r="C20" s="198"/>
      <c r="D20" s="198"/>
      <c r="E20" s="403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</row>
    <row r="21" spans="1:16" s="200" customFormat="1">
      <c r="A21" s="198"/>
      <c r="B21" s="198"/>
      <c r="C21" s="198"/>
      <c r="D21" s="198"/>
      <c r="E21" s="403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</row>
    <row r="22" spans="1:16" s="200" customFormat="1">
      <c r="A22" s="198"/>
      <c r="B22" s="198"/>
      <c r="C22" s="198"/>
      <c r="D22" s="198"/>
      <c r="E22" s="403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</row>
    <row r="23" spans="1:16" s="200" customFormat="1">
      <c r="A23" s="198"/>
      <c r="B23" s="405" t="s">
        <v>863</v>
      </c>
      <c r="C23" s="405" t="s">
        <v>863</v>
      </c>
      <c r="D23" s="405" t="s">
        <v>863</v>
      </c>
      <c r="E23" s="403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</row>
    <row r="24" spans="1:16" s="200" customFormat="1">
      <c r="A24" s="201" t="s">
        <v>827</v>
      </c>
      <c r="B24" s="404">
        <v>44927</v>
      </c>
      <c r="C24" s="404">
        <v>44958</v>
      </c>
      <c r="D24" s="404">
        <v>44986</v>
      </c>
      <c r="E24" s="403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</row>
    <row r="25" spans="1:16" s="200" customFormat="1">
      <c r="A25" s="405" t="s">
        <v>852</v>
      </c>
      <c r="B25" s="205">
        <f>'TDina BR'!N5</f>
        <v>9445</v>
      </c>
      <c r="C25" s="205">
        <f>'TDina BR'!O5</f>
        <v>10055</v>
      </c>
      <c r="D25" s="205">
        <f>'TDina BR'!P5</f>
        <v>10639</v>
      </c>
      <c r="E25" s="408">
        <f>+MIN(D25:D34)</f>
        <v>10639</v>
      </c>
      <c r="F25" s="196"/>
      <c r="G25" s="196"/>
      <c r="H25" s="196"/>
      <c r="I25" s="196"/>
      <c r="J25" s="196"/>
      <c r="K25" s="196"/>
      <c r="L25" s="196"/>
      <c r="M25" s="196"/>
      <c r="N25" s="203"/>
      <c r="O25" s="203"/>
      <c r="P25" s="203"/>
    </row>
    <row r="26" spans="1:16" s="200" customFormat="1">
      <c r="A26" s="405" t="s">
        <v>853</v>
      </c>
      <c r="B26" s="205">
        <f>'TDina BR'!N6</f>
        <v>15774</v>
      </c>
      <c r="C26" s="205">
        <f>'TDina BR'!O6</f>
        <v>16371</v>
      </c>
      <c r="D26" s="205">
        <f>'TDina BR'!P6</f>
        <v>17049</v>
      </c>
      <c r="E26" s="408">
        <f>+MAX(D25:D34)</f>
        <v>17049</v>
      </c>
      <c r="F26" s="196"/>
      <c r="G26" s="196"/>
      <c r="H26" s="196"/>
      <c r="I26" s="196"/>
      <c r="J26" s="196"/>
      <c r="K26" s="196"/>
      <c r="L26" s="196"/>
      <c r="M26" s="196"/>
      <c r="N26" s="203"/>
      <c r="O26" s="203"/>
      <c r="P26" s="203"/>
    </row>
    <row r="27" spans="1:16" s="200" customFormat="1">
      <c r="A27" s="405" t="s">
        <v>854</v>
      </c>
      <c r="B27" s="205">
        <f>'TDina BR'!N7</f>
        <v>14492</v>
      </c>
      <c r="C27" s="205">
        <f>'TDina BR'!O7</f>
        <v>15114</v>
      </c>
      <c r="D27" s="205">
        <f>'TDina BR'!P7</f>
        <v>15801</v>
      </c>
      <c r="E27" s="403"/>
      <c r="F27" s="196"/>
      <c r="G27" s="196"/>
      <c r="H27" s="196"/>
      <c r="I27" s="196"/>
      <c r="J27" s="196"/>
      <c r="K27" s="196"/>
      <c r="L27" s="196"/>
      <c r="M27" s="196"/>
      <c r="N27" s="203"/>
      <c r="O27" s="341"/>
      <c r="P27" s="203"/>
    </row>
    <row r="28" spans="1:16" s="200" customFormat="1">
      <c r="A28" s="405" t="s">
        <v>855</v>
      </c>
      <c r="B28" s="205">
        <f>'TDina BR'!N8</f>
        <v>15523</v>
      </c>
      <c r="C28" s="205">
        <f>'TDina BR'!O8</f>
        <v>16131</v>
      </c>
      <c r="D28" s="205">
        <f>'TDina BR'!P8</f>
        <v>16758</v>
      </c>
      <c r="E28" s="403"/>
      <c r="F28" s="196"/>
      <c r="G28" s="196"/>
      <c r="H28" s="196"/>
      <c r="I28" s="196"/>
      <c r="J28" s="196"/>
      <c r="K28" s="196"/>
      <c r="L28" s="196"/>
      <c r="M28" s="196"/>
      <c r="N28" s="203"/>
      <c r="O28" s="203"/>
      <c r="P28" s="203"/>
    </row>
    <row r="29" spans="1:16" s="200" customFormat="1">
      <c r="A29" s="405" t="s">
        <v>856</v>
      </c>
      <c r="B29" s="205">
        <f>'TDina BR'!N9</f>
        <v>11967</v>
      </c>
      <c r="C29" s="205">
        <f>'TDina BR'!O9</f>
        <v>11967</v>
      </c>
      <c r="D29" s="205">
        <f>'TDina BR'!P9</f>
        <v>11978</v>
      </c>
      <c r="E29" s="403"/>
      <c r="F29" s="196"/>
      <c r="G29" s="196"/>
      <c r="H29" s="196"/>
      <c r="I29" s="196"/>
      <c r="J29" s="196"/>
      <c r="K29" s="196"/>
      <c r="L29" s="196"/>
      <c r="M29" s="196"/>
      <c r="N29" s="203"/>
      <c r="O29" s="203"/>
      <c r="P29" s="203"/>
    </row>
    <row r="30" spans="1:16" s="200" customFormat="1">
      <c r="A30" s="405" t="s">
        <v>857</v>
      </c>
      <c r="B30" s="205">
        <f>'TDina BR'!N10</f>
        <v>15336</v>
      </c>
      <c r="C30" s="205">
        <f>'TDina BR'!O10</f>
        <v>15897</v>
      </c>
      <c r="D30" s="205">
        <f>'TDina BR'!P10</f>
        <v>16478</v>
      </c>
      <c r="E30" s="403"/>
      <c r="F30" s="196"/>
      <c r="G30" s="196"/>
      <c r="H30" s="196"/>
      <c r="I30" s="196"/>
      <c r="J30" s="196"/>
      <c r="K30" s="196"/>
      <c r="L30" s="196"/>
      <c r="M30" s="196"/>
      <c r="N30" s="203"/>
      <c r="O30" s="203"/>
      <c r="P30" s="203"/>
    </row>
    <row r="31" spans="1:16" s="200" customFormat="1">
      <c r="A31" s="405" t="s">
        <v>858</v>
      </c>
      <c r="B31" s="205">
        <f>'TDina BR'!N11</f>
        <v>15780</v>
      </c>
      <c r="C31" s="205">
        <f>'TDina BR'!O11</f>
        <v>16381</v>
      </c>
      <c r="D31" s="205">
        <f>'TDina BR'!P11</f>
        <v>16881</v>
      </c>
      <c r="E31" s="403"/>
      <c r="F31" s="196"/>
      <c r="G31" s="196"/>
      <c r="H31" s="196"/>
      <c r="I31" s="196"/>
      <c r="J31" s="196"/>
      <c r="K31" s="196"/>
      <c r="L31" s="196"/>
      <c r="M31" s="196"/>
      <c r="N31" s="203"/>
      <c r="O31" s="203"/>
      <c r="P31" s="203"/>
    </row>
    <row r="32" spans="1:16" s="200" customFormat="1">
      <c r="A32" s="405" t="s">
        <v>859</v>
      </c>
      <c r="B32" s="205">
        <f>'TDina BR'!N12</f>
        <v>15568</v>
      </c>
      <c r="C32" s="205">
        <f>'TDina BR'!O12</f>
        <v>16155</v>
      </c>
      <c r="D32" s="205">
        <f>'TDina BR'!P12</f>
        <v>16877</v>
      </c>
      <c r="E32" s="403"/>
      <c r="F32" s="196"/>
      <c r="G32" s="196"/>
      <c r="H32" s="196"/>
      <c r="I32" s="196"/>
      <c r="J32" s="196"/>
      <c r="K32" s="196"/>
      <c r="L32" s="196"/>
      <c r="M32" s="196"/>
      <c r="N32" s="203"/>
      <c r="O32" s="203"/>
      <c r="P32" s="203"/>
    </row>
    <row r="33" spans="1:17" s="200" customFormat="1">
      <c r="A33" s="405" t="s">
        <v>860</v>
      </c>
      <c r="B33" s="205">
        <f>'TDina BR'!N13</f>
        <v>14755</v>
      </c>
      <c r="C33" s="205">
        <f>'TDina BR'!O13</f>
        <v>15357</v>
      </c>
      <c r="D33" s="205">
        <f>'TDina BR'!P13</f>
        <v>15953</v>
      </c>
      <c r="E33" s="403"/>
      <c r="F33" s="196"/>
      <c r="G33" s="196"/>
      <c r="H33" s="196"/>
      <c r="I33" s="196"/>
      <c r="J33" s="196"/>
      <c r="K33" s="196"/>
      <c r="L33" s="196"/>
      <c r="M33" s="196"/>
      <c r="N33" s="203"/>
      <c r="O33" s="203"/>
      <c r="P33" s="203"/>
      <c r="Q33" s="196"/>
    </row>
    <row r="34" spans="1:17" s="200" customFormat="1">
      <c r="A34" s="405" t="s">
        <v>861</v>
      </c>
      <c r="B34" s="205">
        <f>'TDina BR'!N14</f>
        <v>12494</v>
      </c>
      <c r="C34" s="205">
        <f>'TDina BR'!O14</f>
        <v>13132</v>
      </c>
      <c r="D34" s="205">
        <f>'TDina BR'!P14</f>
        <v>13832</v>
      </c>
      <c r="E34" s="403"/>
      <c r="F34" s="196"/>
      <c r="G34" s="196"/>
      <c r="H34" s="196"/>
      <c r="I34" s="196"/>
      <c r="J34" s="196"/>
      <c r="K34" s="196"/>
      <c r="L34" s="196"/>
      <c r="M34" s="196"/>
      <c r="N34" s="203"/>
      <c r="O34" s="203"/>
      <c r="P34" s="203"/>
      <c r="Q34" s="196"/>
    </row>
    <row r="35" spans="1:17" s="200" customFormat="1">
      <c r="A35" s="204" t="s">
        <v>864</v>
      </c>
      <c r="B35" s="210">
        <f>+AVERAGE(B25:B34)</f>
        <v>14113.4</v>
      </c>
      <c r="C35" s="210">
        <f>+AVERAGE(C25:C34)</f>
        <v>14656</v>
      </c>
      <c r="D35" s="210">
        <f>+AVERAGE(D25:D34)</f>
        <v>15224.6</v>
      </c>
      <c r="E35" s="403"/>
      <c r="F35" s="196"/>
      <c r="G35" s="196"/>
      <c r="H35" s="196"/>
      <c r="I35" s="196"/>
      <c r="J35" s="196"/>
      <c r="K35" s="196"/>
      <c r="L35" s="196"/>
      <c r="M35" s="196"/>
      <c r="N35" s="205"/>
      <c r="O35" s="205"/>
      <c r="P35" s="205"/>
      <c r="Q35" s="196"/>
    </row>
    <row r="36" spans="1:17" s="200" customFormat="1">
      <c r="A36" s="198"/>
      <c r="B36" s="206"/>
      <c r="C36" s="206"/>
      <c r="D36" s="206"/>
      <c r="E36" s="403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 s="196"/>
      <c r="Q36" s="196"/>
    </row>
    <row r="37" spans="1:17" s="200" customFormat="1">
      <c r="A37" s="198"/>
      <c r="B37" s="405" t="s">
        <v>865</v>
      </c>
      <c r="C37" s="405" t="s">
        <v>865</v>
      </c>
      <c r="D37" s="405" t="s">
        <v>865</v>
      </c>
      <c r="E37" s="403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</row>
    <row r="38" spans="1:17" s="200" customFormat="1">
      <c r="A38" s="207" t="s">
        <v>828</v>
      </c>
      <c r="B38" s="404">
        <v>44197</v>
      </c>
      <c r="C38" s="404">
        <v>44958</v>
      </c>
      <c r="D38" s="404">
        <v>44986</v>
      </c>
      <c r="E38" s="403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</row>
    <row r="39" spans="1:17" s="200" customFormat="1">
      <c r="A39" s="405" t="s">
        <v>852</v>
      </c>
      <c r="B39" s="205" t="str">
        <f>'TDina BR'!AN5</f>
        <v/>
      </c>
      <c r="C39" s="205" t="str">
        <f>'TDina BR'!AO5</f>
        <v/>
      </c>
      <c r="D39" s="205" t="str">
        <f>'TDina BR'!AP5</f>
        <v/>
      </c>
      <c r="E39" s="403"/>
      <c r="F39" s="196"/>
      <c r="G39" s="196"/>
      <c r="H39" s="196"/>
      <c r="I39" s="196"/>
      <c r="J39" s="196"/>
      <c r="K39" s="196"/>
      <c r="L39" s="196"/>
      <c r="M39" s="196"/>
      <c r="N39" s="203"/>
      <c r="O39" s="203"/>
      <c r="P39" s="203"/>
      <c r="Q39" s="196"/>
    </row>
    <row r="40" spans="1:17" s="200" customFormat="1">
      <c r="A40" s="405" t="s">
        <v>853</v>
      </c>
      <c r="B40" s="205" t="str">
        <f>'TDina BR'!AN6</f>
        <v/>
      </c>
      <c r="C40" s="205" t="str">
        <f>'TDina BR'!AO6</f>
        <v/>
      </c>
      <c r="D40" s="205" t="str">
        <f>'TDina BR'!AP6</f>
        <v/>
      </c>
      <c r="E40" s="403"/>
      <c r="F40" s="196"/>
      <c r="G40" s="196"/>
      <c r="H40" s="196"/>
      <c r="I40" s="196"/>
      <c r="J40" s="196"/>
      <c r="K40" s="196"/>
      <c r="L40" s="196"/>
      <c r="M40" s="196"/>
      <c r="N40" s="203"/>
      <c r="O40" s="203"/>
      <c r="P40" s="203"/>
      <c r="Q40" s="196"/>
    </row>
    <row r="41" spans="1:17" s="200" customFormat="1">
      <c r="A41" s="405" t="s">
        <v>854</v>
      </c>
      <c r="B41" s="205" t="str">
        <f>'TDina BR'!AN7</f>
        <v/>
      </c>
      <c r="C41" s="205" t="str">
        <f>'TDina BR'!AO7</f>
        <v/>
      </c>
      <c r="D41" s="205" t="str">
        <f>'TDina BR'!AP7</f>
        <v/>
      </c>
      <c r="E41" s="403"/>
      <c r="F41" s="196"/>
      <c r="G41" s="196"/>
      <c r="H41" s="196"/>
      <c r="I41" s="196"/>
      <c r="J41" s="196"/>
      <c r="K41" s="196"/>
      <c r="L41" s="196"/>
      <c r="M41" s="196"/>
      <c r="N41" s="203"/>
      <c r="O41" s="203"/>
      <c r="P41" s="203"/>
      <c r="Q41" s="196"/>
    </row>
    <row r="42" spans="1:17" s="200" customFormat="1">
      <c r="A42" s="405" t="s">
        <v>855</v>
      </c>
      <c r="B42" s="205" t="str">
        <f>'TDina BR'!AN8</f>
        <v/>
      </c>
      <c r="C42" s="205" t="str">
        <f>'TDina BR'!AO8</f>
        <v/>
      </c>
      <c r="D42" s="205" t="str">
        <f>'TDina BR'!AP8</f>
        <v/>
      </c>
      <c r="E42" s="403"/>
      <c r="F42" s="196"/>
      <c r="G42" s="196"/>
      <c r="H42" s="196"/>
      <c r="I42" s="196"/>
      <c r="J42" s="196"/>
      <c r="K42" s="196"/>
      <c r="L42" s="196"/>
      <c r="M42" s="196"/>
      <c r="N42" s="203"/>
      <c r="O42" s="203"/>
      <c r="P42" s="203"/>
      <c r="Q42" s="196"/>
    </row>
    <row r="43" spans="1:17" s="200" customFormat="1">
      <c r="A43" s="405" t="s">
        <v>856</v>
      </c>
      <c r="B43" s="205" t="str">
        <f>'TDina BR'!AN9</f>
        <v/>
      </c>
      <c r="C43" s="205" t="str">
        <f>'TDina BR'!AO9</f>
        <v/>
      </c>
      <c r="D43" s="205" t="str">
        <f>'TDina BR'!AP9</f>
        <v/>
      </c>
      <c r="E43" s="403"/>
      <c r="F43" s="196"/>
      <c r="G43" s="196"/>
      <c r="H43" s="196"/>
      <c r="I43" s="196"/>
      <c r="J43" s="196"/>
      <c r="K43" s="196"/>
      <c r="L43" s="196"/>
      <c r="M43" s="196"/>
      <c r="N43" s="203"/>
      <c r="O43" s="203"/>
      <c r="P43" s="203"/>
      <c r="Q43" s="196"/>
    </row>
    <row r="44" spans="1:17" s="200" customFormat="1">
      <c r="A44" s="405" t="s">
        <v>857</v>
      </c>
      <c r="B44" s="205" t="str">
        <f>'TDina BR'!AN10</f>
        <v/>
      </c>
      <c r="C44" s="205" t="str">
        <f>'TDina BR'!AO10</f>
        <v/>
      </c>
      <c r="D44" s="205" t="str">
        <f>'TDina BR'!AP10</f>
        <v/>
      </c>
      <c r="E44" s="403"/>
      <c r="F44" s="196"/>
      <c r="G44" s="196"/>
      <c r="H44" s="196"/>
      <c r="I44" s="196"/>
      <c r="J44" s="196"/>
      <c r="K44" s="196"/>
      <c r="L44" s="196"/>
      <c r="M44" s="196"/>
      <c r="N44" s="203"/>
      <c r="O44" s="203"/>
      <c r="P44" s="203"/>
      <c r="Q44" s="196"/>
    </row>
    <row r="45" spans="1:17" s="200" customFormat="1">
      <c r="A45" s="405" t="s">
        <v>858</v>
      </c>
      <c r="B45" s="205" t="str">
        <f>'TDina BR'!AN11</f>
        <v/>
      </c>
      <c r="C45" s="205" t="str">
        <f>'TDina BR'!AO11</f>
        <v/>
      </c>
      <c r="D45" s="205" t="str">
        <f>'TDina BR'!AP11</f>
        <v/>
      </c>
      <c r="E45" s="403"/>
      <c r="F45" s="196"/>
      <c r="G45" s="196"/>
      <c r="H45" s="196"/>
      <c r="I45" s="196"/>
      <c r="J45" s="196"/>
      <c r="K45" s="196"/>
      <c r="L45" s="196"/>
      <c r="M45" s="196"/>
      <c r="N45" s="203"/>
      <c r="O45" s="203"/>
      <c r="P45" s="203"/>
      <c r="Q45" s="196"/>
    </row>
    <row r="46" spans="1:17" s="200" customFormat="1">
      <c r="A46" s="405" t="s">
        <v>859</v>
      </c>
      <c r="B46" s="205" t="str">
        <f>'TDina BR'!AN12</f>
        <v/>
      </c>
      <c r="C46" s="205" t="str">
        <f>'TDina BR'!AO12</f>
        <v/>
      </c>
      <c r="D46" s="205" t="str">
        <f>'TDina BR'!AP12</f>
        <v/>
      </c>
      <c r="E46" s="403"/>
      <c r="F46" s="196"/>
      <c r="G46" s="196"/>
      <c r="H46" s="196"/>
      <c r="I46" s="196"/>
      <c r="J46" s="196"/>
      <c r="K46" s="196"/>
      <c r="L46" s="196"/>
      <c r="M46" s="196"/>
      <c r="N46" s="203"/>
      <c r="O46" s="203"/>
      <c r="P46" s="203"/>
      <c r="Q46" s="196"/>
    </row>
    <row r="47" spans="1:17" s="200" customFormat="1">
      <c r="A47" s="405" t="s">
        <v>860</v>
      </c>
      <c r="B47" s="205" t="str">
        <f>'TDina BR'!AN13</f>
        <v/>
      </c>
      <c r="C47" s="205" t="str">
        <f>'TDina BR'!AO13</f>
        <v/>
      </c>
      <c r="D47" s="205" t="str">
        <f>'TDina BR'!AP13</f>
        <v/>
      </c>
      <c r="E47" s="403"/>
      <c r="F47" s="196"/>
      <c r="G47" s="196"/>
      <c r="H47" s="196"/>
      <c r="I47" s="196"/>
      <c r="J47" s="196"/>
      <c r="K47" s="196"/>
      <c r="L47" s="196"/>
      <c r="M47" s="196"/>
      <c r="N47" s="203"/>
      <c r="O47" s="203"/>
      <c r="P47" s="203"/>
      <c r="Q47" s="196"/>
    </row>
    <row r="48" spans="1:17" s="200" customFormat="1">
      <c r="A48" s="405" t="s">
        <v>861</v>
      </c>
      <c r="B48" s="205" t="str">
        <f>'TDina BR'!AN14</f>
        <v/>
      </c>
      <c r="C48" s="205" t="str">
        <f>'TDina BR'!AO14</f>
        <v/>
      </c>
      <c r="D48" s="205" t="str">
        <f>'TDina BR'!AP14</f>
        <v/>
      </c>
      <c r="E48" s="403"/>
      <c r="F48" s="196"/>
      <c r="G48" s="196"/>
      <c r="H48" s="196"/>
      <c r="I48" s="196"/>
      <c r="J48" s="196"/>
      <c r="K48" s="196"/>
      <c r="L48" s="196"/>
      <c r="M48" s="196"/>
      <c r="N48" s="203"/>
      <c r="O48" s="203"/>
      <c r="P48" s="203"/>
      <c r="Q48" s="196"/>
    </row>
    <row r="49" spans="1:20" s="200" customFormat="1">
      <c r="A49" s="208" t="s">
        <v>866</v>
      </c>
      <c r="B49" s="210" t="e">
        <f>+AVERAGE(B39:B48)</f>
        <v>#DIV/0!</v>
      </c>
      <c r="C49" s="210" t="e">
        <f>+AVERAGE(C39:C48)</f>
        <v>#DIV/0!</v>
      </c>
      <c r="D49" s="210" t="e">
        <f>+AVERAGE(D39:D48)</f>
        <v>#DIV/0!</v>
      </c>
      <c r="E49" s="408" t="e">
        <f>SUM(B49:D49)</f>
        <v>#DIV/0!</v>
      </c>
      <c r="F49" s="196"/>
      <c r="G49" s="196"/>
      <c r="H49" s="196"/>
      <c r="I49" s="196"/>
      <c r="J49" s="196"/>
      <c r="K49" s="196"/>
      <c r="L49" s="196"/>
      <c r="M49" s="196"/>
      <c r="N49" s="205"/>
      <c r="O49" s="205"/>
      <c r="P49" s="205"/>
      <c r="Q49" s="196"/>
      <c r="R49" s="196"/>
      <c r="S49" s="196"/>
      <c r="T49" s="196"/>
    </row>
    <row r="50" spans="1:20" s="200" customFormat="1">
      <c r="A50" s="327"/>
      <c r="B50" s="205"/>
      <c r="C50" s="205"/>
      <c r="D50" s="205"/>
      <c r="E50" s="408"/>
      <c r="F50" s="196"/>
      <c r="G50" s="196"/>
      <c r="H50" s="196"/>
      <c r="I50" s="196"/>
      <c r="J50" s="196"/>
      <c r="K50" s="196"/>
      <c r="L50" s="196"/>
      <c r="M50" s="196"/>
      <c r="N50" s="205"/>
      <c r="O50" s="205"/>
      <c r="P50" s="205"/>
      <c r="Q50" s="196"/>
      <c r="R50" s="196"/>
      <c r="S50" s="196"/>
      <c r="T50" s="196"/>
    </row>
    <row r="51" spans="1:20">
      <c r="A51" s="209" t="s">
        <v>867</v>
      </c>
      <c r="B51" s="315">
        <v>88</v>
      </c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</row>
    <row r="52" spans="1:20">
      <c r="A52" s="198"/>
      <c r="B52" s="198"/>
      <c r="C52" s="198"/>
      <c r="D52" s="198"/>
    </row>
    <row r="53" spans="1:20">
      <c r="A53" s="198"/>
      <c r="B53" s="198"/>
      <c r="C53" s="198"/>
      <c r="D53" s="198"/>
    </row>
    <row r="54" spans="1:20" ht="18.600000000000001" customHeight="1">
      <c r="A54" s="312" t="s">
        <v>868</v>
      </c>
      <c r="B54" s="404">
        <v>44927</v>
      </c>
      <c r="C54" s="404">
        <v>44958</v>
      </c>
      <c r="D54" s="404">
        <v>44986</v>
      </c>
    </row>
    <row r="55" spans="1:20">
      <c r="A55" s="308" t="s">
        <v>869</v>
      </c>
      <c r="B55" s="307">
        <v>32542200</v>
      </c>
      <c r="C55" s="307">
        <v>16153901</v>
      </c>
      <c r="D55" s="307">
        <v>7655153</v>
      </c>
    </row>
    <row r="56" spans="1:20">
      <c r="A56" s="308" t="s">
        <v>870</v>
      </c>
      <c r="B56" s="307">
        <v>1816568</v>
      </c>
      <c r="C56" s="307">
        <v>572000</v>
      </c>
      <c r="D56" s="307">
        <v>639128</v>
      </c>
    </row>
    <row r="57" spans="1:20">
      <c r="A57" s="308" t="s">
        <v>871</v>
      </c>
      <c r="B57" s="307">
        <f>B55+B56</f>
        <v>34358768</v>
      </c>
      <c r="C57" s="307">
        <f>C55+C56</f>
        <v>16725901</v>
      </c>
      <c r="D57" s="307">
        <f>D55+D56</f>
        <v>8294281</v>
      </c>
    </row>
    <row r="58" spans="1:20">
      <c r="A58" s="308" t="s">
        <v>872</v>
      </c>
      <c r="B58" s="316">
        <f>AVERAGE('G. Un GE'!B2:Y32)/$B$51</f>
        <v>0.5881496792521993</v>
      </c>
      <c r="C58" s="316">
        <f>AVERAGE('G. Un GE'!B33:Y60)/$B$51</f>
        <v>0.65328929416937198</v>
      </c>
      <c r="D58" s="316">
        <f>AVERAGE('G. Un GE'!B61:Y91)/$B$51</f>
        <v>0.61158538306451604</v>
      </c>
    </row>
    <row r="59" spans="1:20">
      <c r="A59" s="308" t="s">
        <v>873</v>
      </c>
      <c r="B59" s="316">
        <f>B19</f>
        <v>0.89180779569892477</v>
      </c>
      <c r="C59" s="316">
        <f>C19</f>
        <v>0.90563690476190462</v>
      </c>
      <c r="D59" s="316">
        <f>D19</f>
        <v>0.90900000000000003</v>
      </c>
    </row>
    <row r="60" spans="1:20">
      <c r="A60" s="198"/>
      <c r="B60" s="198"/>
      <c r="C60" s="198"/>
      <c r="D60" s="198"/>
    </row>
    <row r="62" spans="1:20" ht="15" thickBot="1">
      <c r="A62" s="308" t="s">
        <v>874</v>
      </c>
      <c r="B62" s="404">
        <v>43831</v>
      </c>
      <c r="C62" s="404">
        <v>43862</v>
      </c>
      <c r="D62" s="404">
        <v>43891</v>
      </c>
    </row>
    <row r="63" spans="1:20">
      <c r="A63" s="308" t="s">
        <v>875</v>
      </c>
      <c r="B63" s="306"/>
      <c r="C63" s="306"/>
      <c r="D63" s="309"/>
    </row>
    <row r="64" spans="1:20">
      <c r="B64" s="317"/>
    </row>
    <row r="67" spans="1:20">
      <c r="A67" s="209" t="s">
        <v>876</v>
      </c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</row>
    <row r="69" spans="1:20" ht="17.45" customHeight="1">
      <c r="A69" s="310" t="s">
        <v>877</v>
      </c>
      <c r="B69" s="404">
        <v>44927</v>
      </c>
      <c r="C69" s="404">
        <v>44958</v>
      </c>
      <c r="D69" s="404">
        <v>44986</v>
      </c>
    </row>
    <row r="70" spans="1:20">
      <c r="A70" s="308" t="s">
        <v>878</v>
      </c>
      <c r="B70" s="318">
        <f>+B57-B72</f>
        <v>34015522.799999997</v>
      </c>
      <c r="C70" s="318">
        <f>+C57-C72</f>
        <v>16725901</v>
      </c>
      <c r="D70" s="318">
        <f>+D57-D72</f>
        <v>8172916.7999999998</v>
      </c>
    </row>
    <row r="71" spans="1:20">
      <c r="A71" s="308" t="s">
        <v>292</v>
      </c>
      <c r="B71" s="318">
        <v>0</v>
      </c>
      <c r="C71" s="318">
        <v>0</v>
      </c>
      <c r="D71" s="318">
        <v>0</v>
      </c>
    </row>
    <row r="72" spans="1:20">
      <c r="A72" s="308" t="s">
        <v>879</v>
      </c>
      <c r="B72" s="318">
        <v>343245.2</v>
      </c>
      <c r="C72" s="318">
        <v>0</v>
      </c>
      <c r="D72" s="318">
        <v>121364.20000000001</v>
      </c>
    </row>
    <row r="73" spans="1:20">
      <c r="A73" s="308" t="s">
        <v>878</v>
      </c>
      <c r="B73" s="319">
        <f>B70/SUM(B$70:B$72)</f>
        <v>0.99000996776135852</v>
      </c>
      <c r="C73" s="319">
        <f>C70/SUM(C$70:C$72)</f>
        <v>1</v>
      </c>
      <c r="D73" s="319">
        <f>D70/SUM(D$70:D$72)</f>
        <v>0.98536772506260639</v>
      </c>
    </row>
    <row r="74" spans="1:20">
      <c r="A74" s="308" t="s">
        <v>292</v>
      </c>
      <c r="B74" s="319">
        <f t="shared" ref="B74:D75" si="0">B71/SUM(B$70:B$72)</f>
        <v>0</v>
      </c>
      <c r="C74" s="319">
        <f t="shared" si="0"/>
        <v>0</v>
      </c>
      <c r="D74" s="319">
        <f t="shared" si="0"/>
        <v>0</v>
      </c>
    </row>
    <row r="75" spans="1:20">
      <c r="A75" s="308" t="s">
        <v>879</v>
      </c>
      <c r="B75" s="319">
        <f t="shared" si="0"/>
        <v>9.9900322386413856E-3</v>
      </c>
      <c r="C75" s="319">
        <f t="shared" si="0"/>
        <v>0</v>
      </c>
      <c r="D75" s="319">
        <f t="shared" si="0"/>
        <v>1.463227493739361E-2</v>
      </c>
    </row>
    <row r="77" spans="1:20" ht="15">
      <c r="A77" s="310" t="s">
        <v>880</v>
      </c>
      <c r="B77" s="404">
        <v>44927</v>
      </c>
      <c r="C77" s="404">
        <v>44958</v>
      </c>
      <c r="D77" s="404">
        <v>44986</v>
      </c>
    </row>
    <row r="78" spans="1:20">
      <c r="A78" s="308" t="s">
        <v>881</v>
      </c>
      <c r="B78" s="320">
        <f>SUM(B79:B82)</f>
        <v>306229</v>
      </c>
      <c r="C78" s="320">
        <f>SUM(C79:C82)</f>
        <v>147800</v>
      </c>
      <c r="D78" s="320">
        <f>SUM(D79:D82)</f>
        <v>77400</v>
      </c>
    </row>
    <row r="79" spans="1:20">
      <c r="A79" s="313" t="s">
        <v>801</v>
      </c>
      <c r="B79" s="320">
        <v>263900</v>
      </c>
      <c r="C79" s="320">
        <v>141900</v>
      </c>
      <c r="D79" s="320">
        <v>77400</v>
      </c>
    </row>
    <row r="80" spans="1:20">
      <c r="A80" s="313" t="s">
        <v>882</v>
      </c>
      <c r="B80" s="320">
        <v>10893</v>
      </c>
      <c r="C80" s="320">
        <v>0</v>
      </c>
      <c r="D80" s="320">
        <v>0</v>
      </c>
    </row>
    <row r="81" spans="1:4">
      <c r="A81" s="313" t="s">
        <v>883</v>
      </c>
      <c r="B81" s="320">
        <v>10093</v>
      </c>
      <c r="C81" s="320">
        <v>5900</v>
      </c>
      <c r="D81" s="320">
        <v>0</v>
      </c>
    </row>
    <row r="82" spans="1:4">
      <c r="A82" s="313" t="s">
        <v>884</v>
      </c>
      <c r="B82" s="320">
        <v>21343</v>
      </c>
      <c r="C82" s="320">
        <v>0</v>
      </c>
      <c r="D82" s="320">
        <v>0</v>
      </c>
    </row>
    <row r="83" spans="1:4">
      <c r="A83" s="314" t="s">
        <v>885</v>
      </c>
      <c r="B83" s="320">
        <v>85.2</v>
      </c>
      <c r="C83" s="320">
        <v>0</v>
      </c>
      <c r="D83" s="320">
        <v>22.4</v>
      </c>
    </row>
    <row r="84" spans="1:4">
      <c r="A84" s="314" t="s">
        <v>886</v>
      </c>
      <c r="B84" s="321">
        <v>0</v>
      </c>
      <c r="C84" s="321">
        <v>0</v>
      </c>
      <c r="D84" s="322">
        <v>0</v>
      </c>
    </row>
    <row r="86" spans="1:4" ht="15">
      <c r="A86" s="310" t="s">
        <v>887</v>
      </c>
      <c r="B86" s="404">
        <v>44927</v>
      </c>
      <c r="C86" s="404">
        <v>44958</v>
      </c>
      <c r="D86" s="404">
        <v>44986</v>
      </c>
    </row>
    <row r="87" spans="1:4">
      <c r="A87" s="308" t="s">
        <v>888</v>
      </c>
      <c r="B87" s="323">
        <f>+B78/B70*1000000</f>
        <v>9002.6251191411957</v>
      </c>
      <c r="C87" s="323">
        <f>+C78/C70*1000000</f>
        <v>8836.5942139679064</v>
      </c>
      <c r="D87" s="323">
        <f>+D78/D70*1000000</f>
        <v>9470.3031847822058</v>
      </c>
    </row>
    <row r="88" spans="1:4">
      <c r="A88" s="308" t="s">
        <v>889</v>
      </c>
      <c r="B88" s="323">
        <f>IFERROR(B84*900*1000/B71,0)</f>
        <v>0</v>
      </c>
      <c r="C88" s="323">
        <f>IFERROR(C84*900*1000/C71,0)</f>
        <v>0</v>
      </c>
      <c r="D88" s="323">
        <f>IFERROR(D84*900*1000/D71,0)</f>
        <v>0</v>
      </c>
    </row>
    <row r="89" spans="1:4">
      <c r="A89" s="308" t="s">
        <v>890</v>
      </c>
      <c r="B89" s="323">
        <f>+IFERROR(B83*860*1000/B72,0)</f>
        <v>213.46838936130789</v>
      </c>
      <c r="C89" s="323">
        <f>+IFERROR(C83*860*1000/C72,0)</f>
        <v>0</v>
      </c>
      <c r="D89" s="323">
        <f>+IFERROR(D83*860*1000/D72,0)</f>
        <v>158.72885084728443</v>
      </c>
    </row>
    <row r="90" spans="1:4">
      <c r="A90" s="199" t="s">
        <v>891</v>
      </c>
    </row>
    <row r="98" spans="1:20">
      <c r="A98" s="197" t="s">
        <v>892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</row>
    <row r="100" spans="1:20" ht="15">
      <c r="A100" s="310" t="s">
        <v>893</v>
      </c>
      <c r="B100" s="404">
        <v>44927</v>
      </c>
      <c r="C100" s="404">
        <v>44958</v>
      </c>
      <c r="D100" s="404">
        <v>44986</v>
      </c>
    </row>
    <row r="101" spans="1:20">
      <c r="A101" s="330" t="s">
        <v>894</v>
      </c>
      <c r="B101" s="331"/>
      <c r="C101" s="331"/>
      <c r="D101" s="331"/>
      <c r="E101" s="198"/>
    </row>
    <row r="102" spans="1:20">
      <c r="A102" s="330" t="s">
        <v>895</v>
      </c>
      <c r="B102" s="331"/>
      <c r="C102" s="331"/>
      <c r="D102" s="331"/>
      <c r="E102" s="198"/>
    </row>
    <row r="103" spans="1:20">
      <c r="A103" s="330" t="s">
        <v>896</v>
      </c>
      <c r="B103" s="331"/>
      <c r="C103" s="331"/>
      <c r="D103" s="331"/>
      <c r="E103" s="198"/>
    </row>
    <row r="104" spans="1:20">
      <c r="A104" s="330" t="s">
        <v>897</v>
      </c>
      <c r="B104" s="331"/>
      <c r="C104" s="331"/>
      <c r="D104" s="331"/>
      <c r="E104" s="198"/>
    </row>
    <row r="105" spans="1:20">
      <c r="A105" s="330" t="s">
        <v>898</v>
      </c>
      <c r="B105" s="331"/>
      <c r="C105" s="331"/>
      <c r="D105" s="331"/>
      <c r="E105" s="198"/>
    </row>
    <row r="106" spans="1:20" ht="15">
      <c r="A106" s="332" t="s">
        <v>899</v>
      </c>
      <c r="B106" s="331">
        <f>SUM(B101:B105)</f>
        <v>0</v>
      </c>
      <c r="C106" s="331">
        <f>SUM(C101:C105)</f>
        <v>0</v>
      </c>
      <c r="D106" s="331">
        <f>SUM(D101:D105)</f>
        <v>0</v>
      </c>
      <c r="E106" s="198"/>
    </row>
    <row r="107" spans="1:20">
      <c r="E107" s="198"/>
    </row>
    <row r="108" spans="1:20">
      <c r="D108" s="324"/>
    </row>
    <row r="110" spans="1:20">
      <c r="B110" s="305"/>
      <c r="C110" s="198"/>
      <c r="E110" s="198"/>
    </row>
    <row r="111" spans="1:20">
      <c r="C111" s="198"/>
      <c r="E111" s="198"/>
    </row>
    <row r="118" spans="1:20">
      <c r="A118" s="197" t="s">
        <v>900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</row>
    <row r="120" spans="1:20" ht="15">
      <c r="A120" s="310" t="s">
        <v>901</v>
      </c>
      <c r="B120" s="404">
        <v>44927</v>
      </c>
      <c r="C120" s="404">
        <v>44958</v>
      </c>
      <c r="D120" s="404">
        <v>44986</v>
      </c>
    </row>
    <row r="121" spans="1:20">
      <c r="A121" s="308" t="s">
        <v>902</v>
      </c>
      <c r="B121" s="325"/>
      <c r="C121" s="325"/>
      <c r="D121" s="325"/>
    </row>
    <row r="122" spans="1:20">
      <c r="A122" s="308" t="s">
        <v>903</v>
      </c>
      <c r="B122" s="325"/>
      <c r="C122" s="325"/>
      <c r="D122" s="325"/>
    </row>
    <row r="123" spans="1:20">
      <c r="A123" s="308" t="s">
        <v>904</v>
      </c>
      <c r="B123" s="325"/>
      <c r="C123" s="325"/>
      <c r="D123" s="325"/>
    </row>
    <row r="124" spans="1:20">
      <c r="A124" s="308" t="s">
        <v>905</v>
      </c>
      <c r="B124" s="325"/>
      <c r="C124" s="325"/>
      <c r="D124" s="325"/>
    </row>
    <row r="125" spans="1:20">
      <c r="A125" s="308" t="s">
        <v>906</v>
      </c>
      <c r="B125" s="325"/>
      <c r="C125" s="325"/>
      <c r="D125" s="325"/>
    </row>
    <row r="126" spans="1:20" ht="15">
      <c r="A126" s="310" t="s">
        <v>907</v>
      </c>
      <c r="B126" s="325">
        <f>SUM(B121:B125)</f>
        <v>0</v>
      </c>
      <c r="C126" s="325">
        <f>SUM(C121:C125)</f>
        <v>0</v>
      </c>
      <c r="D126" s="325">
        <f>SUM(D121:D125)</f>
        <v>0</v>
      </c>
    </row>
    <row r="127" spans="1:20">
      <c r="B127" s="326">
        <f>+(B126/(B70+B71+B72))</f>
        <v>0</v>
      </c>
      <c r="C127" s="326">
        <f>+(C126/(C70+C71+C72))</f>
        <v>0</v>
      </c>
      <c r="D127" s="326">
        <f>+(D126/(D70+D71+D72))</f>
        <v>0</v>
      </c>
    </row>
    <row r="128" spans="1:20" ht="15">
      <c r="A128" s="311" t="s">
        <v>908</v>
      </c>
      <c r="B128" s="326"/>
      <c r="C128" s="326"/>
      <c r="D128" s="326"/>
    </row>
    <row r="129" spans="1:4" ht="15">
      <c r="A129" s="310" t="s">
        <v>909</v>
      </c>
      <c r="B129" s="325"/>
      <c r="C129" s="325"/>
      <c r="D129" s="325"/>
    </row>
    <row r="130" spans="1:4">
      <c r="A130" s="308" t="s">
        <v>910</v>
      </c>
      <c r="B130" s="325"/>
      <c r="C130" s="325"/>
      <c r="D130" s="325"/>
    </row>
    <row r="131" spans="1:4">
      <c r="A131" s="308" t="s">
        <v>911</v>
      </c>
      <c r="B131" s="325"/>
      <c r="C131" s="325"/>
      <c r="D131" s="325"/>
    </row>
    <row r="132" spans="1:4" ht="15">
      <c r="A132" s="310" t="s">
        <v>912</v>
      </c>
      <c r="B132" s="325">
        <f>SUM(B129:B131)</f>
        <v>0</v>
      </c>
      <c r="C132" s="325">
        <f>SUM(C129:C131)</f>
        <v>0</v>
      </c>
      <c r="D132" s="325">
        <f>SUM(D129:D131)</f>
        <v>0</v>
      </c>
    </row>
    <row r="133" spans="1:4">
      <c r="B133" s="326">
        <f>+B132/(B70+B71+B72)</f>
        <v>0</v>
      </c>
      <c r="C133" s="326">
        <f>+C132/(C70+C71+C72)</f>
        <v>0</v>
      </c>
      <c r="D133" s="326">
        <f>+D132/(D70+D71+D72)</f>
        <v>0</v>
      </c>
    </row>
    <row r="134" spans="1:4" ht="15">
      <c r="A134" s="310" t="s">
        <v>913</v>
      </c>
      <c r="B134" s="325">
        <f>B126+B132</f>
        <v>0</v>
      </c>
      <c r="C134" s="325">
        <f>C126+C132</f>
        <v>0</v>
      </c>
      <c r="D134" s="325">
        <f>D126+D132</f>
        <v>0</v>
      </c>
    </row>
    <row r="135" spans="1:4" ht="15">
      <c r="A135" s="310" t="s">
        <v>914</v>
      </c>
      <c r="B135" s="325">
        <f>+B134/(B70+B71)</f>
        <v>0</v>
      </c>
      <c r="C135" s="325">
        <f>+C134/(C70+C71)</f>
        <v>0</v>
      </c>
      <c r="D135" s="325">
        <f>+D134/(D70+D71)</f>
        <v>0</v>
      </c>
    </row>
  </sheetData>
  <mergeCells count="1">
    <mergeCell ref="E1:O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6"/>
  <dimension ref="A1:T135"/>
  <sheetViews>
    <sheetView showGridLines="0" zoomScale="70" zoomScaleNormal="70" workbookViewId="0">
      <selection activeCell="D16" sqref="D16"/>
    </sheetView>
  </sheetViews>
  <sheetFormatPr defaultColWidth="10.85546875" defaultRowHeight="14.25"/>
  <cols>
    <col min="1" max="1" width="34.140625" style="196" bestFit="1" customWidth="1"/>
    <col min="2" max="3" width="14.42578125" style="196" bestFit="1" customWidth="1"/>
    <col min="4" max="4" width="15.42578125" style="196" bestFit="1" customWidth="1"/>
    <col min="5" max="14" width="10.85546875" style="196"/>
    <col min="15" max="15" width="14.42578125" style="196" bestFit="1" customWidth="1"/>
    <col min="16" max="16384" width="10.85546875" style="196"/>
  </cols>
  <sheetData>
    <row r="1" spans="1:15" ht="15" customHeight="1">
      <c r="E1" s="496" t="s">
        <v>915</v>
      </c>
      <c r="F1" s="496"/>
      <c r="G1" s="496"/>
      <c r="H1" s="496"/>
      <c r="I1" s="496"/>
      <c r="J1" s="496"/>
      <c r="K1" s="496"/>
      <c r="L1" s="496"/>
      <c r="M1" s="496"/>
      <c r="N1" s="496"/>
      <c r="O1" s="496"/>
    </row>
    <row r="2" spans="1:15">
      <c r="E2" s="496"/>
      <c r="F2" s="496"/>
      <c r="G2" s="496"/>
      <c r="H2" s="496"/>
      <c r="I2" s="496"/>
      <c r="J2" s="496"/>
      <c r="K2" s="496"/>
      <c r="L2" s="496"/>
      <c r="M2" s="496"/>
      <c r="N2" s="496"/>
      <c r="O2" s="496"/>
    </row>
    <row r="3" spans="1:15" ht="15" thickBot="1"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</row>
    <row r="4" spans="1:15" ht="15" thickTop="1">
      <c r="A4" s="328"/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</row>
    <row r="6" spans="1:15" s="200" customFormat="1" ht="17.25" customHeight="1">
      <c r="A6" s="209" t="s">
        <v>850</v>
      </c>
      <c r="B6" s="402"/>
      <c r="C6" s="402"/>
      <c r="D6" s="402"/>
      <c r="E6" s="403"/>
      <c r="F6" s="196"/>
      <c r="G6" s="196"/>
      <c r="H6" s="196"/>
      <c r="I6" s="196"/>
      <c r="J6" s="196"/>
      <c r="K6" s="196"/>
      <c r="L6" s="196"/>
      <c r="M6" s="196"/>
      <c r="N6" s="196"/>
      <c r="O6" s="196"/>
    </row>
    <row r="7" spans="1:15" s="200" customFormat="1">
      <c r="A7" s="198"/>
      <c r="B7" s="198"/>
      <c r="C7" s="198"/>
      <c r="D7" s="198"/>
      <c r="E7" s="403"/>
      <c r="F7" s="196"/>
      <c r="G7" s="196"/>
      <c r="H7" s="196"/>
      <c r="I7" s="196"/>
      <c r="J7" s="196"/>
      <c r="K7" s="196"/>
      <c r="L7" s="196"/>
      <c r="M7" s="196"/>
      <c r="N7" s="196"/>
      <c r="O7" s="196"/>
    </row>
    <row r="8" spans="1:15" s="200" customFormat="1">
      <c r="A8" s="201" t="s">
        <v>851</v>
      </c>
      <c r="B8" s="404">
        <v>45017</v>
      </c>
      <c r="C8" s="404">
        <v>45047</v>
      </c>
      <c r="D8" s="404">
        <v>45078</v>
      </c>
      <c r="E8" s="403"/>
      <c r="F8" s="196"/>
      <c r="G8" s="196"/>
      <c r="H8" s="196"/>
      <c r="I8" s="196"/>
      <c r="J8" s="196"/>
      <c r="K8" s="196"/>
      <c r="L8" s="196"/>
      <c r="M8" s="196"/>
      <c r="N8" s="196"/>
      <c r="O8" s="196"/>
    </row>
    <row r="9" spans="1:15" s="200" customFormat="1">
      <c r="A9" s="405" t="s">
        <v>852</v>
      </c>
      <c r="B9" s="333">
        <v>0.7</v>
      </c>
      <c r="C9" s="333">
        <v>0.95</v>
      </c>
      <c r="D9" s="333">
        <v>0.8</v>
      </c>
      <c r="E9" s="403"/>
      <c r="F9" s="196"/>
      <c r="G9" s="196"/>
      <c r="H9" s="196"/>
      <c r="I9" s="196"/>
      <c r="J9" s="196"/>
      <c r="K9" s="196"/>
      <c r="L9" s="196"/>
      <c r="M9" s="196"/>
      <c r="N9" s="196"/>
      <c r="O9" s="196"/>
    </row>
    <row r="10" spans="1:15" s="200" customFormat="1">
      <c r="A10" s="405" t="s">
        <v>853</v>
      </c>
      <c r="B10" s="333">
        <v>0.99</v>
      </c>
      <c r="C10" s="333">
        <v>0.99</v>
      </c>
      <c r="D10" s="333">
        <v>1</v>
      </c>
      <c r="E10" s="403"/>
      <c r="F10" s="196"/>
      <c r="G10" s="196"/>
      <c r="H10" s="196"/>
      <c r="I10" s="196"/>
      <c r="J10" s="196"/>
      <c r="K10" s="196"/>
      <c r="L10" s="196"/>
      <c r="M10" s="196"/>
      <c r="N10" s="196"/>
      <c r="O10" s="196"/>
    </row>
    <row r="11" spans="1:15" s="200" customFormat="1">
      <c r="A11" s="405" t="s">
        <v>854</v>
      </c>
      <c r="B11" s="333">
        <v>0.88</v>
      </c>
      <c r="C11" s="333">
        <v>0.86</v>
      </c>
      <c r="D11" s="333">
        <v>0.91</v>
      </c>
      <c r="E11" s="403"/>
      <c r="F11" s="196"/>
      <c r="G11" s="196"/>
      <c r="H11" s="196"/>
      <c r="I11" s="196"/>
      <c r="J11" s="196"/>
      <c r="K11" s="196"/>
      <c r="L11" s="196"/>
      <c r="M11" s="196"/>
      <c r="N11" s="196"/>
      <c r="O11" s="196"/>
    </row>
    <row r="12" spans="1:15" s="200" customFormat="1">
      <c r="A12" s="405" t="s">
        <v>855</v>
      </c>
      <c r="B12" s="333">
        <v>0.98</v>
      </c>
      <c r="C12" s="333">
        <v>0.98</v>
      </c>
      <c r="D12" s="333">
        <v>0.99</v>
      </c>
      <c r="E12" s="403"/>
      <c r="F12" s="196"/>
      <c r="G12" s="196"/>
      <c r="H12" s="196"/>
      <c r="I12" s="196"/>
      <c r="J12" s="196"/>
      <c r="K12" s="196"/>
      <c r="L12" s="196"/>
      <c r="M12" s="196"/>
      <c r="N12" s="196"/>
      <c r="O12" s="196"/>
    </row>
    <row r="13" spans="1:15" s="200" customFormat="1">
      <c r="A13" s="405" t="s">
        <v>856</v>
      </c>
      <c r="B13" s="333">
        <v>0.96</v>
      </c>
      <c r="C13" s="333">
        <v>0.42</v>
      </c>
      <c r="D13" s="333">
        <v>0.94</v>
      </c>
      <c r="E13" s="403"/>
      <c r="F13" s="196"/>
      <c r="G13" s="196"/>
      <c r="H13" s="196"/>
      <c r="I13" s="196"/>
      <c r="J13" s="196"/>
      <c r="K13" s="196"/>
      <c r="L13" s="196"/>
      <c r="M13" s="196"/>
      <c r="N13" s="196"/>
      <c r="O13" s="196"/>
    </row>
    <row r="14" spans="1:15" s="200" customFormat="1">
      <c r="A14" s="405" t="s">
        <v>857</v>
      </c>
      <c r="B14" s="333">
        <v>0.94</v>
      </c>
      <c r="C14" s="333">
        <v>0.84</v>
      </c>
      <c r="D14" s="333">
        <v>0.95</v>
      </c>
      <c r="E14" s="403"/>
      <c r="F14" s="196"/>
      <c r="G14" s="196"/>
      <c r="H14" s="196"/>
      <c r="I14" s="196"/>
      <c r="J14" s="196"/>
      <c r="K14" s="196"/>
      <c r="L14" s="196"/>
      <c r="M14" s="196"/>
      <c r="N14" s="196"/>
      <c r="O14" s="196"/>
    </row>
    <row r="15" spans="1:15" s="200" customFormat="1">
      <c r="A15" s="405" t="s">
        <v>858</v>
      </c>
      <c r="B15" s="333">
        <v>0.61</v>
      </c>
      <c r="C15" s="333">
        <v>0.82</v>
      </c>
      <c r="D15" s="333">
        <v>0.98</v>
      </c>
      <c r="E15" s="403"/>
      <c r="F15" s="196"/>
      <c r="G15" s="196"/>
      <c r="H15" s="196"/>
      <c r="I15" s="196"/>
      <c r="J15" s="196"/>
      <c r="K15" s="196"/>
      <c r="L15" s="196"/>
      <c r="M15" s="196"/>
      <c r="N15" s="196"/>
      <c r="O15" s="196"/>
    </row>
    <row r="16" spans="1:15" s="200" customFormat="1">
      <c r="A16" s="405" t="s">
        <v>859</v>
      </c>
      <c r="B16" s="333">
        <v>0.98</v>
      </c>
      <c r="C16" s="333">
        <v>0.99</v>
      </c>
      <c r="D16" s="333">
        <v>0.93</v>
      </c>
      <c r="E16" s="403"/>
      <c r="F16" s="196"/>
      <c r="G16" s="196"/>
      <c r="H16" s="196"/>
      <c r="I16" s="196"/>
      <c r="J16" s="196"/>
      <c r="K16" s="196"/>
      <c r="L16" s="196"/>
      <c r="M16" s="196"/>
      <c r="N16" s="196"/>
      <c r="O16" s="196"/>
    </row>
    <row r="17" spans="1:16" s="200" customFormat="1">
      <c r="A17" s="405" t="s">
        <v>860</v>
      </c>
      <c r="B17" s="333">
        <v>0.89</v>
      </c>
      <c r="C17" s="333">
        <v>1</v>
      </c>
      <c r="D17" s="333">
        <v>0.41</v>
      </c>
      <c r="E17" s="403"/>
      <c r="F17" s="196"/>
      <c r="G17" s="196"/>
      <c r="H17" s="196"/>
      <c r="I17" s="196"/>
      <c r="J17" s="196"/>
      <c r="K17" s="196"/>
      <c r="L17" s="196"/>
      <c r="M17" s="196"/>
      <c r="N17" s="196"/>
      <c r="O17" s="196"/>
      <c r="P17" s="196"/>
    </row>
    <row r="18" spans="1:16" s="200" customFormat="1">
      <c r="A18" s="406" t="s">
        <v>861</v>
      </c>
      <c r="B18" s="333">
        <v>0.87</v>
      </c>
      <c r="C18" s="334">
        <v>1</v>
      </c>
      <c r="D18" s="334">
        <v>0.85</v>
      </c>
      <c r="E18" s="403"/>
      <c r="F18" s="196"/>
      <c r="G18" s="196"/>
      <c r="H18" s="196"/>
      <c r="I18" s="196"/>
      <c r="J18" s="196"/>
      <c r="K18" s="196"/>
      <c r="L18" s="196"/>
      <c r="M18" s="196"/>
      <c r="N18" s="196"/>
      <c r="O18" s="196"/>
      <c r="P18" s="196"/>
    </row>
    <row r="19" spans="1:16" s="200" customFormat="1">
      <c r="A19" s="405" t="s">
        <v>862</v>
      </c>
      <c r="B19" s="213">
        <f>+AVERAGE(B9:B18)</f>
        <v>0.87999999999999989</v>
      </c>
      <c r="C19" s="202">
        <f>+AVERAGE(C9:C18)</f>
        <v>0.88500000000000012</v>
      </c>
      <c r="D19" s="202">
        <f>+AVERAGE(D9:D18)</f>
        <v>0.876</v>
      </c>
      <c r="E19" s="407">
        <f>+AVERAGE(B19:D19)</f>
        <v>0.8803333333333333</v>
      </c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</row>
    <row r="20" spans="1:16" s="200" customFormat="1">
      <c r="A20" s="198"/>
      <c r="B20" s="198"/>
      <c r="C20" s="198"/>
      <c r="D20" s="198"/>
      <c r="E20" s="403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</row>
    <row r="21" spans="1:16" s="200" customFormat="1">
      <c r="A21" s="198"/>
      <c r="B21" s="198"/>
      <c r="C21" s="198"/>
      <c r="D21" s="198"/>
      <c r="E21" s="403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</row>
    <row r="22" spans="1:16" s="200" customFormat="1">
      <c r="A22" s="198"/>
      <c r="B22" s="198"/>
      <c r="C22" s="198"/>
      <c r="D22" s="198"/>
      <c r="E22" s="403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</row>
    <row r="23" spans="1:16" s="200" customFormat="1">
      <c r="A23" s="198"/>
      <c r="B23" s="405" t="s">
        <v>863</v>
      </c>
      <c r="C23" s="405" t="s">
        <v>863</v>
      </c>
      <c r="D23" s="405" t="s">
        <v>863</v>
      </c>
      <c r="E23" s="403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</row>
    <row r="24" spans="1:16" s="200" customFormat="1">
      <c r="A24" s="201" t="s">
        <v>827</v>
      </c>
      <c r="B24" s="404">
        <v>45017</v>
      </c>
      <c r="C24" s="404">
        <v>45047</v>
      </c>
      <c r="D24" s="404">
        <v>45078</v>
      </c>
      <c r="E24" s="403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</row>
    <row r="25" spans="1:16" s="200" customFormat="1">
      <c r="A25" s="405" t="s">
        <v>852</v>
      </c>
      <c r="B25" s="205">
        <f>'TDina BR'!Q5</f>
        <v>11340</v>
      </c>
      <c r="C25" s="205">
        <f>'TDina BR'!R5</f>
        <v>12052</v>
      </c>
      <c r="D25" s="205">
        <f>'TDina BR'!S5</f>
        <v>12732</v>
      </c>
      <c r="E25" s="408">
        <f>+MIN(D25:D34)</f>
        <v>12732</v>
      </c>
      <c r="F25" s="196"/>
      <c r="G25" s="196"/>
      <c r="H25" s="196"/>
      <c r="I25" s="196"/>
      <c r="J25" s="196"/>
      <c r="K25" s="196"/>
      <c r="L25" s="196"/>
      <c r="M25" s="196"/>
      <c r="N25" s="203"/>
      <c r="O25" s="203"/>
      <c r="P25" s="203"/>
    </row>
    <row r="26" spans="1:16" s="200" customFormat="1">
      <c r="A26" s="405" t="s">
        <v>853</v>
      </c>
      <c r="B26" s="205">
        <f>'TDina BR'!Q6</f>
        <v>17108</v>
      </c>
      <c r="C26" s="205">
        <f>'TDina BR'!R6</f>
        <v>17668</v>
      </c>
      <c r="D26" s="205">
        <f>'TDina BR'!S6</f>
        <v>18345</v>
      </c>
      <c r="E26" s="408">
        <f>+MAX(D25:D34)</f>
        <v>18356</v>
      </c>
      <c r="F26" s="196"/>
      <c r="G26" s="196"/>
      <c r="H26" s="196"/>
      <c r="I26" s="196"/>
      <c r="J26" s="196"/>
      <c r="K26" s="196"/>
      <c r="L26" s="196"/>
      <c r="M26" s="196"/>
      <c r="N26" s="203"/>
      <c r="O26" s="203"/>
      <c r="P26" s="203"/>
    </row>
    <row r="27" spans="1:16" s="200" customFormat="1">
      <c r="A27" s="405" t="s">
        <v>854</v>
      </c>
      <c r="B27" s="205">
        <f>'TDina BR'!Q7</f>
        <v>16499</v>
      </c>
      <c r="C27" s="205">
        <f>'TDina BR'!R7</f>
        <v>17215</v>
      </c>
      <c r="D27" s="205">
        <f>'TDina BR'!S7</f>
        <v>17890</v>
      </c>
      <c r="E27" s="403"/>
      <c r="F27" s="196"/>
      <c r="G27" s="196"/>
      <c r="H27" s="196"/>
      <c r="I27" s="196"/>
      <c r="J27" s="196"/>
      <c r="K27" s="196"/>
      <c r="L27" s="196"/>
      <c r="M27" s="196"/>
      <c r="N27" s="203"/>
      <c r="O27" s="341"/>
      <c r="P27" s="203"/>
    </row>
    <row r="28" spans="1:16" s="200" customFormat="1">
      <c r="A28" s="405" t="s">
        <v>855</v>
      </c>
      <c r="B28" s="205">
        <f>'TDina BR'!Q8</f>
        <v>17458</v>
      </c>
      <c r="C28" s="205">
        <f>'TDina BR'!R8</f>
        <v>17696</v>
      </c>
      <c r="D28" s="205">
        <f>'TDina BR'!S8</f>
        <v>18182</v>
      </c>
      <c r="E28" s="403"/>
      <c r="F28" s="196"/>
      <c r="G28" s="196"/>
      <c r="H28" s="196"/>
      <c r="I28" s="196"/>
      <c r="J28" s="196"/>
      <c r="K28" s="196"/>
      <c r="L28" s="196"/>
      <c r="M28" s="196"/>
      <c r="N28" s="203"/>
      <c r="O28" s="203"/>
      <c r="P28" s="203"/>
    </row>
    <row r="29" spans="1:16" s="200" customFormat="1">
      <c r="A29" s="405" t="s">
        <v>856</v>
      </c>
      <c r="B29" s="205">
        <f>'TDina BR'!Q9</f>
        <v>12604</v>
      </c>
      <c r="C29" s="205">
        <f>'TDina BR'!R9</f>
        <v>12983</v>
      </c>
      <c r="D29" s="205">
        <f>'TDina BR'!S9</f>
        <v>13698</v>
      </c>
      <c r="E29" s="403"/>
      <c r="F29" s="196"/>
      <c r="G29" s="196"/>
      <c r="H29" s="196"/>
      <c r="I29" s="196"/>
      <c r="J29" s="196"/>
      <c r="K29" s="196"/>
      <c r="L29" s="196"/>
      <c r="M29" s="196"/>
      <c r="N29" s="203"/>
      <c r="O29" s="203"/>
      <c r="P29" s="203"/>
    </row>
    <row r="30" spans="1:16" s="200" customFormat="1">
      <c r="A30" s="405" t="s">
        <v>857</v>
      </c>
      <c r="B30" s="205">
        <f>'TDina BR'!Q10</f>
        <v>17150</v>
      </c>
      <c r="C30" s="205">
        <f>'TDina BR'!R10</f>
        <v>17852</v>
      </c>
      <c r="D30" s="205">
        <f>'TDina BR'!S10</f>
        <v>18302</v>
      </c>
      <c r="E30" s="403"/>
      <c r="F30" s="196"/>
      <c r="G30" s="196"/>
      <c r="H30" s="196"/>
      <c r="I30" s="196"/>
      <c r="J30" s="196"/>
      <c r="K30" s="196"/>
      <c r="L30" s="196"/>
      <c r="M30" s="196"/>
      <c r="N30" s="203"/>
      <c r="O30" s="203"/>
      <c r="P30" s="203"/>
    </row>
    <row r="31" spans="1:16" s="200" customFormat="1">
      <c r="A31" s="405" t="s">
        <v>858</v>
      </c>
      <c r="B31" s="205">
        <f>'TDina BR'!Q11</f>
        <v>16890</v>
      </c>
      <c r="C31" s="205">
        <f>'TDina BR'!R11</f>
        <v>17591</v>
      </c>
      <c r="D31" s="205">
        <f>'TDina BR'!S11</f>
        <v>18288</v>
      </c>
      <c r="E31" s="403"/>
      <c r="F31" s="196"/>
      <c r="G31" s="196"/>
      <c r="H31" s="196"/>
      <c r="I31" s="196"/>
      <c r="J31" s="196"/>
      <c r="K31" s="196"/>
      <c r="L31" s="196"/>
      <c r="M31" s="196"/>
      <c r="N31" s="203"/>
      <c r="O31" s="203"/>
      <c r="P31" s="203"/>
    </row>
    <row r="32" spans="1:16" s="200" customFormat="1">
      <c r="A32" s="405" t="s">
        <v>859</v>
      </c>
      <c r="B32" s="205">
        <f>'TDina BR'!Q12</f>
        <v>17583</v>
      </c>
      <c r="C32" s="205">
        <f>'TDina BR'!R12</f>
        <v>18039</v>
      </c>
      <c r="D32" s="205">
        <f>'TDina BR'!S12</f>
        <v>18356</v>
      </c>
      <c r="E32" s="403"/>
      <c r="F32" s="196"/>
      <c r="G32" s="196"/>
      <c r="H32" s="196"/>
      <c r="I32" s="196"/>
      <c r="J32" s="196"/>
      <c r="K32" s="196"/>
      <c r="L32" s="196"/>
      <c r="M32" s="196"/>
      <c r="N32" s="203"/>
      <c r="O32" s="203"/>
      <c r="P32" s="203"/>
    </row>
    <row r="33" spans="1:17" s="200" customFormat="1">
      <c r="A33" s="405" t="s">
        <v>860</v>
      </c>
      <c r="B33" s="205">
        <f>'TDina BR'!Q13</f>
        <v>16635</v>
      </c>
      <c r="C33" s="205">
        <f>'TDina BR'!R13</f>
        <v>17358</v>
      </c>
      <c r="D33" s="205">
        <f>'TDina BR'!S13</f>
        <v>17620</v>
      </c>
      <c r="E33" s="403"/>
      <c r="F33" s="196"/>
      <c r="G33" s="196"/>
      <c r="H33" s="196"/>
      <c r="I33" s="196"/>
      <c r="J33" s="196"/>
      <c r="K33" s="196"/>
      <c r="L33" s="196"/>
      <c r="M33" s="196"/>
      <c r="N33" s="203"/>
      <c r="O33" s="203"/>
      <c r="P33" s="203"/>
      <c r="Q33" s="196"/>
    </row>
    <row r="34" spans="1:17" s="200" customFormat="1">
      <c r="A34" s="405" t="s">
        <v>861</v>
      </c>
      <c r="B34" s="205">
        <f>'TDina BR'!Q14</f>
        <v>14505</v>
      </c>
      <c r="C34" s="205">
        <f>'TDina BR'!R14</f>
        <v>15209</v>
      </c>
      <c r="D34" s="205">
        <f>'TDina BR'!S14</f>
        <v>15890</v>
      </c>
      <c r="E34" s="403"/>
      <c r="F34" s="196"/>
      <c r="G34" s="196"/>
      <c r="H34" s="196"/>
      <c r="I34" s="196"/>
      <c r="J34" s="196"/>
      <c r="K34" s="196"/>
      <c r="L34" s="196"/>
      <c r="M34" s="196"/>
      <c r="N34" s="203"/>
      <c r="O34" s="203"/>
      <c r="P34" s="203"/>
      <c r="Q34" s="196"/>
    </row>
    <row r="35" spans="1:17" s="200" customFormat="1">
      <c r="A35" s="204" t="s">
        <v>864</v>
      </c>
      <c r="B35" s="210">
        <f>+AVERAGE(B25:B34)</f>
        <v>15777.2</v>
      </c>
      <c r="C35" s="210">
        <f>+AVERAGE(C25:C34)</f>
        <v>16366.3</v>
      </c>
      <c r="D35" s="210">
        <f>+AVERAGE(D25:D34)</f>
        <v>16930.3</v>
      </c>
      <c r="E35" s="403"/>
      <c r="F35" s="196"/>
      <c r="G35" s="196"/>
      <c r="H35" s="196"/>
      <c r="I35" s="196"/>
      <c r="J35" s="196"/>
      <c r="K35" s="196"/>
      <c r="L35" s="196"/>
      <c r="M35" s="196"/>
      <c r="N35" s="205"/>
      <c r="O35" s="205"/>
      <c r="P35" s="205"/>
      <c r="Q35" s="196"/>
    </row>
    <row r="36" spans="1:17" s="200" customFormat="1">
      <c r="A36" s="198"/>
      <c r="B36" s="206"/>
      <c r="C36" s="206"/>
      <c r="D36" s="206"/>
      <c r="E36" s="403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 s="196"/>
      <c r="Q36" s="196"/>
    </row>
    <row r="37" spans="1:17" s="200" customFormat="1">
      <c r="A37" s="198"/>
      <c r="B37" s="405" t="s">
        <v>865</v>
      </c>
      <c r="C37" s="405" t="s">
        <v>865</v>
      </c>
      <c r="D37" s="405" t="s">
        <v>865</v>
      </c>
      <c r="E37" s="403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</row>
    <row r="38" spans="1:17" s="200" customFormat="1">
      <c r="A38" s="207" t="s">
        <v>828</v>
      </c>
      <c r="B38" s="404">
        <v>45017</v>
      </c>
      <c r="C38" s="404">
        <v>45047</v>
      </c>
      <c r="D38" s="404">
        <v>45078</v>
      </c>
      <c r="E38" s="403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</row>
    <row r="39" spans="1:17" s="200" customFormat="1">
      <c r="A39" s="405" t="s">
        <v>852</v>
      </c>
      <c r="B39" s="205" t="str">
        <f>'TDina BR'!AQ5</f>
        <v/>
      </c>
      <c r="C39" s="205" t="str">
        <f>'TDina BR'!AR5</f>
        <v/>
      </c>
      <c r="D39" s="205" t="str">
        <f>'TDina BR'!AS5</f>
        <v/>
      </c>
      <c r="E39" s="403"/>
      <c r="F39" s="196"/>
      <c r="G39" s="196"/>
      <c r="H39" s="196"/>
      <c r="I39" s="196"/>
      <c r="J39" s="196"/>
      <c r="K39" s="196"/>
      <c r="L39" s="196"/>
      <c r="M39" s="196"/>
      <c r="N39" s="203"/>
      <c r="O39" s="203"/>
      <c r="P39" s="203"/>
      <c r="Q39" s="196"/>
    </row>
    <row r="40" spans="1:17" s="200" customFormat="1">
      <c r="A40" s="405" t="s">
        <v>853</v>
      </c>
      <c r="B40" s="205" t="str">
        <f>'TDina BR'!AQ6</f>
        <v/>
      </c>
      <c r="C40" s="205" t="str">
        <f>'TDina BR'!AR6</f>
        <v/>
      </c>
      <c r="D40" s="205" t="str">
        <f>'TDina BR'!AS6</f>
        <v/>
      </c>
      <c r="E40" s="403"/>
      <c r="F40" s="196"/>
      <c r="G40" s="196"/>
      <c r="H40" s="196"/>
      <c r="I40" s="196"/>
      <c r="J40" s="196"/>
      <c r="K40" s="196"/>
      <c r="L40" s="196"/>
      <c r="M40" s="196"/>
      <c r="N40" s="203"/>
      <c r="O40" s="203"/>
      <c r="P40" s="203"/>
      <c r="Q40" s="196"/>
    </row>
    <row r="41" spans="1:17" s="200" customFormat="1">
      <c r="A41" s="405" t="s">
        <v>854</v>
      </c>
      <c r="B41" s="205" t="str">
        <f>'TDina BR'!AQ7</f>
        <v/>
      </c>
      <c r="C41" s="205" t="str">
        <f>'TDina BR'!AR7</f>
        <v/>
      </c>
      <c r="D41" s="205" t="str">
        <f>'TDina BR'!AS7</f>
        <v/>
      </c>
      <c r="E41" s="403"/>
      <c r="F41" s="196"/>
      <c r="G41" s="196"/>
      <c r="H41" s="196"/>
      <c r="I41" s="196"/>
      <c r="J41" s="196"/>
      <c r="K41" s="196"/>
      <c r="L41" s="196"/>
      <c r="M41" s="196"/>
      <c r="N41" s="203"/>
      <c r="O41" s="203"/>
      <c r="P41" s="203"/>
      <c r="Q41" s="196"/>
    </row>
    <row r="42" spans="1:17" s="200" customFormat="1">
      <c r="A42" s="405" t="s">
        <v>855</v>
      </c>
      <c r="B42" s="205" t="str">
        <f>'TDina BR'!AQ8</f>
        <v/>
      </c>
      <c r="C42" s="205" t="str">
        <f>'TDina BR'!AR8</f>
        <v/>
      </c>
      <c r="D42" s="205" t="str">
        <f>'TDina BR'!AS8</f>
        <v/>
      </c>
      <c r="E42" s="403"/>
      <c r="F42" s="196"/>
      <c r="G42" s="196"/>
      <c r="H42" s="196"/>
      <c r="I42" s="196"/>
      <c r="J42" s="196"/>
      <c r="K42" s="196"/>
      <c r="L42" s="196"/>
      <c r="M42" s="196"/>
      <c r="N42" s="203"/>
      <c r="O42" s="203"/>
      <c r="P42" s="203"/>
      <c r="Q42" s="196"/>
    </row>
    <row r="43" spans="1:17" s="200" customFormat="1">
      <c r="A43" s="405" t="s">
        <v>856</v>
      </c>
      <c r="B43" s="205" t="str">
        <f>'TDina BR'!AQ9</f>
        <v/>
      </c>
      <c r="C43" s="205" t="str">
        <f>'TDina BR'!AR9</f>
        <v/>
      </c>
      <c r="D43" s="205" t="str">
        <f>'TDina BR'!AS9</f>
        <v/>
      </c>
      <c r="E43" s="403"/>
      <c r="F43" s="196"/>
      <c r="G43" s="196"/>
      <c r="H43" s="196"/>
      <c r="I43" s="196"/>
      <c r="J43" s="196"/>
      <c r="K43" s="196"/>
      <c r="L43" s="196"/>
      <c r="M43" s="196"/>
      <c r="N43" s="203"/>
      <c r="O43" s="203"/>
      <c r="P43" s="203"/>
      <c r="Q43" s="196"/>
    </row>
    <row r="44" spans="1:17" s="200" customFormat="1">
      <c r="A44" s="405" t="s">
        <v>857</v>
      </c>
      <c r="B44" s="205" t="str">
        <f>'TDina BR'!AQ10</f>
        <v/>
      </c>
      <c r="C44" s="205" t="str">
        <f>'TDina BR'!AR10</f>
        <v/>
      </c>
      <c r="D44" s="205" t="str">
        <f>'TDina BR'!AS10</f>
        <v/>
      </c>
      <c r="E44" s="403"/>
      <c r="F44" s="196"/>
      <c r="G44" s="196"/>
      <c r="H44" s="196"/>
      <c r="I44" s="196"/>
      <c r="J44" s="196"/>
      <c r="K44" s="196"/>
      <c r="L44" s="196"/>
      <c r="M44" s="196"/>
      <c r="N44" s="203"/>
      <c r="O44" s="203"/>
      <c r="P44" s="203"/>
      <c r="Q44" s="196"/>
    </row>
    <row r="45" spans="1:17" s="200" customFormat="1">
      <c r="A45" s="405" t="s">
        <v>858</v>
      </c>
      <c r="B45" s="205" t="str">
        <f>'TDina BR'!AQ11</f>
        <v/>
      </c>
      <c r="C45" s="205" t="str">
        <f>'TDina BR'!AR11</f>
        <v/>
      </c>
      <c r="D45" s="205" t="str">
        <f>'TDina BR'!AS11</f>
        <v/>
      </c>
      <c r="E45" s="403"/>
      <c r="F45" s="196"/>
      <c r="G45" s="196"/>
      <c r="H45" s="196"/>
      <c r="I45" s="196"/>
      <c r="J45" s="196"/>
      <c r="K45" s="196"/>
      <c r="L45" s="196"/>
      <c r="M45" s="196"/>
      <c r="N45" s="203"/>
      <c r="O45" s="203"/>
      <c r="P45" s="203"/>
      <c r="Q45" s="196"/>
    </row>
    <row r="46" spans="1:17" s="200" customFormat="1">
      <c r="A46" s="405" t="s">
        <v>859</v>
      </c>
      <c r="B46" s="205" t="str">
        <f>'TDina BR'!AQ12</f>
        <v/>
      </c>
      <c r="C46" s="205" t="str">
        <f>'TDina BR'!AR12</f>
        <v/>
      </c>
      <c r="D46" s="205" t="str">
        <f>'TDina BR'!AS12</f>
        <v/>
      </c>
      <c r="E46" s="403"/>
      <c r="F46" s="196"/>
      <c r="G46" s="196"/>
      <c r="H46" s="196"/>
      <c r="I46" s="196"/>
      <c r="J46" s="196"/>
      <c r="K46" s="196"/>
      <c r="L46" s="196"/>
      <c r="M46" s="196"/>
      <c r="N46" s="203"/>
      <c r="O46" s="203"/>
      <c r="P46" s="203"/>
      <c r="Q46" s="196"/>
    </row>
    <row r="47" spans="1:17" s="200" customFormat="1">
      <c r="A47" s="405" t="s">
        <v>860</v>
      </c>
      <c r="B47" s="205" t="str">
        <f>'TDina BR'!AQ13</f>
        <v/>
      </c>
      <c r="C47" s="205" t="str">
        <f>'TDina BR'!AR13</f>
        <v/>
      </c>
      <c r="D47" s="205" t="str">
        <f>'TDina BR'!AS13</f>
        <v/>
      </c>
      <c r="E47" s="403"/>
      <c r="F47" s="196"/>
      <c r="G47" s="196"/>
      <c r="H47" s="196"/>
      <c r="I47" s="196"/>
      <c r="J47" s="196"/>
      <c r="K47" s="196"/>
      <c r="L47" s="196"/>
      <c r="M47" s="196"/>
      <c r="N47" s="203"/>
      <c r="O47" s="203"/>
      <c r="P47" s="203"/>
      <c r="Q47" s="196"/>
    </row>
    <row r="48" spans="1:17" s="200" customFormat="1">
      <c r="A48" s="405" t="s">
        <v>861</v>
      </c>
      <c r="B48" s="205" t="str">
        <f>'TDina BR'!AQ14</f>
        <v/>
      </c>
      <c r="C48" s="205" t="str">
        <f>'TDina BR'!AR14</f>
        <v/>
      </c>
      <c r="D48" s="205" t="str">
        <f>'TDina BR'!AS14</f>
        <v/>
      </c>
      <c r="E48" s="403"/>
      <c r="F48" s="196"/>
      <c r="G48" s="196"/>
      <c r="H48" s="196"/>
      <c r="I48" s="196"/>
      <c r="J48" s="196"/>
      <c r="K48" s="196"/>
      <c r="L48" s="196"/>
      <c r="M48" s="196"/>
      <c r="N48" s="203"/>
      <c r="O48" s="203"/>
      <c r="P48" s="203"/>
      <c r="Q48" s="196"/>
    </row>
    <row r="49" spans="1:20" s="200" customFormat="1">
      <c r="A49" s="208" t="s">
        <v>866</v>
      </c>
      <c r="B49" s="210" t="e">
        <f>+AVERAGE(B39:B48)</f>
        <v>#DIV/0!</v>
      </c>
      <c r="C49" s="210" t="e">
        <f>+AVERAGE(C39:C48)</f>
        <v>#DIV/0!</v>
      </c>
      <c r="D49" s="210" t="e">
        <f>+AVERAGE(D39:D48)</f>
        <v>#DIV/0!</v>
      </c>
      <c r="E49" s="408" t="e">
        <f>SUM(B49:D49)</f>
        <v>#DIV/0!</v>
      </c>
      <c r="F49" s="196"/>
      <c r="G49" s="196"/>
      <c r="H49" s="196"/>
      <c r="I49" s="196"/>
      <c r="J49" s="196"/>
      <c r="K49" s="196"/>
      <c r="L49" s="196"/>
      <c r="M49" s="196"/>
      <c r="N49" s="205"/>
      <c r="O49" s="205"/>
      <c r="P49" s="205"/>
      <c r="Q49" s="196"/>
      <c r="R49" s="196"/>
      <c r="S49" s="196"/>
      <c r="T49" s="196"/>
    </row>
    <row r="50" spans="1:20" s="200" customFormat="1">
      <c r="A50" s="327"/>
      <c r="B50" s="205"/>
      <c r="C50" s="205"/>
      <c r="D50" s="205"/>
      <c r="E50" s="408"/>
      <c r="F50" s="196"/>
      <c r="G50" s="196"/>
      <c r="H50" s="196"/>
      <c r="I50" s="196"/>
      <c r="J50" s="196"/>
      <c r="K50" s="196"/>
      <c r="L50" s="196"/>
      <c r="M50" s="196"/>
      <c r="N50" s="205"/>
      <c r="O50" s="205"/>
      <c r="P50" s="205"/>
      <c r="Q50" s="196"/>
      <c r="R50" s="196"/>
      <c r="S50" s="196"/>
      <c r="T50" s="196"/>
    </row>
    <row r="51" spans="1:20">
      <c r="A51" s="209" t="s">
        <v>867</v>
      </c>
      <c r="B51" s="397">
        <v>88</v>
      </c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</row>
    <row r="52" spans="1:20">
      <c r="A52" s="198"/>
      <c r="B52" s="198"/>
      <c r="C52" s="198"/>
      <c r="D52" s="198"/>
    </row>
    <row r="53" spans="1:20">
      <c r="A53" s="198"/>
      <c r="B53" s="198"/>
      <c r="C53" s="198"/>
      <c r="D53" s="198"/>
    </row>
    <row r="54" spans="1:20" ht="18.600000000000001" customHeight="1">
      <c r="A54" s="312" t="s">
        <v>868</v>
      </c>
      <c r="B54" s="404">
        <v>45017</v>
      </c>
      <c r="C54" s="404">
        <v>45047</v>
      </c>
      <c r="D54" s="404">
        <v>45078</v>
      </c>
    </row>
    <row r="55" spans="1:20">
      <c r="A55" s="308" t="s">
        <v>869</v>
      </c>
      <c r="B55" s="307"/>
      <c r="C55" s="307"/>
      <c r="D55" s="307"/>
    </row>
    <row r="56" spans="1:20">
      <c r="A56" s="308" t="s">
        <v>870</v>
      </c>
      <c r="B56" s="307"/>
      <c r="C56" s="307"/>
      <c r="D56" s="307"/>
    </row>
    <row r="57" spans="1:20">
      <c r="A57" s="308" t="s">
        <v>871</v>
      </c>
      <c r="B57" s="307">
        <f>B55+B56</f>
        <v>0</v>
      </c>
      <c r="C57" s="307">
        <f>C55+C56</f>
        <v>0</v>
      </c>
      <c r="D57" s="307">
        <f>D55+D56</f>
        <v>0</v>
      </c>
    </row>
    <row r="58" spans="1:20">
      <c r="A58" s="308" t="s">
        <v>872</v>
      </c>
      <c r="B58" s="316">
        <f>AVERAGE('G. Un GE'!B92:Y121)/$B$51</f>
        <v>0.61724163510100949</v>
      </c>
      <c r="C58" s="316">
        <f>AVERAGE('G. Un GE'!B122:Y152)/$B$51</f>
        <v>0.66743680810117367</v>
      </c>
      <c r="D58" s="316">
        <f>AVERAGE('G. Un GE'!B153:Y182)/$B$51</f>
        <v>0.64998734059343422</v>
      </c>
    </row>
    <row r="59" spans="1:20">
      <c r="A59" s="308" t="s">
        <v>873</v>
      </c>
      <c r="B59" s="316">
        <f>B19</f>
        <v>0.87999999999999989</v>
      </c>
      <c r="C59" s="316">
        <f>C19</f>
        <v>0.88500000000000012</v>
      </c>
      <c r="D59" s="316">
        <f>D19</f>
        <v>0.876</v>
      </c>
    </row>
    <row r="60" spans="1:20">
      <c r="A60" s="198"/>
      <c r="B60" s="198"/>
      <c r="C60" s="198"/>
      <c r="D60" s="198"/>
    </row>
    <row r="62" spans="1:20" ht="15" thickBot="1">
      <c r="A62" s="308" t="s">
        <v>874</v>
      </c>
      <c r="B62" s="404">
        <v>45017</v>
      </c>
      <c r="C62" s="404">
        <v>45047</v>
      </c>
      <c r="D62" s="404">
        <v>45078</v>
      </c>
    </row>
    <row r="63" spans="1:20">
      <c r="A63" s="308" t="s">
        <v>875</v>
      </c>
      <c r="B63" s="306"/>
      <c r="C63" s="306"/>
      <c r="D63" s="309"/>
    </row>
    <row r="64" spans="1:20">
      <c r="B64" s="317"/>
    </row>
    <row r="67" spans="1:20">
      <c r="A67" s="209" t="s">
        <v>876</v>
      </c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</row>
    <row r="69" spans="1:20" ht="17.45" customHeight="1">
      <c r="A69" s="310" t="s">
        <v>877</v>
      </c>
      <c r="B69" s="404">
        <v>45017</v>
      </c>
      <c r="C69" s="404">
        <v>45047</v>
      </c>
      <c r="D69" s="404">
        <v>45078</v>
      </c>
    </row>
    <row r="70" spans="1:20">
      <c r="A70" s="308" t="s">
        <v>878</v>
      </c>
      <c r="B70" s="318">
        <f>+B57-B72</f>
        <v>-181000</v>
      </c>
      <c r="C70" s="318">
        <f>+C57-C72</f>
        <v>0</v>
      </c>
      <c r="D70" s="318">
        <f>+D57-D72</f>
        <v>0</v>
      </c>
    </row>
    <row r="71" spans="1:20">
      <c r="A71" s="308" t="s">
        <v>292</v>
      </c>
      <c r="B71" s="318">
        <v>0</v>
      </c>
      <c r="C71" s="318">
        <v>0</v>
      </c>
      <c r="D71" s="318">
        <v>0</v>
      </c>
    </row>
    <row r="72" spans="1:20">
      <c r="A72" s="308" t="s">
        <v>879</v>
      </c>
      <c r="B72" s="318">
        <v>181000</v>
      </c>
      <c r="C72" s="318">
        <v>0</v>
      </c>
      <c r="D72" s="318">
        <v>0</v>
      </c>
    </row>
    <row r="73" spans="1:20">
      <c r="A73" s="308" t="s">
        <v>878</v>
      </c>
      <c r="B73" s="319" t="e">
        <f>B70/SUM(B$70:B$72)</f>
        <v>#DIV/0!</v>
      </c>
      <c r="C73" s="319" t="e">
        <f>C70/SUM(C$70:C$72)</f>
        <v>#DIV/0!</v>
      </c>
      <c r="D73" s="319" t="e">
        <f>D70/SUM(D$70:D$72)</f>
        <v>#DIV/0!</v>
      </c>
    </row>
    <row r="74" spans="1:20">
      <c r="A74" s="308" t="s">
        <v>292</v>
      </c>
      <c r="B74" s="319" t="e">
        <f t="shared" ref="B74:D75" si="0">B71/SUM(B$70:B$72)</f>
        <v>#DIV/0!</v>
      </c>
      <c r="C74" s="319" t="e">
        <f t="shared" si="0"/>
        <v>#DIV/0!</v>
      </c>
      <c r="D74" s="319" t="e">
        <f t="shared" si="0"/>
        <v>#DIV/0!</v>
      </c>
    </row>
    <row r="75" spans="1:20">
      <c r="A75" s="308" t="s">
        <v>879</v>
      </c>
      <c r="B75" s="319" t="e">
        <f t="shared" si="0"/>
        <v>#DIV/0!</v>
      </c>
      <c r="C75" s="319" t="e">
        <f t="shared" si="0"/>
        <v>#DIV/0!</v>
      </c>
      <c r="D75" s="319" t="e">
        <f t="shared" si="0"/>
        <v>#DIV/0!</v>
      </c>
    </row>
    <row r="77" spans="1:20" ht="15">
      <c r="A77" s="310" t="s">
        <v>880</v>
      </c>
      <c r="B77" s="404">
        <v>45017</v>
      </c>
      <c r="C77" s="404">
        <v>45047</v>
      </c>
      <c r="D77" s="404">
        <v>45078</v>
      </c>
    </row>
    <row r="78" spans="1:20">
      <c r="A78" s="308" t="s">
        <v>881</v>
      </c>
      <c r="B78" s="320">
        <f>SUM(B79:B82)</f>
        <v>0</v>
      </c>
      <c r="C78" s="320">
        <f>SUM(C79:C82)</f>
        <v>0</v>
      </c>
      <c r="D78" s="320">
        <f>SUM(D79:D82)</f>
        <v>0</v>
      </c>
    </row>
    <row r="79" spans="1:20">
      <c r="A79" s="313" t="s">
        <v>801</v>
      </c>
      <c r="B79" s="320"/>
      <c r="C79" s="320"/>
      <c r="D79" s="320"/>
    </row>
    <row r="80" spans="1:20">
      <c r="A80" s="313" t="s">
        <v>882</v>
      </c>
      <c r="B80" s="320"/>
      <c r="C80" s="320"/>
      <c r="D80" s="320"/>
    </row>
    <row r="81" spans="1:4">
      <c r="A81" s="313" t="s">
        <v>883</v>
      </c>
      <c r="B81" s="320"/>
      <c r="C81" s="320"/>
      <c r="D81" s="320"/>
    </row>
    <row r="82" spans="1:4">
      <c r="A82" s="313" t="s">
        <v>884</v>
      </c>
      <c r="B82" s="320"/>
      <c r="C82" s="320"/>
      <c r="D82" s="320"/>
    </row>
    <row r="83" spans="1:4">
      <c r="A83" s="314" t="s">
        <v>885</v>
      </c>
      <c r="B83" s="320">
        <v>41.8</v>
      </c>
      <c r="C83" s="320">
        <v>0</v>
      </c>
      <c r="D83" s="320">
        <v>0</v>
      </c>
    </row>
    <row r="84" spans="1:4">
      <c r="A84" s="314" t="s">
        <v>886</v>
      </c>
      <c r="B84" s="321">
        <v>0</v>
      </c>
      <c r="C84" s="321">
        <v>0</v>
      </c>
      <c r="D84" s="322">
        <v>0</v>
      </c>
    </row>
    <row r="86" spans="1:4" ht="15">
      <c r="A86" s="310" t="s">
        <v>887</v>
      </c>
      <c r="B86" s="404">
        <v>44927</v>
      </c>
      <c r="C86" s="404">
        <v>44958</v>
      </c>
      <c r="D86" s="404">
        <v>44986</v>
      </c>
    </row>
    <row r="87" spans="1:4">
      <c r="A87" s="308" t="s">
        <v>888</v>
      </c>
      <c r="B87" s="323">
        <f>+B78/B70*1000000</f>
        <v>0</v>
      </c>
      <c r="C87" s="323" t="e">
        <f>+C78/C70*1000000</f>
        <v>#DIV/0!</v>
      </c>
      <c r="D87" s="323" t="e">
        <f>+D78/D70*1000000</f>
        <v>#DIV/0!</v>
      </c>
    </row>
    <row r="88" spans="1:4">
      <c r="A88" s="308" t="s">
        <v>889</v>
      </c>
      <c r="B88" s="323">
        <f>IFERROR(B84*900*1000/B71,0)</f>
        <v>0</v>
      </c>
      <c r="C88" s="323">
        <f>IFERROR(C84*900*1000/C71,0)</f>
        <v>0</v>
      </c>
      <c r="D88" s="323">
        <f>IFERROR(D84*900*1000/D71,0)</f>
        <v>0</v>
      </c>
    </row>
    <row r="89" spans="1:4">
      <c r="A89" s="308" t="s">
        <v>890</v>
      </c>
      <c r="B89" s="323">
        <f>+IFERROR(B83*860*1000/B72,0)</f>
        <v>198.60773480662982</v>
      </c>
      <c r="C89" s="323">
        <f>+IFERROR(C83*860*1000/C72,0)</f>
        <v>0</v>
      </c>
      <c r="D89" s="323">
        <f>+IFERROR(D83*860*1000/D72,0)</f>
        <v>0</v>
      </c>
    </row>
    <row r="90" spans="1:4">
      <c r="A90" s="199" t="s">
        <v>891</v>
      </c>
    </row>
    <row r="98" spans="1:20">
      <c r="A98" s="197" t="s">
        <v>892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</row>
    <row r="100" spans="1:20" ht="15">
      <c r="A100" s="310" t="s">
        <v>893</v>
      </c>
      <c r="B100" s="404">
        <v>45017</v>
      </c>
      <c r="C100" s="404">
        <v>45047</v>
      </c>
      <c r="D100" s="404">
        <v>45078</v>
      </c>
    </row>
    <row r="101" spans="1:20">
      <c r="A101" s="330" t="s">
        <v>894</v>
      </c>
      <c r="B101" s="331"/>
      <c r="C101" s="331"/>
      <c r="D101" s="331"/>
      <c r="E101" s="198"/>
    </row>
    <row r="102" spans="1:20">
      <c r="A102" s="330" t="s">
        <v>895</v>
      </c>
      <c r="B102" s="331"/>
      <c r="C102" s="331"/>
      <c r="D102" s="331"/>
      <c r="E102" s="198"/>
    </row>
    <row r="103" spans="1:20">
      <c r="A103" s="330" t="s">
        <v>896</v>
      </c>
      <c r="B103" s="331"/>
      <c r="C103" s="331"/>
      <c r="D103" s="331"/>
      <c r="E103" s="198"/>
    </row>
    <row r="104" spans="1:20">
      <c r="A104" s="330" t="s">
        <v>897</v>
      </c>
      <c r="B104" s="331"/>
      <c r="C104" s="331"/>
      <c r="D104" s="331"/>
      <c r="E104" s="198"/>
    </row>
    <row r="105" spans="1:20">
      <c r="A105" s="330" t="s">
        <v>898</v>
      </c>
      <c r="B105" s="331"/>
      <c r="C105" s="331"/>
      <c r="D105" s="331"/>
      <c r="E105" s="198"/>
    </row>
    <row r="106" spans="1:20" ht="15">
      <c r="A106" s="332" t="s">
        <v>899</v>
      </c>
      <c r="B106" s="331">
        <f>SUM(B101:B105)</f>
        <v>0</v>
      </c>
      <c r="C106" s="331">
        <f>SUM(C101:C105)</f>
        <v>0</v>
      </c>
      <c r="D106" s="331">
        <f>SUM(D101:D105)</f>
        <v>0</v>
      </c>
      <c r="E106" s="198"/>
    </row>
    <row r="107" spans="1:20">
      <c r="E107" s="198"/>
    </row>
    <row r="108" spans="1:20">
      <c r="D108" s="324"/>
    </row>
    <row r="110" spans="1:20">
      <c r="B110" s="305"/>
      <c r="C110" s="198"/>
      <c r="E110" s="198"/>
    </row>
    <row r="111" spans="1:20">
      <c r="C111" s="198"/>
      <c r="E111" s="198"/>
    </row>
    <row r="118" spans="1:20">
      <c r="A118" s="197" t="s">
        <v>900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</row>
    <row r="120" spans="1:20" ht="15">
      <c r="A120" s="310" t="s">
        <v>901</v>
      </c>
      <c r="B120" s="404">
        <v>45017</v>
      </c>
      <c r="C120" s="404">
        <v>45047</v>
      </c>
      <c r="D120" s="404">
        <v>45078</v>
      </c>
    </row>
    <row r="121" spans="1:20">
      <c r="A121" s="308" t="s">
        <v>902</v>
      </c>
      <c r="B121" s="325"/>
      <c r="C121" s="325"/>
      <c r="D121" s="325"/>
    </row>
    <row r="122" spans="1:20">
      <c r="A122" s="308" t="s">
        <v>903</v>
      </c>
      <c r="B122" s="325"/>
      <c r="C122" s="325"/>
      <c r="D122" s="325"/>
    </row>
    <row r="123" spans="1:20">
      <c r="A123" s="308" t="s">
        <v>904</v>
      </c>
      <c r="B123" s="325"/>
      <c r="C123" s="325"/>
      <c r="D123" s="325"/>
    </row>
    <row r="124" spans="1:20">
      <c r="A124" s="308" t="s">
        <v>905</v>
      </c>
      <c r="B124" s="325"/>
      <c r="C124" s="325"/>
      <c r="D124" s="325"/>
    </row>
    <row r="125" spans="1:20">
      <c r="A125" s="308" t="s">
        <v>906</v>
      </c>
      <c r="B125" s="325"/>
      <c r="C125" s="325"/>
      <c r="D125" s="325"/>
    </row>
    <row r="126" spans="1:20" ht="15">
      <c r="A126" s="310" t="s">
        <v>907</v>
      </c>
      <c r="B126" s="325">
        <f>SUM(B121:B125)</f>
        <v>0</v>
      </c>
      <c r="C126" s="325">
        <f>SUM(C121:C125)</f>
        <v>0</v>
      </c>
      <c r="D126" s="325">
        <f>SUM(D121:D125)</f>
        <v>0</v>
      </c>
    </row>
    <row r="127" spans="1:20">
      <c r="B127" s="326" t="e">
        <f>+(B126/(B70+B71+B72))</f>
        <v>#DIV/0!</v>
      </c>
      <c r="C127" s="326" t="e">
        <f>+(C126/(C70+C71+C72))</f>
        <v>#DIV/0!</v>
      </c>
      <c r="D127" s="326" t="e">
        <f>+(D126/(D70+D71+D72))</f>
        <v>#DIV/0!</v>
      </c>
    </row>
    <row r="128" spans="1:20" ht="15">
      <c r="A128" s="311" t="s">
        <v>908</v>
      </c>
      <c r="B128" s="326"/>
      <c r="C128" s="326"/>
      <c r="D128" s="326"/>
    </row>
    <row r="129" spans="1:4" ht="15">
      <c r="A129" s="310" t="s">
        <v>909</v>
      </c>
      <c r="B129" s="325"/>
      <c r="C129" s="325"/>
      <c r="D129" s="325"/>
    </row>
    <row r="130" spans="1:4">
      <c r="A130" s="308" t="s">
        <v>910</v>
      </c>
      <c r="B130" s="325"/>
      <c r="C130" s="325"/>
      <c r="D130" s="325"/>
    </row>
    <row r="131" spans="1:4">
      <c r="A131" s="308" t="s">
        <v>911</v>
      </c>
      <c r="B131" s="325"/>
      <c r="C131" s="325"/>
      <c r="D131" s="325"/>
    </row>
    <row r="132" spans="1:4" ht="15">
      <c r="A132" s="310" t="s">
        <v>912</v>
      </c>
      <c r="B132" s="325">
        <f>SUM(B129:B131)</f>
        <v>0</v>
      </c>
      <c r="C132" s="325">
        <f>SUM(C129:C131)</f>
        <v>0</v>
      </c>
      <c r="D132" s="325">
        <f>SUM(D129:D131)</f>
        <v>0</v>
      </c>
    </row>
    <row r="133" spans="1:4">
      <c r="B133" s="326" t="e">
        <f>+B132/(B70+B71+B72)</f>
        <v>#DIV/0!</v>
      </c>
      <c r="C133" s="326" t="e">
        <f>+C132/(C70+C71+C72)</f>
        <v>#DIV/0!</v>
      </c>
      <c r="D133" s="326" t="e">
        <f>+D132/(D70+D71+D72)</f>
        <v>#DIV/0!</v>
      </c>
    </row>
    <row r="134" spans="1:4" ht="15">
      <c r="A134" s="310" t="s">
        <v>913</v>
      </c>
      <c r="B134" s="325">
        <f>B126+B132</f>
        <v>0</v>
      </c>
      <c r="C134" s="325">
        <f>C126+C132</f>
        <v>0</v>
      </c>
      <c r="D134" s="325">
        <f>D126+D132</f>
        <v>0</v>
      </c>
    </row>
    <row r="135" spans="1:4" ht="15">
      <c r="A135" s="310" t="s">
        <v>914</v>
      </c>
      <c r="B135" s="325">
        <f>+B134/(B70+B71)</f>
        <v>0</v>
      </c>
      <c r="C135" s="325" t="e">
        <f>+C134/(C70+C71)</f>
        <v>#DIV/0!</v>
      </c>
      <c r="D135" s="325" t="e">
        <f>+D134/(D70+D71)</f>
        <v>#DIV/0!</v>
      </c>
    </row>
  </sheetData>
  <mergeCells count="1">
    <mergeCell ref="E1:O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35"/>
  <sheetViews>
    <sheetView showGridLines="0" zoomScale="70" zoomScaleNormal="70" workbookViewId="0">
      <selection activeCell="A25" sqref="A25"/>
    </sheetView>
  </sheetViews>
  <sheetFormatPr defaultColWidth="10.85546875" defaultRowHeight="14.25"/>
  <cols>
    <col min="1" max="1" width="34.140625" style="196" bestFit="1" customWidth="1"/>
    <col min="2" max="3" width="14.42578125" style="196" bestFit="1" customWidth="1"/>
    <col min="4" max="4" width="15.42578125" style="196" bestFit="1" customWidth="1"/>
    <col min="5" max="14" width="10.85546875" style="196"/>
    <col min="15" max="15" width="14.42578125" style="196" bestFit="1" customWidth="1"/>
    <col min="16" max="16384" width="10.85546875" style="196"/>
  </cols>
  <sheetData>
    <row r="1" spans="1:15" ht="15" customHeight="1">
      <c r="E1" s="496" t="s">
        <v>915</v>
      </c>
      <c r="F1" s="496"/>
      <c r="G1" s="496"/>
      <c r="H1" s="496"/>
      <c r="I1" s="496"/>
      <c r="J1" s="496"/>
      <c r="K1" s="496"/>
      <c r="L1" s="496"/>
      <c r="M1" s="496"/>
      <c r="N1" s="496"/>
      <c r="O1" s="496"/>
    </row>
    <row r="2" spans="1:15">
      <c r="E2" s="496"/>
      <c r="F2" s="496"/>
      <c r="G2" s="496"/>
      <c r="H2" s="496"/>
      <c r="I2" s="496"/>
      <c r="J2" s="496"/>
      <c r="K2" s="496"/>
      <c r="L2" s="496"/>
      <c r="M2" s="496"/>
      <c r="N2" s="496"/>
      <c r="O2" s="496"/>
    </row>
    <row r="3" spans="1:15" ht="15" thickBot="1"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</row>
    <row r="4" spans="1:15" ht="15" thickTop="1">
      <c r="A4" s="328"/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</row>
    <row r="6" spans="1:15" s="200" customFormat="1" ht="17.25" customHeight="1">
      <c r="A6" s="209" t="s">
        <v>850</v>
      </c>
      <c r="B6" s="402"/>
      <c r="C6" s="402"/>
      <c r="D6" s="402"/>
      <c r="E6" s="403"/>
      <c r="F6" s="196"/>
      <c r="G6" s="196"/>
      <c r="H6" s="196"/>
      <c r="I6" s="196"/>
      <c r="J6" s="196"/>
      <c r="K6" s="196"/>
      <c r="L6" s="196"/>
      <c r="M6" s="196"/>
      <c r="N6" s="196"/>
      <c r="O6" s="196"/>
    </row>
    <row r="7" spans="1:15" s="200" customFormat="1">
      <c r="A7" s="198"/>
      <c r="B7" s="198"/>
      <c r="C7" s="198"/>
      <c r="D7" s="198"/>
      <c r="E7" s="403"/>
      <c r="F7" s="196"/>
      <c r="G7" s="196"/>
      <c r="H7" s="196"/>
      <c r="I7" s="196"/>
      <c r="J7" s="196"/>
      <c r="K7" s="196"/>
      <c r="L7" s="196"/>
      <c r="M7" s="196"/>
      <c r="N7" s="196"/>
      <c r="O7" s="196"/>
    </row>
    <row r="8" spans="1:15" s="200" customFormat="1">
      <c r="A8" s="201" t="s">
        <v>851</v>
      </c>
      <c r="B8" s="404">
        <v>45108</v>
      </c>
      <c r="C8" s="404">
        <v>45139</v>
      </c>
      <c r="D8" s="404">
        <v>45170</v>
      </c>
      <c r="E8" s="403"/>
      <c r="F8" s="196"/>
      <c r="G8" s="196"/>
      <c r="H8" s="196"/>
      <c r="I8" s="196"/>
      <c r="J8" s="196"/>
      <c r="K8" s="196"/>
      <c r="L8" s="196"/>
      <c r="M8" s="196"/>
      <c r="N8" s="196"/>
      <c r="O8" s="196"/>
    </row>
    <row r="9" spans="1:15" s="200" customFormat="1">
      <c r="A9" s="405" t="s">
        <v>852</v>
      </c>
      <c r="B9" s="333">
        <v>0.97244623655913975</v>
      </c>
      <c r="C9" s="333">
        <v>0.96169354838709675</v>
      </c>
      <c r="D9" s="333">
        <v>0.99861111111111112</v>
      </c>
      <c r="E9" s="403"/>
      <c r="F9" s="196"/>
      <c r="G9" s="196"/>
      <c r="H9" s="196"/>
      <c r="I9" s="196"/>
      <c r="J9" s="196"/>
      <c r="K9" s="196"/>
      <c r="L9" s="196"/>
      <c r="M9" s="196"/>
      <c r="N9" s="196"/>
      <c r="O9" s="196"/>
    </row>
    <row r="10" spans="1:15" s="200" customFormat="1">
      <c r="A10" s="405" t="s">
        <v>853</v>
      </c>
      <c r="B10" s="333">
        <v>0.99059139784946237</v>
      </c>
      <c r="C10" s="333">
        <v>1</v>
      </c>
      <c r="D10" s="333">
        <v>0.96111111111111114</v>
      </c>
      <c r="E10" s="403"/>
      <c r="F10" s="196"/>
      <c r="G10" s="196"/>
      <c r="H10" s="196"/>
      <c r="I10" s="196"/>
      <c r="J10" s="196"/>
      <c r="K10" s="196"/>
      <c r="L10" s="196"/>
      <c r="M10" s="196"/>
      <c r="N10" s="196"/>
      <c r="O10" s="196"/>
    </row>
    <row r="11" spans="1:15" s="200" customFormat="1">
      <c r="A11" s="405" t="s">
        <v>854</v>
      </c>
      <c r="B11" s="333">
        <v>0.99260752688172038</v>
      </c>
      <c r="C11" s="333">
        <v>1</v>
      </c>
      <c r="D11" s="333">
        <v>0.90833333333333333</v>
      </c>
      <c r="E11" s="403"/>
      <c r="F11" s="196"/>
      <c r="G11" s="196"/>
      <c r="H11" s="196"/>
      <c r="I11" s="196"/>
      <c r="J11" s="196"/>
      <c r="K11" s="196"/>
      <c r="L11" s="196"/>
      <c r="M11" s="196"/>
      <c r="N11" s="196"/>
      <c r="O11" s="196"/>
    </row>
    <row r="12" spans="1:15" s="200" customFormat="1">
      <c r="A12" s="405" t="s">
        <v>855</v>
      </c>
      <c r="B12" s="333">
        <v>0.9751344086021505</v>
      </c>
      <c r="C12" s="333">
        <v>0.24327956989247312</v>
      </c>
      <c r="D12" s="333">
        <v>0</v>
      </c>
      <c r="E12" s="403"/>
      <c r="F12" s="196"/>
      <c r="G12" s="196"/>
      <c r="H12" s="196"/>
      <c r="I12" s="196"/>
      <c r="J12" s="196"/>
      <c r="K12" s="196"/>
      <c r="L12" s="196"/>
      <c r="M12" s="196"/>
      <c r="N12" s="196"/>
      <c r="O12" s="196"/>
    </row>
    <row r="13" spans="1:15" s="200" customFormat="1">
      <c r="A13" s="405" t="s">
        <v>856</v>
      </c>
      <c r="B13" s="333">
        <v>0.98991935483870963</v>
      </c>
      <c r="C13" s="333">
        <v>0.99663978494623651</v>
      </c>
      <c r="D13" s="333">
        <v>0.96805555555555556</v>
      </c>
      <c r="E13" s="403"/>
      <c r="F13" s="196"/>
      <c r="G13" s="196"/>
      <c r="H13" s="196"/>
      <c r="I13" s="196"/>
      <c r="J13" s="196"/>
      <c r="K13" s="196"/>
      <c r="L13" s="196"/>
      <c r="M13" s="196"/>
      <c r="N13" s="196"/>
      <c r="O13" s="196"/>
    </row>
    <row r="14" spans="1:15" s="200" customFormat="1">
      <c r="A14" s="405" t="s">
        <v>857</v>
      </c>
      <c r="B14" s="333">
        <v>0.84946236559139787</v>
      </c>
      <c r="C14" s="333">
        <v>0.32594086021505375</v>
      </c>
      <c r="D14" s="333">
        <v>0.97986111111111107</v>
      </c>
      <c r="E14" s="403"/>
      <c r="F14" s="196"/>
      <c r="G14" s="196"/>
      <c r="H14" s="196"/>
      <c r="I14" s="196"/>
      <c r="J14" s="196"/>
      <c r="K14" s="196"/>
      <c r="L14" s="196"/>
      <c r="M14" s="196"/>
      <c r="N14" s="196"/>
      <c r="O14" s="196"/>
    </row>
    <row r="15" spans="1:15" s="200" customFormat="1">
      <c r="A15" s="405" t="s">
        <v>858</v>
      </c>
      <c r="B15" s="333">
        <v>0.99798387096774188</v>
      </c>
      <c r="C15" s="333">
        <v>1</v>
      </c>
      <c r="D15" s="333">
        <v>0.875</v>
      </c>
      <c r="E15" s="403"/>
      <c r="F15" s="196"/>
      <c r="G15" s="196"/>
      <c r="H15" s="196"/>
      <c r="I15" s="196"/>
      <c r="J15" s="196"/>
      <c r="K15" s="196"/>
      <c r="L15" s="196"/>
      <c r="M15" s="196"/>
      <c r="N15" s="196"/>
      <c r="O15" s="196"/>
    </row>
    <row r="16" spans="1:15" s="200" customFormat="1">
      <c r="A16" s="405" t="s">
        <v>859</v>
      </c>
      <c r="B16" s="333">
        <v>0.97647849462365588</v>
      </c>
      <c r="C16" s="333">
        <v>0.989247311827957</v>
      </c>
      <c r="D16" s="333">
        <v>0.9819444444444444</v>
      </c>
      <c r="E16" s="403"/>
      <c r="F16" s="196"/>
      <c r="G16" s="196"/>
      <c r="H16" s="196"/>
      <c r="I16" s="196"/>
      <c r="J16" s="196"/>
      <c r="K16" s="196"/>
      <c r="L16" s="196"/>
      <c r="M16" s="196"/>
      <c r="N16" s="196"/>
      <c r="O16" s="196"/>
    </row>
    <row r="17" spans="1:18" s="200" customFormat="1">
      <c r="A17" s="405" t="s">
        <v>860</v>
      </c>
      <c r="B17" s="333">
        <v>0.89247311827956988</v>
      </c>
      <c r="C17" s="333">
        <v>0.99059139784946237</v>
      </c>
      <c r="D17" s="333">
        <v>0.89583333333333337</v>
      </c>
      <c r="E17" s="403"/>
      <c r="F17" s="196"/>
      <c r="G17" s="196"/>
      <c r="H17" s="196"/>
      <c r="I17" s="196"/>
      <c r="J17" s="196"/>
      <c r="K17" s="196"/>
      <c r="L17" s="196"/>
      <c r="M17" s="196"/>
      <c r="N17" s="196"/>
      <c r="O17" s="196"/>
      <c r="P17" s="196"/>
      <c r="Q17" s="196"/>
      <c r="R17" s="196"/>
    </row>
    <row r="18" spans="1:18" s="200" customFormat="1">
      <c r="A18" s="406" t="s">
        <v>861</v>
      </c>
      <c r="B18" s="333">
        <v>0.37903225806451613</v>
      </c>
      <c r="C18" s="334">
        <v>0.876008064516129</v>
      </c>
      <c r="D18" s="334">
        <v>0.97361111111111109</v>
      </c>
      <c r="E18" s="403"/>
      <c r="F18" s="196"/>
      <c r="G18" s="196"/>
      <c r="H18" s="196"/>
      <c r="I18" s="196"/>
      <c r="J18" s="196"/>
      <c r="K18" s="196"/>
      <c r="L18" s="196"/>
      <c r="M18" s="196"/>
      <c r="N18" s="196"/>
      <c r="O18" s="196"/>
      <c r="P18" s="196"/>
      <c r="Q18" s="196"/>
      <c r="R18" s="196"/>
    </row>
    <row r="19" spans="1:18" s="200" customFormat="1">
      <c r="A19" s="405" t="s">
        <v>862</v>
      </c>
      <c r="B19" s="213">
        <f>+AVERAGE(B9:B18)</f>
        <v>0.90161290322580645</v>
      </c>
      <c r="C19" s="202">
        <f>+AVERAGE(C9:C18)</f>
        <v>0.83834005376344078</v>
      </c>
      <c r="D19" s="202">
        <f>+AVERAGE(D9:D18)</f>
        <v>0.85423611111111097</v>
      </c>
      <c r="E19" s="407">
        <f>+AVERAGE(B19:D19)</f>
        <v>0.86472968936678607</v>
      </c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</row>
    <row r="20" spans="1:18" s="200" customFormat="1">
      <c r="A20" s="198"/>
      <c r="B20" s="198"/>
      <c r="C20" s="198"/>
      <c r="D20" s="198"/>
      <c r="E20" s="403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</row>
    <row r="21" spans="1:18" s="200" customFormat="1">
      <c r="A21" s="198"/>
      <c r="B21" s="198"/>
      <c r="C21" s="198"/>
      <c r="D21" s="198"/>
      <c r="E21" s="403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</row>
    <row r="22" spans="1:18" s="200" customFormat="1">
      <c r="A22" s="198"/>
      <c r="B22" s="198"/>
      <c r="C22" s="198"/>
      <c r="D22" s="198"/>
      <c r="E22" s="403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</row>
    <row r="23" spans="1:18" s="200" customFormat="1">
      <c r="A23" s="198"/>
      <c r="B23" s="405" t="s">
        <v>863</v>
      </c>
      <c r="C23" s="405" t="s">
        <v>863</v>
      </c>
      <c r="D23" s="405" t="s">
        <v>863</v>
      </c>
      <c r="E23" s="403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</row>
    <row r="24" spans="1:18" s="200" customFormat="1">
      <c r="A24" s="201" t="s">
        <v>827</v>
      </c>
      <c r="B24" s="404">
        <v>45108</v>
      </c>
      <c r="C24" s="404">
        <v>45139</v>
      </c>
      <c r="D24" s="404">
        <v>45170</v>
      </c>
      <c r="E24" s="403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</row>
    <row r="25" spans="1:18" s="200" customFormat="1">
      <c r="A25" s="405" t="s">
        <v>852</v>
      </c>
      <c r="B25" s="205">
        <v>6489</v>
      </c>
      <c r="C25" s="205">
        <v>6998</v>
      </c>
      <c r="D25" s="205">
        <v>7483</v>
      </c>
      <c r="E25" s="408">
        <f>+MIN(D25:D34)</f>
        <v>7483</v>
      </c>
      <c r="F25" s="196"/>
      <c r="G25" s="196"/>
      <c r="H25" s="196"/>
      <c r="I25" s="196"/>
      <c r="J25" s="196"/>
      <c r="K25" s="196"/>
      <c r="L25" s="196"/>
      <c r="M25" s="196"/>
      <c r="N25" s="203"/>
      <c r="O25" s="203"/>
      <c r="P25" s="203"/>
      <c r="Q25" s="196"/>
      <c r="R25" s="196"/>
    </row>
    <row r="26" spans="1:18" s="200" customFormat="1">
      <c r="A26" s="405" t="s">
        <v>853</v>
      </c>
      <c r="B26" s="205">
        <v>7756</v>
      </c>
      <c r="C26" s="205">
        <v>8263</v>
      </c>
      <c r="D26" s="205">
        <v>8665</v>
      </c>
      <c r="E26" s="408">
        <f>+MAX(D25:D34)</f>
        <v>8665</v>
      </c>
      <c r="F26" s="196"/>
      <c r="G26" s="196"/>
      <c r="H26" s="196"/>
      <c r="I26" s="196"/>
      <c r="J26" s="196"/>
      <c r="K26" s="196"/>
      <c r="L26" s="196"/>
      <c r="M26" s="196"/>
      <c r="N26" s="203"/>
      <c r="O26" s="203"/>
      <c r="P26" s="203"/>
      <c r="Q26" s="196"/>
      <c r="R26" s="196"/>
    </row>
    <row r="27" spans="1:18" s="200" customFormat="1">
      <c r="A27" s="405" t="s">
        <v>854</v>
      </c>
      <c r="B27" s="205">
        <v>7790</v>
      </c>
      <c r="C27" s="205">
        <v>8199</v>
      </c>
      <c r="D27" s="205">
        <v>8609</v>
      </c>
      <c r="E27" s="403"/>
      <c r="F27" s="196"/>
      <c r="G27" s="196"/>
      <c r="H27" s="196"/>
      <c r="I27" s="196"/>
      <c r="J27" s="196"/>
      <c r="K27" s="196"/>
      <c r="L27" s="196"/>
      <c r="M27" s="196"/>
      <c r="N27" s="203"/>
      <c r="O27" s="341"/>
      <c r="P27" s="203"/>
      <c r="Q27" s="196"/>
      <c r="R27" s="196"/>
    </row>
    <row r="28" spans="1:18" s="200" customFormat="1">
      <c r="A28" s="405" t="s">
        <v>855</v>
      </c>
      <c r="B28" s="205">
        <v>8227</v>
      </c>
      <c r="C28" s="205">
        <v>8340</v>
      </c>
      <c r="D28" s="205">
        <v>8340</v>
      </c>
      <c r="E28" s="403"/>
      <c r="F28" s="196"/>
      <c r="G28" s="196"/>
      <c r="H28" s="196"/>
      <c r="I28" s="196"/>
      <c r="J28" s="196"/>
      <c r="K28" s="196"/>
      <c r="L28" s="196"/>
      <c r="M28" s="196"/>
      <c r="N28" s="203"/>
      <c r="O28" s="203"/>
      <c r="P28" s="203"/>
      <c r="Q28" s="196"/>
      <c r="R28" s="196"/>
    </row>
    <row r="29" spans="1:18" s="200" customFormat="1">
      <c r="A29" s="405" t="s">
        <v>856</v>
      </c>
      <c r="B29" s="205">
        <v>7124</v>
      </c>
      <c r="C29" s="205">
        <v>7600</v>
      </c>
      <c r="D29" s="205">
        <v>8000</v>
      </c>
      <c r="E29" s="403"/>
      <c r="F29" s="196"/>
      <c r="G29" s="196"/>
      <c r="H29" s="196"/>
      <c r="I29" s="196"/>
      <c r="J29" s="196"/>
      <c r="K29" s="196"/>
      <c r="L29" s="196"/>
      <c r="M29" s="196"/>
      <c r="N29" s="203"/>
      <c r="O29" s="203"/>
      <c r="P29" s="203"/>
      <c r="Q29" s="196"/>
      <c r="R29" s="196"/>
    </row>
    <row r="30" spans="1:18" s="200" customFormat="1">
      <c r="A30" s="405" t="s">
        <v>857</v>
      </c>
      <c r="B30" s="205">
        <v>7642</v>
      </c>
      <c r="C30" s="205">
        <v>7744</v>
      </c>
      <c r="D30" s="205">
        <v>8167</v>
      </c>
      <c r="E30" s="403"/>
      <c r="F30" s="196"/>
      <c r="G30" s="196"/>
      <c r="H30" s="196"/>
      <c r="I30" s="196"/>
      <c r="J30" s="196"/>
      <c r="K30" s="196"/>
      <c r="L30" s="196"/>
      <c r="M30" s="196"/>
      <c r="N30" s="203"/>
      <c r="O30" s="203"/>
      <c r="P30" s="203"/>
      <c r="Q30" s="196"/>
      <c r="R30" s="196"/>
    </row>
    <row r="31" spans="1:18" s="200" customFormat="1" ht="15">
      <c r="A31" s="405" t="s">
        <v>858</v>
      </c>
      <c r="B31" s="205">
        <v>7331</v>
      </c>
      <c r="C31" s="205">
        <v>7870</v>
      </c>
      <c r="D31" s="205">
        <v>8277</v>
      </c>
      <c r="E31" s="403"/>
      <c r="F31" s="196"/>
      <c r="G31" s="196"/>
      <c r="H31" s="196"/>
      <c r="I31" s="196"/>
      <c r="J31" s="196"/>
      <c r="K31" s="196"/>
      <c r="L31" s="196"/>
      <c r="M31" s="196"/>
      <c r="N31" s="203"/>
      <c r="O31" s="203"/>
      <c r="P31"/>
      <c r="Q31"/>
      <c r="R31"/>
    </row>
    <row r="32" spans="1:18" s="200" customFormat="1" ht="15">
      <c r="A32" s="405" t="s">
        <v>859</v>
      </c>
      <c r="B32" s="205">
        <v>7187</v>
      </c>
      <c r="C32" s="205">
        <v>7646</v>
      </c>
      <c r="D32" s="205">
        <v>8093</v>
      </c>
      <c r="E32" s="403"/>
      <c r="F32" s="196"/>
      <c r="G32" s="196"/>
      <c r="H32" s="196"/>
      <c r="I32" s="196"/>
      <c r="J32" s="196"/>
      <c r="K32" s="196"/>
      <c r="L32" s="196"/>
      <c r="M32" s="196"/>
      <c r="N32" s="203"/>
      <c r="O32" s="203"/>
      <c r="P32"/>
      <c r="Q32"/>
      <c r="R32"/>
    </row>
    <row r="33" spans="1:18" s="200" customFormat="1" ht="15">
      <c r="A33" s="405" t="s">
        <v>860</v>
      </c>
      <c r="B33" s="205">
        <v>7117</v>
      </c>
      <c r="C33" s="205">
        <v>7566</v>
      </c>
      <c r="D33" s="205">
        <v>7789</v>
      </c>
      <c r="E33" s="403"/>
      <c r="F33" s="196"/>
      <c r="G33" s="196"/>
      <c r="H33" s="196"/>
      <c r="I33" s="196"/>
      <c r="J33" s="196"/>
      <c r="K33" s="196"/>
      <c r="L33" s="196"/>
      <c r="M33" s="196"/>
      <c r="N33" s="203"/>
      <c r="O33" s="203"/>
      <c r="P33"/>
      <c r="Q33"/>
      <c r="R33"/>
    </row>
    <row r="34" spans="1:18" s="200" customFormat="1" ht="15">
      <c r="A34" s="405" t="s">
        <v>861</v>
      </c>
      <c r="B34" s="205">
        <v>7262</v>
      </c>
      <c r="C34" s="205">
        <v>7679</v>
      </c>
      <c r="D34" s="205">
        <v>8090</v>
      </c>
      <c r="E34" s="403"/>
      <c r="F34" s="196"/>
      <c r="G34" s="196"/>
      <c r="H34" s="196"/>
      <c r="I34" s="196"/>
      <c r="J34" s="196"/>
      <c r="K34" s="196"/>
      <c r="L34" s="196"/>
      <c r="M34" s="196"/>
      <c r="N34" s="203"/>
      <c r="O34" s="203"/>
      <c r="P34"/>
      <c r="Q34"/>
      <c r="R34"/>
    </row>
    <row r="35" spans="1:18" s="200" customFormat="1" ht="15">
      <c r="A35" s="204" t="s">
        <v>864</v>
      </c>
      <c r="B35" s="210">
        <f>+AVERAGE(B25:B34)</f>
        <v>7392.5</v>
      </c>
      <c r="C35" s="210">
        <f>+AVERAGE(C25:C34)</f>
        <v>7790.5</v>
      </c>
      <c r="D35" s="210">
        <f>+AVERAGE(D25:D34)</f>
        <v>8151.3</v>
      </c>
      <c r="E35" s="403"/>
      <c r="F35" s="196"/>
      <c r="G35" s="196"/>
      <c r="H35" s="196"/>
      <c r="I35" s="196"/>
      <c r="J35" s="196"/>
      <c r="K35" s="196"/>
      <c r="L35" s="196"/>
      <c r="M35" s="196"/>
      <c r="N35" s="205"/>
      <c r="O35" s="205"/>
      <c r="P35"/>
      <c r="Q35"/>
      <c r="R35"/>
    </row>
    <row r="36" spans="1:18" s="200" customFormat="1" ht="15">
      <c r="A36" s="198"/>
      <c r="B36" s="206"/>
      <c r="C36" s="206"/>
      <c r="D36" s="206"/>
      <c r="E36" s="403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/>
      <c r="Q36"/>
      <c r="R36"/>
    </row>
    <row r="37" spans="1:18" s="200" customFormat="1" ht="15">
      <c r="A37" s="198"/>
      <c r="B37" s="405" t="s">
        <v>865</v>
      </c>
      <c r="C37" s="405" t="s">
        <v>865</v>
      </c>
      <c r="D37" s="405" t="s">
        <v>865</v>
      </c>
      <c r="E37" s="403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/>
      <c r="Q37"/>
      <c r="R37"/>
    </row>
    <row r="38" spans="1:18" s="200" customFormat="1" ht="15">
      <c r="A38" s="207" t="s">
        <v>828</v>
      </c>
      <c r="B38" s="404">
        <v>45108</v>
      </c>
      <c r="C38" s="404">
        <v>45139</v>
      </c>
      <c r="D38" s="404">
        <v>45170</v>
      </c>
      <c r="E38" s="403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/>
      <c r="Q38"/>
      <c r="R38"/>
    </row>
    <row r="39" spans="1:18" s="200" customFormat="1" ht="15">
      <c r="A39" s="405" t="s">
        <v>852</v>
      </c>
      <c r="B39" s="205">
        <v>286</v>
      </c>
      <c r="C39" s="205">
        <v>509</v>
      </c>
      <c r="D39" s="205">
        <v>485</v>
      </c>
      <c r="E39" s="403"/>
      <c r="F39" s="196"/>
      <c r="G39" s="196"/>
      <c r="H39" s="196"/>
      <c r="I39" s="196"/>
      <c r="J39" s="196"/>
      <c r="K39" s="196"/>
      <c r="L39" s="196"/>
      <c r="M39" s="196"/>
      <c r="N39" s="203"/>
      <c r="O39" s="203"/>
      <c r="P39"/>
      <c r="Q39"/>
      <c r="R39"/>
    </row>
    <row r="40" spans="1:18" s="200" customFormat="1" ht="15">
      <c r="A40" s="405" t="s">
        <v>853</v>
      </c>
      <c r="B40" s="205">
        <v>311</v>
      </c>
      <c r="C40" s="205">
        <v>507</v>
      </c>
      <c r="D40" s="205">
        <v>402</v>
      </c>
      <c r="E40" s="403"/>
      <c r="F40" s="196"/>
      <c r="G40" s="196"/>
      <c r="H40" s="196"/>
      <c r="I40" s="196"/>
      <c r="J40" s="196"/>
      <c r="K40" s="196"/>
      <c r="L40" s="196"/>
      <c r="M40" s="196"/>
      <c r="N40" s="203"/>
      <c r="O40" s="203"/>
      <c r="P40"/>
      <c r="Q40"/>
      <c r="R40"/>
    </row>
    <row r="41" spans="1:18" s="200" customFormat="1">
      <c r="A41" s="405" t="s">
        <v>854</v>
      </c>
      <c r="B41" s="205">
        <v>234</v>
      </c>
      <c r="C41" s="205">
        <v>409</v>
      </c>
      <c r="D41" s="205">
        <v>410</v>
      </c>
      <c r="E41" s="403"/>
      <c r="F41" s="196"/>
      <c r="G41" s="196"/>
      <c r="H41" s="196"/>
      <c r="I41" s="196"/>
      <c r="J41" s="196"/>
      <c r="K41" s="196"/>
      <c r="L41" s="196"/>
      <c r="M41" s="196"/>
      <c r="N41" s="203"/>
      <c r="O41" s="203"/>
      <c r="P41" s="203"/>
      <c r="Q41" s="196"/>
      <c r="R41" s="196"/>
    </row>
    <row r="42" spans="1:18" s="200" customFormat="1">
      <c r="A42" s="405" t="s">
        <v>855</v>
      </c>
      <c r="B42" s="205">
        <v>265</v>
      </c>
      <c r="C42" s="205">
        <v>113</v>
      </c>
      <c r="D42" s="205">
        <v>0</v>
      </c>
      <c r="E42" s="403"/>
      <c r="F42" s="196"/>
      <c r="G42" s="196"/>
      <c r="H42" s="196"/>
      <c r="I42" s="196"/>
      <c r="J42" s="196"/>
      <c r="K42" s="196"/>
      <c r="L42" s="196"/>
      <c r="M42" s="196"/>
      <c r="N42" s="203"/>
      <c r="O42" s="203"/>
      <c r="P42" s="203"/>
      <c r="Q42" s="196"/>
      <c r="R42" s="196"/>
    </row>
    <row r="43" spans="1:18" s="200" customFormat="1">
      <c r="A43" s="405" t="s">
        <v>856</v>
      </c>
      <c r="B43" s="205">
        <v>246</v>
      </c>
      <c r="C43" s="205">
        <v>476</v>
      </c>
      <c r="D43" s="205">
        <v>400</v>
      </c>
      <c r="E43" s="403"/>
      <c r="F43" s="196"/>
      <c r="G43" s="196"/>
      <c r="H43" s="196"/>
      <c r="I43" s="196"/>
      <c r="J43" s="196"/>
      <c r="K43" s="196"/>
      <c r="L43" s="196"/>
      <c r="M43" s="196"/>
      <c r="N43" s="203"/>
      <c r="O43" s="203"/>
      <c r="P43" s="203"/>
      <c r="Q43" s="196"/>
      <c r="R43" s="196"/>
    </row>
    <row r="44" spans="1:18" s="200" customFormat="1">
      <c r="A44" s="405" t="s">
        <v>857</v>
      </c>
      <c r="B44" s="205">
        <v>71</v>
      </c>
      <c r="C44" s="205">
        <v>102</v>
      </c>
      <c r="D44" s="205">
        <v>423</v>
      </c>
      <c r="E44" s="403"/>
      <c r="F44" s="196"/>
      <c r="G44" s="196"/>
      <c r="H44" s="196"/>
      <c r="I44" s="196"/>
      <c r="J44" s="196"/>
      <c r="K44" s="196"/>
      <c r="L44" s="196"/>
      <c r="M44" s="196"/>
      <c r="N44" s="203"/>
      <c r="O44" s="203"/>
      <c r="P44" s="203"/>
      <c r="Q44" s="196"/>
      <c r="R44" s="196"/>
    </row>
    <row r="45" spans="1:18" s="200" customFormat="1">
      <c r="A45" s="405" t="s">
        <v>858</v>
      </c>
      <c r="B45" s="205">
        <v>295</v>
      </c>
      <c r="C45" s="205">
        <v>539</v>
      </c>
      <c r="D45" s="205">
        <v>407</v>
      </c>
      <c r="E45" s="403"/>
      <c r="F45" s="196"/>
      <c r="G45" s="196"/>
      <c r="H45" s="196"/>
      <c r="I45" s="196"/>
      <c r="J45" s="196"/>
      <c r="K45" s="196"/>
      <c r="L45" s="196"/>
      <c r="M45" s="196"/>
      <c r="N45" s="203"/>
      <c r="O45" s="203"/>
      <c r="P45" s="203"/>
      <c r="Q45" s="196"/>
      <c r="R45" s="196"/>
    </row>
    <row r="46" spans="1:18" s="200" customFormat="1">
      <c r="A46" s="405" t="s">
        <v>859</v>
      </c>
      <c r="B46" s="205">
        <v>304</v>
      </c>
      <c r="C46" s="205">
        <v>459</v>
      </c>
      <c r="D46" s="205">
        <v>447</v>
      </c>
      <c r="E46" s="403"/>
      <c r="F46" s="196"/>
      <c r="G46" s="196"/>
      <c r="H46" s="196"/>
      <c r="I46" s="196"/>
      <c r="J46" s="196"/>
      <c r="K46" s="196"/>
      <c r="L46" s="196"/>
      <c r="M46" s="196"/>
      <c r="N46" s="203"/>
      <c r="O46" s="203"/>
      <c r="P46" s="203"/>
      <c r="Q46" s="196"/>
      <c r="R46" s="196"/>
    </row>
    <row r="47" spans="1:18" s="200" customFormat="1">
      <c r="A47" s="405" t="s">
        <v>860</v>
      </c>
      <c r="B47" s="205">
        <v>120</v>
      </c>
      <c r="C47" s="205">
        <v>449</v>
      </c>
      <c r="D47" s="205">
        <v>223</v>
      </c>
      <c r="E47" s="403"/>
      <c r="F47" s="196"/>
      <c r="G47" s="196"/>
      <c r="H47" s="196"/>
      <c r="I47" s="196"/>
      <c r="J47" s="196"/>
      <c r="K47" s="196"/>
      <c r="L47" s="196"/>
      <c r="M47" s="196"/>
      <c r="N47" s="203"/>
      <c r="O47" s="203"/>
      <c r="P47" s="203"/>
      <c r="Q47" s="196"/>
      <c r="R47" s="196"/>
    </row>
    <row r="48" spans="1:18" s="200" customFormat="1">
      <c r="A48" s="405" t="s">
        <v>861</v>
      </c>
      <c r="B48" s="205">
        <v>206</v>
      </c>
      <c r="C48" s="205">
        <v>417</v>
      </c>
      <c r="D48" s="205">
        <v>411</v>
      </c>
      <c r="E48" s="403"/>
      <c r="F48" s="196"/>
      <c r="G48" s="196"/>
      <c r="H48" s="196"/>
      <c r="I48" s="196"/>
      <c r="J48" s="196"/>
      <c r="K48" s="196"/>
      <c r="L48" s="196"/>
      <c r="M48" s="196"/>
      <c r="N48" s="203"/>
      <c r="O48" s="203"/>
      <c r="P48" s="203"/>
      <c r="Q48" s="196"/>
      <c r="R48" s="196"/>
    </row>
    <row r="49" spans="1:20" s="200" customFormat="1">
      <c r="A49" s="208" t="s">
        <v>866</v>
      </c>
      <c r="B49" s="210">
        <f>+AVERAGE(B39:B48)</f>
        <v>233.8</v>
      </c>
      <c r="C49" s="210">
        <f>+AVERAGE(C39:C48)</f>
        <v>398</v>
      </c>
      <c r="D49" s="210">
        <f>+AVERAGE(D39:D48)</f>
        <v>360.8</v>
      </c>
      <c r="E49" s="408">
        <f>SUM(B49:D49)</f>
        <v>992.59999999999991</v>
      </c>
      <c r="F49" s="196"/>
      <c r="G49" s="196"/>
      <c r="H49" s="196"/>
      <c r="I49" s="196"/>
      <c r="J49" s="196"/>
      <c r="K49" s="196"/>
      <c r="L49" s="196"/>
      <c r="M49" s="196"/>
      <c r="N49" s="205"/>
      <c r="O49" s="205"/>
      <c r="P49" s="205"/>
      <c r="Q49" s="196"/>
      <c r="R49" s="196"/>
      <c r="S49" s="196"/>
      <c r="T49" s="196"/>
    </row>
    <row r="50" spans="1:20" s="200" customFormat="1">
      <c r="A50" s="327"/>
      <c r="B50" s="205"/>
      <c r="C50" s="205"/>
      <c r="D50" s="205"/>
      <c r="E50" s="408"/>
      <c r="F50" s="196"/>
      <c r="G50" s="196"/>
      <c r="H50" s="196"/>
      <c r="I50" s="196"/>
      <c r="J50" s="196"/>
      <c r="K50" s="196"/>
      <c r="L50" s="196"/>
      <c r="M50" s="196"/>
      <c r="N50" s="205"/>
      <c r="O50" s="205"/>
      <c r="P50" s="205"/>
      <c r="Q50" s="196"/>
      <c r="R50" s="196"/>
      <c r="S50" s="196"/>
      <c r="T50" s="196"/>
    </row>
    <row r="51" spans="1:20">
      <c r="A51" s="209" t="s">
        <v>867</v>
      </c>
      <c r="B51" s="397">
        <v>88</v>
      </c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</row>
    <row r="52" spans="1:20">
      <c r="A52" s="198"/>
      <c r="B52" s="198"/>
      <c r="C52" s="198"/>
      <c r="D52" s="198"/>
    </row>
    <row r="53" spans="1:20">
      <c r="A53" s="198"/>
      <c r="B53" s="198"/>
      <c r="C53" s="198"/>
      <c r="D53" s="198"/>
    </row>
    <row r="54" spans="1:20" ht="18.600000000000001" customHeight="1">
      <c r="A54" s="312" t="s">
        <v>868</v>
      </c>
      <c r="B54" s="404">
        <v>45108</v>
      </c>
      <c r="C54" s="404">
        <v>45139</v>
      </c>
      <c r="D54" s="404">
        <v>45170</v>
      </c>
    </row>
    <row r="55" spans="1:20">
      <c r="A55" s="308" t="s">
        <v>869</v>
      </c>
      <c r="B55" s="307"/>
      <c r="C55" s="307"/>
      <c r="D55" s="307"/>
    </row>
    <row r="56" spans="1:20">
      <c r="A56" s="308" t="s">
        <v>870</v>
      </c>
      <c r="B56" s="307"/>
      <c r="C56" s="307"/>
      <c r="D56" s="307"/>
    </row>
    <row r="57" spans="1:20">
      <c r="A57" s="308" t="s">
        <v>871</v>
      </c>
      <c r="B57" s="307">
        <f>B55+B56</f>
        <v>0</v>
      </c>
      <c r="C57" s="307">
        <f>C55+C56</f>
        <v>0</v>
      </c>
      <c r="D57" s="307">
        <f>D55+D56</f>
        <v>0</v>
      </c>
    </row>
    <row r="58" spans="1:20">
      <c r="A58" s="308" t="s">
        <v>872</v>
      </c>
      <c r="B58" s="316">
        <f>AVERAGE('G. Un GE'!B183:Y213)/$B$51</f>
        <v>0.60798635752688124</v>
      </c>
      <c r="C58" s="316">
        <f>AVERAGE('G. Un GE'!B214:Y244)/$B$51</f>
        <v>0.65427683080808074</v>
      </c>
      <c r="D58" s="316" t="e">
        <f>AVERAGE('G. Un GE'!B245:Y274)/$B$51</f>
        <v>#DIV/0!</v>
      </c>
    </row>
    <row r="59" spans="1:20">
      <c r="A59" s="308" t="s">
        <v>873</v>
      </c>
      <c r="B59" s="316">
        <f>B19</f>
        <v>0.90161290322580645</v>
      </c>
      <c r="C59" s="316">
        <f>C19</f>
        <v>0.83834005376344078</v>
      </c>
      <c r="D59" s="316">
        <f>D19</f>
        <v>0.85423611111111097</v>
      </c>
    </row>
    <row r="60" spans="1:20">
      <c r="A60" s="198"/>
      <c r="B60" s="198"/>
      <c r="C60" s="198"/>
      <c r="D60" s="198"/>
    </row>
    <row r="62" spans="1:20" ht="15" thickBot="1">
      <c r="A62" s="308" t="s">
        <v>874</v>
      </c>
      <c r="B62" s="404">
        <v>45108</v>
      </c>
      <c r="C62" s="404">
        <v>45139</v>
      </c>
      <c r="D62" s="404">
        <v>45170</v>
      </c>
    </row>
    <row r="63" spans="1:20">
      <c r="A63" s="308" t="s">
        <v>875</v>
      </c>
      <c r="B63" s="306"/>
      <c r="C63" s="306"/>
      <c r="D63" s="309"/>
    </row>
    <row r="64" spans="1:20">
      <c r="B64" s="317"/>
    </row>
    <row r="67" spans="1:20">
      <c r="A67" s="209" t="s">
        <v>876</v>
      </c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</row>
    <row r="69" spans="1:20" ht="17.45" customHeight="1">
      <c r="A69" s="310" t="s">
        <v>877</v>
      </c>
      <c r="B69" s="404">
        <v>45108</v>
      </c>
      <c r="C69" s="404">
        <v>45139</v>
      </c>
      <c r="D69" s="404">
        <v>45170</v>
      </c>
    </row>
    <row r="70" spans="1:20">
      <c r="A70" s="308" t="s">
        <v>878</v>
      </c>
      <c r="B70" s="318">
        <f>+B57-B72</f>
        <v>-181000</v>
      </c>
      <c r="C70" s="318">
        <f>+C57-C72</f>
        <v>0</v>
      </c>
      <c r="D70" s="318">
        <f>+D57-D72</f>
        <v>0</v>
      </c>
    </row>
    <row r="71" spans="1:20">
      <c r="A71" s="308" t="s">
        <v>292</v>
      </c>
      <c r="B71" s="318">
        <v>0</v>
      </c>
      <c r="C71" s="318">
        <v>0</v>
      </c>
      <c r="D71" s="318">
        <v>0</v>
      </c>
    </row>
    <row r="72" spans="1:20">
      <c r="A72" s="308" t="s">
        <v>879</v>
      </c>
      <c r="B72" s="318">
        <v>181000</v>
      </c>
      <c r="C72" s="318">
        <v>0</v>
      </c>
      <c r="D72" s="318">
        <v>0</v>
      </c>
    </row>
    <row r="73" spans="1:20">
      <c r="A73" s="308" t="s">
        <v>878</v>
      </c>
      <c r="B73" s="319" t="e">
        <f>B70/SUM(B$70:B$72)</f>
        <v>#DIV/0!</v>
      </c>
      <c r="C73" s="319" t="e">
        <f>C70/SUM(C$70:C$72)</f>
        <v>#DIV/0!</v>
      </c>
      <c r="D73" s="319" t="e">
        <f>D70/SUM(D$70:D$72)</f>
        <v>#DIV/0!</v>
      </c>
    </row>
    <row r="74" spans="1:20">
      <c r="A74" s="308" t="s">
        <v>292</v>
      </c>
      <c r="B74" s="319" t="e">
        <f t="shared" ref="B74:D75" si="0">B71/SUM(B$70:B$72)</f>
        <v>#DIV/0!</v>
      </c>
      <c r="C74" s="319" t="e">
        <f t="shared" si="0"/>
        <v>#DIV/0!</v>
      </c>
      <c r="D74" s="319" t="e">
        <f t="shared" si="0"/>
        <v>#DIV/0!</v>
      </c>
    </row>
    <row r="75" spans="1:20">
      <c r="A75" s="308" t="s">
        <v>879</v>
      </c>
      <c r="B75" s="319" t="e">
        <f t="shared" si="0"/>
        <v>#DIV/0!</v>
      </c>
      <c r="C75" s="319" t="e">
        <f t="shared" si="0"/>
        <v>#DIV/0!</v>
      </c>
      <c r="D75" s="319" t="e">
        <f t="shared" si="0"/>
        <v>#DIV/0!</v>
      </c>
    </row>
    <row r="77" spans="1:20" ht="15">
      <c r="A77" s="310" t="s">
        <v>880</v>
      </c>
      <c r="B77" s="404">
        <v>45108</v>
      </c>
      <c r="C77" s="404">
        <v>45139</v>
      </c>
      <c r="D77" s="404">
        <v>45170</v>
      </c>
    </row>
    <row r="78" spans="1:20">
      <c r="A78" s="308" t="s">
        <v>881</v>
      </c>
      <c r="B78" s="320">
        <f>SUM(B79:B82)</f>
        <v>0</v>
      </c>
      <c r="C78" s="320">
        <f>SUM(C79:C82)</f>
        <v>0</v>
      </c>
      <c r="D78" s="320">
        <f>SUM(D79:D82)</f>
        <v>0</v>
      </c>
    </row>
    <row r="79" spans="1:20">
      <c r="A79" s="313" t="s">
        <v>801</v>
      </c>
      <c r="B79" s="320"/>
      <c r="C79" s="320"/>
      <c r="D79" s="320"/>
    </row>
    <row r="80" spans="1:20">
      <c r="A80" s="313" t="s">
        <v>882</v>
      </c>
      <c r="B80" s="320"/>
      <c r="C80" s="320"/>
      <c r="D80" s="320"/>
    </row>
    <row r="81" spans="1:4">
      <c r="A81" s="313" t="s">
        <v>883</v>
      </c>
      <c r="B81" s="320"/>
      <c r="C81" s="320"/>
      <c r="D81" s="320"/>
    </row>
    <row r="82" spans="1:4">
      <c r="A82" s="313" t="s">
        <v>884</v>
      </c>
      <c r="B82" s="320"/>
      <c r="C82" s="320"/>
      <c r="D82" s="320"/>
    </row>
    <row r="83" spans="1:4">
      <c r="A83" s="314" t="s">
        <v>885</v>
      </c>
      <c r="B83" s="320">
        <v>41.8</v>
      </c>
      <c r="C83" s="320">
        <v>0</v>
      </c>
      <c r="D83" s="320">
        <v>0</v>
      </c>
    </row>
    <row r="84" spans="1:4">
      <c r="A84" s="314" t="s">
        <v>886</v>
      </c>
      <c r="B84" s="321">
        <v>0</v>
      </c>
      <c r="C84" s="321">
        <v>0</v>
      </c>
      <c r="D84" s="322">
        <v>0</v>
      </c>
    </row>
    <row r="86" spans="1:4" ht="15">
      <c r="A86" s="310" t="s">
        <v>887</v>
      </c>
      <c r="B86" s="404">
        <v>45108</v>
      </c>
      <c r="C86" s="404">
        <v>45139</v>
      </c>
      <c r="D86" s="404">
        <v>45170</v>
      </c>
    </row>
    <row r="87" spans="1:4">
      <c r="A87" s="308" t="s">
        <v>888</v>
      </c>
      <c r="B87" s="323">
        <f>+B78/B70*1000000</f>
        <v>0</v>
      </c>
      <c r="C87" s="323" t="e">
        <f>+C78/C70*1000000</f>
        <v>#DIV/0!</v>
      </c>
      <c r="D87" s="323" t="e">
        <f>+D78/D70*1000000</f>
        <v>#DIV/0!</v>
      </c>
    </row>
    <row r="88" spans="1:4">
      <c r="A88" s="308" t="s">
        <v>889</v>
      </c>
      <c r="B88" s="323">
        <f>IFERROR(B84*900*1000/B71,0)</f>
        <v>0</v>
      </c>
      <c r="C88" s="323">
        <f>IFERROR(C84*900*1000/C71,0)</f>
        <v>0</v>
      </c>
      <c r="D88" s="323">
        <f>IFERROR(D84*900*1000/D71,0)</f>
        <v>0</v>
      </c>
    </row>
    <row r="89" spans="1:4">
      <c r="A89" s="308" t="s">
        <v>890</v>
      </c>
      <c r="B89" s="323">
        <f>+IFERROR(B83*860*1000/B72,0)</f>
        <v>198.60773480662982</v>
      </c>
      <c r="C89" s="323">
        <f>+IFERROR(C83*860*1000/C72,0)</f>
        <v>0</v>
      </c>
      <c r="D89" s="323">
        <f>+IFERROR(D83*860*1000/D72,0)</f>
        <v>0</v>
      </c>
    </row>
    <row r="90" spans="1:4">
      <c r="A90" s="199" t="s">
        <v>891</v>
      </c>
    </row>
    <row r="98" spans="1:20">
      <c r="A98" s="197" t="s">
        <v>892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</row>
    <row r="100" spans="1:20" ht="15">
      <c r="A100" s="310" t="s">
        <v>893</v>
      </c>
      <c r="B100" s="404">
        <v>45017</v>
      </c>
      <c r="C100" s="404">
        <v>45047</v>
      </c>
      <c r="D100" s="404">
        <v>45078</v>
      </c>
    </row>
    <row r="101" spans="1:20">
      <c r="A101" s="330" t="s">
        <v>894</v>
      </c>
      <c r="B101" s="331"/>
      <c r="C101" s="331"/>
      <c r="D101" s="331"/>
      <c r="E101" s="198"/>
    </row>
    <row r="102" spans="1:20">
      <c r="A102" s="330" t="s">
        <v>895</v>
      </c>
      <c r="B102" s="331"/>
      <c r="C102" s="331"/>
      <c r="D102" s="331"/>
      <c r="E102" s="198"/>
    </row>
    <row r="103" spans="1:20">
      <c r="A103" s="330" t="s">
        <v>896</v>
      </c>
      <c r="B103" s="331"/>
      <c r="C103" s="331"/>
      <c r="D103" s="331"/>
      <c r="E103" s="198"/>
    </row>
    <row r="104" spans="1:20">
      <c r="A104" s="330" t="s">
        <v>897</v>
      </c>
      <c r="B104" s="331"/>
      <c r="C104" s="331"/>
      <c r="D104" s="331"/>
      <c r="E104" s="198"/>
    </row>
    <row r="105" spans="1:20">
      <c r="A105" s="330" t="s">
        <v>898</v>
      </c>
      <c r="B105" s="331"/>
      <c r="C105" s="331"/>
      <c r="D105" s="331"/>
      <c r="E105" s="198"/>
    </row>
    <row r="106" spans="1:20" ht="15">
      <c r="A106" s="332" t="s">
        <v>899</v>
      </c>
      <c r="B106" s="331">
        <f>SUM(B101:B105)</f>
        <v>0</v>
      </c>
      <c r="C106" s="331">
        <f>SUM(C101:C105)</f>
        <v>0</v>
      </c>
      <c r="D106" s="331">
        <f>SUM(D101:D105)</f>
        <v>0</v>
      </c>
      <c r="E106" s="198"/>
    </row>
    <row r="107" spans="1:20">
      <c r="E107" s="198"/>
    </row>
    <row r="108" spans="1:20">
      <c r="D108" s="324"/>
    </row>
    <row r="110" spans="1:20">
      <c r="B110" s="305"/>
      <c r="C110" s="198"/>
      <c r="E110" s="198"/>
    </row>
    <row r="111" spans="1:20">
      <c r="C111" s="198"/>
      <c r="E111" s="198"/>
    </row>
    <row r="118" spans="1:20">
      <c r="A118" s="197" t="s">
        <v>900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</row>
    <row r="120" spans="1:20" ht="15">
      <c r="A120" s="310" t="s">
        <v>901</v>
      </c>
      <c r="B120" s="404">
        <v>45017</v>
      </c>
      <c r="C120" s="404">
        <v>45047</v>
      </c>
      <c r="D120" s="404">
        <v>45078</v>
      </c>
    </row>
    <row r="121" spans="1:20">
      <c r="A121" s="308" t="s">
        <v>902</v>
      </c>
      <c r="B121" s="325"/>
      <c r="C121" s="325"/>
      <c r="D121" s="325"/>
    </row>
    <row r="122" spans="1:20">
      <c r="A122" s="308" t="s">
        <v>903</v>
      </c>
      <c r="B122" s="325"/>
      <c r="C122" s="325"/>
      <c r="D122" s="325"/>
    </row>
    <row r="123" spans="1:20">
      <c r="A123" s="308" t="s">
        <v>904</v>
      </c>
      <c r="B123" s="325"/>
      <c r="C123" s="325"/>
      <c r="D123" s="325"/>
    </row>
    <row r="124" spans="1:20">
      <c r="A124" s="308" t="s">
        <v>905</v>
      </c>
      <c r="B124" s="325"/>
      <c r="C124" s="325"/>
      <c r="D124" s="325"/>
    </row>
    <row r="125" spans="1:20">
      <c r="A125" s="308" t="s">
        <v>906</v>
      </c>
      <c r="B125" s="325"/>
      <c r="C125" s="325"/>
      <c r="D125" s="325"/>
    </row>
    <row r="126" spans="1:20" ht="15">
      <c r="A126" s="310" t="s">
        <v>907</v>
      </c>
      <c r="B126" s="325">
        <f>SUM(B121:B125)</f>
        <v>0</v>
      </c>
      <c r="C126" s="325">
        <f>SUM(C121:C125)</f>
        <v>0</v>
      </c>
      <c r="D126" s="325">
        <f>SUM(D121:D125)</f>
        <v>0</v>
      </c>
    </row>
    <row r="127" spans="1:20">
      <c r="B127" s="326" t="e">
        <f>+(B126/(B70+B71+B72))</f>
        <v>#DIV/0!</v>
      </c>
      <c r="C127" s="326" t="e">
        <f>+(C126/(C70+C71+C72))</f>
        <v>#DIV/0!</v>
      </c>
      <c r="D127" s="326" t="e">
        <f>+(D126/(D70+D71+D72))</f>
        <v>#DIV/0!</v>
      </c>
    </row>
    <row r="128" spans="1:20" ht="15">
      <c r="A128" s="311" t="s">
        <v>908</v>
      </c>
      <c r="B128" s="326"/>
      <c r="C128" s="326"/>
      <c r="D128" s="326"/>
    </row>
    <row r="129" spans="1:4" ht="15">
      <c r="A129" s="310" t="s">
        <v>909</v>
      </c>
      <c r="B129" s="325"/>
      <c r="C129" s="325"/>
      <c r="D129" s="325"/>
    </row>
    <row r="130" spans="1:4">
      <c r="A130" s="308" t="s">
        <v>910</v>
      </c>
      <c r="B130" s="325"/>
      <c r="C130" s="325"/>
      <c r="D130" s="325"/>
    </row>
    <row r="131" spans="1:4">
      <c r="A131" s="308" t="s">
        <v>911</v>
      </c>
      <c r="B131" s="325"/>
      <c r="C131" s="325"/>
      <c r="D131" s="325"/>
    </row>
    <row r="132" spans="1:4" ht="15">
      <c r="A132" s="310" t="s">
        <v>912</v>
      </c>
      <c r="B132" s="325">
        <f>SUM(B129:B131)</f>
        <v>0</v>
      </c>
      <c r="C132" s="325">
        <f>SUM(C129:C131)</f>
        <v>0</v>
      </c>
      <c r="D132" s="325">
        <f>SUM(D129:D131)</f>
        <v>0</v>
      </c>
    </row>
    <row r="133" spans="1:4">
      <c r="B133" s="326" t="e">
        <f>+B132/(B70+B71+B72)</f>
        <v>#DIV/0!</v>
      </c>
      <c r="C133" s="326" t="e">
        <f>+C132/(C70+C71+C72)</f>
        <v>#DIV/0!</v>
      </c>
      <c r="D133" s="326" t="e">
        <f>+D132/(D70+D71+D72)</f>
        <v>#DIV/0!</v>
      </c>
    </row>
    <row r="134" spans="1:4" ht="15">
      <c r="A134" s="310" t="s">
        <v>913</v>
      </c>
      <c r="B134" s="325">
        <f>B126+B132</f>
        <v>0</v>
      </c>
      <c r="C134" s="325">
        <f>C126+C132</f>
        <v>0</v>
      </c>
      <c r="D134" s="325">
        <f>D126+D132</f>
        <v>0</v>
      </c>
    </row>
    <row r="135" spans="1:4" ht="15">
      <c r="A135" s="310" t="s">
        <v>914</v>
      </c>
      <c r="B135" s="325">
        <f>+B134/(B70+B71)</f>
        <v>0</v>
      </c>
      <c r="C135" s="325" t="e">
        <f>+C134/(C70+C71)</f>
        <v>#DIV/0!</v>
      </c>
      <c r="D135" s="325" t="e">
        <f>+D134/(D70+D71)</f>
        <v>#DIV/0!</v>
      </c>
    </row>
  </sheetData>
  <mergeCells count="1">
    <mergeCell ref="E1:O3"/>
  </mergeCells>
  <pageMargins left="0.7" right="0.7" top="0.75" bottom="0.75" header="0.3" footer="0.3"/>
  <pageSetup orientation="portrait" r:id="rId1"/>
  <ignoredErrors>
    <ignoredError sqref="B49:D49" formulaRange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/>
  <dimension ref="A1:CC367"/>
  <sheetViews>
    <sheetView zoomScale="110" zoomScaleNormal="110" workbookViewId="0">
      <pane ySplit="1" topLeftCell="A167" activePane="bottomLeft" state="frozen"/>
      <selection pane="bottomLeft" activeCell="CC186" sqref="CC186"/>
    </sheetView>
  </sheetViews>
  <sheetFormatPr defaultColWidth="14.5703125" defaultRowHeight="12.75"/>
  <cols>
    <col min="1" max="1" width="10.7109375" style="2" bestFit="1" customWidth="1"/>
    <col min="2" max="2" width="10.140625" style="149" bestFit="1" customWidth="1"/>
    <col min="3" max="3" width="6" style="149" customWidth="1"/>
    <col min="4" max="4" width="9.85546875" style="149" customWidth="1"/>
    <col min="5" max="5" width="9.42578125" style="149" customWidth="1"/>
    <col min="6" max="6" width="10.140625" style="149" customWidth="1"/>
    <col min="7" max="7" width="9.5703125" style="149" customWidth="1"/>
    <col min="8" max="8" width="14" style="149" customWidth="1"/>
    <col min="9" max="9" width="8.42578125" style="149" customWidth="1"/>
    <col min="10" max="10" width="10.140625" style="149" bestFit="1" customWidth="1"/>
    <col min="11" max="11" width="6.28515625" style="149" bestFit="1" customWidth="1"/>
    <col min="12" max="12" width="10" style="149" customWidth="1"/>
    <col min="13" max="13" width="9.85546875" style="149" customWidth="1"/>
    <col min="14" max="14" width="11.5703125" style="149" customWidth="1"/>
    <col min="15" max="15" width="9.140625" style="149" customWidth="1"/>
    <col min="16" max="16" width="14.28515625" style="149" customWidth="1"/>
    <col min="17" max="17" width="8.5703125" style="149" customWidth="1"/>
    <col min="18" max="18" width="10.140625" style="149" bestFit="1" customWidth="1"/>
    <col min="19" max="19" width="6.28515625" style="149" bestFit="1" customWidth="1"/>
    <col min="20" max="20" width="9.5703125" style="149" customWidth="1"/>
    <col min="21" max="21" width="9" style="149" customWidth="1"/>
    <col min="22" max="22" width="10" style="149" customWidth="1"/>
    <col min="23" max="23" width="10.5703125" style="149" customWidth="1"/>
    <col min="24" max="24" width="14" style="149" customWidth="1"/>
    <col min="25" max="25" width="8.42578125" style="149" customWidth="1"/>
    <col min="26" max="26" width="10.140625" style="149" bestFit="1" customWidth="1"/>
    <col min="27" max="27" width="6.28515625" style="149" bestFit="1" customWidth="1"/>
    <col min="28" max="28" width="9.7109375" style="149" customWidth="1"/>
    <col min="29" max="31" width="9.42578125" style="149" customWidth="1"/>
    <col min="32" max="32" width="15" style="149" customWidth="1"/>
    <col min="33" max="33" width="8.42578125" style="149" customWidth="1"/>
    <col min="34" max="34" width="10.140625" style="149" bestFit="1" customWidth="1"/>
    <col min="35" max="35" width="6.28515625" style="149" bestFit="1" customWidth="1"/>
    <col min="36" max="36" width="10.140625" style="149" customWidth="1"/>
    <col min="37" max="37" width="9.140625" style="149" customWidth="1"/>
    <col min="38" max="38" width="9.42578125" style="149" customWidth="1"/>
    <col min="39" max="39" width="9.5703125" style="149" customWidth="1"/>
    <col min="40" max="40" width="14.140625" style="149" customWidth="1"/>
    <col min="41" max="41" width="8.5703125" style="149" customWidth="1"/>
    <col min="42" max="42" width="10.140625" style="149" bestFit="1" customWidth="1"/>
    <col min="43" max="43" width="6.28515625" style="149" bestFit="1" customWidth="1"/>
    <col min="44" max="44" width="10" style="149" customWidth="1"/>
    <col min="45" max="45" width="9.5703125" style="149" customWidth="1"/>
    <col min="46" max="47" width="9.28515625" style="149" customWidth="1"/>
    <col min="48" max="48" width="13.85546875" style="149" customWidth="1"/>
    <col min="49" max="49" width="8.42578125" style="149" customWidth="1"/>
    <col min="50" max="50" width="10.140625" style="149" bestFit="1" customWidth="1"/>
    <col min="51" max="51" width="6.28515625" style="149" bestFit="1" customWidth="1"/>
    <col min="52" max="52" width="10.28515625" style="149" customWidth="1"/>
    <col min="53" max="53" width="9.5703125" style="149" customWidth="1"/>
    <col min="54" max="54" width="9.28515625" style="149" customWidth="1"/>
    <col min="55" max="55" width="9.7109375" style="149" customWidth="1"/>
    <col min="56" max="56" width="14.140625" style="149" customWidth="1"/>
    <col min="57" max="57" width="8.7109375" style="149" customWidth="1"/>
    <col min="58" max="58" width="10.140625" style="149" bestFit="1" customWidth="1"/>
    <col min="59" max="59" width="6.28515625" style="149" bestFit="1" customWidth="1"/>
    <col min="60" max="60" width="9.5703125" style="149" customWidth="1"/>
    <col min="61" max="61" width="9.140625" style="149" customWidth="1"/>
    <col min="62" max="62" width="9.28515625" style="149" customWidth="1"/>
    <col min="63" max="63" width="9.5703125" style="149" customWidth="1"/>
    <col min="64" max="64" width="14.140625" style="149" customWidth="1"/>
    <col min="65" max="65" width="8.28515625" style="149" customWidth="1"/>
    <col min="66" max="66" width="10.140625" style="149" bestFit="1" customWidth="1"/>
    <col min="67" max="67" width="6.28515625" style="149" bestFit="1" customWidth="1"/>
    <col min="68" max="68" width="9.5703125" style="149" customWidth="1"/>
    <col min="69" max="69" width="9.42578125" style="149" customWidth="1"/>
    <col min="70" max="70" width="9.7109375" style="149" customWidth="1"/>
    <col min="71" max="71" width="9.42578125" style="149" customWidth="1"/>
    <col min="72" max="72" width="14.140625" style="149" customWidth="1"/>
    <col min="73" max="73" width="8.5703125" style="149" customWidth="1"/>
    <col min="74" max="74" width="11.140625" style="149" bestFit="1" customWidth="1"/>
    <col min="75" max="75" width="7.28515625" style="149" bestFit="1" customWidth="1"/>
    <col min="76" max="76" width="10.42578125" style="149" customWidth="1"/>
    <col min="77" max="77" width="10" style="149" customWidth="1"/>
    <col min="78" max="78" width="10.140625" style="149" customWidth="1"/>
    <col min="79" max="79" width="9.5703125" style="149" customWidth="1"/>
    <col min="80" max="80" width="16.140625" style="149" customWidth="1"/>
    <col min="81" max="81" width="9.42578125" style="149" customWidth="1"/>
    <col min="82" max="16384" width="14.5703125" style="149"/>
  </cols>
  <sheetData>
    <row r="1" spans="1:81" s="1" customFormat="1" ht="24" customHeight="1">
      <c r="A1" s="281" t="s">
        <v>26</v>
      </c>
      <c r="B1" s="282" t="s">
        <v>916</v>
      </c>
      <c r="C1" s="282" t="s">
        <v>917</v>
      </c>
      <c r="D1" s="282" t="s">
        <v>918</v>
      </c>
      <c r="E1" s="282" t="s">
        <v>919</v>
      </c>
      <c r="F1" s="282" t="s">
        <v>920</v>
      </c>
      <c r="G1" s="282" t="s">
        <v>921</v>
      </c>
      <c r="H1" s="282" t="s">
        <v>922</v>
      </c>
      <c r="I1" s="282" t="s">
        <v>923</v>
      </c>
      <c r="J1" s="283" t="s">
        <v>924</v>
      </c>
      <c r="K1" s="283" t="s">
        <v>925</v>
      </c>
      <c r="L1" s="283" t="s">
        <v>926</v>
      </c>
      <c r="M1" s="283" t="s">
        <v>927</v>
      </c>
      <c r="N1" s="283" t="s">
        <v>928</v>
      </c>
      <c r="O1" s="283" t="s">
        <v>929</v>
      </c>
      <c r="P1" s="283" t="s">
        <v>930</v>
      </c>
      <c r="Q1" s="283" t="s">
        <v>931</v>
      </c>
      <c r="R1" s="284" t="s">
        <v>932</v>
      </c>
      <c r="S1" s="284" t="s">
        <v>933</v>
      </c>
      <c r="T1" s="284" t="s">
        <v>934</v>
      </c>
      <c r="U1" s="284" t="s">
        <v>935</v>
      </c>
      <c r="V1" s="284" t="s">
        <v>936</v>
      </c>
      <c r="W1" s="284" t="s">
        <v>937</v>
      </c>
      <c r="X1" s="284" t="s">
        <v>938</v>
      </c>
      <c r="Y1" s="284" t="s">
        <v>939</v>
      </c>
      <c r="Z1" s="285" t="s">
        <v>940</v>
      </c>
      <c r="AA1" s="285" t="s">
        <v>941</v>
      </c>
      <c r="AB1" s="285" t="s">
        <v>942</v>
      </c>
      <c r="AC1" s="285" t="s">
        <v>943</v>
      </c>
      <c r="AD1" s="285" t="s">
        <v>944</v>
      </c>
      <c r="AE1" s="285" t="s">
        <v>945</v>
      </c>
      <c r="AF1" s="285" t="s">
        <v>946</v>
      </c>
      <c r="AG1" s="285" t="s">
        <v>947</v>
      </c>
      <c r="AH1" s="286" t="s">
        <v>948</v>
      </c>
      <c r="AI1" s="286" t="s">
        <v>949</v>
      </c>
      <c r="AJ1" s="286" t="s">
        <v>950</v>
      </c>
      <c r="AK1" s="286" t="s">
        <v>951</v>
      </c>
      <c r="AL1" s="286" t="s">
        <v>952</v>
      </c>
      <c r="AM1" s="286" t="s">
        <v>953</v>
      </c>
      <c r="AN1" s="286" t="s">
        <v>954</v>
      </c>
      <c r="AO1" s="286" t="s">
        <v>955</v>
      </c>
      <c r="AP1" s="287" t="s">
        <v>956</v>
      </c>
      <c r="AQ1" s="287" t="s">
        <v>957</v>
      </c>
      <c r="AR1" s="287" t="s">
        <v>958</v>
      </c>
      <c r="AS1" s="287" t="s">
        <v>959</v>
      </c>
      <c r="AT1" s="287" t="s">
        <v>960</v>
      </c>
      <c r="AU1" s="287" t="s">
        <v>961</v>
      </c>
      <c r="AV1" s="287" t="s">
        <v>962</v>
      </c>
      <c r="AW1" s="287" t="s">
        <v>963</v>
      </c>
      <c r="AX1" s="288" t="s">
        <v>964</v>
      </c>
      <c r="AY1" s="288" t="s">
        <v>965</v>
      </c>
      <c r="AZ1" s="288" t="s">
        <v>966</v>
      </c>
      <c r="BA1" s="288" t="s">
        <v>967</v>
      </c>
      <c r="BB1" s="288" t="s">
        <v>968</v>
      </c>
      <c r="BC1" s="288" t="s">
        <v>969</v>
      </c>
      <c r="BD1" s="288" t="s">
        <v>970</v>
      </c>
      <c r="BE1" s="288" t="s">
        <v>971</v>
      </c>
      <c r="BF1" s="289" t="s">
        <v>972</v>
      </c>
      <c r="BG1" s="289" t="s">
        <v>973</v>
      </c>
      <c r="BH1" s="289" t="s">
        <v>974</v>
      </c>
      <c r="BI1" s="289" t="s">
        <v>975</v>
      </c>
      <c r="BJ1" s="289" t="s">
        <v>976</v>
      </c>
      <c r="BK1" s="289" t="s">
        <v>977</v>
      </c>
      <c r="BL1" s="289" t="s">
        <v>978</v>
      </c>
      <c r="BM1" s="289" t="s">
        <v>979</v>
      </c>
      <c r="BN1" s="290" t="s">
        <v>980</v>
      </c>
      <c r="BO1" s="290" t="s">
        <v>981</v>
      </c>
      <c r="BP1" s="290" t="s">
        <v>982</v>
      </c>
      <c r="BQ1" s="290" t="s">
        <v>983</v>
      </c>
      <c r="BR1" s="290" t="s">
        <v>984</v>
      </c>
      <c r="BS1" s="290" t="s">
        <v>985</v>
      </c>
      <c r="BT1" s="290" t="s">
        <v>986</v>
      </c>
      <c r="BU1" s="290" t="s">
        <v>987</v>
      </c>
      <c r="BV1" s="291" t="s">
        <v>988</v>
      </c>
      <c r="BW1" s="291" t="s">
        <v>989</v>
      </c>
      <c r="BX1" s="291" t="s">
        <v>990</v>
      </c>
      <c r="BY1" s="291" t="s">
        <v>991</v>
      </c>
      <c r="BZ1" s="291" t="s">
        <v>992</v>
      </c>
      <c r="CA1" s="291" t="s">
        <v>993</v>
      </c>
      <c r="CB1" s="291" t="s">
        <v>994</v>
      </c>
      <c r="CC1" s="292" t="s">
        <v>995</v>
      </c>
    </row>
    <row r="2" spans="1:81">
      <c r="A2" s="279">
        <v>44927</v>
      </c>
      <c r="B2" s="272">
        <f>24-C2-D2-E2</f>
        <v>14</v>
      </c>
      <c r="C2" s="272">
        <f>IFERROR(INDEX('Horo. M'!$C$3:$C$367,MATCH(A2,'Horo. M'!$A$3:$A$367,0)),"")</f>
        <v>10</v>
      </c>
      <c r="D2" s="422">
        <v>0</v>
      </c>
      <c r="E2" s="422">
        <v>0</v>
      </c>
      <c r="F2" s="272">
        <f>24-D2-E2</f>
        <v>24</v>
      </c>
      <c r="G2" s="274">
        <f>C2/24</f>
        <v>0.41666666666666669</v>
      </c>
      <c r="H2" s="275">
        <f>(F2/24)*100%</f>
        <v>1</v>
      </c>
      <c r="I2" s="422">
        <v>71.8</v>
      </c>
      <c r="J2" s="278">
        <f>24-K2-L2-M2</f>
        <v>18</v>
      </c>
      <c r="K2" s="272">
        <f>IFERROR(INDEX('Horo. M'!$E$3:$E$367,MATCH(A2,'Horo. M'!$A$3:$A$367,0)),"")</f>
        <v>6</v>
      </c>
      <c r="L2" s="422">
        <v>0</v>
      </c>
      <c r="M2" s="422">
        <v>0</v>
      </c>
      <c r="N2" s="272">
        <f>24-L2-M2</f>
        <v>24</v>
      </c>
      <c r="O2" s="274">
        <f>K2/24</f>
        <v>0.25</v>
      </c>
      <c r="P2" s="275">
        <f>(N2/24)*100%</f>
        <v>1</v>
      </c>
      <c r="Q2" s="422">
        <v>44.2</v>
      </c>
      <c r="R2" s="278">
        <f>24-S2-T2-U2</f>
        <v>16</v>
      </c>
      <c r="S2" s="272">
        <f>IFERROR(INDEX('Horo. M'!G$3:$G$367,MATCH(A2,'Horo. M'!$A$3:$A$367,0)),"")</f>
        <v>8</v>
      </c>
      <c r="T2" s="422">
        <v>0</v>
      </c>
      <c r="U2" s="422">
        <v>0</v>
      </c>
      <c r="V2" s="272">
        <f>24-T2-U2</f>
        <v>24</v>
      </c>
      <c r="W2" s="274">
        <f>S2/24</f>
        <v>0.33333333333333331</v>
      </c>
      <c r="X2" s="275">
        <f>(V2/24)*100%</f>
        <v>1</v>
      </c>
      <c r="Y2" s="422">
        <v>61.51</v>
      </c>
      <c r="Z2" s="272">
        <f>24-AA2-AB2-AC2</f>
        <v>12</v>
      </c>
      <c r="AA2" s="272">
        <f>IFERROR(INDEX('Horo. M'!$I$3:I$367,MATCH(A2,'Horo. M'!$A$3:$A$367,0)),"")</f>
        <v>7</v>
      </c>
      <c r="AB2" s="422">
        <v>3</v>
      </c>
      <c r="AC2" s="422">
        <v>2</v>
      </c>
      <c r="AD2" s="272">
        <f>24-AB2-AC2</f>
        <v>19</v>
      </c>
      <c r="AE2" s="274">
        <f>AA2/24</f>
        <v>0.29166666666666669</v>
      </c>
      <c r="AF2" s="275">
        <f>(AD2/24)*100%</f>
        <v>0.79166666666666663</v>
      </c>
      <c r="AG2" s="422">
        <v>47.27</v>
      </c>
      <c r="AH2" s="272">
        <f>24-AI2-AJ2-AK2</f>
        <v>0</v>
      </c>
      <c r="AI2" s="272">
        <f>IFERROR(INDEX('Horo. M'!$K$3:K$367,MATCH(A2,'Horo. M'!$A$3:$A$367,0)),"")</f>
        <v>0</v>
      </c>
      <c r="AJ2" s="422">
        <v>0</v>
      </c>
      <c r="AK2" s="422">
        <v>24</v>
      </c>
      <c r="AL2" s="272">
        <f>24-AJ2-AK2</f>
        <v>0</v>
      </c>
      <c r="AM2" s="274">
        <f>AI2/24</f>
        <v>0</v>
      </c>
      <c r="AN2" s="275">
        <f>(AL2/24)*100%</f>
        <v>0</v>
      </c>
      <c r="AO2" s="422">
        <v>0</v>
      </c>
      <c r="AP2" s="272">
        <f>24-AQ2-AR2-AS2</f>
        <v>16</v>
      </c>
      <c r="AQ2" s="272">
        <f>IFERROR(INDEX('Horo. M'!$M$3:M$367,MATCH(A2,'Horo. M'!$A$3:$A$367,0)),"")</f>
        <v>8</v>
      </c>
      <c r="AR2" s="422">
        <v>0</v>
      </c>
      <c r="AS2" s="422">
        <v>0</v>
      </c>
      <c r="AT2" s="272">
        <f>24-AR2-AS2</f>
        <v>24</v>
      </c>
      <c r="AU2" s="274">
        <f>AQ2/24</f>
        <v>0.33333333333333331</v>
      </c>
      <c r="AV2" s="275">
        <f>(AT2/24)*100%</f>
        <v>1</v>
      </c>
      <c r="AW2" s="422">
        <v>63.08</v>
      </c>
      <c r="AX2" s="272">
        <f>24-AY2-AZ2-BA2</f>
        <v>16</v>
      </c>
      <c r="AY2" s="272">
        <f>IFERROR(INDEX('Horo. M'!$O$3:O$367,MATCH(A2,'Horo. M'!$A$3:$A$367,0)),"")</f>
        <v>6</v>
      </c>
      <c r="AZ2" s="422">
        <v>2</v>
      </c>
      <c r="BA2" s="422">
        <v>0</v>
      </c>
      <c r="BB2" s="272">
        <f>24-AZ2-BA2</f>
        <v>22</v>
      </c>
      <c r="BC2" s="274">
        <f>AY2/24</f>
        <v>0.25</v>
      </c>
      <c r="BD2" s="275">
        <f>(BB2/24)*100%</f>
        <v>0.91666666666666663</v>
      </c>
      <c r="BE2" s="422">
        <v>38.04</v>
      </c>
      <c r="BF2" s="272">
        <f>24-BG2-BH2-BI2</f>
        <v>12.5</v>
      </c>
      <c r="BG2" s="272">
        <f>IFERROR(INDEX('Horo. M'!$Q$3:Q$367,MATCH(A2,'Horo. M'!$A$3:$A$367,0)),"")</f>
        <v>8</v>
      </c>
      <c r="BH2" s="422">
        <v>3.5</v>
      </c>
      <c r="BI2" s="422">
        <v>0</v>
      </c>
      <c r="BJ2" s="272">
        <f>24-BH2-BI2</f>
        <v>20.5</v>
      </c>
      <c r="BK2" s="274">
        <f>BG2/24</f>
        <v>0.33333333333333331</v>
      </c>
      <c r="BL2" s="275">
        <f>(BJ2/24)*100%</f>
        <v>0.85416666666666663</v>
      </c>
      <c r="BM2" s="422">
        <v>62.39</v>
      </c>
      <c r="BN2" s="272">
        <f>24-BO2-BP2-BQ2</f>
        <v>0</v>
      </c>
      <c r="BO2" s="272">
        <f>IFERROR(INDEX('Horo. M'!$S$3:S$367,MATCH(A2,'Horo. M'!$A$3:$A$367,0)),"")</f>
        <v>0</v>
      </c>
      <c r="BP2" s="422">
        <v>0</v>
      </c>
      <c r="BQ2" s="422">
        <v>24</v>
      </c>
      <c r="BR2" s="272">
        <f>24-BP2-BQ2</f>
        <v>0</v>
      </c>
      <c r="BS2" s="274">
        <f>BO2/24</f>
        <v>0</v>
      </c>
      <c r="BT2" s="275">
        <f>(BR2/24)*100%</f>
        <v>0</v>
      </c>
      <c r="BU2" s="422">
        <v>0</v>
      </c>
      <c r="BV2" s="272">
        <f>24-BW2-BX2-BY2</f>
        <v>13.5</v>
      </c>
      <c r="BW2" s="272">
        <f>IFERROR(INDEX('Horo. M'!$U$3:U$367,MATCH(A2,'Horo. M'!$A$3:$A$367,0)),"")</f>
        <v>9</v>
      </c>
      <c r="BX2" s="422">
        <v>1.5</v>
      </c>
      <c r="BY2" s="422">
        <v>0</v>
      </c>
      <c r="BZ2" s="272">
        <f>24-BX2-BY2</f>
        <v>22.5</v>
      </c>
      <c r="CA2" s="274">
        <f>BW2/24</f>
        <v>0.375</v>
      </c>
      <c r="CB2" s="275">
        <f>(BZ2/24)*100%</f>
        <v>0.9375</v>
      </c>
      <c r="CC2" s="422">
        <v>73.17</v>
      </c>
    </row>
    <row r="3" spans="1:81">
      <c r="A3" s="279">
        <v>44928</v>
      </c>
      <c r="B3" s="278">
        <f t="shared" ref="B3:B66" si="0">24-C3-D3-E3</f>
        <v>6</v>
      </c>
      <c r="C3" s="272">
        <f>IFERROR(INDEX('Horo. M'!$C$3:$C$367,MATCH(A3,'Horo. M'!$A$3:$A$367,0)),"")</f>
        <v>18</v>
      </c>
      <c r="D3" s="422">
        <v>0</v>
      </c>
      <c r="E3" s="422">
        <v>0</v>
      </c>
      <c r="F3" s="272">
        <f t="shared" ref="F3:F66" si="1">24-D3-E3</f>
        <v>24</v>
      </c>
      <c r="G3" s="274">
        <f t="shared" ref="G3:G66" si="2">C3/24</f>
        <v>0.75</v>
      </c>
      <c r="H3" s="275">
        <f t="shared" ref="H3:H66" si="3">(F3/24)*100%</f>
        <v>1</v>
      </c>
      <c r="I3" s="422">
        <v>133.5</v>
      </c>
      <c r="J3" s="278">
        <f t="shared" ref="J3:J66" si="4">24-K3-L3-M3</f>
        <v>9</v>
      </c>
      <c r="K3" s="272">
        <f>IFERROR(INDEX('Horo. M'!$E$3:$E$367,MATCH(A3,'Horo. M'!$A$3:$A$367,0)),"")</f>
        <v>15</v>
      </c>
      <c r="L3" s="422">
        <v>0</v>
      </c>
      <c r="M3" s="422">
        <v>0</v>
      </c>
      <c r="N3" s="272">
        <f t="shared" ref="N3:N66" si="5">24-L3-M3</f>
        <v>24</v>
      </c>
      <c r="O3" s="274">
        <f t="shared" ref="O3:O66" si="6">K3/24</f>
        <v>0.625</v>
      </c>
      <c r="P3" s="275">
        <f t="shared" ref="P3:P66" si="7">(N3/24)*100%</f>
        <v>1</v>
      </c>
      <c r="Q3" s="422">
        <v>98.6</v>
      </c>
      <c r="R3" s="278">
        <f t="shared" ref="R3:R66" si="8">24-S3-T3-U3</f>
        <v>8</v>
      </c>
      <c r="S3" s="272">
        <f>IFERROR(INDEX('Horo. M'!G$3:$G$367,MATCH(A3,'Horo. M'!$A$3:$A$367,0)),"")</f>
        <v>16</v>
      </c>
      <c r="T3" s="422">
        <v>0</v>
      </c>
      <c r="U3" s="422">
        <v>0</v>
      </c>
      <c r="V3" s="272">
        <f t="shared" ref="V3:V66" si="9">24-T3-U3</f>
        <v>24</v>
      </c>
      <c r="W3" s="274">
        <f t="shared" ref="W3:W66" si="10">S3/24</f>
        <v>0.66666666666666663</v>
      </c>
      <c r="X3" s="275">
        <f t="shared" ref="X3:X66" si="11">(V3/24)*100%</f>
        <v>1</v>
      </c>
      <c r="Y3" s="422">
        <v>113.83</v>
      </c>
      <c r="Z3" s="278">
        <f t="shared" ref="Z3:Z66" si="12">24-AA3-AB3-AC3</f>
        <v>14</v>
      </c>
      <c r="AA3" s="272">
        <f>IFERROR(INDEX('Horo. M'!$I$3:I$367,MATCH(A3,'Horo. M'!$A$3:$A$367,0)),"")</f>
        <v>0</v>
      </c>
      <c r="AB3" s="422">
        <v>8</v>
      </c>
      <c r="AC3" s="422">
        <v>2</v>
      </c>
      <c r="AD3" s="272">
        <f t="shared" ref="AD3:AD66" si="13">24-AB3-AC3</f>
        <v>14</v>
      </c>
      <c r="AE3" s="274">
        <f t="shared" ref="AE3:AE66" si="14">AA3/24</f>
        <v>0</v>
      </c>
      <c r="AF3" s="275">
        <f t="shared" ref="AF3:AF66" si="15">(AD3/24)*100%</f>
        <v>0.58333333333333337</v>
      </c>
      <c r="AG3" s="422">
        <v>0</v>
      </c>
      <c r="AH3" s="272">
        <f t="shared" ref="AH3:AH66" si="16">24-AI3-AJ3-AK3</f>
        <v>0</v>
      </c>
      <c r="AI3" s="272">
        <f>IFERROR(INDEX('Horo. M'!$K$3:K$367,MATCH(A3,'Horo. M'!$A$3:$A$367,0)),"")</f>
        <v>0</v>
      </c>
      <c r="AJ3" s="422">
        <v>0</v>
      </c>
      <c r="AK3" s="422">
        <v>24</v>
      </c>
      <c r="AL3" s="272">
        <f t="shared" ref="AL3:AL66" si="17">24-AJ3-AK3</f>
        <v>0</v>
      </c>
      <c r="AM3" s="274">
        <f t="shared" ref="AM3:AM66" si="18">AI3/24</f>
        <v>0</v>
      </c>
      <c r="AN3" s="275">
        <f t="shared" ref="AN3:AN66" si="19">(AL3/24)*100%</f>
        <v>0</v>
      </c>
      <c r="AO3" s="422">
        <v>0</v>
      </c>
      <c r="AP3" s="272">
        <f t="shared" ref="AP3:AP66" si="20">24-AQ3-AR3-AS3</f>
        <v>3</v>
      </c>
      <c r="AQ3" s="272">
        <f>IFERROR(INDEX('Horo. M'!$M$3:M$367,MATCH(A3,'Horo. M'!$A$3:$A$367,0)),"")</f>
        <v>16</v>
      </c>
      <c r="AR3" s="422">
        <v>5</v>
      </c>
      <c r="AS3" s="422">
        <v>0</v>
      </c>
      <c r="AT3" s="272">
        <f t="shared" ref="AT3:AT66" si="21">24-AR3-AS3</f>
        <v>19</v>
      </c>
      <c r="AU3" s="274">
        <f t="shared" ref="AU3:AU66" si="22">AQ3/24</f>
        <v>0.66666666666666663</v>
      </c>
      <c r="AV3" s="275">
        <f t="shared" ref="AV3:AV66" si="23">(AT3/24)*100%</f>
        <v>0.79166666666666663</v>
      </c>
      <c r="AW3" s="422">
        <v>113.12</v>
      </c>
      <c r="AX3" s="272">
        <f t="shared" ref="AX3:AX66" si="24">24-AY3-AZ3-BA3</f>
        <v>10</v>
      </c>
      <c r="AY3" s="272">
        <f>IFERROR(INDEX('Horo. M'!$O$3:O$367,MATCH(A3,'Horo. M'!$A$3:$A$367,0)),"")</f>
        <v>14</v>
      </c>
      <c r="AZ3" s="422">
        <v>0</v>
      </c>
      <c r="BA3" s="422">
        <v>0</v>
      </c>
      <c r="BB3" s="272">
        <f t="shared" ref="BB3:BB66" si="25">24-AZ3-BA3</f>
        <v>24</v>
      </c>
      <c r="BC3" s="274">
        <f t="shared" ref="BC3:BC66" si="26">AY3/24</f>
        <v>0.58333333333333337</v>
      </c>
      <c r="BD3" s="275">
        <f t="shared" ref="BD3:BD66" si="27">(BB3/24)*100%</f>
        <v>1</v>
      </c>
      <c r="BE3" s="422">
        <v>100.66</v>
      </c>
      <c r="BF3" s="272">
        <f t="shared" ref="BF3:BF66" si="28">24-BG3-BH3-BI3</f>
        <v>7</v>
      </c>
      <c r="BG3" s="272">
        <f>IFERROR(INDEX('Horo. M'!$Q$3:Q$367,MATCH(A3,'Horo. M'!$A$3:$A$367,0)),"")</f>
        <v>17</v>
      </c>
      <c r="BH3" s="422">
        <v>0</v>
      </c>
      <c r="BI3" s="422">
        <v>0</v>
      </c>
      <c r="BJ3" s="272">
        <f t="shared" ref="BJ3:BJ66" si="29">24-BH3-BI3</f>
        <v>24</v>
      </c>
      <c r="BK3" s="274">
        <f t="shared" ref="BK3:BK66" si="30">BG3/24</f>
        <v>0.70833333333333337</v>
      </c>
      <c r="BL3" s="275">
        <f t="shared" ref="BL3:BL66" si="31">(BJ3/24)*100%</f>
        <v>1</v>
      </c>
      <c r="BM3" s="422">
        <v>116.72</v>
      </c>
      <c r="BN3" s="272">
        <f t="shared" ref="BN3:BN66" si="32">24-BO3-BP3-BQ3</f>
        <v>9</v>
      </c>
      <c r="BO3" s="272">
        <f>IFERROR(INDEX('Horo. M'!$S$3:S$367,MATCH(A3,'Horo. M'!$A$3:$A$367,0)),"")</f>
        <v>15</v>
      </c>
      <c r="BP3" s="422">
        <v>0</v>
      </c>
      <c r="BQ3" s="422">
        <v>0</v>
      </c>
      <c r="BR3" s="272">
        <f t="shared" ref="BR3:BR66" si="33">24-BP3-BQ3</f>
        <v>24</v>
      </c>
      <c r="BS3" s="274">
        <f t="shared" ref="BS3:BS66" si="34">BO3/24</f>
        <v>0.625</v>
      </c>
      <c r="BT3" s="275">
        <f t="shared" ref="BT3:BT66" si="35">(BR3/24)*100%</f>
        <v>1</v>
      </c>
      <c r="BU3" s="422">
        <v>111</v>
      </c>
      <c r="BV3" s="272">
        <f t="shared" ref="BV3:BV66" si="36">24-BW3-BX3-BY3</f>
        <v>6</v>
      </c>
      <c r="BW3" s="272">
        <f>IFERROR(INDEX('Horo. M'!$U$3:U$367,MATCH(A3,'Horo. M'!$A$3:$A$367,0)),"")</f>
        <v>18</v>
      </c>
      <c r="BX3" s="422">
        <v>0</v>
      </c>
      <c r="BY3" s="422">
        <v>0</v>
      </c>
      <c r="BZ3" s="272">
        <f t="shared" ref="BZ3:BZ66" si="37">24-BX3-BY3</f>
        <v>24</v>
      </c>
      <c r="CA3" s="274">
        <f t="shared" ref="CA3:CA66" si="38">BW3/24</f>
        <v>0.75</v>
      </c>
      <c r="CB3" s="275">
        <f>(BZ3/24)*100%</f>
        <v>1</v>
      </c>
      <c r="CC3" s="422">
        <v>133.16999999999999</v>
      </c>
    </row>
    <row r="4" spans="1:81">
      <c r="A4" s="279">
        <v>44929</v>
      </c>
      <c r="B4" s="278">
        <f t="shared" si="0"/>
        <v>0</v>
      </c>
      <c r="C4" s="272">
        <f>IFERROR(INDEX('Horo. M'!$C$3:$C$367,MATCH(A4,'Horo. M'!$A$3:$A$367,0)),"")</f>
        <v>24</v>
      </c>
      <c r="D4" s="422">
        <v>0</v>
      </c>
      <c r="E4" s="422">
        <v>0</v>
      </c>
      <c r="F4" s="272">
        <f t="shared" si="1"/>
        <v>24</v>
      </c>
      <c r="G4" s="274">
        <f t="shared" si="2"/>
        <v>1</v>
      </c>
      <c r="H4" s="275">
        <f t="shared" si="3"/>
        <v>1</v>
      </c>
      <c r="I4" s="422">
        <v>185.6</v>
      </c>
      <c r="J4" s="278">
        <f t="shared" si="4"/>
        <v>8</v>
      </c>
      <c r="K4" s="272">
        <f>IFERROR(INDEX('Horo. M'!$E$3:$E$367,MATCH(A4,'Horo. M'!$A$3:$A$367,0)),"")</f>
        <v>16</v>
      </c>
      <c r="L4" s="422">
        <v>0</v>
      </c>
      <c r="M4" s="422">
        <v>0</v>
      </c>
      <c r="N4" s="272">
        <f t="shared" si="5"/>
        <v>24</v>
      </c>
      <c r="O4" s="274">
        <f t="shared" si="6"/>
        <v>0.66666666666666663</v>
      </c>
      <c r="P4" s="275">
        <f t="shared" si="7"/>
        <v>1</v>
      </c>
      <c r="Q4" s="422">
        <v>116.1</v>
      </c>
      <c r="R4" s="278">
        <f t="shared" si="8"/>
        <v>0</v>
      </c>
      <c r="S4" s="272">
        <f>IFERROR(INDEX('Horo. M'!G$3:$G$367,MATCH(A4,'Horo. M'!$A$3:$A$367,0)),"")</f>
        <v>24</v>
      </c>
      <c r="T4" s="422">
        <v>0</v>
      </c>
      <c r="U4" s="422">
        <v>0</v>
      </c>
      <c r="V4" s="272">
        <f t="shared" si="9"/>
        <v>24</v>
      </c>
      <c r="W4" s="274">
        <f t="shared" si="10"/>
        <v>1</v>
      </c>
      <c r="X4" s="275">
        <f t="shared" si="11"/>
        <v>1</v>
      </c>
      <c r="Y4" s="422">
        <v>184.42</v>
      </c>
      <c r="Z4" s="278">
        <f t="shared" si="12"/>
        <v>10</v>
      </c>
      <c r="AA4" s="272">
        <f>IFERROR(INDEX('Horo. M'!$I$3:I$367,MATCH(A4,'Horo. M'!$A$3:$A$367,0)),"")</f>
        <v>14</v>
      </c>
      <c r="AB4" s="422">
        <v>0</v>
      </c>
      <c r="AC4" s="422">
        <v>0</v>
      </c>
      <c r="AD4" s="272">
        <f t="shared" si="13"/>
        <v>24</v>
      </c>
      <c r="AE4" s="274">
        <f t="shared" si="14"/>
        <v>0.58333333333333337</v>
      </c>
      <c r="AF4" s="275">
        <f t="shared" si="15"/>
        <v>1</v>
      </c>
      <c r="AG4" s="422">
        <v>94.47</v>
      </c>
      <c r="AH4" s="272">
        <f t="shared" si="16"/>
        <v>0</v>
      </c>
      <c r="AI4" s="272">
        <f>IFERROR(INDEX('Horo. M'!$K$3:K$367,MATCH(A4,'Horo. M'!$A$3:$A$367,0)),"")</f>
        <v>0</v>
      </c>
      <c r="AJ4" s="422">
        <v>0</v>
      </c>
      <c r="AK4" s="422">
        <v>24</v>
      </c>
      <c r="AL4" s="272">
        <f t="shared" si="17"/>
        <v>0</v>
      </c>
      <c r="AM4" s="274">
        <f t="shared" si="18"/>
        <v>0</v>
      </c>
      <c r="AN4" s="275">
        <f t="shared" si="19"/>
        <v>0</v>
      </c>
      <c r="AO4" s="422">
        <v>0</v>
      </c>
      <c r="AP4" s="272">
        <f t="shared" si="20"/>
        <v>0</v>
      </c>
      <c r="AQ4" s="272">
        <f>IFERROR(INDEX('Horo. M'!$M$3:M$367,MATCH(A4,'Horo. M'!$A$3:$A$367,0)),"")</f>
        <v>24</v>
      </c>
      <c r="AR4" s="422">
        <v>0</v>
      </c>
      <c r="AS4" s="422">
        <v>0</v>
      </c>
      <c r="AT4" s="272">
        <f t="shared" si="21"/>
        <v>24</v>
      </c>
      <c r="AU4" s="274">
        <f t="shared" si="22"/>
        <v>1</v>
      </c>
      <c r="AV4" s="275">
        <f t="shared" si="23"/>
        <v>1</v>
      </c>
      <c r="AW4" s="422">
        <v>186.61</v>
      </c>
      <c r="AX4" s="272">
        <f t="shared" si="24"/>
        <v>12</v>
      </c>
      <c r="AY4" s="272">
        <f>IFERROR(INDEX('Horo. M'!$O$3:O$367,MATCH(A4,'Horo. M'!$A$3:$A$367,0)),"")</f>
        <v>0</v>
      </c>
      <c r="AZ4" s="422">
        <v>12</v>
      </c>
      <c r="BA4" s="422">
        <v>0</v>
      </c>
      <c r="BB4" s="272">
        <f t="shared" si="25"/>
        <v>12</v>
      </c>
      <c r="BC4" s="274">
        <f t="shared" si="26"/>
        <v>0</v>
      </c>
      <c r="BD4" s="275">
        <f t="shared" si="27"/>
        <v>0.5</v>
      </c>
      <c r="BE4" s="422">
        <v>0.11</v>
      </c>
      <c r="BF4" s="272">
        <f t="shared" si="28"/>
        <v>0</v>
      </c>
      <c r="BG4" s="272">
        <f>IFERROR(INDEX('Horo. M'!$Q$3:Q$367,MATCH(A4,'Horo. M'!$A$3:$A$367,0)),"")</f>
        <v>24</v>
      </c>
      <c r="BH4" s="422">
        <v>0</v>
      </c>
      <c r="BI4" s="422">
        <v>0</v>
      </c>
      <c r="BJ4" s="272">
        <f t="shared" si="29"/>
        <v>24</v>
      </c>
      <c r="BK4" s="274">
        <f t="shared" si="30"/>
        <v>1</v>
      </c>
      <c r="BL4" s="275">
        <f t="shared" si="31"/>
        <v>1</v>
      </c>
      <c r="BM4" s="422">
        <v>186.07</v>
      </c>
      <c r="BN4" s="272">
        <f t="shared" si="32"/>
        <v>0</v>
      </c>
      <c r="BO4" s="272">
        <f>IFERROR(INDEX('Horo. M'!$S$3:S$367,MATCH(A4,'Horo. M'!$A$3:$A$367,0)),"")</f>
        <v>24</v>
      </c>
      <c r="BP4" s="422">
        <v>0</v>
      </c>
      <c r="BQ4" s="422">
        <v>0</v>
      </c>
      <c r="BR4" s="272">
        <f t="shared" si="33"/>
        <v>24</v>
      </c>
      <c r="BS4" s="274">
        <f t="shared" si="34"/>
        <v>1</v>
      </c>
      <c r="BT4" s="275">
        <f t="shared" si="35"/>
        <v>1</v>
      </c>
      <c r="BU4" s="422">
        <v>187.52</v>
      </c>
      <c r="BV4" s="272">
        <f t="shared" si="36"/>
        <v>0</v>
      </c>
      <c r="BW4" s="272">
        <f>IFERROR(INDEX('Horo. M'!$U$3:U$367,MATCH(A4,'Horo. M'!$A$3:$A$367,0)),"")</f>
        <v>24</v>
      </c>
      <c r="BX4" s="422">
        <v>0</v>
      </c>
      <c r="BY4" s="422">
        <v>0</v>
      </c>
      <c r="BZ4" s="272">
        <f t="shared" si="37"/>
        <v>24</v>
      </c>
      <c r="CA4" s="274">
        <f t="shared" si="38"/>
        <v>1</v>
      </c>
      <c r="CB4" s="275">
        <f>(BZ4/24)*100%</f>
        <v>1</v>
      </c>
      <c r="CC4" s="422">
        <v>185.99</v>
      </c>
    </row>
    <row r="5" spans="1:81">
      <c r="A5" s="279">
        <v>44930</v>
      </c>
      <c r="B5" s="278">
        <f t="shared" si="0"/>
        <v>0</v>
      </c>
      <c r="C5" s="272">
        <f>IFERROR(INDEX('Horo. M'!$C$3:$C$367,MATCH(A5,'Horo. M'!$A$3:$A$367,0)),"")</f>
        <v>24</v>
      </c>
      <c r="D5" s="422">
        <v>0</v>
      </c>
      <c r="E5" s="422">
        <v>0</v>
      </c>
      <c r="F5" s="272">
        <f t="shared" si="1"/>
        <v>24</v>
      </c>
      <c r="G5" s="274">
        <f t="shared" si="2"/>
        <v>1</v>
      </c>
      <c r="H5" s="275">
        <f t="shared" si="3"/>
        <v>1</v>
      </c>
      <c r="I5" s="422">
        <v>185.1</v>
      </c>
      <c r="J5" s="278">
        <f t="shared" si="4"/>
        <v>1</v>
      </c>
      <c r="K5" s="272">
        <f>IFERROR(INDEX('Horo. M'!$E$3:$E$367,MATCH(A5,'Horo. M'!$A$3:$A$367,0)),"")</f>
        <v>23</v>
      </c>
      <c r="L5" s="422">
        <v>0</v>
      </c>
      <c r="M5" s="422">
        <v>0</v>
      </c>
      <c r="N5" s="272">
        <f t="shared" si="5"/>
        <v>24</v>
      </c>
      <c r="O5" s="274">
        <f t="shared" si="6"/>
        <v>0.95833333333333337</v>
      </c>
      <c r="P5" s="275">
        <f t="shared" si="7"/>
        <v>1</v>
      </c>
      <c r="Q5" s="422">
        <v>178.5</v>
      </c>
      <c r="R5" s="278">
        <f t="shared" si="8"/>
        <v>0</v>
      </c>
      <c r="S5" s="272">
        <f>IFERROR(INDEX('Horo. M'!G$3:$G$367,MATCH(A5,'Horo. M'!$A$3:$A$367,0)),"")</f>
        <v>24</v>
      </c>
      <c r="T5" s="422">
        <v>0</v>
      </c>
      <c r="U5" s="422">
        <v>0</v>
      </c>
      <c r="V5" s="272">
        <f t="shared" si="9"/>
        <v>24</v>
      </c>
      <c r="W5" s="274">
        <f t="shared" si="10"/>
        <v>1</v>
      </c>
      <c r="X5" s="275">
        <f t="shared" si="11"/>
        <v>1</v>
      </c>
      <c r="Y5" s="422">
        <v>184.18</v>
      </c>
      <c r="Z5" s="278">
        <f t="shared" si="12"/>
        <v>0</v>
      </c>
      <c r="AA5" s="272">
        <f>IFERROR(INDEX('Horo. M'!$I$3:I$367,MATCH(A5,'Horo. M'!$A$3:$A$367,0)),"")</f>
        <v>14</v>
      </c>
      <c r="AB5" s="422">
        <v>0</v>
      </c>
      <c r="AC5" s="422">
        <v>10</v>
      </c>
      <c r="AD5" s="272">
        <f t="shared" si="13"/>
        <v>14</v>
      </c>
      <c r="AE5" s="274">
        <f t="shared" si="14"/>
        <v>0.58333333333333337</v>
      </c>
      <c r="AF5" s="275">
        <f t="shared" si="15"/>
        <v>0.58333333333333337</v>
      </c>
      <c r="AG5" s="422">
        <v>72.8</v>
      </c>
      <c r="AH5" s="272">
        <f t="shared" si="16"/>
        <v>0</v>
      </c>
      <c r="AI5" s="272">
        <f>IFERROR(INDEX('Horo. M'!$K$3:K$367,MATCH(A5,'Horo. M'!$A$3:$A$367,0)),"")</f>
        <v>0</v>
      </c>
      <c r="AJ5" s="422">
        <v>0</v>
      </c>
      <c r="AK5" s="422">
        <v>24</v>
      </c>
      <c r="AL5" s="272">
        <f t="shared" si="17"/>
        <v>0</v>
      </c>
      <c r="AM5" s="274">
        <f t="shared" si="18"/>
        <v>0</v>
      </c>
      <c r="AN5" s="275">
        <f t="shared" si="19"/>
        <v>0</v>
      </c>
      <c r="AO5" s="422">
        <v>0</v>
      </c>
      <c r="AP5" s="272">
        <f t="shared" si="20"/>
        <v>12</v>
      </c>
      <c r="AQ5" s="272">
        <f>IFERROR(INDEX('Horo. M'!$M$3:M$367,MATCH(A5,'Horo. M'!$A$3:$A$367,0)),"")</f>
        <v>0</v>
      </c>
      <c r="AR5" s="422">
        <v>0</v>
      </c>
      <c r="AS5" s="422">
        <v>12</v>
      </c>
      <c r="AT5" s="272">
        <f t="shared" si="21"/>
        <v>12</v>
      </c>
      <c r="AU5" s="274">
        <f t="shared" si="22"/>
        <v>0</v>
      </c>
      <c r="AV5" s="275">
        <f t="shared" si="23"/>
        <v>0.5</v>
      </c>
      <c r="AW5" s="422">
        <v>7.0000000000000007E-2</v>
      </c>
      <c r="AX5" s="272">
        <f t="shared" si="24"/>
        <v>3</v>
      </c>
      <c r="AY5" s="272">
        <f>IFERROR(INDEX('Horo. M'!$O$3:O$367,MATCH(A5,'Horo. M'!$A$3:$A$367,0)),"")</f>
        <v>21</v>
      </c>
      <c r="AZ5" s="422">
        <v>0</v>
      </c>
      <c r="BA5" s="422">
        <v>0</v>
      </c>
      <c r="BB5" s="272">
        <f t="shared" si="25"/>
        <v>24</v>
      </c>
      <c r="BC5" s="274">
        <f t="shared" si="26"/>
        <v>0.875</v>
      </c>
      <c r="BD5" s="275">
        <f t="shared" si="27"/>
        <v>1</v>
      </c>
      <c r="BE5" s="422">
        <v>149.9</v>
      </c>
      <c r="BF5" s="272">
        <f t="shared" si="28"/>
        <v>0</v>
      </c>
      <c r="BG5" s="272">
        <f>IFERROR(INDEX('Horo. M'!$Q$3:Q$367,MATCH(A5,'Horo. M'!$A$3:$A$367,0)),"")</f>
        <v>24</v>
      </c>
      <c r="BH5" s="422">
        <v>0</v>
      </c>
      <c r="BI5" s="422">
        <v>0</v>
      </c>
      <c r="BJ5" s="272">
        <f t="shared" si="29"/>
        <v>24</v>
      </c>
      <c r="BK5" s="274">
        <f t="shared" si="30"/>
        <v>1</v>
      </c>
      <c r="BL5" s="275">
        <f t="shared" si="31"/>
        <v>1</v>
      </c>
      <c r="BM5" s="422">
        <v>187.96</v>
      </c>
      <c r="BN5" s="272">
        <f t="shared" si="32"/>
        <v>0</v>
      </c>
      <c r="BO5" s="272">
        <f>IFERROR(INDEX('Horo. M'!$S$3:S$367,MATCH(A5,'Horo. M'!$A$3:$A$367,0)),"")</f>
        <v>24</v>
      </c>
      <c r="BP5" s="422">
        <v>0</v>
      </c>
      <c r="BQ5" s="422">
        <v>0</v>
      </c>
      <c r="BR5" s="272">
        <f t="shared" si="33"/>
        <v>24</v>
      </c>
      <c r="BS5" s="274">
        <f t="shared" si="34"/>
        <v>1</v>
      </c>
      <c r="BT5" s="275">
        <f t="shared" si="35"/>
        <v>1</v>
      </c>
      <c r="BU5" s="422">
        <v>189.66</v>
      </c>
      <c r="BV5" s="272">
        <f t="shared" si="36"/>
        <v>0</v>
      </c>
      <c r="BW5" s="272">
        <f>IFERROR(INDEX('Horo. M'!$U$3:U$367,MATCH(A5,'Horo. M'!$A$3:$A$367,0)),"")</f>
        <v>24</v>
      </c>
      <c r="BX5" s="422">
        <v>0</v>
      </c>
      <c r="BY5" s="422">
        <v>0</v>
      </c>
      <c r="BZ5" s="272">
        <f t="shared" si="37"/>
        <v>24</v>
      </c>
      <c r="CA5" s="274">
        <f t="shared" si="38"/>
        <v>1</v>
      </c>
      <c r="CB5" s="275">
        <f>(BZ5/24)*100%</f>
        <v>1</v>
      </c>
      <c r="CC5" s="422">
        <v>186.47</v>
      </c>
    </row>
    <row r="6" spans="1:81">
      <c r="A6" s="279">
        <v>44931</v>
      </c>
      <c r="B6" s="278">
        <f t="shared" si="0"/>
        <v>0</v>
      </c>
      <c r="C6" s="272">
        <f>IFERROR(INDEX('Horo. M'!$C$3:$C$367,MATCH(A6,'Horo. M'!$A$3:$A$367,0)),"")</f>
        <v>24</v>
      </c>
      <c r="D6" s="422">
        <v>0</v>
      </c>
      <c r="E6" s="422">
        <v>0</v>
      </c>
      <c r="F6" s="272">
        <f t="shared" si="1"/>
        <v>24</v>
      </c>
      <c r="G6" s="274">
        <f t="shared" si="2"/>
        <v>1</v>
      </c>
      <c r="H6" s="275">
        <f t="shared" si="3"/>
        <v>1</v>
      </c>
      <c r="I6" s="422">
        <v>201.9</v>
      </c>
      <c r="J6" s="278">
        <f t="shared" si="4"/>
        <v>0</v>
      </c>
      <c r="K6" s="272">
        <f>IFERROR(INDEX('Horo. M'!$E$3:$E$367,MATCH(A6,'Horo. M'!$A$3:$A$367,0)),"")</f>
        <v>24</v>
      </c>
      <c r="L6" s="422">
        <v>0</v>
      </c>
      <c r="M6" s="422">
        <v>0</v>
      </c>
      <c r="N6" s="272">
        <f t="shared" si="5"/>
        <v>24</v>
      </c>
      <c r="O6" s="274">
        <f t="shared" si="6"/>
        <v>1</v>
      </c>
      <c r="P6" s="275">
        <f t="shared" si="7"/>
        <v>1</v>
      </c>
      <c r="Q6" s="422">
        <v>200.7</v>
      </c>
      <c r="R6" s="278">
        <f t="shared" si="8"/>
        <v>0</v>
      </c>
      <c r="S6" s="272">
        <f>IFERROR(INDEX('Horo. M'!G$3:$G$367,MATCH(A6,'Horo. M'!$A$3:$A$367,0)),"")</f>
        <v>24</v>
      </c>
      <c r="T6" s="422">
        <v>0</v>
      </c>
      <c r="U6" s="422">
        <v>0</v>
      </c>
      <c r="V6" s="272">
        <f t="shared" si="9"/>
        <v>24</v>
      </c>
      <c r="W6" s="274">
        <f t="shared" si="10"/>
        <v>1</v>
      </c>
      <c r="X6" s="275">
        <f t="shared" si="11"/>
        <v>1</v>
      </c>
      <c r="Y6" s="422">
        <v>202.52</v>
      </c>
      <c r="Z6" s="278">
        <f t="shared" si="12"/>
        <v>6</v>
      </c>
      <c r="AA6" s="272">
        <f>IFERROR(INDEX('Horo. M'!$I$3:I$367,MATCH(A6,'Horo. M'!$A$3:$A$367,0)),"")</f>
        <v>18</v>
      </c>
      <c r="AB6" s="422">
        <v>0</v>
      </c>
      <c r="AC6" s="422">
        <v>0</v>
      </c>
      <c r="AD6" s="272">
        <f t="shared" si="13"/>
        <v>24</v>
      </c>
      <c r="AE6" s="274">
        <f t="shared" si="14"/>
        <v>0.75</v>
      </c>
      <c r="AF6" s="275">
        <f t="shared" si="15"/>
        <v>1</v>
      </c>
      <c r="AG6" s="422">
        <v>55.54</v>
      </c>
      <c r="AH6" s="272">
        <f t="shared" si="16"/>
        <v>0</v>
      </c>
      <c r="AI6" s="272">
        <f>IFERROR(INDEX('Horo. M'!$K$3:K$367,MATCH(A6,'Horo. M'!$A$3:$A$367,0)),"")</f>
        <v>0</v>
      </c>
      <c r="AJ6" s="422">
        <v>0</v>
      </c>
      <c r="AK6" s="422">
        <v>24</v>
      </c>
      <c r="AL6" s="272">
        <f t="shared" si="17"/>
        <v>0</v>
      </c>
      <c r="AM6" s="274">
        <f t="shared" si="18"/>
        <v>0</v>
      </c>
      <c r="AN6" s="275">
        <f t="shared" si="19"/>
        <v>0</v>
      </c>
      <c r="AO6" s="422">
        <v>0</v>
      </c>
      <c r="AP6" s="272">
        <f t="shared" si="20"/>
        <v>6</v>
      </c>
      <c r="AQ6" s="272">
        <f>IFERROR(INDEX('Horo. M'!$M$3:M$367,MATCH(A6,'Horo. M'!$A$3:$A$367,0)),"")</f>
        <v>18</v>
      </c>
      <c r="AR6" s="422">
        <v>0</v>
      </c>
      <c r="AS6" s="422">
        <v>0</v>
      </c>
      <c r="AT6" s="272">
        <f t="shared" si="21"/>
        <v>24</v>
      </c>
      <c r="AU6" s="274">
        <f t="shared" si="22"/>
        <v>0.75</v>
      </c>
      <c r="AV6" s="275">
        <f t="shared" si="23"/>
        <v>1</v>
      </c>
      <c r="AW6" s="422">
        <v>55.95</v>
      </c>
      <c r="AX6" s="272">
        <f t="shared" si="24"/>
        <v>0</v>
      </c>
      <c r="AY6" s="272">
        <f>IFERROR(INDEX('Horo. M'!$O$3:O$367,MATCH(A6,'Horo. M'!$A$3:$A$367,0)),"")</f>
        <v>24</v>
      </c>
      <c r="AZ6" s="422">
        <v>0</v>
      </c>
      <c r="BA6" s="422">
        <v>0</v>
      </c>
      <c r="BB6" s="272">
        <f t="shared" si="25"/>
        <v>24</v>
      </c>
      <c r="BC6" s="274">
        <f t="shared" si="26"/>
        <v>1</v>
      </c>
      <c r="BD6" s="275">
        <f t="shared" si="27"/>
        <v>1</v>
      </c>
      <c r="BE6" s="422">
        <v>203.78</v>
      </c>
      <c r="BF6" s="272">
        <f t="shared" si="28"/>
        <v>0</v>
      </c>
      <c r="BG6" s="272">
        <f>IFERROR(INDEX('Horo. M'!$Q$3:Q$367,MATCH(A6,'Horo. M'!$A$3:$A$367,0)),"")</f>
        <v>24</v>
      </c>
      <c r="BH6" s="422">
        <v>0</v>
      </c>
      <c r="BI6" s="422">
        <v>0</v>
      </c>
      <c r="BJ6" s="272">
        <f t="shared" si="29"/>
        <v>24</v>
      </c>
      <c r="BK6" s="274">
        <f t="shared" si="30"/>
        <v>1</v>
      </c>
      <c r="BL6" s="275">
        <f t="shared" si="31"/>
        <v>1</v>
      </c>
      <c r="BM6" s="422">
        <v>201.17</v>
      </c>
      <c r="BN6" s="272">
        <f t="shared" si="32"/>
        <v>0</v>
      </c>
      <c r="BO6" s="272">
        <f>IFERROR(INDEX('Horo. M'!$S$3:S$367,MATCH(A6,'Horo. M'!$A$3:$A$367,0)),"")</f>
        <v>0</v>
      </c>
      <c r="BP6" s="422">
        <v>12</v>
      </c>
      <c r="BQ6" s="422">
        <v>12</v>
      </c>
      <c r="BR6" s="272">
        <f t="shared" si="33"/>
        <v>0</v>
      </c>
      <c r="BS6" s="274">
        <f t="shared" si="34"/>
        <v>0</v>
      </c>
      <c r="BT6" s="275">
        <f t="shared" si="35"/>
        <v>0</v>
      </c>
      <c r="BU6" s="422">
        <v>0</v>
      </c>
      <c r="BV6" s="272">
        <f t="shared" si="36"/>
        <v>0</v>
      </c>
      <c r="BW6" s="272">
        <f>IFERROR(INDEX('Horo. M'!$U$3:U$367,MATCH(A6,'Horo. M'!$A$3:$A$367,0)),"")</f>
        <v>24</v>
      </c>
      <c r="BX6" s="422">
        <v>0</v>
      </c>
      <c r="BY6" s="422">
        <v>0</v>
      </c>
      <c r="BZ6" s="272">
        <f t="shared" si="37"/>
        <v>24</v>
      </c>
      <c r="CA6" s="274">
        <f t="shared" si="38"/>
        <v>1</v>
      </c>
      <c r="CB6" s="275">
        <f>(BZ6/24)*100%</f>
        <v>1</v>
      </c>
      <c r="CC6" s="422">
        <v>197.53</v>
      </c>
    </row>
    <row r="7" spans="1:81">
      <c r="A7" s="279">
        <v>44932</v>
      </c>
      <c r="B7" s="278">
        <f t="shared" si="0"/>
        <v>0</v>
      </c>
      <c r="C7" s="272">
        <f>IFERROR(INDEX('Horo. M'!$C$3:$C$367,MATCH(A7,'Horo. M'!$A$3:$A$367,0)),"")</f>
        <v>24</v>
      </c>
      <c r="D7" s="422">
        <v>0</v>
      </c>
      <c r="E7" s="422">
        <v>0</v>
      </c>
      <c r="F7" s="272">
        <f t="shared" si="1"/>
        <v>24</v>
      </c>
      <c r="G7" s="274">
        <f t="shared" si="2"/>
        <v>1</v>
      </c>
      <c r="H7" s="275">
        <f t="shared" si="3"/>
        <v>1</v>
      </c>
      <c r="I7" s="422">
        <v>194.1</v>
      </c>
      <c r="J7" s="278">
        <f t="shared" si="4"/>
        <v>0</v>
      </c>
      <c r="K7" s="272">
        <f>IFERROR(INDEX('Horo. M'!$E$3:$E$367,MATCH(A7,'Horo. M'!$A$3:$A$367,0)),"")</f>
        <v>24</v>
      </c>
      <c r="L7" s="422">
        <v>0</v>
      </c>
      <c r="M7" s="422">
        <v>0</v>
      </c>
      <c r="N7" s="272">
        <f t="shared" si="5"/>
        <v>24</v>
      </c>
      <c r="O7" s="274">
        <f t="shared" si="6"/>
        <v>1</v>
      </c>
      <c r="P7" s="275">
        <f t="shared" si="7"/>
        <v>1</v>
      </c>
      <c r="Q7" s="422">
        <v>201</v>
      </c>
      <c r="R7" s="278">
        <f t="shared" si="8"/>
        <v>0</v>
      </c>
      <c r="S7" s="272">
        <f>IFERROR(INDEX('Horo. M'!G$3:$G$367,MATCH(A7,'Horo. M'!$A$3:$A$367,0)),"")</f>
        <v>24</v>
      </c>
      <c r="T7" s="422">
        <v>0</v>
      </c>
      <c r="U7" s="422">
        <v>0</v>
      </c>
      <c r="V7" s="272">
        <f t="shared" si="9"/>
        <v>24</v>
      </c>
      <c r="W7" s="274">
        <f t="shared" si="10"/>
        <v>1</v>
      </c>
      <c r="X7" s="275">
        <f t="shared" si="11"/>
        <v>1</v>
      </c>
      <c r="Y7" s="422">
        <v>203.59</v>
      </c>
      <c r="Z7" s="278">
        <f t="shared" si="12"/>
        <v>6</v>
      </c>
      <c r="AA7" s="272">
        <f>IFERROR(INDEX('Horo. M'!$I$3:I$367,MATCH(A7,'Horo. M'!$A$3:$A$367,0)),"")</f>
        <v>18</v>
      </c>
      <c r="AB7" s="422">
        <v>0</v>
      </c>
      <c r="AC7" s="422">
        <v>0</v>
      </c>
      <c r="AD7" s="272">
        <f t="shared" si="13"/>
        <v>24</v>
      </c>
      <c r="AE7" s="274">
        <f t="shared" si="14"/>
        <v>0.75</v>
      </c>
      <c r="AF7" s="275">
        <f t="shared" si="15"/>
        <v>1</v>
      </c>
      <c r="AG7" s="422">
        <v>59.85</v>
      </c>
      <c r="AH7" s="272">
        <f t="shared" si="16"/>
        <v>0</v>
      </c>
      <c r="AI7" s="272">
        <f>IFERROR(INDEX('Horo. M'!$K$3:K$367,MATCH(A7,'Horo. M'!$A$3:$A$367,0)),"")</f>
        <v>0</v>
      </c>
      <c r="AJ7" s="422">
        <v>0</v>
      </c>
      <c r="AK7" s="422">
        <v>24</v>
      </c>
      <c r="AL7" s="272">
        <f t="shared" si="17"/>
        <v>0</v>
      </c>
      <c r="AM7" s="274">
        <f t="shared" si="18"/>
        <v>0</v>
      </c>
      <c r="AN7" s="275">
        <f t="shared" si="19"/>
        <v>0</v>
      </c>
      <c r="AO7" s="422">
        <v>0</v>
      </c>
      <c r="AP7" s="272">
        <f t="shared" si="20"/>
        <v>4</v>
      </c>
      <c r="AQ7" s="272">
        <f>IFERROR(INDEX('Horo. M'!$M$3:M$367,MATCH(A7,'Horo. M'!$A$3:$A$367,0)),"")</f>
        <v>18</v>
      </c>
      <c r="AR7" s="422">
        <v>0</v>
      </c>
      <c r="AS7" s="422">
        <v>2</v>
      </c>
      <c r="AT7" s="272">
        <f t="shared" si="21"/>
        <v>22</v>
      </c>
      <c r="AU7" s="274">
        <f t="shared" si="22"/>
        <v>0.75</v>
      </c>
      <c r="AV7" s="275">
        <f t="shared" si="23"/>
        <v>0.91666666666666663</v>
      </c>
      <c r="AW7" s="422">
        <v>57.91</v>
      </c>
      <c r="AX7" s="272">
        <f t="shared" si="24"/>
        <v>0</v>
      </c>
      <c r="AY7" s="272">
        <f>IFERROR(INDEX('Horo. M'!$O$3:O$367,MATCH(A7,'Horo. M'!$A$3:$A$367,0)),"")</f>
        <v>24</v>
      </c>
      <c r="AZ7" s="422">
        <v>0</v>
      </c>
      <c r="BA7" s="422">
        <v>0</v>
      </c>
      <c r="BB7" s="272">
        <f t="shared" si="25"/>
        <v>24</v>
      </c>
      <c r="BC7" s="274">
        <f t="shared" si="26"/>
        <v>1</v>
      </c>
      <c r="BD7" s="275">
        <f t="shared" si="27"/>
        <v>1</v>
      </c>
      <c r="BE7" s="422">
        <v>202.95</v>
      </c>
      <c r="BF7" s="272">
        <f t="shared" si="28"/>
        <v>0</v>
      </c>
      <c r="BG7" s="272">
        <f>IFERROR(INDEX('Horo. M'!$Q$3:Q$367,MATCH(A7,'Horo. M'!$A$3:$A$367,0)),"")</f>
        <v>24</v>
      </c>
      <c r="BH7" s="422">
        <v>0</v>
      </c>
      <c r="BI7" s="422">
        <v>0</v>
      </c>
      <c r="BJ7" s="272">
        <f t="shared" si="29"/>
        <v>24</v>
      </c>
      <c r="BK7" s="274">
        <f t="shared" si="30"/>
        <v>1</v>
      </c>
      <c r="BL7" s="275">
        <f t="shared" si="31"/>
        <v>1</v>
      </c>
      <c r="BM7" s="422">
        <v>203.25</v>
      </c>
      <c r="BN7" s="272">
        <f t="shared" si="32"/>
        <v>12</v>
      </c>
      <c r="BO7" s="272">
        <f>IFERROR(INDEX('Horo. M'!$S$3:S$367,MATCH(A7,'Horo. M'!$A$3:$A$367,0)),"")</f>
        <v>0</v>
      </c>
      <c r="BP7" s="422">
        <v>12</v>
      </c>
      <c r="BQ7" s="422">
        <v>0</v>
      </c>
      <c r="BR7" s="272">
        <f t="shared" si="33"/>
        <v>12</v>
      </c>
      <c r="BS7" s="274">
        <f t="shared" si="34"/>
        <v>0</v>
      </c>
      <c r="BT7" s="275">
        <f t="shared" si="35"/>
        <v>0.5</v>
      </c>
      <c r="BU7" s="422">
        <v>0</v>
      </c>
      <c r="BV7" s="272">
        <f t="shared" si="36"/>
        <v>0</v>
      </c>
      <c r="BW7" s="272">
        <f>IFERROR(INDEX('Horo. M'!$U$3:U$367,MATCH(A7,'Horo. M'!$A$3:$A$367,0)),"")</f>
        <v>24</v>
      </c>
      <c r="BX7" s="422">
        <v>0</v>
      </c>
      <c r="BY7" s="422">
        <v>0</v>
      </c>
      <c r="BZ7" s="272">
        <f t="shared" si="37"/>
        <v>24</v>
      </c>
      <c r="CA7" s="274">
        <f t="shared" si="38"/>
        <v>1</v>
      </c>
      <c r="CB7" s="275">
        <f t="shared" ref="CB7:CB66" si="39">(BZ7/24)*100%</f>
        <v>1</v>
      </c>
      <c r="CC7" s="422">
        <v>203.18</v>
      </c>
    </row>
    <row r="8" spans="1:81">
      <c r="A8" s="279">
        <v>44933</v>
      </c>
      <c r="B8" s="278">
        <f t="shared" si="0"/>
        <v>2</v>
      </c>
      <c r="C8" s="272">
        <f>IFERROR(INDEX('Horo. M'!$C$3:$C$367,MATCH(A8,'Horo. M'!$A$3:$A$367,0)),"")</f>
        <v>22</v>
      </c>
      <c r="D8" s="422">
        <v>0</v>
      </c>
      <c r="E8" s="422">
        <v>0</v>
      </c>
      <c r="F8" s="272">
        <f t="shared" si="1"/>
        <v>24</v>
      </c>
      <c r="G8" s="274">
        <f t="shared" si="2"/>
        <v>0.91666666666666663</v>
      </c>
      <c r="H8" s="275">
        <f t="shared" si="3"/>
        <v>1</v>
      </c>
      <c r="I8" s="422">
        <v>192.2</v>
      </c>
      <c r="J8" s="278">
        <f t="shared" si="4"/>
        <v>5</v>
      </c>
      <c r="K8" s="272">
        <f>IFERROR(INDEX('Horo. M'!$E$3:$E$367,MATCH(A8,'Horo. M'!$A$3:$A$367,0)),"")</f>
        <v>17</v>
      </c>
      <c r="L8" s="422">
        <v>0</v>
      </c>
      <c r="M8" s="422">
        <v>2</v>
      </c>
      <c r="N8" s="272">
        <f t="shared" si="5"/>
        <v>22</v>
      </c>
      <c r="O8" s="274">
        <f t="shared" si="6"/>
        <v>0.70833333333333337</v>
      </c>
      <c r="P8" s="275">
        <f t="shared" si="7"/>
        <v>0.91666666666666663</v>
      </c>
      <c r="Q8" s="422">
        <v>138.80000000000001</v>
      </c>
      <c r="R8" s="278">
        <f t="shared" si="8"/>
        <v>3</v>
      </c>
      <c r="S8" s="272">
        <f>IFERROR(INDEX('Horo. M'!G$3:$G$367,MATCH(A8,'Horo. M'!$A$3:$A$367,0)),"")</f>
        <v>21</v>
      </c>
      <c r="T8" s="422">
        <v>0</v>
      </c>
      <c r="U8" s="422">
        <v>0</v>
      </c>
      <c r="V8" s="272">
        <f t="shared" si="9"/>
        <v>24</v>
      </c>
      <c r="W8" s="274">
        <f t="shared" si="10"/>
        <v>0.875</v>
      </c>
      <c r="X8" s="275">
        <f t="shared" si="11"/>
        <v>1</v>
      </c>
      <c r="Y8" s="422">
        <v>179.89</v>
      </c>
      <c r="Z8" s="278">
        <f t="shared" si="12"/>
        <v>4</v>
      </c>
      <c r="AA8" s="272">
        <f>IFERROR(INDEX('Horo. M'!$I$3:I$367,MATCH(A8,'Horo. M'!$A$3:$A$367,0)),"")</f>
        <v>16</v>
      </c>
      <c r="AB8" s="422">
        <v>4</v>
      </c>
      <c r="AC8" s="422">
        <v>0</v>
      </c>
      <c r="AD8" s="272">
        <f t="shared" si="13"/>
        <v>20</v>
      </c>
      <c r="AE8" s="274">
        <f t="shared" si="14"/>
        <v>0.66666666666666663</v>
      </c>
      <c r="AF8" s="275">
        <f t="shared" si="15"/>
        <v>0.83333333333333337</v>
      </c>
      <c r="AG8" s="422">
        <v>56.04</v>
      </c>
      <c r="AH8" s="272">
        <f t="shared" si="16"/>
        <v>0</v>
      </c>
      <c r="AI8" s="272">
        <f>IFERROR(INDEX('Horo. M'!$K$3:K$367,MATCH(A8,'Horo. M'!$A$3:$A$367,0)),"")</f>
        <v>0</v>
      </c>
      <c r="AJ8" s="422">
        <v>0</v>
      </c>
      <c r="AK8" s="422">
        <v>24</v>
      </c>
      <c r="AL8" s="272">
        <f t="shared" si="17"/>
        <v>0</v>
      </c>
      <c r="AM8" s="274">
        <f t="shared" si="18"/>
        <v>0</v>
      </c>
      <c r="AN8" s="275">
        <f t="shared" si="19"/>
        <v>0</v>
      </c>
      <c r="AO8" s="422">
        <v>0</v>
      </c>
      <c r="AP8" s="272">
        <f t="shared" si="20"/>
        <v>6</v>
      </c>
      <c r="AQ8" s="272">
        <f>IFERROR(INDEX('Horo. M'!$M$3:M$367,MATCH(A8,'Horo. M'!$A$3:$A$367,0)),"")</f>
        <v>18</v>
      </c>
      <c r="AR8" s="422">
        <v>0</v>
      </c>
      <c r="AS8" s="422">
        <v>0</v>
      </c>
      <c r="AT8" s="272">
        <f t="shared" si="21"/>
        <v>24</v>
      </c>
      <c r="AU8" s="274">
        <f t="shared" si="22"/>
        <v>0.75</v>
      </c>
      <c r="AV8" s="275">
        <f t="shared" si="23"/>
        <v>1</v>
      </c>
      <c r="AW8" s="422">
        <v>62.19</v>
      </c>
      <c r="AX8" s="272">
        <f t="shared" si="24"/>
        <v>4</v>
      </c>
      <c r="AY8" s="272">
        <f>IFERROR(INDEX('Horo. M'!$O$3:O$367,MATCH(A8,'Horo. M'!$A$3:$A$367,0)),"")</f>
        <v>20</v>
      </c>
      <c r="AZ8" s="422">
        <v>0</v>
      </c>
      <c r="BA8" s="422">
        <v>0</v>
      </c>
      <c r="BB8" s="272">
        <f t="shared" si="25"/>
        <v>24</v>
      </c>
      <c r="BC8" s="274">
        <f t="shared" si="26"/>
        <v>0.83333333333333337</v>
      </c>
      <c r="BD8" s="275">
        <f t="shared" si="27"/>
        <v>1</v>
      </c>
      <c r="BE8" s="422">
        <v>166.67</v>
      </c>
      <c r="BF8" s="272">
        <f t="shared" si="28"/>
        <v>4</v>
      </c>
      <c r="BG8" s="272">
        <f>IFERROR(INDEX('Horo. M'!$Q$3:Q$367,MATCH(A8,'Horo. M'!$A$3:$A$367,0)),"")</f>
        <v>20</v>
      </c>
      <c r="BH8" s="422">
        <v>0</v>
      </c>
      <c r="BI8" s="422">
        <v>0</v>
      </c>
      <c r="BJ8" s="272">
        <f t="shared" si="29"/>
        <v>24</v>
      </c>
      <c r="BK8" s="274">
        <f t="shared" si="30"/>
        <v>0.83333333333333337</v>
      </c>
      <c r="BL8" s="275">
        <f t="shared" si="31"/>
        <v>1</v>
      </c>
      <c r="BM8" s="422">
        <v>174.54</v>
      </c>
      <c r="BN8" s="272">
        <f t="shared" si="32"/>
        <v>4</v>
      </c>
      <c r="BO8" s="272">
        <f>IFERROR(INDEX('Horo. M'!$S$3:S$367,MATCH(A8,'Horo. M'!$A$3:$A$367,0)),"")</f>
        <v>20</v>
      </c>
      <c r="BP8" s="422">
        <v>0</v>
      </c>
      <c r="BQ8" s="422">
        <v>0</v>
      </c>
      <c r="BR8" s="272">
        <f t="shared" si="33"/>
        <v>24</v>
      </c>
      <c r="BS8" s="274">
        <f t="shared" si="34"/>
        <v>0.83333333333333337</v>
      </c>
      <c r="BT8" s="275">
        <f t="shared" si="35"/>
        <v>1</v>
      </c>
      <c r="BU8" s="422">
        <v>170.19</v>
      </c>
      <c r="BV8" s="272">
        <f t="shared" si="36"/>
        <v>2</v>
      </c>
      <c r="BW8" s="272">
        <f>IFERROR(INDEX('Horo. M'!$U$3:U$367,MATCH(A8,'Horo. M'!$A$3:$A$367,0)),"")</f>
        <v>22</v>
      </c>
      <c r="BX8" s="422">
        <v>0</v>
      </c>
      <c r="BY8" s="422">
        <v>0</v>
      </c>
      <c r="BZ8" s="272">
        <f t="shared" si="37"/>
        <v>24</v>
      </c>
      <c r="CA8" s="274">
        <f t="shared" si="38"/>
        <v>0.91666666666666663</v>
      </c>
      <c r="CB8" s="275">
        <f t="shared" si="39"/>
        <v>1</v>
      </c>
      <c r="CC8" s="422">
        <v>191.89</v>
      </c>
    </row>
    <row r="9" spans="1:81">
      <c r="A9" s="279">
        <v>44934</v>
      </c>
      <c r="B9" s="278">
        <f t="shared" si="0"/>
        <v>3</v>
      </c>
      <c r="C9" s="272">
        <f>IFERROR(INDEX('Horo. M'!$C$3:$C$367,MATCH(A9,'Horo. M'!$A$3:$A$367,0)),"")</f>
        <v>21</v>
      </c>
      <c r="D9" s="422">
        <v>0</v>
      </c>
      <c r="E9" s="422">
        <v>0</v>
      </c>
      <c r="F9" s="272">
        <f t="shared" si="1"/>
        <v>24</v>
      </c>
      <c r="G9" s="274">
        <f t="shared" si="2"/>
        <v>0.875</v>
      </c>
      <c r="H9" s="275">
        <f t="shared" si="3"/>
        <v>1</v>
      </c>
      <c r="I9" s="422">
        <v>165.2</v>
      </c>
      <c r="J9" s="278">
        <f t="shared" si="4"/>
        <v>6</v>
      </c>
      <c r="K9" s="272">
        <f>IFERROR(INDEX('Horo. M'!$E$3:$E$367,MATCH(A9,'Horo. M'!$A$3:$A$367,0)),"")</f>
        <v>18</v>
      </c>
      <c r="L9" s="422">
        <v>0</v>
      </c>
      <c r="M9" s="422">
        <v>0</v>
      </c>
      <c r="N9" s="272">
        <f t="shared" si="5"/>
        <v>24</v>
      </c>
      <c r="O9" s="274">
        <f t="shared" si="6"/>
        <v>0.75</v>
      </c>
      <c r="P9" s="275">
        <f t="shared" si="7"/>
        <v>1</v>
      </c>
      <c r="Q9" s="422">
        <v>153.4</v>
      </c>
      <c r="R9" s="278">
        <f t="shared" si="8"/>
        <v>18</v>
      </c>
      <c r="S9" s="272">
        <f>IFERROR(INDEX('Horo. M'!G$3:$G$367,MATCH(A9,'Horo. M'!$A$3:$A$367,0)),"")</f>
        <v>0</v>
      </c>
      <c r="T9" s="422">
        <v>6</v>
      </c>
      <c r="U9" s="422">
        <v>0</v>
      </c>
      <c r="V9" s="272">
        <f t="shared" si="9"/>
        <v>18</v>
      </c>
      <c r="W9" s="274">
        <f t="shared" si="10"/>
        <v>0</v>
      </c>
      <c r="X9" s="275">
        <f t="shared" si="11"/>
        <v>0.75</v>
      </c>
      <c r="Y9" s="422">
        <v>0.04</v>
      </c>
      <c r="Z9" s="278">
        <f t="shared" si="12"/>
        <v>10</v>
      </c>
      <c r="AA9" s="272">
        <f>IFERROR(INDEX('Horo. M'!$I$3:I$367,MATCH(A9,'Horo. M'!$A$3:$A$367,0)),"")</f>
        <v>14</v>
      </c>
      <c r="AB9" s="422">
        <v>0</v>
      </c>
      <c r="AC9" s="422">
        <v>0</v>
      </c>
      <c r="AD9" s="272">
        <f t="shared" si="13"/>
        <v>24</v>
      </c>
      <c r="AE9" s="274">
        <f t="shared" si="14"/>
        <v>0.58333333333333337</v>
      </c>
      <c r="AF9" s="275">
        <f t="shared" si="15"/>
        <v>1</v>
      </c>
      <c r="AG9" s="422">
        <v>43.33</v>
      </c>
      <c r="AH9" s="272">
        <f t="shared" si="16"/>
        <v>0</v>
      </c>
      <c r="AI9" s="272">
        <f>IFERROR(INDEX('Horo. M'!$K$3:K$367,MATCH(A9,'Horo. M'!$A$3:$A$367,0)),"")</f>
        <v>0</v>
      </c>
      <c r="AJ9" s="422">
        <v>0</v>
      </c>
      <c r="AK9" s="422">
        <v>24</v>
      </c>
      <c r="AL9" s="272">
        <f t="shared" si="17"/>
        <v>0</v>
      </c>
      <c r="AM9" s="274">
        <f t="shared" si="18"/>
        <v>0</v>
      </c>
      <c r="AN9" s="275">
        <f t="shared" si="19"/>
        <v>0</v>
      </c>
      <c r="AO9" s="422">
        <v>0</v>
      </c>
      <c r="AP9" s="272">
        <f t="shared" si="20"/>
        <v>11</v>
      </c>
      <c r="AQ9" s="272">
        <f>IFERROR(INDEX('Horo. M'!$M$3:M$367,MATCH(A9,'Horo. M'!$A$3:$A$367,0)),"")</f>
        <v>13</v>
      </c>
      <c r="AR9" s="422">
        <v>0</v>
      </c>
      <c r="AS9" s="422">
        <v>0</v>
      </c>
      <c r="AT9" s="272">
        <f t="shared" si="21"/>
        <v>24</v>
      </c>
      <c r="AU9" s="274">
        <f t="shared" si="22"/>
        <v>0.54166666666666663</v>
      </c>
      <c r="AV9" s="275">
        <f t="shared" si="23"/>
        <v>1</v>
      </c>
      <c r="AW9" s="422">
        <v>43.96</v>
      </c>
      <c r="AX9" s="272">
        <f t="shared" si="24"/>
        <v>3</v>
      </c>
      <c r="AY9" s="272">
        <f>IFERROR(INDEX('Horo. M'!$O$3:O$367,MATCH(A9,'Horo. M'!$A$3:$A$367,0)),"")</f>
        <v>17</v>
      </c>
      <c r="AZ9" s="422">
        <v>4</v>
      </c>
      <c r="BA9" s="422">
        <v>0</v>
      </c>
      <c r="BB9" s="272">
        <f t="shared" si="25"/>
        <v>20</v>
      </c>
      <c r="BC9" s="274">
        <f t="shared" si="26"/>
        <v>0.70833333333333337</v>
      </c>
      <c r="BD9" s="275">
        <f t="shared" si="27"/>
        <v>0.83333333333333337</v>
      </c>
      <c r="BE9" s="422">
        <v>150.26</v>
      </c>
      <c r="BF9" s="272">
        <f t="shared" si="28"/>
        <v>6</v>
      </c>
      <c r="BG9" s="272">
        <f>IFERROR(INDEX('Horo. M'!$Q$3:Q$367,MATCH(A9,'Horo. M'!$A$3:$A$367,0)),"")</f>
        <v>18</v>
      </c>
      <c r="BH9" s="422">
        <v>0</v>
      </c>
      <c r="BI9" s="422">
        <v>0</v>
      </c>
      <c r="BJ9" s="272">
        <f t="shared" si="29"/>
        <v>24</v>
      </c>
      <c r="BK9" s="274">
        <f t="shared" si="30"/>
        <v>0.75</v>
      </c>
      <c r="BL9" s="275">
        <f t="shared" si="31"/>
        <v>1</v>
      </c>
      <c r="BM9" s="422">
        <v>152.46</v>
      </c>
      <c r="BN9" s="272">
        <f t="shared" si="32"/>
        <v>5</v>
      </c>
      <c r="BO9" s="272">
        <f>IFERROR(INDEX('Horo. M'!$S$3:S$367,MATCH(A9,'Horo. M'!$A$3:$A$367,0)),"")</f>
        <v>19</v>
      </c>
      <c r="BP9" s="422">
        <v>0</v>
      </c>
      <c r="BQ9" s="422">
        <v>0</v>
      </c>
      <c r="BR9" s="272">
        <f t="shared" si="33"/>
        <v>24</v>
      </c>
      <c r="BS9" s="274">
        <f t="shared" si="34"/>
        <v>0.79166666666666663</v>
      </c>
      <c r="BT9" s="275">
        <f t="shared" si="35"/>
        <v>1</v>
      </c>
      <c r="BU9" s="422">
        <v>152.30000000000001</v>
      </c>
      <c r="BV9" s="272">
        <f t="shared" si="36"/>
        <v>3</v>
      </c>
      <c r="BW9" s="272">
        <f>IFERROR(INDEX('Horo. M'!$U$3:U$367,MATCH(A9,'Horo. M'!$A$3:$A$367,0)),"")</f>
        <v>21</v>
      </c>
      <c r="BX9" s="422">
        <v>0</v>
      </c>
      <c r="BY9" s="422">
        <v>0</v>
      </c>
      <c r="BZ9" s="272">
        <f t="shared" si="37"/>
        <v>24</v>
      </c>
      <c r="CA9" s="274">
        <f t="shared" si="38"/>
        <v>0.875</v>
      </c>
      <c r="CB9" s="275">
        <f t="shared" si="39"/>
        <v>1</v>
      </c>
      <c r="CC9" s="422">
        <v>173.32</v>
      </c>
    </row>
    <row r="10" spans="1:81">
      <c r="A10" s="279">
        <v>44935</v>
      </c>
      <c r="B10" s="278">
        <f t="shared" si="0"/>
        <v>1</v>
      </c>
      <c r="C10" s="272">
        <f>IFERROR(INDEX('Horo. M'!$C$3:$C$367,MATCH(A10,'Horo. M'!$A$3:$A$367,0)),"")</f>
        <v>23</v>
      </c>
      <c r="D10" s="422">
        <v>0</v>
      </c>
      <c r="E10" s="422">
        <v>0</v>
      </c>
      <c r="F10" s="272">
        <f t="shared" si="1"/>
        <v>24</v>
      </c>
      <c r="G10" s="274">
        <f t="shared" si="2"/>
        <v>0.95833333333333337</v>
      </c>
      <c r="H10" s="275">
        <f t="shared" si="3"/>
        <v>1</v>
      </c>
      <c r="I10" s="422">
        <v>164.7</v>
      </c>
      <c r="J10" s="278">
        <f t="shared" si="4"/>
        <v>4</v>
      </c>
      <c r="K10" s="272">
        <f>IFERROR(INDEX('Horo. M'!$E$3:$E$367,MATCH(A10,'Horo. M'!$A$3:$A$367,0)),"")</f>
        <v>20</v>
      </c>
      <c r="L10" s="422">
        <v>0</v>
      </c>
      <c r="M10" s="422">
        <v>0</v>
      </c>
      <c r="N10" s="272">
        <f t="shared" si="5"/>
        <v>24</v>
      </c>
      <c r="O10" s="274">
        <f t="shared" si="6"/>
        <v>0.83333333333333337</v>
      </c>
      <c r="P10" s="275">
        <f t="shared" si="7"/>
        <v>1</v>
      </c>
      <c r="Q10" s="422">
        <v>172.7</v>
      </c>
      <c r="R10" s="278">
        <f t="shared" si="8"/>
        <v>2</v>
      </c>
      <c r="S10" s="272">
        <f>IFERROR(INDEX('Horo. M'!G$3:$G$367,MATCH(A10,'Horo. M'!$A$3:$A$367,0)),"")</f>
        <v>22</v>
      </c>
      <c r="T10" s="422">
        <v>0</v>
      </c>
      <c r="U10" s="422">
        <v>0</v>
      </c>
      <c r="V10" s="272">
        <f t="shared" si="9"/>
        <v>24</v>
      </c>
      <c r="W10" s="274">
        <f t="shared" si="10"/>
        <v>0.91666666666666663</v>
      </c>
      <c r="X10" s="275">
        <f t="shared" si="11"/>
        <v>1</v>
      </c>
      <c r="Y10" s="422">
        <v>182.46</v>
      </c>
      <c r="Z10" s="278">
        <f t="shared" si="12"/>
        <v>7</v>
      </c>
      <c r="AA10" s="272">
        <f>IFERROR(INDEX('Horo. M'!$I$3:I$367,MATCH(A10,'Horo. M'!$A$3:$A$367,0)),"")</f>
        <v>17</v>
      </c>
      <c r="AB10" s="422">
        <v>0</v>
      </c>
      <c r="AC10" s="422">
        <v>0</v>
      </c>
      <c r="AD10" s="272">
        <f t="shared" si="13"/>
        <v>24</v>
      </c>
      <c r="AE10" s="274">
        <f t="shared" si="14"/>
        <v>0.70833333333333337</v>
      </c>
      <c r="AF10" s="275">
        <f t="shared" si="15"/>
        <v>1</v>
      </c>
      <c r="AG10" s="422">
        <v>53.71</v>
      </c>
      <c r="AH10" s="272">
        <f t="shared" si="16"/>
        <v>0</v>
      </c>
      <c r="AI10" s="272">
        <f>IFERROR(INDEX('Horo. M'!$K$3:K$367,MATCH(A10,'Horo. M'!$A$3:$A$367,0)),"")</f>
        <v>0</v>
      </c>
      <c r="AJ10" s="422">
        <v>0</v>
      </c>
      <c r="AK10" s="422">
        <v>24</v>
      </c>
      <c r="AL10" s="272">
        <f t="shared" si="17"/>
        <v>0</v>
      </c>
      <c r="AM10" s="274">
        <f t="shared" si="18"/>
        <v>0</v>
      </c>
      <c r="AN10" s="275">
        <f t="shared" si="19"/>
        <v>0</v>
      </c>
      <c r="AO10" s="422">
        <v>0</v>
      </c>
      <c r="AP10" s="272">
        <f t="shared" si="20"/>
        <v>3</v>
      </c>
      <c r="AQ10" s="272">
        <f>IFERROR(INDEX('Horo. M'!$M$3:M$367,MATCH(A10,'Horo. M'!$A$3:$A$367,0)),"")</f>
        <v>17</v>
      </c>
      <c r="AR10" s="422">
        <v>4</v>
      </c>
      <c r="AS10" s="422">
        <v>0</v>
      </c>
      <c r="AT10" s="272">
        <f t="shared" si="21"/>
        <v>20</v>
      </c>
      <c r="AU10" s="274">
        <f t="shared" si="22"/>
        <v>0.70833333333333337</v>
      </c>
      <c r="AV10" s="275">
        <f t="shared" si="23"/>
        <v>0.83333333333333337</v>
      </c>
      <c r="AW10" s="422">
        <v>52.5</v>
      </c>
      <c r="AX10" s="272">
        <f t="shared" si="24"/>
        <v>5</v>
      </c>
      <c r="AY10" s="272">
        <f>IFERROR(INDEX('Horo. M'!$O$3:O$367,MATCH(A10,'Horo. M'!$A$3:$A$367,0)),"")</f>
        <v>19</v>
      </c>
      <c r="AZ10" s="422">
        <v>0</v>
      </c>
      <c r="BA10" s="422">
        <v>0</v>
      </c>
      <c r="BB10" s="272">
        <f t="shared" si="25"/>
        <v>24</v>
      </c>
      <c r="BC10" s="274">
        <f t="shared" si="26"/>
        <v>0.79166666666666663</v>
      </c>
      <c r="BD10" s="275">
        <f t="shared" si="27"/>
        <v>1</v>
      </c>
      <c r="BE10" s="422">
        <v>165.12</v>
      </c>
      <c r="BF10" s="272">
        <f t="shared" si="28"/>
        <v>4</v>
      </c>
      <c r="BG10" s="272">
        <f>IFERROR(INDEX('Horo. M'!$Q$3:Q$367,MATCH(A10,'Horo. M'!$A$3:$A$367,0)),"")</f>
        <v>20</v>
      </c>
      <c r="BH10" s="422">
        <v>0</v>
      </c>
      <c r="BI10" s="422">
        <v>0</v>
      </c>
      <c r="BJ10" s="272">
        <f t="shared" si="29"/>
        <v>24</v>
      </c>
      <c r="BK10" s="274">
        <f t="shared" si="30"/>
        <v>0.83333333333333337</v>
      </c>
      <c r="BL10" s="275">
        <f t="shared" si="31"/>
        <v>1</v>
      </c>
      <c r="BM10" s="422">
        <v>175.79</v>
      </c>
      <c r="BN10" s="272">
        <f t="shared" si="32"/>
        <v>4</v>
      </c>
      <c r="BO10" s="272">
        <f>IFERROR(INDEX('Horo. M'!$S$3:S$367,MATCH(A10,'Horo. M'!$A$3:$A$367,0)),"")</f>
        <v>20</v>
      </c>
      <c r="BP10" s="422">
        <v>0</v>
      </c>
      <c r="BQ10" s="422">
        <v>0</v>
      </c>
      <c r="BR10" s="272">
        <f t="shared" si="33"/>
        <v>24</v>
      </c>
      <c r="BS10" s="274">
        <f t="shared" si="34"/>
        <v>0.83333333333333337</v>
      </c>
      <c r="BT10" s="275">
        <f t="shared" si="35"/>
        <v>1</v>
      </c>
      <c r="BU10" s="422">
        <v>174.09</v>
      </c>
      <c r="BV10" s="272">
        <f t="shared" si="36"/>
        <v>2</v>
      </c>
      <c r="BW10" s="272">
        <f>IFERROR(INDEX('Horo. M'!$U$3:U$367,MATCH(A10,'Horo. M'!$A$3:$A$367,0)),"")</f>
        <v>22</v>
      </c>
      <c r="BX10" s="422">
        <v>0</v>
      </c>
      <c r="BY10" s="422">
        <v>0</v>
      </c>
      <c r="BZ10" s="272">
        <f t="shared" si="37"/>
        <v>24</v>
      </c>
      <c r="CA10" s="274">
        <f t="shared" si="38"/>
        <v>0.91666666666666663</v>
      </c>
      <c r="CB10" s="275">
        <f t="shared" si="39"/>
        <v>1</v>
      </c>
      <c r="CC10" s="422">
        <v>195.59</v>
      </c>
    </row>
    <row r="11" spans="1:81">
      <c r="A11" s="279">
        <v>44936</v>
      </c>
      <c r="B11" s="278">
        <f t="shared" si="0"/>
        <v>0</v>
      </c>
      <c r="C11" s="272">
        <f>IFERROR(INDEX('Horo. M'!$C$3:$C$367,MATCH(A11,'Horo. M'!$A$3:$A$367,0)),"")</f>
        <v>24</v>
      </c>
      <c r="D11" s="422">
        <v>0</v>
      </c>
      <c r="E11" s="422">
        <v>0</v>
      </c>
      <c r="F11" s="272">
        <f t="shared" si="1"/>
        <v>24</v>
      </c>
      <c r="G11" s="274">
        <f t="shared" si="2"/>
        <v>1</v>
      </c>
      <c r="H11" s="275">
        <f t="shared" si="3"/>
        <v>1</v>
      </c>
      <c r="I11" s="422">
        <v>174.6</v>
      </c>
      <c r="J11" s="278">
        <f t="shared" si="4"/>
        <v>0</v>
      </c>
      <c r="K11" s="272">
        <f>IFERROR(INDEX('Horo. M'!$E$3:$E$367,MATCH(A11,'Horo. M'!$A$3:$A$367,0)),"")</f>
        <v>24</v>
      </c>
      <c r="L11" s="422">
        <v>0</v>
      </c>
      <c r="M11" s="422">
        <v>0</v>
      </c>
      <c r="N11" s="272">
        <f t="shared" si="5"/>
        <v>24</v>
      </c>
      <c r="O11" s="274">
        <f t="shared" si="6"/>
        <v>1</v>
      </c>
      <c r="P11" s="275">
        <f t="shared" si="7"/>
        <v>1</v>
      </c>
      <c r="Q11" s="422">
        <v>214.9</v>
      </c>
      <c r="R11" s="278">
        <f t="shared" si="8"/>
        <v>0</v>
      </c>
      <c r="S11" s="272">
        <f>IFERROR(INDEX('Horo. M'!G$3:$G$367,MATCH(A11,'Horo. M'!$A$3:$A$367,0)),"")</f>
        <v>24</v>
      </c>
      <c r="T11" s="422">
        <v>0</v>
      </c>
      <c r="U11" s="422">
        <v>0</v>
      </c>
      <c r="V11" s="272">
        <f t="shared" si="9"/>
        <v>24</v>
      </c>
      <c r="W11" s="274">
        <f t="shared" si="10"/>
        <v>1</v>
      </c>
      <c r="X11" s="275">
        <f t="shared" si="11"/>
        <v>1</v>
      </c>
      <c r="Y11" s="422">
        <v>211.56</v>
      </c>
      <c r="Z11" s="278">
        <f t="shared" si="12"/>
        <v>3</v>
      </c>
      <c r="AA11" s="272">
        <f>IFERROR(INDEX('Horo. M'!$I$3:I$367,MATCH(A11,'Horo. M'!$A$3:$A$367,0)),"")</f>
        <v>19</v>
      </c>
      <c r="AB11" s="422">
        <v>0</v>
      </c>
      <c r="AC11" s="422">
        <v>2</v>
      </c>
      <c r="AD11" s="272">
        <f t="shared" si="13"/>
        <v>22</v>
      </c>
      <c r="AE11" s="274">
        <f t="shared" si="14"/>
        <v>0.79166666666666663</v>
      </c>
      <c r="AF11" s="275">
        <f t="shared" si="15"/>
        <v>0.91666666666666663</v>
      </c>
      <c r="AG11" s="422">
        <v>60.72</v>
      </c>
      <c r="AH11" s="272">
        <f t="shared" si="16"/>
        <v>0</v>
      </c>
      <c r="AI11" s="272">
        <f>IFERROR(INDEX('Horo. M'!$K$3:K$367,MATCH(A11,'Horo. M'!$A$3:$A$367,0)),"")</f>
        <v>0</v>
      </c>
      <c r="AJ11" s="422">
        <v>0</v>
      </c>
      <c r="AK11" s="422">
        <v>24</v>
      </c>
      <c r="AL11" s="272">
        <f t="shared" si="17"/>
        <v>0</v>
      </c>
      <c r="AM11" s="274">
        <f t="shared" si="18"/>
        <v>0</v>
      </c>
      <c r="AN11" s="275">
        <f t="shared" si="19"/>
        <v>0</v>
      </c>
      <c r="AO11" s="422">
        <v>0</v>
      </c>
      <c r="AP11" s="272">
        <f t="shared" si="20"/>
        <v>5</v>
      </c>
      <c r="AQ11" s="272">
        <f>IFERROR(INDEX('Horo. M'!$M$3:M$367,MATCH(A11,'Horo. M'!$A$3:$A$367,0)),"")</f>
        <v>19</v>
      </c>
      <c r="AR11" s="422">
        <v>0</v>
      </c>
      <c r="AS11" s="422">
        <v>0</v>
      </c>
      <c r="AT11" s="272">
        <f t="shared" si="21"/>
        <v>24</v>
      </c>
      <c r="AU11" s="274">
        <f t="shared" si="22"/>
        <v>0.79166666666666663</v>
      </c>
      <c r="AV11" s="275">
        <f t="shared" si="23"/>
        <v>1</v>
      </c>
      <c r="AW11" s="422">
        <v>56.22</v>
      </c>
      <c r="AX11" s="272">
        <f t="shared" si="24"/>
        <v>0</v>
      </c>
      <c r="AY11" s="272">
        <f>IFERROR(INDEX('Horo. M'!$O$3:O$367,MATCH(A11,'Horo. M'!$A$3:$A$367,0)),"")</f>
        <v>24</v>
      </c>
      <c r="AZ11" s="422">
        <v>0</v>
      </c>
      <c r="BA11" s="422">
        <v>0</v>
      </c>
      <c r="BB11" s="272">
        <f t="shared" si="25"/>
        <v>24</v>
      </c>
      <c r="BC11" s="274">
        <f t="shared" si="26"/>
        <v>1</v>
      </c>
      <c r="BD11" s="275">
        <f t="shared" si="27"/>
        <v>1</v>
      </c>
      <c r="BE11" s="422">
        <v>212.53</v>
      </c>
      <c r="BF11" s="272">
        <f t="shared" si="28"/>
        <v>0</v>
      </c>
      <c r="BG11" s="272">
        <f>IFERROR(INDEX('Horo. M'!$Q$3:Q$367,MATCH(A11,'Horo. M'!$A$3:$A$367,0)),"")</f>
        <v>24</v>
      </c>
      <c r="BH11" s="422">
        <v>0</v>
      </c>
      <c r="BI11" s="422">
        <v>0</v>
      </c>
      <c r="BJ11" s="272">
        <f t="shared" si="29"/>
        <v>24</v>
      </c>
      <c r="BK11" s="274">
        <f t="shared" si="30"/>
        <v>1</v>
      </c>
      <c r="BL11" s="275">
        <f t="shared" si="31"/>
        <v>1</v>
      </c>
      <c r="BM11" s="422">
        <v>210.75</v>
      </c>
      <c r="BN11" s="272">
        <f t="shared" si="32"/>
        <v>0</v>
      </c>
      <c r="BO11" s="272">
        <f>IFERROR(INDEX('Horo. M'!$S$3:S$367,MATCH(A11,'Horo. M'!$A$3:$A$367,0)),"")</f>
        <v>24</v>
      </c>
      <c r="BP11" s="422">
        <v>0</v>
      </c>
      <c r="BQ11" s="422">
        <v>0</v>
      </c>
      <c r="BR11" s="272">
        <f t="shared" si="33"/>
        <v>24</v>
      </c>
      <c r="BS11" s="274">
        <f t="shared" si="34"/>
        <v>1</v>
      </c>
      <c r="BT11" s="275">
        <f t="shared" si="35"/>
        <v>1</v>
      </c>
      <c r="BU11" s="422">
        <v>210.04</v>
      </c>
      <c r="BV11" s="272">
        <f t="shared" si="36"/>
        <v>0</v>
      </c>
      <c r="BW11" s="272">
        <f>IFERROR(INDEX('Horo. M'!$U$3:U$367,MATCH(A11,'Horo. M'!$A$3:$A$367,0)),"")</f>
        <v>24</v>
      </c>
      <c r="BX11" s="422">
        <v>0</v>
      </c>
      <c r="BY11" s="422">
        <v>0</v>
      </c>
      <c r="BZ11" s="272">
        <f t="shared" si="37"/>
        <v>24</v>
      </c>
      <c r="CA11" s="274">
        <f t="shared" si="38"/>
        <v>1</v>
      </c>
      <c r="CB11" s="275">
        <f t="shared" si="39"/>
        <v>1</v>
      </c>
      <c r="CC11" s="422">
        <v>211.67</v>
      </c>
    </row>
    <row r="12" spans="1:81">
      <c r="A12" s="279">
        <v>44937</v>
      </c>
      <c r="B12" s="278">
        <f t="shared" si="0"/>
        <v>8</v>
      </c>
      <c r="C12" s="272">
        <f>IFERROR(INDEX('Horo. M'!$C$3:$C$367,MATCH(A12,'Horo. M'!$A$3:$A$367,0)),"")</f>
        <v>0</v>
      </c>
      <c r="D12" s="422">
        <v>12</v>
      </c>
      <c r="E12" s="422">
        <v>4</v>
      </c>
      <c r="F12" s="272">
        <f t="shared" si="1"/>
        <v>8</v>
      </c>
      <c r="G12" s="274">
        <f t="shared" si="2"/>
        <v>0</v>
      </c>
      <c r="H12" s="275">
        <f t="shared" si="3"/>
        <v>0.33333333333333331</v>
      </c>
      <c r="I12" s="422">
        <v>0</v>
      </c>
      <c r="J12" s="278">
        <f t="shared" si="4"/>
        <v>0</v>
      </c>
      <c r="K12" s="272">
        <f>IFERROR(INDEX('Horo. M'!$E$3:$E$367,MATCH(A12,'Horo. M'!$A$3:$A$367,0)),"")</f>
        <v>24</v>
      </c>
      <c r="L12" s="422">
        <v>0</v>
      </c>
      <c r="M12" s="422">
        <v>0</v>
      </c>
      <c r="N12" s="272">
        <f t="shared" si="5"/>
        <v>24</v>
      </c>
      <c r="O12" s="274">
        <f t="shared" si="6"/>
        <v>1</v>
      </c>
      <c r="P12" s="275">
        <f t="shared" si="7"/>
        <v>1</v>
      </c>
      <c r="Q12" s="422">
        <v>196.1</v>
      </c>
      <c r="R12" s="278">
        <f t="shared" si="8"/>
        <v>1</v>
      </c>
      <c r="S12" s="272">
        <f>IFERROR(INDEX('Horo. M'!G$3:$G$367,MATCH(A12,'Horo. M'!$A$3:$A$367,0)),"")</f>
        <v>23</v>
      </c>
      <c r="T12" s="422">
        <v>0</v>
      </c>
      <c r="U12" s="422">
        <v>0</v>
      </c>
      <c r="V12" s="272">
        <f t="shared" si="9"/>
        <v>24</v>
      </c>
      <c r="W12" s="274">
        <f t="shared" si="10"/>
        <v>0.95833333333333337</v>
      </c>
      <c r="X12" s="275">
        <f t="shared" si="11"/>
        <v>1</v>
      </c>
      <c r="Y12" s="422">
        <v>199.69</v>
      </c>
      <c r="Z12" s="278">
        <f t="shared" si="12"/>
        <v>5</v>
      </c>
      <c r="AA12" s="272">
        <f>IFERROR(INDEX('Horo. M'!$I$3:I$367,MATCH(A12,'Horo. M'!$A$3:$A$367,0)),"")</f>
        <v>19</v>
      </c>
      <c r="AB12" s="422">
        <v>0</v>
      </c>
      <c r="AC12" s="422">
        <v>0</v>
      </c>
      <c r="AD12" s="272">
        <f t="shared" si="13"/>
        <v>24</v>
      </c>
      <c r="AE12" s="274">
        <f t="shared" si="14"/>
        <v>0.79166666666666663</v>
      </c>
      <c r="AF12" s="275">
        <f t="shared" si="15"/>
        <v>1</v>
      </c>
      <c r="AG12" s="422">
        <v>58.85</v>
      </c>
      <c r="AH12" s="272">
        <f t="shared" si="16"/>
        <v>0</v>
      </c>
      <c r="AI12" s="272">
        <f>IFERROR(INDEX('Horo. M'!$K$3:K$367,MATCH(A12,'Horo. M'!$A$3:$A$367,0)),"")</f>
        <v>0</v>
      </c>
      <c r="AJ12" s="422">
        <v>0</v>
      </c>
      <c r="AK12" s="422">
        <v>24</v>
      </c>
      <c r="AL12" s="272">
        <f t="shared" si="17"/>
        <v>0</v>
      </c>
      <c r="AM12" s="274">
        <f t="shared" si="18"/>
        <v>0</v>
      </c>
      <c r="AN12" s="275">
        <f t="shared" si="19"/>
        <v>0</v>
      </c>
      <c r="AO12" s="422">
        <v>0</v>
      </c>
      <c r="AP12" s="272">
        <f t="shared" si="20"/>
        <v>5</v>
      </c>
      <c r="AQ12" s="272">
        <f>IFERROR(INDEX('Horo. M'!$M$3:M$367,MATCH(A12,'Horo. M'!$A$3:$A$367,0)),"")</f>
        <v>19</v>
      </c>
      <c r="AR12" s="422">
        <v>0</v>
      </c>
      <c r="AS12" s="422">
        <v>0</v>
      </c>
      <c r="AT12" s="272">
        <f t="shared" si="21"/>
        <v>24</v>
      </c>
      <c r="AU12" s="274">
        <f t="shared" si="22"/>
        <v>0.79166666666666663</v>
      </c>
      <c r="AV12" s="275">
        <f t="shared" si="23"/>
        <v>1</v>
      </c>
      <c r="AW12" s="422">
        <v>56.88</v>
      </c>
      <c r="AX12" s="272">
        <f t="shared" si="24"/>
        <v>0</v>
      </c>
      <c r="AY12" s="272">
        <f>IFERROR(INDEX('Horo. M'!$O$3:O$367,MATCH(A12,'Horo. M'!$A$3:$A$367,0)),"")</f>
        <v>24</v>
      </c>
      <c r="AZ12" s="422">
        <v>0</v>
      </c>
      <c r="BA12" s="422">
        <v>0</v>
      </c>
      <c r="BB12" s="272">
        <f t="shared" si="25"/>
        <v>24</v>
      </c>
      <c r="BC12" s="274">
        <f t="shared" si="26"/>
        <v>1</v>
      </c>
      <c r="BD12" s="275">
        <f t="shared" si="27"/>
        <v>1</v>
      </c>
      <c r="BE12" s="422">
        <v>203.71</v>
      </c>
      <c r="BF12" s="272">
        <f t="shared" si="28"/>
        <v>0</v>
      </c>
      <c r="BG12" s="272">
        <f>IFERROR(INDEX('Horo. M'!$Q$3:Q$367,MATCH(A12,'Horo. M'!$A$3:$A$367,0)),"")</f>
        <v>24</v>
      </c>
      <c r="BH12" s="422">
        <v>0</v>
      </c>
      <c r="BI12" s="422">
        <v>0</v>
      </c>
      <c r="BJ12" s="272">
        <f t="shared" si="29"/>
        <v>24</v>
      </c>
      <c r="BK12" s="274">
        <f t="shared" si="30"/>
        <v>1</v>
      </c>
      <c r="BL12" s="275">
        <f t="shared" si="31"/>
        <v>1</v>
      </c>
      <c r="BM12" s="422">
        <v>206.26</v>
      </c>
      <c r="BN12" s="272">
        <f t="shared" si="32"/>
        <v>0</v>
      </c>
      <c r="BO12" s="272">
        <f>IFERROR(INDEX('Horo. M'!$S$3:S$367,MATCH(A12,'Horo. M'!$A$3:$A$367,0)),"")</f>
        <v>24</v>
      </c>
      <c r="BP12" s="422">
        <v>0</v>
      </c>
      <c r="BQ12" s="422">
        <v>0</v>
      </c>
      <c r="BR12" s="272">
        <f t="shared" si="33"/>
        <v>24</v>
      </c>
      <c r="BS12" s="274">
        <f t="shared" si="34"/>
        <v>1</v>
      </c>
      <c r="BT12" s="275">
        <f t="shared" si="35"/>
        <v>1</v>
      </c>
      <c r="BU12" s="422">
        <v>205.37</v>
      </c>
      <c r="BV12" s="272">
        <f t="shared" si="36"/>
        <v>0</v>
      </c>
      <c r="BW12" s="272">
        <f>IFERROR(INDEX('Horo. M'!$U$3:U$367,MATCH(A12,'Horo. M'!$A$3:$A$367,0)),"")</f>
        <v>24</v>
      </c>
      <c r="BX12" s="422">
        <v>0</v>
      </c>
      <c r="BY12" s="422">
        <v>0</v>
      </c>
      <c r="BZ12" s="272">
        <f t="shared" si="37"/>
        <v>24</v>
      </c>
      <c r="CA12" s="274">
        <f t="shared" si="38"/>
        <v>1</v>
      </c>
      <c r="CB12" s="275">
        <f t="shared" si="39"/>
        <v>1</v>
      </c>
      <c r="CC12" s="422">
        <v>198.72</v>
      </c>
    </row>
    <row r="13" spans="1:81">
      <c r="A13" s="279">
        <v>44938</v>
      </c>
      <c r="B13" s="278">
        <f t="shared" si="0"/>
        <v>0</v>
      </c>
      <c r="C13" s="272">
        <f>IFERROR(INDEX('Horo. M'!$C$3:$C$367,MATCH(A13,'Horo. M'!$A$3:$A$367,0)),"")</f>
        <v>24</v>
      </c>
      <c r="D13" s="422">
        <v>0</v>
      </c>
      <c r="E13" s="422">
        <v>0</v>
      </c>
      <c r="F13" s="272">
        <f t="shared" si="1"/>
        <v>24</v>
      </c>
      <c r="G13" s="274">
        <f t="shared" si="2"/>
        <v>1</v>
      </c>
      <c r="H13" s="275">
        <f t="shared" si="3"/>
        <v>1</v>
      </c>
      <c r="I13" s="422">
        <v>198.2</v>
      </c>
      <c r="J13" s="278">
        <f t="shared" si="4"/>
        <v>0</v>
      </c>
      <c r="K13" s="272">
        <f>IFERROR(INDEX('Horo. M'!$E$3:$E$367,MATCH(A13,'Horo. M'!$A$3:$A$367,0)),"")</f>
        <v>24</v>
      </c>
      <c r="L13" s="422">
        <v>0</v>
      </c>
      <c r="M13" s="422">
        <v>0</v>
      </c>
      <c r="N13" s="272">
        <f t="shared" si="5"/>
        <v>24</v>
      </c>
      <c r="O13" s="274">
        <f t="shared" si="6"/>
        <v>1</v>
      </c>
      <c r="P13" s="275">
        <f t="shared" si="7"/>
        <v>1</v>
      </c>
      <c r="Q13" s="422">
        <v>199.4</v>
      </c>
      <c r="R13" s="278">
        <f t="shared" si="8"/>
        <v>0</v>
      </c>
      <c r="S13" s="272">
        <f>IFERROR(INDEX('Horo. M'!G$3:$G$367,MATCH(A13,'Horo. M'!$A$3:$A$367,0)),"")</f>
        <v>24</v>
      </c>
      <c r="T13" s="422">
        <v>0</v>
      </c>
      <c r="U13" s="422">
        <v>0</v>
      </c>
      <c r="V13" s="272">
        <f t="shared" si="9"/>
        <v>24</v>
      </c>
      <c r="W13" s="274">
        <f t="shared" si="10"/>
        <v>1</v>
      </c>
      <c r="X13" s="275">
        <f t="shared" si="11"/>
        <v>1</v>
      </c>
      <c r="Y13" s="422">
        <v>200.29</v>
      </c>
      <c r="Z13" s="278">
        <f t="shared" si="12"/>
        <v>4</v>
      </c>
      <c r="AA13" s="272">
        <f>IFERROR(INDEX('Horo. M'!$I$3:I$367,MATCH(A13,'Horo. M'!$A$3:$A$367,0)),"")</f>
        <v>20</v>
      </c>
      <c r="AB13" s="422">
        <v>0</v>
      </c>
      <c r="AC13" s="422">
        <v>0</v>
      </c>
      <c r="AD13" s="272">
        <f t="shared" si="13"/>
        <v>24</v>
      </c>
      <c r="AE13" s="274">
        <f t="shared" si="14"/>
        <v>0.83333333333333337</v>
      </c>
      <c r="AF13" s="275">
        <f t="shared" si="15"/>
        <v>1</v>
      </c>
      <c r="AG13" s="422">
        <v>60.44</v>
      </c>
      <c r="AH13" s="272">
        <f t="shared" si="16"/>
        <v>0</v>
      </c>
      <c r="AI13" s="272">
        <f>IFERROR(INDEX('Horo. M'!$K$3:K$367,MATCH(A13,'Horo. M'!$A$3:$A$367,0)),"")</f>
        <v>0</v>
      </c>
      <c r="AJ13" s="422">
        <v>0</v>
      </c>
      <c r="AK13" s="422">
        <v>24</v>
      </c>
      <c r="AL13" s="272">
        <f t="shared" si="17"/>
        <v>0</v>
      </c>
      <c r="AM13" s="274">
        <f t="shared" si="18"/>
        <v>0</v>
      </c>
      <c r="AN13" s="275">
        <f t="shared" si="19"/>
        <v>0</v>
      </c>
      <c r="AO13" s="422">
        <v>0</v>
      </c>
      <c r="AP13" s="272">
        <f t="shared" si="20"/>
        <v>5</v>
      </c>
      <c r="AQ13" s="272">
        <f>IFERROR(INDEX('Horo. M'!$M$3:M$367,MATCH(A13,'Horo. M'!$A$3:$A$367,0)),"")</f>
        <v>19</v>
      </c>
      <c r="AR13" s="422">
        <v>0</v>
      </c>
      <c r="AS13" s="422">
        <v>0</v>
      </c>
      <c r="AT13" s="272">
        <f t="shared" si="21"/>
        <v>24</v>
      </c>
      <c r="AU13" s="274">
        <f t="shared" si="22"/>
        <v>0.79166666666666663</v>
      </c>
      <c r="AV13" s="275">
        <f t="shared" si="23"/>
        <v>1</v>
      </c>
      <c r="AW13" s="422">
        <v>60.89</v>
      </c>
      <c r="AX13" s="272">
        <f t="shared" si="24"/>
        <v>6</v>
      </c>
      <c r="AY13" s="272">
        <f>IFERROR(INDEX('Horo. M'!$O$3:O$367,MATCH(A13,'Horo. M'!$A$3:$A$367,0)),"")</f>
        <v>0</v>
      </c>
      <c r="AZ13" s="422">
        <v>10</v>
      </c>
      <c r="BA13" s="422">
        <v>8</v>
      </c>
      <c r="BB13" s="272">
        <f t="shared" si="25"/>
        <v>6</v>
      </c>
      <c r="BC13" s="274">
        <f t="shared" si="26"/>
        <v>0</v>
      </c>
      <c r="BD13" s="275">
        <f t="shared" si="27"/>
        <v>0.25</v>
      </c>
      <c r="BE13" s="422">
        <v>0.02</v>
      </c>
      <c r="BF13" s="272">
        <f t="shared" si="28"/>
        <v>0</v>
      </c>
      <c r="BG13" s="272">
        <f>IFERROR(INDEX('Horo. M'!$Q$3:Q$367,MATCH(A13,'Horo. M'!$A$3:$A$367,0)),"")</f>
        <v>24</v>
      </c>
      <c r="BH13" s="422">
        <v>0</v>
      </c>
      <c r="BI13" s="422">
        <v>0</v>
      </c>
      <c r="BJ13" s="272">
        <f t="shared" si="29"/>
        <v>24</v>
      </c>
      <c r="BK13" s="274">
        <f t="shared" si="30"/>
        <v>1</v>
      </c>
      <c r="BL13" s="275">
        <f t="shared" si="31"/>
        <v>1</v>
      </c>
      <c r="BM13" s="422">
        <v>202.65</v>
      </c>
      <c r="BN13" s="272">
        <f t="shared" si="32"/>
        <v>0</v>
      </c>
      <c r="BO13" s="272">
        <f>IFERROR(INDEX('Horo. M'!$S$3:S$367,MATCH(A13,'Horo. M'!$A$3:$A$367,0)),"")</f>
        <v>24</v>
      </c>
      <c r="BP13" s="422">
        <v>0</v>
      </c>
      <c r="BQ13" s="422">
        <v>0</v>
      </c>
      <c r="BR13" s="272">
        <f t="shared" si="33"/>
        <v>24</v>
      </c>
      <c r="BS13" s="274">
        <f t="shared" si="34"/>
        <v>1</v>
      </c>
      <c r="BT13" s="275">
        <f t="shared" si="35"/>
        <v>1</v>
      </c>
      <c r="BU13" s="422">
        <v>205.67</v>
      </c>
      <c r="BV13" s="272">
        <f t="shared" si="36"/>
        <v>0</v>
      </c>
      <c r="BW13" s="272">
        <f>IFERROR(INDEX('Horo. M'!$U$3:U$367,MATCH(A13,'Horo. M'!$A$3:$A$367,0)),"")</f>
        <v>24</v>
      </c>
      <c r="BX13" s="422">
        <v>0</v>
      </c>
      <c r="BY13" s="422">
        <v>0</v>
      </c>
      <c r="BZ13" s="272">
        <f t="shared" si="37"/>
        <v>24</v>
      </c>
      <c r="CA13" s="274">
        <f t="shared" si="38"/>
        <v>1</v>
      </c>
      <c r="CB13" s="275">
        <f t="shared" si="39"/>
        <v>1</v>
      </c>
      <c r="CC13" s="422">
        <v>204.89</v>
      </c>
    </row>
    <row r="14" spans="1:81">
      <c r="A14" s="279">
        <v>44939</v>
      </c>
      <c r="B14" s="278">
        <f t="shared" si="0"/>
        <v>0</v>
      </c>
      <c r="C14" s="272">
        <f>IFERROR(INDEX('Horo. M'!$C$3:$C$367,MATCH(A14,'Horo. M'!$A$3:$A$367,0)),"")</f>
        <v>24</v>
      </c>
      <c r="D14" s="422">
        <v>0</v>
      </c>
      <c r="E14" s="422">
        <v>0</v>
      </c>
      <c r="F14" s="272">
        <f t="shared" si="1"/>
        <v>24</v>
      </c>
      <c r="G14" s="274">
        <f t="shared" si="2"/>
        <v>1</v>
      </c>
      <c r="H14" s="275">
        <f t="shared" si="3"/>
        <v>1</v>
      </c>
      <c r="I14" s="422">
        <v>179.7</v>
      </c>
      <c r="J14" s="278">
        <f t="shared" si="4"/>
        <v>0</v>
      </c>
      <c r="K14" s="272">
        <f>IFERROR(INDEX('Horo. M'!$E$3:$E$367,MATCH(A14,'Horo. M'!$A$3:$A$367,0)),"")</f>
        <v>24</v>
      </c>
      <c r="L14" s="422">
        <v>0</v>
      </c>
      <c r="M14" s="422">
        <v>0</v>
      </c>
      <c r="N14" s="272">
        <f t="shared" si="5"/>
        <v>24</v>
      </c>
      <c r="O14" s="274">
        <f t="shared" si="6"/>
        <v>1</v>
      </c>
      <c r="P14" s="275">
        <f t="shared" si="7"/>
        <v>1</v>
      </c>
      <c r="Q14" s="422">
        <v>207.7</v>
      </c>
      <c r="R14" s="278">
        <f t="shared" si="8"/>
        <v>0</v>
      </c>
      <c r="S14" s="272">
        <f>IFERROR(INDEX('Horo. M'!G$3:$G$367,MATCH(A14,'Horo. M'!$A$3:$A$367,0)),"")</f>
        <v>24</v>
      </c>
      <c r="T14" s="422">
        <v>0</v>
      </c>
      <c r="U14" s="422">
        <v>0</v>
      </c>
      <c r="V14" s="272">
        <f t="shared" si="9"/>
        <v>24</v>
      </c>
      <c r="W14" s="274">
        <f t="shared" si="10"/>
        <v>1</v>
      </c>
      <c r="X14" s="275">
        <f t="shared" si="11"/>
        <v>1</v>
      </c>
      <c r="Y14" s="422">
        <v>204.17</v>
      </c>
      <c r="Z14" s="278">
        <f t="shared" si="12"/>
        <v>4</v>
      </c>
      <c r="AA14" s="272">
        <f>IFERROR(INDEX('Horo. M'!$I$3:I$367,MATCH(A14,'Horo. M'!$A$3:$A$367,0)),"")</f>
        <v>20</v>
      </c>
      <c r="AB14" s="422">
        <v>0</v>
      </c>
      <c r="AC14" s="422">
        <v>0</v>
      </c>
      <c r="AD14" s="272">
        <f t="shared" si="13"/>
        <v>24</v>
      </c>
      <c r="AE14" s="274">
        <f t="shared" si="14"/>
        <v>0.83333333333333337</v>
      </c>
      <c r="AF14" s="275">
        <f t="shared" si="15"/>
        <v>1</v>
      </c>
      <c r="AG14" s="422">
        <v>66.290000000000006</v>
      </c>
      <c r="AH14" s="272">
        <f t="shared" si="16"/>
        <v>0</v>
      </c>
      <c r="AI14" s="272">
        <f>IFERROR(INDEX('Horo. M'!$K$3:K$367,MATCH(A14,'Horo. M'!$A$3:$A$367,0)),"")</f>
        <v>0</v>
      </c>
      <c r="AJ14" s="422">
        <v>0</v>
      </c>
      <c r="AK14" s="422">
        <v>24</v>
      </c>
      <c r="AL14" s="272">
        <f t="shared" si="17"/>
        <v>0</v>
      </c>
      <c r="AM14" s="274">
        <f t="shared" si="18"/>
        <v>0</v>
      </c>
      <c r="AN14" s="275">
        <f t="shared" si="19"/>
        <v>0</v>
      </c>
      <c r="AO14" s="422">
        <v>0</v>
      </c>
      <c r="AP14" s="272">
        <f t="shared" si="20"/>
        <v>3</v>
      </c>
      <c r="AQ14" s="272">
        <f>IFERROR(INDEX('Horo. M'!$M$3:M$367,MATCH(A14,'Horo. M'!$A$3:$A$367,0)),"")</f>
        <v>21</v>
      </c>
      <c r="AR14" s="422">
        <v>0</v>
      </c>
      <c r="AS14" s="422">
        <v>0</v>
      </c>
      <c r="AT14" s="272">
        <f t="shared" si="21"/>
        <v>24</v>
      </c>
      <c r="AU14" s="274">
        <f t="shared" si="22"/>
        <v>0.875</v>
      </c>
      <c r="AV14" s="275">
        <f t="shared" si="23"/>
        <v>1</v>
      </c>
      <c r="AW14" s="422">
        <v>65.42</v>
      </c>
      <c r="AX14" s="272">
        <f t="shared" si="24"/>
        <v>0</v>
      </c>
      <c r="AY14" s="272">
        <f>IFERROR(INDEX('Horo. M'!$O$3:O$367,MATCH(A14,'Horo. M'!$A$3:$A$367,0)),"")</f>
        <v>24</v>
      </c>
      <c r="AZ14" s="422">
        <v>0</v>
      </c>
      <c r="BA14" s="422">
        <v>0</v>
      </c>
      <c r="BB14" s="272">
        <f t="shared" si="25"/>
        <v>24</v>
      </c>
      <c r="BC14" s="274">
        <f t="shared" si="26"/>
        <v>1</v>
      </c>
      <c r="BD14" s="275">
        <f t="shared" si="27"/>
        <v>1</v>
      </c>
      <c r="BE14" s="422">
        <v>203.07</v>
      </c>
      <c r="BF14" s="272">
        <f t="shared" si="28"/>
        <v>0</v>
      </c>
      <c r="BG14" s="272">
        <f>IFERROR(INDEX('Horo. M'!$Q$3:Q$367,MATCH(A14,'Horo. M'!$A$3:$A$367,0)),"")</f>
        <v>24</v>
      </c>
      <c r="BH14" s="422">
        <v>0</v>
      </c>
      <c r="BI14" s="422">
        <v>0</v>
      </c>
      <c r="BJ14" s="272">
        <f t="shared" si="29"/>
        <v>24</v>
      </c>
      <c r="BK14" s="274">
        <f t="shared" si="30"/>
        <v>1</v>
      </c>
      <c r="BL14" s="275">
        <f t="shared" si="31"/>
        <v>1</v>
      </c>
      <c r="BM14" s="422">
        <v>202.58</v>
      </c>
      <c r="BN14" s="272">
        <f t="shared" si="32"/>
        <v>0</v>
      </c>
      <c r="BO14" s="272">
        <f>IFERROR(INDEX('Horo. M'!$S$3:S$367,MATCH(A14,'Horo. M'!$A$3:$A$367,0)),"")</f>
        <v>24</v>
      </c>
      <c r="BP14" s="422">
        <v>0</v>
      </c>
      <c r="BQ14" s="422">
        <v>0</v>
      </c>
      <c r="BR14" s="272">
        <f t="shared" si="33"/>
        <v>24</v>
      </c>
      <c r="BS14" s="274">
        <f t="shared" si="34"/>
        <v>1</v>
      </c>
      <c r="BT14" s="275">
        <f t="shared" si="35"/>
        <v>1</v>
      </c>
      <c r="BU14" s="422">
        <v>211.24</v>
      </c>
      <c r="BV14" s="272">
        <f t="shared" si="36"/>
        <v>1</v>
      </c>
      <c r="BW14" s="272">
        <f>IFERROR(INDEX('Horo. M'!$U$3:U$367,MATCH(A14,'Horo. M'!$A$3:$A$367,0)),"")</f>
        <v>0</v>
      </c>
      <c r="BX14" s="422">
        <v>9</v>
      </c>
      <c r="BY14" s="422">
        <v>14</v>
      </c>
      <c r="BZ14" s="272">
        <f t="shared" si="37"/>
        <v>1</v>
      </c>
      <c r="CA14" s="274">
        <f t="shared" si="38"/>
        <v>0</v>
      </c>
      <c r="CB14" s="275">
        <f t="shared" si="39"/>
        <v>4.1666666666666664E-2</v>
      </c>
      <c r="CC14" s="422">
        <v>0</v>
      </c>
    </row>
    <row r="15" spans="1:81">
      <c r="A15" s="279">
        <v>44940</v>
      </c>
      <c r="B15" s="278">
        <f t="shared" si="0"/>
        <v>0</v>
      </c>
      <c r="C15" s="272">
        <f>IFERROR(INDEX('Horo. M'!$C$3:$C$367,MATCH(A15,'Horo. M'!$A$3:$A$367,0)),"")</f>
        <v>24</v>
      </c>
      <c r="D15" s="422">
        <v>0</v>
      </c>
      <c r="E15" s="422">
        <v>0</v>
      </c>
      <c r="F15" s="272">
        <f t="shared" si="1"/>
        <v>24</v>
      </c>
      <c r="G15" s="274">
        <f t="shared" si="2"/>
        <v>1</v>
      </c>
      <c r="H15" s="275">
        <f t="shared" si="3"/>
        <v>1</v>
      </c>
      <c r="I15" s="422">
        <v>156.30000000000001</v>
      </c>
      <c r="J15" s="278">
        <f t="shared" si="4"/>
        <v>8</v>
      </c>
      <c r="K15" s="272">
        <f>IFERROR(INDEX('Horo. M'!$E$3:$E$367,MATCH(A15,'Horo. M'!$A$3:$A$367,0)),"")</f>
        <v>0</v>
      </c>
      <c r="L15" s="422">
        <v>16</v>
      </c>
      <c r="M15" s="422">
        <v>0</v>
      </c>
      <c r="N15" s="272">
        <f t="shared" si="5"/>
        <v>8</v>
      </c>
      <c r="O15" s="274">
        <f t="shared" si="6"/>
        <v>0</v>
      </c>
      <c r="P15" s="275">
        <f t="shared" si="7"/>
        <v>0.33333333333333331</v>
      </c>
      <c r="Q15" s="422">
        <v>0</v>
      </c>
      <c r="R15" s="278">
        <f t="shared" si="8"/>
        <v>0</v>
      </c>
      <c r="S15" s="272">
        <f>IFERROR(INDEX('Horo. M'!G$3:$G$367,MATCH(A15,'Horo. M'!$A$3:$A$367,0)),"")</f>
        <v>24</v>
      </c>
      <c r="T15" s="422">
        <v>0</v>
      </c>
      <c r="U15" s="422">
        <v>0</v>
      </c>
      <c r="V15" s="272">
        <f t="shared" si="9"/>
        <v>24</v>
      </c>
      <c r="W15" s="274">
        <f t="shared" si="10"/>
        <v>1</v>
      </c>
      <c r="X15" s="275">
        <f t="shared" si="11"/>
        <v>1</v>
      </c>
      <c r="Y15" s="422">
        <v>208.44</v>
      </c>
      <c r="Z15" s="278">
        <f t="shared" si="12"/>
        <v>0</v>
      </c>
      <c r="AA15" s="272">
        <f>IFERROR(INDEX('Horo. M'!$I$3:I$367,MATCH(A15,'Horo. M'!$A$3:$A$367,0)),"")</f>
        <v>24</v>
      </c>
      <c r="AB15" s="422">
        <v>0</v>
      </c>
      <c r="AC15" s="422">
        <v>0</v>
      </c>
      <c r="AD15" s="272">
        <f t="shared" si="13"/>
        <v>24</v>
      </c>
      <c r="AE15" s="274">
        <f t="shared" si="14"/>
        <v>1</v>
      </c>
      <c r="AF15" s="275">
        <f t="shared" si="15"/>
        <v>1</v>
      </c>
      <c r="AG15" s="422">
        <v>74.12</v>
      </c>
      <c r="AH15" s="272">
        <f t="shared" si="16"/>
        <v>0</v>
      </c>
      <c r="AI15" s="272">
        <f>IFERROR(INDEX('Horo. M'!$K$3:K$367,MATCH(A15,'Horo. M'!$A$3:$A$367,0)),"")</f>
        <v>0</v>
      </c>
      <c r="AJ15" s="422">
        <v>0</v>
      </c>
      <c r="AK15" s="422">
        <v>24</v>
      </c>
      <c r="AL15" s="272">
        <f t="shared" si="17"/>
        <v>0</v>
      </c>
      <c r="AM15" s="274">
        <f t="shared" si="18"/>
        <v>0</v>
      </c>
      <c r="AN15" s="275">
        <f t="shared" si="19"/>
        <v>0</v>
      </c>
      <c r="AO15" s="422">
        <v>0</v>
      </c>
      <c r="AP15" s="272">
        <f t="shared" si="20"/>
        <v>2</v>
      </c>
      <c r="AQ15" s="272">
        <f>IFERROR(INDEX('Horo. M'!$M$3:M$367,MATCH(A15,'Horo. M'!$A$3:$A$367,0)),"")</f>
        <v>22</v>
      </c>
      <c r="AR15" s="422">
        <v>0</v>
      </c>
      <c r="AS15" s="422">
        <v>0</v>
      </c>
      <c r="AT15" s="272">
        <f t="shared" si="21"/>
        <v>24</v>
      </c>
      <c r="AU15" s="274">
        <f t="shared" si="22"/>
        <v>0.91666666666666663</v>
      </c>
      <c r="AV15" s="275">
        <f t="shared" si="23"/>
        <v>1</v>
      </c>
      <c r="AW15" s="422">
        <v>70.64</v>
      </c>
      <c r="AX15" s="272">
        <f t="shared" si="24"/>
        <v>0</v>
      </c>
      <c r="AY15" s="272">
        <f>IFERROR(INDEX('Horo. M'!$O$3:O$367,MATCH(A15,'Horo. M'!$A$3:$A$367,0)),"")</f>
        <v>24</v>
      </c>
      <c r="AZ15" s="422">
        <v>0</v>
      </c>
      <c r="BA15" s="422">
        <v>0</v>
      </c>
      <c r="BB15" s="272">
        <f t="shared" si="25"/>
        <v>24</v>
      </c>
      <c r="BC15" s="274">
        <f t="shared" si="26"/>
        <v>1</v>
      </c>
      <c r="BD15" s="275">
        <f t="shared" si="27"/>
        <v>1</v>
      </c>
      <c r="BE15" s="422">
        <v>207.28</v>
      </c>
      <c r="BF15" s="272">
        <f t="shared" si="28"/>
        <v>0</v>
      </c>
      <c r="BG15" s="272">
        <f>IFERROR(INDEX('Horo. M'!$Q$3:Q$367,MATCH(A15,'Horo. M'!$A$3:$A$367,0)),"")</f>
        <v>24</v>
      </c>
      <c r="BH15" s="422">
        <v>0</v>
      </c>
      <c r="BI15" s="422">
        <v>0</v>
      </c>
      <c r="BJ15" s="272">
        <f t="shared" si="29"/>
        <v>24</v>
      </c>
      <c r="BK15" s="274">
        <f t="shared" si="30"/>
        <v>1</v>
      </c>
      <c r="BL15" s="275">
        <f t="shared" si="31"/>
        <v>1</v>
      </c>
      <c r="BM15" s="422">
        <v>207.89</v>
      </c>
      <c r="BN15" s="272">
        <f t="shared" si="32"/>
        <v>0</v>
      </c>
      <c r="BO15" s="272">
        <f>IFERROR(INDEX('Horo. M'!$S$3:S$367,MATCH(A15,'Horo. M'!$A$3:$A$367,0)),"")</f>
        <v>24</v>
      </c>
      <c r="BP15" s="422">
        <v>0</v>
      </c>
      <c r="BQ15" s="422">
        <v>0</v>
      </c>
      <c r="BR15" s="272">
        <f t="shared" si="33"/>
        <v>24</v>
      </c>
      <c r="BS15" s="274">
        <f t="shared" si="34"/>
        <v>1</v>
      </c>
      <c r="BT15" s="275">
        <f t="shared" si="35"/>
        <v>1</v>
      </c>
      <c r="BU15" s="422">
        <v>207.14</v>
      </c>
      <c r="BV15" s="272">
        <f t="shared" si="36"/>
        <v>0</v>
      </c>
      <c r="BW15" s="272">
        <f>IFERROR(INDEX('Horo. M'!$U$3:U$367,MATCH(A15,'Horo. M'!$A$3:$A$367,0)),"")</f>
        <v>24</v>
      </c>
      <c r="BX15" s="422">
        <v>0</v>
      </c>
      <c r="BY15" s="422">
        <v>0</v>
      </c>
      <c r="BZ15" s="272">
        <f t="shared" si="37"/>
        <v>24</v>
      </c>
      <c r="CA15" s="274">
        <f t="shared" si="38"/>
        <v>1</v>
      </c>
      <c r="CB15" s="275">
        <f t="shared" si="39"/>
        <v>1</v>
      </c>
      <c r="CC15" s="422">
        <v>200.24</v>
      </c>
    </row>
    <row r="16" spans="1:81">
      <c r="A16" s="279">
        <v>44941</v>
      </c>
      <c r="B16" s="278">
        <f t="shared" si="0"/>
        <v>5</v>
      </c>
      <c r="C16" s="272">
        <f>IFERROR(INDEX('Horo. M'!$C$3:$C$367,MATCH(A16,'Horo. M'!$A$3:$A$367,0)),"")</f>
        <v>19</v>
      </c>
      <c r="D16" s="422">
        <v>0</v>
      </c>
      <c r="E16" s="422">
        <v>0</v>
      </c>
      <c r="F16" s="272">
        <f t="shared" si="1"/>
        <v>24</v>
      </c>
      <c r="G16" s="274">
        <f t="shared" si="2"/>
        <v>0.79166666666666663</v>
      </c>
      <c r="H16" s="275">
        <f t="shared" si="3"/>
        <v>1</v>
      </c>
      <c r="I16" s="422">
        <v>124.9</v>
      </c>
      <c r="J16" s="278">
        <f t="shared" si="4"/>
        <v>0</v>
      </c>
      <c r="K16" s="272">
        <f>IFERROR(INDEX('Horo. M'!$E$3:$E$367,MATCH(A16,'Horo. M'!$A$3:$A$367,0)),"")</f>
        <v>24</v>
      </c>
      <c r="L16" s="422">
        <v>0</v>
      </c>
      <c r="M16" s="422">
        <v>0</v>
      </c>
      <c r="N16" s="272">
        <f t="shared" si="5"/>
        <v>24</v>
      </c>
      <c r="O16" s="274">
        <f t="shared" si="6"/>
        <v>1</v>
      </c>
      <c r="P16" s="275">
        <f t="shared" si="7"/>
        <v>1</v>
      </c>
      <c r="Q16" s="422">
        <v>189.9</v>
      </c>
      <c r="R16" s="278">
        <f t="shared" si="8"/>
        <v>0</v>
      </c>
      <c r="S16" s="272">
        <f>IFERROR(INDEX('Horo. M'!G$3:$G$367,MATCH(A16,'Horo. M'!$A$3:$A$367,0)),"")</f>
        <v>24</v>
      </c>
      <c r="T16" s="422">
        <v>0</v>
      </c>
      <c r="U16" s="422">
        <v>0</v>
      </c>
      <c r="V16" s="272">
        <f t="shared" si="9"/>
        <v>24</v>
      </c>
      <c r="W16" s="274">
        <f t="shared" si="10"/>
        <v>1</v>
      </c>
      <c r="X16" s="275">
        <f t="shared" si="11"/>
        <v>1</v>
      </c>
      <c r="Y16" s="422">
        <v>179.26</v>
      </c>
      <c r="Z16" s="278">
        <f t="shared" si="12"/>
        <v>4</v>
      </c>
      <c r="AA16" s="272">
        <f>IFERROR(INDEX('Horo. M'!$I$3:I$367,MATCH(A16,'Horo. M'!$A$3:$A$367,0)),"")</f>
        <v>20</v>
      </c>
      <c r="AB16" s="422">
        <v>0</v>
      </c>
      <c r="AC16" s="422">
        <v>0</v>
      </c>
      <c r="AD16" s="272">
        <f t="shared" si="13"/>
        <v>24</v>
      </c>
      <c r="AE16" s="274">
        <f t="shared" si="14"/>
        <v>0.83333333333333337</v>
      </c>
      <c r="AF16" s="275">
        <f t="shared" si="15"/>
        <v>1</v>
      </c>
      <c r="AG16" s="422">
        <v>60.51</v>
      </c>
      <c r="AH16" s="272">
        <f t="shared" si="16"/>
        <v>0</v>
      </c>
      <c r="AI16" s="272">
        <f>IFERROR(INDEX('Horo. M'!$K$3:K$367,MATCH(A16,'Horo. M'!$A$3:$A$367,0)),"")</f>
        <v>0</v>
      </c>
      <c r="AJ16" s="422">
        <v>0</v>
      </c>
      <c r="AK16" s="422">
        <v>24</v>
      </c>
      <c r="AL16" s="272">
        <f t="shared" si="17"/>
        <v>0</v>
      </c>
      <c r="AM16" s="274">
        <f t="shared" si="18"/>
        <v>0</v>
      </c>
      <c r="AN16" s="275">
        <f t="shared" si="19"/>
        <v>0</v>
      </c>
      <c r="AO16" s="422">
        <v>0</v>
      </c>
      <c r="AP16" s="272">
        <f t="shared" si="20"/>
        <v>3</v>
      </c>
      <c r="AQ16" s="272">
        <f>IFERROR(INDEX('Horo. M'!$M$3:M$367,MATCH(A16,'Horo. M'!$A$3:$A$367,0)),"")</f>
        <v>0</v>
      </c>
      <c r="AR16" s="422">
        <v>6</v>
      </c>
      <c r="AS16" s="422">
        <v>15</v>
      </c>
      <c r="AT16" s="272">
        <f t="shared" si="21"/>
        <v>3</v>
      </c>
      <c r="AU16" s="274">
        <f t="shared" si="22"/>
        <v>0</v>
      </c>
      <c r="AV16" s="275">
        <f t="shared" si="23"/>
        <v>0.125</v>
      </c>
      <c r="AW16" s="422">
        <v>0.03</v>
      </c>
      <c r="AX16" s="272">
        <f t="shared" si="24"/>
        <v>0</v>
      </c>
      <c r="AY16" s="272">
        <f>IFERROR(INDEX('Horo. M'!$O$3:O$367,MATCH(A16,'Horo. M'!$A$3:$A$367,0)),"")</f>
        <v>24</v>
      </c>
      <c r="AZ16" s="422">
        <v>0</v>
      </c>
      <c r="BA16" s="422">
        <v>0</v>
      </c>
      <c r="BB16" s="272">
        <f t="shared" si="25"/>
        <v>24</v>
      </c>
      <c r="BC16" s="274">
        <f t="shared" si="26"/>
        <v>1</v>
      </c>
      <c r="BD16" s="275">
        <f t="shared" si="27"/>
        <v>1</v>
      </c>
      <c r="BE16" s="422">
        <v>191.42</v>
      </c>
      <c r="BF16" s="272">
        <f t="shared" si="28"/>
        <v>0</v>
      </c>
      <c r="BG16" s="272">
        <f>IFERROR(INDEX('Horo. M'!$Q$3:Q$367,MATCH(A16,'Horo. M'!$A$3:$A$367,0)),"")</f>
        <v>24</v>
      </c>
      <c r="BH16" s="422">
        <v>0</v>
      </c>
      <c r="BI16" s="422">
        <v>0</v>
      </c>
      <c r="BJ16" s="272">
        <f t="shared" si="29"/>
        <v>24</v>
      </c>
      <c r="BK16" s="274">
        <f t="shared" si="30"/>
        <v>1</v>
      </c>
      <c r="BL16" s="275">
        <f t="shared" si="31"/>
        <v>1</v>
      </c>
      <c r="BM16" s="422">
        <v>201.37</v>
      </c>
      <c r="BN16" s="272">
        <f t="shared" si="32"/>
        <v>0</v>
      </c>
      <c r="BO16" s="272">
        <f>IFERROR(INDEX('Horo. M'!$S$3:S$367,MATCH(A16,'Horo. M'!$A$3:$A$367,0)),"")</f>
        <v>24</v>
      </c>
      <c r="BP16" s="422">
        <v>0</v>
      </c>
      <c r="BQ16" s="422">
        <v>0</v>
      </c>
      <c r="BR16" s="272">
        <f t="shared" si="33"/>
        <v>24</v>
      </c>
      <c r="BS16" s="274">
        <f t="shared" si="34"/>
        <v>1</v>
      </c>
      <c r="BT16" s="275">
        <f t="shared" si="35"/>
        <v>1</v>
      </c>
      <c r="BU16" s="422">
        <v>197.33</v>
      </c>
      <c r="BV16" s="272">
        <f t="shared" si="36"/>
        <v>0</v>
      </c>
      <c r="BW16" s="272">
        <f>IFERROR(INDEX('Horo. M'!$U$3:U$367,MATCH(A16,'Horo. M'!$A$3:$A$367,0)),"")</f>
        <v>24</v>
      </c>
      <c r="BX16" s="422">
        <v>0</v>
      </c>
      <c r="BY16" s="422">
        <v>0</v>
      </c>
      <c r="BZ16" s="272">
        <f t="shared" si="37"/>
        <v>24</v>
      </c>
      <c r="CA16" s="274">
        <f t="shared" si="38"/>
        <v>1</v>
      </c>
      <c r="CB16" s="275">
        <f t="shared" si="39"/>
        <v>1</v>
      </c>
      <c r="CC16" s="422">
        <v>189.13</v>
      </c>
    </row>
    <row r="17" spans="1:81">
      <c r="A17" s="279">
        <v>44942</v>
      </c>
      <c r="B17" s="278">
        <f t="shared" si="0"/>
        <v>0</v>
      </c>
      <c r="C17" s="272">
        <f>IFERROR(INDEX('Horo. M'!$C$3:$C$367,MATCH(A17,'Horo. M'!$A$3:$A$367,0)),"")</f>
        <v>24</v>
      </c>
      <c r="D17" s="422">
        <v>0</v>
      </c>
      <c r="E17" s="422">
        <v>0</v>
      </c>
      <c r="F17" s="272">
        <f t="shared" si="1"/>
        <v>24</v>
      </c>
      <c r="G17" s="274">
        <f t="shared" si="2"/>
        <v>1</v>
      </c>
      <c r="H17" s="275">
        <f t="shared" si="3"/>
        <v>1</v>
      </c>
      <c r="I17" s="422">
        <v>163.30000000000001</v>
      </c>
      <c r="J17" s="278">
        <f t="shared" si="4"/>
        <v>0</v>
      </c>
      <c r="K17" s="272">
        <f>IFERROR(INDEX('Horo. M'!$E$3:$E$367,MATCH(A17,'Horo. M'!$A$3:$A$367,0)),"")</f>
        <v>24</v>
      </c>
      <c r="L17" s="422">
        <v>0</v>
      </c>
      <c r="M17" s="422">
        <v>0</v>
      </c>
      <c r="N17" s="272">
        <f t="shared" si="5"/>
        <v>24</v>
      </c>
      <c r="O17" s="274">
        <f t="shared" si="6"/>
        <v>1</v>
      </c>
      <c r="P17" s="275">
        <f t="shared" si="7"/>
        <v>1</v>
      </c>
      <c r="Q17" s="422">
        <v>208.8</v>
      </c>
      <c r="R17" s="278">
        <f t="shared" si="8"/>
        <v>0</v>
      </c>
      <c r="S17" s="272">
        <f>IFERROR(INDEX('Horo. M'!G$3:$G$367,MATCH(A17,'Horo. M'!$A$3:$A$367,0)),"")</f>
        <v>24</v>
      </c>
      <c r="T17" s="422">
        <v>0</v>
      </c>
      <c r="U17" s="422">
        <v>0</v>
      </c>
      <c r="V17" s="272">
        <f t="shared" si="9"/>
        <v>24</v>
      </c>
      <c r="W17" s="274">
        <f t="shared" si="10"/>
        <v>1</v>
      </c>
      <c r="X17" s="275">
        <f t="shared" si="11"/>
        <v>1</v>
      </c>
      <c r="Y17" s="422">
        <v>199.38</v>
      </c>
      <c r="Z17" s="278">
        <f t="shared" si="12"/>
        <v>0</v>
      </c>
      <c r="AA17" s="272">
        <f>IFERROR(INDEX('Horo. M'!$I$3:I$367,MATCH(A17,'Horo. M'!$A$3:$A$367,0)),"")</f>
        <v>24</v>
      </c>
      <c r="AB17" s="422">
        <v>0</v>
      </c>
      <c r="AC17" s="422">
        <v>0</v>
      </c>
      <c r="AD17" s="272">
        <f t="shared" si="13"/>
        <v>24</v>
      </c>
      <c r="AE17" s="274">
        <f t="shared" si="14"/>
        <v>1</v>
      </c>
      <c r="AF17" s="275">
        <f t="shared" si="15"/>
        <v>1</v>
      </c>
      <c r="AG17" s="422">
        <v>88.58</v>
      </c>
      <c r="AH17" s="272">
        <f t="shared" si="16"/>
        <v>0</v>
      </c>
      <c r="AI17" s="272">
        <f>IFERROR(INDEX('Horo. M'!$K$3:K$367,MATCH(A17,'Horo. M'!$A$3:$A$367,0)),"")</f>
        <v>0</v>
      </c>
      <c r="AJ17" s="422">
        <v>0</v>
      </c>
      <c r="AK17" s="422">
        <v>24</v>
      </c>
      <c r="AL17" s="272">
        <f t="shared" si="17"/>
        <v>0</v>
      </c>
      <c r="AM17" s="274">
        <f t="shared" si="18"/>
        <v>0</v>
      </c>
      <c r="AN17" s="275">
        <f t="shared" si="19"/>
        <v>0</v>
      </c>
      <c r="AO17" s="422">
        <v>0</v>
      </c>
      <c r="AP17" s="272">
        <f t="shared" si="20"/>
        <v>7</v>
      </c>
      <c r="AQ17" s="272">
        <f>IFERROR(INDEX('Horo. M'!$M$3:M$367,MATCH(A17,'Horo. M'!$A$3:$A$367,0)),"")</f>
        <v>13</v>
      </c>
      <c r="AR17" s="422">
        <v>0</v>
      </c>
      <c r="AS17" s="422">
        <v>4</v>
      </c>
      <c r="AT17" s="272">
        <f t="shared" si="21"/>
        <v>20</v>
      </c>
      <c r="AU17" s="274">
        <f t="shared" si="22"/>
        <v>0.54166666666666663</v>
      </c>
      <c r="AV17" s="275">
        <f t="shared" si="23"/>
        <v>0.83333333333333337</v>
      </c>
      <c r="AW17" s="422">
        <v>58.92</v>
      </c>
      <c r="AX17" s="272">
        <f t="shared" si="24"/>
        <v>0</v>
      </c>
      <c r="AY17" s="272">
        <f>IFERROR(INDEX('Horo. M'!$O$3:O$367,MATCH(A17,'Horo. M'!$A$3:$A$367,0)),"")</f>
        <v>24</v>
      </c>
      <c r="AZ17" s="422">
        <v>0</v>
      </c>
      <c r="BA17" s="422">
        <v>0</v>
      </c>
      <c r="BB17" s="272">
        <f t="shared" si="25"/>
        <v>24</v>
      </c>
      <c r="BC17" s="274">
        <f t="shared" si="26"/>
        <v>1</v>
      </c>
      <c r="BD17" s="275">
        <f t="shared" si="27"/>
        <v>1</v>
      </c>
      <c r="BE17" s="422">
        <v>206.74</v>
      </c>
      <c r="BF17" s="272">
        <f t="shared" si="28"/>
        <v>0</v>
      </c>
      <c r="BG17" s="272">
        <f>IFERROR(INDEX('Horo. M'!$Q$3:Q$367,MATCH(A17,'Horo. M'!$A$3:$A$367,0)),"")</f>
        <v>21</v>
      </c>
      <c r="BH17" s="422">
        <v>3</v>
      </c>
      <c r="BI17" s="422">
        <v>0</v>
      </c>
      <c r="BJ17" s="272">
        <f t="shared" si="29"/>
        <v>21</v>
      </c>
      <c r="BK17" s="274">
        <f t="shared" si="30"/>
        <v>0.875</v>
      </c>
      <c r="BL17" s="275">
        <f t="shared" si="31"/>
        <v>0.875</v>
      </c>
      <c r="BM17" s="422">
        <v>184.24</v>
      </c>
      <c r="BN17" s="272">
        <f t="shared" si="32"/>
        <v>0</v>
      </c>
      <c r="BO17" s="272">
        <f>IFERROR(INDEX('Horo. M'!$S$3:S$367,MATCH(A17,'Horo. M'!$A$3:$A$367,0)),"")</f>
        <v>24</v>
      </c>
      <c r="BP17" s="422">
        <v>0</v>
      </c>
      <c r="BQ17" s="422">
        <v>0</v>
      </c>
      <c r="BR17" s="272">
        <f t="shared" si="33"/>
        <v>24</v>
      </c>
      <c r="BS17" s="274">
        <f t="shared" si="34"/>
        <v>1</v>
      </c>
      <c r="BT17" s="275">
        <f t="shared" si="35"/>
        <v>1</v>
      </c>
      <c r="BU17" s="422">
        <v>212.61</v>
      </c>
      <c r="BV17" s="272">
        <f t="shared" si="36"/>
        <v>0</v>
      </c>
      <c r="BW17" s="272">
        <f>IFERROR(INDEX('Horo. M'!$U$3:U$367,MATCH(A17,'Horo. M'!$A$3:$A$367,0)),"")</f>
        <v>24</v>
      </c>
      <c r="BX17" s="422">
        <v>0</v>
      </c>
      <c r="BY17" s="422">
        <v>0</v>
      </c>
      <c r="BZ17" s="272">
        <f t="shared" si="37"/>
        <v>24</v>
      </c>
      <c r="CA17" s="274">
        <f t="shared" si="38"/>
        <v>1</v>
      </c>
      <c r="CB17" s="275">
        <f t="shared" si="39"/>
        <v>1</v>
      </c>
      <c r="CC17" s="422">
        <v>207.92</v>
      </c>
    </row>
    <row r="18" spans="1:81">
      <c r="A18" s="279">
        <v>44943</v>
      </c>
      <c r="B18" s="278">
        <f t="shared" si="0"/>
        <v>0</v>
      </c>
      <c r="C18" s="272">
        <f>IFERROR(INDEX('Horo. M'!$C$3:$C$367,MATCH(A18,'Horo. M'!$A$3:$A$367,0)),"")</f>
        <v>24</v>
      </c>
      <c r="D18" s="422">
        <v>0</v>
      </c>
      <c r="E18" s="422">
        <v>0</v>
      </c>
      <c r="F18" s="272">
        <f t="shared" si="1"/>
        <v>24</v>
      </c>
      <c r="G18" s="274">
        <f t="shared" si="2"/>
        <v>1</v>
      </c>
      <c r="H18" s="275">
        <f t="shared" si="3"/>
        <v>1</v>
      </c>
      <c r="I18" s="422">
        <v>158.1</v>
      </c>
      <c r="J18" s="278">
        <f t="shared" si="4"/>
        <v>0</v>
      </c>
      <c r="K18" s="272">
        <f>IFERROR(INDEX('Horo. M'!$E$3:$E$367,MATCH(A18,'Horo. M'!$A$3:$A$367,0)),"")</f>
        <v>24</v>
      </c>
      <c r="L18" s="422">
        <v>0</v>
      </c>
      <c r="M18" s="422">
        <v>0</v>
      </c>
      <c r="N18" s="272">
        <f t="shared" si="5"/>
        <v>24</v>
      </c>
      <c r="O18" s="274">
        <f t="shared" si="6"/>
        <v>1</v>
      </c>
      <c r="P18" s="275">
        <f t="shared" si="7"/>
        <v>1</v>
      </c>
      <c r="Q18" s="422">
        <v>209.4</v>
      </c>
      <c r="R18" s="278">
        <f t="shared" si="8"/>
        <v>0</v>
      </c>
      <c r="S18" s="272">
        <f>IFERROR(INDEX('Horo. M'!G$3:$G$367,MATCH(A18,'Horo. M'!$A$3:$A$367,0)),"")</f>
        <v>24</v>
      </c>
      <c r="T18" s="422">
        <v>0</v>
      </c>
      <c r="U18" s="422">
        <v>0</v>
      </c>
      <c r="V18" s="272">
        <f t="shared" si="9"/>
        <v>24</v>
      </c>
      <c r="W18" s="274">
        <f t="shared" si="10"/>
        <v>1</v>
      </c>
      <c r="X18" s="275">
        <f t="shared" si="11"/>
        <v>1</v>
      </c>
      <c r="Y18" s="422">
        <v>167.81</v>
      </c>
      <c r="Z18" s="278">
        <f t="shared" si="12"/>
        <v>0</v>
      </c>
      <c r="AA18" s="272">
        <f>IFERROR(INDEX('Horo. M'!$I$3:I$367,MATCH(A18,'Horo. M'!$A$3:$A$367,0)),"")</f>
        <v>24</v>
      </c>
      <c r="AB18" s="422">
        <v>0</v>
      </c>
      <c r="AC18" s="422">
        <v>0</v>
      </c>
      <c r="AD18" s="272">
        <f t="shared" si="13"/>
        <v>24</v>
      </c>
      <c r="AE18" s="274">
        <f t="shared" si="14"/>
        <v>1</v>
      </c>
      <c r="AF18" s="275">
        <f t="shared" si="15"/>
        <v>1</v>
      </c>
      <c r="AG18" s="422">
        <v>78.52</v>
      </c>
      <c r="AH18" s="272">
        <f t="shared" si="16"/>
        <v>0</v>
      </c>
      <c r="AI18" s="272">
        <f>IFERROR(INDEX('Horo. M'!$K$3:K$367,MATCH(A18,'Horo. M'!$A$3:$A$367,0)),"")</f>
        <v>0</v>
      </c>
      <c r="AJ18" s="422">
        <v>0</v>
      </c>
      <c r="AK18" s="422">
        <v>24</v>
      </c>
      <c r="AL18" s="272">
        <f t="shared" si="17"/>
        <v>0</v>
      </c>
      <c r="AM18" s="274">
        <f t="shared" si="18"/>
        <v>0</v>
      </c>
      <c r="AN18" s="275">
        <f t="shared" si="19"/>
        <v>0</v>
      </c>
      <c r="AO18" s="422">
        <v>0</v>
      </c>
      <c r="AP18" s="272">
        <f t="shared" si="20"/>
        <v>0</v>
      </c>
      <c r="AQ18" s="272">
        <f>IFERROR(INDEX('Horo. M'!$M$3:M$367,MATCH(A18,'Horo. M'!$A$3:$A$367,0)),"")</f>
        <v>24</v>
      </c>
      <c r="AR18" s="422">
        <v>0</v>
      </c>
      <c r="AS18" s="422">
        <v>0</v>
      </c>
      <c r="AT18" s="272">
        <f t="shared" si="21"/>
        <v>24</v>
      </c>
      <c r="AU18" s="274">
        <f t="shared" si="22"/>
        <v>1</v>
      </c>
      <c r="AV18" s="275">
        <f t="shared" si="23"/>
        <v>1</v>
      </c>
      <c r="AW18" s="422">
        <v>74.650000000000006</v>
      </c>
      <c r="AX18" s="272">
        <f t="shared" si="24"/>
        <v>0</v>
      </c>
      <c r="AY18" s="272">
        <f>IFERROR(INDEX('Horo. M'!$O$3:O$367,MATCH(A18,'Horo. M'!$A$3:$A$367,0)),"")</f>
        <v>24</v>
      </c>
      <c r="AZ18" s="422">
        <v>0</v>
      </c>
      <c r="BA18" s="422">
        <v>0</v>
      </c>
      <c r="BB18" s="272">
        <f t="shared" si="25"/>
        <v>24</v>
      </c>
      <c r="BC18" s="274">
        <f t="shared" si="26"/>
        <v>1</v>
      </c>
      <c r="BD18" s="275">
        <f t="shared" si="27"/>
        <v>1</v>
      </c>
      <c r="BE18" s="422">
        <v>207</v>
      </c>
      <c r="BF18" s="272">
        <f t="shared" si="28"/>
        <v>0</v>
      </c>
      <c r="BG18" s="272">
        <f>IFERROR(INDEX('Horo. M'!$Q$3:Q$367,MATCH(A18,'Horo. M'!$A$3:$A$367,0)),"")</f>
        <v>24</v>
      </c>
      <c r="BH18" s="422">
        <v>0</v>
      </c>
      <c r="BI18" s="422">
        <v>0</v>
      </c>
      <c r="BJ18" s="272">
        <f t="shared" si="29"/>
        <v>24</v>
      </c>
      <c r="BK18" s="274">
        <f t="shared" si="30"/>
        <v>1</v>
      </c>
      <c r="BL18" s="275">
        <f t="shared" si="31"/>
        <v>1</v>
      </c>
      <c r="BM18" s="422">
        <v>215.3</v>
      </c>
      <c r="BN18" s="272">
        <f t="shared" si="32"/>
        <v>0</v>
      </c>
      <c r="BO18" s="272">
        <f>IFERROR(INDEX('Horo. M'!$S$3:S$367,MATCH(A18,'Horo. M'!$A$3:$A$367,0)),"")</f>
        <v>24</v>
      </c>
      <c r="BP18" s="422">
        <v>0</v>
      </c>
      <c r="BQ18" s="422">
        <v>0</v>
      </c>
      <c r="BR18" s="272">
        <f t="shared" si="33"/>
        <v>24</v>
      </c>
      <c r="BS18" s="274">
        <f t="shared" si="34"/>
        <v>1</v>
      </c>
      <c r="BT18" s="275">
        <f t="shared" si="35"/>
        <v>1</v>
      </c>
      <c r="BU18" s="422">
        <v>212.7</v>
      </c>
      <c r="BV18" s="272">
        <f t="shared" si="36"/>
        <v>0</v>
      </c>
      <c r="BW18" s="272">
        <f>IFERROR(INDEX('Horo. M'!$U$3:U$367,MATCH(A18,'Horo. M'!$A$3:$A$367,0)),"")</f>
        <v>24</v>
      </c>
      <c r="BX18" s="422">
        <v>0</v>
      </c>
      <c r="BY18" s="422">
        <v>0</v>
      </c>
      <c r="BZ18" s="272">
        <f t="shared" si="37"/>
        <v>24</v>
      </c>
      <c r="CA18" s="274">
        <f t="shared" si="38"/>
        <v>1</v>
      </c>
      <c r="CB18" s="275">
        <f t="shared" si="39"/>
        <v>1</v>
      </c>
      <c r="CC18" s="422">
        <v>207.94</v>
      </c>
    </row>
    <row r="19" spans="1:81">
      <c r="A19" s="279">
        <v>44944</v>
      </c>
      <c r="B19" s="278">
        <f t="shared" si="0"/>
        <v>5</v>
      </c>
      <c r="C19" s="272">
        <f>IFERROR(INDEX('Horo. M'!$C$3:$C$367,MATCH(A19,'Horo. M'!$A$3:$A$367,0)),"")</f>
        <v>0</v>
      </c>
      <c r="D19" s="422">
        <v>14</v>
      </c>
      <c r="E19" s="422">
        <v>5</v>
      </c>
      <c r="F19" s="272">
        <f t="shared" si="1"/>
        <v>5</v>
      </c>
      <c r="G19" s="274">
        <f t="shared" si="2"/>
        <v>0</v>
      </c>
      <c r="H19" s="275">
        <f t="shared" si="3"/>
        <v>0.20833333333333334</v>
      </c>
      <c r="I19" s="422">
        <v>0</v>
      </c>
      <c r="J19" s="278">
        <f t="shared" si="4"/>
        <v>4</v>
      </c>
      <c r="K19" s="272">
        <f>IFERROR(INDEX('Horo. M'!$E$3:$E$367,MATCH(A19,'Horo. M'!$A$3:$A$367,0)),"")</f>
        <v>20</v>
      </c>
      <c r="L19" s="422">
        <v>0</v>
      </c>
      <c r="M19" s="422">
        <v>0</v>
      </c>
      <c r="N19" s="272">
        <f t="shared" si="5"/>
        <v>24</v>
      </c>
      <c r="O19" s="274">
        <f t="shared" si="6"/>
        <v>0.83333333333333337</v>
      </c>
      <c r="P19" s="275">
        <f t="shared" si="7"/>
        <v>1</v>
      </c>
      <c r="Q19" s="422">
        <v>183.5</v>
      </c>
      <c r="R19" s="278">
        <f t="shared" si="8"/>
        <v>2</v>
      </c>
      <c r="S19" s="272">
        <f>IFERROR(INDEX('Horo. M'!G$3:$G$367,MATCH(A19,'Horo. M'!$A$3:$A$367,0)),"")</f>
        <v>22</v>
      </c>
      <c r="T19" s="422">
        <v>0</v>
      </c>
      <c r="U19" s="422">
        <v>0</v>
      </c>
      <c r="V19" s="272">
        <f t="shared" si="9"/>
        <v>24</v>
      </c>
      <c r="W19" s="274">
        <f t="shared" si="10"/>
        <v>0.91666666666666663</v>
      </c>
      <c r="X19" s="275">
        <f t="shared" si="11"/>
        <v>1</v>
      </c>
      <c r="Y19" s="422">
        <v>137.66</v>
      </c>
      <c r="Z19" s="278">
        <f t="shared" si="12"/>
        <v>5</v>
      </c>
      <c r="AA19" s="272">
        <f>IFERROR(INDEX('Horo. M'!$I$3:I$367,MATCH(A19,'Horo. M'!$A$3:$A$367,0)),"")</f>
        <v>19</v>
      </c>
      <c r="AB19" s="422">
        <v>0</v>
      </c>
      <c r="AC19" s="422">
        <v>0</v>
      </c>
      <c r="AD19" s="272">
        <f t="shared" si="13"/>
        <v>24</v>
      </c>
      <c r="AE19" s="274">
        <f t="shared" si="14"/>
        <v>0.79166666666666663</v>
      </c>
      <c r="AF19" s="275">
        <f t="shared" si="15"/>
        <v>1</v>
      </c>
      <c r="AG19" s="422">
        <v>58.9</v>
      </c>
      <c r="AH19" s="272">
        <f t="shared" si="16"/>
        <v>0</v>
      </c>
      <c r="AI19" s="272">
        <f>IFERROR(INDEX('Horo. M'!$K$3:K$367,MATCH(A19,'Horo. M'!$A$3:$A$367,0)),"")</f>
        <v>0</v>
      </c>
      <c r="AJ19" s="422">
        <v>0</v>
      </c>
      <c r="AK19" s="422">
        <v>24</v>
      </c>
      <c r="AL19" s="272">
        <f t="shared" si="17"/>
        <v>0</v>
      </c>
      <c r="AM19" s="274">
        <f t="shared" si="18"/>
        <v>0</v>
      </c>
      <c r="AN19" s="275">
        <f t="shared" si="19"/>
        <v>0</v>
      </c>
      <c r="AO19" s="422">
        <v>0</v>
      </c>
      <c r="AP19" s="272">
        <f t="shared" si="20"/>
        <v>6</v>
      </c>
      <c r="AQ19" s="272">
        <f>IFERROR(INDEX('Horo. M'!$M$3:M$367,MATCH(A19,'Horo. M'!$A$3:$A$367,0)),"")</f>
        <v>18</v>
      </c>
      <c r="AR19" s="422">
        <v>0</v>
      </c>
      <c r="AS19" s="422">
        <v>0</v>
      </c>
      <c r="AT19" s="272">
        <f t="shared" si="21"/>
        <v>24</v>
      </c>
      <c r="AU19" s="274">
        <f t="shared" si="22"/>
        <v>0.75</v>
      </c>
      <c r="AV19" s="275">
        <f t="shared" si="23"/>
        <v>1</v>
      </c>
      <c r="AW19" s="422">
        <v>53.05</v>
      </c>
      <c r="AX19" s="272">
        <f t="shared" si="24"/>
        <v>3</v>
      </c>
      <c r="AY19" s="272">
        <f>IFERROR(INDEX('Horo. M'!$O$3:O$367,MATCH(A19,'Horo. M'!$A$3:$A$367,0)),"")</f>
        <v>21</v>
      </c>
      <c r="AZ19" s="422">
        <v>0</v>
      </c>
      <c r="BA19" s="422">
        <v>0</v>
      </c>
      <c r="BB19" s="272">
        <f t="shared" si="25"/>
        <v>24</v>
      </c>
      <c r="BC19" s="274">
        <f t="shared" si="26"/>
        <v>0.875</v>
      </c>
      <c r="BD19" s="275">
        <f t="shared" si="27"/>
        <v>1</v>
      </c>
      <c r="BE19" s="422">
        <v>178.09</v>
      </c>
      <c r="BF19" s="272">
        <f t="shared" si="28"/>
        <v>3</v>
      </c>
      <c r="BG19" s="272">
        <f>IFERROR(INDEX('Horo. M'!$Q$3:Q$367,MATCH(A19,'Horo. M'!$A$3:$A$367,0)),"")</f>
        <v>21</v>
      </c>
      <c r="BH19" s="422">
        <v>0</v>
      </c>
      <c r="BI19" s="422">
        <v>0</v>
      </c>
      <c r="BJ19" s="272">
        <f t="shared" si="29"/>
        <v>24</v>
      </c>
      <c r="BK19" s="274">
        <f t="shared" si="30"/>
        <v>0.875</v>
      </c>
      <c r="BL19" s="275">
        <f t="shared" si="31"/>
        <v>1</v>
      </c>
      <c r="BM19" s="422">
        <v>177.39</v>
      </c>
      <c r="BN19" s="272">
        <f t="shared" si="32"/>
        <v>4</v>
      </c>
      <c r="BO19" s="272">
        <f>IFERROR(INDEX('Horo. M'!$S$3:S$367,MATCH(A19,'Horo. M'!$A$3:$A$367,0)),"")</f>
        <v>20</v>
      </c>
      <c r="BP19" s="422">
        <v>0</v>
      </c>
      <c r="BQ19" s="422">
        <v>0</v>
      </c>
      <c r="BR19" s="272">
        <f t="shared" si="33"/>
        <v>24</v>
      </c>
      <c r="BS19" s="274">
        <f t="shared" si="34"/>
        <v>0.83333333333333337</v>
      </c>
      <c r="BT19" s="275">
        <f t="shared" si="35"/>
        <v>1</v>
      </c>
      <c r="BU19" s="422">
        <v>176.08</v>
      </c>
      <c r="BV19" s="272">
        <f t="shared" si="36"/>
        <v>2</v>
      </c>
      <c r="BW19" s="272">
        <f>IFERROR(INDEX('Horo. M'!$U$3:U$367,MATCH(A19,'Horo. M'!$A$3:$A$367,0)),"")</f>
        <v>22</v>
      </c>
      <c r="BX19" s="422">
        <v>0</v>
      </c>
      <c r="BY19" s="422">
        <v>0</v>
      </c>
      <c r="BZ19" s="272">
        <f t="shared" si="37"/>
        <v>24</v>
      </c>
      <c r="CA19" s="274">
        <f t="shared" si="38"/>
        <v>0.91666666666666663</v>
      </c>
      <c r="CB19" s="275">
        <f t="shared" si="39"/>
        <v>1</v>
      </c>
      <c r="CC19" s="422">
        <v>197.06</v>
      </c>
    </row>
    <row r="20" spans="1:81">
      <c r="A20" s="279">
        <v>44945</v>
      </c>
      <c r="B20" s="278">
        <f t="shared" si="0"/>
        <v>8</v>
      </c>
      <c r="C20" s="272">
        <f>IFERROR(INDEX('Horo. M'!$C$3:$C$367,MATCH(A20,'Horo. M'!$A$3:$A$367,0)),"")</f>
        <v>12</v>
      </c>
      <c r="D20" s="422">
        <v>0</v>
      </c>
      <c r="E20" s="422">
        <v>4</v>
      </c>
      <c r="F20" s="272">
        <f t="shared" si="1"/>
        <v>20</v>
      </c>
      <c r="G20" s="274">
        <f t="shared" si="2"/>
        <v>0.5</v>
      </c>
      <c r="H20" s="275">
        <f t="shared" si="3"/>
        <v>0.83333333333333337</v>
      </c>
      <c r="I20" s="422">
        <v>90.8</v>
      </c>
      <c r="J20" s="278">
        <f t="shared" si="4"/>
        <v>2</v>
      </c>
      <c r="K20" s="272">
        <f>IFERROR(INDEX('Horo. M'!$E$3:$E$367,MATCH(A20,'Horo. M'!$A$3:$A$367,0)),"")</f>
        <v>22</v>
      </c>
      <c r="L20" s="422">
        <v>0</v>
      </c>
      <c r="M20" s="422">
        <v>0</v>
      </c>
      <c r="N20" s="272">
        <f t="shared" si="5"/>
        <v>24</v>
      </c>
      <c r="O20" s="274">
        <f t="shared" si="6"/>
        <v>0.91666666666666663</v>
      </c>
      <c r="P20" s="275">
        <f t="shared" si="7"/>
        <v>1</v>
      </c>
      <c r="Q20" s="422">
        <v>181.8</v>
      </c>
      <c r="R20" s="278">
        <f t="shared" si="8"/>
        <v>2</v>
      </c>
      <c r="S20" s="272">
        <f>IFERROR(INDEX('Horo. M'!G$3:$G$367,MATCH(A20,'Horo. M'!$A$3:$A$367,0)),"")</f>
        <v>22</v>
      </c>
      <c r="T20" s="422">
        <v>0</v>
      </c>
      <c r="U20" s="422">
        <v>0</v>
      </c>
      <c r="V20" s="272">
        <f t="shared" si="9"/>
        <v>24</v>
      </c>
      <c r="W20" s="274">
        <f t="shared" si="10"/>
        <v>0.91666666666666663</v>
      </c>
      <c r="X20" s="275">
        <f t="shared" si="11"/>
        <v>1</v>
      </c>
      <c r="Y20" s="422">
        <v>164.62</v>
      </c>
      <c r="Z20" s="278">
        <f t="shared" si="12"/>
        <v>4</v>
      </c>
      <c r="AA20" s="272">
        <f>IFERROR(INDEX('Horo. M'!$I$3:I$367,MATCH(A20,'Horo. M'!$A$3:$A$367,0)),"")</f>
        <v>20</v>
      </c>
      <c r="AB20" s="422">
        <v>0</v>
      </c>
      <c r="AC20" s="422">
        <v>0</v>
      </c>
      <c r="AD20" s="272">
        <f t="shared" si="13"/>
        <v>24</v>
      </c>
      <c r="AE20" s="274">
        <f t="shared" si="14"/>
        <v>0.83333333333333337</v>
      </c>
      <c r="AF20" s="275">
        <f t="shared" si="15"/>
        <v>1</v>
      </c>
      <c r="AG20" s="422">
        <v>71.900000000000006</v>
      </c>
      <c r="AH20" s="272">
        <f t="shared" si="16"/>
        <v>0</v>
      </c>
      <c r="AI20" s="272">
        <f>IFERROR(INDEX('Horo. M'!$K$3:K$367,MATCH(A20,'Horo. M'!$A$3:$A$367,0)),"")</f>
        <v>0</v>
      </c>
      <c r="AJ20" s="422">
        <v>0</v>
      </c>
      <c r="AK20" s="422">
        <v>24</v>
      </c>
      <c r="AL20" s="272">
        <f t="shared" si="17"/>
        <v>0</v>
      </c>
      <c r="AM20" s="274">
        <f t="shared" si="18"/>
        <v>0</v>
      </c>
      <c r="AN20" s="275">
        <f t="shared" si="19"/>
        <v>0</v>
      </c>
      <c r="AO20" s="422">
        <v>0</v>
      </c>
      <c r="AP20" s="272">
        <f t="shared" si="20"/>
        <v>4</v>
      </c>
      <c r="AQ20" s="272">
        <f>IFERROR(INDEX('Horo. M'!$M$3:M$367,MATCH(A20,'Horo. M'!$A$3:$A$367,0)),"")</f>
        <v>20</v>
      </c>
      <c r="AR20" s="422">
        <v>0</v>
      </c>
      <c r="AS20" s="422">
        <v>0</v>
      </c>
      <c r="AT20" s="272">
        <f t="shared" si="21"/>
        <v>24</v>
      </c>
      <c r="AU20" s="274">
        <f t="shared" si="22"/>
        <v>0.83333333333333337</v>
      </c>
      <c r="AV20" s="275">
        <f t="shared" si="23"/>
        <v>1</v>
      </c>
      <c r="AW20" s="422">
        <v>91.85</v>
      </c>
      <c r="AX20" s="272">
        <f t="shared" si="24"/>
        <v>3</v>
      </c>
      <c r="AY20" s="272">
        <f>IFERROR(INDEX('Horo. M'!$O$3:O$367,MATCH(A20,'Horo. M'!$A$3:$A$367,0)),"")</f>
        <v>21</v>
      </c>
      <c r="AZ20" s="422">
        <v>0</v>
      </c>
      <c r="BA20" s="422">
        <v>0</v>
      </c>
      <c r="BB20" s="272">
        <f t="shared" si="25"/>
        <v>24</v>
      </c>
      <c r="BC20" s="274">
        <f t="shared" si="26"/>
        <v>0.875</v>
      </c>
      <c r="BD20" s="275">
        <f t="shared" si="27"/>
        <v>1</v>
      </c>
      <c r="BE20" s="422">
        <v>186.88</v>
      </c>
      <c r="BF20" s="272">
        <f t="shared" si="28"/>
        <v>4</v>
      </c>
      <c r="BG20" s="272">
        <f>IFERROR(INDEX('Horo. M'!$Q$3:Q$367,MATCH(A20,'Horo. M'!$A$3:$A$367,0)),"")</f>
        <v>20</v>
      </c>
      <c r="BH20" s="422">
        <v>0</v>
      </c>
      <c r="BI20" s="422">
        <v>0</v>
      </c>
      <c r="BJ20" s="272">
        <f t="shared" si="29"/>
        <v>24</v>
      </c>
      <c r="BK20" s="274">
        <f t="shared" si="30"/>
        <v>0.83333333333333337</v>
      </c>
      <c r="BL20" s="275">
        <f t="shared" si="31"/>
        <v>1</v>
      </c>
      <c r="BM20" s="422">
        <v>174.85</v>
      </c>
      <c r="BN20" s="272">
        <f t="shared" si="32"/>
        <v>8</v>
      </c>
      <c r="BO20" s="272">
        <f>IFERROR(INDEX('Horo. M'!$S$3:S$367,MATCH(A20,'Horo. M'!$A$3:$A$367,0)),"")</f>
        <v>4</v>
      </c>
      <c r="BP20" s="422">
        <v>7</v>
      </c>
      <c r="BQ20" s="422">
        <v>5</v>
      </c>
      <c r="BR20" s="272">
        <f t="shared" si="33"/>
        <v>12</v>
      </c>
      <c r="BS20" s="274">
        <f t="shared" si="34"/>
        <v>0.16666666666666666</v>
      </c>
      <c r="BT20" s="275">
        <f t="shared" si="35"/>
        <v>0.5</v>
      </c>
      <c r="BU20" s="422">
        <v>35.31</v>
      </c>
      <c r="BV20" s="272">
        <f t="shared" si="36"/>
        <v>2</v>
      </c>
      <c r="BW20" s="272">
        <f>IFERROR(INDEX('Horo. M'!$U$3:U$367,MATCH(A20,'Horo. M'!$A$3:$A$367,0)),"")</f>
        <v>16</v>
      </c>
      <c r="BX20" s="422">
        <v>0</v>
      </c>
      <c r="BY20" s="422">
        <v>6</v>
      </c>
      <c r="BZ20" s="272">
        <f t="shared" si="37"/>
        <v>18</v>
      </c>
      <c r="CA20" s="274">
        <f t="shared" si="38"/>
        <v>0.66666666666666663</v>
      </c>
      <c r="CB20" s="275">
        <f t="shared" si="39"/>
        <v>0.75</v>
      </c>
      <c r="CC20" s="422">
        <v>127.4</v>
      </c>
    </row>
    <row r="21" spans="1:81">
      <c r="A21" s="279">
        <v>44946</v>
      </c>
      <c r="B21" s="278">
        <f t="shared" si="0"/>
        <v>3</v>
      </c>
      <c r="C21" s="272">
        <f>IFERROR(INDEX('Horo. M'!$C$3:$C$367,MATCH(A21,'Horo. M'!$A$3:$A$367,0)),"")</f>
        <v>19</v>
      </c>
      <c r="D21" s="422">
        <v>0</v>
      </c>
      <c r="E21" s="422">
        <v>2</v>
      </c>
      <c r="F21" s="272">
        <f t="shared" si="1"/>
        <v>22</v>
      </c>
      <c r="G21" s="274">
        <f t="shared" si="2"/>
        <v>0.79166666666666663</v>
      </c>
      <c r="H21" s="275">
        <f t="shared" si="3"/>
        <v>0.91666666666666663</v>
      </c>
      <c r="I21" s="422">
        <v>156.19999999999999</v>
      </c>
      <c r="J21" s="278">
        <f t="shared" si="4"/>
        <v>4</v>
      </c>
      <c r="K21" s="272">
        <f>IFERROR(INDEX('Horo. M'!$E$3:$E$367,MATCH(A21,'Horo. M'!$A$3:$A$367,0)),"")</f>
        <v>20</v>
      </c>
      <c r="L21" s="422">
        <v>0</v>
      </c>
      <c r="M21" s="422">
        <v>0</v>
      </c>
      <c r="N21" s="272">
        <f t="shared" si="5"/>
        <v>24</v>
      </c>
      <c r="O21" s="274">
        <f t="shared" si="6"/>
        <v>0.83333333333333337</v>
      </c>
      <c r="P21" s="275">
        <f t="shared" si="7"/>
        <v>1</v>
      </c>
      <c r="Q21" s="422">
        <v>167.5</v>
      </c>
      <c r="R21" s="278">
        <f t="shared" si="8"/>
        <v>4</v>
      </c>
      <c r="S21" s="272">
        <f>IFERROR(INDEX('Horo. M'!G$3:$G$367,MATCH(A21,'Horo. M'!$A$3:$A$367,0)),"")</f>
        <v>0</v>
      </c>
      <c r="T21" s="422">
        <v>6</v>
      </c>
      <c r="U21" s="422">
        <v>14</v>
      </c>
      <c r="V21" s="272">
        <f t="shared" si="9"/>
        <v>4</v>
      </c>
      <c r="W21" s="274">
        <f t="shared" si="10"/>
        <v>0</v>
      </c>
      <c r="X21" s="275">
        <f t="shared" si="11"/>
        <v>0.16666666666666666</v>
      </c>
      <c r="Y21" s="422">
        <v>0.13</v>
      </c>
      <c r="Z21" s="278">
        <f t="shared" si="12"/>
        <v>5</v>
      </c>
      <c r="AA21" s="272">
        <f>IFERROR(INDEX('Horo. M'!$I$3:I$367,MATCH(A21,'Horo. M'!$A$3:$A$367,0)),"")</f>
        <v>19</v>
      </c>
      <c r="AB21" s="422">
        <v>0</v>
      </c>
      <c r="AC21" s="422">
        <v>0</v>
      </c>
      <c r="AD21" s="272">
        <f t="shared" si="13"/>
        <v>24</v>
      </c>
      <c r="AE21" s="274">
        <f t="shared" si="14"/>
        <v>0.79166666666666663</v>
      </c>
      <c r="AF21" s="275">
        <f t="shared" si="15"/>
        <v>1</v>
      </c>
      <c r="AG21" s="422">
        <v>62.52</v>
      </c>
      <c r="AH21" s="272">
        <f t="shared" si="16"/>
        <v>0</v>
      </c>
      <c r="AI21" s="272">
        <f>IFERROR(INDEX('Horo. M'!$K$3:K$367,MATCH(A21,'Horo. M'!$A$3:$A$367,0)),"")</f>
        <v>0</v>
      </c>
      <c r="AJ21" s="422">
        <v>0</v>
      </c>
      <c r="AK21" s="422">
        <v>24</v>
      </c>
      <c r="AL21" s="272">
        <f t="shared" si="17"/>
        <v>0</v>
      </c>
      <c r="AM21" s="274">
        <f t="shared" si="18"/>
        <v>0</v>
      </c>
      <c r="AN21" s="275">
        <f t="shared" si="19"/>
        <v>0</v>
      </c>
      <c r="AO21" s="422">
        <v>0</v>
      </c>
      <c r="AP21" s="272">
        <f t="shared" si="20"/>
        <v>4</v>
      </c>
      <c r="AQ21" s="272">
        <f>IFERROR(INDEX('Horo. M'!$M$3:M$367,MATCH(A21,'Horo. M'!$A$3:$A$367,0)),"")</f>
        <v>18</v>
      </c>
      <c r="AR21" s="422">
        <v>0</v>
      </c>
      <c r="AS21" s="422">
        <v>2</v>
      </c>
      <c r="AT21" s="272">
        <f t="shared" si="21"/>
        <v>22</v>
      </c>
      <c r="AU21" s="274">
        <f t="shared" si="22"/>
        <v>0.75</v>
      </c>
      <c r="AV21" s="275">
        <f t="shared" si="23"/>
        <v>0.91666666666666663</v>
      </c>
      <c r="AW21" s="422">
        <v>53.92</v>
      </c>
      <c r="AX21" s="272">
        <f t="shared" si="24"/>
        <v>4</v>
      </c>
      <c r="AY21" s="272">
        <f>IFERROR(INDEX('Horo. M'!$O$3:O$367,MATCH(A21,'Horo. M'!$A$3:$A$367,0)),"")</f>
        <v>20</v>
      </c>
      <c r="AZ21" s="422">
        <v>0</v>
      </c>
      <c r="BA21" s="422">
        <v>0</v>
      </c>
      <c r="BB21" s="272">
        <f t="shared" si="25"/>
        <v>24</v>
      </c>
      <c r="BC21" s="274">
        <f t="shared" si="26"/>
        <v>0.83333333333333337</v>
      </c>
      <c r="BD21" s="275">
        <f t="shared" si="27"/>
        <v>1</v>
      </c>
      <c r="BE21" s="422">
        <v>171.03</v>
      </c>
      <c r="BF21" s="272">
        <f t="shared" si="28"/>
        <v>4</v>
      </c>
      <c r="BG21" s="272">
        <f>IFERROR(INDEX('Horo. M'!$Q$3:Q$367,MATCH(A21,'Horo. M'!$A$3:$A$367,0)),"")</f>
        <v>20</v>
      </c>
      <c r="BH21" s="422">
        <v>0</v>
      </c>
      <c r="BI21" s="422">
        <v>0</v>
      </c>
      <c r="BJ21" s="272">
        <f t="shared" si="29"/>
        <v>24</v>
      </c>
      <c r="BK21" s="274">
        <f t="shared" si="30"/>
        <v>0.83333333333333337</v>
      </c>
      <c r="BL21" s="275">
        <f t="shared" si="31"/>
        <v>1</v>
      </c>
      <c r="BM21" s="422">
        <v>171.27</v>
      </c>
      <c r="BN21" s="272">
        <f t="shared" si="32"/>
        <v>1</v>
      </c>
      <c r="BO21" s="272">
        <f>IFERROR(INDEX('Horo. M'!$S$3:S$367,MATCH(A21,'Horo. M'!$A$3:$A$367,0)),"")</f>
        <v>23</v>
      </c>
      <c r="BP21" s="422">
        <v>0</v>
      </c>
      <c r="BQ21" s="422">
        <v>0</v>
      </c>
      <c r="BR21" s="272">
        <f t="shared" si="33"/>
        <v>24</v>
      </c>
      <c r="BS21" s="274">
        <f t="shared" si="34"/>
        <v>0.95833333333333337</v>
      </c>
      <c r="BT21" s="275">
        <f t="shared" si="35"/>
        <v>1</v>
      </c>
      <c r="BU21" s="422">
        <v>190.18</v>
      </c>
      <c r="BV21" s="272">
        <f t="shared" si="36"/>
        <v>1</v>
      </c>
      <c r="BW21" s="272">
        <f>IFERROR(INDEX('Horo. M'!$U$3:U$367,MATCH(A21,'Horo. M'!$A$3:$A$367,0)),"")</f>
        <v>23</v>
      </c>
      <c r="BX21" s="422">
        <v>0</v>
      </c>
      <c r="BY21" s="422">
        <v>0</v>
      </c>
      <c r="BZ21" s="272">
        <f t="shared" si="37"/>
        <v>24</v>
      </c>
      <c r="CA21" s="274">
        <f t="shared" si="38"/>
        <v>0.95833333333333337</v>
      </c>
      <c r="CB21" s="275">
        <f t="shared" si="39"/>
        <v>1</v>
      </c>
      <c r="CC21" s="422">
        <v>187.42</v>
      </c>
    </row>
    <row r="22" spans="1:81">
      <c r="A22" s="279">
        <v>44947</v>
      </c>
      <c r="B22" s="278">
        <f t="shared" si="0"/>
        <v>0</v>
      </c>
      <c r="C22" s="272">
        <f>IFERROR(INDEX('Horo. M'!$C$3:$C$367,MATCH(A22,'Horo. M'!$A$3:$A$367,0)),"")</f>
        <v>24</v>
      </c>
      <c r="D22" s="422">
        <v>0</v>
      </c>
      <c r="E22" s="422">
        <v>0</v>
      </c>
      <c r="F22" s="272">
        <f t="shared" si="1"/>
        <v>24</v>
      </c>
      <c r="G22" s="274">
        <f t="shared" si="2"/>
        <v>1</v>
      </c>
      <c r="H22" s="275">
        <f t="shared" si="3"/>
        <v>1</v>
      </c>
      <c r="I22" s="422">
        <v>186</v>
      </c>
      <c r="J22" s="278">
        <f t="shared" si="4"/>
        <v>3</v>
      </c>
      <c r="K22" s="272">
        <f>IFERROR(INDEX('Horo. M'!$E$3:$E$367,MATCH(A22,'Horo. M'!$A$3:$A$367,0)),"")</f>
        <v>21</v>
      </c>
      <c r="L22" s="422">
        <v>0</v>
      </c>
      <c r="M22" s="422">
        <v>0</v>
      </c>
      <c r="N22" s="272">
        <f t="shared" si="5"/>
        <v>24</v>
      </c>
      <c r="O22" s="274">
        <f t="shared" si="6"/>
        <v>0.875</v>
      </c>
      <c r="P22" s="275">
        <f t="shared" si="7"/>
        <v>1</v>
      </c>
      <c r="Q22" s="422">
        <v>155.19999999999999</v>
      </c>
      <c r="R22" s="278">
        <f t="shared" si="8"/>
        <v>0</v>
      </c>
      <c r="S22" s="272">
        <f>IFERROR(INDEX('Horo. M'!G$3:$G$367,MATCH(A22,'Horo. M'!$A$3:$A$367,0)),"")</f>
        <v>24</v>
      </c>
      <c r="T22" s="422">
        <v>0</v>
      </c>
      <c r="U22" s="422">
        <v>0</v>
      </c>
      <c r="V22" s="272">
        <f t="shared" si="9"/>
        <v>24</v>
      </c>
      <c r="W22" s="274">
        <f t="shared" si="10"/>
        <v>1</v>
      </c>
      <c r="X22" s="275">
        <f t="shared" si="11"/>
        <v>1</v>
      </c>
      <c r="Y22" s="422">
        <v>189.58</v>
      </c>
      <c r="Z22" s="278">
        <f t="shared" si="12"/>
        <v>0</v>
      </c>
      <c r="AA22" s="272">
        <f>IFERROR(INDEX('Horo. M'!$I$3:I$367,MATCH(A22,'Horo. M'!$A$3:$A$367,0)),"")</f>
        <v>0</v>
      </c>
      <c r="AB22" s="422">
        <v>16</v>
      </c>
      <c r="AC22" s="422">
        <v>8</v>
      </c>
      <c r="AD22" s="272">
        <f t="shared" si="13"/>
        <v>0</v>
      </c>
      <c r="AE22" s="274">
        <f t="shared" si="14"/>
        <v>0</v>
      </c>
      <c r="AF22" s="275">
        <f t="shared" si="15"/>
        <v>0</v>
      </c>
      <c r="AG22" s="422">
        <v>0.01</v>
      </c>
      <c r="AH22" s="272">
        <f t="shared" si="16"/>
        <v>0</v>
      </c>
      <c r="AI22" s="272">
        <f>IFERROR(INDEX('Horo. M'!$K$3:K$367,MATCH(A22,'Horo. M'!$A$3:$A$367,0)),"")</f>
        <v>0</v>
      </c>
      <c r="AJ22" s="422">
        <v>0</v>
      </c>
      <c r="AK22" s="422">
        <v>24</v>
      </c>
      <c r="AL22" s="272">
        <f t="shared" si="17"/>
        <v>0</v>
      </c>
      <c r="AM22" s="274">
        <f t="shared" si="18"/>
        <v>0</v>
      </c>
      <c r="AN22" s="275">
        <f t="shared" si="19"/>
        <v>0</v>
      </c>
      <c r="AO22" s="422">
        <v>0</v>
      </c>
      <c r="AP22" s="272">
        <f t="shared" si="20"/>
        <v>0</v>
      </c>
      <c r="AQ22" s="272">
        <f>IFERROR(INDEX('Horo. M'!$M$3:M$367,MATCH(A22,'Horo. M'!$A$3:$A$367,0)),"")</f>
        <v>24</v>
      </c>
      <c r="AR22" s="422">
        <v>0</v>
      </c>
      <c r="AS22" s="422">
        <v>0</v>
      </c>
      <c r="AT22" s="272">
        <f t="shared" si="21"/>
        <v>24</v>
      </c>
      <c r="AU22" s="274">
        <f t="shared" si="22"/>
        <v>1</v>
      </c>
      <c r="AV22" s="275">
        <f t="shared" si="23"/>
        <v>1</v>
      </c>
      <c r="AW22" s="422">
        <v>74.7</v>
      </c>
      <c r="AX22" s="272">
        <f t="shared" si="24"/>
        <v>0</v>
      </c>
      <c r="AY22" s="272">
        <f>IFERROR(INDEX('Horo. M'!$O$3:O$367,MATCH(A22,'Horo. M'!$A$3:$A$367,0)),"")</f>
        <v>24</v>
      </c>
      <c r="AZ22" s="422">
        <v>0</v>
      </c>
      <c r="BA22" s="422">
        <v>0</v>
      </c>
      <c r="BB22" s="272">
        <f t="shared" si="25"/>
        <v>24</v>
      </c>
      <c r="BC22" s="274">
        <f t="shared" si="26"/>
        <v>1</v>
      </c>
      <c r="BD22" s="275">
        <f t="shared" si="27"/>
        <v>1</v>
      </c>
      <c r="BE22" s="422">
        <v>181.79</v>
      </c>
      <c r="BF22" s="272">
        <f t="shared" si="28"/>
        <v>0</v>
      </c>
      <c r="BG22" s="272">
        <f>IFERROR(INDEX('Horo. M'!$Q$3:Q$367,MATCH(A22,'Horo. M'!$A$3:$A$367,0)),"")</f>
        <v>24</v>
      </c>
      <c r="BH22" s="422">
        <v>0</v>
      </c>
      <c r="BI22" s="422">
        <v>0</v>
      </c>
      <c r="BJ22" s="272">
        <f t="shared" si="29"/>
        <v>24</v>
      </c>
      <c r="BK22" s="274">
        <f t="shared" si="30"/>
        <v>1</v>
      </c>
      <c r="BL22" s="275">
        <f t="shared" si="31"/>
        <v>1</v>
      </c>
      <c r="BM22" s="422">
        <v>189.45</v>
      </c>
      <c r="BN22" s="272">
        <f t="shared" si="32"/>
        <v>1</v>
      </c>
      <c r="BO22" s="272">
        <f>IFERROR(INDEX('Horo. M'!$S$3:S$367,MATCH(A22,'Horo. M'!$A$3:$A$367,0)),"")</f>
        <v>23</v>
      </c>
      <c r="BP22" s="422">
        <v>0</v>
      </c>
      <c r="BQ22" s="422">
        <v>0</v>
      </c>
      <c r="BR22" s="272">
        <f t="shared" si="33"/>
        <v>24</v>
      </c>
      <c r="BS22" s="274">
        <f t="shared" si="34"/>
        <v>0.95833333333333337</v>
      </c>
      <c r="BT22" s="275">
        <f t="shared" si="35"/>
        <v>1</v>
      </c>
      <c r="BU22" s="422">
        <v>189.87</v>
      </c>
      <c r="BV22" s="272">
        <f t="shared" si="36"/>
        <v>0</v>
      </c>
      <c r="BW22" s="272">
        <f>IFERROR(INDEX('Horo. M'!$U$3:U$367,MATCH(A22,'Horo. M'!$A$3:$A$367,0)),"")</f>
        <v>24</v>
      </c>
      <c r="BX22" s="422">
        <v>0</v>
      </c>
      <c r="BY22" s="422">
        <v>0</v>
      </c>
      <c r="BZ22" s="272">
        <f t="shared" si="37"/>
        <v>24</v>
      </c>
      <c r="CA22" s="274">
        <f t="shared" si="38"/>
        <v>1</v>
      </c>
      <c r="CB22" s="275">
        <f t="shared" si="39"/>
        <v>1</v>
      </c>
      <c r="CC22" s="422">
        <v>185.96</v>
      </c>
    </row>
    <row r="23" spans="1:81">
      <c r="A23" s="279">
        <v>44948</v>
      </c>
      <c r="B23" s="278">
        <f t="shared" si="0"/>
        <v>0</v>
      </c>
      <c r="C23" s="272">
        <f>IFERROR(INDEX('Horo. M'!$C$3:$C$367,MATCH(A23,'Horo. M'!$A$3:$A$367,0)),"")</f>
        <v>24</v>
      </c>
      <c r="D23" s="422">
        <v>0</v>
      </c>
      <c r="E23" s="422">
        <v>0</v>
      </c>
      <c r="F23" s="272">
        <f t="shared" si="1"/>
        <v>24</v>
      </c>
      <c r="G23" s="274">
        <f t="shared" si="2"/>
        <v>1</v>
      </c>
      <c r="H23" s="275">
        <f t="shared" si="3"/>
        <v>1</v>
      </c>
      <c r="I23" s="422">
        <v>190.4</v>
      </c>
      <c r="J23" s="278">
        <f t="shared" si="4"/>
        <v>0</v>
      </c>
      <c r="K23" s="272">
        <f>IFERROR(INDEX('Horo. M'!$E$3:$E$367,MATCH(A23,'Horo. M'!$A$3:$A$367,0)),"")</f>
        <v>24</v>
      </c>
      <c r="L23" s="422">
        <v>0</v>
      </c>
      <c r="M23" s="422">
        <v>0</v>
      </c>
      <c r="N23" s="272">
        <f t="shared" si="5"/>
        <v>24</v>
      </c>
      <c r="O23" s="274">
        <f t="shared" si="6"/>
        <v>1</v>
      </c>
      <c r="P23" s="275">
        <f t="shared" si="7"/>
        <v>1</v>
      </c>
      <c r="Q23" s="422">
        <v>188.8</v>
      </c>
      <c r="R23" s="278">
        <f t="shared" si="8"/>
        <v>6</v>
      </c>
      <c r="S23" s="272">
        <f>IFERROR(INDEX('Horo. M'!G$3:$G$367,MATCH(A23,'Horo. M'!$A$3:$A$367,0)),"")</f>
        <v>18</v>
      </c>
      <c r="T23" s="422">
        <v>0</v>
      </c>
      <c r="U23" s="422">
        <v>0</v>
      </c>
      <c r="V23" s="272">
        <f t="shared" si="9"/>
        <v>24</v>
      </c>
      <c r="W23" s="274">
        <f t="shared" si="10"/>
        <v>0.75</v>
      </c>
      <c r="X23" s="275">
        <f t="shared" si="11"/>
        <v>1</v>
      </c>
      <c r="Y23" s="422">
        <v>132.06</v>
      </c>
      <c r="Z23" s="278">
        <f t="shared" si="12"/>
        <v>15</v>
      </c>
      <c r="AA23" s="272">
        <f>IFERROR(INDEX('Horo. M'!$I$3:I$367,MATCH(A23,'Horo. M'!$A$3:$A$367,0)),"")</f>
        <v>1</v>
      </c>
      <c r="AB23" s="422">
        <v>8</v>
      </c>
      <c r="AC23" s="422">
        <v>0</v>
      </c>
      <c r="AD23" s="272">
        <f t="shared" si="13"/>
        <v>16</v>
      </c>
      <c r="AE23" s="274">
        <f t="shared" si="14"/>
        <v>4.1666666666666664E-2</v>
      </c>
      <c r="AF23" s="275">
        <f t="shared" si="15"/>
        <v>0.66666666666666663</v>
      </c>
      <c r="AG23" s="422">
        <v>0</v>
      </c>
      <c r="AH23" s="272">
        <f t="shared" si="16"/>
        <v>0</v>
      </c>
      <c r="AI23" s="272">
        <f>IFERROR(INDEX('Horo. M'!$K$3:K$367,MATCH(A23,'Horo. M'!$A$3:$A$367,0)),"")</f>
        <v>0</v>
      </c>
      <c r="AJ23" s="422">
        <v>0</v>
      </c>
      <c r="AK23" s="422">
        <v>24</v>
      </c>
      <c r="AL23" s="272">
        <f t="shared" si="17"/>
        <v>0</v>
      </c>
      <c r="AM23" s="274">
        <f t="shared" si="18"/>
        <v>0</v>
      </c>
      <c r="AN23" s="275">
        <f t="shared" si="19"/>
        <v>0</v>
      </c>
      <c r="AO23" s="422">
        <v>0</v>
      </c>
      <c r="AP23" s="272">
        <f t="shared" si="20"/>
        <v>0</v>
      </c>
      <c r="AQ23" s="272">
        <f>IFERROR(INDEX('Horo. M'!$M$3:M$367,MATCH(A23,'Horo. M'!$A$3:$A$367,0)),"")</f>
        <v>24</v>
      </c>
      <c r="AR23" s="422">
        <v>0</v>
      </c>
      <c r="AS23" s="422">
        <v>0</v>
      </c>
      <c r="AT23" s="272">
        <f t="shared" si="21"/>
        <v>24</v>
      </c>
      <c r="AU23" s="274">
        <f t="shared" si="22"/>
        <v>1</v>
      </c>
      <c r="AV23" s="275">
        <f t="shared" si="23"/>
        <v>1</v>
      </c>
      <c r="AW23" s="422">
        <v>69.67</v>
      </c>
      <c r="AX23" s="272">
        <f t="shared" si="24"/>
        <v>0</v>
      </c>
      <c r="AY23" s="272">
        <f>IFERROR(INDEX('Horo. M'!$O$3:O$367,MATCH(A23,'Horo. M'!$A$3:$A$367,0)),"")</f>
        <v>24</v>
      </c>
      <c r="AZ23" s="422">
        <v>0</v>
      </c>
      <c r="BA23" s="422">
        <v>0</v>
      </c>
      <c r="BB23" s="272">
        <f t="shared" si="25"/>
        <v>24</v>
      </c>
      <c r="BC23" s="274">
        <f t="shared" si="26"/>
        <v>1</v>
      </c>
      <c r="BD23" s="275">
        <f t="shared" si="27"/>
        <v>1</v>
      </c>
      <c r="BE23" s="422">
        <v>189.87</v>
      </c>
      <c r="BF23" s="272">
        <f t="shared" si="28"/>
        <v>0</v>
      </c>
      <c r="BG23" s="272">
        <f>IFERROR(INDEX('Horo. M'!$Q$3:Q$367,MATCH(A23,'Horo. M'!$A$3:$A$367,0)),"")</f>
        <v>24</v>
      </c>
      <c r="BH23" s="422">
        <v>0</v>
      </c>
      <c r="BI23" s="422">
        <v>0</v>
      </c>
      <c r="BJ23" s="272">
        <f t="shared" si="29"/>
        <v>24</v>
      </c>
      <c r="BK23" s="274">
        <f t="shared" si="30"/>
        <v>1</v>
      </c>
      <c r="BL23" s="275">
        <f t="shared" si="31"/>
        <v>1</v>
      </c>
      <c r="BM23" s="422">
        <v>193.58</v>
      </c>
      <c r="BN23" s="272">
        <f t="shared" si="32"/>
        <v>0</v>
      </c>
      <c r="BO23" s="272">
        <f>IFERROR(INDEX('Horo. M'!$S$3:S$367,MATCH(A23,'Horo. M'!$A$3:$A$367,0)),"")</f>
        <v>24</v>
      </c>
      <c r="BP23" s="422">
        <v>0</v>
      </c>
      <c r="BQ23" s="422">
        <v>0</v>
      </c>
      <c r="BR23" s="272">
        <f t="shared" si="33"/>
        <v>24</v>
      </c>
      <c r="BS23" s="274">
        <f t="shared" si="34"/>
        <v>1</v>
      </c>
      <c r="BT23" s="275">
        <f t="shared" si="35"/>
        <v>1</v>
      </c>
      <c r="BU23" s="422">
        <v>192.01</v>
      </c>
      <c r="BV23" s="272">
        <f t="shared" si="36"/>
        <v>1</v>
      </c>
      <c r="BW23" s="272">
        <f>IFERROR(INDEX('Horo. M'!$U$3:U$367,MATCH(A23,'Horo. M'!$A$3:$A$367,0)),"")</f>
        <v>23</v>
      </c>
      <c r="BX23" s="422">
        <v>0</v>
      </c>
      <c r="BY23" s="422">
        <v>0</v>
      </c>
      <c r="BZ23" s="272">
        <f t="shared" si="37"/>
        <v>24</v>
      </c>
      <c r="CA23" s="274">
        <f t="shared" si="38"/>
        <v>0.95833333333333337</v>
      </c>
      <c r="CB23" s="275">
        <f t="shared" si="39"/>
        <v>1</v>
      </c>
      <c r="CC23" s="422">
        <v>190.7</v>
      </c>
    </row>
    <row r="24" spans="1:81">
      <c r="A24" s="279">
        <v>44949</v>
      </c>
      <c r="B24" s="278">
        <f t="shared" si="0"/>
        <v>0</v>
      </c>
      <c r="C24" s="272">
        <f>IFERROR(INDEX('Horo. M'!$C$3:$C$367,MATCH(A24,'Horo. M'!$A$3:$A$367,0)),"")</f>
        <v>24</v>
      </c>
      <c r="D24" s="422">
        <v>0</v>
      </c>
      <c r="E24" s="422">
        <v>0</v>
      </c>
      <c r="F24" s="272">
        <f t="shared" si="1"/>
        <v>24</v>
      </c>
      <c r="G24" s="274">
        <f t="shared" si="2"/>
        <v>1</v>
      </c>
      <c r="H24" s="275">
        <f t="shared" si="3"/>
        <v>1</v>
      </c>
      <c r="I24" s="422">
        <v>203.4</v>
      </c>
      <c r="J24" s="278">
        <f t="shared" si="4"/>
        <v>0</v>
      </c>
      <c r="K24" s="272">
        <f>IFERROR(INDEX('Horo. M'!$E$3:$E$367,MATCH(A24,'Horo. M'!$A$3:$A$367,0)),"")</f>
        <v>24</v>
      </c>
      <c r="L24" s="422">
        <v>0</v>
      </c>
      <c r="M24" s="422">
        <v>0</v>
      </c>
      <c r="N24" s="272">
        <f t="shared" si="5"/>
        <v>24</v>
      </c>
      <c r="O24" s="274">
        <f t="shared" si="6"/>
        <v>1</v>
      </c>
      <c r="P24" s="275">
        <f t="shared" si="7"/>
        <v>1</v>
      </c>
      <c r="Q24" s="422">
        <v>203.4</v>
      </c>
      <c r="R24" s="278">
        <f t="shared" si="8"/>
        <v>9</v>
      </c>
      <c r="S24" s="272">
        <f>IFERROR(INDEX('Horo. M'!G$3:$G$367,MATCH(A24,'Horo. M'!$A$3:$A$367,0)),"")</f>
        <v>0</v>
      </c>
      <c r="T24" s="422">
        <v>12</v>
      </c>
      <c r="U24" s="422">
        <v>3</v>
      </c>
      <c r="V24" s="272">
        <f t="shared" si="9"/>
        <v>9</v>
      </c>
      <c r="W24" s="274">
        <f t="shared" si="10"/>
        <v>0</v>
      </c>
      <c r="X24" s="275">
        <f t="shared" si="11"/>
        <v>0.375</v>
      </c>
      <c r="Y24" s="422">
        <v>0</v>
      </c>
      <c r="Z24" s="278">
        <f t="shared" si="12"/>
        <v>1</v>
      </c>
      <c r="AA24" s="272">
        <f>IFERROR(INDEX('Horo. M'!$I$3:I$367,MATCH(A24,'Horo. M'!$A$3:$A$367,0)),"")</f>
        <v>23</v>
      </c>
      <c r="AB24" s="422">
        <v>0</v>
      </c>
      <c r="AC24" s="422">
        <v>0</v>
      </c>
      <c r="AD24" s="272">
        <f t="shared" si="13"/>
        <v>24</v>
      </c>
      <c r="AE24" s="274">
        <f t="shared" si="14"/>
        <v>0.95833333333333337</v>
      </c>
      <c r="AF24" s="275">
        <f t="shared" si="15"/>
        <v>1</v>
      </c>
      <c r="AG24" s="422">
        <v>78.8</v>
      </c>
      <c r="AH24" s="272">
        <f t="shared" si="16"/>
        <v>0</v>
      </c>
      <c r="AI24" s="272">
        <f>IFERROR(INDEX('Horo. M'!$K$3:K$367,MATCH(A24,'Horo. M'!$A$3:$A$367,0)),"")</f>
        <v>0</v>
      </c>
      <c r="AJ24" s="422">
        <v>0</v>
      </c>
      <c r="AK24" s="422">
        <v>24</v>
      </c>
      <c r="AL24" s="272">
        <f t="shared" si="17"/>
        <v>0</v>
      </c>
      <c r="AM24" s="274">
        <f t="shared" si="18"/>
        <v>0</v>
      </c>
      <c r="AN24" s="275">
        <f t="shared" si="19"/>
        <v>0</v>
      </c>
      <c r="AO24" s="422">
        <v>0</v>
      </c>
      <c r="AP24" s="272">
        <f t="shared" si="20"/>
        <v>8</v>
      </c>
      <c r="AQ24" s="272">
        <f>IFERROR(INDEX('Horo. M'!$M$3:M$367,MATCH(A24,'Horo. M'!$A$3:$A$367,0)),"")</f>
        <v>16</v>
      </c>
      <c r="AR24" s="422">
        <v>0</v>
      </c>
      <c r="AS24" s="422">
        <v>0</v>
      </c>
      <c r="AT24" s="272">
        <f t="shared" si="21"/>
        <v>24</v>
      </c>
      <c r="AU24" s="274">
        <f t="shared" si="22"/>
        <v>0.66666666666666663</v>
      </c>
      <c r="AV24" s="275">
        <f t="shared" si="23"/>
        <v>1</v>
      </c>
      <c r="AW24" s="422">
        <v>49.12</v>
      </c>
      <c r="AX24" s="272">
        <f t="shared" si="24"/>
        <v>0</v>
      </c>
      <c r="AY24" s="272">
        <f>IFERROR(INDEX('Horo. M'!$O$3:O$367,MATCH(A24,'Horo. M'!$A$3:$A$367,0)),"")</f>
        <v>24</v>
      </c>
      <c r="AZ24" s="422">
        <v>0</v>
      </c>
      <c r="BA24" s="422">
        <v>0</v>
      </c>
      <c r="BB24" s="272">
        <f t="shared" si="25"/>
        <v>24</v>
      </c>
      <c r="BC24" s="274">
        <f t="shared" si="26"/>
        <v>1</v>
      </c>
      <c r="BD24" s="275">
        <f t="shared" si="27"/>
        <v>1</v>
      </c>
      <c r="BE24" s="422">
        <v>204.17</v>
      </c>
      <c r="BF24" s="272">
        <f t="shared" si="28"/>
        <v>0</v>
      </c>
      <c r="BG24" s="272">
        <f>IFERROR(INDEX('Horo. M'!$Q$3:Q$367,MATCH(A24,'Horo. M'!$A$3:$A$367,0)),"")</f>
        <v>24</v>
      </c>
      <c r="BH24" s="422">
        <v>0</v>
      </c>
      <c r="BI24" s="422">
        <v>0</v>
      </c>
      <c r="BJ24" s="272">
        <f t="shared" si="29"/>
        <v>24</v>
      </c>
      <c r="BK24" s="274">
        <f t="shared" si="30"/>
        <v>1</v>
      </c>
      <c r="BL24" s="275">
        <f t="shared" si="31"/>
        <v>1</v>
      </c>
      <c r="BM24" s="422">
        <v>207.34</v>
      </c>
      <c r="BN24" s="272">
        <f t="shared" si="32"/>
        <v>0</v>
      </c>
      <c r="BO24" s="272">
        <f>IFERROR(INDEX('Horo. M'!$S$3:S$367,MATCH(A24,'Horo. M'!$A$3:$A$367,0)),"")</f>
        <v>24</v>
      </c>
      <c r="BP24" s="422">
        <v>0</v>
      </c>
      <c r="BQ24" s="422">
        <v>0</v>
      </c>
      <c r="BR24" s="272">
        <f t="shared" si="33"/>
        <v>24</v>
      </c>
      <c r="BS24" s="274">
        <f t="shared" si="34"/>
        <v>1</v>
      </c>
      <c r="BT24" s="275">
        <f t="shared" si="35"/>
        <v>1</v>
      </c>
      <c r="BU24" s="422">
        <v>205.09</v>
      </c>
      <c r="BV24" s="272">
        <f t="shared" si="36"/>
        <v>0</v>
      </c>
      <c r="BW24" s="272">
        <f>IFERROR(INDEX('Horo. M'!$U$3:U$367,MATCH(A24,'Horo. M'!$A$3:$A$367,0)),"")</f>
        <v>24</v>
      </c>
      <c r="BX24" s="422">
        <v>0</v>
      </c>
      <c r="BY24" s="422">
        <v>0</v>
      </c>
      <c r="BZ24" s="272">
        <f t="shared" si="37"/>
        <v>24</v>
      </c>
      <c r="CA24" s="274">
        <f t="shared" si="38"/>
        <v>1</v>
      </c>
      <c r="CB24" s="275">
        <f t="shared" si="39"/>
        <v>1</v>
      </c>
      <c r="CC24" s="422">
        <v>205.09</v>
      </c>
    </row>
    <row r="25" spans="1:81">
      <c r="A25" s="279">
        <v>44950</v>
      </c>
      <c r="B25" s="278">
        <f t="shared" si="0"/>
        <v>0</v>
      </c>
      <c r="C25" s="272">
        <f>IFERROR(INDEX('Horo. M'!$C$3:$C$367,MATCH(A25,'Horo. M'!$A$3:$A$367,0)),"")</f>
        <v>24</v>
      </c>
      <c r="D25" s="422">
        <v>0</v>
      </c>
      <c r="E25" s="422">
        <v>0</v>
      </c>
      <c r="F25" s="272">
        <f t="shared" si="1"/>
        <v>24</v>
      </c>
      <c r="G25" s="274">
        <f t="shared" si="2"/>
        <v>1</v>
      </c>
      <c r="H25" s="275">
        <f t="shared" si="3"/>
        <v>1</v>
      </c>
      <c r="I25" s="422">
        <v>205.4</v>
      </c>
      <c r="J25" s="278">
        <f t="shared" si="4"/>
        <v>1</v>
      </c>
      <c r="K25" s="272">
        <f>IFERROR(INDEX('Horo. M'!$E$3:$E$367,MATCH(A25,'Horo. M'!$A$3:$A$367,0)),"")</f>
        <v>23</v>
      </c>
      <c r="L25" s="422">
        <v>0</v>
      </c>
      <c r="M25" s="422">
        <v>0</v>
      </c>
      <c r="N25" s="272">
        <f t="shared" si="5"/>
        <v>24</v>
      </c>
      <c r="O25" s="274">
        <f t="shared" si="6"/>
        <v>0.95833333333333337</v>
      </c>
      <c r="P25" s="275">
        <f t="shared" si="7"/>
        <v>1</v>
      </c>
      <c r="Q25" s="422">
        <v>205</v>
      </c>
      <c r="R25" s="278">
        <f t="shared" si="8"/>
        <v>1</v>
      </c>
      <c r="S25" s="272">
        <f>IFERROR(INDEX('Horo. M'!G$3:$G$367,MATCH(A25,'Horo. M'!$A$3:$A$367,0)),"")</f>
        <v>23</v>
      </c>
      <c r="T25" s="422">
        <v>0</v>
      </c>
      <c r="U25" s="422">
        <v>0</v>
      </c>
      <c r="V25" s="272">
        <f t="shared" si="9"/>
        <v>24</v>
      </c>
      <c r="W25" s="274">
        <f t="shared" si="10"/>
        <v>0.95833333333333337</v>
      </c>
      <c r="X25" s="275">
        <f t="shared" si="11"/>
        <v>1</v>
      </c>
      <c r="Y25" s="422">
        <v>198.83</v>
      </c>
      <c r="Z25" s="278">
        <f t="shared" si="12"/>
        <v>0</v>
      </c>
      <c r="AA25" s="272">
        <f>IFERROR(INDEX('Horo. M'!$I$3:I$367,MATCH(A25,'Horo. M'!$A$3:$A$367,0)),"")</f>
        <v>24</v>
      </c>
      <c r="AB25" s="422">
        <v>0</v>
      </c>
      <c r="AC25" s="422">
        <v>0</v>
      </c>
      <c r="AD25" s="272">
        <f t="shared" si="13"/>
        <v>24</v>
      </c>
      <c r="AE25" s="274">
        <f t="shared" si="14"/>
        <v>1</v>
      </c>
      <c r="AF25" s="275">
        <f t="shared" si="15"/>
        <v>1</v>
      </c>
      <c r="AG25" s="422">
        <v>75.23</v>
      </c>
      <c r="AH25" s="272">
        <f t="shared" si="16"/>
        <v>0</v>
      </c>
      <c r="AI25" s="272">
        <f>IFERROR(INDEX('Horo. M'!$K$3:K$367,MATCH(A25,'Horo. M'!$A$3:$A$367,0)),"")</f>
        <v>0</v>
      </c>
      <c r="AJ25" s="422">
        <v>0</v>
      </c>
      <c r="AK25" s="422">
        <v>24</v>
      </c>
      <c r="AL25" s="272">
        <f t="shared" si="17"/>
        <v>0</v>
      </c>
      <c r="AM25" s="274">
        <f t="shared" si="18"/>
        <v>0</v>
      </c>
      <c r="AN25" s="275">
        <f t="shared" si="19"/>
        <v>0</v>
      </c>
      <c r="AO25" s="422">
        <v>0</v>
      </c>
      <c r="AP25" s="272">
        <f t="shared" si="20"/>
        <v>6</v>
      </c>
      <c r="AQ25" s="272">
        <f>IFERROR(INDEX('Horo. M'!$M$3:M$367,MATCH(A25,'Horo. M'!$A$3:$A$367,0)),"")</f>
        <v>18</v>
      </c>
      <c r="AR25" s="422">
        <v>0</v>
      </c>
      <c r="AS25" s="422">
        <v>0</v>
      </c>
      <c r="AT25" s="272">
        <f t="shared" si="21"/>
        <v>24</v>
      </c>
      <c r="AU25" s="274">
        <f t="shared" si="22"/>
        <v>0.75</v>
      </c>
      <c r="AV25" s="275">
        <f t="shared" si="23"/>
        <v>1</v>
      </c>
      <c r="AW25" s="422">
        <v>61.13</v>
      </c>
      <c r="AX25" s="272">
        <f t="shared" si="24"/>
        <v>0</v>
      </c>
      <c r="AY25" s="272">
        <f>IFERROR(INDEX('Horo. M'!$O$3:O$367,MATCH(A25,'Horo. M'!$A$3:$A$367,0)),"")</f>
        <v>24</v>
      </c>
      <c r="AZ25" s="422">
        <v>0</v>
      </c>
      <c r="BA25" s="422">
        <v>0</v>
      </c>
      <c r="BB25" s="272">
        <f t="shared" si="25"/>
        <v>24</v>
      </c>
      <c r="BC25" s="274">
        <f t="shared" si="26"/>
        <v>1</v>
      </c>
      <c r="BD25" s="275">
        <f t="shared" si="27"/>
        <v>1</v>
      </c>
      <c r="BE25" s="422">
        <v>204.13</v>
      </c>
      <c r="BF25" s="272">
        <f t="shared" si="28"/>
        <v>0</v>
      </c>
      <c r="BG25" s="272">
        <f>IFERROR(INDEX('Horo. M'!$Q$3:Q$367,MATCH(A25,'Horo. M'!$A$3:$A$367,0)),"")</f>
        <v>24</v>
      </c>
      <c r="BH25" s="422">
        <v>0</v>
      </c>
      <c r="BI25" s="422">
        <v>0</v>
      </c>
      <c r="BJ25" s="272">
        <f t="shared" si="29"/>
        <v>24</v>
      </c>
      <c r="BK25" s="274">
        <f t="shared" si="30"/>
        <v>1</v>
      </c>
      <c r="BL25" s="275">
        <f t="shared" si="31"/>
        <v>1</v>
      </c>
      <c r="BM25" s="422">
        <v>199.21</v>
      </c>
      <c r="BN25" s="272">
        <f t="shared" si="32"/>
        <v>0</v>
      </c>
      <c r="BO25" s="272">
        <f>IFERROR(INDEX('Horo. M'!$S$3:S$367,MATCH(A25,'Horo. M'!$A$3:$A$367,0)),"")</f>
        <v>24</v>
      </c>
      <c r="BP25" s="422">
        <v>0</v>
      </c>
      <c r="BQ25" s="422">
        <v>0</v>
      </c>
      <c r="BR25" s="272">
        <f t="shared" si="33"/>
        <v>24</v>
      </c>
      <c r="BS25" s="274">
        <f t="shared" si="34"/>
        <v>1</v>
      </c>
      <c r="BT25" s="275">
        <f t="shared" si="35"/>
        <v>1</v>
      </c>
      <c r="BU25" s="422">
        <v>209.3</v>
      </c>
      <c r="BV25" s="272">
        <f t="shared" si="36"/>
        <v>4</v>
      </c>
      <c r="BW25" s="272">
        <f>IFERROR(INDEX('Horo. M'!$U$3:U$367,MATCH(A25,'Horo. M'!$A$3:$A$367,0)),"")</f>
        <v>0</v>
      </c>
      <c r="BX25" s="422">
        <v>4</v>
      </c>
      <c r="BY25" s="422">
        <v>16</v>
      </c>
      <c r="BZ25" s="272">
        <f t="shared" si="37"/>
        <v>4</v>
      </c>
      <c r="CA25" s="274">
        <f t="shared" si="38"/>
        <v>0</v>
      </c>
      <c r="CB25" s="275">
        <f t="shared" si="39"/>
        <v>0.16666666666666666</v>
      </c>
      <c r="CC25" s="422">
        <v>0</v>
      </c>
    </row>
    <row r="26" spans="1:81">
      <c r="A26" s="279">
        <v>44951</v>
      </c>
      <c r="B26" s="278">
        <f t="shared" si="0"/>
        <v>1</v>
      </c>
      <c r="C26" s="272">
        <f>IFERROR(INDEX('Horo. M'!$C$3:$C$367,MATCH(A26,'Horo. M'!$A$3:$A$367,0)),"")</f>
        <v>23</v>
      </c>
      <c r="D26" s="422">
        <v>0</v>
      </c>
      <c r="E26" s="422">
        <v>0</v>
      </c>
      <c r="F26" s="272">
        <f t="shared" si="1"/>
        <v>24</v>
      </c>
      <c r="G26" s="274">
        <f>C26/24</f>
        <v>0.95833333333333337</v>
      </c>
      <c r="H26" s="275">
        <f>(F26/24)*100%</f>
        <v>1</v>
      </c>
      <c r="I26" s="422">
        <v>194.7</v>
      </c>
      <c r="J26" s="278">
        <f t="shared" si="4"/>
        <v>2</v>
      </c>
      <c r="K26" s="272">
        <f>IFERROR(INDEX('Horo. M'!$E$3:$E$367,MATCH(A26,'Horo. M'!$A$3:$A$367,0)),"")</f>
        <v>22</v>
      </c>
      <c r="L26" s="422">
        <v>0</v>
      </c>
      <c r="M26" s="422">
        <v>0</v>
      </c>
      <c r="N26" s="272">
        <f t="shared" si="5"/>
        <v>24</v>
      </c>
      <c r="O26" s="274">
        <f t="shared" si="6"/>
        <v>0.91666666666666663</v>
      </c>
      <c r="P26" s="275">
        <f t="shared" si="7"/>
        <v>1</v>
      </c>
      <c r="Q26" s="422">
        <v>187.1</v>
      </c>
      <c r="R26" s="278">
        <f t="shared" si="8"/>
        <v>1</v>
      </c>
      <c r="S26" s="272">
        <f>IFERROR(INDEX('Horo. M'!G$3:$G$367,MATCH(A26,'Horo. M'!$A$3:$A$367,0)),"")</f>
        <v>21</v>
      </c>
      <c r="T26" s="422">
        <v>0</v>
      </c>
      <c r="U26" s="422">
        <v>2</v>
      </c>
      <c r="V26" s="272">
        <f t="shared" si="9"/>
        <v>22</v>
      </c>
      <c r="W26" s="274">
        <f t="shared" si="10"/>
        <v>0.875</v>
      </c>
      <c r="X26" s="275">
        <f t="shared" si="11"/>
        <v>0.91666666666666663</v>
      </c>
      <c r="Y26" s="422">
        <v>168.84</v>
      </c>
      <c r="Z26" s="278">
        <f t="shared" si="12"/>
        <v>3</v>
      </c>
      <c r="AA26" s="272">
        <f>IFERROR(INDEX('Horo. M'!$I$3:I$367,MATCH(A26,'Horo. M'!$A$3:$A$367,0)),"")</f>
        <v>21</v>
      </c>
      <c r="AB26" s="422">
        <v>0</v>
      </c>
      <c r="AC26" s="422">
        <v>0</v>
      </c>
      <c r="AD26" s="272">
        <f t="shared" si="13"/>
        <v>24</v>
      </c>
      <c r="AE26" s="274">
        <f t="shared" si="14"/>
        <v>0.875</v>
      </c>
      <c r="AF26" s="275">
        <f t="shared" si="15"/>
        <v>1</v>
      </c>
      <c r="AG26" s="422">
        <v>63.13</v>
      </c>
      <c r="AH26" s="272">
        <f t="shared" si="16"/>
        <v>0</v>
      </c>
      <c r="AI26" s="272">
        <f>IFERROR(INDEX('Horo. M'!$K$3:K$367,MATCH(A26,'Horo. M'!$A$3:$A$367,0)),"")</f>
        <v>0</v>
      </c>
      <c r="AJ26" s="422">
        <v>0</v>
      </c>
      <c r="AK26" s="422">
        <v>24</v>
      </c>
      <c r="AL26" s="272">
        <f t="shared" si="17"/>
        <v>0</v>
      </c>
      <c r="AM26" s="274">
        <f t="shared" si="18"/>
        <v>0</v>
      </c>
      <c r="AN26" s="275">
        <f t="shared" si="19"/>
        <v>0</v>
      </c>
      <c r="AO26" s="422">
        <v>0</v>
      </c>
      <c r="AP26" s="272">
        <f t="shared" si="20"/>
        <v>4</v>
      </c>
      <c r="AQ26" s="272">
        <f>IFERROR(INDEX('Horo. M'!$M$3:M$367,MATCH(A26,'Horo. M'!$A$3:$A$367,0)),"")</f>
        <v>20</v>
      </c>
      <c r="AR26" s="422">
        <v>0</v>
      </c>
      <c r="AS26" s="422">
        <v>0</v>
      </c>
      <c r="AT26" s="272">
        <f t="shared" si="21"/>
        <v>24</v>
      </c>
      <c r="AU26" s="274">
        <f t="shared" si="22"/>
        <v>0.83333333333333337</v>
      </c>
      <c r="AV26" s="275">
        <f t="shared" si="23"/>
        <v>1</v>
      </c>
      <c r="AW26" s="422">
        <v>81.88</v>
      </c>
      <c r="AX26" s="272">
        <f t="shared" si="24"/>
        <v>0</v>
      </c>
      <c r="AY26" s="272">
        <f>IFERROR(INDEX('Horo. M'!$O$3:O$367,MATCH(A26,'Horo. M'!$A$3:$A$367,0)),"")</f>
        <v>20</v>
      </c>
      <c r="AZ26" s="422">
        <v>2</v>
      </c>
      <c r="BA26" s="422">
        <v>2</v>
      </c>
      <c r="BB26" s="272">
        <f t="shared" si="25"/>
        <v>20</v>
      </c>
      <c r="BC26" s="274">
        <f t="shared" si="26"/>
        <v>0.83333333333333337</v>
      </c>
      <c r="BD26" s="275">
        <f t="shared" si="27"/>
        <v>0.83333333333333337</v>
      </c>
      <c r="BE26" s="422">
        <v>167.59</v>
      </c>
      <c r="BF26" s="272">
        <f t="shared" si="28"/>
        <v>3</v>
      </c>
      <c r="BG26" s="272">
        <f>IFERROR(INDEX('Horo. M'!$Q$3:Q$367,MATCH(A26,'Horo. M'!$A$3:$A$367,0)),"")</f>
        <v>21</v>
      </c>
      <c r="BH26" s="422">
        <v>0</v>
      </c>
      <c r="BI26" s="422">
        <v>0</v>
      </c>
      <c r="BJ26" s="272">
        <f t="shared" si="29"/>
        <v>24</v>
      </c>
      <c r="BK26" s="274">
        <f t="shared" si="30"/>
        <v>0.875</v>
      </c>
      <c r="BL26" s="275">
        <f t="shared" si="31"/>
        <v>1</v>
      </c>
      <c r="BM26" s="422">
        <v>177.63</v>
      </c>
      <c r="BN26" s="272">
        <f t="shared" si="32"/>
        <v>3</v>
      </c>
      <c r="BO26" s="272">
        <f>IFERROR(INDEX('Horo. M'!$S$3:S$367,MATCH(A26,'Horo. M'!$A$3:$A$367,0)),"")</f>
        <v>21</v>
      </c>
      <c r="BP26" s="422">
        <v>0</v>
      </c>
      <c r="BQ26" s="422">
        <v>0</v>
      </c>
      <c r="BR26" s="272">
        <f t="shared" si="33"/>
        <v>24</v>
      </c>
      <c r="BS26" s="274">
        <f t="shared" si="34"/>
        <v>0.875</v>
      </c>
      <c r="BT26" s="275">
        <f t="shared" si="35"/>
        <v>1</v>
      </c>
      <c r="BU26" s="422">
        <v>188.93</v>
      </c>
      <c r="BV26" s="272">
        <f t="shared" si="36"/>
        <v>0</v>
      </c>
      <c r="BW26" s="272">
        <f>IFERROR(INDEX('Horo. M'!$U$3:U$367,MATCH(A26,'Horo. M'!$A$3:$A$367,0)),"")</f>
        <v>21</v>
      </c>
      <c r="BX26" s="422">
        <v>0</v>
      </c>
      <c r="BY26" s="422">
        <v>3</v>
      </c>
      <c r="BZ26" s="272">
        <f t="shared" si="37"/>
        <v>21</v>
      </c>
      <c r="CA26" s="274">
        <f t="shared" si="38"/>
        <v>0.875</v>
      </c>
      <c r="CB26" s="275">
        <f t="shared" si="39"/>
        <v>0.875</v>
      </c>
      <c r="CC26" s="422">
        <v>171.04</v>
      </c>
    </row>
    <row r="27" spans="1:81">
      <c r="A27" s="279">
        <v>44952</v>
      </c>
      <c r="B27" s="272">
        <f>24-C27-D27-E27</f>
        <v>0</v>
      </c>
      <c r="C27" s="272">
        <f>IFERROR(INDEX('Horo. M'!$C$3:$C$367,MATCH(A27,'Horo. M'!$A$3:$A$367,0)),"")</f>
        <v>24</v>
      </c>
      <c r="D27" s="422">
        <v>0</v>
      </c>
      <c r="E27" s="422">
        <v>0</v>
      </c>
      <c r="F27" s="272">
        <f t="shared" si="1"/>
        <v>24</v>
      </c>
      <c r="G27" s="274">
        <f t="shared" si="2"/>
        <v>1</v>
      </c>
      <c r="H27" s="275">
        <f t="shared" si="3"/>
        <v>1</v>
      </c>
      <c r="I27" s="422">
        <v>207.4</v>
      </c>
      <c r="J27" s="278">
        <f t="shared" si="4"/>
        <v>0</v>
      </c>
      <c r="K27" s="272">
        <f>IFERROR(INDEX('Horo. M'!$E$3:$E$367,MATCH(A27,'Horo. M'!$A$3:$A$367,0)),"")</f>
        <v>15</v>
      </c>
      <c r="L27" s="422">
        <v>4</v>
      </c>
      <c r="M27" s="422">
        <v>5</v>
      </c>
      <c r="N27" s="272">
        <f t="shared" si="5"/>
        <v>15</v>
      </c>
      <c r="O27" s="274">
        <f t="shared" si="6"/>
        <v>0.625</v>
      </c>
      <c r="P27" s="275">
        <f t="shared" si="7"/>
        <v>0.625</v>
      </c>
      <c r="Q27" s="422">
        <v>122.3</v>
      </c>
      <c r="R27" s="278">
        <f t="shared" si="8"/>
        <v>0</v>
      </c>
      <c r="S27" s="272">
        <f>IFERROR(INDEX('Horo. M'!G$3:$G$367,MATCH(A27,'Horo. M'!$A$3:$A$367,0)),"")</f>
        <v>24</v>
      </c>
      <c r="T27" s="422">
        <v>0</v>
      </c>
      <c r="U27" s="422">
        <v>0</v>
      </c>
      <c r="V27" s="272">
        <f t="shared" si="9"/>
        <v>24</v>
      </c>
      <c r="W27" s="274">
        <f t="shared" si="10"/>
        <v>1</v>
      </c>
      <c r="X27" s="275">
        <f t="shared" si="11"/>
        <v>1</v>
      </c>
      <c r="Y27" s="422">
        <v>207.12</v>
      </c>
      <c r="Z27" s="278">
        <f t="shared" si="12"/>
        <v>0</v>
      </c>
      <c r="AA27" s="272">
        <f>IFERROR(INDEX('Horo. M'!$I$3:I$367,MATCH(A27,'Horo. M'!$A$3:$A$367,0)),"")</f>
        <v>24</v>
      </c>
      <c r="AB27" s="422">
        <v>0</v>
      </c>
      <c r="AC27" s="422">
        <v>0</v>
      </c>
      <c r="AD27" s="272">
        <f t="shared" si="13"/>
        <v>24</v>
      </c>
      <c r="AE27" s="274">
        <f t="shared" si="14"/>
        <v>1</v>
      </c>
      <c r="AF27" s="275">
        <f t="shared" si="15"/>
        <v>1</v>
      </c>
      <c r="AG27" s="422">
        <v>70.16</v>
      </c>
      <c r="AH27" s="272">
        <f t="shared" si="16"/>
        <v>0</v>
      </c>
      <c r="AI27" s="272">
        <f>IFERROR(INDEX('Horo. M'!$K$3:K$367,MATCH(A27,'Horo. M'!$A$3:$A$367,0)),"")</f>
        <v>0</v>
      </c>
      <c r="AJ27" s="422">
        <v>0</v>
      </c>
      <c r="AK27" s="422">
        <v>24</v>
      </c>
      <c r="AL27" s="272">
        <f t="shared" si="17"/>
        <v>0</v>
      </c>
      <c r="AM27" s="274">
        <f t="shared" si="18"/>
        <v>0</v>
      </c>
      <c r="AN27" s="275">
        <f t="shared" si="19"/>
        <v>0</v>
      </c>
      <c r="AO27" s="422">
        <v>0</v>
      </c>
      <c r="AP27" s="272">
        <f t="shared" si="20"/>
        <v>2</v>
      </c>
      <c r="AQ27" s="272">
        <f>IFERROR(INDEX('Horo. M'!$M$3:M$367,MATCH(A27,'Horo. M'!$A$3:$A$367,0)),"")</f>
        <v>22</v>
      </c>
      <c r="AR27" s="422">
        <v>0</v>
      </c>
      <c r="AS27" s="422">
        <v>0</v>
      </c>
      <c r="AT27" s="272">
        <f t="shared" si="21"/>
        <v>24</v>
      </c>
      <c r="AU27" s="274">
        <f t="shared" si="22"/>
        <v>0.91666666666666663</v>
      </c>
      <c r="AV27" s="275">
        <f t="shared" si="23"/>
        <v>1</v>
      </c>
      <c r="AW27" s="422">
        <v>116.66</v>
      </c>
      <c r="AX27" s="272">
        <f t="shared" si="24"/>
        <v>0</v>
      </c>
      <c r="AY27" s="272">
        <f>IFERROR(INDEX('Horo. M'!$O$3:O$367,MATCH(A27,'Horo. M'!$A$3:$A$367,0)),"")</f>
        <v>24</v>
      </c>
      <c r="AZ27" s="422">
        <v>0</v>
      </c>
      <c r="BA27" s="422">
        <v>0</v>
      </c>
      <c r="BB27" s="272">
        <f t="shared" si="25"/>
        <v>24</v>
      </c>
      <c r="BC27" s="274">
        <f t="shared" si="26"/>
        <v>1</v>
      </c>
      <c r="BD27" s="275">
        <f t="shared" si="27"/>
        <v>1</v>
      </c>
      <c r="BE27" s="422">
        <v>207.53</v>
      </c>
      <c r="BF27" s="272">
        <f t="shared" si="28"/>
        <v>0</v>
      </c>
      <c r="BG27" s="272">
        <f>IFERROR(INDEX('Horo. M'!$Q$3:Q$367,MATCH(A27,'Horo. M'!$A$3:$A$367,0)),"")</f>
        <v>24</v>
      </c>
      <c r="BH27" s="422">
        <v>0</v>
      </c>
      <c r="BI27" s="422">
        <v>0</v>
      </c>
      <c r="BJ27" s="272">
        <f t="shared" si="29"/>
        <v>24</v>
      </c>
      <c r="BK27" s="274">
        <f t="shared" si="30"/>
        <v>1</v>
      </c>
      <c r="BL27" s="275">
        <f t="shared" si="31"/>
        <v>1</v>
      </c>
      <c r="BM27" s="422">
        <v>205.47</v>
      </c>
      <c r="BN27" s="272">
        <f t="shared" si="32"/>
        <v>0</v>
      </c>
      <c r="BO27" s="272">
        <f>IFERROR(INDEX('Horo. M'!$S$3:S$367,MATCH(A27,'Horo. M'!$A$3:$A$367,0)),"")</f>
        <v>24</v>
      </c>
      <c r="BP27" s="422">
        <v>0</v>
      </c>
      <c r="BQ27" s="422">
        <v>0</v>
      </c>
      <c r="BR27" s="272">
        <f t="shared" si="33"/>
        <v>24</v>
      </c>
      <c r="BS27" s="274">
        <f t="shared" si="34"/>
        <v>1</v>
      </c>
      <c r="BT27" s="275">
        <f t="shared" si="35"/>
        <v>1</v>
      </c>
      <c r="BU27" s="422">
        <v>210.66</v>
      </c>
      <c r="BV27" s="272">
        <f t="shared" si="36"/>
        <v>0</v>
      </c>
      <c r="BW27" s="272">
        <f>IFERROR(INDEX('Horo. M'!$U$3:U$367,MATCH(A27,'Horo. M'!$A$3:$A$367,0)),"")</f>
        <v>24</v>
      </c>
      <c r="BX27" s="422">
        <v>0</v>
      </c>
      <c r="BY27" s="422">
        <v>0</v>
      </c>
      <c r="BZ27" s="272">
        <f t="shared" si="37"/>
        <v>24</v>
      </c>
      <c r="CA27" s="274">
        <f t="shared" si="38"/>
        <v>1</v>
      </c>
      <c r="CB27" s="275">
        <f t="shared" si="39"/>
        <v>1</v>
      </c>
      <c r="CC27" s="422">
        <v>212.64</v>
      </c>
    </row>
    <row r="28" spans="1:81">
      <c r="A28" s="279">
        <v>44953</v>
      </c>
      <c r="B28" s="272">
        <f>24-C28-D28-E28</f>
        <v>0</v>
      </c>
      <c r="C28" s="272">
        <f>IFERROR(INDEX('Horo. M'!$C$3:$C$367,MATCH(A28,'Horo. M'!$A$3:$A$367,0)),"")</f>
        <v>24</v>
      </c>
      <c r="D28" s="422">
        <v>0</v>
      </c>
      <c r="E28" s="422">
        <v>0</v>
      </c>
      <c r="F28" s="272">
        <f t="shared" si="1"/>
        <v>24</v>
      </c>
      <c r="G28" s="274">
        <f t="shared" si="2"/>
        <v>1</v>
      </c>
      <c r="H28" s="275">
        <f t="shared" si="3"/>
        <v>1</v>
      </c>
      <c r="I28" s="422">
        <v>207.6</v>
      </c>
      <c r="J28" s="278">
        <f t="shared" si="4"/>
        <v>0</v>
      </c>
      <c r="K28" s="272">
        <f>IFERROR(INDEX('Horo. M'!$E$3:$E$367,MATCH(A28,'Horo. M'!$A$3:$A$367,0)),"")</f>
        <v>24</v>
      </c>
      <c r="L28" s="422">
        <v>0</v>
      </c>
      <c r="M28" s="422">
        <v>0</v>
      </c>
      <c r="N28" s="272">
        <f t="shared" si="5"/>
        <v>24</v>
      </c>
      <c r="O28" s="274">
        <f t="shared" si="6"/>
        <v>1</v>
      </c>
      <c r="P28" s="275">
        <f t="shared" si="7"/>
        <v>1</v>
      </c>
      <c r="Q28" s="422">
        <v>208.2</v>
      </c>
      <c r="R28" s="278">
        <f t="shared" si="8"/>
        <v>0</v>
      </c>
      <c r="S28" s="272">
        <f>IFERROR(INDEX('Horo. M'!G$3:$G$367,MATCH(A28,'Horo. M'!$A$3:$A$367,0)),"")</f>
        <v>24</v>
      </c>
      <c r="T28" s="422">
        <v>0</v>
      </c>
      <c r="U28" s="422">
        <v>0</v>
      </c>
      <c r="V28" s="272">
        <f t="shared" si="9"/>
        <v>24</v>
      </c>
      <c r="W28" s="274">
        <f t="shared" si="10"/>
        <v>1</v>
      </c>
      <c r="X28" s="275">
        <f t="shared" si="11"/>
        <v>1</v>
      </c>
      <c r="Y28" s="422">
        <v>210.12</v>
      </c>
      <c r="Z28" s="278">
        <f t="shared" si="12"/>
        <v>0</v>
      </c>
      <c r="AA28" s="272">
        <f>IFERROR(INDEX('Horo. M'!$I$3:I$367,MATCH(A28,'Horo. M'!$A$3:$A$367,0)),"")</f>
        <v>24</v>
      </c>
      <c r="AB28" s="422">
        <v>0</v>
      </c>
      <c r="AC28" s="422">
        <v>0</v>
      </c>
      <c r="AD28" s="272">
        <f t="shared" si="13"/>
        <v>24</v>
      </c>
      <c r="AE28" s="274">
        <f t="shared" si="14"/>
        <v>1</v>
      </c>
      <c r="AF28" s="275">
        <f t="shared" si="15"/>
        <v>1</v>
      </c>
      <c r="AG28" s="422">
        <v>69.52</v>
      </c>
      <c r="AH28" s="272">
        <f t="shared" si="16"/>
        <v>0</v>
      </c>
      <c r="AI28" s="272">
        <f>IFERROR(INDEX('Horo. M'!$K$3:K$367,MATCH(A28,'Horo. M'!$A$3:$A$367,0)),"")</f>
        <v>0</v>
      </c>
      <c r="AJ28" s="422">
        <v>0</v>
      </c>
      <c r="AK28" s="422">
        <v>24</v>
      </c>
      <c r="AL28" s="272">
        <f t="shared" si="17"/>
        <v>0</v>
      </c>
      <c r="AM28" s="274">
        <f t="shared" si="18"/>
        <v>0</v>
      </c>
      <c r="AN28" s="275">
        <f t="shared" si="19"/>
        <v>0</v>
      </c>
      <c r="AO28" s="422">
        <v>0</v>
      </c>
      <c r="AP28" s="272">
        <f t="shared" si="20"/>
        <v>1</v>
      </c>
      <c r="AQ28" s="272">
        <f>IFERROR(INDEX('Horo. M'!$M$3:M$367,MATCH(A28,'Horo. M'!$A$3:$A$367,0)),"")</f>
        <v>23</v>
      </c>
      <c r="AR28" s="422">
        <v>0</v>
      </c>
      <c r="AS28" s="422">
        <v>0</v>
      </c>
      <c r="AT28" s="272">
        <f t="shared" si="21"/>
        <v>24</v>
      </c>
      <c r="AU28" s="274">
        <f t="shared" si="22"/>
        <v>0.95833333333333337</v>
      </c>
      <c r="AV28" s="275">
        <f t="shared" si="23"/>
        <v>1</v>
      </c>
      <c r="AW28" s="422">
        <v>139.44</v>
      </c>
      <c r="AX28" s="272">
        <f t="shared" si="24"/>
        <v>0</v>
      </c>
      <c r="AY28" s="272">
        <f>IFERROR(INDEX('Horo. M'!$O$3:O$367,MATCH(A28,'Horo. M'!$A$3:$A$367,0)),"")</f>
        <v>24</v>
      </c>
      <c r="AZ28" s="422">
        <v>0</v>
      </c>
      <c r="BA28" s="422">
        <v>0</v>
      </c>
      <c r="BB28" s="272">
        <f t="shared" si="25"/>
        <v>24</v>
      </c>
      <c r="BC28" s="274">
        <f t="shared" si="26"/>
        <v>1</v>
      </c>
      <c r="BD28" s="275">
        <f t="shared" si="27"/>
        <v>1</v>
      </c>
      <c r="BE28" s="422">
        <v>211.98</v>
      </c>
      <c r="BF28" s="272">
        <f t="shared" si="28"/>
        <v>0</v>
      </c>
      <c r="BG28" s="272">
        <f>IFERROR(INDEX('Horo. M'!$Q$3:Q$367,MATCH(A28,'Horo. M'!$A$3:$A$367,0)),"")</f>
        <v>24</v>
      </c>
      <c r="BH28" s="422">
        <v>0</v>
      </c>
      <c r="BI28" s="422">
        <v>0</v>
      </c>
      <c r="BJ28" s="272">
        <f t="shared" si="29"/>
        <v>24</v>
      </c>
      <c r="BK28" s="274">
        <f t="shared" si="30"/>
        <v>1</v>
      </c>
      <c r="BL28" s="275">
        <f t="shared" si="31"/>
        <v>1</v>
      </c>
      <c r="BM28" s="422">
        <v>209.83</v>
      </c>
      <c r="BN28" s="272">
        <f t="shared" si="32"/>
        <v>0</v>
      </c>
      <c r="BO28" s="272">
        <f>IFERROR(INDEX('Horo. M'!$S$3:S$367,MATCH(A28,'Horo. M'!$A$3:$A$367,0)),"")</f>
        <v>24</v>
      </c>
      <c r="BP28" s="422">
        <v>0</v>
      </c>
      <c r="BQ28" s="422">
        <v>0</v>
      </c>
      <c r="BR28" s="272">
        <f t="shared" si="33"/>
        <v>24</v>
      </c>
      <c r="BS28" s="274">
        <f t="shared" si="34"/>
        <v>1</v>
      </c>
      <c r="BT28" s="275">
        <f t="shared" si="35"/>
        <v>1</v>
      </c>
      <c r="BU28" s="422">
        <v>205.23</v>
      </c>
      <c r="BV28" s="272">
        <f t="shared" si="36"/>
        <v>4</v>
      </c>
      <c r="BW28" s="272">
        <f>IFERROR(INDEX('Horo. M'!$U$3:U$367,MATCH(A28,'Horo. M'!$A$3:$A$367,0)),"")</f>
        <v>14</v>
      </c>
      <c r="BX28" s="422">
        <v>0</v>
      </c>
      <c r="BY28" s="422">
        <v>6</v>
      </c>
      <c r="BZ28" s="272">
        <f t="shared" si="37"/>
        <v>18</v>
      </c>
      <c r="CA28" s="274">
        <f t="shared" si="38"/>
        <v>0.58333333333333337</v>
      </c>
      <c r="CB28" s="275">
        <f t="shared" si="39"/>
        <v>0.75</v>
      </c>
      <c r="CC28" s="422">
        <v>107.41</v>
      </c>
    </row>
    <row r="29" spans="1:81">
      <c r="A29" s="279">
        <v>44954</v>
      </c>
      <c r="B29" s="278">
        <f t="shared" si="0"/>
        <v>0</v>
      </c>
      <c r="C29" s="272">
        <f>IFERROR(INDEX('Horo. M'!$C$3:$C$367,MATCH(A29,'Horo. M'!$A$3:$A$367,0)),"")</f>
        <v>24</v>
      </c>
      <c r="D29" s="422">
        <v>0</v>
      </c>
      <c r="E29" s="422">
        <v>0</v>
      </c>
      <c r="F29" s="272">
        <f t="shared" si="1"/>
        <v>24</v>
      </c>
      <c r="G29" s="300">
        <f t="shared" si="2"/>
        <v>1</v>
      </c>
      <c r="H29" s="275">
        <f t="shared" si="3"/>
        <v>1</v>
      </c>
      <c r="I29" s="422">
        <v>189</v>
      </c>
      <c r="J29" s="278">
        <f t="shared" si="4"/>
        <v>0</v>
      </c>
      <c r="K29" s="272">
        <f>IFERROR(INDEX('Horo. M'!$E$3:$E$367,MATCH(A29,'Horo. M'!$A$3:$A$367,0)),"")</f>
        <v>24</v>
      </c>
      <c r="L29" s="422">
        <v>0</v>
      </c>
      <c r="M29" s="422">
        <v>0</v>
      </c>
      <c r="N29" s="272">
        <f t="shared" si="5"/>
        <v>24</v>
      </c>
      <c r="O29" s="300">
        <f t="shared" si="6"/>
        <v>1</v>
      </c>
      <c r="P29" s="275">
        <f t="shared" si="7"/>
        <v>1</v>
      </c>
      <c r="Q29" s="422">
        <v>187.6</v>
      </c>
      <c r="R29" s="278">
        <f t="shared" si="8"/>
        <v>0</v>
      </c>
      <c r="S29" s="272">
        <f>IFERROR(INDEX('Horo. M'!G$3:$G$367,MATCH(A29,'Horo. M'!$A$3:$A$367,0)),"")</f>
        <v>21</v>
      </c>
      <c r="T29" s="422">
        <v>0</v>
      </c>
      <c r="U29" s="422">
        <v>3</v>
      </c>
      <c r="V29" s="272">
        <f t="shared" si="9"/>
        <v>21</v>
      </c>
      <c r="W29" s="300">
        <f t="shared" si="10"/>
        <v>0.875</v>
      </c>
      <c r="X29" s="275">
        <f t="shared" si="11"/>
        <v>0.875</v>
      </c>
      <c r="Y29" s="422">
        <v>163.06</v>
      </c>
      <c r="Z29" s="278">
        <f t="shared" si="12"/>
        <v>3</v>
      </c>
      <c r="AA29" s="272">
        <f>IFERROR(INDEX('Horo. M'!$I$3:I$367,MATCH(A29,'Horo. M'!$A$3:$A$367,0)),"")</f>
        <v>20</v>
      </c>
      <c r="AB29" s="422">
        <v>0</v>
      </c>
      <c r="AC29" s="422">
        <v>1</v>
      </c>
      <c r="AD29" s="272">
        <f t="shared" si="13"/>
        <v>23</v>
      </c>
      <c r="AE29" s="300">
        <f t="shared" si="14"/>
        <v>0.83333333333333337</v>
      </c>
      <c r="AF29" s="275">
        <f t="shared" si="15"/>
        <v>0.95833333333333337</v>
      </c>
      <c r="AG29" s="422">
        <v>57.13</v>
      </c>
      <c r="AH29" s="272">
        <f t="shared" si="16"/>
        <v>0</v>
      </c>
      <c r="AI29" s="272">
        <f>IFERROR(INDEX('Horo. M'!$K$3:K$367,MATCH(A29,'Horo. M'!$A$3:$A$367,0)),"")</f>
        <v>0</v>
      </c>
      <c r="AJ29" s="422">
        <v>0</v>
      </c>
      <c r="AK29" s="422">
        <v>24</v>
      </c>
      <c r="AL29" s="272">
        <f t="shared" si="17"/>
        <v>0</v>
      </c>
      <c r="AM29" s="300">
        <f t="shared" si="18"/>
        <v>0</v>
      </c>
      <c r="AN29" s="275">
        <f t="shared" si="19"/>
        <v>0</v>
      </c>
      <c r="AO29" s="422">
        <v>0</v>
      </c>
      <c r="AP29" s="272">
        <f t="shared" si="20"/>
        <v>6</v>
      </c>
      <c r="AQ29" s="272">
        <f>IFERROR(INDEX('Horo. M'!$M$3:M$367,MATCH(A29,'Horo. M'!$A$3:$A$367,0)),"")</f>
        <v>0</v>
      </c>
      <c r="AR29" s="422">
        <v>18</v>
      </c>
      <c r="AS29" s="422">
        <v>0</v>
      </c>
      <c r="AT29" s="272">
        <f t="shared" si="21"/>
        <v>6</v>
      </c>
      <c r="AU29" s="300">
        <f t="shared" si="22"/>
        <v>0</v>
      </c>
      <c r="AV29" s="275">
        <f t="shared" si="23"/>
        <v>0.25</v>
      </c>
      <c r="AW29" s="422">
        <v>0.11</v>
      </c>
      <c r="AX29" s="272">
        <f t="shared" si="24"/>
        <v>0</v>
      </c>
      <c r="AY29" s="272">
        <f>IFERROR(INDEX('Horo. M'!$O$3:O$367,MATCH(A29,'Horo. M'!$A$3:$A$367,0)),"")</f>
        <v>24</v>
      </c>
      <c r="AZ29" s="422">
        <v>0</v>
      </c>
      <c r="BA29" s="422">
        <v>0</v>
      </c>
      <c r="BB29" s="272">
        <f t="shared" si="25"/>
        <v>24</v>
      </c>
      <c r="BC29" s="300">
        <f t="shared" si="26"/>
        <v>1</v>
      </c>
      <c r="BD29" s="275">
        <f t="shared" si="27"/>
        <v>1</v>
      </c>
      <c r="BE29" s="422">
        <v>189.83</v>
      </c>
      <c r="BF29" s="272">
        <f t="shared" si="28"/>
        <v>0</v>
      </c>
      <c r="BG29" s="272">
        <f>IFERROR(INDEX('Horo. M'!$Q$3:Q$367,MATCH(A29,'Horo. M'!$A$3:$A$367,0)),"")</f>
        <v>24</v>
      </c>
      <c r="BH29" s="422">
        <v>0</v>
      </c>
      <c r="BI29" s="422">
        <v>0</v>
      </c>
      <c r="BJ29" s="272">
        <f t="shared" si="29"/>
        <v>24</v>
      </c>
      <c r="BK29" s="300">
        <f t="shared" si="30"/>
        <v>1</v>
      </c>
      <c r="BL29" s="275">
        <f t="shared" si="31"/>
        <v>1</v>
      </c>
      <c r="BM29" s="422">
        <v>190.73</v>
      </c>
      <c r="BN29" s="272">
        <f t="shared" si="32"/>
        <v>0</v>
      </c>
      <c r="BO29" s="272">
        <f>IFERROR(INDEX('Horo. M'!$S$3:S$367,MATCH(A29,'Horo. M'!$A$3:$A$367,0)),"")</f>
        <v>24</v>
      </c>
      <c r="BP29" s="422">
        <v>0</v>
      </c>
      <c r="BQ29" s="422">
        <v>0</v>
      </c>
      <c r="BR29" s="272">
        <f t="shared" si="33"/>
        <v>24</v>
      </c>
      <c r="BS29" s="300">
        <f t="shared" si="34"/>
        <v>1</v>
      </c>
      <c r="BT29" s="275">
        <f t="shared" si="35"/>
        <v>1</v>
      </c>
      <c r="BU29" s="422">
        <v>189.99</v>
      </c>
      <c r="BV29" s="272">
        <f t="shared" si="36"/>
        <v>0</v>
      </c>
      <c r="BW29" s="272">
        <f>IFERROR(INDEX('Horo. M'!$U$3:U$367,MATCH(A29,'Horo. M'!$A$3:$A$367,0)),"")</f>
        <v>24</v>
      </c>
      <c r="BX29" s="422">
        <v>0</v>
      </c>
      <c r="BY29" s="422">
        <v>0</v>
      </c>
      <c r="BZ29" s="272">
        <f t="shared" si="37"/>
        <v>24</v>
      </c>
      <c r="CA29" s="300">
        <f t="shared" si="38"/>
        <v>1</v>
      </c>
      <c r="CB29" s="275">
        <f t="shared" si="39"/>
        <v>1</v>
      </c>
      <c r="CC29" s="422">
        <v>188.26</v>
      </c>
    </row>
    <row r="30" spans="1:81">
      <c r="A30" s="279">
        <v>44955</v>
      </c>
      <c r="B30" s="278">
        <f t="shared" si="0"/>
        <v>3</v>
      </c>
      <c r="C30" s="272">
        <f>IFERROR(INDEX('Horo. M'!$C$3:$C$367,MATCH(A30,'Horo. M'!$A$3:$A$367,0)),"")</f>
        <v>21</v>
      </c>
      <c r="D30" s="422">
        <v>0</v>
      </c>
      <c r="E30" s="422">
        <v>0</v>
      </c>
      <c r="F30" s="272">
        <f t="shared" si="1"/>
        <v>24</v>
      </c>
      <c r="G30" s="274">
        <f t="shared" si="2"/>
        <v>0.875</v>
      </c>
      <c r="H30" s="275">
        <f t="shared" si="3"/>
        <v>1</v>
      </c>
      <c r="I30" s="422">
        <v>179.3</v>
      </c>
      <c r="J30" s="278">
        <f t="shared" si="4"/>
        <v>6</v>
      </c>
      <c r="K30" s="272">
        <f>IFERROR(INDEX('Horo. M'!$E$3:$E$367,MATCH(A30,'Horo. M'!$A$3:$A$367,0)),"")</f>
        <v>18</v>
      </c>
      <c r="L30" s="422">
        <v>0</v>
      </c>
      <c r="M30" s="422">
        <v>0</v>
      </c>
      <c r="N30" s="272">
        <f t="shared" si="5"/>
        <v>24</v>
      </c>
      <c r="O30" s="274">
        <f t="shared" si="6"/>
        <v>0.75</v>
      </c>
      <c r="P30" s="275">
        <f t="shared" si="7"/>
        <v>1</v>
      </c>
      <c r="Q30" s="422">
        <v>156.1</v>
      </c>
      <c r="R30" s="278">
        <f t="shared" si="8"/>
        <v>6</v>
      </c>
      <c r="S30" s="272">
        <f>IFERROR(INDEX('Horo. M'!G$3:$G$367,MATCH(A30,'Horo. M'!$A$3:$A$367,0)),"")</f>
        <v>18</v>
      </c>
      <c r="T30" s="422">
        <v>0</v>
      </c>
      <c r="U30" s="422">
        <v>0</v>
      </c>
      <c r="V30" s="272">
        <f t="shared" si="9"/>
        <v>24</v>
      </c>
      <c r="W30" s="274">
        <f t="shared" si="10"/>
        <v>0.75</v>
      </c>
      <c r="X30" s="275">
        <f t="shared" si="11"/>
        <v>1</v>
      </c>
      <c r="Y30" s="422">
        <v>121.34</v>
      </c>
      <c r="Z30" s="278">
        <f t="shared" si="12"/>
        <v>7</v>
      </c>
      <c r="AA30" s="272">
        <f>IFERROR(INDEX('Horo. M'!$I$3:I$367,MATCH(A30,'Horo. M'!$A$3:$A$367,0)),"")</f>
        <v>17</v>
      </c>
      <c r="AB30" s="422">
        <v>0</v>
      </c>
      <c r="AC30" s="422">
        <v>0</v>
      </c>
      <c r="AD30" s="272">
        <f t="shared" si="13"/>
        <v>24</v>
      </c>
      <c r="AE30" s="274">
        <f t="shared" si="14"/>
        <v>0.70833333333333337</v>
      </c>
      <c r="AF30" s="275">
        <f t="shared" si="15"/>
        <v>1</v>
      </c>
      <c r="AG30" s="422">
        <v>57.24</v>
      </c>
      <c r="AH30" s="272">
        <f t="shared" si="16"/>
        <v>0</v>
      </c>
      <c r="AI30" s="272">
        <f>IFERROR(INDEX('Horo. M'!$K$3:K$367,MATCH(A30,'Horo. M'!$A$3:$A$367,0)),"")</f>
        <v>0</v>
      </c>
      <c r="AJ30" s="422">
        <v>0</v>
      </c>
      <c r="AK30" s="422">
        <v>24</v>
      </c>
      <c r="AL30" s="272">
        <f t="shared" si="17"/>
        <v>0</v>
      </c>
      <c r="AM30" s="274">
        <f t="shared" si="18"/>
        <v>0</v>
      </c>
      <c r="AN30" s="275">
        <f t="shared" si="19"/>
        <v>0</v>
      </c>
      <c r="AO30" s="422">
        <v>0</v>
      </c>
      <c r="AP30" s="272">
        <f t="shared" si="20"/>
        <v>7</v>
      </c>
      <c r="AQ30" s="272">
        <f>IFERROR(INDEX('Horo. M'!$M$3:M$367,MATCH(A30,'Horo. M'!$A$3:$A$367,0)),"")</f>
        <v>17</v>
      </c>
      <c r="AR30" s="422">
        <v>0</v>
      </c>
      <c r="AS30" s="422">
        <v>0</v>
      </c>
      <c r="AT30" s="272">
        <f t="shared" si="21"/>
        <v>24</v>
      </c>
      <c r="AU30" s="274">
        <f t="shared" si="22"/>
        <v>0.70833333333333337</v>
      </c>
      <c r="AV30" s="275">
        <f t="shared" si="23"/>
        <v>1</v>
      </c>
      <c r="AW30" s="422">
        <v>59.01</v>
      </c>
      <c r="AX30" s="272">
        <f t="shared" si="24"/>
        <v>5</v>
      </c>
      <c r="AY30" s="272">
        <f>IFERROR(INDEX('Horo. M'!$O$3:O$367,MATCH(A30,'Horo. M'!$A$3:$A$367,0)),"")</f>
        <v>17</v>
      </c>
      <c r="AZ30" s="422">
        <v>2</v>
      </c>
      <c r="BA30" s="422">
        <v>0</v>
      </c>
      <c r="BB30" s="272">
        <f t="shared" si="25"/>
        <v>22</v>
      </c>
      <c r="BC30" s="274">
        <f t="shared" si="26"/>
        <v>0.70833333333333337</v>
      </c>
      <c r="BD30" s="275">
        <f t="shared" si="27"/>
        <v>0.91666666666666663</v>
      </c>
      <c r="BE30" s="422">
        <v>151.05000000000001</v>
      </c>
      <c r="BF30" s="272">
        <f t="shared" si="28"/>
        <v>6</v>
      </c>
      <c r="BG30" s="272">
        <f>IFERROR(INDEX('Horo. M'!$Q$3:Q$367,MATCH(A30,'Horo. M'!$A$3:$A$367,0)),"")</f>
        <v>0</v>
      </c>
      <c r="BH30" s="422">
        <v>16</v>
      </c>
      <c r="BI30" s="422">
        <v>2</v>
      </c>
      <c r="BJ30" s="272">
        <f t="shared" si="29"/>
        <v>6</v>
      </c>
      <c r="BK30" s="274">
        <f t="shared" si="30"/>
        <v>0</v>
      </c>
      <c r="BL30" s="275">
        <f t="shared" si="31"/>
        <v>0.25</v>
      </c>
      <c r="BM30" s="422">
        <v>0.03</v>
      </c>
      <c r="BN30" s="272">
        <f t="shared" si="32"/>
        <v>6</v>
      </c>
      <c r="BO30" s="272">
        <f>IFERROR(INDEX('Horo. M'!$S$3:S$367,MATCH(A30,'Horo. M'!$A$3:$A$367,0)),"")</f>
        <v>18</v>
      </c>
      <c r="BP30" s="422">
        <v>0</v>
      </c>
      <c r="BQ30" s="422">
        <v>0</v>
      </c>
      <c r="BR30" s="272">
        <f t="shared" si="33"/>
        <v>24</v>
      </c>
      <c r="BS30" s="274">
        <f t="shared" si="34"/>
        <v>0.75</v>
      </c>
      <c r="BT30" s="275">
        <f t="shared" si="35"/>
        <v>1</v>
      </c>
      <c r="BU30" s="422">
        <v>157.49</v>
      </c>
      <c r="BV30" s="272">
        <f t="shared" si="36"/>
        <v>4</v>
      </c>
      <c r="BW30" s="272">
        <f>IFERROR(INDEX('Horo. M'!$U$3:U$367,MATCH(A30,'Horo. M'!$A$3:$A$367,0)),"")</f>
        <v>20</v>
      </c>
      <c r="BX30" s="422">
        <v>0</v>
      </c>
      <c r="BY30" s="422">
        <v>0</v>
      </c>
      <c r="BZ30" s="272">
        <f t="shared" si="37"/>
        <v>24</v>
      </c>
      <c r="CA30" s="274">
        <f t="shared" si="38"/>
        <v>0.83333333333333337</v>
      </c>
      <c r="CB30" s="275">
        <f t="shared" si="39"/>
        <v>1</v>
      </c>
      <c r="CC30" s="422">
        <v>176.61</v>
      </c>
    </row>
    <row r="31" spans="1:81">
      <c r="A31" s="279">
        <v>44956</v>
      </c>
      <c r="B31" s="278">
        <f t="shared" si="0"/>
        <v>0</v>
      </c>
      <c r="C31" s="272">
        <f>IFERROR(INDEX('Horo. M'!$C$3:$C$367,MATCH(A31,'Horo. M'!$A$3:$A$367,0)),"")</f>
        <v>22</v>
      </c>
      <c r="D31" s="422">
        <v>0</v>
      </c>
      <c r="E31" s="422">
        <v>2</v>
      </c>
      <c r="F31" s="272">
        <f t="shared" si="1"/>
        <v>22</v>
      </c>
      <c r="G31" s="274">
        <f t="shared" si="2"/>
        <v>0.91666666666666663</v>
      </c>
      <c r="H31" s="275">
        <f t="shared" si="3"/>
        <v>0.91666666666666663</v>
      </c>
      <c r="I31" s="422">
        <v>195.9</v>
      </c>
      <c r="J31" s="278">
        <f t="shared" si="4"/>
        <v>4</v>
      </c>
      <c r="K31" s="272">
        <f>IFERROR(INDEX('Horo. M'!$E$3:$E$367,MATCH(A31,'Horo. M'!$A$3:$A$367,0)),"")</f>
        <v>20</v>
      </c>
      <c r="L31" s="422">
        <v>0</v>
      </c>
      <c r="M31" s="422">
        <v>0</v>
      </c>
      <c r="N31" s="272">
        <f t="shared" si="5"/>
        <v>24</v>
      </c>
      <c r="O31" s="274">
        <f t="shared" si="6"/>
        <v>0.83333333333333337</v>
      </c>
      <c r="P31" s="275">
        <f t="shared" si="7"/>
        <v>1</v>
      </c>
      <c r="Q31" s="422">
        <v>169.4</v>
      </c>
      <c r="R31" s="278">
        <f t="shared" si="8"/>
        <v>3</v>
      </c>
      <c r="S31" s="272">
        <f>IFERROR(INDEX('Horo. M'!G$3:$G$367,MATCH(A31,'Horo. M'!$A$3:$A$367,0)),"")</f>
        <v>21</v>
      </c>
      <c r="T31" s="422">
        <v>0</v>
      </c>
      <c r="U31" s="422">
        <v>0</v>
      </c>
      <c r="V31" s="272">
        <f t="shared" si="9"/>
        <v>24</v>
      </c>
      <c r="W31" s="274">
        <f t="shared" si="10"/>
        <v>0.875</v>
      </c>
      <c r="X31" s="275">
        <f t="shared" si="11"/>
        <v>1</v>
      </c>
      <c r="Y31" s="422">
        <v>146.94</v>
      </c>
      <c r="Z31" s="278">
        <f t="shared" si="12"/>
        <v>6</v>
      </c>
      <c r="AA31" s="272">
        <f>IFERROR(INDEX('Horo. M'!$I$3:I$367,MATCH(A31,'Horo. M'!$A$3:$A$367,0)),"")</f>
        <v>18</v>
      </c>
      <c r="AB31" s="422">
        <v>0</v>
      </c>
      <c r="AC31" s="422">
        <v>0</v>
      </c>
      <c r="AD31" s="272">
        <f t="shared" si="13"/>
        <v>24</v>
      </c>
      <c r="AE31" s="274">
        <f t="shared" si="14"/>
        <v>0.75</v>
      </c>
      <c r="AF31" s="275">
        <f t="shared" si="15"/>
        <v>1</v>
      </c>
      <c r="AG31" s="422">
        <v>58.17</v>
      </c>
      <c r="AH31" s="272">
        <f t="shared" si="16"/>
        <v>0</v>
      </c>
      <c r="AI31" s="272">
        <f>IFERROR(INDEX('Horo. M'!$K$3:K$367,MATCH(A31,'Horo. M'!$A$3:$A$367,0)),"")</f>
        <v>0</v>
      </c>
      <c r="AJ31" s="422">
        <v>0</v>
      </c>
      <c r="AK31" s="422">
        <v>24</v>
      </c>
      <c r="AL31" s="272">
        <f t="shared" si="17"/>
        <v>0</v>
      </c>
      <c r="AM31" s="274">
        <f t="shared" si="18"/>
        <v>0</v>
      </c>
      <c r="AN31" s="275">
        <f t="shared" si="19"/>
        <v>0</v>
      </c>
      <c r="AO31" s="422">
        <v>0</v>
      </c>
      <c r="AP31" s="272">
        <f t="shared" si="20"/>
        <v>4</v>
      </c>
      <c r="AQ31" s="272">
        <f>IFERROR(INDEX('Horo. M'!$M$3:M$367,MATCH(A31,'Horo. M'!$A$3:$A$367,0)),"")</f>
        <v>18</v>
      </c>
      <c r="AR31" s="422">
        <v>0</v>
      </c>
      <c r="AS31" s="422">
        <v>2</v>
      </c>
      <c r="AT31" s="272">
        <f t="shared" si="21"/>
        <v>22</v>
      </c>
      <c r="AU31" s="274">
        <f t="shared" si="22"/>
        <v>0.75</v>
      </c>
      <c r="AV31" s="275">
        <f t="shared" si="23"/>
        <v>0.91666666666666663</v>
      </c>
      <c r="AW31" s="422">
        <v>51.1</v>
      </c>
      <c r="AX31" s="272">
        <f t="shared" si="24"/>
        <v>4</v>
      </c>
      <c r="AY31" s="272">
        <f>IFERROR(INDEX('Horo. M'!$O$3:O$367,MATCH(A31,'Horo. M'!$A$3:$A$367,0)),"")</f>
        <v>20</v>
      </c>
      <c r="AZ31" s="422">
        <v>0</v>
      </c>
      <c r="BA31" s="422">
        <v>0</v>
      </c>
      <c r="BB31" s="272">
        <f t="shared" si="25"/>
        <v>24</v>
      </c>
      <c r="BC31" s="274">
        <f t="shared" si="26"/>
        <v>0.83333333333333337</v>
      </c>
      <c r="BD31" s="275">
        <f t="shared" si="27"/>
        <v>1</v>
      </c>
      <c r="BE31" s="422">
        <v>170.43</v>
      </c>
      <c r="BF31" s="272">
        <f t="shared" si="28"/>
        <v>3</v>
      </c>
      <c r="BG31" s="272">
        <f>IFERROR(INDEX('Horo. M'!$Q$3:Q$367,MATCH(A31,'Horo. M'!$A$3:$A$367,0)),"")</f>
        <v>21</v>
      </c>
      <c r="BH31" s="422">
        <v>0</v>
      </c>
      <c r="BI31" s="422">
        <v>0</v>
      </c>
      <c r="BJ31" s="272">
        <f t="shared" si="29"/>
        <v>24</v>
      </c>
      <c r="BK31" s="274">
        <f t="shared" si="30"/>
        <v>0.875</v>
      </c>
      <c r="BL31" s="275">
        <f t="shared" si="31"/>
        <v>1</v>
      </c>
      <c r="BM31" s="422">
        <v>183.66</v>
      </c>
      <c r="BN31" s="272">
        <f t="shared" si="32"/>
        <v>0</v>
      </c>
      <c r="BO31" s="272">
        <f>IFERROR(INDEX('Horo. M'!$S$3:S$367,MATCH(A31,'Horo. M'!$A$3:$A$367,0)),"")</f>
        <v>21</v>
      </c>
      <c r="BP31" s="422">
        <v>3</v>
      </c>
      <c r="BQ31" s="422">
        <v>0</v>
      </c>
      <c r="BR31" s="272">
        <f t="shared" si="33"/>
        <v>21</v>
      </c>
      <c r="BS31" s="274">
        <f t="shared" si="34"/>
        <v>0.875</v>
      </c>
      <c r="BT31" s="275">
        <f t="shared" si="35"/>
        <v>0.875</v>
      </c>
      <c r="BU31" s="422">
        <v>177.04</v>
      </c>
      <c r="BV31" s="272">
        <f t="shared" si="36"/>
        <v>1</v>
      </c>
      <c r="BW31" s="272">
        <f>IFERROR(INDEX('Horo. M'!$U$3:U$367,MATCH(A31,'Horo. M'!$A$3:$A$367,0)),"")</f>
        <v>23</v>
      </c>
      <c r="BX31" s="422">
        <v>0</v>
      </c>
      <c r="BY31" s="422">
        <v>0</v>
      </c>
      <c r="BZ31" s="272">
        <f t="shared" si="37"/>
        <v>24</v>
      </c>
      <c r="CA31" s="274">
        <f t="shared" si="38"/>
        <v>0.95833333333333337</v>
      </c>
      <c r="CB31" s="275">
        <f t="shared" si="39"/>
        <v>1</v>
      </c>
      <c r="CC31" s="422">
        <v>197.75</v>
      </c>
    </row>
    <row r="32" spans="1:81">
      <c r="A32" s="279">
        <v>44957</v>
      </c>
      <c r="B32" s="278">
        <f t="shared" si="0"/>
        <v>1</v>
      </c>
      <c r="C32" s="272">
        <f>IFERROR(INDEX('Horo. M'!$C$3:$C$367,MATCH(A32,'Horo. M'!$A$3:$A$367,0)),"")</f>
        <v>23</v>
      </c>
      <c r="D32" s="422">
        <v>0</v>
      </c>
      <c r="E32" s="422">
        <v>0</v>
      </c>
      <c r="F32" s="272">
        <f t="shared" si="1"/>
        <v>24</v>
      </c>
      <c r="G32" s="274">
        <f t="shared" si="2"/>
        <v>0.95833333333333337</v>
      </c>
      <c r="H32" s="275">
        <f t="shared" si="3"/>
        <v>1</v>
      </c>
      <c r="I32" s="422">
        <v>182</v>
      </c>
      <c r="J32" s="278">
        <f t="shared" si="4"/>
        <v>0</v>
      </c>
      <c r="K32" s="272">
        <f>IFERROR(INDEX('Horo. M'!$E$3:$E$367,MATCH(A32,'Horo. M'!$A$3:$A$367,0)),"")</f>
        <v>24</v>
      </c>
      <c r="L32" s="422">
        <v>0</v>
      </c>
      <c r="M32" s="422">
        <v>0</v>
      </c>
      <c r="N32" s="272">
        <f t="shared" si="5"/>
        <v>24</v>
      </c>
      <c r="O32" s="274">
        <f t="shared" si="6"/>
        <v>1</v>
      </c>
      <c r="P32" s="275">
        <f t="shared" si="7"/>
        <v>1</v>
      </c>
      <c r="Q32" s="422">
        <v>204.7</v>
      </c>
      <c r="R32" s="278">
        <f t="shared" si="8"/>
        <v>0</v>
      </c>
      <c r="S32" s="272">
        <f>IFERROR(INDEX('Horo. M'!G$3:$G$367,MATCH(A32,'Horo. M'!$A$3:$A$367,0)),"")</f>
        <v>24</v>
      </c>
      <c r="T32" s="422">
        <v>0</v>
      </c>
      <c r="U32" s="422">
        <v>0</v>
      </c>
      <c r="V32" s="272">
        <f t="shared" si="9"/>
        <v>24</v>
      </c>
      <c r="W32" s="274">
        <f t="shared" si="10"/>
        <v>1</v>
      </c>
      <c r="X32" s="275">
        <f t="shared" si="11"/>
        <v>1</v>
      </c>
      <c r="Y32" s="422">
        <v>164.99</v>
      </c>
      <c r="Z32" s="278">
        <f t="shared" si="12"/>
        <v>0</v>
      </c>
      <c r="AA32" s="272">
        <f>IFERROR(INDEX('Horo. M'!$I$3:I$367,MATCH(A32,'Horo. M'!$A$3:$A$367,0)),"")</f>
        <v>24</v>
      </c>
      <c r="AB32" s="422">
        <v>0</v>
      </c>
      <c r="AC32" s="422">
        <v>0</v>
      </c>
      <c r="AD32" s="272">
        <f t="shared" si="13"/>
        <v>24</v>
      </c>
      <c r="AE32" s="274">
        <f t="shared" si="14"/>
        <v>1</v>
      </c>
      <c r="AF32" s="275">
        <f t="shared" si="15"/>
        <v>1</v>
      </c>
      <c r="AG32" s="422">
        <v>79.33</v>
      </c>
      <c r="AH32" s="272">
        <f t="shared" si="16"/>
        <v>0</v>
      </c>
      <c r="AI32" s="272">
        <f>IFERROR(INDEX('Horo. M'!$K$3:K$367,MATCH(A32,'Horo. M'!$A$3:$A$367,0)),"")</f>
        <v>0</v>
      </c>
      <c r="AJ32" s="422">
        <v>0</v>
      </c>
      <c r="AK32" s="422">
        <v>24</v>
      </c>
      <c r="AL32" s="272">
        <f t="shared" si="17"/>
        <v>0</v>
      </c>
      <c r="AM32" s="274">
        <f t="shared" si="18"/>
        <v>0</v>
      </c>
      <c r="AN32" s="275">
        <f t="shared" si="19"/>
        <v>0</v>
      </c>
      <c r="AO32" s="422">
        <v>0</v>
      </c>
      <c r="AP32" s="272">
        <f t="shared" si="20"/>
        <v>2</v>
      </c>
      <c r="AQ32" s="272">
        <f>IFERROR(INDEX('Horo. M'!$M$3:M$367,MATCH(A32,'Horo. M'!$A$3:$A$367,0)),"")</f>
        <v>20</v>
      </c>
      <c r="AR32" s="422">
        <v>0</v>
      </c>
      <c r="AS32" s="422">
        <v>2</v>
      </c>
      <c r="AT32" s="272">
        <f t="shared" si="21"/>
        <v>22</v>
      </c>
      <c r="AU32" s="274">
        <f t="shared" si="22"/>
        <v>0.83333333333333337</v>
      </c>
      <c r="AV32" s="275">
        <f t="shared" si="23"/>
        <v>0.91666666666666663</v>
      </c>
      <c r="AW32" s="422">
        <v>82.92</v>
      </c>
      <c r="AX32" s="272">
        <f t="shared" si="24"/>
        <v>0</v>
      </c>
      <c r="AY32" s="272">
        <f>IFERROR(INDEX('Horo. M'!$O$3:O$367,MATCH(A32,'Horo. M'!$A$3:$A$367,0)),"")</f>
        <v>24</v>
      </c>
      <c r="AZ32" s="422">
        <v>0</v>
      </c>
      <c r="BA32" s="422">
        <v>0</v>
      </c>
      <c r="BB32" s="272">
        <f t="shared" si="25"/>
        <v>24</v>
      </c>
      <c r="BC32" s="274">
        <f t="shared" si="26"/>
        <v>1</v>
      </c>
      <c r="BD32" s="275">
        <f t="shared" si="27"/>
        <v>1</v>
      </c>
      <c r="BE32" s="422">
        <v>211.62</v>
      </c>
      <c r="BF32" s="272">
        <f t="shared" si="28"/>
        <v>0</v>
      </c>
      <c r="BG32" s="272">
        <f>IFERROR(INDEX('Horo. M'!$Q$3:Q$367,MATCH(A32,'Horo. M'!$A$3:$A$367,0)),"")</f>
        <v>24</v>
      </c>
      <c r="BH32" s="422">
        <v>0</v>
      </c>
      <c r="BI32" s="422">
        <v>0</v>
      </c>
      <c r="BJ32" s="272">
        <f t="shared" si="29"/>
        <v>24</v>
      </c>
      <c r="BK32" s="274">
        <f t="shared" si="30"/>
        <v>1</v>
      </c>
      <c r="BL32" s="275">
        <f t="shared" si="31"/>
        <v>1</v>
      </c>
      <c r="BM32" s="422">
        <v>209.38</v>
      </c>
      <c r="BN32" s="272">
        <f t="shared" si="32"/>
        <v>1</v>
      </c>
      <c r="BO32" s="272">
        <f>IFERROR(INDEX('Horo. M'!$S$3:S$367,MATCH(A32,'Horo. M'!$A$3:$A$367,0)),"")</f>
        <v>23</v>
      </c>
      <c r="BP32" s="422">
        <v>0</v>
      </c>
      <c r="BQ32" s="422">
        <v>0</v>
      </c>
      <c r="BR32" s="272">
        <f t="shared" si="33"/>
        <v>24</v>
      </c>
      <c r="BS32" s="274">
        <f t="shared" si="34"/>
        <v>0.95833333333333337</v>
      </c>
      <c r="BT32" s="275">
        <f t="shared" si="35"/>
        <v>1</v>
      </c>
      <c r="BU32" s="422">
        <v>213.93</v>
      </c>
      <c r="BV32" s="272">
        <f t="shared" si="36"/>
        <v>0</v>
      </c>
      <c r="BW32" s="272">
        <f>IFERROR(INDEX('Horo. M'!$U$3:U$367,MATCH(A32,'Horo. M'!$A$3:$A$367,0)),"")</f>
        <v>24</v>
      </c>
      <c r="BX32" s="422">
        <v>0</v>
      </c>
      <c r="BY32" s="422">
        <v>0</v>
      </c>
      <c r="BZ32" s="272">
        <f t="shared" si="37"/>
        <v>24</v>
      </c>
      <c r="CA32" s="274">
        <f t="shared" si="38"/>
        <v>1</v>
      </c>
      <c r="CB32" s="275">
        <f t="shared" si="39"/>
        <v>1</v>
      </c>
      <c r="CC32" s="422">
        <v>208.45</v>
      </c>
    </row>
    <row r="33" spans="1:81">
      <c r="A33" s="279">
        <v>44958</v>
      </c>
      <c r="B33" s="278">
        <f t="shared" si="0"/>
        <v>0</v>
      </c>
      <c r="C33" s="272">
        <f>IFERROR(INDEX('Horo. M'!$C$3:$C$367,MATCH(A33,'Horo. M'!$A$3:$A$367,0)),"")</f>
        <v>24</v>
      </c>
      <c r="D33" s="422">
        <v>0</v>
      </c>
      <c r="E33" s="422">
        <v>0</v>
      </c>
      <c r="F33" s="272">
        <f t="shared" si="1"/>
        <v>24</v>
      </c>
      <c r="G33" s="274">
        <f t="shared" si="2"/>
        <v>1</v>
      </c>
      <c r="H33" s="275">
        <f t="shared" si="3"/>
        <v>1</v>
      </c>
      <c r="I33" s="422">
        <v>194</v>
      </c>
      <c r="J33" s="278">
        <f t="shared" si="4"/>
        <v>0</v>
      </c>
      <c r="K33" s="272">
        <f>IFERROR(INDEX('Horo. M'!$E$3:$E$367,MATCH(A33,'Horo. M'!$A$3:$A$367,0)),"")</f>
        <v>24</v>
      </c>
      <c r="L33" s="422">
        <v>0</v>
      </c>
      <c r="M33" s="422">
        <v>0</v>
      </c>
      <c r="N33" s="272">
        <f t="shared" si="5"/>
        <v>24</v>
      </c>
      <c r="O33" s="274">
        <f t="shared" si="6"/>
        <v>1</v>
      </c>
      <c r="P33" s="275">
        <f t="shared" si="7"/>
        <v>1</v>
      </c>
      <c r="Q33" s="422">
        <v>188.8</v>
      </c>
      <c r="R33" s="278">
        <f t="shared" si="8"/>
        <v>2</v>
      </c>
      <c r="S33" s="272">
        <f>IFERROR(INDEX('Horo. M'!G$3:$G$367,MATCH(A33,'Horo. M'!$A$3:$A$367,0)),"")</f>
        <v>22</v>
      </c>
      <c r="T33" s="422">
        <v>0</v>
      </c>
      <c r="U33" s="422">
        <v>0</v>
      </c>
      <c r="V33" s="272">
        <f t="shared" si="9"/>
        <v>24</v>
      </c>
      <c r="W33" s="274">
        <f t="shared" si="10"/>
        <v>0.91666666666666663</v>
      </c>
      <c r="X33" s="275">
        <f t="shared" si="11"/>
        <v>1</v>
      </c>
      <c r="Y33" s="422">
        <v>177.96</v>
      </c>
      <c r="Z33" s="278">
        <f t="shared" si="12"/>
        <v>6</v>
      </c>
      <c r="AA33" s="272">
        <f>IFERROR(INDEX('Horo. M'!$I$3:I$367,MATCH(A33,'Horo. M'!$A$3:$A$367,0)),"")</f>
        <v>6</v>
      </c>
      <c r="AB33" s="422">
        <v>5</v>
      </c>
      <c r="AC33" s="422">
        <v>7</v>
      </c>
      <c r="AD33" s="272">
        <f t="shared" si="13"/>
        <v>12</v>
      </c>
      <c r="AE33" s="274">
        <f t="shared" si="14"/>
        <v>0.25</v>
      </c>
      <c r="AF33" s="275">
        <f t="shared" si="15"/>
        <v>0.5</v>
      </c>
      <c r="AG33" s="422">
        <v>21.12</v>
      </c>
      <c r="AH33" s="272">
        <f t="shared" si="16"/>
        <v>0</v>
      </c>
      <c r="AI33" s="272">
        <f>IFERROR(INDEX('Horo. M'!$K$3:K$367,MATCH(A33,'Horo. M'!$A$3:$A$367,0)),"")</f>
        <v>0</v>
      </c>
      <c r="AJ33" s="422">
        <v>0</v>
      </c>
      <c r="AK33" s="422">
        <v>24</v>
      </c>
      <c r="AL33" s="272">
        <f t="shared" si="17"/>
        <v>0</v>
      </c>
      <c r="AM33" s="274">
        <f t="shared" si="18"/>
        <v>0</v>
      </c>
      <c r="AN33" s="275">
        <f t="shared" si="19"/>
        <v>0</v>
      </c>
      <c r="AO33" s="422">
        <v>0</v>
      </c>
      <c r="AP33" s="272">
        <f t="shared" si="20"/>
        <v>0</v>
      </c>
      <c r="AQ33" s="272">
        <f>IFERROR(INDEX('Horo. M'!$M$3:M$367,MATCH(A33,'Horo. M'!$A$3:$A$367,0)),"")</f>
        <v>22</v>
      </c>
      <c r="AR33" s="422">
        <v>0</v>
      </c>
      <c r="AS33" s="422">
        <v>2</v>
      </c>
      <c r="AT33" s="272">
        <f t="shared" si="21"/>
        <v>22</v>
      </c>
      <c r="AU33" s="274">
        <f t="shared" si="22"/>
        <v>0.91666666666666663</v>
      </c>
      <c r="AV33" s="275">
        <f t="shared" si="23"/>
        <v>0.91666666666666663</v>
      </c>
      <c r="AW33" s="422">
        <v>122.69</v>
      </c>
      <c r="AX33" s="272">
        <f t="shared" si="24"/>
        <v>0</v>
      </c>
      <c r="AY33" s="272">
        <f>IFERROR(INDEX('Horo. M'!$O$3:O$367,MATCH(A33,'Horo. M'!$A$3:$A$367,0)),"")</f>
        <v>24</v>
      </c>
      <c r="AZ33" s="422">
        <v>0</v>
      </c>
      <c r="BA33" s="422">
        <v>0</v>
      </c>
      <c r="BB33" s="272">
        <f t="shared" si="25"/>
        <v>24</v>
      </c>
      <c r="BC33" s="274">
        <f t="shared" si="26"/>
        <v>1</v>
      </c>
      <c r="BD33" s="275">
        <f t="shared" si="27"/>
        <v>1</v>
      </c>
      <c r="BE33" s="422">
        <v>197.27</v>
      </c>
      <c r="BF33" s="272">
        <f t="shared" si="28"/>
        <v>0</v>
      </c>
      <c r="BG33" s="272">
        <f>IFERROR(INDEX('Horo. M'!$Q$3:Q$367,MATCH(A33,'Horo. M'!$A$3:$A$367,0)),"")</f>
        <v>24</v>
      </c>
      <c r="BH33" s="422">
        <v>0</v>
      </c>
      <c r="BI33" s="422">
        <v>0</v>
      </c>
      <c r="BJ33" s="272">
        <f t="shared" si="29"/>
        <v>24</v>
      </c>
      <c r="BK33" s="274">
        <f t="shared" si="30"/>
        <v>1</v>
      </c>
      <c r="BL33" s="275">
        <f t="shared" si="31"/>
        <v>1</v>
      </c>
      <c r="BM33" s="422">
        <v>192.51</v>
      </c>
      <c r="BN33" s="272">
        <f t="shared" si="32"/>
        <v>0</v>
      </c>
      <c r="BO33" s="272">
        <f>IFERROR(INDEX('Horo. M'!$S$3:S$367,MATCH(A33,'Horo. M'!$A$3:$A$367,0)),"")</f>
        <v>24</v>
      </c>
      <c r="BP33" s="422">
        <v>0</v>
      </c>
      <c r="BQ33" s="422">
        <v>0</v>
      </c>
      <c r="BR33" s="272">
        <f t="shared" si="33"/>
        <v>24</v>
      </c>
      <c r="BS33" s="274">
        <f t="shared" si="34"/>
        <v>1</v>
      </c>
      <c r="BT33" s="275">
        <f t="shared" si="35"/>
        <v>1</v>
      </c>
      <c r="BU33" s="422">
        <v>193.36</v>
      </c>
      <c r="BV33" s="272">
        <f t="shared" si="36"/>
        <v>0</v>
      </c>
      <c r="BW33" s="272">
        <f>IFERROR(INDEX('Horo. M'!$U$3:U$367,MATCH(A33,'Horo. M'!$A$3:$A$367,0)),"")</f>
        <v>24</v>
      </c>
      <c r="BX33" s="422">
        <v>0</v>
      </c>
      <c r="BY33" s="422">
        <v>0</v>
      </c>
      <c r="BZ33" s="272">
        <f t="shared" si="37"/>
        <v>24</v>
      </c>
      <c r="CA33" s="274">
        <f t="shared" si="38"/>
        <v>1</v>
      </c>
      <c r="CB33" s="275">
        <f t="shared" si="39"/>
        <v>1</v>
      </c>
      <c r="CC33" s="422">
        <v>193.88</v>
      </c>
    </row>
    <row r="34" spans="1:81">
      <c r="A34" s="279">
        <v>44959</v>
      </c>
      <c r="B34" s="278">
        <f t="shared" si="0"/>
        <v>2</v>
      </c>
      <c r="C34" s="272">
        <f>IFERROR(INDEX('Horo. M'!$C$3:$C$367,MATCH(A34,'Horo. M'!$A$3:$A$367,0)),"")</f>
        <v>22</v>
      </c>
      <c r="D34" s="422">
        <v>0</v>
      </c>
      <c r="E34" s="422">
        <v>0</v>
      </c>
      <c r="F34" s="272">
        <f t="shared" si="1"/>
        <v>24</v>
      </c>
      <c r="G34" s="274">
        <f t="shared" si="2"/>
        <v>0.91666666666666663</v>
      </c>
      <c r="H34" s="275">
        <f t="shared" si="3"/>
        <v>1</v>
      </c>
      <c r="I34" s="422">
        <v>156.9</v>
      </c>
      <c r="J34" s="278">
        <f t="shared" si="4"/>
        <v>5</v>
      </c>
      <c r="K34" s="272">
        <f>IFERROR(INDEX('Horo. M'!$E$3:$E$367,MATCH(A34,'Horo. M'!$A$3:$A$367,0)),"")</f>
        <v>19</v>
      </c>
      <c r="L34" s="422">
        <v>0</v>
      </c>
      <c r="M34" s="422">
        <v>0</v>
      </c>
      <c r="N34" s="272">
        <f t="shared" si="5"/>
        <v>24</v>
      </c>
      <c r="O34" s="274">
        <f t="shared" si="6"/>
        <v>0.79166666666666663</v>
      </c>
      <c r="P34" s="275">
        <f t="shared" si="7"/>
        <v>1</v>
      </c>
      <c r="Q34" s="422">
        <v>134.5</v>
      </c>
      <c r="R34" s="278">
        <f t="shared" si="8"/>
        <v>4</v>
      </c>
      <c r="S34" s="272">
        <f>IFERROR(INDEX('Horo. M'!G$3:$G$367,MATCH(A34,'Horo. M'!$A$3:$A$367,0)),"")</f>
        <v>20</v>
      </c>
      <c r="T34" s="422">
        <v>0</v>
      </c>
      <c r="U34" s="422">
        <v>0</v>
      </c>
      <c r="V34" s="272">
        <f t="shared" si="9"/>
        <v>24</v>
      </c>
      <c r="W34" s="274">
        <f t="shared" si="10"/>
        <v>0.83333333333333337</v>
      </c>
      <c r="X34" s="275">
        <f t="shared" si="11"/>
        <v>1</v>
      </c>
      <c r="Y34" s="422">
        <v>128.84</v>
      </c>
      <c r="Z34" s="278">
        <f t="shared" si="12"/>
        <v>9</v>
      </c>
      <c r="AA34" s="272">
        <f>IFERROR(INDEX('Horo. M'!$I$3:I$367,MATCH(A34,'Horo. M'!$A$3:$A$367,0)),"")</f>
        <v>15</v>
      </c>
      <c r="AB34" s="422">
        <v>0</v>
      </c>
      <c r="AC34" s="422">
        <v>0</v>
      </c>
      <c r="AD34" s="272">
        <f t="shared" si="13"/>
        <v>24</v>
      </c>
      <c r="AE34" s="274">
        <f t="shared" si="14"/>
        <v>0.625</v>
      </c>
      <c r="AF34" s="275">
        <f t="shared" si="15"/>
        <v>1</v>
      </c>
      <c r="AG34" s="422">
        <v>97.93</v>
      </c>
      <c r="AH34" s="272">
        <f t="shared" si="16"/>
        <v>0</v>
      </c>
      <c r="AI34" s="272">
        <f>IFERROR(INDEX('Horo. M'!$K$3:K$367,MATCH(A34,'Horo. M'!$A$3:$A$367,0)),"")</f>
        <v>0</v>
      </c>
      <c r="AJ34" s="422">
        <v>0</v>
      </c>
      <c r="AK34" s="422">
        <v>24</v>
      </c>
      <c r="AL34" s="272">
        <f t="shared" si="17"/>
        <v>0</v>
      </c>
      <c r="AM34" s="274">
        <f t="shared" si="18"/>
        <v>0</v>
      </c>
      <c r="AN34" s="275">
        <f t="shared" si="19"/>
        <v>0</v>
      </c>
      <c r="AO34" s="422">
        <v>0</v>
      </c>
      <c r="AP34" s="272">
        <f t="shared" si="20"/>
        <v>4</v>
      </c>
      <c r="AQ34" s="272">
        <f>IFERROR(INDEX('Horo. M'!$M$3:M$367,MATCH(A34,'Horo. M'!$A$3:$A$367,0)),"")</f>
        <v>20</v>
      </c>
      <c r="AR34" s="422">
        <v>0</v>
      </c>
      <c r="AS34" s="422">
        <v>0</v>
      </c>
      <c r="AT34" s="272">
        <f t="shared" si="21"/>
        <v>24</v>
      </c>
      <c r="AU34" s="274">
        <f t="shared" si="22"/>
        <v>0.83333333333333337</v>
      </c>
      <c r="AV34" s="275">
        <f t="shared" si="23"/>
        <v>1</v>
      </c>
      <c r="AW34" s="422">
        <v>144.77000000000001</v>
      </c>
      <c r="AX34" s="272">
        <f t="shared" si="24"/>
        <v>4</v>
      </c>
      <c r="AY34" s="272">
        <f>IFERROR(INDEX('Horo. M'!$O$3:O$367,MATCH(A34,'Horo. M'!$A$3:$A$367,0)),"")</f>
        <v>20</v>
      </c>
      <c r="AZ34" s="422">
        <v>0</v>
      </c>
      <c r="BA34" s="422">
        <v>0</v>
      </c>
      <c r="BB34" s="272">
        <f t="shared" si="25"/>
        <v>24</v>
      </c>
      <c r="BC34" s="274">
        <f t="shared" si="26"/>
        <v>0.83333333333333337</v>
      </c>
      <c r="BD34" s="275">
        <f t="shared" si="27"/>
        <v>1</v>
      </c>
      <c r="BE34" s="422">
        <v>144.13</v>
      </c>
      <c r="BF34" s="272">
        <f t="shared" si="28"/>
        <v>6</v>
      </c>
      <c r="BG34" s="272">
        <f>IFERROR(INDEX('Horo. M'!$Q$3:Q$367,MATCH(A34,'Horo. M'!$A$3:$A$367,0)),"")</f>
        <v>16</v>
      </c>
      <c r="BH34" s="422">
        <v>0</v>
      </c>
      <c r="BI34" s="422">
        <v>2</v>
      </c>
      <c r="BJ34" s="272">
        <f t="shared" si="29"/>
        <v>22</v>
      </c>
      <c r="BK34" s="274">
        <f t="shared" si="30"/>
        <v>0.66666666666666663</v>
      </c>
      <c r="BL34" s="275">
        <f t="shared" si="31"/>
        <v>0.91666666666666663</v>
      </c>
      <c r="BM34" s="422">
        <v>100.95</v>
      </c>
      <c r="BN34" s="272">
        <f t="shared" si="32"/>
        <v>3</v>
      </c>
      <c r="BO34" s="272">
        <f>IFERROR(INDEX('Horo. M'!$S$3:S$367,MATCH(A34,'Horo. M'!$A$3:$A$367,0)),"")</f>
        <v>21</v>
      </c>
      <c r="BP34" s="422">
        <v>0</v>
      </c>
      <c r="BQ34" s="422">
        <v>0</v>
      </c>
      <c r="BR34" s="272">
        <f t="shared" si="33"/>
        <v>24</v>
      </c>
      <c r="BS34" s="274">
        <f t="shared" si="34"/>
        <v>0.875</v>
      </c>
      <c r="BT34" s="275">
        <f t="shared" si="35"/>
        <v>1</v>
      </c>
      <c r="BU34" s="422">
        <v>145.65</v>
      </c>
      <c r="BV34" s="272">
        <f t="shared" si="36"/>
        <v>4</v>
      </c>
      <c r="BW34" s="272">
        <f>IFERROR(INDEX('Horo. M'!$U$3:U$367,MATCH(A34,'Horo. M'!$A$3:$A$367,0)),"")</f>
        <v>16</v>
      </c>
      <c r="BX34" s="422">
        <v>0</v>
      </c>
      <c r="BY34" s="422">
        <v>4</v>
      </c>
      <c r="BZ34" s="272">
        <f t="shared" si="37"/>
        <v>20</v>
      </c>
      <c r="CA34" s="274">
        <f t="shared" si="38"/>
        <v>0.66666666666666663</v>
      </c>
      <c r="CB34" s="275">
        <f t="shared" si="39"/>
        <v>0.83333333333333337</v>
      </c>
      <c r="CC34" s="422">
        <v>108.75</v>
      </c>
    </row>
    <row r="35" spans="1:81">
      <c r="A35" s="279">
        <v>44960</v>
      </c>
      <c r="B35" s="278">
        <f t="shared" si="0"/>
        <v>2</v>
      </c>
      <c r="C35" s="272">
        <f>IFERROR(INDEX('Horo. M'!$C$3:$C$367,MATCH(A35,'Horo. M'!$A$3:$A$367,0)),"")</f>
        <v>22</v>
      </c>
      <c r="D35" s="422">
        <v>0</v>
      </c>
      <c r="E35" s="422">
        <v>0</v>
      </c>
      <c r="F35" s="272">
        <f t="shared" si="1"/>
        <v>24</v>
      </c>
      <c r="G35" s="274">
        <f t="shared" si="2"/>
        <v>0.91666666666666663</v>
      </c>
      <c r="H35" s="275">
        <f t="shared" si="3"/>
        <v>1</v>
      </c>
      <c r="I35" s="422">
        <v>172.4</v>
      </c>
      <c r="J35" s="278">
        <f t="shared" si="4"/>
        <v>5</v>
      </c>
      <c r="K35" s="272">
        <f>IFERROR(INDEX('Horo. M'!$E$3:$E$367,MATCH(A35,'Horo. M'!$A$3:$A$367,0)),"")</f>
        <v>19</v>
      </c>
      <c r="L35" s="422">
        <v>0</v>
      </c>
      <c r="M35" s="422">
        <v>0</v>
      </c>
      <c r="N35" s="272">
        <f t="shared" si="5"/>
        <v>24</v>
      </c>
      <c r="O35" s="274">
        <f t="shared" si="6"/>
        <v>0.79166666666666663</v>
      </c>
      <c r="P35" s="275">
        <f t="shared" si="7"/>
        <v>1</v>
      </c>
      <c r="Q35" s="422">
        <v>127</v>
      </c>
      <c r="R35" s="278">
        <f t="shared" si="8"/>
        <v>7</v>
      </c>
      <c r="S35" s="272">
        <f>IFERROR(INDEX('Horo. M'!G$3:$G$367,MATCH(A35,'Horo. M'!$A$3:$A$367,0)),"")</f>
        <v>17</v>
      </c>
      <c r="T35" s="422">
        <v>0</v>
      </c>
      <c r="U35" s="422">
        <v>0</v>
      </c>
      <c r="V35" s="272">
        <f t="shared" si="9"/>
        <v>24</v>
      </c>
      <c r="W35" s="274">
        <f t="shared" si="10"/>
        <v>0.70833333333333337</v>
      </c>
      <c r="X35" s="275">
        <f t="shared" si="11"/>
        <v>1</v>
      </c>
      <c r="Y35" s="422">
        <v>122.4</v>
      </c>
      <c r="Z35" s="278">
        <f t="shared" si="12"/>
        <v>5</v>
      </c>
      <c r="AA35" s="272">
        <f>IFERROR(INDEX('Horo. M'!$I$3:I$367,MATCH(A35,'Horo. M'!$A$3:$A$367,0)),"")</f>
        <v>19</v>
      </c>
      <c r="AB35" s="422">
        <v>0</v>
      </c>
      <c r="AC35" s="422">
        <v>0</v>
      </c>
      <c r="AD35" s="272">
        <f t="shared" si="13"/>
        <v>24</v>
      </c>
      <c r="AE35" s="274">
        <f t="shared" si="14"/>
        <v>0.79166666666666663</v>
      </c>
      <c r="AF35" s="275">
        <f t="shared" si="15"/>
        <v>1</v>
      </c>
      <c r="AG35" s="422">
        <v>144.35</v>
      </c>
      <c r="AH35" s="272">
        <f t="shared" si="16"/>
        <v>0</v>
      </c>
      <c r="AI35" s="272">
        <f>IFERROR(INDEX('Horo. M'!$K$3:K$367,MATCH(A35,'Horo. M'!$A$3:$A$367,0)),"")</f>
        <v>0</v>
      </c>
      <c r="AJ35" s="422">
        <v>0</v>
      </c>
      <c r="AK35" s="422">
        <v>24</v>
      </c>
      <c r="AL35" s="272">
        <f t="shared" si="17"/>
        <v>0</v>
      </c>
      <c r="AM35" s="274">
        <f t="shared" si="18"/>
        <v>0</v>
      </c>
      <c r="AN35" s="275">
        <f t="shared" si="19"/>
        <v>0</v>
      </c>
      <c r="AO35" s="422">
        <v>0</v>
      </c>
      <c r="AP35" s="272">
        <f t="shared" si="20"/>
        <v>0</v>
      </c>
      <c r="AQ35" s="272">
        <f>IFERROR(INDEX('Horo. M'!$M$3:M$367,MATCH(A35,'Horo. M'!$A$3:$A$367,0)),"")</f>
        <v>20</v>
      </c>
      <c r="AR35" s="422">
        <v>0</v>
      </c>
      <c r="AS35" s="422">
        <v>4</v>
      </c>
      <c r="AT35" s="272">
        <f t="shared" si="21"/>
        <v>20</v>
      </c>
      <c r="AU35" s="274">
        <f t="shared" si="22"/>
        <v>0.83333333333333337</v>
      </c>
      <c r="AV35" s="275">
        <f t="shared" si="23"/>
        <v>0.83333333333333337</v>
      </c>
      <c r="AW35" s="422">
        <v>144.11000000000001</v>
      </c>
      <c r="AX35" s="272">
        <f t="shared" si="24"/>
        <v>4</v>
      </c>
      <c r="AY35" s="272">
        <f>IFERROR(INDEX('Horo. M'!$O$3:O$367,MATCH(A35,'Horo. M'!$A$3:$A$367,0)),"")</f>
        <v>20</v>
      </c>
      <c r="AZ35" s="422">
        <v>0</v>
      </c>
      <c r="BA35" s="422">
        <v>0</v>
      </c>
      <c r="BB35" s="272">
        <f t="shared" si="25"/>
        <v>24</v>
      </c>
      <c r="BC35" s="274">
        <f t="shared" si="26"/>
        <v>0.83333333333333337</v>
      </c>
      <c r="BD35" s="275">
        <f t="shared" si="27"/>
        <v>1</v>
      </c>
      <c r="BE35" s="422">
        <v>149.80000000000001</v>
      </c>
      <c r="BF35" s="272">
        <f t="shared" si="28"/>
        <v>3</v>
      </c>
      <c r="BG35" s="272">
        <f>IFERROR(INDEX('Horo. M'!$Q$3:Q$367,MATCH(A35,'Horo. M'!$A$3:$A$367,0)),"")</f>
        <v>21</v>
      </c>
      <c r="BH35" s="422">
        <v>0</v>
      </c>
      <c r="BI35" s="422">
        <v>0</v>
      </c>
      <c r="BJ35" s="272">
        <f t="shared" si="29"/>
        <v>24</v>
      </c>
      <c r="BK35" s="274">
        <f t="shared" si="30"/>
        <v>0.875</v>
      </c>
      <c r="BL35" s="275">
        <f t="shared" si="31"/>
        <v>1</v>
      </c>
      <c r="BM35" s="422">
        <v>158.72</v>
      </c>
      <c r="BN35" s="272">
        <f t="shared" si="32"/>
        <v>4</v>
      </c>
      <c r="BO35" s="272">
        <f>IFERROR(INDEX('Horo. M'!$S$3:S$367,MATCH(A35,'Horo. M'!$A$3:$A$367,0)),"")</f>
        <v>20</v>
      </c>
      <c r="BP35" s="422">
        <v>0</v>
      </c>
      <c r="BQ35" s="422">
        <v>0</v>
      </c>
      <c r="BR35" s="272">
        <f t="shared" si="33"/>
        <v>24</v>
      </c>
      <c r="BS35" s="274">
        <f t="shared" si="34"/>
        <v>0.83333333333333337</v>
      </c>
      <c r="BT35" s="275">
        <f t="shared" si="35"/>
        <v>1</v>
      </c>
      <c r="BU35" s="422">
        <v>150.4</v>
      </c>
      <c r="BV35" s="272">
        <f t="shared" si="36"/>
        <v>1</v>
      </c>
      <c r="BW35" s="272">
        <f>IFERROR(INDEX('Horo. M'!$U$3:U$367,MATCH(A35,'Horo. M'!$A$3:$A$367,0)),"")</f>
        <v>23</v>
      </c>
      <c r="BX35" s="422">
        <v>0</v>
      </c>
      <c r="BY35" s="422">
        <v>0</v>
      </c>
      <c r="BZ35" s="272">
        <f t="shared" si="37"/>
        <v>24</v>
      </c>
      <c r="CA35" s="274">
        <f t="shared" si="38"/>
        <v>0.95833333333333337</v>
      </c>
      <c r="CB35" s="275">
        <f t="shared" si="39"/>
        <v>1</v>
      </c>
      <c r="CC35" s="422">
        <v>176.25</v>
      </c>
    </row>
    <row r="36" spans="1:81">
      <c r="A36" s="279">
        <v>44961</v>
      </c>
      <c r="B36" s="278">
        <f t="shared" si="0"/>
        <v>2</v>
      </c>
      <c r="C36" s="272">
        <f>IFERROR(INDEX('Horo. M'!$C$3:$C$367,MATCH(A36,'Horo. M'!$A$3:$A$367,0)),"")</f>
        <v>22</v>
      </c>
      <c r="D36" s="422">
        <v>0</v>
      </c>
      <c r="E36" s="422">
        <v>0</v>
      </c>
      <c r="F36" s="272">
        <f t="shared" si="1"/>
        <v>24</v>
      </c>
      <c r="G36" s="274">
        <f t="shared" si="2"/>
        <v>0.91666666666666663</v>
      </c>
      <c r="H36" s="275">
        <f t="shared" si="3"/>
        <v>1</v>
      </c>
      <c r="I36" s="422">
        <v>167.1</v>
      </c>
      <c r="J36" s="278">
        <f t="shared" si="4"/>
        <v>7</v>
      </c>
      <c r="K36" s="272">
        <f>IFERROR(INDEX('Horo. M'!$E$3:$E$367,MATCH(A36,'Horo. M'!$A$3:$A$367,0)),"")</f>
        <v>17</v>
      </c>
      <c r="L36" s="422">
        <v>0</v>
      </c>
      <c r="M36" s="422">
        <v>0</v>
      </c>
      <c r="N36" s="272">
        <f t="shared" si="5"/>
        <v>24</v>
      </c>
      <c r="O36" s="274">
        <f t="shared" si="6"/>
        <v>0.70833333333333337</v>
      </c>
      <c r="P36" s="275">
        <f t="shared" si="7"/>
        <v>1</v>
      </c>
      <c r="Q36" s="422">
        <v>129.80000000000001</v>
      </c>
      <c r="R36" s="278">
        <f t="shared" si="8"/>
        <v>6</v>
      </c>
      <c r="S36" s="272">
        <f>IFERROR(INDEX('Horo. M'!G$3:$G$367,MATCH(A36,'Horo. M'!$A$3:$A$367,0)),"")</f>
        <v>17</v>
      </c>
      <c r="T36" s="422">
        <v>0</v>
      </c>
      <c r="U36" s="422">
        <v>1</v>
      </c>
      <c r="V36" s="272">
        <f t="shared" si="9"/>
        <v>23</v>
      </c>
      <c r="W36" s="274">
        <f t="shared" si="10"/>
        <v>0.70833333333333337</v>
      </c>
      <c r="X36" s="275">
        <f t="shared" si="11"/>
        <v>0.95833333333333337</v>
      </c>
      <c r="Y36" s="422">
        <v>120.64</v>
      </c>
      <c r="Z36" s="278">
        <f t="shared" si="12"/>
        <v>5</v>
      </c>
      <c r="AA36" s="272">
        <f>IFERROR(INDEX('Horo. M'!$I$3:I$367,MATCH(A36,'Horo. M'!$A$3:$A$367,0)),"")</f>
        <v>19</v>
      </c>
      <c r="AB36" s="422">
        <v>0</v>
      </c>
      <c r="AC36" s="422">
        <v>0</v>
      </c>
      <c r="AD36" s="272">
        <f t="shared" si="13"/>
        <v>24</v>
      </c>
      <c r="AE36" s="274">
        <f t="shared" si="14"/>
        <v>0.79166666666666663</v>
      </c>
      <c r="AF36" s="275">
        <f t="shared" si="15"/>
        <v>1</v>
      </c>
      <c r="AG36" s="422">
        <v>149.56</v>
      </c>
      <c r="AH36" s="272">
        <f t="shared" si="16"/>
        <v>0</v>
      </c>
      <c r="AI36" s="272">
        <f>IFERROR(INDEX('Horo. M'!$K$3:K$367,MATCH(A36,'Horo. M'!$A$3:$A$367,0)),"")</f>
        <v>0</v>
      </c>
      <c r="AJ36" s="422">
        <v>0</v>
      </c>
      <c r="AK36" s="422">
        <v>24</v>
      </c>
      <c r="AL36" s="272">
        <f t="shared" si="17"/>
        <v>0</v>
      </c>
      <c r="AM36" s="274">
        <f t="shared" si="18"/>
        <v>0</v>
      </c>
      <c r="AN36" s="275">
        <f t="shared" si="19"/>
        <v>0</v>
      </c>
      <c r="AO36" s="422">
        <v>0</v>
      </c>
      <c r="AP36" s="272">
        <f t="shared" si="20"/>
        <v>5</v>
      </c>
      <c r="AQ36" s="272">
        <f>IFERROR(INDEX('Horo. M'!$M$3:M$367,MATCH(A36,'Horo. M'!$A$3:$A$367,0)),"")</f>
        <v>19</v>
      </c>
      <c r="AR36" s="422">
        <v>0</v>
      </c>
      <c r="AS36" s="422">
        <v>0</v>
      </c>
      <c r="AT36" s="272">
        <f t="shared" si="21"/>
        <v>24</v>
      </c>
      <c r="AU36" s="274">
        <f t="shared" si="22"/>
        <v>0.79166666666666663</v>
      </c>
      <c r="AV36" s="275">
        <f t="shared" si="23"/>
        <v>1</v>
      </c>
      <c r="AW36" s="422">
        <v>150.91</v>
      </c>
      <c r="AX36" s="272">
        <f t="shared" si="24"/>
        <v>1</v>
      </c>
      <c r="AY36" s="272">
        <f>IFERROR(INDEX('Horo. M'!$O$3:O$367,MATCH(A36,'Horo. M'!$A$3:$A$367,0)),"")</f>
        <v>19</v>
      </c>
      <c r="AZ36" s="422">
        <v>4</v>
      </c>
      <c r="BA36" s="422">
        <v>0</v>
      </c>
      <c r="BB36" s="272">
        <f t="shared" si="25"/>
        <v>20</v>
      </c>
      <c r="BC36" s="274">
        <f t="shared" si="26"/>
        <v>0.79166666666666663</v>
      </c>
      <c r="BD36" s="275">
        <f t="shared" si="27"/>
        <v>0.83333333333333337</v>
      </c>
      <c r="BE36" s="422">
        <v>145.33000000000001</v>
      </c>
      <c r="BF36" s="272">
        <f t="shared" si="28"/>
        <v>3</v>
      </c>
      <c r="BG36" s="272">
        <f>IFERROR(INDEX('Horo. M'!$Q$3:Q$367,MATCH(A36,'Horo. M'!$A$3:$A$367,0)),"")</f>
        <v>21</v>
      </c>
      <c r="BH36" s="422">
        <v>0</v>
      </c>
      <c r="BI36" s="422">
        <v>0</v>
      </c>
      <c r="BJ36" s="272">
        <f t="shared" si="29"/>
        <v>24</v>
      </c>
      <c r="BK36" s="274">
        <f t="shared" si="30"/>
        <v>0.875</v>
      </c>
      <c r="BL36" s="275">
        <f t="shared" si="31"/>
        <v>1</v>
      </c>
      <c r="BM36" s="422">
        <v>159.4</v>
      </c>
      <c r="BN36" s="272">
        <f t="shared" si="32"/>
        <v>2</v>
      </c>
      <c r="BO36" s="272">
        <f>IFERROR(INDEX('Horo. M'!$S$3:S$367,MATCH(A36,'Horo. M'!$A$3:$A$367,0)),"")</f>
        <v>20</v>
      </c>
      <c r="BP36" s="422">
        <v>0</v>
      </c>
      <c r="BQ36" s="422">
        <v>2</v>
      </c>
      <c r="BR36" s="272">
        <f t="shared" si="33"/>
        <v>22</v>
      </c>
      <c r="BS36" s="274">
        <f t="shared" si="34"/>
        <v>0.83333333333333337</v>
      </c>
      <c r="BT36" s="275">
        <f t="shared" si="35"/>
        <v>0.91666666666666663</v>
      </c>
      <c r="BU36" s="422">
        <v>154.06</v>
      </c>
      <c r="BV36" s="272">
        <f t="shared" si="36"/>
        <v>2</v>
      </c>
      <c r="BW36" s="272">
        <f>IFERROR(INDEX('Horo. M'!$U$3:U$367,MATCH(A36,'Horo. M'!$A$3:$A$367,0)),"")</f>
        <v>16</v>
      </c>
      <c r="BX36" s="422">
        <v>6</v>
      </c>
      <c r="BY36" s="422">
        <v>0</v>
      </c>
      <c r="BZ36" s="272">
        <f t="shared" si="37"/>
        <v>18</v>
      </c>
      <c r="CA36" s="274">
        <f t="shared" si="38"/>
        <v>0.66666666666666663</v>
      </c>
      <c r="CB36" s="275">
        <f t="shared" si="39"/>
        <v>0.75</v>
      </c>
      <c r="CC36" s="422">
        <v>112.57</v>
      </c>
    </row>
    <row r="37" spans="1:81">
      <c r="A37" s="279">
        <v>44962</v>
      </c>
      <c r="B37" s="278">
        <f t="shared" si="0"/>
        <v>4</v>
      </c>
      <c r="C37" s="272">
        <f>IFERROR(INDEX('Horo. M'!$C$3:$C$367,MATCH(A37,'Horo. M'!$A$3:$A$367,0)),"")</f>
        <v>19</v>
      </c>
      <c r="D37" s="422">
        <v>0</v>
      </c>
      <c r="E37" s="422">
        <v>1</v>
      </c>
      <c r="F37" s="272">
        <f t="shared" si="1"/>
        <v>23</v>
      </c>
      <c r="G37" s="274">
        <f t="shared" si="2"/>
        <v>0.79166666666666663</v>
      </c>
      <c r="H37" s="275">
        <f t="shared" si="3"/>
        <v>0.95833333333333337</v>
      </c>
      <c r="I37" s="422">
        <v>146.19999999999999</v>
      </c>
      <c r="J37" s="278">
        <f t="shared" si="4"/>
        <v>11</v>
      </c>
      <c r="K37" s="272">
        <f>IFERROR(INDEX('Horo. M'!$E$3:$E$367,MATCH(A37,'Horo. M'!$A$3:$A$367,0)),"")</f>
        <v>13</v>
      </c>
      <c r="L37" s="422">
        <v>0</v>
      </c>
      <c r="M37" s="422">
        <v>0</v>
      </c>
      <c r="N37" s="272">
        <f t="shared" si="5"/>
        <v>24</v>
      </c>
      <c r="O37" s="274">
        <f t="shared" si="6"/>
        <v>0.54166666666666663</v>
      </c>
      <c r="P37" s="275">
        <f t="shared" si="7"/>
        <v>1</v>
      </c>
      <c r="Q37" s="422">
        <v>93.4</v>
      </c>
      <c r="R37" s="278">
        <f t="shared" si="8"/>
        <v>9</v>
      </c>
      <c r="S37" s="272">
        <f>IFERROR(INDEX('Horo. M'!G$3:$G$367,MATCH(A37,'Horo. M'!$A$3:$A$367,0)),"")</f>
        <v>15</v>
      </c>
      <c r="T37" s="422">
        <v>0</v>
      </c>
      <c r="U37" s="422">
        <v>0</v>
      </c>
      <c r="V37" s="272">
        <f t="shared" si="9"/>
        <v>24</v>
      </c>
      <c r="W37" s="274">
        <f t="shared" si="10"/>
        <v>0.625</v>
      </c>
      <c r="X37" s="275">
        <f t="shared" si="11"/>
        <v>1</v>
      </c>
      <c r="Y37" s="422">
        <v>94.23</v>
      </c>
      <c r="Z37" s="278">
        <f t="shared" si="12"/>
        <v>6</v>
      </c>
      <c r="AA37" s="272">
        <f>IFERROR(INDEX('Horo. M'!$I$3:I$367,MATCH(A37,'Horo. M'!$A$3:$A$367,0)),"")</f>
        <v>18</v>
      </c>
      <c r="AB37" s="422">
        <v>0</v>
      </c>
      <c r="AC37" s="422">
        <v>0</v>
      </c>
      <c r="AD37" s="272">
        <f t="shared" si="13"/>
        <v>24</v>
      </c>
      <c r="AE37" s="274">
        <f t="shared" si="14"/>
        <v>0.75</v>
      </c>
      <c r="AF37" s="275">
        <f t="shared" si="15"/>
        <v>1</v>
      </c>
      <c r="AG37" s="422">
        <v>132.91999999999999</v>
      </c>
      <c r="AH37" s="272">
        <f t="shared" si="16"/>
        <v>0</v>
      </c>
      <c r="AI37" s="272">
        <f>IFERROR(INDEX('Horo. M'!$K$3:K$367,MATCH(A37,'Horo. M'!$A$3:$A$367,0)),"")</f>
        <v>0</v>
      </c>
      <c r="AJ37" s="422">
        <v>0</v>
      </c>
      <c r="AK37" s="422">
        <v>24</v>
      </c>
      <c r="AL37" s="272">
        <f t="shared" si="17"/>
        <v>0</v>
      </c>
      <c r="AM37" s="274">
        <f t="shared" si="18"/>
        <v>0</v>
      </c>
      <c r="AN37" s="275">
        <f t="shared" si="19"/>
        <v>0</v>
      </c>
      <c r="AO37" s="422">
        <v>0</v>
      </c>
      <c r="AP37" s="272">
        <f t="shared" si="20"/>
        <v>7</v>
      </c>
      <c r="AQ37" s="272">
        <f>IFERROR(INDEX('Horo. M'!$M$3:M$367,MATCH(A37,'Horo. M'!$A$3:$A$367,0)),"")</f>
        <v>17</v>
      </c>
      <c r="AR37" s="422">
        <v>0</v>
      </c>
      <c r="AS37" s="422">
        <v>0</v>
      </c>
      <c r="AT37" s="272">
        <f t="shared" si="21"/>
        <v>24</v>
      </c>
      <c r="AU37" s="274">
        <f t="shared" si="22"/>
        <v>0.70833333333333337</v>
      </c>
      <c r="AV37" s="275">
        <f t="shared" si="23"/>
        <v>1</v>
      </c>
      <c r="AW37" s="422">
        <v>121.06</v>
      </c>
      <c r="AX37" s="272">
        <f t="shared" si="24"/>
        <v>0</v>
      </c>
      <c r="AY37" s="272">
        <f>IFERROR(INDEX('Horo. M'!$O$3:O$367,MATCH(A37,'Horo. M'!$A$3:$A$367,0)),"")</f>
        <v>14</v>
      </c>
      <c r="AZ37" s="422">
        <v>10</v>
      </c>
      <c r="BA37" s="422">
        <v>0</v>
      </c>
      <c r="BB37" s="272">
        <f t="shared" si="25"/>
        <v>14</v>
      </c>
      <c r="BC37" s="274">
        <f t="shared" si="26"/>
        <v>0.58333333333333337</v>
      </c>
      <c r="BD37" s="275">
        <f t="shared" si="27"/>
        <v>0.58333333333333337</v>
      </c>
      <c r="BE37" s="422">
        <v>91.71</v>
      </c>
      <c r="BF37" s="272">
        <f t="shared" si="28"/>
        <v>8</v>
      </c>
      <c r="BG37" s="272">
        <f>IFERROR(INDEX('Horo. M'!$Q$3:Q$367,MATCH(A37,'Horo. M'!$A$3:$A$367,0)),"")</f>
        <v>16</v>
      </c>
      <c r="BH37" s="422">
        <v>0</v>
      </c>
      <c r="BI37" s="422">
        <v>0</v>
      </c>
      <c r="BJ37" s="272">
        <f t="shared" si="29"/>
        <v>24</v>
      </c>
      <c r="BK37" s="274">
        <f t="shared" si="30"/>
        <v>0.66666666666666663</v>
      </c>
      <c r="BL37" s="275">
        <f t="shared" si="31"/>
        <v>1</v>
      </c>
      <c r="BM37" s="422">
        <v>131.16999999999999</v>
      </c>
      <c r="BN37" s="272">
        <f t="shared" si="32"/>
        <v>8</v>
      </c>
      <c r="BO37" s="272">
        <f>IFERROR(INDEX('Horo. M'!$S$3:S$367,MATCH(A37,'Horo. M'!$A$3:$A$367,0)),"")</f>
        <v>16</v>
      </c>
      <c r="BP37" s="422">
        <v>0</v>
      </c>
      <c r="BQ37" s="422">
        <v>0</v>
      </c>
      <c r="BR37" s="272">
        <f t="shared" si="33"/>
        <v>24</v>
      </c>
      <c r="BS37" s="274">
        <f t="shared" si="34"/>
        <v>0.66666666666666663</v>
      </c>
      <c r="BT37" s="275">
        <f t="shared" si="35"/>
        <v>1</v>
      </c>
      <c r="BU37" s="422">
        <v>124.86</v>
      </c>
      <c r="BV37" s="272">
        <f t="shared" si="36"/>
        <v>5</v>
      </c>
      <c r="BW37" s="272">
        <f>IFERROR(INDEX('Horo. M'!$U$3:U$367,MATCH(A37,'Horo. M'!$A$3:$A$367,0)),"")</f>
        <v>19</v>
      </c>
      <c r="BX37" s="422">
        <v>0</v>
      </c>
      <c r="BY37" s="422">
        <v>0</v>
      </c>
      <c r="BZ37" s="272">
        <f t="shared" si="37"/>
        <v>24</v>
      </c>
      <c r="CA37" s="274">
        <f t="shared" si="38"/>
        <v>0.79166666666666663</v>
      </c>
      <c r="CB37" s="275">
        <f t="shared" si="39"/>
        <v>1</v>
      </c>
      <c r="CC37" s="422">
        <v>152.29</v>
      </c>
    </row>
    <row r="38" spans="1:81">
      <c r="A38" s="279">
        <v>44963</v>
      </c>
      <c r="B38" s="278">
        <f t="shared" si="0"/>
        <v>5</v>
      </c>
      <c r="C38" s="272">
        <f>IFERROR(INDEX('Horo. M'!$C$3:$C$367,MATCH(A38,'Horo. M'!$A$3:$A$367,0)),"")</f>
        <v>19</v>
      </c>
      <c r="D38" s="422">
        <v>0</v>
      </c>
      <c r="E38" s="422">
        <v>0</v>
      </c>
      <c r="F38" s="272">
        <f t="shared" si="1"/>
        <v>24</v>
      </c>
      <c r="G38" s="274">
        <f t="shared" si="2"/>
        <v>0.79166666666666663</v>
      </c>
      <c r="H38" s="275">
        <f t="shared" si="3"/>
        <v>1</v>
      </c>
      <c r="I38" s="422">
        <v>143.5</v>
      </c>
      <c r="J38" s="278">
        <f t="shared" si="4"/>
        <v>5</v>
      </c>
      <c r="K38" s="272">
        <f>IFERROR(INDEX('Horo. M'!$E$3:$E$367,MATCH(A38,'Horo. M'!$A$3:$A$367,0)),"")</f>
        <v>17</v>
      </c>
      <c r="L38" s="422">
        <v>2</v>
      </c>
      <c r="M38" s="422">
        <v>0</v>
      </c>
      <c r="N38" s="272">
        <f t="shared" si="5"/>
        <v>22</v>
      </c>
      <c r="O38" s="274">
        <f t="shared" si="6"/>
        <v>0.70833333333333337</v>
      </c>
      <c r="P38" s="275">
        <f t="shared" si="7"/>
        <v>0.91666666666666663</v>
      </c>
      <c r="Q38" s="422">
        <v>117.1</v>
      </c>
      <c r="R38" s="278">
        <f t="shared" si="8"/>
        <v>4</v>
      </c>
      <c r="S38" s="272">
        <f>IFERROR(INDEX('Horo. M'!G$3:$G$367,MATCH(A38,'Horo. M'!$A$3:$A$367,0)),"")</f>
        <v>20</v>
      </c>
      <c r="T38" s="422">
        <v>0</v>
      </c>
      <c r="U38" s="422">
        <v>0</v>
      </c>
      <c r="V38" s="272">
        <f t="shared" si="9"/>
        <v>24</v>
      </c>
      <c r="W38" s="274">
        <f t="shared" si="10"/>
        <v>0.83333333333333337</v>
      </c>
      <c r="X38" s="275">
        <f t="shared" si="11"/>
        <v>1</v>
      </c>
      <c r="Y38" s="422">
        <v>134.96</v>
      </c>
      <c r="Z38" s="278">
        <f t="shared" si="12"/>
        <v>5</v>
      </c>
      <c r="AA38" s="272">
        <f>IFERROR(INDEX('Horo. M'!$I$3:I$367,MATCH(A38,'Horo. M'!$A$3:$A$367,0)),"")</f>
        <v>19</v>
      </c>
      <c r="AB38" s="422">
        <v>0</v>
      </c>
      <c r="AC38" s="422">
        <v>0</v>
      </c>
      <c r="AD38" s="272">
        <f t="shared" si="13"/>
        <v>24</v>
      </c>
      <c r="AE38" s="274">
        <f t="shared" si="14"/>
        <v>0.79166666666666663</v>
      </c>
      <c r="AF38" s="275">
        <f t="shared" si="15"/>
        <v>1</v>
      </c>
      <c r="AG38" s="422">
        <v>143.63999999999999</v>
      </c>
      <c r="AH38" s="272">
        <f t="shared" si="16"/>
        <v>0</v>
      </c>
      <c r="AI38" s="272">
        <f>IFERROR(INDEX('Horo. M'!$K$3:K$367,MATCH(A38,'Horo. M'!$A$3:$A$367,0)),"")</f>
        <v>0</v>
      </c>
      <c r="AJ38" s="422">
        <v>0</v>
      </c>
      <c r="AK38" s="422">
        <v>24</v>
      </c>
      <c r="AL38" s="272">
        <f t="shared" si="17"/>
        <v>0</v>
      </c>
      <c r="AM38" s="274">
        <f t="shared" si="18"/>
        <v>0</v>
      </c>
      <c r="AN38" s="275">
        <f t="shared" si="19"/>
        <v>0</v>
      </c>
      <c r="AO38" s="422">
        <v>0</v>
      </c>
      <c r="AP38" s="272">
        <f t="shared" si="20"/>
        <v>5</v>
      </c>
      <c r="AQ38" s="272">
        <f>IFERROR(INDEX('Horo. M'!$M$3:M$367,MATCH(A38,'Horo. M'!$A$3:$A$367,0)),"")</f>
        <v>19</v>
      </c>
      <c r="AR38" s="422">
        <v>0</v>
      </c>
      <c r="AS38" s="422">
        <v>0</v>
      </c>
      <c r="AT38" s="272">
        <f t="shared" si="21"/>
        <v>24</v>
      </c>
      <c r="AU38" s="274">
        <f t="shared" si="22"/>
        <v>0.79166666666666663</v>
      </c>
      <c r="AV38" s="275">
        <f t="shared" si="23"/>
        <v>1</v>
      </c>
      <c r="AW38" s="422">
        <v>147.81</v>
      </c>
      <c r="AX38" s="272">
        <f t="shared" si="24"/>
        <v>7</v>
      </c>
      <c r="AY38" s="272">
        <f>IFERROR(INDEX('Horo. M'!$O$3:O$367,MATCH(A38,'Horo. M'!$A$3:$A$367,0)),"")</f>
        <v>17</v>
      </c>
      <c r="AZ38" s="422">
        <v>0</v>
      </c>
      <c r="BA38" s="422">
        <v>0</v>
      </c>
      <c r="BB38" s="272">
        <f t="shared" si="25"/>
        <v>24</v>
      </c>
      <c r="BC38" s="274">
        <f t="shared" si="26"/>
        <v>0.70833333333333337</v>
      </c>
      <c r="BD38" s="275">
        <f t="shared" si="27"/>
        <v>1</v>
      </c>
      <c r="BE38" s="422">
        <v>134.13</v>
      </c>
      <c r="BF38" s="272">
        <f t="shared" si="28"/>
        <v>6</v>
      </c>
      <c r="BG38" s="272">
        <f>IFERROR(INDEX('Horo. M'!$Q$3:Q$367,MATCH(A38,'Horo. M'!$A$3:$A$367,0)),"")</f>
        <v>18</v>
      </c>
      <c r="BH38" s="422">
        <v>0</v>
      </c>
      <c r="BI38" s="422">
        <v>0</v>
      </c>
      <c r="BJ38" s="272">
        <f t="shared" si="29"/>
        <v>24</v>
      </c>
      <c r="BK38" s="274">
        <f t="shared" si="30"/>
        <v>0.75</v>
      </c>
      <c r="BL38" s="275">
        <f t="shared" si="31"/>
        <v>1</v>
      </c>
      <c r="BM38" s="422">
        <v>146.41999999999999</v>
      </c>
      <c r="BN38" s="272">
        <f t="shared" si="32"/>
        <v>5</v>
      </c>
      <c r="BO38" s="272">
        <f>IFERROR(INDEX('Horo. M'!$S$3:S$367,MATCH(A38,'Horo. M'!$A$3:$A$367,0)),"")</f>
        <v>19</v>
      </c>
      <c r="BP38" s="422">
        <v>0</v>
      </c>
      <c r="BQ38" s="422">
        <v>0</v>
      </c>
      <c r="BR38" s="272">
        <f t="shared" si="33"/>
        <v>24</v>
      </c>
      <c r="BS38" s="274">
        <f t="shared" si="34"/>
        <v>0.79166666666666663</v>
      </c>
      <c r="BT38" s="275">
        <f t="shared" si="35"/>
        <v>1</v>
      </c>
      <c r="BU38" s="422">
        <v>151.34</v>
      </c>
      <c r="BV38" s="272">
        <f t="shared" si="36"/>
        <v>3</v>
      </c>
      <c r="BW38" s="272">
        <f>IFERROR(INDEX('Horo. M'!$U$3:U$367,MATCH(A38,'Horo. M'!$A$3:$A$367,0)),"")</f>
        <v>21</v>
      </c>
      <c r="BX38" s="422">
        <v>0</v>
      </c>
      <c r="BY38" s="422">
        <v>0</v>
      </c>
      <c r="BZ38" s="272">
        <f t="shared" si="37"/>
        <v>24</v>
      </c>
      <c r="CA38" s="274">
        <f t="shared" si="38"/>
        <v>0.875</v>
      </c>
      <c r="CB38" s="275">
        <f t="shared" si="39"/>
        <v>1</v>
      </c>
      <c r="CC38" s="422">
        <v>174.81</v>
      </c>
    </row>
    <row r="39" spans="1:81">
      <c r="A39" s="279">
        <v>44964</v>
      </c>
      <c r="B39" s="278">
        <f t="shared" si="0"/>
        <v>3</v>
      </c>
      <c r="C39" s="272">
        <f>IFERROR(INDEX('Horo. M'!$C$3:$C$367,MATCH(A39,'Horo. M'!$A$3:$A$367,0)),"")</f>
        <v>17</v>
      </c>
      <c r="D39" s="422">
        <v>4</v>
      </c>
      <c r="E39" s="422">
        <v>0</v>
      </c>
      <c r="F39" s="272">
        <f t="shared" si="1"/>
        <v>20</v>
      </c>
      <c r="G39" s="274">
        <f t="shared" si="2"/>
        <v>0.70833333333333337</v>
      </c>
      <c r="H39" s="275">
        <f t="shared" si="3"/>
        <v>0.83333333333333337</v>
      </c>
      <c r="I39" s="422">
        <v>118.5</v>
      </c>
      <c r="J39" s="278">
        <f t="shared" si="4"/>
        <v>1</v>
      </c>
      <c r="K39" s="272">
        <f>IFERROR(INDEX('Horo. M'!$E$3:$E$367,MATCH(A39,'Horo. M'!$A$3:$A$367,0)),"")</f>
        <v>23</v>
      </c>
      <c r="L39" s="422">
        <v>0</v>
      </c>
      <c r="M39" s="422">
        <v>0</v>
      </c>
      <c r="N39" s="272">
        <f t="shared" si="5"/>
        <v>24</v>
      </c>
      <c r="O39" s="274">
        <f t="shared" si="6"/>
        <v>0.95833333333333337</v>
      </c>
      <c r="P39" s="275">
        <f t="shared" si="7"/>
        <v>1</v>
      </c>
      <c r="Q39" s="422">
        <v>185.5</v>
      </c>
      <c r="R39" s="278">
        <f t="shared" si="8"/>
        <v>0</v>
      </c>
      <c r="S39" s="272">
        <f>IFERROR(INDEX('Horo. M'!G$3:$G$367,MATCH(A39,'Horo. M'!$A$3:$A$367,0)),"")</f>
        <v>24</v>
      </c>
      <c r="T39" s="422">
        <v>0</v>
      </c>
      <c r="U39" s="422">
        <v>0</v>
      </c>
      <c r="V39" s="272">
        <f t="shared" si="9"/>
        <v>24</v>
      </c>
      <c r="W39" s="274">
        <f t="shared" si="10"/>
        <v>1</v>
      </c>
      <c r="X39" s="275">
        <f t="shared" si="11"/>
        <v>1</v>
      </c>
      <c r="Y39" s="422">
        <v>150.33000000000001</v>
      </c>
      <c r="Z39" s="278">
        <f t="shared" si="12"/>
        <v>0</v>
      </c>
      <c r="AA39" s="272">
        <f>IFERROR(INDEX('Horo. M'!$I$3:I$367,MATCH(A39,'Horo. M'!$A$3:$A$367,0)),"")</f>
        <v>24</v>
      </c>
      <c r="AB39" s="422">
        <v>0</v>
      </c>
      <c r="AC39" s="422">
        <v>0</v>
      </c>
      <c r="AD39" s="272">
        <f t="shared" si="13"/>
        <v>24</v>
      </c>
      <c r="AE39" s="274">
        <f t="shared" si="14"/>
        <v>1</v>
      </c>
      <c r="AF39" s="275">
        <f t="shared" si="15"/>
        <v>1</v>
      </c>
      <c r="AG39" s="422">
        <v>187.24</v>
      </c>
      <c r="AH39" s="272">
        <f t="shared" si="16"/>
        <v>0</v>
      </c>
      <c r="AI39" s="272">
        <f>IFERROR(INDEX('Horo. M'!$K$3:K$367,MATCH(A39,'Horo. M'!$A$3:$A$367,0)),"")</f>
        <v>0</v>
      </c>
      <c r="AJ39" s="422">
        <v>0</v>
      </c>
      <c r="AK39" s="422">
        <v>24</v>
      </c>
      <c r="AL39" s="272">
        <f t="shared" si="17"/>
        <v>0</v>
      </c>
      <c r="AM39" s="274">
        <f t="shared" si="18"/>
        <v>0</v>
      </c>
      <c r="AN39" s="275">
        <f t="shared" si="19"/>
        <v>0</v>
      </c>
      <c r="AO39" s="422">
        <v>0</v>
      </c>
      <c r="AP39" s="272">
        <f t="shared" si="20"/>
        <v>0</v>
      </c>
      <c r="AQ39" s="272">
        <f>IFERROR(INDEX('Horo. M'!$M$3:M$367,MATCH(A39,'Horo. M'!$A$3:$A$367,0)),"")</f>
        <v>24</v>
      </c>
      <c r="AR39" s="422">
        <v>0</v>
      </c>
      <c r="AS39" s="422">
        <v>0</v>
      </c>
      <c r="AT39" s="272">
        <f t="shared" si="21"/>
        <v>24</v>
      </c>
      <c r="AU39" s="274">
        <f t="shared" si="22"/>
        <v>1</v>
      </c>
      <c r="AV39" s="275">
        <f t="shared" si="23"/>
        <v>1</v>
      </c>
      <c r="AW39" s="422">
        <v>188.19</v>
      </c>
      <c r="AX39" s="272">
        <f t="shared" si="24"/>
        <v>0</v>
      </c>
      <c r="AY39" s="272">
        <f>IFERROR(INDEX('Horo. M'!$O$3:O$367,MATCH(A39,'Horo. M'!$A$3:$A$367,0)),"")</f>
        <v>24</v>
      </c>
      <c r="AZ39" s="422">
        <v>0</v>
      </c>
      <c r="BA39" s="422">
        <v>0</v>
      </c>
      <c r="BB39" s="272">
        <f t="shared" si="25"/>
        <v>24</v>
      </c>
      <c r="BC39" s="274">
        <f t="shared" si="26"/>
        <v>1</v>
      </c>
      <c r="BD39" s="275">
        <f t="shared" si="27"/>
        <v>1</v>
      </c>
      <c r="BE39" s="422">
        <v>188.91</v>
      </c>
      <c r="BF39" s="272">
        <f t="shared" si="28"/>
        <v>0</v>
      </c>
      <c r="BG39" s="272">
        <f>IFERROR(INDEX('Horo. M'!$Q$3:Q$367,MATCH(A39,'Horo. M'!$A$3:$A$367,0)),"")</f>
        <v>24</v>
      </c>
      <c r="BH39" s="422">
        <v>0</v>
      </c>
      <c r="BI39" s="422">
        <v>0</v>
      </c>
      <c r="BJ39" s="272">
        <f t="shared" si="29"/>
        <v>24</v>
      </c>
      <c r="BK39" s="274">
        <f t="shared" si="30"/>
        <v>1</v>
      </c>
      <c r="BL39" s="275">
        <f t="shared" si="31"/>
        <v>1</v>
      </c>
      <c r="BM39" s="422">
        <v>188.58</v>
      </c>
      <c r="BN39" s="272">
        <f t="shared" si="32"/>
        <v>0</v>
      </c>
      <c r="BO39" s="272">
        <f>IFERROR(INDEX('Horo. M'!$S$3:S$367,MATCH(A39,'Horo. M'!$A$3:$A$367,0)),"")</f>
        <v>24</v>
      </c>
      <c r="BP39" s="422">
        <v>0</v>
      </c>
      <c r="BQ39" s="422">
        <v>0</v>
      </c>
      <c r="BR39" s="272">
        <f t="shared" si="33"/>
        <v>24</v>
      </c>
      <c r="BS39" s="274">
        <f t="shared" si="34"/>
        <v>1</v>
      </c>
      <c r="BT39" s="275">
        <f t="shared" si="35"/>
        <v>1</v>
      </c>
      <c r="BU39" s="422">
        <v>188.79</v>
      </c>
      <c r="BV39" s="272">
        <f t="shared" si="36"/>
        <v>0</v>
      </c>
      <c r="BW39" s="272">
        <f>IFERROR(INDEX('Horo. M'!$U$3:U$367,MATCH(A39,'Horo. M'!$A$3:$A$367,0)),"")</f>
        <v>24</v>
      </c>
      <c r="BX39" s="422">
        <v>0</v>
      </c>
      <c r="BY39" s="422">
        <v>0</v>
      </c>
      <c r="BZ39" s="272">
        <f t="shared" si="37"/>
        <v>24</v>
      </c>
      <c r="CA39" s="274">
        <f t="shared" si="38"/>
        <v>1</v>
      </c>
      <c r="CB39" s="275">
        <f t="shared" si="39"/>
        <v>1</v>
      </c>
      <c r="CC39" s="422">
        <v>191.79</v>
      </c>
    </row>
    <row r="40" spans="1:81">
      <c r="A40" s="279">
        <v>44965</v>
      </c>
      <c r="B40" s="278">
        <f t="shared" si="0"/>
        <v>2</v>
      </c>
      <c r="C40" s="272">
        <f>IFERROR(INDEX('Horo. M'!$C$3:$C$367,MATCH(A40,'Horo. M'!$A$3:$A$367,0)),"")</f>
        <v>22</v>
      </c>
      <c r="D40" s="422">
        <v>0</v>
      </c>
      <c r="E40" s="422">
        <v>0</v>
      </c>
      <c r="F40" s="272">
        <f t="shared" si="1"/>
        <v>24</v>
      </c>
      <c r="G40" s="274">
        <f t="shared" si="2"/>
        <v>0.91666666666666663</v>
      </c>
      <c r="H40" s="275">
        <f t="shared" si="3"/>
        <v>1</v>
      </c>
      <c r="I40" s="422">
        <v>168.4</v>
      </c>
      <c r="J40" s="278">
        <f t="shared" si="4"/>
        <v>0</v>
      </c>
      <c r="K40" s="272">
        <f>IFERROR(INDEX('Horo. M'!$E$3:$E$367,MATCH(A40,'Horo. M'!$A$3:$A$367,0)),"")</f>
        <v>24</v>
      </c>
      <c r="L40" s="422">
        <v>0</v>
      </c>
      <c r="M40" s="422">
        <v>0</v>
      </c>
      <c r="N40" s="272">
        <f t="shared" si="5"/>
        <v>24</v>
      </c>
      <c r="O40" s="274">
        <f t="shared" si="6"/>
        <v>1</v>
      </c>
      <c r="P40" s="275">
        <f t="shared" si="7"/>
        <v>1</v>
      </c>
      <c r="Q40" s="422">
        <v>187.8</v>
      </c>
      <c r="R40" s="278">
        <f t="shared" si="8"/>
        <v>0</v>
      </c>
      <c r="S40" s="272">
        <f>IFERROR(INDEX('Horo. M'!G$3:$G$367,MATCH(A40,'Horo. M'!$A$3:$A$367,0)),"")</f>
        <v>24</v>
      </c>
      <c r="T40" s="422">
        <v>0</v>
      </c>
      <c r="U40" s="422">
        <v>0</v>
      </c>
      <c r="V40" s="272">
        <f t="shared" si="9"/>
        <v>24</v>
      </c>
      <c r="W40" s="274">
        <f t="shared" si="10"/>
        <v>1</v>
      </c>
      <c r="X40" s="275">
        <f t="shared" si="11"/>
        <v>1</v>
      </c>
      <c r="Y40" s="422">
        <v>163.21</v>
      </c>
      <c r="Z40" s="278">
        <f t="shared" si="12"/>
        <v>0</v>
      </c>
      <c r="AA40" s="272">
        <f>IFERROR(INDEX('Horo. M'!$I$3:I$367,MATCH(A40,'Horo. M'!$A$3:$A$367,0)),"")</f>
        <v>24</v>
      </c>
      <c r="AB40" s="422">
        <v>0</v>
      </c>
      <c r="AC40" s="422">
        <v>0</v>
      </c>
      <c r="AD40" s="272">
        <f t="shared" si="13"/>
        <v>24</v>
      </c>
      <c r="AE40" s="274">
        <f t="shared" si="14"/>
        <v>1</v>
      </c>
      <c r="AF40" s="275">
        <f t="shared" si="15"/>
        <v>1</v>
      </c>
      <c r="AG40" s="422">
        <v>182.19</v>
      </c>
      <c r="AH40" s="272">
        <f t="shared" si="16"/>
        <v>0</v>
      </c>
      <c r="AI40" s="272">
        <f>IFERROR(INDEX('Horo. M'!$K$3:K$367,MATCH(A40,'Horo. M'!$A$3:$A$367,0)),"")</f>
        <v>0</v>
      </c>
      <c r="AJ40" s="422">
        <v>0</v>
      </c>
      <c r="AK40" s="422">
        <v>24</v>
      </c>
      <c r="AL40" s="272">
        <f t="shared" si="17"/>
        <v>0</v>
      </c>
      <c r="AM40" s="274">
        <f t="shared" si="18"/>
        <v>0</v>
      </c>
      <c r="AN40" s="275">
        <f t="shared" si="19"/>
        <v>0</v>
      </c>
      <c r="AO40" s="422">
        <v>0</v>
      </c>
      <c r="AP40" s="272">
        <f t="shared" si="20"/>
        <v>1</v>
      </c>
      <c r="AQ40" s="272">
        <f>IFERROR(INDEX('Horo. M'!$M$3:M$367,MATCH(A40,'Horo. M'!$A$3:$A$367,0)),"")</f>
        <v>19</v>
      </c>
      <c r="AR40" s="422">
        <v>4</v>
      </c>
      <c r="AS40" s="422">
        <v>0</v>
      </c>
      <c r="AT40" s="272">
        <f t="shared" si="21"/>
        <v>20</v>
      </c>
      <c r="AU40" s="274">
        <f t="shared" si="22"/>
        <v>0.79166666666666663</v>
      </c>
      <c r="AV40" s="275">
        <f t="shared" si="23"/>
        <v>0.83333333333333337</v>
      </c>
      <c r="AW40" s="422">
        <v>146.53</v>
      </c>
      <c r="AX40" s="272">
        <f t="shared" si="24"/>
        <v>0</v>
      </c>
      <c r="AY40" s="272">
        <f>IFERROR(INDEX('Horo. M'!$O$3:O$367,MATCH(A40,'Horo. M'!$A$3:$A$367,0)),"")</f>
        <v>24</v>
      </c>
      <c r="AZ40" s="422">
        <v>0</v>
      </c>
      <c r="BA40" s="422">
        <v>0</v>
      </c>
      <c r="BB40" s="272">
        <f t="shared" si="25"/>
        <v>24</v>
      </c>
      <c r="BC40" s="274">
        <f t="shared" si="26"/>
        <v>1</v>
      </c>
      <c r="BD40" s="275">
        <f t="shared" si="27"/>
        <v>1</v>
      </c>
      <c r="BE40" s="422">
        <v>189.01</v>
      </c>
      <c r="BF40" s="272">
        <f t="shared" si="28"/>
        <v>0</v>
      </c>
      <c r="BG40" s="272">
        <f>IFERROR(INDEX('Horo. M'!$Q$3:Q$367,MATCH(A40,'Horo. M'!$A$3:$A$367,0)),"")</f>
        <v>24</v>
      </c>
      <c r="BH40" s="422">
        <v>0</v>
      </c>
      <c r="BI40" s="422">
        <v>0</v>
      </c>
      <c r="BJ40" s="272">
        <f t="shared" si="29"/>
        <v>24</v>
      </c>
      <c r="BK40" s="274">
        <f t="shared" si="30"/>
        <v>1</v>
      </c>
      <c r="BL40" s="275">
        <f t="shared" si="31"/>
        <v>1</v>
      </c>
      <c r="BM40" s="422">
        <v>184.65</v>
      </c>
      <c r="BN40" s="272">
        <f t="shared" si="32"/>
        <v>0</v>
      </c>
      <c r="BO40" s="272">
        <f>IFERROR(INDEX('Horo. M'!$S$3:S$367,MATCH(A40,'Horo. M'!$A$3:$A$367,0)),"")</f>
        <v>24</v>
      </c>
      <c r="BP40" s="422">
        <v>0</v>
      </c>
      <c r="BQ40" s="422">
        <v>0</v>
      </c>
      <c r="BR40" s="272">
        <f t="shared" si="33"/>
        <v>24</v>
      </c>
      <c r="BS40" s="274">
        <f t="shared" si="34"/>
        <v>1</v>
      </c>
      <c r="BT40" s="275">
        <f t="shared" si="35"/>
        <v>1</v>
      </c>
      <c r="BU40" s="422">
        <v>184.83</v>
      </c>
      <c r="BV40" s="272">
        <f t="shared" si="36"/>
        <v>0</v>
      </c>
      <c r="BW40" s="272">
        <f>IFERROR(INDEX('Horo. M'!$U$3:U$367,MATCH(A40,'Horo. M'!$A$3:$A$367,0)),"")</f>
        <v>24</v>
      </c>
      <c r="BX40" s="422">
        <v>0</v>
      </c>
      <c r="BY40" s="422">
        <v>0</v>
      </c>
      <c r="BZ40" s="272">
        <f t="shared" si="37"/>
        <v>24</v>
      </c>
      <c r="CA40" s="274">
        <f t="shared" si="38"/>
        <v>1</v>
      </c>
      <c r="CB40" s="275">
        <f t="shared" si="39"/>
        <v>1</v>
      </c>
      <c r="CC40" s="422">
        <v>183.46</v>
      </c>
    </row>
    <row r="41" spans="1:81">
      <c r="A41" s="279">
        <v>44966</v>
      </c>
      <c r="B41" s="278">
        <f t="shared" si="0"/>
        <v>0</v>
      </c>
      <c r="C41" s="272">
        <f>IFERROR(INDEX('Horo. M'!$C$3:$C$367,MATCH(A41,'Horo. M'!$A$3:$A$367,0)),"")</f>
        <v>24</v>
      </c>
      <c r="D41" s="422">
        <v>0</v>
      </c>
      <c r="E41" s="422">
        <v>0</v>
      </c>
      <c r="F41" s="272">
        <f t="shared" si="1"/>
        <v>24</v>
      </c>
      <c r="G41" s="274">
        <f t="shared" si="2"/>
        <v>1</v>
      </c>
      <c r="H41" s="275">
        <f t="shared" si="3"/>
        <v>1</v>
      </c>
      <c r="I41" s="422">
        <v>183</v>
      </c>
      <c r="J41" s="278">
        <f t="shared" si="4"/>
        <v>0</v>
      </c>
      <c r="K41" s="272">
        <f>IFERROR(INDEX('Horo. M'!$E$3:$E$367,MATCH(A41,'Horo. M'!$A$3:$A$367,0)),"")</f>
        <v>24</v>
      </c>
      <c r="L41" s="422">
        <v>0</v>
      </c>
      <c r="M41" s="422">
        <v>0</v>
      </c>
      <c r="N41" s="272">
        <f t="shared" si="5"/>
        <v>24</v>
      </c>
      <c r="O41" s="274">
        <f t="shared" si="6"/>
        <v>1</v>
      </c>
      <c r="P41" s="275">
        <f t="shared" si="7"/>
        <v>1</v>
      </c>
      <c r="Q41" s="422">
        <v>188.2</v>
      </c>
      <c r="R41" s="278">
        <f t="shared" si="8"/>
        <v>0</v>
      </c>
      <c r="S41" s="272">
        <f>IFERROR(INDEX('Horo. M'!G$3:$G$367,MATCH(A41,'Horo. M'!$A$3:$A$367,0)),"")</f>
        <v>24</v>
      </c>
      <c r="T41" s="422">
        <v>0</v>
      </c>
      <c r="U41" s="422">
        <v>0</v>
      </c>
      <c r="V41" s="272">
        <f t="shared" si="9"/>
        <v>24</v>
      </c>
      <c r="W41" s="274">
        <f t="shared" si="10"/>
        <v>1</v>
      </c>
      <c r="X41" s="275">
        <f t="shared" si="11"/>
        <v>1</v>
      </c>
      <c r="Y41" s="422">
        <v>166.44</v>
      </c>
      <c r="Z41" s="278">
        <f t="shared" si="12"/>
        <v>0</v>
      </c>
      <c r="AA41" s="272">
        <f>IFERROR(INDEX('Horo. M'!$I$3:I$367,MATCH(A41,'Horo. M'!$A$3:$A$367,0)),"")</f>
        <v>24</v>
      </c>
      <c r="AB41" s="422">
        <v>0</v>
      </c>
      <c r="AC41" s="422">
        <v>0</v>
      </c>
      <c r="AD41" s="272">
        <f t="shared" si="13"/>
        <v>24</v>
      </c>
      <c r="AE41" s="274">
        <f t="shared" si="14"/>
        <v>1</v>
      </c>
      <c r="AF41" s="275">
        <f t="shared" si="15"/>
        <v>1</v>
      </c>
      <c r="AG41" s="422">
        <v>180.58</v>
      </c>
      <c r="AH41" s="272">
        <f t="shared" si="16"/>
        <v>0</v>
      </c>
      <c r="AI41" s="272">
        <f>IFERROR(INDEX('Horo. M'!$K$3:K$367,MATCH(A41,'Horo. M'!$A$3:$A$367,0)),"")</f>
        <v>0</v>
      </c>
      <c r="AJ41" s="422">
        <v>7</v>
      </c>
      <c r="AK41" s="422">
        <v>17</v>
      </c>
      <c r="AL41" s="272">
        <f t="shared" si="17"/>
        <v>0</v>
      </c>
      <c r="AM41" s="274">
        <f t="shared" si="18"/>
        <v>0</v>
      </c>
      <c r="AN41" s="275">
        <f t="shared" si="19"/>
        <v>0</v>
      </c>
      <c r="AO41" s="422">
        <v>0</v>
      </c>
      <c r="AP41" s="272">
        <f t="shared" si="20"/>
        <v>0</v>
      </c>
      <c r="AQ41" s="272">
        <f>IFERROR(INDEX('Horo. M'!$M$3:M$367,MATCH(A41,'Horo. M'!$A$3:$A$367,0)),"")</f>
        <v>24</v>
      </c>
      <c r="AR41" s="422">
        <v>0</v>
      </c>
      <c r="AS41" s="422">
        <v>0</v>
      </c>
      <c r="AT41" s="272">
        <f t="shared" si="21"/>
        <v>24</v>
      </c>
      <c r="AU41" s="274">
        <f t="shared" si="22"/>
        <v>1</v>
      </c>
      <c r="AV41" s="275">
        <f t="shared" si="23"/>
        <v>1</v>
      </c>
      <c r="AW41" s="422">
        <v>185.07</v>
      </c>
      <c r="AX41" s="272">
        <f t="shared" si="24"/>
        <v>0</v>
      </c>
      <c r="AY41" s="272">
        <f>IFERROR(INDEX('Horo. M'!$O$3:O$367,MATCH(A41,'Horo. M'!$A$3:$A$367,0)),"")</f>
        <v>24</v>
      </c>
      <c r="AZ41" s="422">
        <v>0</v>
      </c>
      <c r="BA41" s="422">
        <v>0</v>
      </c>
      <c r="BB41" s="272">
        <f t="shared" si="25"/>
        <v>24</v>
      </c>
      <c r="BC41" s="274">
        <f t="shared" si="26"/>
        <v>1</v>
      </c>
      <c r="BD41" s="275">
        <f t="shared" si="27"/>
        <v>1</v>
      </c>
      <c r="BE41" s="422">
        <v>190.26</v>
      </c>
      <c r="BF41" s="272">
        <f t="shared" si="28"/>
        <v>0</v>
      </c>
      <c r="BG41" s="272">
        <f>IFERROR(INDEX('Horo. M'!$Q$3:Q$367,MATCH(A41,'Horo. M'!$A$3:$A$367,0)),"")</f>
        <v>19</v>
      </c>
      <c r="BH41" s="422">
        <v>5</v>
      </c>
      <c r="BI41" s="422">
        <v>0</v>
      </c>
      <c r="BJ41" s="272">
        <f t="shared" si="29"/>
        <v>19</v>
      </c>
      <c r="BK41" s="274">
        <f t="shared" si="30"/>
        <v>0.79166666666666663</v>
      </c>
      <c r="BL41" s="275">
        <f t="shared" si="31"/>
        <v>0.79166666666666663</v>
      </c>
      <c r="BM41" s="422">
        <v>139.44999999999999</v>
      </c>
      <c r="BN41" s="272">
        <f t="shared" si="32"/>
        <v>0</v>
      </c>
      <c r="BO41" s="272">
        <f>IFERROR(INDEX('Horo. M'!$S$3:S$367,MATCH(A41,'Horo. M'!$A$3:$A$367,0)),"")</f>
        <v>24</v>
      </c>
      <c r="BP41" s="422">
        <v>0</v>
      </c>
      <c r="BQ41" s="422">
        <v>0</v>
      </c>
      <c r="BR41" s="272">
        <f t="shared" si="33"/>
        <v>24</v>
      </c>
      <c r="BS41" s="274">
        <f t="shared" si="34"/>
        <v>1</v>
      </c>
      <c r="BT41" s="275">
        <f t="shared" si="35"/>
        <v>1</v>
      </c>
      <c r="BU41" s="422">
        <v>185.09</v>
      </c>
      <c r="BV41" s="272">
        <f t="shared" si="36"/>
        <v>0</v>
      </c>
      <c r="BW41" s="272">
        <f>IFERROR(INDEX('Horo. M'!$U$3:U$367,MATCH(A41,'Horo. M'!$A$3:$A$367,0)),"")</f>
        <v>24</v>
      </c>
      <c r="BX41" s="422">
        <v>0</v>
      </c>
      <c r="BY41" s="422">
        <v>0</v>
      </c>
      <c r="BZ41" s="272">
        <f t="shared" si="37"/>
        <v>24</v>
      </c>
      <c r="CA41" s="274">
        <f t="shared" si="38"/>
        <v>1</v>
      </c>
      <c r="CB41" s="275">
        <f t="shared" si="39"/>
        <v>1</v>
      </c>
      <c r="CC41" s="422">
        <v>180.07</v>
      </c>
    </row>
    <row r="42" spans="1:81">
      <c r="A42" s="279">
        <v>44967</v>
      </c>
      <c r="B42" s="278">
        <f t="shared" si="0"/>
        <v>2</v>
      </c>
      <c r="C42" s="272">
        <f>IFERROR(INDEX('Horo. M'!$C$3:$C$367,MATCH(A42,'Horo. M'!$A$3:$A$367,0)),"")</f>
        <v>22</v>
      </c>
      <c r="D42" s="422">
        <v>0</v>
      </c>
      <c r="E42" s="422">
        <v>0</v>
      </c>
      <c r="F42" s="272">
        <f t="shared" si="1"/>
        <v>24</v>
      </c>
      <c r="G42" s="274">
        <f t="shared" si="2"/>
        <v>0.91666666666666663</v>
      </c>
      <c r="H42" s="275">
        <f t="shared" si="3"/>
        <v>1</v>
      </c>
      <c r="I42" s="422">
        <v>162.80000000000001</v>
      </c>
      <c r="J42" s="278">
        <f t="shared" si="4"/>
        <v>0</v>
      </c>
      <c r="K42" s="272">
        <f>IFERROR(INDEX('Horo. M'!$E$3:$E$367,MATCH(A42,'Horo. M'!$A$3:$A$367,0)),"")</f>
        <v>24</v>
      </c>
      <c r="L42" s="422">
        <v>0</v>
      </c>
      <c r="M42" s="422">
        <v>0</v>
      </c>
      <c r="N42" s="272">
        <f t="shared" si="5"/>
        <v>24</v>
      </c>
      <c r="O42" s="274">
        <f t="shared" si="6"/>
        <v>1</v>
      </c>
      <c r="P42" s="275">
        <f t="shared" si="7"/>
        <v>1</v>
      </c>
      <c r="Q42" s="422">
        <v>178.9</v>
      </c>
      <c r="R42" s="278">
        <f t="shared" si="8"/>
        <v>0</v>
      </c>
      <c r="S42" s="272">
        <f>IFERROR(INDEX('Horo. M'!G$3:$G$367,MATCH(A42,'Horo. M'!$A$3:$A$367,0)),"")</f>
        <v>24</v>
      </c>
      <c r="T42" s="422">
        <v>0</v>
      </c>
      <c r="U42" s="422">
        <v>0</v>
      </c>
      <c r="V42" s="272">
        <f t="shared" si="9"/>
        <v>24</v>
      </c>
      <c r="W42" s="274">
        <f t="shared" si="10"/>
        <v>1</v>
      </c>
      <c r="X42" s="275">
        <f t="shared" si="11"/>
        <v>1</v>
      </c>
      <c r="Y42" s="422">
        <v>172.65</v>
      </c>
      <c r="Z42" s="278">
        <f t="shared" si="12"/>
        <v>0</v>
      </c>
      <c r="AA42" s="272">
        <f>IFERROR(INDEX('Horo. M'!$I$3:I$367,MATCH(A42,'Horo. M'!$A$3:$A$367,0)),"")</f>
        <v>24</v>
      </c>
      <c r="AB42" s="422">
        <v>0</v>
      </c>
      <c r="AC42" s="422">
        <v>0</v>
      </c>
      <c r="AD42" s="272">
        <f t="shared" si="13"/>
        <v>24</v>
      </c>
      <c r="AE42" s="274">
        <f t="shared" si="14"/>
        <v>1</v>
      </c>
      <c r="AF42" s="275">
        <f t="shared" si="15"/>
        <v>1</v>
      </c>
      <c r="AG42" s="422">
        <v>177.9</v>
      </c>
      <c r="AH42" s="272">
        <f t="shared" si="16"/>
        <v>0</v>
      </c>
      <c r="AI42" s="272">
        <f>IFERROR(INDEX('Horo. M'!$K$3:K$367,MATCH(A42,'Horo. M'!$A$3:$A$367,0)),"")</f>
        <v>0</v>
      </c>
      <c r="AJ42" s="422">
        <v>7</v>
      </c>
      <c r="AK42" s="422">
        <v>17</v>
      </c>
      <c r="AL42" s="272">
        <f t="shared" si="17"/>
        <v>0</v>
      </c>
      <c r="AM42" s="274">
        <f t="shared" si="18"/>
        <v>0</v>
      </c>
      <c r="AN42" s="275">
        <f t="shared" si="19"/>
        <v>0</v>
      </c>
      <c r="AO42" s="422">
        <v>0</v>
      </c>
      <c r="AP42" s="272">
        <f t="shared" si="20"/>
        <v>0</v>
      </c>
      <c r="AQ42" s="272">
        <f>IFERROR(INDEX('Horo. M'!$M$3:M$367,MATCH(A42,'Horo. M'!$A$3:$A$367,0)),"")</f>
        <v>24</v>
      </c>
      <c r="AR42" s="422">
        <v>0</v>
      </c>
      <c r="AS42" s="422">
        <v>0</v>
      </c>
      <c r="AT42" s="272">
        <f t="shared" si="21"/>
        <v>24</v>
      </c>
      <c r="AU42" s="274">
        <f t="shared" si="22"/>
        <v>1</v>
      </c>
      <c r="AV42" s="275">
        <f t="shared" si="23"/>
        <v>1</v>
      </c>
      <c r="AW42" s="422">
        <v>182.25</v>
      </c>
      <c r="AX42" s="272">
        <f t="shared" si="24"/>
        <v>2</v>
      </c>
      <c r="AY42" s="272">
        <f>IFERROR(INDEX('Horo. M'!$O$3:O$367,MATCH(A42,'Horo. M'!$A$3:$A$367,0)),"")</f>
        <v>22</v>
      </c>
      <c r="AZ42" s="422">
        <v>0</v>
      </c>
      <c r="BA42" s="422">
        <v>0</v>
      </c>
      <c r="BB42" s="272">
        <f t="shared" si="25"/>
        <v>24</v>
      </c>
      <c r="BC42" s="274">
        <f t="shared" si="26"/>
        <v>0.91666666666666663</v>
      </c>
      <c r="BD42" s="275">
        <f t="shared" si="27"/>
        <v>1</v>
      </c>
      <c r="BE42" s="422">
        <v>171.64</v>
      </c>
      <c r="BF42" s="272">
        <f t="shared" si="28"/>
        <v>0</v>
      </c>
      <c r="BG42" s="272">
        <f>IFERROR(INDEX('Horo. M'!$Q$3:Q$367,MATCH(A42,'Horo. M'!$A$3:$A$367,0)),"")</f>
        <v>24</v>
      </c>
      <c r="BH42" s="422">
        <v>0</v>
      </c>
      <c r="BI42" s="422">
        <v>0</v>
      </c>
      <c r="BJ42" s="272">
        <f t="shared" si="29"/>
        <v>24</v>
      </c>
      <c r="BK42" s="274">
        <f t="shared" si="30"/>
        <v>1</v>
      </c>
      <c r="BL42" s="275">
        <f t="shared" si="31"/>
        <v>1</v>
      </c>
      <c r="BM42" s="422">
        <v>182.66</v>
      </c>
      <c r="BN42" s="272">
        <f t="shared" si="32"/>
        <v>0</v>
      </c>
      <c r="BO42" s="272">
        <f>IFERROR(INDEX('Horo. M'!$S$3:S$367,MATCH(A42,'Horo. M'!$A$3:$A$367,0)),"")</f>
        <v>24</v>
      </c>
      <c r="BP42" s="422">
        <v>0</v>
      </c>
      <c r="BQ42" s="422">
        <v>0</v>
      </c>
      <c r="BR42" s="272">
        <f t="shared" si="33"/>
        <v>24</v>
      </c>
      <c r="BS42" s="274">
        <f t="shared" si="34"/>
        <v>1</v>
      </c>
      <c r="BT42" s="275">
        <f t="shared" si="35"/>
        <v>1</v>
      </c>
      <c r="BU42" s="422">
        <v>182.49</v>
      </c>
      <c r="BV42" s="272">
        <f t="shared" si="36"/>
        <v>0</v>
      </c>
      <c r="BW42" s="272">
        <f>IFERROR(INDEX('Horo. M'!$U$3:U$367,MATCH(A42,'Horo. M'!$A$3:$A$367,0)),"")</f>
        <v>24</v>
      </c>
      <c r="BX42" s="422">
        <v>0</v>
      </c>
      <c r="BY42" s="422">
        <v>0</v>
      </c>
      <c r="BZ42" s="272">
        <f t="shared" si="37"/>
        <v>24</v>
      </c>
      <c r="CA42" s="274">
        <f t="shared" si="38"/>
        <v>1</v>
      </c>
      <c r="CB42" s="275">
        <f t="shared" si="39"/>
        <v>1</v>
      </c>
      <c r="CC42" s="422">
        <v>183.4</v>
      </c>
    </row>
    <row r="43" spans="1:81">
      <c r="A43" s="279">
        <v>44968</v>
      </c>
      <c r="B43" s="278">
        <f t="shared" si="0"/>
        <v>0</v>
      </c>
      <c r="C43" s="272">
        <f>IFERROR(INDEX('Horo. M'!$C$3:$C$367,MATCH(A43,'Horo. M'!$A$3:$A$367,0)),"")</f>
        <v>24</v>
      </c>
      <c r="D43" s="422">
        <v>0</v>
      </c>
      <c r="E43" s="422">
        <v>0</v>
      </c>
      <c r="F43" s="272">
        <f t="shared" si="1"/>
        <v>24</v>
      </c>
      <c r="G43" s="274">
        <f t="shared" si="2"/>
        <v>1</v>
      </c>
      <c r="H43" s="275">
        <f t="shared" si="3"/>
        <v>1</v>
      </c>
      <c r="I43" s="422">
        <v>177.7</v>
      </c>
      <c r="J43" s="278">
        <f t="shared" si="4"/>
        <v>0</v>
      </c>
      <c r="K43" s="272">
        <f>IFERROR(INDEX('Horo. M'!$E$3:$E$367,MATCH(A43,'Horo. M'!$A$3:$A$367,0)),"")</f>
        <v>24</v>
      </c>
      <c r="L43" s="422">
        <v>0</v>
      </c>
      <c r="M43" s="422">
        <v>0</v>
      </c>
      <c r="N43" s="272">
        <f t="shared" si="5"/>
        <v>24</v>
      </c>
      <c r="O43" s="274">
        <f t="shared" si="6"/>
        <v>1</v>
      </c>
      <c r="P43" s="275">
        <f t="shared" si="7"/>
        <v>1</v>
      </c>
      <c r="Q43" s="422">
        <v>183</v>
      </c>
      <c r="R43" s="278">
        <f t="shared" si="8"/>
        <v>0</v>
      </c>
      <c r="S43" s="272">
        <f>IFERROR(INDEX('Horo. M'!G$3:$G$367,MATCH(A43,'Horo. M'!$A$3:$A$367,0)),"")</f>
        <v>24</v>
      </c>
      <c r="T43" s="422">
        <v>0</v>
      </c>
      <c r="U43" s="422">
        <v>0</v>
      </c>
      <c r="V43" s="272">
        <f t="shared" si="9"/>
        <v>24</v>
      </c>
      <c r="W43" s="274">
        <f t="shared" si="10"/>
        <v>1</v>
      </c>
      <c r="X43" s="275">
        <f t="shared" si="11"/>
        <v>1</v>
      </c>
      <c r="Y43" s="422">
        <v>174.6</v>
      </c>
      <c r="Z43" s="278">
        <f t="shared" si="12"/>
        <v>0</v>
      </c>
      <c r="AA43" s="272">
        <f>IFERROR(INDEX('Horo. M'!$I$3:I$367,MATCH(A43,'Horo. M'!$A$3:$A$367,0)),"")</f>
        <v>24</v>
      </c>
      <c r="AB43" s="422">
        <v>0</v>
      </c>
      <c r="AC43" s="422">
        <v>0</v>
      </c>
      <c r="AD43" s="272">
        <f t="shared" si="13"/>
        <v>24</v>
      </c>
      <c r="AE43" s="274">
        <f t="shared" si="14"/>
        <v>1</v>
      </c>
      <c r="AF43" s="275">
        <f t="shared" si="15"/>
        <v>1</v>
      </c>
      <c r="AG43" s="422">
        <v>182.76</v>
      </c>
      <c r="AH43" s="272">
        <f t="shared" si="16"/>
        <v>0</v>
      </c>
      <c r="AI43" s="272">
        <f>IFERROR(INDEX('Horo. M'!$K$3:K$367,MATCH(A43,'Horo. M'!$A$3:$A$367,0)),"")</f>
        <v>0</v>
      </c>
      <c r="AJ43" s="422">
        <v>9</v>
      </c>
      <c r="AK43" s="422">
        <v>15</v>
      </c>
      <c r="AL43" s="272">
        <f t="shared" si="17"/>
        <v>0</v>
      </c>
      <c r="AM43" s="274">
        <f t="shared" si="18"/>
        <v>0</v>
      </c>
      <c r="AN43" s="275">
        <f t="shared" si="19"/>
        <v>0</v>
      </c>
      <c r="AO43" s="422">
        <v>0</v>
      </c>
      <c r="AP43" s="272">
        <f t="shared" si="20"/>
        <v>0</v>
      </c>
      <c r="AQ43" s="272">
        <f>IFERROR(INDEX('Horo. M'!$M$3:M$367,MATCH(A43,'Horo. M'!$A$3:$A$367,0)),"")</f>
        <v>24</v>
      </c>
      <c r="AR43" s="422">
        <v>0</v>
      </c>
      <c r="AS43" s="422">
        <v>0</v>
      </c>
      <c r="AT43" s="272">
        <f t="shared" si="21"/>
        <v>24</v>
      </c>
      <c r="AU43" s="274">
        <f t="shared" si="22"/>
        <v>1</v>
      </c>
      <c r="AV43" s="275">
        <f t="shared" si="23"/>
        <v>1</v>
      </c>
      <c r="AW43" s="422">
        <v>181.43</v>
      </c>
      <c r="AX43" s="272">
        <f t="shared" si="24"/>
        <v>0</v>
      </c>
      <c r="AY43" s="272">
        <f>IFERROR(INDEX('Horo. M'!$O$3:O$367,MATCH(A43,'Horo. M'!$A$3:$A$367,0)),"")</f>
        <v>24</v>
      </c>
      <c r="AZ43" s="422">
        <v>0</v>
      </c>
      <c r="BA43" s="422">
        <v>0</v>
      </c>
      <c r="BB43" s="272">
        <f t="shared" si="25"/>
        <v>24</v>
      </c>
      <c r="BC43" s="274">
        <f t="shared" si="26"/>
        <v>1</v>
      </c>
      <c r="BD43" s="275">
        <f t="shared" si="27"/>
        <v>1</v>
      </c>
      <c r="BE43" s="422">
        <v>184.62</v>
      </c>
      <c r="BF43" s="272">
        <f t="shared" si="28"/>
        <v>0</v>
      </c>
      <c r="BG43" s="272">
        <f>IFERROR(INDEX('Horo. M'!$Q$3:Q$367,MATCH(A43,'Horo. M'!$A$3:$A$367,0)),"")</f>
        <v>24</v>
      </c>
      <c r="BH43" s="422">
        <v>0</v>
      </c>
      <c r="BI43" s="422">
        <v>0</v>
      </c>
      <c r="BJ43" s="272">
        <f t="shared" si="29"/>
        <v>24</v>
      </c>
      <c r="BK43" s="274">
        <f t="shared" si="30"/>
        <v>1</v>
      </c>
      <c r="BL43" s="275">
        <f t="shared" si="31"/>
        <v>1</v>
      </c>
      <c r="BM43" s="422">
        <v>180.45</v>
      </c>
      <c r="BN43" s="272">
        <f t="shared" si="32"/>
        <v>6</v>
      </c>
      <c r="BO43" s="272">
        <f>IFERROR(INDEX('Horo. M'!$S$3:S$367,MATCH(A43,'Horo. M'!$A$3:$A$367,0)),"")</f>
        <v>18</v>
      </c>
      <c r="BP43" s="422">
        <v>0</v>
      </c>
      <c r="BQ43" s="422">
        <v>0</v>
      </c>
      <c r="BR43" s="272">
        <f t="shared" si="33"/>
        <v>24</v>
      </c>
      <c r="BS43" s="274">
        <f t="shared" si="34"/>
        <v>0.75</v>
      </c>
      <c r="BT43" s="275">
        <f t="shared" si="35"/>
        <v>1</v>
      </c>
      <c r="BU43" s="422">
        <v>134.97999999999999</v>
      </c>
      <c r="BV43" s="272">
        <f t="shared" si="36"/>
        <v>0</v>
      </c>
      <c r="BW43" s="272">
        <f>IFERROR(INDEX('Horo. M'!$U$3:U$367,MATCH(A43,'Horo. M'!$A$3:$A$367,0)),"")</f>
        <v>24</v>
      </c>
      <c r="BX43" s="422">
        <v>0</v>
      </c>
      <c r="BY43" s="422">
        <v>0</v>
      </c>
      <c r="BZ43" s="272">
        <f t="shared" si="37"/>
        <v>24</v>
      </c>
      <c r="CA43" s="274">
        <f t="shared" si="38"/>
        <v>1</v>
      </c>
      <c r="CB43" s="275">
        <f t="shared" si="39"/>
        <v>1</v>
      </c>
      <c r="CC43" s="422">
        <v>182.72</v>
      </c>
    </row>
    <row r="44" spans="1:81">
      <c r="A44" s="279">
        <v>44969</v>
      </c>
      <c r="B44" s="278">
        <f t="shared" si="0"/>
        <v>0</v>
      </c>
      <c r="C44" s="272">
        <f>IFERROR(INDEX('Horo. M'!$C$3:$C$367,MATCH(A44,'Horo. M'!$A$3:$A$367,0)),"")</f>
        <v>24</v>
      </c>
      <c r="D44" s="422">
        <v>0</v>
      </c>
      <c r="E44" s="422">
        <v>0</v>
      </c>
      <c r="F44" s="272">
        <f t="shared" si="1"/>
        <v>24</v>
      </c>
      <c r="G44" s="274">
        <f t="shared" si="2"/>
        <v>1</v>
      </c>
      <c r="H44" s="275">
        <f t="shared" si="3"/>
        <v>1</v>
      </c>
      <c r="I44" s="422">
        <v>181.7</v>
      </c>
      <c r="J44" s="278">
        <f t="shared" si="4"/>
        <v>0</v>
      </c>
      <c r="K44" s="272">
        <f>IFERROR(INDEX('Horo. M'!$E$3:$E$367,MATCH(A44,'Horo. M'!$A$3:$A$367,0)),"")</f>
        <v>24</v>
      </c>
      <c r="L44" s="422">
        <v>0</v>
      </c>
      <c r="M44" s="422">
        <v>0</v>
      </c>
      <c r="N44" s="272">
        <f t="shared" si="5"/>
        <v>24</v>
      </c>
      <c r="O44" s="274">
        <f t="shared" si="6"/>
        <v>1</v>
      </c>
      <c r="P44" s="275">
        <f t="shared" si="7"/>
        <v>1</v>
      </c>
      <c r="Q44" s="422">
        <v>183.6</v>
      </c>
      <c r="R44" s="278">
        <f t="shared" si="8"/>
        <v>2</v>
      </c>
      <c r="S44" s="272">
        <f>IFERROR(INDEX('Horo. M'!G$3:$G$367,MATCH(A44,'Horo. M'!$A$3:$A$367,0)),"")</f>
        <v>18</v>
      </c>
      <c r="T44" s="422">
        <v>4</v>
      </c>
      <c r="U44" s="422">
        <v>0</v>
      </c>
      <c r="V44" s="272">
        <f t="shared" si="9"/>
        <v>20</v>
      </c>
      <c r="W44" s="274">
        <f t="shared" si="10"/>
        <v>0.75</v>
      </c>
      <c r="X44" s="275">
        <f t="shared" si="11"/>
        <v>0.83333333333333337</v>
      </c>
      <c r="Y44" s="422">
        <v>113.21</v>
      </c>
      <c r="Z44" s="278">
        <f t="shared" si="12"/>
        <v>0</v>
      </c>
      <c r="AA44" s="272">
        <f>IFERROR(INDEX('Horo. M'!$I$3:I$367,MATCH(A44,'Horo. M'!$A$3:$A$367,0)),"")</f>
        <v>24</v>
      </c>
      <c r="AB44" s="422">
        <v>0</v>
      </c>
      <c r="AC44" s="422">
        <v>0</v>
      </c>
      <c r="AD44" s="272">
        <f t="shared" si="13"/>
        <v>24</v>
      </c>
      <c r="AE44" s="274">
        <f t="shared" si="14"/>
        <v>1</v>
      </c>
      <c r="AF44" s="275">
        <f t="shared" si="15"/>
        <v>1</v>
      </c>
      <c r="AG44" s="422">
        <v>188.58</v>
      </c>
      <c r="AH44" s="272">
        <f t="shared" si="16"/>
        <v>0</v>
      </c>
      <c r="AI44" s="272">
        <f>IFERROR(INDEX('Horo. M'!$K$3:K$367,MATCH(A44,'Horo. M'!$A$3:$A$367,0)),"")</f>
        <v>0</v>
      </c>
      <c r="AJ44" s="422">
        <v>12</v>
      </c>
      <c r="AK44" s="422">
        <v>12</v>
      </c>
      <c r="AL44" s="272">
        <f t="shared" si="17"/>
        <v>0</v>
      </c>
      <c r="AM44" s="274">
        <f t="shared" si="18"/>
        <v>0</v>
      </c>
      <c r="AN44" s="275">
        <f t="shared" si="19"/>
        <v>0</v>
      </c>
      <c r="AO44" s="422">
        <v>0</v>
      </c>
      <c r="AP44" s="272">
        <f t="shared" si="20"/>
        <v>0</v>
      </c>
      <c r="AQ44" s="272">
        <f>IFERROR(INDEX('Horo. M'!$M$3:M$367,MATCH(A44,'Horo. M'!$A$3:$A$367,0)),"")</f>
        <v>24</v>
      </c>
      <c r="AR44" s="422">
        <v>0</v>
      </c>
      <c r="AS44" s="422">
        <v>0</v>
      </c>
      <c r="AT44" s="272">
        <f t="shared" si="21"/>
        <v>24</v>
      </c>
      <c r="AU44" s="274">
        <f t="shared" si="22"/>
        <v>1</v>
      </c>
      <c r="AV44" s="275">
        <f t="shared" si="23"/>
        <v>1</v>
      </c>
      <c r="AW44" s="422">
        <v>183.57</v>
      </c>
      <c r="AX44" s="272">
        <f t="shared" si="24"/>
        <v>0</v>
      </c>
      <c r="AY44" s="272">
        <f>IFERROR(INDEX('Horo. M'!$O$3:O$367,MATCH(A44,'Horo. M'!$A$3:$A$367,0)),"")</f>
        <v>24</v>
      </c>
      <c r="AZ44" s="422">
        <v>0</v>
      </c>
      <c r="BA44" s="422">
        <v>0</v>
      </c>
      <c r="BB44" s="272">
        <f t="shared" si="25"/>
        <v>24</v>
      </c>
      <c r="BC44" s="274">
        <f t="shared" si="26"/>
        <v>1</v>
      </c>
      <c r="BD44" s="275">
        <f t="shared" si="27"/>
        <v>1</v>
      </c>
      <c r="BE44" s="422">
        <v>185.76</v>
      </c>
      <c r="BF44" s="272">
        <f t="shared" si="28"/>
        <v>0</v>
      </c>
      <c r="BG44" s="272">
        <f>IFERROR(INDEX('Horo. M'!$Q$3:Q$367,MATCH(A44,'Horo. M'!$A$3:$A$367,0)),"")</f>
        <v>24</v>
      </c>
      <c r="BH44" s="422">
        <v>0</v>
      </c>
      <c r="BI44" s="422">
        <v>0</v>
      </c>
      <c r="BJ44" s="272">
        <f t="shared" si="29"/>
        <v>24</v>
      </c>
      <c r="BK44" s="274">
        <f t="shared" si="30"/>
        <v>1</v>
      </c>
      <c r="BL44" s="275">
        <f t="shared" si="31"/>
        <v>1</v>
      </c>
      <c r="BM44" s="422">
        <v>185.26</v>
      </c>
      <c r="BN44" s="272">
        <f t="shared" si="32"/>
        <v>0</v>
      </c>
      <c r="BO44" s="272">
        <f>IFERROR(INDEX('Horo. M'!$S$3:S$367,MATCH(A44,'Horo. M'!$A$3:$A$367,0)),"")</f>
        <v>24</v>
      </c>
      <c r="BP44" s="422">
        <v>0</v>
      </c>
      <c r="BQ44" s="422">
        <v>0</v>
      </c>
      <c r="BR44" s="272">
        <f t="shared" si="33"/>
        <v>24</v>
      </c>
      <c r="BS44" s="274">
        <f t="shared" si="34"/>
        <v>1</v>
      </c>
      <c r="BT44" s="275">
        <f t="shared" si="35"/>
        <v>1</v>
      </c>
      <c r="BU44" s="422">
        <v>188.18</v>
      </c>
      <c r="BV44" s="272">
        <f t="shared" si="36"/>
        <v>0</v>
      </c>
      <c r="BW44" s="272">
        <f>IFERROR(INDEX('Horo. M'!$U$3:U$367,MATCH(A44,'Horo. M'!$A$3:$A$367,0)),"")</f>
        <v>24</v>
      </c>
      <c r="BX44" s="422">
        <v>0</v>
      </c>
      <c r="BY44" s="422">
        <v>0</v>
      </c>
      <c r="BZ44" s="272">
        <f t="shared" si="37"/>
        <v>24</v>
      </c>
      <c r="CA44" s="274">
        <f t="shared" si="38"/>
        <v>1</v>
      </c>
      <c r="CB44" s="275">
        <f t="shared" si="39"/>
        <v>1</v>
      </c>
      <c r="CC44" s="422">
        <v>187.49</v>
      </c>
    </row>
    <row r="45" spans="1:81">
      <c r="A45" s="279">
        <v>44970</v>
      </c>
      <c r="B45" s="278">
        <f t="shared" si="0"/>
        <v>0</v>
      </c>
      <c r="C45" s="272">
        <f>IFERROR(INDEX('Horo. M'!$C$3:$C$367,MATCH(A45,'Horo. M'!$A$3:$A$367,0)),"")</f>
        <v>24</v>
      </c>
      <c r="D45" s="422">
        <v>0</v>
      </c>
      <c r="E45" s="422">
        <v>0</v>
      </c>
      <c r="F45" s="272">
        <f t="shared" si="1"/>
        <v>24</v>
      </c>
      <c r="G45" s="274">
        <f t="shared" si="2"/>
        <v>1</v>
      </c>
      <c r="H45" s="275">
        <f t="shared" si="3"/>
        <v>1</v>
      </c>
      <c r="I45" s="422">
        <v>178.4</v>
      </c>
      <c r="J45" s="278">
        <f t="shared" si="4"/>
        <v>0</v>
      </c>
      <c r="K45" s="272">
        <f>IFERROR(INDEX('Horo. M'!$E$3:$E$367,MATCH(A45,'Horo. M'!$A$3:$A$367,0)),"")</f>
        <v>24</v>
      </c>
      <c r="L45" s="422">
        <v>0</v>
      </c>
      <c r="M45" s="422">
        <v>0</v>
      </c>
      <c r="N45" s="272">
        <f t="shared" si="5"/>
        <v>24</v>
      </c>
      <c r="O45" s="274">
        <f t="shared" si="6"/>
        <v>1</v>
      </c>
      <c r="P45" s="275">
        <f t="shared" si="7"/>
        <v>1</v>
      </c>
      <c r="Q45" s="422">
        <v>176.5</v>
      </c>
      <c r="R45" s="278">
        <f t="shared" si="8"/>
        <v>0</v>
      </c>
      <c r="S45" s="272">
        <f>IFERROR(INDEX('Horo. M'!G$3:$G$367,MATCH(A45,'Horo. M'!$A$3:$A$367,0)),"")</f>
        <v>24</v>
      </c>
      <c r="T45" s="422">
        <v>0</v>
      </c>
      <c r="U45" s="422">
        <v>0</v>
      </c>
      <c r="V45" s="272">
        <f t="shared" si="9"/>
        <v>24</v>
      </c>
      <c r="W45" s="274">
        <f t="shared" si="10"/>
        <v>1</v>
      </c>
      <c r="X45" s="275">
        <f t="shared" si="11"/>
        <v>1</v>
      </c>
      <c r="Y45" s="422">
        <v>149.75</v>
      </c>
      <c r="Z45" s="278">
        <f t="shared" si="12"/>
        <v>0</v>
      </c>
      <c r="AA45" s="272">
        <f>IFERROR(INDEX('Horo. M'!$I$3:I$367,MATCH(A45,'Horo. M'!$A$3:$A$367,0)),"")</f>
        <v>20</v>
      </c>
      <c r="AB45" s="422">
        <v>4</v>
      </c>
      <c r="AC45" s="422">
        <v>0</v>
      </c>
      <c r="AD45" s="272">
        <f t="shared" si="13"/>
        <v>20</v>
      </c>
      <c r="AE45" s="274">
        <f t="shared" si="14"/>
        <v>0.83333333333333337</v>
      </c>
      <c r="AF45" s="275">
        <f t="shared" si="15"/>
        <v>0.83333333333333337</v>
      </c>
      <c r="AG45" s="422">
        <v>146.80000000000001</v>
      </c>
      <c r="AH45" s="272">
        <f t="shared" si="16"/>
        <v>0</v>
      </c>
      <c r="AI45" s="272">
        <f>IFERROR(INDEX('Horo. M'!$K$3:K$367,MATCH(A45,'Horo. M'!$A$3:$A$367,0)),"")</f>
        <v>0</v>
      </c>
      <c r="AJ45" s="422">
        <v>10</v>
      </c>
      <c r="AK45" s="422">
        <v>14</v>
      </c>
      <c r="AL45" s="272">
        <f t="shared" si="17"/>
        <v>0</v>
      </c>
      <c r="AM45" s="274">
        <f t="shared" si="18"/>
        <v>0</v>
      </c>
      <c r="AN45" s="275">
        <f t="shared" si="19"/>
        <v>0</v>
      </c>
      <c r="AO45" s="422">
        <v>0</v>
      </c>
      <c r="AP45" s="272">
        <f t="shared" si="20"/>
        <v>0</v>
      </c>
      <c r="AQ45" s="272">
        <f>IFERROR(INDEX('Horo. M'!$M$3:M$367,MATCH(A45,'Horo. M'!$A$3:$A$367,0)),"")</f>
        <v>24</v>
      </c>
      <c r="AR45" s="422">
        <v>0</v>
      </c>
      <c r="AS45" s="422">
        <v>0</v>
      </c>
      <c r="AT45" s="272">
        <f t="shared" si="21"/>
        <v>24</v>
      </c>
      <c r="AU45" s="274">
        <f t="shared" si="22"/>
        <v>1</v>
      </c>
      <c r="AV45" s="275">
        <f t="shared" si="23"/>
        <v>1</v>
      </c>
      <c r="AW45" s="422">
        <v>181.17</v>
      </c>
      <c r="AX45" s="272">
        <f t="shared" si="24"/>
        <v>0</v>
      </c>
      <c r="AY45" s="272">
        <f>IFERROR(INDEX('Horo. M'!$O$3:O$367,MATCH(A45,'Horo. M'!$A$3:$A$367,0)),"")</f>
        <v>24</v>
      </c>
      <c r="AZ45" s="422">
        <v>0</v>
      </c>
      <c r="BA45" s="422">
        <v>0</v>
      </c>
      <c r="BB45" s="272">
        <f t="shared" si="25"/>
        <v>24</v>
      </c>
      <c r="BC45" s="274">
        <f t="shared" si="26"/>
        <v>1</v>
      </c>
      <c r="BD45" s="275">
        <f t="shared" si="27"/>
        <v>1</v>
      </c>
      <c r="BE45" s="422">
        <v>183.85</v>
      </c>
      <c r="BF45" s="272">
        <f t="shared" si="28"/>
        <v>0</v>
      </c>
      <c r="BG45" s="272">
        <f>IFERROR(INDEX('Horo. M'!$Q$3:Q$367,MATCH(A45,'Horo. M'!$A$3:$A$367,0)),"")</f>
        <v>24</v>
      </c>
      <c r="BH45" s="422">
        <v>0</v>
      </c>
      <c r="BI45" s="422">
        <v>0</v>
      </c>
      <c r="BJ45" s="272">
        <f t="shared" si="29"/>
        <v>24</v>
      </c>
      <c r="BK45" s="274">
        <f t="shared" si="30"/>
        <v>1</v>
      </c>
      <c r="BL45" s="275">
        <f t="shared" si="31"/>
        <v>1</v>
      </c>
      <c r="BM45" s="422">
        <v>181.32</v>
      </c>
      <c r="BN45" s="272">
        <f t="shared" si="32"/>
        <v>0</v>
      </c>
      <c r="BO45" s="272">
        <f>IFERROR(INDEX('Horo. M'!$S$3:S$367,MATCH(A45,'Horo. M'!$A$3:$A$367,0)),"")</f>
        <v>24</v>
      </c>
      <c r="BP45" s="422">
        <v>0</v>
      </c>
      <c r="BQ45" s="422">
        <v>0</v>
      </c>
      <c r="BR45" s="272">
        <f t="shared" si="33"/>
        <v>24</v>
      </c>
      <c r="BS45" s="274">
        <f t="shared" si="34"/>
        <v>1</v>
      </c>
      <c r="BT45" s="275">
        <f t="shared" si="35"/>
        <v>1</v>
      </c>
      <c r="BU45" s="422">
        <v>184.5</v>
      </c>
      <c r="BV45" s="272">
        <f t="shared" si="36"/>
        <v>0</v>
      </c>
      <c r="BW45" s="272">
        <f>IFERROR(INDEX('Horo. M'!$U$3:U$367,MATCH(A45,'Horo. M'!$A$3:$A$367,0)),"")</f>
        <v>24</v>
      </c>
      <c r="BX45" s="422">
        <v>0</v>
      </c>
      <c r="BY45" s="422">
        <v>0</v>
      </c>
      <c r="BZ45" s="272">
        <f t="shared" si="37"/>
        <v>24</v>
      </c>
      <c r="CA45" s="274">
        <f t="shared" si="38"/>
        <v>1</v>
      </c>
      <c r="CB45" s="275">
        <f t="shared" si="39"/>
        <v>1</v>
      </c>
      <c r="CC45" s="422">
        <v>183.04</v>
      </c>
    </row>
    <row r="46" spans="1:81">
      <c r="A46" s="279">
        <v>44971</v>
      </c>
      <c r="B46" s="278">
        <f t="shared" si="0"/>
        <v>4</v>
      </c>
      <c r="C46" s="272">
        <f>IFERROR(INDEX('Horo. M'!$C$3:$C$367,MATCH(A46,'Horo. M'!$A$3:$A$367,0)),"")</f>
        <v>19</v>
      </c>
      <c r="D46" s="422">
        <v>0</v>
      </c>
      <c r="E46" s="422">
        <v>1</v>
      </c>
      <c r="F46" s="272">
        <f t="shared" si="1"/>
        <v>23</v>
      </c>
      <c r="G46" s="274">
        <f t="shared" si="2"/>
        <v>0.79166666666666663</v>
      </c>
      <c r="H46" s="275">
        <f t="shared" si="3"/>
        <v>0.95833333333333337</v>
      </c>
      <c r="I46" s="422">
        <v>137.69999999999999</v>
      </c>
      <c r="J46" s="278">
        <f t="shared" si="4"/>
        <v>0</v>
      </c>
      <c r="K46" s="272">
        <f>IFERROR(INDEX('Horo. M'!$E$3:$E$367,MATCH(A46,'Horo. M'!$A$3:$A$367,0)),"")</f>
        <v>24</v>
      </c>
      <c r="L46" s="422">
        <v>0</v>
      </c>
      <c r="M46" s="422">
        <v>0</v>
      </c>
      <c r="N46" s="272">
        <f t="shared" si="5"/>
        <v>24</v>
      </c>
      <c r="O46" s="274">
        <f t="shared" si="6"/>
        <v>1</v>
      </c>
      <c r="P46" s="275">
        <f t="shared" si="7"/>
        <v>1</v>
      </c>
      <c r="Q46" s="422">
        <v>182.5</v>
      </c>
      <c r="R46" s="278">
        <f t="shared" si="8"/>
        <v>0</v>
      </c>
      <c r="S46" s="272">
        <f>IFERROR(INDEX('Horo. M'!G$3:$G$367,MATCH(A46,'Horo. M'!$A$3:$A$367,0)),"")</f>
        <v>24</v>
      </c>
      <c r="T46" s="422">
        <v>0</v>
      </c>
      <c r="U46" s="422">
        <v>0</v>
      </c>
      <c r="V46" s="272">
        <f t="shared" si="9"/>
        <v>24</v>
      </c>
      <c r="W46" s="274">
        <f t="shared" si="10"/>
        <v>1</v>
      </c>
      <c r="X46" s="275">
        <f t="shared" si="11"/>
        <v>1</v>
      </c>
      <c r="Y46" s="422">
        <v>169.93</v>
      </c>
      <c r="Z46" s="278">
        <f t="shared" si="12"/>
        <v>1</v>
      </c>
      <c r="AA46" s="272">
        <f>IFERROR(INDEX('Horo. M'!$I$3:I$367,MATCH(A46,'Horo. M'!$A$3:$A$367,0)),"")</f>
        <v>19</v>
      </c>
      <c r="AB46" s="422">
        <v>4</v>
      </c>
      <c r="AC46" s="422">
        <v>0</v>
      </c>
      <c r="AD46" s="272">
        <f t="shared" si="13"/>
        <v>20</v>
      </c>
      <c r="AE46" s="274">
        <f t="shared" si="14"/>
        <v>0.79166666666666663</v>
      </c>
      <c r="AF46" s="275">
        <f t="shared" si="15"/>
        <v>0.83333333333333337</v>
      </c>
      <c r="AG46" s="422">
        <v>141.97</v>
      </c>
      <c r="AH46" s="272">
        <f t="shared" si="16"/>
        <v>0</v>
      </c>
      <c r="AI46" s="272">
        <f>IFERROR(INDEX('Horo. M'!$K$3:K$367,MATCH(A46,'Horo. M'!$A$3:$A$367,0)),"")</f>
        <v>0</v>
      </c>
      <c r="AJ46" s="422">
        <v>10</v>
      </c>
      <c r="AK46" s="422">
        <v>14</v>
      </c>
      <c r="AL46" s="272">
        <f t="shared" si="17"/>
        <v>0</v>
      </c>
      <c r="AM46" s="274">
        <f t="shared" si="18"/>
        <v>0</v>
      </c>
      <c r="AN46" s="275">
        <f t="shared" si="19"/>
        <v>0</v>
      </c>
      <c r="AO46" s="422">
        <v>0</v>
      </c>
      <c r="AP46" s="272">
        <f t="shared" si="20"/>
        <v>0</v>
      </c>
      <c r="AQ46" s="272">
        <f>IFERROR(INDEX('Horo. M'!$M$3:M$367,MATCH(A46,'Horo. M'!$A$3:$A$367,0)),"")</f>
        <v>24</v>
      </c>
      <c r="AR46" s="422">
        <v>0</v>
      </c>
      <c r="AS46" s="422">
        <v>0</v>
      </c>
      <c r="AT46" s="272">
        <f t="shared" si="21"/>
        <v>24</v>
      </c>
      <c r="AU46" s="274">
        <f t="shared" si="22"/>
        <v>1</v>
      </c>
      <c r="AV46" s="275">
        <f t="shared" si="23"/>
        <v>1</v>
      </c>
      <c r="AW46" s="422">
        <v>184.71</v>
      </c>
      <c r="AX46" s="272">
        <f t="shared" si="24"/>
        <v>0</v>
      </c>
      <c r="AY46" s="272">
        <f>IFERROR(INDEX('Horo. M'!$O$3:O$367,MATCH(A46,'Horo. M'!$A$3:$A$367,0)),"")</f>
        <v>24</v>
      </c>
      <c r="AZ46" s="422">
        <v>0</v>
      </c>
      <c r="BA46" s="422">
        <v>0</v>
      </c>
      <c r="BB46" s="272">
        <f t="shared" si="25"/>
        <v>24</v>
      </c>
      <c r="BC46" s="274">
        <f t="shared" si="26"/>
        <v>1</v>
      </c>
      <c r="BD46" s="275">
        <f t="shared" si="27"/>
        <v>1</v>
      </c>
      <c r="BE46" s="422">
        <v>188.18</v>
      </c>
      <c r="BF46" s="272">
        <f t="shared" si="28"/>
        <v>0</v>
      </c>
      <c r="BG46" s="272">
        <f>IFERROR(INDEX('Horo. M'!$Q$3:Q$367,MATCH(A46,'Horo. M'!$A$3:$A$367,0)),"")</f>
        <v>24</v>
      </c>
      <c r="BH46" s="422">
        <v>0</v>
      </c>
      <c r="BI46" s="422">
        <v>0</v>
      </c>
      <c r="BJ46" s="272">
        <f t="shared" si="29"/>
        <v>24</v>
      </c>
      <c r="BK46" s="274">
        <f t="shared" si="30"/>
        <v>1</v>
      </c>
      <c r="BL46" s="275">
        <f t="shared" si="31"/>
        <v>1</v>
      </c>
      <c r="BM46" s="422">
        <v>185.14</v>
      </c>
      <c r="BN46" s="272">
        <f t="shared" si="32"/>
        <v>0</v>
      </c>
      <c r="BO46" s="272">
        <f>IFERROR(INDEX('Horo. M'!$S$3:S$367,MATCH(A46,'Horo. M'!$A$3:$A$367,0)),"")</f>
        <v>24</v>
      </c>
      <c r="BP46" s="422">
        <v>0</v>
      </c>
      <c r="BQ46" s="422">
        <v>0</v>
      </c>
      <c r="BR46" s="272">
        <f t="shared" si="33"/>
        <v>24</v>
      </c>
      <c r="BS46" s="274">
        <f t="shared" si="34"/>
        <v>1</v>
      </c>
      <c r="BT46" s="275">
        <f t="shared" si="35"/>
        <v>1</v>
      </c>
      <c r="BU46" s="422">
        <v>189.96</v>
      </c>
      <c r="BV46" s="272">
        <f t="shared" si="36"/>
        <v>0</v>
      </c>
      <c r="BW46" s="272">
        <f>IFERROR(INDEX('Horo. M'!$U$3:U$367,MATCH(A46,'Horo. M'!$A$3:$A$367,0)),"")</f>
        <v>24</v>
      </c>
      <c r="BX46" s="422">
        <v>0</v>
      </c>
      <c r="BY46" s="422">
        <v>0</v>
      </c>
      <c r="BZ46" s="272">
        <f t="shared" si="37"/>
        <v>24</v>
      </c>
      <c r="CA46" s="274">
        <f t="shared" si="38"/>
        <v>1</v>
      </c>
      <c r="CB46" s="275">
        <f t="shared" si="39"/>
        <v>1</v>
      </c>
      <c r="CC46" s="422">
        <v>187.22</v>
      </c>
    </row>
    <row r="47" spans="1:81">
      <c r="A47" s="279">
        <v>44972</v>
      </c>
      <c r="B47" s="278">
        <f t="shared" si="0"/>
        <v>0</v>
      </c>
      <c r="C47" s="272">
        <f>IFERROR(INDEX('Horo. M'!$C$3:$C$367,MATCH(A47,'Horo. M'!$A$3:$A$367,0)),"")</f>
        <v>24</v>
      </c>
      <c r="D47" s="422">
        <v>0</v>
      </c>
      <c r="E47" s="422">
        <v>0</v>
      </c>
      <c r="F47" s="272">
        <f t="shared" si="1"/>
        <v>24</v>
      </c>
      <c r="G47" s="274">
        <f t="shared" si="2"/>
        <v>1</v>
      </c>
      <c r="H47" s="275">
        <f t="shared" si="3"/>
        <v>1</v>
      </c>
      <c r="I47" s="422">
        <v>190</v>
      </c>
      <c r="J47" s="278">
        <f t="shared" si="4"/>
        <v>0</v>
      </c>
      <c r="K47" s="272">
        <f>IFERROR(INDEX('Horo. M'!$E$3:$E$367,MATCH(A47,'Horo. M'!$A$3:$A$367,0)),"")</f>
        <v>19</v>
      </c>
      <c r="L47" s="422">
        <v>5</v>
      </c>
      <c r="M47" s="422">
        <v>0</v>
      </c>
      <c r="N47" s="272">
        <f t="shared" si="5"/>
        <v>19</v>
      </c>
      <c r="O47" s="274">
        <f t="shared" si="6"/>
        <v>0.79166666666666663</v>
      </c>
      <c r="P47" s="275">
        <f t="shared" si="7"/>
        <v>0.79166666666666663</v>
      </c>
      <c r="Q47" s="422">
        <v>97.5</v>
      </c>
      <c r="R47" s="278">
        <f t="shared" si="8"/>
        <v>0</v>
      </c>
      <c r="S47" s="272">
        <f>IFERROR(INDEX('Horo. M'!G$3:$G$367,MATCH(A47,'Horo. M'!$A$3:$A$367,0)),"")</f>
        <v>24</v>
      </c>
      <c r="T47" s="422">
        <v>0</v>
      </c>
      <c r="U47" s="422">
        <v>0</v>
      </c>
      <c r="V47" s="272">
        <f t="shared" si="9"/>
        <v>24</v>
      </c>
      <c r="W47" s="274">
        <f t="shared" si="10"/>
        <v>1</v>
      </c>
      <c r="X47" s="275">
        <f t="shared" si="11"/>
        <v>1</v>
      </c>
      <c r="Y47" s="422">
        <v>177.8</v>
      </c>
      <c r="Z47" s="278">
        <f t="shared" si="12"/>
        <v>0</v>
      </c>
      <c r="AA47" s="272">
        <f>IFERROR(INDEX('Horo. M'!$I$3:I$367,MATCH(A47,'Horo. M'!$A$3:$A$367,0)),"")</f>
        <v>24</v>
      </c>
      <c r="AB47" s="422">
        <v>0</v>
      </c>
      <c r="AC47" s="422">
        <v>0</v>
      </c>
      <c r="AD47" s="272">
        <f t="shared" si="13"/>
        <v>24</v>
      </c>
      <c r="AE47" s="274">
        <f t="shared" si="14"/>
        <v>1</v>
      </c>
      <c r="AF47" s="275">
        <f t="shared" si="15"/>
        <v>1</v>
      </c>
      <c r="AG47" s="422">
        <v>192.05</v>
      </c>
      <c r="AH47" s="272">
        <f t="shared" si="16"/>
        <v>0</v>
      </c>
      <c r="AI47" s="272">
        <f>IFERROR(INDEX('Horo. M'!$K$3:K$367,MATCH(A47,'Horo. M'!$A$3:$A$367,0)),"")</f>
        <v>0</v>
      </c>
      <c r="AJ47" s="422">
        <v>7</v>
      </c>
      <c r="AK47" s="422">
        <v>17</v>
      </c>
      <c r="AL47" s="272">
        <f t="shared" si="17"/>
        <v>0</v>
      </c>
      <c r="AM47" s="274">
        <f t="shared" si="18"/>
        <v>0</v>
      </c>
      <c r="AN47" s="275">
        <f t="shared" si="19"/>
        <v>0</v>
      </c>
      <c r="AO47" s="422">
        <v>0</v>
      </c>
      <c r="AP47" s="272">
        <f t="shared" si="20"/>
        <v>1</v>
      </c>
      <c r="AQ47" s="272">
        <f>IFERROR(INDEX('Horo. M'!$M$3:M$367,MATCH(A47,'Horo. M'!$A$3:$A$367,0)),"")</f>
        <v>23</v>
      </c>
      <c r="AR47" s="422">
        <v>0</v>
      </c>
      <c r="AS47" s="422">
        <v>0</v>
      </c>
      <c r="AT47" s="272">
        <f t="shared" si="21"/>
        <v>24</v>
      </c>
      <c r="AU47" s="274">
        <f t="shared" si="22"/>
        <v>0.95833333333333337</v>
      </c>
      <c r="AV47" s="275">
        <f t="shared" si="23"/>
        <v>1</v>
      </c>
      <c r="AW47" s="422">
        <v>193.69</v>
      </c>
      <c r="AX47" s="272">
        <f t="shared" si="24"/>
        <v>0</v>
      </c>
      <c r="AY47" s="272">
        <f>IFERROR(INDEX('Horo. M'!$O$3:O$367,MATCH(A47,'Horo. M'!$A$3:$A$367,0)),"")</f>
        <v>24</v>
      </c>
      <c r="AZ47" s="422">
        <v>0</v>
      </c>
      <c r="BA47" s="422">
        <v>0</v>
      </c>
      <c r="BB47" s="272">
        <f t="shared" si="25"/>
        <v>24</v>
      </c>
      <c r="BC47" s="274">
        <f t="shared" si="26"/>
        <v>1</v>
      </c>
      <c r="BD47" s="275">
        <f t="shared" si="27"/>
        <v>1</v>
      </c>
      <c r="BE47" s="422">
        <v>193.87</v>
      </c>
      <c r="BF47" s="272">
        <f t="shared" si="28"/>
        <v>0</v>
      </c>
      <c r="BG47" s="272">
        <f>IFERROR(INDEX('Horo. M'!$Q$3:Q$367,MATCH(A47,'Horo. M'!$A$3:$A$367,0)),"")</f>
        <v>24</v>
      </c>
      <c r="BH47" s="422">
        <v>0</v>
      </c>
      <c r="BI47" s="422">
        <v>0</v>
      </c>
      <c r="BJ47" s="272">
        <f t="shared" si="29"/>
        <v>24</v>
      </c>
      <c r="BK47" s="274">
        <f t="shared" si="30"/>
        <v>1</v>
      </c>
      <c r="BL47" s="275">
        <f t="shared" si="31"/>
        <v>1</v>
      </c>
      <c r="BM47" s="422">
        <v>193.42</v>
      </c>
      <c r="BN47" s="272">
        <f t="shared" si="32"/>
        <v>0</v>
      </c>
      <c r="BO47" s="272">
        <f>IFERROR(INDEX('Horo. M'!$S$3:S$367,MATCH(A47,'Horo. M'!$A$3:$A$367,0)),"")</f>
        <v>24</v>
      </c>
      <c r="BP47" s="422">
        <v>0</v>
      </c>
      <c r="BQ47" s="422">
        <v>0</v>
      </c>
      <c r="BR47" s="272">
        <f t="shared" si="33"/>
        <v>24</v>
      </c>
      <c r="BS47" s="274">
        <f t="shared" si="34"/>
        <v>1</v>
      </c>
      <c r="BT47" s="275">
        <f t="shared" si="35"/>
        <v>1</v>
      </c>
      <c r="BU47" s="422">
        <v>190.45</v>
      </c>
      <c r="BV47" s="272">
        <f t="shared" si="36"/>
        <v>0</v>
      </c>
      <c r="BW47" s="272">
        <f>IFERROR(INDEX('Horo. M'!$U$3:U$367,MATCH(A47,'Horo. M'!$A$3:$A$367,0)),"")</f>
        <v>20</v>
      </c>
      <c r="BX47" s="422">
        <v>4</v>
      </c>
      <c r="BY47" s="422">
        <v>0</v>
      </c>
      <c r="BZ47" s="272">
        <f t="shared" si="37"/>
        <v>20</v>
      </c>
      <c r="CA47" s="274">
        <f t="shared" si="38"/>
        <v>0.83333333333333337</v>
      </c>
      <c r="CB47" s="275">
        <f t="shared" si="39"/>
        <v>0.83333333333333337</v>
      </c>
      <c r="CC47" s="422">
        <v>146.84</v>
      </c>
    </row>
    <row r="48" spans="1:81">
      <c r="A48" s="279">
        <v>44973</v>
      </c>
      <c r="B48" s="278">
        <f t="shared" si="0"/>
        <v>0</v>
      </c>
      <c r="C48" s="272">
        <f>IFERROR(INDEX('Horo. M'!$C$3:$C$367,MATCH(A48,'Horo. M'!$A$3:$A$367,0)),"")</f>
        <v>24</v>
      </c>
      <c r="D48" s="422">
        <v>0</v>
      </c>
      <c r="E48" s="422">
        <v>0</v>
      </c>
      <c r="F48" s="272">
        <f t="shared" si="1"/>
        <v>24</v>
      </c>
      <c r="G48" s="274">
        <f t="shared" si="2"/>
        <v>1</v>
      </c>
      <c r="H48" s="275">
        <f t="shared" si="3"/>
        <v>1</v>
      </c>
      <c r="I48" s="422">
        <v>174.9</v>
      </c>
      <c r="J48" s="278">
        <f t="shared" si="4"/>
        <v>0</v>
      </c>
      <c r="K48" s="272">
        <f>IFERROR(INDEX('Horo. M'!$E$3:$E$367,MATCH(A48,'Horo. M'!$A$3:$A$367,0)),"")</f>
        <v>0</v>
      </c>
      <c r="L48" s="422">
        <v>0</v>
      </c>
      <c r="M48" s="422">
        <v>24</v>
      </c>
      <c r="N48" s="272">
        <f t="shared" si="5"/>
        <v>0</v>
      </c>
      <c r="O48" s="274">
        <f t="shared" si="6"/>
        <v>0</v>
      </c>
      <c r="P48" s="275">
        <f t="shared" si="7"/>
        <v>0</v>
      </c>
      <c r="Q48" s="422">
        <v>0</v>
      </c>
      <c r="R48" s="278">
        <f t="shared" si="8"/>
        <v>0</v>
      </c>
      <c r="S48" s="272">
        <f>IFERROR(INDEX('Horo. M'!G$3:$G$367,MATCH(A48,'Horo. M'!$A$3:$A$367,0)),"")</f>
        <v>24</v>
      </c>
      <c r="T48" s="422">
        <v>0</v>
      </c>
      <c r="U48" s="422">
        <v>0</v>
      </c>
      <c r="V48" s="272">
        <f t="shared" si="9"/>
        <v>24</v>
      </c>
      <c r="W48" s="274">
        <f t="shared" si="10"/>
        <v>1</v>
      </c>
      <c r="X48" s="275">
        <f t="shared" si="11"/>
        <v>1</v>
      </c>
      <c r="Y48" s="422">
        <v>159.97999999999999</v>
      </c>
      <c r="Z48" s="278">
        <f t="shared" si="12"/>
        <v>0</v>
      </c>
      <c r="AA48" s="272">
        <f>IFERROR(INDEX('Horo. M'!$I$3:I$367,MATCH(A48,'Horo. M'!$A$3:$A$367,0)),"")</f>
        <v>24</v>
      </c>
      <c r="AB48" s="422">
        <v>0</v>
      </c>
      <c r="AC48" s="422">
        <v>0</v>
      </c>
      <c r="AD48" s="272">
        <f t="shared" si="13"/>
        <v>24</v>
      </c>
      <c r="AE48" s="274">
        <f t="shared" si="14"/>
        <v>1</v>
      </c>
      <c r="AF48" s="275">
        <f t="shared" si="15"/>
        <v>1</v>
      </c>
      <c r="AG48" s="422">
        <v>178.69</v>
      </c>
      <c r="AH48" s="272">
        <f t="shared" si="16"/>
        <v>0</v>
      </c>
      <c r="AI48" s="272">
        <f>IFERROR(INDEX('Horo. M'!$K$3:K$367,MATCH(A48,'Horo. M'!$A$3:$A$367,0)),"")</f>
        <v>0</v>
      </c>
      <c r="AJ48" s="422">
        <v>0</v>
      </c>
      <c r="AK48" s="422">
        <v>24</v>
      </c>
      <c r="AL48" s="272">
        <f t="shared" si="17"/>
        <v>0</v>
      </c>
      <c r="AM48" s="274">
        <f t="shared" si="18"/>
        <v>0</v>
      </c>
      <c r="AN48" s="275">
        <f t="shared" si="19"/>
        <v>0</v>
      </c>
      <c r="AO48" s="422">
        <v>0</v>
      </c>
      <c r="AP48" s="272">
        <f t="shared" si="20"/>
        <v>0</v>
      </c>
      <c r="AQ48" s="272">
        <f>IFERROR(INDEX('Horo. M'!$M$3:M$367,MATCH(A48,'Horo. M'!$A$3:$A$367,0)),"")</f>
        <v>24</v>
      </c>
      <c r="AR48" s="422">
        <v>0</v>
      </c>
      <c r="AS48" s="422">
        <v>0</v>
      </c>
      <c r="AT48" s="272">
        <f t="shared" si="21"/>
        <v>24</v>
      </c>
      <c r="AU48" s="274">
        <f t="shared" si="22"/>
        <v>1</v>
      </c>
      <c r="AV48" s="275">
        <f t="shared" si="23"/>
        <v>1</v>
      </c>
      <c r="AW48" s="422">
        <v>171.36</v>
      </c>
      <c r="AX48" s="272">
        <f t="shared" si="24"/>
        <v>3</v>
      </c>
      <c r="AY48" s="272">
        <f>IFERROR(INDEX('Horo. M'!$O$3:O$367,MATCH(A48,'Horo. M'!$A$3:$A$367,0)),"")</f>
        <v>21</v>
      </c>
      <c r="AZ48" s="422">
        <v>0</v>
      </c>
      <c r="BA48" s="422">
        <v>0</v>
      </c>
      <c r="BB48" s="272">
        <f t="shared" si="25"/>
        <v>24</v>
      </c>
      <c r="BC48" s="274">
        <f t="shared" si="26"/>
        <v>0.875</v>
      </c>
      <c r="BD48" s="275">
        <f t="shared" si="27"/>
        <v>1</v>
      </c>
      <c r="BE48" s="422">
        <v>146.19999999999999</v>
      </c>
      <c r="BF48" s="272">
        <f t="shared" si="28"/>
        <v>0</v>
      </c>
      <c r="BG48" s="272">
        <f>IFERROR(INDEX('Horo. M'!$Q$3:Q$367,MATCH(A48,'Horo. M'!$A$3:$A$367,0)),"")</f>
        <v>24</v>
      </c>
      <c r="BH48" s="422">
        <v>0</v>
      </c>
      <c r="BI48" s="422">
        <v>0</v>
      </c>
      <c r="BJ48" s="272">
        <f t="shared" si="29"/>
        <v>24</v>
      </c>
      <c r="BK48" s="274">
        <f t="shared" si="30"/>
        <v>1</v>
      </c>
      <c r="BL48" s="275">
        <f t="shared" si="31"/>
        <v>1</v>
      </c>
      <c r="BM48" s="422">
        <v>176.86</v>
      </c>
      <c r="BN48" s="272">
        <f t="shared" si="32"/>
        <v>0</v>
      </c>
      <c r="BO48" s="272">
        <f>IFERROR(INDEX('Horo. M'!$S$3:S$367,MATCH(A48,'Horo. M'!$A$3:$A$367,0)),"")</f>
        <v>24</v>
      </c>
      <c r="BP48" s="422">
        <v>0</v>
      </c>
      <c r="BQ48" s="422">
        <v>0</v>
      </c>
      <c r="BR48" s="272">
        <f t="shared" si="33"/>
        <v>24</v>
      </c>
      <c r="BS48" s="274">
        <f t="shared" si="34"/>
        <v>1</v>
      </c>
      <c r="BT48" s="275">
        <f t="shared" si="35"/>
        <v>1</v>
      </c>
      <c r="BU48" s="422">
        <v>176.66</v>
      </c>
      <c r="BV48" s="272">
        <f t="shared" si="36"/>
        <v>0</v>
      </c>
      <c r="BW48" s="272">
        <f>IFERROR(INDEX('Horo. M'!$U$3:U$367,MATCH(A48,'Horo. M'!$A$3:$A$367,0)),"")</f>
        <v>24</v>
      </c>
      <c r="BX48" s="422">
        <v>0</v>
      </c>
      <c r="BY48" s="422">
        <v>0</v>
      </c>
      <c r="BZ48" s="272">
        <f t="shared" si="37"/>
        <v>24</v>
      </c>
      <c r="CA48" s="274">
        <f t="shared" si="38"/>
        <v>1</v>
      </c>
      <c r="CB48" s="275">
        <f t="shared" si="39"/>
        <v>1</v>
      </c>
      <c r="CC48" s="422">
        <v>175.58</v>
      </c>
    </row>
    <row r="49" spans="1:81">
      <c r="A49" s="279">
        <v>44974</v>
      </c>
      <c r="B49" s="278">
        <f t="shared" si="0"/>
        <v>0</v>
      </c>
      <c r="C49" s="272">
        <f>IFERROR(INDEX('Horo. M'!$C$3:$C$367,MATCH(A49,'Horo. M'!$A$3:$A$367,0)),"")</f>
        <v>0</v>
      </c>
      <c r="D49" s="422">
        <v>8</v>
      </c>
      <c r="E49" s="422">
        <v>16</v>
      </c>
      <c r="F49" s="272">
        <f t="shared" si="1"/>
        <v>0</v>
      </c>
      <c r="G49" s="274">
        <f t="shared" si="2"/>
        <v>0</v>
      </c>
      <c r="H49" s="275">
        <f t="shared" si="3"/>
        <v>0</v>
      </c>
      <c r="I49" s="422">
        <v>0.5</v>
      </c>
      <c r="J49" s="278">
        <f t="shared" si="4"/>
        <v>0</v>
      </c>
      <c r="K49" s="272">
        <f>IFERROR(INDEX('Horo. M'!$E$3:$E$367,MATCH(A49,'Horo. M'!$A$3:$A$367,0)),"")</f>
        <v>24</v>
      </c>
      <c r="L49" s="422">
        <v>0</v>
      </c>
      <c r="M49" s="422">
        <v>0</v>
      </c>
      <c r="N49" s="272">
        <f t="shared" si="5"/>
        <v>24</v>
      </c>
      <c r="O49" s="274">
        <f t="shared" si="6"/>
        <v>1</v>
      </c>
      <c r="P49" s="275">
        <f t="shared" si="7"/>
        <v>1</v>
      </c>
      <c r="Q49" s="422">
        <v>164</v>
      </c>
      <c r="R49" s="278">
        <f t="shared" si="8"/>
        <v>0</v>
      </c>
      <c r="S49" s="272">
        <f>IFERROR(INDEX('Horo. M'!G$3:$G$367,MATCH(A49,'Horo. M'!$A$3:$A$367,0)),"")</f>
        <v>24</v>
      </c>
      <c r="T49" s="422">
        <v>0</v>
      </c>
      <c r="U49" s="422">
        <v>0</v>
      </c>
      <c r="V49" s="272">
        <f t="shared" si="9"/>
        <v>24</v>
      </c>
      <c r="W49" s="274">
        <f t="shared" si="10"/>
        <v>1</v>
      </c>
      <c r="X49" s="275">
        <f t="shared" si="11"/>
        <v>1</v>
      </c>
      <c r="Y49" s="422">
        <v>156.25</v>
      </c>
      <c r="Z49" s="278">
        <f t="shared" si="12"/>
        <v>0</v>
      </c>
      <c r="AA49" s="272">
        <f>IFERROR(INDEX('Horo. M'!$I$3:I$367,MATCH(A49,'Horo. M'!$A$3:$A$367,0)),"")</f>
        <v>24</v>
      </c>
      <c r="AB49" s="422">
        <v>0</v>
      </c>
      <c r="AC49" s="422">
        <v>0</v>
      </c>
      <c r="AD49" s="272">
        <f t="shared" si="13"/>
        <v>24</v>
      </c>
      <c r="AE49" s="274">
        <f t="shared" si="14"/>
        <v>1</v>
      </c>
      <c r="AF49" s="275">
        <f t="shared" si="15"/>
        <v>1</v>
      </c>
      <c r="AG49" s="422">
        <v>177.32</v>
      </c>
      <c r="AH49" s="272">
        <f t="shared" si="16"/>
        <v>0</v>
      </c>
      <c r="AI49" s="272">
        <f>IFERROR(INDEX('Horo. M'!$K$3:K$367,MATCH(A49,'Horo. M'!$A$3:$A$367,0)),"")</f>
        <v>0</v>
      </c>
      <c r="AJ49" s="422">
        <v>0</v>
      </c>
      <c r="AK49" s="422">
        <v>24</v>
      </c>
      <c r="AL49" s="272">
        <f t="shared" si="17"/>
        <v>0</v>
      </c>
      <c r="AM49" s="274">
        <f t="shared" si="18"/>
        <v>0</v>
      </c>
      <c r="AN49" s="275">
        <f t="shared" si="19"/>
        <v>0</v>
      </c>
      <c r="AO49" s="422">
        <v>0</v>
      </c>
      <c r="AP49" s="272">
        <f t="shared" si="20"/>
        <v>0</v>
      </c>
      <c r="AQ49" s="272">
        <f>IFERROR(INDEX('Horo. M'!$M$3:M$367,MATCH(A49,'Horo. M'!$A$3:$A$367,0)),"")</f>
        <v>24</v>
      </c>
      <c r="AR49" s="422">
        <v>0</v>
      </c>
      <c r="AS49" s="422">
        <v>0</v>
      </c>
      <c r="AT49" s="272">
        <f t="shared" si="21"/>
        <v>24</v>
      </c>
      <c r="AU49" s="274">
        <f t="shared" si="22"/>
        <v>1</v>
      </c>
      <c r="AV49" s="275">
        <f t="shared" si="23"/>
        <v>1</v>
      </c>
      <c r="AW49" s="422">
        <v>178.25</v>
      </c>
      <c r="AX49" s="272">
        <f t="shared" si="24"/>
        <v>1</v>
      </c>
      <c r="AY49" s="272">
        <f>IFERROR(INDEX('Horo. M'!$O$3:O$367,MATCH(A49,'Horo. M'!$A$3:$A$367,0)),"")</f>
        <v>23</v>
      </c>
      <c r="AZ49" s="422">
        <v>0</v>
      </c>
      <c r="BA49" s="422">
        <v>0</v>
      </c>
      <c r="BB49" s="272">
        <f t="shared" si="25"/>
        <v>24</v>
      </c>
      <c r="BC49" s="274">
        <f t="shared" si="26"/>
        <v>0.95833333333333337</v>
      </c>
      <c r="BD49" s="275">
        <f t="shared" si="27"/>
        <v>1</v>
      </c>
      <c r="BE49" s="422">
        <v>171.05</v>
      </c>
      <c r="BF49" s="272">
        <f t="shared" si="28"/>
        <v>0</v>
      </c>
      <c r="BG49" s="272">
        <f>IFERROR(INDEX('Horo. M'!$Q$3:Q$367,MATCH(A49,'Horo. M'!$A$3:$A$367,0)),"")</f>
        <v>24</v>
      </c>
      <c r="BH49" s="422">
        <v>0</v>
      </c>
      <c r="BI49" s="422">
        <v>0</v>
      </c>
      <c r="BJ49" s="272">
        <f t="shared" si="29"/>
        <v>24</v>
      </c>
      <c r="BK49" s="274">
        <f t="shared" si="30"/>
        <v>1</v>
      </c>
      <c r="BL49" s="275">
        <f t="shared" si="31"/>
        <v>1</v>
      </c>
      <c r="BM49" s="422">
        <v>174.1</v>
      </c>
      <c r="BN49" s="272">
        <f t="shared" si="32"/>
        <v>3</v>
      </c>
      <c r="BO49" s="272">
        <f>IFERROR(INDEX('Horo. M'!$S$3:S$367,MATCH(A49,'Horo. M'!$A$3:$A$367,0)),"")</f>
        <v>21</v>
      </c>
      <c r="BP49" s="422">
        <v>0</v>
      </c>
      <c r="BQ49" s="422">
        <v>0</v>
      </c>
      <c r="BR49" s="272">
        <f t="shared" si="33"/>
        <v>24</v>
      </c>
      <c r="BS49" s="274">
        <f t="shared" si="34"/>
        <v>0.875</v>
      </c>
      <c r="BT49" s="275">
        <f t="shared" si="35"/>
        <v>1</v>
      </c>
      <c r="BU49" s="422">
        <v>148.29</v>
      </c>
      <c r="BV49" s="272">
        <f t="shared" si="36"/>
        <v>0</v>
      </c>
      <c r="BW49" s="272">
        <f>IFERROR(INDEX('Horo. M'!$U$3:U$367,MATCH(A49,'Horo. M'!$A$3:$A$367,0)),"")</f>
        <v>24</v>
      </c>
      <c r="BX49" s="422">
        <v>0</v>
      </c>
      <c r="BY49" s="422">
        <v>0</v>
      </c>
      <c r="BZ49" s="272">
        <f t="shared" si="37"/>
        <v>24</v>
      </c>
      <c r="CA49" s="274">
        <f t="shared" si="38"/>
        <v>1</v>
      </c>
      <c r="CB49" s="275">
        <f t="shared" si="39"/>
        <v>1</v>
      </c>
      <c r="CC49" s="422">
        <v>177.61</v>
      </c>
    </row>
    <row r="50" spans="1:81">
      <c r="A50" s="279">
        <v>44975</v>
      </c>
      <c r="B50" s="278">
        <f t="shared" si="0"/>
        <v>0</v>
      </c>
      <c r="C50" s="272">
        <f>IFERROR(INDEX('Horo. M'!$C$3:$C$367,MATCH(A50,'Horo. M'!$A$3:$A$367,0)),"")</f>
        <v>24</v>
      </c>
      <c r="D50" s="422">
        <v>0</v>
      </c>
      <c r="E50" s="422">
        <v>0</v>
      </c>
      <c r="F50" s="272">
        <f t="shared" si="1"/>
        <v>24</v>
      </c>
      <c r="G50" s="274">
        <f t="shared" si="2"/>
        <v>1</v>
      </c>
      <c r="H50" s="275">
        <f t="shared" si="3"/>
        <v>1</v>
      </c>
      <c r="I50" s="422">
        <v>184.1</v>
      </c>
      <c r="J50" s="278">
        <f t="shared" si="4"/>
        <v>1</v>
      </c>
      <c r="K50" s="272">
        <f>IFERROR(INDEX('Horo. M'!$E$3:$E$367,MATCH(A50,'Horo. M'!$A$3:$A$367,0)),"")</f>
        <v>23</v>
      </c>
      <c r="L50" s="422">
        <v>0</v>
      </c>
      <c r="M50" s="422">
        <v>0</v>
      </c>
      <c r="N50" s="272">
        <f t="shared" si="5"/>
        <v>24</v>
      </c>
      <c r="O50" s="274">
        <f t="shared" si="6"/>
        <v>0.95833333333333337</v>
      </c>
      <c r="P50" s="275">
        <f t="shared" si="7"/>
        <v>1</v>
      </c>
      <c r="Q50" s="422">
        <v>186.4</v>
      </c>
      <c r="R50" s="278">
        <f t="shared" si="8"/>
        <v>0</v>
      </c>
      <c r="S50" s="272">
        <f>IFERROR(INDEX('Horo. M'!G$3:$G$367,MATCH(A50,'Horo. M'!$A$3:$A$367,0)),"")</f>
        <v>24</v>
      </c>
      <c r="T50" s="422">
        <v>0</v>
      </c>
      <c r="U50" s="422">
        <v>0</v>
      </c>
      <c r="V50" s="272">
        <f t="shared" si="9"/>
        <v>24</v>
      </c>
      <c r="W50" s="274">
        <f t="shared" si="10"/>
        <v>1</v>
      </c>
      <c r="X50" s="275">
        <f t="shared" si="11"/>
        <v>1</v>
      </c>
      <c r="Y50" s="422">
        <v>176</v>
      </c>
      <c r="Z50" s="278">
        <f t="shared" si="12"/>
        <v>0</v>
      </c>
      <c r="AA50" s="272">
        <f>IFERROR(INDEX('Horo. M'!$I$3:I$367,MATCH(A50,'Horo. M'!$A$3:$A$367,0)),"")</f>
        <v>24</v>
      </c>
      <c r="AB50" s="422">
        <v>0</v>
      </c>
      <c r="AC50" s="422">
        <v>0</v>
      </c>
      <c r="AD50" s="272">
        <f t="shared" si="13"/>
        <v>24</v>
      </c>
      <c r="AE50" s="274">
        <f t="shared" si="14"/>
        <v>1</v>
      </c>
      <c r="AF50" s="275">
        <f t="shared" si="15"/>
        <v>1</v>
      </c>
      <c r="AG50" s="422">
        <v>185.84</v>
      </c>
      <c r="AH50" s="272">
        <f t="shared" si="16"/>
        <v>0</v>
      </c>
      <c r="AI50" s="272">
        <f>IFERROR(INDEX('Horo. M'!$K$3:K$367,MATCH(A50,'Horo. M'!$A$3:$A$367,0)),"")</f>
        <v>0</v>
      </c>
      <c r="AJ50" s="422">
        <v>6</v>
      </c>
      <c r="AK50" s="422">
        <v>18</v>
      </c>
      <c r="AL50" s="272">
        <f t="shared" si="17"/>
        <v>0</v>
      </c>
      <c r="AM50" s="274">
        <f t="shared" si="18"/>
        <v>0</v>
      </c>
      <c r="AN50" s="275">
        <f t="shared" si="19"/>
        <v>0</v>
      </c>
      <c r="AO50" s="422">
        <v>0</v>
      </c>
      <c r="AP50" s="272">
        <f t="shared" si="20"/>
        <v>0</v>
      </c>
      <c r="AQ50" s="272">
        <f>IFERROR(INDEX('Horo. M'!$M$3:M$367,MATCH(A50,'Horo. M'!$A$3:$A$367,0)),"")</f>
        <v>21</v>
      </c>
      <c r="AR50" s="422">
        <v>3</v>
      </c>
      <c r="AS50" s="422">
        <v>0</v>
      </c>
      <c r="AT50" s="272">
        <f t="shared" si="21"/>
        <v>21</v>
      </c>
      <c r="AU50" s="274">
        <f t="shared" si="22"/>
        <v>0.875</v>
      </c>
      <c r="AV50" s="275">
        <f t="shared" si="23"/>
        <v>0.875</v>
      </c>
      <c r="AW50" s="422">
        <v>161.77000000000001</v>
      </c>
      <c r="AX50" s="272">
        <f t="shared" si="24"/>
        <v>0</v>
      </c>
      <c r="AY50" s="272">
        <f>IFERROR(INDEX('Horo. M'!$O$3:O$367,MATCH(A50,'Horo. M'!$A$3:$A$367,0)),"")</f>
        <v>20</v>
      </c>
      <c r="AZ50" s="422">
        <v>4</v>
      </c>
      <c r="BA50" s="422">
        <v>0</v>
      </c>
      <c r="BB50" s="272">
        <f t="shared" si="25"/>
        <v>20</v>
      </c>
      <c r="BC50" s="274">
        <f t="shared" si="26"/>
        <v>0.83333333333333337</v>
      </c>
      <c r="BD50" s="275">
        <f t="shared" si="27"/>
        <v>0.83333333333333337</v>
      </c>
      <c r="BE50" s="422">
        <v>146.05000000000001</v>
      </c>
      <c r="BF50" s="272">
        <f t="shared" si="28"/>
        <v>0</v>
      </c>
      <c r="BG50" s="272">
        <f>IFERROR(INDEX('Horo. M'!$Q$3:Q$367,MATCH(A50,'Horo. M'!$A$3:$A$367,0)),"")</f>
        <v>24</v>
      </c>
      <c r="BH50" s="422">
        <v>0</v>
      </c>
      <c r="BI50" s="422">
        <v>0</v>
      </c>
      <c r="BJ50" s="272">
        <f t="shared" si="29"/>
        <v>24</v>
      </c>
      <c r="BK50" s="274">
        <f t="shared" si="30"/>
        <v>1</v>
      </c>
      <c r="BL50" s="275">
        <f t="shared" si="31"/>
        <v>1</v>
      </c>
      <c r="BM50" s="422">
        <v>179.29</v>
      </c>
      <c r="BN50" s="272">
        <f t="shared" si="32"/>
        <v>0</v>
      </c>
      <c r="BO50" s="272">
        <f>IFERROR(INDEX('Horo. M'!$S$3:S$367,MATCH(A50,'Horo. M'!$A$3:$A$367,0)),"")</f>
        <v>24</v>
      </c>
      <c r="BP50" s="422">
        <v>0</v>
      </c>
      <c r="BQ50" s="422">
        <v>0</v>
      </c>
      <c r="BR50" s="272">
        <f t="shared" si="33"/>
        <v>24</v>
      </c>
      <c r="BS50" s="274">
        <f t="shared" si="34"/>
        <v>1</v>
      </c>
      <c r="BT50" s="275">
        <f t="shared" si="35"/>
        <v>1</v>
      </c>
      <c r="BU50" s="422">
        <v>180.4</v>
      </c>
      <c r="BV50" s="272">
        <f t="shared" si="36"/>
        <v>0</v>
      </c>
      <c r="BW50" s="272">
        <f>IFERROR(INDEX('Horo. M'!$U$3:U$367,MATCH(A50,'Horo. M'!$A$3:$A$367,0)),"")</f>
        <v>24</v>
      </c>
      <c r="BX50" s="422">
        <v>0</v>
      </c>
      <c r="BY50" s="422">
        <v>0</v>
      </c>
      <c r="BZ50" s="272">
        <f t="shared" si="37"/>
        <v>24</v>
      </c>
      <c r="CA50" s="274">
        <f t="shared" si="38"/>
        <v>1</v>
      </c>
      <c r="CB50" s="275">
        <f t="shared" si="39"/>
        <v>1</v>
      </c>
      <c r="CC50" s="422">
        <v>183.52</v>
      </c>
    </row>
    <row r="51" spans="1:81">
      <c r="A51" s="279">
        <v>44976</v>
      </c>
      <c r="B51" s="278">
        <f t="shared" si="0"/>
        <v>0</v>
      </c>
      <c r="C51" s="272">
        <f>IFERROR(INDEX('Horo. M'!$C$3:$C$367,MATCH(A51,'Horo. M'!$A$3:$A$367,0)),"")</f>
        <v>24</v>
      </c>
      <c r="D51" s="422">
        <v>0</v>
      </c>
      <c r="E51" s="422">
        <v>0</v>
      </c>
      <c r="F51" s="272">
        <f t="shared" si="1"/>
        <v>24</v>
      </c>
      <c r="G51" s="274">
        <f t="shared" si="2"/>
        <v>1</v>
      </c>
      <c r="H51" s="275">
        <f t="shared" si="3"/>
        <v>1</v>
      </c>
      <c r="I51" s="422">
        <v>185.9</v>
      </c>
      <c r="J51" s="278">
        <f t="shared" si="4"/>
        <v>0</v>
      </c>
      <c r="K51" s="272">
        <f>IFERROR(INDEX('Horo. M'!$E$3:$E$367,MATCH(A51,'Horo. M'!$A$3:$A$367,0)),"")</f>
        <v>24</v>
      </c>
      <c r="L51" s="422">
        <v>0</v>
      </c>
      <c r="M51" s="422">
        <v>0</v>
      </c>
      <c r="N51" s="272">
        <f t="shared" si="5"/>
        <v>24</v>
      </c>
      <c r="O51" s="274">
        <f t="shared" si="6"/>
        <v>1</v>
      </c>
      <c r="P51" s="275">
        <f t="shared" si="7"/>
        <v>1</v>
      </c>
      <c r="Q51" s="422">
        <v>188.8</v>
      </c>
      <c r="R51" s="278">
        <f t="shared" si="8"/>
        <v>0</v>
      </c>
      <c r="S51" s="272">
        <f>IFERROR(INDEX('Horo. M'!G$3:$G$367,MATCH(A51,'Horo. M'!$A$3:$A$367,0)),"")</f>
        <v>24</v>
      </c>
      <c r="T51" s="422">
        <v>0</v>
      </c>
      <c r="U51" s="422">
        <v>0</v>
      </c>
      <c r="V51" s="272">
        <f t="shared" si="9"/>
        <v>24</v>
      </c>
      <c r="W51" s="274">
        <f t="shared" si="10"/>
        <v>1</v>
      </c>
      <c r="X51" s="275">
        <f t="shared" si="11"/>
        <v>1</v>
      </c>
      <c r="Y51" s="422">
        <v>180.95</v>
      </c>
      <c r="Z51" s="278">
        <f t="shared" si="12"/>
        <v>0</v>
      </c>
      <c r="AA51" s="272">
        <f>IFERROR(INDEX('Horo. M'!$I$3:I$367,MATCH(A51,'Horo. M'!$A$3:$A$367,0)),"")</f>
        <v>24</v>
      </c>
      <c r="AB51" s="422">
        <v>0</v>
      </c>
      <c r="AC51" s="422">
        <v>0</v>
      </c>
      <c r="AD51" s="272">
        <f t="shared" si="13"/>
        <v>24</v>
      </c>
      <c r="AE51" s="274">
        <f t="shared" si="14"/>
        <v>1</v>
      </c>
      <c r="AF51" s="275">
        <f t="shared" si="15"/>
        <v>1</v>
      </c>
      <c r="AG51" s="422">
        <v>183.06</v>
      </c>
      <c r="AH51" s="272">
        <f t="shared" si="16"/>
        <v>0</v>
      </c>
      <c r="AI51" s="272">
        <f>IFERROR(INDEX('Horo. M'!$K$3:K$367,MATCH(A51,'Horo. M'!$A$3:$A$367,0)),"")</f>
        <v>0</v>
      </c>
      <c r="AJ51" s="422">
        <v>11</v>
      </c>
      <c r="AK51" s="422">
        <v>13</v>
      </c>
      <c r="AL51" s="272">
        <f t="shared" si="17"/>
        <v>0</v>
      </c>
      <c r="AM51" s="274">
        <f t="shared" si="18"/>
        <v>0</v>
      </c>
      <c r="AN51" s="275">
        <f t="shared" si="19"/>
        <v>0</v>
      </c>
      <c r="AO51" s="422">
        <v>0</v>
      </c>
      <c r="AP51" s="272">
        <f t="shared" si="20"/>
        <v>3</v>
      </c>
      <c r="AQ51" s="272">
        <f>IFERROR(INDEX('Horo. M'!$M$3:M$367,MATCH(A51,'Horo. M'!$A$3:$A$367,0)),"")</f>
        <v>21</v>
      </c>
      <c r="AR51" s="422">
        <v>0</v>
      </c>
      <c r="AS51" s="422">
        <v>0</v>
      </c>
      <c r="AT51" s="272">
        <f t="shared" si="21"/>
        <v>24</v>
      </c>
      <c r="AU51" s="274">
        <f t="shared" si="22"/>
        <v>0.875</v>
      </c>
      <c r="AV51" s="275">
        <f t="shared" si="23"/>
        <v>1</v>
      </c>
      <c r="AW51" s="422">
        <v>147.34</v>
      </c>
      <c r="AX51" s="272">
        <f t="shared" si="24"/>
        <v>0</v>
      </c>
      <c r="AY51" s="272">
        <f>IFERROR(INDEX('Horo. M'!$O$3:O$367,MATCH(A51,'Horo. M'!$A$3:$A$367,0)),"")</f>
        <v>24</v>
      </c>
      <c r="AZ51" s="422">
        <v>0</v>
      </c>
      <c r="BA51" s="422">
        <v>0</v>
      </c>
      <c r="BB51" s="272">
        <f t="shared" si="25"/>
        <v>24</v>
      </c>
      <c r="BC51" s="274">
        <f t="shared" si="26"/>
        <v>1</v>
      </c>
      <c r="BD51" s="275">
        <f t="shared" si="27"/>
        <v>1</v>
      </c>
      <c r="BE51" s="422">
        <v>180.47</v>
      </c>
      <c r="BF51" s="272">
        <f t="shared" si="28"/>
        <v>2</v>
      </c>
      <c r="BG51" s="272">
        <f>IFERROR(INDEX('Horo. M'!$Q$3:Q$367,MATCH(A51,'Horo. M'!$A$3:$A$367,0)),"")</f>
        <v>22</v>
      </c>
      <c r="BH51" s="422">
        <v>0</v>
      </c>
      <c r="BI51" s="422">
        <v>0</v>
      </c>
      <c r="BJ51" s="272">
        <f t="shared" si="29"/>
        <v>24</v>
      </c>
      <c r="BK51" s="274">
        <f t="shared" si="30"/>
        <v>0.91666666666666663</v>
      </c>
      <c r="BL51" s="275">
        <f t="shared" si="31"/>
        <v>1</v>
      </c>
      <c r="BM51" s="422">
        <v>161.75</v>
      </c>
      <c r="BN51" s="272">
        <f t="shared" si="32"/>
        <v>0</v>
      </c>
      <c r="BO51" s="272">
        <f>IFERROR(INDEX('Horo. M'!$S$3:S$367,MATCH(A51,'Horo. M'!$A$3:$A$367,0)),"")</f>
        <v>24</v>
      </c>
      <c r="BP51" s="422">
        <v>0</v>
      </c>
      <c r="BQ51" s="422">
        <v>0</v>
      </c>
      <c r="BR51" s="272">
        <f t="shared" si="33"/>
        <v>24</v>
      </c>
      <c r="BS51" s="274">
        <f t="shared" si="34"/>
        <v>1</v>
      </c>
      <c r="BT51" s="275">
        <f t="shared" si="35"/>
        <v>1</v>
      </c>
      <c r="BU51" s="422">
        <v>183.83</v>
      </c>
      <c r="BV51" s="272">
        <f t="shared" si="36"/>
        <v>0</v>
      </c>
      <c r="BW51" s="272">
        <f>IFERROR(INDEX('Horo. M'!$U$3:U$367,MATCH(A51,'Horo. M'!$A$3:$A$367,0)),"")</f>
        <v>24</v>
      </c>
      <c r="BX51" s="422">
        <v>0</v>
      </c>
      <c r="BY51" s="422">
        <v>0</v>
      </c>
      <c r="BZ51" s="272">
        <f t="shared" si="37"/>
        <v>24</v>
      </c>
      <c r="CA51" s="274">
        <f t="shared" si="38"/>
        <v>1</v>
      </c>
      <c r="CB51" s="275">
        <f t="shared" si="39"/>
        <v>1</v>
      </c>
      <c r="CC51" s="422">
        <v>179.73</v>
      </c>
    </row>
    <row r="52" spans="1:81">
      <c r="A52" s="279">
        <v>44977</v>
      </c>
      <c r="B52" s="278">
        <f t="shared" si="0"/>
        <v>0</v>
      </c>
      <c r="C52" s="272">
        <f>IFERROR(INDEX('Horo. M'!$C$3:$C$367,MATCH(A52,'Horo. M'!$A$3:$A$367,0)),"")</f>
        <v>24</v>
      </c>
      <c r="D52" s="422">
        <v>0</v>
      </c>
      <c r="E52" s="422">
        <v>0</v>
      </c>
      <c r="F52" s="272">
        <f t="shared" si="1"/>
        <v>24</v>
      </c>
      <c r="G52" s="274">
        <f t="shared" si="2"/>
        <v>1</v>
      </c>
      <c r="H52" s="275">
        <f t="shared" si="3"/>
        <v>1</v>
      </c>
      <c r="I52" s="422">
        <v>175.3</v>
      </c>
      <c r="J52" s="278">
        <f t="shared" si="4"/>
        <v>0</v>
      </c>
      <c r="K52" s="272">
        <f>IFERROR(INDEX('Horo. M'!$E$3:$E$367,MATCH(A52,'Horo. M'!$A$3:$A$367,0)),"")</f>
        <v>24</v>
      </c>
      <c r="L52" s="422">
        <v>0</v>
      </c>
      <c r="M52" s="422">
        <v>0</v>
      </c>
      <c r="N52" s="272">
        <f t="shared" si="5"/>
        <v>24</v>
      </c>
      <c r="O52" s="274">
        <f t="shared" si="6"/>
        <v>1</v>
      </c>
      <c r="P52" s="275">
        <f t="shared" si="7"/>
        <v>1</v>
      </c>
      <c r="Q52" s="422">
        <v>174.2</v>
      </c>
      <c r="R52" s="278">
        <f t="shared" si="8"/>
        <v>0</v>
      </c>
      <c r="S52" s="272">
        <f>IFERROR(INDEX('Horo. M'!G$3:$G$367,MATCH(A52,'Horo. M'!$A$3:$A$367,0)),"")</f>
        <v>24</v>
      </c>
      <c r="T52" s="422">
        <v>0</v>
      </c>
      <c r="U52" s="422">
        <v>0</v>
      </c>
      <c r="V52" s="272">
        <f t="shared" si="9"/>
        <v>24</v>
      </c>
      <c r="W52" s="274">
        <f t="shared" si="10"/>
        <v>1</v>
      </c>
      <c r="X52" s="275">
        <f t="shared" si="11"/>
        <v>1</v>
      </c>
      <c r="Y52" s="422">
        <v>166.59</v>
      </c>
      <c r="Z52" s="278">
        <f t="shared" si="12"/>
        <v>0</v>
      </c>
      <c r="AA52" s="272">
        <f>IFERROR(INDEX('Horo. M'!$I$3:I$367,MATCH(A52,'Horo. M'!$A$3:$A$367,0)),"")</f>
        <v>24</v>
      </c>
      <c r="AB52" s="422">
        <v>0</v>
      </c>
      <c r="AC52" s="422">
        <v>0</v>
      </c>
      <c r="AD52" s="272">
        <f t="shared" si="13"/>
        <v>24</v>
      </c>
      <c r="AE52" s="274">
        <f t="shared" si="14"/>
        <v>1</v>
      </c>
      <c r="AF52" s="275">
        <f t="shared" si="15"/>
        <v>1</v>
      </c>
      <c r="AG52" s="422">
        <v>179.01</v>
      </c>
      <c r="AH52" s="272">
        <f t="shared" si="16"/>
        <v>0</v>
      </c>
      <c r="AI52" s="272">
        <f>IFERROR(INDEX('Horo. M'!$K$3:K$367,MATCH(A52,'Horo. M'!$A$3:$A$367,0)),"")</f>
        <v>0</v>
      </c>
      <c r="AJ52" s="422">
        <v>4</v>
      </c>
      <c r="AK52" s="422">
        <v>20</v>
      </c>
      <c r="AL52" s="272">
        <f t="shared" si="17"/>
        <v>0</v>
      </c>
      <c r="AM52" s="274">
        <f t="shared" si="18"/>
        <v>0</v>
      </c>
      <c r="AN52" s="275">
        <f t="shared" si="19"/>
        <v>0</v>
      </c>
      <c r="AO52" s="422">
        <v>0</v>
      </c>
      <c r="AP52" s="272">
        <f t="shared" si="20"/>
        <v>0</v>
      </c>
      <c r="AQ52" s="272">
        <f>IFERROR(INDEX('Horo. M'!$M$3:M$367,MATCH(A52,'Horo. M'!$A$3:$A$367,0)),"")</f>
        <v>24</v>
      </c>
      <c r="AR52" s="422">
        <v>0</v>
      </c>
      <c r="AS52" s="422">
        <v>0</v>
      </c>
      <c r="AT52" s="272">
        <f t="shared" si="21"/>
        <v>24</v>
      </c>
      <c r="AU52" s="274">
        <f t="shared" si="22"/>
        <v>1</v>
      </c>
      <c r="AV52" s="275">
        <f t="shared" si="23"/>
        <v>1</v>
      </c>
      <c r="AW52" s="422">
        <v>171.96</v>
      </c>
      <c r="AX52" s="272">
        <f t="shared" si="24"/>
        <v>0</v>
      </c>
      <c r="AY52" s="272">
        <f>IFERROR(INDEX('Horo. M'!$O$3:O$367,MATCH(A52,'Horo. M'!$A$3:$A$367,0)),"")</f>
        <v>24</v>
      </c>
      <c r="AZ52" s="422">
        <v>0</v>
      </c>
      <c r="BA52" s="422">
        <v>0</v>
      </c>
      <c r="BB52" s="272">
        <f t="shared" si="25"/>
        <v>24</v>
      </c>
      <c r="BC52" s="274">
        <f t="shared" si="26"/>
        <v>1</v>
      </c>
      <c r="BD52" s="275">
        <f t="shared" si="27"/>
        <v>1</v>
      </c>
      <c r="BE52" s="422">
        <v>170.46</v>
      </c>
      <c r="BF52" s="272">
        <f t="shared" si="28"/>
        <v>3</v>
      </c>
      <c r="BG52" s="272">
        <f>IFERROR(INDEX('Horo. M'!$Q$3:Q$367,MATCH(A52,'Horo. M'!$A$3:$A$367,0)),"")</f>
        <v>19</v>
      </c>
      <c r="BH52" s="422">
        <v>2</v>
      </c>
      <c r="BI52" s="422">
        <v>0</v>
      </c>
      <c r="BJ52" s="272">
        <f t="shared" si="29"/>
        <v>22</v>
      </c>
      <c r="BK52" s="274">
        <f t="shared" si="30"/>
        <v>0.79166666666666663</v>
      </c>
      <c r="BL52" s="275">
        <f t="shared" si="31"/>
        <v>0.91666666666666663</v>
      </c>
      <c r="BM52" s="422">
        <v>137.49</v>
      </c>
      <c r="BN52" s="272">
        <f t="shared" si="32"/>
        <v>0</v>
      </c>
      <c r="BO52" s="272">
        <f>IFERROR(INDEX('Horo. M'!$S$3:S$367,MATCH(A52,'Horo. M'!$A$3:$A$367,0)),"")</f>
        <v>0</v>
      </c>
      <c r="BP52" s="422">
        <v>6</v>
      </c>
      <c r="BQ52" s="422">
        <v>18</v>
      </c>
      <c r="BR52" s="272">
        <f t="shared" si="33"/>
        <v>0</v>
      </c>
      <c r="BS52" s="274">
        <f t="shared" si="34"/>
        <v>0</v>
      </c>
      <c r="BT52" s="275">
        <f t="shared" si="35"/>
        <v>0</v>
      </c>
      <c r="BU52" s="422">
        <v>0.02</v>
      </c>
      <c r="BV52" s="272">
        <f t="shared" si="36"/>
        <v>0</v>
      </c>
      <c r="BW52" s="272">
        <f>IFERROR(INDEX('Horo. M'!$U$3:U$367,MATCH(A52,'Horo. M'!$A$3:$A$367,0)),"")</f>
        <v>24</v>
      </c>
      <c r="BX52" s="422">
        <v>0</v>
      </c>
      <c r="BY52" s="422">
        <v>0</v>
      </c>
      <c r="BZ52" s="272">
        <f t="shared" si="37"/>
        <v>24</v>
      </c>
      <c r="CA52" s="274">
        <f t="shared" si="38"/>
        <v>1</v>
      </c>
      <c r="CB52" s="275">
        <f t="shared" si="39"/>
        <v>1</v>
      </c>
      <c r="CC52" s="422">
        <v>178.12</v>
      </c>
    </row>
    <row r="53" spans="1:81">
      <c r="A53" s="279">
        <v>44978</v>
      </c>
      <c r="B53" s="278">
        <f t="shared" si="0"/>
        <v>0</v>
      </c>
      <c r="C53" s="272">
        <f>IFERROR(INDEX('Horo. M'!$C$3:$C$367,MATCH(A53,'Horo. M'!$A$3:$A$367,0)),"")</f>
        <v>24</v>
      </c>
      <c r="D53" s="422">
        <v>0</v>
      </c>
      <c r="E53" s="422">
        <v>0</v>
      </c>
      <c r="F53" s="272">
        <f t="shared" si="1"/>
        <v>24</v>
      </c>
      <c r="G53" s="274">
        <f t="shared" si="2"/>
        <v>1</v>
      </c>
      <c r="H53" s="275">
        <f t="shared" si="3"/>
        <v>1</v>
      </c>
      <c r="I53" s="422">
        <v>72.099999999999994</v>
      </c>
      <c r="J53" s="278">
        <f t="shared" si="4"/>
        <v>0</v>
      </c>
      <c r="K53" s="272">
        <f>IFERROR(INDEX('Horo. M'!$E$3:$E$367,MATCH(A53,'Horo. M'!$A$3:$A$367,0)),"")</f>
        <v>24</v>
      </c>
      <c r="L53" s="422">
        <v>0</v>
      </c>
      <c r="M53" s="422">
        <v>0</v>
      </c>
      <c r="N53" s="272">
        <f t="shared" si="5"/>
        <v>24</v>
      </c>
      <c r="O53" s="274">
        <f t="shared" si="6"/>
        <v>1</v>
      </c>
      <c r="P53" s="275">
        <f t="shared" si="7"/>
        <v>1</v>
      </c>
      <c r="Q53" s="422">
        <v>169.8</v>
      </c>
      <c r="R53" s="278">
        <f t="shared" si="8"/>
        <v>0</v>
      </c>
      <c r="S53" s="272">
        <f>IFERROR(INDEX('Horo. M'!G$3:$G$367,MATCH(A53,'Horo. M'!$A$3:$A$367,0)),"")</f>
        <v>24</v>
      </c>
      <c r="T53" s="422">
        <v>0</v>
      </c>
      <c r="U53" s="422">
        <v>0</v>
      </c>
      <c r="V53" s="272">
        <f t="shared" si="9"/>
        <v>24</v>
      </c>
      <c r="W53" s="274">
        <f t="shared" si="10"/>
        <v>1</v>
      </c>
      <c r="X53" s="275">
        <f t="shared" si="11"/>
        <v>1</v>
      </c>
      <c r="Y53" s="422">
        <v>171.09</v>
      </c>
      <c r="Z53" s="278">
        <f t="shared" si="12"/>
        <v>0</v>
      </c>
      <c r="AA53" s="272">
        <f>IFERROR(INDEX('Horo. M'!$I$3:I$367,MATCH(A53,'Horo. M'!$A$3:$A$367,0)),"")</f>
        <v>24</v>
      </c>
      <c r="AB53" s="422">
        <v>0</v>
      </c>
      <c r="AC53" s="422">
        <v>0</v>
      </c>
      <c r="AD53" s="272">
        <f t="shared" si="13"/>
        <v>24</v>
      </c>
      <c r="AE53" s="274">
        <f t="shared" si="14"/>
        <v>1</v>
      </c>
      <c r="AF53" s="275">
        <f t="shared" si="15"/>
        <v>1</v>
      </c>
      <c r="AG53" s="422">
        <v>175.98</v>
      </c>
      <c r="AH53" s="272">
        <f t="shared" si="16"/>
        <v>0</v>
      </c>
      <c r="AI53" s="272">
        <f>IFERROR(INDEX('Horo. M'!$K$3:K$367,MATCH(A53,'Horo. M'!$A$3:$A$367,0)),"")</f>
        <v>0</v>
      </c>
      <c r="AJ53" s="422">
        <v>0</v>
      </c>
      <c r="AK53" s="422">
        <v>24</v>
      </c>
      <c r="AL53" s="272">
        <f t="shared" si="17"/>
        <v>0</v>
      </c>
      <c r="AM53" s="274">
        <f t="shared" si="18"/>
        <v>0</v>
      </c>
      <c r="AN53" s="275">
        <f t="shared" si="19"/>
        <v>0</v>
      </c>
      <c r="AO53" s="422">
        <v>0</v>
      </c>
      <c r="AP53" s="272">
        <f t="shared" si="20"/>
        <v>0</v>
      </c>
      <c r="AQ53" s="272">
        <f>IFERROR(INDEX('Horo. M'!$M$3:M$367,MATCH(A53,'Horo. M'!$A$3:$A$367,0)),"")</f>
        <v>24</v>
      </c>
      <c r="AR53" s="422">
        <v>0</v>
      </c>
      <c r="AS53" s="422">
        <v>0</v>
      </c>
      <c r="AT53" s="272">
        <f t="shared" si="21"/>
        <v>24</v>
      </c>
      <c r="AU53" s="274">
        <f t="shared" si="22"/>
        <v>1</v>
      </c>
      <c r="AV53" s="275">
        <f t="shared" si="23"/>
        <v>1</v>
      </c>
      <c r="AW53" s="422">
        <v>175.79</v>
      </c>
      <c r="AX53" s="272">
        <f t="shared" si="24"/>
        <v>5</v>
      </c>
      <c r="AY53" s="272">
        <f>IFERROR(INDEX('Horo. M'!$O$3:O$367,MATCH(A53,'Horo. M'!$A$3:$A$367,0)),"")</f>
        <v>12</v>
      </c>
      <c r="AZ53" s="422">
        <v>3</v>
      </c>
      <c r="BA53" s="422">
        <v>4</v>
      </c>
      <c r="BB53" s="272">
        <f t="shared" si="25"/>
        <v>17</v>
      </c>
      <c r="BC53" s="274">
        <f t="shared" si="26"/>
        <v>0.5</v>
      </c>
      <c r="BD53" s="275">
        <f t="shared" si="27"/>
        <v>0.70833333333333337</v>
      </c>
      <c r="BE53" s="422">
        <v>77.72</v>
      </c>
      <c r="BF53" s="272">
        <f t="shared" si="28"/>
        <v>2</v>
      </c>
      <c r="BG53" s="272">
        <f>IFERROR(INDEX('Horo. M'!$Q$3:Q$367,MATCH(A53,'Horo. M'!$A$3:$A$367,0)),"")</f>
        <v>20</v>
      </c>
      <c r="BH53" s="422">
        <v>2</v>
      </c>
      <c r="BI53" s="422">
        <v>0</v>
      </c>
      <c r="BJ53" s="272">
        <f t="shared" si="29"/>
        <v>22</v>
      </c>
      <c r="BK53" s="274">
        <f t="shared" si="30"/>
        <v>0.83333333333333337</v>
      </c>
      <c r="BL53" s="275">
        <f t="shared" si="31"/>
        <v>0.91666666666666663</v>
      </c>
      <c r="BM53" s="422">
        <v>142.19999999999999</v>
      </c>
      <c r="BN53" s="272">
        <f t="shared" si="32"/>
        <v>3</v>
      </c>
      <c r="BO53" s="272">
        <f>IFERROR(INDEX('Horo. M'!$S$3:S$367,MATCH(A53,'Horo. M'!$A$3:$A$367,0)),"")</f>
        <v>12</v>
      </c>
      <c r="BP53" s="422">
        <v>3</v>
      </c>
      <c r="BQ53" s="422">
        <v>6</v>
      </c>
      <c r="BR53" s="272">
        <f t="shared" si="33"/>
        <v>15</v>
      </c>
      <c r="BS53" s="274">
        <f t="shared" si="34"/>
        <v>0.5</v>
      </c>
      <c r="BT53" s="275">
        <f t="shared" si="35"/>
        <v>0.625</v>
      </c>
      <c r="BU53" s="422">
        <v>85.58</v>
      </c>
      <c r="BV53" s="272">
        <f t="shared" si="36"/>
        <v>0</v>
      </c>
      <c r="BW53" s="272">
        <f>IFERROR(INDEX('Horo. M'!$U$3:U$367,MATCH(A53,'Horo. M'!$A$3:$A$367,0)),"")</f>
        <v>24</v>
      </c>
      <c r="BX53" s="422">
        <v>0</v>
      </c>
      <c r="BY53" s="422">
        <v>0</v>
      </c>
      <c r="BZ53" s="272">
        <f t="shared" si="37"/>
        <v>24</v>
      </c>
      <c r="CA53" s="274">
        <f t="shared" si="38"/>
        <v>1</v>
      </c>
      <c r="CB53" s="275">
        <f t="shared" si="39"/>
        <v>1</v>
      </c>
      <c r="CC53" s="422">
        <v>176.01</v>
      </c>
    </row>
    <row r="54" spans="1:81">
      <c r="A54" s="279">
        <v>44979</v>
      </c>
      <c r="B54" s="278">
        <f t="shared" si="0"/>
        <v>0</v>
      </c>
      <c r="C54" s="272">
        <f>IFERROR(INDEX('Horo. M'!$C$3:$C$367,MATCH(A54,'Horo. M'!$A$3:$A$367,0)),"")</f>
        <v>24</v>
      </c>
      <c r="D54" s="422">
        <v>0</v>
      </c>
      <c r="E54" s="422">
        <v>0</v>
      </c>
      <c r="F54" s="272">
        <f t="shared" si="1"/>
        <v>24</v>
      </c>
      <c r="G54" s="274">
        <f t="shared" si="2"/>
        <v>1</v>
      </c>
      <c r="H54" s="275">
        <f t="shared" si="3"/>
        <v>1</v>
      </c>
      <c r="I54" s="422">
        <v>173.8</v>
      </c>
      <c r="J54" s="278">
        <f t="shared" si="4"/>
        <v>0</v>
      </c>
      <c r="K54" s="272">
        <f>IFERROR(INDEX('Horo. M'!$E$3:$E$367,MATCH(A54,'Horo. M'!$A$3:$A$367,0)),"")</f>
        <v>24</v>
      </c>
      <c r="L54" s="422">
        <v>0</v>
      </c>
      <c r="M54" s="422">
        <v>0</v>
      </c>
      <c r="N54" s="272">
        <f t="shared" si="5"/>
        <v>24</v>
      </c>
      <c r="O54" s="274">
        <f t="shared" si="6"/>
        <v>1</v>
      </c>
      <c r="P54" s="275">
        <f t="shared" si="7"/>
        <v>1</v>
      </c>
      <c r="Q54" s="422">
        <v>173.1</v>
      </c>
      <c r="R54" s="278">
        <f t="shared" si="8"/>
        <v>1</v>
      </c>
      <c r="S54" s="272">
        <f>IFERROR(INDEX('Horo. M'!G$3:$G$367,MATCH(A54,'Horo. M'!$A$3:$A$367,0)),"")</f>
        <v>23</v>
      </c>
      <c r="T54" s="422">
        <v>0</v>
      </c>
      <c r="U54" s="422">
        <v>0</v>
      </c>
      <c r="V54" s="272">
        <f t="shared" si="9"/>
        <v>24</v>
      </c>
      <c r="W54" s="274">
        <f t="shared" si="10"/>
        <v>0.95833333333333337</v>
      </c>
      <c r="X54" s="275">
        <f t="shared" si="11"/>
        <v>1</v>
      </c>
      <c r="Y54" s="422">
        <v>155.68</v>
      </c>
      <c r="Z54" s="278">
        <f t="shared" si="12"/>
        <v>0</v>
      </c>
      <c r="AA54" s="272">
        <f>IFERROR(INDEX('Horo. M'!$I$3:I$367,MATCH(A54,'Horo. M'!$A$3:$A$367,0)),"")</f>
        <v>24</v>
      </c>
      <c r="AB54" s="422">
        <v>0</v>
      </c>
      <c r="AC54" s="422">
        <v>0</v>
      </c>
      <c r="AD54" s="272">
        <f t="shared" si="13"/>
        <v>24</v>
      </c>
      <c r="AE54" s="274">
        <f t="shared" si="14"/>
        <v>1</v>
      </c>
      <c r="AF54" s="275">
        <f t="shared" si="15"/>
        <v>1</v>
      </c>
      <c r="AG54" s="422">
        <v>176.25</v>
      </c>
      <c r="AH54" s="272">
        <f t="shared" si="16"/>
        <v>0</v>
      </c>
      <c r="AI54" s="272">
        <f>IFERROR(INDEX('Horo. M'!$K$3:K$367,MATCH(A54,'Horo. M'!$A$3:$A$367,0)),"")</f>
        <v>0</v>
      </c>
      <c r="AJ54" s="422">
        <v>0</v>
      </c>
      <c r="AK54" s="422">
        <v>24</v>
      </c>
      <c r="AL54" s="272">
        <f t="shared" si="17"/>
        <v>0</v>
      </c>
      <c r="AM54" s="274">
        <f t="shared" si="18"/>
        <v>0</v>
      </c>
      <c r="AN54" s="275">
        <f t="shared" si="19"/>
        <v>0</v>
      </c>
      <c r="AO54" s="422">
        <v>0</v>
      </c>
      <c r="AP54" s="272">
        <f t="shared" si="20"/>
        <v>0</v>
      </c>
      <c r="AQ54" s="272">
        <f>IFERROR(INDEX('Horo. M'!$M$3:M$367,MATCH(A54,'Horo. M'!$A$3:$A$367,0)),"")</f>
        <v>24</v>
      </c>
      <c r="AR54" s="422">
        <v>0</v>
      </c>
      <c r="AS54" s="422">
        <v>0</v>
      </c>
      <c r="AT54" s="272">
        <f t="shared" si="21"/>
        <v>24</v>
      </c>
      <c r="AU54" s="274">
        <f t="shared" si="22"/>
        <v>1</v>
      </c>
      <c r="AV54" s="275">
        <f t="shared" si="23"/>
        <v>1</v>
      </c>
      <c r="AW54" s="422">
        <v>177.03</v>
      </c>
      <c r="AX54" s="272">
        <f t="shared" si="24"/>
        <v>2</v>
      </c>
      <c r="AY54" s="272">
        <f>IFERROR(INDEX('Horo. M'!$O$3:O$367,MATCH(A54,'Horo. M'!$A$3:$A$367,0)),"")</f>
        <v>12</v>
      </c>
      <c r="AZ54" s="422">
        <v>4</v>
      </c>
      <c r="BA54" s="422">
        <v>6</v>
      </c>
      <c r="BB54" s="272">
        <f t="shared" si="25"/>
        <v>14</v>
      </c>
      <c r="BC54" s="274">
        <f t="shared" si="26"/>
        <v>0.5</v>
      </c>
      <c r="BD54" s="275">
        <f t="shared" si="27"/>
        <v>0.58333333333333337</v>
      </c>
      <c r="BE54" s="422">
        <v>84.57</v>
      </c>
      <c r="BF54" s="272">
        <f t="shared" si="28"/>
        <v>0</v>
      </c>
      <c r="BG54" s="272">
        <f>IFERROR(INDEX('Horo. M'!$Q$3:Q$367,MATCH(A54,'Horo. M'!$A$3:$A$367,0)),"")</f>
        <v>22</v>
      </c>
      <c r="BH54" s="422">
        <v>0</v>
      </c>
      <c r="BI54" s="422">
        <v>2</v>
      </c>
      <c r="BJ54" s="272">
        <f t="shared" si="29"/>
        <v>22</v>
      </c>
      <c r="BK54" s="274">
        <f t="shared" si="30"/>
        <v>0.91666666666666663</v>
      </c>
      <c r="BL54" s="275">
        <f t="shared" si="31"/>
        <v>0.91666666666666663</v>
      </c>
      <c r="BM54" s="422">
        <v>157.56</v>
      </c>
      <c r="BN54" s="272">
        <f t="shared" si="32"/>
        <v>0</v>
      </c>
      <c r="BO54" s="272">
        <f>IFERROR(INDEX('Horo. M'!$S$3:S$367,MATCH(A54,'Horo. M'!$A$3:$A$367,0)),"")</f>
        <v>24</v>
      </c>
      <c r="BP54" s="422">
        <v>0</v>
      </c>
      <c r="BQ54" s="422">
        <v>0</v>
      </c>
      <c r="BR54" s="272">
        <f t="shared" si="33"/>
        <v>24</v>
      </c>
      <c r="BS54" s="274">
        <f t="shared" si="34"/>
        <v>1</v>
      </c>
      <c r="BT54" s="275">
        <f t="shared" si="35"/>
        <v>1</v>
      </c>
      <c r="BU54" s="422">
        <v>177.34</v>
      </c>
      <c r="BV54" s="272">
        <f t="shared" si="36"/>
        <v>0</v>
      </c>
      <c r="BW54" s="272">
        <f>IFERROR(INDEX('Horo. M'!$U$3:U$367,MATCH(A54,'Horo. M'!$A$3:$A$367,0)),"")</f>
        <v>24</v>
      </c>
      <c r="BX54" s="422">
        <v>0</v>
      </c>
      <c r="BY54" s="422">
        <v>0</v>
      </c>
      <c r="BZ54" s="272">
        <f t="shared" si="37"/>
        <v>24</v>
      </c>
      <c r="CA54" s="274">
        <f t="shared" si="38"/>
        <v>1</v>
      </c>
      <c r="CB54" s="275">
        <f t="shared" si="39"/>
        <v>1</v>
      </c>
      <c r="CC54" s="422">
        <v>179.49</v>
      </c>
    </row>
    <row r="55" spans="1:81">
      <c r="A55" s="279">
        <v>44980</v>
      </c>
      <c r="B55" s="278">
        <f t="shared" si="0"/>
        <v>0</v>
      </c>
      <c r="C55" s="272">
        <f>IFERROR(INDEX('Horo. M'!$C$3:$C$367,MATCH(A55,'Horo. M'!$A$3:$A$367,0)),"")</f>
        <v>24</v>
      </c>
      <c r="D55" s="422">
        <v>0</v>
      </c>
      <c r="E55" s="422">
        <v>0</v>
      </c>
      <c r="F55" s="272">
        <f t="shared" si="1"/>
        <v>24</v>
      </c>
      <c r="G55" s="274">
        <f t="shared" si="2"/>
        <v>1</v>
      </c>
      <c r="H55" s="275">
        <f t="shared" si="3"/>
        <v>1</v>
      </c>
      <c r="I55" s="422">
        <v>181.5</v>
      </c>
      <c r="J55" s="278">
        <f t="shared" si="4"/>
        <v>0</v>
      </c>
      <c r="K55" s="272">
        <f>IFERROR(INDEX('Horo. M'!$E$3:$E$367,MATCH(A55,'Horo. M'!$A$3:$A$367,0)),"")</f>
        <v>24</v>
      </c>
      <c r="L55" s="422">
        <v>0</v>
      </c>
      <c r="M55" s="422">
        <v>0</v>
      </c>
      <c r="N55" s="272">
        <f t="shared" si="5"/>
        <v>24</v>
      </c>
      <c r="O55" s="274">
        <f t="shared" si="6"/>
        <v>1</v>
      </c>
      <c r="P55" s="275">
        <f t="shared" si="7"/>
        <v>1</v>
      </c>
      <c r="Q55" s="422">
        <v>178.7</v>
      </c>
      <c r="R55" s="278">
        <f t="shared" si="8"/>
        <v>0</v>
      </c>
      <c r="S55" s="272">
        <f>IFERROR(INDEX('Horo. M'!G$3:$G$367,MATCH(A55,'Horo. M'!$A$3:$A$367,0)),"")</f>
        <v>20</v>
      </c>
      <c r="T55" s="422">
        <v>4</v>
      </c>
      <c r="U55" s="422">
        <v>0</v>
      </c>
      <c r="V55" s="272">
        <f t="shared" si="9"/>
        <v>20</v>
      </c>
      <c r="W55" s="274">
        <f t="shared" si="10"/>
        <v>0.83333333333333337</v>
      </c>
      <c r="X55" s="275">
        <f t="shared" si="11"/>
        <v>0.83333333333333337</v>
      </c>
      <c r="Y55" s="422">
        <v>141.47</v>
      </c>
      <c r="Z55" s="278">
        <f t="shared" si="12"/>
        <v>0</v>
      </c>
      <c r="AA55" s="272">
        <f>IFERROR(INDEX('Horo. M'!$I$3:I$367,MATCH(A55,'Horo. M'!$A$3:$A$367,0)),"")</f>
        <v>24</v>
      </c>
      <c r="AB55" s="422">
        <v>0</v>
      </c>
      <c r="AC55" s="422">
        <v>0</v>
      </c>
      <c r="AD55" s="272">
        <f t="shared" si="13"/>
        <v>24</v>
      </c>
      <c r="AE55" s="274">
        <f t="shared" si="14"/>
        <v>1</v>
      </c>
      <c r="AF55" s="275">
        <f t="shared" si="15"/>
        <v>1</v>
      </c>
      <c r="AG55" s="422">
        <v>180.96</v>
      </c>
      <c r="AH55" s="272">
        <f t="shared" si="16"/>
        <v>0</v>
      </c>
      <c r="AI55" s="272">
        <f>IFERROR(INDEX('Horo. M'!$K$3:K$367,MATCH(A55,'Horo. M'!$A$3:$A$367,0)),"")</f>
        <v>0</v>
      </c>
      <c r="AJ55" s="422">
        <v>12</v>
      </c>
      <c r="AK55" s="422">
        <v>12</v>
      </c>
      <c r="AL55" s="272">
        <f t="shared" si="17"/>
        <v>0</v>
      </c>
      <c r="AM55" s="274">
        <f t="shared" si="18"/>
        <v>0</v>
      </c>
      <c r="AN55" s="275">
        <f t="shared" si="19"/>
        <v>0</v>
      </c>
      <c r="AO55" s="422">
        <v>0</v>
      </c>
      <c r="AP55" s="272">
        <f t="shared" si="20"/>
        <v>0</v>
      </c>
      <c r="AQ55" s="272">
        <f>IFERROR(INDEX('Horo. M'!$M$3:M$367,MATCH(A55,'Horo. M'!$A$3:$A$367,0)),"")</f>
        <v>24</v>
      </c>
      <c r="AR55" s="422">
        <v>0</v>
      </c>
      <c r="AS55" s="422">
        <v>0</v>
      </c>
      <c r="AT55" s="272">
        <f t="shared" si="21"/>
        <v>24</v>
      </c>
      <c r="AU55" s="274">
        <f t="shared" si="22"/>
        <v>1</v>
      </c>
      <c r="AV55" s="275">
        <f t="shared" si="23"/>
        <v>1</v>
      </c>
      <c r="AW55" s="422">
        <v>181.19</v>
      </c>
      <c r="AX55" s="272">
        <f t="shared" si="24"/>
        <v>0</v>
      </c>
      <c r="AY55" s="272">
        <f>IFERROR(INDEX('Horo. M'!$O$3:O$367,MATCH(A55,'Horo. M'!$A$3:$A$367,0)),"")</f>
        <v>24</v>
      </c>
      <c r="AZ55" s="422">
        <v>0</v>
      </c>
      <c r="BA55" s="422">
        <v>0</v>
      </c>
      <c r="BB55" s="272">
        <f t="shared" si="25"/>
        <v>24</v>
      </c>
      <c r="BC55" s="274">
        <f t="shared" si="26"/>
        <v>1</v>
      </c>
      <c r="BD55" s="275">
        <f t="shared" si="27"/>
        <v>1</v>
      </c>
      <c r="BE55" s="422">
        <v>181.87</v>
      </c>
      <c r="BF55" s="272">
        <f t="shared" si="28"/>
        <v>4</v>
      </c>
      <c r="BG55" s="272">
        <f>IFERROR(INDEX('Horo. M'!$Q$3:Q$367,MATCH(A55,'Horo. M'!$A$3:$A$367,0)),"")</f>
        <v>20</v>
      </c>
      <c r="BH55" s="422">
        <v>0</v>
      </c>
      <c r="BI55" s="422">
        <v>0</v>
      </c>
      <c r="BJ55" s="272">
        <f t="shared" si="29"/>
        <v>24</v>
      </c>
      <c r="BK55" s="274">
        <f t="shared" si="30"/>
        <v>0.83333333333333337</v>
      </c>
      <c r="BL55" s="275">
        <f t="shared" si="31"/>
        <v>1</v>
      </c>
      <c r="BM55" s="422">
        <v>147.99</v>
      </c>
      <c r="BN55" s="272">
        <f t="shared" si="32"/>
        <v>0</v>
      </c>
      <c r="BO55" s="272">
        <f>IFERROR(INDEX('Horo. M'!$S$3:S$367,MATCH(A55,'Horo. M'!$A$3:$A$367,0)),"")</f>
        <v>24</v>
      </c>
      <c r="BP55" s="422">
        <v>0</v>
      </c>
      <c r="BQ55" s="422">
        <v>0</v>
      </c>
      <c r="BR55" s="272">
        <f t="shared" si="33"/>
        <v>24</v>
      </c>
      <c r="BS55" s="274">
        <f t="shared" si="34"/>
        <v>1</v>
      </c>
      <c r="BT55" s="275">
        <f t="shared" si="35"/>
        <v>1</v>
      </c>
      <c r="BU55" s="422">
        <v>183.39</v>
      </c>
      <c r="BV55" s="272">
        <f t="shared" si="36"/>
        <v>0</v>
      </c>
      <c r="BW55" s="272">
        <f>IFERROR(INDEX('Horo. M'!$U$3:U$367,MATCH(A55,'Horo. M'!$A$3:$A$367,0)),"")</f>
        <v>24</v>
      </c>
      <c r="BX55" s="422">
        <v>0</v>
      </c>
      <c r="BY55" s="422">
        <v>0</v>
      </c>
      <c r="BZ55" s="272">
        <f t="shared" si="37"/>
        <v>24</v>
      </c>
      <c r="CA55" s="274">
        <f t="shared" si="38"/>
        <v>1</v>
      </c>
      <c r="CB55" s="275">
        <f t="shared" si="39"/>
        <v>1</v>
      </c>
      <c r="CC55" s="422">
        <v>187.82</v>
      </c>
    </row>
    <row r="56" spans="1:81">
      <c r="A56" s="279">
        <v>44981</v>
      </c>
      <c r="B56" s="278">
        <f t="shared" si="0"/>
        <v>0</v>
      </c>
      <c r="C56" s="272">
        <f>IFERROR(INDEX('Horo. M'!$C$3:$C$367,MATCH(A56,'Horo. M'!$A$3:$A$367,0)),"")</f>
        <v>24</v>
      </c>
      <c r="D56" s="422">
        <v>0</v>
      </c>
      <c r="E56" s="422">
        <v>0</v>
      </c>
      <c r="F56" s="272">
        <f t="shared" si="1"/>
        <v>24</v>
      </c>
      <c r="G56" s="274">
        <f t="shared" si="2"/>
        <v>1</v>
      </c>
      <c r="H56" s="275">
        <f t="shared" si="3"/>
        <v>1</v>
      </c>
      <c r="I56" s="422">
        <v>187.7</v>
      </c>
      <c r="J56" s="278">
        <f t="shared" si="4"/>
        <v>0</v>
      </c>
      <c r="K56" s="272">
        <f>IFERROR(INDEX('Horo. M'!$E$3:$E$367,MATCH(A56,'Horo. M'!$A$3:$A$367,0)),"")</f>
        <v>24</v>
      </c>
      <c r="L56" s="422">
        <v>0</v>
      </c>
      <c r="M56" s="422">
        <v>0</v>
      </c>
      <c r="N56" s="272">
        <f t="shared" si="5"/>
        <v>24</v>
      </c>
      <c r="O56" s="274">
        <f t="shared" si="6"/>
        <v>1</v>
      </c>
      <c r="P56" s="275">
        <f t="shared" si="7"/>
        <v>1</v>
      </c>
      <c r="Q56" s="422">
        <v>189.4</v>
      </c>
      <c r="R56" s="278">
        <f t="shared" si="8"/>
        <v>4</v>
      </c>
      <c r="S56" s="272">
        <f>IFERROR(INDEX('Horo. M'!G$3:$G$367,MATCH(A56,'Horo. M'!$A$3:$A$367,0)),"")</f>
        <v>20</v>
      </c>
      <c r="T56" s="422">
        <v>0</v>
      </c>
      <c r="U56" s="422">
        <v>0</v>
      </c>
      <c r="V56" s="272">
        <f t="shared" si="9"/>
        <v>24</v>
      </c>
      <c r="W56" s="274">
        <f t="shared" si="10"/>
        <v>0.83333333333333337</v>
      </c>
      <c r="X56" s="275">
        <f t="shared" si="11"/>
        <v>1</v>
      </c>
      <c r="Y56" s="422">
        <v>141.58000000000001</v>
      </c>
      <c r="Z56" s="278">
        <f t="shared" si="12"/>
        <v>0</v>
      </c>
      <c r="AA56" s="272">
        <f>IFERROR(INDEX('Horo. M'!$I$3:I$367,MATCH(A56,'Horo. M'!$A$3:$A$367,0)),"")</f>
        <v>22</v>
      </c>
      <c r="AB56" s="422">
        <v>2</v>
      </c>
      <c r="AC56" s="422">
        <v>0</v>
      </c>
      <c r="AD56" s="272">
        <f t="shared" si="13"/>
        <v>22</v>
      </c>
      <c r="AE56" s="274">
        <f t="shared" si="14"/>
        <v>0.91666666666666663</v>
      </c>
      <c r="AF56" s="275">
        <f t="shared" si="15"/>
        <v>0.91666666666666663</v>
      </c>
      <c r="AG56" s="422">
        <v>169.25</v>
      </c>
      <c r="AH56" s="272">
        <f t="shared" si="16"/>
        <v>0</v>
      </c>
      <c r="AI56" s="272">
        <f>IFERROR(INDEX('Horo. M'!$K$3:K$367,MATCH(A56,'Horo. M'!$A$3:$A$367,0)),"")</f>
        <v>0</v>
      </c>
      <c r="AJ56" s="422">
        <v>4</v>
      </c>
      <c r="AK56" s="422">
        <v>20</v>
      </c>
      <c r="AL56" s="272">
        <f t="shared" si="17"/>
        <v>0</v>
      </c>
      <c r="AM56" s="274">
        <f t="shared" si="18"/>
        <v>0</v>
      </c>
      <c r="AN56" s="275">
        <f t="shared" si="19"/>
        <v>0</v>
      </c>
      <c r="AO56" s="422">
        <v>0</v>
      </c>
      <c r="AP56" s="272">
        <f t="shared" si="20"/>
        <v>1</v>
      </c>
      <c r="AQ56" s="272">
        <f>IFERROR(INDEX('Horo. M'!$M$3:M$367,MATCH(A56,'Horo. M'!$A$3:$A$367,0)),"")</f>
        <v>23</v>
      </c>
      <c r="AR56" s="422">
        <v>0</v>
      </c>
      <c r="AS56" s="422">
        <v>0</v>
      </c>
      <c r="AT56" s="272">
        <f t="shared" si="21"/>
        <v>24</v>
      </c>
      <c r="AU56" s="274">
        <f t="shared" si="22"/>
        <v>0.95833333333333337</v>
      </c>
      <c r="AV56" s="275">
        <f t="shared" si="23"/>
        <v>1</v>
      </c>
      <c r="AW56" s="422">
        <v>185.32</v>
      </c>
      <c r="AX56" s="272">
        <f t="shared" si="24"/>
        <v>0</v>
      </c>
      <c r="AY56" s="272">
        <f>IFERROR(INDEX('Horo. M'!$O$3:O$367,MATCH(A56,'Horo. M'!$A$3:$A$367,0)),"")</f>
        <v>24</v>
      </c>
      <c r="AZ56" s="422">
        <v>0</v>
      </c>
      <c r="BA56" s="422">
        <v>0</v>
      </c>
      <c r="BB56" s="272">
        <f t="shared" si="25"/>
        <v>24</v>
      </c>
      <c r="BC56" s="274">
        <f t="shared" si="26"/>
        <v>1</v>
      </c>
      <c r="BD56" s="275">
        <f t="shared" si="27"/>
        <v>1</v>
      </c>
      <c r="BE56" s="422">
        <v>187.69</v>
      </c>
      <c r="BF56" s="272">
        <f t="shared" si="28"/>
        <v>1</v>
      </c>
      <c r="BG56" s="272">
        <f>IFERROR(INDEX('Horo. M'!$Q$3:Q$367,MATCH(A56,'Horo. M'!$A$3:$A$367,0)),"")</f>
        <v>17</v>
      </c>
      <c r="BH56" s="422">
        <v>6</v>
      </c>
      <c r="BI56" s="422">
        <v>0</v>
      </c>
      <c r="BJ56" s="272">
        <f t="shared" si="29"/>
        <v>18</v>
      </c>
      <c r="BK56" s="274">
        <f t="shared" si="30"/>
        <v>0.70833333333333337</v>
      </c>
      <c r="BL56" s="275">
        <f t="shared" si="31"/>
        <v>0.75</v>
      </c>
      <c r="BM56" s="422">
        <v>123.3</v>
      </c>
      <c r="BN56" s="272">
        <f t="shared" si="32"/>
        <v>1</v>
      </c>
      <c r="BO56" s="272">
        <f>IFERROR(INDEX('Horo. M'!$S$3:S$367,MATCH(A56,'Horo. M'!$A$3:$A$367,0)),"")</f>
        <v>23</v>
      </c>
      <c r="BP56" s="422">
        <v>0</v>
      </c>
      <c r="BQ56" s="422">
        <v>0</v>
      </c>
      <c r="BR56" s="272">
        <f t="shared" si="33"/>
        <v>24</v>
      </c>
      <c r="BS56" s="274">
        <f t="shared" si="34"/>
        <v>0.95833333333333337</v>
      </c>
      <c r="BT56" s="275">
        <f t="shared" si="35"/>
        <v>1</v>
      </c>
      <c r="BU56" s="422">
        <v>187.01</v>
      </c>
      <c r="BV56" s="272">
        <f t="shared" si="36"/>
        <v>0</v>
      </c>
      <c r="BW56" s="272">
        <f>IFERROR(INDEX('Horo. M'!$U$3:U$367,MATCH(A56,'Horo. M'!$A$3:$A$367,0)),"")</f>
        <v>24</v>
      </c>
      <c r="BX56" s="422">
        <v>0</v>
      </c>
      <c r="BY56" s="422">
        <v>0</v>
      </c>
      <c r="BZ56" s="272">
        <f t="shared" si="37"/>
        <v>24</v>
      </c>
      <c r="CA56" s="274">
        <f t="shared" si="38"/>
        <v>1</v>
      </c>
      <c r="CB56" s="275">
        <f t="shared" si="39"/>
        <v>1</v>
      </c>
      <c r="CC56" s="422">
        <v>191.48</v>
      </c>
    </row>
    <row r="57" spans="1:81">
      <c r="A57" s="279">
        <v>44982</v>
      </c>
      <c r="B57" s="278">
        <f t="shared" si="0"/>
        <v>0</v>
      </c>
      <c r="C57" s="272">
        <f>IFERROR(INDEX('Horo. M'!$C$3:$C$367,MATCH(A57,'Horo. M'!$A$3:$A$367,0)),"")</f>
        <v>24</v>
      </c>
      <c r="D57" s="422">
        <v>0</v>
      </c>
      <c r="E57" s="422">
        <v>0</v>
      </c>
      <c r="F57" s="272">
        <f t="shared" si="1"/>
        <v>24</v>
      </c>
      <c r="G57" s="274">
        <f t="shared" si="2"/>
        <v>1</v>
      </c>
      <c r="H57" s="275">
        <f t="shared" si="3"/>
        <v>1</v>
      </c>
      <c r="I57" s="422">
        <v>177.8</v>
      </c>
      <c r="J57" s="278">
        <f t="shared" si="4"/>
        <v>0</v>
      </c>
      <c r="K57" s="272">
        <f>IFERROR(INDEX('Horo. M'!$E$3:$E$367,MATCH(A57,'Horo. M'!$A$3:$A$367,0)),"")</f>
        <v>24</v>
      </c>
      <c r="L57" s="422">
        <v>0</v>
      </c>
      <c r="M57" s="422">
        <v>0</v>
      </c>
      <c r="N57" s="272">
        <f t="shared" si="5"/>
        <v>24</v>
      </c>
      <c r="O57" s="274">
        <f t="shared" si="6"/>
        <v>1</v>
      </c>
      <c r="P57" s="275">
        <f t="shared" si="7"/>
        <v>1</v>
      </c>
      <c r="Q57" s="422">
        <v>175.5</v>
      </c>
      <c r="R57" s="278">
        <f t="shared" si="8"/>
        <v>0</v>
      </c>
      <c r="S57" s="272">
        <f>IFERROR(INDEX('Horo. M'!G$3:$G$367,MATCH(A57,'Horo. M'!$A$3:$A$367,0)),"")</f>
        <v>24</v>
      </c>
      <c r="T57" s="422">
        <v>0</v>
      </c>
      <c r="U57" s="422">
        <v>0</v>
      </c>
      <c r="V57" s="272">
        <f t="shared" si="9"/>
        <v>24</v>
      </c>
      <c r="W57" s="274">
        <f t="shared" si="10"/>
        <v>1</v>
      </c>
      <c r="X57" s="275">
        <f t="shared" si="11"/>
        <v>1</v>
      </c>
      <c r="Y57" s="422">
        <v>167.15</v>
      </c>
      <c r="Z57" s="278">
        <f t="shared" si="12"/>
        <v>0</v>
      </c>
      <c r="AA57" s="272">
        <f>IFERROR(INDEX('Horo. M'!$I$3:I$367,MATCH(A57,'Horo. M'!$A$3:$A$367,0)),"")</f>
        <v>21</v>
      </c>
      <c r="AB57" s="422">
        <v>3</v>
      </c>
      <c r="AC57" s="422">
        <v>0</v>
      </c>
      <c r="AD57" s="272">
        <f t="shared" si="13"/>
        <v>21</v>
      </c>
      <c r="AE57" s="274">
        <f t="shared" si="14"/>
        <v>0.875</v>
      </c>
      <c r="AF57" s="275">
        <f t="shared" si="15"/>
        <v>0.875</v>
      </c>
      <c r="AG57" s="422">
        <v>142.57</v>
      </c>
      <c r="AH57" s="272">
        <f t="shared" si="16"/>
        <v>0</v>
      </c>
      <c r="AI57" s="272">
        <f>IFERROR(INDEX('Horo. M'!$K$3:K$367,MATCH(A57,'Horo. M'!$A$3:$A$367,0)),"")</f>
        <v>0</v>
      </c>
      <c r="AJ57" s="422">
        <v>6</v>
      </c>
      <c r="AK57" s="422">
        <v>18</v>
      </c>
      <c r="AL57" s="272">
        <f t="shared" si="17"/>
        <v>0</v>
      </c>
      <c r="AM57" s="274">
        <f t="shared" si="18"/>
        <v>0</v>
      </c>
      <c r="AN57" s="275">
        <f t="shared" si="19"/>
        <v>0</v>
      </c>
      <c r="AO57" s="422">
        <v>0</v>
      </c>
      <c r="AP57" s="272">
        <f t="shared" si="20"/>
        <v>10</v>
      </c>
      <c r="AQ57" s="272">
        <f>IFERROR(INDEX('Horo. M'!$M$3:M$367,MATCH(A57,'Horo. M'!$A$3:$A$367,0)),"")</f>
        <v>0</v>
      </c>
      <c r="AR57" s="422">
        <v>4</v>
      </c>
      <c r="AS57" s="422">
        <v>10</v>
      </c>
      <c r="AT57" s="272">
        <f t="shared" si="21"/>
        <v>10</v>
      </c>
      <c r="AU57" s="274">
        <f t="shared" si="22"/>
        <v>0</v>
      </c>
      <c r="AV57" s="275">
        <f t="shared" si="23"/>
        <v>0.41666666666666669</v>
      </c>
      <c r="AW57" s="422">
        <v>0.01</v>
      </c>
      <c r="AX57" s="272">
        <f t="shared" si="24"/>
        <v>0</v>
      </c>
      <c r="AY57" s="272">
        <f>IFERROR(INDEX('Horo. M'!$O$3:O$367,MATCH(A57,'Horo. M'!$A$3:$A$367,0)),"")</f>
        <v>24</v>
      </c>
      <c r="AZ57" s="422">
        <v>0</v>
      </c>
      <c r="BA57" s="422">
        <v>0</v>
      </c>
      <c r="BB57" s="272">
        <f t="shared" si="25"/>
        <v>24</v>
      </c>
      <c r="BC57" s="274">
        <f t="shared" si="26"/>
        <v>1</v>
      </c>
      <c r="BD57" s="275">
        <f t="shared" si="27"/>
        <v>1</v>
      </c>
      <c r="BE57" s="422">
        <v>177.74</v>
      </c>
      <c r="BF57" s="272">
        <f t="shared" si="28"/>
        <v>2</v>
      </c>
      <c r="BG57" s="272">
        <f>IFERROR(INDEX('Horo. M'!$Q$3:Q$367,MATCH(A57,'Horo. M'!$A$3:$A$367,0)),"")</f>
        <v>22</v>
      </c>
      <c r="BH57" s="422">
        <v>0</v>
      </c>
      <c r="BI57" s="422">
        <v>0</v>
      </c>
      <c r="BJ57" s="272">
        <f t="shared" si="29"/>
        <v>24</v>
      </c>
      <c r="BK57" s="274">
        <f t="shared" si="30"/>
        <v>0.91666666666666663</v>
      </c>
      <c r="BL57" s="275">
        <f t="shared" si="31"/>
        <v>1</v>
      </c>
      <c r="BM57" s="422">
        <v>156.80000000000001</v>
      </c>
      <c r="BN57" s="272">
        <f t="shared" si="32"/>
        <v>0</v>
      </c>
      <c r="BO57" s="272">
        <f>IFERROR(INDEX('Horo. M'!$S$3:S$367,MATCH(A57,'Horo. M'!$A$3:$A$367,0)),"")</f>
        <v>24</v>
      </c>
      <c r="BP57" s="422">
        <v>0</v>
      </c>
      <c r="BQ57" s="422">
        <v>0</v>
      </c>
      <c r="BR57" s="272">
        <f t="shared" si="33"/>
        <v>24</v>
      </c>
      <c r="BS57" s="274">
        <f t="shared" si="34"/>
        <v>1</v>
      </c>
      <c r="BT57" s="275">
        <f t="shared" si="35"/>
        <v>1</v>
      </c>
      <c r="BU57" s="422">
        <v>178.21</v>
      </c>
      <c r="BV57" s="272">
        <f t="shared" si="36"/>
        <v>0</v>
      </c>
      <c r="BW57" s="272">
        <f>IFERROR(INDEX('Horo. M'!$U$3:U$367,MATCH(A57,'Horo. M'!$A$3:$A$367,0)),"")</f>
        <v>24</v>
      </c>
      <c r="BX57" s="422">
        <v>0</v>
      </c>
      <c r="BY57" s="422">
        <v>0</v>
      </c>
      <c r="BZ57" s="272">
        <f t="shared" si="37"/>
        <v>24</v>
      </c>
      <c r="CA57" s="274">
        <f t="shared" si="38"/>
        <v>1</v>
      </c>
      <c r="CB57" s="275">
        <f t="shared" si="39"/>
        <v>1</v>
      </c>
      <c r="CC57" s="422">
        <v>172.79</v>
      </c>
    </row>
    <row r="58" spans="1:81">
      <c r="A58" s="279">
        <v>44983</v>
      </c>
      <c r="B58" s="278">
        <f t="shared" si="0"/>
        <v>1</v>
      </c>
      <c r="C58" s="272">
        <f>IFERROR(INDEX('Horo. M'!$C$3:$C$367,MATCH(A58,'Horo. M'!$A$3:$A$367,0)),"")</f>
        <v>23</v>
      </c>
      <c r="D58" s="422">
        <v>0</v>
      </c>
      <c r="E58" s="422">
        <v>0</v>
      </c>
      <c r="F58" s="272">
        <f t="shared" si="1"/>
        <v>24</v>
      </c>
      <c r="G58" s="274">
        <f t="shared" si="2"/>
        <v>0.95833333333333337</v>
      </c>
      <c r="H58" s="275">
        <f t="shared" si="3"/>
        <v>1</v>
      </c>
      <c r="I58" s="422">
        <v>164.7</v>
      </c>
      <c r="J58" s="278">
        <f t="shared" si="4"/>
        <v>6</v>
      </c>
      <c r="K58" s="272">
        <f>IFERROR(INDEX('Horo. M'!$E$3:$E$367,MATCH(A58,'Horo. M'!$A$3:$A$367,0)),"")</f>
        <v>18</v>
      </c>
      <c r="L58" s="422">
        <v>0</v>
      </c>
      <c r="M58" s="422">
        <v>0</v>
      </c>
      <c r="N58" s="272">
        <f>24-L58-M58</f>
        <v>24</v>
      </c>
      <c r="O58" s="274">
        <f t="shared" si="6"/>
        <v>0.75</v>
      </c>
      <c r="P58" s="275">
        <f t="shared" si="7"/>
        <v>1</v>
      </c>
      <c r="Q58" s="422">
        <v>126.2</v>
      </c>
      <c r="R58" s="278">
        <f t="shared" si="8"/>
        <v>2</v>
      </c>
      <c r="S58" s="272">
        <f>IFERROR(INDEX('Horo. M'!G$3:$G$367,MATCH(A58,'Horo. M'!$A$3:$A$367,0)),"")</f>
        <v>22</v>
      </c>
      <c r="T58" s="422">
        <v>0</v>
      </c>
      <c r="U58" s="422">
        <v>0</v>
      </c>
      <c r="V58" s="272">
        <f t="shared" si="9"/>
        <v>24</v>
      </c>
      <c r="W58" s="274">
        <f t="shared" si="10"/>
        <v>0.91666666666666663</v>
      </c>
      <c r="X58" s="275">
        <f t="shared" si="11"/>
        <v>1</v>
      </c>
      <c r="Y58" s="422">
        <v>134</v>
      </c>
      <c r="Z58" s="278">
        <f t="shared" si="12"/>
        <v>2</v>
      </c>
      <c r="AA58" s="272">
        <f>IFERROR(INDEX('Horo. M'!$I$3:I$367,MATCH(A58,'Horo. M'!$A$3:$A$367,0)),"")</f>
        <v>22</v>
      </c>
      <c r="AB58" s="422">
        <v>0</v>
      </c>
      <c r="AC58" s="422">
        <v>0</v>
      </c>
      <c r="AD58" s="272">
        <f t="shared" si="13"/>
        <v>24</v>
      </c>
      <c r="AE58" s="274">
        <f t="shared" si="14"/>
        <v>0.91666666666666663</v>
      </c>
      <c r="AF58" s="275">
        <f t="shared" si="15"/>
        <v>1</v>
      </c>
      <c r="AG58" s="422">
        <v>148.35</v>
      </c>
      <c r="AH58" s="272">
        <f t="shared" si="16"/>
        <v>0</v>
      </c>
      <c r="AI58" s="272">
        <f>IFERROR(INDEX('Horo. M'!$K$3:K$367,MATCH(A58,'Horo. M'!$A$3:$A$367,0)),"")</f>
        <v>0</v>
      </c>
      <c r="AJ58" s="422">
        <v>4</v>
      </c>
      <c r="AK58" s="422">
        <v>20</v>
      </c>
      <c r="AL58" s="272">
        <f t="shared" si="17"/>
        <v>0</v>
      </c>
      <c r="AM58" s="274">
        <f t="shared" si="18"/>
        <v>0</v>
      </c>
      <c r="AN58" s="275">
        <f t="shared" si="19"/>
        <v>0</v>
      </c>
      <c r="AO58" s="422">
        <v>0</v>
      </c>
      <c r="AP58" s="272">
        <f t="shared" si="20"/>
        <v>24</v>
      </c>
      <c r="AQ58" s="272">
        <f>IFERROR(INDEX('Horo. M'!$M$3:M$367,MATCH(A58,'Horo. M'!$A$3:$A$367,0)),"")</f>
        <v>0</v>
      </c>
      <c r="AR58" s="422">
        <v>0</v>
      </c>
      <c r="AS58" s="422">
        <v>0</v>
      </c>
      <c r="AT58" s="272">
        <f t="shared" si="21"/>
        <v>24</v>
      </c>
      <c r="AU58" s="274">
        <f t="shared" si="22"/>
        <v>0</v>
      </c>
      <c r="AV58" s="275">
        <f t="shared" si="23"/>
        <v>1</v>
      </c>
      <c r="AW58" s="422">
        <v>0</v>
      </c>
      <c r="AX58" s="272">
        <f t="shared" si="24"/>
        <v>5</v>
      </c>
      <c r="AY58" s="272">
        <f>IFERROR(INDEX('Horo. M'!$O$3:O$367,MATCH(A58,'Horo. M'!$A$3:$A$367,0)),"")</f>
        <v>19</v>
      </c>
      <c r="AZ58" s="422">
        <v>0</v>
      </c>
      <c r="BA58" s="422">
        <v>0</v>
      </c>
      <c r="BB58" s="272">
        <f t="shared" si="25"/>
        <v>24</v>
      </c>
      <c r="BC58" s="274">
        <f t="shared" si="26"/>
        <v>0.79166666666666663</v>
      </c>
      <c r="BD58" s="275">
        <f t="shared" si="27"/>
        <v>1</v>
      </c>
      <c r="BE58" s="422">
        <v>135.13999999999999</v>
      </c>
      <c r="BF58" s="272">
        <f t="shared" si="28"/>
        <v>2</v>
      </c>
      <c r="BG58" s="272">
        <f>IFERROR(INDEX('Horo. M'!$Q$3:Q$367,MATCH(A58,'Horo. M'!$A$3:$A$367,0)),"")</f>
        <v>22</v>
      </c>
      <c r="BH58" s="422">
        <v>0</v>
      </c>
      <c r="BI58" s="422">
        <v>0</v>
      </c>
      <c r="BJ58" s="272">
        <f t="shared" si="29"/>
        <v>24</v>
      </c>
      <c r="BK58" s="274">
        <f t="shared" si="30"/>
        <v>0.91666666666666663</v>
      </c>
      <c r="BL58" s="275">
        <f t="shared" si="31"/>
        <v>1</v>
      </c>
      <c r="BM58" s="422">
        <v>147.74</v>
      </c>
      <c r="BN58" s="272">
        <f t="shared" si="32"/>
        <v>0</v>
      </c>
      <c r="BO58" s="272">
        <f>IFERROR(INDEX('Horo. M'!$S$3:S$367,MATCH(A58,'Horo. M'!$A$3:$A$367,0)),"")</f>
        <v>24</v>
      </c>
      <c r="BP58" s="422">
        <v>0</v>
      </c>
      <c r="BQ58" s="422">
        <v>0</v>
      </c>
      <c r="BR58" s="272">
        <f t="shared" si="33"/>
        <v>24</v>
      </c>
      <c r="BS58" s="274">
        <f t="shared" si="34"/>
        <v>1</v>
      </c>
      <c r="BT58" s="275">
        <f t="shared" si="35"/>
        <v>1</v>
      </c>
      <c r="BU58" s="422">
        <v>156.76</v>
      </c>
      <c r="BV58" s="272">
        <f t="shared" si="36"/>
        <v>1</v>
      </c>
      <c r="BW58" s="272">
        <f>IFERROR(INDEX('Horo. M'!$U$3:U$367,MATCH(A58,'Horo. M'!$A$3:$A$367,0)),"")</f>
        <v>19</v>
      </c>
      <c r="BX58" s="422">
        <v>4</v>
      </c>
      <c r="BY58" s="422">
        <v>0</v>
      </c>
      <c r="BZ58" s="272">
        <f t="shared" si="37"/>
        <v>20</v>
      </c>
      <c r="CA58" s="274">
        <f t="shared" si="38"/>
        <v>0.79166666666666663</v>
      </c>
      <c r="CB58" s="275">
        <f t="shared" si="39"/>
        <v>0.83333333333333337</v>
      </c>
      <c r="CC58" s="422">
        <v>139.25</v>
      </c>
    </row>
    <row r="59" spans="1:81">
      <c r="A59" s="279">
        <v>44984</v>
      </c>
      <c r="B59" s="278">
        <f t="shared" si="0"/>
        <v>1</v>
      </c>
      <c r="C59" s="272">
        <f>IFERROR(INDEX('Horo. M'!$C$3:$C$367,MATCH(A59,'Horo. M'!$A$3:$A$367,0)),"")</f>
        <v>19</v>
      </c>
      <c r="D59" s="422">
        <v>4</v>
      </c>
      <c r="E59" s="422">
        <v>0</v>
      </c>
      <c r="F59" s="272">
        <f t="shared" si="1"/>
        <v>20</v>
      </c>
      <c r="G59" s="274">
        <f t="shared" si="2"/>
        <v>0.79166666666666663</v>
      </c>
      <c r="H59" s="275">
        <f t="shared" si="3"/>
        <v>0.83333333333333337</v>
      </c>
      <c r="I59" s="422">
        <v>139.1</v>
      </c>
      <c r="J59" s="278">
        <f t="shared" si="4"/>
        <v>0</v>
      </c>
      <c r="K59" s="272">
        <f>IFERROR(INDEX('Horo. M'!$E$3:$E$367,MATCH(A59,'Horo. M'!$A$3:$A$367,0)),"")</f>
        <v>24</v>
      </c>
      <c r="L59" s="422">
        <v>0</v>
      </c>
      <c r="M59" s="422">
        <v>0</v>
      </c>
      <c r="N59" s="272">
        <f t="shared" si="5"/>
        <v>24</v>
      </c>
      <c r="O59" s="274">
        <f t="shared" si="6"/>
        <v>1</v>
      </c>
      <c r="P59" s="275">
        <f t="shared" si="7"/>
        <v>1</v>
      </c>
      <c r="Q59" s="422">
        <v>180.4</v>
      </c>
      <c r="R59" s="278">
        <f t="shared" si="8"/>
        <v>0</v>
      </c>
      <c r="S59" s="272">
        <f>IFERROR(INDEX('Horo. M'!G$3:$G$367,MATCH(A59,'Horo. M'!$A$3:$A$367,0)),"")</f>
        <v>24</v>
      </c>
      <c r="T59" s="422">
        <v>0</v>
      </c>
      <c r="U59" s="422">
        <v>0</v>
      </c>
      <c r="V59" s="272">
        <f t="shared" si="9"/>
        <v>24</v>
      </c>
      <c r="W59" s="274">
        <f t="shared" si="10"/>
        <v>1</v>
      </c>
      <c r="X59" s="275">
        <f t="shared" si="11"/>
        <v>1</v>
      </c>
      <c r="Y59" s="422">
        <v>132.18</v>
      </c>
      <c r="Z59" s="278">
        <f t="shared" si="12"/>
        <v>0</v>
      </c>
      <c r="AA59" s="272">
        <f>IFERROR(INDEX('Horo. M'!$I$3:I$367,MATCH(A59,'Horo. M'!$A$3:$A$367,0)),"")</f>
        <v>24</v>
      </c>
      <c r="AB59" s="422">
        <v>0</v>
      </c>
      <c r="AC59" s="422">
        <v>0</v>
      </c>
      <c r="AD59" s="272">
        <f t="shared" si="13"/>
        <v>24</v>
      </c>
      <c r="AE59" s="274">
        <f t="shared" si="14"/>
        <v>1</v>
      </c>
      <c r="AF59" s="275">
        <f t="shared" si="15"/>
        <v>1</v>
      </c>
      <c r="AG59" s="422">
        <v>181.93</v>
      </c>
      <c r="AH59" s="272">
        <f t="shared" si="16"/>
        <v>0</v>
      </c>
      <c r="AI59" s="272">
        <f>IFERROR(INDEX('Horo. M'!$K$3:K$367,MATCH(A59,'Horo. M'!$A$3:$A$367,0)),"")</f>
        <v>0</v>
      </c>
      <c r="AJ59" s="422">
        <v>0</v>
      </c>
      <c r="AK59" s="422">
        <v>24</v>
      </c>
      <c r="AL59" s="272">
        <f t="shared" si="17"/>
        <v>0</v>
      </c>
      <c r="AM59" s="274">
        <f t="shared" si="18"/>
        <v>0</v>
      </c>
      <c r="AN59" s="275">
        <f t="shared" si="19"/>
        <v>0</v>
      </c>
      <c r="AO59" s="422">
        <v>0</v>
      </c>
      <c r="AP59" s="272">
        <f t="shared" si="20"/>
        <v>24</v>
      </c>
      <c r="AQ59" s="272">
        <f>IFERROR(INDEX('Horo. M'!$M$3:M$367,MATCH(A59,'Horo. M'!$A$3:$A$367,0)),"")</f>
        <v>0</v>
      </c>
      <c r="AR59" s="422">
        <v>0</v>
      </c>
      <c r="AS59" s="422">
        <v>0</v>
      </c>
      <c r="AT59" s="272">
        <f t="shared" si="21"/>
        <v>24</v>
      </c>
      <c r="AU59" s="274">
        <f t="shared" si="22"/>
        <v>0</v>
      </c>
      <c r="AV59" s="275">
        <f t="shared" si="23"/>
        <v>1</v>
      </c>
      <c r="AW59" s="422">
        <v>0</v>
      </c>
      <c r="AX59" s="272">
        <f t="shared" si="24"/>
        <v>1</v>
      </c>
      <c r="AY59" s="272">
        <f>IFERROR(INDEX('Horo. M'!$O$3:O$367,MATCH(A59,'Horo. M'!$A$3:$A$367,0)),"")</f>
        <v>23</v>
      </c>
      <c r="AZ59" s="422">
        <v>0</v>
      </c>
      <c r="BA59" s="422">
        <v>0</v>
      </c>
      <c r="BB59" s="272">
        <f t="shared" si="25"/>
        <v>24</v>
      </c>
      <c r="BC59" s="274">
        <f t="shared" si="26"/>
        <v>0.95833333333333337</v>
      </c>
      <c r="BD59" s="275">
        <f t="shared" si="27"/>
        <v>1</v>
      </c>
      <c r="BE59" s="422">
        <v>164.84</v>
      </c>
      <c r="BF59" s="272">
        <f t="shared" si="28"/>
        <v>0</v>
      </c>
      <c r="BG59" s="272">
        <f>IFERROR(INDEX('Horo. M'!$Q$3:Q$367,MATCH(A59,'Horo. M'!$A$3:$A$367,0)),"")</f>
        <v>24</v>
      </c>
      <c r="BH59" s="422">
        <v>0</v>
      </c>
      <c r="BI59" s="422">
        <v>0</v>
      </c>
      <c r="BJ59" s="272">
        <f t="shared" si="29"/>
        <v>24</v>
      </c>
      <c r="BK59" s="274">
        <f t="shared" si="30"/>
        <v>1</v>
      </c>
      <c r="BL59" s="275">
        <f t="shared" si="31"/>
        <v>1</v>
      </c>
      <c r="BM59" s="422">
        <v>183.53</v>
      </c>
      <c r="BN59" s="272">
        <f t="shared" si="32"/>
        <v>0</v>
      </c>
      <c r="BO59" s="272">
        <f>IFERROR(INDEX('Horo. M'!$S$3:S$367,MATCH(A59,'Horo. M'!$A$3:$A$367,0)),"")</f>
        <v>24</v>
      </c>
      <c r="BP59" s="422">
        <v>0</v>
      </c>
      <c r="BQ59" s="422">
        <v>0</v>
      </c>
      <c r="BR59" s="272">
        <f t="shared" si="33"/>
        <v>24</v>
      </c>
      <c r="BS59" s="274">
        <f t="shared" si="34"/>
        <v>1</v>
      </c>
      <c r="BT59" s="275">
        <f t="shared" si="35"/>
        <v>1</v>
      </c>
      <c r="BU59" s="422">
        <v>184.67</v>
      </c>
      <c r="BV59" s="272">
        <f t="shared" si="36"/>
        <v>0</v>
      </c>
      <c r="BW59" s="272">
        <f>IFERROR(INDEX('Horo. M'!$U$3:U$367,MATCH(A59,'Horo. M'!$A$3:$A$367,0)),"")</f>
        <v>24</v>
      </c>
      <c r="BX59" s="422">
        <v>0</v>
      </c>
      <c r="BY59" s="422">
        <v>0</v>
      </c>
      <c r="BZ59" s="272">
        <f t="shared" si="37"/>
        <v>24</v>
      </c>
      <c r="CA59" s="274">
        <f t="shared" si="38"/>
        <v>1</v>
      </c>
      <c r="CB59" s="275">
        <f t="shared" si="39"/>
        <v>1</v>
      </c>
      <c r="CC59" s="422">
        <v>177.03</v>
      </c>
    </row>
    <row r="60" spans="1:81">
      <c r="A60" s="279">
        <v>44985</v>
      </c>
      <c r="B60" s="278">
        <f t="shared" si="0"/>
        <v>0</v>
      </c>
      <c r="C60" s="272">
        <f>IFERROR(INDEX('Horo. M'!$C$3:$C$367,MATCH(A60,'Horo. M'!$A$3:$A$367,0)),"")</f>
        <v>24</v>
      </c>
      <c r="D60" s="422">
        <v>0</v>
      </c>
      <c r="E60" s="422">
        <v>0</v>
      </c>
      <c r="F60" s="272">
        <f t="shared" si="1"/>
        <v>24</v>
      </c>
      <c r="G60" s="274">
        <f t="shared" si="2"/>
        <v>1</v>
      </c>
      <c r="H60" s="275">
        <f t="shared" si="3"/>
        <v>1</v>
      </c>
      <c r="I60" s="422">
        <v>178.7</v>
      </c>
      <c r="J60" s="278">
        <f t="shared" si="4"/>
        <v>0</v>
      </c>
      <c r="K60" s="272">
        <f>IFERROR(INDEX('Horo. M'!$E$3:$E$367,MATCH(A60,'Horo. M'!$A$3:$A$367,0)),"")</f>
        <v>21</v>
      </c>
      <c r="L60" s="422">
        <v>3</v>
      </c>
      <c r="M60" s="422">
        <v>0</v>
      </c>
      <c r="N60" s="272">
        <f t="shared" si="5"/>
        <v>21</v>
      </c>
      <c r="O60" s="274">
        <f t="shared" si="6"/>
        <v>0.875</v>
      </c>
      <c r="P60" s="275">
        <f t="shared" si="7"/>
        <v>0.875</v>
      </c>
      <c r="Q60" s="422">
        <v>139.9</v>
      </c>
      <c r="R60" s="278">
        <f t="shared" si="8"/>
        <v>0</v>
      </c>
      <c r="S60" s="272">
        <f>IFERROR(INDEX('Horo. M'!G$3:$G$367,MATCH(A60,'Horo. M'!$A$3:$A$367,0)),"")</f>
        <v>24</v>
      </c>
      <c r="T60" s="422">
        <v>0</v>
      </c>
      <c r="U60" s="422">
        <v>0</v>
      </c>
      <c r="V60" s="272">
        <f t="shared" si="9"/>
        <v>24</v>
      </c>
      <c r="W60" s="274">
        <f t="shared" si="10"/>
        <v>1</v>
      </c>
      <c r="X60" s="275">
        <f t="shared" si="11"/>
        <v>1</v>
      </c>
      <c r="Y60" s="422">
        <v>164.95</v>
      </c>
      <c r="Z60" s="278">
        <f t="shared" si="12"/>
        <v>0</v>
      </c>
      <c r="AA60" s="272">
        <f>IFERROR(INDEX('Horo. M'!$I$3:I$367,MATCH(A60,'Horo. M'!$A$3:$A$367,0)),"")</f>
        <v>24</v>
      </c>
      <c r="AB60" s="422">
        <v>0</v>
      </c>
      <c r="AC60" s="422">
        <v>0</v>
      </c>
      <c r="AD60" s="272">
        <f t="shared" si="13"/>
        <v>24</v>
      </c>
      <c r="AE60" s="274">
        <f t="shared" si="14"/>
        <v>1</v>
      </c>
      <c r="AF60" s="275">
        <f t="shared" si="15"/>
        <v>1</v>
      </c>
      <c r="AG60" s="422">
        <v>169.65</v>
      </c>
      <c r="AH60" s="272">
        <f t="shared" si="16"/>
        <v>0</v>
      </c>
      <c r="AI60" s="272">
        <f>IFERROR(INDEX('Horo. M'!$K$3:K$367,MATCH(A60,'Horo. M'!$A$3:$A$367,0)),"")</f>
        <v>0</v>
      </c>
      <c r="AJ60" s="422">
        <v>0</v>
      </c>
      <c r="AK60" s="422">
        <v>24</v>
      </c>
      <c r="AL60" s="272">
        <f t="shared" si="17"/>
        <v>0</v>
      </c>
      <c r="AM60" s="274">
        <f t="shared" si="18"/>
        <v>0</v>
      </c>
      <c r="AN60" s="275">
        <f t="shared" si="19"/>
        <v>0</v>
      </c>
      <c r="AO60" s="422">
        <v>0</v>
      </c>
      <c r="AP60" s="272">
        <f t="shared" si="20"/>
        <v>-1</v>
      </c>
      <c r="AQ60" s="272">
        <f>IFERROR(INDEX('Horo. M'!$M$3:M$367,MATCH(A60,'Horo. M'!$A$3:$A$367,0)),"")</f>
        <v>25</v>
      </c>
      <c r="AR60" s="422">
        <v>0</v>
      </c>
      <c r="AS60" s="422">
        <v>0</v>
      </c>
      <c r="AT60" s="272">
        <f t="shared" si="21"/>
        <v>24</v>
      </c>
      <c r="AU60" s="274">
        <f t="shared" si="22"/>
        <v>1.0416666666666667</v>
      </c>
      <c r="AV60" s="275">
        <f t="shared" si="23"/>
        <v>1</v>
      </c>
      <c r="AW60" s="422">
        <v>175.71</v>
      </c>
      <c r="AX60" s="272">
        <f t="shared" si="24"/>
        <v>1</v>
      </c>
      <c r="AY60" s="272">
        <f>IFERROR(INDEX('Horo. M'!$O$3:O$367,MATCH(A60,'Horo. M'!$A$3:$A$367,0)),"")</f>
        <v>23</v>
      </c>
      <c r="AZ60" s="422">
        <v>0</v>
      </c>
      <c r="BA60" s="422">
        <v>0</v>
      </c>
      <c r="BB60" s="272">
        <f t="shared" si="25"/>
        <v>24</v>
      </c>
      <c r="BC60" s="274">
        <f t="shared" si="26"/>
        <v>0.95833333333333337</v>
      </c>
      <c r="BD60" s="275">
        <f t="shared" si="27"/>
        <v>1</v>
      </c>
      <c r="BE60" s="422">
        <v>168.86</v>
      </c>
      <c r="BF60" s="272">
        <f t="shared" si="28"/>
        <v>4</v>
      </c>
      <c r="BG60" s="272">
        <f>IFERROR(INDEX('Horo. M'!$Q$3:Q$367,MATCH(A60,'Horo. M'!$A$3:$A$367,0)),"")</f>
        <v>0</v>
      </c>
      <c r="BH60" s="422">
        <v>4</v>
      </c>
      <c r="BI60" s="422">
        <v>16</v>
      </c>
      <c r="BJ60" s="272">
        <f t="shared" si="29"/>
        <v>4</v>
      </c>
      <c r="BK60" s="274">
        <f t="shared" si="30"/>
        <v>0</v>
      </c>
      <c r="BL60" s="275">
        <f t="shared" si="31"/>
        <v>0.16666666666666666</v>
      </c>
      <c r="BM60" s="422">
        <v>7.0000000000000007E-2</v>
      </c>
      <c r="BN60" s="272">
        <f t="shared" si="32"/>
        <v>0</v>
      </c>
      <c r="BO60" s="272">
        <f>IFERROR(INDEX('Horo. M'!$S$3:S$367,MATCH(A60,'Horo. M'!$A$3:$A$367,0)),"")</f>
        <v>24</v>
      </c>
      <c r="BP60" s="422">
        <v>0</v>
      </c>
      <c r="BQ60" s="422">
        <v>0</v>
      </c>
      <c r="BR60" s="272">
        <f t="shared" si="33"/>
        <v>24</v>
      </c>
      <c r="BS60" s="274">
        <f t="shared" si="34"/>
        <v>1</v>
      </c>
      <c r="BT60" s="275">
        <f t="shared" si="35"/>
        <v>1</v>
      </c>
      <c r="BU60" s="422">
        <v>177.79</v>
      </c>
      <c r="BV60" s="272">
        <f t="shared" si="36"/>
        <v>0</v>
      </c>
      <c r="BW60" s="272">
        <f>IFERROR(INDEX('Horo. M'!$U$3:U$367,MATCH(A60,'Horo. M'!$A$3:$A$367,0)),"")</f>
        <v>24</v>
      </c>
      <c r="BX60" s="422">
        <v>0</v>
      </c>
      <c r="BY60" s="422">
        <v>0</v>
      </c>
      <c r="BZ60" s="272">
        <f t="shared" si="37"/>
        <v>24</v>
      </c>
      <c r="CA60" s="274">
        <f t="shared" si="38"/>
        <v>1</v>
      </c>
      <c r="CB60" s="275">
        <f t="shared" si="39"/>
        <v>1</v>
      </c>
      <c r="CC60" s="422">
        <v>170.54</v>
      </c>
    </row>
    <row r="61" spans="1:81">
      <c r="A61" s="279">
        <v>44986</v>
      </c>
      <c r="B61" s="278">
        <f t="shared" si="0"/>
        <v>0</v>
      </c>
      <c r="C61" s="272">
        <f>IFERROR(INDEX('Horo. M'!$C$3:$C$367,MATCH(A61,'Horo. M'!$A$3:$A$367,0)),"")</f>
        <v>24</v>
      </c>
      <c r="D61" s="422">
        <v>0</v>
      </c>
      <c r="E61" s="422">
        <v>0</v>
      </c>
      <c r="F61" s="272">
        <f t="shared" si="1"/>
        <v>24</v>
      </c>
      <c r="G61" s="274">
        <f t="shared" si="2"/>
        <v>1</v>
      </c>
      <c r="H61" s="275">
        <f t="shared" si="3"/>
        <v>1</v>
      </c>
      <c r="I61" s="422">
        <v>184.5</v>
      </c>
      <c r="J61" s="278">
        <f t="shared" si="4"/>
        <v>0</v>
      </c>
      <c r="K61" s="272">
        <f>IFERROR(INDEX('Horo. M'!$E$3:$E$367,MATCH(A61,'Horo. M'!$A$3:$A$367,0)),"")</f>
        <v>24</v>
      </c>
      <c r="L61" s="422">
        <v>0</v>
      </c>
      <c r="M61" s="422">
        <v>0</v>
      </c>
      <c r="N61" s="272">
        <f t="shared" si="5"/>
        <v>24</v>
      </c>
      <c r="O61" s="274">
        <f t="shared" si="6"/>
        <v>1</v>
      </c>
      <c r="P61" s="275">
        <f t="shared" si="7"/>
        <v>1</v>
      </c>
      <c r="Q61" s="422">
        <v>182.3</v>
      </c>
      <c r="R61" s="278">
        <f t="shared" si="8"/>
        <v>0</v>
      </c>
      <c r="S61" s="272">
        <f>IFERROR(INDEX('Horo. M'!G$3:$G$367,MATCH(A61,'Horo. M'!$A$3:$A$367,0)),"")</f>
        <v>24</v>
      </c>
      <c r="T61" s="422">
        <v>0</v>
      </c>
      <c r="U61" s="422">
        <v>0</v>
      </c>
      <c r="V61" s="272">
        <f t="shared" si="9"/>
        <v>24</v>
      </c>
      <c r="W61" s="274">
        <f t="shared" si="10"/>
        <v>1</v>
      </c>
      <c r="X61" s="275">
        <f t="shared" si="11"/>
        <v>1</v>
      </c>
      <c r="Y61" s="422">
        <v>182.94</v>
      </c>
      <c r="Z61" s="278">
        <f t="shared" si="12"/>
        <v>0</v>
      </c>
      <c r="AA61" s="272">
        <f>IFERROR(INDEX('Horo. M'!$I$3:I$367,MATCH(A61,'Horo. M'!$A$3:$A$367,0)),"")</f>
        <v>24</v>
      </c>
      <c r="AB61" s="422">
        <v>0</v>
      </c>
      <c r="AC61" s="422">
        <v>0</v>
      </c>
      <c r="AD61" s="272">
        <f t="shared" si="13"/>
        <v>24</v>
      </c>
      <c r="AE61" s="274">
        <f t="shared" si="14"/>
        <v>1</v>
      </c>
      <c r="AF61" s="275">
        <f t="shared" si="15"/>
        <v>1</v>
      </c>
      <c r="AG61" s="422">
        <v>185.96</v>
      </c>
      <c r="AH61" s="272">
        <f t="shared" si="16"/>
        <v>0</v>
      </c>
      <c r="AI61" s="272">
        <f>IFERROR(INDEX('Horo. M'!$K$3:K$367,MATCH(A61,'Horo. M'!$A$3:$A$367,0)),"")</f>
        <v>0</v>
      </c>
      <c r="AJ61" s="422">
        <v>2</v>
      </c>
      <c r="AK61" s="422">
        <v>22</v>
      </c>
      <c r="AL61" s="272">
        <f t="shared" si="17"/>
        <v>0</v>
      </c>
      <c r="AM61" s="274">
        <f t="shared" si="18"/>
        <v>0</v>
      </c>
      <c r="AN61" s="275">
        <f t="shared" si="19"/>
        <v>0</v>
      </c>
      <c r="AO61" s="422">
        <v>0</v>
      </c>
      <c r="AP61" s="272">
        <f t="shared" si="20"/>
        <v>0</v>
      </c>
      <c r="AQ61" s="272">
        <f>IFERROR(INDEX('Horo. M'!$M$3:M$367,MATCH(A61,'Horo. M'!$A$3:$A$367,0)),"")</f>
        <v>24</v>
      </c>
      <c r="AR61" s="422">
        <v>0</v>
      </c>
      <c r="AS61" s="422">
        <v>0</v>
      </c>
      <c r="AT61" s="272">
        <f t="shared" si="21"/>
        <v>24</v>
      </c>
      <c r="AU61" s="274">
        <f t="shared" si="22"/>
        <v>1</v>
      </c>
      <c r="AV61" s="275">
        <f t="shared" si="23"/>
        <v>1</v>
      </c>
      <c r="AW61" s="422">
        <v>184.64</v>
      </c>
      <c r="AX61" s="272">
        <f t="shared" si="24"/>
        <v>5</v>
      </c>
      <c r="AY61" s="272">
        <f>IFERROR(INDEX('Horo. M'!$O$3:O$367,MATCH(A61,'Horo. M'!$A$3:$A$367,0)),"")</f>
        <v>16</v>
      </c>
      <c r="AZ61" s="422">
        <v>3</v>
      </c>
      <c r="BA61" s="422">
        <v>0</v>
      </c>
      <c r="BB61" s="272">
        <f t="shared" si="25"/>
        <v>21</v>
      </c>
      <c r="BC61" s="274">
        <f t="shared" si="26"/>
        <v>0.66666666666666663</v>
      </c>
      <c r="BD61" s="275">
        <f t="shared" si="27"/>
        <v>0.875</v>
      </c>
      <c r="BE61" s="422">
        <v>114.7</v>
      </c>
      <c r="BF61" s="272">
        <f t="shared" si="28"/>
        <v>0</v>
      </c>
      <c r="BG61" s="272">
        <f>IFERROR(INDEX('Horo. M'!$Q$3:Q$367,MATCH(A61,'Horo. M'!$A$3:$A$367,0)),"")</f>
        <v>24</v>
      </c>
      <c r="BH61" s="422">
        <v>0</v>
      </c>
      <c r="BI61" s="422">
        <v>0</v>
      </c>
      <c r="BJ61" s="272">
        <f t="shared" si="29"/>
        <v>24</v>
      </c>
      <c r="BK61" s="274">
        <f t="shared" si="30"/>
        <v>1</v>
      </c>
      <c r="BL61" s="275">
        <f t="shared" si="31"/>
        <v>1</v>
      </c>
      <c r="BM61" s="422">
        <v>181.43</v>
      </c>
      <c r="BN61" s="272">
        <f t="shared" si="32"/>
        <v>4</v>
      </c>
      <c r="BO61" s="272">
        <f>IFERROR(INDEX('Horo. M'!$S$3:S$367,MATCH(A61,'Horo. M'!$A$3:$A$367,0)),"")</f>
        <v>0</v>
      </c>
      <c r="BP61" s="422">
        <v>4</v>
      </c>
      <c r="BQ61" s="422">
        <v>16</v>
      </c>
      <c r="BR61" s="272">
        <f t="shared" si="33"/>
        <v>4</v>
      </c>
      <c r="BS61" s="274">
        <f t="shared" si="34"/>
        <v>0</v>
      </c>
      <c r="BT61" s="275">
        <f t="shared" si="35"/>
        <v>0.16666666666666666</v>
      </c>
      <c r="BU61" s="422">
        <v>0.04</v>
      </c>
      <c r="BV61" s="272">
        <f t="shared" si="36"/>
        <v>0</v>
      </c>
      <c r="BW61" s="272">
        <f>IFERROR(INDEX('Horo. M'!$U$3:U$367,MATCH(A61,'Horo. M'!$A$3:$A$367,0)),"")</f>
        <v>24</v>
      </c>
      <c r="BX61" s="422">
        <v>0</v>
      </c>
      <c r="BY61" s="422">
        <v>0</v>
      </c>
      <c r="BZ61" s="272">
        <f t="shared" si="37"/>
        <v>24</v>
      </c>
      <c r="CA61" s="274">
        <f t="shared" si="38"/>
        <v>1</v>
      </c>
      <c r="CB61" s="275">
        <f t="shared" si="39"/>
        <v>1</v>
      </c>
      <c r="CC61" s="422">
        <v>181.41</v>
      </c>
    </row>
    <row r="62" spans="1:81">
      <c r="A62" s="279">
        <v>44987</v>
      </c>
      <c r="B62" s="278">
        <f t="shared" si="0"/>
        <v>0</v>
      </c>
      <c r="C62" s="272">
        <f>IFERROR(INDEX('Horo. M'!$C$3:$C$367,MATCH(A62,'Horo. M'!$A$3:$A$367,0)),"")</f>
        <v>24</v>
      </c>
      <c r="D62" s="422">
        <v>0</v>
      </c>
      <c r="E62" s="422">
        <v>0</v>
      </c>
      <c r="F62" s="272">
        <f t="shared" si="1"/>
        <v>24</v>
      </c>
      <c r="G62" s="274">
        <f t="shared" si="2"/>
        <v>1</v>
      </c>
      <c r="H62" s="275">
        <f t="shared" si="3"/>
        <v>1</v>
      </c>
      <c r="I62" s="422">
        <v>177.2</v>
      </c>
      <c r="J62" s="278">
        <f t="shared" si="4"/>
        <v>0</v>
      </c>
      <c r="K62" s="272">
        <f>IFERROR(INDEX('Horo. M'!$E$3:$E$367,MATCH(A62,'Horo. M'!$A$3:$A$367,0)),"")</f>
        <v>24</v>
      </c>
      <c r="L62" s="422">
        <v>0</v>
      </c>
      <c r="M62" s="422">
        <v>0</v>
      </c>
      <c r="N62" s="272">
        <f t="shared" si="5"/>
        <v>24</v>
      </c>
      <c r="O62" s="274">
        <f t="shared" si="6"/>
        <v>1</v>
      </c>
      <c r="P62" s="275">
        <f t="shared" si="7"/>
        <v>1</v>
      </c>
      <c r="Q62" s="422">
        <v>176.6</v>
      </c>
      <c r="R62" s="278">
        <f t="shared" si="8"/>
        <v>3</v>
      </c>
      <c r="S62" s="272">
        <f>IFERROR(INDEX('Horo. M'!G$3:$G$367,MATCH(A62,'Horo. M'!$A$3:$A$367,0)),"")</f>
        <v>20</v>
      </c>
      <c r="T62" s="422">
        <v>0</v>
      </c>
      <c r="U62" s="422">
        <v>1</v>
      </c>
      <c r="V62" s="272">
        <f t="shared" si="9"/>
        <v>23</v>
      </c>
      <c r="W62" s="274">
        <f t="shared" si="10"/>
        <v>0.83333333333333337</v>
      </c>
      <c r="X62" s="275">
        <f t="shared" si="11"/>
        <v>0.95833333333333337</v>
      </c>
      <c r="Y62" s="422">
        <v>140.38</v>
      </c>
      <c r="Z62" s="278">
        <f t="shared" si="12"/>
        <v>0</v>
      </c>
      <c r="AA62" s="272">
        <f>IFERROR(INDEX('Horo. M'!$I$3:I$367,MATCH(A62,'Horo. M'!$A$3:$A$367,0)),"")</f>
        <v>24</v>
      </c>
      <c r="AB62" s="422">
        <v>0</v>
      </c>
      <c r="AC62" s="422">
        <v>0</v>
      </c>
      <c r="AD62" s="272">
        <f t="shared" si="13"/>
        <v>24</v>
      </c>
      <c r="AE62" s="274">
        <f t="shared" si="14"/>
        <v>1</v>
      </c>
      <c r="AF62" s="275">
        <f t="shared" si="15"/>
        <v>1</v>
      </c>
      <c r="AG62" s="422">
        <v>180.07</v>
      </c>
      <c r="AH62" s="272">
        <f t="shared" si="16"/>
        <v>0</v>
      </c>
      <c r="AI62" s="272">
        <f>IFERROR(INDEX('Horo. M'!$K$3:K$367,MATCH(A62,'Horo. M'!$A$3:$A$367,0)),"")</f>
        <v>0</v>
      </c>
      <c r="AJ62" s="422">
        <v>0</v>
      </c>
      <c r="AK62" s="422">
        <v>24</v>
      </c>
      <c r="AL62" s="272">
        <f t="shared" si="17"/>
        <v>0</v>
      </c>
      <c r="AM62" s="274">
        <f t="shared" si="18"/>
        <v>0</v>
      </c>
      <c r="AN62" s="275">
        <f t="shared" si="19"/>
        <v>0</v>
      </c>
      <c r="AO62" s="422">
        <v>0</v>
      </c>
      <c r="AP62" s="272">
        <f t="shared" si="20"/>
        <v>8</v>
      </c>
      <c r="AQ62" s="272">
        <f>IFERROR(INDEX('Horo. M'!$M$3:M$367,MATCH(A62,'Horo. M'!$A$3:$A$367,0)),"")</f>
        <v>8</v>
      </c>
      <c r="AR62" s="422">
        <v>6</v>
      </c>
      <c r="AS62" s="422">
        <v>2</v>
      </c>
      <c r="AT62" s="272">
        <f t="shared" si="21"/>
        <v>16</v>
      </c>
      <c r="AU62" s="274">
        <f t="shared" si="22"/>
        <v>0.33333333333333331</v>
      </c>
      <c r="AV62" s="275">
        <f t="shared" si="23"/>
        <v>0.66666666666666663</v>
      </c>
      <c r="AW62" s="422">
        <v>61.56</v>
      </c>
      <c r="AX62" s="272">
        <f t="shared" si="24"/>
        <v>0</v>
      </c>
      <c r="AY62" s="272">
        <f>IFERROR(INDEX('Horo. M'!$O$3:O$367,MATCH(A62,'Horo. M'!$A$3:$A$367,0)),"")</f>
        <v>24</v>
      </c>
      <c r="AZ62" s="422">
        <v>0</v>
      </c>
      <c r="BA62" s="422">
        <v>0</v>
      </c>
      <c r="BB62" s="272">
        <f t="shared" si="25"/>
        <v>24</v>
      </c>
      <c r="BC62" s="274">
        <f t="shared" si="26"/>
        <v>1</v>
      </c>
      <c r="BD62" s="275">
        <f t="shared" si="27"/>
        <v>1</v>
      </c>
      <c r="BE62" s="422">
        <v>177.75</v>
      </c>
      <c r="BF62" s="272">
        <f t="shared" si="28"/>
        <v>0</v>
      </c>
      <c r="BG62" s="272">
        <f>IFERROR(INDEX('Horo. M'!$Q$3:Q$367,MATCH(A62,'Horo. M'!$A$3:$A$367,0)),"")</f>
        <v>23</v>
      </c>
      <c r="BH62" s="422">
        <v>0</v>
      </c>
      <c r="BI62" s="422">
        <v>1</v>
      </c>
      <c r="BJ62" s="272">
        <f t="shared" si="29"/>
        <v>23</v>
      </c>
      <c r="BK62" s="274">
        <f t="shared" si="30"/>
        <v>0.95833333333333337</v>
      </c>
      <c r="BL62" s="275">
        <f t="shared" si="31"/>
        <v>0.95833333333333337</v>
      </c>
      <c r="BM62" s="422">
        <v>163.26</v>
      </c>
      <c r="BN62" s="272">
        <f t="shared" si="32"/>
        <v>8</v>
      </c>
      <c r="BO62" s="272">
        <f>IFERROR(INDEX('Horo. M'!$S$3:S$367,MATCH(A62,'Horo. M'!$A$3:$A$367,0)),"")</f>
        <v>16</v>
      </c>
      <c r="BP62" s="422">
        <v>0</v>
      </c>
      <c r="BQ62" s="422">
        <v>0</v>
      </c>
      <c r="BR62" s="272">
        <f t="shared" si="33"/>
        <v>24</v>
      </c>
      <c r="BS62" s="274">
        <f t="shared" si="34"/>
        <v>0.66666666666666663</v>
      </c>
      <c r="BT62" s="275">
        <f t="shared" si="35"/>
        <v>1</v>
      </c>
      <c r="BU62" s="422">
        <v>117.31</v>
      </c>
      <c r="BV62" s="272">
        <f t="shared" si="36"/>
        <v>0</v>
      </c>
      <c r="BW62" s="272">
        <f>IFERROR(INDEX('Horo. M'!$U$3:U$367,MATCH(A62,'Horo. M'!$A$3:$A$367,0)),"")</f>
        <v>24</v>
      </c>
      <c r="BX62" s="422">
        <v>0</v>
      </c>
      <c r="BY62" s="422">
        <v>0</v>
      </c>
      <c r="BZ62" s="272">
        <f t="shared" si="37"/>
        <v>24</v>
      </c>
      <c r="CA62" s="274">
        <f t="shared" si="38"/>
        <v>1</v>
      </c>
      <c r="CB62" s="275">
        <f t="shared" si="39"/>
        <v>1</v>
      </c>
      <c r="CC62" s="422">
        <v>180.43</v>
      </c>
    </row>
    <row r="63" spans="1:81">
      <c r="A63" s="279">
        <v>44988</v>
      </c>
      <c r="B63" s="278">
        <f t="shared" si="0"/>
        <v>0</v>
      </c>
      <c r="C63" s="272">
        <f>IFERROR(INDEX('Horo. M'!$C$3:$C$367,MATCH(A63,'Horo. M'!$A$3:$A$367,0)),"")</f>
        <v>24</v>
      </c>
      <c r="D63" s="422">
        <v>0</v>
      </c>
      <c r="E63" s="422">
        <v>0</v>
      </c>
      <c r="F63" s="272">
        <f t="shared" si="1"/>
        <v>24</v>
      </c>
      <c r="G63" s="274">
        <f t="shared" si="2"/>
        <v>1</v>
      </c>
      <c r="H63" s="275">
        <f t="shared" si="3"/>
        <v>1</v>
      </c>
      <c r="I63" s="422">
        <v>175.1</v>
      </c>
      <c r="J63" s="278">
        <f t="shared" si="4"/>
        <v>0</v>
      </c>
      <c r="K63" s="272">
        <f>IFERROR(INDEX('Horo. M'!$E$3:$E$367,MATCH(A63,'Horo. M'!$A$3:$A$367,0)),"")</f>
        <v>22</v>
      </c>
      <c r="L63" s="422">
        <v>0</v>
      </c>
      <c r="M63" s="422">
        <v>2</v>
      </c>
      <c r="N63" s="272">
        <f t="shared" si="5"/>
        <v>22</v>
      </c>
      <c r="O63" s="274">
        <f t="shared" si="6"/>
        <v>0.91666666666666663</v>
      </c>
      <c r="P63" s="275">
        <f t="shared" si="7"/>
        <v>0.91666666666666663</v>
      </c>
      <c r="Q63" s="422">
        <v>159.30000000000001</v>
      </c>
      <c r="R63" s="278">
        <f t="shared" si="8"/>
        <v>6</v>
      </c>
      <c r="S63" s="272">
        <f>IFERROR(INDEX('Horo. M'!G$3:$G$367,MATCH(A63,'Horo. M'!$A$3:$A$367,0)),"")</f>
        <v>0</v>
      </c>
      <c r="T63" s="422">
        <v>4</v>
      </c>
      <c r="U63" s="422">
        <v>14</v>
      </c>
      <c r="V63" s="272">
        <f t="shared" si="9"/>
        <v>6</v>
      </c>
      <c r="W63" s="274">
        <f t="shared" si="10"/>
        <v>0</v>
      </c>
      <c r="X63" s="275">
        <f t="shared" si="11"/>
        <v>0.25</v>
      </c>
      <c r="Y63" s="422">
        <v>0.04</v>
      </c>
      <c r="Z63" s="278">
        <f t="shared" si="12"/>
        <v>0</v>
      </c>
      <c r="AA63" s="272">
        <f>IFERROR(INDEX('Horo. M'!$I$3:I$367,MATCH(A63,'Horo. M'!$A$3:$A$367,0)),"")</f>
        <v>24</v>
      </c>
      <c r="AB63" s="422">
        <v>0</v>
      </c>
      <c r="AC63" s="422">
        <v>0</v>
      </c>
      <c r="AD63" s="272">
        <f t="shared" si="13"/>
        <v>24</v>
      </c>
      <c r="AE63" s="274">
        <f t="shared" si="14"/>
        <v>1</v>
      </c>
      <c r="AF63" s="275">
        <f t="shared" si="15"/>
        <v>1</v>
      </c>
      <c r="AG63" s="422">
        <v>172.75</v>
      </c>
      <c r="AH63" s="272">
        <f t="shared" si="16"/>
        <v>0</v>
      </c>
      <c r="AI63" s="272">
        <f>IFERROR(INDEX('Horo. M'!$K$3:K$367,MATCH(A63,'Horo. M'!$A$3:$A$367,0)),"")</f>
        <v>0</v>
      </c>
      <c r="AJ63" s="422">
        <v>15</v>
      </c>
      <c r="AK63" s="422">
        <v>9</v>
      </c>
      <c r="AL63" s="272">
        <f t="shared" si="17"/>
        <v>0</v>
      </c>
      <c r="AM63" s="274">
        <f t="shared" si="18"/>
        <v>0</v>
      </c>
      <c r="AN63" s="275">
        <f t="shared" si="19"/>
        <v>0</v>
      </c>
      <c r="AO63" s="422">
        <v>0</v>
      </c>
      <c r="AP63" s="272">
        <f t="shared" si="20"/>
        <v>1</v>
      </c>
      <c r="AQ63" s="272">
        <f>IFERROR(INDEX('Horo. M'!$M$3:M$367,MATCH(A63,'Horo. M'!$A$3:$A$367,0)),"")</f>
        <v>20</v>
      </c>
      <c r="AR63" s="422">
        <v>0</v>
      </c>
      <c r="AS63" s="422">
        <v>3</v>
      </c>
      <c r="AT63" s="272">
        <f t="shared" si="21"/>
        <v>21</v>
      </c>
      <c r="AU63" s="274">
        <f t="shared" si="22"/>
        <v>0.83333333333333337</v>
      </c>
      <c r="AV63" s="275">
        <f t="shared" si="23"/>
        <v>0.875</v>
      </c>
      <c r="AW63" s="422">
        <v>140.41</v>
      </c>
      <c r="AX63" s="272">
        <f t="shared" si="24"/>
        <v>1</v>
      </c>
      <c r="AY63" s="272">
        <f>IFERROR(INDEX('Horo. M'!$O$3:O$367,MATCH(A63,'Horo. M'!$A$3:$A$367,0)),"")</f>
        <v>23</v>
      </c>
      <c r="AZ63" s="422">
        <v>0</v>
      </c>
      <c r="BA63" s="422">
        <v>0</v>
      </c>
      <c r="BB63" s="272">
        <f t="shared" si="25"/>
        <v>24</v>
      </c>
      <c r="BC63" s="274">
        <f t="shared" si="26"/>
        <v>0.95833333333333337</v>
      </c>
      <c r="BD63" s="275">
        <f t="shared" si="27"/>
        <v>1</v>
      </c>
      <c r="BE63" s="422">
        <v>165.43</v>
      </c>
      <c r="BF63" s="272">
        <f t="shared" si="28"/>
        <v>0</v>
      </c>
      <c r="BG63" s="272">
        <f>IFERROR(INDEX('Horo. M'!$Q$3:Q$367,MATCH(A63,'Horo. M'!$A$3:$A$367,0)),"")</f>
        <v>24</v>
      </c>
      <c r="BH63" s="422">
        <v>0</v>
      </c>
      <c r="BI63" s="422">
        <v>0</v>
      </c>
      <c r="BJ63" s="272">
        <f t="shared" si="29"/>
        <v>24</v>
      </c>
      <c r="BK63" s="274">
        <f t="shared" si="30"/>
        <v>1</v>
      </c>
      <c r="BL63" s="275">
        <f t="shared" si="31"/>
        <v>1</v>
      </c>
      <c r="BM63" s="422">
        <v>177.42</v>
      </c>
      <c r="BN63" s="272">
        <f t="shared" si="32"/>
        <v>0</v>
      </c>
      <c r="BO63" s="272">
        <f>IFERROR(INDEX('Horo. M'!$S$3:S$367,MATCH(A63,'Horo. M'!$A$3:$A$367,0)),"")</f>
        <v>24</v>
      </c>
      <c r="BP63" s="422">
        <v>0</v>
      </c>
      <c r="BQ63" s="422">
        <v>0</v>
      </c>
      <c r="BR63" s="272">
        <f t="shared" si="33"/>
        <v>24</v>
      </c>
      <c r="BS63" s="274">
        <f t="shared" si="34"/>
        <v>1</v>
      </c>
      <c r="BT63" s="275">
        <f t="shared" si="35"/>
        <v>1</v>
      </c>
      <c r="BU63" s="422">
        <v>174.71</v>
      </c>
      <c r="BV63" s="272">
        <f t="shared" si="36"/>
        <v>0</v>
      </c>
      <c r="BW63" s="272">
        <f>IFERROR(INDEX('Horo. M'!$U$3:U$367,MATCH(A63,'Horo. M'!$A$3:$A$367,0)),"")</f>
        <v>24</v>
      </c>
      <c r="BX63" s="422">
        <v>0</v>
      </c>
      <c r="BY63" s="422">
        <v>0</v>
      </c>
      <c r="BZ63" s="272">
        <f t="shared" si="37"/>
        <v>24</v>
      </c>
      <c r="CA63" s="274">
        <f t="shared" si="38"/>
        <v>1</v>
      </c>
      <c r="CB63" s="275">
        <f t="shared" si="39"/>
        <v>1</v>
      </c>
      <c r="CC63" s="422">
        <v>175.24</v>
      </c>
    </row>
    <row r="64" spans="1:81">
      <c r="A64" s="279">
        <v>44989</v>
      </c>
      <c r="B64" s="278">
        <f t="shared" si="0"/>
        <v>1</v>
      </c>
      <c r="C64" s="272">
        <f>IFERROR(INDEX('Horo. M'!$C$3:$C$367,MATCH(A64,'Horo. M'!$A$3:$A$367,0)),"")</f>
        <v>23</v>
      </c>
      <c r="D64" s="422">
        <v>0</v>
      </c>
      <c r="E64" s="422">
        <v>0</v>
      </c>
      <c r="F64" s="272">
        <f t="shared" si="1"/>
        <v>24</v>
      </c>
      <c r="G64" s="274">
        <f t="shared" si="2"/>
        <v>0.95833333333333337</v>
      </c>
      <c r="H64" s="275">
        <f t="shared" si="3"/>
        <v>1</v>
      </c>
      <c r="I64" s="422">
        <v>166.9</v>
      </c>
      <c r="J64" s="278">
        <f t="shared" si="4"/>
        <v>0</v>
      </c>
      <c r="K64" s="272">
        <f>IFERROR(INDEX('Horo. M'!$E$3:$E$367,MATCH(A64,'Horo. M'!$A$3:$A$367,0)),"")</f>
        <v>24</v>
      </c>
      <c r="L64" s="422">
        <v>0</v>
      </c>
      <c r="M64" s="422">
        <v>0</v>
      </c>
      <c r="N64" s="272">
        <f t="shared" si="5"/>
        <v>24</v>
      </c>
      <c r="O64" s="274">
        <f t="shared" si="6"/>
        <v>1</v>
      </c>
      <c r="P64" s="275">
        <f t="shared" si="7"/>
        <v>1</v>
      </c>
      <c r="Q64" s="422">
        <v>171.8</v>
      </c>
      <c r="R64" s="278">
        <f t="shared" si="8"/>
        <v>0</v>
      </c>
      <c r="S64" s="272">
        <f>IFERROR(INDEX('Horo. M'!G$3:$G$367,MATCH(A64,'Horo. M'!$A$3:$A$367,0)),"")</f>
        <v>24</v>
      </c>
      <c r="T64" s="422">
        <v>0</v>
      </c>
      <c r="U64" s="422">
        <v>0</v>
      </c>
      <c r="V64" s="272">
        <f t="shared" si="9"/>
        <v>24</v>
      </c>
      <c r="W64" s="274">
        <f t="shared" si="10"/>
        <v>1</v>
      </c>
      <c r="X64" s="275">
        <f t="shared" si="11"/>
        <v>1</v>
      </c>
      <c r="Y64" s="422">
        <v>170.16</v>
      </c>
      <c r="Z64" s="278">
        <f t="shared" si="12"/>
        <v>0</v>
      </c>
      <c r="AA64" s="272">
        <f>IFERROR(INDEX('Horo. M'!$I$3:I$367,MATCH(A64,'Horo. M'!$A$3:$A$367,0)),"")</f>
        <v>24</v>
      </c>
      <c r="AB64" s="422">
        <v>0</v>
      </c>
      <c r="AC64" s="422">
        <v>0</v>
      </c>
      <c r="AD64" s="272">
        <f t="shared" si="13"/>
        <v>24</v>
      </c>
      <c r="AE64" s="274">
        <f t="shared" si="14"/>
        <v>1</v>
      </c>
      <c r="AF64" s="275">
        <f t="shared" si="15"/>
        <v>1</v>
      </c>
      <c r="AG64" s="422">
        <v>173.51</v>
      </c>
      <c r="AH64" s="272">
        <f t="shared" si="16"/>
        <v>0</v>
      </c>
      <c r="AI64" s="272">
        <f>IFERROR(INDEX('Horo. M'!$K$3:K$367,MATCH(A64,'Horo. M'!$A$3:$A$367,0)),"")</f>
        <v>0</v>
      </c>
      <c r="AJ64" s="422">
        <v>24</v>
      </c>
      <c r="AK64" s="422">
        <v>0</v>
      </c>
      <c r="AL64" s="272">
        <f t="shared" si="17"/>
        <v>0</v>
      </c>
      <c r="AM64" s="274">
        <f t="shared" si="18"/>
        <v>0</v>
      </c>
      <c r="AN64" s="275">
        <f t="shared" si="19"/>
        <v>0</v>
      </c>
      <c r="AO64" s="422">
        <v>0</v>
      </c>
      <c r="AP64" s="272">
        <f t="shared" si="20"/>
        <v>0</v>
      </c>
      <c r="AQ64" s="272">
        <f>IFERROR(INDEX('Horo. M'!$M$3:M$367,MATCH(A64,'Horo. M'!$A$3:$A$367,0)),"")</f>
        <v>24</v>
      </c>
      <c r="AR64" s="422">
        <v>0</v>
      </c>
      <c r="AS64" s="422">
        <v>0</v>
      </c>
      <c r="AT64" s="272">
        <f t="shared" si="21"/>
        <v>24</v>
      </c>
      <c r="AU64" s="274">
        <f t="shared" si="22"/>
        <v>1</v>
      </c>
      <c r="AV64" s="275">
        <f t="shared" si="23"/>
        <v>1</v>
      </c>
      <c r="AW64" s="422">
        <v>173</v>
      </c>
      <c r="AX64" s="272">
        <f t="shared" si="24"/>
        <v>0</v>
      </c>
      <c r="AY64" s="272">
        <f>IFERROR(INDEX('Horo. M'!$O$3:O$367,MATCH(A64,'Horo. M'!$A$3:$A$367,0)),"")</f>
        <v>24</v>
      </c>
      <c r="AZ64" s="422">
        <v>0</v>
      </c>
      <c r="BA64" s="422">
        <v>0</v>
      </c>
      <c r="BB64" s="272">
        <f t="shared" si="25"/>
        <v>24</v>
      </c>
      <c r="BC64" s="274">
        <f t="shared" si="26"/>
        <v>1</v>
      </c>
      <c r="BD64" s="275">
        <f t="shared" si="27"/>
        <v>1</v>
      </c>
      <c r="BE64" s="422">
        <v>176.09</v>
      </c>
      <c r="BF64" s="272">
        <f t="shared" si="28"/>
        <v>0</v>
      </c>
      <c r="BG64" s="272">
        <f>IFERROR(INDEX('Horo. M'!$Q$3:Q$367,MATCH(A64,'Horo. M'!$A$3:$A$367,0)),"")</f>
        <v>24</v>
      </c>
      <c r="BH64" s="422">
        <v>0</v>
      </c>
      <c r="BI64" s="422">
        <v>0</v>
      </c>
      <c r="BJ64" s="272">
        <f t="shared" si="29"/>
        <v>24</v>
      </c>
      <c r="BK64" s="274">
        <f t="shared" si="30"/>
        <v>1</v>
      </c>
      <c r="BL64" s="275">
        <f t="shared" si="31"/>
        <v>1</v>
      </c>
      <c r="BM64" s="422">
        <v>178.43</v>
      </c>
      <c r="BN64" s="272">
        <f t="shared" si="32"/>
        <v>12</v>
      </c>
      <c r="BO64" s="272">
        <f>IFERROR(INDEX('Horo. M'!$S$3:S$367,MATCH(A64,'Horo. M'!$A$3:$A$367,0)),"")</f>
        <v>0</v>
      </c>
      <c r="BP64" s="422">
        <v>12</v>
      </c>
      <c r="BQ64" s="422">
        <v>0</v>
      </c>
      <c r="BR64" s="272">
        <f t="shared" si="33"/>
        <v>12</v>
      </c>
      <c r="BS64" s="274">
        <f t="shared" si="34"/>
        <v>0</v>
      </c>
      <c r="BT64" s="275">
        <f t="shared" si="35"/>
        <v>0.5</v>
      </c>
      <c r="BU64" s="422">
        <v>0.03</v>
      </c>
      <c r="BV64" s="272">
        <f t="shared" si="36"/>
        <v>0</v>
      </c>
      <c r="BW64" s="272">
        <f>IFERROR(INDEX('Horo. M'!$U$3:U$367,MATCH(A64,'Horo. M'!$A$3:$A$367,0)),"")</f>
        <v>20</v>
      </c>
      <c r="BX64" s="422">
        <v>4</v>
      </c>
      <c r="BY64" s="422">
        <v>0</v>
      </c>
      <c r="BZ64" s="272">
        <f t="shared" si="37"/>
        <v>20</v>
      </c>
      <c r="CA64" s="274">
        <f t="shared" si="38"/>
        <v>0.83333333333333337</v>
      </c>
      <c r="CB64" s="275">
        <f t="shared" si="39"/>
        <v>0.83333333333333337</v>
      </c>
      <c r="CC64" s="422">
        <v>136.66999999999999</v>
      </c>
    </row>
    <row r="65" spans="1:81">
      <c r="A65" s="279">
        <v>44990</v>
      </c>
      <c r="B65" s="278">
        <f t="shared" si="0"/>
        <v>0</v>
      </c>
      <c r="C65" s="272">
        <f>IFERROR(INDEX('Horo. M'!$C$3:$C$367,MATCH(A65,'Horo. M'!$A$3:$A$367,0)),"")</f>
        <v>24</v>
      </c>
      <c r="D65" s="422">
        <v>0</v>
      </c>
      <c r="E65" s="422">
        <v>0</v>
      </c>
      <c r="F65" s="272">
        <f t="shared" si="1"/>
        <v>24</v>
      </c>
      <c r="G65" s="274">
        <f t="shared" si="2"/>
        <v>1</v>
      </c>
      <c r="H65" s="275">
        <f t="shared" si="3"/>
        <v>1</v>
      </c>
      <c r="I65" s="422">
        <v>177.7</v>
      </c>
      <c r="J65" s="278">
        <f t="shared" si="4"/>
        <v>0</v>
      </c>
      <c r="K65" s="272">
        <f>IFERROR(INDEX('Horo. M'!$E$3:$E$367,MATCH(A65,'Horo. M'!$A$3:$A$367,0)),"")</f>
        <v>18</v>
      </c>
      <c r="L65" s="422">
        <v>2</v>
      </c>
      <c r="M65" s="422">
        <v>4</v>
      </c>
      <c r="N65" s="272">
        <f t="shared" si="5"/>
        <v>18</v>
      </c>
      <c r="O65" s="274">
        <f t="shared" si="6"/>
        <v>0.75</v>
      </c>
      <c r="P65" s="275">
        <f t="shared" si="7"/>
        <v>0.75</v>
      </c>
      <c r="Q65" s="422">
        <v>126.2</v>
      </c>
      <c r="R65" s="278">
        <f t="shared" si="8"/>
        <v>0</v>
      </c>
      <c r="S65" s="272">
        <f>IFERROR(INDEX('Horo. M'!G$3:$G$367,MATCH(A65,'Horo. M'!$A$3:$A$367,0)),"")</f>
        <v>24</v>
      </c>
      <c r="T65" s="422">
        <v>0</v>
      </c>
      <c r="U65" s="422">
        <v>0</v>
      </c>
      <c r="V65" s="272">
        <f t="shared" si="9"/>
        <v>24</v>
      </c>
      <c r="W65" s="274">
        <f t="shared" si="10"/>
        <v>1</v>
      </c>
      <c r="X65" s="275">
        <f t="shared" si="11"/>
        <v>1</v>
      </c>
      <c r="Y65" s="422">
        <v>176.92</v>
      </c>
      <c r="Z65" s="278">
        <f t="shared" si="12"/>
        <v>0</v>
      </c>
      <c r="AA65" s="272">
        <f>IFERROR(INDEX('Horo. M'!$I$3:I$367,MATCH(A65,'Horo. M'!$A$3:$A$367,0)),"")</f>
        <v>24</v>
      </c>
      <c r="AB65" s="422">
        <v>0</v>
      </c>
      <c r="AC65" s="422">
        <v>0</v>
      </c>
      <c r="AD65" s="272">
        <f t="shared" si="13"/>
        <v>24</v>
      </c>
      <c r="AE65" s="274">
        <f t="shared" si="14"/>
        <v>1</v>
      </c>
      <c r="AF65" s="275">
        <f t="shared" si="15"/>
        <v>1</v>
      </c>
      <c r="AG65" s="422">
        <v>178.03</v>
      </c>
      <c r="AH65" s="272">
        <f t="shared" si="16"/>
        <v>0</v>
      </c>
      <c r="AI65" s="272">
        <f>IFERROR(INDEX('Horo. M'!$K$3:K$367,MATCH(A65,'Horo. M'!$A$3:$A$367,0)),"")</f>
        <v>0</v>
      </c>
      <c r="AJ65" s="422">
        <v>24</v>
      </c>
      <c r="AK65" s="422">
        <v>0</v>
      </c>
      <c r="AL65" s="272">
        <f t="shared" si="17"/>
        <v>0</v>
      </c>
      <c r="AM65" s="274">
        <f t="shared" si="18"/>
        <v>0</v>
      </c>
      <c r="AN65" s="275">
        <f t="shared" si="19"/>
        <v>0</v>
      </c>
      <c r="AO65" s="422">
        <v>0</v>
      </c>
      <c r="AP65" s="272">
        <f t="shared" si="20"/>
        <v>20</v>
      </c>
      <c r="AQ65" s="272">
        <f>IFERROR(INDEX('Horo. M'!$M$3:M$367,MATCH(A65,'Horo. M'!$A$3:$A$367,0)),"")</f>
        <v>0</v>
      </c>
      <c r="AR65" s="422">
        <v>4</v>
      </c>
      <c r="AS65" s="422">
        <v>0</v>
      </c>
      <c r="AT65" s="272">
        <f t="shared" si="21"/>
        <v>20</v>
      </c>
      <c r="AU65" s="274">
        <f t="shared" si="22"/>
        <v>0</v>
      </c>
      <c r="AV65" s="275">
        <f t="shared" si="23"/>
        <v>0.83333333333333337</v>
      </c>
      <c r="AW65" s="422">
        <v>0.03</v>
      </c>
      <c r="AX65" s="272">
        <f t="shared" si="24"/>
        <v>0</v>
      </c>
      <c r="AY65" s="272">
        <f>IFERROR(INDEX('Horo. M'!$O$3:O$367,MATCH(A65,'Horo. M'!$A$3:$A$367,0)),"")</f>
        <v>24</v>
      </c>
      <c r="AZ65" s="422">
        <v>0</v>
      </c>
      <c r="BA65" s="422">
        <v>0</v>
      </c>
      <c r="BB65" s="272">
        <f t="shared" si="25"/>
        <v>24</v>
      </c>
      <c r="BC65" s="274">
        <f t="shared" si="26"/>
        <v>1</v>
      </c>
      <c r="BD65" s="275">
        <f t="shared" si="27"/>
        <v>1</v>
      </c>
      <c r="BE65" s="422">
        <v>177.69</v>
      </c>
      <c r="BF65" s="272">
        <f t="shared" si="28"/>
        <v>0</v>
      </c>
      <c r="BG65" s="272">
        <f>IFERROR(INDEX('Horo. M'!$Q$3:Q$367,MATCH(A65,'Horo. M'!$A$3:$A$367,0)),"")</f>
        <v>24</v>
      </c>
      <c r="BH65" s="422">
        <v>0</v>
      </c>
      <c r="BI65" s="422">
        <v>0</v>
      </c>
      <c r="BJ65" s="272">
        <f t="shared" si="29"/>
        <v>24</v>
      </c>
      <c r="BK65" s="274">
        <f t="shared" si="30"/>
        <v>1</v>
      </c>
      <c r="BL65" s="275">
        <f t="shared" si="31"/>
        <v>1</v>
      </c>
      <c r="BM65" s="422">
        <v>176.32</v>
      </c>
      <c r="BN65" s="272">
        <f t="shared" si="32"/>
        <v>0</v>
      </c>
      <c r="BO65" s="272">
        <f>IFERROR(INDEX('Horo. M'!$S$3:S$367,MATCH(A65,'Horo. M'!$A$3:$A$367,0)),"")</f>
        <v>24</v>
      </c>
      <c r="BP65" s="422">
        <v>0</v>
      </c>
      <c r="BQ65" s="422">
        <v>0</v>
      </c>
      <c r="BR65" s="272">
        <f t="shared" si="33"/>
        <v>24</v>
      </c>
      <c r="BS65" s="274">
        <f t="shared" si="34"/>
        <v>1</v>
      </c>
      <c r="BT65" s="275">
        <f t="shared" si="35"/>
        <v>1</v>
      </c>
      <c r="BU65" s="422">
        <v>179.72</v>
      </c>
      <c r="BV65" s="272">
        <f t="shared" si="36"/>
        <v>0</v>
      </c>
      <c r="BW65" s="272">
        <f>IFERROR(INDEX('Horo. M'!$U$3:U$367,MATCH(A65,'Horo. M'!$A$3:$A$367,0)),"")</f>
        <v>24</v>
      </c>
      <c r="BX65" s="422">
        <v>0</v>
      </c>
      <c r="BY65" s="422">
        <v>0</v>
      </c>
      <c r="BZ65" s="272">
        <f t="shared" si="37"/>
        <v>24</v>
      </c>
      <c r="CA65" s="274">
        <f t="shared" si="38"/>
        <v>1</v>
      </c>
      <c r="CB65" s="275">
        <f t="shared" si="39"/>
        <v>1</v>
      </c>
      <c r="CC65" s="422">
        <v>178.83</v>
      </c>
    </row>
    <row r="66" spans="1:81">
      <c r="A66" s="279">
        <v>44991</v>
      </c>
      <c r="B66" s="278">
        <f t="shared" si="0"/>
        <v>0</v>
      </c>
      <c r="C66" s="272">
        <f>IFERROR(INDEX('Horo. M'!$C$3:$C$367,MATCH(A66,'Horo. M'!$A$3:$A$367,0)),"")</f>
        <v>6</v>
      </c>
      <c r="D66" s="422">
        <v>2</v>
      </c>
      <c r="E66" s="422">
        <v>16</v>
      </c>
      <c r="F66" s="272">
        <f t="shared" si="1"/>
        <v>6</v>
      </c>
      <c r="G66" s="274">
        <f t="shared" si="2"/>
        <v>0.25</v>
      </c>
      <c r="H66" s="275">
        <f t="shared" si="3"/>
        <v>0.25</v>
      </c>
      <c r="I66" s="422">
        <v>36.6</v>
      </c>
      <c r="J66" s="278">
        <f t="shared" si="4"/>
        <v>0</v>
      </c>
      <c r="K66" s="272">
        <f>IFERROR(INDEX('Horo. M'!$E$3:$E$367,MATCH(A66,'Horo. M'!$A$3:$A$367,0)),"")</f>
        <v>24</v>
      </c>
      <c r="L66" s="422">
        <v>0</v>
      </c>
      <c r="M66" s="422">
        <v>0</v>
      </c>
      <c r="N66" s="272">
        <f t="shared" si="5"/>
        <v>24</v>
      </c>
      <c r="O66" s="274">
        <f t="shared" si="6"/>
        <v>1</v>
      </c>
      <c r="P66" s="275">
        <f t="shared" si="7"/>
        <v>1</v>
      </c>
      <c r="Q66" s="422">
        <v>175.4</v>
      </c>
      <c r="R66" s="278">
        <f t="shared" si="8"/>
        <v>0</v>
      </c>
      <c r="S66" s="272">
        <f>IFERROR(INDEX('Horo. M'!G$3:$G$367,MATCH(A66,'Horo. M'!$A$3:$A$367,0)),"")</f>
        <v>24</v>
      </c>
      <c r="T66" s="422">
        <v>0</v>
      </c>
      <c r="U66" s="422">
        <v>0</v>
      </c>
      <c r="V66" s="272">
        <f t="shared" si="9"/>
        <v>24</v>
      </c>
      <c r="W66" s="274">
        <f t="shared" si="10"/>
        <v>1</v>
      </c>
      <c r="X66" s="275">
        <f t="shared" si="11"/>
        <v>1</v>
      </c>
      <c r="Y66" s="422">
        <v>176.08</v>
      </c>
      <c r="Z66" s="278">
        <f t="shared" si="12"/>
        <v>0</v>
      </c>
      <c r="AA66" s="272">
        <f>IFERROR(INDEX('Horo. M'!$I$3:I$367,MATCH(A66,'Horo. M'!$A$3:$A$367,0)),"")</f>
        <v>13</v>
      </c>
      <c r="AB66" s="422">
        <v>4</v>
      </c>
      <c r="AC66" s="422">
        <v>7</v>
      </c>
      <c r="AD66" s="272">
        <f t="shared" si="13"/>
        <v>13</v>
      </c>
      <c r="AE66" s="274">
        <f t="shared" si="14"/>
        <v>0.54166666666666663</v>
      </c>
      <c r="AF66" s="275">
        <f t="shared" si="15"/>
        <v>0.54166666666666663</v>
      </c>
      <c r="AG66" s="422">
        <v>93.88</v>
      </c>
      <c r="AH66" s="272">
        <f t="shared" si="16"/>
        <v>0</v>
      </c>
      <c r="AI66" s="272">
        <f>IFERROR(INDEX('Horo. M'!$K$3:K$367,MATCH(A66,'Horo. M'!$A$3:$A$367,0)),"")</f>
        <v>0</v>
      </c>
      <c r="AJ66" s="422">
        <v>24</v>
      </c>
      <c r="AK66" s="422">
        <v>0</v>
      </c>
      <c r="AL66" s="272">
        <f t="shared" si="17"/>
        <v>0</v>
      </c>
      <c r="AM66" s="274">
        <f t="shared" si="18"/>
        <v>0</v>
      </c>
      <c r="AN66" s="275">
        <f t="shared" si="19"/>
        <v>0</v>
      </c>
      <c r="AO66" s="422">
        <v>0</v>
      </c>
      <c r="AP66" s="272">
        <f t="shared" si="20"/>
        <v>0</v>
      </c>
      <c r="AQ66" s="272">
        <f>IFERROR(INDEX('Horo. M'!$M$3:M$367,MATCH(A66,'Horo. M'!$A$3:$A$367,0)),"")</f>
        <v>24</v>
      </c>
      <c r="AR66" s="422">
        <v>0</v>
      </c>
      <c r="AS66" s="422">
        <v>0</v>
      </c>
      <c r="AT66" s="272">
        <f t="shared" si="21"/>
        <v>24</v>
      </c>
      <c r="AU66" s="274">
        <f t="shared" si="22"/>
        <v>1</v>
      </c>
      <c r="AV66" s="275">
        <f t="shared" si="23"/>
        <v>1</v>
      </c>
      <c r="AW66" s="422">
        <v>178.69</v>
      </c>
      <c r="AX66" s="272">
        <f t="shared" si="24"/>
        <v>0</v>
      </c>
      <c r="AY66" s="272">
        <f>IFERROR(INDEX('Horo. M'!$O$3:O$367,MATCH(A66,'Horo. M'!$A$3:$A$367,0)),"")</f>
        <v>24</v>
      </c>
      <c r="AZ66" s="422">
        <v>0</v>
      </c>
      <c r="BA66" s="422">
        <v>0</v>
      </c>
      <c r="BB66" s="272">
        <f t="shared" si="25"/>
        <v>24</v>
      </c>
      <c r="BC66" s="274">
        <f t="shared" si="26"/>
        <v>1</v>
      </c>
      <c r="BD66" s="275">
        <f t="shared" si="27"/>
        <v>1</v>
      </c>
      <c r="BE66" s="422">
        <v>177.93</v>
      </c>
      <c r="BF66" s="272">
        <f t="shared" si="28"/>
        <v>0</v>
      </c>
      <c r="BG66" s="272">
        <f>IFERROR(INDEX('Horo. M'!$Q$3:Q$367,MATCH(A66,'Horo. M'!$A$3:$A$367,0)),"")</f>
        <v>24</v>
      </c>
      <c r="BH66" s="422">
        <v>0</v>
      </c>
      <c r="BI66" s="422">
        <v>0</v>
      </c>
      <c r="BJ66" s="272">
        <f t="shared" si="29"/>
        <v>24</v>
      </c>
      <c r="BK66" s="274">
        <f t="shared" si="30"/>
        <v>1</v>
      </c>
      <c r="BL66" s="275">
        <f t="shared" si="31"/>
        <v>1</v>
      </c>
      <c r="BM66" s="422">
        <v>179.61</v>
      </c>
      <c r="BN66" s="272">
        <f t="shared" si="32"/>
        <v>0</v>
      </c>
      <c r="BO66" s="272">
        <f>IFERROR(INDEX('Horo. M'!$S$3:S$367,MATCH(A66,'Horo. M'!$A$3:$A$367,0)),"")</f>
        <v>24</v>
      </c>
      <c r="BP66" s="422">
        <v>0</v>
      </c>
      <c r="BQ66" s="422">
        <v>0</v>
      </c>
      <c r="BR66" s="272">
        <f t="shared" si="33"/>
        <v>24</v>
      </c>
      <c r="BS66" s="274">
        <f t="shared" si="34"/>
        <v>1</v>
      </c>
      <c r="BT66" s="275">
        <f t="shared" si="35"/>
        <v>1</v>
      </c>
      <c r="BU66" s="422">
        <v>178.32</v>
      </c>
      <c r="BV66" s="272">
        <f t="shared" si="36"/>
        <v>0</v>
      </c>
      <c r="BW66" s="272">
        <f>IFERROR(INDEX('Horo. M'!$U$3:U$367,MATCH(A66,'Horo. M'!$A$3:$A$367,0)),"")</f>
        <v>24</v>
      </c>
      <c r="BX66" s="422">
        <v>0</v>
      </c>
      <c r="BY66" s="422">
        <v>0</v>
      </c>
      <c r="BZ66" s="272">
        <f t="shared" si="37"/>
        <v>24</v>
      </c>
      <c r="CA66" s="274">
        <f t="shared" si="38"/>
        <v>1</v>
      </c>
      <c r="CB66" s="275">
        <f t="shared" si="39"/>
        <v>1</v>
      </c>
      <c r="CC66" s="422">
        <v>178.92</v>
      </c>
    </row>
    <row r="67" spans="1:81">
      <c r="A67" s="279">
        <v>44992</v>
      </c>
      <c r="B67" s="278">
        <f t="shared" ref="B67:B129" si="40">24-C67-D67-E67</f>
        <v>10</v>
      </c>
      <c r="C67" s="272">
        <f>IFERROR(INDEX('Horo. M'!$C$3:$C$367,MATCH(A67,'Horo. M'!$A$3:$A$367,0)),"")</f>
        <v>0</v>
      </c>
      <c r="D67" s="422">
        <v>0</v>
      </c>
      <c r="E67" s="422">
        <v>14</v>
      </c>
      <c r="F67" s="272">
        <f t="shared" ref="F67:F129" si="41">24-D67-E67</f>
        <v>10</v>
      </c>
      <c r="G67" s="274">
        <f t="shared" ref="G67:G130" si="42">C67/24</f>
        <v>0</v>
      </c>
      <c r="H67" s="275">
        <f t="shared" ref="H67:H130" si="43">(F67/24)*100%</f>
        <v>0.41666666666666669</v>
      </c>
      <c r="I67" s="422">
        <v>0</v>
      </c>
      <c r="J67" s="278">
        <f t="shared" ref="J67:J130" si="44">24-K67-L67-M67</f>
        <v>0</v>
      </c>
      <c r="K67" s="272">
        <f>IFERROR(INDEX('Horo. M'!$E$3:$E$367,MATCH(A67,'Horo. M'!$A$3:$A$367,0)),"")</f>
        <v>24</v>
      </c>
      <c r="L67" s="422">
        <v>0</v>
      </c>
      <c r="M67" s="422">
        <v>0</v>
      </c>
      <c r="N67" s="272">
        <f t="shared" ref="N67:N130" si="45">24-L67-M67</f>
        <v>24</v>
      </c>
      <c r="O67" s="274">
        <f t="shared" ref="O67:O130" si="46">K67/24</f>
        <v>1</v>
      </c>
      <c r="P67" s="275">
        <f t="shared" ref="P67:P130" si="47">(N67/24)*100%</f>
        <v>1</v>
      </c>
      <c r="Q67" s="422">
        <v>168.1</v>
      </c>
      <c r="R67" s="278">
        <f t="shared" ref="R67:R130" si="48">24-S67-T67-U67</f>
        <v>0</v>
      </c>
      <c r="S67" s="272">
        <f>IFERROR(INDEX('Horo. M'!G$3:$G$367,MATCH(A67,'Horo. M'!$A$3:$A$367,0)),"")</f>
        <v>24</v>
      </c>
      <c r="T67" s="422">
        <v>0</v>
      </c>
      <c r="U67" s="422">
        <v>0</v>
      </c>
      <c r="V67" s="272">
        <f t="shared" ref="V67:V130" si="49">24-T67-U67</f>
        <v>24</v>
      </c>
      <c r="W67" s="274">
        <f t="shared" ref="W67:W130" si="50">S67/24</f>
        <v>1</v>
      </c>
      <c r="X67" s="275">
        <f t="shared" ref="X67:X130" si="51">(V67/24)*100%</f>
        <v>1</v>
      </c>
      <c r="Y67" s="422">
        <v>174.09</v>
      </c>
      <c r="Z67" s="278">
        <f t="shared" ref="Z67:Z130" si="52">24-AA67-AB67-AC67</f>
        <v>0</v>
      </c>
      <c r="AA67" s="272">
        <f>IFERROR(INDEX('Horo. M'!$I$3:I$367,MATCH(A67,'Horo. M'!$A$3:$A$367,0)),"")</f>
        <v>22</v>
      </c>
      <c r="AB67" s="422">
        <v>0</v>
      </c>
      <c r="AC67" s="422">
        <v>2</v>
      </c>
      <c r="AD67" s="272">
        <f t="shared" ref="AD67:AD130" si="53">24-AB67-AC67</f>
        <v>22</v>
      </c>
      <c r="AE67" s="274">
        <f t="shared" ref="AE67:AE130" si="54">AA67/24</f>
        <v>0.91666666666666663</v>
      </c>
      <c r="AF67" s="275">
        <f t="shared" ref="AF67:AF130" si="55">(AD67/24)*100%</f>
        <v>0.91666666666666663</v>
      </c>
      <c r="AG67" s="422">
        <v>154.30000000000001</v>
      </c>
      <c r="AH67" s="272">
        <f t="shared" ref="AH67:AH130" si="56">24-AI67-AJ67-AK67</f>
        <v>0</v>
      </c>
      <c r="AI67" s="272">
        <f>IFERROR(INDEX('Horo. M'!$K$3:K$367,MATCH(A67,'Horo. M'!$A$3:$A$367,0)),"")</f>
        <v>0</v>
      </c>
      <c r="AJ67" s="422">
        <v>24</v>
      </c>
      <c r="AK67" s="422">
        <v>0</v>
      </c>
      <c r="AL67" s="272">
        <f t="shared" ref="AL67:AL130" si="57">24-AJ67-AK67</f>
        <v>0</v>
      </c>
      <c r="AM67" s="274">
        <f t="shared" ref="AM67:AM130" si="58">AI67/24</f>
        <v>0</v>
      </c>
      <c r="AN67" s="275">
        <f t="shared" ref="AN67:AN130" si="59">(AL67/24)*100%</f>
        <v>0</v>
      </c>
      <c r="AO67" s="422">
        <v>0</v>
      </c>
      <c r="AP67" s="272">
        <f t="shared" ref="AP67:AP130" si="60">24-AQ67-AR67-AS67</f>
        <v>0</v>
      </c>
      <c r="AQ67" s="272">
        <f>IFERROR(INDEX('Horo. M'!$M$3:M$367,MATCH(A67,'Horo. M'!$A$3:$A$367,0)),"")</f>
        <v>24</v>
      </c>
      <c r="AR67" s="422">
        <v>0</v>
      </c>
      <c r="AS67" s="422">
        <v>0</v>
      </c>
      <c r="AT67" s="272">
        <f t="shared" ref="AT67:AT130" si="61">24-AR67-AS67</f>
        <v>24</v>
      </c>
      <c r="AU67" s="274">
        <f t="shared" ref="AU67:AU130" si="62">AQ67/24</f>
        <v>1</v>
      </c>
      <c r="AV67" s="275">
        <f t="shared" ref="AV67:AV130" si="63">(AT67/24)*100%</f>
        <v>1</v>
      </c>
      <c r="AW67" s="422">
        <v>175.22</v>
      </c>
      <c r="AX67" s="272">
        <f t="shared" ref="AX67:AX130" si="64">24-AY67-AZ67-BA67</f>
        <v>0</v>
      </c>
      <c r="AY67" s="272">
        <f>IFERROR(INDEX('Horo. M'!$O$3:O$367,MATCH(A67,'Horo. M'!$A$3:$A$367,0)),"")</f>
        <v>24</v>
      </c>
      <c r="AZ67" s="422">
        <v>0</v>
      </c>
      <c r="BA67" s="422">
        <v>0</v>
      </c>
      <c r="BB67" s="272">
        <f t="shared" ref="BB67:BB130" si="65">24-AZ67-BA67</f>
        <v>24</v>
      </c>
      <c r="BC67" s="274">
        <f t="shared" ref="BC67:BC130" si="66">AY67/24</f>
        <v>1</v>
      </c>
      <c r="BD67" s="275">
        <f t="shared" ref="BD67:BD130" si="67">(BB67/24)*100%</f>
        <v>1</v>
      </c>
      <c r="BE67" s="422">
        <v>171.74</v>
      </c>
      <c r="BF67" s="272">
        <f t="shared" ref="BF67:BF130" si="68">24-BG67-BH67-BI67</f>
        <v>0</v>
      </c>
      <c r="BG67" s="272">
        <f>IFERROR(INDEX('Horo. M'!$Q$3:Q$367,MATCH(A67,'Horo. M'!$A$3:$A$367,0)),"")</f>
        <v>24</v>
      </c>
      <c r="BH67" s="422">
        <v>0</v>
      </c>
      <c r="BI67" s="422">
        <v>0</v>
      </c>
      <c r="BJ67" s="272">
        <f t="shared" ref="BJ67:BJ130" si="69">24-BH67-BI67</f>
        <v>24</v>
      </c>
      <c r="BK67" s="274">
        <f t="shared" ref="BK67:BK130" si="70">BG67/24</f>
        <v>1</v>
      </c>
      <c r="BL67" s="275">
        <f t="shared" ref="BL67:BL130" si="71">(BJ67/24)*100%</f>
        <v>1</v>
      </c>
      <c r="BM67" s="422">
        <v>174.69</v>
      </c>
      <c r="BN67" s="272">
        <f t="shared" ref="BN67:BN130" si="72">24-BO67-BP67-BQ67</f>
        <v>0</v>
      </c>
      <c r="BO67" s="272">
        <f>IFERROR(INDEX('Horo. M'!$S$3:S$367,MATCH(A67,'Horo. M'!$A$3:$A$367,0)),"")</f>
        <v>24</v>
      </c>
      <c r="BP67" s="422">
        <v>0</v>
      </c>
      <c r="BQ67" s="422">
        <v>0</v>
      </c>
      <c r="BR67" s="272">
        <f t="shared" ref="BR67:BR130" si="73">24-BP67-BQ67</f>
        <v>24</v>
      </c>
      <c r="BS67" s="274">
        <f t="shared" ref="BS67:BS130" si="74">BO67/24</f>
        <v>1</v>
      </c>
      <c r="BT67" s="275">
        <f t="shared" ref="BT67:BT130" si="75">(BR67/24)*100%</f>
        <v>1</v>
      </c>
      <c r="BU67" s="422">
        <v>176.42</v>
      </c>
      <c r="BV67" s="272">
        <f t="shared" ref="BV67:BV130" si="76">24-BW67-BX67-BY67</f>
        <v>0</v>
      </c>
      <c r="BW67" s="272">
        <f>IFERROR(INDEX('Horo. M'!$U$3:U$367,MATCH(A67,'Horo. M'!$A$3:$A$367,0)),"")</f>
        <v>24</v>
      </c>
      <c r="BX67" s="422">
        <v>0</v>
      </c>
      <c r="BY67" s="422">
        <v>0</v>
      </c>
      <c r="BZ67" s="272">
        <f t="shared" ref="BZ67:BZ130" si="77">24-BX67-BY67</f>
        <v>24</v>
      </c>
      <c r="CA67" s="274">
        <f t="shared" ref="CA67:CA130" si="78">BW67/24</f>
        <v>1</v>
      </c>
      <c r="CB67" s="275">
        <f t="shared" ref="CB67:CB130" si="79">(BZ67/24)*100%</f>
        <v>1</v>
      </c>
      <c r="CC67" s="422">
        <v>173.54</v>
      </c>
    </row>
    <row r="68" spans="1:81">
      <c r="A68" s="279">
        <v>44993</v>
      </c>
      <c r="B68" s="278">
        <f t="shared" si="40"/>
        <v>0</v>
      </c>
      <c r="C68" s="272">
        <f>IFERROR(INDEX('Horo. M'!$C$3:$C$367,MATCH(A68,'Horo. M'!$A$3:$A$367,0)),"")</f>
        <v>23</v>
      </c>
      <c r="D68" s="422">
        <v>0</v>
      </c>
      <c r="E68" s="422">
        <v>1</v>
      </c>
      <c r="F68" s="272">
        <f t="shared" si="41"/>
        <v>23</v>
      </c>
      <c r="G68" s="274">
        <f t="shared" si="42"/>
        <v>0.95833333333333337</v>
      </c>
      <c r="H68" s="275">
        <f t="shared" si="43"/>
        <v>0.95833333333333337</v>
      </c>
      <c r="I68" s="422">
        <v>169.8</v>
      </c>
      <c r="J68" s="278">
        <f t="shared" si="44"/>
        <v>0</v>
      </c>
      <c r="K68" s="272">
        <f>IFERROR(INDEX('Horo. M'!$E$3:$E$367,MATCH(A68,'Horo. M'!$A$3:$A$367,0)),"")</f>
        <v>24</v>
      </c>
      <c r="L68" s="422">
        <v>0</v>
      </c>
      <c r="M68" s="422">
        <v>0</v>
      </c>
      <c r="N68" s="272">
        <f t="shared" si="45"/>
        <v>24</v>
      </c>
      <c r="O68" s="274">
        <f t="shared" si="46"/>
        <v>1</v>
      </c>
      <c r="P68" s="275">
        <f t="shared" si="47"/>
        <v>1</v>
      </c>
      <c r="Q68" s="422">
        <v>173.6</v>
      </c>
      <c r="R68" s="278">
        <f t="shared" si="48"/>
        <v>0</v>
      </c>
      <c r="S68" s="272">
        <f>IFERROR(INDEX('Horo. M'!G$3:$G$367,MATCH(A68,'Horo. M'!$A$3:$A$367,0)),"")</f>
        <v>24</v>
      </c>
      <c r="T68" s="422">
        <v>0</v>
      </c>
      <c r="U68" s="422">
        <v>0</v>
      </c>
      <c r="V68" s="272">
        <f t="shared" si="49"/>
        <v>24</v>
      </c>
      <c r="W68" s="274">
        <f t="shared" si="50"/>
        <v>1</v>
      </c>
      <c r="X68" s="275">
        <f t="shared" si="51"/>
        <v>1</v>
      </c>
      <c r="Y68" s="422">
        <v>171.46</v>
      </c>
      <c r="Z68" s="278">
        <f t="shared" si="52"/>
        <v>14</v>
      </c>
      <c r="AA68" s="272">
        <f>IFERROR(INDEX('Horo. M'!$I$3:I$367,MATCH(A68,'Horo. M'!$A$3:$A$367,0)),"")</f>
        <v>0</v>
      </c>
      <c r="AB68" s="422">
        <v>0</v>
      </c>
      <c r="AC68" s="422">
        <v>10</v>
      </c>
      <c r="AD68" s="272">
        <f t="shared" si="53"/>
        <v>14</v>
      </c>
      <c r="AE68" s="274">
        <f t="shared" si="54"/>
        <v>0</v>
      </c>
      <c r="AF68" s="275">
        <f t="shared" si="55"/>
        <v>0.58333333333333337</v>
      </c>
      <c r="AG68" s="422">
        <v>0.04</v>
      </c>
      <c r="AH68" s="272">
        <f t="shared" si="56"/>
        <v>0</v>
      </c>
      <c r="AI68" s="272">
        <f>IFERROR(INDEX('Horo. M'!$K$3:K$367,MATCH(A68,'Horo. M'!$A$3:$A$367,0)),"")</f>
        <v>0</v>
      </c>
      <c r="AJ68" s="422">
        <v>24</v>
      </c>
      <c r="AK68" s="422">
        <v>0</v>
      </c>
      <c r="AL68" s="272">
        <f t="shared" si="57"/>
        <v>0</v>
      </c>
      <c r="AM68" s="274">
        <f t="shared" si="58"/>
        <v>0</v>
      </c>
      <c r="AN68" s="275">
        <f t="shared" si="59"/>
        <v>0</v>
      </c>
      <c r="AO68" s="422">
        <v>0</v>
      </c>
      <c r="AP68" s="272">
        <f t="shared" si="60"/>
        <v>1</v>
      </c>
      <c r="AQ68" s="272">
        <f>IFERROR(INDEX('Horo. M'!$M$3:M$367,MATCH(A68,'Horo. M'!$A$3:$A$367,0)),"")</f>
        <v>23</v>
      </c>
      <c r="AR68" s="422">
        <v>0</v>
      </c>
      <c r="AS68" s="422">
        <v>0</v>
      </c>
      <c r="AT68" s="272">
        <f t="shared" si="61"/>
        <v>24</v>
      </c>
      <c r="AU68" s="274">
        <f t="shared" si="62"/>
        <v>0.95833333333333337</v>
      </c>
      <c r="AV68" s="275">
        <f t="shared" si="63"/>
        <v>1</v>
      </c>
      <c r="AW68" s="422">
        <v>175.3</v>
      </c>
      <c r="AX68" s="272">
        <f t="shared" si="64"/>
        <v>0</v>
      </c>
      <c r="AY68" s="272">
        <f>IFERROR(INDEX('Horo. M'!$O$3:O$367,MATCH(A68,'Horo. M'!$A$3:$A$367,0)),"")</f>
        <v>20</v>
      </c>
      <c r="AZ68" s="422">
        <v>4</v>
      </c>
      <c r="BA68" s="422">
        <v>0</v>
      </c>
      <c r="BB68" s="272">
        <f t="shared" si="65"/>
        <v>20</v>
      </c>
      <c r="BC68" s="274">
        <f t="shared" si="66"/>
        <v>0.83333333333333337</v>
      </c>
      <c r="BD68" s="275">
        <f t="shared" si="67"/>
        <v>0.83333333333333337</v>
      </c>
      <c r="BE68" s="422">
        <v>139.97</v>
      </c>
      <c r="BF68" s="272">
        <f t="shared" si="68"/>
        <v>0</v>
      </c>
      <c r="BG68" s="272">
        <f>IFERROR(INDEX('Horo. M'!$Q$3:Q$367,MATCH(A68,'Horo. M'!$A$3:$A$367,0)),"")</f>
        <v>24</v>
      </c>
      <c r="BH68" s="422">
        <v>0</v>
      </c>
      <c r="BI68" s="422">
        <v>0</v>
      </c>
      <c r="BJ68" s="272">
        <f t="shared" si="69"/>
        <v>24</v>
      </c>
      <c r="BK68" s="274">
        <f t="shared" si="70"/>
        <v>1</v>
      </c>
      <c r="BL68" s="275">
        <f t="shared" si="71"/>
        <v>1</v>
      </c>
      <c r="BM68" s="422">
        <v>176.72</v>
      </c>
      <c r="BN68" s="272">
        <f t="shared" si="72"/>
        <v>0</v>
      </c>
      <c r="BO68" s="272">
        <f>IFERROR(INDEX('Horo. M'!$S$3:S$367,MATCH(A68,'Horo. M'!$A$3:$A$367,0)),"")</f>
        <v>24</v>
      </c>
      <c r="BP68" s="422">
        <v>0</v>
      </c>
      <c r="BQ68" s="422">
        <v>0</v>
      </c>
      <c r="BR68" s="272">
        <f t="shared" si="73"/>
        <v>24</v>
      </c>
      <c r="BS68" s="274">
        <f t="shared" si="74"/>
        <v>1</v>
      </c>
      <c r="BT68" s="275">
        <f t="shared" si="75"/>
        <v>1</v>
      </c>
      <c r="BU68" s="422">
        <v>173.87</v>
      </c>
      <c r="BV68" s="272">
        <f t="shared" si="76"/>
        <v>0</v>
      </c>
      <c r="BW68" s="272">
        <f>IFERROR(INDEX('Horo. M'!$U$3:U$367,MATCH(A68,'Horo. M'!$A$3:$A$367,0)),"")</f>
        <v>24</v>
      </c>
      <c r="BX68" s="422">
        <v>0</v>
      </c>
      <c r="BY68" s="422">
        <v>0</v>
      </c>
      <c r="BZ68" s="272">
        <f t="shared" si="77"/>
        <v>24</v>
      </c>
      <c r="CA68" s="274">
        <f t="shared" si="78"/>
        <v>1</v>
      </c>
      <c r="CB68" s="275">
        <f t="shared" si="79"/>
        <v>1</v>
      </c>
      <c r="CC68" s="422">
        <v>174.92</v>
      </c>
    </row>
    <row r="69" spans="1:81">
      <c r="A69" s="279">
        <v>44994</v>
      </c>
      <c r="B69" s="278">
        <f t="shared" si="40"/>
        <v>1</v>
      </c>
      <c r="C69" s="272">
        <f>IFERROR(INDEX('Horo. M'!$C$3:$C$367,MATCH(A69,'Horo. M'!$A$3:$A$367,0)),"")</f>
        <v>23</v>
      </c>
      <c r="D69" s="422">
        <v>0</v>
      </c>
      <c r="E69" s="422">
        <v>0</v>
      </c>
      <c r="F69" s="272">
        <f t="shared" si="41"/>
        <v>24</v>
      </c>
      <c r="G69" s="274">
        <f t="shared" si="42"/>
        <v>0.95833333333333337</v>
      </c>
      <c r="H69" s="275">
        <f t="shared" si="43"/>
        <v>1</v>
      </c>
      <c r="I69" s="422">
        <v>160.19999999999999</v>
      </c>
      <c r="J69" s="278">
        <f t="shared" si="44"/>
        <v>0</v>
      </c>
      <c r="K69" s="272">
        <f>IFERROR(INDEX('Horo. M'!$E$3:$E$367,MATCH(A69,'Horo. M'!$A$3:$A$367,0)),"")</f>
        <v>24</v>
      </c>
      <c r="L69" s="422">
        <v>0</v>
      </c>
      <c r="M69" s="422">
        <v>0</v>
      </c>
      <c r="N69" s="272">
        <f t="shared" si="45"/>
        <v>24</v>
      </c>
      <c r="O69" s="274">
        <f t="shared" si="46"/>
        <v>1</v>
      </c>
      <c r="P69" s="275">
        <f t="shared" si="47"/>
        <v>1</v>
      </c>
      <c r="Q69" s="422">
        <v>172.8</v>
      </c>
      <c r="R69" s="278">
        <f t="shared" si="48"/>
        <v>0</v>
      </c>
      <c r="S69" s="272">
        <f>IFERROR(INDEX('Horo. M'!G$3:$G$367,MATCH(A69,'Horo. M'!$A$3:$A$367,0)),"")</f>
        <v>24</v>
      </c>
      <c r="T69" s="422">
        <v>0</v>
      </c>
      <c r="U69" s="422">
        <v>0</v>
      </c>
      <c r="V69" s="272">
        <f t="shared" si="49"/>
        <v>24</v>
      </c>
      <c r="W69" s="274">
        <f t="shared" si="50"/>
        <v>1</v>
      </c>
      <c r="X69" s="275">
        <f t="shared" si="51"/>
        <v>1</v>
      </c>
      <c r="Y69" s="422">
        <v>175.54</v>
      </c>
      <c r="Z69" s="278">
        <f t="shared" si="52"/>
        <v>0</v>
      </c>
      <c r="AA69" s="272">
        <f>IFERROR(INDEX('Horo. M'!$I$3:I$367,MATCH(A69,'Horo. M'!$A$3:$A$367,0)),"")</f>
        <v>24</v>
      </c>
      <c r="AB69" s="422">
        <v>0</v>
      </c>
      <c r="AC69" s="422">
        <v>0</v>
      </c>
      <c r="AD69" s="272">
        <f t="shared" si="53"/>
        <v>24</v>
      </c>
      <c r="AE69" s="274">
        <f t="shared" si="54"/>
        <v>1</v>
      </c>
      <c r="AF69" s="275">
        <f t="shared" si="55"/>
        <v>1</v>
      </c>
      <c r="AG69" s="422">
        <v>174.96</v>
      </c>
      <c r="AH69" s="272">
        <f t="shared" si="56"/>
        <v>0</v>
      </c>
      <c r="AI69" s="272">
        <f>IFERROR(INDEX('Horo. M'!$K$3:K$367,MATCH(A69,'Horo. M'!$A$3:$A$367,0)),"")</f>
        <v>0</v>
      </c>
      <c r="AJ69" s="422">
        <v>24</v>
      </c>
      <c r="AK69" s="422">
        <v>0</v>
      </c>
      <c r="AL69" s="272">
        <f t="shared" si="57"/>
        <v>0</v>
      </c>
      <c r="AM69" s="274">
        <f t="shared" si="58"/>
        <v>0</v>
      </c>
      <c r="AN69" s="275">
        <f t="shared" si="59"/>
        <v>0</v>
      </c>
      <c r="AO69" s="422">
        <v>0</v>
      </c>
      <c r="AP69" s="272">
        <f t="shared" si="60"/>
        <v>0</v>
      </c>
      <c r="AQ69" s="272">
        <f>IFERROR(INDEX('Horo. M'!$M$3:M$367,MATCH(A69,'Horo. M'!$A$3:$A$367,0)),"")</f>
        <v>24</v>
      </c>
      <c r="AR69" s="422">
        <v>0</v>
      </c>
      <c r="AS69" s="422">
        <v>0</v>
      </c>
      <c r="AT69" s="272">
        <f t="shared" si="61"/>
        <v>24</v>
      </c>
      <c r="AU69" s="274">
        <f t="shared" si="62"/>
        <v>1</v>
      </c>
      <c r="AV69" s="275">
        <f t="shared" si="63"/>
        <v>1</v>
      </c>
      <c r="AW69" s="422">
        <v>175.54</v>
      </c>
      <c r="AX69" s="272">
        <f t="shared" si="64"/>
        <v>0</v>
      </c>
      <c r="AY69" s="272">
        <f>IFERROR(INDEX('Horo. M'!$O$3:O$367,MATCH(A69,'Horo. M'!$A$3:$A$367,0)),"")</f>
        <v>22</v>
      </c>
      <c r="AZ69" s="422">
        <v>2</v>
      </c>
      <c r="BA69" s="422">
        <v>0</v>
      </c>
      <c r="BB69" s="272">
        <f t="shared" si="65"/>
        <v>22</v>
      </c>
      <c r="BC69" s="274">
        <f t="shared" si="66"/>
        <v>0.91666666666666663</v>
      </c>
      <c r="BD69" s="275">
        <f t="shared" si="67"/>
        <v>0.91666666666666663</v>
      </c>
      <c r="BE69" s="422">
        <v>154.93</v>
      </c>
      <c r="BF69" s="272">
        <f t="shared" si="68"/>
        <v>0</v>
      </c>
      <c r="BG69" s="272">
        <f>IFERROR(INDEX('Horo. M'!$Q$3:Q$367,MATCH(A69,'Horo. M'!$A$3:$A$367,0)),"")</f>
        <v>24</v>
      </c>
      <c r="BH69" s="422">
        <v>0</v>
      </c>
      <c r="BI69" s="422">
        <v>0</v>
      </c>
      <c r="BJ69" s="272">
        <f t="shared" si="69"/>
        <v>24</v>
      </c>
      <c r="BK69" s="274">
        <f t="shared" si="70"/>
        <v>1</v>
      </c>
      <c r="BL69" s="275">
        <f t="shared" si="71"/>
        <v>1</v>
      </c>
      <c r="BM69" s="422">
        <v>176.31</v>
      </c>
      <c r="BN69" s="272">
        <f t="shared" si="72"/>
        <v>24</v>
      </c>
      <c r="BO69" s="272">
        <f>IFERROR(INDEX('Horo. M'!$S$3:S$367,MATCH(A69,'Horo. M'!$A$3:$A$367,0)),"")</f>
        <v>0</v>
      </c>
      <c r="BP69" s="422">
        <v>0</v>
      </c>
      <c r="BQ69" s="422">
        <v>0</v>
      </c>
      <c r="BR69" s="272">
        <f t="shared" si="73"/>
        <v>24</v>
      </c>
      <c r="BS69" s="274">
        <f t="shared" si="74"/>
        <v>0</v>
      </c>
      <c r="BT69" s="275">
        <f t="shared" si="75"/>
        <v>1</v>
      </c>
      <c r="BU69" s="422">
        <v>0.02</v>
      </c>
      <c r="BV69" s="272">
        <f t="shared" si="76"/>
        <v>0</v>
      </c>
      <c r="BW69" s="272">
        <f>IFERROR(INDEX('Horo. M'!$U$3:U$367,MATCH(A69,'Horo. M'!$A$3:$A$367,0)),"")</f>
        <v>24</v>
      </c>
      <c r="BX69" s="422">
        <v>0</v>
      </c>
      <c r="BY69" s="422">
        <v>0</v>
      </c>
      <c r="BZ69" s="272">
        <f t="shared" si="77"/>
        <v>24</v>
      </c>
      <c r="CA69" s="274">
        <f t="shared" si="78"/>
        <v>1</v>
      </c>
      <c r="CB69" s="275">
        <f t="shared" si="79"/>
        <v>1</v>
      </c>
      <c r="CC69" s="422">
        <v>175.46</v>
      </c>
    </row>
    <row r="70" spans="1:81">
      <c r="A70" s="279">
        <v>44995</v>
      </c>
      <c r="B70" s="278">
        <f t="shared" si="40"/>
        <v>0</v>
      </c>
      <c r="C70" s="272">
        <f>IFERROR(INDEX('Horo. M'!$C$3:$C$367,MATCH(A70,'Horo. M'!$A$3:$A$367,0)),"")</f>
        <v>22</v>
      </c>
      <c r="D70" s="422">
        <v>0</v>
      </c>
      <c r="E70" s="422">
        <v>2</v>
      </c>
      <c r="F70" s="272">
        <f t="shared" si="41"/>
        <v>22</v>
      </c>
      <c r="G70" s="274">
        <f t="shared" si="42"/>
        <v>0.91666666666666663</v>
      </c>
      <c r="H70" s="275">
        <f t="shared" si="43"/>
        <v>0.91666666666666663</v>
      </c>
      <c r="I70" s="422">
        <v>157.80000000000001</v>
      </c>
      <c r="J70" s="278">
        <f t="shared" si="44"/>
        <v>0</v>
      </c>
      <c r="K70" s="272">
        <f>IFERROR(INDEX('Horo. M'!$E$3:$E$367,MATCH(A70,'Horo. M'!$A$3:$A$367,0)),"")</f>
        <v>24</v>
      </c>
      <c r="L70" s="422">
        <v>0</v>
      </c>
      <c r="M70" s="422">
        <v>0</v>
      </c>
      <c r="N70" s="272">
        <f t="shared" si="45"/>
        <v>24</v>
      </c>
      <c r="O70" s="274">
        <f t="shared" si="46"/>
        <v>1</v>
      </c>
      <c r="P70" s="275">
        <f t="shared" si="47"/>
        <v>1</v>
      </c>
      <c r="Q70" s="422">
        <v>174.4</v>
      </c>
      <c r="R70" s="278">
        <f t="shared" si="48"/>
        <v>0</v>
      </c>
      <c r="S70" s="272">
        <f>IFERROR(INDEX('Horo. M'!G$3:$G$367,MATCH(A70,'Horo. M'!$A$3:$A$367,0)),"")</f>
        <v>24</v>
      </c>
      <c r="T70" s="422">
        <v>0</v>
      </c>
      <c r="U70" s="422">
        <v>0</v>
      </c>
      <c r="V70" s="272">
        <f t="shared" si="49"/>
        <v>24</v>
      </c>
      <c r="W70" s="274">
        <f t="shared" si="50"/>
        <v>1</v>
      </c>
      <c r="X70" s="275">
        <f t="shared" si="51"/>
        <v>1</v>
      </c>
      <c r="Y70" s="422">
        <v>174.58</v>
      </c>
      <c r="Z70" s="278">
        <f t="shared" si="52"/>
        <v>0</v>
      </c>
      <c r="AA70" s="272">
        <f>IFERROR(INDEX('Horo. M'!$I$3:I$367,MATCH(A70,'Horo. M'!$A$3:$A$367,0)),"")</f>
        <v>24</v>
      </c>
      <c r="AB70" s="422">
        <v>0</v>
      </c>
      <c r="AC70" s="422">
        <v>0</v>
      </c>
      <c r="AD70" s="272">
        <f t="shared" si="53"/>
        <v>24</v>
      </c>
      <c r="AE70" s="274">
        <f t="shared" si="54"/>
        <v>1</v>
      </c>
      <c r="AF70" s="275">
        <f t="shared" si="55"/>
        <v>1</v>
      </c>
      <c r="AG70" s="422">
        <v>175.15</v>
      </c>
      <c r="AH70" s="272">
        <f t="shared" si="56"/>
        <v>0</v>
      </c>
      <c r="AI70" s="272">
        <f>IFERROR(INDEX('Horo. M'!$K$3:K$367,MATCH(A70,'Horo. M'!$A$3:$A$367,0)),"")</f>
        <v>0</v>
      </c>
      <c r="AJ70" s="422">
        <v>24</v>
      </c>
      <c r="AK70" s="422">
        <v>0</v>
      </c>
      <c r="AL70" s="272">
        <f t="shared" si="57"/>
        <v>0</v>
      </c>
      <c r="AM70" s="274">
        <f t="shared" si="58"/>
        <v>0</v>
      </c>
      <c r="AN70" s="275">
        <f t="shared" si="59"/>
        <v>0</v>
      </c>
      <c r="AO70" s="422">
        <v>0</v>
      </c>
      <c r="AP70" s="272">
        <f t="shared" si="60"/>
        <v>23</v>
      </c>
      <c r="AQ70" s="272">
        <f>IFERROR(INDEX('Horo. M'!$M$3:M$367,MATCH(A70,'Horo. M'!$A$3:$A$367,0)),"")</f>
        <v>1</v>
      </c>
      <c r="AR70" s="422">
        <v>0</v>
      </c>
      <c r="AS70" s="422">
        <v>0</v>
      </c>
      <c r="AT70" s="272">
        <f t="shared" si="61"/>
        <v>24</v>
      </c>
      <c r="AU70" s="274">
        <f t="shared" si="62"/>
        <v>4.1666666666666664E-2</v>
      </c>
      <c r="AV70" s="275">
        <f t="shared" si="63"/>
        <v>1</v>
      </c>
      <c r="AW70" s="422">
        <v>0.06</v>
      </c>
      <c r="AX70" s="272">
        <f t="shared" si="64"/>
        <v>3</v>
      </c>
      <c r="AY70" s="272">
        <f>IFERROR(INDEX('Horo. M'!$O$3:O$367,MATCH(A70,'Horo. M'!$A$3:$A$367,0)),"")</f>
        <v>21</v>
      </c>
      <c r="AZ70" s="422">
        <v>0</v>
      </c>
      <c r="BA70" s="422">
        <v>0</v>
      </c>
      <c r="BB70" s="272">
        <f t="shared" si="65"/>
        <v>24</v>
      </c>
      <c r="BC70" s="274">
        <f t="shared" si="66"/>
        <v>0.875</v>
      </c>
      <c r="BD70" s="275">
        <f t="shared" si="67"/>
        <v>1</v>
      </c>
      <c r="BE70" s="422">
        <v>154.41</v>
      </c>
      <c r="BF70" s="272">
        <f t="shared" si="68"/>
        <v>0</v>
      </c>
      <c r="BG70" s="272">
        <f>IFERROR(INDEX('Horo. M'!$Q$3:Q$367,MATCH(A70,'Horo. M'!$A$3:$A$367,0)),"")</f>
        <v>23</v>
      </c>
      <c r="BH70" s="422">
        <v>1</v>
      </c>
      <c r="BI70" s="422">
        <v>0</v>
      </c>
      <c r="BJ70" s="272">
        <f t="shared" si="69"/>
        <v>23</v>
      </c>
      <c r="BK70" s="274">
        <f t="shared" si="70"/>
        <v>0.95833333333333337</v>
      </c>
      <c r="BL70" s="275">
        <f t="shared" si="71"/>
        <v>0.95833333333333337</v>
      </c>
      <c r="BM70" s="422">
        <v>169.49</v>
      </c>
      <c r="BN70" s="272">
        <f t="shared" si="72"/>
        <v>0</v>
      </c>
      <c r="BO70" s="272">
        <f>IFERROR(INDEX('Horo. M'!$S$3:S$367,MATCH(A70,'Horo. M'!$A$3:$A$367,0)),"")</f>
        <v>24</v>
      </c>
      <c r="BP70" s="422">
        <v>0</v>
      </c>
      <c r="BQ70" s="422">
        <v>0</v>
      </c>
      <c r="BR70" s="272">
        <f t="shared" si="73"/>
        <v>24</v>
      </c>
      <c r="BS70" s="274">
        <f t="shared" si="74"/>
        <v>1</v>
      </c>
      <c r="BT70" s="275">
        <f t="shared" si="75"/>
        <v>1</v>
      </c>
      <c r="BU70" s="422">
        <v>173.46</v>
      </c>
      <c r="BV70" s="272">
        <f t="shared" si="76"/>
        <v>0</v>
      </c>
      <c r="BW70" s="272">
        <f>IFERROR(INDEX('Horo. M'!$U$3:U$367,MATCH(A70,'Horo. M'!$A$3:$A$367,0)),"")</f>
        <v>24</v>
      </c>
      <c r="BX70" s="422">
        <v>0</v>
      </c>
      <c r="BY70" s="422">
        <v>0</v>
      </c>
      <c r="BZ70" s="272">
        <f t="shared" si="77"/>
        <v>24</v>
      </c>
      <c r="CA70" s="274">
        <f t="shared" si="78"/>
        <v>1</v>
      </c>
      <c r="CB70" s="275">
        <f t="shared" si="79"/>
        <v>1</v>
      </c>
      <c r="CC70" s="422">
        <v>174.24</v>
      </c>
    </row>
    <row r="71" spans="1:81">
      <c r="A71" s="279">
        <v>44996</v>
      </c>
      <c r="B71" s="278">
        <f t="shared" si="40"/>
        <v>3</v>
      </c>
      <c r="C71" s="272">
        <f>IFERROR(INDEX('Horo. M'!$C$3:$C$367,MATCH(A71,'Horo. M'!$A$3:$A$367,0)),"")</f>
        <v>13</v>
      </c>
      <c r="D71" s="422">
        <v>0</v>
      </c>
      <c r="E71" s="422">
        <v>8</v>
      </c>
      <c r="F71" s="272">
        <f t="shared" si="41"/>
        <v>16</v>
      </c>
      <c r="G71" s="274">
        <f t="shared" si="42"/>
        <v>0.54166666666666663</v>
      </c>
      <c r="H71" s="275">
        <f t="shared" si="43"/>
        <v>0.66666666666666663</v>
      </c>
      <c r="I71" s="422">
        <v>84.7</v>
      </c>
      <c r="J71" s="278">
        <f t="shared" si="44"/>
        <v>0</v>
      </c>
      <c r="K71" s="272">
        <f>IFERROR(INDEX('Horo. M'!$E$3:$E$367,MATCH(A71,'Horo. M'!$A$3:$A$367,0)),"")</f>
        <v>24</v>
      </c>
      <c r="L71" s="422">
        <v>0</v>
      </c>
      <c r="M71" s="422">
        <v>0</v>
      </c>
      <c r="N71" s="272">
        <f t="shared" si="45"/>
        <v>24</v>
      </c>
      <c r="O71" s="274">
        <f t="shared" si="46"/>
        <v>1</v>
      </c>
      <c r="P71" s="275">
        <f t="shared" si="47"/>
        <v>1</v>
      </c>
      <c r="Q71" s="422">
        <v>182.1</v>
      </c>
      <c r="R71" s="278">
        <f t="shared" si="48"/>
        <v>0</v>
      </c>
      <c r="S71" s="272">
        <f>IFERROR(INDEX('Horo. M'!G$3:$G$367,MATCH(A71,'Horo. M'!$A$3:$A$367,0)),"")</f>
        <v>24</v>
      </c>
      <c r="T71" s="422">
        <v>0</v>
      </c>
      <c r="U71" s="422">
        <v>0</v>
      </c>
      <c r="V71" s="272">
        <f t="shared" si="49"/>
        <v>24</v>
      </c>
      <c r="W71" s="274">
        <f t="shared" si="50"/>
        <v>1</v>
      </c>
      <c r="X71" s="275">
        <f t="shared" si="51"/>
        <v>1</v>
      </c>
      <c r="Y71" s="422">
        <v>181.01</v>
      </c>
      <c r="Z71" s="278">
        <f t="shared" si="52"/>
        <v>24</v>
      </c>
      <c r="AA71" s="272">
        <f>IFERROR(INDEX('Horo. M'!$I$3:I$367,MATCH(A71,'Horo. M'!$A$3:$A$367,0)),"")</f>
        <v>0</v>
      </c>
      <c r="AB71" s="422">
        <v>0</v>
      </c>
      <c r="AC71" s="422">
        <v>0</v>
      </c>
      <c r="AD71" s="272">
        <f t="shared" si="53"/>
        <v>24</v>
      </c>
      <c r="AE71" s="274">
        <f t="shared" si="54"/>
        <v>0</v>
      </c>
      <c r="AF71" s="275">
        <f t="shared" si="55"/>
        <v>1</v>
      </c>
      <c r="AG71" s="422">
        <v>0.1</v>
      </c>
      <c r="AH71" s="272">
        <f t="shared" si="56"/>
        <v>0</v>
      </c>
      <c r="AI71" s="272">
        <f>IFERROR(INDEX('Horo. M'!$K$3:K$367,MATCH(A71,'Horo. M'!$A$3:$A$367,0)),"")</f>
        <v>0</v>
      </c>
      <c r="AJ71" s="422">
        <v>24</v>
      </c>
      <c r="AK71" s="422">
        <v>0</v>
      </c>
      <c r="AL71" s="272">
        <f t="shared" si="57"/>
        <v>0</v>
      </c>
      <c r="AM71" s="274">
        <f t="shared" si="58"/>
        <v>0</v>
      </c>
      <c r="AN71" s="275">
        <f t="shared" si="59"/>
        <v>0</v>
      </c>
      <c r="AO71" s="422">
        <v>0</v>
      </c>
      <c r="AP71" s="272">
        <f t="shared" si="60"/>
        <v>1</v>
      </c>
      <c r="AQ71" s="272">
        <f>IFERROR(INDEX('Horo. M'!$M$3:M$367,MATCH(A71,'Horo. M'!$A$3:$A$367,0)),"")</f>
        <v>23</v>
      </c>
      <c r="AR71" s="422">
        <v>0</v>
      </c>
      <c r="AS71" s="422">
        <v>0</v>
      </c>
      <c r="AT71" s="272">
        <f t="shared" si="61"/>
        <v>24</v>
      </c>
      <c r="AU71" s="274">
        <f t="shared" si="62"/>
        <v>0.95833333333333337</v>
      </c>
      <c r="AV71" s="275">
        <f t="shared" si="63"/>
        <v>1</v>
      </c>
      <c r="AW71" s="422">
        <v>182.26</v>
      </c>
      <c r="AX71" s="272">
        <f t="shared" si="64"/>
        <v>0</v>
      </c>
      <c r="AY71" s="272">
        <f>IFERROR(INDEX('Horo. M'!$O$3:O$367,MATCH(A71,'Horo. M'!$A$3:$A$367,0)),"")</f>
        <v>24</v>
      </c>
      <c r="AZ71" s="422">
        <v>0</v>
      </c>
      <c r="BA71" s="422">
        <v>0</v>
      </c>
      <c r="BB71" s="272">
        <f t="shared" si="65"/>
        <v>24</v>
      </c>
      <c r="BC71" s="274">
        <f t="shared" si="66"/>
        <v>1</v>
      </c>
      <c r="BD71" s="275">
        <f t="shared" si="67"/>
        <v>1</v>
      </c>
      <c r="BE71" s="422">
        <v>182.48</v>
      </c>
      <c r="BF71" s="272">
        <f t="shared" si="68"/>
        <v>0</v>
      </c>
      <c r="BG71" s="272">
        <f>IFERROR(INDEX('Horo. M'!$Q$3:Q$367,MATCH(A71,'Horo. M'!$A$3:$A$367,0)),"")</f>
        <v>21</v>
      </c>
      <c r="BH71" s="422">
        <v>3</v>
      </c>
      <c r="BI71" s="422">
        <v>0</v>
      </c>
      <c r="BJ71" s="272">
        <f t="shared" si="69"/>
        <v>21</v>
      </c>
      <c r="BK71" s="274">
        <f t="shared" si="70"/>
        <v>0.875</v>
      </c>
      <c r="BL71" s="275">
        <f t="shared" si="71"/>
        <v>0.875</v>
      </c>
      <c r="BM71" s="422">
        <v>153.79</v>
      </c>
      <c r="BN71" s="272">
        <f t="shared" si="72"/>
        <v>0</v>
      </c>
      <c r="BO71" s="272">
        <f>IFERROR(INDEX('Horo. M'!$S$3:S$367,MATCH(A71,'Horo. M'!$A$3:$A$367,0)),"")</f>
        <v>24</v>
      </c>
      <c r="BP71" s="422">
        <v>0</v>
      </c>
      <c r="BQ71" s="422">
        <v>0</v>
      </c>
      <c r="BR71" s="272">
        <f t="shared" si="73"/>
        <v>24</v>
      </c>
      <c r="BS71" s="274">
        <f t="shared" si="74"/>
        <v>1</v>
      </c>
      <c r="BT71" s="275">
        <f t="shared" si="75"/>
        <v>1</v>
      </c>
      <c r="BU71" s="422">
        <v>184.93</v>
      </c>
      <c r="BV71" s="272">
        <f t="shared" si="76"/>
        <v>0</v>
      </c>
      <c r="BW71" s="272">
        <f>IFERROR(INDEX('Horo. M'!$U$3:U$367,MATCH(A71,'Horo. M'!$A$3:$A$367,0)),"")</f>
        <v>24</v>
      </c>
      <c r="BX71" s="422">
        <v>0</v>
      </c>
      <c r="BY71" s="422">
        <v>0</v>
      </c>
      <c r="BZ71" s="272">
        <f t="shared" si="77"/>
        <v>24</v>
      </c>
      <c r="CA71" s="274">
        <f t="shared" si="78"/>
        <v>1</v>
      </c>
      <c r="CB71" s="275">
        <f t="shared" si="79"/>
        <v>1</v>
      </c>
      <c r="CC71" s="422">
        <v>184.69</v>
      </c>
    </row>
    <row r="72" spans="1:81">
      <c r="A72" s="279">
        <v>44997</v>
      </c>
      <c r="B72" s="278">
        <f t="shared" si="40"/>
        <v>0</v>
      </c>
      <c r="C72" s="272">
        <f>IFERROR(INDEX('Horo. M'!$C$3:$C$367,MATCH(A72,'Horo. M'!$A$3:$A$367,0)),"")</f>
        <v>24</v>
      </c>
      <c r="D72" s="422">
        <v>0</v>
      </c>
      <c r="E72" s="422">
        <v>0</v>
      </c>
      <c r="F72" s="272">
        <f t="shared" si="41"/>
        <v>24</v>
      </c>
      <c r="G72" s="274">
        <f t="shared" si="42"/>
        <v>1</v>
      </c>
      <c r="H72" s="275">
        <f t="shared" si="43"/>
        <v>1</v>
      </c>
      <c r="I72" s="422">
        <v>191.9</v>
      </c>
      <c r="J72" s="278">
        <f t="shared" si="44"/>
        <v>0</v>
      </c>
      <c r="K72" s="272">
        <f>IFERROR(INDEX('Horo. M'!$E$3:$E$367,MATCH(A72,'Horo. M'!$A$3:$A$367,0)),"")</f>
        <v>24</v>
      </c>
      <c r="L72" s="422">
        <v>0</v>
      </c>
      <c r="M72" s="422">
        <v>0</v>
      </c>
      <c r="N72" s="272">
        <f t="shared" si="45"/>
        <v>24</v>
      </c>
      <c r="O72" s="274">
        <f t="shared" si="46"/>
        <v>1</v>
      </c>
      <c r="P72" s="275">
        <f t="shared" si="47"/>
        <v>1</v>
      </c>
      <c r="Q72" s="422">
        <v>188.8</v>
      </c>
      <c r="R72" s="278">
        <f t="shared" si="48"/>
        <v>0</v>
      </c>
      <c r="S72" s="272">
        <f>IFERROR(INDEX('Horo. M'!G$3:$G$367,MATCH(A72,'Horo. M'!$A$3:$A$367,0)),"")</f>
        <v>24</v>
      </c>
      <c r="T72" s="422">
        <v>0</v>
      </c>
      <c r="U72" s="422">
        <v>0</v>
      </c>
      <c r="V72" s="272">
        <f t="shared" si="49"/>
        <v>24</v>
      </c>
      <c r="W72" s="274">
        <f t="shared" si="50"/>
        <v>1</v>
      </c>
      <c r="X72" s="275">
        <f t="shared" si="51"/>
        <v>1</v>
      </c>
      <c r="Y72" s="422">
        <v>176.46</v>
      </c>
      <c r="Z72" s="278">
        <f t="shared" si="52"/>
        <v>7</v>
      </c>
      <c r="AA72" s="272">
        <f>IFERROR(INDEX('Horo. M'!$I$3:I$367,MATCH(A72,'Horo. M'!$A$3:$A$367,0)),"")</f>
        <v>7</v>
      </c>
      <c r="AB72" s="422">
        <v>0</v>
      </c>
      <c r="AC72" s="422">
        <v>10</v>
      </c>
      <c r="AD72" s="272">
        <f t="shared" si="53"/>
        <v>14</v>
      </c>
      <c r="AE72" s="274">
        <f t="shared" si="54"/>
        <v>0.29166666666666669</v>
      </c>
      <c r="AF72" s="275">
        <f t="shared" si="55"/>
        <v>0.58333333333333337</v>
      </c>
      <c r="AG72" s="422">
        <v>48.93</v>
      </c>
      <c r="AH72" s="272">
        <f t="shared" si="56"/>
        <v>0</v>
      </c>
      <c r="AI72" s="272">
        <f>IFERROR(INDEX('Horo. M'!$K$3:K$367,MATCH(A72,'Horo. M'!$A$3:$A$367,0)),"")</f>
        <v>0</v>
      </c>
      <c r="AJ72" s="422">
        <v>24</v>
      </c>
      <c r="AK72" s="422">
        <v>0</v>
      </c>
      <c r="AL72" s="272">
        <f t="shared" si="57"/>
        <v>0</v>
      </c>
      <c r="AM72" s="274">
        <f t="shared" si="58"/>
        <v>0</v>
      </c>
      <c r="AN72" s="275">
        <f t="shared" si="59"/>
        <v>0</v>
      </c>
      <c r="AO72" s="422">
        <v>0</v>
      </c>
      <c r="AP72" s="272">
        <f t="shared" si="60"/>
        <v>24</v>
      </c>
      <c r="AQ72" s="272">
        <f>IFERROR(INDEX('Horo. M'!$M$3:M$367,MATCH(A72,'Horo. M'!$A$3:$A$367,0)),"")</f>
        <v>0</v>
      </c>
      <c r="AR72" s="422">
        <v>0</v>
      </c>
      <c r="AS72" s="422">
        <v>0</v>
      </c>
      <c r="AT72" s="272">
        <f t="shared" si="61"/>
        <v>24</v>
      </c>
      <c r="AU72" s="274">
        <f t="shared" si="62"/>
        <v>0</v>
      </c>
      <c r="AV72" s="275">
        <f t="shared" si="63"/>
        <v>1</v>
      </c>
      <c r="AW72" s="422">
        <v>0</v>
      </c>
      <c r="AX72" s="272">
        <f t="shared" si="64"/>
        <v>0</v>
      </c>
      <c r="AY72" s="272">
        <f>IFERROR(INDEX('Horo. M'!$O$3:O$367,MATCH(A72,'Horo. M'!$A$3:$A$367,0)),"")</f>
        <v>24</v>
      </c>
      <c r="AZ72" s="422">
        <v>0</v>
      </c>
      <c r="BA72" s="422">
        <v>0</v>
      </c>
      <c r="BB72" s="272">
        <f t="shared" si="65"/>
        <v>24</v>
      </c>
      <c r="BC72" s="274">
        <f t="shared" si="66"/>
        <v>1</v>
      </c>
      <c r="BD72" s="275">
        <f t="shared" si="67"/>
        <v>1</v>
      </c>
      <c r="BE72" s="422">
        <v>186.49</v>
      </c>
      <c r="BF72" s="272">
        <f t="shared" si="68"/>
        <v>0</v>
      </c>
      <c r="BG72" s="272">
        <f>IFERROR(INDEX('Horo. M'!$Q$3:Q$367,MATCH(A72,'Horo. M'!$A$3:$A$367,0)),"")</f>
        <v>24</v>
      </c>
      <c r="BH72" s="422">
        <v>0</v>
      </c>
      <c r="BI72" s="422">
        <v>0</v>
      </c>
      <c r="BJ72" s="272">
        <f t="shared" si="69"/>
        <v>24</v>
      </c>
      <c r="BK72" s="274">
        <f t="shared" si="70"/>
        <v>1</v>
      </c>
      <c r="BL72" s="275">
        <f t="shared" si="71"/>
        <v>1</v>
      </c>
      <c r="BM72" s="422">
        <v>190.63</v>
      </c>
      <c r="BN72" s="272">
        <f t="shared" si="72"/>
        <v>0</v>
      </c>
      <c r="BO72" s="272">
        <f>IFERROR(INDEX('Horo. M'!$S$3:S$367,MATCH(A72,'Horo. M'!$A$3:$A$367,0)),"")</f>
        <v>20</v>
      </c>
      <c r="BP72" s="422">
        <v>0</v>
      </c>
      <c r="BQ72" s="422">
        <v>4</v>
      </c>
      <c r="BR72" s="272">
        <f t="shared" si="73"/>
        <v>20</v>
      </c>
      <c r="BS72" s="274">
        <f t="shared" si="74"/>
        <v>0.83333333333333337</v>
      </c>
      <c r="BT72" s="275">
        <f t="shared" si="75"/>
        <v>0.83333333333333337</v>
      </c>
      <c r="BU72" s="422">
        <v>159.22999999999999</v>
      </c>
      <c r="BV72" s="272">
        <f t="shared" si="76"/>
        <v>0</v>
      </c>
      <c r="BW72" s="272">
        <f>IFERROR(INDEX('Horo. M'!$U$3:U$367,MATCH(A72,'Horo. M'!$A$3:$A$367,0)),"")</f>
        <v>24</v>
      </c>
      <c r="BX72" s="422">
        <v>0</v>
      </c>
      <c r="BY72" s="422">
        <v>0</v>
      </c>
      <c r="BZ72" s="272">
        <f t="shared" si="77"/>
        <v>24</v>
      </c>
      <c r="CA72" s="274">
        <f t="shared" si="78"/>
        <v>1</v>
      </c>
      <c r="CB72" s="275">
        <f t="shared" si="79"/>
        <v>1</v>
      </c>
      <c r="CC72" s="422">
        <v>186.55</v>
      </c>
    </row>
    <row r="73" spans="1:81">
      <c r="A73" s="279">
        <v>44998</v>
      </c>
      <c r="B73" s="278">
        <f t="shared" si="40"/>
        <v>0</v>
      </c>
      <c r="C73" s="272">
        <f>IFERROR(INDEX('Horo. M'!$C$3:$C$367,MATCH(A73,'Horo. M'!$A$3:$A$367,0)),"")</f>
        <v>24</v>
      </c>
      <c r="D73" s="422">
        <v>0</v>
      </c>
      <c r="E73" s="422">
        <v>0</v>
      </c>
      <c r="F73" s="272">
        <f t="shared" si="41"/>
        <v>24</v>
      </c>
      <c r="G73" s="274">
        <f t="shared" si="42"/>
        <v>1</v>
      </c>
      <c r="H73" s="275">
        <f t="shared" si="43"/>
        <v>1</v>
      </c>
      <c r="I73" s="422">
        <v>170.3</v>
      </c>
      <c r="J73" s="278">
        <f t="shared" si="44"/>
        <v>0</v>
      </c>
      <c r="K73" s="272">
        <f>IFERROR(INDEX('Horo. M'!$E$3:$E$367,MATCH(A73,'Horo. M'!$A$3:$A$367,0)),"")</f>
        <v>24</v>
      </c>
      <c r="L73" s="422">
        <v>0</v>
      </c>
      <c r="M73" s="422">
        <v>0</v>
      </c>
      <c r="N73" s="272">
        <f t="shared" si="45"/>
        <v>24</v>
      </c>
      <c r="O73" s="274">
        <f t="shared" si="46"/>
        <v>1</v>
      </c>
      <c r="P73" s="275">
        <f t="shared" si="47"/>
        <v>1</v>
      </c>
      <c r="Q73" s="422">
        <v>171.2</v>
      </c>
      <c r="R73" s="278">
        <f t="shared" si="48"/>
        <v>0</v>
      </c>
      <c r="S73" s="272">
        <f>IFERROR(INDEX('Horo. M'!G$3:$G$367,MATCH(A73,'Horo. M'!$A$3:$A$367,0)),"")</f>
        <v>24</v>
      </c>
      <c r="T73" s="422">
        <v>0</v>
      </c>
      <c r="U73" s="422">
        <v>0</v>
      </c>
      <c r="V73" s="272">
        <f t="shared" si="49"/>
        <v>24</v>
      </c>
      <c r="W73" s="274">
        <f t="shared" si="50"/>
        <v>1</v>
      </c>
      <c r="X73" s="275">
        <f t="shared" si="51"/>
        <v>1</v>
      </c>
      <c r="Y73" s="422">
        <v>165.85</v>
      </c>
      <c r="Z73" s="278">
        <f t="shared" si="52"/>
        <v>0</v>
      </c>
      <c r="AA73" s="272">
        <f>IFERROR(INDEX('Horo. M'!$I$3:I$367,MATCH(A73,'Horo. M'!$A$3:$A$367,0)),"")</f>
        <v>24</v>
      </c>
      <c r="AB73" s="422">
        <v>0</v>
      </c>
      <c r="AC73" s="422">
        <v>0</v>
      </c>
      <c r="AD73" s="272">
        <f t="shared" si="53"/>
        <v>24</v>
      </c>
      <c r="AE73" s="274">
        <f t="shared" si="54"/>
        <v>1</v>
      </c>
      <c r="AF73" s="275">
        <f t="shared" si="55"/>
        <v>1</v>
      </c>
      <c r="AG73" s="422">
        <v>171.8</v>
      </c>
      <c r="AH73" s="272">
        <f t="shared" si="56"/>
        <v>0</v>
      </c>
      <c r="AI73" s="272">
        <f>IFERROR(INDEX('Horo. M'!$K$3:K$367,MATCH(A73,'Horo. M'!$A$3:$A$367,0)),"")</f>
        <v>0</v>
      </c>
      <c r="AJ73" s="422">
        <v>24</v>
      </c>
      <c r="AK73" s="422">
        <v>0</v>
      </c>
      <c r="AL73" s="272">
        <f t="shared" si="57"/>
        <v>0</v>
      </c>
      <c r="AM73" s="274">
        <f t="shared" si="58"/>
        <v>0</v>
      </c>
      <c r="AN73" s="275">
        <f t="shared" si="59"/>
        <v>0</v>
      </c>
      <c r="AO73" s="422">
        <v>0</v>
      </c>
      <c r="AP73" s="272">
        <f t="shared" si="60"/>
        <v>0</v>
      </c>
      <c r="AQ73" s="272">
        <f>IFERROR(INDEX('Horo. M'!$M$3:M$367,MATCH(A73,'Horo. M'!$A$3:$A$367,0)),"")</f>
        <v>24</v>
      </c>
      <c r="AR73" s="422">
        <v>0</v>
      </c>
      <c r="AS73" s="422">
        <v>0</v>
      </c>
      <c r="AT73" s="272">
        <f t="shared" si="61"/>
        <v>24</v>
      </c>
      <c r="AU73" s="274">
        <f t="shared" si="62"/>
        <v>1</v>
      </c>
      <c r="AV73" s="275">
        <f t="shared" si="63"/>
        <v>1</v>
      </c>
      <c r="AW73" s="422">
        <v>170.21</v>
      </c>
      <c r="AX73" s="272">
        <f t="shared" si="64"/>
        <v>2</v>
      </c>
      <c r="AY73" s="272">
        <f>IFERROR(INDEX('Horo. M'!$O$3:O$367,MATCH(A73,'Horo. M'!$A$3:$A$367,0)),"")</f>
        <v>20</v>
      </c>
      <c r="AZ73" s="422">
        <v>0</v>
      </c>
      <c r="BA73" s="422">
        <v>2</v>
      </c>
      <c r="BB73" s="272">
        <f t="shared" si="65"/>
        <v>22</v>
      </c>
      <c r="BC73" s="274">
        <f t="shared" si="66"/>
        <v>0.83333333333333337</v>
      </c>
      <c r="BD73" s="275">
        <f t="shared" si="67"/>
        <v>0.91666666666666663</v>
      </c>
      <c r="BE73" s="422">
        <v>140.16</v>
      </c>
      <c r="BF73" s="272">
        <f t="shared" si="68"/>
        <v>0</v>
      </c>
      <c r="BG73" s="272">
        <f>IFERROR(INDEX('Horo. M'!$Q$3:Q$367,MATCH(A73,'Horo. M'!$A$3:$A$367,0)),"")</f>
        <v>24</v>
      </c>
      <c r="BH73" s="422">
        <v>0</v>
      </c>
      <c r="BI73" s="422">
        <v>0</v>
      </c>
      <c r="BJ73" s="272">
        <f t="shared" si="69"/>
        <v>24</v>
      </c>
      <c r="BK73" s="274">
        <f t="shared" si="70"/>
        <v>1</v>
      </c>
      <c r="BL73" s="275">
        <f t="shared" si="71"/>
        <v>1</v>
      </c>
      <c r="BM73" s="422">
        <v>170.55</v>
      </c>
      <c r="BN73" s="272">
        <f t="shared" si="72"/>
        <v>20</v>
      </c>
      <c r="BO73" s="272">
        <f>IFERROR(INDEX('Horo. M'!$S$3:S$367,MATCH(A73,'Horo. M'!$A$3:$A$367,0)),"")</f>
        <v>0</v>
      </c>
      <c r="BP73" s="422">
        <v>4</v>
      </c>
      <c r="BQ73" s="422">
        <v>0</v>
      </c>
      <c r="BR73" s="272">
        <f t="shared" si="73"/>
        <v>20</v>
      </c>
      <c r="BS73" s="274">
        <f t="shared" si="74"/>
        <v>0</v>
      </c>
      <c r="BT73" s="275">
        <f t="shared" si="75"/>
        <v>0.83333333333333337</v>
      </c>
      <c r="BU73" s="422">
        <v>0.03</v>
      </c>
      <c r="BV73" s="272">
        <f t="shared" si="76"/>
        <v>0</v>
      </c>
      <c r="BW73" s="272">
        <f>IFERROR(INDEX('Horo. M'!$U$3:U$367,MATCH(A73,'Horo. M'!$A$3:$A$367,0)),"")</f>
        <v>24</v>
      </c>
      <c r="BX73" s="422">
        <v>0</v>
      </c>
      <c r="BY73" s="422">
        <v>0</v>
      </c>
      <c r="BZ73" s="272">
        <f t="shared" si="77"/>
        <v>24</v>
      </c>
      <c r="CA73" s="274">
        <f t="shared" si="78"/>
        <v>1</v>
      </c>
      <c r="CB73" s="275">
        <f t="shared" si="79"/>
        <v>1</v>
      </c>
      <c r="CC73" s="422">
        <v>171.54</v>
      </c>
    </row>
    <row r="74" spans="1:81">
      <c r="A74" s="279">
        <v>44999</v>
      </c>
      <c r="B74" s="278">
        <f t="shared" si="40"/>
        <v>0</v>
      </c>
      <c r="C74" s="272">
        <f>IFERROR(INDEX('Horo. M'!$C$3:$C$367,MATCH(A74,'Horo. M'!$A$3:$A$367,0)),"")</f>
        <v>24</v>
      </c>
      <c r="D74" s="422">
        <v>0</v>
      </c>
      <c r="E74" s="422">
        <v>0</v>
      </c>
      <c r="F74" s="272">
        <f t="shared" si="41"/>
        <v>24</v>
      </c>
      <c r="G74" s="274">
        <f t="shared" si="42"/>
        <v>1</v>
      </c>
      <c r="H74" s="275">
        <f t="shared" si="43"/>
        <v>1</v>
      </c>
      <c r="I74" s="422">
        <v>171.4</v>
      </c>
      <c r="J74" s="278">
        <f t="shared" si="44"/>
        <v>3</v>
      </c>
      <c r="K74" s="272">
        <f>IFERROR(INDEX('Horo. M'!$E$3:$E$367,MATCH(A74,'Horo. M'!$A$3:$A$367,0)),"")</f>
        <v>21</v>
      </c>
      <c r="L74" s="422">
        <v>0</v>
      </c>
      <c r="M74" s="422">
        <v>0</v>
      </c>
      <c r="N74" s="272">
        <f t="shared" si="45"/>
        <v>24</v>
      </c>
      <c r="O74" s="274">
        <f t="shared" si="46"/>
        <v>0.875</v>
      </c>
      <c r="P74" s="275">
        <f t="shared" si="47"/>
        <v>1</v>
      </c>
      <c r="Q74" s="422">
        <v>139.1</v>
      </c>
      <c r="R74" s="278">
        <f t="shared" si="48"/>
        <v>0</v>
      </c>
      <c r="S74" s="272">
        <f>IFERROR(INDEX('Horo. M'!G$3:$G$367,MATCH(A74,'Horo. M'!$A$3:$A$367,0)),"")</f>
        <v>22</v>
      </c>
      <c r="T74" s="422">
        <v>0</v>
      </c>
      <c r="U74" s="422">
        <v>2</v>
      </c>
      <c r="V74" s="272">
        <f t="shared" si="49"/>
        <v>22</v>
      </c>
      <c r="W74" s="274">
        <f t="shared" si="50"/>
        <v>0.91666666666666663</v>
      </c>
      <c r="X74" s="275">
        <f t="shared" si="51"/>
        <v>0.91666666666666663</v>
      </c>
      <c r="Y74" s="422">
        <v>157.28</v>
      </c>
      <c r="Z74" s="278">
        <f t="shared" si="52"/>
        <v>0</v>
      </c>
      <c r="AA74" s="272">
        <f>IFERROR(INDEX('Horo. M'!$I$3:I$367,MATCH(A74,'Horo. M'!$A$3:$A$367,0)),"")</f>
        <v>24</v>
      </c>
      <c r="AB74" s="422">
        <v>0</v>
      </c>
      <c r="AC74" s="422">
        <v>0</v>
      </c>
      <c r="AD74" s="272">
        <f t="shared" si="53"/>
        <v>24</v>
      </c>
      <c r="AE74" s="274">
        <f t="shared" si="54"/>
        <v>1</v>
      </c>
      <c r="AF74" s="275">
        <f t="shared" si="55"/>
        <v>1</v>
      </c>
      <c r="AG74" s="422">
        <v>173.68</v>
      </c>
      <c r="AH74" s="272">
        <f t="shared" si="56"/>
        <v>0</v>
      </c>
      <c r="AI74" s="272">
        <f>IFERROR(INDEX('Horo. M'!$K$3:K$367,MATCH(A74,'Horo. M'!$A$3:$A$367,0)),"")</f>
        <v>0</v>
      </c>
      <c r="AJ74" s="422">
        <v>24</v>
      </c>
      <c r="AK74" s="422">
        <v>0</v>
      </c>
      <c r="AL74" s="272">
        <f t="shared" si="57"/>
        <v>0</v>
      </c>
      <c r="AM74" s="274">
        <f t="shared" si="58"/>
        <v>0</v>
      </c>
      <c r="AN74" s="275">
        <f t="shared" si="59"/>
        <v>0</v>
      </c>
      <c r="AO74" s="422">
        <v>0</v>
      </c>
      <c r="AP74" s="272">
        <f t="shared" si="60"/>
        <v>17</v>
      </c>
      <c r="AQ74" s="272">
        <f>IFERROR(INDEX('Horo. M'!$M$3:M$367,MATCH(A74,'Horo. M'!$A$3:$A$367,0)),"")</f>
        <v>0</v>
      </c>
      <c r="AR74" s="422">
        <v>4</v>
      </c>
      <c r="AS74" s="422">
        <v>3</v>
      </c>
      <c r="AT74" s="272">
        <f t="shared" si="61"/>
        <v>17</v>
      </c>
      <c r="AU74" s="274">
        <f t="shared" si="62"/>
        <v>0</v>
      </c>
      <c r="AV74" s="275">
        <f t="shared" si="63"/>
        <v>0.70833333333333337</v>
      </c>
      <c r="AW74" s="422">
        <v>0.01</v>
      </c>
      <c r="AX74" s="272">
        <f t="shared" si="64"/>
        <v>0</v>
      </c>
      <c r="AY74" s="272">
        <f>IFERROR(INDEX('Horo. M'!$O$3:O$367,MATCH(A74,'Horo. M'!$A$3:$A$367,0)),"")</f>
        <v>24</v>
      </c>
      <c r="AZ74" s="422">
        <v>0</v>
      </c>
      <c r="BA74" s="422">
        <v>0</v>
      </c>
      <c r="BB74" s="272">
        <f t="shared" si="65"/>
        <v>24</v>
      </c>
      <c r="BC74" s="274">
        <f t="shared" si="66"/>
        <v>1</v>
      </c>
      <c r="BD74" s="275">
        <f t="shared" si="67"/>
        <v>1</v>
      </c>
      <c r="BE74" s="422">
        <v>174.4</v>
      </c>
      <c r="BF74" s="272">
        <f t="shared" si="68"/>
        <v>0</v>
      </c>
      <c r="BG74" s="272">
        <f>IFERROR(INDEX('Horo. M'!$Q$3:Q$367,MATCH(A74,'Horo. M'!$A$3:$A$367,0)),"")</f>
        <v>24</v>
      </c>
      <c r="BH74" s="422">
        <v>0</v>
      </c>
      <c r="BI74" s="422">
        <v>0</v>
      </c>
      <c r="BJ74" s="272">
        <f t="shared" si="69"/>
        <v>24</v>
      </c>
      <c r="BK74" s="274">
        <f t="shared" si="70"/>
        <v>1</v>
      </c>
      <c r="BL74" s="275">
        <f t="shared" si="71"/>
        <v>1</v>
      </c>
      <c r="BM74" s="422">
        <v>173.89</v>
      </c>
      <c r="BN74" s="272">
        <f t="shared" si="72"/>
        <v>0</v>
      </c>
      <c r="BO74" s="272">
        <f>IFERROR(INDEX('Horo. M'!$S$3:S$367,MATCH(A74,'Horo. M'!$A$3:$A$367,0)),"")</f>
        <v>24</v>
      </c>
      <c r="BP74" s="422">
        <v>0</v>
      </c>
      <c r="BQ74" s="422">
        <v>0</v>
      </c>
      <c r="BR74" s="272">
        <f t="shared" si="73"/>
        <v>24</v>
      </c>
      <c r="BS74" s="274">
        <f t="shared" si="74"/>
        <v>1</v>
      </c>
      <c r="BT74" s="275">
        <f t="shared" si="75"/>
        <v>1</v>
      </c>
      <c r="BU74" s="422">
        <v>175.92</v>
      </c>
      <c r="BV74" s="272">
        <f t="shared" si="76"/>
        <v>0</v>
      </c>
      <c r="BW74" s="272">
        <f>IFERROR(INDEX('Horo. M'!$U$3:U$367,MATCH(A74,'Horo. M'!$A$3:$A$367,0)),"")</f>
        <v>24</v>
      </c>
      <c r="BX74" s="422">
        <v>0</v>
      </c>
      <c r="BY74" s="422">
        <v>0</v>
      </c>
      <c r="BZ74" s="272">
        <f t="shared" si="77"/>
        <v>24</v>
      </c>
      <c r="CA74" s="274">
        <f t="shared" si="78"/>
        <v>1</v>
      </c>
      <c r="CB74" s="275">
        <f t="shared" si="79"/>
        <v>1</v>
      </c>
      <c r="CC74" s="422">
        <v>174.44</v>
      </c>
    </row>
    <row r="75" spans="1:81">
      <c r="A75" s="279">
        <v>45000</v>
      </c>
      <c r="B75" s="278">
        <f t="shared" si="40"/>
        <v>0</v>
      </c>
      <c r="C75" s="272">
        <f>IFERROR(INDEX('Horo. M'!$C$3:$C$367,MATCH(A75,'Horo. M'!$A$3:$A$367,0)),"")</f>
        <v>24</v>
      </c>
      <c r="D75" s="422">
        <v>0</v>
      </c>
      <c r="E75" s="422">
        <v>0</v>
      </c>
      <c r="F75" s="272">
        <f t="shared" si="41"/>
        <v>24</v>
      </c>
      <c r="G75" s="274">
        <f t="shared" si="42"/>
        <v>1</v>
      </c>
      <c r="H75" s="275">
        <f t="shared" si="43"/>
        <v>1</v>
      </c>
      <c r="I75" s="422">
        <v>169.7</v>
      </c>
      <c r="J75" s="278">
        <f t="shared" si="44"/>
        <v>0</v>
      </c>
      <c r="K75" s="272">
        <f>IFERROR(INDEX('Horo. M'!$E$3:$E$367,MATCH(A75,'Horo. M'!$A$3:$A$367,0)),"")</f>
        <v>20</v>
      </c>
      <c r="L75" s="422">
        <v>4</v>
      </c>
      <c r="M75" s="422">
        <v>0</v>
      </c>
      <c r="N75" s="272">
        <f t="shared" si="45"/>
        <v>20</v>
      </c>
      <c r="O75" s="274">
        <f t="shared" si="46"/>
        <v>0.83333333333333337</v>
      </c>
      <c r="P75" s="275">
        <f t="shared" si="47"/>
        <v>0.83333333333333337</v>
      </c>
      <c r="Q75" s="422">
        <v>141.9</v>
      </c>
      <c r="R75" s="278">
        <f t="shared" si="48"/>
        <v>3</v>
      </c>
      <c r="S75" s="272">
        <f>IFERROR(INDEX('Horo. M'!G$3:$G$367,MATCH(A75,'Horo. M'!$A$3:$A$367,0)),"")</f>
        <v>13</v>
      </c>
      <c r="T75" s="422">
        <v>8</v>
      </c>
      <c r="U75" s="422">
        <v>0</v>
      </c>
      <c r="V75" s="272">
        <f t="shared" si="49"/>
        <v>16</v>
      </c>
      <c r="W75" s="274">
        <f t="shared" si="50"/>
        <v>0.54166666666666663</v>
      </c>
      <c r="X75" s="275">
        <f t="shared" si="51"/>
        <v>0.66666666666666663</v>
      </c>
      <c r="Y75" s="422">
        <v>80.680000000000007</v>
      </c>
      <c r="Z75" s="278">
        <f t="shared" si="52"/>
        <v>0</v>
      </c>
      <c r="AA75" s="272">
        <f>IFERROR(INDEX('Horo. M'!$I$3:I$367,MATCH(A75,'Horo. M'!$A$3:$A$367,0)),"")</f>
        <v>24</v>
      </c>
      <c r="AB75" s="422">
        <v>0</v>
      </c>
      <c r="AC75" s="422">
        <v>0</v>
      </c>
      <c r="AD75" s="272">
        <f t="shared" si="53"/>
        <v>24</v>
      </c>
      <c r="AE75" s="274">
        <f t="shared" si="54"/>
        <v>1</v>
      </c>
      <c r="AF75" s="275">
        <f t="shared" si="55"/>
        <v>1</v>
      </c>
      <c r="AG75" s="422">
        <v>185.34</v>
      </c>
      <c r="AH75" s="272">
        <f t="shared" si="56"/>
        <v>0</v>
      </c>
      <c r="AI75" s="272">
        <f>IFERROR(INDEX('Horo. M'!$K$3:K$367,MATCH(A75,'Horo. M'!$A$3:$A$367,0)),"")</f>
        <v>0</v>
      </c>
      <c r="AJ75" s="422">
        <v>24</v>
      </c>
      <c r="AK75" s="422">
        <v>0</v>
      </c>
      <c r="AL75" s="272">
        <f t="shared" si="57"/>
        <v>0</v>
      </c>
      <c r="AM75" s="274">
        <f t="shared" si="58"/>
        <v>0</v>
      </c>
      <c r="AN75" s="275">
        <f t="shared" si="59"/>
        <v>0</v>
      </c>
      <c r="AO75" s="422">
        <v>0</v>
      </c>
      <c r="AP75" s="272">
        <f t="shared" si="60"/>
        <v>8</v>
      </c>
      <c r="AQ75" s="272">
        <f>IFERROR(INDEX('Horo. M'!$M$3:M$367,MATCH(A75,'Horo. M'!$A$3:$A$367,0)),"")</f>
        <v>16</v>
      </c>
      <c r="AR75" s="422">
        <v>0</v>
      </c>
      <c r="AS75" s="422">
        <v>0</v>
      </c>
      <c r="AT75" s="272">
        <f t="shared" si="61"/>
        <v>24</v>
      </c>
      <c r="AU75" s="274">
        <f t="shared" si="62"/>
        <v>0.66666666666666663</v>
      </c>
      <c r="AV75" s="275">
        <f t="shared" si="63"/>
        <v>1</v>
      </c>
      <c r="AW75" s="422">
        <v>112.66</v>
      </c>
      <c r="AX75" s="272">
        <f t="shared" si="64"/>
        <v>0</v>
      </c>
      <c r="AY75" s="272">
        <f>IFERROR(INDEX('Horo. M'!$O$3:O$367,MATCH(A75,'Horo. M'!$A$3:$A$367,0)),"")</f>
        <v>24</v>
      </c>
      <c r="AZ75" s="422">
        <v>0</v>
      </c>
      <c r="BA75" s="422">
        <v>0</v>
      </c>
      <c r="BB75" s="272">
        <f t="shared" si="65"/>
        <v>24</v>
      </c>
      <c r="BC75" s="274">
        <f t="shared" si="66"/>
        <v>1</v>
      </c>
      <c r="BD75" s="275">
        <f t="shared" si="67"/>
        <v>1</v>
      </c>
      <c r="BE75" s="422">
        <v>175.19</v>
      </c>
      <c r="BF75" s="272">
        <f t="shared" si="68"/>
        <v>0</v>
      </c>
      <c r="BG75" s="272">
        <f>IFERROR(INDEX('Horo. M'!$Q$3:Q$367,MATCH(A75,'Horo. M'!$A$3:$A$367,0)),"")</f>
        <v>24</v>
      </c>
      <c r="BH75" s="422">
        <v>0</v>
      </c>
      <c r="BI75" s="422">
        <v>0</v>
      </c>
      <c r="BJ75" s="272">
        <f t="shared" si="69"/>
        <v>24</v>
      </c>
      <c r="BK75" s="274">
        <f t="shared" si="70"/>
        <v>1</v>
      </c>
      <c r="BL75" s="275">
        <f t="shared" si="71"/>
        <v>1</v>
      </c>
      <c r="BM75" s="422">
        <v>174.03</v>
      </c>
      <c r="BN75" s="272">
        <f t="shared" si="72"/>
        <v>0</v>
      </c>
      <c r="BO75" s="272">
        <f>IFERROR(INDEX('Horo. M'!$S$3:S$367,MATCH(A75,'Horo. M'!$A$3:$A$367,0)),"")</f>
        <v>24</v>
      </c>
      <c r="BP75" s="422">
        <v>0</v>
      </c>
      <c r="BQ75" s="422">
        <v>0</v>
      </c>
      <c r="BR75" s="272">
        <f t="shared" si="73"/>
        <v>24</v>
      </c>
      <c r="BS75" s="274">
        <f t="shared" si="74"/>
        <v>1</v>
      </c>
      <c r="BT75" s="275">
        <f t="shared" si="75"/>
        <v>1</v>
      </c>
      <c r="BU75" s="422">
        <v>174.97</v>
      </c>
      <c r="BV75" s="272">
        <f t="shared" si="76"/>
        <v>2</v>
      </c>
      <c r="BW75" s="272">
        <f>IFERROR(INDEX('Horo. M'!$U$3:U$367,MATCH(A75,'Horo. M'!$A$3:$A$367,0)),"")</f>
        <v>18</v>
      </c>
      <c r="BX75" s="422">
        <v>4</v>
      </c>
      <c r="BY75" s="422">
        <v>0</v>
      </c>
      <c r="BZ75" s="272">
        <f t="shared" si="77"/>
        <v>20</v>
      </c>
      <c r="CA75" s="274">
        <f t="shared" si="78"/>
        <v>0.75</v>
      </c>
      <c r="CB75" s="275">
        <f t="shared" si="79"/>
        <v>0.83333333333333337</v>
      </c>
      <c r="CC75" s="422">
        <v>129.4</v>
      </c>
    </row>
    <row r="76" spans="1:81">
      <c r="A76" s="279">
        <v>45001</v>
      </c>
      <c r="B76" s="278">
        <f t="shared" si="40"/>
        <v>6</v>
      </c>
      <c r="C76" s="272">
        <f>IFERROR(INDEX('Horo. M'!$C$3:$C$367,MATCH(A76,'Horo. M'!$A$3:$A$367,0)),"")</f>
        <v>6</v>
      </c>
      <c r="D76" s="422">
        <v>4</v>
      </c>
      <c r="E76" s="422">
        <v>8</v>
      </c>
      <c r="F76" s="272">
        <f t="shared" si="41"/>
        <v>12</v>
      </c>
      <c r="G76" s="274">
        <f t="shared" si="42"/>
        <v>0.25</v>
      </c>
      <c r="H76" s="275">
        <f t="shared" si="43"/>
        <v>0.5</v>
      </c>
      <c r="I76" s="422">
        <v>46.7</v>
      </c>
      <c r="J76" s="278">
        <f t="shared" si="44"/>
        <v>8</v>
      </c>
      <c r="K76" s="272">
        <f>IFERROR(INDEX('Horo. M'!$E$3:$E$367,MATCH(A76,'Horo. M'!$A$3:$A$367,0)),"")</f>
        <v>16</v>
      </c>
      <c r="L76" s="422">
        <v>0</v>
      </c>
      <c r="M76" s="422">
        <v>0</v>
      </c>
      <c r="N76" s="272">
        <f t="shared" si="45"/>
        <v>24</v>
      </c>
      <c r="O76" s="274">
        <f t="shared" si="46"/>
        <v>0.66666666666666663</v>
      </c>
      <c r="P76" s="275">
        <f t="shared" si="47"/>
        <v>1</v>
      </c>
      <c r="Q76" s="422">
        <v>110.3</v>
      </c>
      <c r="R76" s="278">
        <f t="shared" si="48"/>
        <v>3</v>
      </c>
      <c r="S76" s="272">
        <f>IFERROR(INDEX('Horo. M'!G$3:$G$367,MATCH(A76,'Horo. M'!$A$3:$A$367,0)),"")</f>
        <v>21</v>
      </c>
      <c r="T76" s="422">
        <v>0</v>
      </c>
      <c r="U76" s="422">
        <v>0</v>
      </c>
      <c r="V76" s="272">
        <f t="shared" si="49"/>
        <v>24</v>
      </c>
      <c r="W76" s="274">
        <f t="shared" si="50"/>
        <v>0.875</v>
      </c>
      <c r="X76" s="275">
        <f t="shared" si="51"/>
        <v>1</v>
      </c>
      <c r="Y76" s="422">
        <v>153.25</v>
      </c>
      <c r="Z76" s="278">
        <f t="shared" si="52"/>
        <v>0</v>
      </c>
      <c r="AA76" s="272">
        <f>IFERROR(INDEX('Horo. M'!$I$3:I$367,MATCH(A76,'Horo. M'!$A$3:$A$367,0)),"")</f>
        <v>16</v>
      </c>
      <c r="AB76" s="422">
        <v>8</v>
      </c>
      <c r="AC76" s="422">
        <v>0</v>
      </c>
      <c r="AD76" s="272">
        <f t="shared" si="53"/>
        <v>16</v>
      </c>
      <c r="AE76" s="274">
        <f t="shared" si="54"/>
        <v>0.66666666666666663</v>
      </c>
      <c r="AF76" s="275">
        <f t="shared" si="55"/>
        <v>0.66666666666666663</v>
      </c>
      <c r="AG76" s="422">
        <v>103.66</v>
      </c>
      <c r="AH76" s="272">
        <f t="shared" si="56"/>
        <v>0</v>
      </c>
      <c r="AI76" s="272">
        <f>IFERROR(INDEX('Horo. M'!$K$3:K$367,MATCH(A76,'Horo. M'!$A$3:$A$367,0)),"")</f>
        <v>0</v>
      </c>
      <c r="AJ76" s="422">
        <v>24</v>
      </c>
      <c r="AK76" s="422">
        <v>0</v>
      </c>
      <c r="AL76" s="272">
        <f t="shared" si="57"/>
        <v>0</v>
      </c>
      <c r="AM76" s="274">
        <f t="shared" si="58"/>
        <v>0</v>
      </c>
      <c r="AN76" s="275">
        <f t="shared" si="59"/>
        <v>0</v>
      </c>
      <c r="AO76" s="422">
        <v>0</v>
      </c>
      <c r="AP76" s="272">
        <f t="shared" si="60"/>
        <v>2</v>
      </c>
      <c r="AQ76" s="272">
        <f>IFERROR(INDEX('Horo. M'!$M$3:M$367,MATCH(A76,'Horo. M'!$A$3:$A$367,0)),"")</f>
        <v>22</v>
      </c>
      <c r="AR76" s="422">
        <v>0</v>
      </c>
      <c r="AS76" s="422">
        <v>0</v>
      </c>
      <c r="AT76" s="272">
        <f t="shared" si="61"/>
        <v>24</v>
      </c>
      <c r="AU76" s="274">
        <f t="shared" si="62"/>
        <v>0.91666666666666663</v>
      </c>
      <c r="AV76" s="275">
        <f t="shared" si="63"/>
        <v>1</v>
      </c>
      <c r="AW76" s="422">
        <v>157.97999999999999</v>
      </c>
      <c r="AX76" s="272">
        <f t="shared" si="64"/>
        <v>4</v>
      </c>
      <c r="AY76" s="272">
        <f>IFERROR(INDEX('Horo. M'!$O$3:O$367,MATCH(A76,'Horo. M'!$A$3:$A$367,0)),"")</f>
        <v>20</v>
      </c>
      <c r="AZ76" s="422">
        <v>0</v>
      </c>
      <c r="BA76" s="422">
        <v>0</v>
      </c>
      <c r="BB76" s="272">
        <f t="shared" si="65"/>
        <v>24</v>
      </c>
      <c r="BC76" s="274">
        <f t="shared" si="66"/>
        <v>0.83333333333333337</v>
      </c>
      <c r="BD76" s="275">
        <f t="shared" si="67"/>
        <v>1</v>
      </c>
      <c r="BE76" s="422">
        <v>143.81</v>
      </c>
      <c r="BF76" s="272">
        <f t="shared" si="68"/>
        <v>4</v>
      </c>
      <c r="BG76" s="272">
        <f>IFERROR(INDEX('Horo. M'!$Q$3:Q$367,MATCH(A76,'Horo. M'!$A$3:$A$367,0)),"")</f>
        <v>20</v>
      </c>
      <c r="BH76" s="422">
        <v>0</v>
      </c>
      <c r="BI76" s="422">
        <v>0</v>
      </c>
      <c r="BJ76" s="272">
        <f t="shared" si="69"/>
        <v>24</v>
      </c>
      <c r="BK76" s="274">
        <f t="shared" si="70"/>
        <v>0.83333333333333337</v>
      </c>
      <c r="BL76" s="275">
        <f t="shared" si="71"/>
        <v>1</v>
      </c>
      <c r="BM76" s="422">
        <v>144.22999999999999</v>
      </c>
      <c r="BN76" s="272">
        <f t="shared" si="72"/>
        <v>1</v>
      </c>
      <c r="BO76" s="272">
        <f>IFERROR(INDEX('Horo. M'!$S$3:S$367,MATCH(A76,'Horo. M'!$A$3:$A$367,0)),"")</f>
        <v>23</v>
      </c>
      <c r="BP76" s="422">
        <v>0</v>
      </c>
      <c r="BQ76" s="422">
        <v>0</v>
      </c>
      <c r="BR76" s="272">
        <f t="shared" si="73"/>
        <v>24</v>
      </c>
      <c r="BS76" s="274">
        <f t="shared" si="74"/>
        <v>0.95833333333333337</v>
      </c>
      <c r="BT76" s="275">
        <f t="shared" si="75"/>
        <v>1</v>
      </c>
      <c r="BU76" s="422">
        <v>163.74</v>
      </c>
      <c r="BV76" s="272">
        <f t="shared" si="76"/>
        <v>1</v>
      </c>
      <c r="BW76" s="272">
        <f>IFERROR(INDEX('Horo. M'!$U$3:U$367,MATCH(A76,'Horo. M'!$A$3:$A$367,0)),"")</f>
        <v>23</v>
      </c>
      <c r="BX76" s="422">
        <v>0</v>
      </c>
      <c r="BY76" s="422">
        <v>0</v>
      </c>
      <c r="BZ76" s="272">
        <f t="shared" si="77"/>
        <v>24</v>
      </c>
      <c r="CA76" s="274">
        <f t="shared" si="78"/>
        <v>0.95833333333333337</v>
      </c>
      <c r="CB76" s="275">
        <f t="shared" si="79"/>
        <v>1</v>
      </c>
      <c r="CC76" s="422">
        <v>170.68</v>
      </c>
    </row>
    <row r="77" spans="1:81">
      <c r="A77" s="279">
        <v>45002</v>
      </c>
      <c r="B77" s="278">
        <f t="shared" si="40"/>
        <v>16</v>
      </c>
      <c r="C77" s="272">
        <f>IFERROR(INDEX('Horo. M'!$C$3:$C$367,MATCH(A77,'Horo. M'!$A$3:$A$367,0)),"")</f>
        <v>0</v>
      </c>
      <c r="D77" s="422">
        <v>0</v>
      </c>
      <c r="E77" s="422">
        <v>8</v>
      </c>
      <c r="F77" s="272">
        <f t="shared" si="41"/>
        <v>16</v>
      </c>
      <c r="G77" s="274">
        <f t="shared" si="42"/>
        <v>0</v>
      </c>
      <c r="H77" s="275">
        <f t="shared" si="43"/>
        <v>0.66666666666666663</v>
      </c>
      <c r="I77" s="422">
        <v>0</v>
      </c>
      <c r="J77" s="278">
        <f t="shared" si="44"/>
        <v>3</v>
      </c>
      <c r="K77" s="272">
        <f>IFERROR(INDEX('Horo. M'!$E$3:$E$367,MATCH(A77,'Horo. M'!$A$3:$A$367,0)),"")</f>
        <v>20</v>
      </c>
      <c r="L77" s="422">
        <v>0</v>
      </c>
      <c r="M77" s="422">
        <v>1</v>
      </c>
      <c r="N77" s="272">
        <f t="shared" si="45"/>
        <v>23</v>
      </c>
      <c r="O77" s="274">
        <f t="shared" si="46"/>
        <v>0.83333333333333337</v>
      </c>
      <c r="P77" s="275">
        <f t="shared" si="47"/>
        <v>0.95833333333333337</v>
      </c>
      <c r="Q77" s="422">
        <v>145.4</v>
      </c>
      <c r="R77" s="278">
        <f t="shared" si="48"/>
        <v>5</v>
      </c>
      <c r="S77" s="272">
        <f>IFERROR(INDEX('Horo. M'!G$3:$G$367,MATCH(A77,'Horo. M'!$A$3:$A$367,0)),"")</f>
        <v>19</v>
      </c>
      <c r="T77" s="422">
        <v>0</v>
      </c>
      <c r="U77" s="422">
        <v>0</v>
      </c>
      <c r="V77" s="272">
        <f t="shared" si="49"/>
        <v>24</v>
      </c>
      <c r="W77" s="274">
        <f t="shared" si="50"/>
        <v>0.79166666666666663</v>
      </c>
      <c r="X77" s="275">
        <f t="shared" si="51"/>
        <v>1</v>
      </c>
      <c r="Y77" s="422">
        <v>131.18</v>
      </c>
      <c r="Z77" s="278">
        <f t="shared" si="52"/>
        <v>3</v>
      </c>
      <c r="AA77" s="272">
        <f>IFERROR(INDEX('Horo. M'!$I$3:I$367,MATCH(A77,'Horo. M'!$A$3:$A$367,0)),"")</f>
        <v>21</v>
      </c>
      <c r="AB77" s="422">
        <v>0</v>
      </c>
      <c r="AC77" s="422">
        <v>0</v>
      </c>
      <c r="AD77" s="272">
        <f t="shared" si="53"/>
        <v>24</v>
      </c>
      <c r="AE77" s="274">
        <f t="shared" si="54"/>
        <v>0.875</v>
      </c>
      <c r="AF77" s="275">
        <f t="shared" si="55"/>
        <v>1</v>
      </c>
      <c r="AG77" s="422">
        <v>154.6</v>
      </c>
      <c r="AH77" s="272">
        <f t="shared" si="56"/>
        <v>0</v>
      </c>
      <c r="AI77" s="272">
        <f>IFERROR(INDEX('Horo. M'!$K$3:K$367,MATCH(A77,'Horo. M'!$A$3:$A$367,0)),"")</f>
        <v>0</v>
      </c>
      <c r="AJ77" s="422">
        <v>24</v>
      </c>
      <c r="AK77" s="422">
        <v>0</v>
      </c>
      <c r="AL77" s="272">
        <f t="shared" si="57"/>
        <v>0</v>
      </c>
      <c r="AM77" s="274">
        <f t="shared" si="58"/>
        <v>0</v>
      </c>
      <c r="AN77" s="275">
        <f t="shared" si="59"/>
        <v>0</v>
      </c>
      <c r="AO77" s="422">
        <v>0</v>
      </c>
      <c r="AP77" s="272">
        <f t="shared" si="60"/>
        <v>3</v>
      </c>
      <c r="AQ77" s="272">
        <f>IFERROR(INDEX('Horo. M'!$M$3:M$367,MATCH(A77,'Horo. M'!$A$3:$A$367,0)),"")</f>
        <v>21</v>
      </c>
      <c r="AR77" s="422">
        <v>0</v>
      </c>
      <c r="AS77" s="422">
        <v>0</v>
      </c>
      <c r="AT77" s="272">
        <f t="shared" si="61"/>
        <v>24</v>
      </c>
      <c r="AU77" s="274">
        <f t="shared" si="62"/>
        <v>0.875</v>
      </c>
      <c r="AV77" s="275">
        <f t="shared" si="63"/>
        <v>1</v>
      </c>
      <c r="AW77" s="422">
        <v>155.47</v>
      </c>
      <c r="AX77" s="272">
        <f t="shared" si="64"/>
        <v>4</v>
      </c>
      <c r="AY77" s="272">
        <f>IFERROR(INDEX('Horo. M'!$O$3:O$367,MATCH(A77,'Horo. M'!$A$3:$A$367,0)),"")</f>
        <v>20</v>
      </c>
      <c r="AZ77" s="422">
        <v>0</v>
      </c>
      <c r="BA77" s="422">
        <v>0</v>
      </c>
      <c r="BB77" s="272">
        <f t="shared" si="65"/>
        <v>24</v>
      </c>
      <c r="BC77" s="274">
        <f t="shared" si="66"/>
        <v>0.83333333333333337</v>
      </c>
      <c r="BD77" s="275">
        <f t="shared" si="67"/>
        <v>1</v>
      </c>
      <c r="BE77" s="422">
        <v>147.13999999999999</v>
      </c>
      <c r="BF77" s="272">
        <f t="shared" si="68"/>
        <v>3</v>
      </c>
      <c r="BG77" s="272">
        <f>IFERROR(INDEX('Horo. M'!$Q$3:Q$367,MATCH(A77,'Horo. M'!$A$3:$A$367,0)),"")</f>
        <v>21</v>
      </c>
      <c r="BH77" s="422">
        <v>0</v>
      </c>
      <c r="BI77" s="422">
        <v>0</v>
      </c>
      <c r="BJ77" s="272">
        <f t="shared" si="69"/>
        <v>24</v>
      </c>
      <c r="BK77" s="274">
        <f t="shared" si="70"/>
        <v>0.875</v>
      </c>
      <c r="BL77" s="275">
        <f t="shared" si="71"/>
        <v>1</v>
      </c>
      <c r="BM77" s="422">
        <v>154.52000000000001</v>
      </c>
      <c r="BN77" s="272">
        <f t="shared" si="72"/>
        <v>1</v>
      </c>
      <c r="BO77" s="272">
        <f>IFERROR(INDEX('Horo. M'!$S$3:S$367,MATCH(A77,'Horo. M'!$A$3:$A$367,0)),"")</f>
        <v>23</v>
      </c>
      <c r="BP77" s="422">
        <v>0</v>
      </c>
      <c r="BQ77" s="422">
        <v>0</v>
      </c>
      <c r="BR77" s="272">
        <f t="shared" si="73"/>
        <v>24</v>
      </c>
      <c r="BS77" s="274">
        <f t="shared" si="74"/>
        <v>0.95833333333333337</v>
      </c>
      <c r="BT77" s="275">
        <f t="shared" si="75"/>
        <v>1</v>
      </c>
      <c r="BU77" s="422">
        <v>170.5</v>
      </c>
      <c r="BV77" s="272">
        <f t="shared" si="76"/>
        <v>1</v>
      </c>
      <c r="BW77" s="272">
        <f>IFERROR(INDEX('Horo. M'!$U$3:U$367,MATCH(A77,'Horo. M'!$A$3:$A$367,0)),"")</f>
        <v>23</v>
      </c>
      <c r="BX77" s="422">
        <v>0</v>
      </c>
      <c r="BY77" s="422">
        <v>0</v>
      </c>
      <c r="BZ77" s="272">
        <f t="shared" si="77"/>
        <v>24</v>
      </c>
      <c r="CA77" s="274">
        <f t="shared" si="78"/>
        <v>0.95833333333333337</v>
      </c>
      <c r="CB77" s="275">
        <f t="shared" si="79"/>
        <v>1</v>
      </c>
      <c r="CC77" s="422">
        <v>172.88</v>
      </c>
    </row>
    <row r="78" spans="1:81">
      <c r="A78" s="279">
        <v>45003</v>
      </c>
      <c r="B78" s="278">
        <f t="shared" si="40"/>
        <v>0</v>
      </c>
      <c r="C78" s="272">
        <f>IFERROR(INDEX('Horo. M'!$C$3:$C$367,MATCH(A78,'Horo. M'!$A$3:$A$367,0)),"")</f>
        <v>24</v>
      </c>
      <c r="D78" s="422">
        <v>0</v>
      </c>
      <c r="E78" s="422">
        <v>0</v>
      </c>
      <c r="F78" s="272">
        <f t="shared" si="41"/>
        <v>24</v>
      </c>
      <c r="G78" s="274">
        <f t="shared" si="42"/>
        <v>1</v>
      </c>
      <c r="H78" s="275">
        <f t="shared" si="43"/>
        <v>1</v>
      </c>
      <c r="I78" s="422">
        <v>171.4</v>
      </c>
      <c r="J78" s="278">
        <f t="shared" si="44"/>
        <v>4</v>
      </c>
      <c r="K78" s="272">
        <f>IFERROR(INDEX('Horo. M'!$E$3:$E$367,MATCH(A78,'Horo. M'!$A$3:$A$367,0)),"")</f>
        <v>19</v>
      </c>
      <c r="L78" s="422">
        <v>0</v>
      </c>
      <c r="M78" s="422">
        <v>1</v>
      </c>
      <c r="N78" s="272">
        <f t="shared" si="45"/>
        <v>23</v>
      </c>
      <c r="O78" s="274">
        <f t="shared" si="46"/>
        <v>0.79166666666666663</v>
      </c>
      <c r="P78" s="275">
        <f t="shared" si="47"/>
        <v>0.95833333333333337</v>
      </c>
      <c r="Q78" s="422">
        <v>125.9</v>
      </c>
      <c r="R78" s="278">
        <f t="shared" si="48"/>
        <v>0</v>
      </c>
      <c r="S78" s="272">
        <f>IFERROR(INDEX('Horo. M'!G$3:$G$367,MATCH(A78,'Horo. M'!$A$3:$A$367,0)),"")</f>
        <v>24</v>
      </c>
      <c r="T78" s="422">
        <v>0</v>
      </c>
      <c r="U78" s="422">
        <v>0</v>
      </c>
      <c r="V78" s="272">
        <f t="shared" si="49"/>
        <v>24</v>
      </c>
      <c r="W78" s="274">
        <f t="shared" si="50"/>
        <v>1</v>
      </c>
      <c r="X78" s="275">
        <f t="shared" si="51"/>
        <v>1</v>
      </c>
      <c r="Y78" s="422">
        <v>172.72</v>
      </c>
      <c r="Z78" s="278">
        <f t="shared" si="52"/>
        <v>0</v>
      </c>
      <c r="AA78" s="272">
        <f>IFERROR(INDEX('Horo. M'!$I$3:I$367,MATCH(A78,'Horo. M'!$A$3:$A$367,0)),"")</f>
        <v>24</v>
      </c>
      <c r="AB78" s="422">
        <v>0</v>
      </c>
      <c r="AC78" s="422">
        <v>0</v>
      </c>
      <c r="AD78" s="272">
        <f t="shared" si="53"/>
        <v>24</v>
      </c>
      <c r="AE78" s="274">
        <f t="shared" si="54"/>
        <v>1</v>
      </c>
      <c r="AF78" s="275">
        <f t="shared" si="55"/>
        <v>1</v>
      </c>
      <c r="AG78" s="422">
        <v>177.32</v>
      </c>
      <c r="AH78" s="272">
        <f t="shared" si="56"/>
        <v>0</v>
      </c>
      <c r="AI78" s="272">
        <f>IFERROR(INDEX('Horo. M'!$K$3:K$367,MATCH(A78,'Horo. M'!$A$3:$A$367,0)),"")</f>
        <v>0</v>
      </c>
      <c r="AJ78" s="422">
        <v>24</v>
      </c>
      <c r="AK78" s="422">
        <v>0</v>
      </c>
      <c r="AL78" s="272">
        <f t="shared" si="57"/>
        <v>0</v>
      </c>
      <c r="AM78" s="274">
        <f t="shared" si="58"/>
        <v>0</v>
      </c>
      <c r="AN78" s="275">
        <f t="shared" si="59"/>
        <v>0</v>
      </c>
      <c r="AO78" s="422">
        <v>0</v>
      </c>
      <c r="AP78" s="272">
        <f t="shared" si="60"/>
        <v>0</v>
      </c>
      <c r="AQ78" s="272">
        <f>IFERROR(INDEX('Horo. M'!$M$3:M$367,MATCH(A78,'Horo. M'!$A$3:$A$367,0)),"")</f>
        <v>24</v>
      </c>
      <c r="AR78" s="422">
        <v>0</v>
      </c>
      <c r="AS78" s="422">
        <v>0</v>
      </c>
      <c r="AT78" s="272">
        <f t="shared" si="61"/>
        <v>24</v>
      </c>
      <c r="AU78" s="274">
        <f t="shared" si="62"/>
        <v>1</v>
      </c>
      <c r="AV78" s="275">
        <f t="shared" si="63"/>
        <v>1</v>
      </c>
      <c r="AW78" s="422">
        <v>174.2</v>
      </c>
      <c r="AX78" s="272">
        <f t="shared" si="64"/>
        <v>3</v>
      </c>
      <c r="AY78" s="272">
        <f>IFERROR(INDEX('Horo. M'!$O$3:O$367,MATCH(A78,'Horo. M'!$A$3:$A$367,0)),"")</f>
        <v>1</v>
      </c>
      <c r="AZ78" s="422">
        <v>12</v>
      </c>
      <c r="BA78" s="422">
        <v>8</v>
      </c>
      <c r="BB78" s="272">
        <f t="shared" si="65"/>
        <v>4</v>
      </c>
      <c r="BC78" s="274">
        <f t="shared" si="66"/>
        <v>4.1666666666666664E-2</v>
      </c>
      <c r="BD78" s="275">
        <f t="shared" si="67"/>
        <v>0.16666666666666666</v>
      </c>
      <c r="BE78" s="422">
        <v>0.03</v>
      </c>
      <c r="BF78" s="272">
        <f t="shared" si="68"/>
        <v>0</v>
      </c>
      <c r="BG78" s="272">
        <f>IFERROR(INDEX('Horo. M'!$Q$3:Q$367,MATCH(A78,'Horo. M'!$A$3:$A$367,0)),"")</f>
        <v>24</v>
      </c>
      <c r="BH78" s="422">
        <v>0</v>
      </c>
      <c r="BI78" s="422">
        <v>0</v>
      </c>
      <c r="BJ78" s="272">
        <f t="shared" si="69"/>
        <v>24</v>
      </c>
      <c r="BK78" s="274">
        <f t="shared" si="70"/>
        <v>1</v>
      </c>
      <c r="BL78" s="275">
        <f t="shared" si="71"/>
        <v>1</v>
      </c>
      <c r="BM78" s="422">
        <v>178.4</v>
      </c>
      <c r="BN78" s="272">
        <f t="shared" si="72"/>
        <v>0</v>
      </c>
      <c r="BO78" s="272">
        <f>IFERROR(INDEX('Horo. M'!$S$3:S$367,MATCH(A78,'Horo. M'!$A$3:$A$367,0)),"")</f>
        <v>24</v>
      </c>
      <c r="BP78" s="422">
        <v>0</v>
      </c>
      <c r="BQ78" s="422">
        <v>0</v>
      </c>
      <c r="BR78" s="272">
        <f t="shared" si="73"/>
        <v>24</v>
      </c>
      <c r="BS78" s="274">
        <f t="shared" si="74"/>
        <v>1</v>
      </c>
      <c r="BT78" s="275">
        <f t="shared" si="75"/>
        <v>1</v>
      </c>
      <c r="BU78" s="422">
        <v>178.16</v>
      </c>
      <c r="BV78" s="272">
        <f t="shared" si="76"/>
        <v>0</v>
      </c>
      <c r="BW78" s="272">
        <f>IFERROR(INDEX('Horo. M'!$U$3:U$367,MATCH(A78,'Horo. M'!$A$3:$A$367,0)),"")</f>
        <v>24</v>
      </c>
      <c r="BX78" s="422">
        <v>0</v>
      </c>
      <c r="BY78" s="422">
        <v>0</v>
      </c>
      <c r="BZ78" s="272">
        <f t="shared" si="77"/>
        <v>24</v>
      </c>
      <c r="CA78" s="274">
        <f t="shared" si="78"/>
        <v>1</v>
      </c>
      <c r="CB78" s="275">
        <f t="shared" si="79"/>
        <v>1</v>
      </c>
      <c r="CC78" s="422">
        <v>176.2</v>
      </c>
    </row>
    <row r="79" spans="1:81">
      <c r="A79" s="279">
        <v>45004</v>
      </c>
      <c r="B79" s="278">
        <f t="shared" si="40"/>
        <v>0</v>
      </c>
      <c r="C79" s="272">
        <f>IFERROR(INDEX('Horo. M'!$C$3:$C$367,MATCH(A79,'Horo. M'!$A$3:$A$367,0)),"")</f>
        <v>24</v>
      </c>
      <c r="D79" s="422">
        <v>0</v>
      </c>
      <c r="E79" s="422">
        <v>0</v>
      </c>
      <c r="F79" s="272">
        <f t="shared" si="41"/>
        <v>24</v>
      </c>
      <c r="G79" s="274">
        <f t="shared" si="42"/>
        <v>1</v>
      </c>
      <c r="H79" s="275">
        <f t="shared" si="43"/>
        <v>1</v>
      </c>
      <c r="I79" s="422">
        <v>181.3</v>
      </c>
      <c r="J79" s="278">
        <f t="shared" si="44"/>
        <v>8</v>
      </c>
      <c r="K79" s="272">
        <f>IFERROR(INDEX('Horo. M'!$E$3:$E$367,MATCH(A79,'Horo. M'!$A$3:$A$367,0)),"")</f>
        <v>16</v>
      </c>
      <c r="L79" s="422">
        <v>0</v>
      </c>
      <c r="M79" s="422">
        <v>0</v>
      </c>
      <c r="N79" s="272">
        <f t="shared" si="45"/>
        <v>24</v>
      </c>
      <c r="O79" s="274">
        <f t="shared" si="46"/>
        <v>0.66666666666666663</v>
      </c>
      <c r="P79" s="275">
        <f t="shared" si="47"/>
        <v>1</v>
      </c>
      <c r="Q79" s="422">
        <v>120.9</v>
      </c>
      <c r="R79" s="278">
        <f t="shared" si="48"/>
        <v>0</v>
      </c>
      <c r="S79" s="272">
        <f>IFERROR(INDEX('Horo. M'!G$3:$G$367,MATCH(A79,'Horo. M'!$A$3:$A$367,0)),"")</f>
        <v>24</v>
      </c>
      <c r="T79" s="422">
        <v>0</v>
      </c>
      <c r="U79" s="422">
        <v>0</v>
      </c>
      <c r="V79" s="272">
        <f t="shared" si="49"/>
        <v>24</v>
      </c>
      <c r="W79" s="274">
        <f t="shared" si="50"/>
        <v>1</v>
      </c>
      <c r="X79" s="275">
        <f t="shared" si="51"/>
        <v>1</v>
      </c>
      <c r="Y79" s="422">
        <v>181.66</v>
      </c>
      <c r="Z79" s="278">
        <f t="shared" si="52"/>
        <v>0</v>
      </c>
      <c r="AA79" s="272">
        <f>IFERROR(INDEX('Horo. M'!$I$3:I$367,MATCH(A79,'Horo. M'!$A$3:$A$367,0)),"")</f>
        <v>24</v>
      </c>
      <c r="AB79" s="422">
        <v>0</v>
      </c>
      <c r="AC79" s="422">
        <v>0</v>
      </c>
      <c r="AD79" s="272">
        <f t="shared" si="53"/>
        <v>24</v>
      </c>
      <c r="AE79" s="274">
        <f t="shared" si="54"/>
        <v>1</v>
      </c>
      <c r="AF79" s="275">
        <f t="shared" si="55"/>
        <v>1</v>
      </c>
      <c r="AG79" s="422">
        <v>182.3</v>
      </c>
      <c r="AH79" s="272">
        <f t="shared" si="56"/>
        <v>0</v>
      </c>
      <c r="AI79" s="272">
        <f>IFERROR(INDEX('Horo. M'!$K$3:K$367,MATCH(A79,'Horo. M'!$A$3:$A$367,0)),"")</f>
        <v>0</v>
      </c>
      <c r="AJ79" s="422">
        <v>24</v>
      </c>
      <c r="AK79" s="422">
        <v>0</v>
      </c>
      <c r="AL79" s="272">
        <f t="shared" si="57"/>
        <v>0</v>
      </c>
      <c r="AM79" s="274">
        <f t="shared" si="58"/>
        <v>0</v>
      </c>
      <c r="AN79" s="275">
        <f t="shared" si="59"/>
        <v>0</v>
      </c>
      <c r="AO79" s="422">
        <v>0</v>
      </c>
      <c r="AP79" s="272">
        <f t="shared" si="60"/>
        <v>0</v>
      </c>
      <c r="AQ79" s="272">
        <f>IFERROR(INDEX('Horo. M'!$M$3:M$367,MATCH(A79,'Horo. M'!$A$3:$A$367,0)),"")</f>
        <v>24</v>
      </c>
      <c r="AR79" s="422">
        <v>0</v>
      </c>
      <c r="AS79" s="422">
        <v>0</v>
      </c>
      <c r="AT79" s="272">
        <f t="shared" si="61"/>
        <v>24</v>
      </c>
      <c r="AU79" s="274">
        <f t="shared" si="62"/>
        <v>1</v>
      </c>
      <c r="AV79" s="275">
        <f t="shared" si="63"/>
        <v>1</v>
      </c>
      <c r="AW79" s="422">
        <v>179.42</v>
      </c>
      <c r="AX79" s="272">
        <f t="shared" si="64"/>
        <v>2</v>
      </c>
      <c r="AY79" s="272">
        <f>IFERROR(INDEX('Horo. M'!$O$3:O$367,MATCH(A79,'Horo. M'!$A$3:$A$367,0)),"")</f>
        <v>22</v>
      </c>
      <c r="AZ79" s="422">
        <v>0</v>
      </c>
      <c r="BA79" s="422">
        <v>0</v>
      </c>
      <c r="BB79" s="272">
        <f t="shared" si="65"/>
        <v>24</v>
      </c>
      <c r="BC79" s="274">
        <f t="shared" si="66"/>
        <v>0.91666666666666663</v>
      </c>
      <c r="BD79" s="275">
        <f t="shared" si="67"/>
        <v>1</v>
      </c>
      <c r="BE79" s="422">
        <v>167.07</v>
      </c>
      <c r="BF79" s="272">
        <f t="shared" si="68"/>
        <v>0</v>
      </c>
      <c r="BG79" s="272">
        <f>IFERROR(INDEX('Horo. M'!$Q$3:Q$367,MATCH(A79,'Horo. M'!$A$3:$A$367,0)),"")</f>
        <v>24</v>
      </c>
      <c r="BH79" s="422">
        <v>0</v>
      </c>
      <c r="BI79" s="422">
        <v>0</v>
      </c>
      <c r="BJ79" s="272">
        <f t="shared" si="69"/>
        <v>24</v>
      </c>
      <c r="BK79" s="274">
        <f t="shared" si="70"/>
        <v>1</v>
      </c>
      <c r="BL79" s="275">
        <f t="shared" si="71"/>
        <v>1</v>
      </c>
      <c r="BM79" s="422">
        <v>177.3</v>
      </c>
      <c r="BN79" s="272">
        <f t="shared" si="72"/>
        <v>24</v>
      </c>
      <c r="BO79" s="272">
        <f>IFERROR(INDEX('Horo. M'!$S$3:S$367,MATCH(A79,'Horo. M'!$A$3:$A$367,0)),"")</f>
        <v>0</v>
      </c>
      <c r="BP79" s="422">
        <v>0</v>
      </c>
      <c r="BQ79" s="422">
        <v>0</v>
      </c>
      <c r="BR79" s="272">
        <f t="shared" si="73"/>
        <v>24</v>
      </c>
      <c r="BS79" s="274">
        <f t="shared" si="74"/>
        <v>0</v>
      </c>
      <c r="BT79" s="275">
        <f t="shared" si="75"/>
        <v>1</v>
      </c>
      <c r="BU79" s="422">
        <v>0.04</v>
      </c>
      <c r="BV79" s="272">
        <f t="shared" si="76"/>
        <v>0</v>
      </c>
      <c r="BW79" s="272">
        <f>IFERROR(INDEX('Horo. M'!$U$3:U$367,MATCH(A79,'Horo. M'!$A$3:$A$367,0)),"")</f>
        <v>24</v>
      </c>
      <c r="BX79" s="422">
        <v>0</v>
      </c>
      <c r="BY79" s="422">
        <v>0</v>
      </c>
      <c r="BZ79" s="272">
        <f t="shared" si="77"/>
        <v>24</v>
      </c>
      <c r="CA79" s="274">
        <f t="shared" si="78"/>
        <v>1</v>
      </c>
      <c r="CB79" s="275">
        <f t="shared" si="79"/>
        <v>1</v>
      </c>
      <c r="CC79" s="422">
        <v>177.41</v>
      </c>
    </row>
    <row r="80" spans="1:81">
      <c r="A80" s="279">
        <v>45005</v>
      </c>
      <c r="B80" s="278">
        <f t="shared" si="40"/>
        <v>0</v>
      </c>
      <c r="C80" s="272">
        <f>IFERROR(INDEX('Horo. M'!$C$3:$C$367,MATCH(A80,'Horo. M'!$A$3:$A$367,0)),"")</f>
        <v>24</v>
      </c>
      <c r="D80" s="422">
        <v>0</v>
      </c>
      <c r="E80" s="422">
        <v>0</v>
      </c>
      <c r="F80" s="272">
        <f t="shared" si="41"/>
        <v>24</v>
      </c>
      <c r="G80" s="274">
        <f t="shared" si="42"/>
        <v>1</v>
      </c>
      <c r="H80" s="275">
        <f t="shared" si="43"/>
        <v>1</v>
      </c>
      <c r="I80" s="422">
        <v>170.4</v>
      </c>
      <c r="J80" s="278">
        <f t="shared" si="44"/>
        <v>4</v>
      </c>
      <c r="K80" s="272">
        <f>IFERROR(INDEX('Horo. M'!$E$3:$E$367,MATCH(A80,'Horo. M'!$A$3:$A$367,0)),"")</f>
        <v>19</v>
      </c>
      <c r="L80" s="422">
        <v>0</v>
      </c>
      <c r="M80" s="422">
        <v>1</v>
      </c>
      <c r="N80" s="272">
        <f t="shared" si="45"/>
        <v>23</v>
      </c>
      <c r="O80" s="274">
        <f t="shared" si="46"/>
        <v>0.79166666666666663</v>
      </c>
      <c r="P80" s="275">
        <f t="shared" si="47"/>
        <v>0.95833333333333337</v>
      </c>
      <c r="Q80" s="422">
        <v>125.6</v>
      </c>
      <c r="R80" s="278">
        <f t="shared" si="48"/>
        <v>0</v>
      </c>
      <c r="S80" s="272">
        <f>IFERROR(INDEX('Horo. M'!G$3:$G$367,MATCH(A80,'Horo. M'!$A$3:$A$367,0)),"")</f>
        <v>24</v>
      </c>
      <c r="T80" s="422">
        <v>0</v>
      </c>
      <c r="U80" s="422">
        <v>0</v>
      </c>
      <c r="V80" s="272">
        <f t="shared" si="49"/>
        <v>24</v>
      </c>
      <c r="W80" s="274">
        <f t="shared" si="50"/>
        <v>1</v>
      </c>
      <c r="X80" s="275">
        <f t="shared" si="51"/>
        <v>1</v>
      </c>
      <c r="Y80" s="422">
        <v>168.85</v>
      </c>
      <c r="Z80" s="278">
        <f t="shared" si="52"/>
        <v>0</v>
      </c>
      <c r="AA80" s="272">
        <f>IFERROR(INDEX('Horo. M'!$I$3:I$367,MATCH(A80,'Horo. M'!$A$3:$A$367,0)),"")</f>
        <v>24</v>
      </c>
      <c r="AB80" s="422">
        <v>0</v>
      </c>
      <c r="AC80" s="422">
        <v>0</v>
      </c>
      <c r="AD80" s="272">
        <f t="shared" si="53"/>
        <v>24</v>
      </c>
      <c r="AE80" s="274">
        <f t="shared" si="54"/>
        <v>1</v>
      </c>
      <c r="AF80" s="275">
        <f t="shared" si="55"/>
        <v>1</v>
      </c>
      <c r="AG80" s="422">
        <v>177.12</v>
      </c>
      <c r="AH80" s="272">
        <f t="shared" si="56"/>
        <v>0</v>
      </c>
      <c r="AI80" s="272">
        <f>IFERROR(INDEX('Horo. M'!$K$3:K$367,MATCH(A80,'Horo. M'!$A$3:$A$367,0)),"")</f>
        <v>0</v>
      </c>
      <c r="AJ80" s="422">
        <v>24</v>
      </c>
      <c r="AK80" s="422">
        <v>0</v>
      </c>
      <c r="AL80" s="272">
        <f t="shared" si="57"/>
        <v>0</v>
      </c>
      <c r="AM80" s="274">
        <f t="shared" si="58"/>
        <v>0</v>
      </c>
      <c r="AN80" s="275">
        <f t="shared" si="59"/>
        <v>0</v>
      </c>
      <c r="AO80" s="422">
        <v>0</v>
      </c>
      <c r="AP80" s="272">
        <f t="shared" si="60"/>
        <v>0</v>
      </c>
      <c r="AQ80" s="272">
        <f>IFERROR(INDEX('Horo. M'!$M$3:M$367,MATCH(A80,'Horo. M'!$A$3:$A$367,0)),"")</f>
        <v>24</v>
      </c>
      <c r="AR80" s="422">
        <v>0</v>
      </c>
      <c r="AS80" s="422">
        <v>0</v>
      </c>
      <c r="AT80" s="272">
        <f t="shared" si="61"/>
        <v>24</v>
      </c>
      <c r="AU80" s="274">
        <f t="shared" si="62"/>
        <v>1</v>
      </c>
      <c r="AV80" s="275">
        <f t="shared" si="63"/>
        <v>1</v>
      </c>
      <c r="AW80" s="422">
        <v>175.58</v>
      </c>
      <c r="AX80" s="272">
        <f t="shared" si="64"/>
        <v>0</v>
      </c>
      <c r="AY80" s="272">
        <f>IFERROR(INDEX('Horo. M'!$O$3:O$367,MATCH(A80,'Horo. M'!$A$3:$A$367,0)),"")</f>
        <v>24</v>
      </c>
      <c r="AZ80" s="422">
        <v>0</v>
      </c>
      <c r="BA80" s="422">
        <v>0</v>
      </c>
      <c r="BB80" s="272">
        <f t="shared" si="65"/>
        <v>24</v>
      </c>
      <c r="BC80" s="274">
        <f t="shared" si="66"/>
        <v>1</v>
      </c>
      <c r="BD80" s="275">
        <f t="shared" si="67"/>
        <v>1</v>
      </c>
      <c r="BE80" s="422">
        <v>171.65</v>
      </c>
      <c r="BF80" s="272">
        <f t="shared" si="68"/>
        <v>0</v>
      </c>
      <c r="BG80" s="272">
        <f>IFERROR(INDEX('Horo. M'!$Q$3:Q$367,MATCH(A80,'Horo. M'!$A$3:$A$367,0)),"")</f>
        <v>24</v>
      </c>
      <c r="BH80" s="422">
        <v>0</v>
      </c>
      <c r="BI80" s="422">
        <v>0</v>
      </c>
      <c r="BJ80" s="272">
        <f t="shared" si="69"/>
        <v>24</v>
      </c>
      <c r="BK80" s="274">
        <f t="shared" si="70"/>
        <v>1</v>
      </c>
      <c r="BL80" s="275">
        <f t="shared" si="71"/>
        <v>1</v>
      </c>
      <c r="BM80" s="422">
        <v>173.52</v>
      </c>
      <c r="BN80" s="272">
        <f t="shared" si="72"/>
        <v>0</v>
      </c>
      <c r="BO80" s="272">
        <f>IFERROR(INDEX('Horo. M'!$S$3:S$367,MATCH(A80,'Horo. M'!$A$3:$A$367,0)),"")</f>
        <v>24</v>
      </c>
      <c r="BP80" s="422">
        <v>0</v>
      </c>
      <c r="BQ80" s="422">
        <v>0</v>
      </c>
      <c r="BR80" s="272">
        <f t="shared" si="73"/>
        <v>24</v>
      </c>
      <c r="BS80" s="274">
        <f t="shared" si="74"/>
        <v>1</v>
      </c>
      <c r="BT80" s="275">
        <f t="shared" si="75"/>
        <v>1</v>
      </c>
      <c r="BU80" s="422">
        <v>174.63</v>
      </c>
      <c r="BV80" s="272">
        <f t="shared" si="76"/>
        <v>7</v>
      </c>
      <c r="BW80" s="272">
        <f>IFERROR(INDEX('Horo. M'!$U$3:U$367,MATCH(A80,'Horo. M'!$A$3:$A$367,0)),"")</f>
        <v>0</v>
      </c>
      <c r="BX80" s="422">
        <v>7</v>
      </c>
      <c r="BY80" s="422">
        <v>10</v>
      </c>
      <c r="BZ80" s="272">
        <f t="shared" si="77"/>
        <v>7</v>
      </c>
      <c r="CA80" s="274">
        <f t="shared" si="78"/>
        <v>0</v>
      </c>
      <c r="CB80" s="275">
        <f t="shared" si="79"/>
        <v>0.29166666666666669</v>
      </c>
      <c r="CC80" s="422">
        <v>0</v>
      </c>
    </row>
    <row r="81" spans="1:81">
      <c r="A81" s="279">
        <v>45006</v>
      </c>
      <c r="B81" s="278">
        <f t="shared" si="40"/>
        <v>0</v>
      </c>
      <c r="C81" s="272">
        <f>IFERROR(INDEX('Horo. M'!$C$3:$C$367,MATCH(A81,'Horo. M'!$A$3:$A$367,0)),"")</f>
        <v>24</v>
      </c>
      <c r="D81" s="422">
        <v>0</v>
      </c>
      <c r="E81" s="422">
        <v>0</v>
      </c>
      <c r="F81" s="272">
        <f t="shared" si="41"/>
        <v>24</v>
      </c>
      <c r="G81" s="274">
        <f t="shared" si="42"/>
        <v>1</v>
      </c>
      <c r="H81" s="275">
        <f t="shared" si="43"/>
        <v>1</v>
      </c>
      <c r="I81" s="422">
        <v>179.8</v>
      </c>
      <c r="J81" s="278">
        <f t="shared" si="44"/>
        <v>0</v>
      </c>
      <c r="K81" s="272">
        <f>IFERROR(INDEX('Horo. M'!$E$3:$E$367,MATCH(A81,'Horo. M'!$A$3:$A$367,0)),"")</f>
        <v>24</v>
      </c>
      <c r="L81" s="422">
        <v>0</v>
      </c>
      <c r="M81" s="422">
        <v>0</v>
      </c>
      <c r="N81" s="272">
        <f t="shared" si="45"/>
        <v>24</v>
      </c>
      <c r="O81" s="274">
        <f t="shared" si="46"/>
        <v>1</v>
      </c>
      <c r="P81" s="275">
        <f t="shared" si="47"/>
        <v>1</v>
      </c>
      <c r="Q81" s="422">
        <v>171.1</v>
      </c>
      <c r="R81" s="278">
        <f t="shared" si="48"/>
        <v>0</v>
      </c>
      <c r="S81" s="272">
        <f>IFERROR(INDEX('Horo. M'!G$3:$G$367,MATCH(A81,'Horo. M'!$A$3:$A$367,0)),"")</f>
        <v>24</v>
      </c>
      <c r="T81" s="422">
        <v>0</v>
      </c>
      <c r="U81" s="422">
        <v>0</v>
      </c>
      <c r="V81" s="272">
        <f t="shared" si="49"/>
        <v>24</v>
      </c>
      <c r="W81" s="274">
        <f t="shared" si="50"/>
        <v>1</v>
      </c>
      <c r="X81" s="275">
        <f t="shared" si="51"/>
        <v>1</v>
      </c>
      <c r="Y81" s="422">
        <v>167.37</v>
      </c>
      <c r="Z81" s="278">
        <f t="shared" si="52"/>
        <v>0</v>
      </c>
      <c r="AA81" s="272">
        <f>IFERROR(INDEX('Horo. M'!$I$3:I$367,MATCH(A81,'Horo. M'!$A$3:$A$367,0)),"")</f>
        <v>24</v>
      </c>
      <c r="AB81" s="422">
        <v>0</v>
      </c>
      <c r="AC81" s="422">
        <v>0</v>
      </c>
      <c r="AD81" s="272">
        <f t="shared" si="53"/>
        <v>24</v>
      </c>
      <c r="AE81" s="274">
        <f t="shared" si="54"/>
        <v>1</v>
      </c>
      <c r="AF81" s="275">
        <f t="shared" si="55"/>
        <v>1</v>
      </c>
      <c r="AG81" s="422">
        <v>171.22</v>
      </c>
      <c r="AH81" s="272">
        <f t="shared" si="56"/>
        <v>0</v>
      </c>
      <c r="AI81" s="272">
        <f>IFERROR(INDEX('Horo. M'!$K$3:K$367,MATCH(A81,'Horo. M'!$A$3:$A$367,0)),"")</f>
        <v>0</v>
      </c>
      <c r="AJ81" s="422">
        <v>24</v>
      </c>
      <c r="AK81" s="422">
        <v>0</v>
      </c>
      <c r="AL81" s="272">
        <f t="shared" si="57"/>
        <v>0</v>
      </c>
      <c r="AM81" s="274">
        <f t="shared" si="58"/>
        <v>0</v>
      </c>
      <c r="AN81" s="275">
        <f t="shared" si="59"/>
        <v>0</v>
      </c>
      <c r="AO81" s="422">
        <v>0</v>
      </c>
      <c r="AP81" s="272">
        <f t="shared" si="60"/>
        <v>21</v>
      </c>
      <c r="AQ81" s="272">
        <f>IFERROR(INDEX('Horo. M'!$M$3:M$367,MATCH(A81,'Horo. M'!$A$3:$A$367,0)),"")</f>
        <v>0</v>
      </c>
      <c r="AR81" s="422">
        <v>0</v>
      </c>
      <c r="AS81" s="422">
        <v>3</v>
      </c>
      <c r="AT81" s="272">
        <f t="shared" si="61"/>
        <v>21</v>
      </c>
      <c r="AU81" s="274">
        <f t="shared" si="62"/>
        <v>0</v>
      </c>
      <c r="AV81" s="275">
        <f t="shared" si="63"/>
        <v>0.875</v>
      </c>
      <c r="AW81" s="422">
        <v>3.97</v>
      </c>
      <c r="AX81" s="272">
        <f t="shared" si="64"/>
        <v>0</v>
      </c>
      <c r="AY81" s="272">
        <f>IFERROR(INDEX('Horo. M'!$O$3:O$367,MATCH(A81,'Horo. M'!$A$3:$A$367,0)),"")</f>
        <v>24</v>
      </c>
      <c r="AZ81" s="422">
        <v>0</v>
      </c>
      <c r="BA81" s="422">
        <v>0</v>
      </c>
      <c r="BB81" s="272">
        <f t="shared" si="65"/>
        <v>24</v>
      </c>
      <c r="BC81" s="274">
        <f t="shared" si="66"/>
        <v>1</v>
      </c>
      <c r="BD81" s="275">
        <f t="shared" si="67"/>
        <v>1</v>
      </c>
      <c r="BE81" s="422">
        <v>166.85</v>
      </c>
      <c r="BF81" s="272">
        <f t="shared" si="68"/>
        <v>0</v>
      </c>
      <c r="BG81" s="272">
        <f>IFERROR(INDEX('Horo. M'!$Q$3:Q$367,MATCH(A81,'Horo. M'!$A$3:$A$367,0)),"")</f>
        <v>24</v>
      </c>
      <c r="BH81" s="422">
        <v>0</v>
      </c>
      <c r="BI81" s="422">
        <v>0</v>
      </c>
      <c r="BJ81" s="272">
        <f t="shared" si="69"/>
        <v>24</v>
      </c>
      <c r="BK81" s="274">
        <f t="shared" si="70"/>
        <v>1</v>
      </c>
      <c r="BL81" s="275">
        <f t="shared" si="71"/>
        <v>1</v>
      </c>
      <c r="BM81" s="422">
        <v>171.9</v>
      </c>
      <c r="BN81" s="272">
        <f t="shared" si="72"/>
        <v>2</v>
      </c>
      <c r="BO81" s="272">
        <f>IFERROR(INDEX('Horo. M'!$S$3:S$367,MATCH(A81,'Horo. M'!$A$3:$A$367,0)),"")</f>
        <v>19</v>
      </c>
      <c r="BP81" s="422">
        <v>0</v>
      </c>
      <c r="BQ81" s="422">
        <v>3</v>
      </c>
      <c r="BR81" s="272">
        <f t="shared" si="73"/>
        <v>21</v>
      </c>
      <c r="BS81" s="274">
        <f t="shared" si="74"/>
        <v>0.79166666666666663</v>
      </c>
      <c r="BT81" s="275">
        <f t="shared" si="75"/>
        <v>0.875</v>
      </c>
      <c r="BU81" s="422">
        <v>130.41</v>
      </c>
      <c r="BV81" s="272">
        <f t="shared" si="76"/>
        <v>0</v>
      </c>
      <c r="BW81" s="272">
        <f>IFERROR(INDEX('Horo. M'!$U$3:U$367,MATCH(A81,'Horo. M'!$A$3:$A$367,0)),"")</f>
        <v>24</v>
      </c>
      <c r="BX81" s="422">
        <v>0</v>
      </c>
      <c r="BY81" s="422">
        <v>0</v>
      </c>
      <c r="BZ81" s="272">
        <f t="shared" si="77"/>
        <v>24</v>
      </c>
      <c r="CA81" s="274">
        <f t="shared" si="78"/>
        <v>1</v>
      </c>
      <c r="CB81" s="275">
        <f t="shared" si="79"/>
        <v>1</v>
      </c>
      <c r="CC81" s="422">
        <v>172.42</v>
      </c>
    </row>
    <row r="82" spans="1:81">
      <c r="A82" s="279">
        <v>45007</v>
      </c>
      <c r="B82" s="278">
        <f t="shared" si="40"/>
        <v>15</v>
      </c>
      <c r="C82" s="272">
        <f>IFERROR(INDEX('Horo. M'!$C$3:$C$367,MATCH(A82,'Horo. M'!$A$3:$A$367,0)),"")</f>
        <v>6</v>
      </c>
      <c r="D82" s="422">
        <v>0</v>
      </c>
      <c r="E82" s="422">
        <v>3</v>
      </c>
      <c r="F82" s="272">
        <f t="shared" si="41"/>
        <v>21</v>
      </c>
      <c r="G82" s="274">
        <f t="shared" si="42"/>
        <v>0.25</v>
      </c>
      <c r="H82" s="275">
        <f t="shared" si="43"/>
        <v>0.875</v>
      </c>
      <c r="I82" s="422">
        <v>37</v>
      </c>
      <c r="J82" s="278">
        <f t="shared" si="44"/>
        <v>0</v>
      </c>
      <c r="K82" s="272">
        <f>IFERROR(INDEX('Horo. M'!$E$3:$E$367,MATCH(A82,'Horo. M'!$A$3:$A$367,0)),"")</f>
        <v>24</v>
      </c>
      <c r="L82" s="422">
        <v>0</v>
      </c>
      <c r="M82" s="422">
        <v>0</v>
      </c>
      <c r="N82" s="272">
        <f t="shared" si="45"/>
        <v>24</v>
      </c>
      <c r="O82" s="274">
        <f t="shared" si="46"/>
        <v>1</v>
      </c>
      <c r="P82" s="275">
        <f t="shared" si="47"/>
        <v>1</v>
      </c>
      <c r="Q82" s="422">
        <v>193.3</v>
      </c>
      <c r="R82" s="278">
        <f t="shared" si="48"/>
        <v>0</v>
      </c>
      <c r="S82" s="272">
        <f>IFERROR(INDEX('Horo. M'!G$3:$G$367,MATCH(A82,'Horo. M'!$A$3:$A$367,0)),"")</f>
        <v>24</v>
      </c>
      <c r="T82" s="422">
        <v>0</v>
      </c>
      <c r="U82" s="422">
        <v>0</v>
      </c>
      <c r="V82" s="272">
        <f t="shared" si="49"/>
        <v>24</v>
      </c>
      <c r="W82" s="274">
        <f t="shared" si="50"/>
        <v>1</v>
      </c>
      <c r="X82" s="275">
        <f t="shared" si="51"/>
        <v>1</v>
      </c>
      <c r="Y82" s="422">
        <v>194.15</v>
      </c>
      <c r="Z82" s="278">
        <f t="shared" si="52"/>
        <v>16</v>
      </c>
      <c r="AA82" s="272">
        <f>IFERROR(INDEX('Horo. M'!$I$3:I$367,MATCH(A82,'Horo. M'!$A$3:$A$367,0)),"")</f>
        <v>6</v>
      </c>
      <c r="AB82" s="422">
        <v>0</v>
      </c>
      <c r="AC82" s="422">
        <v>2</v>
      </c>
      <c r="AD82" s="272">
        <f t="shared" si="53"/>
        <v>22</v>
      </c>
      <c r="AE82" s="274">
        <f t="shared" si="54"/>
        <v>0.25</v>
      </c>
      <c r="AF82" s="275">
        <f t="shared" si="55"/>
        <v>0.91666666666666663</v>
      </c>
      <c r="AG82" s="422">
        <v>46.46</v>
      </c>
      <c r="AH82" s="272">
        <f t="shared" si="56"/>
        <v>0</v>
      </c>
      <c r="AI82" s="272">
        <f>IFERROR(INDEX('Horo. M'!$K$3:K$367,MATCH(A82,'Horo. M'!$A$3:$A$367,0)),"")</f>
        <v>0</v>
      </c>
      <c r="AJ82" s="422">
        <v>24</v>
      </c>
      <c r="AK82" s="422">
        <v>0</v>
      </c>
      <c r="AL82" s="272">
        <f t="shared" si="57"/>
        <v>0</v>
      </c>
      <c r="AM82" s="274">
        <f t="shared" si="58"/>
        <v>0</v>
      </c>
      <c r="AN82" s="275">
        <f t="shared" si="59"/>
        <v>0</v>
      </c>
      <c r="AO82" s="422">
        <v>0</v>
      </c>
      <c r="AP82" s="272">
        <f t="shared" si="60"/>
        <v>0</v>
      </c>
      <c r="AQ82" s="272">
        <f>IFERROR(INDEX('Horo. M'!$M$3:M$367,MATCH(A82,'Horo. M'!$A$3:$A$367,0)),"")</f>
        <v>24</v>
      </c>
      <c r="AR82" s="422">
        <v>0</v>
      </c>
      <c r="AS82" s="422">
        <v>0</v>
      </c>
      <c r="AT82" s="272">
        <f t="shared" si="61"/>
        <v>24</v>
      </c>
      <c r="AU82" s="274">
        <f t="shared" si="62"/>
        <v>1</v>
      </c>
      <c r="AV82" s="275">
        <f t="shared" si="63"/>
        <v>1</v>
      </c>
      <c r="AW82" s="422">
        <v>195.53</v>
      </c>
      <c r="AX82" s="272">
        <f t="shared" si="64"/>
        <v>0</v>
      </c>
      <c r="AY82" s="272">
        <f>IFERROR(INDEX('Horo. M'!$O$3:O$367,MATCH(A82,'Horo. M'!$A$3:$A$367,0)),"")</f>
        <v>24</v>
      </c>
      <c r="AZ82" s="422">
        <v>0</v>
      </c>
      <c r="BA82" s="422">
        <v>0</v>
      </c>
      <c r="BB82" s="272">
        <f t="shared" si="65"/>
        <v>24</v>
      </c>
      <c r="BC82" s="274">
        <f t="shared" si="66"/>
        <v>1</v>
      </c>
      <c r="BD82" s="275">
        <f t="shared" si="67"/>
        <v>1</v>
      </c>
      <c r="BE82" s="422">
        <v>191.25</v>
      </c>
      <c r="BF82" s="272">
        <f t="shared" si="68"/>
        <v>1</v>
      </c>
      <c r="BG82" s="272">
        <f>IFERROR(INDEX('Horo. M'!$Q$3:Q$367,MATCH(A82,'Horo. M'!$A$3:$A$367,0)),"")</f>
        <v>18</v>
      </c>
      <c r="BH82" s="422">
        <v>4</v>
      </c>
      <c r="BI82" s="422">
        <v>1</v>
      </c>
      <c r="BJ82" s="272">
        <f t="shared" si="69"/>
        <v>19</v>
      </c>
      <c r="BK82" s="274">
        <f t="shared" si="70"/>
        <v>0.75</v>
      </c>
      <c r="BL82" s="275">
        <f t="shared" si="71"/>
        <v>0.79166666666666663</v>
      </c>
      <c r="BM82" s="422">
        <v>144.21</v>
      </c>
      <c r="BN82" s="272">
        <f t="shared" si="72"/>
        <v>2</v>
      </c>
      <c r="BO82" s="272">
        <f>IFERROR(INDEX('Horo. M'!$S$3:S$367,MATCH(A82,'Horo. M'!$A$3:$A$367,0)),"")</f>
        <v>18</v>
      </c>
      <c r="BP82" s="422">
        <v>4</v>
      </c>
      <c r="BQ82" s="422">
        <v>0</v>
      </c>
      <c r="BR82" s="272">
        <f t="shared" si="73"/>
        <v>20</v>
      </c>
      <c r="BS82" s="274">
        <f t="shared" si="74"/>
        <v>0.75</v>
      </c>
      <c r="BT82" s="275">
        <f t="shared" si="75"/>
        <v>0.83333333333333337</v>
      </c>
      <c r="BU82" s="422">
        <v>147.41</v>
      </c>
      <c r="BV82" s="272">
        <f t="shared" si="76"/>
        <v>0</v>
      </c>
      <c r="BW82" s="272">
        <f>IFERROR(INDEX('Horo. M'!$U$3:U$367,MATCH(A82,'Horo. M'!$A$3:$A$367,0)),"")</f>
        <v>24</v>
      </c>
      <c r="BX82" s="422">
        <v>0</v>
      </c>
      <c r="BY82" s="422">
        <v>0</v>
      </c>
      <c r="BZ82" s="272">
        <f t="shared" si="77"/>
        <v>24</v>
      </c>
      <c r="CA82" s="274">
        <f t="shared" si="78"/>
        <v>1</v>
      </c>
      <c r="CB82" s="275">
        <f t="shared" si="79"/>
        <v>1</v>
      </c>
      <c r="CC82" s="422">
        <v>192.6</v>
      </c>
    </row>
    <row r="83" spans="1:81">
      <c r="A83" s="279">
        <v>45008</v>
      </c>
      <c r="B83" s="278">
        <f t="shared" si="40"/>
        <v>12</v>
      </c>
      <c r="C83" s="272">
        <f>IFERROR(INDEX('Horo. M'!$C$3:$C$367,MATCH(A83,'Horo. M'!$A$3:$A$367,0)),"")</f>
        <v>0</v>
      </c>
      <c r="D83" s="422">
        <v>0</v>
      </c>
      <c r="E83" s="422">
        <v>12</v>
      </c>
      <c r="F83" s="272">
        <f t="shared" si="41"/>
        <v>12</v>
      </c>
      <c r="G83" s="300">
        <f t="shared" si="42"/>
        <v>0</v>
      </c>
      <c r="H83" s="275">
        <f t="shared" si="43"/>
        <v>0.5</v>
      </c>
      <c r="I83" s="422">
        <v>0</v>
      </c>
      <c r="J83" s="278">
        <f t="shared" si="44"/>
        <v>0</v>
      </c>
      <c r="K83" s="272">
        <f>IFERROR(INDEX('Horo. M'!$E$3:$E$367,MATCH(A83,'Horo. M'!$A$3:$A$367,0)),"")</f>
        <v>24</v>
      </c>
      <c r="L83" s="422">
        <v>0</v>
      </c>
      <c r="M83" s="422">
        <v>0</v>
      </c>
      <c r="N83" s="272">
        <f t="shared" si="45"/>
        <v>24</v>
      </c>
      <c r="O83" s="300">
        <f t="shared" si="46"/>
        <v>1</v>
      </c>
      <c r="P83" s="275">
        <f t="shared" si="47"/>
        <v>1</v>
      </c>
      <c r="Q83" s="422">
        <v>177.6</v>
      </c>
      <c r="R83" s="278">
        <f t="shared" si="48"/>
        <v>0</v>
      </c>
      <c r="S83" s="272">
        <f>IFERROR(INDEX('Horo. M'!G$3:$G$367,MATCH(A83,'Horo. M'!$A$3:$A$367,0)),"")</f>
        <v>24</v>
      </c>
      <c r="T83" s="422">
        <v>0</v>
      </c>
      <c r="U83" s="422">
        <v>0</v>
      </c>
      <c r="V83" s="272">
        <f t="shared" si="49"/>
        <v>24</v>
      </c>
      <c r="W83" s="300">
        <f t="shared" si="50"/>
        <v>1</v>
      </c>
      <c r="X83" s="275">
        <f t="shared" si="51"/>
        <v>1</v>
      </c>
      <c r="Y83" s="422">
        <v>183.01</v>
      </c>
      <c r="Z83" s="278">
        <f t="shared" si="52"/>
        <v>0</v>
      </c>
      <c r="AA83" s="272">
        <f>IFERROR(INDEX('Horo. M'!$I$3:I$367,MATCH(A83,'Horo. M'!$A$3:$A$367,0)),"")</f>
        <v>24</v>
      </c>
      <c r="AB83" s="422">
        <v>0</v>
      </c>
      <c r="AC83" s="422">
        <v>0</v>
      </c>
      <c r="AD83" s="272">
        <f t="shared" si="53"/>
        <v>24</v>
      </c>
      <c r="AE83" s="300">
        <f t="shared" si="54"/>
        <v>1</v>
      </c>
      <c r="AF83" s="275">
        <f t="shared" si="55"/>
        <v>1</v>
      </c>
      <c r="AG83" s="422">
        <v>177.84</v>
      </c>
      <c r="AH83" s="272">
        <f t="shared" si="56"/>
        <v>0</v>
      </c>
      <c r="AI83" s="272">
        <f>IFERROR(INDEX('Horo. M'!$K$3:K$367,MATCH(A83,'Horo. M'!$A$3:$A$367,0)),"")</f>
        <v>0</v>
      </c>
      <c r="AJ83" s="422">
        <v>24</v>
      </c>
      <c r="AK83" s="422">
        <v>0</v>
      </c>
      <c r="AL83" s="272">
        <f t="shared" si="57"/>
        <v>0</v>
      </c>
      <c r="AM83" s="300">
        <f t="shared" si="58"/>
        <v>0</v>
      </c>
      <c r="AN83" s="275">
        <f t="shared" si="59"/>
        <v>0</v>
      </c>
      <c r="AO83" s="422">
        <v>0</v>
      </c>
      <c r="AP83" s="272">
        <f t="shared" si="60"/>
        <v>0</v>
      </c>
      <c r="AQ83" s="272">
        <f>IFERROR(INDEX('Horo. M'!$M$3:M$367,MATCH(A83,'Horo. M'!$A$3:$A$367,0)),"")</f>
        <v>24</v>
      </c>
      <c r="AR83" s="422">
        <v>0</v>
      </c>
      <c r="AS83" s="422">
        <v>0</v>
      </c>
      <c r="AT83" s="272">
        <f t="shared" si="61"/>
        <v>24</v>
      </c>
      <c r="AU83" s="300">
        <f t="shared" si="62"/>
        <v>1</v>
      </c>
      <c r="AV83" s="275">
        <f t="shared" si="63"/>
        <v>1</v>
      </c>
      <c r="AW83" s="422">
        <v>181.09</v>
      </c>
      <c r="AX83" s="272">
        <f t="shared" si="64"/>
        <v>10</v>
      </c>
      <c r="AY83" s="272">
        <f>IFERROR(INDEX('Horo. M'!$O$3:O$367,MATCH(A83,'Horo. M'!$A$3:$A$367,0)),"")</f>
        <v>14</v>
      </c>
      <c r="AZ83" s="422">
        <v>0</v>
      </c>
      <c r="BA83" s="422">
        <v>0</v>
      </c>
      <c r="BB83" s="272">
        <f t="shared" si="65"/>
        <v>24</v>
      </c>
      <c r="BC83" s="300">
        <f t="shared" si="66"/>
        <v>0.58333333333333337</v>
      </c>
      <c r="BD83" s="275">
        <f t="shared" si="67"/>
        <v>1</v>
      </c>
      <c r="BE83" s="422">
        <v>99.53</v>
      </c>
      <c r="BF83" s="272">
        <f t="shared" si="68"/>
        <v>0</v>
      </c>
      <c r="BG83" s="272">
        <f>IFERROR(INDEX('Horo. M'!$Q$3:Q$367,MATCH(A83,'Horo. M'!$A$3:$A$367,0)),"")</f>
        <v>24</v>
      </c>
      <c r="BH83" s="422">
        <v>0</v>
      </c>
      <c r="BI83" s="422">
        <v>0</v>
      </c>
      <c r="BJ83" s="272">
        <f t="shared" si="69"/>
        <v>24</v>
      </c>
      <c r="BK83" s="300">
        <f t="shared" si="70"/>
        <v>1</v>
      </c>
      <c r="BL83" s="275">
        <f t="shared" si="71"/>
        <v>1</v>
      </c>
      <c r="BM83" s="422">
        <v>179.92</v>
      </c>
      <c r="BN83" s="272">
        <f t="shared" si="72"/>
        <v>0</v>
      </c>
      <c r="BO83" s="272">
        <f>IFERROR(INDEX('Horo. M'!$S$3:S$367,MATCH(A83,'Horo. M'!$A$3:$A$367,0)),"")</f>
        <v>24</v>
      </c>
      <c r="BP83" s="422">
        <v>0</v>
      </c>
      <c r="BQ83" s="422">
        <v>0</v>
      </c>
      <c r="BR83" s="272">
        <f t="shared" si="73"/>
        <v>24</v>
      </c>
      <c r="BS83" s="300">
        <f t="shared" si="74"/>
        <v>1</v>
      </c>
      <c r="BT83" s="275">
        <f t="shared" si="75"/>
        <v>1</v>
      </c>
      <c r="BU83" s="422">
        <v>181.31</v>
      </c>
      <c r="BV83" s="272">
        <f t="shared" si="76"/>
        <v>0</v>
      </c>
      <c r="BW83" s="272">
        <f>IFERROR(INDEX('Horo. M'!$U$3:U$367,MATCH(A83,'Horo. M'!$A$3:$A$367,0)),"")</f>
        <v>24</v>
      </c>
      <c r="BX83" s="422">
        <v>0</v>
      </c>
      <c r="BY83" s="422">
        <v>0</v>
      </c>
      <c r="BZ83" s="272">
        <f t="shared" si="77"/>
        <v>24</v>
      </c>
      <c r="CA83" s="300">
        <f t="shared" si="78"/>
        <v>1</v>
      </c>
      <c r="CB83" s="275">
        <f t="shared" si="79"/>
        <v>1</v>
      </c>
      <c r="CC83" s="422">
        <v>181.3</v>
      </c>
    </row>
    <row r="84" spans="1:81">
      <c r="A84" s="279">
        <v>45009</v>
      </c>
      <c r="B84" s="278">
        <f t="shared" si="40"/>
        <v>13</v>
      </c>
      <c r="C84" s="272">
        <f>IFERROR(INDEX('Horo. M'!$C$3:$C$367,MATCH(A84,'Horo. M'!$A$3:$A$367,0)),"")</f>
        <v>11</v>
      </c>
      <c r="D84" s="422">
        <v>0</v>
      </c>
      <c r="E84" s="422">
        <v>0</v>
      </c>
      <c r="F84" s="272">
        <f t="shared" si="41"/>
        <v>24</v>
      </c>
      <c r="G84" s="274">
        <f t="shared" si="42"/>
        <v>0.45833333333333331</v>
      </c>
      <c r="H84" s="275">
        <f t="shared" si="43"/>
        <v>1</v>
      </c>
      <c r="I84" s="422">
        <v>74.7</v>
      </c>
      <c r="J84" s="278">
        <f t="shared" si="44"/>
        <v>0</v>
      </c>
      <c r="K84" s="272">
        <f>IFERROR(INDEX('Horo. M'!$E$3:$E$367,MATCH(A84,'Horo. M'!$A$3:$A$367,0)),"")</f>
        <v>24</v>
      </c>
      <c r="L84" s="422">
        <v>0</v>
      </c>
      <c r="M84" s="422">
        <v>0</v>
      </c>
      <c r="N84" s="272">
        <f t="shared" si="45"/>
        <v>24</v>
      </c>
      <c r="O84" s="274">
        <f t="shared" si="46"/>
        <v>1</v>
      </c>
      <c r="P84" s="275">
        <f t="shared" si="47"/>
        <v>1</v>
      </c>
      <c r="Q84" s="422">
        <v>178.2</v>
      </c>
      <c r="R84" s="278">
        <f t="shared" si="48"/>
        <v>5</v>
      </c>
      <c r="S84" s="272">
        <f>IFERROR(INDEX('Horo. M'!G$3:$G$367,MATCH(A84,'Horo. M'!$A$3:$A$367,0)),"")</f>
        <v>17</v>
      </c>
      <c r="T84" s="422">
        <v>2</v>
      </c>
      <c r="U84" s="422">
        <v>0</v>
      </c>
      <c r="V84" s="272">
        <f t="shared" si="49"/>
        <v>22</v>
      </c>
      <c r="W84" s="274">
        <f t="shared" si="50"/>
        <v>0.70833333333333337</v>
      </c>
      <c r="X84" s="275">
        <f t="shared" si="51"/>
        <v>0.91666666666666663</v>
      </c>
      <c r="Y84" s="422">
        <v>123.36</v>
      </c>
      <c r="Z84" s="278">
        <f t="shared" si="52"/>
        <v>0</v>
      </c>
      <c r="AA84" s="272">
        <f>IFERROR(INDEX('Horo. M'!$I$3:I$367,MATCH(A84,'Horo. M'!$A$3:$A$367,0)),"")</f>
        <v>24</v>
      </c>
      <c r="AB84" s="422">
        <v>0</v>
      </c>
      <c r="AC84" s="422">
        <v>0</v>
      </c>
      <c r="AD84" s="272">
        <f t="shared" si="53"/>
        <v>24</v>
      </c>
      <c r="AE84" s="274">
        <f t="shared" si="54"/>
        <v>1</v>
      </c>
      <c r="AF84" s="275">
        <f t="shared" si="55"/>
        <v>1</v>
      </c>
      <c r="AG84" s="422">
        <v>181.05</v>
      </c>
      <c r="AH84" s="272">
        <f t="shared" si="56"/>
        <v>0</v>
      </c>
      <c r="AI84" s="272">
        <f>IFERROR(INDEX('Horo. M'!$K$3:K$367,MATCH(A84,'Horo. M'!$A$3:$A$367,0)),"")</f>
        <v>0</v>
      </c>
      <c r="AJ84" s="422">
        <v>24</v>
      </c>
      <c r="AK84" s="422">
        <v>0</v>
      </c>
      <c r="AL84" s="272">
        <f t="shared" si="57"/>
        <v>0</v>
      </c>
      <c r="AM84" s="274">
        <f t="shared" si="58"/>
        <v>0</v>
      </c>
      <c r="AN84" s="275">
        <f t="shared" si="59"/>
        <v>0</v>
      </c>
      <c r="AO84" s="422">
        <v>0</v>
      </c>
      <c r="AP84" s="272">
        <f t="shared" si="60"/>
        <v>0</v>
      </c>
      <c r="AQ84" s="272">
        <f>IFERROR(INDEX('Horo. M'!$M$3:M$367,MATCH(A84,'Horo. M'!$A$3:$A$367,0)),"")</f>
        <v>24</v>
      </c>
      <c r="AR84" s="422">
        <v>0</v>
      </c>
      <c r="AS84" s="422">
        <v>0</v>
      </c>
      <c r="AT84" s="272">
        <f t="shared" si="61"/>
        <v>24</v>
      </c>
      <c r="AU84" s="274">
        <f t="shared" si="62"/>
        <v>1</v>
      </c>
      <c r="AV84" s="275">
        <f t="shared" si="63"/>
        <v>1</v>
      </c>
      <c r="AW84" s="422">
        <v>181.88</v>
      </c>
      <c r="AX84" s="272">
        <f t="shared" si="64"/>
        <v>3</v>
      </c>
      <c r="AY84" s="272">
        <f>IFERROR(INDEX('Horo. M'!$O$3:O$367,MATCH(A84,'Horo. M'!$A$3:$A$367,0)),"")</f>
        <v>13</v>
      </c>
      <c r="AZ84" s="422">
        <v>8</v>
      </c>
      <c r="BA84" s="422">
        <v>0</v>
      </c>
      <c r="BB84" s="272">
        <f t="shared" si="65"/>
        <v>16</v>
      </c>
      <c r="BC84" s="274">
        <f t="shared" si="66"/>
        <v>0.54166666666666663</v>
      </c>
      <c r="BD84" s="275">
        <f t="shared" si="67"/>
        <v>0.66666666666666663</v>
      </c>
      <c r="BE84" s="422">
        <v>98.18</v>
      </c>
      <c r="BF84" s="272">
        <f t="shared" si="68"/>
        <v>0</v>
      </c>
      <c r="BG84" s="272">
        <f>IFERROR(INDEX('Horo. M'!$Q$3:Q$367,MATCH(A84,'Horo. M'!$A$3:$A$367,0)),"")</f>
        <v>24</v>
      </c>
      <c r="BH84" s="422">
        <v>0</v>
      </c>
      <c r="BI84" s="422">
        <v>0</v>
      </c>
      <c r="BJ84" s="272">
        <f t="shared" si="69"/>
        <v>24</v>
      </c>
      <c r="BK84" s="274">
        <f t="shared" si="70"/>
        <v>1</v>
      </c>
      <c r="BL84" s="275">
        <f t="shared" si="71"/>
        <v>1</v>
      </c>
      <c r="BM84" s="422">
        <v>180.86</v>
      </c>
      <c r="BN84" s="272">
        <f t="shared" si="72"/>
        <v>0</v>
      </c>
      <c r="BO84" s="272">
        <f>IFERROR(INDEX('Horo. M'!$S$3:S$367,MATCH(A84,'Horo. M'!$A$3:$A$367,0)),"")</f>
        <v>24</v>
      </c>
      <c r="BP84" s="422">
        <v>0</v>
      </c>
      <c r="BQ84" s="422">
        <v>0</v>
      </c>
      <c r="BR84" s="272">
        <f t="shared" si="73"/>
        <v>24</v>
      </c>
      <c r="BS84" s="274">
        <f t="shared" si="74"/>
        <v>1</v>
      </c>
      <c r="BT84" s="275">
        <f t="shared" si="75"/>
        <v>1</v>
      </c>
      <c r="BU84" s="422">
        <v>180.81</v>
      </c>
      <c r="BV84" s="272">
        <f t="shared" si="76"/>
        <v>0</v>
      </c>
      <c r="BW84" s="272">
        <f>IFERROR(INDEX('Horo. M'!$U$3:U$367,MATCH(A84,'Horo. M'!$A$3:$A$367,0)),"")</f>
        <v>24</v>
      </c>
      <c r="BX84" s="422">
        <v>0</v>
      </c>
      <c r="BY84" s="422">
        <v>0</v>
      </c>
      <c r="BZ84" s="272">
        <f t="shared" si="77"/>
        <v>24</v>
      </c>
      <c r="CA84" s="274">
        <f t="shared" si="78"/>
        <v>1</v>
      </c>
      <c r="CB84" s="275">
        <f t="shared" si="79"/>
        <v>1</v>
      </c>
      <c r="CC84" s="422">
        <v>180.79</v>
      </c>
    </row>
    <row r="85" spans="1:81">
      <c r="A85" s="279">
        <v>45010</v>
      </c>
      <c r="B85" s="278">
        <f t="shared" si="40"/>
        <v>0</v>
      </c>
      <c r="C85" s="272">
        <f>IFERROR(INDEX('Horo. M'!$C$3:$C$367,MATCH(A85,'Horo. M'!$A$3:$A$367,0)),"")</f>
        <v>24</v>
      </c>
      <c r="D85" s="422">
        <v>0</v>
      </c>
      <c r="E85" s="422">
        <v>0</v>
      </c>
      <c r="F85" s="272">
        <f t="shared" si="41"/>
        <v>24</v>
      </c>
      <c r="G85" s="274">
        <f t="shared" si="42"/>
        <v>1</v>
      </c>
      <c r="H85" s="275">
        <f t="shared" si="43"/>
        <v>1</v>
      </c>
      <c r="I85" s="422">
        <v>171.8</v>
      </c>
      <c r="J85" s="278">
        <f t="shared" si="44"/>
        <v>1</v>
      </c>
      <c r="K85" s="272">
        <f>IFERROR(INDEX('Horo. M'!$E$3:$E$367,MATCH(A85,'Horo. M'!$A$3:$A$367,0)),"")</f>
        <v>21</v>
      </c>
      <c r="L85" s="422">
        <v>0</v>
      </c>
      <c r="M85" s="422">
        <v>2</v>
      </c>
      <c r="N85" s="272">
        <f t="shared" si="45"/>
        <v>22</v>
      </c>
      <c r="O85" s="274">
        <f t="shared" si="46"/>
        <v>0.875</v>
      </c>
      <c r="P85" s="275">
        <f t="shared" si="47"/>
        <v>0.91666666666666663</v>
      </c>
      <c r="Q85" s="422">
        <v>155.1</v>
      </c>
      <c r="R85" s="278">
        <f t="shared" si="48"/>
        <v>0</v>
      </c>
      <c r="S85" s="272">
        <f>IFERROR(INDEX('Horo. M'!G$3:$G$367,MATCH(A85,'Horo. M'!$A$3:$A$367,0)),"")</f>
        <v>24</v>
      </c>
      <c r="T85" s="422">
        <v>0</v>
      </c>
      <c r="U85" s="422">
        <v>0</v>
      </c>
      <c r="V85" s="272">
        <f t="shared" si="49"/>
        <v>24</v>
      </c>
      <c r="W85" s="274">
        <f t="shared" si="50"/>
        <v>1</v>
      </c>
      <c r="X85" s="275">
        <f t="shared" si="51"/>
        <v>1</v>
      </c>
      <c r="Y85" s="422">
        <v>176.09</v>
      </c>
      <c r="Z85" s="278">
        <f t="shared" si="52"/>
        <v>0</v>
      </c>
      <c r="AA85" s="272">
        <f>IFERROR(INDEX('Horo. M'!$I$3:I$367,MATCH(A85,'Horo. M'!$A$3:$A$367,0)),"")</f>
        <v>24</v>
      </c>
      <c r="AB85" s="422">
        <v>0</v>
      </c>
      <c r="AC85" s="422">
        <v>0</v>
      </c>
      <c r="AD85" s="272">
        <f t="shared" si="53"/>
        <v>24</v>
      </c>
      <c r="AE85" s="274">
        <f t="shared" si="54"/>
        <v>1</v>
      </c>
      <c r="AF85" s="275">
        <f t="shared" si="55"/>
        <v>1</v>
      </c>
      <c r="AG85" s="422">
        <v>174.23</v>
      </c>
      <c r="AH85" s="272">
        <f t="shared" si="56"/>
        <v>0</v>
      </c>
      <c r="AI85" s="272">
        <f>IFERROR(INDEX('Horo. M'!$K$3:K$367,MATCH(A85,'Horo. M'!$A$3:$A$367,0)),"")</f>
        <v>0</v>
      </c>
      <c r="AJ85" s="422">
        <v>24</v>
      </c>
      <c r="AK85" s="422">
        <v>0</v>
      </c>
      <c r="AL85" s="272">
        <f t="shared" si="57"/>
        <v>0</v>
      </c>
      <c r="AM85" s="274">
        <f t="shared" si="58"/>
        <v>0</v>
      </c>
      <c r="AN85" s="275">
        <f t="shared" si="59"/>
        <v>0</v>
      </c>
      <c r="AO85" s="422">
        <v>0</v>
      </c>
      <c r="AP85" s="272">
        <f t="shared" si="60"/>
        <v>1</v>
      </c>
      <c r="AQ85" s="272">
        <f>IFERROR(INDEX('Horo. M'!$M$3:M$367,MATCH(A85,'Horo. M'!$A$3:$A$367,0)),"")</f>
        <v>19</v>
      </c>
      <c r="AR85" s="422">
        <v>4</v>
      </c>
      <c r="AS85" s="422">
        <v>0</v>
      </c>
      <c r="AT85" s="272">
        <f t="shared" si="61"/>
        <v>20</v>
      </c>
      <c r="AU85" s="274">
        <f t="shared" si="62"/>
        <v>0.79166666666666663</v>
      </c>
      <c r="AV85" s="275">
        <f t="shared" si="63"/>
        <v>0.83333333333333337</v>
      </c>
      <c r="AW85" s="422">
        <v>138.25</v>
      </c>
      <c r="AX85" s="272">
        <f t="shared" si="64"/>
        <v>24</v>
      </c>
      <c r="AY85" s="272">
        <f>IFERROR(INDEX('Horo. M'!$O$3:O$367,MATCH(A85,'Horo. M'!$A$3:$A$367,0)),"")</f>
        <v>0</v>
      </c>
      <c r="AZ85" s="422">
        <v>0</v>
      </c>
      <c r="BA85" s="422">
        <v>0</v>
      </c>
      <c r="BB85" s="272">
        <f t="shared" si="65"/>
        <v>24</v>
      </c>
      <c r="BC85" s="274">
        <f t="shared" si="66"/>
        <v>0</v>
      </c>
      <c r="BD85" s="275">
        <f t="shared" si="67"/>
        <v>1</v>
      </c>
      <c r="BE85" s="422">
        <v>0</v>
      </c>
      <c r="BF85" s="272">
        <f t="shared" si="68"/>
        <v>0</v>
      </c>
      <c r="BG85" s="272">
        <f>IFERROR(INDEX('Horo. M'!$Q$3:Q$367,MATCH(A85,'Horo. M'!$A$3:$A$367,0)),"")</f>
        <v>24</v>
      </c>
      <c r="BH85" s="422">
        <v>0</v>
      </c>
      <c r="BI85" s="422">
        <v>0</v>
      </c>
      <c r="BJ85" s="272">
        <f t="shared" si="69"/>
        <v>24</v>
      </c>
      <c r="BK85" s="274">
        <f t="shared" si="70"/>
        <v>1</v>
      </c>
      <c r="BL85" s="275">
        <f t="shared" si="71"/>
        <v>1</v>
      </c>
      <c r="BM85" s="422">
        <v>179.5</v>
      </c>
      <c r="BN85" s="272">
        <f t="shared" si="72"/>
        <v>0</v>
      </c>
      <c r="BO85" s="272">
        <f>IFERROR(INDEX('Horo. M'!$S$3:S$367,MATCH(A85,'Horo. M'!$A$3:$A$367,0)),"")</f>
        <v>24</v>
      </c>
      <c r="BP85" s="422">
        <v>0</v>
      </c>
      <c r="BQ85" s="422">
        <v>0</v>
      </c>
      <c r="BR85" s="272">
        <f t="shared" si="73"/>
        <v>24</v>
      </c>
      <c r="BS85" s="274">
        <f t="shared" si="74"/>
        <v>1</v>
      </c>
      <c r="BT85" s="275">
        <f t="shared" si="75"/>
        <v>1</v>
      </c>
      <c r="BU85" s="422">
        <v>179.56</v>
      </c>
      <c r="BV85" s="272">
        <f t="shared" si="76"/>
        <v>0</v>
      </c>
      <c r="BW85" s="272">
        <f>IFERROR(INDEX('Horo. M'!$U$3:U$367,MATCH(A85,'Horo. M'!$A$3:$A$367,0)),"")</f>
        <v>24</v>
      </c>
      <c r="BX85" s="422">
        <v>0</v>
      </c>
      <c r="BY85" s="422">
        <v>0</v>
      </c>
      <c r="BZ85" s="272">
        <f t="shared" si="77"/>
        <v>24</v>
      </c>
      <c r="CA85" s="274">
        <f t="shared" si="78"/>
        <v>1</v>
      </c>
      <c r="CB85" s="275">
        <f t="shared" si="79"/>
        <v>1</v>
      </c>
      <c r="CC85" s="422">
        <v>175.48</v>
      </c>
    </row>
    <row r="86" spans="1:81">
      <c r="A86" s="279">
        <v>45011</v>
      </c>
      <c r="B86" s="278">
        <f t="shared" si="40"/>
        <v>2</v>
      </c>
      <c r="C86" s="272">
        <f>IFERROR(INDEX('Horo. M'!$C$3:$C$367,MATCH(A86,'Horo. M'!$A$3:$A$367,0)),"")</f>
        <v>22</v>
      </c>
      <c r="D86" s="422">
        <v>0</v>
      </c>
      <c r="E86" s="422">
        <v>0</v>
      </c>
      <c r="F86" s="272">
        <f t="shared" si="41"/>
        <v>24</v>
      </c>
      <c r="G86" s="300">
        <f t="shared" si="42"/>
        <v>0.91666666666666663</v>
      </c>
      <c r="H86" s="275">
        <f t="shared" si="43"/>
        <v>1</v>
      </c>
      <c r="I86" s="422">
        <v>163</v>
      </c>
      <c r="J86" s="278">
        <f t="shared" si="44"/>
        <v>5</v>
      </c>
      <c r="K86" s="272">
        <f>IFERROR(INDEX('Horo. M'!$E$3:$E$367,MATCH(A86,'Horo. M'!$A$3:$A$367,0)),"")</f>
        <v>19</v>
      </c>
      <c r="L86" s="422">
        <v>0</v>
      </c>
      <c r="M86" s="422">
        <v>0</v>
      </c>
      <c r="N86" s="272">
        <f t="shared" si="45"/>
        <v>24</v>
      </c>
      <c r="O86" s="300">
        <f t="shared" si="46"/>
        <v>0.79166666666666663</v>
      </c>
      <c r="P86" s="275">
        <f t="shared" si="47"/>
        <v>1</v>
      </c>
      <c r="Q86" s="422">
        <v>138.30000000000001</v>
      </c>
      <c r="R86" s="278">
        <f t="shared" si="48"/>
        <v>1</v>
      </c>
      <c r="S86" s="272">
        <f>IFERROR(INDEX('Horo. M'!G$3:$G$367,MATCH(A86,'Horo. M'!$A$3:$A$367,0)),"")</f>
        <v>23</v>
      </c>
      <c r="T86" s="422">
        <v>0</v>
      </c>
      <c r="U86" s="422">
        <v>0</v>
      </c>
      <c r="V86" s="272">
        <f t="shared" si="49"/>
        <v>24</v>
      </c>
      <c r="W86" s="300">
        <f t="shared" si="50"/>
        <v>0.95833333333333337</v>
      </c>
      <c r="X86" s="275">
        <f t="shared" si="51"/>
        <v>1</v>
      </c>
      <c r="Y86" s="422">
        <v>172.88</v>
      </c>
      <c r="Z86" s="278">
        <f t="shared" si="52"/>
        <v>2</v>
      </c>
      <c r="AA86" s="272">
        <f>IFERROR(INDEX('Horo. M'!$I$3:I$367,MATCH(A86,'Horo. M'!$A$3:$A$367,0)),"")</f>
        <v>19</v>
      </c>
      <c r="AB86" s="422">
        <v>0</v>
      </c>
      <c r="AC86" s="422">
        <v>3</v>
      </c>
      <c r="AD86" s="272">
        <f t="shared" si="53"/>
        <v>21</v>
      </c>
      <c r="AE86" s="300">
        <f t="shared" si="54"/>
        <v>0.79166666666666663</v>
      </c>
      <c r="AF86" s="275">
        <f t="shared" si="55"/>
        <v>0.875</v>
      </c>
      <c r="AG86" s="422">
        <v>138.41999999999999</v>
      </c>
      <c r="AH86" s="272">
        <f t="shared" si="56"/>
        <v>0</v>
      </c>
      <c r="AI86" s="272">
        <f>IFERROR(INDEX('Horo. M'!$K$3:K$367,MATCH(A86,'Horo. M'!$A$3:$A$367,0)),"")</f>
        <v>0</v>
      </c>
      <c r="AJ86" s="422">
        <v>24</v>
      </c>
      <c r="AK86" s="422">
        <v>0</v>
      </c>
      <c r="AL86" s="272">
        <f t="shared" si="57"/>
        <v>0</v>
      </c>
      <c r="AM86" s="300">
        <f t="shared" si="58"/>
        <v>0</v>
      </c>
      <c r="AN86" s="275">
        <f t="shared" si="59"/>
        <v>0</v>
      </c>
      <c r="AO86" s="422">
        <v>0</v>
      </c>
      <c r="AP86" s="272">
        <f t="shared" si="60"/>
        <v>2</v>
      </c>
      <c r="AQ86" s="272">
        <f>IFERROR(INDEX('Horo. M'!$M$3:M$367,MATCH(A86,'Horo. M'!$A$3:$A$367,0)),"")</f>
        <v>20</v>
      </c>
      <c r="AR86" s="422">
        <v>0</v>
      </c>
      <c r="AS86" s="422">
        <v>2</v>
      </c>
      <c r="AT86" s="272">
        <f t="shared" si="61"/>
        <v>22</v>
      </c>
      <c r="AU86" s="300">
        <f t="shared" si="62"/>
        <v>0.83333333333333337</v>
      </c>
      <c r="AV86" s="275">
        <f t="shared" si="63"/>
        <v>0.91666666666666663</v>
      </c>
      <c r="AW86" s="422">
        <v>151.08000000000001</v>
      </c>
      <c r="AX86" s="272">
        <f t="shared" si="64"/>
        <v>23</v>
      </c>
      <c r="AY86" s="272">
        <f>IFERROR(INDEX('Horo. M'!$O$3:O$367,MATCH(A86,'Horo. M'!$A$3:$A$367,0)),"")</f>
        <v>0</v>
      </c>
      <c r="AZ86" s="422">
        <v>0</v>
      </c>
      <c r="BA86" s="422">
        <v>1</v>
      </c>
      <c r="BB86" s="272">
        <f t="shared" si="65"/>
        <v>23</v>
      </c>
      <c r="BC86" s="300">
        <f t="shared" si="66"/>
        <v>0</v>
      </c>
      <c r="BD86" s="275">
        <f t="shared" si="67"/>
        <v>0.95833333333333337</v>
      </c>
      <c r="BE86" s="422">
        <v>0</v>
      </c>
      <c r="BF86" s="272">
        <f t="shared" si="68"/>
        <v>4</v>
      </c>
      <c r="BG86" s="272">
        <f>IFERROR(INDEX('Horo. M'!$Q$3:Q$367,MATCH(A86,'Horo. M'!$A$3:$A$367,0)),"")</f>
        <v>20</v>
      </c>
      <c r="BH86" s="422">
        <v>0</v>
      </c>
      <c r="BI86" s="422">
        <v>0</v>
      </c>
      <c r="BJ86" s="272">
        <f t="shared" si="69"/>
        <v>24</v>
      </c>
      <c r="BK86" s="300">
        <f t="shared" si="70"/>
        <v>0.83333333333333337</v>
      </c>
      <c r="BL86" s="275">
        <f t="shared" si="71"/>
        <v>1</v>
      </c>
      <c r="BM86" s="422">
        <v>139.97999999999999</v>
      </c>
      <c r="BN86" s="272">
        <f t="shared" si="72"/>
        <v>3</v>
      </c>
      <c r="BO86" s="272">
        <f>IFERROR(INDEX('Horo. M'!$S$3:S$367,MATCH(A86,'Horo. M'!$A$3:$A$367,0)),"")</f>
        <v>21</v>
      </c>
      <c r="BP86" s="422">
        <v>0</v>
      </c>
      <c r="BQ86" s="422">
        <v>0</v>
      </c>
      <c r="BR86" s="272">
        <f t="shared" si="73"/>
        <v>24</v>
      </c>
      <c r="BS86" s="300">
        <f t="shared" si="74"/>
        <v>0.875</v>
      </c>
      <c r="BT86" s="275">
        <f t="shared" si="75"/>
        <v>1</v>
      </c>
      <c r="BU86" s="422">
        <v>156.86000000000001</v>
      </c>
      <c r="BV86" s="272">
        <f t="shared" si="76"/>
        <v>1</v>
      </c>
      <c r="BW86" s="272">
        <f>IFERROR(INDEX('Horo. M'!$U$3:U$367,MATCH(A86,'Horo. M'!$A$3:$A$367,0)),"")</f>
        <v>19</v>
      </c>
      <c r="BX86" s="422">
        <v>4</v>
      </c>
      <c r="BY86" s="422">
        <v>0</v>
      </c>
      <c r="BZ86" s="272">
        <f t="shared" si="77"/>
        <v>20</v>
      </c>
      <c r="CA86" s="300">
        <f t="shared" si="78"/>
        <v>0.79166666666666663</v>
      </c>
      <c r="CB86" s="275">
        <f t="shared" si="79"/>
        <v>0.83333333333333337</v>
      </c>
      <c r="CC86" s="422">
        <v>142</v>
      </c>
    </row>
    <row r="87" spans="1:81">
      <c r="A87" s="279">
        <v>45012</v>
      </c>
      <c r="B87" s="278">
        <f t="shared" si="40"/>
        <v>0</v>
      </c>
      <c r="C87" s="272">
        <f>IFERROR(INDEX('Horo. M'!$C$3:$C$367,MATCH(A87,'Horo. M'!$A$3:$A$367,0)),"")</f>
        <v>24</v>
      </c>
      <c r="D87" s="422">
        <v>0</v>
      </c>
      <c r="E87" s="422">
        <v>0</v>
      </c>
      <c r="F87" s="272">
        <f t="shared" si="41"/>
        <v>24</v>
      </c>
      <c r="G87" s="274">
        <f t="shared" si="42"/>
        <v>1</v>
      </c>
      <c r="H87" s="275">
        <f t="shared" si="43"/>
        <v>1</v>
      </c>
      <c r="I87" s="422">
        <v>181.3</v>
      </c>
      <c r="J87" s="278">
        <f t="shared" si="44"/>
        <v>7</v>
      </c>
      <c r="K87" s="272">
        <f>IFERROR(INDEX('Horo. M'!$E$3:$E$367,MATCH(A87,'Horo. M'!$A$3:$A$367,0)),"")</f>
        <v>17</v>
      </c>
      <c r="L87" s="422">
        <v>0</v>
      </c>
      <c r="M87" s="422">
        <v>0</v>
      </c>
      <c r="N87" s="272">
        <f t="shared" si="45"/>
        <v>24</v>
      </c>
      <c r="O87" s="274">
        <f t="shared" si="46"/>
        <v>0.70833333333333337</v>
      </c>
      <c r="P87" s="275">
        <f t="shared" si="47"/>
        <v>1</v>
      </c>
      <c r="Q87" s="422">
        <v>122.9</v>
      </c>
      <c r="R87" s="278">
        <f t="shared" si="48"/>
        <v>0</v>
      </c>
      <c r="S87" s="272">
        <f>IFERROR(INDEX('Horo. M'!G$3:$G$367,MATCH(A87,'Horo. M'!$A$3:$A$367,0)),"")</f>
        <v>24</v>
      </c>
      <c r="T87" s="422">
        <v>0</v>
      </c>
      <c r="U87" s="422">
        <v>0</v>
      </c>
      <c r="V87" s="272">
        <f t="shared" si="49"/>
        <v>24</v>
      </c>
      <c r="W87" s="274">
        <f t="shared" si="50"/>
        <v>1</v>
      </c>
      <c r="X87" s="275">
        <f t="shared" si="51"/>
        <v>1</v>
      </c>
      <c r="Y87" s="422">
        <v>182.78</v>
      </c>
      <c r="Z87" s="278">
        <f t="shared" si="52"/>
        <v>1</v>
      </c>
      <c r="AA87" s="272">
        <f>IFERROR(INDEX('Horo. M'!$I$3:I$367,MATCH(A87,'Horo. M'!$A$3:$A$367,0)),"")</f>
        <v>23</v>
      </c>
      <c r="AB87" s="422">
        <v>0</v>
      </c>
      <c r="AC87" s="422">
        <v>0</v>
      </c>
      <c r="AD87" s="272">
        <f t="shared" si="53"/>
        <v>24</v>
      </c>
      <c r="AE87" s="274">
        <f t="shared" si="54"/>
        <v>0.95833333333333337</v>
      </c>
      <c r="AF87" s="275">
        <f t="shared" si="55"/>
        <v>1</v>
      </c>
      <c r="AG87" s="422">
        <v>177.8</v>
      </c>
      <c r="AH87" s="272">
        <f t="shared" si="56"/>
        <v>0</v>
      </c>
      <c r="AI87" s="272">
        <f>IFERROR(INDEX('Horo. M'!$K$3:K$367,MATCH(A87,'Horo. M'!$A$3:$A$367,0)),"")</f>
        <v>1</v>
      </c>
      <c r="AJ87" s="422">
        <v>23</v>
      </c>
      <c r="AK87" s="422">
        <v>0</v>
      </c>
      <c r="AL87" s="272">
        <f t="shared" si="57"/>
        <v>1</v>
      </c>
      <c r="AM87" s="274">
        <f t="shared" si="58"/>
        <v>4.1666666666666664E-2</v>
      </c>
      <c r="AN87" s="275">
        <f t="shared" si="59"/>
        <v>4.1666666666666664E-2</v>
      </c>
      <c r="AO87" s="422">
        <v>0</v>
      </c>
      <c r="AP87" s="272">
        <f t="shared" si="60"/>
        <v>0</v>
      </c>
      <c r="AQ87" s="272">
        <f>IFERROR(INDEX('Horo. M'!$M$3:M$367,MATCH(A87,'Horo. M'!$A$3:$A$367,0)),"")</f>
        <v>24</v>
      </c>
      <c r="AR87" s="422">
        <v>0</v>
      </c>
      <c r="AS87" s="422">
        <v>0</v>
      </c>
      <c r="AT87" s="272">
        <f t="shared" si="61"/>
        <v>24</v>
      </c>
      <c r="AU87" s="274">
        <f t="shared" si="62"/>
        <v>1</v>
      </c>
      <c r="AV87" s="275">
        <f t="shared" si="63"/>
        <v>1</v>
      </c>
      <c r="AW87" s="422">
        <v>179.22</v>
      </c>
      <c r="AX87" s="272">
        <f t="shared" si="64"/>
        <v>24</v>
      </c>
      <c r="AY87" s="272">
        <f>IFERROR(INDEX('Horo. M'!$O$3:O$367,MATCH(A87,'Horo. M'!$A$3:$A$367,0)),"")</f>
        <v>0</v>
      </c>
      <c r="AZ87" s="422">
        <v>0</v>
      </c>
      <c r="BA87" s="422">
        <v>0</v>
      </c>
      <c r="BB87" s="272">
        <f t="shared" si="65"/>
        <v>24</v>
      </c>
      <c r="BC87" s="274">
        <f t="shared" si="66"/>
        <v>0</v>
      </c>
      <c r="BD87" s="275">
        <f t="shared" si="67"/>
        <v>1</v>
      </c>
      <c r="BE87" s="422">
        <v>0</v>
      </c>
      <c r="BF87" s="272">
        <f t="shared" si="68"/>
        <v>0</v>
      </c>
      <c r="BG87" s="272">
        <f>IFERROR(INDEX('Horo. M'!$Q$3:Q$367,MATCH(A87,'Horo. M'!$A$3:$A$367,0)),"")</f>
        <v>24</v>
      </c>
      <c r="BH87" s="422">
        <v>0</v>
      </c>
      <c r="BI87" s="422">
        <v>0</v>
      </c>
      <c r="BJ87" s="272">
        <f t="shared" si="69"/>
        <v>24</v>
      </c>
      <c r="BK87" s="274">
        <f t="shared" si="70"/>
        <v>1</v>
      </c>
      <c r="BL87" s="275">
        <f t="shared" si="71"/>
        <v>1</v>
      </c>
      <c r="BM87" s="422">
        <v>183.91</v>
      </c>
      <c r="BN87" s="272">
        <f t="shared" si="72"/>
        <v>0</v>
      </c>
      <c r="BO87" s="272">
        <f>IFERROR(INDEX('Horo. M'!$S$3:S$367,MATCH(A87,'Horo. M'!$A$3:$A$367,0)),"")</f>
        <v>24</v>
      </c>
      <c r="BP87" s="422">
        <v>0</v>
      </c>
      <c r="BQ87" s="422">
        <v>0</v>
      </c>
      <c r="BR87" s="272">
        <f t="shared" si="73"/>
        <v>24</v>
      </c>
      <c r="BS87" s="274">
        <f t="shared" si="74"/>
        <v>1</v>
      </c>
      <c r="BT87" s="275">
        <f t="shared" si="75"/>
        <v>1</v>
      </c>
      <c r="BU87" s="422">
        <v>184.47</v>
      </c>
      <c r="BV87" s="272">
        <f t="shared" si="76"/>
        <v>0</v>
      </c>
      <c r="BW87" s="272">
        <f>IFERROR(INDEX('Horo. M'!$U$3:U$367,MATCH(A87,'Horo. M'!$A$3:$A$367,0)),"")</f>
        <v>24</v>
      </c>
      <c r="BX87" s="422">
        <v>0</v>
      </c>
      <c r="BY87" s="422">
        <v>0</v>
      </c>
      <c r="BZ87" s="272">
        <f t="shared" si="77"/>
        <v>24</v>
      </c>
      <c r="CA87" s="274">
        <f t="shared" si="78"/>
        <v>1</v>
      </c>
      <c r="CB87" s="275">
        <f t="shared" si="79"/>
        <v>1</v>
      </c>
      <c r="CC87" s="422">
        <v>186.34</v>
      </c>
    </row>
    <row r="88" spans="1:81">
      <c r="A88" s="279">
        <v>45013</v>
      </c>
      <c r="B88" s="278">
        <f t="shared" si="40"/>
        <v>0</v>
      </c>
      <c r="C88" s="272">
        <f>IFERROR(INDEX('Horo. M'!$C$3:$C$367,MATCH(A88,'Horo. M'!$A$3:$A$367,0)),"")</f>
        <v>24</v>
      </c>
      <c r="D88" s="422">
        <v>0</v>
      </c>
      <c r="E88" s="422">
        <v>0</v>
      </c>
      <c r="F88" s="272">
        <f t="shared" si="41"/>
        <v>24</v>
      </c>
      <c r="G88" s="274">
        <f t="shared" si="42"/>
        <v>1</v>
      </c>
      <c r="H88" s="275">
        <f t="shared" si="43"/>
        <v>1</v>
      </c>
      <c r="I88" s="422">
        <v>178.7</v>
      </c>
      <c r="J88" s="278">
        <f t="shared" si="44"/>
        <v>2</v>
      </c>
      <c r="K88" s="272">
        <f>IFERROR(INDEX('Horo. M'!$E$3:$E$367,MATCH(A88,'Horo. M'!$A$3:$A$367,0)),"")</f>
        <v>22</v>
      </c>
      <c r="L88" s="422">
        <v>0</v>
      </c>
      <c r="M88" s="422">
        <v>0</v>
      </c>
      <c r="N88" s="272">
        <f t="shared" si="45"/>
        <v>24</v>
      </c>
      <c r="O88" s="274">
        <f t="shared" si="46"/>
        <v>0.91666666666666663</v>
      </c>
      <c r="P88" s="275">
        <f t="shared" si="47"/>
        <v>1</v>
      </c>
      <c r="Q88" s="422">
        <v>158.69999999999999</v>
      </c>
      <c r="R88" s="278">
        <f t="shared" si="48"/>
        <v>0</v>
      </c>
      <c r="S88" s="272">
        <f>IFERROR(INDEX('Horo. M'!G$3:$G$367,MATCH(A88,'Horo. M'!$A$3:$A$367,0)),"")</f>
        <v>24</v>
      </c>
      <c r="T88" s="422">
        <v>0</v>
      </c>
      <c r="U88" s="422">
        <v>0</v>
      </c>
      <c r="V88" s="272">
        <f t="shared" si="49"/>
        <v>24</v>
      </c>
      <c r="W88" s="274">
        <f t="shared" si="50"/>
        <v>1</v>
      </c>
      <c r="X88" s="275">
        <f t="shared" si="51"/>
        <v>1</v>
      </c>
      <c r="Y88" s="422">
        <v>178.9</v>
      </c>
      <c r="Z88" s="278">
        <f t="shared" si="52"/>
        <v>2</v>
      </c>
      <c r="AA88" s="272">
        <f>IFERROR(INDEX('Horo. M'!$I$3:I$367,MATCH(A88,'Horo. M'!$A$3:$A$367,0)),"")</f>
        <v>20</v>
      </c>
      <c r="AB88" s="422">
        <v>0</v>
      </c>
      <c r="AC88" s="422">
        <v>2</v>
      </c>
      <c r="AD88" s="272">
        <f t="shared" si="53"/>
        <v>22</v>
      </c>
      <c r="AE88" s="274">
        <f t="shared" si="54"/>
        <v>0.83333333333333337</v>
      </c>
      <c r="AF88" s="275">
        <f t="shared" si="55"/>
        <v>0.91666666666666663</v>
      </c>
      <c r="AG88" s="422">
        <v>147.94999999999999</v>
      </c>
      <c r="AH88" s="272">
        <f t="shared" si="56"/>
        <v>0</v>
      </c>
      <c r="AI88" s="272">
        <f>IFERROR(INDEX('Horo. M'!$K$3:K$367,MATCH(A88,'Horo. M'!$A$3:$A$367,0)),"")</f>
        <v>5</v>
      </c>
      <c r="AJ88" s="422">
        <v>19</v>
      </c>
      <c r="AK88" s="422">
        <v>0</v>
      </c>
      <c r="AL88" s="272">
        <f t="shared" si="57"/>
        <v>5</v>
      </c>
      <c r="AM88" s="274">
        <f t="shared" si="58"/>
        <v>0.20833333333333334</v>
      </c>
      <c r="AN88" s="275">
        <f t="shared" si="59"/>
        <v>0.20833333333333334</v>
      </c>
      <c r="AO88" s="422">
        <v>23.66</v>
      </c>
      <c r="AP88" s="272">
        <f t="shared" si="60"/>
        <v>0</v>
      </c>
      <c r="AQ88" s="272">
        <f>IFERROR(INDEX('Horo. M'!$M$3:M$367,MATCH(A88,'Horo. M'!$A$3:$A$367,0)),"")</f>
        <v>24</v>
      </c>
      <c r="AR88" s="422">
        <v>0</v>
      </c>
      <c r="AS88" s="422">
        <v>0</v>
      </c>
      <c r="AT88" s="272">
        <f t="shared" si="61"/>
        <v>24</v>
      </c>
      <c r="AU88" s="274">
        <f t="shared" si="62"/>
        <v>1</v>
      </c>
      <c r="AV88" s="275">
        <f t="shared" si="63"/>
        <v>1</v>
      </c>
      <c r="AW88" s="422">
        <v>182.87</v>
      </c>
      <c r="AX88" s="272">
        <f t="shared" si="64"/>
        <v>24</v>
      </c>
      <c r="AY88" s="272">
        <f>IFERROR(INDEX('Horo. M'!$O$3:O$367,MATCH(A88,'Horo. M'!$A$3:$A$367,0)),"")</f>
        <v>0</v>
      </c>
      <c r="AZ88" s="422">
        <v>0</v>
      </c>
      <c r="BA88" s="422">
        <v>0</v>
      </c>
      <c r="BB88" s="272">
        <f t="shared" si="65"/>
        <v>24</v>
      </c>
      <c r="BC88" s="274">
        <f t="shared" si="66"/>
        <v>0</v>
      </c>
      <c r="BD88" s="275">
        <f t="shared" si="67"/>
        <v>1</v>
      </c>
      <c r="BE88" s="422">
        <v>0</v>
      </c>
      <c r="BF88" s="272">
        <f t="shared" si="68"/>
        <v>0</v>
      </c>
      <c r="BG88" s="272">
        <f>IFERROR(INDEX('Horo. M'!$Q$3:Q$367,MATCH(A88,'Horo. M'!$A$3:$A$367,0)),"")</f>
        <v>24</v>
      </c>
      <c r="BH88" s="422">
        <v>0</v>
      </c>
      <c r="BI88" s="422">
        <v>0</v>
      </c>
      <c r="BJ88" s="272">
        <f t="shared" si="69"/>
        <v>24</v>
      </c>
      <c r="BK88" s="274">
        <f t="shared" si="70"/>
        <v>1</v>
      </c>
      <c r="BL88" s="275">
        <f t="shared" si="71"/>
        <v>1</v>
      </c>
      <c r="BM88" s="422">
        <v>179.87</v>
      </c>
      <c r="BN88" s="272">
        <f t="shared" si="72"/>
        <v>0</v>
      </c>
      <c r="BO88" s="272">
        <f>IFERROR(INDEX('Horo. M'!$S$3:S$367,MATCH(A88,'Horo. M'!$A$3:$A$367,0)),"")</f>
        <v>24</v>
      </c>
      <c r="BP88" s="422">
        <v>0</v>
      </c>
      <c r="BQ88" s="422">
        <v>0</v>
      </c>
      <c r="BR88" s="272">
        <f t="shared" si="73"/>
        <v>24</v>
      </c>
      <c r="BS88" s="274">
        <f t="shared" si="74"/>
        <v>1</v>
      </c>
      <c r="BT88" s="275">
        <f t="shared" si="75"/>
        <v>1</v>
      </c>
      <c r="BU88" s="422">
        <v>178.76</v>
      </c>
      <c r="BV88" s="272">
        <f t="shared" si="76"/>
        <v>0</v>
      </c>
      <c r="BW88" s="272">
        <f>IFERROR(INDEX('Horo. M'!$U$3:U$367,MATCH(A88,'Horo. M'!$A$3:$A$367,0)),"")</f>
        <v>24</v>
      </c>
      <c r="BX88" s="422">
        <v>0</v>
      </c>
      <c r="BY88" s="422">
        <v>0</v>
      </c>
      <c r="BZ88" s="272">
        <f t="shared" si="77"/>
        <v>24</v>
      </c>
      <c r="CA88" s="274">
        <f t="shared" si="78"/>
        <v>1</v>
      </c>
      <c r="CB88" s="275">
        <f t="shared" si="79"/>
        <v>1</v>
      </c>
      <c r="CC88" s="422">
        <v>177.44</v>
      </c>
    </row>
    <row r="89" spans="1:81">
      <c r="A89" s="279">
        <v>45014</v>
      </c>
      <c r="B89" s="278">
        <f t="shared" si="40"/>
        <v>3</v>
      </c>
      <c r="C89" s="272">
        <f>IFERROR(INDEX('Horo. M'!$C$3:$C$367,MATCH(A89,'Horo. M'!$A$3:$A$367,0)),"")</f>
        <v>21</v>
      </c>
      <c r="D89" s="422">
        <v>0</v>
      </c>
      <c r="E89" s="422">
        <v>0</v>
      </c>
      <c r="F89" s="272">
        <f t="shared" si="41"/>
        <v>24</v>
      </c>
      <c r="G89" s="300">
        <f t="shared" si="42"/>
        <v>0.875</v>
      </c>
      <c r="H89" s="275">
        <f t="shared" si="43"/>
        <v>1</v>
      </c>
      <c r="I89" s="422">
        <v>146.4</v>
      </c>
      <c r="J89" s="278">
        <f t="shared" si="44"/>
        <v>0</v>
      </c>
      <c r="K89" s="272">
        <f>IFERROR(INDEX('Horo. M'!$E$3:$E$367,MATCH(A89,'Horo. M'!$A$3:$A$367,0)),"")</f>
        <v>24</v>
      </c>
      <c r="L89" s="422">
        <v>0</v>
      </c>
      <c r="M89" s="422">
        <v>0</v>
      </c>
      <c r="N89" s="272">
        <f t="shared" si="45"/>
        <v>24</v>
      </c>
      <c r="O89" s="300">
        <f t="shared" si="46"/>
        <v>1</v>
      </c>
      <c r="P89" s="275">
        <f t="shared" si="47"/>
        <v>1</v>
      </c>
      <c r="Q89" s="422">
        <v>172.4</v>
      </c>
      <c r="R89" s="278">
        <f t="shared" si="48"/>
        <v>0</v>
      </c>
      <c r="S89" s="272">
        <f>IFERROR(INDEX('Horo. M'!G$3:$G$367,MATCH(A89,'Horo. M'!$A$3:$A$367,0)),"")</f>
        <v>24</v>
      </c>
      <c r="T89" s="422">
        <v>0</v>
      </c>
      <c r="U89" s="422">
        <v>0</v>
      </c>
      <c r="V89" s="272">
        <f t="shared" si="49"/>
        <v>24</v>
      </c>
      <c r="W89" s="300">
        <f t="shared" si="50"/>
        <v>1</v>
      </c>
      <c r="X89" s="275">
        <f t="shared" si="51"/>
        <v>1</v>
      </c>
      <c r="Y89" s="422">
        <v>176.51</v>
      </c>
      <c r="Z89" s="278">
        <f t="shared" si="52"/>
        <v>0</v>
      </c>
      <c r="AA89" s="272">
        <f>IFERROR(INDEX('Horo. M'!$I$3:I$367,MATCH(A89,'Horo. M'!$A$3:$A$367,0)),"")</f>
        <v>24</v>
      </c>
      <c r="AB89" s="422">
        <v>0</v>
      </c>
      <c r="AC89" s="422">
        <v>0</v>
      </c>
      <c r="AD89" s="272">
        <f t="shared" si="53"/>
        <v>24</v>
      </c>
      <c r="AE89" s="300">
        <f t="shared" si="54"/>
        <v>1</v>
      </c>
      <c r="AF89" s="275">
        <f t="shared" si="55"/>
        <v>1</v>
      </c>
      <c r="AG89" s="422">
        <v>179.71</v>
      </c>
      <c r="AH89" s="272">
        <f t="shared" si="56"/>
        <v>11</v>
      </c>
      <c r="AI89" s="272">
        <f>IFERROR(INDEX('Horo. M'!$K$3:K$367,MATCH(A89,'Horo. M'!$A$3:$A$367,0)),"")</f>
        <v>1</v>
      </c>
      <c r="AJ89" s="422">
        <v>12</v>
      </c>
      <c r="AK89" s="422">
        <v>0</v>
      </c>
      <c r="AL89" s="272">
        <f t="shared" si="57"/>
        <v>12</v>
      </c>
      <c r="AM89" s="300">
        <f t="shared" si="58"/>
        <v>4.1666666666666664E-2</v>
      </c>
      <c r="AN89" s="275">
        <f t="shared" si="59"/>
        <v>0.5</v>
      </c>
      <c r="AO89" s="422">
        <v>3.63</v>
      </c>
      <c r="AP89" s="272">
        <f t="shared" si="60"/>
        <v>0</v>
      </c>
      <c r="AQ89" s="272">
        <f>IFERROR(INDEX('Horo. M'!$M$3:M$367,MATCH(A89,'Horo. M'!$A$3:$A$367,0)),"")</f>
        <v>24</v>
      </c>
      <c r="AR89" s="422">
        <v>0</v>
      </c>
      <c r="AS89" s="422">
        <v>0</v>
      </c>
      <c r="AT89" s="272">
        <f t="shared" si="61"/>
        <v>24</v>
      </c>
      <c r="AU89" s="300">
        <f t="shared" si="62"/>
        <v>1</v>
      </c>
      <c r="AV89" s="275">
        <f t="shared" si="63"/>
        <v>1</v>
      </c>
      <c r="AW89" s="422">
        <v>177.26</v>
      </c>
      <c r="AX89" s="272">
        <f t="shared" si="64"/>
        <v>0</v>
      </c>
      <c r="AY89" s="272">
        <f>IFERROR(INDEX('Horo. M'!$O$3:O$367,MATCH(A89,'Horo. M'!$A$3:$A$367,0)),"")</f>
        <v>0</v>
      </c>
      <c r="AZ89" s="422">
        <v>24</v>
      </c>
      <c r="BA89" s="422">
        <v>0</v>
      </c>
      <c r="BB89" s="272">
        <f t="shared" si="65"/>
        <v>0</v>
      </c>
      <c r="BC89" s="300">
        <f t="shared" si="66"/>
        <v>0</v>
      </c>
      <c r="BD89" s="275">
        <f t="shared" si="67"/>
        <v>0</v>
      </c>
      <c r="BE89" s="422">
        <v>0</v>
      </c>
      <c r="BF89" s="272">
        <f t="shared" si="68"/>
        <v>0</v>
      </c>
      <c r="BG89" s="272">
        <f>IFERROR(INDEX('Horo. M'!$Q$3:Q$367,MATCH(A89,'Horo. M'!$A$3:$A$367,0)),"")</f>
        <v>24</v>
      </c>
      <c r="BH89" s="422">
        <v>0</v>
      </c>
      <c r="BI89" s="422">
        <v>0</v>
      </c>
      <c r="BJ89" s="272">
        <f t="shared" si="69"/>
        <v>24</v>
      </c>
      <c r="BK89" s="300">
        <f t="shared" si="70"/>
        <v>1</v>
      </c>
      <c r="BL89" s="275">
        <f t="shared" si="71"/>
        <v>1</v>
      </c>
      <c r="BM89" s="422">
        <v>178.31</v>
      </c>
      <c r="BN89" s="272">
        <f t="shared" si="72"/>
        <v>0</v>
      </c>
      <c r="BO89" s="272">
        <f>IFERROR(INDEX('Horo. M'!$S$3:S$367,MATCH(A89,'Horo. M'!$A$3:$A$367,0)),"")</f>
        <v>24</v>
      </c>
      <c r="BP89" s="422">
        <v>0</v>
      </c>
      <c r="BQ89" s="422">
        <v>0</v>
      </c>
      <c r="BR89" s="272">
        <f t="shared" si="73"/>
        <v>24</v>
      </c>
      <c r="BS89" s="300">
        <f t="shared" si="74"/>
        <v>1</v>
      </c>
      <c r="BT89" s="275">
        <f t="shared" si="75"/>
        <v>1</v>
      </c>
      <c r="BU89" s="422">
        <v>179.24</v>
      </c>
      <c r="BV89" s="272">
        <f t="shared" si="76"/>
        <v>0</v>
      </c>
      <c r="BW89" s="272">
        <f>IFERROR(INDEX('Horo. M'!$U$3:U$367,MATCH(A89,'Horo. M'!$A$3:$A$367,0)),"")</f>
        <v>24</v>
      </c>
      <c r="BX89" s="422">
        <v>0</v>
      </c>
      <c r="BY89" s="422">
        <v>0</v>
      </c>
      <c r="BZ89" s="272">
        <f t="shared" si="77"/>
        <v>24</v>
      </c>
      <c r="CA89" s="300">
        <f t="shared" si="78"/>
        <v>1</v>
      </c>
      <c r="CB89" s="275">
        <f t="shared" si="79"/>
        <v>1</v>
      </c>
      <c r="CC89" s="422">
        <v>180.76</v>
      </c>
    </row>
    <row r="90" spans="1:81">
      <c r="A90" s="279">
        <v>45015</v>
      </c>
      <c r="B90" s="278">
        <f t="shared" si="40"/>
        <v>0</v>
      </c>
      <c r="C90" s="272">
        <f>IFERROR(INDEX('Horo. M'!$C$3:$C$367,MATCH(A90,'Horo. M'!$A$3:$A$367,0)),"")</f>
        <v>24</v>
      </c>
      <c r="D90" s="422">
        <v>0</v>
      </c>
      <c r="E90" s="422">
        <v>0</v>
      </c>
      <c r="F90" s="272">
        <f t="shared" si="41"/>
        <v>24</v>
      </c>
      <c r="G90" s="300">
        <f t="shared" si="42"/>
        <v>1</v>
      </c>
      <c r="H90" s="275">
        <f t="shared" si="43"/>
        <v>1</v>
      </c>
      <c r="I90" s="422">
        <v>176.3</v>
      </c>
      <c r="J90" s="278">
        <f t="shared" si="44"/>
        <v>0</v>
      </c>
      <c r="K90" s="272">
        <f>IFERROR(INDEX('Horo. M'!$E$3:$E$367,MATCH(A90,'Horo. M'!$A$3:$A$367,0)),"")</f>
        <v>24</v>
      </c>
      <c r="L90" s="422">
        <v>0</v>
      </c>
      <c r="M90" s="422">
        <v>0</v>
      </c>
      <c r="N90" s="272">
        <f t="shared" si="45"/>
        <v>24</v>
      </c>
      <c r="O90" s="300">
        <f t="shared" si="46"/>
        <v>1</v>
      </c>
      <c r="P90" s="275">
        <f t="shared" si="47"/>
        <v>1</v>
      </c>
      <c r="Q90" s="422">
        <v>177.9</v>
      </c>
      <c r="R90" s="278">
        <f t="shared" si="48"/>
        <v>0</v>
      </c>
      <c r="S90" s="272">
        <f>IFERROR(INDEX('Horo. M'!G$3:$G$367,MATCH(A90,'Horo. M'!$A$3:$A$367,0)),"")</f>
        <v>24</v>
      </c>
      <c r="T90" s="422">
        <v>0</v>
      </c>
      <c r="U90" s="422">
        <v>0</v>
      </c>
      <c r="V90" s="272">
        <f t="shared" si="49"/>
        <v>24</v>
      </c>
      <c r="W90" s="300">
        <f t="shared" si="50"/>
        <v>1</v>
      </c>
      <c r="X90" s="275">
        <f t="shared" si="51"/>
        <v>1</v>
      </c>
      <c r="Y90" s="422">
        <v>180.61</v>
      </c>
      <c r="Z90" s="278">
        <f t="shared" si="52"/>
        <v>0</v>
      </c>
      <c r="AA90" s="272">
        <f>IFERROR(INDEX('Horo. M'!$I$3:I$367,MATCH(A90,'Horo. M'!$A$3:$A$367,0)),"")</f>
        <v>24</v>
      </c>
      <c r="AB90" s="422">
        <v>0</v>
      </c>
      <c r="AC90" s="422">
        <v>0</v>
      </c>
      <c r="AD90" s="272">
        <f t="shared" si="53"/>
        <v>24</v>
      </c>
      <c r="AE90" s="300">
        <f t="shared" si="54"/>
        <v>1</v>
      </c>
      <c r="AF90" s="275">
        <f t="shared" si="55"/>
        <v>1</v>
      </c>
      <c r="AG90" s="422">
        <v>179.53</v>
      </c>
      <c r="AH90" s="272">
        <f t="shared" si="56"/>
        <v>15</v>
      </c>
      <c r="AI90" s="272">
        <f>IFERROR(INDEX('Horo. M'!$K$3:K$367,MATCH(A90,'Horo. M'!$A$3:$A$367,0)),"")</f>
        <v>3</v>
      </c>
      <c r="AJ90" s="422">
        <v>6</v>
      </c>
      <c r="AK90" s="422">
        <v>0</v>
      </c>
      <c r="AL90" s="272">
        <f t="shared" si="57"/>
        <v>18</v>
      </c>
      <c r="AM90" s="300">
        <f t="shared" si="58"/>
        <v>0.125</v>
      </c>
      <c r="AN90" s="275">
        <f t="shared" si="59"/>
        <v>0.75</v>
      </c>
      <c r="AO90" s="422">
        <v>5.84</v>
      </c>
      <c r="AP90" s="272">
        <f t="shared" si="60"/>
        <v>0</v>
      </c>
      <c r="AQ90" s="272">
        <f>IFERROR(INDEX('Horo. M'!$M$3:M$367,MATCH(A90,'Horo. M'!$A$3:$A$367,0)),"")</f>
        <v>24</v>
      </c>
      <c r="AR90" s="422">
        <v>0</v>
      </c>
      <c r="AS90" s="422">
        <v>0</v>
      </c>
      <c r="AT90" s="272">
        <f t="shared" si="61"/>
        <v>24</v>
      </c>
      <c r="AU90" s="300">
        <f t="shared" si="62"/>
        <v>1</v>
      </c>
      <c r="AV90" s="275">
        <f t="shared" si="63"/>
        <v>1</v>
      </c>
      <c r="AW90" s="422">
        <v>178.71</v>
      </c>
      <c r="AX90" s="272">
        <f t="shared" si="64"/>
        <v>0</v>
      </c>
      <c r="AY90" s="272">
        <f>IFERROR(INDEX('Horo. M'!$O$3:O$367,MATCH(A90,'Horo. M'!$A$3:$A$367,0)),"")</f>
        <v>0</v>
      </c>
      <c r="AZ90" s="422">
        <v>24</v>
      </c>
      <c r="BA90" s="422">
        <v>0</v>
      </c>
      <c r="BB90" s="272">
        <f t="shared" si="65"/>
        <v>0</v>
      </c>
      <c r="BC90" s="300">
        <f t="shared" si="66"/>
        <v>0</v>
      </c>
      <c r="BD90" s="275">
        <f t="shared" si="67"/>
        <v>0</v>
      </c>
      <c r="BE90" s="422">
        <v>0</v>
      </c>
      <c r="BF90" s="272">
        <f t="shared" si="68"/>
        <v>0</v>
      </c>
      <c r="BG90" s="272">
        <f>IFERROR(INDEX('Horo. M'!$Q$3:Q$367,MATCH(A90,'Horo. M'!$A$3:$A$367,0)),"")</f>
        <v>24</v>
      </c>
      <c r="BH90" s="422">
        <v>0</v>
      </c>
      <c r="BI90" s="422">
        <v>0</v>
      </c>
      <c r="BJ90" s="272">
        <f t="shared" si="69"/>
        <v>24</v>
      </c>
      <c r="BK90" s="300">
        <f t="shared" si="70"/>
        <v>1</v>
      </c>
      <c r="BL90" s="275">
        <f t="shared" si="71"/>
        <v>1</v>
      </c>
      <c r="BM90" s="422">
        <v>178.18</v>
      </c>
      <c r="BN90" s="272">
        <f t="shared" si="72"/>
        <v>0</v>
      </c>
      <c r="BO90" s="272">
        <f>IFERROR(INDEX('Horo. M'!$S$3:S$367,MATCH(A90,'Horo. M'!$A$3:$A$367,0)),"")</f>
        <v>24</v>
      </c>
      <c r="BP90" s="422">
        <v>0</v>
      </c>
      <c r="BQ90" s="422">
        <v>0</v>
      </c>
      <c r="BR90" s="272">
        <f t="shared" si="73"/>
        <v>24</v>
      </c>
      <c r="BS90" s="300">
        <f t="shared" si="74"/>
        <v>1</v>
      </c>
      <c r="BT90" s="275">
        <f t="shared" si="75"/>
        <v>1</v>
      </c>
      <c r="BU90" s="422">
        <v>180.04</v>
      </c>
      <c r="BV90" s="272">
        <f t="shared" si="76"/>
        <v>0</v>
      </c>
      <c r="BW90" s="272">
        <f>IFERROR(INDEX('Horo. M'!$U$3:U$367,MATCH(A90,'Horo. M'!$A$3:$A$367,0)),"")</f>
        <v>21</v>
      </c>
      <c r="BX90" s="422">
        <v>0</v>
      </c>
      <c r="BY90" s="422">
        <v>3</v>
      </c>
      <c r="BZ90" s="272">
        <f t="shared" si="77"/>
        <v>21</v>
      </c>
      <c r="CA90" s="300">
        <f t="shared" si="78"/>
        <v>0.875</v>
      </c>
      <c r="CB90" s="275">
        <f t="shared" si="79"/>
        <v>0.875</v>
      </c>
      <c r="CC90" s="422">
        <v>152.79</v>
      </c>
    </row>
    <row r="91" spans="1:81">
      <c r="A91" s="279">
        <v>45016</v>
      </c>
      <c r="B91" s="278">
        <f t="shared" si="40"/>
        <v>0</v>
      </c>
      <c r="C91" s="272">
        <f>IFERROR(INDEX('Horo. M'!$C$3:$C$367,MATCH(A91,'Horo. M'!$A$3:$A$367,0)),"")</f>
        <v>24</v>
      </c>
      <c r="D91" s="422">
        <v>0</v>
      </c>
      <c r="E91" s="422">
        <v>0</v>
      </c>
      <c r="F91" s="272">
        <f t="shared" si="41"/>
        <v>24</v>
      </c>
      <c r="G91" s="274">
        <f t="shared" si="42"/>
        <v>1</v>
      </c>
      <c r="H91" s="275">
        <f t="shared" si="43"/>
        <v>1</v>
      </c>
      <c r="I91" s="422">
        <v>174</v>
      </c>
      <c r="J91" s="278">
        <f t="shared" si="44"/>
        <v>4</v>
      </c>
      <c r="K91" s="272">
        <f>IFERROR(INDEX('Horo. M'!$E$3:$E$367,MATCH(A91,'Horo. M'!$A$3:$A$367,0)),"")</f>
        <v>20</v>
      </c>
      <c r="L91" s="422">
        <v>0</v>
      </c>
      <c r="M91" s="422">
        <v>0</v>
      </c>
      <c r="N91" s="272">
        <f t="shared" si="45"/>
        <v>24</v>
      </c>
      <c r="O91" s="274">
        <f t="shared" si="46"/>
        <v>0.83333333333333337</v>
      </c>
      <c r="P91" s="275">
        <f t="shared" si="47"/>
        <v>1</v>
      </c>
      <c r="Q91" s="422">
        <v>144.30000000000001</v>
      </c>
      <c r="R91" s="278">
        <f t="shared" si="48"/>
        <v>0</v>
      </c>
      <c r="S91" s="272">
        <f>IFERROR(INDEX('Horo. M'!G$3:$G$367,MATCH(A91,'Horo. M'!$A$3:$A$367,0)),"")</f>
        <v>24</v>
      </c>
      <c r="T91" s="422">
        <v>0</v>
      </c>
      <c r="U91" s="422">
        <v>0</v>
      </c>
      <c r="V91" s="272">
        <f t="shared" si="49"/>
        <v>24</v>
      </c>
      <c r="W91" s="274">
        <f t="shared" si="50"/>
        <v>1</v>
      </c>
      <c r="X91" s="275">
        <f t="shared" si="51"/>
        <v>1</v>
      </c>
      <c r="Y91" s="422">
        <v>175.29</v>
      </c>
      <c r="Z91" s="278">
        <f t="shared" si="52"/>
        <v>0</v>
      </c>
      <c r="AA91" s="272">
        <f>IFERROR(INDEX('Horo. M'!$I$3:I$367,MATCH(A91,'Horo. M'!$A$3:$A$367,0)),"")</f>
        <v>24</v>
      </c>
      <c r="AB91" s="422">
        <v>0</v>
      </c>
      <c r="AC91" s="422">
        <v>0</v>
      </c>
      <c r="AD91" s="272">
        <f t="shared" si="53"/>
        <v>24</v>
      </c>
      <c r="AE91" s="274">
        <f t="shared" si="54"/>
        <v>1</v>
      </c>
      <c r="AF91" s="275">
        <f t="shared" si="55"/>
        <v>1</v>
      </c>
      <c r="AG91" s="422">
        <v>174.62</v>
      </c>
      <c r="AH91" s="272">
        <f t="shared" si="56"/>
        <v>0</v>
      </c>
      <c r="AI91" s="272">
        <f>IFERROR(INDEX('Horo. M'!$K$3:K$367,MATCH(A91,'Horo. M'!$A$3:$A$367,0)),"")</f>
        <v>1</v>
      </c>
      <c r="AJ91" s="422">
        <v>23</v>
      </c>
      <c r="AK91" s="422">
        <v>0</v>
      </c>
      <c r="AL91" s="272">
        <f t="shared" si="57"/>
        <v>1</v>
      </c>
      <c r="AM91" s="274">
        <f t="shared" si="58"/>
        <v>4.1666666666666664E-2</v>
      </c>
      <c r="AN91" s="275">
        <f t="shared" si="59"/>
        <v>4.1666666666666664E-2</v>
      </c>
      <c r="AO91" s="422">
        <v>6.72</v>
      </c>
      <c r="AP91" s="272">
        <f t="shared" si="60"/>
        <v>0</v>
      </c>
      <c r="AQ91" s="272">
        <f>IFERROR(INDEX('Horo. M'!$M$3:M$367,MATCH(A91,'Horo. M'!$A$3:$A$367,0)),"")</f>
        <v>24</v>
      </c>
      <c r="AR91" s="422">
        <v>0</v>
      </c>
      <c r="AS91" s="422">
        <v>0</v>
      </c>
      <c r="AT91" s="272">
        <f t="shared" si="61"/>
        <v>24</v>
      </c>
      <c r="AU91" s="274">
        <f t="shared" si="62"/>
        <v>1</v>
      </c>
      <c r="AV91" s="275">
        <f t="shared" si="63"/>
        <v>1</v>
      </c>
      <c r="AW91" s="422">
        <v>174.51</v>
      </c>
      <c r="AX91" s="272">
        <f t="shared" si="64"/>
        <v>0</v>
      </c>
      <c r="AY91" s="272">
        <f>IFERROR(INDEX('Horo. M'!$O$3:O$367,MATCH(A91,'Horo. M'!$A$3:$A$367,0)),"")</f>
        <v>0</v>
      </c>
      <c r="AZ91" s="422">
        <v>24</v>
      </c>
      <c r="BA91" s="422">
        <v>0</v>
      </c>
      <c r="BB91" s="272">
        <f t="shared" si="65"/>
        <v>0</v>
      </c>
      <c r="BC91" s="274">
        <f t="shared" si="66"/>
        <v>0</v>
      </c>
      <c r="BD91" s="275">
        <f t="shared" si="67"/>
        <v>0</v>
      </c>
      <c r="BE91" s="422">
        <v>0</v>
      </c>
      <c r="BF91" s="272">
        <f t="shared" si="68"/>
        <v>0</v>
      </c>
      <c r="BG91" s="272">
        <f>IFERROR(INDEX('Horo. M'!$Q$3:Q$367,MATCH(A91,'Horo. M'!$A$3:$A$367,0)),"")</f>
        <v>24</v>
      </c>
      <c r="BH91" s="422">
        <v>0</v>
      </c>
      <c r="BI91" s="422">
        <v>0</v>
      </c>
      <c r="BJ91" s="272">
        <f t="shared" si="69"/>
        <v>24</v>
      </c>
      <c r="BK91" s="274">
        <f t="shared" si="70"/>
        <v>1</v>
      </c>
      <c r="BL91" s="275">
        <f t="shared" si="71"/>
        <v>1</v>
      </c>
      <c r="BM91" s="422">
        <v>175.17</v>
      </c>
      <c r="BN91" s="272">
        <f t="shared" si="72"/>
        <v>0</v>
      </c>
      <c r="BO91" s="272">
        <f>IFERROR(INDEX('Horo. M'!$S$3:S$367,MATCH(A91,'Horo. M'!$A$3:$A$367,0)),"")</f>
        <v>24</v>
      </c>
      <c r="BP91" s="422">
        <v>0</v>
      </c>
      <c r="BQ91" s="422">
        <v>0</v>
      </c>
      <c r="BR91" s="272">
        <f t="shared" si="73"/>
        <v>24</v>
      </c>
      <c r="BS91" s="274">
        <f t="shared" si="74"/>
        <v>1</v>
      </c>
      <c r="BT91" s="275">
        <f t="shared" si="75"/>
        <v>1</v>
      </c>
      <c r="BU91" s="422">
        <v>176.24</v>
      </c>
      <c r="BV91" s="272">
        <f t="shared" si="76"/>
        <v>0</v>
      </c>
      <c r="BW91" s="272">
        <f>IFERROR(INDEX('Horo. M'!$U$3:U$367,MATCH(A91,'Horo. M'!$A$3:$A$367,0)),"")</f>
        <v>24</v>
      </c>
      <c r="BX91" s="422">
        <v>0</v>
      </c>
      <c r="BY91" s="422">
        <v>0</v>
      </c>
      <c r="BZ91" s="272">
        <f t="shared" si="77"/>
        <v>24</v>
      </c>
      <c r="CA91" s="274">
        <f t="shared" si="78"/>
        <v>1</v>
      </c>
      <c r="CB91" s="275">
        <f t="shared" si="79"/>
        <v>1</v>
      </c>
      <c r="CC91" s="422">
        <v>174.3</v>
      </c>
    </row>
    <row r="92" spans="1:81">
      <c r="A92" s="279">
        <v>45017</v>
      </c>
      <c r="B92" s="278">
        <f t="shared" si="40"/>
        <v>2</v>
      </c>
      <c r="C92" s="272">
        <f>IFERROR(INDEX('Horo. M'!$C$3:$C$367,MATCH(A92,'Horo. M'!$A$3:$A$367,0)),"")</f>
        <v>18</v>
      </c>
      <c r="D92" s="422">
        <v>4</v>
      </c>
      <c r="E92" s="422">
        <v>0</v>
      </c>
      <c r="F92" s="272">
        <f t="shared" si="41"/>
        <v>20</v>
      </c>
      <c r="G92" s="274">
        <f t="shared" si="42"/>
        <v>0.75</v>
      </c>
      <c r="H92" s="275">
        <f t="shared" si="43"/>
        <v>0.83333333333333337</v>
      </c>
      <c r="I92" s="422">
        <v>138.6</v>
      </c>
      <c r="J92" s="278">
        <f t="shared" si="44"/>
        <v>2</v>
      </c>
      <c r="K92" s="272">
        <f>IFERROR(INDEX('Horo. M'!$E$3:$E$367,MATCH(A92,'Horo. M'!$A$3:$A$367,0)),"")</f>
        <v>18</v>
      </c>
      <c r="L92" s="422">
        <v>4</v>
      </c>
      <c r="M92" s="422">
        <v>0</v>
      </c>
      <c r="N92" s="272">
        <f t="shared" si="45"/>
        <v>20</v>
      </c>
      <c r="O92" s="274">
        <f t="shared" si="46"/>
        <v>0.75</v>
      </c>
      <c r="P92" s="275">
        <f t="shared" si="47"/>
        <v>0.83333333333333337</v>
      </c>
      <c r="Q92" s="422">
        <v>144.1</v>
      </c>
      <c r="R92" s="278">
        <f t="shared" si="48"/>
        <v>2</v>
      </c>
      <c r="S92" s="272">
        <f>IFERROR(INDEX('Horo. M'!G$3:$G$367,MATCH(A92,'Horo. M'!$A$3:$A$367,0)),"")</f>
        <v>18</v>
      </c>
      <c r="T92" s="422">
        <v>4</v>
      </c>
      <c r="U92" s="422">
        <v>0</v>
      </c>
      <c r="V92" s="272">
        <f t="shared" si="49"/>
        <v>20</v>
      </c>
      <c r="W92" s="274">
        <f t="shared" si="50"/>
        <v>0.75</v>
      </c>
      <c r="X92" s="275">
        <f t="shared" si="51"/>
        <v>0.83333333333333337</v>
      </c>
      <c r="Y92" s="422">
        <v>138.94999999999999</v>
      </c>
      <c r="Z92" s="278">
        <f t="shared" si="52"/>
        <v>2</v>
      </c>
      <c r="AA92" s="272">
        <f>IFERROR(INDEX('Horo. M'!$I$3:I$367,MATCH(A92,'Horo. M'!$A$3:$A$367,0)),"")</f>
        <v>18</v>
      </c>
      <c r="AB92" s="422">
        <v>4</v>
      </c>
      <c r="AC92" s="422">
        <v>0</v>
      </c>
      <c r="AD92" s="272">
        <f t="shared" si="53"/>
        <v>20</v>
      </c>
      <c r="AE92" s="274">
        <f t="shared" si="54"/>
        <v>0.75</v>
      </c>
      <c r="AF92" s="275">
        <f t="shared" si="55"/>
        <v>0.83333333333333337</v>
      </c>
      <c r="AG92" s="422">
        <v>138.24</v>
      </c>
      <c r="AH92" s="272">
        <f t="shared" si="56"/>
        <v>12</v>
      </c>
      <c r="AI92" s="272">
        <f>IFERROR(INDEX('Horo. M'!$K$3:K$367,MATCH(A92,'Horo. M'!$A$3:$A$367,0)),"")</f>
        <v>6</v>
      </c>
      <c r="AJ92" s="422">
        <v>0</v>
      </c>
      <c r="AK92" s="422">
        <v>6</v>
      </c>
      <c r="AL92" s="272">
        <f t="shared" si="57"/>
        <v>18</v>
      </c>
      <c r="AM92" s="274">
        <f t="shared" si="58"/>
        <v>0.25</v>
      </c>
      <c r="AN92" s="275">
        <f t="shared" si="59"/>
        <v>0.75</v>
      </c>
      <c r="AO92" s="422">
        <v>24.11</v>
      </c>
      <c r="AP92" s="272">
        <f t="shared" si="60"/>
        <v>1</v>
      </c>
      <c r="AQ92" s="272">
        <f>IFERROR(INDEX('Horo. M'!$M$3:M$367,MATCH(A92,'Horo. M'!$A$3:$A$367,0)),"")</f>
        <v>23</v>
      </c>
      <c r="AR92" s="422">
        <v>0</v>
      </c>
      <c r="AS92" s="422">
        <v>0</v>
      </c>
      <c r="AT92" s="272">
        <f t="shared" si="61"/>
        <v>24</v>
      </c>
      <c r="AU92" s="274">
        <f t="shared" si="62"/>
        <v>0.95833333333333337</v>
      </c>
      <c r="AV92" s="275">
        <f t="shared" si="63"/>
        <v>1</v>
      </c>
      <c r="AW92" s="422">
        <v>188.84</v>
      </c>
      <c r="AX92" s="272">
        <f t="shared" si="64"/>
        <v>0</v>
      </c>
      <c r="AY92" s="272">
        <f>IFERROR(INDEX('Horo. M'!$O$3:O$367,MATCH(A92,'Horo. M'!$A$3:$A$367,0)),"")</f>
        <v>0</v>
      </c>
      <c r="AZ92" s="422">
        <v>24</v>
      </c>
      <c r="BA92" s="422">
        <v>0</v>
      </c>
      <c r="BB92" s="272">
        <f t="shared" si="65"/>
        <v>0</v>
      </c>
      <c r="BC92" s="274">
        <f t="shared" si="66"/>
        <v>0</v>
      </c>
      <c r="BD92" s="275">
        <f t="shared" si="67"/>
        <v>0</v>
      </c>
      <c r="BE92" s="422">
        <v>0</v>
      </c>
      <c r="BF92" s="272">
        <f t="shared" si="68"/>
        <v>0</v>
      </c>
      <c r="BG92" s="272">
        <f>IFERROR(INDEX('Horo. M'!$Q$3:Q$367,MATCH(A92,'Horo. M'!$A$3:$A$367,0)),"")</f>
        <v>24</v>
      </c>
      <c r="BH92" s="422">
        <v>0</v>
      </c>
      <c r="BI92" s="422">
        <v>0</v>
      </c>
      <c r="BJ92" s="272">
        <f t="shared" si="69"/>
        <v>24</v>
      </c>
      <c r="BK92" s="274">
        <f t="shared" si="70"/>
        <v>1</v>
      </c>
      <c r="BL92" s="275">
        <f t="shared" si="71"/>
        <v>1</v>
      </c>
      <c r="BM92" s="422">
        <v>195.87</v>
      </c>
      <c r="BN92" s="272">
        <f t="shared" si="72"/>
        <v>0</v>
      </c>
      <c r="BO92" s="272">
        <f>IFERROR(INDEX('Horo. M'!$S$3:S$367,MATCH(A92,'Horo. M'!$A$3:$A$367,0)),"")</f>
        <v>24</v>
      </c>
      <c r="BP92" s="422">
        <v>0</v>
      </c>
      <c r="BQ92" s="422">
        <v>0</v>
      </c>
      <c r="BR92" s="272">
        <f t="shared" si="73"/>
        <v>24</v>
      </c>
      <c r="BS92" s="274">
        <f t="shared" si="74"/>
        <v>1</v>
      </c>
      <c r="BT92" s="275">
        <f t="shared" si="75"/>
        <v>1</v>
      </c>
      <c r="BU92" s="422">
        <v>196.56</v>
      </c>
      <c r="BV92" s="272">
        <f t="shared" si="76"/>
        <v>0</v>
      </c>
      <c r="BW92" s="272">
        <f>IFERROR(INDEX('Horo. M'!$U$3:U$367,MATCH(A92,'Horo. M'!$A$3:$A$367,0)),"")</f>
        <v>24</v>
      </c>
      <c r="BX92" s="422">
        <v>0</v>
      </c>
      <c r="BY92" s="422">
        <v>0</v>
      </c>
      <c r="BZ92" s="272">
        <f t="shared" si="77"/>
        <v>24</v>
      </c>
      <c r="CA92" s="274">
        <f t="shared" si="78"/>
        <v>1</v>
      </c>
      <c r="CB92" s="275">
        <f t="shared" si="79"/>
        <v>1</v>
      </c>
      <c r="CC92" s="422">
        <v>198.98</v>
      </c>
    </row>
    <row r="93" spans="1:81">
      <c r="A93" s="279">
        <v>45018</v>
      </c>
      <c r="B93" s="278">
        <f t="shared" si="40"/>
        <v>0</v>
      </c>
      <c r="C93" s="272">
        <f>IFERROR(INDEX('Horo. M'!$C$3:$C$367,MATCH(A93,'Horo. M'!$A$3:$A$367,0)),"")</f>
        <v>24</v>
      </c>
      <c r="D93" s="422">
        <v>0</v>
      </c>
      <c r="E93" s="422">
        <v>0</v>
      </c>
      <c r="F93" s="272">
        <f t="shared" si="41"/>
        <v>24</v>
      </c>
      <c r="G93" s="274">
        <f t="shared" si="42"/>
        <v>1</v>
      </c>
      <c r="H93" s="275">
        <f t="shared" si="43"/>
        <v>1</v>
      </c>
      <c r="I93" s="422">
        <v>184.8</v>
      </c>
      <c r="J93" s="278">
        <f t="shared" si="44"/>
        <v>5</v>
      </c>
      <c r="K93" s="272">
        <f>IFERROR(INDEX('Horo. M'!$E$3:$E$367,MATCH(A93,'Horo. M'!$A$3:$A$367,0)),"")</f>
        <v>17</v>
      </c>
      <c r="L93" s="422">
        <v>2</v>
      </c>
      <c r="M93" s="422">
        <v>0</v>
      </c>
      <c r="N93" s="272">
        <f t="shared" si="45"/>
        <v>22</v>
      </c>
      <c r="O93" s="274">
        <f t="shared" si="46"/>
        <v>0.70833333333333337</v>
      </c>
      <c r="P93" s="275">
        <f t="shared" si="47"/>
        <v>0.91666666666666663</v>
      </c>
      <c r="Q93" s="422">
        <v>117.7</v>
      </c>
      <c r="R93" s="278">
        <f t="shared" si="48"/>
        <v>0</v>
      </c>
      <c r="S93" s="272">
        <f>IFERROR(INDEX('Horo. M'!G$3:$G$367,MATCH(A93,'Horo. M'!$A$3:$A$367,0)),"")</f>
        <v>24</v>
      </c>
      <c r="T93" s="422">
        <v>0</v>
      </c>
      <c r="U93" s="422">
        <v>0</v>
      </c>
      <c r="V93" s="272">
        <f t="shared" si="49"/>
        <v>24</v>
      </c>
      <c r="W93" s="274">
        <f t="shared" si="50"/>
        <v>1</v>
      </c>
      <c r="X93" s="275">
        <f t="shared" si="51"/>
        <v>1</v>
      </c>
      <c r="Y93" s="422">
        <v>191.58</v>
      </c>
      <c r="Z93" s="278">
        <f t="shared" si="52"/>
        <v>0</v>
      </c>
      <c r="AA93" s="272">
        <f>IFERROR(INDEX('Horo. M'!$I$3:I$367,MATCH(A93,'Horo. M'!$A$3:$A$367,0)),"")</f>
        <v>24</v>
      </c>
      <c r="AB93" s="422">
        <v>0</v>
      </c>
      <c r="AC93" s="422">
        <v>0</v>
      </c>
      <c r="AD93" s="272">
        <f t="shared" si="53"/>
        <v>24</v>
      </c>
      <c r="AE93" s="274">
        <f t="shared" si="54"/>
        <v>1</v>
      </c>
      <c r="AF93" s="275">
        <f t="shared" si="55"/>
        <v>1</v>
      </c>
      <c r="AG93" s="422">
        <v>187.23</v>
      </c>
      <c r="AH93" s="272">
        <f t="shared" si="56"/>
        <v>4</v>
      </c>
      <c r="AI93" s="272">
        <f>IFERROR(INDEX('Horo. M'!$K$3:K$367,MATCH(A93,'Horo. M'!$A$3:$A$367,0)),"")</f>
        <v>19</v>
      </c>
      <c r="AJ93" s="422">
        <v>1</v>
      </c>
      <c r="AK93" s="422">
        <v>0</v>
      </c>
      <c r="AL93" s="272">
        <f t="shared" si="57"/>
        <v>23</v>
      </c>
      <c r="AM93" s="274">
        <f t="shared" si="58"/>
        <v>0.79166666666666663</v>
      </c>
      <c r="AN93" s="275">
        <f t="shared" si="59"/>
        <v>0.95833333333333337</v>
      </c>
      <c r="AO93" s="422">
        <v>93.17</v>
      </c>
      <c r="AP93" s="272">
        <f t="shared" si="60"/>
        <v>9</v>
      </c>
      <c r="AQ93" s="272">
        <f>IFERROR(INDEX('Horo. M'!$M$3:M$367,MATCH(A93,'Horo. M'!$A$3:$A$367,0)),"")</f>
        <v>0</v>
      </c>
      <c r="AR93" s="422">
        <v>4</v>
      </c>
      <c r="AS93" s="422">
        <v>11</v>
      </c>
      <c r="AT93" s="272">
        <f t="shared" si="61"/>
        <v>9</v>
      </c>
      <c r="AU93" s="274">
        <f t="shared" si="62"/>
        <v>0</v>
      </c>
      <c r="AV93" s="275">
        <f t="shared" si="63"/>
        <v>0.375</v>
      </c>
      <c r="AW93" s="422">
        <v>0.03</v>
      </c>
      <c r="AX93" s="272">
        <f t="shared" si="64"/>
        <v>0</v>
      </c>
      <c r="AY93" s="272">
        <f>IFERROR(INDEX('Horo. M'!$O$3:O$367,MATCH(A93,'Horo. M'!$A$3:$A$367,0)),"")</f>
        <v>0</v>
      </c>
      <c r="AZ93" s="422">
        <v>24</v>
      </c>
      <c r="BA93" s="422">
        <v>0</v>
      </c>
      <c r="BB93" s="272">
        <f t="shared" si="65"/>
        <v>0</v>
      </c>
      <c r="BC93" s="274">
        <f t="shared" si="66"/>
        <v>0</v>
      </c>
      <c r="BD93" s="275">
        <f t="shared" si="67"/>
        <v>0</v>
      </c>
      <c r="BE93" s="422">
        <v>0</v>
      </c>
      <c r="BF93" s="272">
        <f t="shared" si="68"/>
        <v>0</v>
      </c>
      <c r="BG93" s="272">
        <f>IFERROR(INDEX('Horo. M'!$Q$3:Q$367,MATCH(A93,'Horo. M'!$A$3:$A$367,0)),"")</f>
        <v>24</v>
      </c>
      <c r="BH93" s="422">
        <v>0</v>
      </c>
      <c r="BI93" s="422">
        <v>0</v>
      </c>
      <c r="BJ93" s="272">
        <f t="shared" si="69"/>
        <v>24</v>
      </c>
      <c r="BK93" s="274">
        <f t="shared" si="70"/>
        <v>1</v>
      </c>
      <c r="BL93" s="275">
        <f t="shared" si="71"/>
        <v>1</v>
      </c>
      <c r="BM93" s="422">
        <v>191.36</v>
      </c>
      <c r="BN93" s="272">
        <f t="shared" si="72"/>
        <v>0</v>
      </c>
      <c r="BO93" s="272">
        <f>IFERROR(INDEX('Horo. M'!$S$3:S$367,MATCH(A93,'Horo. M'!$A$3:$A$367,0)),"")</f>
        <v>24</v>
      </c>
      <c r="BP93" s="422">
        <v>0</v>
      </c>
      <c r="BQ93" s="422">
        <v>0</v>
      </c>
      <c r="BR93" s="272">
        <f t="shared" si="73"/>
        <v>24</v>
      </c>
      <c r="BS93" s="274">
        <f t="shared" si="74"/>
        <v>1</v>
      </c>
      <c r="BT93" s="275">
        <f t="shared" si="75"/>
        <v>1</v>
      </c>
      <c r="BU93" s="422">
        <v>192.26</v>
      </c>
      <c r="BV93" s="272">
        <f t="shared" si="76"/>
        <v>0</v>
      </c>
      <c r="BW93" s="272">
        <f>IFERROR(INDEX('Horo. M'!$U$3:U$367,MATCH(A93,'Horo. M'!$A$3:$A$367,0)),"")</f>
        <v>24</v>
      </c>
      <c r="BX93" s="422">
        <v>0</v>
      </c>
      <c r="BY93" s="422">
        <v>0</v>
      </c>
      <c r="BZ93" s="272">
        <f t="shared" si="77"/>
        <v>24</v>
      </c>
      <c r="CA93" s="274">
        <f t="shared" si="78"/>
        <v>1</v>
      </c>
      <c r="CB93" s="275">
        <f t="shared" si="79"/>
        <v>1</v>
      </c>
      <c r="CC93" s="422">
        <v>193.81</v>
      </c>
    </row>
    <row r="94" spans="1:81">
      <c r="A94" s="279">
        <v>45019</v>
      </c>
      <c r="B94" s="278">
        <f t="shared" si="40"/>
        <v>0</v>
      </c>
      <c r="C94" s="272">
        <f>IFERROR(INDEX('Horo. M'!$C$3:$C$367,MATCH(A94,'Horo. M'!$A$3:$A$367,0)),"")</f>
        <v>24</v>
      </c>
      <c r="D94" s="422">
        <v>0</v>
      </c>
      <c r="E94" s="422">
        <v>0</v>
      </c>
      <c r="F94" s="272">
        <f t="shared" si="41"/>
        <v>24</v>
      </c>
      <c r="G94" s="300">
        <f t="shared" si="42"/>
        <v>1</v>
      </c>
      <c r="H94" s="275">
        <f t="shared" si="43"/>
        <v>1</v>
      </c>
      <c r="I94" s="422">
        <v>187.6</v>
      </c>
      <c r="J94" s="278">
        <f t="shared" si="44"/>
        <v>0</v>
      </c>
      <c r="K94" s="272">
        <f>IFERROR(INDEX('Horo. M'!$E$3:$E$367,MATCH(A94,'Horo. M'!$A$3:$A$367,0)),"")</f>
        <v>24</v>
      </c>
      <c r="L94" s="422">
        <v>0</v>
      </c>
      <c r="M94" s="422">
        <v>0</v>
      </c>
      <c r="N94" s="272">
        <f t="shared" si="45"/>
        <v>24</v>
      </c>
      <c r="O94" s="300">
        <f t="shared" si="46"/>
        <v>1</v>
      </c>
      <c r="P94" s="275">
        <f t="shared" si="47"/>
        <v>1</v>
      </c>
      <c r="Q94" s="422">
        <v>187</v>
      </c>
      <c r="R94" s="278">
        <f t="shared" si="48"/>
        <v>0</v>
      </c>
      <c r="S94" s="272">
        <f>IFERROR(INDEX('Horo. M'!G$3:$G$367,MATCH(A94,'Horo. M'!$A$3:$A$367,0)),"")</f>
        <v>24</v>
      </c>
      <c r="T94" s="422">
        <v>0</v>
      </c>
      <c r="U94" s="422">
        <v>0</v>
      </c>
      <c r="V94" s="272">
        <f t="shared" si="49"/>
        <v>24</v>
      </c>
      <c r="W94" s="300">
        <f t="shared" si="50"/>
        <v>1</v>
      </c>
      <c r="X94" s="275">
        <f t="shared" si="51"/>
        <v>1</v>
      </c>
      <c r="Y94" s="422">
        <v>188.02</v>
      </c>
      <c r="Z94" s="278">
        <f t="shared" si="52"/>
        <v>0</v>
      </c>
      <c r="AA94" s="272">
        <f>IFERROR(INDEX('Horo. M'!$I$3:I$367,MATCH(A94,'Horo. M'!$A$3:$A$367,0)),"")</f>
        <v>24</v>
      </c>
      <c r="AB94" s="422">
        <v>0</v>
      </c>
      <c r="AC94" s="422">
        <v>0</v>
      </c>
      <c r="AD94" s="272">
        <f t="shared" si="53"/>
        <v>24</v>
      </c>
      <c r="AE94" s="300">
        <f t="shared" si="54"/>
        <v>1</v>
      </c>
      <c r="AF94" s="275">
        <f t="shared" si="55"/>
        <v>1</v>
      </c>
      <c r="AG94" s="422">
        <v>186.6</v>
      </c>
      <c r="AH94" s="272">
        <f t="shared" si="56"/>
        <v>1</v>
      </c>
      <c r="AI94" s="272">
        <f>IFERROR(INDEX('Horo. M'!$K$3:K$367,MATCH(A94,'Horo. M'!$A$3:$A$367,0)),"")</f>
        <v>20</v>
      </c>
      <c r="AJ94" s="422">
        <v>3</v>
      </c>
      <c r="AK94" s="422">
        <v>0</v>
      </c>
      <c r="AL94" s="272">
        <f t="shared" si="57"/>
        <v>21</v>
      </c>
      <c r="AM94" s="300">
        <f t="shared" si="58"/>
        <v>0.83333333333333337</v>
      </c>
      <c r="AN94" s="275">
        <f t="shared" si="59"/>
        <v>0.875</v>
      </c>
      <c r="AO94" s="422">
        <v>99.69</v>
      </c>
      <c r="AP94" s="272">
        <f t="shared" si="60"/>
        <v>2</v>
      </c>
      <c r="AQ94" s="272">
        <f>IFERROR(INDEX('Horo. M'!$M$3:M$367,MATCH(A94,'Horo. M'!$A$3:$A$367,0)),"")</f>
        <v>21</v>
      </c>
      <c r="AR94" s="422">
        <v>0</v>
      </c>
      <c r="AS94" s="422">
        <v>1</v>
      </c>
      <c r="AT94" s="272">
        <f t="shared" si="61"/>
        <v>23</v>
      </c>
      <c r="AU94" s="300">
        <f t="shared" si="62"/>
        <v>0.875</v>
      </c>
      <c r="AV94" s="275">
        <f t="shared" si="63"/>
        <v>0.95833333333333337</v>
      </c>
      <c r="AW94" s="422">
        <v>158.32</v>
      </c>
      <c r="AX94" s="272">
        <f t="shared" si="64"/>
        <v>0</v>
      </c>
      <c r="AY94" s="272">
        <f>IFERROR(INDEX('Horo. M'!$O$3:O$367,MATCH(A94,'Horo. M'!$A$3:$A$367,0)),"")</f>
        <v>0</v>
      </c>
      <c r="AZ94" s="422">
        <v>24</v>
      </c>
      <c r="BA94" s="422">
        <v>0</v>
      </c>
      <c r="BB94" s="272">
        <f t="shared" si="65"/>
        <v>0</v>
      </c>
      <c r="BC94" s="300">
        <f t="shared" si="66"/>
        <v>0</v>
      </c>
      <c r="BD94" s="275">
        <f t="shared" si="67"/>
        <v>0</v>
      </c>
      <c r="BE94" s="422">
        <v>0</v>
      </c>
      <c r="BF94" s="272">
        <f t="shared" si="68"/>
        <v>0</v>
      </c>
      <c r="BG94" s="272">
        <f>IFERROR(INDEX('Horo. M'!$Q$3:Q$367,MATCH(A94,'Horo. M'!$A$3:$A$367,0)),"")</f>
        <v>24</v>
      </c>
      <c r="BH94" s="422">
        <v>0</v>
      </c>
      <c r="BI94" s="422">
        <v>0</v>
      </c>
      <c r="BJ94" s="272">
        <f t="shared" si="69"/>
        <v>24</v>
      </c>
      <c r="BK94" s="300">
        <f t="shared" si="70"/>
        <v>1</v>
      </c>
      <c r="BL94" s="275">
        <f t="shared" si="71"/>
        <v>1</v>
      </c>
      <c r="BM94" s="422">
        <v>189.58</v>
      </c>
      <c r="BN94" s="272">
        <f t="shared" si="72"/>
        <v>0</v>
      </c>
      <c r="BO94" s="272">
        <f>IFERROR(INDEX('Horo. M'!$S$3:S$367,MATCH(A94,'Horo. M'!$A$3:$A$367,0)),"")</f>
        <v>24</v>
      </c>
      <c r="BP94" s="422">
        <v>0</v>
      </c>
      <c r="BQ94" s="422">
        <v>0</v>
      </c>
      <c r="BR94" s="272">
        <f t="shared" si="73"/>
        <v>24</v>
      </c>
      <c r="BS94" s="300">
        <f t="shared" si="74"/>
        <v>1</v>
      </c>
      <c r="BT94" s="275">
        <f t="shared" si="75"/>
        <v>1</v>
      </c>
      <c r="BU94" s="422">
        <v>187.75</v>
      </c>
      <c r="BV94" s="272">
        <f t="shared" si="76"/>
        <v>6</v>
      </c>
      <c r="BW94" s="272">
        <f>IFERROR(INDEX('Horo. M'!$U$3:U$367,MATCH(A94,'Horo. M'!$A$3:$A$367,0)),"")</f>
        <v>0</v>
      </c>
      <c r="BX94" s="422">
        <v>0</v>
      </c>
      <c r="BY94" s="422">
        <v>18</v>
      </c>
      <c r="BZ94" s="272">
        <f t="shared" si="77"/>
        <v>6</v>
      </c>
      <c r="CA94" s="300">
        <f t="shared" si="78"/>
        <v>0</v>
      </c>
      <c r="CB94" s="275">
        <f t="shared" si="79"/>
        <v>0.25</v>
      </c>
      <c r="CC94" s="422">
        <v>0.08</v>
      </c>
    </row>
    <row r="95" spans="1:81">
      <c r="A95" s="279">
        <v>45020</v>
      </c>
      <c r="B95" s="278">
        <f t="shared" si="40"/>
        <v>0</v>
      </c>
      <c r="C95" s="272">
        <f>IFERROR(INDEX('Horo. M'!$C$3:$C$367,MATCH(A95,'Horo. M'!$A$3:$A$367,0)),"")</f>
        <v>24</v>
      </c>
      <c r="D95" s="422">
        <v>0</v>
      </c>
      <c r="E95" s="422">
        <v>0</v>
      </c>
      <c r="F95" s="272">
        <f t="shared" si="41"/>
        <v>24</v>
      </c>
      <c r="G95" s="274">
        <f t="shared" si="42"/>
        <v>1</v>
      </c>
      <c r="H95" s="275">
        <f t="shared" si="43"/>
        <v>1</v>
      </c>
      <c r="I95" s="422">
        <v>189.3</v>
      </c>
      <c r="J95" s="278">
        <f t="shared" si="44"/>
        <v>0</v>
      </c>
      <c r="K95" s="272">
        <f>IFERROR(INDEX('Horo. M'!$E$3:$E$367,MATCH(A95,'Horo. M'!$A$3:$A$367,0)),"")</f>
        <v>0</v>
      </c>
      <c r="L95" s="422">
        <v>24</v>
      </c>
      <c r="M95" s="422">
        <v>0</v>
      </c>
      <c r="N95" s="272">
        <f t="shared" si="45"/>
        <v>0</v>
      </c>
      <c r="O95" s="274">
        <f t="shared" si="46"/>
        <v>0</v>
      </c>
      <c r="P95" s="275">
        <f t="shared" si="47"/>
        <v>0</v>
      </c>
      <c r="Q95" s="422">
        <v>0.6</v>
      </c>
      <c r="R95" s="278">
        <f t="shared" si="48"/>
        <v>0</v>
      </c>
      <c r="S95" s="272">
        <f>IFERROR(INDEX('Horo. M'!G$3:$G$367,MATCH(A95,'Horo. M'!$A$3:$A$367,0)),"")</f>
        <v>24</v>
      </c>
      <c r="T95" s="422">
        <v>0</v>
      </c>
      <c r="U95" s="422">
        <v>0</v>
      </c>
      <c r="V95" s="272">
        <f t="shared" si="49"/>
        <v>24</v>
      </c>
      <c r="W95" s="274">
        <f t="shared" si="50"/>
        <v>1</v>
      </c>
      <c r="X95" s="275">
        <f t="shared" si="51"/>
        <v>1</v>
      </c>
      <c r="Y95" s="422">
        <v>191.47</v>
      </c>
      <c r="Z95" s="278">
        <f t="shared" si="52"/>
        <v>0</v>
      </c>
      <c r="AA95" s="272">
        <f>IFERROR(INDEX('Horo. M'!$I$3:I$367,MATCH(A95,'Horo. M'!$A$3:$A$367,0)),"")</f>
        <v>24</v>
      </c>
      <c r="AB95" s="422">
        <v>0</v>
      </c>
      <c r="AC95" s="422">
        <v>0</v>
      </c>
      <c r="AD95" s="272">
        <f t="shared" si="53"/>
        <v>24</v>
      </c>
      <c r="AE95" s="274">
        <f t="shared" si="54"/>
        <v>1</v>
      </c>
      <c r="AF95" s="275">
        <f t="shared" si="55"/>
        <v>1</v>
      </c>
      <c r="AG95" s="422">
        <v>188.59</v>
      </c>
      <c r="AH95" s="272">
        <f t="shared" si="56"/>
        <v>2</v>
      </c>
      <c r="AI95" s="272">
        <f>IFERROR(INDEX('Horo. M'!$K$3:K$367,MATCH(A95,'Horo. M'!$A$3:$A$367,0)),"")</f>
        <v>21</v>
      </c>
      <c r="AJ95" s="422">
        <v>0</v>
      </c>
      <c r="AK95" s="422">
        <v>1</v>
      </c>
      <c r="AL95" s="272">
        <f t="shared" si="57"/>
        <v>23</v>
      </c>
      <c r="AM95" s="274">
        <f t="shared" si="58"/>
        <v>0.875</v>
      </c>
      <c r="AN95" s="275">
        <f t="shared" si="59"/>
        <v>0.95833333333333337</v>
      </c>
      <c r="AO95" s="422">
        <v>146.41999999999999</v>
      </c>
      <c r="AP95" s="272">
        <f t="shared" si="60"/>
        <v>1</v>
      </c>
      <c r="AQ95" s="272">
        <f>IFERROR(INDEX('Horo. M'!$M$3:M$367,MATCH(A95,'Horo. M'!$A$3:$A$367,0)),"")</f>
        <v>23</v>
      </c>
      <c r="AR95" s="422">
        <v>0</v>
      </c>
      <c r="AS95" s="422">
        <v>0</v>
      </c>
      <c r="AT95" s="272">
        <f t="shared" si="61"/>
        <v>24</v>
      </c>
      <c r="AU95" s="274">
        <f t="shared" si="62"/>
        <v>0.95833333333333337</v>
      </c>
      <c r="AV95" s="275">
        <f t="shared" si="63"/>
        <v>1</v>
      </c>
      <c r="AW95" s="422">
        <v>173.43</v>
      </c>
      <c r="AX95" s="272">
        <f t="shared" si="64"/>
        <v>0</v>
      </c>
      <c r="AY95" s="272">
        <f>IFERROR(INDEX('Horo. M'!$O$3:O$367,MATCH(A95,'Horo. M'!$A$3:$A$367,0)),"")</f>
        <v>0</v>
      </c>
      <c r="AZ95" s="422">
        <v>24</v>
      </c>
      <c r="BA95" s="422">
        <v>0</v>
      </c>
      <c r="BB95" s="272">
        <f t="shared" si="65"/>
        <v>0</v>
      </c>
      <c r="BC95" s="274">
        <f t="shared" si="66"/>
        <v>0</v>
      </c>
      <c r="BD95" s="275">
        <f t="shared" si="67"/>
        <v>0</v>
      </c>
      <c r="BE95" s="422">
        <v>0</v>
      </c>
      <c r="BF95" s="272">
        <f t="shared" si="68"/>
        <v>0</v>
      </c>
      <c r="BG95" s="272">
        <f>IFERROR(INDEX('Horo. M'!$Q$3:Q$367,MATCH(A95,'Horo. M'!$A$3:$A$367,0)),"")</f>
        <v>24</v>
      </c>
      <c r="BH95" s="422">
        <v>0</v>
      </c>
      <c r="BI95" s="422">
        <v>0</v>
      </c>
      <c r="BJ95" s="272">
        <f t="shared" si="69"/>
        <v>24</v>
      </c>
      <c r="BK95" s="274">
        <f t="shared" si="70"/>
        <v>1</v>
      </c>
      <c r="BL95" s="275">
        <f t="shared" si="71"/>
        <v>1</v>
      </c>
      <c r="BM95" s="422">
        <v>181.55</v>
      </c>
      <c r="BN95" s="272">
        <f t="shared" si="72"/>
        <v>0</v>
      </c>
      <c r="BO95" s="272">
        <f>IFERROR(INDEX('Horo. M'!$S$3:S$367,MATCH(A95,'Horo. M'!$A$3:$A$367,0)),"")</f>
        <v>24</v>
      </c>
      <c r="BP95" s="422">
        <v>0</v>
      </c>
      <c r="BQ95" s="422">
        <v>0</v>
      </c>
      <c r="BR95" s="272">
        <f t="shared" si="73"/>
        <v>24</v>
      </c>
      <c r="BS95" s="274">
        <f t="shared" si="74"/>
        <v>1</v>
      </c>
      <c r="BT95" s="275">
        <f t="shared" si="75"/>
        <v>1</v>
      </c>
      <c r="BU95" s="422">
        <v>184.91</v>
      </c>
      <c r="BV95" s="272">
        <f t="shared" si="76"/>
        <v>2</v>
      </c>
      <c r="BW95" s="272">
        <f>IFERROR(INDEX('Horo. M'!$U$3:U$367,MATCH(A95,'Horo. M'!$A$3:$A$367,0)),"")</f>
        <v>22</v>
      </c>
      <c r="BX95" s="422">
        <v>0</v>
      </c>
      <c r="BY95" s="422">
        <v>0</v>
      </c>
      <c r="BZ95" s="272">
        <f t="shared" si="77"/>
        <v>24</v>
      </c>
      <c r="CA95" s="274">
        <f t="shared" si="78"/>
        <v>0.91666666666666663</v>
      </c>
      <c r="CB95" s="275">
        <f t="shared" si="79"/>
        <v>1</v>
      </c>
      <c r="CC95" s="422">
        <v>166.44</v>
      </c>
    </row>
    <row r="96" spans="1:81">
      <c r="A96" s="279">
        <v>45021</v>
      </c>
      <c r="B96" s="278">
        <f t="shared" si="40"/>
        <v>0</v>
      </c>
      <c r="C96" s="272">
        <f>IFERROR(INDEX('Horo. M'!$C$3:$C$367,MATCH(A96,'Horo. M'!$A$3:$A$367,0)),"")</f>
        <v>24</v>
      </c>
      <c r="D96" s="422">
        <v>0</v>
      </c>
      <c r="E96" s="422">
        <v>0</v>
      </c>
      <c r="F96" s="272">
        <f t="shared" si="41"/>
        <v>24</v>
      </c>
      <c r="G96" s="300">
        <f t="shared" si="42"/>
        <v>1</v>
      </c>
      <c r="H96" s="275">
        <f t="shared" si="43"/>
        <v>1</v>
      </c>
      <c r="I96" s="422">
        <v>198</v>
      </c>
      <c r="J96" s="278">
        <f t="shared" si="44"/>
        <v>0</v>
      </c>
      <c r="K96" s="272">
        <f>IFERROR(INDEX('Horo. M'!$E$3:$E$367,MATCH(A96,'Horo. M'!$A$3:$A$367,0)),"")</f>
        <v>0</v>
      </c>
      <c r="L96" s="422">
        <v>24</v>
      </c>
      <c r="M96" s="422">
        <v>0</v>
      </c>
      <c r="N96" s="272">
        <f t="shared" si="45"/>
        <v>0</v>
      </c>
      <c r="O96" s="300">
        <f t="shared" si="46"/>
        <v>0</v>
      </c>
      <c r="P96" s="275">
        <f t="shared" si="47"/>
        <v>0</v>
      </c>
      <c r="Q96" s="422">
        <v>0</v>
      </c>
      <c r="R96" s="278">
        <f t="shared" si="48"/>
        <v>0</v>
      </c>
      <c r="S96" s="272">
        <f>IFERROR(INDEX('Horo. M'!G$3:$G$367,MATCH(A96,'Horo. M'!$A$3:$A$367,0)),"")</f>
        <v>24</v>
      </c>
      <c r="T96" s="422">
        <v>0</v>
      </c>
      <c r="U96" s="422">
        <v>0</v>
      </c>
      <c r="V96" s="272">
        <f t="shared" si="49"/>
        <v>24</v>
      </c>
      <c r="W96" s="300">
        <f t="shared" si="50"/>
        <v>1</v>
      </c>
      <c r="X96" s="275">
        <f t="shared" si="51"/>
        <v>1</v>
      </c>
      <c r="Y96" s="422">
        <v>198.2</v>
      </c>
      <c r="Z96" s="278">
        <f t="shared" si="52"/>
        <v>0</v>
      </c>
      <c r="AA96" s="272">
        <f>IFERROR(INDEX('Horo. M'!$I$3:I$367,MATCH(A96,'Horo. M'!$A$3:$A$367,0)),"")</f>
        <v>24</v>
      </c>
      <c r="AB96" s="422">
        <v>0</v>
      </c>
      <c r="AC96" s="422">
        <v>0</v>
      </c>
      <c r="AD96" s="272">
        <f t="shared" si="53"/>
        <v>24</v>
      </c>
      <c r="AE96" s="300">
        <f t="shared" si="54"/>
        <v>1</v>
      </c>
      <c r="AF96" s="275">
        <f t="shared" si="55"/>
        <v>1</v>
      </c>
      <c r="AG96" s="422">
        <v>201.28</v>
      </c>
      <c r="AH96" s="272">
        <f t="shared" si="56"/>
        <v>0</v>
      </c>
      <c r="AI96" s="272">
        <f>IFERROR(INDEX('Horo. M'!$K$3:K$367,MATCH(A96,'Horo. M'!$A$3:$A$367,0)),"")</f>
        <v>24</v>
      </c>
      <c r="AJ96" s="422">
        <v>0</v>
      </c>
      <c r="AK96" s="422">
        <v>0</v>
      </c>
      <c r="AL96" s="272">
        <f t="shared" si="57"/>
        <v>24</v>
      </c>
      <c r="AM96" s="300">
        <f t="shared" si="58"/>
        <v>1</v>
      </c>
      <c r="AN96" s="275">
        <f t="shared" si="59"/>
        <v>1</v>
      </c>
      <c r="AO96" s="422">
        <v>169.62</v>
      </c>
      <c r="AP96" s="272">
        <f t="shared" si="60"/>
        <v>0</v>
      </c>
      <c r="AQ96" s="272">
        <f>IFERROR(INDEX('Horo. M'!$M$3:M$367,MATCH(A96,'Horo. M'!$A$3:$A$367,0)),"")</f>
        <v>24</v>
      </c>
      <c r="AR96" s="422">
        <v>0</v>
      </c>
      <c r="AS96" s="422">
        <v>0</v>
      </c>
      <c r="AT96" s="272">
        <f t="shared" si="61"/>
        <v>24</v>
      </c>
      <c r="AU96" s="300">
        <f t="shared" si="62"/>
        <v>1</v>
      </c>
      <c r="AV96" s="275">
        <f t="shared" si="63"/>
        <v>1</v>
      </c>
      <c r="AW96" s="422">
        <v>190.22</v>
      </c>
      <c r="AX96" s="272">
        <f t="shared" si="64"/>
        <v>0</v>
      </c>
      <c r="AY96" s="272">
        <f>IFERROR(INDEX('Horo. M'!$O$3:O$367,MATCH(A96,'Horo. M'!$A$3:$A$367,0)),"")</f>
        <v>0</v>
      </c>
      <c r="AZ96" s="422">
        <v>24</v>
      </c>
      <c r="BA96" s="422">
        <v>0</v>
      </c>
      <c r="BB96" s="272">
        <f t="shared" si="65"/>
        <v>0</v>
      </c>
      <c r="BC96" s="300">
        <f t="shared" si="66"/>
        <v>0</v>
      </c>
      <c r="BD96" s="275">
        <f t="shared" si="67"/>
        <v>0</v>
      </c>
      <c r="BE96" s="422">
        <v>0</v>
      </c>
      <c r="BF96" s="272">
        <f t="shared" si="68"/>
        <v>1</v>
      </c>
      <c r="BG96" s="272">
        <f>IFERROR(INDEX('Horo. M'!$Q$3:Q$367,MATCH(A96,'Horo. M'!$A$3:$A$367,0)),"")</f>
        <v>19</v>
      </c>
      <c r="BH96" s="422">
        <v>4</v>
      </c>
      <c r="BI96" s="422">
        <v>0</v>
      </c>
      <c r="BJ96" s="272">
        <f t="shared" si="69"/>
        <v>20</v>
      </c>
      <c r="BK96" s="300">
        <f t="shared" si="70"/>
        <v>0.79166666666666663</v>
      </c>
      <c r="BL96" s="275">
        <f t="shared" si="71"/>
        <v>0.83333333333333337</v>
      </c>
      <c r="BM96" s="422">
        <v>155.66999999999999</v>
      </c>
      <c r="BN96" s="272">
        <f t="shared" si="72"/>
        <v>0</v>
      </c>
      <c r="BO96" s="272">
        <f>IFERROR(INDEX('Horo. M'!$S$3:S$367,MATCH(A96,'Horo. M'!$A$3:$A$367,0)),"")</f>
        <v>24</v>
      </c>
      <c r="BP96" s="422">
        <v>0</v>
      </c>
      <c r="BQ96" s="422">
        <v>0</v>
      </c>
      <c r="BR96" s="272">
        <f t="shared" si="73"/>
        <v>24</v>
      </c>
      <c r="BS96" s="300">
        <f t="shared" si="74"/>
        <v>1</v>
      </c>
      <c r="BT96" s="275">
        <f t="shared" si="75"/>
        <v>1</v>
      </c>
      <c r="BU96" s="422">
        <v>198.08</v>
      </c>
      <c r="BV96" s="272">
        <f t="shared" si="76"/>
        <v>0</v>
      </c>
      <c r="BW96" s="272">
        <f>IFERROR(INDEX('Horo. M'!$U$3:U$367,MATCH(A96,'Horo. M'!$A$3:$A$367,0)),"")</f>
        <v>24</v>
      </c>
      <c r="BX96" s="422">
        <v>0</v>
      </c>
      <c r="BY96" s="422">
        <v>0</v>
      </c>
      <c r="BZ96" s="272">
        <f t="shared" si="77"/>
        <v>24</v>
      </c>
      <c r="CA96" s="300">
        <f t="shared" si="78"/>
        <v>1</v>
      </c>
      <c r="CB96" s="275">
        <f t="shared" si="79"/>
        <v>1</v>
      </c>
      <c r="CC96" s="422">
        <v>199.28</v>
      </c>
    </row>
    <row r="97" spans="1:81">
      <c r="A97" s="279">
        <v>45022</v>
      </c>
      <c r="B97" s="278">
        <f t="shared" si="40"/>
        <v>0</v>
      </c>
      <c r="C97" s="272">
        <f>IFERROR(INDEX('Horo. M'!$C$3:$C$367,MATCH(A97,'Horo. M'!$A$3:$A$367,0)),"")</f>
        <v>24</v>
      </c>
      <c r="D97" s="422">
        <v>0</v>
      </c>
      <c r="E97" s="422">
        <v>0</v>
      </c>
      <c r="F97" s="272">
        <f t="shared" si="41"/>
        <v>24</v>
      </c>
      <c r="G97" s="274">
        <f t="shared" si="42"/>
        <v>1</v>
      </c>
      <c r="H97" s="275">
        <f t="shared" si="43"/>
        <v>1</v>
      </c>
      <c r="I97" s="422">
        <v>179.9</v>
      </c>
      <c r="J97" s="278">
        <f t="shared" si="44"/>
        <v>0</v>
      </c>
      <c r="K97" s="272">
        <f>IFERROR(INDEX('Horo. M'!$E$3:$E$367,MATCH(A97,'Horo. M'!$A$3:$A$367,0)),"")</f>
        <v>0</v>
      </c>
      <c r="L97" s="422">
        <v>24</v>
      </c>
      <c r="M97" s="422">
        <v>0</v>
      </c>
      <c r="N97" s="272">
        <f t="shared" si="45"/>
        <v>0</v>
      </c>
      <c r="O97" s="274">
        <f t="shared" si="46"/>
        <v>0</v>
      </c>
      <c r="P97" s="275">
        <f t="shared" si="47"/>
        <v>0</v>
      </c>
      <c r="Q97" s="422">
        <v>0</v>
      </c>
      <c r="R97" s="278">
        <f t="shared" si="48"/>
        <v>0</v>
      </c>
      <c r="S97" s="272">
        <f>IFERROR(INDEX('Horo. M'!G$3:$G$367,MATCH(A97,'Horo. M'!$A$3:$A$367,0)),"")</f>
        <v>24</v>
      </c>
      <c r="T97" s="422">
        <v>0</v>
      </c>
      <c r="U97" s="422">
        <v>0</v>
      </c>
      <c r="V97" s="272">
        <f t="shared" si="49"/>
        <v>24</v>
      </c>
      <c r="W97" s="274">
        <f t="shared" si="50"/>
        <v>1</v>
      </c>
      <c r="X97" s="275">
        <f t="shared" si="51"/>
        <v>1</v>
      </c>
      <c r="Y97" s="422">
        <v>180.05</v>
      </c>
      <c r="Z97" s="278">
        <f t="shared" si="52"/>
        <v>0</v>
      </c>
      <c r="AA97" s="272">
        <f>IFERROR(INDEX('Horo. M'!$I$3:I$367,MATCH(A97,'Horo. M'!$A$3:$A$367,0)),"")</f>
        <v>24</v>
      </c>
      <c r="AB97" s="422">
        <v>0</v>
      </c>
      <c r="AC97" s="422">
        <v>0</v>
      </c>
      <c r="AD97" s="272">
        <f t="shared" si="53"/>
        <v>24</v>
      </c>
      <c r="AE97" s="274">
        <f t="shared" si="54"/>
        <v>1</v>
      </c>
      <c r="AF97" s="275">
        <f t="shared" si="55"/>
        <v>1</v>
      </c>
      <c r="AG97" s="422">
        <v>184.44</v>
      </c>
      <c r="AH97" s="272">
        <f t="shared" si="56"/>
        <v>0</v>
      </c>
      <c r="AI97" s="272">
        <f>IFERROR(INDEX('Horo. M'!$K$3:K$367,MATCH(A97,'Horo. M'!$A$3:$A$367,0)),"")</f>
        <v>24</v>
      </c>
      <c r="AJ97" s="422">
        <v>0</v>
      </c>
      <c r="AK97" s="422">
        <v>0</v>
      </c>
      <c r="AL97" s="272">
        <f t="shared" si="57"/>
        <v>24</v>
      </c>
      <c r="AM97" s="274">
        <f t="shared" si="58"/>
        <v>1</v>
      </c>
      <c r="AN97" s="275">
        <f t="shared" si="59"/>
        <v>1</v>
      </c>
      <c r="AO97" s="422">
        <v>126.36</v>
      </c>
      <c r="AP97" s="272">
        <f t="shared" si="60"/>
        <v>2</v>
      </c>
      <c r="AQ97" s="272">
        <f>IFERROR(INDEX('Horo. M'!$M$3:M$367,MATCH(A97,'Horo. M'!$A$3:$A$367,0)),"")</f>
        <v>21</v>
      </c>
      <c r="AR97" s="422">
        <v>0</v>
      </c>
      <c r="AS97" s="422">
        <v>1</v>
      </c>
      <c r="AT97" s="272">
        <f t="shared" si="61"/>
        <v>23</v>
      </c>
      <c r="AU97" s="274">
        <f t="shared" si="62"/>
        <v>0.875</v>
      </c>
      <c r="AV97" s="275">
        <f t="shared" si="63"/>
        <v>0.95833333333333337</v>
      </c>
      <c r="AW97" s="422">
        <v>157.43</v>
      </c>
      <c r="AX97" s="272">
        <f t="shared" si="64"/>
        <v>0</v>
      </c>
      <c r="AY97" s="272">
        <f>IFERROR(INDEX('Horo. M'!$O$3:O$367,MATCH(A97,'Horo. M'!$A$3:$A$367,0)),"")</f>
        <v>0</v>
      </c>
      <c r="AZ97" s="422">
        <v>24</v>
      </c>
      <c r="BA97" s="422">
        <v>0</v>
      </c>
      <c r="BB97" s="272">
        <f t="shared" si="65"/>
        <v>0</v>
      </c>
      <c r="BC97" s="274">
        <f t="shared" si="66"/>
        <v>0</v>
      </c>
      <c r="BD97" s="275">
        <f t="shared" si="67"/>
        <v>0</v>
      </c>
      <c r="BE97" s="422">
        <v>0</v>
      </c>
      <c r="BF97" s="272">
        <f t="shared" si="68"/>
        <v>0</v>
      </c>
      <c r="BG97" s="272">
        <f>IFERROR(INDEX('Horo. M'!$Q$3:Q$367,MATCH(A97,'Horo. M'!$A$3:$A$367,0)),"")</f>
        <v>24</v>
      </c>
      <c r="BH97" s="422">
        <v>0</v>
      </c>
      <c r="BI97" s="422">
        <v>0</v>
      </c>
      <c r="BJ97" s="272">
        <f t="shared" si="69"/>
        <v>24</v>
      </c>
      <c r="BK97" s="274">
        <f t="shared" si="70"/>
        <v>1</v>
      </c>
      <c r="BL97" s="275">
        <f t="shared" si="71"/>
        <v>1</v>
      </c>
      <c r="BM97" s="422">
        <v>181.58</v>
      </c>
      <c r="BN97" s="272">
        <f t="shared" si="72"/>
        <v>0</v>
      </c>
      <c r="BO97" s="272">
        <f>IFERROR(INDEX('Horo. M'!$S$3:S$367,MATCH(A97,'Horo. M'!$A$3:$A$367,0)),"")</f>
        <v>24</v>
      </c>
      <c r="BP97" s="422">
        <v>0</v>
      </c>
      <c r="BQ97" s="422">
        <v>0</v>
      </c>
      <c r="BR97" s="272">
        <f t="shared" si="73"/>
        <v>24</v>
      </c>
      <c r="BS97" s="274">
        <f t="shared" si="74"/>
        <v>1</v>
      </c>
      <c r="BT97" s="275">
        <f t="shared" si="75"/>
        <v>1</v>
      </c>
      <c r="BU97" s="422">
        <v>182.5</v>
      </c>
      <c r="BV97" s="272">
        <f t="shared" si="76"/>
        <v>0</v>
      </c>
      <c r="BW97" s="272">
        <f>IFERROR(INDEX('Horo. M'!$U$3:U$367,MATCH(A97,'Horo. M'!$A$3:$A$367,0)),"")</f>
        <v>24</v>
      </c>
      <c r="BX97" s="422">
        <v>0</v>
      </c>
      <c r="BY97" s="422">
        <v>0</v>
      </c>
      <c r="BZ97" s="272">
        <f t="shared" si="77"/>
        <v>24</v>
      </c>
      <c r="CA97" s="274">
        <f t="shared" si="78"/>
        <v>1</v>
      </c>
      <c r="CB97" s="275">
        <f t="shared" si="79"/>
        <v>1</v>
      </c>
      <c r="CC97" s="422">
        <v>183.57</v>
      </c>
    </row>
    <row r="98" spans="1:81">
      <c r="A98" s="279">
        <v>45023</v>
      </c>
      <c r="B98" s="278">
        <f t="shared" si="40"/>
        <v>0</v>
      </c>
      <c r="C98" s="272">
        <f>IFERROR(INDEX('Horo. M'!$C$3:$C$367,MATCH(A98,'Horo. M'!$A$3:$A$367,0)),"")</f>
        <v>24</v>
      </c>
      <c r="D98" s="422">
        <v>0</v>
      </c>
      <c r="E98" s="422">
        <v>0</v>
      </c>
      <c r="F98" s="272">
        <f t="shared" si="41"/>
        <v>24</v>
      </c>
      <c r="G98" s="300">
        <f t="shared" si="42"/>
        <v>1</v>
      </c>
      <c r="H98" s="275">
        <f t="shared" si="43"/>
        <v>1</v>
      </c>
      <c r="I98" s="422">
        <v>179.1</v>
      </c>
      <c r="J98" s="278">
        <f t="shared" si="44"/>
        <v>0</v>
      </c>
      <c r="K98" s="272">
        <f>IFERROR(INDEX('Horo. M'!$E$3:$E$367,MATCH(A98,'Horo. M'!$A$3:$A$367,0)),"")</f>
        <v>0</v>
      </c>
      <c r="L98" s="422">
        <v>24</v>
      </c>
      <c r="M98" s="422">
        <v>0</v>
      </c>
      <c r="N98" s="272">
        <f t="shared" si="45"/>
        <v>0</v>
      </c>
      <c r="O98" s="300">
        <f t="shared" si="46"/>
        <v>0</v>
      </c>
      <c r="P98" s="275">
        <f t="shared" si="47"/>
        <v>0</v>
      </c>
      <c r="Q98" s="422">
        <v>0</v>
      </c>
      <c r="R98" s="278">
        <f t="shared" si="48"/>
        <v>0</v>
      </c>
      <c r="S98" s="272">
        <f>IFERROR(INDEX('Horo. M'!G$3:$G$367,MATCH(A98,'Horo. M'!$A$3:$A$367,0)),"")</f>
        <v>24</v>
      </c>
      <c r="T98" s="422">
        <v>0</v>
      </c>
      <c r="U98" s="422">
        <v>0</v>
      </c>
      <c r="V98" s="272">
        <f t="shared" si="49"/>
        <v>24</v>
      </c>
      <c r="W98" s="300">
        <f t="shared" si="50"/>
        <v>1</v>
      </c>
      <c r="X98" s="275">
        <f t="shared" si="51"/>
        <v>1</v>
      </c>
      <c r="Y98" s="422">
        <v>182.37</v>
      </c>
      <c r="Z98" s="278">
        <f t="shared" si="52"/>
        <v>0</v>
      </c>
      <c r="AA98" s="272">
        <f>IFERROR(INDEX('Horo. M'!$I$3:I$367,MATCH(A98,'Horo. M'!$A$3:$A$367,0)),"")</f>
        <v>24</v>
      </c>
      <c r="AB98" s="422">
        <v>0</v>
      </c>
      <c r="AC98" s="422">
        <v>0</v>
      </c>
      <c r="AD98" s="272">
        <f t="shared" si="53"/>
        <v>24</v>
      </c>
      <c r="AE98" s="300">
        <f t="shared" si="54"/>
        <v>1</v>
      </c>
      <c r="AF98" s="275">
        <f t="shared" si="55"/>
        <v>1</v>
      </c>
      <c r="AG98" s="422">
        <v>181.25</v>
      </c>
      <c r="AH98" s="272">
        <f t="shared" si="56"/>
        <v>0</v>
      </c>
      <c r="AI98" s="272">
        <f>IFERROR(INDEX('Horo. M'!$K$3:K$367,MATCH(A98,'Horo. M'!$A$3:$A$367,0)),"")</f>
        <v>21</v>
      </c>
      <c r="AJ98" s="422">
        <v>0</v>
      </c>
      <c r="AK98" s="422">
        <v>3</v>
      </c>
      <c r="AL98" s="272">
        <f t="shared" si="57"/>
        <v>21</v>
      </c>
      <c r="AM98" s="300">
        <f t="shared" si="58"/>
        <v>0.875</v>
      </c>
      <c r="AN98" s="275">
        <f t="shared" si="59"/>
        <v>0.875</v>
      </c>
      <c r="AO98" s="422">
        <v>107.53</v>
      </c>
      <c r="AP98" s="272">
        <f t="shared" si="60"/>
        <v>0</v>
      </c>
      <c r="AQ98" s="272">
        <f>IFERROR(INDEX('Horo. M'!$M$3:M$367,MATCH(A98,'Horo. M'!$A$3:$A$367,0)),"")</f>
        <v>24</v>
      </c>
      <c r="AR98" s="422">
        <v>0</v>
      </c>
      <c r="AS98" s="422">
        <v>0</v>
      </c>
      <c r="AT98" s="272">
        <f t="shared" si="61"/>
        <v>24</v>
      </c>
      <c r="AU98" s="300">
        <f t="shared" si="62"/>
        <v>1</v>
      </c>
      <c r="AV98" s="275">
        <f t="shared" si="63"/>
        <v>1</v>
      </c>
      <c r="AW98" s="422">
        <v>178.67</v>
      </c>
      <c r="AX98" s="272">
        <f t="shared" si="64"/>
        <v>0</v>
      </c>
      <c r="AY98" s="272">
        <f>IFERROR(INDEX('Horo. M'!$O$3:O$367,MATCH(A98,'Horo. M'!$A$3:$A$367,0)),"")</f>
        <v>0</v>
      </c>
      <c r="AZ98" s="422">
        <v>24</v>
      </c>
      <c r="BA98" s="422">
        <v>0</v>
      </c>
      <c r="BB98" s="272">
        <f t="shared" si="65"/>
        <v>0</v>
      </c>
      <c r="BC98" s="300">
        <f t="shared" si="66"/>
        <v>0</v>
      </c>
      <c r="BD98" s="275">
        <f t="shared" si="67"/>
        <v>0</v>
      </c>
      <c r="BE98" s="422">
        <v>0</v>
      </c>
      <c r="BF98" s="272">
        <f t="shared" si="68"/>
        <v>0</v>
      </c>
      <c r="BG98" s="272">
        <f>IFERROR(INDEX('Horo. M'!$Q$3:Q$367,MATCH(A98,'Horo. M'!$A$3:$A$367,0)),"")</f>
        <v>24</v>
      </c>
      <c r="BH98" s="422">
        <v>0</v>
      </c>
      <c r="BI98" s="422">
        <v>0</v>
      </c>
      <c r="BJ98" s="272">
        <f t="shared" si="69"/>
        <v>24</v>
      </c>
      <c r="BK98" s="300">
        <f t="shared" si="70"/>
        <v>1</v>
      </c>
      <c r="BL98" s="275">
        <f t="shared" si="71"/>
        <v>1</v>
      </c>
      <c r="BM98" s="422">
        <v>182.2</v>
      </c>
      <c r="BN98" s="272">
        <f t="shared" si="72"/>
        <v>0</v>
      </c>
      <c r="BO98" s="272">
        <f>IFERROR(INDEX('Horo. M'!$S$3:S$367,MATCH(A98,'Horo. M'!$A$3:$A$367,0)),"")</f>
        <v>24</v>
      </c>
      <c r="BP98" s="422">
        <v>0</v>
      </c>
      <c r="BQ98" s="422">
        <v>0</v>
      </c>
      <c r="BR98" s="272">
        <f t="shared" si="73"/>
        <v>24</v>
      </c>
      <c r="BS98" s="300">
        <f t="shared" si="74"/>
        <v>1</v>
      </c>
      <c r="BT98" s="275">
        <f t="shared" si="75"/>
        <v>1</v>
      </c>
      <c r="BU98" s="422">
        <v>173.93</v>
      </c>
      <c r="BV98" s="272">
        <f t="shared" si="76"/>
        <v>0</v>
      </c>
      <c r="BW98" s="272">
        <f>IFERROR(INDEX('Horo. M'!$U$3:U$367,MATCH(A98,'Horo. M'!$A$3:$A$367,0)),"")</f>
        <v>24</v>
      </c>
      <c r="BX98" s="422">
        <v>0</v>
      </c>
      <c r="BY98" s="422">
        <v>0</v>
      </c>
      <c r="BZ98" s="272">
        <f t="shared" si="77"/>
        <v>24</v>
      </c>
      <c r="CA98" s="300">
        <f t="shared" si="78"/>
        <v>1</v>
      </c>
      <c r="CB98" s="275">
        <f t="shared" si="79"/>
        <v>1</v>
      </c>
      <c r="CC98" s="422">
        <v>183.79</v>
      </c>
    </row>
    <row r="99" spans="1:81">
      <c r="A99" s="279">
        <v>45024</v>
      </c>
      <c r="B99" s="278">
        <f t="shared" si="40"/>
        <v>0</v>
      </c>
      <c r="C99" s="272">
        <f>IFERROR(INDEX('Horo. M'!$C$3:$C$367,MATCH(A99,'Horo. M'!$A$3:$A$367,0)),"")</f>
        <v>24</v>
      </c>
      <c r="D99" s="422">
        <v>0</v>
      </c>
      <c r="E99" s="422">
        <v>0</v>
      </c>
      <c r="F99" s="272">
        <f t="shared" si="41"/>
        <v>24</v>
      </c>
      <c r="G99" s="274">
        <f t="shared" si="42"/>
        <v>1</v>
      </c>
      <c r="H99" s="275">
        <f t="shared" si="43"/>
        <v>1</v>
      </c>
      <c r="I99" s="422">
        <v>177.3</v>
      </c>
      <c r="J99" s="278">
        <f t="shared" si="44"/>
        <v>0</v>
      </c>
      <c r="K99" s="272">
        <f>IFERROR(INDEX('Horo. M'!$E$3:$E$367,MATCH(A99,'Horo. M'!$A$3:$A$367,0)),"")</f>
        <v>0</v>
      </c>
      <c r="L99" s="422">
        <v>24</v>
      </c>
      <c r="M99" s="422">
        <v>0</v>
      </c>
      <c r="N99" s="272">
        <f t="shared" si="45"/>
        <v>0</v>
      </c>
      <c r="O99" s="274">
        <f t="shared" si="46"/>
        <v>0</v>
      </c>
      <c r="P99" s="275">
        <f t="shared" si="47"/>
        <v>0</v>
      </c>
      <c r="Q99" s="422">
        <v>0</v>
      </c>
      <c r="R99" s="278">
        <f t="shared" si="48"/>
        <v>0</v>
      </c>
      <c r="S99" s="272">
        <f>IFERROR(INDEX('Horo. M'!G$3:$G$367,MATCH(A99,'Horo. M'!$A$3:$A$367,0)),"")</f>
        <v>24</v>
      </c>
      <c r="T99" s="422">
        <v>0</v>
      </c>
      <c r="U99" s="422">
        <v>0</v>
      </c>
      <c r="V99" s="272">
        <f t="shared" si="49"/>
        <v>24</v>
      </c>
      <c r="W99" s="274">
        <f t="shared" si="50"/>
        <v>1</v>
      </c>
      <c r="X99" s="275">
        <f t="shared" si="51"/>
        <v>1</v>
      </c>
      <c r="Y99" s="422">
        <v>178.82</v>
      </c>
      <c r="Z99" s="278">
        <f t="shared" si="52"/>
        <v>0</v>
      </c>
      <c r="AA99" s="272">
        <f>IFERROR(INDEX('Horo. M'!$I$3:I$367,MATCH(A99,'Horo. M'!$A$3:$A$367,0)),"")</f>
        <v>24</v>
      </c>
      <c r="AB99" s="422">
        <v>0</v>
      </c>
      <c r="AC99" s="422">
        <v>0</v>
      </c>
      <c r="AD99" s="272">
        <f t="shared" si="53"/>
        <v>24</v>
      </c>
      <c r="AE99" s="274">
        <f t="shared" si="54"/>
        <v>1</v>
      </c>
      <c r="AF99" s="275">
        <f t="shared" si="55"/>
        <v>1</v>
      </c>
      <c r="AG99" s="422">
        <v>183.51</v>
      </c>
      <c r="AH99" s="272">
        <f t="shared" si="56"/>
        <v>2</v>
      </c>
      <c r="AI99" s="272">
        <f>IFERROR(INDEX('Horo. M'!$K$3:K$367,MATCH(A99,'Horo. M'!$A$3:$A$367,0)),"")</f>
        <v>22</v>
      </c>
      <c r="AJ99" s="422">
        <v>0</v>
      </c>
      <c r="AK99" s="422">
        <v>0</v>
      </c>
      <c r="AL99" s="272">
        <f t="shared" si="57"/>
        <v>24</v>
      </c>
      <c r="AM99" s="274">
        <f t="shared" si="58"/>
        <v>0.91666666666666663</v>
      </c>
      <c r="AN99" s="275">
        <f t="shared" si="59"/>
        <v>1</v>
      </c>
      <c r="AO99" s="422">
        <v>120.55</v>
      </c>
      <c r="AP99" s="272">
        <f t="shared" si="60"/>
        <v>0</v>
      </c>
      <c r="AQ99" s="272">
        <f>IFERROR(INDEX('Horo. M'!$M$3:M$367,MATCH(A99,'Horo. M'!$A$3:$A$367,0)),"")</f>
        <v>22</v>
      </c>
      <c r="AR99" s="422">
        <v>0</v>
      </c>
      <c r="AS99" s="422">
        <v>2</v>
      </c>
      <c r="AT99" s="272">
        <f t="shared" si="61"/>
        <v>22</v>
      </c>
      <c r="AU99" s="274">
        <f t="shared" si="62"/>
        <v>0.91666666666666663</v>
      </c>
      <c r="AV99" s="275">
        <f t="shared" si="63"/>
        <v>0.91666666666666663</v>
      </c>
      <c r="AW99" s="422">
        <v>166.29</v>
      </c>
      <c r="AX99" s="272">
        <f t="shared" si="64"/>
        <v>0</v>
      </c>
      <c r="AY99" s="272">
        <f>IFERROR(INDEX('Horo. M'!$O$3:O$367,MATCH(A99,'Horo. M'!$A$3:$A$367,0)),"")</f>
        <v>0</v>
      </c>
      <c r="AZ99" s="422">
        <v>24</v>
      </c>
      <c r="BA99" s="422">
        <v>0</v>
      </c>
      <c r="BB99" s="272">
        <f t="shared" si="65"/>
        <v>0</v>
      </c>
      <c r="BC99" s="274">
        <f t="shared" si="66"/>
        <v>0</v>
      </c>
      <c r="BD99" s="275">
        <f t="shared" si="67"/>
        <v>0</v>
      </c>
      <c r="BE99" s="422">
        <v>0</v>
      </c>
      <c r="BF99" s="272">
        <f t="shared" si="68"/>
        <v>0</v>
      </c>
      <c r="BG99" s="272">
        <f>IFERROR(INDEX('Horo. M'!$Q$3:Q$367,MATCH(A99,'Horo. M'!$A$3:$A$367,0)),"")</f>
        <v>24</v>
      </c>
      <c r="BH99" s="422">
        <v>0</v>
      </c>
      <c r="BI99" s="422">
        <v>0</v>
      </c>
      <c r="BJ99" s="272">
        <f t="shared" si="69"/>
        <v>24</v>
      </c>
      <c r="BK99" s="274">
        <f t="shared" si="70"/>
        <v>1</v>
      </c>
      <c r="BL99" s="275">
        <f t="shared" si="71"/>
        <v>1</v>
      </c>
      <c r="BM99" s="422">
        <v>180.02</v>
      </c>
      <c r="BN99" s="272">
        <f t="shared" si="72"/>
        <v>0</v>
      </c>
      <c r="BO99" s="272">
        <f>IFERROR(INDEX('Horo. M'!$S$3:S$367,MATCH(A99,'Horo. M'!$A$3:$A$367,0)),"")</f>
        <v>24</v>
      </c>
      <c r="BP99" s="422">
        <v>0</v>
      </c>
      <c r="BQ99" s="422">
        <v>0</v>
      </c>
      <c r="BR99" s="272">
        <f t="shared" si="73"/>
        <v>24</v>
      </c>
      <c r="BS99" s="274">
        <f t="shared" si="74"/>
        <v>1</v>
      </c>
      <c r="BT99" s="275">
        <f t="shared" si="75"/>
        <v>1</v>
      </c>
      <c r="BU99" s="422">
        <v>181.12</v>
      </c>
      <c r="BV99" s="272">
        <f t="shared" si="76"/>
        <v>0</v>
      </c>
      <c r="BW99" s="272">
        <f>IFERROR(INDEX('Horo. M'!$U$3:U$367,MATCH(A99,'Horo. M'!$A$3:$A$367,0)),"")</f>
        <v>24</v>
      </c>
      <c r="BX99" s="422">
        <v>0</v>
      </c>
      <c r="BY99" s="422">
        <v>0</v>
      </c>
      <c r="BZ99" s="272">
        <f t="shared" si="77"/>
        <v>24</v>
      </c>
      <c r="CA99" s="274">
        <f t="shared" si="78"/>
        <v>1</v>
      </c>
      <c r="CB99" s="275">
        <f t="shared" si="79"/>
        <v>1</v>
      </c>
      <c r="CC99" s="422">
        <v>180.82</v>
      </c>
    </row>
    <row r="100" spans="1:81">
      <c r="A100" s="279">
        <v>45025</v>
      </c>
      <c r="B100" s="278">
        <f t="shared" si="40"/>
        <v>0</v>
      </c>
      <c r="C100" s="272">
        <f>IFERROR(INDEX('Horo. M'!$C$3:$C$367,MATCH(A100,'Horo. M'!$A$3:$A$367,0)),"")</f>
        <v>24</v>
      </c>
      <c r="D100" s="422">
        <v>0</v>
      </c>
      <c r="E100" s="422">
        <v>0</v>
      </c>
      <c r="F100" s="272">
        <f t="shared" si="41"/>
        <v>24</v>
      </c>
      <c r="G100" s="300">
        <f t="shared" si="42"/>
        <v>1</v>
      </c>
      <c r="H100" s="275">
        <f t="shared" si="43"/>
        <v>1</v>
      </c>
      <c r="I100" s="422">
        <v>184.4</v>
      </c>
      <c r="J100" s="278">
        <f t="shared" si="44"/>
        <v>0</v>
      </c>
      <c r="K100" s="272">
        <f>IFERROR(INDEX('Horo. M'!$E$3:$E$367,MATCH(A100,'Horo. M'!$A$3:$A$367,0)),"")</f>
        <v>0</v>
      </c>
      <c r="L100" s="422">
        <v>24</v>
      </c>
      <c r="M100" s="422">
        <v>0</v>
      </c>
      <c r="N100" s="272">
        <f t="shared" si="45"/>
        <v>0</v>
      </c>
      <c r="O100" s="300">
        <f t="shared" si="46"/>
        <v>0</v>
      </c>
      <c r="P100" s="275">
        <f t="shared" si="47"/>
        <v>0</v>
      </c>
      <c r="Q100" s="422">
        <v>0</v>
      </c>
      <c r="R100" s="278">
        <f t="shared" si="48"/>
        <v>0</v>
      </c>
      <c r="S100" s="272">
        <f>IFERROR(INDEX('Horo. M'!G$3:$G$367,MATCH(A100,'Horo. M'!$A$3:$A$367,0)),"")</f>
        <v>24</v>
      </c>
      <c r="T100" s="422">
        <v>0</v>
      </c>
      <c r="U100" s="422">
        <v>0</v>
      </c>
      <c r="V100" s="272">
        <f t="shared" si="49"/>
        <v>24</v>
      </c>
      <c r="W100" s="300">
        <f t="shared" si="50"/>
        <v>1</v>
      </c>
      <c r="X100" s="275">
        <f t="shared" si="51"/>
        <v>1</v>
      </c>
      <c r="Y100" s="422">
        <v>182.21</v>
      </c>
      <c r="Z100" s="278">
        <f t="shared" si="52"/>
        <v>0</v>
      </c>
      <c r="AA100" s="272">
        <f>IFERROR(INDEX('Horo. M'!$I$3:I$367,MATCH(A100,'Horo. M'!$A$3:$A$367,0)),"")</f>
        <v>24</v>
      </c>
      <c r="AB100" s="422">
        <v>0</v>
      </c>
      <c r="AC100" s="422">
        <v>0</v>
      </c>
      <c r="AD100" s="272">
        <f t="shared" si="53"/>
        <v>24</v>
      </c>
      <c r="AE100" s="300">
        <f t="shared" si="54"/>
        <v>1</v>
      </c>
      <c r="AF100" s="275">
        <f t="shared" si="55"/>
        <v>1</v>
      </c>
      <c r="AG100" s="422">
        <v>188.02</v>
      </c>
      <c r="AH100" s="272">
        <f t="shared" si="56"/>
        <v>0</v>
      </c>
      <c r="AI100" s="272">
        <f>IFERROR(INDEX('Horo. M'!$K$3:K$367,MATCH(A100,'Horo. M'!$A$3:$A$367,0)),"")</f>
        <v>24</v>
      </c>
      <c r="AJ100" s="422">
        <v>0</v>
      </c>
      <c r="AK100" s="422">
        <v>0</v>
      </c>
      <c r="AL100" s="272">
        <f t="shared" si="57"/>
        <v>24</v>
      </c>
      <c r="AM100" s="300">
        <f t="shared" si="58"/>
        <v>1</v>
      </c>
      <c r="AN100" s="275">
        <f t="shared" si="59"/>
        <v>1</v>
      </c>
      <c r="AO100" s="422">
        <v>125.31</v>
      </c>
      <c r="AP100" s="272">
        <f t="shared" si="60"/>
        <v>2</v>
      </c>
      <c r="AQ100" s="272">
        <f>IFERROR(INDEX('Horo. M'!$M$3:M$367,MATCH(A100,'Horo. M'!$A$3:$A$367,0)),"")</f>
        <v>22</v>
      </c>
      <c r="AR100" s="422">
        <v>0</v>
      </c>
      <c r="AS100" s="422">
        <v>0</v>
      </c>
      <c r="AT100" s="272">
        <f t="shared" si="61"/>
        <v>24</v>
      </c>
      <c r="AU100" s="300">
        <f t="shared" si="62"/>
        <v>0.91666666666666663</v>
      </c>
      <c r="AV100" s="275">
        <f t="shared" si="63"/>
        <v>1</v>
      </c>
      <c r="AW100" s="422">
        <v>156.75</v>
      </c>
      <c r="AX100" s="272">
        <f t="shared" si="64"/>
        <v>0</v>
      </c>
      <c r="AY100" s="272">
        <f>IFERROR(INDEX('Horo. M'!$O$3:O$367,MATCH(A100,'Horo. M'!$A$3:$A$367,0)),"")</f>
        <v>0</v>
      </c>
      <c r="AZ100" s="422">
        <v>24</v>
      </c>
      <c r="BA100" s="422">
        <v>0</v>
      </c>
      <c r="BB100" s="272">
        <f t="shared" si="65"/>
        <v>0</v>
      </c>
      <c r="BC100" s="300">
        <f t="shared" si="66"/>
        <v>0</v>
      </c>
      <c r="BD100" s="275">
        <f t="shared" si="67"/>
        <v>0</v>
      </c>
      <c r="BE100" s="422">
        <v>0</v>
      </c>
      <c r="BF100" s="272">
        <f t="shared" si="68"/>
        <v>0</v>
      </c>
      <c r="BG100" s="272">
        <f>IFERROR(INDEX('Horo. M'!$Q$3:Q$367,MATCH(A100,'Horo. M'!$A$3:$A$367,0)),"")</f>
        <v>24</v>
      </c>
      <c r="BH100" s="422">
        <v>0</v>
      </c>
      <c r="BI100" s="422">
        <v>0</v>
      </c>
      <c r="BJ100" s="272">
        <f t="shared" si="69"/>
        <v>24</v>
      </c>
      <c r="BK100" s="300">
        <f t="shared" si="70"/>
        <v>1</v>
      </c>
      <c r="BL100" s="275">
        <f t="shared" si="71"/>
        <v>1</v>
      </c>
      <c r="BM100" s="422">
        <v>185.47</v>
      </c>
      <c r="BN100" s="272">
        <f t="shared" si="72"/>
        <v>0</v>
      </c>
      <c r="BO100" s="272">
        <f>IFERROR(INDEX('Horo. M'!$S$3:S$367,MATCH(A100,'Horo. M'!$A$3:$A$367,0)),"")</f>
        <v>24</v>
      </c>
      <c r="BP100" s="422">
        <v>0</v>
      </c>
      <c r="BQ100" s="422">
        <v>0</v>
      </c>
      <c r="BR100" s="272">
        <f t="shared" si="73"/>
        <v>24</v>
      </c>
      <c r="BS100" s="300">
        <f t="shared" si="74"/>
        <v>1</v>
      </c>
      <c r="BT100" s="275">
        <f t="shared" si="75"/>
        <v>1</v>
      </c>
      <c r="BU100" s="422">
        <v>187.54</v>
      </c>
      <c r="BV100" s="272">
        <f t="shared" si="76"/>
        <v>0</v>
      </c>
      <c r="BW100" s="272">
        <f>IFERROR(INDEX('Horo. M'!$U$3:U$367,MATCH(A100,'Horo. M'!$A$3:$A$367,0)),"")</f>
        <v>24</v>
      </c>
      <c r="BX100" s="422">
        <v>0</v>
      </c>
      <c r="BY100" s="422">
        <v>0</v>
      </c>
      <c r="BZ100" s="272">
        <f t="shared" si="77"/>
        <v>24</v>
      </c>
      <c r="CA100" s="300">
        <f t="shared" si="78"/>
        <v>1</v>
      </c>
      <c r="CB100" s="275">
        <f t="shared" si="79"/>
        <v>1</v>
      </c>
      <c r="CC100" s="422">
        <v>187.54</v>
      </c>
    </row>
    <row r="101" spans="1:81">
      <c r="A101" s="279">
        <v>45026</v>
      </c>
      <c r="B101" s="278">
        <f t="shared" si="40"/>
        <v>0</v>
      </c>
      <c r="C101" s="272">
        <f>IFERROR(INDEX('Horo. M'!$C$3:$C$367,MATCH(A101,'Horo. M'!$A$3:$A$367,0)),"")</f>
        <v>24</v>
      </c>
      <c r="D101" s="422">
        <v>0</v>
      </c>
      <c r="E101" s="422">
        <v>0</v>
      </c>
      <c r="F101" s="272">
        <f t="shared" si="41"/>
        <v>24</v>
      </c>
      <c r="G101" s="274">
        <f t="shared" si="42"/>
        <v>1</v>
      </c>
      <c r="H101" s="275">
        <f t="shared" si="43"/>
        <v>1</v>
      </c>
      <c r="I101" s="422">
        <v>184.1</v>
      </c>
      <c r="J101" s="278">
        <f t="shared" si="44"/>
        <v>0</v>
      </c>
      <c r="K101" s="272">
        <f>IFERROR(INDEX('Horo. M'!$E$3:$E$367,MATCH(A101,'Horo. M'!$A$3:$A$367,0)),"")</f>
        <v>0</v>
      </c>
      <c r="L101" s="422">
        <v>24</v>
      </c>
      <c r="M101" s="422">
        <v>0</v>
      </c>
      <c r="N101" s="272">
        <f t="shared" si="45"/>
        <v>0</v>
      </c>
      <c r="O101" s="274">
        <f t="shared" si="46"/>
        <v>0</v>
      </c>
      <c r="P101" s="275">
        <f t="shared" si="47"/>
        <v>0</v>
      </c>
      <c r="Q101" s="422">
        <v>0</v>
      </c>
      <c r="R101" s="278">
        <f t="shared" si="48"/>
        <v>0</v>
      </c>
      <c r="S101" s="272">
        <f>IFERROR(INDEX('Horo. M'!G$3:$G$367,MATCH(A101,'Horo. M'!$A$3:$A$367,0)),"")</f>
        <v>24</v>
      </c>
      <c r="T101" s="422">
        <v>0</v>
      </c>
      <c r="U101" s="422">
        <v>0</v>
      </c>
      <c r="V101" s="272">
        <f t="shared" si="49"/>
        <v>24</v>
      </c>
      <c r="W101" s="274">
        <f t="shared" si="50"/>
        <v>1</v>
      </c>
      <c r="X101" s="275">
        <f t="shared" si="51"/>
        <v>1</v>
      </c>
      <c r="Y101" s="422">
        <v>187.83</v>
      </c>
      <c r="Z101" s="278">
        <f t="shared" si="52"/>
        <v>0</v>
      </c>
      <c r="AA101" s="272">
        <f>IFERROR(INDEX('Horo. M'!$I$3:I$367,MATCH(A101,'Horo. M'!$A$3:$A$367,0)),"")</f>
        <v>24</v>
      </c>
      <c r="AB101" s="422">
        <v>0</v>
      </c>
      <c r="AC101" s="422">
        <v>0</v>
      </c>
      <c r="AD101" s="272">
        <f t="shared" si="53"/>
        <v>24</v>
      </c>
      <c r="AE101" s="274">
        <f t="shared" si="54"/>
        <v>1</v>
      </c>
      <c r="AF101" s="275">
        <f t="shared" si="55"/>
        <v>1</v>
      </c>
      <c r="AG101" s="422">
        <v>188.75</v>
      </c>
      <c r="AH101" s="272">
        <f t="shared" si="56"/>
        <v>3</v>
      </c>
      <c r="AI101" s="272">
        <f>IFERROR(INDEX('Horo. M'!$K$3:K$367,MATCH(A101,'Horo. M'!$A$3:$A$367,0)),"")</f>
        <v>21</v>
      </c>
      <c r="AJ101" s="422">
        <v>0</v>
      </c>
      <c r="AK101" s="422">
        <v>0</v>
      </c>
      <c r="AL101" s="272">
        <f t="shared" si="57"/>
        <v>24</v>
      </c>
      <c r="AM101" s="274">
        <f t="shared" si="58"/>
        <v>0.875</v>
      </c>
      <c r="AN101" s="275">
        <f t="shared" si="59"/>
        <v>1</v>
      </c>
      <c r="AO101" s="422">
        <v>107.69</v>
      </c>
      <c r="AP101" s="272">
        <f t="shared" si="60"/>
        <v>1</v>
      </c>
      <c r="AQ101" s="272">
        <f>IFERROR(INDEX('Horo. M'!$M$3:M$367,MATCH(A101,'Horo. M'!$A$3:$A$367,0)),"")</f>
        <v>23</v>
      </c>
      <c r="AR101" s="422">
        <v>0</v>
      </c>
      <c r="AS101" s="422">
        <v>0</v>
      </c>
      <c r="AT101" s="272">
        <f t="shared" si="61"/>
        <v>24</v>
      </c>
      <c r="AU101" s="274">
        <f t="shared" si="62"/>
        <v>0.95833333333333337</v>
      </c>
      <c r="AV101" s="275">
        <f t="shared" si="63"/>
        <v>1</v>
      </c>
      <c r="AW101" s="422">
        <v>175.32</v>
      </c>
      <c r="AX101" s="272">
        <f t="shared" si="64"/>
        <v>0</v>
      </c>
      <c r="AY101" s="272">
        <f>IFERROR(INDEX('Horo. M'!$O$3:O$367,MATCH(A101,'Horo. M'!$A$3:$A$367,0)),"")</f>
        <v>0</v>
      </c>
      <c r="AZ101" s="422">
        <v>24</v>
      </c>
      <c r="BA101" s="422">
        <v>0</v>
      </c>
      <c r="BB101" s="272">
        <f t="shared" si="65"/>
        <v>0</v>
      </c>
      <c r="BC101" s="274">
        <f t="shared" si="66"/>
        <v>0</v>
      </c>
      <c r="BD101" s="275">
        <f t="shared" si="67"/>
        <v>0</v>
      </c>
      <c r="BE101" s="422">
        <v>0</v>
      </c>
      <c r="BF101" s="272">
        <f t="shared" si="68"/>
        <v>0</v>
      </c>
      <c r="BG101" s="272">
        <f>IFERROR(INDEX('Horo. M'!$Q$3:Q$367,MATCH(A101,'Horo. M'!$A$3:$A$367,0)),"")</f>
        <v>24</v>
      </c>
      <c r="BH101" s="422">
        <v>0</v>
      </c>
      <c r="BI101" s="422">
        <v>0</v>
      </c>
      <c r="BJ101" s="272">
        <f t="shared" si="69"/>
        <v>24</v>
      </c>
      <c r="BK101" s="274">
        <f t="shared" si="70"/>
        <v>1</v>
      </c>
      <c r="BL101" s="275">
        <f t="shared" si="71"/>
        <v>1</v>
      </c>
      <c r="BM101" s="422">
        <v>185.2</v>
      </c>
      <c r="BN101" s="272">
        <f t="shared" si="72"/>
        <v>0</v>
      </c>
      <c r="BO101" s="272">
        <f>IFERROR(INDEX('Horo. M'!$S$3:S$367,MATCH(A101,'Horo. M'!$A$3:$A$367,0)),"")</f>
        <v>24</v>
      </c>
      <c r="BP101" s="422">
        <v>0</v>
      </c>
      <c r="BQ101" s="422">
        <v>0</v>
      </c>
      <c r="BR101" s="272">
        <f t="shared" si="73"/>
        <v>24</v>
      </c>
      <c r="BS101" s="274">
        <f t="shared" si="74"/>
        <v>1</v>
      </c>
      <c r="BT101" s="275">
        <f t="shared" si="75"/>
        <v>1</v>
      </c>
      <c r="BU101" s="422">
        <v>187.02</v>
      </c>
      <c r="BV101" s="272">
        <f t="shared" si="76"/>
        <v>0</v>
      </c>
      <c r="BW101" s="272">
        <f>IFERROR(INDEX('Horo. M'!$U$3:U$367,MATCH(A101,'Horo. M'!$A$3:$A$367,0)),"")</f>
        <v>24</v>
      </c>
      <c r="BX101" s="422">
        <v>0</v>
      </c>
      <c r="BY101" s="422">
        <v>0</v>
      </c>
      <c r="BZ101" s="272">
        <f t="shared" si="77"/>
        <v>24</v>
      </c>
      <c r="CA101" s="274">
        <f t="shared" si="78"/>
        <v>1</v>
      </c>
      <c r="CB101" s="275">
        <f t="shared" si="79"/>
        <v>1</v>
      </c>
      <c r="CC101" s="422">
        <v>188.13</v>
      </c>
    </row>
    <row r="102" spans="1:81">
      <c r="A102" s="279">
        <v>45027</v>
      </c>
      <c r="B102" s="278">
        <f t="shared" si="40"/>
        <v>0</v>
      </c>
      <c r="C102" s="272">
        <f>IFERROR(INDEX('Horo. M'!$C$3:$C$367,MATCH(A102,'Horo. M'!$A$3:$A$367,0)),"")</f>
        <v>24</v>
      </c>
      <c r="D102" s="422">
        <v>0</v>
      </c>
      <c r="E102" s="422">
        <v>0</v>
      </c>
      <c r="F102" s="272">
        <f t="shared" si="41"/>
        <v>24</v>
      </c>
      <c r="G102" s="300">
        <f t="shared" si="42"/>
        <v>1</v>
      </c>
      <c r="H102" s="275">
        <f t="shared" si="43"/>
        <v>1</v>
      </c>
      <c r="I102" s="422">
        <v>181.7</v>
      </c>
      <c r="J102" s="278">
        <f t="shared" si="44"/>
        <v>0</v>
      </c>
      <c r="K102" s="272">
        <f>IFERROR(INDEX('Horo. M'!$E$3:$E$367,MATCH(A102,'Horo. M'!$A$3:$A$367,0)),"")</f>
        <v>0</v>
      </c>
      <c r="L102" s="422">
        <v>24</v>
      </c>
      <c r="M102" s="422">
        <v>0</v>
      </c>
      <c r="N102" s="272">
        <f t="shared" si="45"/>
        <v>0</v>
      </c>
      <c r="O102" s="300">
        <f t="shared" si="46"/>
        <v>0</v>
      </c>
      <c r="P102" s="275">
        <f t="shared" si="47"/>
        <v>0</v>
      </c>
      <c r="Q102" s="422">
        <v>0</v>
      </c>
      <c r="R102" s="278">
        <f t="shared" si="48"/>
        <v>0</v>
      </c>
      <c r="S102" s="272">
        <f>IFERROR(INDEX('Horo. M'!G$3:$G$367,MATCH(A102,'Horo. M'!$A$3:$A$367,0)),"")</f>
        <v>24</v>
      </c>
      <c r="T102" s="422">
        <v>0</v>
      </c>
      <c r="U102" s="422">
        <v>0</v>
      </c>
      <c r="V102" s="272">
        <f t="shared" si="49"/>
        <v>24</v>
      </c>
      <c r="W102" s="300">
        <f t="shared" si="50"/>
        <v>1</v>
      </c>
      <c r="X102" s="275">
        <f t="shared" si="51"/>
        <v>1</v>
      </c>
      <c r="Y102" s="422">
        <v>179.7</v>
      </c>
      <c r="Z102" s="278">
        <f t="shared" si="52"/>
        <v>0</v>
      </c>
      <c r="AA102" s="272">
        <f>IFERROR(INDEX('Horo. M'!$I$3:I$367,MATCH(A102,'Horo. M'!$A$3:$A$367,0)),"")</f>
        <v>24</v>
      </c>
      <c r="AB102" s="422">
        <v>0</v>
      </c>
      <c r="AC102" s="422">
        <v>0</v>
      </c>
      <c r="AD102" s="272">
        <f t="shared" si="53"/>
        <v>24</v>
      </c>
      <c r="AE102" s="300">
        <f t="shared" si="54"/>
        <v>1</v>
      </c>
      <c r="AF102" s="275">
        <f t="shared" si="55"/>
        <v>1</v>
      </c>
      <c r="AG102" s="422">
        <v>183.75</v>
      </c>
      <c r="AH102" s="272">
        <f t="shared" si="56"/>
        <v>3</v>
      </c>
      <c r="AI102" s="272">
        <f>IFERROR(INDEX('Horo. M'!$K$3:K$367,MATCH(A102,'Horo. M'!$A$3:$A$367,0)),"")</f>
        <v>21</v>
      </c>
      <c r="AJ102" s="422">
        <v>0</v>
      </c>
      <c r="AK102" s="422">
        <v>0</v>
      </c>
      <c r="AL102" s="272">
        <f t="shared" si="57"/>
        <v>24</v>
      </c>
      <c r="AM102" s="300">
        <f t="shared" si="58"/>
        <v>0.875</v>
      </c>
      <c r="AN102" s="275">
        <f t="shared" si="59"/>
        <v>1</v>
      </c>
      <c r="AO102" s="422">
        <v>103.34</v>
      </c>
      <c r="AP102" s="272">
        <f t="shared" si="60"/>
        <v>0</v>
      </c>
      <c r="AQ102" s="272">
        <f>IFERROR(INDEX('Horo. M'!$M$3:M$367,MATCH(A102,'Horo. M'!$A$3:$A$367,0)),"")</f>
        <v>24</v>
      </c>
      <c r="AR102" s="422">
        <v>0</v>
      </c>
      <c r="AS102" s="422">
        <v>0</v>
      </c>
      <c r="AT102" s="272">
        <f t="shared" si="61"/>
        <v>24</v>
      </c>
      <c r="AU102" s="300">
        <f t="shared" si="62"/>
        <v>1</v>
      </c>
      <c r="AV102" s="275">
        <f t="shared" si="63"/>
        <v>1</v>
      </c>
      <c r="AW102" s="422">
        <v>180.78</v>
      </c>
      <c r="AX102" s="272">
        <f t="shared" si="64"/>
        <v>0</v>
      </c>
      <c r="AY102" s="272">
        <f>IFERROR(INDEX('Horo. M'!$O$3:O$367,MATCH(A102,'Horo. M'!$A$3:$A$367,0)),"")</f>
        <v>0</v>
      </c>
      <c r="AZ102" s="422">
        <v>24</v>
      </c>
      <c r="BA102" s="422">
        <v>0</v>
      </c>
      <c r="BB102" s="272">
        <f t="shared" si="65"/>
        <v>0</v>
      </c>
      <c r="BC102" s="300">
        <f t="shared" si="66"/>
        <v>0</v>
      </c>
      <c r="BD102" s="275">
        <f t="shared" si="67"/>
        <v>0</v>
      </c>
      <c r="BE102" s="422">
        <v>0</v>
      </c>
      <c r="BF102" s="272">
        <f t="shared" si="68"/>
        <v>0</v>
      </c>
      <c r="BG102" s="272">
        <f>IFERROR(INDEX('Horo. M'!$Q$3:Q$367,MATCH(A102,'Horo. M'!$A$3:$A$367,0)),"")</f>
        <v>23</v>
      </c>
      <c r="BH102" s="422">
        <v>0</v>
      </c>
      <c r="BI102" s="422">
        <v>1</v>
      </c>
      <c r="BJ102" s="272">
        <f t="shared" si="69"/>
        <v>23</v>
      </c>
      <c r="BK102" s="300">
        <f t="shared" si="70"/>
        <v>0.95833333333333337</v>
      </c>
      <c r="BL102" s="275">
        <f t="shared" si="71"/>
        <v>0.95833333333333337</v>
      </c>
      <c r="BM102" s="422">
        <v>177.91</v>
      </c>
      <c r="BN102" s="272">
        <f t="shared" si="72"/>
        <v>0</v>
      </c>
      <c r="BO102" s="272">
        <f>IFERROR(INDEX('Horo. M'!$S$3:S$367,MATCH(A102,'Horo. M'!$A$3:$A$367,0)),"")</f>
        <v>24</v>
      </c>
      <c r="BP102" s="422">
        <v>0</v>
      </c>
      <c r="BQ102" s="422">
        <v>0</v>
      </c>
      <c r="BR102" s="272">
        <f t="shared" si="73"/>
        <v>24</v>
      </c>
      <c r="BS102" s="300">
        <f t="shared" si="74"/>
        <v>1</v>
      </c>
      <c r="BT102" s="275">
        <f t="shared" si="75"/>
        <v>1</v>
      </c>
      <c r="BU102" s="422">
        <v>183.29</v>
      </c>
      <c r="BV102" s="272">
        <f t="shared" si="76"/>
        <v>0</v>
      </c>
      <c r="BW102" s="272">
        <f>IFERROR(INDEX('Horo. M'!$U$3:U$367,MATCH(A102,'Horo. M'!$A$3:$A$367,0)),"")</f>
        <v>24</v>
      </c>
      <c r="BX102" s="422">
        <v>0</v>
      </c>
      <c r="BY102" s="422">
        <v>0</v>
      </c>
      <c r="BZ102" s="272">
        <f t="shared" si="77"/>
        <v>24</v>
      </c>
      <c r="CA102" s="300">
        <f t="shared" si="78"/>
        <v>1</v>
      </c>
      <c r="CB102" s="275">
        <f t="shared" si="79"/>
        <v>1</v>
      </c>
      <c r="CC102" s="422">
        <v>183.01</v>
      </c>
    </row>
    <row r="103" spans="1:81">
      <c r="A103" s="279">
        <v>45028</v>
      </c>
      <c r="B103" s="278">
        <f t="shared" si="40"/>
        <v>0</v>
      </c>
      <c r="C103" s="272">
        <f>IFERROR(INDEX('Horo. M'!$C$3:$C$367,MATCH(A103,'Horo. M'!$A$3:$A$367,0)),"")</f>
        <v>19</v>
      </c>
      <c r="D103" s="422">
        <v>4</v>
      </c>
      <c r="E103" s="422">
        <v>1</v>
      </c>
      <c r="F103" s="272">
        <f t="shared" si="41"/>
        <v>19</v>
      </c>
      <c r="G103" s="300">
        <f t="shared" si="42"/>
        <v>0.79166666666666663</v>
      </c>
      <c r="H103" s="275">
        <f t="shared" si="43"/>
        <v>0.79166666666666663</v>
      </c>
      <c r="I103" s="422">
        <v>141.4</v>
      </c>
      <c r="J103" s="278">
        <f t="shared" si="44"/>
        <v>0</v>
      </c>
      <c r="K103" s="272">
        <f>IFERROR(INDEX('Horo. M'!$E$3:$E$367,MATCH(A103,'Horo. M'!$A$3:$A$367,0)),"")</f>
        <v>0</v>
      </c>
      <c r="L103" s="422">
        <v>24</v>
      </c>
      <c r="M103" s="422">
        <v>0</v>
      </c>
      <c r="N103" s="272">
        <f t="shared" si="45"/>
        <v>0</v>
      </c>
      <c r="O103" s="300">
        <f t="shared" si="46"/>
        <v>0</v>
      </c>
      <c r="P103" s="275">
        <f t="shared" si="47"/>
        <v>0</v>
      </c>
      <c r="Q103" s="422">
        <v>0</v>
      </c>
      <c r="R103" s="278">
        <f t="shared" si="48"/>
        <v>5</v>
      </c>
      <c r="S103" s="272">
        <f>IFERROR(INDEX('Horo. M'!G$3:$G$367,MATCH(A103,'Horo. M'!$A$3:$A$367,0)),"")</f>
        <v>13</v>
      </c>
      <c r="T103" s="422">
        <v>4</v>
      </c>
      <c r="U103" s="422">
        <v>2</v>
      </c>
      <c r="V103" s="272">
        <f t="shared" si="49"/>
        <v>18</v>
      </c>
      <c r="W103" s="300">
        <f t="shared" si="50"/>
        <v>0.54166666666666663</v>
      </c>
      <c r="X103" s="275">
        <f t="shared" si="51"/>
        <v>0.75</v>
      </c>
      <c r="Y103" s="422">
        <v>85.26</v>
      </c>
      <c r="Z103" s="278">
        <f t="shared" si="52"/>
        <v>0</v>
      </c>
      <c r="AA103" s="272">
        <f>IFERROR(INDEX('Horo. M'!$I$3:I$367,MATCH(A103,'Horo. M'!$A$3:$A$367,0)),"")</f>
        <v>21</v>
      </c>
      <c r="AB103" s="422">
        <v>3</v>
      </c>
      <c r="AC103" s="422">
        <v>0</v>
      </c>
      <c r="AD103" s="272">
        <f t="shared" si="53"/>
        <v>21</v>
      </c>
      <c r="AE103" s="300">
        <f t="shared" si="54"/>
        <v>0.875</v>
      </c>
      <c r="AF103" s="275">
        <f t="shared" si="55"/>
        <v>0.875</v>
      </c>
      <c r="AG103" s="422">
        <v>155.22999999999999</v>
      </c>
      <c r="AH103" s="272">
        <f t="shared" si="56"/>
        <v>1</v>
      </c>
      <c r="AI103" s="272">
        <f>IFERROR(INDEX('Horo. M'!$K$3:K$367,MATCH(A103,'Horo. M'!$A$3:$A$367,0)),"")</f>
        <v>23</v>
      </c>
      <c r="AJ103" s="422">
        <v>0</v>
      </c>
      <c r="AK103" s="422">
        <v>0</v>
      </c>
      <c r="AL103" s="272">
        <f t="shared" si="57"/>
        <v>24</v>
      </c>
      <c r="AM103" s="300">
        <f t="shared" si="58"/>
        <v>0.95833333333333337</v>
      </c>
      <c r="AN103" s="275">
        <f t="shared" si="59"/>
        <v>1</v>
      </c>
      <c r="AO103" s="422">
        <v>165.06</v>
      </c>
      <c r="AP103" s="272">
        <f t="shared" si="60"/>
        <v>0</v>
      </c>
      <c r="AQ103" s="272">
        <f>IFERROR(INDEX('Horo. M'!$M$3:M$367,MATCH(A103,'Horo. M'!$A$3:$A$367,0)),"")</f>
        <v>24</v>
      </c>
      <c r="AR103" s="422">
        <v>0</v>
      </c>
      <c r="AS103" s="422">
        <v>0</v>
      </c>
      <c r="AT103" s="272">
        <f t="shared" si="61"/>
        <v>24</v>
      </c>
      <c r="AU103" s="300">
        <f t="shared" si="62"/>
        <v>1</v>
      </c>
      <c r="AV103" s="275">
        <f t="shared" si="63"/>
        <v>1</v>
      </c>
      <c r="AW103" s="422">
        <v>177.98</v>
      </c>
      <c r="AX103" s="272">
        <f t="shared" si="64"/>
        <v>0</v>
      </c>
      <c r="AY103" s="272">
        <f>IFERROR(INDEX('Horo. M'!$O$3:O$367,MATCH(A103,'Horo. M'!$A$3:$A$367,0)),"")</f>
        <v>0</v>
      </c>
      <c r="AZ103" s="422">
        <v>24</v>
      </c>
      <c r="BA103" s="422">
        <v>0</v>
      </c>
      <c r="BB103" s="272">
        <f t="shared" si="65"/>
        <v>0</v>
      </c>
      <c r="BC103" s="300">
        <f t="shared" si="66"/>
        <v>0</v>
      </c>
      <c r="BD103" s="275">
        <f t="shared" si="67"/>
        <v>0</v>
      </c>
      <c r="BE103" s="422">
        <v>0</v>
      </c>
      <c r="BF103" s="272">
        <f t="shared" si="68"/>
        <v>0</v>
      </c>
      <c r="BG103" s="272">
        <f>IFERROR(INDEX('Horo. M'!$Q$3:Q$367,MATCH(A103,'Horo. M'!$A$3:$A$367,0)),"")</f>
        <v>24</v>
      </c>
      <c r="BH103" s="422">
        <v>0</v>
      </c>
      <c r="BI103" s="422">
        <v>0</v>
      </c>
      <c r="BJ103" s="272">
        <f t="shared" si="69"/>
        <v>24</v>
      </c>
      <c r="BK103" s="300">
        <f t="shared" si="70"/>
        <v>1</v>
      </c>
      <c r="BL103" s="275">
        <f t="shared" si="71"/>
        <v>1</v>
      </c>
      <c r="BM103" s="422">
        <v>183.12</v>
      </c>
      <c r="BN103" s="272">
        <f t="shared" si="72"/>
        <v>1</v>
      </c>
      <c r="BO103" s="272">
        <f>IFERROR(INDEX('Horo. M'!$S$3:S$367,MATCH(A103,'Horo. M'!$A$3:$A$367,0)),"")</f>
        <v>18</v>
      </c>
      <c r="BP103" s="422">
        <v>4</v>
      </c>
      <c r="BQ103" s="422">
        <v>1</v>
      </c>
      <c r="BR103" s="272">
        <f t="shared" si="73"/>
        <v>19</v>
      </c>
      <c r="BS103" s="300">
        <f t="shared" si="74"/>
        <v>0.75</v>
      </c>
      <c r="BT103" s="275">
        <f t="shared" si="75"/>
        <v>0.79166666666666663</v>
      </c>
      <c r="BU103" s="422">
        <v>143.71</v>
      </c>
      <c r="BV103" s="272">
        <f t="shared" si="76"/>
        <v>2</v>
      </c>
      <c r="BW103" s="272">
        <f>IFERROR(INDEX('Horo. M'!$U$3:U$367,MATCH(A103,'Horo. M'!$A$3:$A$367,0)),"")</f>
        <v>13</v>
      </c>
      <c r="BX103" s="422">
        <v>4</v>
      </c>
      <c r="BY103" s="422">
        <v>5</v>
      </c>
      <c r="BZ103" s="272">
        <f t="shared" si="77"/>
        <v>15</v>
      </c>
      <c r="CA103" s="300">
        <f t="shared" si="78"/>
        <v>0.54166666666666663</v>
      </c>
      <c r="CB103" s="275">
        <f t="shared" si="79"/>
        <v>0.625</v>
      </c>
      <c r="CC103" s="422">
        <v>93.98</v>
      </c>
    </row>
    <row r="104" spans="1:81">
      <c r="A104" s="279">
        <v>45029</v>
      </c>
      <c r="B104" s="278">
        <f t="shared" si="40"/>
        <v>0</v>
      </c>
      <c r="C104" s="272">
        <f>IFERROR(INDEX('Horo. M'!$C$3:$C$367,MATCH(A104,'Horo. M'!$A$3:$A$367,0)),"")</f>
        <v>23</v>
      </c>
      <c r="D104" s="422">
        <v>0</v>
      </c>
      <c r="E104" s="422">
        <v>1</v>
      </c>
      <c r="F104" s="272">
        <f t="shared" si="41"/>
        <v>23</v>
      </c>
      <c r="G104" s="274">
        <f t="shared" si="42"/>
        <v>0.95833333333333337</v>
      </c>
      <c r="H104" s="275">
        <f t="shared" si="43"/>
        <v>0.95833333333333337</v>
      </c>
      <c r="I104" s="422">
        <v>174.6</v>
      </c>
      <c r="J104" s="278">
        <f t="shared" si="44"/>
        <v>0</v>
      </c>
      <c r="K104" s="272">
        <f>IFERROR(INDEX('Horo. M'!$E$3:$E$367,MATCH(A104,'Horo. M'!$A$3:$A$367,0)),"")</f>
        <v>0</v>
      </c>
      <c r="L104" s="422">
        <v>24</v>
      </c>
      <c r="M104" s="422">
        <v>0</v>
      </c>
      <c r="N104" s="272">
        <f t="shared" si="45"/>
        <v>0</v>
      </c>
      <c r="O104" s="274">
        <f t="shared" si="46"/>
        <v>0</v>
      </c>
      <c r="P104" s="275">
        <f t="shared" si="47"/>
        <v>0</v>
      </c>
      <c r="Q104" s="422">
        <v>0</v>
      </c>
      <c r="R104" s="278">
        <f t="shared" si="48"/>
        <v>0</v>
      </c>
      <c r="S104" s="272">
        <f>IFERROR(INDEX('Horo. M'!G$3:$G$367,MATCH(A104,'Horo. M'!$A$3:$A$367,0)),"")</f>
        <v>24</v>
      </c>
      <c r="T104" s="422">
        <v>0</v>
      </c>
      <c r="U104" s="422">
        <v>0</v>
      </c>
      <c r="V104" s="272">
        <f t="shared" si="49"/>
        <v>24</v>
      </c>
      <c r="W104" s="274">
        <f t="shared" si="50"/>
        <v>1</v>
      </c>
      <c r="X104" s="275">
        <f t="shared" si="51"/>
        <v>1</v>
      </c>
      <c r="Y104" s="422">
        <v>182.49</v>
      </c>
      <c r="Z104" s="278">
        <f t="shared" si="52"/>
        <v>3</v>
      </c>
      <c r="AA104" s="272">
        <f>IFERROR(INDEX('Horo. M'!$I$3:I$367,MATCH(A104,'Horo. M'!$A$3:$A$367,0)),"")</f>
        <v>21</v>
      </c>
      <c r="AB104" s="422">
        <v>0</v>
      </c>
      <c r="AC104" s="422">
        <v>0</v>
      </c>
      <c r="AD104" s="272">
        <f t="shared" si="53"/>
        <v>24</v>
      </c>
      <c r="AE104" s="274">
        <f t="shared" si="54"/>
        <v>0.875</v>
      </c>
      <c r="AF104" s="275">
        <f t="shared" si="55"/>
        <v>1</v>
      </c>
      <c r="AG104" s="422">
        <v>161.41</v>
      </c>
      <c r="AH104" s="272">
        <f t="shared" si="56"/>
        <v>0</v>
      </c>
      <c r="AI104" s="272">
        <f>IFERROR(INDEX('Horo. M'!$K$3:K$367,MATCH(A104,'Horo. M'!$A$3:$A$367,0)),"")</f>
        <v>24</v>
      </c>
      <c r="AJ104" s="422">
        <v>0</v>
      </c>
      <c r="AK104" s="422">
        <v>0</v>
      </c>
      <c r="AL104" s="272">
        <f t="shared" si="57"/>
        <v>24</v>
      </c>
      <c r="AM104" s="274">
        <f t="shared" si="58"/>
        <v>1</v>
      </c>
      <c r="AN104" s="275">
        <f t="shared" si="59"/>
        <v>1</v>
      </c>
      <c r="AO104" s="422">
        <v>142.58000000000001</v>
      </c>
      <c r="AP104" s="272">
        <f t="shared" si="60"/>
        <v>1</v>
      </c>
      <c r="AQ104" s="272">
        <f>IFERROR(INDEX('Horo. M'!$M$3:M$367,MATCH(A104,'Horo. M'!$A$3:$A$367,0)),"")</f>
        <v>23</v>
      </c>
      <c r="AR104" s="422">
        <v>0</v>
      </c>
      <c r="AS104" s="422">
        <v>0</v>
      </c>
      <c r="AT104" s="272">
        <f t="shared" si="61"/>
        <v>24</v>
      </c>
      <c r="AU104" s="274">
        <f t="shared" si="62"/>
        <v>0.95833333333333337</v>
      </c>
      <c r="AV104" s="275">
        <f t="shared" si="63"/>
        <v>1</v>
      </c>
      <c r="AW104" s="422">
        <v>179.52</v>
      </c>
      <c r="AX104" s="272">
        <f t="shared" si="64"/>
        <v>0</v>
      </c>
      <c r="AY104" s="272">
        <f>IFERROR(INDEX('Horo. M'!$O$3:O$367,MATCH(A104,'Horo. M'!$A$3:$A$367,0)),"")</f>
        <v>0</v>
      </c>
      <c r="AZ104" s="422">
        <v>24</v>
      </c>
      <c r="BA104" s="422">
        <v>0</v>
      </c>
      <c r="BB104" s="272">
        <f t="shared" si="65"/>
        <v>0</v>
      </c>
      <c r="BC104" s="274">
        <f t="shared" si="66"/>
        <v>0</v>
      </c>
      <c r="BD104" s="275">
        <f t="shared" si="67"/>
        <v>0</v>
      </c>
      <c r="BE104" s="422">
        <v>0</v>
      </c>
      <c r="BF104" s="272">
        <f t="shared" si="68"/>
        <v>0</v>
      </c>
      <c r="BG104" s="272">
        <f>IFERROR(INDEX('Horo. M'!$Q$3:Q$367,MATCH(A104,'Horo. M'!$A$3:$A$367,0)),"")</f>
        <v>24</v>
      </c>
      <c r="BH104" s="422">
        <v>0</v>
      </c>
      <c r="BI104" s="422">
        <v>0</v>
      </c>
      <c r="BJ104" s="272">
        <f t="shared" si="69"/>
        <v>24</v>
      </c>
      <c r="BK104" s="274">
        <f t="shared" si="70"/>
        <v>1</v>
      </c>
      <c r="BL104" s="275">
        <f t="shared" si="71"/>
        <v>1</v>
      </c>
      <c r="BM104" s="422">
        <v>182.2</v>
      </c>
      <c r="BN104" s="272">
        <f t="shared" si="72"/>
        <v>0</v>
      </c>
      <c r="BO104" s="272">
        <f>IFERROR(INDEX('Horo. M'!$S$3:S$367,MATCH(A104,'Horo. M'!$A$3:$A$367,0)),"")</f>
        <v>24</v>
      </c>
      <c r="BP104" s="422">
        <v>0</v>
      </c>
      <c r="BQ104" s="422">
        <v>0</v>
      </c>
      <c r="BR104" s="272">
        <f t="shared" si="73"/>
        <v>24</v>
      </c>
      <c r="BS104" s="274">
        <f t="shared" si="74"/>
        <v>1</v>
      </c>
      <c r="BT104" s="275">
        <f t="shared" si="75"/>
        <v>1</v>
      </c>
      <c r="BU104" s="422">
        <v>183.61</v>
      </c>
      <c r="BV104" s="272">
        <f t="shared" si="76"/>
        <v>0</v>
      </c>
      <c r="BW104" s="272">
        <f>IFERROR(INDEX('Horo. M'!$U$3:U$367,MATCH(A104,'Horo. M'!$A$3:$A$367,0)),"")</f>
        <v>24</v>
      </c>
      <c r="BX104" s="422">
        <v>0</v>
      </c>
      <c r="BY104" s="422">
        <v>0</v>
      </c>
      <c r="BZ104" s="272">
        <f t="shared" si="77"/>
        <v>24</v>
      </c>
      <c r="CA104" s="274">
        <f t="shared" si="78"/>
        <v>1</v>
      </c>
      <c r="CB104" s="275">
        <f t="shared" si="79"/>
        <v>1</v>
      </c>
      <c r="CC104" s="422">
        <v>184.12</v>
      </c>
    </row>
    <row r="105" spans="1:81">
      <c r="A105" s="279">
        <v>45030</v>
      </c>
      <c r="B105" s="278">
        <f t="shared" si="40"/>
        <v>0</v>
      </c>
      <c r="C105" s="272">
        <f>IFERROR(INDEX('Horo. M'!$C$3:$C$367,MATCH(A105,'Horo. M'!$A$3:$A$367,0)),"")</f>
        <v>24</v>
      </c>
      <c r="D105" s="422">
        <v>0</v>
      </c>
      <c r="E105" s="422">
        <v>0</v>
      </c>
      <c r="F105" s="272">
        <f t="shared" si="41"/>
        <v>24</v>
      </c>
      <c r="G105" s="300">
        <f t="shared" si="42"/>
        <v>1</v>
      </c>
      <c r="H105" s="275">
        <f t="shared" si="43"/>
        <v>1</v>
      </c>
      <c r="I105" s="422">
        <v>181.3</v>
      </c>
      <c r="J105" s="278">
        <f t="shared" si="44"/>
        <v>0</v>
      </c>
      <c r="K105" s="272">
        <f>IFERROR(INDEX('Horo. M'!$E$3:$E$367,MATCH(A105,'Horo. M'!$A$3:$A$367,0)),"")</f>
        <v>0</v>
      </c>
      <c r="L105" s="422">
        <v>24</v>
      </c>
      <c r="M105" s="422">
        <v>0</v>
      </c>
      <c r="N105" s="272">
        <f t="shared" si="45"/>
        <v>0</v>
      </c>
      <c r="O105" s="300">
        <f t="shared" si="46"/>
        <v>0</v>
      </c>
      <c r="P105" s="275">
        <f t="shared" si="47"/>
        <v>0</v>
      </c>
      <c r="Q105" s="422">
        <v>0</v>
      </c>
      <c r="R105" s="278">
        <f t="shared" si="48"/>
        <v>0</v>
      </c>
      <c r="S105" s="272">
        <f>IFERROR(INDEX('Horo. M'!G$3:$G$367,MATCH(A105,'Horo. M'!$A$3:$A$367,0)),"")</f>
        <v>24</v>
      </c>
      <c r="T105" s="422">
        <v>0</v>
      </c>
      <c r="U105" s="422">
        <v>0</v>
      </c>
      <c r="V105" s="272">
        <f t="shared" si="49"/>
        <v>24</v>
      </c>
      <c r="W105" s="300">
        <f t="shared" si="50"/>
        <v>1</v>
      </c>
      <c r="X105" s="275">
        <f t="shared" si="51"/>
        <v>1</v>
      </c>
      <c r="Y105" s="422">
        <v>183.84</v>
      </c>
      <c r="Z105" s="278">
        <f t="shared" si="52"/>
        <v>0</v>
      </c>
      <c r="AA105" s="272">
        <f>IFERROR(INDEX('Horo. M'!$I$3:I$367,MATCH(A105,'Horo. M'!$A$3:$A$367,0)),"")</f>
        <v>24</v>
      </c>
      <c r="AB105" s="422">
        <v>0</v>
      </c>
      <c r="AC105" s="422">
        <v>0</v>
      </c>
      <c r="AD105" s="272">
        <f t="shared" si="53"/>
        <v>24</v>
      </c>
      <c r="AE105" s="300">
        <f t="shared" si="54"/>
        <v>1</v>
      </c>
      <c r="AF105" s="275">
        <f t="shared" si="55"/>
        <v>1</v>
      </c>
      <c r="AG105" s="422">
        <v>181.67</v>
      </c>
      <c r="AH105" s="272">
        <f t="shared" si="56"/>
        <v>0</v>
      </c>
      <c r="AI105" s="272">
        <f>IFERROR(INDEX('Horo. M'!$K$3:K$367,MATCH(A105,'Horo. M'!$A$3:$A$367,0)),"")</f>
        <v>19</v>
      </c>
      <c r="AJ105" s="422">
        <v>4</v>
      </c>
      <c r="AK105" s="422">
        <v>1</v>
      </c>
      <c r="AL105" s="272">
        <f t="shared" si="57"/>
        <v>19</v>
      </c>
      <c r="AM105" s="300">
        <f t="shared" si="58"/>
        <v>0.79166666666666663</v>
      </c>
      <c r="AN105" s="275">
        <f t="shared" si="59"/>
        <v>0.79166666666666663</v>
      </c>
      <c r="AO105" s="422">
        <v>114.86</v>
      </c>
      <c r="AP105" s="272">
        <f t="shared" si="60"/>
        <v>0</v>
      </c>
      <c r="AQ105" s="272">
        <f>IFERROR(INDEX('Horo. M'!$M$3:M$367,MATCH(A105,'Horo. M'!$A$3:$A$367,0)),"")</f>
        <v>24</v>
      </c>
      <c r="AR105" s="422">
        <v>0</v>
      </c>
      <c r="AS105" s="422">
        <v>0</v>
      </c>
      <c r="AT105" s="272">
        <f t="shared" si="61"/>
        <v>24</v>
      </c>
      <c r="AU105" s="300">
        <f t="shared" si="62"/>
        <v>1</v>
      </c>
      <c r="AV105" s="275">
        <f t="shared" si="63"/>
        <v>1</v>
      </c>
      <c r="AW105" s="422">
        <v>182.98</v>
      </c>
      <c r="AX105" s="272">
        <f t="shared" si="64"/>
        <v>0</v>
      </c>
      <c r="AY105" s="272">
        <f>IFERROR(INDEX('Horo. M'!$O$3:O$367,MATCH(A105,'Horo. M'!$A$3:$A$367,0)),"")</f>
        <v>0</v>
      </c>
      <c r="AZ105" s="422">
        <v>24</v>
      </c>
      <c r="BA105" s="422">
        <v>0</v>
      </c>
      <c r="BB105" s="272">
        <f t="shared" si="65"/>
        <v>0</v>
      </c>
      <c r="BC105" s="300">
        <f t="shared" si="66"/>
        <v>0</v>
      </c>
      <c r="BD105" s="275">
        <f t="shared" si="67"/>
        <v>0</v>
      </c>
      <c r="BE105" s="422">
        <v>0</v>
      </c>
      <c r="BF105" s="272">
        <f t="shared" si="68"/>
        <v>0</v>
      </c>
      <c r="BG105" s="272">
        <f>IFERROR(INDEX('Horo. M'!$Q$3:Q$367,MATCH(A105,'Horo. M'!$A$3:$A$367,0)),"")</f>
        <v>24</v>
      </c>
      <c r="BH105" s="422">
        <v>0</v>
      </c>
      <c r="BI105" s="422">
        <v>0</v>
      </c>
      <c r="BJ105" s="272">
        <f t="shared" si="69"/>
        <v>24</v>
      </c>
      <c r="BK105" s="300">
        <f t="shared" si="70"/>
        <v>1</v>
      </c>
      <c r="BL105" s="275">
        <f t="shared" si="71"/>
        <v>1</v>
      </c>
      <c r="BM105" s="422">
        <v>182.47</v>
      </c>
      <c r="BN105" s="272">
        <f t="shared" si="72"/>
        <v>0</v>
      </c>
      <c r="BO105" s="272">
        <f>IFERROR(INDEX('Horo. M'!$S$3:S$367,MATCH(A105,'Horo. M'!$A$3:$A$367,0)),"")</f>
        <v>24</v>
      </c>
      <c r="BP105" s="422">
        <v>0</v>
      </c>
      <c r="BQ105" s="422">
        <v>0</v>
      </c>
      <c r="BR105" s="272">
        <f t="shared" si="73"/>
        <v>24</v>
      </c>
      <c r="BS105" s="300">
        <f t="shared" si="74"/>
        <v>1</v>
      </c>
      <c r="BT105" s="275">
        <f t="shared" si="75"/>
        <v>1</v>
      </c>
      <c r="BU105" s="422">
        <v>185.83</v>
      </c>
      <c r="BV105" s="272">
        <f t="shared" si="76"/>
        <v>0</v>
      </c>
      <c r="BW105" s="272">
        <f>IFERROR(INDEX('Horo. M'!$U$3:U$367,MATCH(A105,'Horo. M'!$A$3:$A$367,0)),"")</f>
        <v>24</v>
      </c>
      <c r="BX105" s="422">
        <v>0</v>
      </c>
      <c r="BY105" s="422">
        <v>0</v>
      </c>
      <c r="BZ105" s="272">
        <f t="shared" si="77"/>
        <v>24</v>
      </c>
      <c r="CA105" s="300">
        <f t="shared" si="78"/>
        <v>1</v>
      </c>
      <c r="CB105" s="275">
        <f t="shared" si="79"/>
        <v>1</v>
      </c>
      <c r="CC105" s="422">
        <v>185.75</v>
      </c>
    </row>
    <row r="106" spans="1:81">
      <c r="A106" s="279">
        <v>45031</v>
      </c>
      <c r="B106" s="278">
        <f t="shared" si="40"/>
        <v>0</v>
      </c>
      <c r="C106" s="272">
        <f>IFERROR(INDEX('Horo. M'!$C$3:$C$367,MATCH(A106,'Horo. M'!$A$3:$A$367,0)),"")</f>
        <v>24</v>
      </c>
      <c r="D106" s="422">
        <v>0</v>
      </c>
      <c r="E106" s="422">
        <v>0</v>
      </c>
      <c r="F106" s="272">
        <f t="shared" si="41"/>
        <v>24</v>
      </c>
      <c r="G106" s="274">
        <f t="shared" si="42"/>
        <v>1</v>
      </c>
      <c r="H106" s="275">
        <f t="shared" si="43"/>
        <v>1</v>
      </c>
      <c r="I106" s="422">
        <v>176.9</v>
      </c>
      <c r="J106" s="278">
        <f t="shared" si="44"/>
        <v>0</v>
      </c>
      <c r="K106" s="272">
        <f>IFERROR(INDEX('Horo. M'!$E$3:$E$367,MATCH(A106,'Horo. M'!$A$3:$A$367,0)),"")</f>
        <v>0</v>
      </c>
      <c r="L106" s="422">
        <v>24</v>
      </c>
      <c r="M106" s="422">
        <v>0</v>
      </c>
      <c r="N106" s="272">
        <f t="shared" si="45"/>
        <v>0</v>
      </c>
      <c r="O106" s="274">
        <f t="shared" si="46"/>
        <v>0</v>
      </c>
      <c r="P106" s="275">
        <f t="shared" si="47"/>
        <v>0</v>
      </c>
      <c r="Q106" s="422">
        <v>0</v>
      </c>
      <c r="R106" s="278">
        <f t="shared" si="48"/>
        <v>0</v>
      </c>
      <c r="S106" s="272">
        <f>IFERROR(INDEX('Horo. M'!G$3:$G$367,MATCH(A106,'Horo. M'!$A$3:$A$367,0)),"")</f>
        <v>24</v>
      </c>
      <c r="T106" s="422">
        <v>0</v>
      </c>
      <c r="U106" s="422">
        <v>0</v>
      </c>
      <c r="V106" s="272">
        <f t="shared" si="49"/>
        <v>24</v>
      </c>
      <c r="W106" s="274">
        <f t="shared" si="50"/>
        <v>1</v>
      </c>
      <c r="X106" s="275">
        <f t="shared" si="51"/>
        <v>1</v>
      </c>
      <c r="Y106" s="422">
        <v>177.74</v>
      </c>
      <c r="Z106" s="278">
        <f t="shared" si="52"/>
        <v>0</v>
      </c>
      <c r="AA106" s="272">
        <f>IFERROR(INDEX('Horo. M'!$I$3:I$367,MATCH(A106,'Horo. M'!$A$3:$A$367,0)),"")</f>
        <v>22</v>
      </c>
      <c r="AB106" s="422">
        <v>0</v>
      </c>
      <c r="AC106" s="422">
        <v>2</v>
      </c>
      <c r="AD106" s="272">
        <f t="shared" si="53"/>
        <v>22</v>
      </c>
      <c r="AE106" s="274">
        <f t="shared" si="54"/>
        <v>0.91666666666666663</v>
      </c>
      <c r="AF106" s="275">
        <f t="shared" si="55"/>
        <v>0.91666666666666663</v>
      </c>
      <c r="AG106" s="422">
        <v>163.13999999999999</v>
      </c>
      <c r="AH106" s="272">
        <f t="shared" si="56"/>
        <v>0</v>
      </c>
      <c r="AI106" s="272">
        <f>IFERROR(INDEX('Horo. M'!$K$3:K$367,MATCH(A106,'Horo. M'!$A$3:$A$367,0)),"")</f>
        <v>24</v>
      </c>
      <c r="AJ106" s="422">
        <v>0</v>
      </c>
      <c r="AK106" s="422">
        <v>0</v>
      </c>
      <c r="AL106" s="272">
        <f t="shared" si="57"/>
        <v>24</v>
      </c>
      <c r="AM106" s="274">
        <f t="shared" si="58"/>
        <v>1</v>
      </c>
      <c r="AN106" s="275">
        <f t="shared" si="59"/>
        <v>1</v>
      </c>
      <c r="AO106" s="422">
        <v>154.58000000000001</v>
      </c>
      <c r="AP106" s="272">
        <f t="shared" si="60"/>
        <v>0</v>
      </c>
      <c r="AQ106" s="272">
        <f>IFERROR(INDEX('Horo. M'!$M$3:M$367,MATCH(A106,'Horo. M'!$A$3:$A$367,0)),"")</f>
        <v>23</v>
      </c>
      <c r="AR106" s="422">
        <v>0</v>
      </c>
      <c r="AS106" s="422">
        <v>1</v>
      </c>
      <c r="AT106" s="272">
        <f t="shared" si="61"/>
        <v>23</v>
      </c>
      <c r="AU106" s="274">
        <f t="shared" si="62"/>
        <v>0.95833333333333337</v>
      </c>
      <c r="AV106" s="275">
        <f t="shared" si="63"/>
        <v>0.95833333333333337</v>
      </c>
      <c r="AW106" s="422">
        <v>159.27000000000001</v>
      </c>
      <c r="AX106" s="272">
        <f t="shared" si="64"/>
        <v>0</v>
      </c>
      <c r="AY106" s="272">
        <f>IFERROR(INDEX('Horo. M'!$O$3:O$367,MATCH(A106,'Horo. M'!$A$3:$A$367,0)),"")</f>
        <v>0</v>
      </c>
      <c r="AZ106" s="422">
        <v>24</v>
      </c>
      <c r="BA106" s="422">
        <v>0</v>
      </c>
      <c r="BB106" s="272">
        <f t="shared" si="65"/>
        <v>0</v>
      </c>
      <c r="BC106" s="274">
        <f t="shared" si="66"/>
        <v>0</v>
      </c>
      <c r="BD106" s="275">
        <f t="shared" si="67"/>
        <v>0</v>
      </c>
      <c r="BE106" s="422">
        <v>0</v>
      </c>
      <c r="BF106" s="272">
        <f t="shared" si="68"/>
        <v>0</v>
      </c>
      <c r="BG106" s="272">
        <f>IFERROR(INDEX('Horo. M'!$Q$3:Q$367,MATCH(A106,'Horo. M'!$A$3:$A$367,0)),"")</f>
        <v>24</v>
      </c>
      <c r="BH106" s="422">
        <v>0</v>
      </c>
      <c r="BI106" s="422">
        <v>0</v>
      </c>
      <c r="BJ106" s="272">
        <f t="shared" si="69"/>
        <v>24</v>
      </c>
      <c r="BK106" s="274">
        <f t="shared" si="70"/>
        <v>1</v>
      </c>
      <c r="BL106" s="275">
        <f t="shared" si="71"/>
        <v>1</v>
      </c>
      <c r="BM106" s="422">
        <v>174.92</v>
      </c>
      <c r="BN106" s="272">
        <f t="shared" si="72"/>
        <v>0</v>
      </c>
      <c r="BO106" s="272">
        <f>IFERROR(INDEX('Horo. M'!$S$3:S$367,MATCH(A106,'Horo. M'!$A$3:$A$367,0)),"")</f>
        <v>24</v>
      </c>
      <c r="BP106" s="422">
        <v>0</v>
      </c>
      <c r="BQ106" s="422">
        <v>0</v>
      </c>
      <c r="BR106" s="272">
        <f t="shared" si="73"/>
        <v>24</v>
      </c>
      <c r="BS106" s="274">
        <f t="shared" si="74"/>
        <v>1</v>
      </c>
      <c r="BT106" s="275">
        <f t="shared" si="75"/>
        <v>1</v>
      </c>
      <c r="BU106" s="422">
        <v>174.9</v>
      </c>
      <c r="BV106" s="272">
        <f t="shared" si="76"/>
        <v>0</v>
      </c>
      <c r="BW106" s="272">
        <f>IFERROR(INDEX('Horo. M'!$U$3:U$367,MATCH(A106,'Horo. M'!$A$3:$A$367,0)),"")</f>
        <v>24</v>
      </c>
      <c r="BX106" s="422">
        <v>0</v>
      </c>
      <c r="BY106" s="422">
        <v>0</v>
      </c>
      <c r="BZ106" s="272">
        <f t="shared" si="77"/>
        <v>24</v>
      </c>
      <c r="CA106" s="274">
        <f t="shared" si="78"/>
        <v>1</v>
      </c>
      <c r="CB106" s="275">
        <f t="shared" si="79"/>
        <v>1</v>
      </c>
      <c r="CC106" s="422">
        <v>174.28</v>
      </c>
    </row>
    <row r="107" spans="1:81">
      <c r="A107" s="279">
        <v>45032</v>
      </c>
      <c r="B107" s="278">
        <f t="shared" si="40"/>
        <v>1</v>
      </c>
      <c r="C107" s="272">
        <f>IFERROR(INDEX('Horo. M'!$C$3:$C$367,MATCH(A107,'Horo. M'!$A$3:$A$367,0)),"")</f>
        <v>23</v>
      </c>
      <c r="D107" s="422">
        <v>0</v>
      </c>
      <c r="E107" s="422">
        <v>0</v>
      </c>
      <c r="F107" s="272">
        <f t="shared" si="41"/>
        <v>24</v>
      </c>
      <c r="G107" s="274">
        <f t="shared" si="42"/>
        <v>0.95833333333333337</v>
      </c>
      <c r="H107" s="275">
        <f t="shared" si="43"/>
        <v>1</v>
      </c>
      <c r="I107" s="422">
        <v>161.80000000000001</v>
      </c>
      <c r="J107" s="278">
        <f t="shared" si="44"/>
        <v>0</v>
      </c>
      <c r="K107" s="272">
        <f>IFERROR(INDEX('Horo. M'!$E$3:$E$367,MATCH(A107,'Horo. M'!$A$3:$A$367,0)),"")</f>
        <v>0</v>
      </c>
      <c r="L107" s="422">
        <v>24</v>
      </c>
      <c r="M107" s="422">
        <v>0</v>
      </c>
      <c r="N107" s="272">
        <f t="shared" si="45"/>
        <v>0</v>
      </c>
      <c r="O107" s="274">
        <f t="shared" si="46"/>
        <v>0</v>
      </c>
      <c r="P107" s="275">
        <f t="shared" si="47"/>
        <v>0</v>
      </c>
      <c r="Q107" s="422">
        <v>0</v>
      </c>
      <c r="R107" s="278">
        <f t="shared" si="48"/>
        <v>0</v>
      </c>
      <c r="S107" s="272">
        <f>IFERROR(INDEX('Horo. M'!G$3:$G$367,MATCH(A107,'Horo. M'!$A$3:$A$367,0)),"")</f>
        <v>24</v>
      </c>
      <c r="T107" s="422">
        <v>0</v>
      </c>
      <c r="U107" s="422">
        <v>0</v>
      </c>
      <c r="V107" s="272">
        <f t="shared" si="49"/>
        <v>24</v>
      </c>
      <c r="W107" s="274">
        <f t="shared" si="50"/>
        <v>1</v>
      </c>
      <c r="X107" s="275">
        <f t="shared" si="51"/>
        <v>1</v>
      </c>
      <c r="Y107" s="422">
        <v>165.81</v>
      </c>
      <c r="Z107" s="278">
        <f t="shared" si="52"/>
        <v>0</v>
      </c>
      <c r="AA107" s="272">
        <f>IFERROR(INDEX('Horo. M'!$I$3:I$367,MATCH(A107,'Horo. M'!$A$3:$A$367,0)),"")</f>
        <v>24</v>
      </c>
      <c r="AB107" s="422">
        <v>0</v>
      </c>
      <c r="AC107" s="422">
        <v>0</v>
      </c>
      <c r="AD107" s="272">
        <f t="shared" si="53"/>
        <v>24</v>
      </c>
      <c r="AE107" s="274">
        <f t="shared" si="54"/>
        <v>1</v>
      </c>
      <c r="AF107" s="275">
        <f t="shared" si="55"/>
        <v>1</v>
      </c>
      <c r="AG107" s="422">
        <v>163.63</v>
      </c>
      <c r="AH107" s="272">
        <f t="shared" si="56"/>
        <v>22</v>
      </c>
      <c r="AI107" s="272">
        <f>IFERROR(INDEX('Horo. M'!$K$3:K$367,MATCH(A107,'Horo. M'!$A$3:$A$367,0)),"")</f>
        <v>0</v>
      </c>
      <c r="AJ107" s="422">
        <v>0</v>
      </c>
      <c r="AK107" s="422">
        <v>2</v>
      </c>
      <c r="AL107" s="272">
        <f t="shared" si="57"/>
        <v>22</v>
      </c>
      <c r="AM107" s="274">
        <f t="shared" si="58"/>
        <v>0</v>
      </c>
      <c r="AN107" s="275">
        <f t="shared" si="59"/>
        <v>0.91666666666666663</v>
      </c>
      <c r="AO107" s="422">
        <v>0.03</v>
      </c>
      <c r="AP107" s="272">
        <f t="shared" si="60"/>
        <v>0</v>
      </c>
      <c r="AQ107" s="272">
        <f>IFERROR(INDEX('Horo. M'!$M$3:M$367,MATCH(A107,'Horo. M'!$A$3:$A$367,0)),"")</f>
        <v>24</v>
      </c>
      <c r="AR107" s="422">
        <v>0</v>
      </c>
      <c r="AS107" s="422">
        <v>0</v>
      </c>
      <c r="AT107" s="272">
        <f t="shared" si="61"/>
        <v>24</v>
      </c>
      <c r="AU107" s="274">
        <f t="shared" si="62"/>
        <v>1</v>
      </c>
      <c r="AV107" s="275">
        <f t="shared" si="63"/>
        <v>1</v>
      </c>
      <c r="AW107" s="422">
        <v>156.94999999999999</v>
      </c>
      <c r="AX107" s="272">
        <f t="shared" si="64"/>
        <v>0</v>
      </c>
      <c r="AY107" s="272">
        <f>IFERROR(INDEX('Horo. M'!$O$3:O$367,MATCH(A107,'Horo. M'!$A$3:$A$367,0)),"")</f>
        <v>0</v>
      </c>
      <c r="AZ107" s="422">
        <v>24</v>
      </c>
      <c r="BA107" s="422">
        <v>0</v>
      </c>
      <c r="BB107" s="272">
        <f t="shared" si="65"/>
        <v>0</v>
      </c>
      <c r="BC107" s="274">
        <f t="shared" si="66"/>
        <v>0</v>
      </c>
      <c r="BD107" s="275">
        <f t="shared" si="67"/>
        <v>0</v>
      </c>
      <c r="BE107" s="422">
        <v>0</v>
      </c>
      <c r="BF107" s="272">
        <f t="shared" si="68"/>
        <v>0</v>
      </c>
      <c r="BG107" s="272">
        <f>IFERROR(INDEX('Horo. M'!$Q$3:Q$367,MATCH(A107,'Horo. M'!$A$3:$A$367,0)),"")</f>
        <v>24</v>
      </c>
      <c r="BH107" s="422">
        <v>0</v>
      </c>
      <c r="BI107" s="422">
        <v>0</v>
      </c>
      <c r="BJ107" s="272">
        <f t="shared" si="69"/>
        <v>24</v>
      </c>
      <c r="BK107" s="274">
        <f t="shared" si="70"/>
        <v>1</v>
      </c>
      <c r="BL107" s="275">
        <f t="shared" si="71"/>
        <v>1</v>
      </c>
      <c r="BM107" s="422">
        <v>165.33</v>
      </c>
      <c r="BN107" s="272">
        <f t="shared" si="72"/>
        <v>0</v>
      </c>
      <c r="BO107" s="272">
        <f>IFERROR(INDEX('Horo. M'!$S$3:S$367,MATCH(A107,'Horo. M'!$A$3:$A$367,0)),"")</f>
        <v>24</v>
      </c>
      <c r="BP107" s="422">
        <v>0</v>
      </c>
      <c r="BQ107" s="422">
        <v>0</v>
      </c>
      <c r="BR107" s="272">
        <f t="shared" si="73"/>
        <v>24</v>
      </c>
      <c r="BS107" s="274">
        <f t="shared" si="74"/>
        <v>1</v>
      </c>
      <c r="BT107" s="275">
        <f t="shared" si="75"/>
        <v>1</v>
      </c>
      <c r="BU107" s="422">
        <v>163.19</v>
      </c>
      <c r="BV107" s="272">
        <f t="shared" si="76"/>
        <v>0</v>
      </c>
      <c r="BW107" s="272">
        <f>IFERROR(INDEX('Horo. M'!$U$3:U$367,MATCH(A107,'Horo. M'!$A$3:$A$367,0)),"")</f>
        <v>24</v>
      </c>
      <c r="BX107" s="422">
        <v>0</v>
      </c>
      <c r="BY107" s="422">
        <v>0</v>
      </c>
      <c r="BZ107" s="272">
        <f t="shared" si="77"/>
        <v>24</v>
      </c>
      <c r="CA107" s="274">
        <f t="shared" si="78"/>
        <v>1</v>
      </c>
      <c r="CB107" s="275">
        <f t="shared" si="79"/>
        <v>1</v>
      </c>
      <c r="CC107" s="422">
        <v>166.18</v>
      </c>
    </row>
    <row r="108" spans="1:81">
      <c r="A108" s="279">
        <v>45033</v>
      </c>
      <c r="B108" s="278">
        <f t="shared" si="40"/>
        <v>0</v>
      </c>
      <c r="C108" s="272">
        <f>IFERROR(INDEX('Horo. M'!$C$3:$C$367,MATCH(A108,'Horo. M'!$A$3:$A$367,0)),"")</f>
        <v>24</v>
      </c>
      <c r="D108" s="422">
        <v>0</v>
      </c>
      <c r="E108" s="422">
        <v>0</v>
      </c>
      <c r="F108" s="272">
        <f t="shared" si="41"/>
        <v>24</v>
      </c>
      <c r="G108" s="300">
        <f t="shared" si="42"/>
        <v>1</v>
      </c>
      <c r="H108" s="275">
        <f t="shared" si="43"/>
        <v>1</v>
      </c>
      <c r="I108" s="422">
        <v>178.9</v>
      </c>
      <c r="J108" s="278">
        <f t="shared" si="44"/>
        <v>0</v>
      </c>
      <c r="K108" s="272">
        <f>IFERROR(INDEX('Horo. M'!$E$3:$E$367,MATCH(A108,'Horo. M'!$A$3:$A$367,0)),"")</f>
        <v>0</v>
      </c>
      <c r="L108" s="422">
        <v>24</v>
      </c>
      <c r="M108" s="422">
        <v>0</v>
      </c>
      <c r="N108" s="272">
        <f t="shared" si="45"/>
        <v>0</v>
      </c>
      <c r="O108" s="300">
        <f t="shared" si="46"/>
        <v>0</v>
      </c>
      <c r="P108" s="275">
        <f t="shared" si="47"/>
        <v>0</v>
      </c>
      <c r="Q108" s="422">
        <v>0</v>
      </c>
      <c r="R108" s="278">
        <f t="shared" si="48"/>
        <v>0</v>
      </c>
      <c r="S108" s="272">
        <f>IFERROR(INDEX('Horo. M'!G$3:$G$367,MATCH(A108,'Horo. M'!$A$3:$A$367,0)),"")</f>
        <v>24</v>
      </c>
      <c r="T108" s="422">
        <v>0</v>
      </c>
      <c r="U108" s="422">
        <v>0</v>
      </c>
      <c r="V108" s="272">
        <f t="shared" si="49"/>
        <v>24</v>
      </c>
      <c r="W108" s="300">
        <f t="shared" si="50"/>
        <v>1</v>
      </c>
      <c r="X108" s="275">
        <f t="shared" si="51"/>
        <v>1</v>
      </c>
      <c r="Y108" s="422">
        <v>180.72</v>
      </c>
      <c r="Z108" s="278">
        <f t="shared" si="52"/>
        <v>0</v>
      </c>
      <c r="AA108" s="272">
        <f>IFERROR(INDEX('Horo. M'!$I$3:I$367,MATCH(A108,'Horo. M'!$A$3:$A$367,0)),"")</f>
        <v>24</v>
      </c>
      <c r="AB108" s="422">
        <v>0</v>
      </c>
      <c r="AC108" s="422">
        <v>0</v>
      </c>
      <c r="AD108" s="272">
        <f t="shared" si="53"/>
        <v>24</v>
      </c>
      <c r="AE108" s="300">
        <f t="shared" si="54"/>
        <v>1</v>
      </c>
      <c r="AF108" s="275">
        <f t="shared" si="55"/>
        <v>1</v>
      </c>
      <c r="AG108" s="422">
        <v>177.84</v>
      </c>
      <c r="AH108" s="272">
        <f t="shared" si="56"/>
        <v>1</v>
      </c>
      <c r="AI108" s="272">
        <f>IFERROR(INDEX('Horo. M'!$K$3:K$367,MATCH(A108,'Horo. M'!$A$3:$A$367,0)),"")</f>
        <v>23</v>
      </c>
      <c r="AJ108" s="422">
        <v>0</v>
      </c>
      <c r="AK108" s="422">
        <v>0</v>
      </c>
      <c r="AL108" s="272">
        <f t="shared" si="57"/>
        <v>24</v>
      </c>
      <c r="AM108" s="300">
        <f t="shared" si="58"/>
        <v>0.95833333333333337</v>
      </c>
      <c r="AN108" s="275">
        <f t="shared" si="59"/>
        <v>1</v>
      </c>
      <c r="AO108" s="422">
        <v>136.66999999999999</v>
      </c>
      <c r="AP108" s="272">
        <f t="shared" si="60"/>
        <v>0</v>
      </c>
      <c r="AQ108" s="272">
        <f>IFERROR(INDEX('Horo. M'!$M$3:M$367,MATCH(A108,'Horo. M'!$A$3:$A$367,0)),"")</f>
        <v>21</v>
      </c>
      <c r="AR108" s="422">
        <v>3</v>
      </c>
      <c r="AS108" s="422">
        <v>0</v>
      </c>
      <c r="AT108" s="272">
        <f t="shared" si="61"/>
        <v>21</v>
      </c>
      <c r="AU108" s="300">
        <f t="shared" si="62"/>
        <v>0.875</v>
      </c>
      <c r="AV108" s="275">
        <f t="shared" si="63"/>
        <v>0.875</v>
      </c>
      <c r="AW108" s="422">
        <v>152.66</v>
      </c>
      <c r="AX108" s="272">
        <f t="shared" si="64"/>
        <v>0</v>
      </c>
      <c r="AY108" s="272">
        <f>IFERROR(INDEX('Horo. M'!$O$3:O$367,MATCH(A108,'Horo. M'!$A$3:$A$367,0)),"")</f>
        <v>0</v>
      </c>
      <c r="AZ108" s="422">
        <v>24</v>
      </c>
      <c r="BA108" s="422">
        <v>0</v>
      </c>
      <c r="BB108" s="272">
        <f t="shared" si="65"/>
        <v>0</v>
      </c>
      <c r="BC108" s="300">
        <f t="shared" si="66"/>
        <v>0</v>
      </c>
      <c r="BD108" s="275">
        <f t="shared" si="67"/>
        <v>0</v>
      </c>
      <c r="BE108" s="422">
        <v>0</v>
      </c>
      <c r="BF108" s="272">
        <f t="shared" si="68"/>
        <v>0</v>
      </c>
      <c r="BG108" s="272">
        <f>IFERROR(INDEX('Horo. M'!$Q$3:Q$367,MATCH(A108,'Horo. M'!$A$3:$A$367,0)),"")</f>
        <v>24</v>
      </c>
      <c r="BH108" s="422">
        <v>0</v>
      </c>
      <c r="BI108" s="422">
        <v>0</v>
      </c>
      <c r="BJ108" s="272">
        <f t="shared" si="69"/>
        <v>24</v>
      </c>
      <c r="BK108" s="300">
        <f t="shared" si="70"/>
        <v>1</v>
      </c>
      <c r="BL108" s="275">
        <f t="shared" si="71"/>
        <v>1</v>
      </c>
      <c r="BM108" s="422">
        <v>182.69</v>
      </c>
      <c r="BN108" s="272">
        <f t="shared" si="72"/>
        <v>0</v>
      </c>
      <c r="BO108" s="272">
        <f>IFERROR(INDEX('Horo. M'!$S$3:S$367,MATCH(A108,'Horo. M'!$A$3:$A$367,0)),"")</f>
        <v>24</v>
      </c>
      <c r="BP108" s="422">
        <v>0</v>
      </c>
      <c r="BQ108" s="422">
        <v>0</v>
      </c>
      <c r="BR108" s="272">
        <f t="shared" si="73"/>
        <v>24</v>
      </c>
      <c r="BS108" s="300">
        <f t="shared" si="74"/>
        <v>1</v>
      </c>
      <c r="BT108" s="275">
        <f t="shared" si="75"/>
        <v>1</v>
      </c>
      <c r="BU108" s="422">
        <v>183</v>
      </c>
      <c r="BV108" s="272">
        <f t="shared" si="76"/>
        <v>0</v>
      </c>
      <c r="BW108" s="272">
        <f>IFERROR(INDEX('Horo. M'!$U$3:U$367,MATCH(A108,'Horo. M'!$A$3:$A$367,0)),"")</f>
        <v>24</v>
      </c>
      <c r="BX108" s="422">
        <v>0</v>
      </c>
      <c r="BY108" s="422">
        <v>0</v>
      </c>
      <c r="BZ108" s="272">
        <f t="shared" si="77"/>
        <v>24</v>
      </c>
      <c r="CA108" s="300">
        <f t="shared" si="78"/>
        <v>1</v>
      </c>
      <c r="CB108" s="275">
        <f t="shared" si="79"/>
        <v>1</v>
      </c>
      <c r="CC108" s="422">
        <v>183.87</v>
      </c>
    </row>
    <row r="109" spans="1:81">
      <c r="A109" s="279">
        <v>45034</v>
      </c>
      <c r="B109" s="278">
        <f t="shared" si="40"/>
        <v>0</v>
      </c>
      <c r="C109" s="272">
        <f>IFERROR(INDEX('Horo. M'!$C$3:$C$367,MATCH(A109,'Horo. M'!$A$3:$A$367,0)),"")</f>
        <v>24</v>
      </c>
      <c r="D109" s="422">
        <v>0</v>
      </c>
      <c r="E109" s="422">
        <v>0</v>
      </c>
      <c r="F109" s="272">
        <f t="shared" si="41"/>
        <v>24</v>
      </c>
      <c r="G109" s="274">
        <f t="shared" si="42"/>
        <v>1</v>
      </c>
      <c r="H109" s="275">
        <f t="shared" si="43"/>
        <v>1</v>
      </c>
      <c r="I109" s="422">
        <v>175.6</v>
      </c>
      <c r="J109" s="278">
        <f t="shared" si="44"/>
        <v>0</v>
      </c>
      <c r="K109" s="272">
        <f>IFERROR(INDEX('Horo. M'!$E$3:$E$367,MATCH(A109,'Horo. M'!$A$3:$A$367,0)),"")</f>
        <v>0</v>
      </c>
      <c r="L109" s="422">
        <v>24</v>
      </c>
      <c r="M109" s="422">
        <v>0</v>
      </c>
      <c r="N109" s="272">
        <f t="shared" si="45"/>
        <v>0</v>
      </c>
      <c r="O109" s="274">
        <f t="shared" si="46"/>
        <v>0</v>
      </c>
      <c r="P109" s="275">
        <f t="shared" si="47"/>
        <v>0</v>
      </c>
      <c r="Q109" s="422">
        <v>0</v>
      </c>
      <c r="R109" s="278">
        <f t="shared" si="48"/>
        <v>0</v>
      </c>
      <c r="S109" s="272">
        <f>IFERROR(INDEX('Horo. M'!G$3:$G$367,MATCH(A109,'Horo. M'!$A$3:$A$367,0)),"")</f>
        <v>24</v>
      </c>
      <c r="T109" s="422">
        <v>0</v>
      </c>
      <c r="U109" s="422">
        <v>0</v>
      </c>
      <c r="V109" s="272">
        <f t="shared" si="49"/>
        <v>24</v>
      </c>
      <c r="W109" s="274">
        <f t="shared" si="50"/>
        <v>1</v>
      </c>
      <c r="X109" s="275">
        <f t="shared" si="51"/>
        <v>1</v>
      </c>
      <c r="Y109" s="422">
        <v>177.3</v>
      </c>
      <c r="Z109" s="278">
        <f t="shared" si="52"/>
        <v>0</v>
      </c>
      <c r="AA109" s="272">
        <f>IFERROR(INDEX('Horo. M'!$I$3:I$367,MATCH(A109,'Horo. M'!$A$3:$A$367,0)),"")</f>
        <v>24</v>
      </c>
      <c r="AB109" s="422">
        <v>0</v>
      </c>
      <c r="AC109" s="422">
        <v>0</v>
      </c>
      <c r="AD109" s="272">
        <f t="shared" si="53"/>
        <v>24</v>
      </c>
      <c r="AE109" s="274">
        <f t="shared" si="54"/>
        <v>1</v>
      </c>
      <c r="AF109" s="275">
        <f t="shared" si="55"/>
        <v>1</v>
      </c>
      <c r="AG109" s="422">
        <v>174.17</v>
      </c>
      <c r="AH109" s="272">
        <f t="shared" si="56"/>
        <v>0</v>
      </c>
      <c r="AI109" s="272">
        <f>IFERROR(INDEX('Horo. M'!$K$3:K$367,MATCH(A109,'Horo. M'!$A$3:$A$367,0)),"")</f>
        <v>24</v>
      </c>
      <c r="AJ109" s="422">
        <v>0</v>
      </c>
      <c r="AK109" s="422">
        <v>0</v>
      </c>
      <c r="AL109" s="272">
        <f t="shared" si="57"/>
        <v>24</v>
      </c>
      <c r="AM109" s="274">
        <f t="shared" si="58"/>
        <v>1</v>
      </c>
      <c r="AN109" s="275">
        <f t="shared" si="59"/>
        <v>1</v>
      </c>
      <c r="AO109" s="422">
        <v>163.22999999999999</v>
      </c>
      <c r="AP109" s="272">
        <f t="shared" si="60"/>
        <v>0</v>
      </c>
      <c r="AQ109" s="272">
        <f>IFERROR(INDEX('Horo. M'!$M$3:M$367,MATCH(A109,'Horo. M'!$A$3:$A$367,0)),"")</f>
        <v>24</v>
      </c>
      <c r="AR109" s="422">
        <v>0</v>
      </c>
      <c r="AS109" s="422">
        <v>0</v>
      </c>
      <c r="AT109" s="272">
        <f t="shared" si="61"/>
        <v>24</v>
      </c>
      <c r="AU109" s="274">
        <f t="shared" si="62"/>
        <v>1</v>
      </c>
      <c r="AV109" s="275">
        <f t="shared" si="63"/>
        <v>1</v>
      </c>
      <c r="AW109" s="422">
        <v>174.97</v>
      </c>
      <c r="AX109" s="272">
        <f t="shared" si="64"/>
        <v>0</v>
      </c>
      <c r="AY109" s="272">
        <f>IFERROR(INDEX('Horo. M'!$O$3:O$367,MATCH(A109,'Horo. M'!$A$3:$A$367,0)),"")</f>
        <v>0</v>
      </c>
      <c r="AZ109" s="422">
        <v>24</v>
      </c>
      <c r="BA109" s="422">
        <v>0</v>
      </c>
      <c r="BB109" s="272">
        <f t="shared" si="65"/>
        <v>0</v>
      </c>
      <c r="BC109" s="274">
        <f t="shared" si="66"/>
        <v>0</v>
      </c>
      <c r="BD109" s="275">
        <f t="shared" si="67"/>
        <v>0</v>
      </c>
      <c r="BE109" s="422">
        <v>0</v>
      </c>
      <c r="BF109" s="272">
        <f t="shared" si="68"/>
        <v>0</v>
      </c>
      <c r="BG109" s="272">
        <f>IFERROR(INDEX('Horo. M'!$Q$3:Q$367,MATCH(A109,'Horo. M'!$A$3:$A$367,0)),"")</f>
        <v>22</v>
      </c>
      <c r="BH109" s="422">
        <v>0</v>
      </c>
      <c r="BI109" s="422">
        <v>2</v>
      </c>
      <c r="BJ109" s="272">
        <f t="shared" si="69"/>
        <v>22</v>
      </c>
      <c r="BK109" s="274">
        <f t="shared" si="70"/>
        <v>0.91666666666666663</v>
      </c>
      <c r="BL109" s="275">
        <f t="shared" si="71"/>
        <v>0.91666666666666663</v>
      </c>
      <c r="BM109" s="422">
        <v>161.69999999999999</v>
      </c>
      <c r="BN109" s="272">
        <f t="shared" si="72"/>
        <v>0</v>
      </c>
      <c r="BO109" s="272">
        <f>IFERROR(INDEX('Horo. M'!$S$3:S$367,MATCH(A109,'Horo. M'!$A$3:$A$367,0)),"")</f>
        <v>24</v>
      </c>
      <c r="BP109" s="422">
        <v>0</v>
      </c>
      <c r="BQ109" s="422">
        <v>0</v>
      </c>
      <c r="BR109" s="272">
        <f t="shared" si="73"/>
        <v>24</v>
      </c>
      <c r="BS109" s="274">
        <f t="shared" si="74"/>
        <v>1</v>
      </c>
      <c r="BT109" s="275">
        <f t="shared" si="75"/>
        <v>1</v>
      </c>
      <c r="BU109" s="422">
        <v>180.28</v>
      </c>
      <c r="BV109" s="272">
        <f t="shared" si="76"/>
        <v>0</v>
      </c>
      <c r="BW109" s="272">
        <f>IFERROR(INDEX('Horo. M'!$U$3:U$367,MATCH(A109,'Horo. M'!$A$3:$A$367,0)),"")</f>
        <v>24</v>
      </c>
      <c r="BX109" s="422">
        <v>0</v>
      </c>
      <c r="BY109" s="422">
        <v>0</v>
      </c>
      <c r="BZ109" s="272">
        <f t="shared" si="77"/>
        <v>24</v>
      </c>
      <c r="CA109" s="274">
        <f t="shared" si="78"/>
        <v>1</v>
      </c>
      <c r="CB109" s="275">
        <f t="shared" si="79"/>
        <v>1</v>
      </c>
      <c r="CC109" s="422">
        <v>180.48</v>
      </c>
    </row>
    <row r="110" spans="1:81">
      <c r="A110" s="279">
        <v>45035</v>
      </c>
      <c r="B110" s="278">
        <f t="shared" si="40"/>
        <v>0</v>
      </c>
      <c r="C110" s="272">
        <f>IFERROR(INDEX('Horo. M'!$C$3:$C$367,MATCH(A110,'Horo. M'!$A$3:$A$367,0)),"")</f>
        <v>24</v>
      </c>
      <c r="D110" s="422">
        <v>0</v>
      </c>
      <c r="E110" s="422">
        <v>0</v>
      </c>
      <c r="F110" s="272">
        <f t="shared" si="41"/>
        <v>24</v>
      </c>
      <c r="G110" s="300">
        <f t="shared" si="42"/>
        <v>1</v>
      </c>
      <c r="H110" s="275">
        <f t="shared" si="43"/>
        <v>1</v>
      </c>
      <c r="I110" s="422">
        <v>173.9</v>
      </c>
      <c r="J110" s="278">
        <f t="shared" si="44"/>
        <v>0</v>
      </c>
      <c r="K110" s="272">
        <f>IFERROR(INDEX('Horo. M'!$E$3:$E$367,MATCH(A110,'Horo. M'!$A$3:$A$367,0)),"")</f>
        <v>0</v>
      </c>
      <c r="L110" s="422">
        <v>24</v>
      </c>
      <c r="M110" s="422">
        <v>0</v>
      </c>
      <c r="N110" s="272">
        <f t="shared" si="45"/>
        <v>0</v>
      </c>
      <c r="O110" s="300">
        <f t="shared" si="46"/>
        <v>0</v>
      </c>
      <c r="P110" s="275">
        <f t="shared" si="47"/>
        <v>0</v>
      </c>
      <c r="Q110" s="422">
        <v>0</v>
      </c>
      <c r="R110" s="278">
        <f t="shared" si="48"/>
        <v>0</v>
      </c>
      <c r="S110" s="272">
        <f>IFERROR(INDEX('Horo. M'!G$3:$G$367,MATCH(A110,'Horo. M'!$A$3:$A$367,0)),"")</f>
        <v>24</v>
      </c>
      <c r="T110" s="422">
        <v>0</v>
      </c>
      <c r="U110" s="422">
        <v>0</v>
      </c>
      <c r="V110" s="272">
        <f t="shared" si="49"/>
        <v>24</v>
      </c>
      <c r="W110" s="300">
        <f t="shared" si="50"/>
        <v>1</v>
      </c>
      <c r="X110" s="275">
        <f t="shared" si="51"/>
        <v>1</v>
      </c>
      <c r="Y110" s="422">
        <v>174.78</v>
      </c>
      <c r="Z110" s="278">
        <f t="shared" si="52"/>
        <v>0</v>
      </c>
      <c r="AA110" s="272">
        <f>IFERROR(INDEX('Horo. M'!$I$3:I$367,MATCH(A110,'Horo. M'!$A$3:$A$367,0)),"")</f>
        <v>24</v>
      </c>
      <c r="AB110" s="422">
        <v>0</v>
      </c>
      <c r="AC110" s="422">
        <v>0</v>
      </c>
      <c r="AD110" s="272">
        <f t="shared" si="53"/>
        <v>24</v>
      </c>
      <c r="AE110" s="300">
        <f t="shared" si="54"/>
        <v>1</v>
      </c>
      <c r="AF110" s="275">
        <f t="shared" si="55"/>
        <v>1</v>
      </c>
      <c r="AG110" s="422">
        <v>176.3</v>
      </c>
      <c r="AH110" s="272">
        <f t="shared" si="56"/>
        <v>0</v>
      </c>
      <c r="AI110" s="272">
        <f>IFERROR(INDEX('Horo. M'!$K$3:K$367,MATCH(A110,'Horo. M'!$A$3:$A$367,0)),"")</f>
        <v>22</v>
      </c>
      <c r="AJ110" s="422">
        <v>0</v>
      </c>
      <c r="AK110" s="422">
        <v>2</v>
      </c>
      <c r="AL110" s="272">
        <f t="shared" si="57"/>
        <v>22</v>
      </c>
      <c r="AM110" s="300">
        <f t="shared" si="58"/>
        <v>0.91666666666666663</v>
      </c>
      <c r="AN110" s="275">
        <f t="shared" si="59"/>
        <v>0.91666666666666663</v>
      </c>
      <c r="AO110" s="422">
        <v>144.85</v>
      </c>
      <c r="AP110" s="272">
        <f t="shared" si="60"/>
        <v>0</v>
      </c>
      <c r="AQ110" s="272">
        <f>IFERROR(INDEX('Horo. M'!$M$3:M$367,MATCH(A110,'Horo. M'!$A$3:$A$367,0)),"")</f>
        <v>23</v>
      </c>
      <c r="AR110" s="422">
        <v>0</v>
      </c>
      <c r="AS110" s="422">
        <v>1</v>
      </c>
      <c r="AT110" s="272">
        <f t="shared" si="61"/>
        <v>23</v>
      </c>
      <c r="AU110" s="300">
        <f t="shared" si="62"/>
        <v>0.95833333333333337</v>
      </c>
      <c r="AV110" s="275">
        <f t="shared" si="63"/>
        <v>0.95833333333333337</v>
      </c>
      <c r="AW110" s="422">
        <v>166.25</v>
      </c>
      <c r="AX110" s="272">
        <f t="shared" si="64"/>
        <v>0</v>
      </c>
      <c r="AY110" s="272">
        <f>IFERROR(INDEX('Horo. M'!$O$3:O$367,MATCH(A110,'Horo. M'!$A$3:$A$367,0)),"")</f>
        <v>0</v>
      </c>
      <c r="AZ110" s="422">
        <v>24</v>
      </c>
      <c r="BA110" s="422">
        <v>0</v>
      </c>
      <c r="BB110" s="272">
        <f t="shared" si="65"/>
        <v>0</v>
      </c>
      <c r="BC110" s="300">
        <f t="shared" si="66"/>
        <v>0</v>
      </c>
      <c r="BD110" s="275">
        <f t="shared" si="67"/>
        <v>0</v>
      </c>
      <c r="BE110" s="422">
        <v>0</v>
      </c>
      <c r="BF110" s="272">
        <f t="shared" si="68"/>
        <v>0</v>
      </c>
      <c r="BG110" s="272">
        <f>IFERROR(INDEX('Horo. M'!$Q$3:Q$367,MATCH(A110,'Horo. M'!$A$3:$A$367,0)),"")</f>
        <v>24</v>
      </c>
      <c r="BH110" s="422">
        <v>0</v>
      </c>
      <c r="BI110" s="422">
        <v>0</v>
      </c>
      <c r="BJ110" s="272">
        <f t="shared" si="69"/>
        <v>24</v>
      </c>
      <c r="BK110" s="300">
        <f t="shared" si="70"/>
        <v>1</v>
      </c>
      <c r="BL110" s="275">
        <f t="shared" si="71"/>
        <v>1</v>
      </c>
      <c r="BM110" s="422">
        <v>176.35</v>
      </c>
      <c r="BN110" s="272">
        <f t="shared" si="72"/>
        <v>0</v>
      </c>
      <c r="BO110" s="272">
        <f>IFERROR(INDEX('Horo. M'!$S$3:S$367,MATCH(A110,'Horo. M'!$A$3:$A$367,0)),"")</f>
        <v>24</v>
      </c>
      <c r="BP110" s="422">
        <v>0</v>
      </c>
      <c r="BQ110" s="422">
        <v>0</v>
      </c>
      <c r="BR110" s="272">
        <f t="shared" si="73"/>
        <v>24</v>
      </c>
      <c r="BS110" s="300">
        <f t="shared" si="74"/>
        <v>1</v>
      </c>
      <c r="BT110" s="275">
        <f t="shared" si="75"/>
        <v>1</v>
      </c>
      <c r="BU110" s="422">
        <v>179.56</v>
      </c>
      <c r="BV110" s="272">
        <f t="shared" si="76"/>
        <v>0</v>
      </c>
      <c r="BW110" s="272">
        <f>IFERROR(INDEX('Horo. M'!$U$3:U$367,MATCH(A110,'Horo. M'!$A$3:$A$367,0)),"")</f>
        <v>24</v>
      </c>
      <c r="BX110" s="422">
        <v>0</v>
      </c>
      <c r="BY110" s="422">
        <v>0</v>
      </c>
      <c r="BZ110" s="272">
        <f t="shared" si="77"/>
        <v>24</v>
      </c>
      <c r="CA110" s="300">
        <f t="shared" si="78"/>
        <v>1</v>
      </c>
      <c r="CB110" s="275">
        <f t="shared" si="79"/>
        <v>1</v>
      </c>
      <c r="CC110" s="422">
        <v>179.76</v>
      </c>
    </row>
    <row r="111" spans="1:81">
      <c r="A111" s="279">
        <v>45036</v>
      </c>
      <c r="B111" s="278">
        <f t="shared" si="40"/>
        <v>0</v>
      </c>
      <c r="C111" s="272">
        <f>IFERROR(INDEX('Horo. M'!$C$3:$C$367,MATCH(A111,'Horo. M'!$A$3:$A$367,0)),"")</f>
        <v>24</v>
      </c>
      <c r="D111" s="422">
        <v>0</v>
      </c>
      <c r="E111" s="422">
        <v>0</v>
      </c>
      <c r="F111" s="272">
        <f t="shared" si="41"/>
        <v>24</v>
      </c>
      <c r="G111" s="274">
        <f t="shared" si="42"/>
        <v>1</v>
      </c>
      <c r="H111" s="275">
        <f t="shared" si="43"/>
        <v>1</v>
      </c>
      <c r="I111" s="422">
        <v>172.3</v>
      </c>
      <c r="J111" s="278">
        <f t="shared" si="44"/>
        <v>0</v>
      </c>
      <c r="K111" s="272">
        <f>IFERROR(INDEX('Horo. M'!$E$3:$E$367,MATCH(A111,'Horo. M'!$A$3:$A$367,0)),"")</f>
        <v>0</v>
      </c>
      <c r="L111" s="422">
        <v>24</v>
      </c>
      <c r="M111" s="422">
        <v>0</v>
      </c>
      <c r="N111" s="272">
        <f t="shared" si="45"/>
        <v>0</v>
      </c>
      <c r="O111" s="274">
        <f t="shared" si="46"/>
        <v>0</v>
      </c>
      <c r="P111" s="275">
        <f t="shared" si="47"/>
        <v>0</v>
      </c>
      <c r="Q111" s="422">
        <v>0</v>
      </c>
      <c r="R111" s="278">
        <f t="shared" si="48"/>
        <v>0</v>
      </c>
      <c r="S111" s="272">
        <f>IFERROR(INDEX('Horo. M'!G$3:$G$367,MATCH(A111,'Horo. M'!$A$3:$A$367,0)),"")</f>
        <v>24</v>
      </c>
      <c r="T111" s="422">
        <v>0</v>
      </c>
      <c r="U111" s="422">
        <v>0</v>
      </c>
      <c r="V111" s="272">
        <f t="shared" si="49"/>
        <v>24</v>
      </c>
      <c r="W111" s="274">
        <f t="shared" si="50"/>
        <v>1</v>
      </c>
      <c r="X111" s="275">
        <f t="shared" si="51"/>
        <v>1</v>
      </c>
      <c r="Y111" s="422">
        <v>174</v>
      </c>
      <c r="Z111" s="278">
        <f t="shared" si="52"/>
        <v>0</v>
      </c>
      <c r="AA111" s="272">
        <f>IFERROR(INDEX('Horo. M'!$I$3:I$367,MATCH(A111,'Horo. M'!$A$3:$A$367,0)),"")</f>
        <v>24</v>
      </c>
      <c r="AB111" s="422">
        <v>0</v>
      </c>
      <c r="AC111" s="422">
        <v>0</v>
      </c>
      <c r="AD111" s="272">
        <f t="shared" si="53"/>
        <v>24</v>
      </c>
      <c r="AE111" s="274">
        <f t="shared" si="54"/>
        <v>1</v>
      </c>
      <c r="AF111" s="275">
        <f t="shared" si="55"/>
        <v>1</v>
      </c>
      <c r="AG111" s="422">
        <v>174.42</v>
      </c>
      <c r="AH111" s="272">
        <f t="shared" si="56"/>
        <v>0</v>
      </c>
      <c r="AI111" s="272">
        <f>IFERROR(INDEX('Horo. M'!$K$3:K$367,MATCH(A111,'Horo. M'!$A$3:$A$367,0)),"")</f>
        <v>24</v>
      </c>
      <c r="AJ111" s="422">
        <v>0</v>
      </c>
      <c r="AK111" s="422">
        <v>0</v>
      </c>
      <c r="AL111" s="272">
        <f t="shared" si="57"/>
        <v>24</v>
      </c>
      <c r="AM111" s="274">
        <f t="shared" si="58"/>
        <v>1</v>
      </c>
      <c r="AN111" s="275">
        <f t="shared" si="59"/>
        <v>1</v>
      </c>
      <c r="AO111" s="422">
        <v>169.39</v>
      </c>
      <c r="AP111" s="272">
        <f t="shared" si="60"/>
        <v>0</v>
      </c>
      <c r="AQ111" s="272">
        <f>IFERROR(INDEX('Horo. M'!$M$3:M$367,MATCH(A111,'Horo. M'!$A$3:$A$367,0)),"")</f>
        <v>24</v>
      </c>
      <c r="AR111" s="422">
        <v>0</v>
      </c>
      <c r="AS111" s="422">
        <v>0</v>
      </c>
      <c r="AT111" s="272">
        <f t="shared" si="61"/>
        <v>24</v>
      </c>
      <c r="AU111" s="274">
        <f t="shared" si="62"/>
        <v>1</v>
      </c>
      <c r="AV111" s="275">
        <f t="shared" si="63"/>
        <v>1</v>
      </c>
      <c r="AW111" s="422">
        <v>173.26</v>
      </c>
      <c r="AX111" s="272">
        <f t="shared" si="64"/>
        <v>0</v>
      </c>
      <c r="AY111" s="272">
        <f>IFERROR(INDEX('Horo. M'!$O$3:O$367,MATCH(A111,'Horo. M'!$A$3:$A$367,0)),"")</f>
        <v>0</v>
      </c>
      <c r="AZ111" s="422">
        <v>24</v>
      </c>
      <c r="BA111" s="422">
        <v>0</v>
      </c>
      <c r="BB111" s="272">
        <f t="shared" si="65"/>
        <v>0</v>
      </c>
      <c r="BC111" s="274">
        <f t="shared" si="66"/>
        <v>0</v>
      </c>
      <c r="BD111" s="275">
        <f t="shared" si="67"/>
        <v>0</v>
      </c>
      <c r="BE111" s="422">
        <v>0</v>
      </c>
      <c r="BF111" s="272">
        <f t="shared" si="68"/>
        <v>2</v>
      </c>
      <c r="BG111" s="272">
        <f>IFERROR(INDEX('Horo. M'!$Q$3:Q$367,MATCH(A111,'Horo. M'!$A$3:$A$367,0)),"")</f>
        <v>22</v>
      </c>
      <c r="BH111" s="422">
        <v>0</v>
      </c>
      <c r="BI111" s="422">
        <v>0</v>
      </c>
      <c r="BJ111" s="272">
        <f t="shared" si="69"/>
        <v>24</v>
      </c>
      <c r="BK111" s="274">
        <f t="shared" si="70"/>
        <v>0.91666666666666663</v>
      </c>
      <c r="BL111" s="275">
        <f t="shared" si="71"/>
        <v>1</v>
      </c>
      <c r="BM111" s="422">
        <v>160.19999999999999</v>
      </c>
      <c r="BN111" s="272">
        <f t="shared" si="72"/>
        <v>0</v>
      </c>
      <c r="BO111" s="272">
        <f>IFERROR(INDEX('Horo. M'!$S$3:S$367,MATCH(A111,'Horo. M'!$A$3:$A$367,0)),"")</f>
        <v>24</v>
      </c>
      <c r="BP111" s="422">
        <v>0</v>
      </c>
      <c r="BQ111" s="422">
        <v>0</v>
      </c>
      <c r="BR111" s="272">
        <f t="shared" si="73"/>
        <v>24</v>
      </c>
      <c r="BS111" s="274">
        <f t="shared" si="74"/>
        <v>1</v>
      </c>
      <c r="BT111" s="275">
        <f t="shared" si="75"/>
        <v>1</v>
      </c>
      <c r="BU111" s="422">
        <v>174.67</v>
      </c>
      <c r="BV111" s="272">
        <f t="shared" si="76"/>
        <v>0</v>
      </c>
      <c r="BW111" s="272">
        <f>IFERROR(INDEX('Horo. M'!$U$3:U$367,MATCH(A111,'Horo. M'!$A$3:$A$367,0)),"")</f>
        <v>24</v>
      </c>
      <c r="BX111" s="422">
        <v>0</v>
      </c>
      <c r="BY111" s="422">
        <v>0</v>
      </c>
      <c r="BZ111" s="272">
        <f t="shared" si="77"/>
        <v>24</v>
      </c>
      <c r="CA111" s="274">
        <f t="shared" si="78"/>
        <v>1</v>
      </c>
      <c r="CB111" s="275">
        <f t="shared" si="79"/>
        <v>1</v>
      </c>
      <c r="CC111" s="422">
        <v>177.91</v>
      </c>
    </row>
    <row r="112" spans="1:81">
      <c r="A112" s="279">
        <v>45037</v>
      </c>
      <c r="B112" s="278">
        <f t="shared" si="40"/>
        <v>0</v>
      </c>
      <c r="C112" s="272">
        <f>IFERROR(INDEX('Horo. M'!$C$3:$C$367,MATCH(A112,'Horo. M'!$A$3:$A$367,0)),"")</f>
        <v>24</v>
      </c>
      <c r="D112" s="422">
        <v>0</v>
      </c>
      <c r="E112" s="422">
        <v>0</v>
      </c>
      <c r="F112" s="272">
        <f t="shared" si="41"/>
        <v>24</v>
      </c>
      <c r="G112" s="300">
        <f t="shared" si="42"/>
        <v>1</v>
      </c>
      <c r="H112" s="275">
        <f t="shared" si="43"/>
        <v>1</v>
      </c>
      <c r="I112" s="422">
        <v>173.9</v>
      </c>
      <c r="J112" s="278">
        <f t="shared" si="44"/>
        <v>0</v>
      </c>
      <c r="K112" s="272">
        <f>IFERROR(INDEX('Horo. M'!$E$3:$E$367,MATCH(A112,'Horo. M'!$A$3:$A$367,0)),"")</f>
        <v>0</v>
      </c>
      <c r="L112" s="422">
        <v>24</v>
      </c>
      <c r="M112" s="422">
        <v>0</v>
      </c>
      <c r="N112" s="272">
        <f t="shared" si="45"/>
        <v>0</v>
      </c>
      <c r="O112" s="300">
        <f t="shared" si="46"/>
        <v>0</v>
      </c>
      <c r="P112" s="275">
        <f t="shared" si="47"/>
        <v>0</v>
      </c>
      <c r="Q112" s="422">
        <v>0</v>
      </c>
      <c r="R112" s="278">
        <f t="shared" si="48"/>
        <v>0</v>
      </c>
      <c r="S112" s="272">
        <f>IFERROR(INDEX('Horo. M'!G$3:$G$367,MATCH(A112,'Horo. M'!$A$3:$A$367,0)),"")</f>
        <v>24</v>
      </c>
      <c r="T112" s="422">
        <v>0</v>
      </c>
      <c r="U112" s="422">
        <v>0</v>
      </c>
      <c r="V112" s="272">
        <f t="shared" si="49"/>
        <v>24</v>
      </c>
      <c r="W112" s="300">
        <f t="shared" si="50"/>
        <v>1</v>
      </c>
      <c r="X112" s="275">
        <f t="shared" si="51"/>
        <v>1</v>
      </c>
      <c r="Y112" s="422">
        <v>178.92</v>
      </c>
      <c r="Z112" s="278">
        <f t="shared" si="52"/>
        <v>0</v>
      </c>
      <c r="AA112" s="272">
        <f>IFERROR(INDEX('Horo. M'!$I$3:I$367,MATCH(A112,'Horo. M'!$A$3:$A$367,0)),"")</f>
        <v>24</v>
      </c>
      <c r="AB112" s="422">
        <v>0</v>
      </c>
      <c r="AC112" s="422">
        <v>0</v>
      </c>
      <c r="AD112" s="272">
        <f t="shared" si="53"/>
        <v>24</v>
      </c>
      <c r="AE112" s="300">
        <f t="shared" si="54"/>
        <v>1</v>
      </c>
      <c r="AF112" s="275">
        <f t="shared" si="55"/>
        <v>1</v>
      </c>
      <c r="AG112" s="422">
        <v>177.58</v>
      </c>
      <c r="AH112" s="272">
        <f t="shared" si="56"/>
        <v>0</v>
      </c>
      <c r="AI112" s="272">
        <f>IFERROR(INDEX('Horo. M'!$K$3:K$367,MATCH(A112,'Horo. M'!$A$3:$A$367,0)),"")</f>
        <v>22</v>
      </c>
      <c r="AJ112" s="422">
        <v>0</v>
      </c>
      <c r="AK112" s="422">
        <v>2</v>
      </c>
      <c r="AL112" s="272">
        <f t="shared" si="57"/>
        <v>22</v>
      </c>
      <c r="AM112" s="300">
        <f t="shared" si="58"/>
        <v>0.91666666666666663</v>
      </c>
      <c r="AN112" s="275">
        <f t="shared" si="59"/>
        <v>0.91666666666666663</v>
      </c>
      <c r="AO112" s="422">
        <v>123.05</v>
      </c>
      <c r="AP112" s="272">
        <f t="shared" si="60"/>
        <v>0</v>
      </c>
      <c r="AQ112" s="272">
        <f>IFERROR(INDEX('Horo. M'!$M$3:M$367,MATCH(A112,'Horo. M'!$A$3:$A$367,0)),"")</f>
        <v>24</v>
      </c>
      <c r="AR112" s="422">
        <v>0</v>
      </c>
      <c r="AS112" s="422">
        <v>0</v>
      </c>
      <c r="AT112" s="272">
        <f t="shared" si="61"/>
        <v>24</v>
      </c>
      <c r="AU112" s="300">
        <f t="shared" si="62"/>
        <v>1</v>
      </c>
      <c r="AV112" s="275">
        <f t="shared" si="63"/>
        <v>1</v>
      </c>
      <c r="AW112" s="422">
        <v>175.08</v>
      </c>
      <c r="AX112" s="272">
        <f t="shared" si="64"/>
        <v>0</v>
      </c>
      <c r="AY112" s="272">
        <f>IFERROR(INDEX('Horo. M'!$O$3:O$367,MATCH(A112,'Horo. M'!$A$3:$A$367,0)),"")</f>
        <v>0</v>
      </c>
      <c r="AZ112" s="422">
        <v>24</v>
      </c>
      <c r="BA112" s="422">
        <v>0</v>
      </c>
      <c r="BB112" s="272">
        <f t="shared" si="65"/>
        <v>0</v>
      </c>
      <c r="BC112" s="300">
        <f t="shared" si="66"/>
        <v>0</v>
      </c>
      <c r="BD112" s="275">
        <f t="shared" si="67"/>
        <v>0</v>
      </c>
      <c r="BE112" s="422">
        <v>0</v>
      </c>
      <c r="BF112" s="272">
        <f t="shared" si="68"/>
        <v>0</v>
      </c>
      <c r="BG112" s="272">
        <f>IFERROR(INDEX('Horo. M'!$Q$3:Q$367,MATCH(A112,'Horo. M'!$A$3:$A$367,0)),"")</f>
        <v>24</v>
      </c>
      <c r="BH112" s="422">
        <v>0</v>
      </c>
      <c r="BI112" s="422">
        <v>0</v>
      </c>
      <c r="BJ112" s="272">
        <f t="shared" si="69"/>
        <v>24</v>
      </c>
      <c r="BK112" s="300">
        <f t="shared" si="70"/>
        <v>1</v>
      </c>
      <c r="BL112" s="275">
        <f t="shared" si="71"/>
        <v>1</v>
      </c>
      <c r="BM112" s="422">
        <v>177.94</v>
      </c>
      <c r="BN112" s="272">
        <f t="shared" si="72"/>
        <v>0</v>
      </c>
      <c r="BO112" s="272">
        <f>IFERROR(INDEX('Horo. M'!$S$3:S$367,MATCH(A112,'Horo. M'!$A$3:$A$367,0)),"")</f>
        <v>24</v>
      </c>
      <c r="BP112" s="422">
        <v>0</v>
      </c>
      <c r="BQ112" s="422">
        <v>0</v>
      </c>
      <c r="BR112" s="272">
        <f t="shared" si="73"/>
        <v>24</v>
      </c>
      <c r="BS112" s="300">
        <f t="shared" si="74"/>
        <v>1</v>
      </c>
      <c r="BT112" s="275">
        <f t="shared" si="75"/>
        <v>1</v>
      </c>
      <c r="BU112" s="422">
        <v>179.63</v>
      </c>
      <c r="BV112" s="272">
        <f t="shared" si="76"/>
        <v>0</v>
      </c>
      <c r="BW112" s="272">
        <f>IFERROR(INDEX('Horo. M'!$U$3:U$367,MATCH(A112,'Horo. M'!$A$3:$A$367,0)),"")</f>
        <v>24</v>
      </c>
      <c r="BX112" s="422">
        <v>0</v>
      </c>
      <c r="BY112" s="422">
        <v>0</v>
      </c>
      <c r="BZ112" s="272">
        <f t="shared" si="77"/>
        <v>24</v>
      </c>
      <c r="CA112" s="300">
        <f t="shared" si="78"/>
        <v>1</v>
      </c>
      <c r="CB112" s="275">
        <f t="shared" si="79"/>
        <v>1</v>
      </c>
      <c r="CC112" s="422">
        <v>181.13</v>
      </c>
    </row>
    <row r="113" spans="1:81">
      <c r="A113" s="279">
        <v>45038</v>
      </c>
      <c r="B113" s="278">
        <f t="shared" si="40"/>
        <v>0</v>
      </c>
      <c r="C113" s="272">
        <f>IFERROR(INDEX('Horo. M'!$C$3:$C$367,MATCH(A113,'Horo. M'!$A$3:$A$367,0)),"")</f>
        <v>24</v>
      </c>
      <c r="D113" s="422">
        <v>0</v>
      </c>
      <c r="E113" s="422">
        <v>0</v>
      </c>
      <c r="F113" s="272">
        <f t="shared" si="41"/>
        <v>24</v>
      </c>
      <c r="G113" s="274">
        <f t="shared" si="42"/>
        <v>1</v>
      </c>
      <c r="H113" s="275">
        <f t="shared" si="43"/>
        <v>1</v>
      </c>
      <c r="I113" s="422">
        <v>176.7</v>
      </c>
      <c r="J113" s="278">
        <f t="shared" si="44"/>
        <v>0</v>
      </c>
      <c r="K113" s="272">
        <f>IFERROR(INDEX('Horo. M'!$E$3:$E$367,MATCH(A113,'Horo. M'!$A$3:$A$367,0)),"")</f>
        <v>0</v>
      </c>
      <c r="L113" s="422">
        <v>24</v>
      </c>
      <c r="M113" s="422">
        <v>0</v>
      </c>
      <c r="N113" s="272">
        <f t="shared" si="45"/>
        <v>0</v>
      </c>
      <c r="O113" s="274">
        <f t="shared" si="46"/>
        <v>0</v>
      </c>
      <c r="P113" s="275">
        <f t="shared" si="47"/>
        <v>0</v>
      </c>
      <c r="Q113" s="422">
        <v>0</v>
      </c>
      <c r="R113" s="278">
        <f t="shared" si="48"/>
        <v>0</v>
      </c>
      <c r="S113" s="272">
        <f>IFERROR(INDEX('Horo. M'!G$3:$G$367,MATCH(A113,'Horo. M'!$A$3:$A$367,0)),"")</f>
        <v>24</v>
      </c>
      <c r="T113" s="422">
        <v>0</v>
      </c>
      <c r="U113" s="422">
        <v>0</v>
      </c>
      <c r="V113" s="272">
        <f t="shared" si="49"/>
        <v>24</v>
      </c>
      <c r="W113" s="274">
        <f t="shared" si="50"/>
        <v>1</v>
      </c>
      <c r="X113" s="275">
        <f t="shared" si="51"/>
        <v>1</v>
      </c>
      <c r="Y113" s="422">
        <v>180.56</v>
      </c>
      <c r="Z113" s="278">
        <f t="shared" si="52"/>
        <v>0</v>
      </c>
      <c r="AA113" s="272">
        <f>IFERROR(INDEX('Horo. M'!$I$3:I$367,MATCH(A113,'Horo. M'!$A$3:$A$367,0)),"")</f>
        <v>24</v>
      </c>
      <c r="AB113" s="422">
        <v>0</v>
      </c>
      <c r="AC113" s="422">
        <v>0</v>
      </c>
      <c r="AD113" s="272">
        <f t="shared" si="53"/>
        <v>24</v>
      </c>
      <c r="AE113" s="274">
        <f t="shared" si="54"/>
        <v>1</v>
      </c>
      <c r="AF113" s="275">
        <f t="shared" si="55"/>
        <v>1</v>
      </c>
      <c r="AG113" s="422">
        <v>177.7</v>
      </c>
      <c r="AH113" s="272">
        <f t="shared" si="56"/>
        <v>0</v>
      </c>
      <c r="AI113" s="272">
        <f>IFERROR(INDEX('Horo. M'!$K$3:K$367,MATCH(A113,'Horo. M'!$A$3:$A$367,0)),"")</f>
        <v>24</v>
      </c>
      <c r="AJ113" s="422">
        <v>0</v>
      </c>
      <c r="AK113" s="422">
        <v>0</v>
      </c>
      <c r="AL113" s="272">
        <f t="shared" si="57"/>
        <v>24</v>
      </c>
      <c r="AM113" s="274">
        <f t="shared" si="58"/>
        <v>1</v>
      </c>
      <c r="AN113" s="275">
        <f t="shared" si="59"/>
        <v>1</v>
      </c>
      <c r="AO113" s="422">
        <v>140.71</v>
      </c>
      <c r="AP113" s="272">
        <f t="shared" si="60"/>
        <v>0</v>
      </c>
      <c r="AQ113" s="272">
        <f>IFERROR(INDEX('Horo. M'!$M$3:M$367,MATCH(A113,'Horo. M'!$A$3:$A$367,0)),"")</f>
        <v>24</v>
      </c>
      <c r="AR113" s="422">
        <v>0</v>
      </c>
      <c r="AS113" s="422">
        <v>0</v>
      </c>
      <c r="AT113" s="272">
        <f t="shared" si="61"/>
        <v>24</v>
      </c>
      <c r="AU113" s="274">
        <f t="shared" si="62"/>
        <v>1</v>
      </c>
      <c r="AV113" s="275">
        <f t="shared" si="63"/>
        <v>1</v>
      </c>
      <c r="AW113" s="422">
        <v>174.61</v>
      </c>
      <c r="AX113" s="272">
        <f t="shared" si="64"/>
        <v>0</v>
      </c>
      <c r="AY113" s="272">
        <f>IFERROR(INDEX('Horo. M'!$O$3:O$367,MATCH(A113,'Horo. M'!$A$3:$A$367,0)),"")</f>
        <v>0</v>
      </c>
      <c r="AZ113" s="422">
        <v>24</v>
      </c>
      <c r="BA113" s="422">
        <v>0</v>
      </c>
      <c r="BB113" s="272">
        <f t="shared" si="65"/>
        <v>0</v>
      </c>
      <c r="BC113" s="274">
        <f t="shared" si="66"/>
        <v>0</v>
      </c>
      <c r="BD113" s="275">
        <f t="shared" si="67"/>
        <v>0</v>
      </c>
      <c r="BE113" s="422">
        <v>0</v>
      </c>
      <c r="BF113" s="272">
        <f t="shared" si="68"/>
        <v>0</v>
      </c>
      <c r="BG113" s="272">
        <f>IFERROR(INDEX('Horo. M'!$Q$3:Q$367,MATCH(A113,'Horo. M'!$A$3:$A$367,0)),"")</f>
        <v>23</v>
      </c>
      <c r="BH113" s="422">
        <v>1</v>
      </c>
      <c r="BI113" s="422">
        <v>0</v>
      </c>
      <c r="BJ113" s="272">
        <f t="shared" si="69"/>
        <v>23</v>
      </c>
      <c r="BK113" s="274">
        <f t="shared" si="70"/>
        <v>0.95833333333333337</v>
      </c>
      <c r="BL113" s="275">
        <f t="shared" si="71"/>
        <v>0.95833333333333337</v>
      </c>
      <c r="BM113" s="422">
        <v>160.94999999999999</v>
      </c>
      <c r="BN113" s="272">
        <f t="shared" si="72"/>
        <v>0</v>
      </c>
      <c r="BO113" s="272">
        <f>IFERROR(INDEX('Horo. M'!$S$3:S$367,MATCH(A113,'Horo. M'!$A$3:$A$367,0)),"")</f>
        <v>24</v>
      </c>
      <c r="BP113" s="422">
        <v>0</v>
      </c>
      <c r="BQ113" s="422">
        <v>0</v>
      </c>
      <c r="BR113" s="272">
        <f t="shared" si="73"/>
        <v>24</v>
      </c>
      <c r="BS113" s="274">
        <f t="shared" si="74"/>
        <v>1</v>
      </c>
      <c r="BT113" s="275">
        <f t="shared" si="75"/>
        <v>1</v>
      </c>
      <c r="BU113" s="422">
        <v>181.12</v>
      </c>
      <c r="BV113" s="272">
        <f t="shared" si="76"/>
        <v>0</v>
      </c>
      <c r="BW113" s="272">
        <f>IFERROR(INDEX('Horo. M'!$U$3:U$367,MATCH(A113,'Horo. M'!$A$3:$A$367,0)),"")</f>
        <v>24</v>
      </c>
      <c r="BX113" s="422">
        <v>0</v>
      </c>
      <c r="BY113" s="422">
        <v>0</v>
      </c>
      <c r="BZ113" s="272">
        <f t="shared" si="77"/>
        <v>24</v>
      </c>
      <c r="CA113" s="274">
        <f t="shared" si="78"/>
        <v>1</v>
      </c>
      <c r="CB113" s="275">
        <f t="shared" si="79"/>
        <v>1</v>
      </c>
      <c r="CC113" s="422">
        <v>181.49</v>
      </c>
    </row>
    <row r="114" spans="1:81">
      <c r="A114" s="279">
        <v>45039</v>
      </c>
      <c r="B114" s="278">
        <f t="shared" si="40"/>
        <v>0</v>
      </c>
      <c r="C114" s="272">
        <f>IFERROR(INDEX('Horo. M'!$C$3:$C$367,MATCH(A114,'Horo. M'!$A$3:$A$367,0)),"")</f>
        <v>24</v>
      </c>
      <c r="D114" s="422">
        <v>0</v>
      </c>
      <c r="E114" s="422">
        <v>0</v>
      </c>
      <c r="F114" s="272">
        <f t="shared" si="41"/>
        <v>24</v>
      </c>
      <c r="G114" s="300">
        <f t="shared" si="42"/>
        <v>1</v>
      </c>
      <c r="H114" s="275">
        <f t="shared" si="43"/>
        <v>1</v>
      </c>
      <c r="I114" s="422">
        <v>172.8</v>
      </c>
      <c r="J114" s="278">
        <f t="shared" si="44"/>
        <v>0</v>
      </c>
      <c r="K114" s="272">
        <f>IFERROR(INDEX('Horo. M'!$E$3:$E$367,MATCH(A114,'Horo. M'!$A$3:$A$367,0)),"")</f>
        <v>0</v>
      </c>
      <c r="L114" s="422">
        <v>24</v>
      </c>
      <c r="M114" s="422">
        <v>0</v>
      </c>
      <c r="N114" s="272">
        <f t="shared" si="45"/>
        <v>0</v>
      </c>
      <c r="O114" s="300">
        <f t="shared" si="46"/>
        <v>0</v>
      </c>
      <c r="P114" s="275">
        <f t="shared" si="47"/>
        <v>0</v>
      </c>
      <c r="Q114" s="422">
        <v>0</v>
      </c>
      <c r="R114" s="278">
        <f t="shared" si="48"/>
        <v>0</v>
      </c>
      <c r="S114" s="272">
        <f>IFERROR(INDEX('Horo. M'!G$3:$G$367,MATCH(A114,'Horo. M'!$A$3:$A$367,0)),"")</f>
        <v>24</v>
      </c>
      <c r="T114" s="422">
        <v>0</v>
      </c>
      <c r="U114" s="422">
        <v>0</v>
      </c>
      <c r="V114" s="272">
        <f t="shared" si="49"/>
        <v>24</v>
      </c>
      <c r="W114" s="300">
        <f t="shared" si="50"/>
        <v>1</v>
      </c>
      <c r="X114" s="275">
        <f t="shared" si="51"/>
        <v>1</v>
      </c>
      <c r="Y114" s="422">
        <v>178.13</v>
      </c>
      <c r="Z114" s="278">
        <f t="shared" si="52"/>
        <v>0</v>
      </c>
      <c r="AA114" s="272">
        <f>IFERROR(INDEX('Horo. M'!$I$3:I$367,MATCH(A114,'Horo. M'!$A$3:$A$367,0)),"")</f>
        <v>24</v>
      </c>
      <c r="AB114" s="422">
        <v>0</v>
      </c>
      <c r="AC114" s="422">
        <v>0</v>
      </c>
      <c r="AD114" s="272">
        <f t="shared" si="53"/>
        <v>24</v>
      </c>
      <c r="AE114" s="300">
        <f t="shared" si="54"/>
        <v>1</v>
      </c>
      <c r="AF114" s="275">
        <f t="shared" si="55"/>
        <v>1</v>
      </c>
      <c r="AG114" s="422">
        <v>178.63</v>
      </c>
      <c r="AH114" s="272">
        <f t="shared" si="56"/>
        <v>0</v>
      </c>
      <c r="AI114" s="272">
        <f>IFERROR(INDEX('Horo. M'!$K$3:K$367,MATCH(A114,'Horo. M'!$A$3:$A$367,0)),"")</f>
        <v>24</v>
      </c>
      <c r="AJ114" s="422">
        <v>0</v>
      </c>
      <c r="AK114" s="422">
        <v>0</v>
      </c>
      <c r="AL114" s="272">
        <f t="shared" si="57"/>
        <v>24</v>
      </c>
      <c r="AM114" s="300">
        <f t="shared" si="58"/>
        <v>1</v>
      </c>
      <c r="AN114" s="275">
        <f t="shared" si="59"/>
        <v>1</v>
      </c>
      <c r="AO114" s="422">
        <v>128.69999999999999</v>
      </c>
      <c r="AP114" s="272">
        <f t="shared" si="60"/>
        <v>0</v>
      </c>
      <c r="AQ114" s="272">
        <f>IFERROR(INDEX('Horo. M'!$M$3:M$367,MATCH(A114,'Horo. M'!$A$3:$A$367,0)),"")</f>
        <v>24</v>
      </c>
      <c r="AR114" s="422">
        <v>0</v>
      </c>
      <c r="AS114" s="422">
        <v>0</v>
      </c>
      <c r="AT114" s="272">
        <f t="shared" si="61"/>
        <v>24</v>
      </c>
      <c r="AU114" s="300">
        <f t="shared" si="62"/>
        <v>1</v>
      </c>
      <c r="AV114" s="275">
        <f t="shared" si="63"/>
        <v>1</v>
      </c>
      <c r="AW114" s="422">
        <v>175.66</v>
      </c>
      <c r="AX114" s="272">
        <f t="shared" si="64"/>
        <v>0</v>
      </c>
      <c r="AY114" s="272">
        <f>IFERROR(INDEX('Horo. M'!$O$3:O$367,MATCH(A114,'Horo. M'!$A$3:$A$367,0)),"")</f>
        <v>0</v>
      </c>
      <c r="AZ114" s="422">
        <v>24</v>
      </c>
      <c r="BA114" s="422">
        <v>0</v>
      </c>
      <c r="BB114" s="272">
        <f t="shared" si="65"/>
        <v>0</v>
      </c>
      <c r="BC114" s="300">
        <f t="shared" si="66"/>
        <v>0</v>
      </c>
      <c r="BD114" s="275">
        <f t="shared" si="67"/>
        <v>0</v>
      </c>
      <c r="BE114" s="422">
        <v>0</v>
      </c>
      <c r="BF114" s="272">
        <f t="shared" si="68"/>
        <v>0</v>
      </c>
      <c r="BG114" s="272">
        <f>IFERROR(INDEX('Horo. M'!$Q$3:Q$367,MATCH(A114,'Horo. M'!$A$3:$A$367,0)),"")</f>
        <v>22</v>
      </c>
      <c r="BH114" s="422">
        <v>1</v>
      </c>
      <c r="BI114" s="422">
        <v>1</v>
      </c>
      <c r="BJ114" s="272">
        <f t="shared" si="69"/>
        <v>22</v>
      </c>
      <c r="BK114" s="300">
        <f t="shared" si="70"/>
        <v>0.91666666666666663</v>
      </c>
      <c r="BL114" s="275">
        <f t="shared" si="71"/>
        <v>0.91666666666666663</v>
      </c>
      <c r="BM114" s="422">
        <v>163.89</v>
      </c>
      <c r="BN114" s="272">
        <f t="shared" si="72"/>
        <v>0</v>
      </c>
      <c r="BO114" s="272">
        <f>IFERROR(INDEX('Horo. M'!$S$3:S$367,MATCH(A114,'Horo. M'!$A$3:$A$367,0)),"")</f>
        <v>24</v>
      </c>
      <c r="BP114" s="422">
        <v>0</v>
      </c>
      <c r="BQ114" s="422">
        <v>0</v>
      </c>
      <c r="BR114" s="272">
        <f t="shared" si="73"/>
        <v>24</v>
      </c>
      <c r="BS114" s="300">
        <f t="shared" si="74"/>
        <v>1</v>
      </c>
      <c r="BT114" s="275">
        <f t="shared" si="75"/>
        <v>1</v>
      </c>
      <c r="BU114" s="422">
        <v>179.16</v>
      </c>
      <c r="BV114" s="272">
        <f t="shared" si="76"/>
        <v>0</v>
      </c>
      <c r="BW114" s="272">
        <f>IFERROR(INDEX('Horo. M'!$U$3:U$367,MATCH(A114,'Horo. M'!$A$3:$A$367,0)),"")</f>
        <v>24</v>
      </c>
      <c r="BX114" s="422">
        <v>0</v>
      </c>
      <c r="BY114" s="422">
        <v>0</v>
      </c>
      <c r="BZ114" s="272">
        <f t="shared" si="77"/>
        <v>24</v>
      </c>
      <c r="CA114" s="300">
        <f t="shared" si="78"/>
        <v>1</v>
      </c>
      <c r="CB114" s="275">
        <f t="shared" si="79"/>
        <v>1</v>
      </c>
      <c r="CC114" s="422">
        <v>176.25</v>
      </c>
    </row>
    <row r="115" spans="1:81">
      <c r="A115" s="279">
        <v>45040</v>
      </c>
      <c r="B115" s="278">
        <f t="shared" si="40"/>
        <v>0</v>
      </c>
      <c r="C115" s="272">
        <f>IFERROR(INDEX('Horo. M'!$C$3:$C$367,MATCH(A115,'Horo. M'!$A$3:$A$367,0)),"")</f>
        <v>19</v>
      </c>
      <c r="D115" s="422">
        <v>3</v>
      </c>
      <c r="E115" s="422">
        <v>2</v>
      </c>
      <c r="F115" s="272">
        <f t="shared" si="41"/>
        <v>19</v>
      </c>
      <c r="G115" s="274">
        <f t="shared" si="42"/>
        <v>0.79166666666666663</v>
      </c>
      <c r="H115" s="275">
        <f t="shared" si="43"/>
        <v>0.79166666666666663</v>
      </c>
      <c r="I115" s="422">
        <v>153.80000000000001</v>
      </c>
      <c r="J115" s="278">
        <f t="shared" si="44"/>
        <v>0</v>
      </c>
      <c r="K115" s="272">
        <f>IFERROR(INDEX('Horo. M'!$E$3:$E$367,MATCH(A115,'Horo. M'!$A$3:$A$367,0)),"")</f>
        <v>0</v>
      </c>
      <c r="L115" s="422">
        <v>24</v>
      </c>
      <c r="M115" s="422">
        <v>0</v>
      </c>
      <c r="N115" s="272">
        <f t="shared" si="45"/>
        <v>0</v>
      </c>
      <c r="O115" s="274">
        <f t="shared" si="46"/>
        <v>0</v>
      </c>
      <c r="P115" s="275">
        <f t="shared" si="47"/>
        <v>0</v>
      </c>
      <c r="Q115" s="422">
        <v>0</v>
      </c>
      <c r="R115" s="278">
        <f t="shared" si="48"/>
        <v>0</v>
      </c>
      <c r="S115" s="272">
        <f>IFERROR(INDEX('Horo. M'!G$3:$G$367,MATCH(A115,'Horo. M'!$A$3:$A$367,0)),"")</f>
        <v>20</v>
      </c>
      <c r="T115" s="422">
        <v>4</v>
      </c>
      <c r="U115" s="422">
        <v>0</v>
      </c>
      <c r="V115" s="272">
        <f t="shared" si="49"/>
        <v>20</v>
      </c>
      <c r="W115" s="274">
        <f t="shared" si="50"/>
        <v>0.83333333333333337</v>
      </c>
      <c r="X115" s="275">
        <f t="shared" si="51"/>
        <v>0.83333333333333337</v>
      </c>
      <c r="Y115" s="422">
        <v>155.5</v>
      </c>
      <c r="Z115" s="278">
        <f t="shared" si="52"/>
        <v>0</v>
      </c>
      <c r="AA115" s="272">
        <f>IFERROR(INDEX('Horo. M'!$I$3:I$367,MATCH(A115,'Horo. M'!$A$3:$A$367,0)),"")</f>
        <v>20</v>
      </c>
      <c r="AB115" s="422">
        <v>3</v>
      </c>
      <c r="AC115" s="422">
        <v>1</v>
      </c>
      <c r="AD115" s="272">
        <f t="shared" si="53"/>
        <v>20</v>
      </c>
      <c r="AE115" s="274">
        <f t="shared" si="54"/>
        <v>0.83333333333333337</v>
      </c>
      <c r="AF115" s="275">
        <f t="shared" si="55"/>
        <v>0.83333333333333337</v>
      </c>
      <c r="AG115" s="422">
        <v>154.84</v>
      </c>
      <c r="AH115" s="272">
        <f t="shared" si="56"/>
        <v>8</v>
      </c>
      <c r="AI115" s="272">
        <f>IFERROR(INDEX('Horo. M'!$K$3:K$367,MATCH(A115,'Horo. M'!$A$3:$A$367,0)),"")</f>
        <v>13</v>
      </c>
      <c r="AJ115" s="422">
        <v>0</v>
      </c>
      <c r="AK115" s="422">
        <v>3</v>
      </c>
      <c r="AL115" s="272">
        <f t="shared" si="57"/>
        <v>21</v>
      </c>
      <c r="AM115" s="274">
        <f t="shared" si="58"/>
        <v>0.54166666666666663</v>
      </c>
      <c r="AN115" s="275">
        <f t="shared" si="59"/>
        <v>0.875</v>
      </c>
      <c r="AO115" s="422">
        <v>102.4</v>
      </c>
      <c r="AP115" s="272">
        <f t="shared" si="60"/>
        <v>0</v>
      </c>
      <c r="AQ115" s="272">
        <f>IFERROR(INDEX('Horo. M'!$M$3:M$367,MATCH(A115,'Horo. M'!$A$3:$A$367,0)),"")</f>
        <v>23</v>
      </c>
      <c r="AR115" s="422">
        <v>0</v>
      </c>
      <c r="AS115" s="422">
        <v>1</v>
      </c>
      <c r="AT115" s="272">
        <f t="shared" si="61"/>
        <v>23</v>
      </c>
      <c r="AU115" s="274">
        <f t="shared" si="62"/>
        <v>0.95833333333333337</v>
      </c>
      <c r="AV115" s="275">
        <f t="shared" si="63"/>
        <v>0.95833333333333337</v>
      </c>
      <c r="AW115" s="422">
        <v>192.39</v>
      </c>
      <c r="AX115" s="272">
        <f t="shared" si="64"/>
        <v>0</v>
      </c>
      <c r="AY115" s="272">
        <f>IFERROR(INDEX('Horo. M'!$O$3:O$367,MATCH(A115,'Horo. M'!$A$3:$A$367,0)),"")</f>
        <v>0</v>
      </c>
      <c r="AZ115" s="422">
        <v>24</v>
      </c>
      <c r="BA115" s="422">
        <v>0</v>
      </c>
      <c r="BB115" s="272">
        <f t="shared" si="65"/>
        <v>0</v>
      </c>
      <c r="BC115" s="274">
        <f t="shared" si="66"/>
        <v>0</v>
      </c>
      <c r="BD115" s="275">
        <f t="shared" si="67"/>
        <v>0</v>
      </c>
      <c r="BE115" s="422">
        <v>0</v>
      </c>
      <c r="BF115" s="272">
        <f t="shared" si="68"/>
        <v>0</v>
      </c>
      <c r="BG115" s="272">
        <f>IFERROR(INDEX('Horo. M'!$Q$3:Q$367,MATCH(A115,'Horo. M'!$A$3:$A$367,0)),"")</f>
        <v>24</v>
      </c>
      <c r="BH115" s="422">
        <v>0</v>
      </c>
      <c r="BI115" s="422">
        <v>0</v>
      </c>
      <c r="BJ115" s="272">
        <f t="shared" si="69"/>
        <v>24</v>
      </c>
      <c r="BK115" s="274">
        <f t="shared" si="70"/>
        <v>1</v>
      </c>
      <c r="BL115" s="275">
        <f t="shared" si="71"/>
        <v>1</v>
      </c>
      <c r="BM115" s="422">
        <v>201.23</v>
      </c>
      <c r="BN115" s="272">
        <f t="shared" si="72"/>
        <v>0</v>
      </c>
      <c r="BO115" s="272">
        <f>IFERROR(INDEX('Horo. M'!$S$3:S$367,MATCH(A115,'Horo. M'!$A$3:$A$367,0)),"")</f>
        <v>22</v>
      </c>
      <c r="BP115" s="422">
        <v>2</v>
      </c>
      <c r="BQ115" s="422">
        <v>0</v>
      </c>
      <c r="BR115" s="272">
        <f t="shared" si="73"/>
        <v>22</v>
      </c>
      <c r="BS115" s="274">
        <f t="shared" si="74"/>
        <v>0.91666666666666663</v>
      </c>
      <c r="BT115" s="275">
        <f t="shared" si="75"/>
        <v>0.91666666666666663</v>
      </c>
      <c r="BU115" s="422">
        <v>175.44</v>
      </c>
      <c r="BV115" s="272">
        <f t="shared" si="76"/>
        <v>3</v>
      </c>
      <c r="BW115" s="272">
        <f>IFERROR(INDEX('Horo. M'!$U$3:U$367,MATCH(A115,'Horo. M'!$A$3:$A$367,0)),"")</f>
        <v>17</v>
      </c>
      <c r="BX115" s="422">
        <v>4</v>
      </c>
      <c r="BY115" s="422">
        <v>0</v>
      </c>
      <c r="BZ115" s="272">
        <f t="shared" si="77"/>
        <v>20</v>
      </c>
      <c r="CA115" s="274">
        <f t="shared" si="78"/>
        <v>0.70833333333333337</v>
      </c>
      <c r="CB115" s="275">
        <f t="shared" si="79"/>
        <v>0.83333333333333337</v>
      </c>
      <c r="CC115" s="422">
        <v>135.08000000000001</v>
      </c>
    </row>
    <row r="116" spans="1:81">
      <c r="A116" s="279">
        <v>45041</v>
      </c>
      <c r="B116" s="278">
        <f t="shared" si="40"/>
        <v>0</v>
      </c>
      <c r="C116" s="272">
        <f>IFERROR(INDEX('Horo. M'!$C$3:$C$367,MATCH(A116,'Horo. M'!$A$3:$A$367,0)),"")</f>
        <v>24</v>
      </c>
      <c r="D116" s="422">
        <v>0</v>
      </c>
      <c r="E116" s="422">
        <v>0</v>
      </c>
      <c r="F116" s="272">
        <f t="shared" si="41"/>
        <v>24</v>
      </c>
      <c r="G116" s="274">
        <f t="shared" si="42"/>
        <v>1</v>
      </c>
      <c r="H116" s="275">
        <f t="shared" si="43"/>
        <v>1</v>
      </c>
      <c r="I116" s="422">
        <v>177.7</v>
      </c>
      <c r="J116" s="278">
        <f t="shared" si="44"/>
        <v>0</v>
      </c>
      <c r="K116" s="272">
        <f>IFERROR(INDEX('Horo. M'!$E$3:$E$367,MATCH(A116,'Horo. M'!$A$3:$A$367,0)),"")</f>
        <v>0</v>
      </c>
      <c r="L116" s="422">
        <v>24</v>
      </c>
      <c r="M116" s="422">
        <v>0</v>
      </c>
      <c r="N116" s="272">
        <f t="shared" si="45"/>
        <v>0</v>
      </c>
      <c r="O116" s="274">
        <f t="shared" si="46"/>
        <v>0</v>
      </c>
      <c r="P116" s="275">
        <f t="shared" si="47"/>
        <v>0</v>
      </c>
      <c r="Q116" s="422">
        <v>0</v>
      </c>
      <c r="R116" s="278">
        <f t="shared" si="48"/>
        <v>0</v>
      </c>
      <c r="S116" s="272">
        <f>IFERROR(INDEX('Horo. M'!G$3:$G$367,MATCH(A116,'Horo. M'!$A$3:$A$367,0)),"")</f>
        <v>24</v>
      </c>
      <c r="T116" s="422">
        <v>0</v>
      </c>
      <c r="U116" s="422">
        <v>0</v>
      </c>
      <c r="V116" s="272">
        <f t="shared" si="49"/>
        <v>24</v>
      </c>
      <c r="W116" s="274">
        <f t="shared" si="50"/>
        <v>1</v>
      </c>
      <c r="X116" s="275">
        <f t="shared" si="51"/>
        <v>1</v>
      </c>
      <c r="Y116" s="422">
        <v>181.14</v>
      </c>
      <c r="Z116" s="278">
        <f t="shared" si="52"/>
        <v>0</v>
      </c>
      <c r="AA116" s="272">
        <f>IFERROR(INDEX('Horo. M'!$I$3:I$367,MATCH(A116,'Horo. M'!$A$3:$A$367,0)),"")</f>
        <v>24</v>
      </c>
      <c r="AB116" s="422">
        <v>0</v>
      </c>
      <c r="AC116" s="422">
        <v>0</v>
      </c>
      <c r="AD116" s="272">
        <f t="shared" si="53"/>
        <v>24</v>
      </c>
      <c r="AE116" s="274">
        <f t="shared" si="54"/>
        <v>1</v>
      </c>
      <c r="AF116" s="275">
        <f t="shared" si="55"/>
        <v>1</v>
      </c>
      <c r="AG116" s="422">
        <v>179.61</v>
      </c>
      <c r="AH116" s="272">
        <f t="shared" si="56"/>
        <v>0</v>
      </c>
      <c r="AI116" s="272">
        <f>IFERROR(INDEX('Horo. M'!$K$3:K$367,MATCH(A116,'Horo. M'!$A$3:$A$367,0)),"")</f>
        <v>20</v>
      </c>
      <c r="AJ116" s="422">
        <v>2</v>
      </c>
      <c r="AK116" s="422">
        <v>2</v>
      </c>
      <c r="AL116" s="272">
        <f t="shared" si="57"/>
        <v>20</v>
      </c>
      <c r="AM116" s="274">
        <f t="shared" si="58"/>
        <v>0.83333333333333337</v>
      </c>
      <c r="AN116" s="275">
        <f t="shared" si="59"/>
        <v>0.83333333333333337</v>
      </c>
      <c r="AO116" s="422">
        <v>148.29</v>
      </c>
      <c r="AP116" s="272">
        <f t="shared" si="60"/>
        <v>0</v>
      </c>
      <c r="AQ116" s="272">
        <f>IFERROR(INDEX('Horo. M'!$M$3:M$367,MATCH(A116,'Horo. M'!$A$3:$A$367,0)),"")</f>
        <v>21</v>
      </c>
      <c r="AR116" s="422">
        <v>2</v>
      </c>
      <c r="AS116" s="422">
        <v>1</v>
      </c>
      <c r="AT116" s="272">
        <f t="shared" si="61"/>
        <v>21</v>
      </c>
      <c r="AU116" s="274">
        <f t="shared" si="62"/>
        <v>0.875</v>
      </c>
      <c r="AV116" s="275">
        <f t="shared" si="63"/>
        <v>0.875</v>
      </c>
      <c r="AW116" s="422">
        <v>156.29</v>
      </c>
      <c r="AX116" s="272">
        <f t="shared" si="64"/>
        <v>0</v>
      </c>
      <c r="AY116" s="272">
        <f>IFERROR(INDEX('Horo. M'!$O$3:O$367,MATCH(A116,'Horo. M'!$A$3:$A$367,0)),"")</f>
        <v>0</v>
      </c>
      <c r="AZ116" s="422">
        <v>24</v>
      </c>
      <c r="BA116" s="422">
        <v>0</v>
      </c>
      <c r="BB116" s="272">
        <f t="shared" si="65"/>
        <v>0</v>
      </c>
      <c r="BC116" s="274">
        <f t="shared" si="66"/>
        <v>0</v>
      </c>
      <c r="BD116" s="275">
        <f t="shared" si="67"/>
        <v>0</v>
      </c>
      <c r="BE116" s="422">
        <v>0</v>
      </c>
      <c r="BF116" s="272">
        <f t="shared" si="68"/>
        <v>0</v>
      </c>
      <c r="BG116" s="272">
        <f>IFERROR(INDEX('Horo. M'!$Q$3:Q$367,MATCH(A116,'Horo. M'!$A$3:$A$367,0)),"")</f>
        <v>24</v>
      </c>
      <c r="BH116" s="422">
        <v>0</v>
      </c>
      <c r="BI116" s="422">
        <v>0</v>
      </c>
      <c r="BJ116" s="272">
        <f t="shared" si="69"/>
        <v>24</v>
      </c>
      <c r="BK116" s="274">
        <f t="shared" si="70"/>
        <v>1</v>
      </c>
      <c r="BL116" s="275">
        <f t="shared" si="71"/>
        <v>1</v>
      </c>
      <c r="BM116" s="422">
        <v>179.61</v>
      </c>
      <c r="BN116" s="272">
        <f t="shared" si="72"/>
        <v>0</v>
      </c>
      <c r="BO116" s="272">
        <f>IFERROR(INDEX('Horo. M'!$S$3:S$367,MATCH(A116,'Horo. M'!$A$3:$A$367,0)),"")</f>
        <v>24</v>
      </c>
      <c r="BP116" s="422">
        <v>0</v>
      </c>
      <c r="BQ116" s="422">
        <v>0</v>
      </c>
      <c r="BR116" s="272">
        <f t="shared" si="73"/>
        <v>24</v>
      </c>
      <c r="BS116" s="274">
        <f t="shared" si="74"/>
        <v>1</v>
      </c>
      <c r="BT116" s="275">
        <f t="shared" si="75"/>
        <v>1</v>
      </c>
      <c r="BU116" s="422">
        <v>183.69</v>
      </c>
      <c r="BV116" s="272">
        <f t="shared" si="76"/>
        <v>0</v>
      </c>
      <c r="BW116" s="272">
        <f>IFERROR(INDEX('Horo. M'!$U$3:U$367,MATCH(A116,'Horo. M'!$A$3:$A$367,0)),"")</f>
        <v>24</v>
      </c>
      <c r="BX116" s="422">
        <v>0</v>
      </c>
      <c r="BY116" s="422">
        <v>0</v>
      </c>
      <c r="BZ116" s="272">
        <f t="shared" si="77"/>
        <v>24</v>
      </c>
      <c r="CA116" s="274">
        <f t="shared" si="78"/>
        <v>1</v>
      </c>
      <c r="CB116" s="275">
        <f t="shared" si="79"/>
        <v>1</v>
      </c>
      <c r="CC116" s="422">
        <v>183.64</v>
      </c>
    </row>
    <row r="117" spans="1:81">
      <c r="A117" s="279">
        <v>45042</v>
      </c>
      <c r="B117" s="278">
        <f t="shared" si="40"/>
        <v>0</v>
      </c>
      <c r="C117" s="272">
        <f>IFERROR(INDEX('Horo. M'!$C$3:$C$367,MATCH(A117,'Horo. M'!$A$3:$A$367,0)),"")</f>
        <v>24</v>
      </c>
      <c r="D117" s="422">
        <v>0</v>
      </c>
      <c r="E117" s="422">
        <v>0</v>
      </c>
      <c r="F117" s="272">
        <f t="shared" si="41"/>
        <v>24</v>
      </c>
      <c r="G117" s="300">
        <f t="shared" si="42"/>
        <v>1</v>
      </c>
      <c r="H117" s="275">
        <f t="shared" si="43"/>
        <v>1</v>
      </c>
      <c r="I117" s="422">
        <v>184.8</v>
      </c>
      <c r="J117" s="278">
        <f t="shared" si="44"/>
        <v>0</v>
      </c>
      <c r="K117" s="272">
        <f>IFERROR(INDEX('Horo. M'!$E$3:$E$367,MATCH(A117,'Horo. M'!$A$3:$A$367,0)),"")</f>
        <v>0</v>
      </c>
      <c r="L117" s="422">
        <v>24</v>
      </c>
      <c r="M117" s="422">
        <v>0</v>
      </c>
      <c r="N117" s="272">
        <f t="shared" si="45"/>
        <v>0</v>
      </c>
      <c r="O117" s="300">
        <f t="shared" si="46"/>
        <v>0</v>
      </c>
      <c r="P117" s="275">
        <f t="shared" si="47"/>
        <v>0</v>
      </c>
      <c r="Q117" s="422">
        <v>0</v>
      </c>
      <c r="R117" s="278">
        <f t="shared" si="48"/>
        <v>0</v>
      </c>
      <c r="S117" s="272">
        <f>IFERROR(INDEX('Horo. M'!G$3:$G$367,MATCH(A117,'Horo. M'!$A$3:$A$367,0)),"")</f>
        <v>24</v>
      </c>
      <c r="T117" s="422">
        <v>0</v>
      </c>
      <c r="U117" s="422">
        <v>0</v>
      </c>
      <c r="V117" s="272">
        <f t="shared" si="49"/>
        <v>24</v>
      </c>
      <c r="W117" s="300">
        <f t="shared" si="50"/>
        <v>1</v>
      </c>
      <c r="X117" s="275">
        <f t="shared" si="51"/>
        <v>1</v>
      </c>
      <c r="Y117" s="422">
        <v>185.9</v>
      </c>
      <c r="Z117" s="278">
        <f t="shared" si="52"/>
        <v>2</v>
      </c>
      <c r="AA117" s="272">
        <f>IFERROR(INDEX('Horo. M'!$I$3:I$367,MATCH(A117,'Horo. M'!$A$3:$A$367,0)),"")</f>
        <v>22</v>
      </c>
      <c r="AB117" s="422">
        <v>0</v>
      </c>
      <c r="AC117" s="422">
        <v>0</v>
      </c>
      <c r="AD117" s="272">
        <f t="shared" si="53"/>
        <v>24</v>
      </c>
      <c r="AE117" s="300">
        <f t="shared" si="54"/>
        <v>0.91666666666666663</v>
      </c>
      <c r="AF117" s="275">
        <f t="shared" si="55"/>
        <v>1</v>
      </c>
      <c r="AG117" s="422">
        <v>168.1</v>
      </c>
      <c r="AH117" s="272">
        <f t="shared" si="56"/>
        <v>0</v>
      </c>
      <c r="AI117" s="272">
        <f>IFERROR(INDEX('Horo. M'!$K$3:K$367,MATCH(A117,'Horo. M'!$A$3:$A$367,0)),"")</f>
        <v>24</v>
      </c>
      <c r="AJ117" s="422">
        <v>0</v>
      </c>
      <c r="AK117" s="422">
        <v>0</v>
      </c>
      <c r="AL117" s="272">
        <f t="shared" si="57"/>
        <v>24</v>
      </c>
      <c r="AM117" s="300">
        <f t="shared" si="58"/>
        <v>1</v>
      </c>
      <c r="AN117" s="275">
        <f t="shared" si="59"/>
        <v>1</v>
      </c>
      <c r="AO117" s="422">
        <v>159.85</v>
      </c>
      <c r="AP117" s="272">
        <f t="shared" si="60"/>
        <v>0</v>
      </c>
      <c r="AQ117" s="272">
        <f>IFERROR(INDEX('Horo. M'!$M$3:M$367,MATCH(A117,'Horo. M'!$A$3:$A$367,0)),"")</f>
        <v>24</v>
      </c>
      <c r="AR117" s="422">
        <v>0</v>
      </c>
      <c r="AS117" s="422">
        <v>0</v>
      </c>
      <c r="AT117" s="272">
        <f t="shared" si="61"/>
        <v>24</v>
      </c>
      <c r="AU117" s="300">
        <f t="shared" si="62"/>
        <v>1</v>
      </c>
      <c r="AV117" s="275">
        <f t="shared" si="63"/>
        <v>1</v>
      </c>
      <c r="AW117" s="422">
        <v>179.22</v>
      </c>
      <c r="AX117" s="272">
        <f t="shared" si="64"/>
        <v>0</v>
      </c>
      <c r="AY117" s="272">
        <f>IFERROR(INDEX('Horo. M'!$O$3:O$367,MATCH(A117,'Horo. M'!$A$3:$A$367,0)),"")</f>
        <v>0</v>
      </c>
      <c r="AZ117" s="422">
        <v>24</v>
      </c>
      <c r="BA117" s="422">
        <v>0</v>
      </c>
      <c r="BB117" s="272">
        <f t="shared" si="65"/>
        <v>0</v>
      </c>
      <c r="BC117" s="300">
        <f t="shared" si="66"/>
        <v>0</v>
      </c>
      <c r="BD117" s="275">
        <f t="shared" si="67"/>
        <v>0</v>
      </c>
      <c r="BE117" s="422">
        <v>0</v>
      </c>
      <c r="BF117" s="272">
        <f t="shared" si="68"/>
        <v>1</v>
      </c>
      <c r="BG117" s="272">
        <f>IFERROR(INDEX('Horo. M'!$Q$3:Q$367,MATCH(A117,'Horo. M'!$A$3:$A$367,0)),"")</f>
        <v>23</v>
      </c>
      <c r="BH117" s="422">
        <v>0</v>
      </c>
      <c r="BI117" s="422">
        <v>0</v>
      </c>
      <c r="BJ117" s="272">
        <f t="shared" si="69"/>
        <v>24</v>
      </c>
      <c r="BK117" s="300">
        <f t="shared" si="70"/>
        <v>0.95833333333333337</v>
      </c>
      <c r="BL117" s="275">
        <f t="shared" si="71"/>
        <v>1</v>
      </c>
      <c r="BM117" s="422">
        <v>174.16</v>
      </c>
      <c r="BN117" s="272">
        <f t="shared" si="72"/>
        <v>0</v>
      </c>
      <c r="BO117" s="272">
        <f>IFERROR(INDEX('Horo. M'!$S$3:S$367,MATCH(A117,'Horo. M'!$A$3:$A$367,0)),"")</f>
        <v>24</v>
      </c>
      <c r="BP117" s="422">
        <v>0</v>
      </c>
      <c r="BQ117" s="422">
        <v>0</v>
      </c>
      <c r="BR117" s="272">
        <f t="shared" si="73"/>
        <v>24</v>
      </c>
      <c r="BS117" s="300">
        <f t="shared" si="74"/>
        <v>1</v>
      </c>
      <c r="BT117" s="275">
        <f t="shared" si="75"/>
        <v>1</v>
      </c>
      <c r="BU117" s="422">
        <v>178.18</v>
      </c>
      <c r="BV117" s="272">
        <f t="shared" si="76"/>
        <v>0</v>
      </c>
      <c r="BW117" s="272">
        <f>IFERROR(INDEX('Horo. M'!$U$3:U$367,MATCH(A117,'Horo. M'!$A$3:$A$367,0)),"")</f>
        <v>24</v>
      </c>
      <c r="BX117" s="422">
        <v>0</v>
      </c>
      <c r="BY117" s="422">
        <v>0</v>
      </c>
      <c r="BZ117" s="272">
        <f t="shared" si="77"/>
        <v>24</v>
      </c>
      <c r="CA117" s="300">
        <f t="shared" si="78"/>
        <v>1</v>
      </c>
      <c r="CB117" s="275">
        <f t="shared" si="79"/>
        <v>1</v>
      </c>
      <c r="CC117" s="422">
        <v>183.9</v>
      </c>
    </row>
    <row r="118" spans="1:81">
      <c r="A118" s="279">
        <v>45043</v>
      </c>
      <c r="B118" s="278">
        <f t="shared" si="40"/>
        <v>0</v>
      </c>
      <c r="C118" s="272">
        <f>IFERROR(INDEX('Horo. M'!$C$3:$C$367,MATCH(A118,'Horo. M'!$A$3:$A$367,0)),"")</f>
        <v>24</v>
      </c>
      <c r="D118" s="422">
        <v>0</v>
      </c>
      <c r="E118" s="422">
        <v>0</v>
      </c>
      <c r="F118" s="272">
        <f t="shared" si="41"/>
        <v>24</v>
      </c>
      <c r="G118" s="300">
        <f t="shared" si="42"/>
        <v>1</v>
      </c>
      <c r="H118" s="275">
        <f t="shared" si="43"/>
        <v>1</v>
      </c>
      <c r="I118" s="422">
        <v>186.1</v>
      </c>
      <c r="J118" s="278">
        <f t="shared" si="44"/>
        <v>0</v>
      </c>
      <c r="K118" s="272">
        <f>IFERROR(INDEX('Horo. M'!$E$3:$E$367,MATCH(A118,'Horo. M'!$A$3:$A$367,0)),"")</f>
        <v>0</v>
      </c>
      <c r="L118" s="422">
        <v>24</v>
      </c>
      <c r="M118" s="422">
        <v>0</v>
      </c>
      <c r="N118" s="272">
        <f t="shared" si="45"/>
        <v>0</v>
      </c>
      <c r="O118" s="300">
        <f t="shared" si="46"/>
        <v>0</v>
      </c>
      <c r="P118" s="275">
        <f t="shared" si="47"/>
        <v>0</v>
      </c>
      <c r="Q118" s="422">
        <v>0</v>
      </c>
      <c r="R118" s="278">
        <f t="shared" si="48"/>
        <v>0</v>
      </c>
      <c r="S118" s="272">
        <f>IFERROR(INDEX('Horo. M'!G$3:$G$367,MATCH(A118,'Horo. M'!$A$3:$A$367,0)),"")</f>
        <v>24</v>
      </c>
      <c r="T118" s="422">
        <v>0</v>
      </c>
      <c r="U118" s="422">
        <v>0</v>
      </c>
      <c r="V118" s="272">
        <f t="shared" si="49"/>
        <v>24</v>
      </c>
      <c r="W118" s="300">
        <f t="shared" si="50"/>
        <v>1</v>
      </c>
      <c r="X118" s="275">
        <f t="shared" si="51"/>
        <v>1</v>
      </c>
      <c r="Y118" s="422">
        <v>187.3</v>
      </c>
      <c r="Z118" s="278">
        <f t="shared" si="52"/>
        <v>0</v>
      </c>
      <c r="AA118" s="272">
        <f>IFERROR(INDEX('Horo. M'!$I$3:I$367,MATCH(A118,'Horo. M'!$A$3:$A$367,0)),"")</f>
        <v>24</v>
      </c>
      <c r="AB118" s="422">
        <v>0</v>
      </c>
      <c r="AC118" s="422">
        <v>0</v>
      </c>
      <c r="AD118" s="272">
        <f t="shared" si="53"/>
        <v>24</v>
      </c>
      <c r="AE118" s="300">
        <f t="shared" si="54"/>
        <v>1</v>
      </c>
      <c r="AF118" s="275">
        <f t="shared" si="55"/>
        <v>1</v>
      </c>
      <c r="AG118" s="422">
        <v>180.35</v>
      </c>
      <c r="AH118" s="272">
        <f t="shared" si="56"/>
        <v>0</v>
      </c>
      <c r="AI118" s="272">
        <f>IFERROR(INDEX('Horo. M'!$K$3:K$367,MATCH(A118,'Horo. M'!$A$3:$A$367,0)),"")</f>
        <v>24</v>
      </c>
      <c r="AJ118" s="422">
        <v>0</v>
      </c>
      <c r="AK118" s="422">
        <v>0</v>
      </c>
      <c r="AL118" s="272">
        <f t="shared" si="57"/>
        <v>24</v>
      </c>
      <c r="AM118" s="300">
        <f t="shared" si="58"/>
        <v>1</v>
      </c>
      <c r="AN118" s="275">
        <f t="shared" si="59"/>
        <v>1</v>
      </c>
      <c r="AO118" s="422">
        <v>136.63999999999999</v>
      </c>
      <c r="AP118" s="272">
        <f t="shared" si="60"/>
        <v>0</v>
      </c>
      <c r="AQ118" s="272">
        <f>IFERROR(INDEX('Horo. M'!$M$3:M$367,MATCH(A118,'Horo. M'!$A$3:$A$367,0)),"")</f>
        <v>24</v>
      </c>
      <c r="AR118" s="422">
        <v>0</v>
      </c>
      <c r="AS118" s="422">
        <v>0</v>
      </c>
      <c r="AT118" s="272">
        <f t="shared" si="61"/>
        <v>24</v>
      </c>
      <c r="AU118" s="300">
        <f t="shared" si="62"/>
        <v>1</v>
      </c>
      <c r="AV118" s="275">
        <f t="shared" si="63"/>
        <v>1</v>
      </c>
      <c r="AW118" s="422">
        <v>184.11</v>
      </c>
      <c r="AX118" s="272">
        <f t="shared" si="64"/>
        <v>0</v>
      </c>
      <c r="AY118" s="272">
        <f>IFERROR(INDEX('Horo. M'!$O$3:O$367,MATCH(A118,'Horo. M'!$A$3:$A$367,0)),"")</f>
        <v>0</v>
      </c>
      <c r="AZ118" s="422">
        <v>24</v>
      </c>
      <c r="BA118" s="422">
        <v>0</v>
      </c>
      <c r="BB118" s="272">
        <f t="shared" si="65"/>
        <v>0</v>
      </c>
      <c r="BC118" s="300">
        <f t="shared" si="66"/>
        <v>0</v>
      </c>
      <c r="BD118" s="275">
        <f t="shared" si="67"/>
        <v>0</v>
      </c>
      <c r="BE118" s="422">
        <v>0</v>
      </c>
      <c r="BF118" s="272">
        <f t="shared" si="68"/>
        <v>0</v>
      </c>
      <c r="BG118" s="272">
        <f>IFERROR(INDEX('Horo. M'!$Q$3:Q$367,MATCH(A118,'Horo. M'!$A$3:$A$367,0)),"")</f>
        <v>24</v>
      </c>
      <c r="BH118" s="422">
        <v>0</v>
      </c>
      <c r="BI118" s="422">
        <v>0</v>
      </c>
      <c r="BJ118" s="272">
        <f t="shared" si="69"/>
        <v>24</v>
      </c>
      <c r="BK118" s="300">
        <f t="shared" si="70"/>
        <v>1</v>
      </c>
      <c r="BL118" s="275">
        <f t="shared" si="71"/>
        <v>1</v>
      </c>
      <c r="BM118" s="422">
        <v>185.16</v>
      </c>
      <c r="BN118" s="272">
        <f t="shared" si="72"/>
        <v>6</v>
      </c>
      <c r="BO118" s="272">
        <f>IFERROR(INDEX('Horo. M'!$S$3:S$367,MATCH(A118,'Horo. M'!$A$3:$A$367,0)),"")</f>
        <v>0</v>
      </c>
      <c r="BP118" s="422">
        <v>0</v>
      </c>
      <c r="BQ118" s="422">
        <v>18</v>
      </c>
      <c r="BR118" s="272">
        <f t="shared" si="73"/>
        <v>6</v>
      </c>
      <c r="BS118" s="300">
        <f t="shared" si="74"/>
        <v>0</v>
      </c>
      <c r="BT118" s="275">
        <f t="shared" si="75"/>
        <v>0.25</v>
      </c>
      <c r="BU118" s="422">
        <v>0.03</v>
      </c>
      <c r="BV118" s="272">
        <f t="shared" si="76"/>
        <v>3</v>
      </c>
      <c r="BW118" s="272">
        <f>IFERROR(INDEX('Horo. M'!$U$3:U$367,MATCH(A118,'Horo. M'!$A$3:$A$367,0)),"")</f>
        <v>21</v>
      </c>
      <c r="BX118" s="422">
        <v>0</v>
      </c>
      <c r="BY118" s="422">
        <v>0</v>
      </c>
      <c r="BZ118" s="272">
        <f t="shared" si="77"/>
        <v>24</v>
      </c>
      <c r="CA118" s="300">
        <f t="shared" si="78"/>
        <v>0.875</v>
      </c>
      <c r="CB118" s="275">
        <f t="shared" si="79"/>
        <v>1</v>
      </c>
      <c r="CC118" s="422">
        <v>155.21</v>
      </c>
    </row>
    <row r="119" spans="1:81">
      <c r="A119" s="279">
        <v>45044</v>
      </c>
      <c r="B119" s="278">
        <f t="shared" si="40"/>
        <v>0</v>
      </c>
      <c r="C119" s="272">
        <f>IFERROR(INDEX('Horo. M'!$C$3:$C$367,MATCH(A119,'Horo. M'!$A$3:$A$367,0)),"")</f>
        <v>24</v>
      </c>
      <c r="D119" s="422">
        <v>0</v>
      </c>
      <c r="E119" s="422">
        <v>0</v>
      </c>
      <c r="F119" s="272">
        <f t="shared" si="41"/>
        <v>24</v>
      </c>
      <c r="G119" s="274">
        <f t="shared" si="42"/>
        <v>1</v>
      </c>
      <c r="H119" s="275">
        <f t="shared" si="43"/>
        <v>1</v>
      </c>
      <c r="I119" s="422">
        <v>185.5</v>
      </c>
      <c r="J119" s="278">
        <f t="shared" si="44"/>
        <v>0</v>
      </c>
      <c r="K119" s="272">
        <f>IFERROR(INDEX('Horo. M'!$E$3:$E$367,MATCH(A119,'Horo. M'!$A$3:$A$367,0)),"")</f>
        <v>0</v>
      </c>
      <c r="L119" s="422">
        <v>24</v>
      </c>
      <c r="M119" s="422">
        <v>0</v>
      </c>
      <c r="N119" s="272">
        <f t="shared" si="45"/>
        <v>0</v>
      </c>
      <c r="O119" s="274">
        <f t="shared" si="46"/>
        <v>0</v>
      </c>
      <c r="P119" s="275">
        <f t="shared" si="47"/>
        <v>0</v>
      </c>
      <c r="Q119" s="422">
        <v>0</v>
      </c>
      <c r="R119" s="278">
        <f t="shared" si="48"/>
        <v>0</v>
      </c>
      <c r="S119" s="272">
        <f>IFERROR(INDEX('Horo. M'!G$3:$G$367,MATCH(A119,'Horo. M'!$A$3:$A$367,0)),"")</f>
        <v>24</v>
      </c>
      <c r="T119" s="422">
        <v>0</v>
      </c>
      <c r="U119" s="422">
        <v>0</v>
      </c>
      <c r="V119" s="272">
        <f t="shared" si="49"/>
        <v>24</v>
      </c>
      <c r="W119" s="274">
        <f t="shared" si="50"/>
        <v>1</v>
      </c>
      <c r="X119" s="275">
        <f t="shared" si="51"/>
        <v>1</v>
      </c>
      <c r="Y119" s="422">
        <v>187.59</v>
      </c>
      <c r="Z119" s="278">
        <f t="shared" si="52"/>
        <v>0</v>
      </c>
      <c r="AA119" s="272">
        <f>IFERROR(INDEX('Horo. M'!$I$3:I$367,MATCH(A119,'Horo. M'!$A$3:$A$367,0)),"")</f>
        <v>24</v>
      </c>
      <c r="AB119" s="422">
        <v>0</v>
      </c>
      <c r="AC119" s="422">
        <v>0</v>
      </c>
      <c r="AD119" s="272">
        <f t="shared" si="53"/>
        <v>24</v>
      </c>
      <c r="AE119" s="274">
        <f t="shared" si="54"/>
        <v>1</v>
      </c>
      <c r="AF119" s="275">
        <f t="shared" si="55"/>
        <v>1</v>
      </c>
      <c r="AG119" s="422">
        <v>190.22</v>
      </c>
      <c r="AH119" s="272">
        <f t="shared" si="56"/>
        <v>1</v>
      </c>
      <c r="AI119" s="272">
        <f>IFERROR(INDEX('Horo. M'!$K$3:K$367,MATCH(A119,'Horo. M'!$A$3:$A$367,0)),"")</f>
        <v>23</v>
      </c>
      <c r="AJ119" s="422">
        <v>0</v>
      </c>
      <c r="AK119" s="422">
        <v>0</v>
      </c>
      <c r="AL119" s="272">
        <f t="shared" si="57"/>
        <v>24</v>
      </c>
      <c r="AM119" s="274">
        <f t="shared" si="58"/>
        <v>0.95833333333333337</v>
      </c>
      <c r="AN119" s="275">
        <f t="shared" si="59"/>
        <v>1</v>
      </c>
      <c r="AO119" s="422">
        <v>139.94999999999999</v>
      </c>
      <c r="AP119" s="272">
        <f t="shared" si="60"/>
        <v>0</v>
      </c>
      <c r="AQ119" s="272">
        <f>IFERROR(INDEX('Horo. M'!$M$3:M$367,MATCH(A119,'Horo. M'!$A$3:$A$367,0)),"")</f>
        <v>24</v>
      </c>
      <c r="AR119" s="422">
        <v>0</v>
      </c>
      <c r="AS119" s="422">
        <v>0</v>
      </c>
      <c r="AT119" s="272">
        <f t="shared" si="61"/>
        <v>24</v>
      </c>
      <c r="AU119" s="274">
        <f t="shared" si="62"/>
        <v>1</v>
      </c>
      <c r="AV119" s="275">
        <f t="shared" si="63"/>
        <v>1</v>
      </c>
      <c r="AW119" s="422">
        <v>187.99</v>
      </c>
      <c r="AX119" s="272">
        <f t="shared" si="64"/>
        <v>0</v>
      </c>
      <c r="AY119" s="272">
        <f>IFERROR(INDEX('Horo. M'!$O$3:O$367,MATCH(A119,'Horo. M'!$A$3:$A$367,0)),"")</f>
        <v>1</v>
      </c>
      <c r="AZ119" s="422">
        <v>23</v>
      </c>
      <c r="BA119" s="422">
        <v>0</v>
      </c>
      <c r="BB119" s="272">
        <f t="shared" si="65"/>
        <v>1</v>
      </c>
      <c r="BC119" s="274">
        <f t="shared" si="66"/>
        <v>4.1666666666666664E-2</v>
      </c>
      <c r="BD119" s="275">
        <f t="shared" si="67"/>
        <v>4.1666666666666664E-2</v>
      </c>
      <c r="BE119" s="422">
        <v>0</v>
      </c>
      <c r="BF119" s="272">
        <f t="shared" si="68"/>
        <v>0</v>
      </c>
      <c r="BG119" s="272">
        <f>IFERROR(INDEX('Horo. M'!$Q$3:Q$367,MATCH(A119,'Horo. M'!$A$3:$A$367,0)),"")</f>
        <v>24</v>
      </c>
      <c r="BH119" s="422">
        <v>0</v>
      </c>
      <c r="BI119" s="422">
        <v>0</v>
      </c>
      <c r="BJ119" s="272">
        <f t="shared" si="69"/>
        <v>24</v>
      </c>
      <c r="BK119" s="274">
        <f t="shared" si="70"/>
        <v>1</v>
      </c>
      <c r="BL119" s="275">
        <f t="shared" si="71"/>
        <v>1</v>
      </c>
      <c r="BM119" s="422">
        <v>190.62</v>
      </c>
      <c r="BN119" s="272">
        <f t="shared" si="72"/>
        <v>2</v>
      </c>
      <c r="BO119" s="272">
        <f>IFERROR(INDEX('Horo. M'!$S$3:S$367,MATCH(A119,'Horo. M'!$A$3:$A$367,0)),"")</f>
        <v>19</v>
      </c>
      <c r="BP119" s="422">
        <v>0</v>
      </c>
      <c r="BQ119" s="422">
        <v>3</v>
      </c>
      <c r="BR119" s="272">
        <f t="shared" si="73"/>
        <v>21</v>
      </c>
      <c r="BS119" s="274">
        <f t="shared" si="74"/>
        <v>0.79166666666666663</v>
      </c>
      <c r="BT119" s="275">
        <f t="shared" si="75"/>
        <v>0.875</v>
      </c>
      <c r="BU119" s="422">
        <v>143.75</v>
      </c>
      <c r="BV119" s="272">
        <f t="shared" si="76"/>
        <v>0</v>
      </c>
      <c r="BW119" s="272">
        <f>IFERROR(INDEX('Horo. M'!$U$3:U$367,MATCH(A119,'Horo. M'!$A$3:$A$367,0)),"")</f>
        <v>24</v>
      </c>
      <c r="BX119" s="422">
        <v>0</v>
      </c>
      <c r="BY119" s="422">
        <v>0</v>
      </c>
      <c r="BZ119" s="272">
        <f t="shared" si="77"/>
        <v>24</v>
      </c>
      <c r="CA119" s="274">
        <f t="shared" si="78"/>
        <v>1</v>
      </c>
      <c r="CB119" s="275">
        <f t="shared" si="79"/>
        <v>1</v>
      </c>
      <c r="CC119" s="422">
        <v>186.27</v>
      </c>
    </row>
    <row r="120" spans="1:81">
      <c r="A120" s="279">
        <v>45045</v>
      </c>
      <c r="B120" s="278">
        <f t="shared" si="40"/>
        <v>0</v>
      </c>
      <c r="C120" s="272">
        <f>IFERROR(INDEX('Horo. M'!$C$3:$C$367,MATCH(A120,'Horo. M'!$A$3:$A$367,0)),"")</f>
        <v>24</v>
      </c>
      <c r="D120" s="422">
        <v>0</v>
      </c>
      <c r="E120" s="422">
        <v>0</v>
      </c>
      <c r="F120" s="272">
        <f t="shared" si="41"/>
        <v>24</v>
      </c>
      <c r="G120" s="300">
        <f t="shared" si="42"/>
        <v>1</v>
      </c>
      <c r="H120" s="275">
        <f t="shared" si="43"/>
        <v>1</v>
      </c>
      <c r="I120" s="422">
        <v>173.6</v>
      </c>
      <c r="J120" s="278">
        <f t="shared" si="44"/>
        <v>0</v>
      </c>
      <c r="K120" s="272">
        <f>IFERROR(INDEX('Horo. M'!$E$3:$E$367,MATCH(A120,'Horo. M'!$A$3:$A$367,0)),"")</f>
        <v>0</v>
      </c>
      <c r="L120" s="422">
        <v>24</v>
      </c>
      <c r="M120" s="422">
        <v>0</v>
      </c>
      <c r="N120" s="272">
        <f t="shared" si="45"/>
        <v>0</v>
      </c>
      <c r="O120" s="300">
        <f t="shared" si="46"/>
        <v>0</v>
      </c>
      <c r="P120" s="275">
        <f t="shared" si="47"/>
        <v>0</v>
      </c>
      <c r="Q120" s="422">
        <v>0</v>
      </c>
      <c r="R120" s="278">
        <f t="shared" si="48"/>
        <v>0</v>
      </c>
      <c r="S120" s="272">
        <f>IFERROR(INDEX('Horo. M'!G$3:$G$367,MATCH(A120,'Horo. M'!$A$3:$A$367,0)),"")</f>
        <v>24</v>
      </c>
      <c r="T120" s="422">
        <v>0</v>
      </c>
      <c r="U120" s="422">
        <v>0</v>
      </c>
      <c r="V120" s="272">
        <f t="shared" si="49"/>
        <v>24</v>
      </c>
      <c r="W120" s="300">
        <f t="shared" si="50"/>
        <v>1</v>
      </c>
      <c r="X120" s="275">
        <f t="shared" si="51"/>
        <v>1</v>
      </c>
      <c r="Y120" s="422">
        <v>175.88</v>
      </c>
      <c r="Z120" s="278">
        <f t="shared" si="52"/>
        <v>0</v>
      </c>
      <c r="AA120" s="272">
        <f>IFERROR(INDEX('Horo. M'!$I$3:I$367,MATCH(A120,'Horo. M'!$A$3:$A$367,0)),"")</f>
        <v>24</v>
      </c>
      <c r="AB120" s="422">
        <v>0</v>
      </c>
      <c r="AC120" s="422">
        <v>0</v>
      </c>
      <c r="AD120" s="272">
        <f t="shared" si="53"/>
        <v>24</v>
      </c>
      <c r="AE120" s="300">
        <f t="shared" si="54"/>
        <v>1</v>
      </c>
      <c r="AF120" s="275">
        <f t="shared" si="55"/>
        <v>1</v>
      </c>
      <c r="AG120" s="422">
        <v>174.1</v>
      </c>
      <c r="AH120" s="272">
        <f t="shared" si="56"/>
        <v>0</v>
      </c>
      <c r="AI120" s="272">
        <f>IFERROR(INDEX('Horo. M'!$K$3:K$367,MATCH(A120,'Horo. M'!$A$3:$A$367,0)),"")</f>
        <v>24</v>
      </c>
      <c r="AJ120" s="422">
        <v>0</v>
      </c>
      <c r="AK120" s="422">
        <v>0</v>
      </c>
      <c r="AL120" s="272">
        <f t="shared" si="57"/>
        <v>24</v>
      </c>
      <c r="AM120" s="300">
        <f t="shared" si="58"/>
        <v>1</v>
      </c>
      <c r="AN120" s="275">
        <f t="shared" si="59"/>
        <v>1</v>
      </c>
      <c r="AO120" s="422">
        <v>144.04</v>
      </c>
      <c r="AP120" s="272">
        <f t="shared" si="60"/>
        <v>0</v>
      </c>
      <c r="AQ120" s="272">
        <f>IFERROR(INDEX('Horo. M'!$M$3:M$367,MATCH(A120,'Horo. M'!$A$3:$A$367,0)),"")</f>
        <v>24</v>
      </c>
      <c r="AR120" s="422">
        <v>0</v>
      </c>
      <c r="AS120" s="422">
        <v>0</v>
      </c>
      <c r="AT120" s="272">
        <f t="shared" si="61"/>
        <v>24</v>
      </c>
      <c r="AU120" s="300">
        <f t="shared" si="62"/>
        <v>1</v>
      </c>
      <c r="AV120" s="275">
        <f t="shared" si="63"/>
        <v>1</v>
      </c>
      <c r="AW120" s="422">
        <v>173.51</v>
      </c>
      <c r="AX120" s="272">
        <f t="shared" si="64"/>
        <v>8</v>
      </c>
      <c r="AY120" s="272">
        <f>IFERROR(INDEX('Horo. M'!$O$3:O$367,MATCH(A120,'Horo. M'!$A$3:$A$367,0)),"")</f>
        <v>4</v>
      </c>
      <c r="AZ120" s="422">
        <v>12</v>
      </c>
      <c r="BA120" s="422">
        <v>0</v>
      </c>
      <c r="BB120" s="272">
        <f t="shared" si="65"/>
        <v>12</v>
      </c>
      <c r="BC120" s="300">
        <f t="shared" si="66"/>
        <v>0.16666666666666666</v>
      </c>
      <c r="BD120" s="275">
        <f t="shared" si="67"/>
        <v>0.5</v>
      </c>
      <c r="BE120" s="422">
        <v>23.02</v>
      </c>
      <c r="BF120" s="272">
        <f t="shared" si="68"/>
        <v>0</v>
      </c>
      <c r="BG120" s="272">
        <f>IFERROR(INDEX('Horo. M'!$Q$3:Q$367,MATCH(A120,'Horo. M'!$A$3:$A$367,0)),"")</f>
        <v>24</v>
      </c>
      <c r="BH120" s="422">
        <v>0</v>
      </c>
      <c r="BI120" s="422">
        <v>0</v>
      </c>
      <c r="BJ120" s="272">
        <f t="shared" si="69"/>
        <v>24</v>
      </c>
      <c r="BK120" s="300">
        <f t="shared" si="70"/>
        <v>1</v>
      </c>
      <c r="BL120" s="275">
        <f t="shared" si="71"/>
        <v>1</v>
      </c>
      <c r="BM120" s="422">
        <v>177.61</v>
      </c>
      <c r="BN120" s="272">
        <f t="shared" si="72"/>
        <v>1</v>
      </c>
      <c r="BO120" s="272">
        <f>IFERROR(INDEX('Horo. M'!$S$3:S$367,MATCH(A120,'Horo. M'!$A$3:$A$367,0)),"")</f>
        <v>23</v>
      </c>
      <c r="BP120" s="422">
        <v>0</v>
      </c>
      <c r="BQ120" s="422">
        <v>0</v>
      </c>
      <c r="BR120" s="272">
        <f t="shared" si="73"/>
        <v>24</v>
      </c>
      <c r="BS120" s="300">
        <f t="shared" si="74"/>
        <v>0.95833333333333337</v>
      </c>
      <c r="BT120" s="275">
        <f t="shared" si="75"/>
        <v>1</v>
      </c>
      <c r="BU120" s="422">
        <v>161.82</v>
      </c>
      <c r="BV120" s="272">
        <f t="shared" si="76"/>
        <v>0</v>
      </c>
      <c r="BW120" s="272">
        <f>IFERROR(INDEX('Horo. M'!$U$3:U$367,MATCH(A120,'Horo. M'!$A$3:$A$367,0)),"")</f>
        <v>24</v>
      </c>
      <c r="BX120" s="422">
        <v>0</v>
      </c>
      <c r="BY120" s="422">
        <v>0</v>
      </c>
      <c r="BZ120" s="272">
        <f t="shared" si="77"/>
        <v>24</v>
      </c>
      <c r="CA120" s="300">
        <f t="shared" si="78"/>
        <v>1</v>
      </c>
      <c r="CB120" s="275">
        <f t="shared" si="79"/>
        <v>1</v>
      </c>
      <c r="CC120" s="422">
        <v>175.33</v>
      </c>
    </row>
    <row r="121" spans="1:81">
      <c r="A121" s="279">
        <v>45046</v>
      </c>
      <c r="B121" s="278">
        <f t="shared" si="40"/>
        <v>0</v>
      </c>
      <c r="C121" s="272">
        <f>IFERROR(INDEX('Horo. M'!$C$3:$C$367,MATCH(A121,'Horo. M'!$A$3:$A$367,0)),"")</f>
        <v>23</v>
      </c>
      <c r="D121" s="422">
        <v>0</v>
      </c>
      <c r="E121" s="422">
        <v>1</v>
      </c>
      <c r="F121" s="272">
        <f t="shared" si="41"/>
        <v>23</v>
      </c>
      <c r="G121" s="274">
        <f t="shared" si="42"/>
        <v>0.95833333333333337</v>
      </c>
      <c r="H121" s="275">
        <f t="shared" si="43"/>
        <v>0.95833333333333337</v>
      </c>
      <c r="I121" s="422">
        <v>167.9</v>
      </c>
      <c r="J121" s="278">
        <f t="shared" si="44"/>
        <v>0</v>
      </c>
      <c r="K121" s="272">
        <f>IFERROR(INDEX('Horo. M'!$E$3:$E$367,MATCH(A121,'Horo. M'!$A$3:$A$367,0)),"")</f>
        <v>0</v>
      </c>
      <c r="L121" s="422">
        <v>24</v>
      </c>
      <c r="M121" s="422">
        <v>0</v>
      </c>
      <c r="N121" s="272">
        <f t="shared" si="45"/>
        <v>0</v>
      </c>
      <c r="O121" s="274">
        <f t="shared" si="46"/>
        <v>0</v>
      </c>
      <c r="P121" s="275">
        <f t="shared" si="47"/>
        <v>0</v>
      </c>
      <c r="Q121" s="422">
        <v>0</v>
      </c>
      <c r="R121" s="278">
        <f t="shared" si="48"/>
        <v>0</v>
      </c>
      <c r="S121" s="272">
        <f>IFERROR(INDEX('Horo. M'!G$3:$G$367,MATCH(A121,'Horo. M'!$A$3:$A$367,0)),"")</f>
        <v>23</v>
      </c>
      <c r="T121" s="422">
        <v>0</v>
      </c>
      <c r="U121" s="422">
        <v>1</v>
      </c>
      <c r="V121" s="272">
        <f t="shared" si="49"/>
        <v>23</v>
      </c>
      <c r="W121" s="274">
        <f t="shared" si="50"/>
        <v>0.95833333333333337</v>
      </c>
      <c r="X121" s="275">
        <f t="shared" si="51"/>
        <v>0.95833333333333337</v>
      </c>
      <c r="Y121" s="422">
        <v>171.48</v>
      </c>
      <c r="Z121" s="278">
        <f t="shared" si="52"/>
        <v>0</v>
      </c>
      <c r="AA121" s="272">
        <f>IFERROR(INDEX('Horo. M'!$I$3:I$367,MATCH(A121,'Horo. M'!$A$3:$A$367,0)),"")</f>
        <v>24</v>
      </c>
      <c r="AB121" s="422">
        <v>0</v>
      </c>
      <c r="AC121" s="422">
        <v>0</v>
      </c>
      <c r="AD121" s="272">
        <f t="shared" si="53"/>
        <v>24</v>
      </c>
      <c r="AE121" s="274">
        <f t="shared" si="54"/>
        <v>1</v>
      </c>
      <c r="AF121" s="275">
        <f t="shared" si="55"/>
        <v>1</v>
      </c>
      <c r="AG121" s="422">
        <v>173</v>
      </c>
      <c r="AH121" s="272">
        <f t="shared" si="56"/>
        <v>2</v>
      </c>
      <c r="AI121" s="272">
        <f>IFERROR(INDEX('Horo. M'!$K$3:K$367,MATCH(A121,'Horo. M'!$A$3:$A$367,0)),"")</f>
        <v>22</v>
      </c>
      <c r="AJ121" s="422">
        <v>0</v>
      </c>
      <c r="AK121" s="422">
        <v>0</v>
      </c>
      <c r="AL121" s="272">
        <f t="shared" si="57"/>
        <v>24</v>
      </c>
      <c r="AM121" s="274">
        <f t="shared" si="58"/>
        <v>0.91666666666666663</v>
      </c>
      <c r="AN121" s="275">
        <f t="shared" si="59"/>
        <v>1</v>
      </c>
      <c r="AO121" s="422">
        <v>107.62</v>
      </c>
      <c r="AP121" s="272">
        <f t="shared" si="60"/>
        <v>1</v>
      </c>
      <c r="AQ121" s="272">
        <f>IFERROR(INDEX('Horo. M'!$M$3:M$367,MATCH(A121,'Horo. M'!$A$3:$A$367,0)),"")</f>
        <v>23</v>
      </c>
      <c r="AR121" s="422">
        <v>0</v>
      </c>
      <c r="AS121" s="422">
        <v>0</v>
      </c>
      <c r="AT121" s="272">
        <f t="shared" si="61"/>
        <v>24</v>
      </c>
      <c r="AU121" s="274">
        <f t="shared" si="62"/>
        <v>0.95833333333333337</v>
      </c>
      <c r="AV121" s="275">
        <f t="shared" si="63"/>
        <v>1</v>
      </c>
      <c r="AW121" s="422">
        <v>166.06</v>
      </c>
      <c r="AX121" s="272">
        <f t="shared" si="64"/>
        <v>8</v>
      </c>
      <c r="AY121" s="272">
        <f>IFERROR(INDEX('Horo. M'!$O$3:O$367,MATCH(A121,'Horo. M'!$A$3:$A$367,0)),"")</f>
        <v>4</v>
      </c>
      <c r="AZ121" s="422">
        <v>12</v>
      </c>
      <c r="BA121" s="422">
        <v>0</v>
      </c>
      <c r="BB121" s="272">
        <f t="shared" si="65"/>
        <v>12</v>
      </c>
      <c r="BC121" s="274">
        <f t="shared" si="66"/>
        <v>0.16666666666666666</v>
      </c>
      <c r="BD121" s="275">
        <f t="shared" si="67"/>
        <v>0.5</v>
      </c>
      <c r="BE121" s="422">
        <v>21.17</v>
      </c>
      <c r="BF121" s="272">
        <f t="shared" si="68"/>
        <v>0</v>
      </c>
      <c r="BG121" s="272">
        <f>IFERROR(INDEX('Horo. M'!$Q$3:Q$367,MATCH(A121,'Horo. M'!$A$3:$A$367,0)),"")</f>
        <v>24</v>
      </c>
      <c r="BH121" s="422">
        <v>0</v>
      </c>
      <c r="BI121" s="422">
        <v>0</v>
      </c>
      <c r="BJ121" s="272">
        <f t="shared" si="69"/>
        <v>24</v>
      </c>
      <c r="BK121" s="274">
        <f t="shared" si="70"/>
        <v>1</v>
      </c>
      <c r="BL121" s="275">
        <f t="shared" si="71"/>
        <v>1</v>
      </c>
      <c r="BM121" s="422">
        <v>180.53</v>
      </c>
      <c r="BN121" s="272">
        <f t="shared" si="72"/>
        <v>0</v>
      </c>
      <c r="BO121" s="272">
        <f>IFERROR(INDEX('Horo. M'!$S$3:S$367,MATCH(A121,'Horo. M'!$A$3:$A$367,0)),"")</f>
        <v>24</v>
      </c>
      <c r="BP121" s="422">
        <v>0</v>
      </c>
      <c r="BQ121" s="422">
        <v>0</v>
      </c>
      <c r="BR121" s="272">
        <f t="shared" si="73"/>
        <v>24</v>
      </c>
      <c r="BS121" s="274">
        <f t="shared" si="74"/>
        <v>1</v>
      </c>
      <c r="BT121" s="275">
        <f t="shared" si="75"/>
        <v>1</v>
      </c>
      <c r="BU121" s="422">
        <v>179.23</v>
      </c>
      <c r="BV121" s="272">
        <f t="shared" si="76"/>
        <v>0</v>
      </c>
      <c r="BW121" s="272">
        <f>IFERROR(INDEX('Horo. M'!$U$3:U$367,MATCH(A121,'Horo. M'!$A$3:$A$367,0)),"")</f>
        <v>24</v>
      </c>
      <c r="BX121" s="422">
        <v>0</v>
      </c>
      <c r="BY121" s="422">
        <v>0</v>
      </c>
      <c r="BZ121" s="272">
        <f t="shared" si="77"/>
        <v>24</v>
      </c>
      <c r="CA121" s="274">
        <f t="shared" si="78"/>
        <v>1</v>
      </c>
      <c r="CB121" s="275">
        <f t="shared" si="79"/>
        <v>1</v>
      </c>
      <c r="CC121" s="422">
        <v>180.17</v>
      </c>
    </row>
    <row r="122" spans="1:81">
      <c r="A122" s="279">
        <v>45047</v>
      </c>
      <c r="B122" s="272">
        <f>24-C122-D122-E122</f>
        <v>0</v>
      </c>
      <c r="C122" s="272">
        <f>IFERROR(INDEX('Horo. M'!$C$3:$C$367,MATCH(A122,'Horo. M'!$A$3:$A$367,0)),"")</f>
        <v>24</v>
      </c>
      <c r="D122" s="422">
        <v>0</v>
      </c>
      <c r="E122" s="422">
        <v>0</v>
      </c>
      <c r="F122" s="272">
        <f t="shared" si="41"/>
        <v>24</v>
      </c>
      <c r="G122" s="274">
        <f t="shared" si="42"/>
        <v>1</v>
      </c>
      <c r="H122" s="275">
        <f t="shared" si="43"/>
        <v>1</v>
      </c>
      <c r="I122" s="422">
        <v>165.4</v>
      </c>
      <c r="J122" s="278">
        <f t="shared" si="44"/>
        <v>0</v>
      </c>
      <c r="K122" s="272">
        <f>IFERROR(INDEX('Horo. M'!$E$3:$E$367,MATCH(A122,'Horo. M'!$A$3:$A$367,0)),"")</f>
        <v>0</v>
      </c>
      <c r="L122" s="422">
        <v>24</v>
      </c>
      <c r="M122" s="422">
        <v>0</v>
      </c>
      <c r="N122" s="272">
        <f t="shared" si="45"/>
        <v>0</v>
      </c>
      <c r="O122" s="274">
        <f t="shared" si="46"/>
        <v>0</v>
      </c>
      <c r="P122" s="275">
        <f t="shared" si="47"/>
        <v>0</v>
      </c>
      <c r="Q122" s="422">
        <v>0</v>
      </c>
      <c r="R122" s="278">
        <f t="shared" si="48"/>
        <v>0</v>
      </c>
      <c r="S122" s="272">
        <f>IFERROR(INDEX('Horo. M'!G$3:$G$367,MATCH(A122,'Horo. M'!$A$3:$A$367,0)),"")</f>
        <v>24</v>
      </c>
      <c r="T122" s="422">
        <v>0</v>
      </c>
      <c r="U122" s="422">
        <v>0</v>
      </c>
      <c r="V122" s="272">
        <f t="shared" si="49"/>
        <v>24</v>
      </c>
      <c r="W122" s="274">
        <f t="shared" si="50"/>
        <v>1</v>
      </c>
      <c r="X122" s="275">
        <f t="shared" si="51"/>
        <v>1</v>
      </c>
      <c r="Y122" s="422">
        <v>169.42</v>
      </c>
      <c r="Z122" s="278">
        <f t="shared" si="52"/>
        <v>0</v>
      </c>
      <c r="AA122" s="272">
        <f>IFERROR(INDEX('Horo. M'!$I$3:I$367,MATCH(A122,'Horo. M'!$A$3:$A$367,0)),"")</f>
        <v>24</v>
      </c>
      <c r="AB122" s="422">
        <v>0</v>
      </c>
      <c r="AC122" s="422">
        <v>0</v>
      </c>
      <c r="AD122" s="272">
        <f t="shared" si="53"/>
        <v>24</v>
      </c>
      <c r="AE122" s="274">
        <f t="shared" si="54"/>
        <v>1</v>
      </c>
      <c r="AF122" s="275">
        <f t="shared" si="55"/>
        <v>1</v>
      </c>
      <c r="AG122" s="422">
        <v>171.36</v>
      </c>
      <c r="AH122" s="272">
        <f t="shared" si="56"/>
        <v>0</v>
      </c>
      <c r="AI122" s="272">
        <f>IFERROR(INDEX('Horo. M'!$K$3:K$367,MATCH(A122,'Horo. M'!$A$3:$A$367,0)),"")</f>
        <v>0</v>
      </c>
      <c r="AJ122" s="422">
        <v>0</v>
      </c>
      <c r="AK122" s="422">
        <v>24</v>
      </c>
      <c r="AL122" s="272">
        <f t="shared" si="57"/>
        <v>0</v>
      </c>
      <c r="AM122" s="274">
        <f t="shared" si="58"/>
        <v>0</v>
      </c>
      <c r="AN122" s="275">
        <f t="shared" si="59"/>
        <v>0</v>
      </c>
      <c r="AO122" s="422">
        <v>0.08</v>
      </c>
      <c r="AP122" s="272">
        <f t="shared" si="60"/>
        <v>0</v>
      </c>
      <c r="AQ122" s="272">
        <f>IFERROR(INDEX('Horo. M'!$M$3:M$367,MATCH(A122,'Horo. M'!$A$3:$A$367,0)),"")</f>
        <v>24</v>
      </c>
      <c r="AR122" s="422">
        <v>0</v>
      </c>
      <c r="AS122" s="422">
        <v>0</v>
      </c>
      <c r="AT122" s="272">
        <f t="shared" si="61"/>
        <v>24</v>
      </c>
      <c r="AU122" s="274">
        <f t="shared" si="62"/>
        <v>1</v>
      </c>
      <c r="AV122" s="275">
        <f t="shared" si="63"/>
        <v>1</v>
      </c>
      <c r="AW122" s="422">
        <v>171.02</v>
      </c>
      <c r="AX122" s="272">
        <f t="shared" si="64"/>
        <v>2</v>
      </c>
      <c r="AY122" s="272">
        <f>IFERROR(INDEX('Horo. M'!$O$3:O$367,MATCH(A122,'Horo. M'!$A$3:$A$367,0)),"")</f>
        <v>22</v>
      </c>
      <c r="AZ122" s="422">
        <v>0</v>
      </c>
      <c r="BA122" s="422">
        <v>0</v>
      </c>
      <c r="BB122" s="272">
        <f t="shared" si="65"/>
        <v>24</v>
      </c>
      <c r="BC122" s="274">
        <f t="shared" si="66"/>
        <v>0.91666666666666663</v>
      </c>
      <c r="BD122" s="275">
        <f t="shared" si="67"/>
        <v>1</v>
      </c>
      <c r="BE122" s="422">
        <v>158.38</v>
      </c>
      <c r="BF122" s="272">
        <f t="shared" si="68"/>
        <v>0</v>
      </c>
      <c r="BG122" s="272">
        <f>IFERROR(INDEX('Horo. M'!$Q$3:Q$367,MATCH(A122,'Horo. M'!$A$3:$A$367,0)),"")</f>
        <v>24</v>
      </c>
      <c r="BH122" s="422">
        <v>0</v>
      </c>
      <c r="BI122" s="422">
        <v>0</v>
      </c>
      <c r="BJ122" s="272">
        <f t="shared" si="69"/>
        <v>24</v>
      </c>
      <c r="BK122" s="274">
        <f t="shared" si="70"/>
        <v>1</v>
      </c>
      <c r="BL122" s="275">
        <f t="shared" si="71"/>
        <v>1</v>
      </c>
      <c r="BM122" s="422">
        <v>168.78</v>
      </c>
      <c r="BN122" s="272">
        <f t="shared" si="72"/>
        <v>0</v>
      </c>
      <c r="BO122" s="272">
        <f>IFERROR(INDEX('Horo. M'!$S$3:S$367,MATCH(A122,'Horo. M'!$A$3:$A$367,0)),"")</f>
        <v>24</v>
      </c>
      <c r="BP122" s="422">
        <v>0</v>
      </c>
      <c r="BQ122" s="422">
        <v>0</v>
      </c>
      <c r="BR122" s="272">
        <f t="shared" si="73"/>
        <v>24</v>
      </c>
      <c r="BS122" s="274">
        <f t="shared" si="74"/>
        <v>1</v>
      </c>
      <c r="BT122" s="275">
        <f t="shared" si="75"/>
        <v>1</v>
      </c>
      <c r="BU122" s="422">
        <v>168.99</v>
      </c>
      <c r="BV122" s="272">
        <f t="shared" si="76"/>
        <v>0</v>
      </c>
      <c r="BW122" s="272">
        <f>IFERROR(INDEX('Horo. M'!$U$3:U$367,MATCH(A122,'Horo. M'!$A$3:$A$367,0)),"")</f>
        <v>24</v>
      </c>
      <c r="BX122" s="422">
        <v>0</v>
      </c>
      <c r="BY122" s="422">
        <v>0</v>
      </c>
      <c r="BZ122" s="272">
        <f t="shared" si="77"/>
        <v>24</v>
      </c>
      <c r="CA122" s="274">
        <f t="shared" si="78"/>
        <v>1</v>
      </c>
      <c r="CB122" s="275">
        <f t="shared" si="79"/>
        <v>1</v>
      </c>
      <c r="CC122" s="422">
        <v>169.66</v>
      </c>
    </row>
    <row r="123" spans="1:81">
      <c r="A123" s="279">
        <v>45048</v>
      </c>
      <c r="B123" s="278">
        <f t="shared" si="40"/>
        <v>0</v>
      </c>
      <c r="C123" s="272">
        <f>IFERROR(INDEX('Horo. M'!$C$3:$C$367,MATCH(A123,'Horo. M'!$A$3:$A$367,0)),"")</f>
        <v>24</v>
      </c>
      <c r="D123" s="422">
        <v>0</v>
      </c>
      <c r="E123" s="422">
        <v>0</v>
      </c>
      <c r="F123" s="272">
        <f>24-D123-E123</f>
        <v>24</v>
      </c>
      <c r="G123" s="274">
        <f t="shared" si="42"/>
        <v>1</v>
      </c>
      <c r="H123" s="275">
        <f>(F123/24)*100%</f>
        <v>1</v>
      </c>
      <c r="I123" s="422">
        <v>180.4</v>
      </c>
      <c r="J123" s="278">
        <f t="shared" si="44"/>
        <v>0</v>
      </c>
      <c r="K123" s="272">
        <f>IFERROR(INDEX('Horo. M'!$E$3:$E$367,MATCH(A123,'Horo. M'!$A$3:$A$367,0)),"")</f>
        <v>0</v>
      </c>
      <c r="L123" s="422">
        <v>24</v>
      </c>
      <c r="M123" s="422">
        <v>0</v>
      </c>
      <c r="N123" s="272">
        <f t="shared" si="45"/>
        <v>0</v>
      </c>
      <c r="O123" s="274">
        <f t="shared" si="46"/>
        <v>0</v>
      </c>
      <c r="P123" s="275">
        <f t="shared" si="47"/>
        <v>0</v>
      </c>
      <c r="Q123" s="422">
        <v>0</v>
      </c>
      <c r="R123" s="278">
        <f t="shared" si="48"/>
        <v>0</v>
      </c>
      <c r="S123" s="272">
        <f>IFERROR(INDEX('Horo. M'!G$3:$G$367,MATCH(A123,'Horo. M'!$A$3:$A$367,0)),"")</f>
        <v>24</v>
      </c>
      <c r="T123" s="422">
        <v>0</v>
      </c>
      <c r="U123" s="422">
        <v>0</v>
      </c>
      <c r="V123" s="272">
        <f t="shared" si="49"/>
        <v>24</v>
      </c>
      <c r="W123" s="274">
        <f t="shared" si="50"/>
        <v>1</v>
      </c>
      <c r="X123" s="275">
        <f t="shared" si="51"/>
        <v>1</v>
      </c>
      <c r="Y123" s="422">
        <v>183.32</v>
      </c>
      <c r="Z123" s="278">
        <f t="shared" si="52"/>
        <v>0</v>
      </c>
      <c r="AA123" s="272">
        <f>IFERROR(INDEX('Horo. M'!$I$3:I$367,MATCH(A123,'Horo. M'!$A$3:$A$367,0)),"")</f>
        <v>24</v>
      </c>
      <c r="AB123" s="422">
        <v>0</v>
      </c>
      <c r="AC123" s="422">
        <v>0</v>
      </c>
      <c r="AD123" s="272">
        <f t="shared" si="53"/>
        <v>24</v>
      </c>
      <c r="AE123" s="274">
        <f t="shared" si="54"/>
        <v>1</v>
      </c>
      <c r="AF123" s="275">
        <f t="shared" si="55"/>
        <v>1</v>
      </c>
      <c r="AG123" s="422">
        <v>183.9</v>
      </c>
      <c r="AH123" s="272">
        <f t="shared" si="56"/>
        <v>0</v>
      </c>
      <c r="AI123" s="272">
        <f>IFERROR(INDEX('Horo. M'!$K$3:K$367,MATCH(A123,'Horo. M'!$A$3:$A$367,0)),"")</f>
        <v>0</v>
      </c>
      <c r="AJ123" s="422">
        <v>0</v>
      </c>
      <c r="AK123" s="422">
        <v>24</v>
      </c>
      <c r="AL123" s="272">
        <f t="shared" si="57"/>
        <v>0</v>
      </c>
      <c r="AM123" s="274">
        <f t="shared" si="58"/>
        <v>0</v>
      </c>
      <c r="AN123" s="275">
        <f t="shared" si="59"/>
        <v>0</v>
      </c>
      <c r="AO123" s="422">
        <v>0</v>
      </c>
      <c r="AP123" s="272">
        <f t="shared" si="60"/>
        <v>0</v>
      </c>
      <c r="AQ123" s="272">
        <f>IFERROR(INDEX('Horo. M'!$M$3:M$367,MATCH(A123,'Horo. M'!$A$3:$A$367,0)),"")</f>
        <v>24</v>
      </c>
      <c r="AR123" s="422">
        <v>0</v>
      </c>
      <c r="AS123" s="422">
        <v>0</v>
      </c>
      <c r="AT123" s="272">
        <f t="shared" si="61"/>
        <v>24</v>
      </c>
      <c r="AU123" s="274">
        <f t="shared" si="62"/>
        <v>1</v>
      </c>
      <c r="AV123" s="275">
        <f t="shared" si="63"/>
        <v>1</v>
      </c>
      <c r="AW123" s="422">
        <v>178.86</v>
      </c>
      <c r="AX123" s="272">
        <f t="shared" si="64"/>
        <v>0</v>
      </c>
      <c r="AY123" s="272">
        <f>IFERROR(INDEX('Horo. M'!$O$3:O$367,MATCH(A123,'Horo. M'!$A$3:$A$367,0)),"")</f>
        <v>24</v>
      </c>
      <c r="AZ123" s="422">
        <v>0</v>
      </c>
      <c r="BA123" s="422">
        <v>0</v>
      </c>
      <c r="BB123" s="272">
        <f t="shared" si="65"/>
        <v>24</v>
      </c>
      <c r="BC123" s="274">
        <f t="shared" si="66"/>
        <v>1</v>
      </c>
      <c r="BD123" s="275">
        <f t="shared" si="67"/>
        <v>1</v>
      </c>
      <c r="BE123" s="422">
        <v>181.45</v>
      </c>
      <c r="BF123" s="272">
        <f t="shared" si="68"/>
        <v>0</v>
      </c>
      <c r="BG123" s="272">
        <f>IFERROR(INDEX('Horo. M'!$Q$3:Q$367,MATCH(A123,'Horo. M'!$A$3:$A$367,0)),"")</f>
        <v>23</v>
      </c>
      <c r="BH123" s="422">
        <v>1</v>
      </c>
      <c r="BI123" s="422">
        <v>0</v>
      </c>
      <c r="BJ123" s="272">
        <f t="shared" si="69"/>
        <v>23</v>
      </c>
      <c r="BK123" s="274">
        <f t="shared" si="70"/>
        <v>0.95833333333333337</v>
      </c>
      <c r="BL123" s="275">
        <f t="shared" si="71"/>
        <v>0.95833333333333337</v>
      </c>
      <c r="BM123" s="422">
        <v>167.94</v>
      </c>
      <c r="BN123" s="272">
        <f t="shared" si="72"/>
        <v>1</v>
      </c>
      <c r="BO123" s="272">
        <f>IFERROR(INDEX('Horo. M'!$S$3:S$367,MATCH(A123,'Horo. M'!$A$3:$A$367,0)),"")</f>
        <v>23</v>
      </c>
      <c r="BP123" s="422">
        <v>0</v>
      </c>
      <c r="BQ123" s="422">
        <v>0</v>
      </c>
      <c r="BR123" s="272">
        <f t="shared" si="73"/>
        <v>24</v>
      </c>
      <c r="BS123" s="274">
        <f t="shared" si="74"/>
        <v>0.95833333333333337</v>
      </c>
      <c r="BT123" s="275">
        <f t="shared" si="75"/>
        <v>1</v>
      </c>
      <c r="BU123" s="422">
        <v>173.1</v>
      </c>
      <c r="BV123" s="272">
        <f t="shared" si="76"/>
        <v>0</v>
      </c>
      <c r="BW123" s="272">
        <f>IFERROR(INDEX('Horo. M'!$U$3:U$367,MATCH(A123,'Horo. M'!$A$3:$A$367,0)),"")</f>
        <v>24</v>
      </c>
      <c r="BX123" s="422">
        <v>0</v>
      </c>
      <c r="BY123" s="422">
        <v>0</v>
      </c>
      <c r="BZ123" s="272">
        <f t="shared" si="77"/>
        <v>24</v>
      </c>
      <c r="CA123" s="274">
        <f t="shared" si="78"/>
        <v>1</v>
      </c>
      <c r="CB123" s="275">
        <f t="shared" si="79"/>
        <v>1</v>
      </c>
      <c r="CC123" s="422">
        <v>181.03</v>
      </c>
    </row>
    <row r="124" spans="1:81">
      <c r="A124" s="279">
        <v>45049</v>
      </c>
      <c r="B124" s="278">
        <f>24-C124-D124-E124</f>
        <v>0</v>
      </c>
      <c r="C124" s="272">
        <f>IFERROR(INDEX('Horo. M'!$C$3:$C$367,MATCH(A124,'Horo. M'!$A$3:$A$367,0)),"")</f>
        <v>24</v>
      </c>
      <c r="D124" s="422">
        <v>0</v>
      </c>
      <c r="E124" s="422">
        <v>0</v>
      </c>
      <c r="F124" s="272">
        <f>24-D124-E124</f>
        <v>24</v>
      </c>
      <c r="G124" s="300">
        <f t="shared" si="42"/>
        <v>1</v>
      </c>
      <c r="H124" s="275">
        <f t="shared" si="43"/>
        <v>1</v>
      </c>
      <c r="I124" s="422">
        <v>197.3</v>
      </c>
      <c r="J124" s="278">
        <f t="shared" si="44"/>
        <v>0</v>
      </c>
      <c r="K124" s="272">
        <f>IFERROR(INDEX('Horo. M'!$E$3:$E$367,MATCH(A124,'Horo. M'!$A$3:$A$367,0)),"")</f>
        <v>0</v>
      </c>
      <c r="L124" s="422">
        <v>24</v>
      </c>
      <c r="M124" s="422">
        <v>0</v>
      </c>
      <c r="N124" s="272">
        <f t="shared" si="45"/>
        <v>0</v>
      </c>
      <c r="O124" s="300">
        <f t="shared" si="46"/>
        <v>0</v>
      </c>
      <c r="P124" s="275">
        <f t="shared" si="47"/>
        <v>0</v>
      </c>
      <c r="Q124" s="422">
        <v>0</v>
      </c>
      <c r="R124" s="278">
        <f t="shared" si="48"/>
        <v>0</v>
      </c>
      <c r="S124" s="272">
        <f>IFERROR(INDEX('Horo. M'!G$3:$G$367,MATCH(A124,'Horo. M'!$A$3:$A$367,0)),"")</f>
        <v>24</v>
      </c>
      <c r="T124" s="422">
        <v>0</v>
      </c>
      <c r="U124" s="422">
        <v>0</v>
      </c>
      <c r="V124" s="272">
        <f t="shared" si="49"/>
        <v>24</v>
      </c>
      <c r="W124" s="300">
        <f t="shared" si="50"/>
        <v>1</v>
      </c>
      <c r="X124" s="275">
        <f t="shared" si="51"/>
        <v>1</v>
      </c>
      <c r="Y124" s="422">
        <v>186.97</v>
      </c>
      <c r="Z124" s="278">
        <f t="shared" si="52"/>
        <v>0</v>
      </c>
      <c r="AA124" s="272">
        <f>IFERROR(INDEX('Horo. M'!$I$3:I$367,MATCH(A124,'Horo. M'!$A$3:$A$367,0)),"")</f>
        <v>24</v>
      </c>
      <c r="AB124" s="422">
        <v>0</v>
      </c>
      <c r="AC124" s="422">
        <v>0</v>
      </c>
      <c r="AD124" s="272">
        <f t="shared" si="53"/>
        <v>24</v>
      </c>
      <c r="AE124" s="300">
        <f t="shared" si="54"/>
        <v>1</v>
      </c>
      <c r="AF124" s="275">
        <f t="shared" si="55"/>
        <v>1</v>
      </c>
      <c r="AG124" s="422">
        <v>186.33</v>
      </c>
      <c r="AH124" s="272">
        <f t="shared" si="56"/>
        <v>0</v>
      </c>
      <c r="AI124" s="272">
        <f>IFERROR(INDEX('Horo. M'!$K$3:K$367,MATCH(A124,'Horo. M'!$A$3:$A$367,0)),"")</f>
        <v>0</v>
      </c>
      <c r="AJ124" s="422">
        <v>0</v>
      </c>
      <c r="AK124" s="422">
        <v>24</v>
      </c>
      <c r="AL124" s="272">
        <f t="shared" si="57"/>
        <v>0</v>
      </c>
      <c r="AM124" s="300">
        <f t="shared" si="58"/>
        <v>0</v>
      </c>
      <c r="AN124" s="275">
        <f t="shared" si="59"/>
        <v>0</v>
      </c>
      <c r="AO124" s="422">
        <v>0</v>
      </c>
      <c r="AP124" s="272">
        <f t="shared" si="60"/>
        <v>0</v>
      </c>
      <c r="AQ124" s="272">
        <f>IFERROR(INDEX('Horo. M'!$M$3:M$367,MATCH(A124,'Horo. M'!$A$3:$A$367,0)),"")</f>
        <v>24</v>
      </c>
      <c r="AR124" s="422">
        <v>0</v>
      </c>
      <c r="AS124" s="422">
        <v>0</v>
      </c>
      <c r="AT124" s="272">
        <f t="shared" si="61"/>
        <v>24</v>
      </c>
      <c r="AU124" s="300">
        <f t="shared" si="62"/>
        <v>1</v>
      </c>
      <c r="AV124" s="275">
        <f t="shared" si="63"/>
        <v>1</v>
      </c>
      <c r="AW124" s="422">
        <v>187.03</v>
      </c>
      <c r="AX124" s="272">
        <f t="shared" si="64"/>
        <v>0</v>
      </c>
      <c r="AY124" s="272">
        <f>IFERROR(INDEX('Horo. M'!$O$3:O$367,MATCH(A124,'Horo. M'!$A$3:$A$367,0)),"")</f>
        <v>24</v>
      </c>
      <c r="AZ124" s="422">
        <v>0</v>
      </c>
      <c r="BA124" s="422">
        <v>0</v>
      </c>
      <c r="BB124" s="272">
        <f t="shared" si="65"/>
        <v>24</v>
      </c>
      <c r="BC124" s="300">
        <f t="shared" si="66"/>
        <v>1</v>
      </c>
      <c r="BD124" s="275">
        <f t="shared" si="67"/>
        <v>1</v>
      </c>
      <c r="BE124" s="422">
        <v>187.38</v>
      </c>
      <c r="BF124" s="272">
        <f t="shared" si="68"/>
        <v>0</v>
      </c>
      <c r="BG124" s="272">
        <f>IFERROR(INDEX('Horo. M'!$Q$3:Q$367,MATCH(A124,'Horo. M'!$A$3:$A$367,0)),"")</f>
        <v>22</v>
      </c>
      <c r="BH124" s="422">
        <v>2</v>
      </c>
      <c r="BI124" s="422">
        <v>0</v>
      </c>
      <c r="BJ124" s="272">
        <f t="shared" si="69"/>
        <v>22</v>
      </c>
      <c r="BK124" s="300">
        <f t="shared" si="70"/>
        <v>0.91666666666666663</v>
      </c>
      <c r="BL124" s="275">
        <f t="shared" si="71"/>
        <v>0.91666666666666663</v>
      </c>
      <c r="BM124" s="422">
        <v>175.72</v>
      </c>
      <c r="BN124" s="272">
        <f t="shared" si="72"/>
        <v>0</v>
      </c>
      <c r="BO124" s="272">
        <f>IFERROR(INDEX('Horo. M'!$S$3:S$367,MATCH(A124,'Horo. M'!$A$3:$A$367,0)),"")</f>
        <v>24</v>
      </c>
      <c r="BP124" s="422">
        <v>0</v>
      </c>
      <c r="BQ124" s="422">
        <v>0</v>
      </c>
      <c r="BR124" s="272">
        <f t="shared" si="73"/>
        <v>24</v>
      </c>
      <c r="BS124" s="300">
        <f t="shared" si="74"/>
        <v>1</v>
      </c>
      <c r="BT124" s="275">
        <f t="shared" si="75"/>
        <v>1</v>
      </c>
      <c r="BU124" s="422">
        <v>188.01</v>
      </c>
      <c r="BV124" s="272">
        <f t="shared" si="76"/>
        <v>0</v>
      </c>
      <c r="BW124" s="272">
        <f>IFERROR(INDEX('Horo. M'!$U$3:U$367,MATCH(A124,'Horo. M'!$A$3:$A$367,0)),"")</f>
        <v>24</v>
      </c>
      <c r="BX124" s="422">
        <v>0</v>
      </c>
      <c r="BY124" s="422">
        <v>0</v>
      </c>
      <c r="BZ124" s="272">
        <f t="shared" si="77"/>
        <v>24</v>
      </c>
      <c r="CA124" s="300">
        <f t="shared" si="78"/>
        <v>1</v>
      </c>
      <c r="CB124" s="275">
        <f t="shared" si="79"/>
        <v>1</v>
      </c>
      <c r="CC124" s="422">
        <v>187.11</v>
      </c>
    </row>
    <row r="125" spans="1:81">
      <c r="A125" s="279">
        <v>45050</v>
      </c>
      <c r="B125" s="278">
        <f>24-C125-D125-E125</f>
        <v>0</v>
      </c>
      <c r="C125" s="272">
        <f>IFERROR(INDEX('Horo. M'!$C$3:$C$367,MATCH(A125,'Horo. M'!$A$3:$A$367,0)),"")</f>
        <v>24</v>
      </c>
      <c r="D125" s="422">
        <v>0</v>
      </c>
      <c r="E125" s="422">
        <v>0</v>
      </c>
      <c r="F125" s="272">
        <f>24-D125-E125</f>
        <v>24</v>
      </c>
      <c r="G125" s="274">
        <f t="shared" si="42"/>
        <v>1</v>
      </c>
      <c r="H125" s="275">
        <f t="shared" si="43"/>
        <v>1</v>
      </c>
      <c r="I125" s="422">
        <v>187.8</v>
      </c>
      <c r="J125" s="278">
        <f t="shared" si="44"/>
        <v>0</v>
      </c>
      <c r="K125" s="272">
        <f>IFERROR(INDEX('Horo. M'!$E$3:$E$367,MATCH(A125,'Horo. M'!$A$3:$A$367,0)),"")</f>
        <v>0</v>
      </c>
      <c r="L125" s="422">
        <v>24</v>
      </c>
      <c r="M125" s="422">
        <v>0</v>
      </c>
      <c r="N125" s="272">
        <f t="shared" si="45"/>
        <v>0</v>
      </c>
      <c r="O125" s="274">
        <f t="shared" si="46"/>
        <v>0</v>
      </c>
      <c r="P125" s="275">
        <f t="shared" si="47"/>
        <v>0</v>
      </c>
      <c r="Q125" s="422">
        <v>0</v>
      </c>
      <c r="R125" s="278">
        <f t="shared" si="48"/>
        <v>0</v>
      </c>
      <c r="S125" s="272">
        <f>IFERROR(INDEX('Horo. M'!G$3:$G$367,MATCH(A125,'Horo. M'!$A$3:$A$367,0)),"")</f>
        <v>24</v>
      </c>
      <c r="T125" s="422">
        <v>0</v>
      </c>
      <c r="U125" s="422">
        <v>0</v>
      </c>
      <c r="V125" s="272">
        <f t="shared" si="49"/>
        <v>24</v>
      </c>
      <c r="W125" s="274">
        <f t="shared" si="50"/>
        <v>1</v>
      </c>
      <c r="X125" s="275">
        <f t="shared" si="51"/>
        <v>1</v>
      </c>
      <c r="Y125" s="422">
        <v>186.27</v>
      </c>
      <c r="Z125" s="278">
        <f t="shared" si="52"/>
        <v>1</v>
      </c>
      <c r="AA125" s="272">
        <f>IFERROR(INDEX('Horo. M'!$I$3:I$367,MATCH(A125,'Horo. M'!$A$3:$A$367,0)),"")</f>
        <v>23</v>
      </c>
      <c r="AB125" s="422">
        <v>0</v>
      </c>
      <c r="AC125" s="422">
        <v>0</v>
      </c>
      <c r="AD125" s="272">
        <f t="shared" si="53"/>
        <v>24</v>
      </c>
      <c r="AE125" s="274">
        <f t="shared" si="54"/>
        <v>0.95833333333333337</v>
      </c>
      <c r="AF125" s="275">
        <f t="shared" si="55"/>
        <v>1</v>
      </c>
      <c r="AG125" s="422">
        <v>186.3</v>
      </c>
      <c r="AH125" s="272">
        <f t="shared" si="56"/>
        <v>0</v>
      </c>
      <c r="AI125" s="272">
        <f>IFERROR(INDEX('Horo. M'!$K$3:K$367,MATCH(A125,'Horo. M'!$A$3:$A$367,0)),"")</f>
        <v>0</v>
      </c>
      <c r="AJ125" s="422">
        <v>0</v>
      </c>
      <c r="AK125" s="422">
        <v>24</v>
      </c>
      <c r="AL125" s="272">
        <f t="shared" si="57"/>
        <v>0</v>
      </c>
      <c r="AM125" s="274">
        <f t="shared" si="58"/>
        <v>0</v>
      </c>
      <c r="AN125" s="275">
        <f t="shared" si="59"/>
        <v>0</v>
      </c>
      <c r="AO125" s="422">
        <v>0</v>
      </c>
      <c r="AP125" s="272">
        <f t="shared" si="60"/>
        <v>0</v>
      </c>
      <c r="AQ125" s="272">
        <f>IFERROR(INDEX('Horo. M'!$M$3:M$367,MATCH(A125,'Horo. M'!$A$3:$A$367,0)),"")</f>
        <v>24</v>
      </c>
      <c r="AR125" s="422">
        <v>0</v>
      </c>
      <c r="AS125" s="422">
        <v>0</v>
      </c>
      <c r="AT125" s="272">
        <f t="shared" si="61"/>
        <v>24</v>
      </c>
      <c r="AU125" s="274">
        <f t="shared" si="62"/>
        <v>1</v>
      </c>
      <c r="AV125" s="275">
        <f t="shared" si="63"/>
        <v>1</v>
      </c>
      <c r="AW125" s="422">
        <v>181.34</v>
      </c>
      <c r="AX125" s="272">
        <f t="shared" si="64"/>
        <v>0</v>
      </c>
      <c r="AY125" s="272">
        <f>IFERROR(INDEX('Horo. M'!$O$3:O$367,MATCH(A125,'Horo. M'!$A$3:$A$367,0)),"")</f>
        <v>24</v>
      </c>
      <c r="AZ125" s="422">
        <v>0</v>
      </c>
      <c r="BA125" s="422">
        <v>0</v>
      </c>
      <c r="BB125" s="272">
        <f t="shared" si="65"/>
        <v>24</v>
      </c>
      <c r="BC125" s="274">
        <f t="shared" si="66"/>
        <v>1</v>
      </c>
      <c r="BD125" s="275">
        <f t="shared" si="67"/>
        <v>1</v>
      </c>
      <c r="BE125" s="422">
        <v>191.21</v>
      </c>
      <c r="BF125" s="272">
        <f t="shared" si="68"/>
        <v>1</v>
      </c>
      <c r="BG125" s="272">
        <f>IFERROR(INDEX('Horo. M'!$Q$3:Q$367,MATCH(A125,'Horo. M'!$A$3:$A$367,0)),"")</f>
        <v>23</v>
      </c>
      <c r="BH125" s="422">
        <v>0</v>
      </c>
      <c r="BI125" s="422">
        <v>0</v>
      </c>
      <c r="BJ125" s="272">
        <f t="shared" si="69"/>
        <v>24</v>
      </c>
      <c r="BK125" s="274">
        <f t="shared" si="70"/>
        <v>0.95833333333333337</v>
      </c>
      <c r="BL125" s="275">
        <f t="shared" si="71"/>
        <v>1</v>
      </c>
      <c r="BM125" s="422">
        <v>176.81</v>
      </c>
      <c r="BN125" s="272">
        <f t="shared" si="72"/>
        <v>0</v>
      </c>
      <c r="BO125" s="272">
        <f>IFERROR(INDEX('Horo. M'!$S$3:S$367,MATCH(A125,'Horo. M'!$A$3:$A$367,0)),"")</f>
        <v>24</v>
      </c>
      <c r="BP125" s="422">
        <v>0</v>
      </c>
      <c r="BQ125" s="422">
        <v>0</v>
      </c>
      <c r="BR125" s="272">
        <f t="shared" si="73"/>
        <v>24</v>
      </c>
      <c r="BS125" s="274">
        <f t="shared" si="74"/>
        <v>1</v>
      </c>
      <c r="BT125" s="275">
        <f t="shared" si="75"/>
        <v>1</v>
      </c>
      <c r="BU125" s="422">
        <v>189.53</v>
      </c>
      <c r="BV125" s="272">
        <f t="shared" si="76"/>
        <v>0</v>
      </c>
      <c r="BW125" s="272">
        <f>IFERROR(INDEX('Horo. M'!$U$3:U$367,MATCH(A125,'Horo. M'!$A$3:$A$367,0)),"")</f>
        <v>24</v>
      </c>
      <c r="BX125" s="422">
        <v>0</v>
      </c>
      <c r="BY125" s="422">
        <v>0</v>
      </c>
      <c r="BZ125" s="272">
        <f t="shared" si="77"/>
        <v>24</v>
      </c>
      <c r="CA125" s="274">
        <f t="shared" si="78"/>
        <v>1</v>
      </c>
      <c r="CB125" s="275">
        <f t="shared" si="79"/>
        <v>1</v>
      </c>
      <c r="CC125" s="422">
        <v>189.11</v>
      </c>
    </row>
    <row r="126" spans="1:81">
      <c r="A126" s="279">
        <v>45051</v>
      </c>
      <c r="B126" s="278">
        <f t="shared" si="40"/>
        <v>0</v>
      </c>
      <c r="C126" s="272">
        <f>IFERROR(INDEX('Horo. M'!$C$3:$C$367,MATCH(A126,'Horo. M'!$A$3:$A$367,0)),"")</f>
        <v>24</v>
      </c>
      <c r="D126" s="422">
        <v>0</v>
      </c>
      <c r="E126" s="422">
        <v>0</v>
      </c>
      <c r="F126" s="272">
        <f t="shared" si="41"/>
        <v>24</v>
      </c>
      <c r="G126" s="300">
        <f t="shared" si="42"/>
        <v>1</v>
      </c>
      <c r="H126" s="275">
        <f t="shared" si="43"/>
        <v>1</v>
      </c>
      <c r="I126" s="422">
        <v>184.8</v>
      </c>
      <c r="J126" s="278">
        <f t="shared" si="44"/>
        <v>0</v>
      </c>
      <c r="K126" s="272">
        <f>IFERROR(INDEX('Horo. M'!$E$3:$E$367,MATCH(A126,'Horo. M'!$A$3:$A$367,0)),"")</f>
        <v>3</v>
      </c>
      <c r="L126" s="422">
        <v>21</v>
      </c>
      <c r="M126" s="422">
        <v>0</v>
      </c>
      <c r="N126" s="272">
        <f t="shared" si="45"/>
        <v>3</v>
      </c>
      <c r="O126" s="300">
        <f t="shared" si="46"/>
        <v>0.125</v>
      </c>
      <c r="P126" s="275">
        <f t="shared" si="47"/>
        <v>0.125</v>
      </c>
      <c r="Q126" s="422">
        <v>16.600000000000001</v>
      </c>
      <c r="R126" s="278">
        <f t="shared" si="48"/>
        <v>0</v>
      </c>
      <c r="S126" s="272">
        <f>IFERROR(INDEX('Horo. M'!G$3:$G$367,MATCH(A126,'Horo. M'!$A$3:$A$367,0)),"")</f>
        <v>24</v>
      </c>
      <c r="T126" s="422">
        <v>0</v>
      </c>
      <c r="U126" s="422">
        <v>0</v>
      </c>
      <c r="V126" s="272">
        <f t="shared" si="49"/>
        <v>24</v>
      </c>
      <c r="W126" s="300">
        <f t="shared" si="50"/>
        <v>1</v>
      </c>
      <c r="X126" s="275">
        <f t="shared" si="51"/>
        <v>1</v>
      </c>
      <c r="Y126" s="422">
        <v>187.37</v>
      </c>
      <c r="Z126" s="278">
        <f t="shared" si="52"/>
        <v>0</v>
      </c>
      <c r="AA126" s="272">
        <f>IFERROR(INDEX('Horo. M'!$I$3:I$367,MATCH(A126,'Horo. M'!$A$3:$A$367,0)),"")</f>
        <v>24</v>
      </c>
      <c r="AB126" s="422">
        <v>0</v>
      </c>
      <c r="AC126" s="422">
        <v>0</v>
      </c>
      <c r="AD126" s="272">
        <f t="shared" si="53"/>
        <v>24</v>
      </c>
      <c r="AE126" s="300">
        <f t="shared" si="54"/>
        <v>1</v>
      </c>
      <c r="AF126" s="275">
        <f t="shared" si="55"/>
        <v>1</v>
      </c>
      <c r="AG126" s="422">
        <v>192.09</v>
      </c>
      <c r="AH126" s="272">
        <f t="shared" si="56"/>
        <v>0</v>
      </c>
      <c r="AI126" s="272">
        <f>IFERROR(INDEX('Horo. M'!$K$3:K$367,MATCH(A126,'Horo. M'!$A$3:$A$367,0)),"")</f>
        <v>0</v>
      </c>
      <c r="AJ126" s="422">
        <v>0</v>
      </c>
      <c r="AK126" s="422">
        <v>24</v>
      </c>
      <c r="AL126" s="272">
        <f t="shared" si="57"/>
        <v>0</v>
      </c>
      <c r="AM126" s="300">
        <f t="shared" si="58"/>
        <v>0</v>
      </c>
      <c r="AN126" s="275">
        <f t="shared" si="59"/>
        <v>0</v>
      </c>
      <c r="AO126" s="422">
        <v>0</v>
      </c>
      <c r="AP126" s="272">
        <f t="shared" si="60"/>
        <v>0</v>
      </c>
      <c r="AQ126" s="272">
        <f>IFERROR(INDEX('Horo. M'!$M$3:M$367,MATCH(A126,'Horo. M'!$A$3:$A$367,0)),"")</f>
        <v>21</v>
      </c>
      <c r="AR126" s="422">
        <v>3</v>
      </c>
      <c r="AS126" s="422">
        <v>0</v>
      </c>
      <c r="AT126" s="272">
        <f t="shared" si="61"/>
        <v>21</v>
      </c>
      <c r="AU126" s="300">
        <f t="shared" si="62"/>
        <v>0.875</v>
      </c>
      <c r="AV126" s="275">
        <f t="shared" si="63"/>
        <v>0.875</v>
      </c>
      <c r="AW126" s="422">
        <v>179.75</v>
      </c>
      <c r="AX126" s="272">
        <f t="shared" si="64"/>
        <v>0</v>
      </c>
      <c r="AY126" s="272">
        <f>IFERROR(INDEX('Horo. M'!$O$3:O$367,MATCH(A126,'Horo. M'!$A$3:$A$367,0)),"")</f>
        <v>24</v>
      </c>
      <c r="AZ126" s="422">
        <v>0</v>
      </c>
      <c r="BA126" s="422">
        <v>0</v>
      </c>
      <c r="BB126" s="272">
        <f t="shared" si="65"/>
        <v>24</v>
      </c>
      <c r="BC126" s="300">
        <f t="shared" si="66"/>
        <v>1</v>
      </c>
      <c r="BD126" s="275">
        <f t="shared" si="67"/>
        <v>1</v>
      </c>
      <c r="BE126" s="422">
        <v>186.16</v>
      </c>
      <c r="BF126" s="272">
        <f t="shared" si="68"/>
        <v>0</v>
      </c>
      <c r="BG126" s="272">
        <f>IFERROR(INDEX('Horo. M'!$Q$3:Q$367,MATCH(A126,'Horo. M'!$A$3:$A$367,0)),"")</f>
        <v>24</v>
      </c>
      <c r="BH126" s="422">
        <v>0</v>
      </c>
      <c r="BI126" s="422">
        <v>0</v>
      </c>
      <c r="BJ126" s="272">
        <f t="shared" si="69"/>
        <v>24</v>
      </c>
      <c r="BK126" s="300">
        <f t="shared" si="70"/>
        <v>1</v>
      </c>
      <c r="BL126" s="275">
        <f t="shared" si="71"/>
        <v>1</v>
      </c>
      <c r="BM126" s="422">
        <v>189.11</v>
      </c>
      <c r="BN126" s="272">
        <f t="shared" si="72"/>
        <v>0</v>
      </c>
      <c r="BO126" s="272">
        <f>IFERROR(INDEX('Horo. M'!$S$3:S$367,MATCH(A126,'Horo. M'!$A$3:$A$367,0)),"")</f>
        <v>24</v>
      </c>
      <c r="BP126" s="422">
        <v>0</v>
      </c>
      <c r="BQ126" s="422">
        <v>0</v>
      </c>
      <c r="BR126" s="272">
        <f t="shared" si="73"/>
        <v>24</v>
      </c>
      <c r="BS126" s="300">
        <f t="shared" si="74"/>
        <v>1</v>
      </c>
      <c r="BT126" s="275">
        <f t="shared" si="75"/>
        <v>1</v>
      </c>
      <c r="BU126" s="422">
        <v>191.45</v>
      </c>
      <c r="BV126" s="272">
        <f t="shared" si="76"/>
        <v>0</v>
      </c>
      <c r="BW126" s="272">
        <f>IFERROR(INDEX('Horo. M'!$U$3:U$367,MATCH(A126,'Horo. M'!$A$3:$A$367,0)),"")</f>
        <v>24</v>
      </c>
      <c r="BX126" s="422">
        <v>0</v>
      </c>
      <c r="BY126" s="422">
        <v>0</v>
      </c>
      <c r="BZ126" s="272">
        <f t="shared" si="77"/>
        <v>24</v>
      </c>
      <c r="CA126" s="300">
        <f t="shared" si="78"/>
        <v>1</v>
      </c>
      <c r="CB126" s="275">
        <f t="shared" si="79"/>
        <v>1</v>
      </c>
      <c r="CC126" s="422">
        <v>189.74</v>
      </c>
    </row>
    <row r="127" spans="1:81">
      <c r="A127" s="279">
        <v>45052</v>
      </c>
      <c r="B127" s="278">
        <f t="shared" si="40"/>
        <v>0</v>
      </c>
      <c r="C127" s="272">
        <f>IFERROR(INDEX('Horo. M'!$C$3:$C$367,MATCH(A127,'Horo. M'!$A$3:$A$367,0)),"")</f>
        <v>24</v>
      </c>
      <c r="D127" s="422">
        <v>0</v>
      </c>
      <c r="E127" s="422">
        <v>0</v>
      </c>
      <c r="F127" s="272">
        <f t="shared" si="41"/>
        <v>24</v>
      </c>
      <c r="G127" s="274">
        <f t="shared" si="42"/>
        <v>1</v>
      </c>
      <c r="H127" s="275">
        <f t="shared" si="43"/>
        <v>1</v>
      </c>
      <c r="I127" s="422">
        <v>179.3</v>
      </c>
      <c r="J127" s="278">
        <f t="shared" si="44"/>
        <v>0</v>
      </c>
      <c r="K127" s="272">
        <f>IFERROR(INDEX('Horo. M'!$E$3:$E$367,MATCH(A127,'Horo. M'!$A$3:$A$367,0)),"")</f>
        <v>3</v>
      </c>
      <c r="L127" s="422">
        <v>21</v>
      </c>
      <c r="M127" s="422">
        <v>0</v>
      </c>
      <c r="N127" s="272">
        <f t="shared" si="45"/>
        <v>3</v>
      </c>
      <c r="O127" s="274">
        <f t="shared" si="46"/>
        <v>0.125</v>
      </c>
      <c r="P127" s="275">
        <f t="shared" si="47"/>
        <v>0.125</v>
      </c>
      <c r="Q127" s="422">
        <v>15.9</v>
      </c>
      <c r="R127" s="278">
        <f t="shared" si="48"/>
        <v>0</v>
      </c>
      <c r="S127" s="272">
        <f>IFERROR(INDEX('Horo. M'!G$3:$G$367,MATCH(A127,'Horo. M'!$A$3:$A$367,0)),"")</f>
        <v>24</v>
      </c>
      <c r="T127" s="422">
        <v>0</v>
      </c>
      <c r="U127" s="422">
        <v>0</v>
      </c>
      <c r="V127" s="272">
        <f t="shared" si="49"/>
        <v>24</v>
      </c>
      <c r="W127" s="274">
        <f t="shared" si="50"/>
        <v>1</v>
      </c>
      <c r="X127" s="275">
        <f t="shared" si="51"/>
        <v>1</v>
      </c>
      <c r="Y127" s="422">
        <v>180.71</v>
      </c>
      <c r="Z127" s="278">
        <f t="shared" si="52"/>
        <v>0</v>
      </c>
      <c r="AA127" s="272">
        <f>IFERROR(INDEX('Horo. M'!$I$3:I$367,MATCH(A127,'Horo. M'!$A$3:$A$367,0)),"")</f>
        <v>24</v>
      </c>
      <c r="AB127" s="422">
        <v>0</v>
      </c>
      <c r="AC127" s="422">
        <v>0</v>
      </c>
      <c r="AD127" s="272">
        <f t="shared" si="53"/>
        <v>24</v>
      </c>
      <c r="AE127" s="274">
        <f t="shared" si="54"/>
        <v>1</v>
      </c>
      <c r="AF127" s="275">
        <f t="shared" si="55"/>
        <v>1</v>
      </c>
      <c r="AG127" s="422">
        <v>183.53</v>
      </c>
      <c r="AH127" s="272">
        <f t="shared" si="56"/>
        <v>0</v>
      </c>
      <c r="AI127" s="272">
        <f>IFERROR(INDEX('Horo. M'!$K$3:K$367,MATCH(A127,'Horo. M'!$A$3:$A$367,0)),"")</f>
        <v>0</v>
      </c>
      <c r="AJ127" s="422">
        <v>0</v>
      </c>
      <c r="AK127" s="422">
        <v>24</v>
      </c>
      <c r="AL127" s="272">
        <f t="shared" si="57"/>
        <v>0</v>
      </c>
      <c r="AM127" s="274">
        <f t="shared" si="58"/>
        <v>0</v>
      </c>
      <c r="AN127" s="275">
        <f t="shared" si="59"/>
        <v>0</v>
      </c>
      <c r="AO127" s="422">
        <v>0</v>
      </c>
      <c r="AP127" s="272">
        <f t="shared" si="60"/>
        <v>0</v>
      </c>
      <c r="AQ127" s="272">
        <f>IFERROR(INDEX('Horo. M'!$M$3:M$367,MATCH(A127,'Horo. M'!$A$3:$A$367,0)),"")</f>
        <v>24</v>
      </c>
      <c r="AR127" s="422">
        <v>0</v>
      </c>
      <c r="AS127" s="422">
        <v>0</v>
      </c>
      <c r="AT127" s="272">
        <f t="shared" si="61"/>
        <v>24</v>
      </c>
      <c r="AU127" s="274">
        <f t="shared" si="62"/>
        <v>1</v>
      </c>
      <c r="AV127" s="275">
        <f t="shared" si="63"/>
        <v>1</v>
      </c>
      <c r="AW127" s="422">
        <v>182.46</v>
      </c>
      <c r="AX127" s="272">
        <f t="shared" si="64"/>
        <v>0</v>
      </c>
      <c r="AY127" s="272">
        <f>IFERROR(INDEX('Horo. M'!$O$3:O$367,MATCH(A127,'Horo. M'!$A$3:$A$367,0)),"")</f>
        <v>24</v>
      </c>
      <c r="AZ127" s="422">
        <v>0</v>
      </c>
      <c r="BA127" s="422">
        <v>0</v>
      </c>
      <c r="BB127" s="272">
        <f t="shared" si="65"/>
        <v>24</v>
      </c>
      <c r="BC127" s="274">
        <f t="shared" si="66"/>
        <v>1</v>
      </c>
      <c r="BD127" s="275">
        <f t="shared" si="67"/>
        <v>1</v>
      </c>
      <c r="BE127" s="422">
        <v>181.05</v>
      </c>
      <c r="BF127" s="272">
        <f t="shared" si="68"/>
        <v>0</v>
      </c>
      <c r="BG127" s="272">
        <f>IFERROR(INDEX('Horo. M'!$Q$3:Q$367,MATCH(A127,'Horo. M'!$A$3:$A$367,0)),"")</f>
        <v>24</v>
      </c>
      <c r="BH127" s="422">
        <v>0</v>
      </c>
      <c r="BI127" s="422">
        <v>0</v>
      </c>
      <c r="BJ127" s="272">
        <f t="shared" si="69"/>
        <v>24</v>
      </c>
      <c r="BK127" s="274">
        <f t="shared" si="70"/>
        <v>1</v>
      </c>
      <c r="BL127" s="275">
        <f t="shared" si="71"/>
        <v>1</v>
      </c>
      <c r="BM127" s="422">
        <v>181.77</v>
      </c>
      <c r="BN127" s="272">
        <f t="shared" si="72"/>
        <v>0</v>
      </c>
      <c r="BO127" s="272">
        <f>IFERROR(INDEX('Horo. M'!$S$3:S$367,MATCH(A127,'Horo. M'!$A$3:$A$367,0)),"")</f>
        <v>24</v>
      </c>
      <c r="BP127" s="422">
        <v>0</v>
      </c>
      <c r="BQ127" s="422">
        <v>0</v>
      </c>
      <c r="BR127" s="272">
        <f t="shared" si="73"/>
        <v>24</v>
      </c>
      <c r="BS127" s="274">
        <f t="shared" si="74"/>
        <v>1</v>
      </c>
      <c r="BT127" s="275">
        <f t="shared" si="75"/>
        <v>1</v>
      </c>
      <c r="BU127" s="422">
        <v>178.59</v>
      </c>
      <c r="BV127" s="272">
        <f t="shared" si="76"/>
        <v>0</v>
      </c>
      <c r="BW127" s="272">
        <f>IFERROR(INDEX('Horo. M'!$U$3:U$367,MATCH(A127,'Horo. M'!$A$3:$A$367,0)),"")</f>
        <v>24</v>
      </c>
      <c r="BX127" s="422">
        <v>0</v>
      </c>
      <c r="BY127" s="422">
        <v>0</v>
      </c>
      <c r="BZ127" s="272">
        <f t="shared" si="77"/>
        <v>24</v>
      </c>
      <c r="CA127" s="274">
        <f t="shared" si="78"/>
        <v>1</v>
      </c>
      <c r="CB127" s="275">
        <f t="shared" si="79"/>
        <v>1</v>
      </c>
      <c r="CC127" s="422">
        <v>180.05</v>
      </c>
    </row>
    <row r="128" spans="1:81">
      <c r="A128" s="279">
        <v>45053</v>
      </c>
      <c r="B128" s="278">
        <f t="shared" si="40"/>
        <v>0</v>
      </c>
      <c r="C128" s="272">
        <f>IFERROR(INDEX('Horo. M'!$C$3:$C$367,MATCH(A128,'Horo. M'!$A$3:$A$367,0)),"")</f>
        <v>24</v>
      </c>
      <c r="D128" s="422">
        <v>0</v>
      </c>
      <c r="E128" s="422">
        <v>0</v>
      </c>
      <c r="F128" s="272">
        <f t="shared" si="41"/>
        <v>24</v>
      </c>
      <c r="G128" s="274">
        <f t="shared" si="42"/>
        <v>1</v>
      </c>
      <c r="H128" s="275">
        <f t="shared" si="43"/>
        <v>1</v>
      </c>
      <c r="I128" s="422">
        <v>184.6</v>
      </c>
      <c r="J128" s="278">
        <f t="shared" si="44"/>
        <v>0</v>
      </c>
      <c r="K128" s="272">
        <f>IFERROR(INDEX('Horo. M'!$E$3:$E$367,MATCH(A128,'Horo. M'!$A$3:$A$367,0)),"")</f>
        <v>0</v>
      </c>
      <c r="L128" s="422">
        <v>24</v>
      </c>
      <c r="M128" s="422">
        <v>0</v>
      </c>
      <c r="N128" s="272">
        <f t="shared" si="45"/>
        <v>0</v>
      </c>
      <c r="O128" s="274">
        <f t="shared" si="46"/>
        <v>0</v>
      </c>
      <c r="P128" s="275">
        <f t="shared" si="47"/>
        <v>0</v>
      </c>
      <c r="Q128" s="422">
        <v>0</v>
      </c>
      <c r="R128" s="278">
        <f t="shared" si="48"/>
        <v>0</v>
      </c>
      <c r="S128" s="272">
        <f>IFERROR(INDEX('Horo. M'!G$3:$G$367,MATCH(A128,'Horo. M'!$A$3:$A$367,0)),"")</f>
        <v>21</v>
      </c>
      <c r="T128" s="422">
        <v>2</v>
      </c>
      <c r="U128" s="422">
        <v>1</v>
      </c>
      <c r="V128" s="272">
        <f t="shared" si="49"/>
        <v>21</v>
      </c>
      <c r="W128" s="274">
        <f t="shared" si="50"/>
        <v>0.875</v>
      </c>
      <c r="X128" s="275">
        <f t="shared" si="51"/>
        <v>0.875</v>
      </c>
      <c r="Y128" s="422">
        <v>160.66</v>
      </c>
      <c r="Z128" s="278">
        <f t="shared" si="52"/>
        <v>0</v>
      </c>
      <c r="AA128" s="272">
        <f>IFERROR(INDEX('Horo. M'!$I$3:I$367,MATCH(A128,'Horo. M'!$A$3:$A$367,0)),"")</f>
        <v>24</v>
      </c>
      <c r="AB128" s="422">
        <v>0</v>
      </c>
      <c r="AC128" s="422">
        <v>0</v>
      </c>
      <c r="AD128" s="272">
        <f t="shared" si="53"/>
        <v>24</v>
      </c>
      <c r="AE128" s="274">
        <f t="shared" si="54"/>
        <v>1</v>
      </c>
      <c r="AF128" s="275">
        <f t="shared" si="55"/>
        <v>1</v>
      </c>
      <c r="AG128" s="422">
        <v>184.49</v>
      </c>
      <c r="AH128" s="272">
        <f t="shared" si="56"/>
        <v>0</v>
      </c>
      <c r="AI128" s="272">
        <f>IFERROR(INDEX('Horo. M'!$K$3:K$367,MATCH(A128,'Horo. M'!$A$3:$A$367,0)),"")</f>
        <v>0</v>
      </c>
      <c r="AJ128" s="422">
        <v>0</v>
      </c>
      <c r="AK128" s="422">
        <v>24</v>
      </c>
      <c r="AL128" s="272">
        <f t="shared" si="57"/>
        <v>0</v>
      </c>
      <c r="AM128" s="274">
        <f t="shared" si="58"/>
        <v>0</v>
      </c>
      <c r="AN128" s="275">
        <f t="shared" si="59"/>
        <v>0</v>
      </c>
      <c r="AO128" s="422">
        <v>0</v>
      </c>
      <c r="AP128" s="272">
        <f t="shared" si="60"/>
        <v>0</v>
      </c>
      <c r="AQ128" s="272">
        <f>IFERROR(INDEX('Horo. M'!$M$3:M$367,MATCH(A128,'Horo. M'!$A$3:$A$367,0)),"")</f>
        <v>24</v>
      </c>
      <c r="AR128" s="422">
        <v>0</v>
      </c>
      <c r="AS128" s="422">
        <v>0</v>
      </c>
      <c r="AT128" s="272">
        <f t="shared" si="61"/>
        <v>24</v>
      </c>
      <c r="AU128" s="274">
        <f t="shared" si="62"/>
        <v>1</v>
      </c>
      <c r="AV128" s="275">
        <f t="shared" si="63"/>
        <v>1</v>
      </c>
      <c r="AW128" s="422">
        <v>184.12</v>
      </c>
      <c r="AX128" s="272">
        <f t="shared" si="64"/>
        <v>0</v>
      </c>
      <c r="AY128" s="272">
        <f>IFERROR(INDEX('Horo. M'!$O$3:O$367,MATCH(A128,'Horo. M'!$A$3:$A$367,0)),"")</f>
        <v>24</v>
      </c>
      <c r="AZ128" s="422">
        <v>0</v>
      </c>
      <c r="BA128" s="422">
        <v>0</v>
      </c>
      <c r="BB128" s="272">
        <f t="shared" si="65"/>
        <v>24</v>
      </c>
      <c r="BC128" s="274">
        <f t="shared" si="66"/>
        <v>1</v>
      </c>
      <c r="BD128" s="275">
        <f t="shared" si="67"/>
        <v>1</v>
      </c>
      <c r="BE128" s="422">
        <v>178.76</v>
      </c>
      <c r="BF128" s="272">
        <f t="shared" si="68"/>
        <v>0</v>
      </c>
      <c r="BG128" s="272">
        <f>IFERROR(INDEX('Horo. M'!$Q$3:Q$367,MATCH(A128,'Horo. M'!$A$3:$A$367,0)),"")</f>
        <v>24</v>
      </c>
      <c r="BH128" s="422">
        <v>0</v>
      </c>
      <c r="BI128" s="422">
        <v>0</v>
      </c>
      <c r="BJ128" s="272">
        <f t="shared" si="69"/>
        <v>24</v>
      </c>
      <c r="BK128" s="274">
        <f t="shared" si="70"/>
        <v>1</v>
      </c>
      <c r="BL128" s="275">
        <f t="shared" si="71"/>
        <v>1</v>
      </c>
      <c r="BM128" s="422">
        <v>183.57</v>
      </c>
      <c r="BN128" s="272">
        <f t="shared" si="72"/>
        <v>0</v>
      </c>
      <c r="BO128" s="272">
        <f>IFERROR(INDEX('Horo. M'!$S$3:S$367,MATCH(A128,'Horo. M'!$A$3:$A$367,0)),"")</f>
        <v>24</v>
      </c>
      <c r="BP128" s="422">
        <v>0</v>
      </c>
      <c r="BQ128" s="422">
        <v>0</v>
      </c>
      <c r="BR128" s="272">
        <f t="shared" si="73"/>
        <v>24</v>
      </c>
      <c r="BS128" s="274">
        <f t="shared" si="74"/>
        <v>1</v>
      </c>
      <c r="BT128" s="275">
        <f t="shared" si="75"/>
        <v>1</v>
      </c>
      <c r="BU128" s="422">
        <v>185.89</v>
      </c>
      <c r="BV128" s="272">
        <f t="shared" si="76"/>
        <v>0</v>
      </c>
      <c r="BW128" s="272">
        <f>IFERROR(INDEX('Horo. M'!$U$3:U$367,MATCH(A128,'Horo. M'!$A$3:$A$367,0)),"")</f>
        <v>24</v>
      </c>
      <c r="BX128" s="422">
        <v>0</v>
      </c>
      <c r="BY128" s="422">
        <v>0</v>
      </c>
      <c r="BZ128" s="272">
        <f t="shared" si="77"/>
        <v>24</v>
      </c>
      <c r="CA128" s="274">
        <f t="shared" si="78"/>
        <v>1</v>
      </c>
      <c r="CB128" s="275">
        <f t="shared" si="79"/>
        <v>1</v>
      </c>
      <c r="CC128" s="422">
        <v>184.58</v>
      </c>
    </row>
    <row r="129" spans="1:81">
      <c r="A129" s="279">
        <v>45054</v>
      </c>
      <c r="B129" s="278">
        <f t="shared" si="40"/>
        <v>0</v>
      </c>
      <c r="C129" s="272">
        <f>IFERROR(INDEX('Horo. M'!$C$3:$C$367,MATCH(A129,'Horo. M'!$A$3:$A$367,0)),"")</f>
        <v>24</v>
      </c>
      <c r="D129" s="422">
        <v>0</v>
      </c>
      <c r="E129" s="422">
        <v>0</v>
      </c>
      <c r="F129" s="272">
        <f t="shared" si="41"/>
        <v>24</v>
      </c>
      <c r="G129" s="300">
        <f t="shared" si="42"/>
        <v>1</v>
      </c>
      <c r="H129" s="275">
        <f t="shared" si="43"/>
        <v>1</v>
      </c>
      <c r="I129" s="422">
        <v>190.7</v>
      </c>
      <c r="J129" s="278">
        <f t="shared" si="44"/>
        <v>0</v>
      </c>
      <c r="K129" s="272">
        <f>IFERROR(INDEX('Horo. M'!$E$3:$E$367,MATCH(A129,'Horo. M'!$A$3:$A$367,0)),"")</f>
        <v>20</v>
      </c>
      <c r="L129" s="422">
        <v>0</v>
      </c>
      <c r="M129" s="422">
        <v>4</v>
      </c>
      <c r="N129" s="272">
        <f t="shared" si="45"/>
        <v>20</v>
      </c>
      <c r="O129" s="300">
        <f t="shared" si="46"/>
        <v>0.83333333333333337</v>
      </c>
      <c r="P129" s="275">
        <f t="shared" si="47"/>
        <v>0.83333333333333337</v>
      </c>
      <c r="Q129" s="422">
        <v>159.1</v>
      </c>
      <c r="R129" s="278">
        <f t="shared" si="48"/>
        <v>0</v>
      </c>
      <c r="S129" s="272">
        <f>IFERROR(INDEX('Horo. M'!G$3:$G$367,MATCH(A129,'Horo. M'!$A$3:$A$367,0)),"")</f>
        <v>24</v>
      </c>
      <c r="T129" s="422">
        <v>0</v>
      </c>
      <c r="U129" s="422">
        <v>0</v>
      </c>
      <c r="V129" s="272">
        <f t="shared" si="49"/>
        <v>24</v>
      </c>
      <c r="W129" s="300">
        <f t="shared" si="50"/>
        <v>1</v>
      </c>
      <c r="X129" s="275">
        <f t="shared" si="51"/>
        <v>1</v>
      </c>
      <c r="Y129" s="422">
        <v>196.45</v>
      </c>
      <c r="Z129" s="278">
        <f t="shared" si="52"/>
        <v>0</v>
      </c>
      <c r="AA129" s="272">
        <f>IFERROR(INDEX('Horo. M'!$I$3:I$367,MATCH(A129,'Horo. M'!$A$3:$A$367,0)),"")</f>
        <v>22</v>
      </c>
      <c r="AB129" s="422">
        <v>2</v>
      </c>
      <c r="AC129" s="422">
        <v>0</v>
      </c>
      <c r="AD129" s="272">
        <f t="shared" si="53"/>
        <v>22</v>
      </c>
      <c r="AE129" s="300">
        <f t="shared" si="54"/>
        <v>0.91666666666666663</v>
      </c>
      <c r="AF129" s="275">
        <f t="shared" si="55"/>
        <v>0.91666666666666663</v>
      </c>
      <c r="AG129" s="422">
        <v>181.9</v>
      </c>
      <c r="AH129" s="272">
        <f t="shared" si="56"/>
        <v>0</v>
      </c>
      <c r="AI129" s="272">
        <f>IFERROR(INDEX('Horo. M'!$K$3:K$367,MATCH(A129,'Horo. M'!$A$3:$A$367,0)),"")</f>
        <v>0</v>
      </c>
      <c r="AJ129" s="422">
        <v>0</v>
      </c>
      <c r="AK129" s="422">
        <v>24</v>
      </c>
      <c r="AL129" s="272">
        <f t="shared" si="57"/>
        <v>0</v>
      </c>
      <c r="AM129" s="300">
        <f t="shared" si="58"/>
        <v>0</v>
      </c>
      <c r="AN129" s="275">
        <f t="shared" si="59"/>
        <v>0</v>
      </c>
      <c r="AO129" s="422">
        <v>0</v>
      </c>
      <c r="AP129" s="272">
        <f t="shared" si="60"/>
        <v>0</v>
      </c>
      <c r="AQ129" s="272">
        <f>IFERROR(INDEX('Horo. M'!$M$3:M$367,MATCH(A129,'Horo. M'!$A$3:$A$367,0)),"")</f>
        <v>24</v>
      </c>
      <c r="AR129" s="422">
        <v>0</v>
      </c>
      <c r="AS129" s="422">
        <v>0</v>
      </c>
      <c r="AT129" s="272">
        <f t="shared" si="61"/>
        <v>24</v>
      </c>
      <c r="AU129" s="300">
        <f t="shared" si="62"/>
        <v>1</v>
      </c>
      <c r="AV129" s="275">
        <f t="shared" si="63"/>
        <v>1</v>
      </c>
      <c r="AW129" s="422">
        <v>200.47</v>
      </c>
      <c r="AX129" s="272">
        <f t="shared" si="64"/>
        <v>0</v>
      </c>
      <c r="AY129" s="272">
        <f>IFERROR(INDEX('Horo. M'!$O$3:O$367,MATCH(A129,'Horo. M'!$A$3:$A$367,0)),"")</f>
        <v>0</v>
      </c>
      <c r="AZ129" s="422">
        <v>24</v>
      </c>
      <c r="BA129" s="422">
        <v>0</v>
      </c>
      <c r="BB129" s="272">
        <f t="shared" si="65"/>
        <v>0</v>
      </c>
      <c r="BC129" s="300">
        <f t="shared" si="66"/>
        <v>0</v>
      </c>
      <c r="BD129" s="275">
        <f t="shared" si="67"/>
        <v>0</v>
      </c>
      <c r="BE129" s="422">
        <v>0.08</v>
      </c>
      <c r="BF129" s="272">
        <f t="shared" si="68"/>
        <v>0</v>
      </c>
      <c r="BG129" s="272">
        <f>IFERROR(INDEX('Horo. M'!$Q$3:Q$367,MATCH(A129,'Horo. M'!$A$3:$A$367,0)),"")</f>
        <v>24</v>
      </c>
      <c r="BH129" s="422">
        <v>0</v>
      </c>
      <c r="BI129" s="422">
        <v>0</v>
      </c>
      <c r="BJ129" s="272">
        <f t="shared" si="69"/>
        <v>24</v>
      </c>
      <c r="BK129" s="300">
        <f t="shared" si="70"/>
        <v>1</v>
      </c>
      <c r="BL129" s="275">
        <f t="shared" si="71"/>
        <v>1</v>
      </c>
      <c r="BM129" s="422">
        <v>198.74</v>
      </c>
      <c r="BN129" s="272">
        <f t="shared" si="72"/>
        <v>0</v>
      </c>
      <c r="BO129" s="272">
        <f>IFERROR(INDEX('Horo. M'!$S$3:S$367,MATCH(A129,'Horo. M'!$A$3:$A$367,0)),"")</f>
        <v>24</v>
      </c>
      <c r="BP129" s="422">
        <v>0</v>
      </c>
      <c r="BQ129" s="422">
        <v>0</v>
      </c>
      <c r="BR129" s="272">
        <f t="shared" si="73"/>
        <v>24</v>
      </c>
      <c r="BS129" s="300">
        <f t="shared" si="74"/>
        <v>1</v>
      </c>
      <c r="BT129" s="275">
        <f t="shared" si="75"/>
        <v>1</v>
      </c>
      <c r="BU129" s="422">
        <v>200.11</v>
      </c>
      <c r="BV129" s="272">
        <f t="shared" si="76"/>
        <v>0</v>
      </c>
      <c r="BW129" s="272">
        <f>IFERROR(INDEX('Horo. M'!$U$3:U$367,MATCH(A129,'Horo. M'!$A$3:$A$367,0)),"")</f>
        <v>24</v>
      </c>
      <c r="BX129" s="422">
        <v>0</v>
      </c>
      <c r="BY129" s="422">
        <v>0</v>
      </c>
      <c r="BZ129" s="272">
        <f t="shared" si="77"/>
        <v>24</v>
      </c>
      <c r="CA129" s="300">
        <f t="shared" si="78"/>
        <v>1</v>
      </c>
      <c r="CB129" s="275">
        <f t="shared" si="79"/>
        <v>1</v>
      </c>
      <c r="CC129" s="422">
        <v>202.53</v>
      </c>
    </row>
    <row r="130" spans="1:81">
      <c r="A130" s="279">
        <v>45055</v>
      </c>
      <c r="B130" s="278">
        <f>24-C130-D130-E130</f>
        <v>0</v>
      </c>
      <c r="C130" s="272">
        <f>IFERROR(INDEX('Horo. M'!$C$3:$C$367,MATCH(A130,'Horo. M'!$A$3:$A$367,0)),"")</f>
        <v>18</v>
      </c>
      <c r="D130" s="422">
        <v>4</v>
      </c>
      <c r="E130" s="422">
        <v>2</v>
      </c>
      <c r="F130" s="272">
        <f>24-D130-E130</f>
        <v>18</v>
      </c>
      <c r="G130" s="274">
        <f t="shared" si="42"/>
        <v>0.75</v>
      </c>
      <c r="H130" s="275">
        <f t="shared" si="43"/>
        <v>0.75</v>
      </c>
      <c r="I130" s="422">
        <v>146.30000000000001</v>
      </c>
      <c r="J130" s="278">
        <f t="shared" si="44"/>
        <v>0</v>
      </c>
      <c r="K130" s="272">
        <f>IFERROR(INDEX('Horo. M'!$E$3:$E$367,MATCH(A130,'Horo. M'!$A$3:$A$367,0)),"")</f>
        <v>24</v>
      </c>
      <c r="L130" s="422">
        <v>0</v>
      </c>
      <c r="M130" s="422">
        <v>0</v>
      </c>
      <c r="N130" s="272">
        <f t="shared" si="45"/>
        <v>24</v>
      </c>
      <c r="O130" s="274">
        <f t="shared" si="46"/>
        <v>1</v>
      </c>
      <c r="P130" s="275">
        <f t="shared" si="47"/>
        <v>1</v>
      </c>
      <c r="Q130" s="422">
        <v>185.1</v>
      </c>
      <c r="R130" s="278">
        <f t="shared" si="48"/>
        <v>0</v>
      </c>
      <c r="S130" s="272">
        <f>IFERROR(INDEX('Horo. M'!G$3:$G$367,MATCH(A130,'Horo. M'!$A$3:$A$367,0)),"")</f>
        <v>24</v>
      </c>
      <c r="T130" s="422">
        <v>0</v>
      </c>
      <c r="U130" s="422">
        <v>0</v>
      </c>
      <c r="V130" s="272">
        <f t="shared" si="49"/>
        <v>24</v>
      </c>
      <c r="W130" s="274">
        <f t="shared" si="50"/>
        <v>1</v>
      </c>
      <c r="X130" s="275">
        <f t="shared" si="51"/>
        <v>1</v>
      </c>
      <c r="Y130" s="422">
        <v>208.73</v>
      </c>
      <c r="Z130" s="278">
        <f t="shared" si="52"/>
        <v>0</v>
      </c>
      <c r="AA130" s="272">
        <f>IFERROR(INDEX('Horo. M'!$I$3:I$367,MATCH(A130,'Horo. M'!$A$3:$A$367,0)),"")</f>
        <v>24</v>
      </c>
      <c r="AB130" s="422">
        <v>0</v>
      </c>
      <c r="AC130" s="422">
        <v>0</v>
      </c>
      <c r="AD130" s="272">
        <f t="shared" si="53"/>
        <v>24</v>
      </c>
      <c r="AE130" s="274">
        <f t="shared" si="54"/>
        <v>1</v>
      </c>
      <c r="AF130" s="275">
        <f t="shared" si="55"/>
        <v>1</v>
      </c>
      <c r="AG130" s="422">
        <v>207.11</v>
      </c>
      <c r="AH130" s="272">
        <f t="shared" si="56"/>
        <v>0</v>
      </c>
      <c r="AI130" s="272">
        <f>IFERROR(INDEX('Horo. M'!$K$3:K$367,MATCH(A130,'Horo. M'!$A$3:$A$367,0)),"")</f>
        <v>0</v>
      </c>
      <c r="AJ130" s="422">
        <v>0</v>
      </c>
      <c r="AK130" s="422">
        <v>24</v>
      </c>
      <c r="AL130" s="272">
        <f t="shared" si="57"/>
        <v>0</v>
      </c>
      <c r="AM130" s="274">
        <f t="shared" si="58"/>
        <v>0</v>
      </c>
      <c r="AN130" s="275">
        <f t="shared" si="59"/>
        <v>0</v>
      </c>
      <c r="AO130" s="422">
        <v>0</v>
      </c>
      <c r="AP130" s="272">
        <f t="shared" si="60"/>
        <v>0</v>
      </c>
      <c r="AQ130" s="272">
        <f>IFERROR(INDEX('Horo. M'!$M$3:M$367,MATCH(A130,'Horo. M'!$A$3:$A$367,0)),"")</f>
        <v>24</v>
      </c>
      <c r="AR130" s="422">
        <v>0</v>
      </c>
      <c r="AS130" s="422">
        <v>0</v>
      </c>
      <c r="AT130" s="272">
        <f t="shared" si="61"/>
        <v>24</v>
      </c>
      <c r="AU130" s="274">
        <f t="shared" si="62"/>
        <v>1</v>
      </c>
      <c r="AV130" s="275">
        <f t="shared" si="63"/>
        <v>1</v>
      </c>
      <c r="AW130" s="422">
        <v>206.61</v>
      </c>
      <c r="AX130" s="272">
        <f t="shared" si="64"/>
        <v>0</v>
      </c>
      <c r="AY130" s="272">
        <f>IFERROR(INDEX('Horo. M'!$O$3:O$367,MATCH(A130,'Horo. M'!$A$3:$A$367,0)),"")</f>
        <v>22</v>
      </c>
      <c r="AZ130" s="422">
        <v>0</v>
      </c>
      <c r="BA130" s="422">
        <v>2</v>
      </c>
      <c r="BB130" s="272">
        <f t="shared" si="65"/>
        <v>22</v>
      </c>
      <c r="BC130" s="274">
        <f t="shared" si="66"/>
        <v>0.91666666666666663</v>
      </c>
      <c r="BD130" s="275">
        <f t="shared" si="67"/>
        <v>0.91666666666666663</v>
      </c>
      <c r="BE130" s="422">
        <v>168.999</v>
      </c>
      <c r="BF130" s="272">
        <f t="shared" si="68"/>
        <v>0</v>
      </c>
      <c r="BG130" s="272">
        <f>IFERROR(INDEX('Horo. M'!$Q$3:Q$367,MATCH(A130,'Horo. M'!$A$3:$A$367,0)),"")</f>
        <v>24</v>
      </c>
      <c r="BH130" s="422">
        <v>0</v>
      </c>
      <c r="BI130" s="422">
        <v>0</v>
      </c>
      <c r="BJ130" s="272">
        <f t="shared" si="69"/>
        <v>24</v>
      </c>
      <c r="BK130" s="274">
        <f t="shared" si="70"/>
        <v>1</v>
      </c>
      <c r="BL130" s="275">
        <f t="shared" si="71"/>
        <v>1</v>
      </c>
      <c r="BM130" s="422">
        <v>206.35</v>
      </c>
      <c r="BN130" s="272">
        <f t="shared" si="72"/>
        <v>0</v>
      </c>
      <c r="BO130" s="272">
        <f>IFERROR(INDEX('Horo. M'!$S$3:S$367,MATCH(A130,'Horo. M'!$A$3:$A$367,0)),"")</f>
        <v>24</v>
      </c>
      <c r="BP130" s="422">
        <v>0</v>
      </c>
      <c r="BQ130" s="422">
        <v>0</v>
      </c>
      <c r="BR130" s="272">
        <f t="shared" si="73"/>
        <v>24</v>
      </c>
      <c r="BS130" s="274">
        <f t="shared" si="74"/>
        <v>1</v>
      </c>
      <c r="BT130" s="275">
        <f t="shared" si="75"/>
        <v>1</v>
      </c>
      <c r="BU130" s="422">
        <v>204.86</v>
      </c>
      <c r="BV130" s="272">
        <f t="shared" si="76"/>
        <v>2</v>
      </c>
      <c r="BW130" s="272">
        <f>IFERROR(INDEX('Horo. M'!$U$3:U$367,MATCH(A130,'Horo. M'!$A$3:$A$367,0)),"")</f>
        <v>6</v>
      </c>
      <c r="BX130" s="422">
        <v>4</v>
      </c>
      <c r="BY130" s="422">
        <v>12</v>
      </c>
      <c r="BZ130" s="272">
        <f t="shared" si="77"/>
        <v>8</v>
      </c>
      <c r="CA130" s="274">
        <f t="shared" si="78"/>
        <v>0.25</v>
      </c>
      <c r="CB130" s="275">
        <f t="shared" si="79"/>
        <v>0.33333333333333331</v>
      </c>
      <c r="CC130" s="422">
        <v>52.27</v>
      </c>
    </row>
    <row r="131" spans="1:81">
      <c r="A131" s="279">
        <v>45056</v>
      </c>
      <c r="B131" s="278">
        <f>24-C131-D131-E131</f>
        <v>0</v>
      </c>
      <c r="C131" s="272">
        <f>IFERROR(INDEX('Horo. M'!$C$3:$C$367,MATCH(A131,'Horo. M'!$A$3:$A$367,0)),"")</f>
        <v>24</v>
      </c>
      <c r="D131" s="422">
        <v>0</v>
      </c>
      <c r="E131" s="422">
        <v>0</v>
      </c>
      <c r="F131" s="272">
        <f>24-D131-E131</f>
        <v>24</v>
      </c>
      <c r="G131" s="300">
        <f t="shared" ref="G131:G194" si="80">C131/24</f>
        <v>1</v>
      </c>
      <c r="H131" s="275">
        <f t="shared" ref="H131:H194" si="81">(F131/24)*100%</f>
        <v>1</v>
      </c>
      <c r="I131" s="422">
        <v>197.3</v>
      </c>
      <c r="J131" s="278">
        <f t="shared" ref="J131:J194" si="82">24-K131-L131-M131</f>
        <v>0</v>
      </c>
      <c r="K131" s="272">
        <f>IFERROR(INDEX('Horo. M'!$E$3:$E$367,MATCH(A131,'Horo. M'!$A$3:$A$367,0)),"")</f>
        <v>16</v>
      </c>
      <c r="L131" s="422">
        <v>8</v>
      </c>
      <c r="M131" s="422">
        <v>0</v>
      </c>
      <c r="N131" s="272">
        <f t="shared" ref="N131:N194" si="83">24-L131-M131</f>
        <v>16</v>
      </c>
      <c r="O131" s="300">
        <f t="shared" ref="O131:O194" si="84">K131/24</f>
        <v>0.66666666666666663</v>
      </c>
      <c r="P131" s="275">
        <f t="shared" ref="P131:P194" si="85">(N131/24)*100%</f>
        <v>0.66666666666666663</v>
      </c>
      <c r="Q131" s="422">
        <v>131.19999999999999</v>
      </c>
      <c r="R131" s="278">
        <f t="shared" ref="R131:R194" si="86">24-S131-T131-U131</f>
        <v>0</v>
      </c>
      <c r="S131" s="272">
        <f>IFERROR(INDEX('Horo. M'!G$3:$G$367,MATCH(A131,'Horo. M'!$A$3:$A$367,0)),"")</f>
        <v>24</v>
      </c>
      <c r="T131" s="422">
        <v>0</v>
      </c>
      <c r="U131" s="422">
        <v>0</v>
      </c>
      <c r="V131" s="272">
        <f t="shared" ref="V131:V194" si="87">24-T131-U131</f>
        <v>24</v>
      </c>
      <c r="W131" s="300">
        <f t="shared" ref="W131:W194" si="88">S131/24</f>
        <v>1</v>
      </c>
      <c r="X131" s="275">
        <f t="shared" ref="X131:X194" si="89">(V131/24)*100%</f>
        <v>1</v>
      </c>
      <c r="Y131" s="422">
        <v>198.74</v>
      </c>
      <c r="Z131" s="278">
        <f t="shared" ref="Z131:Z194" si="90">24-AA131-AB131-AC131</f>
        <v>0</v>
      </c>
      <c r="AA131" s="272">
        <f>IFERROR(INDEX('Horo. M'!$I$3:I$367,MATCH(A131,'Horo. M'!$A$3:$A$367,0)),"")</f>
        <v>24</v>
      </c>
      <c r="AB131" s="422">
        <v>0</v>
      </c>
      <c r="AC131" s="422">
        <v>0</v>
      </c>
      <c r="AD131" s="272">
        <f t="shared" ref="AD131:AD194" si="91">24-AB131-AC131</f>
        <v>24</v>
      </c>
      <c r="AE131" s="300">
        <f t="shared" ref="AE131:AE194" si="92">AA131/24</f>
        <v>1</v>
      </c>
      <c r="AF131" s="275">
        <f t="shared" ref="AF131:AF194" si="93">(AD131/24)*100%</f>
        <v>1</v>
      </c>
      <c r="AG131" s="422">
        <v>200.62</v>
      </c>
      <c r="AH131" s="272">
        <f t="shared" ref="AH131:AH194" si="94">24-AI131-AJ131-AK131</f>
        <v>0</v>
      </c>
      <c r="AI131" s="272">
        <f>IFERROR(INDEX('Horo. M'!$K$3:K$367,MATCH(A131,'Horo. M'!$A$3:$A$367,0)),"")</f>
        <v>0</v>
      </c>
      <c r="AJ131" s="422">
        <v>0</v>
      </c>
      <c r="AK131" s="422">
        <v>24</v>
      </c>
      <c r="AL131" s="272">
        <f t="shared" ref="AL131:AL194" si="95">24-AJ131-AK131</f>
        <v>0</v>
      </c>
      <c r="AM131" s="300">
        <f t="shared" ref="AM131:AM194" si="96">AI131/24</f>
        <v>0</v>
      </c>
      <c r="AN131" s="275">
        <f t="shared" ref="AN131:AN194" si="97">(AL131/24)*100%</f>
        <v>0</v>
      </c>
      <c r="AO131" s="422">
        <v>0</v>
      </c>
      <c r="AP131" s="272">
        <f t="shared" ref="AP131:AP194" si="98">24-AQ131-AR131-AS131</f>
        <v>3</v>
      </c>
      <c r="AQ131" s="272">
        <f>IFERROR(INDEX('Horo. M'!$M$3:M$367,MATCH(A131,'Horo. M'!$A$3:$A$367,0)),"")</f>
        <v>14</v>
      </c>
      <c r="AR131" s="422">
        <v>7</v>
      </c>
      <c r="AS131" s="422">
        <v>0</v>
      </c>
      <c r="AT131" s="272">
        <f t="shared" ref="AT131:AT194" si="99">24-AR131-AS131</f>
        <v>17</v>
      </c>
      <c r="AU131" s="300">
        <f t="shared" ref="AU131:AU194" si="100">AQ131/24</f>
        <v>0.58333333333333337</v>
      </c>
      <c r="AV131" s="275">
        <f t="shared" ref="AV131:AV194" si="101">(AT131/24)*100%</f>
        <v>0.70833333333333337</v>
      </c>
      <c r="AW131" s="422">
        <v>120.58</v>
      </c>
      <c r="AX131" s="272">
        <f t="shared" ref="AX131:AX194" si="102">24-AY131-AZ131-BA131</f>
        <v>0</v>
      </c>
      <c r="AY131" s="272">
        <f>IFERROR(INDEX('Horo. M'!$O$3:O$367,MATCH(A131,'Horo. M'!$A$3:$A$367,0)),"")</f>
        <v>24</v>
      </c>
      <c r="AZ131" s="422">
        <v>0</v>
      </c>
      <c r="BA131" s="422">
        <v>0</v>
      </c>
      <c r="BB131" s="272">
        <f t="shared" ref="BB131:BB194" si="103">24-AZ131-BA131</f>
        <v>24</v>
      </c>
      <c r="BC131" s="300">
        <f t="shared" ref="BC131:BC194" si="104">AY131/24</f>
        <v>1</v>
      </c>
      <c r="BD131" s="275">
        <f t="shared" ref="BD131:BD194" si="105">(BB131/24)*100%</f>
        <v>1</v>
      </c>
      <c r="BE131" s="422">
        <v>198.47</v>
      </c>
      <c r="BF131" s="272">
        <f t="shared" ref="BF131:BF194" si="106">24-BG131-BH131-BI131</f>
        <v>0</v>
      </c>
      <c r="BG131" s="272">
        <f>IFERROR(INDEX('Horo. M'!$Q$3:Q$367,MATCH(A131,'Horo. M'!$A$3:$A$367,0)),"")</f>
        <v>24</v>
      </c>
      <c r="BH131" s="422">
        <v>0</v>
      </c>
      <c r="BI131" s="422">
        <v>0</v>
      </c>
      <c r="BJ131" s="272">
        <f t="shared" ref="BJ131:BJ194" si="107">24-BH131-BI131</f>
        <v>24</v>
      </c>
      <c r="BK131" s="300">
        <f t="shared" ref="BK131:BK194" si="108">BG131/24</f>
        <v>1</v>
      </c>
      <c r="BL131" s="275">
        <f t="shared" ref="BL131:BL194" si="109">(BJ131/24)*100%</f>
        <v>1</v>
      </c>
      <c r="BM131" s="422">
        <v>196.93</v>
      </c>
      <c r="BN131" s="272">
        <f t="shared" ref="BN131:BN194" si="110">24-BO131-BP131-BQ131</f>
        <v>2</v>
      </c>
      <c r="BO131" s="272">
        <f>IFERROR(INDEX('Horo. M'!$S$3:S$367,MATCH(A131,'Horo. M'!$A$3:$A$367,0)),"")</f>
        <v>16</v>
      </c>
      <c r="BP131" s="422">
        <v>6</v>
      </c>
      <c r="BQ131" s="422">
        <v>0</v>
      </c>
      <c r="BR131" s="272">
        <f t="shared" ref="BR131:BR194" si="111">24-BP131-BQ131</f>
        <v>18</v>
      </c>
      <c r="BS131" s="300">
        <f t="shared" ref="BS131:BS194" si="112">BO131/24</f>
        <v>0.66666666666666663</v>
      </c>
      <c r="BT131" s="275">
        <f t="shared" ref="BT131:BT194" si="113">(BR131/24)*100%</f>
        <v>0.75</v>
      </c>
      <c r="BU131" s="422">
        <v>130.44</v>
      </c>
      <c r="BV131" s="272">
        <f t="shared" ref="BV131:BV194" si="114">24-BW131-BX131-BY131</f>
        <v>0</v>
      </c>
      <c r="BW131" s="272">
        <f>IFERROR(INDEX('Horo. M'!$U$3:U$367,MATCH(A131,'Horo. M'!$A$3:$A$367,0)),"")</f>
        <v>24</v>
      </c>
      <c r="BX131" s="422">
        <v>0</v>
      </c>
      <c r="BY131" s="422">
        <v>0</v>
      </c>
      <c r="BZ131" s="272">
        <f t="shared" ref="BZ131:BZ194" si="115">24-BX131-BY131</f>
        <v>24</v>
      </c>
      <c r="CA131" s="300">
        <f t="shared" ref="CA131:CA194" si="116">BW131/24</f>
        <v>1</v>
      </c>
      <c r="CB131" s="275">
        <f t="shared" ref="CB131:CB194" si="117">(BZ131/24)*100%</f>
        <v>1</v>
      </c>
      <c r="CC131" s="422">
        <v>201.17</v>
      </c>
    </row>
    <row r="132" spans="1:81">
      <c r="A132" s="279">
        <v>45057</v>
      </c>
      <c r="B132" s="278">
        <f t="shared" ref="B132:B194" si="118">24-C132-D132-E132</f>
        <v>0</v>
      </c>
      <c r="C132" s="272">
        <f>IFERROR(INDEX('Horo. M'!$C$3:$C$367,MATCH(A132,'Horo. M'!$A$3:$A$367,0)),"")</f>
        <v>22</v>
      </c>
      <c r="D132" s="422">
        <v>0</v>
      </c>
      <c r="E132" s="422">
        <v>2</v>
      </c>
      <c r="F132" s="272">
        <f t="shared" ref="F132:F194" si="119">24-D132-E132</f>
        <v>22</v>
      </c>
      <c r="G132" s="274">
        <f t="shared" si="80"/>
        <v>0.91666666666666663</v>
      </c>
      <c r="H132" s="275">
        <f t="shared" si="81"/>
        <v>0.91666666666666663</v>
      </c>
      <c r="I132" s="422">
        <v>188.9</v>
      </c>
      <c r="J132" s="278">
        <f t="shared" si="82"/>
        <v>0</v>
      </c>
      <c r="K132" s="272">
        <f>IFERROR(INDEX('Horo. M'!$E$3:$E$367,MATCH(A132,'Horo. M'!$A$3:$A$367,0)),"")</f>
        <v>24</v>
      </c>
      <c r="L132" s="422">
        <v>0</v>
      </c>
      <c r="M132" s="422">
        <v>0</v>
      </c>
      <c r="N132" s="272">
        <f t="shared" si="83"/>
        <v>24</v>
      </c>
      <c r="O132" s="274">
        <f t="shared" si="84"/>
        <v>1</v>
      </c>
      <c r="P132" s="275">
        <f t="shared" si="85"/>
        <v>1</v>
      </c>
      <c r="Q132" s="422">
        <v>208</v>
      </c>
      <c r="R132" s="278">
        <f t="shared" si="86"/>
        <v>0</v>
      </c>
      <c r="S132" s="272">
        <f>IFERROR(INDEX('Horo. M'!G$3:$G$367,MATCH(A132,'Horo. M'!$A$3:$A$367,0)),"")</f>
        <v>24</v>
      </c>
      <c r="T132" s="422">
        <v>0</v>
      </c>
      <c r="U132" s="422">
        <v>0</v>
      </c>
      <c r="V132" s="272">
        <f t="shared" si="87"/>
        <v>24</v>
      </c>
      <c r="W132" s="274">
        <f t="shared" si="88"/>
        <v>1</v>
      </c>
      <c r="X132" s="275">
        <f t="shared" si="89"/>
        <v>1</v>
      </c>
      <c r="Y132" s="422">
        <v>206.49</v>
      </c>
      <c r="Z132" s="278">
        <f t="shared" si="90"/>
        <v>0</v>
      </c>
      <c r="AA132" s="272">
        <f>IFERROR(INDEX('Horo. M'!$I$3:I$367,MATCH(A132,'Horo. M'!$A$3:$A$367,0)),"")</f>
        <v>1</v>
      </c>
      <c r="AB132" s="422">
        <v>23</v>
      </c>
      <c r="AC132" s="422">
        <v>0</v>
      </c>
      <c r="AD132" s="272">
        <f t="shared" si="91"/>
        <v>1</v>
      </c>
      <c r="AE132" s="274">
        <f t="shared" si="92"/>
        <v>4.1666666666666664E-2</v>
      </c>
      <c r="AF132" s="275">
        <f t="shared" si="93"/>
        <v>4.1666666666666664E-2</v>
      </c>
      <c r="AG132" s="422">
        <v>0.6</v>
      </c>
      <c r="AH132" s="272">
        <f t="shared" si="94"/>
        <v>0</v>
      </c>
      <c r="AI132" s="272">
        <f>IFERROR(INDEX('Horo. M'!$K$3:K$367,MATCH(A132,'Horo. M'!$A$3:$A$367,0)),"")</f>
        <v>0</v>
      </c>
      <c r="AJ132" s="422">
        <v>0</v>
      </c>
      <c r="AK132" s="422">
        <v>24</v>
      </c>
      <c r="AL132" s="272">
        <f t="shared" si="95"/>
        <v>0</v>
      </c>
      <c r="AM132" s="274">
        <f t="shared" si="96"/>
        <v>0</v>
      </c>
      <c r="AN132" s="275">
        <f t="shared" si="97"/>
        <v>0</v>
      </c>
      <c r="AO132" s="422">
        <v>0</v>
      </c>
      <c r="AP132" s="272">
        <f t="shared" si="98"/>
        <v>0</v>
      </c>
      <c r="AQ132" s="272">
        <f>IFERROR(INDEX('Horo. M'!$M$3:M$367,MATCH(A132,'Horo. M'!$A$3:$A$367,0)),"")</f>
        <v>24</v>
      </c>
      <c r="AR132" s="422">
        <v>0</v>
      </c>
      <c r="AS132" s="422">
        <v>0</v>
      </c>
      <c r="AT132" s="272">
        <f t="shared" si="99"/>
        <v>24</v>
      </c>
      <c r="AU132" s="274">
        <f t="shared" si="100"/>
        <v>1</v>
      </c>
      <c r="AV132" s="275">
        <f t="shared" si="101"/>
        <v>1</v>
      </c>
      <c r="AW132" s="422">
        <v>206.75</v>
      </c>
      <c r="AX132" s="272">
        <f t="shared" si="102"/>
        <v>0</v>
      </c>
      <c r="AY132" s="272">
        <f>IFERROR(INDEX('Horo. M'!$O$3:O$367,MATCH(A132,'Horo. M'!$A$3:$A$367,0)),"")</f>
        <v>24</v>
      </c>
      <c r="AZ132" s="422">
        <v>0</v>
      </c>
      <c r="BA132" s="422">
        <v>0</v>
      </c>
      <c r="BB132" s="272">
        <f t="shared" si="103"/>
        <v>24</v>
      </c>
      <c r="BC132" s="274">
        <f t="shared" si="104"/>
        <v>1</v>
      </c>
      <c r="BD132" s="275">
        <f t="shared" si="105"/>
        <v>1</v>
      </c>
      <c r="BE132" s="422">
        <v>203.59</v>
      </c>
      <c r="BF132" s="272">
        <f t="shared" si="106"/>
        <v>0</v>
      </c>
      <c r="BG132" s="272">
        <f>IFERROR(INDEX('Horo. M'!$Q$3:Q$367,MATCH(A132,'Horo. M'!$A$3:$A$367,0)),"")</f>
        <v>23</v>
      </c>
      <c r="BH132" s="422">
        <v>1</v>
      </c>
      <c r="BI132" s="422">
        <v>0</v>
      </c>
      <c r="BJ132" s="272">
        <f t="shared" si="107"/>
        <v>23</v>
      </c>
      <c r="BK132" s="274">
        <f t="shared" si="108"/>
        <v>0.95833333333333337</v>
      </c>
      <c r="BL132" s="275">
        <f t="shared" si="109"/>
        <v>0.95833333333333337</v>
      </c>
      <c r="BM132" s="422">
        <v>196.39</v>
      </c>
      <c r="BN132" s="272">
        <f t="shared" si="110"/>
        <v>0</v>
      </c>
      <c r="BO132" s="272">
        <f>IFERROR(INDEX('Horo. M'!$S$3:S$367,MATCH(A132,'Horo. M'!$A$3:$A$367,0)),"")</f>
        <v>24</v>
      </c>
      <c r="BP132" s="422">
        <v>0</v>
      </c>
      <c r="BQ132" s="422">
        <v>0</v>
      </c>
      <c r="BR132" s="272">
        <f t="shared" si="111"/>
        <v>24</v>
      </c>
      <c r="BS132" s="274">
        <f t="shared" si="112"/>
        <v>1</v>
      </c>
      <c r="BT132" s="275">
        <f t="shared" si="113"/>
        <v>1</v>
      </c>
      <c r="BU132" s="422">
        <v>205.56</v>
      </c>
      <c r="BV132" s="272">
        <f t="shared" si="114"/>
        <v>1</v>
      </c>
      <c r="BW132" s="272">
        <f>IFERROR(INDEX('Horo. M'!$U$3:U$367,MATCH(A132,'Horo. M'!$A$3:$A$367,0)),"")</f>
        <v>23</v>
      </c>
      <c r="BX132" s="422">
        <v>0</v>
      </c>
      <c r="BY132" s="422">
        <v>0</v>
      </c>
      <c r="BZ132" s="272">
        <f t="shared" si="115"/>
        <v>24</v>
      </c>
      <c r="CA132" s="274">
        <f t="shared" si="116"/>
        <v>0.95833333333333337</v>
      </c>
      <c r="CB132" s="275">
        <f t="shared" si="117"/>
        <v>1</v>
      </c>
      <c r="CC132" s="422">
        <v>197.4</v>
      </c>
    </row>
    <row r="133" spans="1:81">
      <c r="A133" s="279">
        <v>45058</v>
      </c>
      <c r="B133" s="278">
        <f t="shared" si="118"/>
        <v>0</v>
      </c>
      <c r="C133" s="272">
        <f>IFERROR(INDEX('Horo. M'!$C$3:$C$367,MATCH(A133,'Horo. M'!$A$3:$A$367,0)),"")</f>
        <v>24</v>
      </c>
      <c r="D133" s="422">
        <v>0</v>
      </c>
      <c r="E133" s="422">
        <v>0</v>
      </c>
      <c r="F133" s="272">
        <f t="shared" si="119"/>
        <v>24</v>
      </c>
      <c r="G133" s="300">
        <f t="shared" si="80"/>
        <v>1</v>
      </c>
      <c r="H133" s="275">
        <f t="shared" si="81"/>
        <v>1</v>
      </c>
      <c r="I133" s="422">
        <v>208</v>
      </c>
      <c r="J133" s="278">
        <f t="shared" si="82"/>
        <v>0</v>
      </c>
      <c r="K133" s="272">
        <f>IFERROR(INDEX('Horo. M'!$E$3:$E$367,MATCH(A133,'Horo. M'!$A$3:$A$367,0)),"")</f>
        <v>24</v>
      </c>
      <c r="L133" s="422">
        <v>0</v>
      </c>
      <c r="M133" s="422">
        <v>0</v>
      </c>
      <c r="N133" s="272">
        <f t="shared" si="83"/>
        <v>24</v>
      </c>
      <c r="O133" s="300">
        <f t="shared" si="84"/>
        <v>1</v>
      </c>
      <c r="P133" s="275">
        <f t="shared" si="85"/>
        <v>1</v>
      </c>
      <c r="Q133" s="422">
        <v>203.9</v>
      </c>
      <c r="R133" s="278">
        <f t="shared" si="86"/>
        <v>0</v>
      </c>
      <c r="S133" s="272">
        <f>IFERROR(INDEX('Horo. M'!G$3:$G$367,MATCH(A133,'Horo. M'!$A$3:$A$367,0)),"")</f>
        <v>24</v>
      </c>
      <c r="T133" s="422">
        <v>0</v>
      </c>
      <c r="U133" s="422">
        <v>0</v>
      </c>
      <c r="V133" s="272">
        <f t="shared" si="87"/>
        <v>24</v>
      </c>
      <c r="W133" s="300">
        <f t="shared" si="88"/>
        <v>1</v>
      </c>
      <c r="X133" s="275">
        <f t="shared" si="89"/>
        <v>1</v>
      </c>
      <c r="Y133" s="422">
        <v>207.51</v>
      </c>
      <c r="Z133" s="278">
        <f t="shared" si="90"/>
        <v>0</v>
      </c>
      <c r="AA133" s="272">
        <f>IFERROR(INDEX('Horo. M'!$I$3:I$367,MATCH(A133,'Horo. M'!$A$3:$A$367,0)),"")</f>
        <v>0</v>
      </c>
      <c r="AB133" s="422">
        <v>24</v>
      </c>
      <c r="AC133" s="422">
        <v>0</v>
      </c>
      <c r="AD133" s="272">
        <f t="shared" si="91"/>
        <v>0</v>
      </c>
      <c r="AE133" s="300">
        <f t="shared" si="92"/>
        <v>0</v>
      </c>
      <c r="AF133" s="275">
        <f t="shared" si="93"/>
        <v>0</v>
      </c>
      <c r="AG133" s="422">
        <v>0</v>
      </c>
      <c r="AH133" s="272">
        <f t="shared" si="94"/>
        <v>0</v>
      </c>
      <c r="AI133" s="272">
        <f>IFERROR(INDEX('Horo. M'!$K$3:K$367,MATCH(A133,'Horo. M'!$A$3:$A$367,0)),"")</f>
        <v>0</v>
      </c>
      <c r="AJ133" s="422">
        <v>0</v>
      </c>
      <c r="AK133" s="422">
        <v>24</v>
      </c>
      <c r="AL133" s="272">
        <f t="shared" si="95"/>
        <v>0</v>
      </c>
      <c r="AM133" s="300">
        <f t="shared" si="96"/>
        <v>0</v>
      </c>
      <c r="AN133" s="275">
        <f t="shared" si="97"/>
        <v>0</v>
      </c>
      <c r="AO133" s="422">
        <v>0</v>
      </c>
      <c r="AP133" s="272">
        <f t="shared" si="98"/>
        <v>0</v>
      </c>
      <c r="AQ133" s="272">
        <f>IFERROR(INDEX('Horo. M'!$M$3:M$367,MATCH(A133,'Horo. M'!$A$3:$A$367,0)),"")</f>
        <v>24</v>
      </c>
      <c r="AR133" s="422">
        <v>0</v>
      </c>
      <c r="AS133" s="422">
        <v>0</v>
      </c>
      <c r="AT133" s="272">
        <f t="shared" si="99"/>
        <v>24</v>
      </c>
      <c r="AU133" s="300">
        <f t="shared" si="100"/>
        <v>1</v>
      </c>
      <c r="AV133" s="275">
        <f t="shared" si="101"/>
        <v>1</v>
      </c>
      <c r="AW133" s="422">
        <v>208.51</v>
      </c>
      <c r="AX133" s="272">
        <f t="shared" si="102"/>
        <v>0</v>
      </c>
      <c r="AY133" s="272">
        <f>IFERROR(INDEX('Horo. M'!$O$3:O$367,MATCH(A133,'Horo. M'!$A$3:$A$367,0)),"")</f>
        <v>24</v>
      </c>
      <c r="AZ133" s="422">
        <v>0</v>
      </c>
      <c r="BA133" s="422">
        <v>0</v>
      </c>
      <c r="BB133" s="272">
        <f t="shared" si="103"/>
        <v>24</v>
      </c>
      <c r="BC133" s="300">
        <f t="shared" si="104"/>
        <v>1</v>
      </c>
      <c r="BD133" s="275">
        <f t="shared" si="105"/>
        <v>1</v>
      </c>
      <c r="BE133" s="422">
        <v>206.34</v>
      </c>
      <c r="BF133" s="272">
        <f t="shared" si="106"/>
        <v>0</v>
      </c>
      <c r="BG133" s="272">
        <f>IFERROR(INDEX('Horo. M'!$Q$3:Q$367,MATCH(A133,'Horo. M'!$A$3:$A$367,0)),"")</f>
        <v>24</v>
      </c>
      <c r="BH133" s="422">
        <v>0</v>
      </c>
      <c r="BI133" s="422">
        <v>0</v>
      </c>
      <c r="BJ133" s="272">
        <f t="shared" si="107"/>
        <v>24</v>
      </c>
      <c r="BK133" s="300">
        <f t="shared" si="108"/>
        <v>1</v>
      </c>
      <c r="BL133" s="275">
        <f t="shared" si="109"/>
        <v>1</v>
      </c>
      <c r="BM133" s="422">
        <v>188.99</v>
      </c>
      <c r="BN133" s="272">
        <f t="shared" si="110"/>
        <v>0</v>
      </c>
      <c r="BO133" s="272">
        <f>IFERROR(INDEX('Horo. M'!$S$3:S$367,MATCH(A133,'Horo. M'!$A$3:$A$367,0)),"")</f>
        <v>24</v>
      </c>
      <c r="BP133" s="422">
        <v>0</v>
      </c>
      <c r="BQ133" s="422">
        <v>0</v>
      </c>
      <c r="BR133" s="272">
        <f t="shared" si="111"/>
        <v>24</v>
      </c>
      <c r="BS133" s="300">
        <f t="shared" si="112"/>
        <v>1</v>
      </c>
      <c r="BT133" s="275">
        <f t="shared" si="113"/>
        <v>1</v>
      </c>
      <c r="BU133" s="422">
        <v>206.24</v>
      </c>
      <c r="BV133" s="272">
        <f t="shared" si="114"/>
        <v>0</v>
      </c>
      <c r="BW133" s="272">
        <f>IFERROR(INDEX('Horo. M'!$U$3:U$367,MATCH(A133,'Horo. M'!$A$3:$A$367,0)),"")</f>
        <v>24</v>
      </c>
      <c r="BX133" s="422">
        <v>0</v>
      </c>
      <c r="BY133" s="422">
        <v>0</v>
      </c>
      <c r="BZ133" s="272">
        <f t="shared" si="115"/>
        <v>24</v>
      </c>
      <c r="CA133" s="300">
        <f t="shared" si="116"/>
        <v>1</v>
      </c>
      <c r="CB133" s="275">
        <f t="shared" si="117"/>
        <v>1</v>
      </c>
      <c r="CC133" s="422">
        <v>207.48</v>
      </c>
    </row>
    <row r="134" spans="1:81">
      <c r="A134" s="279">
        <v>45059</v>
      </c>
      <c r="B134" s="278">
        <f t="shared" si="118"/>
        <v>1</v>
      </c>
      <c r="C134" s="272">
        <f>IFERROR(INDEX('Horo. M'!$C$3:$C$367,MATCH(A134,'Horo. M'!$A$3:$A$367,0)),"")</f>
        <v>23</v>
      </c>
      <c r="D134" s="422">
        <v>0</v>
      </c>
      <c r="E134" s="422">
        <v>0</v>
      </c>
      <c r="F134" s="272">
        <f t="shared" si="119"/>
        <v>24</v>
      </c>
      <c r="G134" s="300">
        <f t="shared" si="80"/>
        <v>0.95833333333333337</v>
      </c>
      <c r="H134" s="275">
        <f t="shared" si="81"/>
        <v>1</v>
      </c>
      <c r="I134" s="422">
        <v>186.5</v>
      </c>
      <c r="J134" s="278">
        <f t="shared" si="82"/>
        <v>1</v>
      </c>
      <c r="K134" s="272">
        <f>IFERROR(INDEX('Horo. M'!$E$3:$E$367,MATCH(A134,'Horo. M'!$A$3:$A$367,0)),"")</f>
        <v>23</v>
      </c>
      <c r="L134" s="422">
        <v>0</v>
      </c>
      <c r="M134" s="422">
        <v>0</v>
      </c>
      <c r="N134" s="272">
        <f t="shared" si="83"/>
        <v>24</v>
      </c>
      <c r="O134" s="300">
        <f t="shared" si="84"/>
        <v>0.95833333333333337</v>
      </c>
      <c r="P134" s="275">
        <f t="shared" si="85"/>
        <v>1</v>
      </c>
      <c r="Q134" s="422">
        <v>156.9</v>
      </c>
      <c r="R134" s="278">
        <f t="shared" si="86"/>
        <v>1</v>
      </c>
      <c r="S134" s="272">
        <f>IFERROR(INDEX('Horo. M'!G$3:$G$367,MATCH(A134,'Horo. M'!$A$3:$A$367,0)),"")</f>
        <v>23</v>
      </c>
      <c r="T134" s="422">
        <v>0</v>
      </c>
      <c r="U134" s="422">
        <v>0</v>
      </c>
      <c r="V134" s="272">
        <f t="shared" si="87"/>
        <v>24</v>
      </c>
      <c r="W134" s="300">
        <f t="shared" si="88"/>
        <v>0.95833333333333337</v>
      </c>
      <c r="X134" s="275">
        <f t="shared" si="89"/>
        <v>1</v>
      </c>
      <c r="Y134" s="422">
        <v>184.91</v>
      </c>
      <c r="Z134" s="278">
        <f t="shared" si="90"/>
        <v>0</v>
      </c>
      <c r="AA134" s="272">
        <f>IFERROR(INDEX('Horo. M'!$I$3:I$367,MATCH(A134,'Horo. M'!$A$3:$A$367,0)),"")</f>
        <v>0</v>
      </c>
      <c r="AB134" s="422">
        <v>24</v>
      </c>
      <c r="AC134" s="422">
        <v>0</v>
      </c>
      <c r="AD134" s="272">
        <f t="shared" si="91"/>
        <v>0</v>
      </c>
      <c r="AE134" s="300">
        <f t="shared" si="92"/>
        <v>0</v>
      </c>
      <c r="AF134" s="275">
        <f t="shared" si="93"/>
        <v>0</v>
      </c>
      <c r="AG134" s="422">
        <v>0</v>
      </c>
      <c r="AH134" s="272">
        <f t="shared" si="94"/>
        <v>0</v>
      </c>
      <c r="AI134" s="272">
        <f>IFERROR(INDEX('Horo. M'!$K$3:K$367,MATCH(A134,'Horo. M'!$A$3:$A$367,0)),"")</f>
        <v>0</v>
      </c>
      <c r="AJ134" s="422">
        <v>0</v>
      </c>
      <c r="AK134" s="422">
        <v>24</v>
      </c>
      <c r="AL134" s="272">
        <f t="shared" si="95"/>
        <v>0</v>
      </c>
      <c r="AM134" s="300">
        <f t="shared" si="96"/>
        <v>0</v>
      </c>
      <c r="AN134" s="275">
        <f t="shared" si="97"/>
        <v>0</v>
      </c>
      <c r="AO134" s="422">
        <v>0</v>
      </c>
      <c r="AP134" s="272">
        <f t="shared" si="98"/>
        <v>1</v>
      </c>
      <c r="AQ134" s="272">
        <f>IFERROR(INDEX('Horo. M'!$M$3:M$367,MATCH(A134,'Horo. M'!$A$3:$A$367,0)),"")</f>
        <v>23</v>
      </c>
      <c r="AR134" s="422">
        <v>0</v>
      </c>
      <c r="AS134" s="422">
        <v>0</v>
      </c>
      <c r="AT134" s="272">
        <f t="shared" si="99"/>
        <v>24</v>
      </c>
      <c r="AU134" s="300">
        <f t="shared" si="100"/>
        <v>0.95833333333333337</v>
      </c>
      <c r="AV134" s="275">
        <f t="shared" si="101"/>
        <v>1</v>
      </c>
      <c r="AW134" s="422">
        <v>182.96</v>
      </c>
      <c r="AX134" s="272">
        <f t="shared" si="102"/>
        <v>0</v>
      </c>
      <c r="AY134" s="272">
        <f>IFERROR(INDEX('Horo. M'!$O$3:O$367,MATCH(A134,'Horo. M'!$A$3:$A$367,0)),"")</f>
        <v>22</v>
      </c>
      <c r="AZ134" s="422">
        <v>0</v>
      </c>
      <c r="BA134" s="422">
        <v>2</v>
      </c>
      <c r="BB134" s="272">
        <f t="shared" si="103"/>
        <v>22</v>
      </c>
      <c r="BC134" s="300">
        <f t="shared" si="104"/>
        <v>0.91666666666666663</v>
      </c>
      <c r="BD134" s="275">
        <f t="shared" si="105"/>
        <v>0.91666666666666663</v>
      </c>
      <c r="BE134" s="422">
        <v>171.66</v>
      </c>
      <c r="BF134" s="272">
        <f t="shared" si="106"/>
        <v>2</v>
      </c>
      <c r="BG134" s="272">
        <f>IFERROR(INDEX('Horo. M'!$Q$3:Q$367,MATCH(A134,'Horo. M'!$A$3:$A$367,0)),"")</f>
        <v>22</v>
      </c>
      <c r="BH134" s="422">
        <v>0</v>
      </c>
      <c r="BI134" s="422">
        <v>0</v>
      </c>
      <c r="BJ134" s="272">
        <f t="shared" si="107"/>
        <v>24</v>
      </c>
      <c r="BK134" s="300">
        <f t="shared" si="108"/>
        <v>0.91666666666666663</v>
      </c>
      <c r="BL134" s="275">
        <f t="shared" si="109"/>
        <v>1</v>
      </c>
      <c r="BM134" s="422">
        <v>185.82</v>
      </c>
      <c r="BN134" s="272">
        <f t="shared" si="110"/>
        <v>1</v>
      </c>
      <c r="BO134" s="272">
        <f>IFERROR(INDEX('Horo. M'!$S$3:S$367,MATCH(A134,'Horo. M'!$A$3:$A$367,0)),"")</f>
        <v>23</v>
      </c>
      <c r="BP134" s="422">
        <v>0</v>
      </c>
      <c r="BQ134" s="422">
        <v>0</v>
      </c>
      <c r="BR134" s="272">
        <f t="shared" si="111"/>
        <v>24</v>
      </c>
      <c r="BS134" s="300">
        <f t="shared" si="112"/>
        <v>0.95833333333333337</v>
      </c>
      <c r="BT134" s="275">
        <f t="shared" si="113"/>
        <v>1</v>
      </c>
      <c r="BU134" s="422">
        <v>184.03</v>
      </c>
      <c r="BV134" s="272">
        <f t="shared" si="114"/>
        <v>2</v>
      </c>
      <c r="BW134" s="272">
        <f>IFERROR(INDEX('Horo. M'!$U$3:U$367,MATCH(A134,'Horo. M'!$A$3:$A$367,0)),"")</f>
        <v>22</v>
      </c>
      <c r="BX134" s="422">
        <v>0</v>
      </c>
      <c r="BY134" s="422">
        <v>0</v>
      </c>
      <c r="BZ134" s="272">
        <f t="shared" si="115"/>
        <v>24</v>
      </c>
      <c r="CA134" s="300">
        <f t="shared" si="116"/>
        <v>0.91666666666666663</v>
      </c>
      <c r="CB134" s="275">
        <f t="shared" si="117"/>
        <v>1</v>
      </c>
      <c r="CC134" s="422">
        <v>187.33</v>
      </c>
    </row>
    <row r="135" spans="1:81">
      <c r="A135" s="279">
        <v>45060</v>
      </c>
      <c r="B135" s="278">
        <f t="shared" si="118"/>
        <v>0</v>
      </c>
      <c r="C135" s="272">
        <f>IFERROR(INDEX('Horo. M'!$C$3:$C$367,MATCH(A135,'Horo. M'!$A$3:$A$367,0)),"")</f>
        <v>24</v>
      </c>
      <c r="D135" s="422">
        <v>0</v>
      </c>
      <c r="E135" s="422">
        <v>0</v>
      </c>
      <c r="F135" s="272">
        <f t="shared" si="119"/>
        <v>24</v>
      </c>
      <c r="G135" s="274">
        <f t="shared" si="80"/>
        <v>1</v>
      </c>
      <c r="H135" s="275">
        <f t="shared" si="81"/>
        <v>1</v>
      </c>
      <c r="I135" s="422">
        <v>185.8</v>
      </c>
      <c r="J135" s="278">
        <f t="shared" si="82"/>
        <v>0</v>
      </c>
      <c r="K135" s="272">
        <f>IFERROR(INDEX('Horo. M'!$E$3:$E$367,MATCH(A135,'Horo. M'!$A$3:$A$367,0)),"")</f>
        <v>22</v>
      </c>
      <c r="L135" s="422">
        <v>0</v>
      </c>
      <c r="M135" s="422">
        <v>2</v>
      </c>
      <c r="N135" s="272">
        <f t="shared" si="83"/>
        <v>22</v>
      </c>
      <c r="O135" s="274">
        <f t="shared" si="84"/>
        <v>0.91666666666666663</v>
      </c>
      <c r="P135" s="275">
        <f t="shared" si="85"/>
        <v>0.91666666666666663</v>
      </c>
      <c r="Q135" s="422">
        <v>155.69999999999999</v>
      </c>
      <c r="R135" s="278">
        <f t="shared" si="86"/>
        <v>0</v>
      </c>
      <c r="S135" s="272">
        <f>IFERROR(INDEX('Horo. M'!G$3:$G$367,MATCH(A135,'Horo. M'!$A$3:$A$367,0)),"")</f>
        <v>24</v>
      </c>
      <c r="T135" s="422">
        <v>0</v>
      </c>
      <c r="U135" s="422">
        <v>0</v>
      </c>
      <c r="V135" s="272">
        <f t="shared" si="87"/>
        <v>24</v>
      </c>
      <c r="W135" s="274">
        <f t="shared" si="88"/>
        <v>1</v>
      </c>
      <c r="X135" s="275">
        <f t="shared" si="89"/>
        <v>1</v>
      </c>
      <c r="Y135" s="422">
        <v>183.77</v>
      </c>
      <c r="Z135" s="278">
        <f t="shared" si="90"/>
        <v>0</v>
      </c>
      <c r="AA135" s="272">
        <f>IFERROR(INDEX('Horo. M'!$I$3:I$367,MATCH(A135,'Horo. M'!$A$3:$A$367,0)),"")</f>
        <v>0</v>
      </c>
      <c r="AB135" s="422">
        <v>24</v>
      </c>
      <c r="AC135" s="422">
        <v>0</v>
      </c>
      <c r="AD135" s="272">
        <f t="shared" si="91"/>
        <v>0</v>
      </c>
      <c r="AE135" s="274">
        <f t="shared" si="92"/>
        <v>0</v>
      </c>
      <c r="AF135" s="275">
        <f t="shared" si="93"/>
        <v>0</v>
      </c>
      <c r="AG135" s="422">
        <v>0</v>
      </c>
      <c r="AH135" s="272">
        <f t="shared" si="94"/>
        <v>0</v>
      </c>
      <c r="AI135" s="272">
        <f>IFERROR(INDEX('Horo. M'!$K$3:K$367,MATCH(A135,'Horo. M'!$A$3:$A$367,0)),"")</f>
        <v>1</v>
      </c>
      <c r="AJ135" s="422">
        <v>0</v>
      </c>
      <c r="AK135" s="422">
        <v>23</v>
      </c>
      <c r="AL135" s="272">
        <f t="shared" si="95"/>
        <v>1</v>
      </c>
      <c r="AM135" s="274">
        <f t="shared" si="96"/>
        <v>4.1666666666666664E-2</v>
      </c>
      <c r="AN135" s="275">
        <f t="shared" si="97"/>
        <v>4.1666666666666664E-2</v>
      </c>
      <c r="AO135" s="422">
        <v>2.29</v>
      </c>
      <c r="AP135" s="272">
        <f t="shared" si="98"/>
        <v>0</v>
      </c>
      <c r="AQ135" s="272">
        <f>IFERROR(INDEX('Horo. M'!$M$3:M$367,MATCH(A135,'Horo. M'!$A$3:$A$367,0)),"")</f>
        <v>24</v>
      </c>
      <c r="AR135" s="422">
        <v>0</v>
      </c>
      <c r="AS135" s="422">
        <v>0</v>
      </c>
      <c r="AT135" s="272">
        <f t="shared" si="99"/>
        <v>24</v>
      </c>
      <c r="AU135" s="274">
        <f t="shared" si="100"/>
        <v>1</v>
      </c>
      <c r="AV135" s="275">
        <f t="shared" si="101"/>
        <v>1</v>
      </c>
      <c r="AW135" s="422">
        <v>185.84</v>
      </c>
      <c r="AX135" s="272">
        <f t="shared" si="102"/>
        <v>1</v>
      </c>
      <c r="AY135" s="272">
        <f>IFERROR(INDEX('Horo. M'!$O$3:O$367,MATCH(A135,'Horo. M'!$A$3:$A$367,0)),"")</f>
        <v>23</v>
      </c>
      <c r="AZ135" s="422">
        <v>0</v>
      </c>
      <c r="BA135" s="422">
        <v>0</v>
      </c>
      <c r="BB135" s="272">
        <f t="shared" si="103"/>
        <v>24</v>
      </c>
      <c r="BC135" s="274">
        <f t="shared" si="104"/>
        <v>0.95833333333333337</v>
      </c>
      <c r="BD135" s="275">
        <f t="shared" si="105"/>
        <v>1</v>
      </c>
      <c r="BE135" s="422">
        <v>170.86</v>
      </c>
      <c r="BF135" s="272">
        <f t="shared" si="106"/>
        <v>0</v>
      </c>
      <c r="BG135" s="272">
        <f>IFERROR(INDEX('Horo. M'!$Q$3:Q$367,MATCH(A135,'Horo. M'!$A$3:$A$367,0)),"")</f>
        <v>24</v>
      </c>
      <c r="BH135" s="422">
        <v>0</v>
      </c>
      <c r="BI135" s="422">
        <v>0</v>
      </c>
      <c r="BJ135" s="272">
        <f t="shared" si="107"/>
        <v>24</v>
      </c>
      <c r="BK135" s="274">
        <f t="shared" si="108"/>
        <v>1</v>
      </c>
      <c r="BL135" s="275">
        <f t="shared" si="109"/>
        <v>1</v>
      </c>
      <c r="BM135" s="422">
        <v>186.49</v>
      </c>
      <c r="BN135" s="272">
        <f t="shared" si="110"/>
        <v>0</v>
      </c>
      <c r="BO135" s="272">
        <f>IFERROR(INDEX('Horo. M'!$S$3:S$367,MATCH(A135,'Horo. M'!$A$3:$A$367,0)),"")</f>
        <v>24</v>
      </c>
      <c r="BP135" s="422">
        <v>0</v>
      </c>
      <c r="BQ135" s="422">
        <v>0</v>
      </c>
      <c r="BR135" s="272">
        <f t="shared" si="111"/>
        <v>24</v>
      </c>
      <c r="BS135" s="274">
        <f t="shared" si="112"/>
        <v>1</v>
      </c>
      <c r="BT135" s="275">
        <f t="shared" si="113"/>
        <v>1</v>
      </c>
      <c r="BU135" s="422">
        <v>187.37</v>
      </c>
      <c r="BV135" s="272">
        <f t="shared" si="114"/>
        <v>0</v>
      </c>
      <c r="BW135" s="272">
        <f>IFERROR(INDEX('Horo. M'!$U$3:U$367,MATCH(A135,'Horo. M'!$A$3:$A$367,0)),"")</f>
        <v>24</v>
      </c>
      <c r="BX135" s="422">
        <v>0</v>
      </c>
      <c r="BY135" s="422">
        <v>0</v>
      </c>
      <c r="BZ135" s="272">
        <f t="shared" si="115"/>
        <v>24</v>
      </c>
      <c r="CA135" s="274">
        <f t="shared" si="116"/>
        <v>1</v>
      </c>
      <c r="CB135" s="275">
        <f t="shared" si="117"/>
        <v>1</v>
      </c>
      <c r="CC135" s="422">
        <v>185.62</v>
      </c>
    </row>
    <row r="136" spans="1:81">
      <c r="A136" s="279">
        <v>45061</v>
      </c>
      <c r="B136" s="278">
        <f t="shared" si="118"/>
        <v>0</v>
      </c>
      <c r="C136" s="272">
        <f>IFERROR(INDEX('Horo. M'!$C$3:$C$367,MATCH(A136,'Horo. M'!$A$3:$A$367,0)),"")</f>
        <v>24</v>
      </c>
      <c r="D136" s="422">
        <v>0</v>
      </c>
      <c r="E136" s="422">
        <v>0</v>
      </c>
      <c r="F136" s="272">
        <f t="shared" si="119"/>
        <v>24</v>
      </c>
      <c r="G136" s="274">
        <f t="shared" si="80"/>
        <v>1</v>
      </c>
      <c r="H136" s="275">
        <f t="shared" si="81"/>
        <v>1</v>
      </c>
      <c r="I136" s="422">
        <v>183.3</v>
      </c>
      <c r="J136" s="278">
        <f t="shared" si="82"/>
        <v>0</v>
      </c>
      <c r="K136" s="272">
        <f>IFERROR(INDEX('Horo. M'!$E$3:$E$367,MATCH(A136,'Horo. M'!$A$3:$A$367,0)),"")</f>
        <v>24</v>
      </c>
      <c r="L136" s="422">
        <v>0</v>
      </c>
      <c r="M136" s="422">
        <v>0</v>
      </c>
      <c r="N136" s="272">
        <f t="shared" si="83"/>
        <v>24</v>
      </c>
      <c r="O136" s="274">
        <f t="shared" si="84"/>
        <v>1</v>
      </c>
      <c r="P136" s="275">
        <f t="shared" si="85"/>
        <v>1</v>
      </c>
      <c r="Q136" s="422">
        <v>170.5</v>
      </c>
      <c r="R136" s="278">
        <f t="shared" si="86"/>
        <v>0</v>
      </c>
      <c r="S136" s="272">
        <f>IFERROR(INDEX('Horo. M'!G$3:$G$367,MATCH(A136,'Horo. M'!$A$3:$A$367,0)),"")</f>
        <v>24</v>
      </c>
      <c r="T136" s="422">
        <v>0</v>
      </c>
      <c r="U136" s="422">
        <v>0</v>
      </c>
      <c r="V136" s="272">
        <f t="shared" si="87"/>
        <v>24</v>
      </c>
      <c r="W136" s="274">
        <f t="shared" si="88"/>
        <v>1</v>
      </c>
      <c r="X136" s="275">
        <f t="shared" si="89"/>
        <v>1</v>
      </c>
      <c r="Y136" s="422">
        <v>182.82</v>
      </c>
      <c r="Z136" s="278">
        <f t="shared" si="90"/>
        <v>0</v>
      </c>
      <c r="AA136" s="272">
        <f>IFERROR(INDEX('Horo. M'!$I$3:I$367,MATCH(A136,'Horo. M'!$A$3:$A$367,0)),"")</f>
        <v>0</v>
      </c>
      <c r="AB136" s="422">
        <v>24</v>
      </c>
      <c r="AC136" s="422">
        <v>0</v>
      </c>
      <c r="AD136" s="272">
        <f t="shared" si="91"/>
        <v>0</v>
      </c>
      <c r="AE136" s="274">
        <f t="shared" si="92"/>
        <v>0</v>
      </c>
      <c r="AF136" s="275">
        <f t="shared" si="93"/>
        <v>0</v>
      </c>
      <c r="AG136" s="422">
        <v>0</v>
      </c>
      <c r="AH136" s="272">
        <f t="shared" si="94"/>
        <v>8</v>
      </c>
      <c r="AI136" s="272">
        <f>IFERROR(INDEX('Horo. M'!$K$3:K$367,MATCH(A136,'Horo. M'!$A$3:$A$367,0)),"")</f>
        <v>4</v>
      </c>
      <c r="AJ136" s="422">
        <v>0</v>
      </c>
      <c r="AK136" s="422">
        <v>12</v>
      </c>
      <c r="AL136" s="272">
        <f t="shared" si="95"/>
        <v>12</v>
      </c>
      <c r="AM136" s="274">
        <f t="shared" si="96"/>
        <v>0.16666666666666666</v>
      </c>
      <c r="AN136" s="275">
        <f t="shared" si="97"/>
        <v>0.5</v>
      </c>
      <c r="AO136" s="422">
        <v>17.02</v>
      </c>
      <c r="AP136" s="272">
        <f t="shared" si="98"/>
        <v>0</v>
      </c>
      <c r="AQ136" s="272">
        <f>IFERROR(INDEX('Horo. M'!$M$3:M$367,MATCH(A136,'Horo. M'!$A$3:$A$367,0)),"")</f>
        <v>24</v>
      </c>
      <c r="AR136" s="422">
        <v>0</v>
      </c>
      <c r="AS136" s="422">
        <v>0</v>
      </c>
      <c r="AT136" s="272">
        <f t="shared" si="99"/>
        <v>24</v>
      </c>
      <c r="AU136" s="274">
        <f t="shared" si="100"/>
        <v>1</v>
      </c>
      <c r="AV136" s="275">
        <f t="shared" si="101"/>
        <v>1</v>
      </c>
      <c r="AW136" s="422">
        <v>186</v>
      </c>
      <c r="AX136" s="272">
        <f t="shared" si="102"/>
        <v>0</v>
      </c>
      <c r="AY136" s="272">
        <f>IFERROR(INDEX('Horo. M'!$O$3:O$367,MATCH(A136,'Horo. M'!$A$3:$A$367,0)),"")</f>
        <v>24</v>
      </c>
      <c r="AZ136" s="422">
        <v>0</v>
      </c>
      <c r="BA136" s="422">
        <v>0</v>
      </c>
      <c r="BB136" s="272">
        <f t="shared" si="103"/>
        <v>24</v>
      </c>
      <c r="BC136" s="274">
        <f t="shared" si="104"/>
        <v>1</v>
      </c>
      <c r="BD136" s="275">
        <f t="shared" si="105"/>
        <v>1</v>
      </c>
      <c r="BE136" s="422">
        <v>185.61</v>
      </c>
      <c r="BF136" s="272">
        <f t="shared" si="106"/>
        <v>0</v>
      </c>
      <c r="BG136" s="272">
        <f>IFERROR(INDEX('Horo. M'!$Q$3:Q$367,MATCH(A136,'Horo. M'!$A$3:$A$367,0)),"")</f>
        <v>24</v>
      </c>
      <c r="BH136" s="422">
        <v>0</v>
      </c>
      <c r="BI136" s="422">
        <v>0</v>
      </c>
      <c r="BJ136" s="272">
        <f t="shared" si="107"/>
        <v>24</v>
      </c>
      <c r="BK136" s="274">
        <f t="shared" si="108"/>
        <v>1</v>
      </c>
      <c r="BL136" s="275">
        <f t="shared" si="109"/>
        <v>1</v>
      </c>
      <c r="BM136" s="422">
        <v>185.65</v>
      </c>
      <c r="BN136" s="272">
        <f t="shared" si="110"/>
        <v>0</v>
      </c>
      <c r="BO136" s="272">
        <f>IFERROR(INDEX('Horo. M'!$S$3:S$367,MATCH(A136,'Horo. M'!$A$3:$A$367,0)),"")</f>
        <v>24</v>
      </c>
      <c r="BP136" s="422">
        <v>0</v>
      </c>
      <c r="BQ136" s="422">
        <v>0</v>
      </c>
      <c r="BR136" s="272">
        <f t="shared" si="111"/>
        <v>24</v>
      </c>
      <c r="BS136" s="274">
        <f t="shared" si="112"/>
        <v>1</v>
      </c>
      <c r="BT136" s="275">
        <f t="shared" si="113"/>
        <v>1</v>
      </c>
      <c r="BU136" s="422">
        <v>184.85</v>
      </c>
      <c r="BV136" s="272">
        <f t="shared" si="114"/>
        <v>0</v>
      </c>
      <c r="BW136" s="272">
        <f>IFERROR(INDEX('Horo. M'!$U$3:U$367,MATCH(A136,'Horo. M'!$A$3:$A$367,0)),"")</f>
        <v>24</v>
      </c>
      <c r="BX136" s="422">
        <v>0</v>
      </c>
      <c r="BY136" s="422">
        <v>0</v>
      </c>
      <c r="BZ136" s="272">
        <f t="shared" si="115"/>
        <v>24</v>
      </c>
      <c r="CA136" s="274">
        <f t="shared" si="116"/>
        <v>1</v>
      </c>
      <c r="CB136" s="275">
        <f t="shared" si="117"/>
        <v>1</v>
      </c>
      <c r="CC136" s="422">
        <v>184.93</v>
      </c>
    </row>
    <row r="137" spans="1:81">
      <c r="A137" s="279">
        <v>45062</v>
      </c>
      <c r="B137" s="278">
        <f t="shared" si="118"/>
        <v>0</v>
      </c>
      <c r="C137" s="272">
        <f>IFERROR(INDEX('Horo. M'!$C$3:$C$367,MATCH(A137,'Horo. M'!$A$3:$A$367,0)),"")</f>
        <v>24</v>
      </c>
      <c r="D137" s="422">
        <v>0</v>
      </c>
      <c r="E137" s="422">
        <v>0</v>
      </c>
      <c r="F137" s="272">
        <f t="shared" si="119"/>
        <v>24</v>
      </c>
      <c r="G137" s="274">
        <f t="shared" si="80"/>
        <v>1</v>
      </c>
      <c r="H137" s="275">
        <f t="shared" si="81"/>
        <v>1</v>
      </c>
      <c r="I137" s="422">
        <v>205.4</v>
      </c>
      <c r="J137" s="278">
        <f t="shared" si="82"/>
        <v>0</v>
      </c>
      <c r="K137" s="272">
        <f>IFERROR(INDEX('Horo. M'!$E$3:$E$367,MATCH(A137,'Horo. M'!$A$3:$A$367,0)),"")</f>
        <v>24</v>
      </c>
      <c r="L137" s="422">
        <v>0</v>
      </c>
      <c r="M137" s="422">
        <v>0</v>
      </c>
      <c r="N137" s="272">
        <f t="shared" si="83"/>
        <v>24</v>
      </c>
      <c r="O137" s="274">
        <f t="shared" si="84"/>
        <v>1</v>
      </c>
      <c r="P137" s="275">
        <f t="shared" si="85"/>
        <v>1</v>
      </c>
      <c r="Q137" s="422">
        <v>187.3</v>
      </c>
      <c r="R137" s="278">
        <f t="shared" si="86"/>
        <v>0</v>
      </c>
      <c r="S137" s="272">
        <f>IFERROR(INDEX('Horo. M'!G$3:$G$367,MATCH(A137,'Horo. M'!$A$3:$A$367,0)),"")</f>
        <v>24</v>
      </c>
      <c r="T137" s="422">
        <v>0</v>
      </c>
      <c r="U137" s="422">
        <v>0</v>
      </c>
      <c r="V137" s="272">
        <f t="shared" si="87"/>
        <v>24</v>
      </c>
      <c r="W137" s="274">
        <f t="shared" si="88"/>
        <v>1</v>
      </c>
      <c r="X137" s="275">
        <f t="shared" si="89"/>
        <v>1</v>
      </c>
      <c r="Y137" s="422">
        <v>203.97</v>
      </c>
      <c r="Z137" s="278">
        <f t="shared" si="90"/>
        <v>0</v>
      </c>
      <c r="AA137" s="272">
        <f>IFERROR(INDEX('Horo. M'!$I$3:I$367,MATCH(A137,'Horo. M'!$A$3:$A$367,0)),"")</f>
        <v>0</v>
      </c>
      <c r="AB137" s="422">
        <v>24</v>
      </c>
      <c r="AC137" s="422">
        <v>0</v>
      </c>
      <c r="AD137" s="272">
        <f t="shared" si="91"/>
        <v>0</v>
      </c>
      <c r="AE137" s="274">
        <f t="shared" si="92"/>
        <v>0</v>
      </c>
      <c r="AF137" s="275">
        <f t="shared" si="93"/>
        <v>0</v>
      </c>
      <c r="AG137" s="422">
        <v>0</v>
      </c>
      <c r="AH137" s="272">
        <f t="shared" si="94"/>
        <v>0</v>
      </c>
      <c r="AI137" s="272">
        <f>IFERROR(INDEX('Horo. M'!$K$3:K$367,MATCH(A137,'Horo. M'!$A$3:$A$367,0)),"")</f>
        <v>24</v>
      </c>
      <c r="AJ137" s="422">
        <v>0</v>
      </c>
      <c r="AK137" s="422">
        <v>0</v>
      </c>
      <c r="AL137" s="272">
        <f t="shared" si="95"/>
        <v>24</v>
      </c>
      <c r="AM137" s="274">
        <f t="shared" si="96"/>
        <v>1</v>
      </c>
      <c r="AN137" s="275">
        <f t="shared" si="97"/>
        <v>1</v>
      </c>
      <c r="AO137" s="422">
        <v>206.57</v>
      </c>
      <c r="AP137" s="272">
        <f t="shared" si="98"/>
        <v>0</v>
      </c>
      <c r="AQ137" s="272">
        <f>IFERROR(INDEX('Horo. M'!$M$3:M$367,MATCH(A137,'Horo. M'!$A$3:$A$367,0)),"")</f>
        <v>0</v>
      </c>
      <c r="AR137" s="422">
        <v>4</v>
      </c>
      <c r="AS137" s="422">
        <v>20</v>
      </c>
      <c r="AT137" s="272">
        <f t="shared" si="99"/>
        <v>0</v>
      </c>
      <c r="AU137" s="274">
        <f t="shared" si="100"/>
        <v>0</v>
      </c>
      <c r="AV137" s="275">
        <f t="shared" si="101"/>
        <v>0</v>
      </c>
      <c r="AW137" s="422">
        <v>0.23</v>
      </c>
      <c r="AX137" s="272">
        <f t="shared" si="102"/>
        <v>1</v>
      </c>
      <c r="AY137" s="272">
        <f>IFERROR(INDEX('Horo. M'!$O$3:O$367,MATCH(A137,'Horo. M'!$A$3:$A$367,0)),"")</f>
        <v>21</v>
      </c>
      <c r="AZ137" s="422">
        <v>0</v>
      </c>
      <c r="BA137" s="422">
        <v>2</v>
      </c>
      <c r="BB137" s="272">
        <f t="shared" si="103"/>
        <v>22</v>
      </c>
      <c r="BC137" s="274">
        <f t="shared" si="104"/>
        <v>0.875</v>
      </c>
      <c r="BD137" s="275">
        <f t="shared" si="105"/>
        <v>0.91666666666666663</v>
      </c>
      <c r="BE137" s="422">
        <v>178.86</v>
      </c>
      <c r="BF137" s="272">
        <f t="shared" si="106"/>
        <v>0</v>
      </c>
      <c r="BG137" s="272">
        <f>IFERROR(INDEX('Horo. M'!$Q$3:Q$367,MATCH(A137,'Horo. M'!$A$3:$A$367,0)),"")</f>
        <v>24</v>
      </c>
      <c r="BH137" s="422">
        <v>0</v>
      </c>
      <c r="BI137" s="422">
        <v>0</v>
      </c>
      <c r="BJ137" s="272">
        <f t="shared" si="107"/>
        <v>24</v>
      </c>
      <c r="BK137" s="274">
        <f t="shared" si="108"/>
        <v>1</v>
      </c>
      <c r="BL137" s="275">
        <f t="shared" si="109"/>
        <v>1</v>
      </c>
      <c r="BM137" s="422">
        <v>209.28</v>
      </c>
      <c r="BN137" s="272">
        <f t="shared" si="110"/>
        <v>0</v>
      </c>
      <c r="BO137" s="272">
        <f>IFERROR(INDEX('Horo. M'!$S$3:S$367,MATCH(A137,'Horo. M'!$A$3:$A$367,0)),"")</f>
        <v>24</v>
      </c>
      <c r="BP137" s="422">
        <v>0</v>
      </c>
      <c r="BQ137" s="422">
        <v>0</v>
      </c>
      <c r="BR137" s="272">
        <f t="shared" si="111"/>
        <v>24</v>
      </c>
      <c r="BS137" s="274">
        <f t="shared" si="112"/>
        <v>1</v>
      </c>
      <c r="BT137" s="275">
        <f t="shared" si="113"/>
        <v>1</v>
      </c>
      <c r="BU137" s="422">
        <v>206.42</v>
      </c>
      <c r="BV137" s="272">
        <f t="shared" si="114"/>
        <v>0</v>
      </c>
      <c r="BW137" s="272">
        <f>IFERROR(INDEX('Horo. M'!$U$3:U$367,MATCH(A137,'Horo. M'!$A$3:$A$367,0)),"")</f>
        <v>24</v>
      </c>
      <c r="BX137" s="422">
        <v>0</v>
      </c>
      <c r="BY137" s="422">
        <v>0</v>
      </c>
      <c r="BZ137" s="272">
        <f t="shared" si="115"/>
        <v>24</v>
      </c>
      <c r="CA137" s="274">
        <f t="shared" si="116"/>
        <v>1</v>
      </c>
      <c r="CB137" s="275">
        <f t="shared" si="117"/>
        <v>1</v>
      </c>
      <c r="CC137" s="422">
        <v>207.13</v>
      </c>
    </row>
    <row r="138" spans="1:81">
      <c r="A138" s="279">
        <v>45063</v>
      </c>
      <c r="B138" s="278">
        <f t="shared" si="118"/>
        <v>0</v>
      </c>
      <c r="C138" s="272">
        <f>IFERROR(INDEX('Horo. M'!$C$3:$C$367,MATCH(A138,'Horo. M'!$A$3:$A$367,0)),"")</f>
        <v>22</v>
      </c>
      <c r="D138" s="422">
        <v>0</v>
      </c>
      <c r="E138" s="422">
        <v>2</v>
      </c>
      <c r="F138" s="272">
        <f t="shared" si="119"/>
        <v>22</v>
      </c>
      <c r="G138" s="300">
        <f t="shared" si="80"/>
        <v>0.91666666666666663</v>
      </c>
      <c r="H138" s="275">
        <f t="shared" si="81"/>
        <v>0.91666666666666663</v>
      </c>
      <c r="I138" s="422">
        <v>187.8</v>
      </c>
      <c r="J138" s="278">
        <f t="shared" si="82"/>
        <v>1</v>
      </c>
      <c r="K138" s="272">
        <f>IFERROR(INDEX('Horo. M'!$E$3:$E$367,MATCH(A138,'Horo. M'!$A$3:$A$367,0)),"")</f>
        <v>23</v>
      </c>
      <c r="L138" s="422">
        <v>0</v>
      </c>
      <c r="M138" s="422">
        <v>0</v>
      </c>
      <c r="N138" s="272">
        <f t="shared" si="83"/>
        <v>24</v>
      </c>
      <c r="O138" s="300">
        <f t="shared" si="84"/>
        <v>0.95833333333333337</v>
      </c>
      <c r="P138" s="275">
        <f t="shared" si="85"/>
        <v>1</v>
      </c>
      <c r="Q138" s="422">
        <v>197</v>
      </c>
      <c r="R138" s="278">
        <f t="shared" si="86"/>
        <v>0</v>
      </c>
      <c r="S138" s="272">
        <f>IFERROR(INDEX('Horo. M'!G$3:$G$367,MATCH(A138,'Horo. M'!$A$3:$A$367,0)),"")</f>
        <v>4</v>
      </c>
      <c r="T138" s="422">
        <v>0</v>
      </c>
      <c r="U138" s="422">
        <v>20</v>
      </c>
      <c r="V138" s="272">
        <f t="shared" si="87"/>
        <v>4</v>
      </c>
      <c r="W138" s="300">
        <f t="shared" si="88"/>
        <v>0.16666666666666666</v>
      </c>
      <c r="X138" s="275">
        <f t="shared" si="89"/>
        <v>0.16666666666666666</v>
      </c>
      <c r="Y138" s="422">
        <v>33.78</v>
      </c>
      <c r="Z138" s="278">
        <f t="shared" si="90"/>
        <v>0</v>
      </c>
      <c r="AA138" s="272">
        <f>IFERROR(INDEX('Horo. M'!$I$3:I$367,MATCH(A138,'Horo. M'!$A$3:$A$367,0)),"")</f>
        <v>0</v>
      </c>
      <c r="AB138" s="422">
        <v>24</v>
      </c>
      <c r="AC138" s="422">
        <v>0</v>
      </c>
      <c r="AD138" s="272">
        <f t="shared" si="91"/>
        <v>0</v>
      </c>
      <c r="AE138" s="300">
        <f t="shared" si="92"/>
        <v>0</v>
      </c>
      <c r="AF138" s="275">
        <f t="shared" si="93"/>
        <v>0</v>
      </c>
      <c r="AG138" s="422">
        <v>0</v>
      </c>
      <c r="AH138" s="272">
        <f t="shared" si="94"/>
        <v>0</v>
      </c>
      <c r="AI138" s="272">
        <f>IFERROR(INDEX('Horo. M'!$K$3:K$367,MATCH(A138,'Horo. M'!$A$3:$A$367,0)),"")</f>
        <v>24</v>
      </c>
      <c r="AJ138" s="422">
        <v>0</v>
      </c>
      <c r="AK138" s="422">
        <v>0</v>
      </c>
      <c r="AL138" s="272">
        <f t="shared" si="95"/>
        <v>24</v>
      </c>
      <c r="AM138" s="300">
        <f t="shared" si="96"/>
        <v>1</v>
      </c>
      <c r="AN138" s="275">
        <f t="shared" si="97"/>
        <v>1</v>
      </c>
      <c r="AO138" s="422">
        <v>204.15</v>
      </c>
      <c r="AP138" s="272">
        <f t="shared" si="98"/>
        <v>1</v>
      </c>
      <c r="AQ138" s="272">
        <f>IFERROR(INDEX('Horo. M'!$M$3:M$367,MATCH(A138,'Horo. M'!$A$3:$A$367,0)),"")</f>
        <v>23</v>
      </c>
      <c r="AR138" s="422">
        <v>0</v>
      </c>
      <c r="AS138" s="422">
        <v>0</v>
      </c>
      <c r="AT138" s="272">
        <f t="shared" si="99"/>
        <v>24</v>
      </c>
      <c r="AU138" s="300">
        <f t="shared" si="100"/>
        <v>0.95833333333333337</v>
      </c>
      <c r="AV138" s="275">
        <f t="shared" si="101"/>
        <v>1</v>
      </c>
      <c r="AW138" s="422">
        <v>194.75</v>
      </c>
      <c r="AX138" s="272">
        <f t="shared" si="102"/>
        <v>2</v>
      </c>
      <c r="AY138" s="272">
        <f>IFERROR(INDEX('Horo. M'!$O$3:O$367,MATCH(A138,'Horo. M'!$A$3:$A$367,0)),"")</f>
        <v>22</v>
      </c>
      <c r="AZ138" s="422">
        <v>0</v>
      </c>
      <c r="BA138" s="422">
        <v>0</v>
      </c>
      <c r="BB138" s="272">
        <f t="shared" si="103"/>
        <v>24</v>
      </c>
      <c r="BC138" s="300">
        <f t="shared" si="104"/>
        <v>0.91666666666666663</v>
      </c>
      <c r="BD138" s="275">
        <f t="shared" si="105"/>
        <v>1</v>
      </c>
      <c r="BE138" s="422">
        <v>190.68</v>
      </c>
      <c r="BF138" s="272">
        <f t="shared" si="106"/>
        <v>5</v>
      </c>
      <c r="BG138" s="272">
        <f>IFERROR(INDEX('Horo. M'!$Q$3:Q$367,MATCH(A138,'Horo. M'!$A$3:$A$367,0)),"")</f>
        <v>19</v>
      </c>
      <c r="BH138" s="422">
        <v>0</v>
      </c>
      <c r="BI138" s="422">
        <v>0</v>
      </c>
      <c r="BJ138" s="272">
        <f t="shared" si="107"/>
        <v>24</v>
      </c>
      <c r="BK138" s="300">
        <f t="shared" si="108"/>
        <v>0.79166666666666663</v>
      </c>
      <c r="BL138" s="275">
        <f t="shared" si="109"/>
        <v>1</v>
      </c>
      <c r="BM138" s="422">
        <v>165.22</v>
      </c>
      <c r="BN138" s="272">
        <f t="shared" si="110"/>
        <v>0</v>
      </c>
      <c r="BO138" s="272">
        <f>IFERROR(INDEX('Horo. M'!$S$3:S$367,MATCH(A138,'Horo. M'!$A$3:$A$367,0)),"")</f>
        <v>24</v>
      </c>
      <c r="BP138" s="422">
        <v>0</v>
      </c>
      <c r="BQ138" s="422">
        <v>0</v>
      </c>
      <c r="BR138" s="272">
        <f t="shared" si="111"/>
        <v>24</v>
      </c>
      <c r="BS138" s="300">
        <f t="shared" si="112"/>
        <v>1</v>
      </c>
      <c r="BT138" s="275">
        <f t="shared" si="113"/>
        <v>1</v>
      </c>
      <c r="BU138" s="422">
        <v>207.67</v>
      </c>
      <c r="BV138" s="272">
        <f t="shared" si="114"/>
        <v>0</v>
      </c>
      <c r="BW138" s="272">
        <f>IFERROR(INDEX('Horo. M'!$U$3:U$367,MATCH(A138,'Horo. M'!$A$3:$A$367,0)),"")</f>
        <v>24</v>
      </c>
      <c r="BX138" s="422">
        <v>0</v>
      </c>
      <c r="BY138" s="422">
        <v>0</v>
      </c>
      <c r="BZ138" s="272">
        <f t="shared" si="115"/>
        <v>24</v>
      </c>
      <c r="CA138" s="300">
        <f t="shared" si="116"/>
        <v>1</v>
      </c>
      <c r="CB138" s="275">
        <f t="shared" si="117"/>
        <v>1</v>
      </c>
      <c r="CC138" s="422">
        <v>206.69</v>
      </c>
    </row>
    <row r="139" spans="1:81">
      <c r="A139" s="279">
        <v>45064</v>
      </c>
      <c r="B139" s="278">
        <f t="shared" si="118"/>
        <v>0</v>
      </c>
      <c r="C139" s="272">
        <f>IFERROR(INDEX('Horo. M'!$C$3:$C$367,MATCH(A139,'Horo. M'!$A$3:$A$367,0)),"")</f>
        <v>4</v>
      </c>
      <c r="D139" s="422">
        <v>4</v>
      </c>
      <c r="E139" s="422">
        <v>16</v>
      </c>
      <c r="F139" s="272">
        <f t="shared" si="119"/>
        <v>4</v>
      </c>
      <c r="G139" s="274">
        <f t="shared" si="80"/>
        <v>0.16666666666666666</v>
      </c>
      <c r="H139" s="275">
        <f t="shared" si="81"/>
        <v>0.16666666666666666</v>
      </c>
      <c r="I139" s="422">
        <v>25.4</v>
      </c>
      <c r="J139" s="278">
        <f t="shared" si="82"/>
        <v>0</v>
      </c>
      <c r="K139" s="272">
        <f>IFERROR(INDEX('Horo. M'!$E$3:$E$367,MATCH(A139,'Horo. M'!$A$3:$A$367,0)),"")</f>
        <v>19</v>
      </c>
      <c r="L139" s="422">
        <v>0</v>
      </c>
      <c r="M139" s="422">
        <v>5</v>
      </c>
      <c r="N139" s="272">
        <f t="shared" si="83"/>
        <v>19</v>
      </c>
      <c r="O139" s="274">
        <f t="shared" si="84"/>
        <v>0.79166666666666663</v>
      </c>
      <c r="P139" s="275">
        <f t="shared" si="85"/>
        <v>0.79166666666666663</v>
      </c>
      <c r="Q139" s="422">
        <v>142.69999999999999</v>
      </c>
      <c r="R139" s="278">
        <f t="shared" si="86"/>
        <v>0</v>
      </c>
      <c r="S139" s="272">
        <f>IFERROR(INDEX('Horo. M'!G$3:$G$367,MATCH(A139,'Horo. M'!$A$3:$A$367,0)),"")</f>
        <v>24</v>
      </c>
      <c r="T139" s="422">
        <v>0</v>
      </c>
      <c r="U139" s="422">
        <v>0</v>
      </c>
      <c r="V139" s="272">
        <f t="shared" si="87"/>
        <v>24</v>
      </c>
      <c r="W139" s="274">
        <f t="shared" si="88"/>
        <v>1</v>
      </c>
      <c r="X139" s="275">
        <f t="shared" si="89"/>
        <v>1</v>
      </c>
      <c r="Y139" s="422">
        <v>188.5</v>
      </c>
      <c r="Z139" s="278">
        <f t="shared" si="90"/>
        <v>0</v>
      </c>
      <c r="AA139" s="272">
        <f>IFERROR(INDEX('Horo. M'!$I$3:I$367,MATCH(A139,'Horo. M'!$A$3:$A$367,0)),"")</f>
        <v>0</v>
      </c>
      <c r="AB139" s="422">
        <v>24</v>
      </c>
      <c r="AC139" s="422">
        <v>0</v>
      </c>
      <c r="AD139" s="272">
        <f t="shared" si="91"/>
        <v>0</v>
      </c>
      <c r="AE139" s="274">
        <f t="shared" si="92"/>
        <v>0</v>
      </c>
      <c r="AF139" s="275">
        <f t="shared" si="93"/>
        <v>0</v>
      </c>
      <c r="AG139" s="422">
        <v>0</v>
      </c>
      <c r="AH139" s="272">
        <f t="shared" si="94"/>
        <v>0</v>
      </c>
      <c r="AI139" s="272">
        <f>IFERROR(INDEX('Horo. M'!$K$3:K$367,MATCH(A139,'Horo. M'!$A$3:$A$367,0)),"")</f>
        <v>24</v>
      </c>
      <c r="AJ139" s="422">
        <v>0</v>
      </c>
      <c r="AK139" s="422">
        <v>0</v>
      </c>
      <c r="AL139" s="272">
        <f t="shared" si="95"/>
        <v>24</v>
      </c>
      <c r="AM139" s="274">
        <f t="shared" si="96"/>
        <v>1</v>
      </c>
      <c r="AN139" s="275">
        <f t="shared" si="97"/>
        <v>1</v>
      </c>
      <c r="AO139" s="422">
        <v>184.37</v>
      </c>
      <c r="AP139" s="272">
        <f t="shared" si="98"/>
        <v>0</v>
      </c>
      <c r="AQ139" s="272">
        <f>IFERROR(INDEX('Horo. M'!$M$3:M$367,MATCH(A139,'Horo. M'!$A$3:$A$367,0)),"")</f>
        <v>24</v>
      </c>
      <c r="AR139" s="422">
        <v>0</v>
      </c>
      <c r="AS139" s="422">
        <v>0</v>
      </c>
      <c r="AT139" s="272">
        <f t="shared" si="99"/>
        <v>24</v>
      </c>
      <c r="AU139" s="274">
        <f t="shared" si="100"/>
        <v>1</v>
      </c>
      <c r="AV139" s="275">
        <f t="shared" si="101"/>
        <v>1</v>
      </c>
      <c r="AW139" s="422">
        <v>187.1</v>
      </c>
      <c r="AX139" s="272">
        <f t="shared" si="102"/>
        <v>0</v>
      </c>
      <c r="AY139" s="272">
        <f>IFERROR(INDEX('Horo. M'!$O$3:O$367,MATCH(A139,'Horo. M'!$A$3:$A$367,0)),"")</f>
        <v>24</v>
      </c>
      <c r="AZ139" s="422">
        <v>0</v>
      </c>
      <c r="BA139" s="422">
        <v>0</v>
      </c>
      <c r="BB139" s="272">
        <f t="shared" si="103"/>
        <v>24</v>
      </c>
      <c r="BC139" s="274">
        <f t="shared" si="104"/>
        <v>1</v>
      </c>
      <c r="BD139" s="275">
        <f t="shared" si="105"/>
        <v>1</v>
      </c>
      <c r="BE139" s="422">
        <v>186.68</v>
      </c>
      <c r="BF139" s="272">
        <f t="shared" si="106"/>
        <v>-4</v>
      </c>
      <c r="BG139" s="272">
        <f>IFERROR(INDEX('Horo. M'!$Q$3:Q$367,MATCH(A139,'Horo. M'!$A$3:$A$367,0)),"")</f>
        <v>24</v>
      </c>
      <c r="BH139" s="422">
        <v>4</v>
      </c>
      <c r="BI139" s="422">
        <v>0</v>
      </c>
      <c r="BJ139" s="272">
        <f t="shared" si="107"/>
        <v>20</v>
      </c>
      <c r="BK139" s="274">
        <f t="shared" si="108"/>
        <v>1</v>
      </c>
      <c r="BL139" s="275">
        <f t="shared" si="109"/>
        <v>0.83333333333333337</v>
      </c>
      <c r="BM139" s="422">
        <v>186.86</v>
      </c>
      <c r="BN139" s="272">
        <f t="shared" si="110"/>
        <v>1</v>
      </c>
      <c r="BO139" s="272">
        <f>IFERROR(INDEX('Horo. M'!$S$3:S$367,MATCH(A139,'Horo. M'!$A$3:$A$367,0)),"")</f>
        <v>21</v>
      </c>
      <c r="BP139" s="422">
        <v>0</v>
      </c>
      <c r="BQ139" s="422">
        <v>2</v>
      </c>
      <c r="BR139" s="272">
        <f t="shared" si="111"/>
        <v>22</v>
      </c>
      <c r="BS139" s="274">
        <f t="shared" si="112"/>
        <v>0.875</v>
      </c>
      <c r="BT139" s="275">
        <f t="shared" si="113"/>
        <v>0.91666666666666663</v>
      </c>
      <c r="BU139" s="422">
        <v>167.74</v>
      </c>
      <c r="BV139" s="272">
        <f t="shared" si="114"/>
        <v>0</v>
      </c>
      <c r="BW139" s="272">
        <f>IFERROR(INDEX('Horo. M'!$U$3:U$367,MATCH(A139,'Horo. M'!$A$3:$A$367,0)),"")</f>
        <v>24</v>
      </c>
      <c r="BX139" s="422">
        <v>0</v>
      </c>
      <c r="BY139" s="422">
        <v>0</v>
      </c>
      <c r="BZ139" s="272">
        <f t="shared" si="115"/>
        <v>24</v>
      </c>
      <c r="CA139" s="274">
        <f t="shared" si="116"/>
        <v>1</v>
      </c>
      <c r="CB139" s="275">
        <f t="shared" si="117"/>
        <v>1</v>
      </c>
      <c r="CC139" s="422">
        <v>188.54</v>
      </c>
    </row>
    <row r="140" spans="1:81">
      <c r="A140" s="279">
        <v>45065</v>
      </c>
      <c r="B140" s="278">
        <f t="shared" si="118"/>
        <v>1</v>
      </c>
      <c r="C140" s="272">
        <f>IFERROR(INDEX('Horo. M'!$C$3:$C$367,MATCH(A140,'Horo. M'!$A$3:$A$367,0)),"")</f>
        <v>23</v>
      </c>
      <c r="D140" s="422">
        <v>0</v>
      </c>
      <c r="E140" s="422">
        <v>0</v>
      </c>
      <c r="F140" s="272">
        <f t="shared" si="119"/>
        <v>24</v>
      </c>
      <c r="G140" s="274">
        <f t="shared" si="80"/>
        <v>0.95833333333333337</v>
      </c>
      <c r="H140" s="275">
        <f t="shared" si="81"/>
        <v>1</v>
      </c>
      <c r="I140" s="422">
        <v>171.6</v>
      </c>
      <c r="J140" s="278">
        <f t="shared" si="82"/>
        <v>0</v>
      </c>
      <c r="K140" s="272">
        <f>IFERROR(INDEX('Horo. M'!$E$3:$E$367,MATCH(A140,'Horo. M'!$A$3:$A$367,0)),"")</f>
        <v>24</v>
      </c>
      <c r="L140" s="422">
        <v>0</v>
      </c>
      <c r="M140" s="422">
        <v>0</v>
      </c>
      <c r="N140" s="272">
        <f t="shared" si="83"/>
        <v>24</v>
      </c>
      <c r="O140" s="274">
        <f t="shared" si="84"/>
        <v>1</v>
      </c>
      <c r="P140" s="275">
        <f t="shared" si="85"/>
        <v>1</v>
      </c>
      <c r="Q140" s="422">
        <v>173.2</v>
      </c>
      <c r="R140" s="278">
        <f t="shared" si="86"/>
        <v>0</v>
      </c>
      <c r="S140" s="272">
        <f>IFERROR(INDEX('Horo. M'!G$3:$G$367,MATCH(A140,'Horo. M'!$A$3:$A$367,0)),"")</f>
        <v>24</v>
      </c>
      <c r="T140" s="422">
        <v>0</v>
      </c>
      <c r="U140" s="422">
        <v>0</v>
      </c>
      <c r="V140" s="272">
        <f t="shared" si="87"/>
        <v>24</v>
      </c>
      <c r="W140" s="274">
        <f t="shared" si="88"/>
        <v>1</v>
      </c>
      <c r="X140" s="275">
        <f t="shared" si="89"/>
        <v>1</v>
      </c>
      <c r="Y140" s="422">
        <v>178.41</v>
      </c>
      <c r="Z140" s="278">
        <f t="shared" si="90"/>
        <v>0</v>
      </c>
      <c r="AA140" s="272">
        <f>IFERROR(INDEX('Horo. M'!$I$3:I$367,MATCH(A140,'Horo. M'!$A$3:$A$367,0)),"")</f>
        <v>0</v>
      </c>
      <c r="AB140" s="422">
        <v>24</v>
      </c>
      <c r="AC140" s="422">
        <v>0</v>
      </c>
      <c r="AD140" s="272">
        <f t="shared" si="91"/>
        <v>0</v>
      </c>
      <c r="AE140" s="274">
        <f t="shared" si="92"/>
        <v>0</v>
      </c>
      <c r="AF140" s="275">
        <f t="shared" si="93"/>
        <v>0</v>
      </c>
      <c r="AG140" s="422">
        <v>0</v>
      </c>
      <c r="AH140" s="272">
        <f t="shared" si="94"/>
        <v>0</v>
      </c>
      <c r="AI140" s="272">
        <f>IFERROR(INDEX('Horo. M'!$K$3:K$367,MATCH(A140,'Horo. M'!$A$3:$A$367,0)),"")</f>
        <v>24</v>
      </c>
      <c r="AJ140" s="422">
        <v>0</v>
      </c>
      <c r="AK140" s="422">
        <v>0</v>
      </c>
      <c r="AL140" s="272">
        <f t="shared" si="95"/>
        <v>24</v>
      </c>
      <c r="AM140" s="274">
        <f t="shared" si="96"/>
        <v>1</v>
      </c>
      <c r="AN140" s="275">
        <f t="shared" si="97"/>
        <v>1</v>
      </c>
      <c r="AO140" s="422">
        <v>181.4</v>
      </c>
      <c r="AP140" s="272">
        <f t="shared" si="98"/>
        <v>0</v>
      </c>
      <c r="AQ140" s="272">
        <f>IFERROR(INDEX('Horo. M'!$M$3:M$367,MATCH(A140,'Horo. M'!$A$3:$A$367,0)),"")</f>
        <v>24</v>
      </c>
      <c r="AR140" s="422">
        <v>0</v>
      </c>
      <c r="AS140" s="422">
        <v>0</v>
      </c>
      <c r="AT140" s="272">
        <f t="shared" si="99"/>
        <v>24</v>
      </c>
      <c r="AU140" s="274">
        <f t="shared" si="100"/>
        <v>1</v>
      </c>
      <c r="AV140" s="275">
        <f t="shared" si="101"/>
        <v>1</v>
      </c>
      <c r="AW140" s="422">
        <v>181.5</v>
      </c>
      <c r="AX140" s="272">
        <f t="shared" si="102"/>
        <v>0</v>
      </c>
      <c r="AY140" s="272">
        <f>IFERROR(INDEX('Horo. M'!$O$3:O$367,MATCH(A140,'Horo. M'!$A$3:$A$367,0)),"")</f>
        <v>17</v>
      </c>
      <c r="AZ140" s="422">
        <v>4</v>
      </c>
      <c r="BA140" s="422">
        <v>3</v>
      </c>
      <c r="BB140" s="272">
        <f t="shared" si="103"/>
        <v>17</v>
      </c>
      <c r="BC140" s="274">
        <f t="shared" si="104"/>
        <v>0.70833333333333337</v>
      </c>
      <c r="BD140" s="275">
        <f t="shared" si="105"/>
        <v>0.70833333333333337</v>
      </c>
      <c r="BE140" s="422">
        <v>116.89</v>
      </c>
      <c r="BF140" s="272">
        <f t="shared" si="106"/>
        <v>0</v>
      </c>
      <c r="BG140" s="272">
        <f>IFERROR(INDEX('Horo. M'!$Q$3:Q$367,MATCH(A140,'Horo. M'!$A$3:$A$367,0)),"")</f>
        <v>24</v>
      </c>
      <c r="BH140" s="422">
        <v>0</v>
      </c>
      <c r="BI140" s="422">
        <v>0</v>
      </c>
      <c r="BJ140" s="272">
        <f t="shared" si="107"/>
        <v>24</v>
      </c>
      <c r="BK140" s="274">
        <f t="shared" si="108"/>
        <v>1</v>
      </c>
      <c r="BL140" s="275">
        <f t="shared" si="109"/>
        <v>1</v>
      </c>
      <c r="BM140" s="422">
        <v>181.19</v>
      </c>
      <c r="BN140" s="272">
        <f t="shared" si="110"/>
        <v>0</v>
      </c>
      <c r="BO140" s="272">
        <f>IFERROR(INDEX('Horo. M'!$S$3:S$367,MATCH(A140,'Horo. M'!$A$3:$A$367,0)),"")</f>
        <v>24</v>
      </c>
      <c r="BP140" s="422">
        <v>0</v>
      </c>
      <c r="BQ140" s="422">
        <v>0</v>
      </c>
      <c r="BR140" s="272">
        <f t="shared" si="111"/>
        <v>24</v>
      </c>
      <c r="BS140" s="274">
        <f t="shared" si="112"/>
        <v>1</v>
      </c>
      <c r="BT140" s="275">
        <f t="shared" si="113"/>
        <v>1</v>
      </c>
      <c r="BU140" s="422">
        <v>181.23</v>
      </c>
      <c r="BV140" s="272">
        <f t="shared" si="114"/>
        <v>0</v>
      </c>
      <c r="BW140" s="272">
        <f>IFERROR(INDEX('Horo. M'!$U$3:U$367,MATCH(A140,'Horo. M'!$A$3:$A$367,0)),"")</f>
        <v>5</v>
      </c>
      <c r="BX140" s="422">
        <v>4</v>
      </c>
      <c r="BY140" s="422">
        <v>15</v>
      </c>
      <c r="BZ140" s="272">
        <f t="shared" si="115"/>
        <v>5</v>
      </c>
      <c r="CA140" s="274">
        <f t="shared" si="116"/>
        <v>0.20833333333333334</v>
      </c>
      <c r="CB140" s="275">
        <f t="shared" si="117"/>
        <v>0.20833333333333334</v>
      </c>
      <c r="CC140" s="422">
        <v>36.72</v>
      </c>
    </row>
    <row r="141" spans="1:81">
      <c r="A141" s="279">
        <v>45066</v>
      </c>
      <c r="B141" s="278">
        <f t="shared" si="118"/>
        <v>0</v>
      </c>
      <c r="C141" s="272">
        <f>IFERROR(INDEX('Horo. M'!$C$3:$C$367,MATCH(A141,'Horo. M'!$A$3:$A$367,0)),"")</f>
        <v>24</v>
      </c>
      <c r="D141" s="422">
        <v>0</v>
      </c>
      <c r="E141" s="422">
        <v>0</v>
      </c>
      <c r="F141" s="272">
        <f t="shared" si="119"/>
        <v>24</v>
      </c>
      <c r="G141" s="274">
        <f t="shared" si="80"/>
        <v>1</v>
      </c>
      <c r="H141" s="275">
        <f t="shared" si="81"/>
        <v>1</v>
      </c>
      <c r="I141" s="422">
        <v>189.5</v>
      </c>
      <c r="J141" s="278">
        <f t="shared" si="82"/>
        <v>0</v>
      </c>
      <c r="K141" s="272">
        <f>IFERROR(INDEX('Horo. M'!$E$3:$E$367,MATCH(A141,'Horo. M'!$A$3:$A$367,0)),"")</f>
        <v>24</v>
      </c>
      <c r="L141" s="422">
        <v>0</v>
      </c>
      <c r="M141" s="422">
        <v>0</v>
      </c>
      <c r="N141" s="272">
        <f t="shared" si="83"/>
        <v>24</v>
      </c>
      <c r="O141" s="274">
        <f t="shared" si="84"/>
        <v>1</v>
      </c>
      <c r="P141" s="275">
        <f t="shared" si="85"/>
        <v>1</v>
      </c>
      <c r="Q141" s="422">
        <v>157.5</v>
      </c>
      <c r="R141" s="278">
        <f t="shared" si="86"/>
        <v>0</v>
      </c>
      <c r="S141" s="272">
        <f>IFERROR(INDEX('Horo. M'!G$3:$G$367,MATCH(A141,'Horo. M'!$A$3:$A$367,0)),"")</f>
        <v>24</v>
      </c>
      <c r="T141" s="422">
        <v>0</v>
      </c>
      <c r="U141" s="422">
        <v>0</v>
      </c>
      <c r="V141" s="272">
        <f t="shared" si="87"/>
        <v>24</v>
      </c>
      <c r="W141" s="274">
        <f t="shared" si="88"/>
        <v>1</v>
      </c>
      <c r="X141" s="275">
        <f t="shared" si="89"/>
        <v>1</v>
      </c>
      <c r="Y141" s="422">
        <v>186.94</v>
      </c>
      <c r="Z141" s="278">
        <f t="shared" si="90"/>
        <v>0</v>
      </c>
      <c r="AA141" s="272">
        <f>IFERROR(INDEX('Horo. M'!$I$3:I$367,MATCH(A141,'Horo. M'!$A$3:$A$367,0)),"")</f>
        <v>0</v>
      </c>
      <c r="AB141" s="422">
        <v>24</v>
      </c>
      <c r="AC141" s="422">
        <v>0</v>
      </c>
      <c r="AD141" s="272">
        <f t="shared" si="91"/>
        <v>0</v>
      </c>
      <c r="AE141" s="274">
        <f t="shared" si="92"/>
        <v>0</v>
      </c>
      <c r="AF141" s="275">
        <f t="shared" si="93"/>
        <v>0</v>
      </c>
      <c r="AG141" s="422">
        <v>0</v>
      </c>
      <c r="AH141" s="272">
        <f t="shared" si="94"/>
        <v>2</v>
      </c>
      <c r="AI141" s="272">
        <f>IFERROR(INDEX('Horo. M'!$K$3:K$367,MATCH(A141,'Horo. M'!$A$3:$A$367,0)),"")</f>
        <v>18</v>
      </c>
      <c r="AJ141" s="422">
        <v>4</v>
      </c>
      <c r="AK141" s="422">
        <v>0</v>
      </c>
      <c r="AL141" s="272">
        <f t="shared" si="95"/>
        <v>20</v>
      </c>
      <c r="AM141" s="274">
        <f t="shared" si="96"/>
        <v>0.75</v>
      </c>
      <c r="AN141" s="275">
        <f t="shared" si="97"/>
        <v>0.83333333333333337</v>
      </c>
      <c r="AO141" s="422">
        <v>145.91999999999999</v>
      </c>
      <c r="AP141" s="272">
        <f t="shared" si="98"/>
        <v>0</v>
      </c>
      <c r="AQ141" s="272">
        <f>IFERROR(INDEX('Horo. M'!$M$3:M$367,MATCH(A141,'Horo. M'!$A$3:$A$367,0)),"")</f>
        <v>24</v>
      </c>
      <c r="AR141" s="422">
        <v>0</v>
      </c>
      <c r="AS141" s="422">
        <v>0</v>
      </c>
      <c r="AT141" s="272">
        <f t="shared" si="99"/>
        <v>24</v>
      </c>
      <c r="AU141" s="274">
        <f t="shared" si="100"/>
        <v>1</v>
      </c>
      <c r="AV141" s="275">
        <f t="shared" si="101"/>
        <v>1</v>
      </c>
      <c r="AW141" s="422">
        <v>189.06</v>
      </c>
      <c r="AX141" s="272">
        <f t="shared" si="102"/>
        <v>0</v>
      </c>
      <c r="AY141" s="272">
        <f>IFERROR(INDEX('Horo. M'!$O$3:O$367,MATCH(A141,'Horo. M'!$A$3:$A$367,0)),"")</f>
        <v>24</v>
      </c>
      <c r="AZ141" s="422">
        <v>0</v>
      </c>
      <c r="BA141" s="422">
        <v>0</v>
      </c>
      <c r="BB141" s="272">
        <f t="shared" si="103"/>
        <v>24</v>
      </c>
      <c r="BC141" s="274">
        <f t="shared" si="104"/>
        <v>1</v>
      </c>
      <c r="BD141" s="275">
        <f t="shared" si="105"/>
        <v>1</v>
      </c>
      <c r="BE141" s="422">
        <v>191.69</v>
      </c>
      <c r="BF141" s="272">
        <f t="shared" si="106"/>
        <v>0</v>
      </c>
      <c r="BG141" s="272">
        <f>IFERROR(INDEX('Horo. M'!$Q$3:Q$367,MATCH(A141,'Horo. M'!$A$3:$A$367,0)),"")</f>
        <v>12</v>
      </c>
      <c r="BH141" s="422">
        <v>12</v>
      </c>
      <c r="BI141" s="422">
        <v>0</v>
      </c>
      <c r="BJ141" s="272">
        <f t="shared" si="107"/>
        <v>12</v>
      </c>
      <c r="BK141" s="274">
        <f t="shared" si="108"/>
        <v>0.5</v>
      </c>
      <c r="BL141" s="275">
        <f t="shared" si="109"/>
        <v>0.5</v>
      </c>
      <c r="BM141" s="422">
        <v>89.06</v>
      </c>
      <c r="BN141" s="272">
        <f t="shared" si="110"/>
        <v>0</v>
      </c>
      <c r="BO141" s="272">
        <f>IFERROR(INDEX('Horo. M'!$S$3:S$367,MATCH(A141,'Horo. M'!$A$3:$A$367,0)),"")</f>
        <v>18</v>
      </c>
      <c r="BP141" s="422">
        <v>4</v>
      </c>
      <c r="BQ141" s="422">
        <v>2</v>
      </c>
      <c r="BR141" s="272">
        <f t="shared" si="111"/>
        <v>18</v>
      </c>
      <c r="BS141" s="274">
        <f t="shared" si="112"/>
        <v>0.75</v>
      </c>
      <c r="BT141" s="275">
        <f t="shared" si="113"/>
        <v>0.75</v>
      </c>
      <c r="BU141" s="422">
        <v>144.36000000000001</v>
      </c>
      <c r="BV141" s="272">
        <f t="shared" si="114"/>
        <v>0</v>
      </c>
      <c r="BW141" s="272">
        <f>IFERROR(INDEX('Horo. M'!$U$3:U$367,MATCH(A141,'Horo. M'!$A$3:$A$367,0)),"")</f>
        <v>24</v>
      </c>
      <c r="BX141" s="422">
        <v>0</v>
      </c>
      <c r="BY141" s="422">
        <v>0</v>
      </c>
      <c r="BZ141" s="272">
        <f t="shared" si="115"/>
        <v>24</v>
      </c>
      <c r="CA141" s="274">
        <f t="shared" si="116"/>
        <v>1</v>
      </c>
      <c r="CB141" s="275">
        <f t="shared" si="117"/>
        <v>1</v>
      </c>
      <c r="CC141" s="422">
        <v>190.99</v>
      </c>
    </row>
    <row r="142" spans="1:81">
      <c r="A142" s="279">
        <v>45067</v>
      </c>
      <c r="B142" s="278">
        <f t="shared" si="118"/>
        <v>0</v>
      </c>
      <c r="C142" s="272">
        <f>IFERROR(INDEX('Horo. M'!$C$3:$C$367,MATCH(A142,'Horo. M'!$A$3:$A$367,0)),"")</f>
        <v>24</v>
      </c>
      <c r="D142" s="422">
        <v>0</v>
      </c>
      <c r="E142" s="422">
        <v>0</v>
      </c>
      <c r="F142" s="272">
        <f t="shared" si="119"/>
        <v>24</v>
      </c>
      <c r="G142" s="300">
        <f t="shared" si="80"/>
        <v>1</v>
      </c>
      <c r="H142" s="275">
        <f t="shared" si="81"/>
        <v>1</v>
      </c>
      <c r="I142" s="422">
        <v>182.2</v>
      </c>
      <c r="J142" s="278">
        <f t="shared" si="82"/>
        <v>0</v>
      </c>
      <c r="K142" s="272">
        <f>IFERROR(INDEX('Horo. M'!$E$3:$E$367,MATCH(A142,'Horo. M'!$A$3:$A$367,0)),"")</f>
        <v>24</v>
      </c>
      <c r="L142" s="422">
        <v>0</v>
      </c>
      <c r="M142" s="422">
        <v>0</v>
      </c>
      <c r="N142" s="272">
        <f t="shared" si="83"/>
        <v>24</v>
      </c>
      <c r="O142" s="300">
        <f t="shared" si="84"/>
        <v>1</v>
      </c>
      <c r="P142" s="275">
        <f t="shared" si="85"/>
        <v>1</v>
      </c>
      <c r="Q142" s="422">
        <v>138.80000000000001</v>
      </c>
      <c r="R142" s="278">
        <f t="shared" si="86"/>
        <v>0</v>
      </c>
      <c r="S142" s="272">
        <f>IFERROR(INDEX('Horo. M'!G$3:$G$367,MATCH(A142,'Horo. M'!$A$3:$A$367,0)),"")</f>
        <v>24</v>
      </c>
      <c r="T142" s="422">
        <v>0</v>
      </c>
      <c r="U142" s="422">
        <v>0</v>
      </c>
      <c r="V142" s="272">
        <f t="shared" si="87"/>
        <v>24</v>
      </c>
      <c r="W142" s="300">
        <f t="shared" si="88"/>
        <v>1</v>
      </c>
      <c r="X142" s="275">
        <f t="shared" si="89"/>
        <v>1</v>
      </c>
      <c r="Y142" s="422">
        <v>178.04</v>
      </c>
      <c r="Z142" s="278">
        <f t="shared" si="90"/>
        <v>0</v>
      </c>
      <c r="AA142" s="272">
        <f>IFERROR(INDEX('Horo. M'!$I$3:I$367,MATCH(A142,'Horo. M'!$A$3:$A$367,0)),"")</f>
        <v>0</v>
      </c>
      <c r="AB142" s="422">
        <v>24</v>
      </c>
      <c r="AC142" s="422">
        <v>0</v>
      </c>
      <c r="AD142" s="272">
        <f t="shared" si="91"/>
        <v>0</v>
      </c>
      <c r="AE142" s="300">
        <f t="shared" si="92"/>
        <v>0</v>
      </c>
      <c r="AF142" s="275">
        <f t="shared" si="93"/>
        <v>0</v>
      </c>
      <c r="AG142" s="422">
        <v>0</v>
      </c>
      <c r="AH142" s="272">
        <f t="shared" si="94"/>
        <v>0</v>
      </c>
      <c r="AI142" s="272">
        <f>IFERROR(INDEX('Horo. M'!$K$3:K$367,MATCH(A142,'Horo. M'!$A$3:$A$367,0)),"")</f>
        <v>24</v>
      </c>
      <c r="AJ142" s="422">
        <v>0</v>
      </c>
      <c r="AK142" s="422">
        <v>0</v>
      </c>
      <c r="AL142" s="272">
        <f t="shared" si="95"/>
        <v>24</v>
      </c>
      <c r="AM142" s="300">
        <f t="shared" si="96"/>
        <v>1</v>
      </c>
      <c r="AN142" s="275">
        <f t="shared" si="97"/>
        <v>1</v>
      </c>
      <c r="AO142" s="422">
        <v>181.52</v>
      </c>
      <c r="AP142" s="272">
        <f t="shared" si="98"/>
        <v>0</v>
      </c>
      <c r="AQ142" s="272">
        <f>IFERROR(INDEX('Horo. M'!$M$3:M$367,MATCH(A142,'Horo. M'!$A$3:$A$367,0)),"")</f>
        <v>24</v>
      </c>
      <c r="AR142" s="422">
        <v>0</v>
      </c>
      <c r="AS142" s="422">
        <v>0</v>
      </c>
      <c r="AT142" s="272">
        <f t="shared" si="99"/>
        <v>24</v>
      </c>
      <c r="AU142" s="300">
        <f t="shared" si="100"/>
        <v>1</v>
      </c>
      <c r="AV142" s="275">
        <f t="shared" si="101"/>
        <v>1</v>
      </c>
      <c r="AW142" s="422">
        <v>181.75</v>
      </c>
      <c r="AX142" s="272">
        <f t="shared" si="102"/>
        <v>0</v>
      </c>
      <c r="AY142" s="272">
        <f>IFERROR(INDEX('Horo. M'!$O$3:O$367,MATCH(A142,'Horo. M'!$A$3:$A$367,0)),"")</f>
        <v>24</v>
      </c>
      <c r="AZ142" s="422">
        <v>0</v>
      </c>
      <c r="BA142" s="422">
        <v>0</v>
      </c>
      <c r="BB142" s="272">
        <f t="shared" si="103"/>
        <v>24</v>
      </c>
      <c r="BC142" s="300">
        <f t="shared" si="104"/>
        <v>1</v>
      </c>
      <c r="BD142" s="275">
        <f t="shared" si="105"/>
        <v>1</v>
      </c>
      <c r="BE142" s="422">
        <v>182.76</v>
      </c>
      <c r="BF142" s="272">
        <f t="shared" si="106"/>
        <v>0</v>
      </c>
      <c r="BG142" s="272">
        <f>IFERROR(INDEX('Horo. M'!$Q$3:Q$367,MATCH(A142,'Horo. M'!$A$3:$A$367,0)),"")</f>
        <v>0</v>
      </c>
      <c r="BH142" s="422">
        <v>24</v>
      </c>
      <c r="BI142" s="422">
        <v>0</v>
      </c>
      <c r="BJ142" s="272">
        <f t="shared" si="107"/>
        <v>0</v>
      </c>
      <c r="BK142" s="300">
        <f t="shared" si="108"/>
        <v>0</v>
      </c>
      <c r="BL142" s="275">
        <f t="shared" si="109"/>
        <v>0</v>
      </c>
      <c r="BM142" s="422">
        <v>0</v>
      </c>
      <c r="BN142" s="272">
        <f t="shared" si="110"/>
        <v>0</v>
      </c>
      <c r="BO142" s="272">
        <f>IFERROR(INDEX('Horo. M'!$S$3:S$367,MATCH(A142,'Horo. M'!$A$3:$A$367,0)),"")</f>
        <v>24</v>
      </c>
      <c r="BP142" s="422">
        <v>0</v>
      </c>
      <c r="BQ142" s="422">
        <v>0</v>
      </c>
      <c r="BR142" s="272">
        <f t="shared" si="111"/>
        <v>24</v>
      </c>
      <c r="BS142" s="300">
        <f t="shared" si="112"/>
        <v>1</v>
      </c>
      <c r="BT142" s="275">
        <f t="shared" si="113"/>
        <v>1</v>
      </c>
      <c r="BU142" s="422">
        <v>183.48</v>
      </c>
      <c r="BV142" s="272">
        <f t="shared" si="114"/>
        <v>0</v>
      </c>
      <c r="BW142" s="272">
        <f>IFERROR(INDEX('Horo. M'!$U$3:U$367,MATCH(A142,'Horo. M'!$A$3:$A$367,0)),"")</f>
        <v>24</v>
      </c>
      <c r="BX142" s="422">
        <v>0</v>
      </c>
      <c r="BY142" s="422">
        <v>0</v>
      </c>
      <c r="BZ142" s="272">
        <f t="shared" si="115"/>
        <v>24</v>
      </c>
      <c r="CA142" s="300">
        <f t="shared" si="116"/>
        <v>1</v>
      </c>
      <c r="CB142" s="275">
        <f t="shared" si="117"/>
        <v>1</v>
      </c>
      <c r="CC142" s="422">
        <v>184.77</v>
      </c>
    </row>
    <row r="143" spans="1:81">
      <c r="A143" s="279">
        <v>45068</v>
      </c>
      <c r="B143" s="278">
        <f t="shared" si="118"/>
        <v>0</v>
      </c>
      <c r="C143" s="272">
        <f>IFERROR(INDEX('Horo. M'!$C$3:$C$367,MATCH(A143,'Horo. M'!$A$3:$A$367,0)),"")</f>
        <v>24</v>
      </c>
      <c r="D143" s="422">
        <v>0</v>
      </c>
      <c r="E143" s="422">
        <v>0</v>
      </c>
      <c r="F143" s="272">
        <f t="shared" si="119"/>
        <v>24</v>
      </c>
      <c r="G143" s="274">
        <f t="shared" si="80"/>
        <v>1</v>
      </c>
      <c r="H143" s="275">
        <f t="shared" si="81"/>
        <v>1</v>
      </c>
      <c r="I143" s="422">
        <v>185.9</v>
      </c>
      <c r="J143" s="278">
        <f t="shared" si="82"/>
        <v>0</v>
      </c>
      <c r="K143" s="272">
        <f>IFERROR(INDEX('Horo. M'!$E$3:$E$367,MATCH(A143,'Horo. M'!$A$3:$A$367,0)),"")</f>
        <v>24</v>
      </c>
      <c r="L143" s="422">
        <v>0</v>
      </c>
      <c r="M143" s="422">
        <v>0</v>
      </c>
      <c r="N143" s="272">
        <f t="shared" si="83"/>
        <v>24</v>
      </c>
      <c r="O143" s="274">
        <f t="shared" si="84"/>
        <v>1</v>
      </c>
      <c r="P143" s="275">
        <f t="shared" si="85"/>
        <v>1</v>
      </c>
      <c r="Q143" s="422">
        <v>165.3</v>
      </c>
      <c r="R143" s="278">
        <f t="shared" si="86"/>
        <v>0</v>
      </c>
      <c r="S143" s="272">
        <f>IFERROR(INDEX('Horo. M'!G$3:$G$367,MATCH(A143,'Horo. M'!$A$3:$A$367,0)),"")</f>
        <v>24</v>
      </c>
      <c r="T143" s="422">
        <v>0</v>
      </c>
      <c r="U143" s="422">
        <v>0</v>
      </c>
      <c r="V143" s="272">
        <f t="shared" si="87"/>
        <v>24</v>
      </c>
      <c r="W143" s="274">
        <f t="shared" si="88"/>
        <v>1</v>
      </c>
      <c r="X143" s="275">
        <f t="shared" si="89"/>
        <v>1</v>
      </c>
      <c r="Y143" s="422">
        <v>172.74</v>
      </c>
      <c r="Z143" s="278">
        <f t="shared" si="90"/>
        <v>0</v>
      </c>
      <c r="AA143" s="272">
        <f>IFERROR(INDEX('Horo. M'!$I$3:I$367,MATCH(A143,'Horo. M'!$A$3:$A$367,0)),"")</f>
        <v>0</v>
      </c>
      <c r="AB143" s="422">
        <v>24</v>
      </c>
      <c r="AC143" s="422">
        <v>0</v>
      </c>
      <c r="AD143" s="272">
        <f t="shared" si="91"/>
        <v>0</v>
      </c>
      <c r="AE143" s="274">
        <f t="shared" si="92"/>
        <v>0</v>
      </c>
      <c r="AF143" s="275">
        <f t="shared" si="93"/>
        <v>0</v>
      </c>
      <c r="AG143" s="422">
        <v>0</v>
      </c>
      <c r="AH143" s="272">
        <f t="shared" si="94"/>
        <v>0</v>
      </c>
      <c r="AI143" s="272">
        <f>IFERROR(INDEX('Horo. M'!$K$3:K$367,MATCH(A143,'Horo. M'!$A$3:$A$367,0)),"")</f>
        <v>24</v>
      </c>
      <c r="AJ143" s="422">
        <v>0</v>
      </c>
      <c r="AK143" s="422">
        <v>0</v>
      </c>
      <c r="AL143" s="272">
        <f t="shared" si="95"/>
        <v>24</v>
      </c>
      <c r="AM143" s="274">
        <f t="shared" si="96"/>
        <v>1</v>
      </c>
      <c r="AN143" s="275">
        <f t="shared" si="97"/>
        <v>1</v>
      </c>
      <c r="AO143" s="422">
        <v>179.01</v>
      </c>
      <c r="AP143" s="272">
        <f t="shared" si="98"/>
        <v>0</v>
      </c>
      <c r="AQ143" s="272">
        <f>IFERROR(INDEX('Horo. M'!$M$3:M$367,MATCH(A143,'Horo. M'!$A$3:$A$367,0)),"")</f>
        <v>24</v>
      </c>
      <c r="AR143" s="422">
        <v>0</v>
      </c>
      <c r="AS143" s="422">
        <v>0</v>
      </c>
      <c r="AT143" s="272">
        <f t="shared" si="99"/>
        <v>24</v>
      </c>
      <c r="AU143" s="274">
        <f t="shared" si="100"/>
        <v>1</v>
      </c>
      <c r="AV143" s="275">
        <f t="shared" si="101"/>
        <v>1</v>
      </c>
      <c r="AW143" s="422">
        <v>178.84</v>
      </c>
      <c r="AX143" s="272">
        <f t="shared" si="102"/>
        <v>0</v>
      </c>
      <c r="AY143" s="272">
        <f>IFERROR(INDEX('Horo. M'!$O$3:O$367,MATCH(A143,'Horo. M'!$A$3:$A$367,0)),"")</f>
        <v>24</v>
      </c>
      <c r="AZ143" s="422">
        <v>0</v>
      </c>
      <c r="BA143" s="422">
        <v>0</v>
      </c>
      <c r="BB143" s="272">
        <f t="shared" si="103"/>
        <v>24</v>
      </c>
      <c r="BC143" s="274">
        <f t="shared" si="104"/>
        <v>1</v>
      </c>
      <c r="BD143" s="275">
        <f t="shared" si="105"/>
        <v>1</v>
      </c>
      <c r="BE143" s="422">
        <v>179.64</v>
      </c>
      <c r="BF143" s="272">
        <f t="shared" si="106"/>
        <v>0</v>
      </c>
      <c r="BG143" s="272">
        <f>IFERROR(INDEX('Horo. M'!$Q$3:Q$367,MATCH(A143,'Horo. M'!$A$3:$A$367,0)),"")</f>
        <v>0</v>
      </c>
      <c r="BH143" s="422">
        <v>24</v>
      </c>
      <c r="BI143" s="422">
        <v>0</v>
      </c>
      <c r="BJ143" s="272">
        <f t="shared" si="107"/>
        <v>0</v>
      </c>
      <c r="BK143" s="274">
        <f t="shared" si="108"/>
        <v>0</v>
      </c>
      <c r="BL143" s="275">
        <f t="shared" si="109"/>
        <v>0</v>
      </c>
      <c r="BM143" s="422">
        <v>0</v>
      </c>
      <c r="BN143" s="272">
        <f t="shared" si="110"/>
        <v>0</v>
      </c>
      <c r="BO143" s="272">
        <f>IFERROR(INDEX('Horo. M'!$S$3:S$367,MATCH(A143,'Horo. M'!$A$3:$A$367,0)),"")</f>
        <v>24</v>
      </c>
      <c r="BP143" s="422">
        <v>0</v>
      </c>
      <c r="BQ143" s="422">
        <v>0</v>
      </c>
      <c r="BR143" s="272">
        <f t="shared" si="111"/>
        <v>24</v>
      </c>
      <c r="BS143" s="274">
        <f t="shared" si="112"/>
        <v>1</v>
      </c>
      <c r="BT143" s="275">
        <f t="shared" si="113"/>
        <v>1</v>
      </c>
      <c r="BU143" s="422">
        <v>179.58</v>
      </c>
      <c r="BV143" s="272">
        <f t="shared" si="114"/>
        <v>0</v>
      </c>
      <c r="BW143" s="272">
        <f>IFERROR(INDEX('Horo. M'!$U$3:U$367,MATCH(A143,'Horo. M'!$A$3:$A$367,0)),"")</f>
        <v>24</v>
      </c>
      <c r="BX143" s="422">
        <v>0</v>
      </c>
      <c r="BY143" s="422">
        <v>0</v>
      </c>
      <c r="BZ143" s="272">
        <f t="shared" si="115"/>
        <v>24</v>
      </c>
      <c r="CA143" s="274">
        <f t="shared" si="116"/>
        <v>1</v>
      </c>
      <c r="CB143" s="275">
        <f t="shared" si="117"/>
        <v>1</v>
      </c>
      <c r="CC143" s="422">
        <v>173.7</v>
      </c>
    </row>
    <row r="144" spans="1:81">
      <c r="A144" s="279">
        <v>45069</v>
      </c>
      <c r="B144" s="278">
        <f t="shared" si="118"/>
        <v>0</v>
      </c>
      <c r="C144" s="272">
        <f>IFERROR(INDEX('Horo. M'!$C$3:$C$367,MATCH(A144,'Horo. M'!$A$3:$A$367,0)),"")</f>
        <v>24</v>
      </c>
      <c r="D144" s="422">
        <v>0</v>
      </c>
      <c r="E144" s="422">
        <v>0</v>
      </c>
      <c r="F144" s="272">
        <f t="shared" si="119"/>
        <v>24</v>
      </c>
      <c r="G144" s="274">
        <f t="shared" si="80"/>
        <v>1</v>
      </c>
      <c r="H144" s="275">
        <f t="shared" si="81"/>
        <v>1</v>
      </c>
      <c r="I144" s="422">
        <v>183.3</v>
      </c>
      <c r="J144" s="278">
        <f t="shared" si="82"/>
        <v>0</v>
      </c>
      <c r="K144" s="272">
        <f>IFERROR(INDEX('Horo. M'!$E$3:$E$367,MATCH(A144,'Horo. M'!$A$3:$A$367,0)),"")</f>
        <v>24</v>
      </c>
      <c r="L144" s="422">
        <v>0</v>
      </c>
      <c r="M144" s="422">
        <v>0</v>
      </c>
      <c r="N144" s="272">
        <f t="shared" si="83"/>
        <v>24</v>
      </c>
      <c r="O144" s="274">
        <f t="shared" si="84"/>
        <v>1</v>
      </c>
      <c r="P144" s="275">
        <f t="shared" si="85"/>
        <v>1</v>
      </c>
      <c r="Q144" s="422">
        <v>171</v>
      </c>
      <c r="R144" s="278">
        <f t="shared" si="86"/>
        <v>0</v>
      </c>
      <c r="S144" s="272">
        <f>IFERROR(INDEX('Horo. M'!G$3:$G$367,MATCH(A144,'Horo. M'!$A$3:$A$367,0)),"")</f>
        <v>24</v>
      </c>
      <c r="T144" s="422">
        <v>0</v>
      </c>
      <c r="U144" s="422">
        <v>0</v>
      </c>
      <c r="V144" s="272">
        <f t="shared" si="87"/>
        <v>24</v>
      </c>
      <c r="W144" s="274">
        <f t="shared" si="88"/>
        <v>1</v>
      </c>
      <c r="X144" s="275">
        <f t="shared" si="89"/>
        <v>1</v>
      </c>
      <c r="Y144" s="422">
        <v>188.65</v>
      </c>
      <c r="Z144" s="278">
        <f t="shared" si="90"/>
        <v>0</v>
      </c>
      <c r="AA144" s="272">
        <f>IFERROR(INDEX('Horo. M'!$I$3:I$367,MATCH(A144,'Horo. M'!$A$3:$A$367,0)),"")</f>
        <v>0</v>
      </c>
      <c r="AB144" s="422">
        <v>24</v>
      </c>
      <c r="AC144" s="422">
        <v>0</v>
      </c>
      <c r="AD144" s="272">
        <f t="shared" si="91"/>
        <v>0</v>
      </c>
      <c r="AE144" s="274">
        <f t="shared" si="92"/>
        <v>0</v>
      </c>
      <c r="AF144" s="275">
        <f t="shared" si="93"/>
        <v>0</v>
      </c>
      <c r="AG144" s="422">
        <v>0</v>
      </c>
      <c r="AH144" s="272">
        <f t="shared" si="94"/>
        <v>0</v>
      </c>
      <c r="AI144" s="272">
        <f>IFERROR(INDEX('Horo. M'!$K$3:K$367,MATCH(A144,'Horo. M'!$A$3:$A$367,0)),"")</f>
        <v>22</v>
      </c>
      <c r="AJ144" s="422">
        <v>0</v>
      </c>
      <c r="AK144" s="422">
        <v>2</v>
      </c>
      <c r="AL144" s="272">
        <f t="shared" si="95"/>
        <v>22</v>
      </c>
      <c r="AM144" s="274">
        <f t="shared" si="96"/>
        <v>0.91666666666666663</v>
      </c>
      <c r="AN144" s="275">
        <f t="shared" si="97"/>
        <v>0.91666666666666663</v>
      </c>
      <c r="AO144" s="422">
        <v>167.7</v>
      </c>
      <c r="AP144" s="272">
        <f t="shared" si="98"/>
        <v>0</v>
      </c>
      <c r="AQ144" s="272">
        <f>IFERROR(INDEX('Horo. M'!$M$3:M$367,MATCH(A144,'Horo. M'!$A$3:$A$367,0)),"")</f>
        <v>24</v>
      </c>
      <c r="AR144" s="422">
        <v>0</v>
      </c>
      <c r="AS144" s="422">
        <v>0</v>
      </c>
      <c r="AT144" s="272">
        <f t="shared" si="99"/>
        <v>24</v>
      </c>
      <c r="AU144" s="274">
        <f t="shared" si="100"/>
        <v>1</v>
      </c>
      <c r="AV144" s="275">
        <f t="shared" si="101"/>
        <v>1</v>
      </c>
      <c r="AW144" s="422">
        <v>184.71</v>
      </c>
      <c r="AX144" s="272">
        <f t="shared" si="102"/>
        <v>0</v>
      </c>
      <c r="AY144" s="272">
        <f>IFERROR(INDEX('Horo. M'!$O$3:O$367,MATCH(A144,'Horo. M'!$A$3:$A$367,0)),"")</f>
        <v>24</v>
      </c>
      <c r="AZ144" s="422">
        <v>0</v>
      </c>
      <c r="BA144" s="422">
        <v>0</v>
      </c>
      <c r="BB144" s="272">
        <f t="shared" si="103"/>
        <v>24</v>
      </c>
      <c r="BC144" s="274">
        <f t="shared" si="104"/>
        <v>1</v>
      </c>
      <c r="BD144" s="275">
        <f t="shared" si="105"/>
        <v>1</v>
      </c>
      <c r="BE144" s="422">
        <v>188.99</v>
      </c>
      <c r="BF144" s="272">
        <f t="shared" si="106"/>
        <v>0</v>
      </c>
      <c r="BG144" s="272">
        <f>IFERROR(INDEX('Horo. M'!$Q$3:Q$367,MATCH(A144,'Horo. M'!$A$3:$A$367,0)),"")</f>
        <v>0</v>
      </c>
      <c r="BH144" s="422">
        <v>24</v>
      </c>
      <c r="BI144" s="422">
        <v>0</v>
      </c>
      <c r="BJ144" s="272">
        <f t="shared" si="107"/>
        <v>0</v>
      </c>
      <c r="BK144" s="274">
        <f t="shared" si="108"/>
        <v>0</v>
      </c>
      <c r="BL144" s="275">
        <f t="shared" si="109"/>
        <v>0</v>
      </c>
      <c r="BM144" s="422">
        <v>0</v>
      </c>
      <c r="BN144" s="272">
        <f t="shared" si="110"/>
        <v>0</v>
      </c>
      <c r="BO144" s="272">
        <f>IFERROR(INDEX('Horo. M'!$S$3:S$367,MATCH(A144,'Horo. M'!$A$3:$A$367,0)),"")</f>
        <v>24</v>
      </c>
      <c r="BP144" s="422">
        <v>0</v>
      </c>
      <c r="BQ144" s="422">
        <v>0</v>
      </c>
      <c r="BR144" s="272">
        <f t="shared" si="111"/>
        <v>24</v>
      </c>
      <c r="BS144" s="274">
        <f t="shared" si="112"/>
        <v>1</v>
      </c>
      <c r="BT144" s="275">
        <f t="shared" si="113"/>
        <v>1</v>
      </c>
      <c r="BU144" s="422">
        <v>186.39</v>
      </c>
      <c r="BV144" s="272">
        <f t="shared" si="114"/>
        <v>0</v>
      </c>
      <c r="BW144" s="272">
        <f>IFERROR(INDEX('Horo. M'!$U$3:U$367,MATCH(A144,'Horo. M'!$A$3:$A$367,0)),"")</f>
        <v>24</v>
      </c>
      <c r="BX144" s="422">
        <v>0</v>
      </c>
      <c r="BY144" s="422">
        <v>0</v>
      </c>
      <c r="BZ144" s="272">
        <f t="shared" si="115"/>
        <v>24</v>
      </c>
      <c r="CA144" s="274">
        <f t="shared" si="116"/>
        <v>1</v>
      </c>
      <c r="CB144" s="275">
        <f t="shared" si="117"/>
        <v>1</v>
      </c>
      <c r="CC144" s="422">
        <v>188.87</v>
      </c>
    </row>
    <row r="145" spans="1:81">
      <c r="A145" s="279">
        <v>45070</v>
      </c>
      <c r="B145" s="278">
        <f t="shared" si="118"/>
        <v>0</v>
      </c>
      <c r="C145" s="272">
        <f>IFERROR(INDEX('Horo. M'!$C$3:$C$367,MATCH(A145,'Horo. M'!$A$3:$A$367,0)),"")</f>
        <v>24</v>
      </c>
      <c r="D145" s="422">
        <v>0</v>
      </c>
      <c r="E145" s="422">
        <v>0</v>
      </c>
      <c r="F145" s="272">
        <f t="shared" si="119"/>
        <v>24</v>
      </c>
      <c r="G145" s="300">
        <f t="shared" si="80"/>
        <v>1</v>
      </c>
      <c r="H145" s="275">
        <f t="shared" si="81"/>
        <v>1</v>
      </c>
      <c r="I145" s="422">
        <v>186.5</v>
      </c>
      <c r="J145" s="278">
        <f t="shared" si="82"/>
        <v>0</v>
      </c>
      <c r="K145" s="272">
        <f>IFERROR(INDEX('Horo. M'!$E$3:$E$367,MATCH(A145,'Horo. M'!$A$3:$A$367,0)),"")</f>
        <v>24</v>
      </c>
      <c r="L145" s="422">
        <v>0</v>
      </c>
      <c r="M145" s="422">
        <v>0</v>
      </c>
      <c r="N145" s="272">
        <f t="shared" si="83"/>
        <v>24</v>
      </c>
      <c r="O145" s="300">
        <f t="shared" si="84"/>
        <v>1</v>
      </c>
      <c r="P145" s="275">
        <f t="shared" si="85"/>
        <v>1</v>
      </c>
      <c r="Q145" s="422">
        <v>145.69999999999999</v>
      </c>
      <c r="R145" s="278">
        <f t="shared" si="86"/>
        <v>0</v>
      </c>
      <c r="S145" s="272">
        <f>IFERROR(INDEX('Horo. M'!G$3:$G$367,MATCH(A145,'Horo. M'!$A$3:$A$367,0)),"")</f>
        <v>24</v>
      </c>
      <c r="T145" s="422">
        <v>0</v>
      </c>
      <c r="U145" s="422">
        <v>0</v>
      </c>
      <c r="V145" s="272">
        <f t="shared" si="87"/>
        <v>24</v>
      </c>
      <c r="W145" s="300">
        <f t="shared" si="88"/>
        <v>1</v>
      </c>
      <c r="X145" s="275">
        <f t="shared" si="89"/>
        <v>1</v>
      </c>
      <c r="Y145" s="422">
        <v>191.55</v>
      </c>
      <c r="Z145" s="278">
        <f t="shared" si="90"/>
        <v>0</v>
      </c>
      <c r="AA145" s="272">
        <f>IFERROR(INDEX('Horo. M'!$I$3:I$367,MATCH(A145,'Horo. M'!$A$3:$A$367,0)),"")</f>
        <v>0</v>
      </c>
      <c r="AB145" s="422">
        <v>24</v>
      </c>
      <c r="AC145" s="422">
        <v>0</v>
      </c>
      <c r="AD145" s="272">
        <f t="shared" si="91"/>
        <v>0</v>
      </c>
      <c r="AE145" s="300">
        <f t="shared" si="92"/>
        <v>0</v>
      </c>
      <c r="AF145" s="275">
        <f t="shared" si="93"/>
        <v>0</v>
      </c>
      <c r="AG145" s="422">
        <v>0</v>
      </c>
      <c r="AH145" s="272">
        <f t="shared" si="94"/>
        <v>0</v>
      </c>
      <c r="AI145" s="272">
        <f>IFERROR(INDEX('Horo. M'!$K$3:K$367,MATCH(A145,'Horo. M'!$A$3:$A$367,0)),"")</f>
        <v>24</v>
      </c>
      <c r="AJ145" s="422">
        <v>0</v>
      </c>
      <c r="AK145" s="422">
        <v>0</v>
      </c>
      <c r="AL145" s="272">
        <f t="shared" si="95"/>
        <v>24</v>
      </c>
      <c r="AM145" s="300">
        <f t="shared" si="96"/>
        <v>1</v>
      </c>
      <c r="AN145" s="275">
        <f t="shared" si="97"/>
        <v>1</v>
      </c>
      <c r="AO145" s="422">
        <v>175.15</v>
      </c>
      <c r="AP145" s="272">
        <f t="shared" si="98"/>
        <v>0</v>
      </c>
      <c r="AQ145" s="272">
        <f>IFERROR(INDEX('Horo. M'!$M$3:M$367,MATCH(A145,'Horo. M'!$A$3:$A$367,0)),"")</f>
        <v>24</v>
      </c>
      <c r="AR145" s="422">
        <v>0</v>
      </c>
      <c r="AS145" s="422">
        <v>0</v>
      </c>
      <c r="AT145" s="272">
        <f t="shared" si="99"/>
        <v>24</v>
      </c>
      <c r="AU145" s="300">
        <f t="shared" si="100"/>
        <v>1</v>
      </c>
      <c r="AV145" s="275">
        <f t="shared" si="101"/>
        <v>1</v>
      </c>
      <c r="AW145" s="422">
        <v>186.37</v>
      </c>
      <c r="AX145" s="272">
        <f t="shared" si="102"/>
        <v>0</v>
      </c>
      <c r="AY145" s="272">
        <f>IFERROR(INDEX('Horo. M'!$O$3:O$367,MATCH(A145,'Horo. M'!$A$3:$A$367,0)),"")</f>
        <v>24</v>
      </c>
      <c r="AZ145" s="422">
        <v>0</v>
      </c>
      <c r="BA145" s="422">
        <v>0</v>
      </c>
      <c r="BB145" s="272">
        <f t="shared" si="103"/>
        <v>24</v>
      </c>
      <c r="BC145" s="300">
        <f t="shared" si="104"/>
        <v>1</v>
      </c>
      <c r="BD145" s="275">
        <f t="shared" si="105"/>
        <v>1</v>
      </c>
      <c r="BE145" s="422">
        <v>187.15</v>
      </c>
      <c r="BF145" s="272">
        <f t="shared" si="106"/>
        <v>0</v>
      </c>
      <c r="BG145" s="272">
        <f>IFERROR(INDEX('Horo. M'!$Q$3:Q$367,MATCH(A145,'Horo. M'!$A$3:$A$367,0)),"")</f>
        <v>0</v>
      </c>
      <c r="BH145" s="422">
        <v>24</v>
      </c>
      <c r="BI145" s="422">
        <v>0</v>
      </c>
      <c r="BJ145" s="272">
        <f t="shared" si="107"/>
        <v>0</v>
      </c>
      <c r="BK145" s="300">
        <f t="shared" si="108"/>
        <v>0</v>
      </c>
      <c r="BL145" s="275">
        <f t="shared" si="109"/>
        <v>0</v>
      </c>
      <c r="BM145" s="422">
        <v>0</v>
      </c>
      <c r="BN145" s="272">
        <f t="shared" si="110"/>
        <v>0</v>
      </c>
      <c r="BO145" s="272">
        <f>IFERROR(INDEX('Horo. M'!$S$3:S$367,MATCH(A145,'Horo. M'!$A$3:$A$367,0)),"")</f>
        <v>24</v>
      </c>
      <c r="BP145" s="422">
        <v>0</v>
      </c>
      <c r="BQ145" s="422">
        <v>0</v>
      </c>
      <c r="BR145" s="272">
        <f t="shared" si="111"/>
        <v>24</v>
      </c>
      <c r="BS145" s="300">
        <f t="shared" si="112"/>
        <v>1</v>
      </c>
      <c r="BT145" s="275">
        <f t="shared" si="113"/>
        <v>1</v>
      </c>
      <c r="BU145" s="422">
        <v>189.6</v>
      </c>
      <c r="BV145" s="272">
        <f t="shared" si="114"/>
        <v>0</v>
      </c>
      <c r="BW145" s="272">
        <f>IFERROR(INDEX('Horo. M'!$U$3:U$367,MATCH(A145,'Horo. M'!$A$3:$A$367,0)),"")</f>
        <v>24</v>
      </c>
      <c r="BX145" s="422">
        <v>0</v>
      </c>
      <c r="BY145" s="422">
        <v>0</v>
      </c>
      <c r="BZ145" s="272">
        <f t="shared" si="115"/>
        <v>24</v>
      </c>
      <c r="CA145" s="300">
        <f t="shared" si="116"/>
        <v>1</v>
      </c>
      <c r="CB145" s="275">
        <f t="shared" si="117"/>
        <v>1</v>
      </c>
      <c r="CC145" s="422">
        <v>190.04</v>
      </c>
    </row>
    <row r="146" spans="1:81">
      <c r="A146" s="279">
        <v>45071</v>
      </c>
      <c r="B146" s="278">
        <f t="shared" si="118"/>
        <v>0</v>
      </c>
      <c r="C146" s="272">
        <f>IFERROR(INDEX('Horo. M'!$C$3:$C$367,MATCH(A146,'Horo. M'!$A$3:$A$367,0)),"")</f>
        <v>24</v>
      </c>
      <c r="D146" s="422">
        <v>0</v>
      </c>
      <c r="E146" s="422">
        <v>0</v>
      </c>
      <c r="F146" s="272">
        <f t="shared" si="119"/>
        <v>24</v>
      </c>
      <c r="G146" s="300">
        <f t="shared" si="80"/>
        <v>1</v>
      </c>
      <c r="H146" s="275">
        <f t="shared" si="81"/>
        <v>1</v>
      </c>
      <c r="I146" s="422">
        <v>183.5</v>
      </c>
      <c r="J146" s="278">
        <f t="shared" si="82"/>
        <v>0</v>
      </c>
      <c r="K146" s="272">
        <f>IFERROR(INDEX('Horo. M'!$E$3:$E$367,MATCH(A146,'Horo. M'!$A$3:$A$367,0)),"")</f>
        <v>24</v>
      </c>
      <c r="L146" s="422">
        <v>0</v>
      </c>
      <c r="M146" s="422">
        <v>0</v>
      </c>
      <c r="N146" s="272">
        <f t="shared" si="83"/>
        <v>24</v>
      </c>
      <c r="O146" s="300">
        <f t="shared" si="84"/>
        <v>1</v>
      </c>
      <c r="P146" s="275">
        <f t="shared" si="85"/>
        <v>1</v>
      </c>
      <c r="Q146" s="422">
        <v>157.69999999999999</v>
      </c>
      <c r="R146" s="278">
        <f t="shared" si="86"/>
        <v>0</v>
      </c>
      <c r="S146" s="272">
        <f>IFERROR(INDEX('Horo. M'!G$3:$G$367,MATCH(A146,'Horo. M'!$A$3:$A$367,0)),"")</f>
        <v>24</v>
      </c>
      <c r="T146" s="422">
        <v>0</v>
      </c>
      <c r="U146" s="422">
        <v>0</v>
      </c>
      <c r="V146" s="272">
        <f t="shared" si="87"/>
        <v>24</v>
      </c>
      <c r="W146" s="300">
        <f t="shared" si="88"/>
        <v>1</v>
      </c>
      <c r="X146" s="275">
        <f t="shared" si="89"/>
        <v>1</v>
      </c>
      <c r="Y146" s="422">
        <v>180.36</v>
      </c>
      <c r="Z146" s="278">
        <f t="shared" si="90"/>
        <v>0</v>
      </c>
      <c r="AA146" s="272">
        <f>IFERROR(INDEX('Horo. M'!$I$3:I$367,MATCH(A146,'Horo. M'!$A$3:$A$367,0)),"")</f>
        <v>0</v>
      </c>
      <c r="AB146" s="422">
        <v>24</v>
      </c>
      <c r="AC146" s="422">
        <v>0</v>
      </c>
      <c r="AD146" s="272">
        <f t="shared" si="91"/>
        <v>0</v>
      </c>
      <c r="AE146" s="300">
        <f t="shared" si="92"/>
        <v>0</v>
      </c>
      <c r="AF146" s="275">
        <f t="shared" si="93"/>
        <v>0</v>
      </c>
      <c r="AG146" s="422">
        <v>0</v>
      </c>
      <c r="AH146" s="272">
        <f t="shared" si="94"/>
        <v>0</v>
      </c>
      <c r="AI146" s="272">
        <f>IFERROR(INDEX('Horo. M'!$K$3:K$367,MATCH(A146,'Horo. M'!$A$3:$A$367,0)),"")</f>
        <v>24</v>
      </c>
      <c r="AJ146" s="422">
        <v>0</v>
      </c>
      <c r="AK146" s="422">
        <v>0</v>
      </c>
      <c r="AL146" s="272">
        <f t="shared" si="95"/>
        <v>24</v>
      </c>
      <c r="AM146" s="300">
        <f t="shared" si="96"/>
        <v>1</v>
      </c>
      <c r="AN146" s="275">
        <f t="shared" si="97"/>
        <v>1</v>
      </c>
      <c r="AO146" s="422">
        <v>181.07</v>
      </c>
      <c r="AP146" s="272">
        <f t="shared" si="98"/>
        <v>0</v>
      </c>
      <c r="AQ146" s="272">
        <f>IFERROR(INDEX('Horo. M'!$M$3:M$367,MATCH(A146,'Horo. M'!$A$3:$A$367,0)),"")</f>
        <v>24</v>
      </c>
      <c r="AR146" s="422">
        <v>0</v>
      </c>
      <c r="AS146" s="422">
        <v>0</v>
      </c>
      <c r="AT146" s="272">
        <f t="shared" si="99"/>
        <v>24</v>
      </c>
      <c r="AU146" s="300">
        <f t="shared" si="100"/>
        <v>1</v>
      </c>
      <c r="AV146" s="275">
        <f t="shared" si="101"/>
        <v>1</v>
      </c>
      <c r="AW146" s="422">
        <v>186.5</v>
      </c>
      <c r="AX146" s="272">
        <f t="shared" si="102"/>
        <v>0</v>
      </c>
      <c r="AY146" s="272">
        <f>IFERROR(INDEX('Horo. M'!$O$3:O$367,MATCH(A146,'Horo. M'!$A$3:$A$367,0)),"")</f>
        <v>24</v>
      </c>
      <c r="AZ146" s="422">
        <v>0</v>
      </c>
      <c r="BA146" s="422">
        <v>0</v>
      </c>
      <c r="BB146" s="272">
        <f t="shared" si="103"/>
        <v>24</v>
      </c>
      <c r="BC146" s="300">
        <f t="shared" si="104"/>
        <v>1</v>
      </c>
      <c r="BD146" s="275">
        <f t="shared" si="105"/>
        <v>1</v>
      </c>
      <c r="BE146" s="422">
        <v>185.13</v>
      </c>
      <c r="BF146" s="272">
        <f t="shared" si="106"/>
        <v>0</v>
      </c>
      <c r="BG146" s="272">
        <f>IFERROR(INDEX('Horo. M'!$Q$3:Q$367,MATCH(A146,'Horo. M'!$A$3:$A$367,0)),"")</f>
        <v>0</v>
      </c>
      <c r="BH146" s="422">
        <v>24</v>
      </c>
      <c r="BI146" s="422">
        <v>0</v>
      </c>
      <c r="BJ146" s="272">
        <f t="shared" si="107"/>
        <v>0</v>
      </c>
      <c r="BK146" s="300">
        <f t="shared" si="108"/>
        <v>0</v>
      </c>
      <c r="BL146" s="275">
        <f t="shared" si="109"/>
        <v>0</v>
      </c>
      <c r="BM146" s="422">
        <v>0</v>
      </c>
      <c r="BN146" s="272">
        <f t="shared" si="110"/>
        <v>0</v>
      </c>
      <c r="BO146" s="272">
        <f>IFERROR(INDEX('Horo. M'!$S$3:S$367,MATCH(A146,'Horo. M'!$A$3:$A$367,0)),"")</f>
        <v>24</v>
      </c>
      <c r="BP146" s="422">
        <v>0</v>
      </c>
      <c r="BQ146" s="422">
        <v>0</v>
      </c>
      <c r="BR146" s="272">
        <f t="shared" si="111"/>
        <v>24</v>
      </c>
      <c r="BS146" s="300">
        <f t="shared" si="112"/>
        <v>1</v>
      </c>
      <c r="BT146" s="275">
        <f t="shared" si="113"/>
        <v>1</v>
      </c>
      <c r="BU146" s="422">
        <v>184</v>
      </c>
      <c r="BV146" s="272">
        <f t="shared" si="114"/>
        <v>0</v>
      </c>
      <c r="BW146" s="272">
        <f>IFERROR(INDEX('Horo. M'!$U$3:U$367,MATCH(A146,'Horo. M'!$A$3:$A$367,0)),"")</f>
        <v>24</v>
      </c>
      <c r="BX146" s="422">
        <v>0</v>
      </c>
      <c r="BY146" s="422">
        <v>0</v>
      </c>
      <c r="BZ146" s="272">
        <f t="shared" si="115"/>
        <v>24</v>
      </c>
      <c r="CA146" s="300">
        <f t="shared" si="116"/>
        <v>1</v>
      </c>
      <c r="CB146" s="275">
        <f t="shared" si="117"/>
        <v>1</v>
      </c>
      <c r="CC146" s="422">
        <v>186.31</v>
      </c>
    </row>
    <row r="147" spans="1:81">
      <c r="A147" s="279">
        <v>45072</v>
      </c>
      <c r="B147" s="278">
        <f t="shared" si="118"/>
        <v>0</v>
      </c>
      <c r="C147" s="272">
        <f>IFERROR(INDEX('Horo. M'!$C$3:$C$367,MATCH(A147,'Horo. M'!$A$3:$A$367,0)),"")</f>
        <v>24</v>
      </c>
      <c r="D147" s="422">
        <v>0</v>
      </c>
      <c r="E147" s="422">
        <v>0</v>
      </c>
      <c r="F147" s="272">
        <f t="shared" si="119"/>
        <v>24</v>
      </c>
      <c r="G147" s="274">
        <f t="shared" si="80"/>
        <v>1</v>
      </c>
      <c r="H147" s="275">
        <f t="shared" si="81"/>
        <v>1</v>
      </c>
      <c r="I147" s="422">
        <v>175.9</v>
      </c>
      <c r="J147" s="278">
        <f t="shared" si="82"/>
        <v>0</v>
      </c>
      <c r="K147" s="272">
        <f>IFERROR(INDEX('Horo. M'!$E$3:$E$367,MATCH(A147,'Horo. M'!$A$3:$A$367,0)),"")</f>
        <v>24</v>
      </c>
      <c r="L147" s="422">
        <v>0</v>
      </c>
      <c r="M147" s="422">
        <v>0</v>
      </c>
      <c r="N147" s="272">
        <f t="shared" si="83"/>
        <v>24</v>
      </c>
      <c r="O147" s="274">
        <f t="shared" si="84"/>
        <v>1</v>
      </c>
      <c r="P147" s="275">
        <f t="shared" si="85"/>
        <v>1</v>
      </c>
      <c r="Q147" s="422">
        <v>167.5</v>
      </c>
      <c r="R147" s="278">
        <f t="shared" si="86"/>
        <v>0</v>
      </c>
      <c r="S147" s="272">
        <f>IFERROR(INDEX('Horo. M'!G$3:$G$367,MATCH(A147,'Horo. M'!$A$3:$A$367,0)),"")</f>
        <v>24</v>
      </c>
      <c r="T147" s="422">
        <v>0</v>
      </c>
      <c r="U147" s="422">
        <v>0</v>
      </c>
      <c r="V147" s="272">
        <f t="shared" si="87"/>
        <v>24</v>
      </c>
      <c r="W147" s="274">
        <f t="shared" si="88"/>
        <v>1</v>
      </c>
      <c r="X147" s="275">
        <f t="shared" si="89"/>
        <v>1</v>
      </c>
      <c r="Y147" s="422">
        <v>176.19</v>
      </c>
      <c r="Z147" s="278">
        <f t="shared" si="90"/>
        <v>0</v>
      </c>
      <c r="AA147" s="272">
        <f>IFERROR(INDEX('Horo. M'!$I$3:I$367,MATCH(A147,'Horo. M'!$A$3:$A$367,0)),"")</f>
        <v>0</v>
      </c>
      <c r="AB147" s="422">
        <v>24</v>
      </c>
      <c r="AC147" s="422">
        <v>0</v>
      </c>
      <c r="AD147" s="272">
        <f t="shared" si="91"/>
        <v>0</v>
      </c>
      <c r="AE147" s="274">
        <f t="shared" si="92"/>
        <v>0</v>
      </c>
      <c r="AF147" s="275">
        <f t="shared" si="93"/>
        <v>0</v>
      </c>
      <c r="AG147" s="422">
        <v>0</v>
      </c>
      <c r="AH147" s="272">
        <f t="shared" si="94"/>
        <v>2</v>
      </c>
      <c r="AI147" s="272">
        <f>IFERROR(INDEX('Horo. M'!$K$3:K$367,MATCH(A147,'Horo. M'!$A$3:$A$367,0)),"")</f>
        <v>22</v>
      </c>
      <c r="AJ147" s="422">
        <v>0</v>
      </c>
      <c r="AK147" s="422">
        <v>0</v>
      </c>
      <c r="AL147" s="272">
        <f t="shared" si="95"/>
        <v>24</v>
      </c>
      <c r="AM147" s="274">
        <f t="shared" si="96"/>
        <v>0.91666666666666663</v>
      </c>
      <c r="AN147" s="275">
        <f t="shared" si="97"/>
        <v>1</v>
      </c>
      <c r="AO147" s="422">
        <v>159.62</v>
      </c>
      <c r="AP147" s="272">
        <f t="shared" si="98"/>
        <v>0</v>
      </c>
      <c r="AQ147" s="272">
        <f>IFERROR(INDEX('Horo. M'!$M$3:M$367,MATCH(A147,'Horo. M'!$A$3:$A$367,0)),"")</f>
        <v>24</v>
      </c>
      <c r="AR147" s="422">
        <v>0</v>
      </c>
      <c r="AS147" s="422">
        <v>0</v>
      </c>
      <c r="AT147" s="272">
        <f t="shared" si="99"/>
        <v>24</v>
      </c>
      <c r="AU147" s="274">
        <f t="shared" si="100"/>
        <v>1</v>
      </c>
      <c r="AV147" s="275">
        <f t="shared" si="101"/>
        <v>1</v>
      </c>
      <c r="AW147" s="422">
        <v>177.47</v>
      </c>
      <c r="AX147" s="272">
        <f t="shared" si="102"/>
        <v>0</v>
      </c>
      <c r="AY147" s="272">
        <f>IFERROR(INDEX('Horo. M'!$O$3:O$367,MATCH(A147,'Horo. M'!$A$3:$A$367,0)),"")</f>
        <v>24</v>
      </c>
      <c r="AZ147" s="422">
        <v>0</v>
      </c>
      <c r="BA147" s="422">
        <v>0</v>
      </c>
      <c r="BB147" s="272">
        <f t="shared" si="103"/>
        <v>24</v>
      </c>
      <c r="BC147" s="274">
        <f t="shared" si="104"/>
        <v>1</v>
      </c>
      <c r="BD147" s="275">
        <f t="shared" si="105"/>
        <v>1</v>
      </c>
      <c r="BE147" s="422">
        <v>177.07</v>
      </c>
      <c r="BF147" s="272">
        <f t="shared" si="106"/>
        <v>0</v>
      </c>
      <c r="BG147" s="272">
        <f>IFERROR(INDEX('Horo. M'!$Q$3:Q$367,MATCH(A147,'Horo. M'!$A$3:$A$367,0)),"")</f>
        <v>0</v>
      </c>
      <c r="BH147" s="422">
        <v>24</v>
      </c>
      <c r="BI147" s="422">
        <v>0</v>
      </c>
      <c r="BJ147" s="272">
        <f t="shared" si="107"/>
        <v>0</v>
      </c>
      <c r="BK147" s="274">
        <f t="shared" si="108"/>
        <v>0</v>
      </c>
      <c r="BL147" s="275">
        <f t="shared" si="109"/>
        <v>0</v>
      </c>
      <c r="BM147" s="422">
        <v>0</v>
      </c>
      <c r="BN147" s="272">
        <f t="shared" si="110"/>
        <v>0</v>
      </c>
      <c r="BO147" s="272">
        <f>IFERROR(INDEX('Horo. M'!$S$3:S$367,MATCH(A147,'Horo. M'!$A$3:$A$367,0)),"")</f>
        <v>24</v>
      </c>
      <c r="BP147" s="422">
        <v>0</v>
      </c>
      <c r="BQ147" s="422">
        <v>0</v>
      </c>
      <c r="BR147" s="272">
        <f t="shared" si="111"/>
        <v>24</v>
      </c>
      <c r="BS147" s="274">
        <f t="shared" si="112"/>
        <v>1</v>
      </c>
      <c r="BT147" s="275">
        <f t="shared" si="113"/>
        <v>1</v>
      </c>
      <c r="BU147" s="422">
        <v>178.06</v>
      </c>
      <c r="BV147" s="272">
        <f t="shared" si="114"/>
        <v>0</v>
      </c>
      <c r="BW147" s="272">
        <f>IFERROR(INDEX('Horo. M'!$U$3:U$367,MATCH(A147,'Horo. M'!$A$3:$A$367,0)),"")</f>
        <v>24</v>
      </c>
      <c r="BX147" s="422">
        <v>0</v>
      </c>
      <c r="BY147" s="422">
        <v>0</v>
      </c>
      <c r="BZ147" s="272">
        <f t="shared" si="115"/>
        <v>24</v>
      </c>
      <c r="CA147" s="274">
        <f t="shared" si="116"/>
        <v>1</v>
      </c>
      <c r="CB147" s="275">
        <f t="shared" si="117"/>
        <v>1</v>
      </c>
      <c r="CC147" s="422">
        <v>179.54</v>
      </c>
    </row>
    <row r="148" spans="1:81">
      <c r="A148" s="279">
        <v>45073</v>
      </c>
      <c r="B148" s="278">
        <f t="shared" si="118"/>
        <v>0</v>
      </c>
      <c r="C148" s="272">
        <f>IFERROR(INDEX('Horo. M'!$C$3:$C$367,MATCH(A148,'Horo. M'!$A$3:$A$367,0)),"")</f>
        <v>24</v>
      </c>
      <c r="D148" s="422">
        <v>0</v>
      </c>
      <c r="E148" s="422">
        <v>0</v>
      </c>
      <c r="F148" s="272">
        <f t="shared" si="119"/>
        <v>24</v>
      </c>
      <c r="G148" s="274">
        <f t="shared" si="80"/>
        <v>1</v>
      </c>
      <c r="H148" s="275">
        <f t="shared" si="81"/>
        <v>1</v>
      </c>
      <c r="I148" s="422">
        <v>172.4</v>
      </c>
      <c r="J148" s="278">
        <f t="shared" si="82"/>
        <v>1</v>
      </c>
      <c r="K148" s="272">
        <f>IFERROR(INDEX('Horo. M'!$E$3:$E$367,MATCH(A148,'Horo. M'!$A$3:$A$367,0)),"")</f>
        <v>23</v>
      </c>
      <c r="L148" s="422">
        <v>0</v>
      </c>
      <c r="M148" s="422">
        <v>0</v>
      </c>
      <c r="N148" s="272">
        <f t="shared" si="83"/>
        <v>24</v>
      </c>
      <c r="O148" s="274">
        <f t="shared" si="84"/>
        <v>0.95833333333333337</v>
      </c>
      <c r="P148" s="275">
        <f t="shared" si="85"/>
        <v>1</v>
      </c>
      <c r="Q148" s="422">
        <v>176.4</v>
      </c>
      <c r="R148" s="278">
        <f t="shared" si="86"/>
        <v>0</v>
      </c>
      <c r="S148" s="272">
        <f>IFERROR(INDEX('Horo. M'!G$3:$G$367,MATCH(A148,'Horo. M'!$A$3:$A$367,0)),"")</f>
        <v>24</v>
      </c>
      <c r="T148" s="422">
        <v>0</v>
      </c>
      <c r="U148" s="422">
        <v>0</v>
      </c>
      <c r="V148" s="272">
        <f t="shared" si="87"/>
        <v>24</v>
      </c>
      <c r="W148" s="274">
        <f t="shared" si="88"/>
        <v>1</v>
      </c>
      <c r="X148" s="275">
        <f t="shared" si="89"/>
        <v>1</v>
      </c>
      <c r="Y148" s="422">
        <v>170.76</v>
      </c>
      <c r="Z148" s="278">
        <f t="shared" si="90"/>
        <v>0</v>
      </c>
      <c r="AA148" s="272">
        <f>IFERROR(INDEX('Horo. M'!$I$3:I$367,MATCH(A148,'Horo. M'!$A$3:$A$367,0)),"")</f>
        <v>0</v>
      </c>
      <c r="AB148" s="422">
        <v>24</v>
      </c>
      <c r="AC148" s="422">
        <v>0</v>
      </c>
      <c r="AD148" s="272">
        <f t="shared" si="91"/>
        <v>0</v>
      </c>
      <c r="AE148" s="274">
        <f t="shared" si="92"/>
        <v>0</v>
      </c>
      <c r="AF148" s="275">
        <f t="shared" si="93"/>
        <v>0</v>
      </c>
      <c r="AG148" s="422">
        <v>0</v>
      </c>
      <c r="AH148" s="272">
        <f t="shared" si="94"/>
        <v>0</v>
      </c>
      <c r="AI148" s="272">
        <f>IFERROR(INDEX('Horo. M'!$K$3:K$367,MATCH(A148,'Horo. M'!$A$3:$A$367,0)),"")</f>
        <v>24</v>
      </c>
      <c r="AJ148" s="422">
        <v>0</v>
      </c>
      <c r="AK148" s="422">
        <v>0</v>
      </c>
      <c r="AL148" s="272">
        <f t="shared" si="95"/>
        <v>24</v>
      </c>
      <c r="AM148" s="274">
        <f t="shared" si="96"/>
        <v>1</v>
      </c>
      <c r="AN148" s="275">
        <f t="shared" si="97"/>
        <v>1</v>
      </c>
      <c r="AO148" s="422">
        <v>169.79</v>
      </c>
      <c r="AP148" s="272">
        <f t="shared" si="98"/>
        <v>0</v>
      </c>
      <c r="AQ148" s="272">
        <f>IFERROR(INDEX('Horo. M'!$M$3:M$367,MATCH(A148,'Horo. M'!$A$3:$A$367,0)),"")</f>
        <v>24</v>
      </c>
      <c r="AR148" s="422">
        <v>0</v>
      </c>
      <c r="AS148" s="422">
        <v>0</v>
      </c>
      <c r="AT148" s="272">
        <f t="shared" si="99"/>
        <v>24</v>
      </c>
      <c r="AU148" s="274">
        <f t="shared" si="100"/>
        <v>1</v>
      </c>
      <c r="AV148" s="275">
        <f t="shared" si="101"/>
        <v>1</v>
      </c>
      <c r="AW148" s="422">
        <v>172.92</v>
      </c>
      <c r="AX148" s="272">
        <f t="shared" si="102"/>
        <v>0</v>
      </c>
      <c r="AY148" s="272">
        <f>IFERROR(INDEX('Horo. M'!$O$3:O$367,MATCH(A148,'Horo. M'!$A$3:$A$367,0)),"")</f>
        <v>24</v>
      </c>
      <c r="AZ148" s="422">
        <v>0</v>
      </c>
      <c r="BA148" s="422">
        <v>0</v>
      </c>
      <c r="BB148" s="272">
        <f t="shared" si="103"/>
        <v>24</v>
      </c>
      <c r="BC148" s="274">
        <f t="shared" si="104"/>
        <v>1</v>
      </c>
      <c r="BD148" s="275">
        <f t="shared" si="105"/>
        <v>1</v>
      </c>
      <c r="BE148" s="422">
        <v>175.68</v>
      </c>
      <c r="BF148" s="272">
        <f t="shared" si="106"/>
        <v>0</v>
      </c>
      <c r="BG148" s="272">
        <f>IFERROR(INDEX('Horo. M'!$Q$3:Q$367,MATCH(A148,'Horo. M'!$A$3:$A$367,0)),"")</f>
        <v>0</v>
      </c>
      <c r="BH148" s="422">
        <v>24</v>
      </c>
      <c r="BI148" s="422">
        <v>0</v>
      </c>
      <c r="BJ148" s="272">
        <f t="shared" si="107"/>
        <v>0</v>
      </c>
      <c r="BK148" s="274">
        <f t="shared" si="108"/>
        <v>0</v>
      </c>
      <c r="BL148" s="275">
        <f t="shared" si="109"/>
        <v>0</v>
      </c>
      <c r="BM148" s="422">
        <v>0</v>
      </c>
      <c r="BN148" s="272">
        <f t="shared" si="110"/>
        <v>0</v>
      </c>
      <c r="BO148" s="272">
        <f>IFERROR(INDEX('Horo. M'!$S$3:S$367,MATCH(A148,'Horo. M'!$A$3:$A$367,0)),"")</f>
        <v>24</v>
      </c>
      <c r="BP148" s="422">
        <v>0</v>
      </c>
      <c r="BQ148" s="422">
        <v>0</v>
      </c>
      <c r="BR148" s="272">
        <f t="shared" si="111"/>
        <v>24</v>
      </c>
      <c r="BS148" s="274">
        <f t="shared" si="112"/>
        <v>1</v>
      </c>
      <c r="BT148" s="275">
        <f t="shared" si="113"/>
        <v>1</v>
      </c>
      <c r="BU148" s="422">
        <v>172.93</v>
      </c>
      <c r="BV148" s="272">
        <f t="shared" si="114"/>
        <v>0</v>
      </c>
      <c r="BW148" s="272">
        <f>IFERROR(INDEX('Horo. M'!$U$3:U$367,MATCH(A148,'Horo. M'!$A$3:$A$367,0)),"")</f>
        <v>24</v>
      </c>
      <c r="BX148" s="422">
        <v>0</v>
      </c>
      <c r="BY148" s="422">
        <v>0</v>
      </c>
      <c r="BZ148" s="272">
        <f t="shared" si="115"/>
        <v>24</v>
      </c>
      <c r="CA148" s="274">
        <f t="shared" si="116"/>
        <v>1</v>
      </c>
      <c r="CB148" s="275">
        <f t="shared" si="117"/>
        <v>1</v>
      </c>
      <c r="CC148" s="422">
        <v>174.77</v>
      </c>
    </row>
    <row r="149" spans="1:81">
      <c r="A149" s="279">
        <v>45074</v>
      </c>
      <c r="B149" s="278">
        <f t="shared" si="118"/>
        <v>0</v>
      </c>
      <c r="C149" s="272">
        <f>IFERROR(INDEX('Horo. M'!$C$3:$C$367,MATCH(A149,'Horo. M'!$A$3:$A$367,0)),"")</f>
        <v>24</v>
      </c>
      <c r="D149" s="422">
        <v>0</v>
      </c>
      <c r="E149" s="422">
        <v>0</v>
      </c>
      <c r="F149" s="272">
        <f t="shared" si="119"/>
        <v>24</v>
      </c>
      <c r="G149" s="274">
        <f t="shared" si="80"/>
        <v>1</v>
      </c>
      <c r="H149" s="275">
        <f t="shared" si="81"/>
        <v>1</v>
      </c>
      <c r="I149" s="422">
        <v>165.9</v>
      </c>
      <c r="J149" s="278">
        <f t="shared" si="82"/>
        <v>0</v>
      </c>
      <c r="K149" s="272">
        <f>IFERROR(INDEX('Horo. M'!$E$3:$E$367,MATCH(A149,'Horo. M'!$A$3:$A$367,0)),"")</f>
        <v>24</v>
      </c>
      <c r="L149" s="422">
        <v>0</v>
      </c>
      <c r="M149" s="422">
        <v>0</v>
      </c>
      <c r="N149" s="272">
        <f t="shared" si="83"/>
        <v>24</v>
      </c>
      <c r="O149" s="274">
        <f t="shared" si="84"/>
        <v>1</v>
      </c>
      <c r="P149" s="275">
        <f t="shared" si="85"/>
        <v>1</v>
      </c>
      <c r="Q149" s="422">
        <v>169.5</v>
      </c>
      <c r="R149" s="278">
        <f t="shared" si="86"/>
        <v>0</v>
      </c>
      <c r="S149" s="272">
        <f>IFERROR(INDEX('Horo. M'!G$3:$G$367,MATCH(A149,'Horo. M'!$A$3:$A$367,0)),"")</f>
        <v>24</v>
      </c>
      <c r="T149" s="422">
        <v>0</v>
      </c>
      <c r="U149" s="422">
        <v>0</v>
      </c>
      <c r="V149" s="272">
        <f t="shared" si="87"/>
        <v>24</v>
      </c>
      <c r="W149" s="274">
        <f t="shared" si="88"/>
        <v>1</v>
      </c>
      <c r="X149" s="275">
        <f t="shared" si="89"/>
        <v>1</v>
      </c>
      <c r="Y149" s="422">
        <v>171.24</v>
      </c>
      <c r="Z149" s="278">
        <f t="shared" si="90"/>
        <v>0</v>
      </c>
      <c r="AA149" s="272">
        <f>IFERROR(INDEX('Horo. M'!$I$3:I$367,MATCH(A149,'Horo. M'!$A$3:$A$367,0)),"")</f>
        <v>0</v>
      </c>
      <c r="AB149" s="422">
        <v>24</v>
      </c>
      <c r="AC149" s="422">
        <v>0</v>
      </c>
      <c r="AD149" s="272">
        <f t="shared" si="91"/>
        <v>0</v>
      </c>
      <c r="AE149" s="274">
        <f t="shared" si="92"/>
        <v>0</v>
      </c>
      <c r="AF149" s="275">
        <f t="shared" si="93"/>
        <v>0</v>
      </c>
      <c r="AG149" s="422">
        <v>0</v>
      </c>
      <c r="AH149" s="272">
        <f t="shared" si="94"/>
        <v>0</v>
      </c>
      <c r="AI149" s="272">
        <f>IFERROR(INDEX('Horo. M'!$K$3:K$367,MATCH(A149,'Horo. M'!$A$3:$A$367,0)),"")</f>
        <v>24</v>
      </c>
      <c r="AJ149" s="422">
        <v>0</v>
      </c>
      <c r="AK149" s="422">
        <v>0</v>
      </c>
      <c r="AL149" s="272">
        <f t="shared" si="95"/>
        <v>24</v>
      </c>
      <c r="AM149" s="274">
        <f t="shared" si="96"/>
        <v>1</v>
      </c>
      <c r="AN149" s="275">
        <f t="shared" si="97"/>
        <v>1</v>
      </c>
      <c r="AO149" s="422">
        <v>173.14</v>
      </c>
      <c r="AP149" s="272">
        <f t="shared" si="98"/>
        <v>0</v>
      </c>
      <c r="AQ149" s="272">
        <f>IFERROR(INDEX('Horo. M'!$M$3:M$367,MATCH(A149,'Horo. M'!$A$3:$A$367,0)),"")</f>
        <v>24</v>
      </c>
      <c r="AR149" s="422">
        <v>0</v>
      </c>
      <c r="AS149" s="422">
        <v>0</v>
      </c>
      <c r="AT149" s="272">
        <f t="shared" si="99"/>
        <v>24</v>
      </c>
      <c r="AU149" s="274">
        <f t="shared" si="100"/>
        <v>1</v>
      </c>
      <c r="AV149" s="275">
        <f t="shared" si="101"/>
        <v>1</v>
      </c>
      <c r="AW149" s="422">
        <v>172.69</v>
      </c>
      <c r="AX149" s="272">
        <f t="shared" si="102"/>
        <v>0</v>
      </c>
      <c r="AY149" s="272">
        <f>IFERROR(INDEX('Horo. M'!$O$3:O$367,MATCH(A149,'Horo. M'!$A$3:$A$367,0)),"")</f>
        <v>24</v>
      </c>
      <c r="AZ149" s="422">
        <v>0</v>
      </c>
      <c r="BA149" s="422">
        <v>0</v>
      </c>
      <c r="BB149" s="272">
        <f t="shared" si="103"/>
        <v>24</v>
      </c>
      <c r="BC149" s="274">
        <f t="shared" si="104"/>
        <v>1</v>
      </c>
      <c r="BD149" s="275">
        <f t="shared" si="105"/>
        <v>1</v>
      </c>
      <c r="BE149" s="422">
        <v>174.68</v>
      </c>
      <c r="BF149" s="272">
        <f t="shared" si="106"/>
        <v>0</v>
      </c>
      <c r="BG149" s="272">
        <f>IFERROR(INDEX('Horo. M'!$Q$3:Q$367,MATCH(A149,'Horo. M'!$A$3:$A$367,0)),"")</f>
        <v>0</v>
      </c>
      <c r="BH149" s="422">
        <v>24</v>
      </c>
      <c r="BI149" s="422">
        <v>0</v>
      </c>
      <c r="BJ149" s="272">
        <f t="shared" si="107"/>
        <v>0</v>
      </c>
      <c r="BK149" s="274">
        <f t="shared" si="108"/>
        <v>0</v>
      </c>
      <c r="BL149" s="275">
        <f t="shared" si="109"/>
        <v>0</v>
      </c>
      <c r="BM149" s="422">
        <v>0</v>
      </c>
      <c r="BN149" s="272">
        <f t="shared" si="110"/>
        <v>0</v>
      </c>
      <c r="BO149" s="272">
        <f>IFERROR(INDEX('Horo. M'!$S$3:S$367,MATCH(A149,'Horo. M'!$A$3:$A$367,0)),"")</f>
        <v>24</v>
      </c>
      <c r="BP149" s="422">
        <v>0</v>
      </c>
      <c r="BQ149" s="422">
        <v>0</v>
      </c>
      <c r="BR149" s="272">
        <f t="shared" si="111"/>
        <v>24</v>
      </c>
      <c r="BS149" s="274">
        <f t="shared" si="112"/>
        <v>1</v>
      </c>
      <c r="BT149" s="275">
        <f t="shared" si="113"/>
        <v>1</v>
      </c>
      <c r="BU149" s="422">
        <v>172.15</v>
      </c>
      <c r="BV149" s="272">
        <f t="shared" si="114"/>
        <v>0</v>
      </c>
      <c r="BW149" s="272">
        <f>IFERROR(INDEX('Horo. M'!$U$3:U$367,MATCH(A149,'Horo. M'!$A$3:$A$367,0)),"")</f>
        <v>24</v>
      </c>
      <c r="BX149" s="422">
        <v>0</v>
      </c>
      <c r="BY149" s="422">
        <v>0</v>
      </c>
      <c r="BZ149" s="272">
        <f t="shared" si="115"/>
        <v>24</v>
      </c>
      <c r="CA149" s="274">
        <f t="shared" si="116"/>
        <v>1</v>
      </c>
      <c r="CB149" s="275">
        <f t="shared" si="117"/>
        <v>1</v>
      </c>
      <c r="CC149" s="422">
        <v>173.72</v>
      </c>
    </row>
    <row r="150" spans="1:81">
      <c r="A150" s="279">
        <v>45075</v>
      </c>
      <c r="B150" s="278">
        <f t="shared" si="118"/>
        <v>0</v>
      </c>
      <c r="C150" s="272">
        <f>IFERROR(INDEX('Horo. M'!$C$3:$C$367,MATCH(A150,'Horo. M'!$A$3:$A$367,0)),"")</f>
        <v>24</v>
      </c>
      <c r="D150" s="422">
        <v>0</v>
      </c>
      <c r="E150" s="422">
        <v>0</v>
      </c>
      <c r="F150" s="272">
        <f t="shared" si="119"/>
        <v>24</v>
      </c>
      <c r="G150" s="274">
        <f t="shared" si="80"/>
        <v>1</v>
      </c>
      <c r="H150" s="275">
        <f t="shared" si="81"/>
        <v>1</v>
      </c>
      <c r="I150" s="422">
        <v>178.3</v>
      </c>
      <c r="J150" s="278">
        <f t="shared" si="82"/>
        <v>0</v>
      </c>
      <c r="K150" s="272">
        <f>IFERROR(INDEX('Horo. M'!$E$3:$E$367,MATCH(A150,'Horo. M'!$A$3:$A$367,0)),"")</f>
        <v>24</v>
      </c>
      <c r="L150" s="422">
        <v>0</v>
      </c>
      <c r="M150" s="422">
        <v>0</v>
      </c>
      <c r="N150" s="272">
        <f t="shared" si="83"/>
        <v>24</v>
      </c>
      <c r="O150" s="274">
        <f t="shared" si="84"/>
        <v>1</v>
      </c>
      <c r="P150" s="275">
        <f t="shared" si="85"/>
        <v>1</v>
      </c>
      <c r="Q150" s="422">
        <v>177</v>
      </c>
      <c r="R150" s="278">
        <f t="shared" si="86"/>
        <v>0</v>
      </c>
      <c r="S150" s="272">
        <f>IFERROR(INDEX('Horo. M'!G$3:$G$367,MATCH(A150,'Horo. M'!$A$3:$A$367,0)),"")</f>
        <v>24</v>
      </c>
      <c r="T150" s="422">
        <v>0</v>
      </c>
      <c r="U150" s="422">
        <v>0</v>
      </c>
      <c r="V150" s="272">
        <f t="shared" si="87"/>
        <v>24</v>
      </c>
      <c r="W150" s="274">
        <f t="shared" si="88"/>
        <v>1</v>
      </c>
      <c r="X150" s="275">
        <f t="shared" si="89"/>
        <v>1</v>
      </c>
      <c r="Y150" s="422">
        <v>176.44</v>
      </c>
      <c r="Z150" s="278">
        <f t="shared" si="90"/>
        <v>0</v>
      </c>
      <c r="AA150" s="272">
        <f>IFERROR(INDEX('Horo. M'!$I$3:I$367,MATCH(A150,'Horo. M'!$A$3:$A$367,0)),"")</f>
        <v>0</v>
      </c>
      <c r="AB150" s="422">
        <v>24</v>
      </c>
      <c r="AC150" s="422">
        <v>0</v>
      </c>
      <c r="AD150" s="272">
        <f t="shared" si="91"/>
        <v>0</v>
      </c>
      <c r="AE150" s="274">
        <f t="shared" si="92"/>
        <v>0</v>
      </c>
      <c r="AF150" s="275">
        <f t="shared" si="93"/>
        <v>0</v>
      </c>
      <c r="AG150" s="422">
        <v>0</v>
      </c>
      <c r="AH150" s="272">
        <f t="shared" si="94"/>
        <v>0</v>
      </c>
      <c r="AI150" s="272">
        <f>IFERROR(INDEX('Horo. M'!$K$3:K$367,MATCH(A150,'Horo. M'!$A$3:$A$367,0)),"")</f>
        <v>24</v>
      </c>
      <c r="AJ150" s="422">
        <v>0</v>
      </c>
      <c r="AK150" s="422">
        <v>0</v>
      </c>
      <c r="AL150" s="272">
        <f t="shared" si="95"/>
        <v>24</v>
      </c>
      <c r="AM150" s="274">
        <f t="shared" si="96"/>
        <v>1</v>
      </c>
      <c r="AN150" s="275">
        <f t="shared" si="97"/>
        <v>1</v>
      </c>
      <c r="AO150" s="422">
        <v>178.06</v>
      </c>
      <c r="AP150" s="272">
        <f t="shared" si="98"/>
        <v>0</v>
      </c>
      <c r="AQ150" s="272">
        <f>IFERROR(INDEX('Horo. M'!$M$3:M$367,MATCH(A150,'Horo. M'!$A$3:$A$367,0)),"")</f>
        <v>21</v>
      </c>
      <c r="AR150" s="422">
        <v>3</v>
      </c>
      <c r="AS150" s="422">
        <v>0</v>
      </c>
      <c r="AT150" s="272">
        <f t="shared" si="99"/>
        <v>21</v>
      </c>
      <c r="AU150" s="274">
        <f t="shared" si="100"/>
        <v>0.875</v>
      </c>
      <c r="AV150" s="275">
        <f t="shared" si="101"/>
        <v>0.875</v>
      </c>
      <c r="AW150" s="422">
        <v>152.08000000000001</v>
      </c>
      <c r="AX150" s="272">
        <f t="shared" si="102"/>
        <v>0</v>
      </c>
      <c r="AY150" s="272">
        <f>IFERROR(INDEX('Horo. M'!$O$3:O$367,MATCH(A150,'Horo. M'!$A$3:$A$367,0)),"")</f>
        <v>24</v>
      </c>
      <c r="AZ150" s="422">
        <v>0</v>
      </c>
      <c r="BA150" s="422">
        <v>0</v>
      </c>
      <c r="BB150" s="272">
        <f t="shared" si="103"/>
        <v>24</v>
      </c>
      <c r="BC150" s="274">
        <f t="shared" si="104"/>
        <v>1</v>
      </c>
      <c r="BD150" s="275">
        <f t="shared" si="105"/>
        <v>1</v>
      </c>
      <c r="BE150" s="422">
        <v>177.3</v>
      </c>
      <c r="BF150" s="272">
        <f t="shared" si="106"/>
        <v>0</v>
      </c>
      <c r="BG150" s="272">
        <f>IFERROR(INDEX('Horo. M'!$Q$3:Q$367,MATCH(A150,'Horo. M'!$A$3:$A$367,0)),"")</f>
        <v>0</v>
      </c>
      <c r="BH150" s="422">
        <v>24</v>
      </c>
      <c r="BI150" s="422">
        <v>0</v>
      </c>
      <c r="BJ150" s="272">
        <f t="shared" si="107"/>
        <v>0</v>
      </c>
      <c r="BK150" s="274">
        <f t="shared" si="108"/>
        <v>0</v>
      </c>
      <c r="BL150" s="275">
        <f t="shared" si="109"/>
        <v>0</v>
      </c>
      <c r="BM150" s="422">
        <v>0</v>
      </c>
      <c r="BN150" s="272">
        <f t="shared" si="110"/>
        <v>0</v>
      </c>
      <c r="BO150" s="272">
        <f>IFERROR(INDEX('Horo. M'!$S$3:S$367,MATCH(A150,'Horo. M'!$A$3:$A$367,0)),"")</f>
        <v>24</v>
      </c>
      <c r="BP150" s="422">
        <v>0</v>
      </c>
      <c r="BQ150" s="422">
        <v>0</v>
      </c>
      <c r="BR150" s="272">
        <f t="shared" si="111"/>
        <v>24</v>
      </c>
      <c r="BS150" s="274">
        <f t="shared" si="112"/>
        <v>1</v>
      </c>
      <c r="BT150" s="275">
        <f t="shared" si="113"/>
        <v>1</v>
      </c>
      <c r="BU150" s="422">
        <v>178.68</v>
      </c>
      <c r="BV150" s="272">
        <f t="shared" si="114"/>
        <v>0</v>
      </c>
      <c r="BW150" s="272">
        <f>IFERROR(INDEX('Horo. M'!$U$3:U$367,MATCH(A150,'Horo. M'!$A$3:$A$367,0)),"")</f>
        <v>24</v>
      </c>
      <c r="BX150" s="422">
        <v>0</v>
      </c>
      <c r="BY150" s="422">
        <v>0</v>
      </c>
      <c r="BZ150" s="272">
        <f t="shared" si="115"/>
        <v>24</v>
      </c>
      <c r="CA150" s="274">
        <f t="shared" si="116"/>
        <v>1</v>
      </c>
      <c r="CB150" s="275">
        <f t="shared" si="117"/>
        <v>1</v>
      </c>
      <c r="CC150" s="422">
        <v>177.94</v>
      </c>
    </row>
    <row r="151" spans="1:81">
      <c r="A151" s="279">
        <v>45076</v>
      </c>
      <c r="B151" s="278">
        <f t="shared" si="118"/>
        <v>0</v>
      </c>
      <c r="C151" s="272">
        <f>IFERROR(INDEX('Horo. M'!$C$3:$C$367,MATCH(A151,'Horo. M'!$A$3:$A$367,0)),"")</f>
        <v>24</v>
      </c>
      <c r="D151" s="422">
        <v>0</v>
      </c>
      <c r="E151" s="422">
        <v>0</v>
      </c>
      <c r="F151" s="272">
        <f t="shared" si="119"/>
        <v>24</v>
      </c>
      <c r="G151" s="274">
        <f t="shared" si="80"/>
        <v>1</v>
      </c>
      <c r="H151" s="275">
        <f t="shared" si="81"/>
        <v>1</v>
      </c>
      <c r="I151" s="422">
        <v>177.5</v>
      </c>
      <c r="J151" s="278">
        <f t="shared" si="82"/>
        <v>0</v>
      </c>
      <c r="K151" s="272">
        <f>IFERROR(INDEX('Horo. M'!$E$3:$E$367,MATCH(A151,'Horo. M'!$A$3:$A$367,0)),"")</f>
        <v>24</v>
      </c>
      <c r="L151" s="422">
        <v>0</v>
      </c>
      <c r="M151" s="422">
        <v>0</v>
      </c>
      <c r="N151" s="272">
        <f t="shared" si="83"/>
        <v>24</v>
      </c>
      <c r="O151" s="274">
        <f t="shared" si="84"/>
        <v>1</v>
      </c>
      <c r="P151" s="275">
        <f t="shared" si="85"/>
        <v>1</v>
      </c>
      <c r="Q151" s="422">
        <v>175.4</v>
      </c>
      <c r="R151" s="278">
        <f t="shared" si="86"/>
        <v>0</v>
      </c>
      <c r="S151" s="272">
        <f>IFERROR(INDEX('Horo. M'!G$3:$G$367,MATCH(A151,'Horo. M'!$A$3:$A$367,0)),"")</f>
        <v>24</v>
      </c>
      <c r="T151" s="422">
        <v>0</v>
      </c>
      <c r="U151" s="422">
        <v>0</v>
      </c>
      <c r="V151" s="272">
        <f t="shared" si="87"/>
        <v>24</v>
      </c>
      <c r="W151" s="274">
        <f t="shared" si="88"/>
        <v>1</v>
      </c>
      <c r="X151" s="275">
        <f t="shared" si="89"/>
        <v>1</v>
      </c>
      <c r="Y151" s="422">
        <v>175.49</v>
      </c>
      <c r="Z151" s="278">
        <f t="shared" si="90"/>
        <v>0</v>
      </c>
      <c r="AA151" s="272">
        <f>IFERROR(INDEX('Horo. M'!$I$3:I$367,MATCH(A151,'Horo. M'!$A$3:$A$367,0)),"")</f>
        <v>0</v>
      </c>
      <c r="AB151" s="422">
        <v>24</v>
      </c>
      <c r="AC151" s="422">
        <v>0</v>
      </c>
      <c r="AD151" s="272">
        <f t="shared" si="91"/>
        <v>0</v>
      </c>
      <c r="AE151" s="274">
        <f t="shared" si="92"/>
        <v>0</v>
      </c>
      <c r="AF151" s="275">
        <f t="shared" si="93"/>
        <v>0</v>
      </c>
      <c r="AG151" s="422">
        <v>0</v>
      </c>
      <c r="AH151" s="272">
        <f t="shared" si="94"/>
        <v>0</v>
      </c>
      <c r="AI151" s="272">
        <f>IFERROR(INDEX('Horo. M'!$K$3:K$367,MATCH(A151,'Horo. M'!$A$3:$A$367,0)),"")</f>
        <v>24</v>
      </c>
      <c r="AJ151" s="422">
        <v>0</v>
      </c>
      <c r="AK151" s="422">
        <v>0</v>
      </c>
      <c r="AL151" s="272">
        <f t="shared" si="95"/>
        <v>24</v>
      </c>
      <c r="AM151" s="274">
        <f t="shared" si="96"/>
        <v>1</v>
      </c>
      <c r="AN151" s="275">
        <f t="shared" si="97"/>
        <v>1</v>
      </c>
      <c r="AO151" s="422">
        <v>178.23</v>
      </c>
      <c r="AP151" s="272">
        <f t="shared" si="98"/>
        <v>0</v>
      </c>
      <c r="AQ151" s="272">
        <f>IFERROR(INDEX('Horo. M'!$M$3:M$367,MATCH(A151,'Horo. M'!$A$3:$A$367,0)),"")</f>
        <v>24</v>
      </c>
      <c r="AR151" s="422">
        <v>0</v>
      </c>
      <c r="AS151" s="422">
        <v>0</v>
      </c>
      <c r="AT151" s="272">
        <f t="shared" si="99"/>
        <v>24</v>
      </c>
      <c r="AU151" s="274">
        <f t="shared" si="100"/>
        <v>1</v>
      </c>
      <c r="AV151" s="275">
        <f t="shared" si="101"/>
        <v>1</v>
      </c>
      <c r="AW151" s="422">
        <v>176.1</v>
      </c>
      <c r="AX151" s="272">
        <f t="shared" si="102"/>
        <v>0</v>
      </c>
      <c r="AY151" s="272">
        <f>IFERROR(INDEX('Horo. M'!$O$3:O$367,MATCH(A151,'Horo. M'!$A$3:$A$367,0)),"")</f>
        <v>24</v>
      </c>
      <c r="AZ151" s="422">
        <v>0</v>
      </c>
      <c r="BA151" s="422">
        <v>0</v>
      </c>
      <c r="BB151" s="272">
        <f t="shared" si="103"/>
        <v>24</v>
      </c>
      <c r="BC151" s="274">
        <f t="shared" si="104"/>
        <v>1</v>
      </c>
      <c r="BD151" s="275">
        <f t="shared" si="105"/>
        <v>1</v>
      </c>
      <c r="BE151" s="422">
        <v>177.5</v>
      </c>
      <c r="BF151" s="272">
        <f t="shared" si="106"/>
        <v>0</v>
      </c>
      <c r="BG151" s="272">
        <f>IFERROR(INDEX('Horo. M'!$Q$3:Q$367,MATCH(A151,'Horo. M'!$A$3:$A$367,0)),"")</f>
        <v>0</v>
      </c>
      <c r="BH151" s="422">
        <v>24</v>
      </c>
      <c r="BI151" s="422">
        <v>0</v>
      </c>
      <c r="BJ151" s="272">
        <f t="shared" si="107"/>
        <v>0</v>
      </c>
      <c r="BK151" s="274">
        <f t="shared" si="108"/>
        <v>0</v>
      </c>
      <c r="BL151" s="275">
        <f t="shared" si="109"/>
        <v>0</v>
      </c>
      <c r="BM151" s="422">
        <v>0</v>
      </c>
      <c r="BN151" s="272">
        <f t="shared" si="110"/>
        <v>0</v>
      </c>
      <c r="BO151" s="272">
        <f>IFERROR(INDEX('Horo. M'!$S$3:S$367,MATCH(A151,'Horo. M'!$A$3:$A$367,0)),"")</f>
        <v>22</v>
      </c>
      <c r="BP151" s="422">
        <v>2</v>
      </c>
      <c r="BQ151" s="422">
        <v>0</v>
      </c>
      <c r="BR151" s="272">
        <f t="shared" si="111"/>
        <v>22</v>
      </c>
      <c r="BS151" s="274">
        <f t="shared" si="112"/>
        <v>0.91666666666666663</v>
      </c>
      <c r="BT151" s="275">
        <f t="shared" si="113"/>
        <v>0.91666666666666663</v>
      </c>
      <c r="BU151" s="422">
        <v>154.07</v>
      </c>
      <c r="BV151" s="272">
        <f t="shared" si="114"/>
        <v>0</v>
      </c>
      <c r="BW151" s="272">
        <f>IFERROR(INDEX('Horo. M'!$U$3:U$367,MATCH(A151,'Horo. M'!$A$3:$A$367,0)),"")</f>
        <v>24</v>
      </c>
      <c r="BX151" s="422">
        <v>0</v>
      </c>
      <c r="BY151" s="422">
        <v>0</v>
      </c>
      <c r="BZ151" s="272">
        <f t="shared" si="115"/>
        <v>24</v>
      </c>
      <c r="CA151" s="274">
        <f t="shared" si="116"/>
        <v>1</v>
      </c>
      <c r="CB151" s="275">
        <f t="shared" si="117"/>
        <v>1</v>
      </c>
      <c r="CC151" s="422">
        <v>177.79</v>
      </c>
    </row>
    <row r="152" spans="1:81">
      <c r="A152" s="279">
        <v>45077</v>
      </c>
      <c r="B152" s="278">
        <f t="shared" si="118"/>
        <v>0</v>
      </c>
      <c r="C152" s="272">
        <f>IFERROR(INDEX('Horo. M'!$C$3:$C$367,MATCH(A152,'Horo. M'!$A$3:$A$367,0)),"")</f>
        <v>24</v>
      </c>
      <c r="D152" s="422">
        <v>0</v>
      </c>
      <c r="E152" s="422">
        <v>0</v>
      </c>
      <c r="F152" s="272">
        <f t="shared" si="119"/>
        <v>24</v>
      </c>
      <c r="G152" s="274">
        <f t="shared" si="80"/>
        <v>1</v>
      </c>
      <c r="H152" s="275">
        <f t="shared" si="81"/>
        <v>1</v>
      </c>
      <c r="I152" s="422">
        <v>176.8</v>
      </c>
      <c r="J152" s="278">
        <f t="shared" si="82"/>
        <v>0</v>
      </c>
      <c r="K152" s="272">
        <f>IFERROR(INDEX('Horo. M'!$E$3:$E$367,MATCH(A152,'Horo. M'!$A$3:$A$367,0)),"")</f>
        <v>24</v>
      </c>
      <c r="L152" s="422">
        <v>0</v>
      </c>
      <c r="M152" s="422">
        <v>0</v>
      </c>
      <c r="N152" s="272">
        <f t="shared" si="83"/>
        <v>24</v>
      </c>
      <c r="O152" s="274">
        <f t="shared" si="84"/>
        <v>1</v>
      </c>
      <c r="P152" s="275">
        <f t="shared" si="85"/>
        <v>1</v>
      </c>
      <c r="Q152" s="422">
        <v>176</v>
      </c>
      <c r="R152" s="278">
        <f t="shared" si="86"/>
        <v>0</v>
      </c>
      <c r="S152" s="272">
        <f>IFERROR(INDEX('Horo. M'!G$3:$G$367,MATCH(A152,'Horo. M'!$A$3:$A$367,0)),"")</f>
        <v>20</v>
      </c>
      <c r="T152" s="422">
        <v>4</v>
      </c>
      <c r="U152" s="422">
        <v>0</v>
      </c>
      <c r="V152" s="272">
        <f t="shared" si="87"/>
        <v>20</v>
      </c>
      <c r="W152" s="274">
        <f t="shared" si="88"/>
        <v>0.83333333333333337</v>
      </c>
      <c r="X152" s="275">
        <f t="shared" si="89"/>
        <v>0.83333333333333337</v>
      </c>
      <c r="Y152" s="422">
        <v>142.96</v>
      </c>
      <c r="Z152" s="278">
        <f t="shared" si="90"/>
        <v>0</v>
      </c>
      <c r="AA152" s="272">
        <f>IFERROR(INDEX('Horo. M'!$I$3:I$367,MATCH(A152,'Horo. M'!$A$3:$A$367,0)),"")</f>
        <v>0</v>
      </c>
      <c r="AB152" s="422">
        <v>24</v>
      </c>
      <c r="AC152" s="422">
        <v>0</v>
      </c>
      <c r="AD152" s="272">
        <f t="shared" si="91"/>
        <v>0</v>
      </c>
      <c r="AE152" s="274">
        <f t="shared" si="92"/>
        <v>0</v>
      </c>
      <c r="AF152" s="275">
        <f t="shared" si="93"/>
        <v>0</v>
      </c>
      <c r="AG152" s="422">
        <v>0</v>
      </c>
      <c r="AH152" s="272">
        <f t="shared" si="94"/>
        <v>0</v>
      </c>
      <c r="AI152" s="272">
        <f>IFERROR(INDEX('Horo. M'!$K$3:K$367,MATCH(A152,'Horo. M'!$A$3:$A$367,0)),"")</f>
        <v>24</v>
      </c>
      <c r="AJ152" s="422">
        <v>0</v>
      </c>
      <c r="AK152" s="422">
        <v>0</v>
      </c>
      <c r="AL152" s="272">
        <f t="shared" si="95"/>
        <v>24</v>
      </c>
      <c r="AM152" s="274">
        <f t="shared" si="96"/>
        <v>1</v>
      </c>
      <c r="AN152" s="275">
        <f t="shared" si="97"/>
        <v>1</v>
      </c>
      <c r="AO152" s="422">
        <v>177.59</v>
      </c>
      <c r="AP152" s="272">
        <f t="shared" si="98"/>
        <v>0</v>
      </c>
      <c r="AQ152" s="272">
        <f>IFERROR(INDEX('Horo. M'!$M$3:M$367,MATCH(A152,'Horo. M'!$A$3:$A$367,0)),"")</f>
        <v>24</v>
      </c>
      <c r="AR152" s="422">
        <v>0</v>
      </c>
      <c r="AS152" s="422">
        <v>0</v>
      </c>
      <c r="AT152" s="272">
        <f t="shared" si="99"/>
        <v>24</v>
      </c>
      <c r="AU152" s="274">
        <f t="shared" si="100"/>
        <v>1</v>
      </c>
      <c r="AV152" s="275">
        <f t="shared" si="101"/>
        <v>1</v>
      </c>
      <c r="AW152" s="422">
        <v>175.46</v>
      </c>
      <c r="AX152" s="272">
        <f t="shared" si="102"/>
        <v>0</v>
      </c>
      <c r="AY152" s="272">
        <f>IFERROR(INDEX('Horo. M'!$O$3:O$367,MATCH(A152,'Horo. M'!$A$3:$A$367,0)),"")</f>
        <v>24</v>
      </c>
      <c r="AZ152" s="422">
        <v>0</v>
      </c>
      <c r="BA152" s="422">
        <v>0</v>
      </c>
      <c r="BB152" s="272">
        <f t="shared" si="103"/>
        <v>24</v>
      </c>
      <c r="BC152" s="274">
        <f t="shared" si="104"/>
        <v>1</v>
      </c>
      <c r="BD152" s="275">
        <f t="shared" si="105"/>
        <v>1</v>
      </c>
      <c r="BE152" s="422">
        <v>177.55</v>
      </c>
      <c r="BF152" s="272">
        <f t="shared" si="106"/>
        <v>0</v>
      </c>
      <c r="BG152" s="272">
        <f>IFERROR(INDEX('Horo. M'!$Q$3:Q$367,MATCH(A152,'Horo. M'!$A$3:$A$367,0)),"")</f>
        <v>0</v>
      </c>
      <c r="BH152" s="422">
        <v>24</v>
      </c>
      <c r="BI152" s="422">
        <v>0</v>
      </c>
      <c r="BJ152" s="272">
        <f t="shared" si="107"/>
        <v>0</v>
      </c>
      <c r="BK152" s="274">
        <f t="shared" si="108"/>
        <v>0</v>
      </c>
      <c r="BL152" s="275">
        <f t="shared" si="109"/>
        <v>0</v>
      </c>
      <c r="BM152" s="422">
        <v>0</v>
      </c>
      <c r="BN152" s="272">
        <f t="shared" si="110"/>
        <v>0</v>
      </c>
      <c r="BO152" s="272">
        <f>IFERROR(INDEX('Horo. M'!$S$3:S$367,MATCH(A152,'Horo. M'!$A$3:$A$367,0)),"")</f>
        <v>24</v>
      </c>
      <c r="BP152" s="422">
        <v>0</v>
      </c>
      <c r="BQ152" s="422">
        <v>0</v>
      </c>
      <c r="BR152" s="272">
        <f t="shared" si="111"/>
        <v>24</v>
      </c>
      <c r="BS152" s="274">
        <f t="shared" si="112"/>
        <v>1</v>
      </c>
      <c r="BT152" s="275">
        <f t="shared" si="113"/>
        <v>1</v>
      </c>
      <c r="BU152" s="422">
        <v>175.67</v>
      </c>
      <c r="BV152" s="272">
        <f t="shared" si="114"/>
        <v>0</v>
      </c>
      <c r="BW152" s="272">
        <f>IFERROR(INDEX('Horo. M'!$U$3:U$367,MATCH(A152,'Horo. M'!$A$3:$A$367,0)),"")</f>
        <v>24</v>
      </c>
      <c r="BX152" s="422">
        <v>0</v>
      </c>
      <c r="BY152" s="422">
        <v>0</v>
      </c>
      <c r="BZ152" s="272">
        <f t="shared" si="115"/>
        <v>24</v>
      </c>
      <c r="CA152" s="274">
        <f t="shared" si="116"/>
        <v>1</v>
      </c>
      <c r="CB152" s="275">
        <f t="shared" si="117"/>
        <v>1</v>
      </c>
      <c r="CC152" s="422">
        <v>176.35</v>
      </c>
    </row>
    <row r="153" spans="1:81">
      <c r="A153" s="424">
        <v>45078</v>
      </c>
      <c r="B153" s="278">
        <f t="shared" si="118"/>
        <v>0</v>
      </c>
      <c r="C153" s="272">
        <f>IFERROR(INDEX('Horo. M'!$C$3:$C$367,MATCH(A153,'Horo. M'!$A$3:$A$367,0)),"")</f>
        <v>20</v>
      </c>
      <c r="D153" s="422">
        <v>3</v>
      </c>
      <c r="E153" s="422">
        <v>1</v>
      </c>
      <c r="F153" s="272">
        <f t="shared" si="119"/>
        <v>20</v>
      </c>
      <c r="G153" s="274">
        <f t="shared" si="80"/>
        <v>0.83333333333333337</v>
      </c>
      <c r="H153" s="275">
        <f t="shared" si="81"/>
        <v>0.83333333333333337</v>
      </c>
      <c r="I153" s="422">
        <v>146.1</v>
      </c>
      <c r="J153" s="278">
        <f t="shared" si="82"/>
        <v>0</v>
      </c>
      <c r="K153" s="272">
        <f>IFERROR(INDEX('Horo. M'!$E$3:$E$367,MATCH(A153,'Horo. M'!$A$3:$A$367,0)),"")</f>
        <v>24</v>
      </c>
      <c r="L153" s="422">
        <v>0</v>
      </c>
      <c r="M153" s="422">
        <v>0</v>
      </c>
      <c r="N153" s="272">
        <f t="shared" si="83"/>
        <v>24</v>
      </c>
      <c r="O153" s="274">
        <f t="shared" si="84"/>
        <v>1</v>
      </c>
      <c r="P153" s="275">
        <f t="shared" si="85"/>
        <v>1</v>
      </c>
      <c r="Q153" s="422">
        <v>177.2</v>
      </c>
      <c r="R153" s="278">
        <f t="shared" si="86"/>
        <v>0</v>
      </c>
      <c r="S153" s="272">
        <f>IFERROR(INDEX('Horo. M'!G$3:$G$367,MATCH(A153,'Horo. M'!$A$3:$A$367,0)),"")</f>
        <v>24</v>
      </c>
      <c r="T153" s="422">
        <v>0</v>
      </c>
      <c r="U153" s="422">
        <v>0</v>
      </c>
      <c r="V153" s="272">
        <f t="shared" si="87"/>
        <v>24</v>
      </c>
      <c r="W153" s="274">
        <f t="shared" si="88"/>
        <v>1</v>
      </c>
      <c r="X153" s="275">
        <f t="shared" si="89"/>
        <v>1</v>
      </c>
      <c r="Y153" s="422">
        <v>175.64</v>
      </c>
      <c r="Z153" s="278">
        <f t="shared" si="90"/>
        <v>0</v>
      </c>
      <c r="AA153" s="272">
        <f>IFERROR(INDEX('Horo. M'!$I$3:I$367,MATCH(A153,'Horo. M'!$A$3:$A$367,0)),"")</f>
        <v>0</v>
      </c>
      <c r="AB153" s="422">
        <v>24</v>
      </c>
      <c r="AC153" s="422">
        <v>0</v>
      </c>
      <c r="AD153" s="272">
        <f t="shared" si="91"/>
        <v>0</v>
      </c>
      <c r="AE153" s="274">
        <f t="shared" si="92"/>
        <v>0</v>
      </c>
      <c r="AF153" s="275">
        <f t="shared" si="93"/>
        <v>0</v>
      </c>
      <c r="AG153" s="422">
        <v>0</v>
      </c>
      <c r="AH153" s="272">
        <f t="shared" si="94"/>
        <v>0</v>
      </c>
      <c r="AI153" s="272">
        <f>IFERROR(INDEX('Horo. M'!$K$3:K$367,MATCH(A153,'Horo. M'!$A$3:$A$367,0)),"")</f>
        <v>24</v>
      </c>
      <c r="AJ153" s="422">
        <v>0</v>
      </c>
      <c r="AK153" s="422">
        <v>0</v>
      </c>
      <c r="AL153" s="272">
        <f t="shared" si="95"/>
        <v>24</v>
      </c>
      <c r="AM153" s="274">
        <f t="shared" si="96"/>
        <v>1</v>
      </c>
      <c r="AN153" s="275">
        <f t="shared" si="97"/>
        <v>1</v>
      </c>
      <c r="AO153" s="422">
        <v>179.42</v>
      </c>
      <c r="AP153" s="272">
        <f t="shared" si="98"/>
        <v>0</v>
      </c>
      <c r="AQ153" s="272">
        <f>IFERROR(INDEX('Horo. M'!$M$3:M$367,MATCH(A153,'Horo. M'!$A$3:$A$367,0)),"")</f>
        <v>24</v>
      </c>
      <c r="AR153" s="422">
        <v>0</v>
      </c>
      <c r="AS153" s="422">
        <v>0</v>
      </c>
      <c r="AT153" s="272">
        <f t="shared" si="99"/>
        <v>24</v>
      </c>
      <c r="AU153" s="274">
        <f t="shared" si="100"/>
        <v>1</v>
      </c>
      <c r="AV153" s="275">
        <f t="shared" si="101"/>
        <v>1</v>
      </c>
      <c r="AW153" s="422">
        <v>181.02</v>
      </c>
      <c r="AX153" s="272">
        <f t="shared" si="102"/>
        <v>0</v>
      </c>
      <c r="AY153" s="272">
        <f>IFERROR(INDEX('Horo. M'!$O$3:O$367,MATCH(A153,'Horo. M'!$A$3:$A$367,0)),"")</f>
        <v>24</v>
      </c>
      <c r="AZ153" s="422">
        <v>0</v>
      </c>
      <c r="BA153" s="422">
        <v>0</v>
      </c>
      <c r="BB153" s="272">
        <f t="shared" si="103"/>
        <v>24</v>
      </c>
      <c r="BC153" s="274">
        <f t="shared" si="104"/>
        <v>1</v>
      </c>
      <c r="BD153" s="275">
        <f t="shared" si="105"/>
        <v>1</v>
      </c>
      <c r="BE153" s="422">
        <v>180.59</v>
      </c>
      <c r="BF153" s="272">
        <f t="shared" si="106"/>
        <v>0</v>
      </c>
      <c r="BG153" s="272">
        <f>IFERROR(INDEX('Horo. M'!$Q$3:Q$367,MATCH(A153,'Horo. M'!$A$3:$A$367,0)),"")</f>
        <v>0</v>
      </c>
      <c r="BH153" s="422">
        <v>24</v>
      </c>
      <c r="BI153" s="422">
        <v>0</v>
      </c>
      <c r="BJ153" s="272">
        <f t="shared" si="107"/>
        <v>0</v>
      </c>
      <c r="BK153" s="274">
        <f t="shared" si="108"/>
        <v>0</v>
      </c>
      <c r="BL153" s="275">
        <f t="shared" si="109"/>
        <v>0</v>
      </c>
      <c r="BM153" s="422">
        <v>0</v>
      </c>
      <c r="BN153" s="272">
        <f t="shared" si="110"/>
        <v>0</v>
      </c>
      <c r="BO153" s="272">
        <f>IFERROR(INDEX('Horo. M'!$S$3:S$367,MATCH(A153,'Horo. M'!$A$3:$A$367,0)),"")</f>
        <v>24</v>
      </c>
      <c r="BP153" s="422">
        <v>0</v>
      </c>
      <c r="BQ153" s="422">
        <v>0</v>
      </c>
      <c r="BR153" s="272">
        <f t="shared" si="111"/>
        <v>24</v>
      </c>
      <c r="BS153" s="274">
        <f t="shared" si="112"/>
        <v>1</v>
      </c>
      <c r="BT153" s="275">
        <f t="shared" si="113"/>
        <v>1</v>
      </c>
      <c r="BU153" s="422">
        <v>178.38</v>
      </c>
      <c r="BV153" s="272">
        <f t="shared" si="114"/>
        <v>0</v>
      </c>
      <c r="BW153" s="272">
        <f>IFERROR(INDEX('Horo. M'!$U$3:U$367,MATCH(A153,'Horo. M'!$A$3:$A$367,0)),"")</f>
        <v>24</v>
      </c>
      <c r="BX153" s="422">
        <v>0</v>
      </c>
      <c r="BY153" s="422">
        <v>0</v>
      </c>
      <c r="BZ153" s="272">
        <f t="shared" si="115"/>
        <v>24</v>
      </c>
      <c r="CA153" s="274">
        <f t="shared" si="116"/>
        <v>1</v>
      </c>
      <c r="CB153" s="275">
        <f t="shared" si="117"/>
        <v>1</v>
      </c>
      <c r="CC153" s="422">
        <v>178.14</v>
      </c>
    </row>
    <row r="154" spans="1:81">
      <c r="A154" s="424">
        <v>45079</v>
      </c>
      <c r="B154" s="278">
        <f t="shared" si="118"/>
        <v>0</v>
      </c>
      <c r="C154" s="272">
        <f>IFERROR(INDEX('Horo. M'!$C$3:$C$367,MATCH(A154,'Horo. M'!$A$3:$A$367,0)),"")</f>
        <v>24</v>
      </c>
      <c r="D154" s="422">
        <v>0</v>
      </c>
      <c r="E154" s="422">
        <v>0</v>
      </c>
      <c r="F154" s="272">
        <f t="shared" si="119"/>
        <v>24</v>
      </c>
      <c r="G154" s="274">
        <f t="shared" si="80"/>
        <v>1</v>
      </c>
      <c r="H154" s="275">
        <f t="shared" si="81"/>
        <v>1</v>
      </c>
      <c r="I154" s="422">
        <v>172.3</v>
      </c>
      <c r="J154" s="278">
        <f t="shared" si="82"/>
        <v>0</v>
      </c>
      <c r="K154" s="272">
        <f>IFERROR(INDEX('Horo. M'!$E$3:$E$367,MATCH(A154,'Horo. M'!$A$3:$A$367,0)),"")</f>
        <v>21</v>
      </c>
      <c r="L154" s="422">
        <v>2</v>
      </c>
      <c r="M154" s="422">
        <v>1</v>
      </c>
      <c r="N154" s="272">
        <f t="shared" si="83"/>
        <v>21</v>
      </c>
      <c r="O154" s="274">
        <f t="shared" si="84"/>
        <v>0.875</v>
      </c>
      <c r="P154" s="275">
        <f t="shared" si="85"/>
        <v>0.875</v>
      </c>
      <c r="Q154" s="422">
        <v>158.19999999999999</v>
      </c>
      <c r="R154" s="278">
        <f t="shared" si="86"/>
        <v>1</v>
      </c>
      <c r="S154" s="272">
        <f>IFERROR(INDEX('Horo. M'!G$3:$G$367,MATCH(A154,'Horo. M'!$A$3:$A$367,0)),"")</f>
        <v>23</v>
      </c>
      <c r="T154" s="422">
        <v>0</v>
      </c>
      <c r="U154" s="422">
        <v>0</v>
      </c>
      <c r="V154" s="272">
        <f t="shared" si="87"/>
        <v>24</v>
      </c>
      <c r="W154" s="274">
        <f t="shared" si="88"/>
        <v>0.95833333333333337</v>
      </c>
      <c r="X154" s="275">
        <f t="shared" si="89"/>
        <v>1</v>
      </c>
      <c r="Y154" s="422">
        <v>165.36</v>
      </c>
      <c r="Z154" s="278">
        <f t="shared" si="90"/>
        <v>0</v>
      </c>
      <c r="AA154" s="272">
        <f>IFERROR(INDEX('Horo. M'!$I$3:I$367,MATCH(A154,'Horo. M'!$A$3:$A$367,0)),"")</f>
        <v>0</v>
      </c>
      <c r="AB154" s="422">
        <v>24</v>
      </c>
      <c r="AC154" s="422">
        <v>0</v>
      </c>
      <c r="AD154" s="272">
        <f t="shared" si="91"/>
        <v>0</v>
      </c>
      <c r="AE154" s="274">
        <f t="shared" si="92"/>
        <v>0</v>
      </c>
      <c r="AF154" s="275">
        <f t="shared" si="93"/>
        <v>0</v>
      </c>
      <c r="AG154" s="422">
        <v>0</v>
      </c>
      <c r="AH154" s="272">
        <f t="shared" si="94"/>
        <v>0</v>
      </c>
      <c r="AI154" s="272">
        <f>IFERROR(INDEX('Horo. M'!$K$3:K$367,MATCH(A154,'Horo. M'!$A$3:$A$367,0)),"")</f>
        <v>24</v>
      </c>
      <c r="AJ154" s="422">
        <v>0</v>
      </c>
      <c r="AK154" s="422">
        <v>0</v>
      </c>
      <c r="AL154" s="272">
        <f t="shared" si="95"/>
        <v>24</v>
      </c>
      <c r="AM154" s="274">
        <f t="shared" si="96"/>
        <v>1</v>
      </c>
      <c r="AN154" s="275">
        <f t="shared" si="97"/>
        <v>1</v>
      </c>
      <c r="AO154" s="422">
        <v>176.86</v>
      </c>
      <c r="AP154" s="272">
        <f t="shared" si="98"/>
        <v>0</v>
      </c>
      <c r="AQ154" s="272">
        <f>IFERROR(INDEX('Horo. M'!$M$3:M$367,MATCH(A154,'Horo. M'!$A$3:$A$367,0)),"")</f>
        <v>24</v>
      </c>
      <c r="AR154" s="422">
        <v>0</v>
      </c>
      <c r="AS154" s="422">
        <v>0</v>
      </c>
      <c r="AT154" s="272">
        <f t="shared" si="99"/>
        <v>24</v>
      </c>
      <c r="AU154" s="274">
        <f t="shared" si="100"/>
        <v>1</v>
      </c>
      <c r="AV154" s="275">
        <f t="shared" si="101"/>
        <v>1</v>
      </c>
      <c r="AW154" s="422">
        <v>177.53</v>
      </c>
      <c r="AX154" s="272">
        <f t="shared" si="102"/>
        <v>0</v>
      </c>
      <c r="AY154" s="272">
        <f>IFERROR(INDEX('Horo. M'!$O$3:O$367,MATCH(A154,'Horo. M'!$A$3:$A$367,0)),"")</f>
        <v>24</v>
      </c>
      <c r="AZ154" s="422">
        <v>0</v>
      </c>
      <c r="BA154" s="422">
        <v>0</v>
      </c>
      <c r="BB154" s="272">
        <f t="shared" si="103"/>
        <v>24</v>
      </c>
      <c r="BC154" s="274">
        <f t="shared" si="104"/>
        <v>1</v>
      </c>
      <c r="BD154" s="275">
        <f t="shared" si="105"/>
        <v>1</v>
      </c>
      <c r="BE154" s="422">
        <v>176.39</v>
      </c>
      <c r="BF154" s="272">
        <f t="shared" si="106"/>
        <v>0</v>
      </c>
      <c r="BG154" s="272">
        <f>IFERROR(INDEX('Horo. M'!$Q$3:Q$367,MATCH(A154,'Horo. M'!$A$3:$A$367,0)),"")</f>
        <v>0</v>
      </c>
      <c r="BH154" s="422">
        <v>24</v>
      </c>
      <c r="BI154" s="422">
        <v>0</v>
      </c>
      <c r="BJ154" s="272">
        <f t="shared" si="107"/>
        <v>0</v>
      </c>
      <c r="BK154" s="274">
        <f t="shared" si="108"/>
        <v>0</v>
      </c>
      <c r="BL154" s="275">
        <f t="shared" si="109"/>
        <v>0</v>
      </c>
      <c r="BM154" s="422">
        <v>0</v>
      </c>
      <c r="BN154" s="272">
        <f t="shared" si="110"/>
        <v>0</v>
      </c>
      <c r="BO154" s="272">
        <f>IFERROR(INDEX('Horo. M'!$S$3:S$367,MATCH(A154,'Horo. M'!$A$3:$A$367,0)),"")</f>
        <v>24</v>
      </c>
      <c r="BP154" s="422">
        <v>0</v>
      </c>
      <c r="BQ154" s="422">
        <v>0</v>
      </c>
      <c r="BR154" s="272">
        <f t="shared" si="111"/>
        <v>24</v>
      </c>
      <c r="BS154" s="274">
        <f t="shared" si="112"/>
        <v>1</v>
      </c>
      <c r="BT154" s="275">
        <f t="shared" si="113"/>
        <v>1</v>
      </c>
      <c r="BU154" s="422">
        <v>176.46</v>
      </c>
      <c r="BV154" s="272">
        <f t="shared" si="114"/>
        <v>0</v>
      </c>
      <c r="BW154" s="272">
        <f>IFERROR(INDEX('Horo. M'!$U$3:U$367,MATCH(A154,'Horo. M'!$A$3:$A$367,0)),"")</f>
        <v>24</v>
      </c>
      <c r="BX154" s="422">
        <v>0</v>
      </c>
      <c r="BY154" s="422">
        <v>0</v>
      </c>
      <c r="BZ154" s="272">
        <f t="shared" si="115"/>
        <v>24</v>
      </c>
      <c r="CA154" s="274">
        <f t="shared" si="116"/>
        <v>1</v>
      </c>
      <c r="CB154" s="275">
        <f t="shared" si="117"/>
        <v>1</v>
      </c>
      <c r="CC154" s="422">
        <v>177.47</v>
      </c>
    </row>
    <row r="155" spans="1:81">
      <c r="A155" s="424">
        <v>45080</v>
      </c>
      <c r="B155" s="278">
        <f t="shared" si="118"/>
        <v>0</v>
      </c>
      <c r="C155" s="272">
        <f>IFERROR(INDEX('Horo. M'!$C$3:$C$367,MATCH(A155,'Horo. M'!$A$3:$A$367,0)),"")</f>
        <v>24</v>
      </c>
      <c r="D155" s="422">
        <v>0</v>
      </c>
      <c r="E155" s="422">
        <v>0</v>
      </c>
      <c r="F155" s="272">
        <f t="shared" si="119"/>
        <v>24</v>
      </c>
      <c r="G155" s="274">
        <f t="shared" si="80"/>
        <v>1</v>
      </c>
      <c r="H155" s="275">
        <f t="shared" si="81"/>
        <v>1</v>
      </c>
      <c r="I155" s="422">
        <v>185.6</v>
      </c>
      <c r="J155" s="278">
        <f t="shared" si="82"/>
        <v>1</v>
      </c>
      <c r="K155" s="272">
        <f>IFERROR(INDEX('Horo. M'!$E$3:$E$367,MATCH(A155,'Horo. M'!$A$3:$A$367,0)),"")</f>
        <v>23</v>
      </c>
      <c r="L155" s="422">
        <v>0</v>
      </c>
      <c r="M155" s="422">
        <v>0</v>
      </c>
      <c r="N155" s="272">
        <f t="shared" si="83"/>
        <v>24</v>
      </c>
      <c r="O155" s="274">
        <f t="shared" si="84"/>
        <v>0.95833333333333337</v>
      </c>
      <c r="P155" s="275">
        <f t="shared" si="85"/>
        <v>1</v>
      </c>
      <c r="Q155" s="422">
        <v>176.9</v>
      </c>
      <c r="R155" s="278">
        <f t="shared" si="86"/>
        <v>0</v>
      </c>
      <c r="S155" s="272">
        <f>IFERROR(INDEX('Horo. M'!G$3:$G$367,MATCH(A155,'Horo. M'!$A$3:$A$367,0)),"")</f>
        <v>24</v>
      </c>
      <c r="T155" s="422">
        <v>0</v>
      </c>
      <c r="U155" s="422">
        <v>0</v>
      </c>
      <c r="V155" s="272">
        <f t="shared" si="87"/>
        <v>24</v>
      </c>
      <c r="W155" s="274">
        <f t="shared" si="88"/>
        <v>1</v>
      </c>
      <c r="X155" s="275">
        <f t="shared" si="89"/>
        <v>1</v>
      </c>
      <c r="Y155" s="422">
        <v>184.14</v>
      </c>
      <c r="Z155" s="278">
        <f t="shared" si="90"/>
        <v>0</v>
      </c>
      <c r="AA155" s="272">
        <f>IFERROR(INDEX('Horo. M'!$I$3:I$367,MATCH(A155,'Horo. M'!$A$3:$A$367,0)),"")</f>
        <v>0</v>
      </c>
      <c r="AB155" s="422">
        <v>24</v>
      </c>
      <c r="AC155" s="422">
        <v>0</v>
      </c>
      <c r="AD155" s="272">
        <f t="shared" si="91"/>
        <v>0</v>
      </c>
      <c r="AE155" s="274">
        <f t="shared" si="92"/>
        <v>0</v>
      </c>
      <c r="AF155" s="275">
        <f t="shared" si="93"/>
        <v>0</v>
      </c>
      <c r="AG155" s="422">
        <v>0</v>
      </c>
      <c r="AH155" s="272">
        <f t="shared" si="94"/>
        <v>0</v>
      </c>
      <c r="AI155" s="272">
        <f>IFERROR(INDEX('Horo. M'!$K$3:K$367,MATCH(A155,'Horo. M'!$A$3:$A$367,0)),"")</f>
        <v>24</v>
      </c>
      <c r="AJ155" s="422">
        <v>0</v>
      </c>
      <c r="AK155" s="422">
        <v>0</v>
      </c>
      <c r="AL155" s="272">
        <f t="shared" si="95"/>
        <v>24</v>
      </c>
      <c r="AM155" s="274">
        <f t="shared" si="96"/>
        <v>1</v>
      </c>
      <c r="AN155" s="275">
        <f t="shared" si="97"/>
        <v>1</v>
      </c>
      <c r="AO155" s="422">
        <v>185.22</v>
      </c>
      <c r="AP155" s="272">
        <f t="shared" si="98"/>
        <v>0</v>
      </c>
      <c r="AQ155" s="272">
        <f>IFERROR(INDEX('Horo. M'!$M$3:M$367,MATCH(A155,'Horo. M'!$A$3:$A$367,0)),"")</f>
        <v>24</v>
      </c>
      <c r="AR155" s="422">
        <v>0</v>
      </c>
      <c r="AS155" s="422">
        <v>0</v>
      </c>
      <c r="AT155" s="272">
        <f t="shared" si="99"/>
        <v>24</v>
      </c>
      <c r="AU155" s="274">
        <f t="shared" si="100"/>
        <v>1</v>
      </c>
      <c r="AV155" s="275">
        <f t="shared" si="101"/>
        <v>1</v>
      </c>
      <c r="AW155" s="422">
        <v>186.26</v>
      </c>
      <c r="AX155" s="272">
        <f t="shared" si="102"/>
        <v>0</v>
      </c>
      <c r="AY155" s="272">
        <f>IFERROR(INDEX('Horo. M'!$O$3:O$367,MATCH(A155,'Horo. M'!$A$3:$A$367,0)),"")</f>
        <v>24</v>
      </c>
      <c r="AZ155" s="422">
        <v>0</v>
      </c>
      <c r="BA155" s="422">
        <v>0</v>
      </c>
      <c r="BB155" s="272">
        <f t="shared" si="103"/>
        <v>24</v>
      </c>
      <c r="BC155" s="274">
        <f t="shared" si="104"/>
        <v>1</v>
      </c>
      <c r="BD155" s="275">
        <f t="shared" si="105"/>
        <v>1</v>
      </c>
      <c r="BE155" s="422">
        <v>186.31</v>
      </c>
      <c r="BF155" s="272">
        <f t="shared" si="106"/>
        <v>0</v>
      </c>
      <c r="BG155" s="272">
        <f>IFERROR(INDEX('Horo. M'!$Q$3:Q$367,MATCH(A155,'Horo. M'!$A$3:$A$367,0)),"")</f>
        <v>0</v>
      </c>
      <c r="BH155" s="422">
        <v>24</v>
      </c>
      <c r="BI155" s="422">
        <v>0</v>
      </c>
      <c r="BJ155" s="272">
        <f t="shared" si="107"/>
        <v>0</v>
      </c>
      <c r="BK155" s="274">
        <f t="shared" si="108"/>
        <v>0</v>
      </c>
      <c r="BL155" s="275">
        <f t="shared" si="109"/>
        <v>0</v>
      </c>
      <c r="BM155" s="422">
        <v>0</v>
      </c>
      <c r="BN155" s="272">
        <f t="shared" si="110"/>
        <v>0</v>
      </c>
      <c r="BO155" s="272">
        <f>IFERROR(INDEX('Horo. M'!$S$3:S$367,MATCH(A155,'Horo. M'!$A$3:$A$367,0)),"")</f>
        <v>24</v>
      </c>
      <c r="BP155" s="422">
        <v>0</v>
      </c>
      <c r="BQ155" s="422">
        <v>0</v>
      </c>
      <c r="BR155" s="272">
        <f t="shared" si="111"/>
        <v>24</v>
      </c>
      <c r="BS155" s="274">
        <f t="shared" si="112"/>
        <v>1</v>
      </c>
      <c r="BT155" s="275">
        <f t="shared" si="113"/>
        <v>1</v>
      </c>
      <c r="BU155" s="422">
        <v>185.15</v>
      </c>
      <c r="BV155" s="272">
        <f t="shared" si="114"/>
        <v>0</v>
      </c>
      <c r="BW155" s="272">
        <f>IFERROR(INDEX('Horo. M'!$U$3:U$367,MATCH(A155,'Horo. M'!$A$3:$A$367,0)),"")</f>
        <v>24</v>
      </c>
      <c r="BX155" s="422">
        <v>0</v>
      </c>
      <c r="BY155" s="422">
        <v>0</v>
      </c>
      <c r="BZ155" s="272">
        <f t="shared" si="115"/>
        <v>24</v>
      </c>
      <c r="CA155" s="274">
        <f t="shared" si="116"/>
        <v>1</v>
      </c>
      <c r="CB155" s="275">
        <f t="shared" si="117"/>
        <v>1</v>
      </c>
      <c r="CC155" s="422">
        <v>184.95</v>
      </c>
    </row>
    <row r="156" spans="1:81">
      <c r="A156" s="424">
        <v>45081</v>
      </c>
      <c r="B156" s="278">
        <f t="shared" si="118"/>
        <v>0</v>
      </c>
      <c r="C156" s="272">
        <f>IFERROR(INDEX('Horo. M'!$C$3:$C$367,MATCH(A156,'Horo. M'!$A$3:$A$367,0)),"")</f>
        <v>24</v>
      </c>
      <c r="D156" s="422">
        <v>0</v>
      </c>
      <c r="E156" s="422">
        <v>0</v>
      </c>
      <c r="F156" s="272">
        <f t="shared" si="119"/>
        <v>24</v>
      </c>
      <c r="G156" s="274">
        <f t="shared" si="80"/>
        <v>1</v>
      </c>
      <c r="H156" s="275">
        <f t="shared" si="81"/>
        <v>1</v>
      </c>
      <c r="I156" s="422">
        <v>175.2</v>
      </c>
      <c r="J156" s="278">
        <f t="shared" si="82"/>
        <v>0</v>
      </c>
      <c r="K156" s="272">
        <f>IFERROR(INDEX('Horo. M'!$E$3:$E$367,MATCH(A156,'Horo. M'!$A$3:$A$367,0)),"")</f>
        <v>24</v>
      </c>
      <c r="L156" s="422">
        <v>0</v>
      </c>
      <c r="M156" s="422">
        <v>0</v>
      </c>
      <c r="N156" s="272">
        <f t="shared" si="83"/>
        <v>24</v>
      </c>
      <c r="O156" s="274">
        <f t="shared" si="84"/>
        <v>1</v>
      </c>
      <c r="P156" s="275">
        <f t="shared" si="85"/>
        <v>1</v>
      </c>
      <c r="Q156" s="422">
        <v>175.6</v>
      </c>
      <c r="R156" s="278">
        <f t="shared" si="86"/>
        <v>0</v>
      </c>
      <c r="S156" s="272">
        <f>IFERROR(INDEX('Horo. M'!G$3:$G$367,MATCH(A156,'Horo. M'!$A$3:$A$367,0)),"")</f>
        <v>24</v>
      </c>
      <c r="T156" s="422">
        <v>0</v>
      </c>
      <c r="U156" s="422">
        <v>0</v>
      </c>
      <c r="V156" s="272">
        <f t="shared" si="87"/>
        <v>24</v>
      </c>
      <c r="W156" s="274">
        <f t="shared" si="88"/>
        <v>1</v>
      </c>
      <c r="X156" s="275">
        <f t="shared" si="89"/>
        <v>1</v>
      </c>
      <c r="Y156" s="422">
        <v>175.67</v>
      </c>
      <c r="Z156" s="278">
        <f t="shared" si="90"/>
        <v>0</v>
      </c>
      <c r="AA156" s="272">
        <f>IFERROR(INDEX('Horo. M'!$I$3:I$367,MATCH(A156,'Horo. M'!$A$3:$A$367,0)),"")</f>
        <v>0</v>
      </c>
      <c r="AB156" s="422">
        <v>24</v>
      </c>
      <c r="AC156" s="422">
        <v>0</v>
      </c>
      <c r="AD156" s="272">
        <f t="shared" si="91"/>
        <v>0</v>
      </c>
      <c r="AE156" s="274">
        <f t="shared" si="92"/>
        <v>0</v>
      </c>
      <c r="AF156" s="275">
        <f t="shared" si="93"/>
        <v>0</v>
      </c>
      <c r="AG156" s="422">
        <v>0</v>
      </c>
      <c r="AH156" s="272">
        <f t="shared" si="94"/>
        <v>0</v>
      </c>
      <c r="AI156" s="272">
        <f>IFERROR(INDEX('Horo. M'!$K$3:K$367,MATCH(A156,'Horo. M'!$A$3:$A$367,0)),"")</f>
        <v>24</v>
      </c>
      <c r="AJ156" s="422">
        <v>0</v>
      </c>
      <c r="AK156" s="422">
        <v>0</v>
      </c>
      <c r="AL156" s="272">
        <f t="shared" si="95"/>
        <v>24</v>
      </c>
      <c r="AM156" s="274">
        <f t="shared" si="96"/>
        <v>1</v>
      </c>
      <c r="AN156" s="275">
        <f t="shared" si="97"/>
        <v>1</v>
      </c>
      <c r="AO156" s="422">
        <v>172.43</v>
      </c>
      <c r="AP156" s="272">
        <f t="shared" si="98"/>
        <v>0</v>
      </c>
      <c r="AQ156" s="272">
        <f>IFERROR(INDEX('Horo. M'!$M$3:M$367,MATCH(A156,'Horo. M'!$A$3:$A$367,0)),"")</f>
        <v>24</v>
      </c>
      <c r="AR156" s="422">
        <v>0</v>
      </c>
      <c r="AS156" s="422">
        <v>0</v>
      </c>
      <c r="AT156" s="272">
        <f t="shared" si="99"/>
        <v>24</v>
      </c>
      <c r="AU156" s="274">
        <f t="shared" si="100"/>
        <v>1</v>
      </c>
      <c r="AV156" s="275">
        <f t="shared" si="101"/>
        <v>1</v>
      </c>
      <c r="AW156" s="422">
        <v>176.41</v>
      </c>
      <c r="AX156" s="272">
        <f t="shared" si="102"/>
        <v>0</v>
      </c>
      <c r="AY156" s="272">
        <f>IFERROR(INDEX('Horo. M'!$O$3:O$367,MATCH(A156,'Horo. M'!$A$3:$A$367,0)),"")</f>
        <v>24</v>
      </c>
      <c r="AZ156" s="422">
        <v>0</v>
      </c>
      <c r="BA156" s="422">
        <v>0</v>
      </c>
      <c r="BB156" s="272">
        <f t="shared" si="103"/>
        <v>24</v>
      </c>
      <c r="BC156" s="274">
        <f t="shared" si="104"/>
        <v>1</v>
      </c>
      <c r="BD156" s="275">
        <f t="shared" si="105"/>
        <v>1</v>
      </c>
      <c r="BE156" s="422">
        <v>177.05</v>
      </c>
      <c r="BF156" s="272">
        <f t="shared" si="106"/>
        <v>0</v>
      </c>
      <c r="BG156" s="272">
        <f>IFERROR(INDEX('Horo. M'!$Q$3:Q$367,MATCH(A156,'Horo. M'!$A$3:$A$367,0)),"")</f>
        <v>0</v>
      </c>
      <c r="BH156" s="422">
        <v>24</v>
      </c>
      <c r="BI156" s="422">
        <v>0</v>
      </c>
      <c r="BJ156" s="272">
        <f t="shared" si="107"/>
        <v>0</v>
      </c>
      <c r="BK156" s="274">
        <f t="shared" si="108"/>
        <v>0</v>
      </c>
      <c r="BL156" s="275">
        <f t="shared" si="109"/>
        <v>0</v>
      </c>
      <c r="BM156" s="422">
        <v>0</v>
      </c>
      <c r="BN156" s="272">
        <f t="shared" si="110"/>
        <v>0</v>
      </c>
      <c r="BO156" s="272">
        <f>IFERROR(INDEX('Horo. M'!$S$3:S$367,MATCH(A156,'Horo. M'!$A$3:$A$367,0)),"")</f>
        <v>24</v>
      </c>
      <c r="BP156" s="422">
        <v>0</v>
      </c>
      <c r="BQ156" s="422">
        <v>0</v>
      </c>
      <c r="BR156" s="272">
        <f t="shared" si="111"/>
        <v>24</v>
      </c>
      <c r="BS156" s="274">
        <f t="shared" si="112"/>
        <v>1</v>
      </c>
      <c r="BT156" s="275">
        <f t="shared" si="113"/>
        <v>1</v>
      </c>
      <c r="BU156" s="422">
        <v>173.74</v>
      </c>
      <c r="BV156" s="272">
        <f t="shared" si="114"/>
        <v>0</v>
      </c>
      <c r="BW156" s="272">
        <f>IFERROR(INDEX('Horo. M'!$U$3:U$367,MATCH(A156,'Horo. M'!$A$3:$A$367,0)),"")</f>
        <v>22</v>
      </c>
      <c r="BX156" s="422">
        <v>2</v>
      </c>
      <c r="BY156" s="422">
        <v>0</v>
      </c>
      <c r="BZ156" s="272">
        <f t="shared" si="115"/>
        <v>22</v>
      </c>
      <c r="CA156" s="274">
        <f t="shared" si="116"/>
        <v>0.91666666666666663</v>
      </c>
      <c r="CB156" s="275">
        <f t="shared" si="117"/>
        <v>0.91666666666666663</v>
      </c>
      <c r="CC156" s="422">
        <v>159.56</v>
      </c>
    </row>
    <row r="157" spans="1:81">
      <c r="A157" s="424">
        <v>45082</v>
      </c>
      <c r="B157" s="278">
        <f t="shared" si="118"/>
        <v>0</v>
      </c>
      <c r="C157" s="272">
        <f>IFERROR(INDEX('Horo. M'!$C$3:$C$367,MATCH(A157,'Horo. M'!$A$3:$A$367,0)),"")</f>
        <v>24</v>
      </c>
      <c r="D157" s="422">
        <v>0</v>
      </c>
      <c r="E157" s="422">
        <v>0</v>
      </c>
      <c r="F157" s="272">
        <f t="shared" si="119"/>
        <v>24</v>
      </c>
      <c r="G157" s="274">
        <f t="shared" si="80"/>
        <v>1</v>
      </c>
      <c r="H157" s="275">
        <f t="shared" si="81"/>
        <v>1</v>
      </c>
      <c r="I157" s="422">
        <v>175.2</v>
      </c>
      <c r="J157" s="278">
        <f t="shared" si="82"/>
        <v>0</v>
      </c>
      <c r="K157" s="272">
        <f>IFERROR(INDEX('Horo. M'!$E$3:$E$367,MATCH(A157,'Horo. M'!$A$3:$A$367,0)),"")</f>
        <v>24</v>
      </c>
      <c r="L157" s="422">
        <v>0</v>
      </c>
      <c r="M157" s="422">
        <v>0</v>
      </c>
      <c r="N157" s="272">
        <f t="shared" si="83"/>
        <v>24</v>
      </c>
      <c r="O157" s="274">
        <f t="shared" si="84"/>
        <v>1</v>
      </c>
      <c r="P157" s="275">
        <f t="shared" si="85"/>
        <v>1</v>
      </c>
      <c r="Q157" s="422">
        <v>176.7</v>
      </c>
      <c r="R157" s="278">
        <f t="shared" si="86"/>
        <v>0</v>
      </c>
      <c r="S157" s="272">
        <f>IFERROR(INDEX('Horo. M'!G$3:$G$367,MATCH(A157,'Horo. M'!$A$3:$A$367,0)),"")</f>
        <v>24</v>
      </c>
      <c r="T157" s="422">
        <v>0</v>
      </c>
      <c r="U157" s="422">
        <v>0</v>
      </c>
      <c r="V157" s="272">
        <f t="shared" si="87"/>
        <v>24</v>
      </c>
      <c r="W157" s="274">
        <f t="shared" si="88"/>
        <v>1</v>
      </c>
      <c r="X157" s="275">
        <f t="shared" si="89"/>
        <v>1</v>
      </c>
      <c r="Y157" s="422">
        <v>180.1</v>
      </c>
      <c r="Z157" s="278">
        <f t="shared" si="90"/>
        <v>0</v>
      </c>
      <c r="AA157" s="272">
        <f>IFERROR(INDEX('Horo. M'!$I$3:I$367,MATCH(A157,'Horo. M'!$A$3:$A$367,0)),"")</f>
        <v>0</v>
      </c>
      <c r="AB157" s="422">
        <v>24</v>
      </c>
      <c r="AC157" s="422">
        <v>0</v>
      </c>
      <c r="AD157" s="272">
        <f t="shared" si="91"/>
        <v>0</v>
      </c>
      <c r="AE157" s="274">
        <f t="shared" si="92"/>
        <v>0</v>
      </c>
      <c r="AF157" s="275">
        <f t="shared" si="93"/>
        <v>0</v>
      </c>
      <c r="AG157" s="422">
        <v>0</v>
      </c>
      <c r="AH157" s="272">
        <f t="shared" si="94"/>
        <v>0</v>
      </c>
      <c r="AI157" s="272">
        <f>IFERROR(INDEX('Horo. M'!$K$3:K$367,MATCH(A157,'Horo. M'!$A$3:$A$367,0)),"")</f>
        <v>24</v>
      </c>
      <c r="AJ157" s="422">
        <v>0</v>
      </c>
      <c r="AK157" s="422">
        <v>0</v>
      </c>
      <c r="AL157" s="272">
        <f t="shared" si="95"/>
        <v>24</v>
      </c>
      <c r="AM157" s="274">
        <f t="shared" si="96"/>
        <v>1</v>
      </c>
      <c r="AN157" s="275">
        <f t="shared" si="97"/>
        <v>1</v>
      </c>
      <c r="AO157" s="422">
        <v>177.35</v>
      </c>
      <c r="AP157" s="272">
        <f t="shared" si="98"/>
        <v>0</v>
      </c>
      <c r="AQ157" s="272">
        <f>IFERROR(INDEX('Horo. M'!$M$3:M$367,MATCH(A157,'Horo. M'!$A$3:$A$367,0)),"")</f>
        <v>24</v>
      </c>
      <c r="AR157" s="422">
        <v>0</v>
      </c>
      <c r="AS157" s="422">
        <v>0</v>
      </c>
      <c r="AT157" s="272">
        <f t="shared" si="99"/>
        <v>24</v>
      </c>
      <c r="AU157" s="274">
        <f t="shared" si="100"/>
        <v>1</v>
      </c>
      <c r="AV157" s="275">
        <f t="shared" si="101"/>
        <v>1</v>
      </c>
      <c r="AW157" s="422">
        <v>177.17</v>
      </c>
      <c r="AX157" s="272">
        <f t="shared" si="102"/>
        <v>0</v>
      </c>
      <c r="AY157" s="272">
        <f>IFERROR(INDEX('Horo. M'!$O$3:O$367,MATCH(A157,'Horo. M'!$A$3:$A$367,0)),"")</f>
        <v>24</v>
      </c>
      <c r="AZ157" s="422">
        <v>0</v>
      </c>
      <c r="BA157" s="422">
        <v>0</v>
      </c>
      <c r="BB157" s="272">
        <f t="shared" si="103"/>
        <v>24</v>
      </c>
      <c r="BC157" s="274">
        <f t="shared" si="104"/>
        <v>1</v>
      </c>
      <c r="BD157" s="275">
        <f t="shared" si="105"/>
        <v>1</v>
      </c>
      <c r="BE157" s="422">
        <v>177.31</v>
      </c>
      <c r="BF157" s="272">
        <f t="shared" si="106"/>
        <v>0</v>
      </c>
      <c r="BG157" s="272">
        <f>IFERROR(INDEX('Horo. M'!$Q$3:Q$367,MATCH(A157,'Horo. M'!$A$3:$A$367,0)),"")</f>
        <v>0</v>
      </c>
      <c r="BH157" s="422">
        <v>24</v>
      </c>
      <c r="BI157" s="422">
        <v>0</v>
      </c>
      <c r="BJ157" s="272">
        <f t="shared" si="107"/>
        <v>0</v>
      </c>
      <c r="BK157" s="274">
        <f t="shared" si="108"/>
        <v>0</v>
      </c>
      <c r="BL157" s="275">
        <f t="shared" si="109"/>
        <v>0</v>
      </c>
      <c r="BM157" s="422">
        <v>0</v>
      </c>
      <c r="BN157" s="272">
        <f t="shared" si="110"/>
        <v>0</v>
      </c>
      <c r="BO157" s="272">
        <f>IFERROR(INDEX('Horo. M'!$S$3:S$367,MATCH(A157,'Horo. M'!$A$3:$A$367,0)),"")</f>
        <v>24</v>
      </c>
      <c r="BP157" s="422">
        <v>0</v>
      </c>
      <c r="BQ157" s="422">
        <v>0</v>
      </c>
      <c r="BR157" s="272">
        <f t="shared" si="111"/>
        <v>24</v>
      </c>
      <c r="BS157" s="274">
        <f t="shared" si="112"/>
        <v>1</v>
      </c>
      <c r="BT157" s="275">
        <f t="shared" si="113"/>
        <v>1</v>
      </c>
      <c r="BU157" s="422">
        <v>177.3</v>
      </c>
      <c r="BV157" s="272">
        <f t="shared" si="114"/>
        <v>3</v>
      </c>
      <c r="BW157" s="272">
        <f>IFERROR(INDEX('Horo. M'!$U$3:U$367,MATCH(A157,'Horo. M'!$A$3:$A$367,0)),"")</f>
        <v>21</v>
      </c>
      <c r="BX157" s="422">
        <v>0</v>
      </c>
      <c r="BY157" s="422">
        <v>0</v>
      </c>
      <c r="BZ157" s="272">
        <f t="shared" si="115"/>
        <v>24</v>
      </c>
      <c r="CA157" s="274">
        <f t="shared" si="116"/>
        <v>0.875</v>
      </c>
      <c r="CB157" s="275">
        <f t="shared" si="117"/>
        <v>1</v>
      </c>
      <c r="CC157" s="422">
        <v>153.9</v>
      </c>
    </row>
    <row r="158" spans="1:81">
      <c r="A158" s="424">
        <v>45083</v>
      </c>
      <c r="B158" s="278">
        <f t="shared" si="118"/>
        <v>2</v>
      </c>
      <c r="C158" s="272">
        <f>IFERROR(INDEX('Horo. M'!$C$3:$C$367,MATCH(A158,'Horo. M'!$A$3:$A$367,0)),"")</f>
        <v>22</v>
      </c>
      <c r="D158" s="422">
        <v>0</v>
      </c>
      <c r="E158" s="422">
        <v>0</v>
      </c>
      <c r="F158" s="272">
        <f t="shared" si="119"/>
        <v>24</v>
      </c>
      <c r="G158" s="274">
        <f t="shared" si="80"/>
        <v>0.91666666666666663</v>
      </c>
      <c r="H158" s="275">
        <f t="shared" si="81"/>
        <v>1</v>
      </c>
      <c r="I158" s="422">
        <v>157.19999999999999</v>
      </c>
      <c r="J158" s="278">
        <f t="shared" si="82"/>
        <v>1</v>
      </c>
      <c r="K158" s="272">
        <f>IFERROR(INDEX('Horo. M'!$E$3:$E$367,MATCH(A158,'Horo. M'!$A$3:$A$367,0)),"")</f>
        <v>23</v>
      </c>
      <c r="L158" s="422">
        <v>0</v>
      </c>
      <c r="M158" s="422">
        <v>0</v>
      </c>
      <c r="N158" s="272">
        <f t="shared" si="83"/>
        <v>24</v>
      </c>
      <c r="O158" s="274">
        <f t="shared" si="84"/>
        <v>0.95833333333333337</v>
      </c>
      <c r="P158" s="275">
        <f t="shared" si="85"/>
        <v>1</v>
      </c>
      <c r="Q158" s="422">
        <v>170.1</v>
      </c>
      <c r="R158" s="278">
        <f t="shared" si="86"/>
        <v>0</v>
      </c>
      <c r="S158" s="272">
        <f>IFERROR(INDEX('Horo. M'!G$3:$G$367,MATCH(A158,'Horo. M'!$A$3:$A$367,0)),"")</f>
        <v>24</v>
      </c>
      <c r="T158" s="422">
        <v>0</v>
      </c>
      <c r="U158" s="422">
        <v>0</v>
      </c>
      <c r="V158" s="272">
        <f t="shared" si="87"/>
        <v>24</v>
      </c>
      <c r="W158" s="274">
        <f t="shared" si="88"/>
        <v>1</v>
      </c>
      <c r="X158" s="275">
        <f t="shared" si="89"/>
        <v>1</v>
      </c>
      <c r="Y158" s="422">
        <v>174.65</v>
      </c>
      <c r="Z158" s="278">
        <f t="shared" si="90"/>
        <v>0</v>
      </c>
      <c r="AA158" s="272">
        <f>IFERROR(INDEX('Horo. M'!$I$3:I$367,MATCH(A158,'Horo. M'!$A$3:$A$367,0)),"")</f>
        <v>0</v>
      </c>
      <c r="AB158" s="422">
        <v>24</v>
      </c>
      <c r="AC158" s="422">
        <v>0</v>
      </c>
      <c r="AD158" s="272">
        <f t="shared" si="91"/>
        <v>0</v>
      </c>
      <c r="AE158" s="274">
        <f t="shared" si="92"/>
        <v>0</v>
      </c>
      <c r="AF158" s="275">
        <f t="shared" si="93"/>
        <v>0</v>
      </c>
      <c r="AG158" s="422">
        <v>0</v>
      </c>
      <c r="AH158" s="272">
        <f t="shared" si="94"/>
        <v>0</v>
      </c>
      <c r="AI158" s="272">
        <f>IFERROR(INDEX('Horo. M'!$K$3:K$367,MATCH(A158,'Horo. M'!$A$3:$A$367,0)),"")</f>
        <v>24</v>
      </c>
      <c r="AJ158" s="422">
        <v>0</v>
      </c>
      <c r="AK158" s="422">
        <v>0</v>
      </c>
      <c r="AL158" s="272">
        <f t="shared" si="95"/>
        <v>24</v>
      </c>
      <c r="AM158" s="274">
        <f t="shared" si="96"/>
        <v>1</v>
      </c>
      <c r="AN158" s="275">
        <f t="shared" si="97"/>
        <v>1</v>
      </c>
      <c r="AO158" s="422">
        <v>176.79</v>
      </c>
      <c r="AP158" s="272">
        <f t="shared" si="98"/>
        <v>0</v>
      </c>
      <c r="AQ158" s="272">
        <f>IFERROR(INDEX('Horo. M'!$M$3:M$367,MATCH(A158,'Horo. M'!$A$3:$A$367,0)),"")</f>
        <v>24</v>
      </c>
      <c r="AR158" s="422">
        <v>0</v>
      </c>
      <c r="AS158" s="422">
        <v>0</v>
      </c>
      <c r="AT158" s="272">
        <f t="shared" si="99"/>
        <v>24</v>
      </c>
      <c r="AU158" s="274">
        <f t="shared" si="100"/>
        <v>1</v>
      </c>
      <c r="AV158" s="275">
        <f t="shared" si="101"/>
        <v>1</v>
      </c>
      <c r="AW158" s="422">
        <v>173.28</v>
      </c>
      <c r="AX158" s="272">
        <f t="shared" si="102"/>
        <v>0</v>
      </c>
      <c r="AY158" s="272">
        <f>IFERROR(INDEX('Horo. M'!$O$3:O$367,MATCH(A158,'Horo. M'!$A$3:$A$367,0)),"")</f>
        <v>24</v>
      </c>
      <c r="AZ158" s="422">
        <v>0</v>
      </c>
      <c r="BA158" s="422">
        <v>0</v>
      </c>
      <c r="BB158" s="272">
        <f t="shared" si="103"/>
        <v>24</v>
      </c>
      <c r="BC158" s="274">
        <f t="shared" si="104"/>
        <v>1</v>
      </c>
      <c r="BD158" s="275">
        <f t="shared" si="105"/>
        <v>1</v>
      </c>
      <c r="BE158" s="422">
        <v>174.64</v>
      </c>
      <c r="BF158" s="272">
        <f t="shared" si="106"/>
        <v>0</v>
      </c>
      <c r="BG158" s="272">
        <f>IFERROR(INDEX('Horo. M'!$Q$3:Q$367,MATCH(A158,'Horo. M'!$A$3:$A$367,0)),"")</f>
        <v>0</v>
      </c>
      <c r="BH158" s="422">
        <v>24</v>
      </c>
      <c r="BI158" s="422">
        <v>0</v>
      </c>
      <c r="BJ158" s="272">
        <f t="shared" si="107"/>
        <v>0</v>
      </c>
      <c r="BK158" s="274">
        <f t="shared" si="108"/>
        <v>0</v>
      </c>
      <c r="BL158" s="275">
        <f t="shared" si="109"/>
        <v>0</v>
      </c>
      <c r="BM158" s="422">
        <v>0</v>
      </c>
      <c r="BN158" s="272">
        <f t="shared" si="110"/>
        <v>0</v>
      </c>
      <c r="BO158" s="272">
        <f>IFERROR(INDEX('Horo. M'!$S$3:S$367,MATCH(A158,'Horo. M'!$A$3:$A$367,0)),"")</f>
        <v>24</v>
      </c>
      <c r="BP158" s="422">
        <v>0</v>
      </c>
      <c r="BQ158" s="422">
        <v>0</v>
      </c>
      <c r="BR158" s="272">
        <f t="shared" si="111"/>
        <v>24</v>
      </c>
      <c r="BS158" s="274">
        <f t="shared" si="112"/>
        <v>1</v>
      </c>
      <c r="BT158" s="275">
        <f t="shared" si="113"/>
        <v>1</v>
      </c>
      <c r="BU158" s="422">
        <v>174.53</v>
      </c>
      <c r="BV158" s="272">
        <f t="shared" si="114"/>
        <v>0</v>
      </c>
      <c r="BW158" s="272">
        <f>IFERROR(INDEX('Horo. M'!$U$3:U$367,MATCH(A158,'Horo. M'!$A$3:$A$367,0)),"")</f>
        <v>24</v>
      </c>
      <c r="BX158" s="422">
        <v>0</v>
      </c>
      <c r="BY158" s="422">
        <v>0</v>
      </c>
      <c r="BZ158" s="272">
        <f t="shared" si="115"/>
        <v>24</v>
      </c>
      <c r="CA158" s="274">
        <f t="shared" si="116"/>
        <v>1</v>
      </c>
      <c r="CB158" s="275">
        <f t="shared" si="117"/>
        <v>1</v>
      </c>
      <c r="CC158" s="422">
        <v>174.25</v>
      </c>
    </row>
    <row r="159" spans="1:81">
      <c r="A159" s="424">
        <v>45084</v>
      </c>
      <c r="B159" s="278">
        <f t="shared" si="118"/>
        <v>0</v>
      </c>
      <c r="C159" s="272">
        <f>IFERROR(INDEX('Horo. M'!$C$3:$C$367,MATCH(A159,'Horo. M'!$A$3:$A$367,0)),"")</f>
        <v>24</v>
      </c>
      <c r="D159" s="422">
        <v>0</v>
      </c>
      <c r="E159" s="422">
        <v>0</v>
      </c>
      <c r="F159" s="272">
        <f t="shared" si="119"/>
        <v>24</v>
      </c>
      <c r="G159" s="274">
        <f t="shared" si="80"/>
        <v>1</v>
      </c>
      <c r="H159" s="275">
        <f t="shared" si="81"/>
        <v>1</v>
      </c>
      <c r="I159" s="422">
        <v>178.5</v>
      </c>
      <c r="J159" s="278">
        <f t="shared" si="82"/>
        <v>0</v>
      </c>
      <c r="K159" s="272">
        <f>IFERROR(INDEX('Horo. M'!$E$3:$E$367,MATCH(A159,'Horo. M'!$A$3:$A$367,0)),"")</f>
        <v>24</v>
      </c>
      <c r="L159" s="422">
        <v>0</v>
      </c>
      <c r="M159" s="422">
        <v>0</v>
      </c>
      <c r="N159" s="272">
        <f t="shared" si="83"/>
        <v>24</v>
      </c>
      <c r="O159" s="274">
        <f t="shared" si="84"/>
        <v>1</v>
      </c>
      <c r="P159" s="275">
        <f t="shared" si="85"/>
        <v>1</v>
      </c>
      <c r="Q159" s="422">
        <v>179.9</v>
      </c>
      <c r="R159" s="278">
        <f t="shared" si="86"/>
        <v>0</v>
      </c>
      <c r="S159" s="272">
        <f>IFERROR(INDEX('Horo. M'!G$3:$G$367,MATCH(A159,'Horo. M'!$A$3:$A$367,0)),"")</f>
        <v>24</v>
      </c>
      <c r="T159" s="422">
        <v>0</v>
      </c>
      <c r="U159" s="422">
        <v>0</v>
      </c>
      <c r="V159" s="272">
        <f t="shared" si="87"/>
        <v>24</v>
      </c>
      <c r="W159" s="274">
        <f t="shared" si="88"/>
        <v>1</v>
      </c>
      <c r="X159" s="275">
        <f t="shared" si="89"/>
        <v>1</v>
      </c>
      <c r="Y159" s="422">
        <v>179.49</v>
      </c>
      <c r="Z159" s="278">
        <f t="shared" si="90"/>
        <v>0</v>
      </c>
      <c r="AA159" s="272">
        <f>IFERROR(INDEX('Horo. M'!$I$3:I$367,MATCH(A159,'Horo. M'!$A$3:$A$367,0)),"")</f>
        <v>4</v>
      </c>
      <c r="AB159" s="422">
        <v>20</v>
      </c>
      <c r="AC159" s="422">
        <v>0</v>
      </c>
      <c r="AD159" s="272">
        <f t="shared" si="91"/>
        <v>4</v>
      </c>
      <c r="AE159" s="274">
        <f t="shared" si="92"/>
        <v>0.16666666666666666</v>
      </c>
      <c r="AF159" s="275">
        <f t="shared" si="93"/>
        <v>0.16666666666666666</v>
      </c>
      <c r="AG159" s="422">
        <v>18.38</v>
      </c>
      <c r="AH159" s="272">
        <f t="shared" si="94"/>
        <v>0</v>
      </c>
      <c r="AI159" s="272">
        <f>IFERROR(INDEX('Horo. M'!$K$3:K$367,MATCH(A159,'Horo. M'!$A$3:$A$367,0)),"")</f>
        <v>24</v>
      </c>
      <c r="AJ159" s="422">
        <v>0</v>
      </c>
      <c r="AK159" s="422">
        <v>0</v>
      </c>
      <c r="AL159" s="272">
        <f t="shared" si="95"/>
        <v>24</v>
      </c>
      <c r="AM159" s="274">
        <f t="shared" si="96"/>
        <v>1</v>
      </c>
      <c r="AN159" s="275">
        <f t="shared" si="97"/>
        <v>1</v>
      </c>
      <c r="AO159" s="422">
        <v>178.28</v>
      </c>
      <c r="AP159" s="272">
        <f t="shared" si="98"/>
        <v>0</v>
      </c>
      <c r="AQ159" s="272">
        <f>IFERROR(INDEX('Horo. M'!$M$3:M$367,MATCH(A159,'Horo. M'!$A$3:$A$367,0)),"")</f>
        <v>24</v>
      </c>
      <c r="AR159" s="422">
        <v>0</v>
      </c>
      <c r="AS159" s="422">
        <v>0</v>
      </c>
      <c r="AT159" s="272">
        <f t="shared" si="99"/>
        <v>24</v>
      </c>
      <c r="AU159" s="274">
        <f t="shared" si="100"/>
        <v>1</v>
      </c>
      <c r="AV159" s="275">
        <f t="shared" si="101"/>
        <v>1</v>
      </c>
      <c r="AW159" s="422">
        <v>179.47</v>
      </c>
      <c r="AX159" s="272">
        <f t="shared" si="102"/>
        <v>0</v>
      </c>
      <c r="AY159" s="272">
        <f>IFERROR(INDEX('Horo. M'!$O$3:O$367,MATCH(A159,'Horo. M'!$A$3:$A$367,0)),"")</f>
        <v>24</v>
      </c>
      <c r="AZ159" s="422">
        <v>0</v>
      </c>
      <c r="BA159" s="422">
        <v>0</v>
      </c>
      <c r="BB159" s="272">
        <f t="shared" si="103"/>
        <v>24</v>
      </c>
      <c r="BC159" s="274">
        <f t="shared" si="104"/>
        <v>1</v>
      </c>
      <c r="BD159" s="275">
        <f t="shared" si="105"/>
        <v>1</v>
      </c>
      <c r="BE159" s="422">
        <v>177.53</v>
      </c>
      <c r="BF159" s="272">
        <f t="shared" si="106"/>
        <v>0</v>
      </c>
      <c r="BG159" s="272">
        <f>IFERROR(INDEX('Horo. M'!$Q$3:Q$367,MATCH(A159,'Horo. M'!$A$3:$A$367,0)),"")</f>
        <v>0</v>
      </c>
      <c r="BH159" s="422">
        <v>24</v>
      </c>
      <c r="BI159" s="422">
        <v>0</v>
      </c>
      <c r="BJ159" s="272">
        <f t="shared" si="107"/>
        <v>0</v>
      </c>
      <c r="BK159" s="274">
        <f t="shared" si="108"/>
        <v>0</v>
      </c>
      <c r="BL159" s="275">
        <f t="shared" si="109"/>
        <v>0</v>
      </c>
      <c r="BM159" s="422">
        <v>0</v>
      </c>
      <c r="BN159" s="272">
        <f t="shared" si="110"/>
        <v>0</v>
      </c>
      <c r="BO159" s="272">
        <f>IFERROR(INDEX('Horo. M'!$S$3:S$367,MATCH(A159,'Horo. M'!$A$3:$A$367,0)),"")</f>
        <v>23</v>
      </c>
      <c r="BP159" s="422">
        <v>1</v>
      </c>
      <c r="BQ159" s="422">
        <v>0</v>
      </c>
      <c r="BR159" s="272">
        <f t="shared" si="111"/>
        <v>23</v>
      </c>
      <c r="BS159" s="274">
        <f t="shared" si="112"/>
        <v>0.95833333333333337</v>
      </c>
      <c r="BT159" s="275">
        <f t="shared" si="113"/>
        <v>0.95833333333333337</v>
      </c>
      <c r="BU159" s="422">
        <v>169.62</v>
      </c>
      <c r="BV159" s="272">
        <f t="shared" si="114"/>
        <v>0</v>
      </c>
      <c r="BW159" s="272">
        <f>IFERROR(INDEX('Horo. M'!$U$3:U$367,MATCH(A159,'Horo. M'!$A$3:$A$367,0)),"")</f>
        <v>24</v>
      </c>
      <c r="BX159" s="422">
        <v>0</v>
      </c>
      <c r="BY159" s="422">
        <v>0</v>
      </c>
      <c r="BZ159" s="272">
        <f t="shared" si="115"/>
        <v>24</v>
      </c>
      <c r="CA159" s="274">
        <f t="shared" si="116"/>
        <v>1</v>
      </c>
      <c r="CB159" s="275">
        <f t="shared" si="117"/>
        <v>1</v>
      </c>
      <c r="CC159" s="422">
        <v>180.07</v>
      </c>
    </row>
    <row r="160" spans="1:81">
      <c r="A160" s="424">
        <v>45085</v>
      </c>
      <c r="B160" s="278">
        <f t="shared" si="118"/>
        <v>0</v>
      </c>
      <c r="C160" s="272">
        <f>IFERROR(INDEX('Horo. M'!$C$3:$C$367,MATCH(A160,'Horo. M'!$A$3:$A$367,0)),"")</f>
        <v>24</v>
      </c>
      <c r="D160" s="422">
        <v>0</v>
      </c>
      <c r="E160" s="422">
        <v>0</v>
      </c>
      <c r="F160" s="272">
        <f t="shared" si="119"/>
        <v>24</v>
      </c>
      <c r="G160" s="274">
        <f t="shared" si="80"/>
        <v>1</v>
      </c>
      <c r="H160" s="275">
        <f t="shared" si="81"/>
        <v>1</v>
      </c>
      <c r="I160" s="422">
        <v>174.3</v>
      </c>
      <c r="J160" s="278">
        <f t="shared" si="82"/>
        <v>0</v>
      </c>
      <c r="K160" s="272">
        <f>IFERROR(INDEX('Horo. M'!$E$3:$E$367,MATCH(A160,'Horo. M'!$A$3:$A$367,0)),"")</f>
        <v>24</v>
      </c>
      <c r="L160" s="422">
        <v>0</v>
      </c>
      <c r="M160" s="422">
        <v>0</v>
      </c>
      <c r="N160" s="272">
        <f t="shared" si="83"/>
        <v>24</v>
      </c>
      <c r="O160" s="274">
        <f t="shared" si="84"/>
        <v>1</v>
      </c>
      <c r="P160" s="275">
        <f t="shared" si="85"/>
        <v>1</v>
      </c>
      <c r="Q160" s="422">
        <v>175</v>
      </c>
      <c r="R160" s="278">
        <f t="shared" si="86"/>
        <v>0</v>
      </c>
      <c r="S160" s="272">
        <f>IFERROR(INDEX('Horo. M'!G$3:$G$367,MATCH(A160,'Horo. M'!$A$3:$A$367,0)),"")</f>
        <v>24</v>
      </c>
      <c r="T160" s="422">
        <v>0</v>
      </c>
      <c r="U160" s="422">
        <v>0</v>
      </c>
      <c r="V160" s="272">
        <f t="shared" si="87"/>
        <v>24</v>
      </c>
      <c r="W160" s="274">
        <f t="shared" si="88"/>
        <v>1</v>
      </c>
      <c r="X160" s="275">
        <f t="shared" si="89"/>
        <v>1</v>
      </c>
      <c r="Y160" s="422">
        <v>176.16</v>
      </c>
      <c r="Z160" s="278">
        <f t="shared" si="90"/>
        <v>0</v>
      </c>
      <c r="AA160" s="272">
        <f>IFERROR(INDEX('Horo. M'!$I$3:I$367,MATCH(A160,'Horo. M'!$A$3:$A$367,0)),"")</f>
        <v>3</v>
      </c>
      <c r="AB160" s="422">
        <v>21</v>
      </c>
      <c r="AC160" s="422">
        <v>0</v>
      </c>
      <c r="AD160" s="272">
        <f t="shared" si="91"/>
        <v>3</v>
      </c>
      <c r="AE160" s="274">
        <f t="shared" si="92"/>
        <v>0.125</v>
      </c>
      <c r="AF160" s="275">
        <f t="shared" si="93"/>
        <v>0.125</v>
      </c>
      <c r="AG160" s="422">
        <v>15.18</v>
      </c>
      <c r="AH160" s="272">
        <f t="shared" si="94"/>
        <v>0</v>
      </c>
      <c r="AI160" s="272">
        <f>IFERROR(INDEX('Horo. M'!$K$3:K$367,MATCH(A160,'Horo. M'!$A$3:$A$367,0)),"")</f>
        <v>23</v>
      </c>
      <c r="AJ160" s="422">
        <v>0</v>
      </c>
      <c r="AK160" s="422">
        <v>1</v>
      </c>
      <c r="AL160" s="272">
        <f t="shared" si="95"/>
        <v>23</v>
      </c>
      <c r="AM160" s="274">
        <f t="shared" si="96"/>
        <v>0.95833333333333337</v>
      </c>
      <c r="AN160" s="275">
        <f t="shared" si="97"/>
        <v>0.95833333333333337</v>
      </c>
      <c r="AO160" s="422">
        <v>155.33000000000001</v>
      </c>
      <c r="AP160" s="272">
        <f t="shared" si="98"/>
        <v>1</v>
      </c>
      <c r="AQ160" s="272">
        <f>IFERROR(INDEX('Horo. M'!$M$3:M$367,MATCH(A160,'Horo. M'!$A$3:$A$367,0)),"")</f>
        <v>23</v>
      </c>
      <c r="AR160" s="422">
        <v>0</v>
      </c>
      <c r="AS160" s="422">
        <v>0</v>
      </c>
      <c r="AT160" s="272">
        <f t="shared" si="99"/>
        <v>24</v>
      </c>
      <c r="AU160" s="274">
        <f t="shared" si="100"/>
        <v>0.95833333333333337</v>
      </c>
      <c r="AV160" s="275">
        <f t="shared" si="101"/>
        <v>1</v>
      </c>
      <c r="AW160" s="422">
        <v>161.22</v>
      </c>
      <c r="AX160" s="272">
        <f t="shared" si="102"/>
        <v>2</v>
      </c>
      <c r="AY160" s="272">
        <f>IFERROR(INDEX('Horo. M'!$O$3:O$367,MATCH(A160,'Horo. M'!$A$3:$A$367,0)),"")</f>
        <v>22</v>
      </c>
      <c r="AZ160" s="422">
        <v>0</v>
      </c>
      <c r="BA160" s="422">
        <v>0</v>
      </c>
      <c r="BB160" s="272">
        <f t="shared" si="103"/>
        <v>24</v>
      </c>
      <c r="BC160" s="274">
        <f t="shared" si="104"/>
        <v>0.91666666666666663</v>
      </c>
      <c r="BD160" s="275">
        <f t="shared" si="105"/>
        <v>1</v>
      </c>
      <c r="BE160" s="422">
        <v>149.33000000000001</v>
      </c>
      <c r="BF160" s="272">
        <f t="shared" si="106"/>
        <v>0</v>
      </c>
      <c r="BG160" s="272">
        <f>IFERROR(INDEX('Horo. M'!$Q$3:Q$367,MATCH(A160,'Horo. M'!$A$3:$A$367,0)),"")</f>
        <v>0</v>
      </c>
      <c r="BH160" s="422">
        <v>24</v>
      </c>
      <c r="BI160" s="422">
        <v>0</v>
      </c>
      <c r="BJ160" s="272">
        <f t="shared" si="107"/>
        <v>0</v>
      </c>
      <c r="BK160" s="274">
        <f t="shared" si="108"/>
        <v>0</v>
      </c>
      <c r="BL160" s="275">
        <f t="shared" si="109"/>
        <v>0</v>
      </c>
      <c r="BM160" s="422">
        <v>0</v>
      </c>
      <c r="BN160" s="272">
        <f t="shared" si="110"/>
        <v>0</v>
      </c>
      <c r="BO160" s="272">
        <f>IFERROR(INDEX('Horo. M'!$S$3:S$367,MATCH(A160,'Horo. M'!$A$3:$A$367,0)),"")</f>
        <v>23</v>
      </c>
      <c r="BP160" s="422">
        <v>1</v>
      </c>
      <c r="BQ160" s="422">
        <v>0</v>
      </c>
      <c r="BR160" s="272">
        <f t="shared" si="111"/>
        <v>23</v>
      </c>
      <c r="BS160" s="274">
        <f t="shared" si="112"/>
        <v>0.95833333333333337</v>
      </c>
      <c r="BT160" s="275">
        <f t="shared" si="113"/>
        <v>0.95833333333333337</v>
      </c>
      <c r="BU160" s="422">
        <v>170.66</v>
      </c>
      <c r="BV160" s="272">
        <f t="shared" si="114"/>
        <v>1</v>
      </c>
      <c r="BW160" s="272">
        <f>IFERROR(INDEX('Horo. M'!$U$3:U$367,MATCH(A160,'Horo. M'!$A$3:$A$367,0)),"")</f>
        <v>23</v>
      </c>
      <c r="BX160" s="422">
        <v>0</v>
      </c>
      <c r="BY160" s="422">
        <v>0</v>
      </c>
      <c r="BZ160" s="272">
        <f t="shared" si="115"/>
        <v>24</v>
      </c>
      <c r="CA160" s="274">
        <f t="shared" si="116"/>
        <v>0.95833333333333337</v>
      </c>
      <c r="CB160" s="275">
        <f t="shared" si="117"/>
        <v>1</v>
      </c>
      <c r="CC160" s="422">
        <v>178.25</v>
      </c>
    </row>
    <row r="161" spans="1:81">
      <c r="A161" s="424">
        <v>45086</v>
      </c>
      <c r="B161" s="278">
        <f t="shared" si="118"/>
        <v>0</v>
      </c>
      <c r="C161" s="272">
        <f>IFERROR(INDEX('Horo. M'!$C$3:$C$367,MATCH(A161,'Horo. M'!$A$3:$A$367,0)),"")</f>
        <v>24</v>
      </c>
      <c r="D161" s="422">
        <v>0</v>
      </c>
      <c r="E161" s="422">
        <v>0</v>
      </c>
      <c r="F161" s="272">
        <f t="shared" si="119"/>
        <v>24</v>
      </c>
      <c r="G161" s="274">
        <f t="shared" si="80"/>
        <v>1</v>
      </c>
      <c r="H161" s="275">
        <f t="shared" si="81"/>
        <v>1</v>
      </c>
      <c r="I161" s="422">
        <v>172.4</v>
      </c>
      <c r="J161" s="278">
        <f t="shared" si="82"/>
        <v>0</v>
      </c>
      <c r="K161" s="272">
        <f>IFERROR(INDEX('Horo. M'!$E$3:$E$367,MATCH(A161,'Horo. M'!$A$3:$A$367,0)),"")</f>
        <v>24</v>
      </c>
      <c r="L161" s="422">
        <v>0</v>
      </c>
      <c r="M161" s="422">
        <v>0</v>
      </c>
      <c r="N161" s="272">
        <f t="shared" si="83"/>
        <v>24</v>
      </c>
      <c r="O161" s="274">
        <f t="shared" si="84"/>
        <v>1</v>
      </c>
      <c r="P161" s="275">
        <f t="shared" si="85"/>
        <v>1</v>
      </c>
      <c r="Q161" s="422">
        <v>169.9</v>
      </c>
      <c r="R161" s="278">
        <f t="shared" si="86"/>
        <v>0</v>
      </c>
      <c r="S161" s="272">
        <f>IFERROR(INDEX('Horo. M'!G$3:$G$367,MATCH(A161,'Horo. M'!$A$3:$A$367,0)),"")</f>
        <v>24</v>
      </c>
      <c r="T161" s="422">
        <v>0</v>
      </c>
      <c r="U161" s="422">
        <v>0</v>
      </c>
      <c r="V161" s="272">
        <f t="shared" si="87"/>
        <v>24</v>
      </c>
      <c r="W161" s="274">
        <f t="shared" si="88"/>
        <v>1</v>
      </c>
      <c r="X161" s="275">
        <f t="shared" si="89"/>
        <v>1</v>
      </c>
      <c r="Y161" s="422">
        <v>171.02</v>
      </c>
      <c r="Z161" s="278">
        <f t="shared" si="90"/>
        <v>5</v>
      </c>
      <c r="AA161" s="272">
        <f>IFERROR(INDEX('Horo. M'!$I$3:I$367,MATCH(A161,'Horo. M'!$A$3:$A$367,0)),"")</f>
        <v>9</v>
      </c>
      <c r="AB161" s="422">
        <v>10</v>
      </c>
      <c r="AC161" s="422">
        <v>0</v>
      </c>
      <c r="AD161" s="272">
        <f t="shared" si="91"/>
        <v>14</v>
      </c>
      <c r="AE161" s="274">
        <f t="shared" si="92"/>
        <v>0.375</v>
      </c>
      <c r="AF161" s="275">
        <f t="shared" si="93"/>
        <v>0.58333333333333337</v>
      </c>
      <c r="AG161" s="422">
        <v>71.66</v>
      </c>
      <c r="AH161" s="272">
        <f t="shared" si="94"/>
        <v>0</v>
      </c>
      <c r="AI161" s="272">
        <f>IFERROR(INDEX('Horo. M'!$K$3:K$367,MATCH(A161,'Horo. M'!$A$3:$A$367,0)),"")</f>
        <v>24</v>
      </c>
      <c r="AJ161" s="422">
        <v>0</v>
      </c>
      <c r="AK161" s="422">
        <v>0</v>
      </c>
      <c r="AL161" s="272">
        <f t="shared" si="95"/>
        <v>24</v>
      </c>
      <c r="AM161" s="274">
        <f t="shared" si="96"/>
        <v>1</v>
      </c>
      <c r="AN161" s="275">
        <f t="shared" si="97"/>
        <v>1</v>
      </c>
      <c r="AO161" s="422">
        <v>158.74</v>
      </c>
      <c r="AP161" s="272">
        <f t="shared" si="98"/>
        <v>0</v>
      </c>
      <c r="AQ161" s="272">
        <f>IFERROR(INDEX('Horo. M'!$M$3:M$367,MATCH(A161,'Horo. M'!$A$3:$A$367,0)),"")</f>
        <v>22</v>
      </c>
      <c r="AR161" s="422">
        <v>2</v>
      </c>
      <c r="AS161" s="422">
        <v>0</v>
      </c>
      <c r="AT161" s="272">
        <f t="shared" si="99"/>
        <v>22</v>
      </c>
      <c r="AU161" s="274">
        <f t="shared" si="100"/>
        <v>0.91666666666666663</v>
      </c>
      <c r="AV161" s="275">
        <f t="shared" si="101"/>
        <v>0.91666666666666663</v>
      </c>
      <c r="AW161" s="422">
        <v>151.75</v>
      </c>
      <c r="AX161" s="272">
        <f t="shared" si="102"/>
        <v>0</v>
      </c>
      <c r="AY161" s="272">
        <f>IFERROR(INDEX('Horo. M'!$O$3:O$367,MATCH(A161,'Horo. M'!$A$3:$A$367,0)),"")</f>
        <v>24</v>
      </c>
      <c r="AZ161" s="422">
        <v>0</v>
      </c>
      <c r="BA161" s="422">
        <v>0</v>
      </c>
      <c r="BB161" s="272">
        <f t="shared" si="103"/>
        <v>24</v>
      </c>
      <c r="BC161" s="274">
        <f t="shared" si="104"/>
        <v>1</v>
      </c>
      <c r="BD161" s="275">
        <f t="shared" si="105"/>
        <v>1</v>
      </c>
      <c r="BE161" s="422">
        <v>167.77</v>
      </c>
      <c r="BF161" s="272">
        <f t="shared" si="106"/>
        <v>0</v>
      </c>
      <c r="BG161" s="272">
        <f>IFERROR(INDEX('Horo. M'!$Q$3:Q$367,MATCH(A161,'Horo. M'!$A$3:$A$367,0)),"")</f>
        <v>0</v>
      </c>
      <c r="BH161" s="422">
        <v>24</v>
      </c>
      <c r="BI161" s="422">
        <v>0</v>
      </c>
      <c r="BJ161" s="272">
        <f t="shared" si="107"/>
        <v>0</v>
      </c>
      <c r="BK161" s="274">
        <f t="shared" si="108"/>
        <v>0</v>
      </c>
      <c r="BL161" s="275">
        <f t="shared" si="109"/>
        <v>0</v>
      </c>
      <c r="BM161" s="422">
        <v>0</v>
      </c>
      <c r="BN161" s="272">
        <f t="shared" si="110"/>
        <v>0</v>
      </c>
      <c r="BO161" s="272">
        <f>IFERROR(INDEX('Horo. M'!$S$3:S$367,MATCH(A161,'Horo. M'!$A$3:$A$367,0)),"")</f>
        <v>24</v>
      </c>
      <c r="BP161" s="422">
        <v>0</v>
      </c>
      <c r="BQ161" s="422">
        <v>0</v>
      </c>
      <c r="BR161" s="272">
        <f t="shared" si="111"/>
        <v>24</v>
      </c>
      <c r="BS161" s="274">
        <f t="shared" si="112"/>
        <v>1</v>
      </c>
      <c r="BT161" s="275">
        <f t="shared" si="113"/>
        <v>1</v>
      </c>
      <c r="BU161" s="422">
        <v>164.16</v>
      </c>
      <c r="BV161" s="272">
        <f t="shared" si="114"/>
        <v>0</v>
      </c>
      <c r="BW161" s="272">
        <f>IFERROR(INDEX('Horo. M'!$U$3:U$367,MATCH(A161,'Horo. M'!$A$3:$A$367,0)),"")</f>
        <v>24</v>
      </c>
      <c r="BX161" s="422">
        <v>0</v>
      </c>
      <c r="BY161" s="422">
        <v>0</v>
      </c>
      <c r="BZ161" s="272">
        <f t="shared" si="115"/>
        <v>24</v>
      </c>
      <c r="CA161" s="274">
        <f t="shared" si="116"/>
        <v>1</v>
      </c>
      <c r="CB161" s="275">
        <f t="shared" si="117"/>
        <v>1</v>
      </c>
      <c r="CC161" s="422">
        <v>170.19</v>
      </c>
    </row>
    <row r="162" spans="1:81">
      <c r="A162" s="424">
        <v>45087</v>
      </c>
      <c r="B162" s="278">
        <f t="shared" si="118"/>
        <v>0</v>
      </c>
      <c r="C162" s="272">
        <f>IFERROR(INDEX('Horo. M'!$C$3:$C$367,MATCH(A162,'Horo. M'!$A$3:$A$367,0)),"")</f>
        <v>21</v>
      </c>
      <c r="D162" s="422">
        <v>3</v>
      </c>
      <c r="E162" s="422">
        <v>0</v>
      </c>
      <c r="F162" s="272">
        <f t="shared" si="119"/>
        <v>21</v>
      </c>
      <c r="G162" s="274">
        <f t="shared" si="80"/>
        <v>0.875</v>
      </c>
      <c r="H162" s="275">
        <f t="shared" si="81"/>
        <v>0.875</v>
      </c>
      <c r="I162" s="422">
        <v>150.4</v>
      </c>
      <c r="J162" s="278">
        <f t="shared" si="82"/>
        <v>0</v>
      </c>
      <c r="K162" s="272">
        <f>IFERROR(INDEX('Horo. M'!$E$3:$E$367,MATCH(A162,'Horo. M'!$A$3:$A$367,0)),"")</f>
        <v>24</v>
      </c>
      <c r="L162" s="422">
        <v>0</v>
      </c>
      <c r="M162" s="422">
        <v>0</v>
      </c>
      <c r="N162" s="272">
        <f t="shared" si="83"/>
        <v>24</v>
      </c>
      <c r="O162" s="274">
        <f t="shared" si="84"/>
        <v>1</v>
      </c>
      <c r="P162" s="275">
        <f t="shared" si="85"/>
        <v>1</v>
      </c>
      <c r="Q162" s="422">
        <v>172.9</v>
      </c>
      <c r="R162" s="278">
        <f t="shared" si="86"/>
        <v>0</v>
      </c>
      <c r="S162" s="272">
        <f>IFERROR(INDEX('Horo. M'!G$3:$G$367,MATCH(A162,'Horo. M'!$A$3:$A$367,0)),"")</f>
        <v>19</v>
      </c>
      <c r="T162" s="422">
        <v>5</v>
      </c>
      <c r="U162" s="422">
        <v>0</v>
      </c>
      <c r="V162" s="272">
        <f t="shared" si="87"/>
        <v>19</v>
      </c>
      <c r="W162" s="274">
        <f t="shared" si="88"/>
        <v>0.79166666666666663</v>
      </c>
      <c r="X162" s="275">
        <f t="shared" si="89"/>
        <v>0.79166666666666663</v>
      </c>
      <c r="Y162" s="422">
        <v>125.66</v>
      </c>
      <c r="Z162" s="278">
        <f t="shared" si="90"/>
        <v>0</v>
      </c>
      <c r="AA162" s="272">
        <f>IFERROR(INDEX('Horo. M'!$I$3:I$367,MATCH(A162,'Horo. M'!$A$3:$A$367,0)),"")</f>
        <v>24</v>
      </c>
      <c r="AB162" s="422">
        <v>0</v>
      </c>
      <c r="AC162" s="422">
        <v>0</v>
      </c>
      <c r="AD162" s="272">
        <f t="shared" si="91"/>
        <v>24</v>
      </c>
      <c r="AE162" s="274">
        <f t="shared" si="92"/>
        <v>1</v>
      </c>
      <c r="AF162" s="275">
        <f t="shared" si="93"/>
        <v>1</v>
      </c>
      <c r="AG162" s="422">
        <v>177.28</v>
      </c>
      <c r="AH162" s="272">
        <f t="shared" si="94"/>
        <v>0</v>
      </c>
      <c r="AI162" s="272">
        <f>IFERROR(INDEX('Horo. M'!$K$3:K$367,MATCH(A162,'Horo. M'!$A$3:$A$367,0)),"")</f>
        <v>24</v>
      </c>
      <c r="AJ162" s="422">
        <v>0</v>
      </c>
      <c r="AK162" s="422">
        <v>0</v>
      </c>
      <c r="AL162" s="272">
        <f t="shared" si="95"/>
        <v>24</v>
      </c>
      <c r="AM162" s="274">
        <f t="shared" si="96"/>
        <v>1</v>
      </c>
      <c r="AN162" s="275">
        <f t="shared" si="97"/>
        <v>1</v>
      </c>
      <c r="AO162" s="422">
        <v>171.92</v>
      </c>
      <c r="AP162" s="272">
        <f t="shared" si="98"/>
        <v>0</v>
      </c>
      <c r="AQ162" s="272">
        <f>IFERROR(INDEX('Horo. M'!$M$3:M$367,MATCH(A162,'Horo. M'!$A$3:$A$367,0)),"")</f>
        <v>24</v>
      </c>
      <c r="AR162" s="422">
        <v>0</v>
      </c>
      <c r="AS162" s="422">
        <v>0</v>
      </c>
      <c r="AT162" s="272">
        <f t="shared" si="99"/>
        <v>24</v>
      </c>
      <c r="AU162" s="274">
        <f t="shared" si="100"/>
        <v>1</v>
      </c>
      <c r="AV162" s="275">
        <f t="shared" si="101"/>
        <v>1</v>
      </c>
      <c r="AW162" s="422">
        <v>173.92</v>
      </c>
      <c r="AX162" s="272">
        <f t="shared" si="102"/>
        <v>0</v>
      </c>
      <c r="AY162" s="272">
        <f>IFERROR(INDEX('Horo. M'!$O$3:O$367,MATCH(A162,'Horo. M'!$A$3:$A$367,0)),"")</f>
        <v>24</v>
      </c>
      <c r="AZ162" s="422">
        <v>0</v>
      </c>
      <c r="BA162" s="422">
        <v>0</v>
      </c>
      <c r="BB162" s="272">
        <f t="shared" si="103"/>
        <v>24</v>
      </c>
      <c r="BC162" s="274">
        <f t="shared" si="104"/>
        <v>1</v>
      </c>
      <c r="BD162" s="275">
        <f t="shared" si="105"/>
        <v>1</v>
      </c>
      <c r="BE162" s="422">
        <v>171.06</v>
      </c>
      <c r="BF162" s="272">
        <f t="shared" si="106"/>
        <v>0</v>
      </c>
      <c r="BG162" s="272">
        <f>IFERROR(INDEX('Horo. M'!$Q$3:Q$367,MATCH(A162,'Horo. M'!$A$3:$A$367,0)),"")</f>
        <v>0</v>
      </c>
      <c r="BH162" s="422">
        <v>24</v>
      </c>
      <c r="BI162" s="422">
        <v>0</v>
      </c>
      <c r="BJ162" s="272">
        <f t="shared" si="107"/>
        <v>0</v>
      </c>
      <c r="BK162" s="274">
        <f t="shared" si="108"/>
        <v>0</v>
      </c>
      <c r="BL162" s="275">
        <f t="shared" si="109"/>
        <v>0</v>
      </c>
      <c r="BM162" s="422">
        <v>0</v>
      </c>
      <c r="BN162" s="272">
        <f t="shared" si="110"/>
        <v>3</v>
      </c>
      <c r="BO162" s="272">
        <f>IFERROR(INDEX('Horo. M'!$S$3:S$367,MATCH(A162,'Horo. M'!$A$3:$A$367,0)),"")</f>
        <v>5</v>
      </c>
      <c r="BP162" s="422">
        <v>0</v>
      </c>
      <c r="BQ162" s="422">
        <v>16</v>
      </c>
      <c r="BR162" s="272">
        <f t="shared" si="111"/>
        <v>8</v>
      </c>
      <c r="BS162" s="274">
        <f t="shared" si="112"/>
        <v>0.20833333333333334</v>
      </c>
      <c r="BT162" s="275">
        <f t="shared" si="113"/>
        <v>0.33333333333333331</v>
      </c>
      <c r="BU162" s="422">
        <v>38.33</v>
      </c>
      <c r="BV162" s="272">
        <f t="shared" si="114"/>
        <v>0</v>
      </c>
      <c r="BW162" s="272">
        <f>IFERROR(INDEX('Horo. M'!$U$3:U$367,MATCH(A162,'Horo. M'!$A$3:$A$367,0)),"")</f>
        <v>24</v>
      </c>
      <c r="BX162" s="422">
        <v>0</v>
      </c>
      <c r="BY162" s="422">
        <v>0</v>
      </c>
      <c r="BZ162" s="272">
        <f t="shared" si="115"/>
        <v>24</v>
      </c>
      <c r="CA162" s="274">
        <f t="shared" si="116"/>
        <v>1</v>
      </c>
      <c r="CB162" s="275">
        <f t="shared" si="117"/>
        <v>1</v>
      </c>
      <c r="CC162" s="422">
        <v>178.04</v>
      </c>
    </row>
    <row r="163" spans="1:81">
      <c r="A163" s="424">
        <v>45088</v>
      </c>
      <c r="B163" s="278">
        <f t="shared" si="118"/>
        <v>3</v>
      </c>
      <c r="C163" s="272">
        <f>IFERROR(INDEX('Horo. M'!$C$3:$C$367,MATCH(A163,'Horo. M'!$A$3:$A$367,0)),"")</f>
        <v>3</v>
      </c>
      <c r="D163" s="422">
        <v>3</v>
      </c>
      <c r="E163" s="422">
        <v>15</v>
      </c>
      <c r="F163" s="272">
        <f t="shared" si="119"/>
        <v>6</v>
      </c>
      <c r="G163" s="274">
        <f t="shared" si="80"/>
        <v>0.125</v>
      </c>
      <c r="H163" s="275">
        <f t="shared" si="81"/>
        <v>0.25</v>
      </c>
      <c r="I163" s="422">
        <v>21.6</v>
      </c>
      <c r="J163" s="278">
        <f t="shared" si="82"/>
        <v>1</v>
      </c>
      <c r="K163" s="272">
        <f>IFERROR(INDEX('Horo. M'!$E$3:$E$367,MATCH(A163,'Horo. M'!$A$3:$A$367,0)),"")</f>
        <v>19</v>
      </c>
      <c r="L163" s="422">
        <v>0</v>
      </c>
      <c r="M163" s="422">
        <v>4</v>
      </c>
      <c r="N163" s="272">
        <f t="shared" si="83"/>
        <v>20</v>
      </c>
      <c r="O163" s="274">
        <f t="shared" si="84"/>
        <v>0.79166666666666663</v>
      </c>
      <c r="P163" s="275">
        <f t="shared" si="85"/>
        <v>0.83333333333333337</v>
      </c>
      <c r="Q163" s="422">
        <v>139.4</v>
      </c>
      <c r="R163" s="278">
        <f t="shared" si="86"/>
        <v>3</v>
      </c>
      <c r="S163" s="272">
        <f>IFERROR(INDEX('Horo. M'!G$3:$G$367,MATCH(A163,'Horo. M'!$A$3:$A$367,0)),"")</f>
        <v>21</v>
      </c>
      <c r="T163" s="422">
        <v>0</v>
      </c>
      <c r="U163" s="422">
        <v>0</v>
      </c>
      <c r="V163" s="272">
        <f t="shared" si="87"/>
        <v>24</v>
      </c>
      <c r="W163" s="274">
        <f t="shared" si="88"/>
        <v>0.875</v>
      </c>
      <c r="X163" s="275">
        <f t="shared" si="89"/>
        <v>1</v>
      </c>
      <c r="Y163" s="422">
        <v>151.19</v>
      </c>
      <c r="Z163" s="278">
        <f t="shared" si="90"/>
        <v>0</v>
      </c>
      <c r="AA163" s="272">
        <f>IFERROR(INDEX('Horo. M'!$I$3:I$367,MATCH(A163,'Horo. M'!$A$3:$A$367,0)),"")</f>
        <v>24</v>
      </c>
      <c r="AB163" s="422">
        <v>0</v>
      </c>
      <c r="AC163" s="422">
        <v>0</v>
      </c>
      <c r="AD163" s="272">
        <f t="shared" si="91"/>
        <v>24</v>
      </c>
      <c r="AE163" s="274">
        <f t="shared" si="92"/>
        <v>1</v>
      </c>
      <c r="AF163" s="275">
        <f t="shared" si="93"/>
        <v>1</v>
      </c>
      <c r="AG163" s="422">
        <v>175.63</v>
      </c>
      <c r="AH163" s="272">
        <f t="shared" si="94"/>
        <v>0</v>
      </c>
      <c r="AI163" s="272">
        <f>IFERROR(INDEX('Horo. M'!$K$3:K$367,MATCH(A163,'Horo. M'!$A$3:$A$367,0)),"")</f>
        <v>24</v>
      </c>
      <c r="AJ163" s="422">
        <v>0</v>
      </c>
      <c r="AK163" s="422">
        <v>0</v>
      </c>
      <c r="AL163" s="272">
        <f t="shared" si="95"/>
        <v>24</v>
      </c>
      <c r="AM163" s="274">
        <f t="shared" si="96"/>
        <v>1</v>
      </c>
      <c r="AN163" s="275">
        <f t="shared" si="97"/>
        <v>1</v>
      </c>
      <c r="AO163" s="422">
        <v>174.89</v>
      </c>
      <c r="AP163" s="272">
        <f t="shared" si="98"/>
        <v>0</v>
      </c>
      <c r="AQ163" s="272">
        <f>IFERROR(INDEX('Horo. M'!$M$3:M$367,MATCH(A163,'Horo. M'!$A$3:$A$367,0)),"")</f>
        <v>24</v>
      </c>
      <c r="AR163" s="422">
        <v>0</v>
      </c>
      <c r="AS163" s="422">
        <v>0</v>
      </c>
      <c r="AT163" s="272">
        <f t="shared" si="99"/>
        <v>24</v>
      </c>
      <c r="AU163" s="274">
        <f t="shared" si="100"/>
        <v>1</v>
      </c>
      <c r="AV163" s="275">
        <f t="shared" si="101"/>
        <v>1</v>
      </c>
      <c r="AW163" s="422">
        <v>175.13</v>
      </c>
      <c r="AX163" s="272">
        <f t="shared" si="102"/>
        <v>0</v>
      </c>
      <c r="AY163" s="272">
        <f>IFERROR(INDEX('Horo. M'!$O$3:O$367,MATCH(A163,'Horo. M'!$A$3:$A$367,0)),"")</f>
        <v>24</v>
      </c>
      <c r="AZ163" s="422">
        <v>0</v>
      </c>
      <c r="BA163" s="422">
        <v>0</v>
      </c>
      <c r="BB163" s="272">
        <f t="shared" si="103"/>
        <v>24</v>
      </c>
      <c r="BC163" s="274">
        <f t="shared" si="104"/>
        <v>1</v>
      </c>
      <c r="BD163" s="275">
        <f t="shared" si="105"/>
        <v>1</v>
      </c>
      <c r="BE163" s="422">
        <v>174.17</v>
      </c>
      <c r="BF163" s="272">
        <f t="shared" si="106"/>
        <v>0</v>
      </c>
      <c r="BG163" s="272">
        <f>IFERROR(INDEX('Horo. M'!$Q$3:Q$367,MATCH(A163,'Horo. M'!$A$3:$A$367,0)),"")</f>
        <v>0</v>
      </c>
      <c r="BH163" s="422">
        <v>24</v>
      </c>
      <c r="BI163" s="422">
        <v>0</v>
      </c>
      <c r="BJ163" s="272">
        <f t="shared" si="107"/>
        <v>0</v>
      </c>
      <c r="BK163" s="274">
        <f t="shared" si="108"/>
        <v>0</v>
      </c>
      <c r="BL163" s="275">
        <f t="shared" si="109"/>
        <v>0</v>
      </c>
      <c r="BM163" s="422">
        <v>0</v>
      </c>
      <c r="BN163" s="272">
        <f t="shared" si="110"/>
        <v>0</v>
      </c>
      <c r="BO163" s="272">
        <f>IFERROR(INDEX('Horo. M'!$S$3:S$367,MATCH(A163,'Horo. M'!$A$3:$A$367,0)),"")</f>
        <v>24</v>
      </c>
      <c r="BP163" s="422">
        <v>0</v>
      </c>
      <c r="BQ163" s="422">
        <v>0</v>
      </c>
      <c r="BR163" s="272">
        <f t="shared" si="111"/>
        <v>24</v>
      </c>
      <c r="BS163" s="274">
        <f t="shared" si="112"/>
        <v>1</v>
      </c>
      <c r="BT163" s="275">
        <f t="shared" si="113"/>
        <v>1</v>
      </c>
      <c r="BU163" s="422">
        <v>173.68</v>
      </c>
      <c r="BV163" s="272">
        <f t="shared" si="114"/>
        <v>0</v>
      </c>
      <c r="BW163" s="272">
        <f>IFERROR(INDEX('Horo. M'!$U$3:U$367,MATCH(A163,'Horo. M'!$A$3:$A$367,0)),"")</f>
        <v>24</v>
      </c>
      <c r="BX163" s="422">
        <v>0</v>
      </c>
      <c r="BY163" s="422">
        <v>0</v>
      </c>
      <c r="BZ163" s="272">
        <f t="shared" si="115"/>
        <v>24</v>
      </c>
      <c r="CA163" s="274">
        <f t="shared" si="116"/>
        <v>1</v>
      </c>
      <c r="CB163" s="275">
        <f t="shared" si="117"/>
        <v>1</v>
      </c>
      <c r="CC163" s="422">
        <v>176.97</v>
      </c>
    </row>
    <row r="164" spans="1:81">
      <c r="A164" s="424">
        <v>45089</v>
      </c>
      <c r="B164" s="278">
        <f t="shared" si="118"/>
        <v>0</v>
      </c>
      <c r="C164" s="272">
        <f>IFERROR(INDEX('Horo. M'!$C$3:$C$367,MATCH(A164,'Horo. M'!$A$3:$A$367,0)),"")</f>
        <v>24</v>
      </c>
      <c r="D164" s="422">
        <v>0</v>
      </c>
      <c r="E164" s="422">
        <v>0</v>
      </c>
      <c r="F164" s="272">
        <f t="shared" si="119"/>
        <v>24</v>
      </c>
      <c r="G164" s="274">
        <f t="shared" si="80"/>
        <v>1</v>
      </c>
      <c r="H164" s="275">
        <f t="shared" si="81"/>
        <v>1</v>
      </c>
      <c r="I164" s="422">
        <v>183.2</v>
      </c>
      <c r="J164" s="278">
        <f t="shared" si="82"/>
        <v>4</v>
      </c>
      <c r="K164" s="272">
        <f>IFERROR(INDEX('Horo. M'!$E$3:$E$367,MATCH(A164,'Horo. M'!$A$3:$A$367,0)),"")</f>
        <v>6</v>
      </c>
      <c r="L164" s="422">
        <v>0</v>
      </c>
      <c r="M164" s="422">
        <v>14</v>
      </c>
      <c r="N164" s="272">
        <f t="shared" si="83"/>
        <v>10</v>
      </c>
      <c r="O164" s="274">
        <f t="shared" si="84"/>
        <v>0.25</v>
      </c>
      <c r="P164" s="275">
        <f t="shared" si="85"/>
        <v>0.41666666666666669</v>
      </c>
      <c r="Q164" s="422">
        <v>50.2</v>
      </c>
      <c r="R164" s="278">
        <f t="shared" si="86"/>
        <v>3</v>
      </c>
      <c r="S164" s="272">
        <f>IFERROR(INDEX('Horo. M'!G$3:$G$367,MATCH(A164,'Horo. M'!$A$3:$A$367,0)),"")</f>
        <v>21</v>
      </c>
      <c r="T164" s="422">
        <v>0</v>
      </c>
      <c r="U164" s="422">
        <v>0</v>
      </c>
      <c r="V164" s="272">
        <f t="shared" si="87"/>
        <v>24</v>
      </c>
      <c r="W164" s="274">
        <f t="shared" si="88"/>
        <v>0.875</v>
      </c>
      <c r="X164" s="275">
        <f t="shared" si="89"/>
        <v>1</v>
      </c>
      <c r="Y164" s="422">
        <v>155.4</v>
      </c>
      <c r="Z164" s="278">
        <f t="shared" si="90"/>
        <v>0</v>
      </c>
      <c r="AA164" s="272">
        <f>IFERROR(INDEX('Horo. M'!$I$3:I$367,MATCH(A164,'Horo. M'!$A$3:$A$367,0)),"")</f>
        <v>24</v>
      </c>
      <c r="AB164" s="422">
        <v>0</v>
      </c>
      <c r="AC164" s="422">
        <v>0</v>
      </c>
      <c r="AD164" s="272">
        <f t="shared" si="91"/>
        <v>24</v>
      </c>
      <c r="AE164" s="274">
        <f t="shared" si="92"/>
        <v>1</v>
      </c>
      <c r="AF164" s="275">
        <f t="shared" si="93"/>
        <v>1</v>
      </c>
      <c r="AG164" s="422">
        <v>183.17</v>
      </c>
      <c r="AH164" s="272">
        <f t="shared" si="94"/>
        <v>0</v>
      </c>
      <c r="AI164" s="272">
        <f>IFERROR(INDEX('Horo. M'!$K$3:K$367,MATCH(A164,'Horo. M'!$A$3:$A$367,0)),"")</f>
        <v>24</v>
      </c>
      <c r="AJ164" s="422">
        <v>0</v>
      </c>
      <c r="AK164" s="422">
        <v>0</v>
      </c>
      <c r="AL164" s="272">
        <f t="shared" si="95"/>
        <v>24</v>
      </c>
      <c r="AM164" s="274">
        <f t="shared" si="96"/>
        <v>1</v>
      </c>
      <c r="AN164" s="275">
        <f t="shared" si="97"/>
        <v>1</v>
      </c>
      <c r="AO164" s="422">
        <v>180.27</v>
      </c>
      <c r="AP164" s="272">
        <f t="shared" si="98"/>
        <v>0</v>
      </c>
      <c r="AQ164" s="272">
        <f>IFERROR(INDEX('Horo. M'!$M$3:M$367,MATCH(A164,'Horo. M'!$A$3:$A$367,0)),"")</f>
        <v>24</v>
      </c>
      <c r="AR164" s="422">
        <v>0</v>
      </c>
      <c r="AS164" s="422">
        <v>0</v>
      </c>
      <c r="AT164" s="272">
        <f t="shared" si="99"/>
        <v>24</v>
      </c>
      <c r="AU164" s="274">
        <f t="shared" si="100"/>
        <v>1</v>
      </c>
      <c r="AV164" s="275">
        <f t="shared" si="101"/>
        <v>1</v>
      </c>
      <c r="AW164" s="422">
        <v>183.17</v>
      </c>
      <c r="AX164" s="272">
        <f t="shared" si="102"/>
        <v>0</v>
      </c>
      <c r="AY164" s="272">
        <f>IFERROR(INDEX('Horo. M'!$O$3:O$367,MATCH(A164,'Horo. M'!$A$3:$A$367,0)),"")</f>
        <v>24</v>
      </c>
      <c r="AZ164" s="422">
        <v>0</v>
      </c>
      <c r="BA164" s="422">
        <v>0</v>
      </c>
      <c r="BB164" s="272">
        <f t="shared" si="103"/>
        <v>24</v>
      </c>
      <c r="BC164" s="274">
        <f t="shared" si="104"/>
        <v>1</v>
      </c>
      <c r="BD164" s="275">
        <f t="shared" si="105"/>
        <v>1</v>
      </c>
      <c r="BE164" s="422">
        <v>181.16</v>
      </c>
      <c r="BF164" s="272">
        <f t="shared" si="106"/>
        <v>0</v>
      </c>
      <c r="BG164" s="272">
        <f>IFERROR(INDEX('Horo. M'!$Q$3:Q$367,MATCH(A164,'Horo. M'!$A$3:$A$367,0)),"")</f>
        <v>0</v>
      </c>
      <c r="BH164" s="422">
        <v>24</v>
      </c>
      <c r="BI164" s="422">
        <v>0</v>
      </c>
      <c r="BJ164" s="272">
        <f t="shared" si="107"/>
        <v>0</v>
      </c>
      <c r="BK164" s="274">
        <f t="shared" si="108"/>
        <v>0</v>
      </c>
      <c r="BL164" s="275">
        <f t="shared" si="109"/>
        <v>0</v>
      </c>
      <c r="BM164" s="422">
        <v>0</v>
      </c>
      <c r="BN164" s="272">
        <f t="shared" si="110"/>
        <v>5</v>
      </c>
      <c r="BO164" s="272">
        <f>IFERROR(INDEX('Horo. M'!$S$3:S$367,MATCH(A164,'Horo. M'!$A$3:$A$367,0)),"")</f>
        <v>19</v>
      </c>
      <c r="BP164" s="422">
        <v>0</v>
      </c>
      <c r="BQ164" s="422">
        <v>0</v>
      </c>
      <c r="BR164" s="272">
        <f t="shared" si="111"/>
        <v>24</v>
      </c>
      <c r="BS164" s="274">
        <f t="shared" si="112"/>
        <v>0.79166666666666663</v>
      </c>
      <c r="BT164" s="275">
        <f t="shared" si="113"/>
        <v>1</v>
      </c>
      <c r="BU164" s="422">
        <v>132.80000000000001</v>
      </c>
      <c r="BV164" s="272">
        <f t="shared" si="114"/>
        <v>0</v>
      </c>
      <c r="BW164" s="272">
        <f>IFERROR(INDEX('Horo. M'!$U$3:U$367,MATCH(A164,'Horo. M'!$A$3:$A$367,0)),"")</f>
        <v>24</v>
      </c>
      <c r="BX164" s="422">
        <v>0</v>
      </c>
      <c r="BY164" s="422">
        <v>0</v>
      </c>
      <c r="BZ164" s="272">
        <f t="shared" si="115"/>
        <v>24</v>
      </c>
      <c r="CA164" s="274">
        <f t="shared" si="116"/>
        <v>1</v>
      </c>
      <c r="CB164" s="275">
        <f t="shared" si="117"/>
        <v>1</v>
      </c>
      <c r="CC164" s="422">
        <v>182.34</v>
      </c>
    </row>
    <row r="165" spans="1:81">
      <c r="A165" s="424">
        <v>45090</v>
      </c>
      <c r="B165" s="278">
        <f t="shared" si="118"/>
        <v>0</v>
      </c>
      <c r="C165" s="272">
        <f>IFERROR(INDEX('Horo. M'!$C$3:$C$367,MATCH(A165,'Horo. M'!$A$3:$A$367,0)),"")</f>
        <v>24</v>
      </c>
      <c r="D165" s="422">
        <v>0</v>
      </c>
      <c r="E165" s="422">
        <v>0</v>
      </c>
      <c r="F165" s="272">
        <f t="shared" si="119"/>
        <v>24</v>
      </c>
      <c r="G165" s="274">
        <f t="shared" si="80"/>
        <v>1</v>
      </c>
      <c r="H165" s="275">
        <f t="shared" si="81"/>
        <v>1</v>
      </c>
      <c r="I165" s="422">
        <v>188.4</v>
      </c>
      <c r="J165" s="278">
        <f t="shared" si="82"/>
        <v>0</v>
      </c>
      <c r="K165" s="272">
        <f>IFERROR(INDEX('Horo. M'!$E$3:$E$367,MATCH(A165,'Horo. M'!$A$3:$A$367,0)),"")</f>
        <v>24</v>
      </c>
      <c r="L165" s="422">
        <v>0</v>
      </c>
      <c r="M165" s="422">
        <v>0</v>
      </c>
      <c r="N165" s="272">
        <f t="shared" si="83"/>
        <v>24</v>
      </c>
      <c r="O165" s="274">
        <f t="shared" si="84"/>
        <v>1</v>
      </c>
      <c r="P165" s="275">
        <f t="shared" si="85"/>
        <v>1</v>
      </c>
      <c r="Q165" s="422">
        <v>190.1</v>
      </c>
      <c r="R165" s="278">
        <f t="shared" si="86"/>
        <v>0</v>
      </c>
      <c r="S165" s="272">
        <f>IFERROR(INDEX('Horo. M'!G$3:$G$367,MATCH(A165,'Horo. M'!$A$3:$A$367,0)),"")</f>
        <v>24</v>
      </c>
      <c r="T165" s="422">
        <v>0</v>
      </c>
      <c r="U165" s="422">
        <v>0</v>
      </c>
      <c r="V165" s="272">
        <f t="shared" si="87"/>
        <v>24</v>
      </c>
      <c r="W165" s="274">
        <f t="shared" si="88"/>
        <v>1</v>
      </c>
      <c r="X165" s="275">
        <f t="shared" si="89"/>
        <v>1</v>
      </c>
      <c r="Y165" s="422">
        <v>187.88</v>
      </c>
      <c r="Z165" s="278">
        <f t="shared" si="90"/>
        <v>0</v>
      </c>
      <c r="AA165" s="272">
        <f>IFERROR(INDEX('Horo. M'!$I$3:I$367,MATCH(A165,'Horo. M'!$A$3:$A$367,0)),"")</f>
        <v>24</v>
      </c>
      <c r="AB165" s="422">
        <v>0</v>
      </c>
      <c r="AC165" s="422">
        <v>0</v>
      </c>
      <c r="AD165" s="272">
        <f t="shared" si="91"/>
        <v>24</v>
      </c>
      <c r="AE165" s="274">
        <f t="shared" si="92"/>
        <v>1</v>
      </c>
      <c r="AF165" s="275">
        <f t="shared" si="93"/>
        <v>1</v>
      </c>
      <c r="AG165" s="422">
        <v>189.12</v>
      </c>
      <c r="AH165" s="272">
        <f t="shared" si="94"/>
        <v>0</v>
      </c>
      <c r="AI165" s="272">
        <f>IFERROR(INDEX('Horo. M'!$K$3:K$367,MATCH(A165,'Horo. M'!$A$3:$A$367,0)),"")</f>
        <v>24</v>
      </c>
      <c r="AJ165" s="422">
        <v>0</v>
      </c>
      <c r="AK165" s="422">
        <v>0</v>
      </c>
      <c r="AL165" s="272">
        <f t="shared" si="95"/>
        <v>24</v>
      </c>
      <c r="AM165" s="274">
        <f t="shared" si="96"/>
        <v>1</v>
      </c>
      <c r="AN165" s="275">
        <f t="shared" si="97"/>
        <v>1</v>
      </c>
      <c r="AO165" s="422">
        <v>184.57</v>
      </c>
      <c r="AP165" s="272">
        <f t="shared" si="98"/>
        <v>0</v>
      </c>
      <c r="AQ165" s="272">
        <f>IFERROR(INDEX('Horo. M'!$M$3:M$367,MATCH(A165,'Horo. M'!$A$3:$A$367,0)),"")</f>
        <v>20</v>
      </c>
      <c r="AR165" s="422">
        <v>4</v>
      </c>
      <c r="AS165" s="422">
        <v>0</v>
      </c>
      <c r="AT165" s="272">
        <f t="shared" si="99"/>
        <v>20</v>
      </c>
      <c r="AU165" s="274">
        <f t="shared" si="100"/>
        <v>0.83333333333333337</v>
      </c>
      <c r="AV165" s="275">
        <f t="shared" si="101"/>
        <v>0.83333333333333337</v>
      </c>
      <c r="AW165" s="422">
        <v>158.80000000000001</v>
      </c>
      <c r="AX165" s="272">
        <f t="shared" si="102"/>
        <v>0</v>
      </c>
      <c r="AY165" s="272">
        <f>IFERROR(INDEX('Horo. M'!$O$3:O$367,MATCH(A165,'Horo. M'!$A$3:$A$367,0)),"")</f>
        <v>24</v>
      </c>
      <c r="AZ165" s="422">
        <v>0</v>
      </c>
      <c r="BA165" s="422">
        <v>0</v>
      </c>
      <c r="BB165" s="272">
        <f t="shared" si="103"/>
        <v>24</v>
      </c>
      <c r="BC165" s="274">
        <f t="shared" si="104"/>
        <v>1</v>
      </c>
      <c r="BD165" s="275">
        <f t="shared" si="105"/>
        <v>1</v>
      </c>
      <c r="BE165" s="422">
        <v>188.42</v>
      </c>
      <c r="BF165" s="272">
        <f t="shared" si="106"/>
        <v>0</v>
      </c>
      <c r="BG165" s="272">
        <f>IFERROR(INDEX('Horo. M'!$Q$3:Q$367,MATCH(A165,'Horo. M'!$A$3:$A$367,0)),"")</f>
        <v>0</v>
      </c>
      <c r="BH165" s="422">
        <v>24</v>
      </c>
      <c r="BI165" s="422">
        <v>0</v>
      </c>
      <c r="BJ165" s="272">
        <f t="shared" si="107"/>
        <v>0</v>
      </c>
      <c r="BK165" s="274">
        <f t="shared" si="108"/>
        <v>0</v>
      </c>
      <c r="BL165" s="275">
        <f t="shared" si="109"/>
        <v>0</v>
      </c>
      <c r="BM165" s="422">
        <v>0</v>
      </c>
      <c r="BN165" s="272">
        <f t="shared" si="110"/>
        <v>0</v>
      </c>
      <c r="BO165" s="272">
        <f>IFERROR(INDEX('Horo. M'!$S$3:S$367,MATCH(A165,'Horo. M'!$A$3:$A$367,0)),"")</f>
        <v>0</v>
      </c>
      <c r="BP165" s="422">
        <v>24</v>
      </c>
      <c r="BQ165" s="422">
        <v>0</v>
      </c>
      <c r="BR165" s="272">
        <f t="shared" si="111"/>
        <v>0</v>
      </c>
      <c r="BS165" s="274">
        <f t="shared" si="112"/>
        <v>0</v>
      </c>
      <c r="BT165" s="275">
        <f t="shared" si="113"/>
        <v>0</v>
      </c>
      <c r="BU165" s="422">
        <v>0</v>
      </c>
      <c r="BV165" s="272">
        <f t="shared" si="114"/>
        <v>0</v>
      </c>
      <c r="BW165" s="272">
        <f>IFERROR(INDEX('Horo. M'!$U$3:U$367,MATCH(A165,'Horo. M'!$A$3:$A$367,0)),"")</f>
        <v>24</v>
      </c>
      <c r="BX165" s="422">
        <v>0</v>
      </c>
      <c r="BY165" s="422">
        <v>0</v>
      </c>
      <c r="BZ165" s="272">
        <f t="shared" si="115"/>
        <v>24</v>
      </c>
      <c r="CA165" s="274">
        <f t="shared" si="116"/>
        <v>1</v>
      </c>
      <c r="CB165" s="275">
        <f t="shared" si="117"/>
        <v>1</v>
      </c>
      <c r="CC165" s="422">
        <v>189.31</v>
      </c>
    </row>
    <row r="166" spans="1:81">
      <c r="A166" s="424">
        <v>45091</v>
      </c>
      <c r="B166" s="278">
        <f t="shared" si="118"/>
        <v>0</v>
      </c>
      <c r="C166" s="272">
        <f>IFERROR(INDEX('Horo. M'!$C$3:$C$367,MATCH(A166,'Horo. M'!$A$3:$A$367,0)),"")</f>
        <v>24</v>
      </c>
      <c r="D166" s="422">
        <v>0</v>
      </c>
      <c r="E166" s="422">
        <v>0</v>
      </c>
      <c r="F166" s="272">
        <f t="shared" si="119"/>
        <v>24</v>
      </c>
      <c r="G166" s="274">
        <f t="shared" si="80"/>
        <v>1</v>
      </c>
      <c r="H166" s="275">
        <f t="shared" si="81"/>
        <v>1</v>
      </c>
      <c r="I166" s="422">
        <v>186.8</v>
      </c>
      <c r="J166" s="278">
        <f t="shared" si="82"/>
        <v>0</v>
      </c>
      <c r="K166" s="272">
        <f>IFERROR(INDEX('Horo. M'!$E$3:$E$367,MATCH(A166,'Horo. M'!$A$3:$A$367,0)),"")</f>
        <v>24</v>
      </c>
      <c r="L166" s="422">
        <v>0</v>
      </c>
      <c r="M166" s="422">
        <v>0</v>
      </c>
      <c r="N166" s="272">
        <f t="shared" si="83"/>
        <v>24</v>
      </c>
      <c r="O166" s="274">
        <f t="shared" si="84"/>
        <v>1</v>
      </c>
      <c r="P166" s="275">
        <f t="shared" si="85"/>
        <v>1</v>
      </c>
      <c r="Q166" s="422">
        <v>186.6</v>
      </c>
      <c r="R166" s="278">
        <f t="shared" si="86"/>
        <v>0</v>
      </c>
      <c r="S166" s="272">
        <f>IFERROR(INDEX('Horo. M'!G$3:$G$367,MATCH(A166,'Horo. M'!$A$3:$A$367,0)),"")</f>
        <v>24</v>
      </c>
      <c r="T166" s="422">
        <v>0</v>
      </c>
      <c r="U166" s="422">
        <v>0</v>
      </c>
      <c r="V166" s="272">
        <f t="shared" si="87"/>
        <v>24</v>
      </c>
      <c r="W166" s="274">
        <f t="shared" si="88"/>
        <v>1</v>
      </c>
      <c r="X166" s="275">
        <f t="shared" si="89"/>
        <v>1</v>
      </c>
      <c r="Y166" s="422">
        <v>186.38</v>
      </c>
      <c r="Z166" s="278">
        <f t="shared" si="90"/>
        <v>0</v>
      </c>
      <c r="AA166" s="272">
        <f>IFERROR(INDEX('Horo. M'!$I$3:I$367,MATCH(A166,'Horo. M'!$A$3:$A$367,0)),"")</f>
        <v>24</v>
      </c>
      <c r="AB166" s="422">
        <v>0</v>
      </c>
      <c r="AC166" s="422">
        <v>0</v>
      </c>
      <c r="AD166" s="272">
        <f t="shared" si="91"/>
        <v>24</v>
      </c>
      <c r="AE166" s="274">
        <f t="shared" si="92"/>
        <v>1</v>
      </c>
      <c r="AF166" s="275">
        <f t="shared" si="93"/>
        <v>1</v>
      </c>
      <c r="AG166" s="422">
        <v>187.38</v>
      </c>
      <c r="AH166" s="272">
        <f t="shared" si="94"/>
        <v>0</v>
      </c>
      <c r="AI166" s="272">
        <f>IFERROR(INDEX('Horo. M'!$K$3:K$367,MATCH(A166,'Horo. M'!$A$3:$A$367,0)),"")</f>
        <v>24</v>
      </c>
      <c r="AJ166" s="422">
        <v>0</v>
      </c>
      <c r="AK166" s="422">
        <v>0</v>
      </c>
      <c r="AL166" s="272">
        <f t="shared" si="95"/>
        <v>24</v>
      </c>
      <c r="AM166" s="274">
        <f t="shared" si="96"/>
        <v>1</v>
      </c>
      <c r="AN166" s="275">
        <f t="shared" si="97"/>
        <v>1</v>
      </c>
      <c r="AO166" s="422">
        <v>186.46</v>
      </c>
      <c r="AP166" s="272">
        <f t="shared" si="98"/>
        <v>0</v>
      </c>
      <c r="AQ166" s="272">
        <f>IFERROR(INDEX('Horo. M'!$M$3:M$367,MATCH(A166,'Horo. M'!$A$3:$A$367,0)),"")</f>
        <v>24</v>
      </c>
      <c r="AR166" s="422">
        <v>0</v>
      </c>
      <c r="AS166" s="422">
        <v>0</v>
      </c>
      <c r="AT166" s="272">
        <f t="shared" si="99"/>
        <v>24</v>
      </c>
      <c r="AU166" s="274">
        <f t="shared" si="100"/>
        <v>1</v>
      </c>
      <c r="AV166" s="275">
        <f t="shared" si="101"/>
        <v>1</v>
      </c>
      <c r="AW166" s="422">
        <v>183.23</v>
      </c>
      <c r="AX166" s="272">
        <f t="shared" si="102"/>
        <v>0</v>
      </c>
      <c r="AY166" s="272">
        <f>IFERROR(INDEX('Horo. M'!$O$3:O$367,MATCH(A166,'Horo. M'!$A$3:$A$367,0)),"")</f>
        <v>24</v>
      </c>
      <c r="AZ166" s="422">
        <v>0</v>
      </c>
      <c r="BA166" s="422">
        <v>0</v>
      </c>
      <c r="BB166" s="272">
        <f t="shared" si="103"/>
        <v>24</v>
      </c>
      <c r="BC166" s="274">
        <f t="shared" si="104"/>
        <v>1</v>
      </c>
      <c r="BD166" s="275">
        <f t="shared" si="105"/>
        <v>1</v>
      </c>
      <c r="BE166" s="422">
        <v>185.31</v>
      </c>
      <c r="BF166" s="272">
        <f t="shared" si="106"/>
        <v>0</v>
      </c>
      <c r="BG166" s="272">
        <f>IFERROR(INDEX('Horo. M'!$Q$3:Q$367,MATCH(A166,'Horo. M'!$A$3:$A$367,0)),"")</f>
        <v>0</v>
      </c>
      <c r="BH166" s="422">
        <v>24</v>
      </c>
      <c r="BI166" s="422">
        <v>0</v>
      </c>
      <c r="BJ166" s="272">
        <f t="shared" si="107"/>
        <v>0</v>
      </c>
      <c r="BK166" s="274">
        <f t="shared" si="108"/>
        <v>0</v>
      </c>
      <c r="BL166" s="275">
        <f t="shared" si="109"/>
        <v>0</v>
      </c>
      <c r="BM166" s="422">
        <v>0</v>
      </c>
      <c r="BN166" s="272">
        <f t="shared" si="110"/>
        <v>0</v>
      </c>
      <c r="BO166" s="272">
        <f>IFERROR(INDEX('Horo. M'!$S$3:S$367,MATCH(A166,'Horo. M'!$A$3:$A$367,0)),"")</f>
        <v>0</v>
      </c>
      <c r="BP166" s="422">
        <v>24</v>
      </c>
      <c r="BQ166" s="422">
        <v>0</v>
      </c>
      <c r="BR166" s="272">
        <f t="shared" si="111"/>
        <v>0</v>
      </c>
      <c r="BS166" s="274">
        <f t="shared" si="112"/>
        <v>0</v>
      </c>
      <c r="BT166" s="275">
        <f t="shared" si="113"/>
        <v>0</v>
      </c>
      <c r="BU166" s="422">
        <v>0</v>
      </c>
      <c r="BV166" s="272">
        <f t="shared" si="114"/>
        <v>0</v>
      </c>
      <c r="BW166" s="272">
        <f>IFERROR(INDEX('Horo. M'!$U$3:U$367,MATCH(A166,'Horo. M'!$A$3:$A$367,0)),"")</f>
        <v>24</v>
      </c>
      <c r="BX166" s="422">
        <v>0</v>
      </c>
      <c r="BY166" s="422">
        <v>0</v>
      </c>
      <c r="BZ166" s="272">
        <f t="shared" si="115"/>
        <v>24</v>
      </c>
      <c r="CA166" s="274">
        <f t="shared" si="116"/>
        <v>1</v>
      </c>
      <c r="CB166" s="275">
        <f t="shared" si="117"/>
        <v>1</v>
      </c>
      <c r="CC166" s="422">
        <v>183.16</v>
      </c>
    </row>
    <row r="167" spans="1:81">
      <c r="A167" s="424">
        <v>45092</v>
      </c>
      <c r="B167" s="278">
        <f t="shared" si="118"/>
        <v>0</v>
      </c>
      <c r="C167" s="272">
        <f>IFERROR(INDEX('Horo. M'!$C$3:$C$367,MATCH(A167,'Horo. M'!$A$3:$A$367,0)),"")</f>
        <v>21</v>
      </c>
      <c r="D167" s="422">
        <v>3</v>
      </c>
      <c r="E167" s="422">
        <v>0</v>
      </c>
      <c r="F167" s="272">
        <f t="shared" si="119"/>
        <v>21</v>
      </c>
      <c r="G167" s="274">
        <f t="shared" si="80"/>
        <v>0.875</v>
      </c>
      <c r="H167" s="275">
        <f t="shared" si="81"/>
        <v>0.875</v>
      </c>
      <c r="I167" s="422">
        <v>164.7</v>
      </c>
      <c r="J167" s="278">
        <f t="shared" si="82"/>
        <v>0</v>
      </c>
      <c r="K167" s="272">
        <f>IFERROR(INDEX('Horo. M'!$E$3:$E$367,MATCH(A167,'Horo. M'!$A$3:$A$367,0)),"")</f>
        <v>24</v>
      </c>
      <c r="L167" s="422">
        <v>0</v>
      </c>
      <c r="M167" s="422">
        <v>0</v>
      </c>
      <c r="N167" s="272">
        <f t="shared" si="83"/>
        <v>24</v>
      </c>
      <c r="O167" s="274">
        <f t="shared" si="84"/>
        <v>1</v>
      </c>
      <c r="P167" s="275">
        <f t="shared" si="85"/>
        <v>1</v>
      </c>
      <c r="Q167" s="422">
        <v>189.7</v>
      </c>
      <c r="R167" s="278">
        <f t="shared" si="86"/>
        <v>0</v>
      </c>
      <c r="S167" s="272">
        <f>IFERROR(INDEX('Horo. M'!G$3:$G$367,MATCH(A167,'Horo. M'!$A$3:$A$367,0)),"")</f>
        <v>24</v>
      </c>
      <c r="T167" s="422">
        <v>0</v>
      </c>
      <c r="U167" s="422">
        <v>0</v>
      </c>
      <c r="V167" s="272">
        <f t="shared" si="87"/>
        <v>24</v>
      </c>
      <c r="W167" s="274">
        <f t="shared" si="88"/>
        <v>1</v>
      </c>
      <c r="X167" s="275">
        <f t="shared" si="89"/>
        <v>1</v>
      </c>
      <c r="Y167" s="422">
        <v>185.81</v>
      </c>
      <c r="Z167" s="278">
        <f t="shared" si="90"/>
        <v>0</v>
      </c>
      <c r="AA167" s="272">
        <f>IFERROR(INDEX('Horo. M'!$I$3:I$367,MATCH(A167,'Horo. M'!$A$3:$A$367,0)),"")</f>
        <v>24</v>
      </c>
      <c r="AB167" s="422">
        <v>0</v>
      </c>
      <c r="AC167" s="422">
        <v>0</v>
      </c>
      <c r="AD167" s="272">
        <f t="shared" si="91"/>
        <v>24</v>
      </c>
      <c r="AE167" s="274">
        <f t="shared" si="92"/>
        <v>1</v>
      </c>
      <c r="AF167" s="275">
        <f t="shared" si="93"/>
        <v>1</v>
      </c>
      <c r="AG167" s="422">
        <v>189.29</v>
      </c>
      <c r="AH167" s="272">
        <f t="shared" si="94"/>
        <v>0</v>
      </c>
      <c r="AI167" s="272">
        <f>IFERROR(INDEX('Horo. M'!$K$3:K$367,MATCH(A167,'Horo. M'!$A$3:$A$367,0)),"")</f>
        <v>24</v>
      </c>
      <c r="AJ167" s="422">
        <v>0</v>
      </c>
      <c r="AK167" s="422">
        <v>0</v>
      </c>
      <c r="AL167" s="272">
        <f t="shared" si="95"/>
        <v>24</v>
      </c>
      <c r="AM167" s="274">
        <f t="shared" si="96"/>
        <v>1</v>
      </c>
      <c r="AN167" s="275">
        <f t="shared" si="97"/>
        <v>1</v>
      </c>
      <c r="AO167" s="422">
        <v>187.47</v>
      </c>
      <c r="AP167" s="272">
        <f t="shared" si="98"/>
        <v>0</v>
      </c>
      <c r="AQ167" s="272">
        <f>IFERROR(INDEX('Horo. M'!$M$3:M$367,MATCH(A167,'Horo. M'!$A$3:$A$367,0)),"")</f>
        <v>24</v>
      </c>
      <c r="AR167" s="422">
        <v>0</v>
      </c>
      <c r="AS167" s="422">
        <v>0</v>
      </c>
      <c r="AT167" s="272">
        <f t="shared" si="99"/>
        <v>24</v>
      </c>
      <c r="AU167" s="274">
        <f t="shared" si="100"/>
        <v>1</v>
      </c>
      <c r="AV167" s="275">
        <f t="shared" si="101"/>
        <v>1</v>
      </c>
      <c r="AW167" s="422">
        <v>188.08</v>
      </c>
      <c r="AX167" s="272">
        <f t="shared" si="102"/>
        <v>1</v>
      </c>
      <c r="AY167" s="272">
        <f>IFERROR(INDEX('Horo. M'!$O$3:O$367,MATCH(A167,'Horo. M'!$A$3:$A$367,0)),"")</f>
        <v>23</v>
      </c>
      <c r="AZ167" s="422">
        <v>0</v>
      </c>
      <c r="BA167" s="422">
        <v>0</v>
      </c>
      <c r="BB167" s="272">
        <f t="shared" si="103"/>
        <v>24</v>
      </c>
      <c r="BC167" s="274">
        <f t="shared" si="104"/>
        <v>0.95833333333333337</v>
      </c>
      <c r="BD167" s="275">
        <f t="shared" si="105"/>
        <v>1</v>
      </c>
      <c r="BE167" s="422">
        <v>183.77</v>
      </c>
      <c r="BF167" s="272">
        <f t="shared" si="106"/>
        <v>0</v>
      </c>
      <c r="BG167" s="272">
        <f>IFERROR(INDEX('Horo. M'!$Q$3:Q$367,MATCH(A167,'Horo. M'!$A$3:$A$367,0)),"")</f>
        <v>1</v>
      </c>
      <c r="BH167" s="422">
        <v>23</v>
      </c>
      <c r="BI167" s="422">
        <v>0</v>
      </c>
      <c r="BJ167" s="272">
        <f t="shared" si="107"/>
        <v>1</v>
      </c>
      <c r="BK167" s="274">
        <f t="shared" si="108"/>
        <v>4.1666666666666664E-2</v>
      </c>
      <c r="BL167" s="275">
        <f t="shared" si="109"/>
        <v>4.1666666666666664E-2</v>
      </c>
      <c r="BM167" s="422">
        <v>0</v>
      </c>
      <c r="BN167" s="272">
        <f t="shared" si="110"/>
        <v>0</v>
      </c>
      <c r="BO167" s="272">
        <f>IFERROR(INDEX('Horo. M'!$S$3:S$367,MATCH(A167,'Horo. M'!$A$3:$A$367,0)),"")</f>
        <v>0</v>
      </c>
      <c r="BP167" s="422">
        <v>24</v>
      </c>
      <c r="BQ167" s="422">
        <v>0</v>
      </c>
      <c r="BR167" s="272">
        <f t="shared" si="111"/>
        <v>0</v>
      </c>
      <c r="BS167" s="274">
        <f t="shared" si="112"/>
        <v>0</v>
      </c>
      <c r="BT167" s="275">
        <f t="shared" si="113"/>
        <v>0</v>
      </c>
      <c r="BU167" s="422">
        <v>0</v>
      </c>
      <c r="BV167" s="272">
        <f t="shared" si="114"/>
        <v>0</v>
      </c>
      <c r="BW167" s="272">
        <f>IFERROR(INDEX('Horo. M'!$U$3:U$367,MATCH(A167,'Horo. M'!$A$3:$A$367,0)),"")</f>
        <v>24</v>
      </c>
      <c r="BX167" s="422">
        <v>0</v>
      </c>
      <c r="BY167" s="422">
        <v>0</v>
      </c>
      <c r="BZ167" s="272">
        <f t="shared" si="115"/>
        <v>24</v>
      </c>
      <c r="CA167" s="274">
        <f t="shared" si="116"/>
        <v>1</v>
      </c>
      <c r="CB167" s="275">
        <f t="shared" si="117"/>
        <v>1</v>
      </c>
      <c r="CC167" s="422">
        <v>189.33</v>
      </c>
    </row>
    <row r="168" spans="1:81">
      <c r="A168" s="279">
        <v>45093</v>
      </c>
      <c r="B168" s="278">
        <f t="shared" si="118"/>
        <v>0</v>
      </c>
      <c r="C168" s="272">
        <f>IFERROR(INDEX('Horo. M'!$C$3:$C$367,MATCH(A168,'Horo. M'!$A$3:$A$367,0)),"")</f>
        <v>24</v>
      </c>
      <c r="D168" s="278">
        <v>0</v>
      </c>
      <c r="E168" s="278">
        <v>0</v>
      </c>
      <c r="F168" s="272">
        <f t="shared" si="119"/>
        <v>24</v>
      </c>
      <c r="G168" s="274">
        <f t="shared" si="80"/>
        <v>1</v>
      </c>
      <c r="H168" s="275">
        <f t="shared" si="81"/>
        <v>1</v>
      </c>
      <c r="I168" s="277">
        <v>192.8</v>
      </c>
      <c r="J168" s="278">
        <f t="shared" si="82"/>
        <v>0</v>
      </c>
      <c r="K168" s="272">
        <f>IFERROR(INDEX('Horo. M'!$E$3:$E$367,MATCH(A168,'Horo. M'!$A$3:$A$367,0)),"")</f>
        <v>24</v>
      </c>
      <c r="L168" s="273">
        <v>0</v>
      </c>
      <c r="M168" s="273">
        <v>0</v>
      </c>
      <c r="N168" s="272">
        <f t="shared" si="83"/>
        <v>24</v>
      </c>
      <c r="O168" s="274">
        <f t="shared" si="84"/>
        <v>1</v>
      </c>
      <c r="P168" s="275">
        <f t="shared" si="85"/>
        <v>1</v>
      </c>
      <c r="Q168" s="276">
        <v>195.8</v>
      </c>
      <c r="R168" s="278">
        <f t="shared" si="86"/>
        <v>0</v>
      </c>
      <c r="S168" s="272">
        <f>IFERROR(INDEX('Horo. M'!G$3:$G$367,MATCH(A168,'Horo. M'!$A$3:$A$367,0)),"")</f>
        <v>24</v>
      </c>
      <c r="T168" s="278">
        <v>0</v>
      </c>
      <c r="U168" s="278">
        <v>0</v>
      </c>
      <c r="V168" s="272">
        <f t="shared" si="87"/>
        <v>24</v>
      </c>
      <c r="W168" s="274">
        <f t="shared" si="88"/>
        <v>1</v>
      </c>
      <c r="X168" s="275">
        <f t="shared" si="89"/>
        <v>1</v>
      </c>
      <c r="Y168" s="278">
        <v>184.09</v>
      </c>
      <c r="Z168" s="278">
        <f t="shared" si="90"/>
        <v>3</v>
      </c>
      <c r="AA168" s="272">
        <f>IFERROR(INDEX('Horo. M'!$I$3:I$367,MATCH(A168,'Horo. M'!$A$3:$A$367,0)),"")</f>
        <v>8</v>
      </c>
      <c r="AB168" s="273">
        <v>3</v>
      </c>
      <c r="AC168" s="273">
        <v>10</v>
      </c>
      <c r="AD168" s="272">
        <f t="shared" si="91"/>
        <v>11</v>
      </c>
      <c r="AE168" s="274">
        <f t="shared" si="92"/>
        <v>0.33333333333333331</v>
      </c>
      <c r="AF168" s="275">
        <f t="shared" si="93"/>
        <v>0.45833333333333331</v>
      </c>
      <c r="AG168" s="278">
        <v>61.32</v>
      </c>
      <c r="AH168" s="272">
        <f t="shared" si="94"/>
        <v>0</v>
      </c>
      <c r="AI168" s="272">
        <f>IFERROR(INDEX('Horo. M'!$K$3:K$367,MATCH(A168,'Horo. M'!$A$3:$A$367,0)),"")</f>
        <v>24</v>
      </c>
      <c r="AJ168" s="278">
        <v>0</v>
      </c>
      <c r="AK168" s="278">
        <v>0</v>
      </c>
      <c r="AL168" s="272">
        <f t="shared" si="95"/>
        <v>24</v>
      </c>
      <c r="AM168" s="274">
        <f t="shared" si="96"/>
        <v>1</v>
      </c>
      <c r="AN168" s="275">
        <f t="shared" si="97"/>
        <v>1</v>
      </c>
      <c r="AO168" s="278">
        <v>190.13</v>
      </c>
      <c r="AP168" s="272">
        <f t="shared" si="98"/>
        <v>0</v>
      </c>
      <c r="AQ168" s="272">
        <f>IFERROR(INDEX('Horo. M'!$M$3:M$367,MATCH(A168,'Horo. M'!$A$3:$A$367,0)),"")</f>
        <v>24</v>
      </c>
      <c r="AR168" s="278">
        <v>0</v>
      </c>
      <c r="AS168" s="278">
        <v>0</v>
      </c>
      <c r="AT168" s="272">
        <f t="shared" si="99"/>
        <v>24</v>
      </c>
      <c r="AU168" s="274">
        <f t="shared" si="100"/>
        <v>1</v>
      </c>
      <c r="AV168" s="275">
        <f t="shared" si="101"/>
        <v>1</v>
      </c>
      <c r="AW168" s="278">
        <v>188.94</v>
      </c>
      <c r="AX168" s="272">
        <f t="shared" si="102"/>
        <v>0</v>
      </c>
      <c r="AY168" s="272">
        <f>IFERROR(INDEX('Horo. M'!$O$3:O$367,MATCH(A168,'Horo. M'!$A$3:$A$367,0)),"")</f>
        <v>24</v>
      </c>
      <c r="AZ168" s="278">
        <v>0</v>
      </c>
      <c r="BA168" s="278">
        <v>0</v>
      </c>
      <c r="BB168" s="272">
        <f t="shared" si="103"/>
        <v>24</v>
      </c>
      <c r="BC168" s="274">
        <f t="shared" si="104"/>
        <v>1</v>
      </c>
      <c r="BD168" s="275">
        <f t="shared" si="105"/>
        <v>1</v>
      </c>
      <c r="BE168" s="278">
        <v>190.84</v>
      </c>
      <c r="BF168" s="272">
        <f t="shared" si="106"/>
        <v>11</v>
      </c>
      <c r="BG168" s="272">
        <f>IFERROR(INDEX('Horo. M'!$Q$3:Q$367,MATCH(A168,'Horo. M'!$A$3:$A$367,0)),"")</f>
        <v>3</v>
      </c>
      <c r="BH168" s="278">
        <v>10</v>
      </c>
      <c r="BI168" s="278">
        <v>0</v>
      </c>
      <c r="BJ168" s="272">
        <f t="shared" si="107"/>
        <v>14</v>
      </c>
      <c r="BK168" s="274">
        <f t="shared" si="108"/>
        <v>0.125</v>
      </c>
      <c r="BL168" s="275">
        <f t="shared" si="109"/>
        <v>0.58333333333333337</v>
      </c>
      <c r="BM168" s="278">
        <v>19.46</v>
      </c>
      <c r="BN168" s="272">
        <f t="shared" si="110"/>
        <v>0</v>
      </c>
      <c r="BO168" s="272">
        <f>IFERROR(INDEX('Horo. M'!$S$3:S$367,MATCH(A168,'Horo. M'!$A$3:$A$367,0)),"")</f>
        <v>0</v>
      </c>
      <c r="BP168" s="278">
        <v>24</v>
      </c>
      <c r="BQ168" s="278">
        <v>0</v>
      </c>
      <c r="BR168" s="272">
        <f t="shared" si="111"/>
        <v>0</v>
      </c>
      <c r="BS168" s="274">
        <f t="shared" si="112"/>
        <v>0</v>
      </c>
      <c r="BT168" s="275">
        <f t="shared" si="113"/>
        <v>0</v>
      </c>
      <c r="BU168" s="278">
        <v>0</v>
      </c>
      <c r="BV168" s="272">
        <f t="shared" si="114"/>
        <v>0</v>
      </c>
      <c r="BW168" s="272">
        <f>IFERROR(INDEX('Horo. M'!$U$3:U$367,MATCH(A168,'Horo. M'!$A$3:$A$367,0)),"")</f>
        <v>24</v>
      </c>
      <c r="BX168" s="278">
        <v>0</v>
      </c>
      <c r="BY168" s="278">
        <v>0</v>
      </c>
      <c r="BZ168" s="272">
        <f t="shared" si="115"/>
        <v>24</v>
      </c>
      <c r="CA168" s="274">
        <f t="shared" si="116"/>
        <v>1</v>
      </c>
      <c r="CB168" s="275">
        <f t="shared" si="117"/>
        <v>1</v>
      </c>
      <c r="CC168" s="280">
        <v>189.72</v>
      </c>
    </row>
    <row r="169" spans="1:81">
      <c r="A169" s="279">
        <v>45094</v>
      </c>
      <c r="B169" s="278">
        <f t="shared" si="118"/>
        <v>0</v>
      </c>
      <c r="C169" s="272">
        <f>IFERROR(INDEX('Horo. M'!$C$3:$C$367,MATCH(A169,'Horo. M'!$A$3:$A$367,0)),"")</f>
        <v>24</v>
      </c>
      <c r="D169" s="278">
        <v>0</v>
      </c>
      <c r="E169" s="278">
        <v>0</v>
      </c>
      <c r="F169" s="272">
        <f t="shared" si="119"/>
        <v>24</v>
      </c>
      <c r="G169" s="274">
        <f t="shared" si="80"/>
        <v>1</v>
      </c>
      <c r="H169" s="275">
        <f t="shared" si="81"/>
        <v>1</v>
      </c>
      <c r="I169" s="277">
        <v>176.4</v>
      </c>
      <c r="J169" s="278">
        <f t="shared" si="82"/>
        <v>0</v>
      </c>
      <c r="K169" s="272">
        <f>IFERROR(INDEX('Horo. M'!$E$3:$E$367,MATCH(A169,'Horo. M'!$A$3:$A$367,0)),"")</f>
        <v>24</v>
      </c>
      <c r="L169" s="273">
        <v>0</v>
      </c>
      <c r="M169" s="273">
        <v>0</v>
      </c>
      <c r="N169" s="272">
        <f t="shared" si="83"/>
        <v>24</v>
      </c>
      <c r="O169" s="274">
        <f t="shared" si="84"/>
        <v>1</v>
      </c>
      <c r="P169" s="275">
        <f t="shared" si="85"/>
        <v>1</v>
      </c>
      <c r="Q169" s="276">
        <v>176.7</v>
      </c>
      <c r="R169" s="278">
        <f t="shared" si="86"/>
        <v>0</v>
      </c>
      <c r="S169" s="272">
        <f>IFERROR(INDEX('Horo. M'!G$3:$G$367,MATCH(A169,'Horo. M'!$A$3:$A$367,0)),"")</f>
        <v>23</v>
      </c>
      <c r="T169" s="278">
        <v>1</v>
      </c>
      <c r="U169" s="278">
        <v>0</v>
      </c>
      <c r="V169" s="272">
        <f t="shared" si="87"/>
        <v>23</v>
      </c>
      <c r="W169" s="274">
        <f t="shared" si="88"/>
        <v>0.95833333333333337</v>
      </c>
      <c r="X169" s="275">
        <f t="shared" si="89"/>
        <v>0.95833333333333337</v>
      </c>
      <c r="Y169" s="278">
        <v>175.83</v>
      </c>
      <c r="Z169" s="278">
        <f t="shared" si="90"/>
        <v>0</v>
      </c>
      <c r="AA169" s="272">
        <f>IFERROR(INDEX('Horo. M'!$I$3:I$367,MATCH(A169,'Horo. M'!$A$3:$A$367,0)),"")</f>
        <v>24</v>
      </c>
      <c r="AB169" s="273">
        <v>0</v>
      </c>
      <c r="AC169" s="273">
        <v>0</v>
      </c>
      <c r="AD169" s="272">
        <f t="shared" si="91"/>
        <v>24</v>
      </c>
      <c r="AE169" s="274">
        <f t="shared" si="92"/>
        <v>1</v>
      </c>
      <c r="AF169" s="275">
        <f t="shared" si="93"/>
        <v>1</v>
      </c>
      <c r="AG169" s="278">
        <v>176.18</v>
      </c>
      <c r="AH169" s="272">
        <f t="shared" si="94"/>
        <v>0</v>
      </c>
      <c r="AI169" s="272">
        <f>IFERROR(INDEX('Horo. M'!$K$3:K$367,MATCH(A169,'Horo. M'!$A$3:$A$367,0)),"")</f>
        <v>24</v>
      </c>
      <c r="AJ169" s="278">
        <v>0</v>
      </c>
      <c r="AK169" s="278">
        <v>0</v>
      </c>
      <c r="AL169" s="272">
        <f t="shared" si="95"/>
        <v>24</v>
      </c>
      <c r="AM169" s="274">
        <f t="shared" si="96"/>
        <v>1</v>
      </c>
      <c r="AN169" s="275">
        <f t="shared" si="97"/>
        <v>1</v>
      </c>
      <c r="AO169" s="278">
        <v>178.34</v>
      </c>
      <c r="AP169" s="272">
        <f t="shared" si="98"/>
        <v>0</v>
      </c>
      <c r="AQ169" s="272">
        <f>IFERROR(INDEX('Horo. M'!$M$3:M$367,MATCH(A169,'Horo. M'!$A$3:$A$367,0)),"")</f>
        <v>24</v>
      </c>
      <c r="AR169" s="278">
        <v>0</v>
      </c>
      <c r="AS169" s="278">
        <v>0</v>
      </c>
      <c r="AT169" s="272">
        <f t="shared" si="99"/>
        <v>24</v>
      </c>
      <c r="AU169" s="274">
        <f t="shared" si="100"/>
        <v>1</v>
      </c>
      <c r="AV169" s="275">
        <f t="shared" si="101"/>
        <v>1</v>
      </c>
      <c r="AW169" s="278">
        <v>181.03</v>
      </c>
      <c r="AX169" s="272">
        <f t="shared" si="102"/>
        <v>0</v>
      </c>
      <c r="AY169" s="272">
        <f>IFERROR(INDEX('Horo. M'!$O$3:O$367,MATCH(A169,'Horo. M'!$A$3:$A$367,0)),"")</f>
        <v>24</v>
      </c>
      <c r="AZ169" s="278">
        <v>0</v>
      </c>
      <c r="BA169" s="278">
        <v>0</v>
      </c>
      <c r="BB169" s="272">
        <f t="shared" si="103"/>
        <v>24</v>
      </c>
      <c r="BC169" s="274">
        <f t="shared" si="104"/>
        <v>1</v>
      </c>
      <c r="BD169" s="275">
        <f t="shared" si="105"/>
        <v>1</v>
      </c>
      <c r="BE169" s="278">
        <v>180.42</v>
      </c>
      <c r="BF169" s="272">
        <f t="shared" si="106"/>
        <v>15</v>
      </c>
      <c r="BG169" s="272">
        <f>IFERROR(INDEX('Horo. M'!$Q$3:Q$367,MATCH(A169,'Horo. M'!$A$3:$A$367,0)),"")</f>
        <v>1</v>
      </c>
      <c r="BH169" s="278">
        <v>8</v>
      </c>
      <c r="BI169" s="278">
        <v>0</v>
      </c>
      <c r="BJ169" s="272">
        <f t="shared" si="107"/>
        <v>16</v>
      </c>
      <c r="BK169" s="274">
        <f t="shared" si="108"/>
        <v>4.1666666666666664E-2</v>
      </c>
      <c r="BL169" s="275">
        <f t="shared" si="109"/>
        <v>0.66666666666666663</v>
      </c>
      <c r="BM169" s="278">
        <v>3.47</v>
      </c>
      <c r="BN169" s="272">
        <f t="shared" si="110"/>
        <v>0</v>
      </c>
      <c r="BO169" s="272">
        <f>IFERROR(INDEX('Horo. M'!$S$3:S$367,MATCH(A169,'Horo. M'!$A$3:$A$367,0)),"")</f>
        <v>0</v>
      </c>
      <c r="BP169" s="278">
        <v>24</v>
      </c>
      <c r="BQ169" s="278">
        <v>0</v>
      </c>
      <c r="BR169" s="272">
        <f t="shared" si="111"/>
        <v>0</v>
      </c>
      <c r="BS169" s="274">
        <f t="shared" si="112"/>
        <v>0</v>
      </c>
      <c r="BT169" s="275">
        <f t="shared" si="113"/>
        <v>0</v>
      </c>
      <c r="BU169" s="278">
        <v>0</v>
      </c>
      <c r="BV169" s="272">
        <f t="shared" si="114"/>
        <v>0</v>
      </c>
      <c r="BW169" s="272">
        <f>IFERROR(INDEX('Horo. M'!$U$3:U$367,MATCH(A169,'Horo. M'!$A$3:$A$367,0)),"")</f>
        <v>24</v>
      </c>
      <c r="BX169" s="278">
        <v>0</v>
      </c>
      <c r="BY169" s="278">
        <v>0</v>
      </c>
      <c r="BZ169" s="272">
        <f t="shared" si="115"/>
        <v>24</v>
      </c>
      <c r="CA169" s="274">
        <f t="shared" si="116"/>
        <v>1</v>
      </c>
      <c r="CB169" s="275">
        <f t="shared" si="117"/>
        <v>1</v>
      </c>
      <c r="CC169" s="280">
        <v>178.26</v>
      </c>
    </row>
    <row r="170" spans="1:81">
      <c r="A170" s="279">
        <v>45095</v>
      </c>
      <c r="B170" s="278">
        <f t="shared" si="118"/>
        <v>0</v>
      </c>
      <c r="C170" s="272">
        <f>IFERROR(INDEX('Horo. M'!$C$3:$C$367,MATCH(A170,'Horo. M'!$A$3:$A$367,0)),"")</f>
        <v>24</v>
      </c>
      <c r="D170" s="278">
        <v>0</v>
      </c>
      <c r="E170" s="278">
        <v>0</v>
      </c>
      <c r="F170" s="272">
        <f t="shared" si="119"/>
        <v>24</v>
      </c>
      <c r="G170" s="274">
        <f t="shared" si="80"/>
        <v>1</v>
      </c>
      <c r="H170" s="275">
        <f t="shared" si="81"/>
        <v>1</v>
      </c>
      <c r="I170" s="277">
        <v>184.6</v>
      </c>
      <c r="J170" s="278">
        <f t="shared" si="82"/>
        <v>0</v>
      </c>
      <c r="K170" s="272">
        <f>IFERROR(INDEX('Horo. M'!$E$3:$E$367,MATCH(A170,'Horo. M'!$A$3:$A$367,0)),"")</f>
        <v>24</v>
      </c>
      <c r="L170" s="273">
        <v>0</v>
      </c>
      <c r="M170" s="273">
        <v>0</v>
      </c>
      <c r="N170" s="272">
        <f t="shared" si="83"/>
        <v>24</v>
      </c>
      <c r="O170" s="274">
        <f t="shared" si="84"/>
        <v>1</v>
      </c>
      <c r="P170" s="275">
        <f t="shared" si="85"/>
        <v>1</v>
      </c>
      <c r="Q170" s="276">
        <v>182</v>
      </c>
      <c r="R170" s="278">
        <f t="shared" si="86"/>
        <v>4</v>
      </c>
      <c r="S170" s="272">
        <f>IFERROR(INDEX('Horo. M'!G$3:$G$367,MATCH(A170,'Horo. M'!$A$3:$A$367,0)),"")</f>
        <v>1</v>
      </c>
      <c r="T170" s="278">
        <v>4</v>
      </c>
      <c r="U170" s="278">
        <v>15</v>
      </c>
      <c r="V170" s="272">
        <f t="shared" si="87"/>
        <v>5</v>
      </c>
      <c r="W170" s="274">
        <f t="shared" si="88"/>
        <v>4.1666666666666664E-2</v>
      </c>
      <c r="X170" s="275">
        <f t="shared" si="89"/>
        <v>0.20833333333333334</v>
      </c>
      <c r="Y170" s="278">
        <v>0.08</v>
      </c>
      <c r="Z170" s="278">
        <f t="shared" si="90"/>
        <v>0</v>
      </c>
      <c r="AA170" s="272">
        <f>IFERROR(INDEX('Horo. M'!$I$3:I$367,MATCH(A170,'Horo. M'!$A$3:$A$367,0)),"")</f>
        <v>24</v>
      </c>
      <c r="AB170" s="273">
        <v>0</v>
      </c>
      <c r="AC170" s="273">
        <v>0</v>
      </c>
      <c r="AD170" s="272">
        <f t="shared" si="91"/>
        <v>24</v>
      </c>
      <c r="AE170" s="274">
        <f t="shared" si="92"/>
        <v>1</v>
      </c>
      <c r="AF170" s="275">
        <f t="shared" si="93"/>
        <v>1</v>
      </c>
      <c r="AG170" s="278">
        <v>182.18</v>
      </c>
      <c r="AH170" s="272">
        <f t="shared" si="94"/>
        <v>3</v>
      </c>
      <c r="AI170" s="272">
        <f>IFERROR(INDEX('Horo. M'!$K$3:K$367,MATCH(A170,'Horo. M'!$A$3:$A$367,0)),"")</f>
        <v>21</v>
      </c>
      <c r="AJ170" s="278">
        <v>0</v>
      </c>
      <c r="AK170" s="278">
        <v>0</v>
      </c>
      <c r="AL170" s="272">
        <f t="shared" si="95"/>
        <v>24</v>
      </c>
      <c r="AM170" s="274">
        <f t="shared" si="96"/>
        <v>0.875</v>
      </c>
      <c r="AN170" s="275">
        <f t="shared" si="97"/>
        <v>1</v>
      </c>
      <c r="AO170" s="278">
        <v>160.54</v>
      </c>
      <c r="AP170" s="272">
        <f t="shared" si="98"/>
        <v>0</v>
      </c>
      <c r="AQ170" s="272">
        <f>IFERROR(INDEX('Horo. M'!$M$3:M$367,MATCH(A170,'Horo. M'!$A$3:$A$367,0)),"")</f>
        <v>24</v>
      </c>
      <c r="AR170" s="278">
        <v>0</v>
      </c>
      <c r="AS170" s="278">
        <v>0</v>
      </c>
      <c r="AT170" s="272">
        <f t="shared" si="99"/>
        <v>24</v>
      </c>
      <c r="AU170" s="274">
        <f t="shared" si="100"/>
        <v>1</v>
      </c>
      <c r="AV170" s="275">
        <f t="shared" si="101"/>
        <v>1</v>
      </c>
      <c r="AW170" s="278">
        <v>181.69</v>
      </c>
      <c r="AX170" s="272">
        <f t="shared" si="102"/>
        <v>0</v>
      </c>
      <c r="AY170" s="272">
        <f>IFERROR(INDEX('Horo. M'!$O$3:O$367,MATCH(A170,'Horo. M'!$A$3:$A$367,0)),"")</f>
        <v>24</v>
      </c>
      <c r="AZ170" s="278">
        <v>0</v>
      </c>
      <c r="BA170" s="278">
        <v>0</v>
      </c>
      <c r="BB170" s="272">
        <f t="shared" si="103"/>
        <v>24</v>
      </c>
      <c r="BC170" s="274">
        <f t="shared" si="104"/>
        <v>1</v>
      </c>
      <c r="BD170" s="275">
        <f t="shared" si="105"/>
        <v>1</v>
      </c>
      <c r="BE170" s="278">
        <v>181</v>
      </c>
      <c r="BF170" s="272">
        <f t="shared" si="106"/>
        <v>0</v>
      </c>
      <c r="BG170" s="272">
        <f>IFERROR(INDEX('Horo. M'!$Q$3:Q$367,MATCH(A170,'Horo. M'!$A$3:$A$367,0)),"")</f>
        <v>24</v>
      </c>
      <c r="BH170" s="278">
        <v>0</v>
      </c>
      <c r="BI170" s="278">
        <v>0</v>
      </c>
      <c r="BJ170" s="272">
        <f t="shared" si="107"/>
        <v>24</v>
      </c>
      <c r="BK170" s="274">
        <f t="shared" si="108"/>
        <v>1</v>
      </c>
      <c r="BL170" s="275">
        <f t="shared" si="109"/>
        <v>1</v>
      </c>
      <c r="BM170" s="278">
        <v>181.18</v>
      </c>
      <c r="BN170" s="272">
        <f t="shared" si="110"/>
        <v>0</v>
      </c>
      <c r="BO170" s="272">
        <f>IFERROR(INDEX('Horo. M'!$S$3:S$367,MATCH(A170,'Horo. M'!$A$3:$A$367,0)),"")</f>
        <v>0</v>
      </c>
      <c r="BP170" s="278">
        <v>24</v>
      </c>
      <c r="BQ170" s="278">
        <v>0</v>
      </c>
      <c r="BR170" s="272">
        <f t="shared" si="111"/>
        <v>0</v>
      </c>
      <c r="BS170" s="274">
        <f t="shared" si="112"/>
        <v>0</v>
      </c>
      <c r="BT170" s="275">
        <f t="shared" si="113"/>
        <v>0</v>
      </c>
      <c r="BU170" s="278">
        <v>0</v>
      </c>
      <c r="BV170" s="272">
        <f t="shared" si="114"/>
        <v>0</v>
      </c>
      <c r="BW170" s="272">
        <f>IFERROR(INDEX('Horo. M'!$U$3:U$367,MATCH(A170,'Horo. M'!$A$3:$A$367,0)),"")</f>
        <v>24</v>
      </c>
      <c r="BX170" s="278">
        <v>0</v>
      </c>
      <c r="BY170" s="278">
        <v>0</v>
      </c>
      <c r="BZ170" s="272">
        <f t="shared" si="115"/>
        <v>24</v>
      </c>
      <c r="CA170" s="274">
        <f t="shared" si="116"/>
        <v>1</v>
      </c>
      <c r="CB170" s="275">
        <f t="shared" si="117"/>
        <v>1</v>
      </c>
      <c r="CC170" s="280">
        <v>180.58</v>
      </c>
    </row>
    <row r="171" spans="1:81">
      <c r="A171" s="279">
        <v>45096</v>
      </c>
      <c r="B171" s="278">
        <f t="shared" si="118"/>
        <v>0</v>
      </c>
      <c r="C171" s="272">
        <f>IFERROR(INDEX('Horo. M'!$C$3:$C$367,MATCH(A171,'Horo. M'!$A$3:$A$367,0)),"")</f>
        <v>24</v>
      </c>
      <c r="D171" s="278">
        <v>0</v>
      </c>
      <c r="E171" s="278">
        <v>0</v>
      </c>
      <c r="F171" s="272">
        <f t="shared" si="119"/>
        <v>24</v>
      </c>
      <c r="G171" s="274">
        <f t="shared" si="80"/>
        <v>1</v>
      </c>
      <c r="H171" s="275">
        <f t="shared" si="81"/>
        <v>1</v>
      </c>
      <c r="I171" s="277">
        <v>180.2</v>
      </c>
      <c r="J171" s="278">
        <f t="shared" si="82"/>
        <v>0</v>
      </c>
      <c r="K171" s="272">
        <f>IFERROR(INDEX('Horo. M'!$E$3:$E$367,MATCH(A171,'Horo. M'!$A$3:$A$367,0)),"")</f>
        <v>24</v>
      </c>
      <c r="L171" s="273">
        <v>0</v>
      </c>
      <c r="M171" s="273">
        <v>0</v>
      </c>
      <c r="N171" s="272">
        <f t="shared" si="83"/>
        <v>24</v>
      </c>
      <c r="O171" s="274">
        <f t="shared" si="84"/>
        <v>1</v>
      </c>
      <c r="P171" s="275">
        <f t="shared" si="85"/>
        <v>1</v>
      </c>
      <c r="Q171" s="276">
        <v>177.8</v>
      </c>
      <c r="R171" s="278">
        <f t="shared" si="86"/>
        <v>0</v>
      </c>
      <c r="S171" s="272">
        <f>IFERROR(INDEX('Horo. M'!G$3:$G$367,MATCH(A171,'Horo. M'!$A$3:$A$367,0)),"")</f>
        <v>24</v>
      </c>
      <c r="T171" s="278">
        <v>0</v>
      </c>
      <c r="U171" s="278">
        <v>0</v>
      </c>
      <c r="V171" s="272">
        <f t="shared" si="87"/>
        <v>24</v>
      </c>
      <c r="W171" s="274">
        <f t="shared" si="88"/>
        <v>1</v>
      </c>
      <c r="X171" s="275">
        <f t="shared" si="89"/>
        <v>1</v>
      </c>
      <c r="Y171" s="278">
        <v>177.26</v>
      </c>
      <c r="Z171" s="278">
        <f t="shared" si="90"/>
        <v>0</v>
      </c>
      <c r="AA171" s="272">
        <f>IFERROR(INDEX('Horo. M'!$I$3:I$367,MATCH(A171,'Horo. M'!$A$3:$A$367,0)),"")</f>
        <v>24</v>
      </c>
      <c r="AB171" s="273">
        <v>0</v>
      </c>
      <c r="AC171" s="273">
        <v>0</v>
      </c>
      <c r="AD171" s="272">
        <f t="shared" si="91"/>
        <v>24</v>
      </c>
      <c r="AE171" s="274">
        <f t="shared" si="92"/>
        <v>1</v>
      </c>
      <c r="AF171" s="275">
        <f t="shared" si="93"/>
        <v>1</v>
      </c>
      <c r="AG171" s="278">
        <v>179.54</v>
      </c>
      <c r="AH171" s="272">
        <f t="shared" si="94"/>
        <v>0</v>
      </c>
      <c r="AI171" s="272">
        <f>IFERROR(INDEX('Horo. M'!$K$3:K$367,MATCH(A171,'Horo. M'!$A$3:$A$367,0)),"")</f>
        <v>24</v>
      </c>
      <c r="AJ171" s="278">
        <v>0</v>
      </c>
      <c r="AK171" s="278">
        <v>0</v>
      </c>
      <c r="AL171" s="272">
        <f t="shared" si="95"/>
        <v>24</v>
      </c>
      <c r="AM171" s="274">
        <f t="shared" si="96"/>
        <v>1</v>
      </c>
      <c r="AN171" s="275">
        <f t="shared" si="97"/>
        <v>1</v>
      </c>
      <c r="AO171" s="278">
        <v>176.2</v>
      </c>
      <c r="AP171" s="272">
        <f t="shared" si="98"/>
        <v>0</v>
      </c>
      <c r="AQ171" s="272">
        <f>IFERROR(INDEX('Horo. M'!$M$3:M$367,MATCH(A171,'Horo. M'!$A$3:$A$367,0)),"")</f>
        <v>24</v>
      </c>
      <c r="AR171" s="278">
        <v>0</v>
      </c>
      <c r="AS171" s="278">
        <v>0</v>
      </c>
      <c r="AT171" s="272">
        <f t="shared" si="99"/>
        <v>24</v>
      </c>
      <c r="AU171" s="274">
        <f t="shared" si="100"/>
        <v>1</v>
      </c>
      <c r="AV171" s="275">
        <f t="shared" si="101"/>
        <v>1</v>
      </c>
      <c r="AW171" s="278">
        <v>179.53</v>
      </c>
      <c r="AX171" s="272">
        <f t="shared" si="102"/>
        <v>0</v>
      </c>
      <c r="AY171" s="272">
        <f>IFERROR(INDEX('Horo. M'!$O$3:O$367,MATCH(A171,'Horo. M'!$A$3:$A$367,0)),"")</f>
        <v>24</v>
      </c>
      <c r="AZ171" s="278">
        <v>0</v>
      </c>
      <c r="BA171" s="278">
        <v>0</v>
      </c>
      <c r="BB171" s="272">
        <f t="shared" si="103"/>
        <v>24</v>
      </c>
      <c r="BC171" s="274">
        <f t="shared" si="104"/>
        <v>1</v>
      </c>
      <c r="BD171" s="275">
        <f t="shared" si="105"/>
        <v>1</v>
      </c>
      <c r="BE171" s="278">
        <v>177.68</v>
      </c>
      <c r="BF171" s="272">
        <f t="shared" si="106"/>
        <v>0</v>
      </c>
      <c r="BG171" s="272">
        <f>IFERROR(INDEX('Horo. M'!$Q$3:Q$367,MATCH(A171,'Horo. M'!$A$3:$A$367,0)),"")</f>
        <v>24</v>
      </c>
      <c r="BH171" s="278">
        <v>0</v>
      </c>
      <c r="BI171" s="278">
        <v>0</v>
      </c>
      <c r="BJ171" s="272">
        <f t="shared" si="107"/>
        <v>24</v>
      </c>
      <c r="BK171" s="274">
        <f t="shared" si="108"/>
        <v>1</v>
      </c>
      <c r="BL171" s="275">
        <f t="shared" si="109"/>
        <v>1</v>
      </c>
      <c r="BM171" s="278">
        <v>177.82</v>
      </c>
      <c r="BN171" s="272">
        <f t="shared" si="110"/>
        <v>0</v>
      </c>
      <c r="BO171" s="272">
        <f>IFERROR(INDEX('Horo. M'!$S$3:S$367,MATCH(A171,'Horo. M'!$A$3:$A$367,0)),"")</f>
        <v>0</v>
      </c>
      <c r="BP171" s="278">
        <v>24</v>
      </c>
      <c r="BQ171" s="278">
        <v>0</v>
      </c>
      <c r="BR171" s="272">
        <f t="shared" si="111"/>
        <v>0</v>
      </c>
      <c r="BS171" s="274">
        <f t="shared" si="112"/>
        <v>0</v>
      </c>
      <c r="BT171" s="275">
        <f t="shared" si="113"/>
        <v>0</v>
      </c>
      <c r="BU171" s="278">
        <v>0</v>
      </c>
      <c r="BV171" s="272">
        <f t="shared" si="114"/>
        <v>24</v>
      </c>
      <c r="BW171" s="272">
        <f>IFERROR(INDEX('Horo. M'!$U$3:U$367,MATCH(A171,'Horo. M'!$A$3:$A$367,0)),"")</f>
        <v>0</v>
      </c>
      <c r="BX171" s="278">
        <v>0</v>
      </c>
      <c r="BY171" s="278">
        <v>0</v>
      </c>
      <c r="BZ171" s="272">
        <f t="shared" si="115"/>
        <v>24</v>
      </c>
      <c r="CA171" s="274">
        <f t="shared" si="116"/>
        <v>0</v>
      </c>
      <c r="CB171" s="275">
        <f t="shared" si="117"/>
        <v>1</v>
      </c>
      <c r="CC171" s="280">
        <v>0.63</v>
      </c>
    </row>
    <row r="172" spans="1:81">
      <c r="A172" s="279">
        <v>45097</v>
      </c>
      <c r="B172" s="278">
        <f t="shared" si="118"/>
        <v>0</v>
      </c>
      <c r="C172" s="272">
        <f>IFERROR(INDEX('Horo. M'!$C$3:$C$367,MATCH(A172,'Horo. M'!$A$3:$A$367,0)),"")</f>
        <v>24</v>
      </c>
      <c r="D172" s="278">
        <v>0</v>
      </c>
      <c r="E172" s="278">
        <v>0</v>
      </c>
      <c r="F172" s="272">
        <f t="shared" si="119"/>
        <v>24</v>
      </c>
      <c r="G172" s="274">
        <f t="shared" si="80"/>
        <v>1</v>
      </c>
      <c r="H172" s="275">
        <f t="shared" si="81"/>
        <v>1</v>
      </c>
      <c r="I172" s="277">
        <v>194</v>
      </c>
      <c r="J172" s="278">
        <f t="shared" si="82"/>
        <v>0</v>
      </c>
      <c r="K172" s="272">
        <f>IFERROR(INDEX('Horo. M'!$E$3:$E$367,MATCH(A172,'Horo. M'!$A$3:$A$367,0)),"")</f>
        <v>24</v>
      </c>
      <c r="L172" s="273">
        <v>0</v>
      </c>
      <c r="M172" s="273">
        <v>0</v>
      </c>
      <c r="N172" s="272">
        <f t="shared" si="83"/>
        <v>24</v>
      </c>
      <c r="O172" s="274">
        <f t="shared" si="84"/>
        <v>1</v>
      </c>
      <c r="P172" s="275">
        <f t="shared" si="85"/>
        <v>1</v>
      </c>
      <c r="Q172" s="276">
        <v>195.3</v>
      </c>
      <c r="R172" s="278">
        <f t="shared" si="86"/>
        <v>0</v>
      </c>
      <c r="S172" s="272">
        <f>IFERROR(INDEX('Horo. M'!G$3:$G$367,MATCH(A172,'Horo. M'!$A$3:$A$367,0)),"")</f>
        <v>23</v>
      </c>
      <c r="T172" s="278">
        <v>0</v>
      </c>
      <c r="U172" s="278">
        <v>1</v>
      </c>
      <c r="V172" s="272">
        <f t="shared" si="87"/>
        <v>23</v>
      </c>
      <c r="W172" s="274">
        <f t="shared" si="88"/>
        <v>0.95833333333333337</v>
      </c>
      <c r="X172" s="275">
        <f t="shared" si="89"/>
        <v>0.95833333333333337</v>
      </c>
      <c r="Y172" s="278">
        <v>181.58</v>
      </c>
      <c r="Z172" s="278">
        <f t="shared" si="90"/>
        <v>0</v>
      </c>
      <c r="AA172" s="272">
        <f>IFERROR(INDEX('Horo. M'!$I$3:I$367,MATCH(A172,'Horo. M'!$A$3:$A$367,0)),"")</f>
        <v>24</v>
      </c>
      <c r="AB172" s="273">
        <v>0</v>
      </c>
      <c r="AC172" s="273">
        <v>0</v>
      </c>
      <c r="AD172" s="272">
        <f t="shared" si="91"/>
        <v>24</v>
      </c>
      <c r="AE172" s="274">
        <f t="shared" si="92"/>
        <v>1</v>
      </c>
      <c r="AF172" s="275">
        <f t="shared" si="93"/>
        <v>1</v>
      </c>
      <c r="AG172" s="278">
        <v>191.38</v>
      </c>
      <c r="AH172" s="272">
        <f t="shared" si="94"/>
        <v>0</v>
      </c>
      <c r="AI172" s="272">
        <f>IFERROR(INDEX('Horo. M'!$K$3:K$367,MATCH(A172,'Horo. M'!$A$3:$A$367,0)),"")</f>
        <v>24</v>
      </c>
      <c r="AJ172" s="278">
        <v>0</v>
      </c>
      <c r="AK172" s="278">
        <v>0</v>
      </c>
      <c r="AL172" s="272">
        <f t="shared" si="95"/>
        <v>24</v>
      </c>
      <c r="AM172" s="274">
        <f t="shared" si="96"/>
        <v>1</v>
      </c>
      <c r="AN172" s="275">
        <f t="shared" si="97"/>
        <v>1</v>
      </c>
      <c r="AO172" s="278">
        <v>192.02</v>
      </c>
      <c r="AP172" s="272">
        <f t="shared" si="98"/>
        <v>0</v>
      </c>
      <c r="AQ172" s="272">
        <f>IFERROR(INDEX('Horo. M'!$M$3:M$367,MATCH(A172,'Horo. M'!$A$3:$A$367,0)),"")</f>
        <v>1</v>
      </c>
      <c r="AR172" s="278">
        <v>23</v>
      </c>
      <c r="AS172" s="278">
        <v>0</v>
      </c>
      <c r="AT172" s="272">
        <f t="shared" si="99"/>
        <v>1</v>
      </c>
      <c r="AU172" s="274">
        <f t="shared" si="100"/>
        <v>4.1666666666666664E-2</v>
      </c>
      <c r="AV172" s="275">
        <f t="shared" si="101"/>
        <v>4.1666666666666664E-2</v>
      </c>
      <c r="AW172" s="278">
        <v>8.56</v>
      </c>
      <c r="AX172" s="272">
        <f t="shared" si="102"/>
        <v>1.5</v>
      </c>
      <c r="AY172" s="272">
        <f>IFERROR(INDEX('Horo. M'!$O$3:O$367,MATCH(A172,'Horo. M'!$A$3:$A$367,0)),"")</f>
        <v>18</v>
      </c>
      <c r="AZ172" s="278">
        <v>0</v>
      </c>
      <c r="BA172" s="278">
        <v>4.5</v>
      </c>
      <c r="BB172" s="272">
        <f t="shared" si="103"/>
        <v>19.5</v>
      </c>
      <c r="BC172" s="274">
        <f t="shared" si="104"/>
        <v>0.75</v>
      </c>
      <c r="BD172" s="275">
        <f t="shared" si="105"/>
        <v>0.8125</v>
      </c>
      <c r="BE172" s="278">
        <v>135.97</v>
      </c>
      <c r="BF172" s="272">
        <f t="shared" si="106"/>
        <v>0</v>
      </c>
      <c r="BG172" s="272">
        <f>IFERROR(INDEX('Horo. M'!$Q$3:Q$367,MATCH(A172,'Horo. M'!$A$3:$A$367,0)),"")</f>
        <v>24</v>
      </c>
      <c r="BH172" s="278">
        <v>0</v>
      </c>
      <c r="BI172" s="278">
        <v>0</v>
      </c>
      <c r="BJ172" s="272">
        <f t="shared" si="107"/>
        <v>24</v>
      </c>
      <c r="BK172" s="274">
        <f t="shared" si="108"/>
        <v>1</v>
      </c>
      <c r="BL172" s="275">
        <f t="shared" si="109"/>
        <v>1</v>
      </c>
      <c r="BM172" s="278">
        <v>192.91</v>
      </c>
      <c r="BN172" s="272">
        <f t="shared" si="110"/>
        <v>0</v>
      </c>
      <c r="BO172" s="272">
        <f>IFERROR(INDEX('Horo. M'!$S$3:S$367,MATCH(A172,'Horo. M'!$A$3:$A$367,0)),"")</f>
        <v>0</v>
      </c>
      <c r="BP172" s="278">
        <v>24</v>
      </c>
      <c r="BQ172" s="278">
        <v>0</v>
      </c>
      <c r="BR172" s="272">
        <f t="shared" si="111"/>
        <v>0</v>
      </c>
      <c r="BS172" s="274">
        <f t="shared" si="112"/>
        <v>0</v>
      </c>
      <c r="BT172" s="275">
        <f t="shared" si="113"/>
        <v>0</v>
      </c>
      <c r="BU172" s="278">
        <v>0</v>
      </c>
      <c r="BV172" s="272">
        <f t="shared" si="114"/>
        <v>1</v>
      </c>
      <c r="BW172" s="272">
        <f>IFERROR(INDEX('Horo. M'!$U$3:U$367,MATCH(A172,'Horo. M'!$A$3:$A$367,0)),"")</f>
        <v>23</v>
      </c>
      <c r="BX172" s="278">
        <v>0</v>
      </c>
      <c r="BY172" s="278">
        <v>0</v>
      </c>
      <c r="BZ172" s="272">
        <f t="shared" si="115"/>
        <v>24</v>
      </c>
      <c r="CA172" s="274">
        <f t="shared" si="116"/>
        <v>0.95833333333333337</v>
      </c>
      <c r="CB172" s="275">
        <f t="shared" si="117"/>
        <v>1</v>
      </c>
      <c r="CC172" s="280">
        <v>183.88</v>
      </c>
    </row>
    <row r="173" spans="1:81">
      <c r="A173" s="279">
        <v>45098</v>
      </c>
      <c r="B173" s="278">
        <f t="shared" si="118"/>
        <v>0</v>
      </c>
      <c r="C173" s="272">
        <f>IFERROR(INDEX('Horo. M'!$C$3:$C$367,MATCH(A173,'Horo. M'!$A$3:$A$367,0)),"")</f>
        <v>24</v>
      </c>
      <c r="D173" s="278">
        <v>0</v>
      </c>
      <c r="E173" s="278">
        <v>0</v>
      </c>
      <c r="F173" s="272">
        <f t="shared" si="119"/>
        <v>24</v>
      </c>
      <c r="G173" s="274">
        <f t="shared" si="80"/>
        <v>1</v>
      </c>
      <c r="H173" s="275">
        <f t="shared" si="81"/>
        <v>1</v>
      </c>
      <c r="I173" s="277">
        <v>192.6</v>
      </c>
      <c r="J173" s="278">
        <f t="shared" si="82"/>
        <v>0</v>
      </c>
      <c r="K173" s="272">
        <f>IFERROR(INDEX('Horo. M'!$E$3:$E$367,MATCH(A173,'Horo. M'!$A$3:$A$367,0)),"")</f>
        <v>24</v>
      </c>
      <c r="L173" s="273">
        <v>0</v>
      </c>
      <c r="M173" s="273">
        <v>0</v>
      </c>
      <c r="N173" s="272">
        <f t="shared" si="83"/>
        <v>24</v>
      </c>
      <c r="O173" s="274">
        <f t="shared" si="84"/>
        <v>1</v>
      </c>
      <c r="P173" s="275">
        <f t="shared" si="85"/>
        <v>1</v>
      </c>
      <c r="Q173" s="276">
        <v>191.5</v>
      </c>
      <c r="R173" s="278">
        <f t="shared" si="86"/>
        <v>0</v>
      </c>
      <c r="S173" s="272">
        <f>IFERROR(INDEX('Horo. M'!G$3:$G$367,MATCH(A173,'Horo. M'!$A$3:$A$367,0)),"")</f>
        <v>24</v>
      </c>
      <c r="T173" s="278">
        <v>0</v>
      </c>
      <c r="U173" s="278">
        <v>0</v>
      </c>
      <c r="V173" s="272">
        <f t="shared" si="87"/>
        <v>24</v>
      </c>
      <c r="W173" s="274">
        <f t="shared" si="88"/>
        <v>1</v>
      </c>
      <c r="X173" s="275">
        <f t="shared" si="89"/>
        <v>1</v>
      </c>
      <c r="Y173" s="278">
        <v>190.84</v>
      </c>
      <c r="Z173" s="278">
        <f t="shared" si="90"/>
        <v>0</v>
      </c>
      <c r="AA173" s="272">
        <f>IFERROR(INDEX('Horo. M'!$I$3:I$367,MATCH(A173,'Horo. M'!$A$3:$A$367,0)),"")</f>
        <v>19</v>
      </c>
      <c r="AB173" s="273">
        <v>0</v>
      </c>
      <c r="AC173" s="273">
        <v>5</v>
      </c>
      <c r="AD173" s="272">
        <f t="shared" si="91"/>
        <v>19</v>
      </c>
      <c r="AE173" s="274">
        <f t="shared" si="92"/>
        <v>0.79166666666666663</v>
      </c>
      <c r="AF173" s="275">
        <f t="shared" si="93"/>
        <v>0.79166666666666663</v>
      </c>
      <c r="AG173" s="278">
        <v>139.25</v>
      </c>
      <c r="AH173" s="272">
        <f t="shared" si="94"/>
        <v>0</v>
      </c>
      <c r="AI173" s="272">
        <f>IFERROR(INDEX('Horo. M'!$K$3:K$367,MATCH(A173,'Horo. M'!$A$3:$A$367,0)),"")</f>
        <v>24</v>
      </c>
      <c r="AJ173" s="278">
        <v>0</v>
      </c>
      <c r="AK173" s="278">
        <v>0</v>
      </c>
      <c r="AL173" s="272">
        <f t="shared" si="95"/>
        <v>24</v>
      </c>
      <c r="AM173" s="274">
        <f t="shared" si="96"/>
        <v>1</v>
      </c>
      <c r="AN173" s="275">
        <f t="shared" si="97"/>
        <v>1</v>
      </c>
      <c r="AO173" s="278">
        <v>192.35</v>
      </c>
      <c r="AP173" s="272">
        <f t="shared" si="98"/>
        <v>0</v>
      </c>
      <c r="AQ173" s="272">
        <f>IFERROR(INDEX('Horo. M'!$M$3:M$367,MATCH(A173,'Horo. M'!$A$3:$A$367,0)),"")</f>
        <v>0</v>
      </c>
      <c r="AR173" s="278">
        <v>24</v>
      </c>
      <c r="AS173" s="278">
        <v>0</v>
      </c>
      <c r="AT173" s="272">
        <f t="shared" si="99"/>
        <v>0</v>
      </c>
      <c r="AU173" s="274">
        <f t="shared" si="100"/>
        <v>0</v>
      </c>
      <c r="AV173" s="275">
        <f t="shared" si="101"/>
        <v>0</v>
      </c>
      <c r="AW173" s="278">
        <v>0</v>
      </c>
      <c r="AX173" s="272">
        <f t="shared" si="102"/>
        <v>1</v>
      </c>
      <c r="AY173" s="272">
        <f>IFERROR(INDEX('Horo. M'!$O$3:O$367,MATCH(A173,'Horo. M'!$A$3:$A$367,0)),"")</f>
        <v>23</v>
      </c>
      <c r="AZ173" s="278">
        <v>0</v>
      </c>
      <c r="BA173" s="278">
        <v>0</v>
      </c>
      <c r="BB173" s="272">
        <f t="shared" si="103"/>
        <v>24</v>
      </c>
      <c r="BC173" s="274">
        <f t="shared" si="104"/>
        <v>0.95833333333333337</v>
      </c>
      <c r="BD173" s="275">
        <f t="shared" si="105"/>
        <v>1</v>
      </c>
      <c r="BE173" s="278">
        <v>173.2</v>
      </c>
      <c r="BF173" s="272">
        <f t="shared" si="106"/>
        <v>0</v>
      </c>
      <c r="BG173" s="272">
        <f>IFERROR(INDEX('Horo. M'!$Q$3:Q$367,MATCH(A173,'Horo. M'!$A$3:$A$367,0)),"")</f>
        <v>24</v>
      </c>
      <c r="BH173" s="278">
        <v>0</v>
      </c>
      <c r="BI173" s="278">
        <v>0</v>
      </c>
      <c r="BJ173" s="272">
        <f t="shared" si="107"/>
        <v>24</v>
      </c>
      <c r="BK173" s="274">
        <f t="shared" si="108"/>
        <v>1</v>
      </c>
      <c r="BL173" s="275">
        <f t="shared" si="109"/>
        <v>1</v>
      </c>
      <c r="BM173" s="278">
        <v>191.1</v>
      </c>
      <c r="BN173" s="272">
        <f t="shared" si="110"/>
        <v>0</v>
      </c>
      <c r="BO173" s="272">
        <f>IFERROR(INDEX('Horo. M'!$S$3:S$367,MATCH(A173,'Horo. M'!$A$3:$A$367,0)),"")</f>
        <v>0</v>
      </c>
      <c r="BP173" s="278">
        <v>24</v>
      </c>
      <c r="BQ173" s="278">
        <v>0</v>
      </c>
      <c r="BR173" s="272">
        <f t="shared" si="111"/>
        <v>0</v>
      </c>
      <c r="BS173" s="274">
        <f t="shared" si="112"/>
        <v>0</v>
      </c>
      <c r="BT173" s="275">
        <f t="shared" si="113"/>
        <v>0</v>
      </c>
      <c r="BU173" s="278">
        <v>0</v>
      </c>
      <c r="BV173" s="272">
        <f t="shared" si="114"/>
        <v>0</v>
      </c>
      <c r="BW173" s="272">
        <f>IFERROR(INDEX('Horo. M'!$U$3:U$367,MATCH(A173,'Horo. M'!$A$3:$A$367,0)),"")</f>
        <v>24</v>
      </c>
      <c r="BX173" s="278">
        <v>0</v>
      </c>
      <c r="BY173" s="278">
        <v>0</v>
      </c>
      <c r="BZ173" s="272">
        <f t="shared" si="115"/>
        <v>24</v>
      </c>
      <c r="CA173" s="274">
        <f t="shared" si="116"/>
        <v>1</v>
      </c>
      <c r="CB173" s="275">
        <f t="shared" si="117"/>
        <v>1</v>
      </c>
      <c r="CC173" s="280">
        <v>190.22</v>
      </c>
    </row>
    <row r="174" spans="1:81">
      <c r="A174" s="279">
        <v>45099</v>
      </c>
      <c r="B174" s="278">
        <f t="shared" si="118"/>
        <v>0</v>
      </c>
      <c r="C174" s="272">
        <f>IFERROR(INDEX('Horo. M'!$C$3:$C$367,MATCH(A174,'Horo. M'!$A$3:$A$367,0)),"")</f>
        <v>24</v>
      </c>
      <c r="D174" s="278">
        <v>0</v>
      </c>
      <c r="E174" s="278">
        <v>0</v>
      </c>
      <c r="F174" s="272">
        <f t="shared" si="119"/>
        <v>24</v>
      </c>
      <c r="G174" s="274">
        <f t="shared" si="80"/>
        <v>1</v>
      </c>
      <c r="H174" s="275">
        <f t="shared" si="81"/>
        <v>1</v>
      </c>
      <c r="I174" s="277">
        <v>185.6</v>
      </c>
      <c r="J174" s="278">
        <f t="shared" si="82"/>
        <v>0</v>
      </c>
      <c r="K174" s="272">
        <f>IFERROR(INDEX('Horo. M'!$E$3:$E$367,MATCH(A174,'Horo. M'!$A$3:$A$367,0)),"")</f>
        <v>24</v>
      </c>
      <c r="L174" s="273">
        <v>0</v>
      </c>
      <c r="M174" s="273">
        <v>0</v>
      </c>
      <c r="N174" s="272">
        <f t="shared" si="83"/>
        <v>24</v>
      </c>
      <c r="O174" s="274">
        <f t="shared" si="84"/>
        <v>1</v>
      </c>
      <c r="P174" s="275">
        <f t="shared" si="85"/>
        <v>1</v>
      </c>
      <c r="Q174" s="276">
        <v>185.3</v>
      </c>
      <c r="R174" s="278">
        <f t="shared" si="86"/>
        <v>0</v>
      </c>
      <c r="S174" s="272">
        <f>IFERROR(INDEX('Horo. M'!G$3:$G$367,MATCH(A174,'Horo. M'!$A$3:$A$367,0)),"")</f>
        <v>24</v>
      </c>
      <c r="T174" s="278">
        <v>0</v>
      </c>
      <c r="U174" s="278">
        <v>0</v>
      </c>
      <c r="V174" s="272">
        <f t="shared" si="87"/>
        <v>24</v>
      </c>
      <c r="W174" s="274">
        <f t="shared" si="88"/>
        <v>1</v>
      </c>
      <c r="X174" s="275">
        <f t="shared" si="89"/>
        <v>1</v>
      </c>
      <c r="Y174" s="278">
        <v>186.88</v>
      </c>
      <c r="Z174" s="278">
        <f t="shared" si="90"/>
        <v>3</v>
      </c>
      <c r="AA174" s="272">
        <f>IFERROR(INDEX('Horo. M'!$I$3:I$367,MATCH(A174,'Horo. M'!$A$3:$A$367,0)),"")</f>
        <v>13</v>
      </c>
      <c r="AB174" s="273">
        <v>0</v>
      </c>
      <c r="AC174" s="273">
        <v>8</v>
      </c>
      <c r="AD174" s="272">
        <f t="shared" si="91"/>
        <v>16</v>
      </c>
      <c r="AE174" s="274">
        <f t="shared" si="92"/>
        <v>0.54166666666666663</v>
      </c>
      <c r="AF174" s="275">
        <f t="shared" si="93"/>
        <v>0.66666666666666663</v>
      </c>
      <c r="AG174" s="278">
        <v>107.15</v>
      </c>
      <c r="AH174" s="272">
        <f t="shared" si="94"/>
        <v>1</v>
      </c>
      <c r="AI174" s="272">
        <f>IFERROR(INDEX('Horo. M'!$K$3:K$367,MATCH(A174,'Horo. M'!$A$3:$A$367,0)),"")</f>
        <v>23</v>
      </c>
      <c r="AJ174" s="278">
        <v>0</v>
      </c>
      <c r="AK174" s="278">
        <v>0</v>
      </c>
      <c r="AL174" s="272">
        <f t="shared" si="95"/>
        <v>24</v>
      </c>
      <c r="AM174" s="274">
        <f t="shared" si="96"/>
        <v>0.95833333333333337</v>
      </c>
      <c r="AN174" s="275">
        <f t="shared" si="97"/>
        <v>1</v>
      </c>
      <c r="AO174" s="278">
        <v>180.83</v>
      </c>
      <c r="AP174" s="272">
        <f t="shared" si="98"/>
        <v>0</v>
      </c>
      <c r="AQ174" s="272">
        <f>IFERROR(INDEX('Horo. M'!$M$3:M$367,MATCH(A174,'Horo. M'!$A$3:$A$367,0)),"")</f>
        <v>0</v>
      </c>
      <c r="AR174" s="278">
        <v>24</v>
      </c>
      <c r="AS174" s="278">
        <v>0</v>
      </c>
      <c r="AT174" s="272">
        <f t="shared" si="99"/>
        <v>0</v>
      </c>
      <c r="AU174" s="274">
        <f t="shared" si="100"/>
        <v>0</v>
      </c>
      <c r="AV174" s="275">
        <f t="shared" si="101"/>
        <v>0</v>
      </c>
      <c r="AW174" s="278">
        <v>0</v>
      </c>
      <c r="AX174" s="272">
        <f t="shared" si="102"/>
        <v>0</v>
      </c>
      <c r="AY174" s="272">
        <f>IFERROR(INDEX('Horo. M'!$O$3:O$367,MATCH(A174,'Horo. M'!$A$3:$A$367,0)),"")</f>
        <v>24</v>
      </c>
      <c r="AZ174" s="278">
        <v>0</v>
      </c>
      <c r="BA174" s="278">
        <v>0</v>
      </c>
      <c r="BB174" s="272">
        <f t="shared" si="103"/>
        <v>24</v>
      </c>
      <c r="BC174" s="274">
        <f t="shared" si="104"/>
        <v>1</v>
      </c>
      <c r="BD174" s="275">
        <f t="shared" si="105"/>
        <v>1</v>
      </c>
      <c r="BE174" s="278">
        <v>186.48</v>
      </c>
      <c r="BF174" s="272">
        <f t="shared" si="106"/>
        <v>0</v>
      </c>
      <c r="BG174" s="272">
        <f>IFERROR(INDEX('Horo. M'!$Q$3:Q$367,MATCH(A174,'Horo. M'!$A$3:$A$367,0)),"")</f>
        <v>24</v>
      </c>
      <c r="BH174" s="278">
        <v>0</v>
      </c>
      <c r="BI174" s="278">
        <v>0</v>
      </c>
      <c r="BJ174" s="272">
        <f t="shared" si="107"/>
        <v>24</v>
      </c>
      <c r="BK174" s="274">
        <f t="shared" si="108"/>
        <v>1</v>
      </c>
      <c r="BL174" s="275">
        <f t="shared" si="109"/>
        <v>1</v>
      </c>
      <c r="BM174" s="278">
        <v>186.95</v>
      </c>
      <c r="BN174" s="272">
        <f t="shared" si="110"/>
        <v>0</v>
      </c>
      <c r="BO174" s="272">
        <f>IFERROR(INDEX('Horo. M'!$S$3:S$367,MATCH(A174,'Horo. M'!$A$3:$A$367,0)),"")</f>
        <v>0</v>
      </c>
      <c r="BP174" s="278">
        <v>24</v>
      </c>
      <c r="BQ174" s="278">
        <v>0</v>
      </c>
      <c r="BR174" s="272">
        <f t="shared" si="111"/>
        <v>0</v>
      </c>
      <c r="BS174" s="274">
        <f t="shared" si="112"/>
        <v>0</v>
      </c>
      <c r="BT174" s="275">
        <f t="shared" si="113"/>
        <v>0</v>
      </c>
      <c r="BU174" s="278">
        <v>0</v>
      </c>
      <c r="BV174" s="272">
        <f t="shared" si="114"/>
        <v>0</v>
      </c>
      <c r="BW174" s="272">
        <f>IFERROR(INDEX('Horo. M'!$U$3:U$367,MATCH(A174,'Horo. M'!$A$3:$A$367,0)),"")</f>
        <v>24</v>
      </c>
      <c r="BX174" s="278">
        <v>0</v>
      </c>
      <c r="BY174" s="278">
        <v>0</v>
      </c>
      <c r="BZ174" s="272">
        <f t="shared" si="115"/>
        <v>24</v>
      </c>
      <c r="CA174" s="274">
        <v>0</v>
      </c>
      <c r="CB174" s="275">
        <f t="shared" si="117"/>
        <v>1</v>
      </c>
      <c r="CC174" s="280">
        <v>185.44</v>
      </c>
    </row>
    <row r="175" spans="1:81">
      <c r="A175" s="279">
        <v>45100</v>
      </c>
      <c r="B175" s="278">
        <f t="shared" si="118"/>
        <v>0</v>
      </c>
      <c r="C175" s="272">
        <f>IFERROR(INDEX('Horo. M'!$C$3:$C$367,MATCH(A175,'Horo. M'!$A$3:$A$367,0)),"")</f>
        <v>24</v>
      </c>
      <c r="D175" s="278">
        <v>0</v>
      </c>
      <c r="E175" s="278">
        <v>0</v>
      </c>
      <c r="F175" s="272">
        <f t="shared" si="119"/>
        <v>24</v>
      </c>
      <c r="G175" s="274">
        <f t="shared" si="80"/>
        <v>1</v>
      </c>
      <c r="H175" s="275">
        <f t="shared" si="81"/>
        <v>1</v>
      </c>
      <c r="I175" s="277">
        <v>178.5</v>
      </c>
      <c r="J175" s="278">
        <f t="shared" si="82"/>
        <v>0</v>
      </c>
      <c r="K175" s="272">
        <f>IFERROR(INDEX('Horo. M'!$E$3:$E$367,MATCH(A175,'Horo. M'!$A$3:$A$367,0)),"")</f>
        <v>24</v>
      </c>
      <c r="L175" s="273">
        <v>0</v>
      </c>
      <c r="M175" s="273">
        <v>0</v>
      </c>
      <c r="N175" s="272">
        <f t="shared" si="83"/>
        <v>24</v>
      </c>
      <c r="O175" s="274">
        <f t="shared" si="84"/>
        <v>1</v>
      </c>
      <c r="P175" s="275">
        <f t="shared" si="85"/>
        <v>1</v>
      </c>
      <c r="Q175" s="276">
        <v>179.4</v>
      </c>
      <c r="R175" s="278">
        <f t="shared" si="86"/>
        <v>0</v>
      </c>
      <c r="S175" s="272">
        <f>IFERROR(INDEX('Horo. M'!G$3:$G$367,MATCH(A175,'Horo. M'!$A$3:$A$367,0)),"")</f>
        <v>24</v>
      </c>
      <c r="T175" s="278">
        <v>0</v>
      </c>
      <c r="U175" s="278">
        <v>0</v>
      </c>
      <c r="V175" s="272">
        <f t="shared" si="87"/>
        <v>24</v>
      </c>
      <c r="W175" s="274">
        <f t="shared" si="88"/>
        <v>1</v>
      </c>
      <c r="X175" s="275">
        <f t="shared" si="89"/>
        <v>1</v>
      </c>
      <c r="Y175" s="278">
        <v>183.01</v>
      </c>
      <c r="Z175" s="278">
        <f t="shared" si="90"/>
        <v>0</v>
      </c>
      <c r="AA175" s="272">
        <f>IFERROR(INDEX('Horo. M'!$I$3:I$367,MATCH(A175,'Horo. M'!$A$3:$A$367,0)),"")</f>
        <v>24</v>
      </c>
      <c r="AB175" s="273">
        <v>0</v>
      </c>
      <c r="AC175" s="273">
        <v>0</v>
      </c>
      <c r="AD175" s="272">
        <f t="shared" si="91"/>
        <v>24</v>
      </c>
      <c r="AE175" s="274">
        <f t="shared" si="92"/>
        <v>1</v>
      </c>
      <c r="AF175" s="275">
        <f t="shared" si="93"/>
        <v>1</v>
      </c>
      <c r="AG175" s="278">
        <v>182.35</v>
      </c>
      <c r="AH175" s="272">
        <f t="shared" si="94"/>
        <v>0</v>
      </c>
      <c r="AI175" s="272">
        <f>IFERROR(INDEX('Horo. M'!$K$3:K$367,MATCH(A175,'Horo. M'!$A$3:$A$367,0)),"")</f>
        <v>24</v>
      </c>
      <c r="AJ175" s="278">
        <v>0</v>
      </c>
      <c r="AK175" s="278">
        <v>0</v>
      </c>
      <c r="AL175" s="272">
        <f t="shared" si="95"/>
        <v>24</v>
      </c>
      <c r="AM175" s="274">
        <f t="shared" si="96"/>
        <v>1</v>
      </c>
      <c r="AN175" s="275">
        <f t="shared" si="97"/>
        <v>1</v>
      </c>
      <c r="AO175" s="278">
        <v>183.23</v>
      </c>
      <c r="AP175" s="272">
        <f t="shared" si="98"/>
        <v>0</v>
      </c>
      <c r="AQ175" s="272">
        <f>IFERROR(INDEX('Horo. M'!$M$3:M$367,MATCH(A175,'Horo. M'!$A$3:$A$367,0)),"")</f>
        <v>0</v>
      </c>
      <c r="AR175" s="278">
        <v>24</v>
      </c>
      <c r="AS175" s="278">
        <v>0</v>
      </c>
      <c r="AT175" s="272">
        <f t="shared" si="99"/>
        <v>0</v>
      </c>
      <c r="AU175" s="274">
        <f t="shared" si="100"/>
        <v>0</v>
      </c>
      <c r="AV175" s="275">
        <f t="shared" si="101"/>
        <v>0</v>
      </c>
      <c r="AW175" s="278">
        <v>0</v>
      </c>
      <c r="AX175" s="272">
        <f t="shared" si="102"/>
        <v>0</v>
      </c>
      <c r="AY175" s="272">
        <f>IFERROR(INDEX('Horo. M'!$O$3:O$367,MATCH(A175,'Horo. M'!$A$3:$A$367,0)),"")</f>
        <v>24</v>
      </c>
      <c r="AZ175" s="278">
        <v>0</v>
      </c>
      <c r="BA175" s="278">
        <v>0</v>
      </c>
      <c r="BB175" s="272">
        <f t="shared" si="103"/>
        <v>24</v>
      </c>
      <c r="BC175" s="274">
        <f t="shared" si="104"/>
        <v>1</v>
      </c>
      <c r="BD175" s="275">
        <f t="shared" si="105"/>
        <v>1</v>
      </c>
      <c r="BE175" s="278">
        <v>186.36</v>
      </c>
      <c r="BF175" s="272">
        <f t="shared" si="106"/>
        <v>0</v>
      </c>
      <c r="BG175" s="272">
        <f>IFERROR(INDEX('Horo. M'!$Q$3:Q$367,MATCH(A175,'Horo. M'!$A$3:$A$367,0)),"")</f>
        <v>24</v>
      </c>
      <c r="BH175" s="278">
        <v>0</v>
      </c>
      <c r="BI175" s="278">
        <v>0</v>
      </c>
      <c r="BJ175" s="272">
        <f t="shared" si="107"/>
        <v>24</v>
      </c>
      <c r="BK175" s="274">
        <f t="shared" si="108"/>
        <v>1</v>
      </c>
      <c r="BL175" s="275">
        <f t="shared" si="109"/>
        <v>1</v>
      </c>
      <c r="BM175" s="278">
        <v>183.6</v>
      </c>
      <c r="BN175" s="272">
        <f t="shared" si="110"/>
        <v>0</v>
      </c>
      <c r="BO175" s="272">
        <f>IFERROR(INDEX('Horo. M'!$S$3:S$367,MATCH(A175,'Horo. M'!$A$3:$A$367,0)),"")</f>
        <v>0</v>
      </c>
      <c r="BP175" s="278">
        <v>24</v>
      </c>
      <c r="BQ175" s="278">
        <v>0</v>
      </c>
      <c r="BR175" s="272">
        <f t="shared" si="111"/>
        <v>0</v>
      </c>
      <c r="BS175" s="274">
        <f t="shared" si="112"/>
        <v>0</v>
      </c>
      <c r="BT175" s="275">
        <f t="shared" si="113"/>
        <v>0</v>
      </c>
      <c r="BU175" s="278">
        <v>0</v>
      </c>
      <c r="BV175" s="272">
        <f t="shared" si="114"/>
        <v>0</v>
      </c>
      <c r="BW175" s="272">
        <f>IFERROR(INDEX('Horo. M'!$U$3:U$367,MATCH(A175,'Horo. M'!$A$3:$A$367,0)),"")</f>
        <v>24</v>
      </c>
      <c r="BX175" s="278">
        <v>0</v>
      </c>
      <c r="BY175" s="278">
        <v>0</v>
      </c>
      <c r="BZ175" s="272">
        <f t="shared" si="115"/>
        <v>24</v>
      </c>
      <c r="CA175" s="274">
        <f t="shared" si="116"/>
        <v>1</v>
      </c>
      <c r="CB175" s="275">
        <f t="shared" si="117"/>
        <v>1</v>
      </c>
      <c r="CC175" s="280">
        <v>181.84</v>
      </c>
    </row>
    <row r="176" spans="1:81">
      <c r="A176" s="279">
        <v>45101</v>
      </c>
      <c r="B176" s="278">
        <f t="shared" si="118"/>
        <v>0</v>
      </c>
      <c r="C176" s="272">
        <f>IFERROR(INDEX('Horo. M'!$C$3:$C$367,MATCH(A176,'Horo. M'!$A$3:$A$367,0)),"")</f>
        <v>24</v>
      </c>
      <c r="D176" s="278">
        <v>0</v>
      </c>
      <c r="E176" s="278">
        <v>0</v>
      </c>
      <c r="F176" s="272">
        <f t="shared" si="119"/>
        <v>24</v>
      </c>
      <c r="G176" s="274">
        <f t="shared" si="80"/>
        <v>1</v>
      </c>
      <c r="H176" s="275">
        <f t="shared" si="81"/>
        <v>1</v>
      </c>
      <c r="I176" s="277">
        <v>200.9</v>
      </c>
      <c r="J176" s="278">
        <f t="shared" si="82"/>
        <v>0</v>
      </c>
      <c r="K176" s="272">
        <f>IFERROR(INDEX('Horo. M'!$E$3:$E$367,MATCH(A176,'Horo. M'!$A$3:$A$367,0)),"")</f>
        <v>24</v>
      </c>
      <c r="L176" s="273">
        <v>0</v>
      </c>
      <c r="M176" s="273">
        <v>0</v>
      </c>
      <c r="N176" s="272">
        <f t="shared" si="83"/>
        <v>24</v>
      </c>
      <c r="O176" s="274">
        <f t="shared" si="84"/>
        <v>1</v>
      </c>
      <c r="P176" s="275">
        <f t="shared" si="85"/>
        <v>1</v>
      </c>
      <c r="Q176" s="276">
        <v>206.4</v>
      </c>
      <c r="R176" s="278">
        <f t="shared" si="86"/>
        <v>0</v>
      </c>
      <c r="S176" s="272">
        <f>IFERROR(INDEX('Horo. M'!G$3:$G$367,MATCH(A176,'Horo. M'!$A$3:$A$367,0)),"")</f>
        <v>24</v>
      </c>
      <c r="T176" s="278">
        <v>0</v>
      </c>
      <c r="U176" s="278">
        <v>0</v>
      </c>
      <c r="V176" s="272">
        <f t="shared" si="87"/>
        <v>24</v>
      </c>
      <c r="W176" s="274">
        <f t="shared" si="88"/>
        <v>1</v>
      </c>
      <c r="X176" s="275">
        <f t="shared" si="89"/>
        <v>1</v>
      </c>
      <c r="Y176" s="278">
        <v>199.57</v>
      </c>
      <c r="Z176" s="278">
        <f t="shared" si="90"/>
        <v>0</v>
      </c>
      <c r="AA176" s="272">
        <f>IFERROR(INDEX('Horo. M'!$I$3:I$367,MATCH(A176,'Horo. M'!$A$3:$A$367,0)),"")</f>
        <v>24</v>
      </c>
      <c r="AB176" s="273">
        <v>0</v>
      </c>
      <c r="AC176" s="273">
        <v>0</v>
      </c>
      <c r="AD176" s="272">
        <f t="shared" si="91"/>
        <v>24</v>
      </c>
      <c r="AE176" s="274">
        <f t="shared" si="92"/>
        <v>1</v>
      </c>
      <c r="AF176" s="275">
        <f t="shared" si="93"/>
        <v>1</v>
      </c>
      <c r="AG176" s="278">
        <v>203.37</v>
      </c>
      <c r="AH176" s="272">
        <f t="shared" si="94"/>
        <v>0</v>
      </c>
      <c r="AI176" s="272">
        <f>IFERROR(INDEX('Horo. M'!$K$3:K$367,MATCH(A176,'Horo. M'!$A$3:$A$367,0)),"")</f>
        <v>24</v>
      </c>
      <c r="AJ176" s="278">
        <v>0</v>
      </c>
      <c r="AK176" s="278">
        <v>0</v>
      </c>
      <c r="AL176" s="272">
        <f t="shared" si="95"/>
        <v>24</v>
      </c>
      <c r="AM176" s="274">
        <f t="shared" si="96"/>
        <v>1</v>
      </c>
      <c r="AN176" s="275">
        <f t="shared" si="97"/>
        <v>1</v>
      </c>
      <c r="AO176" s="278">
        <v>202.91</v>
      </c>
      <c r="AP176" s="272">
        <f t="shared" si="98"/>
        <v>0</v>
      </c>
      <c r="AQ176" s="272">
        <f>IFERROR(INDEX('Horo. M'!$M$3:M$367,MATCH(A176,'Horo. M'!$A$3:$A$367,0)),"")</f>
        <v>0</v>
      </c>
      <c r="AR176" s="278">
        <v>24</v>
      </c>
      <c r="AS176" s="278">
        <v>0</v>
      </c>
      <c r="AT176" s="272">
        <f t="shared" si="99"/>
        <v>0</v>
      </c>
      <c r="AU176" s="274">
        <f t="shared" si="100"/>
        <v>0</v>
      </c>
      <c r="AV176" s="275">
        <f t="shared" si="101"/>
        <v>0</v>
      </c>
      <c r="AW176" s="278">
        <v>0</v>
      </c>
      <c r="AX176" s="272">
        <f t="shared" si="102"/>
        <v>0</v>
      </c>
      <c r="AY176" s="272">
        <f>IFERROR(INDEX('Horo. M'!$O$3:O$367,MATCH(A176,'Horo. M'!$A$3:$A$367,0)),"")</f>
        <v>24</v>
      </c>
      <c r="AZ176" s="278">
        <v>0</v>
      </c>
      <c r="BA176" s="278">
        <v>0</v>
      </c>
      <c r="BB176" s="272">
        <f t="shared" si="103"/>
        <v>24</v>
      </c>
      <c r="BC176" s="274">
        <f t="shared" si="104"/>
        <v>1</v>
      </c>
      <c r="BD176" s="275">
        <f t="shared" si="105"/>
        <v>1</v>
      </c>
      <c r="BE176" s="278">
        <v>204.88</v>
      </c>
      <c r="BF176" s="272">
        <f t="shared" si="106"/>
        <v>0</v>
      </c>
      <c r="BG176" s="272">
        <f>IFERROR(INDEX('Horo. M'!$Q$3:Q$367,MATCH(A176,'Horo. M'!$A$3:$A$367,0)),"")</f>
        <v>24</v>
      </c>
      <c r="BH176" s="278">
        <v>0</v>
      </c>
      <c r="BI176" s="278">
        <v>0</v>
      </c>
      <c r="BJ176" s="272">
        <f t="shared" si="107"/>
        <v>24</v>
      </c>
      <c r="BK176" s="274">
        <f t="shared" si="108"/>
        <v>1</v>
      </c>
      <c r="BL176" s="275">
        <f t="shared" si="109"/>
        <v>1</v>
      </c>
      <c r="BM176" s="278">
        <v>202.75</v>
      </c>
      <c r="BN176" s="272">
        <f t="shared" si="110"/>
        <v>0</v>
      </c>
      <c r="BO176" s="272">
        <f>IFERROR(INDEX('Horo. M'!$S$3:S$367,MATCH(A176,'Horo. M'!$A$3:$A$367,0)),"")</f>
        <v>0</v>
      </c>
      <c r="BP176" s="278">
        <v>24</v>
      </c>
      <c r="BQ176" s="278">
        <v>0</v>
      </c>
      <c r="BR176" s="272">
        <f t="shared" si="111"/>
        <v>0</v>
      </c>
      <c r="BS176" s="274">
        <f t="shared" si="112"/>
        <v>0</v>
      </c>
      <c r="BT176" s="275">
        <f t="shared" si="113"/>
        <v>0</v>
      </c>
      <c r="BU176" s="278">
        <v>0</v>
      </c>
      <c r="BV176" s="272">
        <f t="shared" si="114"/>
        <v>0</v>
      </c>
      <c r="BW176" s="272">
        <f>IFERROR(INDEX('Horo. M'!$U$3:U$367,MATCH(A176,'Horo. M'!$A$3:$A$367,0)),"")</f>
        <v>24</v>
      </c>
      <c r="BX176" s="278">
        <v>0</v>
      </c>
      <c r="BY176" s="278">
        <v>0</v>
      </c>
      <c r="BZ176" s="272">
        <f t="shared" si="115"/>
        <v>24</v>
      </c>
      <c r="CA176" s="274">
        <f t="shared" si="116"/>
        <v>1</v>
      </c>
      <c r="CB176" s="275">
        <f t="shared" si="117"/>
        <v>1</v>
      </c>
      <c r="CC176" s="280">
        <v>202.82</v>
      </c>
    </row>
    <row r="177" spans="1:81">
      <c r="A177" s="279">
        <v>45102</v>
      </c>
      <c r="B177" s="278">
        <f t="shared" si="118"/>
        <v>0</v>
      </c>
      <c r="C177" s="272">
        <f>IFERROR(INDEX('Horo. M'!$C$3:$C$367,MATCH(A177,'Horo. M'!$A$3:$A$367,0)),"")</f>
        <v>24</v>
      </c>
      <c r="D177" s="278">
        <v>0</v>
      </c>
      <c r="E177" s="278">
        <v>0</v>
      </c>
      <c r="F177" s="272">
        <f t="shared" si="119"/>
        <v>24</v>
      </c>
      <c r="G177" s="274">
        <f t="shared" si="80"/>
        <v>1</v>
      </c>
      <c r="H177" s="275">
        <f t="shared" si="81"/>
        <v>1</v>
      </c>
      <c r="I177" s="277">
        <v>204.9</v>
      </c>
      <c r="J177" s="278">
        <f t="shared" si="82"/>
        <v>0</v>
      </c>
      <c r="K177" s="272">
        <f>IFERROR(INDEX('Horo. M'!$E$3:$E$367,MATCH(A177,'Horo. M'!$A$3:$A$367,0)),"")</f>
        <v>24</v>
      </c>
      <c r="L177" s="273">
        <v>0</v>
      </c>
      <c r="M177" s="273">
        <v>0</v>
      </c>
      <c r="N177" s="272">
        <f t="shared" si="83"/>
        <v>24</v>
      </c>
      <c r="O177" s="274">
        <f t="shared" si="84"/>
        <v>1</v>
      </c>
      <c r="P177" s="275">
        <f t="shared" si="85"/>
        <v>1</v>
      </c>
      <c r="Q177" s="276">
        <v>203.7</v>
      </c>
      <c r="R177" s="278">
        <f t="shared" si="86"/>
        <v>0</v>
      </c>
      <c r="S177" s="272">
        <f>IFERROR(INDEX('Horo. M'!G$3:$G$367,MATCH(A177,'Horo. M'!$A$3:$A$367,0)),"")</f>
        <v>24</v>
      </c>
      <c r="T177" s="278">
        <v>0</v>
      </c>
      <c r="U177" s="278">
        <v>0</v>
      </c>
      <c r="V177" s="272">
        <f t="shared" si="87"/>
        <v>24</v>
      </c>
      <c r="W177" s="274">
        <f t="shared" si="88"/>
        <v>1</v>
      </c>
      <c r="X177" s="275">
        <f t="shared" si="89"/>
        <v>1</v>
      </c>
      <c r="Y177" s="278">
        <v>199.31</v>
      </c>
      <c r="Z177" s="278">
        <f t="shared" si="90"/>
        <v>0</v>
      </c>
      <c r="AA177" s="272">
        <f>IFERROR(INDEX('Horo. M'!$I$3:I$367,MATCH(A177,'Horo. M'!$A$3:$A$367,0)),"")</f>
        <v>24</v>
      </c>
      <c r="AB177" s="273">
        <v>0</v>
      </c>
      <c r="AC177" s="273">
        <v>0</v>
      </c>
      <c r="AD177" s="272">
        <f t="shared" si="91"/>
        <v>24</v>
      </c>
      <c r="AE177" s="274">
        <f t="shared" si="92"/>
        <v>1</v>
      </c>
      <c r="AF177" s="275">
        <f t="shared" si="93"/>
        <v>1</v>
      </c>
      <c r="AG177" s="278">
        <v>203.53</v>
      </c>
      <c r="AH177" s="272">
        <f t="shared" si="94"/>
        <v>0</v>
      </c>
      <c r="AI177" s="272">
        <f>IFERROR(INDEX('Horo. M'!$K$3:K$367,MATCH(A177,'Horo. M'!$A$3:$A$367,0)),"")</f>
        <v>24</v>
      </c>
      <c r="AJ177" s="278">
        <v>0</v>
      </c>
      <c r="AK177" s="278">
        <v>0</v>
      </c>
      <c r="AL177" s="272">
        <f t="shared" si="95"/>
        <v>24</v>
      </c>
      <c r="AM177" s="274">
        <f t="shared" si="96"/>
        <v>1</v>
      </c>
      <c r="AN177" s="275">
        <f t="shared" si="97"/>
        <v>1</v>
      </c>
      <c r="AO177" s="278">
        <v>204.84</v>
      </c>
      <c r="AP177" s="272">
        <f t="shared" si="98"/>
        <v>0</v>
      </c>
      <c r="AQ177" s="272">
        <f>IFERROR(INDEX('Horo. M'!$M$3:M$367,MATCH(A177,'Horo. M'!$A$3:$A$367,0)),"")</f>
        <v>0</v>
      </c>
      <c r="AR177" s="278">
        <v>24</v>
      </c>
      <c r="AS177" s="278">
        <v>0</v>
      </c>
      <c r="AT177" s="272">
        <f t="shared" si="99"/>
        <v>0</v>
      </c>
      <c r="AU177" s="274">
        <f t="shared" si="100"/>
        <v>0</v>
      </c>
      <c r="AV177" s="275">
        <f t="shared" si="101"/>
        <v>0</v>
      </c>
      <c r="AW177" s="278">
        <v>0</v>
      </c>
      <c r="AX177" s="272">
        <f t="shared" si="102"/>
        <v>1</v>
      </c>
      <c r="AY177" s="272">
        <f>IFERROR(INDEX('Horo. M'!$O$3:O$367,MATCH(A177,'Horo. M'!$A$3:$A$367,0)),"")</f>
        <v>23</v>
      </c>
      <c r="AZ177" s="278">
        <v>0</v>
      </c>
      <c r="BA177" s="278">
        <v>0</v>
      </c>
      <c r="BB177" s="272">
        <f t="shared" si="103"/>
        <v>24</v>
      </c>
      <c r="BC177" s="274">
        <f t="shared" si="104"/>
        <v>0.95833333333333337</v>
      </c>
      <c r="BD177" s="275">
        <f t="shared" si="105"/>
        <v>1</v>
      </c>
      <c r="BE177" s="278">
        <v>196.72</v>
      </c>
      <c r="BF177" s="272">
        <f t="shared" si="106"/>
        <v>0</v>
      </c>
      <c r="BG177" s="272">
        <f>IFERROR(INDEX('Horo. M'!$Q$3:Q$367,MATCH(A177,'Horo. M'!$A$3:$A$367,0)),"")</f>
        <v>24</v>
      </c>
      <c r="BH177" s="278">
        <v>0</v>
      </c>
      <c r="BI177" s="278">
        <v>0</v>
      </c>
      <c r="BJ177" s="272">
        <f t="shared" si="107"/>
        <v>24</v>
      </c>
      <c r="BK177" s="274">
        <f t="shared" si="108"/>
        <v>1</v>
      </c>
      <c r="BL177" s="275">
        <f t="shared" si="109"/>
        <v>1</v>
      </c>
      <c r="BM177" s="278">
        <v>204.95</v>
      </c>
      <c r="BN177" s="272">
        <f t="shared" si="110"/>
        <v>0</v>
      </c>
      <c r="BO177" s="272">
        <f>IFERROR(INDEX('Horo. M'!$S$3:S$367,MATCH(A177,'Horo. M'!$A$3:$A$367,0)),"")</f>
        <v>0</v>
      </c>
      <c r="BP177" s="278">
        <v>24</v>
      </c>
      <c r="BQ177" s="278">
        <v>0</v>
      </c>
      <c r="BR177" s="272">
        <f t="shared" si="111"/>
        <v>0</v>
      </c>
      <c r="BS177" s="274">
        <f t="shared" si="112"/>
        <v>0</v>
      </c>
      <c r="BT177" s="275">
        <f t="shared" si="113"/>
        <v>0</v>
      </c>
      <c r="BU177" s="278">
        <v>0</v>
      </c>
      <c r="BV177" s="272">
        <f t="shared" si="114"/>
        <v>0</v>
      </c>
      <c r="BW177" s="272">
        <f>IFERROR(INDEX('Horo. M'!$U$3:U$367,MATCH(A177,'Horo. M'!$A$3:$A$367,0)),"")</f>
        <v>24</v>
      </c>
      <c r="BX177" s="278">
        <v>0</v>
      </c>
      <c r="BY177" s="278">
        <v>0</v>
      </c>
      <c r="BZ177" s="272">
        <f t="shared" si="115"/>
        <v>24</v>
      </c>
      <c r="CA177" s="274">
        <f t="shared" si="116"/>
        <v>1</v>
      </c>
      <c r="CB177" s="275">
        <f t="shared" si="117"/>
        <v>1</v>
      </c>
      <c r="CC177" s="280">
        <v>199.49</v>
      </c>
    </row>
    <row r="178" spans="1:81">
      <c r="A178" s="279">
        <v>45103</v>
      </c>
      <c r="B178" s="278">
        <f t="shared" si="118"/>
        <v>0</v>
      </c>
      <c r="C178" s="272">
        <f>IFERROR(INDEX('Horo. M'!$C$3:$C$367,MATCH(A178,'Horo. M'!$A$3:$A$367,0)),"")</f>
        <v>24</v>
      </c>
      <c r="D178" s="278">
        <v>0</v>
      </c>
      <c r="E178" s="278">
        <v>0</v>
      </c>
      <c r="F178" s="272">
        <f t="shared" si="119"/>
        <v>24</v>
      </c>
      <c r="G178" s="274">
        <f t="shared" si="80"/>
        <v>1</v>
      </c>
      <c r="H178" s="275">
        <f t="shared" si="81"/>
        <v>1</v>
      </c>
      <c r="I178" s="277">
        <v>207.4</v>
      </c>
      <c r="J178" s="278">
        <f t="shared" si="82"/>
        <v>0</v>
      </c>
      <c r="K178" s="272">
        <f>IFERROR(INDEX('Horo. M'!$E$3:$E$367,MATCH(A178,'Horo. M'!$A$3:$A$367,0)),"")</f>
        <v>24</v>
      </c>
      <c r="L178" s="273">
        <v>0</v>
      </c>
      <c r="M178" s="273">
        <v>0</v>
      </c>
      <c r="N178" s="272">
        <f t="shared" si="83"/>
        <v>24</v>
      </c>
      <c r="O178" s="274">
        <f t="shared" si="84"/>
        <v>1</v>
      </c>
      <c r="P178" s="275">
        <f t="shared" si="85"/>
        <v>1</v>
      </c>
      <c r="Q178" s="276">
        <v>207.2</v>
      </c>
      <c r="R178" s="278">
        <f t="shared" si="86"/>
        <v>0</v>
      </c>
      <c r="S178" s="272">
        <f>IFERROR(INDEX('Horo. M'!G$3:$G$367,MATCH(A178,'Horo. M'!$A$3:$A$367,0)),"")</f>
        <v>24</v>
      </c>
      <c r="T178" s="278">
        <v>0</v>
      </c>
      <c r="U178" s="278">
        <v>0</v>
      </c>
      <c r="V178" s="272">
        <f t="shared" si="87"/>
        <v>24</v>
      </c>
      <c r="W178" s="274">
        <f t="shared" si="88"/>
        <v>1</v>
      </c>
      <c r="X178" s="275">
        <f t="shared" si="89"/>
        <v>1</v>
      </c>
      <c r="Y178" s="278">
        <v>203.21</v>
      </c>
      <c r="Z178" s="278">
        <f t="shared" si="90"/>
        <v>0</v>
      </c>
      <c r="AA178" s="272">
        <f>IFERROR(INDEX('Horo. M'!$I$3:I$367,MATCH(A178,'Horo. M'!$A$3:$A$367,0)),"")</f>
        <v>24</v>
      </c>
      <c r="AB178" s="273">
        <v>0</v>
      </c>
      <c r="AC178" s="273">
        <v>0</v>
      </c>
      <c r="AD178" s="272">
        <f t="shared" si="91"/>
        <v>24</v>
      </c>
      <c r="AE178" s="274">
        <f t="shared" si="92"/>
        <v>1</v>
      </c>
      <c r="AF178" s="275">
        <f t="shared" si="93"/>
        <v>1</v>
      </c>
      <c r="AG178" s="278">
        <v>210.5</v>
      </c>
      <c r="AH178" s="272">
        <f t="shared" si="94"/>
        <v>0</v>
      </c>
      <c r="AI178" s="272">
        <f>IFERROR(INDEX('Horo. M'!$K$3:K$367,MATCH(A178,'Horo. M'!$A$3:$A$367,0)),"")</f>
        <v>24</v>
      </c>
      <c r="AJ178" s="278">
        <v>0</v>
      </c>
      <c r="AK178" s="278">
        <v>0</v>
      </c>
      <c r="AL178" s="272">
        <f t="shared" si="95"/>
        <v>24</v>
      </c>
      <c r="AM178" s="274">
        <f t="shared" si="96"/>
        <v>1</v>
      </c>
      <c r="AN178" s="275">
        <f t="shared" si="97"/>
        <v>1</v>
      </c>
      <c r="AO178" s="278">
        <v>210.46</v>
      </c>
      <c r="AP178" s="272">
        <f t="shared" si="98"/>
        <v>0</v>
      </c>
      <c r="AQ178" s="272">
        <f>IFERROR(INDEX('Horo. M'!$M$3:M$367,MATCH(A178,'Horo. M'!$A$3:$A$367,0)),"")</f>
        <v>0</v>
      </c>
      <c r="AR178" s="278">
        <v>24</v>
      </c>
      <c r="AS178" s="278">
        <v>0</v>
      </c>
      <c r="AT178" s="272">
        <f t="shared" si="99"/>
        <v>0</v>
      </c>
      <c r="AU178" s="274">
        <f t="shared" si="100"/>
        <v>0</v>
      </c>
      <c r="AV178" s="275">
        <f t="shared" si="101"/>
        <v>0</v>
      </c>
      <c r="AW178" s="278">
        <v>0</v>
      </c>
      <c r="AX178" s="272">
        <f t="shared" si="102"/>
        <v>0</v>
      </c>
      <c r="AY178" s="272">
        <f>IFERROR(INDEX('Horo. M'!$O$3:O$367,MATCH(A178,'Horo. M'!$A$3:$A$367,0)),"")</f>
        <v>24</v>
      </c>
      <c r="AZ178" s="278">
        <v>0</v>
      </c>
      <c r="BA178" s="278">
        <v>0</v>
      </c>
      <c r="BB178" s="272">
        <f t="shared" si="103"/>
        <v>24</v>
      </c>
      <c r="BC178" s="274">
        <f t="shared" si="104"/>
        <v>1</v>
      </c>
      <c r="BD178" s="275">
        <f t="shared" si="105"/>
        <v>1</v>
      </c>
      <c r="BE178" s="278">
        <v>209.82</v>
      </c>
      <c r="BF178" s="272">
        <f t="shared" si="106"/>
        <v>0</v>
      </c>
      <c r="BG178" s="272">
        <f>IFERROR(INDEX('Horo. M'!$Q$3:Q$367,MATCH(A178,'Horo. M'!$A$3:$A$367,0)),"")</f>
        <v>24</v>
      </c>
      <c r="BH178" s="278">
        <v>0</v>
      </c>
      <c r="BI178" s="278">
        <v>0</v>
      </c>
      <c r="BJ178" s="272">
        <f t="shared" si="107"/>
        <v>24</v>
      </c>
      <c r="BK178" s="274">
        <f t="shared" si="108"/>
        <v>1</v>
      </c>
      <c r="BL178" s="275">
        <f t="shared" si="109"/>
        <v>1</v>
      </c>
      <c r="BM178" s="278">
        <v>203.22</v>
      </c>
      <c r="BN178" s="272">
        <f t="shared" si="110"/>
        <v>0</v>
      </c>
      <c r="BO178" s="272">
        <f>IFERROR(INDEX('Horo. M'!$S$3:S$367,MATCH(A178,'Horo. M'!$A$3:$A$367,0)),"")</f>
        <v>0</v>
      </c>
      <c r="BP178" s="278">
        <v>24</v>
      </c>
      <c r="BQ178" s="278">
        <v>0</v>
      </c>
      <c r="BR178" s="272">
        <f t="shared" si="111"/>
        <v>0</v>
      </c>
      <c r="BS178" s="274">
        <f t="shared" si="112"/>
        <v>0</v>
      </c>
      <c r="BT178" s="275">
        <f t="shared" si="113"/>
        <v>0</v>
      </c>
      <c r="BU178" s="278">
        <v>0</v>
      </c>
      <c r="BV178" s="272">
        <f t="shared" si="114"/>
        <v>0</v>
      </c>
      <c r="BW178" s="272">
        <f>IFERROR(INDEX('Horo. M'!$U$3:U$367,MATCH(A178,'Horo. M'!$A$3:$A$367,0)),"")</f>
        <v>24</v>
      </c>
      <c r="BX178" s="278">
        <v>0</v>
      </c>
      <c r="BY178" s="278">
        <v>0</v>
      </c>
      <c r="BZ178" s="272">
        <f t="shared" si="115"/>
        <v>24</v>
      </c>
      <c r="CA178" s="274">
        <f t="shared" si="116"/>
        <v>1</v>
      </c>
      <c r="CB178" s="275">
        <f t="shared" si="117"/>
        <v>1</v>
      </c>
      <c r="CC178" s="280">
        <v>205.88</v>
      </c>
    </row>
    <row r="179" spans="1:81">
      <c r="A179" s="279">
        <v>45104</v>
      </c>
      <c r="B179" s="278">
        <f t="shared" si="118"/>
        <v>0</v>
      </c>
      <c r="C179" s="272">
        <f>IFERROR(INDEX('Horo. M'!$C$3:$C$367,MATCH(A179,'Horo. M'!$A$3:$A$367,0)),"")</f>
        <v>24</v>
      </c>
      <c r="D179" s="278">
        <v>0</v>
      </c>
      <c r="E179" s="278">
        <v>0</v>
      </c>
      <c r="F179" s="272">
        <f t="shared" si="119"/>
        <v>24</v>
      </c>
      <c r="G179" s="274">
        <f t="shared" si="80"/>
        <v>1</v>
      </c>
      <c r="H179" s="275">
        <f t="shared" si="81"/>
        <v>1</v>
      </c>
      <c r="I179" s="277">
        <v>206.3</v>
      </c>
      <c r="J179" s="278">
        <f t="shared" si="82"/>
        <v>0</v>
      </c>
      <c r="K179" s="272">
        <f>IFERROR(INDEX('Horo. M'!$E$3:$E$367,MATCH(A179,'Horo. M'!$A$3:$A$367,0)),"")</f>
        <v>24</v>
      </c>
      <c r="L179" s="273">
        <v>0</v>
      </c>
      <c r="M179" s="273">
        <v>0</v>
      </c>
      <c r="N179" s="272">
        <f t="shared" si="83"/>
        <v>24</v>
      </c>
      <c r="O179" s="274">
        <f t="shared" si="84"/>
        <v>1</v>
      </c>
      <c r="P179" s="275">
        <f t="shared" si="85"/>
        <v>1</v>
      </c>
      <c r="Q179" s="276">
        <v>204.7</v>
      </c>
      <c r="R179" s="278">
        <f t="shared" si="86"/>
        <v>0</v>
      </c>
      <c r="S179" s="272">
        <f>IFERROR(INDEX('Horo. M'!G$3:$G$367,MATCH(A179,'Horo. M'!$A$3:$A$367,0)),"")</f>
        <v>24</v>
      </c>
      <c r="T179" s="278">
        <v>0</v>
      </c>
      <c r="U179" s="278">
        <v>0</v>
      </c>
      <c r="V179" s="272">
        <f t="shared" si="87"/>
        <v>24</v>
      </c>
      <c r="W179" s="274">
        <f t="shared" si="88"/>
        <v>1</v>
      </c>
      <c r="X179" s="275">
        <f t="shared" si="89"/>
        <v>1</v>
      </c>
      <c r="Y179" s="278">
        <v>201.48</v>
      </c>
      <c r="Z179" s="278">
        <f t="shared" si="90"/>
        <v>0</v>
      </c>
      <c r="AA179" s="272">
        <f>IFERROR(INDEX('Horo. M'!$I$3:I$367,MATCH(A179,'Horo. M'!$A$3:$A$367,0)),"")</f>
        <v>24</v>
      </c>
      <c r="AB179" s="273">
        <v>0</v>
      </c>
      <c r="AC179" s="273">
        <v>0</v>
      </c>
      <c r="AD179" s="272">
        <f t="shared" si="91"/>
        <v>24</v>
      </c>
      <c r="AE179" s="274">
        <f t="shared" si="92"/>
        <v>1</v>
      </c>
      <c r="AF179" s="275">
        <f t="shared" si="93"/>
        <v>1</v>
      </c>
      <c r="AG179" s="278">
        <v>208.11</v>
      </c>
      <c r="AH179" s="272">
        <f t="shared" si="94"/>
        <v>0</v>
      </c>
      <c r="AI179" s="272">
        <f>IFERROR(INDEX('Horo. M'!$K$3:K$367,MATCH(A179,'Horo. M'!$A$3:$A$367,0)),"")</f>
        <v>24</v>
      </c>
      <c r="AJ179" s="278">
        <v>0</v>
      </c>
      <c r="AK179" s="278">
        <v>0</v>
      </c>
      <c r="AL179" s="272">
        <f t="shared" si="95"/>
        <v>24</v>
      </c>
      <c r="AM179" s="274">
        <f t="shared" si="96"/>
        <v>1</v>
      </c>
      <c r="AN179" s="275">
        <f t="shared" si="97"/>
        <v>1</v>
      </c>
      <c r="AO179" s="278">
        <v>208.89</v>
      </c>
      <c r="AP179" s="272">
        <f t="shared" si="98"/>
        <v>0</v>
      </c>
      <c r="AQ179" s="272">
        <f>IFERROR(INDEX('Horo. M'!$M$3:M$367,MATCH(A179,'Horo. M'!$A$3:$A$367,0)),"")</f>
        <v>0</v>
      </c>
      <c r="AR179" s="278">
        <v>24</v>
      </c>
      <c r="AS179" s="278">
        <v>0</v>
      </c>
      <c r="AT179" s="272">
        <f t="shared" si="99"/>
        <v>0</v>
      </c>
      <c r="AU179" s="274">
        <f t="shared" si="100"/>
        <v>0</v>
      </c>
      <c r="AV179" s="275">
        <f t="shared" si="101"/>
        <v>0</v>
      </c>
      <c r="AW179" s="278">
        <v>0</v>
      </c>
      <c r="AX179" s="272">
        <f t="shared" si="102"/>
        <v>0</v>
      </c>
      <c r="AY179" s="272">
        <f>IFERROR(INDEX('Horo. M'!$O$3:O$367,MATCH(A179,'Horo. M'!$A$3:$A$367,0)),"")</f>
        <v>24</v>
      </c>
      <c r="AZ179" s="278">
        <v>0</v>
      </c>
      <c r="BA179" s="278">
        <v>0</v>
      </c>
      <c r="BB179" s="272">
        <f t="shared" si="103"/>
        <v>24</v>
      </c>
      <c r="BC179" s="274">
        <f t="shared" si="104"/>
        <v>1</v>
      </c>
      <c r="BD179" s="275">
        <f t="shared" si="105"/>
        <v>1</v>
      </c>
      <c r="BE179" s="278">
        <v>204.22</v>
      </c>
      <c r="BF179" s="272">
        <f t="shared" si="106"/>
        <v>0</v>
      </c>
      <c r="BG179" s="272">
        <f>IFERROR(INDEX('Horo. M'!$Q$3:Q$367,MATCH(A179,'Horo. M'!$A$3:$A$367,0)),"")</f>
        <v>24</v>
      </c>
      <c r="BH179" s="278">
        <v>0</v>
      </c>
      <c r="BI179" s="278">
        <v>0</v>
      </c>
      <c r="BJ179" s="272">
        <f t="shared" si="107"/>
        <v>24</v>
      </c>
      <c r="BK179" s="274">
        <f t="shared" si="108"/>
        <v>1</v>
      </c>
      <c r="BL179" s="275">
        <f t="shared" si="109"/>
        <v>1</v>
      </c>
      <c r="BM179" s="278">
        <v>204.45</v>
      </c>
      <c r="BN179" s="272">
        <f t="shared" si="110"/>
        <v>0</v>
      </c>
      <c r="BO179" s="272">
        <f>IFERROR(INDEX('Horo. M'!$S$3:S$367,MATCH(A179,'Horo. M'!$A$3:$A$367,0)),"")</f>
        <v>0</v>
      </c>
      <c r="BP179" s="278">
        <v>24</v>
      </c>
      <c r="BQ179" s="278">
        <v>0</v>
      </c>
      <c r="BR179" s="272">
        <f t="shared" si="111"/>
        <v>0</v>
      </c>
      <c r="BS179" s="274">
        <f t="shared" si="112"/>
        <v>0</v>
      </c>
      <c r="BT179" s="275">
        <f t="shared" si="113"/>
        <v>0</v>
      </c>
      <c r="BU179" s="278">
        <v>0</v>
      </c>
      <c r="BV179" s="272">
        <f t="shared" si="114"/>
        <v>0</v>
      </c>
      <c r="BW179" s="272">
        <f>IFERROR(INDEX('Horo. M'!$U$3:U$367,MATCH(A179,'Horo. M'!$A$3:$A$367,0)),"")</f>
        <v>24</v>
      </c>
      <c r="BX179" s="278">
        <v>0</v>
      </c>
      <c r="BY179" s="278">
        <v>0</v>
      </c>
      <c r="BZ179" s="272">
        <f t="shared" si="115"/>
        <v>24</v>
      </c>
      <c r="CA179" s="274">
        <f t="shared" si="116"/>
        <v>1</v>
      </c>
      <c r="CB179" s="275">
        <f t="shared" si="117"/>
        <v>1</v>
      </c>
      <c r="CC179" s="280">
        <v>204.59</v>
      </c>
    </row>
    <row r="180" spans="1:81">
      <c r="A180" s="279">
        <v>45105</v>
      </c>
      <c r="B180" s="278">
        <f t="shared" si="118"/>
        <v>0</v>
      </c>
      <c r="C180" s="272">
        <f>IFERROR(INDEX('Horo. M'!$C$3:$C$367,MATCH(A180,'Horo. M'!$A$3:$A$367,0)),"")</f>
        <v>24</v>
      </c>
      <c r="D180" s="278">
        <v>0</v>
      </c>
      <c r="E180" s="278">
        <v>0</v>
      </c>
      <c r="F180" s="272">
        <f t="shared" si="119"/>
        <v>24</v>
      </c>
      <c r="G180" s="274">
        <f t="shared" si="80"/>
        <v>1</v>
      </c>
      <c r="H180" s="275">
        <f t="shared" si="81"/>
        <v>1</v>
      </c>
      <c r="I180" s="277">
        <v>168.5</v>
      </c>
      <c r="J180" s="278">
        <f t="shared" si="82"/>
        <v>0</v>
      </c>
      <c r="K180" s="272">
        <f>IFERROR(INDEX('Horo. M'!$E$3:$E$367,MATCH(A180,'Horo. M'!$A$3:$A$367,0)),"")</f>
        <v>24</v>
      </c>
      <c r="L180" s="273">
        <v>0</v>
      </c>
      <c r="M180" s="273">
        <v>0</v>
      </c>
      <c r="N180" s="272">
        <f t="shared" si="83"/>
        <v>24</v>
      </c>
      <c r="O180" s="274">
        <f t="shared" si="84"/>
        <v>1</v>
      </c>
      <c r="P180" s="275">
        <f t="shared" si="85"/>
        <v>1</v>
      </c>
      <c r="Q180" s="276">
        <v>169.1</v>
      </c>
      <c r="R180" s="278">
        <f t="shared" si="86"/>
        <v>0</v>
      </c>
      <c r="S180" s="272">
        <f>IFERROR(INDEX('Horo. M'!G$3:$G$367,MATCH(A180,'Horo. M'!$A$3:$A$367,0)),"")</f>
        <v>24</v>
      </c>
      <c r="T180" s="278">
        <v>0</v>
      </c>
      <c r="U180" s="278">
        <v>0</v>
      </c>
      <c r="V180" s="272">
        <f t="shared" si="87"/>
        <v>24</v>
      </c>
      <c r="W180" s="274">
        <f t="shared" si="88"/>
        <v>1</v>
      </c>
      <c r="X180" s="275">
        <f t="shared" si="89"/>
        <v>1</v>
      </c>
      <c r="Y180" s="278">
        <v>167.98</v>
      </c>
      <c r="Z180" s="278">
        <f t="shared" si="90"/>
        <v>0</v>
      </c>
      <c r="AA180" s="272">
        <f>IFERROR(INDEX('Horo. M'!$I$3:I$367,MATCH(A180,'Horo. M'!$A$3:$A$367,0)),"")</f>
        <v>22</v>
      </c>
      <c r="AB180" s="273">
        <v>0</v>
      </c>
      <c r="AC180" s="273">
        <v>2</v>
      </c>
      <c r="AD180" s="272">
        <f t="shared" si="91"/>
        <v>22</v>
      </c>
      <c r="AE180" s="274">
        <f t="shared" si="92"/>
        <v>0.91666666666666663</v>
      </c>
      <c r="AF180" s="275">
        <f t="shared" si="93"/>
        <v>0.91666666666666663</v>
      </c>
      <c r="AG180" s="278">
        <v>154.02000000000001</v>
      </c>
      <c r="AH180" s="272">
        <f t="shared" si="94"/>
        <v>0</v>
      </c>
      <c r="AI180" s="272">
        <f>IFERROR(INDEX('Horo. M'!$K$3:K$367,MATCH(A180,'Horo. M'!$A$3:$A$367,0)),"")</f>
        <v>24</v>
      </c>
      <c r="AJ180" s="278">
        <v>0</v>
      </c>
      <c r="AK180" s="278">
        <v>0</v>
      </c>
      <c r="AL180" s="272">
        <f t="shared" si="95"/>
        <v>24</v>
      </c>
      <c r="AM180" s="274">
        <f t="shared" si="96"/>
        <v>1</v>
      </c>
      <c r="AN180" s="275">
        <f t="shared" si="97"/>
        <v>1</v>
      </c>
      <c r="AO180" s="278">
        <v>166.23</v>
      </c>
      <c r="AP180" s="272">
        <f t="shared" si="98"/>
        <v>0</v>
      </c>
      <c r="AQ180" s="272">
        <f>IFERROR(INDEX('Horo. M'!$M$3:M$367,MATCH(A180,'Horo. M'!$A$3:$A$367,0)),"")</f>
        <v>0</v>
      </c>
      <c r="AR180" s="278">
        <v>24</v>
      </c>
      <c r="AS180" s="278">
        <v>0</v>
      </c>
      <c r="AT180" s="272">
        <f t="shared" si="99"/>
        <v>0</v>
      </c>
      <c r="AU180" s="274">
        <f t="shared" si="100"/>
        <v>0</v>
      </c>
      <c r="AV180" s="275">
        <f t="shared" si="101"/>
        <v>0</v>
      </c>
      <c r="AW180" s="278">
        <v>0</v>
      </c>
      <c r="AX180" s="272">
        <f t="shared" si="102"/>
        <v>0</v>
      </c>
      <c r="AY180" s="272">
        <f>IFERROR(INDEX('Horo. M'!$O$3:O$367,MATCH(A180,'Horo. M'!$A$3:$A$367,0)),"")</f>
        <v>24</v>
      </c>
      <c r="AZ180" s="278">
        <v>0</v>
      </c>
      <c r="BA180" s="278">
        <v>0</v>
      </c>
      <c r="BB180" s="272">
        <f t="shared" si="103"/>
        <v>24</v>
      </c>
      <c r="BC180" s="274">
        <f t="shared" si="104"/>
        <v>1</v>
      </c>
      <c r="BD180" s="275">
        <f t="shared" si="105"/>
        <v>1</v>
      </c>
      <c r="BE180" s="278">
        <v>169.85</v>
      </c>
      <c r="BF180" s="272">
        <f t="shared" si="106"/>
        <v>0</v>
      </c>
      <c r="BG180" s="272">
        <f>IFERROR(INDEX('Horo. M'!$Q$3:Q$367,MATCH(A180,'Horo. M'!$A$3:$A$367,0)),"")</f>
        <v>24</v>
      </c>
      <c r="BH180" s="278">
        <v>0</v>
      </c>
      <c r="BI180" s="278">
        <v>0</v>
      </c>
      <c r="BJ180" s="272">
        <f t="shared" si="107"/>
        <v>24</v>
      </c>
      <c r="BK180" s="274">
        <f t="shared" si="108"/>
        <v>1</v>
      </c>
      <c r="BL180" s="275">
        <f t="shared" si="109"/>
        <v>1</v>
      </c>
      <c r="BM180" s="278">
        <v>167.89</v>
      </c>
      <c r="BN180" s="272">
        <f t="shared" si="110"/>
        <v>0</v>
      </c>
      <c r="BO180" s="272">
        <f>IFERROR(INDEX('Horo. M'!$S$3:S$367,MATCH(A180,'Horo. M'!$A$3:$A$367,0)),"")</f>
        <v>0</v>
      </c>
      <c r="BP180" s="278">
        <v>24</v>
      </c>
      <c r="BQ180" s="278">
        <v>0</v>
      </c>
      <c r="BR180" s="272">
        <f t="shared" si="111"/>
        <v>0</v>
      </c>
      <c r="BS180" s="274">
        <f t="shared" si="112"/>
        <v>0</v>
      </c>
      <c r="BT180" s="275">
        <f t="shared" si="113"/>
        <v>0</v>
      </c>
      <c r="BU180" s="278">
        <v>0</v>
      </c>
      <c r="BV180" s="272">
        <f t="shared" si="114"/>
        <v>0</v>
      </c>
      <c r="BW180" s="272">
        <f>IFERROR(INDEX('Horo. M'!$U$3:U$367,MATCH(A180,'Horo. M'!$A$3:$A$367,0)),"")</f>
        <v>24</v>
      </c>
      <c r="BX180" s="278">
        <v>0</v>
      </c>
      <c r="BY180" s="278">
        <v>0</v>
      </c>
      <c r="BZ180" s="272">
        <f t="shared" si="115"/>
        <v>24</v>
      </c>
      <c r="CA180" s="274">
        <f t="shared" si="116"/>
        <v>1</v>
      </c>
      <c r="CB180" s="275">
        <f t="shared" si="117"/>
        <v>1</v>
      </c>
      <c r="CC180" s="280">
        <v>169.76</v>
      </c>
    </row>
    <row r="181" spans="1:81">
      <c r="A181" s="279">
        <v>45106</v>
      </c>
      <c r="B181" s="278">
        <f t="shared" si="118"/>
        <v>0</v>
      </c>
      <c r="C181" s="272">
        <f>IFERROR(INDEX('Horo. M'!$C$3:$C$367,MATCH(A181,'Horo. M'!$A$3:$A$367,0)),"")</f>
        <v>24</v>
      </c>
      <c r="D181" s="278">
        <v>0</v>
      </c>
      <c r="E181" s="278">
        <v>0</v>
      </c>
      <c r="F181" s="272">
        <f t="shared" si="119"/>
        <v>24</v>
      </c>
      <c r="G181" s="274">
        <f t="shared" si="80"/>
        <v>1</v>
      </c>
      <c r="H181" s="275">
        <f t="shared" si="81"/>
        <v>1</v>
      </c>
      <c r="I181" s="277">
        <v>168.9</v>
      </c>
      <c r="J181" s="278">
        <f t="shared" si="82"/>
        <v>2</v>
      </c>
      <c r="K181" s="272">
        <f>IFERROR(INDEX('Horo. M'!$E$3:$E$367,MATCH(A181,'Horo. M'!$A$3:$A$367,0)),"")</f>
        <v>9</v>
      </c>
      <c r="L181" s="273">
        <v>4</v>
      </c>
      <c r="M181" s="273">
        <v>9</v>
      </c>
      <c r="N181" s="272">
        <f t="shared" si="83"/>
        <v>11</v>
      </c>
      <c r="O181" s="274">
        <f t="shared" si="84"/>
        <v>0.375</v>
      </c>
      <c r="P181" s="275">
        <f t="shared" si="85"/>
        <v>0.45833333333333331</v>
      </c>
      <c r="Q181" s="276">
        <v>68.400000000000006</v>
      </c>
      <c r="R181" s="278">
        <f t="shared" si="86"/>
        <v>0</v>
      </c>
      <c r="S181" s="272">
        <f>IFERROR(INDEX('Horo. M'!G$3:$G$367,MATCH(A181,'Horo. M'!$A$3:$A$367,0)),"")</f>
        <v>24</v>
      </c>
      <c r="T181" s="278">
        <v>0</v>
      </c>
      <c r="U181" s="278">
        <v>0</v>
      </c>
      <c r="V181" s="272">
        <f t="shared" si="87"/>
        <v>24</v>
      </c>
      <c r="W181" s="274">
        <f t="shared" si="88"/>
        <v>1</v>
      </c>
      <c r="X181" s="275">
        <f t="shared" si="89"/>
        <v>1</v>
      </c>
      <c r="Y181" s="278">
        <v>166.36</v>
      </c>
      <c r="Z181" s="278">
        <f t="shared" si="90"/>
        <v>0</v>
      </c>
      <c r="AA181" s="272">
        <f>IFERROR(INDEX('Horo. M'!$I$3:I$367,MATCH(A181,'Horo. M'!$A$3:$A$367,0)),"")</f>
        <v>24</v>
      </c>
      <c r="AB181" s="273">
        <v>0</v>
      </c>
      <c r="AC181" s="273">
        <v>0</v>
      </c>
      <c r="AD181" s="272">
        <f t="shared" si="91"/>
        <v>24</v>
      </c>
      <c r="AE181" s="274">
        <f t="shared" si="92"/>
        <v>1</v>
      </c>
      <c r="AF181" s="275">
        <f t="shared" si="93"/>
        <v>1</v>
      </c>
      <c r="AG181" s="278">
        <v>166.14</v>
      </c>
      <c r="AH181" s="272">
        <f t="shared" si="94"/>
        <v>0</v>
      </c>
      <c r="AI181" s="272">
        <f>IFERROR(INDEX('Horo. M'!$K$3:K$367,MATCH(A181,'Horo. M'!$A$3:$A$367,0)),"")</f>
        <v>24</v>
      </c>
      <c r="AJ181" s="278">
        <v>0</v>
      </c>
      <c r="AK181" s="278">
        <v>0</v>
      </c>
      <c r="AL181" s="272">
        <f t="shared" si="95"/>
        <v>24</v>
      </c>
      <c r="AM181" s="274">
        <f t="shared" si="96"/>
        <v>1</v>
      </c>
      <c r="AN181" s="275">
        <f t="shared" si="97"/>
        <v>1</v>
      </c>
      <c r="AO181" s="278">
        <v>169.56</v>
      </c>
      <c r="AP181" s="272">
        <f t="shared" si="98"/>
        <v>0</v>
      </c>
      <c r="AQ181" s="272">
        <f>IFERROR(INDEX('Horo. M'!$M$3:M$367,MATCH(A181,'Horo. M'!$A$3:$A$367,0)),"")</f>
        <v>0</v>
      </c>
      <c r="AR181" s="278">
        <v>24</v>
      </c>
      <c r="AS181" s="278">
        <v>0</v>
      </c>
      <c r="AT181" s="272">
        <f t="shared" si="99"/>
        <v>0</v>
      </c>
      <c r="AU181" s="274">
        <f t="shared" si="100"/>
        <v>0</v>
      </c>
      <c r="AV181" s="275">
        <f t="shared" si="101"/>
        <v>0</v>
      </c>
      <c r="AW181" s="278">
        <v>0</v>
      </c>
      <c r="AX181" s="272">
        <f t="shared" si="102"/>
        <v>2</v>
      </c>
      <c r="AY181" s="272">
        <f>IFERROR(INDEX('Horo. M'!$O$3:O$367,MATCH(A181,'Horo. M'!$A$3:$A$367,0)),"")</f>
        <v>12</v>
      </c>
      <c r="AZ181" s="278">
        <v>4</v>
      </c>
      <c r="BA181" s="278">
        <v>6</v>
      </c>
      <c r="BB181" s="272">
        <f t="shared" si="103"/>
        <v>14</v>
      </c>
      <c r="BC181" s="274">
        <f t="shared" si="104"/>
        <v>0.5</v>
      </c>
      <c r="BD181" s="275">
        <f t="shared" si="105"/>
        <v>0.58333333333333337</v>
      </c>
      <c r="BE181" s="278">
        <v>81.37</v>
      </c>
      <c r="BF181" s="272">
        <f t="shared" si="106"/>
        <v>0</v>
      </c>
      <c r="BG181" s="272">
        <f>IFERROR(INDEX('Horo. M'!$Q$3:Q$367,MATCH(A181,'Horo. M'!$A$3:$A$367,0)),"")</f>
        <v>24</v>
      </c>
      <c r="BH181" s="278">
        <v>0</v>
      </c>
      <c r="BI181" s="278">
        <v>0</v>
      </c>
      <c r="BJ181" s="272">
        <f t="shared" si="107"/>
        <v>24</v>
      </c>
      <c r="BK181" s="274">
        <f t="shared" si="108"/>
        <v>1</v>
      </c>
      <c r="BL181" s="275">
        <f t="shared" si="109"/>
        <v>1</v>
      </c>
      <c r="BM181" s="278">
        <v>160.63999999999999</v>
      </c>
      <c r="BN181" s="272">
        <f t="shared" si="110"/>
        <v>0</v>
      </c>
      <c r="BO181" s="272">
        <f>IFERROR(INDEX('Horo. M'!$S$3:S$367,MATCH(A181,'Horo. M'!$A$3:$A$367,0)),"")</f>
        <v>0</v>
      </c>
      <c r="BP181" s="278">
        <v>24</v>
      </c>
      <c r="BQ181" s="278">
        <v>0</v>
      </c>
      <c r="BR181" s="272">
        <f t="shared" si="111"/>
        <v>0</v>
      </c>
      <c r="BS181" s="274">
        <f t="shared" si="112"/>
        <v>0</v>
      </c>
      <c r="BT181" s="275">
        <f t="shared" si="113"/>
        <v>0</v>
      </c>
      <c r="BU181" s="278">
        <v>0</v>
      </c>
      <c r="BV181" s="272">
        <f t="shared" si="114"/>
        <v>0</v>
      </c>
      <c r="BW181" s="272">
        <f>IFERROR(INDEX('Horo. M'!$U$3:U$367,MATCH(A181,'Horo. M'!$A$3:$A$367,0)),"")</f>
        <v>24</v>
      </c>
      <c r="BX181" s="278">
        <v>0</v>
      </c>
      <c r="BY181" s="278">
        <v>0</v>
      </c>
      <c r="BZ181" s="272">
        <f t="shared" si="115"/>
        <v>24</v>
      </c>
      <c r="CA181" s="274">
        <f t="shared" si="116"/>
        <v>1</v>
      </c>
      <c r="CB181" s="275">
        <f t="shared" si="117"/>
        <v>1</v>
      </c>
      <c r="CC181" s="280">
        <v>166.9</v>
      </c>
    </row>
    <row r="182" spans="1:81">
      <c r="A182" s="279">
        <v>45107</v>
      </c>
      <c r="B182" s="278">
        <f t="shared" si="118"/>
        <v>0</v>
      </c>
      <c r="C182" s="272">
        <f>IFERROR(INDEX('Horo. M'!$C$3:$C$367,MATCH(A182,'Horo. M'!$A$3:$A$367,0)),"")</f>
        <v>17</v>
      </c>
      <c r="D182" s="278">
        <v>4</v>
      </c>
      <c r="E182" s="278">
        <v>3</v>
      </c>
      <c r="F182" s="272">
        <f t="shared" si="119"/>
        <v>17</v>
      </c>
      <c r="G182" s="274">
        <f t="shared" si="80"/>
        <v>0.70833333333333337</v>
      </c>
      <c r="H182" s="275">
        <f t="shared" si="81"/>
        <v>0.70833333333333337</v>
      </c>
      <c r="I182" s="277">
        <v>115.9</v>
      </c>
      <c r="J182" s="278">
        <f t="shared" si="82"/>
        <v>0</v>
      </c>
      <c r="K182" s="272">
        <f>IFERROR(INDEX('Horo. M'!$E$3:$E$367,MATCH(A182,'Horo. M'!$A$3:$A$367,0)),"")</f>
        <v>24</v>
      </c>
      <c r="L182" s="273">
        <v>0</v>
      </c>
      <c r="M182" s="273">
        <v>0</v>
      </c>
      <c r="N182" s="272">
        <f t="shared" si="83"/>
        <v>24</v>
      </c>
      <c r="O182" s="274">
        <f t="shared" si="84"/>
        <v>1</v>
      </c>
      <c r="P182" s="275">
        <f t="shared" si="85"/>
        <v>1</v>
      </c>
      <c r="Q182" s="276">
        <v>166.2</v>
      </c>
      <c r="R182" s="278">
        <f t="shared" si="86"/>
        <v>0</v>
      </c>
      <c r="S182" s="272">
        <f>IFERROR(INDEX('Horo. M'!G$3:$G$367,MATCH(A182,'Horo. M'!$A$3:$A$367,0)),"")</f>
        <v>16</v>
      </c>
      <c r="T182" s="278">
        <v>4</v>
      </c>
      <c r="U182" s="278">
        <v>4</v>
      </c>
      <c r="V182" s="272">
        <f t="shared" si="87"/>
        <v>16</v>
      </c>
      <c r="W182" s="274">
        <f t="shared" si="88"/>
        <v>0.66666666666666663</v>
      </c>
      <c r="X182" s="275">
        <f t="shared" si="89"/>
        <v>0.66666666666666663</v>
      </c>
      <c r="Y182" s="278">
        <v>111.33</v>
      </c>
      <c r="Z182" s="278">
        <f t="shared" si="90"/>
        <v>0</v>
      </c>
      <c r="AA182" s="272">
        <f>IFERROR(INDEX('Horo. M'!$I$3:I$367,MATCH(A182,'Horo. M'!$A$3:$A$367,0)),"")</f>
        <v>24</v>
      </c>
      <c r="AB182" s="273">
        <v>0</v>
      </c>
      <c r="AC182" s="273">
        <v>0</v>
      </c>
      <c r="AD182" s="272">
        <f t="shared" si="91"/>
        <v>24</v>
      </c>
      <c r="AE182" s="274">
        <f t="shared" si="92"/>
        <v>1</v>
      </c>
      <c r="AF182" s="275">
        <f t="shared" si="93"/>
        <v>1</v>
      </c>
      <c r="AG182" s="278">
        <v>168.13</v>
      </c>
      <c r="AH182" s="272">
        <f t="shared" si="94"/>
        <v>0</v>
      </c>
      <c r="AI182" s="272">
        <f>IFERROR(INDEX('Horo. M'!$K$3:K$367,MATCH(A182,'Horo. M'!$A$3:$A$367,0)),"")</f>
        <v>24</v>
      </c>
      <c r="AJ182" s="278">
        <v>0</v>
      </c>
      <c r="AK182" s="278">
        <v>0</v>
      </c>
      <c r="AL182" s="272">
        <f t="shared" si="95"/>
        <v>24</v>
      </c>
      <c r="AM182" s="274">
        <f t="shared" si="96"/>
        <v>1</v>
      </c>
      <c r="AN182" s="275">
        <f t="shared" si="97"/>
        <v>1</v>
      </c>
      <c r="AO182" s="278">
        <v>161.62</v>
      </c>
      <c r="AP182" s="272">
        <f t="shared" si="98"/>
        <v>0</v>
      </c>
      <c r="AQ182" s="272">
        <f>IFERROR(INDEX('Horo. M'!$M$3:M$367,MATCH(A182,'Horo. M'!$A$3:$A$367,0)),"")</f>
        <v>0</v>
      </c>
      <c r="AR182" s="278">
        <v>24</v>
      </c>
      <c r="AS182" s="278">
        <v>0</v>
      </c>
      <c r="AT182" s="272">
        <f t="shared" si="99"/>
        <v>0</v>
      </c>
      <c r="AU182" s="274">
        <f t="shared" si="100"/>
        <v>0</v>
      </c>
      <c r="AV182" s="275">
        <f t="shared" si="101"/>
        <v>0</v>
      </c>
      <c r="AW182" s="278">
        <v>0</v>
      </c>
      <c r="AX182" s="272">
        <f t="shared" si="102"/>
        <v>0</v>
      </c>
      <c r="AY182" s="272">
        <f>IFERROR(INDEX('Horo. M'!$O$3:O$367,MATCH(A182,'Horo. M'!$A$3:$A$367,0)),"")</f>
        <v>24</v>
      </c>
      <c r="AZ182" s="278">
        <v>0</v>
      </c>
      <c r="BA182" s="278">
        <v>0</v>
      </c>
      <c r="BB182" s="272">
        <f t="shared" si="103"/>
        <v>24</v>
      </c>
      <c r="BC182" s="274">
        <f t="shared" si="104"/>
        <v>1</v>
      </c>
      <c r="BD182" s="275">
        <f t="shared" si="105"/>
        <v>1</v>
      </c>
      <c r="BE182" s="278">
        <v>161.16999999999999</v>
      </c>
      <c r="BF182" s="272">
        <f t="shared" si="106"/>
        <v>0</v>
      </c>
      <c r="BG182" s="272">
        <f>IFERROR(INDEX('Horo. M'!$Q$3:Q$367,MATCH(A182,'Horo. M'!$A$3:$A$367,0)),"")</f>
        <v>24</v>
      </c>
      <c r="BH182" s="278">
        <v>0</v>
      </c>
      <c r="BI182" s="278">
        <v>0</v>
      </c>
      <c r="BJ182" s="272">
        <f t="shared" si="107"/>
        <v>24</v>
      </c>
      <c r="BK182" s="274">
        <f t="shared" si="108"/>
        <v>1</v>
      </c>
      <c r="BL182" s="275">
        <f t="shared" si="109"/>
        <v>1</v>
      </c>
      <c r="BM182" s="278">
        <v>156.94</v>
      </c>
      <c r="BN182" s="272">
        <f t="shared" si="110"/>
        <v>0</v>
      </c>
      <c r="BO182" s="272">
        <f>IFERROR(INDEX('Horo. M'!$S$3:S$367,MATCH(A182,'Horo. M'!$A$3:$A$367,0)),"")</f>
        <v>0</v>
      </c>
      <c r="BP182" s="278">
        <v>24</v>
      </c>
      <c r="BQ182" s="278">
        <v>0</v>
      </c>
      <c r="BR182" s="272">
        <f t="shared" si="111"/>
        <v>0</v>
      </c>
      <c r="BS182" s="274">
        <f t="shared" si="112"/>
        <v>0</v>
      </c>
      <c r="BT182" s="275">
        <f t="shared" si="113"/>
        <v>0</v>
      </c>
      <c r="BU182" s="278">
        <v>0</v>
      </c>
      <c r="BV182" s="272">
        <f t="shared" si="114"/>
        <v>0</v>
      </c>
      <c r="BW182" s="272">
        <f>IFERROR(INDEX('Horo. M'!$U$3:U$367,MATCH(A182,'Horo. M'!$A$3:$A$367,0)),"")</f>
        <v>16</v>
      </c>
      <c r="BX182" s="278">
        <v>4</v>
      </c>
      <c r="BY182" s="278">
        <v>4</v>
      </c>
      <c r="BZ182" s="272">
        <f t="shared" si="115"/>
        <v>16</v>
      </c>
      <c r="CA182" s="274">
        <f t="shared" si="116"/>
        <v>0.66666666666666663</v>
      </c>
      <c r="CB182" s="275">
        <f t="shared" si="117"/>
        <v>0.66666666666666663</v>
      </c>
      <c r="CC182" s="280">
        <v>111.45</v>
      </c>
    </row>
    <row r="183" spans="1:81">
      <c r="A183" s="279">
        <v>45108</v>
      </c>
      <c r="B183" s="278">
        <f t="shared" si="118"/>
        <v>0</v>
      </c>
      <c r="C183" s="272">
        <f>IFERROR(INDEX('Horo. M'!$C$3:$C$367,MATCH(A183,'Horo. M'!$A$3:$A$367,0)),"")</f>
        <v>24</v>
      </c>
      <c r="D183" s="278"/>
      <c r="E183" s="278"/>
      <c r="F183" s="272">
        <f t="shared" si="119"/>
        <v>24</v>
      </c>
      <c r="G183" s="274">
        <f t="shared" si="80"/>
        <v>1</v>
      </c>
      <c r="H183" s="275">
        <f t="shared" si="81"/>
        <v>1</v>
      </c>
      <c r="I183" s="277"/>
      <c r="J183" s="278">
        <f t="shared" si="82"/>
        <v>0</v>
      </c>
      <c r="K183" s="272">
        <f>IFERROR(INDEX('Horo. M'!$E$3:$E$367,MATCH(A183,'Horo. M'!$A$3:$A$367,0)),"")</f>
        <v>24</v>
      </c>
      <c r="L183" s="273"/>
      <c r="M183" s="273"/>
      <c r="N183" s="272">
        <f t="shared" si="83"/>
        <v>24</v>
      </c>
      <c r="O183" s="274">
        <f t="shared" si="84"/>
        <v>1</v>
      </c>
      <c r="P183" s="275">
        <f t="shared" si="85"/>
        <v>1</v>
      </c>
      <c r="Q183" s="276"/>
      <c r="R183" s="278">
        <f t="shared" si="86"/>
        <v>0</v>
      </c>
      <c r="S183" s="272">
        <f>IFERROR(INDEX('Horo. M'!G$3:$G$367,MATCH(A183,'Horo. M'!$A$3:$A$367,0)),"")</f>
        <v>24</v>
      </c>
      <c r="T183" s="278"/>
      <c r="U183" s="278"/>
      <c r="V183" s="272">
        <f t="shared" si="87"/>
        <v>24</v>
      </c>
      <c r="W183" s="274">
        <f t="shared" si="88"/>
        <v>1</v>
      </c>
      <c r="X183" s="275">
        <f t="shared" si="89"/>
        <v>1</v>
      </c>
      <c r="Y183" s="278"/>
      <c r="Z183" s="278">
        <f t="shared" si="90"/>
        <v>0</v>
      </c>
      <c r="AA183" s="272">
        <f>IFERROR(INDEX('Horo. M'!$I$3:I$367,MATCH(A183,'Horo. M'!$A$3:$A$367,0)),"")</f>
        <v>24</v>
      </c>
      <c r="AB183" s="273"/>
      <c r="AC183" s="273"/>
      <c r="AD183" s="272">
        <f t="shared" si="91"/>
        <v>24</v>
      </c>
      <c r="AE183" s="274">
        <f t="shared" si="92"/>
        <v>1</v>
      </c>
      <c r="AF183" s="275">
        <f t="shared" si="93"/>
        <v>1</v>
      </c>
      <c r="AG183" s="278"/>
      <c r="AH183" s="272">
        <f t="shared" si="94"/>
        <v>0</v>
      </c>
      <c r="AI183" s="272">
        <f>IFERROR(INDEX('Horo. M'!$K$3:K$367,MATCH(A183,'Horo. M'!$A$3:$A$367,0)),"")</f>
        <v>24</v>
      </c>
      <c r="AJ183" s="278"/>
      <c r="AK183" s="278"/>
      <c r="AL183" s="272">
        <f t="shared" si="95"/>
        <v>24</v>
      </c>
      <c r="AM183" s="274">
        <f t="shared" si="96"/>
        <v>1</v>
      </c>
      <c r="AN183" s="275">
        <f t="shared" si="97"/>
        <v>1</v>
      </c>
      <c r="AO183" s="278"/>
      <c r="AP183" s="272">
        <f t="shared" si="98"/>
        <v>24</v>
      </c>
      <c r="AQ183" s="272">
        <f>IFERROR(INDEX('Horo. M'!$M$3:M$367,MATCH(A183,'Horo. M'!$A$3:$A$367,0)),"")</f>
        <v>0</v>
      </c>
      <c r="AR183" s="278"/>
      <c r="AS183" s="278"/>
      <c r="AT183" s="272">
        <f t="shared" si="99"/>
        <v>24</v>
      </c>
      <c r="AU183" s="274">
        <f t="shared" si="100"/>
        <v>0</v>
      </c>
      <c r="AV183" s="275">
        <f t="shared" si="101"/>
        <v>1</v>
      </c>
      <c r="AW183" s="278"/>
      <c r="AX183" s="272">
        <f t="shared" si="102"/>
        <v>0</v>
      </c>
      <c r="AY183" s="272">
        <f>IFERROR(INDEX('Horo. M'!$O$3:O$367,MATCH(A183,'Horo. M'!$A$3:$A$367,0)),"")</f>
        <v>24</v>
      </c>
      <c r="AZ183" s="278"/>
      <c r="BA183" s="278"/>
      <c r="BB183" s="272">
        <f t="shared" si="103"/>
        <v>24</v>
      </c>
      <c r="BC183" s="274">
        <f t="shared" si="104"/>
        <v>1</v>
      </c>
      <c r="BD183" s="275">
        <f t="shared" si="105"/>
        <v>1</v>
      </c>
      <c r="BE183" s="278"/>
      <c r="BF183" s="272">
        <f t="shared" si="106"/>
        <v>0</v>
      </c>
      <c r="BG183" s="272">
        <f>IFERROR(INDEX('Horo. M'!$Q$3:Q$367,MATCH(A183,'Horo. M'!$A$3:$A$367,0)),"")</f>
        <v>24</v>
      </c>
      <c r="BH183" s="278"/>
      <c r="BI183" s="278"/>
      <c r="BJ183" s="272">
        <f t="shared" si="107"/>
        <v>24</v>
      </c>
      <c r="BK183" s="274">
        <f t="shared" si="108"/>
        <v>1</v>
      </c>
      <c r="BL183" s="275">
        <f t="shared" si="109"/>
        <v>1</v>
      </c>
      <c r="BM183" s="278"/>
      <c r="BN183" s="272">
        <f t="shared" si="110"/>
        <v>24</v>
      </c>
      <c r="BO183" s="272">
        <f>IFERROR(INDEX('Horo. M'!$S$3:S$367,MATCH(A183,'Horo. M'!$A$3:$A$367,0)),"")</f>
        <v>0</v>
      </c>
      <c r="BP183" s="278"/>
      <c r="BQ183" s="278"/>
      <c r="BR183" s="272">
        <f t="shared" si="111"/>
        <v>24</v>
      </c>
      <c r="BS183" s="274">
        <f t="shared" si="112"/>
        <v>0</v>
      </c>
      <c r="BT183" s="275">
        <f t="shared" si="113"/>
        <v>1</v>
      </c>
      <c r="BU183" s="278"/>
      <c r="BV183" s="272">
        <f t="shared" si="114"/>
        <v>0</v>
      </c>
      <c r="BW183" s="272">
        <f>IFERROR(INDEX('Horo. M'!$U$3:U$367,MATCH(A183,'Horo. M'!$A$3:$A$367,0)),"")</f>
        <v>24</v>
      </c>
      <c r="BX183" s="278"/>
      <c r="BY183" s="278"/>
      <c r="BZ183" s="272">
        <f t="shared" si="115"/>
        <v>24</v>
      </c>
      <c r="CA183" s="274">
        <f t="shared" si="116"/>
        <v>1</v>
      </c>
      <c r="CB183" s="275">
        <f t="shared" si="117"/>
        <v>1</v>
      </c>
      <c r="CC183" s="280"/>
    </row>
    <row r="184" spans="1:81">
      <c r="A184" s="279">
        <v>45109</v>
      </c>
      <c r="B184" s="278">
        <f t="shared" si="118"/>
        <v>0</v>
      </c>
      <c r="C184" s="272">
        <f>IFERROR(INDEX('Horo. M'!$C$3:$C$367,MATCH(A184,'Horo. M'!$A$3:$A$367,0)),"")</f>
        <v>24</v>
      </c>
      <c r="D184" s="278"/>
      <c r="E184" s="278"/>
      <c r="F184" s="272">
        <f t="shared" si="119"/>
        <v>24</v>
      </c>
      <c r="G184" s="274">
        <f t="shared" si="80"/>
        <v>1</v>
      </c>
      <c r="H184" s="275">
        <f t="shared" si="81"/>
        <v>1</v>
      </c>
      <c r="I184" s="277"/>
      <c r="J184" s="278">
        <f t="shared" si="82"/>
        <v>0</v>
      </c>
      <c r="K184" s="272">
        <f>IFERROR(INDEX('Horo. M'!$E$3:$E$367,MATCH(A184,'Horo. M'!$A$3:$A$367,0)),"")</f>
        <v>24</v>
      </c>
      <c r="L184" s="273"/>
      <c r="M184" s="273"/>
      <c r="N184" s="272">
        <f t="shared" si="83"/>
        <v>24</v>
      </c>
      <c r="O184" s="274">
        <f t="shared" si="84"/>
        <v>1</v>
      </c>
      <c r="P184" s="275">
        <f t="shared" si="85"/>
        <v>1</v>
      </c>
      <c r="Q184" s="276"/>
      <c r="R184" s="278">
        <f t="shared" si="86"/>
        <v>0</v>
      </c>
      <c r="S184" s="272">
        <f>IFERROR(INDEX('Horo. M'!G$3:$G$367,MATCH(A184,'Horo. M'!$A$3:$A$367,0)),"")</f>
        <v>24</v>
      </c>
      <c r="T184" s="278"/>
      <c r="U184" s="278"/>
      <c r="V184" s="272">
        <f t="shared" si="87"/>
        <v>24</v>
      </c>
      <c r="W184" s="274">
        <f t="shared" si="88"/>
        <v>1</v>
      </c>
      <c r="X184" s="275">
        <f t="shared" si="89"/>
        <v>1</v>
      </c>
      <c r="Y184" s="278"/>
      <c r="Z184" s="278">
        <f t="shared" si="90"/>
        <v>0</v>
      </c>
      <c r="AA184" s="272">
        <f>IFERROR(INDEX('Horo. M'!$I$3:I$367,MATCH(A184,'Horo. M'!$A$3:$A$367,0)),"")</f>
        <v>24</v>
      </c>
      <c r="AB184" s="273"/>
      <c r="AC184" s="273"/>
      <c r="AD184" s="272">
        <f t="shared" si="91"/>
        <v>24</v>
      </c>
      <c r="AE184" s="274">
        <f t="shared" si="92"/>
        <v>1</v>
      </c>
      <c r="AF184" s="275">
        <f t="shared" si="93"/>
        <v>1</v>
      </c>
      <c r="AG184" s="278"/>
      <c r="AH184" s="272">
        <f t="shared" si="94"/>
        <v>0</v>
      </c>
      <c r="AI184" s="272">
        <f>IFERROR(INDEX('Horo. M'!$K$3:K$367,MATCH(A184,'Horo. M'!$A$3:$A$367,0)),"")</f>
        <v>24</v>
      </c>
      <c r="AJ184" s="278"/>
      <c r="AK184" s="278"/>
      <c r="AL184" s="272">
        <f t="shared" si="95"/>
        <v>24</v>
      </c>
      <c r="AM184" s="274">
        <f t="shared" si="96"/>
        <v>1</v>
      </c>
      <c r="AN184" s="275">
        <f t="shared" si="97"/>
        <v>1</v>
      </c>
      <c r="AO184" s="278"/>
      <c r="AP184" s="272">
        <f t="shared" si="98"/>
        <v>24</v>
      </c>
      <c r="AQ184" s="272">
        <f>IFERROR(INDEX('Horo. M'!$M$3:M$367,MATCH(A184,'Horo. M'!$A$3:$A$367,0)),"")</f>
        <v>0</v>
      </c>
      <c r="AR184" s="278"/>
      <c r="AS184" s="278"/>
      <c r="AT184" s="272">
        <f t="shared" si="99"/>
        <v>24</v>
      </c>
      <c r="AU184" s="274">
        <f t="shared" si="100"/>
        <v>0</v>
      </c>
      <c r="AV184" s="275">
        <f t="shared" si="101"/>
        <v>1</v>
      </c>
      <c r="AW184" s="278"/>
      <c r="AX184" s="272">
        <f t="shared" si="102"/>
        <v>0</v>
      </c>
      <c r="AY184" s="272">
        <f>IFERROR(INDEX('Horo. M'!$O$3:O$367,MATCH(A184,'Horo. M'!$A$3:$A$367,0)),"")</f>
        <v>24</v>
      </c>
      <c r="AZ184" s="278"/>
      <c r="BA184" s="278"/>
      <c r="BB184" s="272">
        <f t="shared" si="103"/>
        <v>24</v>
      </c>
      <c r="BC184" s="274">
        <f t="shared" si="104"/>
        <v>1</v>
      </c>
      <c r="BD184" s="275">
        <f t="shared" si="105"/>
        <v>1</v>
      </c>
      <c r="BE184" s="278"/>
      <c r="BF184" s="272">
        <f t="shared" si="106"/>
        <v>0</v>
      </c>
      <c r="BG184" s="272">
        <f>IFERROR(INDEX('Horo. M'!$Q$3:Q$367,MATCH(A184,'Horo. M'!$A$3:$A$367,0)),"")</f>
        <v>24</v>
      </c>
      <c r="BH184" s="278"/>
      <c r="BI184" s="278"/>
      <c r="BJ184" s="272">
        <f t="shared" si="107"/>
        <v>24</v>
      </c>
      <c r="BK184" s="274">
        <f t="shared" si="108"/>
        <v>1</v>
      </c>
      <c r="BL184" s="275">
        <f t="shared" si="109"/>
        <v>1</v>
      </c>
      <c r="BM184" s="278"/>
      <c r="BN184" s="272">
        <f t="shared" si="110"/>
        <v>24</v>
      </c>
      <c r="BO184" s="272">
        <f>IFERROR(INDEX('Horo. M'!$S$3:S$367,MATCH(A184,'Horo. M'!$A$3:$A$367,0)),"")</f>
        <v>0</v>
      </c>
      <c r="BP184" s="278"/>
      <c r="BQ184" s="278"/>
      <c r="BR184" s="272">
        <f t="shared" si="111"/>
        <v>24</v>
      </c>
      <c r="BS184" s="274">
        <f t="shared" si="112"/>
        <v>0</v>
      </c>
      <c r="BT184" s="275">
        <f t="shared" si="113"/>
        <v>1</v>
      </c>
      <c r="BU184" s="278"/>
      <c r="BV184" s="272">
        <f t="shared" si="114"/>
        <v>0</v>
      </c>
      <c r="BW184" s="272">
        <f>IFERROR(INDEX('Horo. M'!$U$3:U$367,MATCH(A184,'Horo. M'!$A$3:$A$367,0)),"")</f>
        <v>24</v>
      </c>
      <c r="BX184" s="278"/>
      <c r="BY184" s="278"/>
      <c r="BZ184" s="272">
        <f t="shared" si="115"/>
        <v>24</v>
      </c>
      <c r="CA184" s="274">
        <f t="shared" si="116"/>
        <v>1</v>
      </c>
      <c r="CB184" s="275">
        <f t="shared" si="117"/>
        <v>1</v>
      </c>
      <c r="CC184" s="280"/>
    </row>
    <row r="185" spans="1:81">
      <c r="A185" s="279">
        <v>45110</v>
      </c>
      <c r="B185" s="278">
        <f t="shared" si="118"/>
        <v>0</v>
      </c>
      <c r="C185" s="272">
        <f>IFERROR(INDEX('Horo. M'!$C$3:$C$367,MATCH(A185,'Horo. M'!$A$3:$A$367,0)),"")</f>
        <v>24</v>
      </c>
      <c r="D185" s="278"/>
      <c r="E185" s="278"/>
      <c r="F185" s="272">
        <f t="shared" si="119"/>
        <v>24</v>
      </c>
      <c r="G185" s="274">
        <f t="shared" si="80"/>
        <v>1</v>
      </c>
      <c r="H185" s="275">
        <f t="shared" si="81"/>
        <v>1</v>
      </c>
      <c r="I185" s="277"/>
      <c r="J185" s="278">
        <f t="shared" si="82"/>
        <v>0</v>
      </c>
      <c r="K185" s="272">
        <f>IFERROR(INDEX('Horo. M'!$E$3:$E$367,MATCH(A185,'Horo. M'!$A$3:$A$367,0)),"")</f>
        <v>24</v>
      </c>
      <c r="L185" s="273"/>
      <c r="M185" s="273"/>
      <c r="N185" s="272">
        <f t="shared" si="83"/>
        <v>24</v>
      </c>
      <c r="O185" s="274">
        <f t="shared" si="84"/>
        <v>1</v>
      </c>
      <c r="P185" s="275">
        <f t="shared" si="85"/>
        <v>1</v>
      </c>
      <c r="Q185" s="276"/>
      <c r="R185" s="278">
        <f t="shared" si="86"/>
        <v>0</v>
      </c>
      <c r="S185" s="272">
        <f>IFERROR(INDEX('Horo. M'!G$3:$G$367,MATCH(A185,'Horo. M'!$A$3:$A$367,0)),"")</f>
        <v>24</v>
      </c>
      <c r="T185" s="278"/>
      <c r="U185" s="278"/>
      <c r="V185" s="272">
        <f t="shared" si="87"/>
        <v>24</v>
      </c>
      <c r="W185" s="274">
        <f t="shared" si="88"/>
        <v>1</v>
      </c>
      <c r="X185" s="275">
        <f t="shared" si="89"/>
        <v>1</v>
      </c>
      <c r="Y185" s="278"/>
      <c r="Z185" s="278">
        <f t="shared" si="90"/>
        <v>-48</v>
      </c>
      <c r="AA185" s="272">
        <f>IFERROR(INDEX('Horo. M'!$I$3:I$367,MATCH(A185,'Horo. M'!$A$3:$A$367,0)),"")</f>
        <v>72</v>
      </c>
      <c r="AB185" s="273"/>
      <c r="AC185" s="273"/>
      <c r="AD185" s="272">
        <f t="shared" si="91"/>
        <v>24</v>
      </c>
      <c r="AE185" s="274">
        <f t="shared" si="92"/>
        <v>3</v>
      </c>
      <c r="AF185" s="275">
        <f t="shared" si="93"/>
        <v>1</v>
      </c>
      <c r="AG185" s="278"/>
      <c r="AH185" s="272">
        <f t="shared" si="94"/>
        <v>0</v>
      </c>
      <c r="AI185" s="272">
        <f>IFERROR(INDEX('Horo. M'!$K$3:K$367,MATCH(A185,'Horo. M'!$A$3:$A$367,0)),"")</f>
        <v>24</v>
      </c>
      <c r="AJ185" s="278"/>
      <c r="AK185" s="278"/>
      <c r="AL185" s="272">
        <f t="shared" si="95"/>
        <v>24</v>
      </c>
      <c r="AM185" s="274">
        <f t="shared" si="96"/>
        <v>1</v>
      </c>
      <c r="AN185" s="275">
        <f t="shared" si="97"/>
        <v>1</v>
      </c>
      <c r="AO185" s="278"/>
      <c r="AP185" s="272">
        <f t="shared" si="98"/>
        <v>24</v>
      </c>
      <c r="AQ185" s="272">
        <f>IFERROR(INDEX('Horo. M'!$M$3:M$367,MATCH(A185,'Horo. M'!$A$3:$A$367,0)),"")</f>
        <v>0</v>
      </c>
      <c r="AR185" s="278"/>
      <c r="AS185" s="278"/>
      <c r="AT185" s="272">
        <f t="shared" si="99"/>
        <v>24</v>
      </c>
      <c r="AU185" s="274">
        <f t="shared" si="100"/>
        <v>0</v>
      </c>
      <c r="AV185" s="275">
        <f t="shared" si="101"/>
        <v>1</v>
      </c>
      <c r="AW185" s="278"/>
      <c r="AX185" s="272">
        <f t="shared" si="102"/>
        <v>0</v>
      </c>
      <c r="AY185" s="272">
        <f>IFERROR(INDEX('Horo. M'!$O$3:O$367,MATCH(A185,'Horo. M'!$A$3:$A$367,0)),"")</f>
        <v>24</v>
      </c>
      <c r="AZ185" s="278"/>
      <c r="BA185" s="278"/>
      <c r="BB185" s="272">
        <f t="shared" si="103"/>
        <v>24</v>
      </c>
      <c r="BC185" s="274">
        <f t="shared" si="104"/>
        <v>1</v>
      </c>
      <c r="BD185" s="275">
        <f t="shared" si="105"/>
        <v>1</v>
      </c>
      <c r="BE185" s="278"/>
      <c r="BF185" s="272">
        <f t="shared" si="106"/>
        <v>0</v>
      </c>
      <c r="BG185" s="272">
        <f>IFERROR(INDEX('Horo. M'!$Q$3:Q$367,MATCH(A185,'Horo. M'!$A$3:$A$367,0)),"")</f>
        <v>24</v>
      </c>
      <c r="BH185" s="278"/>
      <c r="BI185" s="278"/>
      <c r="BJ185" s="272">
        <f t="shared" si="107"/>
        <v>24</v>
      </c>
      <c r="BK185" s="274">
        <f t="shared" si="108"/>
        <v>1</v>
      </c>
      <c r="BL185" s="275">
        <f t="shared" si="109"/>
        <v>1</v>
      </c>
      <c r="BM185" s="278"/>
      <c r="BN185" s="272">
        <f t="shared" si="110"/>
        <v>24</v>
      </c>
      <c r="BO185" s="272">
        <f>IFERROR(INDEX('Horo. M'!$S$3:S$367,MATCH(A185,'Horo. M'!$A$3:$A$367,0)),"")</f>
        <v>0</v>
      </c>
      <c r="BP185" s="278"/>
      <c r="BQ185" s="278"/>
      <c r="BR185" s="272">
        <f t="shared" si="111"/>
        <v>24</v>
      </c>
      <c r="BS185" s="274">
        <f t="shared" si="112"/>
        <v>0</v>
      </c>
      <c r="BT185" s="275">
        <f t="shared" si="113"/>
        <v>1</v>
      </c>
      <c r="BU185" s="278"/>
      <c r="BV185" s="272">
        <f t="shared" si="114"/>
        <v>0</v>
      </c>
      <c r="BW185" s="272">
        <f>IFERROR(INDEX('Horo. M'!$U$3:U$367,MATCH(A185,'Horo. M'!$A$3:$A$367,0)),"")</f>
        <v>24</v>
      </c>
      <c r="BX185" s="278"/>
      <c r="BY185" s="278"/>
      <c r="BZ185" s="272">
        <f t="shared" si="115"/>
        <v>24</v>
      </c>
      <c r="CA185" s="274">
        <f t="shared" si="116"/>
        <v>1</v>
      </c>
      <c r="CB185" s="275">
        <f t="shared" si="117"/>
        <v>1</v>
      </c>
      <c r="CC185" s="280"/>
    </row>
    <row r="186" spans="1:81">
      <c r="A186" s="279">
        <v>45111</v>
      </c>
      <c r="B186" s="278">
        <f t="shared" si="118"/>
        <v>0</v>
      </c>
      <c r="C186" s="272">
        <f>IFERROR(INDEX('Horo. M'!$C$3:$C$367,MATCH(A186,'Horo. M'!$A$3:$A$367,0)),"")</f>
        <v>24</v>
      </c>
      <c r="D186" s="278"/>
      <c r="E186" s="278"/>
      <c r="F186" s="272">
        <f t="shared" si="119"/>
        <v>24</v>
      </c>
      <c r="G186" s="274">
        <f t="shared" si="80"/>
        <v>1</v>
      </c>
      <c r="H186" s="275">
        <f t="shared" si="81"/>
        <v>1</v>
      </c>
      <c r="I186" s="277"/>
      <c r="J186" s="278">
        <f t="shared" si="82"/>
        <v>0</v>
      </c>
      <c r="K186" s="272">
        <f>IFERROR(INDEX('Horo. M'!$E$3:$E$367,MATCH(A186,'Horo. M'!$A$3:$A$367,0)),"")</f>
        <v>24</v>
      </c>
      <c r="L186" s="273"/>
      <c r="M186" s="273"/>
      <c r="N186" s="272">
        <f t="shared" si="83"/>
        <v>24</v>
      </c>
      <c r="O186" s="274">
        <f t="shared" si="84"/>
        <v>1</v>
      </c>
      <c r="P186" s="275">
        <f t="shared" si="85"/>
        <v>1</v>
      </c>
      <c r="Q186" s="276"/>
      <c r="R186" s="278">
        <f t="shared" si="86"/>
        <v>0</v>
      </c>
      <c r="S186" s="272">
        <f>IFERROR(INDEX('Horo. M'!G$3:$G$367,MATCH(A186,'Horo. M'!$A$3:$A$367,0)),"")</f>
        <v>24</v>
      </c>
      <c r="T186" s="278"/>
      <c r="U186" s="278"/>
      <c r="V186" s="272">
        <f t="shared" si="87"/>
        <v>24</v>
      </c>
      <c r="W186" s="274">
        <f t="shared" si="88"/>
        <v>1</v>
      </c>
      <c r="X186" s="275">
        <f t="shared" si="89"/>
        <v>1</v>
      </c>
      <c r="Y186" s="278"/>
      <c r="Z186" s="278">
        <f t="shared" si="90"/>
        <v>24</v>
      </c>
      <c r="AA186" s="272">
        <f>IFERROR(INDEX('Horo. M'!$I$3:I$367,MATCH(A186,'Horo. M'!$A$3:$A$367,0)),"")</f>
        <v>0</v>
      </c>
      <c r="AB186" s="273"/>
      <c r="AC186" s="273"/>
      <c r="AD186" s="272">
        <f t="shared" si="91"/>
        <v>24</v>
      </c>
      <c r="AE186" s="274">
        <f t="shared" si="92"/>
        <v>0</v>
      </c>
      <c r="AF186" s="275">
        <f t="shared" si="93"/>
        <v>1</v>
      </c>
      <c r="AG186" s="278"/>
      <c r="AH186" s="272">
        <f t="shared" si="94"/>
        <v>0</v>
      </c>
      <c r="AI186" s="272">
        <f>IFERROR(INDEX('Horo. M'!$K$3:K$367,MATCH(A186,'Horo. M'!$A$3:$A$367,0)),"")</f>
        <v>24</v>
      </c>
      <c r="AJ186" s="278"/>
      <c r="AK186" s="278"/>
      <c r="AL186" s="272">
        <f t="shared" si="95"/>
        <v>24</v>
      </c>
      <c r="AM186" s="274">
        <f t="shared" si="96"/>
        <v>1</v>
      </c>
      <c r="AN186" s="275">
        <f t="shared" si="97"/>
        <v>1</v>
      </c>
      <c r="AO186" s="278"/>
      <c r="AP186" s="272">
        <f t="shared" si="98"/>
        <v>24</v>
      </c>
      <c r="AQ186" s="272">
        <f>IFERROR(INDEX('Horo. M'!$M$3:M$367,MATCH(A186,'Horo. M'!$A$3:$A$367,0)),"")</f>
        <v>0</v>
      </c>
      <c r="AR186" s="278"/>
      <c r="AS186" s="278"/>
      <c r="AT186" s="272">
        <f t="shared" si="99"/>
        <v>24</v>
      </c>
      <c r="AU186" s="274">
        <f t="shared" si="100"/>
        <v>0</v>
      </c>
      <c r="AV186" s="275">
        <f t="shared" si="101"/>
        <v>1</v>
      </c>
      <c r="AW186" s="278"/>
      <c r="AX186" s="272">
        <f t="shared" si="102"/>
        <v>0</v>
      </c>
      <c r="AY186" s="272">
        <f>IFERROR(INDEX('Horo. M'!$O$3:O$367,MATCH(A186,'Horo. M'!$A$3:$A$367,0)),"")</f>
        <v>24</v>
      </c>
      <c r="AZ186" s="278"/>
      <c r="BA186" s="278"/>
      <c r="BB186" s="272">
        <f t="shared" si="103"/>
        <v>24</v>
      </c>
      <c r="BC186" s="274">
        <f t="shared" si="104"/>
        <v>1</v>
      </c>
      <c r="BD186" s="275">
        <f t="shared" si="105"/>
        <v>1</v>
      </c>
      <c r="BE186" s="278"/>
      <c r="BF186" s="272">
        <f t="shared" si="106"/>
        <v>0</v>
      </c>
      <c r="BG186" s="272">
        <f>IFERROR(INDEX('Horo. M'!$Q$3:Q$367,MATCH(A186,'Horo. M'!$A$3:$A$367,0)),"")</f>
        <v>24</v>
      </c>
      <c r="BH186" s="278"/>
      <c r="BI186" s="278"/>
      <c r="BJ186" s="272">
        <f t="shared" si="107"/>
        <v>24</v>
      </c>
      <c r="BK186" s="274">
        <f t="shared" si="108"/>
        <v>1</v>
      </c>
      <c r="BL186" s="275">
        <f t="shared" si="109"/>
        <v>1</v>
      </c>
      <c r="BM186" s="278"/>
      <c r="BN186" s="272">
        <f t="shared" si="110"/>
        <v>24</v>
      </c>
      <c r="BO186" s="272">
        <f>IFERROR(INDEX('Horo. M'!$S$3:S$367,MATCH(A186,'Horo. M'!$A$3:$A$367,0)),"")</f>
        <v>0</v>
      </c>
      <c r="BP186" s="278"/>
      <c r="BQ186" s="278"/>
      <c r="BR186" s="272">
        <f t="shared" si="111"/>
        <v>24</v>
      </c>
      <c r="BS186" s="274">
        <f t="shared" si="112"/>
        <v>0</v>
      </c>
      <c r="BT186" s="275">
        <f t="shared" si="113"/>
        <v>1</v>
      </c>
      <c r="BU186" s="278"/>
      <c r="BV186" s="272">
        <f t="shared" si="114"/>
        <v>0</v>
      </c>
      <c r="BW186" s="272">
        <f>IFERROR(INDEX('Horo. M'!$U$3:U$367,MATCH(A186,'Horo. M'!$A$3:$A$367,0)),"")</f>
        <v>24</v>
      </c>
      <c r="BX186" s="278"/>
      <c r="BY186" s="278"/>
      <c r="BZ186" s="272">
        <f t="shared" si="115"/>
        <v>24</v>
      </c>
      <c r="CA186" s="274">
        <f t="shared" si="116"/>
        <v>1</v>
      </c>
      <c r="CB186" s="275">
        <f t="shared" si="117"/>
        <v>1</v>
      </c>
      <c r="CC186" s="280"/>
    </row>
    <row r="187" spans="1:81">
      <c r="A187" s="279">
        <v>45112</v>
      </c>
      <c r="B187" s="278">
        <f t="shared" si="118"/>
        <v>0</v>
      </c>
      <c r="C187" s="272">
        <f>IFERROR(INDEX('Horo. M'!$C$3:$C$367,MATCH(A187,'Horo. M'!$A$3:$A$367,0)),"")</f>
        <v>24</v>
      </c>
      <c r="D187" s="278"/>
      <c r="E187" s="278"/>
      <c r="F187" s="272">
        <f t="shared" si="119"/>
        <v>24</v>
      </c>
      <c r="G187" s="274">
        <f t="shared" si="80"/>
        <v>1</v>
      </c>
      <c r="H187" s="275">
        <f t="shared" si="81"/>
        <v>1</v>
      </c>
      <c r="I187" s="277"/>
      <c r="J187" s="278">
        <f t="shared" si="82"/>
        <v>0</v>
      </c>
      <c r="K187" s="272">
        <f>IFERROR(INDEX('Horo. M'!$E$3:$E$367,MATCH(A187,'Horo. M'!$A$3:$A$367,0)),"")</f>
        <v>24</v>
      </c>
      <c r="L187" s="273"/>
      <c r="M187" s="273"/>
      <c r="N187" s="272">
        <f t="shared" si="83"/>
        <v>24</v>
      </c>
      <c r="O187" s="274">
        <f t="shared" si="84"/>
        <v>1</v>
      </c>
      <c r="P187" s="275">
        <f t="shared" si="85"/>
        <v>1</v>
      </c>
      <c r="Q187" s="276"/>
      <c r="R187" s="278">
        <f t="shared" si="86"/>
        <v>0</v>
      </c>
      <c r="S187" s="272">
        <f>IFERROR(INDEX('Horo. M'!G$3:$G$367,MATCH(A187,'Horo. M'!$A$3:$A$367,0)),"")</f>
        <v>24</v>
      </c>
      <c r="T187" s="278"/>
      <c r="U187" s="278"/>
      <c r="V187" s="272">
        <f t="shared" si="87"/>
        <v>24</v>
      </c>
      <c r="W187" s="274">
        <f t="shared" si="88"/>
        <v>1</v>
      </c>
      <c r="X187" s="275">
        <f t="shared" si="89"/>
        <v>1</v>
      </c>
      <c r="Y187" s="278"/>
      <c r="Z187" s="278">
        <f t="shared" si="90"/>
        <v>0</v>
      </c>
      <c r="AA187" s="272">
        <f>IFERROR(INDEX('Horo. M'!$I$3:I$367,MATCH(A187,'Horo. M'!$A$3:$A$367,0)),"")</f>
        <v>24</v>
      </c>
      <c r="AB187" s="273"/>
      <c r="AC187" s="273"/>
      <c r="AD187" s="272">
        <f t="shared" si="91"/>
        <v>24</v>
      </c>
      <c r="AE187" s="274">
        <f t="shared" si="92"/>
        <v>1</v>
      </c>
      <c r="AF187" s="275">
        <f t="shared" si="93"/>
        <v>1</v>
      </c>
      <c r="AG187" s="278"/>
      <c r="AH187" s="272">
        <f t="shared" si="94"/>
        <v>0</v>
      </c>
      <c r="AI187" s="272">
        <f>IFERROR(INDEX('Horo. M'!$K$3:K$367,MATCH(A187,'Horo. M'!$A$3:$A$367,0)),"")</f>
        <v>24</v>
      </c>
      <c r="AJ187" s="278"/>
      <c r="AK187" s="278"/>
      <c r="AL187" s="272">
        <f t="shared" si="95"/>
        <v>24</v>
      </c>
      <c r="AM187" s="274">
        <f t="shared" si="96"/>
        <v>1</v>
      </c>
      <c r="AN187" s="275">
        <f t="shared" si="97"/>
        <v>1</v>
      </c>
      <c r="AO187" s="278"/>
      <c r="AP187" s="272">
        <f t="shared" si="98"/>
        <v>24</v>
      </c>
      <c r="AQ187" s="272">
        <f>IFERROR(INDEX('Horo. M'!$M$3:M$367,MATCH(A187,'Horo. M'!$A$3:$A$367,0)),"")</f>
        <v>0</v>
      </c>
      <c r="AR187" s="278"/>
      <c r="AS187" s="278"/>
      <c r="AT187" s="272">
        <f t="shared" si="99"/>
        <v>24</v>
      </c>
      <c r="AU187" s="274">
        <f t="shared" si="100"/>
        <v>0</v>
      </c>
      <c r="AV187" s="275">
        <f t="shared" si="101"/>
        <v>1</v>
      </c>
      <c r="AW187" s="278"/>
      <c r="AX187" s="272">
        <f t="shared" si="102"/>
        <v>0</v>
      </c>
      <c r="AY187" s="272">
        <f>IFERROR(INDEX('Horo. M'!$O$3:O$367,MATCH(A187,'Horo. M'!$A$3:$A$367,0)),"")</f>
        <v>24</v>
      </c>
      <c r="AZ187" s="278"/>
      <c r="BA187" s="278"/>
      <c r="BB187" s="272">
        <f t="shared" si="103"/>
        <v>24</v>
      </c>
      <c r="BC187" s="274">
        <f t="shared" si="104"/>
        <v>1</v>
      </c>
      <c r="BD187" s="275">
        <f t="shared" si="105"/>
        <v>1</v>
      </c>
      <c r="BE187" s="278"/>
      <c r="BF187" s="272">
        <f t="shared" si="106"/>
        <v>0</v>
      </c>
      <c r="BG187" s="272">
        <f>IFERROR(INDEX('Horo. M'!$Q$3:Q$367,MATCH(A187,'Horo. M'!$A$3:$A$367,0)),"")</f>
        <v>24</v>
      </c>
      <c r="BH187" s="278"/>
      <c r="BI187" s="278"/>
      <c r="BJ187" s="272">
        <f t="shared" si="107"/>
        <v>24</v>
      </c>
      <c r="BK187" s="274">
        <f t="shared" si="108"/>
        <v>1</v>
      </c>
      <c r="BL187" s="275">
        <f t="shared" si="109"/>
        <v>1</v>
      </c>
      <c r="BM187" s="278"/>
      <c r="BN187" s="272">
        <f t="shared" si="110"/>
        <v>24</v>
      </c>
      <c r="BO187" s="272">
        <f>IFERROR(INDEX('Horo. M'!$S$3:S$367,MATCH(A187,'Horo. M'!$A$3:$A$367,0)),"")</f>
        <v>0</v>
      </c>
      <c r="BP187" s="278"/>
      <c r="BQ187" s="278"/>
      <c r="BR187" s="272">
        <f t="shared" si="111"/>
        <v>24</v>
      </c>
      <c r="BS187" s="274">
        <f t="shared" si="112"/>
        <v>0</v>
      </c>
      <c r="BT187" s="275">
        <f t="shared" si="113"/>
        <v>1</v>
      </c>
      <c r="BU187" s="278"/>
      <c r="BV187" s="272">
        <f t="shared" si="114"/>
        <v>0</v>
      </c>
      <c r="BW187" s="272">
        <f>IFERROR(INDEX('Horo. M'!$U$3:U$367,MATCH(A187,'Horo. M'!$A$3:$A$367,0)),"")</f>
        <v>24</v>
      </c>
      <c r="BX187" s="278"/>
      <c r="BY187" s="278"/>
      <c r="BZ187" s="272">
        <f t="shared" si="115"/>
        <v>24</v>
      </c>
      <c r="CA187" s="274">
        <f t="shared" si="116"/>
        <v>1</v>
      </c>
      <c r="CB187" s="275">
        <f t="shared" si="117"/>
        <v>1</v>
      </c>
      <c r="CC187" s="280"/>
    </row>
    <row r="188" spans="1:81">
      <c r="A188" s="279">
        <v>45113</v>
      </c>
      <c r="B188" s="278">
        <f t="shared" si="118"/>
        <v>0</v>
      </c>
      <c r="C188" s="272">
        <f>IFERROR(INDEX('Horo. M'!$C$3:$C$367,MATCH(A188,'Horo. M'!$A$3:$A$367,0)),"")</f>
        <v>24</v>
      </c>
      <c r="D188" s="278"/>
      <c r="E188" s="278"/>
      <c r="F188" s="272">
        <f t="shared" si="119"/>
        <v>24</v>
      </c>
      <c r="G188" s="274">
        <f t="shared" si="80"/>
        <v>1</v>
      </c>
      <c r="H188" s="275">
        <f t="shared" si="81"/>
        <v>1</v>
      </c>
      <c r="I188" s="277"/>
      <c r="J188" s="278">
        <f t="shared" si="82"/>
        <v>0</v>
      </c>
      <c r="K188" s="272">
        <f>IFERROR(INDEX('Horo. M'!$E$3:$E$367,MATCH(A188,'Horo. M'!$A$3:$A$367,0)),"")</f>
        <v>24</v>
      </c>
      <c r="L188" s="273"/>
      <c r="M188" s="273"/>
      <c r="N188" s="272">
        <f t="shared" si="83"/>
        <v>24</v>
      </c>
      <c r="O188" s="274">
        <f t="shared" si="84"/>
        <v>1</v>
      </c>
      <c r="P188" s="275">
        <f t="shared" si="85"/>
        <v>1</v>
      </c>
      <c r="Q188" s="276"/>
      <c r="R188" s="278">
        <f t="shared" si="86"/>
        <v>0</v>
      </c>
      <c r="S188" s="272">
        <f>IFERROR(INDEX('Horo. M'!G$3:$G$367,MATCH(A188,'Horo. M'!$A$3:$A$367,0)),"")</f>
        <v>24</v>
      </c>
      <c r="T188" s="278"/>
      <c r="U188" s="278"/>
      <c r="V188" s="272">
        <f t="shared" si="87"/>
        <v>24</v>
      </c>
      <c r="W188" s="274">
        <f t="shared" si="88"/>
        <v>1</v>
      </c>
      <c r="X188" s="275">
        <f t="shared" si="89"/>
        <v>1</v>
      </c>
      <c r="Y188" s="278"/>
      <c r="Z188" s="278">
        <f t="shared" si="90"/>
        <v>0</v>
      </c>
      <c r="AA188" s="272">
        <f>IFERROR(INDEX('Horo. M'!$I$3:I$367,MATCH(A188,'Horo. M'!$A$3:$A$367,0)),"")</f>
        <v>24</v>
      </c>
      <c r="AB188" s="273"/>
      <c r="AC188" s="273"/>
      <c r="AD188" s="272">
        <f t="shared" si="91"/>
        <v>24</v>
      </c>
      <c r="AE188" s="274">
        <f t="shared" si="92"/>
        <v>1</v>
      </c>
      <c r="AF188" s="275">
        <f t="shared" si="93"/>
        <v>1</v>
      </c>
      <c r="AG188" s="278"/>
      <c r="AH188" s="272">
        <f t="shared" si="94"/>
        <v>0</v>
      </c>
      <c r="AI188" s="272">
        <f>IFERROR(INDEX('Horo. M'!$K$3:K$367,MATCH(A188,'Horo. M'!$A$3:$A$367,0)),"")</f>
        <v>24</v>
      </c>
      <c r="AJ188" s="278"/>
      <c r="AK188" s="278"/>
      <c r="AL188" s="272">
        <f t="shared" si="95"/>
        <v>24</v>
      </c>
      <c r="AM188" s="274">
        <f t="shared" si="96"/>
        <v>1</v>
      </c>
      <c r="AN188" s="275">
        <f t="shared" si="97"/>
        <v>1</v>
      </c>
      <c r="AO188" s="278"/>
      <c r="AP188" s="272">
        <f t="shared" si="98"/>
        <v>24</v>
      </c>
      <c r="AQ188" s="272">
        <f>IFERROR(INDEX('Horo. M'!$M$3:M$367,MATCH(A188,'Horo. M'!$A$3:$A$367,0)),"")</f>
        <v>0</v>
      </c>
      <c r="AR188" s="278"/>
      <c r="AS188" s="278"/>
      <c r="AT188" s="272">
        <f t="shared" si="99"/>
        <v>24</v>
      </c>
      <c r="AU188" s="274">
        <f t="shared" si="100"/>
        <v>0</v>
      </c>
      <c r="AV188" s="275">
        <f t="shared" si="101"/>
        <v>1</v>
      </c>
      <c r="AW188" s="278"/>
      <c r="AX188" s="272">
        <f t="shared" si="102"/>
        <v>0</v>
      </c>
      <c r="AY188" s="272">
        <f>IFERROR(INDEX('Horo. M'!$O$3:O$367,MATCH(A188,'Horo. M'!$A$3:$A$367,0)),"")</f>
        <v>24</v>
      </c>
      <c r="AZ188" s="278"/>
      <c r="BA188" s="278"/>
      <c r="BB188" s="272">
        <f t="shared" si="103"/>
        <v>24</v>
      </c>
      <c r="BC188" s="274">
        <f t="shared" si="104"/>
        <v>1</v>
      </c>
      <c r="BD188" s="275">
        <f t="shared" si="105"/>
        <v>1</v>
      </c>
      <c r="BE188" s="278"/>
      <c r="BF188" s="272">
        <f t="shared" si="106"/>
        <v>0</v>
      </c>
      <c r="BG188" s="272">
        <f>IFERROR(INDEX('Horo. M'!$Q$3:Q$367,MATCH(A188,'Horo. M'!$A$3:$A$367,0)),"")</f>
        <v>24</v>
      </c>
      <c r="BH188" s="278"/>
      <c r="BI188" s="278"/>
      <c r="BJ188" s="272">
        <f t="shared" si="107"/>
        <v>24</v>
      </c>
      <c r="BK188" s="274">
        <f t="shared" si="108"/>
        <v>1</v>
      </c>
      <c r="BL188" s="275">
        <f t="shared" si="109"/>
        <v>1</v>
      </c>
      <c r="BM188" s="278"/>
      <c r="BN188" s="272">
        <f t="shared" si="110"/>
        <v>24</v>
      </c>
      <c r="BO188" s="272">
        <f>IFERROR(INDEX('Horo. M'!$S$3:S$367,MATCH(A188,'Horo. M'!$A$3:$A$367,0)),"")</f>
        <v>0</v>
      </c>
      <c r="BP188" s="278"/>
      <c r="BQ188" s="278"/>
      <c r="BR188" s="272">
        <f t="shared" si="111"/>
        <v>24</v>
      </c>
      <c r="BS188" s="274">
        <f t="shared" si="112"/>
        <v>0</v>
      </c>
      <c r="BT188" s="275">
        <f t="shared" si="113"/>
        <v>1</v>
      </c>
      <c r="BU188" s="278"/>
      <c r="BV188" s="272">
        <f t="shared" si="114"/>
        <v>0</v>
      </c>
      <c r="BW188" s="272">
        <f>IFERROR(INDEX('Horo. M'!$U$3:U$367,MATCH(A188,'Horo. M'!$A$3:$A$367,0)),"")</f>
        <v>24</v>
      </c>
      <c r="BX188" s="278"/>
      <c r="BY188" s="278"/>
      <c r="BZ188" s="272">
        <f t="shared" si="115"/>
        <v>24</v>
      </c>
      <c r="CA188" s="274">
        <f t="shared" si="116"/>
        <v>1</v>
      </c>
      <c r="CB188" s="275">
        <f t="shared" si="117"/>
        <v>1</v>
      </c>
      <c r="CC188" s="280"/>
    </row>
    <row r="189" spans="1:81">
      <c r="A189" s="279">
        <v>45114</v>
      </c>
      <c r="B189" s="278">
        <f t="shared" si="118"/>
        <v>0</v>
      </c>
      <c r="C189" s="272">
        <f>IFERROR(INDEX('Horo. M'!$C$3:$C$367,MATCH(A189,'Horo. M'!$A$3:$A$367,0)),"")</f>
        <v>24</v>
      </c>
      <c r="D189" s="278"/>
      <c r="E189" s="278"/>
      <c r="F189" s="272">
        <f t="shared" si="119"/>
        <v>24</v>
      </c>
      <c r="G189" s="274">
        <f t="shared" si="80"/>
        <v>1</v>
      </c>
      <c r="H189" s="275">
        <f t="shared" si="81"/>
        <v>1</v>
      </c>
      <c r="I189" s="277"/>
      <c r="J189" s="278">
        <f t="shared" si="82"/>
        <v>0</v>
      </c>
      <c r="K189" s="272">
        <f>IFERROR(INDEX('Horo. M'!$E$3:$E$367,MATCH(A189,'Horo. M'!$A$3:$A$367,0)),"")</f>
        <v>24</v>
      </c>
      <c r="L189" s="273"/>
      <c r="M189" s="273"/>
      <c r="N189" s="272">
        <f t="shared" si="83"/>
        <v>24</v>
      </c>
      <c r="O189" s="274">
        <f t="shared" si="84"/>
        <v>1</v>
      </c>
      <c r="P189" s="275">
        <f t="shared" si="85"/>
        <v>1</v>
      </c>
      <c r="Q189" s="276"/>
      <c r="R189" s="278">
        <f t="shared" si="86"/>
        <v>-292</v>
      </c>
      <c r="S189" s="272">
        <f>IFERROR(INDEX('Horo. M'!G$3:$G$367,MATCH(A189,'Horo. M'!$A$3:$A$367,0)),"")</f>
        <v>316</v>
      </c>
      <c r="T189" s="278"/>
      <c r="U189" s="278"/>
      <c r="V189" s="272">
        <f t="shared" si="87"/>
        <v>24</v>
      </c>
      <c r="W189" s="274">
        <f t="shared" si="88"/>
        <v>13.166666666666666</v>
      </c>
      <c r="X189" s="275">
        <f t="shared" si="89"/>
        <v>1</v>
      </c>
      <c r="Y189" s="278"/>
      <c r="Z189" s="278">
        <f t="shared" si="90"/>
        <v>0</v>
      </c>
      <c r="AA189" s="272">
        <f>IFERROR(INDEX('Horo. M'!$I$3:I$367,MATCH(A189,'Horo. M'!$A$3:$A$367,0)),"")</f>
        <v>24</v>
      </c>
      <c r="AB189" s="273"/>
      <c r="AC189" s="273"/>
      <c r="AD189" s="272">
        <f t="shared" si="91"/>
        <v>24</v>
      </c>
      <c r="AE189" s="274">
        <f t="shared" si="92"/>
        <v>1</v>
      </c>
      <c r="AF189" s="275">
        <f t="shared" si="93"/>
        <v>1</v>
      </c>
      <c r="AG189" s="278"/>
      <c r="AH189" s="272">
        <f t="shared" si="94"/>
        <v>0</v>
      </c>
      <c r="AI189" s="272">
        <f>IFERROR(INDEX('Horo. M'!$K$3:K$367,MATCH(A189,'Horo. M'!$A$3:$A$367,0)),"")</f>
        <v>24</v>
      </c>
      <c r="AJ189" s="278"/>
      <c r="AK189" s="278"/>
      <c r="AL189" s="272">
        <f t="shared" si="95"/>
        <v>24</v>
      </c>
      <c r="AM189" s="274">
        <f t="shared" si="96"/>
        <v>1</v>
      </c>
      <c r="AN189" s="275">
        <f t="shared" si="97"/>
        <v>1</v>
      </c>
      <c r="AO189" s="278"/>
      <c r="AP189" s="272">
        <f t="shared" si="98"/>
        <v>24</v>
      </c>
      <c r="AQ189" s="272">
        <f>IFERROR(INDEX('Horo. M'!$M$3:M$367,MATCH(A189,'Horo. M'!$A$3:$A$367,0)),"")</f>
        <v>0</v>
      </c>
      <c r="AR189" s="278"/>
      <c r="AS189" s="278"/>
      <c r="AT189" s="272">
        <f t="shared" si="99"/>
        <v>24</v>
      </c>
      <c r="AU189" s="274">
        <f t="shared" si="100"/>
        <v>0</v>
      </c>
      <c r="AV189" s="275">
        <f t="shared" si="101"/>
        <v>1</v>
      </c>
      <c r="AW189" s="278"/>
      <c r="AX189" s="272">
        <f t="shared" si="102"/>
        <v>0</v>
      </c>
      <c r="AY189" s="272">
        <f>IFERROR(INDEX('Horo. M'!$O$3:O$367,MATCH(A189,'Horo. M'!$A$3:$A$367,0)),"")</f>
        <v>24</v>
      </c>
      <c r="AZ189" s="278"/>
      <c r="BA189" s="278"/>
      <c r="BB189" s="272">
        <f t="shared" si="103"/>
        <v>24</v>
      </c>
      <c r="BC189" s="274">
        <f t="shared" si="104"/>
        <v>1</v>
      </c>
      <c r="BD189" s="275">
        <f t="shared" si="105"/>
        <v>1</v>
      </c>
      <c r="BE189" s="278"/>
      <c r="BF189" s="272">
        <f t="shared" si="106"/>
        <v>0</v>
      </c>
      <c r="BG189" s="272">
        <f>IFERROR(INDEX('Horo. M'!$Q$3:Q$367,MATCH(A189,'Horo. M'!$A$3:$A$367,0)),"")</f>
        <v>24</v>
      </c>
      <c r="BH189" s="278"/>
      <c r="BI189" s="278"/>
      <c r="BJ189" s="272">
        <f t="shared" si="107"/>
        <v>24</v>
      </c>
      <c r="BK189" s="274">
        <f t="shared" si="108"/>
        <v>1</v>
      </c>
      <c r="BL189" s="275">
        <f t="shared" si="109"/>
        <v>1</v>
      </c>
      <c r="BM189" s="278"/>
      <c r="BN189" s="272">
        <f t="shared" si="110"/>
        <v>24</v>
      </c>
      <c r="BO189" s="272">
        <f>IFERROR(INDEX('Horo. M'!$S$3:S$367,MATCH(A189,'Horo. M'!$A$3:$A$367,0)),"")</f>
        <v>0</v>
      </c>
      <c r="BP189" s="278"/>
      <c r="BQ189" s="278"/>
      <c r="BR189" s="272">
        <f t="shared" si="111"/>
        <v>24</v>
      </c>
      <c r="BS189" s="274">
        <f t="shared" si="112"/>
        <v>0</v>
      </c>
      <c r="BT189" s="275">
        <f t="shared" si="113"/>
        <v>1</v>
      </c>
      <c r="BU189" s="278"/>
      <c r="BV189" s="272">
        <f t="shared" si="114"/>
        <v>0</v>
      </c>
      <c r="BW189" s="272">
        <f>IFERROR(INDEX('Horo. M'!$U$3:U$367,MATCH(A189,'Horo. M'!$A$3:$A$367,0)),"")</f>
        <v>24</v>
      </c>
      <c r="BX189" s="278"/>
      <c r="BY189" s="278"/>
      <c r="BZ189" s="272">
        <f t="shared" si="115"/>
        <v>24</v>
      </c>
      <c r="CA189" s="274">
        <f t="shared" si="116"/>
        <v>1</v>
      </c>
      <c r="CB189" s="275">
        <f t="shared" si="117"/>
        <v>1</v>
      </c>
      <c r="CC189" s="280"/>
    </row>
    <row r="190" spans="1:81">
      <c r="A190" s="279">
        <v>45115</v>
      </c>
      <c r="B190" s="278">
        <f t="shared" si="118"/>
        <v>0</v>
      </c>
      <c r="C190" s="272">
        <f>IFERROR(INDEX('Horo. M'!$C$3:$C$367,MATCH(A190,'Horo. M'!$A$3:$A$367,0)),"")</f>
        <v>24</v>
      </c>
      <c r="D190" s="278"/>
      <c r="E190" s="278"/>
      <c r="F190" s="272">
        <f t="shared" si="119"/>
        <v>24</v>
      </c>
      <c r="G190" s="274">
        <f t="shared" si="80"/>
        <v>1</v>
      </c>
      <c r="H190" s="275">
        <f t="shared" si="81"/>
        <v>1</v>
      </c>
      <c r="I190" s="277"/>
      <c r="J190" s="278">
        <f t="shared" si="82"/>
        <v>0</v>
      </c>
      <c r="K190" s="272">
        <f>IFERROR(INDEX('Horo. M'!$E$3:$E$367,MATCH(A190,'Horo. M'!$A$3:$A$367,0)),"")</f>
        <v>24</v>
      </c>
      <c r="L190" s="273"/>
      <c r="M190" s="273"/>
      <c r="N190" s="272">
        <f t="shared" si="83"/>
        <v>24</v>
      </c>
      <c r="O190" s="274">
        <f t="shared" si="84"/>
        <v>1</v>
      </c>
      <c r="P190" s="275">
        <f t="shared" si="85"/>
        <v>1</v>
      </c>
      <c r="Q190" s="276"/>
      <c r="R190" s="278">
        <f t="shared" si="86"/>
        <v>24</v>
      </c>
      <c r="S190" s="272">
        <f>IFERROR(INDEX('Horo. M'!G$3:$G$367,MATCH(A190,'Horo. M'!$A$3:$A$367,0)),"")</f>
        <v>0</v>
      </c>
      <c r="T190" s="278"/>
      <c r="U190" s="278"/>
      <c r="V190" s="272">
        <f t="shared" si="87"/>
        <v>24</v>
      </c>
      <c r="W190" s="274">
        <f t="shared" si="88"/>
        <v>0</v>
      </c>
      <c r="X190" s="275">
        <f t="shared" si="89"/>
        <v>1</v>
      </c>
      <c r="Y190" s="278"/>
      <c r="Z190" s="278">
        <f t="shared" si="90"/>
        <v>0</v>
      </c>
      <c r="AA190" s="272">
        <f>IFERROR(INDEX('Horo. M'!$I$3:I$367,MATCH(A190,'Horo. M'!$A$3:$A$367,0)),"")</f>
        <v>24</v>
      </c>
      <c r="AB190" s="273"/>
      <c r="AC190" s="273"/>
      <c r="AD190" s="272">
        <f t="shared" si="91"/>
        <v>24</v>
      </c>
      <c r="AE190" s="274">
        <f t="shared" si="92"/>
        <v>1</v>
      </c>
      <c r="AF190" s="275">
        <f t="shared" si="93"/>
        <v>1</v>
      </c>
      <c r="AG190" s="278"/>
      <c r="AH190" s="272">
        <f t="shared" si="94"/>
        <v>0</v>
      </c>
      <c r="AI190" s="272">
        <f>IFERROR(INDEX('Horo. M'!$K$3:K$367,MATCH(A190,'Horo. M'!$A$3:$A$367,0)),"")</f>
        <v>24</v>
      </c>
      <c r="AJ190" s="278"/>
      <c r="AK190" s="278"/>
      <c r="AL190" s="272">
        <f t="shared" si="95"/>
        <v>24</v>
      </c>
      <c r="AM190" s="274">
        <f t="shared" si="96"/>
        <v>1</v>
      </c>
      <c r="AN190" s="275">
        <f t="shared" si="97"/>
        <v>1</v>
      </c>
      <c r="AO190" s="278"/>
      <c r="AP190" s="272">
        <f t="shared" si="98"/>
        <v>24</v>
      </c>
      <c r="AQ190" s="272">
        <f>IFERROR(INDEX('Horo. M'!$M$3:M$367,MATCH(A190,'Horo. M'!$A$3:$A$367,0)),"")</f>
        <v>0</v>
      </c>
      <c r="AR190" s="278"/>
      <c r="AS190" s="278"/>
      <c r="AT190" s="272">
        <f t="shared" si="99"/>
        <v>24</v>
      </c>
      <c r="AU190" s="274">
        <f t="shared" si="100"/>
        <v>0</v>
      </c>
      <c r="AV190" s="275">
        <f t="shared" si="101"/>
        <v>1</v>
      </c>
      <c r="AW190" s="278"/>
      <c r="AX190" s="272">
        <f t="shared" si="102"/>
        <v>0</v>
      </c>
      <c r="AY190" s="272">
        <f>IFERROR(INDEX('Horo. M'!$O$3:O$367,MATCH(A190,'Horo. M'!$A$3:$A$367,0)),"")</f>
        <v>24</v>
      </c>
      <c r="AZ190" s="278"/>
      <c r="BA190" s="278"/>
      <c r="BB190" s="272">
        <f t="shared" si="103"/>
        <v>24</v>
      </c>
      <c r="BC190" s="274">
        <f t="shared" si="104"/>
        <v>1</v>
      </c>
      <c r="BD190" s="275">
        <f t="shared" si="105"/>
        <v>1</v>
      </c>
      <c r="BE190" s="278"/>
      <c r="BF190" s="272">
        <f t="shared" si="106"/>
        <v>0</v>
      </c>
      <c r="BG190" s="272">
        <f>IFERROR(INDEX('Horo. M'!$Q$3:Q$367,MATCH(A190,'Horo. M'!$A$3:$A$367,0)),"")</f>
        <v>24</v>
      </c>
      <c r="BH190" s="278"/>
      <c r="BI190" s="278"/>
      <c r="BJ190" s="272">
        <f t="shared" si="107"/>
        <v>24</v>
      </c>
      <c r="BK190" s="274">
        <f t="shared" si="108"/>
        <v>1</v>
      </c>
      <c r="BL190" s="275">
        <f t="shared" si="109"/>
        <v>1</v>
      </c>
      <c r="BM190" s="278"/>
      <c r="BN190" s="272">
        <f t="shared" si="110"/>
        <v>24</v>
      </c>
      <c r="BO190" s="272">
        <f>IFERROR(INDEX('Horo. M'!$S$3:S$367,MATCH(A190,'Horo. M'!$A$3:$A$367,0)),"")</f>
        <v>0</v>
      </c>
      <c r="BP190" s="278"/>
      <c r="BQ190" s="278"/>
      <c r="BR190" s="272">
        <f t="shared" si="111"/>
        <v>24</v>
      </c>
      <c r="BS190" s="274">
        <f t="shared" si="112"/>
        <v>0</v>
      </c>
      <c r="BT190" s="275">
        <f t="shared" si="113"/>
        <v>1</v>
      </c>
      <c r="BU190" s="278"/>
      <c r="BV190" s="272">
        <f t="shared" si="114"/>
        <v>0</v>
      </c>
      <c r="BW190" s="272">
        <f>IFERROR(INDEX('Horo. M'!$U$3:U$367,MATCH(A190,'Horo. M'!$A$3:$A$367,0)),"")</f>
        <v>24</v>
      </c>
      <c r="BX190" s="278"/>
      <c r="BY190" s="278"/>
      <c r="BZ190" s="272">
        <f t="shared" si="115"/>
        <v>24</v>
      </c>
      <c r="CA190" s="274">
        <f t="shared" si="116"/>
        <v>1</v>
      </c>
      <c r="CB190" s="275">
        <f t="shared" si="117"/>
        <v>1</v>
      </c>
      <c r="CC190" s="280"/>
    </row>
    <row r="191" spans="1:81">
      <c r="A191" s="279">
        <v>45116</v>
      </c>
      <c r="B191" s="278">
        <f t="shared" si="118"/>
        <v>0</v>
      </c>
      <c r="C191" s="272">
        <f>IFERROR(INDEX('Horo. M'!$C$3:$C$367,MATCH(A191,'Horo. M'!$A$3:$A$367,0)),"")</f>
        <v>24</v>
      </c>
      <c r="D191" s="278"/>
      <c r="E191" s="278"/>
      <c r="F191" s="272">
        <f t="shared" si="119"/>
        <v>24</v>
      </c>
      <c r="G191" s="274">
        <f t="shared" si="80"/>
        <v>1</v>
      </c>
      <c r="H191" s="275">
        <f t="shared" si="81"/>
        <v>1</v>
      </c>
      <c r="I191" s="277"/>
      <c r="J191" s="278">
        <f t="shared" si="82"/>
        <v>0</v>
      </c>
      <c r="K191" s="272">
        <f>IFERROR(INDEX('Horo. M'!$E$3:$E$367,MATCH(A191,'Horo. M'!$A$3:$A$367,0)),"")</f>
        <v>24</v>
      </c>
      <c r="L191" s="273"/>
      <c r="M191" s="273"/>
      <c r="N191" s="272">
        <f t="shared" si="83"/>
        <v>24</v>
      </c>
      <c r="O191" s="274">
        <f t="shared" si="84"/>
        <v>1</v>
      </c>
      <c r="P191" s="275">
        <f t="shared" si="85"/>
        <v>1</v>
      </c>
      <c r="Q191" s="276"/>
      <c r="R191" s="278">
        <f t="shared" si="86"/>
        <v>0</v>
      </c>
      <c r="S191" s="272">
        <f>IFERROR(INDEX('Horo. M'!G$3:$G$367,MATCH(A191,'Horo. M'!$A$3:$A$367,0)),"")</f>
        <v>24</v>
      </c>
      <c r="T191" s="278"/>
      <c r="U191" s="278"/>
      <c r="V191" s="272">
        <f t="shared" si="87"/>
        <v>24</v>
      </c>
      <c r="W191" s="274">
        <f t="shared" si="88"/>
        <v>1</v>
      </c>
      <c r="X191" s="275">
        <f t="shared" si="89"/>
        <v>1</v>
      </c>
      <c r="Y191" s="278"/>
      <c r="Z191" s="278">
        <f t="shared" si="90"/>
        <v>0</v>
      </c>
      <c r="AA191" s="272">
        <f>IFERROR(INDEX('Horo. M'!$I$3:I$367,MATCH(A191,'Horo. M'!$A$3:$A$367,0)),"")</f>
        <v>24</v>
      </c>
      <c r="AB191" s="273"/>
      <c r="AC191" s="273"/>
      <c r="AD191" s="272">
        <f t="shared" si="91"/>
        <v>24</v>
      </c>
      <c r="AE191" s="274">
        <f t="shared" si="92"/>
        <v>1</v>
      </c>
      <c r="AF191" s="275">
        <f t="shared" si="93"/>
        <v>1</v>
      </c>
      <c r="AG191" s="278"/>
      <c r="AH191" s="272">
        <f t="shared" si="94"/>
        <v>0</v>
      </c>
      <c r="AI191" s="272">
        <f>IFERROR(INDEX('Horo. M'!$K$3:K$367,MATCH(A191,'Horo. M'!$A$3:$A$367,0)),"")</f>
        <v>24</v>
      </c>
      <c r="AJ191" s="278"/>
      <c r="AK191" s="278"/>
      <c r="AL191" s="272">
        <f t="shared" si="95"/>
        <v>24</v>
      </c>
      <c r="AM191" s="274">
        <f t="shared" si="96"/>
        <v>1</v>
      </c>
      <c r="AN191" s="275">
        <f t="shared" si="97"/>
        <v>1</v>
      </c>
      <c r="AO191" s="278"/>
      <c r="AP191" s="272">
        <f t="shared" si="98"/>
        <v>24</v>
      </c>
      <c r="AQ191" s="272">
        <f>IFERROR(INDEX('Horo. M'!$M$3:M$367,MATCH(A191,'Horo. M'!$A$3:$A$367,0)),"")</f>
        <v>0</v>
      </c>
      <c r="AR191" s="278"/>
      <c r="AS191" s="278"/>
      <c r="AT191" s="272">
        <f t="shared" si="99"/>
        <v>24</v>
      </c>
      <c r="AU191" s="274">
        <f t="shared" si="100"/>
        <v>0</v>
      </c>
      <c r="AV191" s="275">
        <f t="shared" si="101"/>
        <v>1</v>
      </c>
      <c r="AW191" s="278"/>
      <c r="AX191" s="272">
        <f t="shared" si="102"/>
        <v>0</v>
      </c>
      <c r="AY191" s="272">
        <f>IFERROR(INDEX('Horo. M'!$O$3:O$367,MATCH(A191,'Horo. M'!$A$3:$A$367,0)),"")</f>
        <v>24</v>
      </c>
      <c r="AZ191" s="278"/>
      <c r="BA191" s="278"/>
      <c r="BB191" s="272">
        <f t="shared" si="103"/>
        <v>24</v>
      </c>
      <c r="BC191" s="274">
        <f t="shared" si="104"/>
        <v>1</v>
      </c>
      <c r="BD191" s="275">
        <f t="shared" si="105"/>
        <v>1</v>
      </c>
      <c r="BE191" s="278"/>
      <c r="BF191" s="272">
        <f t="shared" si="106"/>
        <v>0</v>
      </c>
      <c r="BG191" s="272">
        <f>IFERROR(INDEX('Horo. M'!$Q$3:Q$367,MATCH(A191,'Horo. M'!$A$3:$A$367,0)),"")</f>
        <v>24</v>
      </c>
      <c r="BH191" s="278"/>
      <c r="BI191" s="278"/>
      <c r="BJ191" s="272">
        <f t="shared" si="107"/>
        <v>24</v>
      </c>
      <c r="BK191" s="274">
        <f t="shared" si="108"/>
        <v>1</v>
      </c>
      <c r="BL191" s="275">
        <f t="shared" si="109"/>
        <v>1</v>
      </c>
      <c r="BM191" s="278"/>
      <c r="BN191" s="272">
        <f t="shared" si="110"/>
        <v>24</v>
      </c>
      <c r="BO191" s="272">
        <f>IFERROR(INDEX('Horo. M'!$S$3:S$367,MATCH(A191,'Horo. M'!$A$3:$A$367,0)),"")</f>
        <v>0</v>
      </c>
      <c r="BP191" s="278"/>
      <c r="BQ191" s="278"/>
      <c r="BR191" s="272">
        <f t="shared" si="111"/>
        <v>24</v>
      </c>
      <c r="BS191" s="274">
        <f t="shared" si="112"/>
        <v>0</v>
      </c>
      <c r="BT191" s="275">
        <f t="shared" si="113"/>
        <v>1</v>
      </c>
      <c r="BU191" s="278"/>
      <c r="BV191" s="272">
        <f t="shared" si="114"/>
        <v>0</v>
      </c>
      <c r="BW191" s="272">
        <f>IFERROR(INDEX('Horo. M'!$U$3:U$367,MATCH(A191,'Horo. M'!$A$3:$A$367,0)),"")</f>
        <v>24</v>
      </c>
      <c r="BX191" s="278"/>
      <c r="BY191" s="278"/>
      <c r="BZ191" s="272">
        <f t="shared" si="115"/>
        <v>24</v>
      </c>
      <c r="CA191" s="274">
        <f t="shared" si="116"/>
        <v>1</v>
      </c>
      <c r="CB191" s="275">
        <f t="shared" si="117"/>
        <v>1</v>
      </c>
      <c r="CC191" s="280"/>
    </row>
    <row r="192" spans="1:81">
      <c r="A192" s="279">
        <v>45117</v>
      </c>
      <c r="B192" s="278">
        <f t="shared" si="118"/>
        <v>0</v>
      </c>
      <c r="C192" s="272">
        <f>IFERROR(INDEX('Horo. M'!$C$3:$C$367,MATCH(A192,'Horo. M'!$A$3:$A$367,0)),"")</f>
        <v>24</v>
      </c>
      <c r="D192" s="278"/>
      <c r="E192" s="278"/>
      <c r="F192" s="272">
        <f t="shared" si="119"/>
        <v>24</v>
      </c>
      <c r="G192" s="274">
        <f t="shared" si="80"/>
        <v>1</v>
      </c>
      <c r="H192" s="275">
        <f t="shared" si="81"/>
        <v>1</v>
      </c>
      <c r="I192" s="277"/>
      <c r="J192" s="278">
        <f t="shared" si="82"/>
        <v>0</v>
      </c>
      <c r="K192" s="272">
        <f>IFERROR(INDEX('Horo. M'!$E$3:$E$367,MATCH(A192,'Horo. M'!$A$3:$A$367,0)),"")</f>
        <v>24</v>
      </c>
      <c r="L192" s="273"/>
      <c r="M192" s="273"/>
      <c r="N192" s="272">
        <f t="shared" si="83"/>
        <v>24</v>
      </c>
      <c r="O192" s="274">
        <f t="shared" si="84"/>
        <v>1</v>
      </c>
      <c r="P192" s="275">
        <f t="shared" si="85"/>
        <v>1</v>
      </c>
      <c r="Q192" s="276"/>
      <c r="R192" s="278">
        <f t="shared" si="86"/>
        <v>0</v>
      </c>
      <c r="S192" s="272">
        <f>IFERROR(INDEX('Horo. M'!G$3:$G$367,MATCH(A192,'Horo. M'!$A$3:$A$367,0)),"")</f>
        <v>24</v>
      </c>
      <c r="T192" s="278"/>
      <c r="U192" s="278"/>
      <c r="V192" s="272">
        <f t="shared" si="87"/>
        <v>24</v>
      </c>
      <c r="W192" s="274">
        <f t="shared" si="88"/>
        <v>1</v>
      </c>
      <c r="X192" s="275">
        <f t="shared" si="89"/>
        <v>1</v>
      </c>
      <c r="Y192" s="278"/>
      <c r="Z192" s="278">
        <f t="shared" si="90"/>
        <v>1</v>
      </c>
      <c r="AA192" s="272">
        <f>IFERROR(INDEX('Horo. M'!$I$3:I$367,MATCH(A192,'Horo. M'!$A$3:$A$367,0)),"")</f>
        <v>23</v>
      </c>
      <c r="AB192" s="273"/>
      <c r="AC192" s="273"/>
      <c r="AD192" s="272">
        <f t="shared" si="91"/>
        <v>24</v>
      </c>
      <c r="AE192" s="274">
        <f t="shared" si="92"/>
        <v>0.95833333333333337</v>
      </c>
      <c r="AF192" s="275">
        <f t="shared" si="93"/>
        <v>1</v>
      </c>
      <c r="AG192" s="278"/>
      <c r="AH192" s="272">
        <f t="shared" si="94"/>
        <v>0</v>
      </c>
      <c r="AI192" s="272">
        <f>IFERROR(INDEX('Horo. M'!$K$3:K$367,MATCH(A192,'Horo. M'!$A$3:$A$367,0)),"")</f>
        <v>24</v>
      </c>
      <c r="AJ192" s="278"/>
      <c r="AK192" s="278"/>
      <c r="AL192" s="272">
        <f t="shared" si="95"/>
        <v>24</v>
      </c>
      <c r="AM192" s="274">
        <f t="shared" si="96"/>
        <v>1</v>
      </c>
      <c r="AN192" s="275">
        <f t="shared" si="97"/>
        <v>1</v>
      </c>
      <c r="AO192" s="278"/>
      <c r="AP192" s="272">
        <f t="shared" si="98"/>
        <v>24</v>
      </c>
      <c r="AQ192" s="272">
        <f>IFERROR(INDEX('Horo. M'!$M$3:M$367,MATCH(A192,'Horo. M'!$A$3:$A$367,0)),"")</f>
        <v>0</v>
      </c>
      <c r="AR192" s="278"/>
      <c r="AS192" s="278"/>
      <c r="AT192" s="272">
        <f t="shared" si="99"/>
        <v>24</v>
      </c>
      <c r="AU192" s="274">
        <f t="shared" si="100"/>
        <v>0</v>
      </c>
      <c r="AV192" s="275">
        <f t="shared" si="101"/>
        <v>1</v>
      </c>
      <c r="AW192" s="278"/>
      <c r="AX192" s="272">
        <f t="shared" si="102"/>
        <v>0</v>
      </c>
      <c r="AY192" s="272">
        <f>IFERROR(INDEX('Horo. M'!$O$3:O$367,MATCH(A192,'Horo. M'!$A$3:$A$367,0)),"")</f>
        <v>24</v>
      </c>
      <c r="AZ192" s="278"/>
      <c r="BA192" s="278"/>
      <c r="BB192" s="272">
        <f t="shared" si="103"/>
        <v>24</v>
      </c>
      <c r="BC192" s="274">
        <f t="shared" si="104"/>
        <v>1</v>
      </c>
      <c r="BD192" s="275">
        <f t="shared" si="105"/>
        <v>1</v>
      </c>
      <c r="BE192" s="278"/>
      <c r="BF192" s="272">
        <f t="shared" si="106"/>
        <v>0</v>
      </c>
      <c r="BG192" s="272">
        <f>IFERROR(INDEX('Horo. M'!$Q$3:Q$367,MATCH(A192,'Horo. M'!$A$3:$A$367,0)),"")</f>
        <v>24</v>
      </c>
      <c r="BH192" s="278"/>
      <c r="BI192" s="278"/>
      <c r="BJ192" s="272">
        <f t="shared" si="107"/>
        <v>24</v>
      </c>
      <c r="BK192" s="274">
        <f t="shared" si="108"/>
        <v>1</v>
      </c>
      <c r="BL192" s="275">
        <f t="shared" si="109"/>
        <v>1</v>
      </c>
      <c r="BM192" s="278"/>
      <c r="BN192" s="272">
        <f t="shared" si="110"/>
        <v>24</v>
      </c>
      <c r="BO192" s="272">
        <f>IFERROR(INDEX('Horo. M'!$S$3:S$367,MATCH(A192,'Horo. M'!$A$3:$A$367,0)),"")</f>
        <v>0</v>
      </c>
      <c r="BP192" s="278"/>
      <c r="BQ192" s="278"/>
      <c r="BR192" s="272">
        <f t="shared" si="111"/>
        <v>24</v>
      </c>
      <c r="BS192" s="274">
        <f t="shared" si="112"/>
        <v>0</v>
      </c>
      <c r="BT192" s="275">
        <f t="shared" si="113"/>
        <v>1</v>
      </c>
      <c r="BU192" s="278"/>
      <c r="BV192" s="272">
        <f t="shared" si="114"/>
        <v>0</v>
      </c>
      <c r="BW192" s="272">
        <f>IFERROR(INDEX('Horo. M'!$U$3:U$367,MATCH(A192,'Horo. M'!$A$3:$A$367,0)),"")</f>
        <v>24</v>
      </c>
      <c r="BX192" s="278"/>
      <c r="BY192" s="278"/>
      <c r="BZ192" s="272">
        <f t="shared" si="115"/>
        <v>24</v>
      </c>
      <c r="CA192" s="274">
        <f t="shared" si="116"/>
        <v>1</v>
      </c>
      <c r="CB192" s="275">
        <f t="shared" si="117"/>
        <v>1</v>
      </c>
      <c r="CC192" s="280"/>
    </row>
    <row r="193" spans="1:81">
      <c r="A193" s="279">
        <v>45118</v>
      </c>
      <c r="B193" s="278">
        <f t="shared" si="118"/>
        <v>0</v>
      </c>
      <c r="C193" s="272">
        <f>IFERROR(INDEX('Horo. M'!$C$3:$C$367,MATCH(A193,'Horo. M'!$A$3:$A$367,0)),"")</f>
        <v>24</v>
      </c>
      <c r="D193" s="278"/>
      <c r="E193" s="278"/>
      <c r="F193" s="272">
        <f t="shared" si="119"/>
        <v>24</v>
      </c>
      <c r="G193" s="274">
        <f t="shared" si="80"/>
        <v>1</v>
      </c>
      <c r="H193" s="275">
        <f t="shared" si="81"/>
        <v>1</v>
      </c>
      <c r="I193" s="277"/>
      <c r="J193" s="278">
        <f t="shared" si="82"/>
        <v>0</v>
      </c>
      <c r="K193" s="272">
        <f>IFERROR(INDEX('Horo. M'!$E$3:$E$367,MATCH(A193,'Horo. M'!$A$3:$A$367,0)),"")</f>
        <v>24</v>
      </c>
      <c r="L193" s="273"/>
      <c r="M193" s="273"/>
      <c r="N193" s="272">
        <f t="shared" si="83"/>
        <v>24</v>
      </c>
      <c r="O193" s="274">
        <f t="shared" si="84"/>
        <v>1</v>
      </c>
      <c r="P193" s="275">
        <f t="shared" si="85"/>
        <v>1</v>
      </c>
      <c r="Q193" s="276"/>
      <c r="R193" s="278">
        <f t="shared" si="86"/>
        <v>1</v>
      </c>
      <c r="S193" s="272">
        <f>IFERROR(INDEX('Horo. M'!G$3:$G$367,MATCH(A193,'Horo. M'!$A$3:$A$367,0)),"")</f>
        <v>23</v>
      </c>
      <c r="T193" s="278"/>
      <c r="U193" s="278"/>
      <c r="V193" s="272">
        <f t="shared" si="87"/>
        <v>24</v>
      </c>
      <c r="W193" s="274">
        <f t="shared" si="88"/>
        <v>0.95833333333333337</v>
      </c>
      <c r="X193" s="275">
        <f t="shared" si="89"/>
        <v>1</v>
      </c>
      <c r="Y193" s="278"/>
      <c r="Z193" s="278">
        <f t="shared" si="90"/>
        <v>0</v>
      </c>
      <c r="AA193" s="272">
        <f>IFERROR(INDEX('Horo. M'!$I$3:I$367,MATCH(A193,'Horo. M'!$A$3:$A$367,0)),"")</f>
        <v>24</v>
      </c>
      <c r="AB193" s="273"/>
      <c r="AC193" s="273"/>
      <c r="AD193" s="272">
        <f t="shared" si="91"/>
        <v>24</v>
      </c>
      <c r="AE193" s="274">
        <f t="shared" si="92"/>
        <v>1</v>
      </c>
      <c r="AF193" s="275">
        <f t="shared" si="93"/>
        <v>1</v>
      </c>
      <c r="AG193" s="278"/>
      <c r="AH193" s="272">
        <f t="shared" si="94"/>
        <v>0</v>
      </c>
      <c r="AI193" s="272">
        <f>IFERROR(INDEX('Horo. M'!$K$3:K$367,MATCH(A193,'Horo. M'!$A$3:$A$367,0)),"")</f>
        <v>24</v>
      </c>
      <c r="AJ193" s="278"/>
      <c r="AK193" s="278"/>
      <c r="AL193" s="272">
        <f t="shared" si="95"/>
        <v>24</v>
      </c>
      <c r="AM193" s="274">
        <f t="shared" si="96"/>
        <v>1</v>
      </c>
      <c r="AN193" s="275">
        <f t="shared" si="97"/>
        <v>1</v>
      </c>
      <c r="AO193" s="278"/>
      <c r="AP193" s="272">
        <f t="shared" si="98"/>
        <v>24</v>
      </c>
      <c r="AQ193" s="272">
        <f>IFERROR(INDEX('Horo. M'!$M$3:M$367,MATCH(A193,'Horo. M'!$A$3:$A$367,0)),"")</f>
        <v>0</v>
      </c>
      <c r="AR193" s="278"/>
      <c r="AS193" s="278"/>
      <c r="AT193" s="272">
        <f t="shared" si="99"/>
        <v>24</v>
      </c>
      <c r="AU193" s="274">
        <f t="shared" si="100"/>
        <v>0</v>
      </c>
      <c r="AV193" s="275">
        <f t="shared" si="101"/>
        <v>1</v>
      </c>
      <c r="AW193" s="278"/>
      <c r="AX193" s="272">
        <f t="shared" si="102"/>
        <v>0</v>
      </c>
      <c r="AY193" s="272">
        <f>IFERROR(INDEX('Horo. M'!$O$3:O$367,MATCH(A193,'Horo. M'!$A$3:$A$367,0)),"")</f>
        <v>24</v>
      </c>
      <c r="AZ193" s="278"/>
      <c r="BA193" s="278"/>
      <c r="BB193" s="272">
        <f t="shared" si="103"/>
        <v>24</v>
      </c>
      <c r="BC193" s="274">
        <f t="shared" si="104"/>
        <v>1</v>
      </c>
      <c r="BD193" s="275">
        <f t="shared" si="105"/>
        <v>1</v>
      </c>
      <c r="BE193" s="278"/>
      <c r="BF193" s="272">
        <f t="shared" si="106"/>
        <v>0</v>
      </c>
      <c r="BG193" s="272">
        <f>IFERROR(INDEX('Horo. M'!$Q$3:Q$367,MATCH(A193,'Horo. M'!$A$3:$A$367,0)),"")</f>
        <v>24</v>
      </c>
      <c r="BH193" s="278"/>
      <c r="BI193" s="278"/>
      <c r="BJ193" s="272">
        <f t="shared" si="107"/>
        <v>24</v>
      </c>
      <c r="BK193" s="274">
        <f t="shared" si="108"/>
        <v>1</v>
      </c>
      <c r="BL193" s="275">
        <f t="shared" si="109"/>
        <v>1</v>
      </c>
      <c r="BM193" s="278"/>
      <c r="BN193" s="272">
        <f t="shared" si="110"/>
        <v>24</v>
      </c>
      <c r="BO193" s="272">
        <f>IFERROR(INDEX('Horo. M'!$S$3:S$367,MATCH(A193,'Horo. M'!$A$3:$A$367,0)),"")</f>
        <v>0</v>
      </c>
      <c r="BP193" s="278"/>
      <c r="BQ193" s="278"/>
      <c r="BR193" s="272">
        <f t="shared" si="111"/>
        <v>24</v>
      </c>
      <c r="BS193" s="274">
        <f t="shared" si="112"/>
        <v>0</v>
      </c>
      <c r="BT193" s="275">
        <f t="shared" si="113"/>
        <v>1</v>
      </c>
      <c r="BU193" s="278"/>
      <c r="BV193" s="272">
        <f t="shared" si="114"/>
        <v>0</v>
      </c>
      <c r="BW193" s="272">
        <f>IFERROR(INDEX('Horo. M'!$U$3:U$367,MATCH(A193,'Horo. M'!$A$3:$A$367,0)),"")</f>
        <v>24</v>
      </c>
      <c r="BX193" s="278"/>
      <c r="BY193" s="278"/>
      <c r="BZ193" s="272">
        <f t="shared" si="115"/>
        <v>24</v>
      </c>
      <c r="CA193" s="274">
        <f t="shared" si="116"/>
        <v>1</v>
      </c>
      <c r="CB193" s="275">
        <f t="shared" si="117"/>
        <v>1</v>
      </c>
      <c r="CC193" s="280"/>
    </row>
    <row r="194" spans="1:81">
      <c r="A194" s="279">
        <v>45119</v>
      </c>
      <c r="B194" s="278">
        <f t="shared" si="118"/>
        <v>0</v>
      </c>
      <c r="C194" s="272">
        <f>IFERROR(INDEX('Horo. M'!$C$3:$C$367,MATCH(A194,'Horo. M'!$A$3:$A$367,0)),"")</f>
        <v>24</v>
      </c>
      <c r="D194" s="278"/>
      <c r="E194" s="278"/>
      <c r="F194" s="272">
        <f t="shared" si="119"/>
        <v>24</v>
      </c>
      <c r="G194" s="274">
        <f t="shared" si="80"/>
        <v>1</v>
      </c>
      <c r="H194" s="275">
        <f t="shared" si="81"/>
        <v>1</v>
      </c>
      <c r="I194" s="277"/>
      <c r="J194" s="278">
        <f t="shared" si="82"/>
        <v>0</v>
      </c>
      <c r="K194" s="272">
        <f>IFERROR(INDEX('Horo. M'!$E$3:$E$367,MATCH(A194,'Horo. M'!$A$3:$A$367,0)),"")</f>
        <v>24</v>
      </c>
      <c r="L194" s="273"/>
      <c r="M194" s="273"/>
      <c r="N194" s="272">
        <f t="shared" si="83"/>
        <v>24</v>
      </c>
      <c r="O194" s="274">
        <f t="shared" si="84"/>
        <v>1</v>
      </c>
      <c r="P194" s="275">
        <f t="shared" si="85"/>
        <v>1</v>
      </c>
      <c r="Q194" s="276"/>
      <c r="R194" s="278">
        <f t="shared" si="86"/>
        <v>0</v>
      </c>
      <c r="S194" s="272">
        <f>IFERROR(INDEX('Horo. M'!G$3:$G$367,MATCH(A194,'Horo. M'!$A$3:$A$367,0)),"")</f>
        <v>24</v>
      </c>
      <c r="T194" s="278"/>
      <c r="U194" s="278"/>
      <c r="V194" s="272">
        <f t="shared" si="87"/>
        <v>24</v>
      </c>
      <c r="W194" s="274">
        <f t="shared" si="88"/>
        <v>1</v>
      </c>
      <c r="X194" s="275">
        <f t="shared" si="89"/>
        <v>1</v>
      </c>
      <c r="Y194" s="278"/>
      <c r="Z194" s="278">
        <f t="shared" si="90"/>
        <v>0</v>
      </c>
      <c r="AA194" s="272">
        <f>IFERROR(INDEX('Horo. M'!$I$3:I$367,MATCH(A194,'Horo. M'!$A$3:$A$367,0)),"")</f>
        <v>24</v>
      </c>
      <c r="AB194" s="273"/>
      <c r="AC194" s="273"/>
      <c r="AD194" s="272">
        <f t="shared" si="91"/>
        <v>24</v>
      </c>
      <c r="AE194" s="274">
        <f t="shared" si="92"/>
        <v>1</v>
      </c>
      <c r="AF194" s="275">
        <f t="shared" si="93"/>
        <v>1</v>
      </c>
      <c r="AG194" s="278"/>
      <c r="AH194" s="272">
        <f t="shared" si="94"/>
        <v>0</v>
      </c>
      <c r="AI194" s="272">
        <f>IFERROR(INDEX('Horo. M'!$K$3:K$367,MATCH(A194,'Horo. M'!$A$3:$A$367,0)),"")</f>
        <v>24</v>
      </c>
      <c r="AJ194" s="278"/>
      <c r="AK194" s="278"/>
      <c r="AL194" s="272">
        <f t="shared" si="95"/>
        <v>24</v>
      </c>
      <c r="AM194" s="274">
        <f t="shared" si="96"/>
        <v>1</v>
      </c>
      <c r="AN194" s="275">
        <f t="shared" si="97"/>
        <v>1</v>
      </c>
      <c r="AO194" s="278"/>
      <c r="AP194" s="272">
        <f t="shared" si="98"/>
        <v>24</v>
      </c>
      <c r="AQ194" s="272">
        <f>IFERROR(INDEX('Horo. M'!$M$3:M$367,MATCH(A194,'Horo. M'!$A$3:$A$367,0)),"")</f>
        <v>0</v>
      </c>
      <c r="AR194" s="278"/>
      <c r="AS194" s="278"/>
      <c r="AT194" s="272">
        <f t="shared" si="99"/>
        <v>24</v>
      </c>
      <c r="AU194" s="274">
        <f t="shared" si="100"/>
        <v>0</v>
      </c>
      <c r="AV194" s="275">
        <f t="shared" si="101"/>
        <v>1</v>
      </c>
      <c r="AW194" s="278"/>
      <c r="AX194" s="272">
        <f t="shared" si="102"/>
        <v>0</v>
      </c>
      <c r="AY194" s="272">
        <f>IFERROR(INDEX('Horo. M'!$O$3:O$367,MATCH(A194,'Horo. M'!$A$3:$A$367,0)),"")</f>
        <v>24</v>
      </c>
      <c r="AZ194" s="278"/>
      <c r="BA194" s="278"/>
      <c r="BB194" s="272">
        <f t="shared" si="103"/>
        <v>24</v>
      </c>
      <c r="BC194" s="274">
        <f t="shared" si="104"/>
        <v>1</v>
      </c>
      <c r="BD194" s="275">
        <f t="shared" si="105"/>
        <v>1</v>
      </c>
      <c r="BE194" s="278"/>
      <c r="BF194" s="272">
        <f t="shared" si="106"/>
        <v>0</v>
      </c>
      <c r="BG194" s="272">
        <f>IFERROR(INDEX('Horo. M'!$Q$3:Q$367,MATCH(A194,'Horo. M'!$A$3:$A$367,0)),"")</f>
        <v>24</v>
      </c>
      <c r="BH194" s="278"/>
      <c r="BI194" s="278"/>
      <c r="BJ194" s="272">
        <f t="shared" si="107"/>
        <v>24</v>
      </c>
      <c r="BK194" s="274">
        <f t="shared" si="108"/>
        <v>1</v>
      </c>
      <c r="BL194" s="275">
        <f t="shared" si="109"/>
        <v>1</v>
      </c>
      <c r="BM194" s="278"/>
      <c r="BN194" s="272">
        <f t="shared" si="110"/>
        <v>23</v>
      </c>
      <c r="BO194" s="272">
        <f>IFERROR(INDEX('Horo. M'!$S$3:S$367,MATCH(A194,'Horo. M'!$A$3:$A$367,0)),"")</f>
        <v>1</v>
      </c>
      <c r="BP194" s="278"/>
      <c r="BQ194" s="278"/>
      <c r="BR194" s="272">
        <f t="shared" si="111"/>
        <v>24</v>
      </c>
      <c r="BS194" s="274">
        <f t="shared" si="112"/>
        <v>4.1666666666666664E-2</v>
      </c>
      <c r="BT194" s="275">
        <f t="shared" si="113"/>
        <v>1</v>
      </c>
      <c r="BU194" s="278"/>
      <c r="BV194" s="272">
        <f t="shared" si="114"/>
        <v>0</v>
      </c>
      <c r="BW194" s="272">
        <f>IFERROR(INDEX('Horo. M'!$U$3:U$367,MATCH(A194,'Horo. M'!$A$3:$A$367,0)),"")</f>
        <v>24</v>
      </c>
      <c r="BX194" s="278"/>
      <c r="BY194" s="278"/>
      <c r="BZ194" s="272">
        <f t="shared" si="115"/>
        <v>24</v>
      </c>
      <c r="CA194" s="274">
        <f t="shared" si="116"/>
        <v>1</v>
      </c>
      <c r="CB194" s="275">
        <f t="shared" si="117"/>
        <v>1</v>
      </c>
      <c r="CC194" s="280"/>
    </row>
    <row r="195" spans="1:81">
      <c r="A195" s="279">
        <v>45120</v>
      </c>
      <c r="B195" s="278">
        <f t="shared" ref="B195:B258" si="120">24-C195-D195-E195</f>
        <v>0</v>
      </c>
      <c r="C195" s="272">
        <f>IFERROR(INDEX('Horo. M'!$C$3:$C$367,MATCH(A195,'Horo. M'!$A$3:$A$367,0)),"")</f>
        <v>24</v>
      </c>
      <c r="D195" s="278"/>
      <c r="E195" s="278"/>
      <c r="F195" s="272">
        <f t="shared" ref="F195:F258" si="121">24-D195-E195</f>
        <v>24</v>
      </c>
      <c r="G195" s="274">
        <f t="shared" ref="G195:G258" si="122">C195/24</f>
        <v>1</v>
      </c>
      <c r="H195" s="275">
        <f t="shared" ref="H195:H258" si="123">(F195/24)*100%</f>
        <v>1</v>
      </c>
      <c r="I195" s="277"/>
      <c r="J195" s="278">
        <f t="shared" ref="J195:J258" si="124">24-K195-L195-M195</f>
        <v>0</v>
      </c>
      <c r="K195" s="272">
        <f>IFERROR(INDEX('Horo. M'!$E$3:$E$367,MATCH(A195,'Horo. M'!$A$3:$A$367,0)),"")</f>
        <v>24</v>
      </c>
      <c r="L195" s="273"/>
      <c r="M195" s="273"/>
      <c r="N195" s="272">
        <f t="shared" ref="N195:N258" si="125">24-L195-M195</f>
        <v>24</v>
      </c>
      <c r="O195" s="274">
        <f t="shared" ref="O195:O258" si="126">K195/24</f>
        <v>1</v>
      </c>
      <c r="P195" s="275">
        <f t="shared" ref="P195:P258" si="127">(N195/24)*100%</f>
        <v>1</v>
      </c>
      <c r="Q195" s="276"/>
      <c r="R195" s="278">
        <f t="shared" ref="R195:R258" si="128">24-S195-T195-U195</f>
        <v>0</v>
      </c>
      <c r="S195" s="272">
        <f>IFERROR(INDEX('Horo. M'!G$3:$G$367,MATCH(A195,'Horo. M'!$A$3:$A$367,0)),"")</f>
        <v>24</v>
      </c>
      <c r="T195" s="278"/>
      <c r="U195" s="278"/>
      <c r="V195" s="272">
        <f t="shared" ref="V195:V258" si="129">24-T195-U195</f>
        <v>24</v>
      </c>
      <c r="W195" s="274">
        <f t="shared" ref="W195:W258" si="130">S195/24</f>
        <v>1</v>
      </c>
      <c r="X195" s="275">
        <f t="shared" ref="X195:X258" si="131">(V195/24)*100%</f>
        <v>1</v>
      </c>
      <c r="Y195" s="278"/>
      <c r="Z195" s="278">
        <f t="shared" ref="Z195:Z258" si="132">24-AA195-AB195-AC195</f>
        <v>0</v>
      </c>
      <c r="AA195" s="272">
        <f>IFERROR(INDEX('Horo. M'!$I$3:I$367,MATCH(A195,'Horo. M'!$A$3:$A$367,0)),"")</f>
        <v>24</v>
      </c>
      <c r="AB195" s="273"/>
      <c r="AC195" s="273"/>
      <c r="AD195" s="272">
        <f t="shared" ref="AD195:AD258" si="133">24-AB195-AC195</f>
        <v>24</v>
      </c>
      <c r="AE195" s="274">
        <f t="shared" ref="AE195:AE258" si="134">AA195/24</f>
        <v>1</v>
      </c>
      <c r="AF195" s="275">
        <f t="shared" ref="AF195:AF258" si="135">(AD195/24)*100%</f>
        <v>1</v>
      </c>
      <c r="AG195" s="278"/>
      <c r="AH195" s="272">
        <f t="shared" ref="AH195:AH258" si="136">24-AI195-AJ195-AK195</f>
        <v>0</v>
      </c>
      <c r="AI195" s="272">
        <f>IFERROR(INDEX('Horo. M'!$K$3:K$367,MATCH(A195,'Horo. M'!$A$3:$A$367,0)),"")</f>
        <v>24</v>
      </c>
      <c r="AJ195" s="278"/>
      <c r="AK195" s="278"/>
      <c r="AL195" s="272">
        <f t="shared" ref="AL195:AL258" si="137">24-AJ195-AK195</f>
        <v>24</v>
      </c>
      <c r="AM195" s="274">
        <f t="shared" ref="AM195:AM258" si="138">AI195/24</f>
        <v>1</v>
      </c>
      <c r="AN195" s="275">
        <f t="shared" ref="AN195:AN258" si="139">(AL195/24)*100%</f>
        <v>1</v>
      </c>
      <c r="AO195" s="278"/>
      <c r="AP195" s="272">
        <f t="shared" ref="AP195:AP258" si="140">24-AQ195-AR195-AS195</f>
        <v>24</v>
      </c>
      <c r="AQ195" s="272">
        <f>IFERROR(INDEX('Horo. M'!$M$3:M$367,MATCH(A195,'Horo. M'!$A$3:$A$367,0)),"")</f>
        <v>0</v>
      </c>
      <c r="AR195" s="278"/>
      <c r="AS195" s="278"/>
      <c r="AT195" s="272">
        <f t="shared" ref="AT195:AT258" si="141">24-AR195-AS195</f>
        <v>24</v>
      </c>
      <c r="AU195" s="274">
        <f t="shared" ref="AU195:AU258" si="142">AQ195/24</f>
        <v>0</v>
      </c>
      <c r="AV195" s="275">
        <f t="shared" ref="AV195:AV258" si="143">(AT195/24)*100%</f>
        <v>1</v>
      </c>
      <c r="AW195" s="278"/>
      <c r="AX195" s="272">
        <f t="shared" ref="AX195:AX258" si="144">24-AY195-AZ195-BA195</f>
        <v>0</v>
      </c>
      <c r="AY195" s="272">
        <f>IFERROR(INDEX('Horo. M'!$O$3:O$367,MATCH(A195,'Horo. M'!$A$3:$A$367,0)),"")</f>
        <v>24</v>
      </c>
      <c r="AZ195" s="278"/>
      <c r="BA195" s="278"/>
      <c r="BB195" s="272">
        <f t="shared" ref="BB195:BB258" si="145">24-AZ195-BA195</f>
        <v>24</v>
      </c>
      <c r="BC195" s="274">
        <f t="shared" ref="BC195:BC258" si="146">AY195/24</f>
        <v>1</v>
      </c>
      <c r="BD195" s="275">
        <f t="shared" ref="BD195:BD258" si="147">(BB195/24)*100%</f>
        <v>1</v>
      </c>
      <c r="BE195" s="278"/>
      <c r="BF195" s="272">
        <f t="shared" ref="BF195:BF258" si="148">24-BG195-BH195-BI195</f>
        <v>0</v>
      </c>
      <c r="BG195" s="272">
        <f>IFERROR(INDEX('Horo. M'!$Q$3:Q$367,MATCH(A195,'Horo. M'!$A$3:$A$367,0)),"")</f>
        <v>24</v>
      </c>
      <c r="BH195" s="278"/>
      <c r="BI195" s="278"/>
      <c r="BJ195" s="272">
        <f t="shared" ref="BJ195:BJ258" si="149">24-BH195-BI195</f>
        <v>24</v>
      </c>
      <c r="BK195" s="274">
        <f t="shared" ref="BK195:BK258" si="150">BG195/24</f>
        <v>1</v>
      </c>
      <c r="BL195" s="275">
        <f t="shared" ref="BL195:BL258" si="151">(BJ195/24)*100%</f>
        <v>1</v>
      </c>
      <c r="BM195" s="278"/>
      <c r="BN195" s="272">
        <f t="shared" ref="BN195:BN258" si="152">24-BO195-BP195-BQ195</f>
        <v>14</v>
      </c>
      <c r="BO195" s="272">
        <f>IFERROR(INDEX('Horo. M'!$S$3:S$367,MATCH(A195,'Horo. M'!$A$3:$A$367,0)),"")</f>
        <v>10</v>
      </c>
      <c r="BP195" s="278"/>
      <c r="BQ195" s="278"/>
      <c r="BR195" s="272">
        <f t="shared" ref="BR195:BR258" si="153">24-BP195-BQ195</f>
        <v>24</v>
      </c>
      <c r="BS195" s="274">
        <f t="shared" ref="BS195:BS258" si="154">BO195/24</f>
        <v>0.41666666666666669</v>
      </c>
      <c r="BT195" s="275">
        <f t="shared" ref="BT195:BT258" si="155">(BR195/24)*100%</f>
        <v>1</v>
      </c>
      <c r="BU195" s="278"/>
      <c r="BV195" s="272">
        <f t="shared" ref="BV195:BV258" si="156">24-BW195-BX195-BY195</f>
        <v>0</v>
      </c>
      <c r="BW195" s="272">
        <f>IFERROR(INDEX('Horo. M'!$U$3:U$367,MATCH(A195,'Horo. M'!$A$3:$A$367,0)),"")</f>
        <v>24</v>
      </c>
      <c r="BX195" s="278"/>
      <c r="BY195" s="278"/>
      <c r="BZ195" s="272">
        <f t="shared" ref="BZ195:BZ258" si="157">24-BX195-BY195</f>
        <v>24</v>
      </c>
      <c r="CA195" s="274">
        <f t="shared" ref="CA195:CA258" si="158">BW195/24</f>
        <v>1</v>
      </c>
      <c r="CB195" s="275">
        <f t="shared" ref="CB195:CB258" si="159">(BZ195/24)*100%</f>
        <v>1</v>
      </c>
      <c r="CC195" s="280"/>
    </row>
    <row r="196" spans="1:81">
      <c r="A196" s="279">
        <v>45121</v>
      </c>
      <c r="B196" s="278">
        <f t="shared" si="120"/>
        <v>24</v>
      </c>
      <c r="C196" s="272">
        <f>IFERROR(INDEX('Horo. M'!$C$3:$C$367,MATCH(A196,'Horo. M'!$A$3:$A$367,0)),"")</f>
        <v>0</v>
      </c>
      <c r="D196" s="278"/>
      <c r="E196" s="278"/>
      <c r="F196" s="272">
        <f t="shared" si="121"/>
        <v>24</v>
      </c>
      <c r="G196" s="274">
        <f t="shared" si="122"/>
        <v>0</v>
      </c>
      <c r="H196" s="275">
        <f t="shared" si="123"/>
        <v>1</v>
      </c>
      <c r="I196" s="277"/>
      <c r="J196" s="278">
        <f t="shared" si="124"/>
        <v>0</v>
      </c>
      <c r="K196" s="272">
        <f>IFERROR(INDEX('Horo. M'!$E$3:$E$367,MATCH(A196,'Horo. M'!$A$3:$A$367,0)),"")</f>
        <v>24</v>
      </c>
      <c r="L196" s="273"/>
      <c r="M196" s="273"/>
      <c r="N196" s="272">
        <f t="shared" si="125"/>
        <v>24</v>
      </c>
      <c r="O196" s="274">
        <f t="shared" si="126"/>
        <v>1</v>
      </c>
      <c r="P196" s="275">
        <f t="shared" si="127"/>
        <v>1</v>
      </c>
      <c r="Q196" s="276"/>
      <c r="R196" s="278">
        <f t="shared" si="128"/>
        <v>0</v>
      </c>
      <c r="S196" s="272">
        <f>IFERROR(INDEX('Horo. M'!G$3:$G$367,MATCH(A196,'Horo. M'!$A$3:$A$367,0)),"")</f>
        <v>24</v>
      </c>
      <c r="T196" s="278"/>
      <c r="U196" s="278"/>
      <c r="V196" s="272">
        <f t="shared" si="129"/>
        <v>24</v>
      </c>
      <c r="W196" s="274">
        <f t="shared" si="130"/>
        <v>1</v>
      </c>
      <c r="X196" s="275">
        <f t="shared" si="131"/>
        <v>1</v>
      </c>
      <c r="Y196" s="278"/>
      <c r="Z196" s="278">
        <f t="shared" si="132"/>
        <v>0</v>
      </c>
      <c r="AA196" s="272">
        <f>IFERROR(INDEX('Horo. M'!$I$3:I$367,MATCH(A196,'Horo. M'!$A$3:$A$367,0)),"")</f>
        <v>24</v>
      </c>
      <c r="AB196" s="273"/>
      <c r="AC196" s="273"/>
      <c r="AD196" s="272">
        <f t="shared" si="133"/>
        <v>24</v>
      </c>
      <c r="AE196" s="274">
        <f t="shared" si="134"/>
        <v>1</v>
      </c>
      <c r="AF196" s="275">
        <f t="shared" si="135"/>
        <v>1</v>
      </c>
      <c r="AG196" s="278"/>
      <c r="AH196" s="272">
        <f t="shared" si="136"/>
        <v>0</v>
      </c>
      <c r="AI196" s="272">
        <f>IFERROR(INDEX('Horo. M'!$K$3:K$367,MATCH(A196,'Horo. M'!$A$3:$A$367,0)),"")</f>
        <v>24</v>
      </c>
      <c r="AJ196" s="278"/>
      <c r="AK196" s="278"/>
      <c r="AL196" s="272">
        <f t="shared" si="137"/>
        <v>24</v>
      </c>
      <c r="AM196" s="274">
        <f t="shared" si="138"/>
        <v>1</v>
      </c>
      <c r="AN196" s="275">
        <f t="shared" si="139"/>
        <v>1</v>
      </c>
      <c r="AO196" s="278"/>
      <c r="AP196" s="272">
        <f t="shared" si="140"/>
        <v>24</v>
      </c>
      <c r="AQ196" s="272">
        <f>IFERROR(INDEX('Horo. M'!$M$3:M$367,MATCH(A196,'Horo. M'!$A$3:$A$367,0)),"")</f>
        <v>0</v>
      </c>
      <c r="AR196" s="278"/>
      <c r="AS196" s="278"/>
      <c r="AT196" s="272">
        <f t="shared" si="141"/>
        <v>24</v>
      </c>
      <c r="AU196" s="274">
        <f t="shared" si="142"/>
        <v>0</v>
      </c>
      <c r="AV196" s="275">
        <f t="shared" si="143"/>
        <v>1</v>
      </c>
      <c r="AW196" s="278"/>
      <c r="AX196" s="272">
        <f t="shared" si="144"/>
        <v>0</v>
      </c>
      <c r="AY196" s="272">
        <f>IFERROR(INDEX('Horo. M'!$O$3:O$367,MATCH(A196,'Horo. M'!$A$3:$A$367,0)),"")</f>
        <v>24</v>
      </c>
      <c r="AZ196" s="278"/>
      <c r="BA196" s="278"/>
      <c r="BB196" s="272">
        <f t="shared" si="145"/>
        <v>24</v>
      </c>
      <c r="BC196" s="274">
        <f t="shared" si="146"/>
        <v>1</v>
      </c>
      <c r="BD196" s="275">
        <f t="shared" si="147"/>
        <v>1</v>
      </c>
      <c r="BE196" s="278"/>
      <c r="BF196" s="272">
        <f t="shared" si="148"/>
        <v>1</v>
      </c>
      <c r="BG196" s="272">
        <f>IFERROR(INDEX('Horo. M'!$Q$3:Q$367,MATCH(A196,'Horo. M'!$A$3:$A$367,0)),"")</f>
        <v>23</v>
      </c>
      <c r="BH196" s="278"/>
      <c r="BI196" s="278"/>
      <c r="BJ196" s="272">
        <f t="shared" si="149"/>
        <v>24</v>
      </c>
      <c r="BK196" s="274">
        <f t="shared" si="150"/>
        <v>0.95833333333333337</v>
      </c>
      <c r="BL196" s="275">
        <f t="shared" si="151"/>
        <v>1</v>
      </c>
      <c r="BM196" s="278"/>
      <c r="BN196" s="272">
        <f t="shared" si="152"/>
        <v>0</v>
      </c>
      <c r="BO196" s="272">
        <f>IFERROR(INDEX('Horo. M'!$S$3:S$367,MATCH(A196,'Horo. M'!$A$3:$A$367,0)),"")</f>
        <v>24</v>
      </c>
      <c r="BP196" s="278"/>
      <c r="BQ196" s="278"/>
      <c r="BR196" s="272">
        <f t="shared" si="153"/>
        <v>24</v>
      </c>
      <c r="BS196" s="274">
        <f t="shared" si="154"/>
        <v>1</v>
      </c>
      <c r="BT196" s="275">
        <f t="shared" si="155"/>
        <v>1</v>
      </c>
      <c r="BU196" s="278"/>
      <c r="BV196" s="272">
        <f t="shared" si="156"/>
        <v>0</v>
      </c>
      <c r="BW196" s="272">
        <f>IFERROR(INDEX('Horo. M'!$U$3:U$367,MATCH(A196,'Horo. M'!$A$3:$A$367,0)),"")</f>
        <v>24</v>
      </c>
      <c r="BX196" s="278"/>
      <c r="BY196" s="278"/>
      <c r="BZ196" s="272">
        <f t="shared" si="157"/>
        <v>24</v>
      </c>
      <c r="CA196" s="274">
        <f t="shared" si="158"/>
        <v>1</v>
      </c>
      <c r="CB196" s="275">
        <f t="shared" si="159"/>
        <v>1</v>
      </c>
      <c r="CC196" s="280"/>
    </row>
    <row r="197" spans="1:81">
      <c r="A197" s="279">
        <v>45122</v>
      </c>
      <c r="B197" s="278">
        <f t="shared" si="120"/>
        <v>0</v>
      </c>
      <c r="C197" s="272">
        <f>IFERROR(INDEX('Horo. M'!$C$3:$C$367,MATCH(A197,'Horo. M'!$A$3:$A$367,0)),"")</f>
        <v>24</v>
      </c>
      <c r="D197" s="278"/>
      <c r="E197" s="278"/>
      <c r="F197" s="272">
        <f t="shared" si="121"/>
        <v>24</v>
      </c>
      <c r="G197" s="274">
        <f t="shared" si="122"/>
        <v>1</v>
      </c>
      <c r="H197" s="275">
        <f t="shared" si="123"/>
        <v>1</v>
      </c>
      <c r="I197" s="277"/>
      <c r="J197" s="278">
        <f t="shared" si="124"/>
        <v>4</v>
      </c>
      <c r="K197" s="272">
        <f>IFERROR(INDEX('Horo. M'!$E$3:$E$367,MATCH(A197,'Horo. M'!$A$3:$A$367,0)),"")</f>
        <v>20</v>
      </c>
      <c r="L197" s="273"/>
      <c r="M197" s="273"/>
      <c r="N197" s="272">
        <f t="shared" si="125"/>
        <v>24</v>
      </c>
      <c r="O197" s="274">
        <f t="shared" si="126"/>
        <v>0.83333333333333337</v>
      </c>
      <c r="P197" s="275">
        <f t="shared" si="127"/>
        <v>1</v>
      </c>
      <c r="Q197" s="276"/>
      <c r="R197" s="278">
        <f t="shared" si="128"/>
        <v>12</v>
      </c>
      <c r="S197" s="272">
        <f>IFERROR(INDEX('Horo. M'!G$3:$G$367,MATCH(A197,'Horo. M'!$A$3:$A$367,0)),"")</f>
        <v>12</v>
      </c>
      <c r="T197" s="278"/>
      <c r="U197" s="278"/>
      <c r="V197" s="272">
        <f t="shared" si="129"/>
        <v>24</v>
      </c>
      <c r="W197" s="274">
        <f t="shared" si="130"/>
        <v>0.5</v>
      </c>
      <c r="X197" s="275">
        <f t="shared" si="131"/>
        <v>1</v>
      </c>
      <c r="Y197" s="278"/>
      <c r="Z197" s="278">
        <f t="shared" si="132"/>
        <v>0</v>
      </c>
      <c r="AA197" s="272">
        <f>IFERROR(INDEX('Horo. M'!$I$3:I$367,MATCH(A197,'Horo. M'!$A$3:$A$367,0)),"")</f>
        <v>24</v>
      </c>
      <c r="AB197" s="273"/>
      <c r="AC197" s="273"/>
      <c r="AD197" s="272">
        <f t="shared" si="133"/>
        <v>24</v>
      </c>
      <c r="AE197" s="274">
        <f t="shared" si="134"/>
        <v>1</v>
      </c>
      <c r="AF197" s="275">
        <f t="shared" si="135"/>
        <v>1</v>
      </c>
      <c r="AG197" s="278"/>
      <c r="AH197" s="272">
        <f t="shared" si="136"/>
        <v>0</v>
      </c>
      <c r="AI197" s="272">
        <f>IFERROR(INDEX('Horo. M'!$K$3:K$367,MATCH(A197,'Horo. M'!$A$3:$A$367,0)),"")</f>
        <v>24</v>
      </c>
      <c r="AJ197" s="278"/>
      <c r="AK197" s="278"/>
      <c r="AL197" s="272">
        <f t="shared" si="137"/>
        <v>24</v>
      </c>
      <c r="AM197" s="274">
        <f t="shared" si="138"/>
        <v>1</v>
      </c>
      <c r="AN197" s="275">
        <f t="shared" si="139"/>
        <v>1</v>
      </c>
      <c r="AO197" s="278"/>
      <c r="AP197" s="272">
        <f t="shared" si="140"/>
        <v>24</v>
      </c>
      <c r="AQ197" s="272">
        <f>IFERROR(INDEX('Horo. M'!$M$3:M$367,MATCH(A197,'Horo. M'!$A$3:$A$367,0)),"")</f>
        <v>0</v>
      </c>
      <c r="AR197" s="278"/>
      <c r="AS197" s="278"/>
      <c r="AT197" s="272">
        <f t="shared" si="141"/>
        <v>24</v>
      </c>
      <c r="AU197" s="274">
        <f t="shared" si="142"/>
        <v>0</v>
      </c>
      <c r="AV197" s="275">
        <f t="shared" si="143"/>
        <v>1</v>
      </c>
      <c r="AW197" s="278"/>
      <c r="AX197" s="272">
        <f t="shared" si="144"/>
        <v>0</v>
      </c>
      <c r="AY197" s="272">
        <f>IFERROR(INDEX('Horo. M'!$O$3:O$367,MATCH(A197,'Horo. M'!$A$3:$A$367,0)),"")</f>
        <v>24</v>
      </c>
      <c r="AZ197" s="278"/>
      <c r="BA197" s="278"/>
      <c r="BB197" s="272">
        <f t="shared" si="145"/>
        <v>24</v>
      </c>
      <c r="BC197" s="274">
        <f t="shared" si="146"/>
        <v>1</v>
      </c>
      <c r="BD197" s="275">
        <f t="shared" si="147"/>
        <v>1</v>
      </c>
      <c r="BE197" s="278"/>
      <c r="BF197" s="272">
        <f t="shared" si="148"/>
        <v>16</v>
      </c>
      <c r="BG197" s="272">
        <f>IFERROR(INDEX('Horo. M'!$Q$3:Q$367,MATCH(A197,'Horo. M'!$A$3:$A$367,0)),"")</f>
        <v>8</v>
      </c>
      <c r="BH197" s="278"/>
      <c r="BI197" s="278"/>
      <c r="BJ197" s="272">
        <f t="shared" si="149"/>
        <v>24</v>
      </c>
      <c r="BK197" s="274">
        <f t="shared" si="150"/>
        <v>0.33333333333333331</v>
      </c>
      <c r="BL197" s="275">
        <f t="shared" si="151"/>
        <v>1</v>
      </c>
      <c r="BM197" s="278"/>
      <c r="BN197" s="272">
        <f t="shared" si="152"/>
        <v>12</v>
      </c>
      <c r="BO197" s="272">
        <f>IFERROR(INDEX('Horo. M'!$S$3:S$367,MATCH(A197,'Horo. M'!$A$3:$A$367,0)),"")</f>
        <v>12</v>
      </c>
      <c r="BP197" s="278"/>
      <c r="BQ197" s="278"/>
      <c r="BR197" s="272">
        <f t="shared" si="153"/>
        <v>24</v>
      </c>
      <c r="BS197" s="274">
        <f t="shared" si="154"/>
        <v>0.5</v>
      </c>
      <c r="BT197" s="275">
        <f t="shared" si="155"/>
        <v>1</v>
      </c>
      <c r="BU197" s="278"/>
      <c r="BV197" s="272">
        <f t="shared" si="156"/>
        <v>0</v>
      </c>
      <c r="BW197" s="272">
        <f>IFERROR(INDEX('Horo. M'!$U$3:U$367,MATCH(A197,'Horo. M'!$A$3:$A$367,0)),"")</f>
        <v>24</v>
      </c>
      <c r="BX197" s="278"/>
      <c r="BY197" s="278"/>
      <c r="BZ197" s="272">
        <f t="shared" si="157"/>
        <v>24</v>
      </c>
      <c r="CA197" s="274">
        <f t="shared" si="158"/>
        <v>1</v>
      </c>
      <c r="CB197" s="275">
        <f t="shared" si="159"/>
        <v>1</v>
      </c>
      <c r="CC197" s="280"/>
    </row>
    <row r="198" spans="1:81">
      <c r="A198" s="279">
        <v>45123</v>
      </c>
      <c r="B198" s="278">
        <f t="shared" si="120"/>
        <v>0</v>
      </c>
      <c r="C198" s="272">
        <f>IFERROR(INDEX('Horo. M'!$C$3:$C$367,MATCH(A198,'Horo. M'!$A$3:$A$367,0)),"")</f>
        <v>24</v>
      </c>
      <c r="D198" s="278"/>
      <c r="E198" s="278"/>
      <c r="F198" s="272">
        <f t="shared" si="121"/>
        <v>24</v>
      </c>
      <c r="G198" s="274">
        <f t="shared" si="122"/>
        <v>1</v>
      </c>
      <c r="H198" s="275">
        <f t="shared" si="123"/>
        <v>1</v>
      </c>
      <c r="I198" s="277"/>
      <c r="J198" s="278">
        <f t="shared" si="124"/>
        <v>0</v>
      </c>
      <c r="K198" s="272">
        <f>IFERROR(INDEX('Horo. M'!$E$3:$E$367,MATCH(A198,'Horo. M'!$A$3:$A$367,0)),"")</f>
        <v>24</v>
      </c>
      <c r="L198" s="273"/>
      <c r="M198" s="273"/>
      <c r="N198" s="272">
        <f t="shared" si="125"/>
        <v>24</v>
      </c>
      <c r="O198" s="274">
        <f t="shared" si="126"/>
        <v>1</v>
      </c>
      <c r="P198" s="275">
        <f t="shared" si="127"/>
        <v>1</v>
      </c>
      <c r="Q198" s="276"/>
      <c r="R198" s="278">
        <f t="shared" si="128"/>
        <v>24</v>
      </c>
      <c r="S198" s="272">
        <f>IFERROR(INDEX('Horo. M'!G$3:$G$367,MATCH(A198,'Horo. M'!$A$3:$A$367,0)),"")</f>
        <v>0</v>
      </c>
      <c r="T198" s="278"/>
      <c r="U198" s="278"/>
      <c r="V198" s="272">
        <f t="shared" si="129"/>
        <v>24</v>
      </c>
      <c r="W198" s="274">
        <f t="shared" si="130"/>
        <v>0</v>
      </c>
      <c r="X198" s="275">
        <f t="shared" si="131"/>
        <v>1</v>
      </c>
      <c r="Y198" s="278"/>
      <c r="Z198" s="278">
        <f t="shared" si="132"/>
        <v>0</v>
      </c>
      <c r="AA198" s="272">
        <f>IFERROR(INDEX('Horo. M'!$I$3:I$367,MATCH(A198,'Horo. M'!$A$3:$A$367,0)),"")</f>
        <v>24</v>
      </c>
      <c r="AB198" s="273"/>
      <c r="AC198" s="273"/>
      <c r="AD198" s="272">
        <f t="shared" si="133"/>
        <v>24</v>
      </c>
      <c r="AE198" s="274">
        <f t="shared" si="134"/>
        <v>1</v>
      </c>
      <c r="AF198" s="275">
        <f t="shared" si="135"/>
        <v>1</v>
      </c>
      <c r="AG198" s="278"/>
      <c r="AH198" s="272">
        <f t="shared" si="136"/>
        <v>1</v>
      </c>
      <c r="AI198" s="272">
        <f>IFERROR(INDEX('Horo. M'!$K$3:K$367,MATCH(A198,'Horo. M'!$A$3:$A$367,0)),"")</f>
        <v>23</v>
      </c>
      <c r="AJ198" s="278"/>
      <c r="AK198" s="278"/>
      <c r="AL198" s="272">
        <f t="shared" si="137"/>
        <v>24</v>
      </c>
      <c r="AM198" s="274">
        <f t="shared" si="138"/>
        <v>0.95833333333333337</v>
      </c>
      <c r="AN198" s="275">
        <f t="shared" si="139"/>
        <v>1</v>
      </c>
      <c r="AO198" s="278"/>
      <c r="AP198" s="272">
        <f t="shared" si="140"/>
        <v>24</v>
      </c>
      <c r="AQ198" s="272">
        <f>IFERROR(INDEX('Horo. M'!$M$3:M$367,MATCH(A198,'Horo. M'!$A$3:$A$367,0)),"")</f>
        <v>0</v>
      </c>
      <c r="AR198" s="278"/>
      <c r="AS198" s="278"/>
      <c r="AT198" s="272">
        <f t="shared" si="141"/>
        <v>24</v>
      </c>
      <c r="AU198" s="274">
        <f t="shared" si="142"/>
        <v>0</v>
      </c>
      <c r="AV198" s="275">
        <f t="shared" si="143"/>
        <v>1</v>
      </c>
      <c r="AW198" s="278"/>
      <c r="AX198" s="272">
        <f t="shared" si="144"/>
        <v>0</v>
      </c>
      <c r="AY198" s="272">
        <f>IFERROR(INDEX('Horo. M'!$O$3:O$367,MATCH(A198,'Horo. M'!$A$3:$A$367,0)),"")</f>
        <v>24</v>
      </c>
      <c r="AZ198" s="278"/>
      <c r="BA198" s="278"/>
      <c r="BB198" s="272">
        <f t="shared" si="145"/>
        <v>24</v>
      </c>
      <c r="BC198" s="274">
        <f t="shared" si="146"/>
        <v>1</v>
      </c>
      <c r="BD198" s="275">
        <f t="shared" si="147"/>
        <v>1</v>
      </c>
      <c r="BE198" s="278"/>
      <c r="BF198" s="272">
        <f t="shared" si="148"/>
        <v>0</v>
      </c>
      <c r="BG198" s="272">
        <f>IFERROR(INDEX('Horo. M'!$Q$3:Q$367,MATCH(A198,'Horo. M'!$A$3:$A$367,0)),"")</f>
        <v>24</v>
      </c>
      <c r="BH198" s="278"/>
      <c r="BI198" s="278"/>
      <c r="BJ198" s="272">
        <f t="shared" si="149"/>
        <v>24</v>
      </c>
      <c r="BK198" s="274">
        <f t="shared" si="150"/>
        <v>1</v>
      </c>
      <c r="BL198" s="275">
        <f t="shared" si="151"/>
        <v>1</v>
      </c>
      <c r="BM198" s="278"/>
      <c r="BN198" s="272">
        <f t="shared" si="152"/>
        <v>0</v>
      </c>
      <c r="BO198" s="272">
        <f>IFERROR(INDEX('Horo. M'!$S$3:S$367,MATCH(A198,'Horo. M'!$A$3:$A$367,0)),"")</f>
        <v>24</v>
      </c>
      <c r="BP198" s="278"/>
      <c r="BQ198" s="278"/>
      <c r="BR198" s="272">
        <f t="shared" si="153"/>
        <v>24</v>
      </c>
      <c r="BS198" s="274">
        <f t="shared" si="154"/>
        <v>1</v>
      </c>
      <c r="BT198" s="275">
        <f t="shared" si="155"/>
        <v>1</v>
      </c>
      <c r="BU198" s="278"/>
      <c r="BV198" s="272">
        <f t="shared" si="156"/>
        <v>3</v>
      </c>
      <c r="BW198" s="272">
        <f>IFERROR(INDEX('Horo. M'!$U$3:U$367,MATCH(A198,'Horo. M'!$A$3:$A$367,0)),"")</f>
        <v>21</v>
      </c>
      <c r="BX198" s="278"/>
      <c r="BY198" s="278"/>
      <c r="BZ198" s="272">
        <f t="shared" si="157"/>
        <v>24</v>
      </c>
      <c r="CA198" s="274">
        <f t="shared" si="158"/>
        <v>0.875</v>
      </c>
      <c r="CB198" s="275">
        <f t="shared" si="159"/>
        <v>1</v>
      </c>
      <c r="CC198" s="280"/>
    </row>
    <row r="199" spans="1:81">
      <c r="A199" s="279">
        <v>45124</v>
      </c>
      <c r="B199" s="278">
        <f t="shared" si="120"/>
        <v>0</v>
      </c>
      <c r="C199" s="272">
        <f>IFERROR(INDEX('Horo. M'!$C$3:$C$367,MATCH(A199,'Horo. M'!$A$3:$A$367,0)),"")</f>
        <v>24</v>
      </c>
      <c r="D199" s="278"/>
      <c r="E199" s="278"/>
      <c r="F199" s="272">
        <f t="shared" si="121"/>
        <v>24</v>
      </c>
      <c r="G199" s="274">
        <f t="shared" si="122"/>
        <v>1</v>
      </c>
      <c r="H199" s="275">
        <f t="shared" si="123"/>
        <v>1</v>
      </c>
      <c r="I199" s="277"/>
      <c r="J199" s="278">
        <f t="shared" si="124"/>
        <v>0</v>
      </c>
      <c r="K199" s="272">
        <f>IFERROR(INDEX('Horo. M'!$E$3:$E$367,MATCH(A199,'Horo. M'!$A$3:$A$367,0)),"")</f>
        <v>24</v>
      </c>
      <c r="L199" s="273"/>
      <c r="M199" s="273"/>
      <c r="N199" s="272">
        <f t="shared" si="125"/>
        <v>24</v>
      </c>
      <c r="O199" s="274">
        <f t="shared" si="126"/>
        <v>1</v>
      </c>
      <c r="P199" s="275">
        <f t="shared" si="127"/>
        <v>1</v>
      </c>
      <c r="Q199" s="276"/>
      <c r="R199" s="278">
        <f t="shared" si="128"/>
        <v>24</v>
      </c>
      <c r="S199" s="272">
        <f>IFERROR(INDEX('Horo. M'!G$3:$G$367,MATCH(A199,'Horo. M'!$A$3:$A$367,0)),"")</f>
        <v>0</v>
      </c>
      <c r="T199" s="278"/>
      <c r="U199" s="278"/>
      <c r="V199" s="272">
        <f t="shared" si="129"/>
        <v>24</v>
      </c>
      <c r="W199" s="274">
        <f t="shared" si="130"/>
        <v>0</v>
      </c>
      <c r="X199" s="275">
        <f t="shared" si="131"/>
        <v>1</v>
      </c>
      <c r="Y199" s="278"/>
      <c r="Z199" s="278">
        <f t="shared" si="132"/>
        <v>0</v>
      </c>
      <c r="AA199" s="272">
        <f>IFERROR(INDEX('Horo. M'!$I$3:I$367,MATCH(A199,'Horo. M'!$A$3:$A$367,0)),"")</f>
        <v>24</v>
      </c>
      <c r="AB199" s="273"/>
      <c r="AC199" s="273"/>
      <c r="AD199" s="272">
        <f t="shared" si="133"/>
        <v>24</v>
      </c>
      <c r="AE199" s="274">
        <f t="shared" si="134"/>
        <v>1</v>
      </c>
      <c r="AF199" s="275">
        <f t="shared" si="135"/>
        <v>1</v>
      </c>
      <c r="AG199" s="278"/>
      <c r="AH199" s="272">
        <f t="shared" si="136"/>
        <v>1</v>
      </c>
      <c r="AI199" s="272">
        <f>IFERROR(INDEX('Horo. M'!$K$3:K$367,MATCH(A199,'Horo. M'!$A$3:$A$367,0)),"")</f>
        <v>23</v>
      </c>
      <c r="AJ199" s="278"/>
      <c r="AK199" s="278"/>
      <c r="AL199" s="272">
        <f t="shared" si="137"/>
        <v>24</v>
      </c>
      <c r="AM199" s="274">
        <f t="shared" si="138"/>
        <v>0.95833333333333337</v>
      </c>
      <c r="AN199" s="275">
        <f t="shared" si="139"/>
        <v>1</v>
      </c>
      <c r="AO199" s="278"/>
      <c r="AP199" s="272">
        <f t="shared" si="140"/>
        <v>24</v>
      </c>
      <c r="AQ199" s="272">
        <f>IFERROR(INDEX('Horo. M'!$M$3:M$367,MATCH(A199,'Horo. M'!$A$3:$A$367,0)),"")</f>
        <v>0</v>
      </c>
      <c r="AR199" s="278"/>
      <c r="AS199" s="278"/>
      <c r="AT199" s="272">
        <f t="shared" si="141"/>
        <v>24</v>
      </c>
      <c r="AU199" s="274">
        <f t="shared" si="142"/>
        <v>0</v>
      </c>
      <c r="AV199" s="275">
        <f t="shared" si="143"/>
        <v>1</v>
      </c>
      <c r="AW199" s="278"/>
      <c r="AX199" s="272">
        <f t="shared" si="144"/>
        <v>0</v>
      </c>
      <c r="AY199" s="272">
        <f>IFERROR(INDEX('Horo. M'!$O$3:O$367,MATCH(A199,'Horo. M'!$A$3:$A$367,0)),"")</f>
        <v>24</v>
      </c>
      <c r="AZ199" s="278"/>
      <c r="BA199" s="278"/>
      <c r="BB199" s="272">
        <f t="shared" si="145"/>
        <v>24</v>
      </c>
      <c r="BC199" s="274">
        <f t="shared" si="146"/>
        <v>1</v>
      </c>
      <c r="BD199" s="275">
        <f t="shared" si="147"/>
        <v>1</v>
      </c>
      <c r="BE199" s="278"/>
      <c r="BF199" s="272">
        <f t="shared" si="148"/>
        <v>0</v>
      </c>
      <c r="BG199" s="272">
        <f>IFERROR(INDEX('Horo. M'!$Q$3:Q$367,MATCH(A199,'Horo. M'!$A$3:$A$367,0)),"")</f>
        <v>24</v>
      </c>
      <c r="BH199" s="278"/>
      <c r="BI199" s="278"/>
      <c r="BJ199" s="272">
        <f t="shared" si="149"/>
        <v>24</v>
      </c>
      <c r="BK199" s="274">
        <f t="shared" si="150"/>
        <v>1</v>
      </c>
      <c r="BL199" s="275">
        <f t="shared" si="151"/>
        <v>1</v>
      </c>
      <c r="BM199" s="278"/>
      <c r="BN199" s="272">
        <f t="shared" si="152"/>
        <v>0</v>
      </c>
      <c r="BO199" s="272">
        <f>IFERROR(INDEX('Horo. M'!$S$3:S$367,MATCH(A199,'Horo. M'!$A$3:$A$367,0)),"")</f>
        <v>24</v>
      </c>
      <c r="BP199" s="278"/>
      <c r="BQ199" s="278"/>
      <c r="BR199" s="272">
        <f t="shared" si="153"/>
        <v>24</v>
      </c>
      <c r="BS199" s="274">
        <f t="shared" si="154"/>
        <v>1</v>
      </c>
      <c r="BT199" s="275">
        <f t="shared" si="155"/>
        <v>1</v>
      </c>
      <c r="BU199" s="278"/>
      <c r="BV199" s="272">
        <f t="shared" si="156"/>
        <v>0</v>
      </c>
      <c r="BW199" s="272">
        <f>IFERROR(INDEX('Horo. M'!$U$3:U$367,MATCH(A199,'Horo. M'!$A$3:$A$367,0)),"")</f>
        <v>24</v>
      </c>
      <c r="BX199" s="278"/>
      <c r="BY199" s="278"/>
      <c r="BZ199" s="272">
        <f t="shared" si="157"/>
        <v>24</v>
      </c>
      <c r="CA199" s="274">
        <f t="shared" si="158"/>
        <v>1</v>
      </c>
      <c r="CB199" s="275">
        <f t="shared" si="159"/>
        <v>1</v>
      </c>
      <c r="CC199" s="280"/>
    </row>
    <row r="200" spans="1:81">
      <c r="A200" s="279">
        <v>45125</v>
      </c>
      <c r="B200" s="278">
        <f t="shared" si="120"/>
        <v>0</v>
      </c>
      <c r="C200" s="272">
        <f>IFERROR(INDEX('Horo. M'!$C$3:$C$367,MATCH(A200,'Horo. M'!$A$3:$A$367,0)),"")</f>
        <v>24</v>
      </c>
      <c r="D200" s="278"/>
      <c r="E200" s="278"/>
      <c r="F200" s="272">
        <f t="shared" si="121"/>
        <v>24</v>
      </c>
      <c r="G200" s="274">
        <f t="shared" si="122"/>
        <v>1</v>
      </c>
      <c r="H200" s="275">
        <f t="shared" si="123"/>
        <v>1</v>
      </c>
      <c r="I200" s="277"/>
      <c r="J200" s="278">
        <f t="shared" si="124"/>
        <v>0</v>
      </c>
      <c r="K200" s="272">
        <f>IFERROR(INDEX('Horo. M'!$E$3:$E$367,MATCH(A200,'Horo. M'!$A$3:$A$367,0)),"")</f>
        <v>24</v>
      </c>
      <c r="L200" s="273"/>
      <c r="M200" s="273"/>
      <c r="N200" s="272">
        <f t="shared" si="125"/>
        <v>24</v>
      </c>
      <c r="O200" s="274">
        <f t="shared" si="126"/>
        <v>1</v>
      </c>
      <c r="P200" s="275">
        <f t="shared" si="127"/>
        <v>1</v>
      </c>
      <c r="Q200" s="276"/>
      <c r="R200" s="278">
        <f t="shared" si="128"/>
        <v>24</v>
      </c>
      <c r="S200" s="272">
        <f>IFERROR(INDEX('Horo. M'!G$3:$G$367,MATCH(A200,'Horo. M'!$A$3:$A$367,0)),"")</f>
        <v>0</v>
      </c>
      <c r="T200" s="278"/>
      <c r="U200" s="278"/>
      <c r="V200" s="272">
        <f t="shared" si="129"/>
        <v>24</v>
      </c>
      <c r="W200" s="274">
        <f t="shared" si="130"/>
        <v>0</v>
      </c>
      <c r="X200" s="275">
        <f t="shared" si="131"/>
        <v>1</v>
      </c>
      <c r="Y200" s="278"/>
      <c r="Z200" s="278">
        <f t="shared" si="132"/>
        <v>0</v>
      </c>
      <c r="AA200" s="272">
        <f>IFERROR(INDEX('Horo. M'!$I$3:I$367,MATCH(A200,'Horo. M'!$A$3:$A$367,0)),"")</f>
        <v>24</v>
      </c>
      <c r="AB200" s="273"/>
      <c r="AC200" s="273"/>
      <c r="AD200" s="272">
        <f t="shared" si="133"/>
        <v>24</v>
      </c>
      <c r="AE200" s="274">
        <f t="shared" si="134"/>
        <v>1</v>
      </c>
      <c r="AF200" s="275">
        <f t="shared" si="135"/>
        <v>1</v>
      </c>
      <c r="AG200" s="278"/>
      <c r="AH200" s="272">
        <f t="shared" si="136"/>
        <v>1</v>
      </c>
      <c r="AI200" s="272">
        <f>IFERROR(INDEX('Horo. M'!$K$3:K$367,MATCH(A200,'Horo. M'!$A$3:$A$367,0)),"")</f>
        <v>23</v>
      </c>
      <c r="AJ200" s="278"/>
      <c r="AK200" s="278"/>
      <c r="AL200" s="272">
        <f t="shared" si="137"/>
        <v>24</v>
      </c>
      <c r="AM200" s="274">
        <f t="shared" si="138"/>
        <v>0.95833333333333337</v>
      </c>
      <c r="AN200" s="275">
        <f t="shared" si="139"/>
        <v>1</v>
      </c>
      <c r="AO200" s="278"/>
      <c r="AP200" s="272">
        <f t="shared" si="140"/>
        <v>24</v>
      </c>
      <c r="AQ200" s="272">
        <f>IFERROR(INDEX('Horo. M'!$M$3:M$367,MATCH(A200,'Horo. M'!$A$3:$A$367,0)),"")</f>
        <v>0</v>
      </c>
      <c r="AR200" s="278"/>
      <c r="AS200" s="278"/>
      <c r="AT200" s="272">
        <f t="shared" si="141"/>
        <v>24</v>
      </c>
      <c r="AU200" s="274">
        <f t="shared" si="142"/>
        <v>0</v>
      </c>
      <c r="AV200" s="275">
        <f t="shared" si="143"/>
        <v>1</v>
      </c>
      <c r="AW200" s="278"/>
      <c r="AX200" s="272">
        <f t="shared" si="144"/>
        <v>0</v>
      </c>
      <c r="AY200" s="272">
        <f>IFERROR(INDEX('Horo. M'!$O$3:O$367,MATCH(A200,'Horo. M'!$A$3:$A$367,0)),"")</f>
        <v>24</v>
      </c>
      <c r="AZ200" s="278"/>
      <c r="BA200" s="278"/>
      <c r="BB200" s="272">
        <f t="shared" si="145"/>
        <v>24</v>
      </c>
      <c r="BC200" s="274">
        <f t="shared" si="146"/>
        <v>1</v>
      </c>
      <c r="BD200" s="275">
        <f t="shared" si="147"/>
        <v>1</v>
      </c>
      <c r="BE200" s="278"/>
      <c r="BF200" s="272">
        <f t="shared" si="148"/>
        <v>0</v>
      </c>
      <c r="BG200" s="272">
        <f>IFERROR(INDEX('Horo. M'!$Q$3:Q$367,MATCH(A200,'Horo. M'!$A$3:$A$367,0)),"")</f>
        <v>24</v>
      </c>
      <c r="BH200" s="278"/>
      <c r="BI200" s="278"/>
      <c r="BJ200" s="272">
        <f t="shared" si="149"/>
        <v>24</v>
      </c>
      <c r="BK200" s="274">
        <f t="shared" si="150"/>
        <v>1</v>
      </c>
      <c r="BL200" s="275">
        <f t="shared" si="151"/>
        <v>1</v>
      </c>
      <c r="BM200" s="278"/>
      <c r="BN200" s="272">
        <f t="shared" si="152"/>
        <v>0</v>
      </c>
      <c r="BO200" s="272">
        <f>IFERROR(INDEX('Horo. M'!$S$3:S$367,MATCH(A200,'Horo. M'!$A$3:$A$367,0)),"")</f>
        <v>24</v>
      </c>
      <c r="BP200" s="278"/>
      <c r="BQ200" s="278"/>
      <c r="BR200" s="272">
        <f t="shared" si="153"/>
        <v>24</v>
      </c>
      <c r="BS200" s="274">
        <f t="shared" si="154"/>
        <v>1</v>
      </c>
      <c r="BT200" s="275">
        <f t="shared" si="155"/>
        <v>1</v>
      </c>
      <c r="BU200" s="278"/>
      <c r="BV200" s="272">
        <f t="shared" si="156"/>
        <v>0</v>
      </c>
      <c r="BW200" s="272">
        <f>IFERROR(INDEX('Horo. M'!$U$3:U$367,MATCH(A200,'Horo. M'!$A$3:$A$367,0)),"")</f>
        <v>24</v>
      </c>
      <c r="BX200" s="278"/>
      <c r="BY200" s="278"/>
      <c r="BZ200" s="272">
        <f t="shared" si="157"/>
        <v>24</v>
      </c>
      <c r="CA200" s="274">
        <f t="shared" si="158"/>
        <v>1</v>
      </c>
      <c r="CB200" s="275">
        <f t="shared" si="159"/>
        <v>1</v>
      </c>
      <c r="CC200" s="280"/>
    </row>
    <row r="201" spans="1:81">
      <c r="A201" s="279">
        <v>45126</v>
      </c>
      <c r="B201" s="278">
        <f t="shared" si="120"/>
        <v>0</v>
      </c>
      <c r="C201" s="272">
        <f>IFERROR(INDEX('Horo. M'!$C$3:$C$367,MATCH(A201,'Horo. M'!$A$3:$A$367,0)),"")</f>
        <v>24</v>
      </c>
      <c r="D201" s="278"/>
      <c r="E201" s="278"/>
      <c r="F201" s="272">
        <f t="shared" si="121"/>
        <v>24</v>
      </c>
      <c r="G201" s="274">
        <f t="shared" si="122"/>
        <v>1</v>
      </c>
      <c r="H201" s="275">
        <f t="shared" si="123"/>
        <v>1</v>
      </c>
      <c r="I201" s="277"/>
      <c r="J201" s="278">
        <f t="shared" si="124"/>
        <v>0</v>
      </c>
      <c r="K201" s="272">
        <f>IFERROR(INDEX('Horo. M'!$E$3:$E$367,MATCH(A201,'Horo. M'!$A$3:$A$367,0)),"")</f>
        <v>24</v>
      </c>
      <c r="L201" s="273"/>
      <c r="M201" s="273"/>
      <c r="N201" s="272">
        <f t="shared" si="125"/>
        <v>24</v>
      </c>
      <c r="O201" s="274">
        <f t="shared" si="126"/>
        <v>1</v>
      </c>
      <c r="P201" s="275">
        <f t="shared" si="127"/>
        <v>1</v>
      </c>
      <c r="Q201" s="276"/>
      <c r="R201" s="278">
        <f t="shared" si="128"/>
        <v>24</v>
      </c>
      <c r="S201" s="272">
        <f>IFERROR(INDEX('Horo. M'!G$3:$G$367,MATCH(A201,'Horo. M'!$A$3:$A$367,0)),"")</f>
        <v>0</v>
      </c>
      <c r="T201" s="278"/>
      <c r="U201" s="278"/>
      <c r="V201" s="272">
        <f t="shared" si="129"/>
        <v>24</v>
      </c>
      <c r="W201" s="274">
        <f t="shared" si="130"/>
        <v>0</v>
      </c>
      <c r="X201" s="275">
        <f t="shared" si="131"/>
        <v>1</v>
      </c>
      <c r="Y201" s="278"/>
      <c r="Z201" s="278">
        <f t="shared" si="132"/>
        <v>0</v>
      </c>
      <c r="AA201" s="272">
        <f>IFERROR(INDEX('Horo. M'!$I$3:I$367,MATCH(A201,'Horo. M'!$A$3:$A$367,0)),"")</f>
        <v>24</v>
      </c>
      <c r="AB201" s="273"/>
      <c r="AC201" s="273"/>
      <c r="AD201" s="272">
        <f t="shared" si="133"/>
        <v>24</v>
      </c>
      <c r="AE201" s="274">
        <f t="shared" si="134"/>
        <v>1</v>
      </c>
      <c r="AF201" s="275">
        <f t="shared" si="135"/>
        <v>1</v>
      </c>
      <c r="AG201" s="278"/>
      <c r="AH201" s="272">
        <f t="shared" si="136"/>
        <v>4</v>
      </c>
      <c r="AI201" s="272">
        <f>IFERROR(INDEX('Horo. M'!$K$3:K$367,MATCH(A201,'Horo. M'!$A$3:$A$367,0)),"")</f>
        <v>20</v>
      </c>
      <c r="AJ201" s="278"/>
      <c r="AK201" s="278"/>
      <c r="AL201" s="272">
        <f t="shared" si="137"/>
        <v>24</v>
      </c>
      <c r="AM201" s="274">
        <f t="shared" si="138"/>
        <v>0.83333333333333337</v>
      </c>
      <c r="AN201" s="275">
        <f t="shared" si="139"/>
        <v>1</v>
      </c>
      <c r="AO201" s="278"/>
      <c r="AP201" s="272">
        <f t="shared" si="140"/>
        <v>24</v>
      </c>
      <c r="AQ201" s="272">
        <f>IFERROR(INDEX('Horo. M'!$M$3:M$367,MATCH(A201,'Horo. M'!$A$3:$A$367,0)),"")</f>
        <v>0</v>
      </c>
      <c r="AR201" s="278"/>
      <c r="AS201" s="278"/>
      <c r="AT201" s="272">
        <f t="shared" si="141"/>
        <v>24</v>
      </c>
      <c r="AU201" s="274">
        <f t="shared" si="142"/>
        <v>0</v>
      </c>
      <c r="AV201" s="275">
        <f t="shared" si="143"/>
        <v>1</v>
      </c>
      <c r="AW201" s="278"/>
      <c r="AX201" s="272">
        <f t="shared" si="144"/>
        <v>0</v>
      </c>
      <c r="AY201" s="272">
        <f>IFERROR(INDEX('Horo. M'!$O$3:O$367,MATCH(A201,'Horo. M'!$A$3:$A$367,0)),"")</f>
        <v>24</v>
      </c>
      <c r="AZ201" s="278"/>
      <c r="BA201" s="278"/>
      <c r="BB201" s="272">
        <f t="shared" si="145"/>
        <v>24</v>
      </c>
      <c r="BC201" s="274">
        <f t="shared" si="146"/>
        <v>1</v>
      </c>
      <c r="BD201" s="275">
        <f t="shared" si="147"/>
        <v>1</v>
      </c>
      <c r="BE201" s="278"/>
      <c r="BF201" s="272">
        <f t="shared" si="148"/>
        <v>0</v>
      </c>
      <c r="BG201" s="272">
        <f>IFERROR(INDEX('Horo. M'!$Q$3:Q$367,MATCH(A201,'Horo. M'!$A$3:$A$367,0)),"")</f>
        <v>24</v>
      </c>
      <c r="BH201" s="278"/>
      <c r="BI201" s="278"/>
      <c r="BJ201" s="272">
        <f t="shared" si="149"/>
        <v>24</v>
      </c>
      <c r="BK201" s="274">
        <f t="shared" si="150"/>
        <v>1</v>
      </c>
      <c r="BL201" s="275">
        <f t="shared" si="151"/>
        <v>1</v>
      </c>
      <c r="BM201" s="278"/>
      <c r="BN201" s="272">
        <f t="shared" si="152"/>
        <v>0</v>
      </c>
      <c r="BO201" s="272">
        <f>IFERROR(INDEX('Horo. M'!$S$3:S$367,MATCH(A201,'Horo. M'!$A$3:$A$367,0)),"")</f>
        <v>24</v>
      </c>
      <c r="BP201" s="278"/>
      <c r="BQ201" s="278"/>
      <c r="BR201" s="272">
        <f t="shared" si="153"/>
        <v>24</v>
      </c>
      <c r="BS201" s="274">
        <f t="shared" si="154"/>
        <v>1</v>
      </c>
      <c r="BT201" s="275">
        <f t="shared" si="155"/>
        <v>1</v>
      </c>
      <c r="BU201" s="278"/>
      <c r="BV201" s="272">
        <f t="shared" si="156"/>
        <v>0</v>
      </c>
      <c r="BW201" s="272">
        <f>IFERROR(INDEX('Horo. M'!$U$3:U$367,MATCH(A201,'Horo. M'!$A$3:$A$367,0)),"")</f>
        <v>24</v>
      </c>
      <c r="BX201" s="278"/>
      <c r="BY201" s="278"/>
      <c r="BZ201" s="272">
        <f t="shared" si="157"/>
        <v>24</v>
      </c>
      <c r="CA201" s="274">
        <f t="shared" si="158"/>
        <v>1</v>
      </c>
      <c r="CB201" s="275">
        <f t="shared" si="159"/>
        <v>1</v>
      </c>
      <c r="CC201" s="280"/>
    </row>
    <row r="202" spans="1:81">
      <c r="A202" s="279">
        <v>45127</v>
      </c>
      <c r="B202" s="278">
        <f t="shared" si="120"/>
        <v>0</v>
      </c>
      <c r="C202" s="272">
        <f>IFERROR(INDEX('Horo. M'!$C$3:$C$367,MATCH(A202,'Horo. M'!$A$3:$A$367,0)),"")</f>
        <v>24</v>
      </c>
      <c r="D202" s="278"/>
      <c r="E202" s="278"/>
      <c r="F202" s="272">
        <f t="shared" si="121"/>
        <v>24</v>
      </c>
      <c r="G202" s="274">
        <f t="shared" si="122"/>
        <v>1</v>
      </c>
      <c r="H202" s="275">
        <f t="shared" si="123"/>
        <v>1</v>
      </c>
      <c r="I202" s="277"/>
      <c r="J202" s="278">
        <f t="shared" si="124"/>
        <v>0</v>
      </c>
      <c r="K202" s="272">
        <f>IFERROR(INDEX('Horo. M'!$E$3:$E$367,MATCH(A202,'Horo. M'!$A$3:$A$367,0)),"")</f>
        <v>24</v>
      </c>
      <c r="L202" s="273"/>
      <c r="M202" s="273"/>
      <c r="N202" s="272">
        <f t="shared" si="125"/>
        <v>24</v>
      </c>
      <c r="O202" s="274">
        <f t="shared" si="126"/>
        <v>1</v>
      </c>
      <c r="P202" s="275">
        <f t="shared" si="127"/>
        <v>1</v>
      </c>
      <c r="Q202" s="276"/>
      <c r="R202" s="278">
        <f t="shared" si="128"/>
        <v>24</v>
      </c>
      <c r="S202" s="272">
        <f>IFERROR(INDEX('Horo. M'!G$3:$G$367,MATCH(A202,'Horo. M'!$A$3:$A$367,0)),"")</f>
        <v>0</v>
      </c>
      <c r="T202" s="278"/>
      <c r="U202" s="278"/>
      <c r="V202" s="272">
        <f t="shared" si="129"/>
        <v>24</v>
      </c>
      <c r="W202" s="274">
        <f t="shared" si="130"/>
        <v>0</v>
      </c>
      <c r="X202" s="275">
        <f t="shared" si="131"/>
        <v>1</v>
      </c>
      <c r="Y202" s="278"/>
      <c r="Z202" s="278">
        <f t="shared" si="132"/>
        <v>0</v>
      </c>
      <c r="AA202" s="272">
        <f>IFERROR(INDEX('Horo. M'!$I$3:I$367,MATCH(A202,'Horo. M'!$A$3:$A$367,0)),"")</f>
        <v>24</v>
      </c>
      <c r="AB202" s="273"/>
      <c r="AC202" s="273"/>
      <c r="AD202" s="272">
        <f t="shared" si="133"/>
        <v>24</v>
      </c>
      <c r="AE202" s="274">
        <f t="shared" si="134"/>
        <v>1</v>
      </c>
      <c r="AF202" s="275">
        <f t="shared" si="135"/>
        <v>1</v>
      </c>
      <c r="AG202" s="278"/>
      <c r="AH202" s="272">
        <f t="shared" si="136"/>
        <v>2</v>
      </c>
      <c r="AI202" s="272">
        <f>IFERROR(INDEX('Horo. M'!$K$3:K$367,MATCH(A202,'Horo. M'!$A$3:$A$367,0)),"")</f>
        <v>22</v>
      </c>
      <c r="AJ202" s="278"/>
      <c r="AK202" s="278"/>
      <c r="AL202" s="272">
        <f t="shared" si="137"/>
        <v>24</v>
      </c>
      <c r="AM202" s="274">
        <f t="shared" si="138"/>
        <v>0.91666666666666663</v>
      </c>
      <c r="AN202" s="275">
        <f t="shared" si="139"/>
        <v>1</v>
      </c>
      <c r="AO202" s="278"/>
      <c r="AP202" s="272">
        <f t="shared" si="140"/>
        <v>23</v>
      </c>
      <c r="AQ202" s="272">
        <f>IFERROR(INDEX('Horo. M'!$M$3:M$367,MATCH(A202,'Horo. M'!$A$3:$A$367,0)),"")</f>
        <v>1</v>
      </c>
      <c r="AR202" s="278"/>
      <c r="AS202" s="278"/>
      <c r="AT202" s="272">
        <f t="shared" si="141"/>
        <v>24</v>
      </c>
      <c r="AU202" s="274">
        <f t="shared" si="142"/>
        <v>4.1666666666666664E-2</v>
      </c>
      <c r="AV202" s="275">
        <f t="shared" si="143"/>
        <v>1</v>
      </c>
      <c r="AW202" s="278"/>
      <c r="AX202" s="272">
        <f t="shared" si="144"/>
        <v>0</v>
      </c>
      <c r="AY202" s="272">
        <f>IFERROR(INDEX('Horo. M'!$O$3:O$367,MATCH(A202,'Horo. M'!$A$3:$A$367,0)),"")</f>
        <v>24</v>
      </c>
      <c r="AZ202" s="278"/>
      <c r="BA202" s="278"/>
      <c r="BB202" s="272">
        <f t="shared" si="145"/>
        <v>24</v>
      </c>
      <c r="BC202" s="274">
        <f t="shared" si="146"/>
        <v>1</v>
      </c>
      <c r="BD202" s="275">
        <f t="shared" si="147"/>
        <v>1</v>
      </c>
      <c r="BE202" s="278"/>
      <c r="BF202" s="272">
        <f t="shared" si="148"/>
        <v>0</v>
      </c>
      <c r="BG202" s="272">
        <f>IFERROR(INDEX('Horo. M'!$Q$3:Q$367,MATCH(A202,'Horo. M'!$A$3:$A$367,0)),"")</f>
        <v>24</v>
      </c>
      <c r="BH202" s="278"/>
      <c r="BI202" s="278"/>
      <c r="BJ202" s="272">
        <f t="shared" si="149"/>
        <v>24</v>
      </c>
      <c r="BK202" s="274">
        <f t="shared" si="150"/>
        <v>1</v>
      </c>
      <c r="BL202" s="275">
        <f t="shared" si="151"/>
        <v>1</v>
      </c>
      <c r="BM202" s="278"/>
      <c r="BN202" s="272">
        <f t="shared" si="152"/>
        <v>0</v>
      </c>
      <c r="BO202" s="272">
        <f>IFERROR(INDEX('Horo. M'!$S$3:S$367,MATCH(A202,'Horo. M'!$A$3:$A$367,0)),"")</f>
        <v>24</v>
      </c>
      <c r="BP202" s="278"/>
      <c r="BQ202" s="278"/>
      <c r="BR202" s="272">
        <f t="shared" si="153"/>
        <v>24</v>
      </c>
      <c r="BS202" s="274">
        <f t="shared" si="154"/>
        <v>1</v>
      </c>
      <c r="BT202" s="275">
        <f t="shared" si="155"/>
        <v>1</v>
      </c>
      <c r="BU202" s="278"/>
      <c r="BV202" s="272">
        <f t="shared" si="156"/>
        <v>0</v>
      </c>
      <c r="BW202" s="272">
        <f>IFERROR(INDEX('Horo. M'!$U$3:U$367,MATCH(A202,'Horo. M'!$A$3:$A$367,0)),"")</f>
        <v>24</v>
      </c>
      <c r="BX202" s="278"/>
      <c r="BY202" s="278"/>
      <c r="BZ202" s="272">
        <f t="shared" si="157"/>
        <v>24</v>
      </c>
      <c r="CA202" s="274">
        <f t="shared" si="158"/>
        <v>1</v>
      </c>
      <c r="CB202" s="275">
        <f t="shared" si="159"/>
        <v>1</v>
      </c>
      <c r="CC202" s="280"/>
    </row>
    <row r="203" spans="1:81">
      <c r="A203" s="279">
        <v>45128</v>
      </c>
      <c r="B203" s="278">
        <f t="shared" si="120"/>
        <v>0</v>
      </c>
      <c r="C203" s="272">
        <f>IFERROR(INDEX('Horo. M'!$C$3:$C$367,MATCH(A203,'Horo. M'!$A$3:$A$367,0)),"")</f>
        <v>24</v>
      </c>
      <c r="D203" s="278"/>
      <c r="E203" s="278"/>
      <c r="F203" s="272">
        <f t="shared" si="121"/>
        <v>24</v>
      </c>
      <c r="G203" s="274">
        <f t="shared" si="122"/>
        <v>1</v>
      </c>
      <c r="H203" s="275">
        <f t="shared" si="123"/>
        <v>1</v>
      </c>
      <c r="I203" s="277"/>
      <c r="J203" s="278">
        <f t="shared" si="124"/>
        <v>0</v>
      </c>
      <c r="K203" s="272">
        <f>IFERROR(INDEX('Horo. M'!$E$3:$E$367,MATCH(A203,'Horo. M'!$A$3:$A$367,0)),"")</f>
        <v>24</v>
      </c>
      <c r="L203" s="273"/>
      <c r="M203" s="273"/>
      <c r="N203" s="272">
        <f t="shared" si="125"/>
        <v>24</v>
      </c>
      <c r="O203" s="274">
        <f t="shared" si="126"/>
        <v>1</v>
      </c>
      <c r="P203" s="275">
        <f t="shared" si="127"/>
        <v>1</v>
      </c>
      <c r="Q203" s="276"/>
      <c r="R203" s="278">
        <f t="shared" si="128"/>
        <v>24</v>
      </c>
      <c r="S203" s="272">
        <f>IFERROR(INDEX('Horo. M'!G$3:$G$367,MATCH(A203,'Horo. M'!$A$3:$A$367,0)),"")</f>
        <v>0</v>
      </c>
      <c r="T203" s="278"/>
      <c r="U203" s="278"/>
      <c r="V203" s="272">
        <f t="shared" si="129"/>
        <v>24</v>
      </c>
      <c r="W203" s="274">
        <f t="shared" si="130"/>
        <v>0</v>
      </c>
      <c r="X203" s="275">
        <f t="shared" si="131"/>
        <v>1</v>
      </c>
      <c r="Y203" s="278"/>
      <c r="Z203" s="278">
        <f t="shared" si="132"/>
        <v>0</v>
      </c>
      <c r="AA203" s="272">
        <f>IFERROR(INDEX('Horo. M'!$I$3:I$367,MATCH(A203,'Horo. M'!$A$3:$A$367,0)),"")</f>
        <v>24</v>
      </c>
      <c r="AB203" s="273"/>
      <c r="AC203" s="273"/>
      <c r="AD203" s="272">
        <f t="shared" si="133"/>
        <v>24</v>
      </c>
      <c r="AE203" s="274">
        <f t="shared" si="134"/>
        <v>1</v>
      </c>
      <c r="AF203" s="275">
        <f t="shared" si="135"/>
        <v>1</v>
      </c>
      <c r="AG203" s="278"/>
      <c r="AH203" s="272">
        <f t="shared" si="136"/>
        <v>0</v>
      </c>
      <c r="AI203" s="272">
        <f>IFERROR(INDEX('Horo. M'!$K$3:K$367,MATCH(A203,'Horo. M'!$A$3:$A$367,0)),"")</f>
        <v>24</v>
      </c>
      <c r="AJ203" s="278"/>
      <c r="AK203" s="278"/>
      <c r="AL203" s="272">
        <f t="shared" si="137"/>
        <v>24</v>
      </c>
      <c r="AM203" s="274">
        <f t="shared" si="138"/>
        <v>1</v>
      </c>
      <c r="AN203" s="275">
        <f t="shared" si="139"/>
        <v>1</v>
      </c>
      <c r="AO203" s="278"/>
      <c r="AP203" s="272">
        <f t="shared" si="140"/>
        <v>18</v>
      </c>
      <c r="AQ203" s="272">
        <f>IFERROR(INDEX('Horo. M'!$M$3:M$367,MATCH(A203,'Horo. M'!$A$3:$A$367,0)),"")</f>
        <v>6</v>
      </c>
      <c r="AR203" s="278"/>
      <c r="AS203" s="278"/>
      <c r="AT203" s="272">
        <f t="shared" si="141"/>
        <v>24</v>
      </c>
      <c r="AU203" s="274">
        <f t="shared" si="142"/>
        <v>0.25</v>
      </c>
      <c r="AV203" s="275">
        <f t="shared" si="143"/>
        <v>1</v>
      </c>
      <c r="AW203" s="278"/>
      <c r="AX203" s="272">
        <f t="shared" si="144"/>
        <v>0</v>
      </c>
      <c r="AY203" s="272">
        <f>IFERROR(INDEX('Horo. M'!$O$3:O$367,MATCH(A203,'Horo. M'!$A$3:$A$367,0)),"")</f>
        <v>24</v>
      </c>
      <c r="AZ203" s="278"/>
      <c r="BA203" s="278"/>
      <c r="BB203" s="272">
        <f t="shared" si="145"/>
        <v>24</v>
      </c>
      <c r="BC203" s="274">
        <f t="shared" si="146"/>
        <v>1</v>
      </c>
      <c r="BD203" s="275">
        <f t="shared" si="147"/>
        <v>1</v>
      </c>
      <c r="BE203" s="278"/>
      <c r="BF203" s="272">
        <f t="shared" si="148"/>
        <v>2</v>
      </c>
      <c r="BG203" s="272">
        <f>IFERROR(INDEX('Horo. M'!$Q$3:Q$367,MATCH(A203,'Horo. M'!$A$3:$A$367,0)),"")</f>
        <v>22</v>
      </c>
      <c r="BH203" s="278"/>
      <c r="BI203" s="278"/>
      <c r="BJ203" s="272">
        <f t="shared" si="149"/>
        <v>24</v>
      </c>
      <c r="BK203" s="274">
        <f t="shared" si="150"/>
        <v>0.91666666666666663</v>
      </c>
      <c r="BL203" s="275">
        <f t="shared" si="151"/>
        <v>1</v>
      </c>
      <c r="BM203" s="278"/>
      <c r="BN203" s="272">
        <f t="shared" si="152"/>
        <v>1</v>
      </c>
      <c r="BO203" s="272">
        <f>IFERROR(INDEX('Horo. M'!$S$3:S$367,MATCH(A203,'Horo. M'!$A$3:$A$367,0)),"")</f>
        <v>23</v>
      </c>
      <c r="BP203" s="278"/>
      <c r="BQ203" s="278"/>
      <c r="BR203" s="272">
        <f t="shared" si="153"/>
        <v>24</v>
      </c>
      <c r="BS203" s="274">
        <f t="shared" si="154"/>
        <v>0.95833333333333337</v>
      </c>
      <c r="BT203" s="275">
        <f t="shared" si="155"/>
        <v>1</v>
      </c>
      <c r="BU203" s="278"/>
      <c r="BV203" s="272">
        <f t="shared" si="156"/>
        <v>24</v>
      </c>
      <c r="BW203" s="272">
        <f>IFERROR(INDEX('Horo. M'!$U$3:U$367,MATCH(A203,'Horo. M'!$A$3:$A$367,0)),"")</f>
        <v>0</v>
      </c>
      <c r="BX203" s="278"/>
      <c r="BY203" s="278"/>
      <c r="BZ203" s="272">
        <f t="shared" si="157"/>
        <v>24</v>
      </c>
      <c r="CA203" s="274">
        <f t="shared" si="158"/>
        <v>0</v>
      </c>
      <c r="CB203" s="275">
        <f t="shared" si="159"/>
        <v>1</v>
      </c>
      <c r="CC203" s="280"/>
    </row>
    <row r="204" spans="1:81">
      <c r="A204" s="279">
        <v>45129</v>
      </c>
      <c r="B204" s="278">
        <f t="shared" si="120"/>
        <v>0</v>
      </c>
      <c r="C204" s="272">
        <f>IFERROR(INDEX('Horo. M'!$C$3:$C$367,MATCH(A204,'Horo. M'!$A$3:$A$367,0)),"")</f>
        <v>24</v>
      </c>
      <c r="D204" s="278"/>
      <c r="E204" s="278"/>
      <c r="F204" s="272">
        <f t="shared" si="121"/>
        <v>24</v>
      </c>
      <c r="G204" s="274">
        <f t="shared" si="122"/>
        <v>1</v>
      </c>
      <c r="H204" s="275">
        <f t="shared" si="123"/>
        <v>1</v>
      </c>
      <c r="I204" s="277"/>
      <c r="J204" s="278">
        <f t="shared" si="124"/>
        <v>0</v>
      </c>
      <c r="K204" s="272">
        <f>IFERROR(INDEX('Horo. M'!$E$3:$E$367,MATCH(A204,'Horo. M'!$A$3:$A$367,0)),"")</f>
        <v>24</v>
      </c>
      <c r="L204" s="273"/>
      <c r="M204" s="273"/>
      <c r="N204" s="272">
        <f t="shared" si="125"/>
        <v>24</v>
      </c>
      <c r="O204" s="274">
        <f t="shared" si="126"/>
        <v>1</v>
      </c>
      <c r="P204" s="275">
        <f t="shared" si="127"/>
        <v>1</v>
      </c>
      <c r="Q204" s="276"/>
      <c r="R204" s="278">
        <f t="shared" si="128"/>
        <v>24</v>
      </c>
      <c r="S204" s="272">
        <f>IFERROR(INDEX('Horo. M'!G$3:$G$367,MATCH(A204,'Horo. M'!$A$3:$A$367,0)),"")</f>
        <v>0</v>
      </c>
      <c r="T204" s="278"/>
      <c r="U204" s="278"/>
      <c r="V204" s="272">
        <f t="shared" si="129"/>
        <v>24</v>
      </c>
      <c r="W204" s="274">
        <f t="shared" si="130"/>
        <v>0</v>
      </c>
      <c r="X204" s="275">
        <f t="shared" si="131"/>
        <v>1</v>
      </c>
      <c r="Y204" s="278"/>
      <c r="Z204" s="278">
        <f t="shared" si="132"/>
        <v>0</v>
      </c>
      <c r="AA204" s="272">
        <f>IFERROR(INDEX('Horo. M'!$I$3:I$367,MATCH(A204,'Horo. M'!$A$3:$A$367,0)),"")</f>
        <v>24</v>
      </c>
      <c r="AB204" s="273"/>
      <c r="AC204" s="273"/>
      <c r="AD204" s="272">
        <f t="shared" si="133"/>
        <v>24</v>
      </c>
      <c r="AE204" s="274">
        <f t="shared" si="134"/>
        <v>1</v>
      </c>
      <c r="AF204" s="275">
        <f t="shared" si="135"/>
        <v>1</v>
      </c>
      <c r="AG204" s="278"/>
      <c r="AH204" s="272">
        <f t="shared" si="136"/>
        <v>0</v>
      </c>
      <c r="AI204" s="272">
        <f>IFERROR(INDEX('Horo. M'!$K$3:K$367,MATCH(A204,'Horo. M'!$A$3:$A$367,0)),"")</f>
        <v>24</v>
      </c>
      <c r="AJ204" s="278"/>
      <c r="AK204" s="278"/>
      <c r="AL204" s="272">
        <f t="shared" si="137"/>
        <v>24</v>
      </c>
      <c r="AM204" s="274">
        <f t="shared" si="138"/>
        <v>1</v>
      </c>
      <c r="AN204" s="275">
        <f t="shared" si="139"/>
        <v>1</v>
      </c>
      <c r="AO204" s="278"/>
      <c r="AP204" s="272">
        <f t="shared" si="140"/>
        <v>0</v>
      </c>
      <c r="AQ204" s="272">
        <f>IFERROR(INDEX('Horo. M'!$M$3:M$367,MATCH(A204,'Horo. M'!$A$3:$A$367,0)),"")</f>
        <v>24</v>
      </c>
      <c r="AR204" s="278"/>
      <c r="AS204" s="278"/>
      <c r="AT204" s="272">
        <f t="shared" si="141"/>
        <v>24</v>
      </c>
      <c r="AU204" s="274">
        <f t="shared" si="142"/>
        <v>1</v>
      </c>
      <c r="AV204" s="275">
        <f t="shared" si="143"/>
        <v>1</v>
      </c>
      <c r="AW204" s="278"/>
      <c r="AX204" s="272">
        <f t="shared" si="144"/>
        <v>0</v>
      </c>
      <c r="AY204" s="272">
        <f>IFERROR(INDEX('Horo. M'!$O$3:O$367,MATCH(A204,'Horo. M'!$A$3:$A$367,0)),"")</f>
        <v>24</v>
      </c>
      <c r="AZ204" s="278"/>
      <c r="BA204" s="278"/>
      <c r="BB204" s="272">
        <f t="shared" si="145"/>
        <v>24</v>
      </c>
      <c r="BC204" s="274">
        <f t="shared" si="146"/>
        <v>1</v>
      </c>
      <c r="BD204" s="275">
        <f t="shared" si="147"/>
        <v>1</v>
      </c>
      <c r="BE204" s="278"/>
      <c r="BF204" s="272">
        <f t="shared" si="148"/>
        <v>2</v>
      </c>
      <c r="BG204" s="272">
        <f>IFERROR(INDEX('Horo. M'!$Q$3:Q$367,MATCH(A204,'Horo. M'!$A$3:$A$367,0)),"")</f>
        <v>22</v>
      </c>
      <c r="BH204" s="278"/>
      <c r="BI204" s="278"/>
      <c r="BJ204" s="272">
        <f t="shared" si="149"/>
        <v>24</v>
      </c>
      <c r="BK204" s="274">
        <f t="shared" si="150"/>
        <v>0.91666666666666663</v>
      </c>
      <c r="BL204" s="275">
        <f t="shared" si="151"/>
        <v>1</v>
      </c>
      <c r="BM204" s="278"/>
      <c r="BN204" s="272">
        <f t="shared" si="152"/>
        <v>0</v>
      </c>
      <c r="BO204" s="272">
        <f>IFERROR(INDEX('Horo. M'!$S$3:S$367,MATCH(A204,'Horo. M'!$A$3:$A$367,0)),"")</f>
        <v>24</v>
      </c>
      <c r="BP204" s="278"/>
      <c r="BQ204" s="278"/>
      <c r="BR204" s="272">
        <f t="shared" si="153"/>
        <v>24</v>
      </c>
      <c r="BS204" s="274">
        <f t="shared" si="154"/>
        <v>1</v>
      </c>
      <c r="BT204" s="275">
        <f t="shared" si="155"/>
        <v>1</v>
      </c>
      <c r="BU204" s="278"/>
      <c r="BV204" s="272">
        <f t="shared" si="156"/>
        <v>24</v>
      </c>
      <c r="BW204" s="272">
        <f>IFERROR(INDEX('Horo. M'!$U$3:U$367,MATCH(A204,'Horo. M'!$A$3:$A$367,0)),"")</f>
        <v>0</v>
      </c>
      <c r="BX204" s="278"/>
      <c r="BY204" s="278"/>
      <c r="BZ204" s="272">
        <f t="shared" si="157"/>
        <v>24</v>
      </c>
      <c r="CA204" s="274">
        <f t="shared" si="158"/>
        <v>0</v>
      </c>
      <c r="CB204" s="275">
        <f t="shared" si="159"/>
        <v>1</v>
      </c>
      <c r="CC204" s="280"/>
    </row>
    <row r="205" spans="1:81">
      <c r="A205" s="279">
        <v>45130</v>
      </c>
      <c r="B205" s="278">
        <f t="shared" si="120"/>
        <v>0</v>
      </c>
      <c r="C205" s="272">
        <f>IFERROR(INDEX('Horo. M'!$C$3:$C$367,MATCH(A205,'Horo. M'!$A$3:$A$367,0)),"")</f>
        <v>24</v>
      </c>
      <c r="D205" s="278"/>
      <c r="E205" s="278"/>
      <c r="F205" s="272">
        <f t="shared" si="121"/>
        <v>24</v>
      </c>
      <c r="G205" s="274">
        <f t="shared" si="122"/>
        <v>1</v>
      </c>
      <c r="H205" s="275">
        <f t="shared" si="123"/>
        <v>1</v>
      </c>
      <c r="I205" s="277"/>
      <c r="J205" s="278">
        <f t="shared" si="124"/>
        <v>0</v>
      </c>
      <c r="K205" s="272">
        <f>IFERROR(INDEX('Horo. M'!$E$3:$E$367,MATCH(A205,'Horo. M'!$A$3:$A$367,0)),"")</f>
        <v>24</v>
      </c>
      <c r="L205" s="273"/>
      <c r="M205" s="273"/>
      <c r="N205" s="272">
        <f t="shared" si="125"/>
        <v>24</v>
      </c>
      <c r="O205" s="274">
        <f t="shared" si="126"/>
        <v>1</v>
      </c>
      <c r="P205" s="275">
        <f t="shared" si="127"/>
        <v>1</v>
      </c>
      <c r="Q205" s="276"/>
      <c r="R205" s="278">
        <f t="shared" si="128"/>
        <v>24</v>
      </c>
      <c r="S205" s="272">
        <f>IFERROR(INDEX('Horo. M'!G$3:$G$367,MATCH(A205,'Horo. M'!$A$3:$A$367,0)),"")</f>
        <v>0</v>
      </c>
      <c r="T205" s="278"/>
      <c r="U205" s="278"/>
      <c r="V205" s="272">
        <f t="shared" si="129"/>
        <v>24</v>
      </c>
      <c r="W205" s="274">
        <f t="shared" si="130"/>
        <v>0</v>
      </c>
      <c r="X205" s="275">
        <f t="shared" si="131"/>
        <v>1</v>
      </c>
      <c r="Y205" s="278"/>
      <c r="Z205" s="278">
        <f t="shared" si="132"/>
        <v>1</v>
      </c>
      <c r="AA205" s="272">
        <f>IFERROR(INDEX('Horo. M'!$I$3:I$367,MATCH(A205,'Horo. M'!$A$3:$A$367,0)),"")</f>
        <v>23</v>
      </c>
      <c r="AB205" s="273"/>
      <c r="AC205" s="273"/>
      <c r="AD205" s="272">
        <f t="shared" si="133"/>
        <v>24</v>
      </c>
      <c r="AE205" s="274">
        <f t="shared" si="134"/>
        <v>0.95833333333333337</v>
      </c>
      <c r="AF205" s="275">
        <f t="shared" si="135"/>
        <v>1</v>
      </c>
      <c r="AG205" s="278"/>
      <c r="AH205" s="272">
        <f t="shared" si="136"/>
        <v>0</v>
      </c>
      <c r="AI205" s="272">
        <f>IFERROR(INDEX('Horo. M'!$K$3:K$367,MATCH(A205,'Horo. M'!$A$3:$A$367,0)),"")</f>
        <v>24</v>
      </c>
      <c r="AJ205" s="278"/>
      <c r="AK205" s="278"/>
      <c r="AL205" s="272">
        <f t="shared" si="137"/>
        <v>24</v>
      </c>
      <c r="AM205" s="274">
        <f t="shared" si="138"/>
        <v>1</v>
      </c>
      <c r="AN205" s="275">
        <f t="shared" si="139"/>
        <v>1</v>
      </c>
      <c r="AO205" s="278"/>
      <c r="AP205" s="272">
        <f t="shared" si="140"/>
        <v>0</v>
      </c>
      <c r="AQ205" s="272">
        <f>IFERROR(INDEX('Horo. M'!$M$3:M$367,MATCH(A205,'Horo. M'!$A$3:$A$367,0)),"")</f>
        <v>24</v>
      </c>
      <c r="AR205" s="278"/>
      <c r="AS205" s="278"/>
      <c r="AT205" s="272">
        <f t="shared" si="141"/>
        <v>24</v>
      </c>
      <c r="AU205" s="274">
        <f t="shared" si="142"/>
        <v>1</v>
      </c>
      <c r="AV205" s="275">
        <f t="shared" si="143"/>
        <v>1</v>
      </c>
      <c r="AW205" s="278"/>
      <c r="AX205" s="272">
        <f t="shared" si="144"/>
        <v>0</v>
      </c>
      <c r="AY205" s="272">
        <f>IFERROR(INDEX('Horo. M'!$O$3:O$367,MATCH(A205,'Horo. M'!$A$3:$A$367,0)),"")</f>
        <v>24</v>
      </c>
      <c r="AZ205" s="278"/>
      <c r="BA205" s="278"/>
      <c r="BB205" s="272">
        <f t="shared" si="145"/>
        <v>24</v>
      </c>
      <c r="BC205" s="274">
        <f t="shared" si="146"/>
        <v>1</v>
      </c>
      <c r="BD205" s="275">
        <f t="shared" si="147"/>
        <v>1</v>
      </c>
      <c r="BE205" s="278"/>
      <c r="BF205" s="272">
        <f t="shared" si="148"/>
        <v>0</v>
      </c>
      <c r="BG205" s="272">
        <f>IFERROR(INDEX('Horo. M'!$Q$3:Q$367,MATCH(A205,'Horo. M'!$A$3:$A$367,0)),"")</f>
        <v>24</v>
      </c>
      <c r="BH205" s="278"/>
      <c r="BI205" s="278"/>
      <c r="BJ205" s="272">
        <f t="shared" si="149"/>
        <v>24</v>
      </c>
      <c r="BK205" s="274">
        <f t="shared" si="150"/>
        <v>1</v>
      </c>
      <c r="BL205" s="275">
        <f t="shared" si="151"/>
        <v>1</v>
      </c>
      <c r="BM205" s="278"/>
      <c r="BN205" s="272">
        <f t="shared" si="152"/>
        <v>0</v>
      </c>
      <c r="BO205" s="272">
        <f>IFERROR(INDEX('Horo. M'!$S$3:S$367,MATCH(A205,'Horo. M'!$A$3:$A$367,0)),"")</f>
        <v>24</v>
      </c>
      <c r="BP205" s="278"/>
      <c r="BQ205" s="278"/>
      <c r="BR205" s="272">
        <f t="shared" si="153"/>
        <v>24</v>
      </c>
      <c r="BS205" s="274">
        <f t="shared" si="154"/>
        <v>1</v>
      </c>
      <c r="BT205" s="275">
        <f t="shared" si="155"/>
        <v>1</v>
      </c>
      <c r="BU205" s="278"/>
      <c r="BV205" s="272">
        <f t="shared" si="156"/>
        <v>24</v>
      </c>
      <c r="BW205" s="272">
        <f>IFERROR(INDEX('Horo. M'!$U$3:U$367,MATCH(A205,'Horo. M'!$A$3:$A$367,0)),"")</f>
        <v>0</v>
      </c>
      <c r="BX205" s="278"/>
      <c r="BY205" s="278"/>
      <c r="BZ205" s="272">
        <f t="shared" si="157"/>
        <v>24</v>
      </c>
      <c r="CA205" s="274">
        <f t="shared" si="158"/>
        <v>0</v>
      </c>
      <c r="CB205" s="275">
        <f t="shared" si="159"/>
        <v>1</v>
      </c>
      <c r="CC205" s="280"/>
    </row>
    <row r="206" spans="1:81">
      <c r="A206" s="279">
        <v>45131</v>
      </c>
      <c r="B206" s="278">
        <f t="shared" si="120"/>
        <v>0</v>
      </c>
      <c r="C206" s="272">
        <f>IFERROR(INDEX('Horo. M'!$C$3:$C$367,MATCH(A206,'Horo. M'!$A$3:$A$367,0)),"")</f>
        <v>24</v>
      </c>
      <c r="D206" s="278"/>
      <c r="E206" s="278"/>
      <c r="F206" s="272">
        <f t="shared" si="121"/>
        <v>24</v>
      </c>
      <c r="G206" s="274">
        <f t="shared" si="122"/>
        <v>1</v>
      </c>
      <c r="H206" s="275">
        <f t="shared" si="123"/>
        <v>1</v>
      </c>
      <c r="I206" s="277"/>
      <c r="J206" s="278">
        <f t="shared" si="124"/>
        <v>0</v>
      </c>
      <c r="K206" s="272">
        <f>IFERROR(INDEX('Horo. M'!$E$3:$E$367,MATCH(A206,'Horo. M'!$A$3:$A$367,0)),"")</f>
        <v>24</v>
      </c>
      <c r="L206" s="273"/>
      <c r="M206" s="273"/>
      <c r="N206" s="272">
        <f t="shared" si="125"/>
        <v>24</v>
      </c>
      <c r="O206" s="274">
        <f t="shared" si="126"/>
        <v>1</v>
      </c>
      <c r="P206" s="275">
        <f t="shared" si="127"/>
        <v>1</v>
      </c>
      <c r="Q206" s="276"/>
      <c r="R206" s="278">
        <f t="shared" si="128"/>
        <v>24</v>
      </c>
      <c r="S206" s="272">
        <f>IFERROR(INDEX('Horo. M'!G$3:$G$367,MATCH(A206,'Horo. M'!$A$3:$A$367,0)),"")</f>
        <v>0</v>
      </c>
      <c r="T206" s="278"/>
      <c r="U206" s="278"/>
      <c r="V206" s="272">
        <f t="shared" si="129"/>
        <v>24</v>
      </c>
      <c r="W206" s="274">
        <f t="shared" si="130"/>
        <v>0</v>
      </c>
      <c r="X206" s="275">
        <f t="shared" si="131"/>
        <v>1</v>
      </c>
      <c r="Y206" s="278"/>
      <c r="Z206" s="278">
        <f t="shared" si="132"/>
        <v>0</v>
      </c>
      <c r="AA206" s="272">
        <f>IFERROR(INDEX('Horo. M'!$I$3:I$367,MATCH(A206,'Horo. M'!$A$3:$A$367,0)),"")</f>
        <v>24</v>
      </c>
      <c r="AB206" s="273"/>
      <c r="AC206" s="273"/>
      <c r="AD206" s="272">
        <f t="shared" si="133"/>
        <v>24</v>
      </c>
      <c r="AE206" s="274">
        <f t="shared" si="134"/>
        <v>1</v>
      </c>
      <c r="AF206" s="275">
        <f t="shared" si="135"/>
        <v>1</v>
      </c>
      <c r="AG206" s="278"/>
      <c r="AH206" s="272">
        <f t="shared" si="136"/>
        <v>0</v>
      </c>
      <c r="AI206" s="272">
        <f>IFERROR(INDEX('Horo. M'!$K$3:K$367,MATCH(A206,'Horo. M'!$A$3:$A$367,0)),"")</f>
        <v>24</v>
      </c>
      <c r="AJ206" s="278"/>
      <c r="AK206" s="278"/>
      <c r="AL206" s="272">
        <f t="shared" si="137"/>
        <v>24</v>
      </c>
      <c r="AM206" s="274">
        <f t="shared" si="138"/>
        <v>1</v>
      </c>
      <c r="AN206" s="275">
        <f t="shared" si="139"/>
        <v>1</v>
      </c>
      <c r="AO206" s="278"/>
      <c r="AP206" s="272">
        <f t="shared" si="140"/>
        <v>1</v>
      </c>
      <c r="AQ206" s="272">
        <f>IFERROR(INDEX('Horo. M'!$M$3:M$367,MATCH(A206,'Horo. M'!$A$3:$A$367,0)),"")</f>
        <v>23</v>
      </c>
      <c r="AR206" s="278"/>
      <c r="AS206" s="278"/>
      <c r="AT206" s="272">
        <f t="shared" si="141"/>
        <v>24</v>
      </c>
      <c r="AU206" s="274">
        <f t="shared" si="142"/>
        <v>0.95833333333333337</v>
      </c>
      <c r="AV206" s="275">
        <f t="shared" si="143"/>
        <v>1</v>
      </c>
      <c r="AW206" s="278"/>
      <c r="AX206" s="272">
        <f t="shared" si="144"/>
        <v>0</v>
      </c>
      <c r="AY206" s="272">
        <f>IFERROR(INDEX('Horo. M'!$O$3:O$367,MATCH(A206,'Horo. M'!$A$3:$A$367,0)),"")</f>
        <v>24</v>
      </c>
      <c r="AZ206" s="278"/>
      <c r="BA206" s="278"/>
      <c r="BB206" s="272">
        <f t="shared" si="145"/>
        <v>24</v>
      </c>
      <c r="BC206" s="274">
        <f t="shared" si="146"/>
        <v>1</v>
      </c>
      <c r="BD206" s="275">
        <f t="shared" si="147"/>
        <v>1</v>
      </c>
      <c r="BE206" s="278"/>
      <c r="BF206" s="272">
        <f t="shared" si="148"/>
        <v>0</v>
      </c>
      <c r="BG206" s="272">
        <f>IFERROR(INDEX('Horo. M'!$Q$3:Q$367,MATCH(A206,'Horo. M'!$A$3:$A$367,0)),"")</f>
        <v>24</v>
      </c>
      <c r="BH206" s="278"/>
      <c r="BI206" s="278"/>
      <c r="BJ206" s="272">
        <f t="shared" si="149"/>
        <v>24</v>
      </c>
      <c r="BK206" s="274">
        <f t="shared" si="150"/>
        <v>1</v>
      </c>
      <c r="BL206" s="275">
        <f t="shared" si="151"/>
        <v>1</v>
      </c>
      <c r="BM206" s="278"/>
      <c r="BN206" s="272">
        <f t="shared" si="152"/>
        <v>0</v>
      </c>
      <c r="BO206" s="272">
        <f>IFERROR(INDEX('Horo. M'!$S$3:S$367,MATCH(A206,'Horo. M'!$A$3:$A$367,0)),"")</f>
        <v>24</v>
      </c>
      <c r="BP206" s="278"/>
      <c r="BQ206" s="278"/>
      <c r="BR206" s="272">
        <f t="shared" si="153"/>
        <v>24</v>
      </c>
      <c r="BS206" s="274">
        <f t="shared" si="154"/>
        <v>1</v>
      </c>
      <c r="BT206" s="275">
        <f t="shared" si="155"/>
        <v>1</v>
      </c>
      <c r="BU206" s="278"/>
      <c r="BV206" s="272">
        <f t="shared" si="156"/>
        <v>24</v>
      </c>
      <c r="BW206" s="272">
        <f>IFERROR(INDEX('Horo. M'!$U$3:U$367,MATCH(A206,'Horo. M'!$A$3:$A$367,0)),"")</f>
        <v>0</v>
      </c>
      <c r="BX206" s="278"/>
      <c r="BY206" s="278"/>
      <c r="BZ206" s="272">
        <f t="shared" si="157"/>
        <v>24</v>
      </c>
      <c r="CA206" s="274">
        <f t="shared" si="158"/>
        <v>0</v>
      </c>
      <c r="CB206" s="275">
        <f t="shared" si="159"/>
        <v>1</v>
      </c>
      <c r="CC206" s="280"/>
    </row>
    <row r="207" spans="1:81">
      <c r="A207" s="279">
        <v>45132</v>
      </c>
      <c r="B207" s="278">
        <f t="shared" si="120"/>
        <v>0</v>
      </c>
      <c r="C207" s="272">
        <f>IFERROR(INDEX('Horo. M'!$C$3:$C$367,MATCH(A207,'Horo. M'!$A$3:$A$367,0)),"")</f>
        <v>24</v>
      </c>
      <c r="D207" s="278"/>
      <c r="E207" s="278"/>
      <c r="F207" s="272">
        <f t="shared" si="121"/>
        <v>24</v>
      </c>
      <c r="G207" s="274">
        <f t="shared" si="122"/>
        <v>1</v>
      </c>
      <c r="H207" s="275">
        <f t="shared" si="123"/>
        <v>1</v>
      </c>
      <c r="I207" s="277"/>
      <c r="J207" s="278">
        <f t="shared" si="124"/>
        <v>0</v>
      </c>
      <c r="K207" s="272">
        <f>IFERROR(INDEX('Horo. M'!$E$3:$E$367,MATCH(A207,'Horo. M'!$A$3:$A$367,0)),"")</f>
        <v>24</v>
      </c>
      <c r="L207" s="273"/>
      <c r="M207" s="273"/>
      <c r="N207" s="272">
        <f t="shared" si="125"/>
        <v>24</v>
      </c>
      <c r="O207" s="274">
        <f t="shared" si="126"/>
        <v>1</v>
      </c>
      <c r="P207" s="275">
        <f t="shared" si="127"/>
        <v>1</v>
      </c>
      <c r="Q207" s="276"/>
      <c r="R207" s="278">
        <f t="shared" si="128"/>
        <v>24</v>
      </c>
      <c r="S207" s="272">
        <f>IFERROR(INDEX('Horo. M'!G$3:$G$367,MATCH(A207,'Horo. M'!$A$3:$A$367,0)),"")</f>
        <v>0</v>
      </c>
      <c r="T207" s="278"/>
      <c r="U207" s="278"/>
      <c r="V207" s="272">
        <f t="shared" si="129"/>
        <v>24</v>
      </c>
      <c r="W207" s="274">
        <f t="shared" si="130"/>
        <v>0</v>
      </c>
      <c r="X207" s="275">
        <f t="shared" si="131"/>
        <v>1</v>
      </c>
      <c r="Y207" s="278"/>
      <c r="Z207" s="278">
        <f t="shared" si="132"/>
        <v>0</v>
      </c>
      <c r="AA207" s="272">
        <f>IFERROR(INDEX('Horo. M'!$I$3:I$367,MATCH(A207,'Horo. M'!$A$3:$A$367,0)),"")</f>
        <v>24</v>
      </c>
      <c r="AB207" s="273"/>
      <c r="AC207" s="273"/>
      <c r="AD207" s="272">
        <f t="shared" si="133"/>
        <v>24</v>
      </c>
      <c r="AE207" s="274">
        <f t="shared" si="134"/>
        <v>1</v>
      </c>
      <c r="AF207" s="275">
        <f t="shared" si="135"/>
        <v>1</v>
      </c>
      <c r="AG207" s="278"/>
      <c r="AH207" s="272">
        <f t="shared" si="136"/>
        <v>0</v>
      </c>
      <c r="AI207" s="272">
        <f>IFERROR(INDEX('Horo. M'!$K$3:K$367,MATCH(A207,'Horo. M'!$A$3:$A$367,0)),"")</f>
        <v>24</v>
      </c>
      <c r="AJ207" s="278"/>
      <c r="AK207" s="278"/>
      <c r="AL207" s="272">
        <f t="shared" si="137"/>
        <v>24</v>
      </c>
      <c r="AM207" s="274">
        <f t="shared" si="138"/>
        <v>1</v>
      </c>
      <c r="AN207" s="275">
        <f t="shared" si="139"/>
        <v>1</v>
      </c>
      <c r="AO207" s="278"/>
      <c r="AP207" s="272">
        <f t="shared" si="140"/>
        <v>0</v>
      </c>
      <c r="AQ207" s="272">
        <f>IFERROR(INDEX('Horo. M'!$M$3:M$367,MATCH(A207,'Horo. M'!$A$3:$A$367,0)),"")</f>
        <v>24</v>
      </c>
      <c r="AR207" s="278"/>
      <c r="AS207" s="278"/>
      <c r="AT207" s="272">
        <f t="shared" si="141"/>
        <v>24</v>
      </c>
      <c r="AU207" s="274">
        <f t="shared" si="142"/>
        <v>1</v>
      </c>
      <c r="AV207" s="275">
        <f t="shared" si="143"/>
        <v>1</v>
      </c>
      <c r="AW207" s="278"/>
      <c r="AX207" s="272">
        <f t="shared" si="144"/>
        <v>0</v>
      </c>
      <c r="AY207" s="272">
        <f>IFERROR(INDEX('Horo. M'!$O$3:O$367,MATCH(A207,'Horo. M'!$A$3:$A$367,0)),"")</f>
        <v>24</v>
      </c>
      <c r="AZ207" s="278"/>
      <c r="BA207" s="278"/>
      <c r="BB207" s="272">
        <f t="shared" si="145"/>
        <v>24</v>
      </c>
      <c r="BC207" s="274">
        <f t="shared" si="146"/>
        <v>1</v>
      </c>
      <c r="BD207" s="275">
        <f t="shared" si="147"/>
        <v>1</v>
      </c>
      <c r="BE207" s="278"/>
      <c r="BF207" s="272">
        <f t="shared" si="148"/>
        <v>0</v>
      </c>
      <c r="BG207" s="272">
        <f>IFERROR(INDEX('Horo. M'!$Q$3:Q$367,MATCH(A207,'Horo. M'!$A$3:$A$367,0)),"")</f>
        <v>24</v>
      </c>
      <c r="BH207" s="278"/>
      <c r="BI207" s="278"/>
      <c r="BJ207" s="272">
        <f t="shared" si="149"/>
        <v>24</v>
      </c>
      <c r="BK207" s="274">
        <f t="shared" si="150"/>
        <v>1</v>
      </c>
      <c r="BL207" s="275">
        <f t="shared" si="151"/>
        <v>1</v>
      </c>
      <c r="BM207" s="278"/>
      <c r="BN207" s="272">
        <f t="shared" si="152"/>
        <v>0</v>
      </c>
      <c r="BO207" s="272">
        <f>IFERROR(INDEX('Horo. M'!$S$3:S$367,MATCH(A207,'Horo. M'!$A$3:$A$367,0)),"")</f>
        <v>24</v>
      </c>
      <c r="BP207" s="278"/>
      <c r="BQ207" s="278"/>
      <c r="BR207" s="272">
        <f t="shared" si="153"/>
        <v>24</v>
      </c>
      <c r="BS207" s="274">
        <f t="shared" si="154"/>
        <v>1</v>
      </c>
      <c r="BT207" s="275">
        <f t="shared" si="155"/>
        <v>1</v>
      </c>
      <c r="BU207" s="278"/>
      <c r="BV207" s="272">
        <f t="shared" si="156"/>
        <v>24</v>
      </c>
      <c r="BW207" s="272">
        <f>IFERROR(INDEX('Horo. M'!$U$3:U$367,MATCH(A207,'Horo. M'!$A$3:$A$367,0)),"")</f>
        <v>0</v>
      </c>
      <c r="BX207" s="278"/>
      <c r="BY207" s="278"/>
      <c r="BZ207" s="272">
        <f t="shared" si="157"/>
        <v>24</v>
      </c>
      <c r="CA207" s="274">
        <f t="shared" si="158"/>
        <v>0</v>
      </c>
      <c r="CB207" s="275">
        <f t="shared" si="159"/>
        <v>1</v>
      </c>
      <c r="CC207" s="280"/>
    </row>
    <row r="208" spans="1:81">
      <c r="A208" s="279">
        <v>45133</v>
      </c>
      <c r="B208" s="278">
        <f t="shared" si="120"/>
        <v>22</v>
      </c>
      <c r="C208" s="272">
        <f>IFERROR(INDEX('Horo. M'!$C$3:$C$367,MATCH(A208,'Horo. M'!$A$3:$A$367,0)),"")</f>
        <v>2</v>
      </c>
      <c r="D208" s="278"/>
      <c r="E208" s="278"/>
      <c r="F208" s="272">
        <f t="shared" si="121"/>
        <v>24</v>
      </c>
      <c r="G208" s="274">
        <f t="shared" si="122"/>
        <v>8.3333333333333329E-2</v>
      </c>
      <c r="H208" s="275">
        <f t="shared" si="123"/>
        <v>1</v>
      </c>
      <c r="I208" s="277"/>
      <c r="J208" s="278">
        <f t="shared" si="124"/>
        <v>0</v>
      </c>
      <c r="K208" s="272">
        <f>IFERROR(INDEX('Horo. M'!$E$3:$E$367,MATCH(A208,'Horo. M'!$A$3:$A$367,0)),"")</f>
        <v>24</v>
      </c>
      <c r="L208" s="273"/>
      <c r="M208" s="273"/>
      <c r="N208" s="272">
        <f t="shared" si="125"/>
        <v>24</v>
      </c>
      <c r="O208" s="274">
        <f t="shared" si="126"/>
        <v>1</v>
      </c>
      <c r="P208" s="275">
        <f t="shared" si="127"/>
        <v>1</v>
      </c>
      <c r="Q208" s="276"/>
      <c r="R208" s="278">
        <f t="shared" si="128"/>
        <v>24</v>
      </c>
      <c r="S208" s="272">
        <f>IFERROR(INDEX('Horo. M'!G$3:$G$367,MATCH(A208,'Horo. M'!$A$3:$A$367,0)),"")</f>
        <v>0</v>
      </c>
      <c r="T208" s="278"/>
      <c r="U208" s="278"/>
      <c r="V208" s="272">
        <f t="shared" si="129"/>
        <v>24</v>
      </c>
      <c r="W208" s="274">
        <f t="shared" si="130"/>
        <v>0</v>
      </c>
      <c r="X208" s="275">
        <f t="shared" si="131"/>
        <v>1</v>
      </c>
      <c r="Y208" s="278"/>
      <c r="Z208" s="278">
        <f t="shared" si="132"/>
        <v>1</v>
      </c>
      <c r="AA208" s="272">
        <f>IFERROR(INDEX('Horo. M'!$I$3:I$367,MATCH(A208,'Horo. M'!$A$3:$A$367,0)),"")</f>
        <v>23</v>
      </c>
      <c r="AB208" s="273"/>
      <c r="AC208" s="273"/>
      <c r="AD208" s="272">
        <f t="shared" si="133"/>
        <v>24</v>
      </c>
      <c r="AE208" s="274">
        <f t="shared" si="134"/>
        <v>0.95833333333333337</v>
      </c>
      <c r="AF208" s="275">
        <f t="shared" si="135"/>
        <v>1</v>
      </c>
      <c r="AG208" s="278"/>
      <c r="AH208" s="272">
        <f t="shared" si="136"/>
        <v>1</v>
      </c>
      <c r="AI208" s="272">
        <f>IFERROR(INDEX('Horo. M'!$K$3:K$367,MATCH(A208,'Horo. M'!$A$3:$A$367,0)),"")</f>
        <v>23</v>
      </c>
      <c r="AJ208" s="278"/>
      <c r="AK208" s="278"/>
      <c r="AL208" s="272">
        <f t="shared" si="137"/>
        <v>24</v>
      </c>
      <c r="AM208" s="274">
        <f t="shared" si="138"/>
        <v>0.95833333333333337</v>
      </c>
      <c r="AN208" s="275">
        <f t="shared" si="139"/>
        <v>1</v>
      </c>
      <c r="AO208" s="278"/>
      <c r="AP208" s="272">
        <f t="shared" si="140"/>
        <v>0</v>
      </c>
      <c r="AQ208" s="272">
        <f>IFERROR(INDEX('Horo. M'!$M$3:M$367,MATCH(A208,'Horo. M'!$A$3:$A$367,0)),"")</f>
        <v>24</v>
      </c>
      <c r="AR208" s="278"/>
      <c r="AS208" s="278"/>
      <c r="AT208" s="272">
        <f t="shared" si="141"/>
        <v>24</v>
      </c>
      <c r="AU208" s="274">
        <f t="shared" si="142"/>
        <v>1</v>
      </c>
      <c r="AV208" s="275">
        <f t="shared" si="143"/>
        <v>1</v>
      </c>
      <c r="AW208" s="278"/>
      <c r="AX208" s="272">
        <f t="shared" si="144"/>
        <v>0</v>
      </c>
      <c r="AY208" s="272">
        <f>IFERROR(INDEX('Horo. M'!$O$3:O$367,MATCH(A208,'Horo. M'!$A$3:$A$367,0)),"")</f>
        <v>24</v>
      </c>
      <c r="AZ208" s="278"/>
      <c r="BA208" s="278"/>
      <c r="BB208" s="272">
        <f t="shared" si="145"/>
        <v>24</v>
      </c>
      <c r="BC208" s="274">
        <f t="shared" si="146"/>
        <v>1</v>
      </c>
      <c r="BD208" s="275">
        <f t="shared" si="147"/>
        <v>1</v>
      </c>
      <c r="BE208" s="278"/>
      <c r="BF208" s="272">
        <f t="shared" si="148"/>
        <v>0</v>
      </c>
      <c r="BG208" s="272">
        <f>IFERROR(INDEX('Horo. M'!$Q$3:Q$367,MATCH(A208,'Horo. M'!$A$3:$A$367,0)),"")</f>
        <v>24</v>
      </c>
      <c r="BH208" s="278"/>
      <c r="BI208" s="278"/>
      <c r="BJ208" s="272">
        <f t="shared" si="149"/>
        <v>24</v>
      </c>
      <c r="BK208" s="274">
        <f t="shared" si="150"/>
        <v>1</v>
      </c>
      <c r="BL208" s="275">
        <f t="shared" si="151"/>
        <v>1</v>
      </c>
      <c r="BM208" s="278"/>
      <c r="BN208" s="272">
        <f t="shared" si="152"/>
        <v>5</v>
      </c>
      <c r="BO208" s="272">
        <f>IFERROR(INDEX('Horo. M'!$S$3:S$367,MATCH(A208,'Horo. M'!$A$3:$A$367,0)),"")</f>
        <v>19</v>
      </c>
      <c r="BP208" s="278"/>
      <c r="BQ208" s="278"/>
      <c r="BR208" s="272">
        <f t="shared" si="153"/>
        <v>24</v>
      </c>
      <c r="BS208" s="274">
        <f t="shared" si="154"/>
        <v>0.79166666666666663</v>
      </c>
      <c r="BT208" s="275">
        <f t="shared" si="155"/>
        <v>1</v>
      </c>
      <c r="BU208" s="278"/>
      <c r="BV208" s="272">
        <f t="shared" si="156"/>
        <v>24</v>
      </c>
      <c r="BW208" s="272">
        <f>IFERROR(INDEX('Horo. M'!$U$3:U$367,MATCH(A208,'Horo. M'!$A$3:$A$367,0)),"")</f>
        <v>0</v>
      </c>
      <c r="BX208" s="278"/>
      <c r="BY208" s="278"/>
      <c r="BZ208" s="272">
        <f t="shared" si="157"/>
        <v>24</v>
      </c>
      <c r="CA208" s="274">
        <f t="shared" si="158"/>
        <v>0</v>
      </c>
      <c r="CB208" s="275">
        <f t="shared" si="159"/>
        <v>1</v>
      </c>
      <c r="CC208" s="280"/>
    </row>
    <row r="209" spans="1:81">
      <c r="A209" s="279">
        <v>45134</v>
      </c>
      <c r="B209" s="278">
        <f t="shared" si="120"/>
        <v>0</v>
      </c>
      <c r="C209" s="272">
        <f>IFERROR(INDEX('Horo. M'!$C$3:$C$367,MATCH(A209,'Horo. M'!$A$3:$A$367,0)),"")</f>
        <v>24</v>
      </c>
      <c r="D209" s="278"/>
      <c r="E209" s="278"/>
      <c r="F209" s="272">
        <f t="shared" si="121"/>
        <v>24</v>
      </c>
      <c r="G209" s="274">
        <f t="shared" si="122"/>
        <v>1</v>
      </c>
      <c r="H209" s="275">
        <f t="shared" si="123"/>
        <v>1</v>
      </c>
      <c r="I209" s="277"/>
      <c r="J209" s="278">
        <f t="shared" si="124"/>
        <v>0</v>
      </c>
      <c r="K209" s="272">
        <f>IFERROR(INDEX('Horo. M'!$E$3:$E$367,MATCH(A209,'Horo. M'!$A$3:$A$367,0)),"")</f>
        <v>24</v>
      </c>
      <c r="L209" s="273"/>
      <c r="M209" s="273"/>
      <c r="N209" s="272">
        <f t="shared" si="125"/>
        <v>24</v>
      </c>
      <c r="O209" s="274">
        <f t="shared" si="126"/>
        <v>1</v>
      </c>
      <c r="P209" s="275">
        <f t="shared" si="127"/>
        <v>1</v>
      </c>
      <c r="Q209" s="276"/>
      <c r="R209" s="278">
        <f t="shared" si="128"/>
        <v>24</v>
      </c>
      <c r="S209" s="272">
        <f>IFERROR(INDEX('Horo. M'!G$3:$G$367,MATCH(A209,'Horo. M'!$A$3:$A$367,0)),"")</f>
        <v>0</v>
      </c>
      <c r="T209" s="278"/>
      <c r="U209" s="278"/>
      <c r="V209" s="272">
        <f t="shared" si="129"/>
        <v>24</v>
      </c>
      <c r="W209" s="274">
        <f t="shared" si="130"/>
        <v>0</v>
      </c>
      <c r="X209" s="275">
        <f t="shared" si="131"/>
        <v>1</v>
      </c>
      <c r="Y209" s="278"/>
      <c r="Z209" s="278">
        <f t="shared" si="132"/>
        <v>2</v>
      </c>
      <c r="AA209" s="272">
        <f>IFERROR(INDEX('Horo. M'!$I$3:I$367,MATCH(A209,'Horo. M'!$A$3:$A$367,0)),"")</f>
        <v>22</v>
      </c>
      <c r="AB209" s="273"/>
      <c r="AC209" s="273"/>
      <c r="AD209" s="272">
        <f t="shared" si="133"/>
        <v>24</v>
      </c>
      <c r="AE209" s="274">
        <f t="shared" si="134"/>
        <v>0.91666666666666663</v>
      </c>
      <c r="AF209" s="275">
        <f t="shared" si="135"/>
        <v>1</v>
      </c>
      <c r="AG209" s="278"/>
      <c r="AH209" s="272">
        <f t="shared" si="136"/>
        <v>0</v>
      </c>
      <c r="AI209" s="272">
        <f>IFERROR(INDEX('Horo. M'!$K$3:K$367,MATCH(A209,'Horo. M'!$A$3:$A$367,0)),"")</f>
        <v>24</v>
      </c>
      <c r="AJ209" s="278"/>
      <c r="AK209" s="278"/>
      <c r="AL209" s="272">
        <f t="shared" si="137"/>
        <v>24</v>
      </c>
      <c r="AM209" s="274">
        <f t="shared" si="138"/>
        <v>1</v>
      </c>
      <c r="AN209" s="275">
        <f t="shared" si="139"/>
        <v>1</v>
      </c>
      <c r="AO209" s="278"/>
      <c r="AP209" s="272">
        <f t="shared" si="140"/>
        <v>0</v>
      </c>
      <c r="AQ209" s="272">
        <f>IFERROR(INDEX('Horo. M'!$M$3:M$367,MATCH(A209,'Horo. M'!$A$3:$A$367,0)),"")</f>
        <v>24</v>
      </c>
      <c r="AR209" s="278"/>
      <c r="AS209" s="278"/>
      <c r="AT209" s="272">
        <f t="shared" si="141"/>
        <v>24</v>
      </c>
      <c r="AU209" s="274">
        <f t="shared" si="142"/>
        <v>1</v>
      </c>
      <c r="AV209" s="275">
        <f t="shared" si="143"/>
        <v>1</v>
      </c>
      <c r="AW209" s="278"/>
      <c r="AX209" s="272">
        <f t="shared" si="144"/>
        <v>0</v>
      </c>
      <c r="AY209" s="272">
        <f>IFERROR(INDEX('Horo. M'!$O$3:O$367,MATCH(A209,'Horo. M'!$A$3:$A$367,0)),"")</f>
        <v>24</v>
      </c>
      <c r="AZ209" s="278"/>
      <c r="BA209" s="278"/>
      <c r="BB209" s="272">
        <f t="shared" si="145"/>
        <v>24</v>
      </c>
      <c r="BC209" s="274">
        <f t="shared" si="146"/>
        <v>1</v>
      </c>
      <c r="BD209" s="275">
        <f t="shared" si="147"/>
        <v>1</v>
      </c>
      <c r="BE209" s="278"/>
      <c r="BF209" s="272">
        <f t="shared" si="148"/>
        <v>0</v>
      </c>
      <c r="BG209" s="272">
        <f>IFERROR(INDEX('Horo. M'!$Q$3:Q$367,MATCH(A209,'Horo. M'!$A$3:$A$367,0)),"")</f>
        <v>24</v>
      </c>
      <c r="BH209" s="278"/>
      <c r="BI209" s="278"/>
      <c r="BJ209" s="272">
        <f t="shared" si="149"/>
        <v>24</v>
      </c>
      <c r="BK209" s="274">
        <f t="shared" si="150"/>
        <v>1</v>
      </c>
      <c r="BL209" s="275">
        <f t="shared" si="151"/>
        <v>1</v>
      </c>
      <c r="BM209" s="278"/>
      <c r="BN209" s="272">
        <f t="shared" si="152"/>
        <v>1</v>
      </c>
      <c r="BO209" s="272">
        <f>IFERROR(INDEX('Horo. M'!$S$3:S$367,MATCH(A209,'Horo. M'!$A$3:$A$367,0)),"")</f>
        <v>23</v>
      </c>
      <c r="BP209" s="278"/>
      <c r="BQ209" s="278"/>
      <c r="BR209" s="272">
        <f t="shared" si="153"/>
        <v>24</v>
      </c>
      <c r="BS209" s="274">
        <f t="shared" si="154"/>
        <v>0.95833333333333337</v>
      </c>
      <c r="BT209" s="275">
        <f t="shared" si="155"/>
        <v>1</v>
      </c>
      <c r="BU209" s="278"/>
      <c r="BV209" s="272">
        <f t="shared" si="156"/>
        <v>24</v>
      </c>
      <c r="BW209" s="272">
        <f>IFERROR(INDEX('Horo. M'!$U$3:U$367,MATCH(A209,'Horo. M'!$A$3:$A$367,0)),"")</f>
        <v>0</v>
      </c>
      <c r="BX209" s="278"/>
      <c r="BY209" s="278"/>
      <c r="BZ209" s="272">
        <f t="shared" si="157"/>
        <v>24</v>
      </c>
      <c r="CA209" s="274">
        <f t="shared" si="158"/>
        <v>0</v>
      </c>
      <c r="CB209" s="275">
        <f t="shared" si="159"/>
        <v>1</v>
      </c>
      <c r="CC209" s="280"/>
    </row>
    <row r="210" spans="1:81">
      <c r="A210" s="279">
        <v>45135</v>
      </c>
      <c r="B210" s="278">
        <f t="shared" si="120"/>
        <v>0</v>
      </c>
      <c r="C210" s="272">
        <f>IFERROR(INDEX('Horo. M'!$C$3:$C$367,MATCH(A210,'Horo. M'!$A$3:$A$367,0)),"")</f>
        <v>24</v>
      </c>
      <c r="D210" s="278"/>
      <c r="E210" s="278"/>
      <c r="F210" s="272">
        <f t="shared" si="121"/>
        <v>24</v>
      </c>
      <c r="G210" s="274">
        <f t="shared" si="122"/>
        <v>1</v>
      </c>
      <c r="H210" s="275">
        <f t="shared" si="123"/>
        <v>1</v>
      </c>
      <c r="I210" s="277"/>
      <c r="J210" s="278">
        <f t="shared" si="124"/>
        <v>0</v>
      </c>
      <c r="K210" s="272">
        <f>IFERROR(INDEX('Horo. M'!$E$3:$E$367,MATCH(A210,'Horo. M'!$A$3:$A$367,0)),"")</f>
        <v>24</v>
      </c>
      <c r="L210" s="273"/>
      <c r="M210" s="273"/>
      <c r="N210" s="272">
        <f t="shared" si="125"/>
        <v>24</v>
      </c>
      <c r="O210" s="274">
        <f t="shared" si="126"/>
        <v>1</v>
      </c>
      <c r="P210" s="275">
        <f t="shared" si="127"/>
        <v>1</v>
      </c>
      <c r="Q210" s="276"/>
      <c r="R210" s="278">
        <f t="shared" si="128"/>
        <v>24</v>
      </c>
      <c r="S210" s="272">
        <f>IFERROR(INDEX('Horo. M'!G$3:$G$367,MATCH(A210,'Horo. M'!$A$3:$A$367,0)),"")</f>
        <v>0</v>
      </c>
      <c r="T210" s="278"/>
      <c r="U210" s="278"/>
      <c r="V210" s="272">
        <f t="shared" si="129"/>
        <v>24</v>
      </c>
      <c r="W210" s="274">
        <f t="shared" si="130"/>
        <v>0</v>
      </c>
      <c r="X210" s="275">
        <f t="shared" si="131"/>
        <v>1</v>
      </c>
      <c r="Y210" s="278"/>
      <c r="Z210" s="278">
        <f t="shared" si="132"/>
        <v>0</v>
      </c>
      <c r="AA210" s="272">
        <f>IFERROR(INDEX('Horo. M'!$I$3:I$367,MATCH(A210,'Horo. M'!$A$3:$A$367,0)),"")</f>
        <v>24</v>
      </c>
      <c r="AB210" s="273"/>
      <c r="AC210" s="273"/>
      <c r="AD210" s="272">
        <f t="shared" si="133"/>
        <v>24</v>
      </c>
      <c r="AE210" s="274">
        <f t="shared" si="134"/>
        <v>1</v>
      </c>
      <c r="AF210" s="275">
        <f t="shared" si="135"/>
        <v>1</v>
      </c>
      <c r="AG210" s="278"/>
      <c r="AH210" s="272">
        <f t="shared" si="136"/>
        <v>0</v>
      </c>
      <c r="AI210" s="272">
        <f>IFERROR(INDEX('Horo. M'!$K$3:K$367,MATCH(A210,'Horo. M'!$A$3:$A$367,0)),"")</f>
        <v>24</v>
      </c>
      <c r="AJ210" s="278"/>
      <c r="AK210" s="278"/>
      <c r="AL210" s="272">
        <f t="shared" si="137"/>
        <v>24</v>
      </c>
      <c r="AM210" s="274">
        <f t="shared" si="138"/>
        <v>1</v>
      </c>
      <c r="AN210" s="275">
        <f t="shared" si="139"/>
        <v>1</v>
      </c>
      <c r="AO210" s="278"/>
      <c r="AP210" s="272">
        <f t="shared" si="140"/>
        <v>0</v>
      </c>
      <c r="AQ210" s="272">
        <f>IFERROR(INDEX('Horo. M'!$M$3:M$367,MATCH(A210,'Horo. M'!$A$3:$A$367,0)),"")</f>
        <v>24</v>
      </c>
      <c r="AR210" s="278"/>
      <c r="AS210" s="278"/>
      <c r="AT210" s="272">
        <f t="shared" si="141"/>
        <v>24</v>
      </c>
      <c r="AU210" s="274">
        <f t="shared" si="142"/>
        <v>1</v>
      </c>
      <c r="AV210" s="275">
        <f t="shared" si="143"/>
        <v>1</v>
      </c>
      <c r="AW210" s="278"/>
      <c r="AX210" s="272">
        <f t="shared" si="144"/>
        <v>0</v>
      </c>
      <c r="AY210" s="272">
        <f>IFERROR(INDEX('Horo. M'!$O$3:O$367,MATCH(A210,'Horo. M'!$A$3:$A$367,0)),"")</f>
        <v>24</v>
      </c>
      <c r="AZ210" s="278"/>
      <c r="BA210" s="278"/>
      <c r="BB210" s="272">
        <f t="shared" si="145"/>
        <v>24</v>
      </c>
      <c r="BC210" s="274">
        <f t="shared" si="146"/>
        <v>1</v>
      </c>
      <c r="BD210" s="275">
        <f t="shared" si="147"/>
        <v>1</v>
      </c>
      <c r="BE210" s="278"/>
      <c r="BF210" s="272">
        <f t="shared" si="148"/>
        <v>0</v>
      </c>
      <c r="BG210" s="272">
        <f>IFERROR(INDEX('Horo. M'!$Q$3:Q$367,MATCH(A210,'Horo. M'!$A$3:$A$367,0)),"")</f>
        <v>24</v>
      </c>
      <c r="BH210" s="278"/>
      <c r="BI210" s="278"/>
      <c r="BJ210" s="272">
        <f t="shared" si="149"/>
        <v>24</v>
      </c>
      <c r="BK210" s="274">
        <f t="shared" si="150"/>
        <v>1</v>
      </c>
      <c r="BL210" s="275">
        <f t="shared" si="151"/>
        <v>1</v>
      </c>
      <c r="BM210" s="278"/>
      <c r="BN210" s="272">
        <f t="shared" si="152"/>
        <v>0</v>
      </c>
      <c r="BO210" s="272">
        <f>IFERROR(INDEX('Horo. M'!$S$3:S$367,MATCH(A210,'Horo. M'!$A$3:$A$367,0)),"")</f>
        <v>24</v>
      </c>
      <c r="BP210" s="278"/>
      <c r="BQ210" s="278"/>
      <c r="BR210" s="272">
        <f t="shared" si="153"/>
        <v>24</v>
      </c>
      <c r="BS210" s="274">
        <f t="shared" si="154"/>
        <v>1</v>
      </c>
      <c r="BT210" s="275">
        <f t="shared" si="155"/>
        <v>1</v>
      </c>
      <c r="BU210" s="278"/>
      <c r="BV210" s="272">
        <f t="shared" si="156"/>
        <v>24</v>
      </c>
      <c r="BW210" s="272">
        <f>IFERROR(INDEX('Horo. M'!$U$3:U$367,MATCH(A210,'Horo. M'!$A$3:$A$367,0)),"")</f>
        <v>0</v>
      </c>
      <c r="BX210" s="278"/>
      <c r="BY210" s="278"/>
      <c r="BZ210" s="272">
        <f t="shared" si="157"/>
        <v>24</v>
      </c>
      <c r="CA210" s="274">
        <f t="shared" si="158"/>
        <v>0</v>
      </c>
      <c r="CB210" s="275">
        <f t="shared" si="159"/>
        <v>1</v>
      </c>
      <c r="CC210" s="280"/>
    </row>
    <row r="211" spans="1:81">
      <c r="A211" s="279">
        <v>45136</v>
      </c>
      <c r="B211" s="278">
        <f t="shared" si="120"/>
        <v>0</v>
      </c>
      <c r="C211" s="272">
        <f>IFERROR(INDEX('Horo. M'!$C$3:$C$367,MATCH(A211,'Horo. M'!$A$3:$A$367,0)),"")</f>
        <v>24</v>
      </c>
      <c r="D211" s="278"/>
      <c r="E211" s="278"/>
      <c r="F211" s="272">
        <f t="shared" si="121"/>
        <v>24</v>
      </c>
      <c r="G211" s="274">
        <f t="shared" si="122"/>
        <v>1</v>
      </c>
      <c r="H211" s="275">
        <f t="shared" si="123"/>
        <v>1</v>
      </c>
      <c r="I211" s="277"/>
      <c r="J211" s="278">
        <f t="shared" si="124"/>
        <v>0</v>
      </c>
      <c r="K211" s="272">
        <f>IFERROR(INDEX('Horo. M'!$E$3:$E$367,MATCH(A211,'Horo. M'!$A$3:$A$367,0)),"")</f>
        <v>24</v>
      </c>
      <c r="L211" s="273"/>
      <c r="M211" s="273"/>
      <c r="N211" s="272">
        <f t="shared" si="125"/>
        <v>24</v>
      </c>
      <c r="O211" s="274">
        <f t="shared" si="126"/>
        <v>1</v>
      </c>
      <c r="P211" s="275">
        <f t="shared" si="127"/>
        <v>1</v>
      </c>
      <c r="Q211" s="276"/>
      <c r="R211" s="278">
        <f t="shared" si="128"/>
        <v>24</v>
      </c>
      <c r="S211" s="272">
        <f>IFERROR(INDEX('Horo. M'!G$3:$G$367,MATCH(A211,'Horo. M'!$A$3:$A$367,0)),"")</f>
        <v>0</v>
      </c>
      <c r="T211" s="278"/>
      <c r="U211" s="278"/>
      <c r="V211" s="272">
        <f t="shared" si="129"/>
        <v>24</v>
      </c>
      <c r="W211" s="274">
        <f t="shared" si="130"/>
        <v>0</v>
      </c>
      <c r="X211" s="275">
        <f t="shared" si="131"/>
        <v>1</v>
      </c>
      <c r="Y211" s="278"/>
      <c r="Z211" s="278">
        <f t="shared" si="132"/>
        <v>0</v>
      </c>
      <c r="AA211" s="272">
        <f>IFERROR(INDEX('Horo. M'!$I$3:I$367,MATCH(A211,'Horo. M'!$A$3:$A$367,0)),"")</f>
        <v>24</v>
      </c>
      <c r="AB211" s="273"/>
      <c r="AC211" s="273"/>
      <c r="AD211" s="272">
        <f t="shared" si="133"/>
        <v>24</v>
      </c>
      <c r="AE211" s="274">
        <f t="shared" si="134"/>
        <v>1</v>
      </c>
      <c r="AF211" s="275">
        <f t="shared" si="135"/>
        <v>1</v>
      </c>
      <c r="AG211" s="278"/>
      <c r="AH211" s="272">
        <f t="shared" si="136"/>
        <v>0</v>
      </c>
      <c r="AI211" s="272">
        <f>IFERROR(INDEX('Horo. M'!$K$3:K$367,MATCH(A211,'Horo. M'!$A$3:$A$367,0)),"")</f>
        <v>24</v>
      </c>
      <c r="AJ211" s="278"/>
      <c r="AK211" s="278"/>
      <c r="AL211" s="272">
        <f t="shared" si="137"/>
        <v>24</v>
      </c>
      <c r="AM211" s="274">
        <f t="shared" si="138"/>
        <v>1</v>
      </c>
      <c r="AN211" s="275">
        <f t="shared" si="139"/>
        <v>1</v>
      </c>
      <c r="AO211" s="278"/>
      <c r="AP211" s="272">
        <f t="shared" si="140"/>
        <v>0</v>
      </c>
      <c r="AQ211" s="272">
        <f>IFERROR(INDEX('Horo. M'!$M$3:M$367,MATCH(A211,'Horo. M'!$A$3:$A$367,0)),"")</f>
        <v>24</v>
      </c>
      <c r="AR211" s="278"/>
      <c r="AS211" s="278"/>
      <c r="AT211" s="272">
        <f t="shared" si="141"/>
        <v>24</v>
      </c>
      <c r="AU211" s="274">
        <f t="shared" si="142"/>
        <v>1</v>
      </c>
      <c r="AV211" s="275">
        <f t="shared" si="143"/>
        <v>1</v>
      </c>
      <c r="AW211" s="278"/>
      <c r="AX211" s="272">
        <f t="shared" si="144"/>
        <v>0</v>
      </c>
      <c r="AY211" s="272">
        <f>IFERROR(INDEX('Horo. M'!$O$3:O$367,MATCH(A211,'Horo. M'!$A$3:$A$367,0)),"")</f>
        <v>24</v>
      </c>
      <c r="AZ211" s="278"/>
      <c r="BA211" s="278"/>
      <c r="BB211" s="272">
        <f t="shared" si="145"/>
        <v>24</v>
      </c>
      <c r="BC211" s="274">
        <f t="shared" si="146"/>
        <v>1</v>
      </c>
      <c r="BD211" s="275">
        <f t="shared" si="147"/>
        <v>1</v>
      </c>
      <c r="BE211" s="278"/>
      <c r="BF211" s="272">
        <f t="shared" si="148"/>
        <v>0</v>
      </c>
      <c r="BG211" s="272">
        <f>IFERROR(INDEX('Horo. M'!$Q$3:Q$367,MATCH(A211,'Horo. M'!$A$3:$A$367,0)),"")</f>
        <v>24</v>
      </c>
      <c r="BH211" s="278"/>
      <c r="BI211" s="278"/>
      <c r="BJ211" s="272">
        <f t="shared" si="149"/>
        <v>24</v>
      </c>
      <c r="BK211" s="274">
        <f t="shared" si="150"/>
        <v>1</v>
      </c>
      <c r="BL211" s="275">
        <f t="shared" si="151"/>
        <v>1</v>
      </c>
      <c r="BM211" s="278"/>
      <c r="BN211" s="272">
        <f t="shared" si="152"/>
        <v>0</v>
      </c>
      <c r="BO211" s="272">
        <f>IFERROR(INDEX('Horo. M'!$S$3:S$367,MATCH(A211,'Horo. M'!$A$3:$A$367,0)),"")</f>
        <v>24</v>
      </c>
      <c r="BP211" s="278"/>
      <c r="BQ211" s="278"/>
      <c r="BR211" s="272">
        <f t="shared" si="153"/>
        <v>24</v>
      </c>
      <c r="BS211" s="274">
        <f t="shared" si="154"/>
        <v>1</v>
      </c>
      <c r="BT211" s="275">
        <f t="shared" si="155"/>
        <v>1</v>
      </c>
      <c r="BU211" s="278"/>
      <c r="BV211" s="272">
        <f t="shared" si="156"/>
        <v>24</v>
      </c>
      <c r="BW211" s="272">
        <f>IFERROR(INDEX('Horo. M'!$U$3:U$367,MATCH(A211,'Horo. M'!$A$3:$A$367,0)),"")</f>
        <v>0</v>
      </c>
      <c r="BX211" s="278"/>
      <c r="BY211" s="278"/>
      <c r="BZ211" s="272">
        <f t="shared" si="157"/>
        <v>24</v>
      </c>
      <c r="CA211" s="274">
        <f t="shared" si="158"/>
        <v>0</v>
      </c>
      <c r="CB211" s="275">
        <f t="shared" si="159"/>
        <v>1</v>
      </c>
      <c r="CC211" s="280"/>
    </row>
    <row r="212" spans="1:81">
      <c r="A212" s="279">
        <v>45137</v>
      </c>
      <c r="B212" s="278">
        <f t="shared" si="120"/>
        <v>0</v>
      </c>
      <c r="C212" s="272">
        <f>IFERROR(INDEX('Horo. M'!$C$3:$C$367,MATCH(A212,'Horo. M'!$A$3:$A$367,0)),"")</f>
        <v>24</v>
      </c>
      <c r="D212" s="278"/>
      <c r="E212" s="278"/>
      <c r="F212" s="272">
        <f t="shared" si="121"/>
        <v>24</v>
      </c>
      <c r="G212" s="274">
        <f t="shared" si="122"/>
        <v>1</v>
      </c>
      <c r="H212" s="275">
        <f t="shared" si="123"/>
        <v>1</v>
      </c>
      <c r="I212" s="277"/>
      <c r="J212" s="278">
        <f t="shared" si="124"/>
        <v>0</v>
      </c>
      <c r="K212" s="272">
        <f>IFERROR(INDEX('Horo. M'!$E$3:$E$367,MATCH(A212,'Horo. M'!$A$3:$A$367,0)),"")</f>
        <v>24</v>
      </c>
      <c r="L212" s="273"/>
      <c r="M212" s="273"/>
      <c r="N212" s="272">
        <f t="shared" si="125"/>
        <v>24</v>
      </c>
      <c r="O212" s="274">
        <f t="shared" si="126"/>
        <v>1</v>
      </c>
      <c r="P212" s="275">
        <f t="shared" si="127"/>
        <v>1</v>
      </c>
      <c r="Q212" s="276"/>
      <c r="R212" s="278">
        <f t="shared" si="128"/>
        <v>24</v>
      </c>
      <c r="S212" s="272">
        <f>IFERROR(INDEX('Horo. M'!G$3:$G$367,MATCH(A212,'Horo. M'!$A$3:$A$367,0)),"")</f>
        <v>0</v>
      </c>
      <c r="T212" s="278"/>
      <c r="U212" s="278"/>
      <c r="V212" s="272">
        <f t="shared" si="129"/>
        <v>24</v>
      </c>
      <c r="W212" s="274">
        <f t="shared" si="130"/>
        <v>0</v>
      </c>
      <c r="X212" s="275">
        <f t="shared" si="131"/>
        <v>1</v>
      </c>
      <c r="Y212" s="278"/>
      <c r="Z212" s="278">
        <f t="shared" si="132"/>
        <v>0</v>
      </c>
      <c r="AA212" s="272">
        <f>IFERROR(INDEX('Horo. M'!$I$3:I$367,MATCH(A212,'Horo. M'!$A$3:$A$367,0)),"")</f>
        <v>24</v>
      </c>
      <c r="AB212" s="273"/>
      <c r="AC212" s="273"/>
      <c r="AD212" s="272">
        <f t="shared" si="133"/>
        <v>24</v>
      </c>
      <c r="AE212" s="274">
        <f t="shared" si="134"/>
        <v>1</v>
      </c>
      <c r="AF212" s="275">
        <f t="shared" si="135"/>
        <v>1</v>
      </c>
      <c r="AG212" s="278"/>
      <c r="AH212" s="272">
        <f t="shared" si="136"/>
        <v>0</v>
      </c>
      <c r="AI212" s="272">
        <f>IFERROR(INDEX('Horo. M'!$K$3:K$367,MATCH(A212,'Horo. M'!$A$3:$A$367,0)),"")</f>
        <v>24</v>
      </c>
      <c r="AJ212" s="278"/>
      <c r="AK212" s="278"/>
      <c r="AL212" s="272">
        <f t="shared" si="137"/>
        <v>24</v>
      </c>
      <c r="AM212" s="274">
        <f t="shared" si="138"/>
        <v>1</v>
      </c>
      <c r="AN212" s="275">
        <f t="shared" si="139"/>
        <v>1</v>
      </c>
      <c r="AO212" s="278"/>
      <c r="AP212" s="272">
        <f t="shared" si="140"/>
        <v>0</v>
      </c>
      <c r="AQ212" s="272">
        <f>IFERROR(INDEX('Horo. M'!$M$3:M$367,MATCH(A212,'Horo. M'!$A$3:$A$367,0)),"")</f>
        <v>24</v>
      </c>
      <c r="AR212" s="278"/>
      <c r="AS212" s="278"/>
      <c r="AT212" s="272">
        <f t="shared" si="141"/>
        <v>24</v>
      </c>
      <c r="AU212" s="274">
        <f t="shared" si="142"/>
        <v>1</v>
      </c>
      <c r="AV212" s="275">
        <f t="shared" si="143"/>
        <v>1</v>
      </c>
      <c r="AW212" s="278"/>
      <c r="AX212" s="272">
        <f t="shared" si="144"/>
        <v>0</v>
      </c>
      <c r="AY212" s="272">
        <f>IFERROR(INDEX('Horo. M'!$O$3:O$367,MATCH(A212,'Horo. M'!$A$3:$A$367,0)),"")</f>
        <v>24</v>
      </c>
      <c r="AZ212" s="278"/>
      <c r="BA212" s="278"/>
      <c r="BB212" s="272">
        <f t="shared" si="145"/>
        <v>24</v>
      </c>
      <c r="BC212" s="274">
        <f t="shared" si="146"/>
        <v>1</v>
      </c>
      <c r="BD212" s="275">
        <f t="shared" si="147"/>
        <v>1</v>
      </c>
      <c r="BE212" s="278"/>
      <c r="BF212" s="272">
        <f t="shared" si="148"/>
        <v>0</v>
      </c>
      <c r="BG212" s="272">
        <f>IFERROR(INDEX('Horo. M'!$Q$3:Q$367,MATCH(A212,'Horo. M'!$A$3:$A$367,0)),"")</f>
        <v>24</v>
      </c>
      <c r="BH212" s="278"/>
      <c r="BI212" s="278"/>
      <c r="BJ212" s="272">
        <f t="shared" si="149"/>
        <v>24</v>
      </c>
      <c r="BK212" s="274">
        <f t="shared" si="150"/>
        <v>1</v>
      </c>
      <c r="BL212" s="275">
        <f t="shared" si="151"/>
        <v>1</v>
      </c>
      <c r="BM212" s="278"/>
      <c r="BN212" s="272">
        <f t="shared" si="152"/>
        <v>0</v>
      </c>
      <c r="BO212" s="272">
        <f>IFERROR(INDEX('Horo. M'!$S$3:S$367,MATCH(A212,'Horo. M'!$A$3:$A$367,0)),"")</f>
        <v>24</v>
      </c>
      <c r="BP212" s="278"/>
      <c r="BQ212" s="278"/>
      <c r="BR212" s="272">
        <f t="shared" si="153"/>
        <v>24</v>
      </c>
      <c r="BS212" s="274">
        <f t="shared" si="154"/>
        <v>1</v>
      </c>
      <c r="BT212" s="275">
        <f t="shared" si="155"/>
        <v>1</v>
      </c>
      <c r="BU212" s="278"/>
      <c r="BV212" s="272">
        <f t="shared" si="156"/>
        <v>24</v>
      </c>
      <c r="BW212" s="272">
        <f>IFERROR(INDEX('Horo. M'!$U$3:U$367,MATCH(A212,'Horo. M'!$A$3:$A$367,0)),"")</f>
        <v>0</v>
      </c>
      <c r="BX212" s="278"/>
      <c r="BY212" s="278"/>
      <c r="BZ212" s="272">
        <f t="shared" si="157"/>
        <v>24</v>
      </c>
      <c r="CA212" s="274">
        <f t="shared" si="158"/>
        <v>0</v>
      </c>
      <c r="CB212" s="275">
        <f t="shared" si="159"/>
        <v>1</v>
      </c>
      <c r="CC212" s="280"/>
    </row>
    <row r="213" spans="1:81">
      <c r="A213" s="279">
        <v>45138</v>
      </c>
      <c r="B213" s="278">
        <f t="shared" si="120"/>
        <v>0</v>
      </c>
      <c r="C213" s="272">
        <f>IFERROR(INDEX('Horo. M'!$C$3:$C$367,MATCH(A213,'Horo. M'!$A$3:$A$367,0)),"")</f>
        <v>24</v>
      </c>
      <c r="D213" s="278"/>
      <c r="E213" s="278"/>
      <c r="F213" s="272">
        <f t="shared" si="121"/>
        <v>24</v>
      </c>
      <c r="G213" s="274">
        <f t="shared" si="122"/>
        <v>1</v>
      </c>
      <c r="H213" s="275">
        <f t="shared" si="123"/>
        <v>1</v>
      </c>
      <c r="I213" s="277"/>
      <c r="J213" s="278">
        <f t="shared" si="124"/>
        <v>0</v>
      </c>
      <c r="K213" s="272">
        <f>IFERROR(INDEX('Horo. M'!$E$3:$E$367,MATCH(A213,'Horo. M'!$A$3:$A$367,0)),"")</f>
        <v>24</v>
      </c>
      <c r="L213" s="273"/>
      <c r="M213" s="273"/>
      <c r="N213" s="272">
        <f t="shared" si="125"/>
        <v>24</v>
      </c>
      <c r="O213" s="274">
        <f t="shared" si="126"/>
        <v>1</v>
      </c>
      <c r="P213" s="275">
        <f t="shared" si="127"/>
        <v>1</v>
      </c>
      <c r="Q213" s="276"/>
      <c r="R213" s="278">
        <f t="shared" si="128"/>
        <v>24</v>
      </c>
      <c r="S213" s="272">
        <f>IFERROR(INDEX('Horo. M'!G$3:$G$367,MATCH(A213,'Horo. M'!$A$3:$A$367,0)),"")</f>
        <v>0</v>
      </c>
      <c r="T213" s="278"/>
      <c r="U213" s="278"/>
      <c r="V213" s="272">
        <f t="shared" si="129"/>
        <v>24</v>
      </c>
      <c r="W213" s="274">
        <f t="shared" si="130"/>
        <v>0</v>
      </c>
      <c r="X213" s="275">
        <f t="shared" si="131"/>
        <v>1</v>
      </c>
      <c r="Y213" s="278"/>
      <c r="Z213" s="278">
        <f t="shared" si="132"/>
        <v>0</v>
      </c>
      <c r="AA213" s="272">
        <f>IFERROR(INDEX('Horo. M'!$I$3:I$367,MATCH(A213,'Horo. M'!$A$3:$A$367,0)),"")</f>
        <v>24</v>
      </c>
      <c r="AB213" s="273"/>
      <c r="AC213" s="273"/>
      <c r="AD213" s="272">
        <f t="shared" si="133"/>
        <v>24</v>
      </c>
      <c r="AE213" s="274">
        <f t="shared" si="134"/>
        <v>1</v>
      </c>
      <c r="AF213" s="275">
        <f t="shared" si="135"/>
        <v>1</v>
      </c>
      <c r="AG213" s="278"/>
      <c r="AH213" s="272">
        <f t="shared" si="136"/>
        <v>0</v>
      </c>
      <c r="AI213" s="272">
        <f>IFERROR(INDEX('Horo. M'!$K$3:K$367,MATCH(A213,'Horo. M'!$A$3:$A$367,0)),"")</f>
        <v>24</v>
      </c>
      <c r="AJ213" s="278"/>
      <c r="AK213" s="278"/>
      <c r="AL213" s="272">
        <f t="shared" si="137"/>
        <v>24</v>
      </c>
      <c r="AM213" s="274">
        <f t="shared" si="138"/>
        <v>1</v>
      </c>
      <c r="AN213" s="275">
        <f t="shared" si="139"/>
        <v>1</v>
      </c>
      <c r="AO213" s="278"/>
      <c r="AP213" s="272">
        <f t="shared" si="140"/>
        <v>6</v>
      </c>
      <c r="AQ213" s="272">
        <f>IFERROR(INDEX('Horo. M'!$M$3:M$367,MATCH(A213,'Horo. M'!$A$3:$A$367,0)),"")</f>
        <v>18</v>
      </c>
      <c r="AR213" s="278"/>
      <c r="AS213" s="278"/>
      <c r="AT213" s="272">
        <f t="shared" si="141"/>
        <v>24</v>
      </c>
      <c r="AU213" s="274">
        <f t="shared" si="142"/>
        <v>0.75</v>
      </c>
      <c r="AV213" s="275">
        <f t="shared" si="143"/>
        <v>1</v>
      </c>
      <c r="AW213" s="278"/>
      <c r="AX213" s="272">
        <f t="shared" si="144"/>
        <v>0</v>
      </c>
      <c r="AY213" s="272">
        <f>IFERROR(INDEX('Horo. M'!$O$3:O$367,MATCH(A213,'Horo. M'!$A$3:$A$367,0)),"")</f>
        <v>24</v>
      </c>
      <c r="AZ213" s="278"/>
      <c r="BA213" s="278"/>
      <c r="BB213" s="272">
        <f t="shared" si="145"/>
        <v>24</v>
      </c>
      <c r="BC213" s="274">
        <f t="shared" si="146"/>
        <v>1</v>
      </c>
      <c r="BD213" s="275">
        <f t="shared" si="147"/>
        <v>1</v>
      </c>
      <c r="BE213" s="278"/>
      <c r="BF213" s="272">
        <f t="shared" si="148"/>
        <v>0</v>
      </c>
      <c r="BG213" s="272">
        <f>IFERROR(INDEX('Horo. M'!$Q$3:Q$367,MATCH(A213,'Horo. M'!$A$3:$A$367,0)),"")</f>
        <v>24</v>
      </c>
      <c r="BH213" s="278"/>
      <c r="BI213" s="278"/>
      <c r="BJ213" s="272">
        <f t="shared" si="149"/>
        <v>24</v>
      </c>
      <c r="BK213" s="274">
        <f t="shared" si="150"/>
        <v>1</v>
      </c>
      <c r="BL213" s="275">
        <f t="shared" si="151"/>
        <v>1</v>
      </c>
      <c r="BM213" s="278"/>
      <c r="BN213" s="272">
        <f t="shared" si="152"/>
        <v>0</v>
      </c>
      <c r="BO213" s="272">
        <f>IFERROR(INDEX('Horo. M'!$S$3:S$367,MATCH(A213,'Horo. M'!$A$3:$A$367,0)),"")</f>
        <v>24</v>
      </c>
      <c r="BP213" s="278"/>
      <c r="BQ213" s="278"/>
      <c r="BR213" s="272">
        <f t="shared" si="153"/>
        <v>24</v>
      </c>
      <c r="BS213" s="274">
        <f t="shared" si="154"/>
        <v>1</v>
      </c>
      <c r="BT213" s="275">
        <f t="shared" si="155"/>
        <v>1</v>
      </c>
      <c r="BU213" s="278"/>
      <c r="BV213" s="272">
        <f t="shared" si="156"/>
        <v>24</v>
      </c>
      <c r="BW213" s="272">
        <f>IFERROR(INDEX('Horo. M'!$U$3:U$367,MATCH(A213,'Horo. M'!$A$3:$A$367,0)),"")</f>
        <v>0</v>
      </c>
      <c r="BX213" s="278"/>
      <c r="BY213" s="278"/>
      <c r="BZ213" s="272">
        <f t="shared" si="157"/>
        <v>24</v>
      </c>
      <c r="CA213" s="274">
        <f t="shared" si="158"/>
        <v>0</v>
      </c>
      <c r="CB213" s="275">
        <f t="shared" si="159"/>
        <v>1</v>
      </c>
      <c r="CC213" s="280"/>
    </row>
    <row r="214" spans="1:81">
      <c r="A214" s="279">
        <v>45139</v>
      </c>
      <c r="B214" s="278">
        <f t="shared" si="120"/>
        <v>0</v>
      </c>
      <c r="C214" s="272">
        <f>IFERROR(INDEX('Horo. M'!$C$3:$C$367,MATCH(A214,'Horo. M'!$A$3:$A$367,0)),"")</f>
        <v>24</v>
      </c>
      <c r="D214" s="278"/>
      <c r="E214" s="278"/>
      <c r="F214" s="272">
        <f t="shared" si="121"/>
        <v>24</v>
      </c>
      <c r="G214" s="274">
        <f t="shared" si="122"/>
        <v>1</v>
      </c>
      <c r="H214" s="275">
        <f t="shared" si="123"/>
        <v>1</v>
      </c>
      <c r="I214" s="277"/>
      <c r="J214" s="278">
        <f t="shared" si="124"/>
        <v>0</v>
      </c>
      <c r="K214" s="272">
        <f>IFERROR(INDEX('Horo. M'!$E$3:$E$367,MATCH(A214,'Horo. M'!$A$3:$A$367,0)),"")</f>
        <v>24</v>
      </c>
      <c r="L214" s="273"/>
      <c r="M214" s="273"/>
      <c r="N214" s="272">
        <f t="shared" si="125"/>
        <v>24</v>
      </c>
      <c r="O214" s="274">
        <f t="shared" si="126"/>
        <v>1</v>
      </c>
      <c r="P214" s="275">
        <f t="shared" si="127"/>
        <v>1</v>
      </c>
      <c r="Q214" s="276"/>
      <c r="R214" s="278">
        <f t="shared" si="128"/>
        <v>24</v>
      </c>
      <c r="S214" s="272">
        <f>IFERROR(INDEX('Horo. M'!G$3:$G$367,MATCH(A214,'Horo. M'!$A$3:$A$367,0)),"")</f>
        <v>0</v>
      </c>
      <c r="T214" s="278"/>
      <c r="U214" s="278"/>
      <c r="V214" s="272">
        <f t="shared" si="129"/>
        <v>24</v>
      </c>
      <c r="W214" s="274">
        <f t="shared" si="130"/>
        <v>0</v>
      </c>
      <c r="X214" s="275">
        <f t="shared" si="131"/>
        <v>1</v>
      </c>
      <c r="Y214" s="278"/>
      <c r="Z214" s="278">
        <f t="shared" si="132"/>
        <v>0</v>
      </c>
      <c r="AA214" s="272">
        <f>IFERROR(INDEX('Horo. M'!$I$3:I$367,MATCH(A214,'Horo. M'!$A$3:$A$367,0)),"")</f>
        <v>24</v>
      </c>
      <c r="AB214" s="273"/>
      <c r="AC214" s="273"/>
      <c r="AD214" s="272">
        <f t="shared" si="133"/>
        <v>24</v>
      </c>
      <c r="AE214" s="274">
        <f t="shared" si="134"/>
        <v>1</v>
      </c>
      <c r="AF214" s="275">
        <f t="shared" si="135"/>
        <v>1</v>
      </c>
      <c r="AG214" s="278"/>
      <c r="AH214" s="272">
        <f t="shared" si="136"/>
        <v>0</v>
      </c>
      <c r="AI214" s="272">
        <f>IFERROR(INDEX('Horo. M'!$K$3:K$367,MATCH(A214,'Horo. M'!$A$3:$A$367,0)),"")</f>
        <v>24</v>
      </c>
      <c r="AJ214" s="278"/>
      <c r="AK214" s="278"/>
      <c r="AL214" s="272">
        <f t="shared" si="137"/>
        <v>24</v>
      </c>
      <c r="AM214" s="274">
        <f t="shared" si="138"/>
        <v>1</v>
      </c>
      <c r="AN214" s="275">
        <f t="shared" si="139"/>
        <v>1</v>
      </c>
      <c r="AO214" s="278"/>
      <c r="AP214" s="272">
        <f t="shared" si="140"/>
        <v>0</v>
      </c>
      <c r="AQ214" s="272">
        <f>IFERROR(INDEX('Horo. M'!$M$3:M$367,MATCH(A214,'Horo. M'!$A$3:$A$367,0)),"")</f>
        <v>24</v>
      </c>
      <c r="AR214" s="278"/>
      <c r="AS214" s="278"/>
      <c r="AT214" s="272">
        <f t="shared" si="141"/>
        <v>24</v>
      </c>
      <c r="AU214" s="274">
        <f t="shared" si="142"/>
        <v>1</v>
      </c>
      <c r="AV214" s="275">
        <f t="shared" si="143"/>
        <v>1</v>
      </c>
      <c r="AW214" s="278"/>
      <c r="AX214" s="272">
        <f t="shared" si="144"/>
        <v>0</v>
      </c>
      <c r="AY214" s="272">
        <f>IFERROR(INDEX('Horo. M'!$O$3:O$367,MATCH(A214,'Horo. M'!$A$3:$A$367,0)),"")</f>
        <v>24</v>
      </c>
      <c r="AZ214" s="278"/>
      <c r="BA214" s="278"/>
      <c r="BB214" s="272">
        <f t="shared" si="145"/>
        <v>24</v>
      </c>
      <c r="BC214" s="274">
        <f t="shared" si="146"/>
        <v>1</v>
      </c>
      <c r="BD214" s="275">
        <f t="shared" si="147"/>
        <v>1</v>
      </c>
      <c r="BE214" s="278"/>
      <c r="BF214" s="272">
        <f t="shared" si="148"/>
        <v>0</v>
      </c>
      <c r="BG214" s="272">
        <f>IFERROR(INDEX('Horo. M'!$Q$3:Q$367,MATCH(A214,'Horo. M'!$A$3:$A$367,0)),"")</f>
        <v>24</v>
      </c>
      <c r="BH214" s="278"/>
      <c r="BI214" s="278"/>
      <c r="BJ214" s="272">
        <f t="shared" si="149"/>
        <v>24</v>
      </c>
      <c r="BK214" s="274">
        <f t="shared" si="150"/>
        <v>1</v>
      </c>
      <c r="BL214" s="275">
        <f t="shared" si="151"/>
        <v>1</v>
      </c>
      <c r="BM214" s="278"/>
      <c r="BN214" s="272">
        <f t="shared" si="152"/>
        <v>0</v>
      </c>
      <c r="BO214" s="272">
        <f>IFERROR(INDEX('Horo. M'!$S$3:S$367,MATCH(A214,'Horo. M'!$A$3:$A$367,0)),"")</f>
        <v>24</v>
      </c>
      <c r="BP214" s="278"/>
      <c r="BQ214" s="278"/>
      <c r="BR214" s="272">
        <f t="shared" si="153"/>
        <v>24</v>
      </c>
      <c r="BS214" s="274">
        <f t="shared" si="154"/>
        <v>1</v>
      </c>
      <c r="BT214" s="275">
        <f t="shared" si="155"/>
        <v>1</v>
      </c>
      <c r="BU214" s="278"/>
      <c r="BV214" s="272">
        <f t="shared" si="156"/>
        <v>24</v>
      </c>
      <c r="BW214" s="272">
        <f>IFERROR(INDEX('Horo. M'!$U$3:U$367,MATCH(A214,'Horo. M'!$A$3:$A$367,0)),"")</f>
        <v>0</v>
      </c>
      <c r="BX214" s="278"/>
      <c r="BY214" s="278"/>
      <c r="BZ214" s="272">
        <f t="shared" si="157"/>
        <v>24</v>
      </c>
      <c r="CA214" s="274">
        <f t="shared" si="158"/>
        <v>0</v>
      </c>
      <c r="CB214" s="275">
        <f t="shared" si="159"/>
        <v>1</v>
      </c>
      <c r="CC214" s="280"/>
    </row>
    <row r="215" spans="1:81">
      <c r="A215" s="279">
        <v>45140</v>
      </c>
      <c r="B215" s="278">
        <f t="shared" si="120"/>
        <v>0</v>
      </c>
      <c r="C215" s="272">
        <f>IFERROR(INDEX('Horo. M'!$C$3:$C$367,MATCH(A215,'Horo. M'!$A$3:$A$367,0)),"")</f>
        <v>24</v>
      </c>
      <c r="D215" s="278"/>
      <c r="E215" s="278"/>
      <c r="F215" s="272">
        <f t="shared" si="121"/>
        <v>24</v>
      </c>
      <c r="G215" s="274">
        <f t="shared" si="122"/>
        <v>1</v>
      </c>
      <c r="H215" s="275">
        <f t="shared" si="123"/>
        <v>1</v>
      </c>
      <c r="I215" s="277"/>
      <c r="J215" s="278">
        <f t="shared" si="124"/>
        <v>0</v>
      </c>
      <c r="K215" s="272">
        <f>IFERROR(INDEX('Horo. M'!$E$3:$E$367,MATCH(A215,'Horo. M'!$A$3:$A$367,0)),"")</f>
        <v>24</v>
      </c>
      <c r="L215" s="273"/>
      <c r="M215" s="273"/>
      <c r="N215" s="272">
        <f t="shared" si="125"/>
        <v>24</v>
      </c>
      <c r="O215" s="274">
        <f t="shared" si="126"/>
        <v>1</v>
      </c>
      <c r="P215" s="275">
        <f t="shared" si="127"/>
        <v>1</v>
      </c>
      <c r="Q215" s="276"/>
      <c r="R215" s="278">
        <f t="shared" si="128"/>
        <v>24</v>
      </c>
      <c r="S215" s="272">
        <f>IFERROR(INDEX('Horo. M'!G$3:$G$367,MATCH(A215,'Horo. M'!$A$3:$A$367,0)),"")</f>
        <v>0</v>
      </c>
      <c r="T215" s="278"/>
      <c r="U215" s="278"/>
      <c r="V215" s="272">
        <f t="shared" si="129"/>
        <v>24</v>
      </c>
      <c r="W215" s="274">
        <f t="shared" si="130"/>
        <v>0</v>
      </c>
      <c r="X215" s="275">
        <f t="shared" si="131"/>
        <v>1</v>
      </c>
      <c r="Y215" s="278"/>
      <c r="Z215" s="278">
        <f t="shared" si="132"/>
        <v>0</v>
      </c>
      <c r="AA215" s="272">
        <f>IFERROR(INDEX('Horo. M'!$I$3:I$367,MATCH(A215,'Horo. M'!$A$3:$A$367,0)),"")</f>
        <v>24</v>
      </c>
      <c r="AB215" s="273"/>
      <c r="AC215" s="273"/>
      <c r="AD215" s="272">
        <f t="shared" si="133"/>
        <v>24</v>
      </c>
      <c r="AE215" s="274">
        <f t="shared" si="134"/>
        <v>1</v>
      </c>
      <c r="AF215" s="275">
        <f t="shared" si="135"/>
        <v>1</v>
      </c>
      <c r="AG215" s="278"/>
      <c r="AH215" s="272">
        <f t="shared" si="136"/>
        <v>0</v>
      </c>
      <c r="AI215" s="272">
        <f>IFERROR(INDEX('Horo. M'!$K$3:K$367,MATCH(A215,'Horo. M'!$A$3:$A$367,0)),"")</f>
        <v>24</v>
      </c>
      <c r="AJ215" s="278"/>
      <c r="AK215" s="278"/>
      <c r="AL215" s="272">
        <f t="shared" si="137"/>
        <v>24</v>
      </c>
      <c r="AM215" s="274">
        <f t="shared" si="138"/>
        <v>1</v>
      </c>
      <c r="AN215" s="275">
        <f t="shared" si="139"/>
        <v>1</v>
      </c>
      <c r="AO215" s="278"/>
      <c r="AP215" s="272">
        <f t="shared" si="140"/>
        <v>7</v>
      </c>
      <c r="AQ215" s="272">
        <f>IFERROR(INDEX('Horo. M'!$M$3:M$367,MATCH(A215,'Horo. M'!$A$3:$A$367,0)),"")</f>
        <v>17</v>
      </c>
      <c r="AR215" s="278"/>
      <c r="AS215" s="278"/>
      <c r="AT215" s="272">
        <f t="shared" si="141"/>
        <v>24</v>
      </c>
      <c r="AU215" s="274">
        <f t="shared" si="142"/>
        <v>0.70833333333333337</v>
      </c>
      <c r="AV215" s="275">
        <f t="shared" si="143"/>
        <v>1</v>
      </c>
      <c r="AW215" s="278"/>
      <c r="AX215" s="272">
        <f t="shared" si="144"/>
        <v>0</v>
      </c>
      <c r="AY215" s="272">
        <f>IFERROR(INDEX('Horo. M'!$O$3:O$367,MATCH(A215,'Horo. M'!$A$3:$A$367,0)),"")</f>
        <v>24</v>
      </c>
      <c r="AZ215" s="278"/>
      <c r="BA215" s="278"/>
      <c r="BB215" s="272">
        <f t="shared" si="145"/>
        <v>24</v>
      </c>
      <c r="BC215" s="274">
        <f t="shared" si="146"/>
        <v>1</v>
      </c>
      <c r="BD215" s="275">
        <f t="shared" si="147"/>
        <v>1</v>
      </c>
      <c r="BE215" s="278"/>
      <c r="BF215" s="272">
        <f t="shared" si="148"/>
        <v>0</v>
      </c>
      <c r="BG215" s="272">
        <f>IFERROR(INDEX('Horo. M'!$Q$3:Q$367,MATCH(A215,'Horo. M'!$A$3:$A$367,0)),"")</f>
        <v>24</v>
      </c>
      <c r="BH215" s="278"/>
      <c r="BI215" s="278"/>
      <c r="BJ215" s="272">
        <f t="shared" si="149"/>
        <v>24</v>
      </c>
      <c r="BK215" s="274">
        <f t="shared" si="150"/>
        <v>1</v>
      </c>
      <c r="BL215" s="275">
        <f t="shared" si="151"/>
        <v>1</v>
      </c>
      <c r="BM215" s="278"/>
      <c r="BN215" s="272">
        <f t="shared" si="152"/>
        <v>0</v>
      </c>
      <c r="BO215" s="272">
        <f>IFERROR(INDEX('Horo. M'!$S$3:S$367,MATCH(A215,'Horo. M'!$A$3:$A$367,0)),"")</f>
        <v>24</v>
      </c>
      <c r="BP215" s="278"/>
      <c r="BQ215" s="278"/>
      <c r="BR215" s="272">
        <f t="shared" si="153"/>
        <v>24</v>
      </c>
      <c r="BS215" s="274">
        <f t="shared" si="154"/>
        <v>1</v>
      </c>
      <c r="BT215" s="275">
        <f t="shared" si="155"/>
        <v>1</v>
      </c>
      <c r="BU215" s="278"/>
      <c r="BV215" s="272">
        <f t="shared" si="156"/>
        <v>24</v>
      </c>
      <c r="BW215" s="272">
        <f>IFERROR(INDEX('Horo. M'!$U$3:U$367,MATCH(A215,'Horo. M'!$A$3:$A$367,0)),"")</f>
        <v>0</v>
      </c>
      <c r="BX215" s="278"/>
      <c r="BY215" s="278"/>
      <c r="BZ215" s="272">
        <f t="shared" si="157"/>
        <v>24</v>
      </c>
      <c r="CA215" s="274">
        <f t="shared" si="158"/>
        <v>0</v>
      </c>
      <c r="CB215" s="275">
        <f t="shared" si="159"/>
        <v>1</v>
      </c>
      <c r="CC215" s="280"/>
    </row>
    <row r="216" spans="1:81">
      <c r="A216" s="279">
        <v>45141</v>
      </c>
      <c r="B216" s="278">
        <f t="shared" si="120"/>
        <v>0</v>
      </c>
      <c r="C216" s="272">
        <f>IFERROR(INDEX('Horo. M'!$C$3:$C$367,MATCH(A216,'Horo. M'!$A$3:$A$367,0)),"")</f>
        <v>24</v>
      </c>
      <c r="D216" s="278"/>
      <c r="E216" s="278"/>
      <c r="F216" s="272">
        <f t="shared" si="121"/>
        <v>24</v>
      </c>
      <c r="G216" s="274">
        <f t="shared" si="122"/>
        <v>1</v>
      </c>
      <c r="H216" s="275">
        <f t="shared" si="123"/>
        <v>1</v>
      </c>
      <c r="I216" s="277"/>
      <c r="J216" s="278">
        <f t="shared" si="124"/>
        <v>0</v>
      </c>
      <c r="K216" s="272">
        <f>IFERROR(INDEX('Horo. M'!$E$3:$E$367,MATCH(A216,'Horo. M'!$A$3:$A$367,0)),"")</f>
        <v>24</v>
      </c>
      <c r="L216" s="273"/>
      <c r="M216" s="273"/>
      <c r="N216" s="272">
        <f t="shared" si="125"/>
        <v>24</v>
      </c>
      <c r="O216" s="274">
        <f t="shared" si="126"/>
        <v>1</v>
      </c>
      <c r="P216" s="275">
        <f t="shared" si="127"/>
        <v>1</v>
      </c>
      <c r="Q216" s="276"/>
      <c r="R216" s="278">
        <f t="shared" si="128"/>
        <v>24</v>
      </c>
      <c r="S216" s="272">
        <f>IFERROR(INDEX('Horo. M'!G$3:$G$367,MATCH(A216,'Horo. M'!$A$3:$A$367,0)),"")</f>
        <v>0</v>
      </c>
      <c r="T216" s="278"/>
      <c r="U216" s="278"/>
      <c r="V216" s="272">
        <f t="shared" si="129"/>
        <v>24</v>
      </c>
      <c r="W216" s="274">
        <f t="shared" si="130"/>
        <v>0</v>
      </c>
      <c r="X216" s="275">
        <f t="shared" si="131"/>
        <v>1</v>
      </c>
      <c r="Y216" s="278"/>
      <c r="Z216" s="278">
        <f t="shared" si="132"/>
        <v>0</v>
      </c>
      <c r="AA216" s="272">
        <f>IFERROR(INDEX('Horo. M'!$I$3:I$367,MATCH(A216,'Horo. M'!$A$3:$A$367,0)),"")</f>
        <v>24</v>
      </c>
      <c r="AB216" s="273"/>
      <c r="AC216" s="273"/>
      <c r="AD216" s="272">
        <f t="shared" si="133"/>
        <v>24</v>
      </c>
      <c r="AE216" s="274">
        <f t="shared" si="134"/>
        <v>1</v>
      </c>
      <c r="AF216" s="275">
        <f t="shared" si="135"/>
        <v>1</v>
      </c>
      <c r="AG216" s="278"/>
      <c r="AH216" s="272">
        <f t="shared" si="136"/>
        <v>0</v>
      </c>
      <c r="AI216" s="272">
        <f>IFERROR(INDEX('Horo. M'!$K$3:K$367,MATCH(A216,'Horo. M'!$A$3:$A$367,0)),"")</f>
        <v>24</v>
      </c>
      <c r="AJ216" s="278"/>
      <c r="AK216" s="278"/>
      <c r="AL216" s="272">
        <f t="shared" si="137"/>
        <v>24</v>
      </c>
      <c r="AM216" s="274">
        <f t="shared" si="138"/>
        <v>1</v>
      </c>
      <c r="AN216" s="275">
        <f t="shared" si="139"/>
        <v>1</v>
      </c>
      <c r="AO216" s="278"/>
      <c r="AP216" s="272">
        <f t="shared" si="140"/>
        <v>11</v>
      </c>
      <c r="AQ216" s="272">
        <f>IFERROR(INDEX('Horo. M'!$M$3:M$367,MATCH(A216,'Horo. M'!$A$3:$A$367,0)),"")</f>
        <v>13</v>
      </c>
      <c r="AR216" s="278"/>
      <c r="AS216" s="278"/>
      <c r="AT216" s="272">
        <f t="shared" si="141"/>
        <v>24</v>
      </c>
      <c r="AU216" s="274">
        <f t="shared" si="142"/>
        <v>0.54166666666666663</v>
      </c>
      <c r="AV216" s="275">
        <f t="shared" si="143"/>
        <v>1</v>
      </c>
      <c r="AW216" s="278"/>
      <c r="AX216" s="272">
        <f t="shared" si="144"/>
        <v>0</v>
      </c>
      <c r="AY216" s="272">
        <f>IFERROR(INDEX('Horo. M'!$O$3:O$367,MATCH(A216,'Horo. M'!$A$3:$A$367,0)),"")</f>
        <v>24</v>
      </c>
      <c r="AZ216" s="278"/>
      <c r="BA216" s="278"/>
      <c r="BB216" s="272">
        <f t="shared" si="145"/>
        <v>24</v>
      </c>
      <c r="BC216" s="274">
        <f t="shared" si="146"/>
        <v>1</v>
      </c>
      <c r="BD216" s="275">
        <f t="shared" si="147"/>
        <v>1</v>
      </c>
      <c r="BE216" s="278"/>
      <c r="BF216" s="272">
        <f t="shared" si="148"/>
        <v>0</v>
      </c>
      <c r="BG216" s="272">
        <f>IFERROR(INDEX('Horo. M'!$Q$3:Q$367,MATCH(A216,'Horo. M'!$A$3:$A$367,0)),"")</f>
        <v>24</v>
      </c>
      <c r="BH216" s="278"/>
      <c r="BI216" s="278"/>
      <c r="BJ216" s="272">
        <f t="shared" si="149"/>
        <v>24</v>
      </c>
      <c r="BK216" s="274">
        <f t="shared" si="150"/>
        <v>1</v>
      </c>
      <c r="BL216" s="275">
        <f t="shared" si="151"/>
        <v>1</v>
      </c>
      <c r="BM216" s="278"/>
      <c r="BN216" s="272">
        <f t="shared" si="152"/>
        <v>0</v>
      </c>
      <c r="BO216" s="272">
        <f>IFERROR(INDEX('Horo. M'!$S$3:S$367,MATCH(A216,'Horo. M'!$A$3:$A$367,0)),"")</f>
        <v>24</v>
      </c>
      <c r="BP216" s="278"/>
      <c r="BQ216" s="278"/>
      <c r="BR216" s="272">
        <f t="shared" si="153"/>
        <v>24</v>
      </c>
      <c r="BS216" s="274">
        <f t="shared" si="154"/>
        <v>1</v>
      </c>
      <c r="BT216" s="275">
        <f t="shared" si="155"/>
        <v>1</v>
      </c>
      <c r="BU216" s="278"/>
      <c r="BV216" s="272">
        <f t="shared" si="156"/>
        <v>24</v>
      </c>
      <c r="BW216" s="272">
        <f>IFERROR(INDEX('Horo. M'!$U$3:U$367,MATCH(A216,'Horo. M'!$A$3:$A$367,0)),"")</f>
        <v>0</v>
      </c>
      <c r="BX216" s="278"/>
      <c r="BY216" s="278"/>
      <c r="BZ216" s="272">
        <f t="shared" si="157"/>
        <v>24</v>
      </c>
      <c r="CA216" s="274">
        <f t="shared" si="158"/>
        <v>0</v>
      </c>
      <c r="CB216" s="275">
        <f t="shared" si="159"/>
        <v>1</v>
      </c>
      <c r="CC216" s="280"/>
    </row>
    <row r="217" spans="1:81">
      <c r="A217" s="279">
        <v>45142</v>
      </c>
      <c r="B217" s="278">
        <f t="shared" si="120"/>
        <v>2</v>
      </c>
      <c r="C217" s="272">
        <f>IFERROR(INDEX('Horo. M'!$C$3:$C$367,MATCH(A217,'Horo. M'!$A$3:$A$367,0)),"")</f>
        <v>22</v>
      </c>
      <c r="D217" s="278"/>
      <c r="E217" s="278"/>
      <c r="F217" s="272">
        <f t="shared" si="121"/>
        <v>24</v>
      </c>
      <c r="G217" s="274">
        <f t="shared" si="122"/>
        <v>0.91666666666666663</v>
      </c>
      <c r="H217" s="275">
        <f t="shared" si="123"/>
        <v>1</v>
      </c>
      <c r="I217" s="277"/>
      <c r="J217" s="278">
        <f t="shared" si="124"/>
        <v>0</v>
      </c>
      <c r="K217" s="272">
        <f>IFERROR(INDEX('Horo. M'!$E$3:$E$367,MATCH(A217,'Horo. M'!$A$3:$A$367,0)),"")</f>
        <v>24</v>
      </c>
      <c r="L217" s="273"/>
      <c r="M217" s="273"/>
      <c r="N217" s="272">
        <f t="shared" si="125"/>
        <v>24</v>
      </c>
      <c r="O217" s="274">
        <f t="shared" si="126"/>
        <v>1</v>
      </c>
      <c r="P217" s="275">
        <f t="shared" si="127"/>
        <v>1</v>
      </c>
      <c r="Q217" s="276"/>
      <c r="R217" s="278">
        <f t="shared" si="128"/>
        <v>18</v>
      </c>
      <c r="S217" s="272">
        <f>IFERROR(INDEX('Horo. M'!G$3:$G$367,MATCH(A217,'Horo. M'!$A$3:$A$367,0)),"")</f>
        <v>6</v>
      </c>
      <c r="T217" s="278"/>
      <c r="U217" s="278"/>
      <c r="V217" s="272">
        <f t="shared" si="129"/>
        <v>24</v>
      </c>
      <c r="W217" s="274">
        <f t="shared" si="130"/>
        <v>0.25</v>
      </c>
      <c r="X217" s="275">
        <f t="shared" si="131"/>
        <v>1</v>
      </c>
      <c r="Y217" s="278"/>
      <c r="Z217" s="278">
        <f t="shared" si="132"/>
        <v>0</v>
      </c>
      <c r="AA217" s="272">
        <f>IFERROR(INDEX('Horo. M'!$I$3:I$367,MATCH(A217,'Horo. M'!$A$3:$A$367,0)),"")</f>
        <v>24</v>
      </c>
      <c r="AB217" s="273"/>
      <c r="AC217" s="273"/>
      <c r="AD217" s="272">
        <f t="shared" si="133"/>
        <v>24</v>
      </c>
      <c r="AE217" s="274">
        <f t="shared" si="134"/>
        <v>1</v>
      </c>
      <c r="AF217" s="275">
        <f t="shared" si="135"/>
        <v>1</v>
      </c>
      <c r="AG217" s="278"/>
      <c r="AH217" s="272">
        <f t="shared" si="136"/>
        <v>0</v>
      </c>
      <c r="AI217" s="272">
        <f>IFERROR(INDEX('Horo. M'!$K$3:K$367,MATCH(A217,'Horo. M'!$A$3:$A$367,0)),"")</f>
        <v>24</v>
      </c>
      <c r="AJ217" s="278"/>
      <c r="AK217" s="278"/>
      <c r="AL217" s="272">
        <f t="shared" si="137"/>
        <v>24</v>
      </c>
      <c r="AM217" s="274">
        <f t="shared" si="138"/>
        <v>1</v>
      </c>
      <c r="AN217" s="275">
        <f t="shared" si="139"/>
        <v>1</v>
      </c>
      <c r="AO217" s="278"/>
      <c r="AP217" s="272">
        <f t="shared" si="140"/>
        <v>0</v>
      </c>
      <c r="AQ217" s="272">
        <f>IFERROR(INDEX('Horo. M'!$M$3:M$367,MATCH(A217,'Horo. M'!$A$3:$A$367,0)),"")</f>
        <v>24</v>
      </c>
      <c r="AR217" s="278"/>
      <c r="AS217" s="278"/>
      <c r="AT217" s="272">
        <f t="shared" si="141"/>
        <v>24</v>
      </c>
      <c r="AU217" s="274">
        <f t="shared" si="142"/>
        <v>1</v>
      </c>
      <c r="AV217" s="275">
        <f t="shared" si="143"/>
        <v>1</v>
      </c>
      <c r="AW217" s="278"/>
      <c r="AX217" s="272">
        <f t="shared" si="144"/>
        <v>0</v>
      </c>
      <c r="AY217" s="272">
        <f>IFERROR(INDEX('Horo. M'!$O$3:O$367,MATCH(A217,'Horo. M'!$A$3:$A$367,0)),"")</f>
        <v>24</v>
      </c>
      <c r="AZ217" s="278"/>
      <c r="BA217" s="278"/>
      <c r="BB217" s="272">
        <f t="shared" si="145"/>
        <v>24</v>
      </c>
      <c r="BC217" s="274">
        <f t="shared" si="146"/>
        <v>1</v>
      </c>
      <c r="BD217" s="275">
        <f t="shared" si="147"/>
        <v>1</v>
      </c>
      <c r="BE217" s="278"/>
      <c r="BF217" s="272">
        <f t="shared" si="148"/>
        <v>0</v>
      </c>
      <c r="BG217" s="272">
        <f>IFERROR(INDEX('Horo. M'!$Q$3:Q$367,MATCH(A217,'Horo. M'!$A$3:$A$367,0)),"")</f>
        <v>24</v>
      </c>
      <c r="BH217" s="278"/>
      <c r="BI217" s="278"/>
      <c r="BJ217" s="272">
        <f t="shared" si="149"/>
        <v>24</v>
      </c>
      <c r="BK217" s="274">
        <f t="shared" si="150"/>
        <v>1</v>
      </c>
      <c r="BL217" s="275">
        <f t="shared" si="151"/>
        <v>1</v>
      </c>
      <c r="BM217" s="278"/>
      <c r="BN217" s="272">
        <f t="shared" si="152"/>
        <v>1</v>
      </c>
      <c r="BO217" s="272">
        <f>IFERROR(INDEX('Horo. M'!$S$3:S$367,MATCH(A217,'Horo. M'!$A$3:$A$367,0)),"")</f>
        <v>23</v>
      </c>
      <c r="BP217" s="278"/>
      <c r="BQ217" s="278"/>
      <c r="BR217" s="272">
        <f t="shared" si="153"/>
        <v>24</v>
      </c>
      <c r="BS217" s="274">
        <f t="shared" si="154"/>
        <v>0.95833333333333337</v>
      </c>
      <c r="BT217" s="275">
        <f t="shared" si="155"/>
        <v>1</v>
      </c>
      <c r="BU217" s="278"/>
      <c r="BV217" s="272">
        <f t="shared" si="156"/>
        <v>24</v>
      </c>
      <c r="BW217" s="272">
        <f>IFERROR(INDEX('Horo. M'!$U$3:U$367,MATCH(A217,'Horo. M'!$A$3:$A$367,0)),"")</f>
        <v>0</v>
      </c>
      <c r="BX217" s="278"/>
      <c r="BY217" s="278"/>
      <c r="BZ217" s="272">
        <f t="shared" si="157"/>
        <v>24</v>
      </c>
      <c r="CA217" s="274">
        <f t="shared" si="158"/>
        <v>0</v>
      </c>
      <c r="CB217" s="275">
        <f t="shared" si="159"/>
        <v>1</v>
      </c>
      <c r="CC217" s="280"/>
    </row>
    <row r="218" spans="1:81">
      <c r="A218" s="279">
        <v>45143</v>
      </c>
      <c r="B218" s="278">
        <f t="shared" si="120"/>
        <v>0</v>
      </c>
      <c r="C218" s="272">
        <f>IFERROR(INDEX('Horo. M'!$C$3:$C$367,MATCH(A218,'Horo. M'!$A$3:$A$367,0)),"")</f>
        <v>24</v>
      </c>
      <c r="D218" s="278"/>
      <c r="E218" s="278"/>
      <c r="F218" s="272">
        <f t="shared" si="121"/>
        <v>24</v>
      </c>
      <c r="G218" s="274">
        <f t="shared" si="122"/>
        <v>1</v>
      </c>
      <c r="H218" s="275">
        <f t="shared" si="123"/>
        <v>1</v>
      </c>
      <c r="I218" s="277"/>
      <c r="J218" s="278">
        <f t="shared" si="124"/>
        <v>0</v>
      </c>
      <c r="K218" s="272">
        <f>IFERROR(INDEX('Horo. M'!$E$3:$E$367,MATCH(A218,'Horo. M'!$A$3:$A$367,0)),"")</f>
        <v>24</v>
      </c>
      <c r="L218" s="273"/>
      <c r="M218" s="273"/>
      <c r="N218" s="272">
        <f t="shared" si="125"/>
        <v>24</v>
      </c>
      <c r="O218" s="274">
        <f t="shared" si="126"/>
        <v>1</v>
      </c>
      <c r="P218" s="275">
        <f t="shared" si="127"/>
        <v>1</v>
      </c>
      <c r="Q218" s="276"/>
      <c r="R218" s="278">
        <f t="shared" si="128"/>
        <v>17</v>
      </c>
      <c r="S218" s="272">
        <f>IFERROR(INDEX('Horo. M'!G$3:$G$367,MATCH(A218,'Horo. M'!$A$3:$A$367,0)),"")</f>
        <v>7</v>
      </c>
      <c r="T218" s="278"/>
      <c r="U218" s="278"/>
      <c r="V218" s="272">
        <f t="shared" si="129"/>
        <v>24</v>
      </c>
      <c r="W218" s="274">
        <f t="shared" si="130"/>
        <v>0.29166666666666669</v>
      </c>
      <c r="X218" s="275">
        <f t="shared" si="131"/>
        <v>1</v>
      </c>
      <c r="Y218" s="278"/>
      <c r="Z218" s="278">
        <f t="shared" si="132"/>
        <v>0</v>
      </c>
      <c r="AA218" s="272">
        <f>IFERROR(INDEX('Horo. M'!$I$3:I$367,MATCH(A218,'Horo. M'!$A$3:$A$367,0)),"")</f>
        <v>24</v>
      </c>
      <c r="AB218" s="273"/>
      <c r="AC218" s="273"/>
      <c r="AD218" s="272">
        <f t="shared" si="133"/>
        <v>24</v>
      </c>
      <c r="AE218" s="274">
        <f t="shared" si="134"/>
        <v>1</v>
      </c>
      <c r="AF218" s="275">
        <f t="shared" si="135"/>
        <v>1</v>
      </c>
      <c r="AG218" s="278"/>
      <c r="AH218" s="272">
        <f t="shared" si="136"/>
        <v>0</v>
      </c>
      <c r="AI218" s="272">
        <f>IFERROR(INDEX('Horo. M'!$K$3:K$367,MATCH(A218,'Horo. M'!$A$3:$A$367,0)),"")</f>
        <v>24</v>
      </c>
      <c r="AJ218" s="278"/>
      <c r="AK218" s="278"/>
      <c r="AL218" s="272">
        <f t="shared" si="137"/>
        <v>24</v>
      </c>
      <c r="AM218" s="274">
        <f t="shared" si="138"/>
        <v>1</v>
      </c>
      <c r="AN218" s="275">
        <f t="shared" si="139"/>
        <v>1</v>
      </c>
      <c r="AO218" s="278"/>
      <c r="AP218" s="272">
        <f t="shared" si="140"/>
        <v>0</v>
      </c>
      <c r="AQ218" s="272">
        <f>IFERROR(INDEX('Horo. M'!$M$3:M$367,MATCH(A218,'Horo. M'!$A$3:$A$367,0)),"")</f>
        <v>24</v>
      </c>
      <c r="AR218" s="278"/>
      <c r="AS218" s="278"/>
      <c r="AT218" s="272">
        <f t="shared" si="141"/>
        <v>24</v>
      </c>
      <c r="AU218" s="274">
        <f t="shared" si="142"/>
        <v>1</v>
      </c>
      <c r="AV218" s="275">
        <f t="shared" si="143"/>
        <v>1</v>
      </c>
      <c r="AW218" s="278"/>
      <c r="AX218" s="272">
        <f t="shared" si="144"/>
        <v>0</v>
      </c>
      <c r="AY218" s="272">
        <f>IFERROR(INDEX('Horo. M'!$O$3:O$367,MATCH(A218,'Horo. M'!$A$3:$A$367,0)),"")</f>
        <v>24</v>
      </c>
      <c r="AZ218" s="278"/>
      <c r="BA218" s="278"/>
      <c r="BB218" s="272">
        <f t="shared" si="145"/>
        <v>24</v>
      </c>
      <c r="BC218" s="274">
        <f t="shared" si="146"/>
        <v>1</v>
      </c>
      <c r="BD218" s="275">
        <f t="shared" si="147"/>
        <v>1</v>
      </c>
      <c r="BE218" s="278"/>
      <c r="BF218" s="272">
        <f t="shared" si="148"/>
        <v>0</v>
      </c>
      <c r="BG218" s="272">
        <f>IFERROR(INDEX('Horo. M'!$Q$3:Q$367,MATCH(A218,'Horo. M'!$A$3:$A$367,0)),"")</f>
        <v>24</v>
      </c>
      <c r="BH218" s="278"/>
      <c r="BI218" s="278"/>
      <c r="BJ218" s="272">
        <f t="shared" si="149"/>
        <v>24</v>
      </c>
      <c r="BK218" s="274">
        <f t="shared" si="150"/>
        <v>1</v>
      </c>
      <c r="BL218" s="275">
        <f t="shared" si="151"/>
        <v>1</v>
      </c>
      <c r="BM218" s="278"/>
      <c r="BN218" s="272">
        <f t="shared" si="152"/>
        <v>0</v>
      </c>
      <c r="BO218" s="272">
        <f>IFERROR(INDEX('Horo. M'!$S$3:S$367,MATCH(A218,'Horo. M'!$A$3:$A$367,0)),"")</f>
        <v>24</v>
      </c>
      <c r="BP218" s="278"/>
      <c r="BQ218" s="278"/>
      <c r="BR218" s="272">
        <f t="shared" si="153"/>
        <v>24</v>
      </c>
      <c r="BS218" s="274">
        <f t="shared" si="154"/>
        <v>1</v>
      </c>
      <c r="BT218" s="275">
        <f t="shared" si="155"/>
        <v>1</v>
      </c>
      <c r="BU218" s="278"/>
      <c r="BV218" s="272">
        <f t="shared" si="156"/>
        <v>24</v>
      </c>
      <c r="BW218" s="272">
        <f>IFERROR(INDEX('Horo. M'!$U$3:U$367,MATCH(A218,'Horo. M'!$A$3:$A$367,0)),"")</f>
        <v>0</v>
      </c>
      <c r="BX218" s="278"/>
      <c r="BY218" s="278"/>
      <c r="BZ218" s="272">
        <f t="shared" si="157"/>
        <v>24</v>
      </c>
      <c r="CA218" s="274">
        <f t="shared" si="158"/>
        <v>0</v>
      </c>
      <c r="CB218" s="275">
        <f t="shared" si="159"/>
        <v>1</v>
      </c>
      <c r="CC218" s="280"/>
    </row>
    <row r="219" spans="1:81">
      <c r="A219" s="279">
        <v>45144</v>
      </c>
      <c r="B219" s="278">
        <f t="shared" si="120"/>
        <v>0</v>
      </c>
      <c r="C219" s="272">
        <f>IFERROR(INDEX('Horo. M'!$C$3:$C$367,MATCH(A219,'Horo. M'!$A$3:$A$367,0)),"")</f>
        <v>24</v>
      </c>
      <c r="D219" s="278"/>
      <c r="E219" s="278"/>
      <c r="F219" s="272">
        <f t="shared" si="121"/>
        <v>24</v>
      </c>
      <c r="G219" s="274">
        <f t="shared" si="122"/>
        <v>1</v>
      </c>
      <c r="H219" s="275">
        <f t="shared" si="123"/>
        <v>1</v>
      </c>
      <c r="I219" s="277"/>
      <c r="J219" s="278">
        <f t="shared" si="124"/>
        <v>0</v>
      </c>
      <c r="K219" s="272">
        <f>IFERROR(INDEX('Horo. M'!$E$3:$E$367,MATCH(A219,'Horo. M'!$A$3:$A$367,0)),"")</f>
        <v>24</v>
      </c>
      <c r="L219" s="273"/>
      <c r="M219" s="273"/>
      <c r="N219" s="272">
        <f t="shared" si="125"/>
        <v>24</v>
      </c>
      <c r="O219" s="274">
        <f t="shared" si="126"/>
        <v>1</v>
      </c>
      <c r="P219" s="275">
        <f t="shared" si="127"/>
        <v>1</v>
      </c>
      <c r="Q219" s="276"/>
      <c r="R219" s="278">
        <f t="shared" si="128"/>
        <v>0</v>
      </c>
      <c r="S219" s="272">
        <f>IFERROR(INDEX('Horo. M'!G$3:$G$367,MATCH(A219,'Horo. M'!$A$3:$A$367,0)),"")</f>
        <v>24</v>
      </c>
      <c r="T219" s="278"/>
      <c r="U219" s="278"/>
      <c r="V219" s="272">
        <f t="shared" si="129"/>
        <v>24</v>
      </c>
      <c r="W219" s="274">
        <f t="shared" si="130"/>
        <v>1</v>
      </c>
      <c r="X219" s="275">
        <f t="shared" si="131"/>
        <v>1</v>
      </c>
      <c r="Y219" s="278"/>
      <c r="Z219" s="278">
        <f t="shared" si="132"/>
        <v>0</v>
      </c>
      <c r="AA219" s="272">
        <f>IFERROR(INDEX('Horo. M'!$I$3:I$367,MATCH(A219,'Horo. M'!$A$3:$A$367,0)),"")</f>
        <v>24</v>
      </c>
      <c r="AB219" s="273"/>
      <c r="AC219" s="273"/>
      <c r="AD219" s="272">
        <f t="shared" si="133"/>
        <v>24</v>
      </c>
      <c r="AE219" s="274">
        <f t="shared" si="134"/>
        <v>1</v>
      </c>
      <c r="AF219" s="275">
        <f t="shared" si="135"/>
        <v>1</v>
      </c>
      <c r="AG219" s="278"/>
      <c r="AH219" s="272">
        <f t="shared" si="136"/>
        <v>0</v>
      </c>
      <c r="AI219" s="272">
        <f>IFERROR(INDEX('Horo. M'!$K$3:K$367,MATCH(A219,'Horo. M'!$A$3:$A$367,0)),"")</f>
        <v>24</v>
      </c>
      <c r="AJ219" s="278"/>
      <c r="AK219" s="278"/>
      <c r="AL219" s="272">
        <f t="shared" si="137"/>
        <v>24</v>
      </c>
      <c r="AM219" s="274">
        <f t="shared" si="138"/>
        <v>1</v>
      </c>
      <c r="AN219" s="275">
        <f t="shared" si="139"/>
        <v>1</v>
      </c>
      <c r="AO219" s="278"/>
      <c r="AP219" s="272">
        <f t="shared" si="140"/>
        <v>0</v>
      </c>
      <c r="AQ219" s="272">
        <f>IFERROR(INDEX('Horo. M'!$M$3:M$367,MATCH(A219,'Horo. M'!$A$3:$A$367,0)),"")</f>
        <v>24</v>
      </c>
      <c r="AR219" s="278"/>
      <c r="AS219" s="278"/>
      <c r="AT219" s="272">
        <f t="shared" si="141"/>
        <v>24</v>
      </c>
      <c r="AU219" s="274">
        <f t="shared" si="142"/>
        <v>1</v>
      </c>
      <c r="AV219" s="275">
        <f t="shared" si="143"/>
        <v>1</v>
      </c>
      <c r="AW219" s="278"/>
      <c r="AX219" s="272">
        <f t="shared" si="144"/>
        <v>0</v>
      </c>
      <c r="AY219" s="272">
        <f>IFERROR(INDEX('Horo. M'!$O$3:O$367,MATCH(A219,'Horo. M'!$A$3:$A$367,0)),"")</f>
        <v>24</v>
      </c>
      <c r="AZ219" s="278"/>
      <c r="BA219" s="278"/>
      <c r="BB219" s="272">
        <f t="shared" si="145"/>
        <v>24</v>
      </c>
      <c r="BC219" s="274">
        <f t="shared" si="146"/>
        <v>1</v>
      </c>
      <c r="BD219" s="275">
        <f t="shared" si="147"/>
        <v>1</v>
      </c>
      <c r="BE219" s="278"/>
      <c r="BF219" s="272">
        <f t="shared" si="148"/>
        <v>0</v>
      </c>
      <c r="BG219" s="272">
        <f>IFERROR(INDEX('Horo. M'!$Q$3:Q$367,MATCH(A219,'Horo. M'!$A$3:$A$367,0)),"")</f>
        <v>24</v>
      </c>
      <c r="BH219" s="278"/>
      <c r="BI219" s="278"/>
      <c r="BJ219" s="272">
        <f t="shared" si="149"/>
        <v>24</v>
      </c>
      <c r="BK219" s="274">
        <f t="shared" si="150"/>
        <v>1</v>
      </c>
      <c r="BL219" s="275">
        <f t="shared" si="151"/>
        <v>1</v>
      </c>
      <c r="BM219" s="278"/>
      <c r="BN219" s="272">
        <f t="shared" si="152"/>
        <v>0</v>
      </c>
      <c r="BO219" s="272">
        <f>IFERROR(INDEX('Horo. M'!$S$3:S$367,MATCH(A219,'Horo. M'!$A$3:$A$367,0)),"")</f>
        <v>24</v>
      </c>
      <c r="BP219" s="278"/>
      <c r="BQ219" s="278"/>
      <c r="BR219" s="272">
        <f t="shared" si="153"/>
        <v>24</v>
      </c>
      <c r="BS219" s="274">
        <f t="shared" si="154"/>
        <v>1</v>
      </c>
      <c r="BT219" s="275">
        <f t="shared" si="155"/>
        <v>1</v>
      </c>
      <c r="BU219" s="278"/>
      <c r="BV219" s="272">
        <f t="shared" si="156"/>
        <v>24</v>
      </c>
      <c r="BW219" s="272">
        <f>IFERROR(INDEX('Horo. M'!$U$3:U$367,MATCH(A219,'Horo. M'!$A$3:$A$367,0)),"")</f>
        <v>0</v>
      </c>
      <c r="BX219" s="278"/>
      <c r="BY219" s="278"/>
      <c r="BZ219" s="272">
        <f t="shared" si="157"/>
        <v>24</v>
      </c>
      <c r="CA219" s="274">
        <f t="shared" si="158"/>
        <v>0</v>
      </c>
      <c r="CB219" s="275">
        <f t="shared" si="159"/>
        <v>1</v>
      </c>
      <c r="CC219" s="280"/>
    </row>
    <row r="220" spans="1:81">
      <c r="A220" s="279">
        <v>45145</v>
      </c>
      <c r="B220" s="278">
        <f t="shared" si="120"/>
        <v>0</v>
      </c>
      <c r="C220" s="272">
        <f>IFERROR(INDEX('Horo. M'!$C$3:$C$367,MATCH(A220,'Horo. M'!$A$3:$A$367,0)),"")</f>
        <v>24</v>
      </c>
      <c r="D220" s="278"/>
      <c r="E220" s="278"/>
      <c r="F220" s="272">
        <f t="shared" si="121"/>
        <v>24</v>
      </c>
      <c r="G220" s="274">
        <f t="shared" si="122"/>
        <v>1</v>
      </c>
      <c r="H220" s="275">
        <f t="shared" si="123"/>
        <v>1</v>
      </c>
      <c r="I220" s="277"/>
      <c r="J220" s="278">
        <f t="shared" si="124"/>
        <v>0</v>
      </c>
      <c r="K220" s="272">
        <f>IFERROR(INDEX('Horo. M'!$E$3:$E$367,MATCH(A220,'Horo. M'!$A$3:$A$367,0)),"")</f>
        <v>24</v>
      </c>
      <c r="L220" s="273"/>
      <c r="M220" s="273"/>
      <c r="N220" s="272">
        <f t="shared" si="125"/>
        <v>24</v>
      </c>
      <c r="O220" s="274">
        <f t="shared" si="126"/>
        <v>1</v>
      </c>
      <c r="P220" s="275">
        <f t="shared" si="127"/>
        <v>1</v>
      </c>
      <c r="Q220" s="276"/>
      <c r="R220" s="278">
        <f t="shared" si="128"/>
        <v>1</v>
      </c>
      <c r="S220" s="272">
        <f>IFERROR(INDEX('Horo. M'!G$3:$G$367,MATCH(A220,'Horo. M'!$A$3:$A$367,0)),"")</f>
        <v>23</v>
      </c>
      <c r="T220" s="278"/>
      <c r="U220" s="278"/>
      <c r="V220" s="272">
        <f t="shared" si="129"/>
        <v>24</v>
      </c>
      <c r="W220" s="274">
        <f t="shared" si="130"/>
        <v>0.95833333333333337</v>
      </c>
      <c r="X220" s="275">
        <f t="shared" si="131"/>
        <v>1</v>
      </c>
      <c r="Y220" s="278"/>
      <c r="Z220" s="278">
        <f t="shared" si="132"/>
        <v>0</v>
      </c>
      <c r="AA220" s="272">
        <f>IFERROR(INDEX('Horo. M'!$I$3:I$367,MATCH(A220,'Horo. M'!$A$3:$A$367,0)),"")</f>
        <v>24</v>
      </c>
      <c r="AB220" s="273"/>
      <c r="AC220" s="273"/>
      <c r="AD220" s="272">
        <f t="shared" si="133"/>
        <v>24</v>
      </c>
      <c r="AE220" s="274">
        <f t="shared" si="134"/>
        <v>1</v>
      </c>
      <c r="AF220" s="275">
        <f t="shared" si="135"/>
        <v>1</v>
      </c>
      <c r="AG220" s="278"/>
      <c r="AH220" s="272">
        <f t="shared" si="136"/>
        <v>0</v>
      </c>
      <c r="AI220" s="272">
        <f>IFERROR(INDEX('Horo. M'!$K$3:K$367,MATCH(A220,'Horo. M'!$A$3:$A$367,0)),"")</f>
        <v>24</v>
      </c>
      <c r="AJ220" s="278"/>
      <c r="AK220" s="278"/>
      <c r="AL220" s="272">
        <f t="shared" si="137"/>
        <v>24</v>
      </c>
      <c r="AM220" s="274">
        <f t="shared" si="138"/>
        <v>1</v>
      </c>
      <c r="AN220" s="275">
        <f t="shared" si="139"/>
        <v>1</v>
      </c>
      <c r="AO220" s="278"/>
      <c r="AP220" s="272">
        <f t="shared" si="140"/>
        <v>0</v>
      </c>
      <c r="AQ220" s="272">
        <f>IFERROR(INDEX('Horo. M'!$M$3:M$367,MATCH(A220,'Horo. M'!$A$3:$A$367,0)),"")</f>
        <v>24</v>
      </c>
      <c r="AR220" s="278"/>
      <c r="AS220" s="278"/>
      <c r="AT220" s="272">
        <f t="shared" si="141"/>
        <v>24</v>
      </c>
      <c r="AU220" s="274">
        <f t="shared" si="142"/>
        <v>1</v>
      </c>
      <c r="AV220" s="275">
        <f t="shared" si="143"/>
        <v>1</v>
      </c>
      <c r="AW220" s="278"/>
      <c r="AX220" s="272">
        <f t="shared" si="144"/>
        <v>2</v>
      </c>
      <c r="AY220" s="272">
        <f>IFERROR(INDEX('Horo. M'!$O$3:O$367,MATCH(A220,'Horo. M'!$A$3:$A$367,0)),"")</f>
        <v>22</v>
      </c>
      <c r="AZ220" s="278"/>
      <c r="BA220" s="278"/>
      <c r="BB220" s="272">
        <f t="shared" si="145"/>
        <v>24</v>
      </c>
      <c r="BC220" s="274">
        <f t="shared" si="146"/>
        <v>0.91666666666666663</v>
      </c>
      <c r="BD220" s="275">
        <f t="shared" si="147"/>
        <v>1</v>
      </c>
      <c r="BE220" s="278"/>
      <c r="BF220" s="272">
        <f t="shared" si="148"/>
        <v>0</v>
      </c>
      <c r="BG220" s="272">
        <f>IFERROR(INDEX('Horo. M'!$Q$3:Q$367,MATCH(A220,'Horo. M'!$A$3:$A$367,0)),"")</f>
        <v>24</v>
      </c>
      <c r="BH220" s="278"/>
      <c r="BI220" s="278"/>
      <c r="BJ220" s="272">
        <f t="shared" si="149"/>
        <v>24</v>
      </c>
      <c r="BK220" s="274">
        <f t="shared" si="150"/>
        <v>1</v>
      </c>
      <c r="BL220" s="275">
        <f t="shared" si="151"/>
        <v>1</v>
      </c>
      <c r="BM220" s="278"/>
      <c r="BN220" s="272">
        <f t="shared" si="152"/>
        <v>1</v>
      </c>
      <c r="BO220" s="272">
        <f>IFERROR(INDEX('Horo. M'!$S$3:S$367,MATCH(A220,'Horo. M'!$A$3:$A$367,0)),"")</f>
        <v>23</v>
      </c>
      <c r="BP220" s="278"/>
      <c r="BQ220" s="278"/>
      <c r="BR220" s="272">
        <f t="shared" si="153"/>
        <v>24</v>
      </c>
      <c r="BS220" s="274">
        <f t="shared" si="154"/>
        <v>0.95833333333333337</v>
      </c>
      <c r="BT220" s="275">
        <f t="shared" si="155"/>
        <v>1</v>
      </c>
      <c r="BU220" s="278"/>
      <c r="BV220" s="272">
        <f t="shared" si="156"/>
        <v>24</v>
      </c>
      <c r="BW220" s="272">
        <f>IFERROR(INDEX('Horo. M'!$U$3:U$367,MATCH(A220,'Horo. M'!$A$3:$A$367,0)),"")</f>
        <v>0</v>
      </c>
      <c r="BX220" s="278"/>
      <c r="BY220" s="278"/>
      <c r="BZ220" s="272">
        <f t="shared" si="157"/>
        <v>24</v>
      </c>
      <c r="CA220" s="274">
        <f t="shared" si="158"/>
        <v>0</v>
      </c>
      <c r="CB220" s="275">
        <f t="shared" si="159"/>
        <v>1</v>
      </c>
      <c r="CC220" s="280"/>
    </row>
    <row r="221" spans="1:81">
      <c r="A221" s="279">
        <v>45146</v>
      </c>
      <c r="B221" s="278">
        <f t="shared" si="120"/>
        <v>0</v>
      </c>
      <c r="C221" s="272">
        <f>IFERROR(INDEX('Horo. M'!$C$3:$C$367,MATCH(A221,'Horo. M'!$A$3:$A$367,0)),"")</f>
        <v>24</v>
      </c>
      <c r="D221" s="278"/>
      <c r="E221" s="278"/>
      <c r="F221" s="272">
        <f t="shared" si="121"/>
        <v>24</v>
      </c>
      <c r="G221" s="274">
        <f t="shared" si="122"/>
        <v>1</v>
      </c>
      <c r="H221" s="275">
        <f t="shared" si="123"/>
        <v>1</v>
      </c>
      <c r="I221" s="277"/>
      <c r="J221" s="278">
        <f t="shared" si="124"/>
        <v>0</v>
      </c>
      <c r="K221" s="272">
        <f>IFERROR(INDEX('Horo. M'!$E$3:$E$367,MATCH(A221,'Horo. M'!$A$3:$A$367,0)),"")</f>
        <v>24</v>
      </c>
      <c r="L221" s="273"/>
      <c r="M221" s="273"/>
      <c r="N221" s="272">
        <f t="shared" si="125"/>
        <v>24</v>
      </c>
      <c r="O221" s="274">
        <f t="shared" si="126"/>
        <v>1</v>
      </c>
      <c r="P221" s="275">
        <f t="shared" si="127"/>
        <v>1</v>
      </c>
      <c r="Q221" s="276"/>
      <c r="R221" s="278">
        <f t="shared" si="128"/>
        <v>0</v>
      </c>
      <c r="S221" s="272">
        <f>IFERROR(INDEX('Horo. M'!G$3:$G$367,MATCH(A221,'Horo. M'!$A$3:$A$367,0)),"")</f>
        <v>24</v>
      </c>
      <c r="T221" s="278"/>
      <c r="U221" s="278"/>
      <c r="V221" s="272">
        <f t="shared" si="129"/>
        <v>24</v>
      </c>
      <c r="W221" s="274">
        <f t="shared" si="130"/>
        <v>1</v>
      </c>
      <c r="X221" s="275">
        <f t="shared" si="131"/>
        <v>1</v>
      </c>
      <c r="Y221" s="278"/>
      <c r="Z221" s="278">
        <f t="shared" si="132"/>
        <v>0</v>
      </c>
      <c r="AA221" s="272">
        <f>IFERROR(INDEX('Horo. M'!$I$3:I$367,MATCH(A221,'Horo. M'!$A$3:$A$367,0)),"")</f>
        <v>24</v>
      </c>
      <c r="AB221" s="273"/>
      <c r="AC221" s="273"/>
      <c r="AD221" s="272">
        <f t="shared" si="133"/>
        <v>24</v>
      </c>
      <c r="AE221" s="274">
        <f t="shared" si="134"/>
        <v>1</v>
      </c>
      <c r="AF221" s="275">
        <f t="shared" si="135"/>
        <v>1</v>
      </c>
      <c r="AG221" s="278"/>
      <c r="AH221" s="272">
        <f t="shared" si="136"/>
        <v>0</v>
      </c>
      <c r="AI221" s="272">
        <f>IFERROR(INDEX('Horo. M'!$K$3:K$367,MATCH(A221,'Horo. M'!$A$3:$A$367,0)),"")</f>
        <v>24</v>
      </c>
      <c r="AJ221" s="278"/>
      <c r="AK221" s="278"/>
      <c r="AL221" s="272">
        <f t="shared" si="137"/>
        <v>24</v>
      </c>
      <c r="AM221" s="274">
        <f t="shared" si="138"/>
        <v>1</v>
      </c>
      <c r="AN221" s="275">
        <f t="shared" si="139"/>
        <v>1</v>
      </c>
      <c r="AO221" s="278"/>
      <c r="AP221" s="272">
        <f t="shared" si="140"/>
        <v>0</v>
      </c>
      <c r="AQ221" s="272">
        <f>IFERROR(INDEX('Horo. M'!$M$3:M$367,MATCH(A221,'Horo. M'!$A$3:$A$367,0)),"")</f>
        <v>24</v>
      </c>
      <c r="AR221" s="278"/>
      <c r="AS221" s="278"/>
      <c r="AT221" s="272">
        <f t="shared" si="141"/>
        <v>24</v>
      </c>
      <c r="AU221" s="274">
        <f t="shared" si="142"/>
        <v>1</v>
      </c>
      <c r="AV221" s="275">
        <f t="shared" si="143"/>
        <v>1</v>
      </c>
      <c r="AW221" s="278"/>
      <c r="AX221" s="272">
        <f t="shared" si="144"/>
        <v>0</v>
      </c>
      <c r="AY221" s="272">
        <f>IFERROR(INDEX('Horo. M'!$O$3:O$367,MATCH(A221,'Horo. M'!$A$3:$A$367,0)),"")</f>
        <v>24</v>
      </c>
      <c r="AZ221" s="278"/>
      <c r="BA221" s="278"/>
      <c r="BB221" s="272">
        <f t="shared" si="145"/>
        <v>24</v>
      </c>
      <c r="BC221" s="274">
        <f t="shared" si="146"/>
        <v>1</v>
      </c>
      <c r="BD221" s="275">
        <f t="shared" si="147"/>
        <v>1</v>
      </c>
      <c r="BE221" s="278"/>
      <c r="BF221" s="272">
        <f t="shared" si="148"/>
        <v>0</v>
      </c>
      <c r="BG221" s="272">
        <f>IFERROR(INDEX('Horo. M'!$Q$3:Q$367,MATCH(A221,'Horo. M'!$A$3:$A$367,0)),"")</f>
        <v>24</v>
      </c>
      <c r="BH221" s="278"/>
      <c r="BI221" s="278"/>
      <c r="BJ221" s="272">
        <f t="shared" si="149"/>
        <v>24</v>
      </c>
      <c r="BK221" s="274">
        <f t="shared" si="150"/>
        <v>1</v>
      </c>
      <c r="BL221" s="275">
        <f t="shared" si="151"/>
        <v>1</v>
      </c>
      <c r="BM221" s="278"/>
      <c r="BN221" s="272">
        <f t="shared" si="152"/>
        <v>0</v>
      </c>
      <c r="BO221" s="272">
        <f>IFERROR(INDEX('Horo. M'!$S$3:S$367,MATCH(A221,'Horo. M'!$A$3:$A$367,0)),"")</f>
        <v>24</v>
      </c>
      <c r="BP221" s="278"/>
      <c r="BQ221" s="278"/>
      <c r="BR221" s="272">
        <f t="shared" si="153"/>
        <v>24</v>
      </c>
      <c r="BS221" s="274">
        <f t="shared" si="154"/>
        <v>1</v>
      </c>
      <c r="BT221" s="275">
        <f t="shared" si="155"/>
        <v>1</v>
      </c>
      <c r="BU221" s="278"/>
      <c r="BV221" s="272">
        <f t="shared" si="156"/>
        <v>24</v>
      </c>
      <c r="BW221" s="272">
        <f>IFERROR(INDEX('Horo. M'!$U$3:U$367,MATCH(A221,'Horo. M'!$A$3:$A$367,0)),"")</f>
        <v>0</v>
      </c>
      <c r="BX221" s="278"/>
      <c r="BY221" s="278"/>
      <c r="BZ221" s="272">
        <f t="shared" si="157"/>
        <v>24</v>
      </c>
      <c r="CA221" s="274">
        <f t="shared" si="158"/>
        <v>0</v>
      </c>
      <c r="CB221" s="275">
        <f t="shared" si="159"/>
        <v>1</v>
      </c>
      <c r="CC221" s="280"/>
    </row>
    <row r="222" spans="1:81">
      <c r="A222" s="279">
        <v>45147</v>
      </c>
      <c r="B222" s="278">
        <f t="shared" si="120"/>
        <v>0</v>
      </c>
      <c r="C222" s="272">
        <f>IFERROR(INDEX('Horo. M'!$C$3:$C$367,MATCH(A222,'Horo. M'!$A$3:$A$367,0)),"")</f>
        <v>24</v>
      </c>
      <c r="D222" s="278"/>
      <c r="E222" s="278"/>
      <c r="F222" s="272">
        <f t="shared" si="121"/>
        <v>24</v>
      </c>
      <c r="G222" s="274">
        <f t="shared" si="122"/>
        <v>1</v>
      </c>
      <c r="H222" s="275">
        <f t="shared" si="123"/>
        <v>1</v>
      </c>
      <c r="I222" s="277"/>
      <c r="J222" s="278">
        <f t="shared" si="124"/>
        <v>0</v>
      </c>
      <c r="K222" s="272">
        <f>IFERROR(INDEX('Horo. M'!$E$3:$E$367,MATCH(A222,'Horo. M'!$A$3:$A$367,0)),"")</f>
        <v>24</v>
      </c>
      <c r="L222" s="273"/>
      <c r="M222" s="273"/>
      <c r="N222" s="272">
        <f t="shared" si="125"/>
        <v>24</v>
      </c>
      <c r="O222" s="274">
        <f t="shared" si="126"/>
        <v>1</v>
      </c>
      <c r="P222" s="275">
        <f t="shared" si="127"/>
        <v>1</v>
      </c>
      <c r="Q222" s="276"/>
      <c r="R222" s="278">
        <f t="shared" si="128"/>
        <v>0</v>
      </c>
      <c r="S222" s="272">
        <f>IFERROR(INDEX('Horo. M'!G$3:$G$367,MATCH(A222,'Horo. M'!$A$3:$A$367,0)),"")</f>
        <v>24</v>
      </c>
      <c r="T222" s="278"/>
      <c r="U222" s="278"/>
      <c r="V222" s="272">
        <f t="shared" si="129"/>
        <v>24</v>
      </c>
      <c r="W222" s="274">
        <f t="shared" si="130"/>
        <v>1</v>
      </c>
      <c r="X222" s="275">
        <f t="shared" si="131"/>
        <v>1</v>
      </c>
      <c r="Y222" s="278"/>
      <c r="Z222" s="278">
        <f t="shared" si="132"/>
        <v>0</v>
      </c>
      <c r="AA222" s="272">
        <f>IFERROR(INDEX('Horo. M'!$I$3:I$367,MATCH(A222,'Horo. M'!$A$3:$A$367,0)),"")</f>
        <v>24</v>
      </c>
      <c r="AB222" s="273"/>
      <c r="AC222" s="273"/>
      <c r="AD222" s="272">
        <f t="shared" si="133"/>
        <v>24</v>
      </c>
      <c r="AE222" s="274">
        <f t="shared" si="134"/>
        <v>1</v>
      </c>
      <c r="AF222" s="275">
        <f t="shared" si="135"/>
        <v>1</v>
      </c>
      <c r="AG222" s="278"/>
      <c r="AH222" s="272">
        <f t="shared" si="136"/>
        <v>0</v>
      </c>
      <c r="AI222" s="272">
        <f>IFERROR(INDEX('Horo. M'!$K$3:K$367,MATCH(A222,'Horo. M'!$A$3:$A$367,0)),"")</f>
        <v>24</v>
      </c>
      <c r="AJ222" s="278"/>
      <c r="AK222" s="278"/>
      <c r="AL222" s="272">
        <f t="shared" si="137"/>
        <v>24</v>
      </c>
      <c r="AM222" s="274">
        <f t="shared" si="138"/>
        <v>1</v>
      </c>
      <c r="AN222" s="275">
        <f t="shared" si="139"/>
        <v>1</v>
      </c>
      <c r="AO222" s="278"/>
      <c r="AP222" s="272">
        <f t="shared" si="140"/>
        <v>0</v>
      </c>
      <c r="AQ222" s="272">
        <f>IFERROR(INDEX('Horo. M'!$M$3:M$367,MATCH(A222,'Horo. M'!$A$3:$A$367,0)),"")</f>
        <v>24</v>
      </c>
      <c r="AR222" s="278"/>
      <c r="AS222" s="278"/>
      <c r="AT222" s="272">
        <f t="shared" si="141"/>
        <v>24</v>
      </c>
      <c r="AU222" s="274">
        <f t="shared" si="142"/>
        <v>1</v>
      </c>
      <c r="AV222" s="275">
        <f t="shared" si="143"/>
        <v>1</v>
      </c>
      <c r="AW222" s="278"/>
      <c r="AX222" s="272">
        <f t="shared" si="144"/>
        <v>0</v>
      </c>
      <c r="AY222" s="272">
        <f>IFERROR(INDEX('Horo. M'!$O$3:O$367,MATCH(A222,'Horo. M'!$A$3:$A$367,0)),"")</f>
        <v>24</v>
      </c>
      <c r="AZ222" s="278"/>
      <c r="BA222" s="278"/>
      <c r="BB222" s="272">
        <f t="shared" si="145"/>
        <v>24</v>
      </c>
      <c r="BC222" s="274">
        <f t="shared" si="146"/>
        <v>1</v>
      </c>
      <c r="BD222" s="275">
        <f t="shared" si="147"/>
        <v>1</v>
      </c>
      <c r="BE222" s="278"/>
      <c r="BF222" s="272">
        <f t="shared" si="148"/>
        <v>0</v>
      </c>
      <c r="BG222" s="272">
        <f>IFERROR(INDEX('Horo. M'!$Q$3:Q$367,MATCH(A222,'Horo. M'!$A$3:$A$367,0)),"")</f>
        <v>24</v>
      </c>
      <c r="BH222" s="278"/>
      <c r="BI222" s="278"/>
      <c r="BJ222" s="272">
        <f t="shared" si="149"/>
        <v>24</v>
      </c>
      <c r="BK222" s="274">
        <f t="shared" si="150"/>
        <v>1</v>
      </c>
      <c r="BL222" s="275">
        <f t="shared" si="151"/>
        <v>1</v>
      </c>
      <c r="BM222" s="278"/>
      <c r="BN222" s="272">
        <f t="shared" si="152"/>
        <v>0</v>
      </c>
      <c r="BO222" s="272">
        <f>IFERROR(INDEX('Horo. M'!$S$3:S$367,MATCH(A222,'Horo. M'!$A$3:$A$367,0)),"")</f>
        <v>24</v>
      </c>
      <c r="BP222" s="278"/>
      <c r="BQ222" s="278"/>
      <c r="BR222" s="272">
        <f t="shared" si="153"/>
        <v>24</v>
      </c>
      <c r="BS222" s="274">
        <f t="shared" si="154"/>
        <v>1</v>
      </c>
      <c r="BT222" s="275">
        <f t="shared" si="155"/>
        <v>1</v>
      </c>
      <c r="BU222" s="278"/>
      <c r="BV222" s="272">
        <f t="shared" si="156"/>
        <v>24</v>
      </c>
      <c r="BW222" s="272">
        <f>IFERROR(INDEX('Horo. M'!$U$3:U$367,MATCH(A222,'Horo. M'!$A$3:$A$367,0)),"")</f>
        <v>0</v>
      </c>
      <c r="BX222" s="278"/>
      <c r="BY222" s="278"/>
      <c r="BZ222" s="272">
        <f t="shared" si="157"/>
        <v>24</v>
      </c>
      <c r="CA222" s="274">
        <f t="shared" si="158"/>
        <v>0</v>
      </c>
      <c r="CB222" s="275">
        <f t="shared" si="159"/>
        <v>1</v>
      </c>
      <c r="CC222" s="280"/>
    </row>
    <row r="223" spans="1:81">
      <c r="A223" s="279">
        <v>45148</v>
      </c>
      <c r="B223" s="278">
        <f t="shared" si="120"/>
        <v>5</v>
      </c>
      <c r="C223" s="272">
        <f>IFERROR(INDEX('Horo. M'!$C$3:$C$367,MATCH(A223,'Horo. M'!$A$3:$A$367,0)),"")</f>
        <v>19</v>
      </c>
      <c r="D223" s="278"/>
      <c r="E223" s="278"/>
      <c r="F223" s="272">
        <f t="shared" si="121"/>
        <v>24</v>
      </c>
      <c r="G223" s="274">
        <f t="shared" si="122"/>
        <v>0.79166666666666663</v>
      </c>
      <c r="H223" s="275">
        <f t="shared" si="123"/>
        <v>1</v>
      </c>
      <c r="I223" s="277"/>
      <c r="J223" s="278">
        <f t="shared" si="124"/>
        <v>0</v>
      </c>
      <c r="K223" s="272">
        <f>IFERROR(INDEX('Horo. M'!$E$3:$E$367,MATCH(A223,'Horo. M'!$A$3:$A$367,0)),"")</f>
        <v>24</v>
      </c>
      <c r="L223" s="273"/>
      <c r="M223" s="273"/>
      <c r="N223" s="272">
        <f t="shared" si="125"/>
        <v>24</v>
      </c>
      <c r="O223" s="274">
        <f t="shared" si="126"/>
        <v>1</v>
      </c>
      <c r="P223" s="275">
        <f t="shared" si="127"/>
        <v>1</v>
      </c>
      <c r="Q223" s="276"/>
      <c r="R223" s="278">
        <f t="shared" si="128"/>
        <v>7</v>
      </c>
      <c r="S223" s="272">
        <f>IFERROR(INDEX('Horo. M'!G$3:$G$367,MATCH(A223,'Horo. M'!$A$3:$A$367,0)),"")</f>
        <v>17</v>
      </c>
      <c r="T223" s="278"/>
      <c r="U223" s="278"/>
      <c r="V223" s="272">
        <f t="shared" si="129"/>
        <v>24</v>
      </c>
      <c r="W223" s="274">
        <f t="shared" si="130"/>
        <v>0.70833333333333337</v>
      </c>
      <c r="X223" s="275">
        <f t="shared" si="131"/>
        <v>1</v>
      </c>
      <c r="Y223" s="278"/>
      <c r="Z223" s="278">
        <f t="shared" si="132"/>
        <v>0</v>
      </c>
      <c r="AA223" s="272">
        <f>IFERROR(INDEX('Horo. M'!$I$3:I$367,MATCH(A223,'Horo. M'!$A$3:$A$367,0)),"")</f>
        <v>24</v>
      </c>
      <c r="AB223" s="273"/>
      <c r="AC223" s="273"/>
      <c r="AD223" s="272">
        <f t="shared" si="133"/>
        <v>24</v>
      </c>
      <c r="AE223" s="274">
        <f t="shared" si="134"/>
        <v>1</v>
      </c>
      <c r="AF223" s="275">
        <f t="shared" si="135"/>
        <v>1</v>
      </c>
      <c r="AG223" s="278"/>
      <c r="AH223" s="272">
        <f t="shared" si="136"/>
        <v>0</v>
      </c>
      <c r="AI223" s="272">
        <f>IFERROR(INDEX('Horo. M'!$K$3:K$367,MATCH(A223,'Horo. M'!$A$3:$A$367,0)),"")</f>
        <v>24</v>
      </c>
      <c r="AJ223" s="278"/>
      <c r="AK223" s="278"/>
      <c r="AL223" s="272">
        <f t="shared" si="137"/>
        <v>24</v>
      </c>
      <c r="AM223" s="274">
        <f t="shared" si="138"/>
        <v>1</v>
      </c>
      <c r="AN223" s="275">
        <f t="shared" si="139"/>
        <v>1</v>
      </c>
      <c r="AO223" s="278"/>
      <c r="AP223" s="272">
        <f t="shared" si="140"/>
        <v>0</v>
      </c>
      <c r="AQ223" s="272">
        <f>IFERROR(INDEX('Horo. M'!$M$3:M$367,MATCH(A223,'Horo. M'!$A$3:$A$367,0)),"")</f>
        <v>24</v>
      </c>
      <c r="AR223" s="278"/>
      <c r="AS223" s="278"/>
      <c r="AT223" s="272">
        <f t="shared" si="141"/>
        <v>24</v>
      </c>
      <c r="AU223" s="274">
        <f t="shared" si="142"/>
        <v>1</v>
      </c>
      <c r="AV223" s="275">
        <f t="shared" si="143"/>
        <v>1</v>
      </c>
      <c r="AW223" s="278"/>
      <c r="AX223" s="272">
        <f t="shared" si="144"/>
        <v>5</v>
      </c>
      <c r="AY223" s="272">
        <f>IFERROR(INDEX('Horo. M'!$O$3:O$367,MATCH(A223,'Horo. M'!$A$3:$A$367,0)),"")</f>
        <v>19</v>
      </c>
      <c r="AZ223" s="278"/>
      <c r="BA223" s="278"/>
      <c r="BB223" s="272">
        <f t="shared" si="145"/>
        <v>24</v>
      </c>
      <c r="BC223" s="274">
        <f t="shared" si="146"/>
        <v>0.79166666666666663</v>
      </c>
      <c r="BD223" s="275">
        <f t="shared" si="147"/>
        <v>1</v>
      </c>
      <c r="BE223" s="278"/>
      <c r="BF223" s="272">
        <f t="shared" si="148"/>
        <v>5</v>
      </c>
      <c r="BG223" s="272">
        <f>IFERROR(INDEX('Horo. M'!$Q$3:Q$367,MATCH(A223,'Horo. M'!$A$3:$A$367,0)),"")</f>
        <v>19</v>
      </c>
      <c r="BH223" s="278"/>
      <c r="BI223" s="278"/>
      <c r="BJ223" s="272">
        <f t="shared" si="149"/>
        <v>24</v>
      </c>
      <c r="BK223" s="274">
        <f t="shared" si="150"/>
        <v>0.79166666666666663</v>
      </c>
      <c r="BL223" s="275">
        <f t="shared" si="151"/>
        <v>1</v>
      </c>
      <c r="BM223" s="278"/>
      <c r="BN223" s="272">
        <f t="shared" si="152"/>
        <v>0</v>
      </c>
      <c r="BO223" s="272">
        <f>IFERROR(INDEX('Horo. M'!$S$3:S$367,MATCH(A223,'Horo. M'!$A$3:$A$367,0)),"")</f>
        <v>24</v>
      </c>
      <c r="BP223" s="278"/>
      <c r="BQ223" s="278"/>
      <c r="BR223" s="272">
        <f t="shared" si="153"/>
        <v>24</v>
      </c>
      <c r="BS223" s="274">
        <f t="shared" si="154"/>
        <v>1</v>
      </c>
      <c r="BT223" s="275">
        <f t="shared" si="155"/>
        <v>1</v>
      </c>
      <c r="BU223" s="278"/>
      <c r="BV223" s="272">
        <f t="shared" si="156"/>
        <v>24</v>
      </c>
      <c r="BW223" s="272">
        <f>IFERROR(INDEX('Horo. M'!$U$3:U$367,MATCH(A223,'Horo. M'!$A$3:$A$367,0)),"")</f>
        <v>0</v>
      </c>
      <c r="BX223" s="278"/>
      <c r="BY223" s="278"/>
      <c r="BZ223" s="272">
        <f t="shared" si="157"/>
        <v>24</v>
      </c>
      <c r="CA223" s="274">
        <f t="shared" si="158"/>
        <v>0</v>
      </c>
      <c r="CB223" s="275">
        <f t="shared" si="159"/>
        <v>1</v>
      </c>
      <c r="CC223" s="280"/>
    </row>
    <row r="224" spans="1:81">
      <c r="A224" s="279">
        <v>45149</v>
      </c>
      <c r="B224" s="278">
        <f t="shared" si="120"/>
        <v>0</v>
      </c>
      <c r="C224" s="272">
        <f>IFERROR(INDEX('Horo. M'!$C$3:$C$367,MATCH(A224,'Horo. M'!$A$3:$A$367,0)),"")</f>
        <v>24</v>
      </c>
      <c r="D224" s="278"/>
      <c r="E224" s="278"/>
      <c r="F224" s="272">
        <f t="shared" si="121"/>
        <v>24</v>
      </c>
      <c r="G224" s="274">
        <f t="shared" si="122"/>
        <v>1</v>
      </c>
      <c r="H224" s="275">
        <f t="shared" si="123"/>
        <v>1</v>
      </c>
      <c r="I224" s="277"/>
      <c r="J224" s="278">
        <f t="shared" si="124"/>
        <v>0</v>
      </c>
      <c r="K224" s="272">
        <f>IFERROR(INDEX('Horo. M'!$E$3:$E$367,MATCH(A224,'Horo. M'!$A$3:$A$367,0)),"")</f>
        <v>24</v>
      </c>
      <c r="L224" s="273"/>
      <c r="M224" s="273"/>
      <c r="N224" s="272">
        <f t="shared" si="125"/>
        <v>24</v>
      </c>
      <c r="O224" s="274">
        <f t="shared" si="126"/>
        <v>1</v>
      </c>
      <c r="P224" s="275">
        <f t="shared" si="127"/>
        <v>1</v>
      </c>
      <c r="Q224" s="276"/>
      <c r="R224" s="278">
        <f t="shared" si="128"/>
        <v>0</v>
      </c>
      <c r="S224" s="272">
        <f>IFERROR(INDEX('Horo. M'!G$3:$G$367,MATCH(A224,'Horo. M'!$A$3:$A$367,0)),"")</f>
        <v>24</v>
      </c>
      <c r="T224" s="278"/>
      <c r="U224" s="278"/>
      <c r="V224" s="272">
        <f t="shared" si="129"/>
        <v>24</v>
      </c>
      <c r="W224" s="274">
        <f t="shared" si="130"/>
        <v>1</v>
      </c>
      <c r="X224" s="275">
        <f t="shared" si="131"/>
        <v>1</v>
      </c>
      <c r="Y224" s="278"/>
      <c r="Z224" s="278">
        <f t="shared" si="132"/>
        <v>0</v>
      </c>
      <c r="AA224" s="272">
        <f>IFERROR(INDEX('Horo. M'!$I$3:I$367,MATCH(A224,'Horo. M'!$A$3:$A$367,0)),"")</f>
        <v>24</v>
      </c>
      <c r="AB224" s="273"/>
      <c r="AC224" s="273"/>
      <c r="AD224" s="272">
        <f t="shared" si="133"/>
        <v>24</v>
      </c>
      <c r="AE224" s="274">
        <f t="shared" si="134"/>
        <v>1</v>
      </c>
      <c r="AF224" s="275">
        <f t="shared" si="135"/>
        <v>1</v>
      </c>
      <c r="AG224" s="278"/>
      <c r="AH224" s="272">
        <f t="shared" si="136"/>
        <v>1</v>
      </c>
      <c r="AI224" s="272">
        <f>IFERROR(INDEX('Horo. M'!$K$3:K$367,MATCH(A224,'Horo. M'!$A$3:$A$367,0)),"")</f>
        <v>23</v>
      </c>
      <c r="AJ224" s="278"/>
      <c r="AK224" s="278"/>
      <c r="AL224" s="272">
        <f t="shared" si="137"/>
        <v>24</v>
      </c>
      <c r="AM224" s="274">
        <f t="shared" si="138"/>
        <v>0.95833333333333337</v>
      </c>
      <c r="AN224" s="275">
        <f t="shared" si="139"/>
        <v>1</v>
      </c>
      <c r="AO224" s="278"/>
      <c r="AP224" s="272">
        <f t="shared" si="140"/>
        <v>0</v>
      </c>
      <c r="AQ224" s="272">
        <f>IFERROR(INDEX('Horo. M'!$M$3:M$367,MATCH(A224,'Horo. M'!$A$3:$A$367,0)),"")</f>
        <v>24</v>
      </c>
      <c r="AR224" s="278"/>
      <c r="AS224" s="278"/>
      <c r="AT224" s="272">
        <f t="shared" si="141"/>
        <v>24</v>
      </c>
      <c r="AU224" s="274">
        <f t="shared" si="142"/>
        <v>1</v>
      </c>
      <c r="AV224" s="275">
        <f t="shared" si="143"/>
        <v>1</v>
      </c>
      <c r="AW224" s="278"/>
      <c r="AX224" s="272">
        <f t="shared" si="144"/>
        <v>24</v>
      </c>
      <c r="AY224" s="272">
        <f>IFERROR(INDEX('Horo. M'!$O$3:O$367,MATCH(A224,'Horo. M'!$A$3:$A$367,0)),"")</f>
        <v>0</v>
      </c>
      <c r="AZ224" s="278"/>
      <c r="BA224" s="278"/>
      <c r="BB224" s="272">
        <f t="shared" si="145"/>
        <v>24</v>
      </c>
      <c r="BC224" s="274">
        <f t="shared" si="146"/>
        <v>0</v>
      </c>
      <c r="BD224" s="275">
        <f t="shared" si="147"/>
        <v>1</v>
      </c>
      <c r="BE224" s="278"/>
      <c r="BF224" s="272">
        <f t="shared" si="148"/>
        <v>0</v>
      </c>
      <c r="BG224" s="272">
        <f>IFERROR(INDEX('Horo. M'!$Q$3:Q$367,MATCH(A224,'Horo. M'!$A$3:$A$367,0)),"")</f>
        <v>24</v>
      </c>
      <c r="BH224" s="278"/>
      <c r="BI224" s="278"/>
      <c r="BJ224" s="272">
        <f t="shared" si="149"/>
        <v>24</v>
      </c>
      <c r="BK224" s="274">
        <f t="shared" si="150"/>
        <v>1</v>
      </c>
      <c r="BL224" s="275">
        <f t="shared" si="151"/>
        <v>1</v>
      </c>
      <c r="BM224" s="278"/>
      <c r="BN224" s="272">
        <f t="shared" si="152"/>
        <v>0</v>
      </c>
      <c r="BO224" s="272">
        <f>IFERROR(INDEX('Horo. M'!$S$3:S$367,MATCH(A224,'Horo. M'!$A$3:$A$367,0)),"")</f>
        <v>24</v>
      </c>
      <c r="BP224" s="278"/>
      <c r="BQ224" s="278"/>
      <c r="BR224" s="272">
        <f t="shared" si="153"/>
        <v>24</v>
      </c>
      <c r="BS224" s="274">
        <f t="shared" si="154"/>
        <v>1</v>
      </c>
      <c r="BT224" s="275">
        <f t="shared" si="155"/>
        <v>1</v>
      </c>
      <c r="BU224" s="278"/>
      <c r="BV224" s="272">
        <f t="shared" si="156"/>
        <v>24</v>
      </c>
      <c r="BW224" s="272">
        <f>IFERROR(INDEX('Horo. M'!$U$3:U$367,MATCH(A224,'Horo. M'!$A$3:$A$367,0)),"")</f>
        <v>0</v>
      </c>
      <c r="BX224" s="278"/>
      <c r="BY224" s="278"/>
      <c r="BZ224" s="272">
        <f t="shared" si="157"/>
        <v>24</v>
      </c>
      <c r="CA224" s="274">
        <f t="shared" si="158"/>
        <v>0</v>
      </c>
      <c r="CB224" s="275">
        <f t="shared" si="159"/>
        <v>1</v>
      </c>
      <c r="CC224" s="280"/>
    </row>
    <row r="225" spans="1:81">
      <c r="A225" s="279">
        <v>45150</v>
      </c>
      <c r="B225" s="278">
        <f t="shared" si="120"/>
        <v>0</v>
      </c>
      <c r="C225" s="272">
        <f>IFERROR(INDEX('Horo. M'!$C$3:$C$367,MATCH(A225,'Horo. M'!$A$3:$A$367,0)),"")</f>
        <v>24</v>
      </c>
      <c r="D225" s="278"/>
      <c r="E225" s="278"/>
      <c r="F225" s="272">
        <f t="shared" si="121"/>
        <v>24</v>
      </c>
      <c r="G225" s="274">
        <f t="shared" si="122"/>
        <v>1</v>
      </c>
      <c r="H225" s="275">
        <f t="shared" si="123"/>
        <v>1</v>
      </c>
      <c r="I225" s="277"/>
      <c r="J225" s="278">
        <f t="shared" si="124"/>
        <v>6</v>
      </c>
      <c r="K225" s="272">
        <f>IFERROR(INDEX('Horo. M'!$E$3:$E$367,MATCH(A225,'Horo. M'!$A$3:$A$367,0)),"")</f>
        <v>18</v>
      </c>
      <c r="L225" s="273"/>
      <c r="M225" s="273"/>
      <c r="N225" s="272">
        <f t="shared" si="125"/>
        <v>24</v>
      </c>
      <c r="O225" s="274">
        <f t="shared" si="126"/>
        <v>0.75</v>
      </c>
      <c r="P225" s="275">
        <f t="shared" si="127"/>
        <v>1</v>
      </c>
      <c r="Q225" s="276"/>
      <c r="R225" s="278">
        <f t="shared" si="128"/>
        <v>13</v>
      </c>
      <c r="S225" s="272">
        <f>IFERROR(INDEX('Horo. M'!G$3:$G$367,MATCH(A225,'Horo. M'!$A$3:$A$367,0)),"")</f>
        <v>11</v>
      </c>
      <c r="T225" s="278"/>
      <c r="U225" s="278"/>
      <c r="V225" s="272">
        <f t="shared" si="129"/>
        <v>24</v>
      </c>
      <c r="W225" s="274">
        <f t="shared" si="130"/>
        <v>0.45833333333333331</v>
      </c>
      <c r="X225" s="275">
        <f t="shared" si="131"/>
        <v>1</v>
      </c>
      <c r="Y225" s="278"/>
      <c r="Z225" s="278">
        <f t="shared" si="132"/>
        <v>8</v>
      </c>
      <c r="AA225" s="272">
        <f>IFERROR(INDEX('Horo. M'!$I$3:I$367,MATCH(A225,'Horo. M'!$A$3:$A$367,0)),"")</f>
        <v>16</v>
      </c>
      <c r="AB225" s="273"/>
      <c r="AC225" s="273"/>
      <c r="AD225" s="272">
        <f t="shared" si="133"/>
        <v>24</v>
      </c>
      <c r="AE225" s="274">
        <f t="shared" si="134"/>
        <v>0.66666666666666663</v>
      </c>
      <c r="AF225" s="275">
        <f t="shared" si="135"/>
        <v>1</v>
      </c>
      <c r="AG225" s="278"/>
      <c r="AH225" s="272">
        <f t="shared" si="136"/>
        <v>3</v>
      </c>
      <c r="AI225" s="272">
        <f>IFERROR(INDEX('Horo. M'!$K$3:K$367,MATCH(A225,'Horo. M'!$A$3:$A$367,0)),"")</f>
        <v>21</v>
      </c>
      <c r="AJ225" s="278"/>
      <c r="AK225" s="278"/>
      <c r="AL225" s="272">
        <f t="shared" si="137"/>
        <v>24</v>
      </c>
      <c r="AM225" s="274">
        <f t="shared" si="138"/>
        <v>0.875</v>
      </c>
      <c r="AN225" s="275">
        <f t="shared" si="139"/>
        <v>1</v>
      </c>
      <c r="AO225" s="278"/>
      <c r="AP225" s="272">
        <f t="shared" si="140"/>
        <v>5</v>
      </c>
      <c r="AQ225" s="272">
        <f>IFERROR(INDEX('Horo. M'!$M$3:M$367,MATCH(A225,'Horo. M'!$A$3:$A$367,0)),"")</f>
        <v>19</v>
      </c>
      <c r="AR225" s="278"/>
      <c r="AS225" s="278"/>
      <c r="AT225" s="272">
        <f t="shared" si="141"/>
        <v>24</v>
      </c>
      <c r="AU225" s="274">
        <f t="shared" si="142"/>
        <v>0.79166666666666663</v>
      </c>
      <c r="AV225" s="275">
        <f t="shared" si="143"/>
        <v>1</v>
      </c>
      <c r="AW225" s="278"/>
      <c r="AX225" s="272">
        <f t="shared" si="144"/>
        <v>1</v>
      </c>
      <c r="AY225" s="272">
        <f>IFERROR(INDEX('Horo. M'!$O$3:O$367,MATCH(A225,'Horo. M'!$A$3:$A$367,0)),"")</f>
        <v>23</v>
      </c>
      <c r="AZ225" s="278"/>
      <c r="BA225" s="278"/>
      <c r="BB225" s="272">
        <f t="shared" si="145"/>
        <v>24</v>
      </c>
      <c r="BC225" s="274">
        <f t="shared" si="146"/>
        <v>0.95833333333333337</v>
      </c>
      <c r="BD225" s="275">
        <f t="shared" si="147"/>
        <v>1</v>
      </c>
      <c r="BE225" s="278"/>
      <c r="BF225" s="272">
        <f t="shared" si="148"/>
        <v>7</v>
      </c>
      <c r="BG225" s="272">
        <f>IFERROR(INDEX('Horo. M'!$Q$3:Q$367,MATCH(A225,'Horo. M'!$A$3:$A$367,0)),"")</f>
        <v>17</v>
      </c>
      <c r="BH225" s="278"/>
      <c r="BI225" s="278"/>
      <c r="BJ225" s="272">
        <f t="shared" si="149"/>
        <v>24</v>
      </c>
      <c r="BK225" s="274">
        <f t="shared" si="150"/>
        <v>0.70833333333333337</v>
      </c>
      <c r="BL225" s="275">
        <f t="shared" si="151"/>
        <v>1</v>
      </c>
      <c r="BM225" s="278"/>
      <c r="BN225" s="272">
        <f t="shared" si="152"/>
        <v>0</v>
      </c>
      <c r="BO225" s="272">
        <f>IFERROR(INDEX('Horo. M'!$S$3:S$367,MATCH(A225,'Horo. M'!$A$3:$A$367,0)),"")</f>
        <v>24</v>
      </c>
      <c r="BP225" s="278"/>
      <c r="BQ225" s="278"/>
      <c r="BR225" s="272">
        <f t="shared" si="153"/>
        <v>24</v>
      </c>
      <c r="BS225" s="274">
        <f t="shared" si="154"/>
        <v>1</v>
      </c>
      <c r="BT225" s="275">
        <f t="shared" si="155"/>
        <v>1</v>
      </c>
      <c r="BU225" s="278"/>
      <c r="BV225" s="272">
        <f t="shared" si="156"/>
        <v>24</v>
      </c>
      <c r="BW225" s="272">
        <f>IFERROR(INDEX('Horo. M'!$U$3:U$367,MATCH(A225,'Horo. M'!$A$3:$A$367,0)),"")</f>
        <v>0</v>
      </c>
      <c r="BX225" s="278"/>
      <c r="BY225" s="278"/>
      <c r="BZ225" s="272">
        <f t="shared" si="157"/>
        <v>24</v>
      </c>
      <c r="CA225" s="274">
        <f t="shared" si="158"/>
        <v>0</v>
      </c>
      <c r="CB225" s="275">
        <f t="shared" si="159"/>
        <v>1</v>
      </c>
      <c r="CC225" s="280"/>
    </row>
    <row r="226" spans="1:81">
      <c r="A226" s="279">
        <v>45151</v>
      </c>
      <c r="B226" s="278">
        <f t="shared" si="120"/>
        <v>0</v>
      </c>
      <c r="C226" s="272">
        <f>IFERROR(INDEX('Horo. M'!$C$3:$C$367,MATCH(A226,'Horo. M'!$A$3:$A$367,0)),"")</f>
        <v>24</v>
      </c>
      <c r="D226" s="278"/>
      <c r="E226" s="278"/>
      <c r="F226" s="272">
        <f t="shared" si="121"/>
        <v>24</v>
      </c>
      <c r="G226" s="274">
        <f t="shared" si="122"/>
        <v>1</v>
      </c>
      <c r="H226" s="275">
        <f t="shared" si="123"/>
        <v>1</v>
      </c>
      <c r="I226" s="277"/>
      <c r="J226" s="278">
        <f t="shared" si="124"/>
        <v>0</v>
      </c>
      <c r="K226" s="272">
        <f>IFERROR(INDEX('Horo. M'!$E$3:$E$367,MATCH(A226,'Horo. M'!$A$3:$A$367,0)),"")</f>
        <v>24</v>
      </c>
      <c r="L226" s="273"/>
      <c r="M226" s="273"/>
      <c r="N226" s="272">
        <f t="shared" si="125"/>
        <v>24</v>
      </c>
      <c r="O226" s="274">
        <f t="shared" si="126"/>
        <v>1</v>
      </c>
      <c r="P226" s="275">
        <f t="shared" si="127"/>
        <v>1</v>
      </c>
      <c r="Q226" s="276"/>
      <c r="R226" s="278">
        <f t="shared" si="128"/>
        <v>0</v>
      </c>
      <c r="S226" s="272">
        <f>IFERROR(INDEX('Horo. M'!G$3:$G$367,MATCH(A226,'Horo. M'!$A$3:$A$367,0)),"")</f>
        <v>24</v>
      </c>
      <c r="T226" s="278"/>
      <c r="U226" s="278"/>
      <c r="V226" s="272">
        <f t="shared" si="129"/>
        <v>24</v>
      </c>
      <c r="W226" s="274">
        <f t="shared" si="130"/>
        <v>1</v>
      </c>
      <c r="X226" s="275">
        <f t="shared" si="131"/>
        <v>1</v>
      </c>
      <c r="Y226" s="278"/>
      <c r="Z226" s="278">
        <f t="shared" si="132"/>
        <v>24</v>
      </c>
      <c r="AA226" s="272">
        <f>IFERROR(INDEX('Horo. M'!$I$3:I$367,MATCH(A226,'Horo. M'!$A$3:$A$367,0)),"")</f>
        <v>0</v>
      </c>
      <c r="AB226" s="273"/>
      <c r="AC226" s="273"/>
      <c r="AD226" s="272">
        <f t="shared" si="133"/>
        <v>24</v>
      </c>
      <c r="AE226" s="274">
        <f t="shared" si="134"/>
        <v>0</v>
      </c>
      <c r="AF226" s="275">
        <f t="shared" si="135"/>
        <v>1</v>
      </c>
      <c r="AG226" s="278"/>
      <c r="AH226" s="272">
        <f t="shared" si="136"/>
        <v>0</v>
      </c>
      <c r="AI226" s="272">
        <f>IFERROR(INDEX('Horo. M'!$K$3:K$367,MATCH(A226,'Horo. M'!$A$3:$A$367,0)),"")</f>
        <v>24</v>
      </c>
      <c r="AJ226" s="278"/>
      <c r="AK226" s="278"/>
      <c r="AL226" s="272">
        <f t="shared" si="137"/>
        <v>24</v>
      </c>
      <c r="AM226" s="274">
        <f t="shared" si="138"/>
        <v>1</v>
      </c>
      <c r="AN226" s="275">
        <f t="shared" si="139"/>
        <v>1</v>
      </c>
      <c r="AO226" s="278"/>
      <c r="AP226" s="272">
        <f t="shared" si="140"/>
        <v>3</v>
      </c>
      <c r="AQ226" s="272">
        <f>IFERROR(INDEX('Horo. M'!$M$3:M$367,MATCH(A226,'Horo. M'!$A$3:$A$367,0)),"")</f>
        <v>21</v>
      </c>
      <c r="AR226" s="278"/>
      <c r="AS226" s="278"/>
      <c r="AT226" s="272">
        <f t="shared" si="141"/>
        <v>24</v>
      </c>
      <c r="AU226" s="274">
        <f t="shared" si="142"/>
        <v>0.875</v>
      </c>
      <c r="AV226" s="275">
        <f t="shared" si="143"/>
        <v>1</v>
      </c>
      <c r="AW226" s="278"/>
      <c r="AX226" s="272">
        <f t="shared" si="144"/>
        <v>3</v>
      </c>
      <c r="AY226" s="272">
        <f>IFERROR(INDEX('Horo. M'!$O$3:O$367,MATCH(A226,'Horo. M'!$A$3:$A$367,0)),"")</f>
        <v>21</v>
      </c>
      <c r="AZ226" s="278"/>
      <c r="BA226" s="278"/>
      <c r="BB226" s="272">
        <f t="shared" si="145"/>
        <v>24</v>
      </c>
      <c r="BC226" s="274">
        <f t="shared" si="146"/>
        <v>0.875</v>
      </c>
      <c r="BD226" s="275">
        <f t="shared" si="147"/>
        <v>1</v>
      </c>
      <c r="BE226" s="278"/>
      <c r="BF226" s="272">
        <f t="shared" si="148"/>
        <v>16</v>
      </c>
      <c r="BG226" s="272">
        <f>IFERROR(INDEX('Horo. M'!$Q$3:Q$367,MATCH(A226,'Horo. M'!$A$3:$A$367,0)),"")</f>
        <v>8</v>
      </c>
      <c r="BH226" s="278"/>
      <c r="BI226" s="278"/>
      <c r="BJ226" s="272">
        <f t="shared" si="149"/>
        <v>24</v>
      </c>
      <c r="BK226" s="274">
        <f t="shared" si="150"/>
        <v>0.33333333333333331</v>
      </c>
      <c r="BL226" s="275">
        <f t="shared" si="151"/>
        <v>1</v>
      </c>
      <c r="BM226" s="278"/>
      <c r="BN226" s="272">
        <f t="shared" si="152"/>
        <v>0</v>
      </c>
      <c r="BO226" s="272">
        <f>IFERROR(INDEX('Horo. M'!$S$3:S$367,MATCH(A226,'Horo. M'!$A$3:$A$367,0)),"")</f>
        <v>24</v>
      </c>
      <c r="BP226" s="278"/>
      <c r="BQ226" s="278"/>
      <c r="BR226" s="272">
        <f t="shared" si="153"/>
        <v>24</v>
      </c>
      <c r="BS226" s="274">
        <f t="shared" si="154"/>
        <v>1</v>
      </c>
      <c r="BT226" s="275">
        <f t="shared" si="155"/>
        <v>1</v>
      </c>
      <c r="BU226" s="278"/>
      <c r="BV226" s="272">
        <f t="shared" si="156"/>
        <v>24</v>
      </c>
      <c r="BW226" s="272">
        <f>IFERROR(INDEX('Horo. M'!$U$3:U$367,MATCH(A226,'Horo. M'!$A$3:$A$367,0)),"")</f>
        <v>0</v>
      </c>
      <c r="BX226" s="278"/>
      <c r="BY226" s="278"/>
      <c r="BZ226" s="272">
        <f t="shared" si="157"/>
        <v>24</v>
      </c>
      <c r="CA226" s="274">
        <f t="shared" si="158"/>
        <v>0</v>
      </c>
      <c r="CB226" s="275">
        <f t="shared" si="159"/>
        <v>1</v>
      </c>
      <c r="CC226" s="280"/>
    </row>
    <row r="227" spans="1:81">
      <c r="A227" s="279">
        <v>45152</v>
      </c>
      <c r="B227" s="278">
        <f t="shared" si="120"/>
        <v>0</v>
      </c>
      <c r="C227" s="272">
        <f>IFERROR(INDEX('Horo. M'!$C$3:$C$367,MATCH(A227,'Horo. M'!$A$3:$A$367,0)),"")</f>
        <v>24</v>
      </c>
      <c r="D227" s="278"/>
      <c r="E227" s="278"/>
      <c r="F227" s="272">
        <f t="shared" si="121"/>
        <v>24</v>
      </c>
      <c r="G227" s="274">
        <f t="shared" si="122"/>
        <v>1</v>
      </c>
      <c r="H227" s="275">
        <f t="shared" si="123"/>
        <v>1</v>
      </c>
      <c r="I227" s="277"/>
      <c r="J227" s="278">
        <f t="shared" si="124"/>
        <v>0</v>
      </c>
      <c r="K227" s="272">
        <f>IFERROR(INDEX('Horo. M'!$E$3:$E$367,MATCH(A227,'Horo. M'!$A$3:$A$367,0)),"")</f>
        <v>24</v>
      </c>
      <c r="L227" s="273"/>
      <c r="M227" s="273"/>
      <c r="N227" s="272">
        <f t="shared" si="125"/>
        <v>24</v>
      </c>
      <c r="O227" s="274">
        <f t="shared" si="126"/>
        <v>1</v>
      </c>
      <c r="P227" s="275">
        <f t="shared" si="127"/>
        <v>1</v>
      </c>
      <c r="Q227" s="276"/>
      <c r="R227" s="278">
        <f t="shared" si="128"/>
        <v>0</v>
      </c>
      <c r="S227" s="272">
        <f>IFERROR(INDEX('Horo. M'!G$3:$G$367,MATCH(A227,'Horo. M'!$A$3:$A$367,0)),"")</f>
        <v>24</v>
      </c>
      <c r="T227" s="278"/>
      <c r="U227" s="278"/>
      <c r="V227" s="272">
        <f t="shared" si="129"/>
        <v>24</v>
      </c>
      <c r="W227" s="274">
        <f t="shared" si="130"/>
        <v>1</v>
      </c>
      <c r="X227" s="275">
        <f t="shared" si="131"/>
        <v>1</v>
      </c>
      <c r="Y227" s="278"/>
      <c r="Z227" s="278">
        <f t="shared" si="132"/>
        <v>1</v>
      </c>
      <c r="AA227" s="272">
        <f>IFERROR(INDEX('Horo. M'!$I$3:I$367,MATCH(A227,'Horo. M'!$A$3:$A$367,0)),"")</f>
        <v>23</v>
      </c>
      <c r="AB227" s="273"/>
      <c r="AC227" s="273"/>
      <c r="AD227" s="272">
        <f t="shared" si="133"/>
        <v>24</v>
      </c>
      <c r="AE227" s="274">
        <f t="shared" si="134"/>
        <v>0.95833333333333337</v>
      </c>
      <c r="AF227" s="275">
        <f t="shared" si="135"/>
        <v>1</v>
      </c>
      <c r="AG227" s="278"/>
      <c r="AH227" s="272">
        <f t="shared" si="136"/>
        <v>0</v>
      </c>
      <c r="AI227" s="272">
        <f>IFERROR(INDEX('Horo. M'!$K$3:K$367,MATCH(A227,'Horo. M'!$A$3:$A$367,0)),"")</f>
        <v>24</v>
      </c>
      <c r="AJ227" s="278"/>
      <c r="AK227" s="278"/>
      <c r="AL227" s="272">
        <f t="shared" si="137"/>
        <v>24</v>
      </c>
      <c r="AM227" s="274">
        <f t="shared" si="138"/>
        <v>1</v>
      </c>
      <c r="AN227" s="275">
        <f t="shared" si="139"/>
        <v>1</v>
      </c>
      <c r="AO227" s="278"/>
      <c r="AP227" s="272">
        <f t="shared" si="140"/>
        <v>0</v>
      </c>
      <c r="AQ227" s="272">
        <f>IFERROR(INDEX('Horo. M'!$M$3:M$367,MATCH(A227,'Horo. M'!$A$3:$A$367,0)),"")</f>
        <v>24</v>
      </c>
      <c r="AR227" s="278"/>
      <c r="AS227" s="278"/>
      <c r="AT227" s="272">
        <f t="shared" si="141"/>
        <v>24</v>
      </c>
      <c r="AU227" s="274">
        <f t="shared" si="142"/>
        <v>1</v>
      </c>
      <c r="AV227" s="275">
        <f t="shared" si="143"/>
        <v>1</v>
      </c>
      <c r="AW227" s="278"/>
      <c r="AX227" s="272">
        <f t="shared" si="144"/>
        <v>0</v>
      </c>
      <c r="AY227" s="272">
        <f>IFERROR(INDEX('Horo. M'!$O$3:O$367,MATCH(A227,'Horo. M'!$A$3:$A$367,0)),"")</f>
        <v>24</v>
      </c>
      <c r="AZ227" s="278"/>
      <c r="BA227" s="278"/>
      <c r="BB227" s="272">
        <f t="shared" si="145"/>
        <v>24</v>
      </c>
      <c r="BC227" s="274">
        <f t="shared" si="146"/>
        <v>1</v>
      </c>
      <c r="BD227" s="275">
        <f t="shared" si="147"/>
        <v>1</v>
      </c>
      <c r="BE227" s="278"/>
      <c r="BF227" s="272">
        <f t="shared" si="148"/>
        <v>0</v>
      </c>
      <c r="BG227" s="272">
        <f>IFERROR(INDEX('Horo. M'!$Q$3:Q$367,MATCH(A227,'Horo. M'!$A$3:$A$367,0)),"")</f>
        <v>24</v>
      </c>
      <c r="BH227" s="278"/>
      <c r="BI227" s="278"/>
      <c r="BJ227" s="272">
        <f t="shared" si="149"/>
        <v>24</v>
      </c>
      <c r="BK227" s="274">
        <f t="shared" si="150"/>
        <v>1</v>
      </c>
      <c r="BL227" s="275">
        <f t="shared" si="151"/>
        <v>1</v>
      </c>
      <c r="BM227" s="278"/>
      <c r="BN227" s="272">
        <f t="shared" si="152"/>
        <v>0</v>
      </c>
      <c r="BO227" s="272">
        <f>IFERROR(INDEX('Horo. M'!$S$3:S$367,MATCH(A227,'Horo. M'!$A$3:$A$367,0)),"")</f>
        <v>24</v>
      </c>
      <c r="BP227" s="278"/>
      <c r="BQ227" s="278"/>
      <c r="BR227" s="272">
        <f t="shared" si="153"/>
        <v>24</v>
      </c>
      <c r="BS227" s="274">
        <f t="shared" si="154"/>
        <v>1</v>
      </c>
      <c r="BT227" s="275">
        <f t="shared" si="155"/>
        <v>1</v>
      </c>
      <c r="BU227" s="278"/>
      <c r="BV227" s="272">
        <f t="shared" si="156"/>
        <v>24</v>
      </c>
      <c r="BW227" s="272">
        <f>IFERROR(INDEX('Horo. M'!$U$3:U$367,MATCH(A227,'Horo. M'!$A$3:$A$367,0)),"")</f>
        <v>0</v>
      </c>
      <c r="BX227" s="278"/>
      <c r="BY227" s="278"/>
      <c r="BZ227" s="272">
        <f t="shared" si="157"/>
        <v>24</v>
      </c>
      <c r="CA227" s="274">
        <f t="shared" si="158"/>
        <v>0</v>
      </c>
      <c r="CB227" s="275">
        <f t="shared" si="159"/>
        <v>1</v>
      </c>
      <c r="CC227" s="280"/>
    </row>
    <row r="228" spans="1:81">
      <c r="A228" s="279">
        <v>45153</v>
      </c>
      <c r="B228" s="278">
        <f t="shared" si="120"/>
        <v>0</v>
      </c>
      <c r="C228" s="272">
        <f>IFERROR(INDEX('Horo. M'!$C$3:$C$367,MATCH(A228,'Horo. M'!$A$3:$A$367,0)),"")</f>
        <v>24</v>
      </c>
      <c r="D228" s="278"/>
      <c r="E228" s="278"/>
      <c r="F228" s="272">
        <f t="shared" si="121"/>
        <v>24</v>
      </c>
      <c r="G228" s="274">
        <f t="shared" si="122"/>
        <v>1</v>
      </c>
      <c r="H228" s="275">
        <f t="shared" si="123"/>
        <v>1</v>
      </c>
      <c r="I228" s="277"/>
      <c r="J228" s="278">
        <f t="shared" si="124"/>
        <v>0</v>
      </c>
      <c r="K228" s="272">
        <f>IFERROR(INDEX('Horo. M'!$E$3:$E$367,MATCH(A228,'Horo. M'!$A$3:$A$367,0)),"")</f>
        <v>24</v>
      </c>
      <c r="L228" s="273"/>
      <c r="M228" s="273"/>
      <c r="N228" s="272">
        <f t="shared" si="125"/>
        <v>24</v>
      </c>
      <c r="O228" s="274">
        <f t="shared" si="126"/>
        <v>1</v>
      </c>
      <c r="P228" s="275">
        <f t="shared" si="127"/>
        <v>1</v>
      </c>
      <c r="Q228" s="276"/>
      <c r="R228" s="278">
        <f t="shared" si="128"/>
        <v>1</v>
      </c>
      <c r="S228" s="272">
        <f>IFERROR(INDEX('Horo. M'!G$3:$G$367,MATCH(A228,'Horo. M'!$A$3:$A$367,0)),"")</f>
        <v>23</v>
      </c>
      <c r="T228" s="278"/>
      <c r="U228" s="278"/>
      <c r="V228" s="272">
        <f t="shared" si="129"/>
        <v>24</v>
      </c>
      <c r="W228" s="274">
        <f t="shared" si="130"/>
        <v>0.95833333333333337</v>
      </c>
      <c r="X228" s="275">
        <f t="shared" si="131"/>
        <v>1</v>
      </c>
      <c r="Y228" s="278"/>
      <c r="Z228" s="278">
        <f t="shared" si="132"/>
        <v>0</v>
      </c>
      <c r="AA228" s="272">
        <f>IFERROR(INDEX('Horo. M'!$I$3:I$367,MATCH(A228,'Horo. M'!$A$3:$A$367,0)),"")</f>
        <v>24</v>
      </c>
      <c r="AB228" s="273"/>
      <c r="AC228" s="273"/>
      <c r="AD228" s="272">
        <f t="shared" si="133"/>
        <v>24</v>
      </c>
      <c r="AE228" s="274">
        <f t="shared" si="134"/>
        <v>1</v>
      </c>
      <c r="AF228" s="275">
        <f t="shared" si="135"/>
        <v>1</v>
      </c>
      <c r="AG228" s="278"/>
      <c r="AH228" s="272">
        <f t="shared" si="136"/>
        <v>0</v>
      </c>
      <c r="AI228" s="272">
        <f>IFERROR(INDEX('Horo. M'!$K$3:K$367,MATCH(A228,'Horo. M'!$A$3:$A$367,0)),"")</f>
        <v>24</v>
      </c>
      <c r="AJ228" s="278"/>
      <c r="AK228" s="278"/>
      <c r="AL228" s="272">
        <f t="shared" si="137"/>
        <v>24</v>
      </c>
      <c r="AM228" s="274">
        <f t="shared" si="138"/>
        <v>1</v>
      </c>
      <c r="AN228" s="275">
        <f t="shared" si="139"/>
        <v>1</v>
      </c>
      <c r="AO228" s="278"/>
      <c r="AP228" s="272">
        <f t="shared" si="140"/>
        <v>0</v>
      </c>
      <c r="AQ228" s="272">
        <f>IFERROR(INDEX('Horo. M'!$M$3:M$367,MATCH(A228,'Horo. M'!$A$3:$A$367,0)),"")</f>
        <v>24</v>
      </c>
      <c r="AR228" s="278"/>
      <c r="AS228" s="278"/>
      <c r="AT228" s="272">
        <f t="shared" si="141"/>
        <v>24</v>
      </c>
      <c r="AU228" s="274">
        <f t="shared" si="142"/>
        <v>1</v>
      </c>
      <c r="AV228" s="275">
        <f t="shared" si="143"/>
        <v>1</v>
      </c>
      <c r="AW228" s="278"/>
      <c r="AX228" s="272">
        <f t="shared" si="144"/>
        <v>0</v>
      </c>
      <c r="AY228" s="272">
        <f>IFERROR(INDEX('Horo. M'!$O$3:O$367,MATCH(A228,'Horo. M'!$A$3:$A$367,0)),"")</f>
        <v>24</v>
      </c>
      <c r="AZ228" s="278"/>
      <c r="BA228" s="278"/>
      <c r="BB228" s="272">
        <f t="shared" si="145"/>
        <v>24</v>
      </c>
      <c r="BC228" s="274">
        <f t="shared" si="146"/>
        <v>1</v>
      </c>
      <c r="BD228" s="275">
        <f t="shared" si="147"/>
        <v>1</v>
      </c>
      <c r="BE228" s="278"/>
      <c r="BF228" s="272">
        <f t="shared" si="148"/>
        <v>2</v>
      </c>
      <c r="BG228" s="272">
        <f>IFERROR(INDEX('Horo. M'!$Q$3:Q$367,MATCH(A228,'Horo. M'!$A$3:$A$367,0)),"")</f>
        <v>22</v>
      </c>
      <c r="BH228" s="278"/>
      <c r="BI228" s="278"/>
      <c r="BJ228" s="272">
        <f t="shared" si="149"/>
        <v>24</v>
      </c>
      <c r="BK228" s="274">
        <f t="shared" si="150"/>
        <v>0.91666666666666663</v>
      </c>
      <c r="BL228" s="275">
        <f t="shared" si="151"/>
        <v>1</v>
      </c>
      <c r="BM228" s="278"/>
      <c r="BN228" s="272">
        <f t="shared" si="152"/>
        <v>0</v>
      </c>
      <c r="BO228" s="272">
        <f>IFERROR(INDEX('Horo. M'!$S$3:S$367,MATCH(A228,'Horo. M'!$A$3:$A$367,0)),"")</f>
        <v>24</v>
      </c>
      <c r="BP228" s="278"/>
      <c r="BQ228" s="278"/>
      <c r="BR228" s="272">
        <f t="shared" si="153"/>
        <v>24</v>
      </c>
      <c r="BS228" s="274">
        <f t="shared" si="154"/>
        <v>1</v>
      </c>
      <c r="BT228" s="275">
        <f t="shared" si="155"/>
        <v>1</v>
      </c>
      <c r="BU228" s="278"/>
      <c r="BV228" s="272">
        <f t="shared" si="156"/>
        <v>24</v>
      </c>
      <c r="BW228" s="272">
        <f>IFERROR(INDEX('Horo. M'!$U$3:U$367,MATCH(A228,'Horo. M'!$A$3:$A$367,0)),"")</f>
        <v>0</v>
      </c>
      <c r="BX228" s="278"/>
      <c r="BY228" s="278"/>
      <c r="BZ228" s="272">
        <f t="shared" si="157"/>
        <v>24</v>
      </c>
      <c r="CA228" s="274">
        <f t="shared" si="158"/>
        <v>0</v>
      </c>
      <c r="CB228" s="275">
        <f t="shared" si="159"/>
        <v>1</v>
      </c>
      <c r="CC228" s="280"/>
    </row>
    <row r="229" spans="1:81">
      <c r="A229" s="279">
        <v>45154</v>
      </c>
      <c r="B229" s="278">
        <f t="shared" si="120"/>
        <v>0</v>
      </c>
      <c r="C229" s="272">
        <f>IFERROR(INDEX('Horo. M'!$C$3:$C$367,MATCH(A229,'Horo. M'!$A$3:$A$367,0)),"")</f>
        <v>24</v>
      </c>
      <c r="D229" s="278"/>
      <c r="E229" s="278"/>
      <c r="F229" s="272">
        <f t="shared" si="121"/>
        <v>24</v>
      </c>
      <c r="G229" s="274">
        <f t="shared" si="122"/>
        <v>1</v>
      </c>
      <c r="H229" s="275">
        <f t="shared" si="123"/>
        <v>1</v>
      </c>
      <c r="I229" s="277"/>
      <c r="J229" s="278">
        <f t="shared" si="124"/>
        <v>0</v>
      </c>
      <c r="K229" s="272">
        <f>IFERROR(INDEX('Horo. M'!$E$3:$E$367,MATCH(A229,'Horo. M'!$A$3:$A$367,0)),"")</f>
        <v>24</v>
      </c>
      <c r="L229" s="273"/>
      <c r="M229" s="273"/>
      <c r="N229" s="272">
        <f t="shared" si="125"/>
        <v>24</v>
      </c>
      <c r="O229" s="274">
        <f t="shared" si="126"/>
        <v>1</v>
      </c>
      <c r="P229" s="275">
        <f t="shared" si="127"/>
        <v>1</v>
      </c>
      <c r="Q229" s="276"/>
      <c r="R229" s="278">
        <f t="shared" si="128"/>
        <v>0</v>
      </c>
      <c r="S229" s="272">
        <f>IFERROR(INDEX('Horo. M'!G$3:$G$367,MATCH(A229,'Horo. M'!$A$3:$A$367,0)),"")</f>
        <v>24</v>
      </c>
      <c r="T229" s="278"/>
      <c r="U229" s="278"/>
      <c r="V229" s="272">
        <f t="shared" si="129"/>
        <v>24</v>
      </c>
      <c r="W229" s="274">
        <f t="shared" si="130"/>
        <v>1</v>
      </c>
      <c r="X229" s="275">
        <f t="shared" si="131"/>
        <v>1</v>
      </c>
      <c r="Y229" s="278"/>
      <c r="Z229" s="278">
        <f t="shared" si="132"/>
        <v>0</v>
      </c>
      <c r="AA229" s="272">
        <f>IFERROR(INDEX('Horo. M'!$I$3:I$367,MATCH(A229,'Horo. M'!$A$3:$A$367,0)),"")</f>
        <v>24</v>
      </c>
      <c r="AB229" s="273"/>
      <c r="AC229" s="273"/>
      <c r="AD229" s="272">
        <f t="shared" si="133"/>
        <v>24</v>
      </c>
      <c r="AE229" s="274">
        <f t="shared" si="134"/>
        <v>1</v>
      </c>
      <c r="AF229" s="275">
        <f t="shared" si="135"/>
        <v>1</v>
      </c>
      <c r="AG229" s="278"/>
      <c r="AH229" s="272">
        <f t="shared" si="136"/>
        <v>0</v>
      </c>
      <c r="AI229" s="272">
        <f>IFERROR(INDEX('Horo. M'!$K$3:K$367,MATCH(A229,'Horo. M'!$A$3:$A$367,0)),"")</f>
        <v>24</v>
      </c>
      <c r="AJ229" s="278"/>
      <c r="AK229" s="278"/>
      <c r="AL229" s="272">
        <f t="shared" si="137"/>
        <v>24</v>
      </c>
      <c r="AM229" s="274">
        <f t="shared" si="138"/>
        <v>1</v>
      </c>
      <c r="AN229" s="275">
        <f t="shared" si="139"/>
        <v>1</v>
      </c>
      <c r="AO229" s="278"/>
      <c r="AP229" s="272">
        <f t="shared" si="140"/>
        <v>24</v>
      </c>
      <c r="AQ229" s="272">
        <f>IFERROR(INDEX('Horo. M'!$M$3:M$367,MATCH(A229,'Horo. M'!$A$3:$A$367,0)),"")</f>
        <v>0</v>
      </c>
      <c r="AR229" s="278"/>
      <c r="AS229" s="278"/>
      <c r="AT229" s="272">
        <f t="shared" si="141"/>
        <v>24</v>
      </c>
      <c r="AU229" s="274">
        <f t="shared" si="142"/>
        <v>0</v>
      </c>
      <c r="AV229" s="275">
        <f t="shared" si="143"/>
        <v>1</v>
      </c>
      <c r="AW229" s="278"/>
      <c r="AX229" s="272">
        <f t="shared" si="144"/>
        <v>0</v>
      </c>
      <c r="AY229" s="272">
        <f>IFERROR(INDEX('Horo. M'!$O$3:O$367,MATCH(A229,'Horo. M'!$A$3:$A$367,0)),"")</f>
        <v>24</v>
      </c>
      <c r="AZ229" s="278"/>
      <c r="BA229" s="278"/>
      <c r="BB229" s="272">
        <f t="shared" si="145"/>
        <v>24</v>
      </c>
      <c r="BC229" s="274">
        <f t="shared" si="146"/>
        <v>1</v>
      </c>
      <c r="BD229" s="275">
        <f t="shared" si="147"/>
        <v>1</v>
      </c>
      <c r="BE229" s="278"/>
      <c r="BF229" s="272">
        <f t="shared" si="148"/>
        <v>0</v>
      </c>
      <c r="BG229" s="272">
        <f>IFERROR(INDEX('Horo. M'!$Q$3:Q$367,MATCH(A229,'Horo. M'!$A$3:$A$367,0)),"")</f>
        <v>24</v>
      </c>
      <c r="BH229" s="278"/>
      <c r="BI229" s="278"/>
      <c r="BJ229" s="272">
        <f t="shared" si="149"/>
        <v>24</v>
      </c>
      <c r="BK229" s="274">
        <f t="shared" si="150"/>
        <v>1</v>
      </c>
      <c r="BL229" s="275">
        <f t="shared" si="151"/>
        <v>1</v>
      </c>
      <c r="BM229" s="278"/>
      <c r="BN229" s="272">
        <f t="shared" si="152"/>
        <v>0</v>
      </c>
      <c r="BO229" s="272">
        <f>IFERROR(INDEX('Horo. M'!$S$3:S$367,MATCH(A229,'Horo. M'!$A$3:$A$367,0)),"")</f>
        <v>24</v>
      </c>
      <c r="BP229" s="278"/>
      <c r="BQ229" s="278"/>
      <c r="BR229" s="272">
        <f t="shared" si="153"/>
        <v>24</v>
      </c>
      <c r="BS229" s="274">
        <f t="shared" si="154"/>
        <v>1</v>
      </c>
      <c r="BT229" s="275">
        <f t="shared" si="155"/>
        <v>1</v>
      </c>
      <c r="BU229" s="278"/>
      <c r="BV229" s="272">
        <f t="shared" si="156"/>
        <v>24</v>
      </c>
      <c r="BW229" s="272">
        <f>IFERROR(INDEX('Horo. M'!$U$3:U$367,MATCH(A229,'Horo. M'!$A$3:$A$367,0)),"")</f>
        <v>0</v>
      </c>
      <c r="BX229" s="278"/>
      <c r="BY229" s="278"/>
      <c r="BZ229" s="272">
        <f t="shared" si="157"/>
        <v>24</v>
      </c>
      <c r="CA229" s="274">
        <f t="shared" si="158"/>
        <v>0</v>
      </c>
      <c r="CB229" s="275">
        <f t="shared" si="159"/>
        <v>1</v>
      </c>
      <c r="CC229" s="280"/>
    </row>
    <row r="230" spans="1:81">
      <c r="A230" s="279">
        <v>45155</v>
      </c>
      <c r="B230" s="278">
        <f t="shared" si="120"/>
        <v>0</v>
      </c>
      <c r="C230" s="272">
        <f>IFERROR(INDEX('Horo. M'!$C$3:$C$367,MATCH(A230,'Horo. M'!$A$3:$A$367,0)),"")</f>
        <v>24</v>
      </c>
      <c r="D230" s="278"/>
      <c r="E230" s="278"/>
      <c r="F230" s="272">
        <f t="shared" si="121"/>
        <v>24</v>
      </c>
      <c r="G230" s="274">
        <f t="shared" si="122"/>
        <v>1</v>
      </c>
      <c r="H230" s="275">
        <f t="shared" si="123"/>
        <v>1</v>
      </c>
      <c r="I230" s="277"/>
      <c r="J230" s="278">
        <f t="shared" si="124"/>
        <v>0</v>
      </c>
      <c r="K230" s="272">
        <f>IFERROR(INDEX('Horo. M'!$E$3:$E$367,MATCH(A230,'Horo. M'!$A$3:$A$367,0)),"")</f>
        <v>24</v>
      </c>
      <c r="L230" s="273"/>
      <c r="M230" s="273"/>
      <c r="N230" s="272">
        <f t="shared" si="125"/>
        <v>24</v>
      </c>
      <c r="O230" s="274">
        <f t="shared" si="126"/>
        <v>1</v>
      </c>
      <c r="P230" s="275">
        <f t="shared" si="127"/>
        <v>1</v>
      </c>
      <c r="Q230" s="276"/>
      <c r="R230" s="278">
        <f t="shared" si="128"/>
        <v>0</v>
      </c>
      <c r="S230" s="272">
        <f>IFERROR(INDEX('Horo. M'!G$3:$G$367,MATCH(A230,'Horo. M'!$A$3:$A$367,0)),"")</f>
        <v>24</v>
      </c>
      <c r="T230" s="278"/>
      <c r="U230" s="278"/>
      <c r="V230" s="272">
        <f t="shared" si="129"/>
        <v>24</v>
      </c>
      <c r="W230" s="274">
        <f t="shared" si="130"/>
        <v>1</v>
      </c>
      <c r="X230" s="275">
        <f t="shared" si="131"/>
        <v>1</v>
      </c>
      <c r="Y230" s="278"/>
      <c r="Z230" s="278">
        <f t="shared" si="132"/>
        <v>1</v>
      </c>
      <c r="AA230" s="272">
        <f>IFERROR(INDEX('Horo. M'!$I$3:I$367,MATCH(A230,'Horo. M'!$A$3:$A$367,0)),"")</f>
        <v>23</v>
      </c>
      <c r="AB230" s="273"/>
      <c r="AC230" s="273"/>
      <c r="AD230" s="272">
        <f t="shared" si="133"/>
        <v>24</v>
      </c>
      <c r="AE230" s="274">
        <f t="shared" si="134"/>
        <v>0.95833333333333337</v>
      </c>
      <c r="AF230" s="275">
        <f t="shared" si="135"/>
        <v>1</v>
      </c>
      <c r="AG230" s="278"/>
      <c r="AH230" s="272">
        <f t="shared" si="136"/>
        <v>0</v>
      </c>
      <c r="AI230" s="272">
        <f>IFERROR(INDEX('Horo. M'!$K$3:K$367,MATCH(A230,'Horo. M'!$A$3:$A$367,0)),"")</f>
        <v>24</v>
      </c>
      <c r="AJ230" s="278"/>
      <c r="AK230" s="278"/>
      <c r="AL230" s="272">
        <f t="shared" si="137"/>
        <v>24</v>
      </c>
      <c r="AM230" s="274">
        <f t="shared" si="138"/>
        <v>1</v>
      </c>
      <c r="AN230" s="275">
        <f t="shared" si="139"/>
        <v>1</v>
      </c>
      <c r="AO230" s="278"/>
      <c r="AP230" s="272">
        <f t="shared" si="140"/>
        <v>0</v>
      </c>
      <c r="AQ230" s="272">
        <f>IFERROR(INDEX('Horo. M'!$M$3:M$367,MATCH(A230,'Horo. M'!$A$3:$A$367,0)),"")</f>
        <v>24</v>
      </c>
      <c r="AR230" s="278"/>
      <c r="AS230" s="278"/>
      <c r="AT230" s="272">
        <f t="shared" si="141"/>
        <v>24</v>
      </c>
      <c r="AU230" s="274">
        <f t="shared" si="142"/>
        <v>1</v>
      </c>
      <c r="AV230" s="275">
        <f t="shared" si="143"/>
        <v>1</v>
      </c>
      <c r="AW230" s="278"/>
      <c r="AX230" s="272">
        <f t="shared" si="144"/>
        <v>0</v>
      </c>
      <c r="AY230" s="272">
        <f>IFERROR(INDEX('Horo. M'!$O$3:O$367,MATCH(A230,'Horo. M'!$A$3:$A$367,0)),"")</f>
        <v>24</v>
      </c>
      <c r="AZ230" s="278"/>
      <c r="BA230" s="278"/>
      <c r="BB230" s="272">
        <f t="shared" si="145"/>
        <v>24</v>
      </c>
      <c r="BC230" s="274">
        <f t="shared" si="146"/>
        <v>1</v>
      </c>
      <c r="BD230" s="275">
        <f t="shared" si="147"/>
        <v>1</v>
      </c>
      <c r="BE230" s="278"/>
      <c r="BF230" s="272">
        <f t="shared" si="148"/>
        <v>2</v>
      </c>
      <c r="BG230" s="272">
        <f>IFERROR(INDEX('Horo. M'!$Q$3:Q$367,MATCH(A230,'Horo. M'!$A$3:$A$367,0)),"")</f>
        <v>22</v>
      </c>
      <c r="BH230" s="278"/>
      <c r="BI230" s="278"/>
      <c r="BJ230" s="272">
        <f t="shared" si="149"/>
        <v>24</v>
      </c>
      <c r="BK230" s="274">
        <f t="shared" si="150"/>
        <v>0.91666666666666663</v>
      </c>
      <c r="BL230" s="275">
        <f t="shared" si="151"/>
        <v>1</v>
      </c>
      <c r="BM230" s="278"/>
      <c r="BN230" s="272">
        <f t="shared" si="152"/>
        <v>24</v>
      </c>
      <c r="BO230" s="272">
        <f>IFERROR(INDEX('Horo. M'!$S$3:S$367,MATCH(A230,'Horo. M'!$A$3:$A$367,0)),"")</f>
        <v>0</v>
      </c>
      <c r="BP230" s="278"/>
      <c r="BQ230" s="278"/>
      <c r="BR230" s="272">
        <f t="shared" si="153"/>
        <v>24</v>
      </c>
      <c r="BS230" s="274">
        <f t="shared" si="154"/>
        <v>0</v>
      </c>
      <c r="BT230" s="275">
        <f t="shared" si="155"/>
        <v>1</v>
      </c>
      <c r="BU230" s="278"/>
      <c r="BV230" s="272">
        <f t="shared" si="156"/>
        <v>24</v>
      </c>
      <c r="BW230" s="272">
        <f>IFERROR(INDEX('Horo. M'!$U$3:U$367,MATCH(A230,'Horo. M'!$A$3:$A$367,0)),"")</f>
        <v>0</v>
      </c>
      <c r="BX230" s="278"/>
      <c r="BY230" s="278"/>
      <c r="BZ230" s="272">
        <f t="shared" si="157"/>
        <v>24</v>
      </c>
      <c r="CA230" s="274">
        <f t="shared" si="158"/>
        <v>0</v>
      </c>
      <c r="CB230" s="275">
        <f t="shared" si="159"/>
        <v>1</v>
      </c>
      <c r="CC230" s="280"/>
    </row>
    <row r="231" spans="1:81">
      <c r="A231" s="279">
        <v>45156</v>
      </c>
      <c r="B231" s="278">
        <f t="shared" si="120"/>
        <v>24</v>
      </c>
      <c r="C231" s="272">
        <f>IFERROR(INDEX('Horo. M'!$C$3:$C$367,MATCH(A231,'Horo. M'!$A$3:$A$367,0)),"")</f>
        <v>0</v>
      </c>
      <c r="D231" s="278"/>
      <c r="E231" s="278"/>
      <c r="F231" s="272">
        <f t="shared" si="121"/>
        <v>24</v>
      </c>
      <c r="G231" s="274">
        <f t="shared" si="122"/>
        <v>0</v>
      </c>
      <c r="H231" s="275">
        <f t="shared" si="123"/>
        <v>1</v>
      </c>
      <c r="I231" s="277"/>
      <c r="J231" s="278">
        <f t="shared" si="124"/>
        <v>0</v>
      </c>
      <c r="K231" s="272">
        <f>IFERROR(INDEX('Horo. M'!$E$3:$E$367,MATCH(A231,'Horo. M'!$A$3:$A$367,0)),"")</f>
        <v>24</v>
      </c>
      <c r="L231" s="273"/>
      <c r="M231" s="273"/>
      <c r="N231" s="272">
        <f t="shared" si="125"/>
        <v>24</v>
      </c>
      <c r="O231" s="274">
        <f t="shared" si="126"/>
        <v>1</v>
      </c>
      <c r="P231" s="275">
        <f t="shared" si="127"/>
        <v>1</v>
      </c>
      <c r="Q231" s="276"/>
      <c r="R231" s="278">
        <f t="shared" si="128"/>
        <v>0</v>
      </c>
      <c r="S231" s="272">
        <f>IFERROR(INDEX('Horo. M'!G$3:$G$367,MATCH(A231,'Horo. M'!$A$3:$A$367,0)),"")</f>
        <v>24</v>
      </c>
      <c r="T231" s="278"/>
      <c r="U231" s="278"/>
      <c r="V231" s="272">
        <f t="shared" si="129"/>
        <v>24</v>
      </c>
      <c r="W231" s="274">
        <f t="shared" si="130"/>
        <v>1</v>
      </c>
      <c r="X231" s="275">
        <f t="shared" si="131"/>
        <v>1</v>
      </c>
      <c r="Y231" s="278"/>
      <c r="Z231" s="278">
        <f t="shared" si="132"/>
        <v>0</v>
      </c>
      <c r="AA231" s="272">
        <f>IFERROR(INDEX('Horo. M'!$I$3:I$367,MATCH(A231,'Horo. M'!$A$3:$A$367,0)),"")</f>
        <v>24</v>
      </c>
      <c r="AB231" s="273"/>
      <c r="AC231" s="273"/>
      <c r="AD231" s="272">
        <f t="shared" si="133"/>
        <v>24</v>
      </c>
      <c r="AE231" s="274">
        <f t="shared" si="134"/>
        <v>1</v>
      </c>
      <c r="AF231" s="275">
        <f t="shared" si="135"/>
        <v>1</v>
      </c>
      <c r="AG231" s="278"/>
      <c r="AH231" s="272">
        <f t="shared" si="136"/>
        <v>0</v>
      </c>
      <c r="AI231" s="272">
        <f>IFERROR(INDEX('Horo. M'!$K$3:K$367,MATCH(A231,'Horo. M'!$A$3:$A$367,0)),"")</f>
        <v>24</v>
      </c>
      <c r="AJ231" s="278"/>
      <c r="AK231" s="278"/>
      <c r="AL231" s="272">
        <f t="shared" si="137"/>
        <v>24</v>
      </c>
      <c r="AM231" s="274">
        <f t="shared" si="138"/>
        <v>1</v>
      </c>
      <c r="AN231" s="275">
        <f t="shared" si="139"/>
        <v>1</v>
      </c>
      <c r="AO231" s="278"/>
      <c r="AP231" s="272">
        <f t="shared" si="140"/>
        <v>0</v>
      </c>
      <c r="AQ231" s="272">
        <f>IFERROR(INDEX('Horo. M'!$M$3:M$367,MATCH(A231,'Horo. M'!$A$3:$A$367,0)),"")</f>
        <v>24</v>
      </c>
      <c r="AR231" s="278"/>
      <c r="AS231" s="278"/>
      <c r="AT231" s="272">
        <f t="shared" si="141"/>
        <v>24</v>
      </c>
      <c r="AU231" s="274">
        <f t="shared" si="142"/>
        <v>1</v>
      </c>
      <c r="AV231" s="275">
        <f t="shared" si="143"/>
        <v>1</v>
      </c>
      <c r="AW231" s="278"/>
      <c r="AX231" s="272">
        <f t="shared" si="144"/>
        <v>0</v>
      </c>
      <c r="AY231" s="272">
        <f>IFERROR(INDEX('Horo. M'!$O$3:O$367,MATCH(A231,'Horo. M'!$A$3:$A$367,0)),"")</f>
        <v>24</v>
      </c>
      <c r="AZ231" s="278"/>
      <c r="BA231" s="278"/>
      <c r="BB231" s="272">
        <f t="shared" si="145"/>
        <v>24</v>
      </c>
      <c r="BC231" s="274">
        <f t="shared" si="146"/>
        <v>1</v>
      </c>
      <c r="BD231" s="275">
        <f t="shared" si="147"/>
        <v>1</v>
      </c>
      <c r="BE231" s="278"/>
      <c r="BF231" s="272">
        <f t="shared" si="148"/>
        <v>2</v>
      </c>
      <c r="BG231" s="272">
        <f>IFERROR(INDEX('Horo. M'!$Q$3:Q$367,MATCH(A231,'Horo. M'!$A$3:$A$367,0)),"")</f>
        <v>22</v>
      </c>
      <c r="BH231" s="278"/>
      <c r="BI231" s="278"/>
      <c r="BJ231" s="272">
        <f t="shared" si="149"/>
        <v>24</v>
      </c>
      <c r="BK231" s="274">
        <f t="shared" si="150"/>
        <v>0.91666666666666663</v>
      </c>
      <c r="BL231" s="275">
        <f t="shared" si="151"/>
        <v>1</v>
      </c>
      <c r="BM231" s="278"/>
      <c r="BN231" s="272">
        <f t="shared" si="152"/>
        <v>0</v>
      </c>
      <c r="BO231" s="272">
        <f>IFERROR(INDEX('Horo. M'!$S$3:S$367,MATCH(A231,'Horo. M'!$A$3:$A$367,0)),"")</f>
        <v>24</v>
      </c>
      <c r="BP231" s="278"/>
      <c r="BQ231" s="278"/>
      <c r="BR231" s="272">
        <f t="shared" si="153"/>
        <v>24</v>
      </c>
      <c r="BS231" s="274">
        <f t="shared" si="154"/>
        <v>1</v>
      </c>
      <c r="BT231" s="275">
        <f t="shared" si="155"/>
        <v>1</v>
      </c>
      <c r="BU231" s="278"/>
      <c r="BV231" s="272">
        <f t="shared" si="156"/>
        <v>24</v>
      </c>
      <c r="BW231" s="272">
        <f>IFERROR(INDEX('Horo. M'!$U$3:U$367,MATCH(A231,'Horo. M'!$A$3:$A$367,0)),"")</f>
        <v>0</v>
      </c>
      <c r="BX231" s="278"/>
      <c r="BY231" s="278"/>
      <c r="BZ231" s="272">
        <f t="shared" si="157"/>
        <v>24</v>
      </c>
      <c r="CA231" s="274">
        <f t="shared" si="158"/>
        <v>0</v>
      </c>
      <c r="CB231" s="275">
        <f t="shared" si="159"/>
        <v>1</v>
      </c>
      <c r="CC231" s="280"/>
    </row>
    <row r="232" spans="1:81">
      <c r="A232" s="279">
        <v>45157</v>
      </c>
      <c r="B232" s="278">
        <f t="shared" si="120"/>
        <v>24</v>
      </c>
      <c r="C232" s="272">
        <f>IFERROR(INDEX('Horo. M'!$C$3:$C$367,MATCH(A232,'Horo. M'!$A$3:$A$367,0)),"")</f>
        <v>0</v>
      </c>
      <c r="D232" s="278"/>
      <c r="E232" s="278"/>
      <c r="F232" s="272">
        <f t="shared" si="121"/>
        <v>24</v>
      </c>
      <c r="G232" s="274">
        <f t="shared" si="122"/>
        <v>0</v>
      </c>
      <c r="H232" s="275">
        <f t="shared" si="123"/>
        <v>1</v>
      </c>
      <c r="I232" s="277"/>
      <c r="J232" s="278">
        <f t="shared" si="124"/>
        <v>0</v>
      </c>
      <c r="K232" s="272">
        <f>IFERROR(INDEX('Horo. M'!$E$3:$E$367,MATCH(A232,'Horo. M'!$A$3:$A$367,0)),"")</f>
        <v>24</v>
      </c>
      <c r="L232" s="273"/>
      <c r="M232" s="273"/>
      <c r="N232" s="272">
        <f t="shared" si="125"/>
        <v>24</v>
      </c>
      <c r="O232" s="274">
        <f t="shared" si="126"/>
        <v>1</v>
      </c>
      <c r="P232" s="275">
        <f t="shared" si="127"/>
        <v>1</v>
      </c>
      <c r="Q232" s="276"/>
      <c r="R232" s="278">
        <f t="shared" si="128"/>
        <v>0</v>
      </c>
      <c r="S232" s="272">
        <f>IFERROR(INDEX('Horo. M'!G$3:$G$367,MATCH(A232,'Horo. M'!$A$3:$A$367,0)),"")</f>
        <v>24</v>
      </c>
      <c r="T232" s="278"/>
      <c r="U232" s="278"/>
      <c r="V232" s="272">
        <f t="shared" si="129"/>
        <v>24</v>
      </c>
      <c r="W232" s="274">
        <f t="shared" si="130"/>
        <v>1</v>
      </c>
      <c r="X232" s="275">
        <f t="shared" si="131"/>
        <v>1</v>
      </c>
      <c r="Y232" s="278"/>
      <c r="Z232" s="278">
        <f t="shared" si="132"/>
        <v>0</v>
      </c>
      <c r="AA232" s="272">
        <f>IFERROR(INDEX('Horo. M'!$I$3:I$367,MATCH(A232,'Horo. M'!$A$3:$A$367,0)),"")</f>
        <v>24</v>
      </c>
      <c r="AB232" s="273"/>
      <c r="AC232" s="273"/>
      <c r="AD232" s="272">
        <f t="shared" si="133"/>
        <v>24</v>
      </c>
      <c r="AE232" s="274">
        <f t="shared" si="134"/>
        <v>1</v>
      </c>
      <c r="AF232" s="275">
        <f t="shared" si="135"/>
        <v>1</v>
      </c>
      <c r="AG232" s="278"/>
      <c r="AH232" s="272">
        <f t="shared" si="136"/>
        <v>0</v>
      </c>
      <c r="AI232" s="272">
        <f>IFERROR(INDEX('Horo. M'!$K$3:K$367,MATCH(A232,'Horo. M'!$A$3:$A$367,0)),"")</f>
        <v>24</v>
      </c>
      <c r="AJ232" s="278"/>
      <c r="AK232" s="278"/>
      <c r="AL232" s="272">
        <f t="shared" si="137"/>
        <v>24</v>
      </c>
      <c r="AM232" s="274">
        <f t="shared" si="138"/>
        <v>1</v>
      </c>
      <c r="AN232" s="275">
        <f t="shared" si="139"/>
        <v>1</v>
      </c>
      <c r="AO232" s="278"/>
      <c r="AP232" s="272">
        <f t="shared" si="140"/>
        <v>0</v>
      </c>
      <c r="AQ232" s="272">
        <f>IFERROR(INDEX('Horo. M'!$M$3:M$367,MATCH(A232,'Horo. M'!$A$3:$A$367,0)),"")</f>
        <v>24</v>
      </c>
      <c r="AR232" s="278"/>
      <c r="AS232" s="278"/>
      <c r="AT232" s="272">
        <f t="shared" si="141"/>
        <v>24</v>
      </c>
      <c r="AU232" s="274">
        <f t="shared" si="142"/>
        <v>1</v>
      </c>
      <c r="AV232" s="275">
        <f t="shared" si="143"/>
        <v>1</v>
      </c>
      <c r="AW232" s="278"/>
      <c r="AX232" s="272">
        <f t="shared" si="144"/>
        <v>1</v>
      </c>
      <c r="AY232" s="272">
        <f>IFERROR(INDEX('Horo. M'!$O$3:O$367,MATCH(A232,'Horo. M'!$A$3:$A$367,0)),"")</f>
        <v>23</v>
      </c>
      <c r="AZ232" s="278"/>
      <c r="BA232" s="278"/>
      <c r="BB232" s="272">
        <f t="shared" si="145"/>
        <v>24</v>
      </c>
      <c r="BC232" s="274">
        <f t="shared" si="146"/>
        <v>0.95833333333333337</v>
      </c>
      <c r="BD232" s="275">
        <f t="shared" si="147"/>
        <v>1</v>
      </c>
      <c r="BE232" s="278"/>
      <c r="BF232" s="272">
        <f t="shared" si="148"/>
        <v>0</v>
      </c>
      <c r="BG232" s="272">
        <f>IFERROR(INDEX('Horo. M'!$Q$3:Q$367,MATCH(A232,'Horo. M'!$A$3:$A$367,0)),"")</f>
        <v>24</v>
      </c>
      <c r="BH232" s="278"/>
      <c r="BI232" s="278"/>
      <c r="BJ232" s="272">
        <f t="shared" si="149"/>
        <v>24</v>
      </c>
      <c r="BK232" s="274">
        <f t="shared" si="150"/>
        <v>1</v>
      </c>
      <c r="BL232" s="275">
        <f t="shared" si="151"/>
        <v>1</v>
      </c>
      <c r="BM232" s="278"/>
      <c r="BN232" s="272">
        <f t="shared" si="152"/>
        <v>0</v>
      </c>
      <c r="BO232" s="272">
        <f>IFERROR(INDEX('Horo. M'!$S$3:S$367,MATCH(A232,'Horo. M'!$A$3:$A$367,0)),"")</f>
        <v>24</v>
      </c>
      <c r="BP232" s="278"/>
      <c r="BQ232" s="278"/>
      <c r="BR232" s="272">
        <f t="shared" si="153"/>
        <v>24</v>
      </c>
      <c r="BS232" s="274">
        <f t="shared" si="154"/>
        <v>1</v>
      </c>
      <c r="BT232" s="275">
        <f t="shared" si="155"/>
        <v>1</v>
      </c>
      <c r="BU232" s="278"/>
      <c r="BV232" s="272">
        <f t="shared" si="156"/>
        <v>22</v>
      </c>
      <c r="BW232" s="272">
        <f>IFERROR(INDEX('Horo. M'!$U$3:U$367,MATCH(A232,'Horo. M'!$A$3:$A$367,0)),"")</f>
        <v>2</v>
      </c>
      <c r="BX232" s="278"/>
      <c r="BY232" s="278"/>
      <c r="BZ232" s="272">
        <f t="shared" si="157"/>
        <v>24</v>
      </c>
      <c r="CA232" s="274">
        <f t="shared" si="158"/>
        <v>8.3333333333333329E-2</v>
      </c>
      <c r="CB232" s="275">
        <f t="shared" si="159"/>
        <v>1</v>
      </c>
      <c r="CC232" s="280"/>
    </row>
    <row r="233" spans="1:81">
      <c r="A233" s="279">
        <v>45158</v>
      </c>
      <c r="B233" s="278">
        <f t="shared" si="120"/>
        <v>24</v>
      </c>
      <c r="C233" s="272">
        <f>IFERROR(INDEX('Horo. M'!$C$3:$C$367,MATCH(A233,'Horo. M'!$A$3:$A$367,0)),"")</f>
        <v>0</v>
      </c>
      <c r="D233" s="278"/>
      <c r="E233" s="278"/>
      <c r="F233" s="272">
        <f t="shared" si="121"/>
        <v>24</v>
      </c>
      <c r="G233" s="274">
        <f t="shared" si="122"/>
        <v>0</v>
      </c>
      <c r="H233" s="275">
        <f t="shared" si="123"/>
        <v>1</v>
      </c>
      <c r="I233" s="277"/>
      <c r="J233" s="278">
        <f t="shared" si="124"/>
        <v>2</v>
      </c>
      <c r="K233" s="272">
        <f>IFERROR(INDEX('Horo. M'!$E$3:$E$367,MATCH(A233,'Horo. M'!$A$3:$A$367,0)),"")</f>
        <v>22</v>
      </c>
      <c r="L233" s="273"/>
      <c r="M233" s="273"/>
      <c r="N233" s="272">
        <f t="shared" si="125"/>
        <v>24</v>
      </c>
      <c r="O233" s="274">
        <f t="shared" si="126"/>
        <v>0.91666666666666663</v>
      </c>
      <c r="P233" s="275">
        <f t="shared" si="127"/>
        <v>1</v>
      </c>
      <c r="Q233" s="276"/>
      <c r="R233" s="278">
        <f t="shared" si="128"/>
        <v>0</v>
      </c>
      <c r="S233" s="272">
        <f>IFERROR(INDEX('Horo. M'!G$3:$G$367,MATCH(A233,'Horo. M'!$A$3:$A$367,0)),"")</f>
        <v>24</v>
      </c>
      <c r="T233" s="278"/>
      <c r="U233" s="278"/>
      <c r="V233" s="272">
        <f t="shared" si="129"/>
        <v>24</v>
      </c>
      <c r="W233" s="274">
        <f t="shared" si="130"/>
        <v>1</v>
      </c>
      <c r="X233" s="275">
        <f t="shared" si="131"/>
        <v>1</v>
      </c>
      <c r="Y233" s="278"/>
      <c r="Z233" s="278">
        <f t="shared" si="132"/>
        <v>0</v>
      </c>
      <c r="AA233" s="272">
        <f>IFERROR(INDEX('Horo. M'!$I$3:I$367,MATCH(A233,'Horo. M'!$A$3:$A$367,0)),"")</f>
        <v>24</v>
      </c>
      <c r="AB233" s="273"/>
      <c r="AC233" s="273"/>
      <c r="AD233" s="272">
        <f t="shared" si="133"/>
        <v>24</v>
      </c>
      <c r="AE233" s="274">
        <f t="shared" si="134"/>
        <v>1</v>
      </c>
      <c r="AF233" s="275">
        <f t="shared" si="135"/>
        <v>1</v>
      </c>
      <c r="AG233" s="278"/>
      <c r="AH233" s="272">
        <f t="shared" si="136"/>
        <v>0</v>
      </c>
      <c r="AI233" s="272">
        <f>IFERROR(INDEX('Horo. M'!$K$3:K$367,MATCH(A233,'Horo. M'!$A$3:$A$367,0)),"")</f>
        <v>24</v>
      </c>
      <c r="AJ233" s="278"/>
      <c r="AK233" s="278"/>
      <c r="AL233" s="272">
        <f t="shared" si="137"/>
        <v>24</v>
      </c>
      <c r="AM233" s="274">
        <f t="shared" si="138"/>
        <v>1</v>
      </c>
      <c r="AN233" s="275">
        <f t="shared" si="139"/>
        <v>1</v>
      </c>
      <c r="AO233" s="278"/>
      <c r="AP233" s="272">
        <f t="shared" si="140"/>
        <v>0</v>
      </c>
      <c r="AQ233" s="272">
        <f>IFERROR(INDEX('Horo. M'!$M$3:M$367,MATCH(A233,'Horo. M'!$A$3:$A$367,0)),"")</f>
        <v>24</v>
      </c>
      <c r="AR233" s="278"/>
      <c r="AS233" s="278"/>
      <c r="AT233" s="272">
        <f t="shared" si="141"/>
        <v>24</v>
      </c>
      <c r="AU233" s="274">
        <f t="shared" si="142"/>
        <v>1</v>
      </c>
      <c r="AV233" s="275">
        <f t="shared" si="143"/>
        <v>1</v>
      </c>
      <c r="AW233" s="278"/>
      <c r="AX233" s="272">
        <f t="shared" si="144"/>
        <v>0</v>
      </c>
      <c r="AY233" s="272">
        <f>IFERROR(INDEX('Horo. M'!$O$3:O$367,MATCH(A233,'Horo. M'!$A$3:$A$367,0)),"")</f>
        <v>24</v>
      </c>
      <c r="AZ233" s="278"/>
      <c r="BA233" s="278"/>
      <c r="BB233" s="272">
        <f t="shared" si="145"/>
        <v>24</v>
      </c>
      <c r="BC233" s="274">
        <f t="shared" si="146"/>
        <v>1</v>
      </c>
      <c r="BD233" s="275">
        <f t="shared" si="147"/>
        <v>1</v>
      </c>
      <c r="BE233" s="278"/>
      <c r="BF233" s="272">
        <f t="shared" si="148"/>
        <v>0</v>
      </c>
      <c r="BG233" s="272">
        <f>IFERROR(INDEX('Horo. M'!$Q$3:Q$367,MATCH(A233,'Horo. M'!$A$3:$A$367,0)),"")</f>
        <v>24</v>
      </c>
      <c r="BH233" s="278"/>
      <c r="BI233" s="278"/>
      <c r="BJ233" s="272">
        <f t="shared" si="149"/>
        <v>24</v>
      </c>
      <c r="BK233" s="274">
        <f t="shared" si="150"/>
        <v>1</v>
      </c>
      <c r="BL233" s="275">
        <f t="shared" si="151"/>
        <v>1</v>
      </c>
      <c r="BM233" s="278"/>
      <c r="BN233" s="272">
        <f t="shared" si="152"/>
        <v>0</v>
      </c>
      <c r="BO233" s="272">
        <f>IFERROR(INDEX('Horo. M'!$S$3:S$367,MATCH(A233,'Horo. M'!$A$3:$A$367,0)),"")</f>
        <v>24</v>
      </c>
      <c r="BP233" s="278"/>
      <c r="BQ233" s="278"/>
      <c r="BR233" s="272">
        <f t="shared" si="153"/>
        <v>24</v>
      </c>
      <c r="BS233" s="274">
        <f t="shared" si="154"/>
        <v>1</v>
      </c>
      <c r="BT233" s="275">
        <f t="shared" si="155"/>
        <v>1</v>
      </c>
      <c r="BU233" s="278"/>
      <c r="BV233" s="272">
        <f t="shared" si="156"/>
        <v>12</v>
      </c>
      <c r="BW233" s="272">
        <f>IFERROR(INDEX('Horo. M'!$U$3:U$367,MATCH(A233,'Horo. M'!$A$3:$A$367,0)),"")</f>
        <v>12</v>
      </c>
      <c r="BX233" s="278"/>
      <c r="BY233" s="278"/>
      <c r="BZ233" s="272">
        <f t="shared" si="157"/>
        <v>24</v>
      </c>
      <c r="CA233" s="274">
        <f t="shared" si="158"/>
        <v>0.5</v>
      </c>
      <c r="CB233" s="275">
        <f t="shared" si="159"/>
        <v>1</v>
      </c>
      <c r="CC233" s="280"/>
    </row>
    <row r="234" spans="1:81">
      <c r="A234" s="279">
        <v>45159</v>
      </c>
      <c r="B234" s="278">
        <f t="shared" si="120"/>
        <v>24</v>
      </c>
      <c r="C234" s="272">
        <f>IFERROR(INDEX('Horo. M'!$C$3:$C$367,MATCH(A234,'Horo. M'!$A$3:$A$367,0)),"")</f>
        <v>0</v>
      </c>
      <c r="D234" s="278"/>
      <c r="E234" s="278"/>
      <c r="F234" s="272">
        <f t="shared" si="121"/>
        <v>24</v>
      </c>
      <c r="G234" s="274">
        <f t="shared" si="122"/>
        <v>0</v>
      </c>
      <c r="H234" s="275">
        <f t="shared" si="123"/>
        <v>1</v>
      </c>
      <c r="I234" s="277"/>
      <c r="J234" s="278">
        <f t="shared" si="124"/>
        <v>0</v>
      </c>
      <c r="K234" s="272">
        <f>IFERROR(INDEX('Horo. M'!$E$3:$E$367,MATCH(A234,'Horo. M'!$A$3:$A$367,0)),"")</f>
        <v>24</v>
      </c>
      <c r="L234" s="273"/>
      <c r="M234" s="273"/>
      <c r="N234" s="272">
        <f t="shared" si="125"/>
        <v>24</v>
      </c>
      <c r="O234" s="274">
        <f t="shared" si="126"/>
        <v>1</v>
      </c>
      <c r="P234" s="275">
        <f t="shared" si="127"/>
        <v>1</v>
      </c>
      <c r="Q234" s="276"/>
      <c r="R234" s="278">
        <f t="shared" si="128"/>
        <v>0</v>
      </c>
      <c r="S234" s="272">
        <f>IFERROR(INDEX('Horo. M'!G$3:$G$367,MATCH(A234,'Horo. M'!$A$3:$A$367,0)),"")</f>
        <v>24</v>
      </c>
      <c r="T234" s="278"/>
      <c r="U234" s="278"/>
      <c r="V234" s="272">
        <f t="shared" si="129"/>
        <v>24</v>
      </c>
      <c r="W234" s="274">
        <f t="shared" si="130"/>
        <v>1</v>
      </c>
      <c r="X234" s="275">
        <f t="shared" si="131"/>
        <v>1</v>
      </c>
      <c r="Y234" s="278"/>
      <c r="Z234" s="278">
        <f t="shared" si="132"/>
        <v>0</v>
      </c>
      <c r="AA234" s="272">
        <f>IFERROR(INDEX('Horo. M'!$I$3:I$367,MATCH(A234,'Horo. M'!$A$3:$A$367,0)),"")</f>
        <v>24</v>
      </c>
      <c r="AB234" s="273"/>
      <c r="AC234" s="273"/>
      <c r="AD234" s="272">
        <f t="shared" si="133"/>
        <v>24</v>
      </c>
      <c r="AE234" s="274">
        <f t="shared" si="134"/>
        <v>1</v>
      </c>
      <c r="AF234" s="275">
        <f t="shared" si="135"/>
        <v>1</v>
      </c>
      <c r="AG234" s="278"/>
      <c r="AH234" s="272">
        <f t="shared" si="136"/>
        <v>0</v>
      </c>
      <c r="AI234" s="272">
        <f>IFERROR(INDEX('Horo. M'!$K$3:K$367,MATCH(A234,'Horo. M'!$A$3:$A$367,0)),"")</f>
        <v>24</v>
      </c>
      <c r="AJ234" s="278"/>
      <c r="AK234" s="278"/>
      <c r="AL234" s="272">
        <f t="shared" si="137"/>
        <v>24</v>
      </c>
      <c r="AM234" s="274">
        <f t="shared" si="138"/>
        <v>1</v>
      </c>
      <c r="AN234" s="275">
        <f t="shared" si="139"/>
        <v>1</v>
      </c>
      <c r="AO234" s="278"/>
      <c r="AP234" s="272">
        <f t="shared" si="140"/>
        <v>24</v>
      </c>
      <c r="AQ234" s="272">
        <f>IFERROR(INDEX('Horo. M'!$M$3:M$367,MATCH(A234,'Horo. M'!$A$3:$A$367,0)),"")</f>
        <v>0</v>
      </c>
      <c r="AR234" s="278"/>
      <c r="AS234" s="278"/>
      <c r="AT234" s="272">
        <f t="shared" si="141"/>
        <v>24</v>
      </c>
      <c r="AU234" s="274">
        <f t="shared" si="142"/>
        <v>0</v>
      </c>
      <c r="AV234" s="275">
        <f t="shared" si="143"/>
        <v>1</v>
      </c>
      <c r="AW234" s="278"/>
      <c r="AX234" s="272">
        <f t="shared" si="144"/>
        <v>0</v>
      </c>
      <c r="AY234" s="272">
        <f>IFERROR(INDEX('Horo. M'!$O$3:O$367,MATCH(A234,'Horo. M'!$A$3:$A$367,0)),"")</f>
        <v>24</v>
      </c>
      <c r="AZ234" s="278"/>
      <c r="BA234" s="278"/>
      <c r="BB234" s="272">
        <f t="shared" si="145"/>
        <v>24</v>
      </c>
      <c r="BC234" s="274">
        <f t="shared" si="146"/>
        <v>1</v>
      </c>
      <c r="BD234" s="275">
        <f t="shared" si="147"/>
        <v>1</v>
      </c>
      <c r="BE234" s="278"/>
      <c r="BF234" s="272">
        <f t="shared" si="148"/>
        <v>0</v>
      </c>
      <c r="BG234" s="272">
        <f>IFERROR(INDEX('Horo. M'!$Q$3:Q$367,MATCH(A234,'Horo. M'!$A$3:$A$367,0)),"")</f>
        <v>24</v>
      </c>
      <c r="BH234" s="278"/>
      <c r="BI234" s="278"/>
      <c r="BJ234" s="272">
        <f t="shared" si="149"/>
        <v>24</v>
      </c>
      <c r="BK234" s="274">
        <f t="shared" si="150"/>
        <v>1</v>
      </c>
      <c r="BL234" s="275">
        <f t="shared" si="151"/>
        <v>1</v>
      </c>
      <c r="BM234" s="278"/>
      <c r="BN234" s="272">
        <f t="shared" si="152"/>
        <v>0</v>
      </c>
      <c r="BO234" s="272">
        <f>IFERROR(INDEX('Horo. M'!$S$3:S$367,MATCH(A234,'Horo. M'!$A$3:$A$367,0)),"")</f>
        <v>24</v>
      </c>
      <c r="BP234" s="278"/>
      <c r="BQ234" s="278"/>
      <c r="BR234" s="272">
        <f t="shared" si="153"/>
        <v>24</v>
      </c>
      <c r="BS234" s="274">
        <f t="shared" si="154"/>
        <v>1</v>
      </c>
      <c r="BT234" s="275">
        <f t="shared" si="155"/>
        <v>1</v>
      </c>
      <c r="BU234" s="278"/>
      <c r="BV234" s="272">
        <f t="shared" si="156"/>
        <v>1</v>
      </c>
      <c r="BW234" s="272">
        <f>IFERROR(INDEX('Horo. M'!$U$3:U$367,MATCH(A234,'Horo. M'!$A$3:$A$367,0)),"")</f>
        <v>23</v>
      </c>
      <c r="BX234" s="278"/>
      <c r="BY234" s="278"/>
      <c r="BZ234" s="272">
        <f t="shared" si="157"/>
        <v>24</v>
      </c>
      <c r="CA234" s="274">
        <f t="shared" si="158"/>
        <v>0.95833333333333337</v>
      </c>
      <c r="CB234" s="275">
        <f t="shared" si="159"/>
        <v>1</v>
      </c>
      <c r="CC234" s="280"/>
    </row>
    <row r="235" spans="1:81">
      <c r="A235" s="279">
        <v>45160</v>
      </c>
      <c r="B235" s="278">
        <f t="shared" si="120"/>
        <v>24</v>
      </c>
      <c r="C235" s="272">
        <f>IFERROR(INDEX('Horo. M'!$C$3:$C$367,MATCH(A235,'Horo. M'!$A$3:$A$367,0)),"")</f>
        <v>0</v>
      </c>
      <c r="D235" s="278"/>
      <c r="E235" s="278"/>
      <c r="F235" s="272">
        <f t="shared" si="121"/>
        <v>24</v>
      </c>
      <c r="G235" s="274">
        <f t="shared" si="122"/>
        <v>0</v>
      </c>
      <c r="H235" s="275">
        <f t="shared" si="123"/>
        <v>1</v>
      </c>
      <c r="I235" s="277"/>
      <c r="J235" s="278">
        <f t="shared" si="124"/>
        <v>0</v>
      </c>
      <c r="K235" s="272">
        <f>IFERROR(INDEX('Horo. M'!$E$3:$E$367,MATCH(A235,'Horo. M'!$A$3:$A$367,0)),"")</f>
        <v>24</v>
      </c>
      <c r="L235" s="273"/>
      <c r="M235" s="273"/>
      <c r="N235" s="272">
        <f t="shared" si="125"/>
        <v>24</v>
      </c>
      <c r="O235" s="274">
        <f t="shared" si="126"/>
        <v>1</v>
      </c>
      <c r="P235" s="275">
        <f t="shared" si="127"/>
        <v>1</v>
      </c>
      <c r="Q235" s="276"/>
      <c r="R235" s="278">
        <f t="shared" si="128"/>
        <v>0</v>
      </c>
      <c r="S235" s="272">
        <f>IFERROR(INDEX('Horo. M'!G$3:$G$367,MATCH(A235,'Horo. M'!$A$3:$A$367,0)),"")</f>
        <v>24</v>
      </c>
      <c r="T235" s="278"/>
      <c r="U235" s="278"/>
      <c r="V235" s="272">
        <f t="shared" si="129"/>
        <v>24</v>
      </c>
      <c r="W235" s="274">
        <f t="shared" si="130"/>
        <v>1</v>
      </c>
      <c r="X235" s="275">
        <f t="shared" si="131"/>
        <v>1</v>
      </c>
      <c r="Y235" s="278"/>
      <c r="Z235" s="278">
        <f t="shared" si="132"/>
        <v>0</v>
      </c>
      <c r="AA235" s="272">
        <f>IFERROR(INDEX('Horo. M'!$I$3:I$367,MATCH(A235,'Horo. M'!$A$3:$A$367,0)),"")</f>
        <v>24</v>
      </c>
      <c r="AB235" s="273"/>
      <c r="AC235" s="273"/>
      <c r="AD235" s="272">
        <f t="shared" si="133"/>
        <v>24</v>
      </c>
      <c r="AE235" s="274">
        <f t="shared" si="134"/>
        <v>1</v>
      </c>
      <c r="AF235" s="275">
        <f t="shared" si="135"/>
        <v>1</v>
      </c>
      <c r="AG235" s="278"/>
      <c r="AH235" s="272">
        <f t="shared" si="136"/>
        <v>0</v>
      </c>
      <c r="AI235" s="272">
        <f>IFERROR(INDEX('Horo. M'!$K$3:K$367,MATCH(A235,'Horo. M'!$A$3:$A$367,0)),"")</f>
        <v>24</v>
      </c>
      <c r="AJ235" s="278"/>
      <c r="AK235" s="278"/>
      <c r="AL235" s="272">
        <f t="shared" si="137"/>
        <v>24</v>
      </c>
      <c r="AM235" s="274">
        <f t="shared" si="138"/>
        <v>1</v>
      </c>
      <c r="AN235" s="275">
        <f t="shared" si="139"/>
        <v>1</v>
      </c>
      <c r="AO235" s="278"/>
      <c r="AP235" s="272">
        <f t="shared" si="140"/>
        <v>24</v>
      </c>
      <c r="AQ235" s="272">
        <f>IFERROR(INDEX('Horo. M'!$M$3:M$367,MATCH(A235,'Horo. M'!$A$3:$A$367,0)),"")</f>
        <v>0</v>
      </c>
      <c r="AR235" s="278"/>
      <c r="AS235" s="278"/>
      <c r="AT235" s="272">
        <f t="shared" si="141"/>
        <v>24</v>
      </c>
      <c r="AU235" s="274">
        <f t="shared" si="142"/>
        <v>0</v>
      </c>
      <c r="AV235" s="275">
        <f t="shared" si="143"/>
        <v>1</v>
      </c>
      <c r="AW235" s="278"/>
      <c r="AX235" s="272">
        <f t="shared" si="144"/>
        <v>0</v>
      </c>
      <c r="AY235" s="272">
        <f>IFERROR(INDEX('Horo. M'!$O$3:O$367,MATCH(A235,'Horo. M'!$A$3:$A$367,0)),"")</f>
        <v>24</v>
      </c>
      <c r="AZ235" s="278"/>
      <c r="BA235" s="278"/>
      <c r="BB235" s="272">
        <f t="shared" si="145"/>
        <v>24</v>
      </c>
      <c r="BC235" s="274">
        <f t="shared" si="146"/>
        <v>1</v>
      </c>
      <c r="BD235" s="275">
        <f t="shared" si="147"/>
        <v>1</v>
      </c>
      <c r="BE235" s="278"/>
      <c r="BF235" s="272">
        <f t="shared" si="148"/>
        <v>0</v>
      </c>
      <c r="BG235" s="272">
        <f>IFERROR(INDEX('Horo. M'!$Q$3:Q$367,MATCH(A235,'Horo. M'!$A$3:$A$367,0)),"")</f>
        <v>24</v>
      </c>
      <c r="BH235" s="278"/>
      <c r="BI235" s="278"/>
      <c r="BJ235" s="272">
        <f t="shared" si="149"/>
        <v>24</v>
      </c>
      <c r="BK235" s="274">
        <f t="shared" si="150"/>
        <v>1</v>
      </c>
      <c r="BL235" s="275">
        <f t="shared" si="151"/>
        <v>1</v>
      </c>
      <c r="BM235" s="278"/>
      <c r="BN235" s="272">
        <f t="shared" si="152"/>
        <v>0</v>
      </c>
      <c r="BO235" s="272">
        <f>IFERROR(INDEX('Horo. M'!$S$3:S$367,MATCH(A235,'Horo. M'!$A$3:$A$367,0)),"")</f>
        <v>24</v>
      </c>
      <c r="BP235" s="278"/>
      <c r="BQ235" s="278"/>
      <c r="BR235" s="272">
        <f t="shared" si="153"/>
        <v>24</v>
      </c>
      <c r="BS235" s="274">
        <f t="shared" si="154"/>
        <v>1</v>
      </c>
      <c r="BT235" s="275">
        <f t="shared" si="155"/>
        <v>1</v>
      </c>
      <c r="BU235" s="278"/>
      <c r="BV235" s="272">
        <f t="shared" si="156"/>
        <v>0</v>
      </c>
      <c r="BW235" s="272">
        <f>IFERROR(INDEX('Horo. M'!$U$3:U$367,MATCH(A235,'Horo. M'!$A$3:$A$367,0)),"")</f>
        <v>24</v>
      </c>
      <c r="BX235" s="278"/>
      <c r="BY235" s="278"/>
      <c r="BZ235" s="272">
        <f t="shared" si="157"/>
        <v>24</v>
      </c>
      <c r="CA235" s="274">
        <f t="shared" si="158"/>
        <v>1</v>
      </c>
      <c r="CB235" s="275">
        <f t="shared" si="159"/>
        <v>1</v>
      </c>
      <c r="CC235" s="280"/>
    </row>
    <row r="236" spans="1:81">
      <c r="A236" s="279">
        <v>45161</v>
      </c>
      <c r="B236" s="278">
        <f t="shared" si="120"/>
        <v>24</v>
      </c>
      <c r="C236" s="272">
        <f>IFERROR(INDEX('Horo. M'!$C$3:$C$367,MATCH(A236,'Horo. M'!$A$3:$A$367,0)),"")</f>
        <v>0</v>
      </c>
      <c r="D236" s="278"/>
      <c r="E236" s="278"/>
      <c r="F236" s="272">
        <f t="shared" si="121"/>
        <v>24</v>
      </c>
      <c r="G236" s="274">
        <f t="shared" si="122"/>
        <v>0</v>
      </c>
      <c r="H236" s="275">
        <f t="shared" si="123"/>
        <v>1</v>
      </c>
      <c r="I236" s="277"/>
      <c r="J236" s="278">
        <f t="shared" si="124"/>
        <v>24</v>
      </c>
      <c r="K236" s="272">
        <f>IFERROR(INDEX('Horo. M'!$E$3:$E$367,MATCH(A236,'Horo. M'!$A$3:$A$367,0)),"")</f>
        <v>0</v>
      </c>
      <c r="L236" s="273"/>
      <c r="M236" s="273"/>
      <c r="N236" s="272">
        <f t="shared" si="125"/>
        <v>24</v>
      </c>
      <c r="O236" s="274">
        <f t="shared" si="126"/>
        <v>0</v>
      </c>
      <c r="P236" s="275">
        <f t="shared" si="127"/>
        <v>1</v>
      </c>
      <c r="Q236" s="276"/>
      <c r="R236" s="278">
        <f t="shared" si="128"/>
        <v>24</v>
      </c>
      <c r="S236" s="272">
        <f>IFERROR(INDEX('Horo. M'!G$3:$G$367,MATCH(A236,'Horo. M'!$A$3:$A$367,0)),"")</f>
        <v>0</v>
      </c>
      <c r="T236" s="278"/>
      <c r="U236" s="278"/>
      <c r="V236" s="272">
        <f t="shared" si="129"/>
        <v>24</v>
      </c>
      <c r="W236" s="274">
        <f t="shared" si="130"/>
        <v>0</v>
      </c>
      <c r="X236" s="275">
        <f t="shared" si="131"/>
        <v>1</v>
      </c>
      <c r="Y236" s="278"/>
      <c r="Z236" s="278">
        <f t="shared" si="132"/>
        <v>24</v>
      </c>
      <c r="AA236" s="272">
        <f>IFERROR(INDEX('Horo. M'!$I$3:I$367,MATCH(A236,'Horo. M'!$A$3:$A$367,0)),"")</f>
        <v>0</v>
      </c>
      <c r="AB236" s="273"/>
      <c r="AC236" s="273"/>
      <c r="AD236" s="272">
        <f t="shared" si="133"/>
        <v>24</v>
      </c>
      <c r="AE236" s="274">
        <f t="shared" si="134"/>
        <v>0</v>
      </c>
      <c r="AF236" s="275">
        <f t="shared" si="135"/>
        <v>1</v>
      </c>
      <c r="AG236" s="278"/>
      <c r="AH236" s="272">
        <f t="shared" si="136"/>
        <v>24</v>
      </c>
      <c r="AI236" s="272">
        <f>IFERROR(INDEX('Horo. M'!$K$3:K$367,MATCH(A236,'Horo. M'!$A$3:$A$367,0)),"")</f>
        <v>0</v>
      </c>
      <c r="AJ236" s="278"/>
      <c r="AK236" s="278"/>
      <c r="AL236" s="272">
        <f t="shared" si="137"/>
        <v>24</v>
      </c>
      <c r="AM236" s="274">
        <f t="shared" si="138"/>
        <v>0</v>
      </c>
      <c r="AN236" s="275">
        <f t="shared" si="139"/>
        <v>1</v>
      </c>
      <c r="AO236" s="278"/>
      <c r="AP236" s="272">
        <f t="shared" si="140"/>
        <v>24</v>
      </c>
      <c r="AQ236" s="272">
        <f>IFERROR(INDEX('Horo. M'!$M$3:M$367,MATCH(A236,'Horo. M'!$A$3:$A$367,0)),"")</f>
        <v>0</v>
      </c>
      <c r="AR236" s="278"/>
      <c r="AS236" s="278"/>
      <c r="AT236" s="272">
        <f t="shared" si="141"/>
        <v>24</v>
      </c>
      <c r="AU236" s="274">
        <f t="shared" si="142"/>
        <v>0</v>
      </c>
      <c r="AV236" s="275">
        <f t="shared" si="143"/>
        <v>1</v>
      </c>
      <c r="AW236" s="278"/>
      <c r="AX236" s="272">
        <f t="shared" si="144"/>
        <v>24</v>
      </c>
      <c r="AY236" s="272">
        <f>IFERROR(INDEX('Horo. M'!$O$3:O$367,MATCH(A236,'Horo. M'!$A$3:$A$367,0)),"")</f>
        <v>0</v>
      </c>
      <c r="AZ236" s="278"/>
      <c r="BA236" s="278"/>
      <c r="BB236" s="272">
        <f t="shared" si="145"/>
        <v>24</v>
      </c>
      <c r="BC236" s="274">
        <f t="shared" si="146"/>
        <v>0</v>
      </c>
      <c r="BD236" s="275">
        <f t="shared" si="147"/>
        <v>1</v>
      </c>
      <c r="BE236" s="278"/>
      <c r="BF236" s="272">
        <f t="shared" si="148"/>
        <v>24</v>
      </c>
      <c r="BG236" s="272">
        <f>IFERROR(INDEX('Horo. M'!$Q$3:Q$367,MATCH(A236,'Horo. M'!$A$3:$A$367,0)),"")</f>
        <v>0</v>
      </c>
      <c r="BH236" s="278"/>
      <c r="BI236" s="278"/>
      <c r="BJ236" s="272">
        <f t="shared" si="149"/>
        <v>24</v>
      </c>
      <c r="BK236" s="274">
        <f t="shared" si="150"/>
        <v>0</v>
      </c>
      <c r="BL236" s="275">
        <f t="shared" si="151"/>
        <v>1</v>
      </c>
      <c r="BM236" s="278"/>
      <c r="BN236" s="272">
        <f t="shared" si="152"/>
        <v>24</v>
      </c>
      <c r="BO236" s="272">
        <f>IFERROR(INDEX('Horo. M'!$S$3:S$367,MATCH(A236,'Horo. M'!$A$3:$A$367,0)),"")</f>
        <v>0</v>
      </c>
      <c r="BP236" s="278"/>
      <c r="BQ236" s="278"/>
      <c r="BR236" s="272">
        <f t="shared" si="153"/>
        <v>24</v>
      </c>
      <c r="BS236" s="274">
        <f t="shared" si="154"/>
        <v>0</v>
      </c>
      <c r="BT236" s="275">
        <f t="shared" si="155"/>
        <v>1</v>
      </c>
      <c r="BU236" s="278"/>
      <c r="BV236" s="272">
        <f t="shared" si="156"/>
        <v>24</v>
      </c>
      <c r="BW236" s="272">
        <f>IFERROR(INDEX('Horo. M'!$U$3:U$367,MATCH(A236,'Horo. M'!$A$3:$A$367,0)),"")</f>
        <v>0</v>
      </c>
      <c r="BX236" s="278"/>
      <c r="BY236" s="278"/>
      <c r="BZ236" s="272">
        <f t="shared" si="157"/>
        <v>24</v>
      </c>
      <c r="CA236" s="274">
        <f t="shared" si="158"/>
        <v>0</v>
      </c>
      <c r="CB236" s="275">
        <f t="shared" si="159"/>
        <v>1</v>
      </c>
      <c r="CC236" s="280"/>
    </row>
    <row r="237" spans="1:81">
      <c r="A237" s="279">
        <v>45162</v>
      </c>
      <c r="B237" s="278">
        <f t="shared" si="120"/>
        <v>24</v>
      </c>
      <c r="C237" s="272">
        <f>IFERROR(INDEX('Horo. M'!$C$3:$C$367,MATCH(A237,'Horo. M'!$A$3:$A$367,0)),"")</f>
        <v>0</v>
      </c>
      <c r="D237" s="278"/>
      <c r="E237" s="278"/>
      <c r="F237" s="272">
        <f t="shared" si="121"/>
        <v>24</v>
      </c>
      <c r="G237" s="274">
        <f t="shared" si="122"/>
        <v>0</v>
      </c>
      <c r="H237" s="275">
        <f t="shared" si="123"/>
        <v>1</v>
      </c>
      <c r="I237" s="277"/>
      <c r="J237" s="278">
        <f t="shared" si="124"/>
        <v>24</v>
      </c>
      <c r="K237" s="272">
        <f>IFERROR(INDEX('Horo. M'!$E$3:$E$367,MATCH(A237,'Horo. M'!$A$3:$A$367,0)),"")</f>
        <v>0</v>
      </c>
      <c r="L237" s="273"/>
      <c r="M237" s="273"/>
      <c r="N237" s="272">
        <f t="shared" si="125"/>
        <v>24</v>
      </c>
      <c r="O237" s="274">
        <f t="shared" si="126"/>
        <v>0</v>
      </c>
      <c r="P237" s="275">
        <f t="shared" si="127"/>
        <v>1</v>
      </c>
      <c r="Q237" s="276"/>
      <c r="R237" s="278">
        <f t="shared" si="128"/>
        <v>24</v>
      </c>
      <c r="S237" s="272">
        <f>IFERROR(INDEX('Horo. M'!G$3:$G$367,MATCH(A237,'Horo. M'!$A$3:$A$367,0)),"")</f>
        <v>0</v>
      </c>
      <c r="T237" s="278"/>
      <c r="U237" s="278"/>
      <c r="V237" s="272">
        <f t="shared" si="129"/>
        <v>24</v>
      </c>
      <c r="W237" s="274">
        <f t="shared" si="130"/>
        <v>0</v>
      </c>
      <c r="X237" s="275">
        <f t="shared" si="131"/>
        <v>1</v>
      </c>
      <c r="Y237" s="278"/>
      <c r="Z237" s="278">
        <f t="shared" si="132"/>
        <v>24</v>
      </c>
      <c r="AA237" s="272">
        <f>IFERROR(INDEX('Horo. M'!$I$3:I$367,MATCH(A237,'Horo. M'!$A$3:$A$367,0)),"")</f>
        <v>0</v>
      </c>
      <c r="AB237" s="273"/>
      <c r="AC237" s="273"/>
      <c r="AD237" s="272">
        <f t="shared" si="133"/>
        <v>24</v>
      </c>
      <c r="AE237" s="274">
        <f t="shared" si="134"/>
        <v>0</v>
      </c>
      <c r="AF237" s="275">
        <f t="shared" si="135"/>
        <v>1</v>
      </c>
      <c r="AG237" s="278"/>
      <c r="AH237" s="272">
        <f t="shared" si="136"/>
        <v>24</v>
      </c>
      <c r="AI237" s="272">
        <f>IFERROR(INDEX('Horo. M'!$K$3:K$367,MATCH(A237,'Horo. M'!$A$3:$A$367,0)),"")</f>
        <v>0</v>
      </c>
      <c r="AJ237" s="278"/>
      <c r="AK237" s="278"/>
      <c r="AL237" s="272">
        <f t="shared" si="137"/>
        <v>24</v>
      </c>
      <c r="AM237" s="274">
        <f t="shared" si="138"/>
        <v>0</v>
      </c>
      <c r="AN237" s="275">
        <f t="shared" si="139"/>
        <v>1</v>
      </c>
      <c r="AO237" s="278"/>
      <c r="AP237" s="272">
        <f t="shared" si="140"/>
        <v>24</v>
      </c>
      <c r="AQ237" s="272">
        <f>IFERROR(INDEX('Horo. M'!$M$3:M$367,MATCH(A237,'Horo. M'!$A$3:$A$367,0)),"")</f>
        <v>0</v>
      </c>
      <c r="AR237" s="278"/>
      <c r="AS237" s="278"/>
      <c r="AT237" s="272">
        <f t="shared" si="141"/>
        <v>24</v>
      </c>
      <c r="AU237" s="274">
        <f t="shared" si="142"/>
        <v>0</v>
      </c>
      <c r="AV237" s="275">
        <f t="shared" si="143"/>
        <v>1</v>
      </c>
      <c r="AW237" s="278"/>
      <c r="AX237" s="272">
        <f t="shared" si="144"/>
        <v>24</v>
      </c>
      <c r="AY237" s="272">
        <f>IFERROR(INDEX('Horo. M'!$O$3:O$367,MATCH(A237,'Horo. M'!$A$3:$A$367,0)),"")</f>
        <v>0</v>
      </c>
      <c r="AZ237" s="278"/>
      <c r="BA237" s="278"/>
      <c r="BB237" s="272">
        <f t="shared" si="145"/>
        <v>24</v>
      </c>
      <c r="BC237" s="274">
        <f t="shared" si="146"/>
        <v>0</v>
      </c>
      <c r="BD237" s="275">
        <f t="shared" si="147"/>
        <v>1</v>
      </c>
      <c r="BE237" s="278"/>
      <c r="BF237" s="272">
        <f t="shared" si="148"/>
        <v>24</v>
      </c>
      <c r="BG237" s="272">
        <f>IFERROR(INDEX('Horo. M'!$Q$3:Q$367,MATCH(A237,'Horo. M'!$A$3:$A$367,0)),"")</f>
        <v>0</v>
      </c>
      <c r="BH237" s="278"/>
      <c r="BI237" s="278"/>
      <c r="BJ237" s="272">
        <f t="shared" si="149"/>
        <v>24</v>
      </c>
      <c r="BK237" s="274">
        <f t="shared" si="150"/>
        <v>0</v>
      </c>
      <c r="BL237" s="275">
        <f t="shared" si="151"/>
        <v>1</v>
      </c>
      <c r="BM237" s="278"/>
      <c r="BN237" s="272">
        <f t="shared" si="152"/>
        <v>24</v>
      </c>
      <c r="BO237" s="272">
        <f>IFERROR(INDEX('Horo. M'!$S$3:S$367,MATCH(A237,'Horo. M'!$A$3:$A$367,0)),"")</f>
        <v>0</v>
      </c>
      <c r="BP237" s="278"/>
      <c r="BQ237" s="278"/>
      <c r="BR237" s="272">
        <f t="shared" si="153"/>
        <v>24</v>
      </c>
      <c r="BS237" s="274">
        <f t="shared" si="154"/>
        <v>0</v>
      </c>
      <c r="BT237" s="275">
        <f t="shared" si="155"/>
        <v>1</v>
      </c>
      <c r="BU237" s="278"/>
      <c r="BV237" s="272">
        <f t="shared" si="156"/>
        <v>24</v>
      </c>
      <c r="BW237" s="272">
        <f>IFERROR(INDEX('Horo. M'!$U$3:U$367,MATCH(A237,'Horo. M'!$A$3:$A$367,0)),"")</f>
        <v>0</v>
      </c>
      <c r="BX237" s="278"/>
      <c r="BY237" s="278"/>
      <c r="BZ237" s="272">
        <f t="shared" si="157"/>
        <v>24</v>
      </c>
      <c r="CA237" s="274">
        <f t="shared" si="158"/>
        <v>0</v>
      </c>
      <c r="CB237" s="275">
        <f t="shared" si="159"/>
        <v>1</v>
      </c>
      <c r="CC237" s="280"/>
    </row>
    <row r="238" spans="1:81">
      <c r="A238" s="279">
        <v>45163</v>
      </c>
      <c r="B238" s="278">
        <f t="shared" si="120"/>
        <v>24</v>
      </c>
      <c r="C238" s="272">
        <f>IFERROR(INDEX('Horo. M'!$C$3:$C$367,MATCH(A238,'Horo. M'!$A$3:$A$367,0)),"")</f>
        <v>0</v>
      </c>
      <c r="D238" s="278"/>
      <c r="E238" s="278"/>
      <c r="F238" s="272">
        <f t="shared" si="121"/>
        <v>24</v>
      </c>
      <c r="G238" s="274">
        <f t="shared" si="122"/>
        <v>0</v>
      </c>
      <c r="H238" s="275">
        <f t="shared" si="123"/>
        <v>1</v>
      </c>
      <c r="I238" s="277"/>
      <c r="J238" s="278">
        <f t="shared" si="124"/>
        <v>24</v>
      </c>
      <c r="K238" s="272">
        <f>IFERROR(INDEX('Horo. M'!$E$3:$E$367,MATCH(A238,'Horo. M'!$A$3:$A$367,0)),"")</f>
        <v>0</v>
      </c>
      <c r="L238" s="273"/>
      <c r="M238" s="273"/>
      <c r="N238" s="272">
        <f t="shared" si="125"/>
        <v>24</v>
      </c>
      <c r="O238" s="274">
        <f t="shared" si="126"/>
        <v>0</v>
      </c>
      <c r="P238" s="275">
        <f t="shared" si="127"/>
        <v>1</v>
      </c>
      <c r="Q238" s="276"/>
      <c r="R238" s="278">
        <f t="shared" si="128"/>
        <v>24</v>
      </c>
      <c r="S238" s="272">
        <f>IFERROR(INDEX('Horo. M'!G$3:$G$367,MATCH(A238,'Horo. M'!$A$3:$A$367,0)),"")</f>
        <v>0</v>
      </c>
      <c r="T238" s="278"/>
      <c r="U238" s="278"/>
      <c r="V238" s="272">
        <f t="shared" si="129"/>
        <v>24</v>
      </c>
      <c r="W238" s="274">
        <f t="shared" si="130"/>
        <v>0</v>
      </c>
      <c r="X238" s="275">
        <f t="shared" si="131"/>
        <v>1</v>
      </c>
      <c r="Y238" s="278"/>
      <c r="Z238" s="278">
        <f t="shared" si="132"/>
        <v>24</v>
      </c>
      <c r="AA238" s="272">
        <f>IFERROR(INDEX('Horo. M'!$I$3:I$367,MATCH(A238,'Horo. M'!$A$3:$A$367,0)),"")</f>
        <v>0</v>
      </c>
      <c r="AB238" s="273"/>
      <c r="AC238" s="273"/>
      <c r="AD238" s="272">
        <f t="shared" si="133"/>
        <v>24</v>
      </c>
      <c r="AE238" s="274">
        <f t="shared" si="134"/>
        <v>0</v>
      </c>
      <c r="AF238" s="275">
        <f t="shared" si="135"/>
        <v>1</v>
      </c>
      <c r="AG238" s="278"/>
      <c r="AH238" s="272">
        <f t="shared" si="136"/>
        <v>24</v>
      </c>
      <c r="AI238" s="272">
        <f>IFERROR(INDEX('Horo. M'!$K$3:K$367,MATCH(A238,'Horo. M'!$A$3:$A$367,0)),"")</f>
        <v>0</v>
      </c>
      <c r="AJ238" s="278"/>
      <c r="AK238" s="278"/>
      <c r="AL238" s="272">
        <f t="shared" si="137"/>
        <v>24</v>
      </c>
      <c r="AM238" s="274">
        <f t="shared" si="138"/>
        <v>0</v>
      </c>
      <c r="AN238" s="275">
        <f t="shared" si="139"/>
        <v>1</v>
      </c>
      <c r="AO238" s="278"/>
      <c r="AP238" s="272">
        <f t="shared" si="140"/>
        <v>24</v>
      </c>
      <c r="AQ238" s="272">
        <f>IFERROR(INDEX('Horo. M'!$M$3:M$367,MATCH(A238,'Horo. M'!$A$3:$A$367,0)),"")</f>
        <v>0</v>
      </c>
      <c r="AR238" s="278"/>
      <c r="AS238" s="278"/>
      <c r="AT238" s="272">
        <f t="shared" si="141"/>
        <v>24</v>
      </c>
      <c r="AU238" s="274">
        <f t="shared" si="142"/>
        <v>0</v>
      </c>
      <c r="AV238" s="275">
        <f t="shared" si="143"/>
        <v>1</v>
      </c>
      <c r="AW238" s="278"/>
      <c r="AX238" s="272">
        <f t="shared" si="144"/>
        <v>24</v>
      </c>
      <c r="AY238" s="272">
        <f>IFERROR(INDEX('Horo. M'!$O$3:O$367,MATCH(A238,'Horo. M'!$A$3:$A$367,0)),"")</f>
        <v>0</v>
      </c>
      <c r="AZ238" s="278"/>
      <c r="BA238" s="278"/>
      <c r="BB238" s="272">
        <f t="shared" si="145"/>
        <v>24</v>
      </c>
      <c r="BC238" s="274">
        <f t="shared" si="146"/>
        <v>0</v>
      </c>
      <c r="BD238" s="275">
        <f t="shared" si="147"/>
        <v>1</v>
      </c>
      <c r="BE238" s="278"/>
      <c r="BF238" s="272">
        <f t="shared" si="148"/>
        <v>24</v>
      </c>
      <c r="BG238" s="272">
        <f>IFERROR(INDEX('Horo. M'!$Q$3:Q$367,MATCH(A238,'Horo. M'!$A$3:$A$367,0)),"")</f>
        <v>0</v>
      </c>
      <c r="BH238" s="278"/>
      <c r="BI238" s="278"/>
      <c r="BJ238" s="272">
        <f t="shared" si="149"/>
        <v>24</v>
      </c>
      <c r="BK238" s="274">
        <f t="shared" si="150"/>
        <v>0</v>
      </c>
      <c r="BL238" s="275">
        <f t="shared" si="151"/>
        <v>1</v>
      </c>
      <c r="BM238" s="278"/>
      <c r="BN238" s="272">
        <f t="shared" si="152"/>
        <v>24</v>
      </c>
      <c r="BO238" s="272">
        <f>IFERROR(INDEX('Horo. M'!$S$3:S$367,MATCH(A238,'Horo. M'!$A$3:$A$367,0)),"")</f>
        <v>0</v>
      </c>
      <c r="BP238" s="278"/>
      <c r="BQ238" s="278"/>
      <c r="BR238" s="272">
        <f t="shared" si="153"/>
        <v>24</v>
      </c>
      <c r="BS238" s="274">
        <f t="shared" si="154"/>
        <v>0</v>
      </c>
      <c r="BT238" s="275">
        <f t="shared" si="155"/>
        <v>1</v>
      </c>
      <c r="BU238" s="278"/>
      <c r="BV238" s="272">
        <f t="shared" si="156"/>
        <v>24</v>
      </c>
      <c r="BW238" s="272">
        <f>IFERROR(INDEX('Horo. M'!$U$3:U$367,MATCH(A238,'Horo. M'!$A$3:$A$367,0)),"")</f>
        <v>0</v>
      </c>
      <c r="BX238" s="278"/>
      <c r="BY238" s="278"/>
      <c r="BZ238" s="272">
        <f t="shared" si="157"/>
        <v>24</v>
      </c>
      <c r="CA238" s="274">
        <f t="shared" si="158"/>
        <v>0</v>
      </c>
      <c r="CB238" s="275">
        <f t="shared" si="159"/>
        <v>1</v>
      </c>
      <c r="CC238" s="280"/>
    </row>
    <row r="239" spans="1:81">
      <c r="A239" s="279">
        <v>45164</v>
      </c>
      <c r="B239" s="278">
        <f t="shared" si="120"/>
        <v>24</v>
      </c>
      <c r="C239" s="272">
        <f>IFERROR(INDEX('Horo. M'!$C$3:$C$367,MATCH(A239,'Horo. M'!$A$3:$A$367,0)),"")</f>
        <v>0</v>
      </c>
      <c r="D239" s="278"/>
      <c r="E239" s="278"/>
      <c r="F239" s="272">
        <f t="shared" si="121"/>
        <v>24</v>
      </c>
      <c r="G239" s="274">
        <f t="shared" si="122"/>
        <v>0</v>
      </c>
      <c r="H239" s="275">
        <f t="shared" si="123"/>
        <v>1</v>
      </c>
      <c r="I239" s="277"/>
      <c r="J239" s="278">
        <f t="shared" si="124"/>
        <v>24</v>
      </c>
      <c r="K239" s="272">
        <f>IFERROR(INDEX('Horo. M'!$E$3:$E$367,MATCH(A239,'Horo. M'!$A$3:$A$367,0)),"")</f>
        <v>0</v>
      </c>
      <c r="L239" s="273"/>
      <c r="M239" s="273"/>
      <c r="N239" s="272">
        <f t="shared" si="125"/>
        <v>24</v>
      </c>
      <c r="O239" s="274">
        <f t="shared" si="126"/>
        <v>0</v>
      </c>
      <c r="P239" s="275">
        <f t="shared" si="127"/>
        <v>1</v>
      </c>
      <c r="Q239" s="276"/>
      <c r="R239" s="278">
        <f t="shared" si="128"/>
        <v>24</v>
      </c>
      <c r="S239" s="272">
        <f>IFERROR(INDEX('Horo. M'!G$3:$G$367,MATCH(A239,'Horo. M'!$A$3:$A$367,0)),"")</f>
        <v>0</v>
      </c>
      <c r="T239" s="278"/>
      <c r="U239" s="278"/>
      <c r="V239" s="272">
        <f t="shared" si="129"/>
        <v>24</v>
      </c>
      <c r="W239" s="274">
        <f t="shared" si="130"/>
        <v>0</v>
      </c>
      <c r="X239" s="275">
        <f t="shared" si="131"/>
        <v>1</v>
      </c>
      <c r="Y239" s="278"/>
      <c r="Z239" s="278">
        <f t="shared" si="132"/>
        <v>24</v>
      </c>
      <c r="AA239" s="272">
        <f>IFERROR(INDEX('Horo. M'!$I$3:I$367,MATCH(A239,'Horo. M'!$A$3:$A$367,0)),"")</f>
        <v>0</v>
      </c>
      <c r="AB239" s="273"/>
      <c r="AC239" s="273"/>
      <c r="AD239" s="272">
        <f t="shared" si="133"/>
        <v>24</v>
      </c>
      <c r="AE239" s="274">
        <f t="shared" si="134"/>
        <v>0</v>
      </c>
      <c r="AF239" s="275">
        <f t="shared" si="135"/>
        <v>1</v>
      </c>
      <c r="AG239" s="278"/>
      <c r="AH239" s="272">
        <f t="shared" si="136"/>
        <v>24</v>
      </c>
      <c r="AI239" s="272">
        <f>IFERROR(INDEX('Horo. M'!$K$3:K$367,MATCH(A239,'Horo. M'!$A$3:$A$367,0)),"")</f>
        <v>0</v>
      </c>
      <c r="AJ239" s="278"/>
      <c r="AK239" s="278"/>
      <c r="AL239" s="272">
        <f t="shared" si="137"/>
        <v>24</v>
      </c>
      <c r="AM239" s="274">
        <f t="shared" si="138"/>
        <v>0</v>
      </c>
      <c r="AN239" s="275">
        <f t="shared" si="139"/>
        <v>1</v>
      </c>
      <c r="AO239" s="278"/>
      <c r="AP239" s="272">
        <f t="shared" si="140"/>
        <v>24</v>
      </c>
      <c r="AQ239" s="272">
        <f>IFERROR(INDEX('Horo. M'!$M$3:M$367,MATCH(A239,'Horo. M'!$A$3:$A$367,0)),"")</f>
        <v>0</v>
      </c>
      <c r="AR239" s="278"/>
      <c r="AS239" s="278"/>
      <c r="AT239" s="272">
        <f t="shared" si="141"/>
        <v>24</v>
      </c>
      <c r="AU239" s="274">
        <f t="shared" si="142"/>
        <v>0</v>
      </c>
      <c r="AV239" s="275">
        <f t="shared" si="143"/>
        <v>1</v>
      </c>
      <c r="AW239" s="278"/>
      <c r="AX239" s="272">
        <f t="shared" si="144"/>
        <v>24</v>
      </c>
      <c r="AY239" s="272">
        <f>IFERROR(INDEX('Horo. M'!$O$3:O$367,MATCH(A239,'Horo. M'!$A$3:$A$367,0)),"")</f>
        <v>0</v>
      </c>
      <c r="AZ239" s="278"/>
      <c r="BA239" s="278"/>
      <c r="BB239" s="272">
        <f t="shared" si="145"/>
        <v>24</v>
      </c>
      <c r="BC239" s="274">
        <f t="shared" si="146"/>
        <v>0</v>
      </c>
      <c r="BD239" s="275">
        <f t="shared" si="147"/>
        <v>1</v>
      </c>
      <c r="BE239" s="278"/>
      <c r="BF239" s="272">
        <f t="shared" si="148"/>
        <v>24</v>
      </c>
      <c r="BG239" s="272">
        <f>IFERROR(INDEX('Horo. M'!$Q$3:Q$367,MATCH(A239,'Horo. M'!$A$3:$A$367,0)),"")</f>
        <v>0</v>
      </c>
      <c r="BH239" s="278"/>
      <c r="BI239" s="278"/>
      <c r="BJ239" s="272">
        <f t="shared" si="149"/>
        <v>24</v>
      </c>
      <c r="BK239" s="274">
        <f t="shared" si="150"/>
        <v>0</v>
      </c>
      <c r="BL239" s="275">
        <f t="shared" si="151"/>
        <v>1</v>
      </c>
      <c r="BM239" s="278"/>
      <c r="BN239" s="272">
        <f t="shared" si="152"/>
        <v>24</v>
      </c>
      <c r="BO239" s="272">
        <f>IFERROR(INDEX('Horo. M'!$S$3:S$367,MATCH(A239,'Horo. M'!$A$3:$A$367,0)),"")</f>
        <v>0</v>
      </c>
      <c r="BP239" s="278"/>
      <c r="BQ239" s="278"/>
      <c r="BR239" s="272">
        <f t="shared" si="153"/>
        <v>24</v>
      </c>
      <c r="BS239" s="274">
        <f t="shared" si="154"/>
        <v>0</v>
      </c>
      <c r="BT239" s="275">
        <f t="shared" si="155"/>
        <v>1</v>
      </c>
      <c r="BU239" s="278"/>
      <c r="BV239" s="272">
        <f t="shared" si="156"/>
        <v>24</v>
      </c>
      <c r="BW239" s="272">
        <f>IFERROR(INDEX('Horo. M'!$U$3:U$367,MATCH(A239,'Horo. M'!$A$3:$A$367,0)),"")</f>
        <v>0</v>
      </c>
      <c r="BX239" s="278"/>
      <c r="BY239" s="278"/>
      <c r="BZ239" s="272">
        <f t="shared" si="157"/>
        <v>24</v>
      </c>
      <c r="CA239" s="274">
        <f t="shared" si="158"/>
        <v>0</v>
      </c>
      <c r="CB239" s="275">
        <f t="shared" si="159"/>
        <v>1</v>
      </c>
      <c r="CC239" s="280"/>
    </row>
    <row r="240" spans="1:81">
      <c r="A240" s="279">
        <v>45165</v>
      </c>
      <c r="B240" s="278">
        <f t="shared" si="120"/>
        <v>24</v>
      </c>
      <c r="C240" s="272">
        <f>IFERROR(INDEX('Horo. M'!$C$3:$C$367,MATCH(A240,'Horo. M'!$A$3:$A$367,0)),"")</f>
        <v>0</v>
      </c>
      <c r="D240" s="278"/>
      <c r="E240" s="278"/>
      <c r="F240" s="272">
        <f t="shared" si="121"/>
        <v>24</v>
      </c>
      <c r="G240" s="274">
        <f t="shared" si="122"/>
        <v>0</v>
      </c>
      <c r="H240" s="275">
        <f t="shared" si="123"/>
        <v>1</v>
      </c>
      <c r="I240" s="277"/>
      <c r="J240" s="278">
        <f t="shared" si="124"/>
        <v>24</v>
      </c>
      <c r="K240" s="272">
        <f>IFERROR(INDEX('Horo. M'!$E$3:$E$367,MATCH(A240,'Horo. M'!$A$3:$A$367,0)),"")</f>
        <v>0</v>
      </c>
      <c r="L240" s="273"/>
      <c r="M240" s="273"/>
      <c r="N240" s="272">
        <f t="shared" si="125"/>
        <v>24</v>
      </c>
      <c r="O240" s="274">
        <f t="shared" si="126"/>
        <v>0</v>
      </c>
      <c r="P240" s="275">
        <f t="shared" si="127"/>
        <v>1</v>
      </c>
      <c r="Q240" s="276"/>
      <c r="R240" s="278">
        <f t="shared" si="128"/>
        <v>24</v>
      </c>
      <c r="S240" s="272">
        <f>IFERROR(INDEX('Horo. M'!G$3:$G$367,MATCH(A240,'Horo. M'!$A$3:$A$367,0)),"")</f>
        <v>0</v>
      </c>
      <c r="T240" s="278"/>
      <c r="U240" s="278"/>
      <c r="V240" s="272">
        <f t="shared" si="129"/>
        <v>24</v>
      </c>
      <c r="W240" s="274">
        <f t="shared" si="130"/>
        <v>0</v>
      </c>
      <c r="X240" s="275">
        <f t="shared" si="131"/>
        <v>1</v>
      </c>
      <c r="Y240" s="278"/>
      <c r="Z240" s="278">
        <f t="shared" si="132"/>
        <v>24</v>
      </c>
      <c r="AA240" s="272">
        <f>IFERROR(INDEX('Horo. M'!$I$3:I$367,MATCH(A240,'Horo. M'!$A$3:$A$367,0)),"")</f>
        <v>0</v>
      </c>
      <c r="AB240" s="273"/>
      <c r="AC240" s="273"/>
      <c r="AD240" s="272">
        <f t="shared" si="133"/>
        <v>24</v>
      </c>
      <c r="AE240" s="274">
        <f t="shared" si="134"/>
        <v>0</v>
      </c>
      <c r="AF240" s="275">
        <f t="shared" si="135"/>
        <v>1</v>
      </c>
      <c r="AG240" s="278"/>
      <c r="AH240" s="272">
        <f t="shared" si="136"/>
        <v>24</v>
      </c>
      <c r="AI240" s="272">
        <f>IFERROR(INDEX('Horo. M'!$K$3:K$367,MATCH(A240,'Horo. M'!$A$3:$A$367,0)),"")</f>
        <v>0</v>
      </c>
      <c r="AJ240" s="278"/>
      <c r="AK240" s="278"/>
      <c r="AL240" s="272">
        <f t="shared" si="137"/>
        <v>24</v>
      </c>
      <c r="AM240" s="274">
        <f t="shared" si="138"/>
        <v>0</v>
      </c>
      <c r="AN240" s="275">
        <f t="shared" si="139"/>
        <v>1</v>
      </c>
      <c r="AO240" s="278"/>
      <c r="AP240" s="272">
        <f t="shared" si="140"/>
        <v>24</v>
      </c>
      <c r="AQ240" s="272">
        <f>IFERROR(INDEX('Horo. M'!$M$3:M$367,MATCH(A240,'Horo. M'!$A$3:$A$367,0)),"")</f>
        <v>0</v>
      </c>
      <c r="AR240" s="278"/>
      <c r="AS240" s="278"/>
      <c r="AT240" s="272">
        <f t="shared" si="141"/>
        <v>24</v>
      </c>
      <c r="AU240" s="274">
        <f t="shared" si="142"/>
        <v>0</v>
      </c>
      <c r="AV240" s="275">
        <f t="shared" si="143"/>
        <v>1</v>
      </c>
      <c r="AW240" s="278"/>
      <c r="AX240" s="272">
        <f t="shared" si="144"/>
        <v>24</v>
      </c>
      <c r="AY240" s="272">
        <f>IFERROR(INDEX('Horo. M'!$O$3:O$367,MATCH(A240,'Horo. M'!$A$3:$A$367,0)),"")</f>
        <v>0</v>
      </c>
      <c r="AZ240" s="278"/>
      <c r="BA240" s="278"/>
      <c r="BB240" s="272">
        <f t="shared" si="145"/>
        <v>24</v>
      </c>
      <c r="BC240" s="274">
        <f t="shared" si="146"/>
        <v>0</v>
      </c>
      <c r="BD240" s="275">
        <f t="shared" si="147"/>
        <v>1</v>
      </c>
      <c r="BE240" s="278"/>
      <c r="BF240" s="272">
        <f t="shared" si="148"/>
        <v>24</v>
      </c>
      <c r="BG240" s="272">
        <f>IFERROR(INDEX('Horo. M'!$Q$3:Q$367,MATCH(A240,'Horo. M'!$A$3:$A$367,0)),"")</f>
        <v>0</v>
      </c>
      <c r="BH240" s="278"/>
      <c r="BI240" s="278"/>
      <c r="BJ240" s="272">
        <f t="shared" si="149"/>
        <v>24</v>
      </c>
      <c r="BK240" s="274">
        <f t="shared" si="150"/>
        <v>0</v>
      </c>
      <c r="BL240" s="275">
        <f t="shared" si="151"/>
        <v>1</v>
      </c>
      <c r="BM240" s="278"/>
      <c r="BN240" s="272">
        <f t="shared" si="152"/>
        <v>24</v>
      </c>
      <c r="BO240" s="272">
        <f>IFERROR(INDEX('Horo. M'!$S$3:S$367,MATCH(A240,'Horo. M'!$A$3:$A$367,0)),"")</f>
        <v>0</v>
      </c>
      <c r="BP240" s="278"/>
      <c r="BQ240" s="278"/>
      <c r="BR240" s="272">
        <f t="shared" si="153"/>
        <v>24</v>
      </c>
      <c r="BS240" s="274">
        <f t="shared" si="154"/>
        <v>0</v>
      </c>
      <c r="BT240" s="275">
        <f t="shared" si="155"/>
        <v>1</v>
      </c>
      <c r="BU240" s="278"/>
      <c r="BV240" s="272">
        <f t="shared" si="156"/>
        <v>24</v>
      </c>
      <c r="BW240" s="272">
        <f>IFERROR(INDEX('Horo. M'!$U$3:U$367,MATCH(A240,'Horo. M'!$A$3:$A$367,0)),"")</f>
        <v>0</v>
      </c>
      <c r="BX240" s="278"/>
      <c r="BY240" s="278"/>
      <c r="BZ240" s="272">
        <f t="shared" si="157"/>
        <v>24</v>
      </c>
      <c r="CA240" s="274">
        <f t="shared" si="158"/>
        <v>0</v>
      </c>
      <c r="CB240" s="275">
        <f t="shared" si="159"/>
        <v>1</v>
      </c>
      <c r="CC240" s="280"/>
    </row>
    <row r="241" spans="1:81">
      <c r="A241" s="279">
        <v>45166</v>
      </c>
      <c r="B241" s="278">
        <f t="shared" si="120"/>
        <v>24</v>
      </c>
      <c r="C241" s="272">
        <f>IFERROR(INDEX('Horo. M'!$C$3:$C$367,MATCH(A241,'Horo. M'!$A$3:$A$367,0)),"")</f>
        <v>0</v>
      </c>
      <c r="D241" s="278"/>
      <c r="E241" s="278"/>
      <c r="F241" s="272">
        <f t="shared" si="121"/>
        <v>24</v>
      </c>
      <c r="G241" s="274">
        <f t="shared" si="122"/>
        <v>0</v>
      </c>
      <c r="H241" s="275">
        <f t="shared" si="123"/>
        <v>1</v>
      </c>
      <c r="I241" s="277"/>
      <c r="J241" s="278">
        <f t="shared" si="124"/>
        <v>24</v>
      </c>
      <c r="K241" s="272">
        <f>IFERROR(INDEX('Horo. M'!$E$3:$E$367,MATCH(A241,'Horo. M'!$A$3:$A$367,0)),"")</f>
        <v>0</v>
      </c>
      <c r="L241" s="273"/>
      <c r="M241" s="273"/>
      <c r="N241" s="272">
        <f t="shared" si="125"/>
        <v>24</v>
      </c>
      <c r="O241" s="274">
        <f t="shared" si="126"/>
        <v>0</v>
      </c>
      <c r="P241" s="275">
        <f t="shared" si="127"/>
        <v>1</v>
      </c>
      <c r="Q241" s="276"/>
      <c r="R241" s="278">
        <f t="shared" si="128"/>
        <v>24</v>
      </c>
      <c r="S241" s="272">
        <f>IFERROR(INDEX('Horo. M'!G$3:$G$367,MATCH(A241,'Horo. M'!$A$3:$A$367,0)),"")</f>
        <v>0</v>
      </c>
      <c r="T241" s="278"/>
      <c r="U241" s="278"/>
      <c r="V241" s="272">
        <f t="shared" si="129"/>
        <v>24</v>
      </c>
      <c r="W241" s="274">
        <f t="shared" si="130"/>
        <v>0</v>
      </c>
      <c r="X241" s="275">
        <f t="shared" si="131"/>
        <v>1</v>
      </c>
      <c r="Y241" s="278"/>
      <c r="Z241" s="278">
        <f t="shared" si="132"/>
        <v>24</v>
      </c>
      <c r="AA241" s="272">
        <f>IFERROR(INDEX('Horo. M'!$I$3:I$367,MATCH(A241,'Horo. M'!$A$3:$A$367,0)),"")</f>
        <v>0</v>
      </c>
      <c r="AB241" s="273"/>
      <c r="AC241" s="273"/>
      <c r="AD241" s="272">
        <f t="shared" si="133"/>
        <v>24</v>
      </c>
      <c r="AE241" s="274">
        <f t="shared" si="134"/>
        <v>0</v>
      </c>
      <c r="AF241" s="275">
        <f t="shared" si="135"/>
        <v>1</v>
      </c>
      <c r="AG241" s="278"/>
      <c r="AH241" s="272">
        <f t="shared" si="136"/>
        <v>24</v>
      </c>
      <c r="AI241" s="272">
        <f>IFERROR(INDEX('Horo. M'!$K$3:K$367,MATCH(A241,'Horo. M'!$A$3:$A$367,0)),"")</f>
        <v>0</v>
      </c>
      <c r="AJ241" s="278"/>
      <c r="AK241" s="278"/>
      <c r="AL241" s="272">
        <f t="shared" si="137"/>
        <v>24</v>
      </c>
      <c r="AM241" s="274">
        <f t="shared" si="138"/>
        <v>0</v>
      </c>
      <c r="AN241" s="275">
        <f t="shared" si="139"/>
        <v>1</v>
      </c>
      <c r="AO241" s="278"/>
      <c r="AP241" s="272">
        <f t="shared" si="140"/>
        <v>24</v>
      </c>
      <c r="AQ241" s="272">
        <f>IFERROR(INDEX('Horo. M'!$M$3:M$367,MATCH(A241,'Horo. M'!$A$3:$A$367,0)),"")</f>
        <v>0</v>
      </c>
      <c r="AR241" s="278"/>
      <c r="AS241" s="278"/>
      <c r="AT241" s="272">
        <f t="shared" si="141"/>
        <v>24</v>
      </c>
      <c r="AU241" s="274">
        <f t="shared" si="142"/>
        <v>0</v>
      </c>
      <c r="AV241" s="275">
        <f t="shared" si="143"/>
        <v>1</v>
      </c>
      <c r="AW241" s="278"/>
      <c r="AX241" s="272">
        <f t="shared" si="144"/>
        <v>24</v>
      </c>
      <c r="AY241" s="272">
        <f>IFERROR(INDEX('Horo. M'!$O$3:O$367,MATCH(A241,'Horo. M'!$A$3:$A$367,0)),"")</f>
        <v>0</v>
      </c>
      <c r="AZ241" s="278"/>
      <c r="BA241" s="278"/>
      <c r="BB241" s="272">
        <f t="shared" si="145"/>
        <v>24</v>
      </c>
      <c r="BC241" s="274">
        <f t="shared" si="146"/>
        <v>0</v>
      </c>
      <c r="BD241" s="275">
        <f t="shared" si="147"/>
        <v>1</v>
      </c>
      <c r="BE241" s="278"/>
      <c r="BF241" s="272">
        <f t="shared" si="148"/>
        <v>24</v>
      </c>
      <c r="BG241" s="272">
        <f>IFERROR(INDEX('Horo. M'!$Q$3:Q$367,MATCH(A241,'Horo. M'!$A$3:$A$367,0)),"")</f>
        <v>0</v>
      </c>
      <c r="BH241" s="278"/>
      <c r="BI241" s="278"/>
      <c r="BJ241" s="272">
        <f t="shared" si="149"/>
        <v>24</v>
      </c>
      <c r="BK241" s="274">
        <f t="shared" si="150"/>
        <v>0</v>
      </c>
      <c r="BL241" s="275">
        <f t="shared" si="151"/>
        <v>1</v>
      </c>
      <c r="BM241" s="278"/>
      <c r="BN241" s="272">
        <f t="shared" si="152"/>
        <v>24</v>
      </c>
      <c r="BO241" s="272">
        <f>IFERROR(INDEX('Horo. M'!$S$3:S$367,MATCH(A241,'Horo. M'!$A$3:$A$367,0)),"")</f>
        <v>0</v>
      </c>
      <c r="BP241" s="278"/>
      <c r="BQ241" s="278"/>
      <c r="BR241" s="272">
        <f t="shared" si="153"/>
        <v>24</v>
      </c>
      <c r="BS241" s="274">
        <f t="shared" si="154"/>
        <v>0</v>
      </c>
      <c r="BT241" s="275">
        <f t="shared" si="155"/>
        <v>1</v>
      </c>
      <c r="BU241" s="278"/>
      <c r="BV241" s="272">
        <f t="shared" si="156"/>
        <v>24</v>
      </c>
      <c r="BW241" s="272">
        <f>IFERROR(INDEX('Horo. M'!$U$3:U$367,MATCH(A241,'Horo. M'!$A$3:$A$367,0)),"")</f>
        <v>0</v>
      </c>
      <c r="BX241" s="278"/>
      <c r="BY241" s="278"/>
      <c r="BZ241" s="272">
        <f t="shared" si="157"/>
        <v>24</v>
      </c>
      <c r="CA241" s="274">
        <f t="shared" si="158"/>
        <v>0</v>
      </c>
      <c r="CB241" s="275">
        <f t="shared" si="159"/>
        <v>1</v>
      </c>
      <c r="CC241" s="280"/>
    </row>
    <row r="242" spans="1:81">
      <c r="A242" s="279">
        <v>45167</v>
      </c>
      <c r="B242" s="278">
        <f t="shared" si="120"/>
        <v>24</v>
      </c>
      <c r="C242" s="272">
        <f>IFERROR(INDEX('Horo. M'!$C$3:$C$367,MATCH(A242,'Horo. M'!$A$3:$A$367,0)),"")</f>
        <v>0</v>
      </c>
      <c r="D242" s="278"/>
      <c r="E242" s="278"/>
      <c r="F242" s="272">
        <f t="shared" si="121"/>
        <v>24</v>
      </c>
      <c r="G242" s="274">
        <f t="shared" si="122"/>
        <v>0</v>
      </c>
      <c r="H242" s="275">
        <f t="shared" si="123"/>
        <v>1</v>
      </c>
      <c r="I242" s="277"/>
      <c r="J242" s="278">
        <f t="shared" si="124"/>
        <v>24</v>
      </c>
      <c r="K242" s="272">
        <f>IFERROR(INDEX('Horo. M'!$E$3:$E$367,MATCH(A242,'Horo. M'!$A$3:$A$367,0)),"")</f>
        <v>0</v>
      </c>
      <c r="L242" s="273"/>
      <c r="M242" s="273"/>
      <c r="N242" s="272">
        <f t="shared" si="125"/>
        <v>24</v>
      </c>
      <c r="O242" s="274">
        <f t="shared" si="126"/>
        <v>0</v>
      </c>
      <c r="P242" s="275">
        <f t="shared" si="127"/>
        <v>1</v>
      </c>
      <c r="Q242" s="276"/>
      <c r="R242" s="278">
        <f t="shared" si="128"/>
        <v>24</v>
      </c>
      <c r="S242" s="272">
        <f>IFERROR(INDEX('Horo. M'!G$3:$G$367,MATCH(A242,'Horo. M'!$A$3:$A$367,0)),"")</f>
        <v>0</v>
      </c>
      <c r="T242" s="278"/>
      <c r="U242" s="278"/>
      <c r="V242" s="272">
        <f t="shared" si="129"/>
        <v>24</v>
      </c>
      <c r="W242" s="274">
        <f t="shared" si="130"/>
        <v>0</v>
      </c>
      <c r="X242" s="275">
        <f t="shared" si="131"/>
        <v>1</v>
      </c>
      <c r="Y242" s="278"/>
      <c r="Z242" s="278">
        <f t="shared" si="132"/>
        <v>24</v>
      </c>
      <c r="AA242" s="272">
        <f>IFERROR(INDEX('Horo. M'!$I$3:I$367,MATCH(A242,'Horo. M'!$A$3:$A$367,0)),"")</f>
        <v>0</v>
      </c>
      <c r="AB242" s="273"/>
      <c r="AC242" s="273"/>
      <c r="AD242" s="272">
        <f t="shared" si="133"/>
        <v>24</v>
      </c>
      <c r="AE242" s="274">
        <f t="shared" si="134"/>
        <v>0</v>
      </c>
      <c r="AF242" s="275">
        <f t="shared" si="135"/>
        <v>1</v>
      </c>
      <c r="AG242" s="278"/>
      <c r="AH242" s="272">
        <f t="shared" si="136"/>
        <v>24</v>
      </c>
      <c r="AI242" s="272">
        <f>IFERROR(INDEX('Horo. M'!$K$3:K$367,MATCH(A242,'Horo. M'!$A$3:$A$367,0)),"")</f>
        <v>0</v>
      </c>
      <c r="AJ242" s="278"/>
      <c r="AK242" s="278"/>
      <c r="AL242" s="272">
        <f t="shared" si="137"/>
        <v>24</v>
      </c>
      <c r="AM242" s="274">
        <f t="shared" si="138"/>
        <v>0</v>
      </c>
      <c r="AN242" s="275">
        <f t="shared" si="139"/>
        <v>1</v>
      </c>
      <c r="AO242" s="278"/>
      <c r="AP242" s="272">
        <f t="shared" si="140"/>
        <v>24</v>
      </c>
      <c r="AQ242" s="272">
        <f>IFERROR(INDEX('Horo. M'!$M$3:M$367,MATCH(A242,'Horo. M'!$A$3:$A$367,0)),"")</f>
        <v>0</v>
      </c>
      <c r="AR242" s="278"/>
      <c r="AS242" s="278"/>
      <c r="AT242" s="272">
        <f t="shared" si="141"/>
        <v>24</v>
      </c>
      <c r="AU242" s="274">
        <f t="shared" si="142"/>
        <v>0</v>
      </c>
      <c r="AV242" s="275">
        <f t="shared" si="143"/>
        <v>1</v>
      </c>
      <c r="AW242" s="278"/>
      <c r="AX242" s="272">
        <f t="shared" si="144"/>
        <v>24</v>
      </c>
      <c r="AY242" s="272">
        <f>IFERROR(INDEX('Horo. M'!$O$3:O$367,MATCH(A242,'Horo. M'!$A$3:$A$367,0)),"")</f>
        <v>0</v>
      </c>
      <c r="AZ242" s="278"/>
      <c r="BA242" s="278"/>
      <c r="BB242" s="272">
        <f t="shared" si="145"/>
        <v>24</v>
      </c>
      <c r="BC242" s="274">
        <f t="shared" si="146"/>
        <v>0</v>
      </c>
      <c r="BD242" s="275">
        <f t="shared" si="147"/>
        <v>1</v>
      </c>
      <c r="BE242" s="278"/>
      <c r="BF242" s="272">
        <f t="shared" si="148"/>
        <v>24</v>
      </c>
      <c r="BG242" s="272">
        <f>IFERROR(INDEX('Horo. M'!$Q$3:Q$367,MATCH(A242,'Horo. M'!$A$3:$A$367,0)),"")</f>
        <v>0</v>
      </c>
      <c r="BH242" s="278"/>
      <c r="BI242" s="278"/>
      <c r="BJ242" s="272">
        <f t="shared" si="149"/>
        <v>24</v>
      </c>
      <c r="BK242" s="274">
        <f t="shared" si="150"/>
        <v>0</v>
      </c>
      <c r="BL242" s="275">
        <f t="shared" si="151"/>
        <v>1</v>
      </c>
      <c r="BM242" s="278"/>
      <c r="BN242" s="272">
        <f t="shared" si="152"/>
        <v>24</v>
      </c>
      <c r="BO242" s="272">
        <f>IFERROR(INDEX('Horo. M'!$S$3:S$367,MATCH(A242,'Horo. M'!$A$3:$A$367,0)),"")</f>
        <v>0</v>
      </c>
      <c r="BP242" s="278"/>
      <c r="BQ242" s="278"/>
      <c r="BR242" s="272">
        <f t="shared" si="153"/>
        <v>24</v>
      </c>
      <c r="BS242" s="274">
        <f t="shared" si="154"/>
        <v>0</v>
      </c>
      <c r="BT242" s="275">
        <f t="shared" si="155"/>
        <v>1</v>
      </c>
      <c r="BU242" s="278"/>
      <c r="BV242" s="272">
        <f t="shared" si="156"/>
        <v>24</v>
      </c>
      <c r="BW242" s="272">
        <f>IFERROR(INDEX('Horo. M'!$U$3:U$367,MATCH(A242,'Horo. M'!$A$3:$A$367,0)),"")</f>
        <v>0</v>
      </c>
      <c r="BX242" s="278"/>
      <c r="BY242" s="278"/>
      <c r="BZ242" s="272">
        <f t="shared" si="157"/>
        <v>24</v>
      </c>
      <c r="CA242" s="274">
        <f t="shared" si="158"/>
        <v>0</v>
      </c>
      <c r="CB242" s="275">
        <f t="shared" si="159"/>
        <v>1</v>
      </c>
      <c r="CC242" s="280"/>
    </row>
    <row r="243" spans="1:81">
      <c r="A243" s="279">
        <v>45168</v>
      </c>
      <c r="B243" s="278">
        <f t="shared" si="120"/>
        <v>24</v>
      </c>
      <c r="C243" s="272">
        <f>IFERROR(INDEX('Horo. M'!$C$3:$C$367,MATCH(A243,'Horo. M'!$A$3:$A$367,0)),"")</f>
        <v>0</v>
      </c>
      <c r="D243" s="278"/>
      <c r="E243" s="278"/>
      <c r="F243" s="272">
        <f t="shared" si="121"/>
        <v>24</v>
      </c>
      <c r="G243" s="274">
        <f t="shared" si="122"/>
        <v>0</v>
      </c>
      <c r="H243" s="275">
        <f t="shared" si="123"/>
        <v>1</v>
      </c>
      <c r="I243" s="277"/>
      <c r="J243" s="278">
        <f t="shared" si="124"/>
        <v>24</v>
      </c>
      <c r="K243" s="272">
        <f>IFERROR(INDEX('Horo. M'!$E$3:$E$367,MATCH(A243,'Horo. M'!$A$3:$A$367,0)),"")</f>
        <v>0</v>
      </c>
      <c r="L243" s="273"/>
      <c r="M243" s="273"/>
      <c r="N243" s="272">
        <f t="shared" si="125"/>
        <v>24</v>
      </c>
      <c r="O243" s="274">
        <f t="shared" si="126"/>
        <v>0</v>
      </c>
      <c r="P243" s="275">
        <f t="shared" si="127"/>
        <v>1</v>
      </c>
      <c r="Q243" s="276"/>
      <c r="R243" s="278">
        <f t="shared" si="128"/>
        <v>24</v>
      </c>
      <c r="S243" s="272">
        <f>IFERROR(INDEX('Horo. M'!G$3:$G$367,MATCH(A243,'Horo. M'!$A$3:$A$367,0)),"")</f>
        <v>0</v>
      </c>
      <c r="T243" s="278"/>
      <c r="U243" s="278"/>
      <c r="V243" s="272">
        <f t="shared" si="129"/>
        <v>24</v>
      </c>
      <c r="W243" s="274">
        <f t="shared" si="130"/>
        <v>0</v>
      </c>
      <c r="X243" s="275">
        <f t="shared" si="131"/>
        <v>1</v>
      </c>
      <c r="Y243" s="278"/>
      <c r="Z243" s="278">
        <f t="shared" si="132"/>
        <v>24</v>
      </c>
      <c r="AA243" s="272">
        <f>IFERROR(INDEX('Horo. M'!$I$3:I$367,MATCH(A243,'Horo. M'!$A$3:$A$367,0)),"")</f>
        <v>0</v>
      </c>
      <c r="AB243" s="273"/>
      <c r="AC243" s="273"/>
      <c r="AD243" s="272">
        <f t="shared" si="133"/>
        <v>24</v>
      </c>
      <c r="AE243" s="274">
        <f t="shared" si="134"/>
        <v>0</v>
      </c>
      <c r="AF243" s="275">
        <f t="shared" si="135"/>
        <v>1</v>
      </c>
      <c r="AG243" s="278"/>
      <c r="AH243" s="272">
        <f t="shared" si="136"/>
        <v>24</v>
      </c>
      <c r="AI243" s="272">
        <f>IFERROR(INDEX('Horo. M'!$K$3:K$367,MATCH(A243,'Horo. M'!$A$3:$A$367,0)),"")</f>
        <v>0</v>
      </c>
      <c r="AJ243" s="278"/>
      <c r="AK243" s="278"/>
      <c r="AL243" s="272">
        <f t="shared" si="137"/>
        <v>24</v>
      </c>
      <c r="AM243" s="274">
        <f t="shared" si="138"/>
        <v>0</v>
      </c>
      <c r="AN243" s="275">
        <f t="shared" si="139"/>
        <v>1</v>
      </c>
      <c r="AO243" s="278"/>
      <c r="AP243" s="272">
        <f t="shared" si="140"/>
        <v>24</v>
      </c>
      <c r="AQ243" s="272">
        <f>IFERROR(INDEX('Horo. M'!$M$3:M$367,MATCH(A243,'Horo. M'!$A$3:$A$367,0)),"")</f>
        <v>0</v>
      </c>
      <c r="AR243" s="278"/>
      <c r="AS243" s="278"/>
      <c r="AT243" s="272">
        <f t="shared" si="141"/>
        <v>24</v>
      </c>
      <c r="AU243" s="274">
        <f t="shared" si="142"/>
        <v>0</v>
      </c>
      <c r="AV243" s="275">
        <f t="shared" si="143"/>
        <v>1</v>
      </c>
      <c r="AW243" s="278"/>
      <c r="AX243" s="272">
        <f t="shared" si="144"/>
        <v>24</v>
      </c>
      <c r="AY243" s="272">
        <f>IFERROR(INDEX('Horo. M'!$O$3:O$367,MATCH(A243,'Horo. M'!$A$3:$A$367,0)),"")</f>
        <v>0</v>
      </c>
      <c r="AZ243" s="278"/>
      <c r="BA243" s="278"/>
      <c r="BB243" s="272">
        <f t="shared" si="145"/>
        <v>24</v>
      </c>
      <c r="BC243" s="274">
        <f t="shared" si="146"/>
        <v>0</v>
      </c>
      <c r="BD243" s="275">
        <f t="shared" si="147"/>
        <v>1</v>
      </c>
      <c r="BE243" s="278"/>
      <c r="BF243" s="272">
        <f t="shared" si="148"/>
        <v>24</v>
      </c>
      <c r="BG243" s="272">
        <f>IFERROR(INDEX('Horo. M'!$Q$3:Q$367,MATCH(A243,'Horo. M'!$A$3:$A$367,0)),"")</f>
        <v>0</v>
      </c>
      <c r="BH243" s="278"/>
      <c r="BI243" s="278"/>
      <c r="BJ243" s="272">
        <f t="shared" si="149"/>
        <v>24</v>
      </c>
      <c r="BK243" s="274">
        <f t="shared" si="150"/>
        <v>0</v>
      </c>
      <c r="BL243" s="275">
        <f t="shared" si="151"/>
        <v>1</v>
      </c>
      <c r="BM243" s="278"/>
      <c r="BN243" s="272">
        <f t="shared" si="152"/>
        <v>24</v>
      </c>
      <c r="BO243" s="272">
        <f>IFERROR(INDEX('Horo. M'!$S$3:S$367,MATCH(A243,'Horo. M'!$A$3:$A$367,0)),"")</f>
        <v>0</v>
      </c>
      <c r="BP243" s="278"/>
      <c r="BQ243" s="278"/>
      <c r="BR243" s="272">
        <f t="shared" si="153"/>
        <v>24</v>
      </c>
      <c r="BS243" s="274">
        <f t="shared" si="154"/>
        <v>0</v>
      </c>
      <c r="BT243" s="275">
        <f t="shared" si="155"/>
        <v>1</v>
      </c>
      <c r="BU243" s="278"/>
      <c r="BV243" s="272">
        <f t="shared" si="156"/>
        <v>24</v>
      </c>
      <c r="BW243" s="272">
        <f>IFERROR(INDEX('Horo. M'!$U$3:U$367,MATCH(A243,'Horo. M'!$A$3:$A$367,0)),"")</f>
        <v>0</v>
      </c>
      <c r="BX243" s="278"/>
      <c r="BY243" s="278"/>
      <c r="BZ243" s="272">
        <f t="shared" si="157"/>
        <v>24</v>
      </c>
      <c r="CA243" s="274">
        <f t="shared" si="158"/>
        <v>0</v>
      </c>
      <c r="CB243" s="275">
        <f t="shared" si="159"/>
        <v>1</v>
      </c>
      <c r="CC243" s="280"/>
    </row>
    <row r="244" spans="1:81">
      <c r="A244" s="279">
        <v>45169</v>
      </c>
      <c r="B244" s="278">
        <f t="shared" si="120"/>
        <v>24</v>
      </c>
      <c r="C244" s="272">
        <f>IFERROR(INDEX('Horo. M'!$C$3:$C$367,MATCH(A244,'Horo. M'!$A$3:$A$367,0)),"")</f>
        <v>0</v>
      </c>
      <c r="D244" s="278"/>
      <c r="E244" s="278"/>
      <c r="F244" s="272">
        <f t="shared" si="121"/>
        <v>24</v>
      </c>
      <c r="G244" s="274">
        <f t="shared" si="122"/>
        <v>0</v>
      </c>
      <c r="H244" s="275">
        <f t="shared" si="123"/>
        <v>1</v>
      </c>
      <c r="I244" s="277"/>
      <c r="J244" s="278">
        <f t="shared" si="124"/>
        <v>24</v>
      </c>
      <c r="K244" s="272">
        <f>IFERROR(INDEX('Horo. M'!$E$3:$E$367,MATCH(A244,'Horo. M'!$A$3:$A$367,0)),"")</f>
        <v>0</v>
      </c>
      <c r="L244" s="273"/>
      <c r="M244" s="273"/>
      <c r="N244" s="272">
        <f t="shared" si="125"/>
        <v>24</v>
      </c>
      <c r="O244" s="274">
        <f t="shared" si="126"/>
        <v>0</v>
      </c>
      <c r="P244" s="275">
        <f t="shared" si="127"/>
        <v>1</v>
      </c>
      <c r="Q244" s="276"/>
      <c r="R244" s="278">
        <f t="shared" si="128"/>
        <v>24</v>
      </c>
      <c r="S244" s="272">
        <f>IFERROR(INDEX('Horo. M'!G$3:$G$367,MATCH(A244,'Horo. M'!$A$3:$A$367,0)),"")</f>
        <v>0</v>
      </c>
      <c r="T244" s="278"/>
      <c r="U244" s="278"/>
      <c r="V244" s="272">
        <f t="shared" si="129"/>
        <v>24</v>
      </c>
      <c r="W244" s="274">
        <f t="shared" si="130"/>
        <v>0</v>
      </c>
      <c r="X244" s="275">
        <f t="shared" si="131"/>
        <v>1</v>
      </c>
      <c r="Y244" s="278"/>
      <c r="Z244" s="278">
        <f t="shared" si="132"/>
        <v>24</v>
      </c>
      <c r="AA244" s="272">
        <f>IFERROR(INDEX('Horo. M'!$I$3:I$367,MATCH(A244,'Horo. M'!$A$3:$A$367,0)),"")</f>
        <v>0</v>
      </c>
      <c r="AB244" s="273"/>
      <c r="AC244" s="273"/>
      <c r="AD244" s="272">
        <f t="shared" si="133"/>
        <v>24</v>
      </c>
      <c r="AE244" s="274">
        <f t="shared" si="134"/>
        <v>0</v>
      </c>
      <c r="AF244" s="275">
        <f t="shared" si="135"/>
        <v>1</v>
      </c>
      <c r="AG244" s="278"/>
      <c r="AH244" s="272">
        <f t="shared" si="136"/>
        <v>24</v>
      </c>
      <c r="AI244" s="272">
        <f>IFERROR(INDEX('Horo. M'!$K$3:K$367,MATCH(A244,'Horo. M'!$A$3:$A$367,0)),"")</f>
        <v>0</v>
      </c>
      <c r="AJ244" s="278"/>
      <c r="AK244" s="278"/>
      <c r="AL244" s="272">
        <f t="shared" si="137"/>
        <v>24</v>
      </c>
      <c r="AM244" s="274">
        <f t="shared" si="138"/>
        <v>0</v>
      </c>
      <c r="AN244" s="275">
        <f t="shared" si="139"/>
        <v>1</v>
      </c>
      <c r="AO244" s="278"/>
      <c r="AP244" s="272">
        <f t="shared" si="140"/>
        <v>24</v>
      </c>
      <c r="AQ244" s="272">
        <f>IFERROR(INDEX('Horo. M'!$M$3:M$367,MATCH(A244,'Horo. M'!$A$3:$A$367,0)),"")</f>
        <v>0</v>
      </c>
      <c r="AR244" s="278"/>
      <c r="AS244" s="278"/>
      <c r="AT244" s="272">
        <f t="shared" si="141"/>
        <v>24</v>
      </c>
      <c r="AU244" s="274">
        <f t="shared" si="142"/>
        <v>0</v>
      </c>
      <c r="AV244" s="275">
        <f t="shared" si="143"/>
        <v>1</v>
      </c>
      <c r="AW244" s="278"/>
      <c r="AX244" s="272">
        <f t="shared" si="144"/>
        <v>24</v>
      </c>
      <c r="AY244" s="272">
        <f>IFERROR(INDEX('Horo. M'!$O$3:O$367,MATCH(A244,'Horo. M'!$A$3:$A$367,0)),"")</f>
        <v>0</v>
      </c>
      <c r="AZ244" s="278"/>
      <c r="BA244" s="278"/>
      <c r="BB244" s="272">
        <f t="shared" si="145"/>
        <v>24</v>
      </c>
      <c r="BC244" s="274">
        <f t="shared" si="146"/>
        <v>0</v>
      </c>
      <c r="BD244" s="275">
        <f t="shared" si="147"/>
        <v>1</v>
      </c>
      <c r="BE244" s="278"/>
      <c r="BF244" s="272">
        <f t="shared" si="148"/>
        <v>24</v>
      </c>
      <c r="BG244" s="272">
        <f>IFERROR(INDEX('Horo. M'!$Q$3:Q$367,MATCH(A244,'Horo. M'!$A$3:$A$367,0)),"")</f>
        <v>0</v>
      </c>
      <c r="BH244" s="278"/>
      <c r="BI244" s="278"/>
      <c r="BJ244" s="272">
        <f t="shared" si="149"/>
        <v>24</v>
      </c>
      <c r="BK244" s="274">
        <f t="shared" si="150"/>
        <v>0</v>
      </c>
      <c r="BL244" s="275">
        <f t="shared" si="151"/>
        <v>1</v>
      </c>
      <c r="BM244" s="278"/>
      <c r="BN244" s="272">
        <f t="shared" si="152"/>
        <v>24</v>
      </c>
      <c r="BO244" s="272">
        <f>IFERROR(INDEX('Horo. M'!$S$3:S$367,MATCH(A244,'Horo. M'!$A$3:$A$367,0)),"")</f>
        <v>0</v>
      </c>
      <c r="BP244" s="278"/>
      <c r="BQ244" s="278"/>
      <c r="BR244" s="272">
        <f t="shared" si="153"/>
        <v>24</v>
      </c>
      <c r="BS244" s="274">
        <f t="shared" si="154"/>
        <v>0</v>
      </c>
      <c r="BT244" s="275">
        <f t="shared" si="155"/>
        <v>1</v>
      </c>
      <c r="BU244" s="278"/>
      <c r="BV244" s="272">
        <f t="shared" si="156"/>
        <v>24</v>
      </c>
      <c r="BW244" s="272">
        <f>IFERROR(INDEX('Horo. M'!$U$3:U$367,MATCH(A244,'Horo. M'!$A$3:$A$367,0)),"")</f>
        <v>0</v>
      </c>
      <c r="BX244" s="278"/>
      <c r="BY244" s="278"/>
      <c r="BZ244" s="272">
        <f t="shared" si="157"/>
        <v>24</v>
      </c>
      <c r="CA244" s="274">
        <f t="shared" si="158"/>
        <v>0</v>
      </c>
      <c r="CB244" s="275">
        <f t="shared" si="159"/>
        <v>1</v>
      </c>
      <c r="CC244" s="280"/>
    </row>
    <row r="245" spans="1:81">
      <c r="A245" s="279">
        <v>45170</v>
      </c>
      <c r="B245" s="278">
        <f t="shared" si="120"/>
        <v>24</v>
      </c>
      <c r="C245" s="272">
        <f>IFERROR(INDEX('Horo. M'!$C$3:$C$367,MATCH(A245,'Horo. M'!$A$3:$A$367,0)),"")</f>
        <v>0</v>
      </c>
      <c r="D245" s="278"/>
      <c r="E245" s="278"/>
      <c r="F245" s="272">
        <f t="shared" si="121"/>
        <v>24</v>
      </c>
      <c r="G245" s="274">
        <f t="shared" si="122"/>
        <v>0</v>
      </c>
      <c r="H245" s="275">
        <f t="shared" si="123"/>
        <v>1</v>
      </c>
      <c r="I245" s="277"/>
      <c r="J245" s="278">
        <f t="shared" si="124"/>
        <v>24</v>
      </c>
      <c r="K245" s="272">
        <f>IFERROR(INDEX('Horo. M'!$E$3:$E$367,MATCH(A245,'Horo. M'!$A$3:$A$367,0)),"")</f>
        <v>0</v>
      </c>
      <c r="L245" s="273"/>
      <c r="M245" s="273"/>
      <c r="N245" s="272">
        <f t="shared" si="125"/>
        <v>24</v>
      </c>
      <c r="O245" s="274">
        <f t="shared" si="126"/>
        <v>0</v>
      </c>
      <c r="P245" s="275">
        <f t="shared" si="127"/>
        <v>1</v>
      </c>
      <c r="Q245" s="276"/>
      <c r="R245" s="278">
        <f t="shared" si="128"/>
        <v>24</v>
      </c>
      <c r="S245" s="272">
        <f>IFERROR(INDEX('Horo. M'!G$3:$G$367,MATCH(A245,'Horo. M'!$A$3:$A$367,0)),"")</f>
        <v>0</v>
      </c>
      <c r="T245" s="278"/>
      <c r="U245" s="278"/>
      <c r="V245" s="272">
        <f t="shared" si="129"/>
        <v>24</v>
      </c>
      <c r="W245" s="274">
        <f t="shared" si="130"/>
        <v>0</v>
      </c>
      <c r="X245" s="275">
        <f t="shared" si="131"/>
        <v>1</v>
      </c>
      <c r="Y245" s="278"/>
      <c r="Z245" s="278">
        <f t="shared" si="132"/>
        <v>24</v>
      </c>
      <c r="AA245" s="272">
        <f>IFERROR(INDEX('Horo. M'!$I$3:I$367,MATCH(A245,'Horo. M'!$A$3:$A$367,0)),"")</f>
        <v>0</v>
      </c>
      <c r="AB245" s="273"/>
      <c r="AC245" s="273"/>
      <c r="AD245" s="272">
        <f t="shared" si="133"/>
        <v>24</v>
      </c>
      <c r="AE245" s="274">
        <f t="shared" si="134"/>
        <v>0</v>
      </c>
      <c r="AF245" s="275">
        <f t="shared" si="135"/>
        <v>1</v>
      </c>
      <c r="AG245" s="278"/>
      <c r="AH245" s="272">
        <f t="shared" si="136"/>
        <v>24</v>
      </c>
      <c r="AI245" s="272">
        <f>IFERROR(INDEX('Horo. M'!$K$3:K$367,MATCH(A245,'Horo. M'!$A$3:$A$367,0)),"")</f>
        <v>0</v>
      </c>
      <c r="AJ245" s="278"/>
      <c r="AK245" s="278"/>
      <c r="AL245" s="272">
        <f t="shared" si="137"/>
        <v>24</v>
      </c>
      <c r="AM245" s="274">
        <f t="shared" si="138"/>
        <v>0</v>
      </c>
      <c r="AN245" s="275">
        <f t="shared" si="139"/>
        <v>1</v>
      </c>
      <c r="AO245" s="278"/>
      <c r="AP245" s="272">
        <f t="shared" si="140"/>
        <v>24</v>
      </c>
      <c r="AQ245" s="272">
        <f>IFERROR(INDEX('Horo. M'!$M$3:M$367,MATCH(A245,'Horo. M'!$A$3:$A$367,0)),"")</f>
        <v>0</v>
      </c>
      <c r="AR245" s="278"/>
      <c r="AS245" s="278"/>
      <c r="AT245" s="272">
        <f t="shared" si="141"/>
        <v>24</v>
      </c>
      <c r="AU245" s="274">
        <f t="shared" si="142"/>
        <v>0</v>
      </c>
      <c r="AV245" s="275">
        <f t="shared" si="143"/>
        <v>1</v>
      </c>
      <c r="AW245" s="278"/>
      <c r="AX245" s="272">
        <f t="shared" si="144"/>
        <v>24</v>
      </c>
      <c r="AY245" s="272">
        <f>IFERROR(INDEX('Horo. M'!$O$3:O$367,MATCH(A245,'Horo. M'!$A$3:$A$367,0)),"")</f>
        <v>0</v>
      </c>
      <c r="AZ245" s="278"/>
      <c r="BA245" s="278"/>
      <c r="BB245" s="272">
        <f t="shared" si="145"/>
        <v>24</v>
      </c>
      <c r="BC245" s="274">
        <f t="shared" si="146"/>
        <v>0</v>
      </c>
      <c r="BD245" s="275">
        <f t="shared" si="147"/>
        <v>1</v>
      </c>
      <c r="BE245" s="278"/>
      <c r="BF245" s="272">
        <f t="shared" si="148"/>
        <v>24</v>
      </c>
      <c r="BG245" s="272">
        <f>IFERROR(INDEX('Horo. M'!$Q$3:Q$367,MATCH(A245,'Horo. M'!$A$3:$A$367,0)),"")</f>
        <v>0</v>
      </c>
      <c r="BH245" s="278"/>
      <c r="BI245" s="278"/>
      <c r="BJ245" s="272">
        <f t="shared" si="149"/>
        <v>24</v>
      </c>
      <c r="BK245" s="274">
        <f t="shared" si="150"/>
        <v>0</v>
      </c>
      <c r="BL245" s="275">
        <f t="shared" si="151"/>
        <v>1</v>
      </c>
      <c r="BM245" s="278"/>
      <c r="BN245" s="272">
        <f t="shared" si="152"/>
        <v>24</v>
      </c>
      <c r="BO245" s="272">
        <f>IFERROR(INDEX('Horo. M'!$S$3:S$367,MATCH(A245,'Horo. M'!$A$3:$A$367,0)),"")</f>
        <v>0</v>
      </c>
      <c r="BP245" s="278"/>
      <c r="BQ245" s="278"/>
      <c r="BR245" s="272">
        <f t="shared" si="153"/>
        <v>24</v>
      </c>
      <c r="BS245" s="274">
        <f t="shared" si="154"/>
        <v>0</v>
      </c>
      <c r="BT245" s="275">
        <f t="shared" si="155"/>
        <v>1</v>
      </c>
      <c r="BU245" s="278"/>
      <c r="BV245" s="272">
        <f t="shared" si="156"/>
        <v>24</v>
      </c>
      <c r="BW245" s="272">
        <f>IFERROR(INDEX('Horo. M'!$U$3:U$367,MATCH(A245,'Horo. M'!$A$3:$A$367,0)),"")</f>
        <v>0</v>
      </c>
      <c r="BX245" s="278"/>
      <c r="BY245" s="278"/>
      <c r="BZ245" s="272">
        <f t="shared" si="157"/>
        <v>24</v>
      </c>
      <c r="CA245" s="274">
        <f t="shared" si="158"/>
        <v>0</v>
      </c>
      <c r="CB245" s="275">
        <f t="shared" si="159"/>
        <v>1</v>
      </c>
      <c r="CC245" s="280"/>
    </row>
    <row r="246" spans="1:81">
      <c r="A246" s="279">
        <v>45171</v>
      </c>
      <c r="B246" s="278">
        <f t="shared" si="120"/>
        <v>24</v>
      </c>
      <c r="C246" s="272">
        <f>IFERROR(INDEX('Horo. M'!$C$3:$C$367,MATCH(A246,'Horo. M'!$A$3:$A$367,0)),"")</f>
        <v>0</v>
      </c>
      <c r="D246" s="278"/>
      <c r="E246" s="278"/>
      <c r="F246" s="272">
        <f t="shared" si="121"/>
        <v>24</v>
      </c>
      <c r="G246" s="274">
        <f t="shared" si="122"/>
        <v>0</v>
      </c>
      <c r="H246" s="275">
        <f t="shared" si="123"/>
        <v>1</v>
      </c>
      <c r="I246" s="277"/>
      <c r="J246" s="278">
        <f t="shared" si="124"/>
        <v>24</v>
      </c>
      <c r="K246" s="272">
        <f>IFERROR(INDEX('Horo. M'!$E$3:$E$367,MATCH(A246,'Horo. M'!$A$3:$A$367,0)),"")</f>
        <v>0</v>
      </c>
      <c r="L246" s="273"/>
      <c r="M246" s="273"/>
      <c r="N246" s="272">
        <f t="shared" si="125"/>
        <v>24</v>
      </c>
      <c r="O246" s="274">
        <f t="shared" si="126"/>
        <v>0</v>
      </c>
      <c r="P246" s="275">
        <f t="shared" si="127"/>
        <v>1</v>
      </c>
      <c r="Q246" s="276"/>
      <c r="R246" s="278">
        <f t="shared" si="128"/>
        <v>24</v>
      </c>
      <c r="S246" s="272">
        <f>IFERROR(INDEX('Horo. M'!G$3:$G$367,MATCH(A246,'Horo. M'!$A$3:$A$367,0)),"")</f>
        <v>0</v>
      </c>
      <c r="T246" s="278"/>
      <c r="U246" s="278"/>
      <c r="V246" s="272">
        <f t="shared" si="129"/>
        <v>24</v>
      </c>
      <c r="W246" s="274">
        <f t="shared" si="130"/>
        <v>0</v>
      </c>
      <c r="X246" s="275">
        <f t="shared" si="131"/>
        <v>1</v>
      </c>
      <c r="Y246" s="278"/>
      <c r="Z246" s="278">
        <f t="shared" si="132"/>
        <v>24</v>
      </c>
      <c r="AA246" s="272">
        <f>IFERROR(INDEX('Horo. M'!$I$3:I$367,MATCH(A246,'Horo. M'!$A$3:$A$367,0)),"")</f>
        <v>0</v>
      </c>
      <c r="AB246" s="273"/>
      <c r="AC246" s="273"/>
      <c r="AD246" s="272">
        <f t="shared" si="133"/>
        <v>24</v>
      </c>
      <c r="AE246" s="274">
        <f t="shared" si="134"/>
        <v>0</v>
      </c>
      <c r="AF246" s="275">
        <f t="shared" si="135"/>
        <v>1</v>
      </c>
      <c r="AG246" s="278"/>
      <c r="AH246" s="272">
        <f t="shared" si="136"/>
        <v>24</v>
      </c>
      <c r="AI246" s="272">
        <f>IFERROR(INDEX('Horo. M'!$K$3:K$367,MATCH(A246,'Horo. M'!$A$3:$A$367,0)),"")</f>
        <v>0</v>
      </c>
      <c r="AJ246" s="278"/>
      <c r="AK246" s="278"/>
      <c r="AL246" s="272">
        <f t="shared" si="137"/>
        <v>24</v>
      </c>
      <c r="AM246" s="274">
        <f t="shared" si="138"/>
        <v>0</v>
      </c>
      <c r="AN246" s="275">
        <f t="shared" si="139"/>
        <v>1</v>
      </c>
      <c r="AO246" s="278"/>
      <c r="AP246" s="272">
        <f t="shared" si="140"/>
        <v>24</v>
      </c>
      <c r="AQ246" s="272">
        <f>IFERROR(INDEX('Horo. M'!$M$3:M$367,MATCH(A246,'Horo. M'!$A$3:$A$367,0)),"")</f>
        <v>0</v>
      </c>
      <c r="AR246" s="278"/>
      <c r="AS246" s="278"/>
      <c r="AT246" s="272">
        <f t="shared" si="141"/>
        <v>24</v>
      </c>
      <c r="AU246" s="274">
        <f t="shared" si="142"/>
        <v>0</v>
      </c>
      <c r="AV246" s="275">
        <f t="shared" si="143"/>
        <v>1</v>
      </c>
      <c r="AW246" s="278"/>
      <c r="AX246" s="272">
        <f t="shared" si="144"/>
        <v>24</v>
      </c>
      <c r="AY246" s="272">
        <f>IFERROR(INDEX('Horo. M'!$O$3:O$367,MATCH(A246,'Horo. M'!$A$3:$A$367,0)),"")</f>
        <v>0</v>
      </c>
      <c r="AZ246" s="278"/>
      <c r="BA246" s="278"/>
      <c r="BB246" s="272">
        <f t="shared" si="145"/>
        <v>24</v>
      </c>
      <c r="BC246" s="274">
        <f t="shared" si="146"/>
        <v>0</v>
      </c>
      <c r="BD246" s="275">
        <f t="shared" si="147"/>
        <v>1</v>
      </c>
      <c r="BE246" s="278"/>
      <c r="BF246" s="272">
        <f t="shared" si="148"/>
        <v>24</v>
      </c>
      <c r="BG246" s="272">
        <f>IFERROR(INDEX('Horo. M'!$Q$3:Q$367,MATCH(A246,'Horo. M'!$A$3:$A$367,0)),"")</f>
        <v>0</v>
      </c>
      <c r="BH246" s="278"/>
      <c r="BI246" s="278"/>
      <c r="BJ246" s="272">
        <f t="shared" si="149"/>
        <v>24</v>
      </c>
      <c r="BK246" s="274">
        <f t="shared" si="150"/>
        <v>0</v>
      </c>
      <c r="BL246" s="275">
        <f t="shared" si="151"/>
        <v>1</v>
      </c>
      <c r="BM246" s="278"/>
      <c r="BN246" s="272">
        <f t="shared" si="152"/>
        <v>24</v>
      </c>
      <c r="BO246" s="272">
        <f>IFERROR(INDEX('Horo. M'!$S$3:S$367,MATCH(A246,'Horo. M'!$A$3:$A$367,0)),"")</f>
        <v>0</v>
      </c>
      <c r="BP246" s="278"/>
      <c r="BQ246" s="278"/>
      <c r="BR246" s="272">
        <f t="shared" si="153"/>
        <v>24</v>
      </c>
      <c r="BS246" s="274">
        <f t="shared" si="154"/>
        <v>0</v>
      </c>
      <c r="BT246" s="275">
        <f t="shared" si="155"/>
        <v>1</v>
      </c>
      <c r="BU246" s="278"/>
      <c r="BV246" s="272">
        <f t="shared" si="156"/>
        <v>24</v>
      </c>
      <c r="BW246" s="272">
        <f>IFERROR(INDEX('Horo. M'!$U$3:U$367,MATCH(A246,'Horo. M'!$A$3:$A$367,0)),"")</f>
        <v>0</v>
      </c>
      <c r="BX246" s="278"/>
      <c r="BY246" s="278"/>
      <c r="BZ246" s="272">
        <f t="shared" si="157"/>
        <v>24</v>
      </c>
      <c r="CA246" s="274">
        <f t="shared" si="158"/>
        <v>0</v>
      </c>
      <c r="CB246" s="275">
        <f t="shared" si="159"/>
        <v>1</v>
      </c>
      <c r="CC246" s="280"/>
    </row>
    <row r="247" spans="1:81">
      <c r="A247" s="279">
        <v>45172</v>
      </c>
      <c r="B247" s="278">
        <f t="shared" si="120"/>
        <v>24</v>
      </c>
      <c r="C247" s="272">
        <f>IFERROR(INDEX('Horo. M'!$C$3:$C$367,MATCH(A247,'Horo. M'!$A$3:$A$367,0)),"")</f>
        <v>0</v>
      </c>
      <c r="D247" s="278"/>
      <c r="E247" s="278"/>
      <c r="F247" s="272">
        <f t="shared" si="121"/>
        <v>24</v>
      </c>
      <c r="G247" s="274">
        <f t="shared" si="122"/>
        <v>0</v>
      </c>
      <c r="H247" s="275">
        <f t="shared" si="123"/>
        <v>1</v>
      </c>
      <c r="I247" s="277"/>
      <c r="J247" s="278">
        <f t="shared" si="124"/>
        <v>24</v>
      </c>
      <c r="K247" s="272">
        <f>IFERROR(INDEX('Horo. M'!$E$3:$E$367,MATCH(A247,'Horo. M'!$A$3:$A$367,0)),"")</f>
        <v>0</v>
      </c>
      <c r="L247" s="273"/>
      <c r="M247" s="273"/>
      <c r="N247" s="272">
        <f t="shared" si="125"/>
        <v>24</v>
      </c>
      <c r="O247" s="274">
        <f t="shared" si="126"/>
        <v>0</v>
      </c>
      <c r="P247" s="275">
        <f t="shared" si="127"/>
        <v>1</v>
      </c>
      <c r="Q247" s="276"/>
      <c r="R247" s="278">
        <f t="shared" si="128"/>
        <v>24</v>
      </c>
      <c r="S247" s="272">
        <f>IFERROR(INDEX('Horo. M'!G$3:$G$367,MATCH(A247,'Horo. M'!$A$3:$A$367,0)),"")</f>
        <v>0</v>
      </c>
      <c r="T247" s="278"/>
      <c r="U247" s="278"/>
      <c r="V247" s="272">
        <f t="shared" si="129"/>
        <v>24</v>
      </c>
      <c r="W247" s="274">
        <f t="shared" si="130"/>
        <v>0</v>
      </c>
      <c r="X247" s="275">
        <f t="shared" si="131"/>
        <v>1</v>
      </c>
      <c r="Y247" s="278"/>
      <c r="Z247" s="278">
        <f t="shared" si="132"/>
        <v>24</v>
      </c>
      <c r="AA247" s="272">
        <f>IFERROR(INDEX('Horo. M'!$I$3:I$367,MATCH(A247,'Horo. M'!$A$3:$A$367,0)),"")</f>
        <v>0</v>
      </c>
      <c r="AB247" s="273"/>
      <c r="AC247" s="273"/>
      <c r="AD247" s="272">
        <f t="shared" si="133"/>
        <v>24</v>
      </c>
      <c r="AE247" s="274">
        <f t="shared" si="134"/>
        <v>0</v>
      </c>
      <c r="AF247" s="275">
        <f t="shared" si="135"/>
        <v>1</v>
      </c>
      <c r="AG247" s="278"/>
      <c r="AH247" s="272">
        <f t="shared" si="136"/>
        <v>24</v>
      </c>
      <c r="AI247" s="272">
        <f>IFERROR(INDEX('Horo. M'!$K$3:K$367,MATCH(A247,'Horo. M'!$A$3:$A$367,0)),"")</f>
        <v>0</v>
      </c>
      <c r="AJ247" s="278"/>
      <c r="AK247" s="278"/>
      <c r="AL247" s="272">
        <f t="shared" si="137"/>
        <v>24</v>
      </c>
      <c r="AM247" s="274">
        <f t="shared" si="138"/>
        <v>0</v>
      </c>
      <c r="AN247" s="275">
        <f t="shared" si="139"/>
        <v>1</v>
      </c>
      <c r="AO247" s="278"/>
      <c r="AP247" s="272">
        <f t="shared" si="140"/>
        <v>24</v>
      </c>
      <c r="AQ247" s="272">
        <f>IFERROR(INDEX('Horo. M'!$M$3:M$367,MATCH(A247,'Horo. M'!$A$3:$A$367,0)),"")</f>
        <v>0</v>
      </c>
      <c r="AR247" s="278"/>
      <c r="AS247" s="278"/>
      <c r="AT247" s="272">
        <f t="shared" si="141"/>
        <v>24</v>
      </c>
      <c r="AU247" s="274">
        <f t="shared" si="142"/>
        <v>0</v>
      </c>
      <c r="AV247" s="275">
        <f t="shared" si="143"/>
        <v>1</v>
      </c>
      <c r="AW247" s="278"/>
      <c r="AX247" s="272">
        <f t="shared" si="144"/>
        <v>24</v>
      </c>
      <c r="AY247" s="272">
        <f>IFERROR(INDEX('Horo. M'!$O$3:O$367,MATCH(A247,'Horo. M'!$A$3:$A$367,0)),"")</f>
        <v>0</v>
      </c>
      <c r="AZ247" s="278"/>
      <c r="BA247" s="278"/>
      <c r="BB247" s="272">
        <f t="shared" si="145"/>
        <v>24</v>
      </c>
      <c r="BC247" s="274">
        <f t="shared" si="146"/>
        <v>0</v>
      </c>
      <c r="BD247" s="275">
        <f t="shared" si="147"/>
        <v>1</v>
      </c>
      <c r="BE247" s="278"/>
      <c r="BF247" s="272">
        <f t="shared" si="148"/>
        <v>24</v>
      </c>
      <c r="BG247" s="272">
        <f>IFERROR(INDEX('Horo. M'!$Q$3:Q$367,MATCH(A247,'Horo. M'!$A$3:$A$367,0)),"")</f>
        <v>0</v>
      </c>
      <c r="BH247" s="278"/>
      <c r="BI247" s="278"/>
      <c r="BJ247" s="272">
        <f t="shared" si="149"/>
        <v>24</v>
      </c>
      <c r="BK247" s="274">
        <f t="shared" si="150"/>
        <v>0</v>
      </c>
      <c r="BL247" s="275">
        <f t="shared" si="151"/>
        <v>1</v>
      </c>
      <c r="BM247" s="278"/>
      <c r="BN247" s="272">
        <f t="shared" si="152"/>
        <v>24</v>
      </c>
      <c r="BO247" s="272">
        <f>IFERROR(INDEX('Horo. M'!$S$3:S$367,MATCH(A247,'Horo. M'!$A$3:$A$367,0)),"")</f>
        <v>0</v>
      </c>
      <c r="BP247" s="278"/>
      <c r="BQ247" s="278"/>
      <c r="BR247" s="272">
        <f t="shared" si="153"/>
        <v>24</v>
      </c>
      <c r="BS247" s="274">
        <f t="shared" si="154"/>
        <v>0</v>
      </c>
      <c r="BT247" s="275">
        <f t="shared" si="155"/>
        <v>1</v>
      </c>
      <c r="BU247" s="278"/>
      <c r="BV247" s="272">
        <f t="shared" si="156"/>
        <v>24</v>
      </c>
      <c r="BW247" s="272">
        <f>IFERROR(INDEX('Horo. M'!$U$3:U$367,MATCH(A247,'Horo. M'!$A$3:$A$367,0)),"")</f>
        <v>0</v>
      </c>
      <c r="BX247" s="278"/>
      <c r="BY247" s="278"/>
      <c r="BZ247" s="272">
        <f t="shared" si="157"/>
        <v>24</v>
      </c>
      <c r="CA247" s="274">
        <f t="shared" si="158"/>
        <v>0</v>
      </c>
      <c r="CB247" s="275">
        <f t="shared" si="159"/>
        <v>1</v>
      </c>
      <c r="CC247" s="280"/>
    </row>
    <row r="248" spans="1:81">
      <c r="A248" s="279">
        <v>45173</v>
      </c>
      <c r="B248" s="278">
        <f t="shared" si="120"/>
        <v>24</v>
      </c>
      <c r="C248" s="272">
        <f>IFERROR(INDEX('Horo. M'!$C$3:$C$367,MATCH(A248,'Horo. M'!$A$3:$A$367,0)),"")</f>
        <v>0</v>
      </c>
      <c r="D248" s="278"/>
      <c r="E248" s="278"/>
      <c r="F248" s="272">
        <f t="shared" si="121"/>
        <v>24</v>
      </c>
      <c r="G248" s="274">
        <f t="shared" si="122"/>
        <v>0</v>
      </c>
      <c r="H248" s="275">
        <f t="shared" si="123"/>
        <v>1</v>
      </c>
      <c r="I248" s="277"/>
      <c r="J248" s="278">
        <f t="shared" si="124"/>
        <v>24</v>
      </c>
      <c r="K248" s="272">
        <f>IFERROR(INDEX('Horo. M'!$E$3:$E$367,MATCH(A248,'Horo. M'!$A$3:$A$367,0)),"")</f>
        <v>0</v>
      </c>
      <c r="L248" s="273"/>
      <c r="M248" s="273"/>
      <c r="N248" s="272">
        <f t="shared" si="125"/>
        <v>24</v>
      </c>
      <c r="O248" s="274">
        <f t="shared" si="126"/>
        <v>0</v>
      </c>
      <c r="P248" s="275">
        <f t="shared" si="127"/>
        <v>1</v>
      </c>
      <c r="Q248" s="276"/>
      <c r="R248" s="278">
        <f t="shared" si="128"/>
        <v>24</v>
      </c>
      <c r="S248" s="272">
        <f>IFERROR(INDEX('Horo. M'!G$3:$G$367,MATCH(A248,'Horo. M'!$A$3:$A$367,0)),"")</f>
        <v>0</v>
      </c>
      <c r="T248" s="278"/>
      <c r="U248" s="278"/>
      <c r="V248" s="272">
        <f t="shared" si="129"/>
        <v>24</v>
      </c>
      <c r="W248" s="274">
        <f t="shared" si="130"/>
        <v>0</v>
      </c>
      <c r="X248" s="275">
        <f t="shared" si="131"/>
        <v>1</v>
      </c>
      <c r="Y248" s="278"/>
      <c r="Z248" s="278">
        <f t="shared" si="132"/>
        <v>24</v>
      </c>
      <c r="AA248" s="272">
        <f>IFERROR(INDEX('Horo. M'!$I$3:I$367,MATCH(A248,'Horo. M'!$A$3:$A$367,0)),"")</f>
        <v>0</v>
      </c>
      <c r="AB248" s="273"/>
      <c r="AC248" s="273"/>
      <c r="AD248" s="272">
        <f t="shared" si="133"/>
        <v>24</v>
      </c>
      <c r="AE248" s="274">
        <f t="shared" si="134"/>
        <v>0</v>
      </c>
      <c r="AF248" s="275">
        <f t="shared" si="135"/>
        <v>1</v>
      </c>
      <c r="AG248" s="278"/>
      <c r="AH248" s="272">
        <f t="shared" si="136"/>
        <v>24</v>
      </c>
      <c r="AI248" s="272">
        <f>IFERROR(INDEX('Horo. M'!$K$3:K$367,MATCH(A248,'Horo. M'!$A$3:$A$367,0)),"")</f>
        <v>0</v>
      </c>
      <c r="AJ248" s="278"/>
      <c r="AK248" s="278"/>
      <c r="AL248" s="272">
        <f t="shared" si="137"/>
        <v>24</v>
      </c>
      <c r="AM248" s="274">
        <f t="shared" si="138"/>
        <v>0</v>
      </c>
      <c r="AN248" s="275">
        <f t="shared" si="139"/>
        <v>1</v>
      </c>
      <c r="AO248" s="278"/>
      <c r="AP248" s="272">
        <f t="shared" si="140"/>
        <v>24</v>
      </c>
      <c r="AQ248" s="272">
        <f>IFERROR(INDEX('Horo. M'!$M$3:M$367,MATCH(A248,'Horo. M'!$A$3:$A$367,0)),"")</f>
        <v>0</v>
      </c>
      <c r="AR248" s="278"/>
      <c r="AS248" s="278"/>
      <c r="AT248" s="272">
        <f t="shared" si="141"/>
        <v>24</v>
      </c>
      <c r="AU248" s="274">
        <f t="shared" si="142"/>
        <v>0</v>
      </c>
      <c r="AV248" s="275">
        <f t="shared" si="143"/>
        <v>1</v>
      </c>
      <c r="AW248" s="278"/>
      <c r="AX248" s="272">
        <f t="shared" si="144"/>
        <v>24</v>
      </c>
      <c r="AY248" s="272">
        <f>IFERROR(INDEX('Horo. M'!$O$3:O$367,MATCH(A248,'Horo. M'!$A$3:$A$367,0)),"")</f>
        <v>0</v>
      </c>
      <c r="AZ248" s="278"/>
      <c r="BA248" s="278"/>
      <c r="BB248" s="272">
        <f t="shared" si="145"/>
        <v>24</v>
      </c>
      <c r="BC248" s="274">
        <f t="shared" si="146"/>
        <v>0</v>
      </c>
      <c r="BD248" s="275">
        <f t="shared" si="147"/>
        <v>1</v>
      </c>
      <c r="BE248" s="278"/>
      <c r="BF248" s="272">
        <f t="shared" si="148"/>
        <v>24</v>
      </c>
      <c r="BG248" s="272">
        <f>IFERROR(INDEX('Horo. M'!$Q$3:Q$367,MATCH(A248,'Horo. M'!$A$3:$A$367,0)),"")</f>
        <v>0</v>
      </c>
      <c r="BH248" s="278"/>
      <c r="BI248" s="278"/>
      <c r="BJ248" s="272">
        <f t="shared" si="149"/>
        <v>24</v>
      </c>
      <c r="BK248" s="274">
        <f t="shared" si="150"/>
        <v>0</v>
      </c>
      <c r="BL248" s="275">
        <f t="shared" si="151"/>
        <v>1</v>
      </c>
      <c r="BM248" s="278"/>
      <c r="BN248" s="272">
        <f t="shared" si="152"/>
        <v>24</v>
      </c>
      <c r="BO248" s="272">
        <f>IFERROR(INDEX('Horo. M'!$S$3:S$367,MATCH(A248,'Horo. M'!$A$3:$A$367,0)),"")</f>
        <v>0</v>
      </c>
      <c r="BP248" s="278"/>
      <c r="BQ248" s="278"/>
      <c r="BR248" s="272">
        <f t="shared" si="153"/>
        <v>24</v>
      </c>
      <c r="BS248" s="274">
        <f t="shared" si="154"/>
        <v>0</v>
      </c>
      <c r="BT248" s="275">
        <f t="shared" si="155"/>
        <v>1</v>
      </c>
      <c r="BU248" s="278"/>
      <c r="BV248" s="272">
        <f t="shared" si="156"/>
        <v>24</v>
      </c>
      <c r="BW248" s="272">
        <f>IFERROR(INDEX('Horo. M'!$U$3:U$367,MATCH(A248,'Horo. M'!$A$3:$A$367,0)),"")</f>
        <v>0</v>
      </c>
      <c r="BX248" s="278"/>
      <c r="BY248" s="278"/>
      <c r="BZ248" s="272">
        <f t="shared" si="157"/>
        <v>24</v>
      </c>
      <c r="CA248" s="274">
        <f t="shared" si="158"/>
        <v>0</v>
      </c>
      <c r="CB248" s="275">
        <f t="shared" si="159"/>
        <v>1</v>
      </c>
      <c r="CC248" s="280"/>
    </row>
    <row r="249" spans="1:81">
      <c r="A249" s="279">
        <v>45174</v>
      </c>
      <c r="B249" s="278">
        <f t="shared" si="120"/>
        <v>24</v>
      </c>
      <c r="C249" s="272">
        <f>IFERROR(INDEX('Horo. M'!$C$3:$C$367,MATCH(A249,'Horo. M'!$A$3:$A$367,0)),"")</f>
        <v>0</v>
      </c>
      <c r="D249" s="278"/>
      <c r="E249" s="278"/>
      <c r="F249" s="272">
        <f t="shared" si="121"/>
        <v>24</v>
      </c>
      <c r="G249" s="274">
        <f t="shared" si="122"/>
        <v>0</v>
      </c>
      <c r="H249" s="275">
        <f t="shared" si="123"/>
        <v>1</v>
      </c>
      <c r="I249" s="277"/>
      <c r="J249" s="278">
        <f t="shared" si="124"/>
        <v>24</v>
      </c>
      <c r="K249" s="272">
        <f>IFERROR(INDEX('Horo. M'!$E$3:$E$367,MATCH(A249,'Horo. M'!$A$3:$A$367,0)),"")</f>
        <v>0</v>
      </c>
      <c r="L249" s="273"/>
      <c r="M249" s="273"/>
      <c r="N249" s="272">
        <f t="shared" si="125"/>
        <v>24</v>
      </c>
      <c r="O249" s="274">
        <f t="shared" si="126"/>
        <v>0</v>
      </c>
      <c r="P249" s="275">
        <f t="shared" si="127"/>
        <v>1</v>
      </c>
      <c r="Q249" s="276"/>
      <c r="R249" s="278">
        <f t="shared" si="128"/>
        <v>24</v>
      </c>
      <c r="S249" s="272">
        <f>IFERROR(INDEX('Horo. M'!G$3:$G$367,MATCH(A249,'Horo. M'!$A$3:$A$367,0)),"")</f>
        <v>0</v>
      </c>
      <c r="T249" s="278"/>
      <c r="U249" s="278"/>
      <c r="V249" s="272">
        <f t="shared" si="129"/>
        <v>24</v>
      </c>
      <c r="W249" s="274">
        <f t="shared" si="130"/>
        <v>0</v>
      </c>
      <c r="X249" s="275">
        <f t="shared" si="131"/>
        <v>1</v>
      </c>
      <c r="Y249" s="278"/>
      <c r="Z249" s="278">
        <f t="shared" si="132"/>
        <v>24</v>
      </c>
      <c r="AA249" s="272">
        <f>IFERROR(INDEX('Horo. M'!$I$3:I$367,MATCH(A249,'Horo. M'!$A$3:$A$367,0)),"")</f>
        <v>0</v>
      </c>
      <c r="AB249" s="273"/>
      <c r="AC249" s="273"/>
      <c r="AD249" s="272">
        <f t="shared" si="133"/>
        <v>24</v>
      </c>
      <c r="AE249" s="274">
        <f t="shared" si="134"/>
        <v>0</v>
      </c>
      <c r="AF249" s="275">
        <f t="shared" si="135"/>
        <v>1</v>
      </c>
      <c r="AG249" s="278"/>
      <c r="AH249" s="272">
        <f t="shared" si="136"/>
        <v>24</v>
      </c>
      <c r="AI249" s="272">
        <f>IFERROR(INDEX('Horo. M'!$K$3:K$367,MATCH(A249,'Horo. M'!$A$3:$A$367,0)),"")</f>
        <v>0</v>
      </c>
      <c r="AJ249" s="278"/>
      <c r="AK249" s="278"/>
      <c r="AL249" s="272">
        <f t="shared" si="137"/>
        <v>24</v>
      </c>
      <c r="AM249" s="274">
        <f t="shared" si="138"/>
        <v>0</v>
      </c>
      <c r="AN249" s="275">
        <f t="shared" si="139"/>
        <v>1</v>
      </c>
      <c r="AO249" s="278"/>
      <c r="AP249" s="272">
        <f t="shared" si="140"/>
        <v>24</v>
      </c>
      <c r="AQ249" s="272">
        <f>IFERROR(INDEX('Horo. M'!$M$3:M$367,MATCH(A249,'Horo. M'!$A$3:$A$367,0)),"")</f>
        <v>0</v>
      </c>
      <c r="AR249" s="278"/>
      <c r="AS249" s="278"/>
      <c r="AT249" s="272">
        <f t="shared" si="141"/>
        <v>24</v>
      </c>
      <c r="AU249" s="274">
        <f t="shared" si="142"/>
        <v>0</v>
      </c>
      <c r="AV249" s="275">
        <f t="shared" si="143"/>
        <v>1</v>
      </c>
      <c r="AW249" s="278"/>
      <c r="AX249" s="272">
        <f t="shared" si="144"/>
        <v>24</v>
      </c>
      <c r="AY249" s="272">
        <f>IFERROR(INDEX('Horo. M'!$O$3:O$367,MATCH(A249,'Horo. M'!$A$3:$A$367,0)),"")</f>
        <v>0</v>
      </c>
      <c r="AZ249" s="278"/>
      <c r="BA249" s="278"/>
      <c r="BB249" s="272">
        <f t="shared" si="145"/>
        <v>24</v>
      </c>
      <c r="BC249" s="274">
        <f t="shared" si="146"/>
        <v>0</v>
      </c>
      <c r="BD249" s="275">
        <f t="shared" si="147"/>
        <v>1</v>
      </c>
      <c r="BE249" s="278"/>
      <c r="BF249" s="272">
        <f t="shared" si="148"/>
        <v>24</v>
      </c>
      <c r="BG249" s="272">
        <f>IFERROR(INDEX('Horo. M'!$Q$3:Q$367,MATCH(A249,'Horo. M'!$A$3:$A$367,0)),"")</f>
        <v>0</v>
      </c>
      <c r="BH249" s="278"/>
      <c r="BI249" s="278"/>
      <c r="BJ249" s="272">
        <f t="shared" si="149"/>
        <v>24</v>
      </c>
      <c r="BK249" s="274">
        <f t="shared" si="150"/>
        <v>0</v>
      </c>
      <c r="BL249" s="275">
        <f t="shared" si="151"/>
        <v>1</v>
      </c>
      <c r="BM249" s="278"/>
      <c r="BN249" s="272">
        <f t="shared" si="152"/>
        <v>24</v>
      </c>
      <c r="BO249" s="272">
        <f>IFERROR(INDEX('Horo. M'!$S$3:S$367,MATCH(A249,'Horo. M'!$A$3:$A$367,0)),"")</f>
        <v>0</v>
      </c>
      <c r="BP249" s="278"/>
      <c r="BQ249" s="278"/>
      <c r="BR249" s="272">
        <f t="shared" si="153"/>
        <v>24</v>
      </c>
      <c r="BS249" s="274">
        <f t="shared" si="154"/>
        <v>0</v>
      </c>
      <c r="BT249" s="275">
        <f t="shared" si="155"/>
        <v>1</v>
      </c>
      <c r="BU249" s="278"/>
      <c r="BV249" s="272">
        <f t="shared" si="156"/>
        <v>24</v>
      </c>
      <c r="BW249" s="272">
        <f>IFERROR(INDEX('Horo. M'!$U$3:U$367,MATCH(A249,'Horo. M'!$A$3:$A$367,0)),"")</f>
        <v>0</v>
      </c>
      <c r="BX249" s="278"/>
      <c r="BY249" s="278"/>
      <c r="BZ249" s="272">
        <f t="shared" si="157"/>
        <v>24</v>
      </c>
      <c r="CA249" s="274">
        <f t="shared" si="158"/>
        <v>0</v>
      </c>
      <c r="CB249" s="275">
        <f t="shared" si="159"/>
        <v>1</v>
      </c>
      <c r="CC249" s="280"/>
    </row>
    <row r="250" spans="1:81">
      <c r="A250" s="279">
        <v>45175</v>
      </c>
      <c r="B250" s="278">
        <f t="shared" si="120"/>
        <v>24</v>
      </c>
      <c r="C250" s="272">
        <f>IFERROR(INDEX('Horo. M'!$C$3:$C$367,MATCH(A250,'Horo. M'!$A$3:$A$367,0)),"")</f>
        <v>0</v>
      </c>
      <c r="D250" s="278"/>
      <c r="E250" s="278"/>
      <c r="F250" s="272">
        <f t="shared" si="121"/>
        <v>24</v>
      </c>
      <c r="G250" s="274">
        <f t="shared" si="122"/>
        <v>0</v>
      </c>
      <c r="H250" s="275">
        <f t="shared" si="123"/>
        <v>1</v>
      </c>
      <c r="I250" s="277"/>
      <c r="J250" s="278">
        <f t="shared" si="124"/>
        <v>24</v>
      </c>
      <c r="K250" s="272">
        <f>IFERROR(INDEX('Horo. M'!$E$3:$E$367,MATCH(A250,'Horo. M'!$A$3:$A$367,0)),"")</f>
        <v>0</v>
      </c>
      <c r="L250" s="273"/>
      <c r="M250" s="273"/>
      <c r="N250" s="272">
        <f t="shared" si="125"/>
        <v>24</v>
      </c>
      <c r="O250" s="274">
        <f t="shared" si="126"/>
        <v>0</v>
      </c>
      <c r="P250" s="275">
        <f t="shared" si="127"/>
        <v>1</v>
      </c>
      <c r="Q250" s="276"/>
      <c r="R250" s="278">
        <f t="shared" si="128"/>
        <v>24</v>
      </c>
      <c r="S250" s="272">
        <f>IFERROR(INDEX('Horo. M'!G$3:$G$367,MATCH(A250,'Horo. M'!$A$3:$A$367,0)),"")</f>
        <v>0</v>
      </c>
      <c r="T250" s="278"/>
      <c r="U250" s="278"/>
      <c r="V250" s="272">
        <f t="shared" si="129"/>
        <v>24</v>
      </c>
      <c r="W250" s="274">
        <f t="shared" si="130"/>
        <v>0</v>
      </c>
      <c r="X250" s="275">
        <f t="shared" si="131"/>
        <v>1</v>
      </c>
      <c r="Y250" s="278"/>
      <c r="Z250" s="278">
        <f t="shared" si="132"/>
        <v>24</v>
      </c>
      <c r="AA250" s="272">
        <f>IFERROR(INDEX('Horo. M'!$I$3:I$367,MATCH(A250,'Horo. M'!$A$3:$A$367,0)),"")</f>
        <v>0</v>
      </c>
      <c r="AB250" s="273"/>
      <c r="AC250" s="273"/>
      <c r="AD250" s="272">
        <f t="shared" si="133"/>
        <v>24</v>
      </c>
      <c r="AE250" s="274">
        <f t="shared" si="134"/>
        <v>0</v>
      </c>
      <c r="AF250" s="275">
        <f t="shared" si="135"/>
        <v>1</v>
      </c>
      <c r="AG250" s="278"/>
      <c r="AH250" s="272">
        <f t="shared" si="136"/>
        <v>24</v>
      </c>
      <c r="AI250" s="272">
        <f>IFERROR(INDEX('Horo. M'!$K$3:K$367,MATCH(A250,'Horo. M'!$A$3:$A$367,0)),"")</f>
        <v>0</v>
      </c>
      <c r="AJ250" s="278"/>
      <c r="AK250" s="278"/>
      <c r="AL250" s="272">
        <f t="shared" si="137"/>
        <v>24</v>
      </c>
      <c r="AM250" s="274">
        <f t="shared" si="138"/>
        <v>0</v>
      </c>
      <c r="AN250" s="275">
        <f t="shared" si="139"/>
        <v>1</v>
      </c>
      <c r="AO250" s="278"/>
      <c r="AP250" s="272">
        <f t="shared" si="140"/>
        <v>24</v>
      </c>
      <c r="AQ250" s="272">
        <f>IFERROR(INDEX('Horo. M'!$M$3:M$367,MATCH(A250,'Horo. M'!$A$3:$A$367,0)),"")</f>
        <v>0</v>
      </c>
      <c r="AR250" s="278"/>
      <c r="AS250" s="278"/>
      <c r="AT250" s="272">
        <f t="shared" si="141"/>
        <v>24</v>
      </c>
      <c r="AU250" s="274">
        <f t="shared" si="142"/>
        <v>0</v>
      </c>
      <c r="AV250" s="275">
        <f t="shared" si="143"/>
        <v>1</v>
      </c>
      <c r="AW250" s="278"/>
      <c r="AX250" s="272">
        <f t="shared" si="144"/>
        <v>24</v>
      </c>
      <c r="AY250" s="272">
        <f>IFERROR(INDEX('Horo. M'!$O$3:O$367,MATCH(A250,'Horo. M'!$A$3:$A$367,0)),"")</f>
        <v>0</v>
      </c>
      <c r="AZ250" s="278"/>
      <c r="BA250" s="278"/>
      <c r="BB250" s="272">
        <f t="shared" si="145"/>
        <v>24</v>
      </c>
      <c r="BC250" s="274">
        <f t="shared" si="146"/>
        <v>0</v>
      </c>
      <c r="BD250" s="275">
        <f t="shared" si="147"/>
        <v>1</v>
      </c>
      <c r="BE250" s="278"/>
      <c r="BF250" s="272">
        <f t="shared" si="148"/>
        <v>24</v>
      </c>
      <c r="BG250" s="272">
        <f>IFERROR(INDEX('Horo. M'!$Q$3:Q$367,MATCH(A250,'Horo. M'!$A$3:$A$367,0)),"")</f>
        <v>0</v>
      </c>
      <c r="BH250" s="278"/>
      <c r="BI250" s="278"/>
      <c r="BJ250" s="272">
        <f t="shared" si="149"/>
        <v>24</v>
      </c>
      <c r="BK250" s="274">
        <f t="shared" si="150"/>
        <v>0</v>
      </c>
      <c r="BL250" s="275">
        <f t="shared" si="151"/>
        <v>1</v>
      </c>
      <c r="BM250" s="278"/>
      <c r="BN250" s="272">
        <f t="shared" si="152"/>
        <v>24</v>
      </c>
      <c r="BO250" s="272">
        <f>IFERROR(INDEX('Horo. M'!$S$3:S$367,MATCH(A250,'Horo. M'!$A$3:$A$367,0)),"")</f>
        <v>0</v>
      </c>
      <c r="BP250" s="278"/>
      <c r="BQ250" s="278"/>
      <c r="BR250" s="272">
        <f t="shared" si="153"/>
        <v>24</v>
      </c>
      <c r="BS250" s="274">
        <f t="shared" si="154"/>
        <v>0</v>
      </c>
      <c r="BT250" s="275">
        <f t="shared" si="155"/>
        <v>1</v>
      </c>
      <c r="BU250" s="278"/>
      <c r="BV250" s="272">
        <f t="shared" si="156"/>
        <v>24</v>
      </c>
      <c r="BW250" s="272">
        <f>IFERROR(INDEX('Horo. M'!$U$3:U$367,MATCH(A250,'Horo. M'!$A$3:$A$367,0)),"")</f>
        <v>0</v>
      </c>
      <c r="BX250" s="278"/>
      <c r="BY250" s="278"/>
      <c r="BZ250" s="272">
        <f t="shared" si="157"/>
        <v>24</v>
      </c>
      <c r="CA250" s="274">
        <f t="shared" si="158"/>
        <v>0</v>
      </c>
      <c r="CB250" s="275">
        <f t="shared" si="159"/>
        <v>1</v>
      </c>
      <c r="CC250" s="280"/>
    </row>
    <row r="251" spans="1:81">
      <c r="A251" s="279">
        <v>45176</v>
      </c>
      <c r="B251" s="278">
        <f t="shared" si="120"/>
        <v>24</v>
      </c>
      <c r="C251" s="272">
        <f>IFERROR(INDEX('Horo. M'!$C$3:$C$367,MATCH(A251,'Horo. M'!$A$3:$A$367,0)),"")</f>
        <v>0</v>
      </c>
      <c r="D251" s="278"/>
      <c r="E251" s="278"/>
      <c r="F251" s="272">
        <f t="shared" si="121"/>
        <v>24</v>
      </c>
      <c r="G251" s="274">
        <f t="shared" si="122"/>
        <v>0</v>
      </c>
      <c r="H251" s="275">
        <f t="shared" si="123"/>
        <v>1</v>
      </c>
      <c r="I251" s="277"/>
      <c r="J251" s="278">
        <f t="shared" si="124"/>
        <v>24</v>
      </c>
      <c r="K251" s="272">
        <f>IFERROR(INDEX('Horo. M'!$E$3:$E$367,MATCH(A251,'Horo. M'!$A$3:$A$367,0)),"")</f>
        <v>0</v>
      </c>
      <c r="L251" s="273"/>
      <c r="M251" s="273"/>
      <c r="N251" s="272">
        <f t="shared" si="125"/>
        <v>24</v>
      </c>
      <c r="O251" s="274">
        <f t="shared" si="126"/>
        <v>0</v>
      </c>
      <c r="P251" s="275">
        <f t="shared" si="127"/>
        <v>1</v>
      </c>
      <c r="Q251" s="276"/>
      <c r="R251" s="278">
        <f t="shared" si="128"/>
        <v>24</v>
      </c>
      <c r="S251" s="272">
        <f>IFERROR(INDEX('Horo. M'!G$3:$G$367,MATCH(A251,'Horo. M'!$A$3:$A$367,0)),"")</f>
        <v>0</v>
      </c>
      <c r="T251" s="278"/>
      <c r="U251" s="278"/>
      <c r="V251" s="272">
        <f t="shared" si="129"/>
        <v>24</v>
      </c>
      <c r="W251" s="274">
        <f t="shared" si="130"/>
        <v>0</v>
      </c>
      <c r="X251" s="275">
        <f t="shared" si="131"/>
        <v>1</v>
      </c>
      <c r="Y251" s="278"/>
      <c r="Z251" s="278">
        <f t="shared" si="132"/>
        <v>24</v>
      </c>
      <c r="AA251" s="272">
        <f>IFERROR(INDEX('Horo. M'!$I$3:I$367,MATCH(A251,'Horo. M'!$A$3:$A$367,0)),"")</f>
        <v>0</v>
      </c>
      <c r="AB251" s="273"/>
      <c r="AC251" s="273"/>
      <c r="AD251" s="272">
        <f t="shared" si="133"/>
        <v>24</v>
      </c>
      <c r="AE251" s="274">
        <f t="shared" si="134"/>
        <v>0</v>
      </c>
      <c r="AF251" s="275">
        <f t="shared" si="135"/>
        <v>1</v>
      </c>
      <c r="AG251" s="278"/>
      <c r="AH251" s="272">
        <f t="shared" si="136"/>
        <v>24</v>
      </c>
      <c r="AI251" s="272">
        <f>IFERROR(INDEX('Horo. M'!$K$3:K$367,MATCH(A251,'Horo. M'!$A$3:$A$367,0)),"")</f>
        <v>0</v>
      </c>
      <c r="AJ251" s="278"/>
      <c r="AK251" s="278"/>
      <c r="AL251" s="272">
        <f t="shared" si="137"/>
        <v>24</v>
      </c>
      <c r="AM251" s="274">
        <f t="shared" si="138"/>
        <v>0</v>
      </c>
      <c r="AN251" s="275">
        <f t="shared" si="139"/>
        <v>1</v>
      </c>
      <c r="AO251" s="278"/>
      <c r="AP251" s="272">
        <f t="shared" si="140"/>
        <v>24</v>
      </c>
      <c r="AQ251" s="272">
        <f>IFERROR(INDEX('Horo. M'!$M$3:M$367,MATCH(A251,'Horo. M'!$A$3:$A$367,0)),"")</f>
        <v>0</v>
      </c>
      <c r="AR251" s="278"/>
      <c r="AS251" s="278"/>
      <c r="AT251" s="272">
        <f t="shared" si="141"/>
        <v>24</v>
      </c>
      <c r="AU251" s="274">
        <f t="shared" si="142"/>
        <v>0</v>
      </c>
      <c r="AV251" s="275">
        <f t="shared" si="143"/>
        <v>1</v>
      </c>
      <c r="AW251" s="278"/>
      <c r="AX251" s="272">
        <f t="shared" si="144"/>
        <v>24</v>
      </c>
      <c r="AY251" s="272">
        <f>IFERROR(INDEX('Horo. M'!$O$3:O$367,MATCH(A251,'Horo. M'!$A$3:$A$367,0)),"")</f>
        <v>0</v>
      </c>
      <c r="AZ251" s="278"/>
      <c r="BA251" s="278"/>
      <c r="BB251" s="272">
        <f t="shared" si="145"/>
        <v>24</v>
      </c>
      <c r="BC251" s="274">
        <f t="shared" si="146"/>
        <v>0</v>
      </c>
      <c r="BD251" s="275">
        <f t="shared" si="147"/>
        <v>1</v>
      </c>
      <c r="BE251" s="278"/>
      <c r="BF251" s="272">
        <f t="shared" si="148"/>
        <v>24</v>
      </c>
      <c r="BG251" s="272">
        <f>IFERROR(INDEX('Horo. M'!$Q$3:Q$367,MATCH(A251,'Horo. M'!$A$3:$A$367,0)),"")</f>
        <v>0</v>
      </c>
      <c r="BH251" s="278"/>
      <c r="BI251" s="278"/>
      <c r="BJ251" s="272">
        <f t="shared" si="149"/>
        <v>24</v>
      </c>
      <c r="BK251" s="274">
        <f t="shared" si="150"/>
        <v>0</v>
      </c>
      <c r="BL251" s="275">
        <f t="shared" si="151"/>
        <v>1</v>
      </c>
      <c r="BM251" s="278"/>
      <c r="BN251" s="272">
        <f t="shared" si="152"/>
        <v>24</v>
      </c>
      <c r="BO251" s="272">
        <f>IFERROR(INDEX('Horo. M'!$S$3:S$367,MATCH(A251,'Horo. M'!$A$3:$A$367,0)),"")</f>
        <v>0</v>
      </c>
      <c r="BP251" s="278"/>
      <c r="BQ251" s="278"/>
      <c r="BR251" s="272">
        <f t="shared" si="153"/>
        <v>24</v>
      </c>
      <c r="BS251" s="274">
        <f t="shared" si="154"/>
        <v>0</v>
      </c>
      <c r="BT251" s="275">
        <f t="shared" si="155"/>
        <v>1</v>
      </c>
      <c r="BU251" s="278"/>
      <c r="BV251" s="272">
        <f t="shared" si="156"/>
        <v>24</v>
      </c>
      <c r="BW251" s="272">
        <f>IFERROR(INDEX('Horo. M'!$U$3:U$367,MATCH(A251,'Horo. M'!$A$3:$A$367,0)),"")</f>
        <v>0</v>
      </c>
      <c r="BX251" s="278"/>
      <c r="BY251" s="278"/>
      <c r="BZ251" s="272">
        <f t="shared" si="157"/>
        <v>24</v>
      </c>
      <c r="CA251" s="274">
        <f t="shared" si="158"/>
        <v>0</v>
      </c>
      <c r="CB251" s="275">
        <f t="shared" si="159"/>
        <v>1</v>
      </c>
      <c r="CC251" s="280"/>
    </row>
    <row r="252" spans="1:81">
      <c r="A252" s="279">
        <v>45177</v>
      </c>
      <c r="B252" s="278">
        <f t="shared" si="120"/>
        <v>24</v>
      </c>
      <c r="C252" s="272">
        <f>IFERROR(INDEX('Horo. M'!$C$3:$C$367,MATCH(A252,'Horo. M'!$A$3:$A$367,0)),"")</f>
        <v>0</v>
      </c>
      <c r="D252" s="278"/>
      <c r="E252" s="278"/>
      <c r="F252" s="272">
        <f t="shared" si="121"/>
        <v>24</v>
      </c>
      <c r="G252" s="274">
        <f t="shared" si="122"/>
        <v>0</v>
      </c>
      <c r="H252" s="275">
        <f t="shared" si="123"/>
        <v>1</v>
      </c>
      <c r="I252" s="277"/>
      <c r="J252" s="278">
        <f t="shared" si="124"/>
        <v>24</v>
      </c>
      <c r="K252" s="272">
        <f>IFERROR(INDEX('Horo. M'!$E$3:$E$367,MATCH(A252,'Horo. M'!$A$3:$A$367,0)),"")</f>
        <v>0</v>
      </c>
      <c r="L252" s="273"/>
      <c r="M252" s="273"/>
      <c r="N252" s="272">
        <f t="shared" si="125"/>
        <v>24</v>
      </c>
      <c r="O252" s="274">
        <f t="shared" si="126"/>
        <v>0</v>
      </c>
      <c r="P252" s="275">
        <f t="shared" si="127"/>
        <v>1</v>
      </c>
      <c r="Q252" s="276"/>
      <c r="R252" s="278">
        <f t="shared" si="128"/>
        <v>24</v>
      </c>
      <c r="S252" s="272">
        <f>IFERROR(INDEX('Horo. M'!G$3:$G$367,MATCH(A252,'Horo. M'!$A$3:$A$367,0)),"")</f>
        <v>0</v>
      </c>
      <c r="T252" s="278"/>
      <c r="U252" s="278"/>
      <c r="V252" s="272">
        <f t="shared" si="129"/>
        <v>24</v>
      </c>
      <c r="W252" s="274">
        <f t="shared" si="130"/>
        <v>0</v>
      </c>
      <c r="X252" s="275">
        <f t="shared" si="131"/>
        <v>1</v>
      </c>
      <c r="Y252" s="278"/>
      <c r="Z252" s="278">
        <f t="shared" si="132"/>
        <v>24</v>
      </c>
      <c r="AA252" s="272">
        <f>IFERROR(INDEX('Horo. M'!$I$3:I$367,MATCH(A252,'Horo. M'!$A$3:$A$367,0)),"")</f>
        <v>0</v>
      </c>
      <c r="AB252" s="273"/>
      <c r="AC252" s="273"/>
      <c r="AD252" s="272">
        <f t="shared" si="133"/>
        <v>24</v>
      </c>
      <c r="AE252" s="274">
        <f t="shared" si="134"/>
        <v>0</v>
      </c>
      <c r="AF252" s="275">
        <f t="shared" si="135"/>
        <v>1</v>
      </c>
      <c r="AG252" s="278"/>
      <c r="AH252" s="272">
        <f t="shared" si="136"/>
        <v>24</v>
      </c>
      <c r="AI252" s="272">
        <f>IFERROR(INDEX('Horo. M'!$K$3:K$367,MATCH(A252,'Horo. M'!$A$3:$A$367,0)),"")</f>
        <v>0</v>
      </c>
      <c r="AJ252" s="278"/>
      <c r="AK252" s="278"/>
      <c r="AL252" s="272">
        <f t="shared" si="137"/>
        <v>24</v>
      </c>
      <c r="AM252" s="274">
        <f t="shared" si="138"/>
        <v>0</v>
      </c>
      <c r="AN252" s="275">
        <f t="shared" si="139"/>
        <v>1</v>
      </c>
      <c r="AO252" s="278"/>
      <c r="AP252" s="272">
        <f t="shared" si="140"/>
        <v>24</v>
      </c>
      <c r="AQ252" s="272">
        <f>IFERROR(INDEX('Horo. M'!$M$3:M$367,MATCH(A252,'Horo. M'!$A$3:$A$367,0)),"")</f>
        <v>0</v>
      </c>
      <c r="AR252" s="278"/>
      <c r="AS252" s="278"/>
      <c r="AT252" s="272">
        <f t="shared" si="141"/>
        <v>24</v>
      </c>
      <c r="AU252" s="274">
        <f t="shared" si="142"/>
        <v>0</v>
      </c>
      <c r="AV252" s="275">
        <f t="shared" si="143"/>
        <v>1</v>
      </c>
      <c r="AW252" s="278"/>
      <c r="AX252" s="272">
        <f t="shared" si="144"/>
        <v>24</v>
      </c>
      <c r="AY252" s="272">
        <f>IFERROR(INDEX('Horo. M'!$O$3:O$367,MATCH(A252,'Horo. M'!$A$3:$A$367,0)),"")</f>
        <v>0</v>
      </c>
      <c r="AZ252" s="278"/>
      <c r="BA252" s="278"/>
      <c r="BB252" s="272">
        <f t="shared" si="145"/>
        <v>24</v>
      </c>
      <c r="BC252" s="274">
        <f t="shared" si="146"/>
        <v>0</v>
      </c>
      <c r="BD252" s="275">
        <f t="shared" si="147"/>
        <v>1</v>
      </c>
      <c r="BE252" s="278"/>
      <c r="BF252" s="272">
        <f t="shared" si="148"/>
        <v>24</v>
      </c>
      <c r="BG252" s="272">
        <f>IFERROR(INDEX('Horo. M'!$Q$3:Q$367,MATCH(A252,'Horo. M'!$A$3:$A$367,0)),"")</f>
        <v>0</v>
      </c>
      <c r="BH252" s="278"/>
      <c r="BI252" s="278"/>
      <c r="BJ252" s="272">
        <f t="shared" si="149"/>
        <v>24</v>
      </c>
      <c r="BK252" s="274">
        <f t="shared" si="150"/>
        <v>0</v>
      </c>
      <c r="BL252" s="275">
        <f t="shared" si="151"/>
        <v>1</v>
      </c>
      <c r="BM252" s="278"/>
      <c r="BN252" s="272">
        <f t="shared" si="152"/>
        <v>24</v>
      </c>
      <c r="BO252" s="272">
        <f>IFERROR(INDEX('Horo. M'!$S$3:S$367,MATCH(A252,'Horo. M'!$A$3:$A$367,0)),"")</f>
        <v>0</v>
      </c>
      <c r="BP252" s="278"/>
      <c r="BQ252" s="278"/>
      <c r="BR252" s="272">
        <f t="shared" si="153"/>
        <v>24</v>
      </c>
      <c r="BS252" s="274">
        <f t="shared" si="154"/>
        <v>0</v>
      </c>
      <c r="BT252" s="275">
        <f t="shared" si="155"/>
        <v>1</v>
      </c>
      <c r="BU252" s="278"/>
      <c r="BV252" s="272">
        <f t="shared" si="156"/>
        <v>24</v>
      </c>
      <c r="BW252" s="272">
        <f>IFERROR(INDEX('Horo. M'!$U$3:U$367,MATCH(A252,'Horo. M'!$A$3:$A$367,0)),"")</f>
        <v>0</v>
      </c>
      <c r="BX252" s="278"/>
      <c r="BY252" s="278"/>
      <c r="BZ252" s="272">
        <f t="shared" si="157"/>
        <v>24</v>
      </c>
      <c r="CA252" s="274">
        <f t="shared" si="158"/>
        <v>0</v>
      </c>
      <c r="CB252" s="275">
        <f t="shared" si="159"/>
        <v>1</v>
      </c>
      <c r="CC252" s="280"/>
    </row>
    <row r="253" spans="1:81">
      <c r="A253" s="279">
        <v>45178</v>
      </c>
      <c r="B253" s="278">
        <f t="shared" si="120"/>
        <v>24</v>
      </c>
      <c r="C253" s="272">
        <f>IFERROR(INDEX('Horo. M'!$C$3:$C$367,MATCH(A253,'Horo. M'!$A$3:$A$367,0)),"")</f>
        <v>0</v>
      </c>
      <c r="D253" s="278"/>
      <c r="E253" s="278"/>
      <c r="F253" s="272">
        <f t="shared" si="121"/>
        <v>24</v>
      </c>
      <c r="G253" s="274">
        <f t="shared" si="122"/>
        <v>0</v>
      </c>
      <c r="H253" s="275">
        <f t="shared" si="123"/>
        <v>1</v>
      </c>
      <c r="I253" s="277"/>
      <c r="J253" s="278">
        <f t="shared" si="124"/>
        <v>24</v>
      </c>
      <c r="K253" s="272">
        <f>IFERROR(INDEX('Horo. M'!$E$3:$E$367,MATCH(A253,'Horo. M'!$A$3:$A$367,0)),"")</f>
        <v>0</v>
      </c>
      <c r="L253" s="273"/>
      <c r="M253" s="273"/>
      <c r="N253" s="272">
        <f t="shared" si="125"/>
        <v>24</v>
      </c>
      <c r="O253" s="274">
        <f t="shared" si="126"/>
        <v>0</v>
      </c>
      <c r="P253" s="275">
        <f t="shared" si="127"/>
        <v>1</v>
      </c>
      <c r="Q253" s="276"/>
      <c r="R253" s="278">
        <f t="shared" si="128"/>
        <v>24</v>
      </c>
      <c r="S253" s="272">
        <f>IFERROR(INDEX('Horo. M'!G$3:$G$367,MATCH(A253,'Horo. M'!$A$3:$A$367,0)),"")</f>
        <v>0</v>
      </c>
      <c r="T253" s="278"/>
      <c r="U253" s="278"/>
      <c r="V253" s="272">
        <f t="shared" si="129"/>
        <v>24</v>
      </c>
      <c r="W253" s="274">
        <f t="shared" si="130"/>
        <v>0</v>
      </c>
      <c r="X253" s="275">
        <f t="shared" si="131"/>
        <v>1</v>
      </c>
      <c r="Y253" s="278"/>
      <c r="Z253" s="278">
        <f t="shared" si="132"/>
        <v>24</v>
      </c>
      <c r="AA253" s="272">
        <f>IFERROR(INDEX('Horo. M'!$I$3:I$367,MATCH(A253,'Horo. M'!$A$3:$A$367,0)),"")</f>
        <v>0</v>
      </c>
      <c r="AB253" s="273"/>
      <c r="AC253" s="273"/>
      <c r="AD253" s="272">
        <f t="shared" si="133"/>
        <v>24</v>
      </c>
      <c r="AE253" s="274">
        <f t="shared" si="134"/>
        <v>0</v>
      </c>
      <c r="AF253" s="275">
        <f t="shared" si="135"/>
        <v>1</v>
      </c>
      <c r="AG253" s="278"/>
      <c r="AH253" s="272">
        <f t="shared" si="136"/>
        <v>24</v>
      </c>
      <c r="AI253" s="272">
        <f>IFERROR(INDEX('Horo. M'!$K$3:K$367,MATCH(A253,'Horo. M'!$A$3:$A$367,0)),"")</f>
        <v>0</v>
      </c>
      <c r="AJ253" s="278"/>
      <c r="AK253" s="278"/>
      <c r="AL253" s="272">
        <f t="shared" si="137"/>
        <v>24</v>
      </c>
      <c r="AM253" s="274">
        <f t="shared" si="138"/>
        <v>0</v>
      </c>
      <c r="AN253" s="275">
        <f t="shared" si="139"/>
        <v>1</v>
      </c>
      <c r="AO253" s="278"/>
      <c r="AP253" s="272">
        <f t="shared" si="140"/>
        <v>24</v>
      </c>
      <c r="AQ253" s="272">
        <f>IFERROR(INDEX('Horo. M'!$M$3:M$367,MATCH(A253,'Horo. M'!$A$3:$A$367,0)),"")</f>
        <v>0</v>
      </c>
      <c r="AR253" s="278"/>
      <c r="AS253" s="278"/>
      <c r="AT253" s="272">
        <f t="shared" si="141"/>
        <v>24</v>
      </c>
      <c r="AU253" s="274">
        <f t="shared" si="142"/>
        <v>0</v>
      </c>
      <c r="AV253" s="275">
        <f t="shared" si="143"/>
        <v>1</v>
      </c>
      <c r="AW253" s="278"/>
      <c r="AX253" s="272">
        <f t="shared" si="144"/>
        <v>24</v>
      </c>
      <c r="AY253" s="272">
        <f>IFERROR(INDEX('Horo. M'!$O$3:O$367,MATCH(A253,'Horo. M'!$A$3:$A$367,0)),"")</f>
        <v>0</v>
      </c>
      <c r="AZ253" s="278"/>
      <c r="BA253" s="278"/>
      <c r="BB253" s="272">
        <f t="shared" si="145"/>
        <v>24</v>
      </c>
      <c r="BC253" s="274">
        <f t="shared" si="146"/>
        <v>0</v>
      </c>
      <c r="BD253" s="275">
        <f t="shared" si="147"/>
        <v>1</v>
      </c>
      <c r="BE253" s="278"/>
      <c r="BF253" s="272">
        <f t="shared" si="148"/>
        <v>24</v>
      </c>
      <c r="BG253" s="272">
        <f>IFERROR(INDEX('Horo. M'!$Q$3:Q$367,MATCH(A253,'Horo. M'!$A$3:$A$367,0)),"")</f>
        <v>0</v>
      </c>
      <c r="BH253" s="278"/>
      <c r="BI253" s="278"/>
      <c r="BJ253" s="272">
        <f t="shared" si="149"/>
        <v>24</v>
      </c>
      <c r="BK253" s="274">
        <f t="shared" si="150"/>
        <v>0</v>
      </c>
      <c r="BL253" s="275">
        <f t="shared" si="151"/>
        <v>1</v>
      </c>
      <c r="BM253" s="278"/>
      <c r="BN253" s="272">
        <f t="shared" si="152"/>
        <v>24</v>
      </c>
      <c r="BO253" s="272">
        <f>IFERROR(INDEX('Horo. M'!$S$3:S$367,MATCH(A253,'Horo. M'!$A$3:$A$367,0)),"")</f>
        <v>0</v>
      </c>
      <c r="BP253" s="278"/>
      <c r="BQ253" s="278"/>
      <c r="BR253" s="272">
        <f t="shared" si="153"/>
        <v>24</v>
      </c>
      <c r="BS253" s="274">
        <f t="shared" si="154"/>
        <v>0</v>
      </c>
      <c r="BT253" s="275">
        <f t="shared" si="155"/>
        <v>1</v>
      </c>
      <c r="BU253" s="278"/>
      <c r="BV253" s="272">
        <f t="shared" si="156"/>
        <v>24</v>
      </c>
      <c r="BW253" s="272">
        <f>IFERROR(INDEX('Horo. M'!$U$3:U$367,MATCH(A253,'Horo. M'!$A$3:$A$367,0)),"")</f>
        <v>0</v>
      </c>
      <c r="BX253" s="278"/>
      <c r="BY253" s="278"/>
      <c r="BZ253" s="272">
        <f t="shared" si="157"/>
        <v>24</v>
      </c>
      <c r="CA253" s="274">
        <f t="shared" si="158"/>
        <v>0</v>
      </c>
      <c r="CB253" s="275">
        <f t="shared" si="159"/>
        <v>1</v>
      </c>
      <c r="CC253" s="280"/>
    </row>
    <row r="254" spans="1:81">
      <c r="A254" s="279">
        <v>45179</v>
      </c>
      <c r="B254" s="278">
        <f t="shared" si="120"/>
        <v>24</v>
      </c>
      <c r="C254" s="272">
        <f>IFERROR(INDEX('Horo. M'!$C$3:$C$367,MATCH(A254,'Horo. M'!$A$3:$A$367,0)),"")</f>
        <v>0</v>
      </c>
      <c r="D254" s="278"/>
      <c r="E254" s="278"/>
      <c r="F254" s="272">
        <f t="shared" si="121"/>
        <v>24</v>
      </c>
      <c r="G254" s="274">
        <f t="shared" si="122"/>
        <v>0</v>
      </c>
      <c r="H254" s="275">
        <f t="shared" si="123"/>
        <v>1</v>
      </c>
      <c r="I254" s="277"/>
      <c r="J254" s="278">
        <f t="shared" si="124"/>
        <v>24</v>
      </c>
      <c r="K254" s="272">
        <f>IFERROR(INDEX('Horo. M'!$E$3:$E$367,MATCH(A254,'Horo. M'!$A$3:$A$367,0)),"")</f>
        <v>0</v>
      </c>
      <c r="L254" s="273"/>
      <c r="M254" s="273"/>
      <c r="N254" s="272">
        <f t="shared" si="125"/>
        <v>24</v>
      </c>
      <c r="O254" s="274">
        <f t="shared" si="126"/>
        <v>0</v>
      </c>
      <c r="P254" s="275">
        <f t="shared" si="127"/>
        <v>1</v>
      </c>
      <c r="Q254" s="276"/>
      <c r="R254" s="278">
        <f t="shared" si="128"/>
        <v>24</v>
      </c>
      <c r="S254" s="272">
        <f>IFERROR(INDEX('Horo. M'!G$3:$G$367,MATCH(A254,'Horo. M'!$A$3:$A$367,0)),"")</f>
        <v>0</v>
      </c>
      <c r="T254" s="278"/>
      <c r="U254" s="278"/>
      <c r="V254" s="272">
        <f t="shared" si="129"/>
        <v>24</v>
      </c>
      <c r="W254" s="274">
        <f t="shared" si="130"/>
        <v>0</v>
      </c>
      <c r="X254" s="275">
        <f t="shared" si="131"/>
        <v>1</v>
      </c>
      <c r="Y254" s="278"/>
      <c r="Z254" s="278">
        <f t="shared" si="132"/>
        <v>24</v>
      </c>
      <c r="AA254" s="272">
        <f>IFERROR(INDEX('Horo. M'!$I$3:I$367,MATCH(A254,'Horo. M'!$A$3:$A$367,0)),"")</f>
        <v>0</v>
      </c>
      <c r="AB254" s="273"/>
      <c r="AC254" s="273"/>
      <c r="AD254" s="272">
        <f t="shared" si="133"/>
        <v>24</v>
      </c>
      <c r="AE254" s="274">
        <f t="shared" si="134"/>
        <v>0</v>
      </c>
      <c r="AF254" s="275">
        <f t="shared" si="135"/>
        <v>1</v>
      </c>
      <c r="AG254" s="278"/>
      <c r="AH254" s="272">
        <f t="shared" si="136"/>
        <v>24</v>
      </c>
      <c r="AI254" s="272">
        <f>IFERROR(INDEX('Horo. M'!$K$3:K$367,MATCH(A254,'Horo. M'!$A$3:$A$367,0)),"")</f>
        <v>0</v>
      </c>
      <c r="AJ254" s="278"/>
      <c r="AK254" s="278"/>
      <c r="AL254" s="272">
        <f t="shared" si="137"/>
        <v>24</v>
      </c>
      <c r="AM254" s="274">
        <f t="shared" si="138"/>
        <v>0</v>
      </c>
      <c r="AN254" s="275">
        <f t="shared" si="139"/>
        <v>1</v>
      </c>
      <c r="AO254" s="278"/>
      <c r="AP254" s="272">
        <f t="shared" si="140"/>
        <v>24</v>
      </c>
      <c r="AQ254" s="272">
        <f>IFERROR(INDEX('Horo. M'!$M$3:M$367,MATCH(A254,'Horo. M'!$A$3:$A$367,0)),"")</f>
        <v>0</v>
      </c>
      <c r="AR254" s="278"/>
      <c r="AS254" s="278"/>
      <c r="AT254" s="272">
        <f t="shared" si="141"/>
        <v>24</v>
      </c>
      <c r="AU254" s="274">
        <f t="shared" si="142"/>
        <v>0</v>
      </c>
      <c r="AV254" s="275">
        <f t="shared" si="143"/>
        <v>1</v>
      </c>
      <c r="AW254" s="278"/>
      <c r="AX254" s="272">
        <f t="shared" si="144"/>
        <v>24</v>
      </c>
      <c r="AY254" s="272">
        <f>IFERROR(INDEX('Horo. M'!$O$3:O$367,MATCH(A254,'Horo. M'!$A$3:$A$367,0)),"")</f>
        <v>0</v>
      </c>
      <c r="AZ254" s="278"/>
      <c r="BA254" s="278"/>
      <c r="BB254" s="272">
        <f t="shared" si="145"/>
        <v>24</v>
      </c>
      <c r="BC254" s="274">
        <f t="shared" si="146"/>
        <v>0</v>
      </c>
      <c r="BD254" s="275">
        <f t="shared" si="147"/>
        <v>1</v>
      </c>
      <c r="BE254" s="278"/>
      <c r="BF254" s="272">
        <f t="shared" si="148"/>
        <v>24</v>
      </c>
      <c r="BG254" s="272">
        <f>IFERROR(INDEX('Horo. M'!$Q$3:Q$367,MATCH(A254,'Horo. M'!$A$3:$A$367,0)),"")</f>
        <v>0</v>
      </c>
      <c r="BH254" s="278"/>
      <c r="BI254" s="278"/>
      <c r="BJ254" s="272">
        <f t="shared" si="149"/>
        <v>24</v>
      </c>
      <c r="BK254" s="274">
        <f t="shared" si="150"/>
        <v>0</v>
      </c>
      <c r="BL254" s="275">
        <f t="shared" si="151"/>
        <v>1</v>
      </c>
      <c r="BM254" s="278"/>
      <c r="BN254" s="272">
        <f t="shared" si="152"/>
        <v>24</v>
      </c>
      <c r="BO254" s="272">
        <f>IFERROR(INDEX('Horo. M'!$S$3:S$367,MATCH(A254,'Horo. M'!$A$3:$A$367,0)),"")</f>
        <v>0</v>
      </c>
      <c r="BP254" s="278"/>
      <c r="BQ254" s="278"/>
      <c r="BR254" s="272">
        <f t="shared" si="153"/>
        <v>24</v>
      </c>
      <c r="BS254" s="274">
        <f t="shared" si="154"/>
        <v>0</v>
      </c>
      <c r="BT254" s="275">
        <f t="shared" si="155"/>
        <v>1</v>
      </c>
      <c r="BU254" s="278"/>
      <c r="BV254" s="272">
        <f t="shared" si="156"/>
        <v>24</v>
      </c>
      <c r="BW254" s="272">
        <f>IFERROR(INDEX('Horo. M'!$U$3:U$367,MATCH(A254,'Horo. M'!$A$3:$A$367,0)),"")</f>
        <v>0</v>
      </c>
      <c r="BX254" s="278"/>
      <c r="BY254" s="278"/>
      <c r="BZ254" s="272">
        <f t="shared" si="157"/>
        <v>24</v>
      </c>
      <c r="CA254" s="274">
        <f t="shared" si="158"/>
        <v>0</v>
      </c>
      <c r="CB254" s="275">
        <f t="shared" si="159"/>
        <v>1</v>
      </c>
      <c r="CC254" s="280"/>
    </row>
    <row r="255" spans="1:81">
      <c r="A255" s="279">
        <v>45180</v>
      </c>
      <c r="B255" s="278">
        <f t="shared" si="120"/>
        <v>24</v>
      </c>
      <c r="C255" s="272">
        <f>IFERROR(INDEX('Horo. M'!$C$3:$C$367,MATCH(A255,'Horo. M'!$A$3:$A$367,0)),"")</f>
        <v>0</v>
      </c>
      <c r="D255" s="278"/>
      <c r="E255" s="278"/>
      <c r="F255" s="272">
        <f t="shared" si="121"/>
        <v>24</v>
      </c>
      <c r="G255" s="274">
        <f t="shared" si="122"/>
        <v>0</v>
      </c>
      <c r="H255" s="275">
        <f t="shared" si="123"/>
        <v>1</v>
      </c>
      <c r="I255" s="277"/>
      <c r="J255" s="278">
        <f t="shared" si="124"/>
        <v>24</v>
      </c>
      <c r="K255" s="272">
        <f>IFERROR(INDEX('Horo. M'!$E$3:$E$367,MATCH(A255,'Horo. M'!$A$3:$A$367,0)),"")</f>
        <v>0</v>
      </c>
      <c r="L255" s="273"/>
      <c r="M255" s="273"/>
      <c r="N255" s="272">
        <f t="shared" si="125"/>
        <v>24</v>
      </c>
      <c r="O255" s="274">
        <f t="shared" si="126"/>
        <v>0</v>
      </c>
      <c r="P255" s="275">
        <f t="shared" si="127"/>
        <v>1</v>
      </c>
      <c r="Q255" s="276"/>
      <c r="R255" s="278">
        <f t="shared" si="128"/>
        <v>24</v>
      </c>
      <c r="S255" s="272">
        <f>IFERROR(INDEX('Horo. M'!G$3:$G$367,MATCH(A255,'Horo. M'!$A$3:$A$367,0)),"")</f>
        <v>0</v>
      </c>
      <c r="T255" s="278"/>
      <c r="U255" s="278"/>
      <c r="V255" s="272">
        <f t="shared" si="129"/>
        <v>24</v>
      </c>
      <c r="W255" s="274">
        <f t="shared" si="130"/>
        <v>0</v>
      </c>
      <c r="X255" s="275">
        <f t="shared" si="131"/>
        <v>1</v>
      </c>
      <c r="Y255" s="278"/>
      <c r="Z255" s="278">
        <f t="shared" si="132"/>
        <v>24</v>
      </c>
      <c r="AA255" s="272">
        <f>IFERROR(INDEX('Horo. M'!$I$3:I$367,MATCH(A255,'Horo. M'!$A$3:$A$367,0)),"")</f>
        <v>0</v>
      </c>
      <c r="AB255" s="273"/>
      <c r="AC255" s="273"/>
      <c r="AD255" s="272">
        <f t="shared" si="133"/>
        <v>24</v>
      </c>
      <c r="AE255" s="274">
        <f t="shared" si="134"/>
        <v>0</v>
      </c>
      <c r="AF255" s="275">
        <f t="shared" si="135"/>
        <v>1</v>
      </c>
      <c r="AG255" s="278"/>
      <c r="AH255" s="272">
        <f t="shared" si="136"/>
        <v>24</v>
      </c>
      <c r="AI255" s="272">
        <f>IFERROR(INDEX('Horo. M'!$K$3:K$367,MATCH(A255,'Horo. M'!$A$3:$A$367,0)),"")</f>
        <v>0</v>
      </c>
      <c r="AJ255" s="278"/>
      <c r="AK255" s="278"/>
      <c r="AL255" s="272">
        <f t="shared" si="137"/>
        <v>24</v>
      </c>
      <c r="AM255" s="274">
        <f t="shared" si="138"/>
        <v>0</v>
      </c>
      <c r="AN255" s="275">
        <f t="shared" si="139"/>
        <v>1</v>
      </c>
      <c r="AO255" s="278"/>
      <c r="AP255" s="272">
        <f t="shared" si="140"/>
        <v>24</v>
      </c>
      <c r="AQ255" s="272">
        <f>IFERROR(INDEX('Horo. M'!$M$3:M$367,MATCH(A255,'Horo. M'!$A$3:$A$367,0)),"")</f>
        <v>0</v>
      </c>
      <c r="AR255" s="278"/>
      <c r="AS255" s="278"/>
      <c r="AT255" s="272">
        <f t="shared" si="141"/>
        <v>24</v>
      </c>
      <c r="AU255" s="274">
        <f t="shared" si="142"/>
        <v>0</v>
      </c>
      <c r="AV255" s="275">
        <f t="shared" si="143"/>
        <v>1</v>
      </c>
      <c r="AW255" s="278"/>
      <c r="AX255" s="272">
        <f t="shared" si="144"/>
        <v>24</v>
      </c>
      <c r="AY255" s="272">
        <f>IFERROR(INDEX('Horo. M'!$O$3:O$367,MATCH(A255,'Horo. M'!$A$3:$A$367,0)),"")</f>
        <v>0</v>
      </c>
      <c r="AZ255" s="278"/>
      <c r="BA255" s="278"/>
      <c r="BB255" s="272">
        <f t="shared" si="145"/>
        <v>24</v>
      </c>
      <c r="BC255" s="274">
        <f t="shared" si="146"/>
        <v>0</v>
      </c>
      <c r="BD255" s="275">
        <f t="shared" si="147"/>
        <v>1</v>
      </c>
      <c r="BE255" s="278"/>
      <c r="BF255" s="272">
        <f t="shared" si="148"/>
        <v>24</v>
      </c>
      <c r="BG255" s="272">
        <f>IFERROR(INDEX('Horo. M'!$Q$3:Q$367,MATCH(A255,'Horo. M'!$A$3:$A$367,0)),"")</f>
        <v>0</v>
      </c>
      <c r="BH255" s="278"/>
      <c r="BI255" s="278"/>
      <c r="BJ255" s="272">
        <f t="shared" si="149"/>
        <v>24</v>
      </c>
      <c r="BK255" s="274">
        <f t="shared" si="150"/>
        <v>0</v>
      </c>
      <c r="BL255" s="275">
        <f t="shared" si="151"/>
        <v>1</v>
      </c>
      <c r="BM255" s="278"/>
      <c r="BN255" s="272">
        <f t="shared" si="152"/>
        <v>24</v>
      </c>
      <c r="BO255" s="272">
        <f>IFERROR(INDEX('Horo. M'!$S$3:S$367,MATCH(A255,'Horo. M'!$A$3:$A$367,0)),"")</f>
        <v>0</v>
      </c>
      <c r="BP255" s="278"/>
      <c r="BQ255" s="278"/>
      <c r="BR255" s="272">
        <f t="shared" si="153"/>
        <v>24</v>
      </c>
      <c r="BS255" s="274">
        <f t="shared" si="154"/>
        <v>0</v>
      </c>
      <c r="BT255" s="275">
        <f t="shared" si="155"/>
        <v>1</v>
      </c>
      <c r="BU255" s="278"/>
      <c r="BV255" s="272">
        <f t="shared" si="156"/>
        <v>24</v>
      </c>
      <c r="BW255" s="272">
        <f>IFERROR(INDEX('Horo. M'!$U$3:U$367,MATCH(A255,'Horo. M'!$A$3:$A$367,0)),"")</f>
        <v>0</v>
      </c>
      <c r="BX255" s="278"/>
      <c r="BY255" s="278"/>
      <c r="BZ255" s="272">
        <f t="shared" si="157"/>
        <v>24</v>
      </c>
      <c r="CA255" s="274">
        <f t="shared" si="158"/>
        <v>0</v>
      </c>
      <c r="CB255" s="275">
        <f t="shared" si="159"/>
        <v>1</v>
      </c>
      <c r="CC255" s="280"/>
    </row>
    <row r="256" spans="1:81">
      <c r="A256" s="279">
        <v>45181</v>
      </c>
      <c r="B256" s="278">
        <f t="shared" si="120"/>
        <v>24</v>
      </c>
      <c r="C256" s="272">
        <f>IFERROR(INDEX('Horo. M'!$C$3:$C$367,MATCH(A256,'Horo. M'!$A$3:$A$367,0)),"")</f>
        <v>0</v>
      </c>
      <c r="D256" s="278"/>
      <c r="E256" s="278"/>
      <c r="F256" s="272">
        <f t="shared" si="121"/>
        <v>24</v>
      </c>
      <c r="G256" s="274">
        <f t="shared" si="122"/>
        <v>0</v>
      </c>
      <c r="H256" s="275">
        <f t="shared" si="123"/>
        <v>1</v>
      </c>
      <c r="I256" s="277"/>
      <c r="J256" s="278">
        <f t="shared" si="124"/>
        <v>24</v>
      </c>
      <c r="K256" s="272">
        <f>IFERROR(INDEX('Horo. M'!$E$3:$E$367,MATCH(A256,'Horo. M'!$A$3:$A$367,0)),"")</f>
        <v>0</v>
      </c>
      <c r="L256" s="273"/>
      <c r="M256" s="273"/>
      <c r="N256" s="272">
        <f t="shared" si="125"/>
        <v>24</v>
      </c>
      <c r="O256" s="274">
        <f t="shared" si="126"/>
        <v>0</v>
      </c>
      <c r="P256" s="275">
        <f t="shared" si="127"/>
        <v>1</v>
      </c>
      <c r="Q256" s="276"/>
      <c r="R256" s="278">
        <f t="shared" si="128"/>
        <v>24</v>
      </c>
      <c r="S256" s="272">
        <f>IFERROR(INDEX('Horo. M'!G$3:$G$367,MATCH(A256,'Horo. M'!$A$3:$A$367,0)),"")</f>
        <v>0</v>
      </c>
      <c r="T256" s="278"/>
      <c r="U256" s="278"/>
      <c r="V256" s="272">
        <f t="shared" si="129"/>
        <v>24</v>
      </c>
      <c r="W256" s="274">
        <f t="shared" si="130"/>
        <v>0</v>
      </c>
      <c r="X256" s="275">
        <f t="shared" si="131"/>
        <v>1</v>
      </c>
      <c r="Y256" s="278"/>
      <c r="Z256" s="278">
        <f t="shared" si="132"/>
        <v>24</v>
      </c>
      <c r="AA256" s="272">
        <f>IFERROR(INDEX('Horo. M'!$I$3:I$367,MATCH(A256,'Horo. M'!$A$3:$A$367,0)),"")</f>
        <v>0</v>
      </c>
      <c r="AB256" s="273"/>
      <c r="AC256" s="273"/>
      <c r="AD256" s="272">
        <f t="shared" si="133"/>
        <v>24</v>
      </c>
      <c r="AE256" s="274">
        <f t="shared" si="134"/>
        <v>0</v>
      </c>
      <c r="AF256" s="275">
        <f t="shared" si="135"/>
        <v>1</v>
      </c>
      <c r="AG256" s="278"/>
      <c r="AH256" s="272">
        <f t="shared" si="136"/>
        <v>24</v>
      </c>
      <c r="AI256" s="272">
        <f>IFERROR(INDEX('Horo. M'!$K$3:K$367,MATCH(A256,'Horo. M'!$A$3:$A$367,0)),"")</f>
        <v>0</v>
      </c>
      <c r="AJ256" s="278"/>
      <c r="AK256" s="278"/>
      <c r="AL256" s="272">
        <f t="shared" si="137"/>
        <v>24</v>
      </c>
      <c r="AM256" s="274">
        <f t="shared" si="138"/>
        <v>0</v>
      </c>
      <c r="AN256" s="275">
        <f t="shared" si="139"/>
        <v>1</v>
      </c>
      <c r="AO256" s="278"/>
      <c r="AP256" s="272">
        <f t="shared" si="140"/>
        <v>24</v>
      </c>
      <c r="AQ256" s="272">
        <f>IFERROR(INDEX('Horo. M'!$M$3:M$367,MATCH(A256,'Horo. M'!$A$3:$A$367,0)),"")</f>
        <v>0</v>
      </c>
      <c r="AR256" s="278"/>
      <c r="AS256" s="278"/>
      <c r="AT256" s="272">
        <f t="shared" si="141"/>
        <v>24</v>
      </c>
      <c r="AU256" s="274">
        <f t="shared" si="142"/>
        <v>0</v>
      </c>
      <c r="AV256" s="275">
        <f t="shared" si="143"/>
        <v>1</v>
      </c>
      <c r="AW256" s="278"/>
      <c r="AX256" s="272">
        <f t="shared" si="144"/>
        <v>24</v>
      </c>
      <c r="AY256" s="272">
        <f>IFERROR(INDEX('Horo. M'!$O$3:O$367,MATCH(A256,'Horo. M'!$A$3:$A$367,0)),"")</f>
        <v>0</v>
      </c>
      <c r="AZ256" s="278"/>
      <c r="BA256" s="278"/>
      <c r="BB256" s="272">
        <f t="shared" si="145"/>
        <v>24</v>
      </c>
      <c r="BC256" s="274">
        <f t="shared" si="146"/>
        <v>0</v>
      </c>
      <c r="BD256" s="275">
        <f t="shared" si="147"/>
        <v>1</v>
      </c>
      <c r="BE256" s="278"/>
      <c r="BF256" s="272">
        <f t="shared" si="148"/>
        <v>24</v>
      </c>
      <c r="BG256" s="272">
        <f>IFERROR(INDEX('Horo. M'!$Q$3:Q$367,MATCH(A256,'Horo. M'!$A$3:$A$367,0)),"")</f>
        <v>0</v>
      </c>
      <c r="BH256" s="278"/>
      <c r="BI256" s="278"/>
      <c r="BJ256" s="272">
        <f t="shared" si="149"/>
        <v>24</v>
      </c>
      <c r="BK256" s="274">
        <f t="shared" si="150"/>
        <v>0</v>
      </c>
      <c r="BL256" s="275">
        <f t="shared" si="151"/>
        <v>1</v>
      </c>
      <c r="BM256" s="278"/>
      <c r="BN256" s="272">
        <f t="shared" si="152"/>
        <v>24</v>
      </c>
      <c r="BO256" s="272">
        <f>IFERROR(INDEX('Horo. M'!$S$3:S$367,MATCH(A256,'Horo. M'!$A$3:$A$367,0)),"")</f>
        <v>0</v>
      </c>
      <c r="BP256" s="278"/>
      <c r="BQ256" s="278"/>
      <c r="BR256" s="272">
        <f t="shared" si="153"/>
        <v>24</v>
      </c>
      <c r="BS256" s="274">
        <f t="shared" si="154"/>
        <v>0</v>
      </c>
      <c r="BT256" s="275">
        <f t="shared" si="155"/>
        <v>1</v>
      </c>
      <c r="BU256" s="278"/>
      <c r="BV256" s="272">
        <f t="shared" si="156"/>
        <v>24</v>
      </c>
      <c r="BW256" s="272">
        <f>IFERROR(INDEX('Horo. M'!$U$3:U$367,MATCH(A256,'Horo. M'!$A$3:$A$367,0)),"")</f>
        <v>0</v>
      </c>
      <c r="BX256" s="278"/>
      <c r="BY256" s="278"/>
      <c r="BZ256" s="272">
        <f t="shared" si="157"/>
        <v>24</v>
      </c>
      <c r="CA256" s="274">
        <f t="shared" si="158"/>
        <v>0</v>
      </c>
      <c r="CB256" s="275">
        <f t="shared" si="159"/>
        <v>1</v>
      </c>
      <c r="CC256" s="280"/>
    </row>
    <row r="257" spans="1:81">
      <c r="A257" s="279">
        <v>45182</v>
      </c>
      <c r="B257" s="278">
        <f t="shared" si="120"/>
        <v>24</v>
      </c>
      <c r="C257" s="272">
        <f>IFERROR(INDEX('Horo. M'!$C$3:$C$367,MATCH(A257,'Horo. M'!$A$3:$A$367,0)),"")</f>
        <v>0</v>
      </c>
      <c r="D257" s="278"/>
      <c r="E257" s="278"/>
      <c r="F257" s="272">
        <f t="shared" si="121"/>
        <v>24</v>
      </c>
      <c r="G257" s="274">
        <f t="shared" si="122"/>
        <v>0</v>
      </c>
      <c r="H257" s="275">
        <f t="shared" si="123"/>
        <v>1</v>
      </c>
      <c r="I257" s="277"/>
      <c r="J257" s="278">
        <f t="shared" si="124"/>
        <v>24</v>
      </c>
      <c r="K257" s="272">
        <f>IFERROR(INDEX('Horo. M'!$E$3:$E$367,MATCH(A257,'Horo. M'!$A$3:$A$367,0)),"")</f>
        <v>0</v>
      </c>
      <c r="L257" s="273"/>
      <c r="M257" s="273"/>
      <c r="N257" s="272">
        <f t="shared" si="125"/>
        <v>24</v>
      </c>
      <c r="O257" s="274">
        <f t="shared" si="126"/>
        <v>0</v>
      </c>
      <c r="P257" s="275">
        <f t="shared" si="127"/>
        <v>1</v>
      </c>
      <c r="Q257" s="276"/>
      <c r="R257" s="278">
        <f t="shared" si="128"/>
        <v>24</v>
      </c>
      <c r="S257" s="272">
        <f>IFERROR(INDEX('Horo. M'!G$3:$G$367,MATCH(A257,'Horo. M'!$A$3:$A$367,0)),"")</f>
        <v>0</v>
      </c>
      <c r="T257" s="278"/>
      <c r="U257" s="278"/>
      <c r="V257" s="272">
        <f t="shared" si="129"/>
        <v>24</v>
      </c>
      <c r="W257" s="274">
        <f t="shared" si="130"/>
        <v>0</v>
      </c>
      <c r="X257" s="275">
        <f t="shared" si="131"/>
        <v>1</v>
      </c>
      <c r="Y257" s="278"/>
      <c r="Z257" s="278">
        <f t="shared" si="132"/>
        <v>24</v>
      </c>
      <c r="AA257" s="272">
        <f>IFERROR(INDEX('Horo. M'!$I$3:I$367,MATCH(A257,'Horo. M'!$A$3:$A$367,0)),"")</f>
        <v>0</v>
      </c>
      <c r="AB257" s="273"/>
      <c r="AC257" s="273"/>
      <c r="AD257" s="272">
        <f t="shared" si="133"/>
        <v>24</v>
      </c>
      <c r="AE257" s="274">
        <f t="shared" si="134"/>
        <v>0</v>
      </c>
      <c r="AF257" s="275">
        <f t="shared" si="135"/>
        <v>1</v>
      </c>
      <c r="AG257" s="278"/>
      <c r="AH257" s="272">
        <f t="shared" si="136"/>
        <v>24</v>
      </c>
      <c r="AI257" s="272">
        <f>IFERROR(INDEX('Horo. M'!$K$3:K$367,MATCH(A257,'Horo. M'!$A$3:$A$367,0)),"")</f>
        <v>0</v>
      </c>
      <c r="AJ257" s="278"/>
      <c r="AK257" s="278"/>
      <c r="AL257" s="272">
        <f t="shared" si="137"/>
        <v>24</v>
      </c>
      <c r="AM257" s="274">
        <f t="shared" si="138"/>
        <v>0</v>
      </c>
      <c r="AN257" s="275">
        <f t="shared" si="139"/>
        <v>1</v>
      </c>
      <c r="AO257" s="278"/>
      <c r="AP257" s="272">
        <f t="shared" si="140"/>
        <v>24</v>
      </c>
      <c r="AQ257" s="272">
        <f>IFERROR(INDEX('Horo. M'!$M$3:M$367,MATCH(A257,'Horo. M'!$A$3:$A$367,0)),"")</f>
        <v>0</v>
      </c>
      <c r="AR257" s="278"/>
      <c r="AS257" s="278"/>
      <c r="AT257" s="272">
        <f t="shared" si="141"/>
        <v>24</v>
      </c>
      <c r="AU257" s="274">
        <f t="shared" si="142"/>
        <v>0</v>
      </c>
      <c r="AV257" s="275">
        <f t="shared" si="143"/>
        <v>1</v>
      </c>
      <c r="AW257" s="278"/>
      <c r="AX257" s="272">
        <f t="shared" si="144"/>
        <v>24</v>
      </c>
      <c r="AY257" s="272">
        <f>IFERROR(INDEX('Horo. M'!$O$3:O$367,MATCH(A257,'Horo. M'!$A$3:$A$367,0)),"")</f>
        <v>0</v>
      </c>
      <c r="AZ257" s="278"/>
      <c r="BA257" s="278"/>
      <c r="BB257" s="272">
        <f t="shared" si="145"/>
        <v>24</v>
      </c>
      <c r="BC257" s="274">
        <f t="shared" si="146"/>
        <v>0</v>
      </c>
      <c r="BD257" s="275">
        <f t="shared" si="147"/>
        <v>1</v>
      </c>
      <c r="BE257" s="278"/>
      <c r="BF257" s="272">
        <f t="shared" si="148"/>
        <v>24</v>
      </c>
      <c r="BG257" s="272">
        <f>IFERROR(INDEX('Horo. M'!$Q$3:Q$367,MATCH(A257,'Horo. M'!$A$3:$A$367,0)),"")</f>
        <v>0</v>
      </c>
      <c r="BH257" s="278"/>
      <c r="BI257" s="278"/>
      <c r="BJ257" s="272">
        <f t="shared" si="149"/>
        <v>24</v>
      </c>
      <c r="BK257" s="274">
        <f t="shared" si="150"/>
        <v>0</v>
      </c>
      <c r="BL257" s="275">
        <f t="shared" si="151"/>
        <v>1</v>
      </c>
      <c r="BM257" s="278"/>
      <c r="BN257" s="272">
        <f t="shared" si="152"/>
        <v>24</v>
      </c>
      <c r="BO257" s="272">
        <f>IFERROR(INDEX('Horo. M'!$S$3:S$367,MATCH(A257,'Horo. M'!$A$3:$A$367,0)),"")</f>
        <v>0</v>
      </c>
      <c r="BP257" s="278"/>
      <c r="BQ257" s="278"/>
      <c r="BR257" s="272">
        <f t="shared" si="153"/>
        <v>24</v>
      </c>
      <c r="BS257" s="274">
        <f t="shared" si="154"/>
        <v>0</v>
      </c>
      <c r="BT257" s="275">
        <f t="shared" si="155"/>
        <v>1</v>
      </c>
      <c r="BU257" s="278"/>
      <c r="BV257" s="272">
        <f t="shared" si="156"/>
        <v>24</v>
      </c>
      <c r="BW257" s="272">
        <f>IFERROR(INDEX('Horo. M'!$U$3:U$367,MATCH(A257,'Horo. M'!$A$3:$A$367,0)),"")</f>
        <v>0</v>
      </c>
      <c r="BX257" s="278"/>
      <c r="BY257" s="278"/>
      <c r="BZ257" s="272">
        <f t="shared" si="157"/>
        <v>24</v>
      </c>
      <c r="CA257" s="274">
        <f t="shared" si="158"/>
        <v>0</v>
      </c>
      <c r="CB257" s="275">
        <f t="shared" si="159"/>
        <v>1</v>
      </c>
      <c r="CC257" s="280"/>
    </row>
    <row r="258" spans="1:81">
      <c r="A258" s="279">
        <v>45183</v>
      </c>
      <c r="B258" s="278">
        <f t="shared" si="120"/>
        <v>24</v>
      </c>
      <c r="C258" s="272">
        <f>IFERROR(INDEX('Horo. M'!$C$3:$C$367,MATCH(A258,'Horo. M'!$A$3:$A$367,0)),"")</f>
        <v>0</v>
      </c>
      <c r="D258" s="278"/>
      <c r="E258" s="278"/>
      <c r="F258" s="272">
        <f t="shared" si="121"/>
        <v>24</v>
      </c>
      <c r="G258" s="274">
        <f t="shared" si="122"/>
        <v>0</v>
      </c>
      <c r="H258" s="275">
        <f t="shared" si="123"/>
        <v>1</v>
      </c>
      <c r="I258" s="277"/>
      <c r="J258" s="278">
        <f t="shared" si="124"/>
        <v>24</v>
      </c>
      <c r="K258" s="272">
        <f>IFERROR(INDEX('Horo. M'!$E$3:$E$367,MATCH(A258,'Horo. M'!$A$3:$A$367,0)),"")</f>
        <v>0</v>
      </c>
      <c r="L258" s="273"/>
      <c r="M258" s="273"/>
      <c r="N258" s="272">
        <f t="shared" si="125"/>
        <v>24</v>
      </c>
      <c r="O258" s="274">
        <f t="shared" si="126"/>
        <v>0</v>
      </c>
      <c r="P258" s="275">
        <f t="shared" si="127"/>
        <v>1</v>
      </c>
      <c r="Q258" s="276"/>
      <c r="R258" s="278">
        <f t="shared" si="128"/>
        <v>24</v>
      </c>
      <c r="S258" s="272">
        <f>IFERROR(INDEX('Horo. M'!G$3:$G$367,MATCH(A258,'Horo. M'!$A$3:$A$367,0)),"")</f>
        <v>0</v>
      </c>
      <c r="T258" s="278"/>
      <c r="U258" s="278"/>
      <c r="V258" s="272">
        <f t="shared" si="129"/>
        <v>24</v>
      </c>
      <c r="W258" s="274">
        <f t="shared" si="130"/>
        <v>0</v>
      </c>
      <c r="X258" s="275">
        <f t="shared" si="131"/>
        <v>1</v>
      </c>
      <c r="Y258" s="278"/>
      <c r="Z258" s="278">
        <f t="shared" si="132"/>
        <v>24</v>
      </c>
      <c r="AA258" s="272">
        <f>IFERROR(INDEX('Horo. M'!$I$3:I$367,MATCH(A258,'Horo. M'!$A$3:$A$367,0)),"")</f>
        <v>0</v>
      </c>
      <c r="AB258" s="273"/>
      <c r="AC258" s="273"/>
      <c r="AD258" s="272">
        <f t="shared" si="133"/>
        <v>24</v>
      </c>
      <c r="AE258" s="274">
        <f t="shared" si="134"/>
        <v>0</v>
      </c>
      <c r="AF258" s="275">
        <f t="shared" si="135"/>
        <v>1</v>
      </c>
      <c r="AG258" s="278"/>
      <c r="AH258" s="272">
        <f t="shared" si="136"/>
        <v>24</v>
      </c>
      <c r="AI258" s="272">
        <f>IFERROR(INDEX('Horo. M'!$K$3:K$367,MATCH(A258,'Horo. M'!$A$3:$A$367,0)),"")</f>
        <v>0</v>
      </c>
      <c r="AJ258" s="278"/>
      <c r="AK258" s="278"/>
      <c r="AL258" s="272">
        <f t="shared" si="137"/>
        <v>24</v>
      </c>
      <c r="AM258" s="274">
        <f t="shared" si="138"/>
        <v>0</v>
      </c>
      <c r="AN258" s="275">
        <f t="shared" si="139"/>
        <v>1</v>
      </c>
      <c r="AO258" s="278"/>
      <c r="AP258" s="272">
        <f t="shared" si="140"/>
        <v>24</v>
      </c>
      <c r="AQ258" s="272">
        <f>IFERROR(INDEX('Horo. M'!$M$3:M$367,MATCH(A258,'Horo. M'!$A$3:$A$367,0)),"")</f>
        <v>0</v>
      </c>
      <c r="AR258" s="278"/>
      <c r="AS258" s="278"/>
      <c r="AT258" s="272">
        <f t="shared" si="141"/>
        <v>24</v>
      </c>
      <c r="AU258" s="274">
        <f t="shared" si="142"/>
        <v>0</v>
      </c>
      <c r="AV258" s="275">
        <f t="shared" si="143"/>
        <v>1</v>
      </c>
      <c r="AW258" s="278"/>
      <c r="AX258" s="272">
        <f t="shared" si="144"/>
        <v>24</v>
      </c>
      <c r="AY258" s="272">
        <f>IFERROR(INDEX('Horo. M'!$O$3:O$367,MATCH(A258,'Horo. M'!$A$3:$A$367,0)),"")</f>
        <v>0</v>
      </c>
      <c r="AZ258" s="278"/>
      <c r="BA258" s="278"/>
      <c r="BB258" s="272">
        <f t="shared" si="145"/>
        <v>24</v>
      </c>
      <c r="BC258" s="274">
        <f t="shared" si="146"/>
        <v>0</v>
      </c>
      <c r="BD258" s="275">
        <f t="shared" si="147"/>
        <v>1</v>
      </c>
      <c r="BE258" s="278"/>
      <c r="BF258" s="272">
        <f t="shared" si="148"/>
        <v>24</v>
      </c>
      <c r="BG258" s="272">
        <f>IFERROR(INDEX('Horo. M'!$Q$3:Q$367,MATCH(A258,'Horo. M'!$A$3:$A$367,0)),"")</f>
        <v>0</v>
      </c>
      <c r="BH258" s="278"/>
      <c r="BI258" s="278"/>
      <c r="BJ258" s="272">
        <f t="shared" si="149"/>
        <v>24</v>
      </c>
      <c r="BK258" s="274">
        <f t="shared" si="150"/>
        <v>0</v>
      </c>
      <c r="BL258" s="275">
        <f t="shared" si="151"/>
        <v>1</v>
      </c>
      <c r="BM258" s="278"/>
      <c r="BN258" s="272">
        <f t="shared" si="152"/>
        <v>24</v>
      </c>
      <c r="BO258" s="272">
        <f>IFERROR(INDEX('Horo. M'!$S$3:S$367,MATCH(A258,'Horo. M'!$A$3:$A$367,0)),"")</f>
        <v>0</v>
      </c>
      <c r="BP258" s="278"/>
      <c r="BQ258" s="278"/>
      <c r="BR258" s="272">
        <f t="shared" si="153"/>
        <v>24</v>
      </c>
      <c r="BS258" s="274">
        <f t="shared" si="154"/>
        <v>0</v>
      </c>
      <c r="BT258" s="275">
        <f t="shared" si="155"/>
        <v>1</v>
      </c>
      <c r="BU258" s="278"/>
      <c r="BV258" s="272">
        <f t="shared" si="156"/>
        <v>24</v>
      </c>
      <c r="BW258" s="272">
        <f>IFERROR(INDEX('Horo. M'!$U$3:U$367,MATCH(A258,'Horo. M'!$A$3:$A$367,0)),"")</f>
        <v>0</v>
      </c>
      <c r="BX258" s="278"/>
      <c r="BY258" s="278"/>
      <c r="BZ258" s="272">
        <f t="shared" si="157"/>
        <v>24</v>
      </c>
      <c r="CA258" s="274">
        <f t="shared" si="158"/>
        <v>0</v>
      </c>
      <c r="CB258" s="275">
        <f t="shared" si="159"/>
        <v>1</v>
      </c>
      <c r="CC258" s="280"/>
    </row>
    <row r="259" spans="1:81">
      <c r="A259" s="279">
        <v>45184</v>
      </c>
      <c r="B259" s="278">
        <f t="shared" ref="B259:B322" si="160">24-C259-D259-E259</f>
        <v>24</v>
      </c>
      <c r="C259" s="272">
        <f>IFERROR(INDEX('Horo. M'!$C$3:$C$367,MATCH(A259,'Horo. M'!$A$3:$A$367,0)),"")</f>
        <v>0</v>
      </c>
      <c r="D259" s="278"/>
      <c r="E259" s="278"/>
      <c r="F259" s="272">
        <f t="shared" ref="F259:F322" si="161">24-D259-E259</f>
        <v>24</v>
      </c>
      <c r="G259" s="274">
        <f t="shared" ref="G259:G322" si="162">C259/24</f>
        <v>0</v>
      </c>
      <c r="H259" s="275">
        <f t="shared" ref="H259:H322" si="163">(F259/24)*100%</f>
        <v>1</v>
      </c>
      <c r="I259" s="277"/>
      <c r="J259" s="278">
        <f t="shared" ref="J259:J322" si="164">24-K259-L259-M259</f>
        <v>24</v>
      </c>
      <c r="K259" s="272">
        <f>IFERROR(INDEX('Horo. M'!$E$3:$E$367,MATCH(A259,'Horo. M'!$A$3:$A$367,0)),"")</f>
        <v>0</v>
      </c>
      <c r="L259" s="273"/>
      <c r="M259" s="273"/>
      <c r="N259" s="272">
        <f t="shared" ref="N259:N322" si="165">24-L259-M259</f>
        <v>24</v>
      </c>
      <c r="O259" s="274">
        <f t="shared" ref="O259:O322" si="166">K259/24</f>
        <v>0</v>
      </c>
      <c r="P259" s="275">
        <f t="shared" ref="P259:P322" si="167">(N259/24)*100%</f>
        <v>1</v>
      </c>
      <c r="Q259" s="276"/>
      <c r="R259" s="278">
        <f t="shared" ref="R259:R322" si="168">24-S259-T259-U259</f>
        <v>24</v>
      </c>
      <c r="S259" s="272">
        <f>IFERROR(INDEX('Horo. M'!G$3:$G$367,MATCH(A259,'Horo. M'!$A$3:$A$367,0)),"")</f>
        <v>0</v>
      </c>
      <c r="T259" s="278"/>
      <c r="U259" s="278"/>
      <c r="V259" s="272">
        <f t="shared" ref="V259:V322" si="169">24-T259-U259</f>
        <v>24</v>
      </c>
      <c r="W259" s="274">
        <f t="shared" ref="W259:W322" si="170">S259/24</f>
        <v>0</v>
      </c>
      <c r="X259" s="275">
        <f t="shared" ref="X259:X322" si="171">(V259/24)*100%</f>
        <v>1</v>
      </c>
      <c r="Y259" s="278"/>
      <c r="Z259" s="278">
        <f t="shared" ref="Z259:Z322" si="172">24-AA259-AB259-AC259</f>
        <v>24</v>
      </c>
      <c r="AA259" s="272">
        <f>IFERROR(INDEX('Horo. M'!$I$3:I$367,MATCH(A259,'Horo. M'!$A$3:$A$367,0)),"")</f>
        <v>0</v>
      </c>
      <c r="AB259" s="273"/>
      <c r="AC259" s="273"/>
      <c r="AD259" s="272">
        <f t="shared" ref="AD259:AD322" si="173">24-AB259-AC259</f>
        <v>24</v>
      </c>
      <c r="AE259" s="274">
        <f t="shared" ref="AE259:AE322" si="174">AA259/24</f>
        <v>0</v>
      </c>
      <c r="AF259" s="275">
        <f t="shared" ref="AF259:AF322" si="175">(AD259/24)*100%</f>
        <v>1</v>
      </c>
      <c r="AG259" s="278"/>
      <c r="AH259" s="272">
        <f t="shared" ref="AH259:AH322" si="176">24-AI259-AJ259-AK259</f>
        <v>24</v>
      </c>
      <c r="AI259" s="272">
        <f>IFERROR(INDEX('Horo. M'!$K$3:K$367,MATCH(A259,'Horo. M'!$A$3:$A$367,0)),"")</f>
        <v>0</v>
      </c>
      <c r="AJ259" s="278"/>
      <c r="AK259" s="278"/>
      <c r="AL259" s="272">
        <f t="shared" ref="AL259:AL322" si="177">24-AJ259-AK259</f>
        <v>24</v>
      </c>
      <c r="AM259" s="274">
        <f t="shared" ref="AM259:AM322" si="178">AI259/24</f>
        <v>0</v>
      </c>
      <c r="AN259" s="275">
        <f t="shared" ref="AN259:AN322" si="179">(AL259/24)*100%</f>
        <v>1</v>
      </c>
      <c r="AO259" s="278"/>
      <c r="AP259" s="272">
        <f t="shared" ref="AP259:AP322" si="180">24-AQ259-AR259-AS259</f>
        <v>24</v>
      </c>
      <c r="AQ259" s="272">
        <f>IFERROR(INDEX('Horo. M'!$M$3:M$367,MATCH(A259,'Horo. M'!$A$3:$A$367,0)),"")</f>
        <v>0</v>
      </c>
      <c r="AR259" s="278"/>
      <c r="AS259" s="278"/>
      <c r="AT259" s="272">
        <f t="shared" ref="AT259:AT322" si="181">24-AR259-AS259</f>
        <v>24</v>
      </c>
      <c r="AU259" s="274">
        <f t="shared" ref="AU259:AU322" si="182">AQ259/24</f>
        <v>0</v>
      </c>
      <c r="AV259" s="275">
        <f t="shared" ref="AV259:AV322" si="183">(AT259/24)*100%</f>
        <v>1</v>
      </c>
      <c r="AW259" s="278"/>
      <c r="AX259" s="272">
        <f t="shared" ref="AX259:AX322" si="184">24-AY259-AZ259-BA259</f>
        <v>24</v>
      </c>
      <c r="AY259" s="272">
        <f>IFERROR(INDEX('Horo. M'!$O$3:O$367,MATCH(A259,'Horo. M'!$A$3:$A$367,0)),"")</f>
        <v>0</v>
      </c>
      <c r="AZ259" s="278"/>
      <c r="BA259" s="278"/>
      <c r="BB259" s="272">
        <f t="shared" ref="BB259:BB322" si="185">24-AZ259-BA259</f>
        <v>24</v>
      </c>
      <c r="BC259" s="274">
        <f t="shared" ref="BC259:BC322" si="186">AY259/24</f>
        <v>0</v>
      </c>
      <c r="BD259" s="275">
        <f t="shared" ref="BD259:BD322" si="187">(BB259/24)*100%</f>
        <v>1</v>
      </c>
      <c r="BE259" s="278"/>
      <c r="BF259" s="272">
        <f t="shared" ref="BF259:BF322" si="188">24-BG259-BH259-BI259</f>
        <v>24</v>
      </c>
      <c r="BG259" s="272">
        <f>IFERROR(INDEX('Horo. M'!$Q$3:Q$367,MATCH(A259,'Horo. M'!$A$3:$A$367,0)),"")</f>
        <v>0</v>
      </c>
      <c r="BH259" s="278"/>
      <c r="BI259" s="278"/>
      <c r="BJ259" s="272">
        <f t="shared" ref="BJ259:BJ322" si="189">24-BH259-BI259</f>
        <v>24</v>
      </c>
      <c r="BK259" s="274">
        <f t="shared" ref="BK259:BK322" si="190">BG259/24</f>
        <v>0</v>
      </c>
      <c r="BL259" s="275">
        <f t="shared" ref="BL259:BL322" si="191">(BJ259/24)*100%</f>
        <v>1</v>
      </c>
      <c r="BM259" s="278"/>
      <c r="BN259" s="272">
        <f t="shared" ref="BN259:BN322" si="192">24-BO259-BP259-BQ259</f>
        <v>24</v>
      </c>
      <c r="BO259" s="272">
        <f>IFERROR(INDEX('Horo. M'!$S$3:S$367,MATCH(A259,'Horo. M'!$A$3:$A$367,0)),"")</f>
        <v>0</v>
      </c>
      <c r="BP259" s="278"/>
      <c r="BQ259" s="278"/>
      <c r="BR259" s="272">
        <f t="shared" ref="BR259:BR322" si="193">24-BP259-BQ259</f>
        <v>24</v>
      </c>
      <c r="BS259" s="274">
        <f t="shared" ref="BS259:BS322" si="194">BO259/24</f>
        <v>0</v>
      </c>
      <c r="BT259" s="275">
        <f t="shared" ref="BT259:BT322" si="195">(BR259/24)*100%</f>
        <v>1</v>
      </c>
      <c r="BU259" s="278"/>
      <c r="BV259" s="272">
        <f t="shared" ref="BV259:BV322" si="196">24-BW259-BX259-BY259</f>
        <v>24</v>
      </c>
      <c r="BW259" s="272">
        <f>IFERROR(INDEX('Horo. M'!$U$3:U$367,MATCH(A259,'Horo. M'!$A$3:$A$367,0)),"")</f>
        <v>0</v>
      </c>
      <c r="BX259" s="278"/>
      <c r="BY259" s="278"/>
      <c r="BZ259" s="272">
        <f t="shared" ref="BZ259:BZ322" si="197">24-BX259-BY259</f>
        <v>24</v>
      </c>
      <c r="CA259" s="274">
        <f t="shared" ref="CA259:CA322" si="198">BW259/24</f>
        <v>0</v>
      </c>
      <c r="CB259" s="275">
        <f t="shared" ref="CB259:CB322" si="199">(BZ259/24)*100%</f>
        <v>1</v>
      </c>
      <c r="CC259" s="280"/>
    </row>
    <row r="260" spans="1:81">
      <c r="A260" s="279">
        <v>45185</v>
      </c>
      <c r="B260" s="278">
        <f t="shared" si="160"/>
        <v>24</v>
      </c>
      <c r="C260" s="272">
        <f>IFERROR(INDEX('Horo. M'!$C$3:$C$367,MATCH(A260,'Horo. M'!$A$3:$A$367,0)),"")</f>
        <v>0</v>
      </c>
      <c r="D260" s="278"/>
      <c r="E260" s="278"/>
      <c r="F260" s="272">
        <f t="shared" si="161"/>
        <v>24</v>
      </c>
      <c r="G260" s="274">
        <f t="shared" si="162"/>
        <v>0</v>
      </c>
      <c r="H260" s="275">
        <f t="shared" si="163"/>
        <v>1</v>
      </c>
      <c r="I260" s="277"/>
      <c r="J260" s="278">
        <f t="shared" si="164"/>
        <v>24</v>
      </c>
      <c r="K260" s="272">
        <f>IFERROR(INDEX('Horo. M'!$E$3:$E$367,MATCH(A260,'Horo. M'!$A$3:$A$367,0)),"")</f>
        <v>0</v>
      </c>
      <c r="L260" s="273"/>
      <c r="M260" s="273"/>
      <c r="N260" s="272">
        <f t="shared" si="165"/>
        <v>24</v>
      </c>
      <c r="O260" s="274">
        <f t="shared" si="166"/>
        <v>0</v>
      </c>
      <c r="P260" s="275">
        <f t="shared" si="167"/>
        <v>1</v>
      </c>
      <c r="Q260" s="276"/>
      <c r="R260" s="278">
        <f t="shared" si="168"/>
        <v>24</v>
      </c>
      <c r="S260" s="272">
        <f>IFERROR(INDEX('Horo. M'!G$3:$G$367,MATCH(A260,'Horo. M'!$A$3:$A$367,0)),"")</f>
        <v>0</v>
      </c>
      <c r="T260" s="278"/>
      <c r="U260" s="278"/>
      <c r="V260" s="272">
        <f t="shared" si="169"/>
        <v>24</v>
      </c>
      <c r="W260" s="274">
        <f t="shared" si="170"/>
        <v>0</v>
      </c>
      <c r="X260" s="275">
        <f t="shared" si="171"/>
        <v>1</v>
      </c>
      <c r="Y260" s="278"/>
      <c r="Z260" s="278">
        <f t="shared" si="172"/>
        <v>24</v>
      </c>
      <c r="AA260" s="272">
        <f>IFERROR(INDEX('Horo. M'!$I$3:I$367,MATCH(A260,'Horo. M'!$A$3:$A$367,0)),"")</f>
        <v>0</v>
      </c>
      <c r="AB260" s="273"/>
      <c r="AC260" s="273"/>
      <c r="AD260" s="272">
        <f t="shared" si="173"/>
        <v>24</v>
      </c>
      <c r="AE260" s="274">
        <f t="shared" si="174"/>
        <v>0</v>
      </c>
      <c r="AF260" s="275">
        <f t="shared" si="175"/>
        <v>1</v>
      </c>
      <c r="AG260" s="278"/>
      <c r="AH260" s="272">
        <f t="shared" si="176"/>
        <v>24</v>
      </c>
      <c r="AI260" s="272">
        <f>IFERROR(INDEX('Horo. M'!$K$3:K$367,MATCH(A260,'Horo. M'!$A$3:$A$367,0)),"")</f>
        <v>0</v>
      </c>
      <c r="AJ260" s="278"/>
      <c r="AK260" s="278"/>
      <c r="AL260" s="272">
        <f t="shared" si="177"/>
        <v>24</v>
      </c>
      <c r="AM260" s="274">
        <f t="shared" si="178"/>
        <v>0</v>
      </c>
      <c r="AN260" s="275">
        <f t="shared" si="179"/>
        <v>1</v>
      </c>
      <c r="AO260" s="278"/>
      <c r="AP260" s="272">
        <f t="shared" si="180"/>
        <v>24</v>
      </c>
      <c r="AQ260" s="272">
        <f>IFERROR(INDEX('Horo. M'!$M$3:M$367,MATCH(A260,'Horo. M'!$A$3:$A$367,0)),"")</f>
        <v>0</v>
      </c>
      <c r="AR260" s="278"/>
      <c r="AS260" s="278"/>
      <c r="AT260" s="272">
        <f t="shared" si="181"/>
        <v>24</v>
      </c>
      <c r="AU260" s="274">
        <f t="shared" si="182"/>
        <v>0</v>
      </c>
      <c r="AV260" s="275">
        <f t="shared" si="183"/>
        <v>1</v>
      </c>
      <c r="AW260" s="278"/>
      <c r="AX260" s="272">
        <f t="shared" si="184"/>
        <v>24</v>
      </c>
      <c r="AY260" s="272">
        <f>IFERROR(INDEX('Horo. M'!$O$3:O$367,MATCH(A260,'Horo. M'!$A$3:$A$367,0)),"")</f>
        <v>0</v>
      </c>
      <c r="AZ260" s="278"/>
      <c r="BA260" s="278"/>
      <c r="BB260" s="272">
        <f t="shared" si="185"/>
        <v>24</v>
      </c>
      <c r="BC260" s="274">
        <f t="shared" si="186"/>
        <v>0</v>
      </c>
      <c r="BD260" s="275">
        <f t="shared" si="187"/>
        <v>1</v>
      </c>
      <c r="BE260" s="278"/>
      <c r="BF260" s="272">
        <f t="shared" si="188"/>
        <v>24</v>
      </c>
      <c r="BG260" s="272">
        <f>IFERROR(INDEX('Horo. M'!$Q$3:Q$367,MATCH(A260,'Horo. M'!$A$3:$A$367,0)),"")</f>
        <v>0</v>
      </c>
      <c r="BH260" s="278"/>
      <c r="BI260" s="278"/>
      <c r="BJ260" s="272">
        <f t="shared" si="189"/>
        <v>24</v>
      </c>
      <c r="BK260" s="274">
        <f t="shared" si="190"/>
        <v>0</v>
      </c>
      <c r="BL260" s="275">
        <f t="shared" si="191"/>
        <v>1</v>
      </c>
      <c r="BM260" s="278"/>
      <c r="BN260" s="272">
        <f t="shared" si="192"/>
        <v>24</v>
      </c>
      <c r="BO260" s="272">
        <f>IFERROR(INDEX('Horo. M'!$S$3:S$367,MATCH(A260,'Horo. M'!$A$3:$A$367,0)),"")</f>
        <v>0</v>
      </c>
      <c r="BP260" s="278"/>
      <c r="BQ260" s="278"/>
      <c r="BR260" s="272">
        <f t="shared" si="193"/>
        <v>24</v>
      </c>
      <c r="BS260" s="274">
        <f t="shared" si="194"/>
        <v>0</v>
      </c>
      <c r="BT260" s="275">
        <f t="shared" si="195"/>
        <v>1</v>
      </c>
      <c r="BU260" s="278"/>
      <c r="BV260" s="272">
        <f t="shared" si="196"/>
        <v>24</v>
      </c>
      <c r="BW260" s="272">
        <f>IFERROR(INDEX('Horo. M'!$U$3:U$367,MATCH(A260,'Horo. M'!$A$3:$A$367,0)),"")</f>
        <v>0</v>
      </c>
      <c r="BX260" s="278"/>
      <c r="BY260" s="278"/>
      <c r="BZ260" s="272">
        <f t="shared" si="197"/>
        <v>24</v>
      </c>
      <c r="CA260" s="274">
        <f t="shared" si="198"/>
        <v>0</v>
      </c>
      <c r="CB260" s="275">
        <f t="shared" si="199"/>
        <v>1</v>
      </c>
      <c r="CC260" s="280"/>
    </row>
    <row r="261" spans="1:81">
      <c r="A261" s="279">
        <v>45186</v>
      </c>
      <c r="B261" s="278">
        <f t="shared" si="160"/>
        <v>24</v>
      </c>
      <c r="C261" s="272">
        <f>IFERROR(INDEX('Horo. M'!$C$3:$C$367,MATCH(A261,'Horo. M'!$A$3:$A$367,0)),"")</f>
        <v>0</v>
      </c>
      <c r="D261" s="278"/>
      <c r="E261" s="278"/>
      <c r="F261" s="272">
        <f t="shared" si="161"/>
        <v>24</v>
      </c>
      <c r="G261" s="274">
        <f t="shared" si="162"/>
        <v>0</v>
      </c>
      <c r="H261" s="275">
        <f t="shared" si="163"/>
        <v>1</v>
      </c>
      <c r="I261" s="277"/>
      <c r="J261" s="278">
        <f t="shared" si="164"/>
        <v>24</v>
      </c>
      <c r="K261" s="272">
        <f>IFERROR(INDEX('Horo. M'!$E$3:$E$367,MATCH(A261,'Horo. M'!$A$3:$A$367,0)),"")</f>
        <v>0</v>
      </c>
      <c r="L261" s="273"/>
      <c r="M261" s="273"/>
      <c r="N261" s="272">
        <f t="shared" si="165"/>
        <v>24</v>
      </c>
      <c r="O261" s="274">
        <f t="shared" si="166"/>
        <v>0</v>
      </c>
      <c r="P261" s="275">
        <f t="shared" si="167"/>
        <v>1</v>
      </c>
      <c r="Q261" s="276"/>
      <c r="R261" s="278">
        <f t="shared" si="168"/>
        <v>24</v>
      </c>
      <c r="S261" s="272">
        <f>IFERROR(INDEX('Horo. M'!G$3:$G$367,MATCH(A261,'Horo. M'!$A$3:$A$367,0)),"")</f>
        <v>0</v>
      </c>
      <c r="T261" s="278"/>
      <c r="U261" s="278"/>
      <c r="V261" s="272">
        <f t="shared" si="169"/>
        <v>24</v>
      </c>
      <c r="W261" s="274">
        <f t="shared" si="170"/>
        <v>0</v>
      </c>
      <c r="X261" s="275">
        <f t="shared" si="171"/>
        <v>1</v>
      </c>
      <c r="Y261" s="278"/>
      <c r="Z261" s="278">
        <f t="shared" si="172"/>
        <v>24</v>
      </c>
      <c r="AA261" s="272">
        <f>IFERROR(INDEX('Horo. M'!$I$3:I$367,MATCH(A261,'Horo. M'!$A$3:$A$367,0)),"")</f>
        <v>0</v>
      </c>
      <c r="AB261" s="273"/>
      <c r="AC261" s="273"/>
      <c r="AD261" s="272">
        <f t="shared" si="173"/>
        <v>24</v>
      </c>
      <c r="AE261" s="274">
        <f t="shared" si="174"/>
        <v>0</v>
      </c>
      <c r="AF261" s="275">
        <f t="shared" si="175"/>
        <v>1</v>
      </c>
      <c r="AG261" s="278"/>
      <c r="AH261" s="272">
        <f t="shared" si="176"/>
        <v>24</v>
      </c>
      <c r="AI261" s="272">
        <f>IFERROR(INDEX('Horo. M'!$K$3:K$367,MATCH(A261,'Horo. M'!$A$3:$A$367,0)),"")</f>
        <v>0</v>
      </c>
      <c r="AJ261" s="278"/>
      <c r="AK261" s="278"/>
      <c r="AL261" s="272">
        <f t="shared" si="177"/>
        <v>24</v>
      </c>
      <c r="AM261" s="274">
        <f t="shared" si="178"/>
        <v>0</v>
      </c>
      <c r="AN261" s="275">
        <f t="shared" si="179"/>
        <v>1</v>
      </c>
      <c r="AO261" s="278"/>
      <c r="AP261" s="272">
        <f t="shared" si="180"/>
        <v>24</v>
      </c>
      <c r="AQ261" s="272">
        <f>IFERROR(INDEX('Horo. M'!$M$3:M$367,MATCH(A261,'Horo. M'!$A$3:$A$367,0)),"")</f>
        <v>0</v>
      </c>
      <c r="AR261" s="278"/>
      <c r="AS261" s="278"/>
      <c r="AT261" s="272">
        <f t="shared" si="181"/>
        <v>24</v>
      </c>
      <c r="AU261" s="274">
        <f t="shared" si="182"/>
        <v>0</v>
      </c>
      <c r="AV261" s="275">
        <f t="shared" si="183"/>
        <v>1</v>
      </c>
      <c r="AW261" s="278"/>
      <c r="AX261" s="272">
        <f t="shared" si="184"/>
        <v>24</v>
      </c>
      <c r="AY261" s="272">
        <f>IFERROR(INDEX('Horo. M'!$O$3:O$367,MATCH(A261,'Horo. M'!$A$3:$A$367,0)),"")</f>
        <v>0</v>
      </c>
      <c r="AZ261" s="278"/>
      <c r="BA261" s="278"/>
      <c r="BB261" s="272">
        <f t="shared" si="185"/>
        <v>24</v>
      </c>
      <c r="BC261" s="274">
        <f t="shared" si="186"/>
        <v>0</v>
      </c>
      <c r="BD261" s="275">
        <f t="shared" si="187"/>
        <v>1</v>
      </c>
      <c r="BE261" s="278"/>
      <c r="BF261" s="272">
        <f t="shared" si="188"/>
        <v>24</v>
      </c>
      <c r="BG261" s="272">
        <f>IFERROR(INDEX('Horo. M'!$Q$3:Q$367,MATCH(A261,'Horo. M'!$A$3:$A$367,0)),"")</f>
        <v>0</v>
      </c>
      <c r="BH261" s="278"/>
      <c r="BI261" s="278"/>
      <c r="BJ261" s="272">
        <f t="shared" si="189"/>
        <v>24</v>
      </c>
      <c r="BK261" s="274">
        <f t="shared" si="190"/>
        <v>0</v>
      </c>
      <c r="BL261" s="275">
        <f t="shared" si="191"/>
        <v>1</v>
      </c>
      <c r="BM261" s="278"/>
      <c r="BN261" s="272">
        <f t="shared" si="192"/>
        <v>24</v>
      </c>
      <c r="BO261" s="272">
        <f>IFERROR(INDEX('Horo. M'!$S$3:S$367,MATCH(A261,'Horo. M'!$A$3:$A$367,0)),"")</f>
        <v>0</v>
      </c>
      <c r="BP261" s="278"/>
      <c r="BQ261" s="278"/>
      <c r="BR261" s="272">
        <f t="shared" si="193"/>
        <v>24</v>
      </c>
      <c r="BS261" s="274">
        <f t="shared" si="194"/>
        <v>0</v>
      </c>
      <c r="BT261" s="275">
        <f t="shared" si="195"/>
        <v>1</v>
      </c>
      <c r="BU261" s="278"/>
      <c r="BV261" s="272">
        <f t="shared" si="196"/>
        <v>24</v>
      </c>
      <c r="BW261" s="272">
        <f>IFERROR(INDEX('Horo. M'!$U$3:U$367,MATCH(A261,'Horo. M'!$A$3:$A$367,0)),"")</f>
        <v>0</v>
      </c>
      <c r="BX261" s="278"/>
      <c r="BY261" s="278"/>
      <c r="BZ261" s="272">
        <f t="shared" si="197"/>
        <v>24</v>
      </c>
      <c r="CA261" s="274">
        <f t="shared" si="198"/>
        <v>0</v>
      </c>
      <c r="CB261" s="275">
        <f t="shared" si="199"/>
        <v>1</v>
      </c>
      <c r="CC261" s="280"/>
    </row>
    <row r="262" spans="1:81">
      <c r="A262" s="279">
        <v>45187</v>
      </c>
      <c r="B262" s="278">
        <f t="shared" si="160"/>
        <v>24</v>
      </c>
      <c r="C262" s="272">
        <f>IFERROR(INDEX('Horo. M'!$C$3:$C$367,MATCH(A262,'Horo. M'!$A$3:$A$367,0)),"")</f>
        <v>0</v>
      </c>
      <c r="D262" s="278"/>
      <c r="E262" s="278"/>
      <c r="F262" s="272">
        <f t="shared" si="161"/>
        <v>24</v>
      </c>
      <c r="G262" s="274">
        <f t="shared" si="162"/>
        <v>0</v>
      </c>
      <c r="H262" s="275">
        <f t="shared" si="163"/>
        <v>1</v>
      </c>
      <c r="I262" s="277"/>
      <c r="J262" s="278">
        <f t="shared" si="164"/>
        <v>24</v>
      </c>
      <c r="K262" s="272">
        <f>IFERROR(INDEX('Horo. M'!$E$3:$E$367,MATCH(A262,'Horo. M'!$A$3:$A$367,0)),"")</f>
        <v>0</v>
      </c>
      <c r="L262" s="273"/>
      <c r="M262" s="273"/>
      <c r="N262" s="272">
        <f t="shared" si="165"/>
        <v>24</v>
      </c>
      <c r="O262" s="274">
        <f t="shared" si="166"/>
        <v>0</v>
      </c>
      <c r="P262" s="275">
        <f t="shared" si="167"/>
        <v>1</v>
      </c>
      <c r="Q262" s="276"/>
      <c r="R262" s="278">
        <f t="shared" si="168"/>
        <v>24</v>
      </c>
      <c r="S262" s="272">
        <f>IFERROR(INDEX('Horo. M'!G$3:$G$367,MATCH(A262,'Horo. M'!$A$3:$A$367,0)),"")</f>
        <v>0</v>
      </c>
      <c r="T262" s="278"/>
      <c r="U262" s="278"/>
      <c r="V262" s="272">
        <f t="shared" si="169"/>
        <v>24</v>
      </c>
      <c r="W262" s="274">
        <f t="shared" si="170"/>
        <v>0</v>
      </c>
      <c r="X262" s="275">
        <f t="shared" si="171"/>
        <v>1</v>
      </c>
      <c r="Y262" s="278"/>
      <c r="Z262" s="278">
        <f t="shared" si="172"/>
        <v>24</v>
      </c>
      <c r="AA262" s="272">
        <f>IFERROR(INDEX('Horo. M'!$I$3:I$367,MATCH(A262,'Horo. M'!$A$3:$A$367,0)),"")</f>
        <v>0</v>
      </c>
      <c r="AB262" s="273"/>
      <c r="AC262" s="273"/>
      <c r="AD262" s="272">
        <f t="shared" si="173"/>
        <v>24</v>
      </c>
      <c r="AE262" s="274">
        <f t="shared" si="174"/>
        <v>0</v>
      </c>
      <c r="AF262" s="275">
        <f t="shared" si="175"/>
        <v>1</v>
      </c>
      <c r="AG262" s="278"/>
      <c r="AH262" s="272">
        <f t="shared" si="176"/>
        <v>24</v>
      </c>
      <c r="AI262" s="272">
        <f>IFERROR(INDEX('Horo. M'!$K$3:K$367,MATCH(A262,'Horo. M'!$A$3:$A$367,0)),"")</f>
        <v>0</v>
      </c>
      <c r="AJ262" s="278"/>
      <c r="AK262" s="278"/>
      <c r="AL262" s="272">
        <f t="shared" si="177"/>
        <v>24</v>
      </c>
      <c r="AM262" s="274">
        <f t="shared" si="178"/>
        <v>0</v>
      </c>
      <c r="AN262" s="275">
        <f t="shared" si="179"/>
        <v>1</v>
      </c>
      <c r="AO262" s="278"/>
      <c r="AP262" s="272">
        <f t="shared" si="180"/>
        <v>24</v>
      </c>
      <c r="AQ262" s="272">
        <f>IFERROR(INDEX('Horo. M'!$M$3:M$367,MATCH(A262,'Horo. M'!$A$3:$A$367,0)),"")</f>
        <v>0</v>
      </c>
      <c r="AR262" s="278"/>
      <c r="AS262" s="278"/>
      <c r="AT262" s="272">
        <f t="shared" si="181"/>
        <v>24</v>
      </c>
      <c r="AU262" s="274">
        <f t="shared" si="182"/>
        <v>0</v>
      </c>
      <c r="AV262" s="275">
        <f t="shared" si="183"/>
        <v>1</v>
      </c>
      <c r="AW262" s="278"/>
      <c r="AX262" s="272">
        <f t="shared" si="184"/>
        <v>24</v>
      </c>
      <c r="AY262" s="272">
        <f>IFERROR(INDEX('Horo. M'!$O$3:O$367,MATCH(A262,'Horo. M'!$A$3:$A$367,0)),"")</f>
        <v>0</v>
      </c>
      <c r="AZ262" s="278"/>
      <c r="BA262" s="278"/>
      <c r="BB262" s="272">
        <f t="shared" si="185"/>
        <v>24</v>
      </c>
      <c r="BC262" s="274">
        <f t="shared" si="186"/>
        <v>0</v>
      </c>
      <c r="BD262" s="275">
        <f t="shared" si="187"/>
        <v>1</v>
      </c>
      <c r="BE262" s="278"/>
      <c r="BF262" s="272">
        <f t="shared" si="188"/>
        <v>24</v>
      </c>
      <c r="BG262" s="272">
        <f>IFERROR(INDEX('Horo. M'!$Q$3:Q$367,MATCH(A262,'Horo. M'!$A$3:$A$367,0)),"")</f>
        <v>0</v>
      </c>
      <c r="BH262" s="278"/>
      <c r="BI262" s="278"/>
      <c r="BJ262" s="272">
        <f t="shared" si="189"/>
        <v>24</v>
      </c>
      <c r="BK262" s="274">
        <f t="shared" si="190"/>
        <v>0</v>
      </c>
      <c r="BL262" s="275">
        <f t="shared" si="191"/>
        <v>1</v>
      </c>
      <c r="BM262" s="278"/>
      <c r="BN262" s="272">
        <f t="shared" si="192"/>
        <v>24</v>
      </c>
      <c r="BO262" s="272">
        <f>IFERROR(INDEX('Horo. M'!$S$3:S$367,MATCH(A262,'Horo. M'!$A$3:$A$367,0)),"")</f>
        <v>0</v>
      </c>
      <c r="BP262" s="278"/>
      <c r="BQ262" s="278"/>
      <c r="BR262" s="272">
        <f t="shared" si="193"/>
        <v>24</v>
      </c>
      <c r="BS262" s="274">
        <f t="shared" si="194"/>
        <v>0</v>
      </c>
      <c r="BT262" s="275">
        <f t="shared" si="195"/>
        <v>1</v>
      </c>
      <c r="BU262" s="278"/>
      <c r="BV262" s="272">
        <f t="shared" si="196"/>
        <v>24</v>
      </c>
      <c r="BW262" s="272">
        <f>IFERROR(INDEX('Horo. M'!$U$3:U$367,MATCH(A262,'Horo. M'!$A$3:$A$367,0)),"")</f>
        <v>0</v>
      </c>
      <c r="BX262" s="278"/>
      <c r="BY262" s="278"/>
      <c r="BZ262" s="272">
        <f t="shared" si="197"/>
        <v>24</v>
      </c>
      <c r="CA262" s="274">
        <f t="shared" si="198"/>
        <v>0</v>
      </c>
      <c r="CB262" s="275">
        <f t="shared" si="199"/>
        <v>1</v>
      </c>
      <c r="CC262" s="280"/>
    </row>
    <row r="263" spans="1:81">
      <c r="A263" s="279">
        <v>45188</v>
      </c>
      <c r="B263" s="278">
        <f t="shared" si="160"/>
        <v>24</v>
      </c>
      <c r="C263" s="272">
        <f>IFERROR(INDEX('Horo. M'!$C$3:$C$367,MATCH(A263,'Horo. M'!$A$3:$A$367,0)),"")</f>
        <v>0</v>
      </c>
      <c r="D263" s="278"/>
      <c r="E263" s="278"/>
      <c r="F263" s="272">
        <f t="shared" si="161"/>
        <v>24</v>
      </c>
      <c r="G263" s="274">
        <f t="shared" si="162"/>
        <v>0</v>
      </c>
      <c r="H263" s="275">
        <f t="shared" si="163"/>
        <v>1</v>
      </c>
      <c r="I263" s="277"/>
      <c r="J263" s="278">
        <f t="shared" si="164"/>
        <v>24</v>
      </c>
      <c r="K263" s="272">
        <f>IFERROR(INDEX('Horo. M'!$E$3:$E$367,MATCH(A263,'Horo. M'!$A$3:$A$367,0)),"")</f>
        <v>0</v>
      </c>
      <c r="L263" s="273"/>
      <c r="M263" s="273"/>
      <c r="N263" s="272">
        <f t="shared" si="165"/>
        <v>24</v>
      </c>
      <c r="O263" s="274">
        <f t="shared" si="166"/>
        <v>0</v>
      </c>
      <c r="P263" s="275">
        <f t="shared" si="167"/>
        <v>1</v>
      </c>
      <c r="Q263" s="276"/>
      <c r="R263" s="278">
        <f t="shared" si="168"/>
        <v>24</v>
      </c>
      <c r="S263" s="272">
        <f>IFERROR(INDEX('Horo. M'!G$3:$G$367,MATCH(A263,'Horo. M'!$A$3:$A$367,0)),"")</f>
        <v>0</v>
      </c>
      <c r="T263" s="278"/>
      <c r="U263" s="278"/>
      <c r="V263" s="272">
        <f t="shared" si="169"/>
        <v>24</v>
      </c>
      <c r="W263" s="274">
        <f t="shared" si="170"/>
        <v>0</v>
      </c>
      <c r="X263" s="275">
        <f t="shared" si="171"/>
        <v>1</v>
      </c>
      <c r="Y263" s="278"/>
      <c r="Z263" s="278">
        <f t="shared" si="172"/>
        <v>24</v>
      </c>
      <c r="AA263" s="272">
        <f>IFERROR(INDEX('Horo. M'!$I$3:I$367,MATCH(A263,'Horo. M'!$A$3:$A$367,0)),"")</f>
        <v>0</v>
      </c>
      <c r="AB263" s="273"/>
      <c r="AC263" s="273"/>
      <c r="AD263" s="272">
        <f t="shared" si="173"/>
        <v>24</v>
      </c>
      <c r="AE263" s="274">
        <f t="shared" si="174"/>
        <v>0</v>
      </c>
      <c r="AF263" s="275">
        <f t="shared" si="175"/>
        <v>1</v>
      </c>
      <c r="AG263" s="278"/>
      <c r="AH263" s="272">
        <f t="shared" si="176"/>
        <v>24</v>
      </c>
      <c r="AI263" s="272">
        <f>IFERROR(INDEX('Horo. M'!$K$3:K$367,MATCH(A263,'Horo. M'!$A$3:$A$367,0)),"")</f>
        <v>0</v>
      </c>
      <c r="AJ263" s="278"/>
      <c r="AK263" s="278"/>
      <c r="AL263" s="272">
        <f t="shared" si="177"/>
        <v>24</v>
      </c>
      <c r="AM263" s="274">
        <f t="shared" si="178"/>
        <v>0</v>
      </c>
      <c r="AN263" s="275">
        <f t="shared" si="179"/>
        <v>1</v>
      </c>
      <c r="AO263" s="278"/>
      <c r="AP263" s="272">
        <f t="shared" si="180"/>
        <v>24</v>
      </c>
      <c r="AQ263" s="272">
        <f>IFERROR(INDEX('Horo. M'!$M$3:M$367,MATCH(A263,'Horo. M'!$A$3:$A$367,0)),"")</f>
        <v>0</v>
      </c>
      <c r="AR263" s="278"/>
      <c r="AS263" s="278"/>
      <c r="AT263" s="272">
        <f t="shared" si="181"/>
        <v>24</v>
      </c>
      <c r="AU263" s="274">
        <f t="shared" si="182"/>
        <v>0</v>
      </c>
      <c r="AV263" s="275">
        <f t="shared" si="183"/>
        <v>1</v>
      </c>
      <c r="AW263" s="278"/>
      <c r="AX263" s="272">
        <f t="shared" si="184"/>
        <v>24</v>
      </c>
      <c r="AY263" s="272">
        <f>IFERROR(INDEX('Horo. M'!$O$3:O$367,MATCH(A263,'Horo. M'!$A$3:$A$367,0)),"")</f>
        <v>0</v>
      </c>
      <c r="AZ263" s="278"/>
      <c r="BA263" s="278"/>
      <c r="BB263" s="272">
        <f t="shared" si="185"/>
        <v>24</v>
      </c>
      <c r="BC263" s="274">
        <f t="shared" si="186"/>
        <v>0</v>
      </c>
      <c r="BD263" s="275">
        <f t="shared" si="187"/>
        <v>1</v>
      </c>
      <c r="BE263" s="278"/>
      <c r="BF263" s="272">
        <f t="shared" si="188"/>
        <v>24</v>
      </c>
      <c r="BG263" s="272">
        <f>IFERROR(INDEX('Horo. M'!$Q$3:Q$367,MATCH(A263,'Horo. M'!$A$3:$A$367,0)),"")</f>
        <v>0</v>
      </c>
      <c r="BH263" s="278"/>
      <c r="BI263" s="278"/>
      <c r="BJ263" s="272">
        <f t="shared" si="189"/>
        <v>24</v>
      </c>
      <c r="BK263" s="274">
        <f t="shared" si="190"/>
        <v>0</v>
      </c>
      <c r="BL263" s="275">
        <f t="shared" si="191"/>
        <v>1</v>
      </c>
      <c r="BM263" s="278"/>
      <c r="BN263" s="272">
        <f t="shared" si="192"/>
        <v>24</v>
      </c>
      <c r="BO263" s="272">
        <f>IFERROR(INDEX('Horo. M'!$S$3:S$367,MATCH(A263,'Horo. M'!$A$3:$A$367,0)),"")</f>
        <v>0</v>
      </c>
      <c r="BP263" s="278"/>
      <c r="BQ263" s="278"/>
      <c r="BR263" s="272">
        <f t="shared" si="193"/>
        <v>24</v>
      </c>
      <c r="BS263" s="274">
        <f t="shared" si="194"/>
        <v>0</v>
      </c>
      <c r="BT263" s="275">
        <f t="shared" si="195"/>
        <v>1</v>
      </c>
      <c r="BU263" s="278"/>
      <c r="BV263" s="272">
        <f t="shared" si="196"/>
        <v>24</v>
      </c>
      <c r="BW263" s="272">
        <f>IFERROR(INDEX('Horo. M'!$U$3:U$367,MATCH(A263,'Horo. M'!$A$3:$A$367,0)),"")</f>
        <v>0</v>
      </c>
      <c r="BX263" s="278"/>
      <c r="BY263" s="278"/>
      <c r="BZ263" s="272">
        <f t="shared" si="197"/>
        <v>24</v>
      </c>
      <c r="CA263" s="274">
        <f t="shared" si="198"/>
        <v>0</v>
      </c>
      <c r="CB263" s="275">
        <f t="shared" si="199"/>
        <v>1</v>
      </c>
      <c r="CC263" s="280"/>
    </row>
    <row r="264" spans="1:81">
      <c r="A264" s="279">
        <v>45189</v>
      </c>
      <c r="B264" s="278">
        <f t="shared" si="160"/>
        <v>24</v>
      </c>
      <c r="C264" s="272">
        <f>IFERROR(INDEX('Horo. M'!$C$3:$C$367,MATCH(A264,'Horo. M'!$A$3:$A$367,0)),"")</f>
        <v>0</v>
      </c>
      <c r="D264" s="278"/>
      <c r="E264" s="278"/>
      <c r="F264" s="272">
        <f t="shared" si="161"/>
        <v>24</v>
      </c>
      <c r="G264" s="274">
        <f t="shared" si="162"/>
        <v>0</v>
      </c>
      <c r="H264" s="275">
        <f t="shared" si="163"/>
        <v>1</v>
      </c>
      <c r="I264" s="277"/>
      <c r="J264" s="278">
        <f t="shared" si="164"/>
        <v>24</v>
      </c>
      <c r="K264" s="272">
        <f>IFERROR(INDEX('Horo. M'!$E$3:$E$367,MATCH(A264,'Horo. M'!$A$3:$A$367,0)),"")</f>
        <v>0</v>
      </c>
      <c r="L264" s="273"/>
      <c r="M264" s="273"/>
      <c r="N264" s="272">
        <f t="shared" si="165"/>
        <v>24</v>
      </c>
      <c r="O264" s="274">
        <f t="shared" si="166"/>
        <v>0</v>
      </c>
      <c r="P264" s="275">
        <f t="shared" si="167"/>
        <v>1</v>
      </c>
      <c r="Q264" s="276"/>
      <c r="R264" s="278">
        <f t="shared" si="168"/>
        <v>24</v>
      </c>
      <c r="S264" s="272">
        <f>IFERROR(INDEX('Horo. M'!G$3:$G$367,MATCH(A264,'Horo. M'!$A$3:$A$367,0)),"")</f>
        <v>0</v>
      </c>
      <c r="T264" s="278"/>
      <c r="U264" s="278"/>
      <c r="V264" s="272">
        <f t="shared" si="169"/>
        <v>24</v>
      </c>
      <c r="W264" s="274">
        <f t="shared" si="170"/>
        <v>0</v>
      </c>
      <c r="X264" s="275">
        <f t="shared" si="171"/>
        <v>1</v>
      </c>
      <c r="Y264" s="278"/>
      <c r="Z264" s="278">
        <f t="shared" si="172"/>
        <v>24</v>
      </c>
      <c r="AA264" s="272">
        <f>IFERROR(INDEX('Horo. M'!$I$3:I$367,MATCH(A264,'Horo. M'!$A$3:$A$367,0)),"")</f>
        <v>0</v>
      </c>
      <c r="AB264" s="273"/>
      <c r="AC264" s="273"/>
      <c r="AD264" s="272">
        <f t="shared" si="173"/>
        <v>24</v>
      </c>
      <c r="AE264" s="274">
        <f t="shared" si="174"/>
        <v>0</v>
      </c>
      <c r="AF264" s="275">
        <f t="shared" si="175"/>
        <v>1</v>
      </c>
      <c r="AG264" s="278"/>
      <c r="AH264" s="272">
        <f t="shared" si="176"/>
        <v>24</v>
      </c>
      <c r="AI264" s="272">
        <f>IFERROR(INDEX('Horo. M'!$K$3:K$367,MATCH(A264,'Horo. M'!$A$3:$A$367,0)),"")</f>
        <v>0</v>
      </c>
      <c r="AJ264" s="278"/>
      <c r="AK264" s="278"/>
      <c r="AL264" s="272">
        <f t="shared" si="177"/>
        <v>24</v>
      </c>
      <c r="AM264" s="274">
        <f t="shared" si="178"/>
        <v>0</v>
      </c>
      <c r="AN264" s="275">
        <f t="shared" si="179"/>
        <v>1</v>
      </c>
      <c r="AO264" s="278"/>
      <c r="AP264" s="272">
        <f t="shared" si="180"/>
        <v>24</v>
      </c>
      <c r="AQ264" s="272">
        <f>IFERROR(INDEX('Horo. M'!$M$3:M$367,MATCH(A264,'Horo. M'!$A$3:$A$367,0)),"")</f>
        <v>0</v>
      </c>
      <c r="AR264" s="278"/>
      <c r="AS264" s="278"/>
      <c r="AT264" s="272">
        <f t="shared" si="181"/>
        <v>24</v>
      </c>
      <c r="AU264" s="274">
        <f t="shared" si="182"/>
        <v>0</v>
      </c>
      <c r="AV264" s="275">
        <f t="shared" si="183"/>
        <v>1</v>
      </c>
      <c r="AW264" s="278"/>
      <c r="AX264" s="272">
        <f t="shared" si="184"/>
        <v>24</v>
      </c>
      <c r="AY264" s="272">
        <f>IFERROR(INDEX('Horo. M'!$O$3:O$367,MATCH(A264,'Horo. M'!$A$3:$A$367,0)),"")</f>
        <v>0</v>
      </c>
      <c r="AZ264" s="278"/>
      <c r="BA264" s="278"/>
      <c r="BB264" s="272">
        <f t="shared" si="185"/>
        <v>24</v>
      </c>
      <c r="BC264" s="274">
        <f t="shared" si="186"/>
        <v>0</v>
      </c>
      <c r="BD264" s="275">
        <f t="shared" si="187"/>
        <v>1</v>
      </c>
      <c r="BE264" s="278"/>
      <c r="BF264" s="272">
        <f t="shared" si="188"/>
        <v>24</v>
      </c>
      <c r="BG264" s="272">
        <f>IFERROR(INDEX('Horo. M'!$Q$3:Q$367,MATCH(A264,'Horo. M'!$A$3:$A$367,0)),"")</f>
        <v>0</v>
      </c>
      <c r="BH264" s="278"/>
      <c r="BI264" s="278"/>
      <c r="BJ264" s="272">
        <f t="shared" si="189"/>
        <v>24</v>
      </c>
      <c r="BK264" s="274">
        <f t="shared" si="190"/>
        <v>0</v>
      </c>
      <c r="BL264" s="275">
        <f t="shared" si="191"/>
        <v>1</v>
      </c>
      <c r="BM264" s="278"/>
      <c r="BN264" s="272">
        <f t="shared" si="192"/>
        <v>24</v>
      </c>
      <c r="BO264" s="272">
        <f>IFERROR(INDEX('Horo. M'!$S$3:S$367,MATCH(A264,'Horo. M'!$A$3:$A$367,0)),"")</f>
        <v>0</v>
      </c>
      <c r="BP264" s="278"/>
      <c r="BQ264" s="278"/>
      <c r="BR264" s="272">
        <f t="shared" si="193"/>
        <v>24</v>
      </c>
      <c r="BS264" s="274">
        <f t="shared" si="194"/>
        <v>0</v>
      </c>
      <c r="BT264" s="275">
        <f t="shared" si="195"/>
        <v>1</v>
      </c>
      <c r="BU264" s="278"/>
      <c r="BV264" s="272">
        <f t="shared" si="196"/>
        <v>24</v>
      </c>
      <c r="BW264" s="272">
        <f>IFERROR(INDEX('Horo. M'!$U$3:U$367,MATCH(A264,'Horo. M'!$A$3:$A$367,0)),"")</f>
        <v>0</v>
      </c>
      <c r="BX264" s="278"/>
      <c r="BY264" s="278"/>
      <c r="BZ264" s="272">
        <f t="shared" si="197"/>
        <v>24</v>
      </c>
      <c r="CA264" s="274">
        <f t="shared" si="198"/>
        <v>0</v>
      </c>
      <c r="CB264" s="275">
        <f t="shared" si="199"/>
        <v>1</v>
      </c>
      <c r="CC264" s="280"/>
    </row>
    <row r="265" spans="1:81">
      <c r="A265" s="279">
        <v>45190</v>
      </c>
      <c r="B265" s="278">
        <f t="shared" si="160"/>
        <v>24</v>
      </c>
      <c r="C265" s="272">
        <f>IFERROR(INDEX('Horo. M'!$C$3:$C$367,MATCH(A265,'Horo. M'!$A$3:$A$367,0)),"")</f>
        <v>0</v>
      </c>
      <c r="D265" s="278"/>
      <c r="E265" s="278"/>
      <c r="F265" s="272">
        <f t="shared" si="161"/>
        <v>24</v>
      </c>
      <c r="G265" s="274">
        <f t="shared" si="162"/>
        <v>0</v>
      </c>
      <c r="H265" s="275">
        <f t="shared" si="163"/>
        <v>1</v>
      </c>
      <c r="I265" s="277"/>
      <c r="J265" s="278">
        <f t="shared" si="164"/>
        <v>24</v>
      </c>
      <c r="K265" s="272">
        <f>IFERROR(INDEX('Horo. M'!$E$3:$E$367,MATCH(A265,'Horo. M'!$A$3:$A$367,0)),"")</f>
        <v>0</v>
      </c>
      <c r="L265" s="273"/>
      <c r="M265" s="273"/>
      <c r="N265" s="272">
        <f t="shared" si="165"/>
        <v>24</v>
      </c>
      <c r="O265" s="274">
        <f t="shared" si="166"/>
        <v>0</v>
      </c>
      <c r="P265" s="275">
        <f t="shared" si="167"/>
        <v>1</v>
      </c>
      <c r="Q265" s="276"/>
      <c r="R265" s="278">
        <f t="shared" si="168"/>
        <v>24</v>
      </c>
      <c r="S265" s="272">
        <f>IFERROR(INDEX('Horo. M'!G$3:$G$367,MATCH(A265,'Horo. M'!$A$3:$A$367,0)),"")</f>
        <v>0</v>
      </c>
      <c r="T265" s="278"/>
      <c r="U265" s="278"/>
      <c r="V265" s="272">
        <f t="shared" si="169"/>
        <v>24</v>
      </c>
      <c r="W265" s="274">
        <f t="shared" si="170"/>
        <v>0</v>
      </c>
      <c r="X265" s="275">
        <f t="shared" si="171"/>
        <v>1</v>
      </c>
      <c r="Y265" s="278"/>
      <c r="Z265" s="278">
        <f t="shared" si="172"/>
        <v>24</v>
      </c>
      <c r="AA265" s="272">
        <f>IFERROR(INDEX('Horo. M'!$I$3:I$367,MATCH(A265,'Horo. M'!$A$3:$A$367,0)),"")</f>
        <v>0</v>
      </c>
      <c r="AB265" s="273"/>
      <c r="AC265" s="273"/>
      <c r="AD265" s="272">
        <f t="shared" si="173"/>
        <v>24</v>
      </c>
      <c r="AE265" s="274">
        <f t="shared" si="174"/>
        <v>0</v>
      </c>
      <c r="AF265" s="275">
        <f t="shared" si="175"/>
        <v>1</v>
      </c>
      <c r="AG265" s="278"/>
      <c r="AH265" s="272">
        <f t="shared" si="176"/>
        <v>24</v>
      </c>
      <c r="AI265" s="272">
        <f>IFERROR(INDEX('Horo. M'!$K$3:K$367,MATCH(A265,'Horo. M'!$A$3:$A$367,0)),"")</f>
        <v>0</v>
      </c>
      <c r="AJ265" s="278"/>
      <c r="AK265" s="278"/>
      <c r="AL265" s="272">
        <f t="shared" si="177"/>
        <v>24</v>
      </c>
      <c r="AM265" s="274">
        <f t="shared" si="178"/>
        <v>0</v>
      </c>
      <c r="AN265" s="275">
        <f t="shared" si="179"/>
        <v>1</v>
      </c>
      <c r="AO265" s="278"/>
      <c r="AP265" s="272">
        <f t="shared" si="180"/>
        <v>24</v>
      </c>
      <c r="AQ265" s="272">
        <f>IFERROR(INDEX('Horo. M'!$M$3:M$367,MATCH(A265,'Horo. M'!$A$3:$A$367,0)),"")</f>
        <v>0</v>
      </c>
      <c r="AR265" s="278"/>
      <c r="AS265" s="278"/>
      <c r="AT265" s="272">
        <f t="shared" si="181"/>
        <v>24</v>
      </c>
      <c r="AU265" s="274">
        <f t="shared" si="182"/>
        <v>0</v>
      </c>
      <c r="AV265" s="275">
        <f t="shared" si="183"/>
        <v>1</v>
      </c>
      <c r="AW265" s="278"/>
      <c r="AX265" s="272">
        <f t="shared" si="184"/>
        <v>24</v>
      </c>
      <c r="AY265" s="272">
        <f>IFERROR(INDEX('Horo. M'!$O$3:O$367,MATCH(A265,'Horo. M'!$A$3:$A$367,0)),"")</f>
        <v>0</v>
      </c>
      <c r="AZ265" s="278"/>
      <c r="BA265" s="278"/>
      <c r="BB265" s="272">
        <f t="shared" si="185"/>
        <v>24</v>
      </c>
      <c r="BC265" s="274">
        <f t="shared" si="186"/>
        <v>0</v>
      </c>
      <c r="BD265" s="275">
        <f t="shared" si="187"/>
        <v>1</v>
      </c>
      <c r="BE265" s="278"/>
      <c r="BF265" s="272">
        <f t="shared" si="188"/>
        <v>24</v>
      </c>
      <c r="BG265" s="272">
        <f>IFERROR(INDEX('Horo. M'!$Q$3:Q$367,MATCH(A265,'Horo. M'!$A$3:$A$367,0)),"")</f>
        <v>0</v>
      </c>
      <c r="BH265" s="278"/>
      <c r="BI265" s="278"/>
      <c r="BJ265" s="272">
        <f t="shared" si="189"/>
        <v>24</v>
      </c>
      <c r="BK265" s="274">
        <f t="shared" si="190"/>
        <v>0</v>
      </c>
      <c r="BL265" s="275">
        <f t="shared" si="191"/>
        <v>1</v>
      </c>
      <c r="BM265" s="278"/>
      <c r="BN265" s="272">
        <f t="shared" si="192"/>
        <v>24</v>
      </c>
      <c r="BO265" s="272">
        <f>IFERROR(INDEX('Horo. M'!$S$3:S$367,MATCH(A265,'Horo. M'!$A$3:$A$367,0)),"")</f>
        <v>0</v>
      </c>
      <c r="BP265" s="278"/>
      <c r="BQ265" s="278"/>
      <c r="BR265" s="272">
        <f t="shared" si="193"/>
        <v>24</v>
      </c>
      <c r="BS265" s="274">
        <f t="shared" si="194"/>
        <v>0</v>
      </c>
      <c r="BT265" s="275">
        <f t="shared" si="195"/>
        <v>1</v>
      </c>
      <c r="BU265" s="278"/>
      <c r="BV265" s="272">
        <f t="shared" si="196"/>
        <v>24</v>
      </c>
      <c r="BW265" s="272">
        <f>IFERROR(INDEX('Horo. M'!$U$3:U$367,MATCH(A265,'Horo. M'!$A$3:$A$367,0)),"")</f>
        <v>0</v>
      </c>
      <c r="BX265" s="278"/>
      <c r="BY265" s="278"/>
      <c r="BZ265" s="272">
        <f t="shared" si="197"/>
        <v>24</v>
      </c>
      <c r="CA265" s="274">
        <f t="shared" si="198"/>
        <v>0</v>
      </c>
      <c r="CB265" s="275">
        <f t="shared" si="199"/>
        <v>1</v>
      </c>
      <c r="CC265" s="280"/>
    </row>
    <row r="266" spans="1:81">
      <c r="A266" s="279">
        <v>45191</v>
      </c>
      <c r="B266" s="278">
        <f t="shared" si="160"/>
        <v>24</v>
      </c>
      <c r="C266" s="272">
        <f>IFERROR(INDEX('Horo. M'!$C$3:$C$367,MATCH(A266,'Horo. M'!$A$3:$A$367,0)),"")</f>
        <v>0</v>
      </c>
      <c r="D266" s="278"/>
      <c r="E266" s="278"/>
      <c r="F266" s="272">
        <f t="shared" si="161"/>
        <v>24</v>
      </c>
      <c r="G266" s="274">
        <f t="shared" si="162"/>
        <v>0</v>
      </c>
      <c r="H266" s="275">
        <f t="shared" si="163"/>
        <v>1</v>
      </c>
      <c r="I266" s="277"/>
      <c r="J266" s="278">
        <f t="shared" si="164"/>
        <v>24</v>
      </c>
      <c r="K266" s="272">
        <f>IFERROR(INDEX('Horo. M'!$E$3:$E$367,MATCH(A266,'Horo. M'!$A$3:$A$367,0)),"")</f>
        <v>0</v>
      </c>
      <c r="L266" s="273"/>
      <c r="M266" s="273"/>
      <c r="N266" s="272">
        <f t="shared" si="165"/>
        <v>24</v>
      </c>
      <c r="O266" s="274">
        <f t="shared" si="166"/>
        <v>0</v>
      </c>
      <c r="P266" s="275">
        <f t="shared" si="167"/>
        <v>1</v>
      </c>
      <c r="Q266" s="276"/>
      <c r="R266" s="278">
        <f t="shared" si="168"/>
        <v>24</v>
      </c>
      <c r="S266" s="272">
        <f>IFERROR(INDEX('Horo. M'!G$3:$G$367,MATCH(A266,'Horo. M'!$A$3:$A$367,0)),"")</f>
        <v>0</v>
      </c>
      <c r="T266" s="278"/>
      <c r="U266" s="278"/>
      <c r="V266" s="272">
        <f t="shared" si="169"/>
        <v>24</v>
      </c>
      <c r="W266" s="274">
        <f t="shared" si="170"/>
        <v>0</v>
      </c>
      <c r="X266" s="275">
        <f t="shared" si="171"/>
        <v>1</v>
      </c>
      <c r="Y266" s="278"/>
      <c r="Z266" s="278">
        <f t="shared" si="172"/>
        <v>24</v>
      </c>
      <c r="AA266" s="272">
        <f>IFERROR(INDEX('Horo. M'!$I$3:I$367,MATCH(A266,'Horo. M'!$A$3:$A$367,0)),"")</f>
        <v>0</v>
      </c>
      <c r="AB266" s="273"/>
      <c r="AC266" s="273"/>
      <c r="AD266" s="272">
        <f t="shared" si="173"/>
        <v>24</v>
      </c>
      <c r="AE266" s="274">
        <f t="shared" si="174"/>
        <v>0</v>
      </c>
      <c r="AF266" s="275">
        <f t="shared" si="175"/>
        <v>1</v>
      </c>
      <c r="AG266" s="278"/>
      <c r="AH266" s="272">
        <f t="shared" si="176"/>
        <v>24</v>
      </c>
      <c r="AI266" s="272">
        <f>IFERROR(INDEX('Horo. M'!$K$3:K$367,MATCH(A266,'Horo. M'!$A$3:$A$367,0)),"")</f>
        <v>0</v>
      </c>
      <c r="AJ266" s="278"/>
      <c r="AK266" s="278"/>
      <c r="AL266" s="272">
        <f t="shared" si="177"/>
        <v>24</v>
      </c>
      <c r="AM266" s="274">
        <f t="shared" si="178"/>
        <v>0</v>
      </c>
      <c r="AN266" s="275">
        <f t="shared" si="179"/>
        <v>1</v>
      </c>
      <c r="AO266" s="278"/>
      <c r="AP266" s="272">
        <f t="shared" si="180"/>
        <v>24</v>
      </c>
      <c r="AQ266" s="272">
        <f>IFERROR(INDEX('Horo. M'!$M$3:M$367,MATCH(A266,'Horo. M'!$A$3:$A$367,0)),"")</f>
        <v>0</v>
      </c>
      <c r="AR266" s="278"/>
      <c r="AS266" s="278"/>
      <c r="AT266" s="272">
        <f t="shared" si="181"/>
        <v>24</v>
      </c>
      <c r="AU266" s="274">
        <f t="shared" si="182"/>
        <v>0</v>
      </c>
      <c r="AV266" s="275">
        <f t="shared" si="183"/>
        <v>1</v>
      </c>
      <c r="AW266" s="278"/>
      <c r="AX266" s="272">
        <f t="shared" si="184"/>
        <v>24</v>
      </c>
      <c r="AY266" s="272">
        <f>IFERROR(INDEX('Horo. M'!$O$3:O$367,MATCH(A266,'Horo. M'!$A$3:$A$367,0)),"")</f>
        <v>0</v>
      </c>
      <c r="AZ266" s="278"/>
      <c r="BA266" s="278"/>
      <c r="BB266" s="272">
        <f t="shared" si="185"/>
        <v>24</v>
      </c>
      <c r="BC266" s="274">
        <f t="shared" si="186"/>
        <v>0</v>
      </c>
      <c r="BD266" s="275">
        <f t="shared" si="187"/>
        <v>1</v>
      </c>
      <c r="BE266" s="278"/>
      <c r="BF266" s="272">
        <f t="shared" si="188"/>
        <v>24</v>
      </c>
      <c r="BG266" s="272">
        <f>IFERROR(INDEX('Horo. M'!$Q$3:Q$367,MATCH(A266,'Horo. M'!$A$3:$A$367,0)),"")</f>
        <v>0</v>
      </c>
      <c r="BH266" s="278"/>
      <c r="BI266" s="278"/>
      <c r="BJ266" s="272">
        <f t="shared" si="189"/>
        <v>24</v>
      </c>
      <c r="BK266" s="274">
        <f t="shared" si="190"/>
        <v>0</v>
      </c>
      <c r="BL266" s="275">
        <f t="shared" si="191"/>
        <v>1</v>
      </c>
      <c r="BM266" s="278"/>
      <c r="BN266" s="272">
        <f t="shared" si="192"/>
        <v>24</v>
      </c>
      <c r="BO266" s="272">
        <f>IFERROR(INDEX('Horo. M'!$S$3:S$367,MATCH(A266,'Horo. M'!$A$3:$A$367,0)),"")</f>
        <v>0</v>
      </c>
      <c r="BP266" s="278"/>
      <c r="BQ266" s="278"/>
      <c r="BR266" s="272">
        <f t="shared" si="193"/>
        <v>24</v>
      </c>
      <c r="BS266" s="274">
        <f t="shared" si="194"/>
        <v>0</v>
      </c>
      <c r="BT266" s="275">
        <f t="shared" si="195"/>
        <v>1</v>
      </c>
      <c r="BU266" s="278"/>
      <c r="BV266" s="272">
        <f t="shared" si="196"/>
        <v>24</v>
      </c>
      <c r="BW266" s="272">
        <f>IFERROR(INDEX('Horo. M'!$U$3:U$367,MATCH(A266,'Horo. M'!$A$3:$A$367,0)),"")</f>
        <v>0</v>
      </c>
      <c r="BX266" s="278"/>
      <c r="BY266" s="278"/>
      <c r="BZ266" s="272">
        <f t="shared" si="197"/>
        <v>24</v>
      </c>
      <c r="CA266" s="274">
        <f t="shared" si="198"/>
        <v>0</v>
      </c>
      <c r="CB266" s="275">
        <f t="shared" si="199"/>
        <v>1</v>
      </c>
      <c r="CC266" s="280"/>
    </row>
    <row r="267" spans="1:81">
      <c r="A267" s="279">
        <v>45192</v>
      </c>
      <c r="B267" s="278">
        <f t="shared" si="160"/>
        <v>24</v>
      </c>
      <c r="C267" s="272">
        <f>IFERROR(INDEX('Horo. M'!$C$3:$C$367,MATCH(A267,'Horo. M'!$A$3:$A$367,0)),"")</f>
        <v>0</v>
      </c>
      <c r="D267" s="278"/>
      <c r="E267" s="278"/>
      <c r="F267" s="272">
        <f t="shared" si="161"/>
        <v>24</v>
      </c>
      <c r="G267" s="274">
        <f t="shared" si="162"/>
        <v>0</v>
      </c>
      <c r="H267" s="275">
        <f t="shared" si="163"/>
        <v>1</v>
      </c>
      <c r="I267" s="277"/>
      <c r="J267" s="278">
        <f t="shared" si="164"/>
        <v>24</v>
      </c>
      <c r="K267" s="272">
        <f>IFERROR(INDEX('Horo. M'!$E$3:$E$367,MATCH(A267,'Horo. M'!$A$3:$A$367,0)),"")</f>
        <v>0</v>
      </c>
      <c r="L267" s="273"/>
      <c r="M267" s="273"/>
      <c r="N267" s="272">
        <f t="shared" si="165"/>
        <v>24</v>
      </c>
      <c r="O267" s="274">
        <f t="shared" si="166"/>
        <v>0</v>
      </c>
      <c r="P267" s="275">
        <f t="shared" si="167"/>
        <v>1</v>
      </c>
      <c r="Q267" s="276"/>
      <c r="R267" s="278">
        <f t="shared" si="168"/>
        <v>24</v>
      </c>
      <c r="S267" s="272">
        <f>IFERROR(INDEX('Horo. M'!G$3:$G$367,MATCH(A267,'Horo. M'!$A$3:$A$367,0)),"")</f>
        <v>0</v>
      </c>
      <c r="T267" s="278"/>
      <c r="U267" s="278"/>
      <c r="V267" s="272">
        <f t="shared" si="169"/>
        <v>24</v>
      </c>
      <c r="W267" s="274">
        <f t="shared" si="170"/>
        <v>0</v>
      </c>
      <c r="X267" s="275">
        <f t="shared" si="171"/>
        <v>1</v>
      </c>
      <c r="Y267" s="278"/>
      <c r="Z267" s="278">
        <f t="shared" si="172"/>
        <v>24</v>
      </c>
      <c r="AA267" s="272">
        <f>IFERROR(INDEX('Horo. M'!$I$3:I$367,MATCH(A267,'Horo. M'!$A$3:$A$367,0)),"")</f>
        <v>0</v>
      </c>
      <c r="AB267" s="273"/>
      <c r="AC267" s="273"/>
      <c r="AD267" s="272">
        <f t="shared" si="173"/>
        <v>24</v>
      </c>
      <c r="AE267" s="274">
        <f t="shared" si="174"/>
        <v>0</v>
      </c>
      <c r="AF267" s="275">
        <f t="shared" si="175"/>
        <v>1</v>
      </c>
      <c r="AG267" s="278"/>
      <c r="AH267" s="272">
        <f t="shared" si="176"/>
        <v>24</v>
      </c>
      <c r="AI267" s="272">
        <f>IFERROR(INDEX('Horo. M'!$K$3:K$367,MATCH(A267,'Horo. M'!$A$3:$A$367,0)),"")</f>
        <v>0</v>
      </c>
      <c r="AJ267" s="278"/>
      <c r="AK267" s="278"/>
      <c r="AL267" s="272">
        <f t="shared" si="177"/>
        <v>24</v>
      </c>
      <c r="AM267" s="274">
        <f t="shared" si="178"/>
        <v>0</v>
      </c>
      <c r="AN267" s="275">
        <f t="shared" si="179"/>
        <v>1</v>
      </c>
      <c r="AO267" s="278"/>
      <c r="AP267" s="272">
        <f t="shared" si="180"/>
        <v>24</v>
      </c>
      <c r="AQ267" s="272">
        <f>IFERROR(INDEX('Horo. M'!$M$3:M$367,MATCH(A267,'Horo. M'!$A$3:$A$367,0)),"")</f>
        <v>0</v>
      </c>
      <c r="AR267" s="278"/>
      <c r="AS267" s="278"/>
      <c r="AT267" s="272">
        <f t="shared" si="181"/>
        <v>24</v>
      </c>
      <c r="AU267" s="274">
        <f t="shared" si="182"/>
        <v>0</v>
      </c>
      <c r="AV267" s="275">
        <f t="shared" si="183"/>
        <v>1</v>
      </c>
      <c r="AW267" s="278"/>
      <c r="AX267" s="272">
        <f t="shared" si="184"/>
        <v>24</v>
      </c>
      <c r="AY267" s="272">
        <f>IFERROR(INDEX('Horo. M'!$O$3:O$367,MATCH(A267,'Horo. M'!$A$3:$A$367,0)),"")</f>
        <v>0</v>
      </c>
      <c r="AZ267" s="278"/>
      <c r="BA267" s="278"/>
      <c r="BB267" s="272">
        <f t="shared" si="185"/>
        <v>24</v>
      </c>
      <c r="BC267" s="274">
        <f t="shared" si="186"/>
        <v>0</v>
      </c>
      <c r="BD267" s="275">
        <f t="shared" si="187"/>
        <v>1</v>
      </c>
      <c r="BE267" s="278"/>
      <c r="BF267" s="272">
        <f t="shared" si="188"/>
        <v>24</v>
      </c>
      <c r="BG267" s="272">
        <f>IFERROR(INDEX('Horo. M'!$Q$3:Q$367,MATCH(A267,'Horo. M'!$A$3:$A$367,0)),"")</f>
        <v>0</v>
      </c>
      <c r="BH267" s="278"/>
      <c r="BI267" s="278"/>
      <c r="BJ267" s="272">
        <f t="shared" si="189"/>
        <v>24</v>
      </c>
      <c r="BK267" s="274">
        <f t="shared" si="190"/>
        <v>0</v>
      </c>
      <c r="BL267" s="275">
        <f t="shared" si="191"/>
        <v>1</v>
      </c>
      <c r="BM267" s="278"/>
      <c r="BN267" s="272">
        <f t="shared" si="192"/>
        <v>24</v>
      </c>
      <c r="BO267" s="272">
        <f>IFERROR(INDEX('Horo. M'!$S$3:S$367,MATCH(A267,'Horo. M'!$A$3:$A$367,0)),"")</f>
        <v>0</v>
      </c>
      <c r="BP267" s="278"/>
      <c r="BQ267" s="278"/>
      <c r="BR267" s="272">
        <f t="shared" si="193"/>
        <v>24</v>
      </c>
      <c r="BS267" s="274">
        <f t="shared" si="194"/>
        <v>0</v>
      </c>
      <c r="BT267" s="275">
        <f t="shared" si="195"/>
        <v>1</v>
      </c>
      <c r="BU267" s="278"/>
      <c r="BV267" s="272">
        <f t="shared" si="196"/>
        <v>24</v>
      </c>
      <c r="BW267" s="272">
        <f>IFERROR(INDEX('Horo. M'!$U$3:U$367,MATCH(A267,'Horo. M'!$A$3:$A$367,0)),"")</f>
        <v>0</v>
      </c>
      <c r="BX267" s="278"/>
      <c r="BY267" s="278"/>
      <c r="BZ267" s="272">
        <f t="shared" si="197"/>
        <v>24</v>
      </c>
      <c r="CA267" s="274">
        <f t="shared" si="198"/>
        <v>0</v>
      </c>
      <c r="CB267" s="275">
        <f t="shared" si="199"/>
        <v>1</v>
      </c>
      <c r="CC267" s="280"/>
    </row>
    <row r="268" spans="1:81">
      <c r="A268" s="279">
        <v>45193</v>
      </c>
      <c r="B268" s="278">
        <f t="shared" si="160"/>
        <v>24</v>
      </c>
      <c r="C268" s="272">
        <f>IFERROR(INDEX('Horo. M'!$C$3:$C$367,MATCH(A268,'Horo. M'!$A$3:$A$367,0)),"")</f>
        <v>0</v>
      </c>
      <c r="D268" s="278"/>
      <c r="E268" s="278"/>
      <c r="F268" s="272">
        <f t="shared" si="161"/>
        <v>24</v>
      </c>
      <c r="G268" s="274">
        <f t="shared" si="162"/>
        <v>0</v>
      </c>
      <c r="H268" s="275">
        <f t="shared" si="163"/>
        <v>1</v>
      </c>
      <c r="I268" s="277"/>
      <c r="J268" s="278">
        <f t="shared" si="164"/>
        <v>24</v>
      </c>
      <c r="K268" s="272">
        <f>IFERROR(INDEX('Horo. M'!$E$3:$E$367,MATCH(A268,'Horo. M'!$A$3:$A$367,0)),"")</f>
        <v>0</v>
      </c>
      <c r="L268" s="273"/>
      <c r="M268" s="273"/>
      <c r="N268" s="272">
        <f t="shared" si="165"/>
        <v>24</v>
      </c>
      <c r="O268" s="274">
        <f t="shared" si="166"/>
        <v>0</v>
      </c>
      <c r="P268" s="275">
        <f t="shared" si="167"/>
        <v>1</v>
      </c>
      <c r="Q268" s="276"/>
      <c r="R268" s="278">
        <f t="shared" si="168"/>
        <v>24</v>
      </c>
      <c r="S268" s="272">
        <f>IFERROR(INDEX('Horo. M'!G$3:$G$367,MATCH(A268,'Horo. M'!$A$3:$A$367,0)),"")</f>
        <v>0</v>
      </c>
      <c r="T268" s="278"/>
      <c r="U268" s="278"/>
      <c r="V268" s="272">
        <f t="shared" si="169"/>
        <v>24</v>
      </c>
      <c r="W268" s="274">
        <f t="shared" si="170"/>
        <v>0</v>
      </c>
      <c r="X268" s="275">
        <f t="shared" si="171"/>
        <v>1</v>
      </c>
      <c r="Y268" s="278"/>
      <c r="Z268" s="278">
        <f t="shared" si="172"/>
        <v>24</v>
      </c>
      <c r="AA268" s="272">
        <f>IFERROR(INDEX('Horo. M'!$I$3:I$367,MATCH(A268,'Horo. M'!$A$3:$A$367,0)),"")</f>
        <v>0</v>
      </c>
      <c r="AB268" s="273"/>
      <c r="AC268" s="273"/>
      <c r="AD268" s="272">
        <f t="shared" si="173"/>
        <v>24</v>
      </c>
      <c r="AE268" s="274">
        <f t="shared" si="174"/>
        <v>0</v>
      </c>
      <c r="AF268" s="275">
        <f t="shared" si="175"/>
        <v>1</v>
      </c>
      <c r="AG268" s="278"/>
      <c r="AH268" s="272">
        <f t="shared" si="176"/>
        <v>24</v>
      </c>
      <c r="AI268" s="272">
        <f>IFERROR(INDEX('Horo. M'!$K$3:K$367,MATCH(A268,'Horo. M'!$A$3:$A$367,0)),"")</f>
        <v>0</v>
      </c>
      <c r="AJ268" s="278"/>
      <c r="AK268" s="278"/>
      <c r="AL268" s="272">
        <f t="shared" si="177"/>
        <v>24</v>
      </c>
      <c r="AM268" s="274">
        <f t="shared" si="178"/>
        <v>0</v>
      </c>
      <c r="AN268" s="275">
        <f t="shared" si="179"/>
        <v>1</v>
      </c>
      <c r="AO268" s="278"/>
      <c r="AP268" s="272">
        <f t="shared" si="180"/>
        <v>24</v>
      </c>
      <c r="AQ268" s="272">
        <f>IFERROR(INDEX('Horo. M'!$M$3:M$367,MATCH(A268,'Horo. M'!$A$3:$A$367,0)),"")</f>
        <v>0</v>
      </c>
      <c r="AR268" s="278"/>
      <c r="AS268" s="278"/>
      <c r="AT268" s="272">
        <f t="shared" si="181"/>
        <v>24</v>
      </c>
      <c r="AU268" s="274">
        <f t="shared" si="182"/>
        <v>0</v>
      </c>
      <c r="AV268" s="275">
        <f t="shared" si="183"/>
        <v>1</v>
      </c>
      <c r="AW268" s="278"/>
      <c r="AX268" s="272">
        <f t="shared" si="184"/>
        <v>24</v>
      </c>
      <c r="AY268" s="272">
        <f>IFERROR(INDEX('Horo. M'!$O$3:O$367,MATCH(A268,'Horo. M'!$A$3:$A$367,0)),"")</f>
        <v>0</v>
      </c>
      <c r="AZ268" s="278"/>
      <c r="BA268" s="278"/>
      <c r="BB268" s="272">
        <f t="shared" si="185"/>
        <v>24</v>
      </c>
      <c r="BC268" s="274">
        <f t="shared" si="186"/>
        <v>0</v>
      </c>
      <c r="BD268" s="275">
        <f t="shared" si="187"/>
        <v>1</v>
      </c>
      <c r="BE268" s="278"/>
      <c r="BF268" s="272">
        <f t="shared" si="188"/>
        <v>24</v>
      </c>
      <c r="BG268" s="272">
        <f>IFERROR(INDEX('Horo. M'!$Q$3:Q$367,MATCH(A268,'Horo. M'!$A$3:$A$367,0)),"")</f>
        <v>0</v>
      </c>
      <c r="BH268" s="278"/>
      <c r="BI268" s="278"/>
      <c r="BJ268" s="272">
        <f t="shared" si="189"/>
        <v>24</v>
      </c>
      <c r="BK268" s="274">
        <f t="shared" si="190"/>
        <v>0</v>
      </c>
      <c r="BL268" s="275">
        <f t="shared" si="191"/>
        <v>1</v>
      </c>
      <c r="BM268" s="278"/>
      <c r="BN268" s="272">
        <f t="shared" si="192"/>
        <v>24</v>
      </c>
      <c r="BO268" s="272">
        <f>IFERROR(INDEX('Horo. M'!$S$3:S$367,MATCH(A268,'Horo. M'!$A$3:$A$367,0)),"")</f>
        <v>0</v>
      </c>
      <c r="BP268" s="278"/>
      <c r="BQ268" s="278"/>
      <c r="BR268" s="272">
        <f t="shared" si="193"/>
        <v>24</v>
      </c>
      <c r="BS268" s="274">
        <f t="shared" si="194"/>
        <v>0</v>
      </c>
      <c r="BT268" s="275">
        <f t="shared" si="195"/>
        <v>1</v>
      </c>
      <c r="BU268" s="278"/>
      <c r="BV268" s="272">
        <f t="shared" si="196"/>
        <v>24</v>
      </c>
      <c r="BW268" s="272">
        <f>IFERROR(INDEX('Horo. M'!$U$3:U$367,MATCH(A268,'Horo. M'!$A$3:$A$367,0)),"")</f>
        <v>0</v>
      </c>
      <c r="BX268" s="278"/>
      <c r="BY268" s="278"/>
      <c r="BZ268" s="272">
        <f t="shared" si="197"/>
        <v>24</v>
      </c>
      <c r="CA268" s="274">
        <f t="shared" si="198"/>
        <v>0</v>
      </c>
      <c r="CB268" s="275">
        <f t="shared" si="199"/>
        <v>1</v>
      </c>
      <c r="CC268" s="280"/>
    </row>
    <row r="269" spans="1:81">
      <c r="A269" s="279">
        <v>45194</v>
      </c>
      <c r="B269" s="278">
        <f t="shared" si="160"/>
        <v>24</v>
      </c>
      <c r="C269" s="272">
        <f>IFERROR(INDEX('Horo. M'!$C$3:$C$367,MATCH(A269,'Horo. M'!$A$3:$A$367,0)),"")</f>
        <v>0</v>
      </c>
      <c r="D269" s="278"/>
      <c r="E269" s="278"/>
      <c r="F269" s="272">
        <f t="shared" si="161"/>
        <v>24</v>
      </c>
      <c r="G269" s="274">
        <f t="shared" si="162"/>
        <v>0</v>
      </c>
      <c r="H269" s="275">
        <f t="shared" si="163"/>
        <v>1</v>
      </c>
      <c r="I269" s="277"/>
      <c r="J269" s="278">
        <f t="shared" si="164"/>
        <v>24</v>
      </c>
      <c r="K269" s="272">
        <f>IFERROR(INDEX('Horo. M'!$E$3:$E$367,MATCH(A269,'Horo. M'!$A$3:$A$367,0)),"")</f>
        <v>0</v>
      </c>
      <c r="L269" s="273"/>
      <c r="M269" s="273"/>
      <c r="N269" s="272">
        <f t="shared" si="165"/>
        <v>24</v>
      </c>
      <c r="O269" s="274">
        <f t="shared" si="166"/>
        <v>0</v>
      </c>
      <c r="P269" s="275">
        <f t="shared" si="167"/>
        <v>1</v>
      </c>
      <c r="Q269" s="276"/>
      <c r="R269" s="278">
        <f t="shared" si="168"/>
        <v>24</v>
      </c>
      <c r="S269" s="272">
        <f>IFERROR(INDEX('Horo. M'!G$3:$G$367,MATCH(A269,'Horo. M'!$A$3:$A$367,0)),"")</f>
        <v>0</v>
      </c>
      <c r="T269" s="278"/>
      <c r="U269" s="278"/>
      <c r="V269" s="272">
        <f t="shared" si="169"/>
        <v>24</v>
      </c>
      <c r="W269" s="274">
        <f t="shared" si="170"/>
        <v>0</v>
      </c>
      <c r="X269" s="275">
        <f t="shared" si="171"/>
        <v>1</v>
      </c>
      <c r="Y269" s="278"/>
      <c r="Z269" s="278">
        <f t="shared" si="172"/>
        <v>24</v>
      </c>
      <c r="AA269" s="272">
        <f>IFERROR(INDEX('Horo. M'!$I$3:I$367,MATCH(A269,'Horo. M'!$A$3:$A$367,0)),"")</f>
        <v>0</v>
      </c>
      <c r="AB269" s="273"/>
      <c r="AC269" s="273"/>
      <c r="AD269" s="272">
        <f t="shared" si="173"/>
        <v>24</v>
      </c>
      <c r="AE269" s="274">
        <f t="shared" si="174"/>
        <v>0</v>
      </c>
      <c r="AF269" s="275">
        <f t="shared" si="175"/>
        <v>1</v>
      </c>
      <c r="AG269" s="278"/>
      <c r="AH269" s="272">
        <f t="shared" si="176"/>
        <v>24</v>
      </c>
      <c r="AI269" s="272">
        <f>IFERROR(INDEX('Horo. M'!$K$3:K$367,MATCH(A269,'Horo. M'!$A$3:$A$367,0)),"")</f>
        <v>0</v>
      </c>
      <c r="AJ269" s="278"/>
      <c r="AK269" s="278"/>
      <c r="AL269" s="272">
        <f t="shared" si="177"/>
        <v>24</v>
      </c>
      <c r="AM269" s="274">
        <f t="shared" si="178"/>
        <v>0</v>
      </c>
      <c r="AN269" s="275">
        <f t="shared" si="179"/>
        <v>1</v>
      </c>
      <c r="AO269" s="278"/>
      <c r="AP269" s="272">
        <f t="shared" si="180"/>
        <v>24</v>
      </c>
      <c r="AQ269" s="272">
        <f>IFERROR(INDEX('Horo. M'!$M$3:M$367,MATCH(A269,'Horo. M'!$A$3:$A$367,0)),"")</f>
        <v>0</v>
      </c>
      <c r="AR269" s="278"/>
      <c r="AS269" s="278"/>
      <c r="AT269" s="272">
        <f t="shared" si="181"/>
        <v>24</v>
      </c>
      <c r="AU269" s="274">
        <f t="shared" si="182"/>
        <v>0</v>
      </c>
      <c r="AV269" s="275">
        <f t="shared" si="183"/>
        <v>1</v>
      </c>
      <c r="AW269" s="278"/>
      <c r="AX269" s="272">
        <f t="shared" si="184"/>
        <v>24</v>
      </c>
      <c r="AY269" s="272">
        <f>IFERROR(INDEX('Horo. M'!$O$3:O$367,MATCH(A269,'Horo. M'!$A$3:$A$367,0)),"")</f>
        <v>0</v>
      </c>
      <c r="AZ269" s="278"/>
      <c r="BA269" s="278"/>
      <c r="BB269" s="272">
        <f t="shared" si="185"/>
        <v>24</v>
      </c>
      <c r="BC269" s="274">
        <f t="shared" si="186"/>
        <v>0</v>
      </c>
      <c r="BD269" s="275">
        <f t="shared" si="187"/>
        <v>1</v>
      </c>
      <c r="BE269" s="278"/>
      <c r="BF269" s="272">
        <f t="shared" si="188"/>
        <v>24</v>
      </c>
      <c r="BG269" s="272">
        <f>IFERROR(INDEX('Horo. M'!$Q$3:Q$367,MATCH(A269,'Horo. M'!$A$3:$A$367,0)),"")</f>
        <v>0</v>
      </c>
      <c r="BH269" s="278"/>
      <c r="BI269" s="278"/>
      <c r="BJ269" s="272">
        <f t="shared" si="189"/>
        <v>24</v>
      </c>
      <c r="BK269" s="274">
        <f t="shared" si="190"/>
        <v>0</v>
      </c>
      <c r="BL269" s="275">
        <f t="shared" si="191"/>
        <v>1</v>
      </c>
      <c r="BM269" s="278"/>
      <c r="BN269" s="272">
        <f t="shared" si="192"/>
        <v>24</v>
      </c>
      <c r="BO269" s="272">
        <f>IFERROR(INDEX('Horo. M'!$S$3:S$367,MATCH(A269,'Horo. M'!$A$3:$A$367,0)),"")</f>
        <v>0</v>
      </c>
      <c r="BP269" s="278"/>
      <c r="BQ269" s="278"/>
      <c r="BR269" s="272">
        <f t="shared" si="193"/>
        <v>24</v>
      </c>
      <c r="BS269" s="274">
        <f t="shared" si="194"/>
        <v>0</v>
      </c>
      <c r="BT269" s="275">
        <f t="shared" si="195"/>
        <v>1</v>
      </c>
      <c r="BU269" s="278"/>
      <c r="BV269" s="272">
        <f t="shared" si="196"/>
        <v>24</v>
      </c>
      <c r="BW269" s="272">
        <f>IFERROR(INDEX('Horo. M'!$U$3:U$367,MATCH(A269,'Horo. M'!$A$3:$A$367,0)),"")</f>
        <v>0</v>
      </c>
      <c r="BX269" s="278"/>
      <c r="BY269" s="278"/>
      <c r="BZ269" s="272">
        <f t="shared" si="197"/>
        <v>24</v>
      </c>
      <c r="CA269" s="274">
        <f t="shared" si="198"/>
        <v>0</v>
      </c>
      <c r="CB269" s="275">
        <f t="shared" si="199"/>
        <v>1</v>
      </c>
      <c r="CC269" s="280"/>
    </row>
    <row r="270" spans="1:81">
      <c r="A270" s="279">
        <v>45195</v>
      </c>
      <c r="B270" s="278">
        <f t="shared" si="160"/>
        <v>24</v>
      </c>
      <c r="C270" s="272">
        <f>IFERROR(INDEX('Horo. M'!$C$3:$C$367,MATCH(A270,'Horo. M'!$A$3:$A$367,0)),"")</f>
        <v>0</v>
      </c>
      <c r="D270" s="278"/>
      <c r="E270" s="278"/>
      <c r="F270" s="272">
        <f t="shared" si="161"/>
        <v>24</v>
      </c>
      <c r="G270" s="274">
        <f t="shared" si="162"/>
        <v>0</v>
      </c>
      <c r="H270" s="275">
        <f t="shared" si="163"/>
        <v>1</v>
      </c>
      <c r="I270" s="277"/>
      <c r="J270" s="278">
        <f t="shared" si="164"/>
        <v>24</v>
      </c>
      <c r="K270" s="272">
        <f>IFERROR(INDEX('Horo. M'!$E$3:$E$367,MATCH(A270,'Horo. M'!$A$3:$A$367,0)),"")</f>
        <v>0</v>
      </c>
      <c r="L270" s="273"/>
      <c r="M270" s="273"/>
      <c r="N270" s="272">
        <f t="shared" si="165"/>
        <v>24</v>
      </c>
      <c r="O270" s="274">
        <f t="shared" si="166"/>
        <v>0</v>
      </c>
      <c r="P270" s="275">
        <f t="shared" si="167"/>
        <v>1</v>
      </c>
      <c r="Q270" s="276"/>
      <c r="R270" s="278">
        <f t="shared" si="168"/>
        <v>24</v>
      </c>
      <c r="S270" s="272">
        <f>IFERROR(INDEX('Horo. M'!G$3:$G$367,MATCH(A270,'Horo. M'!$A$3:$A$367,0)),"")</f>
        <v>0</v>
      </c>
      <c r="T270" s="278"/>
      <c r="U270" s="278"/>
      <c r="V270" s="272">
        <f t="shared" si="169"/>
        <v>24</v>
      </c>
      <c r="W270" s="274">
        <f t="shared" si="170"/>
        <v>0</v>
      </c>
      <c r="X270" s="275">
        <f t="shared" si="171"/>
        <v>1</v>
      </c>
      <c r="Y270" s="278"/>
      <c r="Z270" s="278">
        <f t="shared" si="172"/>
        <v>24</v>
      </c>
      <c r="AA270" s="272">
        <f>IFERROR(INDEX('Horo. M'!$I$3:I$367,MATCH(A270,'Horo. M'!$A$3:$A$367,0)),"")</f>
        <v>0</v>
      </c>
      <c r="AB270" s="273"/>
      <c r="AC270" s="273"/>
      <c r="AD270" s="272">
        <f t="shared" si="173"/>
        <v>24</v>
      </c>
      <c r="AE270" s="274">
        <f t="shared" si="174"/>
        <v>0</v>
      </c>
      <c r="AF270" s="275">
        <f t="shared" si="175"/>
        <v>1</v>
      </c>
      <c r="AG270" s="278"/>
      <c r="AH270" s="272">
        <f t="shared" si="176"/>
        <v>24</v>
      </c>
      <c r="AI270" s="272">
        <f>IFERROR(INDEX('Horo. M'!$K$3:K$367,MATCH(A270,'Horo. M'!$A$3:$A$367,0)),"")</f>
        <v>0</v>
      </c>
      <c r="AJ270" s="278"/>
      <c r="AK270" s="278"/>
      <c r="AL270" s="272">
        <f t="shared" si="177"/>
        <v>24</v>
      </c>
      <c r="AM270" s="274">
        <f t="shared" si="178"/>
        <v>0</v>
      </c>
      <c r="AN270" s="275">
        <f t="shared" si="179"/>
        <v>1</v>
      </c>
      <c r="AO270" s="278"/>
      <c r="AP270" s="272">
        <f t="shared" si="180"/>
        <v>24</v>
      </c>
      <c r="AQ270" s="272">
        <f>IFERROR(INDEX('Horo. M'!$M$3:M$367,MATCH(A270,'Horo. M'!$A$3:$A$367,0)),"")</f>
        <v>0</v>
      </c>
      <c r="AR270" s="278"/>
      <c r="AS270" s="278"/>
      <c r="AT270" s="272">
        <f t="shared" si="181"/>
        <v>24</v>
      </c>
      <c r="AU270" s="274">
        <f t="shared" si="182"/>
        <v>0</v>
      </c>
      <c r="AV270" s="275">
        <f t="shared" si="183"/>
        <v>1</v>
      </c>
      <c r="AW270" s="278"/>
      <c r="AX270" s="272">
        <f t="shared" si="184"/>
        <v>24</v>
      </c>
      <c r="AY270" s="272">
        <f>IFERROR(INDEX('Horo. M'!$O$3:O$367,MATCH(A270,'Horo. M'!$A$3:$A$367,0)),"")</f>
        <v>0</v>
      </c>
      <c r="AZ270" s="278"/>
      <c r="BA270" s="278"/>
      <c r="BB270" s="272">
        <f t="shared" si="185"/>
        <v>24</v>
      </c>
      <c r="BC270" s="274">
        <f t="shared" si="186"/>
        <v>0</v>
      </c>
      <c r="BD270" s="275">
        <f t="shared" si="187"/>
        <v>1</v>
      </c>
      <c r="BE270" s="278"/>
      <c r="BF270" s="272">
        <f t="shared" si="188"/>
        <v>24</v>
      </c>
      <c r="BG270" s="272">
        <f>IFERROR(INDEX('Horo. M'!$Q$3:Q$367,MATCH(A270,'Horo. M'!$A$3:$A$367,0)),"")</f>
        <v>0</v>
      </c>
      <c r="BH270" s="278"/>
      <c r="BI270" s="278"/>
      <c r="BJ270" s="272">
        <f t="shared" si="189"/>
        <v>24</v>
      </c>
      <c r="BK270" s="274">
        <f t="shared" si="190"/>
        <v>0</v>
      </c>
      <c r="BL270" s="275">
        <f t="shared" si="191"/>
        <v>1</v>
      </c>
      <c r="BM270" s="278"/>
      <c r="BN270" s="272">
        <f t="shared" si="192"/>
        <v>24</v>
      </c>
      <c r="BO270" s="272">
        <f>IFERROR(INDEX('Horo. M'!$S$3:S$367,MATCH(A270,'Horo. M'!$A$3:$A$367,0)),"")</f>
        <v>0</v>
      </c>
      <c r="BP270" s="278"/>
      <c r="BQ270" s="278"/>
      <c r="BR270" s="272">
        <f t="shared" si="193"/>
        <v>24</v>
      </c>
      <c r="BS270" s="274">
        <f t="shared" si="194"/>
        <v>0</v>
      </c>
      <c r="BT270" s="275">
        <f t="shared" si="195"/>
        <v>1</v>
      </c>
      <c r="BU270" s="278"/>
      <c r="BV270" s="272">
        <f t="shared" si="196"/>
        <v>24</v>
      </c>
      <c r="BW270" s="272">
        <f>IFERROR(INDEX('Horo. M'!$U$3:U$367,MATCH(A270,'Horo. M'!$A$3:$A$367,0)),"")</f>
        <v>0</v>
      </c>
      <c r="BX270" s="278"/>
      <c r="BY270" s="278"/>
      <c r="BZ270" s="272">
        <f t="shared" si="197"/>
        <v>24</v>
      </c>
      <c r="CA270" s="274">
        <f t="shared" si="198"/>
        <v>0</v>
      </c>
      <c r="CB270" s="275">
        <f t="shared" si="199"/>
        <v>1</v>
      </c>
      <c r="CC270" s="280"/>
    </row>
    <row r="271" spans="1:81">
      <c r="A271" s="279">
        <v>45196</v>
      </c>
      <c r="B271" s="278">
        <f t="shared" si="160"/>
        <v>24</v>
      </c>
      <c r="C271" s="272">
        <f>IFERROR(INDEX('Horo. M'!$C$3:$C$367,MATCH(A271,'Horo. M'!$A$3:$A$367,0)),"")</f>
        <v>0</v>
      </c>
      <c r="D271" s="278"/>
      <c r="E271" s="278"/>
      <c r="F271" s="272">
        <f t="shared" si="161"/>
        <v>24</v>
      </c>
      <c r="G271" s="274">
        <f t="shared" si="162"/>
        <v>0</v>
      </c>
      <c r="H271" s="275">
        <f t="shared" si="163"/>
        <v>1</v>
      </c>
      <c r="I271" s="277"/>
      <c r="J271" s="278">
        <f t="shared" si="164"/>
        <v>24</v>
      </c>
      <c r="K271" s="272">
        <f>IFERROR(INDEX('Horo. M'!$E$3:$E$367,MATCH(A271,'Horo. M'!$A$3:$A$367,0)),"")</f>
        <v>0</v>
      </c>
      <c r="L271" s="273"/>
      <c r="M271" s="273"/>
      <c r="N271" s="272">
        <f t="shared" si="165"/>
        <v>24</v>
      </c>
      <c r="O271" s="274">
        <f t="shared" si="166"/>
        <v>0</v>
      </c>
      <c r="P271" s="275">
        <f t="shared" si="167"/>
        <v>1</v>
      </c>
      <c r="Q271" s="276"/>
      <c r="R271" s="278">
        <f t="shared" si="168"/>
        <v>24</v>
      </c>
      <c r="S271" s="272">
        <f>IFERROR(INDEX('Horo. M'!G$3:$G$367,MATCH(A271,'Horo. M'!$A$3:$A$367,0)),"")</f>
        <v>0</v>
      </c>
      <c r="T271" s="278"/>
      <c r="U271" s="278"/>
      <c r="V271" s="272">
        <f t="shared" si="169"/>
        <v>24</v>
      </c>
      <c r="W271" s="274">
        <f t="shared" si="170"/>
        <v>0</v>
      </c>
      <c r="X271" s="275">
        <f t="shared" si="171"/>
        <v>1</v>
      </c>
      <c r="Y271" s="278"/>
      <c r="Z271" s="278">
        <f t="shared" si="172"/>
        <v>24</v>
      </c>
      <c r="AA271" s="272">
        <f>IFERROR(INDEX('Horo. M'!$I$3:I$367,MATCH(A271,'Horo. M'!$A$3:$A$367,0)),"")</f>
        <v>0</v>
      </c>
      <c r="AB271" s="273"/>
      <c r="AC271" s="273"/>
      <c r="AD271" s="272">
        <f t="shared" si="173"/>
        <v>24</v>
      </c>
      <c r="AE271" s="274">
        <f t="shared" si="174"/>
        <v>0</v>
      </c>
      <c r="AF271" s="275">
        <f t="shared" si="175"/>
        <v>1</v>
      </c>
      <c r="AG271" s="278"/>
      <c r="AH271" s="272">
        <f t="shared" si="176"/>
        <v>24</v>
      </c>
      <c r="AI271" s="272">
        <f>IFERROR(INDEX('Horo. M'!$K$3:K$367,MATCH(A271,'Horo. M'!$A$3:$A$367,0)),"")</f>
        <v>0</v>
      </c>
      <c r="AJ271" s="278"/>
      <c r="AK271" s="278"/>
      <c r="AL271" s="272">
        <f t="shared" si="177"/>
        <v>24</v>
      </c>
      <c r="AM271" s="274">
        <f t="shared" si="178"/>
        <v>0</v>
      </c>
      <c r="AN271" s="275">
        <f t="shared" si="179"/>
        <v>1</v>
      </c>
      <c r="AO271" s="278"/>
      <c r="AP271" s="272">
        <f t="shared" si="180"/>
        <v>24</v>
      </c>
      <c r="AQ271" s="272">
        <f>IFERROR(INDEX('Horo. M'!$M$3:M$367,MATCH(A271,'Horo. M'!$A$3:$A$367,0)),"")</f>
        <v>0</v>
      </c>
      <c r="AR271" s="278"/>
      <c r="AS271" s="278"/>
      <c r="AT271" s="272">
        <f t="shared" si="181"/>
        <v>24</v>
      </c>
      <c r="AU271" s="274">
        <f t="shared" si="182"/>
        <v>0</v>
      </c>
      <c r="AV271" s="275">
        <f t="shared" si="183"/>
        <v>1</v>
      </c>
      <c r="AW271" s="278"/>
      <c r="AX271" s="272">
        <f t="shared" si="184"/>
        <v>24</v>
      </c>
      <c r="AY271" s="272">
        <f>IFERROR(INDEX('Horo. M'!$O$3:O$367,MATCH(A271,'Horo. M'!$A$3:$A$367,0)),"")</f>
        <v>0</v>
      </c>
      <c r="AZ271" s="278"/>
      <c r="BA271" s="278"/>
      <c r="BB271" s="272">
        <f t="shared" si="185"/>
        <v>24</v>
      </c>
      <c r="BC271" s="274">
        <f t="shared" si="186"/>
        <v>0</v>
      </c>
      <c r="BD271" s="275">
        <f t="shared" si="187"/>
        <v>1</v>
      </c>
      <c r="BE271" s="278"/>
      <c r="BF271" s="272">
        <f t="shared" si="188"/>
        <v>24</v>
      </c>
      <c r="BG271" s="272">
        <f>IFERROR(INDEX('Horo. M'!$Q$3:Q$367,MATCH(A271,'Horo. M'!$A$3:$A$367,0)),"")</f>
        <v>0</v>
      </c>
      <c r="BH271" s="278"/>
      <c r="BI271" s="278"/>
      <c r="BJ271" s="272">
        <f t="shared" si="189"/>
        <v>24</v>
      </c>
      <c r="BK271" s="274">
        <f t="shared" si="190"/>
        <v>0</v>
      </c>
      <c r="BL271" s="275">
        <f t="shared" si="191"/>
        <v>1</v>
      </c>
      <c r="BM271" s="278"/>
      <c r="BN271" s="272">
        <f t="shared" si="192"/>
        <v>24</v>
      </c>
      <c r="BO271" s="272">
        <f>IFERROR(INDEX('Horo. M'!$S$3:S$367,MATCH(A271,'Horo. M'!$A$3:$A$367,0)),"")</f>
        <v>0</v>
      </c>
      <c r="BP271" s="278"/>
      <c r="BQ271" s="278"/>
      <c r="BR271" s="272">
        <f t="shared" si="193"/>
        <v>24</v>
      </c>
      <c r="BS271" s="274">
        <f t="shared" si="194"/>
        <v>0</v>
      </c>
      <c r="BT271" s="275">
        <f t="shared" si="195"/>
        <v>1</v>
      </c>
      <c r="BU271" s="278"/>
      <c r="BV271" s="272">
        <f t="shared" si="196"/>
        <v>24</v>
      </c>
      <c r="BW271" s="272">
        <f>IFERROR(INDEX('Horo. M'!$U$3:U$367,MATCH(A271,'Horo. M'!$A$3:$A$367,0)),"")</f>
        <v>0</v>
      </c>
      <c r="BX271" s="278"/>
      <c r="BY271" s="278"/>
      <c r="BZ271" s="272">
        <f t="shared" si="197"/>
        <v>24</v>
      </c>
      <c r="CA271" s="274">
        <f t="shared" si="198"/>
        <v>0</v>
      </c>
      <c r="CB271" s="275">
        <f t="shared" si="199"/>
        <v>1</v>
      </c>
      <c r="CC271" s="280"/>
    </row>
    <row r="272" spans="1:81">
      <c r="A272" s="279">
        <v>45197</v>
      </c>
      <c r="B272" s="278">
        <f t="shared" si="160"/>
        <v>24</v>
      </c>
      <c r="C272" s="272">
        <f>IFERROR(INDEX('Horo. M'!$C$3:$C$367,MATCH(A272,'Horo. M'!$A$3:$A$367,0)),"")</f>
        <v>0</v>
      </c>
      <c r="D272" s="278"/>
      <c r="E272" s="278"/>
      <c r="F272" s="272">
        <f t="shared" si="161"/>
        <v>24</v>
      </c>
      <c r="G272" s="274">
        <f t="shared" si="162"/>
        <v>0</v>
      </c>
      <c r="H272" s="275">
        <f t="shared" si="163"/>
        <v>1</v>
      </c>
      <c r="I272" s="277"/>
      <c r="J272" s="278">
        <f t="shared" si="164"/>
        <v>24</v>
      </c>
      <c r="K272" s="272">
        <f>IFERROR(INDEX('Horo. M'!$E$3:$E$367,MATCH(A272,'Horo. M'!$A$3:$A$367,0)),"")</f>
        <v>0</v>
      </c>
      <c r="L272" s="273"/>
      <c r="M272" s="273"/>
      <c r="N272" s="272">
        <f t="shared" si="165"/>
        <v>24</v>
      </c>
      <c r="O272" s="274">
        <f t="shared" si="166"/>
        <v>0</v>
      </c>
      <c r="P272" s="275">
        <f t="shared" si="167"/>
        <v>1</v>
      </c>
      <c r="Q272" s="276"/>
      <c r="R272" s="278">
        <f t="shared" si="168"/>
        <v>24</v>
      </c>
      <c r="S272" s="272">
        <f>IFERROR(INDEX('Horo. M'!G$3:$G$367,MATCH(A272,'Horo. M'!$A$3:$A$367,0)),"")</f>
        <v>0</v>
      </c>
      <c r="T272" s="278"/>
      <c r="U272" s="278"/>
      <c r="V272" s="272">
        <f t="shared" si="169"/>
        <v>24</v>
      </c>
      <c r="W272" s="274">
        <f t="shared" si="170"/>
        <v>0</v>
      </c>
      <c r="X272" s="275">
        <f t="shared" si="171"/>
        <v>1</v>
      </c>
      <c r="Y272" s="278"/>
      <c r="Z272" s="278">
        <f t="shared" si="172"/>
        <v>24</v>
      </c>
      <c r="AA272" s="272">
        <f>IFERROR(INDEX('Horo. M'!$I$3:I$367,MATCH(A272,'Horo. M'!$A$3:$A$367,0)),"")</f>
        <v>0</v>
      </c>
      <c r="AB272" s="273"/>
      <c r="AC272" s="273"/>
      <c r="AD272" s="272">
        <f t="shared" si="173"/>
        <v>24</v>
      </c>
      <c r="AE272" s="274">
        <f t="shared" si="174"/>
        <v>0</v>
      </c>
      <c r="AF272" s="275">
        <f t="shared" si="175"/>
        <v>1</v>
      </c>
      <c r="AG272" s="278"/>
      <c r="AH272" s="272">
        <f t="shared" si="176"/>
        <v>24</v>
      </c>
      <c r="AI272" s="272">
        <f>IFERROR(INDEX('Horo. M'!$K$3:K$367,MATCH(A272,'Horo. M'!$A$3:$A$367,0)),"")</f>
        <v>0</v>
      </c>
      <c r="AJ272" s="278"/>
      <c r="AK272" s="278"/>
      <c r="AL272" s="272">
        <f t="shared" si="177"/>
        <v>24</v>
      </c>
      <c r="AM272" s="274">
        <f t="shared" si="178"/>
        <v>0</v>
      </c>
      <c r="AN272" s="275">
        <f t="shared" si="179"/>
        <v>1</v>
      </c>
      <c r="AO272" s="278"/>
      <c r="AP272" s="272">
        <f t="shared" si="180"/>
        <v>24</v>
      </c>
      <c r="AQ272" s="272">
        <f>IFERROR(INDEX('Horo. M'!$M$3:M$367,MATCH(A272,'Horo. M'!$A$3:$A$367,0)),"")</f>
        <v>0</v>
      </c>
      <c r="AR272" s="278"/>
      <c r="AS272" s="278"/>
      <c r="AT272" s="272">
        <f t="shared" si="181"/>
        <v>24</v>
      </c>
      <c r="AU272" s="274">
        <f t="shared" si="182"/>
        <v>0</v>
      </c>
      <c r="AV272" s="275">
        <f t="shared" si="183"/>
        <v>1</v>
      </c>
      <c r="AW272" s="278"/>
      <c r="AX272" s="272">
        <f t="shared" si="184"/>
        <v>24</v>
      </c>
      <c r="AY272" s="272">
        <f>IFERROR(INDEX('Horo. M'!$O$3:O$367,MATCH(A272,'Horo. M'!$A$3:$A$367,0)),"")</f>
        <v>0</v>
      </c>
      <c r="AZ272" s="278"/>
      <c r="BA272" s="278"/>
      <c r="BB272" s="272">
        <f t="shared" si="185"/>
        <v>24</v>
      </c>
      <c r="BC272" s="274">
        <f t="shared" si="186"/>
        <v>0</v>
      </c>
      <c r="BD272" s="275">
        <f t="shared" si="187"/>
        <v>1</v>
      </c>
      <c r="BE272" s="278"/>
      <c r="BF272" s="272">
        <f t="shared" si="188"/>
        <v>24</v>
      </c>
      <c r="BG272" s="272">
        <f>IFERROR(INDEX('Horo. M'!$Q$3:Q$367,MATCH(A272,'Horo. M'!$A$3:$A$367,0)),"")</f>
        <v>0</v>
      </c>
      <c r="BH272" s="278"/>
      <c r="BI272" s="278"/>
      <c r="BJ272" s="272">
        <f t="shared" si="189"/>
        <v>24</v>
      </c>
      <c r="BK272" s="274">
        <f t="shared" si="190"/>
        <v>0</v>
      </c>
      <c r="BL272" s="275">
        <f t="shared" si="191"/>
        <v>1</v>
      </c>
      <c r="BM272" s="278"/>
      <c r="BN272" s="272">
        <f t="shared" si="192"/>
        <v>24</v>
      </c>
      <c r="BO272" s="272">
        <f>IFERROR(INDEX('Horo. M'!$S$3:S$367,MATCH(A272,'Horo. M'!$A$3:$A$367,0)),"")</f>
        <v>0</v>
      </c>
      <c r="BP272" s="278"/>
      <c r="BQ272" s="278"/>
      <c r="BR272" s="272">
        <f t="shared" si="193"/>
        <v>24</v>
      </c>
      <c r="BS272" s="274">
        <f t="shared" si="194"/>
        <v>0</v>
      </c>
      <c r="BT272" s="275">
        <f t="shared" si="195"/>
        <v>1</v>
      </c>
      <c r="BU272" s="278"/>
      <c r="BV272" s="272">
        <f t="shared" si="196"/>
        <v>24</v>
      </c>
      <c r="BW272" s="272">
        <f>IFERROR(INDEX('Horo. M'!$U$3:U$367,MATCH(A272,'Horo. M'!$A$3:$A$367,0)),"")</f>
        <v>0</v>
      </c>
      <c r="BX272" s="278"/>
      <c r="BY272" s="278"/>
      <c r="BZ272" s="272">
        <f t="shared" si="197"/>
        <v>24</v>
      </c>
      <c r="CA272" s="274">
        <f t="shared" si="198"/>
        <v>0</v>
      </c>
      <c r="CB272" s="275">
        <f t="shared" si="199"/>
        <v>1</v>
      </c>
      <c r="CC272" s="280"/>
    </row>
    <row r="273" spans="1:81">
      <c r="A273" s="279">
        <v>45198</v>
      </c>
      <c r="B273" s="278">
        <f t="shared" si="160"/>
        <v>24</v>
      </c>
      <c r="C273" s="272">
        <f>IFERROR(INDEX('Horo. M'!$C$3:$C$367,MATCH(A273,'Horo. M'!$A$3:$A$367,0)),"")</f>
        <v>0</v>
      </c>
      <c r="D273" s="278"/>
      <c r="E273" s="278"/>
      <c r="F273" s="272">
        <f t="shared" si="161"/>
        <v>24</v>
      </c>
      <c r="G273" s="274">
        <f t="shared" si="162"/>
        <v>0</v>
      </c>
      <c r="H273" s="275">
        <f t="shared" si="163"/>
        <v>1</v>
      </c>
      <c r="I273" s="277"/>
      <c r="J273" s="278">
        <f t="shared" si="164"/>
        <v>24</v>
      </c>
      <c r="K273" s="272">
        <f>IFERROR(INDEX('Horo. M'!$E$3:$E$367,MATCH(A273,'Horo. M'!$A$3:$A$367,0)),"")</f>
        <v>0</v>
      </c>
      <c r="L273" s="273"/>
      <c r="M273" s="273"/>
      <c r="N273" s="272">
        <f t="shared" si="165"/>
        <v>24</v>
      </c>
      <c r="O273" s="274">
        <f t="shared" si="166"/>
        <v>0</v>
      </c>
      <c r="P273" s="275">
        <f t="shared" si="167"/>
        <v>1</v>
      </c>
      <c r="Q273" s="276"/>
      <c r="R273" s="278">
        <f t="shared" si="168"/>
        <v>24</v>
      </c>
      <c r="S273" s="272">
        <f>IFERROR(INDEX('Horo. M'!G$3:$G$367,MATCH(A273,'Horo. M'!$A$3:$A$367,0)),"")</f>
        <v>0</v>
      </c>
      <c r="T273" s="278"/>
      <c r="U273" s="278"/>
      <c r="V273" s="272">
        <f t="shared" si="169"/>
        <v>24</v>
      </c>
      <c r="W273" s="274">
        <f t="shared" si="170"/>
        <v>0</v>
      </c>
      <c r="X273" s="275">
        <f t="shared" si="171"/>
        <v>1</v>
      </c>
      <c r="Y273" s="278"/>
      <c r="Z273" s="278">
        <f t="shared" si="172"/>
        <v>24</v>
      </c>
      <c r="AA273" s="272">
        <f>IFERROR(INDEX('Horo. M'!$I$3:I$367,MATCH(A273,'Horo. M'!$A$3:$A$367,0)),"")</f>
        <v>0</v>
      </c>
      <c r="AB273" s="273"/>
      <c r="AC273" s="273"/>
      <c r="AD273" s="272">
        <f t="shared" si="173"/>
        <v>24</v>
      </c>
      <c r="AE273" s="274">
        <f t="shared" si="174"/>
        <v>0</v>
      </c>
      <c r="AF273" s="275">
        <f t="shared" si="175"/>
        <v>1</v>
      </c>
      <c r="AG273" s="278"/>
      <c r="AH273" s="272">
        <f t="shared" si="176"/>
        <v>24</v>
      </c>
      <c r="AI273" s="272">
        <f>IFERROR(INDEX('Horo. M'!$K$3:K$367,MATCH(A273,'Horo. M'!$A$3:$A$367,0)),"")</f>
        <v>0</v>
      </c>
      <c r="AJ273" s="278"/>
      <c r="AK273" s="278"/>
      <c r="AL273" s="272">
        <f t="shared" si="177"/>
        <v>24</v>
      </c>
      <c r="AM273" s="274">
        <f t="shared" si="178"/>
        <v>0</v>
      </c>
      <c r="AN273" s="275">
        <f t="shared" si="179"/>
        <v>1</v>
      </c>
      <c r="AO273" s="278"/>
      <c r="AP273" s="272">
        <f t="shared" si="180"/>
        <v>24</v>
      </c>
      <c r="AQ273" s="272">
        <f>IFERROR(INDEX('Horo. M'!$M$3:M$367,MATCH(A273,'Horo. M'!$A$3:$A$367,0)),"")</f>
        <v>0</v>
      </c>
      <c r="AR273" s="278"/>
      <c r="AS273" s="278"/>
      <c r="AT273" s="272">
        <f t="shared" si="181"/>
        <v>24</v>
      </c>
      <c r="AU273" s="274">
        <f t="shared" si="182"/>
        <v>0</v>
      </c>
      <c r="AV273" s="275">
        <f t="shared" si="183"/>
        <v>1</v>
      </c>
      <c r="AW273" s="278"/>
      <c r="AX273" s="272">
        <f t="shared" si="184"/>
        <v>24</v>
      </c>
      <c r="AY273" s="272">
        <f>IFERROR(INDEX('Horo. M'!$O$3:O$367,MATCH(A273,'Horo. M'!$A$3:$A$367,0)),"")</f>
        <v>0</v>
      </c>
      <c r="AZ273" s="278"/>
      <c r="BA273" s="278"/>
      <c r="BB273" s="272">
        <f t="shared" si="185"/>
        <v>24</v>
      </c>
      <c r="BC273" s="274">
        <f t="shared" si="186"/>
        <v>0</v>
      </c>
      <c r="BD273" s="275">
        <f t="shared" si="187"/>
        <v>1</v>
      </c>
      <c r="BE273" s="278"/>
      <c r="BF273" s="272">
        <f t="shared" si="188"/>
        <v>24</v>
      </c>
      <c r="BG273" s="272">
        <f>IFERROR(INDEX('Horo. M'!$Q$3:Q$367,MATCH(A273,'Horo. M'!$A$3:$A$367,0)),"")</f>
        <v>0</v>
      </c>
      <c r="BH273" s="278"/>
      <c r="BI273" s="278"/>
      <c r="BJ273" s="272">
        <f t="shared" si="189"/>
        <v>24</v>
      </c>
      <c r="BK273" s="274">
        <f t="shared" si="190"/>
        <v>0</v>
      </c>
      <c r="BL273" s="275">
        <f t="shared" si="191"/>
        <v>1</v>
      </c>
      <c r="BM273" s="278"/>
      <c r="BN273" s="272">
        <f t="shared" si="192"/>
        <v>24</v>
      </c>
      <c r="BO273" s="272">
        <f>IFERROR(INDEX('Horo. M'!$S$3:S$367,MATCH(A273,'Horo. M'!$A$3:$A$367,0)),"")</f>
        <v>0</v>
      </c>
      <c r="BP273" s="278"/>
      <c r="BQ273" s="278"/>
      <c r="BR273" s="272">
        <f t="shared" si="193"/>
        <v>24</v>
      </c>
      <c r="BS273" s="274">
        <f t="shared" si="194"/>
        <v>0</v>
      </c>
      <c r="BT273" s="275">
        <f t="shared" si="195"/>
        <v>1</v>
      </c>
      <c r="BU273" s="278"/>
      <c r="BV273" s="272">
        <f t="shared" si="196"/>
        <v>24</v>
      </c>
      <c r="BW273" s="272">
        <f>IFERROR(INDEX('Horo. M'!$U$3:U$367,MATCH(A273,'Horo. M'!$A$3:$A$367,0)),"")</f>
        <v>0</v>
      </c>
      <c r="BX273" s="278"/>
      <c r="BY273" s="278"/>
      <c r="BZ273" s="272">
        <f t="shared" si="197"/>
        <v>24</v>
      </c>
      <c r="CA273" s="274">
        <f t="shared" si="198"/>
        <v>0</v>
      </c>
      <c r="CB273" s="275">
        <f t="shared" si="199"/>
        <v>1</v>
      </c>
      <c r="CC273" s="280"/>
    </row>
    <row r="274" spans="1:81">
      <c r="A274" s="279">
        <v>45199</v>
      </c>
      <c r="B274" s="278">
        <f t="shared" si="160"/>
        <v>24</v>
      </c>
      <c r="C274" s="272">
        <f>IFERROR(INDEX('Horo. M'!$C$3:$C$367,MATCH(A274,'Horo. M'!$A$3:$A$367,0)),"")</f>
        <v>0</v>
      </c>
      <c r="D274" s="278"/>
      <c r="E274" s="278"/>
      <c r="F274" s="272">
        <f t="shared" si="161"/>
        <v>24</v>
      </c>
      <c r="G274" s="274">
        <f t="shared" si="162"/>
        <v>0</v>
      </c>
      <c r="H274" s="275">
        <f t="shared" si="163"/>
        <v>1</v>
      </c>
      <c r="I274" s="277"/>
      <c r="J274" s="278">
        <f t="shared" si="164"/>
        <v>24</v>
      </c>
      <c r="K274" s="272">
        <f>IFERROR(INDEX('Horo. M'!$E$3:$E$367,MATCH(A274,'Horo. M'!$A$3:$A$367,0)),"")</f>
        <v>0</v>
      </c>
      <c r="L274" s="273"/>
      <c r="M274" s="273"/>
      <c r="N274" s="272">
        <f t="shared" si="165"/>
        <v>24</v>
      </c>
      <c r="O274" s="274">
        <f t="shared" si="166"/>
        <v>0</v>
      </c>
      <c r="P274" s="275">
        <f t="shared" si="167"/>
        <v>1</v>
      </c>
      <c r="Q274" s="276"/>
      <c r="R274" s="278">
        <f t="shared" si="168"/>
        <v>24</v>
      </c>
      <c r="S274" s="272">
        <f>IFERROR(INDEX('Horo. M'!G$3:$G$367,MATCH(A274,'Horo. M'!$A$3:$A$367,0)),"")</f>
        <v>0</v>
      </c>
      <c r="T274" s="278"/>
      <c r="U274" s="278"/>
      <c r="V274" s="272">
        <f t="shared" si="169"/>
        <v>24</v>
      </c>
      <c r="W274" s="274">
        <f t="shared" si="170"/>
        <v>0</v>
      </c>
      <c r="X274" s="275">
        <f t="shared" si="171"/>
        <v>1</v>
      </c>
      <c r="Y274" s="278"/>
      <c r="Z274" s="278">
        <f t="shared" si="172"/>
        <v>24</v>
      </c>
      <c r="AA274" s="272">
        <f>IFERROR(INDEX('Horo. M'!$I$3:I$367,MATCH(A274,'Horo. M'!$A$3:$A$367,0)),"")</f>
        <v>0</v>
      </c>
      <c r="AB274" s="273"/>
      <c r="AC274" s="273"/>
      <c r="AD274" s="272">
        <f t="shared" si="173"/>
        <v>24</v>
      </c>
      <c r="AE274" s="274">
        <f t="shared" si="174"/>
        <v>0</v>
      </c>
      <c r="AF274" s="275">
        <f t="shared" si="175"/>
        <v>1</v>
      </c>
      <c r="AG274" s="278"/>
      <c r="AH274" s="272">
        <f t="shared" si="176"/>
        <v>24</v>
      </c>
      <c r="AI274" s="272">
        <f>IFERROR(INDEX('Horo. M'!$K$3:K$367,MATCH(A274,'Horo. M'!$A$3:$A$367,0)),"")</f>
        <v>0</v>
      </c>
      <c r="AJ274" s="278"/>
      <c r="AK274" s="278"/>
      <c r="AL274" s="272">
        <f t="shared" si="177"/>
        <v>24</v>
      </c>
      <c r="AM274" s="274">
        <f t="shared" si="178"/>
        <v>0</v>
      </c>
      <c r="AN274" s="275">
        <f t="shared" si="179"/>
        <v>1</v>
      </c>
      <c r="AO274" s="278"/>
      <c r="AP274" s="272">
        <f t="shared" si="180"/>
        <v>24</v>
      </c>
      <c r="AQ274" s="272">
        <f>IFERROR(INDEX('Horo. M'!$M$3:M$367,MATCH(A274,'Horo. M'!$A$3:$A$367,0)),"")</f>
        <v>0</v>
      </c>
      <c r="AR274" s="278"/>
      <c r="AS274" s="278"/>
      <c r="AT274" s="272">
        <f t="shared" si="181"/>
        <v>24</v>
      </c>
      <c r="AU274" s="274">
        <f t="shared" si="182"/>
        <v>0</v>
      </c>
      <c r="AV274" s="275">
        <f t="shared" si="183"/>
        <v>1</v>
      </c>
      <c r="AW274" s="278"/>
      <c r="AX274" s="272">
        <f t="shared" si="184"/>
        <v>24</v>
      </c>
      <c r="AY274" s="272">
        <f>IFERROR(INDEX('Horo. M'!$O$3:O$367,MATCH(A274,'Horo. M'!$A$3:$A$367,0)),"")</f>
        <v>0</v>
      </c>
      <c r="AZ274" s="278"/>
      <c r="BA274" s="278"/>
      <c r="BB274" s="272">
        <f t="shared" si="185"/>
        <v>24</v>
      </c>
      <c r="BC274" s="274">
        <f t="shared" si="186"/>
        <v>0</v>
      </c>
      <c r="BD274" s="275">
        <f t="shared" si="187"/>
        <v>1</v>
      </c>
      <c r="BE274" s="278"/>
      <c r="BF274" s="272">
        <f t="shared" si="188"/>
        <v>24</v>
      </c>
      <c r="BG274" s="272">
        <f>IFERROR(INDEX('Horo. M'!$Q$3:Q$367,MATCH(A274,'Horo. M'!$A$3:$A$367,0)),"")</f>
        <v>0</v>
      </c>
      <c r="BH274" s="278"/>
      <c r="BI274" s="278"/>
      <c r="BJ274" s="272">
        <f t="shared" si="189"/>
        <v>24</v>
      </c>
      <c r="BK274" s="274">
        <f t="shared" si="190"/>
        <v>0</v>
      </c>
      <c r="BL274" s="275">
        <f t="shared" si="191"/>
        <v>1</v>
      </c>
      <c r="BM274" s="278"/>
      <c r="BN274" s="272">
        <f t="shared" si="192"/>
        <v>24</v>
      </c>
      <c r="BO274" s="272">
        <f>IFERROR(INDEX('Horo. M'!$S$3:S$367,MATCH(A274,'Horo. M'!$A$3:$A$367,0)),"")</f>
        <v>0</v>
      </c>
      <c r="BP274" s="278"/>
      <c r="BQ274" s="278"/>
      <c r="BR274" s="272">
        <f t="shared" si="193"/>
        <v>24</v>
      </c>
      <c r="BS274" s="274">
        <f t="shared" si="194"/>
        <v>0</v>
      </c>
      <c r="BT274" s="275">
        <f t="shared" si="195"/>
        <v>1</v>
      </c>
      <c r="BU274" s="278"/>
      <c r="BV274" s="272">
        <f t="shared" si="196"/>
        <v>24</v>
      </c>
      <c r="BW274" s="272">
        <f>IFERROR(INDEX('Horo. M'!$U$3:U$367,MATCH(A274,'Horo. M'!$A$3:$A$367,0)),"")</f>
        <v>0</v>
      </c>
      <c r="BX274" s="278"/>
      <c r="BY274" s="278"/>
      <c r="BZ274" s="272">
        <f t="shared" si="197"/>
        <v>24</v>
      </c>
      <c r="CA274" s="274">
        <f t="shared" si="198"/>
        <v>0</v>
      </c>
      <c r="CB274" s="275">
        <f t="shared" si="199"/>
        <v>1</v>
      </c>
      <c r="CC274" s="280"/>
    </row>
    <row r="275" spans="1:81">
      <c r="A275" s="279">
        <v>45200</v>
      </c>
      <c r="B275" s="278">
        <f t="shared" si="160"/>
        <v>24</v>
      </c>
      <c r="C275" s="272">
        <f>IFERROR(INDEX('Horo. M'!$C$3:$C$367,MATCH(A275,'Horo. M'!$A$3:$A$367,0)),"")</f>
        <v>0</v>
      </c>
      <c r="D275" s="278"/>
      <c r="E275" s="278"/>
      <c r="F275" s="272">
        <f t="shared" si="161"/>
        <v>24</v>
      </c>
      <c r="G275" s="274">
        <f t="shared" si="162"/>
        <v>0</v>
      </c>
      <c r="H275" s="275">
        <f t="shared" si="163"/>
        <v>1</v>
      </c>
      <c r="I275" s="277"/>
      <c r="J275" s="278">
        <f t="shared" si="164"/>
        <v>24</v>
      </c>
      <c r="K275" s="272">
        <f>IFERROR(INDEX('Horo. M'!$E$3:$E$367,MATCH(A275,'Horo. M'!$A$3:$A$367,0)),"")</f>
        <v>0</v>
      </c>
      <c r="L275" s="273"/>
      <c r="M275" s="273"/>
      <c r="N275" s="272">
        <f t="shared" si="165"/>
        <v>24</v>
      </c>
      <c r="O275" s="274">
        <f t="shared" si="166"/>
        <v>0</v>
      </c>
      <c r="P275" s="275">
        <f t="shared" si="167"/>
        <v>1</v>
      </c>
      <c r="Q275" s="276"/>
      <c r="R275" s="278">
        <f t="shared" si="168"/>
        <v>24</v>
      </c>
      <c r="S275" s="272">
        <f>IFERROR(INDEX('Horo. M'!G$3:$G$367,MATCH(A275,'Horo. M'!$A$3:$A$367,0)),"")</f>
        <v>0</v>
      </c>
      <c r="T275" s="278"/>
      <c r="U275" s="278"/>
      <c r="V275" s="272">
        <f t="shared" si="169"/>
        <v>24</v>
      </c>
      <c r="W275" s="274">
        <f t="shared" si="170"/>
        <v>0</v>
      </c>
      <c r="X275" s="275">
        <f t="shared" si="171"/>
        <v>1</v>
      </c>
      <c r="Y275" s="278"/>
      <c r="Z275" s="278">
        <f t="shared" si="172"/>
        <v>24</v>
      </c>
      <c r="AA275" s="272">
        <f>IFERROR(INDEX('Horo. M'!$I$3:I$367,MATCH(A275,'Horo. M'!$A$3:$A$367,0)),"")</f>
        <v>0</v>
      </c>
      <c r="AB275" s="273"/>
      <c r="AC275" s="273"/>
      <c r="AD275" s="272">
        <f t="shared" si="173"/>
        <v>24</v>
      </c>
      <c r="AE275" s="274">
        <f t="shared" si="174"/>
        <v>0</v>
      </c>
      <c r="AF275" s="275">
        <f t="shared" si="175"/>
        <v>1</v>
      </c>
      <c r="AG275" s="278"/>
      <c r="AH275" s="272">
        <f t="shared" si="176"/>
        <v>24</v>
      </c>
      <c r="AI275" s="272">
        <f>IFERROR(INDEX('Horo. M'!$K$3:K$367,MATCH(A275,'Horo. M'!$A$3:$A$367,0)),"")</f>
        <v>0</v>
      </c>
      <c r="AJ275" s="278"/>
      <c r="AK275" s="278"/>
      <c r="AL275" s="272">
        <f t="shared" si="177"/>
        <v>24</v>
      </c>
      <c r="AM275" s="274">
        <f t="shared" si="178"/>
        <v>0</v>
      </c>
      <c r="AN275" s="275">
        <f t="shared" si="179"/>
        <v>1</v>
      </c>
      <c r="AO275" s="278"/>
      <c r="AP275" s="272">
        <f t="shared" si="180"/>
        <v>24</v>
      </c>
      <c r="AQ275" s="272">
        <f>IFERROR(INDEX('Horo. M'!$M$3:M$367,MATCH(A275,'Horo. M'!$A$3:$A$367,0)),"")</f>
        <v>0</v>
      </c>
      <c r="AR275" s="278"/>
      <c r="AS275" s="278"/>
      <c r="AT275" s="272">
        <f t="shared" si="181"/>
        <v>24</v>
      </c>
      <c r="AU275" s="274">
        <f t="shared" si="182"/>
        <v>0</v>
      </c>
      <c r="AV275" s="275">
        <f t="shared" si="183"/>
        <v>1</v>
      </c>
      <c r="AW275" s="278"/>
      <c r="AX275" s="272">
        <f t="shared" si="184"/>
        <v>24</v>
      </c>
      <c r="AY275" s="272">
        <f>IFERROR(INDEX('Horo. M'!$O$3:O$367,MATCH(A275,'Horo. M'!$A$3:$A$367,0)),"")</f>
        <v>0</v>
      </c>
      <c r="AZ275" s="278"/>
      <c r="BA275" s="278"/>
      <c r="BB275" s="272">
        <f t="shared" si="185"/>
        <v>24</v>
      </c>
      <c r="BC275" s="274">
        <f t="shared" si="186"/>
        <v>0</v>
      </c>
      <c r="BD275" s="275">
        <f t="shared" si="187"/>
        <v>1</v>
      </c>
      <c r="BE275" s="278"/>
      <c r="BF275" s="272">
        <f t="shared" si="188"/>
        <v>24</v>
      </c>
      <c r="BG275" s="272">
        <f>IFERROR(INDEX('Horo. M'!$Q$3:Q$367,MATCH(A275,'Horo. M'!$A$3:$A$367,0)),"")</f>
        <v>0</v>
      </c>
      <c r="BH275" s="278"/>
      <c r="BI275" s="278"/>
      <c r="BJ275" s="272">
        <f t="shared" si="189"/>
        <v>24</v>
      </c>
      <c r="BK275" s="274">
        <f t="shared" si="190"/>
        <v>0</v>
      </c>
      <c r="BL275" s="275">
        <f t="shared" si="191"/>
        <v>1</v>
      </c>
      <c r="BM275" s="278"/>
      <c r="BN275" s="272">
        <f t="shared" si="192"/>
        <v>24</v>
      </c>
      <c r="BO275" s="272">
        <f>IFERROR(INDEX('Horo. M'!$S$3:S$367,MATCH(A275,'Horo. M'!$A$3:$A$367,0)),"")</f>
        <v>0</v>
      </c>
      <c r="BP275" s="278"/>
      <c r="BQ275" s="278"/>
      <c r="BR275" s="272">
        <f t="shared" si="193"/>
        <v>24</v>
      </c>
      <c r="BS275" s="274">
        <f t="shared" si="194"/>
        <v>0</v>
      </c>
      <c r="BT275" s="275">
        <f t="shared" si="195"/>
        <v>1</v>
      </c>
      <c r="BU275" s="278"/>
      <c r="BV275" s="272">
        <f t="shared" si="196"/>
        <v>24</v>
      </c>
      <c r="BW275" s="272">
        <f>IFERROR(INDEX('Horo. M'!$U$3:U$367,MATCH(A275,'Horo. M'!$A$3:$A$367,0)),"")</f>
        <v>0</v>
      </c>
      <c r="BX275" s="278"/>
      <c r="BY275" s="278"/>
      <c r="BZ275" s="272">
        <f t="shared" si="197"/>
        <v>24</v>
      </c>
      <c r="CA275" s="274">
        <f t="shared" si="198"/>
        <v>0</v>
      </c>
      <c r="CB275" s="275">
        <f t="shared" si="199"/>
        <v>1</v>
      </c>
      <c r="CC275" s="280"/>
    </row>
    <row r="276" spans="1:81">
      <c r="A276" s="279">
        <v>45201</v>
      </c>
      <c r="B276" s="278">
        <f t="shared" si="160"/>
        <v>24</v>
      </c>
      <c r="C276" s="272">
        <f>IFERROR(INDEX('Horo. M'!$C$3:$C$367,MATCH(A276,'Horo. M'!$A$3:$A$367,0)),"")</f>
        <v>0</v>
      </c>
      <c r="D276" s="278"/>
      <c r="E276" s="278"/>
      <c r="F276" s="272">
        <f t="shared" si="161"/>
        <v>24</v>
      </c>
      <c r="G276" s="274">
        <f t="shared" si="162"/>
        <v>0</v>
      </c>
      <c r="H276" s="275">
        <f t="shared" si="163"/>
        <v>1</v>
      </c>
      <c r="I276" s="277"/>
      <c r="J276" s="278">
        <f t="shared" si="164"/>
        <v>24</v>
      </c>
      <c r="K276" s="272">
        <f>IFERROR(INDEX('Horo. M'!$E$3:$E$367,MATCH(A276,'Horo. M'!$A$3:$A$367,0)),"")</f>
        <v>0</v>
      </c>
      <c r="L276" s="273"/>
      <c r="M276" s="273"/>
      <c r="N276" s="272">
        <f t="shared" si="165"/>
        <v>24</v>
      </c>
      <c r="O276" s="274">
        <f t="shared" si="166"/>
        <v>0</v>
      </c>
      <c r="P276" s="275">
        <f t="shared" si="167"/>
        <v>1</v>
      </c>
      <c r="Q276" s="276"/>
      <c r="R276" s="278">
        <f t="shared" si="168"/>
        <v>24</v>
      </c>
      <c r="S276" s="272">
        <f>IFERROR(INDEX('Horo. M'!G$3:$G$367,MATCH(A276,'Horo. M'!$A$3:$A$367,0)),"")</f>
        <v>0</v>
      </c>
      <c r="T276" s="278"/>
      <c r="U276" s="278"/>
      <c r="V276" s="272">
        <f t="shared" si="169"/>
        <v>24</v>
      </c>
      <c r="W276" s="274">
        <f t="shared" si="170"/>
        <v>0</v>
      </c>
      <c r="X276" s="275">
        <f t="shared" si="171"/>
        <v>1</v>
      </c>
      <c r="Y276" s="278"/>
      <c r="Z276" s="278">
        <f t="shared" si="172"/>
        <v>24</v>
      </c>
      <c r="AA276" s="272">
        <f>IFERROR(INDEX('Horo. M'!$I$3:I$367,MATCH(A276,'Horo. M'!$A$3:$A$367,0)),"")</f>
        <v>0</v>
      </c>
      <c r="AB276" s="273"/>
      <c r="AC276" s="273"/>
      <c r="AD276" s="272">
        <f t="shared" si="173"/>
        <v>24</v>
      </c>
      <c r="AE276" s="274">
        <f t="shared" si="174"/>
        <v>0</v>
      </c>
      <c r="AF276" s="275">
        <f t="shared" si="175"/>
        <v>1</v>
      </c>
      <c r="AG276" s="278"/>
      <c r="AH276" s="272">
        <f t="shared" si="176"/>
        <v>24</v>
      </c>
      <c r="AI276" s="272">
        <f>IFERROR(INDEX('Horo. M'!$K$3:K$367,MATCH(A276,'Horo. M'!$A$3:$A$367,0)),"")</f>
        <v>0</v>
      </c>
      <c r="AJ276" s="278"/>
      <c r="AK276" s="278"/>
      <c r="AL276" s="272">
        <f t="shared" si="177"/>
        <v>24</v>
      </c>
      <c r="AM276" s="274">
        <f t="shared" si="178"/>
        <v>0</v>
      </c>
      <c r="AN276" s="275">
        <f t="shared" si="179"/>
        <v>1</v>
      </c>
      <c r="AO276" s="278"/>
      <c r="AP276" s="272">
        <f t="shared" si="180"/>
        <v>24</v>
      </c>
      <c r="AQ276" s="272">
        <f>IFERROR(INDEX('Horo. M'!$M$3:M$367,MATCH(A276,'Horo. M'!$A$3:$A$367,0)),"")</f>
        <v>0</v>
      </c>
      <c r="AR276" s="278"/>
      <c r="AS276" s="278"/>
      <c r="AT276" s="272">
        <f t="shared" si="181"/>
        <v>24</v>
      </c>
      <c r="AU276" s="274">
        <f t="shared" si="182"/>
        <v>0</v>
      </c>
      <c r="AV276" s="275">
        <f t="shared" si="183"/>
        <v>1</v>
      </c>
      <c r="AW276" s="278"/>
      <c r="AX276" s="272">
        <f t="shared" si="184"/>
        <v>24</v>
      </c>
      <c r="AY276" s="272">
        <f>IFERROR(INDEX('Horo. M'!$O$3:O$367,MATCH(A276,'Horo. M'!$A$3:$A$367,0)),"")</f>
        <v>0</v>
      </c>
      <c r="AZ276" s="278"/>
      <c r="BA276" s="278"/>
      <c r="BB276" s="272">
        <f t="shared" si="185"/>
        <v>24</v>
      </c>
      <c r="BC276" s="274">
        <f t="shared" si="186"/>
        <v>0</v>
      </c>
      <c r="BD276" s="275">
        <f t="shared" si="187"/>
        <v>1</v>
      </c>
      <c r="BE276" s="278"/>
      <c r="BF276" s="272">
        <f t="shared" si="188"/>
        <v>24</v>
      </c>
      <c r="BG276" s="272">
        <f>IFERROR(INDEX('Horo. M'!$Q$3:Q$367,MATCH(A276,'Horo. M'!$A$3:$A$367,0)),"")</f>
        <v>0</v>
      </c>
      <c r="BH276" s="278"/>
      <c r="BI276" s="278"/>
      <c r="BJ276" s="272">
        <f t="shared" si="189"/>
        <v>24</v>
      </c>
      <c r="BK276" s="274">
        <f t="shared" si="190"/>
        <v>0</v>
      </c>
      <c r="BL276" s="275">
        <f t="shared" si="191"/>
        <v>1</v>
      </c>
      <c r="BM276" s="278"/>
      <c r="BN276" s="272">
        <f t="shared" si="192"/>
        <v>24</v>
      </c>
      <c r="BO276" s="272">
        <f>IFERROR(INDEX('Horo. M'!$S$3:S$367,MATCH(A276,'Horo. M'!$A$3:$A$367,0)),"")</f>
        <v>0</v>
      </c>
      <c r="BP276" s="278"/>
      <c r="BQ276" s="278"/>
      <c r="BR276" s="272">
        <f t="shared" si="193"/>
        <v>24</v>
      </c>
      <c r="BS276" s="274">
        <f t="shared" si="194"/>
        <v>0</v>
      </c>
      <c r="BT276" s="275">
        <f t="shared" si="195"/>
        <v>1</v>
      </c>
      <c r="BU276" s="278"/>
      <c r="BV276" s="272">
        <f t="shared" si="196"/>
        <v>24</v>
      </c>
      <c r="BW276" s="272">
        <f>IFERROR(INDEX('Horo. M'!$U$3:U$367,MATCH(A276,'Horo. M'!$A$3:$A$367,0)),"")</f>
        <v>0</v>
      </c>
      <c r="BX276" s="278"/>
      <c r="BY276" s="278"/>
      <c r="BZ276" s="272">
        <f t="shared" si="197"/>
        <v>24</v>
      </c>
      <c r="CA276" s="274">
        <f t="shared" si="198"/>
        <v>0</v>
      </c>
      <c r="CB276" s="275">
        <f t="shared" si="199"/>
        <v>1</v>
      </c>
      <c r="CC276" s="280"/>
    </row>
    <row r="277" spans="1:81">
      <c r="A277" s="279">
        <v>45202</v>
      </c>
      <c r="B277" s="278">
        <f t="shared" si="160"/>
        <v>24</v>
      </c>
      <c r="C277" s="272">
        <f>IFERROR(INDEX('Horo. M'!$C$3:$C$367,MATCH(A277,'Horo. M'!$A$3:$A$367,0)),"")</f>
        <v>0</v>
      </c>
      <c r="D277" s="278"/>
      <c r="E277" s="278"/>
      <c r="F277" s="272">
        <f t="shared" si="161"/>
        <v>24</v>
      </c>
      <c r="G277" s="274">
        <f t="shared" si="162"/>
        <v>0</v>
      </c>
      <c r="H277" s="275">
        <f t="shared" si="163"/>
        <v>1</v>
      </c>
      <c r="I277" s="277"/>
      <c r="J277" s="278">
        <f t="shared" si="164"/>
        <v>24</v>
      </c>
      <c r="K277" s="272">
        <f>IFERROR(INDEX('Horo. M'!$E$3:$E$367,MATCH(A277,'Horo. M'!$A$3:$A$367,0)),"")</f>
        <v>0</v>
      </c>
      <c r="L277" s="273"/>
      <c r="M277" s="273"/>
      <c r="N277" s="272">
        <f t="shared" si="165"/>
        <v>24</v>
      </c>
      <c r="O277" s="274">
        <f t="shared" si="166"/>
        <v>0</v>
      </c>
      <c r="P277" s="275">
        <f t="shared" si="167"/>
        <v>1</v>
      </c>
      <c r="Q277" s="276"/>
      <c r="R277" s="278">
        <f t="shared" si="168"/>
        <v>24</v>
      </c>
      <c r="S277" s="272">
        <f>IFERROR(INDEX('Horo. M'!G$3:$G$367,MATCH(A277,'Horo. M'!$A$3:$A$367,0)),"")</f>
        <v>0</v>
      </c>
      <c r="T277" s="278"/>
      <c r="U277" s="278"/>
      <c r="V277" s="272">
        <f t="shared" si="169"/>
        <v>24</v>
      </c>
      <c r="W277" s="274">
        <f t="shared" si="170"/>
        <v>0</v>
      </c>
      <c r="X277" s="275">
        <f t="shared" si="171"/>
        <v>1</v>
      </c>
      <c r="Y277" s="278"/>
      <c r="Z277" s="278">
        <f t="shared" si="172"/>
        <v>24</v>
      </c>
      <c r="AA277" s="272">
        <f>IFERROR(INDEX('Horo. M'!$I$3:I$367,MATCH(A277,'Horo. M'!$A$3:$A$367,0)),"")</f>
        <v>0</v>
      </c>
      <c r="AB277" s="273"/>
      <c r="AC277" s="273"/>
      <c r="AD277" s="272">
        <f t="shared" si="173"/>
        <v>24</v>
      </c>
      <c r="AE277" s="274">
        <f t="shared" si="174"/>
        <v>0</v>
      </c>
      <c r="AF277" s="275">
        <f t="shared" si="175"/>
        <v>1</v>
      </c>
      <c r="AG277" s="278"/>
      <c r="AH277" s="272">
        <f t="shared" si="176"/>
        <v>24</v>
      </c>
      <c r="AI277" s="272">
        <f>IFERROR(INDEX('Horo. M'!$K$3:K$367,MATCH(A277,'Horo. M'!$A$3:$A$367,0)),"")</f>
        <v>0</v>
      </c>
      <c r="AJ277" s="278"/>
      <c r="AK277" s="278"/>
      <c r="AL277" s="272">
        <f t="shared" si="177"/>
        <v>24</v>
      </c>
      <c r="AM277" s="274">
        <f t="shared" si="178"/>
        <v>0</v>
      </c>
      <c r="AN277" s="275">
        <f t="shared" si="179"/>
        <v>1</v>
      </c>
      <c r="AO277" s="278"/>
      <c r="AP277" s="272">
        <f t="shared" si="180"/>
        <v>24</v>
      </c>
      <c r="AQ277" s="272">
        <f>IFERROR(INDEX('Horo. M'!$M$3:M$367,MATCH(A277,'Horo. M'!$A$3:$A$367,0)),"")</f>
        <v>0</v>
      </c>
      <c r="AR277" s="278"/>
      <c r="AS277" s="278"/>
      <c r="AT277" s="272">
        <f t="shared" si="181"/>
        <v>24</v>
      </c>
      <c r="AU277" s="274">
        <f t="shared" si="182"/>
        <v>0</v>
      </c>
      <c r="AV277" s="275">
        <f t="shared" si="183"/>
        <v>1</v>
      </c>
      <c r="AW277" s="278"/>
      <c r="AX277" s="272">
        <f t="shared" si="184"/>
        <v>24</v>
      </c>
      <c r="AY277" s="272">
        <f>IFERROR(INDEX('Horo. M'!$O$3:O$367,MATCH(A277,'Horo. M'!$A$3:$A$367,0)),"")</f>
        <v>0</v>
      </c>
      <c r="AZ277" s="278"/>
      <c r="BA277" s="278"/>
      <c r="BB277" s="272">
        <f t="shared" si="185"/>
        <v>24</v>
      </c>
      <c r="BC277" s="274">
        <f t="shared" si="186"/>
        <v>0</v>
      </c>
      <c r="BD277" s="275">
        <f t="shared" si="187"/>
        <v>1</v>
      </c>
      <c r="BE277" s="278"/>
      <c r="BF277" s="272">
        <f t="shared" si="188"/>
        <v>24</v>
      </c>
      <c r="BG277" s="272">
        <f>IFERROR(INDEX('Horo. M'!$Q$3:Q$367,MATCH(A277,'Horo. M'!$A$3:$A$367,0)),"")</f>
        <v>0</v>
      </c>
      <c r="BH277" s="278"/>
      <c r="BI277" s="278"/>
      <c r="BJ277" s="272">
        <f t="shared" si="189"/>
        <v>24</v>
      </c>
      <c r="BK277" s="274">
        <f t="shared" si="190"/>
        <v>0</v>
      </c>
      <c r="BL277" s="275">
        <f t="shared" si="191"/>
        <v>1</v>
      </c>
      <c r="BM277" s="278"/>
      <c r="BN277" s="272">
        <f t="shared" si="192"/>
        <v>24</v>
      </c>
      <c r="BO277" s="272">
        <f>IFERROR(INDEX('Horo. M'!$S$3:S$367,MATCH(A277,'Horo. M'!$A$3:$A$367,0)),"")</f>
        <v>0</v>
      </c>
      <c r="BP277" s="278"/>
      <c r="BQ277" s="278"/>
      <c r="BR277" s="272">
        <f t="shared" si="193"/>
        <v>24</v>
      </c>
      <c r="BS277" s="274">
        <f t="shared" si="194"/>
        <v>0</v>
      </c>
      <c r="BT277" s="275">
        <f t="shared" si="195"/>
        <v>1</v>
      </c>
      <c r="BU277" s="278"/>
      <c r="BV277" s="272">
        <f t="shared" si="196"/>
        <v>24</v>
      </c>
      <c r="BW277" s="272">
        <f>IFERROR(INDEX('Horo. M'!$U$3:U$367,MATCH(A277,'Horo. M'!$A$3:$A$367,0)),"")</f>
        <v>0</v>
      </c>
      <c r="BX277" s="278"/>
      <c r="BY277" s="278"/>
      <c r="BZ277" s="272">
        <f t="shared" si="197"/>
        <v>24</v>
      </c>
      <c r="CA277" s="274">
        <f t="shared" si="198"/>
        <v>0</v>
      </c>
      <c r="CB277" s="275">
        <f t="shared" si="199"/>
        <v>1</v>
      </c>
      <c r="CC277" s="280"/>
    </row>
    <row r="278" spans="1:81">
      <c r="A278" s="279">
        <v>45203</v>
      </c>
      <c r="B278" s="278">
        <f t="shared" si="160"/>
        <v>24</v>
      </c>
      <c r="C278" s="272">
        <f>IFERROR(INDEX('Horo. M'!$C$3:$C$367,MATCH(A278,'Horo. M'!$A$3:$A$367,0)),"")</f>
        <v>0</v>
      </c>
      <c r="D278" s="278"/>
      <c r="E278" s="278"/>
      <c r="F278" s="272">
        <f t="shared" si="161"/>
        <v>24</v>
      </c>
      <c r="G278" s="274">
        <f t="shared" si="162"/>
        <v>0</v>
      </c>
      <c r="H278" s="275">
        <f t="shared" si="163"/>
        <v>1</v>
      </c>
      <c r="I278" s="277"/>
      <c r="J278" s="278">
        <f t="shared" si="164"/>
        <v>24</v>
      </c>
      <c r="K278" s="272">
        <f>IFERROR(INDEX('Horo. M'!$E$3:$E$367,MATCH(A278,'Horo. M'!$A$3:$A$367,0)),"")</f>
        <v>0</v>
      </c>
      <c r="L278" s="273"/>
      <c r="M278" s="273"/>
      <c r="N278" s="272">
        <f t="shared" si="165"/>
        <v>24</v>
      </c>
      <c r="O278" s="274">
        <f t="shared" si="166"/>
        <v>0</v>
      </c>
      <c r="P278" s="275">
        <f t="shared" si="167"/>
        <v>1</v>
      </c>
      <c r="Q278" s="276"/>
      <c r="R278" s="278">
        <f t="shared" si="168"/>
        <v>24</v>
      </c>
      <c r="S278" s="272">
        <f>IFERROR(INDEX('Horo. M'!G$3:$G$367,MATCH(A278,'Horo. M'!$A$3:$A$367,0)),"")</f>
        <v>0</v>
      </c>
      <c r="T278" s="278"/>
      <c r="U278" s="278"/>
      <c r="V278" s="272">
        <f t="shared" si="169"/>
        <v>24</v>
      </c>
      <c r="W278" s="274">
        <f t="shared" si="170"/>
        <v>0</v>
      </c>
      <c r="X278" s="275">
        <f t="shared" si="171"/>
        <v>1</v>
      </c>
      <c r="Y278" s="278"/>
      <c r="Z278" s="278">
        <f t="shared" si="172"/>
        <v>24</v>
      </c>
      <c r="AA278" s="272">
        <f>IFERROR(INDEX('Horo. M'!$I$3:I$367,MATCH(A278,'Horo. M'!$A$3:$A$367,0)),"")</f>
        <v>0</v>
      </c>
      <c r="AB278" s="273"/>
      <c r="AC278" s="273"/>
      <c r="AD278" s="272">
        <f t="shared" si="173"/>
        <v>24</v>
      </c>
      <c r="AE278" s="274">
        <f t="shared" si="174"/>
        <v>0</v>
      </c>
      <c r="AF278" s="275">
        <f t="shared" si="175"/>
        <v>1</v>
      </c>
      <c r="AG278" s="278"/>
      <c r="AH278" s="272">
        <f t="shared" si="176"/>
        <v>24</v>
      </c>
      <c r="AI278" s="272">
        <f>IFERROR(INDEX('Horo. M'!$K$3:K$367,MATCH(A278,'Horo. M'!$A$3:$A$367,0)),"")</f>
        <v>0</v>
      </c>
      <c r="AJ278" s="278"/>
      <c r="AK278" s="278"/>
      <c r="AL278" s="272">
        <f t="shared" si="177"/>
        <v>24</v>
      </c>
      <c r="AM278" s="274">
        <f t="shared" si="178"/>
        <v>0</v>
      </c>
      <c r="AN278" s="275">
        <f t="shared" si="179"/>
        <v>1</v>
      </c>
      <c r="AO278" s="278"/>
      <c r="AP278" s="272">
        <f t="shared" si="180"/>
        <v>24</v>
      </c>
      <c r="AQ278" s="272">
        <f>IFERROR(INDEX('Horo. M'!$M$3:M$367,MATCH(A278,'Horo. M'!$A$3:$A$367,0)),"")</f>
        <v>0</v>
      </c>
      <c r="AR278" s="278"/>
      <c r="AS278" s="278"/>
      <c r="AT278" s="272">
        <f t="shared" si="181"/>
        <v>24</v>
      </c>
      <c r="AU278" s="274">
        <f t="shared" si="182"/>
        <v>0</v>
      </c>
      <c r="AV278" s="275">
        <f t="shared" si="183"/>
        <v>1</v>
      </c>
      <c r="AW278" s="278"/>
      <c r="AX278" s="272">
        <f t="shared" si="184"/>
        <v>24</v>
      </c>
      <c r="AY278" s="272">
        <f>IFERROR(INDEX('Horo. M'!$O$3:O$367,MATCH(A278,'Horo. M'!$A$3:$A$367,0)),"")</f>
        <v>0</v>
      </c>
      <c r="AZ278" s="278"/>
      <c r="BA278" s="278"/>
      <c r="BB278" s="272">
        <f t="shared" si="185"/>
        <v>24</v>
      </c>
      <c r="BC278" s="274">
        <f t="shared" si="186"/>
        <v>0</v>
      </c>
      <c r="BD278" s="275">
        <f t="shared" si="187"/>
        <v>1</v>
      </c>
      <c r="BE278" s="278"/>
      <c r="BF278" s="272">
        <f t="shared" si="188"/>
        <v>24</v>
      </c>
      <c r="BG278" s="272">
        <f>IFERROR(INDEX('Horo. M'!$Q$3:Q$367,MATCH(A278,'Horo. M'!$A$3:$A$367,0)),"")</f>
        <v>0</v>
      </c>
      <c r="BH278" s="278"/>
      <c r="BI278" s="278"/>
      <c r="BJ278" s="272">
        <f t="shared" si="189"/>
        <v>24</v>
      </c>
      <c r="BK278" s="274">
        <f t="shared" si="190"/>
        <v>0</v>
      </c>
      <c r="BL278" s="275">
        <f t="shared" si="191"/>
        <v>1</v>
      </c>
      <c r="BM278" s="278"/>
      <c r="BN278" s="272">
        <f t="shared" si="192"/>
        <v>24</v>
      </c>
      <c r="BO278" s="272">
        <f>IFERROR(INDEX('Horo. M'!$S$3:S$367,MATCH(A278,'Horo. M'!$A$3:$A$367,0)),"")</f>
        <v>0</v>
      </c>
      <c r="BP278" s="278"/>
      <c r="BQ278" s="278"/>
      <c r="BR278" s="272">
        <f t="shared" si="193"/>
        <v>24</v>
      </c>
      <c r="BS278" s="274">
        <f t="shared" si="194"/>
        <v>0</v>
      </c>
      <c r="BT278" s="275">
        <f t="shared" si="195"/>
        <v>1</v>
      </c>
      <c r="BU278" s="278"/>
      <c r="BV278" s="272">
        <f t="shared" si="196"/>
        <v>24</v>
      </c>
      <c r="BW278" s="272">
        <f>IFERROR(INDEX('Horo. M'!$U$3:U$367,MATCH(A278,'Horo. M'!$A$3:$A$367,0)),"")</f>
        <v>0</v>
      </c>
      <c r="BX278" s="278"/>
      <c r="BY278" s="278"/>
      <c r="BZ278" s="272">
        <f t="shared" si="197"/>
        <v>24</v>
      </c>
      <c r="CA278" s="274">
        <f t="shared" si="198"/>
        <v>0</v>
      </c>
      <c r="CB278" s="275">
        <f t="shared" si="199"/>
        <v>1</v>
      </c>
      <c r="CC278" s="280"/>
    </row>
    <row r="279" spans="1:81">
      <c r="A279" s="279">
        <v>45204</v>
      </c>
      <c r="B279" s="278">
        <f t="shared" si="160"/>
        <v>24</v>
      </c>
      <c r="C279" s="272">
        <f>IFERROR(INDEX('Horo. M'!$C$3:$C$367,MATCH(A279,'Horo. M'!$A$3:$A$367,0)),"")</f>
        <v>0</v>
      </c>
      <c r="D279" s="278"/>
      <c r="E279" s="278"/>
      <c r="F279" s="272">
        <f t="shared" si="161"/>
        <v>24</v>
      </c>
      <c r="G279" s="274">
        <f t="shared" si="162"/>
        <v>0</v>
      </c>
      <c r="H279" s="275">
        <f t="shared" si="163"/>
        <v>1</v>
      </c>
      <c r="I279" s="277"/>
      <c r="J279" s="278">
        <f t="shared" si="164"/>
        <v>24</v>
      </c>
      <c r="K279" s="272">
        <f>IFERROR(INDEX('Horo. M'!$E$3:$E$367,MATCH(A279,'Horo. M'!$A$3:$A$367,0)),"")</f>
        <v>0</v>
      </c>
      <c r="L279" s="273"/>
      <c r="M279" s="273"/>
      <c r="N279" s="272">
        <f t="shared" si="165"/>
        <v>24</v>
      </c>
      <c r="O279" s="274">
        <f t="shared" si="166"/>
        <v>0</v>
      </c>
      <c r="P279" s="275">
        <f t="shared" si="167"/>
        <v>1</v>
      </c>
      <c r="Q279" s="276"/>
      <c r="R279" s="278">
        <f t="shared" si="168"/>
        <v>24</v>
      </c>
      <c r="S279" s="272">
        <f>IFERROR(INDEX('Horo. M'!G$3:$G$367,MATCH(A279,'Horo. M'!$A$3:$A$367,0)),"")</f>
        <v>0</v>
      </c>
      <c r="T279" s="278"/>
      <c r="U279" s="278"/>
      <c r="V279" s="272">
        <f t="shared" si="169"/>
        <v>24</v>
      </c>
      <c r="W279" s="274">
        <f t="shared" si="170"/>
        <v>0</v>
      </c>
      <c r="X279" s="275">
        <f t="shared" si="171"/>
        <v>1</v>
      </c>
      <c r="Y279" s="278"/>
      <c r="Z279" s="278">
        <f t="shared" si="172"/>
        <v>24</v>
      </c>
      <c r="AA279" s="272">
        <f>IFERROR(INDEX('Horo. M'!$I$3:I$367,MATCH(A279,'Horo. M'!$A$3:$A$367,0)),"")</f>
        <v>0</v>
      </c>
      <c r="AB279" s="273"/>
      <c r="AC279" s="273"/>
      <c r="AD279" s="272">
        <f t="shared" si="173"/>
        <v>24</v>
      </c>
      <c r="AE279" s="274">
        <f t="shared" si="174"/>
        <v>0</v>
      </c>
      <c r="AF279" s="275">
        <f t="shared" si="175"/>
        <v>1</v>
      </c>
      <c r="AG279" s="278"/>
      <c r="AH279" s="272">
        <f t="shared" si="176"/>
        <v>24</v>
      </c>
      <c r="AI279" s="272">
        <f>IFERROR(INDEX('Horo. M'!$K$3:K$367,MATCH(A279,'Horo. M'!$A$3:$A$367,0)),"")</f>
        <v>0</v>
      </c>
      <c r="AJ279" s="278"/>
      <c r="AK279" s="278"/>
      <c r="AL279" s="272">
        <f t="shared" si="177"/>
        <v>24</v>
      </c>
      <c r="AM279" s="274">
        <f t="shared" si="178"/>
        <v>0</v>
      </c>
      <c r="AN279" s="275">
        <f t="shared" si="179"/>
        <v>1</v>
      </c>
      <c r="AO279" s="278"/>
      <c r="AP279" s="272">
        <f t="shared" si="180"/>
        <v>24</v>
      </c>
      <c r="AQ279" s="272">
        <f>IFERROR(INDEX('Horo. M'!$M$3:M$367,MATCH(A279,'Horo. M'!$A$3:$A$367,0)),"")</f>
        <v>0</v>
      </c>
      <c r="AR279" s="278"/>
      <c r="AS279" s="278"/>
      <c r="AT279" s="272">
        <f t="shared" si="181"/>
        <v>24</v>
      </c>
      <c r="AU279" s="274">
        <f t="shared" si="182"/>
        <v>0</v>
      </c>
      <c r="AV279" s="275">
        <f t="shared" si="183"/>
        <v>1</v>
      </c>
      <c r="AW279" s="278"/>
      <c r="AX279" s="272">
        <f t="shared" si="184"/>
        <v>24</v>
      </c>
      <c r="AY279" s="272">
        <f>IFERROR(INDEX('Horo. M'!$O$3:O$367,MATCH(A279,'Horo. M'!$A$3:$A$367,0)),"")</f>
        <v>0</v>
      </c>
      <c r="AZ279" s="278"/>
      <c r="BA279" s="278"/>
      <c r="BB279" s="272">
        <f t="shared" si="185"/>
        <v>24</v>
      </c>
      <c r="BC279" s="274">
        <f t="shared" si="186"/>
        <v>0</v>
      </c>
      <c r="BD279" s="275">
        <f t="shared" si="187"/>
        <v>1</v>
      </c>
      <c r="BE279" s="278"/>
      <c r="BF279" s="272">
        <f t="shared" si="188"/>
        <v>24</v>
      </c>
      <c r="BG279" s="272">
        <f>IFERROR(INDEX('Horo. M'!$Q$3:Q$367,MATCH(A279,'Horo. M'!$A$3:$A$367,0)),"")</f>
        <v>0</v>
      </c>
      <c r="BH279" s="278"/>
      <c r="BI279" s="278"/>
      <c r="BJ279" s="272">
        <f t="shared" si="189"/>
        <v>24</v>
      </c>
      <c r="BK279" s="274">
        <f t="shared" si="190"/>
        <v>0</v>
      </c>
      <c r="BL279" s="275">
        <f t="shared" si="191"/>
        <v>1</v>
      </c>
      <c r="BM279" s="278"/>
      <c r="BN279" s="272">
        <f t="shared" si="192"/>
        <v>24</v>
      </c>
      <c r="BO279" s="272">
        <f>IFERROR(INDEX('Horo. M'!$S$3:S$367,MATCH(A279,'Horo. M'!$A$3:$A$367,0)),"")</f>
        <v>0</v>
      </c>
      <c r="BP279" s="278"/>
      <c r="BQ279" s="278"/>
      <c r="BR279" s="272">
        <f t="shared" si="193"/>
        <v>24</v>
      </c>
      <c r="BS279" s="274">
        <f t="shared" si="194"/>
        <v>0</v>
      </c>
      <c r="BT279" s="275">
        <f t="shared" si="195"/>
        <v>1</v>
      </c>
      <c r="BU279" s="278"/>
      <c r="BV279" s="272">
        <f t="shared" si="196"/>
        <v>24</v>
      </c>
      <c r="BW279" s="272">
        <f>IFERROR(INDEX('Horo. M'!$U$3:U$367,MATCH(A279,'Horo. M'!$A$3:$A$367,0)),"")</f>
        <v>0</v>
      </c>
      <c r="BX279" s="278"/>
      <c r="BY279" s="278"/>
      <c r="BZ279" s="272">
        <f t="shared" si="197"/>
        <v>24</v>
      </c>
      <c r="CA279" s="274">
        <f t="shared" si="198"/>
        <v>0</v>
      </c>
      <c r="CB279" s="275">
        <f t="shared" si="199"/>
        <v>1</v>
      </c>
      <c r="CC279" s="280"/>
    </row>
    <row r="280" spans="1:81">
      <c r="A280" s="279">
        <v>45205</v>
      </c>
      <c r="B280" s="278">
        <f t="shared" si="160"/>
        <v>24</v>
      </c>
      <c r="C280" s="272">
        <f>IFERROR(INDEX('Horo. M'!$C$3:$C$367,MATCH(A280,'Horo. M'!$A$3:$A$367,0)),"")</f>
        <v>0</v>
      </c>
      <c r="D280" s="278"/>
      <c r="E280" s="278"/>
      <c r="F280" s="272">
        <f t="shared" si="161"/>
        <v>24</v>
      </c>
      <c r="G280" s="274">
        <f t="shared" si="162"/>
        <v>0</v>
      </c>
      <c r="H280" s="275">
        <f t="shared" si="163"/>
        <v>1</v>
      </c>
      <c r="I280" s="277"/>
      <c r="J280" s="278">
        <f t="shared" si="164"/>
        <v>24</v>
      </c>
      <c r="K280" s="272">
        <f>IFERROR(INDEX('Horo. M'!$E$3:$E$367,MATCH(A280,'Horo. M'!$A$3:$A$367,0)),"")</f>
        <v>0</v>
      </c>
      <c r="L280" s="273"/>
      <c r="M280" s="273"/>
      <c r="N280" s="272">
        <f t="shared" si="165"/>
        <v>24</v>
      </c>
      <c r="O280" s="274">
        <f t="shared" si="166"/>
        <v>0</v>
      </c>
      <c r="P280" s="275">
        <f t="shared" si="167"/>
        <v>1</v>
      </c>
      <c r="Q280" s="276"/>
      <c r="R280" s="278">
        <f t="shared" si="168"/>
        <v>24</v>
      </c>
      <c r="S280" s="272">
        <f>IFERROR(INDEX('Horo. M'!G$3:$G$367,MATCH(A280,'Horo. M'!$A$3:$A$367,0)),"")</f>
        <v>0</v>
      </c>
      <c r="T280" s="278"/>
      <c r="U280" s="278"/>
      <c r="V280" s="272">
        <f t="shared" si="169"/>
        <v>24</v>
      </c>
      <c r="W280" s="274">
        <f t="shared" si="170"/>
        <v>0</v>
      </c>
      <c r="X280" s="275">
        <f t="shared" si="171"/>
        <v>1</v>
      </c>
      <c r="Y280" s="278"/>
      <c r="Z280" s="278">
        <f t="shared" si="172"/>
        <v>24</v>
      </c>
      <c r="AA280" s="272">
        <f>IFERROR(INDEX('Horo. M'!$I$3:I$367,MATCH(A280,'Horo. M'!$A$3:$A$367,0)),"")</f>
        <v>0</v>
      </c>
      <c r="AB280" s="273"/>
      <c r="AC280" s="273"/>
      <c r="AD280" s="272">
        <f t="shared" si="173"/>
        <v>24</v>
      </c>
      <c r="AE280" s="274">
        <f t="shared" si="174"/>
        <v>0</v>
      </c>
      <c r="AF280" s="275">
        <f t="shared" si="175"/>
        <v>1</v>
      </c>
      <c r="AG280" s="278"/>
      <c r="AH280" s="272">
        <f t="shared" si="176"/>
        <v>24</v>
      </c>
      <c r="AI280" s="272">
        <f>IFERROR(INDEX('Horo. M'!$K$3:K$367,MATCH(A280,'Horo. M'!$A$3:$A$367,0)),"")</f>
        <v>0</v>
      </c>
      <c r="AJ280" s="278"/>
      <c r="AK280" s="278"/>
      <c r="AL280" s="272">
        <f t="shared" si="177"/>
        <v>24</v>
      </c>
      <c r="AM280" s="274">
        <f t="shared" si="178"/>
        <v>0</v>
      </c>
      <c r="AN280" s="275">
        <f t="shared" si="179"/>
        <v>1</v>
      </c>
      <c r="AO280" s="278"/>
      <c r="AP280" s="272">
        <f t="shared" si="180"/>
        <v>24</v>
      </c>
      <c r="AQ280" s="272">
        <f>IFERROR(INDEX('Horo. M'!$M$3:M$367,MATCH(A280,'Horo. M'!$A$3:$A$367,0)),"")</f>
        <v>0</v>
      </c>
      <c r="AR280" s="278"/>
      <c r="AS280" s="278"/>
      <c r="AT280" s="272">
        <f t="shared" si="181"/>
        <v>24</v>
      </c>
      <c r="AU280" s="274">
        <f t="shared" si="182"/>
        <v>0</v>
      </c>
      <c r="AV280" s="275">
        <f t="shared" si="183"/>
        <v>1</v>
      </c>
      <c r="AW280" s="278"/>
      <c r="AX280" s="272">
        <f t="shared" si="184"/>
        <v>24</v>
      </c>
      <c r="AY280" s="272">
        <f>IFERROR(INDEX('Horo. M'!$O$3:O$367,MATCH(A280,'Horo. M'!$A$3:$A$367,0)),"")</f>
        <v>0</v>
      </c>
      <c r="AZ280" s="278"/>
      <c r="BA280" s="278"/>
      <c r="BB280" s="272">
        <f t="shared" si="185"/>
        <v>24</v>
      </c>
      <c r="BC280" s="274">
        <f t="shared" si="186"/>
        <v>0</v>
      </c>
      <c r="BD280" s="275">
        <f t="shared" si="187"/>
        <v>1</v>
      </c>
      <c r="BE280" s="278"/>
      <c r="BF280" s="272">
        <f t="shared" si="188"/>
        <v>24</v>
      </c>
      <c r="BG280" s="272">
        <f>IFERROR(INDEX('Horo. M'!$Q$3:Q$367,MATCH(A280,'Horo. M'!$A$3:$A$367,0)),"")</f>
        <v>0</v>
      </c>
      <c r="BH280" s="278"/>
      <c r="BI280" s="278"/>
      <c r="BJ280" s="272">
        <f t="shared" si="189"/>
        <v>24</v>
      </c>
      <c r="BK280" s="274">
        <f t="shared" si="190"/>
        <v>0</v>
      </c>
      <c r="BL280" s="275">
        <f t="shared" si="191"/>
        <v>1</v>
      </c>
      <c r="BM280" s="278"/>
      <c r="BN280" s="272">
        <f t="shared" si="192"/>
        <v>24</v>
      </c>
      <c r="BO280" s="272">
        <f>IFERROR(INDEX('Horo. M'!$S$3:S$367,MATCH(A280,'Horo. M'!$A$3:$A$367,0)),"")</f>
        <v>0</v>
      </c>
      <c r="BP280" s="278"/>
      <c r="BQ280" s="278"/>
      <c r="BR280" s="272">
        <f t="shared" si="193"/>
        <v>24</v>
      </c>
      <c r="BS280" s="274">
        <f t="shared" si="194"/>
        <v>0</v>
      </c>
      <c r="BT280" s="275">
        <f t="shared" si="195"/>
        <v>1</v>
      </c>
      <c r="BU280" s="278"/>
      <c r="BV280" s="272">
        <f t="shared" si="196"/>
        <v>24</v>
      </c>
      <c r="BW280" s="272">
        <f>IFERROR(INDEX('Horo. M'!$U$3:U$367,MATCH(A280,'Horo. M'!$A$3:$A$367,0)),"")</f>
        <v>0</v>
      </c>
      <c r="BX280" s="278"/>
      <c r="BY280" s="278"/>
      <c r="BZ280" s="272">
        <f t="shared" si="197"/>
        <v>24</v>
      </c>
      <c r="CA280" s="274">
        <f t="shared" si="198"/>
        <v>0</v>
      </c>
      <c r="CB280" s="275">
        <f t="shared" si="199"/>
        <v>1</v>
      </c>
      <c r="CC280" s="280"/>
    </row>
    <row r="281" spans="1:81">
      <c r="A281" s="279">
        <v>45206</v>
      </c>
      <c r="B281" s="278">
        <f t="shared" si="160"/>
        <v>24</v>
      </c>
      <c r="C281" s="272">
        <f>IFERROR(INDEX('Horo. M'!$C$3:$C$367,MATCH(A281,'Horo. M'!$A$3:$A$367,0)),"")</f>
        <v>0</v>
      </c>
      <c r="D281" s="278"/>
      <c r="E281" s="278"/>
      <c r="F281" s="272">
        <f t="shared" si="161"/>
        <v>24</v>
      </c>
      <c r="G281" s="274">
        <f t="shared" si="162"/>
        <v>0</v>
      </c>
      <c r="H281" s="275">
        <f t="shared" si="163"/>
        <v>1</v>
      </c>
      <c r="I281" s="277"/>
      <c r="J281" s="278">
        <f t="shared" si="164"/>
        <v>24</v>
      </c>
      <c r="K281" s="272">
        <f>IFERROR(INDEX('Horo. M'!$E$3:$E$367,MATCH(A281,'Horo. M'!$A$3:$A$367,0)),"")</f>
        <v>0</v>
      </c>
      <c r="L281" s="273"/>
      <c r="M281" s="273"/>
      <c r="N281" s="272">
        <f t="shared" si="165"/>
        <v>24</v>
      </c>
      <c r="O281" s="274">
        <f t="shared" si="166"/>
        <v>0</v>
      </c>
      <c r="P281" s="275">
        <f t="shared" si="167"/>
        <v>1</v>
      </c>
      <c r="Q281" s="276"/>
      <c r="R281" s="278">
        <f t="shared" si="168"/>
        <v>24</v>
      </c>
      <c r="S281" s="272">
        <f>IFERROR(INDEX('Horo. M'!G$3:$G$367,MATCH(A281,'Horo. M'!$A$3:$A$367,0)),"")</f>
        <v>0</v>
      </c>
      <c r="T281" s="278"/>
      <c r="U281" s="278"/>
      <c r="V281" s="272">
        <f t="shared" si="169"/>
        <v>24</v>
      </c>
      <c r="W281" s="274">
        <f t="shared" si="170"/>
        <v>0</v>
      </c>
      <c r="X281" s="275">
        <f t="shared" si="171"/>
        <v>1</v>
      </c>
      <c r="Y281" s="278"/>
      <c r="Z281" s="278">
        <f t="shared" si="172"/>
        <v>24</v>
      </c>
      <c r="AA281" s="272">
        <f>IFERROR(INDEX('Horo. M'!$I$3:I$367,MATCH(A281,'Horo. M'!$A$3:$A$367,0)),"")</f>
        <v>0</v>
      </c>
      <c r="AB281" s="273"/>
      <c r="AC281" s="273"/>
      <c r="AD281" s="272">
        <f t="shared" si="173"/>
        <v>24</v>
      </c>
      <c r="AE281" s="274">
        <f t="shared" si="174"/>
        <v>0</v>
      </c>
      <c r="AF281" s="275">
        <f t="shared" si="175"/>
        <v>1</v>
      </c>
      <c r="AG281" s="278"/>
      <c r="AH281" s="272">
        <f t="shared" si="176"/>
        <v>24</v>
      </c>
      <c r="AI281" s="272">
        <f>IFERROR(INDEX('Horo. M'!$K$3:K$367,MATCH(A281,'Horo. M'!$A$3:$A$367,0)),"")</f>
        <v>0</v>
      </c>
      <c r="AJ281" s="278"/>
      <c r="AK281" s="278"/>
      <c r="AL281" s="272">
        <f t="shared" si="177"/>
        <v>24</v>
      </c>
      <c r="AM281" s="274">
        <f t="shared" si="178"/>
        <v>0</v>
      </c>
      <c r="AN281" s="275">
        <f t="shared" si="179"/>
        <v>1</v>
      </c>
      <c r="AO281" s="278"/>
      <c r="AP281" s="272">
        <f t="shared" si="180"/>
        <v>24</v>
      </c>
      <c r="AQ281" s="272">
        <f>IFERROR(INDEX('Horo. M'!$M$3:M$367,MATCH(A281,'Horo. M'!$A$3:$A$367,0)),"")</f>
        <v>0</v>
      </c>
      <c r="AR281" s="278"/>
      <c r="AS281" s="278"/>
      <c r="AT281" s="272">
        <f t="shared" si="181"/>
        <v>24</v>
      </c>
      <c r="AU281" s="274">
        <f t="shared" si="182"/>
        <v>0</v>
      </c>
      <c r="AV281" s="275">
        <f t="shared" si="183"/>
        <v>1</v>
      </c>
      <c r="AW281" s="278"/>
      <c r="AX281" s="272">
        <f t="shared" si="184"/>
        <v>24</v>
      </c>
      <c r="AY281" s="272">
        <f>IFERROR(INDEX('Horo. M'!$O$3:O$367,MATCH(A281,'Horo. M'!$A$3:$A$367,0)),"")</f>
        <v>0</v>
      </c>
      <c r="AZ281" s="278"/>
      <c r="BA281" s="278"/>
      <c r="BB281" s="272">
        <f t="shared" si="185"/>
        <v>24</v>
      </c>
      <c r="BC281" s="274">
        <f t="shared" si="186"/>
        <v>0</v>
      </c>
      <c r="BD281" s="275">
        <f t="shared" si="187"/>
        <v>1</v>
      </c>
      <c r="BE281" s="278"/>
      <c r="BF281" s="272">
        <f t="shared" si="188"/>
        <v>24</v>
      </c>
      <c r="BG281" s="272">
        <f>IFERROR(INDEX('Horo. M'!$Q$3:Q$367,MATCH(A281,'Horo. M'!$A$3:$A$367,0)),"")</f>
        <v>0</v>
      </c>
      <c r="BH281" s="278"/>
      <c r="BI281" s="278"/>
      <c r="BJ281" s="272">
        <f t="shared" si="189"/>
        <v>24</v>
      </c>
      <c r="BK281" s="274">
        <f t="shared" si="190"/>
        <v>0</v>
      </c>
      <c r="BL281" s="275">
        <f t="shared" si="191"/>
        <v>1</v>
      </c>
      <c r="BM281" s="278"/>
      <c r="BN281" s="272">
        <f t="shared" si="192"/>
        <v>24</v>
      </c>
      <c r="BO281" s="272">
        <f>IFERROR(INDEX('Horo. M'!$S$3:S$367,MATCH(A281,'Horo. M'!$A$3:$A$367,0)),"")</f>
        <v>0</v>
      </c>
      <c r="BP281" s="278"/>
      <c r="BQ281" s="278"/>
      <c r="BR281" s="272">
        <f t="shared" si="193"/>
        <v>24</v>
      </c>
      <c r="BS281" s="274">
        <f t="shared" si="194"/>
        <v>0</v>
      </c>
      <c r="BT281" s="275">
        <f t="shared" si="195"/>
        <v>1</v>
      </c>
      <c r="BU281" s="278"/>
      <c r="BV281" s="272">
        <f t="shared" si="196"/>
        <v>24</v>
      </c>
      <c r="BW281" s="272">
        <f>IFERROR(INDEX('Horo. M'!$U$3:U$367,MATCH(A281,'Horo. M'!$A$3:$A$367,0)),"")</f>
        <v>0</v>
      </c>
      <c r="BX281" s="278"/>
      <c r="BY281" s="278"/>
      <c r="BZ281" s="272">
        <f t="shared" si="197"/>
        <v>24</v>
      </c>
      <c r="CA281" s="274">
        <f t="shared" si="198"/>
        <v>0</v>
      </c>
      <c r="CB281" s="275">
        <f t="shared" si="199"/>
        <v>1</v>
      </c>
      <c r="CC281" s="280"/>
    </row>
    <row r="282" spans="1:81">
      <c r="A282" s="279">
        <v>45207</v>
      </c>
      <c r="B282" s="278">
        <f t="shared" si="160"/>
        <v>24</v>
      </c>
      <c r="C282" s="272">
        <f>IFERROR(INDEX('Horo. M'!$C$3:$C$367,MATCH(A282,'Horo. M'!$A$3:$A$367,0)),"")</f>
        <v>0</v>
      </c>
      <c r="D282" s="278"/>
      <c r="E282" s="278"/>
      <c r="F282" s="272">
        <f t="shared" si="161"/>
        <v>24</v>
      </c>
      <c r="G282" s="274">
        <f t="shared" si="162"/>
        <v>0</v>
      </c>
      <c r="H282" s="275">
        <f t="shared" si="163"/>
        <v>1</v>
      </c>
      <c r="I282" s="277"/>
      <c r="J282" s="278">
        <f t="shared" si="164"/>
        <v>24</v>
      </c>
      <c r="K282" s="272">
        <f>IFERROR(INDEX('Horo. M'!$E$3:$E$367,MATCH(A282,'Horo. M'!$A$3:$A$367,0)),"")</f>
        <v>0</v>
      </c>
      <c r="L282" s="273"/>
      <c r="M282" s="273"/>
      <c r="N282" s="272">
        <f t="shared" si="165"/>
        <v>24</v>
      </c>
      <c r="O282" s="274">
        <f t="shared" si="166"/>
        <v>0</v>
      </c>
      <c r="P282" s="275">
        <f t="shared" si="167"/>
        <v>1</v>
      </c>
      <c r="Q282" s="276"/>
      <c r="R282" s="278">
        <f t="shared" si="168"/>
        <v>24</v>
      </c>
      <c r="S282" s="272">
        <f>IFERROR(INDEX('Horo. M'!G$3:$G$367,MATCH(A282,'Horo. M'!$A$3:$A$367,0)),"")</f>
        <v>0</v>
      </c>
      <c r="T282" s="278"/>
      <c r="U282" s="278"/>
      <c r="V282" s="272">
        <f t="shared" si="169"/>
        <v>24</v>
      </c>
      <c r="W282" s="274">
        <f t="shared" si="170"/>
        <v>0</v>
      </c>
      <c r="X282" s="275">
        <f t="shared" si="171"/>
        <v>1</v>
      </c>
      <c r="Y282" s="278"/>
      <c r="Z282" s="278">
        <f t="shared" si="172"/>
        <v>24</v>
      </c>
      <c r="AA282" s="272">
        <f>IFERROR(INDEX('Horo. M'!$I$3:I$367,MATCH(A282,'Horo. M'!$A$3:$A$367,0)),"")</f>
        <v>0</v>
      </c>
      <c r="AB282" s="273"/>
      <c r="AC282" s="273"/>
      <c r="AD282" s="272">
        <f t="shared" si="173"/>
        <v>24</v>
      </c>
      <c r="AE282" s="274">
        <f t="shared" si="174"/>
        <v>0</v>
      </c>
      <c r="AF282" s="275">
        <f t="shared" si="175"/>
        <v>1</v>
      </c>
      <c r="AG282" s="278"/>
      <c r="AH282" s="272">
        <f t="shared" si="176"/>
        <v>24</v>
      </c>
      <c r="AI282" s="272">
        <f>IFERROR(INDEX('Horo. M'!$K$3:K$367,MATCH(A282,'Horo. M'!$A$3:$A$367,0)),"")</f>
        <v>0</v>
      </c>
      <c r="AJ282" s="278"/>
      <c r="AK282" s="278"/>
      <c r="AL282" s="272">
        <f t="shared" si="177"/>
        <v>24</v>
      </c>
      <c r="AM282" s="274">
        <f t="shared" si="178"/>
        <v>0</v>
      </c>
      <c r="AN282" s="275">
        <f t="shared" si="179"/>
        <v>1</v>
      </c>
      <c r="AO282" s="278"/>
      <c r="AP282" s="272">
        <f t="shared" si="180"/>
        <v>24</v>
      </c>
      <c r="AQ282" s="272">
        <f>IFERROR(INDEX('Horo. M'!$M$3:M$367,MATCH(A282,'Horo. M'!$A$3:$A$367,0)),"")</f>
        <v>0</v>
      </c>
      <c r="AR282" s="278"/>
      <c r="AS282" s="278"/>
      <c r="AT282" s="272">
        <f t="shared" si="181"/>
        <v>24</v>
      </c>
      <c r="AU282" s="274">
        <f t="shared" si="182"/>
        <v>0</v>
      </c>
      <c r="AV282" s="275">
        <f t="shared" si="183"/>
        <v>1</v>
      </c>
      <c r="AW282" s="278"/>
      <c r="AX282" s="272">
        <f t="shared" si="184"/>
        <v>24</v>
      </c>
      <c r="AY282" s="272">
        <f>IFERROR(INDEX('Horo. M'!$O$3:O$367,MATCH(A282,'Horo. M'!$A$3:$A$367,0)),"")</f>
        <v>0</v>
      </c>
      <c r="AZ282" s="278"/>
      <c r="BA282" s="278"/>
      <c r="BB282" s="272">
        <f t="shared" si="185"/>
        <v>24</v>
      </c>
      <c r="BC282" s="274">
        <f t="shared" si="186"/>
        <v>0</v>
      </c>
      <c r="BD282" s="275">
        <f t="shared" si="187"/>
        <v>1</v>
      </c>
      <c r="BE282" s="278"/>
      <c r="BF282" s="272">
        <f t="shared" si="188"/>
        <v>24</v>
      </c>
      <c r="BG282" s="272">
        <f>IFERROR(INDEX('Horo. M'!$Q$3:Q$367,MATCH(A282,'Horo. M'!$A$3:$A$367,0)),"")</f>
        <v>0</v>
      </c>
      <c r="BH282" s="278"/>
      <c r="BI282" s="278"/>
      <c r="BJ282" s="272">
        <f t="shared" si="189"/>
        <v>24</v>
      </c>
      <c r="BK282" s="274">
        <f t="shared" si="190"/>
        <v>0</v>
      </c>
      <c r="BL282" s="275">
        <f t="shared" si="191"/>
        <v>1</v>
      </c>
      <c r="BM282" s="278"/>
      <c r="BN282" s="272">
        <f t="shared" si="192"/>
        <v>24</v>
      </c>
      <c r="BO282" s="272">
        <f>IFERROR(INDEX('Horo. M'!$S$3:S$367,MATCH(A282,'Horo. M'!$A$3:$A$367,0)),"")</f>
        <v>0</v>
      </c>
      <c r="BP282" s="278"/>
      <c r="BQ282" s="278"/>
      <c r="BR282" s="272">
        <f t="shared" si="193"/>
        <v>24</v>
      </c>
      <c r="BS282" s="274">
        <f t="shared" si="194"/>
        <v>0</v>
      </c>
      <c r="BT282" s="275">
        <f t="shared" si="195"/>
        <v>1</v>
      </c>
      <c r="BU282" s="278"/>
      <c r="BV282" s="272">
        <f t="shared" si="196"/>
        <v>24</v>
      </c>
      <c r="BW282" s="272">
        <f>IFERROR(INDEX('Horo. M'!$U$3:U$367,MATCH(A282,'Horo. M'!$A$3:$A$367,0)),"")</f>
        <v>0</v>
      </c>
      <c r="BX282" s="278"/>
      <c r="BY282" s="278"/>
      <c r="BZ282" s="272">
        <f t="shared" si="197"/>
        <v>24</v>
      </c>
      <c r="CA282" s="274">
        <f t="shared" si="198"/>
        <v>0</v>
      </c>
      <c r="CB282" s="275">
        <f t="shared" si="199"/>
        <v>1</v>
      </c>
      <c r="CC282" s="280"/>
    </row>
    <row r="283" spans="1:81">
      <c r="A283" s="279">
        <v>45208</v>
      </c>
      <c r="B283" s="278">
        <f t="shared" si="160"/>
        <v>24</v>
      </c>
      <c r="C283" s="272">
        <f>IFERROR(INDEX('Horo. M'!$C$3:$C$367,MATCH(A283,'Horo. M'!$A$3:$A$367,0)),"")</f>
        <v>0</v>
      </c>
      <c r="D283" s="278"/>
      <c r="E283" s="278"/>
      <c r="F283" s="272">
        <f t="shared" si="161"/>
        <v>24</v>
      </c>
      <c r="G283" s="274">
        <f t="shared" si="162"/>
        <v>0</v>
      </c>
      <c r="H283" s="275">
        <f t="shared" si="163"/>
        <v>1</v>
      </c>
      <c r="I283" s="277"/>
      <c r="J283" s="278">
        <f t="shared" si="164"/>
        <v>24</v>
      </c>
      <c r="K283" s="272">
        <f>IFERROR(INDEX('Horo. M'!$E$3:$E$367,MATCH(A283,'Horo. M'!$A$3:$A$367,0)),"")</f>
        <v>0</v>
      </c>
      <c r="L283" s="273"/>
      <c r="M283" s="273"/>
      <c r="N283" s="272">
        <f t="shared" si="165"/>
        <v>24</v>
      </c>
      <c r="O283" s="274">
        <f t="shared" si="166"/>
        <v>0</v>
      </c>
      <c r="P283" s="275">
        <f t="shared" si="167"/>
        <v>1</v>
      </c>
      <c r="Q283" s="276"/>
      <c r="R283" s="278">
        <f t="shared" si="168"/>
        <v>24</v>
      </c>
      <c r="S283" s="272">
        <f>IFERROR(INDEX('Horo. M'!G$3:$G$367,MATCH(A283,'Horo. M'!$A$3:$A$367,0)),"")</f>
        <v>0</v>
      </c>
      <c r="T283" s="278"/>
      <c r="U283" s="278"/>
      <c r="V283" s="272">
        <f t="shared" si="169"/>
        <v>24</v>
      </c>
      <c r="W283" s="274">
        <f t="shared" si="170"/>
        <v>0</v>
      </c>
      <c r="X283" s="275">
        <f t="shared" si="171"/>
        <v>1</v>
      </c>
      <c r="Y283" s="278"/>
      <c r="Z283" s="278">
        <f t="shared" si="172"/>
        <v>24</v>
      </c>
      <c r="AA283" s="272">
        <f>IFERROR(INDEX('Horo. M'!$I$3:I$367,MATCH(A283,'Horo. M'!$A$3:$A$367,0)),"")</f>
        <v>0</v>
      </c>
      <c r="AB283" s="273"/>
      <c r="AC283" s="273"/>
      <c r="AD283" s="272">
        <f t="shared" si="173"/>
        <v>24</v>
      </c>
      <c r="AE283" s="274">
        <f t="shared" si="174"/>
        <v>0</v>
      </c>
      <c r="AF283" s="275">
        <f t="shared" si="175"/>
        <v>1</v>
      </c>
      <c r="AG283" s="278"/>
      <c r="AH283" s="272">
        <f t="shared" si="176"/>
        <v>24</v>
      </c>
      <c r="AI283" s="272">
        <f>IFERROR(INDEX('Horo. M'!$K$3:K$367,MATCH(A283,'Horo. M'!$A$3:$A$367,0)),"")</f>
        <v>0</v>
      </c>
      <c r="AJ283" s="278"/>
      <c r="AK283" s="278"/>
      <c r="AL283" s="272">
        <f t="shared" si="177"/>
        <v>24</v>
      </c>
      <c r="AM283" s="274">
        <f t="shared" si="178"/>
        <v>0</v>
      </c>
      <c r="AN283" s="275">
        <f t="shared" si="179"/>
        <v>1</v>
      </c>
      <c r="AO283" s="278"/>
      <c r="AP283" s="272">
        <f t="shared" si="180"/>
        <v>24</v>
      </c>
      <c r="AQ283" s="272">
        <f>IFERROR(INDEX('Horo. M'!$M$3:M$367,MATCH(A283,'Horo. M'!$A$3:$A$367,0)),"")</f>
        <v>0</v>
      </c>
      <c r="AR283" s="278"/>
      <c r="AS283" s="278"/>
      <c r="AT283" s="272">
        <f t="shared" si="181"/>
        <v>24</v>
      </c>
      <c r="AU283" s="274">
        <f t="shared" si="182"/>
        <v>0</v>
      </c>
      <c r="AV283" s="275">
        <f t="shared" si="183"/>
        <v>1</v>
      </c>
      <c r="AW283" s="278"/>
      <c r="AX283" s="272">
        <f t="shared" si="184"/>
        <v>24</v>
      </c>
      <c r="AY283" s="272">
        <f>IFERROR(INDEX('Horo. M'!$O$3:O$367,MATCH(A283,'Horo. M'!$A$3:$A$367,0)),"")</f>
        <v>0</v>
      </c>
      <c r="AZ283" s="278"/>
      <c r="BA283" s="278"/>
      <c r="BB283" s="272">
        <f t="shared" si="185"/>
        <v>24</v>
      </c>
      <c r="BC283" s="274">
        <f t="shared" si="186"/>
        <v>0</v>
      </c>
      <c r="BD283" s="275">
        <f t="shared" si="187"/>
        <v>1</v>
      </c>
      <c r="BE283" s="278"/>
      <c r="BF283" s="272">
        <f t="shared" si="188"/>
        <v>24</v>
      </c>
      <c r="BG283" s="272">
        <f>IFERROR(INDEX('Horo. M'!$Q$3:Q$367,MATCH(A283,'Horo. M'!$A$3:$A$367,0)),"")</f>
        <v>0</v>
      </c>
      <c r="BH283" s="278"/>
      <c r="BI283" s="278"/>
      <c r="BJ283" s="272">
        <f t="shared" si="189"/>
        <v>24</v>
      </c>
      <c r="BK283" s="274">
        <f t="shared" si="190"/>
        <v>0</v>
      </c>
      <c r="BL283" s="275">
        <f t="shared" si="191"/>
        <v>1</v>
      </c>
      <c r="BM283" s="278"/>
      <c r="BN283" s="272">
        <f t="shared" si="192"/>
        <v>24</v>
      </c>
      <c r="BO283" s="272">
        <f>IFERROR(INDEX('Horo. M'!$S$3:S$367,MATCH(A283,'Horo. M'!$A$3:$A$367,0)),"")</f>
        <v>0</v>
      </c>
      <c r="BP283" s="278"/>
      <c r="BQ283" s="278"/>
      <c r="BR283" s="272">
        <f t="shared" si="193"/>
        <v>24</v>
      </c>
      <c r="BS283" s="274">
        <f t="shared" si="194"/>
        <v>0</v>
      </c>
      <c r="BT283" s="275">
        <f t="shared" si="195"/>
        <v>1</v>
      </c>
      <c r="BU283" s="278"/>
      <c r="BV283" s="272">
        <f t="shared" si="196"/>
        <v>24</v>
      </c>
      <c r="BW283" s="272">
        <f>IFERROR(INDEX('Horo. M'!$U$3:U$367,MATCH(A283,'Horo. M'!$A$3:$A$367,0)),"")</f>
        <v>0</v>
      </c>
      <c r="BX283" s="278"/>
      <c r="BY283" s="278"/>
      <c r="BZ283" s="272">
        <f t="shared" si="197"/>
        <v>24</v>
      </c>
      <c r="CA283" s="274">
        <f t="shared" si="198"/>
        <v>0</v>
      </c>
      <c r="CB283" s="275">
        <f t="shared" si="199"/>
        <v>1</v>
      </c>
      <c r="CC283" s="280"/>
    </row>
    <row r="284" spans="1:81">
      <c r="A284" s="279">
        <v>45209</v>
      </c>
      <c r="B284" s="278">
        <f t="shared" si="160"/>
        <v>24</v>
      </c>
      <c r="C284" s="272">
        <f>IFERROR(INDEX('Horo. M'!$C$3:$C$367,MATCH(A284,'Horo. M'!$A$3:$A$367,0)),"")</f>
        <v>0</v>
      </c>
      <c r="D284" s="278"/>
      <c r="E284" s="278"/>
      <c r="F284" s="272">
        <f t="shared" si="161"/>
        <v>24</v>
      </c>
      <c r="G284" s="274">
        <f t="shared" si="162"/>
        <v>0</v>
      </c>
      <c r="H284" s="275">
        <f t="shared" si="163"/>
        <v>1</v>
      </c>
      <c r="I284" s="277"/>
      <c r="J284" s="278">
        <f t="shared" si="164"/>
        <v>24</v>
      </c>
      <c r="K284" s="272">
        <f>IFERROR(INDEX('Horo. M'!$E$3:$E$367,MATCH(A284,'Horo. M'!$A$3:$A$367,0)),"")</f>
        <v>0</v>
      </c>
      <c r="L284" s="273"/>
      <c r="M284" s="273"/>
      <c r="N284" s="272">
        <f t="shared" si="165"/>
        <v>24</v>
      </c>
      <c r="O284" s="274">
        <f t="shared" si="166"/>
        <v>0</v>
      </c>
      <c r="P284" s="275">
        <f t="shared" si="167"/>
        <v>1</v>
      </c>
      <c r="Q284" s="276"/>
      <c r="R284" s="278">
        <f t="shared" si="168"/>
        <v>24</v>
      </c>
      <c r="S284" s="272">
        <f>IFERROR(INDEX('Horo. M'!G$3:$G$367,MATCH(A284,'Horo. M'!$A$3:$A$367,0)),"")</f>
        <v>0</v>
      </c>
      <c r="T284" s="278"/>
      <c r="U284" s="278"/>
      <c r="V284" s="272">
        <f t="shared" si="169"/>
        <v>24</v>
      </c>
      <c r="W284" s="274">
        <f t="shared" si="170"/>
        <v>0</v>
      </c>
      <c r="X284" s="275">
        <f t="shared" si="171"/>
        <v>1</v>
      </c>
      <c r="Y284" s="278"/>
      <c r="Z284" s="278">
        <f t="shared" si="172"/>
        <v>24</v>
      </c>
      <c r="AA284" s="272">
        <f>IFERROR(INDEX('Horo. M'!$I$3:I$367,MATCH(A284,'Horo. M'!$A$3:$A$367,0)),"")</f>
        <v>0</v>
      </c>
      <c r="AB284" s="273"/>
      <c r="AC284" s="273"/>
      <c r="AD284" s="272">
        <f t="shared" si="173"/>
        <v>24</v>
      </c>
      <c r="AE284" s="274">
        <f t="shared" si="174"/>
        <v>0</v>
      </c>
      <c r="AF284" s="275">
        <f t="shared" si="175"/>
        <v>1</v>
      </c>
      <c r="AG284" s="278"/>
      <c r="AH284" s="272">
        <f t="shared" si="176"/>
        <v>24</v>
      </c>
      <c r="AI284" s="272">
        <f>IFERROR(INDEX('Horo. M'!$K$3:K$367,MATCH(A284,'Horo. M'!$A$3:$A$367,0)),"")</f>
        <v>0</v>
      </c>
      <c r="AJ284" s="278"/>
      <c r="AK284" s="278"/>
      <c r="AL284" s="272">
        <f t="shared" si="177"/>
        <v>24</v>
      </c>
      <c r="AM284" s="274">
        <f t="shared" si="178"/>
        <v>0</v>
      </c>
      <c r="AN284" s="275">
        <f t="shared" si="179"/>
        <v>1</v>
      </c>
      <c r="AO284" s="278"/>
      <c r="AP284" s="272">
        <f t="shared" si="180"/>
        <v>24</v>
      </c>
      <c r="AQ284" s="272">
        <f>IFERROR(INDEX('Horo. M'!$M$3:M$367,MATCH(A284,'Horo. M'!$A$3:$A$367,0)),"")</f>
        <v>0</v>
      </c>
      <c r="AR284" s="278"/>
      <c r="AS284" s="278"/>
      <c r="AT284" s="272">
        <f t="shared" si="181"/>
        <v>24</v>
      </c>
      <c r="AU284" s="274">
        <f t="shared" si="182"/>
        <v>0</v>
      </c>
      <c r="AV284" s="275">
        <f t="shared" si="183"/>
        <v>1</v>
      </c>
      <c r="AW284" s="278"/>
      <c r="AX284" s="272">
        <f t="shared" si="184"/>
        <v>24</v>
      </c>
      <c r="AY284" s="272">
        <f>IFERROR(INDEX('Horo. M'!$O$3:O$367,MATCH(A284,'Horo. M'!$A$3:$A$367,0)),"")</f>
        <v>0</v>
      </c>
      <c r="AZ284" s="278"/>
      <c r="BA284" s="278"/>
      <c r="BB284" s="272">
        <f t="shared" si="185"/>
        <v>24</v>
      </c>
      <c r="BC284" s="274">
        <f t="shared" si="186"/>
        <v>0</v>
      </c>
      <c r="BD284" s="275">
        <f t="shared" si="187"/>
        <v>1</v>
      </c>
      <c r="BE284" s="278"/>
      <c r="BF284" s="272">
        <f t="shared" si="188"/>
        <v>24</v>
      </c>
      <c r="BG284" s="272">
        <f>IFERROR(INDEX('Horo. M'!$Q$3:Q$367,MATCH(A284,'Horo. M'!$A$3:$A$367,0)),"")</f>
        <v>0</v>
      </c>
      <c r="BH284" s="278"/>
      <c r="BI284" s="278"/>
      <c r="BJ284" s="272">
        <f t="shared" si="189"/>
        <v>24</v>
      </c>
      <c r="BK284" s="274">
        <f t="shared" si="190"/>
        <v>0</v>
      </c>
      <c r="BL284" s="275">
        <f t="shared" si="191"/>
        <v>1</v>
      </c>
      <c r="BM284" s="278"/>
      <c r="BN284" s="272">
        <f t="shared" si="192"/>
        <v>24</v>
      </c>
      <c r="BO284" s="272">
        <f>IFERROR(INDEX('Horo. M'!$S$3:S$367,MATCH(A284,'Horo. M'!$A$3:$A$367,0)),"")</f>
        <v>0</v>
      </c>
      <c r="BP284" s="278"/>
      <c r="BQ284" s="278"/>
      <c r="BR284" s="272">
        <f t="shared" si="193"/>
        <v>24</v>
      </c>
      <c r="BS284" s="274">
        <f t="shared" si="194"/>
        <v>0</v>
      </c>
      <c r="BT284" s="275">
        <f t="shared" si="195"/>
        <v>1</v>
      </c>
      <c r="BU284" s="278"/>
      <c r="BV284" s="272">
        <f t="shared" si="196"/>
        <v>24</v>
      </c>
      <c r="BW284" s="272">
        <f>IFERROR(INDEX('Horo. M'!$U$3:U$367,MATCH(A284,'Horo. M'!$A$3:$A$367,0)),"")</f>
        <v>0</v>
      </c>
      <c r="BX284" s="278"/>
      <c r="BY284" s="278"/>
      <c r="BZ284" s="272">
        <f t="shared" si="197"/>
        <v>24</v>
      </c>
      <c r="CA284" s="274">
        <f t="shared" si="198"/>
        <v>0</v>
      </c>
      <c r="CB284" s="275">
        <f t="shared" si="199"/>
        <v>1</v>
      </c>
      <c r="CC284" s="280"/>
    </row>
    <row r="285" spans="1:81">
      <c r="A285" s="279">
        <v>45210</v>
      </c>
      <c r="B285" s="278">
        <f t="shared" si="160"/>
        <v>24</v>
      </c>
      <c r="C285" s="272">
        <f>IFERROR(INDEX('Horo. M'!$C$3:$C$367,MATCH(A285,'Horo. M'!$A$3:$A$367,0)),"")</f>
        <v>0</v>
      </c>
      <c r="D285" s="278"/>
      <c r="E285" s="278"/>
      <c r="F285" s="272">
        <f t="shared" si="161"/>
        <v>24</v>
      </c>
      <c r="G285" s="274">
        <f t="shared" si="162"/>
        <v>0</v>
      </c>
      <c r="H285" s="275">
        <f t="shared" si="163"/>
        <v>1</v>
      </c>
      <c r="I285" s="277"/>
      <c r="J285" s="278">
        <f t="shared" si="164"/>
        <v>24</v>
      </c>
      <c r="K285" s="272">
        <f>IFERROR(INDEX('Horo. M'!$E$3:$E$367,MATCH(A285,'Horo. M'!$A$3:$A$367,0)),"")</f>
        <v>0</v>
      </c>
      <c r="L285" s="273"/>
      <c r="M285" s="273"/>
      <c r="N285" s="272">
        <f t="shared" si="165"/>
        <v>24</v>
      </c>
      <c r="O285" s="274">
        <f t="shared" si="166"/>
        <v>0</v>
      </c>
      <c r="P285" s="275">
        <f t="shared" si="167"/>
        <v>1</v>
      </c>
      <c r="Q285" s="276"/>
      <c r="R285" s="278">
        <f t="shared" si="168"/>
        <v>24</v>
      </c>
      <c r="S285" s="272">
        <f>IFERROR(INDEX('Horo. M'!G$3:$G$367,MATCH(A285,'Horo. M'!$A$3:$A$367,0)),"")</f>
        <v>0</v>
      </c>
      <c r="T285" s="278"/>
      <c r="U285" s="278"/>
      <c r="V285" s="272">
        <f t="shared" si="169"/>
        <v>24</v>
      </c>
      <c r="W285" s="274">
        <f t="shared" si="170"/>
        <v>0</v>
      </c>
      <c r="X285" s="275">
        <f t="shared" si="171"/>
        <v>1</v>
      </c>
      <c r="Y285" s="278"/>
      <c r="Z285" s="278">
        <f t="shared" si="172"/>
        <v>24</v>
      </c>
      <c r="AA285" s="272">
        <f>IFERROR(INDEX('Horo. M'!$I$3:I$367,MATCH(A285,'Horo. M'!$A$3:$A$367,0)),"")</f>
        <v>0</v>
      </c>
      <c r="AB285" s="273"/>
      <c r="AC285" s="273"/>
      <c r="AD285" s="272">
        <f t="shared" si="173"/>
        <v>24</v>
      </c>
      <c r="AE285" s="274">
        <f t="shared" si="174"/>
        <v>0</v>
      </c>
      <c r="AF285" s="275">
        <f t="shared" si="175"/>
        <v>1</v>
      </c>
      <c r="AG285" s="278"/>
      <c r="AH285" s="272">
        <f t="shared" si="176"/>
        <v>24</v>
      </c>
      <c r="AI285" s="272">
        <f>IFERROR(INDEX('Horo. M'!$K$3:K$367,MATCH(A285,'Horo. M'!$A$3:$A$367,0)),"")</f>
        <v>0</v>
      </c>
      <c r="AJ285" s="278"/>
      <c r="AK285" s="278"/>
      <c r="AL285" s="272">
        <f t="shared" si="177"/>
        <v>24</v>
      </c>
      <c r="AM285" s="274">
        <f t="shared" si="178"/>
        <v>0</v>
      </c>
      <c r="AN285" s="275">
        <f t="shared" si="179"/>
        <v>1</v>
      </c>
      <c r="AO285" s="278"/>
      <c r="AP285" s="272">
        <f t="shared" si="180"/>
        <v>24</v>
      </c>
      <c r="AQ285" s="272">
        <f>IFERROR(INDEX('Horo. M'!$M$3:M$367,MATCH(A285,'Horo. M'!$A$3:$A$367,0)),"")</f>
        <v>0</v>
      </c>
      <c r="AR285" s="278"/>
      <c r="AS285" s="278"/>
      <c r="AT285" s="272">
        <f t="shared" si="181"/>
        <v>24</v>
      </c>
      <c r="AU285" s="274">
        <f t="shared" si="182"/>
        <v>0</v>
      </c>
      <c r="AV285" s="275">
        <f t="shared" si="183"/>
        <v>1</v>
      </c>
      <c r="AW285" s="278"/>
      <c r="AX285" s="272">
        <f t="shared" si="184"/>
        <v>24</v>
      </c>
      <c r="AY285" s="272">
        <f>IFERROR(INDEX('Horo. M'!$O$3:O$367,MATCH(A285,'Horo. M'!$A$3:$A$367,0)),"")</f>
        <v>0</v>
      </c>
      <c r="AZ285" s="278"/>
      <c r="BA285" s="278"/>
      <c r="BB285" s="272">
        <f t="shared" si="185"/>
        <v>24</v>
      </c>
      <c r="BC285" s="274">
        <f t="shared" si="186"/>
        <v>0</v>
      </c>
      <c r="BD285" s="275">
        <f t="shared" si="187"/>
        <v>1</v>
      </c>
      <c r="BE285" s="278"/>
      <c r="BF285" s="272">
        <f t="shared" si="188"/>
        <v>24</v>
      </c>
      <c r="BG285" s="272">
        <f>IFERROR(INDEX('Horo. M'!$Q$3:Q$367,MATCH(A285,'Horo. M'!$A$3:$A$367,0)),"")</f>
        <v>0</v>
      </c>
      <c r="BH285" s="278"/>
      <c r="BI285" s="278"/>
      <c r="BJ285" s="272">
        <f t="shared" si="189"/>
        <v>24</v>
      </c>
      <c r="BK285" s="274">
        <f t="shared" si="190"/>
        <v>0</v>
      </c>
      <c r="BL285" s="275">
        <f t="shared" si="191"/>
        <v>1</v>
      </c>
      <c r="BM285" s="278"/>
      <c r="BN285" s="272">
        <f t="shared" si="192"/>
        <v>24</v>
      </c>
      <c r="BO285" s="272">
        <f>IFERROR(INDEX('Horo. M'!$S$3:S$367,MATCH(A285,'Horo. M'!$A$3:$A$367,0)),"")</f>
        <v>0</v>
      </c>
      <c r="BP285" s="278"/>
      <c r="BQ285" s="278"/>
      <c r="BR285" s="272">
        <f t="shared" si="193"/>
        <v>24</v>
      </c>
      <c r="BS285" s="274">
        <f t="shared" si="194"/>
        <v>0</v>
      </c>
      <c r="BT285" s="275">
        <f t="shared" si="195"/>
        <v>1</v>
      </c>
      <c r="BU285" s="278"/>
      <c r="BV285" s="272">
        <f t="shared" si="196"/>
        <v>24</v>
      </c>
      <c r="BW285" s="272">
        <f>IFERROR(INDEX('Horo. M'!$U$3:U$367,MATCH(A285,'Horo. M'!$A$3:$A$367,0)),"")</f>
        <v>0</v>
      </c>
      <c r="BX285" s="278"/>
      <c r="BY285" s="278"/>
      <c r="BZ285" s="272">
        <f t="shared" si="197"/>
        <v>24</v>
      </c>
      <c r="CA285" s="274">
        <f t="shared" si="198"/>
        <v>0</v>
      </c>
      <c r="CB285" s="275">
        <f t="shared" si="199"/>
        <v>1</v>
      </c>
      <c r="CC285" s="280"/>
    </row>
    <row r="286" spans="1:81">
      <c r="A286" s="279">
        <v>45211</v>
      </c>
      <c r="B286" s="278">
        <f t="shared" si="160"/>
        <v>24</v>
      </c>
      <c r="C286" s="272">
        <f>IFERROR(INDEX('Horo. M'!$C$3:$C$367,MATCH(A286,'Horo. M'!$A$3:$A$367,0)),"")</f>
        <v>0</v>
      </c>
      <c r="D286" s="278"/>
      <c r="E286" s="278"/>
      <c r="F286" s="272">
        <f t="shared" si="161"/>
        <v>24</v>
      </c>
      <c r="G286" s="274">
        <f t="shared" si="162"/>
        <v>0</v>
      </c>
      <c r="H286" s="275">
        <f t="shared" si="163"/>
        <v>1</v>
      </c>
      <c r="I286" s="277"/>
      <c r="J286" s="278">
        <f t="shared" si="164"/>
        <v>24</v>
      </c>
      <c r="K286" s="272">
        <f>IFERROR(INDEX('Horo. M'!$E$3:$E$367,MATCH(A286,'Horo. M'!$A$3:$A$367,0)),"")</f>
        <v>0</v>
      </c>
      <c r="L286" s="273"/>
      <c r="M286" s="273"/>
      <c r="N286" s="272">
        <f t="shared" si="165"/>
        <v>24</v>
      </c>
      <c r="O286" s="274">
        <f t="shared" si="166"/>
        <v>0</v>
      </c>
      <c r="P286" s="275">
        <f t="shared" si="167"/>
        <v>1</v>
      </c>
      <c r="Q286" s="276"/>
      <c r="R286" s="278">
        <f t="shared" si="168"/>
        <v>24</v>
      </c>
      <c r="S286" s="272">
        <f>IFERROR(INDEX('Horo. M'!G$3:$G$367,MATCH(A286,'Horo. M'!$A$3:$A$367,0)),"")</f>
        <v>0</v>
      </c>
      <c r="T286" s="278"/>
      <c r="U286" s="278"/>
      <c r="V286" s="272">
        <f t="shared" si="169"/>
        <v>24</v>
      </c>
      <c r="W286" s="274">
        <f t="shared" si="170"/>
        <v>0</v>
      </c>
      <c r="X286" s="275">
        <f t="shared" si="171"/>
        <v>1</v>
      </c>
      <c r="Y286" s="278"/>
      <c r="Z286" s="278">
        <f t="shared" si="172"/>
        <v>24</v>
      </c>
      <c r="AA286" s="272">
        <f>IFERROR(INDEX('Horo. M'!$I$3:I$367,MATCH(A286,'Horo. M'!$A$3:$A$367,0)),"")</f>
        <v>0</v>
      </c>
      <c r="AB286" s="273"/>
      <c r="AC286" s="273"/>
      <c r="AD286" s="272">
        <f t="shared" si="173"/>
        <v>24</v>
      </c>
      <c r="AE286" s="274">
        <f t="shared" si="174"/>
        <v>0</v>
      </c>
      <c r="AF286" s="275">
        <f t="shared" si="175"/>
        <v>1</v>
      </c>
      <c r="AG286" s="278"/>
      <c r="AH286" s="272">
        <f t="shared" si="176"/>
        <v>24</v>
      </c>
      <c r="AI286" s="272">
        <f>IFERROR(INDEX('Horo. M'!$K$3:K$367,MATCH(A286,'Horo. M'!$A$3:$A$367,0)),"")</f>
        <v>0</v>
      </c>
      <c r="AJ286" s="278"/>
      <c r="AK286" s="278"/>
      <c r="AL286" s="272">
        <f t="shared" si="177"/>
        <v>24</v>
      </c>
      <c r="AM286" s="274">
        <f t="shared" si="178"/>
        <v>0</v>
      </c>
      <c r="AN286" s="275">
        <f t="shared" si="179"/>
        <v>1</v>
      </c>
      <c r="AO286" s="278"/>
      <c r="AP286" s="272">
        <f t="shared" si="180"/>
        <v>24</v>
      </c>
      <c r="AQ286" s="272">
        <f>IFERROR(INDEX('Horo. M'!$M$3:M$367,MATCH(A286,'Horo. M'!$A$3:$A$367,0)),"")</f>
        <v>0</v>
      </c>
      <c r="AR286" s="278"/>
      <c r="AS286" s="278"/>
      <c r="AT286" s="272">
        <f t="shared" si="181"/>
        <v>24</v>
      </c>
      <c r="AU286" s="274">
        <f t="shared" si="182"/>
        <v>0</v>
      </c>
      <c r="AV286" s="275">
        <f t="shared" si="183"/>
        <v>1</v>
      </c>
      <c r="AW286" s="278"/>
      <c r="AX286" s="272">
        <f t="shared" si="184"/>
        <v>24</v>
      </c>
      <c r="AY286" s="272">
        <f>IFERROR(INDEX('Horo. M'!$O$3:O$367,MATCH(A286,'Horo. M'!$A$3:$A$367,0)),"")</f>
        <v>0</v>
      </c>
      <c r="AZ286" s="278"/>
      <c r="BA286" s="278"/>
      <c r="BB286" s="272">
        <f t="shared" si="185"/>
        <v>24</v>
      </c>
      <c r="BC286" s="274">
        <f t="shared" si="186"/>
        <v>0</v>
      </c>
      <c r="BD286" s="275">
        <f t="shared" si="187"/>
        <v>1</v>
      </c>
      <c r="BE286" s="278"/>
      <c r="BF286" s="272">
        <f t="shared" si="188"/>
        <v>24</v>
      </c>
      <c r="BG286" s="272">
        <f>IFERROR(INDEX('Horo. M'!$Q$3:Q$367,MATCH(A286,'Horo. M'!$A$3:$A$367,0)),"")</f>
        <v>0</v>
      </c>
      <c r="BH286" s="278"/>
      <c r="BI286" s="278"/>
      <c r="BJ286" s="272">
        <f t="shared" si="189"/>
        <v>24</v>
      </c>
      <c r="BK286" s="274">
        <f t="shared" si="190"/>
        <v>0</v>
      </c>
      <c r="BL286" s="275">
        <f t="shared" si="191"/>
        <v>1</v>
      </c>
      <c r="BM286" s="278"/>
      <c r="BN286" s="272">
        <f t="shared" si="192"/>
        <v>24</v>
      </c>
      <c r="BO286" s="272">
        <f>IFERROR(INDEX('Horo. M'!$S$3:S$367,MATCH(A286,'Horo. M'!$A$3:$A$367,0)),"")</f>
        <v>0</v>
      </c>
      <c r="BP286" s="278"/>
      <c r="BQ286" s="278"/>
      <c r="BR286" s="272">
        <f t="shared" si="193"/>
        <v>24</v>
      </c>
      <c r="BS286" s="274">
        <f t="shared" si="194"/>
        <v>0</v>
      </c>
      <c r="BT286" s="275">
        <f t="shared" si="195"/>
        <v>1</v>
      </c>
      <c r="BU286" s="278"/>
      <c r="BV286" s="272">
        <f t="shared" si="196"/>
        <v>24</v>
      </c>
      <c r="BW286" s="272">
        <f>IFERROR(INDEX('Horo. M'!$U$3:U$367,MATCH(A286,'Horo. M'!$A$3:$A$367,0)),"")</f>
        <v>0</v>
      </c>
      <c r="BX286" s="278"/>
      <c r="BY286" s="278"/>
      <c r="BZ286" s="272">
        <f t="shared" si="197"/>
        <v>24</v>
      </c>
      <c r="CA286" s="274">
        <f t="shared" si="198"/>
        <v>0</v>
      </c>
      <c r="CB286" s="275">
        <f t="shared" si="199"/>
        <v>1</v>
      </c>
      <c r="CC286" s="280"/>
    </row>
    <row r="287" spans="1:81">
      <c r="A287" s="279">
        <v>45212</v>
      </c>
      <c r="B287" s="278">
        <f t="shared" si="160"/>
        <v>24</v>
      </c>
      <c r="C287" s="272">
        <f>IFERROR(INDEX('Horo. M'!$C$3:$C$367,MATCH(A287,'Horo. M'!$A$3:$A$367,0)),"")</f>
        <v>0</v>
      </c>
      <c r="D287" s="278"/>
      <c r="E287" s="278"/>
      <c r="F287" s="272">
        <f t="shared" si="161"/>
        <v>24</v>
      </c>
      <c r="G287" s="274">
        <f t="shared" si="162"/>
        <v>0</v>
      </c>
      <c r="H287" s="275">
        <f t="shared" si="163"/>
        <v>1</v>
      </c>
      <c r="I287" s="277"/>
      <c r="J287" s="278">
        <f t="shared" si="164"/>
        <v>24</v>
      </c>
      <c r="K287" s="272">
        <f>IFERROR(INDEX('Horo. M'!$E$3:$E$367,MATCH(A287,'Horo. M'!$A$3:$A$367,0)),"")</f>
        <v>0</v>
      </c>
      <c r="L287" s="273"/>
      <c r="M287" s="273"/>
      <c r="N287" s="272">
        <f t="shared" si="165"/>
        <v>24</v>
      </c>
      <c r="O287" s="274">
        <f t="shared" si="166"/>
        <v>0</v>
      </c>
      <c r="P287" s="275">
        <f t="shared" si="167"/>
        <v>1</v>
      </c>
      <c r="Q287" s="276"/>
      <c r="R287" s="278">
        <f t="shared" si="168"/>
        <v>24</v>
      </c>
      <c r="S287" s="272">
        <f>IFERROR(INDEX('Horo. M'!G$3:$G$367,MATCH(A287,'Horo. M'!$A$3:$A$367,0)),"")</f>
        <v>0</v>
      </c>
      <c r="T287" s="278"/>
      <c r="U287" s="278"/>
      <c r="V287" s="272">
        <f t="shared" si="169"/>
        <v>24</v>
      </c>
      <c r="W287" s="274">
        <f t="shared" si="170"/>
        <v>0</v>
      </c>
      <c r="X287" s="275">
        <f t="shared" si="171"/>
        <v>1</v>
      </c>
      <c r="Y287" s="278"/>
      <c r="Z287" s="278">
        <f t="shared" si="172"/>
        <v>24</v>
      </c>
      <c r="AA287" s="272">
        <f>IFERROR(INDEX('Horo. M'!$I$3:I$367,MATCH(A287,'Horo. M'!$A$3:$A$367,0)),"")</f>
        <v>0</v>
      </c>
      <c r="AB287" s="273"/>
      <c r="AC287" s="273"/>
      <c r="AD287" s="272">
        <f t="shared" si="173"/>
        <v>24</v>
      </c>
      <c r="AE287" s="274">
        <f t="shared" si="174"/>
        <v>0</v>
      </c>
      <c r="AF287" s="275">
        <f t="shared" si="175"/>
        <v>1</v>
      </c>
      <c r="AG287" s="278"/>
      <c r="AH287" s="272">
        <f t="shared" si="176"/>
        <v>24</v>
      </c>
      <c r="AI287" s="272">
        <f>IFERROR(INDEX('Horo. M'!$K$3:K$367,MATCH(A287,'Horo. M'!$A$3:$A$367,0)),"")</f>
        <v>0</v>
      </c>
      <c r="AJ287" s="278"/>
      <c r="AK287" s="278"/>
      <c r="AL287" s="272">
        <f t="shared" si="177"/>
        <v>24</v>
      </c>
      <c r="AM287" s="274">
        <f t="shared" si="178"/>
        <v>0</v>
      </c>
      <c r="AN287" s="275">
        <f t="shared" si="179"/>
        <v>1</v>
      </c>
      <c r="AO287" s="278"/>
      <c r="AP287" s="272">
        <f t="shared" si="180"/>
        <v>24</v>
      </c>
      <c r="AQ287" s="272">
        <f>IFERROR(INDEX('Horo. M'!$M$3:M$367,MATCH(A287,'Horo. M'!$A$3:$A$367,0)),"")</f>
        <v>0</v>
      </c>
      <c r="AR287" s="278"/>
      <c r="AS287" s="278"/>
      <c r="AT287" s="272">
        <f t="shared" si="181"/>
        <v>24</v>
      </c>
      <c r="AU287" s="274">
        <f t="shared" si="182"/>
        <v>0</v>
      </c>
      <c r="AV287" s="275">
        <f t="shared" si="183"/>
        <v>1</v>
      </c>
      <c r="AW287" s="278"/>
      <c r="AX287" s="272">
        <f t="shared" si="184"/>
        <v>24</v>
      </c>
      <c r="AY287" s="272">
        <f>IFERROR(INDEX('Horo. M'!$O$3:O$367,MATCH(A287,'Horo. M'!$A$3:$A$367,0)),"")</f>
        <v>0</v>
      </c>
      <c r="AZ287" s="278"/>
      <c r="BA287" s="278"/>
      <c r="BB287" s="272">
        <f t="shared" si="185"/>
        <v>24</v>
      </c>
      <c r="BC287" s="274">
        <f t="shared" si="186"/>
        <v>0</v>
      </c>
      <c r="BD287" s="275">
        <f t="shared" si="187"/>
        <v>1</v>
      </c>
      <c r="BE287" s="278"/>
      <c r="BF287" s="272">
        <f t="shared" si="188"/>
        <v>24</v>
      </c>
      <c r="BG287" s="272">
        <f>IFERROR(INDEX('Horo. M'!$Q$3:Q$367,MATCH(A287,'Horo. M'!$A$3:$A$367,0)),"")</f>
        <v>0</v>
      </c>
      <c r="BH287" s="278"/>
      <c r="BI287" s="278"/>
      <c r="BJ287" s="272">
        <f t="shared" si="189"/>
        <v>24</v>
      </c>
      <c r="BK287" s="274">
        <f t="shared" si="190"/>
        <v>0</v>
      </c>
      <c r="BL287" s="275">
        <f t="shared" si="191"/>
        <v>1</v>
      </c>
      <c r="BM287" s="278"/>
      <c r="BN287" s="272">
        <f t="shared" si="192"/>
        <v>24</v>
      </c>
      <c r="BO287" s="272">
        <f>IFERROR(INDEX('Horo. M'!$S$3:S$367,MATCH(A287,'Horo. M'!$A$3:$A$367,0)),"")</f>
        <v>0</v>
      </c>
      <c r="BP287" s="278"/>
      <c r="BQ287" s="278"/>
      <c r="BR287" s="272">
        <f t="shared" si="193"/>
        <v>24</v>
      </c>
      <c r="BS287" s="274">
        <f t="shared" si="194"/>
        <v>0</v>
      </c>
      <c r="BT287" s="275">
        <f t="shared" si="195"/>
        <v>1</v>
      </c>
      <c r="BU287" s="278"/>
      <c r="BV287" s="272">
        <f t="shared" si="196"/>
        <v>24</v>
      </c>
      <c r="BW287" s="272">
        <f>IFERROR(INDEX('Horo. M'!$U$3:U$367,MATCH(A287,'Horo. M'!$A$3:$A$367,0)),"")</f>
        <v>0</v>
      </c>
      <c r="BX287" s="278"/>
      <c r="BY287" s="278"/>
      <c r="BZ287" s="272">
        <f t="shared" si="197"/>
        <v>24</v>
      </c>
      <c r="CA287" s="274">
        <f t="shared" si="198"/>
        <v>0</v>
      </c>
      <c r="CB287" s="275">
        <f t="shared" si="199"/>
        <v>1</v>
      </c>
      <c r="CC287" s="280"/>
    </row>
    <row r="288" spans="1:81">
      <c r="A288" s="279">
        <v>45213</v>
      </c>
      <c r="B288" s="278">
        <f t="shared" si="160"/>
        <v>24</v>
      </c>
      <c r="C288" s="272">
        <f>IFERROR(INDEX('Horo. M'!$C$3:$C$367,MATCH(A288,'Horo. M'!$A$3:$A$367,0)),"")</f>
        <v>0</v>
      </c>
      <c r="D288" s="278"/>
      <c r="E288" s="278"/>
      <c r="F288" s="272">
        <f t="shared" si="161"/>
        <v>24</v>
      </c>
      <c r="G288" s="274">
        <f t="shared" si="162"/>
        <v>0</v>
      </c>
      <c r="H288" s="275">
        <f t="shared" si="163"/>
        <v>1</v>
      </c>
      <c r="I288" s="277"/>
      <c r="J288" s="278">
        <f t="shared" si="164"/>
        <v>24</v>
      </c>
      <c r="K288" s="272">
        <f>IFERROR(INDEX('Horo. M'!$E$3:$E$367,MATCH(A288,'Horo. M'!$A$3:$A$367,0)),"")</f>
        <v>0</v>
      </c>
      <c r="L288" s="273"/>
      <c r="M288" s="273"/>
      <c r="N288" s="272">
        <f t="shared" si="165"/>
        <v>24</v>
      </c>
      <c r="O288" s="274">
        <f t="shared" si="166"/>
        <v>0</v>
      </c>
      <c r="P288" s="275">
        <f t="shared" si="167"/>
        <v>1</v>
      </c>
      <c r="Q288" s="276"/>
      <c r="R288" s="278">
        <f t="shared" si="168"/>
        <v>24</v>
      </c>
      <c r="S288" s="272">
        <f>IFERROR(INDEX('Horo. M'!G$3:$G$367,MATCH(A288,'Horo. M'!$A$3:$A$367,0)),"")</f>
        <v>0</v>
      </c>
      <c r="T288" s="278"/>
      <c r="U288" s="278"/>
      <c r="V288" s="272">
        <f t="shared" si="169"/>
        <v>24</v>
      </c>
      <c r="W288" s="274">
        <f t="shared" si="170"/>
        <v>0</v>
      </c>
      <c r="X288" s="275">
        <f t="shared" si="171"/>
        <v>1</v>
      </c>
      <c r="Y288" s="278"/>
      <c r="Z288" s="278">
        <f t="shared" si="172"/>
        <v>24</v>
      </c>
      <c r="AA288" s="272">
        <f>IFERROR(INDEX('Horo. M'!$I$3:I$367,MATCH(A288,'Horo. M'!$A$3:$A$367,0)),"")</f>
        <v>0</v>
      </c>
      <c r="AB288" s="273"/>
      <c r="AC288" s="273"/>
      <c r="AD288" s="272">
        <f t="shared" si="173"/>
        <v>24</v>
      </c>
      <c r="AE288" s="274">
        <f t="shared" si="174"/>
        <v>0</v>
      </c>
      <c r="AF288" s="275">
        <f t="shared" si="175"/>
        <v>1</v>
      </c>
      <c r="AG288" s="278"/>
      <c r="AH288" s="272">
        <f t="shared" si="176"/>
        <v>24</v>
      </c>
      <c r="AI288" s="272">
        <f>IFERROR(INDEX('Horo. M'!$K$3:K$367,MATCH(A288,'Horo. M'!$A$3:$A$367,0)),"")</f>
        <v>0</v>
      </c>
      <c r="AJ288" s="278"/>
      <c r="AK288" s="278"/>
      <c r="AL288" s="272">
        <f t="shared" si="177"/>
        <v>24</v>
      </c>
      <c r="AM288" s="274">
        <f t="shared" si="178"/>
        <v>0</v>
      </c>
      <c r="AN288" s="275">
        <f t="shared" si="179"/>
        <v>1</v>
      </c>
      <c r="AO288" s="278"/>
      <c r="AP288" s="272">
        <f t="shared" si="180"/>
        <v>24</v>
      </c>
      <c r="AQ288" s="272">
        <f>IFERROR(INDEX('Horo. M'!$M$3:M$367,MATCH(A288,'Horo. M'!$A$3:$A$367,0)),"")</f>
        <v>0</v>
      </c>
      <c r="AR288" s="278"/>
      <c r="AS288" s="278"/>
      <c r="AT288" s="272">
        <f t="shared" si="181"/>
        <v>24</v>
      </c>
      <c r="AU288" s="274">
        <f t="shared" si="182"/>
        <v>0</v>
      </c>
      <c r="AV288" s="275">
        <f t="shared" si="183"/>
        <v>1</v>
      </c>
      <c r="AW288" s="278"/>
      <c r="AX288" s="272">
        <f t="shared" si="184"/>
        <v>24</v>
      </c>
      <c r="AY288" s="272">
        <f>IFERROR(INDEX('Horo. M'!$O$3:O$367,MATCH(A288,'Horo. M'!$A$3:$A$367,0)),"")</f>
        <v>0</v>
      </c>
      <c r="AZ288" s="278"/>
      <c r="BA288" s="278"/>
      <c r="BB288" s="272">
        <f t="shared" si="185"/>
        <v>24</v>
      </c>
      <c r="BC288" s="274">
        <f t="shared" si="186"/>
        <v>0</v>
      </c>
      <c r="BD288" s="275">
        <f t="shared" si="187"/>
        <v>1</v>
      </c>
      <c r="BE288" s="278"/>
      <c r="BF288" s="272">
        <f t="shared" si="188"/>
        <v>24</v>
      </c>
      <c r="BG288" s="272">
        <f>IFERROR(INDEX('Horo. M'!$Q$3:Q$367,MATCH(A288,'Horo. M'!$A$3:$A$367,0)),"")</f>
        <v>0</v>
      </c>
      <c r="BH288" s="278"/>
      <c r="BI288" s="278"/>
      <c r="BJ288" s="272">
        <f t="shared" si="189"/>
        <v>24</v>
      </c>
      <c r="BK288" s="274">
        <f t="shared" si="190"/>
        <v>0</v>
      </c>
      <c r="BL288" s="275">
        <f t="shared" si="191"/>
        <v>1</v>
      </c>
      <c r="BM288" s="278"/>
      <c r="BN288" s="272">
        <f t="shared" si="192"/>
        <v>24</v>
      </c>
      <c r="BO288" s="272">
        <f>IFERROR(INDEX('Horo. M'!$S$3:S$367,MATCH(A288,'Horo. M'!$A$3:$A$367,0)),"")</f>
        <v>0</v>
      </c>
      <c r="BP288" s="278"/>
      <c r="BQ288" s="278"/>
      <c r="BR288" s="272">
        <f t="shared" si="193"/>
        <v>24</v>
      </c>
      <c r="BS288" s="274">
        <f t="shared" si="194"/>
        <v>0</v>
      </c>
      <c r="BT288" s="275">
        <f t="shared" si="195"/>
        <v>1</v>
      </c>
      <c r="BU288" s="278"/>
      <c r="BV288" s="272">
        <f t="shared" si="196"/>
        <v>24</v>
      </c>
      <c r="BW288" s="272">
        <f>IFERROR(INDEX('Horo. M'!$U$3:U$367,MATCH(A288,'Horo. M'!$A$3:$A$367,0)),"")</f>
        <v>0</v>
      </c>
      <c r="BX288" s="278"/>
      <c r="BY288" s="278"/>
      <c r="BZ288" s="272">
        <f t="shared" si="197"/>
        <v>24</v>
      </c>
      <c r="CA288" s="274">
        <f t="shared" si="198"/>
        <v>0</v>
      </c>
      <c r="CB288" s="275">
        <f t="shared" si="199"/>
        <v>1</v>
      </c>
      <c r="CC288" s="280"/>
    </row>
    <row r="289" spans="1:81">
      <c r="A289" s="279">
        <v>45214</v>
      </c>
      <c r="B289" s="278">
        <f t="shared" si="160"/>
        <v>24</v>
      </c>
      <c r="C289" s="272">
        <f>IFERROR(INDEX('Horo. M'!$C$3:$C$367,MATCH(A289,'Horo. M'!$A$3:$A$367,0)),"")</f>
        <v>0</v>
      </c>
      <c r="D289" s="278"/>
      <c r="E289" s="278"/>
      <c r="F289" s="272">
        <f t="shared" si="161"/>
        <v>24</v>
      </c>
      <c r="G289" s="274">
        <f t="shared" si="162"/>
        <v>0</v>
      </c>
      <c r="H289" s="275">
        <f t="shared" si="163"/>
        <v>1</v>
      </c>
      <c r="I289" s="277"/>
      <c r="J289" s="278">
        <f t="shared" si="164"/>
        <v>24</v>
      </c>
      <c r="K289" s="272">
        <f>IFERROR(INDEX('Horo. M'!$E$3:$E$367,MATCH(A289,'Horo. M'!$A$3:$A$367,0)),"")</f>
        <v>0</v>
      </c>
      <c r="L289" s="273"/>
      <c r="M289" s="273"/>
      <c r="N289" s="272">
        <f t="shared" si="165"/>
        <v>24</v>
      </c>
      <c r="O289" s="274">
        <f t="shared" si="166"/>
        <v>0</v>
      </c>
      <c r="P289" s="275">
        <f t="shared" si="167"/>
        <v>1</v>
      </c>
      <c r="Q289" s="276"/>
      <c r="R289" s="278">
        <f t="shared" si="168"/>
        <v>24</v>
      </c>
      <c r="S289" s="272">
        <f>IFERROR(INDEX('Horo. M'!G$3:$G$367,MATCH(A289,'Horo. M'!$A$3:$A$367,0)),"")</f>
        <v>0</v>
      </c>
      <c r="T289" s="278"/>
      <c r="U289" s="278"/>
      <c r="V289" s="272">
        <f t="shared" si="169"/>
        <v>24</v>
      </c>
      <c r="W289" s="274">
        <f t="shared" si="170"/>
        <v>0</v>
      </c>
      <c r="X289" s="275">
        <f t="shared" si="171"/>
        <v>1</v>
      </c>
      <c r="Y289" s="278"/>
      <c r="Z289" s="278">
        <f t="shared" si="172"/>
        <v>24</v>
      </c>
      <c r="AA289" s="272">
        <f>IFERROR(INDEX('Horo. M'!$I$3:I$367,MATCH(A289,'Horo. M'!$A$3:$A$367,0)),"")</f>
        <v>0</v>
      </c>
      <c r="AB289" s="273"/>
      <c r="AC289" s="273"/>
      <c r="AD289" s="272">
        <f t="shared" si="173"/>
        <v>24</v>
      </c>
      <c r="AE289" s="274">
        <f t="shared" si="174"/>
        <v>0</v>
      </c>
      <c r="AF289" s="275">
        <f t="shared" si="175"/>
        <v>1</v>
      </c>
      <c r="AG289" s="278"/>
      <c r="AH289" s="272">
        <f t="shared" si="176"/>
        <v>24</v>
      </c>
      <c r="AI289" s="272">
        <f>IFERROR(INDEX('Horo. M'!$K$3:K$367,MATCH(A289,'Horo. M'!$A$3:$A$367,0)),"")</f>
        <v>0</v>
      </c>
      <c r="AJ289" s="278"/>
      <c r="AK289" s="278"/>
      <c r="AL289" s="272">
        <f t="shared" si="177"/>
        <v>24</v>
      </c>
      <c r="AM289" s="274">
        <f t="shared" si="178"/>
        <v>0</v>
      </c>
      <c r="AN289" s="275">
        <f t="shared" si="179"/>
        <v>1</v>
      </c>
      <c r="AO289" s="278"/>
      <c r="AP289" s="272">
        <f t="shared" si="180"/>
        <v>24</v>
      </c>
      <c r="AQ289" s="272">
        <f>IFERROR(INDEX('Horo. M'!$M$3:M$367,MATCH(A289,'Horo. M'!$A$3:$A$367,0)),"")</f>
        <v>0</v>
      </c>
      <c r="AR289" s="278"/>
      <c r="AS289" s="278"/>
      <c r="AT289" s="272">
        <f t="shared" si="181"/>
        <v>24</v>
      </c>
      <c r="AU289" s="274">
        <f t="shared" si="182"/>
        <v>0</v>
      </c>
      <c r="AV289" s="275">
        <f t="shared" si="183"/>
        <v>1</v>
      </c>
      <c r="AW289" s="278"/>
      <c r="AX289" s="272">
        <f t="shared" si="184"/>
        <v>24</v>
      </c>
      <c r="AY289" s="272">
        <f>IFERROR(INDEX('Horo. M'!$O$3:O$367,MATCH(A289,'Horo. M'!$A$3:$A$367,0)),"")</f>
        <v>0</v>
      </c>
      <c r="AZ289" s="278"/>
      <c r="BA289" s="278"/>
      <c r="BB289" s="272">
        <f t="shared" si="185"/>
        <v>24</v>
      </c>
      <c r="BC289" s="274">
        <f t="shared" si="186"/>
        <v>0</v>
      </c>
      <c r="BD289" s="275">
        <f t="shared" si="187"/>
        <v>1</v>
      </c>
      <c r="BE289" s="278"/>
      <c r="BF289" s="272">
        <f t="shared" si="188"/>
        <v>24</v>
      </c>
      <c r="BG289" s="272">
        <f>IFERROR(INDEX('Horo. M'!$Q$3:Q$367,MATCH(A289,'Horo. M'!$A$3:$A$367,0)),"")</f>
        <v>0</v>
      </c>
      <c r="BH289" s="278"/>
      <c r="BI289" s="278"/>
      <c r="BJ289" s="272">
        <f t="shared" si="189"/>
        <v>24</v>
      </c>
      <c r="BK289" s="274">
        <f t="shared" si="190"/>
        <v>0</v>
      </c>
      <c r="BL289" s="275">
        <f t="shared" si="191"/>
        <v>1</v>
      </c>
      <c r="BM289" s="278"/>
      <c r="BN289" s="272">
        <f t="shared" si="192"/>
        <v>24</v>
      </c>
      <c r="BO289" s="272">
        <f>IFERROR(INDEX('Horo. M'!$S$3:S$367,MATCH(A289,'Horo. M'!$A$3:$A$367,0)),"")</f>
        <v>0</v>
      </c>
      <c r="BP289" s="278"/>
      <c r="BQ289" s="278"/>
      <c r="BR289" s="272">
        <f t="shared" si="193"/>
        <v>24</v>
      </c>
      <c r="BS289" s="274">
        <f t="shared" si="194"/>
        <v>0</v>
      </c>
      <c r="BT289" s="275">
        <f t="shared" si="195"/>
        <v>1</v>
      </c>
      <c r="BU289" s="278"/>
      <c r="BV289" s="272">
        <f t="shared" si="196"/>
        <v>24</v>
      </c>
      <c r="BW289" s="272">
        <f>IFERROR(INDEX('Horo. M'!$U$3:U$367,MATCH(A289,'Horo. M'!$A$3:$A$367,0)),"")</f>
        <v>0</v>
      </c>
      <c r="BX289" s="278"/>
      <c r="BY289" s="278"/>
      <c r="BZ289" s="272">
        <f t="shared" si="197"/>
        <v>24</v>
      </c>
      <c r="CA289" s="274">
        <f t="shared" si="198"/>
        <v>0</v>
      </c>
      <c r="CB289" s="275">
        <f t="shared" si="199"/>
        <v>1</v>
      </c>
      <c r="CC289" s="280"/>
    </row>
    <row r="290" spans="1:81">
      <c r="A290" s="279">
        <v>45215</v>
      </c>
      <c r="B290" s="278">
        <f t="shared" si="160"/>
        <v>24</v>
      </c>
      <c r="C290" s="272">
        <f>IFERROR(INDEX('Horo. M'!$C$3:$C$367,MATCH(A290,'Horo. M'!$A$3:$A$367,0)),"")</f>
        <v>0</v>
      </c>
      <c r="D290" s="278"/>
      <c r="E290" s="278"/>
      <c r="F290" s="272">
        <f t="shared" si="161"/>
        <v>24</v>
      </c>
      <c r="G290" s="274">
        <f t="shared" si="162"/>
        <v>0</v>
      </c>
      <c r="H290" s="275">
        <f t="shared" si="163"/>
        <v>1</v>
      </c>
      <c r="I290" s="277"/>
      <c r="J290" s="278">
        <f t="shared" si="164"/>
        <v>24</v>
      </c>
      <c r="K290" s="272">
        <f>IFERROR(INDEX('Horo. M'!$E$3:$E$367,MATCH(A290,'Horo. M'!$A$3:$A$367,0)),"")</f>
        <v>0</v>
      </c>
      <c r="L290" s="273"/>
      <c r="M290" s="273"/>
      <c r="N290" s="272">
        <f t="shared" si="165"/>
        <v>24</v>
      </c>
      <c r="O290" s="274">
        <f t="shared" si="166"/>
        <v>0</v>
      </c>
      <c r="P290" s="275">
        <f t="shared" si="167"/>
        <v>1</v>
      </c>
      <c r="Q290" s="276"/>
      <c r="R290" s="278">
        <f t="shared" si="168"/>
        <v>24</v>
      </c>
      <c r="S290" s="272">
        <f>IFERROR(INDEX('Horo. M'!G$3:$G$367,MATCH(A290,'Horo. M'!$A$3:$A$367,0)),"")</f>
        <v>0</v>
      </c>
      <c r="T290" s="278"/>
      <c r="U290" s="278"/>
      <c r="V290" s="272">
        <f t="shared" si="169"/>
        <v>24</v>
      </c>
      <c r="W290" s="274">
        <f t="shared" si="170"/>
        <v>0</v>
      </c>
      <c r="X290" s="275">
        <f t="shared" si="171"/>
        <v>1</v>
      </c>
      <c r="Y290" s="278"/>
      <c r="Z290" s="278">
        <f t="shared" si="172"/>
        <v>24</v>
      </c>
      <c r="AA290" s="272">
        <f>IFERROR(INDEX('Horo. M'!$I$3:I$367,MATCH(A290,'Horo. M'!$A$3:$A$367,0)),"")</f>
        <v>0</v>
      </c>
      <c r="AB290" s="273"/>
      <c r="AC290" s="273"/>
      <c r="AD290" s="272">
        <f t="shared" si="173"/>
        <v>24</v>
      </c>
      <c r="AE290" s="274">
        <f t="shared" si="174"/>
        <v>0</v>
      </c>
      <c r="AF290" s="275">
        <f t="shared" si="175"/>
        <v>1</v>
      </c>
      <c r="AG290" s="278"/>
      <c r="AH290" s="272">
        <f t="shared" si="176"/>
        <v>24</v>
      </c>
      <c r="AI290" s="272">
        <f>IFERROR(INDEX('Horo. M'!$K$3:K$367,MATCH(A290,'Horo. M'!$A$3:$A$367,0)),"")</f>
        <v>0</v>
      </c>
      <c r="AJ290" s="278"/>
      <c r="AK290" s="278"/>
      <c r="AL290" s="272">
        <f t="shared" si="177"/>
        <v>24</v>
      </c>
      <c r="AM290" s="274">
        <f t="shared" si="178"/>
        <v>0</v>
      </c>
      <c r="AN290" s="275">
        <f t="shared" si="179"/>
        <v>1</v>
      </c>
      <c r="AO290" s="278"/>
      <c r="AP290" s="272">
        <f t="shared" si="180"/>
        <v>24</v>
      </c>
      <c r="AQ290" s="272">
        <f>IFERROR(INDEX('Horo. M'!$M$3:M$367,MATCH(A290,'Horo. M'!$A$3:$A$367,0)),"")</f>
        <v>0</v>
      </c>
      <c r="AR290" s="278"/>
      <c r="AS290" s="278"/>
      <c r="AT290" s="272">
        <f t="shared" si="181"/>
        <v>24</v>
      </c>
      <c r="AU290" s="274">
        <f t="shared" si="182"/>
        <v>0</v>
      </c>
      <c r="AV290" s="275">
        <f t="shared" si="183"/>
        <v>1</v>
      </c>
      <c r="AW290" s="278"/>
      <c r="AX290" s="272">
        <f t="shared" si="184"/>
        <v>24</v>
      </c>
      <c r="AY290" s="272">
        <f>IFERROR(INDEX('Horo. M'!$O$3:O$367,MATCH(A290,'Horo. M'!$A$3:$A$367,0)),"")</f>
        <v>0</v>
      </c>
      <c r="AZ290" s="278"/>
      <c r="BA290" s="278"/>
      <c r="BB290" s="272">
        <f t="shared" si="185"/>
        <v>24</v>
      </c>
      <c r="BC290" s="274">
        <f t="shared" si="186"/>
        <v>0</v>
      </c>
      <c r="BD290" s="275">
        <f t="shared" si="187"/>
        <v>1</v>
      </c>
      <c r="BE290" s="278"/>
      <c r="BF290" s="272">
        <f t="shared" si="188"/>
        <v>24</v>
      </c>
      <c r="BG290" s="272">
        <f>IFERROR(INDEX('Horo. M'!$Q$3:Q$367,MATCH(A290,'Horo. M'!$A$3:$A$367,0)),"")</f>
        <v>0</v>
      </c>
      <c r="BH290" s="278"/>
      <c r="BI290" s="278"/>
      <c r="BJ290" s="272">
        <f t="shared" si="189"/>
        <v>24</v>
      </c>
      <c r="BK290" s="274">
        <f t="shared" si="190"/>
        <v>0</v>
      </c>
      <c r="BL290" s="275">
        <f t="shared" si="191"/>
        <v>1</v>
      </c>
      <c r="BM290" s="278"/>
      <c r="BN290" s="272">
        <f t="shared" si="192"/>
        <v>24</v>
      </c>
      <c r="BO290" s="272">
        <f>IFERROR(INDEX('Horo. M'!$S$3:S$367,MATCH(A290,'Horo. M'!$A$3:$A$367,0)),"")</f>
        <v>0</v>
      </c>
      <c r="BP290" s="278"/>
      <c r="BQ290" s="278"/>
      <c r="BR290" s="272">
        <f t="shared" si="193"/>
        <v>24</v>
      </c>
      <c r="BS290" s="274">
        <f t="shared" si="194"/>
        <v>0</v>
      </c>
      <c r="BT290" s="275">
        <f t="shared" si="195"/>
        <v>1</v>
      </c>
      <c r="BU290" s="278"/>
      <c r="BV290" s="272">
        <f t="shared" si="196"/>
        <v>24</v>
      </c>
      <c r="BW290" s="272">
        <f>IFERROR(INDEX('Horo. M'!$U$3:U$367,MATCH(A290,'Horo. M'!$A$3:$A$367,0)),"")</f>
        <v>0</v>
      </c>
      <c r="BX290" s="278"/>
      <c r="BY290" s="278"/>
      <c r="BZ290" s="272">
        <f t="shared" si="197"/>
        <v>24</v>
      </c>
      <c r="CA290" s="274">
        <f t="shared" si="198"/>
        <v>0</v>
      </c>
      <c r="CB290" s="275">
        <f t="shared" si="199"/>
        <v>1</v>
      </c>
      <c r="CC290" s="280"/>
    </row>
    <row r="291" spans="1:81">
      <c r="A291" s="279">
        <v>45216</v>
      </c>
      <c r="B291" s="278">
        <f t="shared" si="160"/>
        <v>24</v>
      </c>
      <c r="C291" s="272">
        <f>IFERROR(INDEX('Horo. M'!$C$3:$C$367,MATCH(A291,'Horo. M'!$A$3:$A$367,0)),"")</f>
        <v>0</v>
      </c>
      <c r="D291" s="278"/>
      <c r="E291" s="278"/>
      <c r="F291" s="272">
        <f t="shared" si="161"/>
        <v>24</v>
      </c>
      <c r="G291" s="274">
        <f t="shared" si="162"/>
        <v>0</v>
      </c>
      <c r="H291" s="275">
        <f t="shared" si="163"/>
        <v>1</v>
      </c>
      <c r="I291" s="277"/>
      <c r="J291" s="278">
        <f t="shared" si="164"/>
        <v>24</v>
      </c>
      <c r="K291" s="272">
        <f>IFERROR(INDEX('Horo. M'!$E$3:$E$367,MATCH(A291,'Horo. M'!$A$3:$A$367,0)),"")</f>
        <v>0</v>
      </c>
      <c r="L291" s="273"/>
      <c r="M291" s="273"/>
      <c r="N291" s="272">
        <f t="shared" si="165"/>
        <v>24</v>
      </c>
      <c r="O291" s="274">
        <f t="shared" si="166"/>
        <v>0</v>
      </c>
      <c r="P291" s="275">
        <f t="shared" si="167"/>
        <v>1</v>
      </c>
      <c r="Q291" s="276"/>
      <c r="R291" s="278">
        <f t="shared" si="168"/>
        <v>24</v>
      </c>
      <c r="S291" s="272">
        <f>IFERROR(INDEX('Horo. M'!G$3:$G$367,MATCH(A291,'Horo. M'!$A$3:$A$367,0)),"")</f>
        <v>0</v>
      </c>
      <c r="T291" s="278"/>
      <c r="U291" s="278"/>
      <c r="V291" s="272">
        <f t="shared" si="169"/>
        <v>24</v>
      </c>
      <c r="W291" s="274">
        <f t="shared" si="170"/>
        <v>0</v>
      </c>
      <c r="X291" s="275">
        <f t="shared" si="171"/>
        <v>1</v>
      </c>
      <c r="Y291" s="278"/>
      <c r="Z291" s="278">
        <f t="shared" si="172"/>
        <v>24</v>
      </c>
      <c r="AA291" s="272">
        <f>IFERROR(INDEX('Horo. M'!$I$3:I$367,MATCH(A291,'Horo. M'!$A$3:$A$367,0)),"")</f>
        <v>0</v>
      </c>
      <c r="AB291" s="273"/>
      <c r="AC291" s="273"/>
      <c r="AD291" s="272">
        <f t="shared" si="173"/>
        <v>24</v>
      </c>
      <c r="AE291" s="274">
        <f t="shared" si="174"/>
        <v>0</v>
      </c>
      <c r="AF291" s="275">
        <f t="shared" si="175"/>
        <v>1</v>
      </c>
      <c r="AG291" s="278"/>
      <c r="AH291" s="272">
        <f t="shared" si="176"/>
        <v>24</v>
      </c>
      <c r="AI291" s="272">
        <f>IFERROR(INDEX('Horo. M'!$K$3:K$367,MATCH(A291,'Horo. M'!$A$3:$A$367,0)),"")</f>
        <v>0</v>
      </c>
      <c r="AJ291" s="278"/>
      <c r="AK291" s="278"/>
      <c r="AL291" s="272">
        <f t="shared" si="177"/>
        <v>24</v>
      </c>
      <c r="AM291" s="274">
        <f t="shared" si="178"/>
        <v>0</v>
      </c>
      <c r="AN291" s="275">
        <f t="shared" si="179"/>
        <v>1</v>
      </c>
      <c r="AO291" s="278"/>
      <c r="AP291" s="272">
        <f t="shared" si="180"/>
        <v>24</v>
      </c>
      <c r="AQ291" s="272">
        <f>IFERROR(INDEX('Horo. M'!$M$3:M$367,MATCH(A291,'Horo. M'!$A$3:$A$367,0)),"")</f>
        <v>0</v>
      </c>
      <c r="AR291" s="278"/>
      <c r="AS291" s="278"/>
      <c r="AT291" s="272">
        <f t="shared" si="181"/>
        <v>24</v>
      </c>
      <c r="AU291" s="274">
        <f t="shared" si="182"/>
        <v>0</v>
      </c>
      <c r="AV291" s="275">
        <f t="shared" si="183"/>
        <v>1</v>
      </c>
      <c r="AW291" s="278"/>
      <c r="AX291" s="272">
        <f t="shared" si="184"/>
        <v>24</v>
      </c>
      <c r="AY291" s="272">
        <f>IFERROR(INDEX('Horo. M'!$O$3:O$367,MATCH(A291,'Horo. M'!$A$3:$A$367,0)),"")</f>
        <v>0</v>
      </c>
      <c r="AZ291" s="278"/>
      <c r="BA291" s="278"/>
      <c r="BB291" s="272">
        <f t="shared" si="185"/>
        <v>24</v>
      </c>
      <c r="BC291" s="274">
        <f t="shared" si="186"/>
        <v>0</v>
      </c>
      <c r="BD291" s="275">
        <f t="shared" si="187"/>
        <v>1</v>
      </c>
      <c r="BE291" s="278"/>
      <c r="BF291" s="272">
        <f t="shared" si="188"/>
        <v>24</v>
      </c>
      <c r="BG291" s="272">
        <f>IFERROR(INDEX('Horo. M'!$Q$3:Q$367,MATCH(A291,'Horo. M'!$A$3:$A$367,0)),"")</f>
        <v>0</v>
      </c>
      <c r="BH291" s="278"/>
      <c r="BI291" s="278"/>
      <c r="BJ291" s="272">
        <f t="shared" si="189"/>
        <v>24</v>
      </c>
      <c r="BK291" s="274">
        <f t="shared" si="190"/>
        <v>0</v>
      </c>
      <c r="BL291" s="275">
        <f t="shared" si="191"/>
        <v>1</v>
      </c>
      <c r="BM291" s="278"/>
      <c r="BN291" s="272">
        <f t="shared" si="192"/>
        <v>24</v>
      </c>
      <c r="BO291" s="272">
        <f>IFERROR(INDEX('Horo. M'!$S$3:S$367,MATCH(A291,'Horo. M'!$A$3:$A$367,0)),"")</f>
        <v>0</v>
      </c>
      <c r="BP291" s="278"/>
      <c r="BQ291" s="278"/>
      <c r="BR291" s="272">
        <f t="shared" si="193"/>
        <v>24</v>
      </c>
      <c r="BS291" s="274">
        <f t="shared" si="194"/>
        <v>0</v>
      </c>
      <c r="BT291" s="275">
        <f t="shared" si="195"/>
        <v>1</v>
      </c>
      <c r="BU291" s="278"/>
      <c r="BV291" s="272">
        <f t="shared" si="196"/>
        <v>24</v>
      </c>
      <c r="BW291" s="272">
        <f>IFERROR(INDEX('Horo. M'!$U$3:U$367,MATCH(A291,'Horo. M'!$A$3:$A$367,0)),"")</f>
        <v>0</v>
      </c>
      <c r="BX291" s="278"/>
      <c r="BY291" s="278"/>
      <c r="BZ291" s="272">
        <f t="shared" si="197"/>
        <v>24</v>
      </c>
      <c r="CA291" s="274">
        <f t="shared" si="198"/>
        <v>0</v>
      </c>
      <c r="CB291" s="275">
        <f t="shared" si="199"/>
        <v>1</v>
      </c>
      <c r="CC291" s="280"/>
    </row>
    <row r="292" spans="1:81">
      <c r="A292" s="279">
        <v>45217</v>
      </c>
      <c r="B292" s="278">
        <f t="shared" si="160"/>
        <v>24</v>
      </c>
      <c r="C292" s="272">
        <f>IFERROR(INDEX('Horo. M'!$C$3:$C$367,MATCH(A292,'Horo. M'!$A$3:$A$367,0)),"")</f>
        <v>0</v>
      </c>
      <c r="D292" s="278"/>
      <c r="E292" s="278"/>
      <c r="F292" s="272">
        <f t="shared" si="161"/>
        <v>24</v>
      </c>
      <c r="G292" s="274">
        <f t="shared" si="162"/>
        <v>0</v>
      </c>
      <c r="H292" s="275">
        <f t="shared" si="163"/>
        <v>1</v>
      </c>
      <c r="I292" s="277"/>
      <c r="J292" s="278">
        <f t="shared" si="164"/>
        <v>24</v>
      </c>
      <c r="K292" s="272">
        <f>IFERROR(INDEX('Horo. M'!$E$3:$E$367,MATCH(A292,'Horo. M'!$A$3:$A$367,0)),"")</f>
        <v>0</v>
      </c>
      <c r="L292" s="273"/>
      <c r="M292" s="273"/>
      <c r="N292" s="272">
        <f t="shared" si="165"/>
        <v>24</v>
      </c>
      <c r="O292" s="274">
        <f t="shared" si="166"/>
        <v>0</v>
      </c>
      <c r="P292" s="275">
        <f t="shared" si="167"/>
        <v>1</v>
      </c>
      <c r="Q292" s="276"/>
      <c r="R292" s="278">
        <f t="shared" si="168"/>
        <v>24</v>
      </c>
      <c r="S292" s="272">
        <f>IFERROR(INDEX('Horo. M'!G$3:$G$367,MATCH(A292,'Horo. M'!$A$3:$A$367,0)),"")</f>
        <v>0</v>
      </c>
      <c r="T292" s="278"/>
      <c r="U292" s="278"/>
      <c r="V292" s="272">
        <f t="shared" si="169"/>
        <v>24</v>
      </c>
      <c r="W292" s="274">
        <f t="shared" si="170"/>
        <v>0</v>
      </c>
      <c r="X292" s="275">
        <f t="shared" si="171"/>
        <v>1</v>
      </c>
      <c r="Y292" s="278"/>
      <c r="Z292" s="278">
        <f t="shared" si="172"/>
        <v>24</v>
      </c>
      <c r="AA292" s="272">
        <f>IFERROR(INDEX('Horo. M'!$I$3:I$367,MATCH(A292,'Horo. M'!$A$3:$A$367,0)),"")</f>
        <v>0</v>
      </c>
      <c r="AB292" s="273"/>
      <c r="AC292" s="273"/>
      <c r="AD292" s="272">
        <f t="shared" si="173"/>
        <v>24</v>
      </c>
      <c r="AE292" s="274">
        <f t="shared" si="174"/>
        <v>0</v>
      </c>
      <c r="AF292" s="275">
        <f t="shared" si="175"/>
        <v>1</v>
      </c>
      <c r="AG292" s="278"/>
      <c r="AH292" s="272">
        <f t="shared" si="176"/>
        <v>24</v>
      </c>
      <c r="AI292" s="272">
        <f>IFERROR(INDEX('Horo. M'!$K$3:K$367,MATCH(A292,'Horo. M'!$A$3:$A$367,0)),"")</f>
        <v>0</v>
      </c>
      <c r="AJ292" s="278"/>
      <c r="AK292" s="278"/>
      <c r="AL292" s="272">
        <f t="shared" si="177"/>
        <v>24</v>
      </c>
      <c r="AM292" s="274">
        <f t="shared" si="178"/>
        <v>0</v>
      </c>
      <c r="AN292" s="275">
        <f t="shared" si="179"/>
        <v>1</v>
      </c>
      <c r="AO292" s="278"/>
      <c r="AP292" s="272">
        <f t="shared" si="180"/>
        <v>24</v>
      </c>
      <c r="AQ292" s="272">
        <f>IFERROR(INDEX('Horo. M'!$M$3:M$367,MATCH(A292,'Horo. M'!$A$3:$A$367,0)),"")</f>
        <v>0</v>
      </c>
      <c r="AR292" s="278"/>
      <c r="AS292" s="278"/>
      <c r="AT292" s="272">
        <f t="shared" si="181"/>
        <v>24</v>
      </c>
      <c r="AU292" s="274">
        <f t="shared" si="182"/>
        <v>0</v>
      </c>
      <c r="AV292" s="275">
        <f t="shared" si="183"/>
        <v>1</v>
      </c>
      <c r="AW292" s="278"/>
      <c r="AX292" s="272">
        <f t="shared" si="184"/>
        <v>24</v>
      </c>
      <c r="AY292" s="272">
        <f>IFERROR(INDEX('Horo. M'!$O$3:O$367,MATCH(A292,'Horo. M'!$A$3:$A$367,0)),"")</f>
        <v>0</v>
      </c>
      <c r="AZ292" s="278"/>
      <c r="BA292" s="278"/>
      <c r="BB292" s="272">
        <f t="shared" si="185"/>
        <v>24</v>
      </c>
      <c r="BC292" s="274">
        <f t="shared" si="186"/>
        <v>0</v>
      </c>
      <c r="BD292" s="275">
        <f t="shared" si="187"/>
        <v>1</v>
      </c>
      <c r="BE292" s="278"/>
      <c r="BF292" s="272">
        <f t="shared" si="188"/>
        <v>24</v>
      </c>
      <c r="BG292" s="272">
        <f>IFERROR(INDEX('Horo. M'!$Q$3:Q$367,MATCH(A292,'Horo. M'!$A$3:$A$367,0)),"")</f>
        <v>0</v>
      </c>
      <c r="BH292" s="278"/>
      <c r="BI292" s="278"/>
      <c r="BJ292" s="272">
        <f t="shared" si="189"/>
        <v>24</v>
      </c>
      <c r="BK292" s="274">
        <f t="shared" si="190"/>
        <v>0</v>
      </c>
      <c r="BL292" s="275">
        <f t="shared" si="191"/>
        <v>1</v>
      </c>
      <c r="BM292" s="278"/>
      <c r="BN292" s="272">
        <f t="shared" si="192"/>
        <v>24</v>
      </c>
      <c r="BO292" s="272">
        <f>IFERROR(INDEX('Horo. M'!$S$3:S$367,MATCH(A292,'Horo. M'!$A$3:$A$367,0)),"")</f>
        <v>0</v>
      </c>
      <c r="BP292" s="278"/>
      <c r="BQ292" s="278"/>
      <c r="BR292" s="272">
        <f t="shared" si="193"/>
        <v>24</v>
      </c>
      <c r="BS292" s="274">
        <f t="shared" si="194"/>
        <v>0</v>
      </c>
      <c r="BT292" s="275">
        <f t="shared" si="195"/>
        <v>1</v>
      </c>
      <c r="BU292" s="278"/>
      <c r="BV292" s="272">
        <f t="shared" si="196"/>
        <v>24</v>
      </c>
      <c r="BW292" s="272">
        <f>IFERROR(INDEX('Horo. M'!$U$3:U$367,MATCH(A292,'Horo. M'!$A$3:$A$367,0)),"")</f>
        <v>0</v>
      </c>
      <c r="BX292" s="278"/>
      <c r="BY292" s="278"/>
      <c r="BZ292" s="272">
        <f t="shared" si="197"/>
        <v>24</v>
      </c>
      <c r="CA292" s="274">
        <f t="shared" si="198"/>
        <v>0</v>
      </c>
      <c r="CB292" s="275">
        <f t="shared" si="199"/>
        <v>1</v>
      </c>
      <c r="CC292" s="280"/>
    </row>
    <row r="293" spans="1:81">
      <c r="A293" s="279">
        <v>45218</v>
      </c>
      <c r="B293" s="278">
        <f t="shared" si="160"/>
        <v>24</v>
      </c>
      <c r="C293" s="272">
        <f>IFERROR(INDEX('Horo. M'!$C$3:$C$367,MATCH(A293,'Horo. M'!$A$3:$A$367,0)),"")</f>
        <v>0</v>
      </c>
      <c r="D293" s="278"/>
      <c r="E293" s="278"/>
      <c r="F293" s="272">
        <f t="shared" si="161"/>
        <v>24</v>
      </c>
      <c r="G293" s="274">
        <f t="shared" si="162"/>
        <v>0</v>
      </c>
      <c r="H293" s="275">
        <f t="shared" si="163"/>
        <v>1</v>
      </c>
      <c r="I293" s="277"/>
      <c r="J293" s="278">
        <f t="shared" si="164"/>
        <v>24</v>
      </c>
      <c r="K293" s="272">
        <f>IFERROR(INDEX('Horo. M'!$E$3:$E$367,MATCH(A293,'Horo. M'!$A$3:$A$367,0)),"")</f>
        <v>0</v>
      </c>
      <c r="L293" s="273"/>
      <c r="M293" s="273"/>
      <c r="N293" s="272">
        <f t="shared" si="165"/>
        <v>24</v>
      </c>
      <c r="O293" s="274">
        <f t="shared" si="166"/>
        <v>0</v>
      </c>
      <c r="P293" s="275">
        <f t="shared" si="167"/>
        <v>1</v>
      </c>
      <c r="Q293" s="276"/>
      <c r="R293" s="278">
        <f t="shared" si="168"/>
        <v>24</v>
      </c>
      <c r="S293" s="272">
        <f>IFERROR(INDEX('Horo. M'!G$3:$G$367,MATCH(A293,'Horo. M'!$A$3:$A$367,0)),"")</f>
        <v>0</v>
      </c>
      <c r="T293" s="278"/>
      <c r="U293" s="278"/>
      <c r="V293" s="272">
        <f t="shared" si="169"/>
        <v>24</v>
      </c>
      <c r="W293" s="274">
        <f t="shared" si="170"/>
        <v>0</v>
      </c>
      <c r="X293" s="275">
        <f t="shared" si="171"/>
        <v>1</v>
      </c>
      <c r="Y293" s="278"/>
      <c r="Z293" s="278">
        <f t="shared" si="172"/>
        <v>24</v>
      </c>
      <c r="AA293" s="272">
        <f>IFERROR(INDEX('Horo. M'!$I$3:I$367,MATCH(A293,'Horo. M'!$A$3:$A$367,0)),"")</f>
        <v>0</v>
      </c>
      <c r="AB293" s="273"/>
      <c r="AC293" s="273"/>
      <c r="AD293" s="272">
        <f t="shared" si="173"/>
        <v>24</v>
      </c>
      <c r="AE293" s="274">
        <f t="shared" si="174"/>
        <v>0</v>
      </c>
      <c r="AF293" s="275">
        <f t="shared" si="175"/>
        <v>1</v>
      </c>
      <c r="AG293" s="278"/>
      <c r="AH293" s="272">
        <f t="shared" si="176"/>
        <v>24</v>
      </c>
      <c r="AI293" s="272">
        <f>IFERROR(INDEX('Horo. M'!$K$3:K$367,MATCH(A293,'Horo. M'!$A$3:$A$367,0)),"")</f>
        <v>0</v>
      </c>
      <c r="AJ293" s="278"/>
      <c r="AK293" s="278"/>
      <c r="AL293" s="272">
        <f t="shared" si="177"/>
        <v>24</v>
      </c>
      <c r="AM293" s="274">
        <f t="shared" si="178"/>
        <v>0</v>
      </c>
      <c r="AN293" s="275">
        <f t="shared" si="179"/>
        <v>1</v>
      </c>
      <c r="AO293" s="278"/>
      <c r="AP293" s="272">
        <f t="shared" si="180"/>
        <v>24</v>
      </c>
      <c r="AQ293" s="272">
        <f>IFERROR(INDEX('Horo. M'!$M$3:M$367,MATCH(A293,'Horo. M'!$A$3:$A$367,0)),"")</f>
        <v>0</v>
      </c>
      <c r="AR293" s="278"/>
      <c r="AS293" s="278"/>
      <c r="AT293" s="272">
        <f t="shared" si="181"/>
        <v>24</v>
      </c>
      <c r="AU293" s="274">
        <f t="shared" si="182"/>
        <v>0</v>
      </c>
      <c r="AV293" s="275">
        <f t="shared" si="183"/>
        <v>1</v>
      </c>
      <c r="AW293" s="278"/>
      <c r="AX293" s="272">
        <f t="shared" si="184"/>
        <v>24</v>
      </c>
      <c r="AY293" s="272">
        <f>IFERROR(INDEX('Horo. M'!$O$3:O$367,MATCH(A293,'Horo. M'!$A$3:$A$367,0)),"")</f>
        <v>0</v>
      </c>
      <c r="AZ293" s="278"/>
      <c r="BA293" s="278"/>
      <c r="BB293" s="272">
        <f t="shared" si="185"/>
        <v>24</v>
      </c>
      <c r="BC293" s="274">
        <f t="shared" si="186"/>
        <v>0</v>
      </c>
      <c r="BD293" s="275">
        <f t="shared" si="187"/>
        <v>1</v>
      </c>
      <c r="BE293" s="278"/>
      <c r="BF293" s="272">
        <f t="shared" si="188"/>
        <v>24</v>
      </c>
      <c r="BG293" s="272">
        <f>IFERROR(INDEX('Horo. M'!$Q$3:Q$367,MATCH(A293,'Horo. M'!$A$3:$A$367,0)),"")</f>
        <v>0</v>
      </c>
      <c r="BH293" s="278"/>
      <c r="BI293" s="278"/>
      <c r="BJ293" s="272">
        <f t="shared" si="189"/>
        <v>24</v>
      </c>
      <c r="BK293" s="274">
        <f t="shared" si="190"/>
        <v>0</v>
      </c>
      <c r="BL293" s="275">
        <f t="shared" si="191"/>
        <v>1</v>
      </c>
      <c r="BM293" s="278"/>
      <c r="BN293" s="272">
        <f t="shared" si="192"/>
        <v>24</v>
      </c>
      <c r="BO293" s="272">
        <f>IFERROR(INDEX('Horo. M'!$S$3:S$367,MATCH(A293,'Horo. M'!$A$3:$A$367,0)),"")</f>
        <v>0</v>
      </c>
      <c r="BP293" s="278"/>
      <c r="BQ293" s="278"/>
      <c r="BR293" s="272">
        <f t="shared" si="193"/>
        <v>24</v>
      </c>
      <c r="BS293" s="274">
        <f t="shared" si="194"/>
        <v>0</v>
      </c>
      <c r="BT293" s="275">
        <f t="shared" si="195"/>
        <v>1</v>
      </c>
      <c r="BU293" s="278"/>
      <c r="BV293" s="272">
        <f t="shared" si="196"/>
        <v>24</v>
      </c>
      <c r="BW293" s="272">
        <f>IFERROR(INDEX('Horo. M'!$U$3:U$367,MATCH(A293,'Horo. M'!$A$3:$A$367,0)),"")</f>
        <v>0</v>
      </c>
      <c r="BX293" s="278"/>
      <c r="BY293" s="278"/>
      <c r="BZ293" s="272">
        <f t="shared" si="197"/>
        <v>24</v>
      </c>
      <c r="CA293" s="274">
        <f t="shared" si="198"/>
        <v>0</v>
      </c>
      <c r="CB293" s="275">
        <f t="shared" si="199"/>
        <v>1</v>
      </c>
      <c r="CC293" s="280"/>
    </row>
    <row r="294" spans="1:81">
      <c r="A294" s="279">
        <v>45219</v>
      </c>
      <c r="B294" s="278">
        <f t="shared" si="160"/>
        <v>24</v>
      </c>
      <c r="C294" s="272">
        <f>IFERROR(INDEX('Horo. M'!$C$3:$C$367,MATCH(A294,'Horo. M'!$A$3:$A$367,0)),"")</f>
        <v>0</v>
      </c>
      <c r="D294" s="278"/>
      <c r="E294" s="278"/>
      <c r="F294" s="272">
        <f t="shared" si="161"/>
        <v>24</v>
      </c>
      <c r="G294" s="274">
        <f t="shared" si="162"/>
        <v>0</v>
      </c>
      <c r="H294" s="275">
        <f t="shared" si="163"/>
        <v>1</v>
      </c>
      <c r="I294" s="277"/>
      <c r="J294" s="278">
        <f t="shared" si="164"/>
        <v>24</v>
      </c>
      <c r="K294" s="272">
        <f>IFERROR(INDEX('Horo. M'!$E$3:$E$367,MATCH(A294,'Horo. M'!$A$3:$A$367,0)),"")</f>
        <v>0</v>
      </c>
      <c r="L294" s="273"/>
      <c r="M294" s="273"/>
      <c r="N294" s="272">
        <f t="shared" si="165"/>
        <v>24</v>
      </c>
      <c r="O294" s="274">
        <f t="shared" si="166"/>
        <v>0</v>
      </c>
      <c r="P294" s="275">
        <f t="shared" si="167"/>
        <v>1</v>
      </c>
      <c r="Q294" s="276"/>
      <c r="R294" s="278">
        <f t="shared" si="168"/>
        <v>24</v>
      </c>
      <c r="S294" s="272">
        <f>IFERROR(INDEX('Horo. M'!G$3:$G$367,MATCH(A294,'Horo. M'!$A$3:$A$367,0)),"")</f>
        <v>0</v>
      </c>
      <c r="T294" s="278"/>
      <c r="U294" s="278"/>
      <c r="V294" s="272">
        <f t="shared" si="169"/>
        <v>24</v>
      </c>
      <c r="W294" s="274">
        <f t="shared" si="170"/>
        <v>0</v>
      </c>
      <c r="X294" s="275">
        <f t="shared" si="171"/>
        <v>1</v>
      </c>
      <c r="Y294" s="278"/>
      <c r="Z294" s="278">
        <f t="shared" si="172"/>
        <v>24</v>
      </c>
      <c r="AA294" s="272">
        <f>IFERROR(INDEX('Horo. M'!$I$3:I$367,MATCH(A294,'Horo. M'!$A$3:$A$367,0)),"")</f>
        <v>0</v>
      </c>
      <c r="AB294" s="273"/>
      <c r="AC294" s="273"/>
      <c r="AD294" s="272">
        <f t="shared" si="173"/>
        <v>24</v>
      </c>
      <c r="AE294" s="274">
        <f t="shared" si="174"/>
        <v>0</v>
      </c>
      <c r="AF294" s="275">
        <f t="shared" si="175"/>
        <v>1</v>
      </c>
      <c r="AG294" s="278"/>
      <c r="AH294" s="272">
        <f t="shared" si="176"/>
        <v>24</v>
      </c>
      <c r="AI294" s="272">
        <f>IFERROR(INDEX('Horo. M'!$K$3:K$367,MATCH(A294,'Horo. M'!$A$3:$A$367,0)),"")</f>
        <v>0</v>
      </c>
      <c r="AJ294" s="278"/>
      <c r="AK294" s="278"/>
      <c r="AL294" s="272">
        <f t="shared" si="177"/>
        <v>24</v>
      </c>
      <c r="AM294" s="274">
        <f t="shared" si="178"/>
        <v>0</v>
      </c>
      <c r="AN294" s="275">
        <f t="shared" si="179"/>
        <v>1</v>
      </c>
      <c r="AO294" s="278"/>
      <c r="AP294" s="272">
        <f t="shared" si="180"/>
        <v>24</v>
      </c>
      <c r="AQ294" s="272">
        <f>IFERROR(INDEX('Horo. M'!$M$3:M$367,MATCH(A294,'Horo. M'!$A$3:$A$367,0)),"")</f>
        <v>0</v>
      </c>
      <c r="AR294" s="278"/>
      <c r="AS294" s="278"/>
      <c r="AT294" s="272">
        <f t="shared" si="181"/>
        <v>24</v>
      </c>
      <c r="AU294" s="274">
        <f t="shared" si="182"/>
        <v>0</v>
      </c>
      <c r="AV294" s="275">
        <f t="shared" si="183"/>
        <v>1</v>
      </c>
      <c r="AW294" s="278"/>
      <c r="AX294" s="272">
        <f t="shared" si="184"/>
        <v>24</v>
      </c>
      <c r="AY294" s="272">
        <f>IFERROR(INDEX('Horo. M'!$O$3:O$367,MATCH(A294,'Horo. M'!$A$3:$A$367,0)),"")</f>
        <v>0</v>
      </c>
      <c r="AZ294" s="278"/>
      <c r="BA294" s="278"/>
      <c r="BB294" s="272">
        <f t="shared" si="185"/>
        <v>24</v>
      </c>
      <c r="BC294" s="274">
        <f t="shared" si="186"/>
        <v>0</v>
      </c>
      <c r="BD294" s="275">
        <f t="shared" si="187"/>
        <v>1</v>
      </c>
      <c r="BE294" s="278"/>
      <c r="BF294" s="272">
        <f t="shared" si="188"/>
        <v>24</v>
      </c>
      <c r="BG294" s="272">
        <f>IFERROR(INDEX('Horo. M'!$Q$3:Q$367,MATCH(A294,'Horo. M'!$A$3:$A$367,0)),"")</f>
        <v>0</v>
      </c>
      <c r="BH294" s="278"/>
      <c r="BI294" s="278"/>
      <c r="BJ294" s="272">
        <f t="shared" si="189"/>
        <v>24</v>
      </c>
      <c r="BK294" s="274">
        <f t="shared" si="190"/>
        <v>0</v>
      </c>
      <c r="BL294" s="275">
        <f t="shared" si="191"/>
        <v>1</v>
      </c>
      <c r="BM294" s="278"/>
      <c r="BN294" s="272">
        <f t="shared" si="192"/>
        <v>24</v>
      </c>
      <c r="BO294" s="272">
        <f>IFERROR(INDEX('Horo. M'!$S$3:S$367,MATCH(A294,'Horo. M'!$A$3:$A$367,0)),"")</f>
        <v>0</v>
      </c>
      <c r="BP294" s="278"/>
      <c r="BQ294" s="278"/>
      <c r="BR294" s="272">
        <f t="shared" si="193"/>
        <v>24</v>
      </c>
      <c r="BS294" s="274">
        <f t="shared" si="194"/>
        <v>0</v>
      </c>
      <c r="BT294" s="275">
        <f t="shared" si="195"/>
        <v>1</v>
      </c>
      <c r="BU294" s="278"/>
      <c r="BV294" s="272">
        <f t="shared" si="196"/>
        <v>24</v>
      </c>
      <c r="BW294" s="272">
        <f>IFERROR(INDEX('Horo. M'!$U$3:U$367,MATCH(A294,'Horo. M'!$A$3:$A$367,0)),"")</f>
        <v>0</v>
      </c>
      <c r="BX294" s="278"/>
      <c r="BY294" s="278"/>
      <c r="BZ294" s="272">
        <f t="shared" si="197"/>
        <v>24</v>
      </c>
      <c r="CA294" s="274">
        <f t="shared" si="198"/>
        <v>0</v>
      </c>
      <c r="CB294" s="275">
        <f t="shared" si="199"/>
        <v>1</v>
      </c>
      <c r="CC294" s="280"/>
    </row>
    <row r="295" spans="1:81">
      <c r="A295" s="279">
        <v>45220</v>
      </c>
      <c r="B295" s="278">
        <f t="shared" si="160"/>
        <v>24</v>
      </c>
      <c r="C295" s="272">
        <f>IFERROR(INDEX('Horo. M'!$C$3:$C$367,MATCH(A295,'Horo. M'!$A$3:$A$367,0)),"")</f>
        <v>0</v>
      </c>
      <c r="D295" s="278"/>
      <c r="E295" s="278"/>
      <c r="F295" s="272">
        <f t="shared" si="161"/>
        <v>24</v>
      </c>
      <c r="G295" s="274">
        <f t="shared" si="162"/>
        <v>0</v>
      </c>
      <c r="H295" s="275">
        <f t="shared" si="163"/>
        <v>1</v>
      </c>
      <c r="I295" s="277"/>
      <c r="J295" s="278">
        <f t="shared" si="164"/>
        <v>24</v>
      </c>
      <c r="K295" s="272">
        <f>IFERROR(INDEX('Horo. M'!$E$3:$E$367,MATCH(A295,'Horo. M'!$A$3:$A$367,0)),"")</f>
        <v>0</v>
      </c>
      <c r="L295" s="273"/>
      <c r="M295" s="273"/>
      <c r="N295" s="272">
        <f t="shared" si="165"/>
        <v>24</v>
      </c>
      <c r="O295" s="274">
        <f t="shared" si="166"/>
        <v>0</v>
      </c>
      <c r="P295" s="275">
        <f t="shared" si="167"/>
        <v>1</v>
      </c>
      <c r="Q295" s="276"/>
      <c r="R295" s="278">
        <f t="shared" si="168"/>
        <v>24</v>
      </c>
      <c r="S295" s="272">
        <f>IFERROR(INDEX('Horo. M'!G$3:$G$367,MATCH(A295,'Horo. M'!$A$3:$A$367,0)),"")</f>
        <v>0</v>
      </c>
      <c r="T295" s="278"/>
      <c r="U295" s="278"/>
      <c r="V295" s="272">
        <f t="shared" si="169"/>
        <v>24</v>
      </c>
      <c r="W295" s="274">
        <f t="shared" si="170"/>
        <v>0</v>
      </c>
      <c r="X295" s="275">
        <f t="shared" si="171"/>
        <v>1</v>
      </c>
      <c r="Y295" s="278"/>
      <c r="Z295" s="278">
        <f t="shared" si="172"/>
        <v>24</v>
      </c>
      <c r="AA295" s="272">
        <f>IFERROR(INDEX('Horo. M'!$I$3:I$367,MATCH(A295,'Horo. M'!$A$3:$A$367,0)),"")</f>
        <v>0</v>
      </c>
      <c r="AB295" s="273"/>
      <c r="AC295" s="273"/>
      <c r="AD295" s="272">
        <f t="shared" si="173"/>
        <v>24</v>
      </c>
      <c r="AE295" s="274">
        <f t="shared" si="174"/>
        <v>0</v>
      </c>
      <c r="AF295" s="275">
        <f t="shared" si="175"/>
        <v>1</v>
      </c>
      <c r="AG295" s="278"/>
      <c r="AH295" s="272">
        <f t="shared" si="176"/>
        <v>24</v>
      </c>
      <c r="AI295" s="272">
        <f>IFERROR(INDEX('Horo. M'!$K$3:K$367,MATCH(A295,'Horo. M'!$A$3:$A$367,0)),"")</f>
        <v>0</v>
      </c>
      <c r="AJ295" s="278"/>
      <c r="AK295" s="278"/>
      <c r="AL295" s="272">
        <f t="shared" si="177"/>
        <v>24</v>
      </c>
      <c r="AM295" s="274">
        <f t="shared" si="178"/>
        <v>0</v>
      </c>
      <c r="AN295" s="275">
        <f t="shared" si="179"/>
        <v>1</v>
      </c>
      <c r="AO295" s="278"/>
      <c r="AP295" s="272">
        <f t="shared" si="180"/>
        <v>24</v>
      </c>
      <c r="AQ295" s="272">
        <f>IFERROR(INDEX('Horo. M'!$M$3:M$367,MATCH(A295,'Horo. M'!$A$3:$A$367,0)),"")</f>
        <v>0</v>
      </c>
      <c r="AR295" s="278"/>
      <c r="AS295" s="278"/>
      <c r="AT295" s="272">
        <f t="shared" si="181"/>
        <v>24</v>
      </c>
      <c r="AU295" s="274">
        <f t="shared" si="182"/>
        <v>0</v>
      </c>
      <c r="AV295" s="275">
        <f t="shared" si="183"/>
        <v>1</v>
      </c>
      <c r="AW295" s="278"/>
      <c r="AX295" s="272">
        <f t="shared" si="184"/>
        <v>24</v>
      </c>
      <c r="AY295" s="272">
        <f>IFERROR(INDEX('Horo. M'!$O$3:O$367,MATCH(A295,'Horo. M'!$A$3:$A$367,0)),"")</f>
        <v>0</v>
      </c>
      <c r="AZ295" s="278"/>
      <c r="BA295" s="278"/>
      <c r="BB295" s="272">
        <f t="shared" si="185"/>
        <v>24</v>
      </c>
      <c r="BC295" s="274">
        <f t="shared" si="186"/>
        <v>0</v>
      </c>
      <c r="BD295" s="275">
        <f t="shared" si="187"/>
        <v>1</v>
      </c>
      <c r="BE295" s="278"/>
      <c r="BF295" s="272">
        <f t="shared" si="188"/>
        <v>24</v>
      </c>
      <c r="BG295" s="272">
        <f>IFERROR(INDEX('Horo. M'!$Q$3:Q$367,MATCH(A295,'Horo. M'!$A$3:$A$367,0)),"")</f>
        <v>0</v>
      </c>
      <c r="BH295" s="278"/>
      <c r="BI295" s="278"/>
      <c r="BJ295" s="272">
        <f t="shared" si="189"/>
        <v>24</v>
      </c>
      <c r="BK295" s="274">
        <f t="shared" si="190"/>
        <v>0</v>
      </c>
      <c r="BL295" s="275">
        <f t="shared" si="191"/>
        <v>1</v>
      </c>
      <c r="BM295" s="278"/>
      <c r="BN295" s="272">
        <f t="shared" si="192"/>
        <v>24</v>
      </c>
      <c r="BO295" s="272">
        <f>IFERROR(INDEX('Horo. M'!$S$3:S$367,MATCH(A295,'Horo. M'!$A$3:$A$367,0)),"")</f>
        <v>0</v>
      </c>
      <c r="BP295" s="278"/>
      <c r="BQ295" s="278"/>
      <c r="BR295" s="272">
        <f t="shared" si="193"/>
        <v>24</v>
      </c>
      <c r="BS295" s="274">
        <f t="shared" si="194"/>
        <v>0</v>
      </c>
      <c r="BT295" s="275">
        <f t="shared" si="195"/>
        <v>1</v>
      </c>
      <c r="BU295" s="278"/>
      <c r="BV295" s="272">
        <f t="shared" si="196"/>
        <v>24</v>
      </c>
      <c r="BW295" s="272">
        <f>IFERROR(INDEX('Horo. M'!$U$3:U$367,MATCH(A295,'Horo. M'!$A$3:$A$367,0)),"")</f>
        <v>0</v>
      </c>
      <c r="BX295" s="278"/>
      <c r="BY295" s="278"/>
      <c r="BZ295" s="272">
        <f t="shared" si="197"/>
        <v>24</v>
      </c>
      <c r="CA295" s="274">
        <f t="shared" si="198"/>
        <v>0</v>
      </c>
      <c r="CB295" s="275">
        <f t="shared" si="199"/>
        <v>1</v>
      </c>
      <c r="CC295" s="280"/>
    </row>
    <row r="296" spans="1:81">
      <c r="A296" s="279">
        <v>45221</v>
      </c>
      <c r="B296" s="278">
        <f t="shared" si="160"/>
        <v>24</v>
      </c>
      <c r="C296" s="272">
        <f>IFERROR(INDEX('Horo. M'!$C$3:$C$367,MATCH(A296,'Horo. M'!$A$3:$A$367,0)),"")</f>
        <v>0</v>
      </c>
      <c r="D296" s="278"/>
      <c r="E296" s="278"/>
      <c r="F296" s="272">
        <f t="shared" si="161"/>
        <v>24</v>
      </c>
      <c r="G296" s="274">
        <f t="shared" si="162"/>
        <v>0</v>
      </c>
      <c r="H296" s="275">
        <f t="shared" si="163"/>
        <v>1</v>
      </c>
      <c r="I296" s="277"/>
      <c r="J296" s="278">
        <f t="shared" si="164"/>
        <v>24</v>
      </c>
      <c r="K296" s="272">
        <f>IFERROR(INDEX('Horo. M'!$E$3:$E$367,MATCH(A296,'Horo. M'!$A$3:$A$367,0)),"")</f>
        <v>0</v>
      </c>
      <c r="L296" s="273"/>
      <c r="M296" s="273"/>
      <c r="N296" s="272">
        <f t="shared" si="165"/>
        <v>24</v>
      </c>
      <c r="O296" s="274">
        <f t="shared" si="166"/>
        <v>0</v>
      </c>
      <c r="P296" s="275">
        <f t="shared" si="167"/>
        <v>1</v>
      </c>
      <c r="Q296" s="276"/>
      <c r="R296" s="278">
        <f t="shared" si="168"/>
        <v>24</v>
      </c>
      <c r="S296" s="272">
        <f>IFERROR(INDEX('Horo. M'!G$3:$G$367,MATCH(A296,'Horo. M'!$A$3:$A$367,0)),"")</f>
        <v>0</v>
      </c>
      <c r="T296" s="278"/>
      <c r="U296" s="278"/>
      <c r="V296" s="272">
        <f t="shared" si="169"/>
        <v>24</v>
      </c>
      <c r="W296" s="274">
        <f t="shared" si="170"/>
        <v>0</v>
      </c>
      <c r="X296" s="275">
        <f t="shared" si="171"/>
        <v>1</v>
      </c>
      <c r="Y296" s="278"/>
      <c r="Z296" s="278">
        <f t="shared" si="172"/>
        <v>24</v>
      </c>
      <c r="AA296" s="272">
        <f>IFERROR(INDEX('Horo. M'!$I$3:I$367,MATCH(A296,'Horo. M'!$A$3:$A$367,0)),"")</f>
        <v>0</v>
      </c>
      <c r="AB296" s="273"/>
      <c r="AC296" s="273"/>
      <c r="AD296" s="272">
        <f t="shared" si="173"/>
        <v>24</v>
      </c>
      <c r="AE296" s="274">
        <f t="shared" si="174"/>
        <v>0</v>
      </c>
      <c r="AF296" s="275">
        <f t="shared" si="175"/>
        <v>1</v>
      </c>
      <c r="AG296" s="278"/>
      <c r="AH296" s="272">
        <f t="shared" si="176"/>
        <v>24</v>
      </c>
      <c r="AI296" s="272">
        <f>IFERROR(INDEX('Horo. M'!$K$3:K$367,MATCH(A296,'Horo. M'!$A$3:$A$367,0)),"")</f>
        <v>0</v>
      </c>
      <c r="AJ296" s="278"/>
      <c r="AK296" s="278"/>
      <c r="AL296" s="272">
        <f t="shared" si="177"/>
        <v>24</v>
      </c>
      <c r="AM296" s="274">
        <f t="shared" si="178"/>
        <v>0</v>
      </c>
      <c r="AN296" s="275">
        <f t="shared" si="179"/>
        <v>1</v>
      </c>
      <c r="AO296" s="278"/>
      <c r="AP296" s="272">
        <f t="shared" si="180"/>
        <v>24</v>
      </c>
      <c r="AQ296" s="272">
        <f>IFERROR(INDEX('Horo. M'!$M$3:M$367,MATCH(A296,'Horo. M'!$A$3:$A$367,0)),"")</f>
        <v>0</v>
      </c>
      <c r="AR296" s="278"/>
      <c r="AS296" s="278"/>
      <c r="AT296" s="272">
        <f t="shared" si="181"/>
        <v>24</v>
      </c>
      <c r="AU296" s="274">
        <f t="shared" si="182"/>
        <v>0</v>
      </c>
      <c r="AV296" s="275">
        <f t="shared" si="183"/>
        <v>1</v>
      </c>
      <c r="AW296" s="278"/>
      <c r="AX296" s="272">
        <f t="shared" si="184"/>
        <v>24</v>
      </c>
      <c r="AY296" s="272">
        <f>IFERROR(INDEX('Horo. M'!$O$3:O$367,MATCH(A296,'Horo. M'!$A$3:$A$367,0)),"")</f>
        <v>0</v>
      </c>
      <c r="AZ296" s="278"/>
      <c r="BA296" s="278"/>
      <c r="BB296" s="272">
        <f t="shared" si="185"/>
        <v>24</v>
      </c>
      <c r="BC296" s="274">
        <f t="shared" si="186"/>
        <v>0</v>
      </c>
      <c r="BD296" s="275">
        <f t="shared" si="187"/>
        <v>1</v>
      </c>
      <c r="BE296" s="278"/>
      <c r="BF296" s="272">
        <f t="shared" si="188"/>
        <v>24</v>
      </c>
      <c r="BG296" s="272">
        <f>IFERROR(INDEX('Horo. M'!$Q$3:Q$367,MATCH(A296,'Horo. M'!$A$3:$A$367,0)),"")</f>
        <v>0</v>
      </c>
      <c r="BH296" s="278"/>
      <c r="BI296" s="278"/>
      <c r="BJ296" s="272">
        <f t="shared" si="189"/>
        <v>24</v>
      </c>
      <c r="BK296" s="274">
        <f t="shared" si="190"/>
        <v>0</v>
      </c>
      <c r="BL296" s="275">
        <f t="shared" si="191"/>
        <v>1</v>
      </c>
      <c r="BM296" s="278"/>
      <c r="BN296" s="272">
        <f t="shared" si="192"/>
        <v>24</v>
      </c>
      <c r="BO296" s="272">
        <f>IFERROR(INDEX('Horo. M'!$S$3:S$367,MATCH(A296,'Horo. M'!$A$3:$A$367,0)),"")</f>
        <v>0</v>
      </c>
      <c r="BP296" s="278"/>
      <c r="BQ296" s="278"/>
      <c r="BR296" s="272">
        <f t="shared" si="193"/>
        <v>24</v>
      </c>
      <c r="BS296" s="274">
        <f t="shared" si="194"/>
        <v>0</v>
      </c>
      <c r="BT296" s="275">
        <f t="shared" si="195"/>
        <v>1</v>
      </c>
      <c r="BU296" s="278"/>
      <c r="BV296" s="272">
        <f t="shared" si="196"/>
        <v>24</v>
      </c>
      <c r="BW296" s="272">
        <f>IFERROR(INDEX('Horo. M'!$U$3:U$367,MATCH(A296,'Horo. M'!$A$3:$A$367,0)),"")</f>
        <v>0</v>
      </c>
      <c r="BX296" s="278"/>
      <c r="BY296" s="278"/>
      <c r="BZ296" s="272">
        <f t="shared" si="197"/>
        <v>24</v>
      </c>
      <c r="CA296" s="274">
        <f t="shared" si="198"/>
        <v>0</v>
      </c>
      <c r="CB296" s="275">
        <f t="shared" si="199"/>
        <v>1</v>
      </c>
      <c r="CC296" s="280"/>
    </row>
    <row r="297" spans="1:81">
      <c r="A297" s="279">
        <v>45222</v>
      </c>
      <c r="B297" s="278">
        <f t="shared" si="160"/>
        <v>24</v>
      </c>
      <c r="C297" s="272">
        <f>IFERROR(INDEX('Horo. M'!$C$3:$C$367,MATCH(A297,'Horo. M'!$A$3:$A$367,0)),"")</f>
        <v>0</v>
      </c>
      <c r="D297" s="278"/>
      <c r="E297" s="278"/>
      <c r="F297" s="272">
        <f t="shared" si="161"/>
        <v>24</v>
      </c>
      <c r="G297" s="274">
        <f t="shared" si="162"/>
        <v>0</v>
      </c>
      <c r="H297" s="275">
        <f t="shared" si="163"/>
        <v>1</v>
      </c>
      <c r="I297" s="277"/>
      <c r="J297" s="278">
        <f t="shared" si="164"/>
        <v>24</v>
      </c>
      <c r="K297" s="272">
        <f>IFERROR(INDEX('Horo. M'!$E$3:$E$367,MATCH(A297,'Horo. M'!$A$3:$A$367,0)),"")</f>
        <v>0</v>
      </c>
      <c r="L297" s="273"/>
      <c r="M297" s="273"/>
      <c r="N297" s="272">
        <f t="shared" si="165"/>
        <v>24</v>
      </c>
      <c r="O297" s="274">
        <f t="shared" si="166"/>
        <v>0</v>
      </c>
      <c r="P297" s="275">
        <f t="shared" si="167"/>
        <v>1</v>
      </c>
      <c r="Q297" s="276"/>
      <c r="R297" s="278">
        <f t="shared" si="168"/>
        <v>24</v>
      </c>
      <c r="S297" s="272">
        <f>IFERROR(INDEX('Horo. M'!G$3:$G$367,MATCH(A297,'Horo. M'!$A$3:$A$367,0)),"")</f>
        <v>0</v>
      </c>
      <c r="T297" s="278"/>
      <c r="U297" s="278"/>
      <c r="V297" s="272">
        <f t="shared" si="169"/>
        <v>24</v>
      </c>
      <c r="W297" s="274">
        <f t="shared" si="170"/>
        <v>0</v>
      </c>
      <c r="X297" s="275">
        <f t="shared" si="171"/>
        <v>1</v>
      </c>
      <c r="Y297" s="278"/>
      <c r="Z297" s="278">
        <f t="shared" si="172"/>
        <v>24</v>
      </c>
      <c r="AA297" s="272">
        <f>IFERROR(INDEX('Horo. M'!$I$3:I$367,MATCH(A297,'Horo. M'!$A$3:$A$367,0)),"")</f>
        <v>0</v>
      </c>
      <c r="AB297" s="273"/>
      <c r="AC297" s="273"/>
      <c r="AD297" s="272">
        <f t="shared" si="173"/>
        <v>24</v>
      </c>
      <c r="AE297" s="274">
        <f t="shared" si="174"/>
        <v>0</v>
      </c>
      <c r="AF297" s="275">
        <f t="shared" si="175"/>
        <v>1</v>
      </c>
      <c r="AG297" s="278"/>
      <c r="AH297" s="272">
        <f t="shared" si="176"/>
        <v>24</v>
      </c>
      <c r="AI297" s="272">
        <f>IFERROR(INDEX('Horo. M'!$K$3:K$367,MATCH(A297,'Horo. M'!$A$3:$A$367,0)),"")</f>
        <v>0</v>
      </c>
      <c r="AJ297" s="278"/>
      <c r="AK297" s="278"/>
      <c r="AL297" s="272">
        <f t="shared" si="177"/>
        <v>24</v>
      </c>
      <c r="AM297" s="274">
        <f t="shared" si="178"/>
        <v>0</v>
      </c>
      <c r="AN297" s="275">
        <f t="shared" si="179"/>
        <v>1</v>
      </c>
      <c r="AO297" s="278"/>
      <c r="AP297" s="272">
        <f t="shared" si="180"/>
        <v>24</v>
      </c>
      <c r="AQ297" s="272">
        <f>IFERROR(INDEX('Horo. M'!$M$3:M$367,MATCH(A297,'Horo. M'!$A$3:$A$367,0)),"")</f>
        <v>0</v>
      </c>
      <c r="AR297" s="278"/>
      <c r="AS297" s="278"/>
      <c r="AT297" s="272">
        <f t="shared" si="181"/>
        <v>24</v>
      </c>
      <c r="AU297" s="274">
        <f t="shared" si="182"/>
        <v>0</v>
      </c>
      <c r="AV297" s="275">
        <f t="shared" si="183"/>
        <v>1</v>
      </c>
      <c r="AW297" s="278"/>
      <c r="AX297" s="272">
        <f t="shared" si="184"/>
        <v>24</v>
      </c>
      <c r="AY297" s="272">
        <f>IFERROR(INDEX('Horo. M'!$O$3:O$367,MATCH(A297,'Horo. M'!$A$3:$A$367,0)),"")</f>
        <v>0</v>
      </c>
      <c r="AZ297" s="278"/>
      <c r="BA297" s="278"/>
      <c r="BB297" s="272">
        <f t="shared" si="185"/>
        <v>24</v>
      </c>
      <c r="BC297" s="274">
        <f t="shared" si="186"/>
        <v>0</v>
      </c>
      <c r="BD297" s="275">
        <f t="shared" si="187"/>
        <v>1</v>
      </c>
      <c r="BE297" s="278"/>
      <c r="BF297" s="272">
        <f t="shared" si="188"/>
        <v>24</v>
      </c>
      <c r="BG297" s="272">
        <f>IFERROR(INDEX('Horo. M'!$Q$3:Q$367,MATCH(A297,'Horo. M'!$A$3:$A$367,0)),"")</f>
        <v>0</v>
      </c>
      <c r="BH297" s="278"/>
      <c r="BI297" s="278"/>
      <c r="BJ297" s="272">
        <f t="shared" si="189"/>
        <v>24</v>
      </c>
      <c r="BK297" s="274">
        <f t="shared" si="190"/>
        <v>0</v>
      </c>
      <c r="BL297" s="275">
        <f t="shared" si="191"/>
        <v>1</v>
      </c>
      <c r="BM297" s="278"/>
      <c r="BN297" s="272">
        <f t="shared" si="192"/>
        <v>24</v>
      </c>
      <c r="BO297" s="272">
        <f>IFERROR(INDEX('Horo. M'!$S$3:S$367,MATCH(A297,'Horo. M'!$A$3:$A$367,0)),"")</f>
        <v>0</v>
      </c>
      <c r="BP297" s="278"/>
      <c r="BQ297" s="278"/>
      <c r="BR297" s="272">
        <f t="shared" si="193"/>
        <v>24</v>
      </c>
      <c r="BS297" s="274">
        <f t="shared" si="194"/>
        <v>0</v>
      </c>
      <c r="BT297" s="275">
        <f t="shared" si="195"/>
        <v>1</v>
      </c>
      <c r="BU297" s="278"/>
      <c r="BV297" s="272">
        <f t="shared" si="196"/>
        <v>24</v>
      </c>
      <c r="BW297" s="272">
        <f>IFERROR(INDEX('Horo. M'!$U$3:U$367,MATCH(A297,'Horo. M'!$A$3:$A$367,0)),"")</f>
        <v>0</v>
      </c>
      <c r="BX297" s="278"/>
      <c r="BY297" s="278"/>
      <c r="BZ297" s="272">
        <f t="shared" si="197"/>
        <v>24</v>
      </c>
      <c r="CA297" s="274">
        <f t="shared" si="198"/>
        <v>0</v>
      </c>
      <c r="CB297" s="275">
        <f t="shared" si="199"/>
        <v>1</v>
      </c>
      <c r="CC297" s="280"/>
    </row>
    <row r="298" spans="1:81">
      <c r="A298" s="279">
        <v>45223</v>
      </c>
      <c r="B298" s="278">
        <f t="shared" si="160"/>
        <v>24</v>
      </c>
      <c r="C298" s="272">
        <f>IFERROR(INDEX('Horo. M'!$C$3:$C$367,MATCH(A298,'Horo. M'!$A$3:$A$367,0)),"")</f>
        <v>0</v>
      </c>
      <c r="D298" s="278"/>
      <c r="E298" s="278"/>
      <c r="F298" s="272">
        <f t="shared" si="161"/>
        <v>24</v>
      </c>
      <c r="G298" s="274">
        <f t="shared" si="162"/>
        <v>0</v>
      </c>
      <c r="H298" s="275">
        <f t="shared" si="163"/>
        <v>1</v>
      </c>
      <c r="I298" s="277"/>
      <c r="J298" s="278">
        <f t="shared" si="164"/>
        <v>24</v>
      </c>
      <c r="K298" s="272">
        <f>IFERROR(INDEX('Horo. M'!$E$3:$E$367,MATCH(A298,'Horo. M'!$A$3:$A$367,0)),"")</f>
        <v>0</v>
      </c>
      <c r="L298" s="273"/>
      <c r="M298" s="273"/>
      <c r="N298" s="272">
        <f t="shared" si="165"/>
        <v>24</v>
      </c>
      <c r="O298" s="274">
        <f t="shared" si="166"/>
        <v>0</v>
      </c>
      <c r="P298" s="275">
        <f t="shared" si="167"/>
        <v>1</v>
      </c>
      <c r="Q298" s="276"/>
      <c r="R298" s="278">
        <f t="shared" si="168"/>
        <v>24</v>
      </c>
      <c r="S298" s="272">
        <f>IFERROR(INDEX('Horo. M'!G$3:$G$367,MATCH(A298,'Horo. M'!$A$3:$A$367,0)),"")</f>
        <v>0</v>
      </c>
      <c r="T298" s="278"/>
      <c r="U298" s="278"/>
      <c r="V298" s="272">
        <f t="shared" si="169"/>
        <v>24</v>
      </c>
      <c r="W298" s="274">
        <f t="shared" si="170"/>
        <v>0</v>
      </c>
      <c r="X298" s="275">
        <f t="shared" si="171"/>
        <v>1</v>
      </c>
      <c r="Y298" s="278"/>
      <c r="Z298" s="278">
        <f t="shared" si="172"/>
        <v>24</v>
      </c>
      <c r="AA298" s="272">
        <f>IFERROR(INDEX('Horo. M'!$I$3:I$367,MATCH(A298,'Horo. M'!$A$3:$A$367,0)),"")</f>
        <v>0</v>
      </c>
      <c r="AB298" s="273"/>
      <c r="AC298" s="273"/>
      <c r="AD298" s="272">
        <f t="shared" si="173"/>
        <v>24</v>
      </c>
      <c r="AE298" s="274">
        <f t="shared" si="174"/>
        <v>0</v>
      </c>
      <c r="AF298" s="275">
        <f t="shared" si="175"/>
        <v>1</v>
      </c>
      <c r="AG298" s="278"/>
      <c r="AH298" s="272">
        <f t="shared" si="176"/>
        <v>24</v>
      </c>
      <c r="AI298" s="272">
        <f>IFERROR(INDEX('Horo. M'!$K$3:K$367,MATCH(A298,'Horo. M'!$A$3:$A$367,0)),"")</f>
        <v>0</v>
      </c>
      <c r="AJ298" s="278"/>
      <c r="AK298" s="278"/>
      <c r="AL298" s="272">
        <f t="shared" si="177"/>
        <v>24</v>
      </c>
      <c r="AM298" s="274">
        <f t="shared" si="178"/>
        <v>0</v>
      </c>
      <c r="AN298" s="275">
        <f t="shared" si="179"/>
        <v>1</v>
      </c>
      <c r="AO298" s="278"/>
      <c r="AP298" s="272">
        <f t="shared" si="180"/>
        <v>24</v>
      </c>
      <c r="AQ298" s="272">
        <f>IFERROR(INDEX('Horo. M'!$M$3:M$367,MATCH(A298,'Horo. M'!$A$3:$A$367,0)),"")</f>
        <v>0</v>
      </c>
      <c r="AR298" s="278"/>
      <c r="AS298" s="278"/>
      <c r="AT298" s="272">
        <f t="shared" si="181"/>
        <v>24</v>
      </c>
      <c r="AU298" s="274">
        <f t="shared" si="182"/>
        <v>0</v>
      </c>
      <c r="AV298" s="275">
        <f t="shared" si="183"/>
        <v>1</v>
      </c>
      <c r="AW298" s="278"/>
      <c r="AX298" s="272">
        <f t="shared" si="184"/>
        <v>24</v>
      </c>
      <c r="AY298" s="272">
        <f>IFERROR(INDEX('Horo. M'!$O$3:O$367,MATCH(A298,'Horo. M'!$A$3:$A$367,0)),"")</f>
        <v>0</v>
      </c>
      <c r="AZ298" s="278"/>
      <c r="BA298" s="278"/>
      <c r="BB298" s="272">
        <f t="shared" si="185"/>
        <v>24</v>
      </c>
      <c r="BC298" s="274">
        <f t="shared" si="186"/>
        <v>0</v>
      </c>
      <c r="BD298" s="275">
        <f t="shared" si="187"/>
        <v>1</v>
      </c>
      <c r="BE298" s="278"/>
      <c r="BF298" s="272">
        <f t="shared" si="188"/>
        <v>24</v>
      </c>
      <c r="BG298" s="272">
        <f>IFERROR(INDEX('Horo. M'!$Q$3:Q$367,MATCH(A298,'Horo. M'!$A$3:$A$367,0)),"")</f>
        <v>0</v>
      </c>
      <c r="BH298" s="278"/>
      <c r="BI298" s="278"/>
      <c r="BJ298" s="272">
        <f t="shared" si="189"/>
        <v>24</v>
      </c>
      <c r="BK298" s="274">
        <f t="shared" si="190"/>
        <v>0</v>
      </c>
      <c r="BL298" s="275">
        <f t="shared" si="191"/>
        <v>1</v>
      </c>
      <c r="BM298" s="278"/>
      <c r="BN298" s="272">
        <f t="shared" si="192"/>
        <v>24</v>
      </c>
      <c r="BO298" s="272">
        <f>IFERROR(INDEX('Horo. M'!$S$3:S$367,MATCH(A298,'Horo. M'!$A$3:$A$367,0)),"")</f>
        <v>0</v>
      </c>
      <c r="BP298" s="278"/>
      <c r="BQ298" s="278"/>
      <c r="BR298" s="272">
        <f t="shared" si="193"/>
        <v>24</v>
      </c>
      <c r="BS298" s="274">
        <f t="shared" si="194"/>
        <v>0</v>
      </c>
      <c r="BT298" s="275">
        <f t="shared" si="195"/>
        <v>1</v>
      </c>
      <c r="BU298" s="278"/>
      <c r="BV298" s="272">
        <f t="shared" si="196"/>
        <v>24</v>
      </c>
      <c r="BW298" s="272">
        <f>IFERROR(INDEX('Horo. M'!$U$3:U$367,MATCH(A298,'Horo. M'!$A$3:$A$367,0)),"")</f>
        <v>0</v>
      </c>
      <c r="BX298" s="278"/>
      <c r="BY298" s="278"/>
      <c r="BZ298" s="272">
        <f t="shared" si="197"/>
        <v>24</v>
      </c>
      <c r="CA298" s="274">
        <f t="shared" si="198"/>
        <v>0</v>
      </c>
      <c r="CB298" s="275">
        <f t="shared" si="199"/>
        <v>1</v>
      </c>
      <c r="CC298" s="280"/>
    </row>
    <row r="299" spans="1:81">
      <c r="A299" s="279">
        <v>45224</v>
      </c>
      <c r="B299" s="278">
        <f t="shared" si="160"/>
        <v>24</v>
      </c>
      <c r="C299" s="272">
        <f>IFERROR(INDEX('Horo. M'!$C$3:$C$367,MATCH(A299,'Horo. M'!$A$3:$A$367,0)),"")</f>
        <v>0</v>
      </c>
      <c r="D299" s="278"/>
      <c r="E299" s="278"/>
      <c r="F299" s="272">
        <f t="shared" si="161"/>
        <v>24</v>
      </c>
      <c r="G299" s="274">
        <f t="shared" si="162"/>
        <v>0</v>
      </c>
      <c r="H299" s="275">
        <f t="shared" si="163"/>
        <v>1</v>
      </c>
      <c r="I299" s="277"/>
      <c r="J299" s="278">
        <f t="shared" si="164"/>
        <v>24</v>
      </c>
      <c r="K299" s="272">
        <f>IFERROR(INDEX('Horo. M'!$E$3:$E$367,MATCH(A299,'Horo. M'!$A$3:$A$367,0)),"")</f>
        <v>0</v>
      </c>
      <c r="L299" s="273"/>
      <c r="M299" s="273"/>
      <c r="N299" s="272">
        <f t="shared" si="165"/>
        <v>24</v>
      </c>
      <c r="O299" s="274">
        <f t="shared" si="166"/>
        <v>0</v>
      </c>
      <c r="P299" s="275">
        <f t="shared" si="167"/>
        <v>1</v>
      </c>
      <c r="Q299" s="276"/>
      <c r="R299" s="278">
        <f t="shared" si="168"/>
        <v>24</v>
      </c>
      <c r="S299" s="272">
        <f>IFERROR(INDEX('Horo. M'!G$3:$G$367,MATCH(A299,'Horo. M'!$A$3:$A$367,0)),"")</f>
        <v>0</v>
      </c>
      <c r="T299" s="278"/>
      <c r="U299" s="278"/>
      <c r="V299" s="272">
        <f t="shared" si="169"/>
        <v>24</v>
      </c>
      <c r="W299" s="274">
        <f t="shared" si="170"/>
        <v>0</v>
      </c>
      <c r="X299" s="275">
        <f t="shared" si="171"/>
        <v>1</v>
      </c>
      <c r="Y299" s="278"/>
      <c r="Z299" s="278">
        <f t="shared" si="172"/>
        <v>24</v>
      </c>
      <c r="AA299" s="272">
        <f>IFERROR(INDEX('Horo. M'!$I$3:I$367,MATCH(A299,'Horo. M'!$A$3:$A$367,0)),"")</f>
        <v>0</v>
      </c>
      <c r="AB299" s="273"/>
      <c r="AC299" s="273"/>
      <c r="AD299" s="272">
        <f t="shared" si="173"/>
        <v>24</v>
      </c>
      <c r="AE299" s="274">
        <f t="shared" si="174"/>
        <v>0</v>
      </c>
      <c r="AF299" s="275">
        <f t="shared" si="175"/>
        <v>1</v>
      </c>
      <c r="AG299" s="278"/>
      <c r="AH299" s="272">
        <f t="shared" si="176"/>
        <v>24</v>
      </c>
      <c r="AI299" s="272">
        <f>IFERROR(INDEX('Horo. M'!$K$3:K$367,MATCH(A299,'Horo. M'!$A$3:$A$367,0)),"")</f>
        <v>0</v>
      </c>
      <c r="AJ299" s="278"/>
      <c r="AK299" s="278"/>
      <c r="AL299" s="272">
        <f t="shared" si="177"/>
        <v>24</v>
      </c>
      <c r="AM299" s="274">
        <f t="shared" si="178"/>
        <v>0</v>
      </c>
      <c r="AN299" s="275">
        <f t="shared" si="179"/>
        <v>1</v>
      </c>
      <c r="AO299" s="278"/>
      <c r="AP299" s="272">
        <f t="shared" si="180"/>
        <v>24</v>
      </c>
      <c r="AQ299" s="272">
        <f>IFERROR(INDEX('Horo. M'!$M$3:M$367,MATCH(A299,'Horo. M'!$A$3:$A$367,0)),"")</f>
        <v>0</v>
      </c>
      <c r="AR299" s="278"/>
      <c r="AS299" s="278"/>
      <c r="AT299" s="272">
        <f t="shared" si="181"/>
        <v>24</v>
      </c>
      <c r="AU299" s="274">
        <f t="shared" si="182"/>
        <v>0</v>
      </c>
      <c r="AV299" s="275">
        <f t="shared" si="183"/>
        <v>1</v>
      </c>
      <c r="AW299" s="278"/>
      <c r="AX299" s="272">
        <f t="shared" si="184"/>
        <v>24</v>
      </c>
      <c r="AY299" s="272">
        <f>IFERROR(INDEX('Horo. M'!$O$3:O$367,MATCH(A299,'Horo. M'!$A$3:$A$367,0)),"")</f>
        <v>0</v>
      </c>
      <c r="AZ299" s="278"/>
      <c r="BA299" s="278"/>
      <c r="BB299" s="272">
        <f t="shared" si="185"/>
        <v>24</v>
      </c>
      <c r="BC299" s="274">
        <f t="shared" si="186"/>
        <v>0</v>
      </c>
      <c r="BD299" s="275">
        <f t="shared" si="187"/>
        <v>1</v>
      </c>
      <c r="BE299" s="278"/>
      <c r="BF299" s="272">
        <f t="shared" si="188"/>
        <v>24</v>
      </c>
      <c r="BG299" s="272">
        <f>IFERROR(INDEX('Horo. M'!$Q$3:Q$367,MATCH(A299,'Horo. M'!$A$3:$A$367,0)),"")</f>
        <v>0</v>
      </c>
      <c r="BH299" s="278"/>
      <c r="BI299" s="278"/>
      <c r="BJ299" s="272">
        <f t="shared" si="189"/>
        <v>24</v>
      </c>
      <c r="BK299" s="274">
        <f t="shared" si="190"/>
        <v>0</v>
      </c>
      <c r="BL299" s="275">
        <f t="shared" si="191"/>
        <v>1</v>
      </c>
      <c r="BM299" s="278"/>
      <c r="BN299" s="272">
        <f t="shared" si="192"/>
        <v>24</v>
      </c>
      <c r="BO299" s="272">
        <f>IFERROR(INDEX('Horo. M'!$S$3:S$367,MATCH(A299,'Horo. M'!$A$3:$A$367,0)),"")</f>
        <v>0</v>
      </c>
      <c r="BP299" s="278"/>
      <c r="BQ299" s="278"/>
      <c r="BR299" s="272">
        <f t="shared" si="193"/>
        <v>24</v>
      </c>
      <c r="BS299" s="274">
        <f t="shared" si="194"/>
        <v>0</v>
      </c>
      <c r="BT299" s="275">
        <f t="shared" si="195"/>
        <v>1</v>
      </c>
      <c r="BU299" s="278"/>
      <c r="BV299" s="272">
        <f t="shared" si="196"/>
        <v>24</v>
      </c>
      <c r="BW299" s="272">
        <f>IFERROR(INDEX('Horo. M'!$U$3:U$367,MATCH(A299,'Horo. M'!$A$3:$A$367,0)),"")</f>
        <v>0</v>
      </c>
      <c r="BX299" s="278"/>
      <c r="BY299" s="278"/>
      <c r="BZ299" s="272">
        <f t="shared" si="197"/>
        <v>24</v>
      </c>
      <c r="CA299" s="274">
        <f t="shared" si="198"/>
        <v>0</v>
      </c>
      <c r="CB299" s="275">
        <f t="shared" si="199"/>
        <v>1</v>
      </c>
      <c r="CC299" s="280"/>
    </row>
    <row r="300" spans="1:81">
      <c r="A300" s="279">
        <v>45225</v>
      </c>
      <c r="B300" s="278">
        <f t="shared" si="160"/>
        <v>24</v>
      </c>
      <c r="C300" s="272">
        <f>IFERROR(INDEX('Horo. M'!$C$3:$C$367,MATCH(A300,'Horo. M'!$A$3:$A$367,0)),"")</f>
        <v>0</v>
      </c>
      <c r="D300" s="278"/>
      <c r="E300" s="278"/>
      <c r="F300" s="272">
        <f t="shared" si="161"/>
        <v>24</v>
      </c>
      <c r="G300" s="274">
        <f t="shared" si="162"/>
        <v>0</v>
      </c>
      <c r="H300" s="275">
        <f t="shared" si="163"/>
        <v>1</v>
      </c>
      <c r="I300" s="277"/>
      <c r="J300" s="278">
        <f t="shared" si="164"/>
        <v>24</v>
      </c>
      <c r="K300" s="272">
        <f>IFERROR(INDEX('Horo. M'!$E$3:$E$367,MATCH(A300,'Horo. M'!$A$3:$A$367,0)),"")</f>
        <v>0</v>
      </c>
      <c r="L300" s="273"/>
      <c r="M300" s="273"/>
      <c r="N300" s="272">
        <f t="shared" si="165"/>
        <v>24</v>
      </c>
      <c r="O300" s="274">
        <f t="shared" si="166"/>
        <v>0</v>
      </c>
      <c r="P300" s="275">
        <f t="shared" si="167"/>
        <v>1</v>
      </c>
      <c r="Q300" s="276"/>
      <c r="R300" s="278">
        <f t="shared" si="168"/>
        <v>24</v>
      </c>
      <c r="S300" s="272">
        <f>IFERROR(INDEX('Horo. M'!G$3:$G$367,MATCH(A300,'Horo. M'!$A$3:$A$367,0)),"")</f>
        <v>0</v>
      </c>
      <c r="T300" s="278"/>
      <c r="U300" s="278"/>
      <c r="V300" s="272">
        <f t="shared" si="169"/>
        <v>24</v>
      </c>
      <c r="W300" s="274">
        <f t="shared" si="170"/>
        <v>0</v>
      </c>
      <c r="X300" s="275">
        <f t="shared" si="171"/>
        <v>1</v>
      </c>
      <c r="Y300" s="278"/>
      <c r="Z300" s="278">
        <f t="shared" si="172"/>
        <v>24</v>
      </c>
      <c r="AA300" s="272">
        <f>IFERROR(INDEX('Horo. M'!$I$3:I$367,MATCH(A300,'Horo. M'!$A$3:$A$367,0)),"")</f>
        <v>0</v>
      </c>
      <c r="AB300" s="273"/>
      <c r="AC300" s="273"/>
      <c r="AD300" s="272">
        <f t="shared" si="173"/>
        <v>24</v>
      </c>
      <c r="AE300" s="274">
        <f t="shared" si="174"/>
        <v>0</v>
      </c>
      <c r="AF300" s="275">
        <f t="shared" si="175"/>
        <v>1</v>
      </c>
      <c r="AG300" s="278"/>
      <c r="AH300" s="272">
        <f t="shared" si="176"/>
        <v>24</v>
      </c>
      <c r="AI300" s="272">
        <f>IFERROR(INDEX('Horo. M'!$K$3:K$367,MATCH(A300,'Horo. M'!$A$3:$A$367,0)),"")</f>
        <v>0</v>
      </c>
      <c r="AJ300" s="278"/>
      <c r="AK300" s="278"/>
      <c r="AL300" s="272">
        <f t="shared" si="177"/>
        <v>24</v>
      </c>
      <c r="AM300" s="274">
        <f t="shared" si="178"/>
        <v>0</v>
      </c>
      <c r="AN300" s="275">
        <f t="shared" si="179"/>
        <v>1</v>
      </c>
      <c r="AO300" s="278"/>
      <c r="AP300" s="272">
        <f t="shared" si="180"/>
        <v>24</v>
      </c>
      <c r="AQ300" s="272">
        <f>IFERROR(INDEX('Horo. M'!$M$3:M$367,MATCH(A300,'Horo. M'!$A$3:$A$367,0)),"")</f>
        <v>0</v>
      </c>
      <c r="AR300" s="278"/>
      <c r="AS300" s="278"/>
      <c r="AT300" s="272">
        <f t="shared" si="181"/>
        <v>24</v>
      </c>
      <c r="AU300" s="274">
        <f t="shared" si="182"/>
        <v>0</v>
      </c>
      <c r="AV300" s="275">
        <f t="shared" si="183"/>
        <v>1</v>
      </c>
      <c r="AW300" s="278"/>
      <c r="AX300" s="272">
        <f t="shared" si="184"/>
        <v>24</v>
      </c>
      <c r="AY300" s="272">
        <f>IFERROR(INDEX('Horo. M'!$O$3:O$367,MATCH(A300,'Horo. M'!$A$3:$A$367,0)),"")</f>
        <v>0</v>
      </c>
      <c r="AZ300" s="278"/>
      <c r="BA300" s="278"/>
      <c r="BB300" s="272">
        <f t="shared" si="185"/>
        <v>24</v>
      </c>
      <c r="BC300" s="274">
        <f t="shared" si="186"/>
        <v>0</v>
      </c>
      <c r="BD300" s="275">
        <f t="shared" si="187"/>
        <v>1</v>
      </c>
      <c r="BE300" s="278"/>
      <c r="BF300" s="272">
        <f t="shared" si="188"/>
        <v>24</v>
      </c>
      <c r="BG300" s="272">
        <f>IFERROR(INDEX('Horo. M'!$Q$3:Q$367,MATCH(A300,'Horo. M'!$A$3:$A$367,0)),"")</f>
        <v>0</v>
      </c>
      <c r="BH300" s="278"/>
      <c r="BI300" s="278"/>
      <c r="BJ300" s="272">
        <f t="shared" si="189"/>
        <v>24</v>
      </c>
      <c r="BK300" s="274">
        <f t="shared" si="190"/>
        <v>0</v>
      </c>
      <c r="BL300" s="275">
        <f t="shared" si="191"/>
        <v>1</v>
      </c>
      <c r="BM300" s="278"/>
      <c r="BN300" s="272">
        <f t="shared" si="192"/>
        <v>24</v>
      </c>
      <c r="BO300" s="272">
        <f>IFERROR(INDEX('Horo. M'!$S$3:S$367,MATCH(A300,'Horo. M'!$A$3:$A$367,0)),"")</f>
        <v>0</v>
      </c>
      <c r="BP300" s="278"/>
      <c r="BQ300" s="278"/>
      <c r="BR300" s="272">
        <f t="shared" si="193"/>
        <v>24</v>
      </c>
      <c r="BS300" s="274">
        <f t="shared" si="194"/>
        <v>0</v>
      </c>
      <c r="BT300" s="275">
        <f t="shared" si="195"/>
        <v>1</v>
      </c>
      <c r="BU300" s="278"/>
      <c r="BV300" s="272">
        <f t="shared" si="196"/>
        <v>24</v>
      </c>
      <c r="BW300" s="272">
        <f>IFERROR(INDEX('Horo. M'!$U$3:U$367,MATCH(A300,'Horo. M'!$A$3:$A$367,0)),"")</f>
        <v>0</v>
      </c>
      <c r="BX300" s="278"/>
      <c r="BY300" s="278"/>
      <c r="BZ300" s="272">
        <f t="shared" si="197"/>
        <v>24</v>
      </c>
      <c r="CA300" s="274">
        <f t="shared" si="198"/>
        <v>0</v>
      </c>
      <c r="CB300" s="275">
        <f t="shared" si="199"/>
        <v>1</v>
      </c>
      <c r="CC300" s="280"/>
    </row>
    <row r="301" spans="1:81">
      <c r="A301" s="279">
        <v>45226</v>
      </c>
      <c r="B301" s="278">
        <f t="shared" si="160"/>
        <v>24</v>
      </c>
      <c r="C301" s="272">
        <f>IFERROR(INDEX('Horo. M'!$C$3:$C$367,MATCH(A301,'Horo. M'!$A$3:$A$367,0)),"")</f>
        <v>0</v>
      </c>
      <c r="D301" s="278"/>
      <c r="E301" s="278"/>
      <c r="F301" s="272">
        <f t="shared" si="161"/>
        <v>24</v>
      </c>
      <c r="G301" s="274">
        <f t="shared" si="162"/>
        <v>0</v>
      </c>
      <c r="H301" s="275">
        <f t="shared" si="163"/>
        <v>1</v>
      </c>
      <c r="I301" s="277"/>
      <c r="J301" s="278">
        <f t="shared" si="164"/>
        <v>24</v>
      </c>
      <c r="K301" s="272">
        <f>IFERROR(INDEX('Horo. M'!$E$3:$E$367,MATCH(A301,'Horo. M'!$A$3:$A$367,0)),"")</f>
        <v>0</v>
      </c>
      <c r="L301" s="273"/>
      <c r="M301" s="273"/>
      <c r="N301" s="272">
        <f t="shared" si="165"/>
        <v>24</v>
      </c>
      <c r="O301" s="274">
        <f t="shared" si="166"/>
        <v>0</v>
      </c>
      <c r="P301" s="275">
        <f t="shared" si="167"/>
        <v>1</v>
      </c>
      <c r="Q301" s="276"/>
      <c r="R301" s="278">
        <f t="shared" si="168"/>
        <v>24</v>
      </c>
      <c r="S301" s="272">
        <f>IFERROR(INDEX('Horo. M'!G$3:$G$367,MATCH(A301,'Horo. M'!$A$3:$A$367,0)),"")</f>
        <v>0</v>
      </c>
      <c r="T301" s="278"/>
      <c r="U301" s="278"/>
      <c r="V301" s="272">
        <f t="shared" si="169"/>
        <v>24</v>
      </c>
      <c r="W301" s="274">
        <f t="shared" si="170"/>
        <v>0</v>
      </c>
      <c r="X301" s="275">
        <f t="shared" si="171"/>
        <v>1</v>
      </c>
      <c r="Y301" s="278"/>
      <c r="Z301" s="278">
        <f t="shared" si="172"/>
        <v>24</v>
      </c>
      <c r="AA301" s="272">
        <f>IFERROR(INDEX('Horo. M'!$I$3:I$367,MATCH(A301,'Horo. M'!$A$3:$A$367,0)),"")</f>
        <v>0</v>
      </c>
      <c r="AB301" s="273"/>
      <c r="AC301" s="273"/>
      <c r="AD301" s="272">
        <f t="shared" si="173"/>
        <v>24</v>
      </c>
      <c r="AE301" s="274">
        <f t="shared" si="174"/>
        <v>0</v>
      </c>
      <c r="AF301" s="275">
        <f t="shared" si="175"/>
        <v>1</v>
      </c>
      <c r="AG301" s="278"/>
      <c r="AH301" s="272">
        <f t="shared" si="176"/>
        <v>24</v>
      </c>
      <c r="AI301" s="272">
        <f>IFERROR(INDEX('Horo. M'!$K$3:K$367,MATCH(A301,'Horo. M'!$A$3:$A$367,0)),"")</f>
        <v>0</v>
      </c>
      <c r="AJ301" s="278"/>
      <c r="AK301" s="278"/>
      <c r="AL301" s="272">
        <f t="shared" si="177"/>
        <v>24</v>
      </c>
      <c r="AM301" s="274">
        <f t="shared" si="178"/>
        <v>0</v>
      </c>
      <c r="AN301" s="275">
        <f t="shared" si="179"/>
        <v>1</v>
      </c>
      <c r="AO301" s="278"/>
      <c r="AP301" s="272">
        <f t="shared" si="180"/>
        <v>24</v>
      </c>
      <c r="AQ301" s="272">
        <f>IFERROR(INDEX('Horo. M'!$M$3:M$367,MATCH(A301,'Horo. M'!$A$3:$A$367,0)),"")</f>
        <v>0</v>
      </c>
      <c r="AR301" s="278"/>
      <c r="AS301" s="278"/>
      <c r="AT301" s="272">
        <f t="shared" si="181"/>
        <v>24</v>
      </c>
      <c r="AU301" s="274">
        <f t="shared" si="182"/>
        <v>0</v>
      </c>
      <c r="AV301" s="275">
        <f t="shared" si="183"/>
        <v>1</v>
      </c>
      <c r="AW301" s="278"/>
      <c r="AX301" s="272">
        <f t="shared" si="184"/>
        <v>24</v>
      </c>
      <c r="AY301" s="272">
        <f>IFERROR(INDEX('Horo. M'!$O$3:O$367,MATCH(A301,'Horo. M'!$A$3:$A$367,0)),"")</f>
        <v>0</v>
      </c>
      <c r="AZ301" s="278"/>
      <c r="BA301" s="278"/>
      <c r="BB301" s="272">
        <f t="shared" si="185"/>
        <v>24</v>
      </c>
      <c r="BC301" s="274">
        <f t="shared" si="186"/>
        <v>0</v>
      </c>
      <c r="BD301" s="275">
        <f t="shared" si="187"/>
        <v>1</v>
      </c>
      <c r="BE301" s="278"/>
      <c r="BF301" s="272">
        <f t="shared" si="188"/>
        <v>24</v>
      </c>
      <c r="BG301" s="272">
        <f>IFERROR(INDEX('Horo. M'!$Q$3:Q$367,MATCH(A301,'Horo. M'!$A$3:$A$367,0)),"")</f>
        <v>0</v>
      </c>
      <c r="BH301" s="278"/>
      <c r="BI301" s="278"/>
      <c r="BJ301" s="272">
        <f t="shared" si="189"/>
        <v>24</v>
      </c>
      <c r="BK301" s="274">
        <f t="shared" si="190"/>
        <v>0</v>
      </c>
      <c r="BL301" s="275">
        <f t="shared" si="191"/>
        <v>1</v>
      </c>
      <c r="BM301" s="278"/>
      <c r="BN301" s="272">
        <f t="shared" si="192"/>
        <v>24</v>
      </c>
      <c r="BO301" s="272">
        <f>IFERROR(INDEX('Horo. M'!$S$3:S$367,MATCH(A301,'Horo. M'!$A$3:$A$367,0)),"")</f>
        <v>0</v>
      </c>
      <c r="BP301" s="278"/>
      <c r="BQ301" s="278"/>
      <c r="BR301" s="272">
        <f t="shared" si="193"/>
        <v>24</v>
      </c>
      <c r="BS301" s="274">
        <f t="shared" si="194"/>
        <v>0</v>
      </c>
      <c r="BT301" s="275">
        <f t="shared" si="195"/>
        <v>1</v>
      </c>
      <c r="BU301" s="278"/>
      <c r="BV301" s="272">
        <f t="shared" si="196"/>
        <v>24</v>
      </c>
      <c r="BW301" s="272">
        <f>IFERROR(INDEX('Horo. M'!$U$3:U$367,MATCH(A301,'Horo. M'!$A$3:$A$367,0)),"")</f>
        <v>0</v>
      </c>
      <c r="BX301" s="278"/>
      <c r="BY301" s="278"/>
      <c r="BZ301" s="272">
        <f t="shared" si="197"/>
        <v>24</v>
      </c>
      <c r="CA301" s="274">
        <f t="shared" si="198"/>
        <v>0</v>
      </c>
      <c r="CB301" s="275">
        <f t="shared" si="199"/>
        <v>1</v>
      </c>
      <c r="CC301" s="280"/>
    </row>
    <row r="302" spans="1:81">
      <c r="A302" s="279">
        <v>45227</v>
      </c>
      <c r="B302" s="278">
        <f t="shared" si="160"/>
        <v>24</v>
      </c>
      <c r="C302" s="272">
        <f>IFERROR(INDEX('Horo. M'!$C$3:$C$367,MATCH(A302,'Horo. M'!$A$3:$A$367,0)),"")</f>
        <v>0</v>
      </c>
      <c r="D302" s="278"/>
      <c r="E302" s="278"/>
      <c r="F302" s="272">
        <f t="shared" si="161"/>
        <v>24</v>
      </c>
      <c r="G302" s="274">
        <f t="shared" si="162"/>
        <v>0</v>
      </c>
      <c r="H302" s="275">
        <f t="shared" si="163"/>
        <v>1</v>
      </c>
      <c r="I302" s="277"/>
      <c r="J302" s="278">
        <f t="shared" si="164"/>
        <v>24</v>
      </c>
      <c r="K302" s="272">
        <f>IFERROR(INDEX('Horo. M'!$E$3:$E$367,MATCH(A302,'Horo. M'!$A$3:$A$367,0)),"")</f>
        <v>0</v>
      </c>
      <c r="L302" s="273"/>
      <c r="M302" s="273"/>
      <c r="N302" s="272">
        <f t="shared" si="165"/>
        <v>24</v>
      </c>
      <c r="O302" s="274">
        <f t="shared" si="166"/>
        <v>0</v>
      </c>
      <c r="P302" s="275">
        <f t="shared" si="167"/>
        <v>1</v>
      </c>
      <c r="Q302" s="276"/>
      <c r="R302" s="278">
        <f t="shared" si="168"/>
        <v>24</v>
      </c>
      <c r="S302" s="272">
        <f>IFERROR(INDEX('Horo. M'!G$3:$G$367,MATCH(A302,'Horo. M'!$A$3:$A$367,0)),"")</f>
        <v>0</v>
      </c>
      <c r="T302" s="278"/>
      <c r="U302" s="278"/>
      <c r="V302" s="272">
        <f t="shared" si="169"/>
        <v>24</v>
      </c>
      <c r="W302" s="274">
        <f t="shared" si="170"/>
        <v>0</v>
      </c>
      <c r="X302" s="275">
        <f t="shared" si="171"/>
        <v>1</v>
      </c>
      <c r="Y302" s="278"/>
      <c r="Z302" s="278">
        <f t="shared" si="172"/>
        <v>24</v>
      </c>
      <c r="AA302" s="272">
        <f>IFERROR(INDEX('Horo. M'!$I$3:I$367,MATCH(A302,'Horo. M'!$A$3:$A$367,0)),"")</f>
        <v>0</v>
      </c>
      <c r="AB302" s="273"/>
      <c r="AC302" s="273"/>
      <c r="AD302" s="272">
        <f t="shared" si="173"/>
        <v>24</v>
      </c>
      <c r="AE302" s="274">
        <f t="shared" si="174"/>
        <v>0</v>
      </c>
      <c r="AF302" s="275">
        <f t="shared" si="175"/>
        <v>1</v>
      </c>
      <c r="AG302" s="278"/>
      <c r="AH302" s="272">
        <f t="shared" si="176"/>
        <v>24</v>
      </c>
      <c r="AI302" s="272">
        <f>IFERROR(INDEX('Horo. M'!$K$3:K$367,MATCH(A302,'Horo. M'!$A$3:$A$367,0)),"")</f>
        <v>0</v>
      </c>
      <c r="AJ302" s="278"/>
      <c r="AK302" s="278"/>
      <c r="AL302" s="272">
        <f t="shared" si="177"/>
        <v>24</v>
      </c>
      <c r="AM302" s="274">
        <f t="shared" si="178"/>
        <v>0</v>
      </c>
      <c r="AN302" s="275">
        <f t="shared" si="179"/>
        <v>1</v>
      </c>
      <c r="AO302" s="278"/>
      <c r="AP302" s="272">
        <f t="shared" si="180"/>
        <v>24</v>
      </c>
      <c r="AQ302" s="272">
        <f>IFERROR(INDEX('Horo. M'!$M$3:M$367,MATCH(A302,'Horo. M'!$A$3:$A$367,0)),"")</f>
        <v>0</v>
      </c>
      <c r="AR302" s="278"/>
      <c r="AS302" s="278"/>
      <c r="AT302" s="272">
        <f t="shared" si="181"/>
        <v>24</v>
      </c>
      <c r="AU302" s="274">
        <f t="shared" si="182"/>
        <v>0</v>
      </c>
      <c r="AV302" s="275">
        <f t="shared" si="183"/>
        <v>1</v>
      </c>
      <c r="AW302" s="278"/>
      <c r="AX302" s="272">
        <f t="shared" si="184"/>
        <v>24</v>
      </c>
      <c r="AY302" s="272">
        <f>IFERROR(INDEX('Horo. M'!$O$3:O$367,MATCH(A302,'Horo. M'!$A$3:$A$367,0)),"")</f>
        <v>0</v>
      </c>
      <c r="AZ302" s="278"/>
      <c r="BA302" s="278"/>
      <c r="BB302" s="272">
        <f t="shared" si="185"/>
        <v>24</v>
      </c>
      <c r="BC302" s="274">
        <f t="shared" si="186"/>
        <v>0</v>
      </c>
      <c r="BD302" s="275">
        <f t="shared" si="187"/>
        <v>1</v>
      </c>
      <c r="BE302" s="278"/>
      <c r="BF302" s="272">
        <f t="shared" si="188"/>
        <v>24</v>
      </c>
      <c r="BG302" s="272">
        <f>IFERROR(INDEX('Horo. M'!$Q$3:Q$367,MATCH(A302,'Horo. M'!$A$3:$A$367,0)),"")</f>
        <v>0</v>
      </c>
      <c r="BH302" s="278"/>
      <c r="BI302" s="278"/>
      <c r="BJ302" s="272">
        <f t="shared" si="189"/>
        <v>24</v>
      </c>
      <c r="BK302" s="274">
        <f t="shared" si="190"/>
        <v>0</v>
      </c>
      <c r="BL302" s="275">
        <f t="shared" si="191"/>
        <v>1</v>
      </c>
      <c r="BM302" s="278"/>
      <c r="BN302" s="272">
        <f t="shared" si="192"/>
        <v>24</v>
      </c>
      <c r="BO302" s="272">
        <f>IFERROR(INDEX('Horo. M'!$S$3:S$367,MATCH(A302,'Horo. M'!$A$3:$A$367,0)),"")</f>
        <v>0</v>
      </c>
      <c r="BP302" s="278"/>
      <c r="BQ302" s="278"/>
      <c r="BR302" s="272">
        <f t="shared" si="193"/>
        <v>24</v>
      </c>
      <c r="BS302" s="274">
        <f t="shared" si="194"/>
        <v>0</v>
      </c>
      <c r="BT302" s="275">
        <f t="shared" si="195"/>
        <v>1</v>
      </c>
      <c r="BU302" s="278"/>
      <c r="BV302" s="272">
        <f t="shared" si="196"/>
        <v>24</v>
      </c>
      <c r="BW302" s="272">
        <f>IFERROR(INDEX('Horo. M'!$U$3:U$367,MATCH(A302,'Horo. M'!$A$3:$A$367,0)),"")</f>
        <v>0</v>
      </c>
      <c r="BX302" s="278"/>
      <c r="BY302" s="278"/>
      <c r="BZ302" s="272">
        <f t="shared" si="197"/>
        <v>24</v>
      </c>
      <c r="CA302" s="274">
        <f t="shared" si="198"/>
        <v>0</v>
      </c>
      <c r="CB302" s="275">
        <f t="shared" si="199"/>
        <v>1</v>
      </c>
      <c r="CC302" s="280"/>
    </row>
    <row r="303" spans="1:81">
      <c r="A303" s="279">
        <v>45228</v>
      </c>
      <c r="B303" s="278">
        <f t="shared" si="160"/>
        <v>24</v>
      </c>
      <c r="C303" s="272">
        <f>IFERROR(INDEX('Horo. M'!$C$3:$C$367,MATCH(A303,'Horo. M'!$A$3:$A$367,0)),"")</f>
        <v>0</v>
      </c>
      <c r="D303" s="278"/>
      <c r="E303" s="278"/>
      <c r="F303" s="272">
        <f t="shared" si="161"/>
        <v>24</v>
      </c>
      <c r="G303" s="274">
        <f t="shared" si="162"/>
        <v>0</v>
      </c>
      <c r="H303" s="275">
        <f t="shared" si="163"/>
        <v>1</v>
      </c>
      <c r="I303" s="277"/>
      <c r="J303" s="278">
        <f t="shared" si="164"/>
        <v>24</v>
      </c>
      <c r="K303" s="272">
        <f>IFERROR(INDEX('Horo. M'!$E$3:$E$367,MATCH(A303,'Horo. M'!$A$3:$A$367,0)),"")</f>
        <v>0</v>
      </c>
      <c r="L303" s="273"/>
      <c r="M303" s="273"/>
      <c r="N303" s="272">
        <f t="shared" si="165"/>
        <v>24</v>
      </c>
      <c r="O303" s="274">
        <f t="shared" si="166"/>
        <v>0</v>
      </c>
      <c r="P303" s="275">
        <f t="shared" si="167"/>
        <v>1</v>
      </c>
      <c r="Q303" s="276"/>
      <c r="R303" s="278">
        <f t="shared" si="168"/>
        <v>24</v>
      </c>
      <c r="S303" s="272">
        <f>IFERROR(INDEX('Horo. M'!G$3:$G$367,MATCH(A303,'Horo. M'!$A$3:$A$367,0)),"")</f>
        <v>0</v>
      </c>
      <c r="T303" s="278"/>
      <c r="U303" s="278"/>
      <c r="V303" s="272">
        <f t="shared" si="169"/>
        <v>24</v>
      </c>
      <c r="W303" s="274">
        <f t="shared" si="170"/>
        <v>0</v>
      </c>
      <c r="X303" s="275">
        <f t="shared" si="171"/>
        <v>1</v>
      </c>
      <c r="Y303" s="278"/>
      <c r="Z303" s="278">
        <f t="shared" si="172"/>
        <v>24</v>
      </c>
      <c r="AA303" s="272">
        <f>IFERROR(INDEX('Horo. M'!$I$3:I$367,MATCH(A303,'Horo. M'!$A$3:$A$367,0)),"")</f>
        <v>0</v>
      </c>
      <c r="AB303" s="273"/>
      <c r="AC303" s="273"/>
      <c r="AD303" s="272">
        <f t="shared" si="173"/>
        <v>24</v>
      </c>
      <c r="AE303" s="274">
        <f t="shared" si="174"/>
        <v>0</v>
      </c>
      <c r="AF303" s="275">
        <f t="shared" si="175"/>
        <v>1</v>
      </c>
      <c r="AG303" s="278"/>
      <c r="AH303" s="272">
        <f t="shared" si="176"/>
        <v>24</v>
      </c>
      <c r="AI303" s="272">
        <f>IFERROR(INDEX('Horo. M'!$K$3:K$367,MATCH(A303,'Horo. M'!$A$3:$A$367,0)),"")</f>
        <v>0</v>
      </c>
      <c r="AJ303" s="278"/>
      <c r="AK303" s="278"/>
      <c r="AL303" s="272">
        <f t="shared" si="177"/>
        <v>24</v>
      </c>
      <c r="AM303" s="274">
        <f t="shared" si="178"/>
        <v>0</v>
      </c>
      <c r="AN303" s="275">
        <f t="shared" si="179"/>
        <v>1</v>
      </c>
      <c r="AO303" s="278"/>
      <c r="AP303" s="272">
        <f t="shared" si="180"/>
        <v>24</v>
      </c>
      <c r="AQ303" s="272">
        <f>IFERROR(INDEX('Horo. M'!$M$3:M$367,MATCH(A303,'Horo. M'!$A$3:$A$367,0)),"")</f>
        <v>0</v>
      </c>
      <c r="AR303" s="278"/>
      <c r="AS303" s="278"/>
      <c r="AT303" s="272">
        <f t="shared" si="181"/>
        <v>24</v>
      </c>
      <c r="AU303" s="274">
        <f t="shared" si="182"/>
        <v>0</v>
      </c>
      <c r="AV303" s="275">
        <f t="shared" si="183"/>
        <v>1</v>
      </c>
      <c r="AW303" s="278"/>
      <c r="AX303" s="272">
        <f t="shared" si="184"/>
        <v>24</v>
      </c>
      <c r="AY303" s="272">
        <f>IFERROR(INDEX('Horo. M'!$O$3:O$367,MATCH(A303,'Horo. M'!$A$3:$A$367,0)),"")</f>
        <v>0</v>
      </c>
      <c r="AZ303" s="278"/>
      <c r="BA303" s="278"/>
      <c r="BB303" s="272">
        <f t="shared" si="185"/>
        <v>24</v>
      </c>
      <c r="BC303" s="274">
        <f t="shared" si="186"/>
        <v>0</v>
      </c>
      <c r="BD303" s="275">
        <f t="shared" si="187"/>
        <v>1</v>
      </c>
      <c r="BE303" s="278"/>
      <c r="BF303" s="272">
        <f t="shared" si="188"/>
        <v>24</v>
      </c>
      <c r="BG303" s="272">
        <f>IFERROR(INDEX('Horo. M'!$Q$3:Q$367,MATCH(A303,'Horo. M'!$A$3:$A$367,0)),"")</f>
        <v>0</v>
      </c>
      <c r="BH303" s="278"/>
      <c r="BI303" s="278"/>
      <c r="BJ303" s="272">
        <f t="shared" si="189"/>
        <v>24</v>
      </c>
      <c r="BK303" s="274">
        <f t="shared" si="190"/>
        <v>0</v>
      </c>
      <c r="BL303" s="275">
        <f t="shared" si="191"/>
        <v>1</v>
      </c>
      <c r="BM303" s="278"/>
      <c r="BN303" s="272">
        <f t="shared" si="192"/>
        <v>24</v>
      </c>
      <c r="BO303" s="272">
        <f>IFERROR(INDEX('Horo. M'!$S$3:S$367,MATCH(A303,'Horo. M'!$A$3:$A$367,0)),"")</f>
        <v>0</v>
      </c>
      <c r="BP303" s="278"/>
      <c r="BQ303" s="278"/>
      <c r="BR303" s="272">
        <f t="shared" si="193"/>
        <v>24</v>
      </c>
      <c r="BS303" s="274">
        <f t="shared" si="194"/>
        <v>0</v>
      </c>
      <c r="BT303" s="275">
        <f t="shared" si="195"/>
        <v>1</v>
      </c>
      <c r="BU303" s="278"/>
      <c r="BV303" s="272">
        <f t="shared" si="196"/>
        <v>24</v>
      </c>
      <c r="BW303" s="272">
        <f>IFERROR(INDEX('Horo. M'!$U$3:U$367,MATCH(A303,'Horo. M'!$A$3:$A$367,0)),"")</f>
        <v>0</v>
      </c>
      <c r="BX303" s="278"/>
      <c r="BY303" s="278"/>
      <c r="BZ303" s="272">
        <f t="shared" si="197"/>
        <v>24</v>
      </c>
      <c r="CA303" s="274">
        <f t="shared" si="198"/>
        <v>0</v>
      </c>
      <c r="CB303" s="275">
        <f t="shared" si="199"/>
        <v>1</v>
      </c>
      <c r="CC303" s="280"/>
    </row>
    <row r="304" spans="1:81">
      <c r="A304" s="279">
        <v>45229</v>
      </c>
      <c r="B304" s="278">
        <f t="shared" si="160"/>
        <v>24</v>
      </c>
      <c r="C304" s="272">
        <f>IFERROR(INDEX('Horo. M'!$C$3:$C$367,MATCH(A304,'Horo. M'!$A$3:$A$367,0)),"")</f>
        <v>0</v>
      </c>
      <c r="D304" s="278"/>
      <c r="E304" s="278"/>
      <c r="F304" s="272">
        <f t="shared" si="161"/>
        <v>24</v>
      </c>
      <c r="G304" s="274">
        <f t="shared" si="162"/>
        <v>0</v>
      </c>
      <c r="H304" s="275">
        <f t="shared" si="163"/>
        <v>1</v>
      </c>
      <c r="I304" s="277"/>
      <c r="J304" s="278">
        <f t="shared" si="164"/>
        <v>24</v>
      </c>
      <c r="K304" s="272">
        <f>IFERROR(INDEX('Horo. M'!$E$3:$E$367,MATCH(A304,'Horo. M'!$A$3:$A$367,0)),"")</f>
        <v>0</v>
      </c>
      <c r="L304" s="273"/>
      <c r="M304" s="273"/>
      <c r="N304" s="272">
        <f t="shared" si="165"/>
        <v>24</v>
      </c>
      <c r="O304" s="274">
        <f t="shared" si="166"/>
        <v>0</v>
      </c>
      <c r="P304" s="275">
        <f t="shared" si="167"/>
        <v>1</v>
      </c>
      <c r="Q304" s="276"/>
      <c r="R304" s="278">
        <f t="shared" si="168"/>
        <v>24</v>
      </c>
      <c r="S304" s="272">
        <f>IFERROR(INDEX('Horo. M'!G$3:$G$367,MATCH(A304,'Horo. M'!$A$3:$A$367,0)),"")</f>
        <v>0</v>
      </c>
      <c r="T304" s="278"/>
      <c r="U304" s="278"/>
      <c r="V304" s="272">
        <f t="shared" si="169"/>
        <v>24</v>
      </c>
      <c r="W304" s="274">
        <f t="shared" si="170"/>
        <v>0</v>
      </c>
      <c r="X304" s="275">
        <f t="shared" si="171"/>
        <v>1</v>
      </c>
      <c r="Y304" s="278"/>
      <c r="Z304" s="278">
        <f t="shared" si="172"/>
        <v>24</v>
      </c>
      <c r="AA304" s="272">
        <f>IFERROR(INDEX('Horo. M'!$I$3:I$367,MATCH(A304,'Horo. M'!$A$3:$A$367,0)),"")</f>
        <v>0</v>
      </c>
      <c r="AB304" s="273"/>
      <c r="AC304" s="273"/>
      <c r="AD304" s="272">
        <f t="shared" si="173"/>
        <v>24</v>
      </c>
      <c r="AE304" s="274">
        <f t="shared" si="174"/>
        <v>0</v>
      </c>
      <c r="AF304" s="275">
        <f t="shared" si="175"/>
        <v>1</v>
      </c>
      <c r="AG304" s="278"/>
      <c r="AH304" s="272">
        <f t="shared" si="176"/>
        <v>24</v>
      </c>
      <c r="AI304" s="272">
        <f>IFERROR(INDEX('Horo. M'!$K$3:K$367,MATCH(A304,'Horo. M'!$A$3:$A$367,0)),"")</f>
        <v>0</v>
      </c>
      <c r="AJ304" s="278"/>
      <c r="AK304" s="278"/>
      <c r="AL304" s="272">
        <f t="shared" si="177"/>
        <v>24</v>
      </c>
      <c r="AM304" s="274">
        <f t="shared" si="178"/>
        <v>0</v>
      </c>
      <c r="AN304" s="275">
        <f t="shared" si="179"/>
        <v>1</v>
      </c>
      <c r="AO304" s="278"/>
      <c r="AP304" s="272">
        <f t="shared" si="180"/>
        <v>24</v>
      </c>
      <c r="AQ304" s="272">
        <f>IFERROR(INDEX('Horo. M'!$M$3:M$367,MATCH(A304,'Horo. M'!$A$3:$A$367,0)),"")</f>
        <v>0</v>
      </c>
      <c r="AR304" s="278"/>
      <c r="AS304" s="278"/>
      <c r="AT304" s="272">
        <f t="shared" si="181"/>
        <v>24</v>
      </c>
      <c r="AU304" s="274">
        <f t="shared" si="182"/>
        <v>0</v>
      </c>
      <c r="AV304" s="275">
        <f t="shared" si="183"/>
        <v>1</v>
      </c>
      <c r="AW304" s="278"/>
      <c r="AX304" s="272">
        <f t="shared" si="184"/>
        <v>24</v>
      </c>
      <c r="AY304" s="272">
        <f>IFERROR(INDEX('Horo. M'!$O$3:O$367,MATCH(A304,'Horo. M'!$A$3:$A$367,0)),"")</f>
        <v>0</v>
      </c>
      <c r="AZ304" s="278"/>
      <c r="BA304" s="278"/>
      <c r="BB304" s="272">
        <f t="shared" si="185"/>
        <v>24</v>
      </c>
      <c r="BC304" s="274">
        <f t="shared" si="186"/>
        <v>0</v>
      </c>
      <c r="BD304" s="275">
        <f t="shared" si="187"/>
        <v>1</v>
      </c>
      <c r="BE304" s="278"/>
      <c r="BF304" s="272">
        <f t="shared" si="188"/>
        <v>24</v>
      </c>
      <c r="BG304" s="272">
        <f>IFERROR(INDEX('Horo. M'!$Q$3:Q$367,MATCH(A304,'Horo. M'!$A$3:$A$367,0)),"")</f>
        <v>0</v>
      </c>
      <c r="BH304" s="278"/>
      <c r="BI304" s="278"/>
      <c r="BJ304" s="272">
        <f t="shared" si="189"/>
        <v>24</v>
      </c>
      <c r="BK304" s="274">
        <f t="shared" si="190"/>
        <v>0</v>
      </c>
      <c r="BL304" s="275">
        <f t="shared" si="191"/>
        <v>1</v>
      </c>
      <c r="BM304" s="278"/>
      <c r="BN304" s="272">
        <f t="shared" si="192"/>
        <v>24</v>
      </c>
      <c r="BO304" s="272">
        <f>IFERROR(INDEX('Horo. M'!$S$3:S$367,MATCH(A304,'Horo. M'!$A$3:$A$367,0)),"")</f>
        <v>0</v>
      </c>
      <c r="BP304" s="278"/>
      <c r="BQ304" s="278"/>
      <c r="BR304" s="272">
        <f t="shared" si="193"/>
        <v>24</v>
      </c>
      <c r="BS304" s="274">
        <f t="shared" si="194"/>
        <v>0</v>
      </c>
      <c r="BT304" s="275">
        <f t="shared" si="195"/>
        <v>1</v>
      </c>
      <c r="BU304" s="278"/>
      <c r="BV304" s="272">
        <f t="shared" si="196"/>
        <v>24</v>
      </c>
      <c r="BW304" s="272">
        <f>IFERROR(INDEX('Horo. M'!$U$3:U$367,MATCH(A304,'Horo. M'!$A$3:$A$367,0)),"")</f>
        <v>0</v>
      </c>
      <c r="BX304" s="278"/>
      <c r="BY304" s="278"/>
      <c r="BZ304" s="272">
        <f t="shared" si="197"/>
        <v>24</v>
      </c>
      <c r="CA304" s="274">
        <f t="shared" si="198"/>
        <v>0</v>
      </c>
      <c r="CB304" s="275">
        <f t="shared" si="199"/>
        <v>1</v>
      </c>
      <c r="CC304" s="280"/>
    </row>
    <row r="305" spans="1:81">
      <c r="A305" s="279">
        <v>45230</v>
      </c>
      <c r="B305" s="278">
        <f t="shared" si="160"/>
        <v>24</v>
      </c>
      <c r="C305" s="272">
        <f>IFERROR(INDEX('Horo. M'!$C$3:$C$367,MATCH(A305,'Horo. M'!$A$3:$A$367,0)),"")</f>
        <v>0</v>
      </c>
      <c r="D305" s="278"/>
      <c r="E305" s="278"/>
      <c r="F305" s="272">
        <f t="shared" si="161"/>
        <v>24</v>
      </c>
      <c r="G305" s="274">
        <f t="shared" si="162"/>
        <v>0</v>
      </c>
      <c r="H305" s="275">
        <f t="shared" si="163"/>
        <v>1</v>
      </c>
      <c r="I305" s="277"/>
      <c r="J305" s="278">
        <f t="shared" si="164"/>
        <v>24</v>
      </c>
      <c r="K305" s="272">
        <f>IFERROR(INDEX('Horo. M'!$E$3:$E$367,MATCH(A305,'Horo. M'!$A$3:$A$367,0)),"")</f>
        <v>0</v>
      </c>
      <c r="L305" s="273"/>
      <c r="M305" s="273"/>
      <c r="N305" s="272">
        <f t="shared" si="165"/>
        <v>24</v>
      </c>
      <c r="O305" s="274">
        <f t="shared" si="166"/>
        <v>0</v>
      </c>
      <c r="P305" s="275">
        <f t="shared" si="167"/>
        <v>1</v>
      </c>
      <c r="Q305" s="276"/>
      <c r="R305" s="278">
        <f t="shared" si="168"/>
        <v>24</v>
      </c>
      <c r="S305" s="272">
        <f>IFERROR(INDEX('Horo. M'!G$3:$G$367,MATCH(A305,'Horo. M'!$A$3:$A$367,0)),"")</f>
        <v>0</v>
      </c>
      <c r="T305" s="278"/>
      <c r="U305" s="278"/>
      <c r="V305" s="272">
        <f t="shared" si="169"/>
        <v>24</v>
      </c>
      <c r="W305" s="274">
        <f t="shared" si="170"/>
        <v>0</v>
      </c>
      <c r="X305" s="275">
        <f t="shared" si="171"/>
        <v>1</v>
      </c>
      <c r="Y305" s="278"/>
      <c r="Z305" s="278">
        <f t="shared" si="172"/>
        <v>24</v>
      </c>
      <c r="AA305" s="272">
        <f>IFERROR(INDEX('Horo. M'!$I$3:I$367,MATCH(A305,'Horo. M'!$A$3:$A$367,0)),"")</f>
        <v>0</v>
      </c>
      <c r="AB305" s="273"/>
      <c r="AC305" s="273"/>
      <c r="AD305" s="272">
        <f t="shared" si="173"/>
        <v>24</v>
      </c>
      <c r="AE305" s="274">
        <f t="shared" si="174"/>
        <v>0</v>
      </c>
      <c r="AF305" s="275">
        <f t="shared" si="175"/>
        <v>1</v>
      </c>
      <c r="AG305" s="278"/>
      <c r="AH305" s="272">
        <f t="shared" si="176"/>
        <v>24</v>
      </c>
      <c r="AI305" s="272">
        <f>IFERROR(INDEX('Horo. M'!$K$3:K$367,MATCH(A305,'Horo. M'!$A$3:$A$367,0)),"")</f>
        <v>0</v>
      </c>
      <c r="AJ305" s="278"/>
      <c r="AK305" s="278"/>
      <c r="AL305" s="272">
        <f t="shared" si="177"/>
        <v>24</v>
      </c>
      <c r="AM305" s="274">
        <f t="shared" si="178"/>
        <v>0</v>
      </c>
      <c r="AN305" s="275">
        <f t="shared" si="179"/>
        <v>1</v>
      </c>
      <c r="AO305" s="278"/>
      <c r="AP305" s="272">
        <f t="shared" si="180"/>
        <v>24</v>
      </c>
      <c r="AQ305" s="272">
        <f>IFERROR(INDEX('Horo. M'!$M$3:M$367,MATCH(A305,'Horo. M'!$A$3:$A$367,0)),"")</f>
        <v>0</v>
      </c>
      <c r="AR305" s="278"/>
      <c r="AS305" s="278"/>
      <c r="AT305" s="272">
        <f t="shared" si="181"/>
        <v>24</v>
      </c>
      <c r="AU305" s="274">
        <f t="shared" si="182"/>
        <v>0</v>
      </c>
      <c r="AV305" s="275">
        <f t="shared" si="183"/>
        <v>1</v>
      </c>
      <c r="AW305" s="278"/>
      <c r="AX305" s="272">
        <f t="shared" si="184"/>
        <v>24</v>
      </c>
      <c r="AY305" s="272">
        <f>IFERROR(INDEX('Horo. M'!$O$3:O$367,MATCH(A305,'Horo. M'!$A$3:$A$367,0)),"")</f>
        <v>0</v>
      </c>
      <c r="AZ305" s="278"/>
      <c r="BA305" s="278"/>
      <c r="BB305" s="272">
        <f t="shared" si="185"/>
        <v>24</v>
      </c>
      <c r="BC305" s="274">
        <f t="shared" si="186"/>
        <v>0</v>
      </c>
      <c r="BD305" s="275">
        <f t="shared" si="187"/>
        <v>1</v>
      </c>
      <c r="BE305" s="278"/>
      <c r="BF305" s="272">
        <f t="shared" si="188"/>
        <v>24</v>
      </c>
      <c r="BG305" s="272">
        <f>IFERROR(INDEX('Horo. M'!$Q$3:Q$367,MATCH(A305,'Horo. M'!$A$3:$A$367,0)),"")</f>
        <v>0</v>
      </c>
      <c r="BH305" s="278"/>
      <c r="BI305" s="278"/>
      <c r="BJ305" s="272">
        <f t="shared" si="189"/>
        <v>24</v>
      </c>
      <c r="BK305" s="274">
        <f t="shared" si="190"/>
        <v>0</v>
      </c>
      <c r="BL305" s="275">
        <f t="shared" si="191"/>
        <v>1</v>
      </c>
      <c r="BM305" s="278"/>
      <c r="BN305" s="272">
        <f t="shared" si="192"/>
        <v>24</v>
      </c>
      <c r="BO305" s="272">
        <f>IFERROR(INDEX('Horo. M'!$S$3:S$367,MATCH(A305,'Horo. M'!$A$3:$A$367,0)),"")</f>
        <v>0</v>
      </c>
      <c r="BP305" s="278"/>
      <c r="BQ305" s="278"/>
      <c r="BR305" s="272">
        <f t="shared" si="193"/>
        <v>24</v>
      </c>
      <c r="BS305" s="274">
        <f t="shared" si="194"/>
        <v>0</v>
      </c>
      <c r="BT305" s="275">
        <f t="shared" si="195"/>
        <v>1</v>
      </c>
      <c r="BU305" s="278"/>
      <c r="BV305" s="272">
        <f t="shared" si="196"/>
        <v>24</v>
      </c>
      <c r="BW305" s="272">
        <f>IFERROR(INDEX('Horo. M'!$U$3:U$367,MATCH(A305,'Horo. M'!$A$3:$A$367,0)),"")</f>
        <v>0</v>
      </c>
      <c r="BX305" s="278"/>
      <c r="BY305" s="278"/>
      <c r="BZ305" s="272">
        <f t="shared" si="197"/>
        <v>24</v>
      </c>
      <c r="CA305" s="274">
        <f t="shared" si="198"/>
        <v>0</v>
      </c>
      <c r="CB305" s="275">
        <f t="shared" si="199"/>
        <v>1</v>
      </c>
      <c r="CC305" s="280"/>
    </row>
    <row r="306" spans="1:81">
      <c r="A306" s="279">
        <v>45231</v>
      </c>
      <c r="B306" s="278">
        <f t="shared" si="160"/>
        <v>24</v>
      </c>
      <c r="C306" s="272">
        <f>IFERROR(INDEX('Horo. M'!$C$3:$C$367,MATCH(A306,'Horo. M'!$A$3:$A$367,0)),"")</f>
        <v>0</v>
      </c>
      <c r="D306" s="278"/>
      <c r="E306" s="278"/>
      <c r="F306" s="272">
        <f t="shared" si="161"/>
        <v>24</v>
      </c>
      <c r="G306" s="274">
        <f t="shared" si="162"/>
        <v>0</v>
      </c>
      <c r="H306" s="275">
        <f t="shared" si="163"/>
        <v>1</v>
      </c>
      <c r="I306" s="277"/>
      <c r="J306" s="278">
        <f t="shared" si="164"/>
        <v>24</v>
      </c>
      <c r="K306" s="272">
        <f>IFERROR(INDEX('Horo. M'!$E$3:$E$367,MATCH(A306,'Horo. M'!$A$3:$A$367,0)),"")</f>
        <v>0</v>
      </c>
      <c r="L306" s="273"/>
      <c r="M306" s="273"/>
      <c r="N306" s="272">
        <f t="shared" si="165"/>
        <v>24</v>
      </c>
      <c r="O306" s="274">
        <f t="shared" si="166"/>
        <v>0</v>
      </c>
      <c r="P306" s="275">
        <f t="shared" si="167"/>
        <v>1</v>
      </c>
      <c r="Q306" s="276"/>
      <c r="R306" s="278">
        <f t="shared" si="168"/>
        <v>24</v>
      </c>
      <c r="S306" s="272">
        <f>IFERROR(INDEX('Horo. M'!G$3:$G$367,MATCH(A306,'Horo. M'!$A$3:$A$367,0)),"")</f>
        <v>0</v>
      </c>
      <c r="T306" s="278"/>
      <c r="U306" s="278"/>
      <c r="V306" s="272">
        <f t="shared" si="169"/>
        <v>24</v>
      </c>
      <c r="W306" s="274">
        <f t="shared" si="170"/>
        <v>0</v>
      </c>
      <c r="X306" s="275">
        <f t="shared" si="171"/>
        <v>1</v>
      </c>
      <c r="Y306" s="278"/>
      <c r="Z306" s="278">
        <f t="shared" si="172"/>
        <v>24</v>
      </c>
      <c r="AA306" s="272">
        <f>IFERROR(INDEX('Horo. M'!$I$3:I$367,MATCH(A306,'Horo. M'!$A$3:$A$367,0)),"")</f>
        <v>0</v>
      </c>
      <c r="AB306" s="273"/>
      <c r="AC306" s="273"/>
      <c r="AD306" s="272">
        <f t="shared" si="173"/>
        <v>24</v>
      </c>
      <c r="AE306" s="274">
        <f t="shared" si="174"/>
        <v>0</v>
      </c>
      <c r="AF306" s="275">
        <f t="shared" si="175"/>
        <v>1</v>
      </c>
      <c r="AG306" s="278"/>
      <c r="AH306" s="272">
        <f t="shared" si="176"/>
        <v>24</v>
      </c>
      <c r="AI306" s="272">
        <f>IFERROR(INDEX('Horo. M'!$K$3:K$367,MATCH(A306,'Horo. M'!$A$3:$A$367,0)),"")</f>
        <v>0</v>
      </c>
      <c r="AJ306" s="278"/>
      <c r="AK306" s="278"/>
      <c r="AL306" s="272">
        <f t="shared" si="177"/>
        <v>24</v>
      </c>
      <c r="AM306" s="274">
        <f t="shared" si="178"/>
        <v>0</v>
      </c>
      <c r="AN306" s="275">
        <f t="shared" si="179"/>
        <v>1</v>
      </c>
      <c r="AO306" s="278"/>
      <c r="AP306" s="272">
        <f t="shared" si="180"/>
        <v>24</v>
      </c>
      <c r="AQ306" s="272">
        <f>IFERROR(INDEX('Horo. M'!$M$3:M$367,MATCH(A306,'Horo. M'!$A$3:$A$367,0)),"")</f>
        <v>0</v>
      </c>
      <c r="AR306" s="278"/>
      <c r="AS306" s="278"/>
      <c r="AT306" s="272">
        <f t="shared" si="181"/>
        <v>24</v>
      </c>
      <c r="AU306" s="274">
        <f t="shared" si="182"/>
        <v>0</v>
      </c>
      <c r="AV306" s="275">
        <f t="shared" si="183"/>
        <v>1</v>
      </c>
      <c r="AW306" s="278"/>
      <c r="AX306" s="272">
        <f t="shared" si="184"/>
        <v>24</v>
      </c>
      <c r="AY306" s="272">
        <f>IFERROR(INDEX('Horo. M'!$O$3:O$367,MATCH(A306,'Horo. M'!$A$3:$A$367,0)),"")</f>
        <v>0</v>
      </c>
      <c r="AZ306" s="278"/>
      <c r="BA306" s="278"/>
      <c r="BB306" s="272">
        <f t="shared" si="185"/>
        <v>24</v>
      </c>
      <c r="BC306" s="274">
        <f t="shared" si="186"/>
        <v>0</v>
      </c>
      <c r="BD306" s="275">
        <f t="shared" si="187"/>
        <v>1</v>
      </c>
      <c r="BE306" s="278"/>
      <c r="BF306" s="272">
        <f t="shared" si="188"/>
        <v>24</v>
      </c>
      <c r="BG306" s="272">
        <f>IFERROR(INDEX('Horo. M'!$Q$3:Q$367,MATCH(A306,'Horo. M'!$A$3:$A$367,0)),"")</f>
        <v>0</v>
      </c>
      <c r="BH306" s="278"/>
      <c r="BI306" s="278"/>
      <c r="BJ306" s="272">
        <f t="shared" si="189"/>
        <v>24</v>
      </c>
      <c r="BK306" s="274">
        <f t="shared" si="190"/>
        <v>0</v>
      </c>
      <c r="BL306" s="275">
        <f t="shared" si="191"/>
        <v>1</v>
      </c>
      <c r="BM306" s="278"/>
      <c r="BN306" s="272">
        <f t="shared" si="192"/>
        <v>24</v>
      </c>
      <c r="BO306" s="272">
        <f>IFERROR(INDEX('Horo. M'!$S$3:S$367,MATCH(A306,'Horo. M'!$A$3:$A$367,0)),"")</f>
        <v>0</v>
      </c>
      <c r="BP306" s="278"/>
      <c r="BQ306" s="278"/>
      <c r="BR306" s="272">
        <f t="shared" si="193"/>
        <v>24</v>
      </c>
      <c r="BS306" s="274">
        <f t="shared" si="194"/>
        <v>0</v>
      </c>
      <c r="BT306" s="275">
        <f t="shared" si="195"/>
        <v>1</v>
      </c>
      <c r="BU306" s="278"/>
      <c r="BV306" s="272">
        <f t="shared" si="196"/>
        <v>24</v>
      </c>
      <c r="BW306" s="272">
        <f>IFERROR(INDEX('Horo. M'!$U$3:U$367,MATCH(A306,'Horo. M'!$A$3:$A$367,0)),"")</f>
        <v>0</v>
      </c>
      <c r="BX306" s="278"/>
      <c r="BY306" s="278"/>
      <c r="BZ306" s="272">
        <f t="shared" si="197"/>
        <v>24</v>
      </c>
      <c r="CA306" s="274">
        <f t="shared" si="198"/>
        <v>0</v>
      </c>
      <c r="CB306" s="275">
        <f t="shared" si="199"/>
        <v>1</v>
      </c>
      <c r="CC306" s="280"/>
    </row>
    <row r="307" spans="1:81">
      <c r="A307" s="279">
        <v>45232</v>
      </c>
      <c r="B307" s="278">
        <f t="shared" si="160"/>
        <v>24</v>
      </c>
      <c r="C307" s="272">
        <f>IFERROR(INDEX('Horo. M'!$C$3:$C$367,MATCH(A307,'Horo. M'!$A$3:$A$367,0)),"")</f>
        <v>0</v>
      </c>
      <c r="D307" s="278"/>
      <c r="E307" s="278"/>
      <c r="F307" s="272">
        <f t="shared" si="161"/>
        <v>24</v>
      </c>
      <c r="G307" s="274">
        <f t="shared" si="162"/>
        <v>0</v>
      </c>
      <c r="H307" s="275">
        <f t="shared" si="163"/>
        <v>1</v>
      </c>
      <c r="I307" s="277"/>
      <c r="J307" s="278">
        <f t="shared" si="164"/>
        <v>24</v>
      </c>
      <c r="K307" s="272">
        <f>IFERROR(INDEX('Horo. M'!$E$3:$E$367,MATCH(A307,'Horo. M'!$A$3:$A$367,0)),"")</f>
        <v>0</v>
      </c>
      <c r="L307" s="273"/>
      <c r="M307" s="273"/>
      <c r="N307" s="272">
        <f t="shared" si="165"/>
        <v>24</v>
      </c>
      <c r="O307" s="274">
        <f t="shared" si="166"/>
        <v>0</v>
      </c>
      <c r="P307" s="275">
        <f t="shared" si="167"/>
        <v>1</v>
      </c>
      <c r="Q307" s="276"/>
      <c r="R307" s="278">
        <f t="shared" si="168"/>
        <v>24</v>
      </c>
      <c r="S307" s="272">
        <f>IFERROR(INDEX('Horo. M'!G$3:$G$367,MATCH(A307,'Horo. M'!$A$3:$A$367,0)),"")</f>
        <v>0</v>
      </c>
      <c r="T307" s="278"/>
      <c r="U307" s="278"/>
      <c r="V307" s="272">
        <f t="shared" si="169"/>
        <v>24</v>
      </c>
      <c r="W307" s="274">
        <f t="shared" si="170"/>
        <v>0</v>
      </c>
      <c r="X307" s="275">
        <f t="shared" si="171"/>
        <v>1</v>
      </c>
      <c r="Y307" s="278"/>
      <c r="Z307" s="278">
        <f t="shared" si="172"/>
        <v>24</v>
      </c>
      <c r="AA307" s="272">
        <f>IFERROR(INDEX('Horo. M'!$I$3:I$367,MATCH(A307,'Horo. M'!$A$3:$A$367,0)),"")</f>
        <v>0</v>
      </c>
      <c r="AB307" s="273"/>
      <c r="AC307" s="273"/>
      <c r="AD307" s="272">
        <f t="shared" si="173"/>
        <v>24</v>
      </c>
      <c r="AE307" s="274">
        <f t="shared" si="174"/>
        <v>0</v>
      </c>
      <c r="AF307" s="275">
        <f t="shared" si="175"/>
        <v>1</v>
      </c>
      <c r="AG307" s="278"/>
      <c r="AH307" s="272">
        <f t="shared" si="176"/>
        <v>24</v>
      </c>
      <c r="AI307" s="272">
        <f>IFERROR(INDEX('Horo. M'!$K$3:K$367,MATCH(A307,'Horo. M'!$A$3:$A$367,0)),"")</f>
        <v>0</v>
      </c>
      <c r="AJ307" s="278"/>
      <c r="AK307" s="278"/>
      <c r="AL307" s="272">
        <f t="shared" si="177"/>
        <v>24</v>
      </c>
      <c r="AM307" s="274">
        <f t="shared" si="178"/>
        <v>0</v>
      </c>
      <c r="AN307" s="275">
        <f t="shared" si="179"/>
        <v>1</v>
      </c>
      <c r="AO307" s="278"/>
      <c r="AP307" s="272">
        <f t="shared" si="180"/>
        <v>24</v>
      </c>
      <c r="AQ307" s="272">
        <f>IFERROR(INDEX('Horo. M'!$M$3:M$367,MATCH(A307,'Horo. M'!$A$3:$A$367,0)),"")</f>
        <v>0</v>
      </c>
      <c r="AR307" s="278"/>
      <c r="AS307" s="278"/>
      <c r="AT307" s="272">
        <f t="shared" si="181"/>
        <v>24</v>
      </c>
      <c r="AU307" s="274">
        <f t="shared" si="182"/>
        <v>0</v>
      </c>
      <c r="AV307" s="275">
        <f t="shared" si="183"/>
        <v>1</v>
      </c>
      <c r="AW307" s="278"/>
      <c r="AX307" s="272">
        <f t="shared" si="184"/>
        <v>24</v>
      </c>
      <c r="AY307" s="272">
        <f>IFERROR(INDEX('Horo. M'!$O$3:O$367,MATCH(A307,'Horo. M'!$A$3:$A$367,0)),"")</f>
        <v>0</v>
      </c>
      <c r="AZ307" s="278"/>
      <c r="BA307" s="278"/>
      <c r="BB307" s="272">
        <f t="shared" si="185"/>
        <v>24</v>
      </c>
      <c r="BC307" s="274">
        <f t="shared" si="186"/>
        <v>0</v>
      </c>
      <c r="BD307" s="275">
        <f t="shared" si="187"/>
        <v>1</v>
      </c>
      <c r="BE307" s="278"/>
      <c r="BF307" s="272">
        <f t="shared" si="188"/>
        <v>24</v>
      </c>
      <c r="BG307" s="272">
        <f>IFERROR(INDEX('Horo. M'!$Q$3:Q$367,MATCH(A307,'Horo. M'!$A$3:$A$367,0)),"")</f>
        <v>0</v>
      </c>
      <c r="BH307" s="278"/>
      <c r="BI307" s="278"/>
      <c r="BJ307" s="272">
        <f t="shared" si="189"/>
        <v>24</v>
      </c>
      <c r="BK307" s="274">
        <f t="shared" si="190"/>
        <v>0</v>
      </c>
      <c r="BL307" s="275">
        <f t="shared" si="191"/>
        <v>1</v>
      </c>
      <c r="BM307" s="278"/>
      <c r="BN307" s="272">
        <f t="shared" si="192"/>
        <v>24</v>
      </c>
      <c r="BO307" s="272">
        <f>IFERROR(INDEX('Horo. M'!$S$3:S$367,MATCH(A307,'Horo. M'!$A$3:$A$367,0)),"")</f>
        <v>0</v>
      </c>
      <c r="BP307" s="278"/>
      <c r="BQ307" s="278"/>
      <c r="BR307" s="272">
        <f t="shared" si="193"/>
        <v>24</v>
      </c>
      <c r="BS307" s="274">
        <f t="shared" si="194"/>
        <v>0</v>
      </c>
      <c r="BT307" s="275">
        <f t="shared" si="195"/>
        <v>1</v>
      </c>
      <c r="BU307" s="278"/>
      <c r="BV307" s="272">
        <f t="shared" si="196"/>
        <v>24</v>
      </c>
      <c r="BW307" s="272">
        <f>IFERROR(INDEX('Horo. M'!$U$3:U$367,MATCH(A307,'Horo. M'!$A$3:$A$367,0)),"")</f>
        <v>0</v>
      </c>
      <c r="BX307" s="278"/>
      <c r="BY307" s="278"/>
      <c r="BZ307" s="272">
        <f t="shared" si="197"/>
        <v>24</v>
      </c>
      <c r="CA307" s="274">
        <f t="shared" si="198"/>
        <v>0</v>
      </c>
      <c r="CB307" s="275">
        <f t="shared" si="199"/>
        <v>1</v>
      </c>
      <c r="CC307" s="280"/>
    </row>
    <row r="308" spans="1:81">
      <c r="A308" s="279">
        <v>45233</v>
      </c>
      <c r="B308" s="278">
        <f t="shared" si="160"/>
        <v>24</v>
      </c>
      <c r="C308" s="272">
        <f>IFERROR(INDEX('Horo. M'!$C$3:$C$367,MATCH(A308,'Horo. M'!$A$3:$A$367,0)),"")</f>
        <v>0</v>
      </c>
      <c r="D308" s="278"/>
      <c r="E308" s="278"/>
      <c r="F308" s="272">
        <f t="shared" si="161"/>
        <v>24</v>
      </c>
      <c r="G308" s="274">
        <f t="shared" si="162"/>
        <v>0</v>
      </c>
      <c r="H308" s="275">
        <f t="shared" si="163"/>
        <v>1</v>
      </c>
      <c r="I308" s="277"/>
      <c r="J308" s="278">
        <f t="shared" si="164"/>
        <v>24</v>
      </c>
      <c r="K308" s="272">
        <f>IFERROR(INDEX('Horo. M'!$E$3:$E$367,MATCH(A308,'Horo. M'!$A$3:$A$367,0)),"")</f>
        <v>0</v>
      </c>
      <c r="L308" s="273"/>
      <c r="M308" s="273"/>
      <c r="N308" s="272">
        <f t="shared" si="165"/>
        <v>24</v>
      </c>
      <c r="O308" s="274">
        <f t="shared" si="166"/>
        <v>0</v>
      </c>
      <c r="P308" s="275">
        <f t="shared" si="167"/>
        <v>1</v>
      </c>
      <c r="Q308" s="276"/>
      <c r="R308" s="278">
        <f t="shared" si="168"/>
        <v>24</v>
      </c>
      <c r="S308" s="272">
        <f>IFERROR(INDEX('Horo. M'!G$3:$G$367,MATCH(A308,'Horo. M'!$A$3:$A$367,0)),"")</f>
        <v>0</v>
      </c>
      <c r="T308" s="278"/>
      <c r="U308" s="278"/>
      <c r="V308" s="272">
        <f t="shared" si="169"/>
        <v>24</v>
      </c>
      <c r="W308" s="274">
        <f t="shared" si="170"/>
        <v>0</v>
      </c>
      <c r="X308" s="275">
        <f t="shared" si="171"/>
        <v>1</v>
      </c>
      <c r="Y308" s="278"/>
      <c r="Z308" s="278">
        <f t="shared" si="172"/>
        <v>24</v>
      </c>
      <c r="AA308" s="272">
        <f>IFERROR(INDEX('Horo. M'!$I$3:I$367,MATCH(A308,'Horo. M'!$A$3:$A$367,0)),"")</f>
        <v>0</v>
      </c>
      <c r="AB308" s="273"/>
      <c r="AC308" s="273"/>
      <c r="AD308" s="272">
        <f t="shared" si="173"/>
        <v>24</v>
      </c>
      <c r="AE308" s="274">
        <f t="shared" si="174"/>
        <v>0</v>
      </c>
      <c r="AF308" s="275">
        <f t="shared" si="175"/>
        <v>1</v>
      </c>
      <c r="AG308" s="278"/>
      <c r="AH308" s="272">
        <f t="shared" si="176"/>
        <v>24</v>
      </c>
      <c r="AI308" s="272">
        <f>IFERROR(INDEX('Horo. M'!$K$3:K$367,MATCH(A308,'Horo. M'!$A$3:$A$367,0)),"")</f>
        <v>0</v>
      </c>
      <c r="AJ308" s="278"/>
      <c r="AK308" s="278"/>
      <c r="AL308" s="272">
        <f t="shared" si="177"/>
        <v>24</v>
      </c>
      <c r="AM308" s="274">
        <f t="shared" si="178"/>
        <v>0</v>
      </c>
      <c r="AN308" s="275">
        <f t="shared" si="179"/>
        <v>1</v>
      </c>
      <c r="AO308" s="278"/>
      <c r="AP308" s="272">
        <f t="shared" si="180"/>
        <v>24</v>
      </c>
      <c r="AQ308" s="272">
        <f>IFERROR(INDEX('Horo. M'!$M$3:M$367,MATCH(A308,'Horo. M'!$A$3:$A$367,0)),"")</f>
        <v>0</v>
      </c>
      <c r="AR308" s="278"/>
      <c r="AS308" s="278"/>
      <c r="AT308" s="272">
        <f t="shared" si="181"/>
        <v>24</v>
      </c>
      <c r="AU308" s="274">
        <f t="shared" si="182"/>
        <v>0</v>
      </c>
      <c r="AV308" s="275">
        <f t="shared" si="183"/>
        <v>1</v>
      </c>
      <c r="AW308" s="278"/>
      <c r="AX308" s="272">
        <f t="shared" si="184"/>
        <v>24</v>
      </c>
      <c r="AY308" s="272">
        <f>IFERROR(INDEX('Horo. M'!$O$3:O$367,MATCH(A308,'Horo. M'!$A$3:$A$367,0)),"")</f>
        <v>0</v>
      </c>
      <c r="AZ308" s="278"/>
      <c r="BA308" s="278"/>
      <c r="BB308" s="272">
        <f t="shared" si="185"/>
        <v>24</v>
      </c>
      <c r="BC308" s="274">
        <f t="shared" si="186"/>
        <v>0</v>
      </c>
      <c r="BD308" s="275">
        <f t="shared" si="187"/>
        <v>1</v>
      </c>
      <c r="BE308" s="278"/>
      <c r="BF308" s="272">
        <f t="shared" si="188"/>
        <v>24</v>
      </c>
      <c r="BG308" s="272">
        <f>IFERROR(INDEX('Horo. M'!$Q$3:Q$367,MATCH(A308,'Horo. M'!$A$3:$A$367,0)),"")</f>
        <v>0</v>
      </c>
      <c r="BH308" s="278"/>
      <c r="BI308" s="278"/>
      <c r="BJ308" s="272">
        <f t="shared" si="189"/>
        <v>24</v>
      </c>
      <c r="BK308" s="274">
        <f t="shared" si="190"/>
        <v>0</v>
      </c>
      <c r="BL308" s="275">
        <f t="shared" si="191"/>
        <v>1</v>
      </c>
      <c r="BM308" s="278"/>
      <c r="BN308" s="272">
        <f t="shared" si="192"/>
        <v>24</v>
      </c>
      <c r="BO308" s="272">
        <f>IFERROR(INDEX('Horo. M'!$S$3:S$367,MATCH(A308,'Horo. M'!$A$3:$A$367,0)),"")</f>
        <v>0</v>
      </c>
      <c r="BP308" s="278"/>
      <c r="BQ308" s="278"/>
      <c r="BR308" s="272">
        <f t="shared" si="193"/>
        <v>24</v>
      </c>
      <c r="BS308" s="274">
        <f t="shared" si="194"/>
        <v>0</v>
      </c>
      <c r="BT308" s="275">
        <f t="shared" si="195"/>
        <v>1</v>
      </c>
      <c r="BU308" s="278"/>
      <c r="BV308" s="272">
        <f t="shared" si="196"/>
        <v>24</v>
      </c>
      <c r="BW308" s="272">
        <f>IFERROR(INDEX('Horo. M'!$U$3:U$367,MATCH(A308,'Horo. M'!$A$3:$A$367,0)),"")</f>
        <v>0</v>
      </c>
      <c r="BX308" s="278"/>
      <c r="BY308" s="278"/>
      <c r="BZ308" s="272">
        <f t="shared" si="197"/>
        <v>24</v>
      </c>
      <c r="CA308" s="274">
        <f t="shared" si="198"/>
        <v>0</v>
      </c>
      <c r="CB308" s="275">
        <f t="shared" si="199"/>
        <v>1</v>
      </c>
      <c r="CC308" s="280"/>
    </row>
    <row r="309" spans="1:81">
      <c r="A309" s="279">
        <v>45234</v>
      </c>
      <c r="B309" s="278">
        <f t="shared" si="160"/>
        <v>24</v>
      </c>
      <c r="C309" s="272">
        <f>IFERROR(INDEX('Horo. M'!$C$3:$C$367,MATCH(A309,'Horo. M'!$A$3:$A$367,0)),"")</f>
        <v>0</v>
      </c>
      <c r="D309" s="278"/>
      <c r="E309" s="278"/>
      <c r="F309" s="272">
        <f t="shared" si="161"/>
        <v>24</v>
      </c>
      <c r="G309" s="274">
        <f t="shared" si="162"/>
        <v>0</v>
      </c>
      <c r="H309" s="275">
        <f t="shared" si="163"/>
        <v>1</v>
      </c>
      <c r="I309" s="277"/>
      <c r="J309" s="278">
        <f t="shared" si="164"/>
        <v>24</v>
      </c>
      <c r="K309" s="272">
        <f>IFERROR(INDEX('Horo. M'!$E$3:$E$367,MATCH(A309,'Horo. M'!$A$3:$A$367,0)),"")</f>
        <v>0</v>
      </c>
      <c r="L309" s="273"/>
      <c r="M309" s="273"/>
      <c r="N309" s="272">
        <f t="shared" si="165"/>
        <v>24</v>
      </c>
      <c r="O309" s="274">
        <f t="shared" si="166"/>
        <v>0</v>
      </c>
      <c r="P309" s="275">
        <f t="shared" si="167"/>
        <v>1</v>
      </c>
      <c r="Q309" s="276"/>
      <c r="R309" s="278">
        <f t="shared" si="168"/>
        <v>24</v>
      </c>
      <c r="S309" s="272">
        <f>IFERROR(INDEX('Horo. M'!G$3:$G$367,MATCH(A309,'Horo. M'!$A$3:$A$367,0)),"")</f>
        <v>0</v>
      </c>
      <c r="T309" s="278"/>
      <c r="U309" s="278"/>
      <c r="V309" s="272">
        <f t="shared" si="169"/>
        <v>24</v>
      </c>
      <c r="W309" s="274">
        <f t="shared" si="170"/>
        <v>0</v>
      </c>
      <c r="X309" s="275">
        <f t="shared" si="171"/>
        <v>1</v>
      </c>
      <c r="Y309" s="278"/>
      <c r="Z309" s="278">
        <f t="shared" si="172"/>
        <v>24</v>
      </c>
      <c r="AA309" s="272">
        <f>IFERROR(INDEX('Horo. M'!$I$3:I$367,MATCH(A309,'Horo. M'!$A$3:$A$367,0)),"")</f>
        <v>0</v>
      </c>
      <c r="AB309" s="273"/>
      <c r="AC309" s="273"/>
      <c r="AD309" s="272">
        <f t="shared" si="173"/>
        <v>24</v>
      </c>
      <c r="AE309" s="274">
        <f t="shared" si="174"/>
        <v>0</v>
      </c>
      <c r="AF309" s="275">
        <f t="shared" si="175"/>
        <v>1</v>
      </c>
      <c r="AG309" s="278"/>
      <c r="AH309" s="272">
        <f t="shared" si="176"/>
        <v>24</v>
      </c>
      <c r="AI309" s="272">
        <f>IFERROR(INDEX('Horo. M'!$K$3:K$367,MATCH(A309,'Horo. M'!$A$3:$A$367,0)),"")</f>
        <v>0</v>
      </c>
      <c r="AJ309" s="278"/>
      <c r="AK309" s="278"/>
      <c r="AL309" s="272">
        <f t="shared" si="177"/>
        <v>24</v>
      </c>
      <c r="AM309" s="274">
        <f t="shared" si="178"/>
        <v>0</v>
      </c>
      <c r="AN309" s="275">
        <f t="shared" si="179"/>
        <v>1</v>
      </c>
      <c r="AO309" s="278"/>
      <c r="AP309" s="272">
        <f t="shared" si="180"/>
        <v>24</v>
      </c>
      <c r="AQ309" s="272">
        <f>IFERROR(INDEX('Horo. M'!$M$3:M$367,MATCH(A309,'Horo. M'!$A$3:$A$367,0)),"")</f>
        <v>0</v>
      </c>
      <c r="AR309" s="278"/>
      <c r="AS309" s="278"/>
      <c r="AT309" s="272">
        <f t="shared" si="181"/>
        <v>24</v>
      </c>
      <c r="AU309" s="274">
        <f t="shared" si="182"/>
        <v>0</v>
      </c>
      <c r="AV309" s="275">
        <f t="shared" si="183"/>
        <v>1</v>
      </c>
      <c r="AW309" s="278"/>
      <c r="AX309" s="272">
        <f t="shared" si="184"/>
        <v>24</v>
      </c>
      <c r="AY309" s="272">
        <f>IFERROR(INDEX('Horo. M'!$O$3:O$367,MATCH(A309,'Horo. M'!$A$3:$A$367,0)),"")</f>
        <v>0</v>
      </c>
      <c r="AZ309" s="278"/>
      <c r="BA309" s="278"/>
      <c r="BB309" s="272">
        <f t="shared" si="185"/>
        <v>24</v>
      </c>
      <c r="BC309" s="274">
        <f t="shared" si="186"/>
        <v>0</v>
      </c>
      <c r="BD309" s="275">
        <f t="shared" si="187"/>
        <v>1</v>
      </c>
      <c r="BE309" s="278"/>
      <c r="BF309" s="272">
        <f t="shared" si="188"/>
        <v>24</v>
      </c>
      <c r="BG309" s="272">
        <f>IFERROR(INDEX('Horo. M'!$Q$3:Q$367,MATCH(A309,'Horo. M'!$A$3:$A$367,0)),"")</f>
        <v>0</v>
      </c>
      <c r="BH309" s="278"/>
      <c r="BI309" s="278"/>
      <c r="BJ309" s="272">
        <f t="shared" si="189"/>
        <v>24</v>
      </c>
      <c r="BK309" s="274">
        <f t="shared" si="190"/>
        <v>0</v>
      </c>
      <c r="BL309" s="275">
        <f t="shared" si="191"/>
        <v>1</v>
      </c>
      <c r="BM309" s="278"/>
      <c r="BN309" s="272">
        <f t="shared" si="192"/>
        <v>24</v>
      </c>
      <c r="BO309" s="272">
        <f>IFERROR(INDEX('Horo. M'!$S$3:S$367,MATCH(A309,'Horo. M'!$A$3:$A$367,0)),"")</f>
        <v>0</v>
      </c>
      <c r="BP309" s="278"/>
      <c r="BQ309" s="278"/>
      <c r="BR309" s="272">
        <f t="shared" si="193"/>
        <v>24</v>
      </c>
      <c r="BS309" s="274">
        <f t="shared" si="194"/>
        <v>0</v>
      </c>
      <c r="BT309" s="275">
        <f t="shared" si="195"/>
        <v>1</v>
      </c>
      <c r="BU309" s="278"/>
      <c r="BV309" s="272">
        <f t="shared" si="196"/>
        <v>24</v>
      </c>
      <c r="BW309" s="272">
        <f>IFERROR(INDEX('Horo. M'!$U$3:U$367,MATCH(A309,'Horo. M'!$A$3:$A$367,0)),"")</f>
        <v>0</v>
      </c>
      <c r="BX309" s="278"/>
      <c r="BY309" s="278"/>
      <c r="BZ309" s="272">
        <f t="shared" si="197"/>
        <v>24</v>
      </c>
      <c r="CA309" s="274">
        <f t="shared" si="198"/>
        <v>0</v>
      </c>
      <c r="CB309" s="275">
        <f t="shared" si="199"/>
        <v>1</v>
      </c>
      <c r="CC309" s="280"/>
    </row>
    <row r="310" spans="1:81">
      <c r="A310" s="279">
        <v>45235</v>
      </c>
      <c r="B310" s="278">
        <f t="shared" si="160"/>
        <v>24</v>
      </c>
      <c r="C310" s="272">
        <f>IFERROR(INDEX('Horo. M'!$C$3:$C$367,MATCH(A310,'Horo. M'!$A$3:$A$367,0)),"")</f>
        <v>0</v>
      </c>
      <c r="D310" s="278"/>
      <c r="E310" s="278"/>
      <c r="F310" s="272">
        <f t="shared" si="161"/>
        <v>24</v>
      </c>
      <c r="G310" s="274">
        <f t="shared" si="162"/>
        <v>0</v>
      </c>
      <c r="H310" s="275">
        <f t="shared" si="163"/>
        <v>1</v>
      </c>
      <c r="I310" s="277"/>
      <c r="J310" s="278">
        <f t="shared" si="164"/>
        <v>24</v>
      </c>
      <c r="K310" s="272">
        <f>IFERROR(INDEX('Horo. M'!$E$3:$E$367,MATCH(A310,'Horo. M'!$A$3:$A$367,0)),"")</f>
        <v>0</v>
      </c>
      <c r="L310" s="273"/>
      <c r="M310" s="273"/>
      <c r="N310" s="272">
        <f t="shared" si="165"/>
        <v>24</v>
      </c>
      <c r="O310" s="274">
        <f t="shared" si="166"/>
        <v>0</v>
      </c>
      <c r="P310" s="275">
        <f t="shared" si="167"/>
        <v>1</v>
      </c>
      <c r="Q310" s="276"/>
      <c r="R310" s="278">
        <f t="shared" si="168"/>
        <v>24</v>
      </c>
      <c r="S310" s="272">
        <f>IFERROR(INDEX('Horo. M'!G$3:$G$367,MATCH(A310,'Horo. M'!$A$3:$A$367,0)),"")</f>
        <v>0</v>
      </c>
      <c r="T310" s="278"/>
      <c r="U310" s="278"/>
      <c r="V310" s="272">
        <f t="shared" si="169"/>
        <v>24</v>
      </c>
      <c r="W310" s="274">
        <f t="shared" si="170"/>
        <v>0</v>
      </c>
      <c r="X310" s="275">
        <f t="shared" si="171"/>
        <v>1</v>
      </c>
      <c r="Y310" s="278"/>
      <c r="Z310" s="278">
        <f t="shared" si="172"/>
        <v>24</v>
      </c>
      <c r="AA310" s="272">
        <f>IFERROR(INDEX('Horo. M'!$I$3:I$367,MATCH(A310,'Horo. M'!$A$3:$A$367,0)),"")</f>
        <v>0</v>
      </c>
      <c r="AB310" s="273"/>
      <c r="AC310" s="273"/>
      <c r="AD310" s="272">
        <f t="shared" si="173"/>
        <v>24</v>
      </c>
      <c r="AE310" s="274">
        <f t="shared" si="174"/>
        <v>0</v>
      </c>
      <c r="AF310" s="275">
        <f t="shared" si="175"/>
        <v>1</v>
      </c>
      <c r="AG310" s="278"/>
      <c r="AH310" s="272">
        <f t="shared" si="176"/>
        <v>24</v>
      </c>
      <c r="AI310" s="272">
        <f>IFERROR(INDEX('Horo. M'!$K$3:K$367,MATCH(A310,'Horo. M'!$A$3:$A$367,0)),"")</f>
        <v>0</v>
      </c>
      <c r="AJ310" s="278"/>
      <c r="AK310" s="278"/>
      <c r="AL310" s="272">
        <f t="shared" si="177"/>
        <v>24</v>
      </c>
      <c r="AM310" s="274">
        <f t="shared" si="178"/>
        <v>0</v>
      </c>
      <c r="AN310" s="275">
        <f t="shared" si="179"/>
        <v>1</v>
      </c>
      <c r="AO310" s="278"/>
      <c r="AP310" s="272">
        <f t="shared" si="180"/>
        <v>24</v>
      </c>
      <c r="AQ310" s="272">
        <f>IFERROR(INDEX('Horo. M'!$M$3:M$367,MATCH(A310,'Horo. M'!$A$3:$A$367,0)),"")</f>
        <v>0</v>
      </c>
      <c r="AR310" s="278"/>
      <c r="AS310" s="278"/>
      <c r="AT310" s="272">
        <f t="shared" si="181"/>
        <v>24</v>
      </c>
      <c r="AU310" s="274">
        <f t="shared" si="182"/>
        <v>0</v>
      </c>
      <c r="AV310" s="275">
        <f t="shared" si="183"/>
        <v>1</v>
      </c>
      <c r="AW310" s="278"/>
      <c r="AX310" s="272">
        <f t="shared" si="184"/>
        <v>24</v>
      </c>
      <c r="AY310" s="272">
        <f>IFERROR(INDEX('Horo. M'!$O$3:O$367,MATCH(A310,'Horo. M'!$A$3:$A$367,0)),"")</f>
        <v>0</v>
      </c>
      <c r="AZ310" s="278"/>
      <c r="BA310" s="278"/>
      <c r="BB310" s="272">
        <f t="shared" si="185"/>
        <v>24</v>
      </c>
      <c r="BC310" s="274">
        <f t="shared" si="186"/>
        <v>0</v>
      </c>
      <c r="BD310" s="275">
        <f t="shared" si="187"/>
        <v>1</v>
      </c>
      <c r="BE310" s="278"/>
      <c r="BF310" s="272">
        <f t="shared" si="188"/>
        <v>24</v>
      </c>
      <c r="BG310" s="272">
        <f>IFERROR(INDEX('Horo. M'!$Q$3:Q$367,MATCH(A310,'Horo. M'!$A$3:$A$367,0)),"")</f>
        <v>0</v>
      </c>
      <c r="BH310" s="278"/>
      <c r="BI310" s="278"/>
      <c r="BJ310" s="272">
        <f t="shared" si="189"/>
        <v>24</v>
      </c>
      <c r="BK310" s="274">
        <f t="shared" si="190"/>
        <v>0</v>
      </c>
      <c r="BL310" s="275">
        <f t="shared" si="191"/>
        <v>1</v>
      </c>
      <c r="BM310" s="278"/>
      <c r="BN310" s="272">
        <f t="shared" si="192"/>
        <v>24</v>
      </c>
      <c r="BO310" s="272">
        <f>IFERROR(INDEX('Horo. M'!$S$3:S$367,MATCH(A310,'Horo. M'!$A$3:$A$367,0)),"")</f>
        <v>0</v>
      </c>
      <c r="BP310" s="278"/>
      <c r="BQ310" s="278"/>
      <c r="BR310" s="272">
        <f t="shared" si="193"/>
        <v>24</v>
      </c>
      <c r="BS310" s="274">
        <f t="shared" si="194"/>
        <v>0</v>
      </c>
      <c r="BT310" s="275">
        <f t="shared" si="195"/>
        <v>1</v>
      </c>
      <c r="BU310" s="278"/>
      <c r="BV310" s="272">
        <f t="shared" si="196"/>
        <v>24</v>
      </c>
      <c r="BW310" s="272">
        <f>IFERROR(INDEX('Horo. M'!$U$3:U$367,MATCH(A310,'Horo. M'!$A$3:$A$367,0)),"")</f>
        <v>0</v>
      </c>
      <c r="BX310" s="278"/>
      <c r="BY310" s="278"/>
      <c r="BZ310" s="272">
        <f t="shared" si="197"/>
        <v>24</v>
      </c>
      <c r="CA310" s="274">
        <f t="shared" si="198"/>
        <v>0</v>
      </c>
      <c r="CB310" s="275">
        <f t="shared" si="199"/>
        <v>1</v>
      </c>
      <c r="CC310" s="280"/>
    </row>
    <row r="311" spans="1:81">
      <c r="A311" s="279">
        <v>45236</v>
      </c>
      <c r="B311" s="278">
        <f t="shared" si="160"/>
        <v>24</v>
      </c>
      <c r="C311" s="272">
        <f>IFERROR(INDEX('Horo. M'!$C$3:$C$367,MATCH(A311,'Horo. M'!$A$3:$A$367,0)),"")</f>
        <v>0</v>
      </c>
      <c r="D311" s="278"/>
      <c r="E311" s="278"/>
      <c r="F311" s="272">
        <f t="shared" si="161"/>
        <v>24</v>
      </c>
      <c r="G311" s="274">
        <f t="shared" si="162"/>
        <v>0</v>
      </c>
      <c r="H311" s="275">
        <f t="shared" si="163"/>
        <v>1</v>
      </c>
      <c r="I311" s="277"/>
      <c r="J311" s="278">
        <f t="shared" si="164"/>
        <v>24</v>
      </c>
      <c r="K311" s="272">
        <f>IFERROR(INDEX('Horo. M'!$E$3:$E$367,MATCH(A311,'Horo. M'!$A$3:$A$367,0)),"")</f>
        <v>0</v>
      </c>
      <c r="L311" s="273"/>
      <c r="M311" s="273"/>
      <c r="N311" s="272">
        <f t="shared" si="165"/>
        <v>24</v>
      </c>
      <c r="O311" s="274">
        <f t="shared" si="166"/>
        <v>0</v>
      </c>
      <c r="P311" s="275">
        <f t="shared" si="167"/>
        <v>1</v>
      </c>
      <c r="Q311" s="276"/>
      <c r="R311" s="278">
        <f t="shared" si="168"/>
        <v>24</v>
      </c>
      <c r="S311" s="272">
        <f>IFERROR(INDEX('Horo. M'!G$3:$G$367,MATCH(A311,'Horo. M'!$A$3:$A$367,0)),"")</f>
        <v>0</v>
      </c>
      <c r="T311" s="278"/>
      <c r="U311" s="278"/>
      <c r="V311" s="272">
        <f t="shared" si="169"/>
        <v>24</v>
      </c>
      <c r="W311" s="274">
        <f t="shared" si="170"/>
        <v>0</v>
      </c>
      <c r="X311" s="275">
        <f t="shared" si="171"/>
        <v>1</v>
      </c>
      <c r="Y311" s="278"/>
      <c r="Z311" s="278">
        <f t="shared" si="172"/>
        <v>24</v>
      </c>
      <c r="AA311" s="272">
        <f>IFERROR(INDEX('Horo. M'!$I$3:I$367,MATCH(A311,'Horo. M'!$A$3:$A$367,0)),"")</f>
        <v>0</v>
      </c>
      <c r="AB311" s="273"/>
      <c r="AC311" s="273"/>
      <c r="AD311" s="272">
        <f t="shared" si="173"/>
        <v>24</v>
      </c>
      <c r="AE311" s="274">
        <f t="shared" si="174"/>
        <v>0</v>
      </c>
      <c r="AF311" s="275">
        <f t="shared" si="175"/>
        <v>1</v>
      </c>
      <c r="AG311" s="278"/>
      <c r="AH311" s="272">
        <f t="shared" si="176"/>
        <v>24</v>
      </c>
      <c r="AI311" s="272">
        <f>IFERROR(INDEX('Horo. M'!$K$3:K$367,MATCH(A311,'Horo. M'!$A$3:$A$367,0)),"")</f>
        <v>0</v>
      </c>
      <c r="AJ311" s="278"/>
      <c r="AK311" s="278"/>
      <c r="AL311" s="272">
        <f t="shared" si="177"/>
        <v>24</v>
      </c>
      <c r="AM311" s="274">
        <f t="shared" si="178"/>
        <v>0</v>
      </c>
      <c r="AN311" s="275">
        <f t="shared" si="179"/>
        <v>1</v>
      </c>
      <c r="AO311" s="278"/>
      <c r="AP311" s="272">
        <f t="shared" si="180"/>
        <v>24</v>
      </c>
      <c r="AQ311" s="272">
        <f>IFERROR(INDEX('Horo. M'!$M$3:M$367,MATCH(A311,'Horo. M'!$A$3:$A$367,0)),"")</f>
        <v>0</v>
      </c>
      <c r="AR311" s="278"/>
      <c r="AS311" s="278"/>
      <c r="AT311" s="272">
        <f t="shared" si="181"/>
        <v>24</v>
      </c>
      <c r="AU311" s="274">
        <f t="shared" si="182"/>
        <v>0</v>
      </c>
      <c r="AV311" s="275">
        <f t="shared" si="183"/>
        <v>1</v>
      </c>
      <c r="AW311" s="278"/>
      <c r="AX311" s="272">
        <f t="shared" si="184"/>
        <v>24</v>
      </c>
      <c r="AY311" s="272">
        <f>IFERROR(INDEX('Horo. M'!$O$3:O$367,MATCH(A311,'Horo. M'!$A$3:$A$367,0)),"")</f>
        <v>0</v>
      </c>
      <c r="AZ311" s="278"/>
      <c r="BA311" s="278"/>
      <c r="BB311" s="272">
        <f t="shared" si="185"/>
        <v>24</v>
      </c>
      <c r="BC311" s="274">
        <f t="shared" si="186"/>
        <v>0</v>
      </c>
      <c r="BD311" s="275">
        <f t="shared" si="187"/>
        <v>1</v>
      </c>
      <c r="BE311" s="278"/>
      <c r="BF311" s="272">
        <f t="shared" si="188"/>
        <v>24</v>
      </c>
      <c r="BG311" s="272">
        <f>IFERROR(INDEX('Horo. M'!$Q$3:Q$367,MATCH(A311,'Horo. M'!$A$3:$A$367,0)),"")</f>
        <v>0</v>
      </c>
      <c r="BH311" s="278"/>
      <c r="BI311" s="278"/>
      <c r="BJ311" s="272">
        <f t="shared" si="189"/>
        <v>24</v>
      </c>
      <c r="BK311" s="274">
        <f t="shared" si="190"/>
        <v>0</v>
      </c>
      <c r="BL311" s="275">
        <f t="shared" si="191"/>
        <v>1</v>
      </c>
      <c r="BM311" s="278"/>
      <c r="BN311" s="272">
        <f t="shared" si="192"/>
        <v>24</v>
      </c>
      <c r="BO311" s="272">
        <f>IFERROR(INDEX('Horo. M'!$S$3:S$367,MATCH(A311,'Horo. M'!$A$3:$A$367,0)),"")</f>
        <v>0</v>
      </c>
      <c r="BP311" s="278"/>
      <c r="BQ311" s="278"/>
      <c r="BR311" s="272">
        <f t="shared" si="193"/>
        <v>24</v>
      </c>
      <c r="BS311" s="274">
        <f t="shared" si="194"/>
        <v>0</v>
      </c>
      <c r="BT311" s="275">
        <f t="shared" si="195"/>
        <v>1</v>
      </c>
      <c r="BU311" s="278"/>
      <c r="BV311" s="272">
        <f t="shared" si="196"/>
        <v>24</v>
      </c>
      <c r="BW311" s="272">
        <f>IFERROR(INDEX('Horo. M'!$U$3:U$367,MATCH(A311,'Horo. M'!$A$3:$A$367,0)),"")</f>
        <v>0</v>
      </c>
      <c r="BX311" s="278"/>
      <c r="BY311" s="278"/>
      <c r="BZ311" s="272">
        <f t="shared" si="197"/>
        <v>24</v>
      </c>
      <c r="CA311" s="274">
        <f t="shared" si="198"/>
        <v>0</v>
      </c>
      <c r="CB311" s="275">
        <f t="shared" si="199"/>
        <v>1</v>
      </c>
      <c r="CC311" s="280"/>
    </row>
    <row r="312" spans="1:81">
      <c r="A312" s="279">
        <v>45237</v>
      </c>
      <c r="B312" s="278">
        <f t="shared" si="160"/>
        <v>24</v>
      </c>
      <c r="C312" s="272">
        <f>IFERROR(INDEX('Horo. M'!$C$3:$C$367,MATCH(A312,'Horo. M'!$A$3:$A$367,0)),"")</f>
        <v>0</v>
      </c>
      <c r="D312" s="278"/>
      <c r="E312" s="278"/>
      <c r="F312" s="272">
        <f t="shared" si="161"/>
        <v>24</v>
      </c>
      <c r="G312" s="274">
        <f t="shared" si="162"/>
        <v>0</v>
      </c>
      <c r="H312" s="275">
        <f t="shared" si="163"/>
        <v>1</v>
      </c>
      <c r="I312" s="277"/>
      <c r="J312" s="278">
        <f t="shared" si="164"/>
        <v>24</v>
      </c>
      <c r="K312" s="272">
        <f>IFERROR(INDEX('Horo. M'!$E$3:$E$367,MATCH(A312,'Horo. M'!$A$3:$A$367,0)),"")</f>
        <v>0</v>
      </c>
      <c r="L312" s="273"/>
      <c r="M312" s="273"/>
      <c r="N312" s="272">
        <f t="shared" si="165"/>
        <v>24</v>
      </c>
      <c r="O312" s="274">
        <f t="shared" si="166"/>
        <v>0</v>
      </c>
      <c r="P312" s="275">
        <f t="shared" si="167"/>
        <v>1</v>
      </c>
      <c r="Q312" s="276"/>
      <c r="R312" s="278">
        <f t="shared" si="168"/>
        <v>24</v>
      </c>
      <c r="S312" s="272">
        <f>IFERROR(INDEX('Horo. M'!G$3:$G$367,MATCH(A312,'Horo. M'!$A$3:$A$367,0)),"")</f>
        <v>0</v>
      </c>
      <c r="T312" s="278"/>
      <c r="U312" s="278"/>
      <c r="V312" s="272">
        <f t="shared" si="169"/>
        <v>24</v>
      </c>
      <c r="W312" s="274">
        <f t="shared" si="170"/>
        <v>0</v>
      </c>
      <c r="X312" s="275">
        <f t="shared" si="171"/>
        <v>1</v>
      </c>
      <c r="Y312" s="278"/>
      <c r="Z312" s="278">
        <f t="shared" si="172"/>
        <v>24</v>
      </c>
      <c r="AA312" s="272">
        <f>IFERROR(INDEX('Horo. M'!$I$3:I$367,MATCH(A312,'Horo. M'!$A$3:$A$367,0)),"")</f>
        <v>0</v>
      </c>
      <c r="AB312" s="273"/>
      <c r="AC312" s="273"/>
      <c r="AD312" s="272">
        <f t="shared" si="173"/>
        <v>24</v>
      </c>
      <c r="AE312" s="274">
        <f t="shared" si="174"/>
        <v>0</v>
      </c>
      <c r="AF312" s="275">
        <f t="shared" si="175"/>
        <v>1</v>
      </c>
      <c r="AG312" s="278"/>
      <c r="AH312" s="272">
        <f t="shared" si="176"/>
        <v>24</v>
      </c>
      <c r="AI312" s="272">
        <f>IFERROR(INDEX('Horo. M'!$K$3:K$367,MATCH(A312,'Horo. M'!$A$3:$A$367,0)),"")</f>
        <v>0</v>
      </c>
      <c r="AJ312" s="278"/>
      <c r="AK312" s="278"/>
      <c r="AL312" s="272">
        <f t="shared" si="177"/>
        <v>24</v>
      </c>
      <c r="AM312" s="274">
        <f t="shared" si="178"/>
        <v>0</v>
      </c>
      <c r="AN312" s="275">
        <f t="shared" si="179"/>
        <v>1</v>
      </c>
      <c r="AO312" s="278"/>
      <c r="AP312" s="272">
        <f t="shared" si="180"/>
        <v>24</v>
      </c>
      <c r="AQ312" s="272">
        <f>IFERROR(INDEX('Horo. M'!$M$3:M$367,MATCH(A312,'Horo. M'!$A$3:$A$367,0)),"")</f>
        <v>0</v>
      </c>
      <c r="AR312" s="278"/>
      <c r="AS312" s="278"/>
      <c r="AT312" s="272">
        <f t="shared" si="181"/>
        <v>24</v>
      </c>
      <c r="AU312" s="274">
        <f t="shared" si="182"/>
        <v>0</v>
      </c>
      <c r="AV312" s="275">
        <f t="shared" si="183"/>
        <v>1</v>
      </c>
      <c r="AW312" s="278"/>
      <c r="AX312" s="272">
        <f t="shared" si="184"/>
        <v>24</v>
      </c>
      <c r="AY312" s="272">
        <f>IFERROR(INDEX('Horo. M'!$O$3:O$367,MATCH(A312,'Horo. M'!$A$3:$A$367,0)),"")</f>
        <v>0</v>
      </c>
      <c r="AZ312" s="278"/>
      <c r="BA312" s="278"/>
      <c r="BB312" s="272">
        <f t="shared" si="185"/>
        <v>24</v>
      </c>
      <c r="BC312" s="274">
        <f t="shared" si="186"/>
        <v>0</v>
      </c>
      <c r="BD312" s="275">
        <f t="shared" si="187"/>
        <v>1</v>
      </c>
      <c r="BE312" s="278"/>
      <c r="BF312" s="272">
        <f t="shared" si="188"/>
        <v>24</v>
      </c>
      <c r="BG312" s="272">
        <f>IFERROR(INDEX('Horo. M'!$Q$3:Q$367,MATCH(A312,'Horo. M'!$A$3:$A$367,0)),"")</f>
        <v>0</v>
      </c>
      <c r="BH312" s="278"/>
      <c r="BI312" s="278"/>
      <c r="BJ312" s="272">
        <f t="shared" si="189"/>
        <v>24</v>
      </c>
      <c r="BK312" s="274">
        <f t="shared" si="190"/>
        <v>0</v>
      </c>
      <c r="BL312" s="275">
        <f t="shared" si="191"/>
        <v>1</v>
      </c>
      <c r="BM312" s="278"/>
      <c r="BN312" s="272">
        <f t="shared" si="192"/>
        <v>24</v>
      </c>
      <c r="BO312" s="272">
        <f>IFERROR(INDEX('Horo. M'!$S$3:S$367,MATCH(A312,'Horo. M'!$A$3:$A$367,0)),"")</f>
        <v>0</v>
      </c>
      <c r="BP312" s="278"/>
      <c r="BQ312" s="278"/>
      <c r="BR312" s="272">
        <f t="shared" si="193"/>
        <v>24</v>
      </c>
      <c r="BS312" s="274">
        <f t="shared" si="194"/>
        <v>0</v>
      </c>
      <c r="BT312" s="275">
        <f t="shared" si="195"/>
        <v>1</v>
      </c>
      <c r="BU312" s="278"/>
      <c r="BV312" s="272">
        <f t="shared" si="196"/>
        <v>24</v>
      </c>
      <c r="BW312" s="272">
        <f>IFERROR(INDEX('Horo. M'!$U$3:U$367,MATCH(A312,'Horo. M'!$A$3:$A$367,0)),"")</f>
        <v>0</v>
      </c>
      <c r="BX312" s="278"/>
      <c r="BY312" s="278"/>
      <c r="BZ312" s="272">
        <f t="shared" si="197"/>
        <v>24</v>
      </c>
      <c r="CA312" s="274">
        <f t="shared" si="198"/>
        <v>0</v>
      </c>
      <c r="CB312" s="275">
        <f t="shared" si="199"/>
        <v>1</v>
      </c>
      <c r="CC312" s="280"/>
    </row>
    <row r="313" spans="1:81">
      <c r="A313" s="279">
        <v>45238</v>
      </c>
      <c r="B313" s="278">
        <f t="shared" si="160"/>
        <v>24</v>
      </c>
      <c r="C313" s="272">
        <f>IFERROR(INDEX('Horo. M'!$C$3:$C$367,MATCH(A313,'Horo. M'!$A$3:$A$367,0)),"")</f>
        <v>0</v>
      </c>
      <c r="D313" s="278"/>
      <c r="E313" s="278"/>
      <c r="F313" s="272">
        <f t="shared" si="161"/>
        <v>24</v>
      </c>
      <c r="G313" s="274">
        <f t="shared" si="162"/>
        <v>0</v>
      </c>
      <c r="H313" s="275">
        <f t="shared" si="163"/>
        <v>1</v>
      </c>
      <c r="I313" s="277"/>
      <c r="J313" s="278">
        <f t="shared" si="164"/>
        <v>24</v>
      </c>
      <c r="K313" s="272">
        <f>IFERROR(INDEX('Horo. M'!$E$3:$E$367,MATCH(A313,'Horo. M'!$A$3:$A$367,0)),"")</f>
        <v>0</v>
      </c>
      <c r="L313" s="273"/>
      <c r="M313" s="273"/>
      <c r="N313" s="272">
        <f t="shared" si="165"/>
        <v>24</v>
      </c>
      <c r="O313" s="274">
        <f t="shared" si="166"/>
        <v>0</v>
      </c>
      <c r="P313" s="275">
        <f t="shared" si="167"/>
        <v>1</v>
      </c>
      <c r="Q313" s="276"/>
      <c r="R313" s="278">
        <f t="shared" si="168"/>
        <v>24</v>
      </c>
      <c r="S313" s="272">
        <f>IFERROR(INDEX('Horo. M'!G$3:$G$367,MATCH(A313,'Horo. M'!$A$3:$A$367,0)),"")</f>
        <v>0</v>
      </c>
      <c r="T313" s="278"/>
      <c r="U313" s="278"/>
      <c r="V313" s="272">
        <f t="shared" si="169"/>
        <v>24</v>
      </c>
      <c r="W313" s="274">
        <f t="shared" si="170"/>
        <v>0</v>
      </c>
      <c r="X313" s="275">
        <f t="shared" si="171"/>
        <v>1</v>
      </c>
      <c r="Y313" s="278"/>
      <c r="Z313" s="278">
        <f t="shared" si="172"/>
        <v>24</v>
      </c>
      <c r="AA313" s="272">
        <f>IFERROR(INDEX('Horo. M'!$I$3:I$367,MATCH(A313,'Horo. M'!$A$3:$A$367,0)),"")</f>
        <v>0</v>
      </c>
      <c r="AB313" s="273"/>
      <c r="AC313" s="273"/>
      <c r="AD313" s="272">
        <f t="shared" si="173"/>
        <v>24</v>
      </c>
      <c r="AE313" s="274">
        <f t="shared" si="174"/>
        <v>0</v>
      </c>
      <c r="AF313" s="275">
        <f t="shared" si="175"/>
        <v>1</v>
      </c>
      <c r="AG313" s="278"/>
      <c r="AH313" s="272">
        <f t="shared" si="176"/>
        <v>24</v>
      </c>
      <c r="AI313" s="272">
        <f>IFERROR(INDEX('Horo. M'!$K$3:K$367,MATCH(A313,'Horo. M'!$A$3:$A$367,0)),"")</f>
        <v>0</v>
      </c>
      <c r="AJ313" s="278"/>
      <c r="AK313" s="278"/>
      <c r="AL313" s="272">
        <f t="shared" si="177"/>
        <v>24</v>
      </c>
      <c r="AM313" s="274">
        <f t="shared" si="178"/>
        <v>0</v>
      </c>
      <c r="AN313" s="275">
        <f t="shared" si="179"/>
        <v>1</v>
      </c>
      <c r="AO313" s="278"/>
      <c r="AP313" s="272">
        <f t="shared" si="180"/>
        <v>24</v>
      </c>
      <c r="AQ313" s="272">
        <f>IFERROR(INDEX('Horo. M'!$M$3:M$367,MATCH(A313,'Horo. M'!$A$3:$A$367,0)),"")</f>
        <v>0</v>
      </c>
      <c r="AR313" s="278"/>
      <c r="AS313" s="278"/>
      <c r="AT313" s="272">
        <f t="shared" si="181"/>
        <v>24</v>
      </c>
      <c r="AU313" s="274">
        <f t="shared" si="182"/>
        <v>0</v>
      </c>
      <c r="AV313" s="275">
        <f t="shared" si="183"/>
        <v>1</v>
      </c>
      <c r="AW313" s="278"/>
      <c r="AX313" s="272">
        <f t="shared" si="184"/>
        <v>24</v>
      </c>
      <c r="AY313" s="272">
        <f>IFERROR(INDEX('Horo. M'!$O$3:O$367,MATCH(A313,'Horo. M'!$A$3:$A$367,0)),"")</f>
        <v>0</v>
      </c>
      <c r="AZ313" s="278"/>
      <c r="BA313" s="278"/>
      <c r="BB313" s="272">
        <f t="shared" si="185"/>
        <v>24</v>
      </c>
      <c r="BC313" s="274">
        <f t="shared" si="186"/>
        <v>0</v>
      </c>
      <c r="BD313" s="275">
        <f t="shared" si="187"/>
        <v>1</v>
      </c>
      <c r="BE313" s="278"/>
      <c r="BF313" s="272">
        <f t="shared" si="188"/>
        <v>24</v>
      </c>
      <c r="BG313" s="272">
        <f>IFERROR(INDEX('Horo. M'!$Q$3:Q$367,MATCH(A313,'Horo. M'!$A$3:$A$367,0)),"")</f>
        <v>0</v>
      </c>
      <c r="BH313" s="278"/>
      <c r="BI313" s="278"/>
      <c r="BJ313" s="272">
        <f t="shared" si="189"/>
        <v>24</v>
      </c>
      <c r="BK313" s="274">
        <f t="shared" si="190"/>
        <v>0</v>
      </c>
      <c r="BL313" s="275">
        <f t="shared" si="191"/>
        <v>1</v>
      </c>
      <c r="BM313" s="278"/>
      <c r="BN313" s="272">
        <f t="shared" si="192"/>
        <v>24</v>
      </c>
      <c r="BO313" s="272">
        <f>IFERROR(INDEX('Horo. M'!$S$3:S$367,MATCH(A313,'Horo. M'!$A$3:$A$367,0)),"")</f>
        <v>0</v>
      </c>
      <c r="BP313" s="278"/>
      <c r="BQ313" s="278"/>
      <c r="BR313" s="272">
        <f t="shared" si="193"/>
        <v>24</v>
      </c>
      <c r="BS313" s="274">
        <f t="shared" si="194"/>
        <v>0</v>
      </c>
      <c r="BT313" s="275">
        <f t="shared" si="195"/>
        <v>1</v>
      </c>
      <c r="BU313" s="278"/>
      <c r="BV313" s="272">
        <f t="shared" si="196"/>
        <v>24</v>
      </c>
      <c r="BW313" s="272">
        <f>IFERROR(INDEX('Horo. M'!$U$3:U$367,MATCH(A313,'Horo. M'!$A$3:$A$367,0)),"")</f>
        <v>0</v>
      </c>
      <c r="BX313" s="278"/>
      <c r="BY313" s="278"/>
      <c r="BZ313" s="272">
        <f t="shared" si="197"/>
        <v>24</v>
      </c>
      <c r="CA313" s="274">
        <f t="shared" si="198"/>
        <v>0</v>
      </c>
      <c r="CB313" s="275">
        <f t="shared" si="199"/>
        <v>1</v>
      </c>
      <c r="CC313" s="280"/>
    </row>
    <row r="314" spans="1:81">
      <c r="A314" s="279">
        <v>45239</v>
      </c>
      <c r="B314" s="278">
        <f t="shared" si="160"/>
        <v>24</v>
      </c>
      <c r="C314" s="272">
        <f>IFERROR(INDEX('Horo. M'!$C$3:$C$367,MATCH(A314,'Horo. M'!$A$3:$A$367,0)),"")</f>
        <v>0</v>
      </c>
      <c r="D314" s="278"/>
      <c r="E314" s="278"/>
      <c r="F314" s="272">
        <f t="shared" si="161"/>
        <v>24</v>
      </c>
      <c r="G314" s="274">
        <f t="shared" si="162"/>
        <v>0</v>
      </c>
      <c r="H314" s="275">
        <f t="shared" si="163"/>
        <v>1</v>
      </c>
      <c r="I314" s="277"/>
      <c r="J314" s="278">
        <f t="shared" si="164"/>
        <v>24</v>
      </c>
      <c r="K314" s="272">
        <f>IFERROR(INDEX('Horo. M'!$E$3:$E$367,MATCH(A314,'Horo. M'!$A$3:$A$367,0)),"")</f>
        <v>0</v>
      </c>
      <c r="L314" s="273"/>
      <c r="M314" s="273"/>
      <c r="N314" s="272">
        <f t="shared" si="165"/>
        <v>24</v>
      </c>
      <c r="O314" s="274">
        <f t="shared" si="166"/>
        <v>0</v>
      </c>
      <c r="P314" s="275">
        <f t="shared" si="167"/>
        <v>1</v>
      </c>
      <c r="Q314" s="276"/>
      <c r="R314" s="278">
        <f t="shared" si="168"/>
        <v>24</v>
      </c>
      <c r="S314" s="272">
        <f>IFERROR(INDEX('Horo. M'!G$3:$G$367,MATCH(A314,'Horo. M'!$A$3:$A$367,0)),"")</f>
        <v>0</v>
      </c>
      <c r="T314" s="278"/>
      <c r="U314" s="278"/>
      <c r="V314" s="272">
        <f t="shared" si="169"/>
        <v>24</v>
      </c>
      <c r="W314" s="274">
        <f t="shared" si="170"/>
        <v>0</v>
      </c>
      <c r="X314" s="275">
        <f t="shared" si="171"/>
        <v>1</v>
      </c>
      <c r="Y314" s="278"/>
      <c r="Z314" s="278">
        <f t="shared" si="172"/>
        <v>24</v>
      </c>
      <c r="AA314" s="272">
        <f>IFERROR(INDEX('Horo. M'!$I$3:I$367,MATCH(A314,'Horo. M'!$A$3:$A$367,0)),"")</f>
        <v>0</v>
      </c>
      <c r="AB314" s="273"/>
      <c r="AC314" s="273"/>
      <c r="AD314" s="272">
        <f t="shared" si="173"/>
        <v>24</v>
      </c>
      <c r="AE314" s="274">
        <f t="shared" si="174"/>
        <v>0</v>
      </c>
      <c r="AF314" s="275">
        <f t="shared" si="175"/>
        <v>1</v>
      </c>
      <c r="AG314" s="278"/>
      <c r="AH314" s="272">
        <f t="shared" si="176"/>
        <v>24</v>
      </c>
      <c r="AI314" s="272">
        <f>IFERROR(INDEX('Horo. M'!$K$3:K$367,MATCH(A314,'Horo. M'!$A$3:$A$367,0)),"")</f>
        <v>0</v>
      </c>
      <c r="AJ314" s="278"/>
      <c r="AK314" s="278"/>
      <c r="AL314" s="272">
        <f t="shared" si="177"/>
        <v>24</v>
      </c>
      <c r="AM314" s="274">
        <f t="shared" si="178"/>
        <v>0</v>
      </c>
      <c r="AN314" s="275">
        <f t="shared" si="179"/>
        <v>1</v>
      </c>
      <c r="AO314" s="278"/>
      <c r="AP314" s="272">
        <f t="shared" si="180"/>
        <v>24</v>
      </c>
      <c r="AQ314" s="272">
        <f>IFERROR(INDEX('Horo. M'!$M$3:M$367,MATCH(A314,'Horo. M'!$A$3:$A$367,0)),"")</f>
        <v>0</v>
      </c>
      <c r="AR314" s="278"/>
      <c r="AS314" s="278"/>
      <c r="AT314" s="272">
        <f t="shared" si="181"/>
        <v>24</v>
      </c>
      <c r="AU314" s="274">
        <f t="shared" si="182"/>
        <v>0</v>
      </c>
      <c r="AV314" s="275">
        <f t="shared" si="183"/>
        <v>1</v>
      </c>
      <c r="AW314" s="278"/>
      <c r="AX314" s="272">
        <f t="shared" si="184"/>
        <v>24</v>
      </c>
      <c r="AY314" s="272">
        <f>IFERROR(INDEX('Horo. M'!$O$3:O$367,MATCH(A314,'Horo. M'!$A$3:$A$367,0)),"")</f>
        <v>0</v>
      </c>
      <c r="AZ314" s="278"/>
      <c r="BA314" s="278"/>
      <c r="BB314" s="272">
        <f t="shared" si="185"/>
        <v>24</v>
      </c>
      <c r="BC314" s="274">
        <f t="shared" si="186"/>
        <v>0</v>
      </c>
      <c r="BD314" s="275">
        <f t="shared" si="187"/>
        <v>1</v>
      </c>
      <c r="BE314" s="278"/>
      <c r="BF314" s="272">
        <f t="shared" si="188"/>
        <v>24</v>
      </c>
      <c r="BG314" s="272">
        <f>IFERROR(INDEX('Horo. M'!$Q$3:Q$367,MATCH(A314,'Horo. M'!$A$3:$A$367,0)),"")</f>
        <v>0</v>
      </c>
      <c r="BH314" s="278"/>
      <c r="BI314" s="278"/>
      <c r="BJ314" s="272">
        <f t="shared" si="189"/>
        <v>24</v>
      </c>
      <c r="BK314" s="274">
        <f t="shared" si="190"/>
        <v>0</v>
      </c>
      <c r="BL314" s="275">
        <f t="shared" si="191"/>
        <v>1</v>
      </c>
      <c r="BM314" s="278"/>
      <c r="BN314" s="272">
        <f t="shared" si="192"/>
        <v>24</v>
      </c>
      <c r="BO314" s="272">
        <f>IFERROR(INDEX('Horo. M'!$S$3:S$367,MATCH(A314,'Horo. M'!$A$3:$A$367,0)),"")</f>
        <v>0</v>
      </c>
      <c r="BP314" s="278"/>
      <c r="BQ314" s="278"/>
      <c r="BR314" s="272">
        <f t="shared" si="193"/>
        <v>24</v>
      </c>
      <c r="BS314" s="274">
        <f t="shared" si="194"/>
        <v>0</v>
      </c>
      <c r="BT314" s="275">
        <f t="shared" si="195"/>
        <v>1</v>
      </c>
      <c r="BU314" s="278"/>
      <c r="BV314" s="272">
        <f t="shared" si="196"/>
        <v>24</v>
      </c>
      <c r="BW314" s="272">
        <f>IFERROR(INDEX('Horo. M'!$U$3:U$367,MATCH(A314,'Horo. M'!$A$3:$A$367,0)),"")</f>
        <v>0</v>
      </c>
      <c r="BX314" s="278"/>
      <c r="BY314" s="278"/>
      <c r="BZ314" s="272">
        <f t="shared" si="197"/>
        <v>24</v>
      </c>
      <c r="CA314" s="274">
        <f t="shared" si="198"/>
        <v>0</v>
      </c>
      <c r="CB314" s="275">
        <f t="shared" si="199"/>
        <v>1</v>
      </c>
      <c r="CC314" s="280"/>
    </row>
    <row r="315" spans="1:81">
      <c r="A315" s="279">
        <v>45240</v>
      </c>
      <c r="B315" s="278">
        <f t="shared" si="160"/>
        <v>24</v>
      </c>
      <c r="C315" s="272">
        <f>IFERROR(INDEX('Horo. M'!$C$3:$C$367,MATCH(A315,'Horo. M'!$A$3:$A$367,0)),"")</f>
        <v>0</v>
      </c>
      <c r="D315" s="278"/>
      <c r="E315" s="278"/>
      <c r="F315" s="272">
        <f t="shared" si="161"/>
        <v>24</v>
      </c>
      <c r="G315" s="274">
        <f t="shared" si="162"/>
        <v>0</v>
      </c>
      <c r="H315" s="275">
        <f t="shared" si="163"/>
        <v>1</v>
      </c>
      <c r="I315" s="277"/>
      <c r="J315" s="278">
        <f t="shared" si="164"/>
        <v>24</v>
      </c>
      <c r="K315" s="272">
        <f>IFERROR(INDEX('Horo. M'!$E$3:$E$367,MATCH(A315,'Horo. M'!$A$3:$A$367,0)),"")</f>
        <v>0</v>
      </c>
      <c r="L315" s="273"/>
      <c r="M315" s="273"/>
      <c r="N315" s="272">
        <f t="shared" si="165"/>
        <v>24</v>
      </c>
      <c r="O315" s="274">
        <f t="shared" si="166"/>
        <v>0</v>
      </c>
      <c r="P315" s="275">
        <f t="shared" si="167"/>
        <v>1</v>
      </c>
      <c r="Q315" s="276"/>
      <c r="R315" s="278">
        <f t="shared" si="168"/>
        <v>24</v>
      </c>
      <c r="S315" s="272">
        <f>IFERROR(INDEX('Horo. M'!G$3:$G$367,MATCH(A315,'Horo. M'!$A$3:$A$367,0)),"")</f>
        <v>0</v>
      </c>
      <c r="T315" s="278"/>
      <c r="U315" s="278"/>
      <c r="V315" s="272">
        <f t="shared" si="169"/>
        <v>24</v>
      </c>
      <c r="W315" s="274">
        <f t="shared" si="170"/>
        <v>0</v>
      </c>
      <c r="X315" s="275">
        <f t="shared" si="171"/>
        <v>1</v>
      </c>
      <c r="Y315" s="278"/>
      <c r="Z315" s="278">
        <f t="shared" si="172"/>
        <v>24</v>
      </c>
      <c r="AA315" s="272">
        <f>IFERROR(INDEX('Horo. M'!$I$3:I$367,MATCH(A315,'Horo. M'!$A$3:$A$367,0)),"")</f>
        <v>0</v>
      </c>
      <c r="AB315" s="273"/>
      <c r="AC315" s="273"/>
      <c r="AD315" s="272">
        <f t="shared" si="173"/>
        <v>24</v>
      </c>
      <c r="AE315" s="274">
        <f t="shared" si="174"/>
        <v>0</v>
      </c>
      <c r="AF315" s="275">
        <f t="shared" si="175"/>
        <v>1</v>
      </c>
      <c r="AG315" s="278"/>
      <c r="AH315" s="272">
        <f t="shared" si="176"/>
        <v>24</v>
      </c>
      <c r="AI315" s="272">
        <f>IFERROR(INDEX('Horo. M'!$K$3:K$367,MATCH(A315,'Horo. M'!$A$3:$A$367,0)),"")</f>
        <v>0</v>
      </c>
      <c r="AJ315" s="278"/>
      <c r="AK315" s="278"/>
      <c r="AL315" s="272">
        <f t="shared" si="177"/>
        <v>24</v>
      </c>
      <c r="AM315" s="274">
        <f t="shared" si="178"/>
        <v>0</v>
      </c>
      <c r="AN315" s="275">
        <f t="shared" si="179"/>
        <v>1</v>
      </c>
      <c r="AO315" s="278"/>
      <c r="AP315" s="272">
        <f t="shared" si="180"/>
        <v>24</v>
      </c>
      <c r="AQ315" s="272">
        <f>IFERROR(INDEX('Horo. M'!$M$3:M$367,MATCH(A315,'Horo. M'!$A$3:$A$367,0)),"")</f>
        <v>0</v>
      </c>
      <c r="AR315" s="278"/>
      <c r="AS315" s="278"/>
      <c r="AT315" s="272">
        <f t="shared" si="181"/>
        <v>24</v>
      </c>
      <c r="AU315" s="274">
        <f t="shared" si="182"/>
        <v>0</v>
      </c>
      <c r="AV315" s="275">
        <f t="shared" si="183"/>
        <v>1</v>
      </c>
      <c r="AW315" s="278"/>
      <c r="AX315" s="272">
        <f t="shared" si="184"/>
        <v>24</v>
      </c>
      <c r="AY315" s="272">
        <f>IFERROR(INDEX('Horo. M'!$O$3:O$367,MATCH(A315,'Horo. M'!$A$3:$A$367,0)),"")</f>
        <v>0</v>
      </c>
      <c r="AZ315" s="278"/>
      <c r="BA315" s="278"/>
      <c r="BB315" s="272">
        <f t="shared" si="185"/>
        <v>24</v>
      </c>
      <c r="BC315" s="274">
        <f t="shared" si="186"/>
        <v>0</v>
      </c>
      <c r="BD315" s="275">
        <f t="shared" si="187"/>
        <v>1</v>
      </c>
      <c r="BE315" s="278"/>
      <c r="BF315" s="272">
        <f t="shared" si="188"/>
        <v>24</v>
      </c>
      <c r="BG315" s="272">
        <f>IFERROR(INDEX('Horo. M'!$Q$3:Q$367,MATCH(A315,'Horo. M'!$A$3:$A$367,0)),"")</f>
        <v>0</v>
      </c>
      <c r="BH315" s="278"/>
      <c r="BI315" s="278"/>
      <c r="BJ315" s="272">
        <f t="shared" si="189"/>
        <v>24</v>
      </c>
      <c r="BK315" s="274">
        <f t="shared" si="190"/>
        <v>0</v>
      </c>
      <c r="BL315" s="275">
        <f t="shared" si="191"/>
        <v>1</v>
      </c>
      <c r="BM315" s="278"/>
      <c r="BN315" s="272">
        <f t="shared" si="192"/>
        <v>24</v>
      </c>
      <c r="BO315" s="272">
        <f>IFERROR(INDEX('Horo. M'!$S$3:S$367,MATCH(A315,'Horo. M'!$A$3:$A$367,0)),"")</f>
        <v>0</v>
      </c>
      <c r="BP315" s="278"/>
      <c r="BQ315" s="278"/>
      <c r="BR315" s="272">
        <f t="shared" si="193"/>
        <v>24</v>
      </c>
      <c r="BS315" s="274">
        <f t="shared" si="194"/>
        <v>0</v>
      </c>
      <c r="BT315" s="275">
        <f t="shared" si="195"/>
        <v>1</v>
      </c>
      <c r="BU315" s="278"/>
      <c r="BV315" s="272">
        <f t="shared" si="196"/>
        <v>24</v>
      </c>
      <c r="BW315" s="272">
        <f>IFERROR(INDEX('Horo. M'!$U$3:U$367,MATCH(A315,'Horo. M'!$A$3:$A$367,0)),"")</f>
        <v>0</v>
      </c>
      <c r="BX315" s="278"/>
      <c r="BY315" s="278"/>
      <c r="BZ315" s="272">
        <f t="shared" si="197"/>
        <v>24</v>
      </c>
      <c r="CA315" s="274">
        <f t="shared" si="198"/>
        <v>0</v>
      </c>
      <c r="CB315" s="275">
        <f t="shared" si="199"/>
        <v>1</v>
      </c>
      <c r="CC315" s="280"/>
    </row>
    <row r="316" spans="1:81">
      <c r="A316" s="279">
        <v>45241</v>
      </c>
      <c r="B316" s="278">
        <f t="shared" si="160"/>
        <v>24</v>
      </c>
      <c r="C316" s="272">
        <f>IFERROR(INDEX('Horo. M'!$C$3:$C$367,MATCH(A316,'Horo. M'!$A$3:$A$367,0)),"")</f>
        <v>0</v>
      </c>
      <c r="D316" s="278"/>
      <c r="E316" s="278"/>
      <c r="F316" s="272">
        <f t="shared" si="161"/>
        <v>24</v>
      </c>
      <c r="G316" s="274">
        <f t="shared" si="162"/>
        <v>0</v>
      </c>
      <c r="H316" s="275">
        <f t="shared" si="163"/>
        <v>1</v>
      </c>
      <c r="I316" s="277"/>
      <c r="J316" s="278">
        <f t="shared" si="164"/>
        <v>24</v>
      </c>
      <c r="K316" s="272">
        <f>IFERROR(INDEX('Horo. M'!$E$3:$E$367,MATCH(A316,'Horo. M'!$A$3:$A$367,0)),"")</f>
        <v>0</v>
      </c>
      <c r="L316" s="273"/>
      <c r="M316" s="273"/>
      <c r="N316" s="272">
        <f t="shared" si="165"/>
        <v>24</v>
      </c>
      <c r="O316" s="274">
        <f t="shared" si="166"/>
        <v>0</v>
      </c>
      <c r="P316" s="275">
        <f t="shared" si="167"/>
        <v>1</v>
      </c>
      <c r="Q316" s="276"/>
      <c r="R316" s="278">
        <f t="shared" si="168"/>
        <v>24</v>
      </c>
      <c r="S316" s="272">
        <f>IFERROR(INDEX('Horo. M'!G$3:$G$367,MATCH(A316,'Horo. M'!$A$3:$A$367,0)),"")</f>
        <v>0</v>
      </c>
      <c r="T316" s="278"/>
      <c r="U316" s="278"/>
      <c r="V316" s="272">
        <f t="shared" si="169"/>
        <v>24</v>
      </c>
      <c r="W316" s="274">
        <f t="shared" si="170"/>
        <v>0</v>
      </c>
      <c r="X316" s="275">
        <f t="shared" si="171"/>
        <v>1</v>
      </c>
      <c r="Y316" s="278"/>
      <c r="Z316" s="278">
        <f t="shared" si="172"/>
        <v>24</v>
      </c>
      <c r="AA316" s="272">
        <f>IFERROR(INDEX('Horo. M'!$I$3:I$367,MATCH(A316,'Horo. M'!$A$3:$A$367,0)),"")</f>
        <v>0</v>
      </c>
      <c r="AB316" s="273"/>
      <c r="AC316" s="273"/>
      <c r="AD316" s="272">
        <f t="shared" si="173"/>
        <v>24</v>
      </c>
      <c r="AE316" s="274">
        <f t="shared" si="174"/>
        <v>0</v>
      </c>
      <c r="AF316" s="275">
        <f t="shared" si="175"/>
        <v>1</v>
      </c>
      <c r="AG316" s="278"/>
      <c r="AH316" s="272">
        <f t="shared" si="176"/>
        <v>24</v>
      </c>
      <c r="AI316" s="272">
        <f>IFERROR(INDEX('Horo. M'!$K$3:K$367,MATCH(A316,'Horo. M'!$A$3:$A$367,0)),"")</f>
        <v>0</v>
      </c>
      <c r="AJ316" s="278"/>
      <c r="AK316" s="278"/>
      <c r="AL316" s="272">
        <f t="shared" si="177"/>
        <v>24</v>
      </c>
      <c r="AM316" s="274">
        <f t="shared" si="178"/>
        <v>0</v>
      </c>
      <c r="AN316" s="275">
        <f t="shared" si="179"/>
        <v>1</v>
      </c>
      <c r="AO316" s="278"/>
      <c r="AP316" s="272">
        <f t="shared" si="180"/>
        <v>24</v>
      </c>
      <c r="AQ316" s="272">
        <f>IFERROR(INDEX('Horo. M'!$M$3:M$367,MATCH(A316,'Horo. M'!$A$3:$A$367,0)),"")</f>
        <v>0</v>
      </c>
      <c r="AR316" s="278"/>
      <c r="AS316" s="278"/>
      <c r="AT316" s="272">
        <f t="shared" si="181"/>
        <v>24</v>
      </c>
      <c r="AU316" s="274">
        <f t="shared" si="182"/>
        <v>0</v>
      </c>
      <c r="AV316" s="275">
        <f t="shared" si="183"/>
        <v>1</v>
      </c>
      <c r="AW316" s="278"/>
      <c r="AX316" s="272">
        <f t="shared" si="184"/>
        <v>24</v>
      </c>
      <c r="AY316" s="272">
        <f>IFERROR(INDEX('Horo. M'!$O$3:O$367,MATCH(A316,'Horo. M'!$A$3:$A$367,0)),"")</f>
        <v>0</v>
      </c>
      <c r="AZ316" s="278"/>
      <c r="BA316" s="278"/>
      <c r="BB316" s="272">
        <f t="shared" si="185"/>
        <v>24</v>
      </c>
      <c r="BC316" s="274">
        <f t="shared" si="186"/>
        <v>0</v>
      </c>
      <c r="BD316" s="275">
        <f t="shared" si="187"/>
        <v>1</v>
      </c>
      <c r="BE316" s="278"/>
      <c r="BF316" s="272">
        <f t="shared" si="188"/>
        <v>24</v>
      </c>
      <c r="BG316" s="272">
        <f>IFERROR(INDEX('Horo. M'!$Q$3:Q$367,MATCH(A316,'Horo. M'!$A$3:$A$367,0)),"")</f>
        <v>0</v>
      </c>
      <c r="BH316" s="278"/>
      <c r="BI316" s="278"/>
      <c r="BJ316" s="272">
        <f t="shared" si="189"/>
        <v>24</v>
      </c>
      <c r="BK316" s="274">
        <f t="shared" si="190"/>
        <v>0</v>
      </c>
      <c r="BL316" s="275">
        <f t="shared" si="191"/>
        <v>1</v>
      </c>
      <c r="BM316" s="278"/>
      <c r="BN316" s="272">
        <f t="shared" si="192"/>
        <v>24</v>
      </c>
      <c r="BO316" s="272">
        <f>IFERROR(INDEX('Horo. M'!$S$3:S$367,MATCH(A316,'Horo. M'!$A$3:$A$367,0)),"")</f>
        <v>0</v>
      </c>
      <c r="BP316" s="278"/>
      <c r="BQ316" s="278"/>
      <c r="BR316" s="272">
        <f t="shared" si="193"/>
        <v>24</v>
      </c>
      <c r="BS316" s="274">
        <f t="shared" si="194"/>
        <v>0</v>
      </c>
      <c r="BT316" s="275">
        <f t="shared" si="195"/>
        <v>1</v>
      </c>
      <c r="BU316" s="278"/>
      <c r="BV316" s="272">
        <f t="shared" si="196"/>
        <v>24</v>
      </c>
      <c r="BW316" s="272">
        <f>IFERROR(INDEX('Horo. M'!$U$3:U$367,MATCH(A316,'Horo. M'!$A$3:$A$367,0)),"")</f>
        <v>0</v>
      </c>
      <c r="BX316" s="278"/>
      <c r="BY316" s="278"/>
      <c r="BZ316" s="272">
        <f t="shared" si="197"/>
        <v>24</v>
      </c>
      <c r="CA316" s="274">
        <f t="shared" si="198"/>
        <v>0</v>
      </c>
      <c r="CB316" s="275">
        <f t="shared" si="199"/>
        <v>1</v>
      </c>
      <c r="CC316" s="280"/>
    </row>
    <row r="317" spans="1:81">
      <c r="A317" s="279">
        <v>45242</v>
      </c>
      <c r="B317" s="278">
        <f t="shared" si="160"/>
        <v>24</v>
      </c>
      <c r="C317" s="272">
        <f>IFERROR(INDEX('Horo. M'!$C$3:$C$367,MATCH(A317,'Horo. M'!$A$3:$A$367,0)),"")</f>
        <v>0</v>
      </c>
      <c r="D317" s="278"/>
      <c r="E317" s="278"/>
      <c r="F317" s="272">
        <f t="shared" si="161"/>
        <v>24</v>
      </c>
      <c r="G317" s="274">
        <f t="shared" si="162"/>
        <v>0</v>
      </c>
      <c r="H317" s="275">
        <f t="shared" si="163"/>
        <v>1</v>
      </c>
      <c r="I317" s="277"/>
      <c r="J317" s="278">
        <f t="shared" si="164"/>
        <v>24</v>
      </c>
      <c r="K317" s="272">
        <f>IFERROR(INDEX('Horo. M'!$E$3:$E$367,MATCH(A317,'Horo. M'!$A$3:$A$367,0)),"")</f>
        <v>0</v>
      </c>
      <c r="L317" s="273"/>
      <c r="M317" s="273"/>
      <c r="N317" s="272">
        <f t="shared" si="165"/>
        <v>24</v>
      </c>
      <c r="O317" s="274">
        <f t="shared" si="166"/>
        <v>0</v>
      </c>
      <c r="P317" s="275">
        <f t="shared" si="167"/>
        <v>1</v>
      </c>
      <c r="Q317" s="276"/>
      <c r="R317" s="278">
        <f t="shared" si="168"/>
        <v>24</v>
      </c>
      <c r="S317" s="272">
        <f>IFERROR(INDEX('Horo. M'!G$3:$G$367,MATCH(A317,'Horo. M'!$A$3:$A$367,0)),"")</f>
        <v>0</v>
      </c>
      <c r="T317" s="278"/>
      <c r="U317" s="278"/>
      <c r="V317" s="272">
        <f t="shared" si="169"/>
        <v>24</v>
      </c>
      <c r="W317" s="274">
        <f t="shared" si="170"/>
        <v>0</v>
      </c>
      <c r="X317" s="275">
        <f t="shared" si="171"/>
        <v>1</v>
      </c>
      <c r="Y317" s="278"/>
      <c r="Z317" s="278">
        <f t="shared" si="172"/>
        <v>24</v>
      </c>
      <c r="AA317" s="272">
        <f>IFERROR(INDEX('Horo. M'!$I$3:I$367,MATCH(A317,'Horo. M'!$A$3:$A$367,0)),"")</f>
        <v>0</v>
      </c>
      <c r="AB317" s="273"/>
      <c r="AC317" s="273"/>
      <c r="AD317" s="272">
        <f t="shared" si="173"/>
        <v>24</v>
      </c>
      <c r="AE317" s="274">
        <f t="shared" si="174"/>
        <v>0</v>
      </c>
      <c r="AF317" s="275">
        <f t="shared" si="175"/>
        <v>1</v>
      </c>
      <c r="AG317" s="278"/>
      <c r="AH317" s="272">
        <f t="shared" si="176"/>
        <v>24</v>
      </c>
      <c r="AI317" s="272">
        <f>IFERROR(INDEX('Horo. M'!$K$3:K$367,MATCH(A317,'Horo. M'!$A$3:$A$367,0)),"")</f>
        <v>0</v>
      </c>
      <c r="AJ317" s="278"/>
      <c r="AK317" s="278"/>
      <c r="AL317" s="272">
        <f t="shared" si="177"/>
        <v>24</v>
      </c>
      <c r="AM317" s="274">
        <f t="shared" si="178"/>
        <v>0</v>
      </c>
      <c r="AN317" s="275">
        <f t="shared" si="179"/>
        <v>1</v>
      </c>
      <c r="AO317" s="278"/>
      <c r="AP317" s="272">
        <f t="shared" si="180"/>
        <v>24</v>
      </c>
      <c r="AQ317" s="272">
        <f>IFERROR(INDEX('Horo. M'!$M$3:M$367,MATCH(A317,'Horo. M'!$A$3:$A$367,0)),"")</f>
        <v>0</v>
      </c>
      <c r="AR317" s="278"/>
      <c r="AS317" s="278"/>
      <c r="AT317" s="272">
        <f t="shared" si="181"/>
        <v>24</v>
      </c>
      <c r="AU317" s="274">
        <f t="shared" si="182"/>
        <v>0</v>
      </c>
      <c r="AV317" s="275">
        <f t="shared" si="183"/>
        <v>1</v>
      </c>
      <c r="AW317" s="278"/>
      <c r="AX317" s="272">
        <f t="shared" si="184"/>
        <v>24</v>
      </c>
      <c r="AY317" s="272">
        <f>IFERROR(INDEX('Horo. M'!$O$3:O$367,MATCH(A317,'Horo. M'!$A$3:$A$367,0)),"")</f>
        <v>0</v>
      </c>
      <c r="AZ317" s="278"/>
      <c r="BA317" s="278"/>
      <c r="BB317" s="272">
        <f t="shared" si="185"/>
        <v>24</v>
      </c>
      <c r="BC317" s="274">
        <f t="shared" si="186"/>
        <v>0</v>
      </c>
      <c r="BD317" s="275">
        <f t="shared" si="187"/>
        <v>1</v>
      </c>
      <c r="BE317" s="278"/>
      <c r="BF317" s="272">
        <f t="shared" si="188"/>
        <v>24</v>
      </c>
      <c r="BG317" s="272">
        <f>IFERROR(INDEX('Horo. M'!$Q$3:Q$367,MATCH(A317,'Horo. M'!$A$3:$A$367,0)),"")</f>
        <v>0</v>
      </c>
      <c r="BH317" s="278"/>
      <c r="BI317" s="278"/>
      <c r="BJ317" s="272">
        <f t="shared" si="189"/>
        <v>24</v>
      </c>
      <c r="BK317" s="274">
        <f t="shared" si="190"/>
        <v>0</v>
      </c>
      <c r="BL317" s="275">
        <f t="shared" si="191"/>
        <v>1</v>
      </c>
      <c r="BM317" s="278"/>
      <c r="BN317" s="272">
        <f t="shared" si="192"/>
        <v>24</v>
      </c>
      <c r="BO317" s="272">
        <f>IFERROR(INDEX('Horo. M'!$S$3:S$367,MATCH(A317,'Horo. M'!$A$3:$A$367,0)),"")</f>
        <v>0</v>
      </c>
      <c r="BP317" s="278"/>
      <c r="BQ317" s="278"/>
      <c r="BR317" s="272">
        <f t="shared" si="193"/>
        <v>24</v>
      </c>
      <c r="BS317" s="274">
        <f t="shared" si="194"/>
        <v>0</v>
      </c>
      <c r="BT317" s="275">
        <f t="shared" si="195"/>
        <v>1</v>
      </c>
      <c r="BU317" s="278"/>
      <c r="BV317" s="272">
        <f t="shared" si="196"/>
        <v>24</v>
      </c>
      <c r="BW317" s="272">
        <f>IFERROR(INDEX('Horo. M'!$U$3:U$367,MATCH(A317,'Horo. M'!$A$3:$A$367,0)),"")</f>
        <v>0</v>
      </c>
      <c r="BX317" s="278"/>
      <c r="BY317" s="278"/>
      <c r="BZ317" s="272">
        <f t="shared" si="197"/>
        <v>24</v>
      </c>
      <c r="CA317" s="274">
        <f t="shared" si="198"/>
        <v>0</v>
      </c>
      <c r="CB317" s="275">
        <f t="shared" si="199"/>
        <v>1</v>
      </c>
      <c r="CC317" s="280"/>
    </row>
    <row r="318" spans="1:81">
      <c r="A318" s="279">
        <v>45243</v>
      </c>
      <c r="B318" s="278">
        <f t="shared" si="160"/>
        <v>24</v>
      </c>
      <c r="C318" s="272">
        <f>IFERROR(INDEX('Horo. M'!$C$3:$C$367,MATCH(A318,'Horo. M'!$A$3:$A$367,0)),"")</f>
        <v>0</v>
      </c>
      <c r="D318" s="278"/>
      <c r="E318" s="278"/>
      <c r="F318" s="272">
        <f t="shared" si="161"/>
        <v>24</v>
      </c>
      <c r="G318" s="274">
        <f t="shared" si="162"/>
        <v>0</v>
      </c>
      <c r="H318" s="275">
        <f t="shared" si="163"/>
        <v>1</v>
      </c>
      <c r="I318" s="277"/>
      <c r="J318" s="278">
        <f t="shared" si="164"/>
        <v>24</v>
      </c>
      <c r="K318" s="272">
        <f>IFERROR(INDEX('Horo. M'!$E$3:$E$367,MATCH(A318,'Horo. M'!$A$3:$A$367,0)),"")</f>
        <v>0</v>
      </c>
      <c r="L318" s="273"/>
      <c r="M318" s="273"/>
      <c r="N318" s="272">
        <f t="shared" si="165"/>
        <v>24</v>
      </c>
      <c r="O318" s="274">
        <f t="shared" si="166"/>
        <v>0</v>
      </c>
      <c r="P318" s="275">
        <f t="shared" si="167"/>
        <v>1</v>
      </c>
      <c r="Q318" s="276"/>
      <c r="R318" s="278">
        <f t="shared" si="168"/>
        <v>24</v>
      </c>
      <c r="S318" s="272">
        <f>IFERROR(INDEX('Horo. M'!G$3:$G$367,MATCH(A318,'Horo. M'!$A$3:$A$367,0)),"")</f>
        <v>0</v>
      </c>
      <c r="T318" s="278"/>
      <c r="U318" s="278"/>
      <c r="V318" s="272">
        <f t="shared" si="169"/>
        <v>24</v>
      </c>
      <c r="W318" s="274">
        <f t="shared" si="170"/>
        <v>0</v>
      </c>
      <c r="X318" s="275">
        <f t="shared" si="171"/>
        <v>1</v>
      </c>
      <c r="Y318" s="278"/>
      <c r="Z318" s="278">
        <f t="shared" si="172"/>
        <v>24</v>
      </c>
      <c r="AA318" s="272">
        <f>IFERROR(INDEX('Horo. M'!$I$3:I$367,MATCH(A318,'Horo. M'!$A$3:$A$367,0)),"")</f>
        <v>0</v>
      </c>
      <c r="AB318" s="273"/>
      <c r="AC318" s="273"/>
      <c r="AD318" s="272">
        <f t="shared" si="173"/>
        <v>24</v>
      </c>
      <c r="AE318" s="274">
        <f t="shared" si="174"/>
        <v>0</v>
      </c>
      <c r="AF318" s="275">
        <f t="shared" si="175"/>
        <v>1</v>
      </c>
      <c r="AG318" s="278"/>
      <c r="AH318" s="272">
        <f t="shared" si="176"/>
        <v>24</v>
      </c>
      <c r="AI318" s="272">
        <f>IFERROR(INDEX('Horo. M'!$K$3:K$367,MATCH(A318,'Horo. M'!$A$3:$A$367,0)),"")</f>
        <v>0</v>
      </c>
      <c r="AJ318" s="278"/>
      <c r="AK318" s="278"/>
      <c r="AL318" s="272">
        <f t="shared" si="177"/>
        <v>24</v>
      </c>
      <c r="AM318" s="274">
        <f t="shared" si="178"/>
        <v>0</v>
      </c>
      <c r="AN318" s="275">
        <f t="shared" si="179"/>
        <v>1</v>
      </c>
      <c r="AO318" s="278"/>
      <c r="AP318" s="272">
        <f t="shared" si="180"/>
        <v>24</v>
      </c>
      <c r="AQ318" s="272">
        <f>IFERROR(INDEX('Horo. M'!$M$3:M$367,MATCH(A318,'Horo. M'!$A$3:$A$367,0)),"")</f>
        <v>0</v>
      </c>
      <c r="AR318" s="278"/>
      <c r="AS318" s="278"/>
      <c r="AT318" s="272">
        <f t="shared" si="181"/>
        <v>24</v>
      </c>
      <c r="AU318" s="274">
        <f t="shared" si="182"/>
        <v>0</v>
      </c>
      <c r="AV318" s="275">
        <f t="shared" si="183"/>
        <v>1</v>
      </c>
      <c r="AW318" s="278"/>
      <c r="AX318" s="272">
        <f t="shared" si="184"/>
        <v>24</v>
      </c>
      <c r="AY318" s="272">
        <f>IFERROR(INDEX('Horo. M'!$O$3:O$367,MATCH(A318,'Horo. M'!$A$3:$A$367,0)),"")</f>
        <v>0</v>
      </c>
      <c r="AZ318" s="278"/>
      <c r="BA318" s="278"/>
      <c r="BB318" s="272">
        <f t="shared" si="185"/>
        <v>24</v>
      </c>
      <c r="BC318" s="274">
        <f t="shared" si="186"/>
        <v>0</v>
      </c>
      <c r="BD318" s="275">
        <f t="shared" si="187"/>
        <v>1</v>
      </c>
      <c r="BE318" s="278"/>
      <c r="BF318" s="272">
        <f t="shared" si="188"/>
        <v>24</v>
      </c>
      <c r="BG318" s="272">
        <f>IFERROR(INDEX('Horo. M'!$Q$3:Q$367,MATCH(A318,'Horo. M'!$A$3:$A$367,0)),"")</f>
        <v>0</v>
      </c>
      <c r="BH318" s="278"/>
      <c r="BI318" s="278"/>
      <c r="BJ318" s="272">
        <f t="shared" si="189"/>
        <v>24</v>
      </c>
      <c r="BK318" s="274">
        <f t="shared" si="190"/>
        <v>0</v>
      </c>
      <c r="BL318" s="275">
        <f t="shared" si="191"/>
        <v>1</v>
      </c>
      <c r="BM318" s="278"/>
      <c r="BN318" s="272">
        <f t="shared" si="192"/>
        <v>24</v>
      </c>
      <c r="BO318" s="272">
        <f>IFERROR(INDEX('Horo. M'!$S$3:S$367,MATCH(A318,'Horo. M'!$A$3:$A$367,0)),"")</f>
        <v>0</v>
      </c>
      <c r="BP318" s="278"/>
      <c r="BQ318" s="278"/>
      <c r="BR318" s="272">
        <f t="shared" si="193"/>
        <v>24</v>
      </c>
      <c r="BS318" s="274">
        <f t="shared" si="194"/>
        <v>0</v>
      </c>
      <c r="BT318" s="275">
        <f t="shared" si="195"/>
        <v>1</v>
      </c>
      <c r="BU318" s="278"/>
      <c r="BV318" s="272">
        <f t="shared" si="196"/>
        <v>24</v>
      </c>
      <c r="BW318" s="272">
        <f>IFERROR(INDEX('Horo. M'!$U$3:U$367,MATCH(A318,'Horo. M'!$A$3:$A$367,0)),"")</f>
        <v>0</v>
      </c>
      <c r="BX318" s="278"/>
      <c r="BY318" s="278"/>
      <c r="BZ318" s="272">
        <f t="shared" si="197"/>
        <v>24</v>
      </c>
      <c r="CA318" s="274">
        <f t="shared" si="198"/>
        <v>0</v>
      </c>
      <c r="CB318" s="275">
        <f t="shared" si="199"/>
        <v>1</v>
      </c>
      <c r="CC318" s="280"/>
    </row>
    <row r="319" spans="1:81">
      <c r="A319" s="279">
        <v>45244</v>
      </c>
      <c r="B319" s="278">
        <f t="shared" si="160"/>
        <v>24</v>
      </c>
      <c r="C319" s="272">
        <f>IFERROR(INDEX('Horo. M'!$C$3:$C$367,MATCH(A319,'Horo. M'!$A$3:$A$367,0)),"")</f>
        <v>0</v>
      </c>
      <c r="D319" s="278"/>
      <c r="E319" s="278"/>
      <c r="F319" s="272">
        <f t="shared" si="161"/>
        <v>24</v>
      </c>
      <c r="G319" s="274">
        <f t="shared" si="162"/>
        <v>0</v>
      </c>
      <c r="H319" s="275">
        <f t="shared" si="163"/>
        <v>1</v>
      </c>
      <c r="I319" s="277"/>
      <c r="J319" s="278">
        <f t="shared" si="164"/>
        <v>24</v>
      </c>
      <c r="K319" s="272">
        <f>IFERROR(INDEX('Horo. M'!$E$3:$E$367,MATCH(A319,'Horo. M'!$A$3:$A$367,0)),"")</f>
        <v>0</v>
      </c>
      <c r="L319" s="273"/>
      <c r="M319" s="273"/>
      <c r="N319" s="272">
        <f t="shared" si="165"/>
        <v>24</v>
      </c>
      <c r="O319" s="274">
        <f t="shared" si="166"/>
        <v>0</v>
      </c>
      <c r="P319" s="275">
        <f t="shared" si="167"/>
        <v>1</v>
      </c>
      <c r="Q319" s="276"/>
      <c r="R319" s="278">
        <f t="shared" si="168"/>
        <v>24</v>
      </c>
      <c r="S319" s="272">
        <f>IFERROR(INDEX('Horo. M'!G$3:$G$367,MATCH(A319,'Horo. M'!$A$3:$A$367,0)),"")</f>
        <v>0</v>
      </c>
      <c r="T319" s="278"/>
      <c r="U319" s="278"/>
      <c r="V319" s="272">
        <f t="shared" si="169"/>
        <v>24</v>
      </c>
      <c r="W319" s="274">
        <f t="shared" si="170"/>
        <v>0</v>
      </c>
      <c r="X319" s="275">
        <f t="shared" si="171"/>
        <v>1</v>
      </c>
      <c r="Y319" s="278"/>
      <c r="Z319" s="278">
        <f t="shared" si="172"/>
        <v>24</v>
      </c>
      <c r="AA319" s="272">
        <f>IFERROR(INDEX('Horo. M'!$I$3:I$367,MATCH(A319,'Horo. M'!$A$3:$A$367,0)),"")</f>
        <v>0</v>
      </c>
      <c r="AB319" s="273"/>
      <c r="AC319" s="273"/>
      <c r="AD319" s="272">
        <f t="shared" si="173"/>
        <v>24</v>
      </c>
      <c r="AE319" s="274">
        <f t="shared" si="174"/>
        <v>0</v>
      </c>
      <c r="AF319" s="275">
        <f t="shared" si="175"/>
        <v>1</v>
      </c>
      <c r="AG319" s="278"/>
      <c r="AH319" s="272">
        <f t="shared" si="176"/>
        <v>24</v>
      </c>
      <c r="AI319" s="272">
        <f>IFERROR(INDEX('Horo. M'!$K$3:K$367,MATCH(A319,'Horo. M'!$A$3:$A$367,0)),"")</f>
        <v>0</v>
      </c>
      <c r="AJ319" s="278"/>
      <c r="AK319" s="278"/>
      <c r="AL319" s="272">
        <f t="shared" si="177"/>
        <v>24</v>
      </c>
      <c r="AM319" s="274">
        <f t="shared" si="178"/>
        <v>0</v>
      </c>
      <c r="AN319" s="275">
        <f t="shared" si="179"/>
        <v>1</v>
      </c>
      <c r="AO319" s="278"/>
      <c r="AP319" s="272">
        <f t="shared" si="180"/>
        <v>24</v>
      </c>
      <c r="AQ319" s="272">
        <f>IFERROR(INDEX('Horo. M'!$M$3:M$367,MATCH(A319,'Horo. M'!$A$3:$A$367,0)),"")</f>
        <v>0</v>
      </c>
      <c r="AR319" s="278"/>
      <c r="AS319" s="278"/>
      <c r="AT319" s="272">
        <f t="shared" si="181"/>
        <v>24</v>
      </c>
      <c r="AU319" s="274">
        <f t="shared" si="182"/>
        <v>0</v>
      </c>
      <c r="AV319" s="275">
        <f t="shared" si="183"/>
        <v>1</v>
      </c>
      <c r="AW319" s="278"/>
      <c r="AX319" s="272">
        <f t="shared" si="184"/>
        <v>24</v>
      </c>
      <c r="AY319" s="272">
        <f>IFERROR(INDEX('Horo. M'!$O$3:O$367,MATCH(A319,'Horo. M'!$A$3:$A$367,0)),"")</f>
        <v>0</v>
      </c>
      <c r="AZ319" s="278"/>
      <c r="BA319" s="278"/>
      <c r="BB319" s="272">
        <f t="shared" si="185"/>
        <v>24</v>
      </c>
      <c r="BC319" s="274">
        <f t="shared" si="186"/>
        <v>0</v>
      </c>
      <c r="BD319" s="275">
        <f t="shared" si="187"/>
        <v>1</v>
      </c>
      <c r="BE319" s="278"/>
      <c r="BF319" s="272">
        <f t="shared" si="188"/>
        <v>24</v>
      </c>
      <c r="BG319" s="272">
        <f>IFERROR(INDEX('Horo. M'!$Q$3:Q$367,MATCH(A319,'Horo. M'!$A$3:$A$367,0)),"")</f>
        <v>0</v>
      </c>
      <c r="BH319" s="278"/>
      <c r="BI319" s="278"/>
      <c r="BJ319" s="272">
        <f t="shared" si="189"/>
        <v>24</v>
      </c>
      <c r="BK319" s="274">
        <f t="shared" si="190"/>
        <v>0</v>
      </c>
      <c r="BL319" s="275">
        <f t="shared" si="191"/>
        <v>1</v>
      </c>
      <c r="BM319" s="278"/>
      <c r="BN319" s="272">
        <f t="shared" si="192"/>
        <v>24</v>
      </c>
      <c r="BO319" s="272">
        <f>IFERROR(INDEX('Horo. M'!$S$3:S$367,MATCH(A319,'Horo. M'!$A$3:$A$367,0)),"")</f>
        <v>0</v>
      </c>
      <c r="BP319" s="278"/>
      <c r="BQ319" s="278"/>
      <c r="BR319" s="272">
        <f t="shared" si="193"/>
        <v>24</v>
      </c>
      <c r="BS319" s="274">
        <f t="shared" si="194"/>
        <v>0</v>
      </c>
      <c r="BT319" s="275">
        <f t="shared" si="195"/>
        <v>1</v>
      </c>
      <c r="BU319" s="278"/>
      <c r="BV319" s="272">
        <f t="shared" si="196"/>
        <v>24</v>
      </c>
      <c r="BW319" s="272">
        <f>IFERROR(INDEX('Horo. M'!$U$3:U$367,MATCH(A319,'Horo. M'!$A$3:$A$367,0)),"")</f>
        <v>0</v>
      </c>
      <c r="BX319" s="278"/>
      <c r="BY319" s="278"/>
      <c r="BZ319" s="272">
        <f t="shared" si="197"/>
        <v>24</v>
      </c>
      <c r="CA319" s="274">
        <f t="shared" si="198"/>
        <v>0</v>
      </c>
      <c r="CB319" s="275">
        <f t="shared" si="199"/>
        <v>1</v>
      </c>
      <c r="CC319" s="280"/>
    </row>
    <row r="320" spans="1:81">
      <c r="A320" s="279">
        <v>45245</v>
      </c>
      <c r="B320" s="278">
        <f t="shared" si="160"/>
        <v>24</v>
      </c>
      <c r="C320" s="272">
        <f>IFERROR(INDEX('Horo. M'!$C$3:$C$367,MATCH(A320,'Horo. M'!$A$3:$A$367,0)),"")</f>
        <v>0</v>
      </c>
      <c r="D320" s="278"/>
      <c r="E320" s="278"/>
      <c r="F320" s="272">
        <f t="shared" si="161"/>
        <v>24</v>
      </c>
      <c r="G320" s="274">
        <f t="shared" si="162"/>
        <v>0</v>
      </c>
      <c r="H320" s="275">
        <f t="shared" si="163"/>
        <v>1</v>
      </c>
      <c r="I320" s="277"/>
      <c r="J320" s="278">
        <f t="shared" si="164"/>
        <v>24</v>
      </c>
      <c r="K320" s="272">
        <f>IFERROR(INDEX('Horo. M'!$E$3:$E$367,MATCH(A320,'Horo. M'!$A$3:$A$367,0)),"")</f>
        <v>0</v>
      </c>
      <c r="L320" s="273"/>
      <c r="M320" s="273"/>
      <c r="N320" s="272">
        <f t="shared" si="165"/>
        <v>24</v>
      </c>
      <c r="O320" s="274">
        <f t="shared" si="166"/>
        <v>0</v>
      </c>
      <c r="P320" s="275">
        <f t="shared" si="167"/>
        <v>1</v>
      </c>
      <c r="Q320" s="276"/>
      <c r="R320" s="278">
        <f t="shared" si="168"/>
        <v>24</v>
      </c>
      <c r="S320" s="272">
        <f>IFERROR(INDEX('Horo. M'!G$3:$G$367,MATCH(A320,'Horo. M'!$A$3:$A$367,0)),"")</f>
        <v>0</v>
      </c>
      <c r="T320" s="278"/>
      <c r="U320" s="278"/>
      <c r="V320" s="272">
        <f t="shared" si="169"/>
        <v>24</v>
      </c>
      <c r="W320" s="274">
        <f t="shared" si="170"/>
        <v>0</v>
      </c>
      <c r="X320" s="275">
        <f t="shared" si="171"/>
        <v>1</v>
      </c>
      <c r="Y320" s="278"/>
      <c r="Z320" s="278">
        <f t="shared" si="172"/>
        <v>24</v>
      </c>
      <c r="AA320" s="272">
        <f>IFERROR(INDEX('Horo. M'!$I$3:I$367,MATCH(A320,'Horo. M'!$A$3:$A$367,0)),"")</f>
        <v>0</v>
      </c>
      <c r="AB320" s="273"/>
      <c r="AC320" s="273"/>
      <c r="AD320" s="272">
        <f t="shared" si="173"/>
        <v>24</v>
      </c>
      <c r="AE320" s="274">
        <f t="shared" si="174"/>
        <v>0</v>
      </c>
      <c r="AF320" s="275">
        <f t="shared" si="175"/>
        <v>1</v>
      </c>
      <c r="AG320" s="278"/>
      <c r="AH320" s="272">
        <f t="shared" si="176"/>
        <v>24</v>
      </c>
      <c r="AI320" s="272">
        <f>IFERROR(INDEX('Horo. M'!$K$3:K$367,MATCH(A320,'Horo. M'!$A$3:$A$367,0)),"")</f>
        <v>0</v>
      </c>
      <c r="AJ320" s="278"/>
      <c r="AK320" s="278"/>
      <c r="AL320" s="272">
        <f t="shared" si="177"/>
        <v>24</v>
      </c>
      <c r="AM320" s="274">
        <f t="shared" si="178"/>
        <v>0</v>
      </c>
      <c r="AN320" s="275">
        <f t="shared" si="179"/>
        <v>1</v>
      </c>
      <c r="AO320" s="278"/>
      <c r="AP320" s="272">
        <f t="shared" si="180"/>
        <v>24</v>
      </c>
      <c r="AQ320" s="272">
        <f>IFERROR(INDEX('Horo. M'!$M$3:M$367,MATCH(A320,'Horo. M'!$A$3:$A$367,0)),"")</f>
        <v>0</v>
      </c>
      <c r="AR320" s="278"/>
      <c r="AS320" s="278"/>
      <c r="AT320" s="272">
        <f t="shared" si="181"/>
        <v>24</v>
      </c>
      <c r="AU320" s="274">
        <f t="shared" si="182"/>
        <v>0</v>
      </c>
      <c r="AV320" s="275">
        <f t="shared" si="183"/>
        <v>1</v>
      </c>
      <c r="AW320" s="278"/>
      <c r="AX320" s="272">
        <f t="shared" si="184"/>
        <v>24</v>
      </c>
      <c r="AY320" s="272">
        <f>IFERROR(INDEX('Horo. M'!$O$3:O$367,MATCH(A320,'Horo. M'!$A$3:$A$367,0)),"")</f>
        <v>0</v>
      </c>
      <c r="AZ320" s="278"/>
      <c r="BA320" s="278"/>
      <c r="BB320" s="272">
        <f t="shared" si="185"/>
        <v>24</v>
      </c>
      <c r="BC320" s="274">
        <f t="shared" si="186"/>
        <v>0</v>
      </c>
      <c r="BD320" s="275">
        <f t="shared" si="187"/>
        <v>1</v>
      </c>
      <c r="BE320" s="278"/>
      <c r="BF320" s="272">
        <f t="shared" si="188"/>
        <v>24</v>
      </c>
      <c r="BG320" s="272">
        <f>IFERROR(INDEX('Horo. M'!$Q$3:Q$367,MATCH(A320,'Horo. M'!$A$3:$A$367,0)),"")</f>
        <v>0</v>
      </c>
      <c r="BH320" s="278"/>
      <c r="BI320" s="278"/>
      <c r="BJ320" s="272">
        <f t="shared" si="189"/>
        <v>24</v>
      </c>
      <c r="BK320" s="274">
        <f t="shared" si="190"/>
        <v>0</v>
      </c>
      <c r="BL320" s="275">
        <f t="shared" si="191"/>
        <v>1</v>
      </c>
      <c r="BM320" s="278"/>
      <c r="BN320" s="272">
        <f t="shared" si="192"/>
        <v>24</v>
      </c>
      <c r="BO320" s="272">
        <f>IFERROR(INDEX('Horo. M'!$S$3:S$367,MATCH(A320,'Horo. M'!$A$3:$A$367,0)),"")</f>
        <v>0</v>
      </c>
      <c r="BP320" s="278"/>
      <c r="BQ320" s="278"/>
      <c r="BR320" s="272">
        <f t="shared" si="193"/>
        <v>24</v>
      </c>
      <c r="BS320" s="274">
        <f t="shared" si="194"/>
        <v>0</v>
      </c>
      <c r="BT320" s="275">
        <f t="shared" si="195"/>
        <v>1</v>
      </c>
      <c r="BU320" s="278"/>
      <c r="BV320" s="272">
        <f t="shared" si="196"/>
        <v>24</v>
      </c>
      <c r="BW320" s="272">
        <f>IFERROR(INDEX('Horo. M'!$U$3:U$367,MATCH(A320,'Horo. M'!$A$3:$A$367,0)),"")</f>
        <v>0</v>
      </c>
      <c r="BX320" s="278"/>
      <c r="BY320" s="278"/>
      <c r="BZ320" s="272">
        <f t="shared" si="197"/>
        <v>24</v>
      </c>
      <c r="CA320" s="274">
        <f t="shared" si="198"/>
        <v>0</v>
      </c>
      <c r="CB320" s="275">
        <f t="shared" si="199"/>
        <v>1</v>
      </c>
      <c r="CC320" s="280"/>
    </row>
    <row r="321" spans="1:81">
      <c r="A321" s="279">
        <v>45246</v>
      </c>
      <c r="B321" s="278">
        <f t="shared" si="160"/>
        <v>24</v>
      </c>
      <c r="C321" s="272">
        <f>IFERROR(INDEX('Horo. M'!$C$3:$C$367,MATCH(A321,'Horo. M'!$A$3:$A$367,0)),"")</f>
        <v>0</v>
      </c>
      <c r="D321" s="278"/>
      <c r="E321" s="278"/>
      <c r="F321" s="272">
        <f t="shared" si="161"/>
        <v>24</v>
      </c>
      <c r="G321" s="274">
        <f t="shared" si="162"/>
        <v>0</v>
      </c>
      <c r="H321" s="275">
        <f t="shared" si="163"/>
        <v>1</v>
      </c>
      <c r="I321" s="277"/>
      <c r="J321" s="278">
        <f t="shared" si="164"/>
        <v>24</v>
      </c>
      <c r="K321" s="272">
        <f>IFERROR(INDEX('Horo. M'!$E$3:$E$367,MATCH(A321,'Horo. M'!$A$3:$A$367,0)),"")</f>
        <v>0</v>
      </c>
      <c r="L321" s="273"/>
      <c r="M321" s="273"/>
      <c r="N321" s="272">
        <f t="shared" si="165"/>
        <v>24</v>
      </c>
      <c r="O321" s="274">
        <f t="shared" si="166"/>
        <v>0</v>
      </c>
      <c r="P321" s="275">
        <f t="shared" si="167"/>
        <v>1</v>
      </c>
      <c r="Q321" s="276"/>
      <c r="R321" s="278">
        <f t="shared" si="168"/>
        <v>24</v>
      </c>
      <c r="S321" s="272">
        <f>IFERROR(INDEX('Horo. M'!G$3:$G$367,MATCH(A321,'Horo. M'!$A$3:$A$367,0)),"")</f>
        <v>0</v>
      </c>
      <c r="T321" s="278"/>
      <c r="U321" s="278"/>
      <c r="V321" s="272">
        <f t="shared" si="169"/>
        <v>24</v>
      </c>
      <c r="W321" s="274">
        <f t="shared" si="170"/>
        <v>0</v>
      </c>
      <c r="X321" s="275">
        <f t="shared" si="171"/>
        <v>1</v>
      </c>
      <c r="Y321" s="278"/>
      <c r="Z321" s="278">
        <f t="shared" si="172"/>
        <v>24</v>
      </c>
      <c r="AA321" s="272">
        <f>IFERROR(INDEX('Horo. M'!$I$3:I$367,MATCH(A321,'Horo. M'!$A$3:$A$367,0)),"")</f>
        <v>0</v>
      </c>
      <c r="AB321" s="273"/>
      <c r="AC321" s="273"/>
      <c r="AD321" s="272">
        <f t="shared" si="173"/>
        <v>24</v>
      </c>
      <c r="AE321" s="274">
        <f t="shared" si="174"/>
        <v>0</v>
      </c>
      <c r="AF321" s="275">
        <f t="shared" si="175"/>
        <v>1</v>
      </c>
      <c r="AG321" s="278"/>
      <c r="AH321" s="272">
        <f t="shared" si="176"/>
        <v>24</v>
      </c>
      <c r="AI321" s="272">
        <f>IFERROR(INDEX('Horo. M'!$K$3:K$367,MATCH(A321,'Horo. M'!$A$3:$A$367,0)),"")</f>
        <v>0</v>
      </c>
      <c r="AJ321" s="278"/>
      <c r="AK321" s="278"/>
      <c r="AL321" s="272">
        <f t="shared" si="177"/>
        <v>24</v>
      </c>
      <c r="AM321" s="274">
        <f t="shared" si="178"/>
        <v>0</v>
      </c>
      <c r="AN321" s="275">
        <f t="shared" si="179"/>
        <v>1</v>
      </c>
      <c r="AO321" s="278"/>
      <c r="AP321" s="272">
        <f t="shared" si="180"/>
        <v>24</v>
      </c>
      <c r="AQ321" s="272">
        <f>IFERROR(INDEX('Horo. M'!$M$3:M$367,MATCH(A321,'Horo. M'!$A$3:$A$367,0)),"")</f>
        <v>0</v>
      </c>
      <c r="AR321" s="278"/>
      <c r="AS321" s="278"/>
      <c r="AT321" s="272">
        <f t="shared" si="181"/>
        <v>24</v>
      </c>
      <c r="AU321" s="274">
        <f t="shared" si="182"/>
        <v>0</v>
      </c>
      <c r="AV321" s="275">
        <f t="shared" si="183"/>
        <v>1</v>
      </c>
      <c r="AW321" s="278"/>
      <c r="AX321" s="272">
        <f t="shared" si="184"/>
        <v>24</v>
      </c>
      <c r="AY321" s="272">
        <f>IFERROR(INDEX('Horo. M'!$O$3:O$367,MATCH(A321,'Horo. M'!$A$3:$A$367,0)),"")</f>
        <v>0</v>
      </c>
      <c r="AZ321" s="278"/>
      <c r="BA321" s="278"/>
      <c r="BB321" s="272">
        <f t="shared" si="185"/>
        <v>24</v>
      </c>
      <c r="BC321" s="274">
        <f t="shared" si="186"/>
        <v>0</v>
      </c>
      <c r="BD321" s="275">
        <f t="shared" si="187"/>
        <v>1</v>
      </c>
      <c r="BE321" s="278"/>
      <c r="BF321" s="272">
        <f t="shared" si="188"/>
        <v>24</v>
      </c>
      <c r="BG321" s="272">
        <f>IFERROR(INDEX('Horo. M'!$Q$3:Q$367,MATCH(A321,'Horo. M'!$A$3:$A$367,0)),"")</f>
        <v>0</v>
      </c>
      <c r="BH321" s="278"/>
      <c r="BI321" s="278"/>
      <c r="BJ321" s="272">
        <f t="shared" si="189"/>
        <v>24</v>
      </c>
      <c r="BK321" s="274">
        <f t="shared" si="190"/>
        <v>0</v>
      </c>
      <c r="BL321" s="275">
        <f t="shared" si="191"/>
        <v>1</v>
      </c>
      <c r="BM321" s="278"/>
      <c r="BN321" s="272">
        <f t="shared" si="192"/>
        <v>24</v>
      </c>
      <c r="BO321" s="272">
        <f>IFERROR(INDEX('Horo. M'!$S$3:S$367,MATCH(A321,'Horo. M'!$A$3:$A$367,0)),"")</f>
        <v>0</v>
      </c>
      <c r="BP321" s="278"/>
      <c r="BQ321" s="278"/>
      <c r="BR321" s="272">
        <f t="shared" si="193"/>
        <v>24</v>
      </c>
      <c r="BS321" s="274">
        <f t="shared" si="194"/>
        <v>0</v>
      </c>
      <c r="BT321" s="275">
        <f t="shared" si="195"/>
        <v>1</v>
      </c>
      <c r="BU321" s="278"/>
      <c r="BV321" s="272">
        <f t="shared" si="196"/>
        <v>24</v>
      </c>
      <c r="BW321" s="272">
        <f>IFERROR(INDEX('Horo. M'!$U$3:U$367,MATCH(A321,'Horo. M'!$A$3:$A$367,0)),"")</f>
        <v>0</v>
      </c>
      <c r="BX321" s="278"/>
      <c r="BY321" s="278"/>
      <c r="BZ321" s="272">
        <f t="shared" si="197"/>
        <v>24</v>
      </c>
      <c r="CA321" s="274">
        <f t="shared" si="198"/>
        <v>0</v>
      </c>
      <c r="CB321" s="275">
        <f t="shared" si="199"/>
        <v>1</v>
      </c>
      <c r="CC321" s="280"/>
    </row>
    <row r="322" spans="1:81">
      <c r="A322" s="279">
        <v>45247</v>
      </c>
      <c r="B322" s="278">
        <f t="shared" si="160"/>
        <v>24</v>
      </c>
      <c r="C322" s="272">
        <f>IFERROR(INDEX('Horo. M'!$C$3:$C$367,MATCH(A322,'Horo. M'!$A$3:$A$367,0)),"")</f>
        <v>0</v>
      </c>
      <c r="D322" s="278"/>
      <c r="E322" s="278"/>
      <c r="F322" s="272">
        <f t="shared" si="161"/>
        <v>24</v>
      </c>
      <c r="G322" s="274">
        <f t="shared" si="162"/>
        <v>0</v>
      </c>
      <c r="H322" s="275">
        <f t="shared" si="163"/>
        <v>1</v>
      </c>
      <c r="I322" s="277"/>
      <c r="J322" s="278">
        <f t="shared" si="164"/>
        <v>24</v>
      </c>
      <c r="K322" s="272">
        <f>IFERROR(INDEX('Horo. M'!$E$3:$E$367,MATCH(A322,'Horo. M'!$A$3:$A$367,0)),"")</f>
        <v>0</v>
      </c>
      <c r="L322" s="273"/>
      <c r="M322" s="273"/>
      <c r="N322" s="272">
        <f t="shared" si="165"/>
        <v>24</v>
      </c>
      <c r="O322" s="274">
        <f t="shared" si="166"/>
        <v>0</v>
      </c>
      <c r="P322" s="275">
        <f t="shared" si="167"/>
        <v>1</v>
      </c>
      <c r="Q322" s="276"/>
      <c r="R322" s="278">
        <f t="shared" si="168"/>
        <v>24</v>
      </c>
      <c r="S322" s="272">
        <f>IFERROR(INDEX('Horo. M'!G$3:$G$367,MATCH(A322,'Horo. M'!$A$3:$A$367,0)),"")</f>
        <v>0</v>
      </c>
      <c r="T322" s="278"/>
      <c r="U322" s="278"/>
      <c r="V322" s="272">
        <f t="shared" si="169"/>
        <v>24</v>
      </c>
      <c r="W322" s="274">
        <f t="shared" si="170"/>
        <v>0</v>
      </c>
      <c r="X322" s="275">
        <f t="shared" si="171"/>
        <v>1</v>
      </c>
      <c r="Y322" s="278"/>
      <c r="Z322" s="278">
        <f t="shared" si="172"/>
        <v>24</v>
      </c>
      <c r="AA322" s="272">
        <f>IFERROR(INDEX('Horo. M'!$I$3:I$367,MATCH(A322,'Horo. M'!$A$3:$A$367,0)),"")</f>
        <v>0</v>
      </c>
      <c r="AB322" s="273"/>
      <c r="AC322" s="273"/>
      <c r="AD322" s="272">
        <f t="shared" si="173"/>
        <v>24</v>
      </c>
      <c r="AE322" s="274">
        <f t="shared" si="174"/>
        <v>0</v>
      </c>
      <c r="AF322" s="275">
        <f t="shared" si="175"/>
        <v>1</v>
      </c>
      <c r="AG322" s="278"/>
      <c r="AH322" s="272">
        <f t="shared" si="176"/>
        <v>24</v>
      </c>
      <c r="AI322" s="272">
        <f>IFERROR(INDEX('Horo. M'!$K$3:K$367,MATCH(A322,'Horo. M'!$A$3:$A$367,0)),"")</f>
        <v>0</v>
      </c>
      <c r="AJ322" s="278"/>
      <c r="AK322" s="278"/>
      <c r="AL322" s="272">
        <f t="shared" si="177"/>
        <v>24</v>
      </c>
      <c r="AM322" s="274">
        <f t="shared" si="178"/>
        <v>0</v>
      </c>
      <c r="AN322" s="275">
        <f t="shared" si="179"/>
        <v>1</v>
      </c>
      <c r="AO322" s="278"/>
      <c r="AP322" s="272">
        <f t="shared" si="180"/>
        <v>24</v>
      </c>
      <c r="AQ322" s="272">
        <f>IFERROR(INDEX('Horo. M'!$M$3:M$367,MATCH(A322,'Horo. M'!$A$3:$A$367,0)),"")</f>
        <v>0</v>
      </c>
      <c r="AR322" s="278"/>
      <c r="AS322" s="278"/>
      <c r="AT322" s="272">
        <f t="shared" si="181"/>
        <v>24</v>
      </c>
      <c r="AU322" s="274">
        <f t="shared" si="182"/>
        <v>0</v>
      </c>
      <c r="AV322" s="275">
        <f t="shared" si="183"/>
        <v>1</v>
      </c>
      <c r="AW322" s="278"/>
      <c r="AX322" s="272">
        <f t="shared" si="184"/>
        <v>24</v>
      </c>
      <c r="AY322" s="272">
        <f>IFERROR(INDEX('Horo. M'!$O$3:O$367,MATCH(A322,'Horo. M'!$A$3:$A$367,0)),"")</f>
        <v>0</v>
      </c>
      <c r="AZ322" s="278"/>
      <c r="BA322" s="278"/>
      <c r="BB322" s="272">
        <f t="shared" si="185"/>
        <v>24</v>
      </c>
      <c r="BC322" s="274">
        <f t="shared" si="186"/>
        <v>0</v>
      </c>
      <c r="BD322" s="275">
        <f t="shared" si="187"/>
        <v>1</v>
      </c>
      <c r="BE322" s="278"/>
      <c r="BF322" s="272">
        <f t="shared" si="188"/>
        <v>24</v>
      </c>
      <c r="BG322" s="272">
        <f>IFERROR(INDEX('Horo. M'!$Q$3:Q$367,MATCH(A322,'Horo. M'!$A$3:$A$367,0)),"")</f>
        <v>0</v>
      </c>
      <c r="BH322" s="278"/>
      <c r="BI322" s="278"/>
      <c r="BJ322" s="272">
        <f t="shared" si="189"/>
        <v>24</v>
      </c>
      <c r="BK322" s="274">
        <f t="shared" si="190"/>
        <v>0</v>
      </c>
      <c r="BL322" s="275">
        <f t="shared" si="191"/>
        <v>1</v>
      </c>
      <c r="BM322" s="278"/>
      <c r="BN322" s="272">
        <f t="shared" si="192"/>
        <v>24</v>
      </c>
      <c r="BO322" s="272">
        <f>IFERROR(INDEX('Horo. M'!$S$3:S$367,MATCH(A322,'Horo. M'!$A$3:$A$367,0)),"")</f>
        <v>0</v>
      </c>
      <c r="BP322" s="278"/>
      <c r="BQ322" s="278"/>
      <c r="BR322" s="272">
        <f t="shared" si="193"/>
        <v>24</v>
      </c>
      <c r="BS322" s="274">
        <f t="shared" si="194"/>
        <v>0</v>
      </c>
      <c r="BT322" s="275">
        <f t="shared" si="195"/>
        <v>1</v>
      </c>
      <c r="BU322" s="278"/>
      <c r="BV322" s="272">
        <f t="shared" si="196"/>
        <v>24</v>
      </c>
      <c r="BW322" s="272">
        <f>IFERROR(INDEX('Horo. M'!$U$3:U$367,MATCH(A322,'Horo. M'!$A$3:$A$367,0)),"")</f>
        <v>0</v>
      </c>
      <c r="BX322" s="278"/>
      <c r="BY322" s="278"/>
      <c r="BZ322" s="272">
        <f t="shared" si="197"/>
        <v>24</v>
      </c>
      <c r="CA322" s="274">
        <f t="shared" si="198"/>
        <v>0</v>
      </c>
      <c r="CB322" s="275">
        <f t="shared" si="199"/>
        <v>1</v>
      </c>
      <c r="CC322" s="280"/>
    </row>
    <row r="323" spans="1:81">
      <c r="A323" s="279">
        <v>45248</v>
      </c>
      <c r="B323" s="278">
        <f t="shared" ref="B323:B366" si="200">24-C323-D323-E323</f>
        <v>24</v>
      </c>
      <c r="C323" s="272">
        <f>IFERROR(INDEX('Horo. M'!$C$3:$C$367,MATCH(A323,'Horo. M'!$A$3:$A$367,0)),"")</f>
        <v>0</v>
      </c>
      <c r="D323" s="278"/>
      <c r="E323" s="278"/>
      <c r="F323" s="272">
        <f t="shared" ref="F323:F366" si="201">24-D323-E323</f>
        <v>24</v>
      </c>
      <c r="G323" s="274">
        <f t="shared" ref="G323:G366" si="202">C323/24</f>
        <v>0</v>
      </c>
      <c r="H323" s="275">
        <f t="shared" ref="H323:H366" si="203">(F323/24)*100%</f>
        <v>1</v>
      </c>
      <c r="I323" s="277"/>
      <c r="J323" s="278">
        <f t="shared" ref="J323:J366" si="204">24-K323-L323-M323</f>
        <v>24</v>
      </c>
      <c r="K323" s="272">
        <f>IFERROR(INDEX('Horo. M'!$E$3:$E$367,MATCH(A323,'Horo. M'!$A$3:$A$367,0)),"")</f>
        <v>0</v>
      </c>
      <c r="L323" s="273"/>
      <c r="M323" s="273"/>
      <c r="N323" s="272">
        <f t="shared" ref="N323:N366" si="205">24-L323-M323</f>
        <v>24</v>
      </c>
      <c r="O323" s="274">
        <f t="shared" ref="O323:O366" si="206">K323/24</f>
        <v>0</v>
      </c>
      <c r="P323" s="275">
        <f t="shared" ref="P323:P366" si="207">(N323/24)*100%</f>
        <v>1</v>
      </c>
      <c r="Q323" s="276"/>
      <c r="R323" s="278">
        <f t="shared" ref="R323:R366" si="208">24-S323-T323-U323</f>
        <v>24</v>
      </c>
      <c r="S323" s="272">
        <f>IFERROR(INDEX('Horo. M'!G$3:$G$367,MATCH(A323,'Horo. M'!$A$3:$A$367,0)),"")</f>
        <v>0</v>
      </c>
      <c r="T323" s="278"/>
      <c r="U323" s="278"/>
      <c r="V323" s="272">
        <f t="shared" ref="V323:V366" si="209">24-T323-U323</f>
        <v>24</v>
      </c>
      <c r="W323" s="274">
        <f t="shared" ref="W323:W366" si="210">S323/24</f>
        <v>0</v>
      </c>
      <c r="X323" s="275">
        <f t="shared" ref="X323:X366" si="211">(V323/24)*100%</f>
        <v>1</v>
      </c>
      <c r="Y323" s="278"/>
      <c r="Z323" s="278">
        <f t="shared" ref="Z323:Z366" si="212">24-AA323-AB323-AC323</f>
        <v>24</v>
      </c>
      <c r="AA323" s="272">
        <f>IFERROR(INDEX('Horo. M'!$I$3:I$367,MATCH(A323,'Horo. M'!$A$3:$A$367,0)),"")</f>
        <v>0</v>
      </c>
      <c r="AB323" s="273"/>
      <c r="AC323" s="273"/>
      <c r="AD323" s="272">
        <f t="shared" ref="AD323:AD366" si="213">24-AB323-AC323</f>
        <v>24</v>
      </c>
      <c r="AE323" s="274">
        <f t="shared" ref="AE323:AE366" si="214">AA323/24</f>
        <v>0</v>
      </c>
      <c r="AF323" s="275">
        <f t="shared" ref="AF323:AF366" si="215">(AD323/24)*100%</f>
        <v>1</v>
      </c>
      <c r="AG323" s="278"/>
      <c r="AH323" s="272">
        <f t="shared" ref="AH323:AH366" si="216">24-AI323-AJ323-AK323</f>
        <v>24</v>
      </c>
      <c r="AI323" s="272">
        <f>IFERROR(INDEX('Horo. M'!$K$3:K$367,MATCH(A323,'Horo. M'!$A$3:$A$367,0)),"")</f>
        <v>0</v>
      </c>
      <c r="AJ323" s="278"/>
      <c r="AK323" s="278"/>
      <c r="AL323" s="272">
        <f t="shared" ref="AL323:AL366" si="217">24-AJ323-AK323</f>
        <v>24</v>
      </c>
      <c r="AM323" s="274">
        <f t="shared" ref="AM323:AM366" si="218">AI323/24</f>
        <v>0</v>
      </c>
      <c r="AN323" s="275">
        <f t="shared" ref="AN323:AN366" si="219">(AL323/24)*100%</f>
        <v>1</v>
      </c>
      <c r="AO323" s="278"/>
      <c r="AP323" s="272">
        <f t="shared" ref="AP323:AP366" si="220">24-AQ323-AR323-AS323</f>
        <v>24</v>
      </c>
      <c r="AQ323" s="272">
        <f>IFERROR(INDEX('Horo. M'!$M$3:M$367,MATCH(A323,'Horo. M'!$A$3:$A$367,0)),"")</f>
        <v>0</v>
      </c>
      <c r="AR323" s="278"/>
      <c r="AS323" s="278"/>
      <c r="AT323" s="272">
        <f t="shared" ref="AT323:AT366" si="221">24-AR323-AS323</f>
        <v>24</v>
      </c>
      <c r="AU323" s="274">
        <f t="shared" ref="AU323:AU366" si="222">AQ323/24</f>
        <v>0</v>
      </c>
      <c r="AV323" s="275">
        <f t="shared" ref="AV323:AV366" si="223">(AT323/24)*100%</f>
        <v>1</v>
      </c>
      <c r="AW323" s="278"/>
      <c r="AX323" s="272">
        <f t="shared" ref="AX323:AX366" si="224">24-AY323-AZ323-BA323</f>
        <v>24</v>
      </c>
      <c r="AY323" s="272">
        <f>IFERROR(INDEX('Horo. M'!$O$3:O$367,MATCH(A323,'Horo. M'!$A$3:$A$367,0)),"")</f>
        <v>0</v>
      </c>
      <c r="AZ323" s="278"/>
      <c r="BA323" s="278"/>
      <c r="BB323" s="272">
        <f t="shared" ref="BB323:BB366" si="225">24-AZ323-BA323</f>
        <v>24</v>
      </c>
      <c r="BC323" s="274">
        <f t="shared" ref="BC323:BC366" si="226">AY323/24</f>
        <v>0</v>
      </c>
      <c r="BD323" s="275">
        <f t="shared" ref="BD323:BD366" si="227">(BB323/24)*100%</f>
        <v>1</v>
      </c>
      <c r="BE323" s="278"/>
      <c r="BF323" s="272">
        <f t="shared" ref="BF323:BF366" si="228">24-BG323-BH323-BI323</f>
        <v>24</v>
      </c>
      <c r="BG323" s="272">
        <f>IFERROR(INDEX('Horo. M'!$Q$3:Q$367,MATCH(A323,'Horo. M'!$A$3:$A$367,0)),"")</f>
        <v>0</v>
      </c>
      <c r="BH323" s="278"/>
      <c r="BI323" s="278"/>
      <c r="BJ323" s="272">
        <f t="shared" ref="BJ323:BJ366" si="229">24-BH323-BI323</f>
        <v>24</v>
      </c>
      <c r="BK323" s="274">
        <f t="shared" ref="BK323:BK366" si="230">BG323/24</f>
        <v>0</v>
      </c>
      <c r="BL323" s="275">
        <f t="shared" ref="BL323:BL366" si="231">(BJ323/24)*100%</f>
        <v>1</v>
      </c>
      <c r="BM323" s="278"/>
      <c r="BN323" s="272">
        <f t="shared" ref="BN323:BN366" si="232">24-BO323-BP323-BQ323</f>
        <v>24</v>
      </c>
      <c r="BO323" s="272">
        <f>IFERROR(INDEX('Horo. M'!$S$3:S$367,MATCH(A323,'Horo. M'!$A$3:$A$367,0)),"")</f>
        <v>0</v>
      </c>
      <c r="BP323" s="278"/>
      <c r="BQ323" s="278"/>
      <c r="BR323" s="272">
        <f t="shared" ref="BR323:BR366" si="233">24-BP323-BQ323</f>
        <v>24</v>
      </c>
      <c r="BS323" s="274">
        <f t="shared" ref="BS323:BS366" si="234">BO323/24</f>
        <v>0</v>
      </c>
      <c r="BT323" s="275">
        <f t="shared" ref="BT323:BT366" si="235">(BR323/24)*100%</f>
        <v>1</v>
      </c>
      <c r="BU323" s="278"/>
      <c r="BV323" s="272">
        <f t="shared" ref="BV323:BV366" si="236">24-BW323-BX323-BY323</f>
        <v>24</v>
      </c>
      <c r="BW323" s="272">
        <f>IFERROR(INDEX('Horo. M'!$U$3:U$367,MATCH(A323,'Horo. M'!$A$3:$A$367,0)),"")</f>
        <v>0</v>
      </c>
      <c r="BX323" s="278"/>
      <c r="BY323" s="278"/>
      <c r="BZ323" s="272">
        <f t="shared" ref="BZ323:BZ366" si="237">24-BX323-BY323</f>
        <v>24</v>
      </c>
      <c r="CA323" s="274">
        <f t="shared" ref="CA323:CA366" si="238">BW323/24</f>
        <v>0</v>
      </c>
      <c r="CB323" s="275">
        <f t="shared" ref="CB323:CB366" si="239">(BZ323/24)*100%</f>
        <v>1</v>
      </c>
      <c r="CC323" s="280"/>
    </row>
    <row r="324" spans="1:81">
      <c r="A324" s="279">
        <v>45249</v>
      </c>
      <c r="B324" s="278">
        <f t="shared" si="200"/>
        <v>24</v>
      </c>
      <c r="C324" s="272">
        <f>IFERROR(INDEX('Horo. M'!$C$3:$C$367,MATCH(A324,'Horo. M'!$A$3:$A$367,0)),"")</f>
        <v>0</v>
      </c>
      <c r="D324" s="278"/>
      <c r="E324" s="278"/>
      <c r="F324" s="272">
        <f t="shared" si="201"/>
        <v>24</v>
      </c>
      <c r="G324" s="274">
        <f t="shared" si="202"/>
        <v>0</v>
      </c>
      <c r="H324" s="275">
        <f t="shared" si="203"/>
        <v>1</v>
      </c>
      <c r="I324" s="277"/>
      <c r="J324" s="278">
        <f t="shared" si="204"/>
        <v>24</v>
      </c>
      <c r="K324" s="272">
        <f>IFERROR(INDEX('Horo. M'!$E$3:$E$367,MATCH(A324,'Horo. M'!$A$3:$A$367,0)),"")</f>
        <v>0</v>
      </c>
      <c r="L324" s="273"/>
      <c r="M324" s="273"/>
      <c r="N324" s="272">
        <f t="shared" si="205"/>
        <v>24</v>
      </c>
      <c r="O324" s="274">
        <f t="shared" si="206"/>
        <v>0</v>
      </c>
      <c r="P324" s="275">
        <f t="shared" si="207"/>
        <v>1</v>
      </c>
      <c r="Q324" s="276"/>
      <c r="R324" s="278">
        <f t="shared" si="208"/>
        <v>24</v>
      </c>
      <c r="S324" s="272">
        <f>IFERROR(INDEX('Horo. M'!G$3:$G$367,MATCH(A324,'Horo. M'!$A$3:$A$367,0)),"")</f>
        <v>0</v>
      </c>
      <c r="T324" s="278"/>
      <c r="U324" s="278"/>
      <c r="V324" s="272">
        <f t="shared" si="209"/>
        <v>24</v>
      </c>
      <c r="W324" s="274">
        <f t="shared" si="210"/>
        <v>0</v>
      </c>
      <c r="X324" s="275">
        <f t="shared" si="211"/>
        <v>1</v>
      </c>
      <c r="Y324" s="278"/>
      <c r="Z324" s="278">
        <f t="shared" si="212"/>
        <v>24</v>
      </c>
      <c r="AA324" s="272">
        <f>IFERROR(INDEX('Horo. M'!$I$3:I$367,MATCH(A324,'Horo. M'!$A$3:$A$367,0)),"")</f>
        <v>0</v>
      </c>
      <c r="AB324" s="273"/>
      <c r="AC324" s="273"/>
      <c r="AD324" s="272">
        <f t="shared" si="213"/>
        <v>24</v>
      </c>
      <c r="AE324" s="274">
        <f t="shared" si="214"/>
        <v>0</v>
      </c>
      <c r="AF324" s="275">
        <f t="shared" si="215"/>
        <v>1</v>
      </c>
      <c r="AG324" s="278"/>
      <c r="AH324" s="272">
        <f t="shared" si="216"/>
        <v>24</v>
      </c>
      <c r="AI324" s="272">
        <f>IFERROR(INDEX('Horo. M'!$K$3:K$367,MATCH(A324,'Horo. M'!$A$3:$A$367,0)),"")</f>
        <v>0</v>
      </c>
      <c r="AJ324" s="278"/>
      <c r="AK324" s="278"/>
      <c r="AL324" s="272">
        <f t="shared" si="217"/>
        <v>24</v>
      </c>
      <c r="AM324" s="274">
        <f t="shared" si="218"/>
        <v>0</v>
      </c>
      <c r="AN324" s="275">
        <f t="shared" si="219"/>
        <v>1</v>
      </c>
      <c r="AO324" s="278"/>
      <c r="AP324" s="272">
        <f t="shared" si="220"/>
        <v>24</v>
      </c>
      <c r="AQ324" s="272">
        <f>IFERROR(INDEX('Horo. M'!$M$3:M$367,MATCH(A324,'Horo. M'!$A$3:$A$367,0)),"")</f>
        <v>0</v>
      </c>
      <c r="AR324" s="278"/>
      <c r="AS324" s="278"/>
      <c r="AT324" s="272">
        <f t="shared" si="221"/>
        <v>24</v>
      </c>
      <c r="AU324" s="274">
        <f t="shared" si="222"/>
        <v>0</v>
      </c>
      <c r="AV324" s="275">
        <f t="shared" si="223"/>
        <v>1</v>
      </c>
      <c r="AW324" s="278"/>
      <c r="AX324" s="272">
        <f t="shared" si="224"/>
        <v>24</v>
      </c>
      <c r="AY324" s="272">
        <f>IFERROR(INDEX('Horo. M'!$O$3:O$367,MATCH(A324,'Horo. M'!$A$3:$A$367,0)),"")</f>
        <v>0</v>
      </c>
      <c r="AZ324" s="278"/>
      <c r="BA324" s="278"/>
      <c r="BB324" s="272">
        <f t="shared" si="225"/>
        <v>24</v>
      </c>
      <c r="BC324" s="274">
        <f t="shared" si="226"/>
        <v>0</v>
      </c>
      <c r="BD324" s="275">
        <f t="shared" si="227"/>
        <v>1</v>
      </c>
      <c r="BE324" s="278"/>
      <c r="BF324" s="272">
        <f t="shared" si="228"/>
        <v>24</v>
      </c>
      <c r="BG324" s="272">
        <f>IFERROR(INDEX('Horo. M'!$Q$3:Q$367,MATCH(A324,'Horo. M'!$A$3:$A$367,0)),"")</f>
        <v>0</v>
      </c>
      <c r="BH324" s="278"/>
      <c r="BI324" s="278"/>
      <c r="BJ324" s="272">
        <f t="shared" si="229"/>
        <v>24</v>
      </c>
      <c r="BK324" s="274">
        <f t="shared" si="230"/>
        <v>0</v>
      </c>
      <c r="BL324" s="275">
        <f t="shared" si="231"/>
        <v>1</v>
      </c>
      <c r="BM324" s="278"/>
      <c r="BN324" s="272">
        <f t="shared" si="232"/>
        <v>24</v>
      </c>
      <c r="BO324" s="272">
        <f>IFERROR(INDEX('Horo. M'!$S$3:S$367,MATCH(A324,'Horo. M'!$A$3:$A$367,0)),"")</f>
        <v>0</v>
      </c>
      <c r="BP324" s="278"/>
      <c r="BQ324" s="278"/>
      <c r="BR324" s="272">
        <f t="shared" si="233"/>
        <v>24</v>
      </c>
      <c r="BS324" s="274">
        <f t="shared" si="234"/>
        <v>0</v>
      </c>
      <c r="BT324" s="275">
        <f t="shared" si="235"/>
        <v>1</v>
      </c>
      <c r="BU324" s="278"/>
      <c r="BV324" s="272">
        <f t="shared" si="236"/>
        <v>24</v>
      </c>
      <c r="BW324" s="272">
        <f>IFERROR(INDEX('Horo. M'!$U$3:U$367,MATCH(A324,'Horo. M'!$A$3:$A$367,0)),"")</f>
        <v>0</v>
      </c>
      <c r="BX324" s="278"/>
      <c r="BY324" s="278"/>
      <c r="BZ324" s="272">
        <f t="shared" si="237"/>
        <v>24</v>
      </c>
      <c r="CA324" s="274">
        <f t="shared" si="238"/>
        <v>0</v>
      </c>
      <c r="CB324" s="275">
        <f t="shared" si="239"/>
        <v>1</v>
      </c>
      <c r="CC324" s="280"/>
    </row>
    <row r="325" spans="1:81">
      <c r="A325" s="279">
        <v>45250</v>
      </c>
      <c r="B325" s="278">
        <f t="shared" si="200"/>
        <v>24</v>
      </c>
      <c r="C325" s="272">
        <f>IFERROR(INDEX('Horo. M'!$C$3:$C$367,MATCH(A325,'Horo. M'!$A$3:$A$367,0)),"")</f>
        <v>0</v>
      </c>
      <c r="D325" s="278"/>
      <c r="E325" s="278"/>
      <c r="F325" s="272">
        <f t="shared" si="201"/>
        <v>24</v>
      </c>
      <c r="G325" s="274">
        <f t="shared" si="202"/>
        <v>0</v>
      </c>
      <c r="H325" s="275">
        <f t="shared" si="203"/>
        <v>1</v>
      </c>
      <c r="I325" s="277"/>
      <c r="J325" s="278">
        <f t="shared" si="204"/>
        <v>24</v>
      </c>
      <c r="K325" s="272">
        <f>IFERROR(INDEX('Horo. M'!$E$3:$E$367,MATCH(A325,'Horo. M'!$A$3:$A$367,0)),"")</f>
        <v>0</v>
      </c>
      <c r="L325" s="273"/>
      <c r="M325" s="273"/>
      <c r="N325" s="272">
        <f t="shared" si="205"/>
        <v>24</v>
      </c>
      <c r="O325" s="274">
        <f t="shared" si="206"/>
        <v>0</v>
      </c>
      <c r="P325" s="275">
        <f t="shared" si="207"/>
        <v>1</v>
      </c>
      <c r="Q325" s="276"/>
      <c r="R325" s="278">
        <f t="shared" si="208"/>
        <v>24</v>
      </c>
      <c r="S325" s="272">
        <f>IFERROR(INDEX('Horo. M'!G$3:$G$367,MATCH(A325,'Horo. M'!$A$3:$A$367,0)),"")</f>
        <v>0</v>
      </c>
      <c r="T325" s="278"/>
      <c r="U325" s="278"/>
      <c r="V325" s="272">
        <f t="shared" si="209"/>
        <v>24</v>
      </c>
      <c r="W325" s="274">
        <f t="shared" si="210"/>
        <v>0</v>
      </c>
      <c r="X325" s="275">
        <f t="shared" si="211"/>
        <v>1</v>
      </c>
      <c r="Y325" s="278"/>
      <c r="Z325" s="278">
        <f t="shared" si="212"/>
        <v>24</v>
      </c>
      <c r="AA325" s="272">
        <f>IFERROR(INDEX('Horo. M'!$I$3:I$367,MATCH(A325,'Horo. M'!$A$3:$A$367,0)),"")</f>
        <v>0</v>
      </c>
      <c r="AB325" s="273"/>
      <c r="AC325" s="273"/>
      <c r="AD325" s="272">
        <f t="shared" si="213"/>
        <v>24</v>
      </c>
      <c r="AE325" s="274">
        <f t="shared" si="214"/>
        <v>0</v>
      </c>
      <c r="AF325" s="275">
        <f t="shared" si="215"/>
        <v>1</v>
      </c>
      <c r="AG325" s="278"/>
      <c r="AH325" s="272">
        <f t="shared" si="216"/>
        <v>24</v>
      </c>
      <c r="AI325" s="272">
        <f>IFERROR(INDEX('Horo. M'!$K$3:K$367,MATCH(A325,'Horo. M'!$A$3:$A$367,0)),"")</f>
        <v>0</v>
      </c>
      <c r="AJ325" s="278"/>
      <c r="AK325" s="278"/>
      <c r="AL325" s="272">
        <f t="shared" si="217"/>
        <v>24</v>
      </c>
      <c r="AM325" s="274">
        <f t="shared" si="218"/>
        <v>0</v>
      </c>
      <c r="AN325" s="275">
        <f t="shared" si="219"/>
        <v>1</v>
      </c>
      <c r="AO325" s="278"/>
      <c r="AP325" s="272">
        <f t="shared" si="220"/>
        <v>24</v>
      </c>
      <c r="AQ325" s="272">
        <f>IFERROR(INDEX('Horo. M'!$M$3:M$367,MATCH(A325,'Horo. M'!$A$3:$A$367,0)),"")</f>
        <v>0</v>
      </c>
      <c r="AR325" s="278"/>
      <c r="AS325" s="278"/>
      <c r="AT325" s="272">
        <f t="shared" si="221"/>
        <v>24</v>
      </c>
      <c r="AU325" s="274">
        <f t="shared" si="222"/>
        <v>0</v>
      </c>
      <c r="AV325" s="275">
        <f t="shared" si="223"/>
        <v>1</v>
      </c>
      <c r="AW325" s="278"/>
      <c r="AX325" s="272">
        <f t="shared" si="224"/>
        <v>24</v>
      </c>
      <c r="AY325" s="272">
        <f>IFERROR(INDEX('Horo. M'!$O$3:O$367,MATCH(A325,'Horo. M'!$A$3:$A$367,0)),"")</f>
        <v>0</v>
      </c>
      <c r="AZ325" s="278"/>
      <c r="BA325" s="278"/>
      <c r="BB325" s="272">
        <f t="shared" si="225"/>
        <v>24</v>
      </c>
      <c r="BC325" s="274">
        <f t="shared" si="226"/>
        <v>0</v>
      </c>
      <c r="BD325" s="275">
        <f t="shared" si="227"/>
        <v>1</v>
      </c>
      <c r="BE325" s="278"/>
      <c r="BF325" s="272">
        <f t="shared" si="228"/>
        <v>24</v>
      </c>
      <c r="BG325" s="272">
        <f>IFERROR(INDEX('Horo. M'!$Q$3:Q$367,MATCH(A325,'Horo. M'!$A$3:$A$367,0)),"")</f>
        <v>0</v>
      </c>
      <c r="BH325" s="278"/>
      <c r="BI325" s="278"/>
      <c r="BJ325" s="272">
        <f t="shared" si="229"/>
        <v>24</v>
      </c>
      <c r="BK325" s="274">
        <f t="shared" si="230"/>
        <v>0</v>
      </c>
      <c r="BL325" s="275">
        <f t="shared" si="231"/>
        <v>1</v>
      </c>
      <c r="BM325" s="278"/>
      <c r="BN325" s="272">
        <f t="shared" si="232"/>
        <v>24</v>
      </c>
      <c r="BO325" s="272">
        <f>IFERROR(INDEX('Horo. M'!$S$3:S$367,MATCH(A325,'Horo. M'!$A$3:$A$367,0)),"")</f>
        <v>0</v>
      </c>
      <c r="BP325" s="278"/>
      <c r="BQ325" s="278"/>
      <c r="BR325" s="272">
        <f t="shared" si="233"/>
        <v>24</v>
      </c>
      <c r="BS325" s="274">
        <f t="shared" si="234"/>
        <v>0</v>
      </c>
      <c r="BT325" s="275">
        <f t="shared" si="235"/>
        <v>1</v>
      </c>
      <c r="BU325" s="278"/>
      <c r="BV325" s="272">
        <f t="shared" si="236"/>
        <v>24</v>
      </c>
      <c r="BW325" s="272">
        <f>IFERROR(INDEX('Horo. M'!$U$3:U$367,MATCH(A325,'Horo. M'!$A$3:$A$367,0)),"")</f>
        <v>0</v>
      </c>
      <c r="BX325" s="278"/>
      <c r="BY325" s="278"/>
      <c r="BZ325" s="272">
        <f t="shared" si="237"/>
        <v>24</v>
      </c>
      <c r="CA325" s="274">
        <f t="shared" si="238"/>
        <v>0</v>
      </c>
      <c r="CB325" s="275">
        <f t="shared" si="239"/>
        <v>1</v>
      </c>
      <c r="CC325" s="280"/>
    </row>
    <row r="326" spans="1:81">
      <c r="A326" s="279">
        <v>45251</v>
      </c>
      <c r="B326" s="278">
        <f t="shared" si="200"/>
        <v>24</v>
      </c>
      <c r="C326" s="272">
        <f>IFERROR(INDEX('Horo. M'!$C$3:$C$367,MATCH(A326,'Horo. M'!$A$3:$A$367,0)),"")</f>
        <v>0</v>
      </c>
      <c r="D326" s="278"/>
      <c r="E326" s="278"/>
      <c r="F326" s="272">
        <f t="shared" si="201"/>
        <v>24</v>
      </c>
      <c r="G326" s="274">
        <f t="shared" si="202"/>
        <v>0</v>
      </c>
      <c r="H326" s="275">
        <f t="shared" si="203"/>
        <v>1</v>
      </c>
      <c r="I326" s="277"/>
      <c r="J326" s="278">
        <f t="shared" si="204"/>
        <v>24</v>
      </c>
      <c r="K326" s="272">
        <f>IFERROR(INDEX('Horo. M'!$E$3:$E$367,MATCH(A326,'Horo. M'!$A$3:$A$367,0)),"")</f>
        <v>0</v>
      </c>
      <c r="L326" s="273"/>
      <c r="M326" s="273"/>
      <c r="N326" s="272">
        <f t="shared" si="205"/>
        <v>24</v>
      </c>
      <c r="O326" s="274">
        <f t="shared" si="206"/>
        <v>0</v>
      </c>
      <c r="P326" s="275">
        <f t="shared" si="207"/>
        <v>1</v>
      </c>
      <c r="Q326" s="276"/>
      <c r="R326" s="278">
        <f t="shared" si="208"/>
        <v>24</v>
      </c>
      <c r="S326" s="272">
        <f>IFERROR(INDEX('Horo. M'!G$3:$G$367,MATCH(A326,'Horo. M'!$A$3:$A$367,0)),"")</f>
        <v>0</v>
      </c>
      <c r="T326" s="278"/>
      <c r="U326" s="278"/>
      <c r="V326" s="272">
        <f t="shared" si="209"/>
        <v>24</v>
      </c>
      <c r="W326" s="274">
        <f t="shared" si="210"/>
        <v>0</v>
      </c>
      <c r="X326" s="275">
        <f t="shared" si="211"/>
        <v>1</v>
      </c>
      <c r="Y326" s="278"/>
      <c r="Z326" s="278">
        <f t="shared" si="212"/>
        <v>24</v>
      </c>
      <c r="AA326" s="272">
        <f>IFERROR(INDEX('Horo. M'!$I$3:I$367,MATCH(A326,'Horo. M'!$A$3:$A$367,0)),"")</f>
        <v>0</v>
      </c>
      <c r="AB326" s="273"/>
      <c r="AC326" s="273"/>
      <c r="AD326" s="272">
        <f t="shared" si="213"/>
        <v>24</v>
      </c>
      <c r="AE326" s="274">
        <f t="shared" si="214"/>
        <v>0</v>
      </c>
      <c r="AF326" s="275">
        <f t="shared" si="215"/>
        <v>1</v>
      </c>
      <c r="AG326" s="278"/>
      <c r="AH326" s="272">
        <f t="shared" si="216"/>
        <v>24</v>
      </c>
      <c r="AI326" s="272">
        <f>IFERROR(INDEX('Horo. M'!$K$3:K$367,MATCH(A326,'Horo. M'!$A$3:$A$367,0)),"")</f>
        <v>0</v>
      </c>
      <c r="AJ326" s="278"/>
      <c r="AK326" s="278"/>
      <c r="AL326" s="272">
        <f t="shared" si="217"/>
        <v>24</v>
      </c>
      <c r="AM326" s="274">
        <f t="shared" si="218"/>
        <v>0</v>
      </c>
      <c r="AN326" s="275">
        <f t="shared" si="219"/>
        <v>1</v>
      </c>
      <c r="AO326" s="278"/>
      <c r="AP326" s="272">
        <f t="shared" si="220"/>
        <v>24</v>
      </c>
      <c r="AQ326" s="272">
        <f>IFERROR(INDEX('Horo. M'!$M$3:M$367,MATCH(A326,'Horo. M'!$A$3:$A$367,0)),"")</f>
        <v>0</v>
      </c>
      <c r="AR326" s="278"/>
      <c r="AS326" s="278"/>
      <c r="AT326" s="272">
        <f t="shared" si="221"/>
        <v>24</v>
      </c>
      <c r="AU326" s="274">
        <f t="shared" si="222"/>
        <v>0</v>
      </c>
      <c r="AV326" s="275">
        <f t="shared" si="223"/>
        <v>1</v>
      </c>
      <c r="AW326" s="278"/>
      <c r="AX326" s="272">
        <f t="shared" si="224"/>
        <v>24</v>
      </c>
      <c r="AY326" s="272">
        <f>IFERROR(INDEX('Horo. M'!$O$3:O$367,MATCH(A326,'Horo. M'!$A$3:$A$367,0)),"")</f>
        <v>0</v>
      </c>
      <c r="AZ326" s="278"/>
      <c r="BA326" s="278"/>
      <c r="BB326" s="272">
        <f t="shared" si="225"/>
        <v>24</v>
      </c>
      <c r="BC326" s="274">
        <f t="shared" si="226"/>
        <v>0</v>
      </c>
      <c r="BD326" s="275">
        <f t="shared" si="227"/>
        <v>1</v>
      </c>
      <c r="BE326" s="278"/>
      <c r="BF326" s="272">
        <f t="shared" si="228"/>
        <v>24</v>
      </c>
      <c r="BG326" s="272">
        <f>IFERROR(INDEX('Horo. M'!$Q$3:Q$367,MATCH(A326,'Horo. M'!$A$3:$A$367,0)),"")</f>
        <v>0</v>
      </c>
      <c r="BH326" s="278"/>
      <c r="BI326" s="278"/>
      <c r="BJ326" s="272">
        <f t="shared" si="229"/>
        <v>24</v>
      </c>
      <c r="BK326" s="274">
        <f t="shared" si="230"/>
        <v>0</v>
      </c>
      <c r="BL326" s="275">
        <f t="shared" si="231"/>
        <v>1</v>
      </c>
      <c r="BM326" s="278"/>
      <c r="BN326" s="272">
        <f t="shared" si="232"/>
        <v>24</v>
      </c>
      <c r="BO326" s="272">
        <f>IFERROR(INDEX('Horo. M'!$S$3:S$367,MATCH(A326,'Horo. M'!$A$3:$A$367,0)),"")</f>
        <v>0</v>
      </c>
      <c r="BP326" s="278"/>
      <c r="BQ326" s="278"/>
      <c r="BR326" s="272">
        <f t="shared" si="233"/>
        <v>24</v>
      </c>
      <c r="BS326" s="274">
        <f t="shared" si="234"/>
        <v>0</v>
      </c>
      <c r="BT326" s="275">
        <f t="shared" si="235"/>
        <v>1</v>
      </c>
      <c r="BU326" s="278"/>
      <c r="BV326" s="272">
        <f t="shared" si="236"/>
        <v>24</v>
      </c>
      <c r="BW326" s="272">
        <f>IFERROR(INDEX('Horo. M'!$U$3:U$367,MATCH(A326,'Horo. M'!$A$3:$A$367,0)),"")</f>
        <v>0</v>
      </c>
      <c r="BX326" s="278"/>
      <c r="BY326" s="278"/>
      <c r="BZ326" s="272">
        <f t="shared" si="237"/>
        <v>24</v>
      </c>
      <c r="CA326" s="274">
        <f t="shared" si="238"/>
        <v>0</v>
      </c>
      <c r="CB326" s="275">
        <f t="shared" si="239"/>
        <v>1</v>
      </c>
      <c r="CC326" s="280"/>
    </row>
    <row r="327" spans="1:81">
      <c r="A327" s="279">
        <v>45252</v>
      </c>
      <c r="B327" s="278">
        <f t="shared" si="200"/>
        <v>24</v>
      </c>
      <c r="C327" s="272">
        <f>IFERROR(INDEX('Horo. M'!$C$3:$C$367,MATCH(A327,'Horo. M'!$A$3:$A$367,0)),"")</f>
        <v>0</v>
      </c>
      <c r="D327" s="278"/>
      <c r="E327" s="278"/>
      <c r="F327" s="272">
        <f t="shared" si="201"/>
        <v>24</v>
      </c>
      <c r="G327" s="274">
        <f t="shared" si="202"/>
        <v>0</v>
      </c>
      <c r="H327" s="275">
        <f t="shared" si="203"/>
        <v>1</v>
      </c>
      <c r="I327" s="277"/>
      <c r="J327" s="278">
        <f t="shared" si="204"/>
        <v>24</v>
      </c>
      <c r="K327" s="272">
        <f>IFERROR(INDEX('Horo. M'!$E$3:$E$367,MATCH(A327,'Horo. M'!$A$3:$A$367,0)),"")</f>
        <v>0</v>
      </c>
      <c r="L327" s="273"/>
      <c r="M327" s="273"/>
      <c r="N327" s="272">
        <f t="shared" si="205"/>
        <v>24</v>
      </c>
      <c r="O327" s="274">
        <f t="shared" si="206"/>
        <v>0</v>
      </c>
      <c r="P327" s="275">
        <f t="shared" si="207"/>
        <v>1</v>
      </c>
      <c r="Q327" s="276"/>
      <c r="R327" s="278">
        <f t="shared" si="208"/>
        <v>24</v>
      </c>
      <c r="S327" s="272">
        <f>IFERROR(INDEX('Horo. M'!G$3:$G$367,MATCH(A327,'Horo. M'!$A$3:$A$367,0)),"")</f>
        <v>0</v>
      </c>
      <c r="T327" s="278"/>
      <c r="U327" s="278"/>
      <c r="V327" s="272">
        <f t="shared" si="209"/>
        <v>24</v>
      </c>
      <c r="W327" s="274">
        <f t="shared" si="210"/>
        <v>0</v>
      </c>
      <c r="X327" s="275">
        <f t="shared" si="211"/>
        <v>1</v>
      </c>
      <c r="Y327" s="278"/>
      <c r="Z327" s="278">
        <f t="shared" si="212"/>
        <v>24</v>
      </c>
      <c r="AA327" s="272">
        <f>IFERROR(INDEX('Horo. M'!$I$3:I$367,MATCH(A327,'Horo. M'!$A$3:$A$367,0)),"")</f>
        <v>0</v>
      </c>
      <c r="AB327" s="273"/>
      <c r="AC327" s="273"/>
      <c r="AD327" s="272">
        <f t="shared" si="213"/>
        <v>24</v>
      </c>
      <c r="AE327" s="274">
        <f t="shared" si="214"/>
        <v>0</v>
      </c>
      <c r="AF327" s="275">
        <f t="shared" si="215"/>
        <v>1</v>
      </c>
      <c r="AG327" s="278"/>
      <c r="AH327" s="272">
        <f t="shared" si="216"/>
        <v>24</v>
      </c>
      <c r="AI327" s="272">
        <f>IFERROR(INDEX('Horo. M'!$K$3:K$367,MATCH(A327,'Horo. M'!$A$3:$A$367,0)),"")</f>
        <v>0</v>
      </c>
      <c r="AJ327" s="278"/>
      <c r="AK327" s="278"/>
      <c r="AL327" s="272">
        <f t="shared" si="217"/>
        <v>24</v>
      </c>
      <c r="AM327" s="274">
        <f t="shared" si="218"/>
        <v>0</v>
      </c>
      <c r="AN327" s="275">
        <f t="shared" si="219"/>
        <v>1</v>
      </c>
      <c r="AO327" s="278"/>
      <c r="AP327" s="272">
        <f t="shared" si="220"/>
        <v>24</v>
      </c>
      <c r="AQ327" s="272">
        <f>IFERROR(INDEX('Horo. M'!$M$3:M$367,MATCH(A327,'Horo. M'!$A$3:$A$367,0)),"")</f>
        <v>0</v>
      </c>
      <c r="AR327" s="278"/>
      <c r="AS327" s="278"/>
      <c r="AT327" s="272">
        <f t="shared" si="221"/>
        <v>24</v>
      </c>
      <c r="AU327" s="274">
        <f t="shared" si="222"/>
        <v>0</v>
      </c>
      <c r="AV327" s="275">
        <f t="shared" si="223"/>
        <v>1</v>
      </c>
      <c r="AW327" s="278"/>
      <c r="AX327" s="272">
        <f t="shared" si="224"/>
        <v>24</v>
      </c>
      <c r="AY327" s="272">
        <f>IFERROR(INDEX('Horo. M'!$O$3:O$367,MATCH(A327,'Horo. M'!$A$3:$A$367,0)),"")</f>
        <v>0</v>
      </c>
      <c r="AZ327" s="278"/>
      <c r="BA327" s="278"/>
      <c r="BB327" s="272">
        <f t="shared" si="225"/>
        <v>24</v>
      </c>
      <c r="BC327" s="274">
        <f t="shared" si="226"/>
        <v>0</v>
      </c>
      <c r="BD327" s="275">
        <f t="shared" si="227"/>
        <v>1</v>
      </c>
      <c r="BE327" s="278"/>
      <c r="BF327" s="272">
        <f t="shared" si="228"/>
        <v>24</v>
      </c>
      <c r="BG327" s="272">
        <f>IFERROR(INDEX('Horo. M'!$Q$3:Q$367,MATCH(A327,'Horo. M'!$A$3:$A$367,0)),"")</f>
        <v>0</v>
      </c>
      <c r="BH327" s="278"/>
      <c r="BI327" s="278"/>
      <c r="BJ327" s="272">
        <f t="shared" si="229"/>
        <v>24</v>
      </c>
      <c r="BK327" s="274">
        <f t="shared" si="230"/>
        <v>0</v>
      </c>
      <c r="BL327" s="275">
        <f t="shared" si="231"/>
        <v>1</v>
      </c>
      <c r="BM327" s="278"/>
      <c r="BN327" s="272">
        <f t="shared" si="232"/>
        <v>24</v>
      </c>
      <c r="BO327" s="272">
        <f>IFERROR(INDEX('Horo. M'!$S$3:S$367,MATCH(A327,'Horo. M'!$A$3:$A$367,0)),"")</f>
        <v>0</v>
      </c>
      <c r="BP327" s="278"/>
      <c r="BQ327" s="278"/>
      <c r="BR327" s="272">
        <f t="shared" si="233"/>
        <v>24</v>
      </c>
      <c r="BS327" s="274">
        <f t="shared" si="234"/>
        <v>0</v>
      </c>
      <c r="BT327" s="275">
        <f t="shared" si="235"/>
        <v>1</v>
      </c>
      <c r="BU327" s="278"/>
      <c r="BV327" s="272">
        <f t="shared" si="236"/>
        <v>24</v>
      </c>
      <c r="BW327" s="272">
        <f>IFERROR(INDEX('Horo. M'!$U$3:U$367,MATCH(A327,'Horo. M'!$A$3:$A$367,0)),"")</f>
        <v>0</v>
      </c>
      <c r="BX327" s="278"/>
      <c r="BY327" s="278"/>
      <c r="BZ327" s="272">
        <f t="shared" si="237"/>
        <v>24</v>
      </c>
      <c r="CA327" s="274">
        <f t="shared" si="238"/>
        <v>0</v>
      </c>
      <c r="CB327" s="275">
        <f t="shared" si="239"/>
        <v>1</v>
      </c>
      <c r="CC327" s="280"/>
    </row>
    <row r="328" spans="1:81">
      <c r="A328" s="279">
        <v>45253</v>
      </c>
      <c r="B328" s="278">
        <f t="shared" si="200"/>
        <v>24</v>
      </c>
      <c r="C328" s="272">
        <f>IFERROR(INDEX('Horo. M'!$C$3:$C$367,MATCH(A328,'Horo. M'!$A$3:$A$367,0)),"")</f>
        <v>0</v>
      </c>
      <c r="D328" s="278"/>
      <c r="E328" s="278"/>
      <c r="F328" s="272">
        <f t="shared" si="201"/>
        <v>24</v>
      </c>
      <c r="G328" s="274">
        <f t="shared" si="202"/>
        <v>0</v>
      </c>
      <c r="H328" s="275">
        <f t="shared" si="203"/>
        <v>1</v>
      </c>
      <c r="I328" s="277"/>
      <c r="J328" s="278">
        <f t="shared" si="204"/>
        <v>24</v>
      </c>
      <c r="K328" s="272">
        <f>IFERROR(INDEX('Horo. M'!$E$3:$E$367,MATCH(A328,'Horo. M'!$A$3:$A$367,0)),"")</f>
        <v>0</v>
      </c>
      <c r="L328" s="273"/>
      <c r="M328" s="273"/>
      <c r="N328" s="272">
        <f t="shared" si="205"/>
        <v>24</v>
      </c>
      <c r="O328" s="274">
        <f t="shared" si="206"/>
        <v>0</v>
      </c>
      <c r="P328" s="275">
        <f t="shared" si="207"/>
        <v>1</v>
      </c>
      <c r="Q328" s="276"/>
      <c r="R328" s="278">
        <f t="shared" si="208"/>
        <v>24</v>
      </c>
      <c r="S328" s="272">
        <f>IFERROR(INDEX('Horo. M'!G$3:$G$367,MATCH(A328,'Horo. M'!$A$3:$A$367,0)),"")</f>
        <v>0</v>
      </c>
      <c r="T328" s="278"/>
      <c r="U328" s="278"/>
      <c r="V328" s="272">
        <f t="shared" si="209"/>
        <v>24</v>
      </c>
      <c r="W328" s="274">
        <f t="shared" si="210"/>
        <v>0</v>
      </c>
      <c r="X328" s="275">
        <f t="shared" si="211"/>
        <v>1</v>
      </c>
      <c r="Y328" s="278"/>
      <c r="Z328" s="278">
        <f t="shared" si="212"/>
        <v>24</v>
      </c>
      <c r="AA328" s="272">
        <f>IFERROR(INDEX('Horo. M'!$I$3:I$367,MATCH(A328,'Horo. M'!$A$3:$A$367,0)),"")</f>
        <v>0</v>
      </c>
      <c r="AB328" s="273"/>
      <c r="AC328" s="273"/>
      <c r="AD328" s="272">
        <f t="shared" si="213"/>
        <v>24</v>
      </c>
      <c r="AE328" s="274">
        <f t="shared" si="214"/>
        <v>0</v>
      </c>
      <c r="AF328" s="275">
        <f t="shared" si="215"/>
        <v>1</v>
      </c>
      <c r="AG328" s="278"/>
      <c r="AH328" s="272">
        <f t="shared" si="216"/>
        <v>24</v>
      </c>
      <c r="AI328" s="272">
        <f>IFERROR(INDEX('Horo. M'!$K$3:K$367,MATCH(A328,'Horo. M'!$A$3:$A$367,0)),"")</f>
        <v>0</v>
      </c>
      <c r="AJ328" s="278"/>
      <c r="AK328" s="278"/>
      <c r="AL328" s="272">
        <f t="shared" si="217"/>
        <v>24</v>
      </c>
      <c r="AM328" s="274">
        <f t="shared" si="218"/>
        <v>0</v>
      </c>
      <c r="AN328" s="275">
        <f t="shared" si="219"/>
        <v>1</v>
      </c>
      <c r="AO328" s="278"/>
      <c r="AP328" s="272">
        <f t="shared" si="220"/>
        <v>24</v>
      </c>
      <c r="AQ328" s="272">
        <f>IFERROR(INDEX('Horo. M'!$M$3:M$367,MATCH(A328,'Horo. M'!$A$3:$A$367,0)),"")</f>
        <v>0</v>
      </c>
      <c r="AR328" s="278"/>
      <c r="AS328" s="278"/>
      <c r="AT328" s="272">
        <f t="shared" si="221"/>
        <v>24</v>
      </c>
      <c r="AU328" s="274">
        <f t="shared" si="222"/>
        <v>0</v>
      </c>
      <c r="AV328" s="275">
        <f t="shared" si="223"/>
        <v>1</v>
      </c>
      <c r="AW328" s="278"/>
      <c r="AX328" s="272">
        <f t="shared" si="224"/>
        <v>24</v>
      </c>
      <c r="AY328" s="272">
        <f>IFERROR(INDEX('Horo. M'!$O$3:O$367,MATCH(A328,'Horo. M'!$A$3:$A$367,0)),"")</f>
        <v>0</v>
      </c>
      <c r="AZ328" s="278"/>
      <c r="BA328" s="278"/>
      <c r="BB328" s="272">
        <f t="shared" si="225"/>
        <v>24</v>
      </c>
      <c r="BC328" s="274">
        <f t="shared" si="226"/>
        <v>0</v>
      </c>
      <c r="BD328" s="275">
        <f t="shared" si="227"/>
        <v>1</v>
      </c>
      <c r="BE328" s="278"/>
      <c r="BF328" s="272">
        <f t="shared" si="228"/>
        <v>24</v>
      </c>
      <c r="BG328" s="272">
        <f>IFERROR(INDEX('Horo. M'!$Q$3:Q$367,MATCH(A328,'Horo. M'!$A$3:$A$367,0)),"")</f>
        <v>0</v>
      </c>
      <c r="BH328" s="278"/>
      <c r="BI328" s="278"/>
      <c r="BJ328" s="272">
        <f t="shared" si="229"/>
        <v>24</v>
      </c>
      <c r="BK328" s="274">
        <f t="shared" si="230"/>
        <v>0</v>
      </c>
      <c r="BL328" s="275">
        <f t="shared" si="231"/>
        <v>1</v>
      </c>
      <c r="BM328" s="278"/>
      <c r="BN328" s="272">
        <f t="shared" si="232"/>
        <v>24</v>
      </c>
      <c r="BO328" s="272">
        <f>IFERROR(INDEX('Horo. M'!$S$3:S$367,MATCH(A328,'Horo. M'!$A$3:$A$367,0)),"")</f>
        <v>0</v>
      </c>
      <c r="BP328" s="278"/>
      <c r="BQ328" s="278"/>
      <c r="BR328" s="272">
        <f t="shared" si="233"/>
        <v>24</v>
      </c>
      <c r="BS328" s="274">
        <f t="shared" si="234"/>
        <v>0</v>
      </c>
      <c r="BT328" s="275">
        <f t="shared" si="235"/>
        <v>1</v>
      </c>
      <c r="BU328" s="278"/>
      <c r="BV328" s="272">
        <f t="shared" si="236"/>
        <v>24</v>
      </c>
      <c r="BW328" s="272">
        <f>IFERROR(INDEX('Horo. M'!$U$3:U$367,MATCH(A328,'Horo. M'!$A$3:$A$367,0)),"")</f>
        <v>0</v>
      </c>
      <c r="BX328" s="278"/>
      <c r="BY328" s="278"/>
      <c r="BZ328" s="272">
        <f t="shared" si="237"/>
        <v>24</v>
      </c>
      <c r="CA328" s="274">
        <f t="shared" si="238"/>
        <v>0</v>
      </c>
      <c r="CB328" s="275">
        <f t="shared" si="239"/>
        <v>1</v>
      </c>
      <c r="CC328" s="280"/>
    </row>
    <row r="329" spans="1:81">
      <c r="A329" s="279">
        <v>45254</v>
      </c>
      <c r="B329" s="278">
        <f t="shared" si="200"/>
        <v>24</v>
      </c>
      <c r="C329" s="272">
        <f>IFERROR(INDEX('Horo. M'!$C$3:$C$367,MATCH(A329,'Horo. M'!$A$3:$A$367,0)),"")</f>
        <v>0</v>
      </c>
      <c r="D329" s="278"/>
      <c r="E329" s="278"/>
      <c r="F329" s="272">
        <f t="shared" si="201"/>
        <v>24</v>
      </c>
      <c r="G329" s="274">
        <f t="shared" si="202"/>
        <v>0</v>
      </c>
      <c r="H329" s="275">
        <f t="shared" si="203"/>
        <v>1</v>
      </c>
      <c r="I329" s="277"/>
      <c r="J329" s="278">
        <f t="shared" si="204"/>
        <v>24</v>
      </c>
      <c r="K329" s="272">
        <f>IFERROR(INDEX('Horo. M'!$E$3:$E$367,MATCH(A329,'Horo. M'!$A$3:$A$367,0)),"")</f>
        <v>0</v>
      </c>
      <c r="L329" s="273"/>
      <c r="M329" s="273"/>
      <c r="N329" s="272">
        <f t="shared" si="205"/>
        <v>24</v>
      </c>
      <c r="O329" s="274">
        <f t="shared" si="206"/>
        <v>0</v>
      </c>
      <c r="P329" s="275">
        <f t="shared" si="207"/>
        <v>1</v>
      </c>
      <c r="Q329" s="276"/>
      <c r="R329" s="278">
        <f t="shared" si="208"/>
        <v>24</v>
      </c>
      <c r="S329" s="272">
        <f>IFERROR(INDEX('Horo. M'!G$3:$G$367,MATCH(A329,'Horo. M'!$A$3:$A$367,0)),"")</f>
        <v>0</v>
      </c>
      <c r="T329" s="278"/>
      <c r="U329" s="278"/>
      <c r="V329" s="272">
        <f t="shared" si="209"/>
        <v>24</v>
      </c>
      <c r="W329" s="274">
        <f t="shared" si="210"/>
        <v>0</v>
      </c>
      <c r="X329" s="275">
        <f t="shared" si="211"/>
        <v>1</v>
      </c>
      <c r="Y329" s="278"/>
      <c r="Z329" s="278">
        <f t="shared" si="212"/>
        <v>24</v>
      </c>
      <c r="AA329" s="272">
        <f>IFERROR(INDEX('Horo. M'!$I$3:I$367,MATCH(A329,'Horo. M'!$A$3:$A$367,0)),"")</f>
        <v>0</v>
      </c>
      <c r="AB329" s="273"/>
      <c r="AC329" s="273"/>
      <c r="AD329" s="272">
        <f t="shared" si="213"/>
        <v>24</v>
      </c>
      <c r="AE329" s="274">
        <f t="shared" si="214"/>
        <v>0</v>
      </c>
      <c r="AF329" s="275">
        <f t="shared" si="215"/>
        <v>1</v>
      </c>
      <c r="AG329" s="278"/>
      <c r="AH329" s="272">
        <f t="shared" si="216"/>
        <v>24</v>
      </c>
      <c r="AI329" s="272">
        <f>IFERROR(INDEX('Horo. M'!$K$3:K$367,MATCH(A329,'Horo. M'!$A$3:$A$367,0)),"")</f>
        <v>0</v>
      </c>
      <c r="AJ329" s="278"/>
      <c r="AK329" s="278"/>
      <c r="AL329" s="272">
        <f t="shared" si="217"/>
        <v>24</v>
      </c>
      <c r="AM329" s="274">
        <f t="shared" si="218"/>
        <v>0</v>
      </c>
      <c r="AN329" s="275">
        <f t="shared" si="219"/>
        <v>1</v>
      </c>
      <c r="AO329" s="278"/>
      <c r="AP329" s="272">
        <f t="shared" si="220"/>
        <v>24</v>
      </c>
      <c r="AQ329" s="272">
        <f>IFERROR(INDEX('Horo. M'!$M$3:M$367,MATCH(A329,'Horo. M'!$A$3:$A$367,0)),"")</f>
        <v>0</v>
      </c>
      <c r="AR329" s="278"/>
      <c r="AS329" s="278"/>
      <c r="AT329" s="272">
        <f t="shared" si="221"/>
        <v>24</v>
      </c>
      <c r="AU329" s="274">
        <f t="shared" si="222"/>
        <v>0</v>
      </c>
      <c r="AV329" s="275">
        <f t="shared" si="223"/>
        <v>1</v>
      </c>
      <c r="AW329" s="278"/>
      <c r="AX329" s="272">
        <f t="shared" si="224"/>
        <v>24</v>
      </c>
      <c r="AY329" s="272">
        <f>IFERROR(INDEX('Horo. M'!$O$3:O$367,MATCH(A329,'Horo. M'!$A$3:$A$367,0)),"")</f>
        <v>0</v>
      </c>
      <c r="AZ329" s="278"/>
      <c r="BA329" s="278"/>
      <c r="BB329" s="272">
        <f t="shared" si="225"/>
        <v>24</v>
      </c>
      <c r="BC329" s="274">
        <f t="shared" si="226"/>
        <v>0</v>
      </c>
      <c r="BD329" s="275">
        <f t="shared" si="227"/>
        <v>1</v>
      </c>
      <c r="BE329" s="278"/>
      <c r="BF329" s="272">
        <f t="shared" si="228"/>
        <v>24</v>
      </c>
      <c r="BG329" s="272">
        <f>IFERROR(INDEX('Horo. M'!$Q$3:Q$367,MATCH(A329,'Horo. M'!$A$3:$A$367,0)),"")</f>
        <v>0</v>
      </c>
      <c r="BH329" s="278"/>
      <c r="BI329" s="278"/>
      <c r="BJ329" s="272">
        <f t="shared" si="229"/>
        <v>24</v>
      </c>
      <c r="BK329" s="274">
        <f t="shared" si="230"/>
        <v>0</v>
      </c>
      <c r="BL329" s="275">
        <f t="shared" si="231"/>
        <v>1</v>
      </c>
      <c r="BM329" s="278"/>
      <c r="BN329" s="272">
        <f t="shared" si="232"/>
        <v>24</v>
      </c>
      <c r="BO329" s="272">
        <f>IFERROR(INDEX('Horo. M'!$S$3:S$367,MATCH(A329,'Horo. M'!$A$3:$A$367,0)),"")</f>
        <v>0</v>
      </c>
      <c r="BP329" s="278"/>
      <c r="BQ329" s="278"/>
      <c r="BR329" s="272">
        <f t="shared" si="233"/>
        <v>24</v>
      </c>
      <c r="BS329" s="274">
        <f t="shared" si="234"/>
        <v>0</v>
      </c>
      <c r="BT329" s="275">
        <f t="shared" si="235"/>
        <v>1</v>
      </c>
      <c r="BU329" s="278"/>
      <c r="BV329" s="272">
        <f t="shared" si="236"/>
        <v>24</v>
      </c>
      <c r="BW329" s="272">
        <f>IFERROR(INDEX('Horo. M'!$U$3:U$367,MATCH(A329,'Horo. M'!$A$3:$A$367,0)),"")</f>
        <v>0</v>
      </c>
      <c r="BX329" s="278"/>
      <c r="BY329" s="278"/>
      <c r="BZ329" s="272">
        <f t="shared" si="237"/>
        <v>24</v>
      </c>
      <c r="CA329" s="274">
        <f t="shared" si="238"/>
        <v>0</v>
      </c>
      <c r="CB329" s="275">
        <f t="shared" si="239"/>
        <v>1</v>
      </c>
      <c r="CC329" s="280"/>
    </row>
    <row r="330" spans="1:81">
      <c r="A330" s="279">
        <v>45255</v>
      </c>
      <c r="B330" s="278">
        <f t="shared" si="200"/>
        <v>24</v>
      </c>
      <c r="C330" s="272">
        <f>IFERROR(INDEX('Horo. M'!$C$3:$C$367,MATCH(A330,'Horo. M'!$A$3:$A$367,0)),"")</f>
        <v>0</v>
      </c>
      <c r="D330" s="278"/>
      <c r="E330" s="278"/>
      <c r="F330" s="272">
        <f t="shared" si="201"/>
        <v>24</v>
      </c>
      <c r="G330" s="274">
        <f t="shared" si="202"/>
        <v>0</v>
      </c>
      <c r="H330" s="275">
        <f t="shared" si="203"/>
        <v>1</v>
      </c>
      <c r="I330" s="277"/>
      <c r="J330" s="278">
        <f t="shared" si="204"/>
        <v>24</v>
      </c>
      <c r="K330" s="272">
        <f>IFERROR(INDEX('Horo. M'!$E$3:$E$367,MATCH(A330,'Horo. M'!$A$3:$A$367,0)),"")</f>
        <v>0</v>
      </c>
      <c r="L330" s="273"/>
      <c r="M330" s="273"/>
      <c r="N330" s="272">
        <f t="shared" si="205"/>
        <v>24</v>
      </c>
      <c r="O330" s="274">
        <f t="shared" si="206"/>
        <v>0</v>
      </c>
      <c r="P330" s="275">
        <f t="shared" si="207"/>
        <v>1</v>
      </c>
      <c r="Q330" s="276"/>
      <c r="R330" s="278">
        <f t="shared" si="208"/>
        <v>24</v>
      </c>
      <c r="S330" s="272">
        <f>IFERROR(INDEX('Horo. M'!G$3:$G$367,MATCH(A330,'Horo. M'!$A$3:$A$367,0)),"")</f>
        <v>0</v>
      </c>
      <c r="T330" s="278"/>
      <c r="U330" s="278"/>
      <c r="V330" s="272">
        <f t="shared" si="209"/>
        <v>24</v>
      </c>
      <c r="W330" s="274">
        <f t="shared" si="210"/>
        <v>0</v>
      </c>
      <c r="X330" s="275">
        <f t="shared" si="211"/>
        <v>1</v>
      </c>
      <c r="Y330" s="278"/>
      <c r="Z330" s="278">
        <f t="shared" si="212"/>
        <v>24</v>
      </c>
      <c r="AA330" s="272">
        <f>IFERROR(INDEX('Horo. M'!$I$3:I$367,MATCH(A330,'Horo. M'!$A$3:$A$367,0)),"")</f>
        <v>0</v>
      </c>
      <c r="AB330" s="273"/>
      <c r="AC330" s="273"/>
      <c r="AD330" s="272">
        <f t="shared" si="213"/>
        <v>24</v>
      </c>
      <c r="AE330" s="274">
        <f t="shared" si="214"/>
        <v>0</v>
      </c>
      <c r="AF330" s="275">
        <f t="shared" si="215"/>
        <v>1</v>
      </c>
      <c r="AG330" s="278"/>
      <c r="AH330" s="272">
        <f t="shared" si="216"/>
        <v>24</v>
      </c>
      <c r="AI330" s="272">
        <f>IFERROR(INDEX('Horo. M'!$K$3:K$367,MATCH(A330,'Horo. M'!$A$3:$A$367,0)),"")</f>
        <v>0</v>
      </c>
      <c r="AJ330" s="278"/>
      <c r="AK330" s="278"/>
      <c r="AL330" s="272">
        <f t="shared" si="217"/>
        <v>24</v>
      </c>
      <c r="AM330" s="274">
        <f t="shared" si="218"/>
        <v>0</v>
      </c>
      <c r="AN330" s="275">
        <f t="shared" si="219"/>
        <v>1</v>
      </c>
      <c r="AO330" s="278"/>
      <c r="AP330" s="272">
        <f t="shared" si="220"/>
        <v>24</v>
      </c>
      <c r="AQ330" s="272">
        <f>IFERROR(INDEX('Horo. M'!$M$3:M$367,MATCH(A330,'Horo. M'!$A$3:$A$367,0)),"")</f>
        <v>0</v>
      </c>
      <c r="AR330" s="278"/>
      <c r="AS330" s="278"/>
      <c r="AT330" s="272">
        <f t="shared" si="221"/>
        <v>24</v>
      </c>
      <c r="AU330" s="274">
        <f t="shared" si="222"/>
        <v>0</v>
      </c>
      <c r="AV330" s="275">
        <f t="shared" si="223"/>
        <v>1</v>
      </c>
      <c r="AW330" s="278"/>
      <c r="AX330" s="272">
        <f t="shared" si="224"/>
        <v>24</v>
      </c>
      <c r="AY330" s="272">
        <f>IFERROR(INDEX('Horo. M'!$O$3:O$367,MATCH(A330,'Horo. M'!$A$3:$A$367,0)),"")</f>
        <v>0</v>
      </c>
      <c r="AZ330" s="278"/>
      <c r="BA330" s="278"/>
      <c r="BB330" s="272">
        <f t="shared" si="225"/>
        <v>24</v>
      </c>
      <c r="BC330" s="274">
        <f t="shared" si="226"/>
        <v>0</v>
      </c>
      <c r="BD330" s="275">
        <f t="shared" si="227"/>
        <v>1</v>
      </c>
      <c r="BE330" s="278"/>
      <c r="BF330" s="272">
        <f t="shared" si="228"/>
        <v>24</v>
      </c>
      <c r="BG330" s="272">
        <f>IFERROR(INDEX('Horo. M'!$Q$3:Q$367,MATCH(A330,'Horo. M'!$A$3:$A$367,0)),"")</f>
        <v>0</v>
      </c>
      <c r="BH330" s="278"/>
      <c r="BI330" s="278"/>
      <c r="BJ330" s="272">
        <f t="shared" si="229"/>
        <v>24</v>
      </c>
      <c r="BK330" s="274">
        <f t="shared" si="230"/>
        <v>0</v>
      </c>
      <c r="BL330" s="275">
        <f t="shared" si="231"/>
        <v>1</v>
      </c>
      <c r="BM330" s="278"/>
      <c r="BN330" s="272">
        <f t="shared" si="232"/>
        <v>24</v>
      </c>
      <c r="BO330" s="272">
        <f>IFERROR(INDEX('Horo. M'!$S$3:S$367,MATCH(A330,'Horo. M'!$A$3:$A$367,0)),"")</f>
        <v>0</v>
      </c>
      <c r="BP330" s="278"/>
      <c r="BQ330" s="278"/>
      <c r="BR330" s="272">
        <f t="shared" si="233"/>
        <v>24</v>
      </c>
      <c r="BS330" s="274">
        <f t="shared" si="234"/>
        <v>0</v>
      </c>
      <c r="BT330" s="275">
        <f t="shared" si="235"/>
        <v>1</v>
      </c>
      <c r="BU330" s="278"/>
      <c r="BV330" s="272">
        <f t="shared" si="236"/>
        <v>24</v>
      </c>
      <c r="BW330" s="272">
        <f>IFERROR(INDEX('Horo. M'!$U$3:U$367,MATCH(A330,'Horo. M'!$A$3:$A$367,0)),"")</f>
        <v>0</v>
      </c>
      <c r="BX330" s="278"/>
      <c r="BY330" s="278"/>
      <c r="BZ330" s="272">
        <f t="shared" si="237"/>
        <v>24</v>
      </c>
      <c r="CA330" s="274">
        <f t="shared" si="238"/>
        <v>0</v>
      </c>
      <c r="CB330" s="275">
        <f t="shared" si="239"/>
        <v>1</v>
      </c>
      <c r="CC330" s="280"/>
    </row>
    <row r="331" spans="1:81">
      <c r="A331" s="279">
        <v>45256</v>
      </c>
      <c r="B331" s="278">
        <f t="shared" si="200"/>
        <v>24</v>
      </c>
      <c r="C331" s="272">
        <f>IFERROR(INDEX('Horo. M'!$C$3:$C$367,MATCH(A331,'Horo. M'!$A$3:$A$367,0)),"")</f>
        <v>0</v>
      </c>
      <c r="D331" s="278"/>
      <c r="E331" s="278"/>
      <c r="F331" s="272">
        <f t="shared" si="201"/>
        <v>24</v>
      </c>
      <c r="G331" s="274">
        <f t="shared" si="202"/>
        <v>0</v>
      </c>
      <c r="H331" s="275">
        <f t="shared" si="203"/>
        <v>1</v>
      </c>
      <c r="I331" s="277"/>
      <c r="J331" s="278">
        <f t="shared" si="204"/>
        <v>24</v>
      </c>
      <c r="K331" s="272">
        <f>IFERROR(INDEX('Horo. M'!$E$3:$E$367,MATCH(A331,'Horo. M'!$A$3:$A$367,0)),"")</f>
        <v>0</v>
      </c>
      <c r="L331" s="273"/>
      <c r="M331" s="273"/>
      <c r="N331" s="272">
        <f t="shared" si="205"/>
        <v>24</v>
      </c>
      <c r="O331" s="274">
        <f t="shared" si="206"/>
        <v>0</v>
      </c>
      <c r="P331" s="275">
        <f t="shared" si="207"/>
        <v>1</v>
      </c>
      <c r="Q331" s="276"/>
      <c r="R331" s="278">
        <f t="shared" si="208"/>
        <v>24</v>
      </c>
      <c r="S331" s="272">
        <f>IFERROR(INDEX('Horo. M'!G$3:$G$367,MATCH(A331,'Horo. M'!$A$3:$A$367,0)),"")</f>
        <v>0</v>
      </c>
      <c r="T331" s="278"/>
      <c r="U331" s="278"/>
      <c r="V331" s="272">
        <f t="shared" si="209"/>
        <v>24</v>
      </c>
      <c r="W331" s="274">
        <f t="shared" si="210"/>
        <v>0</v>
      </c>
      <c r="X331" s="275">
        <f t="shared" si="211"/>
        <v>1</v>
      </c>
      <c r="Y331" s="278"/>
      <c r="Z331" s="278">
        <f t="shared" si="212"/>
        <v>24</v>
      </c>
      <c r="AA331" s="272">
        <f>IFERROR(INDEX('Horo. M'!$I$3:I$367,MATCH(A331,'Horo. M'!$A$3:$A$367,0)),"")</f>
        <v>0</v>
      </c>
      <c r="AB331" s="273"/>
      <c r="AC331" s="273"/>
      <c r="AD331" s="272">
        <f t="shared" si="213"/>
        <v>24</v>
      </c>
      <c r="AE331" s="274">
        <f t="shared" si="214"/>
        <v>0</v>
      </c>
      <c r="AF331" s="275">
        <f t="shared" si="215"/>
        <v>1</v>
      </c>
      <c r="AG331" s="278"/>
      <c r="AH331" s="272">
        <f t="shared" si="216"/>
        <v>24</v>
      </c>
      <c r="AI331" s="272">
        <f>IFERROR(INDEX('Horo. M'!$K$3:K$367,MATCH(A331,'Horo. M'!$A$3:$A$367,0)),"")</f>
        <v>0</v>
      </c>
      <c r="AJ331" s="278"/>
      <c r="AK331" s="278"/>
      <c r="AL331" s="272">
        <f t="shared" si="217"/>
        <v>24</v>
      </c>
      <c r="AM331" s="274">
        <f t="shared" si="218"/>
        <v>0</v>
      </c>
      <c r="AN331" s="275">
        <f t="shared" si="219"/>
        <v>1</v>
      </c>
      <c r="AO331" s="278"/>
      <c r="AP331" s="272">
        <f t="shared" si="220"/>
        <v>24</v>
      </c>
      <c r="AQ331" s="272">
        <f>IFERROR(INDEX('Horo. M'!$M$3:M$367,MATCH(A331,'Horo. M'!$A$3:$A$367,0)),"")</f>
        <v>0</v>
      </c>
      <c r="AR331" s="278"/>
      <c r="AS331" s="278"/>
      <c r="AT331" s="272">
        <f t="shared" si="221"/>
        <v>24</v>
      </c>
      <c r="AU331" s="274">
        <f t="shared" si="222"/>
        <v>0</v>
      </c>
      <c r="AV331" s="275">
        <f t="shared" si="223"/>
        <v>1</v>
      </c>
      <c r="AW331" s="278"/>
      <c r="AX331" s="272">
        <f t="shared" si="224"/>
        <v>24</v>
      </c>
      <c r="AY331" s="272">
        <f>IFERROR(INDEX('Horo. M'!$O$3:O$367,MATCH(A331,'Horo. M'!$A$3:$A$367,0)),"")</f>
        <v>0</v>
      </c>
      <c r="AZ331" s="278"/>
      <c r="BA331" s="278"/>
      <c r="BB331" s="272">
        <f t="shared" si="225"/>
        <v>24</v>
      </c>
      <c r="BC331" s="274">
        <f t="shared" si="226"/>
        <v>0</v>
      </c>
      <c r="BD331" s="275">
        <f t="shared" si="227"/>
        <v>1</v>
      </c>
      <c r="BE331" s="278"/>
      <c r="BF331" s="272">
        <f t="shared" si="228"/>
        <v>24</v>
      </c>
      <c r="BG331" s="272">
        <f>IFERROR(INDEX('Horo. M'!$Q$3:Q$367,MATCH(A331,'Horo. M'!$A$3:$A$367,0)),"")</f>
        <v>0</v>
      </c>
      <c r="BH331" s="278"/>
      <c r="BI331" s="278"/>
      <c r="BJ331" s="272">
        <f t="shared" si="229"/>
        <v>24</v>
      </c>
      <c r="BK331" s="274">
        <f t="shared" si="230"/>
        <v>0</v>
      </c>
      <c r="BL331" s="275">
        <f t="shared" si="231"/>
        <v>1</v>
      </c>
      <c r="BM331" s="278"/>
      <c r="BN331" s="272">
        <f t="shared" si="232"/>
        <v>24</v>
      </c>
      <c r="BO331" s="272">
        <f>IFERROR(INDEX('Horo. M'!$S$3:S$367,MATCH(A331,'Horo. M'!$A$3:$A$367,0)),"")</f>
        <v>0</v>
      </c>
      <c r="BP331" s="278"/>
      <c r="BQ331" s="278"/>
      <c r="BR331" s="272">
        <f t="shared" si="233"/>
        <v>24</v>
      </c>
      <c r="BS331" s="274">
        <f t="shared" si="234"/>
        <v>0</v>
      </c>
      <c r="BT331" s="275">
        <f t="shared" si="235"/>
        <v>1</v>
      </c>
      <c r="BU331" s="278"/>
      <c r="BV331" s="272">
        <f t="shared" si="236"/>
        <v>24</v>
      </c>
      <c r="BW331" s="272">
        <f>IFERROR(INDEX('Horo. M'!$U$3:U$367,MATCH(A331,'Horo. M'!$A$3:$A$367,0)),"")</f>
        <v>0</v>
      </c>
      <c r="BX331" s="278"/>
      <c r="BY331" s="278"/>
      <c r="BZ331" s="272">
        <f t="shared" si="237"/>
        <v>24</v>
      </c>
      <c r="CA331" s="274">
        <f t="shared" si="238"/>
        <v>0</v>
      </c>
      <c r="CB331" s="275">
        <f t="shared" si="239"/>
        <v>1</v>
      </c>
      <c r="CC331" s="280"/>
    </row>
    <row r="332" spans="1:81">
      <c r="A332" s="279">
        <v>45257</v>
      </c>
      <c r="B332" s="278">
        <f t="shared" si="200"/>
        <v>24</v>
      </c>
      <c r="C332" s="272">
        <f>IFERROR(INDEX('Horo. M'!$C$3:$C$367,MATCH(A332,'Horo. M'!$A$3:$A$367,0)),"")</f>
        <v>0</v>
      </c>
      <c r="D332" s="278"/>
      <c r="E332" s="278"/>
      <c r="F332" s="272">
        <f t="shared" si="201"/>
        <v>24</v>
      </c>
      <c r="G332" s="274">
        <f t="shared" si="202"/>
        <v>0</v>
      </c>
      <c r="H332" s="275">
        <f t="shared" si="203"/>
        <v>1</v>
      </c>
      <c r="I332" s="277"/>
      <c r="J332" s="278">
        <f t="shared" si="204"/>
        <v>24</v>
      </c>
      <c r="K332" s="272">
        <f>IFERROR(INDEX('Horo. M'!$E$3:$E$367,MATCH(A332,'Horo. M'!$A$3:$A$367,0)),"")</f>
        <v>0</v>
      </c>
      <c r="L332" s="273"/>
      <c r="M332" s="273"/>
      <c r="N332" s="272">
        <f t="shared" si="205"/>
        <v>24</v>
      </c>
      <c r="O332" s="274">
        <f t="shared" si="206"/>
        <v>0</v>
      </c>
      <c r="P332" s="275">
        <f t="shared" si="207"/>
        <v>1</v>
      </c>
      <c r="Q332" s="276"/>
      <c r="R332" s="278">
        <f t="shared" si="208"/>
        <v>24</v>
      </c>
      <c r="S332" s="272">
        <f>IFERROR(INDEX('Horo. M'!G$3:$G$367,MATCH(A332,'Horo. M'!$A$3:$A$367,0)),"")</f>
        <v>0</v>
      </c>
      <c r="T332" s="278"/>
      <c r="U332" s="278"/>
      <c r="V332" s="272">
        <f t="shared" si="209"/>
        <v>24</v>
      </c>
      <c r="W332" s="274">
        <f t="shared" si="210"/>
        <v>0</v>
      </c>
      <c r="X332" s="275">
        <f t="shared" si="211"/>
        <v>1</v>
      </c>
      <c r="Y332" s="278"/>
      <c r="Z332" s="278">
        <f t="shared" si="212"/>
        <v>24</v>
      </c>
      <c r="AA332" s="272">
        <f>IFERROR(INDEX('Horo. M'!$I$3:I$367,MATCH(A332,'Horo. M'!$A$3:$A$367,0)),"")</f>
        <v>0</v>
      </c>
      <c r="AB332" s="273"/>
      <c r="AC332" s="273"/>
      <c r="AD332" s="272">
        <f t="shared" si="213"/>
        <v>24</v>
      </c>
      <c r="AE332" s="274">
        <f t="shared" si="214"/>
        <v>0</v>
      </c>
      <c r="AF332" s="275">
        <f t="shared" si="215"/>
        <v>1</v>
      </c>
      <c r="AG332" s="278"/>
      <c r="AH332" s="272">
        <f t="shared" si="216"/>
        <v>24</v>
      </c>
      <c r="AI332" s="272">
        <f>IFERROR(INDEX('Horo. M'!$K$3:K$367,MATCH(A332,'Horo. M'!$A$3:$A$367,0)),"")</f>
        <v>0</v>
      </c>
      <c r="AJ332" s="278"/>
      <c r="AK332" s="278"/>
      <c r="AL332" s="272">
        <f t="shared" si="217"/>
        <v>24</v>
      </c>
      <c r="AM332" s="274">
        <f t="shared" si="218"/>
        <v>0</v>
      </c>
      <c r="AN332" s="275">
        <f t="shared" si="219"/>
        <v>1</v>
      </c>
      <c r="AO332" s="278"/>
      <c r="AP332" s="272">
        <f t="shared" si="220"/>
        <v>24</v>
      </c>
      <c r="AQ332" s="272">
        <f>IFERROR(INDEX('Horo. M'!$M$3:M$367,MATCH(A332,'Horo. M'!$A$3:$A$367,0)),"")</f>
        <v>0</v>
      </c>
      <c r="AR332" s="278"/>
      <c r="AS332" s="278"/>
      <c r="AT332" s="272">
        <f t="shared" si="221"/>
        <v>24</v>
      </c>
      <c r="AU332" s="274">
        <f t="shared" si="222"/>
        <v>0</v>
      </c>
      <c r="AV332" s="275">
        <f t="shared" si="223"/>
        <v>1</v>
      </c>
      <c r="AW332" s="278"/>
      <c r="AX332" s="272">
        <f t="shared" si="224"/>
        <v>24</v>
      </c>
      <c r="AY332" s="272">
        <f>IFERROR(INDEX('Horo. M'!$O$3:O$367,MATCH(A332,'Horo. M'!$A$3:$A$367,0)),"")</f>
        <v>0</v>
      </c>
      <c r="AZ332" s="278"/>
      <c r="BA332" s="278"/>
      <c r="BB332" s="272">
        <f t="shared" si="225"/>
        <v>24</v>
      </c>
      <c r="BC332" s="274">
        <f t="shared" si="226"/>
        <v>0</v>
      </c>
      <c r="BD332" s="275">
        <f t="shared" si="227"/>
        <v>1</v>
      </c>
      <c r="BE332" s="278"/>
      <c r="BF332" s="272">
        <f t="shared" si="228"/>
        <v>24</v>
      </c>
      <c r="BG332" s="272">
        <f>IFERROR(INDEX('Horo. M'!$Q$3:Q$367,MATCH(A332,'Horo. M'!$A$3:$A$367,0)),"")</f>
        <v>0</v>
      </c>
      <c r="BH332" s="278"/>
      <c r="BI332" s="278"/>
      <c r="BJ332" s="272">
        <f t="shared" si="229"/>
        <v>24</v>
      </c>
      <c r="BK332" s="274">
        <f t="shared" si="230"/>
        <v>0</v>
      </c>
      <c r="BL332" s="275">
        <f t="shared" si="231"/>
        <v>1</v>
      </c>
      <c r="BM332" s="278"/>
      <c r="BN332" s="272">
        <f t="shared" si="232"/>
        <v>24</v>
      </c>
      <c r="BO332" s="272">
        <f>IFERROR(INDEX('Horo. M'!$S$3:S$367,MATCH(A332,'Horo. M'!$A$3:$A$367,0)),"")</f>
        <v>0</v>
      </c>
      <c r="BP332" s="278"/>
      <c r="BQ332" s="278"/>
      <c r="BR332" s="272">
        <f t="shared" si="233"/>
        <v>24</v>
      </c>
      <c r="BS332" s="274">
        <f t="shared" si="234"/>
        <v>0</v>
      </c>
      <c r="BT332" s="275">
        <f t="shared" si="235"/>
        <v>1</v>
      </c>
      <c r="BU332" s="278"/>
      <c r="BV332" s="272">
        <f t="shared" si="236"/>
        <v>24</v>
      </c>
      <c r="BW332" s="272">
        <f>IFERROR(INDEX('Horo. M'!$U$3:U$367,MATCH(A332,'Horo. M'!$A$3:$A$367,0)),"")</f>
        <v>0</v>
      </c>
      <c r="BX332" s="278"/>
      <c r="BY332" s="278"/>
      <c r="BZ332" s="272">
        <f t="shared" si="237"/>
        <v>24</v>
      </c>
      <c r="CA332" s="274">
        <f t="shared" si="238"/>
        <v>0</v>
      </c>
      <c r="CB332" s="275">
        <f t="shared" si="239"/>
        <v>1</v>
      </c>
      <c r="CC332" s="280"/>
    </row>
    <row r="333" spans="1:81">
      <c r="A333" s="279">
        <v>45258</v>
      </c>
      <c r="B333" s="278">
        <f t="shared" si="200"/>
        <v>24</v>
      </c>
      <c r="C333" s="272">
        <f>IFERROR(INDEX('Horo. M'!$C$3:$C$367,MATCH(A333,'Horo. M'!$A$3:$A$367,0)),"")</f>
        <v>0</v>
      </c>
      <c r="D333" s="278"/>
      <c r="E333" s="278"/>
      <c r="F333" s="272">
        <f t="shared" si="201"/>
        <v>24</v>
      </c>
      <c r="G333" s="274">
        <f t="shared" si="202"/>
        <v>0</v>
      </c>
      <c r="H333" s="275">
        <f t="shared" si="203"/>
        <v>1</v>
      </c>
      <c r="I333" s="277"/>
      <c r="J333" s="278">
        <f t="shared" si="204"/>
        <v>24</v>
      </c>
      <c r="K333" s="272">
        <f>IFERROR(INDEX('Horo. M'!$E$3:$E$367,MATCH(A333,'Horo. M'!$A$3:$A$367,0)),"")</f>
        <v>0</v>
      </c>
      <c r="L333" s="273"/>
      <c r="M333" s="273"/>
      <c r="N333" s="272">
        <f t="shared" si="205"/>
        <v>24</v>
      </c>
      <c r="O333" s="274">
        <f t="shared" si="206"/>
        <v>0</v>
      </c>
      <c r="P333" s="275">
        <f t="shared" si="207"/>
        <v>1</v>
      </c>
      <c r="Q333" s="276"/>
      <c r="R333" s="278">
        <f t="shared" si="208"/>
        <v>24</v>
      </c>
      <c r="S333" s="272">
        <f>IFERROR(INDEX('Horo. M'!G$3:$G$367,MATCH(A333,'Horo. M'!$A$3:$A$367,0)),"")</f>
        <v>0</v>
      </c>
      <c r="T333" s="278"/>
      <c r="U333" s="278"/>
      <c r="V333" s="272">
        <f t="shared" si="209"/>
        <v>24</v>
      </c>
      <c r="W333" s="274">
        <f t="shared" si="210"/>
        <v>0</v>
      </c>
      <c r="X333" s="275">
        <f t="shared" si="211"/>
        <v>1</v>
      </c>
      <c r="Y333" s="278"/>
      <c r="Z333" s="278">
        <f t="shared" si="212"/>
        <v>24</v>
      </c>
      <c r="AA333" s="272">
        <f>IFERROR(INDEX('Horo. M'!$I$3:I$367,MATCH(A333,'Horo. M'!$A$3:$A$367,0)),"")</f>
        <v>0</v>
      </c>
      <c r="AB333" s="273"/>
      <c r="AC333" s="273"/>
      <c r="AD333" s="272">
        <f t="shared" si="213"/>
        <v>24</v>
      </c>
      <c r="AE333" s="274">
        <f t="shared" si="214"/>
        <v>0</v>
      </c>
      <c r="AF333" s="275">
        <f t="shared" si="215"/>
        <v>1</v>
      </c>
      <c r="AG333" s="278"/>
      <c r="AH333" s="272">
        <f t="shared" si="216"/>
        <v>24</v>
      </c>
      <c r="AI333" s="272">
        <f>IFERROR(INDEX('Horo. M'!$K$3:K$367,MATCH(A333,'Horo. M'!$A$3:$A$367,0)),"")</f>
        <v>0</v>
      </c>
      <c r="AJ333" s="278"/>
      <c r="AK333" s="278"/>
      <c r="AL333" s="272">
        <f t="shared" si="217"/>
        <v>24</v>
      </c>
      <c r="AM333" s="274">
        <f t="shared" si="218"/>
        <v>0</v>
      </c>
      <c r="AN333" s="275">
        <f t="shared" si="219"/>
        <v>1</v>
      </c>
      <c r="AO333" s="278"/>
      <c r="AP333" s="272">
        <f t="shared" si="220"/>
        <v>24</v>
      </c>
      <c r="AQ333" s="272">
        <f>IFERROR(INDEX('Horo. M'!$M$3:M$367,MATCH(A333,'Horo. M'!$A$3:$A$367,0)),"")</f>
        <v>0</v>
      </c>
      <c r="AR333" s="278"/>
      <c r="AS333" s="278"/>
      <c r="AT333" s="272">
        <f t="shared" si="221"/>
        <v>24</v>
      </c>
      <c r="AU333" s="274">
        <f t="shared" si="222"/>
        <v>0</v>
      </c>
      <c r="AV333" s="275">
        <f t="shared" si="223"/>
        <v>1</v>
      </c>
      <c r="AW333" s="278"/>
      <c r="AX333" s="272">
        <f t="shared" si="224"/>
        <v>24</v>
      </c>
      <c r="AY333" s="272">
        <f>IFERROR(INDEX('Horo. M'!$O$3:O$367,MATCH(A333,'Horo. M'!$A$3:$A$367,0)),"")</f>
        <v>0</v>
      </c>
      <c r="AZ333" s="278"/>
      <c r="BA333" s="278"/>
      <c r="BB333" s="272">
        <f t="shared" si="225"/>
        <v>24</v>
      </c>
      <c r="BC333" s="274">
        <f t="shared" si="226"/>
        <v>0</v>
      </c>
      <c r="BD333" s="275">
        <f t="shared" si="227"/>
        <v>1</v>
      </c>
      <c r="BE333" s="278"/>
      <c r="BF333" s="272">
        <f t="shared" si="228"/>
        <v>24</v>
      </c>
      <c r="BG333" s="272">
        <f>IFERROR(INDEX('Horo. M'!$Q$3:Q$367,MATCH(A333,'Horo. M'!$A$3:$A$367,0)),"")</f>
        <v>0</v>
      </c>
      <c r="BH333" s="278"/>
      <c r="BI333" s="278"/>
      <c r="BJ333" s="272">
        <f t="shared" si="229"/>
        <v>24</v>
      </c>
      <c r="BK333" s="274">
        <f t="shared" si="230"/>
        <v>0</v>
      </c>
      <c r="BL333" s="275">
        <f t="shared" si="231"/>
        <v>1</v>
      </c>
      <c r="BM333" s="278"/>
      <c r="BN333" s="272">
        <f t="shared" si="232"/>
        <v>24</v>
      </c>
      <c r="BO333" s="272">
        <f>IFERROR(INDEX('Horo. M'!$S$3:S$367,MATCH(A333,'Horo. M'!$A$3:$A$367,0)),"")</f>
        <v>0</v>
      </c>
      <c r="BP333" s="278"/>
      <c r="BQ333" s="278"/>
      <c r="BR333" s="272">
        <f t="shared" si="233"/>
        <v>24</v>
      </c>
      <c r="BS333" s="274">
        <f t="shared" si="234"/>
        <v>0</v>
      </c>
      <c r="BT333" s="275">
        <f t="shared" si="235"/>
        <v>1</v>
      </c>
      <c r="BU333" s="278"/>
      <c r="BV333" s="272">
        <f t="shared" si="236"/>
        <v>24</v>
      </c>
      <c r="BW333" s="272">
        <f>IFERROR(INDEX('Horo. M'!$U$3:U$367,MATCH(A333,'Horo. M'!$A$3:$A$367,0)),"")</f>
        <v>0</v>
      </c>
      <c r="BX333" s="278"/>
      <c r="BY333" s="278"/>
      <c r="BZ333" s="272">
        <f t="shared" si="237"/>
        <v>24</v>
      </c>
      <c r="CA333" s="274">
        <f t="shared" si="238"/>
        <v>0</v>
      </c>
      <c r="CB333" s="275">
        <f t="shared" si="239"/>
        <v>1</v>
      </c>
      <c r="CC333" s="280"/>
    </row>
    <row r="334" spans="1:81">
      <c r="A334" s="279">
        <v>45259</v>
      </c>
      <c r="B334" s="278">
        <f t="shared" si="200"/>
        <v>24</v>
      </c>
      <c r="C334" s="272">
        <f>IFERROR(INDEX('Horo. M'!$C$3:$C$367,MATCH(A334,'Horo. M'!$A$3:$A$367,0)),"")</f>
        <v>0</v>
      </c>
      <c r="D334" s="278"/>
      <c r="E334" s="278"/>
      <c r="F334" s="272">
        <f t="shared" si="201"/>
        <v>24</v>
      </c>
      <c r="G334" s="274">
        <f t="shared" si="202"/>
        <v>0</v>
      </c>
      <c r="H334" s="275">
        <f t="shared" si="203"/>
        <v>1</v>
      </c>
      <c r="I334" s="277"/>
      <c r="J334" s="278">
        <f t="shared" si="204"/>
        <v>24</v>
      </c>
      <c r="K334" s="272">
        <f>IFERROR(INDEX('Horo. M'!$E$3:$E$367,MATCH(A334,'Horo. M'!$A$3:$A$367,0)),"")</f>
        <v>0</v>
      </c>
      <c r="L334" s="273"/>
      <c r="M334" s="273"/>
      <c r="N334" s="272">
        <f t="shared" si="205"/>
        <v>24</v>
      </c>
      <c r="O334" s="274">
        <f t="shared" si="206"/>
        <v>0</v>
      </c>
      <c r="P334" s="275">
        <f t="shared" si="207"/>
        <v>1</v>
      </c>
      <c r="Q334" s="276"/>
      <c r="R334" s="278">
        <f t="shared" si="208"/>
        <v>24</v>
      </c>
      <c r="S334" s="272">
        <f>IFERROR(INDEX('Horo. M'!G$3:$G$367,MATCH(A334,'Horo. M'!$A$3:$A$367,0)),"")</f>
        <v>0</v>
      </c>
      <c r="T334" s="278"/>
      <c r="U334" s="278"/>
      <c r="V334" s="272">
        <f t="shared" si="209"/>
        <v>24</v>
      </c>
      <c r="W334" s="274">
        <f t="shared" si="210"/>
        <v>0</v>
      </c>
      <c r="X334" s="275">
        <f t="shared" si="211"/>
        <v>1</v>
      </c>
      <c r="Y334" s="278"/>
      <c r="Z334" s="278">
        <f t="shared" si="212"/>
        <v>24</v>
      </c>
      <c r="AA334" s="272">
        <f>IFERROR(INDEX('Horo. M'!$I$3:I$367,MATCH(A334,'Horo. M'!$A$3:$A$367,0)),"")</f>
        <v>0</v>
      </c>
      <c r="AB334" s="273"/>
      <c r="AC334" s="273"/>
      <c r="AD334" s="272">
        <f t="shared" si="213"/>
        <v>24</v>
      </c>
      <c r="AE334" s="274">
        <f t="shared" si="214"/>
        <v>0</v>
      </c>
      <c r="AF334" s="275">
        <f t="shared" si="215"/>
        <v>1</v>
      </c>
      <c r="AG334" s="278"/>
      <c r="AH334" s="272">
        <f t="shared" si="216"/>
        <v>24</v>
      </c>
      <c r="AI334" s="272">
        <f>IFERROR(INDEX('Horo. M'!$K$3:K$367,MATCH(A334,'Horo. M'!$A$3:$A$367,0)),"")</f>
        <v>0</v>
      </c>
      <c r="AJ334" s="278"/>
      <c r="AK334" s="278"/>
      <c r="AL334" s="272">
        <f t="shared" si="217"/>
        <v>24</v>
      </c>
      <c r="AM334" s="274">
        <f t="shared" si="218"/>
        <v>0</v>
      </c>
      <c r="AN334" s="275">
        <f t="shared" si="219"/>
        <v>1</v>
      </c>
      <c r="AO334" s="278"/>
      <c r="AP334" s="272">
        <f t="shared" si="220"/>
        <v>24</v>
      </c>
      <c r="AQ334" s="272">
        <f>IFERROR(INDEX('Horo. M'!$M$3:M$367,MATCH(A334,'Horo. M'!$A$3:$A$367,0)),"")</f>
        <v>0</v>
      </c>
      <c r="AR334" s="278"/>
      <c r="AS334" s="278"/>
      <c r="AT334" s="272">
        <f t="shared" si="221"/>
        <v>24</v>
      </c>
      <c r="AU334" s="274">
        <f t="shared" si="222"/>
        <v>0</v>
      </c>
      <c r="AV334" s="275">
        <f t="shared" si="223"/>
        <v>1</v>
      </c>
      <c r="AW334" s="278"/>
      <c r="AX334" s="272">
        <f t="shared" si="224"/>
        <v>24</v>
      </c>
      <c r="AY334" s="272">
        <f>IFERROR(INDEX('Horo. M'!$O$3:O$367,MATCH(A334,'Horo. M'!$A$3:$A$367,0)),"")</f>
        <v>0</v>
      </c>
      <c r="AZ334" s="278"/>
      <c r="BA334" s="278"/>
      <c r="BB334" s="272">
        <f t="shared" si="225"/>
        <v>24</v>
      </c>
      <c r="BC334" s="274">
        <f t="shared" si="226"/>
        <v>0</v>
      </c>
      <c r="BD334" s="275">
        <f t="shared" si="227"/>
        <v>1</v>
      </c>
      <c r="BE334" s="278"/>
      <c r="BF334" s="272">
        <f t="shared" si="228"/>
        <v>24</v>
      </c>
      <c r="BG334" s="272">
        <f>IFERROR(INDEX('Horo. M'!$Q$3:Q$367,MATCH(A334,'Horo. M'!$A$3:$A$367,0)),"")</f>
        <v>0</v>
      </c>
      <c r="BH334" s="278"/>
      <c r="BI334" s="278"/>
      <c r="BJ334" s="272">
        <f t="shared" si="229"/>
        <v>24</v>
      </c>
      <c r="BK334" s="274">
        <f t="shared" si="230"/>
        <v>0</v>
      </c>
      <c r="BL334" s="275">
        <f t="shared" si="231"/>
        <v>1</v>
      </c>
      <c r="BM334" s="278"/>
      <c r="BN334" s="272">
        <f t="shared" si="232"/>
        <v>24</v>
      </c>
      <c r="BO334" s="272">
        <f>IFERROR(INDEX('Horo. M'!$S$3:S$367,MATCH(A334,'Horo. M'!$A$3:$A$367,0)),"")</f>
        <v>0</v>
      </c>
      <c r="BP334" s="278"/>
      <c r="BQ334" s="278"/>
      <c r="BR334" s="272">
        <f t="shared" si="233"/>
        <v>24</v>
      </c>
      <c r="BS334" s="274">
        <f t="shared" si="234"/>
        <v>0</v>
      </c>
      <c r="BT334" s="275">
        <f t="shared" si="235"/>
        <v>1</v>
      </c>
      <c r="BU334" s="278"/>
      <c r="BV334" s="272">
        <f t="shared" si="236"/>
        <v>24</v>
      </c>
      <c r="BW334" s="272">
        <f>IFERROR(INDEX('Horo. M'!$U$3:U$367,MATCH(A334,'Horo. M'!$A$3:$A$367,0)),"")</f>
        <v>0</v>
      </c>
      <c r="BX334" s="278"/>
      <c r="BY334" s="278"/>
      <c r="BZ334" s="272">
        <f t="shared" si="237"/>
        <v>24</v>
      </c>
      <c r="CA334" s="274">
        <f t="shared" si="238"/>
        <v>0</v>
      </c>
      <c r="CB334" s="275">
        <f t="shared" si="239"/>
        <v>1</v>
      </c>
      <c r="CC334" s="280"/>
    </row>
    <row r="335" spans="1:81">
      <c r="A335" s="279">
        <v>45260</v>
      </c>
      <c r="B335" s="278">
        <f t="shared" si="200"/>
        <v>24</v>
      </c>
      <c r="C335" s="272">
        <f>IFERROR(INDEX('Horo. M'!$C$3:$C$367,MATCH(A335,'Horo. M'!$A$3:$A$367,0)),"")</f>
        <v>0</v>
      </c>
      <c r="D335" s="278"/>
      <c r="E335" s="278"/>
      <c r="F335" s="272">
        <f t="shared" si="201"/>
        <v>24</v>
      </c>
      <c r="G335" s="274">
        <f t="shared" si="202"/>
        <v>0</v>
      </c>
      <c r="H335" s="275">
        <f t="shared" si="203"/>
        <v>1</v>
      </c>
      <c r="I335" s="277"/>
      <c r="J335" s="278">
        <f t="shared" si="204"/>
        <v>24</v>
      </c>
      <c r="K335" s="272">
        <f>IFERROR(INDEX('Horo. M'!$E$3:$E$367,MATCH(A335,'Horo. M'!$A$3:$A$367,0)),"")</f>
        <v>0</v>
      </c>
      <c r="L335" s="273"/>
      <c r="M335" s="273"/>
      <c r="N335" s="272">
        <f t="shared" si="205"/>
        <v>24</v>
      </c>
      <c r="O335" s="274">
        <f t="shared" si="206"/>
        <v>0</v>
      </c>
      <c r="P335" s="275">
        <f t="shared" si="207"/>
        <v>1</v>
      </c>
      <c r="Q335" s="276"/>
      <c r="R335" s="278">
        <f t="shared" si="208"/>
        <v>24</v>
      </c>
      <c r="S335" s="272">
        <f>IFERROR(INDEX('Horo. M'!G$3:$G$367,MATCH(A335,'Horo. M'!$A$3:$A$367,0)),"")</f>
        <v>0</v>
      </c>
      <c r="T335" s="278"/>
      <c r="U335" s="278"/>
      <c r="V335" s="272">
        <f t="shared" si="209"/>
        <v>24</v>
      </c>
      <c r="W335" s="274">
        <f t="shared" si="210"/>
        <v>0</v>
      </c>
      <c r="X335" s="275">
        <f t="shared" si="211"/>
        <v>1</v>
      </c>
      <c r="Y335" s="278"/>
      <c r="Z335" s="278">
        <f t="shared" si="212"/>
        <v>24</v>
      </c>
      <c r="AA335" s="272">
        <f>IFERROR(INDEX('Horo. M'!$I$3:I$367,MATCH(A335,'Horo. M'!$A$3:$A$367,0)),"")</f>
        <v>0</v>
      </c>
      <c r="AB335" s="273"/>
      <c r="AC335" s="273"/>
      <c r="AD335" s="272">
        <f t="shared" si="213"/>
        <v>24</v>
      </c>
      <c r="AE335" s="274">
        <f t="shared" si="214"/>
        <v>0</v>
      </c>
      <c r="AF335" s="275">
        <f t="shared" si="215"/>
        <v>1</v>
      </c>
      <c r="AG335" s="278"/>
      <c r="AH335" s="272">
        <f t="shared" si="216"/>
        <v>24</v>
      </c>
      <c r="AI335" s="272">
        <f>IFERROR(INDEX('Horo. M'!$K$3:K$367,MATCH(A335,'Horo. M'!$A$3:$A$367,0)),"")</f>
        <v>0</v>
      </c>
      <c r="AJ335" s="278"/>
      <c r="AK335" s="278"/>
      <c r="AL335" s="272">
        <f t="shared" si="217"/>
        <v>24</v>
      </c>
      <c r="AM335" s="274">
        <f t="shared" si="218"/>
        <v>0</v>
      </c>
      <c r="AN335" s="275">
        <f t="shared" si="219"/>
        <v>1</v>
      </c>
      <c r="AO335" s="278"/>
      <c r="AP335" s="272">
        <f t="shared" si="220"/>
        <v>24</v>
      </c>
      <c r="AQ335" s="272">
        <f>IFERROR(INDEX('Horo. M'!$M$3:M$367,MATCH(A335,'Horo. M'!$A$3:$A$367,0)),"")</f>
        <v>0</v>
      </c>
      <c r="AR335" s="278"/>
      <c r="AS335" s="278"/>
      <c r="AT335" s="272">
        <f t="shared" si="221"/>
        <v>24</v>
      </c>
      <c r="AU335" s="274">
        <f t="shared" si="222"/>
        <v>0</v>
      </c>
      <c r="AV335" s="275">
        <f t="shared" si="223"/>
        <v>1</v>
      </c>
      <c r="AW335" s="278"/>
      <c r="AX335" s="272">
        <f t="shared" si="224"/>
        <v>24</v>
      </c>
      <c r="AY335" s="272">
        <f>IFERROR(INDEX('Horo. M'!$O$3:O$367,MATCH(A335,'Horo. M'!$A$3:$A$367,0)),"")</f>
        <v>0</v>
      </c>
      <c r="AZ335" s="278"/>
      <c r="BA335" s="278"/>
      <c r="BB335" s="272">
        <f t="shared" si="225"/>
        <v>24</v>
      </c>
      <c r="BC335" s="274">
        <f t="shared" si="226"/>
        <v>0</v>
      </c>
      <c r="BD335" s="275">
        <f t="shared" si="227"/>
        <v>1</v>
      </c>
      <c r="BE335" s="278"/>
      <c r="BF335" s="272">
        <f t="shared" si="228"/>
        <v>24</v>
      </c>
      <c r="BG335" s="272">
        <f>IFERROR(INDEX('Horo. M'!$Q$3:Q$367,MATCH(A335,'Horo. M'!$A$3:$A$367,0)),"")</f>
        <v>0</v>
      </c>
      <c r="BH335" s="278"/>
      <c r="BI335" s="278"/>
      <c r="BJ335" s="272">
        <f t="shared" si="229"/>
        <v>24</v>
      </c>
      <c r="BK335" s="274">
        <f t="shared" si="230"/>
        <v>0</v>
      </c>
      <c r="BL335" s="275">
        <f t="shared" si="231"/>
        <v>1</v>
      </c>
      <c r="BM335" s="278"/>
      <c r="BN335" s="272">
        <f t="shared" si="232"/>
        <v>24</v>
      </c>
      <c r="BO335" s="272">
        <f>IFERROR(INDEX('Horo. M'!$S$3:S$367,MATCH(A335,'Horo. M'!$A$3:$A$367,0)),"")</f>
        <v>0</v>
      </c>
      <c r="BP335" s="278"/>
      <c r="BQ335" s="278"/>
      <c r="BR335" s="272">
        <f t="shared" si="233"/>
        <v>24</v>
      </c>
      <c r="BS335" s="274">
        <f t="shared" si="234"/>
        <v>0</v>
      </c>
      <c r="BT335" s="275">
        <f t="shared" si="235"/>
        <v>1</v>
      </c>
      <c r="BU335" s="278"/>
      <c r="BV335" s="272">
        <f t="shared" si="236"/>
        <v>24</v>
      </c>
      <c r="BW335" s="272">
        <f>IFERROR(INDEX('Horo. M'!$U$3:U$367,MATCH(A335,'Horo. M'!$A$3:$A$367,0)),"")</f>
        <v>0</v>
      </c>
      <c r="BX335" s="278"/>
      <c r="BY335" s="278"/>
      <c r="BZ335" s="272">
        <f t="shared" si="237"/>
        <v>24</v>
      </c>
      <c r="CA335" s="274">
        <f t="shared" si="238"/>
        <v>0</v>
      </c>
      <c r="CB335" s="275">
        <f t="shared" si="239"/>
        <v>1</v>
      </c>
      <c r="CC335" s="280"/>
    </row>
    <row r="336" spans="1:81">
      <c r="A336" s="279">
        <v>45261</v>
      </c>
      <c r="B336" s="278">
        <f t="shared" si="200"/>
        <v>24</v>
      </c>
      <c r="C336" s="272">
        <f>IFERROR(INDEX('Horo. M'!$C$3:$C$367,MATCH(A336,'Horo. M'!$A$3:$A$367,0)),"")</f>
        <v>0</v>
      </c>
      <c r="D336" s="278"/>
      <c r="E336" s="278"/>
      <c r="F336" s="272">
        <f t="shared" si="201"/>
        <v>24</v>
      </c>
      <c r="G336" s="274">
        <f t="shared" si="202"/>
        <v>0</v>
      </c>
      <c r="H336" s="275">
        <f t="shared" si="203"/>
        <v>1</v>
      </c>
      <c r="I336" s="277"/>
      <c r="J336" s="278">
        <f t="shared" si="204"/>
        <v>24</v>
      </c>
      <c r="K336" s="272">
        <f>IFERROR(INDEX('Horo. M'!$E$3:$E$367,MATCH(A336,'Horo. M'!$A$3:$A$367,0)),"")</f>
        <v>0</v>
      </c>
      <c r="L336" s="273"/>
      <c r="M336" s="273"/>
      <c r="N336" s="272">
        <f t="shared" si="205"/>
        <v>24</v>
      </c>
      <c r="O336" s="274">
        <f t="shared" si="206"/>
        <v>0</v>
      </c>
      <c r="P336" s="275">
        <f t="shared" si="207"/>
        <v>1</v>
      </c>
      <c r="Q336" s="276"/>
      <c r="R336" s="278">
        <f t="shared" si="208"/>
        <v>24</v>
      </c>
      <c r="S336" s="272">
        <f>IFERROR(INDEX('Horo. M'!G$3:$G$367,MATCH(A336,'Horo. M'!$A$3:$A$367,0)),"")</f>
        <v>0</v>
      </c>
      <c r="T336" s="278"/>
      <c r="U336" s="278"/>
      <c r="V336" s="272">
        <f t="shared" si="209"/>
        <v>24</v>
      </c>
      <c r="W336" s="274">
        <f t="shared" si="210"/>
        <v>0</v>
      </c>
      <c r="X336" s="275">
        <f t="shared" si="211"/>
        <v>1</v>
      </c>
      <c r="Y336" s="278"/>
      <c r="Z336" s="278">
        <f t="shared" si="212"/>
        <v>24</v>
      </c>
      <c r="AA336" s="272">
        <f>IFERROR(INDEX('Horo. M'!$I$3:I$367,MATCH(A336,'Horo. M'!$A$3:$A$367,0)),"")</f>
        <v>0</v>
      </c>
      <c r="AB336" s="273"/>
      <c r="AC336" s="273"/>
      <c r="AD336" s="272">
        <f t="shared" si="213"/>
        <v>24</v>
      </c>
      <c r="AE336" s="274">
        <f t="shared" si="214"/>
        <v>0</v>
      </c>
      <c r="AF336" s="275">
        <f t="shared" si="215"/>
        <v>1</v>
      </c>
      <c r="AG336" s="278"/>
      <c r="AH336" s="272">
        <f t="shared" si="216"/>
        <v>24</v>
      </c>
      <c r="AI336" s="272">
        <f>IFERROR(INDEX('Horo. M'!$K$3:K$367,MATCH(A336,'Horo. M'!$A$3:$A$367,0)),"")</f>
        <v>0</v>
      </c>
      <c r="AJ336" s="278"/>
      <c r="AK336" s="278"/>
      <c r="AL336" s="272">
        <f t="shared" si="217"/>
        <v>24</v>
      </c>
      <c r="AM336" s="274">
        <f t="shared" si="218"/>
        <v>0</v>
      </c>
      <c r="AN336" s="275">
        <f t="shared" si="219"/>
        <v>1</v>
      </c>
      <c r="AO336" s="278"/>
      <c r="AP336" s="272">
        <f t="shared" si="220"/>
        <v>24</v>
      </c>
      <c r="AQ336" s="272">
        <f>IFERROR(INDEX('Horo. M'!$M$3:M$367,MATCH(A336,'Horo. M'!$A$3:$A$367,0)),"")</f>
        <v>0</v>
      </c>
      <c r="AR336" s="278"/>
      <c r="AS336" s="278"/>
      <c r="AT336" s="272">
        <f t="shared" si="221"/>
        <v>24</v>
      </c>
      <c r="AU336" s="274">
        <f t="shared" si="222"/>
        <v>0</v>
      </c>
      <c r="AV336" s="275">
        <f t="shared" si="223"/>
        <v>1</v>
      </c>
      <c r="AW336" s="278"/>
      <c r="AX336" s="272">
        <f t="shared" si="224"/>
        <v>24</v>
      </c>
      <c r="AY336" s="272">
        <f>IFERROR(INDEX('Horo. M'!$O$3:O$367,MATCH(A336,'Horo. M'!$A$3:$A$367,0)),"")</f>
        <v>0</v>
      </c>
      <c r="AZ336" s="278"/>
      <c r="BA336" s="278"/>
      <c r="BB336" s="272">
        <f t="shared" si="225"/>
        <v>24</v>
      </c>
      <c r="BC336" s="274">
        <f t="shared" si="226"/>
        <v>0</v>
      </c>
      <c r="BD336" s="275">
        <f t="shared" si="227"/>
        <v>1</v>
      </c>
      <c r="BE336" s="278"/>
      <c r="BF336" s="272">
        <f t="shared" si="228"/>
        <v>24</v>
      </c>
      <c r="BG336" s="272">
        <f>IFERROR(INDEX('Horo. M'!$Q$3:Q$367,MATCH(A336,'Horo. M'!$A$3:$A$367,0)),"")</f>
        <v>0</v>
      </c>
      <c r="BH336" s="278"/>
      <c r="BI336" s="278"/>
      <c r="BJ336" s="272">
        <f t="shared" si="229"/>
        <v>24</v>
      </c>
      <c r="BK336" s="274">
        <f t="shared" si="230"/>
        <v>0</v>
      </c>
      <c r="BL336" s="275">
        <f t="shared" si="231"/>
        <v>1</v>
      </c>
      <c r="BM336" s="278"/>
      <c r="BN336" s="272">
        <f t="shared" si="232"/>
        <v>24</v>
      </c>
      <c r="BO336" s="272">
        <f>IFERROR(INDEX('Horo. M'!$S$3:S$367,MATCH(A336,'Horo. M'!$A$3:$A$367,0)),"")</f>
        <v>0</v>
      </c>
      <c r="BP336" s="278"/>
      <c r="BQ336" s="278"/>
      <c r="BR336" s="272">
        <f t="shared" si="233"/>
        <v>24</v>
      </c>
      <c r="BS336" s="274">
        <f t="shared" si="234"/>
        <v>0</v>
      </c>
      <c r="BT336" s="275">
        <f t="shared" si="235"/>
        <v>1</v>
      </c>
      <c r="BU336" s="278"/>
      <c r="BV336" s="272">
        <f t="shared" si="236"/>
        <v>24</v>
      </c>
      <c r="BW336" s="272">
        <f>IFERROR(INDEX('Horo. M'!$U$3:U$367,MATCH(A336,'Horo. M'!$A$3:$A$367,0)),"")</f>
        <v>0</v>
      </c>
      <c r="BX336" s="278"/>
      <c r="BY336" s="278"/>
      <c r="BZ336" s="272">
        <f t="shared" si="237"/>
        <v>24</v>
      </c>
      <c r="CA336" s="274">
        <f t="shared" si="238"/>
        <v>0</v>
      </c>
      <c r="CB336" s="275">
        <f t="shared" si="239"/>
        <v>1</v>
      </c>
      <c r="CC336" s="280"/>
    </row>
    <row r="337" spans="1:81">
      <c r="A337" s="279">
        <v>45262</v>
      </c>
      <c r="B337" s="278">
        <f t="shared" si="200"/>
        <v>24</v>
      </c>
      <c r="C337" s="272">
        <f>IFERROR(INDEX('Horo. M'!$C$3:$C$367,MATCH(A337,'Horo. M'!$A$3:$A$367,0)),"")</f>
        <v>0</v>
      </c>
      <c r="D337" s="278"/>
      <c r="E337" s="278"/>
      <c r="F337" s="272">
        <f t="shared" si="201"/>
        <v>24</v>
      </c>
      <c r="G337" s="274">
        <f t="shared" si="202"/>
        <v>0</v>
      </c>
      <c r="H337" s="275">
        <f t="shared" si="203"/>
        <v>1</v>
      </c>
      <c r="I337" s="277"/>
      <c r="J337" s="278">
        <f t="shared" si="204"/>
        <v>24</v>
      </c>
      <c r="K337" s="272">
        <f>IFERROR(INDEX('Horo. M'!$E$3:$E$367,MATCH(A337,'Horo. M'!$A$3:$A$367,0)),"")</f>
        <v>0</v>
      </c>
      <c r="L337" s="273"/>
      <c r="M337" s="273"/>
      <c r="N337" s="272">
        <f t="shared" si="205"/>
        <v>24</v>
      </c>
      <c r="O337" s="274">
        <f t="shared" si="206"/>
        <v>0</v>
      </c>
      <c r="P337" s="275">
        <f t="shared" si="207"/>
        <v>1</v>
      </c>
      <c r="Q337" s="276"/>
      <c r="R337" s="278">
        <f t="shared" si="208"/>
        <v>24</v>
      </c>
      <c r="S337" s="272">
        <f>IFERROR(INDEX('Horo. M'!G$3:$G$367,MATCH(A337,'Horo. M'!$A$3:$A$367,0)),"")</f>
        <v>0</v>
      </c>
      <c r="T337" s="278"/>
      <c r="U337" s="278"/>
      <c r="V337" s="272">
        <f t="shared" si="209"/>
        <v>24</v>
      </c>
      <c r="W337" s="274">
        <f t="shared" si="210"/>
        <v>0</v>
      </c>
      <c r="X337" s="275">
        <f t="shared" si="211"/>
        <v>1</v>
      </c>
      <c r="Y337" s="278"/>
      <c r="Z337" s="278">
        <f t="shared" si="212"/>
        <v>24</v>
      </c>
      <c r="AA337" s="272">
        <f>IFERROR(INDEX('Horo. M'!$I$3:I$367,MATCH(A337,'Horo. M'!$A$3:$A$367,0)),"")</f>
        <v>0</v>
      </c>
      <c r="AB337" s="273"/>
      <c r="AC337" s="273"/>
      <c r="AD337" s="272">
        <f t="shared" si="213"/>
        <v>24</v>
      </c>
      <c r="AE337" s="274">
        <f t="shared" si="214"/>
        <v>0</v>
      </c>
      <c r="AF337" s="275">
        <f t="shared" si="215"/>
        <v>1</v>
      </c>
      <c r="AG337" s="278"/>
      <c r="AH337" s="272">
        <f t="shared" si="216"/>
        <v>24</v>
      </c>
      <c r="AI337" s="272">
        <f>IFERROR(INDEX('Horo. M'!$K$3:K$367,MATCH(A337,'Horo. M'!$A$3:$A$367,0)),"")</f>
        <v>0</v>
      </c>
      <c r="AJ337" s="278"/>
      <c r="AK337" s="278"/>
      <c r="AL337" s="272">
        <f t="shared" si="217"/>
        <v>24</v>
      </c>
      <c r="AM337" s="274">
        <f t="shared" si="218"/>
        <v>0</v>
      </c>
      <c r="AN337" s="275">
        <f t="shared" si="219"/>
        <v>1</v>
      </c>
      <c r="AO337" s="278"/>
      <c r="AP337" s="272">
        <f t="shared" si="220"/>
        <v>24</v>
      </c>
      <c r="AQ337" s="272">
        <f>IFERROR(INDEX('Horo. M'!$M$3:M$367,MATCH(A337,'Horo. M'!$A$3:$A$367,0)),"")</f>
        <v>0</v>
      </c>
      <c r="AR337" s="278"/>
      <c r="AS337" s="278"/>
      <c r="AT337" s="272">
        <f t="shared" si="221"/>
        <v>24</v>
      </c>
      <c r="AU337" s="274">
        <f t="shared" si="222"/>
        <v>0</v>
      </c>
      <c r="AV337" s="275">
        <f t="shared" si="223"/>
        <v>1</v>
      </c>
      <c r="AW337" s="278"/>
      <c r="AX337" s="272">
        <f t="shared" si="224"/>
        <v>24</v>
      </c>
      <c r="AY337" s="272">
        <f>IFERROR(INDEX('Horo. M'!$O$3:O$367,MATCH(A337,'Horo. M'!$A$3:$A$367,0)),"")</f>
        <v>0</v>
      </c>
      <c r="AZ337" s="278"/>
      <c r="BA337" s="278"/>
      <c r="BB337" s="272">
        <f t="shared" si="225"/>
        <v>24</v>
      </c>
      <c r="BC337" s="274">
        <f t="shared" si="226"/>
        <v>0</v>
      </c>
      <c r="BD337" s="275">
        <f t="shared" si="227"/>
        <v>1</v>
      </c>
      <c r="BE337" s="278"/>
      <c r="BF337" s="272">
        <f t="shared" si="228"/>
        <v>24</v>
      </c>
      <c r="BG337" s="272">
        <f>IFERROR(INDEX('Horo. M'!$Q$3:Q$367,MATCH(A337,'Horo. M'!$A$3:$A$367,0)),"")</f>
        <v>0</v>
      </c>
      <c r="BH337" s="278"/>
      <c r="BI337" s="278"/>
      <c r="BJ337" s="272">
        <f t="shared" si="229"/>
        <v>24</v>
      </c>
      <c r="BK337" s="274">
        <f t="shared" si="230"/>
        <v>0</v>
      </c>
      <c r="BL337" s="275">
        <f t="shared" si="231"/>
        <v>1</v>
      </c>
      <c r="BM337" s="278"/>
      <c r="BN337" s="272">
        <f t="shared" si="232"/>
        <v>24</v>
      </c>
      <c r="BO337" s="272">
        <f>IFERROR(INDEX('Horo. M'!$S$3:S$367,MATCH(A337,'Horo. M'!$A$3:$A$367,0)),"")</f>
        <v>0</v>
      </c>
      <c r="BP337" s="278"/>
      <c r="BQ337" s="278"/>
      <c r="BR337" s="272">
        <f t="shared" si="233"/>
        <v>24</v>
      </c>
      <c r="BS337" s="274">
        <f t="shared" si="234"/>
        <v>0</v>
      </c>
      <c r="BT337" s="275">
        <f t="shared" si="235"/>
        <v>1</v>
      </c>
      <c r="BU337" s="278"/>
      <c r="BV337" s="272">
        <f t="shared" si="236"/>
        <v>24</v>
      </c>
      <c r="BW337" s="272">
        <f>IFERROR(INDEX('Horo. M'!$U$3:U$367,MATCH(A337,'Horo. M'!$A$3:$A$367,0)),"")</f>
        <v>0</v>
      </c>
      <c r="BX337" s="278"/>
      <c r="BY337" s="278"/>
      <c r="BZ337" s="272">
        <f t="shared" si="237"/>
        <v>24</v>
      </c>
      <c r="CA337" s="274">
        <f t="shared" si="238"/>
        <v>0</v>
      </c>
      <c r="CB337" s="275">
        <f t="shared" si="239"/>
        <v>1</v>
      </c>
      <c r="CC337" s="280"/>
    </row>
    <row r="338" spans="1:81">
      <c r="A338" s="279">
        <v>45263</v>
      </c>
      <c r="B338" s="278">
        <f t="shared" si="200"/>
        <v>24</v>
      </c>
      <c r="C338" s="272">
        <f>IFERROR(INDEX('Horo. M'!$C$3:$C$367,MATCH(A338,'Horo. M'!$A$3:$A$367,0)),"")</f>
        <v>0</v>
      </c>
      <c r="D338" s="278"/>
      <c r="E338" s="278"/>
      <c r="F338" s="272">
        <f t="shared" si="201"/>
        <v>24</v>
      </c>
      <c r="G338" s="274">
        <f t="shared" si="202"/>
        <v>0</v>
      </c>
      <c r="H338" s="275">
        <f t="shared" si="203"/>
        <v>1</v>
      </c>
      <c r="I338" s="277"/>
      <c r="J338" s="278">
        <f t="shared" si="204"/>
        <v>24</v>
      </c>
      <c r="K338" s="272">
        <f>IFERROR(INDEX('Horo. M'!$E$3:$E$367,MATCH(A338,'Horo. M'!$A$3:$A$367,0)),"")</f>
        <v>0</v>
      </c>
      <c r="L338" s="273"/>
      <c r="M338" s="273"/>
      <c r="N338" s="272">
        <f t="shared" si="205"/>
        <v>24</v>
      </c>
      <c r="O338" s="274">
        <f t="shared" si="206"/>
        <v>0</v>
      </c>
      <c r="P338" s="275">
        <f t="shared" si="207"/>
        <v>1</v>
      </c>
      <c r="Q338" s="276"/>
      <c r="R338" s="278">
        <f t="shared" si="208"/>
        <v>24</v>
      </c>
      <c r="S338" s="272">
        <f>IFERROR(INDEX('Horo. M'!G$3:$G$367,MATCH(A338,'Horo. M'!$A$3:$A$367,0)),"")</f>
        <v>0</v>
      </c>
      <c r="T338" s="278"/>
      <c r="U338" s="278"/>
      <c r="V338" s="272">
        <f t="shared" si="209"/>
        <v>24</v>
      </c>
      <c r="W338" s="274">
        <f t="shared" si="210"/>
        <v>0</v>
      </c>
      <c r="X338" s="275">
        <f t="shared" si="211"/>
        <v>1</v>
      </c>
      <c r="Y338" s="278"/>
      <c r="Z338" s="278">
        <f t="shared" si="212"/>
        <v>24</v>
      </c>
      <c r="AA338" s="272">
        <f>IFERROR(INDEX('Horo. M'!$I$3:I$367,MATCH(A338,'Horo. M'!$A$3:$A$367,0)),"")</f>
        <v>0</v>
      </c>
      <c r="AB338" s="273"/>
      <c r="AC338" s="273"/>
      <c r="AD338" s="272">
        <f t="shared" si="213"/>
        <v>24</v>
      </c>
      <c r="AE338" s="274">
        <f t="shared" si="214"/>
        <v>0</v>
      </c>
      <c r="AF338" s="275">
        <f t="shared" si="215"/>
        <v>1</v>
      </c>
      <c r="AG338" s="278"/>
      <c r="AH338" s="272">
        <f t="shared" si="216"/>
        <v>24</v>
      </c>
      <c r="AI338" s="272">
        <f>IFERROR(INDEX('Horo. M'!$K$3:K$367,MATCH(A338,'Horo. M'!$A$3:$A$367,0)),"")</f>
        <v>0</v>
      </c>
      <c r="AJ338" s="278"/>
      <c r="AK338" s="278"/>
      <c r="AL338" s="272">
        <f t="shared" si="217"/>
        <v>24</v>
      </c>
      <c r="AM338" s="274">
        <f t="shared" si="218"/>
        <v>0</v>
      </c>
      <c r="AN338" s="275">
        <f t="shared" si="219"/>
        <v>1</v>
      </c>
      <c r="AO338" s="278"/>
      <c r="AP338" s="272">
        <f t="shared" si="220"/>
        <v>24</v>
      </c>
      <c r="AQ338" s="272">
        <f>IFERROR(INDEX('Horo. M'!$M$3:M$367,MATCH(A338,'Horo. M'!$A$3:$A$367,0)),"")</f>
        <v>0</v>
      </c>
      <c r="AR338" s="278"/>
      <c r="AS338" s="278"/>
      <c r="AT338" s="272">
        <f t="shared" si="221"/>
        <v>24</v>
      </c>
      <c r="AU338" s="274">
        <f t="shared" si="222"/>
        <v>0</v>
      </c>
      <c r="AV338" s="275">
        <f t="shared" si="223"/>
        <v>1</v>
      </c>
      <c r="AW338" s="278"/>
      <c r="AX338" s="272">
        <f t="shared" si="224"/>
        <v>24</v>
      </c>
      <c r="AY338" s="272">
        <f>IFERROR(INDEX('Horo. M'!$O$3:O$367,MATCH(A338,'Horo. M'!$A$3:$A$367,0)),"")</f>
        <v>0</v>
      </c>
      <c r="AZ338" s="278"/>
      <c r="BA338" s="278"/>
      <c r="BB338" s="272">
        <f t="shared" si="225"/>
        <v>24</v>
      </c>
      <c r="BC338" s="274">
        <f t="shared" si="226"/>
        <v>0</v>
      </c>
      <c r="BD338" s="275">
        <f t="shared" si="227"/>
        <v>1</v>
      </c>
      <c r="BE338" s="278"/>
      <c r="BF338" s="272">
        <f t="shared" si="228"/>
        <v>24</v>
      </c>
      <c r="BG338" s="272">
        <f>IFERROR(INDEX('Horo. M'!$Q$3:Q$367,MATCH(A338,'Horo. M'!$A$3:$A$367,0)),"")</f>
        <v>0</v>
      </c>
      <c r="BH338" s="278"/>
      <c r="BI338" s="278"/>
      <c r="BJ338" s="272">
        <f t="shared" si="229"/>
        <v>24</v>
      </c>
      <c r="BK338" s="274">
        <f t="shared" si="230"/>
        <v>0</v>
      </c>
      <c r="BL338" s="275">
        <f t="shared" si="231"/>
        <v>1</v>
      </c>
      <c r="BM338" s="278"/>
      <c r="BN338" s="272">
        <f t="shared" si="232"/>
        <v>24</v>
      </c>
      <c r="BO338" s="272">
        <f>IFERROR(INDEX('Horo. M'!$S$3:S$367,MATCH(A338,'Horo. M'!$A$3:$A$367,0)),"")</f>
        <v>0</v>
      </c>
      <c r="BP338" s="278"/>
      <c r="BQ338" s="278"/>
      <c r="BR338" s="272">
        <f t="shared" si="233"/>
        <v>24</v>
      </c>
      <c r="BS338" s="274">
        <f t="shared" si="234"/>
        <v>0</v>
      </c>
      <c r="BT338" s="275">
        <f t="shared" si="235"/>
        <v>1</v>
      </c>
      <c r="BU338" s="278"/>
      <c r="BV338" s="272">
        <f t="shared" si="236"/>
        <v>24</v>
      </c>
      <c r="BW338" s="272">
        <f>IFERROR(INDEX('Horo. M'!$U$3:U$367,MATCH(A338,'Horo. M'!$A$3:$A$367,0)),"")</f>
        <v>0</v>
      </c>
      <c r="BX338" s="278"/>
      <c r="BY338" s="278"/>
      <c r="BZ338" s="272">
        <f t="shared" si="237"/>
        <v>24</v>
      </c>
      <c r="CA338" s="274">
        <f t="shared" si="238"/>
        <v>0</v>
      </c>
      <c r="CB338" s="275">
        <f t="shared" si="239"/>
        <v>1</v>
      </c>
      <c r="CC338" s="280"/>
    </row>
    <row r="339" spans="1:81">
      <c r="A339" s="279">
        <v>45264</v>
      </c>
      <c r="B339" s="278">
        <f t="shared" si="200"/>
        <v>24</v>
      </c>
      <c r="C339" s="272">
        <f>IFERROR(INDEX('Horo. M'!$C$3:$C$367,MATCH(A339,'Horo. M'!$A$3:$A$367,0)),"")</f>
        <v>0</v>
      </c>
      <c r="D339" s="278"/>
      <c r="E339" s="278"/>
      <c r="F339" s="272">
        <f t="shared" si="201"/>
        <v>24</v>
      </c>
      <c r="G339" s="274">
        <f t="shared" si="202"/>
        <v>0</v>
      </c>
      <c r="H339" s="275">
        <f t="shared" si="203"/>
        <v>1</v>
      </c>
      <c r="I339" s="277"/>
      <c r="J339" s="278">
        <f t="shared" si="204"/>
        <v>24</v>
      </c>
      <c r="K339" s="272">
        <f>IFERROR(INDEX('Horo. M'!$E$3:$E$367,MATCH(A339,'Horo. M'!$A$3:$A$367,0)),"")</f>
        <v>0</v>
      </c>
      <c r="L339" s="273"/>
      <c r="M339" s="273"/>
      <c r="N339" s="272">
        <f t="shared" si="205"/>
        <v>24</v>
      </c>
      <c r="O339" s="274">
        <f t="shared" si="206"/>
        <v>0</v>
      </c>
      <c r="P339" s="275">
        <f t="shared" si="207"/>
        <v>1</v>
      </c>
      <c r="Q339" s="276"/>
      <c r="R339" s="278">
        <f t="shared" si="208"/>
        <v>24</v>
      </c>
      <c r="S339" s="272">
        <f>IFERROR(INDEX('Horo. M'!G$3:$G$367,MATCH(A339,'Horo. M'!$A$3:$A$367,0)),"")</f>
        <v>0</v>
      </c>
      <c r="T339" s="278"/>
      <c r="U339" s="278"/>
      <c r="V339" s="272">
        <f t="shared" si="209"/>
        <v>24</v>
      </c>
      <c r="W339" s="274">
        <f t="shared" si="210"/>
        <v>0</v>
      </c>
      <c r="X339" s="275">
        <f t="shared" si="211"/>
        <v>1</v>
      </c>
      <c r="Y339" s="278"/>
      <c r="Z339" s="278">
        <f t="shared" si="212"/>
        <v>24</v>
      </c>
      <c r="AA339" s="272">
        <f>IFERROR(INDEX('Horo. M'!$I$3:I$367,MATCH(A339,'Horo. M'!$A$3:$A$367,0)),"")</f>
        <v>0</v>
      </c>
      <c r="AB339" s="273"/>
      <c r="AC339" s="273"/>
      <c r="AD339" s="272">
        <f t="shared" si="213"/>
        <v>24</v>
      </c>
      <c r="AE339" s="274">
        <f t="shared" si="214"/>
        <v>0</v>
      </c>
      <c r="AF339" s="275">
        <f t="shared" si="215"/>
        <v>1</v>
      </c>
      <c r="AG339" s="278"/>
      <c r="AH339" s="272">
        <f t="shared" si="216"/>
        <v>24</v>
      </c>
      <c r="AI339" s="272">
        <f>IFERROR(INDEX('Horo. M'!$K$3:K$367,MATCH(A339,'Horo. M'!$A$3:$A$367,0)),"")</f>
        <v>0</v>
      </c>
      <c r="AJ339" s="278"/>
      <c r="AK339" s="278"/>
      <c r="AL339" s="272">
        <f t="shared" si="217"/>
        <v>24</v>
      </c>
      <c r="AM339" s="274">
        <f t="shared" si="218"/>
        <v>0</v>
      </c>
      <c r="AN339" s="275">
        <f t="shared" si="219"/>
        <v>1</v>
      </c>
      <c r="AO339" s="278"/>
      <c r="AP339" s="272">
        <f t="shared" si="220"/>
        <v>24</v>
      </c>
      <c r="AQ339" s="272">
        <f>IFERROR(INDEX('Horo. M'!$M$3:M$367,MATCH(A339,'Horo. M'!$A$3:$A$367,0)),"")</f>
        <v>0</v>
      </c>
      <c r="AR339" s="278"/>
      <c r="AS339" s="278"/>
      <c r="AT339" s="272">
        <f t="shared" si="221"/>
        <v>24</v>
      </c>
      <c r="AU339" s="274">
        <f t="shared" si="222"/>
        <v>0</v>
      </c>
      <c r="AV339" s="275">
        <f t="shared" si="223"/>
        <v>1</v>
      </c>
      <c r="AW339" s="278"/>
      <c r="AX339" s="272">
        <f t="shared" si="224"/>
        <v>24</v>
      </c>
      <c r="AY339" s="272">
        <f>IFERROR(INDEX('Horo. M'!$O$3:O$367,MATCH(A339,'Horo. M'!$A$3:$A$367,0)),"")</f>
        <v>0</v>
      </c>
      <c r="AZ339" s="278"/>
      <c r="BA339" s="278"/>
      <c r="BB339" s="272">
        <f t="shared" si="225"/>
        <v>24</v>
      </c>
      <c r="BC339" s="274">
        <f t="shared" si="226"/>
        <v>0</v>
      </c>
      <c r="BD339" s="275">
        <f t="shared" si="227"/>
        <v>1</v>
      </c>
      <c r="BE339" s="278"/>
      <c r="BF339" s="272">
        <f t="shared" si="228"/>
        <v>24</v>
      </c>
      <c r="BG339" s="272">
        <f>IFERROR(INDEX('Horo. M'!$Q$3:Q$367,MATCH(A339,'Horo. M'!$A$3:$A$367,0)),"")</f>
        <v>0</v>
      </c>
      <c r="BH339" s="278"/>
      <c r="BI339" s="278"/>
      <c r="BJ339" s="272">
        <f t="shared" si="229"/>
        <v>24</v>
      </c>
      <c r="BK339" s="274">
        <f t="shared" si="230"/>
        <v>0</v>
      </c>
      <c r="BL339" s="275">
        <f t="shared" si="231"/>
        <v>1</v>
      </c>
      <c r="BM339" s="278"/>
      <c r="BN339" s="272">
        <f t="shared" si="232"/>
        <v>24</v>
      </c>
      <c r="BO339" s="272">
        <f>IFERROR(INDEX('Horo. M'!$S$3:S$367,MATCH(A339,'Horo. M'!$A$3:$A$367,0)),"")</f>
        <v>0</v>
      </c>
      <c r="BP339" s="278"/>
      <c r="BQ339" s="278"/>
      <c r="BR339" s="272">
        <f t="shared" si="233"/>
        <v>24</v>
      </c>
      <c r="BS339" s="274">
        <f t="shared" si="234"/>
        <v>0</v>
      </c>
      <c r="BT339" s="275">
        <f t="shared" si="235"/>
        <v>1</v>
      </c>
      <c r="BU339" s="278"/>
      <c r="BV339" s="272">
        <f t="shared" si="236"/>
        <v>24</v>
      </c>
      <c r="BW339" s="272">
        <f>IFERROR(INDEX('Horo. M'!$U$3:U$367,MATCH(A339,'Horo. M'!$A$3:$A$367,0)),"")</f>
        <v>0</v>
      </c>
      <c r="BX339" s="278"/>
      <c r="BY339" s="278"/>
      <c r="BZ339" s="272">
        <f t="shared" si="237"/>
        <v>24</v>
      </c>
      <c r="CA339" s="274">
        <f t="shared" si="238"/>
        <v>0</v>
      </c>
      <c r="CB339" s="275">
        <f t="shared" si="239"/>
        <v>1</v>
      </c>
      <c r="CC339" s="280"/>
    </row>
    <row r="340" spans="1:81">
      <c r="A340" s="279">
        <v>45265</v>
      </c>
      <c r="B340" s="278">
        <f t="shared" si="200"/>
        <v>24</v>
      </c>
      <c r="C340" s="272">
        <f>IFERROR(INDEX('Horo. M'!$C$3:$C$367,MATCH(A340,'Horo. M'!$A$3:$A$367,0)),"")</f>
        <v>0</v>
      </c>
      <c r="D340" s="278"/>
      <c r="E340" s="278"/>
      <c r="F340" s="272">
        <f t="shared" si="201"/>
        <v>24</v>
      </c>
      <c r="G340" s="274">
        <f t="shared" si="202"/>
        <v>0</v>
      </c>
      <c r="H340" s="275">
        <f t="shared" si="203"/>
        <v>1</v>
      </c>
      <c r="I340" s="277"/>
      <c r="J340" s="278">
        <f t="shared" si="204"/>
        <v>24</v>
      </c>
      <c r="K340" s="272">
        <f>IFERROR(INDEX('Horo. M'!$E$3:$E$367,MATCH(A340,'Horo. M'!$A$3:$A$367,0)),"")</f>
        <v>0</v>
      </c>
      <c r="L340" s="273"/>
      <c r="M340" s="273"/>
      <c r="N340" s="272">
        <f t="shared" si="205"/>
        <v>24</v>
      </c>
      <c r="O340" s="274">
        <f t="shared" si="206"/>
        <v>0</v>
      </c>
      <c r="P340" s="275">
        <f t="shared" si="207"/>
        <v>1</v>
      </c>
      <c r="Q340" s="276"/>
      <c r="R340" s="278">
        <f t="shared" si="208"/>
        <v>24</v>
      </c>
      <c r="S340" s="272">
        <f>IFERROR(INDEX('Horo. M'!G$3:$G$367,MATCH(A340,'Horo. M'!$A$3:$A$367,0)),"")</f>
        <v>0</v>
      </c>
      <c r="T340" s="278"/>
      <c r="U340" s="278"/>
      <c r="V340" s="272">
        <f t="shared" si="209"/>
        <v>24</v>
      </c>
      <c r="W340" s="274">
        <f t="shared" si="210"/>
        <v>0</v>
      </c>
      <c r="X340" s="275">
        <f t="shared" si="211"/>
        <v>1</v>
      </c>
      <c r="Y340" s="278"/>
      <c r="Z340" s="278">
        <f t="shared" si="212"/>
        <v>24</v>
      </c>
      <c r="AA340" s="272">
        <f>IFERROR(INDEX('Horo. M'!$I$3:I$367,MATCH(A340,'Horo. M'!$A$3:$A$367,0)),"")</f>
        <v>0</v>
      </c>
      <c r="AB340" s="273"/>
      <c r="AC340" s="273"/>
      <c r="AD340" s="272">
        <f t="shared" si="213"/>
        <v>24</v>
      </c>
      <c r="AE340" s="274">
        <f t="shared" si="214"/>
        <v>0</v>
      </c>
      <c r="AF340" s="275">
        <f t="shared" si="215"/>
        <v>1</v>
      </c>
      <c r="AG340" s="278"/>
      <c r="AH340" s="272">
        <f t="shared" si="216"/>
        <v>24</v>
      </c>
      <c r="AI340" s="272">
        <f>IFERROR(INDEX('Horo. M'!$K$3:K$367,MATCH(A340,'Horo. M'!$A$3:$A$367,0)),"")</f>
        <v>0</v>
      </c>
      <c r="AJ340" s="278"/>
      <c r="AK340" s="278"/>
      <c r="AL340" s="272">
        <f t="shared" si="217"/>
        <v>24</v>
      </c>
      <c r="AM340" s="274">
        <f t="shared" si="218"/>
        <v>0</v>
      </c>
      <c r="AN340" s="275">
        <f t="shared" si="219"/>
        <v>1</v>
      </c>
      <c r="AO340" s="278"/>
      <c r="AP340" s="272">
        <f t="shared" si="220"/>
        <v>24</v>
      </c>
      <c r="AQ340" s="272">
        <f>IFERROR(INDEX('Horo. M'!$M$3:M$367,MATCH(A340,'Horo. M'!$A$3:$A$367,0)),"")</f>
        <v>0</v>
      </c>
      <c r="AR340" s="278"/>
      <c r="AS340" s="278"/>
      <c r="AT340" s="272">
        <f t="shared" si="221"/>
        <v>24</v>
      </c>
      <c r="AU340" s="274">
        <f t="shared" si="222"/>
        <v>0</v>
      </c>
      <c r="AV340" s="275">
        <f t="shared" si="223"/>
        <v>1</v>
      </c>
      <c r="AW340" s="278"/>
      <c r="AX340" s="272">
        <f t="shared" si="224"/>
        <v>24</v>
      </c>
      <c r="AY340" s="272">
        <f>IFERROR(INDEX('Horo. M'!$O$3:O$367,MATCH(A340,'Horo. M'!$A$3:$A$367,0)),"")</f>
        <v>0</v>
      </c>
      <c r="AZ340" s="278"/>
      <c r="BA340" s="278"/>
      <c r="BB340" s="272">
        <f t="shared" si="225"/>
        <v>24</v>
      </c>
      <c r="BC340" s="274">
        <f t="shared" si="226"/>
        <v>0</v>
      </c>
      <c r="BD340" s="275">
        <f t="shared" si="227"/>
        <v>1</v>
      </c>
      <c r="BE340" s="278"/>
      <c r="BF340" s="272">
        <f t="shared" si="228"/>
        <v>24</v>
      </c>
      <c r="BG340" s="272">
        <f>IFERROR(INDEX('Horo. M'!$Q$3:Q$367,MATCH(A340,'Horo. M'!$A$3:$A$367,0)),"")</f>
        <v>0</v>
      </c>
      <c r="BH340" s="278"/>
      <c r="BI340" s="278"/>
      <c r="BJ340" s="272">
        <f t="shared" si="229"/>
        <v>24</v>
      </c>
      <c r="BK340" s="274">
        <f t="shared" si="230"/>
        <v>0</v>
      </c>
      <c r="BL340" s="275">
        <f t="shared" si="231"/>
        <v>1</v>
      </c>
      <c r="BM340" s="278"/>
      <c r="BN340" s="272">
        <f t="shared" si="232"/>
        <v>24</v>
      </c>
      <c r="BO340" s="272">
        <f>IFERROR(INDEX('Horo. M'!$S$3:S$367,MATCH(A340,'Horo. M'!$A$3:$A$367,0)),"")</f>
        <v>0</v>
      </c>
      <c r="BP340" s="278"/>
      <c r="BQ340" s="278"/>
      <c r="BR340" s="272">
        <f t="shared" si="233"/>
        <v>24</v>
      </c>
      <c r="BS340" s="274">
        <f t="shared" si="234"/>
        <v>0</v>
      </c>
      <c r="BT340" s="275">
        <f t="shared" si="235"/>
        <v>1</v>
      </c>
      <c r="BU340" s="278"/>
      <c r="BV340" s="272">
        <f t="shared" si="236"/>
        <v>24</v>
      </c>
      <c r="BW340" s="272">
        <f>IFERROR(INDEX('Horo. M'!$U$3:U$367,MATCH(A340,'Horo. M'!$A$3:$A$367,0)),"")</f>
        <v>0</v>
      </c>
      <c r="BX340" s="278"/>
      <c r="BY340" s="278"/>
      <c r="BZ340" s="272">
        <f t="shared" si="237"/>
        <v>24</v>
      </c>
      <c r="CA340" s="274">
        <f t="shared" si="238"/>
        <v>0</v>
      </c>
      <c r="CB340" s="275">
        <f t="shared" si="239"/>
        <v>1</v>
      </c>
      <c r="CC340" s="280"/>
    </row>
    <row r="341" spans="1:81">
      <c r="A341" s="279">
        <v>45266</v>
      </c>
      <c r="B341" s="278">
        <f t="shared" si="200"/>
        <v>24</v>
      </c>
      <c r="C341" s="272">
        <f>IFERROR(INDEX('Horo. M'!$C$3:$C$367,MATCH(A341,'Horo. M'!$A$3:$A$367,0)),"")</f>
        <v>0</v>
      </c>
      <c r="D341" s="278"/>
      <c r="E341" s="278"/>
      <c r="F341" s="272">
        <f t="shared" si="201"/>
        <v>24</v>
      </c>
      <c r="G341" s="274">
        <f t="shared" si="202"/>
        <v>0</v>
      </c>
      <c r="H341" s="275">
        <f t="shared" si="203"/>
        <v>1</v>
      </c>
      <c r="I341" s="277"/>
      <c r="J341" s="278">
        <f t="shared" si="204"/>
        <v>24</v>
      </c>
      <c r="K341" s="272">
        <f>IFERROR(INDEX('Horo. M'!$E$3:$E$367,MATCH(A341,'Horo. M'!$A$3:$A$367,0)),"")</f>
        <v>0</v>
      </c>
      <c r="L341" s="273"/>
      <c r="M341" s="273"/>
      <c r="N341" s="272">
        <f t="shared" si="205"/>
        <v>24</v>
      </c>
      <c r="O341" s="274">
        <f t="shared" si="206"/>
        <v>0</v>
      </c>
      <c r="P341" s="275">
        <f t="shared" si="207"/>
        <v>1</v>
      </c>
      <c r="Q341" s="276"/>
      <c r="R341" s="278">
        <f t="shared" si="208"/>
        <v>24</v>
      </c>
      <c r="S341" s="272">
        <f>IFERROR(INDEX('Horo. M'!G$3:$G$367,MATCH(A341,'Horo. M'!$A$3:$A$367,0)),"")</f>
        <v>0</v>
      </c>
      <c r="T341" s="278"/>
      <c r="U341" s="278"/>
      <c r="V341" s="272">
        <f t="shared" si="209"/>
        <v>24</v>
      </c>
      <c r="W341" s="274">
        <f t="shared" si="210"/>
        <v>0</v>
      </c>
      <c r="X341" s="275">
        <f t="shared" si="211"/>
        <v>1</v>
      </c>
      <c r="Y341" s="278"/>
      <c r="Z341" s="278">
        <f t="shared" si="212"/>
        <v>24</v>
      </c>
      <c r="AA341" s="272">
        <f>IFERROR(INDEX('Horo. M'!$I$3:I$367,MATCH(A341,'Horo. M'!$A$3:$A$367,0)),"")</f>
        <v>0</v>
      </c>
      <c r="AB341" s="273"/>
      <c r="AC341" s="273"/>
      <c r="AD341" s="272">
        <f t="shared" si="213"/>
        <v>24</v>
      </c>
      <c r="AE341" s="274">
        <f t="shared" si="214"/>
        <v>0</v>
      </c>
      <c r="AF341" s="275">
        <f t="shared" si="215"/>
        <v>1</v>
      </c>
      <c r="AG341" s="278"/>
      <c r="AH341" s="272">
        <f t="shared" si="216"/>
        <v>24</v>
      </c>
      <c r="AI341" s="272">
        <f>IFERROR(INDEX('Horo. M'!$K$3:K$367,MATCH(A341,'Horo. M'!$A$3:$A$367,0)),"")</f>
        <v>0</v>
      </c>
      <c r="AJ341" s="278"/>
      <c r="AK341" s="278"/>
      <c r="AL341" s="272">
        <f t="shared" si="217"/>
        <v>24</v>
      </c>
      <c r="AM341" s="274">
        <f t="shared" si="218"/>
        <v>0</v>
      </c>
      <c r="AN341" s="275">
        <f t="shared" si="219"/>
        <v>1</v>
      </c>
      <c r="AO341" s="278"/>
      <c r="AP341" s="272">
        <f t="shared" si="220"/>
        <v>24</v>
      </c>
      <c r="AQ341" s="272">
        <f>IFERROR(INDEX('Horo. M'!$M$3:M$367,MATCH(A341,'Horo. M'!$A$3:$A$367,0)),"")</f>
        <v>0</v>
      </c>
      <c r="AR341" s="278"/>
      <c r="AS341" s="278"/>
      <c r="AT341" s="272">
        <f t="shared" si="221"/>
        <v>24</v>
      </c>
      <c r="AU341" s="274">
        <f t="shared" si="222"/>
        <v>0</v>
      </c>
      <c r="AV341" s="275">
        <f t="shared" si="223"/>
        <v>1</v>
      </c>
      <c r="AW341" s="278"/>
      <c r="AX341" s="272">
        <f t="shared" si="224"/>
        <v>24</v>
      </c>
      <c r="AY341" s="272">
        <f>IFERROR(INDEX('Horo. M'!$O$3:O$367,MATCH(A341,'Horo. M'!$A$3:$A$367,0)),"")</f>
        <v>0</v>
      </c>
      <c r="AZ341" s="278"/>
      <c r="BA341" s="278"/>
      <c r="BB341" s="272">
        <f t="shared" si="225"/>
        <v>24</v>
      </c>
      <c r="BC341" s="274">
        <f t="shared" si="226"/>
        <v>0</v>
      </c>
      <c r="BD341" s="275">
        <f t="shared" si="227"/>
        <v>1</v>
      </c>
      <c r="BE341" s="278"/>
      <c r="BF341" s="272">
        <f t="shared" si="228"/>
        <v>24</v>
      </c>
      <c r="BG341" s="272">
        <f>IFERROR(INDEX('Horo. M'!$Q$3:Q$367,MATCH(A341,'Horo. M'!$A$3:$A$367,0)),"")</f>
        <v>0</v>
      </c>
      <c r="BH341" s="278"/>
      <c r="BI341" s="278"/>
      <c r="BJ341" s="272">
        <f t="shared" si="229"/>
        <v>24</v>
      </c>
      <c r="BK341" s="274">
        <f t="shared" si="230"/>
        <v>0</v>
      </c>
      <c r="BL341" s="275">
        <f t="shared" si="231"/>
        <v>1</v>
      </c>
      <c r="BM341" s="278"/>
      <c r="BN341" s="272">
        <f t="shared" si="232"/>
        <v>24</v>
      </c>
      <c r="BO341" s="272">
        <f>IFERROR(INDEX('Horo. M'!$S$3:S$367,MATCH(A341,'Horo. M'!$A$3:$A$367,0)),"")</f>
        <v>0</v>
      </c>
      <c r="BP341" s="278"/>
      <c r="BQ341" s="278"/>
      <c r="BR341" s="272">
        <f t="shared" si="233"/>
        <v>24</v>
      </c>
      <c r="BS341" s="274">
        <f t="shared" si="234"/>
        <v>0</v>
      </c>
      <c r="BT341" s="275">
        <f t="shared" si="235"/>
        <v>1</v>
      </c>
      <c r="BU341" s="278"/>
      <c r="BV341" s="272">
        <f t="shared" si="236"/>
        <v>24</v>
      </c>
      <c r="BW341" s="272">
        <f>IFERROR(INDEX('Horo. M'!$U$3:U$367,MATCH(A341,'Horo. M'!$A$3:$A$367,0)),"")</f>
        <v>0</v>
      </c>
      <c r="BX341" s="278"/>
      <c r="BY341" s="278"/>
      <c r="BZ341" s="272">
        <f t="shared" si="237"/>
        <v>24</v>
      </c>
      <c r="CA341" s="274">
        <f t="shared" si="238"/>
        <v>0</v>
      </c>
      <c r="CB341" s="275">
        <f t="shared" si="239"/>
        <v>1</v>
      </c>
      <c r="CC341" s="280"/>
    </row>
    <row r="342" spans="1:81">
      <c r="A342" s="279">
        <v>45267</v>
      </c>
      <c r="B342" s="278">
        <f t="shared" si="200"/>
        <v>24</v>
      </c>
      <c r="C342" s="272">
        <f>IFERROR(INDEX('Horo. M'!$C$3:$C$367,MATCH(A342,'Horo. M'!$A$3:$A$367,0)),"")</f>
        <v>0</v>
      </c>
      <c r="D342" s="278"/>
      <c r="E342" s="278"/>
      <c r="F342" s="272">
        <f t="shared" si="201"/>
        <v>24</v>
      </c>
      <c r="G342" s="274">
        <f t="shared" si="202"/>
        <v>0</v>
      </c>
      <c r="H342" s="275">
        <f t="shared" si="203"/>
        <v>1</v>
      </c>
      <c r="I342" s="277"/>
      <c r="J342" s="278">
        <f t="shared" si="204"/>
        <v>24</v>
      </c>
      <c r="K342" s="272">
        <f>IFERROR(INDEX('Horo. M'!$E$3:$E$367,MATCH(A342,'Horo. M'!$A$3:$A$367,0)),"")</f>
        <v>0</v>
      </c>
      <c r="L342" s="273"/>
      <c r="M342" s="273"/>
      <c r="N342" s="272">
        <f t="shared" si="205"/>
        <v>24</v>
      </c>
      <c r="O342" s="274">
        <f t="shared" si="206"/>
        <v>0</v>
      </c>
      <c r="P342" s="275">
        <f t="shared" si="207"/>
        <v>1</v>
      </c>
      <c r="Q342" s="276"/>
      <c r="R342" s="278">
        <f t="shared" si="208"/>
        <v>24</v>
      </c>
      <c r="S342" s="272">
        <f>IFERROR(INDEX('Horo. M'!G$3:$G$367,MATCH(A342,'Horo. M'!$A$3:$A$367,0)),"")</f>
        <v>0</v>
      </c>
      <c r="T342" s="278"/>
      <c r="U342" s="278"/>
      <c r="V342" s="272">
        <f t="shared" si="209"/>
        <v>24</v>
      </c>
      <c r="W342" s="274">
        <f t="shared" si="210"/>
        <v>0</v>
      </c>
      <c r="X342" s="275">
        <f t="shared" si="211"/>
        <v>1</v>
      </c>
      <c r="Y342" s="278"/>
      <c r="Z342" s="278">
        <f t="shared" si="212"/>
        <v>24</v>
      </c>
      <c r="AA342" s="272">
        <f>IFERROR(INDEX('Horo. M'!$I$3:I$367,MATCH(A342,'Horo. M'!$A$3:$A$367,0)),"")</f>
        <v>0</v>
      </c>
      <c r="AB342" s="273"/>
      <c r="AC342" s="273"/>
      <c r="AD342" s="272">
        <f t="shared" si="213"/>
        <v>24</v>
      </c>
      <c r="AE342" s="274">
        <f t="shared" si="214"/>
        <v>0</v>
      </c>
      <c r="AF342" s="275">
        <f t="shared" si="215"/>
        <v>1</v>
      </c>
      <c r="AG342" s="278"/>
      <c r="AH342" s="272">
        <f t="shared" si="216"/>
        <v>24</v>
      </c>
      <c r="AI342" s="272">
        <f>IFERROR(INDEX('Horo. M'!$K$3:K$367,MATCH(A342,'Horo. M'!$A$3:$A$367,0)),"")</f>
        <v>0</v>
      </c>
      <c r="AJ342" s="278"/>
      <c r="AK342" s="278"/>
      <c r="AL342" s="272">
        <f t="shared" si="217"/>
        <v>24</v>
      </c>
      <c r="AM342" s="274">
        <f t="shared" si="218"/>
        <v>0</v>
      </c>
      <c r="AN342" s="275">
        <f t="shared" si="219"/>
        <v>1</v>
      </c>
      <c r="AO342" s="278"/>
      <c r="AP342" s="272">
        <f t="shared" si="220"/>
        <v>24</v>
      </c>
      <c r="AQ342" s="272">
        <f>IFERROR(INDEX('Horo. M'!$M$3:M$367,MATCH(A342,'Horo. M'!$A$3:$A$367,0)),"")</f>
        <v>0</v>
      </c>
      <c r="AR342" s="278"/>
      <c r="AS342" s="278"/>
      <c r="AT342" s="272">
        <f t="shared" si="221"/>
        <v>24</v>
      </c>
      <c r="AU342" s="274">
        <f t="shared" si="222"/>
        <v>0</v>
      </c>
      <c r="AV342" s="275">
        <f t="shared" si="223"/>
        <v>1</v>
      </c>
      <c r="AW342" s="278"/>
      <c r="AX342" s="272">
        <f t="shared" si="224"/>
        <v>24</v>
      </c>
      <c r="AY342" s="272">
        <f>IFERROR(INDEX('Horo. M'!$O$3:O$367,MATCH(A342,'Horo. M'!$A$3:$A$367,0)),"")</f>
        <v>0</v>
      </c>
      <c r="AZ342" s="278"/>
      <c r="BA342" s="278"/>
      <c r="BB342" s="272">
        <f t="shared" si="225"/>
        <v>24</v>
      </c>
      <c r="BC342" s="274">
        <f t="shared" si="226"/>
        <v>0</v>
      </c>
      <c r="BD342" s="275">
        <f t="shared" si="227"/>
        <v>1</v>
      </c>
      <c r="BE342" s="278"/>
      <c r="BF342" s="272">
        <f t="shared" si="228"/>
        <v>24</v>
      </c>
      <c r="BG342" s="272">
        <f>IFERROR(INDEX('Horo. M'!$Q$3:Q$367,MATCH(A342,'Horo. M'!$A$3:$A$367,0)),"")</f>
        <v>0</v>
      </c>
      <c r="BH342" s="278"/>
      <c r="BI342" s="278"/>
      <c r="BJ342" s="272">
        <f t="shared" si="229"/>
        <v>24</v>
      </c>
      <c r="BK342" s="274">
        <f t="shared" si="230"/>
        <v>0</v>
      </c>
      <c r="BL342" s="275">
        <f t="shared" si="231"/>
        <v>1</v>
      </c>
      <c r="BM342" s="278"/>
      <c r="BN342" s="272">
        <f t="shared" si="232"/>
        <v>24</v>
      </c>
      <c r="BO342" s="272">
        <f>IFERROR(INDEX('Horo. M'!$S$3:S$367,MATCH(A342,'Horo. M'!$A$3:$A$367,0)),"")</f>
        <v>0</v>
      </c>
      <c r="BP342" s="278"/>
      <c r="BQ342" s="278"/>
      <c r="BR342" s="272">
        <f t="shared" si="233"/>
        <v>24</v>
      </c>
      <c r="BS342" s="274">
        <f t="shared" si="234"/>
        <v>0</v>
      </c>
      <c r="BT342" s="275">
        <f t="shared" si="235"/>
        <v>1</v>
      </c>
      <c r="BU342" s="278"/>
      <c r="BV342" s="272">
        <f t="shared" si="236"/>
        <v>24</v>
      </c>
      <c r="BW342" s="272">
        <f>IFERROR(INDEX('Horo. M'!$U$3:U$367,MATCH(A342,'Horo. M'!$A$3:$A$367,0)),"")</f>
        <v>0</v>
      </c>
      <c r="BX342" s="278"/>
      <c r="BY342" s="278"/>
      <c r="BZ342" s="272">
        <f t="shared" si="237"/>
        <v>24</v>
      </c>
      <c r="CA342" s="274">
        <f t="shared" si="238"/>
        <v>0</v>
      </c>
      <c r="CB342" s="275">
        <f t="shared" si="239"/>
        <v>1</v>
      </c>
      <c r="CC342" s="280"/>
    </row>
    <row r="343" spans="1:81">
      <c r="A343" s="279">
        <v>45268</v>
      </c>
      <c r="B343" s="278">
        <f t="shared" si="200"/>
        <v>24</v>
      </c>
      <c r="C343" s="272">
        <f>IFERROR(INDEX('Horo. M'!$C$3:$C$367,MATCH(A343,'Horo. M'!$A$3:$A$367,0)),"")</f>
        <v>0</v>
      </c>
      <c r="D343" s="278"/>
      <c r="E343" s="278"/>
      <c r="F343" s="272">
        <f t="shared" si="201"/>
        <v>24</v>
      </c>
      <c r="G343" s="274">
        <f t="shared" si="202"/>
        <v>0</v>
      </c>
      <c r="H343" s="275">
        <f t="shared" si="203"/>
        <v>1</v>
      </c>
      <c r="I343" s="277"/>
      <c r="J343" s="278">
        <f t="shared" si="204"/>
        <v>24</v>
      </c>
      <c r="K343" s="272">
        <f>IFERROR(INDEX('Horo. M'!$E$3:$E$367,MATCH(A343,'Horo. M'!$A$3:$A$367,0)),"")</f>
        <v>0</v>
      </c>
      <c r="L343" s="273"/>
      <c r="M343" s="273"/>
      <c r="N343" s="272">
        <f t="shared" si="205"/>
        <v>24</v>
      </c>
      <c r="O343" s="274">
        <f t="shared" si="206"/>
        <v>0</v>
      </c>
      <c r="P343" s="275">
        <f t="shared" si="207"/>
        <v>1</v>
      </c>
      <c r="Q343" s="276"/>
      <c r="R343" s="278">
        <f t="shared" si="208"/>
        <v>24</v>
      </c>
      <c r="S343" s="272">
        <f>IFERROR(INDEX('Horo. M'!G$3:$G$367,MATCH(A343,'Horo. M'!$A$3:$A$367,0)),"")</f>
        <v>0</v>
      </c>
      <c r="T343" s="278"/>
      <c r="U343" s="278"/>
      <c r="V343" s="272">
        <f t="shared" si="209"/>
        <v>24</v>
      </c>
      <c r="W343" s="274">
        <f t="shared" si="210"/>
        <v>0</v>
      </c>
      <c r="X343" s="275">
        <f t="shared" si="211"/>
        <v>1</v>
      </c>
      <c r="Y343" s="278"/>
      <c r="Z343" s="278">
        <f t="shared" si="212"/>
        <v>24</v>
      </c>
      <c r="AA343" s="272">
        <f>IFERROR(INDEX('Horo. M'!$I$3:I$367,MATCH(A343,'Horo. M'!$A$3:$A$367,0)),"")</f>
        <v>0</v>
      </c>
      <c r="AB343" s="273"/>
      <c r="AC343" s="273"/>
      <c r="AD343" s="272">
        <f t="shared" si="213"/>
        <v>24</v>
      </c>
      <c r="AE343" s="274">
        <f t="shared" si="214"/>
        <v>0</v>
      </c>
      <c r="AF343" s="275">
        <f t="shared" si="215"/>
        <v>1</v>
      </c>
      <c r="AG343" s="278"/>
      <c r="AH343" s="272">
        <f t="shared" si="216"/>
        <v>24</v>
      </c>
      <c r="AI343" s="272">
        <f>IFERROR(INDEX('Horo. M'!$K$3:K$367,MATCH(A343,'Horo. M'!$A$3:$A$367,0)),"")</f>
        <v>0</v>
      </c>
      <c r="AJ343" s="278"/>
      <c r="AK343" s="278"/>
      <c r="AL343" s="272">
        <f t="shared" si="217"/>
        <v>24</v>
      </c>
      <c r="AM343" s="274">
        <f t="shared" si="218"/>
        <v>0</v>
      </c>
      <c r="AN343" s="275">
        <f t="shared" si="219"/>
        <v>1</v>
      </c>
      <c r="AO343" s="278"/>
      <c r="AP343" s="272">
        <f t="shared" si="220"/>
        <v>24</v>
      </c>
      <c r="AQ343" s="272">
        <f>IFERROR(INDEX('Horo. M'!$M$3:M$367,MATCH(A343,'Horo. M'!$A$3:$A$367,0)),"")</f>
        <v>0</v>
      </c>
      <c r="AR343" s="278"/>
      <c r="AS343" s="278"/>
      <c r="AT343" s="272">
        <f t="shared" si="221"/>
        <v>24</v>
      </c>
      <c r="AU343" s="274">
        <f t="shared" si="222"/>
        <v>0</v>
      </c>
      <c r="AV343" s="275">
        <f t="shared" si="223"/>
        <v>1</v>
      </c>
      <c r="AW343" s="278"/>
      <c r="AX343" s="272">
        <f t="shared" si="224"/>
        <v>24</v>
      </c>
      <c r="AY343" s="272">
        <f>IFERROR(INDEX('Horo. M'!$O$3:O$367,MATCH(A343,'Horo. M'!$A$3:$A$367,0)),"")</f>
        <v>0</v>
      </c>
      <c r="AZ343" s="278"/>
      <c r="BA343" s="278"/>
      <c r="BB343" s="272">
        <f t="shared" si="225"/>
        <v>24</v>
      </c>
      <c r="BC343" s="274">
        <f t="shared" si="226"/>
        <v>0</v>
      </c>
      <c r="BD343" s="275">
        <f t="shared" si="227"/>
        <v>1</v>
      </c>
      <c r="BE343" s="278"/>
      <c r="BF343" s="272">
        <f t="shared" si="228"/>
        <v>24</v>
      </c>
      <c r="BG343" s="272">
        <f>IFERROR(INDEX('Horo. M'!$Q$3:Q$367,MATCH(A343,'Horo. M'!$A$3:$A$367,0)),"")</f>
        <v>0</v>
      </c>
      <c r="BH343" s="278"/>
      <c r="BI343" s="278"/>
      <c r="BJ343" s="272">
        <f t="shared" si="229"/>
        <v>24</v>
      </c>
      <c r="BK343" s="274">
        <f t="shared" si="230"/>
        <v>0</v>
      </c>
      <c r="BL343" s="275">
        <f t="shared" si="231"/>
        <v>1</v>
      </c>
      <c r="BM343" s="278"/>
      <c r="BN343" s="272">
        <f t="shared" si="232"/>
        <v>24</v>
      </c>
      <c r="BO343" s="272">
        <f>IFERROR(INDEX('Horo. M'!$S$3:S$367,MATCH(A343,'Horo. M'!$A$3:$A$367,0)),"")</f>
        <v>0</v>
      </c>
      <c r="BP343" s="278"/>
      <c r="BQ343" s="278"/>
      <c r="BR343" s="272">
        <f t="shared" si="233"/>
        <v>24</v>
      </c>
      <c r="BS343" s="274">
        <f t="shared" si="234"/>
        <v>0</v>
      </c>
      <c r="BT343" s="275">
        <f t="shared" si="235"/>
        <v>1</v>
      </c>
      <c r="BU343" s="278"/>
      <c r="BV343" s="272">
        <f t="shared" si="236"/>
        <v>24</v>
      </c>
      <c r="BW343" s="272">
        <f>IFERROR(INDEX('Horo. M'!$U$3:U$367,MATCH(A343,'Horo. M'!$A$3:$A$367,0)),"")</f>
        <v>0</v>
      </c>
      <c r="BX343" s="278"/>
      <c r="BY343" s="278"/>
      <c r="BZ343" s="272">
        <f t="shared" si="237"/>
        <v>24</v>
      </c>
      <c r="CA343" s="274">
        <f t="shared" si="238"/>
        <v>0</v>
      </c>
      <c r="CB343" s="275">
        <f t="shared" si="239"/>
        <v>1</v>
      </c>
      <c r="CC343" s="280"/>
    </row>
    <row r="344" spans="1:81">
      <c r="A344" s="279">
        <v>45269</v>
      </c>
      <c r="B344" s="278">
        <f t="shared" si="200"/>
        <v>24</v>
      </c>
      <c r="C344" s="272">
        <f>IFERROR(INDEX('Horo. M'!$C$3:$C$367,MATCH(A344,'Horo. M'!$A$3:$A$367,0)),"")</f>
        <v>0</v>
      </c>
      <c r="D344" s="278"/>
      <c r="E344" s="278"/>
      <c r="F344" s="272">
        <f t="shared" si="201"/>
        <v>24</v>
      </c>
      <c r="G344" s="274">
        <f t="shared" si="202"/>
        <v>0</v>
      </c>
      <c r="H344" s="275">
        <f t="shared" si="203"/>
        <v>1</v>
      </c>
      <c r="I344" s="277"/>
      <c r="J344" s="278">
        <f t="shared" si="204"/>
        <v>24</v>
      </c>
      <c r="K344" s="272">
        <f>IFERROR(INDEX('Horo. M'!$E$3:$E$367,MATCH(A344,'Horo. M'!$A$3:$A$367,0)),"")</f>
        <v>0</v>
      </c>
      <c r="L344" s="273"/>
      <c r="M344" s="273"/>
      <c r="N344" s="272">
        <f t="shared" si="205"/>
        <v>24</v>
      </c>
      <c r="O344" s="274">
        <f t="shared" si="206"/>
        <v>0</v>
      </c>
      <c r="P344" s="275">
        <f t="shared" si="207"/>
        <v>1</v>
      </c>
      <c r="Q344" s="276"/>
      <c r="R344" s="278">
        <f t="shared" si="208"/>
        <v>24</v>
      </c>
      <c r="S344" s="272">
        <f>IFERROR(INDEX('Horo. M'!G$3:$G$367,MATCH(A344,'Horo. M'!$A$3:$A$367,0)),"")</f>
        <v>0</v>
      </c>
      <c r="T344" s="278"/>
      <c r="U344" s="278"/>
      <c r="V344" s="272">
        <f t="shared" si="209"/>
        <v>24</v>
      </c>
      <c r="W344" s="274">
        <f t="shared" si="210"/>
        <v>0</v>
      </c>
      <c r="X344" s="275">
        <f t="shared" si="211"/>
        <v>1</v>
      </c>
      <c r="Y344" s="278"/>
      <c r="Z344" s="278">
        <f t="shared" si="212"/>
        <v>24</v>
      </c>
      <c r="AA344" s="272">
        <f>IFERROR(INDEX('Horo. M'!$I$3:I$367,MATCH(A344,'Horo. M'!$A$3:$A$367,0)),"")</f>
        <v>0</v>
      </c>
      <c r="AB344" s="273"/>
      <c r="AC344" s="273"/>
      <c r="AD344" s="272">
        <f t="shared" si="213"/>
        <v>24</v>
      </c>
      <c r="AE344" s="274">
        <f t="shared" si="214"/>
        <v>0</v>
      </c>
      <c r="AF344" s="275">
        <f t="shared" si="215"/>
        <v>1</v>
      </c>
      <c r="AG344" s="278"/>
      <c r="AH344" s="272">
        <f t="shared" si="216"/>
        <v>24</v>
      </c>
      <c r="AI344" s="272">
        <f>IFERROR(INDEX('Horo. M'!$K$3:K$367,MATCH(A344,'Horo. M'!$A$3:$A$367,0)),"")</f>
        <v>0</v>
      </c>
      <c r="AJ344" s="278"/>
      <c r="AK344" s="278"/>
      <c r="AL344" s="272">
        <f t="shared" si="217"/>
        <v>24</v>
      </c>
      <c r="AM344" s="274">
        <f t="shared" si="218"/>
        <v>0</v>
      </c>
      <c r="AN344" s="275">
        <f t="shared" si="219"/>
        <v>1</v>
      </c>
      <c r="AO344" s="278"/>
      <c r="AP344" s="272">
        <f t="shared" si="220"/>
        <v>24</v>
      </c>
      <c r="AQ344" s="272">
        <f>IFERROR(INDEX('Horo. M'!$M$3:M$367,MATCH(A344,'Horo. M'!$A$3:$A$367,0)),"")</f>
        <v>0</v>
      </c>
      <c r="AR344" s="278"/>
      <c r="AS344" s="278"/>
      <c r="AT344" s="272">
        <f t="shared" si="221"/>
        <v>24</v>
      </c>
      <c r="AU344" s="274">
        <f t="shared" si="222"/>
        <v>0</v>
      </c>
      <c r="AV344" s="275">
        <f t="shared" si="223"/>
        <v>1</v>
      </c>
      <c r="AW344" s="278"/>
      <c r="AX344" s="272">
        <f t="shared" si="224"/>
        <v>24</v>
      </c>
      <c r="AY344" s="272">
        <f>IFERROR(INDEX('Horo. M'!$O$3:O$367,MATCH(A344,'Horo. M'!$A$3:$A$367,0)),"")</f>
        <v>0</v>
      </c>
      <c r="AZ344" s="278"/>
      <c r="BA344" s="278"/>
      <c r="BB344" s="272">
        <f t="shared" si="225"/>
        <v>24</v>
      </c>
      <c r="BC344" s="274">
        <f t="shared" si="226"/>
        <v>0</v>
      </c>
      <c r="BD344" s="275">
        <f t="shared" si="227"/>
        <v>1</v>
      </c>
      <c r="BE344" s="278"/>
      <c r="BF344" s="272">
        <f t="shared" si="228"/>
        <v>24</v>
      </c>
      <c r="BG344" s="272">
        <f>IFERROR(INDEX('Horo. M'!$Q$3:Q$367,MATCH(A344,'Horo. M'!$A$3:$A$367,0)),"")</f>
        <v>0</v>
      </c>
      <c r="BH344" s="278"/>
      <c r="BI344" s="278"/>
      <c r="BJ344" s="272">
        <f t="shared" si="229"/>
        <v>24</v>
      </c>
      <c r="BK344" s="274">
        <f t="shared" si="230"/>
        <v>0</v>
      </c>
      <c r="BL344" s="275">
        <f t="shared" si="231"/>
        <v>1</v>
      </c>
      <c r="BM344" s="278"/>
      <c r="BN344" s="272">
        <f t="shared" si="232"/>
        <v>24</v>
      </c>
      <c r="BO344" s="272">
        <f>IFERROR(INDEX('Horo. M'!$S$3:S$367,MATCH(A344,'Horo. M'!$A$3:$A$367,0)),"")</f>
        <v>0</v>
      </c>
      <c r="BP344" s="278"/>
      <c r="BQ344" s="278"/>
      <c r="BR344" s="272">
        <f t="shared" si="233"/>
        <v>24</v>
      </c>
      <c r="BS344" s="274">
        <f t="shared" si="234"/>
        <v>0</v>
      </c>
      <c r="BT344" s="275">
        <f t="shared" si="235"/>
        <v>1</v>
      </c>
      <c r="BU344" s="278"/>
      <c r="BV344" s="272">
        <f t="shared" si="236"/>
        <v>24</v>
      </c>
      <c r="BW344" s="272">
        <f>IFERROR(INDEX('Horo. M'!$U$3:U$367,MATCH(A344,'Horo. M'!$A$3:$A$367,0)),"")</f>
        <v>0</v>
      </c>
      <c r="BX344" s="278"/>
      <c r="BY344" s="278"/>
      <c r="BZ344" s="272">
        <f t="shared" si="237"/>
        <v>24</v>
      </c>
      <c r="CA344" s="274">
        <f t="shared" si="238"/>
        <v>0</v>
      </c>
      <c r="CB344" s="275">
        <f t="shared" si="239"/>
        <v>1</v>
      </c>
      <c r="CC344" s="280"/>
    </row>
    <row r="345" spans="1:81">
      <c r="A345" s="279">
        <v>45270</v>
      </c>
      <c r="B345" s="278">
        <f t="shared" si="200"/>
        <v>24</v>
      </c>
      <c r="C345" s="272">
        <f>IFERROR(INDEX('Horo. M'!$C$3:$C$367,MATCH(A345,'Horo. M'!$A$3:$A$367,0)),"")</f>
        <v>0</v>
      </c>
      <c r="D345" s="278"/>
      <c r="E345" s="278"/>
      <c r="F345" s="272">
        <f t="shared" si="201"/>
        <v>24</v>
      </c>
      <c r="G345" s="274">
        <f t="shared" si="202"/>
        <v>0</v>
      </c>
      <c r="H345" s="275">
        <f t="shared" si="203"/>
        <v>1</v>
      </c>
      <c r="I345" s="277"/>
      <c r="J345" s="278">
        <f t="shared" si="204"/>
        <v>24</v>
      </c>
      <c r="K345" s="272">
        <f>IFERROR(INDEX('Horo. M'!$E$3:$E$367,MATCH(A345,'Horo. M'!$A$3:$A$367,0)),"")</f>
        <v>0</v>
      </c>
      <c r="L345" s="273"/>
      <c r="M345" s="273"/>
      <c r="N345" s="272">
        <f t="shared" si="205"/>
        <v>24</v>
      </c>
      <c r="O345" s="274">
        <f t="shared" si="206"/>
        <v>0</v>
      </c>
      <c r="P345" s="275">
        <f t="shared" si="207"/>
        <v>1</v>
      </c>
      <c r="Q345" s="276"/>
      <c r="R345" s="278">
        <f t="shared" si="208"/>
        <v>24</v>
      </c>
      <c r="S345" s="272">
        <f>IFERROR(INDEX('Horo. M'!G$3:$G$367,MATCH(A345,'Horo. M'!$A$3:$A$367,0)),"")</f>
        <v>0</v>
      </c>
      <c r="T345" s="278"/>
      <c r="U345" s="278"/>
      <c r="V345" s="272">
        <f t="shared" si="209"/>
        <v>24</v>
      </c>
      <c r="W345" s="274">
        <f t="shared" si="210"/>
        <v>0</v>
      </c>
      <c r="X345" s="275">
        <f t="shared" si="211"/>
        <v>1</v>
      </c>
      <c r="Y345" s="278"/>
      <c r="Z345" s="278">
        <f t="shared" si="212"/>
        <v>24</v>
      </c>
      <c r="AA345" s="272">
        <f>IFERROR(INDEX('Horo. M'!$I$3:I$367,MATCH(A345,'Horo. M'!$A$3:$A$367,0)),"")</f>
        <v>0</v>
      </c>
      <c r="AB345" s="273"/>
      <c r="AC345" s="273"/>
      <c r="AD345" s="272">
        <f t="shared" si="213"/>
        <v>24</v>
      </c>
      <c r="AE345" s="274">
        <f t="shared" si="214"/>
        <v>0</v>
      </c>
      <c r="AF345" s="275">
        <f t="shared" si="215"/>
        <v>1</v>
      </c>
      <c r="AG345" s="278"/>
      <c r="AH345" s="272">
        <f t="shared" si="216"/>
        <v>24</v>
      </c>
      <c r="AI345" s="272">
        <f>IFERROR(INDEX('Horo. M'!$K$3:K$367,MATCH(A345,'Horo. M'!$A$3:$A$367,0)),"")</f>
        <v>0</v>
      </c>
      <c r="AJ345" s="278"/>
      <c r="AK345" s="278"/>
      <c r="AL345" s="272">
        <f t="shared" si="217"/>
        <v>24</v>
      </c>
      <c r="AM345" s="274">
        <f t="shared" si="218"/>
        <v>0</v>
      </c>
      <c r="AN345" s="275">
        <f t="shared" si="219"/>
        <v>1</v>
      </c>
      <c r="AO345" s="278"/>
      <c r="AP345" s="272">
        <f t="shared" si="220"/>
        <v>24</v>
      </c>
      <c r="AQ345" s="272">
        <f>IFERROR(INDEX('Horo. M'!$M$3:M$367,MATCH(A345,'Horo. M'!$A$3:$A$367,0)),"")</f>
        <v>0</v>
      </c>
      <c r="AR345" s="278"/>
      <c r="AS345" s="278"/>
      <c r="AT345" s="272">
        <f t="shared" si="221"/>
        <v>24</v>
      </c>
      <c r="AU345" s="274">
        <f t="shared" si="222"/>
        <v>0</v>
      </c>
      <c r="AV345" s="275">
        <f t="shared" si="223"/>
        <v>1</v>
      </c>
      <c r="AW345" s="278"/>
      <c r="AX345" s="272">
        <f t="shared" si="224"/>
        <v>24</v>
      </c>
      <c r="AY345" s="272">
        <f>IFERROR(INDEX('Horo. M'!$O$3:O$367,MATCH(A345,'Horo. M'!$A$3:$A$367,0)),"")</f>
        <v>0</v>
      </c>
      <c r="AZ345" s="278"/>
      <c r="BA345" s="278"/>
      <c r="BB345" s="272">
        <f t="shared" si="225"/>
        <v>24</v>
      </c>
      <c r="BC345" s="274">
        <f t="shared" si="226"/>
        <v>0</v>
      </c>
      <c r="BD345" s="275">
        <f t="shared" si="227"/>
        <v>1</v>
      </c>
      <c r="BE345" s="278"/>
      <c r="BF345" s="272">
        <f t="shared" si="228"/>
        <v>24</v>
      </c>
      <c r="BG345" s="272">
        <f>IFERROR(INDEX('Horo. M'!$Q$3:Q$367,MATCH(A345,'Horo. M'!$A$3:$A$367,0)),"")</f>
        <v>0</v>
      </c>
      <c r="BH345" s="278"/>
      <c r="BI345" s="278"/>
      <c r="BJ345" s="272">
        <f t="shared" si="229"/>
        <v>24</v>
      </c>
      <c r="BK345" s="274">
        <f t="shared" si="230"/>
        <v>0</v>
      </c>
      <c r="BL345" s="275">
        <f t="shared" si="231"/>
        <v>1</v>
      </c>
      <c r="BM345" s="278"/>
      <c r="BN345" s="272">
        <f t="shared" si="232"/>
        <v>24</v>
      </c>
      <c r="BO345" s="272">
        <f>IFERROR(INDEX('Horo. M'!$S$3:S$367,MATCH(A345,'Horo. M'!$A$3:$A$367,0)),"")</f>
        <v>0</v>
      </c>
      <c r="BP345" s="278"/>
      <c r="BQ345" s="278"/>
      <c r="BR345" s="272">
        <f t="shared" si="233"/>
        <v>24</v>
      </c>
      <c r="BS345" s="274">
        <f t="shared" si="234"/>
        <v>0</v>
      </c>
      <c r="BT345" s="275">
        <f t="shared" si="235"/>
        <v>1</v>
      </c>
      <c r="BU345" s="278"/>
      <c r="BV345" s="272">
        <f t="shared" si="236"/>
        <v>24</v>
      </c>
      <c r="BW345" s="272">
        <f>IFERROR(INDEX('Horo. M'!$U$3:U$367,MATCH(A345,'Horo. M'!$A$3:$A$367,0)),"")</f>
        <v>0</v>
      </c>
      <c r="BX345" s="278"/>
      <c r="BY345" s="278"/>
      <c r="BZ345" s="272">
        <f t="shared" si="237"/>
        <v>24</v>
      </c>
      <c r="CA345" s="274">
        <f t="shared" si="238"/>
        <v>0</v>
      </c>
      <c r="CB345" s="275">
        <f t="shared" si="239"/>
        <v>1</v>
      </c>
      <c r="CC345" s="280"/>
    </row>
    <row r="346" spans="1:81">
      <c r="A346" s="279">
        <v>45271</v>
      </c>
      <c r="B346" s="278">
        <f t="shared" si="200"/>
        <v>24</v>
      </c>
      <c r="C346" s="272">
        <f>IFERROR(INDEX('Horo. M'!$C$3:$C$367,MATCH(A346,'Horo. M'!$A$3:$A$367,0)),"")</f>
        <v>0</v>
      </c>
      <c r="D346" s="278"/>
      <c r="E346" s="278"/>
      <c r="F346" s="272">
        <f t="shared" si="201"/>
        <v>24</v>
      </c>
      <c r="G346" s="274">
        <f t="shared" si="202"/>
        <v>0</v>
      </c>
      <c r="H346" s="275">
        <f t="shared" si="203"/>
        <v>1</v>
      </c>
      <c r="I346" s="277"/>
      <c r="J346" s="278">
        <f t="shared" si="204"/>
        <v>24</v>
      </c>
      <c r="K346" s="272">
        <f>IFERROR(INDEX('Horo. M'!$E$3:$E$367,MATCH(A346,'Horo. M'!$A$3:$A$367,0)),"")</f>
        <v>0</v>
      </c>
      <c r="L346" s="273"/>
      <c r="M346" s="273"/>
      <c r="N346" s="272">
        <f t="shared" si="205"/>
        <v>24</v>
      </c>
      <c r="O346" s="274">
        <f t="shared" si="206"/>
        <v>0</v>
      </c>
      <c r="P346" s="275">
        <f t="shared" si="207"/>
        <v>1</v>
      </c>
      <c r="Q346" s="276"/>
      <c r="R346" s="278">
        <f t="shared" si="208"/>
        <v>24</v>
      </c>
      <c r="S346" s="272">
        <f>IFERROR(INDEX('Horo. M'!G$3:$G$367,MATCH(A346,'Horo. M'!$A$3:$A$367,0)),"")</f>
        <v>0</v>
      </c>
      <c r="T346" s="278"/>
      <c r="U346" s="278"/>
      <c r="V346" s="272">
        <f t="shared" si="209"/>
        <v>24</v>
      </c>
      <c r="W346" s="274">
        <f t="shared" si="210"/>
        <v>0</v>
      </c>
      <c r="X346" s="275">
        <f t="shared" si="211"/>
        <v>1</v>
      </c>
      <c r="Y346" s="278"/>
      <c r="Z346" s="278">
        <f t="shared" si="212"/>
        <v>24</v>
      </c>
      <c r="AA346" s="272">
        <f>IFERROR(INDEX('Horo. M'!$I$3:I$367,MATCH(A346,'Horo. M'!$A$3:$A$367,0)),"")</f>
        <v>0</v>
      </c>
      <c r="AB346" s="273"/>
      <c r="AC346" s="273"/>
      <c r="AD346" s="272">
        <f t="shared" si="213"/>
        <v>24</v>
      </c>
      <c r="AE346" s="274">
        <f t="shared" si="214"/>
        <v>0</v>
      </c>
      <c r="AF346" s="275">
        <f t="shared" si="215"/>
        <v>1</v>
      </c>
      <c r="AG346" s="278"/>
      <c r="AH346" s="272">
        <f t="shared" si="216"/>
        <v>24</v>
      </c>
      <c r="AI346" s="272">
        <f>IFERROR(INDEX('Horo. M'!$K$3:K$367,MATCH(A346,'Horo. M'!$A$3:$A$367,0)),"")</f>
        <v>0</v>
      </c>
      <c r="AJ346" s="278"/>
      <c r="AK346" s="278"/>
      <c r="AL346" s="272">
        <f t="shared" si="217"/>
        <v>24</v>
      </c>
      <c r="AM346" s="274">
        <f t="shared" si="218"/>
        <v>0</v>
      </c>
      <c r="AN346" s="275">
        <f t="shared" si="219"/>
        <v>1</v>
      </c>
      <c r="AO346" s="278"/>
      <c r="AP346" s="272">
        <f t="shared" si="220"/>
        <v>24</v>
      </c>
      <c r="AQ346" s="272">
        <f>IFERROR(INDEX('Horo. M'!$M$3:M$367,MATCH(A346,'Horo. M'!$A$3:$A$367,0)),"")</f>
        <v>0</v>
      </c>
      <c r="AR346" s="278"/>
      <c r="AS346" s="278"/>
      <c r="AT346" s="272">
        <f t="shared" si="221"/>
        <v>24</v>
      </c>
      <c r="AU346" s="274">
        <f t="shared" si="222"/>
        <v>0</v>
      </c>
      <c r="AV346" s="275">
        <f t="shared" si="223"/>
        <v>1</v>
      </c>
      <c r="AW346" s="278"/>
      <c r="AX346" s="272">
        <f t="shared" si="224"/>
        <v>24</v>
      </c>
      <c r="AY346" s="272">
        <f>IFERROR(INDEX('Horo. M'!$O$3:O$367,MATCH(A346,'Horo. M'!$A$3:$A$367,0)),"")</f>
        <v>0</v>
      </c>
      <c r="AZ346" s="278"/>
      <c r="BA346" s="278"/>
      <c r="BB346" s="272">
        <f t="shared" si="225"/>
        <v>24</v>
      </c>
      <c r="BC346" s="274">
        <f t="shared" si="226"/>
        <v>0</v>
      </c>
      <c r="BD346" s="275">
        <f t="shared" si="227"/>
        <v>1</v>
      </c>
      <c r="BE346" s="278"/>
      <c r="BF346" s="272">
        <f t="shared" si="228"/>
        <v>24</v>
      </c>
      <c r="BG346" s="272">
        <f>IFERROR(INDEX('Horo. M'!$Q$3:Q$367,MATCH(A346,'Horo. M'!$A$3:$A$367,0)),"")</f>
        <v>0</v>
      </c>
      <c r="BH346" s="278"/>
      <c r="BI346" s="278"/>
      <c r="BJ346" s="272">
        <f t="shared" si="229"/>
        <v>24</v>
      </c>
      <c r="BK346" s="274">
        <f t="shared" si="230"/>
        <v>0</v>
      </c>
      <c r="BL346" s="275">
        <f t="shared" si="231"/>
        <v>1</v>
      </c>
      <c r="BM346" s="278"/>
      <c r="BN346" s="272">
        <f t="shared" si="232"/>
        <v>24</v>
      </c>
      <c r="BO346" s="272">
        <f>IFERROR(INDEX('Horo. M'!$S$3:S$367,MATCH(A346,'Horo. M'!$A$3:$A$367,0)),"")</f>
        <v>0</v>
      </c>
      <c r="BP346" s="278"/>
      <c r="BQ346" s="278"/>
      <c r="BR346" s="272">
        <f t="shared" si="233"/>
        <v>24</v>
      </c>
      <c r="BS346" s="274">
        <f t="shared" si="234"/>
        <v>0</v>
      </c>
      <c r="BT346" s="275">
        <f t="shared" si="235"/>
        <v>1</v>
      </c>
      <c r="BU346" s="278"/>
      <c r="BV346" s="272">
        <f t="shared" si="236"/>
        <v>24</v>
      </c>
      <c r="BW346" s="272">
        <f>IFERROR(INDEX('Horo. M'!$U$3:U$367,MATCH(A346,'Horo. M'!$A$3:$A$367,0)),"")</f>
        <v>0</v>
      </c>
      <c r="BX346" s="278"/>
      <c r="BY346" s="278"/>
      <c r="BZ346" s="272">
        <f t="shared" si="237"/>
        <v>24</v>
      </c>
      <c r="CA346" s="274">
        <f t="shared" si="238"/>
        <v>0</v>
      </c>
      <c r="CB346" s="275">
        <f t="shared" si="239"/>
        <v>1</v>
      </c>
      <c r="CC346" s="280"/>
    </row>
    <row r="347" spans="1:81">
      <c r="A347" s="279">
        <v>45272</v>
      </c>
      <c r="B347" s="278">
        <f t="shared" si="200"/>
        <v>24</v>
      </c>
      <c r="C347" s="272">
        <f>IFERROR(INDEX('Horo. M'!$C$3:$C$367,MATCH(A347,'Horo. M'!$A$3:$A$367,0)),"")</f>
        <v>0</v>
      </c>
      <c r="D347" s="278"/>
      <c r="E347" s="278"/>
      <c r="F347" s="272">
        <f t="shared" si="201"/>
        <v>24</v>
      </c>
      <c r="G347" s="274">
        <f t="shared" si="202"/>
        <v>0</v>
      </c>
      <c r="H347" s="275">
        <f t="shared" si="203"/>
        <v>1</v>
      </c>
      <c r="I347" s="277"/>
      <c r="J347" s="278">
        <f t="shared" si="204"/>
        <v>24</v>
      </c>
      <c r="K347" s="272">
        <f>IFERROR(INDEX('Horo. M'!$E$3:$E$367,MATCH(A347,'Horo. M'!$A$3:$A$367,0)),"")</f>
        <v>0</v>
      </c>
      <c r="L347" s="273"/>
      <c r="M347" s="273"/>
      <c r="N347" s="272">
        <f t="shared" si="205"/>
        <v>24</v>
      </c>
      <c r="O347" s="274">
        <f t="shared" si="206"/>
        <v>0</v>
      </c>
      <c r="P347" s="275">
        <f t="shared" si="207"/>
        <v>1</v>
      </c>
      <c r="Q347" s="276"/>
      <c r="R347" s="278">
        <f t="shared" si="208"/>
        <v>24</v>
      </c>
      <c r="S347" s="272">
        <f>IFERROR(INDEX('Horo. M'!G$3:$G$367,MATCH(A347,'Horo. M'!$A$3:$A$367,0)),"")</f>
        <v>0</v>
      </c>
      <c r="T347" s="278"/>
      <c r="U347" s="278"/>
      <c r="V347" s="272">
        <f t="shared" si="209"/>
        <v>24</v>
      </c>
      <c r="W347" s="274">
        <f t="shared" si="210"/>
        <v>0</v>
      </c>
      <c r="X347" s="275">
        <f t="shared" si="211"/>
        <v>1</v>
      </c>
      <c r="Y347" s="278"/>
      <c r="Z347" s="278">
        <f t="shared" si="212"/>
        <v>24</v>
      </c>
      <c r="AA347" s="272">
        <f>IFERROR(INDEX('Horo. M'!$I$3:I$367,MATCH(A347,'Horo. M'!$A$3:$A$367,0)),"")</f>
        <v>0</v>
      </c>
      <c r="AB347" s="273"/>
      <c r="AC347" s="273"/>
      <c r="AD347" s="272">
        <f t="shared" si="213"/>
        <v>24</v>
      </c>
      <c r="AE347" s="274">
        <f t="shared" si="214"/>
        <v>0</v>
      </c>
      <c r="AF347" s="275">
        <f t="shared" si="215"/>
        <v>1</v>
      </c>
      <c r="AG347" s="278"/>
      <c r="AH347" s="272">
        <f t="shared" si="216"/>
        <v>24</v>
      </c>
      <c r="AI347" s="272">
        <f>IFERROR(INDEX('Horo. M'!$K$3:K$367,MATCH(A347,'Horo. M'!$A$3:$A$367,0)),"")</f>
        <v>0</v>
      </c>
      <c r="AJ347" s="278"/>
      <c r="AK347" s="278"/>
      <c r="AL347" s="272">
        <f t="shared" si="217"/>
        <v>24</v>
      </c>
      <c r="AM347" s="274">
        <f t="shared" si="218"/>
        <v>0</v>
      </c>
      <c r="AN347" s="275">
        <f t="shared" si="219"/>
        <v>1</v>
      </c>
      <c r="AO347" s="278"/>
      <c r="AP347" s="272">
        <f t="shared" si="220"/>
        <v>24</v>
      </c>
      <c r="AQ347" s="272">
        <f>IFERROR(INDEX('Horo. M'!$M$3:M$367,MATCH(A347,'Horo. M'!$A$3:$A$367,0)),"")</f>
        <v>0</v>
      </c>
      <c r="AR347" s="278"/>
      <c r="AS347" s="278"/>
      <c r="AT347" s="272">
        <f t="shared" si="221"/>
        <v>24</v>
      </c>
      <c r="AU347" s="274">
        <f t="shared" si="222"/>
        <v>0</v>
      </c>
      <c r="AV347" s="275">
        <f t="shared" si="223"/>
        <v>1</v>
      </c>
      <c r="AW347" s="278"/>
      <c r="AX347" s="272">
        <f t="shared" si="224"/>
        <v>24</v>
      </c>
      <c r="AY347" s="272">
        <f>IFERROR(INDEX('Horo. M'!$O$3:O$367,MATCH(A347,'Horo. M'!$A$3:$A$367,0)),"")</f>
        <v>0</v>
      </c>
      <c r="AZ347" s="278"/>
      <c r="BA347" s="278"/>
      <c r="BB347" s="272">
        <f t="shared" si="225"/>
        <v>24</v>
      </c>
      <c r="BC347" s="274">
        <f t="shared" si="226"/>
        <v>0</v>
      </c>
      <c r="BD347" s="275">
        <f t="shared" si="227"/>
        <v>1</v>
      </c>
      <c r="BE347" s="278"/>
      <c r="BF347" s="272">
        <f t="shared" si="228"/>
        <v>24</v>
      </c>
      <c r="BG347" s="272">
        <f>IFERROR(INDEX('Horo. M'!$Q$3:Q$367,MATCH(A347,'Horo. M'!$A$3:$A$367,0)),"")</f>
        <v>0</v>
      </c>
      <c r="BH347" s="278"/>
      <c r="BI347" s="278"/>
      <c r="BJ347" s="272">
        <f t="shared" si="229"/>
        <v>24</v>
      </c>
      <c r="BK347" s="274">
        <f t="shared" si="230"/>
        <v>0</v>
      </c>
      <c r="BL347" s="275">
        <f t="shared" si="231"/>
        <v>1</v>
      </c>
      <c r="BM347" s="278"/>
      <c r="BN347" s="272">
        <f t="shared" si="232"/>
        <v>24</v>
      </c>
      <c r="BO347" s="272">
        <f>IFERROR(INDEX('Horo. M'!$S$3:S$367,MATCH(A347,'Horo. M'!$A$3:$A$367,0)),"")</f>
        <v>0</v>
      </c>
      <c r="BP347" s="278"/>
      <c r="BQ347" s="278"/>
      <c r="BR347" s="272">
        <f t="shared" si="233"/>
        <v>24</v>
      </c>
      <c r="BS347" s="274">
        <f t="shared" si="234"/>
        <v>0</v>
      </c>
      <c r="BT347" s="275">
        <f t="shared" si="235"/>
        <v>1</v>
      </c>
      <c r="BU347" s="278"/>
      <c r="BV347" s="272">
        <f t="shared" si="236"/>
        <v>24</v>
      </c>
      <c r="BW347" s="272">
        <f>IFERROR(INDEX('Horo. M'!$U$3:U$367,MATCH(A347,'Horo. M'!$A$3:$A$367,0)),"")</f>
        <v>0</v>
      </c>
      <c r="BX347" s="278"/>
      <c r="BY347" s="278"/>
      <c r="BZ347" s="272">
        <f t="shared" si="237"/>
        <v>24</v>
      </c>
      <c r="CA347" s="274">
        <f t="shared" si="238"/>
        <v>0</v>
      </c>
      <c r="CB347" s="275">
        <f t="shared" si="239"/>
        <v>1</v>
      </c>
      <c r="CC347" s="280"/>
    </row>
    <row r="348" spans="1:81">
      <c r="A348" s="279">
        <v>45273</v>
      </c>
      <c r="B348" s="278">
        <f t="shared" si="200"/>
        <v>24</v>
      </c>
      <c r="C348" s="272">
        <f>IFERROR(INDEX('Horo. M'!$C$3:$C$367,MATCH(A348,'Horo. M'!$A$3:$A$367,0)),"")</f>
        <v>0</v>
      </c>
      <c r="D348" s="278"/>
      <c r="E348" s="278"/>
      <c r="F348" s="272">
        <f t="shared" si="201"/>
        <v>24</v>
      </c>
      <c r="G348" s="274">
        <f t="shared" si="202"/>
        <v>0</v>
      </c>
      <c r="H348" s="275">
        <f t="shared" si="203"/>
        <v>1</v>
      </c>
      <c r="I348" s="277"/>
      <c r="J348" s="278">
        <f t="shared" si="204"/>
        <v>24</v>
      </c>
      <c r="K348" s="272">
        <f>IFERROR(INDEX('Horo. M'!$E$3:$E$367,MATCH(A348,'Horo. M'!$A$3:$A$367,0)),"")</f>
        <v>0</v>
      </c>
      <c r="L348" s="273"/>
      <c r="M348" s="273"/>
      <c r="N348" s="272">
        <f t="shared" si="205"/>
        <v>24</v>
      </c>
      <c r="O348" s="274">
        <f t="shared" si="206"/>
        <v>0</v>
      </c>
      <c r="P348" s="275">
        <f t="shared" si="207"/>
        <v>1</v>
      </c>
      <c r="Q348" s="276"/>
      <c r="R348" s="278">
        <f t="shared" si="208"/>
        <v>24</v>
      </c>
      <c r="S348" s="272">
        <f>IFERROR(INDEX('Horo. M'!G$3:$G$367,MATCH(A348,'Horo. M'!$A$3:$A$367,0)),"")</f>
        <v>0</v>
      </c>
      <c r="T348" s="278"/>
      <c r="U348" s="278"/>
      <c r="V348" s="272">
        <f t="shared" si="209"/>
        <v>24</v>
      </c>
      <c r="W348" s="274">
        <f t="shared" si="210"/>
        <v>0</v>
      </c>
      <c r="X348" s="275">
        <f t="shared" si="211"/>
        <v>1</v>
      </c>
      <c r="Y348" s="278"/>
      <c r="Z348" s="278">
        <f t="shared" si="212"/>
        <v>24</v>
      </c>
      <c r="AA348" s="272">
        <f>IFERROR(INDEX('Horo. M'!$I$3:I$367,MATCH(A348,'Horo. M'!$A$3:$A$367,0)),"")</f>
        <v>0</v>
      </c>
      <c r="AB348" s="273"/>
      <c r="AC348" s="273"/>
      <c r="AD348" s="272">
        <f t="shared" si="213"/>
        <v>24</v>
      </c>
      <c r="AE348" s="274">
        <f t="shared" si="214"/>
        <v>0</v>
      </c>
      <c r="AF348" s="275">
        <f t="shared" si="215"/>
        <v>1</v>
      </c>
      <c r="AG348" s="278"/>
      <c r="AH348" s="272">
        <f t="shared" si="216"/>
        <v>24</v>
      </c>
      <c r="AI348" s="272">
        <f>IFERROR(INDEX('Horo. M'!$K$3:K$367,MATCH(A348,'Horo. M'!$A$3:$A$367,0)),"")</f>
        <v>0</v>
      </c>
      <c r="AJ348" s="278"/>
      <c r="AK348" s="278"/>
      <c r="AL348" s="272">
        <f t="shared" si="217"/>
        <v>24</v>
      </c>
      <c r="AM348" s="274">
        <f t="shared" si="218"/>
        <v>0</v>
      </c>
      <c r="AN348" s="275">
        <f t="shared" si="219"/>
        <v>1</v>
      </c>
      <c r="AO348" s="278"/>
      <c r="AP348" s="272">
        <f t="shared" si="220"/>
        <v>24</v>
      </c>
      <c r="AQ348" s="272">
        <f>IFERROR(INDEX('Horo. M'!$M$3:M$367,MATCH(A348,'Horo. M'!$A$3:$A$367,0)),"")</f>
        <v>0</v>
      </c>
      <c r="AR348" s="278"/>
      <c r="AS348" s="278"/>
      <c r="AT348" s="272">
        <f t="shared" si="221"/>
        <v>24</v>
      </c>
      <c r="AU348" s="274">
        <f t="shared" si="222"/>
        <v>0</v>
      </c>
      <c r="AV348" s="275">
        <f t="shared" si="223"/>
        <v>1</v>
      </c>
      <c r="AW348" s="278"/>
      <c r="AX348" s="272">
        <f t="shared" si="224"/>
        <v>24</v>
      </c>
      <c r="AY348" s="272">
        <f>IFERROR(INDEX('Horo. M'!$O$3:O$367,MATCH(A348,'Horo. M'!$A$3:$A$367,0)),"")</f>
        <v>0</v>
      </c>
      <c r="AZ348" s="278"/>
      <c r="BA348" s="278"/>
      <c r="BB348" s="272">
        <f t="shared" si="225"/>
        <v>24</v>
      </c>
      <c r="BC348" s="274">
        <f t="shared" si="226"/>
        <v>0</v>
      </c>
      <c r="BD348" s="275">
        <f t="shared" si="227"/>
        <v>1</v>
      </c>
      <c r="BE348" s="278"/>
      <c r="BF348" s="272">
        <f t="shared" si="228"/>
        <v>24</v>
      </c>
      <c r="BG348" s="272">
        <f>IFERROR(INDEX('Horo. M'!$Q$3:Q$367,MATCH(A348,'Horo. M'!$A$3:$A$367,0)),"")</f>
        <v>0</v>
      </c>
      <c r="BH348" s="278"/>
      <c r="BI348" s="278"/>
      <c r="BJ348" s="272">
        <f t="shared" si="229"/>
        <v>24</v>
      </c>
      <c r="BK348" s="274">
        <f t="shared" si="230"/>
        <v>0</v>
      </c>
      <c r="BL348" s="275">
        <f t="shared" si="231"/>
        <v>1</v>
      </c>
      <c r="BM348" s="278"/>
      <c r="BN348" s="272">
        <f t="shared" si="232"/>
        <v>24</v>
      </c>
      <c r="BO348" s="272">
        <f>IFERROR(INDEX('Horo. M'!$S$3:S$367,MATCH(A348,'Horo. M'!$A$3:$A$367,0)),"")</f>
        <v>0</v>
      </c>
      <c r="BP348" s="278"/>
      <c r="BQ348" s="278"/>
      <c r="BR348" s="272">
        <f t="shared" si="233"/>
        <v>24</v>
      </c>
      <c r="BS348" s="274">
        <f t="shared" si="234"/>
        <v>0</v>
      </c>
      <c r="BT348" s="275">
        <f t="shared" si="235"/>
        <v>1</v>
      </c>
      <c r="BU348" s="278"/>
      <c r="BV348" s="272">
        <f t="shared" si="236"/>
        <v>24</v>
      </c>
      <c r="BW348" s="272">
        <f>IFERROR(INDEX('Horo. M'!$U$3:U$367,MATCH(A348,'Horo. M'!$A$3:$A$367,0)),"")</f>
        <v>0</v>
      </c>
      <c r="BX348" s="278"/>
      <c r="BY348" s="278"/>
      <c r="BZ348" s="272">
        <f t="shared" si="237"/>
        <v>24</v>
      </c>
      <c r="CA348" s="274">
        <f t="shared" si="238"/>
        <v>0</v>
      </c>
      <c r="CB348" s="275">
        <f t="shared" si="239"/>
        <v>1</v>
      </c>
      <c r="CC348" s="280"/>
    </row>
    <row r="349" spans="1:81">
      <c r="A349" s="279">
        <v>45274</v>
      </c>
      <c r="B349" s="278">
        <f t="shared" si="200"/>
        <v>24</v>
      </c>
      <c r="C349" s="272">
        <f>IFERROR(INDEX('Horo. M'!$C$3:$C$367,MATCH(A349,'Horo. M'!$A$3:$A$367,0)),"")</f>
        <v>0</v>
      </c>
      <c r="D349" s="278"/>
      <c r="E349" s="278"/>
      <c r="F349" s="272">
        <f t="shared" si="201"/>
        <v>24</v>
      </c>
      <c r="G349" s="274">
        <f t="shared" si="202"/>
        <v>0</v>
      </c>
      <c r="H349" s="275">
        <f t="shared" si="203"/>
        <v>1</v>
      </c>
      <c r="I349" s="277"/>
      <c r="J349" s="278">
        <f t="shared" si="204"/>
        <v>24</v>
      </c>
      <c r="K349" s="272">
        <f>IFERROR(INDEX('Horo. M'!$E$3:$E$367,MATCH(A349,'Horo. M'!$A$3:$A$367,0)),"")</f>
        <v>0</v>
      </c>
      <c r="L349" s="273"/>
      <c r="M349" s="273"/>
      <c r="N349" s="272">
        <f t="shared" si="205"/>
        <v>24</v>
      </c>
      <c r="O349" s="274">
        <f t="shared" si="206"/>
        <v>0</v>
      </c>
      <c r="P349" s="275">
        <f t="shared" si="207"/>
        <v>1</v>
      </c>
      <c r="Q349" s="276"/>
      <c r="R349" s="278">
        <f t="shared" si="208"/>
        <v>24</v>
      </c>
      <c r="S349" s="272">
        <f>IFERROR(INDEX('Horo. M'!G$3:$G$367,MATCH(A349,'Horo. M'!$A$3:$A$367,0)),"")</f>
        <v>0</v>
      </c>
      <c r="T349" s="278"/>
      <c r="U349" s="278"/>
      <c r="V349" s="272">
        <f t="shared" si="209"/>
        <v>24</v>
      </c>
      <c r="W349" s="274">
        <f t="shared" si="210"/>
        <v>0</v>
      </c>
      <c r="X349" s="275">
        <f t="shared" si="211"/>
        <v>1</v>
      </c>
      <c r="Y349" s="278"/>
      <c r="Z349" s="278">
        <f t="shared" si="212"/>
        <v>24</v>
      </c>
      <c r="AA349" s="272">
        <f>IFERROR(INDEX('Horo. M'!$I$3:I$367,MATCH(A349,'Horo. M'!$A$3:$A$367,0)),"")</f>
        <v>0</v>
      </c>
      <c r="AB349" s="273"/>
      <c r="AC349" s="273"/>
      <c r="AD349" s="272">
        <f t="shared" si="213"/>
        <v>24</v>
      </c>
      <c r="AE349" s="274">
        <f t="shared" si="214"/>
        <v>0</v>
      </c>
      <c r="AF349" s="275">
        <f t="shared" si="215"/>
        <v>1</v>
      </c>
      <c r="AG349" s="278"/>
      <c r="AH349" s="272">
        <f t="shared" si="216"/>
        <v>24</v>
      </c>
      <c r="AI349" s="272">
        <f>IFERROR(INDEX('Horo. M'!$K$3:K$367,MATCH(A349,'Horo. M'!$A$3:$A$367,0)),"")</f>
        <v>0</v>
      </c>
      <c r="AJ349" s="278"/>
      <c r="AK349" s="278"/>
      <c r="AL349" s="272">
        <f t="shared" si="217"/>
        <v>24</v>
      </c>
      <c r="AM349" s="274">
        <f t="shared" si="218"/>
        <v>0</v>
      </c>
      <c r="AN349" s="275">
        <f t="shared" si="219"/>
        <v>1</v>
      </c>
      <c r="AO349" s="278"/>
      <c r="AP349" s="272">
        <f t="shared" si="220"/>
        <v>24</v>
      </c>
      <c r="AQ349" s="272">
        <f>IFERROR(INDEX('Horo. M'!$M$3:M$367,MATCH(A349,'Horo. M'!$A$3:$A$367,0)),"")</f>
        <v>0</v>
      </c>
      <c r="AR349" s="278"/>
      <c r="AS349" s="278"/>
      <c r="AT349" s="272">
        <f t="shared" si="221"/>
        <v>24</v>
      </c>
      <c r="AU349" s="274">
        <f t="shared" si="222"/>
        <v>0</v>
      </c>
      <c r="AV349" s="275">
        <f t="shared" si="223"/>
        <v>1</v>
      </c>
      <c r="AW349" s="278"/>
      <c r="AX349" s="272">
        <f t="shared" si="224"/>
        <v>24</v>
      </c>
      <c r="AY349" s="272">
        <f>IFERROR(INDEX('Horo. M'!$O$3:O$367,MATCH(A349,'Horo. M'!$A$3:$A$367,0)),"")</f>
        <v>0</v>
      </c>
      <c r="AZ349" s="278"/>
      <c r="BA349" s="278"/>
      <c r="BB349" s="272">
        <f t="shared" si="225"/>
        <v>24</v>
      </c>
      <c r="BC349" s="274">
        <f t="shared" si="226"/>
        <v>0</v>
      </c>
      <c r="BD349" s="275">
        <f t="shared" si="227"/>
        <v>1</v>
      </c>
      <c r="BE349" s="278"/>
      <c r="BF349" s="272">
        <f t="shared" si="228"/>
        <v>24</v>
      </c>
      <c r="BG349" s="272">
        <f>IFERROR(INDEX('Horo. M'!$Q$3:Q$367,MATCH(A349,'Horo. M'!$A$3:$A$367,0)),"")</f>
        <v>0</v>
      </c>
      <c r="BH349" s="278"/>
      <c r="BI349" s="278"/>
      <c r="BJ349" s="272">
        <f t="shared" si="229"/>
        <v>24</v>
      </c>
      <c r="BK349" s="274">
        <f t="shared" si="230"/>
        <v>0</v>
      </c>
      <c r="BL349" s="275">
        <f t="shared" si="231"/>
        <v>1</v>
      </c>
      <c r="BM349" s="278"/>
      <c r="BN349" s="272">
        <f t="shared" si="232"/>
        <v>24</v>
      </c>
      <c r="BO349" s="272">
        <f>IFERROR(INDEX('Horo. M'!$S$3:S$367,MATCH(A349,'Horo. M'!$A$3:$A$367,0)),"")</f>
        <v>0</v>
      </c>
      <c r="BP349" s="278"/>
      <c r="BQ349" s="278"/>
      <c r="BR349" s="272">
        <f t="shared" si="233"/>
        <v>24</v>
      </c>
      <c r="BS349" s="274">
        <f t="shared" si="234"/>
        <v>0</v>
      </c>
      <c r="BT349" s="275">
        <f t="shared" si="235"/>
        <v>1</v>
      </c>
      <c r="BU349" s="278"/>
      <c r="BV349" s="272">
        <f t="shared" si="236"/>
        <v>24</v>
      </c>
      <c r="BW349" s="272">
        <f>IFERROR(INDEX('Horo. M'!$U$3:U$367,MATCH(A349,'Horo. M'!$A$3:$A$367,0)),"")</f>
        <v>0</v>
      </c>
      <c r="BX349" s="278"/>
      <c r="BY349" s="278"/>
      <c r="BZ349" s="272">
        <f t="shared" si="237"/>
        <v>24</v>
      </c>
      <c r="CA349" s="274">
        <f t="shared" si="238"/>
        <v>0</v>
      </c>
      <c r="CB349" s="275">
        <f t="shared" si="239"/>
        <v>1</v>
      </c>
      <c r="CC349" s="280"/>
    </row>
    <row r="350" spans="1:81">
      <c r="A350" s="279">
        <v>45275</v>
      </c>
      <c r="B350" s="278">
        <f t="shared" si="200"/>
        <v>24</v>
      </c>
      <c r="C350" s="272">
        <f>IFERROR(INDEX('Horo. M'!$C$3:$C$367,MATCH(A350,'Horo. M'!$A$3:$A$367,0)),"")</f>
        <v>0</v>
      </c>
      <c r="D350" s="278"/>
      <c r="E350" s="278"/>
      <c r="F350" s="272">
        <f t="shared" si="201"/>
        <v>24</v>
      </c>
      <c r="G350" s="274">
        <f t="shared" si="202"/>
        <v>0</v>
      </c>
      <c r="H350" s="275">
        <f t="shared" si="203"/>
        <v>1</v>
      </c>
      <c r="I350" s="277"/>
      <c r="J350" s="278">
        <f t="shared" si="204"/>
        <v>24</v>
      </c>
      <c r="K350" s="272">
        <f>IFERROR(INDEX('Horo. M'!$E$3:$E$367,MATCH(A350,'Horo. M'!$A$3:$A$367,0)),"")</f>
        <v>0</v>
      </c>
      <c r="L350" s="273"/>
      <c r="M350" s="273"/>
      <c r="N350" s="272">
        <f t="shared" si="205"/>
        <v>24</v>
      </c>
      <c r="O350" s="274">
        <f t="shared" si="206"/>
        <v>0</v>
      </c>
      <c r="P350" s="275">
        <f t="shared" si="207"/>
        <v>1</v>
      </c>
      <c r="Q350" s="276"/>
      <c r="R350" s="278">
        <f t="shared" si="208"/>
        <v>24</v>
      </c>
      <c r="S350" s="272">
        <f>IFERROR(INDEX('Horo. M'!G$3:$G$367,MATCH(A350,'Horo. M'!$A$3:$A$367,0)),"")</f>
        <v>0</v>
      </c>
      <c r="T350" s="278"/>
      <c r="U350" s="278"/>
      <c r="V350" s="272">
        <f t="shared" si="209"/>
        <v>24</v>
      </c>
      <c r="W350" s="274">
        <f t="shared" si="210"/>
        <v>0</v>
      </c>
      <c r="X350" s="275">
        <f t="shared" si="211"/>
        <v>1</v>
      </c>
      <c r="Y350" s="278"/>
      <c r="Z350" s="278">
        <f t="shared" si="212"/>
        <v>24</v>
      </c>
      <c r="AA350" s="272">
        <f>IFERROR(INDEX('Horo. M'!$I$3:I$367,MATCH(A350,'Horo. M'!$A$3:$A$367,0)),"")</f>
        <v>0</v>
      </c>
      <c r="AB350" s="273"/>
      <c r="AC350" s="273"/>
      <c r="AD350" s="272">
        <f t="shared" si="213"/>
        <v>24</v>
      </c>
      <c r="AE350" s="274">
        <f t="shared" si="214"/>
        <v>0</v>
      </c>
      <c r="AF350" s="275">
        <f t="shared" si="215"/>
        <v>1</v>
      </c>
      <c r="AG350" s="278"/>
      <c r="AH350" s="272">
        <f t="shared" si="216"/>
        <v>24</v>
      </c>
      <c r="AI350" s="272">
        <f>IFERROR(INDEX('Horo. M'!$K$3:K$367,MATCH(A350,'Horo. M'!$A$3:$A$367,0)),"")</f>
        <v>0</v>
      </c>
      <c r="AJ350" s="278"/>
      <c r="AK350" s="278"/>
      <c r="AL350" s="272">
        <f t="shared" si="217"/>
        <v>24</v>
      </c>
      <c r="AM350" s="274">
        <f t="shared" si="218"/>
        <v>0</v>
      </c>
      <c r="AN350" s="275">
        <f t="shared" si="219"/>
        <v>1</v>
      </c>
      <c r="AO350" s="278"/>
      <c r="AP350" s="272">
        <f t="shared" si="220"/>
        <v>24</v>
      </c>
      <c r="AQ350" s="272">
        <f>IFERROR(INDEX('Horo. M'!$M$3:M$367,MATCH(A350,'Horo. M'!$A$3:$A$367,0)),"")</f>
        <v>0</v>
      </c>
      <c r="AR350" s="278"/>
      <c r="AS350" s="278"/>
      <c r="AT350" s="272">
        <f t="shared" si="221"/>
        <v>24</v>
      </c>
      <c r="AU350" s="274">
        <f t="shared" si="222"/>
        <v>0</v>
      </c>
      <c r="AV350" s="275">
        <f t="shared" si="223"/>
        <v>1</v>
      </c>
      <c r="AW350" s="278"/>
      <c r="AX350" s="272">
        <f t="shared" si="224"/>
        <v>24</v>
      </c>
      <c r="AY350" s="272">
        <f>IFERROR(INDEX('Horo. M'!$O$3:O$367,MATCH(A350,'Horo. M'!$A$3:$A$367,0)),"")</f>
        <v>0</v>
      </c>
      <c r="AZ350" s="278"/>
      <c r="BA350" s="278"/>
      <c r="BB350" s="272">
        <f t="shared" si="225"/>
        <v>24</v>
      </c>
      <c r="BC350" s="274">
        <f t="shared" si="226"/>
        <v>0</v>
      </c>
      <c r="BD350" s="275">
        <f t="shared" si="227"/>
        <v>1</v>
      </c>
      <c r="BE350" s="278"/>
      <c r="BF350" s="272">
        <f t="shared" si="228"/>
        <v>24</v>
      </c>
      <c r="BG350" s="272">
        <f>IFERROR(INDEX('Horo. M'!$Q$3:Q$367,MATCH(A350,'Horo. M'!$A$3:$A$367,0)),"")</f>
        <v>0</v>
      </c>
      <c r="BH350" s="278"/>
      <c r="BI350" s="278"/>
      <c r="BJ350" s="272">
        <f t="shared" si="229"/>
        <v>24</v>
      </c>
      <c r="BK350" s="274">
        <f t="shared" si="230"/>
        <v>0</v>
      </c>
      <c r="BL350" s="275">
        <f t="shared" si="231"/>
        <v>1</v>
      </c>
      <c r="BM350" s="278"/>
      <c r="BN350" s="272">
        <f t="shared" si="232"/>
        <v>24</v>
      </c>
      <c r="BO350" s="272">
        <f>IFERROR(INDEX('Horo. M'!$S$3:S$367,MATCH(A350,'Horo. M'!$A$3:$A$367,0)),"")</f>
        <v>0</v>
      </c>
      <c r="BP350" s="278"/>
      <c r="BQ350" s="278"/>
      <c r="BR350" s="272">
        <f t="shared" si="233"/>
        <v>24</v>
      </c>
      <c r="BS350" s="274">
        <f t="shared" si="234"/>
        <v>0</v>
      </c>
      <c r="BT350" s="275">
        <f t="shared" si="235"/>
        <v>1</v>
      </c>
      <c r="BU350" s="278"/>
      <c r="BV350" s="272">
        <f t="shared" si="236"/>
        <v>24</v>
      </c>
      <c r="BW350" s="272">
        <f>IFERROR(INDEX('Horo. M'!$U$3:U$367,MATCH(A350,'Horo. M'!$A$3:$A$367,0)),"")</f>
        <v>0</v>
      </c>
      <c r="BX350" s="278"/>
      <c r="BY350" s="278"/>
      <c r="BZ350" s="272">
        <f t="shared" si="237"/>
        <v>24</v>
      </c>
      <c r="CA350" s="274">
        <f t="shared" si="238"/>
        <v>0</v>
      </c>
      <c r="CB350" s="275">
        <f t="shared" si="239"/>
        <v>1</v>
      </c>
      <c r="CC350" s="280"/>
    </row>
    <row r="351" spans="1:81">
      <c r="A351" s="279">
        <v>45276</v>
      </c>
      <c r="B351" s="278">
        <f t="shared" si="200"/>
        <v>24</v>
      </c>
      <c r="C351" s="272">
        <f>IFERROR(INDEX('Horo. M'!$C$3:$C$367,MATCH(A351,'Horo. M'!$A$3:$A$367,0)),"")</f>
        <v>0</v>
      </c>
      <c r="D351" s="278"/>
      <c r="E351" s="278"/>
      <c r="F351" s="272">
        <f t="shared" si="201"/>
        <v>24</v>
      </c>
      <c r="G351" s="274">
        <f t="shared" si="202"/>
        <v>0</v>
      </c>
      <c r="H351" s="275">
        <f t="shared" si="203"/>
        <v>1</v>
      </c>
      <c r="I351" s="277"/>
      <c r="J351" s="278">
        <f t="shared" si="204"/>
        <v>24</v>
      </c>
      <c r="K351" s="272">
        <f>IFERROR(INDEX('Horo. M'!$E$3:$E$367,MATCH(A351,'Horo. M'!$A$3:$A$367,0)),"")</f>
        <v>0</v>
      </c>
      <c r="L351" s="273"/>
      <c r="M351" s="273"/>
      <c r="N351" s="272">
        <f t="shared" si="205"/>
        <v>24</v>
      </c>
      <c r="O351" s="274">
        <f t="shared" si="206"/>
        <v>0</v>
      </c>
      <c r="P351" s="275">
        <f t="shared" si="207"/>
        <v>1</v>
      </c>
      <c r="Q351" s="276"/>
      <c r="R351" s="278">
        <f t="shared" si="208"/>
        <v>24</v>
      </c>
      <c r="S351" s="272">
        <f>IFERROR(INDEX('Horo. M'!G$3:$G$367,MATCH(A351,'Horo. M'!$A$3:$A$367,0)),"")</f>
        <v>0</v>
      </c>
      <c r="T351" s="278"/>
      <c r="U351" s="278"/>
      <c r="V351" s="272">
        <f t="shared" si="209"/>
        <v>24</v>
      </c>
      <c r="W351" s="274">
        <f t="shared" si="210"/>
        <v>0</v>
      </c>
      <c r="X351" s="275">
        <f t="shared" si="211"/>
        <v>1</v>
      </c>
      <c r="Y351" s="278"/>
      <c r="Z351" s="278">
        <f t="shared" si="212"/>
        <v>24</v>
      </c>
      <c r="AA351" s="272">
        <f>IFERROR(INDEX('Horo. M'!$I$3:I$367,MATCH(A351,'Horo. M'!$A$3:$A$367,0)),"")</f>
        <v>0</v>
      </c>
      <c r="AB351" s="273"/>
      <c r="AC351" s="273"/>
      <c r="AD351" s="272">
        <f t="shared" si="213"/>
        <v>24</v>
      </c>
      <c r="AE351" s="274">
        <f t="shared" si="214"/>
        <v>0</v>
      </c>
      <c r="AF351" s="275">
        <f t="shared" si="215"/>
        <v>1</v>
      </c>
      <c r="AG351" s="278"/>
      <c r="AH351" s="272">
        <f t="shared" si="216"/>
        <v>24</v>
      </c>
      <c r="AI351" s="272">
        <f>IFERROR(INDEX('Horo. M'!$K$3:K$367,MATCH(A351,'Horo. M'!$A$3:$A$367,0)),"")</f>
        <v>0</v>
      </c>
      <c r="AJ351" s="278"/>
      <c r="AK351" s="278"/>
      <c r="AL351" s="272">
        <f t="shared" si="217"/>
        <v>24</v>
      </c>
      <c r="AM351" s="274">
        <f t="shared" si="218"/>
        <v>0</v>
      </c>
      <c r="AN351" s="275">
        <f t="shared" si="219"/>
        <v>1</v>
      </c>
      <c r="AO351" s="278"/>
      <c r="AP351" s="272">
        <f t="shared" si="220"/>
        <v>24</v>
      </c>
      <c r="AQ351" s="272">
        <f>IFERROR(INDEX('Horo. M'!$M$3:M$367,MATCH(A351,'Horo. M'!$A$3:$A$367,0)),"")</f>
        <v>0</v>
      </c>
      <c r="AR351" s="278"/>
      <c r="AS351" s="278"/>
      <c r="AT351" s="272">
        <f t="shared" si="221"/>
        <v>24</v>
      </c>
      <c r="AU351" s="274">
        <f t="shared" si="222"/>
        <v>0</v>
      </c>
      <c r="AV351" s="275">
        <f t="shared" si="223"/>
        <v>1</v>
      </c>
      <c r="AW351" s="278"/>
      <c r="AX351" s="272">
        <f t="shared" si="224"/>
        <v>24</v>
      </c>
      <c r="AY351" s="272">
        <f>IFERROR(INDEX('Horo. M'!$O$3:O$367,MATCH(A351,'Horo. M'!$A$3:$A$367,0)),"")</f>
        <v>0</v>
      </c>
      <c r="AZ351" s="278"/>
      <c r="BA351" s="278"/>
      <c r="BB351" s="272">
        <f t="shared" si="225"/>
        <v>24</v>
      </c>
      <c r="BC351" s="274">
        <f t="shared" si="226"/>
        <v>0</v>
      </c>
      <c r="BD351" s="275">
        <f t="shared" si="227"/>
        <v>1</v>
      </c>
      <c r="BE351" s="278"/>
      <c r="BF351" s="272">
        <f t="shared" si="228"/>
        <v>24</v>
      </c>
      <c r="BG351" s="272">
        <f>IFERROR(INDEX('Horo. M'!$Q$3:Q$367,MATCH(A351,'Horo. M'!$A$3:$A$367,0)),"")</f>
        <v>0</v>
      </c>
      <c r="BH351" s="278"/>
      <c r="BI351" s="278"/>
      <c r="BJ351" s="272">
        <f t="shared" si="229"/>
        <v>24</v>
      </c>
      <c r="BK351" s="274">
        <f t="shared" si="230"/>
        <v>0</v>
      </c>
      <c r="BL351" s="275">
        <f t="shared" si="231"/>
        <v>1</v>
      </c>
      <c r="BM351" s="278"/>
      <c r="BN351" s="272">
        <f t="shared" si="232"/>
        <v>24</v>
      </c>
      <c r="BO351" s="272">
        <f>IFERROR(INDEX('Horo. M'!$S$3:S$367,MATCH(A351,'Horo. M'!$A$3:$A$367,0)),"")</f>
        <v>0</v>
      </c>
      <c r="BP351" s="278"/>
      <c r="BQ351" s="278"/>
      <c r="BR351" s="272">
        <f t="shared" si="233"/>
        <v>24</v>
      </c>
      <c r="BS351" s="274">
        <f t="shared" si="234"/>
        <v>0</v>
      </c>
      <c r="BT351" s="275">
        <f t="shared" si="235"/>
        <v>1</v>
      </c>
      <c r="BU351" s="278"/>
      <c r="BV351" s="272">
        <f t="shared" si="236"/>
        <v>24</v>
      </c>
      <c r="BW351" s="272">
        <f>IFERROR(INDEX('Horo. M'!$U$3:U$367,MATCH(A351,'Horo. M'!$A$3:$A$367,0)),"")</f>
        <v>0</v>
      </c>
      <c r="BX351" s="278"/>
      <c r="BY351" s="278"/>
      <c r="BZ351" s="272">
        <f t="shared" si="237"/>
        <v>24</v>
      </c>
      <c r="CA351" s="274">
        <f t="shared" si="238"/>
        <v>0</v>
      </c>
      <c r="CB351" s="275">
        <f t="shared" si="239"/>
        <v>1</v>
      </c>
      <c r="CC351" s="280"/>
    </row>
    <row r="352" spans="1:81">
      <c r="A352" s="279">
        <v>45277</v>
      </c>
      <c r="B352" s="278">
        <f t="shared" si="200"/>
        <v>24</v>
      </c>
      <c r="C352" s="272">
        <f>IFERROR(INDEX('Horo. M'!$C$3:$C$367,MATCH(A352,'Horo. M'!$A$3:$A$367,0)),"")</f>
        <v>0</v>
      </c>
      <c r="D352" s="278"/>
      <c r="E352" s="278"/>
      <c r="F352" s="272">
        <f t="shared" si="201"/>
        <v>24</v>
      </c>
      <c r="G352" s="274">
        <f t="shared" si="202"/>
        <v>0</v>
      </c>
      <c r="H352" s="275">
        <f t="shared" si="203"/>
        <v>1</v>
      </c>
      <c r="I352" s="277"/>
      <c r="J352" s="278">
        <f t="shared" si="204"/>
        <v>24</v>
      </c>
      <c r="K352" s="272">
        <f>IFERROR(INDEX('Horo. M'!$E$3:$E$367,MATCH(A352,'Horo. M'!$A$3:$A$367,0)),"")</f>
        <v>0</v>
      </c>
      <c r="L352" s="273"/>
      <c r="M352" s="273"/>
      <c r="N352" s="272">
        <f t="shared" si="205"/>
        <v>24</v>
      </c>
      <c r="O352" s="274">
        <f t="shared" si="206"/>
        <v>0</v>
      </c>
      <c r="P352" s="275">
        <f t="shared" si="207"/>
        <v>1</v>
      </c>
      <c r="Q352" s="276"/>
      <c r="R352" s="278">
        <f t="shared" si="208"/>
        <v>24</v>
      </c>
      <c r="S352" s="272">
        <f>IFERROR(INDEX('Horo. M'!G$3:$G$367,MATCH(A352,'Horo. M'!$A$3:$A$367,0)),"")</f>
        <v>0</v>
      </c>
      <c r="T352" s="278"/>
      <c r="U352" s="278"/>
      <c r="V352" s="272">
        <f t="shared" si="209"/>
        <v>24</v>
      </c>
      <c r="W352" s="274">
        <f t="shared" si="210"/>
        <v>0</v>
      </c>
      <c r="X352" s="275">
        <f t="shared" si="211"/>
        <v>1</v>
      </c>
      <c r="Y352" s="278"/>
      <c r="Z352" s="278">
        <f t="shared" si="212"/>
        <v>24</v>
      </c>
      <c r="AA352" s="272">
        <f>IFERROR(INDEX('Horo. M'!$I$3:I$367,MATCH(A352,'Horo. M'!$A$3:$A$367,0)),"")</f>
        <v>0</v>
      </c>
      <c r="AB352" s="273"/>
      <c r="AC352" s="273"/>
      <c r="AD352" s="272">
        <f t="shared" si="213"/>
        <v>24</v>
      </c>
      <c r="AE352" s="274">
        <f t="shared" si="214"/>
        <v>0</v>
      </c>
      <c r="AF352" s="275">
        <f t="shared" si="215"/>
        <v>1</v>
      </c>
      <c r="AG352" s="278"/>
      <c r="AH352" s="272">
        <f t="shared" si="216"/>
        <v>24</v>
      </c>
      <c r="AI352" s="272">
        <f>IFERROR(INDEX('Horo. M'!$K$3:K$367,MATCH(A352,'Horo. M'!$A$3:$A$367,0)),"")</f>
        <v>0</v>
      </c>
      <c r="AJ352" s="278"/>
      <c r="AK352" s="278"/>
      <c r="AL352" s="272">
        <f t="shared" si="217"/>
        <v>24</v>
      </c>
      <c r="AM352" s="274">
        <f t="shared" si="218"/>
        <v>0</v>
      </c>
      <c r="AN352" s="275">
        <f t="shared" si="219"/>
        <v>1</v>
      </c>
      <c r="AO352" s="278"/>
      <c r="AP352" s="272">
        <f t="shared" si="220"/>
        <v>24</v>
      </c>
      <c r="AQ352" s="272">
        <f>IFERROR(INDEX('Horo. M'!$M$3:M$367,MATCH(A352,'Horo. M'!$A$3:$A$367,0)),"")</f>
        <v>0</v>
      </c>
      <c r="AR352" s="278"/>
      <c r="AS352" s="278"/>
      <c r="AT352" s="272">
        <f t="shared" si="221"/>
        <v>24</v>
      </c>
      <c r="AU352" s="274">
        <f t="shared" si="222"/>
        <v>0</v>
      </c>
      <c r="AV352" s="275">
        <f t="shared" si="223"/>
        <v>1</v>
      </c>
      <c r="AW352" s="278"/>
      <c r="AX352" s="272">
        <f t="shared" si="224"/>
        <v>24</v>
      </c>
      <c r="AY352" s="272">
        <f>IFERROR(INDEX('Horo. M'!$O$3:O$367,MATCH(A352,'Horo. M'!$A$3:$A$367,0)),"")</f>
        <v>0</v>
      </c>
      <c r="AZ352" s="278"/>
      <c r="BA352" s="278"/>
      <c r="BB352" s="272">
        <f t="shared" si="225"/>
        <v>24</v>
      </c>
      <c r="BC352" s="274">
        <f t="shared" si="226"/>
        <v>0</v>
      </c>
      <c r="BD352" s="275">
        <f t="shared" si="227"/>
        <v>1</v>
      </c>
      <c r="BE352" s="278"/>
      <c r="BF352" s="272">
        <f t="shared" si="228"/>
        <v>24</v>
      </c>
      <c r="BG352" s="272">
        <f>IFERROR(INDEX('Horo. M'!$Q$3:Q$367,MATCH(A352,'Horo. M'!$A$3:$A$367,0)),"")</f>
        <v>0</v>
      </c>
      <c r="BH352" s="278"/>
      <c r="BI352" s="278"/>
      <c r="BJ352" s="272">
        <f t="shared" si="229"/>
        <v>24</v>
      </c>
      <c r="BK352" s="274">
        <f t="shared" si="230"/>
        <v>0</v>
      </c>
      <c r="BL352" s="275">
        <f t="shared" si="231"/>
        <v>1</v>
      </c>
      <c r="BM352" s="278"/>
      <c r="BN352" s="272">
        <f t="shared" si="232"/>
        <v>24</v>
      </c>
      <c r="BO352" s="272">
        <f>IFERROR(INDEX('Horo. M'!$S$3:S$367,MATCH(A352,'Horo. M'!$A$3:$A$367,0)),"")</f>
        <v>0</v>
      </c>
      <c r="BP352" s="278"/>
      <c r="BQ352" s="278"/>
      <c r="BR352" s="272">
        <f t="shared" si="233"/>
        <v>24</v>
      </c>
      <c r="BS352" s="274">
        <f t="shared" si="234"/>
        <v>0</v>
      </c>
      <c r="BT352" s="275">
        <f t="shared" si="235"/>
        <v>1</v>
      </c>
      <c r="BU352" s="278"/>
      <c r="BV352" s="272">
        <f t="shared" si="236"/>
        <v>24</v>
      </c>
      <c r="BW352" s="272">
        <f>IFERROR(INDEX('Horo. M'!$U$3:U$367,MATCH(A352,'Horo. M'!$A$3:$A$367,0)),"")</f>
        <v>0</v>
      </c>
      <c r="BX352" s="278"/>
      <c r="BY352" s="278"/>
      <c r="BZ352" s="272">
        <f t="shared" si="237"/>
        <v>24</v>
      </c>
      <c r="CA352" s="274">
        <f t="shared" si="238"/>
        <v>0</v>
      </c>
      <c r="CB352" s="275">
        <f t="shared" si="239"/>
        <v>1</v>
      </c>
      <c r="CC352" s="280"/>
    </row>
    <row r="353" spans="1:81">
      <c r="A353" s="279">
        <v>45278</v>
      </c>
      <c r="B353" s="278">
        <f t="shared" si="200"/>
        <v>24</v>
      </c>
      <c r="C353" s="272">
        <f>IFERROR(INDEX('Horo. M'!$C$3:$C$367,MATCH(A353,'Horo. M'!$A$3:$A$367,0)),"")</f>
        <v>0</v>
      </c>
      <c r="D353" s="278"/>
      <c r="E353" s="278"/>
      <c r="F353" s="272">
        <f t="shared" si="201"/>
        <v>24</v>
      </c>
      <c r="G353" s="274">
        <f t="shared" si="202"/>
        <v>0</v>
      </c>
      <c r="H353" s="275">
        <f t="shared" si="203"/>
        <v>1</v>
      </c>
      <c r="I353" s="277"/>
      <c r="J353" s="278">
        <f t="shared" si="204"/>
        <v>24</v>
      </c>
      <c r="K353" s="272">
        <f>IFERROR(INDEX('Horo. M'!$E$3:$E$367,MATCH(A353,'Horo. M'!$A$3:$A$367,0)),"")</f>
        <v>0</v>
      </c>
      <c r="L353" s="273"/>
      <c r="M353" s="273"/>
      <c r="N353" s="272">
        <f t="shared" si="205"/>
        <v>24</v>
      </c>
      <c r="O353" s="274">
        <f t="shared" si="206"/>
        <v>0</v>
      </c>
      <c r="P353" s="275">
        <f t="shared" si="207"/>
        <v>1</v>
      </c>
      <c r="Q353" s="276"/>
      <c r="R353" s="278">
        <f t="shared" si="208"/>
        <v>24</v>
      </c>
      <c r="S353" s="272">
        <f>IFERROR(INDEX('Horo. M'!G$3:$G$367,MATCH(A353,'Horo. M'!$A$3:$A$367,0)),"")</f>
        <v>0</v>
      </c>
      <c r="T353" s="278"/>
      <c r="U353" s="278"/>
      <c r="V353" s="272">
        <f t="shared" si="209"/>
        <v>24</v>
      </c>
      <c r="W353" s="274">
        <f t="shared" si="210"/>
        <v>0</v>
      </c>
      <c r="X353" s="275">
        <f t="shared" si="211"/>
        <v>1</v>
      </c>
      <c r="Y353" s="278"/>
      <c r="Z353" s="278">
        <f t="shared" si="212"/>
        <v>24</v>
      </c>
      <c r="AA353" s="272">
        <f>IFERROR(INDEX('Horo. M'!$I$3:I$367,MATCH(A353,'Horo. M'!$A$3:$A$367,0)),"")</f>
        <v>0</v>
      </c>
      <c r="AB353" s="273"/>
      <c r="AC353" s="273"/>
      <c r="AD353" s="272">
        <f t="shared" si="213"/>
        <v>24</v>
      </c>
      <c r="AE353" s="274">
        <f t="shared" si="214"/>
        <v>0</v>
      </c>
      <c r="AF353" s="275">
        <f t="shared" si="215"/>
        <v>1</v>
      </c>
      <c r="AG353" s="278"/>
      <c r="AH353" s="272">
        <f t="shared" si="216"/>
        <v>24</v>
      </c>
      <c r="AI353" s="272">
        <f>IFERROR(INDEX('Horo. M'!$K$3:K$367,MATCH(A353,'Horo. M'!$A$3:$A$367,0)),"")</f>
        <v>0</v>
      </c>
      <c r="AJ353" s="278"/>
      <c r="AK353" s="278"/>
      <c r="AL353" s="272">
        <f t="shared" si="217"/>
        <v>24</v>
      </c>
      <c r="AM353" s="274">
        <f t="shared" si="218"/>
        <v>0</v>
      </c>
      <c r="AN353" s="275">
        <f t="shared" si="219"/>
        <v>1</v>
      </c>
      <c r="AO353" s="278"/>
      <c r="AP353" s="272">
        <f t="shared" si="220"/>
        <v>24</v>
      </c>
      <c r="AQ353" s="272">
        <f>IFERROR(INDEX('Horo. M'!$M$3:M$367,MATCH(A353,'Horo. M'!$A$3:$A$367,0)),"")</f>
        <v>0</v>
      </c>
      <c r="AR353" s="278"/>
      <c r="AS353" s="278"/>
      <c r="AT353" s="272">
        <f t="shared" si="221"/>
        <v>24</v>
      </c>
      <c r="AU353" s="274">
        <f t="shared" si="222"/>
        <v>0</v>
      </c>
      <c r="AV353" s="275">
        <f t="shared" si="223"/>
        <v>1</v>
      </c>
      <c r="AW353" s="278"/>
      <c r="AX353" s="272">
        <f t="shared" si="224"/>
        <v>24</v>
      </c>
      <c r="AY353" s="272">
        <f>IFERROR(INDEX('Horo. M'!$O$3:O$367,MATCH(A353,'Horo. M'!$A$3:$A$367,0)),"")</f>
        <v>0</v>
      </c>
      <c r="AZ353" s="278"/>
      <c r="BA353" s="278"/>
      <c r="BB353" s="272">
        <f t="shared" si="225"/>
        <v>24</v>
      </c>
      <c r="BC353" s="274">
        <f t="shared" si="226"/>
        <v>0</v>
      </c>
      <c r="BD353" s="275">
        <f t="shared" si="227"/>
        <v>1</v>
      </c>
      <c r="BE353" s="278"/>
      <c r="BF353" s="272">
        <f t="shared" si="228"/>
        <v>24</v>
      </c>
      <c r="BG353" s="272">
        <f>IFERROR(INDEX('Horo. M'!$Q$3:Q$367,MATCH(A353,'Horo. M'!$A$3:$A$367,0)),"")</f>
        <v>0</v>
      </c>
      <c r="BH353" s="278"/>
      <c r="BI353" s="278"/>
      <c r="BJ353" s="272">
        <f t="shared" si="229"/>
        <v>24</v>
      </c>
      <c r="BK353" s="274">
        <f t="shared" si="230"/>
        <v>0</v>
      </c>
      <c r="BL353" s="275">
        <f t="shared" si="231"/>
        <v>1</v>
      </c>
      <c r="BM353" s="278"/>
      <c r="BN353" s="272">
        <f t="shared" si="232"/>
        <v>24</v>
      </c>
      <c r="BO353" s="272">
        <f>IFERROR(INDEX('Horo. M'!$S$3:S$367,MATCH(A353,'Horo. M'!$A$3:$A$367,0)),"")</f>
        <v>0</v>
      </c>
      <c r="BP353" s="278"/>
      <c r="BQ353" s="278"/>
      <c r="BR353" s="272">
        <f t="shared" si="233"/>
        <v>24</v>
      </c>
      <c r="BS353" s="274">
        <f t="shared" si="234"/>
        <v>0</v>
      </c>
      <c r="BT353" s="275">
        <f t="shared" si="235"/>
        <v>1</v>
      </c>
      <c r="BU353" s="278"/>
      <c r="BV353" s="272">
        <f t="shared" si="236"/>
        <v>24</v>
      </c>
      <c r="BW353" s="272">
        <f>IFERROR(INDEX('Horo. M'!$U$3:U$367,MATCH(A353,'Horo. M'!$A$3:$A$367,0)),"")</f>
        <v>0</v>
      </c>
      <c r="BX353" s="278"/>
      <c r="BY353" s="278"/>
      <c r="BZ353" s="272">
        <f t="shared" si="237"/>
        <v>24</v>
      </c>
      <c r="CA353" s="274">
        <f t="shared" si="238"/>
        <v>0</v>
      </c>
      <c r="CB353" s="275">
        <f t="shared" si="239"/>
        <v>1</v>
      </c>
      <c r="CC353" s="280"/>
    </row>
    <row r="354" spans="1:81">
      <c r="A354" s="279">
        <v>45279</v>
      </c>
      <c r="B354" s="278">
        <f t="shared" si="200"/>
        <v>24</v>
      </c>
      <c r="C354" s="272">
        <f>IFERROR(INDEX('Horo. M'!$C$3:$C$367,MATCH(A354,'Horo. M'!$A$3:$A$367,0)),"")</f>
        <v>0</v>
      </c>
      <c r="D354" s="278"/>
      <c r="E354" s="278"/>
      <c r="F354" s="272">
        <f t="shared" si="201"/>
        <v>24</v>
      </c>
      <c r="G354" s="274">
        <f t="shared" si="202"/>
        <v>0</v>
      </c>
      <c r="H354" s="275">
        <f t="shared" si="203"/>
        <v>1</v>
      </c>
      <c r="I354" s="277"/>
      <c r="J354" s="278">
        <f t="shared" si="204"/>
        <v>24</v>
      </c>
      <c r="K354" s="272">
        <f>IFERROR(INDEX('Horo. M'!$E$3:$E$367,MATCH(A354,'Horo. M'!$A$3:$A$367,0)),"")</f>
        <v>0</v>
      </c>
      <c r="L354" s="273"/>
      <c r="M354" s="273"/>
      <c r="N354" s="272">
        <f t="shared" si="205"/>
        <v>24</v>
      </c>
      <c r="O354" s="274">
        <f t="shared" si="206"/>
        <v>0</v>
      </c>
      <c r="P354" s="275">
        <f t="shared" si="207"/>
        <v>1</v>
      </c>
      <c r="Q354" s="276"/>
      <c r="R354" s="278">
        <f t="shared" si="208"/>
        <v>24</v>
      </c>
      <c r="S354" s="272">
        <f>IFERROR(INDEX('Horo. M'!G$3:$G$367,MATCH(A354,'Horo. M'!$A$3:$A$367,0)),"")</f>
        <v>0</v>
      </c>
      <c r="T354" s="278"/>
      <c r="U354" s="278"/>
      <c r="V354" s="272">
        <f t="shared" si="209"/>
        <v>24</v>
      </c>
      <c r="W354" s="274">
        <f t="shared" si="210"/>
        <v>0</v>
      </c>
      <c r="X354" s="275">
        <f t="shared" si="211"/>
        <v>1</v>
      </c>
      <c r="Y354" s="278"/>
      <c r="Z354" s="278">
        <f t="shared" si="212"/>
        <v>24</v>
      </c>
      <c r="AA354" s="272">
        <f>IFERROR(INDEX('Horo. M'!$I$3:I$367,MATCH(A354,'Horo. M'!$A$3:$A$367,0)),"")</f>
        <v>0</v>
      </c>
      <c r="AB354" s="273"/>
      <c r="AC354" s="273"/>
      <c r="AD354" s="272">
        <f t="shared" si="213"/>
        <v>24</v>
      </c>
      <c r="AE354" s="274">
        <f t="shared" si="214"/>
        <v>0</v>
      </c>
      <c r="AF354" s="275">
        <f t="shared" si="215"/>
        <v>1</v>
      </c>
      <c r="AG354" s="278"/>
      <c r="AH354" s="272">
        <f t="shared" si="216"/>
        <v>24</v>
      </c>
      <c r="AI354" s="272">
        <f>IFERROR(INDEX('Horo. M'!$K$3:K$367,MATCH(A354,'Horo. M'!$A$3:$A$367,0)),"")</f>
        <v>0</v>
      </c>
      <c r="AJ354" s="278"/>
      <c r="AK354" s="278"/>
      <c r="AL354" s="272">
        <f t="shared" si="217"/>
        <v>24</v>
      </c>
      <c r="AM354" s="274">
        <f t="shared" si="218"/>
        <v>0</v>
      </c>
      <c r="AN354" s="275">
        <f t="shared" si="219"/>
        <v>1</v>
      </c>
      <c r="AO354" s="278"/>
      <c r="AP354" s="272">
        <f t="shared" si="220"/>
        <v>24</v>
      </c>
      <c r="AQ354" s="272">
        <f>IFERROR(INDEX('Horo. M'!$M$3:M$367,MATCH(A354,'Horo. M'!$A$3:$A$367,0)),"")</f>
        <v>0</v>
      </c>
      <c r="AR354" s="278"/>
      <c r="AS354" s="278"/>
      <c r="AT354" s="272">
        <f t="shared" si="221"/>
        <v>24</v>
      </c>
      <c r="AU354" s="274">
        <f t="shared" si="222"/>
        <v>0</v>
      </c>
      <c r="AV354" s="275">
        <f t="shared" si="223"/>
        <v>1</v>
      </c>
      <c r="AW354" s="278"/>
      <c r="AX354" s="272">
        <f t="shared" si="224"/>
        <v>24</v>
      </c>
      <c r="AY354" s="272">
        <f>IFERROR(INDEX('Horo. M'!$O$3:O$367,MATCH(A354,'Horo. M'!$A$3:$A$367,0)),"")</f>
        <v>0</v>
      </c>
      <c r="AZ354" s="278"/>
      <c r="BA354" s="278"/>
      <c r="BB354" s="272">
        <f t="shared" si="225"/>
        <v>24</v>
      </c>
      <c r="BC354" s="274">
        <f t="shared" si="226"/>
        <v>0</v>
      </c>
      <c r="BD354" s="275">
        <f t="shared" si="227"/>
        <v>1</v>
      </c>
      <c r="BE354" s="278"/>
      <c r="BF354" s="272">
        <f t="shared" si="228"/>
        <v>24</v>
      </c>
      <c r="BG354" s="272">
        <f>IFERROR(INDEX('Horo. M'!$Q$3:Q$367,MATCH(A354,'Horo. M'!$A$3:$A$367,0)),"")</f>
        <v>0</v>
      </c>
      <c r="BH354" s="278"/>
      <c r="BI354" s="278"/>
      <c r="BJ354" s="272">
        <f t="shared" si="229"/>
        <v>24</v>
      </c>
      <c r="BK354" s="274">
        <f t="shared" si="230"/>
        <v>0</v>
      </c>
      <c r="BL354" s="275">
        <f t="shared" si="231"/>
        <v>1</v>
      </c>
      <c r="BM354" s="278"/>
      <c r="BN354" s="272">
        <f t="shared" si="232"/>
        <v>24</v>
      </c>
      <c r="BO354" s="272">
        <f>IFERROR(INDEX('Horo. M'!$S$3:S$367,MATCH(A354,'Horo. M'!$A$3:$A$367,0)),"")</f>
        <v>0</v>
      </c>
      <c r="BP354" s="278"/>
      <c r="BQ354" s="278"/>
      <c r="BR354" s="272">
        <f t="shared" si="233"/>
        <v>24</v>
      </c>
      <c r="BS354" s="274">
        <f t="shared" si="234"/>
        <v>0</v>
      </c>
      <c r="BT354" s="275">
        <f t="shared" si="235"/>
        <v>1</v>
      </c>
      <c r="BU354" s="278"/>
      <c r="BV354" s="272">
        <f t="shared" si="236"/>
        <v>24</v>
      </c>
      <c r="BW354" s="272">
        <f>IFERROR(INDEX('Horo. M'!$U$3:U$367,MATCH(A354,'Horo. M'!$A$3:$A$367,0)),"")</f>
        <v>0</v>
      </c>
      <c r="BX354" s="278"/>
      <c r="BY354" s="278"/>
      <c r="BZ354" s="272">
        <f t="shared" si="237"/>
        <v>24</v>
      </c>
      <c r="CA354" s="274">
        <f t="shared" si="238"/>
        <v>0</v>
      </c>
      <c r="CB354" s="275">
        <f t="shared" si="239"/>
        <v>1</v>
      </c>
      <c r="CC354" s="280"/>
    </row>
    <row r="355" spans="1:81">
      <c r="A355" s="279">
        <v>45280</v>
      </c>
      <c r="B355" s="278">
        <f t="shared" si="200"/>
        <v>24</v>
      </c>
      <c r="C355" s="272">
        <f>IFERROR(INDEX('Horo. M'!$C$3:$C$367,MATCH(A355,'Horo. M'!$A$3:$A$367,0)),"")</f>
        <v>0</v>
      </c>
      <c r="D355" s="278"/>
      <c r="E355" s="278"/>
      <c r="F355" s="272">
        <f t="shared" si="201"/>
        <v>24</v>
      </c>
      <c r="G355" s="274">
        <f t="shared" si="202"/>
        <v>0</v>
      </c>
      <c r="H355" s="275">
        <f t="shared" si="203"/>
        <v>1</v>
      </c>
      <c r="I355" s="277"/>
      <c r="J355" s="278">
        <f t="shared" si="204"/>
        <v>24</v>
      </c>
      <c r="K355" s="272">
        <f>IFERROR(INDEX('Horo. M'!$E$3:$E$367,MATCH(A355,'Horo. M'!$A$3:$A$367,0)),"")</f>
        <v>0</v>
      </c>
      <c r="L355" s="273"/>
      <c r="M355" s="273"/>
      <c r="N355" s="272">
        <f t="shared" si="205"/>
        <v>24</v>
      </c>
      <c r="O355" s="274">
        <f t="shared" si="206"/>
        <v>0</v>
      </c>
      <c r="P355" s="275">
        <f t="shared" si="207"/>
        <v>1</v>
      </c>
      <c r="Q355" s="276"/>
      <c r="R355" s="278">
        <f t="shared" si="208"/>
        <v>24</v>
      </c>
      <c r="S355" s="272">
        <f>IFERROR(INDEX('Horo. M'!G$3:$G$367,MATCH(A355,'Horo. M'!$A$3:$A$367,0)),"")</f>
        <v>0</v>
      </c>
      <c r="T355" s="278"/>
      <c r="U355" s="278"/>
      <c r="V355" s="272">
        <f t="shared" si="209"/>
        <v>24</v>
      </c>
      <c r="W355" s="274">
        <f t="shared" si="210"/>
        <v>0</v>
      </c>
      <c r="X355" s="275">
        <f t="shared" si="211"/>
        <v>1</v>
      </c>
      <c r="Y355" s="278"/>
      <c r="Z355" s="278">
        <f t="shared" si="212"/>
        <v>24</v>
      </c>
      <c r="AA355" s="272">
        <f>IFERROR(INDEX('Horo. M'!$I$3:I$367,MATCH(A355,'Horo. M'!$A$3:$A$367,0)),"")</f>
        <v>0</v>
      </c>
      <c r="AB355" s="273"/>
      <c r="AC355" s="273"/>
      <c r="AD355" s="272">
        <f t="shared" si="213"/>
        <v>24</v>
      </c>
      <c r="AE355" s="274">
        <f t="shared" si="214"/>
        <v>0</v>
      </c>
      <c r="AF355" s="275">
        <f t="shared" si="215"/>
        <v>1</v>
      </c>
      <c r="AG355" s="278"/>
      <c r="AH355" s="272">
        <f t="shared" si="216"/>
        <v>24</v>
      </c>
      <c r="AI355" s="272">
        <f>IFERROR(INDEX('Horo. M'!$K$3:K$367,MATCH(A355,'Horo. M'!$A$3:$A$367,0)),"")</f>
        <v>0</v>
      </c>
      <c r="AJ355" s="278"/>
      <c r="AK355" s="278"/>
      <c r="AL355" s="272">
        <f t="shared" si="217"/>
        <v>24</v>
      </c>
      <c r="AM355" s="274">
        <f t="shared" si="218"/>
        <v>0</v>
      </c>
      <c r="AN355" s="275">
        <f t="shared" si="219"/>
        <v>1</v>
      </c>
      <c r="AO355" s="278"/>
      <c r="AP355" s="272">
        <f t="shared" si="220"/>
        <v>24</v>
      </c>
      <c r="AQ355" s="272">
        <f>IFERROR(INDEX('Horo. M'!$M$3:M$367,MATCH(A355,'Horo. M'!$A$3:$A$367,0)),"")</f>
        <v>0</v>
      </c>
      <c r="AR355" s="278"/>
      <c r="AS355" s="278"/>
      <c r="AT355" s="272">
        <f t="shared" si="221"/>
        <v>24</v>
      </c>
      <c r="AU355" s="274">
        <f t="shared" si="222"/>
        <v>0</v>
      </c>
      <c r="AV355" s="275">
        <f t="shared" si="223"/>
        <v>1</v>
      </c>
      <c r="AW355" s="278"/>
      <c r="AX355" s="272">
        <f t="shared" si="224"/>
        <v>24</v>
      </c>
      <c r="AY355" s="272">
        <f>IFERROR(INDEX('Horo. M'!$O$3:O$367,MATCH(A355,'Horo. M'!$A$3:$A$367,0)),"")</f>
        <v>0</v>
      </c>
      <c r="AZ355" s="278"/>
      <c r="BA355" s="278"/>
      <c r="BB355" s="272">
        <f t="shared" si="225"/>
        <v>24</v>
      </c>
      <c r="BC355" s="274">
        <f t="shared" si="226"/>
        <v>0</v>
      </c>
      <c r="BD355" s="275">
        <f t="shared" si="227"/>
        <v>1</v>
      </c>
      <c r="BE355" s="278"/>
      <c r="BF355" s="272">
        <f t="shared" si="228"/>
        <v>24</v>
      </c>
      <c r="BG355" s="272">
        <f>IFERROR(INDEX('Horo. M'!$Q$3:Q$367,MATCH(A355,'Horo. M'!$A$3:$A$367,0)),"")</f>
        <v>0</v>
      </c>
      <c r="BH355" s="278"/>
      <c r="BI355" s="278"/>
      <c r="BJ355" s="272">
        <f t="shared" si="229"/>
        <v>24</v>
      </c>
      <c r="BK355" s="274">
        <f t="shared" si="230"/>
        <v>0</v>
      </c>
      <c r="BL355" s="275">
        <f t="shared" si="231"/>
        <v>1</v>
      </c>
      <c r="BM355" s="278"/>
      <c r="BN355" s="272">
        <f t="shared" si="232"/>
        <v>24</v>
      </c>
      <c r="BO355" s="272">
        <f>IFERROR(INDEX('Horo. M'!$S$3:S$367,MATCH(A355,'Horo. M'!$A$3:$A$367,0)),"")</f>
        <v>0</v>
      </c>
      <c r="BP355" s="278"/>
      <c r="BQ355" s="278"/>
      <c r="BR355" s="272">
        <f t="shared" si="233"/>
        <v>24</v>
      </c>
      <c r="BS355" s="274">
        <f t="shared" si="234"/>
        <v>0</v>
      </c>
      <c r="BT355" s="275">
        <f t="shared" si="235"/>
        <v>1</v>
      </c>
      <c r="BU355" s="278"/>
      <c r="BV355" s="272">
        <f t="shared" si="236"/>
        <v>24</v>
      </c>
      <c r="BW355" s="272">
        <f>IFERROR(INDEX('Horo. M'!$U$3:U$367,MATCH(A355,'Horo. M'!$A$3:$A$367,0)),"")</f>
        <v>0</v>
      </c>
      <c r="BX355" s="278"/>
      <c r="BY355" s="278"/>
      <c r="BZ355" s="272">
        <f t="shared" si="237"/>
        <v>24</v>
      </c>
      <c r="CA355" s="274">
        <f t="shared" si="238"/>
        <v>0</v>
      </c>
      <c r="CB355" s="275">
        <f t="shared" si="239"/>
        <v>1</v>
      </c>
      <c r="CC355" s="280"/>
    </row>
    <row r="356" spans="1:81">
      <c r="A356" s="279">
        <v>45281</v>
      </c>
      <c r="B356" s="278">
        <f t="shared" si="200"/>
        <v>24</v>
      </c>
      <c r="C356" s="272">
        <f>IFERROR(INDEX('Horo. M'!$C$3:$C$367,MATCH(A356,'Horo. M'!$A$3:$A$367,0)),"")</f>
        <v>0</v>
      </c>
      <c r="D356" s="278"/>
      <c r="E356" s="278"/>
      <c r="F356" s="272">
        <f t="shared" si="201"/>
        <v>24</v>
      </c>
      <c r="G356" s="274">
        <f t="shared" si="202"/>
        <v>0</v>
      </c>
      <c r="H356" s="275">
        <f t="shared" si="203"/>
        <v>1</v>
      </c>
      <c r="I356" s="277"/>
      <c r="J356" s="278">
        <f t="shared" si="204"/>
        <v>24</v>
      </c>
      <c r="K356" s="272">
        <f>IFERROR(INDEX('Horo. M'!$E$3:$E$367,MATCH(A356,'Horo. M'!$A$3:$A$367,0)),"")</f>
        <v>0</v>
      </c>
      <c r="L356" s="273"/>
      <c r="M356" s="273"/>
      <c r="N356" s="272">
        <f t="shared" si="205"/>
        <v>24</v>
      </c>
      <c r="O356" s="274">
        <f t="shared" si="206"/>
        <v>0</v>
      </c>
      <c r="P356" s="275">
        <f t="shared" si="207"/>
        <v>1</v>
      </c>
      <c r="Q356" s="276"/>
      <c r="R356" s="278">
        <f t="shared" si="208"/>
        <v>24</v>
      </c>
      <c r="S356" s="272">
        <f>IFERROR(INDEX('Horo. M'!G$3:$G$367,MATCH(A356,'Horo. M'!$A$3:$A$367,0)),"")</f>
        <v>0</v>
      </c>
      <c r="T356" s="278"/>
      <c r="U356" s="278"/>
      <c r="V356" s="272">
        <f t="shared" si="209"/>
        <v>24</v>
      </c>
      <c r="W356" s="274">
        <f t="shared" si="210"/>
        <v>0</v>
      </c>
      <c r="X356" s="275">
        <f t="shared" si="211"/>
        <v>1</v>
      </c>
      <c r="Y356" s="278"/>
      <c r="Z356" s="278">
        <f t="shared" si="212"/>
        <v>24</v>
      </c>
      <c r="AA356" s="272">
        <f>IFERROR(INDEX('Horo. M'!$I$3:I$367,MATCH(A356,'Horo. M'!$A$3:$A$367,0)),"")</f>
        <v>0</v>
      </c>
      <c r="AB356" s="273"/>
      <c r="AC356" s="273"/>
      <c r="AD356" s="272">
        <f t="shared" si="213"/>
        <v>24</v>
      </c>
      <c r="AE356" s="274">
        <f t="shared" si="214"/>
        <v>0</v>
      </c>
      <c r="AF356" s="275">
        <f t="shared" si="215"/>
        <v>1</v>
      </c>
      <c r="AG356" s="278"/>
      <c r="AH356" s="272">
        <f t="shared" si="216"/>
        <v>24</v>
      </c>
      <c r="AI356" s="272">
        <f>IFERROR(INDEX('Horo. M'!$K$3:K$367,MATCH(A356,'Horo. M'!$A$3:$A$367,0)),"")</f>
        <v>0</v>
      </c>
      <c r="AJ356" s="278"/>
      <c r="AK356" s="278"/>
      <c r="AL356" s="272">
        <f t="shared" si="217"/>
        <v>24</v>
      </c>
      <c r="AM356" s="274">
        <f t="shared" si="218"/>
        <v>0</v>
      </c>
      <c r="AN356" s="275">
        <f t="shared" si="219"/>
        <v>1</v>
      </c>
      <c r="AO356" s="278"/>
      <c r="AP356" s="272">
        <f t="shared" si="220"/>
        <v>24</v>
      </c>
      <c r="AQ356" s="272">
        <f>IFERROR(INDEX('Horo. M'!$M$3:M$367,MATCH(A356,'Horo. M'!$A$3:$A$367,0)),"")</f>
        <v>0</v>
      </c>
      <c r="AR356" s="278"/>
      <c r="AS356" s="278"/>
      <c r="AT356" s="272">
        <f t="shared" si="221"/>
        <v>24</v>
      </c>
      <c r="AU356" s="274">
        <f t="shared" si="222"/>
        <v>0</v>
      </c>
      <c r="AV356" s="275">
        <f t="shared" si="223"/>
        <v>1</v>
      </c>
      <c r="AW356" s="278"/>
      <c r="AX356" s="272">
        <f t="shared" si="224"/>
        <v>24</v>
      </c>
      <c r="AY356" s="272">
        <f>IFERROR(INDEX('Horo. M'!$O$3:O$367,MATCH(A356,'Horo. M'!$A$3:$A$367,0)),"")</f>
        <v>0</v>
      </c>
      <c r="AZ356" s="278"/>
      <c r="BA356" s="278"/>
      <c r="BB356" s="272">
        <f t="shared" si="225"/>
        <v>24</v>
      </c>
      <c r="BC356" s="274">
        <f t="shared" si="226"/>
        <v>0</v>
      </c>
      <c r="BD356" s="275">
        <f t="shared" si="227"/>
        <v>1</v>
      </c>
      <c r="BE356" s="278"/>
      <c r="BF356" s="272">
        <f t="shared" si="228"/>
        <v>24</v>
      </c>
      <c r="BG356" s="272">
        <f>IFERROR(INDEX('Horo. M'!$Q$3:Q$367,MATCH(A356,'Horo. M'!$A$3:$A$367,0)),"")</f>
        <v>0</v>
      </c>
      <c r="BH356" s="278"/>
      <c r="BI356" s="278"/>
      <c r="BJ356" s="272">
        <f t="shared" si="229"/>
        <v>24</v>
      </c>
      <c r="BK356" s="274">
        <f t="shared" si="230"/>
        <v>0</v>
      </c>
      <c r="BL356" s="275">
        <f t="shared" si="231"/>
        <v>1</v>
      </c>
      <c r="BM356" s="278"/>
      <c r="BN356" s="272">
        <f t="shared" si="232"/>
        <v>24</v>
      </c>
      <c r="BO356" s="272">
        <f>IFERROR(INDEX('Horo. M'!$S$3:S$367,MATCH(A356,'Horo. M'!$A$3:$A$367,0)),"")</f>
        <v>0</v>
      </c>
      <c r="BP356" s="278"/>
      <c r="BQ356" s="278"/>
      <c r="BR356" s="272">
        <f t="shared" si="233"/>
        <v>24</v>
      </c>
      <c r="BS356" s="274">
        <f t="shared" si="234"/>
        <v>0</v>
      </c>
      <c r="BT356" s="275">
        <f t="shared" si="235"/>
        <v>1</v>
      </c>
      <c r="BU356" s="278"/>
      <c r="BV356" s="272">
        <f t="shared" si="236"/>
        <v>24</v>
      </c>
      <c r="BW356" s="272">
        <f>IFERROR(INDEX('Horo. M'!$U$3:U$367,MATCH(A356,'Horo. M'!$A$3:$A$367,0)),"")</f>
        <v>0</v>
      </c>
      <c r="BX356" s="278"/>
      <c r="BY356" s="278"/>
      <c r="BZ356" s="272">
        <f t="shared" si="237"/>
        <v>24</v>
      </c>
      <c r="CA356" s="274">
        <f t="shared" si="238"/>
        <v>0</v>
      </c>
      <c r="CB356" s="275">
        <f t="shared" si="239"/>
        <v>1</v>
      </c>
      <c r="CC356" s="280"/>
    </row>
    <row r="357" spans="1:81">
      <c r="A357" s="279">
        <v>45282</v>
      </c>
      <c r="B357" s="278">
        <f t="shared" si="200"/>
        <v>24</v>
      </c>
      <c r="C357" s="272">
        <f>IFERROR(INDEX('Horo. M'!$C$3:$C$367,MATCH(A357,'Horo. M'!$A$3:$A$367,0)),"")</f>
        <v>0</v>
      </c>
      <c r="D357" s="278"/>
      <c r="E357" s="278"/>
      <c r="F357" s="272">
        <f t="shared" si="201"/>
        <v>24</v>
      </c>
      <c r="G357" s="274">
        <f t="shared" si="202"/>
        <v>0</v>
      </c>
      <c r="H357" s="275">
        <f t="shared" si="203"/>
        <v>1</v>
      </c>
      <c r="I357" s="277"/>
      <c r="J357" s="278">
        <f t="shared" si="204"/>
        <v>24</v>
      </c>
      <c r="K357" s="272">
        <f>IFERROR(INDEX('Horo. M'!$E$3:$E$367,MATCH(A357,'Horo. M'!$A$3:$A$367,0)),"")</f>
        <v>0</v>
      </c>
      <c r="L357" s="273"/>
      <c r="M357" s="273"/>
      <c r="N357" s="272">
        <f t="shared" si="205"/>
        <v>24</v>
      </c>
      <c r="O357" s="274">
        <f t="shared" si="206"/>
        <v>0</v>
      </c>
      <c r="P357" s="275">
        <f t="shared" si="207"/>
        <v>1</v>
      </c>
      <c r="Q357" s="276"/>
      <c r="R357" s="278">
        <f t="shared" si="208"/>
        <v>24</v>
      </c>
      <c r="S357" s="272">
        <f>IFERROR(INDEX('Horo. M'!G$3:$G$367,MATCH(A357,'Horo. M'!$A$3:$A$367,0)),"")</f>
        <v>0</v>
      </c>
      <c r="T357" s="278"/>
      <c r="U357" s="278"/>
      <c r="V357" s="272">
        <f t="shared" si="209"/>
        <v>24</v>
      </c>
      <c r="W357" s="274">
        <f t="shared" si="210"/>
        <v>0</v>
      </c>
      <c r="X357" s="275">
        <f t="shared" si="211"/>
        <v>1</v>
      </c>
      <c r="Y357" s="278"/>
      <c r="Z357" s="278">
        <f t="shared" si="212"/>
        <v>24</v>
      </c>
      <c r="AA357" s="272">
        <f>IFERROR(INDEX('Horo. M'!$I$3:I$367,MATCH(A357,'Horo. M'!$A$3:$A$367,0)),"")</f>
        <v>0</v>
      </c>
      <c r="AB357" s="273"/>
      <c r="AC357" s="273"/>
      <c r="AD357" s="272">
        <f t="shared" si="213"/>
        <v>24</v>
      </c>
      <c r="AE357" s="274">
        <f t="shared" si="214"/>
        <v>0</v>
      </c>
      <c r="AF357" s="275">
        <f t="shared" si="215"/>
        <v>1</v>
      </c>
      <c r="AG357" s="278"/>
      <c r="AH357" s="272">
        <f t="shared" si="216"/>
        <v>24</v>
      </c>
      <c r="AI357" s="272">
        <f>IFERROR(INDEX('Horo. M'!$K$3:K$367,MATCH(A357,'Horo. M'!$A$3:$A$367,0)),"")</f>
        <v>0</v>
      </c>
      <c r="AJ357" s="278"/>
      <c r="AK357" s="278"/>
      <c r="AL357" s="272">
        <f t="shared" si="217"/>
        <v>24</v>
      </c>
      <c r="AM357" s="274">
        <f t="shared" si="218"/>
        <v>0</v>
      </c>
      <c r="AN357" s="275">
        <f t="shared" si="219"/>
        <v>1</v>
      </c>
      <c r="AO357" s="278"/>
      <c r="AP357" s="272">
        <f t="shared" si="220"/>
        <v>24</v>
      </c>
      <c r="AQ357" s="272">
        <f>IFERROR(INDEX('Horo. M'!$M$3:M$367,MATCH(A357,'Horo. M'!$A$3:$A$367,0)),"")</f>
        <v>0</v>
      </c>
      <c r="AR357" s="278"/>
      <c r="AS357" s="278"/>
      <c r="AT357" s="272">
        <f t="shared" si="221"/>
        <v>24</v>
      </c>
      <c r="AU357" s="274">
        <f t="shared" si="222"/>
        <v>0</v>
      </c>
      <c r="AV357" s="275">
        <f t="shared" si="223"/>
        <v>1</v>
      </c>
      <c r="AW357" s="278"/>
      <c r="AX357" s="272">
        <f t="shared" si="224"/>
        <v>24</v>
      </c>
      <c r="AY357" s="272">
        <f>IFERROR(INDEX('Horo. M'!$O$3:O$367,MATCH(A357,'Horo. M'!$A$3:$A$367,0)),"")</f>
        <v>0</v>
      </c>
      <c r="AZ357" s="278"/>
      <c r="BA357" s="278"/>
      <c r="BB357" s="272">
        <f t="shared" si="225"/>
        <v>24</v>
      </c>
      <c r="BC357" s="274">
        <f t="shared" si="226"/>
        <v>0</v>
      </c>
      <c r="BD357" s="275">
        <f t="shared" si="227"/>
        <v>1</v>
      </c>
      <c r="BE357" s="278"/>
      <c r="BF357" s="272">
        <f t="shared" si="228"/>
        <v>24</v>
      </c>
      <c r="BG357" s="272">
        <f>IFERROR(INDEX('Horo. M'!$Q$3:Q$367,MATCH(A357,'Horo. M'!$A$3:$A$367,0)),"")</f>
        <v>0</v>
      </c>
      <c r="BH357" s="278"/>
      <c r="BI357" s="278"/>
      <c r="BJ357" s="272">
        <f t="shared" si="229"/>
        <v>24</v>
      </c>
      <c r="BK357" s="274">
        <f t="shared" si="230"/>
        <v>0</v>
      </c>
      <c r="BL357" s="275">
        <f t="shared" si="231"/>
        <v>1</v>
      </c>
      <c r="BM357" s="278"/>
      <c r="BN357" s="272">
        <f t="shared" si="232"/>
        <v>24</v>
      </c>
      <c r="BO357" s="272">
        <f>IFERROR(INDEX('Horo. M'!$S$3:S$367,MATCH(A357,'Horo. M'!$A$3:$A$367,0)),"")</f>
        <v>0</v>
      </c>
      <c r="BP357" s="278"/>
      <c r="BQ357" s="278"/>
      <c r="BR357" s="272">
        <f t="shared" si="233"/>
        <v>24</v>
      </c>
      <c r="BS357" s="274">
        <f t="shared" si="234"/>
        <v>0</v>
      </c>
      <c r="BT357" s="275">
        <f t="shared" si="235"/>
        <v>1</v>
      </c>
      <c r="BU357" s="278"/>
      <c r="BV357" s="272">
        <f t="shared" si="236"/>
        <v>24</v>
      </c>
      <c r="BW357" s="272">
        <f>IFERROR(INDEX('Horo. M'!$U$3:U$367,MATCH(A357,'Horo. M'!$A$3:$A$367,0)),"")</f>
        <v>0</v>
      </c>
      <c r="BX357" s="278"/>
      <c r="BY357" s="278"/>
      <c r="BZ357" s="272">
        <f t="shared" si="237"/>
        <v>24</v>
      </c>
      <c r="CA357" s="274">
        <f t="shared" si="238"/>
        <v>0</v>
      </c>
      <c r="CB357" s="275">
        <f t="shared" si="239"/>
        <v>1</v>
      </c>
      <c r="CC357" s="280"/>
    </row>
    <row r="358" spans="1:81">
      <c r="A358" s="279">
        <v>45283</v>
      </c>
      <c r="B358" s="278">
        <f t="shared" si="200"/>
        <v>24</v>
      </c>
      <c r="C358" s="272">
        <f>IFERROR(INDEX('Horo. M'!$C$3:$C$367,MATCH(A358,'Horo. M'!$A$3:$A$367,0)),"")</f>
        <v>0</v>
      </c>
      <c r="D358" s="278"/>
      <c r="E358" s="278"/>
      <c r="F358" s="272">
        <f t="shared" si="201"/>
        <v>24</v>
      </c>
      <c r="G358" s="274">
        <f t="shared" si="202"/>
        <v>0</v>
      </c>
      <c r="H358" s="275">
        <f t="shared" si="203"/>
        <v>1</v>
      </c>
      <c r="I358" s="277"/>
      <c r="J358" s="278">
        <f t="shared" si="204"/>
        <v>24</v>
      </c>
      <c r="K358" s="272">
        <f>IFERROR(INDEX('Horo. M'!$E$3:$E$367,MATCH(A358,'Horo. M'!$A$3:$A$367,0)),"")</f>
        <v>0</v>
      </c>
      <c r="L358" s="273"/>
      <c r="M358" s="273"/>
      <c r="N358" s="272">
        <f t="shared" si="205"/>
        <v>24</v>
      </c>
      <c r="O358" s="274">
        <f t="shared" si="206"/>
        <v>0</v>
      </c>
      <c r="P358" s="275">
        <f t="shared" si="207"/>
        <v>1</v>
      </c>
      <c r="Q358" s="276"/>
      <c r="R358" s="278">
        <f t="shared" si="208"/>
        <v>24</v>
      </c>
      <c r="S358" s="272">
        <f>IFERROR(INDEX('Horo. M'!G$3:$G$367,MATCH(A358,'Horo. M'!$A$3:$A$367,0)),"")</f>
        <v>0</v>
      </c>
      <c r="T358" s="278"/>
      <c r="U358" s="278"/>
      <c r="V358" s="272">
        <f t="shared" si="209"/>
        <v>24</v>
      </c>
      <c r="W358" s="274">
        <f t="shared" si="210"/>
        <v>0</v>
      </c>
      <c r="X358" s="275">
        <f t="shared" si="211"/>
        <v>1</v>
      </c>
      <c r="Y358" s="278"/>
      <c r="Z358" s="278">
        <f t="shared" si="212"/>
        <v>24</v>
      </c>
      <c r="AA358" s="272">
        <f>IFERROR(INDEX('Horo. M'!$I$3:I$367,MATCH(A358,'Horo. M'!$A$3:$A$367,0)),"")</f>
        <v>0</v>
      </c>
      <c r="AB358" s="273"/>
      <c r="AC358" s="273"/>
      <c r="AD358" s="272">
        <f t="shared" si="213"/>
        <v>24</v>
      </c>
      <c r="AE358" s="274">
        <f t="shared" si="214"/>
        <v>0</v>
      </c>
      <c r="AF358" s="275">
        <f t="shared" si="215"/>
        <v>1</v>
      </c>
      <c r="AG358" s="278"/>
      <c r="AH358" s="272">
        <f t="shared" si="216"/>
        <v>24</v>
      </c>
      <c r="AI358" s="272">
        <f>IFERROR(INDEX('Horo. M'!$K$3:K$367,MATCH(A358,'Horo. M'!$A$3:$A$367,0)),"")</f>
        <v>0</v>
      </c>
      <c r="AJ358" s="278"/>
      <c r="AK358" s="278"/>
      <c r="AL358" s="272">
        <f t="shared" si="217"/>
        <v>24</v>
      </c>
      <c r="AM358" s="274">
        <f t="shared" si="218"/>
        <v>0</v>
      </c>
      <c r="AN358" s="275">
        <f t="shared" si="219"/>
        <v>1</v>
      </c>
      <c r="AO358" s="278"/>
      <c r="AP358" s="272">
        <f t="shared" si="220"/>
        <v>24</v>
      </c>
      <c r="AQ358" s="272">
        <f>IFERROR(INDEX('Horo. M'!$M$3:M$367,MATCH(A358,'Horo. M'!$A$3:$A$367,0)),"")</f>
        <v>0</v>
      </c>
      <c r="AR358" s="278"/>
      <c r="AS358" s="278"/>
      <c r="AT358" s="272">
        <f t="shared" si="221"/>
        <v>24</v>
      </c>
      <c r="AU358" s="274">
        <f t="shared" si="222"/>
        <v>0</v>
      </c>
      <c r="AV358" s="275">
        <f t="shared" si="223"/>
        <v>1</v>
      </c>
      <c r="AW358" s="278"/>
      <c r="AX358" s="272">
        <f t="shared" si="224"/>
        <v>24</v>
      </c>
      <c r="AY358" s="272">
        <f>IFERROR(INDEX('Horo. M'!$O$3:O$367,MATCH(A358,'Horo. M'!$A$3:$A$367,0)),"")</f>
        <v>0</v>
      </c>
      <c r="AZ358" s="278"/>
      <c r="BA358" s="278"/>
      <c r="BB358" s="272">
        <f t="shared" si="225"/>
        <v>24</v>
      </c>
      <c r="BC358" s="274">
        <f t="shared" si="226"/>
        <v>0</v>
      </c>
      <c r="BD358" s="275">
        <f t="shared" si="227"/>
        <v>1</v>
      </c>
      <c r="BE358" s="278"/>
      <c r="BF358" s="272">
        <f t="shared" si="228"/>
        <v>24</v>
      </c>
      <c r="BG358" s="272">
        <f>IFERROR(INDEX('Horo. M'!$Q$3:Q$367,MATCH(A358,'Horo. M'!$A$3:$A$367,0)),"")</f>
        <v>0</v>
      </c>
      <c r="BH358" s="278"/>
      <c r="BI358" s="278"/>
      <c r="BJ358" s="272">
        <f t="shared" si="229"/>
        <v>24</v>
      </c>
      <c r="BK358" s="274">
        <f t="shared" si="230"/>
        <v>0</v>
      </c>
      <c r="BL358" s="275">
        <f t="shared" si="231"/>
        <v>1</v>
      </c>
      <c r="BM358" s="278"/>
      <c r="BN358" s="272">
        <f t="shared" si="232"/>
        <v>24</v>
      </c>
      <c r="BO358" s="272">
        <f>IFERROR(INDEX('Horo. M'!$S$3:S$367,MATCH(A358,'Horo. M'!$A$3:$A$367,0)),"")</f>
        <v>0</v>
      </c>
      <c r="BP358" s="278"/>
      <c r="BQ358" s="278"/>
      <c r="BR358" s="272">
        <f t="shared" si="233"/>
        <v>24</v>
      </c>
      <c r="BS358" s="274">
        <f t="shared" si="234"/>
        <v>0</v>
      </c>
      <c r="BT358" s="275">
        <f t="shared" si="235"/>
        <v>1</v>
      </c>
      <c r="BU358" s="278"/>
      <c r="BV358" s="272">
        <f t="shared" si="236"/>
        <v>24</v>
      </c>
      <c r="BW358" s="272">
        <f>IFERROR(INDEX('Horo. M'!$U$3:U$367,MATCH(A358,'Horo. M'!$A$3:$A$367,0)),"")</f>
        <v>0</v>
      </c>
      <c r="BX358" s="278"/>
      <c r="BY358" s="278"/>
      <c r="BZ358" s="272">
        <f t="shared" si="237"/>
        <v>24</v>
      </c>
      <c r="CA358" s="274">
        <f t="shared" si="238"/>
        <v>0</v>
      </c>
      <c r="CB358" s="275">
        <f t="shared" si="239"/>
        <v>1</v>
      </c>
      <c r="CC358" s="280"/>
    </row>
    <row r="359" spans="1:81">
      <c r="A359" s="279">
        <v>45284</v>
      </c>
      <c r="B359" s="278">
        <f t="shared" si="200"/>
        <v>24</v>
      </c>
      <c r="C359" s="272">
        <f>IFERROR(INDEX('Horo. M'!$C$3:$C$367,MATCH(A359,'Horo. M'!$A$3:$A$367,0)),"")</f>
        <v>0</v>
      </c>
      <c r="D359" s="278"/>
      <c r="E359" s="278"/>
      <c r="F359" s="272">
        <f t="shared" si="201"/>
        <v>24</v>
      </c>
      <c r="G359" s="274">
        <f t="shared" si="202"/>
        <v>0</v>
      </c>
      <c r="H359" s="275">
        <f t="shared" si="203"/>
        <v>1</v>
      </c>
      <c r="I359" s="277"/>
      <c r="J359" s="278">
        <f t="shared" si="204"/>
        <v>24</v>
      </c>
      <c r="K359" s="272">
        <f>IFERROR(INDEX('Horo. M'!$E$3:$E$367,MATCH(A359,'Horo. M'!$A$3:$A$367,0)),"")</f>
        <v>0</v>
      </c>
      <c r="L359" s="273"/>
      <c r="M359" s="273"/>
      <c r="N359" s="272">
        <f t="shared" si="205"/>
        <v>24</v>
      </c>
      <c r="O359" s="274">
        <f t="shared" si="206"/>
        <v>0</v>
      </c>
      <c r="P359" s="275">
        <f t="shared" si="207"/>
        <v>1</v>
      </c>
      <c r="Q359" s="276"/>
      <c r="R359" s="278">
        <f t="shared" si="208"/>
        <v>24</v>
      </c>
      <c r="S359" s="272">
        <f>IFERROR(INDEX('Horo. M'!G$3:$G$367,MATCH(A359,'Horo. M'!$A$3:$A$367,0)),"")</f>
        <v>0</v>
      </c>
      <c r="T359" s="278"/>
      <c r="U359" s="278"/>
      <c r="V359" s="272">
        <f t="shared" si="209"/>
        <v>24</v>
      </c>
      <c r="W359" s="274">
        <f t="shared" si="210"/>
        <v>0</v>
      </c>
      <c r="X359" s="275">
        <f t="shared" si="211"/>
        <v>1</v>
      </c>
      <c r="Y359" s="278"/>
      <c r="Z359" s="278">
        <f t="shared" si="212"/>
        <v>24</v>
      </c>
      <c r="AA359" s="272">
        <f>IFERROR(INDEX('Horo. M'!$I$3:I$367,MATCH(A359,'Horo. M'!$A$3:$A$367,0)),"")</f>
        <v>0</v>
      </c>
      <c r="AB359" s="273"/>
      <c r="AC359" s="273"/>
      <c r="AD359" s="272">
        <f t="shared" si="213"/>
        <v>24</v>
      </c>
      <c r="AE359" s="274">
        <f t="shared" si="214"/>
        <v>0</v>
      </c>
      <c r="AF359" s="275">
        <f t="shared" si="215"/>
        <v>1</v>
      </c>
      <c r="AG359" s="278"/>
      <c r="AH359" s="272">
        <f t="shared" si="216"/>
        <v>24</v>
      </c>
      <c r="AI359" s="272">
        <f>IFERROR(INDEX('Horo. M'!$K$3:K$367,MATCH(A359,'Horo. M'!$A$3:$A$367,0)),"")</f>
        <v>0</v>
      </c>
      <c r="AJ359" s="278"/>
      <c r="AK359" s="278"/>
      <c r="AL359" s="272">
        <f t="shared" si="217"/>
        <v>24</v>
      </c>
      <c r="AM359" s="274">
        <f t="shared" si="218"/>
        <v>0</v>
      </c>
      <c r="AN359" s="275">
        <f t="shared" si="219"/>
        <v>1</v>
      </c>
      <c r="AO359" s="278"/>
      <c r="AP359" s="272">
        <f t="shared" si="220"/>
        <v>24</v>
      </c>
      <c r="AQ359" s="272">
        <f>IFERROR(INDEX('Horo. M'!$M$3:M$367,MATCH(A359,'Horo. M'!$A$3:$A$367,0)),"")</f>
        <v>0</v>
      </c>
      <c r="AR359" s="278"/>
      <c r="AS359" s="278"/>
      <c r="AT359" s="272">
        <f t="shared" si="221"/>
        <v>24</v>
      </c>
      <c r="AU359" s="274">
        <f t="shared" si="222"/>
        <v>0</v>
      </c>
      <c r="AV359" s="275">
        <f t="shared" si="223"/>
        <v>1</v>
      </c>
      <c r="AW359" s="278"/>
      <c r="AX359" s="272">
        <f t="shared" si="224"/>
        <v>24</v>
      </c>
      <c r="AY359" s="272">
        <f>IFERROR(INDEX('Horo. M'!$O$3:O$367,MATCH(A359,'Horo. M'!$A$3:$A$367,0)),"")</f>
        <v>0</v>
      </c>
      <c r="AZ359" s="278"/>
      <c r="BA359" s="278"/>
      <c r="BB359" s="272">
        <f t="shared" si="225"/>
        <v>24</v>
      </c>
      <c r="BC359" s="274">
        <f t="shared" si="226"/>
        <v>0</v>
      </c>
      <c r="BD359" s="275">
        <f t="shared" si="227"/>
        <v>1</v>
      </c>
      <c r="BE359" s="278"/>
      <c r="BF359" s="272">
        <f t="shared" si="228"/>
        <v>24</v>
      </c>
      <c r="BG359" s="272">
        <f>IFERROR(INDEX('Horo. M'!$Q$3:Q$367,MATCH(A359,'Horo. M'!$A$3:$A$367,0)),"")</f>
        <v>0</v>
      </c>
      <c r="BH359" s="278"/>
      <c r="BI359" s="278"/>
      <c r="BJ359" s="272">
        <f t="shared" si="229"/>
        <v>24</v>
      </c>
      <c r="BK359" s="274">
        <f t="shared" si="230"/>
        <v>0</v>
      </c>
      <c r="BL359" s="275">
        <f t="shared" si="231"/>
        <v>1</v>
      </c>
      <c r="BM359" s="278"/>
      <c r="BN359" s="272">
        <f t="shared" si="232"/>
        <v>24</v>
      </c>
      <c r="BO359" s="272">
        <f>IFERROR(INDEX('Horo. M'!$S$3:S$367,MATCH(A359,'Horo. M'!$A$3:$A$367,0)),"")</f>
        <v>0</v>
      </c>
      <c r="BP359" s="278"/>
      <c r="BQ359" s="278"/>
      <c r="BR359" s="272">
        <f t="shared" si="233"/>
        <v>24</v>
      </c>
      <c r="BS359" s="274">
        <f t="shared" si="234"/>
        <v>0</v>
      </c>
      <c r="BT359" s="275">
        <f t="shared" si="235"/>
        <v>1</v>
      </c>
      <c r="BU359" s="278"/>
      <c r="BV359" s="272">
        <f t="shared" si="236"/>
        <v>24</v>
      </c>
      <c r="BW359" s="272">
        <f>IFERROR(INDEX('Horo. M'!$U$3:U$367,MATCH(A359,'Horo. M'!$A$3:$A$367,0)),"")</f>
        <v>0</v>
      </c>
      <c r="BX359" s="278"/>
      <c r="BY359" s="278"/>
      <c r="BZ359" s="272">
        <f t="shared" si="237"/>
        <v>24</v>
      </c>
      <c r="CA359" s="274">
        <f t="shared" si="238"/>
        <v>0</v>
      </c>
      <c r="CB359" s="275">
        <f t="shared" si="239"/>
        <v>1</v>
      </c>
      <c r="CC359" s="280"/>
    </row>
    <row r="360" spans="1:81">
      <c r="A360" s="279">
        <v>45285</v>
      </c>
      <c r="B360" s="278">
        <f t="shared" si="200"/>
        <v>24</v>
      </c>
      <c r="C360" s="272">
        <f>IFERROR(INDEX('Horo. M'!$C$3:$C$367,MATCH(A360,'Horo. M'!$A$3:$A$367,0)),"")</f>
        <v>0</v>
      </c>
      <c r="D360" s="278"/>
      <c r="E360" s="278"/>
      <c r="F360" s="272">
        <f t="shared" si="201"/>
        <v>24</v>
      </c>
      <c r="G360" s="274">
        <f t="shared" si="202"/>
        <v>0</v>
      </c>
      <c r="H360" s="275">
        <f t="shared" si="203"/>
        <v>1</v>
      </c>
      <c r="I360" s="277"/>
      <c r="J360" s="278">
        <f t="shared" si="204"/>
        <v>24</v>
      </c>
      <c r="K360" s="272">
        <f>IFERROR(INDEX('Horo. M'!$E$3:$E$367,MATCH(A360,'Horo. M'!$A$3:$A$367,0)),"")</f>
        <v>0</v>
      </c>
      <c r="L360" s="273"/>
      <c r="M360" s="273"/>
      <c r="N360" s="272">
        <f t="shared" si="205"/>
        <v>24</v>
      </c>
      <c r="O360" s="274">
        <f t="shared" si="206"/>
        <v>0</v>
      </c>
      <c r="P360" s="275">
        <f t="shared" si="207"/>
        <v>1</v>
      </c>
      <c r="Q360" s="276"/>
      <c r="R360" s="278">
        <f t="shared" si="208"/>
        <v>24</v>
      </c>
      <c r="S360" s="272">
        <f>IFERROR(INDEX('Horo. M'!G$3:$G$367,MATCH(A360,'Horo. M'!$A$3:$A$367,0)),"")</f>
        <v>0</v>
      </c>
      <c r="T360" s="278"/>
      <c r="U360" s="278"/>
      <c r="V360" s="272">
        <f t="shared" si="209"/>
        <v>24</v>
      </c>
      <c r="W360" s="274">
        <f t="shared" si="210"/>
        <v>0</v>
      </c>
      <c r="X360" s="275">
        <f t="shared" si="211"/>
        <v>1</v>
      </c>
      <c r="Y360" s="278"/>
      <c r="Z360" s="278">
        <f t="shared" si="212"/>
        <v>24</v>
      </c>
      <c r="AA360" s="272">
        <f>IFERROR(INDEX('Horo. M'!$I$3:I$367,MATCH(A360,'Horo. M'!$A$3:$A$367,0)),"")</f>
        <v>0</v>
      </c>
      <c r="AB360" s="273"/>
      <c r="AC360" s="273"/>
      <c r="AD360" s="272">
        <f t="shared" si="213"/>
        <v>24</v>
      </c>
      <c r="AE360" s="274">
        <f t="shared" si="214"/>
        <v>0</v>
      </c>
      <c r="AF360" s="275">
        <f t="shared" si="215"/>
        <v>1</v>
      </c>
      <c r="AG360" s="278"/>
      <c r="AH360" s="272">
        <f t="shared" si="216"/>
        <v>24</v>
      </c>
      <c r="AI360" s="272">
        <f>IFERROR(INDEX('Horo. M'!$K$3:K$367,MATCH(A360,'Horo. M'!$A$3:$A$367,0)),"")</f>
        <v>0</v>
      </c>
      <c r="AJ360" s="278"/>
      <c r="AK360" s="278"/>
      <c r="AL360" s="272">
        <f t="shared" si="217"/>
        <v>24</v>
      </c>
      <c r="AM360" s="274">
        <f t="shared" si="218"/>
        <v>0</v>
      </c>
      <c r="AN360" s="275">
        <f t="shared" si="219"/>
        <v>1</v>
      </c>
      <c r="AO360" s="278"/>
      <c r="AP360" s="272">
        <f t="shared" si="220"/>
        <v>24</v>
      </c>
      <c r="AQ360" s="272">
        <f>IFERROR(INDEX('Horo. M'!$M$3:M$367,MATCH(A360,'Horo. M'!$A$3:$A$367,0)),"")</f>
        <v>0</v>
      </c>
      <c r="AR360" s="278"/>
      <c r="AS360" s="278"/>
      <c r="AT360" s="272">
        <f t="shared" si="221"/>
        <v>24</v>
      </c>
      <c r="AU360" s="274">
        <f t="shared" si="222"/>
        <v>0</v>
      </c>
      <c r="AV360" s="275">
        <f t="shared" si="223"/>
        <v>1</v>
      </c>
      <c r="AW360" s="278"/>
      <c r="AX360" s="272">
        <f t="shared" si="224"/>
        <v>24</v>
      </c>
      <c r="AY360" s="272">
        <f>IFERROR(INDEX('Horo. M'!$O$3:O$367,MATCH(A360,'Horo. M'!$A$3:$A$367,0)),"")</f>
        <v>0</v>
      </c>
      <c r="AZ360" s="278"/>
      <c r="BA360" s="278"/>
      <c r="BB360" s="272">
        <f t="shared" si="225"/>
        <v>24</v>
      </c>
      <c r="BC360" s="274">
        <f t="shared" si="226"/>
        <v>0</v>
      </c>
      <c r="BD360" s="275">
        <f t="shared" si="227"/>
        <v>1</v>
      </c>
      <c r="BE360" s="278"/>
      <c r="BF360" s="272">
        <f t="shared" si="228"/>
        <v>24</v>
      </c>
      <c r="BG360" s="272">
        <f>IFERROR(INDEX('Horo. M'!$Q$3:Q$367,MATCH(A360,'Horo. M'!$A$3:$A$367,0)),"")</f>
        <v>0</v>
      </c>
      <c r="BH360" s="278"/>
      <c r="BI360" s="278"/>
      <c r="BJ360" s="272">
        <f t="shared" si="229"/>
        <v>24</v>
      </c>
      <c r="BK360" s="274">
        <f t="shared" si="230"/>
        <v>0</v>
      </c>
      <c r="BL360" s="275">
        <f t="shared" si="231"/>
        <v>1</v>
      </c>
      <c r="BM360" s="278"/>
      <c r="BN360" s="272">
        <f t="shared" si="232"/>
        <v>24</v>
      </c>
      <c r="BO360" s="272">
        <f>IFERROR(INDEX('Horo. M'!$S$3:S$367,MATCH(A360,'Horo. M'!$A$3:$A$367,0)),"")</f>
        <v>0</v>
      </c>
      <c r="BP360" s="278"/>
      <c r="BQ360" s="278"/>
      <c r="BR360" s="272">
        <f t="shared" si="233"/>
        <v>24</v>
      </c>
      <c r="BS360" s="274">
        <f t="shared" si="234"/>
        <v>0</v>
      </c>
      <c r="BT360" s="275">
        <f t="shared" si="235"/>
        <v>1</v>
      </c>
      <c r="BU360" s="278"/>
      <c r="BV360" s="272">
        <f t="shared" si="236"/>
        <v>24</v>
      </c>
      <c r="BW360" s="272">
        <f>IFERROR(INDEX('Horo. M'!$U$3:U$367,MATCH(A360,'Horo. M'!$A$3:$A$367,0)),"")</f>
        <v>0</v>
      </c>
      <c r="BX360" s="278"/>
      <c r="BY360" s="278"/>
      <c r="BZ360" s="272">
        <f t="shared" si="237"/>
        <v>24</v>
      </c>
      <c r="CA360" s="274">
        <f t="shared" si="238"/>
        <v>0</v>
      </c>
      <c r="CB360" s="275">
        <f t="shared" si="239"/>
        <v>1</v>
      </c>
      <c r="CC360" s="280"/>
    </row>
    <row r="361" spans="1:81">
      <c r="A361" s="279">
        <v>45286</v>
      </c>
      <c r="B361" s="278">
        <f t="shared" si="200"/>
        <v>24</v>
      </c>
      <c r="C361" s="272">
        <f>IFERROR(INDEX('Horo. M'!$C$3:$C$367,MATCH(A361,'Horo. M'!$A$3:$A$367,0)),"")</f>
        <v>0</v>
      </c>
      <c r="D361" s="278"/>
      <c r="E361" s="278"/>
      <c r="F361" s="272">
        <f t="shared" si="201"/>
        <v>24</v>
      </c>
      <c r="G361" s="274">
        <f t="shared" si="202"/>
        <v>0</v>
      </c>
      <c r="H361" s="275">
        <f t="shared" si="203"/>
        <v>1</v>
      </c>
      <c r="I361" s="277"/>
      <c r="J361" s="278">
        <f t="shared" si="204"/>
        <v>24</v>
      </c>
      <c r="K361" s="272">
        <f>IFERROR(INDEX('Horo. M'!$E$3:$E$367,MATCH(A361,'Horo. M'!$A$3:$A$367,0)),"")</f>
        <v>0</v>
      </c>
      <c r="L361" s="273"/>
      <c r="M361" s="273"/>
      <c r="N361" s="272">
        <f t="shared" si="205"/>
        <v>24</v>
      </c>
      <c r="O361" s="274">
        <f t="shared" si="206"/>
        <v>0</v>
      </c>
      <c r="P361" s="275">
        <f t="shared" si="207"/>
        <v>1</v>
      </c>
      <c r="Q361" s="276"/>
      <c r="R361" s="278">
        <f t="shared" si="208"/>
        <v>24</v>
      </c>
      <c r="S361" s="272">
        <f>IFERROR(INDEX('Horo. M'!G$3:$G$367,MATCH(A361,'Horo. M'!$A$3:$A$367,0)),"")</f>
        <v>0</v>
      </c>
      <c r="T361" s="278"/>
      <c r="U361" s="278"/>
      <c r="V361" s="272">
        <f t="shared" si="209"/>
        <v>24</v>
      </c>
      <c r="W361" s="274">
        <f t="shared" si="210"/>
        <v>0</v>
      </c>
      <c r="X361" s="275">
        <f t="shared" si="211"/>
        <v>1</v>
      </c>
      <c r="Y361" s="278"/>
      <c r="Z361" s="278">
        <f t="shared" si="212"/>
        <v>24</v>
      </c>
      <c r="AA361" s="272">
        <f>IFERROR(INDEX('Horo. M'!$I$3:I$367,MATCH(A361,'Horo. M'!$A$3:$A$367,0)),"")</f>
        <v>0</v>
      </c>
      <c r="AB361" s="273"/>
      <c r="AC361" s="273"/>
      <c r="AD361" s="272">
        <f t="shared" si="213"/>
        <v>24</v>
      </c>
      <c r="AE361" s="274">
        <f t="shared" si="214"/>
        <v>0</v>
      </c>
      <c r="AF361" s="275">
        <f t="shared" si="215"/>
        <v>1</v>
      </c>
      <c r="AG361" s="278"/>
      <c r="AH361" s="272">
        <f t="shared" si="216"/>
        <v>24</v>
      </c>
      <c r="AI361" s="272">
        <f>IFERROR(INDEX('Horo. M'!$K$3:K$367,MATCH(A361,'Horo. M'!$A$3:$A$367,0)),"")</f>
        <v>0</v>
      </c>
      <c r="AJ361" s="278"/>
      <c r="AK361" s="278"/>
      <c r="AL361" s="272">
        <f t="shared" si="217"/>
        <v>24</v>
      </c>
      <c r="AM361" s="274">
        <f t="shared" si="218"/>
        <v>0</v>
      </c>
      <c r="AN361" s="275">
        <f t="shared" si="219"/>
        <v>1</v>
      </c>
      <c r="AO361" s="278"/>
      <c r="AP361" s="272">
        <f t="shared" si="220"/>
        <v>24</v>
      </c>
      <c r="AQ361" s="272">
        <f>IFERROR(INDEX('Horo. M'!$M$3:M$367,MATCH(A361,'Horo. M'!$A$3:$A$367,0)),"")</f>
        <v>0</v>
      </c>
      <c r="AR361" s="278"/>
      <c r="AS361" s="278"/>
      <c r="AT361" s="272">
        <f t="shared" si="221"/>
        <v>24</v>
      </c>
      <c r="AU361" s="274">
        <f t="shared" si="222"/>
        <v>0</v>
      </c>
      <c r="AV361" s="275">
        <f t="shared" si="223"/>
        <v>1</v>
      </c>
      <c r="AW361" s="278"/>
      <c r="AX361" s="272">
        <f t="shared" si="224"/>
        <v>24</v>
      </c>
      <c r="AY361" s="272">
        <f>IFERROR(INDEX('Horo. M'!$O$3:O$367,MATCH(A361,'Horo. M'!$A$3:$A$367,0)),"")</f>
        <v>0</v>
      </c>
      <c r="AZ361" s="278"/>
      <c r="BA361" s="278"/>
      <c r="BB361" s="272">
        <f t="shared" si="225"/>
        <v>24</v>
      </c>
      <c r="BC361" s="274">
        <f t="shared" si="226"/>
        <v>0</v>
      </c>
      <c r="BD361" s="275">
        <f t="shared" si="227"/>
        <v>1</v>
      </c>
      <c r="BE361" s="278"/>
      <c r="BF361" s="272">
        <f t="shared" si="228"/>
        <v>24</v>
      </c>
      <c r="BG361" s="272">
        <f>IFERROR(INDEX('Horo. M'!$Q$3:Q$367,MATCH(A361,'Horo. M'!$A$3:$A$367,0)),"")</f>
        <v>0</v>
      </c>
      <c r="BH361" s="278"/>
      <c r="BI361" s="278"/>
      <c r="BJ361" s="272">
        <f t="shared" si="229"/>
        <v>24</v>
      </c>
      <c r="BK361" s="274">
        <f t="shared" si="230"/>
        <v>0</v>
      </c>
      <c r="BL361" s="275">
        <f t="shared" si="231"/>
        <v>1</v>
      </c>
      <c r="BM361" s="278"/>
      <c r="BN361" s="272">
        <f t="shared" si="232"/>
        <v>24</v>
      </c>
      <c r="BO361" s="272">
        <f>IFERROR(INDEX('Horo. M'!$S$3:S$367,MATCH(A361,'Horo. M'!$A$3:$A$367,0)),"")</f>
        <v>0</v>
      </c>
      <c r="BP361" s="278"/>
      <c r="BQ361" s="278"/>
      <c r="BR361" s="272">
        <f t="shared" si="233"/>
        <v>24</v>
      </c>
      <c r="BS361" s="274">
        <f t="shared" si="234"/>
        <v>0</v>
      </c>
      <c r="BT361" s="275">
        <f t="shared" si="235"/>
        <v>1</v>
      </c>
      <c r="BU361" s="278"/>
      <c r="BV361" s="272">
        <f t="shared" si="236"/>
        <v>24</v>
      </c>
      <c r="BW361" s="272">
        <f>IFERROR(INDEX('Horo. M'!$U$3:U$367,MATCH(A361,'Horo. M'!$A$3:$A$367,0)),"")</f>
        <v>0</v>
      </c>
      <c r="BX361" s="278"/>
      <c r="BY361" s="278"/>
      <c r="BZ361" s="272">
        <f t="shared" si="237"/>
        <v>24</v>
      </c>
      <c r="CA361" s="274">
        <f t="shared" si="238"/>
        <v>0</v>
      </c>
      <c r="CB361" s="275">
        <f t="shared" si="239"/>
        <v>1</v>
      </c>
      <c r="CC361" s="280"/>
    </row>
    <row r="362" spans="1:81">
      <c r="A362" s="279">
        <v>45287</v>
      </c>
      <c r="B362" s="278">
        <f t="shared" si="200"/>
        <v>24</v>
      </c>
      <c r="C362" s="272">
        <f>IFERROR(INDEX('Horo. M'!$C$3:$C$367,MATCH(A362,'Horo. M'!$A$3:$A$367,0)),"")</f>
        <v>0</v>
      </c>
      <c r="D362" s="278"/>
      <c r="E362" s="278"/>
      <c r="F362" s="272">
        <f t="shared" si="201"/>
        <v>24</v>
      </c>
      <c r="G362" s="274">
        <f t="shared" si="202"/>
        <v>0</v>
      </c>
      <c r="H362" s="275">
        <f t="shared" si="203"/>
        <v>1</v>
      </c>
      <c r="I362" s="277"/>
      <c r="J362" s="278">
        <f t="shared" si="204"/>
        <v>24</v>
      </c>
      <c r="K362" s="272">
        <f>IFERROR(INDEX('Horo. M'!$E$3:$E$367,MATCH(A362,'Horo. M'!$A$3:$A$367,0)),"")</f>
        <v>0</v>
      </c>
      <c r="L362" s="273"/>
      <c r="M362" s="273"/>
      <c r="N362" s="272">
        <f t="shared" si="205"/>
        <v>24</v>
      </c>
      <c r="O362" s="274">
        <f t="shared" si="206"/>
        <v>0</v>
      </c>
      <c r="P362" s="275">
        <f t="shared" si="207"/>
        <v>1</v>
      </c>
      <c r="Q362" s="276"/>
      <c r="R362" s="278">
        <f t="shared" si="208"/>
        <v>24</v>
      </c>
      <c r="S362" s="272">
        <f>IFERROR(INDEX('Horo. M'!G$3:$G$367,MATCH(A362,'Horo. M'!$A$3:$A$367,0)),"")</f>
        <v>0</v>
      </c>
      <c r="T362" s="278"/>
      <c r="U362" s="278"/>
      <c r="V362" s="272">
        <f t="shared" si="209"/>
        <v>24</v>
      </c>
      <c r="W362" s="274">
        <f t="shared" si="210"/>
        <v>0</v>
      </c>
      <c r="X362" s="275">
        <f t="shared" si="211"/>
        <v>1</v>
      </c>
      <c r="Y362" s="278"/>
      <c r="Z362" s="278">
        <f t="shared" si="212"/>
        <v>24</v>
      </c>
      <c r="AA362" s="272">
        <f>IFERROR(INDEX('Horo. M'!$I$3:I$367,MATCH(A362,'Horo. M'!$A$3:$A$367,0)),"")</f>
        <v>0</v>
      </c>
      <c r="AB362" s="273"/>
      <c r="AC362" s="273"/>
      <c r="AD362" s="272">
        <f t="shared" si="213"/>
        <v>24</v>
      </c>
      <c r="AE362" s="274">
        <f t="shared" si="214"/>
        <v>0</v>
      </c>
      <c r="AF362" s="275">
        <f t="shared" si="215"/>
        <v>1</v>
      </c>
      <c r="AG362" s="278"/>
      <c r="AH362" s="272">
        <f t="shared" si="216"/>
        <v>24</v>
      </c>
      <c r="AI362" s="272">
        <f>IFERROR(INDEX('Horo. M'!$K$3:K$367,MATCH(A362,'Horo. M'!$A$3:$A$367,0)),"")</f>
        <v>0</v>
      </c>
      <c r="AJ362" s="278"/>
      <c r="AK362" s="278"/>
      <c r="AL362" s="272">
        <f t="shared" si="217"/>
        <v>24</v>
      </c>
      <c r="AM362" s="274">
        <f t="shared" si="218"/>
        <v>0</v>
      </c>
      <c r="AN362" s="275">
        <f t="shared" si="219"/>
        <v>1</v>
      </c>
      <c r="AO362" s="278"/>
      <c r="AP362" s="272">
        <f t="shared" si="220"/>
        <v>24</v>
      </c>
      <c r="AQ362" s="272">
        <f>IFERROR(INDEX('Horo. M'!$M$3:M$367,MATCH(A362,'Horo. M'!$A$3:$A$367,0)),"")</f>
        <v>0</v>
      </c>
      <c r="AR362" s="278"/>
      <c r="AS362" s="278"/>
      <c r="AT362" s="272">
        <f t="shared" si="221"/>
        <v>24</v>
      </c>
      <c r="AU362" s="274">
        <f t="shared" si="222"/>
        <v>0</v>
      </c>
      <c r="AV362" s="275">
        <f t="shared" si="223"/>
        <v>1</v>
      </c>
      <c r="AW362" s="278"/>
      <c r="AX362" s="272">
        <f t="shared" si="224"/>
        <v>24</v>
      </c>
      <c r="AY362" s="272">
        <f>IFERROR(INDEX('Horo. M'!$O$3:O$367,MATCH(A362,'Horo. M'!$A$3:$A$367,0)),"")</f>
        <v>0</v>
      </c>
      <c r="AZ362" s="278"/>
      <c r="BA362" s="278"/>
      <c r="BB362" s="272">
        <f t="shared" si="225"/>
        <v>24</v>
      </c>
      <c r="BC362" s="274">
        <f t="shared" si="226"/>
        <v>0</v>
      </c>
      <c r="BD362" s="275">
        <f t="shared" si="227"/>
        <v>1</v>
      </c>
      <c r="BE362" s="278"/>
      <c r="BF362" s="272">
        <f t="shared" si="228"/>
        <v>24</v>
      </c>
      <c r="BG362" s="272">
        <f>IFERROR(INDEX('Horo. M'!$Q$3:Q$367,MATCH(A362,'Horo. M'!$A$3:$A$367,0)),"")</f>
        <v>0</v>
      </c>
      <c r="BH362" s="278"/>
      <c r="BI362" s="278"/>
      <c r="BJ362" s="272">
        <f t="shared" si="229"/>
        <v>24</v>
      </c>
      <c r="BK362" s="274">
        <f t="shared" si="230"/>
        <v>0</v>
      </c>
      <c r="BL362" s="275">
        <f t="shared" si="231"/>
        <v>1</v>
      </c>
      <c r="BM362" s="278"/>
      <c r="BN362" s="272">
        <f t="shared" si="232"/>
        <v>24</v>
      </c>
      <c r="BO362" s="272">
        <f>IFERROR(INDEX('Horo. M'!$S$3:S$367,MATCH(A362,'Horo. M'!$A$3:$A$367,0)),"")</f>
        <v>0</v>
      </c>
      <c r="BP362" s="278"/>
      <c r="BQ362" s="278"/>
      <c r="BR362" s="272">
        <f t="shared" si="233"/>
        <v>24</v>
      </c>
      <c r="BS362" s="274">
        <f t="shared" si="234"/>
        <v>0</v>
      </c>
      <c r="BT362" s="275">
        <f t="shared" si="235"/>
        <v>1</v>
      </c>
      <c r="BU362" s="278"/>
      <c r="BV362" s="272">
        <f t="shared" si="236"/>
        <v>24</v>
      </c>
      <c r="BW362" s="272">
        <f>IFERROR(INDEX('Horo. M'!$U$3:U$367,MATCH(A362,'Horo. M'!$A$3:$A$367,0)),"")</f>
        <v>0</v>
      </c>
      <c r="BX362" s="278"/>
      <c r="BY362" s="278"/>
      <c r="BZ362" s="272">
        <f t="shared" si="237"/>
        <v>24</v>
      </c>
      <c r="CA362" s="274">
        <f t="shared" si="238"/>
        <v>0</v>
      </c>
      <c r="CB362" s="275">
        <f t="shared" si="239"/>
        <v>1</v>
      </c>
      <c r="CC362" s="280"/>
    </row>
    <row r="363" spans="1:81">
      <c r="A363" s="279">
        <v>45288</v>
      </c>
      <c r="B363" s="278">
        <f t="shared" si="200"/>
        <v>24</v>
      </c>
      <c r="C363" s="272">
        <f>IFERROR(INDEX('Horo. M'!$C$3:$C$367,MATCH(A363,'Horo. M'!$A$3:$A$367,0)),"")</f>
        <v>0</v>
      </c>
      <c r="D363" s="278"/>
      <c r="E363" s="278"/>
      <c r="F363" s="272">
        <f t="shared" si="201"/>
        <v>24</v>
      </c>
      <c r="G363" s="274">
        <f t="shared" si="202"/>
        <v>0</v>
      </c>
      <c r="H363" s="275">
        <f t="shared" si="203"/>
        <v>1</v>
      </c>
      <c r="I363" s="277"/>
      <c r="J363" s="278">
        <f t="shared" si="204"/>
        <v>24</v>
      </c>
      <c r="K363" s="272">
        <f>IFERROR(INDEX('Horo. M'!$E$3:$E$367,MATCH(A363,'Horo. M'!$A$3:$A$367,0)),"")</f>
        <v>0</v>
      </c>
      <c r="L363" s="273"/>
      <c r="M363" s="273"/>
      <c r="N363" s="272">
        <f t="shared" si="205"/>
        <v>24</v>
      </c>
      <c r="O363" s="274">
        <f t="shared" si="206"/>
        <v>0</v>
      </c>
      <c r="P363" s="275">
        <f t="shared" si="207"/>
        <v>1</v>
      </c>
      <c r="Q363" s="276"/>
      <c r="R363" s="278">
        <f t="shared" si="208"/>
        <v>24</v>
      </c>
      <c r="S363" s="272">
        <f>IFERROR(INDEX('Horo. M'!G$3:$G$367,MATCH(A363,'Horo. M'!$A$3:$A$367,0)),"")</f>
        <v>0</v>
      </c>
      <c r="T363" s="278"/>
      <c r="U363" s="278"/>
      <c r="V363" s="272">
        <f t="shared" si="209"/>
        <v>24</v>
      </c>
      <c r="W363" s="274">
        <f t="shared" si="210"/>
        <v>0</v>
      </c>
      <c r="X363" s="275">
        <f t="shared" si="211"/>
        <v>1</v>
      </c>
      <c r="Y363" s="278"/>
      <c r="Z363" s="278">
        <f t="shared" si="212"/>
        <v>24</v>
      </c>
      <c r="AA363" s="272">
        <f>IFERROR(INDEX('Horo. M'!$I$3:I$367,MATCH(A363,'Horo. M'!$A$3:$A$367,0)),"")</f>
        <v>0</v>
      </c>
      <c r="AB363" s="273"/>
      <c r="AC363" s="273"/>
      <c r="AD363" s="272">
        <f t="shared" si="213"/>
        <v>24</v>
      </c>
      <c r="AE363" s="274">
        <f t="shared" si="214"/>
        <v>0</v>
      </c>
      <c r="AF363" s="275">
        <f t="shared" si="215"/>
        <v>1</v>
      </c>
      <c r="AG363" s="278"/>
      <c r="AH363" s="272">
        <f t="shared" si="216"/>
        <v>24</v>
      </c>
      <c r="AI363" s="272">
        <f>IFERROR(INDEX('Horo. M'!$K$3:K$367,MATCH(A363,'Horo. M'!$A$3:$A$367,0)),"")</f>
        <v>0</v>
      </c>
      <c r="AJ363" s="278"/>
      <c r="AK363" s="278"/>
      <c r="AL363" s="272">
        <f t="shared" si="217"/>
        <v>24</v>
      </c>
      <c r="AM363" s="274">
        <f t="shared" si="218"/>
        <v>0</v>
      </c>
      <c r="AN363" s="275">
        <f t="shared" si="219"/>
        <v>1</v>
      </c>
      <c r="AO363" s="278"/>
      <c r="AP363" s="272">
        <f t="shared" si="220"/>
        <v>24</v>
      </c>
      <c r="AQ363" s="272">
        <f>IFERROR(INDEX('Horo. M'!$M$3:M$367,MATCH(A363,'Horo. M'!$A$3:$A$367,0)),"")</f>
        <v>0</v>
      </c>
      <c r="AR363" s="278"/>
      <c r="AS363" s="278"/>
      <c r="AT363" s="272">
        <f t="shared" si="221"/>
        <v>24</v>
      </c>
      <c r="AU363" s="274">
        <f t="shared" si="222"/>
        <v>0</v>
      </c>
      <c r="AV363" s="275">
        <f t="shared" si="223"/>
        <v>1</v>
      </c>
      <c r="AW363" s="278"/>
      <c r="AX363" s="272">
        <f t="shared" si="224"/>
        <v>24</v>
      </c>
      <c r="AY363" s="272">
        <f>IFERROR(INDEX('Horo. M'!$O$3:O$367,MATCH(A363,'Horo. M'!$A$3:$A$367,0)),"")</f>
        <v>0</v>
      </c>
      <c r="AZ363" s="278"/>
      <c r="BA363" s="278"/>
      <c r="BB363" s="272">
        <f t="shared" si="225"/>
        <v>24</v>
      </c>
      <c r="BC363" s="274">
        <f t="shared" si="226"/>
        <v>0</v>
      </c>
      <c r="BD363" s="275">
        <f t="shared" si="227"/>
        <v>1</v>
      </c>
      <c r="BE363" s="278"/>
      <c r="BF363" s="272">
        <f t="shared" si="228"/>
        <v>24</v>
      </c>
      <c r="BG363" s="272">
        <f>IFERROR(INDEX('Horo. M'!$Q$3:Q$367,MATCH(A363,'Horo. M'!$A$3:$A$367,0)),"")</f>
        <v>0</v>
      </c>
      <c r="BH363" s="278"/>
      <c r="BI363" s="278"/>
      <c r="BJ363" s="272">
        <f t="shared" si="229"/>
        <v>24</v>
      </c>
      <c r="BK363" s="274">
        <f t="shared" si="230"/>
        <v>0</v>
      </c>
      <c r="BL363" s="275">
        <f t="shared" si="231"/>
        <v>1</v>
      </c>
      <c r="BM363" s="278"/>
      <c r="BN363" s="272">
        <f t="shared" si="232"/>
        <v>24</v>
      </c>
      <c r="BO363" s="272">
        <f>IFERROR(INDEX('Horo. M'!$S$3:S$367,MATCH(A363,'Horo. M'!$A$3:$A$367,0)),"")</f>
        <v>0</v>
      </c>
      <c r="BP363" s="278"/>
      <c r="BQ363" s="278"/>
      <c r="BR363" s="272">
        <f t="shared" si="233"/>
        <v>24</v>
      </c>
      <c r="BS363" s="274">
        <f t="shared" si="234"/>
        <v>0</v>
      </c>
      <c r="BT363" s="275">
        <f t="shared" si="235"/>
        <v>1</v>
      </c>
      <c r="BU363" s="278"/>
      <c r="BV363" s="272">
        <f t="shared" si="236"/>
        <v>24</v>
      </c>
      <c r="BW363" s="272">
        <f>IFERROR(INDEX('Horo. M'!$U$3:U$367,MATCH(A363,'Horo. M'!$A$3:$A$367,0)),"")</f>
        <v>0</v>
      </c>
      <c r="BX363" s="278"/>
      <c r="BY363" s="278"/>
      <c r="BZ363" s="272">
        <f t="shared" si="237"/>
        <v>24</v>
      </c>
      <c r="CA363" s="274">
        <f t="shared" si="238"/>
        <v>0</v>
      </c>
      <c r="CB363" s="275">
        <f t="shared" si="239"/>
        <v>1</v>
      </c>
      <c r="CC363" s="280"/>
    </row>
    <row r="364" spans="1:81">
      <c r="A364" s="279">
        <v>45289</v>
      </c>
      <c r="B364" s="278">
        <f t="shared" si="200"/>
        <v>24</v>
      </c>
      <c r="C364" s="272">
        <f>IFERROR(INDEX('Horo. M'!$C$3:$C$367,MATCH(A364,'Horo. M'!$A$3:$A$367,0)),"")</f>
        <v>0</v>
      </c>
      <c r="D364" s="278"/>
      <c r="E364" s="278"/>
      <c r="F364" s="272">
        <f t="shared" si="201"/>
        <v>24</v>
      </c>
      <c r="G364" s="274">
        <f t="shared" si="202"/>
        <v>0</v>
      </c>
      <c r="H364" s="275">
        <f t="shared" si="203"/>
        <v>1</v>
      </c>
      <c r="I364" s="277"/>
      <c r="J364" s="278">
        <f t="shared" si="204"/>
        <v>24</v>
      </c>
      <c r="K364" s="272">
        <f>IFERROR(INDEX('Horo. M'!$E$3:$E$367,MATCH(A364,'Horo. M'!$A$3:$A$367,0)),"")</f>
        <v>0</v>
      </c>
      <c r="L364" s="273"/>
      <c r="M364" s="273"/>
      <c r="N364" s="272">
        <f t="shared" si="205"/>
        <v>24</v>
      </c>
      <c r="O364" s="274">
        <f t="shared" si="206"/>
        <v>0</v>
      </c>
      <c r="P364" s="275">
        <f t="shared" si="207"/>
        <v>1</v>
      </c>
      <c r="Q364" s="276"/>
      <c r="R364" s="278">
        <f t="shared" si="208"/>
        <v>24</v>
      </c>
      <c r="S364" s="272">
        <f>IFERROR(INDEX('Horo. M'!G$3:$G$367,MATCH(A364,'Horo. M'!$A$3:$A$367,0)),"")</f>
        <v>0</v>
      </c>
      <c r="T364" s="278"/>
      <c r="U364" s="278"/>
      <c r="V364" s="272">
        <f t="shared" si="209"/>
        <v>24</v>
      </c>
      <c r="W364" s="274">
        <f t="shared" si="210"/>
        <v>0</v>
      </c>
      <c r="X364" s="275">
        <f t="shared" si="211"/>
        <v>1</v>
      </c>
      <c r="Y364" s="278"/>
      <c r="Z364" s="278">
        <f t="shared" si="212"/>
        <v>24</v>
      </c>
      <c r="AA364" s="272">
        <f>IFERROR(INDEX('Horo. M'!$I$3:I$367,MATCH(A364,'Horo. M'!$A$3:$A$367,0)),"")</f>
        <v>0</v>
      </c>
      <c r="AB364" s="273"/>
      <c r="AC364" s="273"/>
      <c r="AD364" s="272">
        <f t="shared" si="213"/>
        <v>24</v>
      </c>
      <c r="AE364" s="274">
        <f t="shared" si="214"/>
        <v>0</v>
      </c>
      <c r="AF364" s="275">
        <f t="shared" si="215"/>
        <v>1</v>
      </c>
      <c r="AG364" s="278"/>
      <c r="AH364" s="272">
        <f t="shared" si="216"/>
        <v>24</v>
      </c>
      <c r="AI364" s="272">
        <f>IFERROR(INDEX('Horo. M'!$K$3:K$367,MATCH(A364,'Horo. M'!$A$3:$A$367,0)),"")</f>
        <v>0</v>
      </c>
      <c r="AJ364" s="278"/>
      <c r="AK364" s="278"/>
      <c r="AL364" s="272">
        <f t="shared" si="217"/>
        <v>24</v>
      </c>
      <c r="AM364" s="274">
        <f t="shared" si="218"/>
        <v>0</v>
      </c>
      <c r="AN364" s="275">
        <f t="shared" si="219"/>
        <v>1</v>
      </c>
      <c r="AO364" s="278"/>
      <c r="AP364" s="272">
        <f t="shared" si="220"/>
        <v>24</v>
      </c>
      <c r="AQ364" s="272">
        <f>IFERROR(INDEX('Horo. M'!$M$3:M$367,MATCH(A364,'Horo. M'!$A$3:$A$367,0)),"")</f>
        <v>0</v>
      </c>
      <c r="AR364" s="278"/>
      <c r="AS364" s="278"/>
      <c r="AT364" s="272">
        <f t="shared" si="221"/>
        <v>24</v>
      </c>
      <c r="AU364" s="274">
        <f t="shared" si="222"/>
        <v>0</v>
      </c>
      <c r="AV364" s="275">
        <f t="shared" si="223"/>
        <v>1</v>
      </c>
      <c r="AW364" s="278"/>
      <c r="AX364" s="272">
        <f t="shared" si="224"/>
        <v>24</v>
      </c>
      <c r="AY364" s="272">
        <f>IFERROR(INDEX('Horo. M'!$O$3:O$367,MATCH(A364,'Horo. M'!$A$3:$A$367,0)),"")</f>
        <v>0</v>
      </c>
      <c r="AZ364" s="278"/>
      <c r="BA364" s="278"/>
      <c r="BB364" s="272">
        <f t="shared" si="225"/>
        <v>24</v>
      </c>
      <c r="BC364" s="274">
        <f t="shared" si="226"/>
        <v>0</v>
      </c>
      <c r="BD364" s="275">
        <f t="shared" si="227"/>
        <v>1</v>
      </c>
      <c r="BE364" s="278"/>
      <c r="BF364" s="272">
        <f t="shared" si="228"/>
        <v>24</v>
      </c>
      <c r="BG364" s="272">
        <f>IFERROR(INDEX('Horo. M'!$Q$3:Q$367,MATCH(A364,'Horo. M'!$A$3:$A$367,0)),"")</f>
        <v>0</v>
      </c>
      <c r="BH364" s="278"/>
      <c r="BI364" s="278"/>
      <c r="BJ364" s="272">
        <f t="shared" si="229"/>
        <v>24</v>
      </c>
      <c r="BK364" s="274">
        <f t="shared" si="230"/>
        <v>0</v>
      </c>
      <c r="BL364" s="275">
        <f t="shared" si="231"/>
        <v>1</v>
      </c>
      <c r="BM364" s="278"/>
      <c r="BN364" s="272">
        <f t="shared" si="232"/>
        <v>24</v>
      </c>
      <c r="BO364" s="272">
        <f>IFERROR(INDEX('Horo. M'!$S$3:S$367,MATCH(A364,'Horo. M'!$A$3:$A$367,0)),"")</f>
        <v>0</v>
      </c>
      <c r="BP364" s="278"/>
      <c r="BQ364" s="278"/>
      <c r="BR364" s="272">
        <f t="shared" si="233"/>
        <v>24</v>
      </c>
      <c r="BS364" s="274">
        <f t="shared" si="234"/>
        <v>0</v>
      </c>
      <c r="BT364" s="275">
        <f t="shared" si="235"/>
        <v>1</v>
      </c>
      <c r="BU364" s="278"/>
      <c r="BV364" s="272">
        <f t="shared" si="236"/>
        <v>24</v>
      </c>
      <c r="BW364" s="272">
        <f>IFERROR(INDEX('Horo. M'!$U$3:U$367,MATCH(A364,'Horo. M'!$A$3:$A$367,0)),"")</f>
        <v>0</v>
      </c>
      <c r="BX364" s="278"/>
      <c r="BY364" s="278"/>
      <c r="BZ364" s="272">
        <f t="shared" si="237"/>
        <v>24</v>
      </c>
      <c r="CA364" s="274">
        <f t="shared" si="238"/>
        <v>0</v>
      </c>
      <c r="CB364" s="275">
        <f t="shared" si="239"/>
        <v>1</v>
      </c>
      <c r="CC364" s="280"/>
    </row>
    <row r="365" spans="1:81">
      <c r="A365" s="279">
        <v>45290</v>
      </c>
      <c r="B365" s="278">
        <f t="shared" si="200"/>
        <v>24</v>
      </c>
      <c r="C365" s="272">
        <f>IFERROR(INDEX('Horo. M'!$C$3:$C$367,MATCH(A365,'Horo. M'!$A$3:$A$367,0)),"")</f>
        <v>0</v>
      </c>
      <c r="D365" s="278"/>
      <c r="E365" s="278"/>
      <c r="F365" s="272">
        <f t="shared" si="201"/>
        <v>24</v>
      </c>
      <c r="G365" s="274">
        <f t="shared" si="202"/>
        <v>0</v>
      </c>
      <c r="H365" s="275">
        <f t="shared" si="203"/>
        <v>1</v>
      </c>
      <c r="I365" s="277"/>
      <c r="J365" s="278">
        <f t="shared" si="204"/>
        <v>24</v>
      </c>
      <c r="K365" s="272">
        <f>IFERROR(INDEX('Horo. M'!$E$3:$E$367,MATCH(A365,'Horo. M'!$A$3:$A$367,0)),"")</f>
        <v>0</v>
      </c>
      <c r="L365" s="273"/>
      <c r="M365" s="273"/>
      <c r="N365" s="272">
        <f t="shared" si="205"/>
        <v>24</v>
      </c>
      <c r="O365" s="274">
        <f t="shared" si="206"/>
        <v>0</v>
      </c>
      <c r="P365" s="275">
        <f t="shared" si="207"/>
        <v>1</v>
      </c>
      <c r="Q365" s="276"/>
      <c r="R365" s="278">
        <f t="shared" si="208"/>
        <v>24</v>
      </c>
      <c r="S365" s="272">
        <f>IFERROR(INDEX('Horo. M'!G$3:$G$367,MATCH(A365,'Horo. M'!$A$3:$A$367,0)),"")</f>
        <v>0</v>
      </c>
      <c r="T365" s="278"/>
      <c r="U365" s="278"/>
      <c r="V365" s="272">
        <f t="shared" si="209"/>
        <v>24</v>
      </c>
      <c r="W365" s="274">
        <f t="shared" si="210"/>
        <v>0</v>
      </c>
      <c r="X365" s="275">
        <f t="shared" si="211"/>
        <v>1</v>
      </c>
      <c r="Y365" s="278"/>
      <c r="Z365" s="278">
        <f t="shared" si="212"/>
        <v>24</v>
      </c>
      <c r="AA365" s="272">
        <f>IFERROR(INDEX('Horo. M'!$I$3:I$367,MATCH(A365,'Horo. M'!$A$3:$A$367,0)),"")</f>
        <v>0</v>
      </c>
      <c r="AB365" s="273"/>
      <c r="AC365" s="273"/>
      <c r="AD365" s="272">
        <f t="shared" si="213"/>
        <v>24</v>
      </c>
      <c r="AE365" s="274">
        <f t="shared" si="214"/>
        <v>0</v>
      </c>
      <c r="AF365" s="275">
        <f t="shared" si="215"/>
        <v>1</v>
      </c>
      <c r="AG365" s="278"/>
      <c r="AH365" s="272">
        <f t="shared" si="216"/>
        <v>24</v>
      </c>
      <c r="AI365" s="272">
        <f>IFERROR(INDEX('Horo. M'!$K$3:K$367,MATCH(A365,'Horo. M'!$A$3:$A$367,0)),"")</f>
        <v>0</v>
      </c>
      <c r="AJ365" s="278"/>
      <c r="AK365" s="278"/>
      <c r="AL365" s="272">
        <f t="shared" si="217"/>
        <v>24</v>
      </c>
      <c r="AM365" s="274">
        <f t="shared" si="218"/>
        <v>0</v>
      </c>
      <c r="AN365" s="275">
        <f t="shared" si="219"/>
        <v>1</v>
      </c>
      <c r="AO365" s="278"/>
      <c r="AP365" s="272">
        <f t="shared" si="220"/>
        <v>24</v>
      </c>
      <c r="AQ365" s="272">
        <f>IFERROR(INDEX('Horo. M'!$M$3:M$367,MATCH(A365,'Horo. M'!$A$3:$A$367,0)),"")</f>
        <v>0</v>
      </c>
      <c r="AR365" s="278"/>
      <c r="AS365" s="278"/>
      <c r="AT365" s="272">
        <f t="shared" si="221"/>
        <v>24</v>
      </c>
      <c r="AU365" s="274">
        <f t="shared" si="222"/>
        <v>0</v>
      </c>
      <c r="AV365" s="275">
        <f t="shared" si="223"/>
        <v>1</v>
      </c>
      <c r="AW365" s="278"/>
      <c r="AX365" s="272">
        <f t="shared" si="224"/>
        <v>24</v>
      </c>
      <c r="AY365" s="272">
        <f>IFERROR(INDEX('Horo. M'!$O$3:O$367,MATCH(A365,'Horo. M'!$A$3:$A$367,0)),"")</f>
        <v>0</v>
      </c>
      <c r="AZ365" s="278"/>
      <c r="BA365" s="278"/>
      <c r="BB365" s="272">
        <f t="shared" si="225"/>
        <v>24</v>
      </c>
      <c r="BC365" s="274">
        <f t="shared" si="226"/>
        <v>0</v>
      </c>
      <c r="BD365" s="275">
        <f t="shared" si="227"/>
        <v>1</v>
      </c>
      <c r="BE365" s="278"/>
      <c r="BF365" s="272">
        <f t="shared" si="228"/>
        <v>24</v>
      </c>
      <c r="BG365" s="272">
        <f>IFERROR(INDEX('Horo. M'!$Q$3:Q$367,MATCH(A365,'Horo. M'!$A$3:$A$367,0)),"")</f>
        <v>0</v>
      </c>
      <c r="BH365" s="278"/>
      <c r="BI365" s="278"/>
      <c r="BJ365" s="272">
        <f t="shared" si="229"/>
        <v>24</v>
      </c>
      <c r="BK365" s="274">
        <f t="shared" si="230"/>
        <v>0</v>
      </c>
      <c r="BL365" s="275">
        <f t="shared" si="231"/>
        <v>1</v>
      </c>
      <c r="BM365" s="278"/>
      <c r="BN365" s="272">
        <f t="shared" si="232"/>
        <v>24</v>
      </c>
      <c r="BO365" s="272">
        <f>IFERROR(INDEX('Horo. M'!$S$3:S$367,MATCH(A365,'Horo. M'!$A$3:$A$367,0)),"")</f>
        <v>0</v>
      </c>
      <c r="BP365" s="278"/>
      <c r="BQ365" s="278"/>
      <c r="BR365" s="272">
        <f t="shared" si="233"/>
        <v>24</v>
      </c>
      <c r="BS365" s="274">
        <f t="shared" si="234"/>
        <v>0</v>
      </c>
      <c r="BT365" s="275">
        <f t="shared" si="235"/>
        <v>1</v>
      </c>
      <c r="BU365" s="278"/>
      <c r="BV365" s="272">
        <f t="shared" si="236"/>
        <v>24</v>
      </c>
      <c r="BW365" s="272">
        <f>IFERROR(INDEX('Horo. M'!$U$3:U$367,MATCH(A365,'Horo. M'!$A$3:$A$367,0)),"")</f>
        <v>0</v>
      </c>
      <c r="BX365" s="278"/>
      <c r="BY365" s="278"/>
      <c r="BZ365" s="272">
        <f t="shared" si="237"/>
        <v>24</v>
      </c>
      <c r="CA365" s="274">
        <f t="shared" si="238"/>
        <v>0</v>
      </c>
      <c r="CB365" s="275">
        <f t="shared" si="239"/>
        <v>1</v>
      </c>
      <c r="CC365" s="280"/>
    </row>
    <row r="366" spans="1:81">
      <c r="A366" s="279">
        <v>45291</v>
      </c>
      <c r="B366" s="293">
        <f t="shared" si="200"/>
        <v>24</v>
      </c>
      <c r="C366" s="294">
        <f>IFERROR(INDEX('Horo. M'!$C$3:$C$367,MATCH(A366,'Horo. M'!$A$3:$A$367,0)),"")</f>
        <v>0</v>
      </c>
      <c r="D366" s="293"/>
      <c r="E366" s="293"/>
      <c r="F366" s="294">
        <f t="shared" si="201"/>
        <v>24</v>
      </c>
      <c r="G366" s="295">
        <f t="shared" si="202"/>
        <v>0</v>
      </c>
      <c r="H366" s="296">
        <f t="shared" si="203"/>
        <v>1</v>
      </c>
      <c r="I366" s="277"/>
      <c r="J366" s="293">
        <f t="shared" si="204"/>
        <v>24</v>
      </c>
      <c r="K366" s="294">
        <f>IFERROR(INDEX('Horo. M'!$E$3:$E$367,MATCH(A366,'Horo. M'!$A$3:$A$367,0)),"")</f>
        <v>0</v>
      </c>
      <c r="L366" s="298"/>
      <c r="M366" s="298"/>
      <c r="N366" s="294">
        <f t="shared" si="205"/>
        <v>24</v>
      </c>
      <c r="O366" s="295">
        <f t="shared" si="206"/>
        <v>0</v>
      </c>
      <c r="P366" s="296">
        <f t="shared" si="207"/>
        <v>1</v>
      </c>
      <c r="Q366" s="297"/>
      <c r="R366" s="293">
        <f t="shared" si="208"/>
        <v>24</v>
      </c>
      <c r="S366" s="294">
        <f>IFERROR(INDEX('Horo. M'!G$3:$G$367,MATCH(A366,'Horo. M'!$A$3:$A$367,0)),"")</f>
        <v>0</v>
      </c>
      <c r="T366" s="293"/>
      <c r="U366" s="293"/>
      <c r="V366" s="294">
        <f t="shared" si="209"/>
        <v>24</v>
      </c>
      <c r="W366" s="295">
        <f t="shared" si="210"/>
        <v>0</v>
      </c>
      <c r="X366" s="296">
        <f t="shared" si="211"/>
        <v>1</v>
      </c>
      <c r="Y366" s="293"/>
      <c r="Z366" s="293">
        <f t="shared" si="212"/>
        <v>24</v>
      </c>
      <c r="AA366" s="272">
        <f>IFERROR(INDEX('Horo. M'!$I$3:I$367,MATCH(A366,'Horo. M'!$A$3:$A$367,0)),"")</f>
        <v>0</v>
      </c>
      <c r="AB366" s="298"/>
      <c r="AC366" s="298"/>
      <c r="AD366" s="294">
        <f t="shared" si="213"/>
        <v>24</v>
      </c>
      <c r="AE366" s="295">
        <f t="shared" si="214"/>
        <v>0</v>
      </c>
      <c r="AF366" s="296">
        <f t="shared" si="215"/>
        <v>1</v>
      </c>
      <c r="AG366" s="293"/>
      <c r="AH366" s="294">
        <f t="shared" si="216"/>
        <v>24</v>
      </c>
      <c r="AI366" s="294">
        <f>IFERROR(INDEX('Horo. M'!$K$3:K$367,MATCH(A366,'Horo. M'!$A$3:$A$367,0)),"")</f>
        <v>0</v>
      </c>
      <c r="AJ366" s="293"/>
      <c r="AK366" s="293"/>
      <c r="AL366" s="294">
        <f t="shared" si="217"/>
        <v>24</v>
      </c>
      <c r="AM366" s="295">
        <f t="shared" si="218"/>
        <v>0</v>
      </c>
      <c r="AN366" s="296">
        <f t="shared" si="219"/>
        <v>1</v>
      </c>
      <c r="AO366" s="293"/>
      <c r="AP366" s="294">
        <f t="shared" si="220"/>
        <v>24</v>
      </c>
      <c r="AQ366" s="294">
        <f>IFERROR(INDEX('Horo. M'!$M$3:M$367,MATCH(A366,'Horo. M'!$A$3:$A$367,0)),"")</f>
        <v>0</v>
      </c>
      <c r="AR366" s="293"/>
      <c r="AS366" s="293"/>
      <c r="AT366" s="294">
        <f t="shared" si="221"/>
        <v>24</v>
      </c>
      <c r="AU366" s="295">
        <f t="shared" si="222"/>
        <v>0</v>
      </c>
      <c r="AV366" s="296">
        <f t="shared" si="223"/>
        <v>1</v>
      </c>
      <c r="AW366" s="293"/>
      <c r="AX366" s="294">
        <f t="shared" si="224"/>
        <v>24</v>
      </c>
      <c r="AY366" s="294">
        <f>IFERROR(INDEX('Horo. M'!$O$3:O$367,MATCH(A366,'Horo. M'!$A$3:$A$367,0)),"")</f>
        <v>0</v>
      </c>
      <c r="AZ366" s="293"/>
      <c r="BA366" s="293"/>
      <c r="BB366" s="294">
        <f t="shared" si="225"/>
        <v>24</v>
      </c>
      <c r="BC366" s="295">
        <f t="shared" si="226"/>
        <v>0</v>
      </c>
      <c r="BD366" s="296">
        <f t="shared" si="227"/>
        <v>1</v>
      </c>
      <c r="BE366" s="293"/>
      <c r="BF366" s="294">
        <f t="shared" si="228"/>
        <v>24</v>
      </c>
      <c r="BG366" s="294">
        <f>IFERROR(INDEX('Horo. M'!$Q$3:Q$367,MATCH(A366,'Horo. M'!$A$3:$A$367,0)),"")</f>
        <v>0</v>
      </c>
      <c r="BH366" s="293"/>
      <c r="BI366" s="293"/>
      <c r="BJ366" s="294">
        <f t="shared" si="229"/>
        <v>24</v>
      </c>
      <c r="BK366" s="295">
        <f t="shared" si="230"/>
        <v>0</v>
      </c>
      <c r="BL366" s="296">
        <f t="shared" si="231"/>
        <v>1</v>
      </c>
      <c r="BM366" s="293"/>
      <c r="BN366" s="294">
        <f t="shared" si="232"/>
        <v>24</v>
      </c>
      <c r="BO366" s="294">
        <f>IFERROR(INDEX('Horo. M'!$S$3:S$367,MATCH(A366,'Horo. M'!$A$3:$A$367,0)),"")</f>
        <v>0</v>
      </c>
      <c r="BP366" s="293"/>
      <c r="BQ366" s="293"/>
      <c r="BR366" s="294">
        <f t="shared" si="233"/>
        <v>24</v>
      </c>
      <c r="BS366" s="295">
        <f t="shared" si="234"/>
        <v>0</v>
      </c>
      <c r="BT366" s="296">
        <f t="shared" si="235"/>
        <v>1</v>
      </c>
      <c r="BU366" s="293"/>
      <c r="BV366" s="294">
        <f t="shared" si="236"/>
        <v>24</v>
      </c>
      <c r="BW366" s="294">
        <f>IFERROR(INDEX('Horo. M'!$U$3:U$367,MATCH(A366,'Horo. M'!$A$3:$A$367,0)),"")</f>
        <v>0</v>
      </c>
      <c r="BX366" s="293"/>
      <c r="BY366" s="293"/>
      <c r="BZ366" s="294">
        <f t="shared" si="237"/>
        <v>24</v>
      </c>
      <c r="CA366" s="295">
        <f t="shared" si="238"/>
        <v>0</v>
      </c>
      <c r="CB366" s="296">
        <f t="shared" si="239"/>
        <v>1</v>
      </c>
      <c r="CC366" s="299"/>
    </row>
    <row r="367" spans="1:81">
      <c r="A367" s="379"/>
      <c r="B367" s="293"/>
      <c r="C367" s="294"/>
      <c r="D367" s="293"/>
      <c r="E367" s="293"/>
      <c r="F367" s="294"/>
      <c r="G367" s="381"/>
      <c r="H367" s="382"/>
      <c r="I367" s="383"/>
      <c r="J367" s="293"/>
      <c r="K367" s="294"/>
      <c r="L367" s="384"/>
      <c r="M367" s="384"/>
      <c r="N367" s="294"/>
      <c r="O367" s="381"/>
      <c r="P367" s="382"/>
      <c r="Q367" s="383"/>
      <c r="R367" s="293"/>
      <c r="S367" s="294"/>
      <c r="T367" s="293"/>
      <c r="U367" s="293"/>
      <c r="V367" s="294"/>
      <c r="W367" s="381"/>
      <c r="X367" s="382"/>
      <c r="Y367" s="293"/>
      <c r="Z367" s="293"/>
      <c r="AA367" s="294"/>
      <c r="AB367" s="384"/>
      <c r="AC367" s="384"/>
      <c r="AD367" s="294"/>
      <c r="AE367" s="381"/>
      <c r="AF367" s="382"/>
      <c r="AG367" s="293"/>
      <c r="AH367" s="294"/>
      <c r="AI367" s="294"/>
      <c r="AJ367" s="293"/>
      <c r="AK367" s="293"/>
      <c r="AL367" s="294"/>
      <c r="AM367" s="381"/>
      <c r="AN367" s="382"/>
      <c r="AO367" s="293"/>
      <c r="AP367" s="294"/>
      <c r="AQ367" s="294"/>
      <c r="AR367" s="293"/>
      <c r="AS367" s="293"/>
      <c r="AT367" s="294"/>
      <c r="AU367" s="381"/>
      <c r="AV367" s="382"/>
      <c r="AW367" s="293"/>
      <c r="AX367" s="294"/>
      <c r="AY367" s="294"/>
      <c r="AZ367" s="293"/>
      <c r="BA367" s="293"/>
      <c r="BB367" s="294"/>
      <c r="BC367" s="381"/>
      <c r="BD367" s="382"/>
      <c r="BE367" s="293"/>
      <c r="BF367" s="294"/>
      <c r="BG367" s="294"/>
      <c r="BH367" s="293"/>
      <c r="BI367" s="293"/>
      <c r="BJ367" s="294"/>
      <c r="BK367" s="381"/>
      <c r="BL367" s="382"/>
      <c r="BM367" s="293"/>
      <c r="BN367" s="294"/>
      <c r="BO367" s="294"/>
      <c r="BP367" s="293"/>
      <c r="BQ367" s="293"/>
      <c r="BR367" s="294"/>
      <c r="BS367" s="381"/>
      <c r="BT367" s="382"/>
      <c r="BU367" s="293"/>
      <c r="BV367" s="294"/>
      <c r="BW367" s="294"/>
      <c r="BX367" s="293"/>
      <c r="BY367" s="293"/>
      <c r="BZ367" s="294"/>
      <c r="CA367" s="381"/>
      <c r="CB367" s="382"/>
      <c r="CC367" s="299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8"/>
  <dimension ref="A3:R46"/>
  <sheetViews>
    <sheetView workbookViewId="0">
      <selection activeCell="AE23" sqref="AE23"/>
    </sheetView>
  </sheetViews>
  <sheetFormatPr defaultColWidth="11.42578125" defaultRowHeight="15"/>
  <cols>
    <col min="1" max="1" width="16.85546875" bestFit="1" customWidth="1"/>
    <col min="2" max="10" width="23.7109375" bestFit="1" customWidth="1"/>
    <col min="11" max="11" width="24.5703125" bestFit="1" customWidth="1"/>
  </cols>
  <sheetData>
    <row r="3" spans="1:18">
      <c r="A3" s="36" t="s">
        <v>84</v>
      </c>
      <c r="B3" t="s">
        <v>996</v>
      </c>
      <c r="C3" t="s">
        <v>997</v>
      </c>
      <c r="D3" t="s">
        <v>998</v>
      </c>
      <c r="E3" t="s">
        <v>999</v>
      </c>
      <c r="F3" t="s">
        <v>1000</v>
      </c>
      <c r="G3" t="s">
        <v>1001</v>
      </c>
      <c r="H3" t="s">
        <v>1002</v>
      </c>
      <c r="I3" t="s">
        <v>1003</v>
      </c>
      <c r="J3" t="s">
        <v>1004</v>
      </c>
      <c r="K3" t="s">
        <v>1005</v>
      </c>
    </row>
    <row r="4" spans="1:18">
      <c r="A4" s="37" t="s">
        <v>1014</v>
      </c>
    </row>
    <row r="5" spans="1:18">
      <c r="A5" s="37" t="s">
        <v>246</v>
      </c>
      <c r="B5">
        <v>5037.3</v>
      </c>
      <c r="C5">
        <v>5250.8000000000011</v>
      </c>
      <c r="D5">
        <v>4888.33</v>
      </c>
      <c r="E5">
        <v>1833.0800000000004</v>
      </c>
      <c r="F5">
        <v>0</v>
      </c>
      <c r="G5">
        <v>2063.6</v>
      </c>
      <c r="H5">
        <v>5235.2500000000009</v>
      </c>
      <c r="I5">
        <v>5581.2099999999982</v>
      </c>
      <c r="J5">
        <v>5187.9699999999993</v>
      </c>
      <c r="K5">
        <v>5316.6100000000006</v>
      </c>
      <c r="R5" s="102"/>
    </row>
    <row r="6" spans="1:18">
      <c r="A6" s="37" t="s">
        <v>247</v>
      </c>
      <c r="B6">
        <v>4474.4000000000005</v>
      </c>
      <c r="C6">
        <v>4400.5</v>
      </c>
      <c r="D6">
        <v>4264.82</v>
      </c>
      <c r="E6">
        <v>4518.4500000000007</v>
      </c>
      <c r="F6">
        <v>0</v>
      </c>
      <c r="G6">
        <v>4183.6900000000005</v>
      </c>
      <c r="H6">
        <v>4531.13</v>
      </c>
      <c r="I6">
        <v>4398.78</v>
      </c>
      <c r="J6">
        <v>4568.8899999999994</v>
      </c>
      <c r="K6">
        <v>4833.5499999999993</v>
      </c>
      <c r="R6" s="102"/>
    </row>
    <row r="7" spans="1:18">
      <c r="A7" s="37" t="s">
        <v>248</v>
      </c>
      <c r="B7">
        <v>4246.6000000000004</v>
      </c>
      <c r="C7">
        <v>4921.4999999999991</v>
      </c>
      <c r="D7">
        <v>5022.0799999999981</v>
      </c>
      <c r="E7">
        <v>4612.33</v>
      </c>
      <c r="F7">
        <v>39.849999999999994</v>
      </c>
      <c r="G7">
        <v>4316.6099999999997</v>
      </c>
      <c r="H7">
        <v>3654.8700000000008</v>
      </c>
      <c r="I7">
        <v>5336.35</v>
      </c>
      <c r="J7">
        <v>4431.1599999999989</v>
      </c>
      <c r="K7">
        <v>5189.67</v>
      </c>
      <c r="R7" s="102"/>
    </row>
    <row r="8" spans="1:18">
      <c r="A8" s="37" t="s">
        <v>249</v>
      </c>
      <c r="B8">
        <v>5274.3000000000011</v>
      </c>
      <c r="C8">
        <v>449.40000000000003</v>
      </c>
      <c r="D8">
        <v>5283.54</v>
      </c>
      <c r="E8">
        <v>5293.6000000000013</v>
      </c>
      <c r="F8">
        <v>3746.2899999999991</v>
      </c>
      <c r="G8">
        <v>5014.8399999999992</v>
      </c>
      <c r="H8">
        <v>44.19</v>
      </c>
      <c r="I8">
        <v>5367.0899999999974</v>
      </c>
      <c r="J8">
        <v>5185.7599999999993</v>
      </c>
      <c r="K8">
        <v>5130.25</v>
      </c>
    </row>
    <row r="9" spans="1:18">
      <c r="A9" s="37" t="s">
        <v>250</v>
      </c>
      <c r="B9">
        <v>5514.3</v>
      </c>
      <c r="C9">
        <v>4080.9</v>
      </c>
      <c r="D9">
        <v>5540.1599999999989</v>
      </c>
      <c r="E9">
        <v>1878.23</v>
      </c>
      <c r="F9">
        <v>2862.68</v>
      </c>
      <c r="G9">
        <v>5459.8300000000008</v>
      </c>
      <c r="H9">
        <v>5418.2490000000007</v>
      </c>
      <c r="I9">
        <v>3620.670000000001</v>
      </c>
      <c r="J9">
        <v>5641.0500000000011</v>
      </c>
      <c r="K9">
        <v>5513.880000000001</v>
      </c>
      <c r="L9" s="238"/>
    </row>
    <row r="10" spans="1:18">
      <c r="A10" s="37" t="s">
        <v>251</v>
      </c>
      <c r="B10">
        <v>5189.3999999999987</v>
      </c>
      <c r="C10">
        <v>5197.8999999999996</v>
      </c>
      <c r="D10">
        <v>5103.3599999999997</v>
      </c>
      <c r="E10">
        <v>3740.2400000000002</v>
      </c>
      <c r="F10">
        <v>5424.15</v>
      </c>
      <c r="G10">
        <v>3366.1900000000005</v>
      </c>
      <c r="H10">
        <v>5290.79</v>
      </c>
      <c r="I10">
        <v>2437.33</v>
      </c>
      <c r="J10">
        <v>1914.81</v>
      </c>
      <c r="K10">
        <v>5207.3899999999994</v>
      </c>
      <c r="L10" s="238"/>
      <c r="R10" s="102"/>
    </row>
    <row r="11" spans="1:18">
      <c r="A11" s="37" t="s">
        <v>252</v>
      </c>
      <c r="L11" s="238"/>
      <c r="N11" s="238"/>
      <c r="R11" s="102"/>
    </row>
    <row r="12" spans="1:18">
      <c r="A12" s="37" t="s">
        <v>253</v>
      </c>
      <c r="L12" s="238"/>
      <c r="N12" s="238"/>
      <c r="R12" s="102"/>
    </row>
    <row r="13" spans="1:18">
      <c r="A13" s="37" t="s">
        <v>254</v>
      </c>
      <c r="L13" s="238"/>
      <c r="N13" s="238"/>
      <c r="R13" s="102"/>
    </row>
    <row r="14" spans="1:18">
      <c r="A14" s="37" t="s">
        <v>255</v>
      </c>
      <c r="L14" s="238"/>
    </row>
    <row r="15" spans="1:18">
      <c r="A15" s="37" t="s">
        <v>256</v>
      </c>
      <c r="L15" s="238"/>
    </row>
    <row r="16" spans="1:18">
      <c r="A16" s="37" t="s">
        <v>257</v>
      </c>
      <c r="L16" s="238"/>
    </row>
    <row r="17" spans="12:12">
      <c r="L17" s="238"/>
    </row>
    <row r="18" spans="12:12">
      <c r="L18" s="238"/>
    </row>
    <row r="19" spans="12:12">
      <c r="L19" s="238"/>
    </row>
    <row r="20" spans="12:12">
      <c r="L20" s="238"/>
    </row>
    <row r="21" spans="12:12">
      <c r="L21" s="238"/>
    </row>
    <row r="22" spans="12:12">
      <c r="L22" s="238"/>
    </row>
    <row r="23" spans="12:12">
      <c r="L23" s="238"/>
    </row>
    <row r="24" spans="12:12">
      <c r="L24" s="238"/>
    </row>
    <row r="25" spans="12:12">
      <c r="L25" s="238"/>
    </row>
    <row r="26" spans="12:12">
      <c r="L26" s="238"/>
    </row>
    <row r="27" spans="12:12">
      <c r="L27" s="238"/>
    </row>
    <row r="28" spans="12:12">
      <c r="L28" s="238"/>
    </row>
    <row r="29" spans="12:12">
      <c r="L29" s="238"/>
    </row>
    <row r="30" spans="12:12">
      <c r="L30" s="238"/>
    </row>
    <row r="31" spans="12:12">
      <c r="L31" s="238"/>
    </row>
    <row r="32" spans="12:12">
      <c r="L32" s="238"/>
    </row>
    <row r="33" spans="12:12">
      <c r="L33" s="238"/>
    </row>
    <row r="34" spans="12:12">
      <c r="L34" s="238"/>
    </row>
    <row r="35" spans="12:12">
      <c r="L35" s="238"/>
    </row>
    <row r="36" spans="12:12">
      <c r="L36" s="238"/>
    </row>
    <row r="37" spans="12:12">
      <c r="L37" s="238"/>
    </row>
    <row r="38" spans="12:12">
      <c r="L38" s="238"/>
    </row>
    <row r="39" spans="12:12">
      <c r="L39" s="238"/>
    </row>
    <row r="40" spans="12:12">
      <c r="L40" s="238"/>
    </row>
    <row r="41" spans="12:12">
      <c r="L41" s="238"/>
    </row>
    <row r="42" spans="12:12">
      <c r="L42" s="238"/>
    </row>
    <row r="43" spans="12:12">
      <c r="L43" s="238"/>
    </row>
    <row r="44" spans="12:12">
      <c r="L44" s="238"/>
    </row>
    <row r="45" spans="12:12">
      <c r="L45" s="238"/>
    </row>
    <row r="46" spans="12:12">
      <c r="L46" s="238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19"/>
  <dimension ref="B2:G35"/>
  <sheetViews>
    <sheetView showGridLines="0" topLeftCell="A7" workbookViewId="0">
      <selection activeCell="I33" sqref="I33"/>
    </sheetView>
  </sheetViews>
  <sheetFormatPr defaultColWidth="11.42578125" defaultRowHeight="15"/>
  <cols>
    <col min="3" max="3" width="15.140625" bestFit="1" customWidth="1"/>
    <col min="4" max="4" width="13.28515625" bestFit="1" customWidth="1"/>
    <col min="5" max="5" width="15.28515625" bestFit="1" customWidth="1"/>
  </cols>
  <sheetData>
    <row r="2" spans="2:5">
      <c r="B2" s="498" t="s">
        <v>1006</v>
      </c>
      <c r="C2" s="499"/>
    </row>
    <row r="3" spans="2:5" ht="24">
      <c r="B3" s="336" t="s">
        <v>153</v>
      </c>
      <c r="C3" s="336" t="s">
        <v>1007</v>
      </c>
      <c r="E3" s="47"/>
    </row>
    <row r="4" spans="2:5">
      <c r="B4" s="335">
        <v>44866</v>
      </c>
      <c r="C4" s="337">
        <v>0.9</v>
      </c>
    </row>
    <row r="5" spans="2:5">
      <c r="B5" s="335">
        <v>44896</v>
      </c>
      <c r="C5" s="337">
        <v>0.87</v>
      </c>
    </row>
    <row r="6" spans="2:5">
      <c r="B6" s="335">
        <v>44927</v>
      </c>
      <c r="C6" s="337">
        <v>1</v>
      </c>
    </row>
    <row r="7" spans="2:5">
      <c r="B7" s="335">
        <v>44958</v>
      </c>
      <c r="C7" s="337">
        <v>1</v>
      </c>
    </row>
    <row r="8" spans="2:5">
      <c r="B8" s="335">
        <v>44986</v>
      </c>
      <c r="C8" s="337">
        <v>0.99</v>
      </c>
    </row>
    <row r="9" spans="2:5">
      <c r="B9" s="335">
        <v>45017</v>
      </c>
      <c r="C9" s="337"/>
    </row>
    <row r="10" spans="2:5">
      <c r="B10" s="335">
        <v>45047</v>
      </c>
      <c r="C10" s="337"/>
    </row>
    <row r="11" spans="2:5">
      <c r="B11" s="335">
        <v>45078</v>
      </c>
      <c r="C11" s="337"/>
    </row>
    <row r="12" spans="2:5">
      <c r="B12" s="335">
        <v>45108</v>
      </c>
      <c r="C12" s="337"/>
    </row>
    <row r="13" spans="2:5">
      <c r="B13" s="335">
        <v>45139</v>
      </c>
      <c r="C13" s="337"/>
    </row>
    <row r="14" spans="2:5">
      <c r="B14" s="335">
        <v>45170</v>
      </c>
      <c r="C14" s="337"/>
    </row>
    <row r="15" spans="2:5">
      <c r="B15" s="335">
        <v>45200</v>
      </c>
      <c r="C15" s="337"/>
    </row>
    <row r="16" spans="2:5">
      <c r="B16" s="335">
        <v>45231</v>
      </c>
      <c r="C16" s="337"/>
    </row>
    <row r="17" spans="2:7">
      <c r="B17" s="335">
        <v>45261</v>
      </c>
      <c r="C17" s="337"/>
    </row>
    <row r="19" spans="2:7">
      <c r="B19" s="500" t="s">
        <v>1008</v>
      </c>
      <c r="C19" s="501"/>
      <c r="D19" s="501"/>
      <c r="E19" s="501"/>
      <c r="F19" s="501"/>
      <c r="G19" s="501"/>
    </row>
    <row r="20" spans="2:7" ht="33.75">
      <c r="B20" s="336" t="s">
        <v>153</v>
      </c>
      <c r="C20" s="338" t="s">
        <v>1009</v>
      </c>
      <c r="D20" s="338" t="s">
        <v>1010</v>
      </c>
      <c r="E20" s="338" t="s">
        <v>1011</v>
      </c>
      <c r="F20" s="339" t="s">
        <v>1012</v>
      </c>
      <c r="G20" s="339" t="s">
        <v>1013</v>
      </c>
    </row>
    <row r="21" spans="2:7">
      <c r="B21" s="335">
        <v>44866</v>
      </c>
      <c r="C21" s="337">
        <v>1</v>
      </c>
      <c r="D21" s="337">
        <v>1</v>
      </c>
      <c r="E21" s="337">
        <v>1</v>
      </c>
      <c r="F21" s="337">
        <v>1</v>
      </c>
      <c r="G21" s="337">
        <v>1</v>
      </c>
    </row>
    <row r="22" spans="2:7">
      <c r="B22" s="335">
        <v>44896</v>
      </c>
      <c r="C22" s="337">
        <v>1</v>
      </c>
      <c r="D22" s="337">
        <v>1</v>
      </c>
      <c r="E22" s="337">
        <v>1</v>
      </c>
      <c r="F22" s="337">
        <v>1</v>
      </c>
      <c r="G22" s="337">
        <v>1</v>
      </c>
    </row>
    <row r="23" spans="2:7">
      <c r="B23" s="335">
        <v>44927</v>
      </c>
      <c r="C23" s="337">
        <v>1</v>
      </c>
      <c r="D23" s="337">
        <v>1</v>
      </c>
      <c r="E23" s="337">
        <v>1</v>
      </c>
      <c r="F23" s="337">
        <v>1</v>
      </c>
      <c r="G23" s="337">
        <v>1</v>
      </c>
    </row>
    <row r="24" spans="2:7">
      <c r="B24" s="335">
        <v>44958</v>
      </c>
      <c r="C24" s="337">
        <v>1</v>
      </c>
      <c r="D24" s="337">
        <v>1</v>
      </c>
      <c r="E24" s="337">
        <v>1</v>
      </c>
      <c r="F24" s="337">
        <v>1</v>
      </c>
      <c r="G24" s="337">
        <v>1</v>
      </c>
    </row>
    <row r="25" spans="2:7">
      <c r="B25" s="335">
        <v>44986</v>
      </c>
      <c r="C25" s="337"/>
      <c r="D25" s="337"/>
      <c r="E25" s="337"/>
      <c r="F25" s="337"/>
      <c r="G25" s="337"/>
    </row>
    <row r="26" spans="2:7">
      <c r="B26" s="335">
        <v>45017</v>
      </c>
      <c r="C26" s="337"/>
      <c r="D26" s="337"/>
      <c r="E26" s="337"/>
      <c r="F26" s="337"/>
      <c r="G26" s="337"/>
    </row>
    <row r="27" spans="2:7">
      <c r="B27" s="335">
        <v>45047</v>
      </c>
      <c r="C27" s="337"/>
      <c r="D27" s="337"/>
      <c r="E27" s="337"/>
      <c r="F27" s="337"/>
      <c r="G27" s="337"/>
    </row>
    <row r="28" spans="2:7">
      <c r="B28" s="335">
        <v>45078</v>
      </c>
      <c r="C28" s="337"/>
      <c r="D28" s="337"/>
      <c r="E28" s="337"/>
      <c r="F28" s="337"/>
      <c r="G28" s="337"/>
    </row>
    <row r="29" spans="2:7">
      <c r="B29" s="335">
        <v>45108</v>
      </c>
      <c r="C29" s="337"/>
      <c r="D29" s="337"/>
      <c r="E29" s="337"/>
      <c r="F29" s="337"/>
      <c r="G29" s="337"/>
    </row>
    <row r="30" spans="2:7">
      <c r="B30" s="335">
        <v>45139</v>
      </c>
      <c r="C30" s="337"/>
      <c r="D30" s="337"/>
      <c r="E30" s="337"/>
      <c r="F30" s="337"/>
      <c r="G30" s="337"/>
    </row>
    <row r="31" spans="2:7">
      <c r="B31" s="335">
        <v>45170</v>
      </c>
      <c r="C31" s="337"/>
      <c r="D31" s="337"/>
      <c r="E31" s="337"/>
      <c r="F31" s="337"/>
      <c r="G31" s="337"/>
    </row>
    <row r="32" spans="2:7">
      <c r="B32" s="335">
        <v>45200</v>
      </c>
      <c r="C32" s="337"/>
      <c r="D32" s="337"/>
      <c r="E32" s="337"/>
      <c r="F32" s="337"/>
      <c r="G32" s="337"/>
    </row>
    <row r="33" spans="2:7">
      <c r="B33" s="335">
        <v>45231</v>
      </c>
      <c r="C33" s="337"/>
      <c r="D33" s="337"/>
      <c r="E33" s="337"/>
      <c r="F33" s="337"/>
      <c r="G33" s="337"/>
    </row>
    <row r="34" spans="2:7">
      <c r="B34" s="335">
        <v>45261</v>
      </c>
      <c r="C34" s="337"/>
      <c r="D34" s="337"/>
      <c r="E34" s="337"/>
      <c r="F34" s="337"/>
      <c r="G34" s="337"/>
    </row>
    <row r="35" spans="2:7">
      <c r="B35" s="335">
        <v>45292</v>
      </c>
      <c r="C35" s="337"/>
      <c r="D35" s="337"/>
      <c r="E35" s="337"/>
      <c r="F35" s="337"/>
      <c r="G35" s="337"/>
    </row>
  </sheetData>
  <mergeCells count="2">
    <mergeCell ref="B2:C2"/>
    <mergeCell ref="B19:G19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21A729A1FE8946BD887D1F2BF81873" ma:contentTypeVersion="5" ma:contentTypeDescription="Create a new document." ma:contentTypeScope="" ma:versionID="f7fc0d07c615a1d9cbb33b46f055e6a0">
  <xsd:schema xmlns:xsd="http://www.w3.org/2001/XMLSchema" xmlns:xs="http://www.w3.org/2001/XMLSchema" xmlns:p="http://schemas.microsoft.com/office/2006/metadata/properties" xmlns:ns2="28e4fad5-e83c-44fa-97c7-67ff3bb4e9a5" targetNamespace="http://schemas.microsoft.com/office/2006/metadata/properties" ma:root="true" ma:fieldsID="a6b2a82e8fae31d05cfa50f613587a4a" ns2:_="">
    <xsd:import namespace="28e4fad5-e83c-44fa-97c7-67ff3bb4e9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4fad5-e83c-44fa-97c7-67ff3bb4e9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656320-1B76-4711-A2E9-BBD69435CEF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D79A5F3-5800-4A07-9CEB-EF0011FA6E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73F1AA-DC78-4633-9615-9030EA582D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4fad5-e83c-44fa-97c7-67ff3bb4e9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Dashboard</vt:lpstr>
      <vt:lpstr>T. Dina</vt:lpstr>
      <vt:lpstr>Datos</vt:lpstr>
      <vt:lpstr>Gas</vt:lpstr>
      <vt:lpstr>G. Un GE</vt:lpstr>
      <vt:lpstr>REP. GE</vt:lpstr>
      <vt:lpstr>Cal. Arr</vt:lpstr>
      <vt:lpstr>C. ENER. TN</vt:lpstr>
      <vt:lpstr>Ar-Pa</vt:lpstr>
      <vt:lpstr>DO Pilot</vt:lpstr>
      <vt:lpstr>Tank</vt:lpstr>
      <vt:lpstr>Comb</vt:lpstr>
      <vt:lpstr>Horo. M</vt:lpstr>
      <vt:lpstr>Comp.</vt:lpstr>
      <vt:lpstr>AUT DESP</vt:lpstr>
      <vt:lpstr>Nomen.</vt:lpstr>
      <vt:lpstr>TDina BR</vt:lpstr>
      <vt:lpstr>2023Q1</vt:lpstr>
      <vt:lpstr>2023Q2</vt:lpstr>
      <vt:lpstr>2023Q2 (2)</vt:lpstr>
      <vt:lpstr>D. Mto.</vt:lpstr>
      <vt:lpstr>Hoja2</vt:lpstr>
      <vt:lpstr>Dispo. Planta</vt:lpstr>
      <vt:lpstr>Dashboard!Print_Area</vt:lpstr>
      <vt:lpstr>Nomen.!Print_Area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SISTEMAS</dc:creator>
  <cp:keywords/>
  <dc:description/>
  <cp:lastModifiedBy>Carlos Gorricho</cp:lastModifiedBy>
  <cp:revision/>
  <dcterms:created xsi:type="dcterms:W3CDTF">2020-05-11T20:29:22Z</dcterms:created>
  <dcterms:modified xsi:type="dcterms:W3CDTF">2023-09-12T19:36:46Z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0x0101001A21A729A1FE8946BD887D1F2BF81873</vt:lpwstr>
  </property>
</Properties>
</file>